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<sst xmlns="http://schemas.openxmlformats.org/spreadsheetml/2006/main" count="262463" uniqueCount="55603">
  <si>
    <t>Reference Number</t>
  </si>
  <si>
    <t>Procuring Entity</t>
  </si>
  <si>
    <t>Title</t>
  </si>
  <si>
    <t>Area of Delivery</t>
  </si>
  <si>
    <t>Solicitation Number</t>
  </si>
  <si>
    <t>Trade Agreement</t>
  </si>
  <si>
    <t>Procurement Mode</t>
  </si>
  <si>
    <t>Classification</t>
  </si>
  <si>
    <t>Category</t>
  </si>
  <si>
    <t>Approved Budget for the Contract</t>
  </si>
  <si>
    <t>Contract Duration</t>
  </si>
  <si>
    <t>Client Agency</t>
  </si>
  <si>
    <t>Contact Person</t>
  </si>
  <si>
    <t>Status</t>
  </si>
  <si>
    <t>Associated Components</t>
  </si>
  <si>
    <t>Bid Supplements</t>
  </si>
  <si>
    <t>Document Request List</t>
  </si>
  <si>
    <t>Date Published</t>
  </si>
  <si>
    <t>Last Updated / Time</t>
  </si>
  <si>
    <t>Closing Date / Time</t>
  </si>
  <si>
    <t>Description</t>
  </si>
  <si>
    <t>Other Information</t>
  </si>
  <si>
    <t>Created by</t>
  </si>
  <si>
    <t>Date Created</t>
  </si>
  <si>
    <t>BARANGAY SABANG, LIPA CITY</t>
  </si>
  <si>
    <t>ALEJANDRA L. NAVARRO CENTRAL ELEMENTARY SCHOOL</t>
  </si>
  <si>
    <t>MUNICIPALITY OF SUDIPEN, LA UNION</t>
  </si>
  <si>
    <t>SOMBITO ELEMENTARY SCHOOL</t>
  </si>
  <si>
    <t>CITY GOVERNMENT OF DASMARIÑAS CAVITE</t>
  </si>
  <si>
    <t>PUERTO PRINCESA SCHOOL OF ARTS AND TRADES</t>
  </si>
  <si>
    <t>BARANGAY MARKET VIEW, LUCENA CITY</t>
  </si>
  <si>
    <t>DEPARTMENT OF PUBLIC WORKS AND HIGHWAYS - QUEZON 3RD ED</t>
  </si>
  <si>
    <t>SAGUIN INTEGRATED SCHOOL</t>
  </si>
  <si>
    <t>DEPARTMENT OF PUBLIC WORKS AND HIGHWAYS - LA UNION 1ST ED</t>
  </si>
  <si>
    <t>PROVINCE OF ILOILO</t>
  </si>
  <si>
    <t>CITY OF TANGUB</t>
  </si>
  <si>
    <t>BARANGAY CARARAYAN, NAGA, CAMARINES SUR</t>
  </si>
  <si>
    <t>MUNICIPALITY OF FLORIDABLANCA, PAMPANGA</t>
  </si>
  <si>
    <t>KIPAYPAYON ELEMENTARY SCHOOL</t>
  </si>
  <si>
    <t>PHILIPPINE STATISTICS AUTHORITY - BATANGAS CITY</t>
  </si>
  <si>
    <t>BARANGAY SAN ANDRES, CATBALOGAN CITY</t>
  </si>
  <si>
    <t>NATIONAL NUTRITION COUNCIL - REGION III</t>
  </si>
  <si>
    <t>DEPARTMENT OF PUBLIC WORKS AND HIGHWAYS - NEG. OCC. 1ST DEO</t>
  </si>
  <si>
    <t>MUNICIPALITY OF SAN QUINTIN, PANGASINAN</t>
  </si>
  <si>
    <t>MUNICIPALITY OF TABUELAN, CEBU</t>
  </si>
  <si>
    <t>NATIONAL FOOD AUTHORITY - SAN JOSE, OCCIDENTAL MINDORO</t>
  </si>
  <si>
    <t>DEPARTMENT OF PUBLIC WORKS AND HIGHWAYS - REGION X</t>
  </si>
  <si>
    <t>BARANGAY IMELDA - BAYBAY CITY LEYTE</t>
  </si>
  <si>
    <t>DEPARTMENT OF PUBLIC WORKS AND HIGHWAYS - REGION V</t>
  </si>
  <si>
    <t>BARANGAY CAGUTSAN, CATBALOGAN CITY</t>
  </si>
  <si>
    <t>BARANGAY DARAHUWAY GOTE, CATBALOGAN CITY</t>
  </si>
  <si>
    <t>MUNICIPALITY OF MASANTOL, PAMPANGA</t>
  </si>
  <si>
    <t>DEPARTMENT OF AGRICULTURE - REGION VII</t>
  </si>
  <si>
    <t>MUNICIPALITY OF ISABELA, NEGROS OCCIDENTAL</t>
  </si>
  <si>
    <t>DEPARTMENT OF AGRICULTURE - REGION V</t>
  </si>
  <si>
    <t>EASTERN SAMAR STATE UNIVERSITY - SALCEDO CAMPUS</t>
  </si>
  <si>
    <t>DEPARTMENT OF EDUCATION - DIVISION OF CARCAR CITY</t>
  </si>
  <si>
    <t>DEPARTMENT OF HUMAN SETTLEMENTS AND URBAN DEVELOPMENT  - DAV</t>
  </si>
  <si>
    <t>MUNICIPALITY OF TOBOSO, NEGROS OCCIDENTAL</t>
  </si>
  <si>
    <t>NATIONAL COMMISSION ON MUSLIM FILIPINOS</t>
  </si>
  <si>
    <t>TARLAC STATE UNIVERSITY</t>
  </si>
  <si>
    <t>BARANGAY BULUANGAN, GUIMBAL, ILOILO</t>
  </si>
  <si>
    <t>MUNICIPALITY OF BOSTON, DAVAO ORIENTAL</t>
  </si>
  <si>
    <t>MUNICIPALITY OF MOBO, MASBATE</t>
  </si>
  <si>
    <t>DEPARTMENT OF PUBLIC WORKS AND HIGHWAYS - MINDORO OCCIDENTAL</t>
  </si>
  <si>
    <t>CITY OF MANILA</t>
  </si>
  <si>
    <t>PROVINCE OF GUIMARAS</t>
  </si>
  <si>
    <t>PROVINCE OF PALAWAN</t>
  </si>
  <si>
    <t>BARANGAY DAS, TOLEDO CITY</t>
  </si>
  <si>
    <t>MUNICIPALITY OF SANTA MARIA, ILOCOS SUR</t>
  </si>
  <si>
    <t>PROVINCE OF AKLAN</t>
  </si>
  <si>
    <t>BARANGAY SAN FRANCISCO, LABO, CAMARINES NORTE</t>
  </si>
  <si>
    <t>MARIANO MARCOS STATE UNIVERSITY</t>
  </si>
  <si>
    <t>MUNICIPALITY OF SANTO DOMINGO, ILOCOS SUR</t>
  </si>
  <si>
    <t>MUNICIPALITY OF SAN PABLO, ZAMBOANGA DEL SUR</t>
  </si>
  <si>
    <t>ANDRES BONIFACIO ELEMENTARY SCHOOL</t>
  </si>
  <si>
    <t>MUNICIPALITY OF PANGANTUCAN, BUKIDNON</t>
  </si>
  <si>
    <t>NATIONAL IRRIGATION ADMINISTRATION - PALAWAN</t>
  </si>
  <si>
    <t>CITY OF KIDAPAWAN, NORTH COTABATO</t>
  </si>
  <si>
    <t>MUNICIPALITY OF ESPERANZA, AGUSAN DEL SUR</t>
  </si>
  <si>
    <t>PRESIDENT DIOSDADO MACAPAGAL MEMORIAL NATIONAL HIGH SCHOOL -</t>
  </si>
  <si>
    <t>NAGUILIAN WATER DISTRICT</t>
  </si>
  <si>
    <t>DUMAGUETE CITY WATER DISTRICT</t>
  </si>
  <si>
    <t>MUNICIPALITY OF MALAPATAN, SARANGANI</t>
  </si>
  <si>
    <t xml:space="preserve">NEGROS OCCIDENTAL  NATIONA'L AGRO-INDUSTRIAL SCHOOL OF HOME </t>
  </si>
  <si>
    <t>MUNICIPALITY OF BAY, LAGUNA</t>
  </si>
  <si>
    <t>MUNICIPALITY OF KALILANGAN, BUKIDNON</t>
  </si>
  <si>
    <t>MUNICIPALITY OF CULASI, ANTIQUE</t>
  </si>
  <si>
    <t>PROVINCE OF CEBU</t>
  </si>
  <si>
    <t>MUNICIPALITY OF SAN LORENZO RUIZ, CAMARINES NORTE</t>
  </si>
  <si>
    <t>CITY OF SAGAY, NEGROS OCCIDENTAL</t>
  </si>
  <si>
    <t>DEPARTMENT OF PUBLIC WORKS AND HIGHWAYS - PALAWAN 3RD DEO</t>
  </si>
  <si>
    <t>MUNICIPALITY OF PALO - LEYTE LEYTE</t>
  </si>
  <si>
    <t>DEPARTMENT OF BUDGET AND MANAGEMENT - REGIONAL OFFICE IX</t>
  </si>
  <si>
    <t>MUNICIPALITY OF BOTOLAN, ZAMBALES</t>
  </si>
  <si>
    <t>CITY OF ORMOC, LEYTE</t>
  </si>
  <si>
    <t>PROVINCE OF BATANES</t>
  </si>
  <si>
    <t>CITY OF PANABO, DAVAO DEL NORTE</t>
  </si>
  <si>
    <t>CITY GOVERNMENT OF BALANGA, BATAAN</t>
  </si>
  <si>
    <t>MUNICIPALITY OF MANAY, DAVAO ORIENTAL</t>
  </si>
  <si>
    <t>PROVINCE OF ZAMBOANGA DEL NORTE</t>
  </si>
  <si>
    <t>MUNICIPALITY OF SIBONGA, CEBU</t>
  </si>
  <si>
    <t>BARANGAY CAMPISONG, GINATILAN, CEBU</t>
  </si>
  <si>
    <t>MUNICIPALITY OF LAS NIEVES , AGUSAN DEL NORTE</t>
  </si>
  <si>
    <t>DEPARTMENT OF TRADE AND INDUSTRY - SARANGANI PROVINCIAL OFFI</t>
  </si>
  <si>
    <t>NATIONAL POWER CORPORATION - MINDANAO GENERATION</t>
  </si>
  <si>
    <t>SECURITIES AND EXCHANGE COMMISSION</t>
  </si>
  <si>
    <t>NATIONAL TOBACCO ADMINISTRATION</t>
  </si>
  <si>
    <t>MANDALAGAN NATIONAL HIGH SCHOOL</t>
  </si>
  <si>
    <t>MUNICIPALITY OF STA.CRUZ, DAVAO DEL SUR</t>
  </si>
  <si>
    <t>NATIONAL IRRIGATION ADMINISTRATION - MALITUBOG-MARIDAGAO IRR</t>
  </si>
  <si>
    <t>DEPARTMENT OF TRADE AND INDUSTRY - REGION XII</t>
  </si>
  <si>
    <t>MUNICIPALITY OF MATUNGAO, LANAO DEL NORTE</t>
  </si>
  <si>
    <t>BARANGAY MAGUGPO WEST, TAGUM CITY, DAVAO DEL NORTE</t>
  </si>
  <si>
    <t>CAA ELEMENTARY SCHOOL</t>
  </si>
  <si>
    <t>PHILIPPINE VETERANS AFFAIRS OFFICE, DND</t>
  </si>
  <si>
    <t>CITY OF TARLAC, TARLAC</t>
  </si>
  <si>
    <t>WESTERN BICUTAN NATIONAL HIGH SCHOOL</t>
  </si>
  <si>
    <t>302ND CONTRACTING OFFICE, AFP PROCUREMENT SERVICE</t>
  </si>
  <si>
    <t>BARANGAY SURONG, PASUQUIN, ILOCOS NORTE</t>
  </si>
  <si>
    <t>BARANGAY 770 ZONE 84 DISTRICT V, MANILA</t>
  </si>
  <si>
    <t>PROVINCE OF TARLAC</t>
  </si>
  <si>
    <t>DON JESUS GONZALES HIGH SCHOOL</t>
  </si>
  <si>
    <t>BARANGAY 07, CARUAN, PASUQUIN, ILOCOS NORTE</t>
  </si>
  <si>
    <t>BUYABOD ELEMENTARY SCHOOL - SANTA CRUZ SOUTH</t>
  </si>
  <si>
    <t>BARANGAY SAN JUAN, BALLESTEROS, CAGAYAN</t>
  </si>
  <si>
    <t>BARANGAY TUAO NORTH, BAGABAG, NUEVA VIZCAYA</t>
  </si>
  <si>
    <t>BARANGAY 22 DILANIS PASUQUIN ILOCOS NORTE</t>
  </si>
  <si>
    <t>TECHNICAL EDUCATION &amp; SKILLS DEVELOPMENT AUTHORITY - NCR</t>
  </si>
  <si>
    <t>VETERANS MEMORIAL MEDICAL CENTER, DND</t>
  </si>
  <si>
    <t>GOVERNOR CELESTINO GALLARES MEMORIAL HOSPITAL</t>
  </si>
  <si>
    <t>MUNICIPALITY OF CAIBIRAN, BILIRAN</t>
  </si>
  <si>
    <t>BARANGAY RIZAL, LIPA CITY</t>
  </si>
  <si>
    <t>BARANGAY STO.NINO, LIPA CITY</t>
  </si>
  <si>
    <t>MUNICIPALITY OF SANTA FE, NUEVA VIZCAYA</t>
  </si>
  <si>
    <t>MUNICIPALITY OF LILOAN, CEBU</t>
  </si>
  <si>
    <t>DEPARTMENT OF PUBLIC WORKS AND HIGHWAYS - REGION XI</t>
  </si>
  <si>
    <t>OFFICE OF THE CHIEF MINISTER  - BARMM</t>
  </si>
  <si>
    <t>BUREAU OF INTERNAL REVENUE - REVENUE REGION NO. 19</t>
  </si>
  <si>
    <t>BARANGAY SAN JOSE, STO. TOMAS, BATANGAS</t>
  </si>
  <si>
    <t>BICOL MEDICAL CENTER</t>
  </si>
  <si>
    <t>PHILIPPINE HEALTH INSURANCE CORPORATION - NCR &amp; RIZAL GROUP</t>
  </si>
  <si>
    <t>MUNICIPALITY OF BONGABONG, ORIENTAL MINDORO</t>
  </si>
  <si>
    <t>MARCELINO M. SANTOS NATIONAL HIGH SCHOOL</t>
  </si>
  <si>
    <t>BARANGAY 25 PRAGATA, PASUQUN, ILOCOS NORTE</t>
  </si>
  <si>
    <t>BARANGAY DEL REMEDIO, SAN PABLO CITY</t>
  </si>
  <si>
    <t>BARANGAY JUBAY - LILOAN CEBU</t>
  </si>
  <si>
    <t>BARANGAY 6 DILAVO, PASUQUIN, ILOCOS NORTE</t>
  </si>
  <si>
    <t>BARANGAY POBLACION, LINGAYEN, PANGASINAN</t>
  </si>
  <si>
    <t>106TH CONTRACTING OFFICE, AFP PROCUREMENT SERVICE</t>
  </si>
  <si>
    <t>DEPARTMENT OF SOCIAL WELFARE AND DEVELOPMENT - REGION III</t>
  </si>
  <si>
    <t>PHILIPPINE COCONUT AUTHORITY - MAIN</t>
  </si>
  <si>
    <t>RESEARCH INSTITUTE FOR TROPICAL MEDICINE, DOH</t>
  </si>
  <si>
    <t>MUNICIPALITY OF BURGOS, PANGASINAN</t>
  </si>
  <si>
    <t>TESDA WOMEN'S CENTER</t>
  </si>
  <si>
    <t>DEPARTMENT OF PUBLIC WORKS AND HIGHWAYS - CAGAYAN 2ND DEO</t>
  </si>
  <si>
    <t>MUNICIPALITY OF SAN MATEO, RIZAL</t>
  </si>
  <si>
    <t>TECHNICAL EDUCATION &amp; SKILLS DEVELOPMENT AUTHORITY - ALBAY</t>
  </si>
  <si>
    <t>MUNICIPALITY OF SAN DIONISIO, ILOILO</t>
  </si>
  <si>
    <t>BARANGAY GUESSET, NAGUILIAN, LA UNION</t>
  </si>
  <si>
    <t>BARANGAY 03 POBLACION - PASUQUIN ILOCOS NORTE</t>
  </si>
  <si>
    <t>DEPARTMENT OF PUBLIC WORKS AND HIGHWAYS - CAGAYAN 3RD DEO</t>
  </si>
  <si>
    <t>ISLAND GARDEN CITY OF SAMAL, DAVAO DEL NORTE</t>
  </si>
  <si>
    <t>DEPARTMENT OF ENVIRONMENT AND NATURAL RESOURCES - ILOCOS NOR</t>
  </si>
  <si>
    <t>MUNICIPALITY OF BURGOS, ILOCOS SUR</t>
  </si>
  <si>
    <t>DEPARTMENT OF PUBLIC WORKS AND HIGHWAYS - NUEVA ECIJA 1ST DE</t>
  </si>
  <si>
    <t>MUNICIPALITY OF LASAM, CAGAYAN</t>
  </si>
  <si>
    <t>BARANGAY TANZA 2 - NAVOTAS CITY</t>
  </si>
  <si>
    <t>CITY OF NAGA, CAMARINES SUR</t>
  </si>
  <si>
    <t>MUNICIPALITY OF CALANASAN, APAYAO</t>
  </si>
  <si>
    <t>MUNICIPALITY OF LAUREL, BATANGAS</t>
  </si>
  <si>
    <t>PROVINCE OF BENGUET</t>
  </si>
  <si>
    <t>LAS PIÑAS NORTH NATIONAL HIGH SCHOOL</t>
  </si>
  <si>
    <t>MUNICIPALITY OF SIBAGAT, AGUSAN DEL SUR</t>
  </si>
  <si>
    <t>ENVIRONMENTAL MANAGEMENT BUREAU-REGION XII</t>
  </si>
  <si>
    <t>SOUTHERN ISABELA COLLEGE OF ARTS AND TRADES</t>
  </si>
  <si>
    <t>COTABATO REGIONAL AND MEDICAL CENTER</t>
  </si>
  <si>
    <t>MUNICIPALITY OF SALUG, ZAMBOANGA DEL NORTE</t>
  </si>
  <si>
    <t>MUNICIPALITY OF MAASIM, SARANGANI</t>
  </si>
  <si>
    <t>MUNICIPALITY OF SISON, PANGASINAN</t>
  </si>
  <si>
    <t>LAZI TECHNICAL INSTITUTE</t>
  </si>
  <si>
    <t>BARANGAY OLD LABANGAN - LABANGAN ZAMBOANGA DEL SUR</t>
  </si>
  <si>
    <t>MUNICIPALITY OF MILAGROS, MASBATE</t>
  </si>
  <si>
    <t>MUNICIPALITY OF QUEZON, ISABELA</t>
  </si>
  <si>
    <t>DEPARTMENT OF PUBLIC WORKS AND HIGHWAYS - BULACAN 2ND DEO</t>
  </si>
  <si>
    <t>AGRICULTURAL TRAINING INSTITUTE - CAMARINES SUR</t>
  </si>
  <si>
    <t>MUNICIPALITY OF PASIL, KALINGA</t>
  </si>
  <si>
    <t>CAGAYAN STATE UNIVERSITY - APARRI</t>
  </si>
  <si>
    <t>BANGKO SENTRAL NG PILIPINAS - CABANATUAN</t>
  </si>
  <si>
    <t>BUREAU OF PLANT INDUSTRY-BNCRDPSC</t>
  </si>
  <si>
    <t>BATANGAS STATE UNIVERSITY</t>
  </si>
  <si>
    <t>PHIL. ATMOSPHERIC GEOPHYSICAL &amp; ASTRONOMICAL SERVICES ADM.</t>
  </si>
  <si>
    <t>BARANGAY PALIPARAN III - DASMARIÑAS CITY CAVITE</t>
  </si>
  <si>
    <t>CULTURAL CENTER OF THE PHILIPPINES - PASAY CITY METRO MANILA</t>
  </si>
  <si>
    <t>ILOCOS TRAINING AND REGIONAL MEDICAL CENTER</t>
  </si>
  <si>
    <t>MUNICIPALITY OF ALEGRIA, CEBU</t>
  </si>
  <si>
    <t>MUNICIPALITY OF DINALUPIHAN, BATAAN</t>
  </si>
  <si>
    <t>109TH CONTRACTING OFFICE, AFP PROCUREMENT SERVICE</t>
  </si>
  <si>
    <t>MUNICIPALITY OF MAGALLANES, AGUSAN DEL NORTE</t>
  </si>
  <si>
    <t>ECOSYSTEMS RESEARCH AND DEVELOPMENT BUREAU - (ERDB)</t>
  </si>
  <si>
    <t>MUNICIPALITY OF SAN MANUEL, PANGASINAN</t>
  </si>
  <si>
    <t>DEPARTMENT OF EDUCATION - SCHOOLS DIVISION OF SORSOGON PROVI</t>
  </si>
  <si>
    <t>UNIVERSITY OF SOUTHERN MINDANAO</t>
  </si>
  <si>
    <t>BARANGAY ILAOR NORTE, OAS, ALBAY</t>
  </si>
  <si>
    <t>MUNICIPALITY OF SAN JOSE, BATANGAS</t>
  </si>
  <si>
    <t>MUNICIPALITY OF TABINA, ZAMBOANGA DEL SUR</t>
  </si>
  <si>
    <t>BARANGAY SINONOC, SINACABAN, MISAMIS OCCIDENTAL</t>
  </si>
  <si>
    <t>BARANGAY BAESA</t>
  </si>
  <si>
    <t>DEPARTMENT OF SOCIAL WELFARE AND DEVELOPMENT - REGION X</t>
  </si>
  <si>
    <t>MARIVELES WATER DISTRICT</t>
  </si>
  <si>
    <t>ISABEL WATER DISTRICT</t>
  </si>
  <si>
    <t>MUNICIPALITY OF BINALONAN, PANGASINAN</t>
  </si>
  <si>
    <t>MUNICIPALITY OF MONCADA, TARLAC</t>
  </si>
  <si>
    <t>MUNICIPALITY OF IBAAN, BATANGAS</t>
  </si>
  <si>
    <t>PROVINCE OF NORTHERN SAMAR</t>
  </si>
  <si>
    <t>PROVINCE OF ORIENTAL MINDORO</t>
  </si>
  <si>
    <t>PHILIPPINE ARMY PROCUREMENT CENTER, AFP PROCUREMENT SERVICE</t>
  </si>
  <si>
    <t>BARANGAY BALUGOHIN, ATIMONAN, QUEZON</t>
  </si>
  <si>
    <t>MUNICIPALITY OF TALAINGOD, DAVAO DEL NORTE</t>
  </si>
  <si>
    <t>MUNICIPALITY OF MAPANDAN, PANGASINAN</t>
  </si>
  <si>
    <t>DEPARTMENT OF HEALTH - REGION XII</t>
  </si>
  <si>
    <t>BARANGAY TUMANDING - ARAKAN COTABATO</t>
  </si>
  <si>
    <t>UNIVERSITY OF NORTHERN PHILIPPINES</t>
  </si>
  <si>
    <t>MUNICIPALITY OF ANTIPAS, COTABATO</t>
  </si>
  <si>
    <t>DEPARTMENT OF THE INTERIOR AND LOCAL GOVERNMENT - REGION VI</t>
  </si>
  <si>
    <t>DEPARTMENT OF SOCIAL WELFARE AND DEVELOPMENT - REGION XI</t>
  </si>
  <si>
    <t>NORTHERN MINDANAO MEDICAL CENTER</t>
  </si>
  <si>
    <t>BARANGAY IBABANG DUPAY, LUCENA CITY</t>
  </si>
  <si>
    <t>MUNICIPALITY OF DAGOHOY, BOHOL</t>
  </si>
  <si>
    <t>MUNICIPALITY OF MALANGAS, ZAMBOANGA SIBUGAY</t>
  </si>
  <si>
    <t>MUNICIPALITY OF USON, MASBATE</t>
  </si>
  <si>
    <t>LAND BANK OF THE PHILIPPINES - SAN FERNANDO BRANCH</t>
  </si>
  <si>
    <t>CITY OF SANTIAGO, ISABELA</t>
  </si>
  <si>
    <t>MUNICIPALITY OF MIAG-AO, ILOILO</t>
  </si>
  <si>
    <t>MUNICIPALITY OF BASILISA, DINAGAT ISLAND</t>
  </si>
  <si>
    <t>MUNICIPALITY OF CAGDIANAO, DINAGAT ISLAND</t>
  </si>
  <si>
    <t>CITY OF TALISAY, CEBU</t>
  </si>
  <si>
    <t>CITY OF MALAYBALAY, BUKIDNON</t>
  </si>
  <si>
    <t>MUNICIPALITY OF STO. NIÑO, CAGAYAN</t>
  </si>
  <si>
    <t>DEPARTMENT OF SCIENCE AND TECHNOLOGY - REGION II</t>
  </si>
  <si>
    <t>MUNICIPALITY OF IROSIN, SORSOGON</t>
  </si>
  <si>
    <t>MUNICIPALITY OF PILAR, CEBU</t>
  </si>
  <si>
    <t>PROVINCE OF SURIGAO DEL SUR</t>
  </si>
  <si>
    <t>MUNICIPALITY OF SARIAYA, QUEZON</t>
  </si>
  <si>
    <t>BARANGAY MALIMPIN, DASOL, PANGASINAN</t>
  </si>
  <si>
    <t>DANGEROUS DRUGS BOARD</t>
  </si>
  <si>
    <t>MUNICIPALITY OF SIBUTAD, ZAMBOANGA DEL NORTE</t>
  </si>
  <si>
    <t>BARANGAY ANLUGAN, CABANGLASAN, BUKIDNON</t>
  </si>
  <si>
    <t>MUNICIPALITY OF ALAMINOS, LAGUNA</t>
  </si>
  <si>
    <t>CITY OF BISLIG, SURIGAO DEL SUR</t>
  </si>
  <si>
    <t>DEPARTMENT OF PUBLIC WORKS AND HIGHWAYS - NEG. OCC. 3RD DEO</t>
  </si>
  <si>
    <t>DEPARTMENT OF LABOR AND EMPLOYMENT - REGION XI</t>
  </si>
  <si>
    <t>MUNICIPALITY OF PINAMALAYAN, ORIENTAL MINDORO</t>
  </si>
  <si>
    <t>DIGOS CITY NATIONAL HIGH SCHOOL</t>
  </si>
  <si>
    <t>MUNICIPALIY OF PANITAN, CAPIZ</t>
  </si>
  <si>
    <t>MUNICIPALITY OF DON CARLOS, BUKIDNON</t>
  </si>
  <si>
    <t>DEPARTMENT OF PUBLIC WORKS AND HIGHWAYS - EASTERN SAMAR DEO</t>
  </si>
  <si>
    <t>MUNICIPALITY OF CANDELARIA, QUEZON</t>
  </si>
  <si>
    <t>PROVINCE OF DAVAO OCCIDENTAL</t>
  </si>
  <si>
    <t>NATIONAL IRRIGATION ADMINISTRATION - UPRIIS, DIVISION 2</t>
  </si>
  <si>
    <t>MUNICIPALITY OF DUMARAN, PALAWAN</t>
  </si>
  <si>
    <t>PROVINCE OF BILIRAN</t>
  </si>
  <si>
    <t>SIQUIJOR STATE COLLEGE</t>
  </si>
  <si>
    <t>MUNICIPALITY OF GUTALAC, ZAMBOANGA DEL NORTE</t>
  </si>
  <si>
    <t>MUNICIPALITY OF MAHAYAG, ZAMBOANGA DEL SUR</t>
  </si>
  <si>
    <t>SK OF BARANGAY TEJERO - ROSARIO CAVITE</t>
  </si>
  <si>
    <t>BANGUINGUI TONGKIL SULU</t>
  </si>
  <si>
    <t>SAN JOSE (DINAGAT ISLAND) WATER DISTRICT</t>
  </si>
  <si>
    <t>MARGOSATUBIG REGIONAL HOSPITAL</t>
  </si>
  <si>
    <t>AGRICULTURAL TRAINING INSTITUTE-REGIONAL TRAINING CENTER X</t>
  </si>
  <si>
    <t>BARANGAY POBLACION ZONE 1 - ESTANCIA ILOILO</t>
  </si>
  <si>
    <t>ASSOCIATION OF BARANGAY COUNCIL, IBAAN, BATANGAS CHAPTER</t>
  </si>
  <si>
    <t>MUNICIPALITY OF TAGOLOAN, MISAMIS ORIENTAL</t>
  </si>
  <si>
    <t>MUNICIPALITY OF MACALELON, QUEZON</t>
  </si>
  <si>
    <t>COMMISSION ON ELECTIONS</t>
  </si>
  <si>
    <t>MUNICIPALITY OF PANTUKAN, COMPOSTELA VALLEY</t>
  </si>
  <si>
    <t>BARANGAY 4, LUCBAN, QUEZON</t>
  </si>
  <si>
    <t>MUNICIPALITY OF BAGULIN, LA UNION</t>
  </si>
  <si>
    <t>EASTERN VISAYAS STATE UNIVERSITY</t>
  </si>
  <si>
    <t>MUNICIPALITY OF REMEDIOS T. ROMUALDEZ, AGUSAN DEL NORTE</t>
  </si>
  <si>
    <t>MUNICIPALITY OF BAROBO, SURIGAO DEL SUR</t>
  </si>
  <si>
    <t>MUNICIPALITY OF MANSALAY, ORIENTAL MINDORO</t>
  </si>
  <si>
    <t>MUNICIPALITY OF BURAUEN, LEYTE</t>
  </si>
  <si>
    <t>MUNICIPALITY OF MANITO, ALBAY</t>
  </si>
  <si>
    <t>BARANGAY ARABUNOG</t>
  </si>
  <si>
    <t>DEPARTMENT OF AGRICULTURE - REGION VIII</t>
  </si>
  <si>
    <t>PHILIPPINE STATISTICS AUTHORITY - LAGUNA</t>
  </si>
  <si>
    <t>MUNICIPALITY OF BASAY, NEGROS ORIENTAL</t>
  </si>
  <si>
    <t>MUNICIPALITY OF SAN FRANCISCO, AGUSAN DEL SUR</t>
  </si>
  <si>
    <t>113RD CO AFP PROCUREMENT SERVICE</t>
  </si>
  <si>
    <t>CITY OF OZAMIS, MISAMIS OCCIDENTAL</t>
  </si>
  <si>
    <t>MUNICIPALITY OF CARRASCAL, SURIGAO DEL SUR</t>
  </si>
  <si>
    <t>BARANGAY LACTUDAN, LAUA-AN, ANTIQUE</t>
  </si>
  <si>
    <t>CITY OF GAPAN, NUEVA ECIJA</t>
  </si>
  <si>
    <t>MUNICIPALITY OF SANTA, ILOCOS SUR</t>
  </si>
  <si>
    <t>SULU SANITARIUM</t>
  </si>
  <si>
    <t>BUREAU OF FISHERIES AND AQUATIC RESOURCES - REGION XI</t>
  </si>
  <si>
    <t>MUNICIPALITY OF STA. MARIA, PANGASINAN</t>
  </si>
  <si>
    <t>BUREAU OF FIRE PROTECTION - REGION II</t>
  </si>
  <si>
    <t>MUNICIPALITY OF VINTAR, ILOCOS NORTE</t>
  </si>
  <si>
    <t>BUREAU OF CORRECTIONS - PUERTO PRINCESA</t>
  </si>
  <si>
    <t>MUNICIPALITY OF TUMAUINI, ISABELA</t>
  </si>
  <si>
    <t>BICOL REGION GENERAL HOSPITAL AND GERIATRIC MEDICAL CENTER(F</t>
  </si>
  <si>
    <t xml:space="preserve">DEPARTMENT OF PUBLIC WORKS AND HIGHWAYS - CAMARINES SUR 3RD </t>
  </si>
  <si>
    <t>MUNICIPALITY OF CLAVERIA, MISAMIS ORIENTAL</t>
  </si>
  <si>
    <t>PROVINCE OF BUKIDNON</t>
  </si>
  <si>
    <t>DEPARTMENT OF SCIENCE AND TECHNOLOGY - REGION IV-A</t>
  </si>
  <si>
    <t>MUNICIPALITY OF BALANGKAYAN, EASTERN SAMAR</t>
  </si>
  <si>
    <t>MUNICIPALITY OF MATALOM, LEYTE</t>
  </si>
  <si>
    <t>DIPOLOG CITY WATER DISTRICT</t>
  </si>
  <si>
    <t>MUNICIPALITY OF KINOGUITAN , MISAMIS ORIENTAL</t>
  </si>
  <si>
    <t>BUENAVISTA WATER DISTRICT</t>
  </si>
  <si>
    <t>MUNICIPALITY OF DIFFUN, QUIRINO</t>
  </si>
  <si>
    <t>AGRICULTURAL CREDIT POLICY COUNCIL</t>
  </si>
  <si>
    <t>CITY OF SAN FERNANDO, PAMPANGA</t>
  </si>
  <si>
    <t>DEPARTMENT OF EDUCATION - SCHOOLS DIVISION OF BACOOR CITY</t>
  </si>
  <si>
    <t>DEPARTMENT OF SCIENCE AND TECHNOLOGY - REGION VI</t>
  </si>
  <si>
    <t>PROVINCE OF BOHOL</t>
  </si>
  <si>
    <t>PHILIPPINE RICE RESEARCH INSTITUTE</t>
  </si>
  <si>
    <t>CITY  OF HIMAMAYLAN, NEGROS OCCIDENTAL</t>
  </si>
  <si>
    <t>MUNICIPALITY OF BUGALLON - PANGASINAN</t>
  </si>
  <si>
    <t>MUNICIPALITY OF SAN ISIDRO, BOHOL</t>
  </si>
  <si>
    <t>PHILIPPINE HEALTH INSURANCE CORPORATION - REGION II</t>
  </si>
  <si>
    <t>MUNICIPALITY OF SURALLAH, SOUTH COTABATO</t>
  </si>
  <si>
    <t>BUREAU OF FIRE PROTECTION - REGION XII</t>
  </si>
  <si>
    <t>PROVINCE OF DAVAO DEL NORTE</t>
  </si>
  <si>
    <t>BANGKO SENTRAL NG PILIPINAS - ZAMBOANGA BRANCH</t>
  </si>
  <si>
    <t>TESDA REGIONAL TRAINING CENTER - CALABARZON</t>
  </si>
  <si>
    <t>LIBONA NATIONAL HIGH SCHOOL</t>
  </si>
  <si>
    <t>DEPARTMENT OF AGRARIAN REFORM - BASCO, BATANES</t>
  </si>
  <si>
    <t>MUNICIPALITY OF CATEEL, DAVAO ORIENTAL</t>
  </si>
  <si>
    <t>DEPARTMENT OF EDUCATION - BAGUIO TEACHERS CAMP</t>
  </si>
  <si>
    <t>CITY OF MATI, PROVINCE OF DAVAO ORIENTAL</t>
  </si>
  <si>
    <t>MUNICIPALITY OF BULALACAO, ORIENTAL MINDORO</t>
  </si>
  <si>
    <t>BARANGAY TIBAL-OG, STO.TOMAS, DAVAO</t>
  </si>
  <si>
    <t>CITY OF SAN PEDRO, LAGUNA</t>
  </si>
  <si>
    <t>BARANGAY KIPADUCAN, PANGANTUCAN, BUKIDNON</t>
  </si>
  <si>
    <t>SAN LAZARO HOSPITAL</t>
  </si>
  <si>
    <t>METRO LIPA WATER DISTRICT</t>
  </si>
  <si>
    <t>LUNG CENTER OF THE PHILIPPINES</t>
  </si>
  <si>
    <t>CITY OF ILOILO</t>
  </si>
  <si>
    <t>DEPARTMENT OF AGRARIAN REFORM - PANGASINAN PROVINCIAL OFFICE</t>
  </si>
  <si>
    <t>DEPARTMENT OF ENVIRONMENT AND NATURAL RESOURCES - MAIN</t>
  </si>
  <si>
    <t>BANGKO SENTRAL NG PILIPINAS - TUGUEGARAO BRANCH</t>
  </si>
  <si>
    <t>COMMISSION ON AUDIT - REGION II</t>
  </si>
  <si>
    <t>MUNICIPALITY OF SANTA MARIA, LAGUNA</t>
  </si>
  <si>
    <t>MUNICIPALITY OF MIDSAYAP, NORTH COTABATO</t>
  </si>
  <si>
    <t>BARANGAY TAPAO, SINAIT, ILOCOS SUR</t>
  </si>
  <si>
    <t>MUNICIPALITY OF PILAR, BATAAN</t>
  </si>
  <si>
    <t>MUNICIPALITY OF CAMALIG, ALBAY</t>
  </si>
  <si>
    <t>MUNICIPALITY OF SAGBAYAN, BOHOL</t>
  </si>
  <si>
    <t>MUNICIPALITY OF MARAGUSAN COMPOSTELA VALLEY</t>
  </si>
  <si>
    <t>MUNICIPALITY OF BINALBAGAN, NEGROS OCCIDENTAL</t>
  </si>
  <si>
    <t>MUNICIPALITY OF QUEZON, QUEZON</t>
  </si>
  <si>
    <t>MUNICIPALITY OF MANGATAREM, PANGASINAN</t>
  </si>
  <si>
    <t>BARANGAY SALVACION, SIPOCOT, CAMARINES SUR</t>
  </si>
  <si>
    <t>BARANGAY SAN ROQUE, DON CARLOS, BUKIDNON</t>
  </si>
  <si>
    <t>MUNICIPALITY OF MANOLO FORTICH, BUKIDNON</t>
  </si>
  <si>
    <t>DEPARTMENT OF LABOR AND EMPLOYMENT - CAR</t>
  </si>
  <si>
    <t>BARANGAY STO. NINO - QUINAPONDAN EASTERN SAMAR</t>
  </si>
  <si>
    <t>DEPARTMENT OF SOCIAL WELFARE AND DEVELOPMENT - MAIN</t>
  </si>
  <si>
    <t>PROVINCE OF NUEVA VIZCAYA - BAYOMBONG NUEVA VIZCAYA</t>
  </si>
  <si>
    <t>BUREAU OF FISHERIES AND AQUATIC RESOURCES - REGION X</t>
  </si>
  <si>
    <t>MARIANO G. MEDALLA INTEGRATED SCHOOL</t>
  </si>
  <si>
    <t>BARANGAY MELGAR B</t>
  </si>
  <si>
    <t>BARANGAY TUBIGON, MARAMAG, BUKIDNON</t>
  </si>
  <si>
    <t>MUNICIPALITY OF DARAM, SAMAR</t>
  </si>
  <si>
    <t>BARANGAY BALANACAN, MOGPOG, MARINDUQUE</t>
  </si>
  <si>
    <t>MUNICIPALITY OF BAGUMBAYAN, SULTAN KUDARAT</t>
  </si>
  <si>
    <t>NATIONAL IRRIGATION ADMINISTRATION - IMO DAVAO DEL SUR</t>
  </si>
  <si>
    <t>BARANGAY CACAYASEN, BURGOS, PANGASINAN</t>
  </si>
  <si>
    <t>DEPARTMENT OF SOCIAL WELFARE AND DEVELOPMENT - REGION I</t>
  </si>
  <si>
    <t>BARANGAY MANIKI, KAPALONG, DAVAO DEL NORTE</t>
  </si>
  <si>
    <t>PALACIO DEL GOBERNADOR CONDOMINIUM CORPORATION</t>
  </si>
  <si>
    <t>IBAJAY NATIONAL HIGH SCHOOL</t>
  </si>
  <si>
    <t>BARANGAY CAPAGARAN, ALLACAPAN, CAGAYAN</t>
  </si>
  <si>
    <t>CAPIZ PROVINCIAL GOVERNMENT</t>
  </si>
  <si>
    <t>PROVINCE OF ALBAY</t>
  </si>
  <si>
    <t>MUNICIPALITY OF STO. TOMAS, BATANGAS</t>
  </si>
  <si>
    <t>BARANGAY POBLACION LAUA-AN ANTIQUE</t>
  </si>
  <si>
    <t>MUNICIPALITY OF DON MARCELINO - DAVAO OCCIDENTAL</t>
  </si>
  <si>
    <t>PROVINCE OF LEYTE</t>
  </si>
  <si>
    <t>MUNICIPALITY OF MALAY, AKLAN</t>
  </si>
  <si>
    <t>BUREAU OF INTERNAL REVENUE - REVENUE REGION NO. 16</t>
  </si>
  <si>
    <t>PHILIPPINE PORTS AUTHORITY - PMO WESTERN LEYTE/BILIRAN</t>
  </si>
  <si>
    <t>MUNICIPALITY OF ROXAS, ISABELA</t>
  </si>
  <si>
    <t>MUNICIPALITY OF NAGTIPUNAN, QUIRINO</t>
  </si>
  <si>
    <t>DENR-MASBATE</t>
  </si>
  <si>
    <t>NATIONAL POWER CORPORATION - MINGEN, PULANGI IV HEP</t>
  </si>
  <si>
    <t>MUNICIPALITY OF LORETO - DINAGAT ISLANDS</t>
  </si>
  <si>
    <t>PROVINCE OF CAGAYAN</t>
  </si>
  <si>
    <t>DEPARTMENT OF HEALTH - REGION X</t>
  </si>
  <si>
    <t>BENGUET NATIONAL HIGH SCHOOL-LA TRINIDAD BENGUET</t>
  </si>
  <si>
    <t>DEPARTMENT OF AGRICULTURE - PANGASINAN PROVINCIAL CENTER</t>
  </si>
  <si>
    <t>BUREAU OF CORRECTIONS - REGION IX</t>
  </si>
  <si>
    <t>NATIONAL COUNCIL ON DISABILITY AFFAIRS</t>
  </si>
  <si>
    <t>DEPARTMENT OF TRADE AND INDUSTRY - SAMAR PROVINCIAL OFFICE</t>
  </si>
  <si>
    <t>CITY OF LIGAO, ALBAY</t>
  </si>
  <si>
    <t>BARANGAY CASILAGAN, NAGUILIAN, LA UNION</t>
  </si>
  <si>
    <t>TECHNICAL EDUCATION AND SKILLS DEVELOPMENT AUTHORITY</t>
  </si>
  <si>
    <t>PHILIPPINE DEPOSIT INSURANCE CORPORATION</t>
  </si>
  <si>
    <t>MUNICIPALITY OF TALIBON, BOHOL</t>
  </si>
  <si>
    <t>MUNICIPALITY OF ALEOSAN, COTABATO</t>
  </si>
  <si>
    <t>BARANGAY 19-B, DAVAO CITY</t>
  </si>
  <si>
    <t>LANDBANK OF THE PHILIPPINES - HEAD OFFICE</t>
  </si>
  <si>
    <t>MARITIME SAFETY SERVICES COMMAND</t>
  </si>
  <si>
    <t>EASTERN VISAYAS REGIONAL MEDICAL CENTER - DOH</t>
  </si>
  <si>
    <t>MUNICIPALITY OF DINGLE, ILOILO</t>
  </si>
  <si>
    <t>BARANGAY APGAHAN -  PATNONGON, ANTIQUE</t>
  </si>
  <si>
    <t>KADINGILAN CENTRAL ELEMENTARY SCHOOL</t>
  </si>
  <si>
    <t>MUNICIPALITY OF SAMBOAN, CEBU</t>
  </si>
  <si>
    <t>DON JOSE ELEMENTARY SCHOOL - STA. ROSA LAGUNA</t>
  </si>
  <si>
    <t>MOUNTAIN PROVINCE STATE POLYTECHNIC COLLEGE</t>
  </si>
  <si>
    <t>CITY OF OROQUIETA, MISAMIS OCCIDENTAL</t>
  </si>
  <si>
    <t>MUNICIPALITY OF GERONA, TARLAC</t>
  </si>
  <si>
    <t>LUIS HORA MEMORIAL REGIONAL HOSPITAL</t>
  </si>
  <si>
    <t>LUIS B. PUENTEVELLA ELEMENTARY SCHOOL - BACOLOD CITY</t>
  </si>
  <si>
    <t>MUNICIPALITY OF SAN PASCUAL, BATANGAS</t>
  </si>
  <si>
    <t>CARAGA STATE UNIVERSITY</t>
  </si>
  <si>
    <t>UNIVERSITY OF SCIENCE &amp; TECH. OF SOUTHERN PHIL.-CLAVERIA</t>
  </si>
  <si>
    <t>DPWH - ANTIQUE DISTRICT ENGINEERING OFFICE</t>
  </si>
  <si>
    <t>BARANGAY TARIBUBU - TUAO CAGAYAN</t>
  </si>
  <si>
    <t>DEPARTMENT OF SCIENCE AND TECHNOLOGY - REGION - VIII</t>
  </si>
  <si>
    <t>BARANGAY BINUGAO TORIL DISTRICT</t>
  </si>
  <si>
    <t>SANTA ROSA (NE) WATER DISTRICT</t>
  </si>
  <si>
    <t>MUNICIPALITY OF CABANGLASAN, BUKIDNON</t>
  </si>
  <si>
    <t>BARANGAY LIOAC SUR, NAGUILIAN, LA UNION</t>
  </si>
  <si>
    <t>DEPARTMENT OF HEALTH - TREATMENT AND REHABILITATION CENTER -</t>
  </si>
  <si>
    <t>MUNICIPALITY OF TAYASAN, NEGROS ORIENTAL</t>
  </si>
  <si>
    <t>WAO DISTRICT HOSPITAL</t>
  </si>
  <si>
    <t>MUNICIPALITY OF PILAR, CAPIZ</t>
  </si>
  <si>
    <t>PROVINCE OF ILOCOS SUR</t>
  </si>
  <si>
    <t>MUNICIPALITY OF ALFONSO LISTA, IFUGAO</t>
  </si>
  <si>
    <t>VETERANS FEDERATION OF THE PHILIPPINES</t>
  </si>
  <si>
    <t>CITY OF CALAPAN, ORIENTAL MINDORO</t>
  </si>
  <si>
    <t>CITY OF TANDAG, SURIGAO DEL SUR</t>
  </si>
  <si>
    <t>BULACAN STATE UNIVERSITY</t>
  </si>
  <si>
    <t>MUNICIPALITY OF JOSEFINA, ZAMBOANGA DEL SUR</t>
  </si>
  <si>
    <t>AGUSAN DEL SUR NATIONAL HIGH SCHOOL</t>
  </si>
  <si>
    <t>ILOCOS SUR POLYTECHNIC STATE COLLEGE</t>
  </si>
  <si>
    <t>MUNICIPALITY OF INOPACAN, LEYTE</t>
  </si>
  <si>
    <t>BARANGAY GABA, RAPU-RAPU, ALBAY</t>
  </si>
  <si>
    <t>PULONG STA. CRUZ ELEMENTARY SCHOOL</t>
  </si>
  <si>
    <t>BUREAU OF INTERNAL REVENUE - REVENUE REGION NO. 5</t>
  </si>
  <si>
    <t>V. BAGASINA SR. MEMORIAL HIGH SCHOOL</t>
  </si>
  <si>
    <t>UNIVERSITY OF SCIENCE AND TECHNOLOGY OF SOUTHERN PHILIPPINES</t>
  </si>
  <si>
    <t>BARANGAY PARIAN OESTE - BAUANG, LA UNION</t>
  </si>
  <si>
    <t>DEPARTMENT OF SOCIAL WELFARE AND DEVELOPMENT - REGION V</t>
  </si>
  <si>
    <t>NORTHERN ILOILO POLYTECHNIC STATE COLLEGE</t>
  </si>
  <si>
    <t>DEPARTMENT OF TRADE AND INDUSTRY - AGUSAN DEL SUR</t>
  </si>
  <si>
    <t>BARANGAY CARIDAD - BAYBAY CITY LEYTE</t>
  </si>
  <si>
    <t>OCCUPATIONAL SAFETY AND HEALTH CENTER</t>
  </si>
  <si>
    <t>SCHISTOSOMIASIS CONTROL AND RESEARCH HOSPITAL</t>
  </si>
  <si>
    <t>METRO KALIBO WATER DISTRICT</t>
  </si>
  <si>
    <t>MUNICIPALITY OF BANAYBANAY, DAVAO ORIENTAL</t>
  </si>
  <si>
    <t>PROVINCE OF AURORA</t>
  </si>
  <si>
    <t>LUISA MEDEL NATIONAL HIGH SCHOOL - BACOLOD CITY</t>
  </si>
  <si>
    <t>CITY  OF CABANATUAN, NUEVA ECIJA</t>
  </si>
  <si>
    <t>VALENCIA CITY WATER DISTRICT</t>
  </si>
  <si>
    <t>BARANGAY MALATAB - ANTIPAS COTABATO</t>
  </si>
  <si>
    <t>MUNICIPALITY OF PIKIT, NORTH COTABATO</t>
  </si>
  <si>
    <t>PROVINCE OF AGUSAN DEL SUR</t>
  </si>
  <si>
    <t>MUNICIPALITY OF SANTA BARBARA, PANGASINAN</t>
  </si>
  <si>
    <t>MUNICIPALITY OF SAN ISIDRO, LEYTE</t>
  </si>
  <si>
    <t>MUNICIPALITY  OF NUMANCIA, AKLAN</t>
  </si>
  <si>
    <t>NATIONAL IRRIGATION ADMINISTRATION - AGUSAN DEL NORTE IMO</t>
  </si>
  <si>
    <t>PHILIPPINE STATISTICAL RESEARCH AND TRAINING INSTITUTE</t>
  </si>
  <si>
    <t>MUNICIPALITY OF TALISAY, CAMARINES NORTE</t>
  </si>
  <si>
    <t>DON MARIANO MARCOS MEMORIAL STATE UNIVERSITY - SLUC</t>
  </si>
  <si>
    <t>ENVIRONMENTAL MANAGEMENT BUREAU - REGION II</t>
  </si>
  <si>
    <t>MUNICIPALITY OF SINILOAN. LAGUNA</t>
  </si>
  <si>
    <t>DEPARTMENT OF SCIENCE AND TECHNOLOGY - REGION XI</t>
  </si>
  <si>
    <t>DEPARTMENT OF AGRARIAN REFORM - COMVAL</t>
  </si>
  <si>
    <t>AGRICULTURAL TRAINING INSTITUTE - REGIONAL TRAINING CENTER-R</t>
  </si>
  <si>
    <t>BUREAU OF COMMUNICATIONS SERVICES</t>
  </si>
  <si>
    <t>MUNICIPALITY OF BADOC, ILOCOS NORTE</t>
  </si>
  <si>
    <t>MUNICIPALITY OF TUBUNGAN, ILOILO</t>
  </si>
  <si>
    <t>BARANGAY CAGDIANAO, CLAVER, SURIGAO DEL NORTE</t>
  </si>
  <si>
    <t>MUNICIPALITY OF ANTEQUERA, BOHOL</t>
  </si>
  <si>
    <t>BUREAU OF FISHERIES AND AQUATIC RESOURCES - REGION II</t>
  </si>
  <si>
    <t>MARINDUQUE STATE COLLEGE</t>
  </si>
  <si>
    <t>BARANGAY GUINUANGAN LOPEZ QUEZON</t>
  </si>
  <si>
    <t>MUNICIPALITY OF PARACALE, CAMARINES NORTE</t>
  </si>
  <si>
    <t>DEPARTMENT OF ENVIRONMENT AND NATURAL RESOURCES - NCR</t>
  </si>
  <si>
    <t>BARANGAY BOGTONG CENTRO, MANGATAREM, PANGASINAN</t>
  </si>
  <si>
    <t>BARANGAY LAUA-AN, LAUA-AN, ANTIQUE</t>
  </si>
  <si>
    <t>BARANGAY BUCAL 1</t>
  </si>
  <si>
    <t>PROVINCE OF SIQUIJOR</t>
  </si>
  <si>
    <t>MUNICIPALITY OF REAL, QUEZON</t>
  </si>
  <si>
    <t>EMILIANO LIZARES NATIONAL HIGH SCHOOL</t>
  </si>
  <si>
    <t>DEPARTMENT OF ENVIRONMENT AND NATURAL RES. - PENRO, CEBU</t>
  </si>
  <si>
    <t>MUNICIPALITY OF LA CASTELLANA, NEGROS OCCIDENTAL</t>
  </si>
  <si>
    <t>BARANGAY CAGLAYAG, CARRASCAL, SURIGAO DEL SUR</t>
  </si>
  <si>
    <t>MUNICIPALITY OF GUBAT, SORSOGON</t>
  </si>
  <si>
    <t>BARANGAY BUKAL SUR, CANDELARIA, QUEZON</t>
  </si>
  <si>
    <t>MUNICIPALITY OF SIATON, NEGROS ORIENTAL</t>
  </si>
  <si>
    <t>DEPARTMENT OF BUDGET AND MANAGEMENT - REGIONAL OFFICE V</t>
  </si>
  <si>
    <t>CITY OF TRECE MARTIRES</t>
  </si>
  <si>
    <t>MUNICIPALITY OF MALVAR, BATANGAS</t>
  </si>
  <si>
    <t>MUNICIPALITY OF POLILLO, QUEZON</t>
  </si>
  <si>
    <t>CARLOS HILADO MEMORIAL STATE COLLEGE</t>
  </si>
  <si>
    <t>GHQ PROCUREMENT CENTER, AFP PROCUREMENT SERVICE</t>
  </si>
  <si>
    <t>MUNICIPALITY OF SAN FERNANDO, CAMARINES SUR</t>
  </si>
  <si>
    <t>DEPARTMENT OF ENVIRONMENT AND NATURAL RESOURCES - REGION II</t>
  </si>
  <si>
    <t>BARANGAY SAN JOSE COMPOSTELA</t>
  </si>
  <si>
    <t>DEPARTMENT OF ENVIRONMENT AND NATURAL RESOURCES - PENRO NEGR</t>
  </si>
  <si>
    <t>MUNICIPALITY OF TALUSAN, ZAMBOANGA SIBUGAY</t>
  </si>
  <si>
    <t xml:space="preserve">CADIZ EAST ELEMENTARY SCHOOL </t>
  </si>
  <si>
    <t>MUNICIPALITY OF STO. TOMAS, DAVAO DEL NORTE</t>
  </si>
  <si>
    <t>MUNICIPALITY OF RODRIGUEZ, RIZAL</t>
  </si>
  <si>
    <t>MUNICIPALITY OF LIBMANAN, CAMARINES SUR</t>
  </si>
  <si>
    <t>DEPARTMENT OF ENVIRONMENT AND NATURAL RESOURCES - COMPOSTELA</t>
  </si>
  <si>
    <t>DEPARTMENT OF PUBLIC WORKS AND HIGHWAYS - CEBU 5TH DEO</t>
  </si>
  <si>
    <t>BARANGAY GUSING NORTE, NAGUILIAN, LA UNION</t>
  </si>
  <si>
    <t>MUNICIPALITY OF MAHAPLAG - LEYTE</t>
  </si>
  <si>
    <t>BARANGAY DISTRICT 1, LEMERY, BATANGAS</t>
  </si>
  <si>
    <t>MUNICIPALITY OF DINAS, ZAMBOANGA DEL SUR</t>
  </si>
  <si>
    <t>BARANGAY SAN MANUEL, SAN JOSE DEL MONTE CITY, BULACAN</t>
  </si>
  <si>
    <t>BARANGAY NARANGASAN, MILAGROS, MASBATE</t>
  </si>
  <si>
    <t>DOMINGO LACSON NATIONAL HIGH SCHOOL</t>
  </si>
  <si>
    <t>CITY OF SAN JOSE DEL MONTE, BULACAN</t>
  </si>
  <si>
    <t>MUNICIPALITY OF HINATUAN , SURIGAO DEL SUR</t>
  </si>
  <si>
    <t>MUNICIPALITY OF TERESA, RIZAL</t>
  </si>
  <si>
    <t>PHILIPPINE PHARMA PROCUREMENT, INC.</t>
  </si>
  <si>
    <t>MUNICIPALITY OF TANGALAN, AKLAN</t>
  </si>
  <si>
    <t>CITY OF SAN PABLO, LAGUNA</t>
  </si>
  <si>
    <t>BARANGAY GUADALUPE VIEJO, MAKATI CITY</t>
  </si>
  <si>
    <t>MUNICIPALITY OF AGNO, PANGASINAN</t>
  </si>
  <si>
    <t>GMA WATER DISTRICT</t>
  </si>
  <si>
    <t>DAGA EXTENSION HIGH SCHOOL - CADIZ CITY NEGROS OCCIDENTAL</t>
  </si>
  <si>
    <t>MUNICIPALITY OF BUENAVISTA, QUEZON</t>
  </si>
  <si>
    <t>SK OF BARANGAY ADRIALUNA - NAUJAN ORIENTAL MINDORO</t>
  </si>
  <si>
    <t>NATIONAL IRRIGATION ADMINISTRATION - CARAGA</t>
  </si>
  <si>
    <t>SUM-AG ELEMENTARY SCHOOL - BACOLOD CITY NEGROS OCCIDENTAL</t>
  </si>
  <si>
    <t>MUNICIPALITY OF RIZAL, LAGUNA</t>
  </si>
  <si>
    <t>LIGHT RAIL TRANSIT AUTHORITY</t>
  </si>
  <si>
    <t>MUNICIPALITY OF BONIFACIO, MISAMIS OCCIDENTAL</t>
  </si>
  <si>
    <t>BARANGAY NBBS DAGAT-DAGATAN NAVOTAS CITY METRO MANILA</t>
  </si>
  <si>
    <t>DEPARTMENT OF PUBLIC WORKS AND HIGHWAYS - TARLAC 1ST DEO</t>
  </si>
  <si>
    <t>PHILIPPINE NORMAL UNIVERSITY</t>
  </si>
  <si>
    <t>LAS PIÑAS GENERAL HOSPITAL AND SATELLITE TRAUMA CENTER</t>
  </si>
  <si>
    <t>MUNICIPALITY OF LAMBUNAO, ILOILO</t>
  </si>
  <si>
    <t>BARANGAY VILLA FLORES - PATNONGON ANTIQUE</t>
  </si>
  <si>
    <t>BUREAU OF LOCAL GOVERNMENT FINANCE</t>
  </si>
  <si>
    <t>BARANGAY GUINSANGAAN, BONTOC, SOUTHERN LEYTE</t>
  </si>
  <si>
    <t>PHILIPPINE MERCHANT MARINE ACADEMY</t>
  </si>
  <si>
    <t>BARANGAY BIMMOTOBOT, NAGUILIAN, LA UNION</t>
  </si>
  <si>
    <t>ILOILO SCIENCE AND TECHNOLOGY UNIVERSITY - DUMANGAS CAMPUS</t>
  </si>
  <si>
    <t>SAN MANUEL WATER DISTRICT</t>
  </si>
  <si>
    <t xml:space="preserve">DASMARIÑAS WATER DISTRICT </t>
  </si>
  <si>
    <t>MUNICIPALITY OF SAMPALOC, QUEZON</t>
  </si>
  <si>
    <t>NATIONAL IRRIGATION ADMINISTRATION - COMPOSTELA VALLEY</t>
  </si>
  <si>
    <t>DEPARTMENT OF PUBLIC WORKS AND HIGHWAYS - MISAMIS OCCIDENTAL</t>
  </si>
  <si>
    <t>MUNICIPALITY OF VALLEHERMOSO, NEGROS</t>
  </si>
  <si>
    <t>ODIONGAN WATER DISTRICT</t>
  </si>
  <si>
    <t>MUNICIPALITY OF NORZAGARAY, BULACAN</t>
  </si>
  <si>
    <t>DEPARTMENT OF AGRICULTURE - REGION III</t>
  </si>
  <si>
    <t>MUNICIPALITY OF ALBURQUERQUE, BOHOL</t>
  </si>
  <si>
    <t>TESDA-IX, PROVINCIAL TRAINING CENTER - SINDANGAN</t>
  </si>
  <si>
    <t>BARANGAY PLANDICO, CONCEPCION, LEYTE</t>
  </si>
  <si>
    <t>TALISAYAN WATER DISTRICT</t>
  </si>
  <si>
    <t>MUNICIPALITY OF NABUA, CAMARINES SUR</t>
  </si>
  <si>
    <t>BARANGAY 08 POBLACION, CATBALOGAN CITY, SAMAR</t>
  </si>
  <si>
    <t>CITY OF SAN JOSE, NUEVA ECIJA</t>
  </si>
  <si>
    <t>TANGUB CITY WATER DISTRICT</t>
  </si>
  <si>
    <t>MUNICIPALITY OF SAN JOSE DE BUENAVISTA, ANTIQUE</t>
  </si>
  <si>
    <t>DEPARTMENT OF HEALTH - CARAGA</t>
  </si>
  <si>
    <t>BARANGAY  PONDANG - DARAM SAMAR</t>
  </si>
  <si>
    <t>MUNICIPALITY OF BOLJOON, CEBU</t>
  </si>
  <si>
    <t>CITY OF ZAMBOANGA, ZAMBOANGA DEL SUR</t>
  </si>
  <si>
    <t>DEPARTMENT OF AGRICULTURE MIMAROPA</t>
  </si>
  <si>
    <t>TONDO MEDICAL CENTER</t>
  </si>
  <si>
    <t>MUNICIPALITY OF EL NIDO, PALAWAN</t>
  </si>
  <si>
    <t>MUNICIPALITY OF CALUYA, ANTIQUE</t>
  </si>
  <si>
    <t>CITY OF MALABON</t>
  </si>
  <si>
    <t>CITY OF TAGBILARAN, BOHOL</t>
  </si>
  <si>
    <t>PHILIPPINE FIBER INDUSTRY DEVELOPMENT AUTHORITY</t>
  </si>
  <si>
    <t>MUNICIPALITY OF POLANCO, ZAMBOANGA DEL NORTE</t>
  </si>
  <si>
    <t>BARANGAY BUCAL, BATANGAS CITY, BATANGAS</t>
  </si>
  <si>
    <t>CASTILLEJOS WATER DISTRICT</t>
  </si>
  <si>
    <t>MUNICIPALITY OF MALINAO, AKLAN</t>
  </si>
  <si>
    <t>PHILIPPINE AMUSEMENT AND GAMING CORPORATION</t>
  </si>
  <si>
    <t>MUNICIPALITY OF ASINGAN, PANGASINAN</t>
  </si>
  <si>
    <t>DEPARTMENT OF AGRICULTURE - REGION II</t>
  </si>
  <si>
    <t>JOSE RIZAL MEMORIAL STATE COLLEGE - TAMPILISAN CAMPUS</t>
  </si>
  <si>
    <t>ALIMATOC ELEMENTARY SCHOOL</t>
  </si>
  <si>
    <t>PHILIPPINE AMUSEMENT AND GAMING CORPORATION - ANGELES</t>
  </si>
  <si>
    <t>CITY OF CABADBARAN, AGUSAN DEL NORTE</t>
  </si>
  <si>
    <t>MUNICIPALITY OF KITAOTAO, BUKIDNON</t>
  </si>
  <si>
    <t>MUNICIPALITY OF SUAL -  PANGASINAN</t>
  </si>
  <si>
    <t>PHILIPPINE HEALTH INSURANCE CORPORATION</t>
  </si>
  <si>
    <t xml:space="preserve">PHILIPPINE SCIENCE HIGH SCHOOL - ZAMBOANGA PENINSULA REGION </t>
  </si>
  <si>
    <t>PAROLE AND PROBATION ADMINISTRATION REGION IVB</t>
  </si>
  <si>
    <t>DEPARTMENT OF PUBLIC WORKS AND HIGHWAYS - BATANGAS 3RD ED</t>
  </si>
  <si>
    <t>UNIVERSITY OF THE PHILIPPINES - VISAYAS</t>
  </si>
  <si>
    <t>DEPARTMENT OF AGRICULTURE - REGION VI</t>
  </si>
  <si>
    <t>DEPARTMENT OF PUBLIC WORKS AND HIGHWAYS - BOHOL 2ND DEO</t>
  </si>
  <si>
    <t>PAG-IBIG FUND - DAVAO HUB (TECHNICAL AND ADMIN SUPPORT)</t>
  </si>
  <si>
    <t>BARANGAY PANAYTAYAN, RAGAY, CAMARINES SUR</t>
  </si>
  <si>
    <t>UNIVERSITY OF THE PHILIPPINES - BAGUIO</t>
  </si>
  <si>
    <t>DEPARTMENT OF PUBLIC WORKS AND HIGHWAYS - ILOCOS NORTE 2ND D</t>
  </si>
  <si>
    <t>CITY OF TABACO, ALBAY</t>
  </si>
  <si>
    <t>MUNICIPALITY OF DAGAMI, LEYTE</t>
  </si>
  <si>
    <t>MUNICIPALITY OF CAPALONGA, CAMARINES NORTE</t>
  </si>
  <si>
    <t>COMMISSION ON AUDIT - CAR</t>
  </si>
  <si>
    <t>DEPARTMENT OF ENVIRONMENT AND NATURAL RES. - PENRO XII-4</t>
  </si>
  <si>
    <t>ESTANCIA NATIONAL HIGH SCHOOL</t>
  </si>
  <si>
    <t>MUNICIPALITY OF KALAMANSIG, SULTAN KUDARAT</t>
  </si>
  <si>
    <t>BARANGAY MENDEZ, MOGPOG, MARINDUQUE</t>
  </si>
  <si>
    <t>CIVIL AVIATION AUTHORITY OF THE PHILIPPINES - AREA X - LAGUI</t>
  </si>
  <si>
    <t>BARANGAY V, DAET, CAMARINES NORTE</t>
  </si>
  <si>
    <t>MUNICIPALITY OF HAGONOY, DAVAO DEL SUR</t>
  </si>
  <si>
    <t>MUNICIPALITY OF SIQUIJOR, SIQUIJOR</t>
  </si>
  <si>
    <t>MUNICIPALITY OF ALBUERA, LEYTE</t>
  </si>
  <si>
    <t>BALAYAN WATER DISTRICT</t>
  </si>
  <si>
    <t>TUBOD-BAROY WATER DISTRICT</t>
  </si>
  <si>
    <t>STO. NIÑO WATER DISTRICT</t>
  </si>
  <si>
    <t>PROVINCE OF DINAGAT ISLANDS</t>
  </si>
  <si>
    <t>MUNICIPALITY OF CABIAO, NUEVA ECIJA</t>
  </si>
  <si>
    <t>BARANGAY SINGCANG-AIRPORT NATIONAL HIGH SCHOOL</t>
  </si>
  <si>
    <t>BARANGAY TIGUNHAO, LAUA-AN, ANTIQUE</t>
  </si>
  <si>
    <t>BARANGAY CAU-AYAN, POTOTAN, ILOILO</t>
  </si>
  <si>
    <t>BATUAN ELEMENTARY SCHOOL - VALLADOLID NEGROS OCCIDENTAL</t>
  </si>
  <si>
    <t>BARANGAY CAWAYAN I, SAN FRANCISCO, QUEZON</t>
  </si>
  <si>
    <t>BARANGAY LIGUAN, RAPU-RAPU, ALBAY</t>
  </si>
  <si>
    <t>PHILIPPINE PORTS AUTHORITY - PMO MINDORO</t>
  </si>
  <si>
    <t>MUNICIPALITY OF LOAY, BOHOL</t>
  </si>
  <si>
    <t>BARANGAY NATO, ANINI-Y, ANTIQUE</t>
  </si>
  <si>
    <t>BARANGAY GENERAL PAULINO SANTOS -  KORONADAL CITY</t>
  </si>
  <si>
    <t>JUDGE JOSE DE VENECIA SR. TECHNICAL-VOCATIONAL SECONDARY SCH</t>
  </si>
  <si>
    <t>CITY OF LAPU-LAPU</t>
  </si>
  <si>
    <t>CITY OF PAGADIAN, ZAMBOANGA DEL SUR</t>
  </si>
  <si>
    <t>VALENZUELA MEDICAL CENTER</t>
  </si>
  <si>
    <t>BARANGAY UBANG, POTOTAN, ILOILO</t>
  </si>
  <si>
    <t>MUNICIPALITY OF DAO, CAPIZ</t>
  </si>
  <si>
    <t>DEPARTMENT OF EDUCATION - DIVISION OF SIQUIJOR</t>
  </si>
  <si>
    <t>MUNICIPALITY OF DANAO, BOHOL</t>
  </si>
  <si>
    <t>MUNICIPALITY OF DINGRAS, ILOCOS NORTE</t>
  </si>
  <si>
    <t>ENVIRONMENTAL MANAGEMENT BUREAU, DENR-REGION X</t>
  </si>
  <si>
    <t>DEPARTMENT OF EDUCATION - DIVISION OF CADIZ CITY</t>
  </si>
  <si>
    <t>DEPARTMENT OF EDUCATION - DIVISION OF ORIENTAL MINDORO</t>
  </si>
  <si>
    <t>DAPITAN CITY WATER DISTRICT</t>
  </si>
  <si>
    <t>BARANGAY POLOT-AN, POTOTAN, ILOILO</t>
  </si>
  <si>
    <t>MUNICIPALITY OF GUINSILIBAN, CAMIGUIN</t>
  </si>
  <si>
    <t>PHILIPPINE RICE RESEARCH INSTITUTE - LOS BAÑOS BRANCH</t>
  </si>
  <si>
    <t>BALANGIGA NATIONAL AGRICULTURAL SCHOOL - TESDA</t>
  </si>
  <si>
    <t>CITY OF TUGUEGARAO, CAGAYAN</t>
  </si>
  <si>
    <t>CAUAYAN CITY WATER DISTRICT</t>
  </si>
  <si>
    <t>DEPARTMENT OF PUBLIC WORKS AND HIGHWAYS - CATANDUANES ED</t>
  </si>
  <si>
    <t>BARANGAY AMAMAROS, POTOTAN, ILOILO</t>
  </si>
  <si>
    <t>MUNICIPALITY OF CAGWAIT, SURIGAO DEL SUR</t>
  </si>
  <si>
    <t>BARANGAY TUBOD SAN JUAN SIQUIJOR</t>
  </si>
  <si>
    <t>CITY OF MUNTINLUPA</t>
  </si>
  <si>
    <t>MUNICIPALITY OF CAWAYAN, MASBATE</t>
  </si>
  <si>
    <t>BARANGAY CALLAN - POTOTAN, ILOILO</t>
  </si>
  <si>
    <t>MUNICIPALITY OF TUAO, CAGAYAN</t>
  </si>
  <si>
    <t>PROVINCE OF EASTERN SAMAR</t>
  </si>
  <si>
    <t>DEPARTMENT OF PUBLIC WORKS AND HIGHWAYS - BENGUET 2ND DEO</t>
  </si>
  <si>
    <t>CITY OF SURIGAO, SURIGAO DEL NORTE</t>
  </si>
  <si>
    <t>DEPARTMENT OF ENVIRONMENT AND NATURAL RES. - CENRO-APARRI</t>
  </si>
  <si>
    <t>CITY OF DIGOS, DAVAO DEL SUR</t>
  </si>
  <si>
    <t>MUNICIPALITY OF ROSALES, PANGASINAN</t>
  </si>
  <si>
    <t>MUNICIPALITY OF BABATNGON, LEYTE</t>
  </si>
  <si>
    <t>AMPARO HIGH SCHOOL</t>
  </si>
  <si>
    <t>CITY OF BAGUIO, BENGUET</t>
  </si>
  <si>
    <t>DEPARTMENT OF ENVIRONMENT AND NATURAL RES. - PENRO, ILOILO</t>
  </si>
  <si>
    <t>MUNICIPALITY OF LILOAN, SOUTHERN LEYTE</t>
  </si>
  <si>
    <t>NATIONAL PRINTING OFFICE</t>
  </si>
  <si>
    <t>MUNICIPALITY OF BUENAVISTA, BOHOL</t>
  </si>
  <si>
    <t>MUNICIPALITY OF STA. MARCELA, APAYAO</t>
  </si>
  <si>
    <t>CITY OF SAN FERNANDO, LA UNION</t>
  </si>
  <si>
    <t>DEPARTMENT OF ENVIRONMENT AND NATURAL RESOURCES - REGION IX</t>
  </si>
  <si>
    <t>MUNICIPALITY OF SAN JOSE, DINAGAT ISLANDS</t>
  </si>
  <si>
    <t>MUNICIPALITY OF PATNOÑGON, ANTIQUE</t>
  </si>
  <si>
    <t>NATIONAL IRRIGATION ADMINISTRATION - NIA MOMARO IMO</t>
  </si>
  <si>
    <t>MUNICIPALITY OF GUIMBA, NUEVA ECIJA</t>
  </si>
  <si>
    <t>PHILIPPINE CARABAO CENTER</t>
  </si>
  <si>
    <t>PLARIDEL WATER DISTRICT</t>
  </si>
  <si>
    <t>BARANGAY MAGYAPO, LAUA-AN, ANTIQUE</t>
  </si>
  <si>
    <t>BARANGAY GUADALUPE, RAPU-RAPU, ALBAY</t>
  </si>
  <si>
    <t>BOHOL ISLAND STATE UNIVERSITY - CALAPE</t>
  </si>
  <si>
    <t>HOME DEVELOPMENT MUTUAL FUND - REGION III</t>
  </si>
  <si>
    <t>BARANGAY TALAHIB, NAGCARLAN, LAGUNA</t>
  </si>
  <si>
    <t>CAMARINES SUR POLYTECHNIC COLLEGES - NABUA CAMPUS</t>
  </si>
  <si>
    <t>DEPARTMENT OF SCIENCE AND TECHNOLOGY</t>
  </si>
  <si>
    <t>MUNICIPALITY OF NATIVIDAD -  PANGASINAN</t>
  </si>
  <si>
    <t>CENTER FOR HEALTH DEVELOPMENT - REGION VI</t>
  </si>
  <si>
    <t>MUNICIPALITY OF TUKURAN, ZAMBOANGA DEL SUR</t>
  </si>
  <si>
    <t>DEPARTMENT OF PUBLIC WORKS AND HIGHWAYS - BUTUAN CITY DEO</t>
  </si>
  <si>
    <t>TECHNICAL EDUCATION &amp; SKILLS DEVELOPMENT AUTHORITY - MATI</t>
  </si>
  <si>
    <t>MUNICIPALITY OF BAKUN, BENGUET</t>
  </si>
  <si>
    <t>SURIGAO DEL SUR STATE UNIVERSITY</t>
  </si>
  <si>
    <t>NATIONAL TELECOMMUNICATIONS COMMISSION - REGION VII</t>
  </si>
  <si>
    <t>BARANGAY PAMBISAN MUNTI, PINAMALAYAN, ORIENTAL MINDORO</t>
  </si>
  <si>
    <t>DEPARTMENT OF PUBLIC WORKS AND HIGHWAYS - REGION VII</t>
  </si>
  <si>
    <t>CITY OF LEGAZPI, ALBAY</t>
  </si>
  <si>
    <t>CAMINAWIT NATIONAL HIGH SCHOOL</t>
  </si>
  <si>
    <t>PHILIPPINE HEART CENTER</t>
  </si>
  <si>
    <t>IPIL-TITAY WATER DISTRICT</t>
  </si>
  <si>
    <t>BARANGAY JAMABALUD, POTOTAN, ILOILO</t>
  </si>
  <si>
    <t>BARANGAY HOLY GHOST PROPER, BAGUIO CITY</t>
  </si>
  <si>
    <t>ADELA SERRA TY MEMORIAL MEDICAL CENTER</t>
  </si>
  <si>
    <t>DEPARTMENT OF PUBLIC WORKS AND HIGHWAYS - DAVAO ORIENTAL 2ND</t>
  </si>
  <si>
    <t>PROVINCE OF MAGUINDANAO</t>
  </si>
  <si>
    <t>MACTAN-CEBU INTERNATIONAL AIRPORT AUTHORITY</t>
  </si>
  <si>
    <t>SABLAYAN WATER DISTRICT</t>
  </si>
  <si>
    <t>MUNICIPALITY OF SUGBONGCOGON, MISAMIS ORIENTAL</t>
  </si>
  <si>
    <t>MUNICIPALITY OF ALCALA, PANGASINAN</t>
  </si>
  <si>
    <t>MUNICIPALITY OF PIÑAN, ZAMBOANGA DEL NORTE</t>
  </si>
  <si>
    <t>MUNICIPALITY OF STO. TOMAS, PAMPANGA</t>
  </si>
  <si>
    <t>MUNICIPALITY  OF MALASIQUI, PANGASINAN</t>
  </si>
  <si>
    <t>BUREAU OF FIRE PROTECTION - REGION I</t>
  </si>
  <si>
    <t>TECHNICAL EDUCATION &amp; SKILLS DEVELOPMENT AUTHORITY - BULACAN</t>
  </si>
  <si>
    <t>MUNICIPALITY OF VILLAVERDE, NUEVA VIZCAYA</t>
  </si>
  <si>
    <t>MUNICIPALITY OF TAGUDIN, ILOCOS SUR</t>
  </si>
  <si>
    <t>DEPARTMENT OF PUBLIC WORKS AND HIGHWAYS - NUEVA ECIJA 2ND DE</t>
  </si>
  <si>
    <t>MUNICIPALITY OF AGLIPAY, QUIRINO</t>
  </si>
  <si>
    <t>PHILIPPINE SCIENCE HIGH SCHOOL - REGION VI</t>
  </si>
  <si>
    <t>DEPARTMENT OF PUBLIC WORKS AND HIGHWAYS - ILOCOS SUR 2ND DEO</t>
  </si>
  <si>
    <t>PROVINCE OF OCCIDENTAL MINDORO</t>
  </si>
  <si>
    <t>MUNICIPALITY OF TAYSAN, BATANGAS</t>
  </si>
  <si>
    <t>BARANGAY BAGUMBAYAN, LAL-LO, CAGAYAN</t>
  </si>
  <si>
    <t>BUREAU OF JAIL MANAGEMENT AND PENOLOGY - REGION II</t>
  </si>
  <si>
    <t>TECHNICAL EDUCATION &amp; SKILLS DEVELOPMENT AUTHORITY - PANGASI</t>
  </si>
  <si>
    <t>NATIONAL ECONOMIC AND DEVELOPMENT AUTHORITY - REGION XII</t>
  </si>
  <si>
    <t>MUNICIPALITY OF ALICIA, BOHOL</t>
  </si>
  <si>
    <t>INTELLECTUAL PROPERTY OF THE PHILIPPINES - TAGUIG CITY</t>
  </si>
  <si>
    <t>MUNICIPALITY OF MALINAO, ALBAY</t>
  </si>
  <si>
    <t>NATIONAL POWER CORPORATION - SPUG VISAYAS</t>
  </si>
  <si>
    <t>BARANGAY LIBERTAD - TUNGAWAN ZAMBOANGA SIBUGAY</t>
  </si>
  <si>
    <t>BOHOL ISLAND STATE UNIVERSITY - BILAR</t>
  </si>
  <si>
    <t>BARANGAY PAPPAT - ANGADANAN ISABELA</t>
  </si>
  <si>
    <t>BUREAU OF CUSTOMS</t>
  </si>
  <si>
    <t>DINAS NATIONAL HIGH SCHOOL - SENIOR HIGH SCHOOL</t>
  </si>
  <si>
    <t>BARANGAY PUERTO BELLO, MERIDA LEYTE</t>
  </si>
  <si>
    <t>MUNICIPALITY OF SAMAL, BATAAN</t>
  </si>
  <si>
    <t>PHILIPPINE COAST GUARD</t>
  </si>
  <si>
    <t>TOURISM PROMOTIONS BOARD</t>
  </si>
  <si>
    <t>URDANETA CITY NATIONAL HIGH SCHOOL</t>
  </si>
  <si>
    <t>BATANGAS MEDICAL CENTER</t>
  </si>
  <si>
    <t>MUNICIPALITY OF AGOO, LA UNION</t>
  </si>
  <si>
    <t>MALAY WATER DISTRICT</t>
  </si>
  <si>
    <t>BARANGAY CATAGBACAN - SAN ANDRES CATANDUANES</t>
  </si>
  <si>
    <t>MUNICIPALITY OF PORAC, PAMPANGA</t>
  </si>
  <si>
    <t>CITY OF SILAY, NEGROS OCCIDENTAL</t>
  </si>
  <si>
    <t>BARANGAY LIGA IBAAN BATANGAS</t>
  </si>
  <si>
    <t>101ST CONTRACTING OFFICE, AFP PROCUREMENT SERVICE</t>
  </si>
  <si>
    <t>DEPARTMENT OF SOCIAL WELFARE AND DEVELOPMENT - CARAGA</t>
  </si>
  <si>
    <t>VISAYAS STATE UNIVERSITY - MAIN CAMPUS</t>
  </si>
  <si>
    <t>PHILIPPINE HEALTH INSURANCE CORPORATION - REGION VI</t>
  </si>
  <si>
    <t>BARANGAY GALICIA, RAPU-RAPU, ALBAY</t>
  </si>
  <si>
    <t>MUNICIPALITY OF LIAN, BATANGAS</t>
  </si>
  <si>
    <t>MUNICIPALITY OF MARCOS, ILOCOS NORTE</t>
  </si>
  <si>
    <t>BARANGAY CAMBONG LALLO CAGAYAN</t>
  </si>
  <si>
    <t>PROVINCE OF ROMBLON</t>
  </si>
  <si>
    <t>MUNICIPALITY OF ALCANTARA, CEBU</t>
  </si>
  <si>
    <t xml:space="preserve">BUREAU OF FISHERIES AND AQUATIC RESOURCES - REGION IV-B </t>
  </si>
  <si>
    <t>PHILIPPINE INSTITUTE OF VOLCANOLOGY AND SEISMOLOGY</t>
  </si>
  <si>
    <t>MUNICIPALITY OF CAUAYAN, NEGROS OCCIDENTAL</t>
  </si>
  <si>
    <t>PROVINCIAL GOVERNMENT OF CAMARINES SUR</t>
  </si>
  <si>
    <t>VETERANS REGIONAL HOSPITAL</t>
  </si>
  <si>
    <t>PHILIPPINE NORMAL UNIVERSITY-AGUSAN CAMPUS</t>
  </si>
  <si>
    <t>MUNICIPALITY OF NAGA, ZAMBOANGA SIBUGAY</t>
  </si>
  <si>
    <t>APO PRODUCTION UNIT, INC.</t>
  </si>
  <si>
    <t>NATIONAL IRRIGATION ADMINISTRATION - BANE-IMO</t>
  </si>
  <si>
    <t>MUNICIPALITY OF VALENCIA, NEGROS ORIENTAL</t>
  </si>
  <si>
    <t>CITY OF BAYAWAN, NEGROS ORIENTAL</t>
  </si>
  <si>
    <t>MUNICIPALITY OF CARMONA, CAVITE</t>
  </si>
  <si>
    <t>ASSOCIATION OF BARANGAY CAPTAINS - MINALABAC, CAMARINES SUR</t>
  </si>
  <si>
    <t>BARANGAY MINLASAG, SIBUTAD, ZAMBOANGA DEL NORTE</t>
  </si>
  <si>
    <t>MUNICIPALITY OF URBIZTONDO, PANGASINAN</t>
  </si>
  <si>
    <t>MUNICIPALITY OF HINDANG, LEYTE</t>
  </si>
  <si>
    <t>CITY OF KORONADAL, SOUTH COTABATO</t>
  </si>
  <si>
    <t>CITY OF DUMAGUETE, NEGROS ORIENTAL</t>
  </si>
  <si>
    <t>MALAYBALAY CITY WATER DISTRICT</t>
  </si>
  <si>
    <t>MUNICIPALITY OF QUINAPONDAN, EASTERN SAMAR</t>
  </si>
  <si>
    <t>BARANGAY LATAZON, LAUA-AN, ANTIQUE</t>
  </si>
  <si>
    <t>BARANGAY BUHATAN, RAPU-RAPU, ALBAY</t>
  </si>
  <si>
    <t>DEPARTMENT OF AGRARIAN REFORM - LAGUNA PROVINCIAL OFFICE</t>
  </si>
  <si>
    <t>LASAM INSTITUTE OF TECHNOLOGY</t>
  </si>
  <si>
    <t>DEPARTMENT OF PUBLIC WORKS AND HIGHWAYS - BUKIDNON 2ND DEO</t>
  </si>
  <si>
    <t>MUNICIPALITY OF MADRIDEJOS, CEBU</t>
  </si>
  <si>
    <t>BARANGAY GUIAMON, LAUA-AN, ANTIQUE</t>
  </si>
  <si>
    <t>MUNICIPALITY OF MERIDA, LEYTE</t>
  </si>
  <si>
    <t>PHILIPPINE STATISTICS AUTHORITY - CAVITE</t>
  </si>
  <si>
    <t>PHILIPPINE CHILDREN'S MEDICAL CENTER</t>
  </si>
  <si>
    <t>EASTERN VISAYAS STATE UNIVERSITY-ORMOC CITY CAMPUS</t>
  </si>
  <si>
    <t>MUNICIPALITY OF SANTA IGNACIA, TARLAC</t>
  </si>
  <si>
    <t>MUNICIPALITY OF AGUINALDO, IFUGAO</t>
  </si>
  <si>
    <t>SOCIAL SECURITY SYSTEM - WESTERN VISAYAS DIVISION 1</t>
  </si>
  <si>
    <t>BARANGAY POBLACION III, NAGCARLAN, LAGUNA</t>
  </si>
  <si>
    <t>CITY OF BAYBAY, LEYTE</t>
  </si>
  <si>
    <t>BARANGAY SINIPIAN, NAGCARLAN, LAGUNA</t>
  </si>
  <si>
    <t>BARANGAY ALIBUAG - SAN ANDRES, CATANDUANES</t>
  </si>
  <si>
    <t>DEPARTMENT OF PUBLIC WORKS AND HIGHWAYS - REGION II</t>
  </si>
  <si>
    <t>DEPARTMENT OF AGRARIAN REFORM - REGION V</t>
  </si>
  <si>
    <t>BARANGAY CABUNGAHAN - SAN ANDRES CATANDUANES</t>
  </si>
  <si>
    <t>MUNICIPALITY OF STA. LUCIA , ILOCOS SUR</t>
  </si>
  <si>
    <t>BARANGAY VILLAHERMOSA, RAPU-RAPU, ALBAY</t>
  </si>
  <si>
    <t>DEPARTMENT OF AGRICULTURE - REGION IV-A</t>
  </si>
  <si>
    <t>LIGA NG MGA BARANGAY BATO, LEYTE CHAPTER</t>
  </si>
  <si>
    <t>NATIONAL IRRIGATION ADMINISTRATION - SURIGAO SUR IMO</t>
  </si>
  <si>
    <t>MUNICIPALITY OF STA. ANA, CAGAYAN</t>
  </si>
  <si>
    <t>EASTERN PANGASINAN AGRICULTURAL COLLEGE</t>
  </si>
  <si>
    <t>BARANGAY MAYAO CROSSING, LUCENA CITY</t>
  </si>
  <si>
    <t>BUREAU OF FIRE PROTECTION - REGION IV-A (CALABARZON)</t>
  </si>
  <si>
    <t>PROVINCE OF DAVAO DEL SUR</t>
  </si>
  <si>
    <t>DAVAO DEL SUR STATE COLLEGE - DIGOS CITY DAVAO DEL SUR</t>
  </si>
  <si>
    <t>AURORA PACIFIC ECONOMIC ZONE AND FREEPORT AUTHORITY</t>
  </si>
  <si>
    <t>BENGUET STATE UNIVERSITY</t>
  </si>
  <si>
    <t>BARANGAY ALAWIHAO, DAET, CAMARINES NORTE</t>
  </si>
  <si>
    <t>DEPARTMENT OF EDUCATION - REGION XII</t>
  </si>
  <si>
    <t>PHILIPPINE INFORMATION AGENCY</t>
  </si>
  <si>
    <t>BARANGAY PINAGSAMA - TAGUIG CITY</t>
  </si>
  <si>
    <t>JOSE R. REYES MEMORIAL MEDICAL CENTER</t>
  </si>
  <si>
    <t>BARANGAY MAYNGAWAY - SAN ANDRES, CATANDUANES</t>
  </si>
  <si>
    <t>CITY OF CEBU, CEBU</t>
  </si>
  <si>
    <t>MUNICIPALITY OF BOMBON , CAMARINES SUR</t>
  </si>
  <si>
    <t>PHILIPPINE STATISTICS AUTHORITY - REGION XI</t>
  </si>
  <si>
    <t>MUNICIPALITY OF BACARRA, ILOCOS NORTE</t>
  </si>
  <si>
    <t>MUNICIPALITY OF SAPIAN, CAPIZ</t>
  </si>
  <si>
    <t>BARANGAY BATAN, RAPU-RAPU, ALBAY</t>
  </si>
  <si>
    <t>PHILIPPINE STATISTICS AUTHORITY - REGION XII</t>
  </si>
  <si>
    <t>MUNICIPALITY OF MAYANTOC, TARLAC</t>
  </si>
  <si>
    <t>BARANGAY UGONG, PASIG CITY</t>
  </si>
  <si>
    <t>MUNICIPALITY OF LA PAZ, AGUSAN DEL SUR</t>
  </si>
  <si>
    <t>DEPARTMENT OF EDUCATION - DIVISION OF DAVAO ORIENTAL</t>
  </si>
  <si>
    <t>DEPARTMENT OF AGRICULTURE - REGION IX</t>
  </si>
  <si>
    <t>PAG-IBIG FUND - REGION II</t>
  </si>
  <si>
    <t>MUNICIPALITY OF RAMON, ISABELA</t>
  </si>
  <si>
    <t>SAGAY WATER DISTRICT</t>
  </si>
  <si>
    <t>PHILIPPINE TEXTILE RESEARCH INSTITUTE</t>
  </si>
  <si>
    <t>MUNICIPALITY OF TUY, BATANGAS</t>
  </si>
  <si>
    <t>NATIONAL FOOD AUTHORITY - REGION I</t>
  </si>
  <si>
    <t>CITY OF TALISAY, NEGROS OCCIDENTAL</t>
  </si>
  <si>
    <t>CORAZON LOCSIN MONTELIBANO MEMORIAL REGIONAL HOSPITAL-DOH R6</t>
  </si>
  <si>
    <t>BARANGAY TIBACAN, LAUA-AN, ANTIQUE</t>
  </si>
  <si>
    <t>CARMONA WATER DISTRICT</t>
  </si>
  <si>
    <t>MUNICIPALITY OF PUGO, LA UNION</t>
  </si>
  <si>
    <t>BARANGAY LAMBONAO, MALITBOG, SOUTHERN LEYTE</t>
  </si>
  <si>
    <t>DEPARTMENT OF HEALTH - CHD, ZAMBOANGA PENINSULA</t>
  </si>
  <si>
    <t>MUNICIPALITY OF PINAMUNGAJAN, CEBU</t>
  </si>
  <si>
    <t>CITY OF ANTIPOLO, RIZAL</t>
  </si>
  <si>
    <t>ANTI-MONEY LAUNDERING COUNCIL</t>
  </si>
  <si>
    <t>DEPARTMENT OF ENVIRONMENT AND NATURAL RES. - REGION IV MIMAR</t>
  </si>
  <si>
    <t>NATIONAL IRRIGATION ADMINISTRATION - UPRIIS, DIVISION I</t>
  </si>
  <si>
    <t>METRO COTABATO WATER DISTRICT</t>
  </si>
  <si>
    <t>DEPARTMENT OF PUBLIC WORKS AND HIGHWAYS - MAIN</t>
  </si>
  <si>
    <t>PROVINCE OF NEGROS ORIENTAL</t>
  </si>
  <si>
    <t>MUNICIPALITY OF CABATUAN, ISABELA</t>
  </si>
  <si>
    <t>HANDUMANAN NATIONAL HIGH SCHOOL</t>
  </si>
  <si>
    <t>SUMALIG ELEMENTARY SCHOOL</t>
  </si>
  <si>
    <t>MUNICIPALITY OF MABINAY, NEGROS ORIENTAL</t>
  </si>
  <si>
    <t>MUNICIPALITY OF POLA, ORIENTAL MINDORO</t>
  </si>
  <si>
    <t>MUNICIPALITY OF ROSELLER T. LIM, ZAMBOANGA SIBUGAY</t>
  </si>
  <si>
    <t>BARANGAY BAGAOBAWAN, RAPU-RAPU, ALBAY</t>
  </si>
  <si>
    <t>PROVINCE OF LAGUNA</t>
  </si>
  <si>
    <t>SAN ANTONIO WATER DISTRICT</t>
  </si>
  <si>
    <t>AGRICULTURAL TRAINING INSTITUTE - REGION I</t>
  </si>
  <si>
    <t>BARANGAY TIGBAWAN II MALITBOG SOUTHERN LEYTE</t>
  </si>
  <si>
    <t>MUNICIPALITY OF BASISTA, PANGASINAN</t>
  </si>
  <si>
    <t>MUNICIPALITY OF CARCAR, CEBU</t>
  </si>
  <si>
    <t>DEPARTMENT OF PUBLIC WORKS AND HIGHWAYS - LOWER KALINGA DEO</t>
  </si>
  <si>
    <t>MUNICIPALITY OF SAN NARCISO, ZAMBALES</t>
  </si>
  <si>
    <t>MUNICIPALITY OF CANDONI, NEGROS OCCIDENTAL</t>
  </si>
  <si>
    <t>DEPARTMENT OF THE INTERIOR AND LOCAL GOVERNMENT - MAIN</t>
  </si>
  <si>
    <t>BASILAN GENERAL HOSPITAL</t>
  </si>
  <si>
    <t>AYUNGON WATER DISTRICT</t>
  </si>
  <si>
    <t>BARANGAY TULAY B, MARAGONDON CAVITE</t>
  </si>
  <si>
    <t>MUNICIPALITY OF BRAULIO DUJALI, DAVAO DEL NORTE</t>
  </si>
  <si>
    <t>DEPARTMENT OF PUBLIC WORKS AND HIGHWAYS - LAGUNA II DEO</t>
  </si>
  <si>
    <t>MUNICIPALITY OF NAGCARLAN, LAGUNA</t>
  </si>
  <si>
    <t>MUNICIPALITY OF POLANGUI, ALBAY</t>
  </si>
  <si>
    <t>SOCIAL SECURITY SYSTEM</t>
  </si>
  <si>
    <t>TAGUM WATER DISTRICT</t>
  </si>
  <si>
    <t>TESDA 4B MIMAROPA REGIONAL OFFICE</t>
  </si>
  <si>
    <t>BARANGAY SAN JOSE, MALITBOG SOUTHERN LEYTE</t>
  </si>
  <si>
    <t>MUNICIPALITY OF SUGPON, ILOCOS SUR</t>
  </si>
  <si>
    <t>104TH CONTRACTING OFFICE, AFP PROCUREMENT SERVICE</t>
  </si>
  <si>
    <t>DEPARTMENT OF HEALTH - SAN FERNANDO CITY PAMPANGA</t>
  </si>
  <si>
    <t>CITY OF TANAUAN, BATANGAS</t>
  </si>
  <si>
    <t>MUNICIPALITY OF BALER, AURORA</t>
  </si>
  <si>
    <t>MUNICIPALITY OF QUEZON, PALAWAN</t>
  </si>
  <si>
    <t>MUNICIPALITY OF STA. MONICA, SURIGAO DEL NORTE</t>
  </si>
  <si>
    <t>PROVINCE OF AGUSAN DEL NORTE</t>
  </si>
  <si>
    <t>DEPARTMENT OF ENVIRONMENT AND NATURAL RESOURCES  - REGION VI</t>
  </si>
  <si>
    <t>CITY  OF CAVITE</t>
  </si>
  <si>
    <t>CABADBARAN CITY NATIONAL HIGH SCHOOL</t>
  </si>
  <si>
    <t>PHILIPPINE PORTS AUTHORITY - MASBATE CITY MASBATE</t>
  </si>
  <si>
    <t>MARIVELES MENTAL WELLNESS AND GENERAL HOSPITAL</t>
  </si>
  <si>
    <t>MUNICIPALITY OF MAGSINGAL, ILOCOS SUR</t>
  </si>
  <si>
    <t>ANTONIO NATIONAL HIGH SCHOOL</t>
  </si>
  <si>
    <t>WESTERN VISAYAS MEDICAL CENTER</t>
  </si>
  <si>
    <t>DEPARTMENT OF EDUCATION - DIVISION OF MASBATE CITY</t>
  </si>
  <si>
    <t>PHILIPPINE STATISTICS AUTHORITY - REGION II</t>
  </si>
  <si>
    <t>MUNICIPALITY OF NAUJAN, ORIENTAL MINDORO</t>
  </si>
  <si>
    <t>CITY OF CABUYAO, LAGUNA</t>
  </si>
  <si>
    <t>BARANGAY KIWALO, DARAGA, ALBAY</t>
  </si>
  <si>
    <t>MUNICIPALITY OF BANGUI, ILOCOS NORTE</t>
  </si>
  <si>
    <t>RIZAL MEDICAL CENTER</t>
  </si>
  <si>
    <t>BOHOL ISLAND STATE UNIVERSITY - MAIN CAMPUS</t>
  </si>
  <si>
    <t>DEPARTMENT OF TRADE AND INDUSTRY - ILOCOS SUR</t>
  </si>
  <si>
    <t>NATIONAL FOOD AUTHORITY  - REGION XII</t>
  </si>
  <si>
    <t>RIZAL HIGH SCHOOL</t>
  </si>
  <si>
    <t>CITY OF ILIGAN, LANAO DEL NORTE</t>
  </si>
  <si>
    <t>REGION I MEDICAL CENTER</t>
  </si>
  <si>
    <t>BUREAU OF CORRECTIONS - SABLAYAN PRISON AND PENAL FARM</t>
  </si>
  <si>
    <t>MUNICIPALITY OF MARIVELES, BATAAN</t>
  </si>
  <si>
    <t>BARANGAY SAN JOSE, SAN JUAN, SOUTHERN LEYTE</t>
  </si>
  <si>
    <t>LAND TRANSPORTATION OFFICE - REGION IX</t>
  </si>
  <si>
    <t>AMANG RODRIGUEZ MEMORIAL MEDICAL CENTER</t>
  </si>
  <si>
    <t>ROMBLON NATIONAL INSTITUTE OF TECHNOLOGY</t>
  </si>
  <si>
    <t>LAND TRANSPORTATION FRANCHISING AND REGULATORY BOARD - REGIO</t>
  </si>
  <si>
    <t>NATIONAL FISHERIES RESEARCH &amp; DEVELOPMENT INSTITUTE</t>
  </si>
  <si>
    <t>DEPARTMENT OF ENERGY - MAIN</t>
  </si>
  <si>
    <t>NATIONAL IRRIGATION ADMINISTRATION - SARIS</t>
  </si>
  <si>
    <t>DEPARTMENT OF HEALTH - MAIN</t>
  </si>
  <si>
    <t>MUNICIPALITY OF PALOMPON, LEYTE</t>
  </si>
  <si>
    <t>DEPARTMENT OF  EDUCATION - DIVISION OF RIZAL</t>
  </si>
  <si>
    <t>UNIVERSITY OF THE PHILIPPINES - CEBU</t>
  </si>
  <si>
    <t>NAGPAYONG ELEMENTARY SCHOOL</t>
  </si>
  <si>
    <t>LABANGAN CENTRAL ELEMENTARY SCHOOL</t>
  </si>
  <si>
    <t>FR. GRATIAN MURRAY, AFSC INTEGRATED SCHOOL - BACOLOT CITY</t>
  </si>
  <si>
    <t>HOME DEVELOPMENT MUTUAL FUND - REGION I</t>
  </si>
  <si>
    <t>DEPARTMENT OF TOURISM</t>
  </si>
  <si>
    <t>MUNICIPALITY OF GANDARA, SAMAR</t>
  </si>
  <si>
    <t>DEPARTMENT OF PUBLIC WORKS AND HIGHWAYS - BAGUIO CITY DEO</t>
  </si>
  <si>
    <t>BARANGAY SAN VICENTE, GUMACA, QUEZON</t>
  </si>
  <si>
    <t>KAPITOLYO HIGH SCHOOL</t>
  </si>
  <si>
    <t>PROVINCE OF ZAMBALES</t>
  </si>
  <si>
    <t>DEPARTMENT OF TRADE AND INDUSTRY - REGION IV-A</t>
  </si>
  <si>
    <t>MUNICIPALITY OF AGUILAR, PANGASINAN</t>
  </si>
  <si>
    <t>BARANGAY LIBAY, SIBUTAD, ZAMBOANGA DEL NORTE</t>
  </si>
  <si>
    <t>INSTITUTE OF MOLECULAR BIOLOGY AND BIOTECHNOLOGY - UP</t>
  </si>
  <si>
    <t>PHILIPPINE NATIONAL OIL COMPANY - MAIN OFFICE</t>
  </si>
  <si>
    <t>BANGKO SENTRAL NG PILIPINAS</t>
  </si>
  <si>
    <t>NATIONAL HOUSING AUTHORITY - REGION XII</t>
  </si>
  <si>
    <t>DEPARTMENT OF EDUCATION - DIVISION OF CITY SCHOOLS, LAS PINA</t>
  </si>
  <si>
    <t>MORONG BATAAN WATER DISTRICT</t>
  </si>
  <si>
    <t>BARANGAY KATIMO, TAGKAWAYAN, QUEZON</t>
  </si>
  <si>
    <t>NATIONAL POWER CORPORATION</t>
  </si>
  <si>
    <t>HOME DEVELOPMENT MUTUAL FUND - MAKATI BRANCH</t>
  </si>
  <si>
    <t>MUNICIPALITY OF SULOP, DAVAO DEL SUR</t>
  </si>
  <si>
    <t>DEPARTMENT OF PUBLIC WORKS AND HIGHWAYS - QUEZON 1ST ED</t>
  </si>
  <si>
    <t>CIVIL AVIATION AUTHORITY OF THE PHILIPPINES</t>
  </si>
  <si>
    <t>JOSE M. CONSING MEMORIAL SCHOOL - ENRIQUE B. MAGALONA NEGROS</t>
  </si>
  <si>
    <t>LA UNION NATIONAL HIGH SCHOOL - CABADBARAN CITY AGUSAN DEL N</t>
  </si>
  <si>
    <t>SANTA ROSA ELEMENTARY SCHOOL CENTRAL 1</t>
  </si>
  <si>
    <t>STO. NIÑO NATIONAL HIGH SCHOOL</t>
  </si>
  <si>
    <t>DEPARTMENT OF HEALTH - CAR OFFICE</t>
  </si>
  <si>
    <t>DEPARTMENT OF PUBLIC WORKS AND HIGHWAYS - SULTAN KUDARAT 1ST</t>
  </si>
  <si>
    <t>BARANGAY TALIPAPA, QUEZON CITY</t>
  </si>
  <si>
    <t>TOLEDO NATIONAL HIGH SCHOOL - NABAS, AKLAN</t>
  </si>
  <si>
    <t>MUNICIPALITY OF BURGOS, LA UNION</t>
  </si>
  <si>
    <t>FOREST MANAGEMENT BUREAU ,DENR</t>
  </si>
  <si>
    <t>MUNICIPALITY OF BONGABON - NUEVA ECIJA</t>
  </si>
  <si>
    <t>UBALDE ELEMENTARY SCHOOL</t>
  </si>
  <si>
    <t>BARANGAY NORTH FUNDIDOR, ILOILO CITY</t>
  </si>
  <si>
    <t>MUNICIPALITY OF CUYAPO, NUEVA ECIJA</t>
  </si>
  <si>
    <t>POLOMOLOK WATER DISTRICT</t>
  </si>
  <si>
    <t>BARANGAY 581 ZONE 57 DISTRICT IV, MANILA</t>
  </si>
  <si>
    <t>BARANGAY CIUDAD REAL, SAN JOSE DEL MONTE CITY</t>
  </si>
  <si>
    <t>CALAMBA NATIONAL HIGH SCHOOL - CABADBARAN CITY AGUSAN DEL NO</t>
  </si>
  <si>
    <t>DEPARTMENT OF  EDUCATION - DIVISION OF SCIENCE CITY OF MUÑOZ</t>
  </si>
  <si>
    <t>NATIONAL DAIRY AUTHORITY</t>
  </si>
  <si>
    <t>BUHANGIN CENTRAL ELEMENTARY SCHOOL</t>
  </si>
  <si>
    <t>MUNICIPALITY OF STA. CATALINA, ILOCOS SUR</t>
  </si>
  <si>
    <t>BARANGAY TIBAG - CALAPAN, ORIENTAL MINDORO</t>
  </si>
  <si>
    <t>NATIONAL IRRIGATION ADMINISTRATION - IMO AGUSAN DEL SUR</t>
  </si>
  <si>
    <t>MUNICIPALITY OF MATNOG , SORSOGON</t>
  </si>
  <si>
    <t>MUNICIPALITY OF DARAGA, ALBAY</t>
  </si>
  <si>
    <t>BARANGAY MINUYAN V, SAN JOSE DEL MONTE CITY, BULACAN</t>
  </si>
  <si>
    <t>BARANGAY 726, ZONE 79, DISTRICT V, MANILA</t>
  </si>
  <si>
    <t>BAYABAS ELEMENTARY SCHOOL - CABADBARAN CITY AGUSAN DEL NORTE</t>
  </si>
  <si>
    <t>MUNICIPALITY OF ALAMADA, COTABATO</t>
  </si>
  <si>
    <t>PATRICIA HOMES ELEMENTARY SCHOOL BACOLOD CITY NEGROS OCCIDEN</t>
  </si>
  <si>
    <t>SIPOCOT NATIONAL HIGH SCHOOL</t>
  </si>
  <si>
    <t>PROVINCE OF COTABATO</t>
  </si>
  <si>
    <t>DEPARTMENT OF PUBLIC WORKS AND HIGHWAYS - BULACAN 1ST DEO</t>
  </si>
  <si>
    <t>BARANGAY PANGGALAAN - CALAPAN, ORIENTAL MINDORO</t>
  </si>
  <si>
    <t>DEPARTMENT OF PUBLIC WORKS AND HIGHWAYS - BUKIDNON 1ST DEO</t>
  </si>
  <si>
    <t>BARANGAY CAPIPISA, TANZA, CAVITE</t>
  </si>
  <si>
    <t>MINISTRY OF SOCIAL SERVICES, BARMM</t>
  </si>
  <si>
    <t>NATIONAL IRRIGATION ADMINISTRATION - SKIMO</t>
  </si>
  <si>
    <t>NAVAL INSTITUTE OF TECHNOLOGY</t>
  </si>
  <si>
    <t>PHILIPPINE COMPETITION COMMISSION</t>
  </si>
  <si>
    <t>MALINO NATIONAL HIGH SCHOOL</t>
  </si>
  <si>
    <t>JOSE R. TORRES ELEMENTARY SCHOOL - BACOLOD CITY NEGROS OCCID</t>
  </si>
  <si>
    <t>AGRICULTURAL TRAINING INSTITUTE - TRECE MARTIRES</t>
  </si>
  <si>
    <t>NATIONAL IRRIGATION ADMINISTRATION - REGION IV-B</t>
  </si>
  <si>
    <t>DEPARTMENT OF PUBLIC WORKS AND HIGHWAYS - SOUTH METRO MANILA</t>
  </si>
  <si>
    <t>BARANGAY 2 DAET CAMARINES NORTE</t>
  </si>
  <si>
    <t>BARANGAY 695 ZONE 75 DISTRICT V, MANILA</t>
  </si>
  <si>
    <t>BARANGAY CABUSAY, LABO, CAMARINES NORTE</t>
  </si>
  <si>
    <t>DEPARTMENT OF TRADE AND INDUSTRY - MAIN</t>
  </si>
  <si>
    <t>BARANGAY SAN JOAQUIN - CALBAYOG CITY SAMAR</t>
  </si>
  <si>
    <t>NATIONAL FOOD AUTHORITY - QUEZON PROVINCIAL OFFICE</t>
  </si>
  <si>
    <t>MINISTRY OF PUBLIC WORKS-BARMM</t>
  </si>
  <si>
    <t>BARANGAY UPPER BAGONG TUDELA, JOSEFINA, ZAMBOANGA DEL SUR</t>
  </si>
  <si>
    <t>MUNICIPALITY OF SABLAYAN, OCCIDENTAL MINDORO</t>
  </si>
  <si>
    <t>NATIONAL IRRIGATION ADMINISTRATION - REGION I</t>
  </si>
  <si>
    <t>PHILIPPINE HEALTH INSURANCE CORPORATION - ARMM</t>
  </si>
  <si>
    <t>PHILIPPINE RECLAMATION AUTHORITY</t>
  </si>
  <si>
    <t>DIOSDADO MACAPAGAL HIGH SCHOOL - ANGAT BULACAN</t>
  </si>
  <si>
    <t>BARANGAY TALAHIB PAYAPA, BATANGAS CITY, BATANGAS</t>
  </si>
  <si>
    <t>TRENTO NATIONAL HIGH SCHOOL</t>
  </si>
  <si>
    <t>PROVINCE OF NUEVA ECIJA</t>
  </si>
  <si>
    <t>AGRICULTURAL TRAINING INSTITUTE- REGIONAL TRAINING CENTER 6</t>
  </si>
  <si>
    <t>MUNICIPALITY OF ENRILE, CAGAYAN</t>
  </si>
  <si>
    <t>CITY OF CAGAYAN DE ORO, MISAMIS ORIENTAL</t>
  </si>
  <si>
    <t>MUNICIPALITY OF  DATU ABDULLAH SANGKI- MAGUINDANAO</t>
  </si>
  <si>
    <t>CITY OF TAGUM, DAVAO DEL NORTE</t>
  </si>
  <si>
    <t>IPIL NATIONAL HIGH SCHOOL</t>
  </si>
  <si>
    <t>DEPARTMENT OF THE INTERIOR AND LOCAL GOVERNMENT - RIV - B</t>
  </si>
  <si>
    <t>MUNICIPALITY OF MAGPET - NORTH COTABATO</t>
  </si>
  <si>
    <t>MUNICIPALITY OF MALITA, DAVAO OCCIDENTAL</t>
  </si>
  <si>
    <t>MUNICIPALITY OF ESTANCIA, ILOILO</t>
  </si>
  <si>
    <t>CITY OF KABANKALAN, NEGROS OCCIDENTAL</t>
  </si>
  <si>
    <t>MUNICIPALITY OF PINUKPUK, KALINGA</t>
  </si>
  <si>
    <t>MINES AND GEO-SCIENCES BUREAU - REGION X</t>
  </si>
  <si>
    <t>MUNICIPALITY OF TRENTO, AGUSAN DEL SUR</t>
  </si>
  <si>
    <t>DEPARTMENT OF PUBLIC WORKS AND HIGHWAYS - ALBAY 3RD DEO</t>
  </si>
  <si>
    <t>LAGUNA STATE POLYTECHNIC UNIVERSITY - STA. CRUZ CAMPUS</t>
  </si>
  <si>
    <t>PROVINCE OF SOUTHERN LEYTE</t>
  </si>
  <si>
    <t>MILUYA ELEMENTARY SCHOOL</t>
  </si>
  <si>
    <t>DEPARTMENT OF EDUCATION - SCHOOLS DIVISION OFFICE OF DAGUPAN</t>
  </si>
  <si>
    <t>BARANGAY SAN ESTEBAN IGUIG CAGAYAN</t>
  </si>
  <si>
    <t>BARANGAY SILANGAN II ROSARIO CAVITE</t>
  </si>
  <si>
    <t>MUNICIPALITY OF LAUA-AN, ANTIQUE</t>
  </si>
  <si>
    <t>BUREAU OF FISHERIES AND AQUATIC RESOURCES - REGION IV-A</t>
  </si>
  <si>
    <t>DEPARTMENT OF PUBLIC WORKS AND HIGHWAYS - REGION XIII (CARAG</t>
  </si>
  <si>
    <t>SAN JOSE NATIONAL HIGH SCHOOL - ANTIPOLO CITY</t>
  </si>
  <si>
    <t>PHILIPPINE DRUG ENFORCEMENT AGENCY</t>
  </si>
  <si>
    <t>MUNICIPALITY OF CUENCA, BATANGAS</t>
  </si>
  <si>
    <t>MUNICIPALITY OF SAN JUAN, ILOCOS SUR</t>
  </si>
  <si>
    <t>MUNICIPALITY OF DIMATALING, ZAMBOANGA DEL SUR</t>
  </si>
  <si>
    <t>BALINGASAG WATER DISTRICT</t>
  </si>
  <si>
    <t>CITY OF SAN CARLOS, NEGROS OCCIDENTAL</t>
  </si>
  <si>
    <t>PALOMPON INSTITUTE OF TECHNOLOGY - TABANGO CAMPUS</t>
  </si>
  <si>
    <t>ROXAS CITY GOVERNMENT</t>
  </si>
  <si>
    <t>BUREAU OF SOILS AND WATER MANAGEMENT</t>
  </si>
  <si>
    <t>SILAY CITY WATER DISTRICT</t>
  </si>
  <si>
    <t>PHILIPPINE CARABAO CENTER AT CENTRAL MINDANAO UNIVERSITY</t>
  </si>
  <si>
    <t xml:space="preserve">DON GENEROSO M. VILLANUEVA ELEMENTARY SCHOOL, LA CASTELLANA </t>
  </si>
  <si>
    <t>BARANGAY 46 NALBO, LAOAG CITY, ILOCOS NORTE</t>
  </si>
  <si>
    <t>METRO ROXAS WATER DISTRICT</t>
  </si>
  <si>
    <t>DEPARTMENT OF AGRICULTURE - REGION I</t>
  </si>
  <si>
    <t>MUNICIPALITY OF AMLAN, NEGROS ORIENTAL</t>
  </si>
  <si>
    <t xml:space="preserve">BARANAGAY CANDANA-AY </t>
  </si>
  <si>
    <t>BARANGAY MABASA,PATNONGON, ANTIQUE</t>
  </si>
  <si>
    <t>BONGABON NATIONAL HIGHSCHOOL</t>
  </si>
  <si>
    <t>RAGAY NATIONAL AGRICULTURAL AND FISHERIES SCHOOL</t>
  </si>
  <si>
    <t>MUNICIPALITY OF VILLAREAL, SAMAR</t>
  </si>
  <si>
    <t>IDIO BARANGAY COUNCIL</t>
  </si>
  <si>
    <t>BARANGAY TAM-IS - MAASIN CITY SOUTHERN LEYTE</t>
  </si>
  <si>
    <t>BARANGAY UDOC, LIBMANAN, CAMARINES SUR</t>
  </si>
  <si>
    <t>NAPINDAN INTEGRATED SCHOOL</t>
  </si>
  <si>
    <t xml:space="preserve">DEPARTMENT OF PUBLIC WORKS AND HIGHWAYS - CAMARINES SUR 1ST </t>
  </si>
  <si>
    <t>CANDELARIA WATER DISTRICT</t>
  </si>
  <si>
    <t>DEPARTMENT OF AGRARIAN REFORM - NEGROS OCCIDENTAL 2 (SOUTH)</t>
  </si>
  <si>
    <t>BENIGNO S. AQUINO NATIONAL HIGH SCHOOL</t>
  </si>
  <si>
    <t>DEVELOPMENT BANK OF THE PHILIPPINES - HEAD OFFICE</t>
  </si>
  <si>
    <t>PHILIPPINE NATIONAL RAILWAYS</t>
  </si>
  <si>
    <t>CITY OF DAVAO, DAVAO DEL SUR</t>
  </si>
  <si>
    <t>PHILIPPINE STATISTICS AUTHORITY - REGION XIII</t>
  </si>
  <si>
    <t>BAGAC WATER DISTRICT</t>
  </si>
  <si>
    <t>GUIMBA WATER DISTRICT</t>
  </si>
  <si>
    <t>DEPARTMENT OF PUBLIC WORKS AND HIGHWAYS - ISABELA 4TH DEO</t>
  </si>
  <si>
    <t>MUNICIPALITY OF LAAK, COMPOSTELA VALLEY</t>
  </si>
  <si>
    <t>AGRICULTURAL TRAINING INSTITUTE -REGIONAL TRAINING CENTER IX</t>
  </si>
  <si>
    <t>MUNICIPALITY OF MABITAC, LAGUNA</t>
  </si>
  <si>
    <t>MUNICIPALITY OF LOON, BOHOL</t>
  </si>
  <si>
    <t>DON JUAN DELA CRUZ CENTRAL ELEMENTARY SCHOOL</t>
  </si>
  <si>
    <t>DEPARTMENT OF AGRARIAN REFORM - CAMARINES SUR A</t>
  </si>
  <si>
    <t>BARANGAY BANGON, AROROY, MASBATE</t>
  </si>
  <si>
    <t>DEPARTMENT OF PUBLIC WORKS AND HIGHWAYS - SORSOGON 1ST DEO</t>
  </si>
  <si>
    <t>MUNICIPALITY OF LUCBAN, QUEZON</t>
  </si>
  <si>
    <t>MUNICIPALITY OF TUPI, SOUTH COTABATO</t>
  </si>
  <si>
    <t>MANILA INTERNATIONAL AIRPORT AUTHORITY</t>
  </si>
  <si>
    <t>BUREAU OF ANIMAL INDUSTRY, DA</t>
  </si>
  <si>
    <t>NATIONAL ECONOMIC AND DEVELOPMENT AUTHORITY - REGION I</t>
  </si>
  <si>
    <t>DEPARTMENT OF TOURISM - REGION V</t>
  </si>
  <si>
    <t>BARANGAY TUBURAN, BONTOC, SOUTHERN LEYTE</t>
  </si>
  <si>
    <t>MUNICIPALITY OF LA TRINIDAD, BENGUET</t>
  </si>
  <si>
    <t>BARANGAY SAN JOSE BACON -  BACON DISTRICT, SORSOGON CITY</t>
  </si>
  <si>
    <t>MUNICIPALITY OF PIDDIG, PIDDIG, ILOCOS NORTE</t>
  </si>
  <si>
    <t>CITY OF PALAYAN, NUEVA ECIJA</t>
  </si>
  <si>
    <t>DEPARTMENT OF LABOR AND EMPLOYMENT - REGION V</t>
  </si>
  <si>
    <t>105TH CONTRACTING OFFICE, AFP PROCUREMENT SERVICE</t>
  </si>
  <si>
    <t>BARANGAY PINEDA, PASIG CITY</t>
  </si>
  <si>
    <t>MUNICIPALITY OF SAN JUAN, SIQUIJOR</t>
  </si>
  <si>
    <t>MUNICIPALITY OF BALANGIGA, EASTERN SAMAR</t>
  </si>
  <si>
    <t>PHILIPPINE NATIONAL POLICE - CARAGA</t>
  </si>
  <si>
    <t>MUNICIPALITY OF LOBO, BATANGAS</t>
  </si>
  <si>
    <t>UNIVERSITY OF SOUTHEASTERN PHIL.  - TAGUM MABINI CAMPUS</t>
  </si>
  <si>
    <t>AGRICULTURAL TRAINING INSTITUTE</t>
  </si>
  <si>
    <t>CATALUNAN PEQUEÑO ELEMENTARY SCHOOL</t>
  </si>
  <si>
    <t>MUNICIPALITY OF SAN LUIS BATANGAS</t>
  </si>
  <si>
    <t>MUNICIPALITY OF SAN JULIAN, EASTERN SAMAR</t>
  </si>
  <si>
    <t>MUNICIPALITY OF AMULUNG, CAGAYAN</t>
  </si>
  <si>
    <t>110TH CONTRACTING OFFICE, AFP PROCUREMENT SERVICE</t>
  </si>
  <si>
    <t>CITY  OF CANLAON, NEGROS ORIENTAL</t>
  </si>
  <si>
    <t>MUNICIPALITY OF MATALAM, COTABATO</t>
  </si>
  <si>
    <t>BUREAU OF INTERNAL REVENUE - REVENUE REGION NO. 11</t>
  </si>
  <si>
    <t>MINDANAO STATE UNIVERSITY - NAAWAN</t>
  </si>
  <si>
    <t>EASTERN SAMAR STATE UNIVERSITY - BORONGAN CITY</t>
  </si>
  <si>
    <t>SUPREME COURT OF THE PHILIPPINES</t>
  </si>
  <si>
    <t>DAVAO CITY NATIONAL HIGH SCHOOL</t>
  </si>
  <si>
    <t>MUNICIPALITY OF GUINAYANGAN, QUEZON</t>
  </si>
  <si>
    <t>BUREAU OF FISHERIES AND AQUATIC RESOURCES</t>
  </si>
  <si>
    <t>LIGA NG MGA BARANGAY, SAN LUIS, BATANGAS</t>
  </si>
  <si>
    <t>MUNICIPALITY OF LEGANES, ILOILO</t>
  </si>
  <si>
    <t>CAVITE STATE UNIVERSITY</t>
  </si>
  <si>
    <t>BARANGAY DALLAG, ARAKAN, COTABATO</t>
  </si>
  <si>
    <t>DEPARTMENT OF PUBLIC WORKS AND HIGHWAYS - ZAMBOANGA DEL NORT</t>
  </si>
  <si>
    <t>MUNICIPALITY OF BAYOMBONG - NUEVA VISCAYA</t>
  </si>
  <si>
    <t>DEPARTMENT OF PUBLIC WORKS AND HIGHWAYS - DAVAO CITY II DEO</t>
  </si>
  <si>
    <t>LAND TRANSPORTATION OFFICE - NCR</t>
  </si>
  <si>
    <t>MUNICIPALITY OF BULA, CAMARINES SUR</t>
  </si>
  <si>
    <t>BARANGAY KAUSWAGAN, MALITBOG, SOUTHERN LEYTE</t>
  </si>
  <si>
    <t>BARANGAY KABALABTIAN - ARAKAN COTABATO</t>
  </si>
  <si>
    <t>MUNICIPALITY OF JASAAN , MISAMIS ORIENTAL</t>
  </si>
  <si>
    <t>MUNICIPALITY OF MANGALDAN, PANGASINAN</t>
  </si>
  <si>
    <t>MUNICIPALITY OF BATARAZA</t>
  </si>
  <si>
    <t>MAA NATIONAL HIGH SCHOOL - DAVAO CITY DAVAO DEL SUR</t>
  </si>
  <si>
    <t>MUNICIPALITY OF NEW LUCENA, ILOILO</t>
  </si>
  <si>
    <t>MUNICIPALITY OF CORTES, SURIGAO DEL SUR</t>
  </si>
  <si>
    <t>MUNICIPALITY OF DANGLAS, ABRA</t>
  </si>
  <si>
    <t>BANGKAL HIGH SCHOOL</t>
  </si>
  <si>
    <t>PANGASINAN STATE UNIVERSITY - MAIN</t>
  </si>
  <si>
    <t>MUNICIPALITY OF MONREAL, MASBATE</t>
  </si>
  <si>
    <t>MEXICO NATIONAL HIGH SCHOOL</t>
  </si>
  <si>
    <t>MINDANAO STATE UNIVERSITY - TAWI-TAWI</t>
  </si>
  <si>
    <t>CITY  OF LA CARLOTA, NEGROS OCCIDENTAL</t>
  </si>
  <si>
    <t>MUNICIPALITY OF WAO, LANAO DEL SUR</t>
  </si>
  <si>
    <t>MUNICIPALITY OF MIDSALIP, ZAMBOANGA DEL SUR</t>
  </si>
  <si>
    <t>BARANGAY ELICIA LA LIBERTAD NEGROS ORIENTAL</t>
  </si>
  <si>
    <t>BARANGAY POBLACION, ALCALA, PANGASINAN</t>
  </si>
  <si>
    <t>BARANGAY  ALLAB - ARAKAN COTABATO</t>
  </si>
  <si>
    <t>IBA INTEGRATED SCHOOL</t>
  </si>
  <si>
    <t>MUNICIPALITY OF IPIL, ZAMBOANGA SIBUGAY</t>
  </si>
  <si>
    <t>MUNICIPALITY OF BARLIG MOUNTAIN PROVINCE</t>
  </si>
  <si>
    <t>MUNICIPALITY OF DIMIAO, BOHOL</t>
  </si>
  <si>
    <t>NATIONAL BUREAU OF INVESTIGATION</t>
  </si>
  <si>
    <t>MUNICIPALITY OF LOBOC, BOHOL</t>
  </si>
  <si>
    <t>BARANGAY  ANAPOLON ARAKAN COTABATO</t>
  </si>
  <si>
    <t>MUNICIPALITY OF AMBAGUIO, NUEVA VIZCAYA</t>
  </si>
  <si>
    <t>CITY OF VIGAN, ILOCOS SUR</t>
  </si>
  <si>
    <t>DIGOS WATER DISTRICT</t>
  </si>
  <si>
    <t>PROVINCE OF COMPOSTELA VALLEY</t>
  </si>
  <si>
    <t>BANGKO SENTRAL NG PILIPINAS- LA UNION REGIONAL OFFICE</t>
  </si>
  <si>
    <t>DEPARTMENT OF PUBLIC WORKS AND HIGHWAYS - AURORA DEO</t>
  </si>
  <si>
    <t>ZAMBOANGA DEL SUR NATIONAL HIGH SCHOOL</t>
  </si>
  <si>
    <t>MUNICIPALITY OF CALINOG, ILOILO</t>
  </si>
  <si>
    <t>MUNICIPALITY OF HINIGARAN, NEGROS OCCIDENTAL</t>
  </si>
  <si>
    <t>NATIONAL CENTER FOR MENTAL HEALTH</t>
  </si>
  <si>
    <t>BARANGAY MEOCAN ARAKAN COTABATO</t>
  </si>
  <si>
    <t>CITY GOVERNMENT OF LUCENA</t>
  </si>
  <si>
    <t>DR. JOSE FABELLA MEMORIAL HOSPITAL</t>
  </si>
  <si>
    <t>DEPARTMENT OF SOCIAL WELFARE AND DEVELOPMENT - REGION IX</t>
  </si>
  <si>
    <t>DEPARTMENT OF ENVIRONMENT AND NATURAL RES. - PENRO, PALAWAN</t>
  </si>
  <si>
    <t>MUNICIPALITY OF RIZAL, ZAMBOANGA DEL NORTE</t>
  </si>
  <si>
    <t>MUNICIPALITY OF INITAO, MISAMIS ORIENTAL</t>
  </si>
  <si>
    <t>BUREAU OF FISHERIES AND AQUATIC RESOURCES 9</t>
  </si>
  <si>
    <t>DEPARTMENT OF PUBLIC WORKS AND HIGHWAYS - LEYTE 2ND DEO</t>
  </si>
  <si>
    <t>BARANGAY TALISAYAN, ANINI-Y, ANTIQUE</t>
  </si>
  <si>
    <t>DEPARTMENT OF ENVIRONMENT AND NATURAL RESOURCES - REGION V</t>
  </si>
  <si>
    <t>BARANGAY NAPALICO - ARAKAN COTABATO</t>
  </si>
  <si>
    <t>DEPARTMENT OF EDUCATION - DIVISION OF ILOCOS SUR</t>
  </si>
  <si>
    <t>MUNICIPALITY OF CALAMBA, MISAMIS OCCIDENTAL</t>
  </si>
  <si>
    <t>LA CASTELLANA ELEMENTARY SCHOOL</t>
  </si>
  <si>
    <t>LAND TRANSPORTATION FRANCHISING REGULATORY BOARD-NCR</t>
  </si>
  <si>
    <t>PHILIPPINE PUBLIC SAFETY COLLEGE</t>
  </si>
  <si>
    <t>DEPARTMENT OF HUMAN SETTLEMENT AND URBAN DEVELOPMENT - QUEZO</t>
  </si>
  <si>
    <t>MUNICIPALITY OF SINDANGAN, ZAMBOANGA DEL NORTE</t>
  </si>
  <si>
    <t>CIVIL AVIATION AUTHORITY OF THE PHILIPPINES - SILAY AIRPORT</t>
  </si>
  <si>
    <t>MUNICIPALITY OF ALLEN, NORTHERN SAMAR</t>
  </si>
  <si>
    <t>BARANGAY BALOGO, OAS, ALBAY</t>
  </si>
  <si>
    <t>MUNICIPALITY OF PAYAO, ZAMBOANGA SIBUGAY</t>
  </si>
  <si>
    <t>BARANGAY AMOT, BURDEOS, QUEZON</t>
  </si>
  <si>
    <t>MUNICIPALITY OF PLARIDEL, MISAMIS OCCIDENTAL</t>
  </si>
  <si>
    <t>PHILIPPINE NATIONAL POLICE</t>
  </si>
  <si>
    <t>KRUS NA LIGAS ELEMENTARY SCHOOL</t>
  </si>
  <si>
    <t>MUNICIPALITY OF PURA, TARLAC</t>
  </si>
  <si>
    <t>DEPARTMENT OF SOCIAL WELFARE AND DEVELOPMENT - CAR</t>
  </si>
  <si>
    <t>CITY OF TAGAYTAY, CAVITE</t>
  </si>
  <si>
    <t>MUNICIPALITY OF CALASIAO, PANGASINAN</t>
  </si>
  <si>
    <t>MUNICIPALITY OF SUMILAO, BUKIDNON</t>
  </si>
  <si>
    <t>BARANGAY 24, STA. MONICA,SAN NICOLAS, ILOCOS NORTE</t>
  </si>
  <si>
    <t>METROPOLITAN TUGUEGARAO WATER DISTRICT</t>
  </si>
  <si>
    <t>BARANGAY ALALASAN, LAPUZ, ILOILO CITY</t>
  </si>
  <si>
    <t>MUNICIPALITY OF VICTORIA, TARLAC</t>
  </si>
  <si>
    <t>MUNICIPALITY OF LICUAN-BAAY, ABRA</t>
  </si>
  <si>
    <t>FORTUNATO F. HALILI NATIONAL AGRICULTURAL SCHOOL</t>
  </si>
  <si>
    <t>MUNICIPALITY OF MONKAYO, COMPOSTELA VALLEY</t>
  </si>
  <si>
    <t xml:space="preserve">DEPARTMENT OF PUBLIC WORKS AND HIGHWAYS - ZAMBOANGA SIBUGAY </t>
  </si>
  <si>
    <t>MUNICIPALITY OF MATANAO, DAVAO DEL SUR</t>
  </si>
  <si>
    <t>DEPARTMENT OF EDUCATION DIVISION OF DAVAO OCCIDENTAL</t>
  </si>
  <si>
    <t>103RD CONTRACTING OFFICE, AFP PROCUREMENT SERVICE</t>
  </si>
  <si>
    <t>BAGBAG ELEMENTARY SCHOOL</t>
  </si>
  <si>
    <t>DEPARTMENT OF PUBLIC WORKS AND HIGHWAYS - ISABELA 1ST DEO</t>
  </si>
  <si>
    <t>DEPARTMENT OF AGRICULTURE - CARAGA</t>
  </si>
  <si>
    <t>LIGA NG MGA BARANGAY, NATIVIDAD CHAPTER</t>
  </si>
  <si>
    <t>CITY OF PASIG</t>
  </si>
  <si>
    <t>MUNICIPALITY OF DUMANJUG, CEBU</t>
  </si>
  <si>
    <t>CITY OF PASSI, ILOILO</t>
  </si>
  <si>
    <t>CITY OF TACLOBAN, LEYTE</t>
  </si>
  <si>
    <t>BARANGAY POBLACION, BAYUGAN, AGUSAN DEL SUR</t>
  </si>
  <si>
    <t>DAVAO ORIENTAL STATE COLLEGE OF  SCIENCE AND  TECHNOLOGY</t>
  </si>
  <si>
    <t>COMMISSION ON HUMAN RIGHTS</t>
  </si>
  <si>
    <t>BANGKO SENTRAL NG PILIPINAS - BUTUAN BRANCH</t>
  </si>
  <si>
    <t>PALAWAN STATE UNIVERSITY</t>
  </si>
  <si>
    <t>SURIGAO STATE COLLEGE OF TECHNOLOGY</t>
  </si>
  <si>
    <t>MUNICIPALITY OF BARUGO, LEYTE</t>
  </si>
  <si>
    <t>MUNICIPALITY OF SAN JUAN, BATANGAS</t>
  </si>
  <si>
    <t>PROVINCE OF SOUTH COTABATO</t>
  </si>
  <si>
    <t>AGRICULTURAL TRAINING INSTITUTE - CARAGA REGION</t>
  </si>
  <si>
    <t>GUISAD VALLEY NATIONAL HIGH SCHOOL</t>
  </si>
  <si>
    <t>MUNICIPALITY OF MALIBCONG, ABRA</t>
  </si>
  <si>
    <t>CAGAYAN STATE UNIVERSITY - TUGUEGARAO CITY CAGAYAN</t>
  </si>
  <si>
    <t>MUNICIPALITY OF SANTOL, LA UNION</t>
  </si>
  <si>
    <t>BARANGAY LAMAK, HILONGOS, LEYTE</t>
  </si>
  <si>
    <t>MUNICIPALITY OF QUEZON, NUEVA VIZCAYA</t>
  </si>
  <si>
    <t>DAVAO CITY WATER DISTRICT</t>
  </si>
  <si>
    <t>MUNICIPALITY OF LLORENTE, EASTERN SAMAR</t>
  </si>
  <si>
    <t>MUNICIPALITY OF DUPAX DEL SUR, NUEVA VIZCAYA</t>
  </si>
  <si>
    <t>MUNICIPALITY OF TALAKAG, BUKIDNON</t>
  </si>
  <si>
    <t>FERTILIZER AND PESTICIDE AUTHORITY - QUEZON CITY METRO MANIL</t>
  </si>
  <si>
    <t>BARANGAY SAN PEDRO, SAN QUINTIN, PANGASINAN</t>
  </si>
  <si>
    <t>BARANGAY SUMALILI - ARAKAN COTABATO</t>
  </si>
  <si>
    <t>BUREAU OF THE TREASURY</t>
  </si>
  <si>
    <t>BUREAU OF AGRICULTURAL RESEARCH</t>
  </si>
  <si>
    <t>ASUNCION L. LIZARES ELEMENTARY SCHOOL</t>
  </si>
  <si>
    <t>MUNICIPALITY OF BADIAN, CEBU</t>
  </si>
  <si>
    <t>407TH CONTRACTING OFFICE, AFP PROCUREMENT SERVICE</t>
  </si>
  <si>
    <t>DEPARTMENT OF AGRICULTURE - CARFU</t>
  </si>
  <si>
    <t>ZAMBOANGA CITY MEDICAL CENTER</t>
  </si>
  <si>
    <t>BARANGAY 09 POBLACION, CATBALOGAN CITY</t>
  </si>
  <si>
    <t>MUNICIPALITY OF BULAN, SORSOGON</t>
  </si>
  <si>
    <t>DUTY FREE PHILIPPINES CORPORATION</t>
  </si>
  <si>
    <t>BARANGAY TAGAYTAY HILL - JOSEFINA, ZAMBOANGA DEL SUR</t>
  </si>
  <si>
    <t>MARIANO MARCOS MEMORIAL HOSPITAL AND MEDICAL CENTER</t>
  </si>
  <si>
    <t>MUNICIPALITY OF MONTEVISTA, COMPOSTELA VALLEY</t>
  </si>
  <si>
    <t>OLONGAPO CITY NATIONAL HIGH SCHOOL</t>
  </si>
  <si>
    <t>MUNICIPALITY OF ALORAN, MISAMIS OCCIDENTAL</t>
  </si>
  <si>
    <t>MANGATAREM NATIONAL HIGH SCHOOL</t>
  </si>
  <si>
    <t>MINES AND GEO-SCIENCES BUREAU</t>
  </si>
  <si>
    <t>CITY OF QUEZON</t>
  </si>
  <si>
    <t>DEPARTMENT OF EDUCATION - BISLIG CITY DIVISION</t>
  </si>
  <si>
    <t>MUNICIPALITY OF MAGSAYSAY, MISAMIS ORIENTAL</t>
  </si>
  <si>
    <t>ZAMBOANGA CITY STATE POLYTECHNIC COLLEGE</t>
  </si>
  <si>
    <t>MUNICIPALITY OF GUIMBAL, ILOILO</t>
  </si>
  <si>
    <t>MUNICIPALITY OF ALANGALANG, LEYTE</t>
  </si>
  <si>
    <t>SANTA ROSA ELEMENTARY SCHOOL CENTRAL 3(SSES)</t>
  </si>
  <si>
    <t>MUNICIPALITY OF MAGSAYSAY, OCCIDENTAL MINDORO</t>
  </si>
  <si>
    <t>BUNGGO NATIONAL HIGH SCHOOL</t>
  </si>
  <si>
    <t>107TH CONTRACTING OFFICE, AFP PROCUREMENT SERVICE</t>
  </si>
  <si>
    <t>MUNICIPALITY OF ARAKAN, COTABATO</t>
  </si>
  <si>
    <t>MUNICIPALITY OF TABOGON, CEBU</t>
  </si>
  <si>
    <t>CITY OF BAIS, NEGROS ORIENTAL</t>
  </si>
  <si>
    <t>MUNICIPALITY OF CAN-AVID, EASTERN SAMAR</t>
  </si>
  <si>
    <t>MUNICIPALITY OF GARCIA-HERNANDEZ, BOHOL</t>
  </si>
  <si>
    <t>BARANGAY CABUGAO SUR, PAVIA, ILOILO</t>
  </si>
  <si>
    <t>DEPARTMENT OF AGRARIAN REFORM PROVINCIAL OFFICE, COTABATO</t>
  </si>
  <si>
    <t>PROVINCE OF ZAMBOANGA DEL SUR</t>
  </si>
  <si>
    <t>BARANGAY SAGRADA FAMILIA - TAMBULIG ZAMBOANGA DEL SUR</t>
  </si>
  <si>
    <t>MUNICIPALITY OF VERUELA, AGUSAN DEL SUR</t>
  </si>
  <si>
    <t>NAGA CITY SCHOOL OF ARTS AND TRADES</t>
  </si>
  <si>
    <t>MUNICIPALITY OF KATIPUNAN, ZAMBOANGA DEL NORTE</t>
  </si>
  <si>
    <t>NATIONAL IRRIGATION ADMINISTRATION - KALINGA IRRIGATION MANA</t>
  </si>
  <si>
    <t>MUNICIPALITY OF ROSARIO, CAVITE</t>
  </si>
  <si>
    <t>NATIONAL IRRIGATION ADMINISTRATION - DAVAO ORIENTAL</t>
  </si>
  <si>
    <t>CITY OF GINGOOG, MISAMIS ORIENTAL</t>
  </si>
  <si>
    <t>MUNICIPALITY OF DON SALVADOR BENEDICTO, NEGROS OCCIDENTAL</t>
  </si>
  <si>
    <t>BARANGAY LEMU NORTE</t>
  </si>
  <si>
    <t>MUNICIPALITY OF LUBUAGAN, KALINGA</t>
  </si>
  <si>
    <t>MUNICIPALITY OF TUNGA, LEYTE</t>
  </si>
  <si>
    <t>BACOLOD CITY NATIONAL HIGH SCHOOL</t>
  </si>
  <si>
    <t>MUNICIPALITY OF SABTANG, BATANES</t>
  </si>
  <si>
    <t>MUNICIPALITY OF PANGIL, LAGUNA</t>
  </si>
  <si>
    <t>MUNICIPALITY OF SEN. NINOY AQUINO, SULTAN KUDARAT</t>
  </si>
  <si>
    <t>CITY OF SIPALAY, NEGROS OCCIDENTAL</t>
  </si>
  <si>
    <t>DEPARTMENT OF PUBLIC WORKS AND HIGHWAYS - AKLAN DEO</t>
  </si>
  <si>
    <t>ENVIRONMENTAL MANAGEMENT BUREAU - REGION - LA UNION</t>
  </si>
  <si>
    <t>CITY OF ALAMINOS, PANGASINAN</t>
  </si>
  <si>
    <t>DEPARTMENT OF LABOR AND EMPLOYMENT - NCR</t>
  </si>
  <si>
    <t>CITY OF DAPITAN</t>
  </si>
  <si>
    <t>BAGONG BARRIO NATIONAL HIGH SCHOOL</t>
  </si>
  <si>
    <t>BATAAN PENINSULA STATE UNIVERSITY</t>
  </si>
  <si>
    <t>BARANGAY STA. RITA, CALAPAN, ORIENTAL MINDORO</t>
  </si>
  <si>
    <t>UPIAN ELEMENTARY SCHOOL</t>
  </si>
  <si>
    <t>SINALHAN ELEMENTARY SCHOOL</t>
  </si>
  <si>
    <t>MUNICIPALITY OF BINGAWAN, ILOILO</t>
  </si>
  <si>
    <t>BAGUIO CITY NATIONAL HIGH SCHOOL</t>
  </si>
  <si>
    <t>DEPARTMENT OF ENVIRONMENT AND NATURAL RES. - PENRO, LUCENA</t>
  </si>
  <si>
    <t>BARANGAY STA. MONICA, PUERTO PRINCESA CITY, PALAWAN</t>
  </si>
  <si>
    <t>BARANGAY SANTOLAN, PASIG CITY</t>
  </si>
  <si>
    <t>BARANGAY GOLDEN, MAPANDAN, PANGASINAN</t>
  </si>
  <si>
    <t>PNOC EXPLORATION CORPORATION - TAGUIG CITY</t>
  </si>
  <si>
    <t>DEPARTMENT OF EDUCATION - DIVISION OF AGUSAN DEL SUR</t>
  </si>
  <si>
    <t>MUNICIPALITY OF MAASIN, ILOILO</t>
  </si>
  <si>
    <t>DEPARTMENT OF PUBLIC WORKS AND HIGHWAYS - ILOILO 1ST DEO</t>
  </si>
  <si>
    <t>MUNICIPALITY OF MAGALLANES, CAVITE</t>
  </si>
  <si>
    <t>DEPARTMENT OF PUBLIC WORKS AND HIGHWAYS - CEBU 6TH DEO</t>
  </si>
  <si>
    <t>DEPARTMENT OF INFORMATION AND COMMUNICATIONS TECHNOLOGY</t>
  </si>
  <si>
    <t>COMAGASCAS ELEMENTARY SCHOOL - CABADBARAN CITY AGUSAN DEL NO</t>
  </si>
  <si>
    <t>MUNICIPALITY OF LIMAY, BATAAN</t>
  </si>
  <si>
    <t>PARTIDO STATE UNIVERSITY - GOA CAMPUS</t>
  </si>
  <si>
    <t>MUNICIPALITY OF VILLAVICIOSA, ABRA</t>
  </si>
  <si>
    <t>PROVINCE OF QUIRINO</t>
  </si>
  <si>
    <t>BARANGAY DAGATAN - AMADEO CAVITE</t>
  </si>
  <si>
    <t>F. BANGOY NATIONAL HIGH SCHOOL</t>
  </si>
  <si>
    <t>BARANGAY SAN BLAS, PAOAY ILOCOS NORTE</t>
  </si>
  <si>
    <t>MUNICIPALITY OF LAKE WOOD, ZAMBOANGA DEL SUR</t>
  </si>
  <si>
    <t>MUNICIPALITY OF PADADA, DAVAO DEL SUR</t>
  </si>
  <si>
    <t>BAGUIO GENERAL HOSPITAL AND MEDICAL CENTER</t>
  </si>
  <si>
    <t>UNIVERSITY OF ANTIQUE</t>
  </si>
  <si>
    <t>AKLAN STATE UNIVERSITY - BANGA CAMPUS</t>
  </si>
  <si>
    <t>MUNICIPALITY OF TINAMBAC, CAMARINES SUR</t>
  </si>
  <si>
    <t>MUNICIPALITY OF PINTUYAN, SOUTHERN LEYTE</t>
  </si>
  <si>
    <t>FIBER INDUSTRY DEVELOPMENT AUTHORITY - REGION V</t>
  </si>
  <si>
    <t>DAGUPAN CITY NATIONAL HIGH SCHOOL</t>
  </si>
  <si>
    <t>MUNICIPALITY OF VALENCIA, BOHOL</t>
  </si>
  <si>
    <t>PUNTA NATIONAL HIGH SCHOOL</t>
  </si>
  <si>
    <t>MUNICIPALITY OF BURGOS, ISABELA</t>
  </si>
  <si>
    <t>PHILIPPINE AMUSEMENT AND GAMING CORPORATION - ILOCOS NORTE</t>
  </si>
  <si>
    <t>AGRICULTURAL TRAINING INSTITUTE - LIPA CITY</t>
  </si>
  <si>
    <t>BARANGAY STA. CRUZ, PASIG CITY</t>
  </si>
  <si>
    <t>DEPARTMENT OF INFORMATION AND COMMUNICATIONS TECHNOLOGY REGI</t>
  </si>
  <si>
    <t>MUNICIPALITY OF BALENO, MASBATE</t>
  </si>
  <si>
    <t>PROVINCE OF IFUGAO</t>
  </si>
  <si>
    <t>NATIONAL IRRIGATION ADMINISTRATION - REGION IX</t>
  </si>
  <si>
    <t>BOGO WATER DISTRICT</t>
  </si>
  <si>
    <t>CABADBARAN SOUTH CENTRAL ELEMENTARY SCHOOL - CABADBARAN CITY</t>
  </si>
  <si>
    <t>MUNICIPALITY OF VINZONS, CAMARINES NORTE</t>
  </si>
  <si>
    <t>BARANGAY TALUYA, GLAN, SARANGANI</t>
  </si>
  <si>
    <t>ISABELA REHABILITATION CENTER</t>
  </si>
  <si>
    <t>DEPARTMENT OF EDUCATION - DIVISION OF ILIGAN CITY</t>
  </si>
  <si>
    <t>MANOLO FORTICH WATER DISTRICT</t>
  </si>
  <si>
    <t>BARANGAY SAN JOAQUIN, PASIG CITY</t>
  </si>
  <si>
    <t>OROQUIETA AGRO-INDUSTRIAL SCHOOL</t>
  </si>
  <si>
    <t>BANSALAN WATER DISTRICT</t>
  </si>
  <si>
    <t>TALAVERA WATER DISTRICT</t>
  </si>
  <si>
    <t>BARANGAY FUNDADO, CAMARINES NORTE</t>
  </si>
  <si>
    <t>BARANGAY BAG-ONG KAUSWAGAN - TAMBULIG, ZAMBOANGA DEL SUR</t>
  </si>
  <si>
    <t>MUNICIPALITY OF DOÑA REMEDIOS TRINIDAD, BULACAN</t>
  </si>
  <si>
    <t>BARANGAY APATUT LIBONG - PINILI ILOCOS NORTE</t>
  </si>
  <si>
    <t>NATIONAL IRRIGATION ADMINISTRATION - QIMO</t>
  </si>
  <si>
    <t>METRO KIDAPAWAN WATER DISTRICT</t>
  </si>
  <si>
    <t>MUNICIPALITY OF MAGALLANES, SORSOGON</t>
  </si>
  <si>
    <t>MUNICIPALITY OF TAGANA-AN, SURIGAO DEL NORTE</t>
  </si>
  <si>
    <t>NUEVA VIZCAYA STATE UNIVERSITY</t>
  </si>
  <si>
    <t>MUNICIPALITY OF PRIETO DIAZ, SORSOGON</t>
  </si>
  <si>
    <t>MUNICIPALITY OF TUBLAY, BENGUET</t>
  </si>
  <si>
    <t>CITY OF GENERAL SANTOS , SOUTH COTABATO</t>
  </si>
  <si>
    <t>UNIVERSITY OF THE PHILIPPINES - MANILA</t>
  </si>
  <si>
    <t>BARANGAY ALTURA MATANDA, TANAUAN CITY, BATANGAS</t>
  </si>
  <si>
    <t>MUNICIPALITY OF TOMAS OPPUS, SOUTHERN LEYTE</t>
  </si>
  <si>
    <t>JUAN SUMULONG ELEMENTARY SCHOOL</t>
  </si>
  <si>
    <t>PHILIPPINE SCIENCE HIGH SCHOOL - CALABARZON REGION CAMPUS</t>
  </si>
  <si>
    <t>COMMISSION ON POPULATION AND DEVELOPMENT  - SAN FERNANDO CIT</t>
  </si>
  <si>
    <t>MUNICIPALITY OF TANAUAN, LEYTE</t>
  </si>
  <si>
    <t>MUNICIPALITY OF BALETE, AKLAN</t>
  </si>
  <si>
    <t>MUNICIPALITY OF SAN NICOLAS, PANGASINAN</t>
  </si>
  <si>
    <t>MUNICIPALITY OF PILAR, SORSOGON</t>
  </si>
  <si>
    <t>SULTAN KUDARAT STATE UNIVERSITY</t>
  </si>
  <si>
    <t>PARANG HIGH SCHOOL</t>
  </si>
  <si>
    <t>MUNICIPALITY OF MALILIPOT, ALBAY</t>
  </si>
  <si>
    <t>MUNICIPALITY OF CALAPE, BOHOL</t>
  </si>
  <si>
    <t>MUNICIPALITY OF ABUYOG, LEYTE</t>
  </si>
  <si>
    <t>DEPARTMENT OF PUBLIC WORKS AND HIGHWAYS - ILOCOS SUR 1ST DEO</t>
  </si>
  <si>
    <t>BARANGAY 04 POBLACION, CATBALOGAN CITY</t>
  </si>
  <si>
    <t>DEPARTMENT OF EDUCATION - DIVISION OF ILOILO CITY</t>
  </si>
  <si>
    <t>DEPARTMENT OF SCIENCE AND TECHNOLOGY REGION 1</t>
  </si>
  <si>
    <t>MUNICIPALITY OF GEN. MAMERTO NATIVIDAD, NUEVA ECIJA</t>
  </si>
  <si>
    <t>BARANGAY TAGNATE, HILONGOS, LEYTE</t>
  </si>
  <si>
    <t>BARANGAY MALAMA - LIGAO CITY</t>
  </si>
  <si>
    <t>LLORENTE NATIONAL HIGH SCHOOL - LLORENTE EASTERN SAMAR</t>
  </si>
  <si>
    <t>MARIGONDON ELEMENTARY SCHOOL</t>
  </si>
  <si>
    <t>MUNICIPALITY OF BANI, PANGASINAN</t>
  </si>
  <si>
    <t>MUNICIPALITY OF NARRA, PALAWAN</t>
  </si>
  <si>
    <t>MUNICIPALITY OF SAN MIGUEL, ZAMBOANGA DEL SUR</t>
  </si>
  <si>
    <t>METRO MIDSAYAP WATER DISTRICT</t>
  </si>
  <si>
    <t>DEPARTMENT OF AGRARIAN REFORM - CATANDUANES</t>
  </si>
  <si>
    <t>NATIONAL MAPPING AND RESOURCE INFORMATION AUTHORITY (NAMRIA)</t>
  </si>
  <si>
    <t>UNIVERSITY OF ANTIQUE - TARIO-LIM MEMORIAL CAMPUS</t>
  </si>
  <si>
    <t>MUNICIPALITY OF TINOC, IFUGAO</t>
  </si>
  <si>
    <t>MUNICIPALITY OF SAN JOAQUIN, ILOILO</t>
  </si>
  <si>
    <t>DEPARTMENT OF THE INTERIOR AND LOCAL GOVERNMENT - CALAMBA</t>
  </si>
  <si>
    <t>CITY OF BATANGAS, BATANGAS</t>
  </si>
  <si>
    <t>MUNICIPALITY OF SAN ISIDRO, DAVAO ORIENTAL</t>
  </si>
  <si>
    <t>DEPARTMENT OF PUBLIC WORKS AND HIGHWAYS - LANAO DEL NORTE 2N</t>
  </si>
  <si>
    <t>BARANGAY SAN JUAN -  CAINTA, RIZAL</t>
  </si>
  <si>
    <t>CABANGLASAN WATER DISTRICT - CABANGLASAN BUKIDNON</t>
  </si>
  <si>
    <t>ANGAT WATER DISTRICT</t>
  </si>
  <si>
    <t>CITY  OF CALBAYOG, SAMAR</t>
  </si>
  <si>
    <t>MUNICIPALITY OF SINACABAN , MISAMIS OCCIDENTAL</t>
  </si>
  <si>
    <t>MUNICIPALITY OF BALAMBAN, CEBU</t>
  </si>
  <si>
    <t>METRO MANILA DEVELOPMENT AUTHORITY</t>
  </si>
  <si>
    <t>MUNICIPALITY OF SAN RICARDO - SOUTHERN LEYTE</t>
  </si>
  <si>
    <t>BARANGAY MAYBUNGA - PASIG CITY</t>
  </si>
  <si>
    <t>TECHNICAL EDUCATION AND SKILLS DEVELOPMENT AUTHORITY  - ILOI</t>
  </si>
  <si>
    <t>BARANGAY SAN RAFAEL VILLAGE, NAVOTAS</t>
  </si>
  <si>
    <t>MUNICIPALITY OF GONZAGA, CAGAYAN</t>
  </si>
  <si>
    <t>MUNICIPALITY OF ROSARIO, LA UNION</t>
  </si>
  <si>
    <t>HOME DEVELOPMENT MUTUAL FUND - CORPORATE HEADQUARTERS</t>
  </si>
  <si>
    <t>BARANGAY CABUGAO, RAGAY, CAAMRINES SUR</t>
  </si>
  <si>
    <t>MUNICIPALITY OF BALBALAN, KALINGA</t>
  </si>
  <si>
    <t>HOUSING AND LAND USE REGULATORY BOARD - CENTRAL VISAYAS REGI</t>
  </si>
  <si>
    <t>DEPARTMENT OF AGRARIAN REFORM - CAMARINES SUR B</t>
  </si>
  <si>
    <t>PHILIPPINE ORTHOPEDIC CENTER</t>
  </si>
  <si>
    <t>MUNICIPALITY OF TIGBAUAN, ILOILO</t>
  </si>
  <si>
    <t>NATIONAL FOOD AUTHORITY - LAGUNA PROVINCIAL OFFICE</t>
  </si>
  <si>
    <t>MUNICIPALITY OF JIABONG, SAMAR</t>
  </si>
  <si>
    <t>BARANGAY BUBOY NAGCARLAN, LAGUNA</t>
  </si>
  <si>
    <t>MUNICIPALITY OF LICAB, NUEVA ECIJA</t>
  </si>
  <si>
    <t>DEPT OF TRADE AND INDUSTRY - CAR - MOUNTAIN PROVINCE</t>
  </si>
  <si>
    <t>PHILIPPINE HEALTH INSURANCE CORPORATION - CAR</t>
  </si>
  <si>
    <t>PHILIPPINE FISHERIES DEVELOPMENT AUTHORITY - MAIN</t>
  </si>
  <si>
    <t>DEPARTMENT OF  EDUCATION - DIVISION OF URDANETA CITY</t>
  </si>
  <si>
    <t>F. BUSTAMANTE NATIONAL HIGH SCHOOL - DAVAO CITY</t>
  </si>
  <si>
    <t>DEPARTMENT OF EDUCATION - CARAGA</t>
  </si>
  <si>
    <t>MUNICIPALITY OF BALIWAG, BULACAN</t>
  </si>
  <si>
    <t>DEPARTMENT OF ENVIRONMENT AND NATURAL RES. - PENRO ZDS</t>
  </si>
  <si>
    <t>OROQUIETA CITY WATER DISTRICT</t>
  </si>
  <si>
    <t>MUNICIPALITY OF JAGNA, BOHOL</t>
  </si>
  <si>
    <t>PROVINCE OF ILOCOS NORTE</t>
  </si>
  <si>
    <t>MUNICIPALITY OF MANKAYAN, BENGUET</t>
  </si>
  <si>
    <t>BARANGAY CALUNASAN, CALAPE, BOHOL</t>
  </si>
  <si>
    <t>UNITED COCONUT PLANTERS BANK</t>
  </si>
  <si>
    <t>CAMARINES SUR INSTITUTE OF FISHERIES AND MARINE SCIENCES</t>
  </si>
  <si>
    <t>MUNICIPALITY OF AURORA, ZAMBOANGA DEL SUR</t>
  </si>
  <si>
    <t>MUNICIPALITY OF ISABEL, LEYTE</t>
  </si>
  <si>
    <t>NATIONAL MARITIME POLYTECHNIC - REGION VIII</t>
  </si>
  <si>
    <t>MUNICIPALITY OF TAMBULIG, ZAMBOANGA DEL SUR</t>
  </si>
  <si>
    <t>BINMALEY WATER DISTRICT</t>
  </si>
  <si>
    <t>MUNICIPALITY OF PILAR, ABRA</t>
  </si>
  <si>
    <t>BARANGAY AMAGBAGAN, POZORRUBIO, PANGASINAN</t>
  </si>
  <si>
    <t>MUNICIPALITY OF GUIUAN, EASTERN SAMAR</t>
  </si>
  <si>
    <t>409TH CONTRACTING OFFICE</t>
  </si>
  <si>
    <t>MUNICIPALITY OF STO. DOMINGO, ALBAY</t>
  </si>
  <si>
    <t>OFFICE OF THE VICE-PRESIDENT OF THE PHILIPPINES</t>
  </si>
  <si>
    <t>MUNICIPALITY OF TANZA, CAVITE</t>
  </si>
  <si>
    <t>DEPARTMENT OF ENVIRONMENT AND NATURAL RESOURCES - CENRO TAGB</t>
  </si>
  <si>
    <t>BARANGAY IBAYO SILANGAN - NAIC CAVITE</t>
  </si>
  <si>
    <t>MUNICIPALITY OF PADRE GARCIA, BATANGAS</t>
  </si>
  <si>
    <t>MUNICIPALITY OF CALAYAN, CAGAYAN</t>
  </si>
  <si>
    <t>VALLADOLID ELEMENTARY SCHOOL - VALLADOLID NEGROS OCCIDENTAL</t>
  </si>
  <si>
    <t>CITY OF LAMITAN, BASILAN</t>
  </si>
  <si>
    <t>MUNICIPALITY OF NAGUILIAN, LA UNION</t>
  </si>
  <si>
    <t>MUNICIPALITY OF RIZAL, NUEVA ECIJA</t>
  </si>
  <si>
    <t>BARANGAY MANIBOC, LINGAYEN, PANGASINAN</t>
  </si>
  <si>
    <t>BARANGAY CENTRO 2,  SANCHEZ MIRA, CAGAYAN</t>
  </si>
  <si>
    <t>DEPARTMENT OF HEALTH - NCR REGIONAL OFFICE(DOH-NCRO)</t>
  </si>
  <si>
    <t>BARANGAY SAN RAMON - BULA CAMARINES SUR</t>
  </si>
  <si>
    <t>LEGAZPI CITY WATER DISTRICT</t>
  </si>
  <si>
    <t>MUNICIPALITY OF DAPA, SURIGAO DEL NORTE</t>
  </si>
  <si>
    <t>MUNICIPALITY OF CATIGBIAN, BOHOL</t>
  </si>
  <si>
    <t>MUNICIPALITY OF CORON, PALAWAN</t>
  </si>
  <si>
    <t>BARANGAY LONOC, LEON, ILOILO</t>
  </si>
  <si>
    <t>DEPARTMENT OF PUBLIC WORKS AND HIGHWAYS - AGUSAN DEL NORTE D</t>
  </si>
  <si>
    <t>DEPARTMENT OF SOCIAL WELFARE AND DEVELOPMENT - REGION XII</t>
  </si>
  <si>
    <t>BANGKO SENTRAL NG PILIPINAS (SECURITY PLANT COMPLEX) - QUEZO</t>
  </si>
  <si>
    <t>MUNICIPALITY OF BUENAVISTA, AGUSAN DEL NORTE</t>
  </si>
  <si>
    <t>MUNICIPALITY OF GLORIA, ORIENTAL MINDORO</t>
  </si>
  <si>
    <t>BARANGAY STA. CRUZ, CALAPE, BOHOL</t>
  </si>
  <si>
    <t>CAGAYAN VALLEY MEDICAL CENTER</t>
  </si>
  <si>
    <t>MUNICIPALITY OF SILAGO, SOUTHERN LEYTE</t>
  </si>
  <si>
    <t>MUNICIPALITY OF GITAGUM , MISAMIS ORIENTAL</t>
  </si>
  <si>
    <t>MUNICIPALITY OF STA. CRUZ, MARINDUQUE</t>
  </si>
  <si>
    <t>PHILIPPINE CHARITY SWEEPSTAKES OFFICE - MANDALUYONG CITY</t>
  </si>
  <si>
    <t>CITY OF PASAY</t>
  </si>
  <si>
    <t>TUBLAY SCHOOL OF HOME INDUSTRIES</t>
  </si>
  <si>
    <t>BARANGAY BUSO, MATI CITY</t>
  </si>
  <si>
    <t>AGRICULTURAL TRAINING INSTITUTE-REGIONAL TRAINING CENTER-8</t>
  </si>
  <si>
    <t>CENTRAL BICOL STATE UNIVERSITY OF AGRICULTURE-SIPOCOT CAMPUS</t>
  </si>
  <si>
    <t>DEPARTMENT OF AGRARIAN REFORM - ARCDP</t>
  </si>
  <si>
    <t>DEPARTMENT OF PUBLIC WORKS AND HIGHWAYS - BUKIDNON 3RD DEO</t>
  </si>
  <si>
    <t>MUNICIPALITY OF KAPATAGAN, LANAO DEL NORTE</t>
  </si>
  <si>
    <t>PHILIPPINE HEALTH INSURANCE CORPORATION - REGION VIII</t>
  </si>
  <si>
    <t>MUNICIPALITY OF ATIMONAN, QUEZON</t>
  </si>
  <si>
    <t>CITY OF MARIKINA</t>
  </si>
  <si>
    <t>BARANGAY POLOPINA, CONCEPCION, ILOILO</t>
  </si>
  <si>
    <t>BARANGAY POBLACION, INFANTA, PANGASINAN</t>
  </si>
  <si>
    <t>MUNICIPALITY OF ESPERANZA, MASBATE</t>
  </si>
  <si>
    <t>MUNICIPALITY OF SAN NICOLAS, ILOCOS NORTE</t>
  </si>
  <si>
    <t>NATIONAL HOUSING AUTHORITY</t>
  </si>
  <si>
    <t>CITY OF TOLEDO, CEBU</t>
  </si>
  <si>
    <t>MUNICIPALITY OF KAPALONG, DAVAO DEL NORTE</t>
  </si>
  <si>
    <t>BARANGAY STA. CRUZ KORONADAL CITY SOUTH COTABATO</t>
  </si>
  <si>
    <t>CITY OF BIÑAN, LAGUNA</t>
  </si>
  <si>
    <t>MUNICIPALITY OF KOLAMBUGAN, LANAO DEL NORTE</t>
  </si>
  <si>
    <t>PARTIDO DEVELOPMENT ADMINISTRATION</t>
  </si>
  <si>
    <t>GRACIANO LOPEZ JAENA ELEMENTARY SCHOOL - NEGROS OCCIDENTAL</t>
  </si>
  <si>
    <t>OBANDO WATER DISTRICT</t>
  </si>
  <si>
    <t>MUNICIPALITY OF ROXAS, PALAWAN</t>
  </si>
  <si>
    <t>MUNICIPALITY OF BARCELONA, SORSOGON</t>
  </si>
  <si>
    <t>PROVINCE OF DAVAO ORIENTAL</t>
  </si>
  <si>
    <t>BARANGAY BALECBEC, NAGUILIAN, LA UNION</t>
  </si>
  <si>
    <t>MUNICIPALITY OF CARAGA, DAVAO ORIENTAL</t>
  </si>
  <si>
    <t>MUNICIPALITY OF ALILEM, ILOCOS SUR</t>
  </si>
  <si>
    <t>PUERTO PRINCESA CITY WATER DISTRICT</t>
  </si>
  <si>
    <t>ABKASA ELEMENTARY SCHOOL</t>
  </si>
  <si>
    <t>DUMALAG VOCATIONAL TECHNICAL SCHOOL</t>
  </si>
  <si>
    <t>BARANGAY  LINAO - SAN ISIDRO LEYTE</t>
  </si>
  <si>
    <t>COMPOSTELA WATER DISTRICT</t>
  </si>
  <si>
    <t>DOH TREATMENT AND REHABILITATION CENTER - CEBU CITY</t>
  </si>
  <si>
    <t>CITY OF BOGO, CEBU</t>
  </si>
  <si>
    <t>NATIONAL FOOD AUTHORITY - REGION VIII</t>
  </si>
  <si>
    <t>DEPARTMENT OF PUBLIC WORKS AND HIGHWAYS - IFUGAO 2ND DEO</t>
  </si>
  <si>
    <t>BARANGAY STA. CRUZ, ALITAGTAG, BATANGAS</t>
  </si>
  <si>
    <t>DEPARTMENT OF EDUCATION - DIVISION OF PANGASINAN II</t>
  </si>
  <si>
    <t>MUNICIPALITY OF SAN MIGUEL, SURIGAO DEL SUR</t>
  </si>
  <si>
    <t>VICENTE SOTTO MEMORIAL MEDICAL CENTER - REGION VII</t>
  </si>
  <si>
    <t>MUNICIPALITY OF KIBLAWAN, DAVAO DEL SUR</t>
  </si>
  <si>
    <t>MUNICIPALITY OF LAUR, NUEVA ECIJA</t>
  </si>
  <si>
    <t>MUNICIPALITY OF NAGBUKEL, ILOCOS SUR</t>
  </si>
  <si>
    <t>DEPARTMENT OF HEALTH REGIONAL OFFICE II</t>
  </si>
  <si>
    <t>MUNICIPALITY OF BATO, LEYTE</t>
  </si>
  <si>
    <t>BARANGAY BANABA WEST, BATANGAS CITY</t>
  </si>
  <si>
    <t>DON MARIANO MARCOS MEMORIAL STATE UNIVERSITY - BACNOTAN</t>
  </si>
  <si>
    <t>CITY OF LAOAG, ILOCOS NORTE</t>
  </si>
  <si>
    <t>PROVINCIAL GOVERNMENT OF SURIGAO DEL NORTE</t>
  </si>
  <si>
    <t>BARANGAY ADLAY, CARRASCAL, SURIGAO DEL SUR</t>
  </si>
  <si>
    <t>CIVIL AVIATION AUTHORITY OF THE PHILIPPINES - REGION V</t>
  </si>
  <si>
    <t>BARANGAY BALETE, BATANGAS CITY, BATANGAS</t>
  </si>
  <si>
    <t>BARANGAY SOLANGON - SAN JUAN SIQUIJOR</t>
  </si>
  <si>
    <t>MUNICIPALITY OF CABUGAO, ILOCOS SUR</t>
  </si>
  <si>
    <t>CITY OF BUTUAN, AGUSAN DEL NORTE</t>
  </si>
  <si>
    <t>BICOL STATE COLLEGE OF APPLIED SCIENCES AND TECHNOLOGY</t>
  </si>
  <si>
    <t>BARANGAY GASANG, MABINI, BATANGAS</t>
  </si>
  <si>
    <t>DEPARTMENT OF SOCIAL WELFARE AND DEVELOPMENT - REGION VI</t>
  </si>
  <si>
    <t>MUNICIPALITY OF BALUNGAO, PANGASINAN</t>
  </si>
  <si>
    <t>MUNICIPALITY OF DUPAX DEL NORTE, NUEVA VIZCAYA</t>
  </si>
  <si>
    <t>MUNICIPALITY OF NEW CORELLA, DAVAO DEL NORTE</t>
  </si>
  <si>
    <t>SANTIAGO WATER DISTRICT</t>
  </si>
  <si>
    <t>PROVINCE OF ANTIQUE</t>
  </si>
  <si>
    <t>BARANGAY PAZ, PORO, CEBU</t>
  </si>
  <si>
    <t>404TH CONTRACTING OFFICE, AFP PROCUREMENT SERVICE</t>
  </si>
  <si>
    <t>BARANGAY LALA-O - SAN JUAN SIQUIJOE</t>
  </si>
  <si>
    <t>BARANGAY SAN PEDRO, SAN PABLO CITY, LAGUNA</t>
  </si>
  <si>
    <t>MUNICIPALITY OF ALUBIJID, MISAMIS ORIENTAL</t>
  </si>
  <si>
    <t>BARANGAY PILAHAN, MABINI, BATANGAS</t>
  </si>
  <si>
    <t>TECHNICAL EDUCATION &amp; SKILLS DEVELOPMENT AUTHORITY - NCR PAM</t>
  </si>
  <si>
    <t>BARANGAY CRISTO REY - CAPAS TARLAC</t>
  </si>
  <si>
    <t>MUNICIPALITY OF LAOAC, PANGASINAN</t>
  </si>
  <si>
    <t>NATIONAL IRRIGATION ADMINISTRATION - REGION V</t>
  </si>
  <si>
    <t>PROVINCE OF MARINDUQUE</t>
  </si>
  <si>
    <t>KUYA ELEMENTARY SCHOOL KUYA MARAMAG BUKIDNON</t>
  </si>
  <si>
    <t>NATIONAL FOOD AUTHORITY - REGION V</t>
  </si>
  <si>
    <t>OSPITAL NG PALAWAN</t>
  </si>
  <si>
    <t>BARANGAY BULACAN, MABINI, BATANGAS</t>
  </si>
  <si>
    <t>MUNICIPALITY OF VALDERRAMA, ANTIQUE</t>
  </si>
  <si>
    <t>NORZAGARAY WATER DISTRICT</t>
  </si>
  <si>
    <t>SOCIAL SECURITY SYSTEM - LUZON BICOL DIVISION</t>
  </si>
  <si>
    <t>102ND CONTRACTING OFFICE, AFP PROCUREMENT SERVICE</t>
  </si>
  <si>
    <t>MUNICIPALITY OF GIGMOTO, CATANDUANES</t>
  </si>
  <si>
    <t>BUREAU OF CUSTOMS - REGION V</t>
  </si>
  <si>
    <t>MUNICIPALITY OF KABACAN, COTABATO</t>
  </si>
  <si>
    <t>BUREAU OF FIRE PROTECTION - CARAGA REGION</t>
  </si>
  <si>
    <t>BATA ELEMENTARY II</t>
  </si>
  <si>
    <t>MUNICIPALITY OF GASAN, MARINDUQUE</t>
  </si>
  <si>
    <t>TALISAY DISTRICT HOSPITAL</t>
  </si>
  <si>
    <t>MINDORO STATE COLLEGE OF AGRICULTURE AND TECHNOLOGY</t>
  </si>
  <si>
    <t>DEPARTMENT OF AGRARIAN REFORM - ILOILO PROVINCIAL OFFICE</t>
  </si>
  <si>
    <t>JARO NATIONAL HIGH SCHOOL</t>
  </si>
  <si>
    <t>BUREAU OF FIRE PROTECTION - NATIONAL HEADQUARTERS</t>
  </si>
  <si>
    <t>PHILIPPINE SCIENCE HIGH SCHOOL - MAIN CAMPUS</t>
  </si>
  <si>
    <t>DEPARTMENT OF ENVIRONMENT AND NATURAL RESOURCES - APO ISLAND</t>
  </si>
  <si>
    <t>PROVINCE OF LA UNION</t>
  </si>
  <si>
    <t>PROFESSIONAL REGULATION COMMISSION</t>
  </si>
  <si>
    <t>LAND TRANSPORTATION OFFICE - REGION IVA</t>
  </si>
  <si>
    <t>DEPARTMENT OF EDUCATION - DIVISION OF PANGASINAN I</t>
  </si>
  <si>
    <t>BUREAU OF FISHERIES AND AQUATIC RESOURCES CARAGA</t>
  </si>
  <si>
    <t>MUNICIPALITY OF LUGAIT, MISAMIS ORIENTAL</t>
  </si>
  <si>
    <t>PHILIPPINE CROP INSURANCE CORPORATION - REGION IV</t>
  </si>
  <si>
    <t>PHILIPPINE SCIENCE HIGH SCHOOL - CENTRAL LUZON CAMPUS</t>
  </si>
  <si>
    <t>CITY OF TACURONG, SULTAN KUDARAT</t>
  </si>
  <si>
    <t>LABUAN GENERAL HOSPITAL</t>
  </si>
  <si>
    <t>CITY OF TANJAY, NEGROS ORIENTAL</t>
  </si>
  <si>
    <t>DEPARTMENT OF EDUCATION - DIVISION OF BOHOL</t>
  </si>
  <si>
    <t>MUNICIPALITY OF ALABEL, SARANGANI PROVINCE</t>
  </si>
  <si>
    <t>BARANGAY PANTIHAN 4</t>
  </si>
  <si>
    <t>MISAMIS OCCIDENTAL NATIONAL HIGH SCHOOL</t>
  </si>
  <si>
    <t>MUNICIPALITY OF BAYAMBANG - PANGASINAN</t>
  </si>
  <si>
    <t>DEPARTMENT OF PUBLIC WORKS AND HIGHWAYS - AGUSAN DEL SUR 2ND</t>
  </si>
  <si>
    <t>AGRICULTURAL TRAINING INSTITUTE - REGION III</t>
  </si>
  <si>
    <t>DEPARTMENT OF TRADE AND INDUSTRY - REGION I</t>
  </si>
  <si>
    <t>NATIONAL HOME MORTGAGE FINANCE CORPORATION</t>
  </si>
  <si>
    <t>BARANGAY PANTIHAN 1 MARAGONDON CAVITE</t>
  </si>
  <si>
    <t>BARANGAY BANGKAL, COUNCIL</t>
  </si>
  <si>
    <t>AGRICULTURAL TRAINING INSTITUTE- REGIONAL TRAINING CENTER 02</t>
  </si>
  <si>
    <t>MUNICIPALITY OF STA. BARBARA, ILOILO</t>
  </si>
  <si>
    <t>BARANGAY MALAYA, LABO, CAMARINES NORTE</t>
  </si>
  <si>
    <t>114TH CONTRACTING OFFICE FOR INFRASTRUCTURE, AFPPS</t>
  </si>
  <si>
    <t>SAN PEDRO NATIONAL HIGH SCHOOL - HAGONOY BULACAN</t>
  </si>
  <si>
    <t>BARANGAY ADA, TANAUAN, LEYTE</t>
  </si>
  <si>
    <t>BARANGAY 6, SAN JUAN BAUTISTA, SAN NICOLAS, ILOCOS NORTE</t>
  </si>
  <si>
    <t>HOME DEVELOPMENT MUTUAL FUND - CALAMBA BRANCH</t>
  </si>
  <si>
    <t>BARANGAY SAN MIGUEL ARAKAN COTABATO</t>
  </si>
  <si>
    <t>QUIRINO MEMORIAL MEDICAL CENTER</t>
  </si>
  <si>
    <t>BARANGAY POBLACION, BOSTON, DAVAO ORIENTAL</t>
  </si>
  <si>
    <t>DEPARTMENT OF EDUCATION - DIVISION OF PANABO CITY</t>
  </si>
  <si>
    <t>BARANGAY BANJO WEST, TANAUAN CITY, BATANGAS</t>
  </si>
  <si>
    <t>BARANGAY CALBAYOG, MALILIPOT, ALBAY</t>
  </si>
  <si>
    <t>MUNICIPALITY OF STO. NIÑO, SOUTH COTABATO</t>
  </si>
  <si>
    <t>CITY OF BALANGA NATIONAL HIGH SCHOOL</t>
  </si>
  <si>
    <t>DEPARTMENT OF PUBLIC WORKS AND HIGHWAYS - REGION IV-A</t>
  </si>
  <si>
    <t>BARANGAY BULUA, CAGAYAN DE ORO CITY</t>
  </si>
  <si>
    <t>BARANGAY TALOY SUR - TUBA BENGUET</t>
  </si>
  <si>
    <t>INDUSTRIAL TECHNOLOGY DEVELOPMENT INSTITIUTE</t>
  </si>
  <si>
    <t>BARANGAY 140 ZONE 12 DISTRICT 1</t>
  </si>
  <si>
    <t>DEPARTMENT OF PUBLIC WORKS AND HIGHWAYS - SULTAN KUDARAT 2ND</t>
  </si>
  <si>
    <t>BARANGAY MINIEN WEST, STA. BARBARA, PANGASINAN</t>
  </si>
  <si>
    <t>BARANGAY LA RIOJA - PATNONGON, ANTIQUE</t>
  </si>
  <si>
    <t>MUNICIPALITY OF DAGUIOMAN, ABRA</t>
  </si>
  <si>
    <t>BUREAU OF INTERNAL REVENUE - REVENUE REGION NO. 2</t>
  </si>
  <si>
    <t>FOOD AND NUTRITION RESEARCH INSTITUTE</t>
  </si>
  <si>
    <t>DEPARTMENT OF EDUCATION - DIVISION OF CAMARINES NORTE</t>
  </si>
  <si>
    <t>PONTEVEDRA SOUTH ELEMENTARY SCHOOL</t>
  </si>
  <si>
    <t>MUNICIPALITY OF PATNANUNGAN, QUEZON</t>
  </si>
  <si>
    <t>MUNICIPALITY OF MINALABAC, CAMARINES SUR</t>
  </si>
  <si>
    <t>DEPARTMENT OF SOCIAL WELFARE AND DEVELOPMENT - REGION IV-B</t>
  </si>
  <si>
    <t>BARANGAY BAGONG TUBIG - SAN LUIS BATANGAS</t>
  </si>
  <si>
    <t>LEGARDA ELEMENTARY SCHOOL - MANILA METRO MANILA</t>
  </si>
  <si>
    <t>BARANGAY UGAC NORTE, TUGUEGARAO CITY, CAGAYAN</t>
  </si>
  <si>
    <t>BARANGAY ZONE I -  PINAMALAYAN, ORIENTAL MINDORO</t>
  </si>
  <si>
    <t>MUNICIPALITY OF PAVIA, ILOILO</t>
  </si>
  <si>
    <t>BUREAU OF JAIL MANAGEMENT AND PENOLOGY - REGION VII</t>
  </si>
  <si>
    <t>BARANGAY 659-A ZONE 71 DISTRICT V, MANILA</t>
  </si>
  <si>
    <t>BARANGAY INDUSTRIAL VALLEY COMPLEX, MARIKINA CITY</t>
  </si>
  <si>
    <t>BARANGAY BOTOCAN - QUEZON CITY</t>
  </si>
  <si>
    <t>MUNICIPALITY OF ENRIQUE VILLANUEVA, SIQUIJOR</t>
  </si>
  <si>
    <t>DEPARTMENT OF PUBLIC WORKS AND HIGHWAYS - CAGAYAN 1ST DEO</t>
  </si>
  <si>
    <t>NATIONAL WATER RESOURCES BOARD</t>
  </si>
  <si>
    <t>MARAMAG WATER DISTRICT</t>
  </si>
  <si>
    <t>MUNICIPALITY OF PITOGO, ZAMBOANGA DEL SUR</t>
  </si>
  <si>
    <t>HANDUM ELEMENTARY SCHOOL -1- BACOLOD CITY</t>
  </si>
  <si>
    <t>CITY OF TAYABAS, QUEZON</t>
  </si>
  <si>
    <t>MUNICIPALITY OF MARGOSATUBIG, ZAMBOANGA DEL SUR</t>
  </si>
  <si>
    <t>305TH CONTRACTING OFFICE, AFP PROCUREMENT SERVICE</t>
  </si>
  <si>
    <t>BARANGAY SAN VICENTE - LIBON, ALBAY</t>
  </si>
  <si>
    <t>NATIONAL COMMISSION FOR CULTURE AND THE ARTS</t>
  </si>
  <si>
    <t>BARANGAY SAPA PEQUEÑA, BURGOS, PANGASINAN</t>
  </si>
  <si>
    <t>VILLA AGLIPAY NATIONAL HIGH SCHOOL</t>
  </si>
  <si>
    <t>CALUMPIT WATER DISTRICT</t>
  </si>
  <si>
    <t>MUNICIPALITY OF PROSPERIDAD, AGUSAN DEL SUR</t>
  </si>
  <si>
    <t xml:space="preserve">EDUARDO COJUANGCO NATIONAL VOCATIONAL HIGH SCHOOL - PANIQUI </t>
  </si>
  <si>
    <t>BARANGAY  BAGTIC - SILAY CITY</t>
  </si>
  <si>
    <t>PHILIPPINE SCIENCE HIGH SCHOOL - MIMAROPA REGION CAMPUS</t>
  </si>
  <si>
    <t>PEDRO E. DIAZ HIGH SCHOOL</t>
  </si>
  <si>
    <t>PHILIPPINE NAVY PROCUREMENT CENTER, AFP PROCUREMENT SERVICE</t>
  </si>
  <si>
    <t>MUNICIPALITY OF PASUQUIN, ILOCOS NORTE</t>
  </si>
  <si>
    <t>BARANGAY PAPALLASEN, BURGOS, PANGASINAN</t>
  </si>
  <si>
    <t>BARANGAY DIGON, MARGOSATUBIG, ZAMBOANGA DEL SUR</t>
  </si>
  <si>
    <t>BARANGAY STA. FE, MATALOM, LEYTE</t>
  </si>
  <si>
    <t>BARANGAY TAMBACAN, BURGOS, PANGASINAN</t>
  </si>
  <si>
    <t>MUNICIPALITY OF BUGUIAS, BENGUET</t>
  </si>
  <si>
    <t>MUNTINLUPA BUSINESS HIGH SCHOOL</t>
  </si>
  <si>
    <t>DEPARTMENT OF ENVIRONMENT AND NATURAL RES. - PENRO PAMPANGA</t>
  </si>
  <si>
    <t>MUNICIPALITY OF TULUNAN, NORTH COTABATO</t>
  </si>
  <si>
    <t>BARANGAY CARUSIKIS, PASUQUIN, ILOCOS NORTE</t>
  </si>
  <si>
    <t>BARANGAY SAN JOSE, MALILIPOT, ALBAY</t>
  </si>
  <si>
    <t>NAMNAM ELEMENTARY SCHOOL</t>
  </si>
  <si>
    <t>BARANGAY 29 SAN JUAN PASUQUIN ILOCOS NORTE</t>
  </si>
  <si>
    <t>BARANGAY 809 ZONE 88 DISTRICT V, MANILA</t>
  </si>
  <si>
    <t>BARANGAY 23 STA. CATALINA PASUQUIN ILOCOS NORTE</t>
  </si>
  <si>
    <t>KAPITAN EDDIE T. REYES INTEGRATED SCHOOL</t>
  </si>
  <si>
    <t>PROVINCE OF QUEZON</t>
  </si>
  <si>
    <t>CITY OF PUERTO PRINCESA, PALAWAN</t>
  </si>
  <si>
    <t>MUNICIPALITY OF COMPOSTELA, COMPOSTELA VALLEY</t>
  </si>
  <si>
    <t>CARLOS P. GARCIA HIGH SCHOOL</t>
  </si>
  <si>
    <t>QUEZON NATIONAL HIGH SCHOOL - PALAWAN</t>
  </si>
  <si>
    <t>MUNICIPALITY OF LOPE DE VEGA, NORTHERN SAMAR</t>
  </si>
  <si>
    <t>ZSNHS-SENIOR HIGH SCHOOL (STAND ALONE)</t>
  </si>
  <si>
    <t>CENTRAL MINDANAO UNIVERSITY</t>
  </si>
  <si>
    <t>MUNICIPALITY OF POZORRUBIO, PANGASINAN</t>
  </si>
  <si>
    <t>MUNICIPALITY OF MOLAVE, ZAMBOANGA DEL SUR</t>
  </si>
  <si>
    <t>MUNICIPALITY OF RIZAL,PALAWAN</t>
  </si>
  <si>
    <t>CEBU TECHNOLOGICAL UNIVERSITY</t>
  </si>
  <si>
    <t>CITY OF MANDAUE, CEBU</t>
  </si>
  <si>
    <t>BARANGAY BANAOANG, STA. BARBARA, PANGASINAN</t>
  </si>
  <si>
    <t>DEPED-ROVI-DIVISION OF AKLAN</t>
  </si>
  <si>
    <t>MUNICIPALITY OF DUERO, BOHOL</t>
  </si>
  <si>
    <t>MUNICIPALITY OF BATO, CATANDUANES</t>
  </si>
  <si>
    <t>MUNICIPALITY OF BALILIHAN, BOHOL</t>
  </si>
  <si>
    <t>BARANGAY SAN PEDRO I, BACARRA, ILOCOS NORTE</t>
  </si>
  <si>
    <t>MUNICIPALITY OF CORDOVA, CEBU</t>
  </si>
  <si>
    <t>MUNICIPALITY OF LIBAGON, SOUTHERN LEYTE</t>
  </si>
  <si>
    <t>ROMBLON STATE UNIVERSITY</t>
  </si>
  <si>
    <t>MUNICIPALITY OF NABUNTURAN, COMPOSTELA VALLEY</t>
  </si>
  <si>
    <t>PHILIPPINE HEALTH INSURANCE CORPORATION - REGION XI</t>
  </si>
  <si>
    <t>ZAMBOANGA CITY WATER DISTRICT - ZAMBOANGA CITY ZAMBOANGA DEL</t>
  </si>
  <si>
    <t>BARANGAY SOLO, MABINI, BATANGAS</t>
  </si>
  <si>
    <t>DEPARTMENT OF PUBLIC WORKS AND HIGHWAYS - ROMBLON DEO</t>
  </si>
  <si>
    <t>COAST GUARD DISTRICT NORTHEASTERN LUZON</t>
  </si>
  <si>
    <t>BARANGAY MAYPANGDAN, BORONGAN, EASTERN SAMAR</t>
  </si>
  <si>
    <t>MUNICIPALITY OF SANTA CRUZ, LAGUNA</t>
  </si>
  <si>
    <t>MUNICIPALITY OF LALA,  LANAO DEL NORTE</t>
  </si>
  <si>
    <t>BARANGAY PAYAO, CATBALOGAN CITY</t>
  </si>
  <si>
    <t>MUNICIPALITY OF CORCUERA, ROMBLON</t>
  </si>
  <si>
    <t>MUNICIPALITY OF NAIC, CAVITE</t>
  </si>
  <si>
    <t>PHILIPPINE AMUSEMENT AND GAMING CORPORATION-BACOLOD</t>
  </si>
  <si>
    <t>BARANGAY NIPA, CONCEPCION, ILOILO</t>
  </si>
  <si>
    <t>MUNICIPALITY OF GUMACA, QUEZON</t>
  </si>
  <si>
    <t>MUNICIPALITY OF TAYTAY, PALAWAN</t>
  </si>
  <si>
    <t>BARANGAY ANIBONGON ,ABUYOG, LEYTE</t>
  </si>
  <si>
    <t>MUNICIPALITY OF BOAC, MARINDUQUE</t>
  </si>
  <si>
    <t>BARANGAY BEGONG - TIGBAO ZAMBOANGA DEL SUR</t>
  </si>
  <si>
    <t>NATIONAL POWER CORPORATION - SPUG/BICOL OPERATIONS DIVISION</t>
  </si>
  <si>
    <t>DEPARTMENT OF PUBLIC WORKS AND HIGHWAYS - QUEZON CITY 2ND ED</t>
  </si>
  <si>
    <t>DEPARTMENT OF PUBLIC WORKS AND HIGHWAYS - DAVAO ORIENTAL 1ST</t>
  </si>
  <si>
    <t>DEPARTMENT OF PUBLIC WORKS AND HIGHWAYS - ISABELA 2ND DEO</t>
  </si>
  <si>
    <t>PROVINCE OF ZAMBOANGA SIBUGAY</t>
  </si>
  <si>
    <t>KIDAPAWAN CITY NATIONAL HIGH SCHOOL</t>
  </si>
  <si>
    <t>BARANGAY SOROSORO KARSADA, BATANGAS CITY</t>
  </si>
  <si>
    <t>BARANGAY CUTA, BATANGAS CITY</t>
  </si>
  <si>
    <t>BARANGAY 895 ZONE 99 DISTRICT 6, MANILA</t>
  </si>
  <si>
    <t>BARANGAY BALAGTAS, BATANGAS CITY, BATANGAS</t>
  </si>
  <si>
    <t>BARANGAY 283 ZONE 26 DISTRICT III, MANILA</t>
  </si>
  <si>
    <t>BARANGAY NEW VISAYAS, PANABO CITY, DAVAO DEL NORTE</t>
  </si>
  <si>
    <t>METROPOLITAN NAGA WATER DISTRICT</t>
  </si>
  <si>
    <t>MUNICIPALITY OF BANTAYAN, CEBU</t>
  </si>
  <si>
    <t>BARANGAY GRIJALVO, SAN FERNANDO, CAMARINES SUR</t>
  </si>
  <si>
    <t>BARANGAY STA. RITA KARSADA, BATANGAS CITY, BATANGAS</t>
  </si>
  <si>
    <t>GOVERNMENT SERVICE INSURANCE SYSTEM</t>
  </si>
  <si>
    <t>DEPARTMENT OF PUBLIC WORKS AND HIGHWAYS - LANAO DEL NORTE 1S</t>
  </si>
  <si>
    <t>NATIONAL IRRIGATION ADMINISTRATION - LEYTE IMO</t>
  </si>
  <si>
    <t>DEPARTMENT OF PUBLIC WORKS AND HIGHWAYS - ILOILO 2ND DISTRIC</t>
  </si>
  <si>
    <t>PROVINCE OF SORSOGON</t>
  </si>
  <si>
    <t>BUREAU OF PLANT INDUSTRY - NCR</t>
  </si>
  <si>
    <t>MUNICIPALITY OF PAGBILAO, QUEZON</t>
  </si>
  <si>
    <t>SOCIAL SECURITY SYSTEM - SAN PABLO BRANCH OFFICE</t>
  </si>
  <si>
    <t>TAYSAN NATIONAL HIGH SCHOOL (DEP-ED)</t>
  </si>
  <si>
    <t>DEPARTMENT OF  EDUCATION - DIVISION OF SAN JOSE DEL MONTE CI</t>
  </si>
  <si>
    <t>BARANGAY POBLACION, MAKATI CITY</t>
  </si>
  <si>
    <t>BARANGAY ILAYA 3RD, DUMANGAS, ILOILO</t>
  </si>
  <si>
    <t>MUNICIPALITY OF BINDOY, NEGROS ORIENTAL</t>
  </si>
  <si>
    <t>BARANGAY MAYSALAY - GOA CAMARINES SUR</t>
  </si>
  <si>
    <t>MUNICIPALITY OF KABASALAN, ZAMBOANGA SIBUGAY</t>
  </si>
  <si>
    <t>BARANGAY BONUAN GUESET, DAGUPAN CITY</t>
  </si>
  <si>
    <t>DEPED-GUILLERMO D. MENDOZA HIGH SCHOOL</t>
  </si>
  <si>
    <t>MUNICIPALITY OF GATTARAN, CAGAYAN</t>
  </si>
  <si>
    <t>BARANGAY SOUTH TRIANGLE - QUEZON CITY</t>
  </si>
  <si>
    <t>NATIONAL HISTORICAL COMMISSION OF THE PHILIPPINES</t>
  </si>
  <si>
    <t>DEPARTMENT OF TRADE AND INDUSTRY - CAR</t>
  </si>
  <si>
    <t>JULIO LEDESMA NATIONAL HIGH SCHOOL</t>
  </si>
  <si>
    <t>COMMISSION ON AUDIT - MAIN</t>
  </si>
  <si>
    <t>PULOT NATIONAL HIGH SCHOOL</t>
  </si>
  <si>
    <t>BARANGAY PUNONG, TOMAS OPPUS, SOUTHERN LEYTE</t>
  </si>
  <si>
    <t>BARANGAY SANITO, IPIL, ZAMBOANGA SIBUGAY</t>
  </si>
  <si>
    <t>STA. CRUZ ELEMENTARY SCHOOL</t>
  </si>
  <si>
    <t>MUNICIPALITY OF BOBON, NORTHERN SAMAR</t>
  </si>
  <si>
    <t>BARANGAY SAN LUIS - CULASI ANTIQUE</t>
  </si>
  <si>
    <t>SABLAYAN NATIONAL COMPREHENSIVE HIGH SCHOOL</t>
  </si>
  <si>
    <t>CITY  OF DANAO, CEBU</t>
  </si>
  <si>
    <t>DEPARTMENT OF PUBLIC WORKS AND HIGHWAYS - DINAGAT ISLANDS DI</t>
  </si>
  <si>
    <t>TECHNICAL EDUCATION &amp; SKILLS DEVELOPMENT AUTHORITY-  ISABELA</t>
  </si>
  <si>
    <t>BARANGAY CANARVACANAN, BINALONAN, PANGASINAN</t>
  </si>
  <si>
    <t>MUNICIPALITY OF BOLINAO, PANGASINAN</t>
  </si>
  <si>
    <t>BARANGAY IBA, ANNI-Y, ANTIQUE</t>
  </si>
  <si>
    <t>BARANGAY PINAGTUNG-ULAN, SAN JOSE, BATANGAS</t>
  </si>
  <si>
    <t>NATIONAL IRRIGATION ADMINISTRATION - COTABATO IMO</t>
  </si>
  <si>
    <t>MUNICIPALITY OF DATU PIANG, MAGUINDANAO</t>
  </si>
  <si>
    <t>PAGLAUM VILLAGE NATIONAL HIGH SCHOOL</t>
  </si>
  <si>
    <t>MANGGAHAN HIGH SCHOOL</t>
  </si>
  <si>
    <t>BUREAU OF FISHERIES AND AQUATIC RESOURCES - REGION VIII</t>
  </si>
  <si>
    <t>MUNICIPALITY OF LOOC, ROMBLON</t>
  </si>
  <si>
    <t>MUNICIPALITY OF BALO-I, LANAO DEL NORTE</t>
  </si>
  <si>
    <t>DEPARTMENT OF INFORMATION AND COMMUNICATION TECHNOLOGY</t>
  </si>
  <si>
    <t>PANGANTUCAN NATIONAL HIGH SCHOOL</t>
  </si>
  <si>
    <t>DEPARTMENT OF EDUCATION - DIVISION OF SAMAR</t>
  </si>
  <si>
    <t>DEPARTMENT OF ENVIRONMENT AND NATURAL RES. - PENRO, BILIRAN</t>
  </si>
  <si>
    <t>PRIVATIZATION AND MANAGEMENT OFFICE</t>
  </si>
  <si>
    <t>BARANGAY CARAYRAYAN - SIPOCOT, CAMARINES SUR</t>
  </si>
  <si>
    <t>GENERAL SANTOS CITY NATIONAL NATIONAL SECONDARY SCHOOL OF AR</t>
  </si>
  <si>
    <t>BARANGAY BARCENAGA, NAUJAN, ORIENTAL MINDORO</t>
  </si>
  <si>
    <t>MUNICIPALITY OF CALUMPIT, BULACAN</t>
  </si>
  <si>
    <t>CITY OF SORSOGON, SORSOGON</t>
  </si>
  <si>
    <t>DEPARTMENT OF EDUCATION - DIVISION OF ALBAY</t>
  </si>
  <si>
    <t>LOCAL GOVERNMENT UNIT OF OTON, ILOILO</t>
  </si>
  <si>
    <t>BARANGAY CENTRO VIII CLAVERIA CAGAYAN</t>
  </si>
  <si>
    <t>BARANGAY SAN ANTONIO - ALAMINOS, PANGASINAN</t>
  </si>
  <si>
    <t>QUIRINO STATE UNIVERSITY</t>
  </si>
  <si>
    <t>MUNICIPALITY OF PINILI, ILOCOS NORTE</t>
  </si>
  <si>
    <t>BARANGAY AMANDIEGO, ALAMINOS, PANGASINAN</t>
  </si>
  <si>
    <t>CAIGANGAN ELEMENTARY SCHOOL</t>
  </si>
  <si>
    <t>NATIONAL TRANSMISSION CORPORATION(TRANSCO)</t>
  </si>
  <si>
    <t>DON LUIS CONSING ELEMENTARY SCHOOL</t>
  </si>
  <si>
    <t>BARANGAY BILOLO, ORION, BATAAN</t>
  </si>
  <si>
    <t>MUNICIPALITY OF ARITAO, NUEVA VIZCAYA</t>
  </si>
  <si>
    <t>MUNICIPALITY OF LANUZA, SURIGAO DEL SUR</t>
  </si>
  <si>
    <t>UNIVERSITY OF THE PHILIPPINES - MANILA PGH</t>
  </si>
  <si>
    <t>BARANGAY SIOCON, COMPOSTELA, COMPOSTELA VALLEY</t>
  </si>
  <si>
    <t>NATIONAL IRRIGATION ADMINISTRATION REGION 7</t>
  </si>
  <si>
    <t>DEPARTMENT OF PUBLIC WORKS AND HIGHWAYS - ILOCOS NORTE 1ST D</t>
  </si>
  <si>
    <t>UNIVERSITY OF THE PHILIPPINES - DILIMAN</t>
  </si>
  <si>
    <t>DEPARTMENT OF PUBLIC WORKS AND HIGHWAYS - BOHOL 1ST ED</t>
  </si>
  <si>
    <t>MUNICIPALITY OF CAJIDIOCAN, ROMBLON</t>
  </si>
  <si>
    <t>DEPARTMENT OF TRADE AND INDUSTRY - BENGUET</t>
  </si>
  <si>
    <t>BARANGAY PINAGBUHATAN, PASIG CITY</t>
  </si>
  <si>
    <t>WESTERN PHILIPPINES UNIVERSITY</t>
  </si>
  <si>
    <t>DEPARTMENT OF AGRICULTURE - REGION XII</t>
  </si>
  <si>
    <t>POWER SECTOR ASSETS AND LIABILITIES MANAGEMENT CORPORATION-Q</t>
  </si>
  <si>
    <t>BARANGAY 373 ZONE 38 DISTRICT III, MANILA</t>
  </si>
  <si>
    <t xml:space="preserve">DEPARTMENT OF PUBLIC WORKS AND HIGHWAYS - CAMARINES SUR 4TH </t>
  </si>
  <si>
    <t>LANDY NATIONAL HIGH SCHOOL</t>
  </si>
  <si>
    <t>MUNICIPALITY OF STA. CATALINA, NEGROS ORIENTAL</t>
  </si>
  <si>
    <t>BARANGAY MARANGI, SAN FERNANDO, CAMARINES SUR</t>
  </si>
  <si>
    <t>ENERGY REGULATORY COMMISSION</t>
  </si>
  <si>
    <t>BARANGAY SAN VICENTE, BUTUAN CITY</t>
  </si>
  <si>
    <t>MUNICIPALITY OF BULUSAN, SORSOGON</t>
  </si>
  <si>
    <t>BARANGAY CAPALALIAN, PAMPLONA, CAGAYAN</t>
  </si>
  <si>
    <t>MUNICIPALITY OF BANAYOYO, ILOCOS SUR</t>
  </si>
  <si>
    <t>BARANGAY LAMOGONG - MANJUYOD NEGROS ORIENTAL</t>
  </si>
  <si>
    <t>MUNICIPALITY OF CULABA, BILIRAN</t>
  </si>
  <si>
    <t>ISABELA STATE UNIVERSITY - ROXAS</t>
  </si>
  <si>
    <t>MUNICIPALITY OF CANTILAN, SURIGAO DEL SUR</t>
  </si>
  <si>
    <t>NATIONAL TELECOMMUNICATIONS COMMISSION - REGION VI</t>
  </si>
  <si>
    <t>DEPARTMENT OF PUBLIC WORKS AND HIGHWAYS - CAPIZ 1ST DEO</t>
  </si>
  <si>
    <t>MUNICIPALITY OF BINMALEY, PANGASINAN</t>
  </si>
  <si>
    <t>STA. LUCIA HIGH SCHOOL - JUNIOR HIGH SCHOOL</t>
  </si>
  <si>
    <t>BARANGAY FATIMA, PAQUIBATO DISTRICT, DAVAO CITY</t>
  </si>
  <si>
    <t>VILLACIN NATIONAL HIGH SCHOOL (SENIOR HIGH)</t>
  </si>
  <si>
    <t>DEPARTMENT OF PUBLIC WORKS AND HIGHWAYS - QUIRINO DEO</t>
  </si>
  <si>
    <t>TECHNICAL EDUCATION AND SKILLS DEVELOPMENT AUTHORITY IV-A</t>
  </si>
  <si>
    <t>BUREAU OF JAIL MANAGEMENT AND PENOLOGY-CALABARZON</t>
  </si>
  <si>
    <t>BARANGAY POBLACION, SAN MIGUEL, SURIGAO DEL SUR</t>
  </si>
  <si>
    <t>AGRICULTURAL TRAINING INSTITUTE - REGION IV-B</t>
  </si>
  <si>
    <t>BARANGAY KANLURAN ROSARIO CAVITE</t>
  </si>
  <si>
    <t>BARANGAY SAGAD, PASIG CITY</t>
  </si>
  <si>
    <t>SAN RAFAEL ELEMENTARY SCHOOL - CADIZ CITY</t>
  </si>
  <si>
    <t>BARANGAY MONTE DUJALI, SAN ISIDRO DAVAO DEL NORTE</t>
  </si>
  <si>
    <t>SAMAR STATE UNIVERSITY</t>
  </si>
  <si>
    <t>PHILIPPINE STATISTICS AUTHORITY - ZAMBOANGA CITY</t>
  </si>
  <si>
    <t>DEPARTMENT OF PUBLIC WORKS AND HIGHWAYS - CAVITE I DEO</t>
  </si>
  <si>
    <t>BARANGAY MAGALLANES, MAKATI CITY</t>
  </si>
  <si>
    <t>AGUSAN NATIONAL HIGH SCHOOL</t>
  </si>
  <si>
    <t>BARANGAY STA. ELENA, SAN PABLO CITY, LAGUNA</t>
  </si>
  <si>
    <t>BARANGAY CONCEPCION PEQUEÑA, NAGA CITY</t>
  </si>
  <si>
    <t>DENR FORESTLAND MANAGEMENT PROJECT</t>
  </si>
  <si>
    <t>BARANGAY LIRA, SAN JUAN, ILOCOS SUR</t>
  </si>
  <si>
    <t>BARANGAY 4 RAJAH SOLIMAN, BUTUAN CITY</t>
  </si>
  <si>
    <t>SAN ANTONIO NATIONAL HIGH SCHOOL</t>
  </si>
  <si>
    <t>DEPARTMENT OF EDUCATION - REGION XI</t>
  </si>
  <si>
    <t>PROVINCE OF NEGROS OCCIDENTAL</t>
  </si>
  <si>
    <t>MUNICIPALITY OF BURGOS, ILOCOS NORTE</t>
  </si>
  <si>
    <t>BARANGAY KAMBONGGAN - BAYBAY CITY LEYTE</t>
  </si>
  <si>
    <t>BARANGAY GAAS - BAYBAY CITY LEYTE</t>
  </si>
  <si>
    <t>ENVIRONMENTAL MANAGEMENT BUREAU - REGION III</t>
  </si>
  <si>
    <t>BARANGAY BALUAN GENERAL SANTOS CITY COTABATO</t>
  </si>
  <si>
    <t>BARANGAY SAN PABLO, STO. TOMAS, BATANGAS</t>
  </si>
  <si>
    <t>NATIONAL IRRIGATION ADMINISTRATION - PIMO</t>
  </si>
  <si>
    <t>DEPARTMENT OF PUBLIC WORKS AND HIGHWAYS - QUEZON 4TH ED</t>
  </si>
  <si>
    <t>PROVINCE OF CAVITE</t>
  </si>
  <si>
    <t>MUNICIPALITY OF TIGAON, CAMARINES SUR</t>
  </si>
  <si>
    <t>BARANGAY POBLACION, MALUNGON, SARANGANI</t>
  </si>
  <si>
    <t>UNIVERSITY OF RIZAL SYSTEM</t>
  </si>
  <si>
    <t>PHILIPPINE NATIONAL POLICE - HEADQUARTERS SUPPORT SERVICE</t>
  </si>
  <si>
    <t>BARANGAY NAG-IBA II, NAUJAN, ORIENTAL MINDORO</t>
  </si>
  <si>
    <t>DEPARTMENT OF EDUCATION - SCHOOLS DIVISION OF ISABELA CITY</t>
  </si>
  <si>
    <t>BARANGAY DILAN, POZORRUBIO, PANGASINAN</t>
  </si>
  <si>
    <t>BARANGAY ATABAY, HILONGOS, LEYTE</t>
  </si>
  <si>
    <t>BARANGAY BASIAD, STA. ELENA, CAMARINES  NORTE</t>
  </si>
  <si>
    <t>BARANGAY IMBALBALATONG, POZORRUBIO, PANGASINAN</t>
  </si>
  <si>
    <t>MUNICIPALITY OF MERCEDES, EASTERN SAMAR</t>
  </si>
  <si>
    <t>DEPARTMENT OF PUBLIC WORKS AND HIGHWAYS - APAYAO 1ST DEO</t>
  </si>
  <si>
    <t>DEPARTMENT OF  EDUCATION - DIVISION OF MALOLOS CITY</t>
  </si>
  <si>
    <t>SAN NICOLAS ELEMENTARY SCHOOL</t>
  </si>
  <si>
    <t>MUNICIPALITY OF TUBOD, SURIGAO DEL NORTE</t>
  </si>
  <si>
    <t>GOVERNMENT SERVICE INSURANCE SYSTEM - TACLOBAN BRANCH OFFICE</t>
  </si>
  <si>
    <t>JOHN HAY MANAGEMENT CORPORATION</t>
  </si>
  <si>
    <t>BARANGAY SAPSAP PASTRANA LEYTE</t>
  </si>
  <si>
    <t>BUREAU OF FISHERIES AND AQUATIC RESOURCES - REGION III</t>
  </si>
  <si>
    <t>BUREAU OF JAIL MANAGEMENT AND PENOLOGY XI</t>
  </si>
  <si>
    <t>VICTORIA NATIONAL HIGH SCHOOL</t>
  </si>
  <si>
    <t>BARANGAY 225, ZONE 21 DISTRICT II MANILA</t>
  </si>
  <si>
    <t>BARANGAY NAGTUPACAN, PAMPLONA, CAGAYAN</t>
  </si>
  <si>
    <t>BARANGAY 241, ZONE 22, DISTRICT II, MANILA</t>
  </si>
  <si>
    <t>PHILIPPINE SPORTS COMMISSION</t>
  </si>
  <si>
    <t>MABABANABA NATIONAL HIGH SCHOOL</t>
  </si>
  <si>
    <t>MUNICIPALITY OF PAMPLONA, CAGAYAN</t>
  </si>
  <si>
    <t>BARANGAY TONGONAN, KANANGA, LEYTE</t>
  </si>
  <si>
    <t>MUNICIPALITY OF CONCEPCION, TARLAC</t>
  </si>
  <si>
    <t>CENTER FOR HEALTH DEVELOPMENT - REGION XI</t>
  </si>
  <si>
    <t>MUNICIPALITY OF CLAVERIA, CAGAYAN</t>
  </si>
  <si>
    <t>PHILIPPINE INSTITUTE FOR DEVELOPMENT STUDIES</t>
  </si>
  <si>
    <t>UNIVERSITY OF THE PHILIPPINES - SYSTEM</t>
  </si>
  <si>
    <t>CITY OF CATBALOGAN, SAMAR</t>
  </si>
  <si>
    <t>BARANGAY PUGUIS, LA TRINIDAD, BENGUET</t>
  </si>
  <si>
    <t>BARANGAY TAWAY, IPIL, ZAMBOANGA SIBUGAY</t>
  </si>
  <si>
    <t>MUNICIPALITY OF LEMERY, ILOILO</t>
  </si>
  <si>
    <t>MUNICIPALITY OF BAGAC, BATAAN</t>
  </si>
  <si>
    <t>BARANGAY BULALA NORTE, APARRI, CAGAYAN</t>
  </si>
  <si>
    <t>BARANGAY CONAYNAY, SANTA BARBARA, ILOILO</t>
  </si>
  <si>
    <t>MUNICIPALITY OF TIAONG, QUEZON</t>
  </si>
  <si>
    <t>BARANGAY LIBAS, CATBALOGAN, SAMAR</t>
  </si>
  <si>
    <t>DEPARTMENT OF INFORMATION &amp; COMMUNICATIONS TECHNOLOGY - MIND</t>
  </si>
  <si>
    <t>BARANGAY TAGBONGABONG - R.T. ROMUALDEZ, AGUSAN DEL NORTE</t>
  </si>
  <si>
    <t>BARANGAY CENTRO 4 APARRI CAGAYAN</t>
  </si>
  <si>
    <t>DEPARTMENT OF PUBLIC WORKS AND HIGHWAYS - REGION I</t>
  </si>
  <si>
    <t>BARANGAY SOCORRO, CATBALOGAN CITY, SAMAR</t>
  </si>
  <si>
    <t>BARANGAY IGUID, CATBALOGAN, SAMAR</t>
  </si>
  <si>
    <t>DENR-PENRO,ORIENTAL MINDORO</t>
  </si>
  <si>
    <t>PHILIPPINE RURAL DEVELOPMENT PROJECT-MINDANAO CLUSTER</t>
  </si>
  <si>
    <t>MUNICIPALITY OF BUUG - ZAMBOANGA SIBUGAY</t>
  </si>
  <si>
    <t>PROVINCE OF PANGASINAN</t>
  </si>
  <si>
    <t>DEPARTMENT OF PUBLIC WORKS AND HIGHWAYS - NORTHERN SAMAR 2ND</t>
  </si>
  <si>
    <t>CITY OF DAGUPAN  - PANGASINAN</t>
  </si>
  <si>
    <t>PASSI TRADE SCHOOL</t>
  </si>
  <si>
    <t>MUNICIPALITY OF SEBASTE, ANTIQUE</t>
  </si>
  <si>
    <t>BARANGAY PINAMOPOAN, CAPOOCAN, LEYTE</t>
  </si>
  <si>
    <t>MUNICIPALITY OF TUBA, BENGUET</t>
  </si>
  <si>
    <t>LIGA NG BARANGAY MAASIN ILOILO</t>
  </si>
  <si>
    <t>CITY OF ANGELES, PAMPANGA</t>
  </si>
  <si>
    <t>BARANGAY LOWER DIMOROK - MOLAVE ZAMBOANGA DEL SU</t>
  </si>
  <si>
    <t>MUNICIPALITY OF SAN ROQUE - NORTHERN SAMAR</t>
  </si>
  <si>
    <t>BARANGAY ANIB - SIPOCOT, CAMARINES SUR</t>
  </si>
  <si>
    <t>TARLAC AGRICULTURAL UNIVERSITY</t>
  </si>
  <si>
    <t>KABADIANGAN ELEMENTARY SCHOOL</t>
  </si>
  <si>
    <t>BANTON NATIONAL HIGH SCHOOL - BANTON ROMBLON</t>
  </si>
  <si>
    <t>MUNICIPALITY OF PUDTOL, APAYAO</t>
  </si>
  <si>
    <t>COMMISSION ON HIGHER EDUCATION - REGION VII</t>
  </si>
  <si>
    <t>BARANGAY TARA - SIPOCOT, CAMARINES SUR</t>
  </si>
  <si>
    <t>BARANGAY BULAWAN - SIPOCOT, CAMARINES SUR</t>
  </si>
  <si>
    <t>MUNICIPALITY OF SAN ANDRES, QUEZON</t>
  </si>
  <si>
    <t>PAKIL WATER DISTRICT</t>
  </si>
  <si>
    <t>LAWAAN NATIONAL SCHOOL OF CRAFTSMANSHIP AND HOME INDUSTRIES</t>
  </si>
  <si>
    <t>BARANGAY IV -  BANTAY ILOCOS SUR</t>
  </si>
  <si>
    <t>BARANGAY TALACU-AN, LEON, ILOILO</t>
  </si>
  <si>
    <t>MUNICIPALITY OF STA. TERESITA, CAGAYAN</t>
  </si>
  <si>
    <t>BARANGAY CABARUAN, BACARRA, ILOCOS NORTE</t>
  </si>
  <si>
    <t>BARANGAY SAN GABRIEL I, BACARRA, ILOCOS NORTE</t>
  </si>
  <si>
    <t>MUNICIPALITY OF TOLOSA, LEYTE</t>
  </si>
  <si>
    <t>MUNICIPALITY OF JUBAN, SORSOGON</t>
  </si>
  <si>
    <t>MUNICIPALITY OF KIBUNGAN, BENGUET</t>
  </si>
  <si>
    <t>BARANGAY MUNGO, TUAO, CAGAYAN</t>
  </si>
  <si>
    <t>DEPARTMENT OF NATIONAL DEFENSE - GOVERNMENT ARSENAL, BATAAN</t>
  </si>
  <si>
    <t>BARANGAY TAGABAKID, MATI, DAVAO ORIENTAL</t>
  </si>
  <si>
    <t>MUNICIPALITY OF SIGMA, CAPIZ</t>
  </si>
  <si>
    <t>BARANGAY SACRITAN - PINILI ILOCOS NORTE</t>
  </si>
  <si>
    <t>MUNICIPALITY OF SILANG , CAVITE</t>
  </si>
  <si>
    <t>BARANGAY TAGBUANE - ALBURQUERQUE, BOHOL</t>
  </si>
  <si>
    <t>PILI INTEGRATED SCHOOL - DANAO CITY CEBU</t>
  </si>
  <si>
    <t>BARANGAY CASIAN, TAYTAY, PALAWAN</t>
  </si>
  <si>
    <t>MUNICIPALITY OF LILIW, LAGUNA</t>
  </si>
  <si>
    <t>BUREAU OF PLANT INDUSTRY - REGION X</t>
  </si>
  <si>
    <t>DA - PHILIPPINE RURAL DEVELOPMENT PROJECT - CARAGA</t>
  </si>
  <si>
    <t>NATIONAL FOOD AUTHORITY - MAIN</t>
  </si>
  <si>
    <t>BARANGAY TALAHIB, DARAGA, ALBAY</t>
  </si>
  <si>
    <t>PROVINCE OF SAMAR</t>
  </si>
  <si>
    <t>CITY OF BACOLOD, NEGROS OCCIDENTAL</t>
  </si>
  <si>
    <t>SK OF BARANGAY WAWA II - ROSARIO CAVITE</t>
  </si>
  <si>
    <t>BARAGAY MAANGAS -  PRESENTACION, CAMARINES SUR</t>
  </si>
  <si>
    <t>MUNICIPALITY OF SOLSONA, ILOCOS NORTE</t>
  </si>
  <si>
    <t>BARANGAY AGLAYAN, MALAYBALAY CITY</t>
  </si>
  <si>
    <t>MUNICIPALITY OF STA. CRUZ, OCCIDENTAL MINDORO</t>
  </si>
  <si>
    <t>MUNICIPALITY OF SAN FRANCISCO, CEBU</t>
  </si>
  <si>
    <t>MUNICIPALITY OF SAN GUILLERMO, ISABELA</t>
  </si>
  <si>
    <t>LBP RESOURCES AND DEVELOPMENT CORPORATION</t>
  </si>
  <si>
    <t>BARANGAY KASING-KASING MOLO, ILOILO CITY</t>
  </si>
  <si>
    <t>MUNICIPALITY OF JAMINDAN, CAPIZ</t>
  </si>
  <si>
    <t>MUNICIPALITY OF ROSARIO, AGUSAN DEL SUR</t>
  </si>
  <si>
    <t>BARANGAY AMBARACAO SUR, NAGUILIAN, LA UNION</t>
  </si>
  <si>
    <t>UNIVERSITY OF THE PHILIPPINES - LOS BAÑOS</t>
  </si>
  <si>
    <t>BARANGAY BUENAVISTA - PRESENTACION, CAMARINES SUR</t>
  </si>
  <si>
    <t>MUNICIPALITY OF STO. TOMAS, PANGASINAN</t>
  </si>
  <si>
    <t>BARANGAY SAN JUAN, MOLO, ILOILO CITY</t>
  </si>
  <si>
    <t>BARANGAY CABOLOAN SUR, OTON, ILOILO</t>
  </si>
  <si>
    <t>BARANGAY SILANGAN UNO - ROSARIO CAVITE</t>
  </si>
  <si>
    <t>DR. FELIPE DE JESUS NATIONAL HIGH SCHOOL</t>
  </si>
  <si>
    <t>BARANGAY POBLACION ROSARIO CAVITE</t>
  </si>
  <si>
    <t>MINES &amp; GEOSCIENCES BUREAU - REGION XI</t>
  </si>
  <si>
    <t>PEOPLE'S TELEVISION NETWORK, INC.</t>
  </si>
  <si>
    <t>MUNICIPALITY OF ITOGON, BENGUET</t>
  </si>
  <si>
    <t>PNOC - ALTERNATIVE FUELS CORPORATION</t>
  </si>
  <si>
    <t>MUNICIPALITY OF BASCO, BATANES</t>
  </si>
  <si>
    <t>KATIPUNAN NATIONAL HIGH SCHOOL</t>
  </si>
  <si>
    <t>MUNICIPALITY OF GENERAL NAKAR, QUEZON</t>
  </si>
  <si>
    <t>MUNICIPALITY OF DAUIS, BOHOL</t>
  </si>
  <si>
    <t>SINILOAN WATER DISTRICT</t>
  </si>
  <si>
    <t>MUNICIPALITY OF LA LIBERTAD, NEGROS ORIENTAL</t>
  </si>
  <si>
    <t>BARANGAY LOWER BALURAN - IMELDA ZAMBOANGA SIBUGAY</t>
  </si>
  <si>
    <t>BARANGAY LUZON, CLAVERIA, CAGAYAN</t>
  </si>
  <si>
    <t>BARANGAY WAWA II ROSARIO CAVITE</t>
  </si>
  <si>
    <t>DEPARTMENT OF SCIENCE AND TECHNOLOGY - REGION IV-B</t>
  </si>
  <si>
    <t>MUNICIPALITY OF LAOANG, NORTHERN SAMAR</t>
  </si>
  <si>
    <t>MUNICIPALITY OF CALABANGA, CAMARINES SUR</t>
  </si>
  <si>
    <t>BARANGAY TAGPOPONGAN ISLAND GARDEN CITY OF SAMAL DAVAO DEL N</t>
  </si>
  <si>
    <t>NATIONAL ECONOMIC AND DEVELOPMENT AUTHORITY - REGION II</t>
  </si>
  <si>
    <t xml:space="preserve">DEPARTMENT OF PUBLIC WORKS AND HIGHWAYS - COMPOSTELA VALLEY </t>
  </si>
  <si>
    <t>CALULUT ELEMENTARY SCHOOL</t>
  </si>
  <si>
    <t>DEPARTMENT OF EDUCATION - DIVISION OF PAGADIAN CITY</t>
  </si>
  <si>
    <t>MUNICIPALITY OF QUIRINO, ISABELA</t>
  </si>
  <si>
    <t>MUNICIPALITY OF LABANGAN, ZAMBOANGA DEL SUR</t>
  </si>
  <si>
    <t>MUNICIPALITY OF CAOAYAN, ILOCOS SUR</t>
  </si>
  <si>
    <t>DEPARTMENT OF PUBLIC WORKS AND HIGHWAYS - MT. PROVINCE I DEO</t>
  </si>
  <si>
    <t>MUNICIPALITY OF BATO, CAMARINES SUR</t>
  </si>
  <si>
    <t>NATIONAL TELECOMMUNICATIONS COMMISSION</t>
  </si>
  <si>
    <t>BARANGAY 54 ZONE 4 DISTRICT I</t>
  </si>
  <si>
    <t>BARANGAY MAMALINGLING, DAGUPAN CITY</t>
  </si>
  <si>
    <t>BARANGAY DUMANTAY, BATANGAS CITY</t>
  </si>
  <si>
    <t>BARANGAY 104 ZONE 8 DISTRICT 1</t>
  </si>
  <si>
    <t>METRO BANGUED WATER DISTRICT</t>
  </si>
  <si>
    <t>BARANGAY GONZALES, TUBAO, LA UNION</t>
  </si>
  <si>
    <t>BARANGAY TIGBAO, AROROY, MASBATE</t>
  </si>
  <si>
    <t>BARANGAY DALAHICAN, LUCENA CITY</t>
  </si>
  <si>
    <t>BARANGAY NEW MAHAYAG, CATBALOGAN, SAMAR</t>
  </si>
  <si>
    <t>BARANGAY ORANBO, PASIG CITY</t>
  </si>
  <si>
    <t>BARANGAY II-B, SAN PABLO CITY</t>
  </si>
  <si>
    <t>BARANGAY BONUAN BINLOC, DAGUPAN CITY</t>
  </si>
  <si>
    <t>SAN ROQUE NATIONAL HIGH SCHOOL</t>
  </si>
  <si>
    <t>PHILIPPINE NATIONAL POLICE - SPECIAL ACTION FORCE</t>
  </si>
  <si>
    <t>DEPARTMENT OF PUBLIC WORKS AND HIGHWAYS - NEG. OCC. 2ND DEO</t>
  </si>
  <si>
    <t>DEPARTMENT OF PUBLIC WORKS AND HIGHWAYS - MINDORO ORIENTAL D</t>
  </si>
  <si>
    <t>CIVIL SERVICE COMMISSION - REGION II</t>
  </si>
  <si>
    <t>NATIONAL FOOD AUTHORITY - TARLAC</t>
  </si>
  <si>
    <t>BARANGAY MALABANBAN SUR, CANDELARIA, QUEZON</t>
  </si>
  <si>
    <t>BARANGAY SEMIRARA, CALUYA, ANTIQUE</t>
  </si>
  <si>
    <t>MUNICIPALITY OF SAN MIGUEL, CATANDUANES</t>
  </si>
  <si>
    <t>EAST AVENUE MEDICAL CENTER</t>
  </si>
  <si>
    <t>DEPARTMENT OF ENVIRONMENT AND NATURAL RES. - PENRO, ALBAY</t>
  </si>
  <si>
    <t>DEVELOPMENT BANK OF THE PHILIPPINES - BBG - NORTHERN MINDANA</t>
  </si>
  <si>
    <t>PHILIPPINE SCIENCE HIGH SCHOOL - REGION V</t>
  </si>
  <si>
    <t>BARANGAY 58, CASILI, LAOAG CITY, ILOCOS NORTE</t>
  </si>
  <si>
    <t>BARANGAY MINANGA CAMALANIUGAN CAGAYAN</t>
  </si>
  <si>
    <t>NATIONAL IRRIGATION ADMINISTRATION - CAR</t>
  </si>
  <si>
    <t>LAND TRANSPORTATION OFFICE - MAIN</t>
  </si>
  <si>
    <t>BARANGAY STA. LUCIA - PASIG CITY</t>
  </si>
  <si>
    <t>MUNICIPALITY OF LUPON, DAVAO ORIENTAL</t>
  </si>
  <si>
    <t>MUNICIPALITY OF SUYO, ILOCOS SUR</t>
  </si>
  <si>
    <t>COOPERATIVE DEVELOPMENT AUTHORITY - REGION VIII</t>
  </si>
  <si>
    <t>SUGAR REGULATORY ADMINISTRATION - VISAYAS</t>
  </si>
  <si>
    <t>DEPARTMENT OF PUBLIC WORKS AND HIGHWAYS - PAMPANGA 3RD DEO</t>
  </si>
  <si>
    <t>SUGAR REGULATORY ADMINISTRATION</t>
  </si>
  <si>
    <t>BARANGAY MAPGAP, TOMAS OPPUS, SOUTHERN LEYTE</t>
  </si>
  <si>
    <t>DEPARTMENT OF EDUCATION - DIVISION OF GUIMARAS</t>
  </si>
  <si>
    <t>SOCIAL SECURITY SYSTEM - NCR NORTH DIVISION</t>
  </si>
  <si>
    <t>DEPARTMENT OF PUBLIC WORKS AND HIGHWAYS - ABRA ED</t>
  </si>
  <si>
    <t>PROFESSIONAL REGULATION COMMISSION - ROSALES PANGASINAN</t>
  </si>
  <si>
    <t>MUNICIPALITY OF ZAMBOANGUITA, NEGROS ORIENTAL</t>
  </si>
  <si>
    <t xml:space="preserve">DEPARTMENT OF PUBLIC WORKS AND HIGHWAYS - CAMARINES SUR 5TH </t>
  </si>
  <si>
    <t>BAGUIO WATER DISTRICT - BAGUIO CITY</t>
  </si>
  <si>
    <t xml:space="preserve">TECHNICAL EDUCATION &amp; SKILLS DEVELOPMENT AUTHORITY - REGION </t>
  </si>
  <si>
    <t>DEPARTMENT OF SCIENCE AND TECHNOLOGY - REGION V</t>
  </si>
  <si>
    <t>BARANGAY CANO-AN - ESTANCIA ILOILO</t>
  </si>
  <si>
    <t>PHILIPPINE HEALTH INSURANCE CORPORATION - REGION IX</t>
  </si>
  <si>
    <t>BARANGAY CAOAYAN - SUAL PANGASINAN</t>
  </si>
  <si>
    <t>DEPARTMENT OF ENVIRONMENT AND NATURAL RES. - PENRO, N. VIZCA</t>
  </si>
  <si>
    <t>MINES AND GEOSCIENCES BUREAU - REGION I</t>
  </si>
  <si>
    <t>CENTRAL BICOL STATE UNIVERSITY OF AGRICULTURE (CBSUA)</t>
  </si>
  <si>
    <t>BARANGAY TINA, SAN MIGUEL, SURIGAO DEL SUR</t>
  </si>
  <si>
    <t>MUNICIPALITY OF SEVILLA, BOHOL</t>
  </si>
  <si>
    <t>CITY  OF CADIZ, NEGROS OCCIDENTAL</t>
  </si>
  <si>
    <t>INSTITUTE FOR LABOR STUDIES - MANILA METRO MANILA</t>
  </si>
  <si>
    <t>MUNICIPALITY OF BACOLOR, PAMPANGA</t>
  </si>
  <si>
    <t>DEPARTMENT OF PUBLIC WORKS AND HIGHWAYS - SURIGAO DEL SUR 1S</t>
  </si>
  <si>
    <t>PROVINCE OF SURIGAO DEL NORTE</t>
  </si>
  <si>
    <t>NATIONAL DAIRY AUTHORITY - REGION X</t>
  </si>
  <si>
    <t>BUREAU OF FISHERIES AND AQUATIC RESOURCES - RV</t>
  </si>
  <si>
    <t>MINES AND GEOSCIENCES BUREAU - MIMAROPA REGION</t>
  </si>
  <si>
    <t>BALIWAG WATER DISTRICT</t>
  </si>
  <si>
    <t>NATIONAL POLICE COMMISSION</t>
  </si>
  <si>
    <t>MUNICIPALITY OF LUNA, ISABELA</t>
  </si>
  <si>
    <t>MUNICIPALITY OF PRES. MANUEL A. ROXAS, ZAMBOANGA DEL NORTE</t>
  </si>
  <si>
    <t>BARANGAY SUNGGIAM - ILOCOS SUR</t>
  </si>
  <si>
    <t>MUNICIPALITY OF MAINIT, SURIGAO DEL NORTE</t>
  </si>
  <si>
    <t>PINES CITY NATIONAL HIGH SCHOOL</t>
  </si>
  <si>
    <t>MUNICIPALITY OF LAGUINDINGAN, MISAMIS ORIENTAL</t>
  </si>
  <si>
    <t>MUNICIPALITY OF IMPASUGONG, BUKIDNON</t>
  </si>
  <si>
    <t>DEPARTMENT OF PUBLIC WORKS AND HIGHWAYS - CEBU CITY DEO</t>
  </si>
  <si>
    <t>PHILIPPINE NATIONAL POLICE - LOGISTICS SUPPORT SERVICE</t>
  </si>
  <si>
    <t>DEPARTMENT OF PUBLIC WORKS AND HIGHWAYS - PALAWAN 2ND DEO</t>
  </si>
  <si>
    <t>BARANGAY CATBANGEN - SAN FERNANDO CITY, LA UNION</t>
  </si>
  <si>
    <t>MUNICIPALITY OF PANGANIBAN, CATANDUANES</t>
  </si>
  <si>
    <t>MUNICIPALITY OF PAOAY, ILOCOS NORTE</t>
  </si>
  <si>
    <t>NATIONAL IRRIGATION ADMINISTRATION</t>
  </si>
  <si>
    <t>BARANGAY SAN MIGUEL, SAN PABLO CITY</t>
  </si>
  <si>
    <t>BARANGAY 838 ZONE 91, DISTRICT VI MANILA</t>
  </si>
  <si>
    <t>DEPARTMENT OF PUBLIC WORKS AND HIGHWAYS - NORTH COTABATO 1ST</t>
  </si>
  <si>
    <t>DEPARTMENT OF PUBLIC WORKS AND HIGHWAYS - REGION IV-B</t>
  </si>
  <si>
    <t>DEPARTMENT OF PUBLIC WORKS AND HIGHWAYS - METRO MANILA 3RD E</t>
  </si>
  <si>
    <t>LICAB WATER DISTRICT</t>
  </si>
  <si>
    <t>DEPARTMENT OF AGRICULTURE - REGION IV-B (MIMAROPA)</t>
  </si>
  <si>
    <t>BARANGAY LANTAP, BAGABAG, NUEVA VIZCAYA</t>
  </si>
  <si>
    <t>HOME DEVELOPMENT MUTUAL FUND - IMUS BRANCH</t>
  </si>
  <si>
    <t>BARANGAY VILLA PANTINOPLE - BASILISA, DINAGAT ISLAND</t>
  </si>
  <si>
    <t>DEPARTMENT OF PUBLIC WORKS AND HIGHWAYS - CAVITE 3RD DISTRIC</t>
  </si>
  <si>
    <t>MUNICIPALITY OF BAUAN, BATANGAS</t>
  </si>
  <si>
    <t>BARANGAY PINYA, LABO, CAMARINES NORTE</t>
  </si>
  <si>
    <t>ILOILO STATE COLLEGE OF FISHERIES - MAIN CAMPUS</t>
  </si>
  <si>
    <t>DEPARTMENT OF PUBLIC WORKS AND HIGHWAYS - ISABELA 3RD DEO</t>
  </si>
  <si>
    <t>DEPARTMENT OF PUBLIC WORKS AND HIGHWAYS - REGION IX</t>
  </si>
  <si>
    <t>BARANGAY TIBANG - SAN ANDRES, CATANDUANES</t>
  </si>
  <si>
    <t>BARANGAY DIVINO ROSTRO - SAN ANDRES CATANDUANES</t>
  </si>
  <si>
    <t>BARANGAY CALANUTIAN - SAN NICOLAS PANGASINAN</t>
  </si>
  <si>
    <t>BARANGAY 216 ZONE 20 DISTRICT II, MANILA</t>
  </si>
  <si>
    <t>MUNICIPALITY OF MANDAON, MASBATE</t>
  </si>
  <si>
    <t>BARANGAY CABANAETAN, MABINI, PANGASINAN</t>
  </si>
  <si>
    <t>PHILIPPINE NUCLEAR RESEARCH INSTITUTE</t>
  </si>
  <si>
    <t>BARANGAY DE GUZMAN, MABINI, PANGASINAN</t>
  </si>
  <si>
    <t>BARANGAY BALLOG - BACNOTAN, LA UNION</t>
  </si>
  <si>
    <t>NATIONAL MEAT INSPECTION  SERVICE</t>
  </si>
  <si>
    <t>MUNICIPALITY OF ALITAGTAG, BATANGAS</t>
  </si>
  <si>
    <t>BARANGAY 245 ZONE 22 DISTRICT 2, MANILA</t>
  </si>
  <si>
    <t>DEPARTMENT OF PUBLIC WORKS AND HIGHWAYS - COTABATO SUB-DEO</t>
  </si>
  <si>
    <t>BARANGAY LIM-AO, KANANGA, LEYTE</t>
  </si>
  <si>
    <t>BARANGAY POBLACION, SULOP, DAVAO DEL SUR</t>
  </si>
  <si>
    <t>TALA HIGH SCHOOL</t>
  </si>
  <si>
    <t>DON JOSE S. MONFORT MEDICAL CENTER EXTENSION HOSPITAL</t>
  </si>
  <si>
    <t>MUNICIPALITY OF PRESENTACION, CAMARINES SUR</t>
  </si>
  <si>
    <t>MUNICIPALITY OF ALOGUINSAN, CEBU</t>
  </si>
  <si>
    <t>PHILIPPINE PORTS AUTHORITY - PMO ILIGAN</t>
  </si>
  <si>
    <t>MUNICIPALITY OF PAMBUJAN, NORTHERN SAMAR</t>
  </si>
  <si>
    <t>BARANGAY SAN ANTONIO, PASIG CITY</t>
  </si>
  <si>
    <t>LIGA NG MGA BARANGAY, MAGSINGAL, ILOCOS SUR CHAPTER</t>
  </si>
  <si>
    <t>DEPARTMENT OF AGRARIAN REFORM - QUEZON II PROVINCIAL OFFICE</t>
  </si>
  <si>
    <t>CITY OF DIPOLOG, ZAMBOANGA DEL NORTE</t>
  </si>
  <si>
    <t>BARANGAY SAN JOSE, BAGGAO, CAGAYAN</t>
  </si>
  <si>
    <t>MUNICIPALITY OF VILLASIS, PANGASINAN</t>
  </si>
  <si>
    <t>BARANGAY IBULO, BAGGAO, CAGAYAN</t>
  </si>
  <si>
    <t>BARANGAY ALEGRIA SAN FRANCISCO AGUSAN DEL SUR</t>
  </si>
  <si>
    <t>CITY GOVERNMENT OF BACOOR</t>
  </si>
  <si>
    <t>BARANGAY POBLACION ZONE I, CAPOOCAN,LEYTE</t>
  </si>
  <si>
    <t>BARANGAY ASINGA-VIA, BAGGAO, CAGAYAN</t>
  </si>
  <si>
    <t>MUNICIPALITY OF SAN NARCISO, QUEZON</t>
  </si>
  <si>
    <t>BARANGAY WARD I, SAN ANTONIO, NORTHERN SAMAR</t>
  </si>
  <si>
    <t>MUNICIPALITY OF LABASON, ZAMBOANGA DEL NORTE</t>
  </si>
  <si>
    <t>DEPARTMENT OF PUBLIC WORKS AND HIGHWAYS - MISAMIS ORIENTAL 1</t>
  </si>
  <si>
    <t>NATIONAL IRRIGATION ADMINISTRATION - MARIIS, DIVISION II</t>
  </si>
  <si>
    <t>MUNICIPALITY OF SAN JUAN, SOUTHERN LEYTE</t>
  </si>
  <si>
    <t>MUNICIPALITY OF TINGLAYAN, KALINGA</t>
  </si>
  <si>
    <t>PHILIPPINE NATIONAL POLICE - INFORMATION TECHNOLOGY MANAGEME</t>
  </si>
  <si>
    <t>MUNICIPALITY OF VILLABA, LEYTE</t>
  </si>
  <si>
    <t>BARANGAY DUMAGMANG, LABO, CAMARINES NORTE</t>
  </si>
  <si>
    <t>BARANGAY SAN PEDRO -  TALIBON BOHOL</t>
  </si>
  <si>
    <t>ISLAND GARDEN CITY OF SAMAL WATER DISTRICT</t>
  </si>
  <si>
    <t>MUNICIPALITY OF CABATUAN, ILOILO</t>
  </si>
  <si>
    <t>RAMON MAGSAYSAY HIGH SCHOOL</t>
  </si>
  <si>
    <t>MUNICIPALITY OF MAPANAS, NORTHERN SAMAR</t>
  </si>
  <si>
    <t>BARANGAY SALOG, SORSOGON CITY, SORSOGON</t>
  </si>
  <si>
    <t>BARANGAY LOWER LOBOC, OROQUIETA CITY</t>
  </si>
  <si>
    <t>MUNICIPALITY OF PINABACDAO, SAMAR</t>
  </si>
  <si>
    <t>MUNICIPALITY OF KAYAPA, NUEVA VIZCAYA</t>
  </si>
  <si>
    <t>CITY OF MAKATI</t>
  </si>
  <si>
    <t>BARANGAY BARANCUAG - TUAO CAGAYAN</t>
  </si>
  <si>
    <t>BARANGAY 50, BUTTONG, LAOAG CITY</t>
  </si>
  <si>
    <t>CITY OF EL SALVADOR, MISAMIS ORIENTAL</t>
  </si>
  <si>
    <t>MUNICIPALITY OF CALINTAAN, OCCIDENTAL MINDORO</t>
  </si>
  <si>
    <t>MUNICIPALITY OF MANUKAN, ZAMBOANGA DEL NORTE</t>
  </si>
  <si>
    <t>BARANGAY  DAGUPAN - TUAO CAGAYAN</t>
  </si>
  <si>
    <t>BARANGAY I(BONTOG), MATAAS NA KAHOY, BATANGAS</t>
  </si>
  <si>
    <t>PHILIPPINE STATISTICS AUTHORITY - BUKIDNON</t>
  </si>
  <si>
    <t>BARANGAY CAGUMITAN - TUAO CAGAYAN</t>
  </si>
  <si>
    <t>MUNICIPALITY OF CASIGURAN, SORSOGON</t>
  </si>
  <si>
    <t>BARANGAY LITTLE BAAGUIO - IMELDA ZAMBOANGA SIBUGAY</t>
  </si>
  <si>
    <t>BARANGAY NANGKAAN, MATAAS NA KAHOY, BATANGAS</t>
  </si>
  <si>
    <t>DEPARTMENT OF PUBLIC WORKS AND HIGHWAYS - ALBAY 2ND DEO</t>
  </si>
  <si>
    <t>BARANGAY BUKAL NORTE, CANDELARIA, QUEZON</t>
  </si>
  <si>
    <t>PHILIPPINE NATIONAL POLICE - POLICE REGIONAL OFFICE 2</t>
  </si>
  <si>
    <t>BARANGAY SAN JOAQUIN, CAPOOCAN, LEYTE</t>
  </si>
  <si>
    <t>BARANGAY BAGANIAN - TABINA ZAMBOANGA DEL SUR</t>
  </si>
  <si>
    <t>BARANGAY STA. ROSA, PASIG CITY</t>
  </si>
  <si>
    <t>CITY OF CANDON, ILOCOS SUR</t>
  </si>
  <si>
    <t>MUNICIPALITY OF MACROHON, SOUTHERN LEYTE</t>
  </si>
  <si>
    <t>CIVIL SERVICE COMMISSION - NCR</t>
  </si>
  <si>
    <t>MUNICIPALITY OF PRESIDENT ROXAS, CAPIZ</t>
  </si>
  <si>
    <t>DEPARTMENT OF AGRARIAN REFORM - BUKIDNON</t>
  </si>
  <si>
    <t>PHILIPPINE PORTS AUTHORITY - HEAD OFFICE</t>
  </si>
  <si>
    <t>MUNICIPALITY OF ARACELI, PALAWAN</t>
  </si>
  <si>
    <t>BARANGAY CAPSAY, AROROY, MASBATE</t>
  </si>
  <si>
    <t>DEPARTMENT OF PUBLIC WORKS AND HIGHWAYS - PANGASINAN 3RD DEO</t>
  </si>
  <si>
    <t>MUNICIPALITY OF ISULAN, SULTAN KUDARAT</t>
  </si>
  <si>
    <t>TALIBON WATER DISTRICT</t>
  </si>
  <si>
    <t>REGIONAL SCIENCE HIGH SCHOOL - REGION I</t>
  </si>
  <si>
    <t>BARANGAY CUYAOYAO, PIO DURAN, ALBAY</t>
  </si>
  <si>
    <t>PHILIPPINE SCIENCE HIGH SCHOOL - CAR CAMPUS</t>
  </si>
  <si>
    <t>MUNICIPALITY OF SAN ISIDRO, NORTHERN SAMAR</t>
  </si>
  <si>
    <t>AGRICULTURAL TRAINING INSTITUTE-CORDILLERA ADMINISTRATIVE RE</t>
  </si>
  <si>
    <t>BARANGAY KAPATAGAN, DIGOS CITY</t>
  </si>
  <si>
    <t>MUNICIPALITY OF RAGAY, CAMARINES SUR</t>
  </si>
  <si>
    <t>MUNICIPALITY OF INDANG, CAVITE</t>
  </si>
  <si>
    <t>BARANGAY ARANGIN, NAUJAN, ORIENTAL MINDORO</t>
  </si>
  <si>
    <t>MUNICIPALITY OF ODIONGAN, ROMBLON</t>
  </si>
  <si>
    <t>MUNICIPALITY OF PIO DURAN, ALBAY</t>
  </si>
  <si>
    <t>UNIVERSITY OF SOUTHERN MINDANAO - KIDAPAWAN CITY CAMPUS</t>
  </si>
  <si>
    <t>MUNICIPALITY OF CARAMORAN, CATANDUANES</t>
  </si>
  <si>
    <t>MUNICIPALITY OF ILOG, NEGROS OCCIDENTAL</t>
  </si>
  <si>
    <t>BARANGAY VISAYAN VILLAGE, TAGUM CITY</t>
  </si>
  <si>
    <t>CALAMBA WATER DISTRICT</t>
  </si>
  <si>
    <t>DEPARTMENT OF PUBLIC WORKS AND HIGHWAYS - DAVAO DEL SUR DIST</t>
  </si>
  <si>
    <t>BARANGAY IBA O'ESTE CALUMPIT BULACAN</t>
  </si>
  <si>
    <t>MUNICIPALITY OF OPOL, MISAMIS ORIENTAL</t>
  </si>
  <si>
    <t>NATIONAL POLICE COMMISSION - REGION VII</t>
  </si>
  <si>
    <t>DEPARTMENT OF PUBLIC WORKS AND HIGHWAYS - GUIMARAS DEO</t>
  </si>
  <si>
    <t>MUNICIPALITY OF GOA, CAMARINES SUR</t>
  </si>
  <si>
    <t>BARANGAY SAN ANTONIO ISLA VERDE, BATANGAS CITY</t>
  </si>
  <si>
    <t>DEPARTMENT OF PUBLIC WORKS AND HIGHWAYS - CEBU 4TH DEO</t>
  </si>
  <si>
    <t>BARANGAY CAPAY-CAPAY - DUEÑAS ILOILO</t>
  </si>
  <si>
    <t>MUNICIPALITY OF ALCALA, CAGAYAN</t>
  </si>
  <si>
    <t>BARANGAY MAHABANG DAHILIG -BATANGAS CITY BATANGAS</t>
  </si>
  <si>
    <t>BARANGAY BURABOD, CASTILLA, SORSOGON</t>
  </si>
  <si>
    <t>CARAGA STATE UNIVERSITY - CABADBARAN CAMPUS</t>
  </si>
  <si>
    <t>NATIONAL IRRIGATION ADMINISTRATION - DAVAO DEL NORTE IMO</t>
  </si>
  <si>
    <t>CENTER FOR HEALTH DEVELOPMENT - REGION IV-B (MIMAROPA)</t>
  </si>
  <si>
    <t>BARANGAY BACAO -  TAYSAN BATANGAS</t>
  </si>
  <si>
    <t>BARANGAY SAN FRANCISCO EAST - ANAO TARLAC</t>
  </si>
  <si>
    <t>DEPARTMENT OF AGRARIAN REFORM - MAIN</t>
  </si>
  <si>
    <t>MUNICIPALITY OF MARIPIPI, BILIRAN</t>
  </si>
  <si>
    <t>MUNICIPALITY OF AJUY, ILOILO</t>
  </si>
  <si>
    <t>BARANGAY POBLACION 14, BATANGAS CITY, BATANGAS</t>
  </si>
  <si>
    <t>DEPARTMENT OF TRADE AND INDUSTRY - REGION XI</t>
  </si>
  <si>
    <t>BARANGAY CHIMENEA, CATAINGAN, MASBATE</t>
  </si>
  <si>
    <t>BARANGAY DIVISORIA, CATAINGAN, MASBATE</t>
  </si>
  <si>
    <t>BARANGAY DAP-DAP, RAPU-RAPU, ALBAY</t>
  </si>
  <si>
    <t>BARANGAY MALLORGA - TALALORA, SAMAR</t>
  </si>
  <si>
    <t>BARANGAY CASILI, ANAO, TARLAC</t>
  </si>
  <si>
    <t>DEPARTMENT OF PUBLIC WORKS AND HIGHWAYS - PANGASINAN 1ST DEO</t>
  </si>
  <si>
    <t>BARANGAY BANGCUD, MALAYBALAY CITY</t>
  </si>
  <si>
    <t>MUNICIPALITY OF NAGUILIAN, ISABELA</t>
  </si>
  <si>
    <t>BARANGAY LAM-AN, OZAMIS CITY</t>
  </si>
  <si>
    <t>MUNICIPALITY OF SALAY , MISAMIS ORIENTAL</t>
  </si>
  <si>
    <t>MUNICIPALITY OF RIZAL, KALINGA</t>
  </si>
  <si>
    <t>DAMPOL 2ND NATIONAL HIGH SCHOOL</t>
  </si>
  <si>
    <t>MUNICIPALITY OF LIBUNGAN, COTABATO</t>
  </si>
  <si>
    <t>DEPARTMENT OF PUBLIC WORKS AND HIGHWAYS - BATANGAS IV DEO</t>
  </si>
  <si>
    <t>BARANGAY BANLAG, MONKAYO, COMPOSTELA VALLEY</t>
  </si>
  <si>
    <t>MUNICIPALITY OF TUBOD, LANAO DEL NORTE</t>
  </si>
  <si>
    <t>BARANGAY SAN MIGUEL, TAGUM CITY, DAVAO DEL NORTE</t>
  </si>
  <si>
    <t>BARANGAY LIBERTAD - NABAS AKLAN</t>
  </si>
  <si>
    <t>MUNICIPALITY OF SAN SIMON, PAMPANGA</t>
  </si>
  <si>
    <t>MUNICIPALITY OF MAYOYAO, IFUGAO</t>
  </si>
  <si>
    <t>BARANGAY MAPULO - TAYSAN, BATANGAS</t>
  </si>
  <si>
    <t>CITY OF TABUK, KALINGA</t>
  </si>
  <si>
    <t>SAN PABLO 2ND NATIONAL HIGH SCHOOL</t>
  </si>
  <si>
    <t>BARANGAY LANANG, AROROY, MASBATE</t>
  </si>
  <si>
    <t>MUNICIPALITY OF TUNGAWAN, ZAMBOANGA SIBUGAY</t>
  </si>
  <si>
    <t>BARANGAY SAN RAFAEL - PATNONGON, ANTIQUE</t>
  </si>
  <si>
    <t>BARANGAY 8 POBLACION - TIGBAUAN ILOILO</t>
  </si>
  <si>
    <t>DAVAO PRISON AND PENAL FARM - BRAULIO E. DUJALI</t>
  </si>
  <si>
    <t>BARANGAY IRISAN, BAGUIO CITY</t>
  </si>
  <si>
    <t>MUNICIPALITY OF MABINI, PANGASINAN</t>
  </si>
  <si>
    <t xml:space="preserve">BARANGAY BASUD, SAN ISIDRO, LEYTE </t>
  </si>
  <si>
    <t>CAGAYAN DE ORO CITY WATER DISTRICT</t>
  </si>
  <si>
    <t>MUNICIPALITY OF LEBAK, SULTAN KUDARAT</t>
  </si>
  <si>
    <t>MUNICIPALITY OF SAN REMIGIO, CEBU</t>
  </si>
  <si>
    <t>MUNICIPALITY OF SAN QUINTIN, ABRA</t>
  </si>
  <si>
    <t>BARANGAY PASONG TAMO, QUEZON CITY</t>
  </si>
  <si>
    <t>MUNICIPALITY OF LUBA, ABRA</t>
  </si>
  <si>
    <t>OFFICE OF CIVIL DEFENSE</t>
  </si>
  <si>
    <t>BARANGAY BAGUINGIN TIGBAUAN ILO-ILO</t>
  </si>
  <si>
    <t>DEPARTMENT OF PUBLIC WORKS AND HIGHWAYS - LEYTE 1ST ED</t>
  </si>
  <si>
    <t>MUNICIPALITY OF KALAYAAN, PALAWAN</t>
  </si>
  <si>
    <t>DEPARTMENT OF PUBLIC WORKS AND HIGHWAYS - BATANGAS 1ST DISTR</t>
  </si>
  <si>
    <t>MUNICIPALITY OF BAUNGON, BUKIDNON</t>
  </si>
  <si>
    <t>SOCIAL SECURITY SYSTEM - LUZON SOUTH DIVISION 2</t>
  </si>
  <si>
    <t>MUNICIPALITY OF RAMON MAGSAYSAY, ZAMBOANGA DEL SUR</t>
  </si>
  <si>
    <t>BARANGAY POBLACION, RAPU-RAPU, ALBAY</t>
  </si>
  <si>
    <t>MUNICIPALITY OF ARGAO, CEBU</t>
  </si>
  <si>
    <t>MUNICIPALITY OF BARBAZA, ANTIQUE</t>
  </si>
  <si>
    <t>DEPARTMENT OF PUBLIC WORKS AND HIGHWAYS - CAGAYAN DE ORO CIT</t>
  </si>
  <si>
    <t>MUNICIPALITY OF NUEVA VALENCIA, GUIMARAS</t>
  </si>
  <si>
    <t>BINALONAN WATER DISTRICT</t>
  </si>
  <si>
    <t>PROVINCIAL GOVERNMENT OF CAMARINES NORTE</t>
  </si>
  <si>
    <t>MUNICIPALITY OF PAGSANGHAN, SAMAR</t>
  </si>
  <si>
    <t>MANAOAG NATIONAL HIGH SCHOOL</t>
  </si>
  <si>
    <t>OFFICE OF THE PRESIDENT</t>
  </si>
  <si>
    <t>BARANGAY NAPO, BOHOL</t>
  </si>
  <si>
    <t>DEPARTMENT OF PUBLIC WORKS AND HIGHWAYS - PANGASINAN IV DEO</t>
  </si>
  <si>
    <t>DEPARTMENT OF EDUCATION - DIVISION OF BUTUAN CITY</t>
  </si>
  <si>
    <t>MUNICIPALITY OF SIBALOM, ANTIQUE</t>
  </si>
  <si>
    <t>NATIONAL ECONOMIC AND DEVELOPMENT AUTHORITY - RVII</t>
  </si>
  <si>
    <t>DEPARTMENT OF PUBLIC WORKS AND HIGHWAYS SARANGANI DISTRICT E</t>
  </si>
  <si>
    <t>DEPARTMENT OF PUBLIC WORKS AND HIGHWAYS - LEYTE 5TH ED</t>
  </si>
  <si>
    <t>BANGKO SENTRAL NG PILIPINAS - GEN. SANTOS BRANCH</t>
  </si>
  <si>
    <t>HAGONOY WATER DISTRICT - BULACAN</t>
  </si>
  <si>
    <t>MUNICIPALITY OF ARINGAY, LA UNION</t>
  </si>
  <si>
    <t>SIBULAN WATER DISTRICT</t>
  </si>
  <si>
    <t>MANAPLA WATER DISTRICT</t>
  </si>
  <si>
    <t>PROVINCE OF MISAMIS ORIENTAL</t>
  </si>
  <si>
    <t>ISABELA STATE UNIVERSITY - CABAGAN CAMPUS</t>
  </si>
  <si>
    <t>BARANGAY MARIBUYONG, DUENAS, ILOILO</t>
  </si>
  <si>
    <t>BUREAU OF FISHERIES AND AQUATIC RESOURCES - CAR</t>
  </si>
  <si>
    <t>DEPARTMENT OF PUBLIC WORKS AND HIGHWAYS - BATANES DEO</t>
  </si>
  <si>
    <t>COMMISSION ON FILIPINOS OVERSEAS</t>
  </si>
  <si>
    <t>BARANGAY BUCAO - GUIUAN, EASTERN SAMAR</t>
  </si>
  <si>
    <t>BARANGAY STA. BARBARA, RAPU-RAPU, ALBAY</t>
  </si>
  <si>
    <t>MUNICIPALITY OF MABUHAY, ZAMBOANGA SIBUGAY</t>
  </si>
  <si>
    <t>NATIONAL IRRIGATION ADMINISTRATION - CAMARINES SUR IMO</t>
  </si>
  <si>
    <t>FOREST PRODUCT RESEARCH AND DEVELOPMENT INSTITUTE ( FPRDI )</t>
  </si>
  <si>
    <t>MUNICIPALITY OF LAGAWE, IFUGAO</t>
  </si>
  <si>
    <t>BARANGAY SAN ISIDRO, TOMAS OPPUS, SOUTHERN LEYTE</t>
  </si>
  <si>
    <t>COURT OF APPEALS</t>
  </si>
  <si>
    <t>MUNICIPALITY OF TALACOGON, AGUSAN DEL SUR</t>
  </si>
  <si>
    <t>DEPARTMENT OF PUBLIC WORKS AND HIGHWAYS - IFUGAO</t>
  </si>
  <si>
    <t>MUNICIPALITY OF HAMTIC, ANTIQUE</t>
  </si>
  <si>
    <t>MUNICIPALITY OF MOGPOG, MARINDUQUE</t>
  </si>
  <si>
    <t>MUNICIPALITY OF MAGSAYSAY, PALAWAN</t>
  </si>
  <si>
    <t>MUNICIPALITY OF SOUTH UPI, MAGUINADANAO</t>
  </si>
  <si>
    <t>MUNICIPALITY OF LAS NAVAS, NORTHERN SAMAR</t>
  </si>
  <si>
    <t>SALOGON ELEMENTARY SCHOOL - SAN JOSE CAMARINES SUR</t>
  </si>
  <si>
    <t>TESDA - APARRI POLYTECHNIC INSTITUTE</t>
  </si>
  <si>
    <t>DEPARTMENT OF PUBLIC WORKS AND HIGHWAYS - LAS PINAS- MUNTINL</t>
  </si>
  <si>
    <t>ISABELA CITY WATER DISTRICT</t>
  </si>
  <si>
    <t>TALAVERA GENERAL HOSPITAL</t>
  </si>
  <si>
    <t>BARANGAY TONGANTONGAN, VALENCIA CITY</t>
  </si>
  <si>
    <t>MUNICIPALITY OF DUMINGAG, ZAMBOANGA DEL SUR</t>
  </si>
  <si>
    <t>MUNICIPALITY OF BUENAVISTA, MARINDUQUE</t>
  </si>
  <si>
    <t>BICOL UNIVERSITY</t>
  </si>
  <si>
    <t>MUNICIPALITY OF STA. PRAXEDES, CAGAYAN</t>
  </si>
  <si>
    <t>MUNICIPALITY OF MAITUM, SARANGANI</t>
  </si>
  <si>
    <t>BARANGAY MUZON I ROSARIO CAVITE</t>
  </si>
  <si>
    <t>MUNICIPALITY OF AROROY, MASBATE</t>
  </si>
  <si>
    <t>MUNICIPALITY OF CARMEN, DAVAO DEL NORTE</t>
  </si>
  <si>
    <t>DEPARTMENT OF EDUCATION - DIVISION OF ILOILO</t>
  </si>
  <si>
    <t>DEPARTMENT OF EDUCATION - DVISION OF PUERTO PRINCESA CITY</t>
  </si>
  <si>
    <t>TECHNICAL EDUCATION &amp; SKILLS DEVELOPMENT AUTHORITY - CAVITE</t>
  </si>
  <si>
    <t>MUNICIPALITY OF RAPU-RAPU, ALBAY</t>
  </si>
  <si>
    <t>BANGKO SENTRAL NG PILIPINAS - CAGAYAN DE ORO CITY</t>
  </si>
  <si>
    <t>BARANGAY LICTIN - SAN ANDRES, CATANDUANES</t>
  </si>
  <si>
    <t>NIA-CHICO RIVER PUMP IRRIGATION PROJECT, TUAO, CAGAYAN</t>
  </si>
  <si>
    <t>BARANGAY TIGATTO, DAVAO CITY</t>
  </si>
  <si>
    <t>BATANES GENERAL HOSPITAL</t>
  </si>
  <si>
    <t>NATIONAL IRRIGATION ADMINISTRATION - NEGROS ISLAND REGION</t>
  </si>
  <si>
    <t>MUNICIPALITY OF CALACA, BATANGAS</t>
  </si>
  <si>
    <t>MUNICIPALITY OF SALVADOR, LANAO DEL NORTE</t>
  </si>
  <si>
    <t>DEPARTMENT OF PUBLIC WORKS AND HIGHWAYS - ILOILO CITY DEO</t>
  </si>
  <si>
    <t>DEPARTMENT OF PUBLIC WORKS AND HIGHWAYS - REGION VIII</t>
  </si>
  <si>
    <t>DEPARTMENT OF PUBLIC WORKS AND HIGHWAYS - CEBU 3RD DEO</t>
  </si>
  <si>
    <t>DEPARTMENT OF ENVIRONMENT AND NATURAL RES. - PENRO, BATANES</t>
  </si>
  <si>
    <t>MABUHAY ELEMENTARY SCHOOL - SAN FERNANDO, BUKIDNON</t>
  </si>
  <si>
    <t>LAND TRANSPORTATION FRANCHISING &amp; REGULATORY BOARD - REG. IV</t>
  </si>
  <si>
    <t>CITY OF SANTA ROSA, LAGUNA</t>
  </si>
  <si>
    <t>PHILIPPINE PORTS AUTHORITY - PMO ZAMBOANGA DEL NORTE</t>
  </si>
  <si>
    <t>PHILIPPINE NATIONAL POLICE - HEALTH SERVICE</t>
  </si>
  <si>
    <t>BARANGAY III-C, SAN PABLO CITY</t>
  </si>
  <si>
    <t>PHILIPPINE ECONOMIC ZONE AUTHORITY - BAGUIO CITY ECOZONE</t>
  </si>
  <si>
    <t>MUNICIPALITY OF ABULUG, CAGAYAN</t>
  </si>
  <si>
    <t>BARANGAY STO. NIÑO SUR, AREVALO, ILOILO CITY</t>
  </si>
  <si>
    <t>BARANGAY BOLILAO, MANDURRIAO, ILOILO CITY</t>
  </si>
  <si>
    <t xml:space="preserve">DEPARTMENT OF PUBLIC WORKS AND HIGHWAYS - CAMARINES SUR 2ND </t>
  </si>
  <si>
    <t>MUNICIPALITY OF PADRE BURGOS, QUEZON</t>
  </si>
  <si>
    <t>IBAJAY CENTRAL SCHOOL - IBAJAY AKLAN</t>
  </si>
  <si>
    <t>BARANGAY KALAWAAN, PASIG CITY</t>
  </si>
  <si>
    <t>CIVIL AVIATION AUTHORITY OF THE PHILIPPINES - AREA CENTER XI</t>
  </si>
  <si>
    <t>BARANGAY CAMP 7, BAGUIO CITY</t>
  </si>
  <si>
    <t>DEPARTMENT OF EDUCATION - DIVISION OF QUEZON</t>
  </si>
  <si>
    <t>BARANGAY POBLACION, MUNTINLUPA CITY</t>
  </si>
  <si>
    <t>MUNICIPALITY OF RIZAL, OCCIDENTAL MINDORO</t>
  </si>
  <si>
    <t>BARANGAY TARRA NEGROS ORIENTAL</t>
  </si>
  <si>
    <t>DEPARTMENT OF AGRICULTURE - REGION XI</t>
  </si>
  <si>
    <t xml:space="preserve">KIBACANIA ELEMENTARY SCHOOL </t>
  </si>
  <si>
    <t>DEPARTMENT OF PUBLIC WORKS AND HIGHWAYS - RIZAL II DEO</t>
  </si>
  <si>
    <t>BARANGAY HITOOG, MATALOM, LEYTE</t>
  </si>
  <si>
    <t>BARANGAY WACK-WACK GREENHILLS EAST,</t>
  </si>
  <si>
    <t>DEPARTMENT OF PUBLIC WORKS AND HIGHWAYS - METRO MANILA 1ST E</t>
  </si>
  <si>
    <t>DEPARTMENT OF EDUCATION - DIVISION OF SURIGAO DEL NORTE</t>
  </si>
  <si>
    <t>BARANGAY NUPOLAN - JOSEFINA ZAMBOANGA DEL SUR</t>
  </si>
  <si>
    <t>DEPARTMENT OF BUDGET AND MANAGEMENT - REGIONAL OFFICE VI</t>
  </si>
  <si>
    <t>MUNICIPALITY OF BENITO SOLIVEN, ISABELA</t>
  </si>
  <si>
    <t>DEPARTMENT OF ENVIRONMENT AND NATURAL RES. - PENRO-LOS BANOS</t>
  </si>
  <si>
    <t>LA CASTELLANA NATIONAL HIGH SCHOOL (JUNIOR HIGH SCHOOL)</t>
  </si>
  <si>
    <t>KALINGA STATE UNIVERSITY</t>
  </si>
  <si>
    <t>BARANGAY SAN DIEGO, SAN PABLO CITY</t>
  </si>
  <si>
    <t>BARANGAY I-A, SAN PABLO CITY, LAGUNA</t>
  </si>
  <si>
    <t>MUNICIPALITY OF DONSOL, SORSOGON</t>
  </si>
  <si>
    <t>GAMES AND AMUSEMENTS BOARD</t>
  </si>
  <si>
    <t>DAVAO DEL NORTE STATE COLLEGE</t>
  </si>
  <si>
    <t>NATIONAL ECONOMIC AND DEVELOPMENT AUTHORITY - MAIN</t>
  </si>
  <si>
    <t>BARANGAY 227 ZONE 21 DISTRICT 2</t>
  </si>
  <si>
    <t>BARANGAY PINAYAGAN SUR, TUBIGON, BOHOL</t>
  </si>
  <si>
    <t>BARANGAY CANDABONG - MANJUYOD NEGROS ORIENTAL</t>
  </si>
  <si>
    <t>DEPARTMENT OF ENVIRONMENT AND NATURAL RES. - PENRO - XI</t>
  </si>
  <si>
    <t>LAND BANK OF THE PHILIPPINES - OAH IV-B</t>
  </si>
  <si>
    <t>BARANGAY COMUN, CAMALIG, ALBAY</t>
  </si>
  <si>
    <t>DEPARTMENT OF PUBLIC WORKS AND HIGHWAYS - CAVITE II DISTRICT</t>
  </si>
  <si>
    <t>MUNICIPALITY OF PAETE, LAGUNA</t>
  </si>
  <si>
    <t>BARANGAY ALAPANG, LA TRINIDAD, BENGUET</t>
  </si>
  <si>
    <t>BARANGAY BAGONTAAS, VALENCIA CITY</t>
  </si>
  <si>
    <t>ILOILO FISH PORT COMPLEX</t>
  </si>
  <si>
    <t>PROVINCE OF RIZAL</t>
  </si>
  <si>
    <t>DEPARTMENT OF PUBLIC  WORKS AND HIGHWAYS - APAYAO 2ND DEO</t>
  </si>
  <si>
    <t>BARANGAY 13, NUESTRA SEÑORA DE VISITACION, LAOAG CITY</t>
  </si>
  <si>
    <t>METRO ILOILO WATER DISTRICT</t>
  </si>
  <si>
    <t>MUNICIPALITY OF ORION, BATAAN</t>
  </si>
  <si>
    <t>BARANGAY GINATILAN, KIDAPAWAN CITY, COTABATO</t>
  </si>
  <si>
    <t>MUNICIPALITY OF LAMUT, IFUGAO</t>
  </si>
  <si>
    <t>BARANGAY PARIAN - SAN FERNANDO CITY, LA UNION</t>
  </si>
  <si>
    <t>MUNICIPALITY OF MORONG, RIZAL</t>
  </si>
  <si>
    <t>MUNICIPALITY OF MAUBAN, QUEZON</t>
  </si>
  <si>
    <t>WEST VISAYAS STATE UNIVERSITY MEDICAL CENTER - REGION VI</t>
  </si>
  <si>
    <t>PHILIPPINE AIR FORCE</t>
  </si>
  <si>
    <t>CITY OF CALAMBA, LAGUNA</t>
  </si>
  <si>
    <t>NORTHERN NEGROS STATE COLLEGE OF SCIENCE AND TECHNOLOGY</t>
  </si>
  <si>
    <t>MUNICIPALITY OF LOOC, OCCIDENTAL MINDORO</t>
  </si>
  <si>
    <t>BARANGAY A. PASCUAL, SAN JOSE CITY, NUEVA ECIJA</t>
  </si>
  <si>
    <t>BARANGAY BALAYTIGUE - NASUGBU BATANGAS</t>
  </si>
  <si>
    <t>BARANGAY BUQUIG - BANTAY ILOCOS SUR</t>
  </si>
  <si>
    <t>BARANGAY NABA - CULASI ANTIQUE</t>
  </si>
  <si>
    <t>MUNICIPALITY OF BACNOTAN, LA UNION</t>
  </si>
  <si>
    <t>BARANGAY WEST BALABAG, VALENCIA, NEGROS ORIENTAL</t>
  </si>
  <si>
    <t>BARANGAY POBLACION 7 - NASUGBU BATANGAS</t>
  </si>
  <si>
    <t>MUNICIPALITY OF LOPEZ JAENA , MISAMIS OCCIDENTAL</t>
  </si>
  <si>
    <t>MUNICIPALITY OF TUBIGON, BOHOL</t>
  </si>
  <si>
    <t>BARANGAY ALEGRE, OTON, ILOILO</t>
  </si>
  <si>
    <t>MUNICIPALITY OF ZUMARRAGA, SAMAR</t>
  </si>
  <si>
    <t>BARANGAY WILSON, SAN JOSE, DINAGAT ISLAND</t>
  </si>
  <si>
    <t>BARANGAY INAGAWAN SUB,  PUERTO PRINCESA CITY, PALAWAN</t>
  </si>
  <si>
    <t>BARANGAY LOMANOY, LILA, BOHOL</t>
  </si>
  <si>
    <t>DEPARTMENT OF PUBLIC WORKS AND HIGHWAYS - DAVAO DEL NORTE DE</t>
  </si>
  <si>
    <t>MUNICIPALITY OF CARMEN, CEBU</t>
  </si>
  <si>
    <t>MUNICIPALITY OF LILOY, ZAMBOANGA DEL NORTE</t>
  </si>
  <si>
    <t>MUNICIPALITY OF HUNGDUAN, IFUGAO</t>
  </si>
  <si>
    <t>PN BAC SECRETARIAT, AFP PROCUREMENT SERVICE</t>
  </si>
  <si>
    <t>MUNICIPALITY OF GALIMUYOD, ILOCOS SUR</t>
  </si>
  <si>
    <t>BARANGAY IPIL, MAGDIWANG, ROMBLON</t>
  </si>
  <si>
    <t>CITY OF DASMARIÑAS, CAVITE</t>
  </si>
  <si>
    <t>DEPARTMENT OF PUBLIC WORKS AND HIGHWAYS - COTABATO CITY DEO</t>
  </si>
  <si>
    <t>BARANGAY ESPERANZA, PORO, CEBU</t>
  </si>
  <si>
    <t>CATANDUANES STATE COLLEGES</t>
  </si>
  <si>
    <t>CITY OF BAGO, NEGROS OCCIDENTAL</t>
  </si>
  <si>
    <t>BARANGAY BAGONG LIPUNAN, HILONGOS, LEYTE</t>
  </si>
  <si>
    <t>JUVENILE JUSTICE AND WELFARE COUNCIL</t>
  </si>
  <si>
    <t>BARANGAY CANDUGUE DARAM SAMAR</t>
  </si>
  <si>
    <t>BARANGAY SILUM, MAGDIWANG, ROMBLON</t>
  </si>
  <si>
    <t>BARANGAY MARAPAL - LEMERY, ILOILO</t>
  </si>
  <si>
    <t>LOOC NATIONAL HIGH SCHOOL</t>
  </si>
  <si>
    <t>BARANGAY ALVANIZ- PATNONGON,ANTIQUE</t>
  </si>
  <si>
    <t>BUREAU OF FIRE PROTECTION - REGION III</t>
  </si>
  <si>
    <t>MUNICIPALITY OF HILONGOS, LEYTE</t>
  </si>
  <si>
    <t>DEPARTMENT OF PUBLIC WORKS AND HIGHWAYS - UPPER KALINGA DEO</t>
  </si>
  <si>
    <t>MUNICIPALITY OF MARABUT, SAMAR</t>
  </si>
  <si>
    <t>MUNICIPALITY OF BAGANGA, DAVAO ORIENTAL</t>
  </si>
  <si>
    <t>DEPARTMENT OF ENVIRONMENT AND NATURAL RES. - PENRO KALINGA</t>
  </si>
  <si>
    <t>DEPARTMENT OF PUBLIC WORKS AND HIGHWAYS - MISAMIS ORIENTAL 2</t>
  </si>
  <si>
    <t>MASBATE-MOBO WATER DISTRICT</t>
  </si>
  <si>
    <t>BARANGAY BONGOL -  SAN VICENTE, GUIMBAL, ILOILO</t>
  </si>
  <si>
    <t>BIDS AND AWARDS COMMITTEE - MUNICIPALITY OF CALATRAVA</t>
  </si>
  <si>
    <t>MUNICIPALITY OF LIBONA, BUKIDNON</t>
  </si>
  <si>
    <t>BANGKO SENTRAL NG PILIPINAS - BATAC BRANCH</t>
  </si>
  <si>
    <t>MUNICIPALITY OF NASIPIT, AGUSAN DEL NORTE</t>
  </si>
  <si>
    <t>MUNICIPALITY OF SAN RAFAEL, ILOILO</t>
  </si>
  <si>
    <t>MUNICIPALITY OF DATU ODIN SINSUAT, MAGUINDANAO</t>
  </si>
  <si>
    <t>MUNICIPALITY OF CAPUL, NORTHERN SAMAR</t>
  </si>
  <si>
    <t>BARANGAY CARITAN CENTRO TUGUEGARAO CITY</t>
  </si>
  <si>
    <t>BARANGAY MAILHI - BAYBAY CITY</t>
  </si>
  <si>
    <t>BARANGAY STA. CLARA, BATANGAS CITY, BATANGAS</t>
  </si>
  <si>
    <t>KOLAMBUGAN WATER DISTRICT</t>
  </si>
  <si>
    <t>DEPARTMENT OF PUBLIC WORKS AND HIGHWAYS - BENGUET I DEO</t>
  </si>
  <si>
    <t>BARANGAY PANSOL - QUEZON CITY</t>
  </si>
  <si>
    <t>BARANGAY CENTRO 10 - TUGUEGARAO CITY CAGAYAN</t>
  </si>
  <si>
    <t>BARANGAY BITA NORTE - OTON, ILOILO</t>
  </si>
  <si>
    <t xml:space="preserve">DEPARTMENT OF PUBLIC WORKS AND HIGHWAYS - SURIGAO DEL NORTE </t>
  </si>
  <si>
    <t>BARANGAY SAMPAGA, BATANGAS CITY, BATANGAS</t>
  </si>
  <si>
    <t>BARANGAY MANSABAY BAJO, LOPEZ JAENA, MISAMIS OCCIDENTAL</t>
  </si>
  <si>
    <t>BUREAU OF FISHERIES AND AQUATIC RESOURCES - REGION VI</t>
  </si>
  <si>
    <t>BARANGAY ABAR 1ST, SAN JOSE CITY, NUEVA ECIJA</t>
  </si>
  <si>
    <t>BARANGAY 595, ZONE 59, DISTRICT VI, MANILA</t>
  </si>
  <si>
    <t>PHILIPPINE STATISTICS AUTHORITY - REGION VII</t>
  </si>
  <si>
    <t>DEPARTMENT OF EDUCATION - DIVISION OF TACLOBAN CITY</t>
  </si>
  <si>
    <t>MUNICIPALITY OF BAROTAC VIEJO, ILOILO</t>
  </si>
  <si>
    <t>MUNICIPALITY OF LAMBAYONG, SULTAN KUDARAT</t>
  </si>
  <si>
    <t>MUNICIPALITY OF TUBO - ABRA</t>
  </si>
  <si>
    <t xml:space="preserve">DEPARTMENT OF PUBLIC WORKS AND HIGHWAYS - ZAMBOANGA DEL SUR </t>
  </si>
  <si>
    <t>CITY OF VALENCIA, BUKIDNON</t>
  </si>
  <si>
    <t>MUNICIPALITY OF BALAOAN, LA UNION</t>
  </si>
  <si>
    <t>NATIONAL COMMISSION ON INDIGENOUS PEOPLES - REGION XII</t>
  </si>
  <si>
    <t>PROVINCE OF KALINGA</t>
  </si>
  <si>
    <t>BARANGAY CATULAYAN - SAN JUAN SIQUIJOR</t>
  </si>
  <si>
    <t>BARANGAY BIÑAN, PAGSANJAN, LAGUNA</t>
  </si>
  <si>
    <t>BARANGAY MAHABANG PARANG, BATANGAS CITY, BATANGAS</t>
  </si>
  <si>
    <t>BARANGAY CAWAYAN (EXTENSION) - MASBATE CITY</t>
  </si>
  <si>
    <t>MUNICIPALITY OF HINOBA-AN, NEGROS OCCIDENTAL</t>
  </si>
  <si>
    <t>DEPARTMENT OF PUBLIC WORKS AND HIGHWAYS - PANGASINAN 2ND</t>
  </si>
  <si>
    <t>MUNICIPALITY OF SAN AGUSTIN, ROMBLON</t>
  </si>
  <si>
    <t>BARANGAY CASIBONG, SAN JACINTO, PANGASINAN</t>
  </si>
  <si>
    <t>MUNICIPALITY OF DON VICTORIANO CHIONGBIAN, MIS. OCCIDENTAL</t>
  </si>
  <si>
    <t>BARANGAY PALIPARAN II DASMARIÑAS CAVITE</t>
  </si>
  <si>
    <t>MUNICIPALITY OF JAVIER, LEYTE</t>
  </si>
  <si>
    <t>BARANGAY VELASCO - LEMERY, ILOILO</t>
  </si>
  <si>
    <t>HUMAN RIGHTS VIOLATIONS VICTIMS' MEMORIAL COMMISSION</t>
  </si>
  <si>
    <t>BARANGAY SAN IGNACIO, SAN PABLO CITY, LAGUNA</t>
  </si>
  <si>
    <t>MUNICIPALITY OF SILVINO LOBOS, NORTHERN SAMAR</t>
  </si>
  <si>
    <t>BARANGAY PRES. GARCIA, MATALOM, LEYTE</t>
  </si>
  <si>
    <t>ZAMBOANGA STATE COLLEGE OF MARINE SCIENCES AND TECHNOLOGY</t>
  </si>
  <si>
    <t>NEGROS ORIENTAL STATE UNIVERSITY</t>
  </si>
  <si>
    <t>MUNICIPALITY OF LOPEZ, QUEZON</t>
  </si>
  <si>
    <t>BARANGAY CENTRO 06 - TUGUEGARAO CITY CAGAYAN</t>
  </si>
  <si>
    <t>DEPARTMENT OF PUBLIC WORKS AND HIGHWAYS - REGION III</t>
  </si>
  <si>
    <t>BUREAU OF JAIL MANAGEMENT AND PENOLOGY - REGION X</t>
  </si>
  <si>
    <t>BARANGAY BONGABONG, TUDELA, MISAMIS OCCIDENTAL</t>
  </si>
  <si>
    <t>BARANGAY  POBLACION - GODOD ZAMBOANGA DEL NORTE</t>
  </si>
  <si>
    <t>MUNICIPALITY OF CABANGAN, ZAMBALES</t>
  </si>
  <si>
    <t>BARANGAY PATAWAG, LABASON, ZAMBOANGA DEL NORTE</t>
  </si>
  <si>
    <t>BARANGAY SAN MIGUEL, COMPOSTELA, COMPOSTELA VALLEY</t>
  </si>
  <si>
    <t>DEPARTMENT OF PUBLIC WORKS AND HIGHWAYS - CEBU 1ST DEO</t>
  </si>
  <si>
    <t>MUNICIPALITY OF CURRIMAO, ILOCOS NORTE</t>
  </si>
  <si>
    <t>DIPACULAO WATER DISTRICT</t>
  </si>
  <si>
    <t>PROCUREMENT SERVICE</t>
  </si>
  <si>
    <t>NATIONAL FOOD AUTHORITY - REGION VII</t>
  </si>
  <si>
    <t>DEPARTMENT OF EDUCATION - DIVISION OF NORTHERN SAMAR</t>
  </si>
  <si>
    <t>BARANGAY MALINAO, PASIG CITY</t>
  </si>
  <si>
    <t>CADIZ EAST ELEMENTARY SCHOOL II</t>
  </si>
  <si>
    <t>LUIS UY CHIAT ELEMENTARY SCHOOL</t>
  </si>
  <si>
    <t>BARANGAY SAN ISIDRO, MAKATI CITY</t>
  </si>
  <si>
    <t>MUNICIPALITY OF SABANGAN, MOUNTAIN PROVINCE</t>
  </si>
  <si>
    <t>PHILIPPINE SCIENCE HIGH SCHOOL - REGION XI</t>
  </si>
  <si>
    <t>DEPARTMENT OF PUBLIC WORKS AND HIGHWAYS - BATAAN 2ND DEO</t>
  </si>
  <si>
    <t>BARANGAY MAYAG, OAS, ALBAY</t>
  </si>
  <si>
    <t>BARANGAY MORERA, GUINOBATAN, ALBAY</t>
  </si>
  <si>
    <t>TANAY WATER DISTRICT</t>
  </si>
  <si>
    <t>MUNICIPALITY OF KAPANGAN, BENGUET</t>
  </si>
  <si>
    <t>BARANGAY 584 ZONE 57 DISTRICT IV, MANILA</t>
  </si>
  <si>
    <t>LUMBIA NATIONAL HIGH SCHOOL</t>
  </si>
  <si>
    <t>NATIONAL IRRIGATION ADMINISTRATION - REGION 12</t>
  </si>
  <si>
    <t>BARANGAY MARAMBA, OAS, ALBAY</t>
  </si>
  <si>
    <t>DEPARTMENT OF PUBLIC WORKS AND HIGHWAYS - LAGUNA 1ST ED</t>
  </si>
  <si>
    <t>COTABATO FOUNDATION COLLEGE OF SCIENCE &amp; TECHNOLOGY</t>
  </si>
  <si>
    <t>CITY  OF ESCALANTE, NEGROS OCCIDENTAL</t>
  </si>
  <si>
    <t>BARANGAY 583 ZONE 57 DISTRICT IV, MANILA</t>
  </si>
  <si>
    <t>PHILIPPINE COUNCIL FOR HEALTH RESEARCH AND DEVELOPMENT</t>
  </si>
  <si>
    <t>MUNICIPALITY OF SAN JOSE, OCCIDENTAL MINDORO</t>
  </si>
  <si>
    <t>BARANGAY SMALL MARGUS, GLAN, SARANGANI</t>
  </si>
  <si>
    <t>BARANGAY 512 ZONE 51 DISTRICT IV MANILA</t>
  </si>
  <si>
    <t>BARANGAY GLAN PADIDU, GLAN, SARANGANI</t>
  </si>
  <si>
    <t>BARANGAY MARILAG ROSARIO BATANGAS</t>
  </si>
  <si>
    <t>MUNICIPALITY OF SOCORRO , SURIGAO DEL NORTE</t>
  </si>
  <si>
    <t>MUNICIPALITY OF HINABANGAN, SAMAR</t>
  </si>
  <si>
    <t>BUREAU OF FISHERIES AND AQUATIC RESOURCES - REGION VII</t>
  </si>
  <si>
    <t>MUNICIPALITY OF LARENA, SIQUIJOR</t>
  </si>
  <si>
    <t>F.M. CABRAS ELEMENTARY SCHOOL</t>
  </si>
  <si>
    <t>MUNICIPALITY OF CAPAS, TARLAC</t>
  </si>
  <si>
    <t>DEPARTMENT OF PUBLIC WORKS AND HIGHWAYS - BATAAN 1ST DEO</t>
  </si>
  <si>
    <t>AFP - RETIREMENT AND SEPARATION BENEFITS SYSTEM</t>
  </si>
  <si>
    <t>MUNICIPALITY OF CLARIN, MISAMIS OCCIDENTAL</t>
  </si>
  <si>
    <t>MUNICIPALITY OF KASIBU, NUEVA VIZCAYA</t>
  </si>
  <si>
    <t>MUNICIPALITY OF IGUIG, CAGAYAN</t>
  </si>
  <si>
    <t>MUNICIPALITY OF SAINT BERNARD, SOUTHERN LEYTE</t>
  </si>
  <si>
    <t>DEPARTMENT OF HEALTH - REGION VII</t>
  </si>
  <si>
    <t>O'DONNELL NATIONAL HIGH SCHOOL</t>
  </si>
  <si>
    <t>BASILAN STATE COLLEGE</t>
  </si>
  <si>
    <t>CITY OF BORONGAN, EASTERN SAMAR</t>
  </si>
  <si>
    <t>BARANGAY MASALUKOT III, CANDELARIA, QUEZON</t>
  </si>
  <si>
    <t>MUNICIPALITY OF SAN ILDEFONSO, BULACAN</t>
  </si>
  <si>
    <t>MUNICIPALITY OF TADIAN, MOUNTAIN PROVINCE</t>
  </si>
  <si>
    <t>BARANAGY NAGUIDDAYAN -  BANTAY ILOCOS SUR</t>
  </si>
  <si>
    <t>BARANGAY OLINGAN DIPOLOG CITY ZAMBOANGA DEL NORTE</t>
  </si>
  <si>
    <t>PA BAC SECRETARIAT, AFP PROCUREMENT SERVICE</t>
  </si>
  <si>
    <t>FOOD AND DRUG ADMINISTRATION</t>
  </si>
  <si>
    <t>BARANGAY KINAN-OAN - TRINIDAD, BOHOL</t>
  </si>
  <si>
    <t>DR. E. B. ESPINOSA, SR. MEMORIAL STATE COL OF AGRIC AND TECH</t>
  </si>
  <si>
    <t>BARANGAY DEPASE - BAYOG ZAMBOANGA DEL SUR</t>
  </si>
  <si>
    <t>BARANGAY HINAGTIKAN, TOMAS OPPUS, SOUTHERN LEYTE</t>
  </si>
  <si>
    <t>MUNICIPALITY OF GINATILAN, CEBU</t>
  </si>
  <si>
    <t>MUNICIPALITY OF CATARMAN, NORTHERN SAMAR</t>
  </si>
  <si>
    <t>SCHOOLS DIVISION OFFICE OF IFUGAO</t>
  </si>
  <si>
    <t>BARANGAY AGUING, SINAIT, ILOCOS SUR</t>
  </si>
  <si>
    <t>BARANGAY LANCA, MATI, DAVAO ORIENTAL</t>
  </si>
  <si>
    <t>CITY OF SAN CARLOS, PANGASINAN</t>
  </si>
  <si>
    <t>MUNICIPALITY OF SAN PASCUAL, MASBATE</t>
  </si>
  <si>
    <t>DEPARTMENT OF PUBLIC WORKS AND HIGHWAYS - QUEZON CITY 1ST ED</t>
  </si>
  <si>
    <t>BARANGAY MALALINTA - TUAO CAGAYAN</t>
  </si>
  <si>
    <t>SOCIAL SECURITY SYSTEM - LUZON CENTRAL 2</t>
  </si>
  <si>
    <t>CAMARIN D ELEMENTARY SCHOOL UNIT II</t>
  </si>
  <si>
    <t>MUNICIPALITY OF SAN MARIANO, ISABELA</t>
  </si>
  <si>
    <t>MUNICIPALITY OF BACONG, NEGROS ORIENTAL</t>
  </si>
  <si>
    <t>MUNICIPALITY OF TRINIDAD, BOHOL</t>
  </si>
  <si>
    <t>PROVINCE OF ABRA</t>
  </si>
  <si>
    <t>DEPARTMENT OF ENVIRONMENT AND NATURAL RES. - PENRO TARLAC</t>
  </si>
  <si>
    <t>BARANGAY CABUNGALUNAN, BURDEOS, QUEZON</t>
  </si>
  <si>
    <t>MUNICIPALITY OF CARLES, ILOILO</t>
  </si>
  <si>
    <t>BARANGAY FATIMA - LILOY ZAMBOANGA DEL NORTE</t>
  </si>
  <si>
    <t>CITY  OF CAUAYAN, ISABELA</t>
  </si>
  <si>
    <t>DEPARTMENT OF PUBLIC WORKS AND HIGHWAYS - BILIRAN ED</t>
  </si>
  <si>
    <t>DEPARTMENT OF PUBLIC WORKS AND HIGHWAYS - REGION VI</t>
  </si>
  <si>
    <t>BARANGAY CANINGAY - CANDONI NEGROS OCCIDENTAL</t>
  </si>
  <si>
    <t>MUNICIPALITY OF TAPAZ, CAPIZ</t>
  </si>
  <si>
    <t>BARANGAY KATIPUNAN, SINACABAN, MISAMIS OCCIDENTAL</t>
  </si>
  <si>
    <t>MUNICIPALITY OF KIBAWE , BUKIDNON</t>
  </si>
  <si>
    <t>BARANGAY IGBON, CONCEPCION, ILOILO</t>
  </si>
  <si>
    <t>YEE ON ELEMENTARY SCHOOL</t>
  </si>
  <si>
    <t>MUNICIPALITY OF CONSOLACION, CEBU</t>
  </si>
  <si>
    <t>MUNICIPALITY OF MALUNGON, SARANGANI</t>
  </si>
  <si>
    <t>NATIONAL FOOD AUTHORITY - REGION II</t>
  </si>
  <si>
    <t>BARANGAY BUNTAY, DULAG, LEYTE</t>
  </si>
  <si>
    <t>BUREAU OF FISHERIES AND AQUATIC RESOURCES - REGION XII</t>
  </si>
  <si>
    <t>BANGKO SENTRAL NG PILIPINAS - DAVAO REGIONAL OFFICE</t>
  </si>
  <si>
    <t>BARANGAY KIYAAB - ANTIPAS COTABATO</t>
  </si>
  <si>
    <t>MUNICIPALITY OF LIBERTAD, ANTIQUE</t>
  </si>
  <si>
    <t>MUNICIPALITY OF ABRA DE ILOG, OCCIDENTAL MINDORO</t>
  </si>
  <si>
    <t>BARANGAY TAMBALIZA, CONCEPCION, ILOILO</t>
  </si>
  <si>
    <t>NATIONAL TELECOMMUNICATIONS COMMISSION - REGION IX</t>
  </si>
  <si>
    <t>MUNICIPALITY OF MASINLOC, ZAMBALES</t>
  </si>
  <si>
    <t>NATIONAL IRRIGATION ADMINISTRATION - LIGAO CITY, ALBAY</t>
  </si>
  <si>
    <t>BARANGAY APAD, RAGAY, CAMARINES SUR</t>
  </si>
  <si>
    <t>DEPARTMENT OF SOCIAL WELFARE AND DEVELOPMENT - REGION II</t>
  </si>
  <si>
    <t>MUNICIPALITY OF DOLORES, QUEZON</t>
  </si>
  <si>
    <t>DEPARTMENT OF PUBLIC WORKS AND HIGHWAYS - ILOILO 3RD DEO</t>
  </si>
  <si>
    <t>MUNICIPALITY OF PADRE BURGOS, SOUTHERN LEYTE</t>
  </si>
  <si>
    <t>BARANGAY TALOTO-AN, CONCEPCION, ILOILO</t>
  </si>
  <si>
    <t>MUNICIPALITY OF PONTEVEDRA, CAPIZ</t>
  </si>
  <si>
    <t>MUNICIPALITY OF JORDAN, GUIMARAS</t>
  </si>
  <si>
    <t>BARANGAY POBLACION SUR BATUAN BOHOL</t>
  </si>
  <si>
    <t>DEPARTMENT OF PUBLIC WORKS AND HIGHWAYS - PAMPANGA 1ST DEO</t>
  </si>
  <si>
    <t>MUNICIPALITY OF GLAN, SARANGANI PROVINCE</t>
  </si>
  <si>
    <t>BARANGAY BUDA  - DAVAO CITY</t>
  </si>
  <si>
    <t>BARANGAY MAASIN, IPIL, ZAMBOANGA SIBUGAY</t>
  </si>
  <si>
    <t>AGUSAN DEL SUR STATE COLLEGE OF AGRICULTURE AND TECHNOLOGY</t>
  </si>
  <si>
    <t>DEPARTMENT OF PUBLIC WORKS AND HIGHWAYS - SORSOGON 2ND DEO</t>
  </si>
  <si>
    <t>BARANGAY MARIANA - QUEZON CITY METRO MANILA</t>
  </si>
  <si>
    <t>BARANGAY UMALAG, SAN MIGUEL, SURIGAO DEL SUR</t>
  </si>
  <si>
    <t>BARANGAY ALIMANGO ESCALANTE CITY NEGROS OCCIDENTAL NEGROS IS</t>
  </si>
  <si>
    <t>BARANGAY SAN ISIDRO, CANDELARIA, QUEZON</t>
  </si>
  <si>
    <t>MUNICIPALITY OF BAYOG, ZAMBOANGA DEL SUR</t>
  </si>
  <si>
    <t>BARANGAY VILLA BOTA, GUMACA, QUEZON</t>
  </si>
  <si>
    <t>MUNICIPALITY OF SIBUNAG, GUIMARAS</t>
  </si>
  <si>
    <t>BARANGAY LAGUNA GUMACA, QUEZON</t>
  </si>
  <si>
    <t>BARANGAY POBLACION 19, BATANGAS CITY</t>
  </si>
  <si>
    <t>JOSE RIZAL MEMORIAL STATE UNIVERSITY - MAIN CAMPUS</t>
  </si>
  <si>
    <t>CITY GOVERNMENT OF NAVOTAS</t>
  </si>
  <si>
    <t>MUNICIPALITY OF CORDON, ISABELA</t>
  </si>
  <si>
    <t>MUNICIPALITY OF CAPOOCAN, LEYTE</t>
  </si>
  <si>
    <t>TARLAC COLLEGE OF AGRICULTURE</t>
  </si>
  <si>
    <t>CITY OF OLONGAPO, ZAMBALES</t>
  </si>
  <si>
    <t>BARANGAY KINATIHAN 1, CANDELARIA, QUEZON</t>
  </si>
  <si>
    <t>NATIONAL FOOD AUTHORITY - TAGBILARAN</t>
  </si>
  <si>
    <t>PHILIPPINE CENTER FOR POSTHARVEST DEV'T AND MECHANIZATION</t>
  </si>
  <si>
    <t>BUREAU OF FIRE PROTECTION - REGION VIII</t>
  </si>
  <si>
    <t>MUNICIPALITY OF SAGADA, MOUNTAIN PROVINCE</t>
  </si>
  <si>
    <t>MUNICIPALITY OF SIASI, SULU</t>
  </si>
  <si>
    <t>MUNICIPALITY OF CATANAUAN, QUEZON</t>
  </si>
  <si>
    <t>BARANGAY SAMPALOC IV, DASMARIÑAS CITY, CAVITE</t>
  </si>
  <si>
    <t>NATIONAL ECONOMIC AND DEVELOPMENT AUTHORITY - REGION IX</t>
  </si>
  <si>
    <t>MUNICIPALITY OF LABO, CAMARINES NORTE</t>
  </si>
  <si>
    <t>MUNICIPALITY OF BALETE, BATANGAS</t>
  </si>
  <si>
    <t>BARANGAY PANAMIN - MALUNGON SARANGANI</t>
  </si>
  <si>
    <t>BARANGAY CAPUY - SORSOGON CITY SORSOGON</t>
  </si>
  <si>
    <t>MUNICIPALITY OF CALAUAG, QUEZON</t>
  </si>
  <si>
    <t>BARANGAY SOLANO, TANAUAN, LEYTE</t>
  </si>
  <si>
    <t>DEPARTMENT OF PUBLIC WORKS AND HIGHWAYS - NORTH MANILA DEO</t>
  </si>
  <si>
    <t>DEPARTMENT OF SCIENCE AND TECHNOLOGY - REGION IX</t>
  </si>
  <si>
    <t>BARANGAY SINGKAMAS, MAKATI CITY</t>
  </si>
  <si>
    <t>MUNICIPALITY  OF KABAYAN, BENGUET</t>
  </si>
  <si>
    <t>BARANGAY CAWIT, PILAR, CEBU</t>
  </si>
  <si>
    <t>MUNICIPALITY OF LAWAAN, EASTERN SAMAR</t>
  </si>
  <si>
    <t>CITY OF BAYUGAN, AGUSAN DEL SUR</t>
  </si>
  <si>
    <t>MUNICIPAL GOVERNMENT OF ATOK, BENGUET</t>
  </si>
  <si>
    <t>MUNICIPALITY OF PLACER, MASBATE</t>
  </si>
  <si>
    <t>MUNICIPALITY OF MADALAG, AKLAN</t>
  </si>
  <si>
    <t>MUNICIPALITY OF LEON, ILOILO</t>
  </si>
  <si>
    <t>MUNICIPALITY OF POTOTAN, ILOILO</t>
  </si>
  <si>
    <t>PROVINCE OF MOUNTAIN PROVINCE</t>
  </si>
  <si>
    <t>MUNICIPALITY OF MAKILALA, NORTH COTABATO</t>
  </si>
  <si>
    <t>MANGALDAN WATER DISTRICT</t>
  </si>
  <si>
    <t>CAPIZ STATE UNIVERSITY - CENTRAL ADMINISTRATION</t>
  </si>
  <si>
    <t>NATIONAL POWER CORPORATION SPUG - MINDANAO(EMOD)</t>
  </si>
  <si>
    <t>BARANGAY STA. CRUZ, SAN FERNANDO, CAMARINES SUR</t>
  </si>
  <si>
    <t>MUNICIPALITY OF AYUNGON, NEGROS ORIENTAL</t>
  </si>
  <si>
    <t>BARANGAY IDIO SEBASTE ANTIQUE</t>
  </si>
  <si>
    <t>BARANGAY CAMANGAHAN, GUIMBAL, ILOILO</t>
  </si>
  <si>
    <t>NABUNTURAN WATER DISTRICT</t>
  </si>
  <si>
    <t>MUNICIPALITY OF MARIA, SIQUIJOR</t>
  </si>
  <si>
    <t>CIVIL AVIATION AUTHORITY OF THE PHILIPPINES - ILOILO AIRPORT</t>
  </si>
  <si>
    <t>MUNICIPALITY OF MAGDALENA, LAGUNA</t>
  </si>
  <si>
    <t>MUNICIPALITY OF ANGADANAN, ISABELA</t>
  </si>
  <si>
    <t>DEPARTMENT OF EDUCATION - DIVISION OF CAMARINES SUR</t>
  </si>
  <si>
    <t>NATIONAL FOOD AUTHORITY - NCR</t>
  </si>
  <si>
    <t>BARANGAY MAHAY, BUTUAN CITY</t>
  </si>
  <si>
    <t>DEPARTMENT OF EDUCATION - DIVISION OF SURIGAO DEL SUR</t>
  </si>
  <si>
    <t>BARANGAY STA. MARIA NORTE, BINALONAN, PANGASINAN</t>
  </si>
  <si>
    <t>COMMISSION ON HIGHER EDUCATION - MAIN</t>
  </si>
  <si>
    <t>MUNICIPALITY OF ECHAGUE, ISABELA</t>
  </si>
  <si>
    <t>BARANGAY SAN ISIDRO, SORSOGON CITY</t>
  </si>
  <si>
    <t>BUREAU OF FISHERIES AND AQUATIC RESOURCES REGION 1</t>
  </si>
  <si>
    <t>BARANGAY KAUNLARAN - NAVOTAS CITY</t>
  </si>
  <si>
    <t>BARANGAY PISONG-A - MARIA SIQUIJOR</t>
  </si>
  <si>
    <t>MUNICIPALITY OF INFANTA, PANGASINAN</t>
  </si>
  <si>
    <t>TECHNICAL EDUCATION &amp; SKILLS DEVELOPMENT AUTHORITY</t>
  </si>
  <si>
    <t>BARANGAY BALEY-A-DAAN, ALAMINOS, PANGASINAN</t>
  </si>
  <si>
    <t>PALO ALTO ELEMENTARY SCHOOL</t>
  </si>
  <si>
    <t>BARANGAY CABUTONGAN, LEON, ILOILO</t>
  </si>
  <si>
    <t>BARANGAY MALUBLUB, LEON, ILOILO</t>
  </si>
  <si>
    <t>MUNICIPALITY OF VICTORIA, NORTHERN SAMAR</t>
  </si>
  <si>
    <t>BARANGAY FATIMA - VILLABA LEYTE</t>
  </si>
  <si>
    <t>BARANGAY RIZAL, PINAMUNGAJAN, CEBU</t>
  </si>
  <si>
    <t>BARANGAY POTOL, INFANTA, PANGASINAN</t>
  </si>
  <si>
    <t>DEPARTMENT OF AGRICULTURE - MAIN</t>
  </si>
  <si>
    <t>MUNICIPALITY OF TANAY, RIZAL</t>
  </si>
  <si>
    <t>BARANGAY BAMBAN, INFANTA, PANGASINAN</t>
  </si>
  <si>
    <t>BARANGAY TAÑONG, MARIKINA CITY</t>
  </si>
  <si>
    <t>BARANGAY BAGONG SIRANG, PILI, CAMARINES SUR</t>
  </si>
  <si>
    <t>BARANGAY NORTE, DON CARLOS, BUKIDNON</t>
  </si>
  <si>
    <t>MUNICIPALITY OF TAGO, SURIGAO DEL SUR</t>
  </si>
  <si>
    <t>BARANGAY PASORIO - MUTIA ZAMBOANGA DEL NORTE</t>
  </si>
  <si>
    <t>MUNICIPALITY OF JIPAPAD, EASTERN SAMAR</t>
  </si>
  <si>
    <t>DEPARTMENT OF AGRARIAN REFORM - MISAMIS ORIENTAL</t>
  </si>
  <si>
    <t>DEPARTMENT OF EDUCATION - REGION VI</t>
  </si>
  <si>
    <t>MUNICIPALITY OF SALCEDO, EASTERN SAMAR</t>
  </si>
  <si>
    <t>PROVINCE OF PAMPANGA</t>
  </si>
  <si>
    <t>BARANGAY STA. CRUZ, BALLESTEROS, CAGAYAN</t>
  </si>
  <si>
    <t>DEPARTMENT OF SCIENCE AND TECHNOLOGY - CAR</t>
  </si>
  <si>
    <t>NATIONAL FOOD AUTHORITY - REGION VI</t>
  </si>
  <si>
    <t>CNHS-ANDRES BONIFACIO EXTENSION HIGH SCHOOL - CADIZ CITY NEG</t>
  </si>
  <si>
    <t>BARANGAY SAN ANTONIO, MAKATI CITY</t>
  </si>
  <si>
    <t>MUNICIPALITY OF DEL GALLEGO, CAMARINES SUR</t>
  </si>
  <si>
    <t>MUNICIPALITY OF TIWI, ALBAY</t>
  </si>
  <si>
    <t>BARANGAY  PANGPANG - SORSOGON CITY SORSOGON</t>
  </si>
  <si>
    <t>CITY OF MAASIN, SOUTHERN LEYTE</t>
  </si>
  <si>
    <t>BARANGAY SAN ANTONIO LALLO CAGAYAN</t>
  </si>
  <si>
    <t>BARANGAY POBLACION, DAANBANTAYAN, CEBU</t>
  </si>
  <si>
    <t>MUNICIPALITY OF BACLAYON, BOHOL</t>
  </si>
  <si>
    <t>NATIONAL IRRIGATION ADMINISTRATION - REGION IV-A CALABARZON</t>
  </si>
  <si>
    <t>AURORA STATE COLLEGE OF TECHNOLOGY</t>
  </si>
  <si>
    <t>BARANGAY SAN JOSE, NAUJAN, ORIENTAL MINDORO</t>
  </si>
  <si>
    <t>PHILIPPINE NATIONAL POLICE - REGION I</t>
  </si>
  <si>
    <t>BARANGAY PONITON, VIRAC, CATANDUANES</t>
  </si>
  <si>
    <t>MUNICIPALITY OF GINGOOG CITY, MISAMIS ORIENTAL</t>
  </si>
  <si>
    <t>MUNICIPALITY OF PARACELIS, MOUNTAIN PROVINCE</t>
  </si>
  <si>
    <t>MUNICIPALITY OF BELISON, ANTIQUE</t>
  </si>
  <si>
    <t>BARANGAY MAHIPON-LUMOT - CAVINTI LAGUNA</t>
  </si>
  <si>
    <t>SK OF LIGTONG II - ROSARIO CAVITE</t>
  </si>
  <si>
    <t>MUNICIPALITY OF SAN FRANCISCO, QUEZON</t>
  </si>
  <si>
    <t>METROPOLITAN CEBU WATER DISTRICT</t>
  </si>
  <si>
    <t>MUNICIPALITY OF PAMPLONA, CAMARINES SUR</t>
  </si>
  <si>
    <t>MUNICIPALITY OF ZARRAGA, ILOILO</t>
  </si>
  <si>
    <t>MUNICIPALITY OF LAKE SEBU, SOUTH COTABATO</t>
  </si>
  <si>
    <t>DEPARTMENT OF ENVIRONMENT AND NATURAL RESOURCES - PENRO OCCI</t>
  </si>
  <si>
    <t>DEPARTMENT OF PUBLIC WORKS AND HIGHWAYS - QUEZON 2ND ED</t>
  </si>
  <si>
    <t>MUNICIPALITY OF MATAG-OB, LEYTE</t>
  </si>
  <si>
    <t>BARANGAY CABASI, GUIMBAL, ILOILO</t>
  </si>
  <si>
    <t>MUNICIPALITY OF BUGASONG, ANTIQUE</t>
  </si>
  <si>
    <t>MUNICIPALITY OF ANILAO - ILOILO</t>
  </si>
  <si>
    <t>PHILIPPINE NATIONAL POLICE - CRIME LABORATORY</t>
  </si>
  <si>
    <t>DEPARTMENT OF PUBLIC WORKS AND HIGHWAYS - BATANGAS 2ND ED</t>
  </si>
  <si>
    <t>MUNICIPALITY OF CORELLA, BOHOL</t>
  </si>
  <si>
    <t>MUNICIPALITY OF ASTURIAS, CEBU</t>
  </si>
  <si>
    <t>CITY OF IRIGA</t>
  </si>
  <si>
    <t>MUNICIPALITY OF KUMALARANG, ZAMBOANGA DEL SUR</t>
  </si>
  <si>
    <t>DEPARTMENT OF PUBLIC WORKS AND HIGHWAYS - CAR</t>
  </si>
  <si>
    <t>BARANGAY POBLACION, BURGOS, ILOCOS NORTE</t>
  </si>
  <si>
    <t>BARANGAY ANTIPOLO, RIZAL, LAGUNA</t>
  </si>
  <si>
    <t>BOHOL ISLAND STATE UNIVERSITY - CLARIN CAMPUS</t>
  </si>
  <si>
    <t>BARANGAY 25, TACLOBAN CITY, LEYTE</t>
  </si>
  <si>
    <t>MUNICIPALITY OF LAL-LO, CAGAYAN VALLEY</t>
  </si>
  <si>
    <t>BARANGAY 30, TACLOBAN CITY, LEYTE</t>
  </si>
  <si>
    <t>BARANGAY DALAOIG, ALCALA, CAGAYAN</t>
  </si>
  <si>
    <t>PHILIPPINE SCIENCE HIGH SCHOOL - SOCCSKSARGEN REGION CAMPUS</t>
  </si>
  <si>
    <t>BARANGAY MANHANIP MALINAO AKLAN</t>
  </si>
  <si>
    <t>PROVINCE OF LANAO DEL SUR</t>
  </si>
  <si>
    <t>DEPARTMENT OF PUBLIC WORKS AND HIGHWAYS - SURIGAO DEL SUR 2N</t>
  </si>
  <si>
    <t>DEPARTMENT OF AGRARIAN REFORM - SORSOGON PROVINCIAL OFFICE</t>
  </si>
  <si>
    <t>BARANGAY CAMBINOY, PALOMPON, LEYTE</t>
  </si>
  <si>
    <t>BARANGAY CANGMOYA, PALOMPON, LEYTE</t>
  </si>
  <si>
    <t>BARANGAY CRUZ, PALOMPON, LEYTE</t>
  </si>
  <si>
    <t>BARANGAY NAVOTAS WEST, NAVOTAS</t>
  </si>
  <si>
    <t>BARANGAY MABINI - PALOMPON, LEYTE</t>
  </si>
  <si>
    <t>MUNICIPALITY OF PONTEVEDRA, NEGROS OCCIDENTAL</t>
  </si>
  <si>
    <t>NATIONAL KIDNEY AND TRANSPLANT INSTITUTE</t>
  </si>
  <si>
    <t>EVERSLEY CHILDS SANITARIUM</t>
  </si>
  <si>
    <t>MUNICIPALITY OF BANSUD, ORIENTAL MINDORO</t>
  </si>
  <si>
    <t>OCCIDENTAL MINDORO STATE COLLEGE</t>
  </si>
  <si>
    <t>CABAGAN WATER DISTRICT</t>
  </si>
  <si>
    <t>DEPARTMENT OF PUBLIC WORKS AND HIGHWAYS - TARLAC 2ND-DEO</t>
  </si>
  <si>
    <t xml:space="preserve">BARANGAY CAGSIAY 1 </t>
  </si>
  <si>
    <t xml:space="preserve">DEPARTMENT OF PUBLIC WORKS AND HIGHWAYS - NUEVA VIZCAYA 2ND </t>
  </si>
  <si>
    <t>MUNICIPALITY OF CARMEN, BOHOL</t>
  </si>
  <si>
    <t>BARANGAY SANVICENTE - SIPOCOT CAMARINES SUR</t>
  </si>
  <si>
    <t>MUNICIPALITY OF TIBIAO, ANTIQUE</t>
  </si>
  <si>
    <t>BARANGAY LAMDALAG - LAKE SEBU SOUTH COTABATO</t>
  </si>
  <si>
    <t>BARANGAY GALICIA 3 MENDEZ-NUÑEZ CAVITE</t>
  </si>
  <si>
    <t>BARANGAY MAGACAN SANCHEZ MIRA CAGAYAN</t>
  </si>
  <si>
    <t>BARANGAY TINIGUIBAN - LEON B. POSTIGO ZAMBOANGA DEL NORTE</t>
  </si>
  <si>
    <t>ISABELA STATE UNIVERSITY - JONES CAMPUS</t>
  </si>
  <si>
    <t>MUNICIPALITY OF LEON B. POSTIGO, ZAMBOANGA DEL NORTE</t>
  </si>
  <si>
    <t>BARANGAY CAPAYANG, MOGPOG, MARINDUQUE</t>
  </si>
  <si>
    <t>MUNICIPALITY OF SAN FABIAN, PANGASINAN</t>
  </si>
  <si>
    <t>MUNICIPALITY OF PANIQUI, TARLAC</t>
  </si>
  <si>
    <t>MUNICIPALITY OF ROSARIO, BATANGAS</t>
  </si>
  <si>
    <t>MUNICIPALITY OF CABAGAN, ISABELA</t>
  </si>
  <si>
    <t>MUNICIPALITY OF DEL CARMEN, SURIGAO DEL NORTE</t>
  </si>
  <si>
    <t>COMMISSION ON HIGHER EDUCATION - REGION XII</t>
  </si>
  <si>
    <t>MUNICIPALITY OF KAUSWAGAN, LANAO DEL NORTE</t>
  </si>
  <si>
    <t>CITY OF COTABATO</t>
  </si>
  <si>
    <t>BARANGAY  BAQUIOEN - SUAL PANGASINAN</t>
  </si>
  <si>
    <t>BARANGAY PUNSOD, MARIBOJOC, BOHOL</t>
  </si>
  <si>
    <t>MUNICIPALITY OF TUDELA, CEBU</t>
  </si>
  <si>
    <t>MUNICIPALITY OF FLORA, APAYAO</t>
  </si>
  <si>
    <t>MUNICIPALITY OF SAN ISIDRO, ISABELA</t>
  </si>
  <si>
    <t>MUNICIPALITY OF SOLANO, NUEVA VIZCAYA</t>
  </si>
  <si>
    <t>MUNICIPALITY OF BROOKE'S POINT, PALAWAN</t>
  </si>
  <si>
    <t>MUNICIPALITY OF ASIPULO, IFUGAO</t>
  </si>
  <si>
    <t>DEPARTMENT OF PUBLIC WORKS AND HIGHWAYS - LEYTE 4TH DEO</t>
  </si>
  <si>
    <t>BARANGAY VALENZUELA, MAKATI CITY</t>
  </si>
  <si>
    <t>BARANGAY BUENAVISTA - BAYBAY CITY LEYTE</t>
  </si>
  <si>
    <t>MUNICIPALITY OF TAGBINA, SURIGAO DEL SUR</t>
  </si>
  <si>
    <t>SOUTHERN ISABELA MEDICAL CENTER</t>
  </si>
  <si>
    <t>BARANGAY TAGONGON TAGBINA SURIGAO DEL SUR</t>
  </si>
  <si>
    <t>PROVINCE OF LANAO DEL NORTE</t>
  </si>
  <si>
    <t>MUNICIPALITY OF SINAIT, ILOCOS SUR</t>
  </si>
  <si>
    <t>BARANGAY BUNTUN, TUGUEGARAO CITY, CAGAYAN</t>
  </si>
  <si>
    <t>MUNICIPALITY OF MUTIA, ZAMBOANGA DEL NORTE</t>
  </si>
  <si>
    <t>MUNICIPALITY OF LIDLIDDA, ILOCOS SUR</t>
  </si>
  <si>
    <t>DEPARTMENT OF PUBLIC WORKS AND HIGHWAYS - SOUTH COTABATO  1S</t>
  </si>
  <si>
    <t>NATIONAL FOOD AUTHORITY - REGION IV</t>
  </si>
  <si>
    <t>MUNICIPALITY OF TANGCAL, LANAO DEL NORTE</t>
  </si>
  <si>
    <t>DEPARTMENT OF PUBLIC WORKS AND HIGHWAYS - CAMARINES NORTE ED</t>
  </si>
  <si>
    <t>BARANGAY LIGTONG II ROSARIO CAVITE</t>
  </si>
  <si>
    <t>NATIONAL IRRIGATION ADMINISTRATION - ZAMBOANGA SIBUGAY</t>
  </si>
  <si>
    <t>MUNICIPALITY OF QUIRINO, ILOCOS SUR</t>
  </si>
  <si>
    <t>BARANGAY TALIGAMAN, BUTUAN CITY</t>
  </si>
  <si>
    <t>LIGA NG MGA BARANGAY - ALIMODIAN ILOILO</t>
  </si>
  <si>
    <t>MUNICIPALITY OF KALAYAAN, LAGUNA</t>
  </si>
  <si>
    <t>DEPARTMENT OF PUBLIC WORKS AND HIGHWAYS - MASBATE 2ND DEO</t>
  </si>
  <si>
    <t>ALAMINOS CITY WATER DISTRICT</t>
  </si>
  <si>
    <t>DEPARTMENT OF PUBLIC WORKS AND HIGHWAYS - NEGROS ORIENTAL 3R</t>
  </si>
  <si>
    <t>MUNICIPALITY OF BUSUANGA, PALAWAN</t>
  </si>
  <si>
    <t>DEPARTMENT OF PUBLIC WORKS AND HIGHWAYS - NORTH COTABATO 2ND</t>
  </si>
  <si>
    <t>BARANGAY BAYAMBANG, INFANTA, PANGASINAN</t>
  </si>
  <si>
    <t>DEPARTMENT OF EDUCATION - DIVISION OF SOUTHERN LEYTE</t>
  </si>
  <si>
    <t>BRGY. GUIASAN, MUNICIPALITY OF MAGALLANES, AGUSAN DEL NORTE</t>
  </si>
  <si>
    <t>MUNICIPALITY OF SIOCON</t>
  </si>
  <si>
    <t>MUNICIPALITY OF LA PAZ, ABRA</t>
  </si>
  <si>
    <t>MUNICIPALITY OF QUEZON , BUKIDNON</t>
  </si>
  <si>
    <t>MUNICIPALITY OF OLUTANGA, ZAMBOANGA SIBUGAY</t>
  </si>
  <si>
    <t>MUNICIPALITY OF MEDELLIN, CEBU</t>
  </si>
  <si>
    <t>PROVINCE OF ISABELA</t>
  </si>
  <si>
    <t>MUNICIPALITY OF HERNANI, EASTERN SAMAR</t>
  </si>
  <si>
    <t>MUNICIPALITY OF AURORA, ISABELA</t>
  </si>
  <si>
    <t>METRO SIQUIJOR WATER DISTRICT</t>
  </si>
  <si>
    <t>BARANGAY BUENAVISTA - CASTILLA SORSOGON</t>
  </si>
  <si>
    <t>MUNICIPALITY OF SAN BENITO, SURIGAO DEL NORTE</t>
  </si>
  <si>
    <t>MUNICIPALITY OF PASACAO, CAMARINES SUR</t>
  </si>
  <si>
    <t>MABINI NATIONAL HIGH SCHOOL - NEGROS OCCIDENTAL</t>
  </si>
  <si>
    <t>MUNICIPALITY OF PIAT, CAGAYAN</t>
  </si>
  <si>
    <t>BARANGAY DALID, CALINOG, ILOILO</t>
  </si>
  <si>
    <t>BARANGAY SUNG-AN -  MERCEDES, EASTERN SAMAR</t>
  </si>
  <si>
    <t>BARANGAY SAN JUAN, SAN PABLO CITY, LAGUNA</t>
  </si>
  <si>
    <t>MUNICIPALITY OF CARMEN COTABATO</t>
  </si>
  <si>
    <t>MUNICIPALITY OF STA. CRUZ, ZAMBALES</t>
  </si>
  <si>
    <t>BUREAU OF BROADCAST SERVICES</t>
  </si>
  <si>
    <t>BARANGAY CAN-ANGAY INOPACAN LEYTE</t>
  </si>
  <si>
    <t>MUNICIPALITY  OF SAN JOSE, NEGROS ORIENTAL</t>
  </si>
  <si>
    <t>BARANGAY KINAMLUTAN, BUTUAN, AGUSAN DEL NORTE</t>
  </si>
  <si>
    <t>MUNICIPALITY OF PUERTO GALERA, ORIENTAL MINDORO</t>
  </si>
  <si>
    <t>MUNICIPALITY OF JIMENEZ, MISAMIS OCCIDENTAL</t>
  </si>
  <si>
    <t>SK OF  BARANGAY TEJEROS  - MAKATI CITY</t>
  </si>
  <si>
    <t>BARANGAY 147 ZONE 13, MANILA</t>
  </si>
  <si>
    <t>DEPARTMENT OF PUBLIC WORKS AND HIGHWAYS - ZAMBALES 1ST DEO</t>
  </si>
  <si>
    <t>PROVINCE OF BATANGAS</t>
  </si>
  <si>
    <t>BARANGAY M. ROXAS - TRINIDAD BOHOL</t>
  </si>
  <si>
    <t>MUNICIPALITY OF BANSALAN, DAVAO DEL SUR</t>
  </si>
  <si>
    <t>MUNICIPALITY OF STA. FE, LEYTE</t>
  </si>
  <si>
    <t>BARANGAY DANAO, TIGBAUAN, ILOILO</t>
  </si>
  <si>
    <t>BARANGAY CAMPELIPA - DARAM SAMAR</t>
  </si>
  <si>
    <t>TOLEDO CITY WATER DISTRICT</t>
  </si>
  <si>
    <t>MUNICIPALITY OF BAMBANG, NUEVA VIZCAYA</t>
  </si>
  <si>
    <t>WESTERN VISAYAS SANITARIUM - DOH</t>
  </si>
  <si>
    <t>AGRICULTURAL TRAINING INSTITUTE - REGION XI</t>
  </si>
  <si>
    <t>BARANGAY BALUC, TANGUB CITY</t>
  </si>
  <si>
    <t>DEPARTMENT OF PUBLIC WORKS AND HIGHWAYS - NEG. OCC. 4TH DEO</t>
  </si>
  <si>
    <t>MUNICIPALITY OF SAN ENRIQUE, ILOILO</t>
  </si>
  <si>
    <t>DEPARTMENT OF PUBLIC WORKS AND HIGHWAYS - SAMAR 2ND DEO</t>
  </si>
  <si>
    <t>DEPARTMENT OF PUBLIC WORKS AND HIGHWAYS - NEGROS ORIENTAL 2N</t>
  </si>
  <si>
    <t>MUNICIPALITY OF SAN JOSE DE BUAN, SAMAR</t>
  </si>
  <si>
    <t>BARANGAY MAMBUGSAY - CAUAYAN NEGROS OCCIDENTAL</t>
  </si>
  <si>
    <t>BARANGAY CULASIAN, CAPOOCAN, LEYTE</t>
  </si>
  <si>
    <t>MUNICIPALITY OF BALIGUIAN, ZAMBOANGA DEL NORTE</t>
  </si>
  <si>
    <t>BARANGAY LANGKONG - M'LANG COTABATO</t>
  </si>
  <si>
    <t>BARANGAY  - ROXAS ORIENTAL MINDORO</t>
  </si>
  <si>
    <t>SCIENCE CITY OF MUÑOZ, NUEVA ECIJA</t>
  </si>
  <si>
    <t>MUNICIPALITY OF  PANAON, MISAMIS OCCIDENTAL</t>
  </si>
  <si>
    <t>BARANGAY MAIHAO, CAWAYAN, MASBATE</t>
  </si>
  <si>
    <t>LEYTE NORMAL UNIVERSITY</t>
  </si>
  <si>
    <t>BARANGAY  CABIHIAN - VIRAC CATANDUANES</t>
  </si>
  <si>
    <t>MUNICIPALITY OF ALMAGRO, SAMAR</t>
  </si>
  <si>
    <t>MUNICIPALITY OF GETAFE, BOHOL</t>
  </si>
  <si>
    <t>BARANGAY SICAYAB, DIPOLOG, ZAMBOANGA DEL NORTE</t>
  </si>
  <si>
    <t>BARANGAY DUNGON, CONCEPCION, ILOILO</t>
  </si>
  <si>
    <t>DR. JOSE RIZAL MEMORIAL HOSPITAL</t>
  </si>
  <si>
    <t>TECHNOLOGICAL UNIVERSITY OF THE PHILIPPINES - MANILA CAMPUS</t>
  </si>
  <si>
    <t>MUNICIPALITY OF BONTOC, MOUNTAIN PROVINCE</t>
  </si>
  <si>
    <t>DEPARTMENT OF PUBLIC WORKS AND HIGHWAYS - MIS. OCC. SUB-DEO</t>
  </si>
  <si>
    <t>BARANGAY MAHAYAHAY - CAWAYAN, MASBATE</t>
  </si>
  <si>
    <t>DEPARTMENT OF PUBLIC WORKS AND HIGHWAYS - REGION XII</t>
  </si>
  <si>
    <t>BARANGAY 1 MAON, BUTUAN CITY</t>
  </si>
  <si>
    <t>BARANGAY ALMEÑANA - LEMERY,ILOILO</t>
  </si>
  <si>
    <t>ADVANCED SCIENCE AND TECHNOLOGY INSTITUTE</t>
  </si>
  <si>
    <t>MUNICIPALITY OF NUNUNGAN, LANAO DEL NORTE</t>
  </si>
  <si>
    <t>MUNICIPALITY OF MAGARAO, CAMARINES SUR</t>
  </si>
  <si>
    <t>MUNICIPALITY OF BAUANG, LA UNION</t>
  </si>
  <si>
    <t>BUREAU OF INTERNAL REVENUE</t>
  </si>
  <si>
    <t>DEPARTMENT OF AGRARIAN REFORM - TARLAC CITY</t>
  </si>
  <si>
    <t>MUNICIPALITY OF M'LANG, COTABATO</t>
  </si>
  <si>
    <t>BARANGAY STA. VERONICA, SAN PABLO CITY</t>
  </si>
  <si>
    <t>CITY OF VALENZUELA</t>
  </si>
  <si>
    <t>MUNICIPALITY OF PANUKULAN, QUEZON</t>
  </si>
  <si>
    <t>BUREAU OF JAIL MANAGEMENT AND PENOLOGY-NCR</t>
  </si>
  <si>
    <t>NATIONAL IRRIGATION ADMINISTRATION - QUEZON IMO, LUCENA CITY</t>
  </si>
  <si>
    <t>BARANGAY GUADALUPE NUEVO, MAKATI CITY</t>
  </si>
  <si>
    <t>DEPARTMENT OF SCIENCE AND TECHNOLOGY - CARAGA</t>
  </si>
  <si>
    <t>BARANGAY TIKEY, BOKOD, BENGUET</t>
  </si>
  <si>
    <t>MUNICIPALITY OF BAGGAO, CAGAYAN</t>
  </si>
  <si>
    <t>NATIONAL IRRIGATION ADMINISTRATION-SORSOGON MASBATE IMO</t>
  </si>
  <si>
    <t>BOHOL ISLAND STATE UNIVERSITY - CANDIJAY CAMPUS</t>
  </si>
  <si>
    <t>DEPARTMENT OF SOCIAL WELFARE AND DEVELOPMENT - REGION IV-A</t>
  </si>
  <si>
    <t>MUNICIPALITY OF MAJAYJAY, LAGUNA</t>
  </si>
  <si>
    <t>MUNICIPALITY OF JANIUAY, ILOILO</t>
  </si>
  <si>
    <t>DEPARTMENT OF PUBLIC WORKS AND HIGHWAYS - LA UNION 2ND ED</t>
  </si>
  <si>
    <t>MINDANAO STATE UNIVERSITY - GENERAL SANTOS CITY CAMPUS</t>
  </si>
  <si>
    <t>BARANGAY MARIBAGO, LAPU-LAPU, CEBU</t>
  </si>
  <si>
    <t>MUNICIPALITY OF TAFT, EASTERN SAMAR</t>
  </si>
  <si>
    <t>CADIZ VIEJO NATIONAL HIGH SCHOOL</t>
  </si>
  <si>
    <t>BUREAU OF FIRE PROTECTION - ARMM</t>
  </si>
  <si>
    <t>BICOL REGIONAL TRAINING AND TEACHING HOSPITAL</t>
  </si>
  <si>
    <t>BARANGAY CAMITOC, DULAG, LEYTE</t>
  </si>
  <si>
    <t>MUNICIPALITY OF BASUD, CAMARINES NORTE</t>
  </si>
  <si>
    <t>PROVINCE OF BULACAN</t>
  </si>
  <si>
    <t>MLANG WATER DISTRICT</t>
  </si>
  <si>
    <t>MUNICIPALITY OF INFANTA, QUEZON</t>
  </si>
  <si>
    <t>BARANGAY POBLACION, POLILLO, QUEZON</t>
  </si>
  <si>
    <t>DEPARTMENT OF PUBLIC WORKS AND HIGHWAYS - TACLOBAN CITY SDEO</t>
  </si>
  <si>
    <t>MUNICIPALITY OF STA. ANA, PAMPANGA</t>
  </si>
  <si>
    <t>BARANGAY OSMENA, CATAINGAN, MASBATE</t>
  </si>
  <si>
    <t>MUNICIPALITY OF ANINI-Y, ANTIQUE</t>
  </si>
  <si>
    <t>PROVINCE OF SARANGANI</t>
  </si>
  <si>
    <t>DEPARTMENT OF BUDGET AND MANAGEMENT</t>
  </si>
  <si>
    <t>DEPARTMENT OF PUBLIC WORKS AND HIGHWAYS - PAMPANGA 2ND DEO</t>
  </si>
  <si>
    <t>MUNICIPALITY OF BINANGONAN, RIZAL</t>
  </si>
  <si>
    <t>NATIONAL POWER CORPORATION SPUG-MINDANAO</t>
  </si>
  <si>
    <t>MUNICIPALITY OF PULUPANDAN, NEGROS OCCIDENTAL</t>
  </si>
  <si>
    <t>MUNICIPALITY OF MANAOAG, PANGASINAN</t>
  </si>
  <si>
    <t>TANJAY WATER DISTRICT</t>
  </si>
  <si>
    <t>DEPARTMENT OF SOCIAL WELFARE AND DEVELOPMENT - NCR</t>
  </si>
  <si>
    <t>PROVINCIAL GOVERNMENT OF APAYAO</t>
  </si>
  <si>
    <t>MUNICIPALITY OF DIMASALANG, MASBATE</t>
  </si>
  <si>
    <t>INFANTA (QUEZON) WATER DISTRICT</t>
  </si>
  <si>
    <t>MUNICIPALITY OF LIBERTAD, MISAMIS ORIENTAL</t>
  </si>
  <si>
    <t>MUNICIPALITY OF SAN MANUEL, TARLAC</t>
  </si>
  <si>
    <t>PONTEVEDRA WATER DISTRICT (CAPIZ)</t>
  </si>
  <si>
    <t>MUNICIPALITY OF ROMBLON, ROMBLON</t>
  </si>
  <si>
    <t>DEPARTMENT OF PUBLIC WORKS AND HIGHWAYS - SOUTHERN MINDORO D</t>
  </si>
  <si>
    <t>DEPARTMENT OF EDUCATION - REGION I</t>
  </si>
  <si>
    <t>MUNICIPALITY OF ANGONO, RIZAL</t>
  </si>
  <si>
    <t>MUNICIPALITY OF SIAYAN, ZAMBOANGA DEL NORTE</t>
  </si>
  <si>
    <t>DEPARTMENT OF SOCIAL WELFARE AND DEVELOPMENT - REGION VIII</t>
  </si>
  <si>
    <t>DON EMILIO DEL VALLE MEMORIAL HOSPITAL</t>
  </si>
  <si>
    <t>MUNICIPALITY OF VICTORIA, ORIENTAL MINDORO</t>
  </si>
  <si>
    <t>DEPARTMENT OF PUBLIC WORKS AND HIGHWAYS - DAVAO CITY DEO</t>
  </si>
  <si>
    <t>MUNICIPALITY OF CABA, LA UNION</t>
  </si>
  <si>
    <t>TRES ANDANAS ELEMENTARY SCHOOL</t>
  </si>
  <si>
    <t>MUNICIPALITY OF FERROL, ROMBLON</t>
  </si>
  <si>
    <t>MUNICIPALITY OF CATAINGAN, MASBATE</t>
  </si>
  <si>
    <t>BUREAU OF JAIL MANAGEMENT AND PENOLOGY - REGION XII</t>
  </si>
  <si>
    <t>BARANGAY TAMINLA - BUENAVISTA GUIMARAS</t>
  </si>
  <si>
    <t>MUNICIPALITY OF CATUBIG, NORTHERN SAMAR</t>
  </si>
  <si>
    <t>MUNICIPALITY OF SOLANA, CAGAYAN</t>
  </si>
  <si>
    <t>MUNICIPALITY OF BAUKO, MOUNTAIN PROVINCE</t>
  </si>
  <si>
    <t>NATIONAL IRRIGATION ADMINISTRATION - SOUTH COTABATO</t>
  </si>
  <si>
    <t>BARANGAY SAN ANTONIO - AJUY ILOILO</t>
  </si>
  <si>
    <t>MUNICIPALITY OF CONCEPCION, ILOILO</t>
  </si>
  <si>
    <t>MUNICIPALITY OF SAN LUIS, AURORA</t>
  </si>
  <si>
    <t>MARIKINA POLYTECHNIC COLLEGE</t>
  </si>
  <si>
    <t>PHILIPPINE HEALTH INSURANCE CORPORATION - REGION V</t>
  </si>
  <si>
    <t>BARANGAY MOLATUHAN ALTO, LOPEZ JAENA, MISAMIS OCCIDENTAL</t>
  </si>
  <si>
    <t>MUNICIPALITY OF ALFONSO CASTAÑEDA, NUEVA VIZCAYA</t>
  </si>
  <si>
    <t>CITY OF VICTORIAS, NEGROS OCCIDENTAL</t>
  </si>
  <si>
    <t>MUNICIPALITY OF SAN LORENZO, GUIMARAS</t>
  </si>
  <si>
    <t>DEPARTMENT OF AGRICULTURE - REGION X</t>
  </si>
  <si>
    <t>MUNICIPALITY OF DINAPIGUE, ISABELA</t>
  </si>
  <si>
    <t>BUREAU OF INTERNAL REVENUE - REVENUE REGION NO. 9B-LAQUEMAR</t>
  </si>
  <si>
    <t>BARANGAY STO. TOMAS, MABINI, BATANGAS</t>
  </si>
  <si>
    <t>MUNICIPALITY OF MUNAI LANAO DEL NORTE</t>
  </si>
  <si>
    <t>MUNICIPALITY OF MULANAY, QUEZON</t>
  </si>
  <si>
    <t>BARANGAY KILIOG, LIBONA, BUKIDNON</t>
  </si>
  <si>
    <t>CITY OF SAN JUAN</t>
  </si>
  <si>
    <t>DEPARTMENT OF PUBLIC WORKS AND HIGHWAYS - CAMIGUIN DEO</t>
  </si>
  <si>
    <t>DEPARTMENT OF TRADE AND INDUSTRY - REGION X</t>
  </si>
  <si>
    <t>BARANGAY PANTAY BATA, TANAUAN CITY, BATANGAS</t>
  </si>
  <si>
    <t>BARANGAY BATUG, DULAG, LEYTE</t>
  </si>
  <si>
    <t>DEPARTMENT OF EDUCATION - DIVISION OF LEYTE</t>
  </si>
  <si>
    <t>DEPARTMENT OF ENVIRONMENT AND NATURAL RES. - PENRO, MT. PROV</t>
  </si>
  <si>
    <t>NATIONAL TELECOMMUNICATIONS COMMISSION - REGION XII</t>
  </si>
  <si>
    <t>DEPARTMENT OF PUBLIC WORKS AND HIGHWAYS - REGION XII - COTAB</t>
  </si>
  <si>
    <t>DEPARTMENT OF ENVIRONMENT AND NATURAL RES. - PENRO, KIDAPAWA</t>
  </si>
  <si>
    <t>BARANGAY POBLACION, AROROY, MASBATE</t>
  </si>
  <si>
    <t>DEPARTMENT OF PUBLIC WORKS AND HIGHWAYS - LAGUNA III DISTRIC</t>
  </si>
  <si>
    <t>PUBLIC-PRIVATE PARTNERSHIP (PPP) CENTER OF THE PHILIPPI</t>
  </si>
  <si>
    <t>MUNICIPALITY OF MINA, ILOILO</t>
  </si>
  <si>
    <t>MUNICIPALITY OF ABORLAN, PALAWAN</t>
  </si>
  <si>
    <t>BARANGAY TADIANGAN, TUBA, BENGUET</t>
  </si>
  <si>
    <t>BARANGAY BUHATAN SORSOGON CITY SORSOGON</t>
  </si>
  <si>
    <t>MUNICIPALITY OF BINUANGAN , MISAMIS ORIENTAL</t>
  </si>
  <si>
    <t>MUNICIPALITY OF SARANGANI, DAVAO OCCIDENTAL</t>
  </si>
  <si>
    <t>PROVINCE OF CATANDUANES</t>
  </si>
  <si>
    <t>MUNICIPALITY OF BULDON, MAGUINDANAO</t>
  </si>
  <si>
    <t>MUNICIPALITY OF SAN NICOLAS, BATANGAS</t>
  </si>
  <si>
    <t>BARANGAY TALOC, BAGO CITY, NEGROS OCCIDENTAL</t>
  </si>
  <si>
    <t>MUNICIPALITY OF NABAS, AKLAN</t>
  </si>
  <si>
    <t>MUNICIPALITY OF LEYTE, LEYTE</t>
  </si>
  <si>
    <t>MINISTRY OF BASIC HIGHER AND TECHNICAL EDUCATION -  BARMM</t>
  </si>
  <si>
    <t>BARANGAY 43, TACLOBAN CITY, LEYTE</t>
  </si>
  <si>
    <t>BARANGAY STA. FE, TAGBINA, SURIGAO DEL SUR</t>
  </si>
  <si>
    <t>DEPARTMENT OF PUBLIC WORKS AND HIGHWAYS - AGUSAN DEL SUR 1ST</t>
  </si>
  <si>
    <t>PHILIPPINE PORTS AUTHORITY - PMO PUERTO PRINCESA</t>
  </si>
  <si>
    <t>MUNICIPALITY OF TAYUG, PANGASINAN</t>
  </si>
  <si>
    <t>MUNICIPALITY OF LUPAO, NUEVA ECIJA</t>
  </si>
  <si>
    <t>MUNICIPALITY OF UBAY, BOHOL</t>
  </si>
  <si>
    <t>MUNICIPALITY OF PALAPAG, NORTHERN SAMAR</t>
  </si>
  <si>
    <t>MUNICIPALITY OF AGDANGAN, QUEZON</t>
  </si>
  <si>
    <t>PROVINCE OF CAMIGUIN</t>
  </si>
  <si>
    <t>DEPARTMENT OF ENVIRONMENT AND NATURAL RESOURCES - REGION XII</t>
  </si>
  <si>
    <t>PHILIPPINE RICE RESEARCH INSTITUTE - AGUSAN</t>
  </si>
  <si>
    <t>METALS INDUSTRY RESEARCH &amp; DEVELOPMENT CENTER</t>
  </si>
  <si>
    <t>MUNICIPALITY OF STA. CRUZ, ILOCOS SUR</t>
  </si>
  <si>
    <t>MUNICIPALITY OF KIAMBA, SARANGANI</t>
  </si>
  <si>
    <t>MUNICIPALITY OF BURDEOS, QUEZON</t>
  </si>
  <si>
    <t>MUNICIPAL GOVERNMENT OF SABLAN, BENGUET</t>
  </si>
  <si>
    <t>BARANGAY  OLOTAN JARO LEYTE</t>
  </si>
  <si>
    <t>MUNICIPALITY OF MERCEDES, CAMARINES NORTE</t>
  </si>
  <si>
    <t>MUNICIPALITY OF DIADI, NUEVA VIZCAYA</t>
  </si>
  <si>
    <t>PHILIPPINE ARMY (PA)</t>
  </si>
  <si>
    <t>NATIONAL IRRIGATION ADMINISTRATION - EASTERN-WESTERN SAMAR I</t>
  </si>
  <si>
    <t>BARANGAY PORO - SAN FERNANDO CITY, LA UNION</t>
  </si>
  <si>
    <t>NATIONAL IRRIGATION ADMINISTRATION - REGION VI</t>
  </si>
  <si>
    <t>BUREAU OF JAIL MANAGEMENT AND PENOLOGY - CARAGA</t>
  </si>
  <si>
    <t>MUNICIPALITY OF MARIA AURORA, AURORA</t>
  </si>
  <si>
    <t>BARANGAY LA VICTORIA - IMELDA ZAMBOANGA SIBUGAY</t>
  </si>
  <si>
    <t>BARANGAY CABID-AN, SORSOGON CITY</t>
  </si>
  <si>
    <t>BARANGAY MIPUTAK DIPOLOG CITY ZAMBOANGA DEL NORTE</t>
  </si>
  <si>
    <t>DEPARTMENT OF PUBLIC WORKS AND HIGHWAYS - NEGROS ORIENTAL 1S</t>
  </si>
  <si>
    <t>MUNICIPALITY OF DAANBANTAYAN, CEBU</t>
  </si>
  <si>
    <t>MUNICIPALITY OF SIRAWAI, ZAMBOANGA DEL NORTE</t>
  </si>
  <si>
    <t xml:space="preserve">DEPARTMENT OF PUBLIC WORKS AND HIGHWAYS - NUEVA VIZCAYA 1ST </t>
  </si>
  <si>
    <t>DEPARTMENT OF PUBLIC WORKS AND HIGHWAYS - MASBATE 1ST DEO</t>
  </si>
  <si>
    <t>MUNICIPALITY OF GARCHITORENA, CAMARINES SUR</t>
  </si>
  <si>
    <t>MUNICIPALITY  OF BANATE, ILOILO</t>
  </si>
  <si>
    <t>MUNICIPALITY OF GEN. M. ALVAREZ, CAVITE</t>
  </si>
  <si>
    <t>MUNICIPALITY OF CATMON, CEBU</t>
  </si>
  <si>
    <t>MUNICIPALITY OF CONNER, APAYAO</t>
  </si>
  <si>
    <t>DEPARTMENT OF TRANSPORTATION (DOTR) MAIN</t>
  </si>
  <si>
    <t>DEPARTMENT OF PUBLIC WORKS AND HIGHWAYS - MASBATE 3RD DEO</t>
  </si>
  <si>
    <t>MUNICIPALITY OF REINA MERCEDES, ISABELA</t>
  </si>
  <si>
    <t>PHILIPPINE CARABAO CENTER - KABACAN COTABATO</t>
  </si>
  <si>
    <t>NATIONAL MUSEUM - MANILA METRO MANILA</t>
  </si>
  <si>
    <t>BARANGAY SABANGAN - SAN JUAN, ILOCOS SUR</t>
  </si>
  <si>
    <t>ABRA STATE INSTITUTE OF SCIENCES AND TECHNOLOGY - BANGUED</t>
  </si>
  <si>
    <t>BANGKO SENTRAL NG PILIPINAS - CEBU REGIONAL OFFICE</t>
  </si>
  <si>
    <t>PHILIPPINE STATISTICS AUTHORITY</t>
  </si>
  <si>
    <t>COAST GUARD EDUCATION TRAINING AND DOCTRINE COMMAND -PCG</t>
  </si>
  <si>
    <t>NATIONAL FOOD AUTHORITY - REGION III</t>
  </si>
  <si>
    <t>BARANGAY POLO - NEW WASHINGTON AKLAN</t>
  </si>
  <si>
    <t>MUNICIPALITY OF SAN VICENTE, ILOCOS SUR</t>
  </si>
  <si>
    <t>DEPARTMENT OF TOURISM - REGION VIII</t>
  </si>
  <si>
    <t>DEPARTMENT OF EDUCATION - DIVISION OF CALAMBA CITY</t>
  </si>
  <si>
    <t>DEPARTMENT OF PUBLIC WORKS AND HIGHWAYS - ZAMBOANGA CITY DEO</t>
  </si>
  <si>
    <t>MUNICIPALITY OF SAN LUIS, AGUSAN DEL SUR</t>
  </si>
  <si>
    <t>PHILIPPINE SCIENCE HIGH SCHOOL - CENTRAL VISAYAS CAMPUS</t>
  </si>
  <si>
    <t>DEPARTMENT OF PUBLIC WORKS AND HIGHWAYS - SIQUIJOR DEO</t>
  </si>
  <si>
    <t>DEPARTMENT OF PUBLIC WORKS AND HIGHWAYS - BACOLOD CITY DEO</t>
  </si>
  <si>
    <t>DEPARTMENT OF PUBLIC WORKS AND HIGHWAYS - METRO MANILA 2ND D</t>
  </si>
  <si>
    <t>PHILIPPINE AMUSEMENT AND GAMING CORPORATION-DAVAO</t>
  </si>
  <si>
    <t>SAN FRANCISCO WATER DISTRICT</t>
  </si>
  <si>
    <t>DEPARTMENT OF LABOR AND EMPLOYMENT - REGION VIII</t>
  </si>
  <si>
    <t>TOURISM INFRASTRUCTURE AND ENTERPRISE ZONE AUTHORITY</t>
  </si>
  <si>
    <t>PHILIPPINE AMUSEMENT AND GAMING CORPORATION-ANGELES</t>
  </si>
  <si>
    <t>CREDIT INFORMATION CORPORATION</t>
  </si>
  <si>
    <t>PHILIPPINE AMUSEMENT AND GAMING CORPORATION-HYATT</t>
  </si>
  <si>
    <t>RAMON MAGSAYSAY TECHNOLOGICAL UNIVERSITY</t>
  </si>
  <si>
    <t>PROVINCE OF APAYAO</t>
  </si>
  <si>
    <t>NATIONAL CHILDREN'S HOSPITAL</t>
  </si>
  <si>
    <t>DEPARTMENT OF ENVIRONMENT AND NATURAL RESOURCES - RIV-A</t>
  </si>
  <si>
    <t>DEVELOPMENT BANK OF THE PHILIPPINES - RMC-WESTERN MINDANAO</t>
  </si>
  <si>
    <t>DEPARTMENT OF PUBLIC WORKS AND HIGHWAYS - ALBAY 1ST DEO</t>
  </si>
  <si>
    <t>MUNICIPALITY OF SAPAD, LANAO DEL NORTE</t>
  </si>
  <si>
    <t>DEPARTMENT OF PUBLIC WORKS AND HIGHWAYS - SOUTHERN LEYTE DEO</t>
  </si>
  <si>
    <t>NATIONAL ANTI-POVERTY COMMISSION</t>
  </si>
  <si>
    <t>DEPARTMENT OF FOREIGN AFFAIRS - MAIN</t>
  </si>
  <si>
    <t>HOME DEVELOPMENT MUTUAL FUND - REGION VII</t>
  </si>
  <si>
    <t>NATIONAL ELECTRIFICATION ADMINISTRATION</t>
  </si>
  <si>
    <t>DEPARTMENT OF EDUCATION - DIVISION OF LANAO DEL NORTE</t>
  </si>
  <si>
    <t>NATIONAL HOUSING AUTHORITY REGION 4 - QUEZON CITY METRO MANI</t>
  </si>
  <si>
    <t>PHILIPPINE AMUSEMENT AND GAMING CORPORATION-PAVILION</t>
  </si>
  <si>
    <t>NATIONAL DEVELOPMENT COMPANY</t>
  </si>
  <si>
    <t>BUREAU OF FIRE PROTECTION - REGION V</t>
  </si>
  <si>
    <t>WEST VISAYAS STATE UNIVERSITY</t>
  </si>
  <si>
    <t>BARANGAY CATO-OGAN TOBIAS FORNIER ANTIQUE</t>
  </si>
  <si>
    <t>DEPARTMENT OF NATIONAL DEFENSE - PROCUREMENT UNIT</t>
  </si>
  <si>
    <t>DEPARTMENT OF PUBLIC WORKS AND HIGHWAYS - CARAGA</t>
  </si>
  <si>
    <t>BARANGAY POTOL - DAPITAN CITY ZAMBOANGA DEL NORTE</t>
  </si>
  <si>
    <t>improvement of drainage - mulawin st. land tenure subd</t>
  </si>
  <si>
    <t>request for quotation of pegdalahan e/s</t>
  </si>
  <si>
    <t>REHABILITATION OF SAN JOSE - CASTRO ROAD (SAN JOSE SECTION) LOCATED AT BARANGAY SAN JOSE, SUDIPEN, LA UNION</t>
  </si>
  <si>
    <t>provision of school forms</t>
  </si>
  <si>
    <t>CONSTRUCTION OF MULTI-PURPOSE BUILDING AT BRGY. SAMPALOC I, CITY OF DASMARIÑAS, CAVITE</t>
  </si>
  <si>
    <t>REHABILITATION OF CASTRO – PORPORIKET ROAD LOCATED AT BARANGAY CASTRO &amp; PORPORIKET, SUDIPEN, LA UNION</t>
  </si>
  <si>
    <t>CCTV Camera</t>
  </si>
  <si>
    <t>CONCRETE PAVING OF FARM TO MARKET ROAD (SITIO GUDEL) LOCATED AT BARANGAY NAMALTUGAN, SUDIPEN, LA UNION</t>
  </si>
  <si>
    <t>REHABILITATION OF FARM TO MARKET ROAD (SITIO BITTAO) LOCATED AT BARANGAY DUPLAS, SUDIPEN, LA UNION</t>
  </si>
  <si>
    <t>purchase of office supplies</t>
  </si>
  <si>
    <t>20CSDM04 – Conduct of Geotechnical Investigation for Basiao Seawall, Agdangan River, Poblacion and Pansoy Seawall, Talisay River, in Quezon III L.D</t>
  </si>
  <si>
    <t>provision of school supplies for pupils</t>
  </si>
  <si>
    <t>PRINTING OF LEARNING MODULES</t>
  </si>
  <si>
    <t>reproduction of reports</t>
  </si>
  <si>
    <t>20CSAE01: SUBSURFACE EXPLORATION FOR THE PROPOSED 2021 PROJECTS WITHIN THE FIRST DISTRICT OF LA UNION</t>
  </si>
  <si>
    <t>provision of medical supplies</t>
  </si>
  <si>
    <t>AGR-20-0338-B Purchase of Kitchenware</t>
  </si>
  <si>
    <t>Establishment of Governor’s Satellite Office at GADTC</t>
  </si>
  <si>
    <t>REHABILITATION OF FARM TO MARKET ROAD (NAMALTUGAN – UP-UPLAS ROAD) LOCATED AT BARANGAY UP-UPLAS, SUDIPEN, LA UNION</t>
  </si>
  <si>
    <t>world teachers day</t>
  </si>
  <si>
    <t>AGR-20-0347-B Purchase of Agricultural Supplies and Materials</t>
  </si>
  <si>
    <t>PROPOSED DRAINAGE WITH ROAD WIDENING</t>
  </si>
  <si>
    <t>PROPOSED ROAD CONCRETING</t>
  </si>
  <si>
    <t>20CSDM05 – Conduct of Geotechnical Investigation of San Andres - San Narciso Road</t>
  </si>
  <si>
    <t>CONCRETE PAVING OF FARM TO MARKET ROAD (SITIO MINDANAO) LOCATED AT BARANGAY NAMALTUGAN, SUDIPEN, LA UNION</t>
  </si>
  <si>
    <t>PROPOSED PATHWALK</t>
  </si>
  <si>
    <t>Printing services</t>
  </si>
  <si>
    <t>Purchase of One (1) Unit Dump Truck to be used in this Municipality</t>
  </si>
  <si>
    <t>2020 KES MOOE</t>
  </si>
  <si>
    <t>Supply and Delivery of Supplies and Materials for 2020 Census of Population and Housing (2020 CPH)</t>
  </si>
  <si>
    <t>invitation to bid</t>
  </si>
  <si>
    <t>F1K Days TV plugs in 1 TV station</t>
  </si>
  <si>
    <t>20GGK0006 - Supply and Delivery of Materials for use in the Repair/Roadside Maintenance of National Roads along Bacolod North Road (S00025NR, S00393NR, S00389NR, S00406NR) 3rd LD, K0005+-790 - K0033+0</t>
  </si>
  <si>
    <t>20CSDM06 – Conduct of Geotechnical Investigation along Piris River and Mulanay River in Buenavista and Mulanay, Quezon</t>
  </si>
  <si>
    <t>20GGK0005 - Supply and Delivery of Materials for use in the Repair and Maintenance of National Roads along Bacolod North Road (S00406NR), K0013+000 - K0071+000; (S00408NR) K0077+000 - K0161+117; Bacol</t>
  </si>
  <si>
    <t>F1K Days radio plugs in 1 radio station</t>
  </si>
  <si>
    <t>Extension Building of Municipal Hall (Treasury)</t>
  </si>
  <si>
    <t>Supply labor and materials for the Improvement of Activity Center in Barangay Tigbawan of the Municipality of Tabuelan, Cebu</t>
  </si>
  <si>
    <t>REHABILITATION OF FARM TO MARKET ROAD LOCATED AT BARANGAY SAN FRANCISCO NORTE, SUDIPEN, LA UNION</t>
  </si>
  <si>
    <t>SDH-20-0364-B I.V. FLUIDS</t>
  </si>
  <si>
    <t>REHABILITATION OF FARM TO MARKET ROAD LOCATED AT BARANGAY BIGBIGA, SUDIPEN, LA UNION</t>
  </si>
  <si>
    <t>SUPPLY AND DELIVERY OF 7.2KW GENERATOR SET (DIESEL)</t>
  </si>
  <si>
    <t>Contract ID No. 19CSK00041 – Consultancy Services for the Conduct of Geotechnical &amp; Geological Investigation and Survey Works for the Proposed Construction of Sabo Dam on Upper and Lower Dinanggasan R</t>
  </si>
  <si>
    <t>PROCUREMENT OF PLANTING MATERIALS</t>
  </si>
  <si>
    <t>19GF00031 - Procurement of Hydraulic Breaker and Hydraulic Grapple for use at EMD (PR No. 20-05-103 dated 5/29/2020), DPWH Regional Office No. V, Rawis, Legazpi City</t>
  </si>
  <si>
    <t>Invitation to Bid</t>
  </si>
  <si>
    <t>PURCHASE OF 129-PCS OF RAPID TEST KIT USE FOR THE PREVENTION OF COVID-19</t>
  </si>
  <si>
    <t>ILD-20-2314: Procurement of Various Chmical and Filtering Supplies (450 bottles Lambda Cyhalothrin (500ml/bot) et al...)</t>
  </si>
  <si>
    <t>Purchase of hardware materials for the fabrication of gate of public market and reditching; declogging and repair of vegetable section storm drainage, Isabela Public Market, Isabela, Neg. Occ.</t>
  </si>
  <si>
    <t>Fuel Deposit for Lot 2 – 3,060.11 liters Diesel in Sorsogon, Lot 3 – 3,060.11 liters Diesel in Catanduanes and Lot 4 – 3,060.11 liters Diesel in Masbate for use of RP Vehicle of SAAD RPMSO and PPMO So</t>
  </si>
  <si>
    <t>INTERNET SUBSCRIPTION OF UNIVERSITY</t>
  </si>
  <si>
    <t>SUPPLY OF MATERIAL AND REPAIR OF AIRCONDITIONG UNITS</t>
  </si>
  <si>
    <t>SUPPLY AND DELIVERY OF ONE (1) SECURITY SERVICES</t>
  </si>
  <si>
    <t>CONFERENCE SYSTEM</t>
  </si>
  <si>
    <t>OFFICE EQUIPMENT MARAWI (MOVED TO ILIGAN)</t>
  </si>
  <si>
    <t>MODERNIZATION OF LABORATORY EQUIPMENT FOR BACHELOR OF SCIENCE IN ELECTRICAL ENGINEERING</t>
  </si>
  <si>
    <t>SDH-20-0361-B DRUGS AND MEDICINES</t>
  </si>
  <si>
    <t>Construction of Concrete Footwalk</t>
  </si>
  <si>
    <t>OFFICE EQUIPMENT DAVAO</t>
  </si>
  <si>
    <t>OFFICE EQUIPMENT CARAGA</t>
  </si>
  <si>
    <t>SUPPLY AND DELIVERY OF ONE (1) JANITORIAL SERVICES</t>
  </si>
  <si>
    <t>OFFICE EQUIPMENT JOLO</t>
  </si>
  <si>
    <t>ILD-20-2315: Procurement of *3,600 packs of PHROMONE LURE (5 sachets/pack)</t>
  </si>
  <si>
    <t>OFFICE EQUIPMENT CENTRAL OFFICE</t>
  </si>
  <si>
    <t>OFFICE EQUIPMENT ZAMBOANGA</t>
  </si>
  <si>
    <t>REHABILITATION OF LOCAL ROADS Sitio Napo, Caatihan, Boston, Davao Oriental</t>
  </si>
  <si>
    <t>PERSONAL TABLET</t>
  </si>
  <si>
    <t>CONSTRUCTION OF CONCRETE BLEACHER &amp; CONCRETE FLOORING @ BRGY. MARINTOC, MOBO, MASBATE</t>
  </si>
  <si>
    <t>WATCHGUARD BASIC SECURITY SUITE</t>
  </si>
  <si>
    <t>CAMERA</t>
  </si>
  <si>
    <t>20GEB0010: Procurement/Supply of Personnel Protective Equipment for use of Maintenance Crew for the Repair/Maintenance of  National Roads and Bridges (1st to 4th Quarter)- Maintenance Section</t>
  </si>
  <si>
    <t>ITB 2020-06-89 Procurement of 92,500 pcs. Birthday Cake for the period July to December 31, 2020 for OM-OSCA</t>
  </si>
  <si>
    <t>OFFICE EQUIPMENT NCR</t>
  </si>
  <si>
    <t>ANTIVIRUS SOFTWARE</t>
  </si>
  <si>
    <t>OFFICE EQUIPMENT CAG DE ORO</t>
  </si>
  <si>
    <t>Supply and delivery of Office Supplies</t>
  </si>
  <si>
    <t>HMO-20-0354-B - PURCHASE OF AMBULANCE WITH COMPLETE MEDICAL EQUIPMENT</t>
  </si>
  <si>
    <t>Procurement of Parts for the Repair and Maintenance of Machinery and Equipment</t>
  </si>
  <si>
    <t>PROPOSED CONSTRUCTION OF DRAINAGE SYSTEM @ PUROK dascc</t>
  </si>
  <si>
    <t>REHABILITATION OF PENNED DAM</t>
  </si>
  <si>
    <t>ADOBE CREATIVE CLOUD SUITE</t>
  </si>
  <si>
    <t>20GEB0012: Procurement/Supply/Delivery of Grass Cutter, Accessories and Spare parts for use in the Repair/Maintenance of National Roads and Bridges (1st to 4th quarter)- Maintenance Section</t>
  </si>
  <si>
    <t>Proposed Construction of Pathways  at Purok QCRO</t>
  </si>
  <si>
    <t>Concreting of Laguinbanua-Bubog-Albasan Road, Numancia, Aklan</t>
  </si>
  <si>
    <t>Purchase of Office Supplies</t>
  </si>
  <si>
    <t>Procurement of Supplies for MMSU CARES</t>
  </si>
  <si>
    <t>PROJECT: CONTINUATION OF EVACUATION CENTER</t>
  </si>
  <si>
    <t>Repair of Persons with Disability Affairs Office Building, Capitol Site, Kalibo, Aklan</t>
  </si>
  <si>
    <t>Purchase of Desktop Computer Intel Core i7 with 23.0 monitor, with all in one printer (long scanner and photocopier), with computer glass table and swivel computer chair.</t>
  </si>
  <si>
    <t>Purchase of Laptop</t>
  </si>
  <si>
    <t>Construction of Laundry Area of Godofredo P. Ramos Hospital (Phase 2), Altavas, Aklan</t>
  </si>
  <si>
    <t>Supply of CCTV cameras and complete accesories for ABES</t>
  </si>
  <si>
    <t>20GEB0093: Procurement/Supply/Delivery of Desktop Computer for use of DPWH – Mindoro Occidental DEO Administrative Section (Records Unit)</t>
  </si>
  <si>
    <t>Purchase of Medical Equipments for MHO 1st &amp; 2nd Quarter</t>
  </si>
  <si>
    <t>Improvement of Kalibo-New Buswang Road and Junction Going to Toting Reyes Street (Construction of Drainage Cover at New Buswang and Toting Segment), Kalibo, Aklan</t>
  </si>
  <si>
    <t>20GEB0023: Procurement/Supply/Delivery of IT for use of DPWH-Mindoro Occidental DEO Planning and Design Section</t>
  </si>
  <si>
    <t>One Job Supply of Materials and  Labor for Construction of Covered Court/Gym, Salvacion (Phase II) at Bgry. Salvacion, Nueva Valencia with the following equipment and technical personnel required</t>
  </si>
  <si>
    <t>20GEB0058: Procurement/Supply/Delivery of Traffic Counting Machine Accessories for use in Conduct of NRTSP, DPWH – Mindoro Occidental DEO Planning and Design Section (Lubang Field Office)</t>
  </si>
  <si>
    <t>Supply and Delivery of Medical Equipment</t>
  </si>
  <si>
    <t>Repair and Maintenance of Isuzu Fuego (2000 Model)</t>
  </si>
  <si>
    <t>Purchase of One (1) Unit Bottle and Glass Crusher to be used at the MENRO Office of this Municipality</t>
  </si>
  <si>
    <t>Supply and delivery of Office supplies for the use of the City Agriculture’s Office, Kidapawan City.</t>
  </si>
  <si>
    <t>Construction of Duangan Multi Purpose Center</t>
  </si>
  <si>
    <t>pipe drilling and installation of two 82 gallon capacity pressure tanks</t>
  </si>
  <si>
    <t>Supply and delivery of Office supplies for the use of the City Civil Registrar’s Office, Kidapawan City</t>
  </si>
  <si>
    <t>20GEB0021: Procurement/Supply/Delivery of Office Equipment Supplies and Consumables for use in DPWH – Mindoro Occidental DEO  Planning and Design Section</t>
  </si>
  <si>
    <t>EMERGENCY REPLACEMENT OF PUMPING EQUIPMENT</t>
  </si>
  <si>
    <t>Supply and Delivery of Electrical Materials</t>
  </si>
  <si>
    <t>Supply and Delivery of Tractor Trailing Disk Harrow (Blade size 60 cm Ø)</t>
  </si>
  <si>
    <t>PROCUREMENT OF OFFICE SUPPLIES FOR DIFFERENT OFFICES (1st – 2nd Quarter), MALAPATAN, SARANGANI PROVINCE</t>
  </si>
  <si>
    <t>Canopy going to grade 7 building</t>
  </si>
  <si>
    <t>Construction of Salug Multi Purpose Center</t>
  </si>
  <si>
    <t>Delivery of labor and materials for the project of Construction of Pathway at Brgy. Puypuy, Bay,  Laguna</t>
  </si>
  <si>
    <t>REHABILITATION OF FORTICH STREET (LAYOS)</t>
  </si>
  <si>
    <t>Supply and Delivery of Various Office Supplies for Various Offices in the Municipality (2nd &amp; 3rd Quarter)</t>
  </si>
  <si>
    <t>SUPPLY AND DELIVERY OF NYLON NET/SCREEN</t>
  </si>
  <si>
    <t>Procurement of Photocopiers for distribution to elementary and secondary  schools of Bay District</t>
  </si>
  <si>
    <t>Delivery of labor and materials for the project of Rehabilitation of Health Center at  Brgy. San Nicolas, Bay, Laguna</t>
  </si>
  <si>
    <t>SUPPLY AND DELIVERY OF ONE (1) LOT OF VARIOUS ELECTRICAL SUPPLIES FOR THE USE OF THE IMPROVEMENT OF LIGHTING SYSTEM IN THE ASTRODOME MUNICIPALITY OF TABUELAN</t>
  </si>
  <si>
    <t>Rental of Financial program for Accounting Office</t>
  </si>
  <si>
    <t>6-UNITS FLANGE IMMERSION HEATER FOR EEMO</t>
  </si>
  <si>
    <t>RFQ 2020-06-002 (P.R. # 2020-06-012)-Supply/Delivery of Office Supplies for use  in Preparation of Right-of-Way Action Plan (RAP) and Environmental Impact Assessment (EIA)-FY 2020, DPWH-Palawan 3rd DE</t>
  </si>
  <si>
    <t>SAAD-20-1185 (REBID 2): Procurement of Assorted Feeds</t>
  </si>
  <si>
    <t>SAAD-20-0992 (REBID 2): Procurement of Various Feeds</t>
  </si>
  <si>
    <t>SUPPLY AND DELIVERY OF 15 DRUMS CHLORINE</t>
  </si>
  <si>
    <t>ILD-20-2316: Procurement of *571 bottles of Azadirahtin (1 liter/bot. Organic Pesticide) and *100 boxes of Bacillus Thuringiensis (5 x 100 gram/box)</t>
  </si>
  <si>
    <t>Repair of Gazebo Building Canopy at the Municipal Hall Compound of Palo, Leyte  JR No. 20-06-112</t>
  </si>
  <si>
    <t>SUPPLY, DELIVERY AND INSTALLATION OF ONE (1) LOT OF INDUSTRIAL FAN UNITS (2 units), LARGE CEILING TYPE, TO BE INSTALLED AT BONIFACIO R. BACALTOS SPORTS AND CULTURAL CENTRUM, SIBONGA</t>
  </si>
  <si>
    <t>Repair/Improvement of Slope Protection (Construction of Apron and Cut-off Wall), Tagbaya, Ibajay, Aklan</t>
  </si>
  <si>
    <t>SAAD-20-1237 (REBID 2): Procurement of 3,600 heads of Native Chicken</t>
  </si>
  <si>
    <t>Rental of One (1) Copier Machine</t>
  </si>
  <si>
    <t>Office Supplies</t>
  </si>
  <si>
    <t>Construction of Evacuation Center (Phase 2) (Drainage System and Roof Gutter), Barangay Naile, Ibajay, Aklan</t>
  </si>
  <si>
    <t>1-LOT SUPPLY OF LABOR &amp; MATERIALS FOR THE  IMPROVEMENT SAGAY PUBLIC PLAZA-PHASE 2</t>
  </si>
  <si>
    <t>SUPPLY, DELIVERY AND INSTALLATION OF ONE (1) LOT OF INDUSTRIAL FAN UNITS (2 units), LARGE CEILING TYPE, TO BE INSTALLED AT MEDELLIN GYM</t>
  </si>
  <si>
    <t>Construction of Perimeter Fence of Bay-ang Elementary School Catholic Chapel &amp; 7th Day Adventist Chapel, Bay-ang-Magpag-ong, Batan, Aklan</t>
  </si>
  <si>
    <t>Supply &amp; Delivery of Medical, Dental &amp; Laboratory Supplies for City Health Office-OPD, Dental, Laboratory Section &amp; Six (6) District Health Center in Ormoc City, Ormoc City</t>
  </si>
  <si>
    <t>SUPPLY, DELIVERY AND INSTALLATION OF ONE (1) LOT OF INDUSTRIAL FAN UNITS (2 units), LARGE CEILING TYPE, TO BE INSTALLED AT BALAMBAN GYM</t>
  </si>
  <si>
    <t>S &amp; D of Const. Mat. - Construction and Widening of Chahahas to Makavat FMR (PEO)</t>
  </si>
  <si>
    <t>S &amp; D of Const. Mat. - Construction of Brgy. Hall (San Rafael) (PEO)</t>
  </si>
  <si>
    <t>CEEMDO - Generator Set</t>
  </si>
  <si>
    <t>S &amp; D of Const. Mat. - Completion of Multi-Purpose Building, San Joaquin (PEO)</t>
  </si>
  <si>
    <t>Construction of Sanitary Landfill (PEO)</t>
  </si>
  <si>
    <t>INSTALLATION OF COMMUNICATION SYSTEM/SECURING MONITORING DEVICES (PABX, INTERCOM &amp; CCTV) (EL NIDO, PALAWAN)</t>
  </si>
  <si>
    <t>Concreting of Makato-Cayangwan-Libang Road (Cayangwan Segment), Makato, Akla</t>
  </si>
  <si>
    <t>Reblocking of Alegria-Balusbos-Habana Road, Buruanga, Aklan</t>
  </si>
  <si>
    <t>Supply and delivery of fire hydrant</t>
  </si>
  <si>
    <t>PROCUREMENT OF MATERIALS FOR THE MAINTENANCE AND DEVELOPMENT OF HRIS SYSTEM, MALAPATAN, SARANGANI PROVINCE</t>
  </si>
  <si>
    <t>S &amp; D of Const. Mat. - Construction of Flood Control at Itbud (PEO)</t>
  </si>
  <si>
    <t>Supply &amp; Delivery of Drugs &amp; Medicines for the Responsible Parenting &amp; Reproductive Health Program of the City Health Office, Ormoc City</t>
  </si>
  <si>
    <t>INSTALLATION OF COMMUNICATION SYSTEM/SECURING MONITORING DEVICES (PABX, INTERCOM &amp; CCTV) (SAN VICENTE, PALAWAN)</t>
  </si>
  <si>
    <t>Concreting of Venturanza Road, Banga, Aklan</t>
  </si>
  <si>
    <t>SUPPLY, DELIVERY AND INSTALLATION OF ONE (1) LOT OF INDUSTRIAL FAN UNITS (2 units) LARGE CEILING TYPE TO BE INSTALLED AT MOALBOAL GYM</t>
  </si>
  <si>
    <t>Supply &amp; Delivery of One (1) Unit Brand New Service Vehicle for the City Veterinary Office, Ormoc City</t>
  </si>
  <si>
    <t>INVITATION TO BID ON THE CONTRACT OF DRAINAGE SYSTEM PROJECT AT CENTRAL</t>
  </si>
  <si>
    <t>Reblocking of Man-up-Lupit-Ambolong-Batan Road, Batan, Aklan</t>
  </si>
  <si>
    <t>S &amp; D of Const. Mat. - Rehabilitation of Sinakan MPB (PEO)</t>
  </si>
  <si>
    <t>Rehabilitation and Improvement of Laguinbanua-Bagacay-Unat-Agdugayan Road, Ibajay, Aklan</t>
  </si>
  <si>
    <t>Supply &amp; Delivery of One (1) Unit Brand New Emergency Medical Service Vehicle for the Ormoc Bureau of Fire Protection, CDRRMO, Ormoc City</t>
  </si>
  <si>
    <t>PROCUREMENT OF OFICE EQUIPMENT FOR MUNICIPAL INFORMATION OFFICE, MALAPATAN, SARANGANI PROVINCE</t>
  </si>
  <si>
    <t>REHABILITATION OF G.H DEL PILAR STREET</t>
  </si>
  <si>
    <t>Procurement of Various Spare Parts-06-318(A)PGO</t>
  </si>
  <si>
    <t>Improvement of Odiong Circumferential Road, Altavas, Aklan</t>
  </si>
  <si>
    <t>Road Concreting at Brgy. Valencia, Ormoc City</t>
  </si>
  <si>
    <t>Procurement of Various Fertilizers-06-055(M)OPAG</t>
  </si>
  <si>
    <t>Construction of Evacuation Center, Arcanghel, Balete, Aklan</t>
  </si>
  <si>
    <t>FOD-H-20-2345: Procurement of 4,185 kilos of Ginger (Planting Materials)</t>
  </si>
  <si>
    <t>Procurement of Various Agricultural Chemicals-06-057(M)OPAG</t>
  </si>
  <si>
    <t>Bidding for the Supply &amp; Delivery of Medical Supplies for MHO use</t>
  </si>
  <si>
    <t>Procurement of Various Housekeeping Supplies-06-003(H)Prov'l Assessor Office</t>
  </si>
  <si>
    <t>Completion of Evacuation Center, Guinbaliwan, New Washington, Aklan</t>
  </si>
  <si>
    <t>Purchase of Hospital/Medical Equipment of CSTH for Level 1 (Medical Waste Decomposer Thermal Insulation), Ciriaco S. Tirol Hospital, Boracay Island, Malay, Aklan</t>
  </si>
  <si>
    <t>SAAD-20-2131: Procurement of 100 rolls of Range Nets</t>
  </si>
  <si>
    <t>Procurement of Various Spare Parts-06-319(A)PGO</t>
  </si>
  <si>
    <t>REHABILITATION OF JUAN LUNA STREET</t>
  </si>
  <si>
    <t>Procurement of Various Kitchenware-06-316(A)PGO</t>
  </si>
  <si>
    <t>Completion of Supply Room, Family Planning and Social Hygiene Clinic @ Godofredo P. Ramos Hospital, Poblacion, Altavas, Aklan (Re-biding)</t>
  </si>
  <si>
    <t>Procurement of Various Spare Parts-06-320(A)PGO</t>
  </si>
  <si>
    <t>REHABILITATION OF M.H DEL PILAR STREET</t>
  </si>
  <si>
    <t>PROCUREMENT OF MATERIALS FOR WATER SYSTEM DEVELOPMENT</t>
  </si>
  <si>
    <t>Bidding for the Supply &amp; Delivery of Medicines for MHO use</t>
  </si>
  <si>
    <t>Provision of Assistance to KP functionality</t>
  </si>
  <si>
    <t>FOD-L-20-2347: Procurement of Assorted Feeds</t>
  </si>
  <si>
    <t>FIVE (5) UNITS OF LSP NSB TAILORING KIT</t>
  </si>
  <si>
    <t>MA-A2M20-022 Moisture Displacer Annual PMS, unit 1&amp;2, AG1, &amp; One (1) other item</t>
  </si>
  <si>
    <t>MA-A2M20-013 Tire Tubeless</t>
  </si>
  <si>
    <t>MA-A2M20-023 Cleaner, Generator</t>
  </si>
  <si>
    <t>MA-A2M20-017 Portable Emission Analyzer, Emission Testing Equipment</t>
  </si>
  <si>
    <t>Supply , Delivery and Installation of the Waterproofing at the Roof Deck of SEC Cebu Extension Office Building</t>
  </si>
  <si>
    <t>Supply &amp; Delivery of 100 Heads of F1 Meat Type Hogs for Kadiwa Ani at Kita Project</t>
  </si>
  <si>
    <t>Improvement of Water Sanitation Facilities</t>
  </si>
  <si>
    <t>CONSTRUCTION OF RESIDUAL CONTAINMENT AREA</t>
  </si>
  <si>
    <t>Construction Supplies</t>
  </si>
  <si>
    <t>MA-A2M20-029 Wire #10,THNN, stranded &amp; ten(10) other items</t>
  </si>
  <si>
    <t>SSF FOR ISULAN FREE FARMERS BIOFARMING AND PRODUCERS COOPERATIVE CHILI PROCESSING CENTER_REPOSTING</t>
  </si>
  <si>
    <t>MA-A2M20-026 Bulb 45W LED &amp; three (3) other Items</t>
  </si>
  <si>
    <t>MA-A2M20-015 Maintenance of Vehicles</t>
  </si>
  <si>
    <t>MA-A2T20-005 Cleaner Heavy Duty Vacuum Cleaner &amp; One (1) other item</t>
  </si>
  <si>
    <t>REHABILITATION OF ZAMORA STREET</t>
  </si>
  <si>
    <t>MA-A2M20-019 Airconditioning, Unit Inverter, Split Type, 480 VAC, AG2</t>
  </si>
  <si>
    <t>Provision of Various Drugs and Medicine Supplies</t>
  </si>
  <si>
    <t>Provision of Materials for the Maintenance of School ICT Equipment</t>
  </si>
  <si>
    <t>INVITATION TO BID CONCRETING OF 0.670 KM BARANGAY POBLACION TO COMPRA ROAD at Barangay Poblacion-Barangay Puntod, Matungao, Lanao del Norte</t>
  </si>
  <si>
    <t>Provision of Materials for Summer In-service Training of Teachers</t>
  </si>
  <si>
    <t>Provision of Tools for Guidance Office</t>
  </si>
  <si>
    <t>MA-A2M20-014 Clean of Sum Pit at Valve Pt, AG2</t>
  </si>
  <si>
    <t>Provision of Materials and Printing of Banners for Brigada Eskwela</t>
  </si>
  <si>
    <t>Provision of Materials for the Improvement of School Blackboards</t>
  </si>
  <si>
    <t>Provision of Tools for School Clinic</t>
  </si>
  <si>
    <t>Provision of Materials for the Improvement of Wash Area in the TLE Laboratory</t>
  </si>
  <si>
    <t>Provision of Tools for Instructional Support of Teachers</t>
  </si>
  <si>
    <t>Provision of Various Supplies for SBM – WinS</t>
  </si>
  <si>
    <t>INSTALLATION OF LIGHTING FACILITIES AT PUROK VIPATIL, PUROK MAHUSAY, PUROK WALING-WALING, BAGONG LIPUNAN OF BARANGAY MAGUGPO WEST, TAGUM CITY</t>
  </si>
  <si>
    <t>Provision of Materials for the Improvement of School Comfort Rooms</t>
  </si>
  <si>
    <t>Provision of Various Office Supplies</t>
  </si>
  <si>
    <t>ITB CLASROOM TABLE 35 PCS AMOUNTING TO 315,000.00</t>
  </si>
  <si>
    <t>Provision of Materials for the Refitting of Waterlines in the Main Building</t>
  </si>
  <si>
    <t>Provision of Materials for the Rewiring of of Electricals in the Main Building</t>
  </si>
  <si>
    <t>REHABILITAION/ CONSTRUCTION OF DRAINAGE CANALS OF PUROK VISAYAS, VIPATIL, DURIAN-B OF BARANGAY MAGUGPO WEST</t>
  </si>
  <si>
    <t>Supply and Delivery of Photo and Certificate Frames</t>
  </si>
  <si>
    <t>Motor Vehicle Maintenance - Mits. FB L300/BO 1385 (DepEd) and Toyota Innova/SHH-896</t>
  </si>
  <si>
    <t>FABRICATION AND INSTALLATION OF HANDWASH AT BUILDING 4</t>
  </si>
  <si>
    <t>CNH-0520-058</t>
  </si>
  <si>
    <t>Purchase of Preparedness Materials for Barangay Risk Reduction Management</t>
  </si>
  <si>
    <t>Supply and Delivery of Office Supplies</t>
  </si>
  <si>
    <t>CONSTRUCTION OF PATHWAY OF PUROK VIPATIL</t>
  </si>
  <si>
    <t>Barangay 770 MOOE "OFFICE SUPPLIES" / BDF "CLEAN &amp; BEAUTIFICATION' / RRMF "DRUGS &amp; MEDICINES, MEDICAL SUPPLIES" 2020</t>
  </si>
  <si>
    <t>Improvement of Sewerage Treatment Plant at Tarlac Provincial Hospital, San Vicente, Tarlac City (Rebid) - B-CW-2020-022</t>
  </si>
  <si>
    <t>Healthcare Waste Management Program (Rehabilitation of Sewerage Treatment Plant) at GOTMH, Malacampa, Camiling, Tarlac (Rebid) - B-CW-2020-023</t>
  </si>
  <si>
    <t>Purchase of Construction Materials for Rehabilitation of Communical Irrigation System and Drainage System</t>
  </si>
  <si>
    <t>FABRICATION AND INSTALLATION OF CANAL STEEL COVER AT COVERED COURT</t>
  </si>
  <si>
    <t>NBC-0520-169</t>
  </si>
  <si>
    <t>Purchase of Preparedness Equipment for Barangay Risk Reduction Management</t>
  </si>
  <si>
    <t>RENOVATION OF COMFORT ROOM AT GROUND FLOOR BUILDING 3</t>
  </si>
  <si>
    <t>Purchase of Office Supplies and Materials</t>
  </si>
  <si>
    <t>procurement of supplies for printing</t>
  </si>
  <si>
    <t>Supply and Delivery of Janitorial Supplies</t>
  </si>
  <si>
    <t>Purchase of Materials for the Construction of Garbage Receptacle</t>
  </si>
  <si>
    <t>RFQ 2020 APRIL A</t>
  </si>
  <si>
    <t>“Procurement of Various Materials for the Improvement of Multi-Purpose Building”</t>
  </si>
  <si>
    <t>“Procurement of Various Materials for the Construction of One (1) Unit Palay Shed”</t>
  </si>
  <si>
    <t>RFQ 2020 JUNE</t>
  </si>
  <si>
    <t>RFQ 2020 APRIL B</t>
  </si>
  <si>
    <t>PURCHASE OF MOTOR VEHICLE</t>
  </si>
  <si>
    <t>Supply and Delivery of Washable PPE</t>
  </si>
  <si>
    <t>STRAIGHT FORWARD TELESCOPE 0 DEGREE, ENLARGED VIEW, DIAMETER 5MM LENGTH 29CM, AUTOCLAVE, FIBER OPTIC LIGHT TRANSMISSION INCORPORATED  &amp; 2 OTHERS</t>
  </si>
  <si>
    <t>Diluent for Hydrodynamic Focusing for Flow Cytometry Method, 20 L</t>
  </si>
  <si>
    <t>Acquisition of Laptop (for Engineering Design)</t>
  </si>
  <si>
    <t>CONSTRUCTION OF DRAINAGE SYSTEM</t>
  </si>
  <si>
    <t>DISTRIBUTION LINE OF BRGY WATER SUPPLY SYSTEM</t>
  </si>
  <si>
    <t>Distilled Water, 6-8 liters per bottle</t>
  </si>
  <si>
    <t>RFQ 2020 MAY B</t>
  </si>
  <si>
    <t>LEASE OF PRINTER</t>
  </si>
  <si>
    <t>Old Garbage Compactor</t>
  </si>
  <si>
    <t>SSF for Dangkong Upland Farmers Association Tboli Coffee Processing Center_Reposting</t>
  </si>
  <si>
    <t>PHOTOCOPIER (XEROX) MACHINE, MONOCHROME, PHOTOCOPIER MACHINE PRINTING SPEED: 21 PAGES PER MINUTE, SCAN/COPY RESOLUTION: 600X600 DPI, PAPER SIZE: MAX OF A3 (11”X17”) MINIMUM AS AUTOMATIC DOCUMENT FEEDE</t>
  </si>
  <si>
    <t>Weighing Scale w/ Tray</t>
  </si>
  <si>
    <t>Glass slides, frosted, 72's</t>
  </si>
  <si>
    <t>Tires for Ambulances Emergency Vehicle Use and Responder-2 (SKV-229)</t>
  </si>
  <si>
    <t>20L00032 : Reconstruction to Concrete Pavement – Jct. R. Magsaysay Ave. – L. Ma. Guerrero St. - Guzman St. – Vinzon St. – T. Palma Gil St. – Jct. Dacudao – Jct. J.P. Cabaguio Ave., Davao City</t>
  </si>
  <si>
    <t>20L00148 : Construction of Concrete Road – Jct. R. Magsaysay Ave. – L. Ma. Guerrero St. - Guzman St. – Vinzon St. – T. Palma Gil St. – Jct. Dacudao – Jct. J.P. Cabaguio Ave., Davao City</t>
  </si>
  <si>
    <t>COMPUTER SET, DESKTOP, OFFICE TOOLS WITH SOFTWARE LICENSES</t>
  </si>
  <si>
    <t>Purchase of Kitchen Tools and Utensils</t>
  </si>
  <si>
    <t>VHMCP – COMPUTER CONTINUOUS FORM, 2 PLY 280MM X 24 1MM (9-1/2 X 11) CARBONLESS 1,000 SETS/BOX (3rd Posting)</t>
  </si>
  <si>
    <t>Purchase of Printer</t>
  </si>
  <si>
    <t>CERVICAL TRACTION MACHINE</t>
  </si>
  <si>
    <t>PROCUREMENT OF OFFICE SUPPLIES AND CONSUMMABLE  BRIDGE - BARMM (LIVELIHOOD DIVISION)</t>
  </si>
  <si>
    <t>NON CONTACT HAND WASHING STATION</t>
  </si>
  <si>
    <t>purchase of various office supplies</t>
  </si>
  <si>
    <t>Syphilis, Manual, Test Card ICT, 100's</t>
  </si>
  <si>
    <t>REVERSIBLE, MAGNETIC WHITEBOARD WITH ALUMINUM FRAME AND STAND 4 X 5 FT</t>
  </si>
  <si>
    <t>INTERMITTENT COMPRESSION PUMP</t>
  </si>
  <si>
    <t>Washable Face Mask</t>
  </si>
  <si>
    <t>TONER FOR HP LASERJET PRO M102A</t>
  </si>
  <si>
    <t>PROCUREMENT OF OFFICE SUPPLIES AND CONSUMMABLE  BRIDGE - BARMM (LAMITAN CITY)</t>
  </si>
  <si>
    <t>NCR-2006-005</t>
  </si>
  <si>
    <t>NETWORK ATTACHED STORAGE 8TB 3.5” (WITH ENCLOSURE) (3rd Posting)</t>
  </si>
  <si>
    <t>Repair and Maintenance of Municipal Vehicle (L300 - VAN)</t>
  </si>
  <si>
    <t>supply and delivery of various supplies of Marcelino M. Santos National High School</t>
  </si>
  <si>
    <t>Purchase of Construction Materials for the Construction of Slope Protection</t>
  </si>
  <si>
    <t>PROPOSED PURCHASE OF ADDITIONAL CCTV CAMERA AND PUBLIC ADDRESS MATERIALS AND EQUIPMENTS AT BRGY. DEL REMEDIO, SAN PABLO CITY</t>
  </si>
  <si>
    <t>Service Vehicle for Barangay Hall</t>
  </si>
  <si>
    <t>Airconditioner Units with installation for RHU New Building 2nd Floor</t>
  </si>
  <si>
    <t>Purchase of Construction Materials for the Rehabilitation of Manpower Development Center and Multi-Purpose Building for Senior Citizens</t>
  </si>
  <si>
    <t>INVITATION TO BID FOR THE CONSTRUCTION OF DRAINAGE CANAL AT PADILLA WEST, BARANGAY POBLACION,  LINGAYEN, PANGASINAN</t>
  </si>
  <si>
    <t>PROCUREMENT OF OFFICE EQUIPMENT (TMS – BARMM)</t>
  </si>
  <si>
    <t>106CO-6DCAU-2020-445</t>
  </si>
  <si>
    <t>OFFICE SUPLIES AND CONSUMABLES FOR THE USE OF UCT-RPMO</t>
  </si>
  <si>
    <t>PRINTING OF FLYERS 48 KINDS</t>
  </si>
  <si>
    <t>Supply and Delivery of Enrichment, IsoVitaleX (PR#20-05-0634)</t>
  </si>
  <si>
    <t>One (1) unit Conference Table, Oblong (long) and One (1) unit Table, oblong (short)</t>
  </si>
  <si>
    <t>TWC Books 2020</t>
  </si>
  <si>
    <t>20BC0206-Repair/Maintenance of DILG Building Provincial Public Safety Company 2nd Maneuver Platoon Building</t>
  </si>
  <si>
    <t>PROCUREMENT OF OFFICE SUPPLIES AND CONSUMMABLE  BRIDGE - BARMM (MARAWI CITY)</t>
  </si>
  <si>
    <t>Purchase of Medicines and Medical Supplies used for Lying-in Center</t>
  </si>
  <si>
    <t>Procurement of supplies and Materials 2020-05-0019</t>
  </si>
  <si>
    <t>Disaster Use Vehicle with Emergency Accessories</t>
  </si>
  <si>
    <t>Procurement of I.T. &amp; Office Equipment</t>
  </si>
  <si>
    <t>CONCRETING OF FARM TO MARKET ROAD</t>
  </si>
  <si>
    <t>20GBD0027 - PURCHASE OF MATERIALS FOR USE IN THE REPAIR/REPLACEMENT OF DEFECTIVE SPARE PARTS OF DUMP TRUCK WITH DPWH NO. (H36408) SKC-825 ASSIGNED IN THE MAINTENANCE SECTION</t>
  </si>
  <si>
    <t>20BC0208-Repair/Maintenance of DOJ Building Regional Trial Court Main Building</t>
  </si>
  <si>
    <t>Procurement of Equipment used in Facility Quarantine of this municipality</t>
  </si>
  <si>
    <t>Enhancement of Radio Communication System under PR# 2020-04-2280.</t>
  </si>
  <si>
    <t>PENRO I.N Consultancy Services - Public Relations Strategist</t>
  </si>
  <si>
    <t>Provision of Potable Water System</t>
  </si>
  <si>
    <t>Emergency Shelter Assistance</t>
  </si>
  <si>
    <t>20GCE0006: Procurement of Occupational Supplies for use in the  Activity 503 - Indirect Cost Work or Expenses for use in the (Personal Protective Equipment) Roadside Worker Uniform, DPWH Nueva Ecija 1</t>
  </si>
  <si>
    <t>Purchase of FUEL for the Maintenance of City Roads (April-A) under PR#2020-04-2221.</t>
  </si>
  <si>
    <t>Procurement of Motor Oil, Coolant, Brake Fluids &amp; Supplies used of Municipal Vehicles</t>
  </si>
  <si>
    <t>Purchase of 1 Unit Aircondition (2.5 hp. Split Type) for Agricultural services office</t>
  </si>
  <si>
    <t>IMPROVEMENT OF DRAINAGE CANAL (BOQUET ST.)</t>
  </si>
  <si>
    <t>DRAINAGE AT SITIO BATAG TO OUTFALL, BGY. SAN FELIPE, NAGA CITY</t>
  </si>
  <si>
    <t>CONSTRUCTION OF MULTI PURPOSE BLDG P1 ( Asao,Butao)</t>
  </si>
  <si>
    <t>CONSTRUCTION OF SLOPE PROTECTION</t>
  </si>
  <si>
    <t>PURCHASE OF SUPPLIES FOR LAUREL FOUNDING ANNIVERSARY</t>
  </si>
  <si>
    <t>1 set desktop computer, etc.</t>
  </si>
  <si>
    <t>2020-02 Installation of two handwashing with canopy</t>
  </si>
  <si>
    <t>SUPPLY AND DELIVERY OF HARDWARE MATERIALS FOR THE CONSTRUCTION OF WATER SYSTEM OF SITIO SAN ROQUE,BARANGAY MAGSAYSAY,SIBAGAT,AGUSAN DEL SUR</t>
  </si>
  <si>
    <t>RFQ Repair, Preventive Maintenance and Calibration</t>
  </si>
  <si>
    <t>Supplies and Materials for Bartending NC II</t>
  </si>
  <si>
    <t>DRAINAGE AT FOOD COURT, BGY. SAN FRANCISCO, NAGA CITY</t>
  </si>
  <si>
    <t>SUPPLY &amp; DELIVERY OF HARDWARE SUPPLIES</t>
  </si>
  <si>
    <t>20GBD0026 - PURCHASE OF TIRES FOR USE IN THE REPLACEMENT OF WORK-OUT TIRES OF FRONT END LOADER WITH DPWH NO. L2-1503 ASSIGNED IN THE MAINTENANCE SECTION</t>
  </si>
  <si>
    <t>MP BUILDING AT BARANGAY HALL, BGY. DAYANGDANG, NAGA CITY</t>
  </si>
  <si>
    <t>Drugs-Injector Syringe 200ml Single for CT (Must Be Machine Compatible) &amp; T-Connector Tubing w/ Prime Tube Low Pressure (5th Posting)</t>
  </si>
  <si>
    <t>UTILITY VEHICLE FOR MDRRMO (Rescue Vehicle)</t>
  </si>
  <si>
    <t>Farm Inputs (Urea)  -  Ambugat</t>
  </si>
  <si>
    <t>IT-Equipment - MTO</t>
  </si>
  <si>
    <t>SUPPLY AND DELIVERY OF LED CHIP LIGHT BULB FOR THE MAINTENANCE OF STREET LIGHTS</t>
  </si>
  <si>
    <t>INSTALLATION OF PUBLIC ADDRESS SYSTEM</t>
  </si>
  <si>
    <t>Procurement of Construction Materials and Supplies</t>
  </si>
  <si>
    <t>Procurement of Supplies &amp; Materials for the Improvement of Health Center Building</t>
  </si>
  <si>
    <t>INSTALLATION OF FIBER GLASS BASKETBALL GOAL @ BRGY. NEW LABANGAN, LABANGAN ZDS</t>
  </si>
  <si>
    <t>Catering Services</t>
  </si>
  <si>
    <t>Drugs-MULTIVITAMINS (1st Posting)</t>
  </si>
  <si>
    <t>Drugs-Lactulose 3.3G/5ML (66%) SYRYP 120ML (1st Posting)</t>
  </si>
  <si>
    <t>INVITATION TO SUBMIT FOR BID QUOTATION</t>
  </si>
  <si>
    <t>Repair/Rehabilitation of Valenzuela-Obando-Meycauayan Flood Control Structures along Palasan River (Panghulo to Paliwas Sec.) Obando, Bulacan</t>
  </si>
  <si>
    <t>Supply and Delivery of 120 heads ducks</t>
  </si>
  <si>
    <t>Procurement of office Supplies for the Municipal Health Services Office use</t>
  </si>
  <si>
    <t>FOR EEL PROJECT DNA ANALYSIS</t>
  </si>
  <si>
    <t>Various  Electrical Supplies</t>
  </si>
  <si>
    <t>ICT Supplies</t>
  </si>
  <si>
    <t>Purchase of ICT equipments for BatStateU-ARASOF Nasugbu</t>
  </si>
  <si>
    <t>Request for Quotation (ETSD-2020-02-0201 Geotechnical Investigation )</t>
  </si>
  <si>
    <t>RFQ Laboratory Supplies for Ambient Air</t>
  </si>
  <si>
    <t>Improvement of Health Center at Phase 3 Site, Brgy. Paliparan III, City of Dasmarinas, Cavite</t>
  </si>
  <si>
    <t>GATE VALVE CIHILLER</t>
  </si>
  <si>
    <t>SUPPLY AND DELIVERY OF VARIOUS PHARMACEUTICAL DRUGS, MEDICINES AND CONTRAST MEDIA (NEGOTIATED PROCUREMENT- TWO FAILED BIDDING)</t>
  </si>
  <si>
    <t>S &amp; D of Maintenance Supplies (PGSO)</t>
  </si>
  <si>
    <t>PURCHASE OF FITTINGS AND MATERIALS FOR CORRECTIVE MAINTENANCE FOR ALEGRIA WATERWORKS SYSTEM</t>
  </si>
  <si>
    <t>BLOOD DONATION CAMPAIGN II  (JULY-NOVEMBER 2020)</t>
  </si>
  <si>
    <t>INSTALLATION OF RADIO TOWER AND ANTENNA AND RELOCATION OF RADIO STATION,SIBAGAT,AGUSAN DEL SUR</t>
  </si>
  <si>
    <t>Supply and Delivery of Goods for Office Supplies Expenses of 9IB,9ID,PA (54,500.00)</t>
  </si>
  <si>
    <t>CIVIL WORKS FOR THE CONCRETING OF ROAD GAP BETWEEN P-3 AND P-4 BRGY. STO. NIÑO, MAGALLANES, AGUSAN DEL NORTE</t>
  </si>
  <si>
    <t>106CO-6DCAU-2020-442</t>
  </si>
  <si>
    <t>RFQ-Office Supplies &amp; Equipment FERD</t>
  </si>
  <si>
    <t>PURCHASE OF VARIOUS MEDICINES</t>
  </si>
  <si>
    <t>PROVISION OF CUBICLES FOR THE OFFICE OF ASDS, ACCOUNTANT, BUDGET, PERSONNEL AND SGOD IN THE NEW SCHOOLS DIVISION OFFICE BUILDING</t>
  </si>
  <si>
    <t>RFQ 16687</t>
  </si>
  <si>
    <t>PURCHASE OF RELIEF SUPPLIES FOR THE MDRRM OPERATION CENTER OF THE MUNICIPALITY OF SUDIPEN, LA UNION</t>
  </si>
  <si>
    <t>Installation of Street Lighting Facilities</t>
  </si>
  <si>
    <t>Purchase of Kitchen Equipments for BatStateU-ARASOF Nasugbu</t>
  </si>
  <si>
    <t>Supply and Delivery of Toilet Bowl, Office of the Municipal Health Officer, San Jose, Batangas</t>
  </si>
  <si>
    <t>BALIK ESKWELA PROGRAM</t>
  </si>
  <si>
    <t>Drugs-Vancomycin 500mg Inj. (HCL) (1st Posting)</t>
  </si>
  <si>
    <t>INSTALLATION OF CONCRETE DRAINAGE SYSTEM OF TAMBUNAN - STA. LUCIA TOURISM ROAD</t>
  </si>
  <si>
    <t>Improvement of Sinonoc Public Buildings</t>
  </si>
  <si>
    <t>106CO-6DACU-2020-444</t>
  </si>
  <si>
    <t>PURCHASE OF OFFICE SUPPLIES AND MATERIALS</t>
  </si>
  <si>
    <t>supply and delivery of office supplies for NHTS validation2020</t>
  </si>
  <si>
    <t>Supply and Delivery of S/S Submersible Pump</t>
  </si>
  <si>
    <t>SUPPLY AND DELIVERY OF STANDARD SLEEVE TYPE COUPLING</t>
  </si>
  <si>
    <t>General Repair of Municipal Vehicle (Toyota Grandia)</t>
  </si>
  <si>
    <t>Construction of Day Care Center at Brgy Calamay</t>
  </si>
  <si>
    <t>Purchase of Agricultural Supplies/Materials/Devices for Local Agricultural Projects of Municipal Agriculture Office, Ibaan, Batangas</t>
  </si>
  <si>
    <t>IT-Equipment (Built-in Desktop) - MASSO</t>
  </si>
  <si>
    <t>Repair/Improvement of SP Offices at New Capitol Building Brgy. Dalakit Catarman, Northern Samar</t>
  </si>
  <si>
    <t>Repair and maintenance of service vehicle (KIA SORENTO/SKW-967) assigned in the Provincial Legal Office</t>
  </si>
  <si>
    <t>1 Lot	Rental of Six (6) units 20ftr Container Van Manila to 3ID PA Jamindan Iloilo (Door to Door Delivery) &amp; 1 other</t>
  </si>
  <si>
    <t>40 roll - Plastic for Shrink Wrapper, POF (500mm x 500 meters, 15 microns, 20inch)</t>
  </si>
  <si>
    <t>Purchase of Medicines</t>
  </si>
  <si>
    <t>Purchase of Bids (MMO/LEIPO)</t>
  </si>
  <si>
    <t>SPLIT TYPE AIRCON</t>
  </si>
  <si>
    <t>Office Supplies and Equipment for SB/Vice Mayor's Office</t>
  </si>
  <si>
    <t>RFQ 16682 Lab Supplies</t>
  </si>
  <si>
    <t>Laboratory Supplies (RESU)</t>
  </si>
  <si>
    <t>Livelihood Project</t>
  </si>
  <si>
    <t>OFFICE EQUIPMENT (Records Office)</t>
  </si>
  <si>
    <t>2 units refrigerator, etc</t>
  </si>
  <si>
    <t>PURCHASE OF MEDICINES (2ND SEMESTER-2020) FOR THE MUNICIPALITY OF SUDIPEN, LA UNION</t>
  </si>
  <si>
    <t>Fuel</t>
  </si>
  <si>
    <t>MEALS AND SNACKS FOR REGIONAL OFFICE IN-HOUSE OR URGENT/UNPLANNED ACTIVITIES (MEETINGS, SEMINARS, WORKSHOPS, TRAININGS)</t>
  </si>
  <si>
    <t>For the use of isolation facility for DSWD employee Re: COVID-19</t>
  </si>
  <si>
    <t>Purchase of Folding Bed and Plastic Mat</t>
  </si>
  <si>
    <t>Supply and Delivery of Anti-HCV Calibrator and HbsAgs</t>
  </si>
  <si>
    <t>purchase of spare parts</t>
  </si>
  <si>
    <t>Concreting of Farm to Market Road (Sitio 3-Market Road</t>
  </si>
  <si>
    <t>PROCUREMENT OF ONE (1) SET BUTT FUSION MACHINE</t>
  </si>
  <si>
    <t>Invitation to bid for the supply and delivery of one (1) set brand new garbage granulator with brick making machine</t>
  </si>
  <si>
    <t>Lease of Private Vehicle with Driver as Temporary Service Vehicle of Bataan Lending Center</t>
  </si>
  <si>
    <t>SUPPLY AND DELIVERY OF VARIOUS EQUIPMENT FOR BESPREN SA KALANGITAN PROGRAM</t>
  </si>
  <si>
    <t>For the use of the Municipal Accountant Office</t>
  </si>
  <si>
    <t>PROVISION OF MATERIALS FOR REHABILITATION OF P-1, MULTI-PURPOSE HALL</t>
  </si>
  <si>
    <t>Supply and Delivery of Electrical Supplies</t>
  </si>
  <si>
    <t>Purchase of Plastic Bag (Large/Medium) &amp; Straw-big for the repacking of reliefgoods intended for the families affected by COVID19</t>
  </si>
  <si>
    <t>For Brgy. Can-ayan, Sitio Kilap agan use. Improvement of Sitio office</t>
  </si>
  <si>
    <t>PROCUREMENT OF OFFICE EQUIPMENT (REPOST)</t>
  </si>
  <si>
    <t>Valuation of "OneStore e-commerce platform" - second posting</t>
  </si>
  <si>
    <t>PUBLICATION OF MUNICIPAL ORDINANCE NO. 3 SERIES OF 2019 OR THE “ZONING ORDINANCE(ZO) OF THE MUNICIPALITY OF IROSIN,SORSOGON”</t>
  </si>
  <si>
    <t>Drugs-Losartan 50mg (Potassium) (1st Posting)</t>
  </si>
  <si>
    <t>S/D of 138 pcs	Metal furring 1 inches x 2 inches x 16 feet &amp; 78 others</t>
  </si>
  <si>
    <t>EMERGENCY PURCHASE OF BRAND NEW RESCUE VEHICLE FOR USE OF MDRRM</t>
  </si>
  <si>
    <t>Procurement of Office Equipment for National Commission on Indigenous Peoples Office.</t>
  </si>
  <si>
    <t>SUPPLY &amp; DELIVERY OF FIXTURES AND OTHER SUPPLIES</t>
  </si>
  <si>
    <t>3 units desktop computer</t>
  </si>
  <si>
    <t>Rebidding of Construction of Niche Apartment Type at Brgy. Sampaloc 1, Sariaya, Quezon</t>
  </si>
  <si>
    <t>1000 pcs - Plastic 40 x 60, 0003 thickness 4500 pcs – Plastic 40 x 40, 0003 thickness</t>
  </si>
  <si>
    <t>Tires</t>
  </si>
  <si>
    <t>HERMOSA 04-2020 impvt of brgy plaza</t>
  </si>
  <si>
    <t>Philippine Map Panel Backdrop</t>
  </si>
  <si>
    <t>PROCUREMENT OF MEAL AND SNACKS FOR MUNICIPAL DEVELOPMENT COUNCIL MEETING ON JUNE 25, 2020</t>
  </si>
  <si>
    <t>PEACE AND ORDER AND PUBLIC SAFETY VEHICLE</t>
  </si>
  <si>
    <t>Rebidding of Construction of Open Canal at Burgos St. to Balagtas St., Poblacion 1, Sariaya, Quezon</t>
  </si>
  <si>
    <t>Supply and Delivery of Materials of Rehabilitation of Bayanihan Water System</t>
  </si>
  <si>
    <t>PURCHASE OF MEDICAL SUPPLIES (2ND SEMESTER-2020) FOR THE MUNICIPALITY OF SUDIPEN, LA UNION</t>
  </si>
  <si>
    <t>Repair/Improvement of Emergency Room at G.B. Tan Memorial Hospital Laoang, Northern Samar</t>
  </si>
  <si>
    <t>Supply and Delivery of Medicines</t>
  </si>
  <si>
    <t>Supply and Delivery of Non-Accountable Forms, Permits and Licensing Section, San Jose, Batangas</t>
  </si>
  <si>
    <t>Supply and Delivery of Groceries for the CSWD-Internally Displaced Person Welfare Program (CIU)</t>
  </si>
  <si>
    <t>20GM0064 (RE-BIDDING) - Improvement of Bridge, Sit-an Creek at Brgy. East, Candoni, Negros Occidental</t>
  </si>
  <si>
    <t>DOLE XI PORTABLE SOUND/AUDIO SYSTEM</t>
  </si>
  <si>
    <t>SUPPLY &amp; DELIVERY OF OTHER MATERIALS FOR THE USE OF OFFICE OF THE MUNICIPAL MAYOR FOR 1ST QUARTER, 2020</t>
  </si>
  <si>
    <t>Campus-Wide Internet and Wifi Hotspot Installation</t>
  </si>
  <si>
    <t>S &amp; D of Portable Foldable Infantometer (PGO-Nutrition)</t>
  </si>
  <si>
    <t>Improvement of Dadivas Civic Center, Pob. Ilawod, Panitan, Capiz (20% IRA 2020)</t>
  </si>
  <si>
    <t>STOCK FILE</t>
  </si>
  <si>
    <t>Purchase of 1 Unit Laptop for use by the Budget Office</t>
  </si>
  <si>
    <t>Construction of Two-Storey Hall of Justice Building,  Don Carlos, Bukidnon – Phase II (Straight Contract)</t>
  </si>
  <si>
    <t>20GIB0035: Procurement of Security Services for Eastern Samar District Engineering Office (ESDEO) Borongan City.</t>
  </si>
  <si>
    <t>CONSTRUCTION/REHABILITATION/MAINTENANCE OF SANITARY LANDFILL (COMPLETION WORKS ), BRGY. MASALUKOT III, CANDELARIA, QUEZON</t>
  </si>
  <si>
    <t>Const. of Multi-Purpose Building located at Lais Capitol Complex (Motorpool), Malita, Davao Occidental</t>
  </si>
  <si>
    <t>Procurement of Office Supplies and Equipment</t>
  </si>
  <si>
    <t>SUPPLY AND DELIVERY OF DIESEL FOR HEAVY EQUIPMENT USE IN ROAD REHABILITATION</t>
  </si>
  <si>
    <t>Rebidding of Construction of Line Canal at Brgy. Poblacion 4, Sariaya, Quezon Area of Delivery	Quezon</t>
  </si>
  <si>
    <t>Procurement of various agricultural supplies and farm tools</t>
  </si>
  <si>
    <t>Purchase of 192 Bags Commercial Rice for Food Assistance to affected families of COVID-19 Pandemic Crisis</t>
  </si>
  <si>
    <t>Supply and Delivery of Office Equipment</t>
  </si>
  <si>
    <t>procurement of fuel and lubricants/vice-mayors office</t>
  </si>
  <si>
    <t>CONSTRUCTION OF TWO  (2 ) STOREY OFFICE AND TRAINING CENTER, BRGY. MASALUKOT III, CANDELARIA, QUEZON</t>
  </si>
  <si>
    <t>Supply and Delivery of Anti-HIV Reagents</t>
  </si>
  <si>
    <t>BAHAY KUBO (President's Cottage)</t>
  </si>
  <si>
    <t>For the use of City Audit Team Leader</t>
  </si>
  <si>
    <t>CONSTRUCTION OF MULTI-PURPOSE BUILDING, BRGY. MAYABOBO, CANDELARIA, QUEZON</t>
  </si>
  <si>
    <t>Procurement of Piston Ring std, Connecting Rod Bearing, Silicon Oil, Piston std, Fan Blade, Air Cleaner Filter, Oil Filter, Fuel Filter, Clutch Booster, Cluctch Disk</t>
  </si>
  <si>
    <t>Drugs-Amlodipine 5MG (Besilate) (1st Posting)</t>
  </si>
  <si>
    <t>FLU VACCINE</t>
  </si>
  <si>
    <t>Office Equipment,  Supplies and Consumables</t>
  </si>
  <si>
    <t>CONSTRUCTION OF WOMEN'S LIVELIHOOD &amp; RECREATIONAL CENTER</t>
  </si>
  <si>
    <t>Drugs-Ertapenem 1GM, Powder (as sodium) (1st Psoting)</t>
  </si>
  <si>
    <t>Supply &amp; delivery of communication technology equipment.</t>
  </si>
  <si>
    <t>DCFO ANTI-COVID 19 GLASS PROTECTION</t>
  </si>
  <si>
    <t>Procurement of Various Drugs and Medicines</t>
  </si>
  <si>
    <t>DES -SANDWICH BAG &amp; 1 OTHER (1ST POSTING)</t>
  </si>
  <si>
    <t>LABOR and MATERIALS for the Improvement of HOSTEL Building (Canopy, Roof deck, Waterproofing and Repair of Eaves) for BatStateU-ARASOF Nasugbu</t>
  </si>
  <si>
    <t>REHABILITATION OF ROAD, BRGY. MANGILAG SUR, CANDELARIA, QUEZON</t>
  </si>
  <si>
    <t>SUPPLY AND DELIVERY OF DIESEL FOR HEAVY EQUIPMENT USE IN ROAD REHABILITATION – MAINLAND DUMARAN</t>
  </si>
  <si>
    <t>S/D of 45 pcs  PA Plaque &amp; 4 others</t>
  </si>
  <si>
    <t>Request for Quotation for the Provision of Office Supplies and Devices to be used during the video documentation and production for the conduct of webinar series.</t>
  </si>
  <si>
    <t>PR 2020-06-01</t>
  </si>
  <si>
    <t>Supply and Delivery of Sports Equipment of City Vice Mayors Office</t>
  </si>
  <si>
    <t>Labor and Materials for the Rehabilitation of IMT Building of BatStateU-ARASOF Nasugbu</t>
  </si>
  <si>
    <t>Construction of Drainage System at Brgy. Sto. Niño, Ibaan, Batangas</t>
  </si>
  <si>
    <t>Procurement of Goods for Information Technology</t>
  </si>
  <si>
    <t>Rehabilitation of Multi-Purpose Building at Lake Pinamaloy Area  In Don Carlos, Bukidnon (Straight Contract)</t>
  </si>
  <si>
    <t>COMPUTER DESK TOP</t>
  </si>
  <si>
    <t>Construction of COVID 19 Consultation and Admission Area</t>
  </si>
  <si>
    <t>Road Upgrading Concrete Paving of Vista Hermosa FMR</t>
  </si>
  <si>
    <t>Provision for Hauling Services of Paper Rolls from Marikina to Sta. Rosa City (BAC Reference No. SVP 2020-058-Haul)</t>
  </si>
  <si>
    <t>FABRICATION AND INSTALLATION OF SOLAR LIGHT-PUROK 3, FUENTES, PANTUKAN</t>
  </si>
  <si>
    <t>Fabrication of Canal Grills</t>
  </si>
  <si>
    <t>Drugs-Isosorbide-Dinitrate 5mg Sublingual (1st Posting)</t>
  </si>
  <si>
    <t>SUPPLY &amp; DELIVERY OF LABORATORY SUPPLIES</t>
  </si>
  <si>
    <t>RFQ No.02-0219-20 DOST PCHRD SUPLY AND DELIVERY OF FOOD</t>
  </si>
  <si>
    <t>Procurement of Rescue Equipment and Supplies</t>
  </si>
  <si>
    <t>S &amp; D of Agricultural Materials and Supplies for the Development and Maintenance of Farm Tourism Sites (Resort and Tukon) (P. Agri)</t>
  </si>
  <si>
    <t>Procurement of Machinery and Equipment for MMSU CARES</t>
  </si>
  <si>
    <t>MUNICIPAL ROAD CONCRETING OF PUROK 2(ALONG MORESCA RESIDENCE TO SERRANO RESIDENCE)</t>
  </si>
  <si>
    <t>Repair of Road at Brgy. Sto. Niño, Ibaan, Batangas</t>
  </si>
  <si>
    <t>SUPPLY &amp; DELIVERY OF MOTOR VEHICLE (MOTORCYCLE)</t>
  </si>
  <si>
    <t>Purchase of Materials for Clean-up Drive</t>
  </si>
  <si>
    <t>PURCHASE OF OFFICE EQUIPMENT FOR BURAUEN COMMUNITY COLLEGE</t>
  </si>
  <si>
    <t>Procurement of Personal Protective Equipment (PPE) for DOLE TUPAD Project</t>
  </si>
  <si>
    <t>Installation of Public Address</t>
  </si>
  <si>
    <t>Const. of Gymnasium located at Sitio Kilongag, Brgy. Bolila, Malita, Davao Occidental</t>
  </si>
  <si>
    <t>PCIC20-06-15-0001 Supply of labor and materials for the Repair of DA-RFO8 Guard house.</t>
  </si>
  <si>
    <t>Supply, Delivery and Installation of SSF for South Cotabato Chocolate Processing Center</t>
  </si>
  <si>
    <t>Additional supplies and materials for 2020 Census of Population and Housing (2020 CPH)</t>
  </si>
  <si>
    <t>Purchase of One (1) Unit Brand New Garbage Compactor</t>
  </si>
  <si>
    <t>SUPPLY AND DELIVERY OF MEDICAL SUPPLIES TO BE USED FOR BIRTHING CLINIC, RHU-SFADS</t>
  </si>
  <si>
    <t>Drugs-Amoxicillin 500mg (as Trihydrate) (1st Posting)</t>
  </si>
  <si>
    <t>Supply and Delivery of Construction Supplies (MGA-06-287B-20)</t>
  </si>
  <si>
    <t>Procurement of Construction Materials and Supplies of TRADOC, PA amounting to Php 134,250.00</t>
  </si>
  <si>
    <t>Rehabilitation of Sitio Pulo, Brgy. Olongtao Ibaba Access Road</t>
  </si>
  <si>
    <t>Drugs-Isophane Insulin Human (Recombinant DNA) 100IU/ML, 10ml (1st Posting)</t>
  </si>
  <si>
    <t>REPAIR AND IMPROVEMENT OF MULTI-PURPOSE BUILDING, MUNICIPAL COMPOUND, CANDELARIA, QUEZON</t>
  </si>
  <si>
    <t>Procurement of Goods</t>
  </si>
  <si>
    <t>Request for Quotation (FPMD-2020-06-0290 Annual Report)</t>
  </si>
  <si>
    <t>1 Lot	Catering Services OG8, PA</t>
  </si>
  <si>
    <t>RFQ PR NO. 868_ PRINTED FORMS</t>
  </si>
  <si>
    <t>Rehabilitation of Local Road – Perimeter Road along Public Market, Poblacion Sur, Don Carlos, Bukidnon (Straight Contract)</t>
  </si>
  <si>
    <t>Construction Materials (Construction of Drainage Canal(SACA Continuation))</t>
  </si>
  <si>
    <t>REPAIR/IMPROVEMENT OF ROAD, BRGY. BUKAL SUR - BUENAVISTA WEST, CANDELARIA, QUEZON</t>
  </si>
  <si>
    <t>Repair/Maintenance of Barangay Streetlight</t>
  </si>
  <si>
    <t>Const. of Gym/Evacuation Center located at Buca, Sta. Maria, Davao Occidental</t>
  </si>
  <si>
    <t>SUPPLY AND DELIVERY OF OFFICE EQUIPMENT</t>
  </si>
  <si>
    <t>PURCHASE AND DELIVERY OF DENGUE TEST SUPPLIES</t>
  </si>
  <si>
    <t>Procurement of Aircondition Split type for Sulu Sanitarium (Small Value Procurement)</t>
  </si>
  <si>
    <t>Fabrication of Steel Gate at Provincial Sports Center in Brgy. Cawayan, Catarman, Northern Samar</t>
  </si>
  <si>
    <t>Supply and Delivery of Various Supplies for use to Sanitize Various Offices in the Commission (BAC Reference No. SVP 2020-059-San)</t>
  </si>
  <si>
    <t>Construction Materials (Construction of Drainage Canal(BAYBAYContinuation))</t>
  </si>
  <si>
    <t>VARIOUS SPARE PARTS OF REPAIR &amp; MAINTENANCE OF FIRE TRUCK</t>
  </si>
  <si>
    <t>PROCUREMENT OF WORKSTATION AND WINDOW TYPE AIRCON FOR THE OFFICE OF FIQU</t>
  </si>
  <si>
    <t>PURCHASE OF BOOKS / LEARNING MATERIALS FOR CHILD DEVELOPMENT CENTER (DAYCARE PUPILS)</t>
  </si>
  <si>
    <t>Proposed Development of Municipal Cemetery in Norte, Don Carlos, Bukidnon – Phase II (Straight Contract)</t>
  </si>
  <si>
    <t>Request for quotation (Sanitizer/ Alcohol Dispenser)</t>
  </si>
  <si>
    <t>Procurement of Goods for Air condition</t>
  </si>
  <si>
    <t>Procurement of Tires for the Municipal Bus</t>
  </si>
  <si>
    <t>Procurement of  2000 pcs PRISON JACKET FOR Documentation &amp; Identification of inmates</t>
  </si>
  <si>
    <t>Drugs-Vitamin B Complex (B1-100MG, B6-MG, B12-50MCG) (1st Posting)</t>
  </si>
  <si>
    <t>Procurement of 450 liters of Insecticide for use to control the fall army worm (FAW) in the flint corn production project</t>
  </si>
  <si>
    <t>PROCUREMENT  OF DETERGENT BAR FOR IPPF PDL USE  3RD QRT 2020  (17,640 PCS)</t>
  </si>
  <si>
    <t>Procurement of IT Equipment for ILAARRDEC</t>
  </si>
  <si>
    <t>Procurement of Medical Supplies</t>
  </si>
  <si>
    <t>20FF0094 - Expansion of Bombon Public Market, San Jose, Bombon, Camarines Sur</t>
  </si>
  <si>
    <t>Procurement of barangay  tanod insurance</t>
  </si>
  <si>
    <t>PROCUREMENT OF PHOTOCOPIER AND DOCUMENT MANAGEMENT SYSTEM WITH CAPTURE SCANNER (ITB No. 2020-158)-(bpmc)</t>
  </si>
  <si>
    <t>Medium-Term Information and Communication Technology Harmonization Initiative (MITHI)</t>
  </si>
  <si>
    <t>SUPPLY &amp; DELIVERY OF CONSTRUCTION MATERIALS</t>
  </si>
  <si>
    <t>Procurement of Three (3) units Mobile Cellphone for the use of PWD and SC focal persons in program implementation for communication and statistics</t>
  </si>
  <si>
    <t>CONSTRUCTION OF MRF - PUROK 1,  8 AND 9, FUENTES, PANTUKAN (MATERIALS)</t>
  </si>
  <si>
    <t>REPAIR/EXPANSION OF MULTI-PURPOSE BUILDING, BRGY. MASALUKOT I, CANDELARIA, QUEZON</t>
  </si>
  <si>
    <t>RFQ - Repair and Maintenance of Heavy Equipment</t>
  </si>
  <si>
    <t>Procurement of Goods for Construction Materials &amp; Supplies</t>
  </si>
  <si>
    <t>SUPPLY &amp; DELIVERY OF LABORATORY SUPPLIES FOR COVID-19 PANDEMIC</t>
  </si>
  <si>
    <t>PURCHASE AND DELIVERY OF WORKBOOKS OF DAY CARE CHILDREN FOR SY 2020 - 2021</t>
  </si>
  <si>
    <t>SUPPLY &amp; DELIVERY  OF CONSTRUCTIONS MATERIALS FOR INSTALLATION OF PERIMETER FENCE  AT SLSC</t>
  </si>
  <si>
    <t>WATER SUPPLY SYSTEM (PHASE I), BRGY. PAHINGA SUR, CANDELARIA, QUEZON</t>
  </si>
  <si>
    <t>Supply and Delivery of Spare Pump and Pump Accessories ( F-018-0383-20 )</t>
  </si>
  <si>
    <t>SUPPLY &amp; DELIVERY OF HOSPITAL/MEDICAL EQUIPMENT ACCESSORIES</t>
  </si>
  <si>
    <t>Construction of Sumalag School Road &amp; Construction of Road to Water Reservoir – Bolisong</t>
  </si>
  <si>
    <t>Supply and Delivery of Goods for Mobile Expenses of 9IB,9ID,PA (60,000.00)</t>
  </si>
  <si>
    <t>Procurement of Veterinary Supplies for PCC at MMSU</t>
  </si>
  <si>
    <t>SUPPLY &amp; DELIVERY  OF CONSTRUCTIONS MATERIALS FOR REPAIR/REPLACEMENT OF ELECTRICAL POST   AT SLSC</t>
  </si>
  <si>
    <t>Request of Quotation for CHLORINATOR DIGITAL METERING PUMP</t>
  </si>
  <si>
    <t>Concreting &amp; Improvement of Municipal Streets/Roads,  Municipal Hall Access Road, Diffun, Quirino</t>
  </si>
  <si>
    <t>E-Signature Service Cloud Document Solution</t>
  </si>
  <si>
    <t>SUPPLY &amp; DELIVERY OF Power Generator &amp; Equipment</t>
  </si>
  <si>
    <t>Supply and Delivery of Fuel</t>
  </si>
  <si>
    <t>Supply and Delivery of Office Supplies to be used for the Strengthening the Alumni Associations' Involvement to City's Program for the year 2020 in the City of San Fernando, Pampanga</t>
  </si>
  <si>
    <t>Purchase of Construction Supplies</t>
  </si>
  <si>
    <t>Procurement of UV-C Lamp Room Sanitizer/ Sterilizer</t>
  </si>
  <si>
    <t>Procurement of Rabies Vaccine</t>
  </si>
  <si>
    <t>PEO-2020-0173 PR2020-0436 INVITATION TO BID FOR THE PROCUREMENT OF LABOR, MATERIALS, AND EQUIPMENT FOR THE REHABILITATION AND IMPROVEMENT OF PEO BUILDING</t>
  </si>
  <si>
    <t>CONSTRUCTION MULTI PURPOSE BUILDING-PUROK 1, FUENTES, PANTUKAN (MATERILS)</t>
  </si>
  <si>
    <t>Proposed rewiring for Topas Building and Installation of Circuit Home-Run at Amethyst Building</t>
  </si>
  <si>
    <t>Drugs-Sodium Bicarbonate 1MEQ/ML, 50ml (1st Posting)</t>
  </si>
  <si>
    <t>RFQ Consultancy Services for the Conduct of 10-Year Solid Waste Management Plan</t>
  </si>
  <si>
    <t>PURCHASE OF BOOKS / LEARNING MATERIALS FOR KINDERGARTEN PUPILS</t>
  </si>
  <si>
    <t>Supply and Delivery of 4 Units Steel Cabinet (PR number 2020-06-0339)</t>
  </si>
  <si>
    <t>Supply and Delivery Medical Supplies and Medicines</t>
  </si>
  <si>
    <t>Supply &amp; Delivery of Various Electrical Supplies use for Repair of Street Lights of Various Barangays, Himamaylan City</t>
  </si>
  <si>
    <t>Procurement of Catering Services for Postpartum Patients of Poblacion Birthing Home,MSP.</t>
  </si>
  <si>
    <t>Purchase of Medical Supplies</t>
  </si>
  <si>
    <t>For the Rehabilitation of Day Care Center at Barangay Portic, Bugallon, Pangasinan</t>
  </si>
  <si>
    <t>Purchase of Office Furniture</t>
  </si>
  <si>
    <t>Procurement of Catering and accommodation</t>
  </si>
  <si>
    <t>Procurement of Office Equipment for Provincial Governors Office.</t>
  </si>
  <si>
    <t>SUPPLY &amp; DELIVERY  OF CONSTRUCTIONS MATERIALS FOR REPAIR/RENOVATION OF ACCESS GATE GUARD POST   AT SLSC</t>
  </si>
  <si>
    <t>REPAIR OF MULTI-PURPOSE BUILDING STEEL STRUCTURE, BRGY. STA. CATALINA NORTE ELEMENTARY SCHOOL, CANDELARIA, QUEZON</t>
  </si>
  <si>
    <t>SUPPLY AND DELIVERY OF CONSTRUCTION MATERIALS USE FOR THE CONSTRUCTION OF CHECKPOINT FACILITIES, WATER SUPPLY FOR ASNHS, HAND WASHING STATION (PUBLIC MARKET) &amp; ELECTRICAL SUPPLY FOR COVID-19 OPERATION</t>
  </si>
  <si>
    <t>Request of Quotation Single Primary Distribution Line Wire</t>
  </si>
  <si>
    <t>RENTAL OF SCAFFOLDING</t>
  </si>
  <si>
    <t>Procurement of Construction Materials for the Improvement of Brgy. Dajay, Day Care Center</t>
  </si>
  <si>
    <t>Desktop Computer Camera</t>
  </si>
  <si>
    <t>Procurement of Tires: Supply and Delivery of 70 units of Tires (various sizes)</t>
  </si>
  <si>
    <t>B20200219 - CONSTRUCTION OF WOMEN DEVELOPMENT CENTER AT DAGOHOY, TALAINGOD,DDN</t>
  </si>
  <si>
    <t>Request for Quotation</t>
  </si>
  <si>
    <t>Drugs-Gabapentin 100mg Cap (2nd Posting)</t>
  </si>
  <si>
    <t>Establishment of Automated Weather Station Sitio Tabuk, Brgy. E. Laodenio, Mapanas, Northern Samar</t>
  </si>
  <si>
    <t>Supply &amp; Delivery of Various Hardware &amp; Construction Materials &amp; Supplies use for Repair of Movable Water Tank, Citywide, Himamaylan City</t>
  </si>
  <si>
    <t>For the use of RTC-CALABARZON re: laptop charger</t>
  </si>
  <si>
    <t>Procurement of Aircon</t>
  </si>
  <si>
    <t>Supply and delivery of 300 cu. m. earthfill</t>
  </si>
  <si>
    <t>PURCHASE OF SACKS</t>
  </si>
  <si>
    <t>Concreting &amp; Improvement of Municipal Streets/Roads,  Pimentel Drive Extension, Diffun, Quirino</t>
  </si>
  <si>
    <t>Concreting of Suarez – Salubsob FMR and Buko By-pass road</t>
  </si>
  <si>
    <t>Supply for Office and School Supplies for January to March 2020 for Libona NHS Senior High School</t>
  </si>
  <si>
    <t>Materials needed in the establishment of Perimeter Fencing for Corn Production</t>
  </si>
  <si>
    <t>Procurement of Desktop Computer &amp; Laptop with Complete Accessories</t>
  </si>
  <si>
    <t>Request for Quotation for Repair Materials</t>
  </si>
  <si>
    <t>Establishment of Stock Room for Livestock and Poultry Multiplier Farm</t>
  </si>
  <si>
    <t>Procurement of Construction Materials for the Improvement of Brgy. Colongulo Day Care Center</t>
  </si>
  <si>
    <t>Procurement of Construction Materials for  Construction of Rest Room.</t>
  </si>
  <si>
    <t>Construction of Flood Control Facility at Purok 1 to Purok 1-A (Barangay Bobongon)</t>
  </si>
  <si>
    <t>Supply and Delivery of Rice and Sardines for Distribution in various Barangay of San Pedro City, Laguna under GCQ</t>
  </si>
  <si>
    <t>Purchase of Construction Materials  for the Rehabilitation of  Multi-purpose building, BDf 2019.</t>
  </si>
  <si>
    <t>MINERAL WATER</t>
  </si>
  <si>
    <t>Proposed Repair of Tile Flooring at MLWD Administration Building at Brgy. Balintawak, Lipa City</t>
  </si>
  <si>
    <t>ENOXAPARIN FOR QUOTATION</t>
  </si>
  <si>
    <t>PRINTING OF GROCERY AND MEDICINE BOOKLET OF SENIOR CITIZEN (P.R. NO. 100-20-06-0219)</t>
  </si>
  <si>
    <t>Farm Mechanization as Climate Change Adaptation Measures to Build the Resiliency of the ARBs under SLSDAA-CFFPS</t>
  </si>
  <si>
    <t>SUPPLY AND DELIVERY OF SERVICE VEHICLE, MUNICIPAL ENGINEERING OFFICE, LGU CANDELARIA, QUEZON</t>
  </si>
  <si>
    <t>P.R. No. 2020-06-0028 - Procurement of Office Accessories &amp; Equipment for use at Quality Assurance Section (2nd Quarter of CY-2020)</t>
  </si>
  <si>
    <t>Purchase of Rice for PNP Mobile and Boat Patrol Consumptions</t>
  </si>
  <si>
    <t>Supply Electrical Materials, Delivery &amp; including Convenience Outlet set (C.O) w/ Accessories for Budget, Accounting, Management, IAS, FMS, and COA office at the DENR Main Building Ground Floor</t>
  </si>
  <si>
    <t>Supply, delivery and installation of Barcode Scanner, PDT per BSP Specifications</t>
  </si>
  <si>
    <t>Procurement of Desktop and Printer for use in the Legal Services</t>
  </si>
  <si>
    <t>PROCUREMENT OF IT SUPPLIES AND COMPUTER INK FOR THE USE OF NSAP CY 2020</t>
  </si>
  <si>
    <t>Procurement of Drugs and Medicine-3rd &amp; 4th Quarter</t>
  </si>
  <si>
    <t>Procurement of Enteral Formula</t>
  </si>
  <si>
    <t>Supply/Delivery of Motorized Banca</t>
  </si>
  <si>
    <t>2020-062, CONSTRUCTION OF 3 UNITS WATER SYSTEM LEVEL II AT PUROK 1, 3 AND 7,   ILBOCEAN, MIDSAYAP, COTABATO</t>
  </si>
  <si>
    <t>Concreting &amp; Improvement of Municipal Streets/Roads,  EDSA Portion from Hipolito St., Diffun, Quirino</t>
  </si>
  <si>
    <t>B20200220 - REHAB./IMPV'T. OF MULTI-PURPOSE BUILDING (GYM) NAPUNGAS, ASUNCION, DDN</t>
  </si>
  <si>
    <t>Supply, delivery and installation of One (1) unit Shrink Wrapping Machine per BSP Specifications</t>
  </si>
  <si>
    <t>PIPER/TAZO FOR QUOTATION</t>
  </si>
  <si>
    <t>Request for Quotation for the Provision of Catering services to be served and used during the conduct of various trainings and activities under Rice Program for CY 2020</t>
  </si>
  <si>
    <t>Improvement of ECO-PARK Peripheral Fencing (28-Span), Brgy. Intampilan, Panitan, Capiz (20% 2018)</t>
  </si>
  <si>
    <t>I.T. EQUIPMENT &amp; PERIPHERALS (UPISM-MIS)</t>
  </si>
  <si>
    <t>Concreting of Barangay Roads</t>
  </si>
  <si>
    <t>Supply and Delivery of Various IT Supplies and Consumables ( PR Reference # 2020-06-0354, 2020-06-0353)</t>
  </si>
  <si>
    <t>SUPPLY AND DELIVERY OF OUTDOOR LED DISPLAY, OFFICE OF THE MAYOR, LGU CANDELARIA, QUEZON (REBID)</t>
  </si>
  <si>
    <t>2020-063, CONSTRUCTION OF WATER SYSTEM LEVEL II AT PUROK BOUGAINVILLE,  BUAL NORTE, MIDSAYAP, COTABATO</t>
  </si>
  <si>
    <t>Construction of Intake Box, Maurang</t>
  </si>
  <si>
    <t>B20200221 - BARANGAY HALL IMPROVEMENT AT BRGY. DAGOHOY, TALAINGOD, DAVAO DEL NORTE</t>
  </si>
  <si>
    <t>Supply and delivery of one (1) unit Dump truck for LGU Pilar, Bataan</t>
  </si>
  <si>
    <t>Procurement of printing services of cashbook to be use at Municipal Treasurer's Office</t>
  </si>
  <si>
    <t>Repair of Brgy Manumbalay Day Care Center Building</t>
  </si>
  <si>
    <t>Improvement of Calangahan Water Pumping Station</t>
  </si>
  <si>
    <t>Bid No. 20-05-001-PROCUREMENT OF CONSTRUCTION MATERIALS- Barangay Poblacion of            Maragusan Davao de Or</t>
  </si>
  <si>
    <t>TRANEXAMIC ACID FOR QUOTATION</t>
  </si>
  <si>
    <t>Contract of Service for the Rental of Boom Truck to be used for the installation of Streetlights along the City major Thoroughfares in the City of San Fernando, Pampanga</t>
  </si>
  <si>
    <t>Procurement of Agricultural Machinery and Equipment for Establishment of Flint Corn Processing Center</t>
  </si>
  <si>
    <t>PROCUREMENT OF MULTI-FUNCTIONAL COPIER FOR VARIOUS SCHOOLS IN THE MUNICIPALITY OF BINALBAGAN (DISTRICT 1 &amp; 2) NEGROS OCCIDENTAL</t>
  </si>
  <si>
    <t>Supply and Delivery of Goods for R&amp;M Building of 9IB,9ID,PA (64,300.00)</t>
  </si>
  <si>
    <t>Procurement of Materials for Purok Proper,Brgy. Daan Suyan Malapatan Sar. Prov.</t>
  </si>
  <si>
    <t>Rehabilitation of Handpump, Barangay 5</t>
  </si>
  <si>
    <t>Fabrication/Installation of Canopy to be used by the LGU-Employees at the extension office for the "new normal" operations in Mangatarem, Pangasinan</t>
  </si>
  <si>
    <t>Bid No. 20-05-002-PROCUREMENT OF CONSTRUCTION MATERIALS FOR CONSTRUCTION OF  ILANG-ILANG MULTIPURPOSE HALL- Barangay Poblacion of Maragusan Davao de   Oro</t>
  </si>
  <si>
    <t>CONSTRUCTION OF CULVERT AND AIR-VENT CANAL</t>
  </si>
  <si>
    <t>Invitation to Bid for the Supply &amp; Delivery of  Various Materials   intended for the Rehabilitation of Water Supply ( Complete Bid)</t>
  </si>
  <si>
    <t>Leachate Pond Completion at Sanitary Landfill</t>
  </si>
  <si>
    <t>DILP ASSISTANCE: APY-2020-03-06</t>
  </si>
  <si>
    <t>Rehabilitation of Barangay Tanod Hall (Finishing), Barangay 5</t>
  </si>
  <si>
    <t>Purchase of Rapid Test Kit</t>
  </si>
  <si>
    <t>2020-065, CONSTRUCTION OF (14M X 18M) MULTI-PURPOSE DRYING PAVEMENT AT ANONANG, MIDSAYAP, COTABATO</t>
  </si>
  <si>
    <t>Repair of Water System at Brgy Manumbalay</t>
  </si>
  <si>
    <t>Procurement of Construction Materials for the Improvement of Brgy. Naci Day Care Center</t>
  </si>
  <si>
    <t>SUPPLY AND DELIVERY OF LOCAL DISASTER RISK INFORMATION SYSTEM, MDRRMO, LGU CANDELARIA, QUEZON (REBID)</t>
  </si>
  <si>
    <t>One (1) lot Neuro-Psychological Test for 29 Security Division personnel per BSP Terms of Reference</t>
  </si>
  <si>
    <t>Repainting (including Roof Farming) and Repair of Gutter for Covered Court (Re-Bid)</t>
  </si>
  <si>
    <t>RFQ No. 20-0550 NP-SVP - Supply and Delivery of Materials/Devices for the Operation of Audio-Visual and Lighting System</t>
  </si>
  <si>
    <t>(GO-PAIAD) REQUEST FOR QUOTATION (RFQ)  For the Procurement 1 unit Unmanned Aerial Vehicle (Drone) &amp; Digital SLR Camera  For the Governor’s Office – Public Affairs &amp; Information Assistance Division--2</t>
  </si>
  <si>
    <t>SUPPLY AND DELIVERY OF MATERIALS FOR THE IMPLEMENTATION OF AQUAPONICS SYSTEM IN URBAN AREAS USING RENEWABLE ENERGY</t>
  </si>
  <si>
    <t>Procurement of supplies/materials of teachers on INSET training for 5 days dated June 22-26, 2020</t>
  </si>
  <si>
    <t>Procurement of Construction Materials for the Improvement of Brgy. Centrala Day Care Center</t>
  </si>
  <si>
    <t>SUPPLY AND DELIVERY OF DISASTER SUPPLIES AND EQUIPMENT</t>
  </si>
  <si>
    <t>Purchases  of  Construction  Materials  for  the  Construction  of  MBP - at  P-1  Tubigon,Maramag,Bukidnon</t>
  </si>
  <si>
    <t>Procurement of Glucose strip with free Glucometer</t>
  </si>
  <si>
    <t>Procurement of Construction Materials for repair of Rainwater Catchment of Eco-Lodge and Municipal hall building at Pobl. 01 Daram, Samar</t>
  </si>
  <si>
    <t>2020-066, CONSTRUCTION OF WATER SYSTEM AT DILANGALEN NATIONAL HIGH SCHOOL, POBLACION 1, MIDSAYAP, COTABATO</t>
  </si>
  <si>
    <t>IMPROVEMENT OF MULTI-PURPOSE HALL</t>
  </si>
  <si>
    <t>Provision of Foods for Border Control Boundery of Cebu City &amp; Talisay City</t>
  </si>
  <si>
    <t>Construction of Flood Control Facility at Purok 1 -D (BARANGAY BOBONGON)</t>
  </si>
  <si>
    <t>PROCUREMENT OF PNP RESPONSE VEHICLE, MALAPATAN, SARANGANI PROVINCE</t>
  </si>
  <si>
    <t>PROCUREMENT FOR THE 30,260 LITERS OF DIESOLINE FOR THE REHABILITATION OF LOCAL ROADS (3RD QUARTER).</t>
  </si>
  <si>
    <t>Purchase of Ready- made Uniforms</t>
  </si>
  <si>
    <t>Supply and Delivery of Four (4) Pcs. Tubeless Tire</t>
  </si>
  <si>
    <t>Purchase of Habi (Hand Woven Cloth) for the Promotion of Ibaan Products of General Services Office, Ibaan, Batangas</t>
  </si>
  <si>
    <t>Aggregate Base Coarse</t>
  </si>
  <si>
    <t>Supply/Delivery of  Tubeless Tire</t>
  </si>
  <si>
    <t>Various ICT Materials for Network Maintenance</t>
  </si>
  <si>
    <t>Common Consumables Parts of Konika Minolta Bizhub C280</t>
  </si>
  <si>
    <t>ACQUISITION OF PATROL VEHICLES</t>
  </si>
  <si>
    <t>Vehicle Parts and Accessories</t>
  </si>
  <si>
    <t>Farm Mechanization as Climate Change Adaptation Measures to Build the Resiliency of ARBs under SLSDAA-CRFPS</t>
  </si>
  <si>
    <t>Bid No. 20-05-003-PROCUREMENT OF CONSTRUCTION MATERIALS FOR CONSTRUCTION OF  ILANG-ILANG MULTIPURPOSE HALL- Barangay Poblacion of Maragusan Davao de   Oro</t>
  </si>
  <si>
    <t>Materials for Constrution of Water System level 1( Jetmatic Pump Materials) 24 Pcs</t>
  </si>
  <si>
    <t>CONSTRUCTION OF DRAINAGE CANAL</t>
  </si>
  <si>
    <t>Upgading of MDRRMC operation center, Dadivas Civic Center, Poblacion Ilawod, Panitan, Capiz (MDDRM Fund 2020)</t>
  </si>
  <si>
    <t>Labor and Materials for the Improvement of Wiring Utilities at Driveway</t>
  </si>
  <si>
    <t>Reproduction of Forms</t>
  </si>
  <si>
    <t>OPENING OF FARM TO MARKET ROAD, Barangay Mabilbila Sur, SANTA</t>
  </si>
  <si>
    <t>Repiping Work of AHU Water Supply in all Quadrants.</t>
  </si>
  <si>
    <t>Procurement of Construction Supplies</t>
  </si>
  <si>
    <t>Repair of Gamma Bridge</t>
  </si>
  <si>
    <t>Procurement of Semi-Expendable Equipment (2 unit Thermal Scanner) to monitor the 										 body temperature of the person entering in the school premises</t>
  </si>
  <si>
    <t>SHOULDERING</t>
  </si>
  <si>
    <t>Supply and delivery of Twenty Five (25) pcs Ammunition Bag, heavy duty</t>
  </si>
  <si>
    <t>Procurement of materials for repair/rehabilitation on double wall partition of  3										 classroom of Grade VI (72 sqm) located in the New NGC Type Bldg. Room No. 1,2 &amp; 12</t>
  </si>
  <si>
    <t>Supply and Delivery of Office Equipment for Provincial Governor's Office</t>
  </si>
  <si>
    <t>Purchase of Pili, Cacao and etc. for use at Plant Nursery at Basag, Ligao City, Albay PR No. (100(01)20-03-0738)</t>
  </si>
  <si>
    <t>Construction of Drainage Canal at Purok 1-B(BARANGAY BOBONGON)</t>
  </si>
  <si>
    <t>Supply and Delivery of 50 rolls Polyolefin Shrinkable Film, 12”, thickness: minimum of 15 microns</t>
  </si>
  <si>
    <t>PR#20-06-0280 Repair and Maintenance of City Hall Vehicle</t>
  </si>
  <si>
    <t>Procurement of Construction Materials for the Improvement of Brgy. Moloy Day Care Center</t>
  </si>
  <si>
    <t>Purchase of Furniture &amp; Fixtures</t>
  </si>
  <si>
    <t>Construction Projects</t>
  </si>
  <si>
    <t>STUDENT ID REPRODUCTION MATERIALS</t>
  </si>
  <si>
    <t>Repair and Maintenance of PNP Vehicle Toyota Hilux SFT 646 and A1Z741 for the use of Vintar Police Station</t>
  </si>
  <si>
    <t>Supply and delivery of 1 unit Laptop Computer (ROG G531GU-AL406T),Intel Corei7-9750H for the Executive Head of the Province of Leyte. ABC PHP131,000.00</t>
  </si>
  <si>
    <t>Printing of IEC Materials</t>
  </si>
  <si>
    <t>ICT OFFICE SUPPLIES</t>
  </si>
  <si>
    <t>Procurement of IT Equipments</t>
  </si>
  <si>
    <t>Supply and Delivery of Construction Materials for the Construction of Drainage Canal at Matusalem, Roxas, Isabela</t>
  </si>
  <si>
    <t>PROCUREMENT OF VARIOUS CONSTRUCTION MATERIALS FOR THE IMPROVENT OF MULTI-PURPOSE HALL SITE AT BRGY. DAGUMA BSK</t>
  </si>
  <si>
    <t>To monitor learners, personnel &amp; guests body temperature upon entering the	school premises</t>
  </si>
  <si>
    <t>DENR-RFQMS-2020-032</t>
  </si>
  <si>
    <t>PR#20-06-0279 Repair and Maintenance of City Hall Vehicle</t>
  </si>
  <si>
    <t>MG-PAS20-012 - FABRICATION AND INSTALLATION OF 26 SIGNAGE RE: SB MARAMAG RESOLUTION NO. 2020-09; AND INSTALLATION OF PLASTIC TARP COVER ON OBSERVED CRACKS ALONG POWER CHANNEL AND PROVISION OF FOUR (4)</t>
  </si>
  <si>
    <t>Printing of Forms</t>
  </si>
  <si>
    <t>Repair &amp; Maintenance of Municipal Hall @ LGU-Pantukan, Davao de Oro (Labor)</t>
  </si>
  <si>
    <t>Provision of Pedicab (Small Transport) Sewing Machine &amp; Motorboat Engines to Selected Informal Sector Workers</t>
  </si>
  <si>
    <t>Construction of New Public Market (Phase 2)</t>
  </si>
  <si>
    <t>Procurement of Catering Services for the presentation of Accomplishment Reports at the Kammaranan Hall</t>
  </si>
  <si>
    <t>Lease of Venue including meals and accommodation for CoVid-19 Emergency Operation Center on June 1-15, 2020 in Cagayan de Oro City</t>
  </si>
  <si>
    <t>One (1) lot Laboratory Fees for Annual Medical Examination (AME) of 54 BSP Personnel per Terms of Reference (TOR)</t>
  </si>
  <si>
    <t>Capacitating Benguet NHS Employees on the use of Basic OER Programs for Flexible Learning Sessions.</t>
  </si>
  <si>
    <t>Printing of Carbonized Form to be used under the Rice Banner Program</t>
  </si>
  <si>
    <t>Procurement of Construction Materials for the Improvement of Sitio Upper Talahik, Brgy. Talahik Day Care Center</t>
  </si>
  <si>
    <t>To provide materials on INSET Training, to promote teachers development on effective teaching and preparation of teaching materials</t>
  </si>
  <si>
    <t>Procurement of fuel use for the concreting of Balagtas St. from junction of Jasmin st. to junction of Dahlia St.</t>
  </si>
  <si>
    <t>office supplies</t>
  </si>
  <si>
    <t>CALL CARDS</t>
  </si>
  <si>
    <t>2nd quarter NC office supplies</t>
  </si>
  <si>
    <t>Procurement of Drugs and Medicines for General Consultation (2nd Quarter 2020)</t>
  </si>
  <si>
    <t>PURCHASE OF DRUGS &amp; MEDICINES</t>
  </si>
  <si>
    <t>OPV-2020-0174 PR2020-0440 INVITATION TO BID FOR THE PROCUREMENT OF OFFICE FURNITURE AND FIXTURES</t>
  </si>
  <si>
    <t>2020-069, CONCRETING OF ROAD FROM LOWER KATINGAWAN TO BAGUMBA, LOWER KATINGAWAN, MIDSAYAP, COTABATO</t>
  </si>
  <si>
    <t>PRLEC Training Supplies in Solar Installation for 15 recipients</t>
  </si>
  <si>
    <t>RFQ - Rental of Fresh Indoor Ornamental Plants including its maintenance at the PDIC Ayala premises for six (6) months or from July, 2020 to December, 2020.</t>
  </si>
  <si>
    <t>Supplies for LIGTAS COVID CENTER</t>
  </si>
  <si>
    <t>Drugs-Anti-Tetanus Serum 1500IU/ml, 1ml (Equine) &amp; 3 others (2nd Posting)</t>
  </si>
  <si>
    <t>Procurement of Construction Materials for the Construction of Stockroom</t>
  </si>
  <si>
    <t>Materials for the REpair of Double Engine Pumpboat (Loncin)</t>
  </si>
  <si>
    <t>CONSTRUCTION OF COMFORT ROOM BUILDING (PROGRESSIVE TYPE) AT ALEOSAN PUBLIC MARKET, LGU ALEOSAN, COT.</t>
  </si>
  <si>
    <t>Purchase of Uniforms for Barangay Officials</t>
  </si>
  <si>
    <t>OPENING OF FARM TO MARKET ROAD, Barangay Bucalag, SANTA</t>
  </si>
  <si>
    <t>Supply and Delivery of 500 rolls Cotton Twine, 8 strands, 20/25p, thick spool</t>
  </si>
  <si>
    <t>PVC CARD PRINTER AND LAMINATOR</t>
  </si>
  <si>
    <t>RFQ-GS-20200604-01 - 1 Unit each of Portable Bill Counter with Counterfeit Detector for Philippine Peso, Sheetfed Scanner &amp; Fax Machine and 2 Units Crosscut Shredder</t>
  </si>
  <si>
    <t>PROCUREMENT OF WINDOW BLINDS FOR HMSSC OFFICES</t>
  </si>
  <si>
    <t>Enhancing Rice Productivity through the Provision of Agei-extension and Farm Mechanization to DAR Assisted ARBs under MCBFPS-CRFPS</t>
  </si>
  <si>
    <t>Supply and Delivery of Outdoor Hazard Signage</t>
  </si>
  <si>
    <t>ITB No. 20-24 Procurement of Maintenance Supplies</t>
  </si>
  <si>
    <t>Procurement of Construction Materials</t>
  </si>
  <si>
    <t>A.   To provide sanitary washing area of the learners and personnel as precautionary 									       measure against COVID19 pandemic									 B.  To provide safe and attractive learning environment f</t>
  </si>
  <si>
    <t>Motor Vehicle Maintenance - Toyota Commuter Amb./SHH-439 (CHO), Toyota Commuter Amb./SHH-443 (CHO), Toyota Commuter Amb./SHH 449 (CHO), Mits. FB L300 Amb./SHG-199(CHO) and Mits. FB L300/TOH-508 (CHO)</t>
  </si>
  <si>
    <t>PROVISION OF MATERIALS FOR THE SHS MRF</t>
  </si>
  <si>
    <t>PURCHASE AND DELIVERY OF TWO (2) UNITS CEILING FAN</t>
  </si>
  <si>
    <t>REPAIR OF GUEST HOUSE</t>
  </si>
  <si>
    <t>Improvement of Estanol St.</t>
  </si>
  <si>
    <t>Procurement of Office supplies and devices</t>
  </si>
  <si>
    <t>Concrete Pav. Construction Dawis - San Sebastian</t>
  </si>
  <si>
    <t>Office Supplies and Materials/Equipment for Covid-19</t>
  </si>
  <si>
    <t>Rice Cooker and Pressure cooker(20-06-100GSO)</t>
  </si>
  <si>
    <t>Supply &amp; Delivery 6 pcs. Inner Tube 13 x 24 and other items for use in the replacement of worn-out parts of Mitsubishi Road Grader, 330.</t>
  </si>
  <si>
    <t>Purchase of Laboratory Supplies for RHU-2</t>
  </si>
  <si>
    <t>Request for Quotation for Construction Materials (228,531.00)</t>
  </si>
  <si>
    <t>PROCUREMENT OF MEAL &amp; SNACKS DURING THE WOMEN'S FEDERATION 2ND QUARTER MEETING ON JUNE 23, 2020</t>
  </si>
  <si>
    <t>ITB No. 20-25 Negotiated Procurement of Calibration Services for Medical Equipment (Lot Bidding)</t>
  </si>
  <si>
    <t>Supply and delivery of one (1) unit backhoe for LGU Pilar, Bataan</t>
  </si>
  <si>
    <t>PROVISION OF OFFICE MATERIALS AND TOILETRY SUPPLIES FOR OFFICE USE</t>
  </si>
  <si>
    <t>CONSTRUCTION /INSTALLATION OF STREET LIGHTING SYSTEM @ GELERANG KAWAYAN</t>
  </si>
  <si>
    <t>RFQ-TO PROVIDE LABORATORY SUPPLIES AND MATERIALS FOR THE CAA LAB AND CFES LAB , CHEMISTRY LAB, BIO LOGY, CGES LAB, CAA LABORATORY.IGF-164-20-06-112</t>
  </si>
  <si>
    <t>Books for the Use of Univesrity Library for the 1st Quarter under STF (Non-Common)</t>
  </si>
  <si>
    <t>Procurement of campershell and rollbar for official use of RP vehicle P4Z-490</t>
  </si>
  <si>
    <t>Supply and Delivery of Household Materials for the use of RESDRU Staff for disinfection after specimen collection and packing / for the use of COVID-19 Emergency Operation Center Staff</t>
  </si>
  <si>
    <t>PR#20-06-0278 I.T. Equipments for City Accountant Office Use</t>
  </si>
  <si>
    <t>Request for Quotation (P.R. No.) 2020-06-019</t>
  </si>
  <si>
    <t>Purchase of Tanod Uniform &amp; Supplies</t>
  </si>
  <si>
    <t>Construction of Reservoir - Las Arenas, Pantukan, Davao De Oro (Materials)</t>
  </si>
  <si>
    <t>Request for Quotation of Construction Materials and Supplies</t>
  </si>
  <si>
    <t>Supply and Delivery of Construction Supplies (MGA-06-287A-20)</t>
  </si>
  <si>
    <t>Office Supplies (TAIS)</t>
  </si>
  <si>
    <t>Road Concreting @ Sitio Lomboy</t>
  </si>
  <si>
    <t>Annual Check-up of SRWD Employees (Repost)</t>
  </si>
  <si>
    <t>Purchase of Materials for Maintenance of Roads and Bridges at Cabanglasan Area 2020 Lot 1,2,3</t>
  </si>
  <si>
    <t>Motor Vehicle Maintenance - Mits. FB L300/BD #663 (PNP), Mits. FB L300/BD#666 (PNP) and Toyota Commuter Amb./SHH 439 (CHO)</t>
  </si>
  <si>
    <t>INSTALLATION OF SOLAR PANEL LIGHTS</t>
  </si>
  <si>
    <t>Supply &amp; Delivery of July Food Stuff for DOH-TRC Argao residents</t>
  </si>
  <si>
    <t>Procurement of Construction Supplies for Improvement of Walkway</t>
  </si>
  <si>
    <t>Purchase of Diesel and Lubricants for Rehabilitation of Barangay Roads, Hilop Poblacion, Cabanglasan, Bukidnon Lot 1,2</t>
  </si>
  <si>
    <t>Purchase of Three (3) Units 3.0 TR Floor Mounted Airconditioner.</t>
  </si>
  <si>
    <t>SMALL VALUE PROCUREMENT OF TSHIRT PR #2020-326</t>
  </si>
  <si>
    <t>Installation of Street Lights - Brgy. Balogo, Pilar, Capiz</t>
  </si>
  <si>
    <t>Janitorial Supplies (TAIS)</t>
  </si>
  <si>
    <t>Purchase &amp; Delivery of Medical Equipment for Ilocos District Hospitals-Tagudin, Sta. Lucia &amp; Narvacan Ilocos Sur</t>
  </si>
  <si>
    <t>Procurement of construction materials for Construction of MPP at Sitio Bangar at Elenea Nebre Portion, Sta. Maria</t>
  </si>
  <si>
    <t>Enhancing Rice Agricultural Productivity through thr Provision of Agri-extension and FArm Mechanization to DAR Assisted ARBS under MCBFPS-CRFPS</t>
  </si>
  <si>
    <t>PROCUREMENT OF PRESIDENTIAL CHAIR</t>
  </si>
  <si>
    <t>Supply and Delivery of Influenza Vaccine to Increase the Immunity and Protection of the Elderly Against Flu Wherein Can Minimize the Effect of Covid 19 if Vaccinated</t>
  </si>
  <si>
    <t>Purchase and delivery of personal protective gears and other supplies for Oplan Alalay</t>
  </si>
  <si>
    <t>Labor and Materials for the Improvement of DSWD FO 1 Medical Clinic</t>
  </si>
  <si>
    <t>Purchase of Rescue Ladder</t>
  </si>
  <si>
    <t>Fungicide Bio-Fungicide,Insecticide,Rodenticides,etc....</t>
  </si>
  <si>
    <t>Drugs-Telmisartan 40mg Tab (2nd Posting)</t>
  </si>
  <si>
    <t>Supply and Delivery of Meals to be served for the Strengthening the Alumni Associations' Involvement to City's Program for the year 2020 in the City of San Fernando, Pampanga</t>
  </si>
  <si>
    <t>Repair at Garments Laboratory at Roxas Hall</t>
  </si>
  <si>
    <t>Fuel &amp; Additives</t>
  </si>
  <si>
    <t>PROCUREMENT OF PETROLEUM, OIL and  LUBRICANTS</t>
  </si>
  <si>
    <t>Purchase of Materials for Construction of Market Stalls (Phase II) Market Site Poblacion Lot 1,2</t>
  </si>
  <si>
    <t>Purchase of Agusan del Sur National High School School Supplies for Junior High School.</t>
  </si>
  <si>
    <t>Procurement of Internet Connection Service</t>
  </si>
  <si>
    <t>Purchase and delivery of drugs and medicines for Botika ng Bayan</t>
  </si>
  <si>
    <t>Supply of Materials for the Rehabilitation of Public Market (Awning)</t>
  </si>
  <si>
    <t>20% EDF CY 2020 Projects</t>
  </si>
  <si>
    <t>Procurement of Office/School/ICT Supplies and Equipment</t>
  </si>
  <si>
    <t>Screened Mixed to be used for Back fill of Solar Dryer, in front of Barangay Hall at Brgy. Dorongan Ketaket, Mangatarem, Pangasinan</t>
  </si>
  <si>
    <t>Rehab/Repair of Cottages and Pavillion at Picnic Area</t>
  </si>
  <si>
    <t>Purchase of Folding Bed</t>
  </si>
  <si>
    <t>Concreting of Barangay Road - Brgy. Binaobawan, Pilar, Capiz</t>
  </si>
  <si>
    <t>Request for Quotation - Various Office Supplies</t>
  </si>
  <si>
    <t>Procurement of food for meals &amp; snacks</t>
  </si>
  <si>
    <t>Purchase and delivery of 1st quarter office supplies of Sangguniang Panlungsod Offices</t>
  </si>
  <si>
    <t>repair of six classrooms</t>
  </si>
  <si>
    <t>OFFICE SUPPLIES AND CONSUMABLE</t>
  </si>
  <si>
    <t>Motor Vehicle Maintenance - Mits. Adventure/SHH 702 (Assessor Office), Mits. FB L300/SJL 543 (OSCA), Mits. FB L300 / SJL 522 (CENRO) and TATA Closed Van / CS #PT 0890 (CGSO)</t>
  </si>
  <si>
    <t>Purchase of motorcycle under PROPERTY, PLANT &amp; EQUIPMENT (PPE) for City Legal Office use under PR# 2020-01-0458</t>
  </si>
  <si>
    <t>RFQ-NP-SVP-246e-2020-Procurement of   Development of Twin-Screw Extruder Machine with Filling Injector.</t>
  </si>
  <si>
    <t>Installation of Street Lighting System</t>
  </si>
  <si>
    <t>Purchase of office supplies for RPMO and SLP province</t>
  </si>
  <si>
    <t>Procurement of Materials &amp; Labor for Repair of Pathway Shade from Ayupan Building to Library - NIPSC Batad Campus</t>
  </si>
  <si>
    <t>Setting up and installation and mobilization of wireless network infrastructure</t>
  </si>
  <si>
    <t>Supply, Delivery and Installation of SSF Project for Olayan Farmers Association Provision of Tablea and Cocoa Powder/Butter Processing Facility</t>
  </si>
  <si>
    <t>Purchase of Materials for Construction of Multi-Purpose Building X Poblacion ,Cabanglasan, Bukidnon</t>
  </si>
  <si>
    <t>IMPROVEMENT OF BRGY HALL &amp; LUPON OFFICE (TILES, PAINTING &amp; ROOFING)</t>
  </si>
  <si>
    <t>Repair of Ceiling and Repainting Works at Accounting Office</t>
  </si>
  <si>
    <t>Purchase &amp; Delivery of Medical Equipment for Ilocos Sur Provincial Hospital-Gabriela Silang &amp; Ilocos District Hospitals-Sinait &amp; Magsingal Ilocos Sur</t>
  </si>
  <si>
    <t>Procurement of rim and tire for official use of RP vehicle P4Z-255</t>
  </si>
  <si>
    <t>Procurement of construction materials for Construction of MPP at Sitio Dadap, Sta. Maria</t>
  </si>
  <si>
    <t>Supply and Delivery of Dormitory Linens</t>
  </si>
  <si>
    <t>Construction Materials for the Renovation of CPG Session Hall, V-Mayor's Office &amp; SB Office @ Talibon Municipal Hall, Poblacion, Talibon, Bohol</t>
  </si>
  <si>
    <t>Supply and Delivery of Construction Materials and Supplies PR/RFQ# 2020-05-086</t>
  </si>
  <si>
    <t>Procurement of various construction supplies</t>
  </si>
  <si>
    <t>GD2020-06-008_Supply and Delivery of Ninety (90) Cylinders Liquid Gas Chlorine (68kgs./cylinder) for Water Treatment Use</t>
  </si>
  <si>
    <t>Procurement of construction materials for Construction of MPP at Sitio Bang-ayan at S. Casionan Portion, Sta. Maria</t>
  </si>
  <si>
    <t>Procurement of 13,518 Liters of Fuel (Diesel)</t>
  </si>
  <si>
    <t>Diesel</t>
  </si>
  <si>
    <t>PROCUREMENT OF MATERIALS AND SUPPLIES FOR HAND WASHING FACILITY</t>
  </si>
  <si>
    <t>Repair and Maintenance of Batching Plant (CMPO)</t>
  </si>
  <si>
    <t>Table Tennis table and Table tennis net(20-06-045VPAF)</t>
  </si>
  <si>
    <t>Supply &amp; Delivery of Mini Dumptruck (Brand New)</t>
  </si>
  <si>
    <t>Supply &amp; Delivery of Medicines &amp; Vitamins for covid-19 pandemic</t>
  </si>
  <si>
    <t>SUPPLY AND DELIVERY OF VARIOUS MATERIALS FOR THE SERVICE LINE (MAINTENANCE) OF VALENCIA CITY WATER DISTRICT</t>
  </si>
  <si>
    <t>SUPPLY AND DELIVERY OF CONSTRUCTION MATERIALS FOR CANAL LINING</t>
  </si>
  <si>
    <t>PIKCOT-SUPP-002020-00137 (SUPPLY AND DELIVERY OF OFFICE EQUIPMENTS)</t>
  </si>
  <si>
    <t>Procurement of 1 tank LPG refill etc.</t>
  </si>
  <si>
    <t>Materials for the Fabrication of Cabinets at MCR Storage Room</t>
  </si>
  <si>
    <t>Purchase of Materials for Construction of Multi-Purpose Building U Canangaan,Cabanglasan, Bukidnon Lot 1,2</t>
  </si>
  <si>
    <t>Purchase &amp; Delivery of Food Packs for Adults &amp; Nutri Packs for Children for distribution Provincewide</t>
  </si>
  <si>
    <t>RFQ-NP-SVP-246g-2020-Procurement of   Development of Twin-Screw Extruder Machine with Filling Injector.</t>
  </si>
  <si>
    <t>BID 2020-06-91 DCS LAPTOP</t>
  </si>
  <si>
    <t>CONSTRUCTION OF NATIONAL CHILD DEVELOPMENT CENTER</t>
  </si>
  <si>
    <t>Procurement of construction materials for Construction of MPP at Upper Bangar, Sta. Maria</t>
  </si>
  <si>
    <t>Supply and Delivery of Laptop and Camera</t>
  </si>
  <si>
    <t>Purchase of Various IT Equipment</t>
  </si>
  <si>
    <t>Construction of  Irrigation Facilities/STA. PAZ</t>
  </si>
  <si>
    <t>PROCUREMENT OF FEEDS FOR MARINE FISH CAGES CULTURE</t>
  </si>
  <si>
    <t>Support to Lupon Tagapamayapa</t>
  </si>
  <si>
    <t>Repairs and Maintenance</t>
  </si>
  <si>
    <t>Labor for the Construction of Pathwar at Techno Demo Farm Caawigan,Talisay Camarines Norte.</t>
  </si>
  <si>
    <t>Supply and Delivery of Various Laboratory Supplies (PR#20-06-0712)</t>
  </si>
  <si>
    <t>PURCHASE OF MOISTURE ANALYZER</t>
  </si>
  <si>
    <t>PROCUREMENT OF T-SHIRTS FOR THE OFFICIAL USE OF WAQMS</t>
  </si>
  <si>
    <t>Office Eqpt and Accessories (GIA)</t>
  </si>
  <si>
    <t>Supply and Delivery of Petroleum Diesel (PNP)</t>
  </si>
  <si>
    <t>Innova Test Kit (Rapid Test)</t>
  </si>
  <si>
    <t>Proposed Road Concreting/Rehabilitation Abad St,Chrysanthemum, Brgy. Chrysanthemum</t>
  </si>
  <si>
    <t>Request for Quotation (GIA)</t>
  </si>
  <si>
    <t>Procurement of Automatic Pipettor and Pipet Tips</t>
  </si>
  <si>
    <t>PROCUREMENT OF ONE (1) UNIT OF FLOOR STANDING NON-INVERTER AIRCON WITH INSTALLATION</t>
  </si>
  <si>
    <t>FOR GENERAL REPAIR OF POLICE MOBILE PATROL (MAHINDRA)</t>
  </si>
  <si>
    <t>Provision  of Advocacy Bags for the starter kits after training support for the Ating Tulong Isulong sa Agrikultura laban sa COVID 19 and Urban Agriculture Program</t>
  </si>
  <si>
    <t>Diesel, Gasoline, ATF, U-touring, STM 30,U-Extra, HD 40, STM 40 and XCS for Mayor's Office Vehicles, Marine Seaborne, Fish Warden Patrol, Garbage Collector and PNP Vehicles</t>
  </si>
  <si>
    <t>Office Eqpt (GIA)</t>
  </si>
  <si>
    <t>Procurement of Office Equipment and Accessories</t>
  </si>
  <si>
    <t>Procurement of Paper and Materials</t>
  </si>
  <si>
    <t>Supply and Delivery of Furniture to be used in the Office of Municipal Budget Officer.</t>
  </si>
  <si>
    <t>Procurement of construction materials for Concreting of Road at Sitio Bangar, Sta. Maria</t>
  </si>
  <si>
    <t>Procurement of IT Equipment and Supplies to be used in the Office of the Municipal Mayor.</t>
  </si>
  <si>
    <t>Canalization of Barangay Road located at Barangay Isauan, Tubungan, Iloilo</t>
  </si>
  <si>
    <t>Construction of Reservoir - Las Arenas, Pantukan, Davao De Oro (Labor)</t>
  </si>
  <si>
    <t>Purchase of Materials for Construction of Multi-Purpose C Poblacion, Cabanglasan, Bukidnon</t>
  </si>
  <si>
    <t>Consumables</t>
  </si>
  <si>
    <t>Anti-Rabies Vaccine (Human) for Rural Health Unit</t>
  </si>
  <si>
    <t>Supply and Delivery of Customized Sofa and Cabinet to be used in the Office of the Municipal Mayor.</t>
  </si>
  <si>
    <t>PURCHASE OF MEAT</t>
  </si>
  <si>
    <t>Printer(20-06-055REG)</t>
  </si>
  <si>
    <t>Catering Services for Contingency Plan and Camp Coordination and Camp Management Training Workshop</t>
  </si>
  <si>
    <t>Purchase &amp; Delivery of Janitorial &amp; Other Supplies for the Office of SPM Virginia C. Pe Benito</t>
  </si>
  <si>
    <t>Eco Solvent Inks (GIA)</t>
  </si>
  <si>
    <t>Supply and Delivery of 117 sacks Rice, 25 kgs. for the Distribution of Additional Benefit on Skeletal Workforce during ECQ</t>
  </si>
  <si>
    <t>Supply and Delivery of Laboratory Equipment for the Native Pig NICER project</t>
  </si>
  <si>
    <t>construction of pathway</t>
  </si>
  <si>
    <t>PROVISION OF SCHOOL FORMS</t>
  </si>
  <si>
    <t>Furnitures &amp; Fixtures</t>
  </si>
  <si>
    <t>AUTO SPARE PARTS</t>
  </si>
  <si>
    <t>Supply and Delivery of various goods (PR No. 2020-419)</t>
  </si>
  <si>
    <t>8 UNITS WHEELCHAIR</t>
  </si>
  <si>
    <t>Purchase &amp; Delivery of Office Supplies &amp; Consumables for the Office of SPM Elpidio Sr. A. Quines</t>
  </si>
  <si>
    <t>Rehabilitation of Flood Control Project</t>
  </si>
  <si>
    <t>PURCHASE OF ELECTRICAL SUPPLIES</t>
  </si>
  <si>
    <t>Supply and Delivery of 1500 packs Fortified Powdered Milk (600gms) and 122 packs 370gms Fortified Powdered Milk &amp; 5 Kilos Rice</t>
  </si>
  <si>
    <t>Supply and Delivery of various goods (PR No. 2020-420)</t>
  </si>
  <si>
    <t>BID 2020-06-90- DCS VARIOUS TABLETS</t>
  </si>
  <si>
    <t>Heavy Equipment Maintenance - Nissan 10W DT/SHG 277 and Nissan FE6 Firetruck/SHH 907</t>
  </si>
  <si>
    <t>Airconditioning Unit (Kopel)</t>
  </si>
  <si>
    <t>PURCHASE OF MATERIALS FOR THE REPAIR OF MUNICIPAL VEHICLE(SHACKMAN DUMP TRUCK).</t>
  </si>
  <si>
    <t>RFQ - Conduct of Two(2) Quarterly Comprehensive Preventive Maintenance of 3-5 TR Precision Type Air Conditioning Units at the Data Center, 6th Floor, PDIC Ayala premises for the period July 1, 2020 to</t>
  </si>
  <si>
    <t>SUPPLY OF MATERIALS FOR THE concrete road repair at tupinao, Cardiz, Bagulion La Union</t>
  </si>
  <si>
    <t>Supply and Delivery of Goods for R&amp;M Other Structures of 83IB,9ID,PA (321,000.00)</t>
  </si>
  <si>
    <t>Provision of 2 Units Laptop and UPS</t>
  </si>
  <si>
    <t>RFQ-GS-20200608-04 - 1 Lot Supply, Delivery &amp; Installation of Acrylic Frame Panels, Wrap Around Stickers, Signages, Merchandising Materials &amp; Glass Panel Perforated Stickers at 7 LANDBANK Branches</t>
  </si>
  <si>
    <t>Notebook Pc(20-05-130RGL)</t>
  </si>
  <si>
    <t>Food Accomodation</t>
  </si>
  <si>
    <t>PROCUREMENT OF ICT GADGETS USE FOR PRODUCTION OF MODULES &amp; LEARNING MATERIALS FOR DISTRICT OF LA CASTELLANA II, FOR THE NEW NORMAL SYSTEM IN EDUCATION CAUSE OF COVID 19</t>
  </si>
  <si>
    <t>CONSTRUCTION OF CAGLAYAG ELEM. SCHOOL FENCE</t>
  </si>
  <si>
    <t>Supply &amp; Delivery One Job order Tourism Video Production Management Package, 1 pc., for Tourism Promotion Videos.</t>
  </si>
  <si>
    <t>PURCHASE OF ONE BAGGER CONCRETE MIXER 10 HP DIESEL ENGINE TO BE USED OF ENGINEERING OFFICE</t>
  </si>
  <si>
    <t>RFQ-TO PROVIDE PRINTING AND BINDING SERVICES FOR THE OPERATION OF PHIL TRADITIONAL KNOWLEDGE AND PRACTICES ON HEALTH PROJECT.TRF-184-20-06-64</t>
  </si>
  <si>
    <t>Airconditioning Unit (Carrier)</t>
  </si>
  <si>
    <t>PRINTING OF TARPAULINS FOR  FOR HEALTH AWARENESS OR IN RELATION TO COVID -19</t>
  </si>
  <si>
    <t>Office Supplies for all LGU Offices for the 3rd Quarter of 2020</t>
  </si>
  <si>
    <t>101-20-06-RFQ0682 - USE FOR REPAIR &amp; MAINTENANCE OF MUNICIPAL BUILDINGS &amp; FACILITIES (2020)</t>
  </si>
  <si>
    <t>RUBBER STAMP AND TONER FOR XEROX MACHINE</t>
  </si>
  <si>
    <t>Proposed Patching and Asphalt Overly Along Hernandez St. Purok 7 Pulo, Brgy. Landayan</t>
  </si>
  <si>
    <t>PURCHASE OF OFFICE EQUIPMENT</t>
  </si>
  <si>
    <t>Purchase of Materials for Construction of Multi-Purpose Building T Imbatug,Cabanglasan, Bukidnon</t>
  </si>
  <si>
    <t>Supply and Delivery of Agricultural Supplies and Materials for the NICER Project</t>
  </si>
  <si>
    <t>BID-2020-06-92 DCS SIM CARDS</t>
  </si>
  <si>
    <t>Purchase of Computer and Digital Accessories, Storage Devices and Laptop</t>
  </si>
  <si>
    <t>CONDUCT OF QUARTERLY MAINTENANCE CHECK OF 40 AIR-CONDITIONING UNITS INSTALLED AT THE DBM ROV OFFICE BUILDING</t>
  </si>
  <si>
    <t>SUPPLY OF MATERIALS FOR THE CONCRETE ROAD REPAIR AT ALIBANGSAY</t>
  </si>
  <si>
    <t>MARKET AND BILLBOARD WITH TARPAULIN</t>
  </si>
  <si>
    <t>RFQ-GS-20200611-01 - Two (2) Years Subscription to 10 Mbps Wireless Internet (WiFi) at LANDBANK Corporate Affairs Dept.</t>
  </si>
  <si>
    <t>PURCHASE OF TWO (2) UNITS COLLAPSIBLE TENT</t>
  </si>
  <si>
    <t>Supply &amp; Delivery of Fuel &amp; other Lubricants (Diesel/Crude, Special &amp; Unleaded Gasoline &amp; other oil &amp; lubricants)</t>
  </si>
  <si>
    <t>Procurement of Various Medical Supplies  for Prevention of Acquiring COVID-19 and Other Viral Infections for the Four (4) Campuses</t>
  </si>
  <si>
    <t>Repair &amp; Maintenance of Buildings (OJ5-PhP81,171.38)</t>
  </si>
  <si>
    <t>Procurement of construction materials for Concreting of Road at Sitio Carvania, Sta. Maria</t>
  </si>
  <si>
    <t>Purchase of Processing Equipment (Smoked Fish Production)</t>
  </si>
  <si>
    <t>USE FOR THE PROJECT CONSTRUCTION OF KAGAN CULTURAL AND MULTI-PURPOSED BLDG.</t>
  </si>
  <si>
    <t>TRAINING MATERIALS / SUPPLIES FOR 5 DAYS INSET FOR TEACHERS</t>
  </si>
  <si>
    <t>request for quotation for Toyota Hilux P/UP Plate no. SHZ 515 Model 2013</t>
  </si>
  <si>
    <t>rehabilitation of all barangay roads</t>
  </si>
  <si>
    <t>Procurement of construction materials for Improvement of Daycare Building @ Sitio Banahaw, San Marcos</t>
  </si>
  <si>
    <t>Tire Set for MMFN Service Vehicles</t>
  </si>
  <si>
    <t>OFFICE SUPPLIES &amp; CONSUMABLES (PMU</t>
  </si>
  <si>
    <t>RFQ-GS-20200609-01 - Subscription and Installation of IP VPN Lines for Three (3) LANDBANK Offices and Five (5) Offsite ATMs</t>
  </si>
  <si>
    <t>Procurement of 1-Unit Brand New Ambulance</t>
  </si>
  <si>
    <t>PROJECT COVID-MODULES</t>
  </si>
  <si>
    <t>Purchase of Office Supplies for MO use</t>
  </si>
  <si>
    <t>Purchase of Materials for Construction of Multi-Purpose Building Q (Perimeter Fence)Cabulohan, Cabanglasan, Bukidnon</t>
  </si>
  <si>
    <t>Training Expense-Php95,090.00 PKOC</t>
  </si>
  <si>
    <t>Procurement of construction materials for Concreting of Road with Riprap @ Purok 2, San Jose</t>
  </si>
  <si>
    <t>Repair/Maintenance of Streetlight</t>
  </si>
  <si>
    <t>Supply &amp; Delivery of Office Supplies for Clean &amp; Green, Rodriguez, Rizal</t>
  </si>
  <si>
    <t>RFQ-TO PROVIDE HARDWARE MATERIALS FOR THE OPERATION OF CCIS OFFICE AND CED OFFICE, CEGS LAB, CFES LABSHARE.IGF-164-20-06-125</t>
  </si>
  <si>
    <t>40 PCS. WHITE POLO SHIRT WITH STRIPE AND PRINT</t>
  </si>
  <si>
    <t>DESILTING OF TINAGO CREEK</t>
  </si>
  <si>
    <t>Request for Quotation for Construction Materials (168,345.00)</t>
  </si>
  <si>
    <t>Procurement of construction materials for Concreting of Road @ Purok 3, San Jose</t>
  </si>
  <si>
    <t>Supply &amp; Delivery of Office Supplies @ GSO, Rodriguez, Rizal</t>
  </si>
  <si>
    <t>CONDUCT OF QUARTERLY MAINTENANCE CHECK OF ONE (1) UNIT GENERATOR SET 60KVA OWNED BY DBM-ROV IN ACCORDANCE WITH ATTACHED TERMS OF REFERENCE</t>
  </si>
  <si>
    <t>Purchase of two (2) Units Projector</t>
  </si>
  <si>
    <t>Purchase of Materials for Construction of Multi-Purpose Building W (Perimeter Fence) Mauswagon, Cabanglasan, Bukidnon</t>
  </si>
  <si>
    <t>Drugs-Trastuzumab 150mg Lyophilized Powder (2nd Posting)</t>
  </si>
  <si>
    <t>20GHI0023 Construction Materials and Supplies</t>
  </si>
  <si>
    <t>Improvement of multipurpose Purok houses/daycare center</t>
  </si>
  <si>
    <t>PURCHASE OF MEDICAL CABINET</t>
  </si>
  <si>
    <t>Purchase of Materials for Construction of Multi-Purpose Building P Poblacion, Cabanglasan, Bukidnon</t>
  </si>
  <si>
    <t>Food Supplies Expense-P80,820.00 PKOC</t>
  </si>
  <si>
    <t>Purchase of Materials for Construction of Multi-Purpose Building V (Perimeter Fence) Mandaing, Cabanglasan, Bukidnon</t>
  </si>
  <si>
    <t>Proposed Road Concreting / Rehabilitation Main Road, Brgy. Riverside</t>
  </si>
  <si>
    <t>1 UNIT EXTENDABLE  LADDER 10FT</t>
  </si>
  <si>
    <t>20GHI0024 Construction Materials and Supplies</t>
  </si>
  <si>
    <t>SNACKS</t>
  </si>
  <si>
    <t>request for quotation of Branded Tablet for official use of Finance Division</t>
  </si>
  <si>
    <t>OFFICE EQUIPMENT (LAPTOP COMP., PRINTER, BIOMETRIC, DESKTOP COMP AND PORTABLE SPEAKER)</t>
  </si>
  <si>
    <t>Request for Quotation for Laptop</t>
  </si>
  <si>
    <t>Procurement of Materials for the Construction of Concrete Pathway at Sitio Maitom, Brgy. Cuatro De Agosto, Mahaplag, Leyte</t>
  </si>
  <si>
    <t>Vehicle Accessories (Municipal Agriculture's Office)</t>
  </si>
  <si>
    <t>PURCHASE OF SCHOOL/OFFICE SUPPLIES AND REPAIR/MAINTENANCE OF SCHOOL BUILDING</t>
  </si>
  <si>
    <t>Supply &amp; Delivery of Polo Shirt for MTMDO, Rodriguez, Rizal</t>
  </si>
  <si>
    <t>Procurement of Office Equipment - NIPSC Lemery Campus</t>
  </si>
  <si>
    <t>purchase of materials for repair &amp; maintenance of streetlights</t>
  </si>
  <si>
    <t>RFQ - Supply of Labor, tools, materials and supervision for the conduct of Pest and Rodent Control Services at the PDIC Ayala Premises including Toilets and common area (11,488.36 sqm.) and at the Tag</t>
  </si>
  <si>
    <t>Business Plate</t>
  </si>
  <si>
    <t>ON-GOING CONSTRUCTION OF MULTI-PURPOSE HALL</t>
  </si>
  <si>
    <t>Procurement of office supplies for Home Based Modular Offline class</t>
  </si>
  <si>
    <t>Procurement of Goods Furniture's</t>
  </si>
  <si>
    <t>Supply and Delivery of Parachute Tents to be use for Various Activities of the City Government of Tarlac</t>
  </si>
  <si>
    <t>Purchase of various Appliances for the use of GSO</t>
  </si>
  <si>
    <t>Improvement of DILG Office</t>
  </si>
  <si>
    <t>Purchase and Delivery of Utility Vehicle for Municipal Health Center</t>
  </si>
  <si>
    <t>Procurement of Electrical Works</t>
  </si>
  <si>
    <t>REHABILITATION/IMPROVEMENT OF LOCAL ACCESS ROAD</t>
  </si>
  <si>
    <t>Installation of Street Lights Phase III - Brgy. San Fernando, Pilar, Capiz</t>
  </si>
  <si>
    <t>Purchase of Animal/Zoological Supplies (Dog Foods).</t>
  </si>
  <si>
    <t>Procurement of shredder to expedite the decomposition of agricultural waste to be used as organic fertilizer for gulayan sa paaralan.</t>
  </si>
  <si>
    <t>Improvement of Kalahi Multi-purpose Building</t>
  </si>
  <si>
    <t>Repair and Maintenance Emergency Vehicles 2nd Qtr.</t>
  </si>
  <si>
    <t>Supply and Delivery of Materials and Fittings  for Service Connections and Maintenance of GMAWD’s Water Supply System</t>
  </si>
  <si>
    <t>Supplies for Module Printing</t>
  </si>
  <si>
    <t>Supply &amp; Delivery of Medicines for Mental Health Program, Municipal Health Office, Buenavista, Quezon</t>
  </si>
  <si>
    <t>Supply and Delivery of Data Cabinets for Tarlac City Mayor's Office use</t>
  </si>
  <si>
    <t>Purchase of janitorial supplies and toiletries for use of RRCY residents</t>
  </si>
  <si>
    <t>Purchase of Two-Way Radios</t>
  </si>
  <si>
    <t>Supply and Delivery of Various Common-Use Office Supplies (Fund 161-IGP) LOT BIDDING</t>
  </si>
  <si>
    <t>Supply and Delivery of Furnitures &amp; Fixtures for the use of COVID-19 Emergency Operation Center Staff</t>
  </si>
  <si>
    <t>Purchases of Welfare goods for covid 19 pandemic (Welfare program/basic services covid 19 pandemic)</t>
  </si>
  <si>
    <t>SUPPLY OF THE FOLLOWING OFFICE EQUIPMENT</t>
  </si>
  <si>
    <t>PROVISION OF MATERIALS &amp; SUPPLIES FOR INSET</t>
  </si>
  <si>
    <t>Purchase of generator sets for use at the 6 provincial operation offices of DSWD FO V during emergency/disaster</t>
  </si>
  <si>
    <t>Small Value Procurement (emergency purchase) for the Supply and Delivery of Chemicals (desinfectant).</t>
  </si>
  <si>
    <t>Students Hygiene Kit</t>
  </si>
  <si>
    <t>Procurement of 3 roll B-net/Horticultural Net 1/4 mesh double-width etc.</t>
  </si>
  <si>
    <t>SUPPLY OF 2 ASSY. ABRASSIVE RAIL SAW MACHINE WITH GUIDING SUPPORT under PR No. RS-1219-055 and ITB No. 2001-007-01</t>
  </si>
  <si>
    <t>Procurement of 18 LENGTH G.I  Pipe 1 1/2" sched. 40 etc.</t>
  </si>
  <si>
    <t>Supply and Delivery of One (1) Unit Camera and Laptop and I.T. Accessories for City Information Office use</t>
  </si>
  <si>
    <t>RFQ-TO PROVIDE I.T SUPPLIES FOR THE OPERATION OF CCIS LAB AND REGISTRAR OFFICE. IGF-164-20-06-115</t>
  </si>
  <si>
    <t>Purchase of various Ink for inventory purposes of GSO</t>
  </si>
  <si>
    <t>Supply and Delivery of Meals and Snacks, Training Kits, Tokens and Promotional Materials for KWO Livelihood Program (Fight Against COVID 19) of the City Government of Tarlac</t>
  </si>
  <si>
    <t>Procurement of 95 kilo Vermi Worms</t>
  </si>
  <si>
    <t>Construction of Concrete Spillway &amp; Installation of 600mm dia. RCPC</t>
  </si>
  <si>
    <t>Procurement of 10 roll B-net/ Horticultural Net 1/4 mesh double-width etc.</t>
  </si>
  <si>
    <t>ID Sling with DOH Logo for training supplies and materials</t>
  </si>
  <si>
    <t>Purchase of Motorcycle for Office use of Office of the City Mayor</t>
  </si>
  <si>
    <t>LABOR &amp; MATERIALS FOR UPGRADING OF ALLEY WITH IMPROVEMENT OF DRAINAGE CANAL, BLK. 32A PHASE 2 AREA 2, BRGY. NBBS DAGAT-DAGATAN, NAVOTAS CITY</t>
  </si>
  <si>
    <t>RFQ - 20GCJ0041 - Procurement of Grass Cutter for use in Vegetation Control along various National Roads within the District.</t>
  </si>
  <si>
    <t>LABOR &amp; MATERIALS FOR UPGRADING OF ALLEY WITH IMPROVEMENT OF DRAINAGE CANAL, BLK. 33 PHASE 2 AREA 2, BRGY. NBBS DAGAT-DAGATAN, NAVOTAS CITY</t>
  </si>
  <si>
    <t>RFQ-PROVISION OF SEMI-EXPENDABLE-FURNITURES AND FIXTURES  (OFFICE CHAIR et.al.) FOR THE OPERATION OF CHED-TES.TRF-184-20-06-69</t>
  </si>
  <si>
    <t>Purchase of Processing Equipment (Bagoong Making Production)</t>
  </si>
  <si>
    <t>Purchase of IT supplies for use of DSWD FO V</t>
  </si>
  <si>
    <t>PURCHASE OF BLOOD PRESSURE APPARATUS</t>
  </si>
  <si>
    <t>SUPPLY AND DELIVERY OF VARIOUS LABORATORY SUPPLIES AND MATERIALS (LINE ITEM BIDDING)</t>
  </si>
  <si>
    <t>Rebidding for the Repair and Renovation of Second Floor Bonifacio P. Sibayan Hall</t>
  </si>
  <si>
    <t>Small Value Procurement (emergency purchase) for the Supply and Delivery of Construction Materials.</t>
  </si>
  <si>
    <t>Purchase of Materials for Construction Calacapan Swimming Pool (Additional) Cabanglasan, Bukidnon</t>
  </si>
  <si>
    <t>LABOR &amp; MATERIALS FOR UPGRADING OF ALLEY WITH IMPROVEMENT OF DRAINAGE CANAL, BLK. 27A PHASE 2 AREA 1, BRGY. NBBS DAGAT-DAGATAN, NAVOTAS CITY</t>
  </si>
  <si>
    <t>Pedometer (Rehabilitation)</t>
  </si>
  <si>
    <t>Drugs-Ephedrine 50mg/ml, 1ml Amp (as Sulfate) &amp; 5 others (1st Posting)</t>
  </si>
  <si>
    <t>PURCHASE OF ELECTRIC FAN</t>
  </si>
  <si>
    <t>Purchase of Ambulance (Hi-Roof), Lambunao, Iloilo</t>
  </si>
  <si>
    <t>RFQ - 20GCJ0042 -Supply and Delivery of I.T. Supplies and Consumables.</t>
  </si>
  <si>
    <t>Badiangan to Villa Flores Road Opening</t>
  </si>
  <si>
    <t>PROCUREMENT OF MATERIALS FOR THE REPRODUCTION  OF TEACHER-MADE MODULES AND AND INSTRUCTIONAL MATERIALS (111 TEACHERS).</t>
  </si>
  <si>
    <t>Supply and Delivery of Various Materials for the Installation of Fire Hydrant</t>
  </si>
  <si>
    <t>PURCHASE REQUEST LASER PRINTER</t>
  </si>
  <si>
    <t>Procurement of 1 unit Ignition Assembly Repair &amp; Maintenance of Equipment Replacement of Parts etc,</t>
  </si>
  <si>
    <t>SUPPLY AND DELIVERY OF FUEL  FOR THE MOBILITY OF MEO AND OTHER VEHICLES DURING COVID-19 OPERATIONS (DISTRIBUTION &amp; TRANSPORT OF RELIEF GOODS &amp; LGU FRONTLINERS) TO 27 BRGYS., SFADS</t>
  </si>
  <si>
    <t>Purchase of Office Equipment</t>
  </si>
  <si>
    <t>Procurement of one (1) set bagger mixer</t>
  </si>
  <si>
    <t>SUPPLY AND DELIVERY OF UNIFORM PARAPHERNALIA FOR OOS USE</t>
  </si>
  <si>
    <t>Purchase of Materials for Construction Steel Goal at Pangian, Tagawili, Bawa Cabanglasan, Bukidnon</t>
  </si>
  <si>
    <t>STO20-05-26-0247 Supply and Delivery of Planting Materials.</t>
  </si>
  <si>
    <t>PURCHASE OF RAIN BOOTS, RAIN COATS, UMBRELLAS AND FLASHLIGHTS</t>
  </si>
  <si>
    <t>SMALL VALUE PROCUREMENT OF SECURITY SERVICES</t>
  </si>
  <si>
    <t>Materials - For the installation of distribution mains at Roxas St,(Between Rizal &amp; N.Ramos Sts.), Guiset Norte, San Manuel, Pang.</t>
  </si>
  <si>
    <t>SUPPLY &amp; DELIVERY OF CALCIUM HYPOCHLORITE GRANULAR TO BE USED FOR PAGAMUTAN DEEP WELL</t>
  </si>
  <si>
    <t>RFQ-TO PROVIDE AIRCOOLING EQUIPMENT FOR THE OPERATION OF CAA LAB SHARE. IGF-164-20-06-118</t>
  </si>
  <si>
    <t>Drugs and Medicines Expense-P68,038.62 PKOC</t>
  </si>
  <si>
    <t>Construction of Access Road to Bayongon Housing Site</t>
  </si>
  <si>
    <t>PROCUREMENT OF ONE (1) UNIT CURRENT METER</t>
  </si>
  <si>
    <t>CONSTRUCTION OF MATERIAL RECOVERY FACILITY</t>
  </si>
  <si>
    <t>20KI0088 Contract Name	: Concreting of Brgy. Usocan to Brgy. Bato FMR,  			  Brgy. Usocan and Brgy. Bato, Plaridel, Misamis Occidental</t>
  </si>
  <si>
    <t>Hydraulic Dynamometer (Rahabilitation)</t>
  </si>
  <si>
    <t>Office Equipment</t>
  </si>
  <si>
    <t>20KI0089 Contract Name	: Concreting of Brgy. Roxas FMR,  			  Brgy. Roxas, Aloran, Misamis Occidental</t>
  </si>
  <si>
    <t>Purchase of Motorcycle</t>
  </si>
  <si>
    <t>Small Value Procurement for the Supply and Delivery of Electrical Supplies.</t>
  </si>
  <si>
    <t>Supply and Delivery of Various Office Supplies</t>
  </si>
  <si>
    <t>Supply and Delivery of Jetmatic Pump and Accessories to be used for the Rehabilitation of Water Facilities of CLIARC Upland with PR#2020-06-04-68 and ABC of P110,176.00</t>
  </si>
  <si>
    <t>Purchase of Chainsaw</t>
  </si>
  <si>
    <t>Solar Street Lighting Project</t>
  </si>
  <si>
    <t>PUrchase of Materials for the Concreting of Municipal Streets (DELMES Access Road and New Govt Center), Pob. Ilawod, Lambunao, Iloilo</t>
  </si>
  <si>
    <t>Procurement of supplies and materials to be used for Skills Training Cum Production in Wooden Poultry House for Organic Chicken Production</t>
  </si>
  <si>
    <t>Drugs-Midazolam 15mg Tab &amp; 4 others (1st Posting)</t>
  </si>
  <si>
    <t>Brangay Green Urban Design</t>
  </si>
  <si>
    <t>Construction of Barangay Hand Washing Counter for Covid-19</t>
  </si>
  <si>
    <t>water Connection Materials &amp; Fittings</t>
  </si>
  <si>
    <t>20KI0090 Contract Name	: Concreting of Brgy. Small Potongan FMR,  			  Brgy. Small Potongan, Concepcion, Misamis Occidental</t>
  </si>
  <si>
    <t>Concreting of Local Road Zone 5, Angustia, Nabua, Camarines Sur</t>
  </si>
  <si>
    <t>Purchase of Solar Lights at Buso/P11 Poblacion/Jasaan/Salimbobonog Capinonan &amp; Calagutay Capinonan, Cabanglasan, Bukidnon Lot 1,2</t>
  </si>
  <si>
    <t>Military Police Traffic Supplies Expenses-P324,900.00 PKOC</t>
  </si>
  <si>
    <t>Bids and Awards Committee (BAC) Meeting and Conferences 3rd and 4th Quarter</t>
  </si>
  <si>
    <t>Procurement of Construction Supply (for Road Maintenance), SAN JOSE CITY, NUEVA ECIJA</t>
  </si>
  <si>
    <t>Procurement of 300 kilo Mangosteen ripe, fresh etc.</t>
  </si>
  <si>
    <t>Construction of Covered Court, Barangay Apasan</t>
  </si>
  <si>
    <t>Overhead Pulley System (Rehabilitation)</t>
  </si>
  <si>
    <t>PEO-20-0696 B- Purchase of Spare Parts for use in the repair of Volvo Backhoe Loader (VBHL-2) Model: BL71B assigned at PEP, Sta. Barbara, Iloilo</t>
  </si>
  <si>
    <t>to Labor and materials for the fabrication and installation of:(20-05-115GSO)</t>
  </si>
  <si>
    <t>Tools PR. No. 20-06-02-03</t>
  </si>
  <si>
    <t>Completion of Road Concreting at Sitio Ruston, San Antonio Ogbon to La Opinion, Sitio Ruston San Antonio Ogbon, Nabua, Camarines Sur</t>
  </si>
  <si>
    <t>Labor - For the installation of distribution mains at Roxas St,(Between Rizal &amp; N.Ramos Sts.), Guiset Norte, San Manuel, Pang.</t>
  </si>
  <si>
    <t>FOOD ASSISTANCE FOR LGU FRONTLINERS.</t>
  </si>
  <si>
    <t>Materials for Extension of Pathway at Barangay Maybato Sur, San Jose, Ant.</t>
  </si>
  <si>
    <t>Supply and Delivery of Portable 2-way Radios to be used by the personnel of the City Public Order and Safety Coordinating Office in the City of San Fernando, Pampanga</t>
  </si>
  <si>
    <t>Purchase of Materials for Pasalubong Center Lot 1,2</t>
  </si>
  <si>
    <t>General Merchandise</t>
  </si>
  <si>
    <t>Drugs-Eperisone HCL 50mg (1st Posting)</t>
  </si>
  <si>
    <t>Supply/Delivery of Tire with Tube</t>
  </si>
  <si>
    <t>Construction of Multi-purpose Hall</t>
  </si>
  <si>
    <t>Supply and Delivery of Various Other Supplies and Materials</t>
  </si>
  <si>
    <t>PROVISION OF DRUGS AND MEDICINES FOR SCHOOL CLINIC</t>
  </si>
  <si>
    <t>Feeds</t>
  </si>
  <si>
    <t>Purchase of Construction materials</t>
  </si>
  <si>
    <t>Procurement of 1 piece Carboy Plastic, 10 liters HD Nalgene etc.</t>
  </si>
  <si>
    <t>72 heads Swine (Gilts and Boars), etc.</t>
  </si>
  <si>
    <t>Supply and delivery of 4 units Geotagging Device in RSL, Barcenaga, Naujan, Oriental Mindoro - Lot 7</t>
  </si>
  <si>
    <t>Rental of Tent.</t>
  </si>
  <si>
    <t>Supply and Delivery of Mineral Water for Nutrtion and Dietetics Service</t>
  </si>
  <si>
    <t>RFQ - 20GCJ0043 - Supply and Delivery of Common Office Supplies.</t>
  </si>
  <si>
    <t>Procurement of Medical and Laboratory Supplies</t>
  </si>
  <si>
    <t>PURCHASE OF FURNITURE AND FIXTURE FOR TOURISM OFFICE</t>
  </si>
  <si>
    <t>Concreting of Local Road, San Roque Madawon, Nabua, Camarines Sur</t>
  </si>
  <si>
    <t>REPAIR AND MAINTENANCE OF MACHINERIES AND EQUIPMENT;Supply of Materials for the Relocation of Pump Motor and Installation of Over Tank at City Of Malabon University</t>
  </si>
  <si>
    <t>RFQ No. 2005-295 Proc. of Goods (Supplies for Repair of Restroom Cubicle at IBT)(Repost)</t>
  </si>
  <si>
    <t>Office Equipment Supplies and Consumables</t>
  </si>
  <si>
    <t>Provision of Security Services</t>
  </si>
  <si>
    <t>PURCHASE OF IT EQUIPMENT</t>
  </si>
  <si>
    <t>Appliances</t>
  </si>
  <si>
    <t>Supply and Delivery of Medical Oxygen</t>
  </si>
  <si>
    <t>CONCRETING OF BARANGAY ROAD AT BARANGAY SAWANG</t>
  </si>
  <si>
    <t>Supply and Delivery of Double Deck Boat Trailer to be used at City Disaster Risk Reduction &amp; Management Office in the City of San Fernando, Pampanga</t>
  </si>
  <si>
    <t>165 gallons Acid, muriatic, etc.</t>
  </si>
  <si>
    <t>Purchase of Diesel for the maint. of govt. vehicles @ RHU, MEO and MAO Office (2nd qrtr. 2020)</t>
  </si>
  <si>
    <t>HARDWARE SUPPLIES FOR REPAIR OF EDUCATION BUILDING</t>
  </si>
  <si>
    <t>Purchase of Two (2) Units Tablet Mini</t>
  </si>
  <si>
    <t>PURCHASE OF OFFICE SUPPLIES</t>
  </si>
  <si>
    <t>PROCUREMENT OF SUPPLY AND DELIVERY OF MATERIALS FOR REPAIR OF MAIN LINES AND RELOCATION OF SERVICE LINES DUE TO ROAD WIDENING PROJECT</t>
  </si>
  <si>
    <t>Supply and Delivery of   Corn and Vegetable Seeds</t>
  </si>
  <si>
    <t>200 sets Drift Gill Net</t>
  </si>
  <si>
    <t>SUPPLY &amp; DELIVERY OF PICK UP TYPE VEHICLE</t>
  </si>
  <si>
    <t>LOT 1 - MOBILE POSTPAID PLAN OF THE PROCUREMENT OF TWO (2) YEAR SUBSCRIPTION FOR TWO (2) LOTS OF MOBILE POSTPAID AND PREPAID PLAN FOR PAGCOR OFFICERS AND KEY PERSONNEL - ITB NO. PB20-04-034COR</t>
  </si>
  <si>
    <t>Purchase of one (1) unit Laptop and Projector to be used for GAD PPAs, preparation of reports and update of database.</t>
  </si>
  <si>
    <t>Landingan View Point Improvement</t>
  </si>
  <si>
    <t>Other Supplies &amp; Materials Expenses (PKOC-76,065.00)</t>
  </si>
  <si>
    <t>PR NO. 1253 SEEDLING TRAY</t>
  </si>
  <si>
    <t>Construction Supplies &amp; Materials</t>
  </si>
  <si>
    <t>SMALL VALUE PROCUREMENT OF IMPROVEMENT OF GULAYAN SA PAARALAN</t>
  </si>
  <si>
    <t>Procurement of 300 can SEEDS-RUBBER</t>
  </si>
  <si>
    <t>ITB NO. SV20-06-001ANG SUPPLY AND DELIVERY OF VARIOUS MAINTENANCE AND CONSTRUCTION SUPPLIES</t>
  </si>
  <si>
    <t>CONSTRUCTION / ESTABLISHMENT OF TOURISM INFORMATION AND PASALUBONG CENTER</t>
  </si>
  <si>
    <t>SUPPLY AND DELIVERY OF COMMUNICATION EUQIPMENT'S (CELLPHONES) - SBO</t>
  </si>
  <si>
    <t>Invitation to Bid for PROCUREMENT OF MEDICAL SUPPLIES  FOR PRIMARY CARE FACILITY</t>
  </si>
  <si>
    <t>Procurement of Services for Re-Installation of Racking Systems</t>
  </si>
  <si>
    <t>Supply, Deliver and Installation of Office Partition</t>
  </si>
  <si>
    <t>PROCUREMENT OF OFFICE EQUIPMENT FOR YEAR 2020 - PALAWAN 1, PALAWAN 2  &amp; PUERTO PRINCESA</t>
  </si>
  <si>
    <t>20GDC0005 - Supply, Delivery and Installation of New Traffic Signs (7x) along Various National Roads</t>
  </si>
  <si>
    <t>Purchase of Office Supplies of OUR ( RFQ 2020-4005)</t>
  </si>
  <si>
    <t>Purchase of Truck Tires (MEO)</t>
  </si>
  <si>
    <t>Procurement of supply and delivery of Agricultural Supplies and Materials</t>
  </si>
  <si>
    <t>20HC0181- CONSTRUCTION/COMPLETION OF WATER SYSTEM (LEVEL III), BRGY. LOMANGOG, UBAY, BOHOL</t>
  </si>
  <si>
    <t>Rebidding for the labor and materials for the fabrication and installation of Clear Acrylic Protective Screen for Southwestern Mindanao Branches</t>
  </si>
  <si>
    <t>CORN20-06-16-0184 Sorghum Production Technology Training.</t>
  </si>
  <si>
    <t>medicines and medical supplies</t>
  </si>
  <si>
    <t>Supply and Delivery of Photographic Equipment</t>
  </si>
  <si>
    <t>ILD-20-0679: Calibration of Technical Scientific Equipment as one of the requirements for ISO Accreditation</t>
  </si>
  <si>
    <t>Small Value Procurement for the Supply and Delivery of Waterworks Material/Fittings.</t>
  </si>
  <si>
    <t>Purchase of tent.</t>
  </si>
  <si>
    <t>AB-2020-0011:Supply and Delivery of  Paint Latex Gloss White for use in Repainting of Concrete Bridges along National Roads within Ilocos Norte 2nd District</t>
  </si>
  <si>
    <t>Procurement of construction materials for Concreting of Road @ Purok 1, San Jose</t>
  </si>
  <si>
    <t>PR NO. 1252 AGRICULTURAL SUPPLIES</t>
  </si>
  <si>
    <t>Procurement of 100 cu.m Mountain/Garden Soil</t>
  </si>
  <si>
    <t>SUPPLY AND DELIVERY OF MEDICAL OXYGEN REFILL (50lbs.)</t>
  </si>
  <si>
    <t>Supply &amp; Delivery of Construction Materials &amp; Supplies for the Construction of Goat Hose at Buang Nursery, Tabaco City</t>
  </si>
  <si>
    <t>Replacement and/or additional Tents to Quarantine Control Points</t>
  </si>
  <si>
    <t>Supply and Delivery of Various Janitorial Supplies (PR#20-05-0685)</t>
  </si>
  <si>
    <t>Printing and Delivery of ECCD Parent's Authorization Booklet to be given to various Child Development parents for the year 2020 in the City of San Fernando, Pampanga</t>
  </si>
  <si>
    <t>SUPPLY AND DELIVERY OF ANTI-MICROBIAL SURFACE COATING</t>
  </si>
  <si>
    <t>Materials for Extension of Drainage at Barangay Bariri, San Jose, Ant.</t>
  </si>
  <si>
    <t>Procurement for IT Infrastructure Upgrade in preparation for Blended Learning Program implementation</t>
  </si>
  <si>
    <t>RFQ-TO PROVIDE MACHINERY EQUIPMENT  FOR THE CHEMISTRY DIVISION. IGF-164-20-06-120</t>
  </si>
  <si>
    <t>RFQ20-13</t>
  </si>
  <si>
    <t>Materials for Extension of Drainage at Barangay 8, San Jose, Ant.</t>
  </si>
  <si>
    <t>Purchase of Spine Board w/ Spider Strap</t>
  </si>
  <si>
    <t>Labor and Materials for the Rehabilitation of Low Pitch and Leaking Roof Covered Walk Along Administration Building - Talisay Campus</t>
  </si>
  <si>
    <t>RFQ20-6-41 Office Janitorial Supplies</t>
  </si>
  <si>
    <t>SERVICES</t>
  </si>
  <si>
    <t>materials for the reconstruction of canopy walk phase 2, repair of comfort rooms,and Junior hand washing area materials.</t>
  </si>
  <si>
    <t>Drugs-Metochlopramide 10mg tab (as hydrochloride) &amp; 5 others (2nd Posting)</t>
  </si>
  <si>
    <t>OFFICE SUPPLIES (RHU)</t>
  </si>
  <si>
    <t>Repair / Rehabilitation of Multi-Purpose Hall</t>
  </si>
  <si>
    <t>(PEO) INVITATION TO BID FOR THE SUPPLY AND DELIVERY OF VEHICLE PARTS (III) FOR   HEAVY EQUIPMENT   FOR THE PROVINCIAL ENGINEERING OFFICE (PEO)</t>
  </si>
  <si>
    <t>Purchase of Windcone 24"and 36" Diameter</t>
  </si>
  <si>
    <t>Supply and Delivery of IT Equipment to be used at the City Civil Registry Office (CCRO) in the City of San Fernando, PampangaSupply and Delivery of IT Equipment to be used at the City Civil Registry O</t>
  </si>
  <si>
    <t>RFQ20-6-44 Renovation ARD Cottage</t>
  </si>
  <si>
    <t>REHABILITATION / REPAINT OF MULTIPURPOSE HALL/ BLDG.</t>
  </si>
  <si>
    <t>Supply and Delivery of Construction Materials for Improvement of Multi-Purpose Hall (Municipal Engineering's Office)</t>
  </si>
  <si>
    <t>Semi Expendable Machinery &amp; Equip-Sports Equip-PKOC-PhP93,000.00)</t>
  </si>
  <si>
    <t>Acquisition for construction</t>
  </si>
  <si>
    <t>Design and Build for the Construction of Alternative Water Supply (Level III)</t>
  </si>
  <si>
    <t>Drilling of one Deep Well through Percussion Drilling Method</t>
  </si>
  <si>
    <t>Supply &amp; Delivery of 50 m Submersible Cable #4/3C</t>
  </si>
  <si>
    <t>PROVISION OF MATERIALS FOR THE PAINTING FOR THE MARKINGS OF SIGNAGES/FOOTMARKS FOR COVID-19 PREVENTION</t>
  </si>
  <si>
    <t>Procurement of construction materials for Concreting of Road Going to Cemetery, Dolowog</t>
  </si>
  <si>
    <t>Procurement of supply and delivery of ducks</t>
  </si>
  <si>
    <t>RFQ20-6-43 Printer Shredder</t>
  </si>
  <si>
    <t>SENIOR HIGH SCHOOL OFFICE SUPPLIES</t>
  </si>
  <si>
    <t>Supply &amp; Delivery of Office Furnitures</t>
  </si>
  <si>
    <t>Procurement of construction materials for Improvement of Road at Ongan Portion, Caragasan</t>
  </si>
  <si>
    <t>supply and delivery of various construction materials for Office Guard House</t>
  </si>
  <si>
    <t>Metal Fabrication(business, tricycle,pUmpboat, yellow)</t>
  </si>
  <si>
    <t>Supply and Delivery of Medical Supplies and Laboratory Instruments</t>
  </si>
  <si>
    <t>Procurement of Anti-Rabies Vaccine</t>
  </si>
  <si>
    <t>CLINIC MEDICAL SUPPLIES</t>
  </si>
  <si>
    <t>PROCUREMENT OF SUPPLY AND DELIVERY OF MATERIALS FOR PIPE LAYING OF ADDITIONAL DISTRIBUTION/ MAIN LINES IN SITIO SAN ISIDRO, BRGY. SAN PABLO AND BRGY. NAGBUNGA ALONG NATIONAL HIGHWAY GOING TO NAGBUNGA</t>
  </si>
  <si>
    <t>Construction of Ticket Booth Barangay Cau-ayan, Pototan, Iloilo</t>
  </si>
  <si>
    <t>Purchase of Generator Set to for the use of Municipal Slaughterhouse, Brgy. Pandan, Lambunao, Iloilo</t>
  </si>
  <si>
    <t>Portable Foot Operated Hand Washing Dispenser</t>
  </si>
  <si>
    <t>Supply and Delivery of One (1) Lot Various Materials for the Improvement of Municipal Building</t>
  </si>
  <si>
    <t>Procurement of construction materials for Concreting of Road @ Purok 2 &amp; 3 (Pagaddut-Celestino Portion), San Quintin</t>
  </si>
  <si>
    <t>Procurement of 3 set Door Knob etc.</t>
  </si>
  <si>
    <t>Supply and Delivery of Materials to be used for the Disaster Awareness Program 2020 in the City of San Fernando, Pampanga</t>
  </si>
  <si>
    <t>REPAIR OF PERIMETER FENCE (SEAL OF EXCELLENCE)</t>
  </si>
  <si>
    <t>Purchase of “2nd Hand Pick up” Vehicle</t>
  </si>
  <si>
    <t>Improvement of Water System</t>
  </si>
  <si>
    <t>Provision of Janitorial Supplies for 3rd Quarter, 2020</t>
  </si>
  <si>
    <t>Purchase of Copier and Toner for Botoc Elementary School</t>
  </si>
  <si>
    <t>Electrical Supplies</t>
  </si>
  <si>
    <t>INF-ITB 20-002 - Installation of Street Lights.</t>
  </si>
  <si>
    <t>Supply and Delivery of Goods for Office Supplies of Hqs,9ID,PA (59,007.00)</t>
  </si>
  <si>
    <t>LOT 2 - MOBILE PREPAID PLAN OF THE PROCUREMENT OF TWO (2) YEAR SUBSCRIPTION FOR TWO (2) LOTS OF MOBILE POSTPAID AND PREPAID PLAN FOR PAGCOR OFFICERS AND KEY PERSONNEL - ITB NO. PB20-04-034COR</t>
  </si>
  <si>
    <t>Bid-CCTV-006-20</t>
  </si>
  <si>
    <t>Supply &amp; Delivery of Construction Materials &amp; Supplies for the Rehabilitation of Water System</t>
  </si>
  <si>
    <t>Procurement of supply and delivery of Tractor Tire</t>
  </si>
  <si>
    <t>PROCUREMENT OF SOUND SYSTEM</t>
  </si>
  <si>
    <t>Research Fellow for 6 months</t>
  </si>
  <si>
    <t>PR 20-01-0105</t>
  </si>
  <si>
    <t>MG-PLM20-097 - MAINTENANCE OF DIESEL ENGINE 2 MAINTENANCE OF BLOWER FAN AT POWERHOUSE</t>
  </si>
  <si>
    <t>Repair of STP Generator Set</t>
  </si>
  <si>
    <t>GOODS-2020-06-78 PROCUREMENT OF TONER AND OTHER PARTS FOR COPIER MACHINE USE.</t>
  </si>
  <si>
    <t>Procurement of construction materials for Concreting of Road at Cemetery Site, San Quintin</t>
  </si>
  <si>
    <t>CLINIC ROOM REPAIR</t>
  </si>
  <si>
    <t>Procurement of Hardware/Construction Supplies</t>
  </si>
  <si>
    <t>Procurement of 2 cu.m Gravel Base 1"-2 dia</t>
  </si>
  <si>
    <t>Concreting of Local Road at Barangay Angustia Going to Brgy. Salvacion Que Gatos, Nabua, Camarines Sur</t>
  </si>
  <si>
    <t>Improvement of  Day Care Center</t>
  </si>
  <si>
    <t>UPS and AVR(20-05-070D)</t>
  </si>
  <si>
    <t>Construction of Multi-Purpose Hall</t>
  </si>
  <si>
    <t>MG-PLM20-105 - FORTY FIVE (45) DAYS PREVENTIVE MAINTENANCE WORKS FOR GENERATING NO. 1 AND ITS RELATED AUXILIARIES (MECHANICAL HELPERS)</t>
  </si>
  <si>
    <t>Office supplies and devices</t>
  </si>
  <si>
    <t>PURCHASE OF LAPTOP COMPUTERS</t>
  </si>
  <si>
    <t>Purchase of Medicine for MHO Health Program (Philhealth Capitation)</t>
  </si>
  <si>
    <t>PUCHASE OF TOILET BOWL</t>
  </si>
  <si>
    <t>Procurement of 13 cu.m Gravel Base 1"-2 dia etc.</t>
  </si>
  <si>
    <t>Purchase of various Furniture for use at the Sangguniang Bayan Office of the Municipality of Dingras, Ilocos Norte.</t>
  </si>
  <si>
    <t>Backyard Gardening in support to Covid 19</t>
  </si>
  <si>
    <t>Research Associate for 6 months</t>
  </si>
  <si>
    <t>Supply and Delivery of EMED 1st Quarter 2020 Office Supplies</t>
  </si>
  <si>
    <t>Procurement of Division Personnel Load june 2020</t>
  </si>
  <si>
    <t>PROVISION OF 3 IN 1 PRINTER FOR EVERY GRADE LEVEL</t>
  </si>
  <si>
    <t>Submersible Pump &amp; Motor 20-06-03-01</t>
  </si>
  <si>
    <t>Supply and Delivery of Various Laboratory Supplies (PR#20-05-0695)</t>
  </si>
  <si>
    <t>PROCUREMENT AND DELIVERY OF CARDS FOR SCHOOLS DIVISION OFFICE USE</t>
  </si>
  <si>
    <t>Concreting of Local Road, Sitio Sogod, Sto. Domingo, Nabua, Camarines Sur</t>
  </si>
  <si>
    <t>Supply and Delivery of Brand New Electric Generator Set (Trailer Mounted)</t>
  </si>
  <si>
    <t>Construction of Drainage Canal</t>
  </si>
  <si>
    <t>Supply and Delivery of Mist Blower (Covid19 Isolation Unit)</t>
  </si>
  <si>
    <t>HRMO- Supply and Delivery of Catering Services</t>
  </si>
  <si>
    <t>Purchase of Hand Sanitizer</t>
  </si>
  <si>
    <t>Construction of Lanzones Park</t>
  </si>
  <si>
    <t>Agricultural Supplies of Trust Funds in 2020</t>
  </si>
  <si>
    <t>Drugs-Potassium Chloride Inj. 2MEQ/ML, 20ml &amp; 6 others (1st Postng)</t>
  </si>
  <si>
    <t>Purchase and delivery of Tools and equipment for SMAW NC II</t>
  </si>
  <si>
    <t>OFFICE EQUIPMENT AND OTHER MATERIALS (President's Cotatge)</t>
  </si>
  <si>
    <t>Purchase of Medical Equipment and Supplies</t>
  </si>
  <si>
    <t>Supply and Delivery of Drugs and Medicines</t>
  </si>
  <si>
    <t>Supply and Delivery of Organic Fertilizer (City Agriculture Office)</t>
  </si>
  <si>
    <t>SPARE PARTS USED FOR GRADER &amp; COMPACTOR</t>
  </si>
  <si>
    <t>WASHING &amp; BRUSHING</t>
  </si>
  <si>
    <t>Various Air conditioning Unit</t>
  </si>
  <si>
    <t>Vehicle parts and Accessories(20-06-080GSO)</t>
  </si>
  <si>
    <t>Purchase of Non-Common Janitorial Supplies for Various Offices and Units (First Quarter of 2020)</t>
  </si>
  <si>
    <t>Procurement of 2 Tire 265/60R 18 At3 etc.</t>
  </si>
  <si>
    <t>PROVISION OF THERMAL SCANNER</t>
  </si>
  <si>
    <t>Expansion Project - Brgy. Baringin Sur</t>
  </si>
  <si>
    <t>PHO-2020-036 Rebidding INVITATION TO BID FOR THE PROCUREMENT OF VARIOUS IT SOFTWARE, EQUIPMENT, AND MATERIALS</t>
  </si>
  <si>
    <t>Construction of Rain Water Collectors in Public Facilities</t>
  </si>
  <si>
    <t>Repair &amp; Maintenance for Firetruck for MMO</t>
  </si>
  <si>
    <t>20FH0096 - REPAIR/MAINTENANCE OF DPWH BUILDING, MAIN OFFICE BUILDING, CATANDUANES DEO, VIRAC, CATANDUANES</t>
  </si>
  <si>
    <t>Sari-sari Store</t>
  </si>
  <si>
    <t>supply and delivery of various construction materials for the extension of Protection dike at Barangay Tawagan</t>
  </si>
  <si>
    <t>Supply and Delivery of Hybrid Corn Seeds</t>
  </si>
  <si>
    <t>Improvement of Multi Purpose Hall</t>
  </si>
  <si>
    <t>Procurement of 1 roll 63mm PE pipe SDR 11(60 meters Length) etc.</t>
  </si>
  <si>
    <t>Const. of Sidewalk (1 Job), Loberiza St. (Going to National Highway), Lambunao, Iloilo</t>
  </si>
  <si>
    <t>PROCUREMENT OF ONE (1) UNIT RESCUE VEHICLE (VAN)</t>
  </si>
  <si>
    <t>Invitation to bid for Completion of Public Toilet</t>
  </si>
  <si>
    <t>Supply and Delivery of  Animal Dispersal (Chicken) - MAO</t>
  </si>
  <si>
    <t>SUPPLY &amp; DELIVERY OF MATERIALS FOR THE CONSTRUCTION OF STORAGE ROOM AT ESC TUNASAN</t>
  </si>
  <si>
    <t>2nd Posting: Purchase of Office Equipment used in the Office of the Municipal Mayor</t>
  </si>
  <si>
    <t>IB No. 2005-299 Proc. of Goods (Water Meter and Others)(Rebid)</t>
  </si>
  <si>
    <t>Hog Fattening</t>
  </si>
  <si>
    <t>GOV-20-0259-NP (SV) / Purchase of Office Supplies</t>
  </si>
  <si>
    <t>TO BE USED IN TREASURER'S OFFICE</t>
  </si>
  <si>
    <t>Supply and Delivery of Smartphone (Sangguniang Bayan)</t>
  </si>
  <si>
    <t>Purchase and Delivery of 2 unit Mini Elf(Multi-Purpose Vehicle)</t>
  </si>
  <si>
    <t>2020-06-269 PROCUREMENT OF OFFICE EQUIPMENT - SPM Estanislao N. Quelitano, Jr. (SP)</t>
  </si>
  <si>
    <t>20PF0067: Construction / Rehabilitation of Flood Mitigation Facilities within Major River Basins &amp; Principal Rivers: Construction of Baney Flood Control</t>
  </si>
  <si>
    <t>Meals &amp; Snacks for use during the visit of different visitor's of CMO, Surigao City</t>
  </si>
  <si>
    <t>Rehabilitation Project - Brgy. Turayong extension</t>
  </si>
  <si>
    <t>SUPPLY AND DELIVERY OF  MATERIALS FOR THE RENOVATION/ CONSTRUCTION OF AGTA MUSEUM IN PALAUI ISLAND, SAN VICENTE, STA. ANA. CAGAYAN</t>
  </si>
  <si>
    <t>7 pcs. Jetmatic Pumphead</t>
  </si>
  <si>
    <t>PURCHASE OF BIOENZYME SOLUTION</t>
  </si>
  <si>
    <t>Supply &amp; Delivery of Office Supplies and Consumables</t>
  </si>
  <si>
    <t>COVID SUPPLIES AND EQUIPMENT</t>
  </si>
  <si>
    <t>20GFH0011 - SUPPLY AND DELIVERY OF OFFICE EQUIPMENT FOR USE IN THE DPWH-DEO CATANDUANES, VIRAC, CATANDUANES (PR#20-06-025 DATED 6/8/2020)</t>
  </si>
  <si>
    <t>IB No. 2003-206 Proc. of Goods (Operational Tent)(Rebid)</t>
  </si>
  <si>
    <t>SVP (2) 966-2020 Mopbucket wringer</t>
  </si>
  <si>
    <t>Repair/renovation of makeshift building utilized as Budget and Finance, JHS/SHS Registrar's Office</t>
  </si>
  <si>
    <t>Purchase of Office Supplies(PPMO, SUSIMO's Calinog, Lambunao &amp; Janiuay) of PENRO, Iloilo  for the 2nd quarter CY 2020</t>
  </si>
  <si>
    <t>PROVISION OF TWO WAY RADIO</t>
  </si>
  <si>
    <t>Purchase of Construction Supplies and Materials</t>
  </si>
  <si>
    <t>Renovation of the One-Stop-Shop_June 22, 2020</t>
  </si>
  <si>
    <t>purchase materials use for the BCC school maintenance</t>
  </si>
  <si>
    <t>supply and delivery of 2400 liters diesel fuel for filling of barangay site of barangay Poblacion</t>
  </si>
  <si>
    <t>IMPROVEMENT OF STA. MARCELA MULTI-PURPOSE BUILDING (EVACUATION CENTER)</t>
  </si>
  <si>
    <t>Plants</t>
  </si>
  <si>
    <t>DENR-9 HOSTEL CONSTRUCTION SUPPLIES</t>
  </si>
  <si>
    <t>PURCHASE OF IT EQUIPMENTS, MUN. BUDGET OFFICE</t>
  </si>
  <si>
    <t>SMALL VALUE PROCUREMENT OF 2 PERIMETER FENCE</t>
  </si>
  <si>
    <t>Stand Mixer and Non-sticky fry pan(20-06-020RGL)</t>
  </si>
  <si>
    <t>Drugs-Metronidazole IV Infusion 3mg/ml, 100ml &amp; 5 others (2nd Posting)</t>
  </si>
  <si>
    <t>Tire,Head Light</t>
  </si>
  <si>
    <t>PURCHASE OF OFFICE SUPPLIES AND EQUIPMENT FOR IPO</t>
  </si>
  <si>
    <t>OPA-FISHERIES-2020-0163 Rebidding INVITATION TO BID FOR THE PROCUREMENT OF P.E. ROPES, SOFT TIE, AND STYROFOAM BALLS</t>
  </si>
  <si>
    <t>PROCUREMENT IT EQUIPMENT FGIS CANTINGAS RIS</t>
  </si>
  <si>
    <t>STAINLESS STEEL TREY</t>
  </si>
  <si>
    <t>Semi Expendable-ICT EQUIP-PKOC-PhP96,000.00)</t>
  </si>
  <si>
    <t>20PF0068: Construction / Rehabilitation of Flood Mitigation Facilities within Major River Basins &amp; Principal Rivers: Construction of Copias Flood Control</t>
  </si>
  <si>
    <t>PURCHASE OF MEDICAL SUPPLIES FOR THIRD QUARTER</t>
  </si>
  <si>
    <t>System-wide Insurance Coverage for Students and Complimentary Insurance Coverage for ISPSC Employees</t>
  </si>
  <si>
    <t>Local Bridge Rehabilitation/Improvement at Brgy. Jimenez-Torres Mapandan, Pangasinan (Phase 2)</t>
  </si>
  <si>
    <t>(VJLN - GP) SUPPLY AND DELIVERY OF SEEDS FOR FORAGE PRODUCTION</t>
  </si>
  <si>
    <t>Supply and Liquid/Gas Chlorine for 2nd Quarter</t>
  </si>
  <si>
    <t>Laptop</t>
  </si>
  <si>
    <t>Supply &amp; Delivery of Tires &amp; Battery for Heavy Equipment/Vehicle, Office of the Municipal Mayor, Buenavista, Quezon</t>
  </si>
  <si>
    <t>1 unit Comprehensive School Management Suite (ISM-SUITE) for TPC Registrar's Office Data Server (School Management System)</t>
  </si>
  <si>
    <t>FOD-R-20-2203: Procurement of One (1) Unit Multi-rotor Drone to be used for Documentation of Rice Activities and Rapid Assessment of Damages on Rice during Calamities</t>
  </si>
  <si>
    <t>Printer and Computer stand(20-05-085HRMO)</t>
  </si>
  <si>
    <t>Installation of Solar Power System</t>
  </si>
  <si>
    <t>supply and delivery 2000 liters diesel fuel for the filling of barangay site of barangay Poblacion</t>
  </si>
  <si>
    <t>Supply and Delivery of I.T. Equipment</t>
  </si>
  <si>
    <t>Android Cellphone</t>
  </si>
  <si>
    <t>Supply and delivery of various prepaid cards for Pag-IBIG Fund TAS CL I &amp; II for the 2nd quarter of 2020</t>
  </si>
  <si>
    <t>IT EQUIPMENT (MMO)</t>
  </si>
  <si>
    <t>Supply and Delivering of Office Supplies</t>
  </si>
  <si>
    <t>PURCHASE OF MEDICINE SUPPLIES FOR THIRD QUARTER</t>
  </si>
  <si>
    <t>(VJLN - GP) SUPPLY AND DELIVERY OF BALED RICE STRAW AND CORN SILAGE</t>
  </si>
  <si>
    <t>Supply and Delivery of Seedlings (Cacao &amp; Banana Com) - MAO</t>
  </si>
  <si>
    <t>Procurement of Reference Books &amp; Professional Journals (Lot 1-2)</t>
  </si>
  <si>
    <t>(VJLN - GP) SUPPLY AND DELIVERY OF MILK REPLACER AND PROBIOTIC BACTERIA MIX FOR BUFFALOES</t>
  </si>
  <si>
    <t>Procurement of Server for LAN for PES-ITD</t>
  </si>
  <si>
    <t>Supply and delivery of Misting Solution for Anti-Dengue Program of the  City of Sto. Tomas, Batangas</t>
  </si>
  <si>
    <t>Dredging and Diversion Along Portion of Viray River at Brgy. Poblacion East and San Maximo, Natividad, Pangasinan</t>
  </si>
  <si>
    <t>Materials for the Proposed Access Route/Footpath going to Identified Infectious Facility (Geriatric bldg.) 2020-073</t>
  </si>
  <si>
    <t>Construction/Rehabilitation of Drainage System Along Pandan Avenue,  Mapandan, Pangasinan (L/S)</t>
  </si>
  <si>
    <t>PURCHASE OF PORTABLE UHF/VHF RADIO</t>
  </si>
  <si>
    <t>RFQ - Assorted Office Equipment for use for Maintenance Activities - PR No. 2020-06-0119</t>
  </si>
  <si>
    <t>Materials needed for the Green House under one of the Secretary Lapeña's directives on Mini-Organic Farming at Provincial Training Center - SIMTRAC.</t>
  </si>
  <si>
    <t>Procurement of Desktop and Netbook for the Assessors Office</t>
  </si>
  <si>
    <t>Supply and Delivery of Sodium Hypochlorite (PR#20-05-0706)</t>
  </si>
  <si>
    <t>PROCUREMENT IT EQUIPMENT FGIS BBRIS</t>
  </si>
  <si>
    <t>use for sanitation</t>
  </si>
  <si>
    <t>Supply and Delivery and Installation of ICT Equipment and Supplies at SDSSU Tandag Campus</t>
  </si>
  <si>
    <t>Meals &amp; Snacks for use in different Conferences of the City Mayor's Office, S.C.</t>
  </si>
  <si>
    <t>PROVISION OF PRESSURE WATER TANK SET</t>
  </si>
  <si>
    <t>Supply and delivery of Goods for R&amp;M Building (SOQ CR) of OG4,9ID,PA (110,000.00)</t>
  </si>
  <si>
    <t>RFQ - ICT Equipments</t>
  </si>
  <si>
    <t>Fertilizer(20-06-035RD)</t>
  </si>
  <si>
    <t>Bid No. 20-0215 - PROCUREMENT OF RESCUE VEHICLE - MDRRMO (MUNICIPAL DISASTER RISK REDUCTION MANAGEMENT OFFICE)</t>
  </si>
  <si>
    <t>Procurement of 4 unit Cabinet divider etc.</t>
  </si>
  <si>
    <t>Proposed Covered Side Walk With Box Culvert, Curb &amp; Gutter – Phase</t>
  </si>
  <si>
    <t>CONSTRUCTION OF BASECO BOARDWALK PHASE 2 AND PHASE 3 (SECTION 3.2) WITH VIEW DECK (PR No. 2020-395)</t>
  </si>
  <si>
    <t>Procurement of construction materials for Concreting of Road at Sitio Bang-ayan, Sta. Maria</t>
  </si>
  <si>
    <t>MATERIALS FOR THE REHABILITATION OF WATER SUPPLY SYSTEM</t>
  </si>
  <si>
    <t>UPS 800-1200VA Back up Batteries,Collector's Cashbooks,Book Binders</t>
  </si>
  <si>
    <t>Procurement of construction materials for Concreting of Road Purok 3 Saguibo area, San Quintin</t>
  </si>
  <si>
    <t>Purchase of Office Equipment used in the Office of the MSWD</t>
  </si>
  <si>
    <t>Purchase &amp; Delivery of Medical Supplies for use in different Schools in Barangays in Preparation for Brigada Eskwela 2020, Surigao City</t>
  </si>
  <si>
    <t>Supply and Delivery of One (1) Lot Various Materials for Repair and Maintenance of Artesian Wells, Reservoir, Pumping Stations and Conduits</t>
  </si>
  <si>
    <t>PROPOSED FARM TO MARKET ROAD CONCRETING   (MACATCATUIT – SUBOL ROAD, GUIMBA, NUEVA ECIJA)</t>
  </si>
  <si>
    <t>Purchase of 1 set Tempered Glass Door</t>
  </si>
  <si>
    <t>Purchase of Office Supplies and Consumables</t>
  </si>
  <si>
    <t>20H00062 - Construction/Repair/Rehabilitation/Improvement of Various Infrastructure including Local Projects-Structural Improvement of Public Buildings and Construction of Evacuation Centers-Construct</t>
  </si>
  <si>
    <t>Repair/Improvement of John Syllvannus Leech Training Room_June 22, 2020</t>
  </si>
  <si>
    <t>PROCUREMENT OF SUPPLIES/MATERIALS FOR THE IMPROVEMENT OF ELIAS K. BULUT MEMORIAL GYMNASIUM (ELECTRICAL WIRING, LIGHTING, MAIN SERVICE)</t>
  </si>
  <si>
    <t>purchase of urea fertilizer use for rice farmers benefeciaries</t>
  </si>
  <si>
    <t>Purchase of Construction Materials for Pharmacy Clinic</t>
  </si>
  <si>
    <t>medical oxygen for Legazpi City Hospital use</t>
  </si>
  <si>
    <t>VET-42 Supply and Delivery of Animals Supplies</t>
  </si>
  <si>
    <t>GENERAL MERCHANDISE</t>
  </si>
  <si>
    <t>BEMO-2020-0162 Rebidding INVITATION TO BID FOR THE PROCUREMENT OF LABOR, MATERIALS, AND EQUIPMENT FOR THE CONSTRUCTION OF NURSERY AND VERMI SHED HOUSES AT BIO-DIVERSITY COMPLEX, ROXAS, BILAR, BOHOL</t>
  </si>
  <si>
    <t>600 pc AUTOFILL DISPOSABLE CHAMBER</t>
  </si>
  <si>
    <t>RFQ - Assorted Construction Materials for use for Flood Control Activities - PR No. 2020-06-0113 dated 6-15-20</t>
  </si>
  <si>
    <t>purchase of hybrid rice seeds use for rice farmers benefeciaries</t>
  </si>
  <si>
    <t>Reconditioning of Pump In Culianin Pump Station</t>
  </si>
  <si>
    <t>Repair, Parts and accessories of SJB 723</t>
  </si>
  <si>
    <t>Bid No. 20-0265 - PROCUREMENT OF OFFICE SUPPLIES - MTO (MUNICIPAL TREASURER'S OFFICE)</t>
  </si>
  <si>
    <t>Supply and Delivery of  LCD Projector - SBO</t>
  </si>
  <si>
    <t>Supply Labor and Materials for the Concreting of Roads at Different Sitios of the Municipality of Tabuelan, Cebu</t>
  </si>
  <si>
    <t>Procurement of construction materials for Construction of MPP at near Docil Jacinto Residence, Namillangan</t>
  </si>
  <si>
    <t>Water Service Connection Materials/Fittings</t>
  </si>
  <si>
    <t>Supply Materials and Installation of two (2) unit Electronic Door Lock for Cashier Office at the Lobby DENR Main Bldg.</t>
  </si>
  <si>
    <t>Acquisition of 6 units Motorcycle</t>
  </si>
  <si>
    <t>Completion of Covered Court</t>
  </si>
  <si>
    <t>RFQ - Assorted Construction Materials for use for Flood Control Activities - PR No. 2020-06-0114 dated 6-15-20</t>
  </si>
  <si>
    <t>Purchase of Janitorial Supplies</t>
  </si>
  <si>
    <t>OPA-RASS-2020-0164 Rebidding INVITATION TO BID FOR THE PROCUREMENT OF PVC PIPES, PVC PIPE CLEAN OUT SET, PVC ELBOW, AND PVC PIPE SOLVENT</t>
  </si>
  <si>
    <t>Procurement of construction materials for Improvement of Drainage LGU grounds, Sta. Maria</t>
  </si>
  <si>
    <t>Tourism-Supply and Delivery of 1 unit split type air con</t>
  </si>
  <si>
    <t>Electrical repair and maintenance for different offices of Municipal Building</t>
  </si>
  <si>
    <t>TABLE FURNITURES</t>
  </si>
  <si>
    <t>Procurement of Infrastructure and Construction Supplies RFQ No. 415</t>
  </si>
  <si>
    <t>Construction of Wheel Path Pavement GAP of Barangay Mat-I</t>
  </si>
  <si>
    <t>RFQ No. 20-06-129 for PR No. 20-06-125`</t>
  </si>
  <si>
    <t>SUPPLY &amp; DELIVERY OF 1 UNIT OF COMPUTER LAPTOP - GOVERNOR'S OFFICE</t>
  </si>
  <si>
    <t>20 boxes Ink Advantage Black 678; 20 boxes Ink Advantage Tri-Color 678</t>
  </si>
  <si>
    <t>PROCUREMENT OF EQUIPMENT FOR COE PHYSICS &amp; CHEMISTRY LABORATORY</t>
  </si>
  <si>
    <t>PURCHASE OF DIGITAL DUPLICATOR</t>
  </si>
  <si>
    <t>Completion of Evacuation Center (Phase 1)</t>
  </si>
  <si>
    <t>Construction of River Dike</t>
  </si>
  <si>
    <t>Furniture(20-06-125VPAF)</t>
  </si>
  <si>
    <t>SUPPLY AND DELIVERY OF VARIOUS SERVICE CONNECTIONS/FITTINGS MATERIALS FOR SABLAYAN WATER DISTRICT</t>
  </si>
  <si>
    <t>PROCUREMENT OF IT EQUIPMENT BRIP</t>
  </si>
  <si>
    <t>Supply and Delivery of Meal and Snack</t>
  </si>
  <si>
    <t>Supply and Delivery of Airconditioning Unit for the Municipal Budget Office, Accounting Office and Municipal Planning and Development Office</t>
  </si>
  <si>
    <t>Supply and Delivery of Various Medical Supplies (PR#20-05-0699)</t>
  </si>
  <si>
    <t>PROCUREMENT OF CONSTRUCTION MATERIALS AND SUPPLIES USE FOR CONSTRUCTION OF PERIMETER FENCE – WATER SOURCE @ BARANGAY CALICAN</t>
  </si>
  <si>
    <t>Procurement of Renewal of Antivirus License for PES-ITD</t>
  </si>
  <si>
    <t>Flood Control Project: Desilting/Channel Improvement of Talimundung River</t>
  </si>
  <si>
    <t>PEO-2020-0160 Rebidding INVITATION TO BID FOR THE PROCUREMENT OF AGGREGATE SUBBASE COURSE (ANAPOG)</t>
  </si>
  <si>
    <t>IMPROVEMENT/ MAINTENANCE OF EXISTING MUN./BRGY. ROADS</t>
  </si>
  <si>
    <t>Repair/Improvement of PPCD &amp; Official Gazette Balcony_June 22, 2020</t>
  </si>
  <si>
    <t>PEO-2020-0161 Rebidding INVITATION TO BID FOR THE PROCUREMENT OF AGGREGATE SUBBASE COURSE (ANAPOG)</t>
  </si>
  <si>
    <t>SUPPLY, DELIVERY AND INSTALLATION OF ONE (1) UNIT SUBMERSIBLE PUMP AND MOTOR WITH ACCESSORIES FOR SABLAYAN WATER DISTRICT</t>
  </si>
  <si>
    <t>101-20-06-RFQ0683 - USE FOR CAFGU FOOD SUPPLIES FOR THE MONTH OF AUGUST 2020</t>
  </si>
  <si>
    <t>RAED-20-1072(R1): Procurement of Various Office Supplies to be used in the DA-RFO7 offices in support to the Implementation of Various Projects</t>
  </si>
  <si>
    <t>CONVERSION OF BFP REGIONAL OFFICE 1 CANTEEN TO COVID-19 FACILITY FOR RECRUITMENT/PROMOTION AND OTHER PURPOSES</t>
  </si>
  <si>
    <t>Procurement of construction materials for Installation of RCPC @ Purok 5, Potia</t>
  </si>
  <si>
    <t>REPAIR AND MAINTENANCE OF VEHICLE (MDRRMO)</t>
  </si>
  <si>
    <t>Common Instructional Materials and Office Supplies - CANDAPING NHS</t>
  </si>
  <si>
    <t>Fire Extinguishers</t>
  </si>
  <si>
    <t>20H00063 - Construction/Repair/Rehabilitation/Improvement of Various Infrastructure including Local Projects-Structural Improvement of Public Buildings and Construction of Evacuation Centers-Construct</t>
  </si>
  <si>
    <t>RENEGOTIATION for the Procurement of Supply &amp; Delivery of Various NSIC Approved Rice Certified Seeds</t>
  </si>
  <si>
    <t>SUPPLY AND DELIVERY OF 370 BAGS CEMENT FOR THE IMPROVEMENT OF SAWMILL-BULAN ROAD</t>
  </si>
  <si>
    <t>20H00064 - Construction/Repair/Rehabilitation/Improvement of Various Infrastructure including Local Projects-Structural Improvement of Public Buildings and Construction of Evacuation Centers-Construct</t>
  </si>
  <si>
    <t>Procurement of construction materials for Construction of Riprap Box culvert @ Purok 6, San Jose</t>
  </si>
  <si>
    <t>Procurement of Services (Chest X-ray) for the Physical/Laboratory Tests of Municipal Officials and Employees, LGU-Tagudin, Ilocos Sur</t>
  </si>
  <si>
    <t>20GCF0001 Procurement of Fuel/Fuel Additives &amp; Anti-Corrosive for use in Desilting of Digmala River, Bongabon, Nueva Ecija and for use in Transporting Medical Workers in Relation with COVID-19 and Typ</t>
  </si>
  <si>
    <t>Procurement of construction materials for Concreting of Road at Mabini Street, Sta. Maria</t>
  </si>
  <si>
    <t>101-20-06-RFQ0684 - INTENDED FOR PUBLICATION OF MUNICIPAL ORDINANCE OF THE MUNICIPALITY OF MARAGUSAN, DAVAO DE ORO.</t>
  </si>
  <si>
    <t>Purchase and Delivery of Fabrication of Two (2) Units Steel Bleacher.</t>
  </si>
  <si>
    <t>Procurement of Labor and Materials for the Installation of a Concrete Permanent Wash Sink with Three (3) Electronic Sensor Type Faucet and Battery Operated Soap Dispenser to address the needs of the C</t>
  </si>
  <si>
    <t>PROPOSED CONSTRUCTION AND REPAIR OF BOX CULVERT</t>
  </si>
  <si>
    <t>Siphoning of Septic Tanks of Various Offices/Building of the Municipality</t>
  </si>
  <si>
    <t>20AD0096 : Construction (Completion) of Candon City Hospital        (Satellite ITRMC) Buildings, Candon City, Ilocos Sur</t>
  </si>
  <si>
    <t>Cabanatuan Official Website (CMO)</t>
  </si>
  <si>
    <t>Holographic Sticker for 1st sem, ID Card, Hiti Ribbon(20-06-0168TC)</t>
  </si>
  <si>
    <t>Supply and Delivery of Two unit Computer Desktop - MCRO</t>
  </si>
  <si>
    <t>Supply and Delivery of Medical Equipment PR/RFQ# 2020-06-096</t>
  </si>
  <si>
    <t>Removal of collapsed retaining wall and replacing it with gabion wall (Road width incl. shoulder, 9.1m; Carriage width, 6.1m; Pavement thickness, 0.23m)</t>
  </si>
  <si>
    <t>SUPPLIES/EQUIPMENT FOR PREPAREDNESS, MITIGATION &amp; RESPONSE PURPOSES-029R</t>
  </si>
  <si>
    <t>RCEF PRINTING SERVICES OF HANDOUTS ( Sabog Tanim)</t>
  </si>
  <si>
    <t>Purchase of Megaphone</t>
  </si>
  <si>
    <t>Supply and Delivery of Office Furniture</t>
  </si>
  <si>
    <t>IMPROVEMENT OF BARANGAY HALL</t>
  </si>
  <si>
    <t>Installation of Electric Motor Pump and Gravity Tank</t>
  </si>
  <si>
    <t>Procurement of 6 unit Slotted Metal Rack</t>
  </si>
  <si>
    <t>CCTV INSTALLATION</t>
  </si>
  <si>
    <t>SAFETY AND HEALTH SUPPLIES FOR CONSTRUCTION</t>
  </si>
  <si>
    <t>INVITATION TO BID FOR NEGOTIATED PROCUREMENT SUPPLY AND DELIVERY OF ONE (1)  UNIT MOTOR VEHICLE (PASSENGER  VAN)</t>
  </si>
  <si>
    <t>Purchase of Materials for Improvement of Bureau of Fire Protection (BFP) Office and Garage, Pasil, Poblacion, Alicia, Bohol</t>
  </si>
  <si>
    <t>Supply and Delivery of One (1) Lot Other Machineries and Equipment</t>
  </si>
  <si>
    <t>Supply and Delivery of Rice and Sardines for distributions in various barangay of San Pedro City, Laguna under GCQ</t>
  </si>
  <si>
    <t>Request for Quotation for Laryngoscope per PR No. 20-05-0161</t>
  </si>
  <si>
    <t>RENEGOTIATION for the Procurement of Supply &amp; Delivery of Various NSIC Approved Hybrid Rice Seeds (Lot 4)</t>
  </si>
  <si>
    <t>FIREWALL SOFTWARE SUBSCRPTION SUPPORT FOR EPOQUE NET ACCESS</t>
  </si>
  <si>
    <t>20H00065 - Construction/Repair/Rehabilitation/Improvement of Various Infrastructure including Local Projects-Structural Improvement of Public Buildings and Construction of Evacuation Centers-Construct</t>
  </si>
  <si>
    <t>Procurement of construction materials for the improvement/const of Multi-Purpose Building</t>
  </si>
  <si>
    <t>SUPPLY AND DELIVERY OF VARIOUS MECHANICAL SPARE PARTS FOR UNIT 3 - 336 KW CUMMINS INTENDED FOR DOONG DPP</t>
  </si>
  <si>
    <t>Supply and Delivery of Two unit Computer Laptop - POPDEV OFFICE</t>
  </si>
  <si>
    <t>Labor Charge for Body Repair of Municipal Speed Boat 150HP including materials</t>
  </si>
  <si>
    <t>Labor Charge for General Overhauling of Municipal Speed Boat 150HP Engine</t>
  </si>
  <si>
    <t>PURCHASE OF EQUIPMENT AT EVACUATION CENTER- 031R</t>
  </si>
  <si>
    <t>Purchase of One Unit Dumptruck</t>
  </si>
  <si>
    <t>Procurement of Construction of Two (2) Units Steel Basketball Goal</t>
  </si>
  <si>
    <t>Procurement of Drug Testing Kit</t>
  </si>
  <si>
    <t>PHO-2020-038 PR2020-0150 INVITATION TO BID FOR THE PROCUREMENT OF BASIC LIFE SUPPORT AMBULANCE</t>
  </si>
  <si>
    <t>Supply and Delivery of Vehicle Parts and Accessories</t>
  </si>
  <si>
    <t>PROPOSED EMBANKMENT AND SLOPE PROTECTION</t>
  </si>
  <si>
    <t>RFQ#20-06-0115-Supply &amp; Delivery and Installation of Spare Parts for the School Vehicle (Van&amp;Pick-up)</t>
  </si>
  <si>
    <t>SUPPLY AND DELIVERY OF CONSTRUCTION MATERIALS FOR THE CONSTRUCTION OF RIC BUILDING</t>
  </si>
  <si>
    <t>Purchase of Raincoat</t>
  </si>
  <si>
    <t>BOC-CARES KIOSK</t>
  </si>
  <si>
    <t>PROCUREMENT OF OFFICE SUPPLIES AND IMPROVEMENT OF SCHOOL FACILITIES</t>
  </si>
  <si>
    <t>SUPPLY AND DELIVERY OF LOT 1- OFFICE SUPPLIES, LOT 2- ICT SUPPLIES LOT 3 &amp; 4- COPIER MACHINE AND LOT 5- OTHER SUPPLIES FOR USE AT THE OFFICE OF THE CHIEF, ADMIN AND FINANCE, GSS/PROPERTY UNIT, MAINTEN</t>
  </si>
  <si>
    <t>Supply and Delivery of Computer Laptop during conduct evaluation on Brgy. Nutrition Plan for 35 barangays 2020</t>
  </si>
  <si>
    <t>Repainting of School's Roof, Walls, and Ceilings</t>
  </si>
  <si>
    <t>LAND DEVELOPMENT AND CONSTRUCTION OF PUBLIC MARKET/TERMINAL/ROAD NETWORK</t>
  </si>
  <si>
    <t>Repair/Maintenance of Municipal Vehicle (Montero) @ Samal, Bataan</t>
  </si>
  <si>
    <t>PROCUREMENT OF MEMENTOS</t>
  </si>
  <si>
    <t>Service Provider for Online Competency-Based Assessment</t>
  </si>
  <si>
    <t>Drugs-Phenytoin 50mg/ml, 5ml (as sodium salt) (2nd Posting)</t>
  </si>
  <si>
    <t>Materials for Reconditioning of Pump</t>
  </si>
  <si>
    <t>Procurement of Supply and Labor and Materials for the Printing of Research Journal (PubliScience)</t>
  </si>
  <si>
    <t>RFQ 20GCJ0044-Supply of Diesel Fuel for the Operational Expenses of the District Engineering Office for the Implementation of Central Luzon Link Expressway (CLLEX) Project, Phase, I, Brgy. Balingcanaw</t>
  </si>
  <si>
    <t>RAED-20-1959(R1): Supply of Fuel and Oil for Vehicles at PATCO Bohol Province</t>
  </si>
  <si>
    <t>20H00066 - Construction/Repair/Rehabilitation/Improvement of Various Infrastructure including Local Projects-Structural Improvement of Public Buildings and Construction of Evacuation Centers-Construct</t>
  </si>
  <si>
    <t>MEALS AND SNACKS</t>
  </si>
  <si>
    <t>Procurement of construction materials for the improvement/const of Multi-Purpose Building (Accounting&amp;Agri Office)</t>
  </si>
  <si>
    <t>FUEL DEPOSIT FOR USE AT DA-ALBAY RESEARCH ND DEVELOPMENT CENTER (AES) MAYON CROSSING TABACO CITY</t>
  </si>
  <si>
    <t>GROCERY ITEMS</t>
  </si>
  <si>
    <t>PURCHASE OF 268 SACKS OF COMMERCIAL RICE &amp; 34 KILOS OF COMMERCIAL RICE</t>
  </si>
  <si>
    <t>RFQ RADIANT WARMER AND PHOTOTHERAPY</t>
  </si>
  <si>
    <t>Procurement of Medical Supplies for the Disaster and Emergency Response, LGU-Tagudin, Ilocos Sur</t>
  </si>
  <si>
    <t>Procurement of Service Vehicle for the Municipal Engineering Office</t>
  </si>
  <si>
    <t>Chemicals for Misting Operation at MDRRMC Office</t>
  </si>
  <si>
    <t>PREVENTIVE MAINTENANCE OF DATA CENTER UNINTERRUPTED POWER SUPPLY (DELTA 80KVA)</t>
  </si>
  <si>
    <t>Supply and Delivery of Goods for R&amp;M Building and Other Structure of HHSBN,9ID,PA (100,000.00)</t>
  </si>
  <si>
    <t>REPAIR/IMPROVEMENT OF WATER SYSTEM - PROCUREMENT OF MATERIALS</t>
  </si>
  <si>
    <t>Construction Prjojects</t>
  </si>
  <si>
    <t>EBMS -HAULING (5TH POSTING)</t>
  </si>
  <si>
    <t>Purchase of Multivitamins Syrups to be used bt RHU</t>
  </si>
  <si>
    <t>Hiring of Highly Confidential, Technical and Policy Determining Positions at the Office of the City Mayor on Consultancy Basis Pursuant to Applicable Laws and Subject to Availability of Funds Consonan</t>
  </si>
  <si>
    <t>Procurement of Rehabilitation of Barangay Road (Installation of RCPC)</t>
  </si>
  <si>
    <t>PURCHASE OF CUSTOMIZED BLACK COAT JACKET WITH LOGO</t>
  </si>
  <si>
    <t>Repair and Maintenance of Barangay Water Works System  @ Barangay TALAIBON, Ibaan, Batangas</t>
  </si>
  <si>
    <t>Purchase of Materials for Rehabilitation of Slaughter Building, Poblacion, Alicia, Bohol</t>
  </si>
  <si>
    <t>Publication of CAO 09-2020</t>
  </si>
  <si>
    <t>To Support The Logistical Requirements of OG1,1ID,PA</t>
  </si>
  <si>
    <t>SFP CELLCARDS FOR 2ND QTR CONTINUING FUND</t>
  </si>
  <si>
    <t>20H00067 - Construction/Repair/Rehabilitation/Improvement of Various Infrastructure including Local Projects-Structural Improvement of Public Buildings and Construction of Evacuation Centers-Construct</t>
  </si>
  <si>
    <t>Supply and Delivery of Laboratory Equipment for VSU Main Campus</t>
  </si>
  <si>
    <t>1 LOT IT SUPPLIES FOR CY 2020</t>
  </si>
  <si>
    <t>RFQ 16712</t>
  </si>
  <si>
    <t>Supply labor and materials for the Repair of Rain Shelter at Babatngon Experiment Station, Brgy. Bagong Silang, Babatngon, Leyte.</t>
  </si>
  <si>
    <t>Construction of Multi-Purpose Pavement - Purok 5</t>
  </si>
  <si>
    <t>Purchase of Agricultural Products for Agriculture Office @ Samal, Bataan</t>
  </si>
  <si>
    <t>SVP (2) Construction supplies</t>
  </si>
  <si>
    <t>Purchase of Distribution Line Materials for the Municipality of Basay</t>
  </si>
  <si>
    <t>Use of RHU for nutrition month celebration</t>
  </si>
  <si>
    <t>Surgical Mask</t>
  </si>
  <si>
    <t>PURCHASE OF MEDICAL SUPPLIES</t>
  </si>
  <si>
    <t>supplies for use at Albay Public Market</t>
  </si>
  <si>
    <t>Procurement of Brand New Backhoe</t>
  </si>
  <si>
    <t>REPAINTING OF BRGY GYM, BARANGAY HALL, DAY CARE CENTER &amp; WATER SYSTEM</t>
  </si>
  <si>
    <t>RFQ 20GCJ0045-Supply and Delivery of IT Equipment for use in the Construction Section.</t>
  </si>
  <si>
    <t>Procurement of Laboratory Supplies for use of Romblon Provincial Hospital, Odiongan, Romblon</t>
  </si>
  <si>
    <t>Completion of Multi Purpose Hall - Barangay Lawaan</t>
  </si>
  <si>
    <t>SUPPLY AND DELIVERY OF ONE (1) UNIT PICK-UP AND ONE (1) UNIT PASSENGER VAN</t>
  </si>
  <si>
    <t>Supply and Delivery of One (1) unit Motor Banca</t>
  </si>
  <si>
    <t>Supply and Delivery of Veterinary and Biologic Supply to be used by the Agricultural Office of the Municipality of Tabuelan, Cebu</t>
  </si>
  <si>
    <t>Procurement and Deployment of Artificial Reef (Phase VI)</t>
  </si>
  <si>
    <t>For the Clearing of Barangay Road at Barangay Samat, Bugallon, Pangasinan</t>
  </si>
  <si>
    <t>PURCHASE OF WATER ACTIVITY</t>
  </si>
  <si>
    <t>PURCHASE OF MEDICAL SUPPLIES (EXPANDED NBS KIT) USE AT CAUAYAN DISTRICT HOSPITAL, BARANGAY ISIO, CAUAYAN, NEGROS OCCIDENTAL</t>
  </si>
  <si>
    <t>Procurement of Computer Desk Top for use in the Romblon Police Provincial Office</t>
  </si>
  <si>
    <t>Purchase of Aircon Split Type</t>
  </si>
  <si>
    <t>Supply and Delivery of Computer Laptop - HRMO</t>
  </si>
  <si>
    <t>PURCHASE OF CONSTRUCTION MATERIALS</t>
  </si>
  <si>
    <t>Procurement of Enoxaparin NA 4000 iu prefille syringe</t>
  </si>
  <si>
    <t>SVP (2) 956-2020 LED</t>
  </si>
  <si>
    <t>Purchase of Medical Supplies for MHO Laboratory @ Samal,Bataan</t>
  </si>
  <si>
    <t>Supply and Delivery of Office Equipment and its Accessories</t>
  </si>
  <si>
    <t>Procurement of Materials for the support to Brigada Eskwela 2020</t>
  </si>
  <si>
    <t>Relocation/Lot Survey for the Proposed Site of LGU Naga</t>
  </si>
  <si>
    <t>CONSTRUCTION OF DAY CARE CENTER</t>
  </si>
  <si>
    <t>Procurement of Semi Automatic Saddle Stitching Machine</t>
  </si>
  <si>
    <t>Office Equipment Supplies  and Consumables for SB/Vice Mayor's Office</t>
  </si>
  <si>
    <t>AU 64 - Suppy &amp; Delivery of Car Parts for TOYOTA Pick-up plate number WSO 333 w/ PN NO-I1-1805</t>
  </si>
  <si>
    <t>For Improvement of Multi-purpose Bldg. (Installation Wall)</t>
  </si>
  <si>
    <t>SVP (2) 955-2020 Gloves</t>
  </si>
  <si>
    <t>Supply and Delivery of One (1) Lot Various Construction Materials &amp; Supplies for the Improvement of Tourist Facilities</t>
  </si>
  <si>
    <t>DELIVERY OF materials needed for MDT, Dropside &amp; Forklift.(SVP 20-0579).</t>
  </si>
  <si>
    <t>VEHICLE PARTS AND ACCESSORIES</t>
  </si>
  <si>
    <t>Delivery of Construction Materials</t>
  </si>
  <si>
    <t>Delivery of Computer</t>
  </si>
  <si>
    <t>ILD-L-20-2298: Procurement of Various Laboratory Supplies to be used at the Vaccine Production Laboratory</t>
  </si>
  <si>
    <t>Purchase of Office Furniture for MSWD Office @ Samal, Bataan</t>
  </si>
  <si>
    <t>CONSTRUCTION OF CONCRETE PATHWALK OF BRGY. SAN JOSE</t>
  </si>
  <si>
    <t>Procurement of Construction of MRF and RCA</t>
  </si>
  <si>
    <t>RFQ 20GCJ0046-Supply and Delivery of IT Equipment for use in the Quality Assurance Section.</t>
  </si>
  <si>
    <t>Labor and Materials for the Enhancement of Gymnasium Canopy - Talisay Campus</t>
  </si>
  <si>
    <t>Installation &amp; Maintenance of Street Lights @ Various Barangays of Urbiztondo, Pangasinan</t>
  </si>
  <si>
    <t>Supply and Delivery of Communication Equipment’s (Cellphone) -MMO-ABC</t>
  </si>
  <si>
    <t>Repair and Maintenance of Air conditioning Units of La Presidencia and COA Office</t>
  </si>
  <si>
    <t>To Support The Logistical Requirements of OG3,1ID,PA</t>
  </si>
  <si>
    <t>Supply and Delivery of  Drugs and Medicines RHU Use - MHO</t>
  </si>
  <si>
    <t>Procurement of Battery for Defibrillator Mindray DC 14.8V, 3000mAh, 44.4 Wh</t>
  </si>
  <si>
    <t>Gasoline/Diesel for Government Vehicle used at Mayor's Office</t>
  </si>
  <si>
    <t>SUPPLY AND DELIVERY OF CONSTRUCTION SUPPLIES FOR THE COMPLETION OF PRESIDENT'S HOUSING</t>
  </si>
  <si>
    <t>Purchase of Fuel for the Municipal Disaster Vehicles.</t>
  </si>
  <si>
    <t>For Mitsubishi Jeep UIV-509, Mitsubishi Jeep 074806 &amp; Mitsubishi Jeep UIV-539</t>
  </si>
  <si>
    <t>RFQ 16730 Services</t>
  </si>
  <si>
    <t>MATERIALS FOR THE REPAIR OF PUBLIC TERMINAL BUILDING</t>
  </si>
  <si>
    <t>PR NO. 1423 External Drive</t>
  </si>
  <si>
    <t>Job Order: Supply and planting of Bermuda Grass and others for site grading, stabilization and final cover of Dumpsite (Closure Plan) Phase I, Barangay Candau-ay.</t>
  </si>
  <si>
    <t>SUPPLY &amp; DELIVERY OF VARIOUS MECHANICAL SPARE PARTS FOR 163KW PERKINS GENSET MODEL: 2006-TGI, ENGINE NO.: 8B27396U86225V INTENDED FOR LIMASAWA DPP</t>
  </si>
  <si>
    <t>Supply and Delivery of Pipe and Fittings</t>
  </si>
  <si>
    <t>Improvement of Water Supply System (Intake Box, Pipe Concrete Blanket) Brgy. Bagte - Buenavista, Relocation Site, Quinapondan E. Samar (Re-bid)</t>
  </si>
  <si>
    <t>Supply and Delivery of Fuel, Oil and Lubricants</t>
  </si>
  <si>
    <t>Construction of Water Supply System Incorporating CC &amp; CV</t>
  </si>
  <si>
    <t>Rehabilitation of Pathway</t>
  </si>
  <si>
    <t>PREVENTIVE MAINTENANCE OF PBX SYSTEM AND VOICE GATEWAY</t>
  </si>
  <si>
    <t>SVP (2) 950-2020 Spray hook</t>
  </si>
  <si>
    <t>odor eliminator for SLF and Composting Facility use</t>
  </si>
  <si>
    <t>Subdivision Survey of Landholdings in Diff municipalities in Laguna Province</t>
  </si>
  <si>
    <t>For repair and maintenance of Nissan Frontier 2.75 with plate number SFM-460 assigned at CSWDO</t>
  </si>
  <si>
    <t>Purchase of Fuel, Oil and Lubricants for the Municipal Vehicle.</t>
  </si>
  <si>
    <t>CONSTRUCTION OF QUARANTINE FACILITIES</t>
  </si>
  <si>
    <t>Concreting of Batancaoa-Malaca Roadline with Bos Culvert, Urbiztondo, Pangasinan</t>
  </si>
  <si>
    <t>Office Supplies &amp; Consumables</t>
  </si>
  <si>
    <t>Supply and Delivery of medical &amp; laboratory supplies &amp; materials for the use of TBRC Laboratory / COVID-19 Testing Laboratory</t>
  </si>
  <si>
    <t>Purchase of Filing Cabinet (4 Layer Drawer)</t>
  </si>
  <si>
    <t>20KB0167   Construction of Multi-Purpose Building (Municipal Risk Reduction Management Office), Maramag, Bukidnon</t>
  </si>
  <si>
    <t>Supply and Delivery of One (1) unit Aircon Inverter 1.5HP Split Type Inverter for Municipal Treasury Office</t>
  </si>
  <si>
    <t>GOODS-2020-06-79 PROCUREMENT OF HARDWARE AND SUPPLIES FOR REPAINTING OF MOTORCYCLES.</t>
  </si>
  <si>
    <t>Installation of Additional Street Light</t>
  </si>
  <si>
    <t>Planting Materials</t>
  </si>
  <si>
    <t>Meals, Venue and Accommodation for the 2nd Level Training on 2020 Census of Population and Housing (2020 CPH)</t>
  </si>
  <si>
    <t>CAN - Various Spare Parts PR No. 653 DPS</t>
  </si>
  <si>
    <t>Supply, Installation and Commissioning of One (1) Unit Plasma Sterilizer</t>
  </si>
  <si>
    <t>REQUEST FOR QUOTATION- Diploma Holder with Gold Seal</t>
  </si>
  <si>
    <t>Construction and Improvement of Drainage System</t>
  </si>
  <si>
    <t>PURCHASE OF VETERINARY DRUGS AND EQUIPMENT FOR THE DEPARTMENT OF AGRICULTURE'S OFFICE</t>
  </si>
  <si>
    <t>SSS Bago Branch Diesel Fuel for the period July to December 2020</t>
  </si>
  <si>
    <t>06-2020-003 OSE - For use in the DPWH - Negros Occidental 1st District Engineering Office, Matab-ang, Talisay City, Negros Occidental (3rd Quarter, 2020)</t>
  </si>
  <si>
    <t>Supply and Delivery of Rescue , Safety Equipment  and Supplies</t>
  </si>
  <si>
    <t>SUPPLY AND DELIVERY OF VARIOUS MECHANICAL SPARE PARTS FOR 163 KW DALE PERKINS INTENDED FOR DOONG DPP</t>
  </si>
  <si>
    <t>Repair and Maintenance of Ford Trekker SFB 646</t>
  </si>
  <si>
    <t>Purchase of Venetian Blinds</t>
  </si>
  <si>
    <t>Supply and Delivery for Certified Rice seeds</t>
  </si>
  <si>
    <t>Procurement of Hybrid Sweet Corn</t>
  </si>
  <si>
    <t>Procurement of Air-Condition System for Municipal Circuit Trial Court of Naga, ZSP</t>
  </si>
  <si>
    <t>(PHRMO)  REQUEST FOR QUOTATION (RFQ) For the Procurement of Office Supplies (2nd t Quarter) For the Provincial Human Resource Management Office (PHRMO)</t>
  </si>
  <si>
    <t>Supply and Delivery of Rice for Disaster /Calamity</t>
  </si>
  <si>
    <t>medical supplies for Legazpi City Hospital use</t>
  </si>
  <si>
    <t>Supply and Delivery for Office Supplies</t>
  </si>
  <si>
    <t>PROCUREMENT OF GENERATOR SET</t>
  </si>
  <si>
    <t>20GB00013 (re-ad): Purchase, Delivery and Installation of One (1) Unit Bridge Design Software</t>
  </si>
  <si>
    <t>Job Order: Equipment rental for site grading, stabilization and final cover of Dumpsite (Closure Plan) Phase I, Barangay Candau-ay.</t>
  </si>
  <si>
    <t>20KB0168   Construction of Multi-Purpose Building (Kibawe Sports Complex) Brgy. East Kibawe, Kibawe, Bukidnon</t>
  </si>
  <si>
    <t>Procurement of Ladder</t>
  </si>
  <si>
    <t>Labor, Automotive Spare Parts GB3673</t>
  </si>
  <si>
    <t>Concreting of Barangay Road - Procurement of Materials</t>
  </si>
  <si>
    <t>Supply and Delivery of Office Equipment and Furnitures</t>
  </si>
  <si>
    <t>Procurement of various Other Supplies for used of PRDP Personnel</t>
  </si>
  <si>
    <t>20KB0169   Construction of Municipal Jail, Municipal Compound, Brgy. Libertad, Quezon, Bukidnon   :	Brgy. Libertad, Quezon, Bukidnon</t>
  </si>
  <si>
    <t>Concrete Pav. Construction Cambalidyo-San Sebastian</t>
  </si>
  <si>
    <t>Purchase of Rice to use as relief goods for COVID-19 Pandemic of Barangay Himamaa Bato, Leyte</t>
  </si>
  <si>
    <t>30 CU.M GRAVEL, LIMESTONE FOR USE ON PUBLIC TERMINAL OPERATIONS</t>
  </si>
  <si>
    <t>Supply of materials for steel gates of Cantilan IS</t>
  </si>
  <si>
    <t>Supply and Delivery of various supplies for official use of RAFL</t>
  </si>
  <si>
    <t>Procurement of Medicine Kit &amp; Supplies</t>
  </si>
  <si>
    <t>COMPLETION OF EVACUATION CENTER/MULTI PURPOSE BUILDING - PROCUREMENT OF MATERIALS</t>
  </si>
  <si>
    <t>Repair &amp; Maintenance of Multi-Purpose Building</t>
  </si>
  <si>
    <t>Printing Services (Tarpaulin)</t>
  </si>
  <si>
    <t>Construction of Two-Storey Legislative Session Hall (Expansion)</t>
  </si>
  <si>
    <t>Concrete Pav. Construction Suba Cambigong Barangay Road</t>
  </si>
  <si>
    <t>Supply and Delivery of Furniture (FAD)</t>
  </si>
  <si>
    <t>20B00052 (re-ad): Construction of Evacuation Center, Brgy. Lublub, Alfonso Castañeda, Nueva Vizcaya</t>
  </si>
  <si>
    <t>Barangay Road Concreting at Barangay LIbo, Bahay, Guimbangco-an, Dugo-an, Cagay, Banlot, Lamacan-Magcagong, Tubod, Mangyan, Sayao, Cantularoy, Bagacay and Bato, Sibonga, Cebu</t>
  </si>
  <si>
    <t>2020-06-S- Supply and Delivery of Road Materials use for Penetration Patching of bituminous Pavements along Various National Roads.</t>
  </si>
  <si>
    <t>PROCUREMENT OF MEDICAL SUPPLIES</t>
  </si>
  <si>
    <t>Supply and Delivery of Wheel Chairs and Canes</t>
  </si>
  <si>
    <t>INSTALLATION OF CLOSED CIRCUIT TELEVISION (CCTV) SYSTEM</t>
  </si>
  <si>
    <t>Purchase of Food for Solid Waste Awareness Activity</t>
  </si>
  <si>
    <t>PROCUREMENT AND DELIVERY OF CATERING SERVICES FOR RECRUITMENT OF FIRE OFFICER 1 (REGULAR QUOTA) FY 2020</t>
  </si>
  <si>
    <t>REHABILITATION &amp; REFURBISHING OF THE EXISTING FIRE PROTECTION SYSTEM OF DSPH located at DIGOS CITY, DAVAO DEL SUR all in accordance to plans, specifications and scope of work and the Green Procurement</t>
  </si>
  <si>
    <t>20KB0170   Construction of Multi-Purpose Building, Mindanaw Tribal School Inc., Purok 6A, Panadtalan, Maramag, Bukidnon</t>
  </si>
  <si>
    <t>Security Services for Davao del Sur State College (DSSC)</t>
  </si>
  <si>
    <t>Supply and Delivery Construction Materials for the Safe Closure and Rehabilitation of Existing open Dump site at Brgy. San Pedro, Quinapondan, Eastern Samar (Re-bid)</t>
  </si>
  <si>
    <t>3 units Negative Pressure Wound Therapy</t>
  </si>
  <si>
    <t>Laptop for COA</t>
  </si>
  <si>
    <t>Procurement of Medical Supplies and Equipment</t>
  </si>
  <si>
    <t>Concrete Pav. Construction Monteverde Barangay Road</t>
  </si>
  <si>
    <t>SMALL VALUE PROCUREMENT FOR THE GRADUATION</t>
  </si>
  <si>
    <t>PROCUREMENT OF MEALS AND SNACKS</t>
  </si>
  <si>
    <t>Supply, Installation and Commissioning of Two (2) units Ultraviolet Germicidal Irradiction Disinfection System</t>
  </si>
  <si>
    <t>CONCRETING OF LOCAL ROAD AT LANGKA ST. PUROK-7 BRGY. ALAWIHAO DAET, CAMARINES NORTE</t>
  </si>
  <si>
    <t>(SP) 	  2nd REQUEST FOR QUOTATION (RFQ) For the Procurement of Office Supplies (1st Quarter) For the Sangguiang Panlalawigan  (SP)</t>
  </si>
  <si>
    <t>Procurement of Various Supplies and Materials for Repair and Maintenance of All Light Vehicle and School of the College - Talisay Campus</t>
  </si>
  <si>
    <t>NP2020-06-341 Procurement of Various Furniture and Floor Polisher CBO</t>
  </si>
  <si>
    <t>SUPPLY &amp; DELIVERY OF VARIOUS MECHANICAL SPARE PARTS FOR 163KW PERKINS, MODEL NO.: 2006-TGI, SERIAL NO.: 48 INTENDED FOR STO NINO DPP</t>
  </si>
  <si>
    <t>NEAP May various Supplies</t>
  </si>
  <si>
    <t>REPAIR OF AIRCONDITIONING UNIT</t>
  </si>
  <si>
    <t>Concrete Pav. Construction Kalatagan-Tangbo Barangay Road</t>
  </si>
  <si>
    <t>NC#2020-0247-PR2020-0346 Procurement of Storage Battery, engine Oil, Oil Treatment and Vehicle Spare parts with Labor for the Service Vehicle Strada assigned at the Office of Board Member Dionisio Vic</t>
  </si>
  <si>
    <t>20KB0171   Improvement of Public Plaza, Brgy. Poblacion, Dangcagan, Bukidnon</t>
  </si>
  <si>
    <t>Purchase of t-shirts</t>
  </si>
  <si>
    <t>OFFICE EQUIPMENT SUPPLIES AND CONSUMABLES</t>
  </si>
  <si>
    <t>Fuel use for the maintenance of PNP Vehicle for Peace and Order Program, Himamaylan City</t>
  </si>
  <si>
    <t>CLEARING/DE-CLOGGING OF QUIRIAON CREEK OF BRGY. SAN FELIPE-SANTIAGO</t>
  </si>
  <si>
    <t>Supply, Installation and Commissioning of One (1) unit Operating Table (Electric-Motorized Type)</t>
  </si>
  <si>
    <t>PROCUREMENT OF PARTS  WITH LABOR FOR THE REPAIR AND MAINTENANCE OF MACHINERY AND EQUIPMENT</t>
  </si>
  <si>
    <t>(GO-PDAD) REQUEST FOR QUOTATION (RFQ) For the Procurement of Construction Materials  For the GO- Parks Development and Administration Division (GO-PDAD)</t>
  </si>
  <si>
    <t>GLOVES 2020-06-0735</t>
  </si>
  <si>
    <t>ADVERTISING SERVICES</t>
  </si>
  <si>
    <t>Procurement of Meals and Snacks</t>
  </si>
  <si>
    <t>Procurement of 32,432.43 kg Hospital Linens and Gowns Laundry Services.</t>
  </si>
  <si>
    <t>PROCUREMENT AND DELIVERY OF OTHER SUPPLIES &amp; MATERIALS FOR ORIENTATION PROGRAM OF NEWLY APPOINTED  OF FIRE OFFICER 1(REGULAR QUOTA) FY 2020</t>
  </si>
  <si>
    <t>Supply, Installation and Commissioning  of One (1) Operating Light (LED dual ceiling mounted with camera and pendant surgical monitor)</t>
  </si>
  <si>
    <t>PROCUREMENT OF MATERIALS - REHABILITATION OF WATER SYSTEM</t>
  </si>
  <si>
    <t>IMPROVEMENT OF MUNICIPAL BUILDINGS AND OTHER STRUCTURES</t>
  </si>
  <si>
    <t>Concrete Pav. Construction Canorong Bulangsuran Road</t>
  </si>
  <si>
    <t>Purchase of Medical Oxygen Refill</t>
  </si>
  <si>
    <t>PROCUREMENT OF OFFICE EQUIPMENT</t>
  </si>
  <si>
    <t>Purchase of Equipment for the Establishment of 21st Century Classroom at BCES</t>
  </si>
  <si>
    <t>Installation of air-conditioning unit</t>
  </si>
  <si>
    <t>Line Upgrading 3 Phase Load (Tayasan Public Market) at Brgy. Poblacion, Tayasan,Negros Oriental.</t>
  </si>
  <si>
    <t>20AB0121 : REPAIR/ REHABILITATION OF SLOPE PROTECTION ALONG ILOCOS NORTE - APAYAO ROAD AT K0517+817 TO K0517+842</t>
  </si>
  <si>
    <t>Construction of waiting shed bldg/Tanod Outpost</t>
  </si>
  <si>
    <t>20KB0172   Rehabilitation of Multi-Purpose Building (Day Care Center) Brgy. Kianggat, Dangcagan, Bukidnon</t>
  </si>
  <si>
    <t>VAN RENTAL SERVICES</t>
  </si>
  <si>
    <t>2020 Census of Population and Housing (CPH) reproduction of manuals</t>
  </si>
  <si>
    <t>Concrete Pav. Construction Canorong Tuka Road</t>
  </si>
  <si>
    <t>PURCHASE &amp; DELIVERY OF VEHICLE PARTS &amp; ACCESSORIES</t>
  </si>
  <si>
    <t>Purchase of Disinfection and Ambulance Vehicles Lights &amp; Siren for COVID 19</t>
  </si>
  <si>
    <t>PROCUREMENT OF PARTS AND ACCESSORIES FOR STRADA 4M41 TRITON 3.2 PICK-UP</t>
  </si>
  <si>
    <t>(GO- Nutrition)  2nd REQUEST FOR QUOTATION (RFQ) For the Procurement of Vehicle Parts  For the Governor’s Office – Nutrition (GO- Nutrition)</t>
  </si>
  <si>
    <t>Provision of Services for Organic Third Party Certification of 2 farms with PR#2020-06-01-09 and ABC of P200,000.00</t>
  </si>
  <si>
    <t>1 UNIT GRAIN COLLECTOR</t>
  </si>
  <si>
    <t>20KB0173   Construction/Completion of the Development of Municipal Ground/Plaza, Anahawon, Maramag, Bukidnon</t>
  </si>
  <si>
    <t>Procurement of Rice</t>
  </si>
  <si>
    <t>REPRODUCTION OF CDC BASED EXECUTIVE &amp; LEGISLATIVE AGENDA 2019-2020</t>
  </si>
  <si>
    <t>PROCUREMENT AND DELIVERY OF OFFICE SUPPLIES  FOR ORIENTATION PROGRAM OF NEWLY APPOINTED  OF FIRE OFFICER 1(REGULAR QUOTA) FY 2020</t>
  </si>
  <si>
    <t>SUPPLY AND DELIVERY OF INKS WITH FREEUSE OF SIXTEEN (16) UNITS BRAND NEW 3-IN-1 PRINTERS</t>
  </si>
  <si>
    <t>Procurement of Wireless Access Point, Branded</t>
  </si>
  <si>
    <t>Construction of Covered Court /Evacuation Center in Barangay San Juan, Alcala, Pangasinan</t>
  </si>
  <si>
    <t>Concrete Pav. Construction Camburoy Barangay Road</t>
  </si>
  <si>
    <t>Purchase of Clinical Equipment for the use of Lambunao MHO-Laboratory, Lambunao, Iloilo</t>
  </si>
  <si>
    <t>Rehabilitation of Water System</t>
  </si>
  <si>
    <t>Construction and Installation of Division Walls or Isolation Rooms</t>
  </si>
  <si>
    <t>PAINTING OF AMPHITHEATER AT BURGOS ELEM. SCHOOL, BURGOS, RAMON, ISABELA</t>
  </si>
  <si>
    <t>SUPPLY &amp; DELIVERY OF VARIOUS MECHANICAL SPARE PARTS FOR 163KW PERKINS, MODEL NO.: 2006-TGI. SERIAL NO.: 52/ ENGINE NO.: 8B27396U86224V INTENDED FOR SAN VICENTE DPP</t>
  </si>
  <si>
    <t>DRILLING OF ONE (1) EXPLORATORY /PRODUCTION WELL AT BRGY. RAFAELA BARRERA</t>
  </si>
  <si>
    <t>RFQ No. 233-20 Envelope packaging, 13.14" x 9.36", fold coat with wrap</t>
  </si>
  <si>
    <t>Supply and Delivery of ECG Machine and Consumables</t>
  </si>
  <si>
    <t>PROCUREMENT OF NFA - REGION 1 2020 PESTICIDES REQUIREMENT (LEFT-OUT LOTS) (REBIDDING)</t>
  </si>
  <si>
    <t>Supply and Delivery of Xray Supplies for Official Use of GALIC (2nd Qtr)</t>
  </si>
  <si>
    <t>Bed Sheet (Linen)</t>
  </si>
  <si>
    <t>2020-06-272 PROCUREMENT OF FUEL (DIESEL) - PGO</t>
  </si>
  <si>
    <t>Purchase of Medical equipment for the DSWDO, City of Talisay</t>
  </si>
  <si>
    <t>FUEL FOR THE MOBILE BLOOD DONATION</t>
  </si>
  <si>
    <t>Construction of Foot Trail</t>
  </si>
  <si>
    <t>To Support The Logistical Requirements of 1DTS,1ID,PA</t>
  </si>
  <si>
    <t>Supply &amp; Delivery of Cloth &amp; Thread Materials to be used in Engaging Economically Displaced Women in Tabaco City for Face Mask Production as Livelihood Opportunity amidst Covid-19</t>
  </si>
  <si>
    <t>CERTIFIED RICE SEEDS AS SUPPORT TO RICE FARMERS &amp; SEED GROWERS OF THE CITY</t>
  </si>
  <si>
    <t>Request for Quotation for the Supply and Delivery of One (1) Unit of Two (2) HP Split-Type Air Conditioner for Customer Service Area</t>
  </si>
  <si>
    <t>20KB0174   Construction of Multi-Purpose Building (Kibawe Sports Complex), Brgy. East Kibawe, Kibawe, Bukidnon</t>
  </si>
  <si>
    <t>PROCUREMENT AND DELIVERY OF PRINTING SERVICES FOR RECRUITMENT OF FIRE OFFICER 1(REGULAR QUOTA) FY 2020</t>
  </si>
  <si>
    <t>OFFICE SUPPLIES AND CONSUMABLES (PR#20-01-70098)</t>
  </si>
  <si>
    <t>Construction of Slope Protection (Phase II), Municipal Landfill, Maoasoas Norte, Pugo, La Union</t>
  </si>
  <si>
    <t>Purchase of Tires for GB-6567 &amp; SAA-2590</t>
  </si>
  <si>
    <t>Supply and Delivery of 1 Unit Printer</t>
  </si>
  <si>
    <t>CLEARING OF AKAN CREEK OF BRGY. SAN FELIPE-SANTIAGO</t>
  </si>
  <si>
    <t>Supply and delivery of livestock/animal feeds to be use for livestock production, research &amp; development at CLIARC Magalang with PR#2020-06-10-127 and ABC of P99,900.00</t>
  </si>
  <si>
    <t>Quotation No.20-05-0314 rebid-Food and Hotel Accommodation for Training on Waste Management for Health Workers on July 7-10, 2020 in Zamboanga City</t>
  </si>
  <si>
    <t>Supply and Delivery of One (1) lot Branded Laptop and Multi-terrabyte Storage</t>
  </si>
  <si>
    <t>Supply and Delivery of Laboratory Equipment for VSU External Campuses</t>
  </si>
  <si>
    <t>Concrete Pav. Construction Cambigong &amp; Canorong Brgy Road</t>
  </si>
  <si>
    <t>1 unit High Speed Drill System</t>
  </si>
  <si>
    <t>CONCRETING OF LOCAL ROAD AT BAYABAS  ST. PUROK-7 BRGY. ALAWIHAO DAET, CAMARINES NORTE</t>
  </si>
  <si>
    <t>CONSULTANCY SERVICES</t>
  </si>
  <si>
    <t>Purchase of Relief Goods for COVID 19</t>
  </si>
  <si>
    <t>Purchase of Automatic Soap Dispenser &amp; Foot Bath Tray w/ Coil Matting</t>
  </si>
  <si>
    <t>2020-07-S- Supply and Delivery of Aggregates use for penetration patches to correct potholes, edge breaks/failures and other similar defects to bituminous pavements and paved shoulders along Various N</t>
  </si>
  <si>
    <t>(GO-PDRRMO) 2ND REQUEST FOR QUOTATION (RFQ)  For the Procurement of 60 pax Meals &amp; Snacks, etc.  For the Governor’s Office – Provincial Disaster Risk Reduction &amp; Management Office--89,600.00</t>
  </si>
  <si>
    <t>REGISTERED RICE SEEDS AS SUPPORT TO RICE FARMERS &amp; SEED GROWERS OF THE CITY</t>
  </si>
  <si>
    <t>Monitor with Wall Mount</t>
  </si>
  <si>
    <t>Construction of concrete Bleachers located at Sitio MAngtud, Brgy. Agtatacay Norte, Sapian, Capiz</t>
  </si>
  <si>
    <t>Purchase of Ladder (Fiberglass)</t>
  </si>
  <si>
    <t>Construction of Riprap located at Sitio Bahay, Brgy Agtatacay Sur, Sapian, Capiz</t>
  </si>
  <si>
    <t xml:space="preserve">CONCRETING OF ROAD FROM BRGY. DARONG TO SITIO PIPING, BRGY. SIBULAN located at SIBULAN, STA. CRUZ, DAVAO DEL SUR all in accordance to plans, specifications and scope of work and the Green Procurement </t>
  </si>
  <si>
    <t>RFQ: GENERAL CLEANING OF AIR-CONDITIONING UNITS</t>
  </si>
  <si>
    <t>Purchase of One (1) pc. Aircon  Three (3) Tonner with Installation  for the use of the Local School Board (LSB), City of Talisay</t>
  </si>
  <si>
    <t>SUPPLY AND DELIVERY OF OFFICE EQUIPMENT, FURNITURE AND FIXTURES</t>
  </si>
  <si>
    <t>CONCRETING OF LOCAL ROAD AT SANTOL  ST. PUROK-7 BRGY. ALAWIHAO DAET, CAMARINES NORTE</t>
  </si>
  <si>
    <t>6 units GRASS CUTTER</t>
  </si>
  <si>
    <t>1 unit VACUUM PACK SEALER</t>
  </si>
  <si>
    <t>1 LOT SUPPLY &amp; DELIVERY OF FURNITURE &amp; FIXTURES FOR CITY PNP USE</t>
  </si>
  <si>
    <t>Construction of Roads and Alleys, Municipal Landfill, Maoasoas Norte, Pugo, La Union</t>
  </si>
  <si>
    <t>Supply and delivery of various supplies to be used for the R&amp;D projects for the year 2020 with PR#2020-06-08-99 and ABC of P251,210.00</t>
  </si>
  <si>
    <t>1 set Altitude Control Valve 2" dia.</t>
  </si>
  <si>
    <t>20KB0175   Construction of Covered Court, Brgy. Kalumihan, Kitaotao, Bukidnon</t>
  </si>
  <si>
    <t>RFQ No. 234-20 Decorticated dried banana fibers ( Cavendish var.)</t>
  </si>
  <si>
    <t>Machine Shop Service for repair of Multi - CAB DC5IT-52386</t>
  </si>
  <si>
    <t>Supply and Delivery of 20 pieces Battery, heavy duty black, medium, rechargeable and othe various office supplies and procurement of printing supplies.</t>
  </si>
  <si>
    <t>100kit Expanded NBS Specimen Collection Kit for Talibon Municipal Birthing Center</t>
  </si>
  <si>
    <t>Purchase of Internet Service (for the Office of the Secretary)</t>
  </si>
  <si>
    <t>2020-08-S- Supply and Delivery of Road Materials use for Pothole Patching on concrete and Bituminous Pavement along Various National Roads.</t>
  </si>
  <si>
    <t>20KB0176   Construction of Multi-Purpose Building, Brgy. Minsalagan, Don Carlos, Bukidnon</t>
  </si>
  <si>
    <t>Improvement of Sition Inahulan Road, Brgy.  San Isidro Pamplona(N-131-2020)</t>
  </si>
  <si>
    <t>SUPPLY AND DELIVERY OF VARIOUS ELECTRICAL SPARES INTENDED FOR BOHOL MINI GRID I</t>
  </si>
  <si>
    <t>(PEO) BIDS AND AWARDS COMMITTEE (BAC-Goods) BAC OFFICE, Provincial Capitol, Bayombong, Nueva Vizcaya   2nd Failure of Bidding  	  2nd REQUEST FOR QUOTATION (RFQ) For the Procurement of Vehicle Parts (</t>
  </si>
  <si>
    <t>HAND TRACTOR</t>
  </si>
  <si>
    <t>PhilRice-20-2205: Procurement of Diesel and Gasoline to be used in the Establishment of 10 hectares Rice Seed Production Project at DA-BES, Gabi, Ubay, Bohol for Cropping Season Jun-Dec. 2020</t>
  </si>
  <si>
    <t>Procurement of Office Equipment, Supplies and Consumables</t>
  </si>
  <si>
    <t>SUPPLY AND DELIVERY OF OFFICE EQUIPMENT, (I.T. EQUIPMENT)</t>
  </si>
  <si>
    <t>Painting Materials</t>
  </si>
  <si>
    <t>Hands-Free Handwashing Facility</t>
  </si>
  <si>
    <t>RFQ No. 235-20 Cocooning Frames</t>
  </si>
  <si>
    <t>TULUAN ELEMENTARY SCHOOL MOOE MARCH AND APRIL 2020</t>
  </si>
  <si>
    <t>Purchase of Tools and Emergency Equipment</t>
  </si>
  <si>
    <t>Construction of Multipurpose Building</t>
  </si>
  <si>
    <t>Purchase of 1-Unit Tractor with complete accessories</t>
  </si>
  <si>
    <t>Purchase of Wound Dressing Pack</t>
  </si>
  <si>
    <t>SUPPLY AND DELIVERY OF GARBAGE BINS WITH STEEL FRAME</t>
  </si>
  <si>
    <t>CONSTRUCTION MATERIALS FOR USE ON MARKET OPERATIONS</t>
  </si>
  <si>
    <t>Supply / Delivery of Catering Services</t>
  </si>
  <si>
    <t>Purchase of  ANC &amp; FBD Incentives for Postpartum Mothers – MHO R.  T. Lim, Zamboanga Sibugay</t>
  </si>
  <si>
    <t>Procurement of Fuel and Oil</t>
  </si>
  <si>
    <t>Furniture and Fixtures for LPH-Luisiana District Hospital</t>
  </si>
  <si>
    <t>SUPPLY &amp; DELIVERY OF VARIOUS MECHANICAL SPARE PARTS FOR 100KW PERKINS, MODEL NO.: 1006-TAG; ENGINE TYPE: 2330/1500; SERIAL NO.: YB37574 INTENDED FOR ALMAGRO DPP</t>
  </si>
  <si>
    <t>RFQ No. 236-20 (R) Construction of Model Rearing House II</t>
  </si>
  <si>
    <t>IT Equipment for LPH-Nagcarlan District Hospital</t>
  </si>
  <si>
    <t>20KB0177   Construction of Multi-Purpose Building, Brgy. Poblacion, Kadingilan, Bukidnon</t>
  </si>
  <si>
    <t>Request for Quotation for the Supply and Delivery of the Ffg. items:</t>
  </si>
  <si>
    <t>Agricultural Marine Supplies for FITS Center Enhancement (Rice Program)</t>
  </si>
  <si>
    <t>Supply and Delivery of Office Supplies and Materials</t>
  </si>
  <si>
    <t>ANIMAL &amp; LIVESTOCK SERVICES</t>
  </si>
  <si>
    <t>2020-070, SUPPLY AND DELIVERY OF BUSINESS REGISTRATION PLATE AT LGU MIDSAYAP, COTABATO</t>
  </si>
  <si>
    <t>20KB0178   Construction/Completion of Multi-Purpose Building, Brgy. Libertad, Quezon, Bukidnon</t>
  </si>
  <si>
    <t>Project Name:		Construction of River Control Connecting the Existing Footbridge of So. Maglinte &amp; So. Bangculutan Brgy. Mayabon Zamboanguite(N-128-2020)</t>
  </si>
  <si>
    <t>2020-09-S- Supply and Delivery of Road Materials use for resurfacing and manual patching of unpaved shoulders along Various National Roads.</t>
  </si>
  <si>
    <t>4 units PLATFORM WEIGHING SCALE</t>
  </si>
  <si>
    <t>IT Equipment and Mobile Sound System for G.O. Sports Office in preparing documentation and storing data’s in out town competition</t>
  </si>
  <si>
    <t>Procurement of Construction Materials for Multipurpose Drying Pavement (MPDP)</t>
  </si>
  <si>
    <t>Parts and Labor Services (Repair of Various Service Vehicle)</t>
  </si>
  <si>
    <t>Road Concreting of Barangay Road</t>
  </si>
  <si>
    <t>Barangay Cultural Heritage and Geographic Video Presentation</t>
  </si>
  <si>
    <t>Procurement of communication Equipment</t>
  </si>
  <si>
    <t>2020-10-S- Supply and Delivery of Road Materials use for Repainting of Guardrail and post and for Repainting of Curbs, pedestrian Crosswalks, stop lines and Pavement markings.</t>
  </si>
  <si>
    <t>Labor, Automotive Spare Parts GB3665 &amp; GB3673</t>
  </si>
  <si>
    <t>20PL0118 - Improvement of Roadside Structures and Shoulder along Mt. Province-Boundary-Calanan-Pinukpuk-Abbut Road (Cagaluan-Calanan Section), K0483+790-K0483+870, Tabuk City, Kalinga</t>
  </si>
  <si>
    <t>(SP)  2nd REQUEST FOR QUOTATION (RFQ) For the Procurement of Vehicle Parts   For the Sangguniang Panlalawigan (SP)</t>
  </si>
  <si>
    <t>Rehabilitation of Barangay and Municipal Roads</t>
  </si>
  <si>
    <t>Expansion of Material Recovery Facility</t>
  </si>
  <si>
    <t>PROCUREMENT OF ONE UNIT EMERGENCY RESPONSE VEHICLE</t>
  </si>
  <si>
    <t>Purchase and Delivery of 11 units of Laptop for the Sangguniang Bayan Office</t>
  </si>
  <si>
    <t>PROCUREMENT OF DATABASE SERVER</t>
  </si>
  <si>
    <t>Procurement of Grocery Items</t>
  </si>
  <si>
    <t>GSM CONTROLLER</t>
  </si>
  <si>
    <t>Purchase of solar lamp for street lights</t>
  </si>
  <si>
    <t>Repair and Rewiring of Electrical Supply of CTERMS and STABIC Buildings</t>
  </si>
  <si>
    <t>Purchase of 1 set of Mortar Mixer and CHB Machine Maker</t>
  </si>
  <si>
    <t>materials for Legazpi City Hospital use</t>
  </si>
  <si>
    <t>Supply and Delivery of Assorted and Common Office Supplies and Devices (Re-bid)</t>
  </si>
  <si>
    <t>SUPPLY AND DELIVERY OF  VARIOUS MECHANICAL SPARES INTENDED PANAY MINIGRID</t>
  </si>
  <si>
    <t>20DI0145- Rehabilitation of Drainage Canal, Juana Complex VI, Brgy. San Francisco, Biñan, Laguna</t>
  </si>
  <si>
    <t>PROCUREMENT OF PUMPBOAT FOR TAGABULI BAY CRUISE-1ST POSTING</t>
  </si>
  <si>
    <t>CONCRETING OF PATHWAY, GALDANG</t>
  </si>
  <si>
    <t>Supply and delivery of Office Supplies to be used in the Office of the Municipal Mayor</t>
  </si>
  <si>
    <t>INSTALLATION OF GLASS DOORS AT THE MP BUILDING (Mayor's, Vice Mayor's &amp; SB Office)</t>
  </si>
  <si>
    <t>REHABILITATION/IMPROVEMENT OF BARANGAY NAPO WATER SYSTEM NAPO, POLANGUI, ALBAY</t>
  </si>
  <si>
    <t>TPB-PR.2020.06.170 PROCUREMENT OF DATA FOLDER, FASTENER, MULTICOPY PAPER AND RECORD BOOKS</t>
  </si>
  <si>
    <t>12 UNITS, 24 MONTHS MOBILE INTERNET SUBSCRIPTION</t>
  </si>
  <si>
    <t>20DI0146- Construction of Multi-Purpose Building, Brgy. Pacita I, San Pedro, Laguna</t>
  </si>
  <si>
    <t>Procurement of ICT Equipment for the MDRRMC Operation Center</t>
  </si>
  <si>
    <t>74617 - PHYSICAL &amp; CHEMICAL ANALYSIS OF PRODUCTION WELL</t>
  </si>
  <si>
    <t>Procurement of TESDA MIMAROPA Regional Office and Provincial Office of Floor Mounted Outlet for the new erected building.</t>
  </si>
  <si>
    <t>Establishment of Innovation and Makerspaces (iMake Project) Facilities</t>
  </si>
  <si>
    <t>20DI0147- Construction of Multi-Purpose Building, Brgy. Aplaya, Sta. Rosa City, Laguna</t>
  </si>
  <si>
    <t>5 Months Preventive Maintenance Services for Three (3) Units DENR Main Bldg. Elevators per attached TOR</t>
  </si>
  <si>
    <t>SUPPLY &amp; DELIVERY OF VARIOUS MECHANICAL SPARE PARTS FOR 163KW PERKINS, MODEL NO.: 2006-TGI, SERIAL NO.: 8B27396U86337U INTENDED FOR SAN ANTONIO DPP</t>
  </si>
  <si>
    <t>JANITORIAL SUPPLIES</t>
  </si>
  <si>
    <t>ICT Office and Training supplies for FITS Center Enhancement (Rice Program)</t>
  </si>
  <si>
    <t>Concreting of Road at Ecopark -  Phase II  Sta. (0+000 to 0+130), San Jose, R. T. Lim, Zamboanga Sibugay.</t>
  </si>
  <si>
    <t>Banana Production-Purchase of Banana sucker</t>
  </si>
  <si>
    <t>Procurement of Training Supplies</t>
  </si>
  <si>
    <t>0332 Drugs and Medicines</t>
  </si>
  <si>
    <t>Purchase of tires to be used in service vehicle with plate number FORD YTO-904</t>
  </si>
  <si>
    <t>20PL0119 - Improvement of Shoulder Structure and Repair of Cross Drainage along Mt. Province-Boundary-Calanan-Pinukpuk-Abbut Road (Cagaluan-Calanan Section), K0484+550-K0485+590, Tabuk City, Kalinga</t>
  </si>
  <si>
    <t>Opening of Farm-to-Market Road at Patunungan</t>
  </si>
  <si>
    <t>SUPPLY AND DELIVERY OF VARIOUS ELECTRICAL SPARE PARTS FOR 300 KW CUMMINS INTENDED FOR GIGANTES DPP</t>
  </si>
  <si>
    <t>Ground Improvement</t>
  </si>
  <si>
    <t>Repair and Maintenance of Barangay Multi-Purpose Hall @ Barangay San Agustin, Ibaan, Batangas</t>
  </si>
  <si>
    <t>PURCHASE OF LAPTOP COMPUTER</t>
  </si>
  <si>
    <t>20DI0148- Construction of Multi-purpose Building (Basketball Court), Juana Complex III, Brgy. San Francisco, Biñan, Laguna</t>
  </si>
  <si>
    <t>S/D of 10 gal	Cidex Sol-28 days &amp; 30 others</t>
  </si>
  <si>
    <t>Supply and delivery of Two (2) pcs. Tire for SB Vehicle Pregio with Plate No. SHF-967</t>
  </si>
  <si>
    <t>Supply and Delivery of Electrical Supplies ( F-007-0372-20 )</t>
  </si>
  <si>
    <t>QUEST FOR QUOTATION (RFQ) For the Procurement of Agricultural Products and Marine Supplies  For the Provincial Agricultural Office (PAO)</t>
  </si>
  <si>
    <t>20DI0149- Construction of Multi-Purpose Building, San Pedro, Laguna</t>
  </si>
  <si>
    <t>Concreting of Access Road to Municipal Water Storage Area - Phase I , Municipal Site, R. T. Lim, Zamboanga Sibugay</t>
  </si>
  <si>
    <t>Upgrading of Electrical Installation (Main Line) at Minuyan Elementary School</t>
  </si>
  <si>
    <t>0337 Laboratory Supplies</t>
  </si>
  <si>
    <t>20PL0120 - Repair of Cross Drainage Inlet and Canal Lining along Mt. Province-Boundary-Calanan-Pinukpuk-Abbut Road (Cagaluan-Calanan Section), K0485+710-K0485+780, Tabuk City, Kalinga</t>
  </si>
  <si>
    <t>SMALL VALUE PROCUREMENT FOR CATERING SERVICES</t>
  </si>
  <si>
    <t>Purchase of Spareparts for Heavy Equipment</t>
  </si>
  <si>
    <t>EMBANKMENT IN PUROK 1 BRGY. T.ARLAN</t>
  </si>
  <si>
    <t>SECURITY CAMERA AND CCTV EQUIPMENTS</t>
  </si>
  <si>
    <t>PR-2020-1421 Rental of  Four (4) Units Portalets-PGO</t>
  </si>
  <si>
    <t>Upgrading of Electrical Installation (Main Line) at Sapang Kawayan Elementary School</t>
  </si>
  <si>
    <t>Smartphone, Phablet, Camera Phone, Waterproof - NGP</t>
  </si>
  <si>
    <t>Supply and Delivery of Agricultural Products</t>
  </si>
  <si>
    <t>SUPPLY &amp; DELIVERY OF VARIOUS MECHANICAL SPARE PARTS FOR 300KW CUMMINS, MODEL NO.: KTA19-G2; SERIAL NO.: 41232997 INTENDED FOR SAN ANTONIO DPP</t>
  </si>
  <si>
    <t>PURCHASE OF THIRTY (30) SETS CUSTOMIZED TENT FOR USE OF THE CITY MAYOR'S OFFICE, CAVITE CITY</t>
  </si>
  <si>
    <t>20DI0151- Construction of Multi-Purpose Building, Brgy. Macabling, Sta. Rosa City, Laguna</t>
  </si>
  <si>
    <t>JHS/SHS Office Supplies and Other Consumables</t>
  </si>
  <si>
    <t>MAINTENANCE OF VARIOUS PORTS PHYSICAL FACILITIES AT THE PORTS OF AROROY, SAN PASCUAL, CLAVERIA, AND CAWAYAN, MASBATE; CONTRACT NO. MBT 2002</t>
  </si>
  <si>
    <t>BARANGAY TELECOMMUNICATION, PAGING AND PUBLIC ADDRESS SYSTEM</t>
  </si>
  <si>
    <t>Procurement of Desktop &amp; Laptop Computer, Printer and UPS (MSWU)</t>
  </si>
  <si>
    <t>20PL0121 - Rehabilitation of National road, K0534+056 - K0534+106 (Babalag-Kinama-San Francisco Section), Rizal, Kalinga</t>
  </si>
  <si>
    <t>PROPOSED CONSTRUCTION OF NATIONAL CHILD DEVELOPMENT CENTER ALNAY, POLANGUI, ALBAY</t>
  </si>
  <si>
    <t>Laundry Services (AGH, HHSG)</t>
  </si>
  <si>
    <t>20DI0150- Construction of Trash Trap along Biñan River, Brgy. Sto. Tomas, Biñan, Laguna</t>
  </si>
  <si>
    <t>Repair/Maintenance of Grader</t>
  </si>
  <si>
    <t>School and Office Supplies for Tigbao NHS-Junior HIgh</t>
  </si>
  <si>
    <t>Supply and delivery of Vehicle Parts &amp; Accessories for the Repair and Maintenance of L-300 FB  with Plate No. B3-B030</t>
  </si>
  <si>
    <t>Request for Quotation for 15 Unit Nebulizer Machine 20-01-0093</t>
  </si>
  <si>
    <t>SUPPLY AND DELIVERY OF IT PERIPHERALS, SUPPLIES AND ACCESSORIES FOR USED IN THE DIVISION OFFICE</t>
  </si>
  <si>
    <t>S/D of 15  Pcs	Aneroid BP Apparatus with Stand and Wheels &amp; 7 others</t>
  </si>
  <si>
    <t>Request for Quotation for IV Extension Tubings and Perfusor Tubings 20-06-0359</t>
  </si>
  <si>
    <t>INVITATION TO SUBMIT QUOTATION  FOR THE PRINTING OF ADDITIONAL MANUALS  FOR 2020 CENSUS OF POPULATION AND HOUSING (2020 CPH) TRAINING</t>
  </si>
  <si>
    <t>20DI0152- Construction of Multi-purpose Building, Brgy. Dita, Sta. Rosa City, Laguna</t>
  </si>
  <si>
    <t>74429 - 2 units of Tamping Rammer, 1 unit of Plate Compactor,Concrete Cutter,Engine Driven Dewatering Pump and Power Sprayer 5Hp</t>
  </si>
  <si>
    <t>Handheld Radio and Base Accessories for Barangays/Areas with Limited Cellphone Signal</t>
  </si>
  <si>
    <t>Supply and Delivery of Materials to be given as Assistance to Various Civil Society Organizations, Naujan, Oriental Mindoro</t>
  </si>
  <si>
    <t>Supply and Delivery of Materials to be used in the Fabrication of Collapsible Tent at NAC, Barangay Andres Ylgan, Naujan, Oriental Mindoro</t>
  </si>
  <si>
    <t>Request for Quotation for 20 pcs Stand Fan 0351</t>
  </si>
  <si>
    <t>Office supplies for ONC</t>
  </si>
  <si>
    <t>Construction of Access Road from P-2 to Brgy Road</t>
  </si>
  <si>
    <t>Polo shirts for Road Show/ Rice Summit (National Rice Awareness Month)</t>
  </si>
  <si>
    <t>20DI0153- Construction of Multi-purpose Building, Brgy. Pulong Santa Cruz, Sta. Rosa City, Laguna</t>
  </si>
  <si>
    <t>Procurement of Ten (10) Units Laptop for Online Classes of Brgy San Lorenzo</t>
  </si>
  <si>
    <t>20DI0155- Construction of Multi-Purpose Building (A), Sta. Rosa City, Laguna</t>
  </si>
  <si>
    <t>Supply and Delivery of One (1) Lot Wireless CCTV System (including installation)</t>
  </si>
  <si>
    <t>Gutter Installation</t>
  </si>
  <si>
    <t>BU 134 - Desktop Computers for use in COA</t>
  </si>
  <si>
    <t>Supply and delivery of Plumbing Materials to be used in the Improvement of Waterworks System at Nagcarlan, Laguna</t>
  </si>
  <si>
    <t>20DI0154- Construction of Multi-purpose Building, Brgy. Sinalhan, Sta. Rosa City, Laguna</t>
  </si>
  <si>
    <t>S/D of 31 sets	Upright post 3600mmHx1000mm D (90x75x2.0mm) &amp; 6 others</t>
  </si>
  <si>
    <t>FB20-06-008COR - PROCUREMENT OF TWO (2) YEARS SUBSCRIPTION OF POCKET WIFI</t>
  </si>
  <si>
    <t>Supply and Delivery of Materials to be used in the Fabrication of 3 units Display Glass at NAC, Andres Ylagan, Naujan, Oriental Mindoro</t>
  </si>
  <si>
    <t>(BRG)FABRICATION OF PASTILLAS BALLS MAKING MACHINE AND PNUEMATIC GUN</t>
  </si>
  <si>
    <t>Supply and Delivery of ICT Equipment for Mayor’s Office.</t>
  </si>
  <si>
    <t>Supply and Delivery of Radiology Emergency Device for CT Scan, MRI, Ultrasound and Interventional Radiology</t>
  </si>
  <si>
    <t>PR No. 2020-06-0561-MAIN-Supply and Delivery of Inks and Toners for Existing Printers of the different BISU Offices</t>
  </si>
  <si>
    <t>74433 - 1 set Pneumatic Tire Changer with accessories &amp; 2 units Submersible Pump 5Hp</t>
  </si>
  <si>
    <t>PR-2020-1316 Photocopier-PGO</t>
  </si>
  <si>
    <t>School medical supplies</t>
  </si>
  <si>
    <t>20DI0157- Construction of Multi-purpose Building, Brgy. Tagapo, Sta. Rosa City, Laguna</t>
  </si>
  <si>
    <t>20DI0156- Construction of Multi-purpose Building (B), Sta. Rosa City, Laguna</t>
  </si>
  <si>
    <t>Procurement of One (1) Unit Brand New Fully Equipped Van Rescue Ambulance</t>
  </si>
  <si>
    <t>Provision of Livelihood Projects (Hog Raising Package) for twenty (20) Indigenous People in Quirino, Ilocos Sur to be held on June 29-30, 2020 at  Brgy. Poblacion, Quirino, Ilocos Sur</t>
  </si>
  <si>
    <t>20DI0158- Construction of Multi-Purpose Building (Laboratory Building) JZGM School of Arts and Trade, Brgy. San Antonio, Biñan, Laguna</t>
  </si>
  <si>
    <t>RFO-ADMIN. FACILITIES FOR NFA SOUTH COTABATO</t>
  </si>
  <si>
    <t>Purchase and delivery of printing materials for SHS</t>
  </si>
  <si>
    <t>Supply and Delivery of Rice and Canned Goods for distribution to the City of San Pedro, Laguna</t>
  </si>
  <si>
    <t>SUPPLY &amp; DELIVERY OF VARIOUS MECHANICAL SPARE PARTS FOR 100KW CUMMINS.  MODEL 6BTA59G2; SERIAL NO.: 78333492 INTENDED FOR LIMASAWA DPP</t>
  </si>
  <si>
    <t>Biometrics for Human Resource Management Information System version 9</t>
  </si>
  <si>
    <t>SUPPLY AND DELEVERY OF CONSTRUCTION MATERIALS</t>
  </si>
  <si>
    <t>Supply and Delivery of WebCam with Built-in Microphone and Stereo PC Headset with Microphone</t>
  </si>
  <si>
    <t>PURCHASE OF 6 PCS. TIRES</t>
  </si>
  <si>
    <t>General Repair</t>
  </si>
  <si>
    <t>20DI0159- Construction of Multi-purpose Building (C), Sta. Rosa City, Laguna</t>
  </si>
  <si>
    <t>Supply &amp; Delivery of Construction Materials for the Repair of SPPF Prison Facilities’ Perimeter Fence for FY 2020 (4 Lots)</t>
  </si>
  <si>
    <t>PR No. 2020-02-0277-MAIN-Supply and Delivery of Steel Filing Cabinets for the different offices</t>
  </si>
  <si>
    <t>EMERGENCY PURCHASE OF RELIEF GOODS FOR SEVERELY AFFECTED FAMILIES AMID COVID-19 PANDEMIC</t>
  </si>
  <si>
    <t>GAUDENCIO SALDIVAR SR. ELEMENTARY SCHOOL MOOE APRIL-MAY 2020</t>
  </si>
  <si>
    <t>Road Opening of Baribi-Pasmacanan Road (Phase-I)</t>
  </si>
  <si>
    <t>Procurement of Motorcycle with side car</t>
  </si>
  <si>
    <t>Repainting of Comfort Rooms</t>
  </si>
  <si>
    <t>1	Lot	Food Pax for the conduct of Briefing to personnel included on SWAB TEST</t>
  </si>
  <si>
    <t>RFQ-ADMIN. FACILITIES</t>
  </si>
  <si>
    <t>Purchase and delivery of electronic storage device for SHS</t>
  </si>
  <si>
    <t>Janitorial Supplies</t>
  </si>
  <si>
    <t>PURCHASE OF OFFICE EQUIPMENT (MPDO)</t>
  </si>
  <si>
    <t>Office Desk ( without drawers)</t>
  </si>
  <si>
    <t>Procurement of Fire Extinguisher</t>
  </si>
  <si>
    <t>Office Equipment, Parts and Accessories</t>
  </si>
  <si>
    <t>SUPPLY &amp; DELIVERY OF VARIOUS MECHANICAL SPARE PARTS FOR 315KW FG WILSON PERKINS, MODEL 2506A-E15TAG3; SERIAL NO.: MGDF7150U10595A INTENDED FOR MARIPIPI DPPD</t>
  </si>
  <si>
    <t>PURCHASE OF CONSTRUCTION MATERIALS AND SUPPLIES</t>
  </si>
  <si>
    <t>Alcohol</t>
  </si>
  <si>
    <t>PR No. 2020-02-0182-MAIN-Supply and Delivery of Stenograph Machine for Stenograph Laboratory of CBAS</t>
  </si>
  <si>
    <t>ict supplies</t>
  </si>
  <si>
    <t>Procurement of One (1) unit Server</t>
  </si>
  <si>
    <t>Office Supplies and Devices</t>
  </si>
  <si>
    <t>S/D of 3333 pcs	Undershirt Raglan Polyester Spandex Round Neck (as for sample)</t>
  </si>
  <si>
    <t>MEALS AND ACCOMMODATION (4 days)</t>
  </si>
  <si>
    <t>RFQ-ADMIN. FACILITIES FOR NFA REGIONAL OFFICE XII</t>
  </si>
  <si>
    <t>INVITATION TO BID FOR THE Procurement Of Energy Various ICT Equipment under the DOE CY2020 ISSP</t>
  </si>
  <si>
    <t>EMERGENCY PURCHASE OF 320 SACKS OF RICE FOR SEVERELY AFFECTED FAMILIES AMID COVID-19 PANDEMIC</t>
  </si>
  <si>
    <t>Supply and Delivery of Office Supplies and Devices - Tablet and DJI Phantom 4 Batteries</t>
  </si>
  <si>
    <t>SMALL VALUE PROCUREMENT FOR COMMUNICATION LOAD</t>
  </si>
  <si>
    <t>PURCHASE OF MATERIALS USED AT PUBLIC MARKET POLANGUI, ALBAY</t>
  </si>
  <si>
    <t>RFQ-ADMIN. FACILITIES FOR NFA SULTAN KUDARAT</t>
  </si>
  <si>
    <t>Procurement of Audio Visual Production Set-up Bundle</t>
  </si>
  <si>
    <t>SUPPLY &amp; DELIVERY OF VARIOUS MECHANICAL SPARE PARTS FOR 150KW CUMMINS.  MODEL 6CT, 6CTA 8.3; SERIAL NO.: 21283036 INTENDED FOR MARIPIPI DPP</t>
  </si>
  <si>
    <t>Rehab/Improvement of Various Barangay Road(San Roque-Catigahan-Hinagbuan)</t>
  </si>
  <si>
    <t>SUPPLY AND DELIVERY OF OFFICE SUPPLIES FOR THE SECOND  (2nd) QUARTER OF 2020 FOR SDO RIZAL OFFICE</t>
  </si>
  <si>
    <t>Supply and Delivery of 1 Pc. Utensil Sterilizer for Protection of COVID 19 “The Bayanihan to Heal as One Act</t>
  </si>
  <si>
    <t>Supply and Delivery of Communication Load - PR 3441 CENVI</t>
  </si>
  <si>
    <t>USB Flash drive</t>
  </si>
  <si>
    <t>EMERGENCY PURCHASE OF 940 SACKS OF RICE FOR SEVERELY AFFECTED FAMILIES AMID COVID-19 PANDEMIC</t>
  </si>
  <si>
    <t>Construction Materials and Supplies</t>
  </si>
  <si>
    <t>INVITATION TO BID FOR THE PROCUREMENT OF DOE INTERNET SUBSCRIPTION (POCKET-WIFI) UNDER THE DOE REGULAR FUND</t>
  </si>
  <si>
    <t>Procurement of Forty (40) piece Mattress</t>
  </si>
  <si>
    <t>Printing Services</t>
  </si>
  <si>
    <t>Meals and Accommodation for 4 days year-end review, workshop of Manila Bay</t>
  </si>
  <si>
    <t>EMERGENCY PURCHASE OF MEDICAL SUPPLIES TO BE USED BY HEALTH WORKERS AND FRONTLINERS AMID COVID-19 PANDEMIC</t>
  </si>
  <si>
    <t>Purchase of Medical Supplies for MHO Lying-In Operation (Maternal and Child Care Program)</t>
  </si>
  <si>
    <t>Procurement of Office Supplies</t>
  </si>
  <si>
    <t>Laboratory reagents, supplies &amp; materials</t>
  </si>
  <si>
    <t>PROVISION OF QUARTERLY PREVENTIVE MAINTENANCE OF THE ELEVATOR OF LA UNION BUILDING FOR 1 YEAR</t>
  </si>
  <si>
    <t>S/D of 234 sqmt	Pre-painted corrugated roof 24 x 6m &amp; 15 others</t>
  </si>
  <si>
    <t>Procurement of Medical Supplies and Equipments</t>
  </si>
  <si>
    <t>Purchase of Medical Supplies for COVID-19</t>
  </si>
  <si>
    <t>Supply and Delivery of Folding Chair and Bed</t>
  </si>
  <si>
    <t>SMALL VALUE FOR PROCUREMENT FOR FREE SCHOOL SUPPLY</t>
  </si>
  <si>
    <t>PROCUREMENT OF CONSULTING SERVICES FOR THE SOCIAL MEDIA MANAGEMENT OF THE DEPARTMENT OF TOURISM</t>
  </si>
  <si>
    <t>Supply and delivery of 1 unit Matrix Printer (FX-2190) for use in the Office of the SP Secretariat for Payroll Printing. ABC PHP35,800.00</t>
  </si>
  <si>
    <t>PROCUREMENT OF CONSULTING SERVICES FOR THE DEVELOPMENT OF ELECTRONIC DOCUMENT CONTROL CENTER (EDCC) FOR THE IMPLEMENTATION OF THE DEPARTMENT OF TOURISM'S QUALITY MANAGEMENT SYSTEM</t>
  </si>
  <si>
    <t>Procurement of five(5) units LED Colored TV</t>
  </si>
  <si>
    <t>EMERGENCY PURCHASE OF WASHABLE FACEMASK TO BE DISTRIBUTED IN EVERY HOUSEHOLD OF MARIVELES</t>
  </si>
  <si>
    <t>Supply and Delivery of Books for Child Development</t>
  </si>
  <si>
    <t>1  Lot	Support to Research and Documentation of Lessons learned &amp; 4 others</t>
  </si>
  <si>
    <t>CY 2020 Basic Educational Facilities Fund (BEFF) - Construction of 4 Storey, 8 Classrooms, San Vicente Elementary School, Camp 8, San Vicente, Baguio City</t>
  </si>
  <si>
    <t>EMERGENCY PURCHASE OF PERSONAL PROTECTIVE EQUIPMENT TO BE USED BY FRONTLINERS AND HEALTH WORKERS AMID COVID-19 PANDEMIC</t>
  </si>
  <si>
    <t>Third Party Laboratory Analysis</t>
  </si>
  <si>
    <t>Knife Mill</t>
  </si>
  <si>
    <t>File Folder with Finger Ring</t>
  </si>
  <si>
    <t>Construction of Overhead Hoist</t>
  </si>
  <si>
    <t>INSTALLATION OF CCTV CAMERA WITH COMPLETE ACCESSORIES</t>
  </si>
  <si>
    <t>Procurement of  Fire Extinguisher</t>
  </si>
  <si>
    <t>PROCUREMENT OF CONSULTING SERVICES FOR THE DEVELOPMENT OF THE PLANNING AND MONITORING ONLINE SYSTEM OF THE DEPARTMENT OF TOURISM</t>
  </si>
  <si>
    <t>1 Lot Provision of Labor, Materials and Equipment for the Construction of School Perimeter Fence of Alang-Alang, Leyte. ABC PHP795,121.90</t>
  </si>
  <si>
    <t>S/D of 150 Pcs	Floor Tiles 0.40cm x 0.40cm &amp; 47 others</t>
  </si>
  <si>
    <t>Purchase of Medical Supplies for RHU-2</t>
  </si>
  <si>
    <t>INTERNET CONNECTIVITY</t>
  </si>
  <si>
    <t>Rehabilitation of Staff Quarter's Room, Toilet, Pantry Area and Septic Tank Demolition Works	B net black single</t>
  </si>
  <si>
    <t>S/D of 1 ea	Oil Filter Hi Lux A4 E462 &amp; 94 others</t>
  </si>
  <si>
    <t>S/D of 135 pcs	Plastic Palllet Dimmension 1000x1000x150mm Color Blue Type Heavy weight Fork entry 4way static load 6 tons dynamic load 2 1/2 tons packing load 2 tons</t>
  </si>
  <si>
    <t>PIKCOT-SUPP-002020-00138 (SUPPLY AND DELIVERY OF CONSTRUCTION MATERIALS)</t>
  </si>
  <si>
    <t>Supply and Delivery of Medical Supplies for use of San Marcelino District Hospital (SMDH), San Marcelino</t>
  </si>
  <si>
    <t>PROPOSED EXPANSION OF MULTI-PURPOSE BLDG.</t>
  </si>
  <si>
    <t>PROCUREMENT OF VARIOUS VACCINES COBAC IB NO. 003 (G) S. 2020</t>
  </si>
  <si>
    <t>Methylmercury Analysis</t>
  </si>
  <si>
    <t>Supply, delivery, installation, and testing of Direct Couple Diesel Engine Centrifugal Pump</t>
  </si>
  <si>
    <t xml:space="preserve">Request for Quotation - Online Business Continuity Training Course for MSMEs under the Priority Industry Clusters of Coffee, Cacao, Processed Fruits and Nuts, Wearables and Homestyle, Bamboo and Coco </t>
  </si>
  <si>
    <t>Water Purification System</t>
  </si>
  <si>
    <t>Installation of Venetian Blind at Office of the Municipal Mayor</t>
  </si>
  <si>
    <t>supply and delivery of office supplies for DSWD 10 office</t>
  </si>
  <si>
    <t>Purchase of  Pig</t>
  </si>
  <si>
    <t>INVITATION TO BID FOR THE Procurement of Energy Various ICT Equipment and Corel Draw Graphics Software under the DOE Locally Funded Philippine Conventional Energy Contracting Program</t>
  </si>
  <si>
    <t>Supply and Delivery of Drugs and Medicines for use of San Marcelino District Hospital (SMDH), San Marcelino</t>
  </si>
  <si>
    <t>SUPPLY AND DELIVERY OF GLYCOLIC ACID SOLUTION, SALICYLIC ACID SOLUTION, AZELAIC ACID + RESORCINOL + PHYTIC ACID SOLUTION, GEL ULTRASOUND, TRANSPARENT DRESSING</t>
  </si>
  <si>
    <t>Supply and Delivery of RT PCR Kit</t>
  </si>
  <si>
    <t>Contract of Services for the Maintenance of Fire Protection System at PNOC Buildings 5 and 6 (Re-Bidding)</t>
  </si>
  <si>
    <t>4 IN 1 PRINTER</t>
  </si>
  <si>
    <t>Repair and Replacement of Parts of Water Pumps</t>
  </si>
  <si>
    <t>Supply and Delivery of Common Supplies for Support to Regional Office Bids and Awards Committee Operations</t>
  </si>
  <si>
    <t>Reapir and Rehabilitation of Storage Room</t>
  </si>
  <si>
    <t>Request for Quotation - Water Meter</t>
  </si>
  <si>
    <t>Delivery of various publications and learning materials</t>
  </si>
  <si>
    <t>300 pcs. Basketball ball rubber mikasa class A</t>
  </si>
  <si>
    <t>Purchase of  Fish</t>
  </si>
  <si>
    <t>MG-A5M20-114 ( CARBON BRUSH, HOLDER )</t>
  </si>
  <si>
    <t>Purchase of  Softdrinks</t>
  </si>
  <si>
    <t>Rehabilitation of Old Municipal Cemetery (Phase II), San Antonio, Agoo, La Union</t>
  </si>
  <si>
    <t>Construction of Spillway</t>
  </si>
  <si>
    <t>Purchase of  Rice</t>
  </si>
  <si>
    <t>HO-IST20-003 - Supply, Delivery, Installation, Configuration, Testing and Commissioning of CPU Hyper-Converged Integrated System (HCIS) Servers</t>
  </si>
  <si>
    <t>HO-IST20-009 - Subscription of Messaging and Collaboration Services</t>
  </si>
  <si>
    <t>Pag-IBIG Fund TAS NCR South (HIRING OF MEDICAL CONSULTANT-PHYSICIAN)</t>
  </si>
  <si>
    <t>MG-A5M20-115 ( CLEANER, DEGREASER, MOTOR/GENERATOR, AEROSOL + 2 ITEMS )</t>
  </si>
  <si>
    <t>OPENING OF FMR LOCATED AT SAN JOSE NORTE, AGOO, LA UNION</t>
  </si>
  <si>
    <t>Supply and delivery materials for the fabrication and installation of perimeter fence and amenities of childrens playground</t>
  </si>
  <si>
    <t>Supply and delivery materials for the land improvement</t>
  </si>
  <si>
    <t>FOR THE CONSULTANCY SERVICES FOR THE CONDUCT OF HIGHWAY DETAILED ENGINEERING DESIGN AND TOPOGRAPHIC SURVEY FOR THE CONSTRUCTION OF BYPASS AND DIVERSION ROAD, PAGBILAO – TAYABAS – LUCBAN DIVERSION ROAD</t>
  </si>
  <si>
    <t>REQUEST FOR QUOTATION FOR THE Supply and Delivery of One (1) Lot Medical Supplies</t>
  </si>
  <si>
    <t>20 pcs. Rectangular tube 1.5x1x2</t>
  </si>
  <si>
    <t>CONSTRUCTION OF FARM TO MARKET ROAD LOCATED AT BALAWARTE, AGOO, LA UNION</t>
  </si>
  <si>
    <t>Office Supplies and Devices of Jose M. Consing Memorial School</t>
  </si>
  <si>
    <t>REQUEST FOR QUOTATION FOR THE Supply and Delivery of One (1) Lot Electrical Supplies and Devices</t>
  </si>
  <si>
    <t>La Union National High School</t>
  </si>
  <si>
    <t>PROCUREMENT OF SUPPLIES FOR PANDEMIC ( COVID-19) RESPONSE</t>
  </si>
  <si>
    <t>(KMH) 2ND INVITATION TO BID FOR THE SUPPLY AND DELIVERY OF HOSPITAL EQUIPMENT</t>
  </si>
  <si>
    <t>CONSTRUCTION OF FMR LOCATED AT SAN JUAN, AGOO, LA UNION</t>
  </si>
  <si>
    <t>Supply and delivery of gemilina seedlings</t>
  </si>
  <si>
    <t>Procurement of PPE with Shoe Cover</t>
  </si>
  <si>
    <t>FOR THE CONSULTANCY SERVICES FOR THE CONDUCT OF PARCELLARY SURVEY PLAN FOR THE CONSTRUCTION OF BYPASS AND DIVERSION ROAD, PAGBILAO – TAYABAS – LUCBAN DIVERSION ROAD, QUEZON PROVINCE</t>
  </si>
  <si>
    <t>Supply and delivery materials for the construction of perimeter fence and steel gate of municipal compound</t>
  </si>
  <si>
    <t>(PIHO) REQUEST FOR QUOTATION (RFQ) For the Procurement of Medical Supplies</t>
  </si>
  <si>
    <t>HFEP ITB 2020-001 Equipment</t>
  </si>
  <si>
    <t>Procurement of Printing Registries and Record Forms</t>
  </si>
  <si>
    <t>20CF0002-Geotechnical Survey/Soil Exploration of Fourteen (14) Construction of Flood Mitigation Structure and Three (3) Widening of Bridge</t>
  </si>
  <si>
    <t>Procurement of Decontamination Materials</t>
  </si>
  <si>
    <t>2 gal. Dishwashing liquid</t>
  </si>
  <si>
    <t>PROCUREMENT OF OFFICE EQUIPMENT, PROJECT MMK, PROJECT G-NEWS.COM, PROJECT TLE, AND BALIK SIGLA SA MAPEH (MUSIC, PE, HEALTH)</t>
  </si>
  <si>
    <t>Procurement of  Batteries</t>
  </si>
  <si>
    <t>PURCHASE OF SUPPLIES AND MATERIALS FOR SMOKE FREE BARANGAY AND SOLID WASTE MANAGEMENT CAMPAIGN PROGRAM</t>
  </si>
  <si>
    <t>PRINTING AND BINDING</t>
  </si>
  <si>
    <t>BALURAN ELEMENTARY SCHOOL MARCH &amp; APRIL 2020 MOOE</t>
  </si>
  <si>
    <t>Garbage hauling services for August 01, 2020 - December 31, 2020</t>
  </si>
  <si>
    <t>PURCHASE OF SUPPLIES AND MATERIALS FOR WASTE MANAGEMENT</t>
  </si>
  <si>
    <t>PROCUREMENT OF HARDWARE MATERIALS FOR OFFICE WINDOWS AND DIVISION WALL INCLUDING INSTALLATION SERVICE</t>
  </si>
  <si>
    <t>Payment for Labor services</t>
  </si>
  <si>
    <t>SUPPLY &amp; DELIVERY OF OFFICE SUPPLIES - ENGINEERING OFFICE</t>
  </si>
  <si>
    <t>PURCHASE OF OTHER SUPPLIES AND MATERIALS</t>
  </si>
  <si>
    <t>PRIORITY DEVELOPMENT AREAS AND PARTNERS ON INTERNATIONAL COOPERATION: ASEAN REGION</t>
  </si>
  <si>
    <t>REHABILITATION/IMPROVEMENT OF LEVEL II POTABLE WATER SYSTEM</t>
  </si>
  <si>
    <t>PURCHASE OF FURNITURE AND FIXTURES</t>
  </si>
  <si>
    <t>SUPPLY AND DELIVERY OF DEVICES AND EQUIPMENTS FOR MUNICIPAL BIRTHING HOME, ALEOSAN, COTABATO</t>
  </si>
  <si>
    <t>SUPPLY OF FOUR (4) UNITS OFFICE EQUIPMENT</t>
  </si>
  <si>
    <t>Supply and Delivery of Pick-up Truck</t>
  </si>
  <si>
    <t>ESTABLISHMENT OF ECO-TOURISM FACILITIES (IMPROVEMENT OF MP BUILDING)</t>
  </si>
  <si>
    <t>05-07-2020 - CONCRETING OF FARM TO MARKET ROAD WITH INSTALLATION OF SOLAR STREETLIGHTS</t>
  </si>
  <si>
    <t>Materials and supplies for the summer In-service training 2020</t>
  </si>
  <si>
    <t>Purchase of hardware supplies for the repair and improvement of Mayor's Office (flooring) New City Hall Building.</t>
  </si>
  <si>
    <t>MOOE Request for the Months of April, May and June, 2020</t>
  </si>
  <si>
    <t>Purchase of IT parts and accessories (Computer with printer) for CENRO.</t>
  </si>
  <si>
    <t>PURCHASE OF ADDITIONAL CCTV</t>
  </si>
  <si>
    <t>Repair and Rehabilitation of Supply and COA Office</t>
  </si>
  <si>
    <t>PURCHASE OF COMMUNICATION EQUIPMENT</t>
  </si>
  <si>
    <t>REHABILITATION OF DRAINAGE SYSTEM</t>
  </si>
  <si>
    <t xml:space="preserve">19GL00110; P.R. No. 2020-03-034 DATED 03/03/2020: PROCUREMENT OF VARIOUS JOB ORDERS: LABOR AND MATERIALS, FOR THE REPLACEMENT OF WORN-OUT PARTS, FOR USE OF VARIOUS GOVERNMENT VEHICLES WITH PLATE NOS. </t>
  </si>
  <si>
    <t>20CF0130 Repair/Maintenance of Public Buildings</t>
  </si>
  <si>
    <t>Procurement of sewing equipment</t>
  </si>
  <si>
    <t>PURCHASE OF SUPPLIES AND MATERIALS FOR  TREE TRIMMING AND STREET LIGHTING PURPOSES</t>
  </si>
  <si>
    <t>Purchase of LED Smart TV 42"</t>
  </si>
  <si>
    <t>Procurement of fabric for face mask production</t>
  </si>
  <si>
    <t>Supply, Delivery and Commissioning of Submersible Pumps and Motors, Motor Controller (VFD) and Accessories for PS No. 7</t>
  </si>
  <si>
    <t>Barangay 581 MOOE "R/M OF CCTV CAMERA" / C.O. "LAPTOP W/ PRINTER" / RRMF "CCTV CAMERA" 2020</t>
  </si>
  <si>
    <t>IMPROVEMENT OF MULTI- PURPOSE FACILITY</t>
  </si>
  <si>
    <t>PR-2020-06-001 SHS</t>
  </si>
  <si>
    <t>Supply, Delivery and Implementation of HIMS of Tarlac Provincial Hospital (Rebid) - B-G-2020-081</t>
  </si>
  <si>
    <t>Purchase of copier machine ink for Office of the Building Official.</t>
  </si>
  <si>
    <t>Supply, Delivery and Commissioning of Generator Set for PS No. 7 and No. 8</t>
  </si>
  <si>
    <t>Procurement of disinfectant tool</t>
  </si>
  <si>
    <t>19GL00111; P.R. No. 2020-06-061 DATED 06/04/2020: PROCUREMENT OF VARIOUS TIRES, FOR USE IN THE CORRECTIVE &amp; PREVENTIVE MAINTENANCE OF VARIOUS SERVICE VEHICLES ASSIGNED AT DPWH R.O. XI, UNDER THE EQUIP</t>
  </si>
  <si>
    <t>Purchase of T-Shirt to be used as uniform of CSU personnel (job order)</t>
  </si>
  <si>
    <t>Procurement of Headsets for Teleconferencing of School Heads and Key Officials of DepEd - Science City of Munoz</t>
  </si>
  <si>
    <t>Supply and Delivery of ICT Equipment for 2020</t>
  </si>
  <si>
    <t>Bernardo Carpio National High School SH-2020MOOE</t>
  </si>
  <si>
    <t>Rehabilitation of Local Access Road, Subec, Sta. Catalina, Ilocos Sur</t>
  </si>
  <si>
    <t>Procurement of medical supplies for the clinic</t>
  </si>
  <si>
    <t>Construction of Tibag Barangay Road</t>
  </si>
  <si>
    <t>Supply and Delivery of Aggregates at baobo CIS</t>
  </si>
  <si>
    <t>Supply and Delivery of Spare Parts</t>
  </si>
  <si>
    <t>PROCUREMENT OF FOOD PACKS FOR DISTRIBUTION TO HOUSEHOLDS IN THE MUNICIPALITY SEVERELY AFFECTED BY THE ONSLAUGHT OF TYPHOON TISOY IN DECEMBER 2019</t>
  </si>
  <si>
    <t>Procurement of Geotagging Device</t>
  </si>
  <si>
    <t>Repair &amp; Maintenance of Motor Vehicle</t>
  </si>
  <si>
    <t>Supply, Delivery and Commissioning of Submersible Pumps and Motors, Motor Controller (VFD) and Accessories for PS No. 8</t>
  </si>
  <si>
    <t>PR-2020-06-009 JHS</t>
  </si>
  <si>
    <t>CONSTRUCTION OF TWO LAYER OPEN CANAL WITH COVER (241.00 LM)</t>
  </si>
  <si>
    <t>Supply and Delivery of Aggregates at Angas CIS</t>
  </si>
  <si>
    <t xml:space="preserve">19GL00112; P.R. No. 2020-06-061 DATED 06/04/2020: PROCUREMENT OF VARIOUS FILTERS &amp; LUBRICANT, FOR USE IN THE CORRECTIVE &amp; PREVENTIVE MAINTENANCE OF VARIOUS SERVICE VEHICLES, ASSIGNED AT DPWH R.O. XI, </t>
  </si>
  <si>
    <t>Procurement of thermal scanner</t>
  </si>
  <si>
    <t>Barangay 726 C.O. "MOTORCYCLE WITH SIDECAR" 2020</t>
  </si>
  <si>
    <t>Concepcion ES Supplies for June</t>
  </si>
  <si>
    <t>PRIORITY DEVELOPMENT AREAS AND PARTNERS ON INTERNATIONAL COOPERATION: ASIA AND THE PACIFIC REGION</t>
  </si>
  <si>
    <t>Supply, Delivery and Commissioning of Submersible Pumps and Motors with Accessories for PS No. 4, PS N0. 9 and PS No. 9A</t>
  </si>
  <si>
    <t>Procurement of Drugs and Medicines for use at the Pharmacy Section of the IPHO-TPH (Rebid) - B-G-2020-083</t>
  </si>
  <si>
    <t>Construction of Sanitary Toilet &amp; Hygiene Facility, Poblacion, Sta. Catalina, Ilocos Sur</t>
  </si>
  <si>
    <t>20-06-445 Purchase of Fuel for Oplan Ligtas na Pamayanan Program under Bureau of Fire Protection (BFP)</t>
  </si>
  <si>
    <t>Procurement of Other Supplies and Materials - Cleaning Materials of Patricia Homes Elementary School</t>
  </si>
  <si>
    <t>PAYMENT OF RELOCATION AND TOPOGRAPHIC SURVEY</t>
  </si>
  <si>
    <t>Supply and Delivery of Face Masks for students</t>
  </si>
  <si>
    <t>PB-20-208, Supply &amp; Delivery of Adlai Thresher with Machine to be given to qualified association in the province</t>
  </si>
  <si>
    <t>Supply &amp; delivery of materials to be used for the Repair/Maintenance along Manila North Road</t>
  </si>
  <si>
    <t>SUPPLY &amp; DELIVERY OF DISINFECTING SUPPLIES</t>
  </si>
  <si>
    <t>Evening Opportunity High School Supplies for June</t>
  </si>
  <si>
    <t>Procurement of office furniture</t>
  </si>
  <si>
    <t>Installation of Solar Streetlights</t>
  </si>
  <si>
    <t>Procurement of office furniture for the guidance office</t>
  </si>
  <si>
    <t>20GKA0005 / 2020-06-0136  Supply and delivery of Office supplies not available in PS DBM for the 2nd Quarter of CY 2020 DPWH Bukidnon 1st DEO, Malaybalay City</t>
  </si>
  <si>
    <t>Procurement of Laboratory Supplies for use of the IPHO-TPH (Rebid) - B-G-2020-082</t>
  </si>
  <si>
    <t>Procurement of USB Hub, Network Switch and Router</t>
  </si>
  <si>
    <t>Supply &amp; delivery of thermoplastic materials to be used for the pavement markings along Old Cagayan Valley Road &amp; Pulilan Rail Road Station</t>
  </si>
  <si>
    <t xml:space="preserve">19GL00113; P.R. No. 2020-02-031 DATED 02/27/2020: PROCUREMENT OF VARIOUS FURNITURES, FOR USE IN THE SATELLITE MATERIALS TESTING LABORATORY (SMTL) LOCATED AT DPWH DAVAO ORIENTAL 2ND DEO, CITY OF MATI, </t>
  </si>
  <si>
    <t>CONSTRUCTION OF HEALTH CENTER</t>
  </si>
  <si>
    <t>Procurement of medical Supplies</t>
  </si>
  <si>
    <t>20-05-409 Purchase of Cacao Seedlings for Cacao Production, Processing and Marketing Project under DAR-MinSAAD</t>
  </si>
  <si>
    <t>INVITATION TO BID: PROCUREMENT (SUPPLY AND DELIVERY) OF BRAND NEW MOTOR VEHICLES</t>
  </si>
  <si>
    <t>PB-20-325, Supply &amp; Delivery of Acrylic Laser Cutter and Printer for MuseyoKutawato, Amas, Kidapawan City</t>
  </si>
  <si>
    <t>PB-20-330, Supply &amp; Delivery of Laboratory Reagents for Pres. Roxas Provincial Community Hospital, Pres. Roxas, Cotabato</t>
  </si>
  <si>
    <t>Procurement of ICT Equipment for the Relocation of the Servers to the New Server Room (Rebid) - B-G-2020-085</t>
  </si>
  <si>
    <t>Procurement of Various Surveying, Printing and Geotagging Equipment for PRDP Project Preparation (Rebid) - B-G-2020-084</t>
  </si>
  <si>
    <t>Supply and delivery of Polo Shirts for NIA 57th Founding Anniversary</t>
  </si>
  <si>
    <t>PB-20-329, Supply &amp; Delivery of Hardware Supplies to be given to various clients in the municipalities of Pres. Roxas, Antipas &amp; Arakan, Province of Cotabato</t>
  </si>
  <si>
    <t>Upgrading of BiPSU Electrical System Main Campus and Biliran Campus</t>
  </si>
  <si>
    <t>Engagement of Consulting Services for PCC Market Study on Philippine Construction Industry</t>
  </si>
  <si>
    <t>PROCUREMENT OF SUPPLIES</t>
  </si>
  <si>
    <t>PB-20-328, Supply &amp; Delivery of Training Supplies for the conduct of various activities of the PDRRMO, Amas, Kidapawan City</t>
  </si>
  <si>
    <t>SUPPLY AND DELIVERY OF LIGHTING FIXTURES</t>
  </si>
  <si>
    <t>PB-20-327, Supply &amp; Delivery of Office &amp; IT Equipment for Provincial Social Welfare &amp; Development Office, Amas, Kidapawan City</t>
  </si>
  <si>
    <t>PB-20-326, Supply of Petroleum Products for Provincial Social Welfare and Development Office, Amas, Kidapawan City</t>
  </si>
  <si>
    <t>Procurement of Chemical Products</t>
  </si>
  <si>
    <t>Purchase of Ceiling Fan (Orbit Fan)</t>
  </si>
  <si>
    <t>PB-20-299, Supply &amp; Installation of Glass Doors for Mlang District Hospital, Mlang, Cotabato</t>
  </si>
  <si>
    <t>PROCUREMENT OF 1 UNIT WATER MOTOR, PRESSURE TANK WITH FITTINGS &amp; WATER MOTOR FITTINGS</t>
  </si>
  <si>
    <t>1 Lot Provision of Labor, Materials and Equipment for the Concreting of Road at Brgy. San Andres, Julita, Leyte. ABC PHP774,707.56</t>
  </si>
  <si>
    <t>Supply and Delivery of various Construction Supplies and Materials for Enhancement of LSA/SPA/ESP - Luntiang Republika Ecofarm, Alfonso, Cavite</t>
  </si>
  <si>
    <t>Supply of Fuel for the Repair and Maintenance of Mababanaba, San Jose-Sta. Ines West, Sta. Ignacia Provincial Road - B-G-2020-088</t>
  </si>
  <si>
    <t>Provision of Meals and Snacks for the conduct of TOT on Production of High Quality Inbred Rice Seeds and Farm Mechanization - July 20 - 31, 2020</t>
  </si>
  <si>
    <t>Supply and Delivery of Cultivating Tiller and Multipurpose Shredder for Enhancement of LSA/SPA/ESP - Quality Lifelong Learning Institute Inc., Morong, Rizal</t>
  </si>
  <si>
    <t>Supply of Fuel for the Repair and Maintenance of Dueg, San Clemente Labney, Mayantoc Provincial Road - B-G-2020-087</t>
  </si>
  <si>
    <t>SUPPLY AND DELIVERY OF IT EQUIPMENT: LARGE FORMAT SCANNER</t>
  </si>
  <si>
    <t>Procurement of Constructions Materials and Supplies</t>
  </si>
  <si>
    <t>1 Lot Provision of Labor, Materials and Equipment for the Construction of 2 units Comfort Room at Leyte Provincial Hospital. ABC PHP285,651.87</t>
  </si>
  <si>
    <t>Procurement of  Server with Installed Operating System</t>
  </si>
  <si>
    <t>20OH0152-Local Program - Local   Infrastructure  Program - Buildings  and  other  Structures - Multi-Purpose/Facilities-Construction/Rehabilitation of Various Multi-purpose Building, Baseco Port Area,</t>
  </si>
  <si>
    <t>PB-20-331, Supply &amp; Delivery of Agricultural Chemicals for the Office of the Provincial Agriculturist, Amas, Kidapawan City</t>
  </si>
  <si>
    <t>Procurement of Laboratory Supplies for use at the Laboratory Section of GOTMH, Camiling, Tarlac (Rebid) - B-G-2020-086</t>
  </si>
  <si>
    <t>REHABILITATION/REPAINTING OF MULTI-PURPOSE BLDG., Barangay V, Daet Camarines Norte</t>
  </si>
  <si>
    <t>PROCUREMENT OF COVID-19 RESPONSE ITEM</t>
  </si>
  <si>
    <t>Barangay 695 BDF/RRMF "CCTV CAMERA" 2020</t>
  </si>
  <si>
    <t>Supply and Delivery of various Training Supplies and Materials for the conduct of CRA Activity in Gen. Nakar (Skills Training on Coco Coir Handicraft) - July 29 - 31, 2020</t>
  </si>
  <si>
    <t>ITB No. GOP/20-DSWD-042 - Subscription to a Multi-Telco Bulk SMS Service for DSWD Enterprise</t>
  </si>
  <si>
    <t>TARPAULIN PRINTING FOR COVID-19 PROTOCOLS, ENROLLMENT PROCEDURE, BRIGADA ESKWELA, ETC.</t>
  </si>
  <si>
    <t>PROCUREMENT OF TRAINING MATERIALS FOR SUMMER INSET</t>
  </si>
  <si>
    <t>UPS and Printer</t>
  </si>
  <si>
    <t>PROCUREMENT OF VEHICLES FOR SOLID WASTE MANAGEMENT PROGRAM</t>
  </si>
  <si>
    <t>Supply, Delivery and Commissioning of Generator Sets and Automatic Transfer Switch for PS No. 9 and PS No. 9A</t>
  </si>
  <si>
    <t>Procurement of Sevoflurane Inhalation for use at the Operating Room of the IPHO-TPH - B-G-2020-090</t>
  </si>
  <si>
    <t>Supply and Delivery of various Construction Supplies and Materials and Agricultural Input for Enhancement of LSA/SPA/ESP - Bunch Farm, Lucena City, Quezon</t>
  </si>
  <si>
    <t>(PA) INVITATION TO BID FOR THE SUPPLY &amp; DELIVERY OF DESKTOP COMPUTERS, LAPTOP, NETWORK SWITCH, ETC. FOR THE  PROVINCIAL ADMINISTRATOR’S OFFICE--401,500.00</t>
  </si>
  <si>
    <t>Provision of Meals and Snacks for the conduct of TOT on Production of High Quality Inbred Rice Seeds and Farm Mechanization - August 2020</t>
  </si>
  <si>
    <t>Procurement of Reading Materials for use during the implementation of Library on Wheels - B-G-2020-092</t>
  </si>
  <si>
    <t>Procurement of Automated Immunoassay System for use at the Bloodbank Section of the IPHO-TPH - B-G-2020-089</t>
  </si>
  <si>
    <t>PROCUREMENT OF PHOTOCOPIER CARTRIDGE TONER</t>
  </si>
  <si>
    <t>2020 Capital Outlay - Admin Facilities</t>
  </si>
  <si>
    <t>Procurement of Office Supplies for use of different offices of the Provincial Government of Tarlac - B-G-2020-091</t>
  </si>
  <si>
    <t>Procurement of Security Services for BARMM-MPW Maguindanao 1st District Engineering Office</t>
  </si>
  <si>
    <t>Courier Services</t>
  </si>
  <si>
    <t>PROCUREMENT OF COMMON OFFICE SUPPLIES (2ND QUARTER)</t>
  </si>
  <si>
    <t>Provision of Food, Accommodation and function amenities for the conduct of Refresher Course on Seed Growers with Provision of Extension Support - August 25 to 27, 2020</t>
  </si>
  <si>
    <t>REHABILITATION OF BARANGAY ROAD</t>
  </si>
  <si>
    <t>Procurement of Hygiene Kits with Pouch Bag for use during the implementation of Kits for Kids 7th Wave - B-G-2020-093</t>
  </si>
  <si>
    <t>Implementation of Essential Health Care Program - B-G-2020-094</t>
  </si>
  <si>
    <t>Improvement and Installation of Slaughter House Facility – MEO 2nd Bid</t>
  </si>
  <si>
    <t>Procurement of Meals and Snacks for meetings, visitors and other activity - MO</t>
  </si>
  <si>
    <t>Procurement of Fuel, Oil and Lubricants for Construction of Brash Dam - MEO</t>
  </si>
  <si>
    <t>Consulting Services for Cabacanan Small Reservoir Irrigation Project-Detailed Engineering</t>
  </si>
  <si>
    <t>Procurement of Siren and Installation for early warning system - MDRRMO</t>
  </si>
  <si>
    <t>PROCUREMENT OF 1 SET CCTV PACKAGE</t>
  </si>
  <si>
    <t>Tawi-Tawi LHIO Office Equipment -Air Con</t>
  </si>
  <si>
    <t>Procurement of Thirteen (13) Units High Speed Color Document Scanner, Brand New</t>
  </si>
  <si>
    <t>REPAIR OF 1 UNIT AIRCON</t>
  </si>
  <si>
    <t>Procurement of Office Supplies - June 2020</t>
  </si>
  <si>
    <t>Purchase of various Medicine and Medical Supplies</t>
  </si>
  <si>
    <t>Supply and Delivery of various Agricultural Tools, Materials and Inputs for Extension Initiatives towards Marginalized Groups/Special Concern - Rizal Province</t>
  </si>
  <si>
    <t>1 Lot Provision of Labor, Material and Equipment for the Improvement of Multi-Purpose Building in Brgy. Mahayhay, Alguera, Leyte. ABC PHP789,274.46</t>
  </si>
  <si>
    <t>Procurement of Facemask for SHS Students, Faculty &amp; Staff</t>
  </si>
  <si>
    <t>SUPPLY AND DELIVERY OF BRAND-NEW DECANTER MACHINE FOR ASPHALT BATCHING PLANT</t>
  </si>
  <si>
    <t>Supply and Delivery of various Agricultural Inputs, Supplies and Materials for Community-Based Nursery Incubation Project - July 28, 2020</t>
  </si>
  <si>
    <t>Supply and Delivery of Farm Inputs</t>
  </si>
  <si>
    <t>Supply and Delivery of Garden Materials</t>
  </si>
  <si>
    <t>Completion of Day Center</t>
  </si>
  <si>
    <t>REHABILITATION OF LOCAL ROAD OF BRGY. BALIUAG VIEJO AT ZONE ZONE 3</t>
  </si>
  <si>
    <t>Supply and Delivery of various Training Supplies and Materials for the conduct of Extension Initiatives in Marginalized Groups / Special Concern (Training on OA for Organization)</t>
  </si>
  <si>
    <t>PROCUREMENT OF VARIOUS MEDICAL EQUIPMENT (DIGITAL MASS CHEST RADIOGRAPHY, NAVIGATIONAL BRONCHOSCOPE, ELECTROSURGICAL MACHINE WITH ADVANCED VESSEL SEALING MODULE, CARDIOPULMONARY EXERCISE TEST MACHINE,</t>
  </si>
  <si>
    <t>REHABILITATION OF LOCAL ROAD OF BRGY. BALIUAG VIEJO AT ZONE ZONE 4B</t>
  </si>
  <si>
    <t>Supply and Delivery of 1 Unit Clutch Lining &amp; Other Items; PR No. 20-1298 dated April 21, 2020</t>
  </si>
  <si>
    <t>Rehabilitation of Brgy. Madanding FMR</t>
  </si>
  <si>
    <t>REHABILITATION OF LOCAL ROAD OF BRGY. BALIUAG VIEJO AT ZONE 1</t>
  </si>
  <si>
    <t>REHABILITATION OF LOCAL ROAD OF BRGY. BALIUAG VIEJO AT ZONE ZONE 2</t>
  </si>
  <si>
    <t>CNH-0320-032</t>
  </si>
  <si>
    <t>PRE-BID CONFERENCE 23/June/2020 - Procurement of Goods: Supply and Installation of Panoramic/Scenic ELEVATOR for the use of CMO (Const'n &amp; Maint. of City Hall Bldg. of Tagum) (PR#100-20-06-0032)</t>
  </si>
  <si>
    <t>Hiring of 2 Agency Security Guards</t>
  </si>
  <si>
    <t>Catering services to be served during the conduct of ATI Staff Monthly Meeting, MANCOMM, and other activities of the center from July 2020-December 2020</t>
  </si>
  <si>
    <t>Supply and Delivery of 20 Gal. Gasoline Engine Oil &amp; Other Item; PR No. 20-1339 dated April 23, 2020</t>
  </si>
  <si>
    <t>Supply and Delivery of 1 Unit Hardware Firewall, License, 2 years &amp; Other Items; PR No. 20-1338 dated March 23, 2020</t>
  </si>
  <si>
    <t>Agricultural Products (Seeds, Seedlings, Plants..) to be used during the conduct of Webinar Episodes on Common Insect Pests in Vegetables and Common Diseases</t>
  </si>
  <si>
    <t>Printing services to be used during the conduct of Webinar Episodes on Common Insect Pests in Vegetables and Common Diseases</t>
  </si>
  <si>
    <t>Supply and Delivery of 1 Pc. Ball Stud #23B-27-31580 &amp; Other Items; PR No. 20-1302 dated January 6, 2020</t>
  </si>
  <si>
    <t>Procurement of Petroleum</t>
  </si>
  <si>
    <t>Office Supplies and Devices to be used during the conduct of Webinar Episodes on Common Insect Pests in Vegetables and Common Diseases</t>
  </si>
  <si>
    <t>INFORMATION &amp; COMMUNICATION TECHNOLOGY EQUIPMENT</t>
  </si>
  <si>
    <t>CONSTRUCTION OF EVACUATION CENTER PHASE 4</t>
  </si>
  <si>
    <t>PPD-20-043 NP3 (SV)</t>
  </si>
  <si>
    <t>Procurement of Medical Supplies Lot 1</t>
  </si>
  <si>
    <t>Purchase of various electrical supplies for installation of lighting system at 94th Infantry Batallion Army Detachment at Bry. Tambo, Ayungon, Negros Oriental -electrical works</t>
  </si>
  <si>
    <t>Procurement of Personal Protective Equipment</t>
  </si>
  <si>
    <t>Construction of WWS, Podpod-Paddig to ES Baclas, Apatan, Pinukpuk</t>
  </si>
  <si>
    <t>Procurement of Male Condom</t>
  </si>
  <si>
    <t>SUPPLY AND DELIVERY OF OFFICE SUPPLIES AND ACCESSORIES FOR MGB-X APP CSE 2020 PART I.</t>
  </si>
  <si>
    <t>Procurement of Lynestrenol</t>
  </si>
  <si>
    <t>Provision of Outdoor Facilities (Physical Activity Equipment) and Construction of Perimeter Fence Phase 2 - Outdoor Facilities</t>
  </si>
  <si>
    <t>Repair &amp; Construction of WWS, Bonnong-Taga, Pinukpuk</t>
  </si>
  <si>
    <t>Supply and Delivery of 3 Pieces CCTV NVR &amp; Other Items; PR No. 20-1243 dated April 4, 2020</t>
  </si>
  <si>
    <t>Procurement of 1 Lot Meals &amp; Snacks; PR No. 20-1212 dated March 23, 2020</t>
  </si>
  <si>
    <t>Purchase of Cudgel to be used at Various Barangays in Mangatarem, Pangasinan</t>
  </si>
  <si>
    <t>20GFO0015 - Supply and Delivery of Materials for Work Cat. 10: Activity 122 - Cracks and Joint of Concrete Pavement along National Roads within the 3rd District of Albay</t>
  </si>
  <si>
    <t>Supply &amp; delivery of 510 Vials Rabies Vaccine; PR No. 20-1380 dated May 22, 2020</t>
  </si>
  <si>
    <t>Procurement of Multivitamins with Inositol</t>
  </si>
  <si>
    <t>Supply &amp; delivery of 4 Unit Pressure Washer &amp; other items; PR No. 20-1385 dated May 29, 2020</t>
  </si>
  <si>
    <t>INVITATION TO BID FOR THE PROCUREMENT OF BOOKS FOR THE UNIVERSITY LIBRARY OF THE LAGUNA STATE POLYTECHNIC UNIVERSITY MAIN CAMPUS</t>
  </si>
  <si>
    <t>Reblocking of St. Bernard Municipal Road, Barangay Himatagon, St. Bernard, Southern Leyte</t>
  </si>
  <si>
    <t>Completion/Concreting of Barangay Road, Brgy. Lumbog, Hinunangan, Southern Leyte</t>
  </si>
  <si>
    <t>Construction of Canopy of Covered Court, Barangay Cantutang, Padre Burgos, Southern Leyte</t>
  </si>
  <si>
    <t>Construction of Magaupas River Control, Barangay Magaupas, Liloan, Southern Leyte</t>
  </si>
  <si>
    <t>Procurement of School Supplies of Miluya ES</t>
  </si>
  <si>
    <t>Completion of Cabul-anonan Seawall, Barangay Cabul-anonan, Malitbog, Southern Leyte</t>
  </si>
  <si>
    <t>Construction of San Ramon CHB Canal, Barangay San Ramon, Bontoc, Southern Leyte</t>
  </si>
  <si>
    <t>20GFO0014 - Purchase of One (1) Set - Portable Weigh-in-Motion (WIM) Axle Weigher, for Use in Axle Load Survey Program of DPWH Albay 3rd DEO, Paulog, Ligao City</t>
  </si>
  <si>
    <t>Construction of Ilihan Concrete Pavement, Barangay Ilihan, Macrohon, Southern Leyte</t>
  </si>
  <si>
    <t>REBID-ELECTRIFICATION OF UN-ENERGIZED SCHOOLS AND MODERNIZATION OF ELECTRICAL SYSTEMS ON-GRID SCHOOLS AT BONUAN BOQUIG NHS</t>
  </si>
  <si>
    <t>REBID-ELECTRIFICATION OF UN-ENERGIZED SCHOOLS AND MODERNIZATION OF ELECTRICAL SYSTEMS ON-GRID SCHOOLS AT JUDGE JOSE DE VENECIA, SR. TECHNICAL-VOCATIONAL SECONDARY SCHOOL</t>
  </si>
  <si>
    <t>Concreting of Pandan Road, Barangay Pandan, Sogod, Southern Leyte</t>
  </si>
  <si>
    <t>Construction of Multi-Purpose Hall, Barangay San Antonio, Tomas Oppus, Southern Leyte, Southern Leyte</t>
  </si>
  <si>
    <t>Rehabilitation of Barangay Pandan Multi-Purpose Building, Barangay Pandan, Liloan, Southern Leyte</t>
  </si>
  <si>
    <t>Concreting of Barangay Road</t>
  </si>
  <si>
    <t>Concreting of Soro-Soro-Hanginan Barangay Road, Maasin City, Southern Leyte</t>
  </si>
  <si>
    <t>Rehabilitation of Spring Development Project, Barangay Mahayag, St. Bernard, Southern Leyte</t>
  </si>
  <si>
    <t>Fabrication &amp; Installation of PAIASO Shelves, Capitol Site, Asuncion, Maasin City, Southern Leyte</t>
  </si>
  <si>
    <t>ELECTRIFICATION OF UN-ENERGIZED SCHOOLS AND MODERNIZATION OF ELECTRICAL SYSTEMS ON-GRID SCHOOLS AT CARAEL NATIONAL HIGH SCHOOL</t>
  </si>
  <si>
    <t>Purchase of Drone Camera</t>
  </si>
  <si>
    <t>Purchase of Fuel (Diesel) –  Office of the Municipal Mayor</t>
  </si>
  <si>
    <t>Concreting of Dagsa Barangay Road, Barangay Dagsa, Sogod, Southern Leyte</t>
  </si>
  <si>
    <t>Purchase of Fuel (Diesel) –  Municipal Health Office</t>
  </si>
  <si>
    <t>Supply and delivery of hardware materials use for the Construction of Multi Purpose Building, Sidaga</t>
  </si>
  <si>
    <t>CONSTRUCTION OF STORM DRAINAGE (Butao)</t>
  </si>
  <si>
    <t>Continuation of Naguilian Flood Control (remaining item of the original POW)</t>
  </si>
  <si>
    <t>P.R. No. X11-20-02-104 - Supply and Delivery for the repair and maintenance of Mitsubishi Montero, H1-7670 (B5-G363) assigned at COA</t>
  </si>
  <si>
    <t>Construction of Material Recovery Facilities of Barangay Ambacon</t>
  </si>
  <si>
    <t>P.R. No. X11-20-04-194 - Supply and Delivery for the use of Ford Ranger Pick-up, H1-5972 (100803/ABB-7023), assigned at EMD</t>
  </si>
  <si>
    <t>Procurement of Various Office Supplies</t>
  </si>
  <si>
    <t>MG-A5M20-076 ( PAINT, EPOXY, COMPONENT A&amp;B + 2 ITEMS )</t>
  </si>
  <si>
    <t>Installation of 6 Units Solar Street Light of Barangay Poblacion</t>
  </si>
  <si>
    <t>Supply &amp; delivery of 10 Packs Cotton Pledget &amp; other items; PR No. 20-0799 dated March 10, 2020</t>
  </si>
  <si>
    <t>YMANDAYA VILLAGE REPLICA FACILITIES</t>
  </si>
  <si>
    <t>P.R. No. X4-20-03-137 - Supply and Delivery for the use in the Construction Division</t>
  </si>
  <si>
    <t>Supply and Delivery of Various CI Fittings</t>
  </si>
  <si>
    <t>20CSN012; CONSULTING SERVICES FOR THE GEOTECHNICAL AND GEOLOGICAL SURVEY/ INVESTIGATIONS FOR THE CONSTRUCTION OF STA. JOSEFA BRIDGE (PARALLEL) ALONG NRJ CUEVAS- SAMPAGUITA ROAD, AGUSAN DEL SUR</t>
  </si>
  <si>
    <t>Construction of 2 Units Material Recovery Facilities at Elementary and High School of Brgy. Marcos Calo</t>
  </si>
  <si>
    <t>GEPS2006-003</t>
  </si>
  <si>
    <t>Request for Quotation for the Provision of Transportation services to ferry ATI staff and participants on official business for the month of July to September 2020.</t>
  </si>
  <si>
    <t>UPGRADING OF POBLACION-MADALAPANG FMR</t>
  </si>
  <si>
    <t>RFQ - Maintenance (Rosa Bus)</t>
  </si>
  <si>
    <t>Vehicle Repair and Maintenance SHS 193</t>
  </si>
  <si>
    <t>IMPROVEMENT OF MULTI-PURPOSE BUILDING - CARONOAN- SAN  JUAN, ILOCOS SUR</t>
  </si>
  <si>
    <t>PROVISION OF 12 UNITS OF LED TV</t>
  </si>
  <si>
    <t>PR-2020-0783 One (1) Unit Multi-Commodity Solar Tunnel Dryer &amp; Seven (7) Units Fiber Glass Fish Holding Tanks(Negotiated)-PAO</t>
  </si>
  <si>
    <t>Purchase of 216 Half Sacks of Rice</t>
  </si>
  <si>
    <t>SABANGAN ROAD OPENING</t>
  </si>
  <si>
    <t>PR-2020-0734 One (1)  Unit Brand new Four Wheel Drive (FWD) Tractor (Negotiated)-PAO</t>
  </si>
  <si>
    <t>PR-2020-1268 Drugs &amp; Medicines-Fluids-CDH</t>
  </si>
  <si>
    <t>PR-2020-0350 Two (2) units Brand new Pick-Up (Renegotiated)-PDRRMO</t>
  </si>
  <si>
    <t>NOTICE TO CONDUCT FOR  PROCUREMENT OF LOT # 3 AND LOT # 4 OF REPAIR AND MAINTENANCE MATERIALS FOR BALINGASAG WATER DISTRICT</t>
  </si>
  <si>
    <t>Completion of Solar Dryer of P-5 &amp; P-6 of Barangay Bonifacio</t>
  </si>
  <si>
    <t>PR 1-20-03-0429, TO BE USED AT THE BUSINESS TAX &amp; OTHER FEES DIVISION, CITY TREASURER'S OFFICE.</t>
  </si>
  <si>
    <t>PR 1-20-01-0118, TO BE USED FOR VARIOUS SPORTS ACTIVITIES.</t>
  </si>
  <si>
    <t>Installation of 6 Units Solar Street Light of Barangay Malicato</t>
  </si>
  <si>
    <t>PR 1-20-02-0402, FOR USE DURING THE LOCALIZED BARANGAY SEARCH FOR SEAL OF GOOD ENVIRONMENTAL GOVERNANCE YEAR I - EVALUATION ON MAY 25 - 29, 2020 OF CITY ENVIRONMENT MANAGEMENT OFFICE, CEMO, THIS CITY.</t>
  </si>
  <si>
    <t>PR-2020-1190 Five (5) Units Misting Machine (Rebid)-PHO</t>
  </si>
  <si>
    <t>GEPS2006-004</t>
  </si>
  <si>
    <t>PR-2020-1189 Airconditioning Units (Rebid)-SPO</t>
  </si>
  <si>
    <t>PR-2020-0465 IT Equipment (Renegotiated)-PDRRMO</t>
  </si>
  <si>
    <t>PR-2020-0352 One (1) Unit Brand new Ambulance Van Type (Renegotiated)-PDRRMO</t>
  </si>
  <si>
    <t>RFQ for Hardware Supplies of IQA Office</t>
  </si>
  <si>
    <t>PR 1-20-03-0473, FOR USE OF THE LAW ENFORCEMENT TEAM - CITY LEGAL OFFICE, THIS CITY.</t>
  </si>
  <si>
    <t>PR 1-20-03-0515, FOR THE USE OF PUBLIC EMPLOYMENT SERVICE OFFICE SAN CARLOS CITY LOCAL GOVERNMENT UNIT TRAINING CENTER.</t>
  </si>
  <si>
    <t>PR 1-20-03-0437, TO BE USED FOR VARIOUS FOOTBALL ACTIVITIES 2020.</t>
  </si>
  <si>
    <t>PR 1-20-03-0482, FOR USE AT THE OFFICE OF THE CITY AGRICULTURIST, THIS CITY.</t>
  </si>
  <si>
    <t>RFQ for Hardware and Construction Supplies of Campus Director's Office</t>
  </si>
  <si>
    <t>PR 1-20-03-0487, FOR USE OF OFFICE OF THE BUILDING OFFICIAL, CITY ENGINEERING DEPARTMENT.</t>
  </si>
  <si>
    <t>Purchase of Office Supplies for use at Provincial General Services Office (PR NO. 100(01)20-02-0356)</t>
  </si>
  <si>
    <t>INVITATION TO BID FOR PROVISION OF SECURITY SERVICES FOR 2020</t>
  </si>
  <si>
    <t>: Supply and Delivery of Furnitures and Fixtures for the use of CMO-Local Public Transport Route Plan</t>
  </si>
  <si>
    <t>1-20-03-0501, FOR USE OF THE PEOPLE’S PARK MANAGEMENT OFFICE, THIS CITY.</t>
  </si>
  <si>
    <t>PR 1-20-03-0497, FOR THE USE OF GUESTS, FACILITATORS AND VISITORS OF THE PUBLIC EMPLOYMENT SERVICE OFFICE, THIS CITY.</t>
  </si>
  <si>
    <t>PR 1-20-03-0490, TO BE USED FOR VARIOUS FOOTBALL ACTIVITIES 2020.</t>
  </si>
  <si>
    <t>Opening of Road Naguilian Cemetery</t>
  </si>
  <si>
    <t>PR 1-20-03-0489, FOR USE OF THE STREET SWEEPERS, GARBAGE COLLECTORS AND SEGREGATORS, CEMO, THIS CITY.</t>
  </si>
  <si>
    <t>INVITATION TO BID FOR PURCHASE OF COMMON OFFICE SUPPLIES FOR F.Y. 2020</t>
  </si>
  <si>
    <t>ITB-140 Installation of Fire Sprinkler, Fire Detection and Alarm System,  Nasipit District Hospital, Nasipit, Agusan del Norte (REBID)</t>
  </si>
  <si>
    <t>Road Gravelling at Barangay Durian</t>
  </si>
  <si>
    <t>Construction of Material Recovery Facilities Building of Barangay Katipunan</t>
  </si>
  <si>
    <t>Representation Expenses (CYBER-PhP138,000.00)</t>
  </si>
  <si>
    <t>NEGOTIATED PROCUREMENT  OF WATER METER CLUSTERING</t>
  </si>
  <si>
    <t>Road Concreting of Barangay Road of Barangay Casiklan</t>
  </si>
  <si>
    <t>Procurement of Vehicle Spare Parts &amp; Labor - OVG/OSP</t>
  </si>
  <si>
    <t>Road Gravelling at Barangay Lingayao</t>
  </si>
  <si>
    <t>Construction of Rain Collector of Barangay Rosario</t>
  </si>
  <si>
    <t>Calibration of Dialysis Machine at Ziga Memorial District Hospital (PR NO. 100(01)20-05-1100)</t>
  </si>
  <si>
    <t>Procurement of Catering Services &amp; Venue - Lot 1 - Catering services - PDRRMO</t>
  </si>
  <si>
    <t>Installation of New Steel Pipelines that Crosses the Imbang Bridge located at Brgy. E. Lopez for Silay City Water District</t>
  </si>
  <si>
    <t>Procurement of Vehicle Spare Parts - OSP</t>
  </si>
  <si>
    <t>Procurement of Catering Services &amp; Venue - Lot 2 - Venue - PDRRMO</t>
  </si>
  <si>
    <t>Construction of Drainage Canal at Purok 1 &amp; Purok 1A of Barangay Pinana-an</t>
  </si>
  <si>
    <t>Fabrication of Twenty (20) Units Mechanical Coupling 150mm (6") for the jointing of B.I. Pipe 6" to uPVC Pipe 6" for Silay City Water District</t>
  </si>
  <si>
    <t>CHEST FREEZER</t>
  </si>
  <si>
    <t>PR-2020-0665 Portable Anthropometric Tool (Renegotiated)-PSWDO</t>
  </si>
  <si>
    <t>Procurement of Vehicle Spare Parts &amp; Labor - PDRRMO</t>
  </si>
  <si>
    <t>Procurement of Furniture and Fixtures</t>
  </si>
  <si>
    <t>Office Supplies , Equipment and consumables</t>
  </si>
  <si>
    <t>construction of stock room</t>
  </si>
  <si>
    <t>Road Concreting from Purok 1A to Purok 2 of Barangay San Roque</t>
  </si>
  <si>
    <t>Completion of Asinan-San Isidro Multi-Purpose Drying Pavement of Barangay San Isidro</t>
  </si>
  <si>
    <t>Rehabilitation of Multi-Purpose Building of Barangay Ibuan</t>
  </si>
  <si>
    <t>SUPPLY AND DELIVERY OF METER READING GADGET</t>
  </si>
  <si>
    <t>PR 1-20-05-0603, FOR THE USE OF THE INFORMATION OFFICE.</t>
  </si>
  <si>
    <t>PR 1-20-03-0517, REPAIR AND MAINTENANCE OF VARIOUS ROAD NETWORKS W/IN BRGY PROSPERIDAD 1ST QUARTER.</t>
  </si>
  <si>
    <t>PR 1-20-05-0586, FOR USE OF VARIOUS VEHICLES ASSIGNED IN SANITATION &amp; ENVIRONMENTAL PROTECTION PROGRAM, CITY ENVIRONMENT MANAGEMENT OFFICE CEMO, THIS CITY.</t>
  </si>
  <si>
    <t>SUPPLY AND DELIVERY OF VARIOUS PIPES AND FITTINGS, AND CONSTRUCTION MATERIALS</t>
  </si>
  <si>
    <t>Improvements of Multi-Purpose Hall of Barangay Maningalao</t>
  </si>
  <si>
    <t>PR 1-20-04-0551, FOR USE IN DISPERSAL AND UPGRADING OF SMALL FARM ANIMALS, CITY AGRICULTURE OFFICE, THIS CITY.</t>
  </si>
  <si>
    <t>PR 1-20-06-0659, FOR USE IN ANIMAL DISEASE CONTROL PROGRAM, CITY AGRICULTURE OFFICE, THIS CITY.</t>
  </si>
  <si>
    <t>Construction of Box Culvert of Barangay E.G. Montilla</t>
  </si>
  <si>
    <t>PR 1-20-04-0526, FOR USE OF FUSO CANTER# 2 SHW 643 &amp; MINI DUMPTRUCK SJL 848 ASSIGNED AT CED, THIS CITY.</t>
  </si>
  <si>
    <t>PR 1-20-06-0631, FOR USE IN THE ELECTRICAL SERVICES , CED, THIS CITY (BOOMTRUCK # 1, BOOMTRUCK # 2 , GENSET, PORTABLE GENERATOR AND PORTABLE WELDING MACHINE).</t>
  </si>
  <si>
    <t>PR 1-20-04-0532, FOR USE OF TRAFFIC ENFORCER’S UNIFORM SAN CARLOS CITY NEG. OCC.</t>
  </si>
  <si>
    <t>PR 1-20-06-0649, FOR USE IN THE  ELECTRICAL SERVICES, (CED ) THIS CITY.</t>
  </si>
  <si>
    <t>PR 1-20-06-0657, FOR USE IN VEGETABLE PRODUCTION PROGRAM, CITY AGRICULTURE OFFICE, THIS CITY.</t>
  </si>
  <si>
    <t>PR 4-20-03-0461, FOR USE OF  FORD RANGER XLS (PICK-UP STYLE) ASSIGNED AT CWD , THIS CITY.</t>
  </si>
  <si>
    <t>SUPPLY AND DELIVERY OF VARIOUS PIPES AND FITTINGS, AND VARIOUS CONSTRUCTION MATERIALS</t>
  </si>
  <si>
    <t>Procurement of Vehicle Spare Parts - PENRMO</t>
  </si>
  <si>
    <t>Motor Vehicle Maintenance - Mits. FB L300/SJL-591 (DepEd) and Mits. FB L300/SJL-594 (DepEd)</t>
  </si>
  <si>
    <t>Provision of labor, materials, equipment rentals and other incidentals needed for the Reconstruction of Screenhouse at DA-PREC, Sual, Pangasinan</t>
  </si>
  <si>
    <t>PR 401-20-03-0494, FOR USE OF THE CONSTRUCTION OF SIPAWAY ISLAND WASTEWATER TREATMENT FACILITY AND DRANAGE SYSTEM PHASE II AT BRGY. SAN JUAN, CITY ENVIRONMENT MANAGEMENT OFFICE,CEMO, THIS CITY.</t>
  </si>
  <si>
    <t>PR 2-20-03-0492, FOR USE OF PUBLIC TRANSPORT TERMINAL OFFICE, THIS CITY.</t>
  </si>
  <si>
    <t>Provision of labor, materials, equipment rentals and other incidentals needed for the Rehabilitation &amp; Enhancement of Mango Seedling Nursery at DA-INREC, Dingras, Ilocos Norte</t>
  </si>
  <si>
    <t>PR 9-20-04-0533, FOR THE USE OF SAN CARLOS CITY HOSPITAL, THIS CITY.</t>
  </si>
  <si>
    <t>PR 401-20-03-0453, FOR USE OF THE VARIOUS WATER INFRASTUCTURE PROJECTS OF THE CITY IN COMPLIANCE TO EXISTING ENVIRONMENTAL LAWS AND ADMINISTRATIVE ORDERS.</t>
  </si>
  <si>
    <t>Provision of labor, materials, equipment rentals and other incidentals needed for the Repair/Rehabilitation of Israel Type Greenhouse at Ilocos Norte Research &amp; Experiment Center, MMMSU Compound, Tabu</t>
  </si>
  <si>
    <t>PR 18-20-04-0550, ROAD CONCRETING OF ROADWAYS &amp; IMPROVEMENT OF DRAINAGE WITH SIDEWALK OF ALL INTERIOR ROADS OF STAGES 1 &amp; 2 OF URBAN RELOCATION SITE, PHASE 4.</t>
  </si>
  <si>
    <t>Procurement of Various Office Supplies  - SOYMPH</t>
  </si>
  <si>
    <t>Procurement of Vehicle Spare Parts &amp; Labor - PGO</t>
  </si>
  <si>
    <t>Provision of labor, materials, equipment rentals and other incidentals needed for the Reconstruction of Screenhouse at DA-INREC, Dingras Station, Brgy. Cali, Dingras, Ilocos Norte</t>
  </si>
  <si>
    <t>PR 4-20-06-0634, THIS PROJECT INCLUDES, THE PROCURMENT OF VARIOUS MATERIALS TO BE USED FOR URBAN AND RURAL WATER SYSTEM, THIS CITY.</t>
  </si>
  <si>
    <t>Procurement of Kitchen Equipment - SOYMPH</t>
  </si>
  <si>
    <t>Repair &amp; Maintenance of Reservoir PS &amp; Conduit - AWAS</t>
  </si>
  <si>
    <t>Procurement of Medical/Hospital Equipment  - ADH</t>
  </si>
  <si>
    <t>Procurement of Vehicle Spare Parts - PEO ENGINEERING</t>
  </si>
  <si>
    <t>Procurement of Electrical Supplies  - PENRMO</t>
  </si>
  <si>
    <t>Procurement of Various IT Equipment - ADMIN &amp; PSAO</t>
  </si>
  <si>
    <t>Procurement of Office Supplies - June 2020 - JHS</t>
  </si>
  <si>
    <t>Procurement of Various IT Equipment and Supplies - OVG</t>
  </si>
  <si>
    <t>PROCUREMENT OF MATERIALS AND EQUIPMENT FOR DISASTER PREPAREDNESS BARANGAY CANDANA-AY, AYUNGON, NEGROS ORIENTAL</t>
  </si>
  <si>
    <t>S &amp; D of Medical Supplies (PHO)</t>
  </si>
  <si>
    <t>Supply &amp; Delivery of Office Supplies</t>
  </si>
  <si>
    <t>Supply &amp; Delivery of Housekeeping Supply</t>
  </si>
  <si>
    <t>Procurement of Vehicle Spare Parts - SDH</t>
  </si>
  <si>
    <t>Supply &amp; Delivery of Bangus Fry (Lot 2)</t>
  </si>
  <si>
    <t>Procurement of Engine Oil, Oil Filter &amp; Labor - PGO</t>
  </si>
  <si>
    <t>Supply &amp; Delivery of Vehicle Battery</t>
  </si>
  <si>
    <t>Supply &amp; Delivery Fruits Plant</t>
  </si>
  <si>
    <t>Supply &amp; Delivery of Animal Feeds Lot 1</t>
  </si>
  <si>
    <t>Procurement of Housekeeping Supplies - PDH</t>
  </si>
  <si>
    <t>Supply &amp; Delivery of Hardware Supplies</t>
  </si>
  <si>
    <t>Supply &amp; Delivery of State Grease Bgone Lot 5A</t>
  </si>
  <si>
    <t>Supply &amp; Delivery of Anseptanios Terminal HPH (5 liter/gal)</t>
  </si>
  <si>
    <t>Supply &amp; Delivery of Office Equipment Lot 4</t>
  </si>
  <si>
    <t>Supply &amp; Delivery of Furniture Lot 3</t>
  </si>
  <si>
    <t>Supply &amp; Delivery of Housekeeping Supplies Lot 1</t>
  </si>
  <si>
    <t>Supply &amp; Delivery of Housekeeping Supplies</t>
  </si>
  <si>
    <t>Procurement of Various Office Supplies - PGO</t>
  </si>
  <si>
    <t>Procurement of Office Supplies - PGO</t>
  </si>
  <si>
    <t>Procurement of Catering Services - PPO</t>
  </si>
  <si>
    <t>LAND EXPANSION OF MOBO PORT @ BRGY. PINAMARBUHAN, MOBO, MASBATE</t>
  </si>
  <si>
    <t>Procurement of 1 Unit Chest Type Freezer - ADH</t>
  </si>
  <si>
    <t>Procurement of Greenhouse-Materials &amp; Installation  with complete Accessories &amp; Irrigation Facilities - PAGSO</t>
  </si>
  <si>
    <t>Financial Assistance for the Concreting Barangay Road</t>
  </si>
  <si>
    <t>Procurement of Various Housekeeping Supplies - OVG</t>
  </si>
  <si>
    <t>Repair and rehabilitation of hand washing area</t>
  </si>
  <si>
    <t>Construction of Day Care Center, Ogsip, Libacao, Aklan</t>
  </si>
  <si>
    <t>Repair and rehabilitation of hand washing area and three seater comfort room</t>
  </si>
  <si>
    <t>PROCUREMENT OF CONSTRUCTION MATERIALS FOR REPAIR/IMPROVEMENT/EXPANSION OF RECORDS SECTION</t>
  </si>
  <si>
    <t>Procurement of Various Housekeeping Supplies - PLSO</t>
  </si>
  <si>
    <t>Repair and Maintenance of School Buildings and Other School Facility, Malinao School of Philippine Craftsmen, Malinao, Aklan</t>
  </si>
  <si>
    <t>Repair and Rehabilitation of Guard House</t>
  </si>
  <si>
    <t>Procurement of IT and Office Equipment - Lot 1 - IT Equipment - PAIASSO</t>
  </si>
  <si>
    <t>Repair and Maintenance of Bacan Elementary School Buildings and Other School Facility, Bacan, Banga, Aklan</t>
  </si>
  <si>
    <t>Repair and Maintenance of Malinao Elementary School Buildings and Other School Facility, Malinao, Aklan</t>
  </si>
  <si>
    <t>PROCUREMENT OF CONSTRUCTION MATERIALS FOR REHABILITATION AND REPAIR OF ROOFING FOR GRADE 7 BUILDING (PHASE 1)</t>
  </si>
  <si>
    <t>Supply and delivery of vaccine</t>
  </si>
  <si>
    <t>Repair and Maintenance of Bacan High School Buildings and Other School Facility, Bacan, Banga, Aklan</t>
  </si>
  <si>
    <t>PURCHASE OF SUPPLIES</t>
  </si>
  <si>
    <t>PROCUREMENT OF CONSTRUCTION MATERIALS FOR REPAIR/IMPROVEMENT AND CONVERSION OF GUIDANCE OFFICE TO CLINIC</t>
  </si>
  <si>
    <t>Repair and Maintenance of Lezo Integrated School Buildings and Facility, Lezo, Aklan</t>
  </si>
  <si>
    <t>concreting and Improvement of Ground to Multipurpose Hall (Phase 1)</t>
  </si>
  <si>
    <t>Rehabilitation of Water Supply</t>
  </si>
  <si>
    <t>Rehabilitation and Improvement of Foot Path into Farm-to-Market Road, Rosal-Loctuga, Libacao, Aklan</t>
  </si>
  <si>
    <t>Purchase and delivery of materials for MIS of SHS</t>
  </si>
  <si>
    <t>CONCRETE PATHWAY</t>
  </si>
  <si>
    <t>CEILING REPAIR OF 4STOREY 24 CLASSROOM BUILDING OF HIGH SCHOOL</t>
  </si>
  <si>
    <t>20GFD0010 – Supply and Delivery of Office Equipment for use in Administrative Section, Planning and Design Section and Office of the Auditor (COA)  for 2nd Quarter  CY 2020 of DPWH CS 1st DEO</t>
  </si>
  <si>
    <t>(PA) REQUEST FOR QUOTATION (RFQ)  For the Procurement of Office Supplies (Battery, Alcohol, etc.) For the Provincial Administrator Office--81,083.25</t>
  </si>
  <si>
    <t>RFQ for Hardware and Construction Supplies of FSM</t>
  </si>
  <si>
    <t xml:space="preserve">20GFD0009 – Supply and Delivery of Spare Parts and Materials for the Repair and Upkeep of Mitsubishi Adventure B0-V652/H1-6487, Mitsubishi L300 NR-4155/H1-5976, Mitsubishi Strada (B0-A194/H1-6488, B4 </t>
  </si>
  <si>
    <t>Construction of Buildings and Support Infrastructures Construction of Water System, Ballesteros Cagayan</t>
  </si>
  <si>
    <t>DCFO KITCHENWARE FOR THE PRODUCTION OF COCONUT COOKING OIL, VINEGAR, SUGAR AND VIRGIN COCONUT OIL</t>
  </si>
  <si>
    <t>Supply &amp; Delivery  of Food Stuff</t>
  </si>
  <si>
    <t>SUPPLY &amp; DELIVERY OF VEGETABLE SEEDS FOR THE ESTABLISHMENT OF HOPE GARDENS</t>
  </si>
  <si>
    <t>PROCUREMENT OF HOSPITAL/MEDICAL EQUIPMENT - PCF</t>
  </si>
  <si>
    <t>PROCUREMENT OF ONE (1) LOT EMERGENCY SUPPLIES AS PROTECTIVE MEASURE AGAINST COVID-19 AND COMPLIANCE TO THE NEW NORMAL</t>
  </si>
  <si>
    <t>procurement of electrical supply and materials</t>
  </si>
  <si>
    <t>A-2020-15: Third Party Support for the Deployment of Microsoft System Center Configuration Manager (SCCM)</t>
  </si>
  <si>
    <t>Concrete Pavement of Access Road to the Existing Waste Disposal Area</t>
  </si>
  <si>
    <t>PROCUREMENT OF FIFTY- FIVE (55) PIECES SEALED BEAM PAR 56 FOR HEADLIGHT ON DIESEL ELECTRIC LOCOMOTIVE</t>
  </si>
  <si>
    <t>RFQ-DVO-PR.NO. 2005212 CAT. 94 SERVICES</t>
  </si>
  <si>
    <t>procurement of water connection service &amp; repair materials</t>
  </si>
  <si>
    <t>Toner for Office Use/Agri Surveys/LFS/APIS of PSA-PDI</t>
  </si>
  <si>
    <t>RFQ-Maintenance materials 02</t>
  </si>
  <si>
    <t>Request for Quotation for Supply and Delivery of  Chlorine Dosing Pump, Unit, Parts and Materials for Water Sanitation</t>
  </si>
  <si>
    <t>Improvement of Private Room Into Temporary Isolation Room Ballesteros District Hospital</t>
  </si>
  <si>
    <t>Rehabilitation/Major Repair of Permanent Bridges, Jones Bridge (B01204LZ) along Jct. Ipil-Quirino Bdry. Road</t>
  </si>
  <si>
    <t>PROCUREMENT OF VARIOUS GROCERY ITEMS USE FOR RESPONDERS 24/7 DUTY @ PIÑAN, ZN</t>
  </si>
  <si>
    <t>Procurement of One (1) set Desktop Computer with Printer and Complete Accessories for MCR Office of LGU - Laak, Davao De Oro</t>
  </si>
  <si>
    <t>Training after support under Corn Program different activities (Corn-Based Farming System; Financial Literacy; FSTP Phase 1, FSTP Phase 3 and FSTP Insertion).</t>
  </si>
  <si>
    <t>Proposed Embankment of Barangay Plaza in Brgy. Masikap, Mabitac, Laguna</t>
  </si>
  <si>
    <t>PROCUREMENT OF TWENTY (20) PIECES INVERTER – TYPE SV008iG5A-2</t>
  </si>
  <si>
    <t>PROCUREMENT OF FABRICATED CANOPY</t>
  </si>
  <si>
    <t>2ND QUARTER OTHER SUPPLIES AND MATERIALS.</t>
  </si>
  <si>
    <t>Purchase of Construction Materials/ Temporary Reservoir at Tiwi, Loon</t>
  </si>
  <si>
    <t>Agricultural  Supplies</t>
  </si>
  <si>
    <t>A-2020-16: ADOBE CREATIVE CLOUD FOR TEAMS (CCT) SOFTWARE LICENSE SUBSCRIPTION MAINTENANCE AND SUPPORT SERVICES</t>
  </si>
  <si>
    <t>CONSTRUCTION SUPPLIES AND MATERIALS</t>
  </si>
  <si>
    <t>Procurement of  Kalayaan 2020 Tarpaulin 5x10</t>
  </si>
  <si>
    <t>2ND QUARTER PRINTING AND PUBLICATION.</t>
  </si>
  <si>
    <t>REQUEST FOR SUPPLIES AND MATERIALS</t>
  </si>
  <si>
    <t>ROAD CONCRETING</t>
  </si>
  <si>
    <t>2020-06-0030- Grass Cutter (Maint. Section)</t>
  </si>
  <si>
    <t>REPAIRS IMPROVEMENT OF OFFICE FACILITIES ACCOUNTING &amp; MPDC OFFICE</t>
  </si>
  <si>
    <t>PROCUREMENT OF OFFICE EQUIPMENT FOR THE LOCAL GOVERNMENT UNIT COMPUTERIZATION PROGRAM</t>
  </si>
  <si>
    <t>CAN - Various IT Supplies PR No. 206 ONT</t>
  </si>
  <si>
    <t>PRINTING SERVICES</t>
  </si>
  <si>
    <t>45 pack Stringbeans and other items for Barangays Agricultural development and promotion center./CAO</t>
  </si>
  <si>
    <t>THE SUPPLY AND DELIVERY OF CONSTRUCTION MATERIALS AND SUPPLIES FOR THE CONSTRUCTION OF 50 DUPLEX HOUSING UNITS</t>
  </si>
  <si>
    <t>Supply and Installation of Wall Coverings at HRDD Office (R.I.S. No.: 20-88-076)</t>
  </si>
  <si>
    <t>STREET LIGHTING INSTALLATION (LED) AND CONSTRUCTION OF FEDESTAL ALONG NATIONAL ROAD (FRONT RHU BLDG.) BRGY. KULAPI</t>
  </si>
  <si>
    <t>PROVISION OF CONSTRUCTION SUPPLLIES AND MATERIALS - FOR BUILDING REPAIR AND MAINTENANCE</t>
  </si>
  <si>
    <t>20GFD0011 – Supply  of Fuel for Use of Various Sections for 2nd  Quarter  CY 2020 of DPWH CS 1st DEO</t>
  </si>
  <si>
    <t>PROCUREMENT OF CUSTOMIZED DOT EXCITING BICOL FACE MASKS</t>
  </si>
  <si>
    <t>Vehicle Repair and Maintenance</t>
  </si>
  <si>
    <t>GO-0142 Supply and Delivery of 100,000 pcs. Flyers Glossy papee 8.5" x 13"</t>
  </si>
  <si>
    <t>PROCUREMENT OF VEHICLE (SB)</t>
  </si>
  <si>
    <t>CONSTRUCTION OF LOCAL ROAD/BRIDGE, PUROK 5</t>
  </si>
  <si>
    <t>Supply and Delivery of Furniture</t>
  </si>
  <si>
    <t>PURCHASE OF TWO (2) UNITS LAPTOP</t>
  </si>
  <si>
    <t>2ND QUARTER OFFICE SUPPLIES.</t>
  </si>
  <si>
    <t>50 ltrs Microbial inoculant and other items for solid waste segration and reduction enhancement program waste to food project organic material recovery and fertilizer production./CAO</t>
  </si>
  <si>
    <t>Supply and delivery of Office Supplies (inks) for official use of DOLE RO5</t>
  </si>
  <si>
    <t>2 pcs. Thermal Scanner for TPC School use</t>
  </si>
  <si>
    <t>Supply and Delivery of Vehicle Parts of 5MIB (P177,550.00)</t>
  </si>
  <si>
    <t>Supply and delivery of drugs and medicines for use of Botika ng Lalawigan ng Oriental Mindoro</t>
  </si>
  <si>
    <t>RFQ-DVO-PR.NO. 2006043 CAT. 70 BUSINESS AND BICYCLE PLATES</t>
  </si>
  <si>
    <t>Request for Quotation on Procurement of Office Equipment, Furniture &amp; Fixtures for OSCA, MSWD CY2 020</t>
  </si>
  <si>
    <t>PROCUREMENT OF ONE (1) LOT OFFICE EQUIPMENT</t>
  </si>
  <si>
    <t>Preparation of As-built Plan, Detailed Engineering Design</t>
  </si>
  <si>
    <t>MEDICAL SUPPLIES</t>
  </si>
  <si>
    <t>Renovation of Regional Director's Office</t>
  </si>
  <si>
    <t>Purchase of Office Tables for the Use in the Office of Mayor at Municipality of lobo, Batangas</t>
  </si>
  <si>
    <t>Supply and delivery of chemicals and chemical product for the use of Naujan Community Hospital</t>
  </si>
  <si>
    <t>Animal Feeds- CEDU Animal- Swine Project</t>
  </si>
  <si>
    <t>IMPROVEMENT OF PUBLIC MARKET</t>
  </si>
  <si>
    <t>Medical Supplies</t>
  </si>
  <si>
    <t>INVITATION TO BID FOR THE PROVISION OF AGRICULTURAL SUPPLIES FOR THE CONDUCT OF URBAN AGRICULTURE, GLAMOURIZING YOUTH IN AGRICULTURE, ESTABLISHMENT OF COMMUNITY GARDENS IN EIGHT SITES/BARANGAYS, AND M</t>
  </si>
  <si>
    <t>1 pc. Table for MSWD Office use</t>
  </si>
  <si>
    <t>Educational Materials and Supplies</t>
  </si>
  <si>
    <t>RFQ-DVO-PR.NO. 2005198 CAT. CONSTRUCTION REPAIR</t>
  </si>
  <si>
    <t>IMPROVEMENT OF FMR NEAR SIMEON AREA</t>
  </si>
  <si>
    <t>Procurement of Radio Base Transceiver and VHF Handheld Radio of DepEd Elementary - Laak North District, Laak, Davao De Oro</t>
  </si>
  <si>
    <t>Rehabilitation / Maintenance of Marine Protected Area (Bagong Tubig,Balite and Locloc, San Luis, Batangas</t>
  </si>
  <si>
    <t>Polo Shirt</t>
  </si>
  <si>
    <t>Procurement of Various Office Supplies-06-312(A)PGO</t>
  </si>
  <si>
    <t>Supply &amp; Delivery of Disaster Response and Rescue Equipments</t>
  </si>
  <si>
    <t>Supply and Delivery of 5,000 Liters Diesel for Ambulance</t>
  </si>
  <si>
    <t>3,000 ltrs Diesel Fuel for various vehicle and equipments assigned to the different offices/general services office</t>
  </si>
  <si>
    <t>Supply and Delivery of Construction Materials and Supplies for 53EBDe, PA</t>
  </si>
  <si>
    <t>Disinfectant Concentrate and All Purpose Cleaner for cleaning and disinfection of all COVID 19 related facility/equipments</t>
  </si>
  <si>
    <t>Spare Parts Repair &amp; Maintenance Transportation Equipment</t>
  </si>
  <si>
    <t>HVCDP20-06-05-0563  To provide labor and materials for the printing of T-shirts.</t>
  </si>
  <si>
    <t>Purchase of 11,666 Sachet Nutriblend (rice, sesame, monggo) for BPH Supplemental feeding program under Five (5) Children Provincewide</t>
  </si>
  <si>
    <t>Purchase of Fuel</t>
  </si>
  <si>
    <t>20GFD0012 – Supply and Delivery of Customized Binder for use of  Various Sections for  the  2nd Quarter 2020 of DPWH CS 1st DEO</t>
  </si>
  <si>
    <t>Thermal Paper</t>
  </si>
  <si>
    <t>procurement of spareparts and repair materials/lgu motorpool</t>
  </si>
  <si>
    <t>Purchase of Construction Materials</t>
  </si>
  <si>
    <t>RFQ-DVO-PR.NO. 2006087 CAT. 46 PAINTING TOOLS AND MATERIALS</t>
  </si>
  <si>
    <t>Medical Supplies and Laboratory Equipment</t>
  </si>
  <si>
    <t>20-05-387a_Procurement of field supplies for NICER 2 Project use</t>
  </si>
  <si>
    <t>Catering Services for the Activity entitled Training Workshop on Course Modules Production for flexible learning in higher education institutions (HEIs)</t>
  </si>
  <si>
    <t>Request for Quotation (Polo shirt)</t>
  </si>
  <si>
    <t>20GFD0013 – Supply and Delivery of Electrical Supplies, Common Office Supplies, Common Office Devices, Other Supplies/Materials, Tools, Common Computer and IT Supplies, Spare Parts, Consumables and Ja</t>
  </si>
  <si>
    <t>CAN - Various Medical Supplies UDM PR No. 331</t>
  </si>
  <si>
    <t>Procurement of Various IT Equipment-06-009(K)PWO</t>
  </si>
  <si>
    <t>Diesel Fuel &amp; Gasoline Prem</t>
  </si>
  <si>
    <t>PROCUREMENT OF LABORATORY SUPPLIES AND REAGENTS</t>
  </si>
  <si>
    <t>Supply and Delivery of Materials for the Construction of Health Station, Phase II with Fence</t>
  </si>
  <si>
    <t>Procurement of various medical supplies and equipment for the opening of SY 2020-2021</t>
  </si>
  <si>
    <t>Extension and Improvement of Pastoral Office and Quarters</t>
  </si>
  <si>
    <t>Materials for the rehabilitation of gutters and downspout of Basketball Court at Purok 3</t>
  </si>
  <si>
    <t>Supply and Delivery of Construction Materials - ITB 032-2020 GQ</t>
  </si>
  <si>
    <t>Procurement of Three (3) units Generator and Four (4) units Grass Cutter for DepEd Elementary - Laak North District, Laak, Davao De Oro</t>
  </si>
  <si>
    <t>REPAIR/IMPROVEMENT OF MULTIPURPOSE BLDG. (HEALTH CENTER)</t>
  </si>
  <si>
    <t>Purchase of Tire for RP Vehicle Road Grader of GSO</t>
  </si>
  <si>
    <t>Filling at ESSU Mini Park at ESSU Main Campus</t>
  </si>
  <si>
    <t>Supply and Delivery of Uniforms</t>
  </si>
  <si>
    <t>Supply of labor &amp; materials for the construction of concrete barrier of barangay Mahabang Parang, San Luis, Batangas</t>
  </si>
  <si>
    <t>Repair and Maintenance of various Service Vehicle for use of Provincial Government of Tarlac</t>
  </si>
  <si>
    <t>Purchase of Camera</t>
  </si>
  <si>
    <t>RFQ-DVO-PR.NO. 2005193 CAT. 41.1 ELECTRONIC CONSUMABLES</t>
  </si>
  <si>
    <t>ITB No. (INF) 2020-06-089 CONCRETING OF CAROLINA – HINOLASO PROVINCIAL ROAD, Can-avid &amp; Dolores, Eastern Samar</t>
  </si>
  <si>
    <t>Procurement of Various Air Conditioning-06-323(O)PEO</t>
  </si>
  <si>
    <t>Supply and Delivery of one (1) unit Laptop and One(1) unit Projector  intended for Rural Health Unit  of this municipality</t>
  </si>
  <si>
    <t>PEO-20-0676 NP (SV)- PURCHASE OF SPARE PARTS FOR MRG-6, KFL-1 NDT-22, CRIMPING MACHINE &amp; PU-26</t>
  </si>
  <si>
    <t>Procurement of Various Spare Parts-06-313(A)PGO</t>
  </si>
  <si>
    <t>CONSTRUCTION OF BOX CULVERT</t>
  </si>
  <si>
    <t>Labor for Replacement of Roofing and Ceiling Eaves of Whitehouse</t>
  </si>
  <si>
    <t>Construction of Multi-purpose Building @ sitio Malli</t>
  </si>
  <si>
    <t>20JBG0041 with PR No. 20-06-54 - For use in the replacement of worned-out airconditioning unit 'in Planning &amp; Design Section for the 2nd quarter, this district.</t>
  </si>
  <si>
    <t>2 set Computer set with accessories</t>
  </si>
  <si>
    <t>Supply and Delivery of materials for the Repairs and Maintenance of LGU-Facilities, LGU-Bayombong, Nueva Vizcaya.</t>
  </si>
  <si>
    <t>CAN - Various Drugs and Medicines UDM PR No. 330</t>
  </si>
  <si>
    <t>Construction of Special Care Facility</t>
  </si>
  <si>
    <t>Supply and Delivery of Construction Materials - ITB 033-2020 GQ</t>
  </si>
  <si>
    <t>procurement of fuel and lubricants/mayors office</t>
  </si>
  <si>
    <t>Office Supplies for PAO Talibon District Office</t>
  </si>
  <si>
    <t>CONSTRUCTION OF MULTI-PURPOSE BUILDING, BRGY. SUGUIT ,MARIA AURORA, AURORA</t>
  </si>
  <si>
    <t>RFQ 2020-06-019 - PR 2020-06-019 - For use in Michigan Payloader L2-1335 assigned at Maint. Section</t>
  </si>
  <si>
    <t>SUPPLY &amp; DELIVERY OF SMART TELEVISION</t>
  </si>
  <si>
    <t>RFQ-DVO-PR.NO. 2006045 CAT. 21 ELECTRICAL SUPPLIES AND MATERIALS</t>
  </si>
  <si>
    <t>ITB No. (INF) 2020-06-090 CONSTRUCTION OF MULTI-PURPOSE BUILDING (PHASE II), Brgy. Abucay, Sulat, Eastern Samar</t>
  </si>
  <si>
    <t>SUPPLY AND DELIVERY OF VARIOUS EQUIPMENT FOR CANCER PREVENTION AND CONTROL PROGRAM USE</t>
  </si>
  <si>
    <t>Sta. Ana-006 Supply and Delivery of 20,000 unit window type aircon -non invertermanual control 1.5 HP</t>
  </si>
  <si>
    <t>Supply of labor &amp; materials for the Installation of additional streetlight of Barangay Mahabang Parang, San Luis, Batangas</t>
  </si>
  <si>
    <t>RFQ-DVO-PR.NO. 2006055 CAT. 60 TIRE, BATTERIES AND ACCESSORIES</t>
  </si>
  <si>
    <t>Construction of Commercial Stalls</t>
  </si>
  <si>
    <t>Procurement of Medical Supplies-06-009(T)TSMH</t>
  </si>
  <si>
    <t>CAN - Various Supplies and Materials PR Nos. 205 &amp; 203 ONT</t>
  </si>
  <si>
    <t>Repair of Electrical System at LTO Malabon</t>
  </si>
  <si>
    <t>Repair and Maintenance of Makato Integrated School Buildings and Other Facility, Makato, Aklan</t>
  </si>
  <si>
    <t>Procurement of Various Medical Supplies-06-010(T)TSMH</t>
  </si>
  <si>
    <t>Procurement of Various Veterinary Products and Supplies-06-023(AA)ProVet</t>
  </si>
  <si>
    <t>ITB No. (INF) 2020-06-091REHABILITATION/CONSTRUCTION OF BRGY. HALL/MULTI-PURPOSE BUILDING, Brgy. Mara-mara, Sulat, Eastern Samar</t>
  </si>
  <si>
    <t>Procurement of Various Veterinary Products and Supplies-06-024(AA)ProVet</t>
  </si>
  <si>
    <t>RFQ-DVO-PR.NO. 2005253 CAT. 65 VETERINARY SUPPLIES AND MATERIALS</t>
  </si>
  <si>
    <t>Procurement of Information Technology</t>
  </si>
  <si>
    <t>RFQ.NO.028-2020 : Purchase of Reflectorized Informative Warning Sign for use in Maintenance Section</t>
  </si>
  <si>
    <t>Materials for Construction and Painting Supplies</t>
  </si>
  <si>
    <t>PROCUREMENT OF COMMERCIAL RICE</t>
  </si>
  <si>
    <t>Procurement of IT Supplies for Various Offices</t>
  </si>
  <si>
    <t>(KMH) 2ND REQUEST FOR QUOTATION (RFQ)  For the Procurement of Office Supplies (Carbon Film, Paper Multi-purpose, etc.)x For the Kasibu Municiipal Hospital--100,430.00</t>
  </si>
  <si>
    <t>STO20-05-26-0250 Labor services for the conduct of Complete Soil Analysis for samples collected from 45 sites   in three provinces.</t>
  </si>
  <si>
    <t>Purchase of Agricultural Supplies for RSP Use</t>
  </si>
  <si>
    <t>Materials for Commissioning of 1 Lot Network Cabling of MCWD's - Engineering Building and Server Room</t>
  </si>
  <si>
    <t>Supply &amp; Delivery of Materials Re: Brigada Eskwela 2020 for San Julian District Elementary &amp; Secondary Schools</t>
  </si>
  <si>
    <t>GOODS-2020-06-77 PROCUREMENT OF MEDICAL SUPPLIES FOR POLIO MASS IMMUNIZATION.</t>
  </si>
  <si>
    <t>Procurement of Various Veterinary Products and Supplies-06-025(AA)ProVet</t>
  </si>
  <si>
    <t>Supply and Delivery of Materials for the Construction of Road Concreting</t>
  </si>
  <si>
    <t>CAN - Various Office Supplies - ONT, MHD, JJASGH, YDWB</t>
  </si>
  <si>
    <t>Construction of Public C.R and 50 meters Reinforced Concrete Pathway Alfonso Ponce Enrile Memorial District Hospital</t>
  </si>
  <si>
    <t>Repair and Maintenance of Numancia Elementary School Buildings and Other Facility,  Numancia, Aklan.</t>
  </si>
  <si>
    <t>Supply and Delivery of Materials for Replacement of Roofing and Ceiling Eaves of Whitehouse</t>
  </si>
  <si>
    <t>Ri Bid for Purchase of Rescue Vehicle Bonggo</t>
  </si>
  <si>
    <t>1 set Laptop</t>
  </si>
  <si>
    <t>Construction Of Multi-Purpose Building , Brgy. Dikildit, Maria Aurora, Aurora</t>
  </si>
  <si>
    <t>Procurement of Transporation Services - Balik Probinsya Program</t>
  </si>
  <si>
    <t>Purchase of Folding Bed and Single Foam</t>
  </si>
  <si>
    <t>Construction of 1.00M width Pathway With 4 Unit Street Lights</t>
  </si>
  <si>
    <t>Purchase of Various Office Supplies  for SB Office</t>
  </si>
  <si>
    <t>Procurement of Machinery &amp; Equipment for ESSU Can-Avid use PR#20-06-091</t>
  </si>
  <si>
    <t>SUPPLY &amp; DELIVERY OF OTHER SUPPLIES EXP.</t>
  </si>
  <si>
    <t>PROCUREMENT OF GROUND WOOD PAPER</t>
  </si>
  <si>
    <t>Veterinary Medicines for Animal Health Care Support</t>
  </si>
  <si>
    <t>CONSTRUCTION OF MULTI- PURPOSE HALL</t>
  </si>
  <si>
    <t>Construction of MRF &amp; Purchase of Plastic Bins</t>
  </si>
  <si>
    <t>UPGRADE EXISTING FARM-TO-MARKET ROAD TO CLIMATE RESILIENT DESIGN STANDARDS</t>
  </si>
  <si>
    <t>For Electrical Installation and Maintenance NC II Instructional Materials</t>
  </si>
  <si>
    <t>Construction materials and supplies / Office supplies</t>
  </si>
  <si>
    <t>ITB No. (INF) 2020-06-092 CONSTRUCTION OF TRIPLE BARREL BOX CULVERT (DRAINAGE SYSTEM), Brgy. Siha, Borongan City, Eastern Samar</t>
  </si>
  <si>
    <t>2020-GOODS-033_Upgrade, Integration and Relocation of Servers, Network Facilities and PABX Intercom System to the Newly Repaired ICTMO Office of PSU Main</t>
  </si>
  <si>
    <t>CAN - Various Textbooks UDM PR No. 359</t>
  </si>
  <si>
    <t>SUPPLY AND DELIVERY WITH INSTALLATION OF MATERIALS FOR SANITARY TOILET CONSTRUCTIONS</t>
  </si>
  <si>
    <t>Procurement of Various Electrical Supplies-03-025(N)PEMO</t>
  </si>
  <si>
    <t>CONSTRUCTION OF CONCRETE PAVEMENT @ BRGY. MATUNGAO</t>
  </si>
  <si>
    <t>Supply and Delivery of Construction Materials - ITB 034-2020 GQ</t>
  </si>
  <si>
    <t>PPDO-Supply and Delivery of Laptop</t>
  </si>
  <si>
    <t>REPAIR AND IMPROVEMENT OF PLUMBING AND WATER PIPE LINES</t>
  </si>
  <si>
    <t>RFQ-DVO-PR.NO. 2006047 CAT. 27 FURNITURE AND FIXTURES</t>
  </si>
  <si>
    <t>Procurement of Various Electrical Supplies-03-026(N)PEMO</t>
  </si>
  <si>
    <t>BSF and Traffic Enforcers Uniforms and Accessories</t>
  </si>
  <si>
    <t>Supply and delivery of Disinfection Cap for use at Tarlac Provincial Hospital</t>
  </si>
  <si>
    <t>MG-A5C20-050 ( SAFETY CONE W/ ACCESSORIES, PLASTIC GOOD QUALITY )</t>
  </si>
  <si>
    <t>Purchase of Materials for the Construction of Road/Pathway to Bago Waterfalls (Phase II) at Brgy Bago, Tayasan, Neg. Or,</t>
  </si>
  <si>
    <t>Procurement of Airconditioning for the Meat Processing Operation</t>
  </si>
  <si>
    <t>Procurement of Various Electrical Supplies-03-027(N)PEMO</t>
  </si>
  <si>
    <t>Supply and Delivery of CCTV and Accesories for MSU-TCTO Information and Communication Technology Office</t>
  </si>
  <si>
    <t>Purchase of Office Equipment Consumables for use at ASDGO for the 1st and 2nd quarter of CY2020 (PR NO. 100(01)20-02-0437)</t>
  </si>
  <si>
    <t>Materials for the used of Various Barangays and Schools, La Carlota City</t>
  </si>
  <si>
    <t>SUPPLY &amp; DELIVERY OF IT EQUIPMENT (DESKTOP WITH PRINTER)</t>
  </si>
  <si>
    <t>SUPPLY &amp; DELIVERY OF CONSTRUCTION MATERIALS FOR THE CONSTRUCTION OF SLAUGHTER HOUSE BLDG. @ BRGY. PILINTANGAN, WAO, LANAO DEL SUR</t>
  </si>
  <si>
    <t>PROCUREMENT OF 1 UNIT TABLET</t>
  </si>
  <si>
    <t>Food Stuff</t>
  </si>
  <si>
    <t>PROCUREMENT OF HANDHELD GPS</t>
  </si>
  <si>
    <t>Purchase of Various Supplies for use at Albay Astrodome (PR 100(01)20-04-0897)</t>
  </si>
  <si>
    <t>PROCUREMENT OF 5 UNIT OF COMPUTE KEYBOARD AND MOUSE</t>
  </si>
  <si>
    <t>Procurement of Various Electrical Supplies-04-029(N)PEMO</t>
  </si>
  <si>
    <t>Purchase of Various Janitorial Supplies  for SB &amp; VM Office</t>
  </si>
  <si>
    <t>Rehabilitation of Barangay Boundary Marker and other Signages</t>
  </si>
  <si>
    <t>Purchase of Materials For the Construction of Access Road/Pathway to Guincalaban Waterfalls (Phase II) at Brgy. Guincalaban,Tayasan,Neg. Or.</t>
  </si>
  <si>
    <t>RFQ-DVO-PR.NO. 2005197 CAT. 14 CONSTRUCTION SUPPLIES AND MATERIALS</t>
  </si>
  <si>
    <t>SUPPLY AND DELIVERY OF OFFICE SUPPLIES</t>
  </si>
  <si>
    <t>CONSTRUCTION /INSTALLATION OF SLOPE PROTECTION OF ROAD TO PREVENT FLOOD SCOURING, BARANGAY CUYAPIAO, PATNONGON, ANTIQUE</t>
  </si>
  <si>
    <t>Photographic Services for Barangay Personnel</t>
  </si>
  <si>
    <t>Supply Catering Services in the Conduct on Corn Production Technology in various sites.</t>
  </si>
  <si>
    <t>Ri Bid For  Installation of Culvert</t>
  </si>
  <si>
    <t>Iba Integrated School Elementary</t>
  </si>
  <si>
    <t>Office Supplies-MEO</t>
  </si>
  <si>
    <t>SIREN</t>
  </si>
  <si>
    <t>Maintenance of St Lights</t>
  </si>
  <si>
    <t>Supply and Delivery of Laboratory Supplies for use at Tarlac Provincial Hospital</t>
  </si>
  <si>
    <t>Purchase of Other Accessories and Supply and Repair of L300 Vehicle Services</t>
  </si>
  <si>
    <t>RFQ-DVO-PR.NO. 2006050 CAT. 25 FOOD AND CATERING SERVICES</t>
  </si>
  <si>
    <t>6 bxs Correction fluid</t>
  </si>
  <si>
    <t>PHO 39- Supply and Delivery of 1,200pcs N95 Mask</t>
  </si>
  <si>
    <t>PURCHASE OF VARIOUS TOOLS/EQUIPMENT – VARIOUS VEHICLES</t>
  </si>
  <si>
    <t>Procurement of Various Construction Supplies and Materials-06-328(O)PEO</t>
  </si>
  <si>
    <t>DIMIAO GYM QUARANTINE FACILITIES</t>
  </si>
  <si>
    <t>“Acquisition of One (1) Unit Supply, Delivery and Installation of Gas Chromatography-Mass Spectrometry (GCMS)”</t>
  </si>
  <si>
    <t>Purchase of One (1) set Submersible Pump</t>
  </si>
  <si>
    <t>Procurement of Medical Supplies for the University use in relation of COVID situation PR# 2020-OSPM-175</t>
  </si>
  <si>
    <t>SUPPLY &amp; DELIVERY OF FURNITURE &amp; FIXTURE</t>
  </si>
  <si>
    <t>Supply and Delivery of Laboratory Supplies</t>
  </si>
  <si>
    <t>PURCHASE OF MATERIALS FOR THE CONSTRUCTION OF WATER EXTRACTION FACILITIES, BARANGAY SAMALAGUE, PATNONGON, ANTIQUE</t>
  </si>
  <si>
    <t>PURCHASE OF FUEL FOR MUNICIPAL VEHICLE MAINTENANCE (HEAVY EQUIPMENT OPERATIONS), LOBOC, BOHOL</t>
  </si>
  <si>
    <t>PURCHASE OF FIRE FIGHTING EQUIPMENT</t>
  </si>
  <si>
    <t>PROCUREMENT OF BACKHOE FOR MENRO/SLF OPERATION (Rebid)</t>
  </si>
  <si>
    <t>Procurement of Various Animal Feeds-06-026(AA)ProVet</t>
  </si>
  <si>
    <t>Repair/ Improvement of Multi-Purpose Building</t>
  </si>
  <si>
    <t>Ri Bid ForSupply of Materials for Concrete Perimeter Fence of  Barangay Hall</t>
  </si>
  <si>
    <t>SSS Dumaguete Branch Diesel Fuel for the period July to December 2020</t>
  </si>
  <si>
    <t>SUPPLY &amp; DELIVERY OF TEXTILE CLOTHES</t>
  </si>
  <si>
    <t>Procurement of supply and delivery of food</t>
  </si>
  <si>
    <t>IMPROVEMENT OF CABLAHAN ELEMENMTARY SCHOOL</t>
  </si>
  <si>
    <t>Procurement of Various Agricultural Supplies</t>
  </si>
  <si>
    <t>PR NO. 1251 VERMICAST</t>
  </si>
  <si>
    <t>PROCUREMENT OF 1200 PCS PARCHMENT PAPER</t>
  </si>
  <si>
    <t>Purchase of Computer Desktop and Monitor for SP Office</t>
  </si>
  <si>
    <t>Procurement of VEHICLES</t>
  </si>
  <si>
    <t>Office Supplies-MHO Admin</t>
  </si>
  <si>
    <t>Procurement of office supplies of CIT Bindery Project</t>
  </si>
  <si>
    <t>Construction Materials for the improvement and extension of Water Meter Room</t>
  </si>
  <si>
    <t>STO20-05-26-0248 Supply and Delivery of Fertilizers.</t>
  </si>
  <si>
    <t>Procurement of Various Air Conditioning-06-315(A)PGO</t>
  </si>
  <si>
    <t>Supply and Delivery of Construction Materials - ITB 035-2020 GQ</t>
  </si>
  <si>
    <t>For Electrical Maintenance of Tourism Sector</t>
  </si>
  <si>
    <t>LED Flood Light for Basketball Court</t>
  </si>
  <si>
    <t>Ri Bid For Construction of Multi-purpose Bldg. @ Sitio Side B</t>
  </si>
  <si>
    <t>Procurement of Various Construction Supplies and Materials-06-091(Q)ZNMC</t>
  </si>
  <si>
    <t>Repair of Perimeter Fence at Samal South Elementary School @ Samal, Bataan</t>
  </si>
  <si>
    <t>Supply of Wreaths Flowers for use in relation with the activity of the Sangguniang Panlalawigan Members</t>
  </si>
  <si>
    <t>Meals and snacks for use of PPOC Meeting-SVP-20-4361</t>
  </si>
  <si>
    <t>Fabrication &amp; Intallation of five (5) units towing accessories</t>
  </si>
  <si>
    <t>RFQ-DVO-PR.NO. 2005210 CAT. 49 PRINTED FORMS AND PRINTING SERVICES</t>
  </si>
  <si>
    <t>RFQ-DVO-PR.NO. 2005231 CAT. 49 PRINTED FORMS AND PRINTING SERVICES</t>
  </si>
  <si>
    <t>PBG-2020-06-20 PROCUREMENT OF ACCOUNTABLE FORMS FOR CITY TREASURER'S OFFICE USE.</t>
  </si>
  <si>
    <t>RFQ No. 20-06-057 - Procurement of Diesel Fuel and Lubricants for use of Service Vehicle and Heavy Equipment for the 1st &amp; and Quarter</t>
  </si>
  <si>
    <t>Supply and Installation of Renewable, Clean Solar Powered Streetlights &amp; Other Related Works Along Lipa-Alaminos Road (80 Watts LED, Integrated Solar Streetlights)</t>
  </si>
  <si>
    <t>Supply and Delivery of Construction Materials - ITB 036-2020 GQ</t>
  </si>
  <si>
    <t>Lay-outing of school signage preparation and installation</t>
  </si>
  <si>
    <t>PROCUREMENT OF TIRES (MS-5813, DOU-413 &amp; DOU-414)</t>
  </si>
  <si>
    <t>FURNITURES AND OTHER ACCESSORIES FOR BIRTHING FACILITY</t>
  </si>
  <si>
    <t>Construction &amp; Development of Sanitary Landfill.</t>
  </si>
  <si>
    <t>IMPROVEMENT OF 3.00 X 9.00m MULTI-PURPOSE BUILDING</t>
  </si>
  <si>
    <t>REHABILITATION OF EVACUATION CENTER</t>
  </si>
  <si>
    <t>Construction Of Multi-Purpose Building, Brgy. Ditaelen, Maria Aurora, Aurora</t>
  </si>
  <si>
    <t>Procurement of Various Electrical Supplies-06-331(O)PEO</t>
  </si>
  <si>
    <t>Proposed Box Culvert at Public Plaza, Brgy. III-Poblacion, Hinigaran, Negros Occidental.</t>
  </si>
  <si>
    <t>SUPPLY AND DELIVERY FOR IT EQUIPMENT AND DEVICES FOR VIDEO CONFERENCING AND LIVE STREAMING CY 2020 - LOT</t>
  </si>
  <si>
    <t>Purchase of Tools &amp; Equipments for Repair and Maintenance of BatStateU-ARASOF Nasugbu</t>
  </si>
  <si>
    <t>REQUEST FOR EXPRESSION OF INTEREST AND TO SUBMIT PROPOSALS FOR THE PROCUREMENT OF CONSULTANCY SERVICES FOR THE HIRING, RECRUITMENT AND EMPLOYEE ASSESSMENT OF THE BANGSAMORO PLANNING AND DEVELOPMENT AU</t>
  </si>
  <si>
    <t>PURCHASE OF CONSTRUCTION MATERIALS FOR VARIOUS PROJECTS</t>
  </si>
  <si>
    <t>Ri Bid For Supply for Installation of P.E Pipes @ Upper Meocan</t>
  </si>
  <si>
    <t>Table Signs Of Brgy. Personnel</t>
  </si>
  <si>
    <t>800 bags Poly Aluminum Chloride</t>
  </si>
  <si>
    <t>Construction of Fence for Tenement Housing Project, Barangay Marketview, Lucena City</t>
  </si>
  <si>
    <t>MG-A5M20-086 ( TUBE, LED TYPE, T8, 4FT. 18 WATTS + 1 ITEM )</t>
  </si>
  <si>
    <t>DENR-CENRO Bangui, 3 Year Comprehensive Site Development at Brgy. Balaoi, Pagudpud, Ilocos Norte</t>
  </si>
  <si>
    <t>RFQ - Equipment for Nutrition and Dietetics Use</t>
  </si>
  <si>
    <t>Supply of labor &amp; materials for the rehabilitation of barangay roads of Barangay Locloc, San Luis, Batangas</t>
  </si>
  <si>
    <t>SFP:3,000	BOOKLETS	          RECIPE/MENU BOOKLET   FOR THE SF PROGRAM 10th CYCLE IMPLEMENTATION.</t>
  </si>
  <si>
    <t>Construction Materials</t>
  </si>
  <si>
    <t>SUPPLY AND DELIVERY OF SANITARY PERMIT AND HEALTH ID FOR SANITARY REQUIREMENT</t>
  </si>
  <si>
    <t>PEO-20-0504 B (REBID)- Purchase of Spare Parts for use of Isuzu Dump Truck (NDT-37) Model:FTR33FLD assigned at PEP, Sta. Barbara, Iloilo</t>
  </si>
  <si>
    <t>RFQ-DVO-PR.NO. 2005233 CAT. 87 OXYGEN AND ACETYLENE</t>
  </si>
  <si>
    <t>Purchase of construction materials for the DENR-PENRO Stock room</t>
  </si>
  <si>
    <t>Construction Project</t>
  </si>
  <si>
    <t>Concreting of Farm to Market Road Sitio Cabicalan  Zone 7</t>
  </si>
  <si>
    <t>Supply and delivery of Tarpaulin for use in the office of Sangguniang Panlalawigan Members</t>
  </si>
  <si>
    <t>RFQ No. 20-06-058 - Purchase of Coring Bit for use in the QualityAssurance Section (Laboratory)</t>
  </si>
  <si>
    <t>Supply and Delivery of Medicines (CARI, Anti Rabies, and Mass Circumcision Program) (Rebidding)</t>
  </si>
  <si>
    <t>One (1) Lot Supply, Delivery &amp; Installation of the following items for Ford F-750 Armored Truck SFX 417: One (1) unit Clutch Fan Assembly, One (1) unit Air Brake Compressor Assembly</t>
  </si>
  <si>
    <t>Procurement of 10 pcs Air Tank Compressed use in the conduct of resource assessment and underwater crime scene investigation</t>
  </si>
  <si>
    <t>Rehabilitation of Barangay Farm to Market Roads Osawan-Tigao to Burgos, Cortes Surigao del Sur</t>
  </si>
  <si>
    <t>Supply and Delivery of Construction Materials - ITB 037-2020 GQ</t>
  </si>
  <si>
    <t>SUPPLY AND DELIVERY OF TRAFFIC CITATION TICKET FOR THE IMPLEMENTATION OF CITY TRAFFIC ORDINANCES</t>
  </si>
  <si>
    <t>SUPPLY &amp; DELIVERY OF CONSTRUCTION MATERIALS FOR THE COMPLETION OF SECOND FLOOR OF WAO MUNICIPAL HALL, MUNICIPAL SITE, BRGY. WESTERN, WAO, LANAO DEL SUR</t>
  </si>
  <si>
    <t>1 unit Laptop</t>
  </si>
  <si>
    <t>20ID0073 - Concreting of Poblacion District 9 to Brgy. Gamay FMR, Brgy. Gamay,Burauen, Leyte</t>
  </si>
  <si>
    <t>RFQ-DVO-PR.NO. 2006089 CAT. 87 OXYGEN AND ACETYLENE</t>
  </si>
  <si>
    <t>For Electrical Maintenance of Construction Sector</t>
  </si>
  <si>
    <t>Procurement of fuel, oil &amp; lubricants</t>
  </si>
  <si>
    <t>Concreting of Farm to Market Road Zone 6</t>
  </si>
  <si>
    <t>RFQ-DVO-PR.NO. 2006017 CAT. 32 JANITORIAL SUPPLIES AND MATERIALS</t>
  </si>
  <si>
    <t>Purchase of Medicine</t>
  </si>
  <si>
    <t>CONSTRUCTION/ESTABLISHMENT/REHABILITATION OF MULTI-PURPOSE HALL @ BRGY. CAIMITO</t>
  </si>
  <si>
    <t>Catering Services re:On-Site Training on Product Branding,Packaging &amp; Labelling for the Coco Coir Slipper Production of Maonon Upland Planters Assn.Inc (MUPAI) on June 23-26, 2020 per RFQ-125-2020-CDD</t>
  </si>
  <si>
    <t>Construction/Extension of Covered Court</t>
  </si>
  <si>
    <t>RICE20-06-04-0726 Supply and Delivery of Plant Fertilizer.</t>
  </si>
  <si>
    <t>Ri Bid For Installation of Water Tank</t>
  </si>
  <si>
    <t>Construction of two (2) units septic Tank @ Tuao District Hospital, Tuao Cagayan</t>
  </si>
  <si>
    <t>Supply of labor &amp; materials for the rehabilitation of street light of Barangay Locloc, San Luis, Batangas</t>
  </si>
  <si>
    <t>1 box Colilert-18 and 2 boxes Sterile 51 - Well Quanti Tray</t>
  </si>
  <si>
    <t>Supply, Delivery and Installation of 75KVA Transformer including its Accessories</t>
  </si>
  <si>
    <t>PROCUREMENT OF RICE FOR COVID-19 RELIEF ASSISTANCE</t>
  </si>
  <si>
    <t>Establishment protection and maintenance of coffee plantation to Upland communities to abate illegal logging as a means of promoting peace and order (program against Illegal Logging)</t>
  </si>
  <si>
    <t>Purchase of tires for Mitsubishi service vehicles</t>
  </si>
  <si>
    <t>REPAIR AND OTHER OPERATING EXPENSES MOOE 2020 2ND QUARTER</t>
  </si>
  <si>
    <t>IMPROVEMENT AND UPGRADING OF DINGALAN UMIRAY- PROVINCIAL ROAD, DINGALAN, AURORA</t>
  </si>
  <si>
    <t>SUPPLY AND DELIVERY OF CONSTRUCTION MATERIALS FOR REPAIR OF TENTS</t>
  </si>
  <si>
    <t>Purchase of Toner, Ink &amp; Desk Top</t>
  </si>
  <si>
    <t>RFQ 16723</t>
  </si>
  <si>
    <t>SUPPLY AND DELIVERY OF MEALS AND SNACKS (rfq#2020-04-1,972)-(vice governor's office)</t>
  </si>
  <si>
    <t>Procurement of OFFICE EQUIPMENT</t>
  </si>
  <si>
    <t>PROCUREMENT AND INSTALLATION OF AIR-CONDITIONING UNITS FOR THE OFFICES &amp; CLASSROOMS OF THE NFSTI</t>
  </si>
  <si>
    <t>“Acquisition of One (1) Lot Supply and Delivery of Various Security Equipment”</t>
  </si>
  <si>
    <t>Construction supplies</t>
  </si>
  <si>
    <t>Hiring of Consultant Services for the Formulation of the National Housing and Urban Development Sector Plan</t>
  </si>
  <si>
    <t>Dumptruck Tires</t>
  </si>
  <si>
    <t>Purchase of Office Supplies for Household Survey</t>
  </si>
  <si>
    <t>SUPPLY AND DELIVERY OF CONSTRUCTION MATERIALS FOR INSTALLATION OF CEILING AND OTHER ELECTRICAL JOBS</t>
  </si>
  <si>
    <t>Supply &amp; Delivery of Various Office Equipment Supplies &amp; Consumables use for 122nd Philippine Independence Day Sports &amp; Cultural, Himamaylan City</t>
  </si>
  <si>
    <t>Rebidding: 10 pcs Auto Bulb 24 volts (double big) and other items for stop light and signal light of vaccum trucks 1-8 used.</t>
  </si>
  <si>
    <t>STREET LIGHT BULBS</t>
  </si>
  <si>
    <t>Rehabilitation of Concrete Pavement</t>
  </si>
  <si>
    <t>Procurement of IT and Office Equipment - Lot 2 - Office Equipment - PAIASO</t>
  </si>
  <si>
    <t>SUPPLY AND DELIVERY OF VARIOUS EQUIPMENT FOR VARIOUS SECTION OF CHO</t>
  </si>
  <si>
    <t>For Electrical Maintenance of Automotive Sector</t>
  </si>
  <si>
    <t>PURCHASE OF VARIOUS OFFICE SUPPLIES</t>
  </si>
  <si>
    <t>Supply and Delivery of Various Laboratory Services</t>
  </si>
  <si>
    <t>PR NO. 1250 VEGETABLE SEEDS</t>
  </si>
  <si>
    <t>SUPPLY AND DELIVERY OF MEALS AND SNACKS (rfq#2020-04-2,156)-(vice governor's office)</t>
  </si>
  <si>
    <t>Repair and Maintenance of Energy Structure</t>
  </si>
  <si>
    <t>PURCHASE OF SPAREPARTS AND LABOR FOR REPAIR OF DMAX SERVICE VEHICLE (MBO)</t>
  </si>
  <si>
    <t>CONSTRUCTION OF BARANGAY STAGE (PAHASE I), BARANGAY AMOT, BURDEOS, QUEZON</t>
  </si>
  <si>
    <t>RFQ-DVO-PR.NO. 2005284 CAT. 6 AUTO REPAIR SHOP</t>
  </si>
  <si>
    <t>PROCUREMENT OF 2.5 HP SPLIT TYPE AIR CONDITIONING UNIT</t>
  </si>
  <si>
    <t>Office Supplies Expenses (PCADG-5020301000-1061-2020)</t>
  </si>
  <si>
    <t>Purchase of COVID-19 Response Items</t>
  </si>
  <si>
    <t>Various Machineries</t>
  </si>
  <si>
    <t>Procurement of Office Equipment for RTC Branch 27 - Tandag.</t>
  </si>
  <si>
    <t>Procurement of Newspaper Subscription for July to December 2020</t>
  </si>
  <si>
    <t>Purchase of 10 Meter Hydraulic Hose</t>
  </si>
  <si>
    <t>PURCHASE OF CCAM SMARTPHONES FOR PHOTO DOCUMENTATION AND GEOTAGGING</t>
  </si>
  <si>
    <t>SUPPLY AND DELIVERY OF SNACKS (rfq#2020-05-2,544)-(pgo-popdev)</t>
  </si>
  <si>
    <t>Construction of Sewer Treatment Plant and Drying Area at Slaughter House, Brgy. Guinhawa North, Tagaytay City</t>
  </si>
  <si>
    <t>SUPPLY AND DELIVERY OF VARIOUS WOODCRAFTS FOR EXECUTIVE LOUNGE USE</t>
  </si>
  <si>
    <t>RFQ-DVO-PR.NO. 2005160 CAT. 27 FURNITURE AND FIXTURES</t>
  </si>
  <si>
    <t>Purchase and Installation of CCTV and Solar Panel Lights for MDDRMC, Calasiao, Pangasinan</t>
  </si>
  <si>
    <t>UCT : 1 LOT PRINTING SERVICES; REPRODUCTION OF FORMS FOR THE UCT-LISTAHANAN PAYOUT ACTIVITIES</t>
  </si>
  <si>
    <t>SUPPLY AND DELIVERY OF EXTENSION ENERGY EFFECT CUSHION FOR ELECTRICAL POTENTIAL THERAPY EQUIPMENT</t>
  </si>
  <si>
    <t>Construction of Slope Protection for Tenement Housing Project, Barangay Marketview, Lucena City</t>
  </si>
  <si>
    <t>PROCUREMENT OF VARIOUS FRUITS SEEDLINGS FOR THE SUSTAINABLE LAND RESOURCE MANAGEMENT APPROACH (SLRMA) FOR AGRI-ENVIRONMENTAL DEVELOPMENT OF UPLANDS AND HILLY LANDS AT SITIO NANGKA, PUNTIAN, SUMILAO, B</t>
  </si>
  <si>
    <t>Continuation/Improvement of Multi-purpose Hall</t>
  </si>
  <si>
    <t>ANNUAL PREVENTIVE MAINTENANCE FOR VARIOUS MEDICAL EQUIPMENT CY 2020</t>
  </si>
  <si>
    <t>Request for Quotataion</t>
  </si>
  <si>
    <t>1 unit laptop Core i7</t>
  </si>
  <si>
    <t>PR. 20-06-212 (2020-06-204) PROCUREMENT OF GEAR, REFLECTORIZED VEST &amp; HARD HAT</t>
  </si>
  <si>
    <t>Other Supplies &amp; Materials Expenses (PCADG-5020399000-1062-2020)</t>
  </si>
  <si>
    <t>IMPROVEMENT/REHABILATION OF DRAINAGE SYSTEM</t>
  </si>
  <si>
    <t>Spare parts for Foton truck</t>
  </si>
  <si>
    <t>CONSTRUCTION OF IGANG BRIDGE ALONG CASIGURAN – DILASAG PROVINCIAL ROAD, Casiguran-Dilasag, Auraora</t>
  </si>
  <si>
    <t>RFQ-DVO-PR.NO. 2005265 CAT. 27 FURNITURE AND FIXTURES</t>
  </si>
  <si>
    <t>SUPPLY AND DELIVERY OF BULB FOR MARKET OPERATION USE</t>
  </si>
  <si>
    <t>Completion of Climate Resilient Multi-Purpose Hall  @Brgy. Capalong, Real, Quezon</t>
  </si>
  <si>
    <t>780 pcs. Tiles 60cm x 60cm x 1cm</t>
  </si>
  <si>
    <t>MATLS FOR WIRE FENCING OF PUBLIC MARKET</t>
  </si>
  <si>
    <t>Improvement of Vice Mayor's Office and Provision of Comfort Room</t>
  </si>
  <si>
    <t>Concreting of Sucao Elementary School Multi-Purpose Pavement</t>
  </si>
  <si>
    <t>SUPPLY AND DELIVERY OF ELECTRICAL SUPPLIES FOR INSTALLATION OF OVERCURRENT PROTECTION AND UPGRADING TRANSFER SWITCH</t>
  </si>
  <si>
    <t>Construction</t>
  </si>
  <si>
    <t>Construction of Water System at Giayan N.Q.</t>
  </si>
  <si>
    <t>Purchase of Brochures, Leaflets and Learning Materials for Protection of Children Program</t>
  </si>
  <si>
    <t>INVITATION TO BID FOR PHOTOCOPYING MACHINE FOR FFHNAS JUNIOR HIGH SCHOOL AND SENIOR HIGH SCHOOL</t>
  </si>
  <si>
    <t>RFQ-DVO-PR.NO. 2005270 CAT. 57 SPORTS ATTIRE</t>
  </si>
  <si>
    <t>Telephone Mobile Expenses (AFPMCC-65,700.00)</t>
  </si>
  <si>
    <t>150 rms. Bookpaper long</t>
  </si>
  <si>
    <t>Rehabilitation of Monkey Cage (3 Units), Peacock Cage, Cassowary Cage and Butterfly Cage at Albay Park and Wildlife PR No. (100(01)-20-03-0849)</t>
  </si>
  <si>
    <t>SUPPLY AND DELIVERY OF OFFICE AND JANITORIAL SUPPLIES FOR BJMP USE</t>
  </si>
  <si>
    <t>NEGOTIATED PROCUREMENT OF ADDITIONAL CCTV CAMERA AT MONCAST</t>
  </si>
  <si>
    <t>20JI0086-Furnishing of Labor including provision of equipment necessary to complete the Repair/Maintenance of DENR Building, Brgy.Pob.Imelda,Zamboanga Sibugay</t>
  </si>
  <si>
    <t>Supply of weighing scales for agro-enterprise development for rice</t>
  </si>
  <si>
    <t>Catering Services: Orientation and LGU Meetings for the Disaster Vulnerability Assessment and Profiling Project (DVAPP) Card Production</t>
  </si>
  <si>
    <t>Procurement of Office Equipment for TSP CCTV Monitoring and SP Hall use.</t>
  </si>
  <si>
    <t>Purchase of Common-Use Supplies for OSDS</t>
  </si>
  <si>
    <t>Procurement of Printing &amp; Publication Expenses (PCADG-5029902000-1063-2020)</t>
  </si>
  <si>
    <t>Supplies &amp; Deliveries of Construction Supplies for the use of 6FSSU, ASCOM, PA for 2nd QTR CY 2020</t>
  </si>
  <si>
    <t>Purchase of Washable Face Mask</t>
  </si>
  <si>
    <t>20GBE0017: Furnishing &amp; Delivery of Pavement Markings Materials for National Roads of DPWH-IFDEO</t>
  </si>
  <si>
    <t>Procurement of Photocopier Ink</t>
  </si>
  <si>
    <t>Labor and materials in the propagation of 20,000 quality bamboo seedlings at the Provincial Nursery Laoang Productivity Center, Barangay Laoang Tarlac City</t>
  </si>
  <si>
    <t>PR 20-06-0633</t>
  </si>
  <si>
    <t>SUPPLY AND DELIVERY OF MASTER ROLLS AND GR INK FOR GSO USE</t>
  </si>
  <si>
    <t>BARANGAY HALL DEEP WELL REHABILITATION AT PUROK 3, IN BRGY. CALAPUGAN. NATIVIDAD, PANGASINAN</t>
  </si>
  <si>
    <t>Request for the purchase of flag for lamp post for the use of Cultural Affairs and Tourism Office, Pasig City.</t>
  </si>
  <si>
    <t>Supply / Delivery of 3,813.90 liters Diesel &amp; 215 liters Gasoline Premium</t>
  </si>
  <si>
    <t>GOODS 2020-05-0003 REBID REPAIR AND MAINTENANCE - TRANSPORTATION EQUIPMENT</t>
  </si>
  <si>
    <t>PEO-20-0695 B- Purchase of Spare Parts for use in the repair of Caterpillar Bulldozer (CB-1) Model: D6HXL assigned at PEP, Sta. Barbara, Iloilo</t>
  </si>
  <si>
    <t>One (1) Job Contract for the Electrification (Installation of 25Kva, 760Vac Primary / 230Vac, Secondary, 60Hz, 1-Phase, OISC, Distribution Transformer and Construction of Streetlights)/Brgy. Gegacjac/</t>
  </si>
  <si>
    <t>For the Declogging/Clearing of Canal at Barangay Asinan, Bugallon, Pangasinan</t>
  </si>
  <si>
    <t>Supply and Delivery Additional Apparatus in Biology Laboratory of SDSSU Tandag</t>
  </si>
  <si>
    <t>RFQ-DVO-PR.NO. 2005254 CAT. 65 VETERINARY SUPPLIES AND MATERIALS</t>
  </si>
  <si>
    <t>RIPRAAPING AND CONSTRUCTION OF CONCRETE PAVEMENT AT LUACAN WATERPARK</t>
  </si>
  <si>
    <t>Procurement of supply and delivery of food for the conduct of DA-PA-Mas Monthly Assessment</t>
  </si>
  <si>
    <t>Animal Feeds</t>
  </si>
  <si>
    <t>SUPPLY AND DELIVERY OF I.T. SUPPLIES -(rfq#2020-05-2,548)-(pgo-popdev)</t>
  </si>
  <si>
    <t>RFQ-DVO-PR.NO. 2005208 CAT. 64 VETERINARY DRUGS AND MEDICINES</t>
  </si>
  <si>
    <t>PURCHASE OF MATERIALS FOR THE CONSTRUCTION OF CONCRETE PAVEMENT AROUND BARANGAY SITE</t>
  </si>
  <si>
    <t>Repair of Perimeter Fence at EcoPark @ Samal, Bataan</t>
  </si>
  <si>
    <t>“Acquisition of One (1) Lot Health Care Services through Health Maintenance Organization"</t>
  </si>
  <si>
    <t>SUPPLY AND DELIVERY OF CONSTRUCTION MATERIALS FOR CONSTRUCTION OF MOTORPOOL GUARD HOUSE</t>
  </si>
  <si>
    <t>SD of 5 pcs Snare Drum &amp; 1 other</t>
  </si>
  <si>
    <t>Construction of Niches, Lucena Public Cemetery, Barangay Marketview, Lucena City</t>
  </si>
  <si>
    <t>Supply and delivery of office supplies and devices</t>
  </si>
  <si>
    <t>Repair/Maintenance of Municipal Water System</t>
  </si>
  <si>
    <t>Procurement of Printing &amp; Publication Expenses (PCADG-5029902000-1064-2020)</t>
  </si>
  <si>
    <t>Supply and Delivery of CHR Collaterals</t>
  </si>
  <si>
    <t>Various COD Working Unifrom</t>
  </si>
  <si>
    <t>SUPPLY AND DELIVERY OF MEALS AND SNACKS (rfq#2020-05-2,560)-(pgo-bac secretariat)</t>
  </si>
  <si>
    <t>Procurement of Logbook - PDH</t>
  </si>
  <si>
    <t>Request for the purchase of morgue refrigeration system for the use of Pasig City.</t>
  </si>
  <si>
    <t>SUPPLY AND DELIVERY OF 1,591 BOXES ROUND MOIST CAKE FOR PABIRTHDAY NI LOLO UG LOLA (2ND QUARTER)</t>
  </si>
  <si>
    <t>COMPLETION OF ARCHITECTURE BUILDING, PSU MAIN CAMPUS</t>
  </si>
  <si>
    <t>RFQ-DVO-PR.NO. 2006044 CAT. 39 MEDICAL SUPPLIES AND MATERIALS</t>
  </si>
  <si>
    <t>Supply and Deliver of Materials for I.D Making</t>
  </si>
  <si>
    <t>REPAIR &amp; MAINTENANCE OF OF NEW HOLLAND TRACTOR</t>
  </si>
  <si>
    <t>RFQ-DVO-PR.NO. 2006011 CAT. 46 PAINTING TOOLS AND MATERIALS</t>
  </si>
  <si>
    <t>Ice Cream Production</t>
  </si>
  <si>
    <t>SUPPLY, DELIVERY &amp; INSTALLATION OF CALAMITY RELATED ALARM &amp; SECURITY MONITORING SYSTEM</t>
  </si>
  <si>
    <t>Meals for Session and Inauguration of New Sangguniang Panlalawigan Building</t>
  </si>
  <si>
    <t>Bakery Machinery Eqpt</t>
  </si>
  <si>
    <t>PROCUREMENT OF CORN SEEDS &amp; FERTILIZERS FOR THE SUSTAINABLE LAND RESOURCE MANAGEMENT APPROACH (SLRMA) FOR AGRI-ENVIRONMENTAL DEVELOPMENT OF UPLANDS AND HILLY LANDS AT SITIO NANGKA, PUNTIAN, SUMILAO, B</t>
  </si>
  <si>
    <t>Procurement of Air Conditioner unit for Provincial Fisheries and Aquatic Resources Office new building.</t>
  </si>
  <si>
    <t>Other Supplies &amp; Materials Expenses (PCADG-5020399000-1065-2020)</t>
  </si>
  <si>
    <t>RFQ - Procurement of Goods: IT Equiments for the use of CDRRMO - Command Center (PR#300-20-03-0047)</t>
  </si>
  <si>
    <t>Procurement of Various Materials for the Rehabilitation of Concrete Line Canal, Local Government Unit of Barugo, Leyte</t>
  </si>
  <si>
    <t>SUPPLY AND DELIVERY OF ELECTRICAL SUPPLIES FOR IMPROVEMENT OF MUSCOVADO BUILDING</t>
  </si>
  <si>
    <t>CONSTRUCTION OF PUI CENTER (MUNICIPAL GYMNASIUM)</t>
  </si>
  <si>
    <t>SUPPLY AND DELIVERY OF MEALS AND SNACKS (rfq#2020-06-2,582)-(pgo-pdea)</t>
  </si>
  <si>
    <t>Supply and Installation of Animal Feeds -EDM</t>
  </si>
  <si>
    <t>PRINTING OF FACULTY &amp; STAFF ID</t>
  </si>
  <si>
    <t>Supply and Delivery of 2 units Grass Cutter</t>
  </si>
  <si>
    <t>Industrial Machinery and Equipment</t>
  </si>
  <si>
    <t>Acetator Kit and wine fermentation kit</t>
  </si>
  <si>
    <t>Supplies and Materials</t>
  </si>
  <si>
    <t>PROVISION OF PERIMETER LIGHTS AND POST ON AIRSIDE</t>
  </si>
  <si>
    <t>Procurement of Signage</t>
  </si>
  <si>
    <t>AVRC : 50	PCS.	LIQUID DISPENSER UP TO 1000	PCS.	GERMICIDAL SOAP; FOR DISINFECTANT AND OTHER RELATED EQUIPMENT AT AVRC  III.</t>
  </si>
  <si>
    <t>Purchase of Real Property Tax Account Register Card for Treasurer’s Office use</t>
  </si>
  <si>
    <t>Water Supply System at Pasalubong Center</t>
  </si>
  <si>
    <t>PR 1-20-06-0669, FOR USE OF VARIOUS VEHICLES AND EQUIPMENT ASSIGNED IN ECO-CENTER PROJECT OPERATION, CITY ENVIRONMENT MANAGEMENT OFFICE, CEMO, THIS CITY.</t>
  </si>
  <si>
    <t>CONCRETING OF BARANGAY ROAD (Brgy. Pulangbato)</t>
  </si>
  <si>
    <t>Procurement of supply and delivery of food fo the conduct of Rice Report Officers Monthly Meeting</t>
  </si>
  <si>
    <t>ITB 20-0062 - Supply and Delivery of 7,000 bags Cement, Portland, Quick Dry &amp; etc.</t>
  </si>
  <si>
    <t>Post Cement, Banana Twine &amp; Bamboo Poles for LSA - FRIEND Organic Farm</t>
  </si>
  <si>
    <t>Supply and Delivery of Construction Materials - ITB 038-2020 GQ</t>
  </si>
  <si>
    <t>PR 1-19-09-1639, FOR THE USE OF SAN CARLOS CITY HOSPITAL, THIS CITY.</t>
  </si>
  <si>
    <t>Procurement of Common Office Supplies</t>
  </si>
  <si>
    <t>CONSTRUCTION OF TWO STOREY MULTI-PURPOSE (MUNICIPAL ISOLATION) BUILDING, MUNICIPALITY OF MALIBCONG, ABRA</t>
  </si>
  <si>
    <t>ICT EQUIPMENTS OF CSU ANDREWS 2020-06-05E</t>
  </si>
  <si>
    <t>RFQ - Procurement of Goods: IT Equipment (A3 Machine Photocopier &amp; Duplicator Machine) for the use of DEPED (For the use of Various Schools) (PR#200-20-06-0100)</t>
  </si>
  <si>
    <t>Office Eqpt and Accessories</t>
  </si>
  <si>
    <t>Completion of Paagan Water System</t>
  </si>
  <si>
    <t>2 drums Engine Oil</t>
  </si>
  <si>
    <t>Purchase of Hot and Cold Water Dispenser with Storage Cabinet (ris 20-13-098)</t>
  </si>
  <si>
    <t>IMPROVEMENT OF MUNICIPAL IP HALL GROUND</t>
  </si>
  <si>
    <t>LIVE ANIMALS (Livestock)</t>
  </si>
  <si>
    <t>RFQ-DVO-PR.NO. 2006001 CAT. 69 SUBSCRIPTION</t>
  </si>
  <si>
    <t>Procurement of BDRRM Supplies &amp; Materials</t>
  </si>
  <si>
    <t>Concreting of Lacangan Road</t>
  </si>
  <si>
    <t>Repair and Maintenance of Legislative Building Roofing</t>
  </si>
  <si>
    <t>Procurement of Communication Plan for 1 Year</t>
  </si>
  <si>
    <t>RFQ-DVO-PR.NO. 2005237 CAT. 49 PRINTED FORMS AND PRINTING  SERVICES</t>
  </si>
  <si>
    <t>Supply of four (4) pieces Steel Cabinet</t>
  </si>
  <si>
    <t>Training Expense-Php66,000.00 AFP CYBER GROUP</t>
  </si>
  <si>
    <t>Supply and Delivery of Jetmatic Pump</t>
  </si>
  <si>
    <t>Books, Maps and Other Publications for Distribution to all Barangays of Oriental Mindoro</t>
  </si>
  <si>
    <t>SUPPLY AND INSTALL OF BY-PASS POTABLE WATER PIPE LINE QUINANLIMAN, BRGY. POB. 1, REAL, QUEZON</t>
  </si>
  <si>
    <t>Supply of Delivery of Conveyor Landing Pad at Terminal 2 (ris 20-83-069)</t>
  </si>
  <si>
    <t>SUPPLY DELIVERY  FOR TRAINING SERVICES FOR SECURITY NC 1</t>
  </si>
  <si>
    <t>RFQ 16724</t>
  </si>
  <si>
    <t>FURNISHING AND DELIVERY OF CONSTRUCTION MATERIALS FOR THE CONSTRUCTION OF TALBEK WATER SYSTEM</t>
  </si>
  <si>
    <t>Supply / Delivery of 30 pcs. Cell Cards 100’s &amp; 15 pcs. Cell Cards 300’s</t>
  </si>
  <si>
    <t>PROCUREMENT OF DIESOLINE (FOR LGU USE)</t>
  </si>
  <si>
    <t>RFQ-DVO-PR.NO. 2004142 CAT. 78 FIRE AND RESCUE EQUIPMENT</t>
  </si>
  <si>
    <t>Procurement of Printer Resetter for FY 2020 - Repost</t>
  </si>
  <si>
    <t>PROCUREMENT OF CELLPHONE ( brgy council )</t>
  </si>
  <si>
    <t>ITB 20-0063 - Supply and Delivery of 5 drums Hydraulic Oil, AW 68 &amp; etc.</t>
  </si>
  <si>
    <t>Payment for Security Service for the period of July 2020 to December 2020 at San Pablo City General Hospital, San Pablo City.</t>
  </si>
  <si>
    <t>Procurement of Various Medicines and Vitamins - PHSO</t>
  </si>
  <si>
    <t>Purchase of Assorted Goods</t>
  </si>
  <si>
    <t>PROCUREMENT OF SUPPLY AND INSTALLATION FOR THE REPLACEMENT OF VEHICLE TIRES</t>
  </si>
  <si>
    <t>Procurement of Office Equipment</t>
  </si>
  <si>
    <t>Supply Labor and Materials including Printing for the Production of 500 pieces Customized Corporate Bag</t>
  </si>
  <si>
    <t>RFQ PR NO. 824_INFORMATION TECH_ CHRMO</t>
  </si>
  <si>
    <t>PROCUREMENT OF OFFICE SUPPLIES</t>
  </si>
  <si>
    <t>RFQ - Procurement of Goods: Furniture &amp; Fixtures for the use of CENRO (PR#100-20-06-0093)</t>
  </si>
  <si>
    <t>Procurement of Common Janitorial Supplies and Office Supplies for the Four (4) Campuses</t>
  </si>
  <si>
    <t>Construction of Main Steel Gate (Double-Leaf) with Service Gate located at Barangay San Placido, Roxas, Isabela</t>
  </si>
  <si>
    <t>Procurement of supply and delivery of food fr the conduct of DA Program Assessment &amp; Forum</t>
  </si>
  <si>
    <t>1 Unit Laptop, 5 Units HDMI to VGA Converter, 3 Units Portable Wifi Router &amp; 12 Units Wireless Speaker</t>
  </si>
  <si>
    <t>Concreting of Pathway with Line Canal - ITB 039-2020 GQ</t>
  </si>
  <si>
    <t>Procurement of Various Medical Supplies, SAN JOSE CITY, NUEVA ECIJA</t>
  </si>
  <si>
    <t>Procurement of Office Supplies June 2020</t>
  </si>
  <si>
    <t>Construction Materials and Supplies for Provision of Cement and Painting Materials to Various Schools Provincewide</t>
  </si>
  <si>
    <t>PROCUREMENT OF GASOLINE,OIL,AND LUBRICANTS FOR MUNICIPAL VEHICLES CONSUMPTION FOR THE MONTH OF JUNE 2020</t>
  </si>
  <si>
    <t>RFQ PR NO. 860 OFFICE SUPPLIES _SWEMO</t>
  </si>
  <si>
    <t>RFQ-DVO-PR.NO. 2006027 CAT. 6 AUTO REPAIR SHOP</t>
  </si>
  <si>
    <t>Supply of Labor, Materials and Equipment Rentals for the Rehabilitation of Liglican, Diversion Dam in Poblacion, Bakun, Benguet</t>
  </si>
  <si>
    <t>FURNISHING AND DELIVERY OF LAPTOP COMPUTER FOR BUDGET OFFICE</t>
  </si>
  <si>
    <t>GRASSCUTTER</t>
  </si>
  <si>
    <t>Food Stuff (Roasted Swine)</t>
  </si>
  <si>
    <t>NEGOTIATED PROCUREMENT OF MATERIALS FOR REPAIR AND MAINTENANCE OF PUMPING STATION FOR WATERWORKS OPERATION UNIT</t>
  </si>
  <si>
    <t>Payment for Janitorial Service for the period of July 2020 to December 2020 at San Pablo City General Hospital, San Pablo City.</t>
  </si>
  <si>
    <t>Construction Of Senior Citizen Hall (Phase II), Brgy Dikildit , Maria Aurora, Aurora</t>
  </si>
  <si>
    <t>Supply and Delivery of Occult Blood Test</t>
  </si>
  <si>
    <t>PROCUREMENT OF OFFICE TABLE AND COMPUTER TABLE FOR MUNICIPAL PLANNING AND DEVELOPMENT OFFICE</t>
  </si>
  <si>
    <t>PRINTING SUPPLIES</t>
  </si>
  <si>
    <t>Re-shaping and Gravelling of Barangay Road</t>
  </si>
  <si>
    <t>ITB 20-0064 - Supply and Delivery of 71 units Television, LED, Smart TV.</t>
  </si>
  <si>
    <t>RFQ (20-06-040) Various IT Supplies</t>
  </si>
  <si>
    <t>RFQ 16688</t>
  </si>
  <si>
    <t>RFQ (20-06-036) Various Drugs and Medicines</t>
  </si>
  <si>
    <t>ICT EQUIPMENTS OF CSU ANDREWS 2020-06-03E</t>
  </si>
  <si>
    <t>RFQ - Procurement of Goods: Telecommunication Provider Equipment for the use of DEPED (For Various Schools) (PR#200-20-06-0014)</t>
  </si>
  <si>
    <t>Procurement of Survey Equipment - PEO</t>
  </si>
  <si>
    <t>HAND SANITIZER GEL &amp; MULTI PURPOSE CLEANER</t>
  </si>
  <si>
    <t>1. Materials and Equipment Rental for the Repair and Improvement of School Stage , Efraim Santibañez National High School, Brgy. Sto. Tomas, Passi City, Iloilo/LSB/P 139,460.00,2. Materials for the Ba</t>
  </si>
  <si>
    <t>Supply and Delivery of Personal Protective Equipment for the University of the Philippines Baguio</t>
  </si>
  <si>
    <t>RFQ - Procurement of Goods: Agricultural &amp; Marine Supplies for the use of CENRO (Landscaping &amp; Beautification Program) (PR#100-20-06-0092)</t>
  </si>
  <si>
    <t>Furniture to be used/installed in the executive building</t>
  </si>
  <si>
    <t>Renovation of Public Market</t>
  </si>
  <si>
    <t>Supply and Delivery if Vehicle Spare Parts - Motorpool</t>
  </si>
  <si>
    <t>Construction of Three (3) - Layer Tombs (2.50mx2.00m) @ Roxas Cemetery, San Rafael, Roxas, Isabela</t>
  </si>
  <si>
    <t>PR. 20-05-169 (2020-05-176 2ND QUOTE) PROCUREMENT OF MATERIALS FOR CENTRAL CCTV MONITORING AND STORAGE FEATURE</t>
  </si>
  <si>
    <t>Supply and Delivery of Four (4) Units Air Conditioning System for MSU-TCTO Graduate School</t>
  </si>
  <si>
    <t>ETHYL ALCOHOL</t>
  </si>
  <si>
    <t>INVITATION TO BID FOR THE IMPROVEMENT OF ALORAN WATER SUPPLY SYSTEM (BARANGAY OSPITAL-DULLAN)</t>
  </si>
  <si>
    <t>Duplo DPA-A120 Duplicating Machine</t>
  </si>
  <si>
    <t>One (1) Lot Information Technology</t>
  </si>
  <si>
    <t>CONSTRUCTION OF CR AT 3RD FLOOR OF LEGISLATIVE BUILDING</t>
  </si>
  <si>
    <t>GF-20-02-00338B - PROCUREMENT OF PROJECTOR</t>
  </si>
  <si>
    <t>Hospital/Medical Equipment for the use of Naujan Community Hospital</t>
  </si>
  <si>
    <t>Consolidated request for Curriculum implementation Division (CID) INSET 2020 on June 17, 2020</t>
  </si>
  <si>
    <t>ITB 20-0065 - Supply and Delivery of 1 unit X-Ray Machine.</t>
  </si>
  <si>
    <t>MG-A5M20-094 ( GREASOLVE, DEGREASER )</t>
  </si>
  <si>
    <t>0JI0087-Furnishing of Labor including provision of equipment necessary to complete the Repair/Maintenance of DPWH Building Maintenance Main Building including Guard House, Zamboanga Sibugay 1st Distri</t>
  </si>
  <si>
    <t>SUPPLIES AND MATERIALS FOR MAGSAYSAY COLLEGE</t>
  </si>
  <si>
    <t>Q-092-20 UPGRADING OF FIBER LINE WITH WI-FI AND VOICE OVER IP WITH HARDWARE</t>
  </si>
  <si>
    <t>Rehabilitation of Extension/Satellite Office @ Brgy. Llavac, Real, Quezon</t>
  </si>
  <si>
    <t>Purchase of 12 Units Portable Generator set</t>
  </si>
  <si>
    <t>NEGOTIATED PROCUREMENT OF GLASS DOOR FOR MUNICIPAL HEALTH CENTER BUILDING</t>
  </si>
  <si>
    <t>TARPAULIN PRINT OUT</t>
  </si>
  <si>
    <t>Negotiated Procurement of One (1) Unit Laptop and One (1) Unit Projector for DCA Agri-Farm Training School</t>
  </si>
  <si>
    <t>Concreting of Municipal Roads</t>
  </si>
  <si>
    <t>Improvement/Rehabilitation of President Bridge of Poblacion</t>
  </si>
  <si>
    <t>Meals and Snacks (Plant plant plant Program)</t>
  </si>
  <si>
    <t>Agricultural Machinery and Equipment for subsidy/assistance to Local Government Units,  Other (Farmers Association/Cooperative)</t>
  </si>
  <si>
    <t>FURNISHING AND DELIVERY OF MEDICAL SUPPLIES FOR MHO</t>
  </si>
  <si>
    <t>Procurement of Various Catering Services - PGO</t>
  </si>
  <si>
    <t>PROCUREMENT OF TRAVELLING RICE MILL  (FOR SAN ISIDRO RICE FARMER ASSOCIATION, BUB 2015)</t>
  </si>
  <si>
    <t>PURCHASE ROLLER BLINDS WITH INSTALLATION</t>
  </si>
  <si>
    <t>UPGRADING AND INSTALLATION OF OCP SERVER'S LSI RAID CONTROLLER</t>
  </si>
  <si>
    <t>Supply Labor and Materials for the Cleaning of Airconditioning Units (indoor and outdoor) Samsung Brand</t>
  </si>
  <si>
    <t>Repair / Improve  of Handwashing Facilities in Front of Canteen/ Fornt of Bldg. 3 &amp; 5 / Front of SSES and Front of Kinder</t>
  </si>
  <si>
    <t>OILS AND LUBRICANTS FOR MOTOR VEHICLES</t>
  </si>
  <si>
    <t>SUPPLY AND DELIVERY OF INTRAVENOUS FLUIDS</t>
  </si>
  <si>
    <t>SUPPLY DELIVERY OF TVET TRAINING FOR CAREGIVING NC II</t>
  </si>
  <si>
    <t>Diesel &amp; Lubricants</t>
  </si>
  <si>
    <t>Procurement of Various Supplies</t>
  </si>
  <si>
    <t>Construction Of Multi-Purpose Building, Brgy. Decoliat, Maria Aurora, Aurora</t>
  </si>
  <si>
    <t>CONSTRUCTION OF PROPER KALEO DRAINAGE</t>
  </si>
  <si>
    <t>S/D of (1) pc White Board 3x6 &amp; Forty (40) LI of 1BCT, PA (Php 150,000.00)</t>
  </si>
  <si>
    <t>Supply and Delivery of Maintenance Supplies and Tools</t>
  </si>
  <si>
    <t>RE BID FOR SUPPLY OF MEDICINE &amp; MEDICAL SUPPLIES FOR WALK IN CLIENT</t>
  </si>
  <si>
    <t>Furnishing labor for: Irrigation of Canal, Brgy. Malaiba</t>
  </si>
  <si>
    <t>Sporting Goods for distribution to Outstanding pupils and students in public and private schools in Oriental Mindoro</t>
  </si>
  <si>
    <t>VARIOUS IT SUPPLIES</t>
  </si>
  <si>
    <t>Purchase of Airconditioner 920-06-387)</t>
  </si>
  <si>
    <t>CONDUCT OF SOIL BEARING CAPACITY TEST FOR LGU  4 STOREYS MULTI-PURPOSE BUILDING</t>
  </si>
  <si>
    <t>20JI0088-Furnishing of Labor including provision of equipment necessary to complete the Repair/Maintenance of DOTR Building Coast Guard Sub-Station Building, Malangas, Zamboanga Sibugay</t>
  </si>
  <si>
    <t>Purchase of Fuel (Diesel) –  Office of the Municipal Vice Mayor</t>
  </si>
  <si>
    <t>631	bots	Larvicide (Good quality) Temephos 1 % Gr, 250grms, etc. PR # 65-20</t>
  </si>
  <si>
    <t>CONCRETING OF BARANGAY STREET, Brgy. 08, Can-avid Eastern Samar</t>
  </si>
  <si>
    <t>Tools and Materials for Training and Audit Purposes ( Agri Crop )</t>
  </si>
  <si>
    <t>SUPPLY, DELIVERY &amp; INSTALLATION OF FIXED GLASS WITH PCW FRAME DOUBLE DOOR - GOVERNOR'S OFFICE</t>
  </si>
  <si>
    <t>Installation of Street Lights along E-Poblacion - Manaba, Garcia-Hernandez, Bohol</t>
  </si>
  <si>
    <t>CATTLE FATTENING PROJECT</t>
  </si>
  <si>
    <t>CONDUCT OF SUBDIVISION SURVEY FOR NEW LANDS/COLLECTIVE CLOA UNDER RSS 01 TO 11</t>
  </si>
  <si>
    <t>Purchase of Disinfectants for ZDS Sports Facilities - Swimming Pool</t>
  </si>
  <si>
    <t>Purchase and Delivery of Construction Materials for the Improvement of Barangay Health Center, Brgy. Bonfal East, Bayombong, Nueva Vizcaya.</t>
  </si>
  <si>
    <t>Construction of Solar Drying Pavement (Phase II)</t>
  </si>
  <si>
    <t>Procurement of Various Construction Supplies (for Repair), SAN JOSE CITY, NUEVA ECIJA</t>
  </si>
  <si>
    <t>Supply and Delivery of Construction Materials for the use of City Agriculture Office</t>
  </si>
  <si>
    <t>S/D of (38) each Plywood Ordinary 1/4x4x8 &amp; Thirteen (13) LI of 1BCT, PA (Php 130,000.00)</t>
  </si>
  <si>
    <t>Procurement of Various Construction Supplies (for Maintenance), SAN JOSE CITY, NUEVA ECIJA</t>
  </si>
  <si>
    <t>CONSTRUCTION OF MULTI-PURPOSE HALL AT BRGY SISIMON</t>
  </si>
  <si>
    <t>CONCRETING OF A. BONIFACIO ST. JCT QUIRINO ST. AND ROXAS ST.</t>
  </si>
  <si>
    <t>NCSAT Fabrication of 20 unit office tables at SHS and water proofing and repair of partition at Guidance Office</t>
  </si>
  <si>
    <t>Procurement of Various Housekeeping Supplies - ADMIN</t>
  </si>
  <si>
    <t>RE-INVITATION FOR THE 1.     Provision of Design Services  : Architectural Plan, Civil/Structural Plan, Electrical Plan, Sanitary/Plumbing Plan, Mechanical Plan, Electronic Plan (Duly Signed and seale</t>
  </si>
  <si>
    <t>Construction of Multipurpose Bldg. (Mini-Gym)</t>
  </si>
  <si>
    <t>Vehicle for use of Bulalacao Community Hospital (BCH)</t>
  </si>
  <si>
    <t>Catering Services of Meals and Snacks - Php 14,350.00</t>
  </si>
  <si>
    <t>GF-20-02-00301B WALKIE TALKIE RADIO AND DSLR MICROPHONE</t>
  </si>
  <si>
    <t>DES -SPONGE BAR &amp; 17 OTHERS (3RD POSTING)</t>
  </si>
  <si>
    <t>30 pax Heavy Snacks serve during Blessing &amp; Turn-Over of Road Rehabilitation (Pasil)</t>
  </si>
  <si>
    <t>FOR ACCOUNTING AND BUDGET OFFICE 2020-06-07E</t>
  </si>
  <si>
    <t>CONSTRUCTION OF MULTI-PURPOSE HALL AT BRGY STA. CRUZ</t>
  </si>
  <si>
    <t>ICT EQUIPMENTS OF CSU ANDREWS 2020-06-02E</t>
  </si>
  <si>
    <t>Purchase &amp; Delivery of Office Supplies &amp; Consumables for the Office of SPM Virginia C. Pe Benito</t>
  </si>
  <si>
    <t>2	Unit	Portable Computer (Laptop), etc. PR # 381-20 rebid</t>
  </si>
  <si>
    <t>Installation of Deepwell at Barangay Poblacion, Rosario, Cavite</t>
  </si>
  <si>
    <t>200	BOX	Amoxicillin Trihydrate 500mg/capsule, 100's, etc. PR # 78-20</t>
  </si>
  <si>
    <t>CONSTRUCTION OF ISOLATION FACILITY BUILDING</t>
  </si>
  <si>
    <t>Supply and Installation of Various Furniture and Fixtures in Various Offices (Re-post)</t>
  </si>
  <si>
    <t>S/D of (300) bags Cement &amp; Forty-Thrre (43) LI of  C2C, PA (Php 903,339.22)</t>
  </si>
  <si>
    <t>Purchase of Office Equipment Use of CTO Office Under P.R. No. 80-20-02-026</t>
  </si>
  <si>
    <t>Cocreting of Gecobe Road</t>
  </si>
  <si>
    <t>Supply and Delivery of Sanitizer and Deodorizer to be used for Disinfectant</t>
  </si>
  <si>
    <t>ICT EQUIPMENTS OF CSU ANDREWS 2020-06-08E</t>
  </si>
  <si>
    <t>Procurement of Various Machinery and Equipment - PEO ENGINEERING</t>
  </si>
  <si>
    <t>PURCHASE OF OFFICE EQUIPMENTS FOR THE USE OF MUNICIPAL MAYOR'S OFFICE</t>
  </si>
  <si>
    <t>RFQ-2020-06-02</t>
  </si>
  <si>
    <t>NEGOTIATED PROCUREMENT FOR THE RENOVATION OF BARANGAY HALL</t>
  </si>
  <si>
    <t>Procurement of Submersible Pump, 2Hp, 230 volts, 60Hz</t>
  </si>
  <si>
    <t>PACKAGE 2020:26:CONSTRUCTION OF ACCESS ROAD GOING TO CHICO RIVER</t>
  </si>
  <si>
    <t>PURCHASE OF VARIOUS MATLS FOR OPCEN &amp; ISOLATION FACILITY  USE</t>
  </si>
  <si>
    <t>Request for Quotation for the Supply and Delivery of Goods, (ONE UNIT LAPTOP)</t>
  </si>
  <si>
    <t>RFQ (20-06-039) Various IT Supplies</t>
  </si>
  <si>
    <t>To be used in the Advocacy Campaign on Back to Basics: Scientific and Sustainable Livestock and Poultry Production with Post-training support</t>
  </si>
  <si>
    <t>lot b) procurement of supplies and equipment for the full implementation of minimum health standards against covid 19</t>
  </si>
  <si>
    <t>DES -ALUMINUM FOIL &amp; 13 OTHERS (3RD POSTING)</t>
  </si>
  <si>
    <t>Construction of Multipurpose Bldg.-Nanginan</t>
  </si>
  <si>
    <t>Snacks -preferably Bread/Sandwich/Cupcake &amp; Bottled Water/Juice for 2-Day Staff Enhancement Program</t>
  </si>
  <si>
    <t>INSTALLATION OF SOLAR STREETLIGHTS (Brgy. Poctol)</t>
  </si>
  <si>
    <t>Purchase and Delivery of Fuels and Oils of the SBO</t>
  </si>
  <si>
    <t>PR#20-06-0282 Power Saw for CDRRMO Use</t>
  </si>
  <si>
    <t>Tools, Supplies and Materials for Training Purposes ( Agri Crop )</t>
  </si>
  <si>
    <t>Supply and Delivery of Supplies for the HRM Laboratory of SDSSU Tagbina Campus</t>
  </si>
  <si>
    <t>Supply and Installation of Additional Partition at CIDA Training Area (Re-post)</t>
  </si>
  <si>
    <t>Repair/Rehabilitation of Roof Gutter in Municipal Building</t>
  </si>
  <si>
    <t>CONSTRUCTION OF SIKLING FOOTBRIDGE BARANGAY LATANG</t>
  </si>
  <si>
    <t>Purchase of Grocery Items (Stockpiling Commodities)</t>
  </si>
  <si>
    <t>Supply and Delivery of various materials for various Barangays, Sipalay City, Negros Occidental</t>
  </si>
  <si>
    <t>20GA0191-Re-Invitation-Construction of Revetment Wall (Flood Control) in Brgy. Poblacion Tangalan, Aklan Brgy. Poblacion, Tangalan, Aklan</t>
  </si>
  <si>
    <t>Concreting of Gattac Road</t>
  </si>
  <si>
    <t>GF-20-02-00300B - LABELING MACHINE</t>
  </si>
  <si>
    <t>Supply and Delivery of 12,150 Pieces Vitamin C</t>
  </si>
  <si>
    <t>Rehabilitation of Post-Harvest Facility (PHF) at Brgy. Guinbanga-an, Laua-an, Antique</t>
  </si>
  <si>
    <t>Labor &amp; materials for LED flatforma and multi-purpose trellis at Welcome Arch,Lucap Wharf, Lucap, Alaminos City</t>
  </si>
  <si>
    <t>4	units	Powered Speaker (portable), etc. PR # 469-20 rebid</t>
  </si>
  <si>
    <t>20BE0088: REPAIR AND MAINTENANCE OF DRAINAGE STRUCTURES ALONG CALAMAGUI-ILAGAN ROAD  KO398+(-250)-KO399+(-200), KO398+220-KO398+320 (RS),KO399+400-KO399+515(LS), KO399+542.70(LS), KO400+000-KO400+050</t>
  </si>
  <si>
    <t>DES -FOOD BLENDER &amp; 1 OTHER (3RD POSTING)</t>
  </si>
  <si>
    <t>CONCRETING OF ROAD,  SO. PULO BRGY. ZARAH, SAN LUIS, AURORA</t>
  </si>
  <si>
    <t>Supply &amp; Delivery Office Supplies</t>
  </si>
  <si>
    <t>Procurement of Various Equipment and Furniture and Fixtures for Instructional use of BSHM - Talisay Campus</t>
  </si>
  <si>
    <t>Procurement of Office Supplies and Consumables</t>
  </si>
  <si>
    <t>GF-20-02-00337B - Procurement of Speaker System</t>
  </si>
  <si>
    <t>Procurement of Food Stuff PR # 2020-06-04-178</t>
  </si>
  <si>
    <t>Skimmed Milk Powder</t>
  </si>
  <si>
    <t>DES -SPECIALIZED PRODUCT &amp; 3 OTHERS (5TH POSTING)</t>
  </si>
  <si>
    <t>Supply &amp; Delivery of Commercial Rice</t>
  </si>
  <si>
    <t>Installation of TLE Laboratory with functional covid compliant food preparation facility</t>
  </si>
  <si>
    <t>BPSU:AC-DEAN Speech Laboratory Equipment BSA &amp; BTVTE</t>
  </si>
  <si>
    <t>IB-05-0399-20HRND SUPPLY AND DELIVERY OF ESPRESSO MACHINE (HRND)</t>
  </si>
  <si>
    <t>Installation of Streetlights</t>
  </si>
  <si>
    <t>Construction of Isolation Unit</t>
  </si>
  <si>
    <t>UPPER MASAWANG &amp; SAN JOSE ES - Office Supplies and Equipment</t>
  </si>
  <si>
    <t>Procurement of materials for Proj Batang SES- Mahalin, Ingatan, Iligtas sa COVID</t>
  </si>
  <si>
    <t>MATERIALS FOR THE MAINTENANCE OF DUMPTRUCKS</t>
  </si>
  <si>
    <t>Supply &amp; Delivery of Seeds Lot 2</t>
  </si>
  <si>
    <t>Supply &amp; Delivery of Gasoline</t>
  </si>
  <si>
    <t>Supply &amp; Delivery of Garden Tool &amp; Equipment Lot 3</t>
  </si>
  <si>
    <t>20BE0089: CLUSTER: (1) REPAIR/MAINTENANCE OF ALINGUIGAN 2ND FLOOD CONTROL (2) REPAIR/MAINTENANCE OF UGAD FLOOD CONTROL, ALINGUIGAN 2ND, CITY OF ILAGAN, ISABELA  &amp; CABAGAN (UGAD, SAN PABLO), ISABELA</t>
  </si>
  <si>
    <t>Provision of Repar and Maintenance of PENRO-Quezon Office Building for CY-2020</t>
  </si>
  <si>
    <t>PR#20-06-0283 Continuous Form for City Waterworks Office Use</t>
  </si>
  <si>
    <t>PR#20-06-0281 Medical Supplies for 2nd quarter use of CDRRMO</t>
  </si>
  <si>
    <t>Delivery of labor and materials for the project of Rehabilitation of Foot bridge at Brgy. San Isidro, Bay,  Laguna</t>
  </si>
  <si>
    <t>Procurement of Supplies for the use of EEDD-Hotel/Resort Operations, Kalibo, Aklan/ITB no: 2020-352</t>
  </si>
  <si>
    <t>Supply &amp; Delivery of Fertilizers Lot 1</t>
  </si>
  <si>
    <t>Supply &amp; Delivery of Newspaper</t>
  </si>
  <si>
    <t>OFFICE SUPPLIES MOOE 2020 2ND QUARTER</t>
  </si>
  <si>
    <t>Hospital supplies and equipment</t>
  </si>
  <si>
    <t>PROCUREMENT OF MEDICAL EQUIPMENT</t>
  </si>
  <si>
    <t>Procurement/Printing of School ID</t>
  </si>
  <si>
    <t>Supply and Delivery of Tires - Motorpool</t>
  </si>
  <si>
    <t>SUPPLY AND DELIVERY OF FUEL (DIESEL &amp; GASOLINE) FOR THE CITY ENGINEER’S OFFICE</t>
  </si>
  <si>
    <t>BPSU:BC-Supply -Janitorial Supplies</t>
  </si>
  <si>
    <t>20BC0157 re-adv.-Local Infrastructure Program-Local Roads and Bridges-Concreting of Road Brgy. Balatubat, Calayan, Cagayan</t>
  </si>
  <si>
    <t>Supply and Delivery of  IT Equipment - IPTBM</t>
  </si>
  <si>
    <t>Procurement of vanitorial and medical supplies to be used by various offices at  Legislative department,Alaminos City</t>
  </si>
  <si>
    <t>STREETLIGHT SUPPLIES AND MATERIALS</t>
  </si>
  <si>
    <t>Supply, Delivery and Installation of Video Conferencing License Subscription for Philippine Normal University</t>
  </si>
  <si>
    <t>PURCHASE AND DELIVERY OF ADDITIONAL CAMERA, FIBER OPTIC CABLES &amp; OTHER MATERIALS</t>
  </si>
  <si>
    <t>20BC0205-Repair/Maintenance of DOJ Building Regional Trial Court Main Building</t>
  </si>
  <si>
    <t>Supply and Delivery of Welding Rods and Paints (Project”)</t>
  </si>
  <si>
    <t>SUPPLY AND DELIVERY OF 1,709 SETS GROCERY PACKS FOR PA-BIRTHDAY NI LOLO UG LOLA</t>
  </si>
  <si>
    <t>Supply and Delivery of Batteries</t>
  </si>
  <si>
    <t>Hardware materials for Construction of Handwashing Facility Repair of Function Hall,Repainting of flower boxes of Trento West CES</t>
  </si>
  <si>
    <t>Purchase of Payloader - LGU-Maasin, Iloilo</t>
  </si>
  <si>
    <t>20GA0195-Re-Invitation-Concreting of Barangay Road Brgy. Dumatad, Tangalan, Aklan</t>
  </si>
  <si>
    <t xml:space="preserve">20BC0212-Repair/Improvement of carriageway along Manila North road and Claveria-Diabalio-Luzon Cagayan boundary road                                                                                    </t>
  </si>
  <si>
    <t>SUPPLIES AND MATERIALS FOR IMPROVEMENT ROAD,SIDEWALK/PATHWAY &amp; REPLACEMENT MANHOLE COVER</t>
  </si>
  <si>
    <t>Duplo DPA-A120 Duplicating Machine-SHS</t>
  </si>
  <si>
    <t>20GGF0015 – Procurement  of Spare parts for use in printer INEO+227 of Administrative Section, DPWH Iloilo 1st District Engineering Office.</t>
  </si>
  <si>
    <t>SUPPLY AND DELIVERY OF VARIOUS CONSTRUCTION MATERIALS FOR TRUCK GARAGE AND BODEGA</t>
  </si>
  <si>
    <t>CONCRETING OF FARM-TO-MARKET ROAD AT SITIO PULO, MAGALLANES, CAVITE</t>
  </si>
  <si>
    <t>20HN0083 (Re-advertisement) -LP: Construction/Repair/ Rehabilitation/Improvement of  Various Infrastructure including Local Projects - Local Roads  and Bridges - Local Roads - Construction of Local Ro</t>
  </si>
  <si>
    <t>Procurement of various IT equipment/ accesories to be used at the City Accounting Office, Alaminos City</t>
  </si>
  <si>
    <t>DICT WVRO Tech4ed Project</t>
  </si>
  <si>
    <t>SOLID WASTE</t>
  </si>
  <si>
    <t>CONSTRUCTION OF CONCRETE PEDESTAL FOR SOLAR LAMP AT LIMAY ELEMENTARY SCHOOL</t>
  </si>
  <si>
    <t>INSTALLATION OF STREET LIGHTS IN PUROK 1 AND 3, BARANGAY MAHABA</t>
  </si>
  <si>
    <t>Procurement of Solane for the use of Dr. Rafael S. Tumbokon Memorial Hospital-EEDD, Kalibo, Aklan</t>
  </si>
  <si>
    <t>20ID0075	- Repair/ Rehabilitation of Damaged Concrete Pavement along Dulag-Julita-Burauen Road, K0946+000-K0947+500 with exceptions</t>
  </si>
  <si>
    <t>COMPLETION OF COMMERCIAL BUILDING - GOA</t>
  </si>
  <si>
    <t>20ID0074	- Concreting of Sitio Diyo to Sitio Kapitugan Brgy. Libo FMR,Brgy. Libo,Carigara,Leyte</t>
  </si>
  <si>
    <t>SUPPLIES AND MATERIALS FOR URBAN GREENING</t>
  </si>
  <si>
    <t>IMPROVEMENT OF PLARIDEL CIVIC CENTER - PHASE I</t>
  </si>
  <si>
    <t>IMPROVEMENT OF TAMAC DALIT FARM TO MARKET ROAD</t>
  </si>
  <si>
    <t>Purchase of 50 units Dual-Band Wifi Gigabit Router.</t>
  </si>
  <si>
    <t>Hardware materials for Extension of Pathway, Enhancement of School Landscaping, Repair of Water Pipes of Trento WCES</t>
  </si>
  <si>
    <t>REPAIR WORKS AT SAINT FRANCIS NATIONAL HIGH SCHOOL (JUNIOR)</t>
  </si>
  <si>
    <t>20GGF0016 – Procurement  of Global Navigation Satellite System (GNSS) Equipment (1 base, 2 rovers) with Complete Accessories for use in the Planning and Design Section, Iloilo 1st District Engineering</t>
  </si>
  <si>
    <t>Procurement of Office Supplies - 1</t>
  </si>
  <si>
    <t>Request for Quotation (HMD-2020-02-0115 Safety Equipment)</t>
  </si>
  <si>
    <t>Contract of Service for the Referees during the 2019-2020 1st Inter-Barangay Basketball Tournament of the Sangguniang Kabataan Federation</t>
  </si>
  <si>
    <t>2nd posting for School Stage</t>
  </si>
  <si>
    <t>SUPPLY &amp; DELIVERY OF 2 UNITS COMPUTER DESKTOPS</t>
  </si>
  <si>
    <t>Supply and Delivery of Aircondition Split Type Inverter 2.5HP</t>
  </si>
  <si>
    <t>R/M SPAREPART OF BARANGAY VEHICLES</t>
  </si>
  <si>
    <t>MAINTENANCE OF CCTV @ POBLACION #6, AMADEO, CAVITE</t>
  </si>
  <si>
    <t>COMPUTER EQUIPMENT AND PARTS</t>
  </si>
  <si>
    <t>Construction of Permanent Danger Zone Warning Signage (Cluster 2), Province of Albay PR No. (300-20-05-0399)</t>
  </si>
  <si>
    <t>Installation and Rehabilitation of Street Lighting facilities of Barangay San Blas Paoay, I.N.</t>
  </si>
  <si>
    <t>Procurement of Drugs and Medicines</t>
  </si>
  <si>
    <t>R/M FOR OFFICE BUILDING SUPPLIES AND MATERIALS</t>
  </si>
  <si>
    <t>Construction of Handwashing &amp; Improvement of K-G6 classrooms and school pergola of Cuevas ES</t>
  </si>
  <si>
    <t>PBD Construction of 105 meters Dona Josephina H. Cerilles Ave. Phase 11</t>
  </si>
  <si>
    <t>GF-20-02-00030B-VARIOUS SUPPLIES (INTERNET CABLE AND OTHERS)</t>
  </si>
  <si>
    <t>Supply Delivery and Installation of Thermal Camera</t>
  </si>
  <si>
    <t>CONDUCT OF SUBDIVISION SURVEY FOR NEW LANDS/COLLECTIVE CLOA UNDER RSS 12,13 &amp;14</t>
  </si>
  <si>
    <t>Procurement of Various Office Supplies - PAGSO</t>
  </si>
  <si>
    <t>Repair and Maintenance of Machineries and Equipment at Calasiao, Pangasinan</t>
  </si>
  <si>
    <t>Purchase of Medicines and Supplies for MHO PADADA</t>
  </si>
  <si>
    <t>Supply and Delivery of Doorknob, Heavy Duty</t>
  </si>
  <si>
    <t>GF-20-02-00061B- INK BOTTLE</t>
  </si>
  <si>
    <t>PROCUREMENT OF TECHNICAL AND SCIENTIFIC EQUIPMENT FOR RESEARCH AND DEVELOPMENT ACTIVITIES</t>
  </si>
  <si>
    <t>Cocoa Powder</t>
  </si>
  <si>
    <t>Repair of Water Pump</t>
  </si>
  <si>
    <t>Supply and Delivery of Motorcycle</t>
  </si>
  <si>
    <t>CONCRETING OF ROAD, PUROK I, DITEKI, SAN LUIS, AURORA</t>
  </si>
  <si>
    <t>Meals &amp; snacks to be served to culling operation team on the culling of hogs at Brgy. San Antonio,Dulacac,Cayucay &amp; Bued, Alaminos City</t>
  </si>
  <si>
    <t>Request for Quotation (RDTD-2019-11-0887 PVC Pipe)</t>
  </si>
  <si>
    <t>CONSTRUCTION OF FENCE</t>
  </si>
  <si>
    <t>Laptop-SHS</t>
  </si>
  <si>
    <t>RFQ-Water Sample Analysis thwrdec</t>
  </si>
  <si>
    <t>23 TUB DISINFECTING FLUID, HOSPITAL GRADE 5L/1 GAL.</t>
  </si>
  <si>
    <t>Procurement of Printer Ink</t>
  </si>
  <si>
    <t>Supply and Delivery of Gloves, Clean Large Size, natural rubber latex, smooth surface, beaded cuff, high strength and elasticity, Powder Free 100/Box</t>
  </si>
  <si>
    <t>RFQ (20-06-059) Various Laboratory Supplies and Reagents</t>
  </si>
  <si>
    <t>Procurement of Navigation Equipment under the Hybrid Trimaran Project</t>
  </si>
  <si>
    <t>Procurement of Food Stuff</t>
  </si>
  <si>
    <t>DARF02.QES.115.20-05-018 CORN-LIVESTOCK INTEGRATION PROJECT</t>
  </si>
  <si>
    <t>S &amp; D of Laboratory Supplies (PHO)</t>
  </si>
  <si>
    <t>PR 20-06-0648</t>
  </si>
  <si>
    <t>Supply of Food</t>
  </si>
  <si>
    <t>Procurement of Water Meters for Pintuyan Water Supply System</t>
  </si>
  <si>
    <t>Supply Labor and Materials for the Fabrication of Panel Box Set for NSC Electromagnetic Flow Meter</t>
  </si>
  <si>
    <t>PRINTING OF UNIVERSITY YEARBOOK (COCOON 2018)</t>
  </si>
  <si>
    <t>Material for the construction/repair of school building and other structures.</t>
  </si>
  <si>
    <t>Purchase of Multi-Media Projector (heavy duty) PR No. (100(01)20-04-0896)</t>
  </si>
  <si>
    <t>Procurement of Security Services of six (6) security guards for the period July 1, 2020 to December 31, 2020</t>
  </si>
  <si>
    <t>PR 20-06-0650</t>
  </si>
  <si>
    <t>Water Service connection</t>
  </si>
  <si>
    <t>Supply and Delivery of Outer Tire with Inner Tube and Flap.</t>
  </si>
  <si>
    <t>20GA0199-Re-Invitation-Concreting of Barangay Road Brgy. Tondog, Tangalan, Aklan</t>
  </si>
  <si>
    <t>3-Phase Primary Line Extension and Transformer Installation (3x50 KVA BN)</t>
  </si>
  <si>
    <t>Procurement of CCTV Equipment and Accessories under the Hybrid Trimaran Project</t>
  </si>
  <si>
    <t>Procurement of 100 pieces Leatherette cover wiht air vent</t>
  </si>
  <si>
    <t>Purchase of Supplies and Equipment for BPAT</t>
  </si>
  <si>
    <t>(GO-PDRMMO) REQUEST FOR QUOTATION (RFQ)  For the Procurement 1 Lot Digital VHF Base Radio (20 units) For the Governor’s Office – Provincial Disaster Risk Reduction Management Office--1.3M</t>
  </si>
  <si>
    <t>Purchase of Laptop for Sangguniang Bayan Office</t>
  </si>
  <si>
    <t>Request for Quotation (HMD-2020-01-0042 Hardware supplies)</t>
  </si>
  <si>
    <t>PROCUREMENT OF HRIS AND PAYROLL SYSTEM</t>
  </si>
  <si>
    <t>Supplies and Materials for Disinfection and Protection Against Viruses</t>
  </si>
  <si>
    <t>S/D of (52) each Plain Panels &amp; Twenty-One (21) LI of SMAC/AVNR, PA (Php 960,640.00)</t>
  </si>
  <si>
    <t>CONCRETING OF BURGOS – QUIRINO PROVINCIAL ROAD @ BURGOS, ISABELA</t>
  </si>
  <si>
    <t>Two (2) Lots Supply and Delivery of Stock Office Supplies under ITB No. SV20-06-003ILO for Lot-1</t>
  </si>
  <si>
    <t>IS Equipment</t>
  </si>
  <si>
    <t>VARIOUS SUPPLIES FOR REPAIR OF DRAINAGE COVER</t>
  </si>
  <si>
    <t>IP RADIO</t>
  </si>
  <si>
    <t>Invitation to Apply for Eligibility and to Bid for IMPROVEMENT OF BGRY. POBLACION LEVEL II WATER SYSTEM, BALENO, MASBATE</t>
  </si>
  <si>
    <t>Procurement of Various IT Supplies  - ADH</t>
  </si>
  <si>
    <t>RFQ (20-06-031) Various Information Technology Supplies</t>
  </si>
  <si>
    <t>RFQ no. 81-2020-G (1 canvass) Hospital/Medical Equipment</t>
  </si>
  <si>
    <t>WIRELESS LAST MILE CONNECTIVITY</t>
  </si>
  <si>
    <t>Supply &amp; Delivery of Surveying Instruments for the use Zambo. Norte RSO</t>
  </si>
  <si>
    <t>PR#05-0003</t>
  </si>
  <si>
    <t>Purchase of construction materials and supplies with labor on pakyaw or takay basis supplied by local laborers for the Repair/Improvement/Construction of Metro Sindangan Canal Phase 2</t>
  </si>
  <si>
    <t>DARF02.QES.115.20-06-014 IMPROVEMENT OF POULTRY HOUSE FOR NATIVE CHICKEN</t>
  </si>
  <si>
    <t>PBD cONST.IMPROVEMENT OF LAKE WOOD ECOLOGICAL PARK AND MRF 2020 CONSTRUCTION OF PERIMETER FENCE</t>
  </si>
  <si>
    <t>Office Supplies and Other COnsumables</t>
  </si>
  <si>
    <t>RFQ no. 82-2020-G (1 canvass) Hospital/Medical Equipment</t>
  </si>
  <si>
    <t>Extension of the Provincial Treasury Office, Brgy. Suklayin, Baler, Aurora</t>
  </si>
  <si>
    <t>REHABILITATION OF BREAKWATER (SABANG) - BRGY. SABANG, VINZONS, CAM. NORTE</t>
  </si>
  <si>
    <t>Procurement of Various Catering Services - OVG/OSP</t>
  </si>
  <si>
    <t>CONSTRUCTION OF EVACUATION CENTER (COMPLETION) @ MUNICIPAL COMPOUND, BURGOS, ISABELA</t>
  </si>
  <si>
    <t>Procurement of Target Client List booklet</t>
  </si>
  <si>
    <t>RFQ no. 83-2020-G (1 canvass) Vehicle Parts &amp; Accesories</t>
  </si>
  <si>
    <t>IEC MATERIALS</t>
  </si>
  <si>
    <t>IMPROVEMENT OF BARANGAY ROAD</t>
  </si>
  <si>
    <t>2020-06-0099 Supply and installation of Additional CCTV Cameras with LED TV Monitor for Dormitory and EMU Bldg of DOH - Drug Abuse Treatment and Rehabilitation Ceter, Centro San Antonio, City of Ilaga</t>
  </si>
  <si>
    <t>Equipment for Training Audit Purposes ( Agri Crop )</t>
  </si>
  <si>
    <t>Procurement of supply and delivery of arm sleeve and paddy boots</t>
  </si>
  <si>
    <t>PERSONAL PROTECTIVE</t>
  </si>
  <si>
    <t>REPAIR SUPPLIES AND MATERIALS FOR DIVISION OFFICE</t>
  </si>
  <si>
    <t>RFQ (20-06-054) Oxygen</t>
  </si>
  <si>
    <t>Purchase of Desktop Computer and Printer  for use at JBDAPH Bldg. 1 &amp; 2 PR No. (100(01)20-05-1121)</t>
  </si>
  <si>
    <t>RESCUE VEHICLE FOR EMERGENCY RESPONSE</t>
  </si>
  <si>
    <t>Purchase of Toiletries for the Provision of Farmers Haven Amenities</t>
  </si>
  <si>
    <t>Purchase of construction materials for water treatment plant shedhouse</t>
  </si>
  <si>
    <t>Procurement of One Lot Job for the repair &amp; materials for the use of COA-Service Vehicle (SHN-402), Kalibo, Aklan</t>
  </si>
  <si>
    <t>(GO-PDRRMO) REQUEST FOR QUOTATION (RFQ)  For the Procurement 1 unit ADF High Speed Scanner For the Governor’s Office – Provincial Disaster Risk Reduction Management Office--45,000.00</t>
  </si>
  <si>
    <t>(NVPH) REQUEST FOR QUOTATION (RFQ)  For the Procurement of Desktop Computer, Laptop &amp; Scanner For the Nueva Vizcaya Provincial Hospital--140,000.00</t>
  </si>
  <si>
    <t>Installation of Three (3) Air Conditioning units at Provincial Youth and Development Office at APSEMO Compound, Old Albay District Legazpi City PR No. (100(01)20-05-1128)</t>
  </si>
  <si>
    <t>CULTURAL ACTIVITY</t>
  </si>
  <si>
    <t>Supply and Delivery of Various IT Training Tools &amp; Equip. (2)</t>
  </si>
  <si>
    <t>Construction Materials to be used for Backfill of Solar Dryer infront of Barangay Hall at Brgy. Dorongan Sawat, Mangatarem, Pangasinan</t>
  </si>
  <si>
    <t>Construction of Pipe Support that was damaged at Alegre Spring Source, Brgy. Alegre, Bansalan, Davao del Sur</t>
  </si>
  <si>
    <t>KC : 24	can	AIR FRESHENER UP TO 9	roll	TWINE PLASTIC;OFFICE SUPPLIES AND CONSUMABLES FOR THE USE OF KC -PAMANA FOR RPMO STAFF</t>
  </si>
  <si>
    <t>SUPPLY AND DELIVERY OF SUBMERSIBLE PUMP AND MOTOR</t>
  </si>
  <si>
    <t>Influenza Polyvalent Vaccine injection 0.5ml suspension in a prefilled or ampule (IM) (adult)</t>
  </si>
  <si>
    <t>Outside labor for Siphoning of Sweptic tank:</t>
  </si>
  <si>
    <t>BPSU: AC-DEAN Layer Production</t>
  </si>
  <si>
    <t>RFQ no. 85-2020-G (1 canvass)</t>
  </si>
  <si>
    <t>REHABILITATION OF PUBLIC MARKET - POBLACION I, VINZONS, CAM. NORTE</t>
  </si>
  <si>
    <t>S &amp; D of Session Table (SPO)</t>
  </si>
  <si>
    <t>RFQ no. 84-2020-G (1 canvass) Hospital/Medical Equipment</t>
  </si>
  <si>
    <t>Purchase of Supplies and Materials for the Rehabilitation of Child Development Center cum Evacuation Center</t>
  </si>
  <si>
    <t>installation of fiber glass board and lighting of basketball court</t>
  </si>
  <si>
    <t>Two (2) Lots Supply and Delivery of Stock Office Supplies under ITB No. SV20-06-003ILO for Lot-2</t>
  </si>
  <si>
    <t>Provision of Eye Glasses for Senior Citizen</t>
  </si>
  <si>
    <t>Purchase of Solar Lights w/ GI Pipe</t>
  </si>
  <si>
    <t>PURCHASE/DELIVERY OF 1 UNIT BACKHOE</t>
  </si>
  <si>
    <t>GOODS-OE-20-2020</t>
  </si>
  <si>
    <t>GAD WOMEN'S MONTH</t>
  </si>
  <si>
    <t>Construction of Multi-Purpose Building (Phase II), Brgy. Dibut,San Luis, Aurora</t>
  </si>
  <si>
    <t>(PAO) 2ND REQUEST FOR QUOTATION (RFQ)  For the Procurement of Desktop Computer, Laptop &amp; Scanner For Provincial Agricultural Office--160,000.00</t>
  </si>
  <si>
    <t>PURCHASE OF FURNITURE AND FIXTURES FOR CRCF OTHER MOOE FOR 2020</t>
  </si>
  <si>
    <t>PR NO. 0620-010</t>
  </si>
  <si>
    <t>Maintenance of Municipal Vehicle Plate No. CT 1208</t>
  </si>
  <si>
    <t>2020-06-0095 Supply and delivery of 6 feet Folding Table of DOH-Drug Abuse Treatment Rehabilitation Center, Centro San Antonio, City of Ilagan, Isabela</t>
  </si>
  <si>
    <t>Supply and Delivery of Construction Materials used for Sta. Lucia I Elem. School, Sta. Lucia, Sablayan</t>
  </si>
  <si>
    <t>Use for the repair of the Community Center Dressing Room</t>
  </si>
  <si>
    <t>Construction of Concrete Pathway</t>
  </si>
  <si>
    <t>OFFICE EQUIPMENT SUPPLIES &amp; CONSUMABLES</t>
  </si>
  <si>
    <t>ITB FOR CONSTRUCTION MATERIALS TO BE USED FOR CONSTRUCTION OF 109 METERS IRRIGATION CANAL AT P-6, KABUNGA-AN BRGY. HIMAMA-UG, TSDN.</t>
  </si>
  <si>
    <t>20GA0054-Construction of Bridge (Local Bridge) from Malandayon to  Lilo-an in Brgy. Malandayon, Malinao, Aklan Brgy. Malandayon, Malinao, Aklan</t>
  </si>
  <si>
    <t>Purchase of Wipeout and Odoriser, deodorizer to be used at the City Sanitary Landfill.</t>
  </si>
  <si>
    <t>MATERIALS FOR THE CONSTRUCTION OF PATHWAY AT BARANGAY LLAVAC.</t>
  </si>
  <si>
    <t>Supply and Delivery of Construction Materials used for Ligaya Elem. School, Ligaya, Sablayan</t>
  </si>
  <si>
    <t>Request for Quotation (NLPRSD-2020-06-0292 Hydrogen Gas)</t>
  </si>
  <si>
    <t>RET</t>
  </si>
  <si>
    <t>OFFICE SUPPLIES</t>
  </si>
  <si>
    <t>Supply, delivery and Installation of Airconditioning Unit (Split-Type, Inverter)</t>
  </si>
  <si>
    <t>Procurement of Books - NIPSC Estancia Campus</t>
  </si>
  <si>
    <t>Cyclophosphamide powder 200mg. (IV)</t>
  </si>
  <si>
    <t>PROVISION OF MATERIALS FOR THE REPAIR OF 1 UNIT PRINTER (R&amp;M-ICT EQUIPMENT)</t>
  </si>
  <si>
    <t>REQUEST FOR QUOTATION: PROCUREMENT OF CELLULAR PHONES FOR OFFICE USE</t>
  </si>
  <si>
    <t>20CB-GSC-325 PURCHASE OF PURIFIED DRINKING WATER</t>
  </si>
  <si>
    <t>PROPOSED RENOVATION OF CAMPUS PLANNING  DEVELOPMENT AND MAINTENANCE OFFICE UNIVERSITY OF THE PHILIPPINES MANILA</t>
  </si>
  <si>
    <t>Purchase of construction materials for water treatment chlorinator house</t>
  </si>
  <si>
    <t>Lease of Office and IT Equipment</t>
  </si>
  <si>
    <t>Invitation to Apply for Eligibility and to Bid for IMPROVEMENT OF VALDEMORO SPORTS COMPLEX: CONSTRUCTION OF MUSIC ROOM</t>
  </si>
  <si>
    <t>Construction of Multi-Purpose Building and Stage, Brgy. Bangco, Maria Aurora, Aurora</t>
  </si>
  <si>
    <t>Purchase of Water Pump for additional water supplies at Albay Provincial Jail PR No. (100(01)20-01-0130)</t>
  </si>
  <si>
    <t>EMERGENCY PURCHASE FOR CALAMITY</t>
  </si>
  <si>
    <t>1 unit photocopier</t>
  </si>
  <si>
    <t>Purchase and Delivery Air-conditioning Unit for Mayor’s Office Use</t>
  </si>
  <si>
    <t>RFQ No.06-00652-19 SUPPLY AND DELIVERY OF VARIOUS OFFICE SUPPLIES</t>
  </si>
  <si>
    <t>(GO-Exec/Admin) REQUEST FOR QUOTATION (RFQ)  For the Procurement of 3,420 pax Meals &amp; Snacks, etc. II For the Governor’s Office – Executive &amp; Administrative Division--1,301,750.00</t>
  </si>
  <si>
    <t>Diploma Printing</t>
  </si>
  <si>
    <t>Nephrostomy catheter for percutaneous</t>
  </si>
  <si>
    <t>20CB-GSC-326 PURCHASE OF BLOOD CELL COUNTER</t>
  </si>
  <si>
    <t>Purchase of construction materials for water treatment control house</t>
  </si>
  <si>
    <t>PURCHASE OF CONSTRUCTION MATERIALS FOR TALACOGON CES</t>
  </si>
  <si>
    <t>REQUEST FOR QUOTATION: PROCUREMENT OF OFFICE SUPPLIES NOT AVAILABLE IN PROCUREMENT SERVICE</t>
  </si>
  <si>
    <t>Concreting of Barangay Road - Brgy. San Blas, Pilar, Capiz</t>
  </si>
  <si>
    <t>For the Construction of Drainage Line Canal at Nalbagan Street, Bugallon, Pangasinan</t>
  </si>
  <si>
    <t>S &amp; D of ICT Equipment (DepEd)</t>
  </si>
  <si>
    <t>One (1) Lot – Operation and Maintenance Services of Air-conditioning System at ITIOD Data Center, BSP Head Office, as per BSP Terms of Reference</t>
  </si>
  <si>
    <t>Supply and Delivery of Medicine for 2nd Quarter Use</t>
  </si>
  <si>
    <t>Supply and Delivery of Construction Materials used for Salvacion Elem. School,Batongbuhay Sablayan</t>
  </si>
  <si>
    <t>Supplly and Delivery of Office Equipment @Brgy Darasa, Tanauan City, Batangas</t>
  </si>
  <si>
    <t>RFQ (20-06-052) Entera Nutrition - Pediatric POlymeric 400g 1-3 years old</t>
  </si>
  <si>
    <t>Supply and Delivery of Construction Materials used for Repair of PNP-HPG Office</t>
  </si>
  <si>
    <t>Procurement of Fuel Supply for the Government Vehicle Transportation Used</t>
  </si>
  <si>
    <t>JSES ICT SUPPLY</t>
  </si>
  <si>
    <t>SUPPLY AND DELIVERY OF TEACHER'S TABLES, OFFICE TABLES AND CHAIRS FOR NEWLY HIRED PSHS CALABARZON REGION CAMPUS FACULTY AND STAFF</t>
  </si>
  <si>
    <t>RFQ no. 86-2020-G (1 canvass) Furniture</t>
  </si>
  <si>
    <t>Procurement of Various Equipment for Teleconferencing</t>
  </si>
  <si>
    <t>RFQ-Waste Water Analysis thwrdec</t>
  </si>
  <si>
    <t>Purchase of Motorcycle for Engineering, OBO, BAC, Waterworks offices.</t>
  </si>
  <si>
    <t>BPSU:AC-DEAN Laboratory of 3 Programs</t>
  </si>
  <si>
    <t>EMERGENCY PURCHASE FOR CALAMITY (MEDICINES)</t>
  </si>
  <si>
    <t>Printing of Tarpaulins</t>
  </si>
  <si>
    <t>JO NO. 0620-0016</t>
  </si>
  <si>
    <t>Proposed Construction of Market Fire Exit Stairs(additional) phase II at Legazpi City Public Market</t>
  </si>
  <si>
    <t>SUPPLY AND DELIVERY OF OFFICE SUPPLIES FOR THE QUARANTINE PASS PRODUCTION</t>
  </si>
  <si>
    <t>EMERGENCY PURCHASE FOR CALAMITY 2ND WAVE</t>
  </si>
  <si>
    <t>For CSS NC II Instructional Materials</t>
  </si>
  <si>
    <t>20CB-GSC-327 PURCHASE OF ENGINE OIL FOR MOTOR VEHICLE</t>
  </si>
  <si>
    <t>PURCHASE OF OFFICE EQUIPMENT FOR MSWD, MDRRMO AND COVID CENTER</t>
  </si>
  <si>
    <t>PROCUREMENT OF OFFICE SUPPLIES FOR MUNICIPAL HEALTH OFFICE</t>
  </si>
  <si>
    <t>Procurement of High Speed Sewing Machine &amp; Sewing Machine Motor for the use of Dr. Rafael S. Tumbokon Memorial Hospital-Linen Section, Kalibo, Aklan</t>
  </si>
  <si>
    <t>PROCUREMENT OF TIRES</t>
  </si>
  <si>
    <t>20CB-GSC-328 PURCHASE OF TEXTBOOKS MATERIALS</t>
  </si>
  <si>
    <t>Invitation to Apply for Eligibility and to Bid for INSTALLATION OF LIGHTINGS FOR STORM-SURGE-PREVENTING BREAKWATER AND SEA WALL    (PHASE II)</t>
  </si>
  <si>
    <t>REPOSTING  FOR MACHINERY  &amp;  EQUIPMENT OUTLAY FOR THE PURCHASE OF ONE UNIT NURSING SIMULATOR FOR THE USE OF COLLEGE OF HEALTH SCIENCES</t>
  </si>
  <si>
    <t>Concreting of Barangay Road - Brgy. Tabun-acan, Pilar, Capiz</t>
  </si>
  <si>
    <t>PBD Construction of Dagum-Tiwales Road(Road Opening)</t>
  </si>
  <si>
    <t>Supply and Delivery of Live Animals and feeds</t>
  </si>
  <si>
    <t>All purpose cream, 250ml, tetra pack</t>
  </si>
  <si>
    <t>CRFPSP PROJECTS</t>
  </si>
  <si>
    <t>SUPPLY AND DELIVERY OF DESKTOP COMPUTER AND PRINTER FOR MAYOR'S OFFICE</t>
  </si>
  <si>
    <t>REPAIR &amp; MAINTENANCE OF PERIMETER FENCES</t>
  </si>
  <si>
    <t>Supply and Delivery of Office Supplies and Housekeeping Supplies for PSWD Mamburao, and PSWD Sub-Office in San Jose and Sablayan</t>
  </si>
  <si>
    <t>S &amp; D of Veterinary Drugs and Supplies (PVO)</t>
  </si>
  <si>
    <t>20GA0203-Construction of Bridge (Local Bridge) in Brgy. Laguinbanua, Ibajay, Aklan  Brgy. Laguinbanua, Ibajay, Aklan</t>
  </si>
  <si>
    <t>PROCUREMENT OF MEDICAL SUPPLIES AND EQUIPMENT (ITB No. 2020-154)-(bpmc)</t>
  </si>
  <si>
    <t>For COVID-19 Preparedness</t>
  </si>
  <si>
    <t>Procurement of TLE Instructional Tools and Materials</t>
  </si>
  <si>
    <t>Purchase of Fertilizer</t>
  </si>
  <si>
    <t>1	Materials &amp; Equipment Rental for the Improvement of Agriculture Office, Brgy. Sablogon, Passi City, Iloilo, (P 83,910.39), 2	Materials and Equipment Rental for the Construction of Kiosk at Bus Termi</t>
  </si>
  <si>
    <t>Representation Expenses (AFPPS-PhP160,875.00)</t>
  </si>
  <si>
    <t>Proposed road Concreting at Brgy. 15- Ilawod East, Legazpi City</t>
  </si>
  <si>
    <t>Concreting of Road w/ Line Canal, Brgy. Caragsacan, Dingalan, Aurora</t>
  </si>
  <si>
    <t>Purchase of portable welding machine 500amps</t>
  </si>
  <si>
    <t>BPSU:AC-DEAN Quail Production</t>
  </si>
  <si>
    <t>20CB-GSC-330 PURCHASE OF FURNITURE AND FIXTURES</t>
  </si>
  <si>
    <t>A DIVERSIFIED FARMING LIVELIHOOD PROJECT OF TULTUGAN FARMERS PRACTITIONERS ASSOCIATION- CALAPE, BOHOL</t>
  </si>
  <si>
    <t>Office Supplies for Engineering Office and Works for Second Quarter 2020</t>
  </si>
  <si>
    <t>P.R NO. 100-2020-03-0323 PURCHASE OF AGRICULTURAL MATERIALS USE FOR RE-FORESTATION</t>
  </si>
  <si>
    <t>Supply and Delivery of Materials for the Fabrication of Spool, Bend Connections and Exposed Steel Pipe for Silay City Water District</t>
  </si>
  <si>
    <t>RFQ No. 20-0543 Shoping B - Supply and Delivery of 1st Quarter FY 2020 Office Supplies for DSWD Legal Service</t>
  </si>
  <si>
    <t>20GAC0018 - Supply and Delivery of Thermoplastic Paint (White) for the Maintenance of Roads Along NSR / MNR</t>
  </si>
  <si>
    <t>Printer-HRMO GAD</t>
  </si>
  <si>
    <t>Rebidding of Office Supplies and Materials of the Schools Division of Iloilo City</t>
  </si>
  <si>
    <t>BPSU:AC-DEAN Laboratory of Broiler Production</t>
  </si>
  <si>
    <t>Procurement of Ozone Generator for DOST RO1 Room Disinfection</t>
  </si>
  <si>
    <t>Procurement of Corn Seeds for Corn Production areas of Surigao del Sur.</t>
  </si>
  <si>
    <t>JO NO. 0620-0018</t>
  </si>
  <si>
    <t>PROCUREMENT OF MECHANICAL BEDS, MATTRESS AND BP APPARATUS (ITB No. 2020-155)-(bph-kalilangan)</t>
  </si>
  <si>
    <t>BPSU:AC-DEAN Layer Production-Feeds</t>
  </si>
  <si>
    <t>Purchase of Additional Fertilizer</t>
  </si>
  <si>
    <t>For Precautionary Measure due to COVID-19 at Admin. Building, CAregiving, Hostel, Function Hall, Civil Tech, Clinic, Welding, EPAS, Garments, Assessment, CSS and CENTEX</t>
  </si>
  <si>
    <t>UPGRADING/INSTALLATION OF ISOLATION FACILITY</t>
  </si>
  <si>
    <t>S &amp; D of Vegetable Seeds (P. Agri)</t>
  </si>
  <si>
    <t>BPSU:OC-Fisheries Program-Laboratory Equipment Aquaculture</t>
  </si>
  <si>
    <t>20CB-GSC-331 PURCHASE OF FUELS &amp; LUBRICANTS (RE-BID)</t>
  </si>
  <si>
    <t>PROVISION OF LABOR AND MATERIALS FOR THE THE ENHANCEMENT OF HANDWASHING FACILITY OF THE SCHOOL. (R&amp;M- OTHER STRUCTURES)</t>
  </si>
  <si>
    <t>Purchase of Laptop to be use by the Audit Team Member (Gen. M. Natividad/Palayan)</t>
  </si>
  <si>
    <t>CO - Other Machinery and Equipment</t>
  </si>
  <si>
    <t>20CB-GSC-329 PURCHASE OF MATERIALS FOR SLAUGHTERHOUSE</t>
  </si>
  <si>
    <t>CONSTRUCTION MATERIALS AND SUPPLIES</t>
  </si>
  <si>
    <t>for MDRRM Office. Local Government Unit-Nabua, Camarines Sur</t>
  </si>
  <si>
    <t>JO NO. 0620-0017</t>
  </si>
  <si>
    <t>GASOLINE FOR GRASSCUTTER &amp; DIESEL FUEL FOR VEHICLES AND STAND BY POWER GENERATOR 3RD QUARTER CY 2020</t>
  </si>
  <si>
    <t>FURNISHING OF CONSTRUCTION MATERIALS FOR BARANGAY MALAMA, LIGAO CITY</t>
  </si>
  <si>
    <t>Fabrication of Canopy Tent PR # 2020-06-04-176</t>
  </si>
  <si>
    <t>SUPPLY &amp; DELIVERY OF R/M PUBLIC INFRASTRUCTURE</t>
  </si>
  <si>
    <t>8.25x20 Road Lug Tire</t>
  </si>
  <si>
    <t>RFQ NO. ADMIN 2020-03-030</t>
  </si>
  <si>
    <t>Supply and delivery of electrorode padz for AED</t>
  </si>
  <si>
    <t>Supply of Delivery of construction material for Marigondon Elementary School</t>
  </si>
  <si>
    <t>Construction of Deep well at Zone III Brgy, San Miguel</t>
  </si>
  <si>
    <t>20GAC0019 - Supply and Delivery of Thermoplastic Paint (Yellow) for the Maintenance of Roads Along NSR / MNR</t>
  </si>
  <si>
    <t>JO NO. 0620-0019</t>
  </si>
  <si>
    <t>SUPPLY &amp; DELIVERY OF MATERIALS FOR THE CONSTRUCTION OF TREE HOUSE</t>
  </si>
  <si>
    <t>For Hilot (Wellness Massage) NC II Training</t>
  </si>
  <si>
    <t>Supply and Delivery of Welding Machine</t>
  </si>
  <si>
    <t>SUPPLY OF MATERIALS FOR WATER SOURCE DEVELOPMENT AND INSTALLATION OF PIPES AND ACCESSORIES</t>
  </si>
  <si>
    <t>Purchase WiFi Modem and WiFi Router for Mayor’s Office</t>
  </si>
  <si>
    <t>Other Supplies-MHO-Admin</t>
  </si>
  <si>
    <t>for Maintenance of MDRRM Ambulance, Local Government Unit - Nabua, Camarines Sur</t>
  </si>
  <si>
    <t>SUPPLY AND DELIVERY OF VARIOUS EQUIPMENTS</t>
  </si>
  <si>
    <t>Procurement of Window Blinds and Glass Sticker - Lot 1 - Window Blinds - OVG</t>
  </si>
  <si>
    <t>RFQ FOR VARIOUS OFFICE SUPPLIES &amp; CONSUMABLES FOR DARPO CATANDUANES - ALL SECTORS</t>
  </si>
  <si>
    <t>Proposed Rehabilitation of Drainage System at Brgy. 3-EM's Barrio East, Legazpi City</t>
  </si>
  <si>
    <t>SUPPLY AND DELIVERY OF HANDHELD RADIO (ITB No. 2020-156)-(sp-maramara)</t>
  </si>
  <si>
    <t>Procurement of ICT Resources for Geospatial Information and System Management Use</t>
  </si>
  <si>
    <t>Supplly and Delivery of Various Environmental Supplies @Brgy Ulango, Tanauan City, Batangas</t>
  </si>
  <si>
    <t>SD of 1500 prs Working Glove &amp; 10 others</t>
  </si>
  <si>
    <t>Procurement of Technical and Scientific Equipment (Lot 1. Water bath/holding tank with thermometer heater stainless steel bracing pan, etc</t>
  </si>
  <si>
    <t>20CB-GSC-333 PURCHASE OF CORE VALUE T-SHIRTS WITH COLLAR AND PRINT</t>
  </si>
  <si>
    <t>Procurement of Tablets</t>
  </si>
  <si>
    <t>Procurement of Laboratory Supplies of Rural Health Unit</t>
  </si>
  <si>
    <t>Calibrated burette 60 drop/ml non-toxic</t>
  </si>
  <si>
    <t>FURNISHING OF MATERIALS FOR THE INSTALLATION OF POINT TO POINT (P2P) WIRELESS CCTV SYSTEM</t>
  </si>
  <si>
    <t>Procurement of Supplies and Materials to be used for the Provision of Sleeping Quarters in the Regional Office</t>
  </si>
  <si>
    <t>PURCHASE OF TACTICAL PANTS</t>
  </si>
  <si>
    <t>Other Supplies-MPDC</t>
  </si>
  <si>
    <t>supply &amp; delivery of Goods &amp; Commodities</t>
  </si>
  <si>
    <t>Procurement of Hatchery Equipments and Paraphernalia for the use of Intensive Tilapia Hatchery, Province of Aklan/ITB no: 2020-334</t>
  </si>
  <si>
    <t>RFQ No. 20-0545 NP-SV Supply and Delivery of Group Statue made of Lahar</t>
  </si>
  <si>
    <t>20CB-GSC-334 PURCHASE OF VARIOUS OFFICE EQUIPMENT</t>
  </si>
  <si>
    <t>RFQ CORRECTIVE MAINTENANCE SERVICE OF GENERATOR SET II (AKSA)</t>
  </si>
  <si>
    <t>Procurement of Office Supplies PR # 2020-06-04-179, 2020-06-04-182 and 2020-06-08-186</t>
  </si>
  <si>
    <t>PROC. OF WORKS FOR THE CONST'N OF CRISIS CENTER INCL. MADAC DRUG TREATMENT OFFICE</t>
  </si>
  <si>
    <t>20GA0221-Concreting of Sitio Liong to Sitio Tacube, Brgy. Calimbajan FMR Brgy. Calimbajan, Makato, Aklan</t>
  </si>
  <si>
    <t>PR 20-06-084</t>
  </si>
  <si>
    <t>Supply of materials &amp; labor for the Construction of Climate-Resilient School Stage, San Jose Elementary School, San Jose, City of Sto. Tomas, Batangas</t>
  </si>
  <si>
    <t>Laptop (SB Members)</t>
  </si>
  <si>
    <t>T-shirt for CoVid 19 Border Control Personnel</t>
  </si>
  <si>
    <t>Supply and delivery of various materials for replenishment's of stocks/maintenance before meter of CWD</t>
  </si>
  <si>
    <t>SUPPLY &amp; DELIVERY OF INSERT WATER METER &amp; TAILPIECE GASKET</t>
  </si>
  <si>
    <t>RFQ NO ADMIN 2020-03-029</t>
  </si>
  <si>
    <t>Proposed Rehabilitation/Improvement of School Facilities at Legazpi Port Elementary School Brgy. 31- Baybay, Legazpi City</t>
  </si>
  <si>
    <t>Supply and delivery of laboratory supplies for BeMONC Facility</t>
  </si>
  <si>
    <t>PURCHASE OF FUEL, OIL AND LUBRICANTS, CMO, CALBAYOG CITY</t>
  </si>
  <si>
    <t>supply, delivery &amp; printing of Pamphlets, Letterheads &amp; Tarpaulins</t>
  </si>
  <si>
    <t>Procurement of Office Equipment   PR # 2020-06-04-181 &amp; PR # 2020-06-08-187</t>
  </si>
  <si>
    <t>Installation of 167 KVA Transformer, Brgy. Caragsacan, Dingalan, Aurora</t>
  </si>
  <si>
    <t>Supply and Delivery of Construction Materials</t>
  </si>
  <si>
    <t>Hybrid Trimaran Vessel Classification</t>
  </si>
  <si>
    <t>SUPPLY, DELIVERY, INSTALLATION OF SOLAR STREET LIGHTS FOR VARIOUS BARANGAY'S OF BUKIDNON (ITB No. 2020-157)-(sp-maramara, sp dinlayan and sp-gayon)</t>
  </si>
  <si>
    <t>Improvement / Upgrading of Pasalubong Center (Window Grilles, Door and Tables)</t>
  </si>
  <si>
    <t>Supply of Labor &amp; Materials for the Repair/Improvement of Temporary Isolation Facility (Recto Building) at San Luis  Central School, San Luis, Batangas</t>
  </si>
  <si>
    <t>SUPPLY &amp; DELIVERY OF IT EQUIPMENT</t>
  </si>
  <si>
    <t>MEDICAL SUPPLIES  ( for Additional purchase for COVID 19 ) RHU</t>
  </si>
  <si>
    <t>Ligating clip ML, 6 clips/cartridge,     non-absorbable polymer</t>
  </si>
  <si>
    <t>Request for Quotation for the Provision of Agricultural Products to be used the conduct of "KAAYUHAN SA KADAHUNAN": A Webinar on Medicinal and Culinary Herbs Production and Processing on June 19(Episo</t>
  </si>
  <si>
    <t>SD of 60 pcs Hardiflex 1/4x4x8 &amp; 70 others</t>
  </si>
  <si>
    <t>Supply and Delivery of Various Medicines</t>
  </si>
  <si>
    <t>Procurement of Window Blinds and Glass Sticker - Lot 2 - Glass Sticker</t>
  </si>
  <si>
    <t>Supply and Delivery of Tires for the use of Roxas City Philippine National Police</t>
  </si>
  <si>
    <t>PROC. OF WORKS FOR THE CONST'N OF 1 UNIT - 67.20 SQ.M. AND 3 UNITS - 25.5 SQ.M. MRF AT BRGY BATOBATO, TALISAY AND CAMBALEON</t>
  </si>
  <si>
    <t>Procurement of Brand New Tires</t>
  </si>
  <si>
    <t>Supply and Delivery of Various Software Licenses for the Management Information System Office</t>
  </si>
  <si>
    <t>2nd posting for Faulty Electrical Wirings</t>
  </si>
  <si>
    <t>Procurement of Hardware Supplies PR # 2020-06-08-184</t>
  </si>
  <si>
    <t>PURCHASE OF PAINTING MATERIALS FOR TODA (TRICYCLE)</t>
  </si>
  <si>
    <t>Office Supplies for IPO Use</t>
  </si>
  <si>
    <t>PURCHASE OF STOCK PILES</t>
  </si>
  <si>
    <t>20CB-GSC-332 PURCHASE OF SPARE PARTS FOR MOTOR VEHICLE</t>
  </si>
  <si>
    <t>Proposed Concrete Fence and Slope Protection at Lamba Elementary School, Brgy. 60- Lamba, Legazp City</t>
  </si>
  <si>
    <t>Supply and Delivery of Appliances</t>
  </si>
  <si>
    <t>Procurement of Customized Cabinet, Accounting Office</t>
  </si>
  <si>
    <t>Pag-IBIG Fund CHQ (SUPPLY AND DELIVERY OF MOBILE INTERNET DEVICES)</t>
  </si>
  <si>
    <t>Concreting of Barangay road</t>
  </si>
  <si>
    <t>VARIOUS SUPPLIES FOR REHAB/CONSTRUCTION OF DRAINAGE CANAL SYSTEM</t>
  </si>
  <si>
    <t>SD of 5 sets Window Roller Blinds 120 x 180 &amp; 30 others</t>
  </si>
  <si>
    <t>Supply of Labor &amp; Materials for Spot Replacement of Existing Rotten Corrugated  G.I. Sheet Roofing &amp; Wood Purlins of Medical C.D. Ward Building</t>
  </si>
  <si>
    <t>PURCHASE AND DELIVERY OF IT EQUIPMENTS, POBLACION, BALBALAN</t>
  </si>
  <si>
    <t>JANITORIAL SERVICES</t>
  </si>
  <si>
    <t>Industrial Salt Ion Exchange Resin</t>
  </si>
  <si>
    <t>PROVISION OF SURVEY SERVICES-LOT 3 -CSII-2020(CC)/LOT 4-CSII-2020(NL) /LOT 5-CSII-2020(NL)</t>
  </si>
  <si>
    <t>2020 Quadrivalent Inactivated Influenza Vaccine</t>
  </si>
  <si>
    <t>Office Supplies for DILG Office Use</t>
  </si>
  <si>
    <t>Upgrading of Staboardside Main Engine of BRP Hydrographer Ventura</t>
  </si>
  <si>
    <t>DILP ASSISTANCE 2020-06-02-BBFO</t>
  </si>
  <si>
    <t>Procurement of Prepaid Cards PR # 2020-06-04-183</t>
  </si>
  <si>
    <t>Purchase of Office Supplies for the use of OSCA as requested by City Social Welfare and Development Office(PR# 324)</t>
  </si>
  <si>
    <t>PROCUREMENT OF LOGISTIC SUPPLIES FOR RABIES CONTROL PROGRAM OF THE MUNICIPAL AGRICULTURE OFFICE FOR THE 1ST QUARTER OF THE YEAR 2020</t>
  </si>
  <si>
    <t>REPOSTING  FOR MACHINERY  &amp;  EQUIPMENT OUTLAY FOR THE PURCHASE OF VARIOUS EQUIPMENT FOR THE SCIENCE LABORATORY SKSU-KALAMANSIG CAMPUS</t>
  </si>
  <si>
    <t>Procurement of Rescue and Communication Equipment</t>
  </si>
  <si>
    <t>Purchase of various Steel / Metal Cabinets, Rubber Boots Rack and Computer Tables for the use of Slaughterhouse as requested by City Agriculturist's Office(PR# 328)</t>
  </si>
  <si>
    <t>Purchase of One (1) Unit Vat (Kawa "47) to be used at the slaughter house</t>
  </si>
  <si>
    <t>Supply and Delivery of Administrative Facilities and Equipment</t>
  </si>
  <si>
    <t>RFQ Supply &amp; Delivery of D.I.S.T.C 2", 3" &amp; 4"</t>
  </si>
  <si>
    <t>CONSTRUCTION OF MULTI-PURPOSE HALL BRGY CANTONGTONG JIABONG SAMAR</t>
  </si>
  <si>
    <t>MEALS AND SNACKS-HRMO-GAD</t>
  </si>
  <si>
    <t>RFQ Supply &amp; Delivery OF PLASTIC FITTINGS</t>
  </si>
  <si>
    <t>Office Supplies-PAO</t>
  </si>
  <si>
    <t>Procurement of Technical and Scientific Equipment (Lot 2. Spectrophotometer, Digital sugar refractometer, etc.)</t>
  </si>
  <si>
    <t>CATERING SERVICES DURING SP SESSION/LEGISLATIVE ACTIVITIES, SPO, CALBAYOG CITY</t>
  </si>
  <si>
    <t>SUPPLY AND DELIVERY OF MATERIALS FOR INSTALLATION OF SOLAR STREETLIGHTS</t>
  </si>
  <si>
    <t>Purchase of Drugs and Medicines for the use of City Health Office(PR# 333)</t>
  </si>
  <si>
    <t>REHABILITATION / IMPROVEMENT OF POTABLE WATER SYSTEM - LEVEL II AT CORONON, DAVAO DEL SUR</t>
  </si>
  <si>
    <t>Purchase of Bond Papers (Letter, Folio and A4) for the use of City General Services Office(PR# 330)</t>
  </si>
  <si>
    <t>RELIEF OPERATION</t>
  </si>
  <si>
    <t>Purchase of Drugs and Medicines for the use of City Health Office(PR# 334)</t>
  </si>
  <si>
    <t>Service Provider for the Pre-construction Documents of Proposed INREMP-LES 2 Processing Centers in Sagada, Mountain Province</t>
  </si>
  <si>
    <t>Procurement of Spare Parts for 10W Dumptruck</t>
  </si>
  <si>
    <t>Procurement of Various IT Supplies (Toner Cartridges)</t>
  </si>
  <si>
    <t>Meals &amp; Snacks for the 2nd Quarter Joint PPOC, PADAC and PDC Meeting of the Province</t>
  </si>
  <si>
    <t>Hardware materials</t>
  </si>
  <si>
    <t>Supply and Delivery of Various Materials</t>
  </si>
  <si>
    <t>Printing &amp; Publication Expenses-MBO</t>
  </si>
  <si>
    <t>CONSTRUCTION OF LOCAL ACCESS ROAD</t>
  </si>
  <si>
    <t>Construction of 10 cu.m. Capacity Ground Support Reinforced Concrete Water Reservoir with Fittings and Watchman's Quarter (Construction Materials only)</t>
  </si>
  <si>
    <t>Construction of Hanging Bridge at Sitio Tabiis Anak, N.Q.</t>
  </si>
  <si>
    <t>Purchase of Desktop Computers with Complete Accessories, Printers and UPS for the use of Slaughterhouse as requested by City Agriculturist's Office(PR# 337)</t>
  </si>
  <si>
    <t>INVITATION TO BID ON THE CONTRACT OF FENCING OF MUNICIPAL BAYWALK</t>
  </si>
  <si>
    <t>1 year Subscription of Firewall ( Renewal )</t>
  </si>
  <si>
    <t>Office supplies and equipment for official use of MENRO.</t>
  </si>
  <si>
    <t>Supply and Delivery of Cleaning Materials for Sanitation and Disinfection of various buildings</t>
  </si>
  <si>
    <t>SUPPLY &amp; DELIVERY OF FUEL, OIL AND LUBRICANTS</t>
  </si>
  <si>
    <t>Procurements of Spare Parts</t>
  </si>
  <si>
    <t>Procurement of Agricultural inputs....diff vegetable seeds and  other farm inputs under DAR ARBold program</t>
  </si>
  <si>
    <t>Catering Service for the JOINT COUNCIL Meeting</t>
  </si>
  <si>
    <t>GAD ACTIVITY - MEDICAL SERVICES (COMPLETE BLOOD CHEMISTRY, URINALYSIS 7 X-RAY) FOR SDO URDANETA CITY PERSONNEL</t>
  </si>
  <si>
    <t>RFQ (20-06-049) Various Supplies for Mechanical Ventilator Rental Use</t>
  </si>
  <si>
    <t>CONSTRUCTION MATERIALS OF COVERED COURT AT MENTERYONG DAAN PONDOL BALAMBAN CEBU   (Materials Only) ME</t>
  </si>
  <si>
    <t>Strenghtening of Internet Connectivity for New Normal Classes</t>
  </si>
  <si>
    <t>PR 20-06-086</t>
  </si>
  <si>
    <t>Procurement of Supply &amp; Installation of Computer Parts of Deped RO</t>
  </si>
  <si>
    <t>PURCHASE OF ONE YEAR SSL SUBSCRIPTION FOR THE MUNICIPALITY OF BALIWAG</t>
  </si>
  <si>
    <t>Procurement of Common Use Supplies</t>
  </si>
  <si>
    <t>N95 Small</t>
  </si>
  <si>
    <t>Supply and Delivery of Impeller for the replacement of Worn out/damage impeller Mickey of Bantay Dagat Patrol Boat,, Sipalay City, Negros Occidental</t>
  </si>
  <si>
    <t>Supply, Delivery and Installation of One (1) Brand New 75 kVA (60 kW) Silent Type Diesel Electric Generator Set with Complete Standard Accessories</t>
  </si>
  <si>
    <t>SUPPLY &amp; DELIVERY OF MEALS AND SNACKS FOR THE ORIENTATION ON SEXUALLY TRANSMITTED INFECTION AND HIV TO YOUTH SECTOR IN THE PROVINCE OF MAGUINDANAO - PGO</t>
  </si>
  <si>
    <t>DELIVERY OF MATERIALS FOR THE IMPROVEMENT OF WATERWORKS SYSTEM (BRGY. BUYOG)</t>
  </si>
  <si>
    <t>ELECTRONIC - WEBCAM</t>
  </si>
  <si>
    <t>INVITATION TO BID FOR VEHICLES (2 WHEELS) AND ACCESSORIES (BID NO. 200623-19)</t>
  </si>
  <si>
    <t>Purchase of Nine Hundred Twenty Six (926) pieces of Hard Bound Cover for the use of City Civil Registrar's Office(PR# 338)</t>
  </si>
  <si>
    <t>Procurement of IT Equipment PR # 2020-06-08-188</t>
  </si>
  <si>
    <t>PURCHASE OF DESKTOP COMPUTER AND CPU, CEO, CALBAYOG CITY</t>
  </si>
  <si>
    <t>Procurement of Construction Materials and Supplies for the rehabilitation of facility for Humanitarian Assistance &amp; Disaster Response (HADR), Laoag International Airport</t>
  </si>
  <si>
    <t>LIQUID SOAP KIT</t>
  </si>
  <si>
    <t>Purchase of Construction Materials for use in the repairs and maintenance of various facilities including repair of tents assigned at Ancillary Services Unit as requested by CMO(PR# 341)</t>
  </si>
  <si>
    <t>Purchase of Construction Materials for use in the installation of Drainage Structure at Don Victorville Subd., Brgy. Silangang Mayao, Lucena City as requested by City Engineering Office(PR# 348)</t>
  </si>
  <si>
    <t>PROC. OF VCM&amp;S FOR ROAD REHABILITATION AT KABAISANAN, PUROK PERLAS, BATOBATO, SAN ISIDRO, DAVAO ORIENTAL</t>
  </si>
  <si>
    <t>Concreting of Perlita Road</t>
  </si>
  <si>
    <t>Purchase of Construction and Electrical Materials for use in the repairs and maintenance of various facilities in Lucena City as requested by CMO(PR# 343)</t>
  </si>
  <si>
    <t>FABRICATION OF SYMBOLIC GONG WITH 7" DIAMETER TO BE INSTALLED AT MUNICIPAL LOBBY.</t>
  </si>
  <si>
    <t>Procurement of Construction Supplies and Materials for the Improvement of Public Building(Ceiling and Water Line)</t>
  </si>
  <si>
    <t>Rice</t>
  </si>
  <si>
    <t>IMPROVEMENT OF MULTI-PURPOSE BUILDING</t>
  </si>
  <si>
    <t>9 sacks Rice F1</t>
  </si>
  <si>
    <t>Printing, supply and delivery of UCPB Certificate of Time Deposit-Peso ORF BBG-2020-05</t>
  </si>
  <si>
    <t>RFQ (20-06-053) Compressed Air</t>
  </si>
  <si>
    <t>Procurement of janitorial supplies</t>
  </si>
  <si>
    <t>Desktop Computer and Printers</t>
  </si>
  <si>
    <t>Consulting Services for the Relocation, Topographic and Subdivision Survey of Various LGU Owned Lots</t>
  </si>
  <si>
    <t>Purchase &amp; Delivery of Information Technology Parts &amp; Accessories &amp; Paraphernalia to be used for YP4 Registration of Trainees and Registration of Computer Systems Servicing NC II with UTPRAS, LTPC, Su</t>
  </si>
  <si>
    <t>Supply and Delivery of Various Office Furnitures</t>
  </si>
  <si>
    <t>Office Supplies-MCO</t>
  </si>
  <si>
    <t>COMMON-USE OFFICE SUPPLIES AND EQUIPMENT FOR THE DIVISION OFFICE (THIRD QUARTER)</t>
  </si>
  <si>
    <t>Procurement of Technical and Scientific Equipment (Lot 3. Automated rain gauge and Water level monitoring)</t>
  </si>
  <si>
    <t>RFQ 2020 - 06 - 21 Upgrade Equiptment for Barista NC II</t>
  </si>
  <si>
    <t>Procurement of 1 Set Steel Water Tank for Slaughterhouse use</t>
  </si>
  <si>
    <t>Fuel (Garbage Collection Transport and Disposal)</t>
  </si>
  <si>
    <t>PURCHASE OF VARIOUS CONSTRUCTION MATERIALS</t>
  </si>
  <si>
    <t>Provision of Food and Physical Arrangement of the Venue relative to the conduct of Mid-year Performance Assessment (MYPA) &amp; 2nd Sem Re-Planning Exercises and Year-end Performance Assessment (YEPA) &amp; C</t>
  </si>
  <si>
    <t>Provision of TLE Equipment and Materials</t>
  </si>
  <si>
    <t>PROVISION FOR OFFICE SUPPLIES (OFFICE SUPPLIE)</t>
  </si>
  <si>
    <t>Purchase of Construction and Other Materials for use in the construction of New Muslim Cemetery at Brgy. Marketview, Lucena City as requested by CMO(PR# 353)</t>
  </si>
  <si>
    <t>Supply and delivery of water service connection materials</t>
  </si>
  <si>
    <t>MATERIALS FOR INSTALLATION</t>
  </si>
  <si>
    <t>Office Supplies-IMPS</t>
  </si>
  <si>
    <t>RFQ - Procurement of Food Packs for PDIC employees, LBPSC contractuals and drivers, security and housekeeping personnel</t>
  </si>
  <si>
    <t>Supply and Delivery of Various AirConditioner Window Type Including Installation</t>
  </si>
  <si>
    <t>CONSTRUCTION/REHABILTATION OF IRRIGATION SYSTEM</t>
  </si>
  <si>
    <t>Procurement of Executive Order (Tarpaulin ) Schedule Barangay</t>
  </si>
  <si>
    <t>Supply and Delivery of Agricultural supplies for the consumption and maintenance of Native Chicken &amp; Native Pig Breeder/Layers and Offspring produced</t>
  </si>
  <si>
    <t>Floor Tiling</t>
  </si>
  <si>
    <t>Construction of Mini-Library</t>
  </si>
  <si>
    <t>CONSTRUCTION OF GENDER SENSITIVE COMMON C.R</t>
  </si>
  <si>
    <t>Procurement of Common-Use Office Supplies</t>
  </si>
  <si>
    <t>CONSTRUCTION OF PACKAGE 1: 20% LDF CY 2020</t>
  </si>
  <si>
    <t>Procurement of DepEd RO- ICT Unit's Equipment Repairs &amp; Maintenance</t>
  </si>
  <si>
    <t>Completion of Concrete Pathway at Purok 3A of Barangay Tinucoran</t>
  </si>
  <si>
    <t>Purchase &amp; Delivery of Grocery Items for use in the City MAyor's Office during Evaluation of Leaders in the different barangays, Surigao City</t>
  </si>
  <si>
    <t>Medicine (Medical Assistance Program)</t>
  </si>
  <si>
    <t>Construction Materials &amp; Supplies</t>
  </si>
  <si>
    <t>Purchase of Construction &amp; Other Materials for use in the rehabilitation of former City Engineering Office at Brgy. Ibabang Dupay, Lucena City for the use of City Engineering Office as requested by CM</t>
  </si>
  <si>
    <t>Refrigerator and Freezer</t>
  </si>
  <si>
    <t>ECPAC SYSTEM PROGRAM FMIS</t>
  </si>
  <si>
    <t>Supply and delivery of 10 units pedestal filing cabinet/drawer, 1 unit office table and 10 units low back office swivel chair</t>
  </si>
  <si>
    <t>Procurement of Construction Supplies and Materials for the Improvement of Public Building(Double Analoc Swing Door)</t>
  </si>
  <si>
    <t>Procurement of Emergency Alarm System/Siren</t>
  </si>
  <si>
    <t>Request for Quotation for the Provision of General Merchandise to be used the conduct of "KAAYUHAN SA KADAHUNAN": A Webinar on Medicinal and Culinary Herbs Production and Processing on June 19(Episode</t>
  </si>
  <si>
    <t>Other Supplies-IMPS</t>
  </si>
  <si>
    <t>Janitorial Services</t>
  </si>
  <si>
    <t>Purchase &amp; Delivery of Office Supplies &amp; Consumables for use in the Office of the City Treasurer, Surigao City</t>
  </si>
  <si>
    <t>SUPPLY &amp; DELIVERY OF 3 UNITS OF COMPUTER LAPTOP - GOVERNOR'S OFFICE</t>
  </si>
  <si>
    <t>PURCHASE OF PROGESTIN SUBDERMAL IMPLANT, CHO, CALBAYOG CITY</t>
  </si>
  <si>
    <t>Procurement of Technical and Scientific Equipment (Lot 4. Small smoke house)</t>
  </si>
  <si>
    <t>PURCHASE OF VARIOUS MEDICINES FOR COVID-19..</t>
  </si>
  <si>
    <t>Supply and Delivery of Brush Cutter and Knapsack Sprayer, PR# 2020-06-0344</t>
  </si>
  <si>
    <t>RFQ 06-03-2020 Item A</t>
  </si>
  <si>
    <t>2 units Window type Aircondition 2.5hp</t>
  </si>
  <si>
    <t>Bus Rental for Stranded Individual from Region V</t>
  </si>
  <si>
    <t>CONSTRUCTION OF 24 UNITS STREETLIGHT AT AMAYA III</t>
  </si>
  <si>
    <t>MATERIALS FOR AIRCON INSTALLATION</t>
  </si>
  <si>
    <t>DRONE CAMERA-NGP</t>
  </si>
  <si>
    <t>STEEL RACK FOR OFFICIAL USE OF CENRO TAGBILARAN CITY</t>
  </si>
  <si>
    <t>Tarpaulin-MHO-TF-MCP</t>
  </si>
  <si>
    <t>SUPPLY &amp; DELIVERY OF OFFICE SUPPLIES</t>
  </si>
  <si>
    <t>Purchase of Second Hand Garbage Truck (2019 Model)</t>
  </si>
  <si>
    <t>Procurement of Drugs &amp; Medicines</t>
  </si>
  <si>
    <t>Steel File Cabinet</t>
  </si>
  <si>
    <t>INVITATION TO BID FOR SUBSCRIPTION (BID NO. 200623-20)</t>
  </si>
  <si>
    <t>RFQ 06-03-2020 Item B</t>
  </si>
  <si>
    <t>Supply and Delivery of Two (2) Units of Multi Purpose Vehicle (MPV)</t>
  </si>
  <si>
    <t>CONSTRUCTION OF CORE LOCAL ACCESS ROAD @ KAUSWAGAN ST., BRGY. CROSSING, SAN ISIDRO, LEYTE</t>
  </si>
  <si>
    <t>Purchase of Laboratory Equipment  and Reagents for the Official Use of MHO</t>
  </si>
  <si>
    <t>Procurement of Various Agricultural Supplies - PAGSO</t>
  </si>
  <si>
    <t>Supply and delivery of various medical and rescue equipments</t>
  </si>
  <si>
    <t>Supply and Delivery of Goods for the Other Supply &amp; Materials for of ODA, 9ID,PA (240,550.00)</t>
  </si>
  <si>
    <t>Supplies and Materials for Caregiving NC II Training ( 25 Trainees )</t>
  </si>
  <si>
    <t>520 heads Snacks</t>
  </si>
  <si>
    <t>RFQ (20-06-057) Tolda and Sodium hypochlorite (sprayer decontamination)</t>
  </si>
  <si>
    <t>Supply and Delivery of Various Equipment for Use of Health Facilities/Isolation and or Quarantine Facilities for COVID-19 (Municipal Wide)  Municipality of Calayan, Province of  Cagayan.</t>
  </si>
  <si>
    <t>MOOE 2020 2ND QUARTER REPAIR AND MAINTENANCE-SCHOOL BUILDING</t>
  </si>
  <si>
    <t>Procurement of Technical and Scientific Equipment (Lot 5. Dual powered solar dryer)</t>
  </si>
  <si>
    <t>CONSTRUCTION OF ROOFING OF HEALTH CENTER PARKING AREA AT AMAYA VII</t>
  </si>
  <si>
    <t>RFQ 06-03-2020 Item C</t>
  </si>
  <si>
    <t>INSTALLATION OF STREETLIGHTS (Solar Panel) (Brgy. Sampiro)</t>
  </si>
  <si>
    <t>PROCUREMENT OF MATERIALS FOR THE CONSTRUCTION OF DRAINAGE SYSTEM AT LAPUAK PHASE - I</t>
  </si>
  <si>
    <t>Procurement of Appliances for the use of the Office of the Vice-Governor</t>
  </si>
  <si>
    <t>FURNISHING AND DELIVERY OF TELCO CARDS FOR EXECUTIVE OFFICES</t>
  </si>
  <si>
    <t>Procurement of Banana Cardava Plantlets - PAGSO</t>
  </si>
  <si>
    <t>IMPROVEMENT OF BARANGAY HEALTH SANITATION AT AMBARACAO NORTE, NAGUILIAN, LA UNION.</t>
  </si>
  <si>
    <t>DISSILTING OF CREEK FOR FLOOD PREVENTION</t>
  </si>
  <si>
    <t>Lease of Training for Customer Service Training</t>
  </si>
  <si>
    <t>INVITATION TO BID FOR THE REHBAILITATION OF STREETLIGHT AT BRGY. MANIBOC AND COMPLETION/IMPROVEMENT OF MULTI PURPOSE HALL AT BRGY. MANIBOC, LINGAYEN, PANGASINAN</t>
  </si>
  <si>
    <t>CONCRETING OF ROAD AT CASANUEVA-BIGA (PHASE 4)</t>
  </si>
  <si>
    <t>PROCUREMENT OF DRUGS AND MEDICINES</t>
  </si>
  <si>
    <t>SUPPLY AND DELIVERY OF OFFICE SUPPLIES AND DEVICES FOR MGB-X FOR FY 2020</t>
  </si>
  <si>
    <t>INVITATION TO BID FOR MEDICAL SUPPLIES AND MATERIALS (BID NO. 200623-21)</t>
  </si>
  <si>
    <t>RFQ-PROVISION OF GENERAL SERVICES (JANITORIAL) FOR CSU CAMPUS CLEANING AND MAINTENACE SERVICES.IGF-164-20-06-123</t>
  </si>
  <si>
    <t>Road Concreting at Barangay Paoa, Vigan City</t>
  </si>
  <si>
    <t>PURCHASE OF MEDICAL SUPPLIES IN SUPPORT TO COVID-19 RESPONSE, MONITORING &amp; RECOVERY PROGRAM</t>
  </si>
  <si>
    <t>Surgical Gloves</t>
  </si>
  <si>
    <t>Supply and Delivery of foodstuffs of 54IB (P58,085.00)</t>
  </si>
  <si>
    <t>Food Supplies: RRCY Purified Dringking Water 2nd-4th QUARTER</t>
  </si>
  <si>
    <t>Steel Cabinets</t>
  </si>
  <si>
    <t>Concreting of Local Road, Siempre Eterno, Paloyon Proper, Nabua, Camarines Sur</t>
  </si>
  <si>
    <t>Procurement of Technical and Scientific Equipment (Lot 6. Water retort chamber with accessories)</t>
  </si>
  <si>
    <t>Improvement of Barangay Office Building I - Phase II</t>
  </si>
  <si>
    <t>CONSTRUCTION AND IMPROVEMENT OF CANAL LINING AT JULUGAN I</t>
  </si>
  <si>
    <t>50 pax Meals and Snacks</t>
  </si>
  <si>
    <t>Procurement of Various Catering Services &amp; Training Materials - Lot 1 - Catering Services - PAGSO</t>
  </si>
  <si>
    <t>INVITATION TO BID FOR  PAINTING TOOLS AND MATERIALS (BID NO. 200623-22)</t>
  </si>
  <si>
    <t>LCWD-2020-046 Construction Materials</t>
  </si>
  <si>
    <t>Supply and Delivery of Vegetable Seeds</t>
  </si>
  <si>
    <t>CONSTRUCTION OF FLOOD CONTROL</t>
  </si>
  <si>
    <t>MATERIALS AND SUPPLIES FOR THE CONS. AND IMPROVEMENT OF TABBAC FOOTRAIL</t>
  </si>
  <si>
    <t>Consultancy and Training for Comprehensive Land Use Plan (CLUP) and Zoning Ordinance Formulation/Revision</t>
  </si>
  <si>
    <t>CONSTRUCTION OF MULTIPURPOSE HALL AT LAMBINGAN</t>
  </si>
  <si>
    <t>Concreting of Local Road, Dolorosa, Nabua, Camarines Sur</t>
  </si>
  <si>
    <t>SNACKS-MSWDO-PDAO</t>
  </si>
  <si>
    <t>IMPROVEMENT OF M.R.F. CONSTRUCTION OF SEGREGATION BUILDING</t>
  </si>
  <si>
    <t>PROCUREMENT OF TOOLS AND EQUIPMENT FOR CITY ENGINEER'S OFFICE</t>
  </si>
  <si>
    <t>Supply and Delivery of One (1) Unit Brand New Rescue Vehicle (Ambulance)</t>
  </si>
  <si>
    <t>PROVISION OF 1 UNIT TELEVISION</t>
  </si>
  <si>
    <t>Purchase of Animal/Zoological Supplies (Multivitamins/Antibiotics).</t>
  </si>
  <si>
    <t>REPOSTING  FOR MACHINERY  &amp;  EQUIPMENT OUTLAY FOR THE PURCHASE OF VARIOUS EQUIPMENT FOR THE USE OF SCIENCE LABORATORY - SKSU TACURONG CAMPUS</t>
  </si>
  <si>
    <t>Procurement of Troclosene Sodium under IB No. 2020-176</t>
  </si>
  <si>
    <t>CONSTRUCTION OF SEPTIC VAULT FOR HEALTH CARE WASTE</t>
  </si>
  <si>
    <t>20NA0070 Concreting of Brgy. Sangay FMR, Buenavista, Agusan del Norte</t>
  </si>
  <si>
    <t>RFQ - Procurement of Goods: Const'n Materials &amp; Supplies for the use of CEO (Repair &amp; Maintenance of Structures used as Evacuation Center) (PR#100-20-06-0105)</t>
  </si>
  <si>
    <t>PROCUREMENT OF VARIOUS MACHINERIES AND EQUIPMENT FOR THE USE OF MDRRM OPERATION CENTER, TIGBAUAN, ILOILO</t>
  </si>
  <si>
    <t>INVITATION TO BID FOR EYE GLASSES (BID NO. 200623-23)</t>
  </si>
  <si>
    <t>SUPPLY AND DELIVERY OF ICT SUPPLIES AND EQUIPMENT FOR MINERAL RESERVATION PROGRAM (MRP) 2020</t>
  </si>
  <si>
    <t>INVITATION TO BID FOR GROCERIES (BID NO. 200623-24)</t>
  </si>
  <si>
    <t>Airconditioning Units</t>
  </si>
  <si>
    <t>CONSTRUCTION OF WATER SYSTEM @ SITIO SINAMBAG, BARANGAY DAJA DAKU</t>
  </si>
  <si>
    <t>RFQ NO. 20-0541 NP-SVP - Procurement of Service Provider for the Maintenance Check-up of Air-conditioning, Replace Compressor and Other Defective Parts of Mitsubishi Adventure 2012</t>
  </si>
  <si>
    <t>Procurement of Various Catering Services &amp; Training Materials - Lot 2 - Training Materials</t>
  </si>
  <si>
    <t>Procurement of Technical and Scientific Equipment (Lot 7. Chest type freezer/chiller, Ice cream machine, etc.)</t>
  </si>
  <si>
    <t>Procurement of Red Evacuated Tube under IB No. 2020-189</t>
  </si>
  <si>
    <t>Clothing and Linens for use of RSCC Residents for CY 2020</t>
  </si>
  <si>
    <t>Calibration Services for WEM Instruments (10 lots)</t>
  </si>
  <si>
    <t>Procurement of One (1) Unit Evacuation and Relief Vehicle  (Customized Stake Truck) (Brand New) Local Government Unit, Barugo, Leyte</t>
  </si>
  <si>
    <t>PURCHASE OF FOOD SUPPLIES</t>
  </si>
  <si>
    <t>Repost: Supply and Delivery of Lug Tire for the Repair and Maintenance of Machinery &amp; Equipment (Heavy Equipment – D.T.1 Big Yellow)</t>
  </si>
  <si>
    <t>ITB-B13-2020</t>
  </si>
  <si>
    <t>INSTALLATION OF IRRIGATION SYSTEM FOR THE ORGANIC DEMO FARM.</t>
  </si>
  <si>
    <t>Completion of Concreting of Local Road, Inapatan to Angustia, Nabua, Camarines Sur</t>
  </si>
  <si>
    <t>LCWD-2020-047 uPVC Pipes and Bends</t>
  </si>
  <si>
    <t>ADDITIONAL FOOTBRIDGE AND RAILINGS</t>
  </si>
  <si>
    <t>SUPPLY, DELIVERY AND COMMISSIONING OF OPHTHALMIC ULTRASOUND A/B SCAN WITH UBM</t>
  </si>
  <si>
    <t>Supply and Delivery of Toilet Bowl Cemented for various Barangays, Sipalay City, Negros Occidental</t>
  </si>
  <si>
    <t>Catering Service 30 pax during the conduct of Fish Examiners Training for the PNP- Regional Maritime Unit 9 in Zamboanga City.</t>
  </si>
  <si>
    <t>REPAIR OF REPEATER.</t>
  </si>
  <si>
    <t>PROCUREMENT OF CONSTRUCTION MATERIALS AND SUPPLIES			 		FOR THE CONSTRUCTION OF NEW SB SESSION HALL			 		TABLES AND VICE MAYOR TABLE WITH ELECTRICAL CONNECTION</t>
  </si>
  <si>
    <t>Supply and Delivery of Two (2) Units Brand New Elf Trucks of the Municipality of Tabuelan, Cebu</t>
  </si>
  <si>
    <t>Fuels (MENRO)</t>
  </si>
  <si>
    <t>Waterworks System Repair in Purok-6 Poblacion, Gitagum, Mis. Or.</t>
  </si>
  <si>
    <t>Purchase of ICT Equipment (Office of the Mayor)</t>
  </si>
  <si>
    <t>INVITATION TO BID FOR UMBRELLA (BID NO. 200623-25)</t>
  </si>
  <si>
    <t>1 Lot Fit Out Works of 2nd Floor Sun Plaza Building</t>
  </si>
  <si>
    <t>Supply and Delivery of Goods for the Other Supply &amp; Materials for of 9IB, 9ID,PA (88,000.00)</t>
  </si>
  <si>
    <t>LCWD-2020-049 Air Release Valve</t>
  </si>
  <si>
    <t>LCWD-2020-048 Mechanical Gate Valves and Universal Flange Adaptors</t>
  </si>
  <si>
    <t>Procurement of Technical and Scientific Equipment (Lot 1. Speech Lab. [additional])</t>
  </si>
  <si>
    <t>Procurement of Catering Services, Venue/Rental, Training Supplies &amp; Materials and Agricultural Supplies - Lot 1 - Catering Services - PAGSO</t>
  </si>
  <si>
    <t>To hire contractor to provide materials, labor and equipment for six (6) Infrastructure Projects, viz: 1) Improvement of Brgy. Road, Pacuan, La Libertad, Neg. Or.; 2) Conc. of Brgy. Road Nasunggan, La</t>
  </si>
  <si>
    <t>o hire contractor to provide materials, labor, and equipment for the “Additional Appropriation for the Improvement of Multi-Purpose Building, Brgy. Dungo-an, Manjuyod, Negros Oriental (N2FB-07-2020(B)</t>
  </si>
  <si>
    <t>Purchase/Acquisition of Fuel for the Maintenance of Municipal Vehicles &amp; Heavy Equipment</t>
  </si>
  <si>
    <t>Supply and delivery of five (5) Units LAPTOP (RFQ2020-06-085)</t>
  </si>
  <si>
    <t>Transformer</t>
  </si>
  <si>
    <t>Concreting of Local Road at Topas Proper, Nabua, Camarines Sur</t>
  </si>
  <si>
    <t>Procurement of Sewing machines and Stainless Rack for Kitchen Utensils</t>
  </si>
  <si>
    <t>PROCUREMENT OF MATERIALS FOR ELECTRICAL TRANSMISSION OF ROAD NETWORK AT BALOBO RESETTLEMENT PHASE-1</t>
  </si>
  <si>
    <t>Construction of Multi-Purpose Building</t>
  </si>
  <si>
    <t>Seminar on Organic Vegetable withextension support at Tabon-tabon, Leyte on August 7, 2020 (Services &amp; Starter kit)</t>
  </si>
  <si>
    <t>Design and Build of 3-Storey Solar Powered Gender-Neutral Student Dormitory Building</t>
  </si>
  <si>
    <t>Procurement of Office Supplies for 1st and 2nd Quarter</t>
  </si>
  <si>
    <t>Purchase of IT Equipment for BM Famor Office use</t>
  </si>
  <si>
    <t>Levothyroxine Thydin</t>
  </si>
  <si>
    <t>Supply and Delivery of Furniture and Fixture for the Newly Improved Legal Office</t>
  </si>
  <si>
    <t>Rehabilitation of Purok Marker</t>
  </si>
  <si>
    <t>PURCHASE OF ELECTRICAL MATERIALS AND SUPPLIES</t>
  </si>
  <si>
    <t>2020-05-0080 - PROCUREMENT OF ELECTRICAL SUPPLIES  FOR REPLACEMENT OF TIRES, BATTERY, AND ACCESSORIES OF TOYOTA HILUX WITH PLATE NUMBER 102006 UNDER PLANNING AND DESIGN SECTION</t>
  </si>
  <si>
    <t>Procurement of Catering Services, Venue/Rental, Training Supplies &amp; Materials and Agricultural Supplies - Lot 2 - Venue/Rental</t>
  </si>
  <si>
    <t>PURCHASE OF RDT DETECTION OF DEGUE NSI ANTIGEN &amp; 1GM AND 1gG ANTIBODIES COMBINED, CHO</t>
  </si>
  <si>
    <t>Procurement of Printing Services of FPA FY2019 Annual Report</t>
  </si>
  <si>
    <t>PROVISION OF MEDICAL NEEDS AND SUPPLIES (DRUG AND MEDICINES)</t>
  </si>
  <si>
    <t>Gravelling of Road (Part of Villa Elena Subdivision)</t>
  </si>
  <si>
    <t>Supply of fuel for the maintenance of InFRES FMR projects (Poblacion-San Jose FMR, Savoy-Sitio Tagaytay FMR and San Miguel-New Katipunan FMR)</t>
  </si>
  <si>
    <t>CONSTRUCTION OF FARM TO MARKET ROAD, PUROK 3, BARANGAY PACPACO, CITY OF SAN FERNANDO</t>
  </si>
  <si>
    <t>Fuel Consumption for Maasin LHIO</t>
  </si>
  <si>
    <t>Supply and delivery of  HARDWARE MATERIALS  re: For Improvement of Multi-Purpose Building @ Municipal Slaughter Compound, Brgy. Talaba, Atimonan, Quezon c/o Engineering Office.</t>
  </si>
  <si>
    <t>Procurement of Technical and Scientific Equipment (Lot 2. Science Laboratory Equipment)</t>
  </si>
  <si>
    <t>Supply/Delivery of Vermicast for STCBF Project</t>
  </si>
  <si>
    <t>Supply and Delivery of Kitchen Supplies for HRM Laboratory of SDSSU Tagbina Campus</t>
  </si>
  <si>
    <t xml:space="preserve">Supply and Delivery of GNSS RTK System with Continuosly Operating Reference Station for the Faster Measurement of Surveying Data Collection of Complex Waterways, Rovers and Drainage Catchments within </t>
  </si>
  <si>
    <t>SUPPLY AND DELIVERY OF IT EQUIPMENT AND ACCESSORIES FOR THE CITY HEALTH OFFICE – 2ND BIDDING</t>
  </si>
  <si>
    <t>Purchase of Brochure for Kabankalan City use</t>
  </si>
  <si>
    <t>Construction of Bridge ( Phase I &amp; Phase II) at Antipolo Old, Nabua, Camarines Sur</t>
  </si>
  <si>
    <t>Furnishing/Deliveries of Safety Gear and Equipment</t>
  </si>
  <si>
    <t>Supply and Delivery of Construction Materials and Supplies for the proposed OPSS Office and TSRU Redemption Center at the 2nd Flr. Engineering Building, OPSS-TSRU, Marikina City</t>
  </si>
  <si>
    <t>Supply and Installation of 5 sets Tempered Frameless Glass Door</t>
  </si>
  <si>
    <t>Backfilling (Near Municipal Trading Post)</t>
  </si>
  <si>
    <t>Procurement of Catering Services, Venue/Rental, Training Supplies &amp; Materials and Agricultural Supplies - Lot 3 - Training Supplies - PAGSO</t>
  </si>
  <si>
    <t>Procurement of Office Equipment and supplies for Rural Health Unit, PNP and Office of the Educational Consultant</t>
  </si>
  <si>
    <t>4500 pc PARTICULATE RESPIRATOR &amp; SURGICAL MASK N-95</t>
  </si>
  <si>
    <t>Purchase Office Supplies</t>
  </si>
  <si>
    <t>Printing of Tarpaulins for Advocacy Materials of Senior High School</t>
  </si>
  <si>
    <t>PROCUREMENT OF OFFICE SUPPLIES FOR LGU-DANAO, BOHOL 2ND QUARTER OF FY 2020</t>
  </si>
  <si>
    <t>Procurement of Catering Services, Venue/Rental, Training Supplies &amp; Materials and Agricultural Supplies - Lot 4 - Agricultural Supplies - PAGSO</t>
  </si>
  <si>
    <t>Construction of Fence at Evacuation Center</t>
  </si>
  <si>
    <t>CONCRETING OF ACCESS ROAD @ SAN ROQUE ST., POBLACION, INFANTA, PANGASINAN</t>
  </si>
  <si>
    <t>Training on Exploring Container Gardening Urban Gardening Organic Veg Production with extension support at Biliran on July 29-31, 2020(Services &amp; Starter kit)</t>
  </si>
  <si>
    <t>Supply and Delivery of various materials for the Fabrication of 30units Wooden Pallet L-8"  x W-4" x H-4", Sipalay City, Negros Occidental</t>
  </si>
  <si>
    <t>SUPPLY AND DELIVERY OF ICT OFFICE EQUIPMENT (CAPITAL OUTLAY) FOR MGB-X FOR FY 2020</t>
  </si>
  <si>
    <t>60	bags	PDP Feeds (50 kgs.), PR # 504-20</t>
  </si>
  <si>
    <t>Procurement of Painting Materials and Supplies</t>
  </si>
  <si>
    <t>Support to various projects of Brgys. 1, 2, 6, 10, 18, 20, &amp; 23 snin</t>
  </si>
  <si>
    <t>CONSTRUCTION OF SLOPE PROTECTION PUROK 1,2,3,4 &amp; 6, BARANGAY SANTIAGO NORTE</t>
  </si>
  <si>
    <t>MOOE 2020 2ND QUARTER OFFICE SUPPLIES</t>
  </si>
  <si>
    <t>SUPPLY OF LABOR &amp; MATERIALS FOR THE PRINTING OF NHA LETTERHEAD</t>
  </si>
  <si>
    <t>Procurement of Various Catering Services [06-321(A)] PGO</t>
  </si>
  <si>
    <t>PRE-BID CONFERENCE 23/June/2020 - Procurement of Goods: Consolidated Office Supplies 2020 (2nd Quarter) (PR#100-20-05-0095, 100-20-05-0110, 100-20-05-0111, 100-20-05-0182)</t>
  </si>
  <si>
    <t>SERVICES FOR THE SHIPMENT OF MOTOR VEHICLE</t>
  </si>
  <si>
    <t>PURCHASE OF DESKTOP COMPUTER ETC, CHO, CALBAYOG CITY</t>
  </si>
  <si>
    <t>SUPPLY AND DELIVERY OF ONE (1) UNIT BRAND NEW GENERATOR SET FOR THE CITY HEALTH OFFICE – 2ND BIDDING</t>
  </si>
  <si>
    <t>Supply and Delivery of Office Equipment for City Administrators Office use.</t>
  </si>
  <si>
    <t>Supply and Delivery of Other Supplies (M.O/MPOC)</t>
  </si>
  <si>
    <t>REHABILITATION OF DAM, BARANGAY CALABUGAO</t>
  </si>
  <si>
    <t>Construction of Multi-Purpose Building (IT Building with Canopy)</t>
  </si>
  <si>
    <t>INF-ITB 20-003 - Supply and Installation of 1 lot Street Lights.</t>
  </si>
  <si>
    <t>PROVISION FOR SUPPLIES AND MATERIALS FOR HOUSEKEEPING, FBS AND BARTENDING</t>
  </si>
  <si>
    <t>Provision of Filing Cabinet, Printer and External Hard Drive</t>
  </si>
  <si>
    <t>Supply and Delivery of Classmate Chair without Book Tray of SDSSU Tagbina Campus</t>
  </si>
  <si>
    <t>Purchase of BIOMETRIC MACHINE to be use of City Engineer's Office , City Hall and City Public Market., Silay City.</t>
  </si>
  <si>
    <t>Supply and Delivery of Materials for official use of SPUDMO</t>
  </si>
  <si>
    <t>Periodic Preventive Maintenance of Aircon Units at DDB Offices</t>
  </si>
  <si>
    <t>Purchase of One (1) Unit Computer Laptop</t>
  </si>
  <si>
    <t>Electrical installation of service entrance of San Antonio Barangay Hall at Brgy. San Antonio, Binan City, Laguna</t>
  </si>
  <si>
    <t>1	unit	Water Tank, Capacity 10,000 L, Polyethelene, etc. PR # 512-20</t>
  </si>
  <si>
    <t>SUPPLY AND DELIVERY OF GENERAL MERCHANDISE FOR VARIOUS PURCHASE REQUESTS OF THE CITY UNDER SMALL VALUE PROCUREMENT</t>
  </si>
  <si>
    <t>Improvement of Multi-Purpose Hall</t>
  </si>
  <si>
    <t>RM Machinery Equip-ICT Equipment-OJ6-457,420.00</t>
  </si>
  <si>
    <t>Supply and delivery of  HARDWARE MATERIALS  re: Fish Sanctuary &amp; Fishery Reserve Development  c/o  OMA</t>
  </si>
  <si>
    <t>Design and Build for the Construction of the Proposed Sewerage Treatment Plant of the Municipality of Coron.</t>
  </si>
  <si>
    <t>Request for Quotation (Laptop, Etc.)</t>
  </si>
  <si>
    <t>Supply and Delivery of Other Supplies (Mayor's Office)</t>
  </si>
  <si>
    <t>2020-03-0071 - PROCUREMENT OF VEHICLE PARTS AND ACCESSORIES FOR REPLACEMENT OF TIRES, BATTERY AND ACCESSORIES OF TOYOTA HILUX WITH PLATE NUMBER 102006 UNDER THE PLANNING AND DESIGN SECTION</t>
  </si>
  <si>
    <t>Purchase of Construction Materials for Construction of Hand Washing Don.E Hofileña Elementary School, Silay City.</t>
  </si>
  <si>
    <t>Supply and Delivery of Vehicle Parts and Accessories (consolidated PR's ) 00286-2020 / 00287-2020 / 00288-2020</t>
  </si>
  <si>
    <t>Procurement of Generator</t>
  </si>
  <si>
    <t>Purchase various tires for the use of Garbage Compactors and Mini Dumptrucks in the City of Talisay</t>
  </si>
  <si>
    <t>Supply and Delivery of One (1) Unit Submersible Pump</t>
  </si>
  <si>
    <t>1	unit	Motorcycle, PR # 518-20</t>
  </si>
  <si>
    <t>Delivery and Installation of 3 Units Split Type Aircon at MDRRMO Office</t>
  </si>
  <si>
    <t>Purchase of materials for INSET</t>
  </si>
  <si>
    <t>Supply/Delivery of Wooden Chairs for Library</t>
  </si>
  <si>
    <t>Supply and delivery of  MEDICAL, DENTAL &amp; LABORATORY SUPPLIES  re: For Rural Health Unit use</t>
  </si>
  <si>
    <t>Supply and Delivery of  Drugs and Medicines (M.O)</t>
  </si>
  <si>
    <t>REQUEST FOR QUOTATION SHOPPING OF (3 in 1) PHOTOCOPIER/SCANNER/PRINTER, LAPTOP, HARD DRIVE, FLASH DRIVE AND PRINTER</t>
  </si>
  <si>
    <t>FITTINGS - ACRYLIC COUNTER SHIELDS</t>
  </si>
  <si>
    <t>Procurement of  One (1) Lot Construction Materials</t>
  </si>
  <si>
    <t>SUPPLY AND DELIVERY OF SUPPLIES AND MATERIALS  FOR BARANGAY ROAD CONCRETING-Ilihan Public Market</t>
  </si>
  <si>
    <t>SUPPLY AND DELIVERY OF OFFICE FURNITURE AND EQUIPMENT FOR HRM OFFICE</t>
  </si>
  <si>
    <t>Supply and Delivery of Portland Cement</t>
  </si>
  <si>
    <t>Procurement of MEDICAL SUPPLIES for the Use of DOPH LUPON</t>
  </si>
  <si>
    <t>IMPROVEMENT OF MPH II AT BALECBEC, NAGUILIAN, LA UNION.</t>
  </si>
  <si>
    <t>REHABILITATION OF FARM TO MARKET ROAD, PUROK 1, BARANGAY NAGYUBUYUBAN</t>
  </si>
  <si>
    <t>Payment for Print out of POW,DUPA and DED (A3 size) of Rehabilitation of Seawall and Drainage Sytem</t>
  </si>
  <si>
    <t>OFFICE SUPPLIES  (MBO 1ST &amp; 2ND QUARTER)</t>
  </si>
  <si>
    <t>Construction of Camaa Hanging Footbridge</t>
  </si>
  <si>
    <t>HP 680</t>
  </si>
  <si>
    <t>ITB 20-004 - Supply and Delivery of 1 lot Closed Circuit Television (CCTV).</t>
  </si>
  <si>
    <t>Supply and Delivery of Goods for Representation Expenses of 9IB,9ID,PA (95,000.00)</t>
  </si>
  <si>
    <t>Concreting of Brgy Road</t>
  </si>
  <si>
    <t>Supply and Delivery of Construction Materials &amp; Supplies</t>
  </si>
  <si>
    <t>20	Packs/Cans	Squash seeds(100 gms.), etc. PR # 520-20</t>
  </si>
  <si>
    <t>SUPPLY AND DELIVERY OF OFFICE SUPPLIES (2nd Bidding)</t>
  </si>
  <si>
    <t>Supply and Delivery of 50 Reams Bond Paper Long and other various items.</t>
  </si>
  <si>
    <t>PR GULAYAN</t>
  </si>
  <si>
    <t>SUPPLY AND DELIVERY OF HYGIENE DISINFECTANT SUPPLIES AND MEDICAL SUPPLIES FOR DEPED DIVISION OFFICE</t>
  </si>
  <si>
    <t>Provision of School Electrical Supplies</t>
  </si>
  <si>
    <t>aircon for library</t>
  </si>
  <si>
    <t>INSTALLATION OF STREETLIGHTS</t>
  </si>
  <si>
    <t>Supply Catering Services during the Conduct of Video Tele Conference Meeting w Local Executives at Tacloban City</t>
  </si>
  <si>
    <t>Construction of Reservoir</t>
  </si>
  <si>
    <t>Procurement of Fertilizers and Chemicals for Abaca Expansion under Coconut</t>
  </si>
  <si>
    <t>Supply and Delivery of Electrical Materials for Rewiring of Generator Set</t>
  </si>
  <si>
    <t>Med. Sup. COVID !9</t>
  </si>
  <si>
    <t>Supply/Delivery of Charging Counter for Library</t>
  </si>
  <si>
    <t>LOT Procurement of MATERIALS for Use in Urban Greening and Landscaping of the TOURISM PREMISES</t>
  </si>
  <si>
    <t>Supply, Delivery and Installation of Electro-Mechanical Equipment and Design for Pump Station, Construction of Pump House and Installation of Medium/Voltage for Pumping Station Power Supply</t>
  </si>
  <si>
    <t>Rice bran D2</t>
  </si>
  <si>
    <t>Operation of Tourist Information Center - Tourism Office</t>
  </si>
  <si>
    <t>REHABILITATION OF BARANGAY ROAD, PUROK 2, BARANGAY PAO SUR</t>
  </si>
  <si>
    <t>Supply and Delivery of  DENTAL EQUIPMENT/FACILITY</t>
  </si>
  <si>
    <t>SUPPLY &amp; DELIVERY OF CONSTRUCTION MATERIALS FOR THE REPAIR &amp; MAINTENANCE OF BUILDING AND OTHER STRUCTURE</t>
  </si>
  <si>
    <t>MO Office Supplies</t>
  </si>
  <si>
    <t>Bantay Mangrove Outpost</t>
  </si>
  <si>
    <t>Covid 19 Response Medical Supply</t>
  </si>
  <si>
    <t>Job Order-Labor and Materials Repair of Wooden main Gate and other facilities in support to Aquatourism Technology P{roject</t>
  </si>
  <si>
    <t>PROCUREMENT OF FOUR (4) UNITS OF LAPTOP</t>
  </si>
  <si>
    <t>Procurement of TIRES for Use in Mitsubishi Estrada of the Provincial Engineer’s Office</t>
  </si>
  <si>
    <t>City Projects</t>
  </si>
  <si>
    <t>Supply of Labor &amp; Materials for Repair &amp; Maintenance of Two (2) Units Treated Water Pumps</t>
  </si>
  <si>
    <t xml:space="preserve">INVITATION TO SUBMIT PRICE QUOTATION    PROCUREMENT OF   BRAND NEW ADMINISTRATIVE FACILITIES AND EQUIPMENT      FOR NFA EASTERN VISAYAS REGIONAL  OFFICE VIII AND NFA  PROVINCIAL OFFICES  (Small Value </t>
  </si>
  <si>
    <t>AUTOMATED EXTERNAL DEFIBRILLATOR (AED)</t>
  </si>
  <si>
    <t>20PJ0053: Repair/ Rehabilitation of National Road along Nueva Vizcaya- Ifugao Mt. Province Boundary Road, K0335+550- K0351+187 (Intermitent Section)</t>
  </si>
  <si>
    <t>Request for Quotation (SUPPLY OF LABOR AND MATERIALS FOR THE REPLACEMENT OF CARPET)</t>
  </si>
  <si>
    <t>PURCHASE OF CONSTRUCTION MATERIALS AND SUPPLIES FOR LUCENA CES</t>
  </si>
  <si>
    <t>Copra Meal</t>
  </si>
  <si>
    <t>INSTALLATION OF LED STREET LIGHTS ALONG NATIONAL ROAD AT STA. CRUZ, ALITAGTAG, BATANGAS</t>
  </si>
  <si>
    <t>Supply and delivery of  BIOMETRIC MACHINES  re:  For Various Offices use   c/o  HRMO.</t>
  </si>
  <si>
    <t>CONSTRUCTION OF CONCRETE FLUME TYPE DRAINAGE CANAL, PUROK 2 &amp; 3, BARANGAY DALLANGAYAN ESTE</t>
  </si>
  <si>
    <t>REQUEST FOR QUOTATION       SHOPPING OF PORTABLE SOUND SYSTEM, SOUND SYSTEM, CAMERA,  REFRIGERATOR, TELEVISION &amp; ELECTRIC OVEN</t>
  </si>
  <si>
    <t>Purchase of Ink</t>
  </si>
  <si>
    <t>RFQ 06-03-2020 Item D</t>
  </si>
  <si>
    <t>OFFICE SUPPLIES (2ND QUARTER MACCO)</t>
  </si>
  <si>
    <t>RFQ 2020-06-335 Procurement of Manila Banner</t>
  </si>
  <si>
    <t>Supply and Delivery of materials for Replacement of Roofing and Repair of SMAW Building</t>
  </si>
  <si>
    <t>MO Office Supplies (2)</t>
  </si>
  <si>
    <t>1 lot General Repair of Toyota Hi-Ace Van SGY 139 (Labor &amp; Materials), JSOR 64-20</t>
  </si>
  <si>
    <t>ITB NO. GOP/20-DSWD-041 - Provision of Multi-Year Contract for the Hiring of Service Provider for the Preventive Maintenance of the Passenger Elevator at DSWD - Central Office for CY 2020-2022</t>
  </si>
  <si>
    <t>Supply and Delivery of One (1) Lot Vegetable Seeds.</t>
  </si>
  <si>
    <t>Procurement of Air-Conditioner (City Engineering Office)</t>
  </si>
  <si>
    <t>Hilux Maintenance</t>
  </si>
  <si>
    <t>Supply and Delivery of Drugs and Biologics</t>
  </si>
  <si>
    <t>CATERING SERVICES DURING THE 2020 MUNICIPAL DEVELOPMENT COUNCIL ANNUAL PLANNING CONFERENCE</t>
  </si>
  <si>
    <t>SUPPLY AND DELIVERY OF ELECTRICAL SUPPLIES</t>
  </si>
  <si>
    <t>Construction of Steel Footbridge at Brgy. Acle</t>
  </si>
  <si>
    <t>Construction of TB Dots</t>
  </si>
  <si>
    <t>2020-060, COMPLETION OF COVERED COURT AT BARANGAY NALIN, MIDSAYAP, COTABATO</t>
  </si>
  <si>
    <t>RICE20-06-11-0763 Provide Catering Services good for 30 pax during the conduct of DA-RFO 8 Program Level 2nd Quarter Assessment CY 2020</t>
  </si>
  <si>
    <t>Purchase of Monoblocks and Water Dispenser</t>
  </si>
  <si>
    <t>20PJ0054: Repair/ Rehabilitation of Damage Existing Portland Cement Concrete Pavement (PCCP) along Banaue- Mayoyao- Alfonso Lista- Isabela Boundary Road, K0430+400- K0431+500, (Intermittent Section)</t>
  </si>
  <si>
    <t>Purchase of Materials for Laur Water System at Laur, Nueva Ecija</t>
  </si>
  <si>
    <t>Supply and Delivery of  Animal Feeds &amp; Vitamins use for Organic Swine for 3rd Quarter 2020</t>
  </si>
  <si>
    <t>OTOP Production Building Extension Completion</t>
  </si>
  <si>
    <t>OFFICE SUPPLIES (MEO 1ST &amp; 2ND QUARTER)</t>
  </si>
  <si>
    <t>Construction of Slope Protection at SO. Bancalan, Brgy Magahis</t>
  </si>
  <si>
    <t>DREDGING OF CAYAPA RIVER</t>
  </si>
  <si>
    <t>Dumping of Aggregates on the ground of TESDA MIMAROPA Provincial Training Center</t>
  </si>
  <si>
    <t>Provision for the Procurement and Refill of Fire Extinguisher for Senior High School</t>
  </si>
  <si>
    <t>Procurement of Meals &amp; Snacks (MAO)</t>
  </si>
  <si>
    <t>REQUEST FOR QUOTATION SHOPPING OF WASHABLE FACEMASK, ALCOHOL, VITAMIN C, ORAL ANTISEPTIC, WET WIPES AND MOPBUCKET</t>
  </si>
  <si>
    <t>MO Office Supplies (3)</t>
  </si>
  <si>
    <t>Purchase of various Medicine</t>
  </si>
  <si>
    <t>Supply and Delivery of 1 Bottle Ammonium Iron Citrate and other various Laboratory Supplies.</t>
  </si>
  <si>
    <t>For the Training Supplies of Housekeeping NC II</t>
  </si>
  <si>
    <t>OFFICE SUPPLIES EXPENSE (CRSAFP-PHP65,630.00)</t>
  </si>
  <si>
    <t>Concreting of Barangay Road in Brgy. Rillo</t>
  </si>
  <si>
    <t>Pump &amp; Engine Set for LSA - MG Mantilla's Farm</t>
  </si>
  <si>
    <t>RFQ147 For use of TB Reference Laboratory Xpert Xpress SARSCoV2 Testing Laboratory</t>
  </si>
  <si>
    <t>Purchase of office supplies for use in the Bids and Awards Committee (BAC) Office, LGU, Bato, Leyte</t>
  </si>
  <si>
    <t>Procurement of 456 Bags NP Compound (Multi-Functional Fertilizer) in Support to Rice Farmers of the Province in the Rainfed Rice Areas</t>
  </si>
  <si>
    <t>Purchase of Vehicle Repair and Maintenance For DTN-04 MODEL CWB-459H	Under P.R. No. 30-20-03-034</t>
  </si>
  <si>
    <t>Cabinets</t>
  </si>
  <si>
    <t>2020-061, CONSTRUCTION OF 2 UNITS WATER SYSTEM LEVEL II AT PUROK 5 AND 10,   MALAMOTE, MIDSAYAP, COTABATO</t>
  </si>
  <si>
    <t>LAPTOP AND PRINTER</t>
  </si>
  <si>
    <t>Rehabilitation of  Barangay Road in Brgy. Talon</t>
  </si>
  <si>
    <t>20PJ0055: Repair/ Maintenance of DPWH Building, Alfonso Lista, Ifugao</t>
  </si>
  <si>
    <t>OFFICE SUPPLIES (THIRD QUARTER MACCO)</t>
  </si>
  <si>
    <t>Request for Quotation for the Provision of Veterinary Products and Supplies to be used as Extension support to LGUs providing AI Services.</t>
  </si>
  <si>
    <t>Supply and Delivery of Item No. 1: 12 pcs. TN-3350 Toner Catridge, as per BSP Technical Specifications and Terms and Conditions</t>
  </si>
  <si>
    <t>Supply and Delivery of Medical &amp; Dental Equipment</t>
  </si>
  <si>
    <t>Purchase of Construction Materials used for the Improvement of Pathwalk at Pag-asa Compound, Brgy. Ampid, San Mateo, Rizal</t>
  </si>
  <si>
    <t>MEALS AND SNACKS FOR MODULAR INSTRUCTION AS LEARNING DELIVERY FOR EFFECTIVE REMOTE EDUCATION (MILDER ED)</t>
  </si>
  <si>
    <t>Supply &amp; delivery of Office, It &amp; Janitorial Supplies for use at the Sangguniang Panlungsod &amp; Office of the City Vice Mayor for the 2nd Quarter of 2020, Laoag City</t>
  </si>
  <si>
    <t>Supply and Delivery of various materials for the Replacement /Re-Wiring of Streetlights along Mercedez Blvd. Barangay II, Sipalay City, Negros Occidental</t>
  </si>
  <si>
    <t>IMPROVEMENT OF POB. EAST ACCESS ROAD</t>
  </si>
  <si>
    <t>LOT Procurement of MATERIALS for Use in the Improvement of Potable Water System at Brgy. Bobonao, Baganga, Davao Oriental</t>
  </si>
  <si>
    <t>Concreting of Barangay Road of Brgy. Bayudbud</t>
  </si>
  <si>
    <t>Procurement of Materials for the Refurbishment of Study Park and Provision of Two(2) Handwashing Facilities (CIS)</t>
  </si>
  <si>
    <t>SUPPLY AND DELIVERY OF COMPUTER DESKTOP, ETC.</t>
  </si>
  <si>
    <t>CONSTRUCTION OF RUBBLE-MOUND SEAWALL</t>
  </si>
  <si>
    <t>Repair And Repainting Of Runway, Taxiway and Apron Markings And Markers   At Virac Airport</t>
  </si>
  <si>
    <t>Provision of Black Hose</t>
  </si>
  <si>
    <t>Supply and Delivery of Spare Parts for NIA Office Equipment</t>
  </si>
  <si>
    <t>Painting of Guinsiliban Covered Court Roofing</t>
  </si>
  <si>
    <t>Emergency purchase of 100 sets Rapid Test Kits to be Used by the COVID-19 Task Force Frontliners in performing Rapid Test for Returning Locally Stranded Individuals at the borders of Ilocos Sur</t>
  </si>
  <si>
    <t>Supply and Delivery of Pest Control Equipment (Misting Machine)</t>
  </si>
  <si>
    <t>RM Buildings</t>
  </si>
  <si>
    <t>RFQ-OTHER SUPPLIES AND MATERIALS  FERD</t>
  </si>
  <si>
    <t>Supply and Delivery for the City Disaster Risk Reduction and Management Office (CDRRMO) under P.R.No. 0999-2020-Subject to Ordering Agreement Arrangement-2nd bidding</t>
  </si>
  <si>
    <t>Repair of Communal CR at Municipal Gym and Municipal site</t>
  </si>
  <si>
    <t>VARIOUS COMPUTER ACCESSORIES</t>
  </si>
  <si>
    <t>RIPRAPPING OF FLOOD CONTROL @ SITIO KATAGBAKAN BRGY. GASANG, MABINI, BATANGAS</t>
  </si>
  <si>
    <t>BAC Office Supplies</t>
  </si>
  <si>
    <t>Purchase of Construction Materials used for the Construction of Multi-purpose Hall at Rafaela 2 Subd., Brgy. Ampid I, San Mateo, Rizal</t>
  </si>
  <si>
    <t>RFQ No. 2020-06-0067-B Termite Control Treatment for the use of Regional Rehabilitation Center for Youth, Nueva Valencia, Guimaras</t>
  </si>
  <si>
    <t>CONSTRUCTION OF EXTENSION OF 2nd FLOOR OF THE MULTI -PURPOSE BUILDING LOCATED AT BRGY. SAN AURELIO 3rd, BALUNGAO, PANGASINAN</t>
  </si>
  <si>
    <t>Complete Set Fiber Glass Board for the Sports Activities of Lowland and Upland Barangays</t>
  </si>
  <si>
    <t>Repair &amp; Maintenance of Other Structure (OJ4-PhP432,036.04)</t>
  </si>
  <si>
    <t>Procurement of Various Catering Services - PAGSO</t>
  </si>
  <si>
    <t>Construction of Multi-Purpose Concrete Pavement (Solar Dryer)15.00m x 28.00 So. Calagmakan 2, Brgy. Camindangan, Sipalay City, Neg. Occ.</t>
  </si>
  <si>
    <t>Agricultural Supplies for Nursery @ NCD</t>
  </si>
  <si>
    <t>SUPPLY &amp; DELIVERY OF MEDICAL SUPPLIES</t>
  </si>
  <si>
    <t>Procurement of Two (2) units Split Type Inverter Aircon</t>
  </si>
  <si>
    <t>20PJ0056: Repair/ Maintenance of DPWH Building Satellite Building, Gate and Perimeter Wall, Banaue, Ifugao</t>
  </si>
  <si>
    <t>LOT Procurement of MATERIALS for Use in the Construction of Multi-Purpose Building (Fabrication of Paving Blocks &amp; Installation of Tiles) at Sitio Magay, Brgy. DMM, City of Mati, Davao Oriental</t>
  </si>
  <si>
    <t>SUPPLY AND DELIVERY OF ICT OFFICE SUPPLIES FOR MGB-X FOR FY 2020 - MOOE [069-2020 (3)]</t>
  </si>
  <si>
    <t>SUPPLY &amp; DELIVERY OF FITTINGS (18 ITEMS)</t>
  </si>
  <si>
    <t>Rehabilitation of 10 Child Development Centers</t>
  </si>
  <si>
    <t>Procurement of Medical grade air purifier for Covid 19</t>
  </si>
  <si>
    <t>Repair And Repainting Of Runway, Taxiway and Apron Markings And Markers   At Masbate Airport</t>
  </si>
  <si>
    <t>Supply and Delivery of Retirement Ring for the Retirees</t>
  </si>
  <si>
    <t>SUPPLY AND DELIVERY OF LAPTOP COMPUTER, PRINTER SWITCH, ETC. FOR SP SECRETARY</t>
  </si>
  <si>
    <t>20PL0104 - Construction of Pinukpuk-Balbalan Road (Bal - Aba-Aba Section), Brgy. Ballayangon, Pinukpuk, Kalinga</t>
  </si>
  <si>
    <t>CONTINUATION OF FARM TO MARKET ROAD, BARANGAY PAO NORTE LEADING TO SACYUD</t>
  </si>
  <si>
    <t>Construction Supplies and Materials for LSA - MG Mantilla's Farm</t>
  </si>
  <si>
    <t>ROAD CONSTRUCTION WITH DRAINAGE CANAL AT PUROK 8A, BACACA, BARANGAY 19-B, POBLACION DISTRICT, DAVAO CITY</t>
  </si>
  <si>
    <t>CONTINUATION OF CONSTRUCTION OF BARANGAY HALL AT BARANGAY SAN JULIAN, BALUNGAO, PANGASINAN</t>
  </si>
  <si>
    <t>DRUGS AND MEDICINES/IB No. MM-2020-024(m)</t>
  </si>
  <si>
    <t>REQUEST FOR QUOTATION SHOPPING OF CONFERENCE TABLE WITH CLERICAL CHAIR, CLERICAL TABLE WITH CLERICAL CHAIR, CENTER TABLE, SOFA &amp; STEEL CABINET</t>
  </si>
  <si>
    <t>PR OFFICE SUPPLIES</t>
  </si>
  <si>
    <t>Procurement of Reagents for Laboratory Use of Rural Health Unit</t>
  </si>
  <si>
    <t>Purchase of Materials for the Stage Improvement/Construction</t>
  </si>
  <si>
    <t>Rehabilitation of Barangay Road at Brgy. Lumbangan</t>
  </si>
  <si>
    <t>Proc of 2 bxs Amoxicillin 500mg Cap and 41 L/I</t>
  </si>
  <si>
    <t>PROCUREMENT OF TWO (2) UNITS FLOOR MOUNTED AIRCON, SB OFFICE, TIGBAUAN, ILOILO</t>
  </si>
  <si>
    <t>PURCHASE OFFICE SUPPLY</t>
  </si>
  <si>
    <t>Procurement of Consulting Services for the Philippine International Dive Expo (PHIDEX) Virtual Platform</t>
  </si>
  <si>
    <t>Proposed Construction of 120m Sidewalk with Curbes and Gutter at Barangay San Pedro, San Pablo City, Laguna</t>
  </si>
  <si>
    <t>TIRES 255/60 R16/SVP No. U-2020-06-001</t>
  </si>
  <si>
    <t>CONCRETING OF 6INCHES X 4.0M X 50 LINEAR METER FARM TO MARKET ROAD AT SITIO CABARUAN KAKULIBANG - BANGAN AND CADAMPAYAN, BARANGAY ESMERALDA, BALUNGAO, PANGASINAN</t>
  </si>
  <si>
    <t>Operation of Public Market - MTO</t>
  </si>
  <si>
    <t>Rehabilitation of Barangay Road at Brgy. Dalima</t>
  </si>
  <si>
    <t>IMPROVEMENT ALONG ILOCOS SUR-ABRA ROAD</t>
  </si>
  <si>
    <t>LIVESTOCK BREEDING PROGRAM</t>
  </si>
  <si>
    <t>ESTABLISHMENT OF A CENTRALIZED EEM CCTV: AUXILIARY WET MARKET AND DRY MARKET</t>
  </si>
  <si>
    <t>Procurement of Fuel, Oil and Lubricants - PAGSO</t>
  </si>
  <si>
    <t>Supply and Delivery of Other Supplies (M.O/Cultural)</t>
  </si>
  <si>
    <t>Construction of MRF Expansion Perimeter Fence</t>
  </si>
  <si>
    <t>CATERING SERVICES/SVP No. T-2020-06-009</t>
  </si>
  <si>
    <t>CONTINUATION OF CONSTRUCTION OF BARANGAY MULTI - PURPOSE HALL OF ESMERALDA, BALUNGAO, PANGASINAN</t>
  </si>
  <si>
    <t>Concreting of Barangay Road at Brgy. Dalima</t>
  </si>
  <si>
    <t>AUGMENTATION OF SSF FOR KALAMANSIG COFFEE INDUSTRY DEVELOPMENT COUNCIL, INC. FOR COFFEE PROCESSING</t>
  </si>
  <si>
    <t>Health Kit &amp; Health Supplements for our Children, Children with Special Needs,Elderly</t>
  </si>
  <si>
    <t>20PL0116 - Concreting of Sitio Turod to Sitio Burubur (Phase II) FMR, Brgy. Bulo, Tabuk City, Kalinga</t>
  </si>
  <si>
    <t>Chairs &amp; Tables for LSA - JRS Diversified Agri-Farm</t>
  </si>
  <si>
    <t>REHABILITATION OF MULTI-PURPOSE HALL @ BRGY. TALAGA PROPER, MABINI, BATANGAS</t>
  </si>
  <si>
    <t>Provision Of Runway Markers And Markings At Bacon Airport</t>
  </si>
  <si>
    <t>RFQ</t>
  </si>
  <si>
    <t>SUPPLY AND DELIVERY OF LAPTOP, PRINTER, ETC. FOR PROVINCIAL ADMINISTRATOR'S OFFICE</t>
  </si>
  <si>
    <t>EVACUATED TUBES</t>
  </si>
  <si>
    <t>CCTV for barangay @ Salaban II, Ibaan, Batangas</t>
  </si>
  <si>
    <t>MTO Operation of BPLS</t>
  </si>
  <si>
    <t>Proposed Purchase of 3 Units CCTV Cameras and 3 Units Public Adress Speakers at Barangay San Pedro, San Pablo City, Laguna</t>
  </si>
  <si>
    <t>Supply and Delivery of Facility Equipment for the use of City Mayor’s Office</t>
  </si>
  <si>
    <t>Ink (70ml) bottle for three (3) Epson L565 Printers (3 btls Epson T664 Black; 1 btl Epson T664 Yellow; 1 btl Epson T664 Magenta; 1 btl Epson T664 Cyan); Ink bottle (65ml) for Epson L5190 Printer (1 bt</t>
  </si>
  <si>
    <t>Procurement of Various Medical Equipment for CY 2020</t>
  </si>
  <si>
    <t>PROCUREMENT OF BRAND NEW OF 10W DUMP TRUCK</t>
  </si>
  <si>
    <t>DRRM Information Signage to be installed at LGU Compound</t>
  </si>
  <si>
    <t>Safemist Fog Machine</t>
  </si>
  <si>
    <t>REHABILITATION OF CALANASAN SPORTS &amp; CULTURAL/EVACUATION CENTER</t>
  </si>
  <si>
    <t>ICT Equipment for LSA - JRS Diversified Agri-Farm</t>
  </si>
  <si>
    <t>LEASE RENTAL OF AIRCONDITIONING UNIT  (1)</t>
  </si>
  <si>
    <t>200 btls Alcohol 70% Solution 250ml; 50 pcs Battery AAA; 50 pcs Battery AA; 200 pcs Ballpen (100 Black/100 Blue); 100 pcs Correction Tape (Pro Tip); 100 rolls Scotch Tape (1”); 24 rolls Duct Tape (478</t>
  </si>
  <si>
    <t>Hammer Mill for LSA - DAJ Diversified Farm</t>
  </si>
  <si>
    <t>20PL0117 - Construction/Concreting of the Tabuk City, Kalinga - Tuao, Cagayan Road via the Burayugan-San Francisco-Naruangan Section, Cagayan Road, Tabuk City, Kalinga</t>
  </si>
  <si>
    <t>Procurement of Digital Multi Function Copier</t>
  </si>
  <si>
    <t>PROCUREMENT AND DELIVERY OF AGRICULTURAL PRODUCTS (Seedlings) for LSWMU, VSU-Main, Visca, Baybay City, Leyte (PSMO20-06-0268)</t>
  </si>
  <si>
    <t>FINISHING OF BARANGAY HALL AT BARANGAY SAN MARCELINO, BALUNGAO, PANGASINAN</t>
  </si>
  <si>
    <t>Supply and delivery of 1 unit Heavy Duty Shredder to be used at the Office of the RTD for Research and Regulatory</t>
  </si>
  <si>
    <t>Labor Charge for decoration including flowers used for Blessing Road Rehabilitation (Pasil) Poblacion, Talibon Bohol</t>
  </si>
  <si>
    <t>DETAILED ENGINEERING  STUDY/DESIGN  OF WARAS  SRIP,  IRIGA CITY, CAMARINES SUR</t>
  </si>
  <si>
    <t>PROCUREMENT OF CCTV  INSTALLATION</t>
  </si>
  <si>
    <t>PROVISION OF LABOR AND MATERIALS FOR THE CONSTRUCTION OF  CONCRETE STEP LADDERS AND HAND RAILINGS IN CAPE ENGAÑO, PALAUI ISLAND PROTECTED LANDSCAPE AND SEASCAPE (PIPLS)</t>
  </si>
  <si>
    <t>Supply and Delivery of Various Grocery Items</t>
  </si>
  <si>
    <t>Provision Of Runway Markers And Markings At Bulan Airport</t>
  </si>
  <si>
    <t>supplying laptop, etc. for use in the Office of SP Secretariat, SP, Boac, Marinduque</t>
  </si>
  <si>
    <t>RPQ and PR FOR VARIOUS OFFICE SUPPLIES</t>
  </si>
  <si>
    <t>CONSTRUCTION OF MULTI-PURPOSE CENTER/EVACUATION CENTER IN BARANGAY BINANOGAN, VALDERRAMA (Brgy. Binanogan, Valderrama, Antique)/IB. NO. K-2020-023(SC)</t>
  </si>
  <si>
    <t>VARIOUS MEDICINE AND DENTAL MATERIALS</t>
  </si>
  <si>
    <t>Concreting of Access Road at Brgy. Magahis (MRF)</t>
  </si>
  <si>
    <t>SVP FOR THE SUPPLY AND DELIVERY OF 5-UNITS AIRCONDITIONING UNITS (REBIDDING)</t>
  </si>
  <si>
    <t>INVITATION TO QUOTE FOR PRINTING SERVICES (Books and Publicationl) for DLABS, VSU-Main, Baybay City, Leyte (PSMO20-06-0277)</t>
  </si>
  <si>
    <t>Procurement of Internet Security Anti-Virus</t>
  </si>
  <si>
    <t>Incubator for LSA - DAJ Diversified Farm</t>
  </si>
  <si>
    <t>Procurement of Various Planting Materials and Fertilizers - Lot 1 - Planting Materials - PAGSO</t>
  </si>
  <si>
    <t>IMPROVEMENT OF MAYOR'S OFFICE (MUNICIPAL HALL)</t>
  </si>
  <si>
    <t>printing of Identification Card (ID's) for distribution to the residents of Barangay in the six (6) municipalities, provincewide, PGO, Boac, Marinduque</t>
  </si>
  <si>
    <t>CONSTRUCTION OF MULTI-PURPOSE ALL WEATHER FACILITY</t>
  </si>
  <si>
    <t>Supply and Delivery of Office supplies of HHSBN (P77,143.00)</t>
  </si>
  <si>
    <t>10	box	Paper Clip, 33mm, 100 pieces, etc. PR # 509-20</t>
  </si>
  <si>
    <t>CONSTRUCTION OF MULTI-PURPOSE CENTER/EVACUATION CENTER IN BARANGAY MANLACBO, VALDERRAMA (Brgy. Manlacbo, Valderrama, Antique)/IB. NO. K-2020-024(SC)</t>
  </si>
  <si>
    <t>RFQ NO. 2020-029- WASTE WATER QUALITY MONITORING AND ANALYSIS</t>
  </si>
  <si>
    <t>CONTSRUCTION/IMPROVEMENT/REHABILITATION OF LINE CANAL &amp; PATHWA7Y @ BRGY. BULACAN, MABINI, BATANGAS</t>
  </si>
  <si>
    <t>10 pcs Hydraulic Filter – BT359; 10 pcs Engine Oil Filter – W11102</t>
  </si>
  <si>
    <t>CONSTRUCTION OF MULTI-PURPOSE HALL (Brgy. Inabasan Sur, Hamtic, Antique )/IB. NO. K-2020-028(SC)</t>
  </si>
  <si>
    <t>Replacement of Motor Inverter Compressor</t>
  </si>
  <si>
    <t>PROCUREMENT OF GOODS FOR THE VARIOUS LIVELIHOOD PROJECTS OF LGU-VALDERRAMA, ANTIQUE</t>
  </si>
  <si>
    <t>CONTINUATION ON OF 1st &amp; 2nd FLOOR OF BARANGAY MULTI - PURPOSE BUILDING LOCATED AT BARANGAY SAN LEON, BALUNGAO, PANGASINAN</t>
  </si>
  <si>
    <t>Procurement of One (1) Unit Service Veicle for use of the City Government of Tarlac. B2020-075-A</t>
  </si>
  <si>
    <t>Summer In Service Training 2020-2021</t>
  </si>
  <si>
    <t>PROCUREMENT OF OFFICE SUPPLIES, IT SUPPLIES AND JANITORIAL SUPPLIES</t>
  </si>
  <si>
    <t>Request for Quotation for the supply and delivery of HDPE (Sdr.11) - ½”Ø</t>
  </si>
  <si>
    <t>MESSENGERIAL SERVICES FOR THE YEAR 2020 OF SSS DAET</t>
  </si>
  <si>
    <t>CONCRETING OF POJO-HATAY-HATAY ROAD (Bugasong, Antique)/IB. NO. K-2020-056(SC)</t>
  </si>
  <si>
    <t>IMPROVEMENT OF BRGY. BALAWEG-MAPISI CIS</t>
  </si>
  <si>
    <t>Supply and Delivery of Construction Supplies and Materials</t>
  </si>
  <si>
    <t>Janitorial Manpower Services</t>
  </si>
  <si>
    <t>SUPPLY &amp; DELIVERY OF PRINTING SUPPLIES</t>
  </si>
  <si>
    <t>8 boxes Ink Advantage Black 678 Black Hitam; 15 boxes Advantage Black 678 Tri-Color</t>
  </si>
  <si>
    <t>SO-OPD20-012 - Seven (7) New Areas in Bohol under the Off-Grid Electrification Project</t>
  </si>
  <si>
    <t>Troubleshooting,Repair &amp; Cleaning of ACU</t>
  </si>
  <si>
    <t>Request for Quotation for the supply and delivery of HDPE (Sdr.11) - 8”Ø P.E. Tube 8”x6meters</t>
  </si>
  <si>
    <t>Construction of San Miguel Fire Station Building, San Miguel, Surigao del Norte, Caraga Region</t>
  </si>
  <si>
    <t>CONCRETING OF SITIO ALIGTUS-IGPALGE ROAD, BARBAZA (Barbaza, Antique)/IB. NO. K-2020-049(SC)</t>
  </si>
  <si>
    <t>FURNISHING AND DELIVERY OF TELCO CARDS FOR SB OFFICES</t>
  </si>
  <si>
    <t>MTO Operation of ITAX System</t>
  </si>
  <si>
    <t>SUPPLIES AND MATERIALS FOR SCHOOL-BASED INSET</t>
  </si>
  <si>
    <t>Improvement of Slaughter House</t>
  </si>
  <si>
    <t>Procurement of Bin Cards and Stock Cards</t>
  </si>
  <si>
    <t>Preventive Maintenance of GCMS RO-6</t>
  </si>
  <si>
    <t>Construction Supplies &amp; Materials for LSA - Basmayor Farm</t>
  </si>
  <si>
    <t>the Procurement of Various Planting Materials and Fertilizers - Lot 2 - Fertilizers - PAGSO</t>
  </si>
  <si>
    <t>Procurement of Various Textbooks for Reference Purposes of the College Library - Fortune Towne Campus</t>
  </si>
  <si>
    <t>Printing Services of Tabloid in MinSCAT Main Campus</t>
  </si>
  <si>
    <t>6 Ink HP #85A Black Laserjet</t>
  </si>
  <si>
    <t>S3-B0820-002 - Supply of Labor, Special Tools, Consumable Materials and Equipment with Specialized Technicians/Mechanic for the On-site Restoration of Unit No.1 Daihatsu 6DK-32 Engine of PB 108</t>
  </si>
  <si>
    <t>Module Survey Project 2020 New Lands</t>
  </si>
  <si>
    <t>Supply and Installation of Pipe Thermistor</t>
  </si>
  <si>
    <t>Procurement of Office Supplies and Cleaning Materials</t>
  </si>
  <si>
    <t>SUPPLY AND DELIVERY OF ICT OFFICE EQUIPMENT &amp; SOFTWARES - MOOE [069-2020 (2)]</t>
  </si>
  <si>
    <t>SUPPLY, DELIVERY, INSTALLATION, CABLING, CONFIGURATION AND COMMISSIONING OF ICT EQUIPMENT FOR OPERATION CENTERS, REGION 2, 10, 12 AND CARAGA</t>
  </si>
  <si>
    <t>Request for Quotation for the supply and delivery of uPVC 4” &amp; 6”</t>
  </si>
  <si>
    <t>Service Maintenance for City Hall ACU System</t>
  </si>
  <si>
    <t>PURCHASE OF MONOBLOC CHAIRS</t>
  </si>
  <si>
    <t>Supply and Delivery of Tire for various Municipal Equipment of LGU Matalam</t>
  </si>
  <si>
    <t>One (1) Lot Media Monitoring and Analysis of Print, Online, and Broadcast News Reports and Social Media Posts covering the Bangko Sentral ng Pilipinas (BSP) and Related Economic and Financial News, as</t>
  </si>
  <si>
    <t>Procurement of Biosafety Cabinet Level 2</t>
  </si>
  <si>
    <t>Invitation to submit quotation for the repair of vehicle isuzu elf</t>
  </si>
  <si>
    <t>Purchase of 2 units Air Condition (Window Type) 2.5 HP (with installation) for use at the Laoag City General Hospital</t>
  </si>
  <si>
    <t>Procurement of Various Housekeeping Supplies  - PGO</t>
  </si>
  <si>
    <t>SO-SPU20-006 - Supply and Delivery of Various Personnel Protective Equipment (PPE) for SPUG Plant Personnel</t>
  </si>
  <si>
    <t>Supply, Delivery and Installation of Window Blinds</t>
  </si>
  <si>
    <t>Purchase of Auto Supplies &amp; Spareparts</t>
  </si>
  <si>
    <t>Repair and Re-piping of Main and Existing Sewer Line System at NPO Building</t>
  </si>
  <si>
    <t>Procurement of Gel Electrophoresis System</t>
  </si>
  <si>
    <t>Purchase of Diesel Fuel for the Rehab of Sitio Kulog to Arakan Road</t>
  </si>
  <si>
    <t>PRE-PRINTED ID CARDS (CY2020)</t>
  </si>
  <si>
    <t>Supply &amp; Delivery of Inks, Computer &amp; Accessories</t>
  </si>
  <si>
    <t>Purchase of Diesel Fuel for the Rehab of Sitio Kulog to Sitio Valdevieso Road</t>
  </si>
  <si>
    <t>Supply and Delivery of One (1) unit of Environment Monitoring Tool at BSP Head Office, as per BSP Technical Specifications</t>
  </si>
  <si>
    <t>Procurement of Digital Electric Microscope</t>
  </si>
  <si>
    <t>Procurement of Electric Stereo Zoom Microscope</t>
  </si>
  <si>
    <t>Materials for Improvement of Multi-Purpose Building</t>
  </si>
  <si>
    <t>SUPPLY AND DELIVERY OF FACE MASK AND ALCOHOL</t>
  </si>
  <si>
    <t>Procurement of Digital Electric Stereomicroscope</t>
  </si>
  <si>
    <t>Procureemnt of UPS to be used for regulation and back up power source at the Server room, Alaminos City</t>
  </si>
  <si>
    <t>Procurement of Office Furniture and Equipment for SDO I use</t>
  </si>
  <si>
    <t>REPAIR AND IMPROVEMENT OF BFP-NHQ MAIN BUILDING (Rehabilitation of Sanitary Line System)</t>
  </si>
  <si>
    <t>Request for Quotation for the supply and delivery of 1 unit of motorcycle</t>
  </si>
  <si>
    <t>Supply and Delivery of UV Light</t>
  </si>
  <si>
    <t>SUPPLY &amp; DELIVERY OF FITTINGS (26 ITEMS)</t>
  </si>
  <si>
    <t>Procurement of Fuel and Lubricants' Fleet Card for Official use of BFAR-13 July-December CY 2020</t>
  </si>
  <si>
    <t>Procurement of Materials for Ligtas COVID Center Isolation Room for the Municipality of Lugait, Misamis Oriental.</t>
  </si>
  <si>
    <t>PURCHASE OF FIXTURES TO BE USED AT THE VISITOR'S INFORMATION CENTER OF PALAUI ISLAND PROTECTED LANDSCAPE AND SEASCAPE (PIPLS)</t>
  </si>
  <si>
    <t>INVITATION TO BID FOR SUPPLY AND DELIVERY OF TEXTBOOKS AND REFERENCES FOR CY 2020 (REBIDDING)</t>
  </si>
  <si>
    <t>SUPPLY AND DELIVERY OF FISHING GEARS FOR THE USE OF AGTAS IN PALAUI ISLAND PROTECTED LANDSCAPE AND SEASCAPE (PIPLS) , SNA VICENTE, STA. ANA, CAGAYAN</t>
  </si>
  <si>
    <t>Procurement of Autoclave</t>
  </si>
  <si>
    <t>Loyalty Incentives - Memorabilia - City Human Resource Management Office</t>
  </si>
  <si>
    <t>PROCUREMENT OF DISPENSER, DIETARY EQUIPMENT, AND MEDICAL EQUIPMENT</t>
  </si>
  <si>
    <t>Procurement of High-Speed Microcentrifuge</t>
  </si>
  <si>
    <t>Procurement of Materials and Equipment for DRRM use</t>
  </si>
  <si>
    <t>Construction of Flood Control, Barangay San Jose (Additional Allocation)</t>
  </si>
  <si>
    <t>Procurement of Customized Standalone Table Shields</t>
  </si>
  <si>
    <t>Procurement of Microplate Reader Ultra-Fast UV/Vis Spectrometer</t>
  </si>
  <si>
    <t>Procurement of Laboratory Refrigerator</t>
  </si>
  <si>
    <t>Procurement of Dehydrator</t>
  </si>
  <si>
    <t>Procurement of OR Equipment (HFEP)</t>
  </si>
  <si>
    <t>Office and Other Supplies - Office of the City Mayor - Tourism</t>
  </si>
  <si>
    <t>Environmental Health/Safety Equipment</t>
  </si>
  <si>
    <t>Procurement of DSLR Camera, Zoom Lens, &amp; Fisheye Lens</t>
  </si>
  <si>
    <t>Procurement  of Tires</t>
  </si>
  <si>
    <t>Procurement of Essential Materials</t>
  </si>
  <si>
    <t>Construction of Second Floor Food Court  Phase 2</t>
  </si>
  <si>
    <t>Purchase of printer</t>
  </si>
  <si>
    <t>PURCHASE OF COMMUNICATION GADGETS FOR PALAUI ISLAND PROTECTED LANSCAPE AND SEASCAPE (PIPLS) PAMB</t>
  </si>
  <si>
    <t>Supply and delivery of 2 units computer desktop, 2 units 3n1 printer, 2 pcs wifi, 1 external hard drive and 1 extension cord</t>
  </si>
  <si>
    <t>Procurement of Sterilizer</t>
  </si>
  <si>
    <t>Procurement of Egg Incubator</t>
  </si>
  <si>
    <t>Supplies and delivery of Information Technology of Mis. Occ. National High School - Senior High School</t>
  </si>
  <si>
    <t>Procurement of Infrastructure and Construction Supplies RFQ No. 411</t>
  </si>
  <si>
    <t>Other Supplies/Janitorial Supplies - Various Offices</t>
  </si>
  <si>
    <t>RB2020-06-199 Certificate for Day Care Recognition</t>
  </si>
  <si>
    <t>12 UNITS AIR PURIFIER</t>
  </si>
  <si>
    <t>Procurement of Various Food Stuff - PHSO</t>
  </si>
  <si>
    <t>Office Supplies - Various Offices</t>
  </si>
  <si>
    <t>Contract ID No. 20NC0126 - Construction of Satellite Materials Laboratory Building, Agusan del Sur 2nd District Engineering Office, San Francisco, Agusan del Sur</t>
  </si>
  <si>
    <t>Supply and Delivery of ICT Office Supplies and Accessories for MGB-Region X for FY 2020 (MOOE)</t>
  </si>
  <si>
    <t>RFQ - Footbath Mat</t>
  </si>
  <si>
    <t xml:space="preserve">INVITATION TO BID FOR Supply, Delivery, Installation, Configuration, Documentation and User’s Training of Firewall Appliance with UTM Subscription and User’s Training of Classroom Management Solution </t>
  </si>
  <si>
    <t>Supply and Delivery of Agricultural Supplies as Extension Support to be distributed to the participants of Tapat Ko, Tanim Ko. Gulayan sa Bakuran, Laban sa Kagutuman: Training on Household Vegetable P</t>
  </si>
  <si>
    <t>Procurement of Various Brand New Aircondition with Installation  - SOYMPH, PAIASO, SDH &amp; ADH</t>
  </si>
  <si>
    <t>FURNITURE LABOR AND MATERIAL</t>
  </si>
  <si>
    <t>Supply and Delivery of Starter Kits for the Recovery Livelyhood Projects for the Micro Enterprises in Gregorio Del Pilar, Sugpon, Alilem and Sigay Ilocos Sur to be held on June 29 - 30, 2020</t>
  </si>
  <si>
    <t>Supply and Delivery of Agricultural Supplies as Extension Support to be distributed to the participants of Gule King Pamigulut-gulut, Enaka Lumawut, Ekapa Dumanup: Training on Backyard Vegetable Produ</t>
  </si>
  <si>
    <t>Radio Airtime for Education Advocacy and Radio Modality of Teaching Learning for Elementary and Secondary Learners</t>
  </si>
  <si>
    <t>Procurement of Battery (12 Volts 9 Plates) - SOYMPH</t>
  </si>
  <si>
    <t>REGULAR MAINTENANCE, PURCHASE AND REPLACEMENT OF DAMAGED SPARE PARTS FOR THE SJP-806</t>
  </si>
  <si>
    <t>Procurement of Eco Solvent Printer</t>
  </si>
  <si>
    <t>REPAIR AND MAINTENANCE OF VARIOUS AIRCONDITIONER</t>
  </si>
  <si>
    <t>REHABILITATION OF BARANGAY HEALTH CENTER, STA. MONICA</t>
  </si>
  <si>
    <t>Procurement of Various Catering Services, Venue &amp; Accommodation - Lot 1 - Catering Services - PVET</t>
  </si>
  <si>
    <t>Supply and Delivery of Agricultural Supplies as Extension Support for the conduct of Magaral at Matuto sa Organikong Paggugulayan under RBO</t>
  </si>
  <si>
    <t>Purchase of plumbing Supplies use for maintenance of water system</t>
  </si>
  <si>
    <t>CONSTRUCTION OF WATER PUMPING SYSTEM</t>
  </si>
  <si>
    <t>Construction/ Repair/ Rehabilitation/ Improvement of Various Infrastructure Including Local Projects - Rehabilitation of Multi-Purpose Hall, Baguio City</t>
  </si>
  <si>
    <t>Supply and Delivery of Various construction Materials</t>
  </si>
  <si>
    <t>Supply and Delivery of Hygiene Items to be used for the conduct of Activities, Training and Operation and Other Programs of the Center</t>
  </si>
  <si>
    <t>Mobile Two Wheel Ambulance</t>
  </si>
  <si>
    <t>Supplies and delivery of Information Technology of Mis. Occ. National High School - Junior High School</t>
  </si>
  <si>
    <t>Contract ID No. 20NC0127 - Construction of Multi-Purpose Building, Brgy. San Isidro, San Francisco, Agusan del Sur</t>
  </si>
  <si>
    <t>Procurement of One (1) Unit Motor Service Vehicle - PHSO</t>
  </si>
  <si>
    <t>Supply and Delivery of Piglets as Starter Kit for Back to Basics- Scientific and Sustainable Livestock Production Advocacy Seminar</t>
  </si>
  <si>
    <t>Construction/ Repair/ Rehabilitation/ Improvement of Various Infrastructure Including Local Projects – Rehabilitation of Road Teodora Alonzo, Baguio City</t>
  </si>
  <si>
    <t>Procurement of Various Catering Services, Venue &amp; Accommodation - Lot 2 - Venue - PVET</t>
  </si>
  <si>
    <t>Barangay Mascot</t>
  </si>
  <si>
    <t>Construction/ Repair/ Rehabilitation/ Improvement of Various Infrastructure Including Local Projects - Rehabilitation of Road at Purok 2 and 3, Brgy. Sta. Escolastica Village, Baguio City</t>
  </si>
  <si>
    <t>Supply and Delivery of Free-Range Chicken  as Starter Kit for Back to Basics- Scientific and Sustainable Livestock Production Advocacy Seminar</t>
  </si>
  <si>
    <t>Request for Quotation for the Supply and Delivery of various vegetable seeds</t>
  </si>
  <si>
    <t>Purchase of Various Seeds for Dispersal to Farmers in the Municipality of Santa Barbara</t>
  </si>
  <si>
    <t>Procurement of Various Catering Services, Venue &amp; Accommodation - Lot 3 - Accommodation - PVET</t>
  </si>
  <si>
    <t>Pag-IBIG Fund CHQ (SUPPLY AND DELIVERY OF  VARIOUS PREPAID CARDS)</t>
  </si>
  <si>
    <t>office supply</t>
  </si>
  <si>
    <t>3 Passenger E-Bike</t>
  </si>
  <si>
    <t>Gawad Parangal</t>
  </si>
  <si>
    <t>Procurement of Other Supplies &amp; Materials</t>
  </si>
  <si>
    <t>Local Infrastructure Program – Renovation of PFVR Building, Department of Education Division Office, Brgy. Military Cut Off, Baguio City, Benguet</t>
  </si>
  <si>
    <t>Office and Other Supplies</t>
  </si>
  <si>
    <t>Brigada Eskwela</t>
  </si>
  <si>
    <t>Improvement of Designated Excavation Center</t>
  </si>
  <si>
    <t>Fabrication of 4-Units Waste Management Segregation</t>
  </si>
  <si>
    <t>Iwas Dengue</t>
  </si>
  <si>
    <t>CONTINUATION OF IMPROVEMENT OF MULTI PURPOSE HALL</t>
  </si>
  <si>
    <t>CONSTRUCTION OF FLUE CURING BARN</t>
  </si>
  <si>
    <t>Supply and Delivery of one (1) unit Projector and one (1) unit Laser Printer</t>
  </si>
  <si>
    <t>Request for Quotation for the Supply and Delivery of various Garden Tools</t>
  </si>
  <si>
    <t>FUEL FOR ROAD REHABILITATION (NP)</t>
  </si>
  <si>
    <t>2020-05-0881 Two Times Preventive Maintenance of Mammography</t>
  </si>
  <si>
    <t>Procurement of solar street lamp</t>
  </si>
  <si>
    <t>PROCUREMENT OF EDUCATIONAL EQUIPMENT/SUPPORT INSTRUCTIONAL EQUIPMENT</t>
  </si>
  <si>
    <t>Procurement of Construction Materials for Temporary Learning Spaces for Mabunao ES, San Roque ES and Teofanis G. Gerona ES</t>
  </si>
  <si>
    <t>Purchase of electrical supplies at Barangay Banjo West, Tanauan City, Batangas</t>
  </si>
  <si>
    <t>SUPPLY AND DELIVERY OF MATERIALS - Improvement of Water System</t>
  </si>
  <si>
    <t>Purchase of 1 unit Printer at Barangay Banjo West, Tanauan City, Batangas</t>
  </si>
  <si>
    <t>SDRR EQUIPMENTS</t>
  </si>
  <si>
    <t>RE-BIDDING FOR THE PROCUREMENT OF VARIOUS OFFICE SUPPLIES</t>
  </si>
  <si>
    <t>Aircon</t>
  </si>
  <si>
    <t>Request for Quotation for the Supply and Delivery of various Garden Tools and Seeds</t>
  </si>
  <si>
    <t>PURCHASE OF MEDICINES AND MEDICAL SUPPLIES</t>
  </si>
  <si>
    <t>PROCUREMENT OF AIR CONDITIONING UNITS FOR SCHOOL OFFICES (ADMIN &amp; FACULTY ROOMS) - JUNIOR HIGH SCHOOL</t>
  </si>
  <si>
    <t>DISINFECTANTS</t>
  </si>
  <si>
    <t>Filing Cabinet</t>
  </si>
  <si>
    <t>20GD00003: PROVSION OF 14 SECURITY SERVICES AT DPWH REGIONAL OFFICE NO. IV-A, EDSA, QUEZON CITY FOR   SIX (6) MONTHS</t>
  </si>
  <si>
    <t>PURCHASE OF ELECTRICAL SUPPLIES  USE FOR BRGY. BULUA CAGAYAN DE ORO CITY.</t>
  </si>
  <si>
    <t>CONSTRUCTION OF MULTIPURPOSE HALL= TALOY SUR, TUBA, BENGUET</t>
  </si>
  <si>
    <t>ITDI-200004_REBID - SUPPLY OF LABOR AND MATERIALS FOR THE REPAIR OF AIRCONDITIONING UNITS</t>
  </si>
  <si>
    <t>2020-05-0882 Two Times Preventive Maintenance of Flouroscopy &amp; Radiography X-Ray Machine</t>
  </si>
  <si>
    <t>Supplies and Delivery of General Merchandise MOOE, BDF and BDRRMF (Electrical supplies, Clean and Green, Fabrication of covered canal, Other property, Plants and Equipment)</t>
  </si>
  <si>
    <t>20GMH047 - Supply/Delivery of Diesel Fuel and Engine Oil for use of service vehicle assigned at the Planning and Design Section, DPWH-Sultan Kudarat 2nd District Engineering Office</t>
  </si>
  <si>
    <t>REHAB.OF BULUA BRGY.WATER SYSTEM, Barangay Bulua,Cagayan de Oro City.</t>
  </si>
  <si>
    <t>20MH0085 - Concreting of Upper Balayan to Kinadao, Barangay Badiangon, Palimbang, Sultan Kudarat</t>
  </si>
  <si>
    <t>Request for Quotation for the Supply and Delivery of various tokens</t>
  </si>
  <si>
    <t>20GMH048 - Supply/Delivery of Diesel Tire and Battery for use of Service Vehicle assigned at the Planning and Design Section, DPWH-Sultan Kudarat 2nd District Engineering Office</t>
  </si>
  <si>
    <t>PROCUREMENT OF AIR CONDITIONING UNITS FOR SCHOOL OFFICES (ADMIN &amp; FACULTY ROOMS) - SENIOR HIGH SCHOOL</t>
  </si>
  <si>
    <t>Construction/Installation of 20 units Solar Pwer Streetlights</t>
  </si>
  <si>
    <t>Improvement of Barangay Road (FTMR) ( Tomyong 1 &amp; 2 Sts.)</t>
  </si>
  <si>
    <t>CONSTRUCTION OF SEBIT-CAUCALAN WATER WORKS SYSTEM (PHASE 2)</t>
  </si>
  <si>
    <t>IMPROVEMENT OF ACCESS ROAD LEADING TO SANITARY LANDFILL</t>
  </si>
  <si>
    <t>Procurement of Various Inks, Toners, Drum Kits for Printers</t>
  </si>
  <si>
    <t>20MH0103 - Concreting Local Road, Purok Narra, Brgy.Poblacion, Sultan Kudarat</t>
  </si>
  <si>
    <t>Improvement of Dance Studio/Fitness Sports Center</t>
  </si>
  <si>
    <t>Request for Quotation for the Supply and Delivery of various Animal Feeds</t>
  </si>
  <si>
    <t>Procurement of Laptop</t>
  </si>
  <si>
    <t>2nd  Quarter MOOE 2020 - April June 2020  Pontevedra South ES</t>
  </si>
  <si>
    <t>generator</t>
  </si>
  <si>
    <t>Request for Quotation for the Supply and Delivery of 60 Heads of Female Piglet</t>
  </si>
  <si>
    <t>Procurement of Various Supplies and Materials P.R. No. 604 - SAH</t>
  </si>
  <si>
    <t>Procurement of Various Construction Supplies and Materials P.R. No. 644 - SAH</t>
  </si>
  <si>
    <t>2nd Quarter MOOE 2020 - April-  June  2020  Pontevedra South ES</t>
  </si>
  <si>
    <t>Procurement of Materials for Live Streaming, Conferences and Online Meetings</t>
  </si>
  <si>
    <t>CONSTRUCTION OF BANIWAS RCDG BRIDGE AT BARANGAY CABARUYAN</t>
  </si>
  <si>
    <t>Request for Quotation for the Supply and Delivery of various Livestock animal</t>
  </si>
  <si>
    <t>2020-06-0949 Source Emission Testing for Generator Set  Two (2) Generator Set (630 KW) (Single Stack) and 400 KW (Twin Stack) Three (3) Runs for 3 Stacks</t>
  </si>
  <si>
    <t>BID BULLETIN 1 - ADDITIONAL SPECIFICATION FOR THE SUPPLY AND INSTALLATION OF STREET LIGHTS AT BISLIG CITY</t>
  </si>
  <si>
    <t>laptop computer</t>
  </si>
  <si>
    <t>Supply of Services for the Conduct of Various In-House Trainings/Courses, as per BSP Terms of References:</t>
  </si>
  <si>
    <t>IMPROVEMENT OF FARM TO MARKET ROAD AT PALINA BALINSAWANG</t>
  </si>
  <si>
    <t>Procurement of Corrugated Boxes</t>
  </si>
  <si>
    <t>Prepaide card</t>
  </si>
  <si>
    <t>PROCUREMENT OF VARIOUS INFRASTRUCTURE PROJECTS</t>
  </si>
  <si>
    <t>CONSTRUCTION OF SEAWALL WITH DRAINAGE CANAL &amp; EMBANKMENT</t>
  </si>
  <si>
    <t>2020-06-0653 PURCHASE AND DELIVERY OF SERVER FOR LISTAHANAN 3 (ICT EQUIPMENT)</t>
  </si>
  <si>
    <t>Request for Quotation for the Supply and Delivery of various Livestock animals</t>
  </si>
  <si>
    <t>Purchase of Supplies and Materials</t>
  </si>
  <si>
    <t>2nd Quarter MOOE 2020 - April - June 2020  Pontevedra South ES</t>
  </si>
  <si>
    <t>Request for Quotation for the Supply and Delivery of various Livestock Animals</t>
  </si>
  <si>
    <t>Request for Quotation for the Supply and Delivery of various ILivestock Animals</t>
  </si>
  <si>
    <t>Procurement of other supplies and materials</t>
  </si>
  <si>
    <t>Construction of Masonry Drainage Structure along Bassig Street (Simangan Alley)</t>
  </si>
  <si>
    <t>ROAD CONCRETING (NEAR MALABOG CREEK, HAMORAON)</t>
  </si>
  <si>
    <t>Procurement of Wireless Network</t>
  </si>
  <si>
    <t>Grocery food supplies</t>
  </si>
  <si>
    <t>Supply and Delivery of WYD Iodine Checker</t>
  </si>
  <si>
    <t>Procurement of Information Technology for Video Conferencing in Schools Division Office</t>
  </si>
  <si>
    <t>Supply and Delivery of Absolute Ethanol</t>
  </si>
  <si>
    <t>Procurement of Bond Paper</t>
  </si>
  <si>
    <t>Supply and Delivery of Dry Vitamin A Acetate and Riboflavin Fine Powder</t>
  </si>
  <si>
    <t>2nd Quarter MOOE 2020 - April- June 2020  Pontevedra South ES</t>
  </si>
  <si>
    <t>2020-06-0651 PURCHASE AND DELIVERY OF LISTAHANAN 3 SUPPLIES AND  CENTENARIAN SUPPLIES</t>
  </si>
  <si>
    <t>2020-05-0931 Supply of Patient Monitor Accessories BRD: MINDRAY IMEC 10</t>
  </si>
  <si>
    <t>2020-02-0397 Supply of Labor and Materials for Repair of King Long Medic Ambulance Plate No. SLF 466</t>
  </si>
  <si>
    <t>Invitation to Bid for the Purchase of  Brand New Motor Vehicle for the use of SB Office</t>
  </si>
  <si>
    <t>2nd Quarter MOOE  April - June  2020 of Pontevedra South ES</t>
  </si>
  <si>
    <t>Construction of Masonry Drainage Structure along Bassig Street (Bangayan Alley)</t>
  </si>
  <si>
    <t>For Annual Vaccination of Employees and  Personnel of DPWH  Quezon 1st District  Engineering Office, Lucban, Quezon</t>
  </si>
  <si>
    <t>REPAIR AND IMPROVEMENT OF PERIMETER FENCE,SEPARATOR WALL,MAIN GATE AND PEDESTRIAN GATE</t>
  </si>
  <si>
    <t>Procurement of Information Technology for Battery Power System for Firewall, Routers and Access-points</t>
  </si>
  <si>
    <t>Supply and Delivery of Heavy duty (HDPE) reusable 95kPa-Rated canisters</t>
  </si>
  <si>
    <t>Barangay 659-A C.O. "AIRCON, COMPUTER W COMPLETE ACC., MOVABLE TENT, TROMPA" / BDF "CLEAN &amp; BEAUTIFICATION" 2020</t>
  </si>
  <si>
    <t>Labor and Materials for the Upgrade of Local Area Network</t>
  </si>
  <si>
    <t>Preventive Maintenance of Hach DR2800 &amp; DR2400</t>
  </si>
  <si>
    <t>Supply and Delivery of Office device and Janitorial Consumables</t>
  </si>
  <si>
    <t>2020-06-0975 Rubber Tubing 1/4 x 1/8 x 50 ft, 100% rubber, hypoallergenic</t>
  </si>
  <si>
    <t>2nd  Quarter MOOE 2020 - April - June 2020  Pontevedra South ES</t>
  </si>
  <si>
    <t>2020-GOODS-034_Modernization of Information Technology and Network Communication Laboratory Facility of College of Computing Sciences</t>
  </si>
  <si>
    <t>INSTALLATION OF CCTV CAMERAS</t>
  </si>
  <si>
    <t>Purchase of IT Equipment</t>
  </si>
  <si>
    <t>Procurement of Process Black Ink</t>
  </si>
  <si>
    <t>Improvement of Multi-Purpose Hall, Purok Silangan, Barangay Ibabang Dupay, Lucena City</t>
  </si>
  <si>
    <t>PUBLIC ADDRESS SYSTEM REPAIR</t>
  </si>
  <si>
    <t>PR-2020-06-008</t>
  </si>
  <si>
    <t>2020-06-0968 C-Reactive Protein (CRP) 100 Test/ Kit</t>
  </si>
  <si>
    <t>Procurement of CTP Plate Gloss</t>
  </si>
  <si>
    <t>20BB0121 - Repair/Maintenance of DOJ Building Regional Trial Court (Bulwagan ng Katarungan) Centro, Aparri, Cagayan</t>
  </si>
  <si>
    <t>Invitation to Bid for the Improvement of School at Pagsanga-an Elementary School (Repair of Ceiling and Electrical Wiring in Library and Computer Room, Improvement of H.E. Room and Extension of School</t>
  </si>
  <si>
    <t>Supply and Delivery of Portable Hygrometer and Anenometer</t>
  </si>
  <si>
    <t>Procurement of Annual Subscription Renewal for the NWRB Managed Cloud Services and Web Hosting with Back-up Server and Maintenance</t>
  </si>
  <si>
    <t>Drilling of One (1) Production Well</t>
  </si>
  <si>
    <t>20BB0122 - 65x Bridge Repainting (with Steel Members) Piggatan Bridge @ K0525+831 along Cagayan Valley Road, Gattaran, Cagayan</t>
  </si>
  <si>
    <t>Purchase of Fuel, Oil and Lubricants for the 3rd Quarter</t>
  </si>
  <si>
    <t>20BB0123 - Repair/Maintenance of DPWH Building, DE &amp; ADE’s Office Building, Cagayan First District Engineering Office, Minanga, Aparri, Cagayan</t>
  </si>
  <si>
    <t>Office supplies,learning materials,reading materials,In-Service training materials, school sanitation supplies</t>
  </si>
  <si>
    <t>Invitation to Bid for the Improvement of School at Aganan-Ungka Elementary School (Elevation of Classroom, Canteen and Pathways)</t>
  </si>
  <si>
    <t>PROJECT # 20-039 - PROCUREMENT OF ICT EQUIPMENT FOR TEACHING AND LEARNING PURPOSES – CITY SCHOOL DIVISION OFFICE</t>
  </si>
  <si>
    <t>2020-GOODS-035_Upgrading of Engineering and Technology Laboratories of the Pangasinan State University</t>
  </si>
  <si>
    <t>Purchase of Meals and Snacks for Orientation on Livelihood Assistance Grant (LAG) Implementation</t>
  </si>
  <si>
    <t>PROJECT # 20-055 – PROCUREMENT OF RESPONSE / VEHICLE 4 WHEELER -LDRRMO</t>
  </si>
  <si>
    <t>Invitation to Bid for the Improvement of School at Pandac Elementary School (Extension of Covered Court, Roofing and Ceiling of Classrooms)</t>
  </si>
  <si>
    <t>PROJECT # 20-053 - PROCUREMENT OF CCTV CAMERA WITH TV MONITOR SYSTEM AND NETWORK INFRASTRUCTURE – CITY SCHOOL DIVISION OFFICE</t>
  </si>
  <si>
    <t>Construction of Footbridge at Brgy. Bularong, Margosatubig, ZDS.</t>
  </si>
  <si>
    <t>SOLAR POWER SYSTEM INSTALLATION</t>
  </si>
  <si>
    <t>Invitation to Bid for the Purchase of one (1) unit Fully Reconditioned Double Cab Fire Truck of the MDRRM Office</t>
  </si>
  <si>
    <t>Printing for Pre-Reading Assessment</t>
  </si>
  <si>
    <t>improvement of handwashing facilities, repair of footwalks,repair of drainage and EPP/TLE supplies</t>
  </si>
  <si>
    <t>Construction of Drainage/Open Canal, Purok Sariling Atin, Barangay Ibabang Dupay, Lucena City</t>
  </si>
  <si>
    <t>To support the procurement of services for the updating of two (2) ea Flight Management System (FMS) Navigational Data Base for use of NC-212i aircraft Nrs 2119 and 2120.</t>
  </si>
  <si>
    <t>PROJECT # 20-043 – PROCUREMENT OF MOTOR VEHICLE (RESCUE VEHICLE CUSTOMIZED PICK-UP) -LDRRMO</t>
  </si>
  <si>
    <t>Small Value Value Procurement for Heavy Duty Printer</t>
  </si>
  <si>
    <t>construction of drainage lined canal purok 4 and 6</t>
  </si>
  <si>
    <t>Procurement of Van Rental for Transportation Service of NCCA Employees</t>
  </si>
  <si>
    <t>medical supplies and thermal scanner</t>
  </si>
  <si>
    <t>SUPPLY AND DELIVERY OF MATERIALS FOR THE REGRAVELLING OF ROADS IN SITIOS CARLING, CADANGLAAN, AND PROPER</t>
  </si>
  <si>
    <t>PROJECT # 20-047 – PROCUREMENT OF DISASTER RESPONSE AND RESCUE EQUIPMENT - LDRRMO</t>
  </si>
  <si>
    <t>REPAIR, IMPROVEMENT, OF SCHOOL CLINIC, AND 3 (THREE) WATER &amp; SANITATION (WATSAN)</t>
  </si>
  <si>
    <t>PROJECT # 20-049 - SUPPLY AND DELIVERY OF OTHER SUPPLIES AND MATERIALS (PERSONAL PROTECTIVE GEAR/EQUIPMENT FOR RESPONDERS &amp; VOLUNTEERS) - DRRMO</t>
  </si>
  <si>
    <t>To support the procurement of 500 ea Washer Sealing NAS1523-3Y and 6 other L/I for use during the Phase Maintenance Inspection Intermediate (PMI) of UH-1D Nr 8230, 8330 and 8392 at 205THW</t>
  </si>
  <si>
    <t>Invitation to Bid for the Catering Services for Various Activities of the HRM Office and Mayor’s Office</t>
  </si>
  <si>
    <t>RFQ-SUPPLY &amp; DELIVERY OF VARIOUS FITTINGS</t>
  </si>
  <si>
    <t>PROJECT # 20-050 - PROCUREMENT OF DISASTER RESPONSE AND RESCUE EQUIPMENT (GENERATOR) - LDRRMO</t>
  </si>
  <si>
    <t>IT Equipment (for the use of City Budget Office)/CBO</t>
  </si>
  <si>
    <t>To support the procurement of Seventy (70) quarts Polyester Body Filler w/ Hardener and 17 other L/I for use in the 12th and 13th  PIP Inspection Scheduled Maintenance of C-130B aircraft Nr 4704.</t>
  </si>
  <si>
    <t>Invitation to Bid for the Purchase of Furniture and Fixtures for Mayor’s Office and MENR Office</t>
  </si>
  <si>
    <t>Procurement of Security Services (1 Year Contract)</t>
  </si>
  <si>
    <t>rfq</t>
  </si>
  <si>
    <t>SUPPLY AND DELIVERY OF VARIOUS MATERIALS FOR THE CONSTRUCTION OF ROOFING (MULTI-PURPOSE HALL EXPANSION)</t>
  </si>
  <si>
    <t>CATERING SERVICES AND ACCOMMODATION</t>
  </si>
  <si>
    <t>OFFICE &amp; OTHER SUPPLIES IN VIEW OF COVID-19 PANDEMIC</t>
  </si>
  <si>
    <t>To support the procurement of services for the updating of six (6) ea Global Positioning System (GPS) Navigational Data Base with PN: GPS-795 for use of C-130T aircraft Nrs 5011 and 5040.</t>
  </si>
  <si>
    <t>Motor Vehicle Maintenance - Mits. FB L300/SHG 273 (DepEd)</t>
  </si>
  <si>
    <t>Supply and Installation of Counter Desks, Cabinets and Drop Ceilings of Learning Resource Center</t>
  </si>
  <si>
    <t>Multi purpose vehicle(surplus)</t>
  </si>
  <si>
    <t>PROCUREMENT OF  FUEL FOR 3rd QUARTER OF 2020 , SAN ISIDRO, DAVAO ORIENTAL</t>
  </si>
  <si>
    <t>Supply and Delivery of PSHS-MRC's Smart Function Thermal Imaging Camera</t>
  </si>
  <si>
    <t>Supply and Delivery of various Agricultural Tools, Materials and Inputs for Extension Initiatives towards Marginalized Groups/Special Concern - Gen. Nakar, Quezon</t>
  </si>
  <si>
    <t>To support the procurement of 2 ea Connecting Link PN: 205-060-734-11 and 2 other L/I for use of Bell 412 nrs 36691 and 36693 assigned at 205THW.</t>
  </si>
  <si>
    <t>Purchase of One (1) unit Ambulance for MDRRM use</t>
  </si>
  <si>
    <t>PROJECT # 20-054 – PROCUREMENT OF K TO 12 LEARNING MATERIALS DEVELOPED BG LCCAD FOR DEPED - DRRMO</t>
  </si>
  <si>
    <t>SHS OFFICE &amp; OTHER SUPPLIES IN VIEW OF COVID-19 PANDEMIC</t>
  </si>
  <si>
    <t>NORCACES - Supplies for June 2020</t>
  </si>
  <si>
    <t>PROJECT # 20-071 - PROCUREMENT OF OFFICE EQUIPMENT 2ND QUARTER (VARIOUS OFFICES) - GSO</t>
  </si>
  <si>
    <t>CNH-0520-045</t>
  </si>
  <si>
    <t>Purchase of Two (2) units Rescue Vehicle for the use of Emergency response</t>
  </si>
  <si>
    <t>One (1) Lot – Subscription to e-Learning Program on Bankwide and Leadership &amp; Management (L&amp;M) Courseware, as per BSP Terms of Reference</t>
  </si>
  <si>
    <t>CONSTRUCTION OF SA-ONG COVERED DRAINAGE</t>
  </si>
  <si>
    <t>Supply and Delivery of various Agricultural Tools, Materials and Inputs for Adopt a Community - Community Garden</t>
  </si>
  <si>
    <t>PROJECT # 20-072 - PROCUREMENT OF OFFICE EQUIPMENT – CITY CIVIL REGISTRY OFFICE</t>
  </si>
  <si>
    <t>Supply &amp; Delivery of Office Supplies and Materials, BNS</t>
  </si>
  <si>
    <t>RFQ: PROVISION OF TRANSPORT SERVICE TO DENR MIMAROPA EMPLOYEES</t>
  </si>
  <si>
    <t>Supply &amp; Delivery of Vehicle Parts and Accessories, BNS</t>
  </si>
  <si>
    <t>RFQ-SUPPLY &amp; DELIVERY OF VARIOUS OFFICE SUPPLIES</t>
  </si>
  <si>
    <t>Purchase of Furniture and Fixtures for Office Use</t>
  </si>
  <si>
    <t>CONSTRUCTION OF PESKONG DRAINAGE</t>
  </si>
  <si>
    <t>Supply and Delivery of various Agricultural Inputs and Materials for Adopt a Community - Starter Kit</t>
  </si>
  <si>
    <t>RE-BID FOR PROJECT # 20-073 - PROCUREMENT OF ROBOTIC KITS - CITY SCHOOL DIVISION OFFICE</t>
  </si>
  <si>
    <t>Purchase of Business Plates</t>
  </si>
  <si>
    <t>Small Value Procurement OF 2 SETS 18X20 CANOPY</t>
  </si>
  <si>
    <t>SUPPLY AND DELIVERY OF VARIOUS MATERIALS FOR THE FABRICATION AND INSTALLATION OF 2 SETS HANGING FIBERGLASS BASKETBALL BOARD</t>
  </si>
  <si>
    <t>VARIOUS SUPPLIES AND MATERIALS FOR ANTI-VIRUS</t>
  </si>
  <si>
    <t>Supply and Delivery of One (1) unit Paper Shredder, Heavy Duty, as per BSP Technical Specifications and Terms and Conditions</t>
  </si>
  <si>
    <t>RE-BID FOR PROJECT # 20-062 - PROCUREMENT OF IT EQUIPMENT 2ND QUARTER NON-DBM (VARIOUS OFFICES) - GSO</t>
  </si>
  <si>
    <t>NBC-0620-170</t>
  </si>
  <si>
    <t>CONSTRUCTION OF SAFIANGON-CHALLOS FOOTBRIDGE</t>
  </si>
  <si>
    <t>Supply &amp; Delivery of Other Structures supplies and Materials, (HPN&amp;HSG)</t>
  </si>
  <si>
    <t>RE-BID FOR PROJECT # 20-070 - PROCUREMENT OF FURNITURE AND FIXTURES 2ND QUARTER (VARIOUS OFFICES) - GSO</t>
  </si>
  <si>
    <t>Purchase of Cameras and Accessories for the use of Mayor's Office (MIS)</t>
  </si>
  <si>
    <t>Installation of Basketball Goal/Ring with tempered glass board</t>
  </si>
  <si>
    <t>Supply and Delivery of various Training Supplies and Materials for the conduct of Training on Organic Green Corn Production with provision of starter kits - Gen. Aguinaldo, Cavite</t>
  </si>
  <si>
    <t>PROC of HARDWARE/SOFTWARE EQIPEMENTS FOR AUTOMATION OF PERMITS &amp; LICENSES (EASE OF DOIMG BUSINESS</t>
  </si>
  <si>
    <t>Re-Designing of the Official Website Template of the Municipality of Pavia</t>
  </si>
  <si>
    <t>Concreting of tire path at Digon, Margosatubig, ZDS.</t>
  </si>
  <si>
    <t>Purchase of Spareparts for the Maintenace of Municipal Vehicle (Toyota Hilux PO1650)</t>
  </si>
  <si>
    <t xml:space="preserve">To support the procurement of 15 ea Ball Bearing Assembly with PN: 14900079-4 and two (2) other L/I for the repair of two (2) units Fuel Quantity Indicator, one (1) unit Voltage Regulator and one (1) </t>
  </si>
  <si>
    <t>RFPQ - PROCUREMENT OF CONSTRUCTION MATERIALS AND SUPPLIES FOR CONSTRUCTION OF SPILLWAY (CONT.)</t>
  </si>
  <si>
    <t>Supply and Delivery of various Training Supplies and Materials for the conduct of Training on Organic Green Corn Production with provision of starter kits - Tiaong, Quezon</t>
  </si>
  <si>
    <t>Purchase of tires for the maintenance of heavy equipment (Dumptruck)</t>
  </si>
  <si>
    <t>Purchase of Toilet Bowls</t>
  </si>
  <si>
    <t>Supply &amp; Delivery of Other Supplies and Materials, (TNCC), HPN</t>
  </si>
  <si>
    <t xml:space="preserve">To support the procurement of 15 ea RF Power Transistor with PN: QSD2019-2 and two (2) other L/I for the repair of two (2) units VHF AM Aircraft Radio and two (2) units Dual Tach Indicator for use of </t>
  </si>
  <si>
    <t>Supply and Delivery of various Training Supplies and Materials for the conduct of Training on Organic Free Range Chicken Production with provision of starter kits - Pila, Laguna</t>
  </si>
  <si>
    <t>SUPPLY AND DELIVERY OF VARIOUS MATERIALS FOR THE FABRICATION AND INSTALLATION OF FIBERGLASS/BASKETBALL BOARD STAND (1 PAIR)</t>
  </si>
  <si>
    <t>Supply &amp; Delivery of Grocery Items, (O/N2), HPN</t>
  </si>
  <si>
    <t>Supply &amp; Delivery of Office Supplies and Materials, (O/N2), HPN</t>
  </si>
  <si>
    <t>Labor for the improvement of handwashing, repair of footwalk, repair of drainage and electrical connection</t>
  </si>
  <si>
    <t>Purchase of Materials for the Construction of Wooden Cabinet/shelves</t>
  </si>
  <si>
    <t>To support the procurement of five (5) ea Rubber Boot with PN: 204-076-410-1 and four (4) other L/I for use during Phase Maintenance of UH-1 Aircraft Nrs 8308, 305, and 853</t>
  </si>
  <si>
    <t>EMERGENCY PURCHASE OF APPLIANCE AND FURNITURE TO BE USED IN QUARANTINE FACILITY/TRIAGE DURING COVID-19 PANDEMIC</t>
  </si>
  <si>
    <t>Supply and Delivery of Commercial chicks and Inputs for the Training on Organic Free Range Chicken Production with provision of starter kits - Pila, Laguna</t>
  </si>
  <si>
    <t>Procurement of IT Equipment -SBO</t>
  </si>
  <si>
    <t>TPB-PR.2020.06.167 CAKES WITH DELIVERY SERVICES</t>
  </si>
  <si>
    <t>Supply and Delivery of Office Equipment Supplies</t>
  </si>
  <si>
    <t>EMERGENCY PURCHASE OF VACCINE FOR ANIMAL BITE TREATMENT CENTER</t>
  </si>
  <si>
    <t>Supply and Delivery of Various Supplies for Charter Day Celebration</t>
  </si>
  <si>
    <t>EMERGENCY PURCHASE OF FOLDING BEDS TO BE USED IN QUARANTINE AREA (MNHS-ALASASIN) DURING COVID-19 PANDEMIC</t>
  </si>
  <si>
    <t>Supplies June 2020 B2</t>
  </si>
  <si>
    <t>To support for the procurement of one (1) ea Starter Generator with PN: 205-075-443-5007 for use of UH-1D Nr 8478.</t>
  </si>
  <si>
    <t>Procurement of Office Supplies-MO</t>
  </si>
  <si>
    <t>Procurement of  ICT Equipment and Geotagging Devicefor the Protected Area Management and Biodiversity Unit</t>
  </si>
  <si>
    <t>Concreting of Road, Purok Sariling Atin, Barangay Ibabang Dupay, Lucena City</t>
  </si>
  <si>
    <t>Supplies June 2020 B1</t>
  </si>
  <si>
    <t>Provision of Food, Accommodation and function amenities for the conduct of Refresher Course for Farmers/AEWs and others (NextGen Project) - August 24 to 28, 2020</t>
  </si>
  <si>
    <t>SUPPLY AND DELIVERY OF CONSTRUCTION MATERIALS FOR THE CONSTRUCTION VARIOUS FACILITY IN TULUNAN NATIONAL HIGH SCHOOL, TULUNAN, COTABATO</t>
  </si>
  <si>
    <t>Purchase of Office Equipment for Office Use</t>
  </si>
  <si>
    <t>SUPPLY, DELIVERY AND INSTALLATION OF MATERIALS - CLOSED CIRCUIT TELEVISION [CCTV]</t>
  </si>
  <si>
    <t>Provision of Meals and Snacks for the conduct of Refresher Course for LFTs (Batch 1) - September 7 to 11, 2020</t>
  </si>
  <si>
    <t>Procurement of IT Equipment -MPDO</t>
  </si>
  <si>
    <t>CLUSTER 13: CLUSTERED PROJECTS OF BARANGAY SEBANG - 1</t>
  </si>
  <si>
    <t>Request for Price Quotation-School and Office Supplies</t>
  </si>
  <si>
    <t>Barangay 809 MOOE "PEACE &amp; ORDER, REFILL OF FIRE EXTINGUISHER" / BDF "CLEAN &amp; BEAUTIFICATION" / RRMF "MEGAPHONE, PUBLIC ADDRESS SYSTEM" 2020</t>
  </si>
  <si>
    <t>LABOR FOR CONSTRUCTION OF REBLOCKING OF BARANGAY ROAD</t>
  </si>
  <si>
    <t>Purchase of Materials for the Installation of Streetlights and Slope Protection for Creek</t>
  </si>
  <si>
    <t>Provision of Meals and Snacks for the conduct of 3 days Refresher Course for Farmers (Balayan, Batangas) - September 2020</t>
  </si>
  <si>
    <t>CLUSTER 14: CLUSTERED PROJECTS OF BARANGAY SEBANG - 2</t>
  </si>
  <si>
    <t>Provision of Meals and Snacks for the conduct of 3 days Refresher Course for Farmers (Tanay, Rizal) - September 2020</t>
  </si>
  <si>
    <t>PROCUREMENT OF THE CONSTRUCTION  OF DOH REGIONAL OFFICE VI BUILDING, PHASE 2 DOH-REGIONAL OFFICE VI BRGY. BOLONG OESTE, STA. BARBARA, ILOILO IB NO.2020-06-001I</t>
  </si>
  <si>
    <t>Supply and Delivery of meals, snacks, training supplies, materials and tarpaulin for the seminar-workshop on gender and development concepts, gender mainstreaming and gender analysis tools</t>
  </si>
  <si>
    <t>SUPPLY AND DELIVEYR OF MATERIALS - REBLOCKING OF BARANGAY ROAD</t>
  </si>
  <si>
    <t>EQUIPMENT RENTAL - CONCRETE MIXER</t>
  </si>
  <si>
    <t>REPAIR AND REHABILITATION OF SCHOOL ENTRANCE GATE</t>
  </si>
  <si>
    <t>2860-20 Construction of Convention Center, Phase 2, (Northern Quezon Auditorium), Brgy. Comon, Infanta, Quezon - PEO</t>
  </si>
  <si>
    <t>SUPPLY AND DELIVERY OF TWO (2) UNITS EXAMINATION TABLE WITH STIRRUPS</t>
  </si>
  <si>
    <t>100-2020-03-504 Supply and delivery of meals and snacks</t>
  </si>
  <si>
    <t>Purchase of One (1) unit Computer Server with Complete Accessories – MASSO</t>
  </si>
  <si>
    <t>Purchase of Hardware and Construction Supplies</t>
  </si>
  <si>
    <t>SUPPLY AND DELIVERY OF ONE (1) UNIT LED OR LIGHT</t>
  </si>
  <si>
    <t>100-2020-05-713 Supply and delivery of fron tire (11.2x24), tire tube (11.2x24), Rim front tire (11x2.24), etc.</t>
  </si>
  <si>
    <t>SUPPLY AND DELIVERY OF ONE (1) UNIT ANESTHESIA MACHINE</t>
  </si>
  <si>
    <t>100-2020-05-715 Supply and delivery of top down (motorcycle with stainless steel carrier)</t>
  </si>
  <si>
    <t>100-2020-02-390 Supply and delivery of ballpen (0.7, black, ordinary), ballpen (0.7, blue, ordinary), certificate holder, flash drive (32GB), ID holder, etc.</t>
  </si>
  <si>
    <t>100-2020-02-403 Supply and delivery of LED monitor 20", Bar chair, UPS 650VA, etc.</t>
  </si>
  <si>
    <t>100-2020-05-665 Supply and delivery of laptop computer, 3-in-1 printer, external hard drive, etc.</t>
  </si>
  <si>
    <t>100-2020-05-705 Supply and delivery of multivitamins syrup 120ml</t>
  </si>
  <si>
    <t>100-2020-05-669 Supply and delivery of rice, sardines, noodles, misua, etc.</t>
  </si>
  <si>
    <t>Quezon National High School Supplies and Other Materials</t>
  </si>
  <si>
    <t>IMPROVEMENT OF WATER SYSTEM</t>
  </si>
  <si>
    <t>20GEB0005-R1: Procurement/Supply/Delivery of Spare Parts for use in the Repair/Replacement of worn-out parts of various Service Vehicles in DPWH – Mindoro Occidental DEO (Construction Section)</t>
  </si>
  <si>
    <t>CONSTRUCTION OF WATER SYSTEM FOR DOMESTIC USE</t>
  </si>
  <si>
    <t>E-Konek mo Ako!</t>
  </si>
  <si>
    <t>8918-20-017) CONCRETING AND SIDEWALK IMPROVEMENT AT M. H. DEL PILAR ST, BURNHAM-LEGARDA C/O CEO</t>
  </si>
  <si>
    <t>RFQ for Construction Supplies and Materials</t>
  </si>
  <si>
    <t>IB Rebidding of Supply, Delivery &amp; Installation of Power Supply 3-Phase Line to Pozorrubio Musical Water Fountain at Public Plaza, Pozorrubio, Pangasinan</t>
  </si>
  <si>
    <t>RPT-20-0295-B DRUGS AND MEDICINES</t>
  </si>
  <si>
    <t xml:space="preserve">20GEB0032-R1: Procurement/Supply/Delivery of Multi-Function Printer/ Copier/Scanner Heavy Duty with one (1) unit Colored Printer/ Copier for use of DPWH-Mindoro Occidental DEO (Administrative Section </t>
  </si>
  <si>
    <t>RPT-20-0296-B MEDICAL SUPPLIES</t>
  </si>
  <si>
    <t>100-2020-05-657 Supply and delivery of foliar fertilizer, complete fertilizer, etc.</t>
  </si>
  <si>
    <t>20GEB0047-A-R1: Procurement/Supply/Delivery of Desktop Computer, Laptop Computer and IT Peripherals for use of DPWH – Mindoro Occidental DEO (Construction Section)</t>
  </si>
  <si>
    <t>20GEB0042-B-R1: Procurement/Supply/Delivery of Multi-Function Printer/ Copier/Scanner Heavy Duty with one (1) unit Colored Printer/ Copier for use of DPWH-Mindoro Occidental DEO (Office of the DE/ Pro</t>
  </si>
  <si>
    <t>20GEB0064-R1: Procurement/Supply/Delivery of Office Equipment Supplies and Consumables for use in DPWH – Mindoro Occidental DEO  (Administrative Section – Property Unit)</t>
  </si>
  <si>
    <t>20GEB0041-R1: Procurement/Supply/Delivery of Office Equipment Supplies and Consumables for use in DPWH – Mindoro Occidental DEO  (Office of the DE/ Procurement Unit)</t>
  </si>
  <si>
    <t>RPT-20-0401-B LABORATORY SUPPLIES</t>
  </si>
  <si>
    <t>RPT-20-0398-B LABORATORY SUPPLIES</t>
  </si>
  <si>
    <t>RPT-20-0400-B LABORATORY SUPPLIES</t>
  </si>
  <si>
    <t>RPT-20-0397-B LABORATORY SUPPLIES</t>
  </si>
  <si>
    <t>Supply and Delivery of Lot 3-17 units Palay Seed Cleaner under 2020 Rice Program</t>
  </si>
  <si>
    <t>RPT-20-0357-B DRUGS AND MEDICINES</t>
  </si>
  <si>
    <t>PRINTING &amp; PUBLICATION EXPENSE ( EBSO-PHP69,125.00)</t>
  </si>
  <si>
    <t>OFFICE SUPPLIES (ETDC-PHP 51,605.00)</t>
  </si>
  <si>
    <t>Supply and Delivery of Laptops for various Public Schools.</t>
  </si>
  <si>
    <t>RPT-20-0399-B LABORATORY SUPPLIES</t>
  </si>
  <si>
    <t>100-2020-05-666 Supply and delivery of battery 4D, clutch disc and battery 3SMF.</t>
  </si>
  <si>
    <t>Proposed Asphalt overlay at Brgy. Sta. Ana, San Pablo City.</t>
  </si>
  <si>
    <t>RPT-20-0429-B LABORATORY SUPPLIES</t>
  </si>
  <si>
    <t>SUPPLY OF DIESOLINE AND SPL GAS FOR THE CONSUMPTION OF THE DIFFERENT VEHICLE/OFFICES OF LGU-MOLAVE, ZDS</t>
  </si>
  <si>
    <t>RPT-20-0431-B LABORATORY SUPPLIES</t>
  </si>
  <si>
    <t>R&amp;M Disaster Response &amp; Rescue Equip (OJ8-PHP57,000.00)</t>
  </si>
  <si>
    <t>PROCUREMENT OF 1 LOT INFORMATION TECHNOLOGY PARTS AND ACCESSORIES-COMPUTER SYSTEM</t>
  </si>
  <si>
    <t>SEMI-EXPENDABLE ICT EQUIPMENT (ODCOP-PHP58,500.00)</t>
  </si>
  <si>
    <t>Other Supplies &amp; Materials Expenses (OTSG-PHP59,884.00)</t>
  </si>
  <si>
    <t>PROCUREMENT OF 3 LOTS CATERING SERVICES</t>
  </si>
  <si>
    <t>Flat Latex</t>
  </si>
  <si>
    <t>PROCUREMENT OF 5 LOTS FUEL, OIL, AND LUBRICANTS</t>
  </si>
  <si>
    <t>PROCUREMENT OF 2 LOTS VEHICLE PARTS AND ACCESSORIES</t>
  </si>
  <si>
    <t>Supply &amp; delivery of (Lot 2) Eighty Five (85) bags Conventional Hybrid Yellow Corn Seeds for implementation under 2020 SAAD</t>
  </si>
  <si>
    <t>Procurement of Supply and Delivery of Nine (9) units Rice Combine Harvester (Rebid)</t>
  </si>
  <si>
    <t>Security Services for CTU Tuburan Campus</t>
  </si>
  <si>
    <t>Repair and Maintenance of Various Service Vehicles of Provincial Government of Tarlac</t>
  </si>
  <si>
    <t>Concreting &amp; Drainage Rehabilitation of J.M. Ceniza St., Looc, Mandaue City (21-2020)</t>
  </si>
  <si>
    <t>Repair and Maintenance of Various Service Vehicles of PGT</t>
  </si>
  <si>
    <t>OFFICE SUPPLIES-ISAFP-(PHP198,135.00)</t>
  </si>
  <si>
    <t>REPAIR AND REHABILITATION OF ROAD  AT SUGUIDAN NORTE-NAGSIDORISAN-AMBARACAO NORTE , NAGUILIAN, LA UNION.</t>
  </si>
  <si>
    <t>Procurement of Various Tires for the repair and maintenance of various trucks and Heavy Equipments used at the Provincial Equipment Pool Office</t>
  </si>
  <si>
    <t>Repair and Maintenance of Aircon services of (3) units Toyota Avanza/Innova with plate no. SKX 520, SJL 512, SJ: 584 and (1) unit Hyundai Grand Starex with plate no. SKM 221</t>
  </si>
  <si>
    <t>8918-20-157) CONTINUATION OF ROAD AT COMICHOS RESIDENCE TO MOLINTAS RESIDENCE AT PACDAL C/O CEO</t>
  </si>
  <si>
    <t>Delivery of various materials for the construction of Handwhshing at Banaoang, Sta. Barbara,Pangasinan</t>
  </si>
  <si>
    <t>CY 2020 Quick Response Fund (QRF) Repair and Rehabilitation of School Building – Lot 1 – Repair and Rehabilitation of  Classrooms at Buruanga Elementary School, Buruanga, Aklan and Din-ut Elementary S</t>
  </si>
  <si>
    <t>Construction Projects - Completion of Health Center - Itum, Duero, Bohol</t>
  </si>
  <si>
    <t>8918-20-155) CONSTRUCTION OF CANAL FROM LITENG SCHOOL GOING TO DONGAAS RESIDENCE AT PACDAL C/O CEO</t>
  </si>
  <si>
    <t>8918-20-194) CONCRETING OF SPILLWAY CANAL AT PUROK 6, UPPER DAGSIAN C/O CEO</t>
  </si>
  <si>
    <t>8918-20-145/8918-20-144/8918-20-141/8918-20-146/8918-20-142/8918-20-147) A. INSTALLATION OF HAND RAILINGS ALONG THE PATHWAY FROM MASLAS RESIDENCE AT LOWER PUROK 3, B.  DRAINAGE CANAL, C. CONCRETING OF</t>
  </si>
  <si>
    <t>8918-20-154) CONSTRUCTION OF BOX CULVERT AT REGIDOR FRONTING DANGAWEN'S RESIDENCE TO COEDNO'S RESIDENCE AT PACDAL C/O CEO</t>
  </si>
  <si>
    <t>Construction Projects - Improvement of Multi-Purpose Building - Taytay, Duero, Bohol</t>
  </si>
  <si>
    <t>Supply and delivery of KITCHEN UTENSILS AND OTHER SUPPLIES</t>
  </si>
  <si>
    <t>SDH-20-0273-B OFFICE SUPPLIES</t>
  </si>
  <si>
    <t>Construction Projects - Completion of Flood Control - Guinsularan, Duero, Bohol</t>
  </si>
  <si>
    <t>Supply and Delivery of Non-Accountable Forms, Waterworks Section, San Jose, Batangas</t>
  </si>
  <si>
    <t>Supply and delivery of 10 heads Native Chicken male 1-2 kg./head and other items</t>
  </si>
  <si>
    <t>Supply of Water Supplies and Materials for the Repair of the Balilihan Waterworks System</t>
  </si>
  <si>
    <t>Purchase of motorcycle</t>
  </si>
  <si>
    <t>Purchase of 2 Computer Units and 1 Computer Printer</t>
  </si>
  <si>
    <t>SDH-20-0363-B DRUGS AND MEDICINES</t>
  </si>
  <si>
    <t>SDH-20-0446-B LABORATORY SUPPLIES</t>
  </si>
  <si>
    <t>Construction Projects - Completion of Multi-Purpose Building - Alejawan, Duero, Bohol</t>
  </si>
  <si>
    <t>SDH-20-0395-B HOUSEKEEPING SUPPLIES</t>
  </si>
  <si>
    <t>SDH-20-0362-B DRUGS AND MEDICINES</t>
  </si>
  <si>
    <t>Improvement of Women's Training Center</t>
  </si>
  <si>
    <t>SDH-20-0444-B LABORATORY SUPPLIES</t>
  </si>
  <si>
    <t>SDH-20-0445-B LABORATORY SUPPLIES</t>
  </si>
  <si>
    <t>AGR-20-0668-B Purchase of Water Supply Accessories</t>
  </si>
  <si>
    <t>Repair and Maintenance of ICTE, Office of the Municipal Civil Registrar, San Jose, Batangas</t>
  </si>
  <si>
    <t>Construction Projects - Agri and Fishery Terminal - Taytay, Duero, Bohol</t>
  </si>
  <si>
    <t>Construction Projects - Completion of Multi-Purpose Building - Mawi, Duero, Bohol</t>
  </si>
  <si>
    <t>REHAB./RESTORATION OF ARTC GREENHOUSE INSTALLATION OF NET COVER AND DRIP IRRIGATION (INST. OF NET COVER) Located at Prov’l. Nursery, Magsaysay, Bay., Nueva Vizcaya</t>
  </si>
  <si>
    <t>Procurement of VTS Server</t>
  </si>
  <si>
    <t>Office Supplies for  Mayor's Office</t>
  </si>
  <si>
    <t>SDH-20-0449-B LABORATORY SUPPLIES</t>
  </si>
  <si>
    <t>REHAB./RESTORATION OF ARTC GREENHOUSE INSTALLATION OF NET COVER AND DRIP IRRIGATION (INST. OF DRIP IRRIGATION SYSTEM) Located at Prov’l. Nursery, Magsaysay, Bay., Nueva Vizcaya</t>
  </si>
  <si>
    <t>SDH-20-0441-B MEDICAL SUPPLIES</t>
  </si>
  <si>
    <t>REHAB./RESTORATION OF ARTC GREENHOUSE INSTALLATION OF NET COVER AND DRIP IRRIGATION (INST. OF SOLAR PUMP IRRIGATION SYSTEM) Located at Prov’l. Nursery, Magsaysay, Bay., Nueva Vizcaya</t>
  </si>
  <si>
    <t>Construction Projects - Completion of Road Concreting Leading To Municipal Cemetery - Mawi, Duero, Bohol</t>
  </si>
  <si>
    <t>Purchase of 12 Units Jetmatic Pump</t>
  </si>
  <si>
    <t>Supply of Water Supplies and Materials for the Repair of the Balilihan Waterworks System Bugwak to Boyog Norte Pumping Station</t>
  </si>
  <si>
    <t>2nd Invitation to Bid for the  CONSTRUCTION OF PANIKI UPPER TALLA, CORDON CIS Located at Cordon, Kasibu, Nueva Vizcaya</t>
  </si>
  <si>
    <t>Construction Projects - Completion of Road Concreting Leading to Lord of Pardon Hill - San Pedro, Duero, Bohol</t>
  </si>
  <si>
    <t>2nd Invitation to Bid for the  CONSTRUCTION OF UBUN-PAPAYA-DOMANG CIS Located at Kasibu, Nueva Vizcaya</t>
  </si>
  <si>
    <t>Procurement of Boiler with Complete Boiler Test and Steam or Gas Fueled Jacketed Kettle (ABC: PhP2,750,000.00, QTY: 3)</t>
  </si>
  <si>
    <t>Installation of Sliding Glass Doors and Windows at the Municipal Agriculture Office Building, San Isidro St., Brgy. Sta. Cruz, Palo, Leyte  JR No. 20-06-111</t>
  </si>
  <si>
    <t>2nd Invitation to Bid for the  CONSTRUCTION OF NAMANGEGAN ALLOY CIS PHASE III Located at Kasibu, Nueva Vizcaya</t>
  </si>
  <si>
    <t>Construction of Teen Activity Center at Poblacion, Nabunturan, Davao de Oro</t>
  </si>
  <si>
    <t>FLOOD LIGHTS FOR INSTALLATION AT FIESTAMALL PERIMETER FENCE</t>
  </si>
  <si>
    <t>EXTENSION OF NVPH SLOPE PROTECTION Located at Almaguer North, Bambang, Nueva Vizcaya</t>
  </si>
  <si>
    <t>REHAB./RESTORATION OF ARTC GREENHOUSE INSTALLATION OF NET COVER AND DRIP IRRIGATION (CONST. OF ELEVATED CONC. WATER TANK) Located at Prov’l. Nursery, Magsaysay, Bay., Nueva Vizcaya</t>
  </si>
  <si>
    <t>Procurement of auto supplies</t>
  </si>
  <si>
    <t>SDH-20-0448-B LABORATORY SUPPLIES</t>
  </si>
  <si>
    <t>P.R. # 20-0043 (Rebid) - Supply &amp; delivery of Chemical Detergent for use in various washing/cleaning of vehicle engine and equipment spareparts/repair works at TOEMD and this office.</t>
  </si>
  <si>
    <t>Procurement of UPS battery</t>
  </si>
  <si>
    <t>Procurement of Various Equipment for The Upgrading of RSU-Sta. Fe Seaweed Postharvest and Processing Center (ABC: PhP2,250,000.00, QTY: 12)</t>
  </si>
  <si>
    <t>20GBD0025 - PURCHASE OF CONSTRUCTION MATERIALS FOR USE IN THE REPAIR/REPLACEMENT OF DAMAGE DRAINAGE  CONCRETE CANAL COVERS ALONG NATIONAL ROADS WITHIN THE DISTRICT</t>
  </si>
  <si>
    <t>PF-0320-237</t>
  </si>
  <si>
    <t>CAN - Various Sports Uniform and Supplies UDM PR No. 319</t>
  </si>
  <si>
    <t>SDH-20-0443-B OFFICE SUPPLIES</t>
  </si>
  <si>
    <t>Procurement of alcohol, disinfectant solution &amp; face mask</t>
  </si>
  <si>
    <t>Procurement of Supply and Delivery of Eight (8) units Rice Transplanter (Ride-on) Rebid</t>
  </si>
  <si>
    <t>Procurement of CF281A Toner</t>
  </si>
  <si>
    <t>SDH-20-0447-B LABORATORY SUPPLIES</t>
  </si>
  <si>
    <t>Publication/Advertisement of Ordinance, Office of the Secretary to the Sangguniang Bayan, San Jose, Batangas</t>
  </si>
  <si>
    <t>SDH-20-0442-B MEDICAL SUPPLIES</t>
  </si>
  <si>
    <t>Procurement of Car Dashboard Camera</t>
  </si>
  <si>
    <t>Procurement of fire extinguisher and refill</t>
  </si>
  <si>
    <t>Supply &amp; Delivery of 6 Sets Workstation 2 person w/o mobile &amp; Other items</t>
  </si>
  <si>
    <t>AGR-19-1448-B  Construction of Crab Hatchery</t>
  </si>
  <si>
    <t>Supply and Delivery of Grocery Items (PMC)</t>
  </si>
  <si>
    <t>Purchase of Office Supplies/Equipment for use at the DepEd-Antequera District Office</t>
  </si>
  <si>
    <t>REPAIR OF BARANGAY SERVICE VEHICLE @ BRGY. SOLO, MABINI, BATANGAS</t>
  </si>
  <si>
    <t>Publication of Provincial Ordinances for Information Dissemination to Davao Oriental Constituents</t>
  </si>
  <si>
    <t>PACKAGE I- CONSTRUCTION  &amp; RIPRAPPING OF BARANGAY ROAD  @ SITIO HULO WEST, RIPRAPPING OF BARANGAY ROAD AT SITIO LOOBAN, BRGY. SOLO, MABINI, BATANGAS&amp;</t>
  </si>
  <si>
    <t>Construction of Rainwater Collection System for the Island of Banton, Romblon</t>
  </si>
  <si>
    <t>PROCUREMENT OF SPRAY PAINT FOR SSEN</t>
  </si>
  <si>
    <t>Procurement of Sound system</t>
  </si>
  <si>
    <t>FOR ENHANCEMENT OF CACAO PRODUCTION THRU PROVISION OF ACCREDITED VARIETY OF CACAO GRAFTED PLANTING MATERIALS AND FERTILIZER SUBSIDY</t>
  </si>
  <si>
    <t>Procurement of Events Equipment &amp; Information Desk</t>
  </si>
  <si>
    <t>Rebidding of Concreting of Barangay Road at Brgy. Bignay 1, Sitio Aplaya, Sariaya, Quezon</t>
  </si>
  <si>
    <t>Construction of Rainwater Collection System for the Island of Sibuyan and Romblon, Romblon</t>
  </si>
  <si>
    <t>r/m various mun.l roads mun of miagao (new payloader) july 1-31, 2020</t>
  </si>
  <si>
    <t>FOR ENHANCEMENT OF CACAO PRODUCTION THRU PROVISION OF ACCREDITED VARIETY OF CACAO</t>
  </si>
  <si>
    <t>Procurement of Furniture</t>
  </si>
  <si>
    <t>Rebidding of Concreting of Barangay Road @Brgy Bucal, Sariaya, Quezon</t>
  </si>
  <si>
    <t>Construction of Rainwater Collection System for the  Island of San Jose, Romblon</t>
  </si>
  <si>
    <t>Procurement of Appliances</t>
  </si>
  <si>
    <t>CONSTRUCTION OF CONCRETE CANAL</t>
  </si>
  <si>
    <t>Rebidding of Concreting of Barangay Road @Brgy Lutucan Malabag, Sitio Lagnas, Sariaya, Quezon</t>
  </si>
  <si>
    <t>Construction of Rainwater Collection System for the  Island of Tablas, Romblon</t>
  </si>
  <si>
    <t>Rebidding of Concreting of Barangay Road @Brgy Mamala 2, Sariaya Quezon</t>
  </si>
  <si>
    <t>Repair &amp; Maintenance - Motor Vehicle (OTCN-PhP78,397.00)</t>
  </si>
  <si>
    <t>Medals as per request of different Schools and Organizations for their Various Activities in this Municipality of Santa Cruz laguna</t>
  </si>
  <si>
    <t>Repair &amp; Maintenance of Buildings (EBSO-PhP93,393.00)</t>
  </si>
  <si>
    <t>PURCHASE OF MEDICAL EQUIPMENT - PWD's</t>
  </si>
  <si>
    <t>Other Supplies &amp; Materials Expenses (AFPRC-PHP55,805.00)</t>
  </si>
  <si>
    <t>Food for Work</t>
  </si>
  <si>
    <t>Repair &amp; Maintenance of Other Structure (EBSO-PhP150,000.00)</t>
  </si>
  <si>
    <t>Stockpiling Commodities</t>
  </si>
  <si>
    <t>Supplemental Feeding</t>
  </si>
  <si>
    <t>PROCUREMENT OF REPAIR AND MAINTENANCE EQUIPMENT</t>
  </si>
  <si>
    <t>Purchase of Office &amp; Janitorial Supplies for the LGU</t>
  </si>
  <si>
    <t>Procurement of PPEs (Protective Face Mask)</t>
  </si>
  <si>
    <t>20GJC0193 – 8 units Desktop Computer etc.</t>
  </si>
  <si>
    <t>20GJC0191 – 100 liters UD Diesel Engine Oil Mega Multi 3 SAE 15W-40 etc.</t>
  </si>
  <si>
    <t>Supply and Installation of Air-Conditioning Units of Rural Health Unit</t>
  </si>
  <si>
    <t>PROCUREMENT OF 5 GALS PURIFIED DRINKING WATER FOR CF-ILOILO</t>
  </si>
  <si>
    <t>20GJC0190 – 2 pcs. Oil Filter 3831236 etc.</t>
  </si>
  <si>
    <t>Meals and Snacks at SB Office</t>
  </si>
  <si>
    <t>Construction of Multi-Purpose Pavement</t>
  </si>
  <si>
    <t>20GJC0192 – 1 unit Laptop.</t>
  </si>
  <si>
    <t>Procurement of Dressed chicken and Pork meat for the MMSU-Food Service Operation</t>
  </si>
  <si>
    <t>Supply and delivery of 500 bags Granular Urea to be used in the Cassava Model Farm for CY 2020</t>
  </si>
  <si>
    <t>Supply and delivery of various agricultural inputs to be used in the Sorghum Technology Demonstration</t>
  </si>
  <si>
    <t>Supply and delivery of 2 units Mobile Electric Weighing Scale for Smal Ruminant and 1 unit Electric Weighing Scale with Cattle Squeezer to be used in monitoring and assessment of breeder stocks produc</t>
  </si>
  <si>
    <t>Purchase of Materials for the Repair of Municipal Dump Truck Compactor SKD 923 Gumaca, Quezon</t>
  </si>
  <si>
    <t>SUPPLY, DELIVERY, INSTALLATION AND COMMISSIONING OF ONE (1) UNIT ENT-HNS DIGITAL VIDEO STROBOSCOPE</t>
  </si>
  <si>
    <t>INFORMATION TECHNOLOGY</t>
  </si>
  <si>
    <t>Supply and delivery of various vehicle parts and accessories for the RP vehicle SJB-258 under HVCDP</t>
  </si>
  <si>
    <t>Supply and delivery of 500 bags Granular Complete Fertilizer to be used by OPV white corn farmers, as package with the existing project on regular seed distribution for CY 2020</t>
  </si>
  <si>
    <t>Supply of Labor and Materials for the Installation of New Cooling Coils for Air Handling Units at NAIA Terminal 3</t>
  </si>
  <si>
    <t>SUPPLY OF ONE (1) UNIT PORTABLE GENERATOR AND TWO (2) UNITS PORTABLE AIRCON under PR No. KMT-2003-005B and ITB No. 2005-025-04R</t>
  </si>
  <si>
    <t>Airconditioning and Airconditioning System</t>
  </si>
  <si>
    <t>FUELS/FUEL ADDITIVES &amp; LUBRICANT &amp; ANTI-CORROSIVE</t>
  </si>
  <si>
    <t>Procurement of IT Equipment for Various Offices</t>
  </si>
  <si>
    <t>Procurement of Laboratory Supplies and Equipment (1 unit Bio-Refrigerator, etc.)</t>
  </si>
  <si>
    <t>Supply and delivery of 501 reams Bond Paper (Legal) to be used in masterlisting of farmer beneficiary of the Rice Resiliency Project</t>
  </si>
  <si>
    <t>ITB - Supply and Delivery of Laboratory Supplies for CY 2020 (Supplemental)</t>
  </si>
  <si>
    <t>P.R. # 20-0041 (Rebid) - Supply &amp; delivery of Concrete Cutter to be used by the Water Service Connection Installation Section (WSCIS) of the Customer Service Division.</t>
  </si>
  <si>
    <t>Supply and Delivery of DPD1 Tablets Palintest Free Chlorine and DPD Free Chlorine Reagent Powder Pillows</t>
  </si>
  <si>
    <t>Hiring of one (1) Research Assistant I for 3 months to assist in the Community-Based Participatory Action Research on Breeder Goat Production</t>
  </si>
  <si>
    <t>Installation of Ten (10) Units of Streetlights at RHU Compound, Brgy. Halang, Naic, Cavite</t>
  </si>
  <si>
    <t>Job Order: Labor and Materials for the repair of Airconditioning Units located at Livestock Banner Program, Feed Laboratory and BAC Secretariat Office</t>
  </si>
  <si>
    <t>REHABILITATION OF MULTI-PURPOSE BUILDING - CAMINDOROAN - SAN  JUAN, ILOCOS SUR</t>
  </si>
  <si>
    <t>VEHICLE REPAIR AND MAINTENANCE</t>
  </si>
  <si>
    <t>Re-Bidding for the Supply &amp; Delivery of Medical Supplies for MDRRMO use</t>
  </si>
  <si>
    <t>BLGU-ANIBONGON-01-2020 CONSTRUCTION OF TWO-STOREY EVACUATION CENTER PHASE III BRGY. ANIBONGON ABUYOG, LEYTE</t>
  </si>
  <si>
    <t>Replacement of Server UPS Batteries and annual replacement of PABX and CCTV Batteries</t>
  </si>
  <si>
    <t>Procurement of Switch Hub, Router, Access Point and Web Camera</t>
  </si>
  <si>
    <t>Construction of MRF Material Recovery Facilities</t>
  </si>
  <si>
    <t>SUPPLY &amp; DELIVERY OF VARIOUS MATERIALS(DAY TO DAY MAINT.) of VIGA DPP</t>
  </si>
  <si>
    <t>Supply and Delivery of 165 m.t. Bituminous Concrete Surface Course (FD-Sandmix) 416 m.t. Bituminous Concrete  Surface Course (FD) to be used in the repair  and maintenance of various national roads in</t>
  </si>
  <si>
    <t>CONSTRUCTION PROJECT (LOCAL ACCESS ROADS, SO. LAKE DANAO, BGY. POBLACION, TAYTAY, PALAWAN)</t>
  </si>
  <si>
    <t>CONTRACT ID : 20GLF0031 - PROCUREMENT OF OFFICE SUPPLIES/CONSUMABLES FOR USE IN THE MAINTENANCE SECTION DPWH DAVAO ORIENTAL FIRST DEO, BAGANGA, DAVAO ORIENTAL (FOR 3RD QUARTER CY-2020) WITH PR NO.  20</t>
  </si>
  <si>
    <t>IB No. 2020-221 PROCUREMENT OF BEDAQUILINE FUMARATE</t>
  </si>
  <si>
    <t>20BF0060: Construction of Rainwater Collection System (RWCS)</t>
  </si>
  <si>
    <t>Repair &amp; Maintenance of Aircondition (PR No. 100-2020-0130, 0132, 0289, 0570, 0581, 0711, 0713 &amp; 0826) - Various Offices</t>
  </si>
  <si>
    <t>2020-06-665</t>
  </si>
  <si>
    <t>LGU-AL-28-2020 REHABILITATION/IMPROVEMENT OF BARANGAY ROAD BRGY. MATAGNAO ABUYOG, LEYTE</t>
  </si>
  <si>
    <t>SUPPLY &amp; DELIVERY OF VARIOUS MATERIALS OF CATANDUANES SS &amp; 69KVTL</t>
  </si>
  <si>
    <t>16 Units UPS (PR No. 100-2020-0634, 0723 &amp; 0761) - PEO &amp; PACCO</t>
  </si>
  <si>
    <t>REPAIR/REWINDING OF VARIOUS MOTORS OF MARINAWA DPP</t>
  </si>
  <si>
    <t>Equipment to be used for the TESDA Operation (CORE I-Install and Configure Computer System &amp; Core II - Set Up Computer Network)</t>
  </si>
  <si>
    <t>R.I.S. No.: 20-93-017 MEDICAL EQUIPMENTS</t>
  </si>
  <si>
    <t>Drugs &amp; Medicines (PR No. 100-2020-0588 &amp; 0695) - BJMP &amp; ADH</t>
  </si>
  <si>
    <t>SUPPLY &amp; DELIVERY OF VARIOUS MATERIALS OF BURIAS MINI GRID</t>
  </si>
  <si>
    <t>Purchase of various Office Supplies</t>
  </si>
  <si>
    <t>Purchase of various Equipment</t>
  </si>
  <si>
    <t>20% BDF &amp; RRMF 2020</t>
  </si>
  <si>
    <t>Delivery of various ICT Equipment needed for various offices (Consolidated) (ITB 20-072)</t>
  </si>
  <si>
    <t>Construction of Access Road From Brgy. Poblacion to Brgy. Guadalupe</t>
  </si>
  <si>
    <t>1 Unit Floor Mounted Aircon (PR No. 100-2020-0730) - PPDO</t>
  </si>
  <si>
    <t>Commercial Rice &amp; Sardines (PR No. 100-2020-0662, 0785 &amp; 0786) - BJMP</t>
  </si>
  <si>
    <t>1 Unit Risograph Machine Photocopier (PR No.100-2020-0725) - PEO</t>
  </si>
  <si>
    <t>LPG Refill (50kgs &amp; 11kg) (PR No. 100-2020-0683, 0750a-b &amp; 0810) - WCPMH, OMH &amp; ZSPH</t>
  </si>
  <si>
    <t>Supply and Delivery of Thermoplastic Paint to be used in Lane Markings in Various national roads in Quezon City (Dist. III &amp; IV)</t>
  </si>
  <si>
    <t>14 Units Printer (PR No. 100-2020-0714, 0716 &amp; 0760) - PEO &amp; PACCO</t>
  </si>
  <si>
    <t>Completion of Brgy. Guadalupe Health Station</t>
  </si>
  <si>
    <t>Other Supplies &amp; Materials Expenses (OTSM-PHP59,373.00)</t>
  </si>
  <si>
    <t>LGU-AL-29-2020 CONSTRUCTION OF EVACUATION CENTER PHASE II BRGY. KIKILO ABUYOG, LEYTE</t>
  </si>
  <si>
    <t>1 Unit Motorcycle (PR No. 100-2020-0707) - BM Rillera</t>
  </si>
  <si>
    <t>Assorted Tires, Batteries, Oil and Fuel Filter, and Other Supplies and Materials for the Maintenance of Vehicles (PR No. 100-2020-0733a-b) - PGO</t>
  </si>
  <si>
    <t>Purchase of CCTV Camera</t>
  </si>
  <si>
    <t>Barangay Office Supplies and Devices</t>
  </si>
  <si>
    <t>REHABILITATION OF SOLAR DRYER</t>
  </si>
  <si>
    <t>Purchase of other Supplies and Materials</t>
  </si>
  <si>
    <t>Semi Expendable Machinery &amp; Equip-Furniture &amp; Fixture-OSPS-PhP156,000.00)</t>
  </si>
  <si>
    <t>Agricultural Supplies (PR No.100-2020-0770) - OPAG</t>
  </si>
  <si>
    <t>CALIBRATION OF INJECTION PUMP</t>
  </si>
  <si>
    <t>To be used at the SB Office.</t>
  </si>
  <si>
    <t>Supply and Delivery of Hardware and Construction Supplies (PR 20-06-0243)</t>
  </si>
  <si>
    <t>Supply and Delivery of Disinfect Solution for City Government of Tarlac use</t>
  </si>
  <si>
    <t>Brass Cutter (PR No. 100-2020-0766) - PGO</t>
  </si>
  <si>
    <t>CONTRACT ID: 20-06-085 - PROCUREMENT OF POLYETHYLENE NET / SCREEN</t>
  </si>
  <si>
    <t>2020-03-0091-Supply and Delivery of ICT &amp; Office Equipment, Supplies and Consumables</t>
  </si>
  <si>
    <t>Purchase and installation of CCTV</t>
  </si>
  <si>
    <t>Supply and Delivery of Photo Papers for IATF Travel Pass and ID's for City Government of Tarlac use</t>
  </si>
  <si>
    <t>CONTRACT ID: 20GLF0032 - PROCUREMENT OF OFFICE SUPPLIES/CONSUMABLES FOR USE IN THE  DPWH DAVAO ORIENTAL FIRST DEO, BAGANGA, DAVAO ORIENTAL (CONSOLIDATED PR FOR 3RD QUARTER CY-2020) WITH PR NO.  2020-0</t>
  </si>
  <si>
    <t>Purchase of Xerox Machine</t>
  </si>
  <si>
    <t>eMail Infrastructure Technology Refresh</t>
  </si>
  <si>
    <t>Supply and Delivery of Flower Wreaths for the departed Constituents in Tarlac City</t>
  </si>
  <si>
    <t xml:space="preserve">20CSKG01 :Sub-Surface Exploration for the 1) Construction of New SINDIG Bridge (35 Lin.m.) Chainage 3700  along LDNICR (S0097MN), 2) Construction of 1-NEW Concrete Bridge, Chainage 22054 of S00963MN, </t>
  </si>
  <si>
    <t>Supply and Delivery of Toners for City Government of Tarlac use</t>
  </si>
  <si>
    <t>Catering Services for the Conduct of Legislative Sessions Hearings Consultations - Jul. 2020, Aug. 2020, Sept. 2020 (PR No. 100-2020-0809a-c) - PVGO</t>
  </si>
  <si>
    <t>For the Clearing of Barangay Road at Barangay Portic, Bugallon, Pangasinan</t>
  </si>
  <si>
    <t>8 sets Surgical Instruments for Caesarian Section</t>
  </si>
  <si>
    <t>3 Units Aircon, 3 Tons Inverter (PR No. 100-2020-0769) - PGO</t>
  </si>
  <si>
    <t>Non-Prod Infrastructure Technology Refresh</t>
  </si>
  <si>
    <t>Other Supplies &amp; Materials Expenses (OSPS-PHP93,500.00)</t>
  </si>
  <si>
    <t>Procurement of Medical Supplies (MHO)</t>
  </si>
  <si>
    <t>Delivery and Installation of Roof</t>
  </si>
  <si>
    <t>BNLSL-LCB-31-2020 – Construction of Pump Works (Package I) of Bahay SIP, San Miguel, Leyte</t>
  </si>
  <si>
    <t>SUPPLY AND DELIVERY OF ONE (1) UNIT PULMONARY FUNCTION TEST MACHINE</t>
  </si>
  <si>
    <t>BNLSL-LCB-30-2020 – Construction of Diversion Works, Canal, Farm Level and Drainage System of Buli SIP, Bato, Leyte</t>
  </si>
  <si>
    <t>SUPPLY AND DELIVERY OF PSHS-MRCs LOAD CARD</t>
  </si>
  <si>
    <t>Printing and Delivery of Advocacy Stickers for City Government of Tarlac use</t>
  </si>
  <si>
    <t>20GG0042-G - Procurement of On Ground Equipment and Survey Tools for the use of Planning and Design Section, DPWH Iloilo 2nd DEO, Balabag, Dumangas, Iloilo</t>
  </si>
  <si>
    <t>Supply and Delivery of Odor Eliminator for City Government of Tarlac use</t>
  </si>
  <si>
    <t>Procurement of Anti-Rabies Vaccines (MHO)</t>
  </si>
  <si>
    <t>Request for Quotation of IV Fluids</t>
  </si>
  <si>
    <t>2020-03-0090-Supply and Delivery of Limestones and Fuels for Road Opening at Brgy. Tamiao, Bantayan, Cebu</t>
  </si>
  <si>
    <t>CONTRACT ID: 20GLF0033 - Procurement of Various Spare Parts for use in the Repair of Double Cab. KIA Bongo H1-7299/MAE-6368, Double Cab KIA Bongo H1-7298 and HINO Mini Dumptruck H3-6787 for use in the</t>
  </si>
  <si>
    <t>Supply and Delivery of Sticker Papers for Tarlac City Mayor's Office use</t>
  </si>
  <si>
    <t>6 set Surgical Instruments for NSD</t>
  </si>
  <si>
    <t>Request for Quotation of Medical Oxygen</t>
  </si>
  <si>
    <t>SUPPLY AND DELIVERY OF OFFICE SUPPLIES SECOND QUARTER CY 2020 REBID</t>
  </si>
  <si>
    <t>4 set Surgical Instruments for Gynecology Major</t>
  </si>
  <si>
    <t>CONTRACT ID: 20-06-084 - SUPPLY, DELIVERY,INSTALLATION, TESTING AND COMMISSIONING OF VARIOUS MEDICAL EQUIPMENT</t>
  </si>
  <si>
    <t>SUPPLY AND DELIVERY OF AIRCONDITIONER</t>
  </si>
  <si>
    <t>BNLSL-LCB-31A-2020 – Construction of Canal, Farm Level, Drainage and Road System (Package II) of Bahay SIP, San Miguel, Leyte</t>
  </si>
  <si>
    <t>PROCUREMENT FOR THE SUPPLY AND DELIVERY OF VARIOUS LABORATORY EQUIPMENT FOR USE OF CENTRAL POST ENTRY QUARANTINE STATION OF NATIONAL PLANT QUARANTINE SERVICES DIVISION (NPQSD)</t>
  </si>
  <si>
    <t>Installation of Integrated Solar Streetlights</t>
  </si>
  <si>
    <t xml:space="preserve">20GG0043-G - Procurement of 1 Unit Double Tank Thermoplastic Paint Preheater for Use in the Painting/Repainting of Thermoplastic Pavement Markings along Various National Roads of DPWH Iloilo 2nd DEO, </t>
  </si>
  <si>
    <t>Procurement of Ultrasonic Assisted Generators and Debridement thru low frequency ultrasound cavitation (25kHz and 35kHz) (HFEP)</t>
  </si>
  <si>
    <t>Delivery of Children's Outdoor Playground Equipment</t>
  </si>
  <si>
    <t>DELIVERY OF MATERIALS FOR THE IMPROVEMENT OF BRGY. MULTI PURPOSE BUILDING</t>
  </si>
  <si>
    <t>Procurement of High Speed Drill System for Neuro and ENT Surgery (HFEP)</t>
  </si>
  <si>
    <t>SUPPLY AND DELIVERY OF POLO SHIRT</t>
  </si>
  <si>
    <t>Request for Quotation of Drugs and Medicines (Dangerous Drugs)</t>
  </si>
  <si>
    <t>4 set Surgical Instruments for Gynecology Minor</t>
  </si>
  <si>
    <t>Supply and Delivery of Office Supplies (MHO)</t>
  </si>
  <si>
    <t>Supply and Delivery of Various Forms for City Government of Tarlac use</t>
  </si>
  <si>
    <t>Supply and Delivery of Anti-Dengue Solution for City Government of Tarlac use</t>
  </si>
  <si>
    <t>Request for Quotation of Medical and Laboratory Supplies</t>
  </si>
  <si>
    <t>Procurement of Hygiene Supplies Precautionary Measures to COVID-19</t>
  </si>
  <si>
    <t>SUPPLY OF LABOR AND MATERIALS FOR INSTALLATION OF TOP ROOFING OF NPQSD-CENTRAL OFFICE BUILDING (NPQSD)</t>
  </si>
  <si>
    <t>Procurement of Brigada Eskwela T-Shirt and Facemask</t>
  </si>
  <si>
    <t>General Cleaning of 22 Air-Conditioning units of SSS Bacoor Branch for the 3rd and 4th quarter of 2020</t>
  </si>
  <si>
    <t>Printing of Tarpaulin for School Announcements</t>
  </si>
  <si>
    <t>SLOPE PROTECTION  (Purok Caimito, Brgy. Camugao)</t>
  </si>
  <si>
    <t>IMPROVEMENT OF MUNICIPAL PLAZA (Supply of Painting Materials &amp; Supplies)</t>
  </si>
  <si>
    <t>PROCUREMENT FOR THE SUPPLY AND DELIVERY OF GC COLUMNS FOR USE IN LABORATORIES OF PLANT PRODUCT SAFETY SERVICES DIVISION (PPSSD)</t>
  </si>
  <si>
    <t>Supply and Delivery of Aggregates at bataan SIP</t>
  </si>
  <si>
    <t>REQUEST FOR QUOTATION SHOPPING OF 40 UNITS OF MONOBLOC CHAIRS</t>
  </si>
  <si>
    <t>RFQ - Supply and Delivery of Various Office Supplies for Division Office Use</t>
  </si>
  <si>
    <t>HELP:HONING AND EDUCATING LEADERS OF POBLACION</t>
  </si>
  <si>
    <t>IB No. 2006-320 Proc. of Infra (Road Concreting of F. Dagohoy Circumferential Road (J.A. Clarin St. – C. Darunday St.)</t>
  </si>
  <si>
    <t>Repair of Sitio Tinap-an Bridge Brgy. Lanas, San Jose, Romblon</t>
  </si>
  <si>
    <t>CAREER DAY FOR POBLACION KIDS</t>
  </si>
  <si>
    <t>Repair of Sitio Sinongtan Bridge Brgy. Lanas, San Jose, Romblon</t>
  </si>
  <si>
    <t>Construction of Basketball Post, Board, and Ring</t>
  </si>
  <si>
    <t>Concrete Paving of Provincial Road to Public Cemetery (Additional Fund), Looc, Romblon</t>
  </si>
  <si>
    <t>DALOY NG KASAYSAYAN POBLACION RIVER CRUISE</t>
  </si>
  <si>
    <t>PROVISION OF STREET LIGHTINGS (at Brgy. Pandacan)</t>
  </si>
  <si>
    <t>FEELING PASKO SA POBLACION</t>
  </si>
  <si>
    <t>Construction of Perimeter Fence (Phase I) for the Bureau of Jail Management and Penology (BJMP) Facility at Barangay Lonos (Sitio Wireless) Romblon, Romblon</t>
  </si>
  <si>
    <t>MUSIK LABAN</t>
  </si>
  <si>
    <t>ENVIRONMENTAL AWARENESS AND EDUCATION REPUBLIC ACT 9512 OF 2008</t>
  </si>
  <si>
    <t>Completion of Cajidiocan Sports Complex Concrete Bleacher Cajidiocan, Romblon</t>
  </si>
  <si>
    <t>Completion of Food Court    Poblacion, Cajidiocan, Romblon</t>
  </si>
  <si>
    <t>Concrete Paving of Farm to Market Road, Gutivan, Cajidiocan, Romblon</t>
  </si>
  <si>
    <t>Improvement of Municipal Waterworks System</t>
  </si>
  <si>
    <t>invitation to Bid</t>
  </si>
  <si>
    <t>EDUCATION SUMMIT</t>
  </si>
  <si>
    <t>Concrete Paving of Farm to Market Road, Cambalo, Cajidiocan, Romblon</t>
  </si>
  <si>
    <t>Concrete Paving of Poblacion-Jao-asan Provincial Road, Magdiwang, Romblon</t>
  </si>
  <si>
    <t>Supply and Delivery of Aggregates at Simulao RIS</t>
  </si>
  <si>
    <t>Construction of Maternity Half-Way House, San Jose District Hospital, Poblacion, San Jose, Romblon</t>
  </si>
  <si>
    <t>GIVING IN FAMILY TOGETHER (GIFT)</t>
  </si>
  <si>
    <t>SAMPIRO LIVELIHOOD FESTIVAL</t>
  </si>
  <si>
    <t>RFQ - Procurement of Tablets for Use in Computerized Queuing System in SDO</t>
  </si>
  <si>
    <t>Drainage Construction along Gen. Luna St.</t>
  </si>
  <si>
    <t>Invitation to Bid for the Construction of Slope Protection @ Brgy. Quezon, Cabugao, Ilocos Sur</t>
  </si>
  <si>
    <t>Invitation to Bid for the Construction of Multi-Purpose Building @ Brgy. Carusipan (Proper), Cabugao, Ilocos Sur</t>
  </si>
  <si>
    <t>Construction of Concrete Pavement at Public Market Area, R. T. Lim, Zamboanga Sibugay.</t>
  </si>
  <si>
    <t>Invitation to Bid for the Improvement of Water System @ Cabugao, Ilocos Sur</t>
  </si>
  <si>
    <t>Invitation to Bid for the Construction of Multi-Purpose Drying Pavement (MPDP) @ Brgy. Quezon, Cabugao, Ilocos Sur</t>
  </si>
  <si>
    <t>Invitation to Bid for the Construction of Multi-Purpose Drying Pavement (MPDP) @ Brgy. Bato, Cabugao, Ilocos Sur</t>
  </si>
  <si>
    <t>INSTALLATION OF PIPES AND FITTINGS (BARANGAY TIGBANGAGAN)</t>
  </si>
  <si>
    <t>CP 2020-37 BIDDING FOR THE SUPPLY AND DELIVERY OF ANTI-RABIES VACCINES C/O HSO</t>
  </si>
  <si>
    <t>Purchase of 2 unit  2HP  window type   Air conditioning</t>
  </si>
  <si>
    <t>REPAIR &amp; IMPROVEMENT OF ADMIN BUILDING</t>
  </si>
  <si>
    <t>Provision of 160 pax Meals, Snacks and Accommodation for the conduct of Business Plan Preparation and Business Management Training in Region 1</t>
  </si>
  <si>
    <t>Invitation to Bid for the Concreting of Farm to Market Road @ Brgy. Pug-os (Inanama Norte), Cabugao, Ilocos Sur</t>
  </si>
  <si>
    <t>Invitation to Bid for the Concreting of Farm to Market Road @ Brgy. Pug-os (Inanama Sur), Cabugao, Ilocos Sur</t>
  </si>
  <si>
    <t>Concreting of Rerouting Road From Legislative to In Front of MSWD Office - Phase I, Municipal Site, R. T. Lim, Zamboanga Sibugay.</t>
  </si>
  <si>
    <t>Vehicles Parts for the Maintenance of Municipal Dump truck no. 120</t>
  </si>
  <si>
    <t>CP 2020-38 BIDDING FOR THE SUPPLY, DELIVERY, INSTALLATION AND MAINTENANCE OF ENERGY EFFICIENT SOLID STATE LUMINAIRES C/O CEO</t>
  </si>
  <si>
    <t>Purchase of Office Furniture and Fixtures</t>
  </si>
  <si>
    <t>JSTOR Archival Collection Subscription</t>
  </si>
  <si>
    <t>Invitation to Bid for the Concreting of Farm to Market Road @ Brgy. Pug-os (Balay-oac), Cabugao, Ilocos Sur</t>
  </si>
  <si>
    <t>RFQ 2020-06-307 Procurement of various office supplies for CPDO</t>
  </si>
  <si>
    <t>Purchase of ICT Equipment</t>
  </si>
  <si>
    <t>CONSTRUCTION OF STREETLIGHTS (PHASE II) BARANGAY TIGBANGAGAN</t>
  </si>
  <si>
    <t>Purchase of Technical and Scientific Equipment</t>
  </si>
  <si>
    <t>Purchase of Additional CCTV Cameras</t>
  </si>
  <si>
    <t>Purchase of Massage Therapy Machine</t>
  </si>
  <si>
    <t>Purchase of Supplies and Materials for Livelihood Program</t>
  </si>
  <si>
    <t>RFQ 2020-06-328 Procurement of various supplies and materials for OM</t>
  </si>
  <si>
    <t>Purchase of Solid Wast Management Supplies and Materials</t>
  </si>
  <si>
    <t>Purchase of Various Essential Supplies and Materials for Peace and Order Program</t>
  </si>
  <si>
    <t>DEVELOPING THE FOOD PROCESSING INDUSTRY OF THE BAANG WOMEN’S ORGANIZATION AND RURAL IMPROVEMENT CLUB – LOT 1</t>
  </si>
  <si>
    <t>Lanyard/ID Cord (sky blue)</t>
  </si>
  <si>
    <t>Developing the Food Processing Industry of the Baang Women’s Organization and Rural Improvement Club – Lot 2</t>
  </si>
  <si>
    <t>Purchase of Various Supplies and Materials for Health ang Sanitation Program</t>
  </si>
  <si>
    <t>Purchase of Drug Testing Kits</t>
  </si>
  <si>
    <t>Purchase of Street Lights</t>
  </si>
  <si>
    <t>DEVELOPING THE HANDICRAFT INDUSTRY OF THE AGAYAP AGRICULTURE AND LIVELIHOOD ORGANIZATION – LOT 1</t>
  </si>
  <si>
    <t>Purchase of Various Supplies and Materials for the Repair and Maintenance of Barangay MV</t>
  </si>
  <si>
    <t>RFQ 2020-06-333 Procurement of various office supplies for DTCAM</t>
  </si>
  <si>
    <t>PURCHASE OF 2 UNITS AIRCONDITIONER</t>
  </si>
  <si>
    <t>RFQ 2020-06-331 Procurement of various supplies and materials for DTCAM</t>
  </si>
  <si>
    <t>RFQ 2020-06-329 Procurement of various janitorial supplies for OM</t>
  </si>
  <si>
    <t>RFQ 2020-06-330 Procurement of 380 pcs. Planner for DTCAM</t>
  </si>
  <si>
    <t>COFFEE PROCESSING PROJECT OF THE LUBU-ONG BIMMOBLE ORGANIZATION – LOT 1</t>
  </si>
  <si>
    <t>COFFEE PROCESSING PROJECT OF THE LUBU-ONG BIMMOBLE ORGANIZATION – LOT 2</t>
  </si>
  <si>
    <t>Embankment of Earth Dike at Sitio Liki Section</t>
  </si>
  <si>
    <t>Purchase of Portable Toilet</t>
  </si>
  <si>
    <t>COFFEE PROCESSING PROJECT OF THE LUBU-ONG BIMMOBLE ORGANIZATION – LOT 3</t>
  </si>
  <si>
    <t>Completion of Brgy. Poblacion Fitness Center</t>
  </si>
  <si>
    <t>DEVELOPING THE HANDICRAFT INDUSTRY OF THE AGAYAP AGRICULTURE AND LIVELIHOOD ORGANIZATION – LOT 3</t>
  </si>
  <si>
    <t>Riprapping of Provincial Road Poblacion, Sta. Fe, Romblon</t>
  </si>
  <si>
    <t>STRENGTHENING OF THE WEAVING PROJECT OF HUNGDUAN WEAVER’S ASSOCIATION – LOT 2</t>
  </si>
  <si>
    <t>Asphalt overlay of road in front of the Provincial Capitol including part of Iba-Sta. Barbara Road</t>
  </si>
  <si>
    <t>Developing the Handicraft Industry of the Agayap Agriculture and Livelihood Organization – Lot 2</t>
  </si>
  <si>
    <t>Computer Consumables</t>
  </si>
  <si>
    <t>Tarpaulin Printing for Barangay Assembly</t>
  </si>
  <si>
    <t>STRENGTHENING OF THE WEAVING PROJECT OF HUNGDUAN WEAVER’S ASSOCIATION – LOT 1</t>
  </si>
  <si>
    <t>Repair/Rehabilitation of Main Building and Completion of Wards at Tablas Island District Hospital (TIDH) San Agustin, Romblon</t>
  </si>
  <si>
    <t>Stone Masonry - Entrance going to P/Dona Eming &amp; Balabag-bato</t>
  </si>
  <si>
    <t>PROJECT HEALTHA</t>
  </si>
  <si>
    <t>Various Gardening Supplies</t>
  </si>
  <si>
    <t>Improvement/Repair of Bobon Integrated Food and Transport Terminal (Damaged by Typoon Tisoy)</t>
  </si>
  <si>
    <t>4411-19-022) IMPROVEMENT AND EXTENSION OF THE EXISTING SCOUT BARRIO HEALTH CENTER AT SCOUT BARRIO C/O CBAO</t>
  </si>
  <si>
    <t>Procurement &amp; Distribution of 576 Head Chicken to the TD-Usman affected Farmers in Bobon, Northern Samar</t>
  </si>
  <si>
    <t>Flood Control</t>
  </si>
  <si>
    <t>Concreting of Barangay Road Station 2 going to P/Dona Eming &amp; Balabag-bato</t>
  </si>
  <si>
    <t>8918-20-002)CONSTRUCTION OF SEWERLINE FROM PORTA VAGA AREA TO POST OFFICE AT KABAYANIHAN C/O CEPMO</t>
  </si>
  <si>
    <t>Motor Vehicle Maintenance - Isuzu Crosswind/SKP-997 (DepEd), Isuzu Crosswind/SKP-969 and Toyota Revo/SGN-728</t>
  </si>
  <si>
    <t>Heavy Equipment Maintenance - Nissan 10W DT/SFY-353, HBM Motor Grader/ BG 110T - 5 # 2 and Nissan DT/SFY-351</t>
  </si>
  <si>
    <t>Heavy Equipment Maintenance - Nissan 10W DT/SHG-280, Isuzu Firework / SGR-968 &amp; Man Rosenbauer FT Eng., JCB Backhoe Loader &amp; Menzi Muck Excavator</t>
  </si>
  <si>
    <t>Heavy Equipment Maintenance - Nissan 10W DT/SHG-276 and 6W Isuzu DT/DT #12</t>
  </si>
  <si>
    <t>Supply and delivery of office supplies and devices for Malatungtong Ext. school/Admin. Office</t>
  </si>
  <si>
    <t>Heavy Equipment Maintenance - 10W Nissan DT/SHG-279 and 6W Nissan DT/SFY-351</t>
  </si>
  <si>
    <t>Request for Quotation - Consultant on Barangay Taxation and Economic Enterprises Operation (CMO)</t>
  </si>
  <si>
    <t>INVITATION TO BID FOR CONSTRUCTION OF PIGKALAGAN – MATENGEN ROAD</t>
  </si>
  <si>
    <t>20GNE0026-Supplies/Deliveries for the Procurement of various Inks and Accessories to be used in Construction Section, Finance Section, Planning &amp; Design Section of this office for the 1st and 2nd Quar</t>
  </si>
  <si>
    <t>8918-19-216)  REHABILITATION OF THE MULTI-PURPOSE HALL-REWIRING OF ELECTRICAL LINES, PLUMBING WORKS, REPAINTING AND TILING WORKS AT DAY CARE CENTER, STA. ESCOLASTICA VILLAGE C/O CBAO</t>
  </si>
  <si>
    <t>8918-19-206) REHABILITATION OF MULTI-PURPOSE HALL (FEDERATION OF BAGUIO SENIOR CITIZENS ASSOCIATION, FBASECA-FCCAP BAGUIO CHAPTER AT UPPER SESSION ROAD, SALUD MITRA C/O CBAO</t>
  </si>
  <si>
    <t>8918-20-136)  CONSTRUCTION AND INSTALLATION OF A PROTECTIVE GATE AND CANOPY AND TILING OF THE STAIRS, MULTI-PURPOSE HALL AT MIDDLE ROCK QUARRY C/O CBAO</t>
  </si>
  <si>
    <t>Inviration to Bid - Infrastructure Project for Construction of Evacuation Center at Barangay Sabang, Danao City</t>
  </si>
  <si>
    <t>8918-20-003)  CONSTRUCTION OF SEWERLINE AT PUROK 2, DPS COMPOUND C/O CEPMO</t>
  </si>
  <si>
    <t>Heavy Equipment Maintenance - Nissan 10W/SFY-352 and Isuzu Manlift Room Truck/CS-0301</t>
  </si>
  <si>
    <t>8918-19-228)  CONTINUATION OF THE REHABILITATION OF THE MULTI-PURPOSE HALL AT UPPER GEN. LUNA C/O CBAO</t>
  </si>
  <si>
    <t>8918-19-182)  CONSTRUCTION OF SEWERLINE AT PUROK 2, PADRE ZAMORA C/O CEPMO</t>
  </si>
  <si>
    <t>Materials for repair &amp; maintenance of different hospitals &amp; quarantine facilities during COVID-19</t>
  </si>
  <si>
    <t>PROVISION OF COFFEE PRE-PROCESSING FACILITIES</t>
  </si>
  <si>
    <t>COVID 19 RESPONSE ITEMS</t>
  </si>
  <si>
    <t>DEVELOPING THE ROOT CROPS INDUSTRY OF THE AHIN FARMERS DEVELOPMENT ORGANIZATION INCORPORATED – LOT 1</t>
  </si>
  <si>
    <t>REHABILITATION OF MULTI-PURPOSE HALL (PHASE V)</t>
  </si>
  <si>
    <t>Procurement of meals and snacks for frontliners, responders and monitoring team during GCQ</t>
  </si>
  <si>
    <t>Enhancing the Livelihood of Ay-aywanan Organization Incorporated Through the Provision of Food Processing Facilities and Equipment</t>
  </si>
  <si>
    <t>Procurement of Electrical Supplies</t>
  </si>
  <si>
    <t>PROVISION OF VEGETABLE BREAD PROCESSING FACILITIES</t>
  </si>
  <si>
    <t>Procurement of 4pcs. Tire with alignment, 2pcs. 1oz clip type and 1 pc. 3/4 clip type for Municipal Ambulance (A8-P809)</t>
  </si>
  <si>
    <t>20GNE0025-Supplies/Deliveries for the Procurement of various Common Office Supplies to be used in Administrative Section, Maintenance Section, Construction Section, Planning &amp; Design Section, and Qual</t>
  </si>
  <si>
    <t>Site Development for Municipal Housing Project at Brgy. Poblacion San Agustin, Romblon</t>
  </si>
  <si>
    <t>INVITATION TO BID FOR CONCRETING OF REBUKEN ROAD – TESDA ROAD</t>
  </si>
  <si>
    <t>Procurement of office Supplies and Consumables</t>
  </si>
  <si>
    <t>PROVISION OF CITRUS PROCESSING EQUIPMENT AND FACILITIES</t>
  </si>
  <si>
    <t>Procurement of Medical, Dental and Laboratory Supplies</t>
  </si>
  <si>
    <t>Slope/Shore Protection of Barangay Pandan, Sta. Fe, Romblon</t>
  </si>
  <si>
    <t>Completion of Educ’l Facilities (Completion of Stage) at Tampayan Elementary School Magdiwang, Romblon</t>
  </si>
  <si>
    <t>DEVELOPING THE ROOT CROPS INDUSTRY OF THE AHIN FARMERS DEVELOPMENT ORGANIZATION INCORPORATED – LOT 2</t>
  </si>
  <si>
    <t>Pag-IBIG Fund TAS NCR South (SUPPLY AND DELIVERY OF VARIOUS COMPUTER SUPPLIES OF MAKATI CBD GROUP AND OVP'S FOR 1ST QUARTER OF 2020)</t>
  </si>
  <si>
    <t>Purchase of Generator</t>
  </si>
  <si>
    <t>INVITATION TO BID FOR CONSTRUCTION OF SENDITAN - SAMBOLAWAN ROAD</t>
  </si>
  <si>
    <t>Slope Protection at Sitio Bagulayag, Tubigon, Ferrol, Romblon</t>
  </si>
  <si>
    <t>Provision of Coffee Pre-Processing Facilities</t>
  </si>
  <si>
    <t>INVITATION TO BID FOR CONSTRUCTION OF TUDOK - PALAO ROAD</t>
  </si>
  <si>
    <t>Provision of Coffee Processing Center and Facilities</t>
  </si>
  <si>
    <t>COVID19 Essential Materials in School</t>
  </si>
  <si>
    <t>DEVELOPING THE ROOT CROPS INDUSTRY OF THE AHIN FARMERS DEVELOPMENT ORGANIZATION INCORPORATED – LOT 3</t>
  </si>
  <si>
    <t>supply &amp; delivery of agricultural supplies used for Plant Plant Plant Program &amp; establishment of urban gardening at CLIARC Upland PR#2020-06-04-61 w/ ABC of P 53,461.00</t>
  </si>
  <si>
    <t>Repair/Improvement of Brgy. Water System Bachawan, San Agustin, Romblon</t>
  </si>
  <si>
    <t>DEVELOPING THE ROOT CROPS INDUSTRY OF THE AHIN FARMERS DEVELOPMENT ORGANIZATION INCORPORATED – LOT 4</t>
  </si>
  <si>
    <t>Supply and Delivery of Spare Part for Loader/Backhoe Case 480F (RFQ20-21)</t>
  </si>
  <si>
    <t>CONSTRUCTION OF WATER SYSTEM LEVEL III WITH RESERVOIR AND DISTRIBUTION LINE CONNECTS TO CENTRAL MAGUJNDANAO INTEGRATED WATER SYSTEM</t>
  </si>
  <si>
    <t>Procurement of Office Supplies for Different Offices</t>
  </si>
  <si>
    <t>One (1) Lot – Software Subscription for the existing 3,560 HCL Domino Enterprise Processor Value Unit (PVU) licenses, as per BSP Terms of Reference</t>
  </si>
  <si>
    <t>INVITATION TO BID FOR CONSTRUCTION OF MAGNO – BRGY. RENTI ROAD</t>
  </si>
  <si>
    <t>Construction of River Walk/Promenade, Poblacion, Madiwang, Romblon</t>
  </si>
  <si>
    <t>supply &amp; delivery of agricultural supplies used for the mass production of various vegetable seedlings in support to the Plant Plant Plant Program PR#2020-06-09-360 w/ ABC of P 199,994.00</t>
  </si>
  <si>
    <t>INVITATION TO BID FOR OPENING/REHABILITATION OF FARM TO MARKET ROAD</t>
  </si>
  <si>
    <t>Purchase of Teachers Supplies</t>
  </si>
  <si>
    <t>Supply and Delivery of Spare Part for Loader/Backhoe Case 480F (RFQ20-22)</t>
  </si>
  <si>
    <t>Procurement of Cordless Phone</t>
  </si>
  <si>
    <t>supply &amp; delivery of equipment to be used in Metarizhuim &amp; Trichogramma laboratory PR#2020-06-09-958 w/ ABC of P141,590.00</t>
  </si>
  <si>
    <t>supply &amp; delivery of agricultural supplies used for Plant Plant Plant Program PR#2020-06-04-63 w/ ABC of P 120,360.75</t>
  </si>
  <si>
    <t>Mahaba ES Supplies for June</t>
  </si>
  <si>
    <t>supply &amp; delivery of other supplies to be used in mass production of Metarhizium PR#2020-06-09-359 w/ ABC of P220,000.00</t>
  </si>
  <si>
    <t>8918-20-014)  REHABILITATION OF DRAINAGE AT EAST QUIRINO HILL TOWARDS MAGSAYSAY AVENUE, EAST QUIRINO HILL C/O CEO</t>
  </si>
  <si>
    <t>20-05-0579 Supplies/materials for ICT maintenance and upgrade</t>
  </si>
  <si>
    <t>supply &amp; delivery of other supplies to be distributed to IPM Coordinators, technicians &amp; farmer leaders for Bantay Peste Brigade Project in 7 prov of Region III PR#2020-06-09-361 w/ ABC of P221,400.00</t>
  </si>
  <si>
    <t>One (1) Lot – Hardware and Software Maintenance and Technical Support Services for the Endpoint Data Leakage Protection, as per BSP Terms of Reference and Service Level Agreement</t>
  </si>
  <si>
    <t>Supply and Delivery of MDRRM Tents and Materials for Repair</t>
  </si>
  <si>
    <t>supply &amp; delivery of agricultural supplies used for Plant Plant Plant Program PR#2020-06-04-60 w/ ABC of P 75,000.00</t>
  </si>
  <si>
    <t>Supply and Delivery of Spare Part for UD Nissan Dump Truck (RFQ20-23)</t>
  </si>
  <si>
    <t>Construction of Roofing in the Parking Area</t>
  </si>
  <si>
    <t>supply &amp; delivery of other supplies to be used in rehabilitation and upgrade of Electrical System at RCPC, Maligaya Munoz, Nueva Ecija PR#2020-06-09-362 w/ ABC of P652,351.35</t>
  </si>
  <si>
    <t>Procurement and Delivery of Android Tablets</t>
  </si>
  <si>
    <t>School Supplies and Instructional Materials of Pangantucan National High School</t>
  </si>
  <si>
    <t>RFQ No. 20-0549 Shopping B  (Supply and Delivery of HP Ink Cartridge for PSAMD Stockpile)</t>
  </si>
  <si>
    <t>LOT 6 - CY2020 Repair and Rehabilitation Program</t>
  </si>
  <si>
    <t>20-01-0101 SAAD 2020 Seaweeds Production in Southern Leyte</t>
  </si>
  <si>
    <t>LOT 3 - CY2020 Repair and Rehabilitation Program</t>
  </si>
  <si>
    <t>LOT 2 - CY2020 Repair and Rehabilitation Program</t>
  </si>
  <si>
    <t>construction of storage facility for confiscated forest products of DENR PENRO Biliran</t>
  </si>
  <si>
    <t>LOT 1 - CY2020 Repair and Rehabilitation Program</t>
  </si>
  <si>
    <t>supply and delivery of two(2)motor vehicle</t>
  </si>
  <si>
    <t>LOT 7 - CY2020 Repair and Rehabilitation Program</t>
  </si>
  <si>
    <t>LOT 4 - CY2020 Repair and Rehabilitation Program</t>
  </si>
  <si>
    <t>LOT 5 - CY2020 Repair and Rehabilitation Program</t>
  </si>
  <si>
    <t>Procurement of Internet Service Provider (PMO Main Office)</t>
  </si>
  <si>
    <t>SHS SUPPLIES FOR REPRODUCTION OF MODULES</t>
  </si>
  <si>
    <t>SUPPLIES FOR REPRODUCTION OF LEARNING MODULES</t>
  </si>
  <si>
    <t>Procurement of Laptop with Accessories</t>
  </si>
  <si>
    <t>Repair of Pathway</t>
  </si>
  <si>
    <t>LOT 8 - CY2020 Repair and Rehabilitation Program</t>
  </si>
  <si>
    <t>Office Supplies and Devices - Purchase of Office Supplies</t>
  </si>
  <si>
    <t>Purchase of office equipments for municipal use in Calumpit, Bulacan</t>
  </si>
  <si>
    <t>SUPPLY AND DELIVERY OF GENERAL MDSE- EMS DUTY VEST WITH REFLECTORIZED PRINT</t>
  </si>
  <si>
    <t>LOT 9 - CY2020 Repair and Rehabilitation Program</t>
  </si>
  <si>
    <t>Laptops/Printers/Printer Ink</t>
  </si>
  <si>
    <t>Purchase of assistive devices for municipal use in Calumpit, Bulacan</t>
  </si>
  <si>
    <t>Purchase of Fire Extinguisher refill as requested by BFP (PR#209)</t>
  </si>
  <si>
    <t>CONSTRUCTION OF MAKESHIFT ELEVEN (11) – CLASSROOM TEMPORARY LEARNING SHELTER FOR BURABOD ELEMENTARY SCHOOL, LIBON, ALBAY (RE-BID)</t>
  </si>
  <si>
    <t>Purchase of Office Supplies as requested by COMELEC (PR#212)</t>
  </si>
  <si>
    <t>Purchase of Janitorial Supplies as requested by COMELEC (PR#211)</t>
  </si>
  <si>
    <t>Purchase of Office Supplies as requested by LCDRRMO (PR#199)</t>
  </si>
  <si>
    <t>CONTRACT OF SERVICE FURNISHING LABOR AND MATERIALS FOR THE ELIMINATION OF RODENTS AT OTON MUNICIPAL HALL</t>
  </si>
  <si>
    <t>PURCHASE OF VARIOUS ELECTRICAL LIGHTING FIXTURES FOR THE MAINTENANCE OF OTON PUBLIC MARKET.</t>
  </si>
  <si>
    <t>Procurement of construction materials and supplies for the completion of MUSHROOM BOX of Centro 8, Claveria, Cagayan</t>
  </si>
  <si>
    <t>Purchase of 17 sacks Rice  and Plastic bag</t>
  </si>
  <si>
    <t>Purchase of Office Supplies as requested by PNP (PR#210)</t>
  </si>
  <si>
    <t>Supply &amp; Delivery of other supplies and materials 01D Aux &amp; HES F24-2020</t>
  </si>
  <si>
    <t>TV Flat Screen 32" (Smart Share/Smart Phone Support)</t>
  </si>
  <si>
    <t>SUPPLY DELIVERY AND INSTALLATION OF INVERTER 2 HP SPLIT TYPE AIRCONDITIONING UNIT FOR THE CITY HEALTH OFFICE</t>
  </si>
  <si>
    <t>SUPPLY OF ONE (1) UNIT HEAVY DUTY COPIER/PRINTER</t>
  </si>
  <si>
    <t>Purchase of ambulance supplies for use in medical emergency response as requested by LCDRRMO (PR#216)</t>
  </si>
  <si>
    <t>Purchase of Janitorial supplies as requested by CHO (PR#242)</t>
  </si>
  <si>
    <t>Delivery of Office Equipment Supplies and Consumables</t>
  </si>
  <si>
    <t>SUPPLY INSTALLATION AND ACTIVATION  OF THE  CCTV LINE FOR THE CITY DISASTER RISK REDUCTION MANAGEMENT OFFICE</t>
  </si>
  <si>
    <t>PURCHASE AND INSTALLATION OF ADDITIONAL CCTV’S AT TERMINAL AREA AND MARKET PERMITS OF OTON PUBLIC MARKET</t>
  </si>
  <si>
    <t>Purchase of Janitorial Supplies as requested by City Slaughterhouse (PR#244)</t>
  </si>
  <si>
    <t>Purchase of Food/meals to be served at ICS Training Level 4 as requested by LCDRRMO (PR#246)</t>
  </si>
  <si>
    <t>Purchase of Megaphone, Flashlight and Fire extinguisher as requested by PNP (PR#228)</t>
  </si>
  <si>
    <t>SUPPLY AND DELIVERY OF VARIOUS VEHICLE PARTS AND ACCESSORIES</t>
  </si>
  <si>
    <t>Purchase of Food/Meals to be served during Oplan Ligtas na Pamayanan as requested by BFP (PR#233)</t>
  </si>
  <si>
    <t>ITDI-200216_REBID - SUPPLY AND DELIVERY OF VARIOUS OFFICE SUPPLIES</t>
  </si>
  <si>
    <t>ITDI-200220_REBID- SUPPLY AND DELIVERY OF VARIOUS OFFICE SUPPLIES</t>
  </si>
  <si>
    <t>PURCHASE OF VARIOUS CONSTRUCTION MATERIALS FOR REPAIR AND MAINTENANCE OF GOVERNMENT FACILITIES</t>
  </si>
  <si>
    <t>Provision of Janitorial  Services for seven (7)  Utility men/women  within DENR-PENRO Quezon for six months starting July-December for CY-2020</t>
  </si>
  <si>
    <t>ITDI-200231_REBID - SUPPLY AND DELIVERY OF SHORT BOND PAPER</t>
  </si>
  <si>
    <t>Purchase of Hygiene Kit and Foodpacks for In-house Reformation Program (Kanlungan ng Pagbabago Balay Silangan) as requested by CADAC (PR#250)</t>
  </si>
  <si>
    <t>ITDI-200191_REBID - SUPPLY AND DELIVERY OF CONCENTRATED NITRIC ACID AND HYDROGEN PEROXIDE</t>
  </si>
  <si>
    <t>ITDI-200323_REBID - SUPPLY AND DELIVERY OF EXTERNAL HARD DRIVE</t>
  </si>
  <si>
    <t>ITDI-200288_REBID - SUPPLY AND DELIVERY OF 95% ETHYL ALCOHOL</t>
  </si>
  <si>
    <t>Supply and Delivery of Low Bed Truck</t>
  </si>
  <si>
    <t>Purchase of Two (2) units Power Sprayer and Four (4) rolls of Hose as requested by City Agriculturist Office (PR# 177)</t>
  </si>
  <si>
    <t>ITDI-200227_REBID - SUPPLY AND DELIVERY OF LEVER ARCH FILE AND FILE FOLDERS</t>
  </si>
  <si>
    <t>Supply and Delivery of 10pcs Water Resistant 2-way Radio</t>
  </si>
  <si>
    <t>Provision of Security Services for eleven (11) Security Guards  within DENR-PENRO Quezon for six months starting July-December for CY-2020</t>
  </si>
  <si>
    <t>Purchase of Two (2) units Projector as requested by Dalubhasaan ng Lungsod ng Lucena (PR# 63)</t>
  </si>
  <si>
    <t>Supply and Installation of CCTV Fiber Optic</t>
  </si>
  <si>
    <t>ITDI-200233_REBID - MICRO ANALYSIS FOR SIOPAO AND EMPANADA</t>
  </si>
  <si>
    <t>Printing of Various forms as requested by CHO (PR# 162)</t>
  </si>
  <si>
    <t>CY 2020 Quick Response Fund (QRF) Repair and Rehabilitation of School Building – Lot 6 – Repair and Rehabilitation of  Classrooms at Rizal Elementary School, Ibajay, Aklan and Muguing Elementary Schoo</t>
  </si>
  <si>
    <t>payments under the contract for the project CY 2020 Quick Response Fund (QRF) Repair and Rehabilitation of School Building – Lot 10 – Repair and Rehabilitation of Classrooms at Tayhawan Elementary Sch</t>
  </si>
  <si>
    <t>CY 2020 Quick Response Fund (QRF) Repair and Rehabilitation of School Building – Lot 9 – Repair and Rehabilitation of  Classrooms at Unidos Elementary School, Nabas, Aklan</t>
  </si>
  <si>
    <t>CY 2020 Quick Response Fund (QRF) Repair and Rehabilitation of School Building – Lot 7 – Repair and Rehabilitation of  Classrooms at Guanko Elementary School, Balete, Aklan, Pepe Elementary School, Bu</t>
  </si>
  <si>
    <t>CY 2020 Quick Response Fund (QRF) Repair and Rehabilitation of School Building – Lot 3 – Repair and Rehabilitation of  Classrooms at Tangalan National High School, Tangalan, Aklan</t>
  </si>
  <si>
    <t>CY 2020 Quick Response Fund (QRF) Repair and Rehabilitation of School Building – Lot 2 – Repair and Rehabilitation of  Classrooms at Cayangwan Elementary School, Makato, Aklan and Rosal Elementary Sch</t>
  </si>
  <si>
    <t>CY 2020 Quick Response Fund (QRF) Repair and Rehabilitation of School Building – Lot 5 – Repair and Rehabilitation of  Classrooms at Gibon Elementary School, Nabas, Aklan and Jose F. Meñez Memorial Na</t>
  </si>
  <si>
    <t>CY 2020 Quick Response Fund (QRF) Repair and Rehabilitation of School Building – Lot 13 – Repair and Rehabilitation of Classrooms at Maloco Elementary School, Ibajay, Aklan, Ondoy Elementary School, I</t>
  </si>
  <si>
    <t>ITDI-200208_REBID - SUPPLY AND DELIVERY OF PORTABLE AIRCOOLER AND STAND FAN</t>
  </si>
  <si>
    <t>CY 2020 Quick Response Fund (QRF) Repair and Rehabilitation of School Building – Lot 15 – Repair and Rehabilitation of Classrooms at San Isidro Elementary School, Ibajay, Aklan, New Buswang Elementary</t>
  </si>
  <si>
    <t>payments under the contract for the project CY 2020 Quick Response Fund (QRF) Repair and Rehabilitation of School Building – Lot 12 – Repair and Rehabilitation of Classrooms at Agbago Elementary Schoo</t>
  </si>
  <si>
    <t>CY 2020 Quick Response Fund (QRF) Repair and Rehabilitation of School Building – Lot 14 – Repair and Rehabilitation of Classrooms at Cabugao Primary School, Ibajay, Aklan, Naisud Central School, Ibaja</t>
  </si>
  <si>
    <t>CY 2020 Quick Response Fund (QRF) Repair and Rehabilitation of School Building – Lot 8 – Repair and Rehabilitation of  Classrooms at Batan Elementary School, Batan, Aklan, Mina-a Elementary School, Ib</t>
  </si>
  <si>
    <t>Other machineries and Equipment</t>
  </si>
  <si>
    <t>CY 2020 Quick Response Fund (QRF) Repair and Rehabilitation of School Building – Lot 11 – Repair and Rehabilitation of Classrooms at Cabugao Primary School, Buruanga, Aklan, Katipunan Elementary Schoo</t>
  </si>
  <si>
    <t>CY 2020 Quick Response Fund (QRF) Repair and Rehabilitation of School Building – Lot 4 – Repair and Rehabilitation of  Classrooms at Bakhaw Norte Integrated School, Kalibo, Aklan and Naile Elementary</t>
  </si>
  <si>
    <t>ITDI-200218_REBID - SUPPLY AND DELIVERY OF VARIOUS OFFICE SUPPLIES</t>
  </si>
  <si>
    <t>Construction of Slope Protection at Bone South Elementary School, Bone South, Nueva Vizcaya</t>
  </si>
  <si>
    <t>CY 2020 Quick Response Fund (QRF) Repair and Rehabilitation of School Building – Lot 16 – Repair and Rehabilitation of Classrooms at Catabana Primary School, Madalag, Aklan, Banay Banay Elementary Sch</t>
  </si>
  <si>
    <t>CY 2020 Quick Response Fund (QRF) Repair and Rehabilitation of School Building – Lot 20 – Repair and Rehabilitation of Classrooms at Libertad Elementary School, Nabas, Aklan, Nagustan Elementary Schoo</t>
  </si>
  <si>
    <t xml:space="preserve">CY 2020 Quick Response Fund (QRF) Repair and Rehabilitation of School Building – Lot 19 – Repair and Rehabilitation of Classrooms at Caticlan Elementary School, Malay, Aklan, Malay Elementary School, </t>
  </si>
  <si>
    <t>CY 2020 Quick Response Fund (QRF) Repair and Rehabilitation of School Building – Lot 17 – Repair and Rehabilitation of Classrooms at Cabatanga Elementary School, Makato, Aklan, Castillo Elementary Sch</t>
  </si>
  <si>
    <t>ITDI-200259_REBID - SUPPLY AND DELIVERY OF LAPTOP</t>
  </si>
  <si>
    <t>CY 2020 Quick Response Fund (QRF) Repair and Rehabilitation of School Building – Lot 27 – Repair and Rehabilitation of Classrooms at Tamalagon Integrated School, Tangalan, Aklan and San Roque Integrat</t>
  </si>
  <si>
    <t>CY 2020 Quick Response Fund (QRF) Repair and Rehabilitation of School Building – Lot 18 – Repair and Rehabilitation of Classrooms at Mantiguib Elementary School, Makato, Aklan, Argao Elementary School</t>
  </si>
  <si>
    <t>PROCUREMENT OF HARDWARE MATERIALS FOR CONSTRUCTION OF 83.95 LM. OPEN CANAL ALONG THE NATIONAL HIGHWAY AT ZONE II, LANUZA SURIGAO DEL SUR</t>
  </si>
  <si>
    <t>CY 2020 Quick Response Fund (QRF) Repair and Rehabilitation of School Building – Lot 26 – Repair and Rehabilitation of Classrooms at Union National High School, Nabas, Aklan</t>
  </si>
  <si>
    <t>CY 2020 Quick Response Fund (QRF) Repair and Rehabilitation of School Building – Lot 24 – Repair and Rehabilitation of Classrooms at New Washington Elementary School, New Washington, Aklan, Habana Int</t>
  </si>
  <si>
    <t>CY 2020 Quick Response Fund (QRF) Repair and Rehabilitation of School Building – Lot 21 – Repair and Rehabilitation of Classrooms at Rizal Elementary School, Nabas, Aklan, Badio Elementary School, Num</t>
  </si>
  <si>
    <t>ITDI-200240_REBID - SUPPLY AND DELIVERY OF HP 680 INK CARTRIDGE</t>
  </si>
  <si>
    <t>CY 2020 Quick Response Fund (QRF) Repair and Rehabilitation of School Building – Lot 22 – Repair and Rehabilitation of Classrooms at Solido Elementary School, Nabas, Aklan, Union Elementary School, Na</t>
  </si>
  <si>
    <t>PROCUREMENT OF HARDWARE MATERIALS FOR PROPOSED NURSERY ESTABLISHMENT</t>
  </si>
  <si>
    <t>ITDI-200217_REBID - SUPPLY AND DELIVERY OF VARIOUS OFFICE SUPPLIES</t>
  </si>
  <si>
    <t>CY 2020 Quick Response Fund (QRF) Repair and Rehabilitation of School Building – Lot 25 – Repair and Rehabilitation of Classrooms at Malinao School for Phlippine Craftsmen, Malinao, Aklan, Toledo Nati</t>
  </si>
  <si>
    <t>CY 2020 Quick Response Fund (QRF) Repair and Rehabilitation of School Building – Lot 23 – Repair and Rehabilitation of Classrooms at Guinbaliwan Elementary School, New Washington, Aklan, Sergio L. Tal</t>
  </si>
  <si>
    <t>PB PUR20-03-0341  SUPPLY AND DELIVERY OF VARIOUS COMPUTERS AND PRINTERS</t>
  </si>
  <si>
    <t>ITDI-200300_REBID - SUPPLY AND DELIVERY OF STRIP-CUT SHREDDER AND PRINTER</t>
  </si>
  <si>
    <t>NP2020-06 Procurement of Various Appliances GABMMC</t>
  </si>
  <si>
    <t>SVP PUR20-05-0391 Procurement of Acryclic emulsion clear, etc. for DPPS</t>
  </si>
  <si>
    <t>PROCUREMENT OF HABAL-HABAL MINI SPAREPARTS STORE WITH CARWASH WELDING AND VULCANIZING SHOP AT BARANGAY MAMPI, LANUZA, SURIGAO DEL SUR</t>
  </si>
  <si>
    <t>INSTALLATION OF STREET LIGHTS</t>
  </si>
  <si>
    <t>Repair and Maintenance of Fire Truck</t>
  </si>
  <si>
    <t>Furnishing of Construction Materials for Carol-an Dagyangaw SIP, Ayungon, Neg. Or.</t>
  </si>
  <si>
    <t>Furnishing of Construction Materials for Carol-an Dagyangaw SIP (CY 2019), Ayungon, Neg. Or.</t>
  </si>
  <si>
    <t>NP2020-03-176B Procurement of Various Printed Forms and Other Supplies GABMMC</t>
  </si>
  <si>
    <t>20GAA0073: Procurement of Turbo Diesel for use of various Service Vehicles and Equipment at Maintenance Section, DPWH-INFDEO, Laoag City</t>
  </si>
  <si>
    <t>SVP PUR20-03-0248 Procurement of Alcohol ethyl 70% for DPPS, PGH</t>
  </si>
  <si>
    <t>20GAA0071: Procurement of Unleaded Gasoline for use of Grasscutters and Chainsaw of Maintenance Section, DPWH-INFDEO, Laoag City</t>
  </si>
  <si>
    <t>Procurement (alcohol, liquid bleach, liquid hand soap,etc.)</t>
  </si>
  <si>
    <t>PB BAC1-20-013 SUPPLY AND DELIVERY OF CHEMICALS AND REAGENTS FOR 2020</t>
  </si>
  <si>
    <t>20GAA0072: Procurement of Gasoline Extra for use of various Service Vehicles at Maintenance Section, DPWH-INFDEO, Laoag City</t>
  </si>
  <si>
    <t>REHABILITATION OF WATER SYSTEM</t>
  </si>
  <si>
    <t>LAMINATING POUCH FILM/ID CORD</t>
  </si>
  <si>
    <t>NP2020-02-116B Procurement of Various Printed Forms and Other Supplies CTO SAH</t>
  </si>
  <si>
    <t>S  PUR20-05-0443 Procurement of Alcohol 69-72% ethanol for PSD</t>
  </si>
  <si>
    <t>NP2020-06-314 Procuerment of Various Office Supplies OVM</t>
  </si>
  <si>
    <t>SVP PUR20-06-0456 Procurement of Pre-Disinfectant for ORMAT-ORSA, PGH</t>
  </si>
  <si>
    <t>PB PUR20-04-0356 SUPPLY AND DELIVERY OF STEEL CABINET, BOOK SHELF TYPE for Medical Records Div., PGH</t>
  </si>
  <si>
    <t>NP2020-06-313 Procurement of Various Food and Drinks OVM</t>
  </si>
  <si>
    <t>TFB 19-304C Office Equipment and  Furniture</t>
  </si>
  <si>
    <t>20GAA0074: Procurement of Diesel for use of various Vehicles and Equipment at Maintenance Section, DPWH-INFDEO, Laoag City</t>
  </si>
  <si>
    <t>PROCUREMENT OF ADDITIONAL PAINTING MATERIALS FOR OFFICE OF THE CHIEF MINISTER</t>
  </si>
  <si>
    <t>Request for Quotation - Supply and Delivery of One (1) Unit Desktop Computer (CPDO)</t>
  </si>
  <si>
    <t>PB BAC1-20-003 MANNING OF EXISTING CCTV MONITORING STATION – ONE (1) YEAR CONTRACT</t>
  </si>
  <si>
    <t>PROCUREMENT OF CONSTRUCTION MATERIALS FOR OLD BARRACKS</t>
  </si>
  <si>
    <t>20HA0131 - REPAIR/MAINTENANCE OF MACAAS FLOOD CONTROL</t>
  </si>
  <si>
    <t>Request for Quotation - Supply and Delivery of Hardware Materials for Construction of Multi-purpose Hall at Baliang (20% EDF)</t>
  </si>
  <si>
    <t>PROCUREMENT OF ADDITIONAL MATERIALS FOR SKCC</t>
  </si>
  <si>
    <t>COMPLETION OF MULTI-PURPOSE HALL (CES), CAMBALO, CAJIDIOCAN, ROMBLON</t>
  </si>
  <si>
    <t>PROCUREMENT OF CONSTRUCTION MATERIALS FOR ADDITIONAL GUARDHOUSE FOR SECURITY (OCM – BARMM)</t>
  </si>
  <si>
    <t>NP2020-06-321 Procurement of Digital Duplicator, Copier with Printer and Scanner GABMMC</t>
  </si>
  <si>
    <t>NP2020-02-120 Procurement of Various Office Supplies CBO</t>
  </si>
  <si>
    <t>Request for Quotation - Supply and Delivery of Medical Equipment (CDRRMO)</t>
  </si>
  <si>
    <t>NP2020-06-317 Procurement of Air Conditioning Unit CBO</t>
  </si>
  <si>
    <t>NP2020-02-117B Procurement of Various Janitorial Supplies and Materials ONT, MHD, YDWB</t>
  </si>
  <si>
    <t>Request for Quotation - Supply and Delivery of One (1) Set Laptop Computer (SP)</t>
  </si>
  <si>
    <t>Request for Quotation - Supply and Delivery of Hardware Materials for Construction of Sabang Marine Sanctuary Boardwalk (CAgSO)</t>
  </si>
  <si>
    <t>NP2020-02-123 Procurement of Various Office Supplies CLO</t>
  </si>
  <si>
    <t>LIVELIHOOD SEEDING PROGRAM NSB (Bakery, Carpentry, Coffee Processing, Coffee shop, Eatery starter kit, handicrafts, Processed foods, and Store starter kits</t>
  </si>
  <si>
    <t>Request for Quotation - Supply and Delivery of Thirty (30) Units Bed Camp COT (CDRRMO)</t>
  </si>
  <si>
    <t>PROCUREMENT OF ADDITIONAL CONST MATERIALS FOR THE OCM FENCE REPAIR &amp; REHAB STEEL &amp; PAINTING WORKS PHASE 1</t>
  </si>
  <si>
    <t>Purchase of sacks of rice for the use of Brgy. Pinagbuhatan, Pasig City</t>
  </si>
  <si>
    <t>REHABILITATION OF MULTI-PURPOSE HALL, LICO, CAJIDIOCAN, ROMBLON</t>
  </si>
  <si>
    <t>REHABILITATION OF MULTI-PURPOSE HALL LUMBANG ESTE, CAJIDIOCAN, ROMBLON</t>
  </si>
  <si>
    <t>SUPPLY &amp; DELIVERY OF MATERIALS FOR THE CONSTUCTION FLOOD CONTROL, P-1 AT BRGY. BAGONG SIKAT</t>
  </si>
  <si>
    <t>PB PUR20-03-0308 SUPPLY, DELIVERY, COMMISSIONING AND INSTALLATION OF TELEPHONE VOICE AND DATA, VOICE BACKBONE AND NEW MAIN DISTRIBUTION FRAME (MDF) AT P-01 OBAS-ER AND DRUG TESTING FACILITY</t>
  </si>
  <si>
    <t>Purchase of various grocery items for the use of Brgy. Pinagbuhatan, Pasig City</t>
  </si>
  <si>
    <t>Request for Quotation - Supply and Delivery of Spare Parts for Repair and Maint. of Traffic Patrol Truck (CMO/Traffic Office)</t>
  </si>
  <si>
    <t>CONSTRUCTION FOR COCONUT PROCESSING CENTER FOR LIVELIHOOD PHASE II, LUMBANG ESTE, CAJIDIOCAN, ROMBLON</t>
  </si>
  <si>
    <t>SUPPLY &amp; DELIVERY OF MATERIALS FOR THE CONSTRUCTION OF MPDP AT BRGY. ANTIPULUAN</t>
  </si>
  <si>
    <t>Request for Quotation - Supply and Delivery of Ten (10) Cylinders Oxygen Tank (CDRRMO)</t>
  </si>
  <si>
    <t>PROCUREMENT OF ADDITIONAL CONST MATERIALS FOR THE OCM CONCRETE AND MASONRY WORKS PHASE 1</t>
  </si>
  <si>
    <t>PB PUE20-03-0274 SUPPLY, DELIVERY, INSTALLATION AND TESTING OF ELECTROCARDIOGRAPH MACHINE, DIGITAL, MULTI- CHANNEL FOR ADULT AND  PEDIATRIC PATIENTS</t>
  </si>
  <si>
    <t>Request for Quotation - Printing of Newsletter (19th Issue) (PIO)</t>
  </si>
  <si>
    <t>REHABILITATION OF MULTI-PURPOSE HALL LUMBANG WESTE, CAJIDIOCAN, ROMBLON</t>
  </si>
  <si>
    <t>Reques for Quotation - Supply and Delivery of Medical Supplies (CDRRMO)</t>
  </si>
  <si>
    <t>REHABILITATION OF WATER SUPPLY SYSTEM LUMBANG WESTE, CAJIDIOCAN, ROMBLON</t>
  </si>
  <si>
    <t>Procurement of 12000 pieces Packaging Materials with Prints for Mango Project</t>
  </si>
  <si>
    <t>Request for Quotation - Supply and Delivery of Fifty (50) pcs Particulate Filter Mask (CDRRMO)</t>
  </si>
  <si>
    <t>SUPPLY &amp; DELIVERY OF MATERIALS FOR THE CONSTRUCTION FENCE AT BRGY. IPILAN</t>
  </si>
  <si>
    <t>SUPPLY &amp; DELIVERY OF MATERIALS FOR THE CONSTRUCTION OF OF 2 STOREY MULTI PURPOSE BUILDING AT ESTRELLA VILLAGE</t>
  </si>
  <si>
    <t>SUPPLY &amp; DELIVERY OF MATERIALS FOR THE CONSTRUCTION CALATEGAS WTP’S STAFF HOUSE</t>
  </si>
  <si>
    <t>CONSTRUCTION OF FMR-ILAYA MARIGONDON, CAJIDIOCAN, ROMBLON</t>
  </si>
  <si>
    <t>Supply and delivery of culvert for septic vault</t>
  </si>
  <si>
    <t>Supply and delivery of materials for the construction of drainage canal at Purok 9 Poblacion</t>
  </si>
  <si>
    <t>SUPPLY &amp; DELIVERY OF MATERIALS FOR THE CONSTUCTION PRINCESS URDUJA WTP’S STAFF HOUSE</t>
  </si>
  <si>
    <t>Request for Quotation - Supply and Delivery of Spare Parts for Repair and Maint. of Fire Truck (BFP Danao City)</t>
  </si>
  <si>
    <t>REHABILITATION OF CAMBICANG MULTI-PURPOSE HALL, MARIGONDON, CAJIDIOCAN, ROMBLON</t>
  </si>
  <si>
    <t>SUPPLY &amp; DELIVERY OF MATERIALS FOR THE CONSTRUCTION OF WAREHOUSE AT MUNICIPAL AGRICULTURE OFFICE</t>
  </si>
  <si>
    <t>Procurement of various Laboratory Supplies and Materials for Mango Project</t>
  </si>
  <si>
    <t>PB PM20-010 COMPREHENSIVE PREVENTIVE MAINTENANCE SUPPORT SERVICES OF THE PGH SIEMENS HI-PATH 4000 IP-PBX EQUIPMENT</t>
  </si>
  <si>
    <t>Supply of Gasoline and Diesel through Fleet Card Technology System for Two (2) Years under ITB NO. PB20-01-015CORa-06</t>
  </si>
  <si>
    <t>Request for Quotation - Supply and Delivery of (500) Bags Fertilizer (CAgSO)</t>
  </si>
  <si>
    <t>supply and delivery of materials for the construction of culverts and box culverts</t>
  </si>
  <si>
    <t>Request for Quotation - Supply and Delivery of Plumbing Materials for Repair and Maint. of Main Line Leaks (City Admin./Waterworks Division)</t>
  </si>
  <si>
    <t>Supply and delivery of materials for the partial landscaping of municipal ground</t>
  </si>
  <si>
    <t>Request for Quotation - Supply and Delivery of Electrical Supplies for Bulk Water (CEO)</t>
  </si>
  <si>
    <t>Request for Quotation - Supply and Delivery of Foldable Tent (CDRRMO)</t>
  </si>
  <si>
    <t>IMPROVEMENT OF MULTI-PURPOSE HALL PHASE II- MUNICIPAL BUILDING, POBLACION, CAJIDIOCAN, ROMBLON</t>
  </si>
  <si>
    <t>Request for Quotation - Supply and Delivery of Eight (8) pcs Tires (CDRRMO)</t>
  </si>
  <si>
    <t>Supply &amp; Delivery of Materials ABC:884,533.12</t>
  </si>
  <si>
    <t>Supply and delivery of materials for the concreting of Km 80. Kiblagon road</t>
  </si>
  <si>
    <t>CONSTRUCTION OF FMR- SITIO SAED, TAGUILOS, CAJIDIOCAN, ROMBLON</t>
  </si>
  <si>
    <t>Labor and Materials for the repair and installation of Built In Cabinet</t>
  </si>
  <si>
    <t>Procurement of Services of DENR-EMB Recognized/Registered PCB Laboratory to Perform Oil Sampling and Analysis of Polychlorinated Biphenyls (PCBs) of Six (6) units of Unserviceable Transformers</t>
  </si>
  <si>
    <t>Procurement of various Supplies and Materials for Mango Processing Project</t>
  </si>
  <si>
    <t>Request for Quotation - Supply and Delivery of Plumbing Materials for Repair the Secondary Mainline Pipe at MPH, Looc,   Danao City (City Admin./Waterworks Division)</t>
  </si>
  <si>
    <t>Request for Quotation - Supply and Delivery of Personal Protective Equipment (CHO)</t>
  </si>
  <si>
    <t>Supply and delivery of materials for the construction of Sulop Municipal library</t>
  </si>
  <si>
    <t>Procurement of 18mm Screw Cap</t>
  </si>
  <si>
    <t>Request for Quotation - Supply and Delivery of One (1) Unit Transformer (City Admin./Waterworks Division)</t>
  </si>
  <si>
    <t>Request for Quotation - Supply and Delivery of Fertilizer for City Agriculture Services Office</t>
  </si>
  <si>
    <t>Supply and delivery of sybmersible pump and motor with complete accessories</t>
  </si>
  <si>
    <t>Request for Quotation - Supply and Delivery of Gate Valve to Control and Regulate the Water at Cambanay Pump Station (City Admin./Waterworks Division)</t>
  </si>
  <si>
    <t>furnishing/delivery of fuel, oil and lubricants</t>
  </si>
  <si>
    <t>Request for Quotation - Supply and Delivery of Six (6) pcs Tires (CDRRMO)</t>
  </si>
  <si>
    <t>20GPF0011: Supply and delivery of Thermoplastic Paints and mixtures for repair and maintenance of Reflective Thermoplastic Pavement Markings along National Road by the Maintenance Section within DPWH-</t>
  </si>
  <si>
    <t>Materials for Clean and Green</t>
  </si>
  <si>
    <t>Request for Quotation - Supply and Delivery of Plumbing Materials (City Admin./Waterworks Division)</t>
  </si>
  <si>
    <t>Request for Quotation - Supply and Delivery of Hardware Materials for Danao City Bulk Water (Phase 2) (20% EDF Current Appropriation)</t>
  </si>
  <si>
    <t>PURCHASE OF OFFICE SUPPLIES LGU, CAJIDIOCAN, ROMBLON</t>
  </si>
  <si>
    <t>Materials for Rehabilitation of St. Lights, Rehabilitation of Manhole Cover, CCTV Camera, Public Address System, CCTV Camera</t>
  </si>
  <si>
    <t>20GFG0017 - Procurement of Automatic Traffic Classifier</t>
  </si>
  <si>
    <t>20GFG0016 - Procurement of Tree Seedlings for use in the Tree Cutting and Replacement along Tigaon-Goa-San Jose-Lagonoy-Guijalo via San Vicente Road, Goa-San Jose Section Goa/San Jose, Camarines Sur</t>
  </si>
  <si>
    <t>Supply and Delivery of SHS School Supplies</t>
  </si>
  <si>
    <t>SUPPLY AND DELIVERY OF COMPUTER EQUIPMENT</t>
  </si>
  <si>
    <t>BONDPAPER, POWER SUPPLY, MONIOTR, PRINTER, INK</t>
  </si>
  <si>
    <t>ITB - PURCHASE OF CONSTRUCTION MATERIALS FOR THE EXPANSION OF STREETLIGHT PROJECT</t>
  </si>
  <si>
    <t>Supply and Delivery of Disaster Equipment</t>
  </si>
  <si>
    <t>SUPPLY AND DELIVERY OF TIRES</t>
  </si>
  <si>
    <t>Procurement of HEPA Filter</t>
  </si>
  <si>
    <t>PURCHASE/DELIVERY OF PLASTIC DENSIFIER/MELTER MACHINE FOR RESIDUAL WASTES</t>
  </si>
  <si>
    <t>Procurement of Janitorial Services</t>
  </si>
  <si>
    <t>One (1) Lot – Maintenance Support for Enterprise Storage Systems and Storage Area Network Devices, as per BSP Terms of Reference and Service Level Agreement (Multi-Year Contract)</t>
  </si>
  <si>
    <t>Supply and Delivery of MATH School Supplies</t>
  </si>
  <si>
    <t>Supply and Delivery of Office Equipment for MDRRM  Office</t>
  </si>
  <si>
    <t>Procurement of Security Services (For the Energy regulatory Commission's Main Office, Visayas Area Operations Service and Mindanao Area Operations Service)</t>
  </si>
  <si>
    <t>CONST. OF SK BUILDING</t>
  </si>
  <si>
    <t>FURNISIHNG/DELIVERY OF ASSORTED MEDICINES AND SUPPLIES</t>
  </si>
  <si>
    <t>SUPPLY AND DELIVERY OF MEDICAL EQUIPMENT</t>
  </si>
  <si>
    <t>Supply and Delivery of SCIENCE School Supplies</t>
  </si>
  <si>
    <t>ITB - PURCHASE OF CONSTRUCTION MATERIALS FOR THE TILES OF FLOORING OF MULTIPURPOSE HALL PROJECT</t>
  </si>
  <si>
    <t>ITB - PURCHASE OF CONSTRUCTION MATERIALS FOR THE CEILING AND PAINTING OF MULTIPURPOSE HALL PROJECT</t>
  </si>
  <si>
    <t>PROCUREMENT OF TWO (2) UNITS BRAND NEW DESKTOP COMPUTER</t>
  </si>
  <si>
    <t>Concreting of line canal</t>
  </si>
  <si>
    <t>Supply and Delivery of Filipino School Supplies</t>
  </si>
  <si>
    <t>Supply and Delivery of TLE School Supplies</t>
  </si>
  <si>
    <t>ITB- PURCHASE OF CONSTRUCTION MATERIALS FOR THE IMPROVEMENT OF SENIOR CITIZEN HALL PROJECT</t>
  </si>
  <si>
    <t>SUPPLY AND DELIVERY OF MOTORCYCLE VEHICLES</t>
  </si>
  <si>
    <t>Supply and Delivery of AP School Supplies</t>
  </si>
  <si>
    <t>Supply and Delivery of Spare Part for UD Nissan Dump Truck (RFQ20-24)</t>
  </si>
  <si>
    <t>Supply and Delivery of IT Equipment for RHU</t>
  </si>
  <si>
    <t>Supply and Delivery of Spare Part for Hino Dump Truck (RFQ20-25)</t>
  </si>
  <si>
    <t>Rehabilitation and Improvement of Pagbennecan - Tallaoen Road, Luna</t>
  </si>
  <si>
    <t>Procurement of 1 Lot Const. Materials (for AFP Training Cum Production)</t>
  </si>
  <si>
    <t>Reconstruction of Frontline Offices (Registrar, School Health Facility and Principal's Office) for health precautionary measures</t>
  </si>
  <si>
    <t>Construction of Slope Protection - (Balot Section) Pila</t>
  </si>
  <si>
    <t>Supply and Delivery of English School Supplies</t>
  </si>
  <si>
    <t>Construction of Farmers' Multi-Purpose Hall-Naguimba</t>
  </si>
  <si>
    <t>Supply and Delivery of Spare Part for Hino Dump Truck (RFQ20-26)</t>
  </si>
  <si>
    <t>Supply and Delivery of Admin Office Supplies</t>
  </si>
  <si>
    <t>Supply and Delivery of Materials for Installation of Municipal Streetlighting System</t>
  </si>
  <si>
    <t>Supply and Delivery of MAPEH School Supplies</t>
  </si>
  <si>
    <t>Improvement of Barangay I Farm to Market Road, San Fernando City</t>
  </si>
  <si>
    <t>Completion/Expansion of Vinegar Processing Center, Maragayap, Bacnotan</t>
  </si>
  <si>
    <t>Construction of Payocpoc Sur Slope Protection, Bauang</t>
  </si>
  <si>
    <t>ROAD REHABILITATION</t>
  </si>
  <si>
    <t>Construction of Ambaracao Farmers Multi-Purpose Center, Naguilian</t>
  </si>
  <si>
    <t>Rehabilitation of FMR- (Cudiamat Section), Bagbagotot</t>
  </si>
  <si>
    <t>Purchase of 1 Unit Emergency/Rescue Respond Vehicle, LGU-Culaba, Biliran</t>
  </si>
  <si>
    <t>Procurement, Delivery and Installation of 6 unit Split Type Air Conditioner</t>
  </si>
  <si>
    <t>Supply and Delivery of Air Conditioner  for Sangguniang Bayan Office and Session Hall</t>
  </si>
  <si>
    <t>Supply &amp; Delivery of Materials for Rehab/Repair of Cantilan Pioneer Jaycess School Building at Cantilan</t>
  </si>
  <si>
    <t>Supply &amp; Delivery of Materials for Construction of Sitio Ayoke Multi-purpose Hall</t>
  </si>
  <si>
    <t>Brgy Hall water system</t>
  </si>
  <si>
    <t>Continuation of Farmers' Multi-Purpose Hall-Lintic</t>
  </si>
  <si>
    <t>Supply and Installation of Toyota Hilux Accessories</t>
  </si>
  <si>
    <t>Supply and Delivery of Spare Part for Mitsubishi Pajero Jeep  (RFQ20-27)</t>
  </si>
  <si>
    <t>Retrofitting/Strengthening of Bridge 1 and Bridge 4, Caba and Naguilian</t>
  </si>
  <si>
    <t>SUPPLY &amp; DELIVERY OF CONSTRUCTION MATERIALS @  DUGSANGON CIP,SURIGAO DEL NORTE.</t>
  </si>
  <si>
    <t>Supply and Delivery of Materials for Repair of Agriculture Office</t>
  </si>
  <si>
    <t>Supply &amp; Delivery of Materials for Rehabilitation of Foot Road and Bridge at Purok 6 Barangay Calagdaan</t>
  </si>
  <si>
    <t>Supply &amp; Delivery of Materials for Concreting of Drainage Canal of Tigabong Elementary School</t>
  </si>
  <si>
    <t>Purchase of chlorine and powdered soap for Tabunok Public Market Disinfectant</t>
  </si>
  <si>
    <t>SH-006-2020 - PROCUREMENT OF SPARE PARTS FOR USE OF MITSUBISHI STRADA PICK-UP WITH PLATE NUMBER 062008 ASSIGNED IN THE OFFICE OF THE ASSISTANT DISTRICT ENGINEER.</t>
  </si>
  <si>
    <t>RFQ-007-2020 - PROCUREMENT OF OFFICE SUPPLIES TO BE USED FOR DPWH, CAPIZ 1ST DEO COMPOUND.</t>
  </si>
  <si>
    <t>Supply and Delivery of Business Permits and Stickers</t>
  </si>
  <si>
    <t>Procurement of Various Laboratory Gases for Alcohol Analysis</t>
  </si>
  <si>
    <t>PB-20-296, Supply &amp; Delivery of Forestry Seedlings for flood control and watershed protection on Ancestral Domain areas</t>
  </si>
  <si>
    <t>PB-20-294, Procurement of Food and Accommodation for the conduct of various training activities of PDRRMO - Cotabato Province</t>
  </si>
  <si>
    <t>One (1) Lot – BSP Web Security and Content Filtering System Enhancement Project, consisting of Supply, Delivery, Installation, Configuration, Testing and Commissioning of Blue Coat Secure Gateway (PRO</t>
  </si>
  <si>
    <t>Supply &amp; Delivery of Materials for Rehabilitation of Malinawa Tourism Cool Spring Phase 1</t>
  </si>
  <si>
    <t>PB-20-320, Supply &amp; Delivery of Vibrating Screen for Asphalt Plant, Pag-asa, Mlang, Cotabato</t>
  </si>
  <si>
    <t>PB-20-319, Supply &amp; Delivery of Electrical Supplies for Asphalt Plant, Pag-asa, Mlang, Cotabato</t>
  </si>
  <si>
    <t>PB-20-318, Supply &amp; Delivery of Automotive Parts and Supplies for Motorpool shop of Provincial Engineer’s Office, Amas, Kidapawan City</t>
  </si>
  <si>
    <t>Teachers' cubicle</t>
  </si>
  <si>
    <t>PB-20-317, Supply &amp; Delivery of Drone for Provincial Engineer’s Office, Amas, Kidapawan City</t>
  </si>
  <si>
    <t>Subscription to Acrobat Pro DC and Adobe Creative Cloud for Teams for 12 Months</t>
  </si>
  <si>
    <t>PB-20-295, Supply &amp; Delivery of Emergency Go Bag to be given to high-risk learners in the province</t>
  </si>
  <si>
    <t>Supply &amp; Delivery of Materials for Construction of Drainage Canal at Ortega Street, Cantilan</t>
  </si>
  <si>
    <t>PB-20-322, Supply &amp; Delivery of Basketball Boards with Ring to be given to various barangay recipients in the Province of Cotabato</t>
  </si>
  <si>
    <t>RFQ-006-2020 - PROCUREMENT OF MATERIALS FOR USE IN THE REPAINTING OF EDGELINE, CENTERLINE, BROKEN LINES, AND PEDESTRIAN LANES IN CONNECTION WITH THE REPAIR/MAINTENANCE OF NATIONAL ROADS AND BRIDGES (D</t>
  </si>
  <si>
    <t>PB-20-324, Supply &amp; Delivery of Hardware Supplies for distribution to different barangay/recipients of the Province of Cotabato</t>
  </si>
  <si>
    <t>Supply &amp; Delivery of Materials for Completion of Magosilom Day Care Center</t>
  </si>
  <si>
    <t>Road Concreting @ Sitio Sta. Ana Barangay Fatima Davao City</t>
  </si>
  <si>
    <t>Supply &amp; Delivery of Materials for Completion of Multi-purpose Tribal Hall</t>
  </si>
  <si>
    <t>PB-20-321, Supply &amp; Delivery of Hardware Supplies to be given to various clients in municipalities of Matalam, Carmen, Kabacan &amp; Mlang, Province of Cotabato</t>
  </si>
  <si>
    <t>Lot 6-Medicines</t>
  </si>
  <si>
    <t>PB-20-323, Supply &amp; Delivery of Hardware Supplies to be given to various clients in Aleosan and Pikit, Province of Cotabato</t>
  </si>
  <si>
    <t>20-06-446 Consolidated Meals and Snacks of the Different Offices of LGU Alamada 3rd Quarter 2020</t>
  </si>
  <si>
    <t>2583-20 Purchase of Assorted Palay Seeds</t>
  </si>
  <si>
    <t>20M0026 - Purchase of Materials for use in the Repainting of Centerline and Guardrails</t>
  </si>
  <si>
    <t>Rehabilitation of Roads and Bridges</t>
  </si>
  <si>
    <t>Lot 13-School Equipment</t>
  </si>
  <si>
    <t>2484-20 Procurement of Other Suppplies and Materials</t>
  </si>
  <si>
    <t>20M0027 - Purchase of Tire for use of Ford Fiera HI-2489, Mits. Canter H3-6253, Payloader L2-1234  and L2-1228 assigned in the Maintenance Section</t>
  </si>
  <si>
    <t>Lot 12-School Supplies</t>
  </si>
  <si>
    <t>SUPPLY AND DELIVERY OF SUPPLIES FOR INTERNET CONNECTIVITY UPGRADING</t>
  </si>
  <si>
    <t>2265-20 Purchase of Transformer, etc.</t>
  </si>
  <si>
    <t>LAPTOP</t>
  </si>
  <si>
    <t>PURCHASE OF DIESEL FUEL FOR THE MUNICIPAL TREASURER'S OFFICE - 3RD QUARTER CY 2020</t>
  </si>
  <si>
    <t>Laboratory supplies and equiipment</t>
  </si>
  <si>
    <t>INVITATION TO BID FOR Drugs and Medicines 01-2020-06</t>
  </si>
  <si>
    <t>PROCUREMENT OF VARIOUS ICT</t>
  </si>
  <si>
    <t>ACQUISITION OF FORENSIC TOOLS AND EQUIPMENT FOR CYBERCRIME DIVISION (CCD)</t>
  </si>
  <si>
    <t>Lot 14- School Equipment (for modules)</t>
  </si>
  <si>
    <t>Supply and Delivery of Diesel Fuel and Oil Lubricants for Farm to MArket Road - Purok 9</t>
  </si>
  <si>
    <t>SUPPLY AND DELIVERY OF CONSTRUCTION MATERIALS FOR THE CONSTRUCTION VARIOUS FACILITY IN LA ESPERANZA ELEMENTARY SCHOOL, TULUNAN, COTABATO</t>
  </si>
  <si>
    <t>Provision of Catering Services for the conduct of ATI-RTC MIMAROPA FY 2020 Midyear and Planning Workshop</t>
  </si>
  <si>
    <t>CONSTRUCTION OF CANAL LINING WITH PATHWAY AT P.BURGOS ST KANLURAN KROSARIO, CAVITE (PHASE 2)</t>
  </si>
  <si>
    <t>PURCHASE OF DRUGS AND MEDICINE AND VITAMINS</t>
  </si>
  <si>
    <t>PURCHASE OF SCHOOL SUPPLIES</t>
  </si>
  <si>
    <t>PURCHASING OF OFFICE SUPPLIES FOR THE USED OF BARANGAY SAGAD</t>
  </si>
  <si>
    <t>PURCHASE OF MEDICAL AND DENTAL SUPPLIES</t>
  </si>
  <si>
    <t>Provision of Corn Mill with Storage Facility</t>
  </si>
  <si>
    <t>Supply and delivery of Integrated Library System (lifetime) (University Library 2020)</t>
  </si>
  <si>
    <t>Purchase of School Sports materials</t>
  </si>
  <si>
    <t>Procurement of Catering Services for the conduct of the 3rd Level Training for the 2020 CPH Enumeration</t>
  </si>
  <si>
    <t>PURCHASE OF SCHOOL GARDEN TOOLS AND OTHER MATERIALS</t>
  </si>
  <si>
    <t xml:space="preserve">20DF0188 - 20DF0190 (By Contract) - Local Program – Local Infrastructure Program, Buildings and Other Structure,  Multipurpose/Facilities, Construction of Multipurpose Building Tierra El Pueblo Phase </t>
  </si>
  <si>
    <t>Purchase of School Forms and ID's</t>
  </si>
  <si>
    <t>Procurement of Anti-flu vaccines for the Oplan Bantay-Kalusugan : Immunization Program 2020</t>
  </si>
  <si>
    <t>Supply and Delivery of Supplies for Covid Response in School</t>
  </si>
  <si>
    <t>REHABILITATION OF SIXTEEN (16) UNITS CCTV CAMERAS AND REPLACEMENT OF VARIOUS MATERIALS AT BRGY. STA. ELENA, SAN PABLO CITY</t>
  </si>
  <si>
    <t>2020-06: ITB - Proposed Drainage at Zone 2, Happy Homes to Outfall, Concepcion Pequeña, Naga City</t>
  </si>
  <si>
    <t>Repair and maintenance of Government vehicle with Plate No. SAA3733 under IBULAO SW (ELF)</t>
  </si>
  <si>
    <t>2020-05: ITB - Proposed Drainage at Zone 2, Canuto Village, Concepcion Pequeña, Naga City</t>
  </si>
  <si>
    <t>Purchase of Hand Tractor</t>
  </si>
  <si>
    <t>CONSTRUCTION OF SOLID WASTE MANAGEMENT FACILITIES @ BRGY. TABUC, MOBO, MASBATE</t>
  </si>
  <si>
    <t>SUPPLY AND INSTALLATION OF AIRCON 2.5HP INVERTER SPLIT TYPE</t>
  </si>
  <si>
    <t>REHABILITATION OF BASKETBALL COURT</t>
  </si>
  <si>
    <t>Procurement of Office Supplies, Consumables and Equipment</t>
  </si>
  <si>
    <t>Procurement of Office Equipment for Barangay use</t>
  </si>
  <si>
    <t>Procurement of Supplies and Materials for Barangay Traffic Enforcers</t>
  </si>
  <si>
    <t>C20202941 Camera for use of PROVINCIAL VETERINARIAN'S OFFICE</t>
  </si>
  <si>
    <t>C20202949 IT Equipment for  official use of Provincial ELCAC Office</t>
  </si>
  <si>
    <t>Procurement of Barangay ID Printer colored for Barangay Magallanes use</t>
  </si>
  <si>
    <t>Office Equipment, Supplies and Consumables</t>
  </si>
  <si>
    <t>Procurement of Janitorial Supplies for Barangay Magallanes use</t>
  </si>
  <si>
    <t>Procurement of Cooling fans for Barangay Magallanes use</t>
  </si>
  <si>
    <t>Subscription to a Video Conferencing and Online Meeting Software</t>
  </si>
  <si>
    <t>PR000094_FTAD_Shopping-B_Laptops</t>
  </si>
  <si>
    <t>C20202960 Hardware Materials for Installation of 20 Units Isolation Room, Sports Academy Dormitory, DNSTC, Mankilam, Tagum City, DDN</t>
  </si>
  <si>
    <t>Procurement of Waste Segregation Program para sa Barangay Magallanes</t>
  </si>
  <si>
    <t>Procurement of Medical equipment for Barangay Clinic use</t>
  </si>
  <si>
    <t>Communication Equipment for DMPD-2020-0052</t>
  </si>
  <si>
    <t>Procurement of Motor vehicle for Barangay Peace and Order use</t>
  </si>
  <si>
    <t>C20202955  MEDICAL EQUIPMENT FOR THE USE OF DDNH-CARMEN ZONE</t>
  </si>
  <si>
    <t>Purchase of Baby Cereals and Other Complementary Food for Supplemental Feeding</t>
  </si>
  <si>
    <t>C20202953 Drugs &amp; Medicines for  THREE DDN HOSPITALS KAPALONG, IGACOS AND CARMEN ZONE</t>
  </si>
  <si>
    <t>C20202950 Agricultural Supplies  for PRODUCTION OF TISSUE CULTURE SEEDLINGS</t>
  </si>
  <si>
    <t>CONSTRUCTION/IMPROVEMENT OF MULTI-PURPOSE BUILDING (PHASE I)</t>
  </si>
  <si>
    <t>CONSTRUCTION OF BRGY. HALL/MULTI-PURPOSE BUILDING (PHASE I)</t>
  </si>
  <si>
    <t>Concreting of Paayas-Bobon-Bayog Linking Road</t>
  </si>
  <si>
    <t>PROCUREMENT OF MEDICAL SUPPLIES FOR USE OF THE RHU BEMONC FACILITY</t>
  </si>
  <si>
    <t>PROCUREMENT AND DELIVERY OF STORAGE RACK AND LOCKER</t>
  </si>
  <si>
    <t>IMPROVEMENT OF HEALTH CENTER AT BARANGAY BALUAN PROPER</t>
  </si>
  <si>
    <t>Concreting of 100 Linear Meter Soriano Street</t>
  </si>
  <si>
    <t>18 UNITS SOLAR STREET LIGHTS 30 WATTS WITH FREE INSTALLATION</t>
  </si>
  <si>
    <t>Concreting of 700 Linear Meter Barangay Sigayan Farm to Market Road</t>
  </si>
  <si>
    <t>PROCUREMENT AND DELIVERY OF STORAGE DEVICES</t>
  </si>
  <si>
    <t>336 vial Iopromide (Ultravist 370 50ml)</t>
  </si>
  <si>
    <t>Public Bidding for the Supply and Delivery of Construction Materials for the Repair/Rehab of Board Member’s Office at 3rd Floor Annex Building, Capiz Provincial Capitol, under ITB No. 2020-011R</t>
  </si>
  <si>
    <t>CONSTRUCTION OF BAYAOAS SRIP – IRRIGATION FACILITIES (PHASE I)</t>
  </si>
  <si>
    <t>C20202966 FUEL, OIL &amp; LUBRICANTS FOR THE PERIOD OF APRIL TO JUNE 2020</t>
  </si>
  <si>
    <t>Concreting of 100 Linear Meter Brgy. Buenavista Farm to Market Road</t>
  </si>
  <si>
    <t>20DL0217 - C. CONVERGENCE AND SPECIAL SUPPORT PROGRAM 1. CONSTRUCTION / IMPROVEMENT OF ACCESS ROADS LEADING TO DECLARED TOURISM DESTINATIONS 4. ACCESS ROAD LEADING TO LAMESANG BATO, CALAUAG, QUEZON</t>
  </si>
  <si>
    <t>20DL0216 - CONVERGENCE AND SPECIAL SUPPORT PROGRAM, CONSTRUCTION / IMPROVEMENT OF VARIOUS INFRASTRUCTURE IN SUPPORT OF NATIONAL SECURITY 1. ACCESS ROAD LEADING TO 85TH INFANTRY BATTALION BRGY. VILLA P</t>
  </si>
  <si>
    <t>20DL0212 - LOCAL PROGRAM, CONST. / REPAIR / REHAB. / IMPROVEMENT OF VARIOUS INFRASTRUCTURE INCLUDING LOCAL PROJECTS, NATIONAL ROADS AND BRIDGES, NATIONAL ROADS, CONSTRUCTION OF SLOPE PROTECTION ALONG</t>
  </si>
  <si>
    <t>20DL0210 - LOCAL PROGRAM, CONST. / REPAIR / REHAB. / IMPROVEMENT OF VARIOUS INFRASTRUCTURE INCLUDING LOCAL PROJECTS, NATIONAL ROADS AND BRIDGES, NATIONAL ROADS, CONSTRUCTION OF SLOPE PROTECTION ALONG</t>
  </si>
  <si>
    <t>SUPPLY AND DELIVERY OF MEDICAL AND LABORATORY SUPPLIES FOR USE OF KKH</t>
  </si>
  <si>
    <t>20DL0215 - ORGANIZATIONAL OUTCOME 2 : PROTECT LIVES AND PROPERTIES AGAINST MAJOR FLOODS, FLOOD MANAGEMENT PROGRAM, CONSTRUCTION/ MAINTENANCE OF FLOOD MITIGATION STRUCTURES AND DRAINAGE SYSTEMS 13. REH</t>
  </si>
  <si>
    <t>20DL0209 - 	LOCAL PROGRAM, CONST. / REPAIR / REHAB. / IMPROVEMENT OF VARIOUS INFRASTRUCTURE INCLUDING LOCAL PROJECTS, NATIONAL ROADS AND BRIDGES, NATIONAL ROADS, CONSTRUCTION OF SLOPE PROTECTION ALONG</t>
  </si>
  <si>
    <t>20DL0211 - LOCAL PROGRAM, CONST. / REPAIR / REHAB. / IMPROVEMENT OF VARIOUS INFRASTRUCTURE INCLUDING LOCAL PROJECTS, NATIONAL ROADS AND BRIDGES, NATIONAL ROADS, CONSTRUCTION OF SLOPE PROTECTION ALONG</t>
  </si>
  <si>
    <t>20DL0213 - LOCAL PROGRAM, CONST. / REPAIR / REHAB. / IMPROVEMENT OF VARIOUS INFRASTRUCTURE INCLUDING LOCAL PROJECTS, NATIONAL ROADS AND BRIDGES, NATIONAL ROADS, CONSTRUCTION OF SLOPE PROTECTION ALONG</t>
  </si>
  <si>
    <t>20DL0208 - LOCAL PROGRAM, CONST. / REPAIR / REHAB. / IMPROVEMENT OF VARIOUS INFRASTRUCTURE INCLUDING LOCAL PROJECTS, NATIONAL ROADS AND BRIDGES, NATIONAL ROADS, CONSTRUCTION OF SLOPE PROTECTION ALONG</t>
  </si>
  <si>
    <t>20DL0214 - ORGANIZATIONAL OUTCOME 2 : PROTECT LIVES AND PROPERTIES AGAINST MAJOR FLOODS, FLOOD MANAGEMENT PROGRAM, CONSTRUCTION/ MAINTENANCE OF FLOOD MITIGATION STRUCTURES AND DRAINAGE SYSTEMS 6. CONS</t>
  </si>
  <si>
    <t>CONSTRUCTION OF VARIOUS INFRA PROJECTS</t>
  </si>
  <si>
    <t>FEASIBILITY STUDY OF BAYAMBANG PUMP IRRIGATION PROJECT</t>
  </si>
  <si>
    <t>PROCUREMENT MEALS AND SNACKS ACCOMMODATION WITH FORMULATION AND VALIDATION</t>
  </si>
  <si>
    <t>20DL0219 - LOCAL PROGRAM, LOCAL INFRASTRUCTURE PROGRAM, BUILDINGS AND OTHER STRUCTURES, MULTIPURPOSE / FACILITIES 35. CONSTRUCTION OF NEW MUNICIPAL HALL, GUMACA QUEZON</t>
  </si>
  <si>
    <t>PROPOSED WATER TANK FOR MUNICIPAL DISASTER RISK REDUCTION MANAGEMENT OFFICE (MDRRMO)FOR WATER SUPPLY OF  TEMPORARY FACILITY TO ACCOMMODATE COVID-19 PATIENT</t>
  </si>
  <si>
    <t>SUPPLY AND DELIVERY OF MATERIALS FOR THE CONSTRUCTION OF MATERIAL RECOVERY FACILITY</t>
  </si>
  <si>
    <t>20DL0218 - C. CONVERGENCE AND SPECIAL SUPPORT PROGRAM 3. CONSTRUCTION / IMPROVEMENT OF ACCESS ROADS LEADING TO TRADES, INDUSTRIES, AND ECONOMIC ZONES 5. ACCESS ROADS IN SUPPORT OF HANDICRAFTS, FOODS,</t>
  </si>
  <si>
    <t>Procurement of Materials for  Repair and Maintenance of Infrastructure Assets - MEO</t>
  </si>
  <si>
    <t>CONSTRUCTION OF DUMOLOC SRIP – FIELD OFFICE</t>
  </si>
  <si>
    <t>Request for Quotation for the Supply and Delivery of Diploma Holder for URS</t>
  </si>
  <si>
    <t>Procurement of Fuel, Oil and Lubricants for the Road Rehabilitation at Batong Buhay, So. Pandan, Claudio Salgado, Malisbong, San Nicolas, San Vicente, Eco Park, Cemetery Road(sto.niño) - MEO</t>
  </si>
  <si>
    <t>Request for Quotation for the supply and printing of Diploma with security features and internet validation for URS</t>
  </si>
  <si>
    <t>5020399000-282-2020</t>
  </si>
  <si>
    <t>Procurement of Fuel, Oil &amp; Lubricants for Road Rehabilitation (Guiron Creek,Brgy. Lagnas,Victoria, Tagumpay Ilvita)</t>
  </si>
  <si>
    <t>Installation of Street Lights</t>
  </si>
  <si>
    <t>Medical and Dental Supplies of the Health Section</t>
  </si>
  <si>
    <t>Procurement of Materials for the Construction of Stage - MEO</t>
  </si>
  <si>
    <t>Supply and Delivery of Laptop for URS</t>
  </si>
  <si>
    <t>Finishing Wokrs of Brgy. Dilan Multi-Purpose Hall</t>
  </si>
  <si>
    <t>HIRING OF RESEARCH BOAT AND MOTOR LAUNCH FOR OFFICIAL USE OF TUBBATAHA REEFS NATURAL PARK – MANAGEMENT OFFICE</t>
  </si>
  <si>
    <t>Repair &amp; Maintenance of Brgy. Facilities (Renovation of Brgy. Library)</t>
  </si>
  <si>
    <t>Supply and Delivery of various medicines for URS</t>
  </si>
  <si>
    <t>5021304001-075-2020</t>
  </si>
  <si>
    <t>CONSTRUCTION OF MULTI-PURPOSE SOLAR DRIER</t>
  </si>
  <si>
    <t>Supply &amp; delivery of materials for the Repainting of Brgy. Structures at Brgy. Hidalgo, Tanauan City, Batangas</t>
  </si>
  <si>
    <t>Finishing Wokrs of Brgy. Imbalbalatong Multi-Purpose Hall</t>
  </si>
  <si>
    <t>Procurement of LDRRM IT Equipment (1 lot CCTV Supply and Installation)</t>
  </si>
  <si>
    <t>Contract Package 7: Preventive Maintenance: a. Abanao Ext. – Chainage 008 – Chainage 111 (SO5052LZ) b. Major Mane Rd. – Chainage 057 – Chainage 112 (SO0489LZ) c. Quezon Hill Drive – Chainage 000 – Cha</t>
  </si>
  <si>
    <t>REHABILITATION OF FENCE (BARANGAY SITE)</t>
  </si>
  <si>
    <t>Construction / Rehabilitation of Water Supply / Septage and Sewerage / Rain Water Collector Systems - Rain Water Collectors in Public Facilities - CAR</t>
  </si>
  <si>
    <t>Repair of Division Office (SDS and Supervisor Office)</t>
  </si>
  <si>
    <t>Improvement of Slaughter Building at Barangay Sto Nino 1st</t>
  </si>
  <si>
    <t>Asset Preservation - Rehabilitation/Reconstruction of National Roads with Slips, Slope Collapse, and Landslide - Secondary Roads, Abbut-Conner Road, K0558+(-282) - K0558+ (-247)</t>
  </si>
  <si>
    <t>2020-058, CONSTRUCTION OF MULTI-PURPOSE HALL AT PUROK 6, BARANGAY NALIN, MIDSAYAP, COTABATO</t>
  </si>
  <si>
    <t>Construction/ Improvement of Access Roads leading to Declared Tourism Destinations, Caglayan-Paddig-Cupis Road leading to Nabuangan River, Banselan Cave, Cupis Loomweaving, Conner, Apayao</t>
  </si>
  <si>
    <t>2020-057, COMPLETION OF COVERED COURT AT BARANGAY SAN ISIDRO, MIDSAYAP, COTABATO</t>
  </si>
  <si>
    <t>Reproduction of Detailed lesson Plan (Secondary)</t>
  </si>
  <si>
    <t>PURCHASE OF FOODS FOR FEEDING</t>
  </si>
  <si>
    <t>PURCHASE OF 1SET OF  DESKTOP COMPUTER</t>
  </si>
  <si>
    <t>INVITATION TO BID NO. UPRIIS-DI-CW-2020-04</t>
  </si>
  <si>
    <t>Comfort Rooms Repair and Floor Tiling Of Library Hub (TCES)</t>
  </si>
  <si>
    <t>Rehabilitation/ Reconstruction of Roads with Slips, Slope Collapse, and Landslide – Quezon Hill Rd #1 – K0308+153 – K0308+175, K0308+428 – K0308+447</t>
  </si>
  <si>
    <t>Request for Quotation of AMPE - Physical Examination</t>
  </si>
  <si>
    <t>Concreting of Road at Zone 5 Barangay Tondod</t>
  </si>
  <si>
    <t>REHABILITATION OF GYMNASIUM PHASE IV</t>
  </si>
  <si>
    <t>HO-CRT20-005 - Supply and Delivery of Large Format Printer, 44 inch / AO+size</t>
  </si>
  <si>
    <t>HO-MSD20-005 - Supply and Delivery of Heat Treatment Equipment</t>
  </si>
  <si>
    <t>Repair of Roof Taliba St. Near Brgy. Hall, Brgy. SRV. Navotas City</t>
  </si>
  <si>
    <t>HO-TFM20-055 &amp; HO-TFM20-059 - Supply and Delivery of Pressure Transducer &amp; Urinal Cartridge</t>
  </si>
  <si>
    <t>RFQ No. 2020-041: Procurement of supplies and materials for hazardous waste management</t>
  </si>
  <si>
    <t>PURCHASE AND INSTALLATION OF ONE (1) SET OF PUBLIC ADDRESS</t>
  </si>
  <si>
    <t>2020-059, EXPANSION OF RURAL HEALTH UNIT(RHU) BUILDING, POBLACION 3, MIDSAYAP, COTABATO</t>
  </si>
  <si>
    <t>Repair &amp; Maintenance of Brgy.Facilities (Jetmatic Pump)</t>
  </si>
  <si>
    <t>PURCHASE OF METAL PUSH CART FOR GARBAGE TRUCK</t>
  </si>
  <si>
    <t>PURCHASE OF TANOD SUPPLIES</t>
  </si>
  <si>
    <t>PURCHASE OF CCTV CAMERA</t>
  </si>
  <si>
    <t>Construction/ Improvement of Access Roads leading to Declared Tourism Destinations, Manag-Liwan Road leading to Purag River, Purag Cave and Bellang Cave, Conner, Apayao</t>
  </si>
  <si>
    <t>Supply and delivery of shirts for Info IEC on MMK School on the Air Program</t>
  </si>
  <si>
    <t>Supply and delivery of various materials for repair and maintenance of all BFAR3 Patrol Boats</t>
  </si>
  <si>
    <t>Supply and delivery of various materials for the use of ABMATC station for blue crab and ulang hatchery operation for CY 2020</t>
  </si>
  <si>
    <t>Minor Repair of 3 Classrooms In Brgy. San Isidro</t>
  </si>
  <si>
    <t>HO-TFM20-036 - Supply and Delivery of Acoustic Board</t>
  </si>
  <si>
    <t>Supply, Delivery and Installation of Prefab Container House for OpCen (2020-397)</t>
  </si>
  <si>
    <t>Establishment/Provision of Three unit Isolation Facilities in the Barangay in Relation to COVID-19 Situation</t>
  </si>
  <si>
    <t>Repair &amp; Maintenance of Brgy.Facilities (Brgy.Hall Electric Wirings)</t>
  </si>
  <si>
    <t>Supply and delivery of communication materials as additional fishing material/equipment in the commercial fishing boat for the Municipality of Casiguran, Aurora</t>
  </si>
  <si>
    <t>Supply and Delivery of Furniture for Operation Center (2020-398)</t>
  </si>
  <si>
    <t>Supply and Delivery of Real Time Kinematics (RTK) Survey Instruments for K2MIPP</t>
  </si>
  <si>
    <t>Construction of PCCP at Sitio Arinaar Road, Brgy. Magsaysay</t>
  </si>
  <si>
    <t>Procurement of 1 Lot Repair and Maintenance of Office Equipment (Air-condition) for the 3rd Quarter of 2020</t>
  </si>
  <si>
    <t>REPAIR, IMPROVEMENT OF 2 (TWO) STOCK ROOMS (REPAIR OF STEEL DOORS, STEEL WINDOWS, ELECTRICAL WIRES, CEILING &amp; ROOF).</t>
  </si>
  <si>
    <t>Construction of Public Market Roofing, Poblacion East</t>
  </si>
  <si>
    <t>Improvement of Barangay Hall</t>
  </si>
  <si>
    <t>Construction of Box Culvert at Barangay Patar</t>
  </si>
  <si>
    <t>Procurement of 1 Lot Repair and Maintenance of Office Equipment (Desktop Computer) for the 3rd Quarter of 2020</t>
  </si>
  <si>
    <t>RIPRAPPING OF DRAINAGE CANAL AT BALUAN PROPER</t>
  </si>
  <si>
    <t>Construction of PCCP at Sitio Barsak Road, Brgy. Gayusan</t>
  </si>
  <si>
    <t>Supply, Delivery and Installation of Firewall License Subscription Sofware for Basic Network Traffic Controller and Security (RMSC)</t>
  </si>
  <si>
    <t>Audio and Visual Equipments for SPJ Room and other supplies</t>
  </si>
  <si>
    <t>REPAIR, IMPROVEMENT OF COVERED COURT.</t>
  </si>
  <si>
    <t>Purchase of 3pcs T.V Monitor, 1pc. Refrigerator, 2pcs Sprayer</t>
  </si>
  <si>
    <t>Procurement of 1 Lot Repair and Maintenance of Office Equipment (Photocopier) for the 3rd Quarter of 2020</t>
  </si>
  <si>
    <t>PROCUREMENT OF OFFICE SUPPLIES (2nd Qtr)</t>
  </si>
  <si>
    <t>Supply and delivery of materials for the repair of Science Laboratory</t>
  </si>
  <si>
    <t>REHABILITATION OF MULTI PURPOSED BUILDING (GYM) THRU REPAIR AND WATER COLLECTION FOR ENVIRONMENT PROTECTION</t>
  </si>
  <si>
    <t>Purchase and delivery of 3 units Split type Airconditioner with Installation to be used in the Municipality of Concepcion, Tarlac</t>
  </si>
  <si>
    <t>Supply, Delivery, Testing and Commissioning of Brand New Land Ambulance (17 units)</t>
  </si>
  <si>
    <t>Construction of Evacuation Center P1 at Centro 3, Claveria, Cagayan</t>
  </si>
  <si>
    <t>Supply and delivery of materials for stage repair and roof replacement</t>
  </si>
  <si>
    <t>REPAIR OF MULTI PURPOSE BUILDING (GYM)</t>
  </si>
  <si>
    <t>VoIP Phones</t>
  </si>
  <si>
    <t>AMP SVP 20-06-0348: Carillon Magazine Printing</t>
  </si>
  <si>
    <t>OODS 2020-013(NP) Supply and Delivery of  2 units Tires and Starter Motor</t>
  </si>
  <si>
    <t>Construction of Evacuation Center P3 at Centro 2, Claveria, Cagayan</t>
  </si>
  <si>
    <t>CONSTRUCTION OF DRAINAGE CANAL AT LOWER BATO</t>
  </si>
  <si>
    <t>REPAIR, IMPROVEMENT, OF WATER &amp; SANITATION (WATSAN) IN VIEW OF COVID-19 PANDEMIC.</t>
  </si>
  <si>
    <t>Purchase and delivery of Materials for the Repair and Maintenance of 11 heavy equipment used in the Municipality of Concepcion, Tarlac</t>
  </si>
  <si>
    <t>Procurement of 1 Lot Repair and Maintenance of Office Equipment (Printers) for the 3rd Quarter of 2020</t>
  </si>
  <si>
    <t>Construction of Breast Feeding Room</t>
  </si>
  <si>
    <t>Construction of Evacuation Center P2 at Centro 5, Claveria, Cagayan</t>
  </si>
  <si>
    <t>Invitation to Bid Purchase of IT Equipments</t>
  </si>
  <si>
    <t>Request for Quotation for Air Conditioners 20-05-0319</t>
  </si>
  <si>
    <t>Concreting of Road at Juan Ambat Road, Barangay Parang, Bagac, Bataan</t>
  </si>
  <si>
    <t>20EB0125: Cluster 2020OPB-01: Repair/Maintenance of various DPWH Buildings: 1.	DPWH-Office Building (used by PNP Admin/Officer's Quarter/Male Barracks, Airport Road, Brgy. 9, Mamburao, Occ. Mindoro 2.</t>
  </si>
  <si>
    <t>Purchase of Vehicle</t>
  </si>
  <si>
    <t>INSTALLATION OF MISTING TENT,HANDWASHING STAND, FOOT BATH -Municipal Ground, Pob. 3</t>
  </si>
  <si>
    <t>Headset and Laptop Cooling Pad 20 units</t>
  </si>
  <si>
    <t>Supply and Delivery of Raw Materials/Ingredients (Foodstuff) for the Livelihood Program-Meat Processing of Salaknib Farmers Association</t>
  </si>
  <si>
    <t>20CSA004: LIDAR DATA MAPPING AND PARCELLARY/ UTILITIES, FACILITIES/ TOPOGRAPHIC SURVEY FOR THE PROPOSED CONSTRUCTION OF MISSING LINK/NEW ROADS, SAN MANUEL (PANGASINAN)- ITOGON (BENGUET) ROAD</t>
  </si>
  <si>
    <t>20CSA003: LIDAR DATA MAPPING AND PARCELLARY/ UTILITIES, FACILITIES/ TOPOGRAPHIC SURVEY FOR THE PROPOSED CONSTRUCTION OF MISSING LINK/NEW ROADS, BOLINAO-DASOL COASTAL ROAD, PANGASINAN</t>
  </si>
  <si>
    <t>20CSAD03 : Sub-surface Exploration of Bridges, Ilocos Sur 2nd LD For FY 2021 (Bayugao Bridge, Sta. Cruz Bridge, Tulay Bridge, Alambique Bridge, Caterman Bridge, Bajung Bridge, Amosting Bridge, Brgy. L</t>
  </si>
  <si>
    <t>Construction of Multi- Purpose Hall at Barangay Santiago, Naujan, Oriental Mindoro</t>
  </si>
  <si>
    <t>SUPPLY AND DELIVERY OF VARIOUS OFFICE SUPPLIES FOR OFFICIAL USE OF PENRO ORIENTAL MINDORO</t>
  </si>
  <si>
    <t>Rehabilitation of various road</t>
  </si>
  <si>
    <t>20CSDM03 – Conduct of Preliminary Detailed Engineering (Parcellary Survey) along San Francisco-San Andres-San Narciso Road, Quezon Province</t>
  </si>
  <si>
    <t>PROCUREMENT AND DELIVERY OF OFFICE AND IT EQUIPMENT</t>
  </si>
  <si>
    <t>PROCUREMENT AND DELIVERY OF NUTRITIONAL FOODS</t>
  </si>
  <si>
    <t>IB-01-0206-20 VPAFEA SUPPLY, DELIVERY AND INSTALLATION OF GENERATOR SET</t>
  </si>
  <si>
    <t>40 pcs. Correction marker (tape)</t>
  </si>
  <si>
    <t>Procurement of PRDP Vehicle Tires Intended for Year 2020</t>
  </si>
  <si>
    <t>IB-01-0186-20 COE-CE SUPPLY AND DELIVERY OF LABORATORY EQUIPMENT</t>
  </si>
  <si>
    <t>20GEB0006: Procurement/Supply of Diesel Fuel for use in the operation of DPWH Service Vehicles for Mindoro Occidental DEO Construction Section</t>
  </si>
  <si>
    <t>Rehab/Maintenance of Manlin-Pamintayan &amp; Delmonte Road</t>
  </si>
  <si>
    <t>PROCUREMENT AND DELIVERY OF MEDICINE</t>
  </si>
  <si>
    <t>Repair of One (1) unit, Three (3) Classroom School Building at Mangatarem II Central E/S</t>
  </si>
  <si>
    <t>Roofing of Existing Bleachers at Longos E/S, Calasiao, Pangasinan</t>
  </si>
  <si>
    <t>20II0061, Repair and Maintenance of Road Safety Facilities (Supply, Delivery and Installation of Danger, Hazard, Warning, Regulatory and Informative Signages) along Catarman Laoang Road, Laoang –Catub</t>
  </si>
  <si>
    <t>Construction of Breakwater for Storm Surge Mitigation</t>
  </si>
  <si>
    <t>PROPOSED IMPROVEMENT/REHABILITATION OF THE CITY PEOPLE’S ASTRODOME (INTERIOR AND INCLUDING FAÇADE) AT BARANGAY TAPUAC, DAGUPAN CITY</t>
  </si>
  <si>
    <t>Bid No. 20-0274 - PROCUREMENT OF CONSTRUCTION MATERIALS - MEO (CONSTRUCTION OF COVERED COURT - BRGY. TUPAS, MARAGUSAN, DAVAO DE ORO)</t>
  </si>
  <si>
    <t>Construction of Covered Court at Gayusan Integrated School</t>
  </si>
  <si>
    <t>Supply and Delivery of Pre-Mix Asphalt and Emulsified Asphalt</t>
  </si>
  <si>
    <t>P.R 2020-02-048</t>
  </si>
  <si>
    <t>IMPROVEMENT OF LEVEL III WATER SYSTEM</t>
  </si>
  <si>
    <t>Procurement of Supplies and Materials for the Improvement of Water System</t>
  </si>
  <si>
    <t>Supply and Delivery of 160 MT Asphalt Pre-Mix and 8 drums Emulsified Asphalt</t>
  </si>
  <si>
    <t>Procurement of Supplies and Materials for the Improvement of Multi-Purpose Center</t>
  </si>
  <si>
    <t>Procurement of Supplies and Materials for the Construction of Garage</t>
  </si>
  <si>
    <t>Purchase and Delivery of Medical, Dental and Laboratory Supplies - MHO</t>
  </si>
  <si>
    <t>Rehabilitation of Health Center</t>
  </si>
  <si>
    <t>Supply and Delivery of 577 MT Asphalt Pre-Mix</t>
  </si>
  <si>
    <t>Procurement of Fluids</t>
  </si>
  <si>
    <t>Purchase and Delivery of Automated External Defibrillator (AED) Complete Set - MO-MDRRMO</t>
  </si>
  <si>
    <t>PURCHASE OF ONE(1)UNIT MINI-DUMP TRUCK SURPLUS</t>
  </si>
  <si>
    <t>Procurement of Niches</t>
  </si>
  <si>
    <t>Procurement of Educational Materials and Supplies (Rebidding)</t>
  </si>
  <si>
    <t>janitorial Supplies</t>
  </si>
  <si>
    <t>Procurement of IT Server</t>
  </si>
  <si>
    <t>Const of Deped</t>
  </si>
  <si>
    <t>Repair and improvement of 2 unit screen house</t>
  </si>
  <si>
    <t>Tagumpay St</t>
  </si>
  <si>
    <t>PURCHASE OF 75" LED TV, AIRCON, OFFICE TABLES AND CHAIRS</t>
  </si>
  <si>
    <t>For School / Office Supplies and other materials</t>
  </si>
  <si>
    <t>purchase of medical supplies</t>
  </si>
  <si>
    <t>Procurement of One (1) unit Motorcycle</t>
  </si>
  <si>
    <t>Bouldering with Railing @ Brgy. Labac, Cuenca, Batangas</t>
  </si>
  <si>
    <t>OFFICE SUPPLIES AND DEVICES</t>
  </si>
  <si>
    <t>CONSTRUCTION OF MULTI PURPOSE HALL</t>
  </si>
  <si>
    <t>Construction of Open Canal - Zone 1</t>
  </si>
  <si>
    <t>Improvement of Water Supply System @ Brgy. Dalipit East, Cuenca, Batangas (Re- post)</t>
  </si>
  <si>
    <t>Purchase of Materials for the Construction of Vermi Beds with Vermi Shed</t>
  </si>
  <si>
    <t>Construction of Pathway - Zone 1</t>
  </si>
  <si>
    <t>Supply and Delivery of Automation Equipment</t>
  </si>
  <si>
    <t>Bouldering with Railing @ Brgy. Poblacion VII, Cuenca, Batangas</t>
  </si>
  <si>
    <t>Supply and Delivery of Fogging Machine (Rebidding)</t>
  </si>
  <si>
    <t>Ink Printer</t>
  </si>
  <si>
    <t>Concreting of Farm-to Market Road w/ Drainage Canal</t>
  </si>
  <si>
    <t>MG-PAS20-010 - SAFETY SHOES &amp; WORK PROTECTION SHOES</t>
  </si>
  <si>
    <t>IMPROVEMENT OF HEALTH CENTER</t>
  </si>
  <si>
    <t>Irex Toner Cyan, Yellow, Magenta &amp; Black</t>
  </si>
  <si>
    <t>Supply and Delivery of uPVC Pipes #100mm dia (4" dia) x 6m (S-10)</t>
  </si>
  <si>
    <t>SUPPLY &amp; DELIVERY OF COMMUNICATION EQUIPMENT (CELLPHONES)</t>
  </si>
  <si>
    <t>PROCUREMENT OF ONE HUNDRED SIXTY (160) BAGS OF RICE (25 KILOS)</t>
  </si>
  <si>
    <t>Purchase of construction materials for the Rehabilitation of Barangay Roads @ Purok 7</t>
  </si>
  <si>
    <t>Crude/Diesel Oil</t>
  </si>
  <si>
    <t>Purchase of Solar Lights</t>
  </si>
  <si>
    <t>PURCHASE OF MESH NETS TO BE USED IN THE CONSTRUCTION OF NETHOUSES FOR THE DA-ACEF PROJECT</t>
  </si>
  <si>
    <t>PROCUREMENT OF ASSORTED ITEMS FOR MEALS AND SNACKS DURING THE REGULAR MEETING OF THE MUNICIPAL OFFICIALS AND DEPUTY MAYORS</t>
  </si>
  <si>
    <t>Purchase of Meals, Snacks and other Supplies to be used during the conduct of Revenue Generation Planning Workshop</t>
  </si>
  <si>
    <t>Acrylic Sandwich Board</t>
  </si>
  <si>
    <t>PR. 20-02-085 (2020-02-086 3RD QUOTE) PROCUREMENT OF UPVC BEND</t>
  </si>
  <si>
    <t>FURNISHING AND DELIVERY OF LABOR, MATERIALS AND EQUIPMENT FOR THE CONSTRUCTION OF MULTI-PURPOSE COVERED COURT PAHSE 2 AT BARANGAY, BACOLOD, JUBAN, SORSOGON</t>
  </si>
  <si>
    <t>Procurement of Office Equipment for the Office of TSP-SPM Maria Lourdes Kharin C. Momo</t>
  </si>
  <si>
    <t>Procurement of Vegetable Seeds for the Vegetable Production and Demonstration Site - HVCDP of MAGRO Laak, Davao De Oro</t>
  </si>
  <si>
    <t>Installation of Solar Streetlights @ Napapanayan, Brgy. Don Juan, Cuenca, Batangas</t>
  </si>
  <si>
    <t>PURCHASE OF TIRES</t>
  </si>
  <si>
    <t>Computer Table &amp; Computer Chair</t>
  </si>
  <si>
    <t>Installation of Street Lights (20 UNITS)</t>
  </si>
  <si>
    <t>Repair and maintenance of different airconditioning units in various offices in CGC</t>
  </si>
  <si>
    <t>Completion of Damilag Public Market (Construction of Waste Water Treatment Facilty)</t>
  </si>
  <si>
    <t>Procurement of One (1) unit Airconditioning for the Vice Governors Office.</t>
  </si>
  <si>
    <t>Bid No. 20-0275 - PROCUREMENT OF OFFICE SUPPLIES - MCR (MUNICIPAL CIVIL REGISTRAR</t>
  </si>
  <si>
    <t>Purchase and delivery of tornado box fan to be used be different offices of the CGC</t>
  </si>
  <si>
    <t>SUPPLY AND DELIVERY OF VARIOUS CI AND MECHANICAL FITTINGS FOR POTABLE WATER</t>
  </si>
  <si>
    <t>Procurement of Hardwares</t>
  </si>
  <si>
    <t>Construction of New Road at Sitio Pakiling</t>
  </si>
  <si>
    <t>Improvement of Executive Building</t>
  </si>
  <si>
    <t>Procurement of Office Supplies for 1st &amp; 2nd Qtr. to be use in Different Offices at LGU Sigma for day to day operation</t>
  </si>
  <si>
    <t>Repair and maintenance of dump truck assigned to CEPWD</t>
  </si>
  <si>
    <t>PROCUREMENT OF ENGINE FOR FOTON AMBULANCE</t>
  </si>
  <si>
    <t>CONSTRUCTION OF ISOLATION FACILITY, POBLACION, KITAOTAO, BUKIDNON</t>
  </si>
  <si>
    <t>20JBG0040 with PR No. 20-03-23 - For use in the operation of Heavy Equipments, Service Vehicles and other Equipments assigned n the Maintenance Section for  the repair and maintenance of bridges, this</t>
  </si>
  <si>
    <t>Supply and Delivery of Agricultural Products for the Support to Purok System (2nd posting)</t>
  </si>
  <si>
    <t>Procurement of Office Equipment to be use in Different Offices at LGU Sigma for day to day Operation</t>
  </si>
  <si>
    <t>Chemical Products</t>
  </si>
  <si>
    <t>COMPLETION OF SENIOR CITIZEN'S BUILDING - MATERIALS ONLY</t>
  </si>
  <si>
    <t>Bid No. 20-0276 - PROCUREMENT OF OFFICE SUPPLIES - MHO OPERATIONS</t>
  </si>
  <si>
    <t>Improvement of Barangay Health Station at Mabasa</t>
  </si>
  <si>
    <t>PROVISION OF WATCHMAN SERVICES FROM MARCH 1-DECEMBER 31, 2020</t>
  </si>
  <si>
    <t>Printing of Gold Card ID's of Socialized Medical Health Care Program of the CGC</t>
  </si>
  <si>
    <t>CONCRETING OF ROAD/ CONCRETING OF MPP IN BARANGAY. PROPER</t>
  </si>
  <si>
    <t>Improvement of Barangay Health Station at Belance</t>
  </si>
  <si>
    <t>Purchase and delivery of equipment and consumables to be used by BPLS</t>
  </si>
  <si>
    <t>Supply and Delivery of Materials for the Repair and Maintenance of Truck MRF Vehicle (Rescue) Hyundai</t>
  </si>
  <si>
    <t>Purchase and delivery of janitorial supplies for City Public Market</t>
  </si>
  <si>
    <t>Procurement of 1 Unit of Truck to be use for Transportation, Hauling and Towing Combine Harvester</t>
  </si>
  <si>
    <t>AIR CONDITIONER</t>
  </si>
  <si>
    <t>Purchase of Medical Oxygen Gas for the use of Ospital ng Lungsod ng San Jose Del Monte</t>
  </si>
  <si>
    <t>Procurement for Repair and Maintenance of Vehicle</t>
  </si>
  <si>
    <t>Procurement of Various Materials, Fuel and Lubricants for the Implementation of Road Rehabilitation Program.</t>
  </si>
  <si>
    <t>Supply and Delivery of Education Supplies for BALIK ESKWELA PROGRAM (2nd posting)</t>
  </si>
  <si>
    <t>Purchase of X-ray Supplies for the use of Ospital ng Lungsod ng San Jose Del Monte</t>
  </si>
  <si>
    <t>Provision of Vehicle Rentals ABC:472,500.00</t>
  </si>
  <si>
    <t>INSTALLATION OF 4 UNITS FLOOR MOUNTED INVERTER TYPE AIRCONDITIONING UNITS</t>
  </si>
  <si>
    <t>Purchase of Fuel for the Second Quarter</t>
  </si>
  <si>
    <t>Purchase of NBS Collection Kit for the use of Ospital ng Lungsod ng San Jose Del Monte</t>
  </si>
  <si>
    <t>Procurement of 1 Unit of Mini-Truck for the Implementation of Solid Waste Management and Environmental Program</t>
  </si>
  <si>
    <t>Supply and Delivery of Meals and Snacks Regular  for the 2nd Semester of 2020</t>
  </si>
  <si>
    <t>CONSTRUCTION OF MULTIPURPOSE BUILDING PHASE II, TAWAS, KITAOTAO, BUKIDNON</t>
  </si>
  <si>
    <t>CONSTRUCTION AND IMPROVEMENT OF WATER SYSTEM</t>
  </si>
  <si>
    <t>security services</t>
  </si>
  <si>
    <t>Improvement of Barangay Health Station at Bulala</t>
  </si>
  <si>
    <t>Printing of various Letterhead for the use of the Office of the City Mayor</t>
  </si>
  <si>
    <t>4 bags pre-starter feeds, etc.</t>
  </si>
  <si>
    <t>Supply and Delivery of Reagents used in Rural Health Unit Laboratory</t>
  </si>
  <si>
    <t>CONCRETING OF ROAD WITH DRAINAGE</t>
  </si>
  <si>
    <t>Agricultural Supplies Expenses (Organic Fertilizer)</t>
  </si>
  <si>
    <t>PURCHASE OF HIGH SPEED FULL COLOR INKJET PRINTER</t>
  </si>
  <si>
    <t>Procurement of 1 Unit of Trailer to be use for Transportation of Combine Harvester</t>
  </si>
  <si>
    <t>Cost of labor and materials for the maintenance for 2 units Generator Set for use at the Laoag City General Hospital</t>
  </si>
  <si>
    <t>PURCHASE OF HARDWARE MATERIALS FOR BARANGAY ACCESS ROAD CONSTRUCTION</t>
  </si>
  <si>
    <t>PURCHASE OF ONE MOTOR VEHICLE (AUV-BRAND NEW) FOR CITY MAYOR’S OFFICE USE</t>
  </si>
  <si>
    <t>Supply &amp; Delivery of Tire/Spare Parts ABC:94,080.00</t>
  </si>
  <si>
    <t>Purchase of Various Vitamins for Underweight Children</t>
  </si>
  <si>
    <t>20CN0149 - Retrofitting/Strengthening of Permanent Bridge – Aguang Br. (B03015LZ) along Baler – Casiguran Rd (Baler – Dinadiawan)</t>
  </si>
  <si>
    <t>Improvement of Barangay Health Station at New Gumiad</t>
  </si>
  <si>
    <t>bangus fingerlings</t>
  </si>
  <si>
    <t>INSTALLATION OF SOLAR STREETLIGHT-NAPNAPAN, PANTUKAN</t>
  </si>
  <si>
    <t>animal feeds</t>
  </si>
  <si>
    <t>Road Opening at Brgy. Odlot, Bogo City, Cebu</t>
  </si>
  <si>
    <t>Supply &amp; Delivery of Materials ABC:138,000.00</t>
  </si>
  <si>
    <t>Purchase of 1 unit Rescue Vehicle</t>
  </si>
  <si>
    <t>Supply and Delivery of Meals and Snacks Buffet for VIP Guests and Visitors for the 2nd Semester of 2020</t>
  </si>
  <si>
    <t>Bid No. 20-0277 - PROCUREMENT OF OFFICE SUPPLIES - MAGRO/FYD</t>
  </si>
  <si>
    <t>Acquisition of Brand New Garbage Truck</t>
  </si>
  <si>
    <t>SPECIALIZED FABRICATED GONGS FOR MANKAYAN FOUNDING ANNIVERSARY</t>
  </si>
  <si>
    <t>fishing gears</t>
  </si>
  <si>
    <t>INVITATION TO BID USED FOR THE MAINTENANCE OF MUNICIPAL VEHICLES &amp; HEAVY EQUIPMENT (MINI DUMP TRUCK, WATER TRUCK, CANTER TRUCK, FORWARD GARBAGE TRUCK, FORWARD WATER TRUCK, HOWO TRACK, TRACTOR, LOADER.</t>
  </si>
  <si>
    <t>Supply and Delivery of Various Equipment for different offices in the Municipality of Liliw</t>
  </si>
  <si>
    <t>GOODS-OE-19-2020</t>
  </si>
  <si>
    <t>PURCHASE OF MOTOR VEHICLE FOR CITY ADMINISTRATOR'S OFFICE USE</t>
  </si>
  <si>
    <t>Acquisition of Brand New Ambulance</t>
  </si>
  <si>
    <t>Acquisition of Brand New Mini Dump Truck</t>
  </si>
  <si>
    <t>DRUGS AND MEDICINES</t>
  </si>
  <si>
    <t>PURCHASE AND DELIVERY OF FEMALE GOATS AND BUCKS</t>
  </si>
  <si>
    <t>Purchase of Construction Materials for the Construction Truss and Roof System with Retro Fit for Covert Court of Rizal, San Guillermo, Isabela</t>
  </si>
  <si>
    <t>LBRDC Most Commonly Used Materials (Supply of Construction Materials)-Fire Rated Steel Door</t>
  </si>
  <si>
    <t>REHABILITATION OF PUBLIC ALLEY CENTRO 1</t>
  </si>
  <si>
    <t>REHABILITATION OF RAILINGS PUROK TANGKE</t>
  </si>
  <si>
    <t>CONSTRUCTION OF FACILITY (FUNCTION HALL) in Suhoton Cave, Brgy. Agcagay, Jamindan, Capiz</t>
  </si>
  <si>
    <t>Supply &amp; Delivery of Agricultural  Equipment ABC:100,000.00</t>
  </si>
  <si>
    <t>PURCHASE OF BRAND NEW SERVICE VEHICLE FOR USE AS SERVICE VEHICLE OF PUBLIC WORK DIVISION, CEO</t>
  </si>
  <si>
    <t>Tomato (Diamante/Red Gold), etc.</t>
  </si>
  <si>
    <t>Provision of Consultancy Services (July-December 2019) ABC:756,000.00</t>
  </si>
  <si>
    <t>Supply of 1 unit Pick up type Vehicle 4x4</t>
  </si>
  <si>
    <t>INVITATION TO BID FOR THE IMPROVEMENT OF PROPER LANGCANGAN WATER SYSTEM, PUROK 6, BARANGAY PROPER LANGCANGAN, OROQUIETA CITY</t>
  </si>
  <si>
    <t>Purchase and Deliver of Materials for the Construction of Water System Level II Phase III</t>
  </si>
  <si>
    <t>PURCHASE OF 4 WHEELER-TRUCK FOR SOCIO ECONOMIC ENTERPRISE UNIT-MARKETS USE</t>
  </si>
  <si>
    <t>Acquisition of Close Circuit Television (CCTV)</t>
  </si>
  <si>
    <t>MUNICIPAL BUILDING FACADE &amp; RELOCATION OF FLAGPOLE at Brgy. Poblacion, Jamindan, Capiz</t>
  </si>
  <si>
    <t>UPLB-RQ-6-123-20-RES SUPPLY AND DELIVERY OF LABORATORY SUPPLIES &amp; EQUIPMENT FOR BIOTECH</t>
  </si>
  <si>
    <t>Soil Covering of the Existing Open Dumpsite</t>
  </si>
  <si>
    <t>Procurement of One (1) Unit CACAO GRINDER in Support to Cacao/Coffee Village Plantation</t>
  </si>
  <si>
    <t>CONCRETING OF FMR(PUROK 3) MANLUCUGAN AND CONSTRUCTION OF TEMPORARY CONTAINMENT FACILITY WITH MTLS. RECOVERY FACILITY - BRGY. MANGCAWAYAN ISLAND</t>
  </si>
  <si>
    <t>PURCHASE OF MANUAL BP APPARATUS</t>
  </si>
  <si>
    <t>Supply &amp; Delivery of Various Agri Supplies ABC:101,500.00</t>
  </si>
  <si>
    <t>Supply &amp; Delivery of Various Supplies ABC:50,050.00</t>
  </si>
  <si>
    <t>PURCHASE OF HARDWARE MATERIALS FOR BASBETBALL COURT</t>
  </si>
  <si>
    <t>Supply &amp; Delivery of Laboratory Supplies ABC:57,000.00</t>
  </si>
  <si>
    <t>Road Rehabilitation/Improvement of Various Brgy. Roads</t>
  </si>
  <si>
    <t>Supply and Delivery of Siren</t>
  </si>
  <si>
    <t>UPLB-RQ-6-124-20-RES SUPPLY AND DELIVERY OF CHEMICALS &amp; CHEMICAL PRODUCTS FOR BIOTECH</t>
  </si>
  <si>
    <t>CONSTRUCTION MATERIALS AND SUPPLIES FOR THE COMPLETION OF LITEN MULTI-PURPOSE HALL, SUYOC, MANKAYAN</t>
  </si>
  <si>
    <t>INVITATION TO BID FOR THE IMPROVEMENT OF VICTORIA  WATER SYSTEM, BARANGAY VICTORIA, OROQUIETA CITY</t>
  </si>
  <si>
    <t>CONSTRUCTION OF RIPRAP ALONG FARM TO MARKET ROADS (FMR)</t>
  </si>
  <si>
    <t>Supply &amp; Delivery of Cacao Seedlings ABC:510,000.00</t>
  </si>
  <si>
    <t>CONSTRUCTION OF DRAINAGE SYSTEM WITH COVER @ZONE 2 (RALS SELIBIO AREA)</t>
  </si>
  <si>
    <t>Supply of 153 boxes Plain Continous Form 279mm x 241mm, Single Ply (2,000 sheets/box)</t>
  </si>
  <si>
    <t>PURCHASE OF INFANT WEIGHING SCALE</t>
  </si>
  <si>
    <t>Supply &amp; Delivery of Planting Materials ABC:542,000.00</t>
  </si>
  <si>
    <t>LBRDC Most Commonly Used Materials (Supply of Glass and Stainless Materials)</t>
  </si>
  <si>
    <t>MG-PLM20-074 - WRENCH, TORQUE S-WRENCH TORQUE</t>
  </si>
  <si>
    <t>MG-PLM20-071 - CALIBRATION OF SURVEY INSTRUMENT: SOKKIA GRS2, REAL TIME KINEMATIC (RTK) GLOBAL NAVIGATION SATELLITE SYSTEM (GNSS) RECEIVER</t>
  </si>
  <si>
    <t>REHABILITATION OF MUNICIPAL BUILDING (TILE WORKS AND OTHER RELATED STRUCTURAL WORKS)</t>
  </si>
  <si>
    <t>CONSTRUCTION MATERIALS AND SUPPLIES FOR THE IMPROVEMENT OF KAMANUKOB-NAKAWA WWS, GUINAOANG</t>
  </si>
  <si>
    <t>MATERIALS FOR THE INSTALLATION OF SOLAR LIGHTS - SABANG AND PURCHASE/DEL. OF MEDICAL AND LABORATORY SUPPLIES</t>
  </si>
  <si>
    <t>Supply &amp; Delivery of Laboratory Supplies ABC: 327,000.00</t>
  </si>
  <si>
    <t>IMPROVEMENT/DEVELOPMENT OF MULTI-PURPOSE PUBLIC AUDITORIUM</t>
  </si>
  <si>
    <t>PURCHASE OF VARIOUS CONSTRUCTION MATERIALS AND SUPPLY FOR THE PROPOSED CONSTRUCTION OF LINING CANAL APPROXIMATELY 100m</t>
  </si>
  <si>
    <t>Concreting of Capayawan Alley Road (Phase II), Botolan, Zambales</t>
  </si>
  <si>
    <t>HARDWARE MATERIALS FOR THE CONSTRUCTION OF LOW COST HOUSING PHASE II -GAWAD KALINGA AND PURCHASE OF EXPANDED NBS TESTING KITS</t>
  </si>
  <si>
    <t>MG-PLM20-081 - FABRICATION AND INSTALLATION OF WOODEN CABINET AT NEW DREDGING OFFICE AND OTHER ACTIVITIES</t>
  </si>
  <si>
    <t>Supply of Plain Continous Form 140mm x 241mm, Single Ply (4,000 sheets/box)</t>
  </si>
  <si>
    <t>Supply &amp; Delivery of IT Supplies ABC:55,500.00</t>
  </si>
  <si>
    <t>Replacement/Supply, Delivery, Installation, Testing and Commissioning of One (1) Unit 3.0 TR Ceiling Mounted Inverter Type Air-conditioner of UCPB Clearing Center in Palm Towers Condominium</t>
  </si>
  <si>
    <t>MG-PLM20-079 - MAINTAINING A WATER LILY FREE AT THE SURGE POOL AREA, WHOLE YEAR ROUND WITHIN THE WHOLE BODY OF WATER</t>
  </si>
  <si>
    <t>MG-PLM20-084 - REPAIR AND RECONDITIONING OF SLURRY PUMP ROTOR OF THE DREDGING MACHINE</t>
  </si>
  <si>
    <t>REHABILITATION OF FOOTBRIDGE @ ZONE 2 (RELOCATION SITE) PUNONG 2</t>
  </si>
  <si>
    <t>MG-PLM20-082 - TO SUPPLY HYDRAULIC OIL FOR THE DREDGING MACHINE CONSUMPTION</t>
  </si>
  <si>
    <t>Construction/ Concreting of Provincial Roads, Highways and Bridges (Panhutungan Feeder Road Slope Protection)</t>
  </si>
  <si>
    <t>Supply of 12 pieces Pressure Gauge 2-1/2" dial</t>
  </si>
  <si>
    <t>Construction of Canal Lining at Marsellia St. Silangan I, Rosario, Cavite</t>
  </si>
  <si>
    <t>Procurement of Diesel Fuel for TSP-SPM Rainera M. Nazareno service vehicle.</t>
  </si>
  <si>
    <t>Covid Protection Supplies</t>
  </si>
  <si>
    <t>INSTALLATION OF SOLAR STREETLIGHTS AT BARANGAY POBLACION, ROSARIO, CAVITE</t>
  </si>
  <si>
    <t>MG-PLM20-096 - VACUUM INDUSTRIAL, 230 VOLTS POWER SUPPLY, WET &amp; SUPPLY</t>
  </si>
  <si>
    <t>MG-PLM20-085 - TO SUPPLY DIESEL &amp; 1 OTHER ITEM</t>
  </si>
  <si>
    <t>MGB XI - PROVISION OF ROOFING CANOPY AND REPAIR OF OFFICE AMENITIES</t>
  </si>
  <si>
    <t>RFQ - Assorted Information Technology Equipment &amp; Supplies for use in the Consolidation of Information Technology Equipment &amp; Supplies of DPWH-BCDEO</t>
  </si>
  <si>
    <t>CONCRETING OF ROAD/ CONCRETING OF MPP</t>
  </si>
  <si>
    <t>ITB NO. 2020-0014N Supply, Delivery, Testing, Integration, Training and  Commissioning of News Production Editing System with  Complete Accessories for the Mindanao Media Hub of the People’s Televisio</t>
  </si>
  <si>
    <t>Supply of three (3) units Tool Box</t>
  </si>
  <si>
    <t>PROCUREMENT OF SERVICE VEHICLE FOR MAYOR’S OFFICE</t>
  </si>
  <si>
    <t>CO - Breeding Stocks</t>
  </si>
  <si>
    <t>Purchase of Various Office Supplies (DepEd-Elem)</t>
  </si>
  <si>
    <t>Cont. Ref. No. 061-20: Improvement and Rehabilitation of Waterworks System at Pacalso Elementary School, AMPMNHS and itogon Training Center (ITC), Bua at Tuding, Itogon, Benguet</t>
  </si>
  <si>
    <t>Request for Quotation (FPMD-2020-06-0289 Water Dispenser)</t>
  </si>
  <si>
    <t>CONST. OF TIAONG MUN. HOSPITAL (HOSPITAL LIFT ELEVATOR/RESTRUCTURING/ROOFING)-MUNICIPAL GROUND, BRGY.POB.3</t>
  </si>
  <si>
    <t>Various Hardware, Electrical &amp; Industrial Supplies</t>
  </si>
  <si>
    <t>Procurement of One (1) unit Motorcycle for Provincial Governors Office Sport Activities.</t>
  </si>
  <si>
    <t>INVITATION TO BID FOR THE PROCUREMENT OF MATERIALS FOR REPAIR AND MAINTENANCE OF SCHOOL BUILDINGS</t>
  </si>
  <si>
    <t>LBRDC Most Commonly Used Materials (Supply of Electrical Materials)</t>
  </si>
  <si>
    <t>COMPUTER PRINTERS FOR IMS</t>
  </si>
  <si>
    <t>consultancy services</t>
  </si>
  <si>
    <t>Hiring of Consultancy services for the Development of Product Labelling Designs for 24 Start-up Food Processors of Ilocos Sur ( 24 product @ three design concepts )</t>
  </si>
  <si>
    <t>Supply and Delivery of Spareparts for Various Heavy Equipment Machineries</t>
  </si>
  <si>
    <t>IMPROVEMENT OF PUROK HOUSES</t>
  </si>
  <si>
    <t>RENOVATION OF STORAGE AND DISTRIBUTION DEPARTMENT (RE-BID) (BAC-IB NO. 2020-31)</t>
  </si>
  <si>
    <t>Supply, Delivery and Installation of CCTV Based Video Surveillance System at Municipal Annex Building at Poblacion, Dauis, Bohol.</t>
  </si>
  <si>
    <t>Bid No. 20-0278 - PROCUREMENT OF OFFICE SUPPLIES - MAGSO</t>
  </si>
  <si>
    <t>Supply and Delivery of Printing Supplies for different departments (Non-PS) (PR No. 2020-06-0560)</t>
  </si>
  <si>
    <t>LABORATORY SUPPLIES AND EQUIPMENT</t>
  </si>
  <si>
    <t>INVITATION TO BID ON DRILLING ONE (1) EXPLORATION/PRODUCTION WELL</t>
  </si>
  <si>
    <t>PURCHASE OF INFORMATION TECHNOLOGY FOR PEACE AND ORDER</t>
  </si>
  <si>
    <t>Procurement of Diesel Fuel for Provincial General Services Office service vehicle.</t>
  </si>
  <si>
    <t>JHS  Instructional Materials BONDPAPER TO BALLPEN</t>
  </si>
  <si>
    <t>REPAIR OF FARMERS TRAINING CENTER - CACANDONGAN, SAN JUAN, ILOCOS SUR</t>
  </si>
  <si>
    <t>Improvements/Rehab of Water System</t>
  </si>
  <si>
    <t>Procurement of Construction Materials &amp; Supplies for Line Canal at Barangay Luzon, Claveria, Cagayan Valley</t>
  </si>
  <si>
    <t>CONSTRUCTION OF CANAL LINING WITH COVER AND PATHWAYS AT BLOCK 6,BRGY.WAWA II,ROSARIO,CAVITE</t>
  </si>
  <si>
    <t>Purchasing of ICT Supplies and Accessories for the support in teleconferencing in office and work from home employees</t>
  </si>
  <si>
    <t>REGRAVELLING OF BARANGAY ROAD- Brgy. Behia</t>
  </si>
  <si>
    <t>Riprap Protection at Parang High School, Barangay Parang, Bagac, Bataan</t>
  </si>
  <si>
    <t>SUPPLY AND DELIVERY OF ONE (1) UNIT RING NET (2nd Publication</t>
  </si>
  <si>
    <t>Procurement of traffic violation receipts (triplicate)</t>
  </si>
  <si>
    <t>Procurement of Construction Materials &amp; Spplies of Slope Protection of Barangay Luzon, Claveria, Cagayan Valley</t>
  </si>
  <si>
    <t>Repair and Improvement of Electrical System at Masunurin Building 1 &amp; 2</t>
  </si>
  <si>
    <t>Supply &amp; Delivery of  Various Laboratory Supplies ABC:230,100.00</t>
  </si>
  <si>
    <t>Supply and Delivery of One (1) lot Sealed Lead Acid Battery</t>
  </si>
  <si>
    <t>20KB0165   Road Widening along Sayre Highway (Jct. Bukidnon – Davao City Rd – Cotabato Bdry) – K1586+100 – K1586+515  :	Spring, Kibawe, Bukidnon</t>
  </si>
  <si>
    <t>Bid No. 20-0279 - PROCUREMENT OF OFFICE SUPPLIES - MAGRO/RIC</t>
  </si>
  <si>
    <t>INVITATION TO BID FOR SUPPLY AND DELIVERY OF MATERIALS FOR THE Improvement of Water System at Barangay Tagpopongan, Babak District, IGaCoS under PR No. 004</t>
  </si>
  <si>
    <t>Procurement of Medical Equipment</t>
  </si>
  <si>
    <t>PROCUREMENT OF THREE (3) UNITS BRAND NEW MOTORCYCLE</t>
  </si>
  <si>
    <t>CONSTRUCTION MATERIALS FOR INSTALLATION OF HAND WASH STAND</t>
  </si>
  <si>
    <t>Purchase of several items for the repair of the NRO2 Pamegafanan Hall damaged tiles and door</t>
  </si>
  <si>
    <t>Rehabilitation of Barangay Outpost and extension of VAWC Desk</t>
  </si>
  <si>
    <t>PROCUREMENT OF APPLIANCES FOR EMERGENCY OPERATIONS CENTER</t>
  </si>
  <si>
    <t>PR 2020-03-038 Supply and Delivery of Materials for the use of Activity 303 (Guardrails Maintenance) along Daang Maharlika Road, Nabunturan – Maragusan Road and Nabunturan – Mainit Park road Daang Mah</t>
  </si>
  <si>
    <t>PRODUCTION OF DLP'S FOR THE NEW NORMAL</t>
  </si>
  <si>
    <t>SGOD Supplies 2020</t>
  </si>
  <si>
    <t>SUPPLY,DELIVERY AND INSTALLATION OF 24 UNITS STEEL RACK</t>
  </si>
  <si>
    <t>CONSTRUCTION OF BAHAY SILANGAN</t>
  </si>
  <si>
    <t>CONSTRUCTION OF FRUIT STAND</t>
  </si>
  <si>
    <t>Procurement of canned corned beef for augmentation support to LGUs to respond to the impact of COVID-19</t>
  </si>
  <si>
    <t>PURCHASE OF WASH SUPPLIES</t>
  </si>
  <si>
    <t>PR 2020-03-042 Leasing of One (1) Unit Service Vehicle Chargeable to Preliminary and Detailed Engineering (PDE)/ use for Survey Works *3 Projects under FY 2021 Convergence (DOT) 1.) Magnaga Road Circu</t>
  </si>
  <si>
    <t>Bid No. 20-0280 - PROCUREMENT OF OFFICE SUPPLIES - MAGRO/MCDC</t>
  </si>
  <si>
    <t>PROCUREMENT OF CONSTRUCTION MATERIALS FOR BACK STREET DRAINAGE CANAL, POBLACION, MANKAYAN, BENGUET</t>
  </si>
  <si>
    <t>CO - Vehicles (Motor)</t>
  </si>
  <si>
    <t>Supply &amp; Delivery of Various Laboratory Chemicals ABC:92,090.00</t>
  </si>
  <si>
    <t>REHABILITATION OF SLAUGHTER HOUSE</t>
  </si>
  <si>
    <t>20PI0096 - Maint, Repair and Rehab of Infrastructure Facilities and Other Related Activities 2. Calacaban Bridge Abutment Support, Sta. 0+000 - Sta. 0+150 (I.S.), Tadian, Mt. Province</t>
  </si>
  <si>
    <t>Furnishing/Delivery of Labor, Materials and Equipment</t>
  </si>
  <si>
    <t>PR 2020-03-043 Leasing of One (1) Unit Service Vehicle Chargeable to Preliminary and Detailed Engineering (PDE)/ Rocond Survey: *Daang Maharlika (Soo126MN) 69.494.km Davao De Oro</t>
  </si>
  <si>
    <t>PR 2020-03-044 Leasing of One (1) Unit Service Vehicle Chargeable to Preliminary and Detailed Engineering (PDE)/ Validation and Reconnaissance Survey of Project: *4 project under FY 2021 Regular Infra</t>
  </si>
  <si>
    <t>CONSTRUCTION MATERIALS AND SUPPLIES FOR LOWER PROPER COLALO GRAVELING, COLALO, MANKAYAN, BENGUET</t>
  </si>
  <si>
    <t>20KB0166   Road Widening along Sayre Highway (Jct. Bukidnon – Davao City Rd – Cotabato Bdry) – K1586+515 – k1588+100  :	Spring, Kibawe, Bukidnon</t>
  </si>
  <si>
    <t>Procurement of canned sardines for augmentation support to LGUs to respond to the impact of COVID-19</t>
  </si>
  <si>
    <t>Supply &amp; Delivery  of Proficiency Testing &amp; Certified Reference Materials ABC:77,000.00</t>
  </si>
  <si>
    <t>Procurement of e-Scan Corporate Edition (with Hybrid Network Support) 2 years license</t>
  </si>
  <si>
    <t>Supplies and Delivery of General Merchandise BDF, Capital Outlay and BDRRMF (Other property, Plant and Equipment), Clean and Green and IT equipments</t>
  </si>
  <si>
    <t>Purchase of Assorted Agricultural Seeds</t>
  </si>
  <si>
    <t>Purchasing of Printing and scanning equipment for the regional office and PSTCs MITHI 2020</t>
  </si>
  <si>
    <t>RFQ - Second (2nd) Appraiser for Properties located in Sta Rosa, Laguna</t>
  </si>
  <si>
    <t>Electrical Systems and Lighting Components</t>
  </si>
  <si>
    <t>ESTABLISHMENT OF WEAVING FACILITY</t>
  </si>
  <si>
    <t>CO - Technical and Scientific Equipment</t>
  </si>
  <si>
    <t>Supply &amp; Delivery of Microtubes ABC:73,400.00</t>
  </si>
  <si>
    <t>Supplies and Delivery of General Merchandise MOOE, BDRRMF (Office Supplies, Drugs and Medicince, Peace and Order, Electrical supplies, R-M CCTV CAMERA, Other property, Plant and Equipment, Refill Fire</t>
  </si>
  <si>
    <t>PROCUREMENT OF COMPUTER CPU</t>
  </si>
  <si>
    <t>SHALLOW  WELL</t>
  </si>
  <si>
    <t>Supply &amp; Delivery of Steel Cabinet ABC:60,000.00</t>
  </si>
  <si>
    <t>PROCUREMENT OF FACEMASK FOR SENIOR CITIZEN FOR THE MENACE OF N-COVID 19</t>
  </si>
  <si>
    <t>Construction of Concrete Footbridge</t>
  </si>
  <si>
    <t>Programmable Function Generator for Electronics Engineering Laboratory</t>
  </si>
  <si>
    <t>Purchase of Drugs and Medicines</t>
  </si>
  <si>
    <t>Procurement of RF Explorer Combo Spectrum Analyzer for Electronics Engineering Laboratory</t>
  </si>
  <si>
    <t>Supply &amp;  Delivery of Various Rice Seeds ABC:403,200.00</t>
  </si>
  <si>
    <t>CONDUCT OF ALTERNATIVE LIVELIHOOD TRAINING</t>
  </si>
  <si>
    <t>Procurement of Materials to be used for the 13rh World Skills ASEAN Competition 2020, Singapore</t>
  </si>
  <si>
    <t>Office supplies</t>
  </si>
  <si>
    <t>POROPOSED CONSTRUCTION OF CANAL AT BRGY II-B, SAN PABLO CITY</t>
  </si>
  <si>
    <t>Drugs and Medicines</t>
  </si>
  <si>
    <t>2020-MS-101 Compressed Air (Rebid)</t>
  </si>
  <si>
    <t>Supply &amp; Delivery  of Various Supplies ABC:51,000.00</t>
  </si>
  <si>
    <t>CONSTRUCITON MATERIALS FOR THE  REHAB AND CONSTRUCTION OF AMBABAG WWS AT GUINAONANG, MANKAYAN, BENGUET</t>
  </si>
  <si>
    <t>Supply &amp; Delivery of  other Supplies ABC:92,858.00</t>
  </si>
  <si>
    <t>CONDUCT OF SUBDIVISION SURVEY FOR NEW LANDS/COLLECTIVE CLOA UNDER RSS 44,45,46&amp; 47 (2nd posting)</t>
  </si>
  <si>
    <t>SUPPLY AND DELIVERY OF LABORATORY SUPPLIES (MICROPIPETTOR)</t>
  </si>
  <si>
    <t>Procurement of Variable Power Supply for Electronics Engineering Laboratory Use</t>
  </si>
  <si>
    <t>PR 2020-03-048 Supply and Delivery of Materials for Activity 71X – Special Maintenance of Reflective Thermoplastic Stripping Materials (Solid Form) along Asuncion – San Isidro – Laak – Veruela Road K1</t>
  </si>
  <si>
    <t>IMPROVEMENT / BEAUTIFICATION PHASE II OF SCHOOL STAGE</t>
  </si>
  <si>
    <t>Certification Audit for ISO 9001:2015 (Quality Management System)</t>
  </si>
  <si>
    <t>PR 2020-03-052 Supply and Delivery of Materials for Activity 71x – Special Maintenance of Reflective Thermoplastic Stripping Materials (Solid Form) along Montevista – DNAS Road 1413±602 – K1432+966 w/</t>
  </si>
  <si>
    <t>PR 2020-03-045 Leasing of One (1) Unit Service Vehicle Chargeable to Preliminary and Detailed Engineering (PDE)/ Use For Parcellary Survey - *Projects under FY 2021 Regular Infra/ DND Projects FY 2021</t>
  </si>
  <si>
    <t>Rehabilitation/Improvement of Brgy. Bagacay-Concord Road</t>
  </si>
  <si>
    <t>PR 2020-04-059 Supply and Delivery of Furnitures and Fixtures for use in the Planning and Design Section (EAO) DEO, Nabunturan, Davao De Oro</t>
  </si>
  <si>
    <t>Request for Quotation - Face Mask</t>
  </si>
  <si>
    <t>Cluster XXXX</t>
  </si>
  <si>
    <t>PR 2020-03-053 Supply and Delivery of Materials for the use of Activity 302 (Centerline and Lane Line Repainting) for Road Pavement Markings Maintenance along Daang Maharlika Road. (K1377+(-)201 – K14</t>
  </si>
  <si>
    <t>Supply and Delivery of Various I.T. Equipment for UTDC</t>
  </si>
  <si>
    <t>Construction of PCO/VIP Lounge at SAF Museum, HSAF, Camp Bagong Diwa, Bicutan, Taguig City</t>
  </si>
  <si>
    <t>SUBM#2020 -06 - 15 - To purchase fuel for use of H1-7456, H1-7483, 6FA-213, JDJ-706, SDK-391, SDK-421, SDK-487, SKS-150, H3-6643, Road Grader NI-1517 and Road Grader NI-1960,  Asphalt Kettle,  Road Ro</t>
  </si>
  <si>
    <t>ANNUAL SUBSCRIPTION OF SOPHOS (rfq#2020-02-1,312)-(pgo-pictd)</t>
  </si>
  <si>
    <t>Procurement of Analogue Electronics System Lab Kit for Electronics Engineering Laboratory</t>
  </si>
  <si>
    <t>Rehabilitation/Improvement of Brgy. Malino, Jiabong, Samar</t>
  </si>
  <si>
    <t>Procurement of One (1) unit Aircon  for Provincial Treasurer's Office.</t>
  </si>
  <si>
    <t>Supply and Delivery of One (1) Unit Brand New 4x4 Pickup Vehicle</t>
  </si>
  <si>
    <t>Furnishing and Delivery of Various Construction Materials for use in the Routine/ Maintenance Activities along Calapan South Road, CSR Jct. Pola Road &amp; CSR Jct. Minas Road, Calapan North Road and Repa</t>
  </si>
  <si>
    <t>SPORTING GOODS</t>
  </si>
  <si>
    <t>PROCUREMENT OF GENUINE HP TONER CARTRIDGES (For Existing units of HP Printers) (ITB # M20-06-01)</t>
  </si>
  <si>
    <t>SUPPLY AND DELIVERY OF MEALS AND SNACKS (rfq#2020-03-1,611)-(provl agriculture office)</t>
  </si>
  <si>
    <t>RFQ - 1pc. Engine Harness,8982605350 (Lot 1), 1 job Re-Harness (all engine wiring) for use for AAU-5242/6480 Isuzu Pick-up Dmax (Maintenance Section)</t>
  </si>
  <si>
    <t>PROCUREMENT OF ONE (1) UNIT LIFTING PLATFORM FOR MAINTENANCE OF SPORTS COMPLEX AND OTHER SCHOOL FACILITIES</t>
  </si>
  <si>
    <t>REHABILITATION OF BARANGAY ROADS PUROK 1-12</t>
  </si>
  <si>
    <t>PR 2020-04-060 Supply and Delivery of Inventory / Common Electrical Equipment for use in the Planning and Design Section DEO, Nabunturan, Davao De Oro</t>
  </si>
  <si>
    <t>SUPPLY AND DELIVERY OF OFFICE EQUIPMENT (rfq#2020-05-2,499)-(pswdo)</t>
  </si>
  <si>
    <t>Supply and Delivery of Various I.T. and Office Equipment for IMEAS</t>
  </si>
  <si>
    <t>Procurement of Security Services</t>
  </si>
  <si>
    <t>Supply and Delivery of Materials for the Repair and Improvement of Warehouse no. 3</t>
  </si>
  <si>
    <t>Cluster XXXXI</t>
  </si>
  <si>
    <t>PR 2020-05-068 Supply and Delivery of Inventory Office Equipment and Accessories for use in the Office of the District Engineer Planning and Design Section DEO, Nabunturan, Davao De Oro</t>
  </si>
  <si>
    <t>Cluster XXXXII</t>
  </si>
  <si>
    <t>PR 2020-04-064 Supply and Delivery of Materials for the use in 71x – (Special Maintenance – Kilometer Post) along Surigao – Davao Coastal Rd, Asuncion – San Isidro – Laak – Veruela RD, Benigno S. Aqui</t>
  </si>
  <si>
    <t>Continuation of CIT Building (Remaining Portion)</t>
  </si>
  <si>
    <t>CONSTRUCTION OF OUTDOOR WAITING AREA</t>
  </si>
  <si>
    <t>procurement of 1 unit telescope for Barangay Semirara, Caluya, Antique</t>
  </si>
  <si>
    <t>PR 2020-05-069 Supply and Delivery of Consumables for use in the Planning and Design Section (PDE) DEO, Nabunturan, Davao De Oro</t>
  </si>
  <si>
    <t>SUPPLY AND DELIVERY OF OUTDOOR SUPPLIES (rfq#2020-05-2,530)-(pgo-inremp-ptas)</t>
  </si>
  <si>
    <t>PROCUREMENT OF  INK FOR DESKTOP  COMPUTER FOR LGU OFFICES</t>
  </si>
  <si>
    <t xml:space="preserve">PR 2020-05-078 Supply and Delivery of Consolidated Fuel (Gasoline) for use in Activity 509 (Foreman Supervision): A.) along DNAS Road and Montevista – Compostela – New Bataan – Maragusan – Mati Bdry. </t>
  </si>
  <si>
    <t>Cluster XXXXIII</t>
  </si>
  <si>
    <t>PR 2020-05-081 Supply and Delivery of Printer Consumables and I.T. Supplies/ Equipments, for use in the Office of the Construction Section DEO, Nabunturan, Davao De Oro</t>
  </si>
  <si>
    <t>Supply/Delivery of  Rice for Provision of Support to Auxilliary Army Group  (PR# 20-06-0604)</t>
  </si>
  <si>
    <t>Development of Cold Spring Resort</t>
  </si>
  <si>
    <t>Procurement of Labor, Materials and Spare Parts for the Repair of Various Office Air Conditions</t>
  </si>
  <si>
    <t>Supply &amp; Delivery of Gasoline Rice Paddy Field Weeder ABC:62,500.00</t>
  </si>
  <si>
    <t>Procurement of 1 Unit of Hammer Mill/Bottle Crusher/Pulverizer for the Implementation of Solid Waste Management Program</t>
  </si>
  <si>
    <t>CONCRETING OF JOSE SAGUIN AND FLORENTINO SAGUIN STREETS AT POBLACION SOUTH, PIÑAN, Z.N.</t>
  </si>
  <si>
    <t>Purchase &amp; Delivery of Office Supplies &amp; Consumables for the Office of SPM Ronnie R. Rapanut</t>
  </si>
  <si>
    <t>Repair and Rehabilitation of Tarangnan Community Hospital</t>
  </si>
  <si>
    <t>Infrastructure Project: Renovation of stage ceiling , barangay Semirara, Caluya, Antique</t>
  </si>
  <si>
    <t>PR 2020-05-083 Supply and Delivery of Materials for the use in Sanitation and Gantry Facility Davao De Oro</t>
  </si>
  <si>
    <t>PROCUREMENT OF ONE (1) BRAND NEW VACUUM EXCAVATION TRUCK</t>
  </si>
  <si>
    <t>Rehab of Stage (Purok Malinawon) at Barangay Esperanza, Santo Tomas, Davao del Norte</t>
  </si>
  <si>
    <t>PURCHASE OF OFFICE EQUIPMENT FOR BAC OFFICE USE</t>
  </si>
  <si>
    <t>REPAIR AND MAINTENANCE OF TRANSPORTATION EQUIPMENT</t>
  </si>
  <si>
    <t>PR 2020-05-084 Supply and Delivery of Electrical &amp; Plumbing Supplies, for use in the Office of the District Engineer Nabunturan, Davao De Oro (for the 3rd quarter of 2020)</t>
  </si>
  <si>
    <t>20FK0054-Network Development-Const. of By-Pass and Diversion Roads-Barcelona-Casiguran Diversion Road, Casiguran Section, (Package 2) Casiguran, Sorsogon</t>
  </si>
  <si>
    <t>Supply &amp; Delivery of  Office Equipment ABC:76,000.00</t>
  </si>
  <si>
    <t>RFQ - Assorted Office Supplies (Lot 1), Assorted Janitorial Supplies (Lot 2) for use of Office Maintenance of Lower Agusan Development Project (LADP)</t>
  </si>
  <si>
    <t>PR 2020-05-092 Supply and Delivery of Printer Consumables, for use in the Office of the Maintenance Section DEO, Nabunturan, Davao De Oro</t>
  </si>
  <si>
    <t>Supply &amp; Delivery of  Agri marine and Supplies ABC:95,200.00</t>
  </si>
  <si>
    <t>EMBANKMENT/EARTFILLING OF SITE FOR NATIONAL LINE AGENCY BUILDING</t>
  </si>
  <si>
    <t>PR 2020-05-090 Supply and Delivery of Materials for the use in Isolation Tent (Quarantine Tent) DEO, Nabunturan, Davao De Oro</t>
  </si>
  <si>
    <t>Supply Delivery and Installation of One (1) Lot Air Quality Monitoring System and COMS</t>
  </si>
  <si>
    <t>Supply &amp; Delivery of  Purified Drinking Water ABC:84,000.00</t>
  </si>
  <si>
    <t>Purchase &amp; Delivery of Office Supplies &amp; Consumables  for the Office of SPM Mildred Elaydo</t>
  </si>
  <si>
    <t>Completion of Livelihood Center</t>
  </si>
  <si>
    <t>CHEMICALS AND CHEMICAL PRODUCTS</t>
  </si>
  <si>
    <t>Procurement of Vehicle Parts and Repair ( services &amp; parts)</t>
  </si>
  <si>
    <t>MATLS FOR THE INSTALLATION OF DIVIDER FOR QUARANTINE FACILITY (9 ROOMS) AT MALUID</t>
  </si>
  <si>
    <t>PR 2020-05-093 Supply and Delivery of Office Supplies, for use in the ISO Requirements DEO, Nabunturan, Davao De Oro</t>
  </si>
  <si>
    <t>COUNTERPART FOR THE CONSTRUCTION OF BASILISA TOURISM INN</t>
  </si>
  <si>
    <t>Procurement of Hand Sprayer use for Barangay and Municipal Facilities to Stop the Spread of COVID'19</t>
  </si>
  <si>
    <t>PURCHASE OF DISASTER RESPONSE/RESCUE VEHICLE</t>
  </si>
  <si>
    <t>Purchase &amp; Delivery of Janitorial &amp; Other Supplies for the Office of SPM Janina Joyce Tabios</t>
  </si>
  <si>
    <t>Procurement of Office Supplies (1st and 2nd Quarter of 2020)</t>
  </si>
  <si>
    <t>PR 2020-05-095 Supply and Delivery of Materials for the use in Activity 303 (Guardrails Maintenance) along Benigno S. Aquino Jr. National Highway, Asuncion – San Isidro – Laak – Veruela Road and Monte</t>
  </si>
  <si>
    <t>Construction of Vermi Culture Facility and Wood Vinegar Facility</t>
  </si>
  <si>
    <t>Bidding for Supply, Delivery, Installation and Commissioning of Various Medical Equipment - III</t>
  </si>
  <si>
    <t>Infrastructure Project: Renovation of Treasurer's Office ceiling, Barangay Semirara, Caluya, Antique</t>
  </si>
  <si>
    <t>Procurement of Surveying services</t>
  </si>
  <si>
    <t>Procurement of Motorcycle of PENRO Albay &amp; CENRO Guinobatan</t>
  </si>
  <si>
    <t>PR 2020-05-094 Supply and Delivery of Materials for the use in Activity 303 (Guardrails Maintenance) along Benigno S. Aquino Jr. National Highway, Asuncion – San Isidro – Laak – Veruela Road and Monte</t>
  </si>
  <si>
    <t>Female Native Carabao</t>
  </si>
  <si>
    <t>Supply and Delivery of Plastic Pallets</t>
  </si>
  <si>
    <t>CONSTRUCTION, SUPPLY &amp; INSTALLATION OF TWO (2) ATM SUNSHADE</t>
  </si>
  <si>
    <t>Supply &amp; Delivery of ICT Equipment (Line 1 -2) ABC:489,000.00</t>
  </si>
  <si>
    <t>PROCUREMENT OF ONE (1) UNIT BRAND NEW 6-WHEELER WATER TRUCK</t>
  </si>
  <si>
    <t>PR 2020-06-097 Supply and Delivery of Fuel, Additives, Lubricants &amp; Anti-corrosive for the use in Construction Section DEO, Nabunturan, Davao De Oro in the Implementation of Projects</t>
  </si>
  <si>
    <t>Re- Bidding for Supply, Delivery, Installation and Commissioning of Various Medical Equipment - II</t>
  </si>
  <si>
    <t>REPAIR &amp; MAINTENACE ICT EQUIP (CEISS-PH59,495.01)</t>
  </si>
  <si>
    <t>Stock Room, Concoction Center, Vermi Compositing and Plant Nursery</t>
  </si>
  <si>
    <t>Rice Subsidy</t>
  </si>
  <si>
    <t>Re-Bidding for Lot Bid Supply, Delivery, Installation and Commissioning for Central Monitor (2 units)  with Cardiac Monitor (16 units)</t>
  </si>
  <si>
    <t>INVITATION TO APPLY FOR ELIGIBILITY AND TO BID FOR THE SCIENCE RESEARCH FACILITY UNDER DESIGN AND BUILD SCHEME (REBIDDING)</t>
  </si>
  <si>
    <t>Procurement of Supply &amp; Delivery of Farm Inputs (Typhoon Ursula)</t>
  </si>
  <si>
    <t>Construction  of (Phase 1 of) 2 Storey Multi-purpose Building and Construction of Slope Protection</t>
  </si>
  <si>
    <t>Supply &amp; Delivery of  Rotary Weeder ABC:70,000.00</t>
  </si>
  <si>
    <t>FURNISHING &amp; DELIVERY OF VARIOUS  MATERIALS FOR CONCRETING OF BARANGAY ROAD AT MINANGA, CAMALANIUGAN, CAGAYAN - 1ST POSTING</t>
  </si>
  <si>
    <t>Supply and Delivery of BFAR Computer Hardware for the Office Productivity Project</t>
  </si>
  <si>
    <t>Regular Bidding 23/June/2020 - Procurement of Goods: Machinery &amp; Heavy Equipment's Spareparts for the use of CEO-Motorpool Repair &amp; Maintenance (PR#100-20-06-0087)</t>
  </si>
  <si>
    <t>Supply &amp; Delivery of other Supplies ABC:102,500.00</t>
  </si>
  <si>
    <t>Procurement of Construction materials and supplies</t>
  </si>
  <si>
    <t>Supply &amp; Delivery of  Materials for (repair &amp; maintenance of farm Machineries) ABC:105,900.00</t>
  </si>
  <si>
    <t>PROCUREMENT OF MEDICINES AND SUPPLIES</t>
  </si>
  <si>
    <t>BPSU Abucay Campus: Supply, Delivery and Installation of Laboratory Equipment for the Rehabilitation of BSA/BTVTE Building at BPSU Abucay Campus</t>
  </si>
  <si>
    <t>Lease Contract for 32 units of Digital Copier Machines for SEC Head Office and Extension Offices for a period of one (1) year.</t>
  </si>
  <si>
    <t>Procurement of Vehicle parts and accessories</t>
  </si>
  <si>
    <t>Repair/Improvement of Office</t>
  </si>
  <si>
    <t>20FK0055-Network Development-Const. of By-Pass and Diversion Roads-Barcelona-Casiguran Diversion Road, Casiguran Section, (Package 2-B) Casiguran, Sorsogon</t>
  </si>
  <si>
    <t>Supply, Delivery, and Installation of Enterprise Database Management Software for Linux Platform</t>
  </si>
  <si>
    <t>Supply &amp; Delivery of Steel Cabinet ABC:64,000.00</t>
  </si>
  <si>
    <t>Supply &amp; Delivery of other Supplies ABC:240,000.00</t>
  </si>
  <si>
    <t>PR-OE-2020-06-08/Tobtobob PIS &amp; Alfonso Lista, Ifugao PUMPSET</t>
  </si>
  <si>
    <t>Supply &amp; Delivery of Agricultural Supplies ABC:327,500.00</t>
  </si>
  <si>
    <t>Procurement of Veterinary Supplies</t>
  </si>
  <si>
    <t>CONSTRUCTION / IMPROVEMENT OF GOVERNMENT BUILDINGS: Repair/Rehab &amp; Improvement of Government Building</t>
  </si>
  <si>
    <t>PR 2020-03-049 Supply and Delivery of Materials for the use in 71X – (Special Maintenance – Kilometer Post) along Daang Maharlika Road, Surigao – Davao Coastal Road, Nabunturan – Mainit Park Road, and</t>
  </si>
  <si>
    <t>PR 2020-04-061 Supply and Delivery of Materials for use in 71X – (Special Maintenance – Road Signages) along Daang Maharlika Road and Surigao – Davao Coastal Road w/ Exception. (Daang Maharlika (K1377</t>
  </si>
  <si>
    <t>Supply and Delivery of Branded Brand New SLR/DSL Camera</t>
  </si>
  <si>
    <t>Regular Bidding 23/June/2020 - Procurement of Goods: Machinery &amp; Heavy Equipment's Spareparts for the use of CEO-Motorpool Repair &amp; Maintenance (PR#100-20-06-0085)</t>
  </si>
  <si>
    <t>Procurement of Battery, Dry Cell, AAA</t>
  </si>
  <si>
    <t>Procurement of Veterinary Products and Supplies</t>
  </si>
  <si>
    <t>Capital Outlay</t>
  </si>
  <si>
    <t>Supply &amp; Delivery of Construction Materials (Const. Multi-Purposed Building)</t>
  </si>
  <si>
    <t>Purchase of Office Supplies for Various Offices</t>
  </si>
  <si>
    <t>Regular Bidding 23/June/2020 - Procurement of Goods: Machinery &amp; Heavy Equipment's Spareparts for the use of CEO-Motorpool Repair &amp; Maintenance (PR#100-20-06-0086)</t>
  </si>
  <si>
    <t>Package 48: Supply and Delivery of Laboratory Equipment</t>
  </si>
  <si>
    <t>Supply &amp; Delivery of Various Spareparts (Motorpool Maintenance)</t>
  </si>
  <si>
    <t>Procurement of Vehicle Repair and Maintenance</t>
  </si>
  <si>
    <t>Supply and Delivery of Various Chairs for SEC Head Office and Extension Offices.</t>
  </si>
  <si>
    <t>Peace and order</t>
  </si>
  <si>
    <t>Purchase of 55 pcs Plaque 7" for use during the Charter day of the City Government of Laoag</t>
  </si>
  <si>
    <t>Provision of Vehicle Rentals	ABC:153,000.00</t>
  </si>
  <si>
    <t>2 Lots Adobe Creative Cloud Complete &amp; 19 Lots Windows 10 Pro (64 Bit)</t>
  </si>
  <si>
    <t>PROCUREMENT OF ACRYLIC DIVIDERS WITH INSTALLATION</t>
  </si>
  <si>
    <t>Supply and Delivery of Compact  Digital Camera</t>
  </si>
  <si>
    <t>ITB - Vehicles (SIDA)</t>
  </si>
  <si>
    <t>Local Infrastructure Program; Building and other Structures; Multi-Purpose/ Facilities: Construction and/or Repair/ Rehabilitation of Multi-Purpose Building, Brgy. Balibago, Angeles City, Pampanga</t>
  </si>
  <si>
    <t>Procurement of Kitchenwares</t>
  </si>
  <si>
    <t>Health Information Technology Provider</t>
  </si>
  <si>
    <t>2FB)N20-06-035 PURCHASE OF HORMONES ANTAGONISTS MEDICINES</t>
  </si>
  <si>
    <t>Regular Bidding 23/June/2020 - Procurement of Goods: Assistive Device for the use of CMO-GAD (Operationalization of the City Advisory Board of the Persons w/ Disablility Office) (PR#100-20-06-0084)</t>
  </si>
  <si>
    <t>Procurement of Vehicle Spare Parts and Accessories</t>
  </si>
  <si>
    <t>XENON LAMP</t>
  </si>
  <si>
    <t>Procurement of Tire</t>
  </si>
  <si>
    <t>(2FB)N20-06-034 FURNITURES AND FIXTURES</t>
  </si>
  <si>
    <t>(Cluster IX) Local Program; Construction/ Repair/ Rehabilitation/ Improvement of Building and other Structures; Multi-Purpose/ Facilities: Construction of Multi-Purpose Building in Various Barangays a</t>
  </si>
  <si>
    <t>shipping permit20</t>
  </si>
  <si>
    <t>Package 49: Supply and Delivery of Medical Equipment</t>
  </si>
  <si>
    <t>Supply And Delivery of Unmanned Aerial Vehicle (UAV) “Drone” and Accessories</t>
  </si>
  <si>
    <t>Local Infrastructure Program; Building and other Structures; Multi-Purpose/ Facilities: Improvement/Rehabilitation of City Hall, Brgy. Tabon, Mabalacat City, Pampanga</t>
  </si>
  <si>
    <t>HEALTH INFORMATION TECHNOLOGY PROVIDER</t>
  </si>
  <si>
    <t>20DI0128- Construction of Multi-Purpose Building (Livelihood Training Center), Brgy. Maharlika, San Pedro City, Laguna</t>
  </si>
  <si>
    <t>CW-MP-13-2020/CALAOCAN PIP svp</t>
  </si>
  <si>
    <t>Package 50: Supply and Delivery of Small Ticket Medical Equipment</t>
  </si>
  <si>
    <t>Invitation to Bid for Improvement of Ramp, Building, Canopy &amp; Pavement at PCF Caoayan, Sual, Pangasinan</t>
  </si>
  <si>
    <t>PURCHASE OF COMPLETE SET DESKTOP AND LAPTOP COMPUTERS FOR OFFICIAL USE OF DENR-PENRO PALAWAN</t>
  </si>
  <si>
    <t>INVITATION TO BID FOR THE PROCUREMENT OF FUEL FOR MAYOR’S OFFICE USE</t>
  </si>
  <si>
    <t>Technical Assistance in the Preparation for QMS 1st year Surveillance (Consultancy Fee)</t>
  </si>
  <si>
    <t>Procurement of Biometric</t>
  </si>
  <si>
    <t>INVITATION TO BID FOR THE PROCUREMENT OF FUEL FOR MOBILIZATION OF VARIOUS OFFICES</t>
  </si>
  <si>
    <t>Supply, delivery and installation of sunscreen rollershade for SSS Kalookan Branch Office</t>
  </si>
  <si>
    <t>20CSPA001 NOTICE OF SHORT LIST AND REQUEST FOR PROPOSALS (RFP) : DETAILED ENGINEERING DESIGN OF ABRA COLISEUM AND CONVENTION CENTER, La Paz, Abra</t>
  </si>
  <si>
    <t>Procurement of Information Technology equipment</t>
  </si>
  <si>
    <t>PROCUREMENT OF IT EQUIPMENTS FOR PRC REGIONAL OFFICE I</t>
  </si>
  <si>
    <t>DESIGN AND BUILD FOR THE CONSTRUCTION OF 2-STOREY PASSENGER TERMINAL BUILDING AT MALATAPAY, BARANGAY MALUAY, ZAMBOANGUITA, NEGROS ORIENTAL</t>
  </si>
  <si>
    <t>20DI0129- Repair of Road, Brgy. Langgam, San Pedro City, Laguna</t>
  </si>
  <si>
    <t>Prcourement of Heavy Duty Scanner for Different Branch and Regional Office of National Telecommunications Commission</t>
  </si>
  <si>
    <t>20DI0130- Rehabilitation of Drainage Canal, Brgy. Mayapa, Calamba City, Laguna</t>
  </si>
  <si>
    <t>Procurement Air Conditioning System</t>
  </si>
  <si>
    <t>PROCUREMENT OF VARIOUS OFFICE SUPPLIES FOR PRC REGIONAL OFFICE I</t>
  </si>
  <si>
    <t>20DI0131- Construction and/or Repair/Rehabilitation of Multi-Purpose Building, Brgy. Magsaysay, San Pedro City, Laguna</t>
  </si>
  <si>
    <t>20FN0098 Construction/Repair/Rehabilitation/ Improvement of Various Infrastructure including Local Projects – Flood Control Structures/Facilities – Construction and Improvement of River Waterways alon</t>
  </si>
  <si>
    <t>Construction of Barangay Buaya Health Center (Phase I) , Buaya, Lapu-Lapu City</t>
  </si>
  <si>
    <t>PROCUREMENT OF VARIOUS TONERS FOR PRC REGIONAL OFFICE I</t>
  </si>
  <si>
    <t>Renovation of Market offices , Poblacion, Lapu-Lapu City</t>
  </si>
  <si>
    <t>20DI0133- Construction/ Rehabilitation of Multi-Purpose Building, Brgy. Dita, Santa Rosa, Laguna</t>
  </si>
  <si>
    <t>Supply and Delivery of Materials for the Repair and Improvement of Concepcion GID Warehouse</t>
  </si>
  <si>
    <t>Request for Quotation for Chillers and Trash bins 20-04-0288</t>
  </si>
  <si>
    <t>1 lot Hauling of 4(Four) sets Motor Controls from Stage 2 to Stage 1</t>
  </si>
  <si>
    <t>PROCUREMENT OF SUPPLIES AND MATERIALS TO BE USED IN THE PREPARATION FOR SKILLS COMPETITION</t>
  </si>
  <si>
    <t>Procurement of Janitorial Supplies</t>
  </si>
  <si>
    <t>Supply and Delivery of Robotics Kit (Re-Post)</t>
  </si>
  <si>
    <t>Procurement of Medicine and Medical Supplies</t>
  </si>
  <si>
    <t>20DI0132- Construction of Multi-Purpose Building, Brgy. Caingin, Sta. Rosa City, Laguna</t>
  </si>
  <si>
    <t>Request for Quotation for Industrial Fans and Sando Bag 20-04-0287</t>
  </si>
  <si>
    <t>50 HP Submersible Pump and Motor and Submersible Cable</t>
  </si>
  <si>
    <t>20FN0099 Construction/Repair/Rehabilitation/ Improvement of Various Infrastructure including Local Projects – Flood Control Structures/Facilities – Construction of Flood Control Structure along Anolin</t>
  </si>
  <si>
    <t>SUPPLY AND DELIVERY OF FOOD PROCESSING EQUIPMENT FOR THE LIVELIHOOD PROGRAM-MEAT PROCESSING OF SALAKNIB FARMERS ASSOCIATION</t>
  </si>
  <si>
    <t>PURCHASED OF COMPUTER SET</t>
  </si>
  <si>
    <t>SUPPLY AND INSTALLATION OF HAND WASH</t>
  </si>
  <si>
    <t>PURCHASE OF RICE DURING STATE OF PUBLIC HEALTH EMERGENCY (COVID-19) ADDITIONAL</t>
  </si>
  <si>
    <t>INFRASTRUCTURE WORKS FOR THE CONSTRUCTION OF LINE CANAL AT BARANGAY CALANGO, ZAMBOANGUITA, NEGROS ORIENTAL</t>
  </si>
  <si>
    <t>Procurement of Office Supplies, Materials, &amp; Equipment</t>
  </si>
  <si>
    <t>Bid No. 20-0281 - PROCUREMENT OF CONSTRUCTION MATERIALS - MEO (CONSTRUCTION OF COVERED COURT - BRGY. TALIAN, MARAGUSAN, DAVAO DE ORO</t>
  </si>
  <si>
    <t>Medical Oxygen Tank-Refill</t>
  </si>
  <si>
    <t>Package 52: Supply and Delivery of Medical Instruments</t>
  </si>
  <si>
    <t>Procurement of Plumbing and Hardware Supplies</t>
  </si>
  <si>
    <t>20FN0101 Local Program – Local Infrastructure Program-Local Roads Concreting of Laganac - Tomatarayo - Cayogcog Road, Balatan, Camarines Sur Section A: Sta. 0+000.00 – Sta. 0+365.15 Sta. 0+650.00 – St</t>
  </si>
  <si>
    <t>Purchase of IT Equipment as Subsidy to PNP by the Provincial Government of Zamboanga del Sur</t>
  </si>
  <si>
    <t xml:space="preserve">20FN0100 Construction/Repair/Rehabilitation/Improvement of Various Infrastructure including Local Projects – Construction of Flood Control (Slope Protection, Rip-Rap) Project, Brgy. La Medalla, Baao, </t>
  </si>
  <si>
    <t>Advertisement Spots</t>
  </si>
  <si>
    <t>Construction of Brgy. Road at Sitio Dating Daan</t>
  </si>
  <si>
    <t>Package 51: Supply and Delivery of Surgical Equipment</t>
  </si>
  <si>
    <t>INVITATION TO BID FOR THE PROCUREMENT OF MATERIALS FOR CONSTRUCTION OF GOAT HOUSE</t>
  </si>
  <si>
    <t>Purchase and Delivery of Animal Feeds and Veterinary Medicines</t>
  </si>
  <si>
    <t>Purchase of Business Plates/Stickers</t>
  </si>
  <si>
    <t>PURCHASE MEALS AND SNACKS</t>
  </si>
  <si>
    <t>Assisting Professional for Enterprise Development</t>
  </si>
  <si>
    <t>Supply and Delivery of 4WD 90Hp Farm Tractor</t>
  </si>
  <si>
    <t>Package 53: Supply and Delivery of Pediatric Equipment</t>
  </si>
  <si>
    <t>Various Office Supplies</t>
  </si>
  <si>
    <t>Purchase of IT, Common and Other  Supplies</t>
  </si>
  <si>
    <t>Purchase of Furniture’s and Fixtures for Various Offices</t>
  </si>
  <si>
    <t>COMPLETION OF AGRICULTURAL TRADING CENTER (BAGSAKAN CENTER)</t>
  </si>
  <si>
    <t>PURCHASE OF PRINTER</t>
  </si>
  <si>
    <t>20FN0102 Local Program – Building and Other Structures – Multipurpose/Facilities – Local Infrastructure Program Construction of Multi-Purpose Covered Court at San Ramon Elementary School Compound, San</t>
  </si>
  <si>
    <t>Purchase of HDPE pipe 2" &amp; 1-1/2" SDR-11</t>
  </si>
  <si>
    <t>Supply and Delivery of  Construction materials and supplies for the Construction of MDRRMO Parking Garrage &amp; Storage Room</t>
  </si>
  <si>
    <t>20DI0134- Construction/ Rehabilitation of Multi-Purpose Building,Brgy. Pulong, Santa Cruz, Laguna</t>
  </si>
  <si>
    <t>INVITATION TO BID FOR THE SUPPLY OF FUEL &amp; OIL LUBRICANTS.</t>
  </si>
  <si>
    <t>Supply and Delivery of Construction Materials and Supplies for the Improvement of Multi-Purpose Building</t>
  </si>
  <si>
    <t>Supply and Delivery of  Construction materials and supplies for the Construction of Multi-Purpose Building at San Mateo, Aleosan, Cotabato</t>
  </si>
  <si>
    <t>LCWD-2020-050 Various Fittings</t>
  </si>
  <si>
    <t>Purchase and Installation of Airconditioning Units</t>
  </si>
  <si>
    <t>TV Blocktime Program</t>
  </si>
  <si>
    <t>INVITATION TO BID FOR THE PROCUREMENT OF MATERIALS FOR REPAIR AND MAINTENANCE OF STREETLIGHTS</t>
  </si>
  <si>
    <t>Package 55: Supply and delivery of Testing Kit</t>
  </si>
  <si>
    <t>Supply &amp; Delivery of One (1) Unit Motor Vehicle for Mass Transportation</t>
  </si>
  <si>
    <t>Invitation to Bid for Construction of Two (2) Units Potable Water Supply System Level 3 Baybay Norte &amp; Baybay Sur, Sual, Pangasinan</t>
  </si>
  <si>
    <t>Procurement for HP Toner Cartridges</t>
  </si>
  <si>
    <t>20DI0136- Construction/ Repair/ Rehab of Multi-Purpose Building, Brgy. Tagapo, Santa Rosa, Laguna</t>
  </si>
  <si>
    <t>Procurement of Oil Lubricants</t>
  </si>
  <si>
    <t>20DI0135- Construction/ Repair/ Rehab of Multi-Purpose Building, Bayshore Ville Phase II, Brgy. Sinalhan, Santa Rosa Laguna</t>
  </si>
  <si>
    <t>20DI0137- Construction of Multipurpose Building, Brgy. San Nicolas, Municipality of Bay, Laguna</t>
  </si>
  <si>
    <t>Procurement of Diesel Fuel for PNP</t>
  </si>
  <si>
    <t>Procurement of Inkjet Printer, CISS, All in One Printer, Print / Scan / Copy / WIFI for National Telecommunications Commission</t>
  </si>
  <si>
    <t>Package 54: Supply and delivery of Medical and Laboratory Supplies and Materials</t>
  </si>
  <si>
    <t>CONSTRUCTION OF THREE (3) STOREY, NINE (9) CLASSROOMS BUILDING AT PETRON SCHOOL</t>
  </si>
  <si>
    <t>Concreting of Lupang Tagalog Farm to Market Road (217 meters)</t>
  </si>
  <si>
    <t>IMPROVEMENT/CONCRETING OF MACABAKLE BRGY. ROAD</t>
  </si>
  <si>
    <t>Television for Agriculture Clasroom-Agri Crop NCI/NCII, AP-Poutlry Chicken NCII, Organic Agriculture Prod. NCII</t>
  </si>
  <si>
    <t>MBO &amp; MACCO Budgeting and Recording System</t>
  </si>
  <si>
    <t>Package 56: Supply and delivery of Blood Bags</t>
  </si>
  <si>
    <t>Purchase of Various Materials for the Cacao Nursery Program of the Provincial Government of Zamboanga del Sur</t>
  </si>
  <si>
    <t>Purchase of IT Equipment for Various Offices</t>
  </si>
  <si>
    <t>20DI0138- Concreting of Access Road and Improvement of Drainage, Brgy. Santo Nino and Canlalay, Biñan, Laguna</t>
  </si>
  <si>
    <t>CONSTRUCTION OF WATER SYSTEM PROJECT AT BRGY. CAPUTIAN, MALALAG, DAVAO DEL SUR all in accordance to plans, specifications and scope of work and the Green Procurement Policy as adopted by SBAC Resoluti</t>
  </si>
  <si>
    <t>Invitation to Bid and Bidding Documents</t>
  </si>
  <si>
    <t>Purchase of 1 set Submersible Pump for the Rehabilitation of Sevilla Level III Mun. Waterworks System</t>
  </si>
  <si>
    <t>(20NH0089(RE-AD))Construction/ Rehabilitation of Water Supply/ Septage and Sewerage/ Rain Water Collectors with Handwashing</t>
  </si>
  <si>
    <t>SUPPLY &amp; DELIVERY OF FUEL, OIL &amp; LUBRICANTS(MEO)</t>
  </si>
  <si>
    <t>20DI0139- Construction of Multi-Purpose Building, Women's Development Center, Cabuyao, Laguna</t>
  </si>
  <si>
    <t>Purchase of Air Conditioning Units as Subsidy to PNP by the Provincial Government of Zamboanga del Sur.</t>
  </si>
  <si>
    <t>Construction of Slope Protection @ Brgy. Calumayin, Cuenca, Batangas</t>
  </si>
  <si>
    <t>20DI0142- Construction/ Repair/ Rehab of Multi-Purpose Building, Brgy. Don Jose, Santa Rosa, Laguna</t>
  </si>
  <si>
    <t>Construction/Rehabilitation of Water Supply/ Septage and Sewerage/Rainwater Collectors 	  in Tayabas City, Pagbilao &amp; Mauban, Quezon</t>
  </si>
  <si>
    <t>Repair and Maintenance of Multicab.</t>
  </si>
  <si>
    <t>20DI0141- Construction of Multi - purpose Building, San Pedro City, Laguna</t>
  </si>
  <si>
    <t>To be used in MLWD New Wells &amp; defective VFD of wells - PR # 2020-11952</t>
  </si>
  <si>
    <t>INSTALLATION OF LINED CANALS AND SLOPE PROTECTION AT SITIO UPPER CABACUNGAN TO BOUNDARY SITIO WALO, BARANGAY BULACAN, MALALAG, DAVAO DEL SUR all in accordance to plans, specifications and scope of wor</t>
  </si>
  <si>
    <t>Package 57: Supply and delivery of Insecticides</t>
  </si>
  <si>
    <t>Procurement of Travel Pump Assy.</t>
  </si>
  <si>
    <t>CONSTRUCTION/CONCRETING OF PROVINCIAL ROADS, HIGHWAYS AND BRIDGES (PATAG-SAN MATEO ROAD)</t>
  </si>
  <si>
    <t xml:space="preserve">CONSTRUCTION OF JUNCTIONS FOR THE REHABILITATION OF SAN ISIDRO, HAGONOY TO KM. 67, MATANAO FMR all in accordance to plans, specifications and scope of work and the Green Procurement Policy as adopted </t>
  </si>
  <si>
    <t>Supply &amp; Delivery of One (1) Unit Diesel Power Generator Set, 75KVA, Silent Type</t>
  </si>
  <si>
    <t>Supply and delivery of various materials for official use on BAR funded project on the Performance Evaluation of Red Tilapia in Freshwater and Marine Cages in Central Luzon</t>
  </si>
  <si>
    <t>Supply and delivery of 72,000 pcs of Shipping cartons for NDA-SMD, Davao City</t>
  </si>
  <si>
    <t>20DI0140-Construction of Multi-Purpose Building (Welness Center), Brgy. San Nicolas, Bay, Laguna</t>
  </si>
  <si>
    <t>CONSTRUCTION OF MULTI PURPOSE BUILDING (WAREHOUSE) AT SIARGAO DISTRICT HOSPITAL</t>
  </si>
  <si>
    <t>20DI0144- Rehabilitation of Drainage, Old National Highway Brgy. Sto. Niño and Brgy. Vicente, Biñan City, Laguna</t>
  </si>
  <si>
    <t>Procurement of Batteries</t>
  </si>
  <si>
    <t>Provision of Office Supplies, Equipment and Other Supplies</t>
  </si>
  <si>
    <t>For Fabrication of GI Nipple - PR # 2019-12066</t>
  </si>
  <si>
    <t>SUPPLY &amp; DELIVERY OF FUEL, OIL &amp; LUBRICANTS(SBO)</t>
  </si>
  <si>
    <t>20DI0143- Construction of Drainage System, Brgy. Dela Paz,Biñan, Laguna</t>
  </si>
  <si>
    <t>Labor and Materials for the Fabrication and Installation of 31 Units of Oyster Plot Hanging Method under SAAD 2020 Livelihood Assistance for the Province of Sorsogon</t>
  </si>
  <si>
    <t>CONSULTANCY SERVICES FOR THE CONDUCT OF FEASIBILITY STUDY, PLANNING AND STRUCTURAL DESIGN FOR THE CONSTRUCTION OF GABION DAM IN MOGPOG RIVER, BRGY. BOCBOC MARINDUQUE</t>
  </si>
  <si>
    <t>PURCHASE OF 165 PCS FLU VACCINE WITH ADMINISTRATION</t>
  </si>
  <si>
    <t>Production/Printing OF 2019 NAPOLCOM Annual Report</t>
  </si>
  <si>
    <t>CONCRETING OF BAYATAKAN ROAD PHASE II</t>
  </si>
  <si>
    <t>Construction of City Fire Hydrants &amp; Accessories @ City Proper,  Cadiz City</t>
  </si>
  <si>
    <t>Procurement for various Audio Visual Equipment</t>
  </si>
  <si>
    <t>SUPPLY AND DELIVERY OF THIRTY FOUR (34) UNITS BRAND NEW TRACTOR WITH IMPLEMENTS</t>
  </si>
  <si>
    <t>PROCUREMENT OF ONE (1) UNIT BRAND NEW DUPLICATING MACHINE WITH PROVISION OF EXTRA INKS AND MASTER ROLLER</t>
  </si>
  <si>
    <t>Procurement of Const. &amp; Plumbing Supplies</t>
  </si>
  <si>
    <t>Supply/Delivery of Office Equipment for RIM Quarter &amp;  RO V Conference Room  of  NIA RO V, Naga City</t>
  </si>
  <si>
    <t>Procurement of Plumbing Materials &amp; Supplies</t>
  </si>
  <si>
    <t>INVITATION TO BID FOR  THE CONCRETING OF ROAD AT BARANGAY MINANG WITH PR#2020-20%-03-011 FOR MEO AND ABC OF P 998,241.05</t>
  </si>
  <si>
    <t>SUPPLY &amp; DELIVERY OF FUEL, OIL &amp; LUBRICANTS(MEO#2)</t>
  </si>
  <si>
    <t>SLOPE PROTECTION</t>
  </si>
  <si>
    <t>Construction/Rehabilitation of Water Supply                                              /Septage and Sewerage/Rainwater Collectors/      in General Nakar, Infanta, Polillo     and  Burdeos, Quezon Sc</t>
  </si>
  <si>
    <t>SUPPLY &amp; DELIVERY OF DRUGS &amp; MEDICINES(RHU)</t>
  </si>
  <si>
    <t>Procurement of 313, 150 Liters Diesel Fuel</t>
  </si>
  <si>
    <t>Procurement of Materials for Improvement of Multi-Purpose Hall</t>
  </si>
  <si>
    <t>MG-PLM20-083 - GALVANIZED STEEL CABLE WIRE</t>
  </si>
  <si>
    <t>Radio Blocktime Program</t>
  </si>
  <si>
    <t>TO BE USED FOR REPLACEMENT OF PUMP &amp; MOTOR MLWD AREA - PR # 2020-12035</t>
  </si>
  <si>
    <t>construction of fence</t>
  </si>
  <si>
    <t>INVITATION TO BID FOR THE CONCRETING OF ROAD AT SERGIO OSMEÑA ST., BRGY.LANGATIAN WITH PR#2020-20%-03-010 FOR MEO AND ABC OF P 999,329.49</t>
  </si>
  <si>
    <t>RFQ - COPIER</t>
  </si>
  <si>
    <t>Supply, Delivery and Installation of 4 Units High Volume Low Speed Fan</t>
  </si>
  <si>
    <t>HFEP ITB 2020-002 Infrastructure</t>
  </si>
  <si>
    <t>Purchase of  Construction Materials for the Rehabilitation/Repair of BEMONC Building - MHO, Municipal Site, Katipunan, R. T. Lim, Zamboanga Sibugay</t>
  </si>
  <si>
    <t>Construction of One (1) Storey, 1-Classroom School Building @ San Andres Elementary School, Brgy. Banquerohan, Cadiz City</t>
  </si>
  <si>
    <t>Purchase of construction materials and supplies</t>
  </si>
  <si>
    <t>Purchase of 1 set 3hp Submersible Pump and Accessories</t>
  </si>
  <si>
    <t>20HC0180- CONSTRUCTION OF LEVEL III  WATER SUPPLY SYSTEM, BUENAVISTA, BOHOL</t>
  </si>
  <si>
    <t>Procurement for Subscription of Photo and Video Editing Software</t>
  </si>
  <si>
    <t>REPAIR AND MAINTENANCE OF CCTV SYSTEM AT  LEGAZPI AIRPORT – 2ND SVP</t>
  </si>
  <si>
    <t>Procurement of Const. Materials for Rehab. Brgy. Dos, Local Road</t>
  </si>
  <si>
    <t>Organic for Agriculture NC II for Practical Work Area</t>
  </si>
  <si>
    <t>Supply and Delivery of Two (2) Units Brand New Mini Bus, 4x2 M/T Diesel</t>
  </si>
  <si>
    <t>REHABILITATION OF MULTI-PURPOSE HALL – CAPITAN BAYONG – BARANGAY PROPER, IMPASUGONG, BUKIDNON</t>
  </si>
  <si>
    <t>Invitation to Rebid for Supply, and Delivery of Materials for Replacement and Expansions of Pipelines</t>
  </si>
  <si>
    <t>20HH0135-Local Program: Local Infrastructure Program – Buildings and other Structure – Multi Purpose / Facilities – Construction and / or Repair / Rehabilitation of Multi Purpose Building, Brgy. Laban</t>
  </si>
  <si>
    <t>Supply and Delivery of One (1) Unit Brand New Big Bus, 6 Wheeler, Completely Build Unit (CBU)</t>
  </si>
  <si>
    <t>For Replacement of Defective Units - PR # 12055</t>
  </si>
  <si>
    <t>MG-PLM20-103 - DESKTOP COMPUTER i5 INTEL PROCESSOR</t>
  </si>
  <si>
    <t>Supply &amp; Delivery of Materials for the Repair &amp; Improvement of Brgy. Road @ Eusebio Subdivision, Brgy. Zone II, Cadiz City</t>
  </si>
  <si>
    <t>INVITATION TO BID FOR THE CONCRETING OF ROAD AT GALLEMIT STREET, BARANGAY LANGATIAN WITH PR#2020-20%-06-016 FOR MEO AND ABC OF P 999,872.30</t>
  </si>
  <si>
    <t>2LSSM2020A-132 Office Supplies</t>
  </si>
  <si>
    <t>Procurement of Const. Materials for Shoreline Protection</t>
  </si>
  <si>
    <t>PURCHASE OF BRAND NEW MULTI-PURPOSE STAINLESS WATER TANKER FOR THE MUNICIPALITY OF ALEGRIA USE</t>
  </si>
  <si>
    <t>SUPPLY AND DELIVERY OF LABORATORY EQUIPMENT-C, DMMMSU-SRDI, Sapilang, Bacnotan, La Union</t>
  </si>
  <si>
    <t>Tools and Equipment for Agriculture</t>
  </si>
  <si>
    <t>Construction of Comfort Rooms (Oval &amp; Park), DMMMSU-NLUC, Sapilang, Bacnotan, La Union</t>
  </si>
  <si>
    <t>Supply and delivery of Alcohol Sprayer Wall Mounted for official use in BFAR 3 Regional Office, TOSES and PFOs to avoid spreading of COVID 19 Pandemic</t>
  </si>
  <si>
    <t>RFQ-GS-20200605-02 - Subscription and Installation of Wireless IP VPN Lines as Emergency/Back-up Links for 35 LANDBANK Branches &amp; Offsite ATMs</t>
  </si>
  <si>
    <t>2LSSM2020A-133 Office Supplies</t>
  </si>
  <si>
    <t>20GEF009 (Re-bid 1) Cluster IV – 1. Supply and Delivery of Office Equipment for use of Maintenance Section 2. Supply and Delivery of I.T. Equipment for use of Maintenance Section Palawan 2nd DEO, Narr</t>
  </si>
  <si>
    <t>Purchase of Ground Engaging Tools, Under Chassis and Tires for the Repair of Various Heavy Equipment of PEO.</t>
  </si>
  <si>
    <t>CONCRETING OF ROAD AND CONSTRUCTION OF DRAINAGE CANAL Z-2</t>
  </si>
  <si>
    <t>COMPLETION OF INSTALLATION OF STREETLIGHTING SYSTEM @ BANGQUEROHAN AREA</t>
  </si>
  <si>
    <t>SUPPLY AND DELIVERY OF IT EQUIPMENT, DMMMSU-CA, Sapilang, Bacnotan, La Union</t>
  </si>
  <si>
    <t>Purchase of Purchase of cleaner blade for the maintenance of the photocopying machine at MCR</t>
  </si>
  <si>
    <t>For use of Service Vehicle NISSAN NAVARRA (H1-5189/OV-5862)</t>
  </si>
  <si>
    <t>For use of Various light and heavy equipment detailed at DPWH, Quezon 1st District Engineering Office, Lucban, Quezon</t>
  </si>
  <si>
    <t>20EF0118 Cluster I – 1. Construction of Rain Water Collection System (RWCS) Batang-Batang Beach Elementary School 2. Construction of Rain Water Collection System (RWCS) Cabuluan Elementary School 3. C</t>
  </si>
  <si>
    <t>Purchase of spareparts for the repair of heavy equipment of the Municipality</t>
  </si>
  <si>
    <t>SUPPLY AND DELIVERY OF FURNITURE AND FIXTURES, DMMMSU-OUS, City of San Fernando, La Union</t>
  </si>
  <si>
    <t>Proposed Purchase of Split Type 2.5 Hp. Aircondition with accessories</t>
  </si>
  <si>
    <t>2LSSM2020A-137 Other Supplies and Materials</t>
  </si>
  <si>
    <t>IMPROVEMENT OF PANGANIBAN MUNICIPAL WATER SYSTEM</t>
  </si>
  <si>
    <t>20HH0136-Local Program: Local Infrastructure Program – Buildings and other Structure – Multi Purpose / Facilities – Construction of Multi – Purpose Building, Barangay Labangon, Cebu City</t>
  </si>
  <si>
    <t>2LSSM2020A-134 Office Supplies</t>
  </si>
  <si>
    <t>20EF0120 Cluster III – 1. Construction of Rain Water Collection System (RWCS) New Panay Elementary School 2. Construction of Rain Water Collection System (RWCS) Irader Elementary School 3. Constructio</t>
  </si>
  <si>
    <t>Construction of Waiting Shed</t>
  </si>
  <si>
    <t>2LSSM2020A-136 Other Supplies and Materials</t>
  </si>
  <si>
    <t>Supply and delivery of various furnitures to Planning, Monitoring and Evaluation Section</t>
  </si>
  <si>
    <t>20HH0139-Repair and Maintenance of Road Safety Facilities (Installation of Road Safety Devices) along Cebu South Properties (Tunnel), Cebu South Road Properties and Gov. Cuenco Avenue, Cebu City</t>
  </si>
  <si>
    <t>Supply and Delivery of Consumables</t>
  </si>
  <si>
    <t>2LSSM2020A-135 Office Supplies</t>
  </si>
  <si>
    <t xml:space="preserve">20EF0121 Cluster IV – 1. Construction of Rain Water Collection System (RWCS) Mangkongon Elementary School 2. Construction of Rain Water Collection System (RWCS) Amas Elementary School 3. Construction </t>
  </si>
  <si>
    <t>REHABILITATION OF EXISTING MUNICIPAL ROADS</t>
  </si>
  <si>
    <t>PROJ. 838 - YDP 2020</t>
  </si>
  <si>
    <t>Improvement of Water System Brgy. Malire to Brgy. Poblacion Proper, Antipas, Cotabato</t>
  </si>
  <si>
    <t>REI_20CSE008: Consulting Services for the Conduct of Feasibility Study of the Proposed Coron-Culion Bridge, Palawan</t>
  </si>
  <si>
    <t>2LSSM2020A-138 Other Supplies and Materials</t>
  </si>
  <si>
    <t>20EF0119 Cluster II – 1. Construction of Rain Water Collection System (RWCS) El Salvador Elementary School 2. Construction of Rain Water Collection System (RWCS) Olympic Elementary School 3. Construct</t>
  </si>
  <si>
    <t>20HH0138-Repair / Maintenance of Drainage System along Old Cadre Rd. (S00037CB) Chainage 330 – Chainage 539, Brgy. Kasambagan, Cebu City</t>
  </si>
  <si>
    <t>CID No. 20OD0191 - Repair/Maintenance of DPWH Building, Building I &amp; II, Metro Manila III District Engineering Office, APDC Compound, Valenzuela City</t>
  </si>
  <si>
    <t>PRINTING OF STATEMENT OF ACCOUNT</t>
  </si>
  <si>
    <t>SUPPLY AND DELIVERY OF LOT 1 AND LOT 3 10 BAGS OF SORGHUM SEEDS FOR OCCIDENTAL MINDORO AND PALAWAN</t>
  </si>
  <si>
    <t>2LSSM2020A-140 Other Supplies and Materials</t>
  </si>
  <si>
    <t>2LSSM2020A-139 Other Supplies and Materials</t>
  </si>
  <si>
    <t>20HH0140-Repair and Maintenance of Road Safety Facilities (Installation of Road Safety Devices) along Cebu Balamban Transcentral Highway, Cebu City</t>
  </si>
  <si>
    <t>2LSSM2020A-143 Food Supplies</t>
  </si>
  <si>
    <t>2LSSM2020A-142 Food Supplies</t>
  </si>
  <si>
    <t>CONSTRUCTION OF TWO STOREY MULTI-PURPOSE BUILDING PHASE 2</t>
  </si>
  <si>
    <t>Procurement of Consulting Services - Preparation of EIS and Facilitation of ECC Application</t>
  </si>
  <si>
    <t>SUPPLY AND DELIVERY OF 2 UNITS LED TELEVISION</t>
  </si>
  <si>
    <t>2LSSM2020A-170 Office Supplies</t>
  </si>
  <si>
    <t>PR 2020-05-086 Supply and Delivery of Consolidated I.T. Consumables, for use in the Office of the District Engineer DEO, Nabunturan, Davao De Oro (for the 3rd quarter of 2020)</t>
  </si>
  <si>
    <t>SUPPLY AND DELIVERY OF 2ND QRT OFFICE SUPPLIES OF CAVITE AREA</t>
  </si>
  <si>
    <t>Procurement of Consulting Services - Conduct of Geo-technical (Soil) Investigation</t>
  </si>
  <si>
    <t>2LSSM2020A-141 Other Supplies and Materials</t>
  </si>
  <si>
    <t>COMPLETION OF  BAGSAKAN VEGETABLE CENTER-OTHER STRUCTURE</t>
  </si>
  <si>
    <t>Procurement for Professional Video Conferencing Platform Subscription</t>
  </si>
  <si>
    <t>2LSSM2020B-169 Office Supplies</t>
  </si>
  <si>
    <t>2LSSM2020A-171 Office Supplies</t>
  </si>
  <si>
    <t>20DQ0112 - LOCAL PROGRAM - Local Infrastructure Program - Flood Control and Drainage - Drainage / Protection Works – Rehabilitation of Drainage, Brgy. Zapote IV, Bacoor City, Cavite; Rehabilitation of</t>
  </si>
  <si>
    <t>CONSTRUCTION OF DRAINAGE CANAL – SEWER SYSTEM 690 Lm</t>
  </si>
  <si>
    <t>PR 2020-05-087 Supply and Delivery of Materials for the use in Activity 112 (Penetration Patching Bituminous Pavement) along Daang Maharlika Road and Surigao – Davao Coastal Road (Intermittent Section</t>
  </si>
  <si>
    <t>Purchase of medicine fluids for sale in the Pharmacy of Bauan General Hospital, Bauan, Batangas</t>
  </si>
  <si>
    <t>improvement of evacuation center (2nd floor)</t>
  </si>
  <si>
    <t>REPOSTING: PURCHASE OF TECHNICAL &amp; SCIENTIFIC EQUIPMENT FOR FIRST QUARTER 2020</t>
  </si>
  <si>
    <t>SUPPLY AND DELIVERY OF HEAVY EQUIPMENT</t>
  </si>
  <si>
    <t>20CSBG002: Geotechnical Investigation for Proposed Bridge Project – (2) Saraga Bridge, San Mariano, Isabela, (2) Bigao Bridge, San Mariano, Isabela, (2) Tinabukolan Bridge, San Mariano, Isabela, (2) V</t>
  </si>
  <si>
    <t xml:space="preserve">PR 2020-05-088 Supply and Delivery of Materials for the use in Activity 121 (Patching Concrete Pavement) along Daang Maharlika Road and Surigao – Davao Coastal Road (intermittent section) K1377±203 – </t>
  </si>
  <si>
    <t>2LSSM2020A-174 Office Supplies</t>
  </si>
  <si>
    <t>20DQ0113 - ORGANIZATIONAL OUTCOME 2: Protect Lives and Properties Against Major Floods - Flood Management Program - Construction/ Maintenance of Flood Mitigation Structures and Drainage Systems - Cons</t>
  </si>
  <si>
    <t>20CSBG004: Geotechnical Investigation for Proposed Flood Control Project – Approaches of Ganano Bridge (Revetment), Alicia, Isabela</t>
  </si>
  <si>
    <t>2LSSM2020A-172 Office Supplies</t>
  </si>
  <si>
    <t>20CSBG003: Geotechnical Investigation for Proposed Bridge Project – (2) Nueva Era Bridge, Cabatuan, Isabela</t>
  </si>
  <si>
    <t>2LSSM2020A-173 Office Supplies</t>
  </si>
  <si>
    <t>Purchase of injectable medicines for sale in the Pharmacy of Bauan General Hospital, Bauan, Batangas</t>
  </si>
  <si>
    <t>2LSSM2020A-178 Food Supplies</t>
  </si>
  <si>
    <t>2LSSM2020A-175 Food Supplies</t>
  </si>
  <si>
    <t>20DQ0115 - LOCAL PROGRAM – Local Infrastructure Program – Buildings and Other Structures- Multi-Purpose /Facilities – Rehabilitation (Completion) of Multi-Purpose Building, Brgy. Francisco Reyes, Gen.</t>
  </si>
  <si>
    <t>RFQ - Procurement of COVID Essential Supplies for Division Office use</t>
  </si>
  <si>
    <t>Procurement of 1 Lot Various Office Supplies for the 3rd Quarter of 2020</t>
  </si>
  <si>
    <t>20DQ0114 - LOCAL PROGRAM – Local Infrastructure Program – Local Roads and Bridges – Local Roads – Rehabilitation of road and reblocking at Springville Heights, Bacoor, Cavite and Rehabilitation of Roa</t>
  </si>
  <si>
    <t>2LSSM2020A-177 Food Supplies</t>
  </si>
  <si>
    <t>2LSSM2020A-176 Food Supplies</t>
  </si>
  <si>
    <t>20CSJ003 - Consulting Services for the Sub-Surface Exploration Thru Calyx Drilling and Laboratory Works/Analysis for Replacement of Nine (9) Bridges for Sulu 1st BARMM</t>
  </si>
  <si>
    <t>2LSSM2020A-179 Other Supplies and Materials</t>
  </si>
  <si>
    <t xml:space="preserve">20BG0147: Local Program - Construction/Repair/Rehabilitation/Improvement of Various Infrastructure including Local Projects –Local Roads and Bridges – Local Bridges – Construction of Over-pass (Phase </t>
  </si>
  <si>
    <t>20CSJ002 - Consulting Services for the Sub-Surface Exploration Thru Calyx Drilling and Laboratory Works/Analysis for Widening of Five Bridges for Sulu 2nd, BARMM</t>
  </si>
  <si>
    <t>Procurement of 1 Lot Various Drugs and Medicines for the 3rd Quarter of 2020</t>
  </si>
  <si>
    <t>2LSSM2020A-180 Other Supplies and Materials</t>
  </si>
  <si>
    <t>Purchase of medical supplies to be used at Bauan General Hospital, Bauan, Batangas</t>
  </si>
  <si>
    <t>Procurement of 1 Lot Fuel, Oil and Lubricant Expenses for the 3rd Quarter of 2020</t>
  </si>
  <si>
    <t>2LSSM2020A-181 Other Supplies and Materials</t>
  </si>
  <si>
    <t>Procurement of 1 Lot Printing and Publication for the 3rd Quarter of 2020</t>
  </si>
  <si>
    <t>20E00084 - LIP - Construction of Odiongan By-pass Road (Phase 4), Odiongan, Romblon</t>
  </si>
  <si>
    <t>CONSTRUCTION OF DRAINAGE SYSTEM COVER - PROCUREMENT OF MATERIALS</t>
  </si>
  <si>
    <t>Procurement of 1 Lot Rehabilitation Supplies for the 3rd Quarter of 2020</t>
  </si>
  <si>
    <t>Delivery of Supplies : Electrical Supplies</t>
  </si>
  <si>
    <t xml:space="preserve">20DQ0117 - LOCAL PROGRAM – Local Infrastructure Program – Buildings and Other Structures – Multipurpose/Facilities – Rehabilitation/Improvement of Multi-Purpose Building, Brgy. Talaba V, Bacoor City, </t>
  </si>
  <si>
    <t>20DQ0116 - ORGANIZATIONAL OUTCOME 2: Protect Lives and Properties Against Major Floods - Flood Management Program - Construction/ Maintenance of Flood Mitigation Structures and Drainage Systems - Cons</t>
  </si>
  <si>
    <t>Delivery of Supplies - Electrical Supplies</t>
  </si>
  <si>
    <t>PROCUREMENT OF 1 COMBO SET OF CCTV</t>
  </si>
  <si>
    <t>Supply and Installation of Surveillance Cameras</t>
  </si>
  <si>
    <t>GENERATOR SET INSTALLATION AND RE-WIRING</t>
  </si>
  <si>
    <t>CONSTRUCTION OF CANAL &amp; CANAL STRUCTURES, SUPPLY &amp; INSTALLATION OF STEEL PIPE SIPHON &amp; uPVC PIPE SIPHON AT DONGOS SIP PHASE III CY 2018 (INFRA)  (2nd Call)</t>
  </si>
  <si>
    <t>CONSTRUCTION OF WATER SYSTEM - PROCUREMENT OF MATERIALS</t>
  </si>
  <si>
    <t>Reproduction of Detailed Lesson Plan</t>
  </si>
  <si>
    <t>CONSTRUCTION OF CANAL STRUCTURES AND INSTALLATION OF STEEL PIPE SIPHON: CANIPAY SIP PHASE VI (2nd Call)</t>
  </si>
  <si>
    <t>Supply and delivery of various construction materials for the rehabilitation of  Barangay Health Center at Cabanaetan, Mabini, Pangasinan</t>
  </si>
  <si>
    <t>Procurement of One (1) Lot Cremation Equipment for Small Animals and One (1) Lot Individually Ventilated Caging (IVC) System for Mice</t>
  </si>
  <si>
    <t>Procurement of 1 Lot Military Supplies (Ammunition) for the 3rd Quarter of 2020</t>
  </si>
  <si>
    <t>Construction of concrete pavement road section in Barangay De Guzman, Mabini, Pangasinan</t>
  </si>
  <si>
    <t>Development  and Deployment of the Philippines Anti-Illegal Drugs Strategy – Agency Reporting and Monitoring System (PADS-ARMS)</t>
  </si>
  <si>
    <t>Improvement of Barangay Multipurpose Hall</t>
  </si>
  <si>
    <t>Supply and Delivery of KN95 Face Mask and Rubber Gloves</t>
  </si>
  <si>
    <t>Supply and Delivery of Laboratory Supplies ID of Gram Negative Bacteria</t>
  </si>
  <si>
    <t>Delivery of Supplies -Electrical Supplies</t>
  </si>
  <si>
    <t>20GKC0007 - PROCUREMENT OF COMMON OFFICE SUPPLIES AND CONSUMABLE FOR USE IN THE OPERATION OF BUKIDNON 3RD DEO, (1ST QUARTER, CY 2020)</t>
  </si>
  <si>
    <t>Supply &amp; Delivery of Construction Materials for  DONGOS SIP PHASE III: PACKAGE II – GOODS (2nd Call)</t>
  </si>
  <si>
    <t>Repair of Brgy Hall - Carmona</t>
  </si>
  <si>
    <t>2020-GOODS-032_One (1) Year Subscription of Electronic Books for the University</t>
  </si>
  <si>
    <t>2020-GOODS-031_Procurement and Installation of Various Aircondition Units for the Different Campuses of the University</t>
  </si>
  <si>
    <t>Additional Construction of Multi Purpose Hall - Buao</t>
  </si>
  <si>
    <t>Publication of Ordinance No. 003-2020, 004-2020,005-2020 and 006-2020</t>
  </si>
  <si>
    <t>Repair of Street Light - Carmona</t>
  </si>
  <si>
    <t>2020-06 0101 - PROCUREMENT OF CONSTRUCTION MATERIALS AND SUPPLIES FOR REPLACEMENT/REHABILITATION OF DAMAGED CONCRETE PAVEMENT ALONG KALILANGAN-LAMPANUSAN ROAD, K1603+148 - K1603+958 (INTERMITTENT SECT</t>
  </si>
  <si>
    <t>2020-GOODS-030_Procurement and Installation of Radio Station Equipment</t>
  </si>
  <si>
    <t>2 lots Card Production and Personalization for the PhilID Cards Project</t>
  </si>
  <si>
    <t>Repair and Improvement of Multi-Purpose Hall - San Jose</t>
  </si>
  <si>
    <t>2020-06-0096 - PROCUREMENT OF FUEL/FUEL LUBRICANTS AND ANTI-CORROSIVE FOR USE AT PLANNING AND DESIGN SECTION</t>
  </si>
  <si>
    <t>2020-06-0102 - PROCUREMENT OF VEHICLE PARTS AND ACCESSORIES FOR USE IN  KIA HSPUR K2700 W/ PLATE #AD0-7915 UNDER PLANNING AND DESIGN SECTION.</t>
  </si>
  <si>
    <t>Completion/Rehabilitation of Multi-Purpose Building in Brgy. Manubuan, Matalam, North Cotabato</t>
  </si>
  <si>
    <t>Procurement for ICT Supplies and Peripherals</t>
  </si>
  <si>
    <t>Renovation of Multi-purpose Pavement - Ngoso</t>
  </si>
  <si>
    <t>Provision of Recovery Livelihood Projects  for the Micro Entrepreneurs and Potential Entrepreneurs in Nagbukel, Ilocos Sur:  Sari-Sari Store Package to be held on June 29-30, 2020 at Brgy. Pob. East,</t>
  </si>
  <si>
    <t>Procurement for various Computer Software</t>
  </si>
  <si>
    <t>Construction of Tulunan Public Cemetery</t>
  </si>
  <si>
    <t>20CW-GSC-022 ESTABLISHMENT OF ORGANIC TRADING POST CITY OF GENERAL SANTOS CITY</t>
  </si>
  <si>
    <t>20GM00150 – Rental of Service Vehicle for Roads and Bridges Investigation Activities for DPWH Projects (July 1-15, 2020) (Equipment Rental Only)</t>
  </si>
  <si>
    <t>Construction / Rehabilitation of Damawato Bridge</t>
  </si>
  <si>
    <t>Construction / Completion / Rehabilitation of Multi-Purpose Building in Brgy. Manubuan, Matalam, North Cotabato</t>
  </si>
  <si>
    <t>Improvement of Water System (Phase 2)</t>
  </si>
  <si>
    <t>20GM00148 – Rental of Service Vehicle for Road Slope and Survey Investigation Activities for DPWH Projects (1-Unit 4x4 Pick-Up) (July 1-15, 2020) (Equipment Rental Only)</t>
  </si>
  <si>
    <t>20GM00149 – Provision of 4X4 Pick Up Type Service Vehicle for the Engineer for July 1-15, 2020  (Equipment Rental Only)</t>
  </si>
  <si>
    <t>2020-17 “SUPPLY, DELIVERY AND INSTALLATION OF MARINE SPARE PARTS AND AIR-CONDITIONING SYSTEM TO BFAR VESSELS”</t>
  </si>
  <si>
    <t>20GM00147 – Rental of Service Vehicle Chargeable to CY 2020 Annual Maintenance Work Program (AMWP) for Inspection and Supervision of Routine / Periodic Maintenance for Roads and Bridge Projects (July</t>
  </si>
  <si>
    <t>NEGOTIATED PROCUREMENT OF SUPPLY, DELIVERY, INSTALLATION AND CONFIGURATION OF VARIOUS ICT EQUIPMENT, OFFICE EQUIPMENT AND COMPUTER SOFTWARE IN SUPPORT TO OPERATIONS AND RESEARCH DIVISION</t>
  </si>
  <si>
    <t>Installation of Pathwalk at the Back of TLE Building</t>
  </si>
  <si>
    <t>IB 2020-07-007 PVSV Procurement of Passenger Van Service Vehicle  2020-07</t>
  </si>
  <si>
    <t>20GM00146 – Provision of 4x4 Pick UP Type Service Vehicle for the Engineer for July 1-15, 2020   (Equipment Rental Only)</t>
  </si>
  <si>
    <t>PURCHASE OF HARDWARE MATERIALS FOR THE CONSTRUCTION OF MUNICIPAL HALL COMPOUND PERIMETER FENCE OR GATES &amp; INSTALLATION OF SLIDING WINDOWS &amp; RE-PAINTING OF MUNICIPAL HALL BUILDING</t>
  </si>
  <si>
    <t>Provision of Livelihood Projects (Starter Kits) for the Local Communist Armed Conflict (LCAC) Affected Barangays of Suyo, Ilocos Sur to be held on June 29-30, 2020 at Brgy. Poblacion, Suyo, Ilocos Sur</t>
  </si>
  <si>
    <t>SUPPLY AND DELIVERY OF MEDICINES &amp; PSYCHOTROPIC DRUGS</t>
  </si>
  <si>
    <t>SUPPLY AND DELIVERY OF MEDICAL SUPPLIES</t>
  </si>
  <si>
    <t>COMPRESSOR &amp; CONTROL BOARD FOR 5 TONNER ACU</t>
  </si>
  <si>
    <t>Improvement of Line Canal @ Brgy. Poblacion VIII, Cuenca, Batangas (Re- post)</t>
  </si>
  <si>
    <t>20PA0134 : CONCRETING OF BARANGAY TABACDA FMR, Barangay Tabacda, Tubo, Abra</t>
  </si>
  <si>
    <t>SUPPLY AND DELIVERY OF FAMILY PLANNING COMMODITIES</t>
  </si>
  <si>
    <t>Purchase and Delivery of Construction Materials for the Construction of Elevated Concrete Water Tank in Brgy. Igang, Pototan, Iloilo</t>
  </si>
  <si>
    <t>Purchase and Delivery of Construction Materials for the Construction of Water System in Brgy. Poblacion Zone 1, Tubungan, Iloilo</t>
  </si>
  <si>
    <t>Supply and Delivery of Various Materials Needed for the Repair of Roofing for OSCA, LIGA, LEGISLATIVE, EXECUTIVE, D.A., MRF and EVACUATION Building Damage for Typhoon</t>
  </si>
  <si>
    <t>Construction of LGU Multi-Purpose Hall- Phase VII at Brgy. San Pedro, Tumauini, Isabela</t>
  </si>
  <si>
    <t>Purchase of various goods and supplies intended for COVID-19 response for the use of Barangay San Antonio.</t>
  </si>
  <si>
    <t>Installation of Lighting Phase I, Municipal Compound, Brgy. Anoling,  General Nakar, Quezon</t>
  </si>
  <si>
    <t>Fabrication of Stair Railings, Wooden Steps, Tables, Chairs and Electrical Fixtures in LGU Multi- Purpose Hall at Brgy. San Pedro, Tumauini, Isabela</t>
  </si>
  <si>
    <t>SAAD-20-0981(R2): Procurement of Seedling Tray to be used for the Vegetable Production Project in Negros Oriental</t>
  </si>
  <si>
    <t>FOD-L-20-1271(R2): Procurement of One (1) unit Generator to be used as alternative and emergency power supply source for continuous operations of Livestock projects at NORDC Siaton, Negros Oriental</t>
  </si>
  <si>
    <t>construction of water reservoir(Macatcatud)</t>
  </si>
  <si>
    <t>Procurement of two (2) units BRAND NEW DRR VEHICLE</t>
  </si>
  <si>
    <t>FOD-L-20-0295(R2): Procurement of 2 Units Egg Incubator with Hatcher to be distributed to Farmer Associations in Ubay, Bohol in support to the Poultry Production in the Province under PEAF sub-program</t>
  </si>
  <si>
    <t>Request for Expression of Interest</t>
  </si>
  <si>
    <t>Multiple Long Line etc. - REBID (03-0312) Agriculture</t>
  </si>
  <si>
    <t>Improvement of Early Childhood Care  Development (EECD) Center,  Brgy. Minahan Norte,  General Nakar, Quezon</t>
  </si>
  <si>
    <t>Procurement of one (1) lot Laboratory Examinations and Diagnostic Procedures Send Out for 2020</t>
  </si>
  <si>
    <t>Pakyaw Labor etc. (03-0411) CEO</t>
  </si>
  <si>
    <t>Construction of Multi-Purpose Hall / Building Brgy. Banglos, General Nakar, Quezon</t>
  </si>
  <si>
    <t>PURCHASE OF MATERIALS FOR THE CONSTRUCTION/INSTALLATION OF STREETLIGHTS (SOLAR) AT SAN JOSE, BAGGAO, CAGAYAN</t>
  </si>
  <si>
    <t>Construction of MPP at Lower Collog, Junction, Pinukpuk</t>
  </si>
  <si>
    <t>Supply and Delivery of  various medicines (3rd Quarter) for use in Municipal Health Office, Villasis, Pangasinan</t>
  </si>
  <si>
    <t>Purchase of materials for the improvement of farm to market road (canal lining) at Ibulo,  Baggao, Cagayan</t>
  </si>
  <si>
    <t>Installation and Implementation of Pre-Developed and customized Application Systems-Phase II(05-0496)CMO</t>
  </si>
  <si>
    <t>CONCRETING OF FARM TO MARKET ROAD- BRGY. ABUNG</t>
  </si>
  <si>
    <t>Concreting of Road,  Brgy. Pisa. General Nakar, Quezon</t>
  </si>
  <si>
    <t>SUPPLY AND DELIVERY OF CONSTRUCTION MATERIALS FOR THE CONSTRUCTION OF CONCRETE BRIDGE LOCATED AT PUROK 2, SUPON, ALEGRIA, SAN FRANCISCO, AGUSAN DEL SUR</t>
  </si>
  <si>
    <t>Upgrading of Electrical Installation at Talaba Elementary School (repost)</t>
  </si>
  <si>
    <t>CONCRETING OF FARM TO MARKET ROAD- BRGY. CALUBCUB 1.0</t>
  </si>
  <si>
    <t>PURCHASE OF MATERIALS FOR THE CONSTRUCTION OF BDRRM OFFICE AT SAN JOSE, BAGGAO, CAGAYAN</t>
  </si>
  <si>
    <t>Construction of School Building Digman Elementary School at Digman Bacoor City, Cavite (Repost)</t>
  </si>
  <si>
    <t>Installation of Street Lighting System at Brgy. Punong, Lapuz, Iloilo City (Bid No. 20-111)</t>
  </si>
  <si>
    <t>Procurement of CCTV</t>
  </si>
  <si>
    <t>Supply and Delivery of One (1) Unit Dropside Truck; PR No. 20-1367 dated 01 April 2020; SN 127 - 2020</t>
  </si>
  <si>
    <t>Poblacion - Dicklum Water System Phase I</t>
  </si>
  <si>
    <t>Construction of Dome Shape Gymnasium for Senior High School at San Nicolas 3 (Greenvalley) City of Bacoor (Repost)</t>
  </si>
  <si>
    <t>SUPPLY AND DELIVERY OF VARIOUS OFFICE SUPPLIES FOR OFFICIAL USE OF CENRO SOCORRO</t>
  </si>
  <si>
    <t xml:space="preserve">PEO-19-1503-B Construction of the Various Water Systems in the 2nd District of Iloilo: 1) Construction of Water System:      a. Sitio Bitin, Brgy. Jelicuon Oeste, New Lucena, Iloilo 2) Improvement of </t>
  </si>
  <si>
    <t>Purchase of materials for the fabrication/installation of Solar Streetlights at Asinga-Via, Baggao, Cagayan</t>
  </si>
  <si>
    <t>SUPPLY AND DELIVERY OF MATERIALS FOR THE REHABILITATION OF PIPE LINE @ BRGY. BUENAVISTA AND POBLACION</t>
  </si>
  <si>
    <t>INSTALLATION OF BOOKSHELVES FOR BUB FUNDED SCHOOL LIBRARY @ SAN NARCISO CENTRAL ELEMENTARY SCHOOL</t>
  </si>
  <si>
    <t>SUPPLY AND DELIVERY OF MOTORIZED FISHING BOAT</t>
  </si>
  <si>
    <t>Construction/Rehabilitation of Existing Drainage System at Brgy. Loboc, lapuz, Iloilo City (Bid No. 20-116)</t>
  </si>
  <si>
    <t>Construction/Rehabilitation of Existing Drainage System at Brgy. San Isidro, Lapaz, Iloilo City (Bid No. 20-114)</t>
  </si>
  <si>
    <t>Fabrication and Installation of Grills in Classrooms of Four (4) Storey Building at Fort San Pedro National High School, Iloilo City (Bid No. 20-112)</t>
  </si>
  <si>
    <t>Improvement of Multi-purpose Building</t>
  </si>
  <si>
    <t>Rehabilitation of All Gabaldon Building at Iloilo Central Elementary School, City Proper, Iloilo City (Bid No. 20-110)</t>
  </si>
  <si>
    <t>Construction of Three (3) Storey 6 Classroom with Demolition at A. Mirasol Elementary School, mandurriao, Iloilo City (Bid No. 20-062)</t>
  </si>
  <si>
    <t>Construction of Two (2) Storey Eight (8) Classrooms Building at N.J. Elementary School, Lapaz, Iloilo City (Bid No. 20-121)</t>
  </si>
  <si>
    <t>Rehabilitation/Construction of Public Alley at Brgy. Concepcion, City Proper, Iloilo City (Bid No. 20-115)</t>
  </si>
  <si>
    <t>Construction/Rehabilitation of Existing Drainage System at Brgy. Tabuc Suba, Jaro, Iloilo City (Bid No. 20-113)</t>
  </si>
  <si>
    <t>Installation of Street Lighting System at Brgy. Ingore, Lapaz, Iloilo City (Bid No. 20-120)</t>
  </si>
  <si>
    <t>Construction/Rehabilitation/Repair/Widening of Roads at Brgy. Claudio Castilla, EL-98, Jaro, Iloilo City (Bid No. 20-119)</t>
  </si>
  <si>
    <t>To Provide Security Services for Silay City Water District (Office) for the period July 1 to December 31, 2020</t>
  </si>
  <si>
    <t>Repair of Classrooms at Sambag Elementary School, Jaro, Iloilo City (Bid No. 20-109)</t>
  </si>
  <si>
    <t>Purchase of One (1) Unit 1.5 HP Air Condition for DILG Office:</t>
  </si>
  <si>
    <t>Supply and Delivery of Construction Supplies and Materials for the various projects of Brgy. Anao</t>
  </si>
  <si>
    <t>Construction/Rehabilitation of Existing Drainage System at Brgy. Don Esteban, Lapuz, Iloilo City (Bid No. 20-108)</t>
  </si>
  <si>
    <t>Construction/Rehabilitation/Repair/Widening of Roads at Brgy. Tabuc Suba (Urban Poor Village Petals Ville) Jaro, Iloilo City (Bid No. 20-117)</t>
  </si>
  <si>
    <t>Construction/Rehabilitation/Repair/Widening of Roads at ICAG Road, Molo, Iloilo City (Bid No. 20-118)</t>
  </si>
  <si>
    <t>To Provide Security Services for Silay City Water District (St. Francis Villa Rosario Pumping Station) for the period July 1 to December 31, 2020</t>
  </si>
  <si>
    <t>Purchase of IT Equipments for HRMO:</t>
  </si>
  <si>
    <t>SUPPLY AND DELIVERY OF HARDWARE SUPPLIES FOR THE COMPLETION OF AUXILIARY BUILDING (3RD FLOOR)</t>
  </si>
  <si>
    <t>To Provide Security Services for Silay City Water District (NHA 1/Yolanda Pumping Station) for the period July 1 to December 31, 2020</t>
  </si>
  <si>
    <t>Completion of Two (2) Storey Building Six (6) Classrooms at Uswag San Isidro Elementary School, Jaro, Iloilo City (Bid No. 20-122)</t>
  </si>
  <si>
    <t>Completion of City Hospital - Lumbia (Phase II); SN 128 - 2020</t>
  </si>
  <si>
    <t>20FO0100 - Construction of Water Supply Systems Level II within the 3rd District of Albay (10 sites)</t>
  </si>
  <si>
    <t>To Provide Security Services for Silay City Water District (Bon-Bon Pumping Station) for the period July 1 to December 31, 2020</t>
  </si>
  <si>
    <t>Proposed Additional Floor and its completion of Dormitory Type Hotel at Brgy. San Jose, San Pablo City.</t>
  </si>
  <si>
    <t>20CSKK0004 -  Conduct of Relocation Survey of Road-Right-of-Way (RROW) of Municipalities of Kinoguitan, Balingoan and Talisayan, All Barangays along Butuan-Cagayan de Oro-Iligan Road (BCIR) within Mun</t>
  </si>
  <si>
    <t>ITB 2020-06-65A Procurement of Various Office Supplies for OM</t>
  </si>
  <si>
    <t>ITB 2020-06-51A Procurement of Thirty-One (31) Air Conditioning Units for MCL</t>
  </si>
  <si>
    <t>Improvement of Canal Service Road (2019-DII-ICSR#3-ANGADANAN-SAVINGS POW)</t>
  </si>
  <si>
    <t>Packaging Supplies for VET-2020-0098</t>
  </si>
  <si>
    <t>Supply and Delivery of DOLE KABUHAYAN PROGRAM for Native Chicken and Egg Production</t>
  </si>
  <si>
    <t>Improvement of Canal Service Road (2019-DII-ICSR#3-ALICIA-SAVINGS POW)</t>
  </si>
  <si>
    <t>Construction of ICARE Center at Time Square Gaisano, Gaisano Time Square Center Compound, B. Aquino Ave. Mandurriao, Iloilo City (Bid No. 20-123)</t>
  </si>
  <si>
    <t>Ugrading of Poblacion-Dananao Local Access Road</t>
  </si>
  <si>
    <t>Information Technology Equipment for GOV-2020-0092</t>
  </si>
  <si>
    <t>ITB 2020-06-55A Procurement of Various I.T. Equipment for MCL</t>
  </si>
  <si>
    <t>Repair and Maintenance of Breastfeeding Room</t>
  </si>
  <si>
    <t>Printing Services for NOTD-2020-0137</t>
  </si>
  <si>
    <t>PPE SUIT WITH HOOD</t>
  </si>
  <si>
    <t>ITB 2020-06-56A Procurement of Food and Drinks for OM</t>
  </si>
  <si>
    <t>SUPPLY AND DELIVERY OF LOT 4: ASSORTED AGRICULTURAL SUPPLIES FOR ESTABLISHMENT OF SORGHUM MODEL FARM IN PALAWAN</t>
  </si>
  <si>
    <t>BNLSL-LCB-05A-2019 Construction of Canal System of Labiranan CIP, Dulag, Leyte</t>
  </si>
  <si>
    <t>Supply and Delivery of Other Supplies and Materials (5020399000-06-20-03)</t>
  </si>
  <si>
    <t>Insurance Services for PAFF-2020-0080 &amp; 0081</t>
  </si>
  <si>
    <t>Construction of Flood Control Project (Gabion Type) Along Paliwan River at Brgy. Guinbanga-an, Laua-an, Antique</t>
  </si>
  <si>
    <t>INSTALLATION OF VARIOUS SOLAR STREET LIGHTS, BRGY. BALITE, BUGA,BUGA, POBLACION DEL NORTE, POBLACION DEL SUR, CALBUGOS, CAPINAHAN, HIBULANGAN, JALAS, JORDAN, SAN FRANCISCO, ABIJAO, STA. CRUZ, SULPA, T</t>
  </si>
  <si>
    <t>Purchase of Various Office Supplies for the use of LGU Laua-an</t>
  </si>
  <si>
    <t>20BF0059: Renovation of Planning and Design Section Office, Isabela Second District Engineering Office, San Antonio, Roxas, Isabela</t>
  </si>
  <si>
    <t>Information Technology Equipment for ADMI-2020-0021</t>
  </si>
  <si>
    <t>SUPPLY AND DELIVERY OF LOT 2: ASSORTED AGRICULTURAL SUPPLIES FOR ESTABLISHMENT OF SORGHUM MODEL FARM IN OCCIDENTAL MINDORO</t>
  </si>
  <si>
    <t>Industrial Shredder for HOD-2020-0386</t>
  </si>
  <si>
    <t>AVRC-MEDICAL SUPPLIES FOR AVRC III</t>
  </si>
  <si>
    <t>Airconditioning System for PEO-2020-0856</t>
  </si>
  <si>
    <t>Veterinary Drugs &amp; Supplies for VET-2020-0140</t>
  </si>
  <si>
    <t>Information Technology Equipment for PESO-2020-0010</t>
  </si>
  <si>
    <t>20BF0058: Repair/Maintenance of Mallig River Flood Control Structure at Brgy. San Pedro, Roxas, Isabela Sta. 0+000-Sta. 0+120, Roxas, Isabela</t>
  </si>
  <si>
    <t>Concreting of Almojuela St. (Phase 2)</t>
  </si>
  <si>
    <t>PURCHASE OF MOTORCYCLE (2 UNITS) - 2nd Bidding</t>
  </si>
  <si>
    <t>CONSTRUCTION MATERIALS FOR THE REHABILITATION OF BRG. WHARF AT MAHANAY , TALIBON, BOHOL</t>
  </si>
  <si>
    <t>PROCUREMENT FOR THE SUPPLY, DELIVERY, INSTALLATION, TESTING AND COMMISSIONING OF TWO (2) UNITS OF PUMPING EQUIPMENT FOR THE IGACOS WATER DISTRICT’S WATER SUPPLY SYSTEM AND IMPROVEMENT PROJECT</t>
  </si>
  <si>
    <t>IT Equipments for the Use of LGU-Cabatuan, Iloilo</t>
  </si>
  <si>
    <t>REHABILITATION OF HEALTH CENTER</t>
  </si>
  <si>
    <t>CONCRETE FENCING FOR EVACUATION CENTER - 2ND BIDDING</t>
  </si>
  <si>
    <t>Purchase of office supplies and consumables</t>
  </si>
  <si>
    <t>MEDICAL SUPPLIES/RE-IB No. MM-2020-013(m)</t>
  </si>
  <si>
    <t>PROCUREMENT OF 1 UNIT AMBULANCE FOR LGU-MAPANAS, NORTHERN SAMAR</t>
  </si>
  <si>
    <t>DRUGS AND MEDICINES/NEG. PROC. No. MM-2020-005(m)</t>
  </si>
  <si>
    <t>CONSTRUCTION/IMPROVEMENT OF MULTI PURPOSE BUILDING (PHASE1)</t>
  </si>
  <si>
    <t>Improvement of Barangay Hall ( Installation of sliding Window)</t>
  </si>
  <si>
    <t>MEDICAL AND DENTAL SUPPLIES/RE-IB No. MM-2020-011(m)</t>
  </si>
  <si>
    <t>MEDICINES/RE-IB No. MM-2020-018(m)</t>
  </si>
  <si>
    <t>Repair of Brgy. Mambog Multi-purpose School Building (District Office)</t>
  </si>
  <si>
    <t>DRUGS AND MEDICINES/RE-IB No. MM-2020-017(m)</t>
  </si>
  <si>
    <t>WATER SOURCE DEVELOPMENT (SOURCE 2)</t>
  </si>
  <si>
    <t>MEDICAL SUPPLIES/RE-IB No. MM-2020-014(m)</t>
  </si>
  <si>
    <t>CONSTRUCTION OF LOCAL ROAD AND LINE CANAL</t>
  </si>
  <si>
    <t>Procurement of Civil Works-Construction of 2 storey building to accommodate PUIs/PUMs</t>
  </si>
  <si>
    <t>Procurement of Hygiene and Sanitation Supplies</t>
  </si>
  <si>
    <t>Safety and Occupational Products</t>
  </si>
  <si>
    <t>SUPPLY AND DELIVERY OF BRAND NEW MOTORCYCLE WITH SINGLE PASSENGER SIDE CAR</t>
  </si>
  <si>
    <t>Purchased of Motorcycle</t>
  </si>
  <si>
    <t>10	boxes	Aciclovir 400mg tablet, 100's, etc. PR # 231-20</t>
  </si>
  <si>
    <t>MEDICAL, DENTAL AND LABORATORY SUPPLIES/SVP No. DD-2020-02-011(m)</t>
  </si>
  <si>
    <t>MG-A5M20-102 ( ELECTRODE, BRONZE )</t>
  </si>
  <si>
    <t>2020-06-662</t>
  </si>
  <si>
    <t>CONSTRUCTION OF CONCRETE PAVEMENT AT SITIO 5</t>
  </si>
  <si>
    <t>SUPPLY AND DELIVERY OF BRAND NEW SERVICE VEHICLES, INCLUDING PREVENTIVE MAINTENANCE SERVICE (2 LOTS)</t>
  </si>
  <si>
    <t>SUPPLY AND DELIVERY OF GROCERY SUPPLIES FOR VARIOUS OFFICES OF THE CITY GOVERNMENT OF MAKATI</t>
  </si>
  <si>
    <t>PURCHASE OF MICRONUTRIENT POWDER FOR COMPREHENSIVE NUTRITION PROGRAM</t>
  </si>
  <si>
    <t>SUPPLY AND DELIVERY OF APPLIANCES AND OTHER EQUIPMENT FOR VARIOUS DEPARTMENTS/OFFICES OF THE CITY GOVERNMENT OF MAKATI</t>
  </si>
  <si>
    <t>TIRES 255/60 R18/SVP No. M-2020-04-006</t>
  </si>
  <si>
    <t>100	BOX	Allopurinol 100mg, tablet, 100's, etc. PR # 288-20</t>
  </si>
  <si>
    <t>Procurement of Materials for Construction/Rehab of WWS for san francisco de asis</t>
  </si>
  <si>
    <t>SUPPLY AND DELIVERY OF VARIOUS INSTRUMENTS/EQUIPMENT FOR MAKATI HEALTH DEPARTMENT</t>
  </si>
  <si>
    <t>SUPPLY AND DELIVERY OF JANITORIAL AND CLEANING SUPPLIES FOR VARIOUS DEPARTMENTS/OFFICES IN THE CITY GOVERNMENT OF MAKATI</t>
  </si>
  <si>
    <t>CONCRETING OF ROAD @ PAJAYON STREET, BRGY. IRIRON, CALINTAAN OCCIDENTAL MINDORO</t>
  </si>
  <si>
    <t>procurement of diesel fuel</t>
  </si>
  <si>
    <t>TIRES TUBELESS/SVP No. K-2020-06-006</t>
  </si>
  <si>
    <t>Purchased of Multi-Cab/Barangay Patrol Car</t>
  </si>
  <si>
    <t>SUPPLY AND DELIVERY OF OFFICE EQUIPMENT AND SUPPLIES FOR VARIOUS DEPARTMENTS/OFFICES OF THE CITY GOVERNMENT OF MAKATI</t>
  </si>
  <si>
    <t>20CN0152 - Repair/Rehabilitation of Slope Protection along National Roads, A. Castañeda – Ma. Aurora San Luis Road, K0226+375, K0202+850, Dimasalang Bridge</t>
  </si>
  <si>
    <t>150	BOX	Metformin HCL 500 mg, 100 tab/box, etc. PR # 492-20</t>
  </si>
  <si>
    <t>Partition of Session Hal</t>
  </si>
  <si>
    <t>100	UNITS	Modular Tent w/ mosquito net, PR # 496-20</t>
  </si>
  <si>
    <t>SPARE PARTS/SVP No. K-2020-06-002</t>
  </si>
  <si>
    <t>Procurement of Courier Services for PSO Bukidnon 12months (1year) PR NO. 2020-06-037</t>
  </si>
  <si>
    <t>Solid Waste Management (Hauling), Office of the Municipal Agriculturist, San Jose, Batangas</t>
  </si>
  <si>
    <t>Procurement of Materials for the Construction of Multi-Purpose Building (Phase 3)</t>
  </si>
  <si>
    <t>Rental of Vehicle for the Validation of Listahanan 3</t>
  </si>
  <si>
    <t>TIRES/SVP No. K-2020-06-003</t>
  </si>
  <si>
    <t>OUTSOURCING OF IMAGING SERVICES FOR VULNERABLE GROUPS THROUGH AN ORDERING AGREEMENT</t>
  </si>
  <si>
    <t>OUTSOURCING OF BASIC CLINICAL AND DIAGNOSTIC LABORATORY SUPPLIES AND SERVICES THROUGH AN ORDERING AGREEMENT</t>
  </si>
  <si>
    <t>18	pieces	Wheelchair, PR # 345-20</t>
  </si>
  <si>
    <t>Supply &amp; Delivery of Construction Materials for the Repair of Public Market (Fish Section)</t>
  </si>
  <si>
    <t>20CN0150 -Construction of Multi-Purpose Building, Brgy. Dibaraybay, Dinalungan, Aurora</t>
  </si>
  <si>
    <t>Installation of Street Light(Solar)</t>
  </si>
  <si>
    <t>Supply of Labor, Materials and Equipment for Riprapping, Brgy. Pinagtung-Ulan, San Jose, Batangas</t>
  </si>
  <si>
    <t>CONSTRUCTION OF DAY CARE CENTER @ SO. MALATIKWANG, BRGY. NEW DAGUPAN, CALINTAAN OCCIDENTAL MINDORO</t>
  </si>
  <si>
    <t>20CN0151 - A. Repair/Maintenance of Pingit Creek Revetment 2 &amp; 3 Flood Control, Brgy. Pingit, Baler, Aurora and B. Repair/Maintenance of Cabatangan River Revetment 2 Flood Control, Brgy. Dikildit, Mar</t>
  </si>
  <si>
    <t>Purchase of Diesel and Lubricant for Road Graveling of Barangay Villakapa, San Pablo, ZDS.</t>
  </si>
  <si>
    <t>20CSPH01 - Geotechnical Investigation for Slope Protection Projects along Various Road Sections in Mountain Province for FY 2020</t>
  </si>
  <si>
    <t>Supply of Labor, Materials and Equipment for Riprapping, Brgy. Galamay Amo, San Jose, Batangas</t>
  </si>
  <si>
    <t>SUPPLY &amp; DELIVERY OF ASSORTED VEGETABLE SEEDS UNDER DA YRRP-ESETS PROGRAM</t>
  </si>
  <si>
    <t>CONSTRUCTION OF LINE CANAL, BRGY. HINABUYAN, ILIGAY, SAN VICENTE, VILLABA, LEYTE SOURCE OF FUND: 20% AIP 2020</t>
  </si>
  <si>
    <t>Training Supplies for the use of NHTU to the Post Assessment of Field Staff</t>
  </si>
  <si>
    <t>Construction/ Improvement of Access Roads leading to Airports - Guicadale Road Network to International Airport (Sitio Bugit Road Section), Imalnod, Legazpi City, Albay</t>
  </si>
  <si>
    <t>MPBRIS-LCB-08A-2019 Construction of Canal System of Mainit RIS, Alangalang, Leyte</t>
  </si>
  <si>
    <t>CONSTRUCTION OF PATHWAY</t>
  </si>
  <si>
    <t>Rehabilitation of Farm-to-Market Road - Lubing (Arsadanan)</t>
  </si>
  <si>
    <t>Supply and Delivery of  5.56MM Ammunition (SS109/M855) for JUNE 2020</t>
  </si>
  <si>
    <t>procurement of Laptop</t>
  </si>
  <si>
    <t>Supply and Delivery of Construction Materials for Water System Project</t>
  </si>
  <si>
    <t>BARANGAY RESCUE VEHICLE(BONGGO DOUBLE CAB)</t>
  </si>
  <si>
    <t>Procurement of Materials for Installation of Deep Well Hand Pumps</t>
  </si>
  <si>
    <t>Procurement of Diesel for Light and Heavy Equipment</t>
  </si>
  <si>
    <t>Office Supplies for the use of Social Pension staff in the implementation of the program</t>
  </si>
  <si>
    <t>Supply of Labor, Materials and Equipment for the Construction of Pathways, Brgy. Pinagtung-Ulan, San Jose, Batangas</t>
  </si>
  <si>
    <t>CONCRETING OF BARANGAY ROAD (Brgy. Palingowak)</t>
  </si>
  <si>
    <t>Machinery and Equipment Repair and Maintenance</t>
  </si>
  <si>
    <t>PW-2020-08</t>
  </si>
  <si>
    <t>Supply of Labor, Materials and Equipment for the Purchase and Installation of Street Lights, Various Barangay, San Jose, Batangas</t>
  </si>
  <si>
    <t>Supply and Delivery of Service Card Cabinet</t>
  </si>
  <si>
    <t>Second Quarter Various Office Supplies</t>
  </si>
  <si>
    <t>Purchase of Office Accessories and Supplies under SEF (2nd Bid Opening)</t>
  </si>
  <si>
    <t>Procurement of IT Equipment</t>
  </si>
  <si>
    <t>Procurement of Various Paints, Paint Thinners and Painting Tools and Materials to be Used in Brigada Eskwela 2020</t>
  </si>
  <si>
    <t>REPAIR/IMPROVEMENT OF BRGY. RECREATION CENTER, BRGY. SAN VICENTE, VILLABA, LEYTE SOURCE OF FUND: BRGY. SAN VICENTE FUND</t>
  </si>
  <si>
    <t>Purchase of One (1) Unit 4x4 Pick up Vehicle</t>
  </si>
  <si>
    <t>Bid No. 20-0266 - PROCUREMENT OF AGRICULTURAL EQUIPMENT - MENRO (DEVELOPMENT AND OPERATIONS OF ESWM-PARK</t>
  </si>
  <si>
    <t>OFFICE SUPPLIES FOR STOD 1st &amp; 2nd QUARTER</t>
  </si>
  <si>
    <t>Procurement of Various Office and IT Equipment of Different Offices - LGU Laak, Davao De Oro</t>
  </si>
  <si>
    <t>Vehicle Spare Parts and Accessories</t>
  </si>
  <si>
    <t>Supply and Delivery of Multi-Purpose Vehicles</t>
  </si>
  <si>
    <t>Supply and Delivery of Fuel, Oil and Lubricants use for the Construction/Rehab. of Local Roads.</t>
  </si>
  <si>
    <t>20GFD0007 – Supply and Delivery of Materials for Repair and Maintenance of Road Safety Facilities along Daang Maharlika  (selected station limits) K0394+000 - K0396+000 and Rolando R. Andaya Highway K</t>
  </si>
  <si>
    <t>Improvement of BDRRM (Covered Court)</t>
  </si>
  <si>
    <t>AGRICULTURAL PRODUCTS</t>
  </si>
  <si>
    <t>P.R No. 2020-AS-06-019(PPE &amp; Automatic Dispenser) Administrative Section</t>
  </si>
  <si>
    <t>IT CONSUMABLES</t>
  </si>
  <si>
    <t>20GFD0008 – Supply and Delivery of Materials for the Repair and Maintenance of National Roads and Bridges along Rolando R. Andaya Highway K0282+(-916) to K0312+000  &amp; Sipocot-Cabusao Road K0394+(-816)</t>
  </si>
  <si>
    <t>PURCHASE OF IT EQUIPMENT FOR GIS MAPPING</t>
  </si>
  <si>
    <t>AGRICULTURAL MACHINERY &amp; EQUIPMENT</t>
  </si>
  <si>
    <t>IB-GOODS-2020-09 Procurement of Drugs and Medicines</t>
  </si>
  <si>
    <t>Medical, Laboratory and Birthing Facility Supplies for the 1st and 2nd Quarter 2020</t>
  </si>
  <si>
    <t>Procurement of TRAFFIC CONTROL SYSTEM</t>
  </si>
  <si>
    <t>SOIL/ GEOTECHNICAL INVESTIGATION FOR THE PROPOSED CONSTRUCTION OF VARIOUS FLOOD CONTROL PROJECTS AND PROPOSED CONSTRUCTION OF BUILDING PROJECT WITHIN 5TH AND 6TH DISTRICT OF PANGASINAN</t>
  </si>
  <si>
    <t>Veterinary Equipment for VET-2020-0123 &amp; 0124</t>
  </si>
  <si>
    <t>Supply and Delivery of Spare Parts use for the repair and Maintenance of Backhoe Loader.</t>
  </si>
  <si>
    <t>Procurement for the Supply and Delivery of Pipeline Materials for Operation &amp; Maintenance of 3rd &amp; 4th Quarter of CY 2020</t>
  </si>
  <si>
    <t>REHABILITATION/IMPROVEMENT OF THE MUNICIPAL BUILDING, MAGALLANES, CAVITE</t>
  </si>
  <si>
    <t>Construction of Drainage Canal along Magbanua Street</t>
  </si>
  <si>
    <t>BARANGAY GARBAGE TRUCK (BONGGO SINGLE CAB)</t>
  </si>
  <si>
    <t>CONCRETING OF FARM-TO-MARKET ROAD AT SITIO KAY-APAS, BRGY. MEDINA, MAGALLANES, CAVITE</t>
  </si>
  <si>
    <t>Subscription to Fortinet Firewall (FG500d) for Head Office and SEC Co-location (FG501E) with FortiAnalyzer</t>
  </si>
  <si>
    <t>Construction of Stone Masonry Riverwall Along Creek at Antipolo Hills Subdivision, Brgy. San Luis, Antipolo City</t>
  </si>
  <si>
    <t>AGRICULTURAL PRODUCTS (SEEDS)</t>
  </si>
  <si>
    <t>INF ITB 20-028 Spring Development at Sitio Blit, Brgy. Ned, Lake Sebu, South Cotabato</t>
  </si>
  <si>
    <t>Procurement of 100w Solar Powered LED Streetlights for Brgys. San Jose and San Agustin, all of Bula, Camarines Sur</t>
  </si>
  <si>
    <t>IMPROVEMENT OF COVERED COURT @ CALINTAAN CENTRAL SCHOOL, CALINTAAN OCCIDENTAL MINDORO</t>
  </si>
  <si>
    <t>Improvement of Covered Court Facilities</t>
  </si>
  <si>
    <t>Purchase of Laptop and Extension Cords</t>
  </si>
  <si>
    <t>Supply and Delivery for the City Disaster Risk Reduction and Management Office (CDRRMO) under P.R.No. 0693-2020-Subject to Ordering Agreement Arrangement</t>
  </si>
  <si>
    <t>SUPPLY AND DELIVERY OF VARIOUS MATERIALS/FITTINGS FOR OFFICE STOCKS</t>
  </si>
  <si>
    <t>IT Equipment</t>
  </si>
  <si>
    <t>Repair/Rehabilitation Works of Three (3) Storey Six (6) Rooms PLED Building at San Isidro National High School Brgy San Isidro, Antipolo City</t>
  </si>
  <si>
    <t>Spring/Well Development</t>
  </si>
  <si>
    <t>Fishing Nets for OPA-2020-0251</t>
  </si>
  <si>
    <t>Spare Parts for OPA-2020-0277, 0280, 0281, 0282</t>
  </si>
  <si>
    <t>Purchase of Goods (Fixtures)</t>
  </si>
  <si>
    <t>Construction of Stone Masonry Riverwall (Portion) Along Labahan Creek at Palemon Street, Crestview Subdivision, Brgy. Cupang, Antipolo City</t>
  </si>
  <si>
    <t>Procurement and Delivery of Various Goods</t>
  </si>
  <si>
    <t>Supply and Delivery of Office and IT Equipment</t>
  </si>
  <si>
    <t>Supply and delivery of training supplies and  materials</t>
  </si>
  <si>
    <t>Purchase of Construction Materials for use in the Construction of Seventy (70) units Socialized Housing (Phase 2) at DonVictor Ville, Brgy. Silangang Mayao, Lucena City as requested by City Engineerin</t>
  </si>
  <si>
    <t>Payment of Fuel for Barangay Roads Rehabilitation</t>
  </si>
  <si>
    <t>Concreting of Road 1 and Construction of Drainage Canal at Bayugo-Padi Heights Subd., Brgy. San Luis, Antipolo City</t>
  </si>
  <si>
    <t>Fabrication &amp; Installation of Street Lights</t>
  </si>
  <si>
    <t>PURCHASE OF COVID19 TEST KITS (RAPID DIAGNOSTIC TEST)</t>
  </si>
  <si>
    <t>Bid No. 20-0267 - PROCUREMENT OF FOOD SUPPLIES - MO/MPOC (CAFGU) FOR THE MONTH OF SEPTEMBER 2020</t>
  </si>
  <si>
    <t>Procurement of supply and delivery of Training Supplies</t>
  </si>
  <si>
    <t>Repair/ Improvement of Two(2) Storey, Four(4) Classrooms AUS-AID Building at Old Boso-Boso Elementary School, Sitio Boso-Boso Brgy. San Jose, Antipolo City</t>
  </si>
  <si>
    <t>Supply and Delivery of Tire w/Interior use for the repair and maintenance of Backhoe Loader.</t>
  </si>
  <si>
    <t>Concreting of Ilang-Ilang St. at Bermuda Heights Subd., Brgy. San Luis, Antipolo City</t>
  </si>
  <si>
    <t>Various Infrastructure Projects (Infra-20-08), Kabankalan City, Negros Occidental</t>
  </si>
  <si>
    <t>Concrerting of Brgy. Road @ Brgy. Bucal, Concepcion 1, Concepcion Banahaw, Concepecion Pinagbakuran, Guis-guis Talon, Lutucan 1, Lutucan Malabag, Manggalang 1, Manggalang Tulo-tulo and Mamala 2, Saria</t>
  </si>
  <si>
    <t>SUPPLY AND DELIVERY OF VARIOUS OFFICE SUPPLIES FOR OFFICE STOCKS</t>
  </si>
  <si>
    <t>Repair/ Repainting of Covered Court and Rewiring of School Building at Brgy. Sta. Cruz and Brgy. San Isidro, Antipolo City (2020 – Package 19)</t>
  </si>
  <si>
    <t>Purchase of Construction Materials for use in the Repairs and Maintenance of various Barangay Facilities in Lucena City as requested by CMO(PR# 154)REBID</t>
  </si>
  <si>
    <t>Construction &amp; Improvement of Various Infrastructure Projects</t>
  </si>
  <si>
    <t>Delivery of one (1) unit Dump truck</t>
  </si>
  <si>
    <t>Improvement/ Replacement/ Repair/ Repainting at Various Schools, Brgy. Cupang, Antipolo City  (2020 – Package 20)</t>
  </si>
  <si>
    <t>Office Supplies for the use of RRCY Residents and Staff intended for the 1st Semester 2020</t>
  </si>
  <si>
    <t>SUPPLY AND DELIVERY OF MATERIALS TO USED FOR INSTALLATION OF STREET LIGHTS</t>
  </si>
  <si>
    <t>Repair/Repainting of School Canteen at Bagong Nayon II National Highschool - Annex, Brgy. San Isidro, Antipolo City</t>
  </si>
  <si>
    <t>MODULAR TENT FOR EVACUATION CENTER (MDRRMO)</t>
  </si>
  <si>
    <t>Purchase of Sound System with Complete Accessories for use in the various programs, events and activities of the City Government as requested by CGSO(PR# 158)REBID</t>
  </si>
  <si>
    <t>Purchase of Goods (Citation Ticket and Sticker)</t>
  </si>
  <si>
    <t xml:space="preserve">RFQ - 3 guards Security Services: One year services with the following requirements : 9mm Pistol 12GA shotgun with basic load ammunication, Nigntstick (Batuta), First Aid Kit, Hand Cuffs, Flushlight, </t>
  </si>
  <si>
    <t>Rebidding: 35 cu.m Coarse Aggregates (2” max. size) and other items for Barangay Balugo-road concreting of Carolina P. Umbac street.</t>
  </si>
  <si>
    <t>Improvement of Covered Pathwalk at Bagong Nayon II Elementary School, Brgy. San Isidro, Antipolo City</t>
  </si>
  <si>
    <t>Concreting of Brgy. Road @ Brgy. Antipolo, Janagdong 2, Manggalang Bantilan, Manggalang Kiling, Sampaloc Bogon, and Tumabaga 2, Sariaya, Quezon</t>
  </si>
  <si>
    <t>Four (4) Units Transparent Double Top Stainless Table</t>
  </si>
  <si>
    <t>Procurement of Catering Services-06-052(M)OPAG</t>
  </si>
  <si>
    <t>Purchase of Construction Materials for use in the Repairs and Maintenance of various Barangay Facilities in Lucena City as requested by CMO(PR# 155)REBID</t>
  </si>
  <si>
    <t>Delivery of one (1) unit Payloader</t>
  </si>
  <si>
    <t>Concreting of Brgy. Road @ Brgy. Balubal, Gibanga, Lutucan Bata, Mamala 1, Montecillo, Morong, Pili, Sampaloc 2, Tumbaga 1 and Talaan Pantoc, Sariaya, Quezon</t>
  </si>
  <si>
    <t>Waterworks Materials</t>
  </si>
  <si>
    <t>Procurement for the Supply and Delivery of Plumbing Fixtures &amp; Fitting Materials for the 3rd and 4th Quarter Operation and Maintenance Requirement</t>
  </si>
  <si>
    <t>Concreting of Barangay Road @ Brgy. Bignay 1, Bignay 2, Canda, Castañas, Concepcion Palasan, Janagdong 1, Guis-guis San Roque, Sampaloc 1, Sto. Cristo and Talaan Aplaya, Sariaya, Quezon</t>
  </si>
  <si>
    <t>Procurement of Farm Implements and Equipments</t>
  </si>
  <si>
    <t>IMPROVEMENT OF PUBLIC COMFORT ROOM @ MUNICIPAL COMPOUND, BRGY. POBLACION, CALINTAAN OCCIDENAL MINDORO</t>
  </si>
  <si>
    <t>Utility Supplies 2020</t>
  </si>
  <si>
    <t xml:space="preserve">Public Bidding of 3 Lots for the Supply and Delivery of Office Supplies, Computer Inks &amp; Cartridges and Janitorial Supplies for the use of Various Offices in the Roxas City Government (2nd Qtr) under </t>
  </si>
  <si>
    <t>Construction of Covered Pathwalk  and Repair/ Improvement of Sitio Hall at Brgy. San Jose, Antipolo City (2020 – Package 21)</t>
  </si>
  <si>
    <t>Procurement of Various Projects (Package 3)</t>
  </si>
  <si>
    <t>Invitation to bid for the major repair of community fish landing center at Sitio Impapanan, Armenia, Uson, Masbate</t>
  </si>
  <si>
    <t>Construction of Brgy. Water Supply System @ Purok 3, Brgy. Sto. Cristo, Sariaya, Quezon</t>
  </si>
  <si>
    <t>SUPPLY AND DELIVERY OF MATERIALS TO BE USED IN CONCRETING OF BARANGAY ROAD, SITIO 2, BARANGAY ARANGIN</t>
  </si>
  <si>
    <t>Contract ID No. 20K00349 - Const. of By-Pass and Diversion Road Jct. CDO Talakag Road/ Macapagal Drive-Upper Carmen-Patag-Jct. BCIR/ Kauswagan, Cagayan de Oro City</t>
  </si>
  <si>
    <t>Completion of Tabo-an Center at Bgy. San Jose De Oro</t>
  </si>
  <si>
    <t>CATERING SERVICES</t>
  </si>
  <si>
    <t>Rebidding: 345 cu.m concrete premix (3000 psi @ 28 days) cf: 9 bags/cu.m  for Barangay Balugo-road concreting of Carolina P. Umbac street.</t>
  </si>
  <si>
    <t>Purchase of Materials for use in the Repair of Water System at Dalubhasaan ng Lungsod ng Lucena(PR# 160)REBID</t>
  </si>
  <si>
    <t>Procurement and Delivery of Technical and Scientific Equipment</t>
  </si>
  <si>
    <t>Procurement of Catering Services-06-053(M)OPAG</t>
  </si>
  <si>
    <t>PROCUREMENT OF PAYROLL SYSTEM</t>
  </si>
  <si>
    <t>Construction of Foundation of Niches at City Public Cemetery No. 2, Sto. Niño St., Barangay San Jose, Antipolo  City</t>
  </si>
  <si>
    <t>Construction of Drainage Canal along Panes-Laud Street</t>
  </si>
  <si>
    <t>Purchase of materials for the construction of Drainage Canal, Purok Kapitan Andres-Mabini, Barangay I, Pob. Ilog, Neg. Occ</t>
  </si>
  <si>
    <t>RFQ - Assorted Construction Materials for use in Maintenance Activities (2nd Quarter) (Maintenance Section)</t>
  </si>
  <si>
    <t>Construction of Bleacher, Canopy and Perimeter Fence at Sierra Vista Subdivision, Brgy. Cupang, Antipolo City</t>
  </si>
  <si>
    <t>Purchase of Construction Materials for use in the Improvement of Livelihood Building at Brgy. Marketview, Lucena City as requested by City Engineering Office(PR# 167)REBID</t>
  </si>
  <si>
    <t>Purchase of Painting and Construction Materials for use in the Rehabilitation of Old City Accounting Office at Brgy. V, Lucena City as requested by CMO(PR# 166)REBID</t>
  </si>
  <si>
    <t>Invitation to bid for the construction of 200 sq. meters reinforced concrete solar dryer pavement at Del Carmen, Uson, Masbate</t>
  </si>
  <si>
    <t>2,485 cu.m. Loose Earth Soil for Vegetation and other items for site grading, stabilization and final cover of Dumpsite (Closure Plan) Phase I, Barangay Candau-ay.</t>
  </si>
  <si>
    <t>Purchase of Painting Materials for use in support for the Brigada Eskwela of Different Public Elementary Schools in Lucena City as requested by DepEd - Lucena(PR# 172)REBID</t>
  </si>
  <si>
    <t>Construction Materials and Supply</t>
  </si>
  <si>
    <t>RFQ - Assorted Construction Materials for use in Maintenance Activities (2nd Quarter)</t>
  </si>
  <si>
    <t>Procurement of Catering Services-06-054(M)OPAG</t>
  </si>
  <si>
    <t>Outsourcing of Ten (10) Personnel to Perform the Distribution of Water Bills within the Service Areas of the District (Rebidding)</t>
  </si>
  <si>
    <t>Contract ID No. 20K00350 - Const. of By-Pass and Diversion Roads Cagayan de Oro Diversion Road, (Jct. Balubal Sayre Highway-Pueblo de Oro, CDO-Old Airport Road Diversion Road (Pueblo de Oro/ Jct. CDO-</t>
  </si>
  <si>
    <t>Procurement of Submersible Pump &amp; Accessories for Barangay Poblacion</t>
  </si>
  <si>
    <t>One (1) Unit Dehumidifier</t>
  </si>
  <si>
    <t>ILD-20-1946(R1): Procurement of Other Supplies to be used in the ILD Office of the Division Chief and Laboratories</t>
  </si>
  <si>
    <t>Purchase of Painting Materials for use in support for the Brigada Eskwela of Different Public Elementary Schools in Lucena City as requested by DepEd - Lucena(PR# 171)REBID</t>
  </si>
  <si>
    <t>Purchase of 1 unit municipal ambulance</t>
  </si>
  <si>
    <t>Livestocks</t>
  </si>
  <si>
    <t>EXTENSION OF MULTIPURPOSE HALL(18m x 12m ) Marawer Kapatagan Digos City</t>
  </si>
  <si>
    <t>Construction of Drainage System Phase IV at Maguey Road, Barangay San Luis, Antipolo City</t>
  </si>
  <si>
    <t>Construction of Drainage System Phase III at Maguey Road, Barangay San Isidro, Antipolo City</t>
  </si>
  <si>
    <t>Contract ID No. 20K00351 - Const. of By-Pass and Diversion Roads, Claveria-Balingoan By-Pass Road, (Kabangasan-Mapua Section), Misamis Oriental</t>
  </si>
  <si>
    <t>20GLD0035-Procurement of Freight &amp; Handling of various Documents-For shipment and deliveries of mail matters &amp; logistics</t>
  </si>
  <si>
    <t>Purchase of Multi-Purpose Vehicle for the use of Ilog Rural Health Unit. Ilog, Negros Occidental</t>
  </si>
  <si>
    <t>Rubber Gloves etc. - REBID (03-0353)CGSO</t>
  </si>
  <si>
    <t>PROCUREMENT OF HONDA XR150L MOTORCYCLE</t>
  </si>
  <si>
    <t>Common Use Supplies 2020 (Fund 164)</t>
  </si>
  <si>
    <t>Invitation to bid for the purchase of 1 unit garbage truck</t>
  </si>
  <si>
    <t>Purchase of Printers, Desktop and Laptop Computers for use in the Office of the Schools Superintendent, Supply Office and Division Office of DepEd - Lucena(PR# 173)REBID</t>
  </si>
  <si>
    <t>Fertilizer</t>
  </si>
  <si>
    <t>Printing of Two Thousand Five Hundred (2500) pieces of Student Handbook for the use of Dalubhasaan ng Lungsod ng Lucena(PR# 178)REBID</t>
  </si>
  <si>
    <t>Procurement of Sacks for the operation of Municipal Reaper Machine</t>
  </si>
  <si>
    <t>Maintenance and Rehabilitation of CCTV Fiber Optic System  Iba O'este, Calumpit, Bulacan</t>
  </si>
  <si>
    <t>Concreting of Barangay Road - Sto. Nino Street, Baybay, Caramoran</t>
  </si>
  <si>
    <t>TRANSPORTATION AND DELIVERY EXPENSES (WATER TRUCK DELIVERY)</t>
  </si>
  <si>
    <t>Purchase of Laboratory Equipments</t>
  </si>
  <si>
    <t>Supply and Delivery of Cooking Tools and Materials</t>
  </si>
  <si>
    <t>Supply and Delivery of Various Medicines for 2nd Quarter 2020</t>
  </si>
  <si>
    <t>Repair/ Repainting of Various School Buildings at Brgy. Sta. Cruz, Antipolo City (2020 – Package 22)</t>
  </si>
  <si>
    <t>Invitation to bid for the purchase of 165 pails paint and 1,000 sacks cement</t>
  </si>
  <si>
    <t>Purchase of Construction Materials for use in the Repair of Barangay Facilities in Lucena City as requested by CMO(PR# 184)REBID</t>
  </si>
  <si>
    <t>DAY CARE CENTER SUPPLIES FOR 2020 (MSWDO Office)</t>
  </si>
  <si>
    <t>Purchase of materials for the construction of drainage canal, Barangay Dancalan, Ilog, neg. Occ.</t>
  </si>
  <si>
    <t>ISUZU CROSSWIND BATTERY</t>
  </si>
  <si>
    <t>20GE024G – P.R. No. R06.14- 025 - Purchase of assorted materials for use on Maintenance Activities.</t>
  </si>
  <si>
    <t>Purchase of One (1) unit Multi - Purpose Vehicle for the use of Frontline Services of the City Government of Lucena as requested by City Mayor's Office(PR# 180)REBID</t>
  </si>
  <si>
    <t>Three (3) Units Air Purifier and Ionizer</t>
  </si>
  <si>
    <t>Maintenance and Rehabilitation of Public Address System in Iba O'este, Calumpit, Bulacan</t>
  </si>
  <si>
    <t>Public Bidding of 3 Lots for the Supply and Delivery of Diesel and Motor Oil for Roxas City PNP, City Assessor’s Office and Roxas City Disaster Risk Reduction and Management Office under ITB No. 2020-</t>
  </si>
  <si>
    <t>20GLD0036-Procurement of 1,000 liters Gasoline Premium-For use in Maintenance Section</t>
  </si>
  <si>
    <t>Repair/ Repainting of Two (2) Storey, Six (6) Rooms Pled School Building 4 at Antipolo National High School, Brgy. Sta. Cruz, Antipolo City</t>
  </si>
  <si>
    <t>Purchase of Construction and Electrical Materials for use in the Repairs and Maintenance of various Barangay Facilities in Lucena City as requested by CMO(PR# 185)REBID</t>
  </si>
  <si>
    <t>PROCUREMENT OF SUPPLIES AND MATERIALS FOR THE CONCRETING OF BARANGAY ROAD AT MAYSALAY, GOA, CAMARINES SUR.</t>
  </si>
  <si>
    <t>20GLD0037-Procurement of 3,000 liters Gasoline, Regular-For use in Maintenance Section</t>
  </si>
  <si>
    <t>Purchase of Ten (10) sets of Double Deck Beds with Foam, One (1) unit Massage Bed and Sewing Machine for use in the Recovery Wellness Center as requested by CADAC(PR# 192)REBID</t>
  </si>
  <si>
    <t>Repair/ Improvement of Two (2) Storey Six(6) Classrooms Sumulong Building at San Juan National High School, Brgy. San Juan, Antipolo City</t>
  </si>
  <si>
    <t>Purchase of materials for the improvement of Farm to Market Roads at Siito Toril, Purok Patino and Purok Cordova, Barangay Bocana, Ilog, Neg. Occ.</t>
  </si>
  <si>
    <t>Invitation to bid for the purchase of 20 units seafood stall</t>
  </si>
  <si>
    <t>20HG0174 - Repair/Maintenance of Slope Protection along Santander-Barili-Toledo Road, Looc Malabuyoc, K0160+800</t>
  </si>
  <si>
    <t>BTVTEd Garments and Fashion Design Technology Shop Laboratory.</t>
  </si>
  <si>
    <t>Purchase of materials for the concrete pavement BRgy. Balicotoc, Ilog, Neg. Occ.</t>
  </si>
  <si>
    <t>MATERIALS, IMPROVEMENT OF MULTI-PURPOSE CENTER, BRGY. CAPAY-CAPAY, DUENAS, ILOILO</t>
  </si>
  <si>
    <t>Concreting of Joaquin Orpilla FMR</t>
  </si>
  <si>
    <t>Dismantling / Transfer / Erection of Elevated Steel Tank from San Juan Water Service Multi - Purpose Cooperative (SJWSMC), Sitio Buntong Palay, Brgy. San Juan to Kaysakat National High School, Brgy. S</t>
  </si>
  <si>
    <t>Purchase of One (1) unit Multi - Purpose Vehicle for use in the operations at City Agriculture Office (Slaughterhouse) as requested by City Agriculturist's Office(PR# 197)REBID</t>
  </si>
  <si>
    <t>Invitation to bid for the barangay road concreting at Candelaria, Uson, Masbate</t>
  </si>
  <si>
    <t>BTVTEd Foods and Services Management Technology Shop Laboratory.</t>
  </si>
  <si>
    <t>Rebidding: 10 lgths Deformed Steel Bar (16mmØ x 6.0m) and other items for Barangay Balugo-road concreting of Carolina P. Umbac street.</t>
  </si>
  <si>
    <t>Purchase of Handheld Radio</t>
  </si>
  <si>
    <t>RFQ - 9,200ltrs. Diesel, 8,000ltrs. Extra Gasoline for use for All Service Vehicles and Equipments (Maintenance Section) 2nd Quarter</t>
  </si>
  <si>
    <t>Construction of Material Recovery Facility (MRF) at Brgy. Calawis, Antipolo City</t>
  </si>
  <si>
    <t>Labor &amp; Materials for the Proposed Construction of 1 Unit Deepwell</t>
  </si>
  <si>
    <t>Purchase of Drugs and Medicines for the use of City Health Office(PR# 195)REBID</t>
  </si>
  <si>
    <t>Rehabilitation/Gravelling of Afusing Bato FMR</t>
  </si>
  <si>
    <t>Purchase of materials for the road concreting, Purok Santan, BRgy. Vista Alegre, Ilog, Neg. Occ.</t>
  </si>
  <si>
    <t>20GLD0039-Procurement of 10,000 liters Automotive Diesel-For use in Maintenance Section</t>
  </si>
  <si>
    <t>20GLD0038--Procurement of 2,000 liters Kerosene-For use in Maintenance Section</t>
  </si>
  <si>
    <t>PROVISION OF THE CONTRACT FOR TARPAULIN PRINTING SERVICES FOR SIX (6) MONTHS JULY - DECEMBER 2020</t>
  </si>
  <si>
    <t>20GLD0040-Procurement of 1 pc Tire (6.40 x 13;8PR Miler Type) w/ Tube for H1-2203, Ford Fierra, etc.</t>
  </si>
  <si>
    <t>20HG0175 - Repair/Maintenance of Flood Control Structure along Lengigon Bridge, Argao, Cebu</t>
  </si>
  <si>
    <t>DDN GDSI 2020-15</t>
  </si>
  <si>
    <t>20CSHN08 -Appraisal Services for Road-Right-of-Way Acquisition – Road Widening - Secondary Roads - Terminal Bldg. Access Road - Chainage 000 - Chainage 1295, Lapu-Lapu City</t>
  </si>
  <si>
    <t>RE-BIDDING FOR THE COMPLETION OF ROXAS RURAL HEALTH UNIT (TB DOTS AND BIRTHING FACILITY) &amp; SAN VICENTE RURAL HEALTH UNIT (TB DOTS BUILDING) IN ROXAS AND SAN VICENTE, PALAWAN - PHASE 2 (LOT 2)</t>
  </si>
  <si>
    <t>Purchase of 6 units Multicab and 3 Units Prisoner’s Van Province of Northern Samar</t>
  </si>
  <si>
    <t>RENEWAL OF SOPHOS XG230 ENTERPRISE GUARD</t>
  </si>
  <si>
    <t>Improvement of Drainage Canal at Dela Paz St. (Portion), Brgy. Dela Paz, Antipolo City</t>
  </si>
  <si>
    <t>INF ITB 20-029 Construction of Lying-in Center, Brgy. Lumakil, Polomolok, South Cotabato</t>
  </si>
  <si>
    <t>RFQ - 100pcs. Sweatshirt for use in Maintenance Field Personnel (2nd Quarter)</t>
  </si>
  <si>
    <t>1 set coring machine</t>
  </si>
  <si>
    <t>20GE025G – P.R. No. R06.14-026 Purchase of assorted materials for use in Maintenance Service Vehicles</t>
  </si>
  <si>
    <t>Invitation to bid for the construction of circumferential concrete pathway at Campana, Uson, Masbate</t>
  </si>
  <si>
    <t>CONCRETING OF BARANGAY ROADS AT SITIO DUHAT BACAO, TAYSAN BATANGAS</t>
  </si>
  <si>
    <t>Two (2) Units Bills Trunk</t>
  </si>
  <si>
    <t>LGU's Community Development Information,Radio/TV Broadcasting for 6(Six)Months January to June(1st &amp; 2nd Quarter).(NP 53.6)</t>
  </si>
  <si>
    <t>INSTALLATION OF SOLAR STREET LIGHTS</t>
  </si>
  <si>
    <t>PR 040 -02-2020 OFFICE SUPPLIES AND DEVICES 1ST QTR 2020</t>
  </si>
  <si>
    <t>Procurement of 3 unit Computer Desktop,etc. under P.R.No. 2173-2020-5% City Disaster Risk Reduction and Management Fund(Continuing).</t>
  </si>
  <si>
    <t>Invitation to bid for the barangay road concreting at Arado, Uson, Masbate</t>
  </si>
  <si>
    <t>REQUEST FOR QUOTATION -One Year Lease of Network Performance monitoring System</t>
  </si>
  <si>
    <t>Construction of River/Flood Control - Hitoma, Caramoran</t>
  </si>
  <si>
    <t>CONSTRUCTION OF CONCRETE WATER SHED</t>
  </si>
  <si>
    <t>Purchase of Electrical Materials for use in the Rehabilitation of Electrical Facilities at Zaballero Elementary School as requested  by CMO(PR# 107)</t>
  </si>
  <si>
    <t>Procurement of Flags</t>
  </si>
  <si>
    <t>Purchase of Construction Materials for use in the Construction of Three (3) Makeshift Classroom at Lucena East II Elementary School as requested by DepEd - Lucena(PR# 103)</t>
  </si>
  <si>
    <t>Purchase of Emergency Medical Service for MDRR Use</t>
  </si>
  <si>
    <t>PROVISION OF THE CONTRACT FOR GASOLINE AND DIESEL SUPPLY FOR SIX (6) MONTHS JULY-DECEMBER 2020</t>
  </si>
  <si>
    <t>Purchase of Emergency Medical Service for Rural Health Unit Use</t>
  </si>
  <si>
    <t>INF ITB 20-030 Completion of Stage and Additional 2-Span Gym, Brgy. Polonuling, Tupi, South Cotabato</t>
  </si>
  <si>
    <t>Bid No. 20-0268 - PROCUREMENT OF FOOD SUPPLIES - MO/MPOC (CAFGU) FOR THE MONTH OF OCTOBER 2020</t>
  </si>
  <si>
    <t>Invitation to bid for the construction of 130 meters concrete pathway at Purok 1, Buenavista, Uson, Masbate</t>
  </si>
  <si>
    <t>SSF for Mini Food Processing Center for the LGU of Island Garden City of Samal</t>
  </si>
  <si>
    <t>EMBANKMENT AND CEMENTING OF PROPOSED BASKETBALL COURT AND PARKING AREA (Phase I)</t>
  </si>
  <si>
    <t>20CSHN09 -Appraisal Services for Road-Right-of-Way Acquisition – Road Widening - Secondary Roads - Consolacion-Tayud-Liloan  Road - Chainage 1920 - Chainage 2823, Consolacion, Cebu</t>
  </si>
  <si>
    <t>Invitation to bid for the barangay road concreting at Purok 5 to 6, Armenia, Uson, Masbate</t>
  </si>
  <si>
    <t>Purchase of Filing Cabinets, Tall Cabinet, Flat Cart and Steel Metal Storage for the use of City Accounting Office(PR# 126)</t>
  </si>
  <si>
    <t>Installation of Automatic Fire Sprinkler System (with Automatic Fire Detection, Automatic Fire Alarm, Water Tank, Pump House and Power Supply) @ Cadiz City Hall Building 1, Cabahug Street, Cadiz City”</t>
  </si>
  <si>
    <t>IMPROVEMENT OF BASKETBALL COURT (S.K FUND)</t>
  </si>
  <si>
    <t>Invitation to bid for the barangay road concreting at Purok 4, Buenavista, Uson, Masbate</t>
  </si>
  <si>
    <t>Purchase of rapid testing kit supplies intended for COVID-19 response for the use of Barangay San Antonio.</t>
  </si>
  <si>
    <t>UPLB-RQ-6-121-20-RES SUPPLY AND DELIVERY OF CHEMICALS &amp; CHEMICAL PRODUCTS FOR ASI</t>
  </si>
  <si>
    <t>Purchase of Office Supplies for the use of City Mayor's Office(PR# 127)</t>
  </si>
  <si>
    <t>SUPPLY , DELIVERY, INSTALLATION &amp; TESTING OF THRE (3) UNITS OF INVERTER AIRCON 3 TONNER CEILING CASSETTE</t>
  </si>
  <si>
    <t>Construction of Footbridge - Purok 1</t>
  </si>
  <si>
    <t>PRAS NO. 2020-06-038 CATERING SERVICES</t>
  </si>
  <si>
    <t>PROCUREMENT OF ROTARY COMPOSTER</t>
  </si>
  <si>
    <t>One (1) Unit Working Desk, Transparent</t>
  </si>
  <si>
    <t>Rehabilitation of Multi-Purpose Hall (phase 2), located at Barangay Mallorga, Talalora, Samar</t>
  </si>
  <si>
    <t>P.R. NO. 20-05-0622: 10 UNITS ALL-IN-ONE PERSONAL COMPUTER</t>
  </si>
  <si>
    <t>RFQ-2020-06-0037-Provision &amp; Installation of Road Signs along Bani-Agno Road, KO336+(-775) to KO350+134 with exception and Burgos-Agno, KO303(-961) to KO310+702</t>
  </si>
  <si>
    <t>Improvement/Repair of Roads (Repair of Binaliw Access Road Dikes)</t>
  </si>
  <si>
    <t>INSTALLATION OF GUARDRAILS (Procuring Entity: BLGU-Guinhadap)</t>
  </si>
  <si>
    <t>20FK0052-Local Program-Local Infrastructure-Concreting of Sitio Cagbalod Road Pilar, Sorogon</t>
  </si>
  <si>
    <t>CONSTRUCTION OF CONCRETE CANAL @ PUROK 03</t>
  </si>
  <si>
    <t>One (1) Unit Coin Counting and Sorting Machine</t>
  </si>
  <si>
    <t>SUPPLY AND DELIVERY OF CONSTRUCTION MATERIALS OF VARIOUS INFRA-PROJECTS</t>
  </si>
  <si>
    <t>RFQ-2020-06-0035-Furnishing  of Reflectorized Thermoplastic Pavement Marking along Pangasinan-Zambales Road, KO275+000 to KO301+000 with exception and along Alaminos-Bolinao Road, KO358+000 to 361+000</t>
  </si>
  <si>
    <t>RFQ-2020-06-0036-Provision &amp; Installation of Road Signs along Pangasinan-Zambales Road, KO268+(-814) to KO340+154 with exception</t>
  </si>
  <si>
    <t>Purchase and Installation of Twelve (12) units of Solar Lights, Lam-an, Ozamiz City</t>
  </si>
  <si>
    <t>Purchase of Medical supplies</t>
  </si>
  <si>
    <t>Construction of Barangay Stage - Tubli, Caramoran, Catanduanes</t>
  </si>
  <si>
    <t>PACKAGE 10-LDF20</t>
  </si>
  <si>
    <t>Supply and Delivery of Construction Materials - ITB 031-2020 GQ</t>
  </si>
  <si>
    <t>SVP 20-008 - Construction of Multi-Purpose Drying Pavement (MPDP), Sitio El Niño, Brgy. Lamcade, Lake Sebu, South Cotabato</t>
  </si>
  <si>
    <t>SVP 20-007 - Construction of Multi-Purpose Drying Pavement (MPDP), Sitio Villa Ellaga, Brgy. Colongulo, Surallah, South Cotabato</t>
  </si>
  <si>
    <t>20FK0051-Bridge-Refrofitting/Strenthening of Permanent Bridges-Mauhang Bridge (B04697LZ) along Daan Maharlika (LZ) Casiguran Sorsogon</t>
  </si>
  <si>
    <t>Purchase of Janitorial Supplies as requested by City Mayor's Office (PR#131)</t>
  </si>
  <si>
    <t>Tobacco Farmers/Cooperatives' Farm Mechanization and Post-Harvest Facility Assistance Project</t>
  </si>
  <si>
    <t>PR NO. 1400 FREE RANGE CHICKEN LAYER TYPE</t>
  </si>
  <si>
    <t>Concreting of NRJ (Rosario) Poblacion-Novele-Sta. Cruz Circumferential Road</t>
  </si>
  <si>
    <t>Construction/ Improvement of Access Roads leading to Airports - Guicadale Road Network to International Airport (Sitio Tagongtong-Sitio Burabod Road), Taysan, Legazpi City, Albay</t>
  </si>
  <si>
    <t>Concreting of NRJ (Bayugan City) Sta. Teresita-Mt. Carmel-Osmeña Circumferential Road</t>
  </si>
  <si>
    <t>SUPPLY AND DELIVERY OF CONSTRUCTION MATERIALS FOR THE CONCRETING OF ROADWAY IN-FRONT OF COMMERCIAL STALLS ALONG PROVINCIAL ROAD AT BARANGAY ROXAS, NAGUILIAN, ISABELA</t>
  </si>
  <si>
    <t>RFQ-2020-06-0038-Provision &amp; Installation of Road Signs along Alaminos-Bolinao  Road, KO321+(-204) to KO361+327 with exception</t>
  </si>
  <si>
    <t>RFQ-2020-06-0040-Furnishing of Reflectorized Thermoplastic Pavement Marking along Bani-Agno, KO336+(-775) to KO350+134 with exception and along Burgos-Agno Road, KO303+(961) to KO310+702 with exceptio</t>
  </si>
  <si>
    <t>Purchase of educational materials</t>
  </si>
  <si>
    <t>RFQ-2020-06-0039-Supply and Installation of Single Armpost with Solar Powered Street LED Light along the Burgos-Agno Road, KO303+(-961) to KO310+702 with exception</t>
  </si>
  <si>
    <t>School supplies</t>
  </si>
  <si>
    <t>Improvement/Repair of Roads (Repair of Boulevard Access Road Dikes)</t>
  </si>
  <si>
    <t>Construction of Power House</t>
  </si>
  <si>
    <t>Concreting of NRJ (Sibagat) San Vicente-Esperanza Road</t>
  </si>
  <si>
    <t>UPLB-RQ-6-122-20-RES SUPPLY AND DELIVERY OF INFORMATION TECHNOLOGY FOR ASI</t>
  </si>
  <si>
    <t>Construction of Outpatient Department Building for Non-COVID-19 Patients</t>
  </si>
  <si>
    <t>Rehabilitation of Techno Demo Farm</t>
  </si>
  <si>
    <t>Construction of Poblacion Drainage System (Magsaysay Street)</t>
  </si>
  <si>
    <t>20DD0325 Local Program, Construction/ Repair/ Rehabilitation/ Improvement of Various Infrastructure Including Local Projects, Buildings and Other Structures, Multipurpose/ Facilities, Construction of</t>
  </si>
  <si>
    <t>Construction of Dike 2 Purok 3 at Barangay Pto. Rivas Lote, City of Balanga, Bataan (Rebidding)</t>
  </si>
  <si>
    <t>20FK0053-Cluster XIV 1.) Asset Preservation Program-Rehab./Reconstruction/ Upgrading of Damaged Paved Roads-Secondary Roads-Salvador H. Escudero III Diversion Road -K0577+(-013)-k0577+424, K0583+245-K</t>
  </si>
  <si>
    <t>Rehabilitation of water  system</t>
  </si>
  <si>
    <t>CONSTRUCTION AND INSTALLATION OF MUNICIPAL SOLAR STREET LIGHTING Poblacion, Tubod, Lanao del Norte</t>
  </si>
  <si>
    <t>RFQ-2020-06-0041-Supply &amp; Installation Road Overhead Sign along Alaminos By-Pass Road, KO320+(-269)-KO321+172</t>
  </si>
  <si>
    <t>Purchase of One (1) unit Passenger Van for the use of Executive Department of the Lucena City Government as requested by City Mayor's Office(PR# 181)</t>
  </si>
  <si>
    <t>Purchase of various Agricultural Equipment for use in the Implementation of Farm Mechanization Program of the City Agriculturist's Office(PR# 153)</t>
  </si>
  <si>
    <t>Completion of Sea Wall @ Brgy. Proper, Brgy. Cadiz Viejo, Cadiz City</t>
  </si>
  <si>
    <t>Materials for the Concreting of Farm to Market Road, Brgy. Ito Sur, Cabatuan, Iloilo</t>
  </si>
  <si>
    <t>20DD0326 Local Program, Construction/ Repair/ Rehabilitation/ Improvement of Various Infrastructure Including Local Projects, Flood Control and Drainage, Drainage / Protection Works, Construction/ Reh</t>
  </si>
  <si>
    <t>Purchase of Twenty Five (25) sets Desktop Computer and One (1) unit External Hard Drive for the use of Dalubhasaan ng Lungsod ng Lucena(PR# 174)</t>
  </si>
  <si>
    <t>Rehabilitation/Improvement of EMCH Building Phase II for Non-COVID-19 Patients</t>
  </si>
  <si>
    <t>Improvement of All Nurses Station</t>
  </si>
  <si>
    <t>Purchase of Two (2) units Dump Truck for use in Disaster and Solid Waste Management Operations as requested by CGSO(PR# 165)</t>
  </si>
  <si>
    <t>20DD0328 Local Program, Construction/ Repair/ Rehabilitation/ Improvement of Various Infrastructure Including Local Projects, Buildings and Other Structures, Multipurpose/ Facilities, Rehabilitation/</t>
  </si>
  <si>
    <t>9 UNITS LAPTOP COMPUTER</t>
  </si>
  <si>
    <t>Negotiated Lease of Office Space for PRO XI LHIO Tagum through MYOA</t>
  </si>
  <si>
    <t>Installation and Purchase of ‭28.032‬ sq.m Wall Partition for use in the Business One Stop Shop (BOSS) as requested by CMO(PR# 183)</t>
  </si>
  <si>
    <t>20DD0327 Local Program, Local Infrastructure Program, Buildings and Other Structures, Multipurpose/ Facilities, Completion of Multi-Purpose Building, Brgy. Poblacion, San Juan, Batangas</t>
  </si>
  <si>
    <t>PERIMETER FENCE AT SAN NICOLAS</t>
  </si>
  <si>
    <t>Rehab of Changhoy CIS</t>
  </si>
  <si>
    <t>INSTALLATION OF ELECTRICAL LINES FOR WATER WORKS SYSTEM AT SITIO CENTRO, BRGY. MAPULO -001</t>
  </si>
  <si>
    <t>Purchase of Goods (Food and Non-Food) for Stockpile of LCDRRMO(PR# 198)</t>
  </si>
  <si>
    <t>Procurement of 1 Pakyaw Remote Sensing Services for Groundwater Availability Exploration(GEO-Resistivity Survey) under 0700-2020-OCA-Support to Quality Corn Development(Trust Fund)</t>
  </si>
  <si>
    <t>Rehab of Mappit Water System</t>
  </si>
  <si>
    <t>20DD0329 Local Program, Local Infrastructure Program, Buildings and Other Structures, Multipurpose/ Facilities, Construction/ Improvement of Multi-Purpose Building in various Barangays, San Juan, Bata</t>
  </si>
  <si>
    <t>Purchase of One (1) set Planetary Gear Assy. for use in the Repair and Maintenance of CGSO Backhoe Loader as requested by CGSO(PR# 245)</t>
  </si>
  <si>
    <t>20DD0331 Local Program, Construction/ Repair/ Rehabilitation/ Improvement of Various Infrastructure Including Local Projects, Local Roads and Bridges, Local Roads, Construction/Rehabilitation/Improvem</t>
  </si>
  <si>
    <t>Purchase of Materials for use in the establishment of Hydroponic Rooftop Gardening Project as requested by City Agriculturist's Office(PR# 203)</t>
  </si>
  <si>
    <t>Rehabilitation of San Isidro RHU (Phase I)</t>
  </si>
  <si>
    <t>DRAINAGE CANAL - SAN AGUSTIN</t>
  </si>
  <si>
    <t>Procurement of Furniture for Mayor's Office</t>
  </si>
  <si>
    <t>SCHOOL SUPPLIES FOR STA. CRUZ HIGH INTEGRATED SR HS</t>
  </si>
  <si>
    <t>20DD0330 Local Program, Construction/ Repair/ Rehabilitation/ Improvement of Various Infrastructure Including Local Projects, Local Roads and Bridges, Local Roads, Rehabilitation of Road including Dra</t>
  </si>
  <si>
    <t>Purchase of Goods (Food and Non-Food) for Stockpile of LCDRRMO(PR# 200)</t>
  </si>
  <si>
    <t>Installation and Purchase of Venetian Blinds for use in the Recovery Wellness Center of CADAC(PR# 234)</t>
  </si>
  <si>
    <t>Construction of Gymnatorium with State-of-the-Art Facilities (Phase II) MMSU, City of Batac</t>
  </si>
  <si>
    <t>SCHOOL SUPPLIES FOR STA. CRUZ HIGH INTEGRATED JR HR</t>
  </si>
  <si>
    <t>20DD0333 Local Program, Local Infrastructure Program, Local Roads and Bridges, Local Roads, Construction of Brgy. Road at Brgy. Halang, Lipa City, Batangas</t>
  </si>
  <si>
    <t>Public Bidding for the Supply and Delivery of Medical Supplies for the use of Roxas City Disaster Risk Reduction Management Office under ITB No. 2020-010</t>
  </si>
  <si>
    <t>Purchase of various Disposable Kitchenware and Plastic Bags for the use of Medical Emergency Response as requested by LCDRRMO(PR# 219)</t>
  </si>
  <si>
    <t>20DD0334 Local Program, Local Infrastructure Program, Buildings and Other Structures, Multipurpose/ Facilities, Rehabilitation/ Improvement of Multi-Purpose Facilities at Tambo Elementary School, Brgy</t>
  </si>
  <si>
    <t>PR 9-20-05-0601, FOR THE USE OF SAN CARLOS CITY HOSPITAL, THIS CITY.</t>
  </si>
  <si>
    <t>Installation of Forty (40) units Solar Streetlights</t>
  </si>
  <si>
    <t>20DD0332 Local Program, Local Infrastructure Program, Buildings and Other Structures, Multipurpose/ Facilities, Rehabilitation/ Improvement of Multi-Purpose Facilities at Duhatan Elementary School, Br</t>
  </si>
  <si>
    <t>Procurement of Rescue Vehicle (Re-Conditioned) for LDRRMO use</t>
  </si>
  <si>
    <t>Purchase of School Supplies for Balik-Eskwela (ALS) in support for the educational services program of the City Government as requested by CMO(PR# 249)</t>
  </si>
  <si>
    <t>20DD0335 Local Program, Construction/ Repair/ Rehabilitation/ Improvement of Various Infrastructure Including Local Projects, Water Management Facilities, Water Supply, Rehabilitation of Water Supply</t>
  </si>
  <si>
    <t>Supply and Delivery of Spare Parts for Service Vehicle</t>
  </si>
  <si>
    <t>Purchase and Installation of 2 Units Wall Mounted &amp; 1 Unit Floor Mounted Air conditioned &amp; Accessories</t>
  </si>
  <si>
    <t>Improvement of Barangay Road(FTMR)(Purok 2)</t>
  </si>
  <si>
    <t>Supply and Delivery of 2 units Mechanical Ventilator, Digital</t>
  </si>
  <si>
    <t>FURNISHING OF LABOR AND MATERIALS FOR THE CONSTRUCTION OF WATER SYSTEM</t>
  </si>
  <si>
    <t>PERIMITER FENCE - SAN MIGUEL</t>
  </si>
  <si>
    <t>20DD0337 Local Program, Local Infrastructure Program, Buildings and Other Structures, Multipurpose/ Facilities, Construction and/or Repair/Rehabilitation of Multi-Purpose Building, Brgy. Banay-Banay,</t>
  </si>
  <si>
    <t>Purchase of Oil and Lubricants for the maint. of govt.vehicles (1st &amp; 2nd qrtr. - 2020)</t>
  </si>
  <si>
    <t>Procurement of Office Supplies for CSWDO</t>
  </si>
  <si>
    <t>B20200209 - CATARACT AND OPERATING ROOM SUPPLIES FOR DDNH-CARMEN ZONE (1ST QTR.)</t>
  </si>
  <si>
    <t>Purchase of Food/Meals to be served during In-House Reformation Program (Kanlungan ng Pagbabago - Balay Silangan) as requested by CADAC(PR# 251)</t>
  </si>
  <si>
    <t>Procurement of Meals, Snacks and Hall Rental to be served during the Conduct of Orientation and Planning of MFR Operation of CENRO</t>
  </si>
  <si>
    <t>20DD0336 Local Program, Construction/ Repair/ Rehabilitation/ Improvement of Various Infrastructure Including Local Projects, Buildings and Other Structures, Multipurpose/ Facilities, Rehabilitation/I</t>
  </si>
  <si>
    <t>REHABILITATION/IMPROVEMENT OF LAWIS TO TALISAY WATER PIPELINES (MATERIALS ONLY)- CALAPE, BOHOL</t>
  </si>
  <si>
    <t>INFRA 2K20-39 CONSTRUCTION OF DAGUM-MATALANG ROAD</t>
  </si>
  <si>
    <t>20DD0338 Local Program, Construction/ Repair/ Rehabilitation/ Improvement of Various Infrastructure Including Local Projects, Water Management Facilities, Water Supply, Rehabilitation of Water Supply</t>
  </si>
  <si>
    <t>B20200210 - IT EQUIPMENT FOR PEO USE</t>
  </si>
  <si>
    <t>Bid No. 20-0269 - PROCUREMENT OF OFFICE SUPPLIES - MO/RADIO ROOM SECTION</t>
  </si>
  <si>
    <t>PR 9-20-05-0588, FOR THE USE OF SAN CARLOS CITY HOSPITAL, THIS CITY.</t>
  </si>
  <si>
    <t>Supply/Delivery of Grocery Item for Relief Packs to be given to Senior Citizen. (PR # 20-06-0603)</t>
  </si>
  <si>
    <t>Supply and Delivery of Materials for Fabrication of Coffins</t>
  </si>
  <si>
    <t>Desilting of Cataning Sibacan River Malabia Section at Barangay Malabia, City of Balanga, Bataan (Rebidding)</t>
  </si>
  <si>
    <t>Purchase of One (1) Unit Road Roller.</t>
  </si>
  <si>
    <t>Procurement of Rimo Blends and Curls for the Supplemental Feeding Program to Malnourished Children of CHO</t>
  </si>
  <si>
    <t>SUPPLY AND DELIVERY OF 4 PCS HEAVY DUTY GRASS CUTTER</t>
  </si>
  <si>
    <t>Installation of WIFI Facility (Procurement of Amenities for the Training &amp; Production Center)</t>
  </si>
  <si>
    <t>PROCUREMENT OF CONSTRUCTION SUPPLIES &amp; MATERIALS</t>
  </si>
  <si>
    <t>Negotiated Lease of Office Space for PRO XI LHIO Nabunturan through MYOA</t>
  </si>
  <si>
    <t>Completion of Meat Processing Project</t>
  </si>
  <si>
    <t>Reconstruction of Box Culvert San Rafael at Barangay Tuyo, City of Balanga, Bataan (Rebidding)</t>
  </si>
  <si>
    <t>IMPROVEMENT OF ROAD AT THE BOUNDARY OF PUROK 21 AND PUROK 22, BAGUIO CITY</t>
  </si>
  <si>
    <t>Purchase of School Supplies for Balik-Eskwela (Grade 3) in support for the educational services program of the City Government as requested by CMO(PR# 220)</t>
  </si>
  <si>
    <t>Drugs, Medicines, Medical &amp; LAboratory Supplies for CDH-2020-0036-0038,0040,0048-0050,0056,0057,0059-0063, HOD-2020-0061, LZDH-2020-0037,0043,0045,0061, NFBC-2020-0014,  TJPH-2020-0050, 0103, 0106, 01</t>
  </si>
  <si>
    <t>Purchase of School Supplies for Balik-Eskwela (Grade 4) in support for the educational services program of the City Government as requested by CMO(PR# 221)</t>
  </si>
  <si>
    <t>Office &amp; Housekeeping Supplies for BACC-2020-0019</t>
  </si>
  <si>
    <t>CONSTRUCTION OF GUARD HOUSE AND REPLACEMENT OF MAIN GATE INCLUDING CANAL DE-CLOGGING AT SF2 ELEMENTARY SCHOOL</t>
  </si>
  <si>
    <t>Construction of Concrete Revetment Sitio Sampaloc at Barangay Central, City of Balanga, Bataan (Rebidding)</t>
  </si>
  <si>
    <t>B20200211 - HARDWARE MATERIALS FOR INSTALLATION OF SHALLOW TUBE WELL &amp; CONST. OF MACHINERY SHED AT PAGRO COMPOUND</t>
  </si>
  <si>
    <t>Purchase of School Supplies for Balik-Eskwela (Grade 5) in support for the educational services program of the City Government as requested by CMO(PR# 222)</t>
  </si>
  <si>
    <t>Construction of Slope Protection (Riprapping) at Sitio Singat, Barangay Patar, Mabini, Pangasinan</t>
  </si>
  <si>
    <t>SUPPLY, DELIVERY, POSITIONING, COMMISSIONING AND TESTING OF ONE (1) UNIT BRAND NEW AND COMPLETE SOUNDPROOF ELECTRIC GENERATING SET 15 KVA WITH BUILT-IN AUTOMATIC TRANSFER SWITCH (ATS), SOLENOID CHANGE</t>
  </si>
  <si>
    <t>Public Bidding for the Supply and Delivery of Construction Materials for the Repair and Maintenance of various City streets, Roxas City (2nd Qtr.) under ITB No. 2020-012</t>
  </si>
  <si>
    <t>Procurement of Medals and Certificate Holder of Mayor's Office</t>
  </si>
  <si>
    <t>SUPPLY AND DELIVERY OF FOOD ITEMS (NUTRIPACKS) FOR THE IMPLEMENTATION OF SUPPLEMENTARY FEEDING PROGRAM DURING COMMUNITY QUARANTINE (9TH CYCLE - TWICE A DAY FEEDING)</t>
  </si>
  <si>
    <t>REOI Solicitation No. SIC-007-006-2020 Hiring of Consultancy Services</t>
  </si>
  <si>
    <t>EXPANSION / IMPROVEMENT OF BARANGAY HALL</t>
  </si>
  <si>
    <t>Delivery of Other Supplies and Materials for City Sanitation Services for the 2nd Quarter 2020 (SVP 20-0693).</t>
  </si>
  <si>
    <t>Desilting of Creek Monark and Jacoba Ville at Barangay Tuyo, City of Balanga, Bataan (Rebidding)</t>
  </si>
  <si>
    <t>Purchase of School Supplies for Balik-Eskwela (Grade 6) in support for the educational services program of the City Government as requested by CMO(PR# 223)</t>
  </si>
  <si>
    <t>PURCHASE OF ONE (1) UNIT AIR CONDITION</t>
  </si>
  <si>
    <t>( PR NO. 20-06-09-0017 SUPPLY AND DELIVERY OF 150 bags Cement Portland)</t>
  </si>
  <si>
    <t>Purchase of Fourteen Thousand Two Hundred (14,200) pieces of Binder Notebook in support for the educational services program of the City Government as requested by CMO(PR# 224)</t>
  </si>
  <si>
    <t>Procurement of Materials for 64 Units Wooden Stalls</t>
  </si>
  <si>
    <t>Completion of Hanging Bridge(Sitio NumNum)</t>
  </si>
  <si>
    <t>Purchase of School Supplies for Balik-Eskwela (Kinder) in support for the educational services program of the City Government as requested by CMO(PR# 225)</t>
  </si>
  <si>
    <t>Procurement of Various Office Supplies-06-327(O)PEO</t>
  </si>
  <si>
    <t>5020301000-273-2020</t>
  </si>
  <si>
    <t>Negotiated Lease of Office Space for PRO XI Annex Building 1 through MYOA</t>
  </si>
  <si>
    <t>Concreting of  Public market road</t>
  </si>
  <si>
    <t>Public Bidding for the Supply and Delivery of Diesel for Solid Waste Management Unit under ITB No. 2020-013</t>
  </si>
  <si>
    <t>BPSU Main Campus:Supply, delivery and installation of equipment, instruments and software for the research project entitled “Improving Productivity of Philippine Carabao Mango through Introduction of</t>
  </si>
  <si>
    <t>PROCUREMENT OF SOPHOS ENDPOINT PROTECTION ADVANCE HEARTBEAT</t>
  </si>
  <si>
    <t>PROCUREMENT OF  FOOD PROCESSING EQUIPMENT</t>
  </si>
  <si>
    <t>OFFICE EQUIPMENT</t>
  </si>
  <si>
    <t>CONSTRUCTION OF FARM TO MARKET ROAD AT ZONE II</t>
  </si>
  <si>
    <t>5020399000-274-2020</t>
  </si>
  <si>
    <t>20CSPH02 - Geotechnical Investigation for Slope Protection Projects along Various Road Sections and Construction of Bridge in Mountain Province for FY 2021</t>
  </si>
  <si>
    <t>Procurement of Meals and Snacks of POSO</t>
  </si>
  <si>
    <t>PURCHASE OF CONSTRUCTION SUPPLIES AND MATERIALS FOR THE ASPHALTING OF VARIOUS ROADS</t>
  </si>
  <si>
    <t>Purchase of Back Pack Bags and Pens for Balik-Eskwela (Junior/Senior High School) in support for the educational services program of the City Government as requested by CMO(PR# 248)</t>
  </si>
  <si>
    <t>PROCUREMENT OF COMMON-USED OFFICE SUPPLIES</t>
  </si>
  <si>
    <t>Construction of Ramp, Open Parking, Open Canal and Perimeter Fence for the DRRM Facility in  Fort Ramon Magsaysay (OCDRO III)</t>
  </si>
  <si>
    <t>SUPPLY AND DELIVERY OF ARGRO FARM INPUTS FOR 3RD AND 4TH QUARTER OF 2020</t>
  </si>
  <si>
    <t>Procurement of Various IT Equipment-06-310(A)PGO</t>
  </si>
  <si>
    <t>Purchase of School Supplies for Balik-Eskwela (Grade 1) in support for the educational services program of the City Government as requested by CMO(PR# 227)</t>
  </si>
  <si>
    <t>Bid No. 20-0270 - PROCUREMENT OF OFFICE SUPPLIES - MHO (USE FOR HIV/AIDS/STD PROGRAM)</t>
  </si>
  <si>
    <t>Procurement of Furniture &amp; Fixtures for PRO XI CY 2020</t>
  </si>
  <si>
    <t>Purchase of School Supplies for Balik-Eskwela (Grade 2) in support for the educational services program of the City Government as requested by CMO(PR# 226)</t>
  </si>
  <si>
    <t>5020301000-276-2020</t>
  </si>
  <si>
    <t>Public Bidding of 3 Lots for the Supply and Delivery of Office Supplies, Computer Inks &amp; Cartridges and Janitorial Supplies for the use of City Civil Registrar’s Office and City Engineer’s Office in t</t>
  </si>
  <si>
    <t>Procurement of Various Hardware Supplies-05-007(K)PWO</t>
  </si>
  <si>
    <t>INFRA 2K20-41 REHAB. &amp; IMPROVEMENT OF ZAMBO. DEL SUR PROVINCIAL COLLEGE</t>
  </si>
  <si>
    <t>FURNISHING OF LABOR AND MATERIALS FOR THE CONSTRUCTION/REHABILITATION OF LOCAL ROAD</t>
  </si>
  <si>
    <t>CONCRETING OF PARKING AREA AS COUNTERPART FOR DBM GREEN PROJECT RE: DEVELOPMENT OF LAMITAN CITY PUBLIC PARK</t>
  </si>
  <si>
    <t>Installation of Solar Power for Water System at San Quintin, Abra</t>
  </si>
  <si>
    <t>Procurement of Televison set with Cable (Procurement of Amenities for the Training &amp; Production Center)</t>
  </si>
  <si>
    <t>REPLACEMENT/REPAIR OF LED STREETLIGHTS/BULBS</t>
  </si>
  <si>
    <t>5020305000-275-2020</t>
  </si>
  <si>
    <t>Bidding 13, 2020</t>
  </si>
  <si>
    <t>Procurement of Various Water Service Connection Materials and Fittings-06-326(O)PEO</t>
  </si>
  <si>
    <t>CID No. 20IC0076: Const. of Rain Water Collection System (RWCS) at (22) Various Locations in Alangalang, Babatngon, San Miguel, Sta. Fe, Tanauan, Tolosa and Palo, Leyte; ABC: P4,378,687.50; 90 CD</t>
  </si>
  <si>
    <t>Public Bidding for the Supply and Delivery of Detachable Tablet Laptop, Printer and Heavy-Duty Shredder for City Administrator’s Office under ITB No. 2020-015</t>
  </si>
  <si>
    <t>5020399000-277-2020</t>
  </si>
  <si>
    <t>FUEL STORAGE TANK CALIBRATION OF BURIAS DPP</t>
  </si>
  <si>
    <t>Water treatment facility Dapdap</t>
  </si>
  <si>
    <t>HIRING OF MOTOR LAUNCH INTENDED FOR MOBILIZATION OF CONSTRUCTION MATERIALS FOR CONSTRUCTION OF WOMEN’S CRISIS UNIT (TRANSIENT HOUSE) PHASE II BOUND TO PAG-ASA ISLAND</t>
  </si>
  <si>
    <t>Procurement of Various Hardware Supplies-06-311(A)PGO</t>
  </si>
  <si>
    <t>20DB0134 Repair/Maintenance of Talisay Bridge Revetment (K0116+846), Brgy. Talisay, Calatagan, Batangas</t>
  </si>
  <si>
    <t>PROCUREMENT OF LABORATORY EQUIPMENT</t>
  </si>
  <si>
    <t>Concreting of road Mun. compound</t>
  </si>
  <si>
    <t>MG-PLM20-089 - MAINTENANCE OF BRAKE RUNNER PLATE OF GENERATING UNIT</t>
  </si>
  <si>
    <t>Chlorine</t>
  </si>
  <si>
    <t>CONSTRUCTION OF SECOND FLOOR OF EXISTING BUILDING AT BLISS ELEMENTARY SCHOOL</t>
  </si>
  <si>
    <t>5020399000-279-2020</t>
  </si>
  <si>
    <t>SUPPLY AND DELIVERY OF FOOD SUPPLIES AND MATERIALS FOR 2ND QUARTER FOOD SUBSIDY</t>
  </si>
  <si>
    <t>Supply and Delivery of 10 units of Stanchion with Retractable Belt Barrier for SSS Lipa Branch</t>
  </si>
  <si>
    <t>5020301000-278-2020</t>
  </si>
  <si>
    <t>Purchase of vehicle parts used for SGD 431 &amp; new ambulance.</t>
  </si>
  <si>
    <t>1 LOT DESIGN/LAY-OUT AND PRINTING OF BROCHURE &amp; OTHER ITEMS</t>
  </si>
  <si>
    <t>SUPPLY &amp; DELIVERY OF 3-IN-1 PHOTOCOPIER</t>
  </si>
  <si>
    <t>Supply and Delivery of Fifteen (15) heads Carabao</t>
  </si>
  <si>
    <t>REBIDDING OF SECURITY SERVICES FOR DSWD REGION 10 OFFICE, CENTERS AND SUB OFFICES 2020</t>
  </si>
  <si>
    <t>PROCUREMENT OF ONE (1) LOT SUPPLY LABOR AND MATERIALS FOR THE CONSTRUCTION OF HEALTH CENTER, BRGY. MARIBI, TANAUAN, LEYTE</t>
  </si>
  <si>
    <t>5020305000-280-2020</t>
  </si>
  <si>
    <t>CONSTRUCTION OF INFIRMARY HOSPITAL (Roof framing &amp; Roofing)</t>
  </si>
  <si>
    <t>SUPPLY AND DELIVERY OF ASSORTED SUPPLIES AND MATERIALS INTENDED FOR DRYDOCKING OF M/L QUEEN SEAGULL</t>
  </si>
  <si>
    <t>Procurement of Meals and Snacks to be served during the PUV and PUJ Drivers Education Program on Road Safety and Traffic Related Ordinance of POSO</t>
  </si>
  <si>
    <t>PROCUREMENT OF SUPPLIES AND MATERIALS FOR AGRICULTURAL AND MARINE PROJECTS OF THE MAO</t>
  </si>
  <si>
    <t>Fabrication of Two (2) units Sidecars</t>
  </si>
  <si>
    <t>S3-DIN20-004 - Lease of 3.5 MW Modular Diesel Gensets for Dinagat DPP, Dinagat Island, Surigao Del Norte</t>
  </si>
  <si>
    <t>MG-PLM20-091 - FIFTEEN (15) DAYS IN MAINTENANCE ACTIVITIES FOR GENERATING UNIT NO. 3 AND ITS RELATED AUXILIARIES (19 MECHANICAL &amp; ELECTRICAL HELPERS)</t>
  </si>
  <si>
    <t>PURCHASE OF SPARE PARTS</t>
  </si>
  <si>
    <t>Purchase of office supplies used for different offices (bulk bidding)</t>
  </si>
  <si>
    <t>SUPPLY AND DELIVERY OF GASOLINE,OIL AND LUBRICANTS FOR THE PRE-POSITIONING AND OPERATIONS OF TRANSPORT ASSETS OF MDRRM</t>
  </si>
  <si>
    <t>SUPPLY, DELIVERY &amp; INSTALLATION OF AIRCONDITIONERS AND AIRCONDITIONING SYSTEM</t>
  </si>
  <si>
    <t>PR NO: 2020-06-021: SUPPLY AND DELIVERY OF HEALTH SANITIZER AND EQUIPMENT FOR COVID-19 PREVENTION</t>
  </si>
  <si>
    <t>5020399000-281-2020</t>
  </si>
  <si>
    <t>Procurement of Meals and Snacks to be served during the First Semester BHW Congress of CHO</t>
  </si>
  <si>
    <t>MG-PLM20-090 - TEN (10) DAYS MAINTENANCE TO CONTINUOUS PREVENTIVE MAINTENANCE FOR GENERATING UNIT NO. 2 AND ITS RELATED AUXILIARIES (48 MAINTENANCE HELPERS)</t>
  </si>
  <si>
    <t>Materials for the Improvement of Stage (Phase 2) Dolores E/S-Brgy. Dolores</t>
  </si>
  <si>
    <t>Purchase of printer used for different offices (bulk bidding)</t>
  </si>
  <si>
    <t>20CB-GSC-312 PURCHASE OF TARPAULIN AND TOKENS</t>
  </si>
  <si>
    <t>Supply and Installation of one (1) unit 50KVA Generator Set of Poblacion, Pumping Station</t>
  </si>
  <si>
    <t>Supply &amp; Delivery of Office Equipment for MHO, Rodriguez, Rizal</t>
  </si>
  <si>
    <t>PURCHASE OF SWIVEL CHAIRS</t>
  </si>
  <si>
    <t>Catering services for MDC meeting.</t>
  </si>
  <si>
    <t>Procurement of One Hundred Twelve (112) Sacks Fertilizers</t>
  </si>
  <si>
    <t>Procurement of Signages to be Installed at Bulanao and Dagupan of POSO</t>
  </si>
  <si>
    <t>Purchase of office equipment used for DILG office.</t>
  </si>
  <si>
    <t>PR No. 20030903 – Supply and Delivery of Two (2) units Truck Dropside 6 Wheeler</t>
  </si>
  <si>
    <t>Procurement of BP APP with Stethoscope of RHU 2</t>
  </si>
  <si>
    <t>Supply &amp; Delivery of Mattress for MSWDO, Rodriguez, Rizal</t>
  </si>
  <si>
    <t>Materials for the Improvement of Stage Plaza- Brgy. Lanipe</t>
  </si>
  <si>
    <t>B20200212 - FERTILIZERS FOR PAGRO USE</t>
  </si>
  <si>
    <t>SAAD-20-1979: Procurement of Office Supplies to be used in the DA SAAD Implementation in Region 7</t>
  </si>
  <si>
    <t>20PA0131 (PACKAGE) : REPAIR/MAINTENANCE OF DPWH BUILDINGS, a.) Multi-Purpose Building, Zone 7, Bangued, Abra b.) Canteen, Zone 7, Bangued, Abra</t>
  </si>
  <si>
    <t>20CB-GSC-313 PURCHASE OF SPARE PARTS FOR HINO EQUIPEMENTS</t>
  </si>
  <si>
    <t>Purchase of vehicle parts used for new &amp; old ambulance.</t>
  </si>
  <si>
    <t>52 bags Portland Cement 40 kgs and other items for improvement of Barangay 8 Lupa Day Care Center at Barangay 8.</t>
  </si>
  <si>
    <t>Materials for the Construction of CR- Calaya NHS, Brgy. Calaya</t>
  </si>
  <si>
    <t>B20200213 - PAINT FOR DEPED USE</t>
  </si>
  <si>
    <t>PURCHASE OF IT EQUIPMENTS</t>
  </si>
  <si>
    <t>Various Parts for Bill Counter</t>
  </si>
  <si>
    <t>Video Recording &amp; Audio Equipment (2 sets)</t>
  </si>
  <si>
    <t>Maintenance &amp; Improvement of Day Care Center</t>
  </si>
  <si>
    <t>Supply &amp; Delivery of Portable Booth for Rapid Testing @ MHO, Rodriguez, Rizal</t>
  </si>
  <si>
    <t>Concreting of Fulay Farm to Market Road</t>
  </si>
  <si>
    <t>20CB-GSC-314 PURCHASE OF SPARE PARTS FOR VOLVO EQUIPEMENTS</t>
  </si>
  <si>
    <t>PROCUREMENT OF MENTAL MEDICINE SUPPLIES FOR RHU I &amp; II - 2ND QUARTER OF 2020</t>
  </si>
  <si>
    <t>APPLIANCES</t>
  </si>
  <si>
    <t>Repair of T.H.E Building at ESSU Main Campus</t>
  </si>
  <si>
    <t>Purchase of Equipments, Furniture and Fixtures for the Teen Center of Luca National High Schoo</t>
  </si>
  <si>
    <t>Repair of Comfort Room in College of Education at ESSU Main Campus</t>
  </si>
  <si>
    <t>20LA0337 Construction of Water System, Poblacion, Nabunturan, Compostela Valley</t>
  </si>
  <si>
    <t>B20200214 - HARDWARE MATERIALS FOR RCPC AND CHB FABRICATION AT PEEDO</t>
  </si>
  <si>
    <t>20GKG0027 (PR No. 20-04-069)- Procurement of 76 Drums Hot Asphalt 60/70 for use in the Patching of Potholes along National Roads, DPWH-Lanao del Norte 1st Engineering District</t>
  </si>
  <si>
    <t>20CB-GSC-320 PURCHASE OF COMMERCIAL RICE</t>
  </si>
  <si>
    <t>Delivery of Integrated Water Supply (Pipes) needed for Construction of Tayawan-Minaba Water System (ITB 20-070)</t>
  </si>
  <si>
    <t>SUPPLY, DELIVERY &amp; INSTALLATION OF IT EQUIPMENT</t>
  </si>
  <si>
    <t>Procurement of Insecticides of CENRO</t>
  </si>
  <si>
    <t>Supply &amp; Delivery of Tent for GSO, Rodriguez, Rizal</t>
  </si>
  <si>
    <t>PROCUREMENT OF  CAR VEHICLE</t>
  </si>
  <si>
    <t>Supply &amp; Delivery of Office Supplies for Procurement Office, Rodriguez, Rizal</t>
  </si>
  <si>
    <t>20LA0338 Construction of Water System, Purok Nagas, Tambongon, Pantukan, Compostela Valley</t>
  </si>
  <si>
    <t>Construction/Repair/Improvement of Multi-Purpose Center/BDRRCC @ Brgy. Zone 6, Cadiz City</t>
  </si>
  <si>
    <t>DEVELOPMENT/EMBANKMENT OF BAYWALK</t>
  </si>
  <si>
    <t>20LA0339 Construction of Level III Water Supply System, Brgy. Poblacion, Nabunturan, Compostela Valley</t>
  </si>
  <si>
    <t>Procurement of Meals and Snacks to be served during the Oral Health Month Celebration of CHO</t>
  </si>
  <si>
    <t>S1-END20-011 - Lease of 1.0 MW Modular Diesel Gensets for El Nido DPP, El Nido, Palawan</t>
  </si>
  <si>
    <t>RFQ / 20-05-1393 / PROCUREMENT OF CAMERA LENSES AND CAMERA FLASH</t>
  </si>
  <si>
    <t>Bid No. 20-0271 - PROCUREMENT OF OFFICE SUPPLIES - MO/MTC</t>
  </si>
  <si>
    <t>One (1) Unit Aerial Work Platform</t>
  </si>
  <si>
    <t>Supply and installation of Read and Bill Software including five(5) sets of Handheld Read and Bill Gadgets with portable Bluetooth Printer for Binalonan Water District</t>
  </si>
  <si>
    <t>20CSAJ03-CONSULTING SERVICES FOR THE CONDUCT OF GEOTECHNICAL AND GEOLOGICAL SURVEY/INVESTIGATION FOR THE PROPOSED FLOOD CONTROL PROJECTS WITH 3RD CONGRESSIONAL DISTRICT OF PANGASINAN</t>
  </si>
  <si>
    <t>Supply &amp; Delivery of Office Supplies Library Custodian, Rodriguez, Rizal</t>
  </si>
  <si>
    <t>Construction of Line Canal @ Barangay. Poblacion 6, Sariaya, Quezon</t>
  </si>
  <si>
    <t>Supply of Printing Services (High Speed Printers capable of printing at least 55ppm and 75ppm) for a period of one (1) year</t>
  </si>
  <si>
    <t>CONSTRUCTION OF SINGLE BARREL RCBC (2mx3mx6m)</t>
  </si>
  <si>
    <t>Supply and Delivery of LED TV (2)</t>
  </si>
  <si>
    <t>Repair of Nursing Building at ESSU Main Campus</t>
  </si>
  <si>
    <t>ACQUISITION OF MOTOR VEHICLE BPSO (RESCUE)</t>
  </si>
  <si>
    <t>Medicine</t>
  </si>
  <si>
    <t>Rebidding for Construction of Reinforced Concrete Slope Protection for CY 2020</t>
  </si>
  <si>
    <t>S1-LDP20-013 - Lease of 0.5 MW Modular Diesel Gensets for Lubang DPP, Lubang, Occidental Mindoro</t>
  </si>
  <si>
    <t>IB-2020-VI-30-01 RE-EGENTS (DIAGNOSTIC LABORATORY) 499,247.00</t>
  </si>
  <si>
    <t>20LA0340 Construction of Level II Water Supply System, Purok Maitom, Brgy. Tambongon, Pantukan, Compostela Valley</t>
  </si>
  <si>
    <t>Repair of Library Building at ESSU Main Campus</t>
  </si>
  <si>
    <t>The Procurement and Installation of 3-Unit Aircondition</t>
  </si>
  <si>
    <t>INVITATION TO BID FOR Supply and Delivery of  ONE (1) UNIT BRAND NEW MOTOR VEHICLE  FOR UP BAGUIO Bid Reference No.: UPB-BID-2020-04A</t>
  </si>
  <si>
    <t>Printing of the Updated Central Visayas Regional Development Plan 2017-2022</t>
  </si>
  <si>
    <t>20GME0043 - Supply &amp; Delivery of Spare Parts for use of Develop Ineo 215 at Procurement Unit, Alabel, Sarangani Province</t>
  </si>
  <si>
    <t>Contract ID 2020-IG-020 - Purchase of Various Laboratory Testing Equipment &amp; Apparatus for use in the Quality Assurance Section, DPWH, Leyte 5th Engineering District, Baybay City, Leyte</t>
  </si>
  <si>
    <t>Trash Bins, Transparent</t>
  </si>
  <si>
    <t>20LA0341 Rehabilitation/Major Repair of Soop Br. (B01566MN) along Asuncion – San Isidro – Laak – Veruela Rd., Laak, Compostela Valley</t>
  </si>
  <si>
    <t>S1-MAM20-010 - Lease of 4.0 MW Modular Diesel Gensets for Mamburao DPP, Mamburao, Occidental Mindoro</t>
  </si>
  <si>
    <t>Procurement of Various Combi-Roller Blinds</t>
  </si>
  <si>
    <t>PROCUREMENT OF MEDICINE SUPPLIES FOR RHU I, II &amp; III - 2ND QUARTER OF 2020</t>
  </si>
  <si>
    <t>PURCHASE OF RIZO AND XEROX MACHINE TONER USED AT MUNICIPAL HEALTH OFFICE</t>
  </si>
  <si>
    <t>Concreting of Road Alley @ So. Capayas, Brgy. Sicaba, Cadiz City</t>
  </si>
  <si>
    <t>Public Bidding for the Supply and Delivery of Motorcycles for the use of City Mayor’s Office under ITB No. 2020-011</t>
  </si>
  <si>
    <t>298 PCS Ceramic Floor Tiles 400mm x 400mm and other items for improvement of Candau-ay Habitat Day Care Center at Barangay Candau-ay.</t>
  </si>
  <si>
    <t>Procurement of Labor for Drilling of Production Wells</t>
  </si>
  <si>
    <t>Bid No. 20-0272 - PROCUREMENT OF CONSTRUCTION MATERIALS - MEO (CONSTRUCTION OF COVERED COURT - BRGY. TALIAN, MARAGUSAN, DAVAO DE ORO)</t>
  </si>
  <si>
    <t>Procurement of 650 Pad Traffic Citation Ticket under P.R.No. 2041-2020-Enforcement of Traffic Laws</t>
  </si>
  <si>
    <t>Invitation to Bid for the Procurement of Rescue Equipment (Manlift) for the use in this municipality,  Aringay, La Union.</t>
  </si>
  <si>
    <t>Procurement of Water Service Connection Materials/Fittings</t>
  </si>
  <si>
    <t>Medical Equipment</t>
  </si>
  <si>
    <t>SUPPLY AND DELIVERY OF VARIOUS MECHANICAL FITTINGS</t>
  </si>
  <si>
    <t>S1-TIN20-010 - Lease of 0.6 MW Modular Diesel Gensets for Tingloy DPP, Tingloy, Batangas</t>
  </si>
  <si>
    <t>SUPPLY AND DELIVERY OF MOTORPOOL AND CONSTRUCTION TOOLS</t>
  </si>
  <si>
    <t>20NA0073 (CLUSTER) Construction of Rainwater Collection System (RWCS), Agusan del Norte</t>
  </si>
  <si>
    <t>S1-SVD20-007 - Lease of 0.6 MW Modular Diesel Gensets for San Vicente DPP, San Vicente, Palawan</t>
  </si>
  <si>
    <t>Supply and Delivery of 2 sets Particle Board Office Cubicles with 2 shelves and Drawer lock and (10) other items under Purchase Request No. 896-20</t>
  </si>
  <si>
    <t>S3-JOL20-030 - Lease of 1.0 Mw Modular Diesel Gensets for Jolo DPP, Jolo, Sulu</t>
  </si>
  <si>
    <t>Rebidding of 3 Projects Construction Materials (B-82-2020)</t>
  </si>
  <si>
    <t>Construction of Concrete Water Tank @ Burgos Elementary School, Brgy. Burgos, Cadiz City</t>
  </si>
  <si>
    <t>Repair of Engineering Building at ESSU Main Campus</t>
  </si>
  <si>
    <t>20CB-GSC-321 PURCHASE OF DIESEL AND GASOLINE</t>
  </si>
  <si>
    <t>PURCHASE OF OFFICE EQUIPMENT  					(2.5hp Split Type Air Conditioning Unit)</t>
  </si>
  <si>
    <t>SUPPLY AND DELIVERY OF FERTILIZER</t>
  </si>
  <si>
    <t>20CB-GSC-317 CATERING SERVICES</t>
  </si>
  <si>
    <t>Service Contract for the Janitorial and Utility Manpower Services for SEC Head Office and Extension Offices for a period of one (1) year</t>
  </si>
  <si>
    <t>ITB- PROVISION OF MEALS AND DRINKING WATER FOR PROJECT SAGIP BATANG SOLVENT (PSBS)</t>
  </si>
  <si>
    <t>2020-055, CONSTRUCTION OF DAY CARE CENTER HALL AT LOMOPOG, MIDSAYAP, COTABATO</t>
  </si>
  <si>
    <t>MG-A5M20-103 ( STAINLESS STEEL COATING )</t>
  </si>
  <si>
    <t>Procurement of Various Electrical Materials, Mayors Office</t>
  </si>
  <si>
    <t>Upgrading of the Tissue Culture Laboratory, Area: 315.0 Sq.M. at  Isabela State University, Cabagan, Isabela</t>
  </si>
  <si>
    <t>MATERIALS, IMPROVEMENT OF MULTI-PURPOSE CENTER, BRGY. MARIBUYONG, DUENAS, ILOILO</t>
  </si>
  <si>
    <t>Procurement of Office Supplies (COMMERCIAL)</t>
  </si>
  <si>
    <t>Pag-IBIG Fund CHQ (SUPPLY AND DELIVERY OF LTO-5 ULTRIUM TAPE CARTRIDGE)</t>
  </si>
  <si>
    <t>Rehabilitation of Municipal Streets (L. Garcia St., Perucho St., F. Garcia St.)</t>
  </si>
  <si>
    <t>procurement/delivery of construction supplies &amp; materials</t>
  </si>
  <si>
    <t>Installation of Motor Pump &amp; Water Supply Pipelines @ Yee-on Elementary School, Brgy. Cabahug, Cadiz City</t>
  </si>
  <si>
    <t>Invitation to Bid for the Procurement of Common-Use Supplies not available from the PS-DBM to be used by various offices/departments, Aringay, La Union.</t>
  </si>
  <si>
    <t>procurement/delivery of supplies &amp; materials</t>
  </si>
  <si>
    <t>S3-KDP20-001 - Lease of 3.0 MW Modular Diesel Gensets for Kalamansig DPP, Kalamansig, Sultan Kudarat</t>
  </si>
  <si>
    <t>Food Assistance</t>
  </si>
  <si>
    <t>5 cu.m Sand std. and specs and other items for improvement of Barangay 8 Lupa Day Care Center at Barangay 8.</t>
  </si>
  <si>
    <t>SUPPLY AND DELIVERY OF BRASS AND G.I. FITTINGS</t>
  </si>
  <si>
    <t>20BA0054: CONSTRUCTION OF MULTI-PURPOSE BUILDING (COVERED COURT), BRGY. SAN ANTONIO, BASCO, BATANES</t>
  </si>
  <si>
    <t>Invitation to Bid for the Construction of Farmers Multi-Purpose Hall at Brgy. Samara, Aringay, La Union.</t>
  </si>
  <si>
    <t>Construction of Flood Control Dike (Binyadora Creek)</t>
  </si>
  <si>
    <t>Office Furnitures</t>
  </si>
  <si>
    <t>SUPPLY AND DELIVERY OF VARIOUS PLASTIC FITTINGS</t>
  </si>
  <si>
    <t>Supply and Delivery of Personalized CFO Anniversary Polo Shirt</t>
  </si>
  <si>
    <t>20GKG0028 (PR No. 20-05-070)- Procurement of Construction Materials and Supplies for use in the Repair/Maintenance of Drainage along Tagoloan-Baloi Road (Tagoloan Section), Tagoloan, Lanao del Norte,</t>
  </si>
  <si>
    <t>Rehabilitation of Drainage Canals (E. Fermin St., Macadaeg St.)</t>
  </si>
  <si>
    <t>Rehabilitation of Municipal Streets (Perucho St., Judge De Luna St., Street Leading to Tanap)</t>
  </si>
  <si>
    <t>Repair of the SSF Equipments</t>
  </si>
  <si>
    <t>SUPPLY AND DELIVERY OF MATERIALS FOR PROPOSED BRGY. ROAD CONCRETING AT SITIO CABCAO, BRGY. BUCAO, GUIUAN, EASTERN SAMAR</t>
  </si>
  <si>
    <t>SUPPLY AND DELIVERY OF SEEDLINGS AND VEGETABLE SEEDS</t>
  </si>
  <si>
    <t>2020-06-318 Procurement of Various Office and Other Supplies</t>
  </si>
  <si>
    <t>20CB-GSC-322 PURCHASE OF JANITORIAL SUPPLIES</t>
  </si>
  <si>
    <t>Invitation to Bid for the Construction of Slope Protection along Dulao Creek, Dulao, Aringay, La Union.</t>
  </si>
  <si>
    <t>Improvement/Rehabilitation of Water System</t>
  </si>
  <si>
    <t>Procurement of Fruit Tree Seedlings, Municipal Agriculture Office</t>
  </si>
  <si>
    <t>PROCUREMENT OF APPLIANCES</t>
  </si>
  <si>
    <t>PR No. 2020-02-0384-MAIN-Supply and Delivery of Cheque Paper for Registrar’s Office</t>
  </si>
  <si>
    <t>Construction of Multi-Purpose Shed</t>
  </si>
  <si>
    <t>Construction of Satellite Market</t>
  </si>
  <si>
    <t>PR No. 2020-02-0293-MAIN-Supply, Delivery and Installation of Laboratory Equipment for Garments Technology Instruction for the College of Teacher Education</t>
  </si>
  <si>
    <t>INFRA 2K20-46 REHABILITATION OF POB. LAKEWOOD – BAKING – DAGUM ROAD</t>
  </si>
  <si>
    <t>CONSTRUCTION OF 8.00 BOX CULVERT</t>
  </si>
  <si>
    <t>2020-056, CONSTRUCTION OF COVERED COURT AT SITIO BULOD, BARANGAY TUGAL, MIDSAYAP, COTABATO</t>
  </si>
  <si>
    <t>Supply/Delivery of Office Supplies and Materials for use of NIA-CAMSUR IMO Office, Naga City (REBID)</t>
  </si>
  <si>
    <t>Supply/Delivery of Spare Parts and Tools for use at NIA-THIRIS, Sta. Lucia, Magarao, Camarines Sur</t>
  </si>
  <si>
    <t>15 units desktop computer</t>
  </si>
  <si>
    <t>Supply and delivery of laboratory equipment (RFQ 2020-079 AFV)</t>
  </si>
  <si>
    <t>IB-2020-VI-30-02 CONSTRUCTION MATERIALS (TORDESILLAS &amp; LUNA)- P216,400.00</t>
  </si>
  <si>
    <t>SUPPLY AND DELIVERY OF 3 UNITS AIR CONDITION 3TR (FLOOR MOUNTED), GUIUAN E. SAMAR</t>
  </si>
  <si>
    <t>Rehabilitation of Sanitary Land Fill, Inabaan Norte</t>
  </si>
  <si>
    <t>SUPPLY AND DELIVERY OF WASHABLE FACE MASK</t>
  </si>
  <si>
    <t>ITB No. 2020-I-01-01:Construction of Baccugon to Guinawa road</t>
  </si>
  <si>
    <t>Pakyaw Labor etc. (04-0430) CEO</t>
  </si>
  <si>
    <t>Procurement for the Renewal of DOH Blade Chassis and Blade Servers Maintenance Agreement – Rebid</t>
  </si>
  <si>
    <t>Construction Apartment-Type Niches, Municipal Cemetery</t>
  </si>
  <si>
    <t>PURCHASE OF MATERIALS FOR THE CONSTRUCTION OF MULTI-PURPOSE BLDG./EVACUATION CENTER</t>
  </si>
  <si>
    <t>ITB No. 2020-I-P2-01: Construction/ Improveent/ Concreting of Various Infra Projects</t>
  </si>
  <si>
    <t>Supply/Delivery of Construction Materials for use of NIA-THIRIS for SAN NICOLAS PIS (FAW), Canaman, Camarines Sur</t>
  </si>
  <si>
    <t>Procurement of One (1) Lot Information and Communications Technology (ICT) Equipment for the Philippine National Police Anti- Kidnapping Group (PNP AKG) - PNPTR-AKG-DP-20-03</t>
  </si>
  <si>
    <t>IB-2020-VI-30-03 FARM TO MARKET ROAD</t>
  </si>
  <si>
    <t>Construction of Sidewalk and Gutter</t>
  </si>
  <si>
    <t>PR No. 2020-02-0192-MAIN-Supply and Delivery of Audio and Visual Equipment (TV Sets) for Instructional Purposes of CTAS</t>
  </si>
  <si>
    <t>STRUCTURED CABLING SYSTEM SYSTEM FOR MINDANAO STATION</t>
  </si>
  <si>
    <t>Supply/Delivery of Construction Materials for use of NIA-THIRIS for SAN FRANCISCO PIS (FAW), Canaman, Camarines Sur</t>
  </si>
  <si>
    <t>5 pcs 7.50 x 154x14 PR tires with flap &amp; tube, rough</t>
  </si>
  <si>
    <t>20CB-GSC-318 PURCHASE OF IPMR UNIFORM</t>
  </si>
  <si>
    <t>IB-2020-VI-30-04 TRAFFIC SIGN WITH STAND</t>
  </si>
  <si>
    <t>REPAIR/IMPROVEMENT OF PNP HEADQUARTERS, LA CARLOTA CITY</t>
  </si>
  <si>
    <t>Bus Hire (Sweeper Team)</t>
  </si>
  <si>
    <t>SUPPLY AND DELIVERY OF MATERIALS FOR RENOVATION OF ACCOUNTING OFFICE</t>
  </si>
  <si>
    <t>REPAIR/REPAINTING OF OFFICE &amp; OPERATORS QUARTER OF BATAN DPP</t>
  </si>
  <si>
    <t>Supply/Delivery of Advertising Materials for use of Institutional Unit NIA-CSIMO, Naga City</t>
  </si>
  <si>
    <t>INFRA 2K20-49 CONCRETING OF BINUAY TO BALUNO ROAD SECTION</t>
  </si>
  <si>
    <t>20CB-GSC-323 PURCHASE OF HARDWARE SUPPLIES</t>
  </si>
  <si>
    <t>20CB-GSC-319 PURCHASE OF HOSPITAL SUPPLIES</t>
  </si>
  <si>
    <t>Construction of Pavements</t>
  </si>
  <si>
    <t>Concreting of Sitio Baccugon, Barangay Pullaan FMR, Lagawe, Ifugao</t>
  </si>
  <si>
    <t>Information Technology for the Digitization of Listahanan Household Assessment Forms and other NHTS Activities</t>
  </si>
  <si>
    <t>IB-2020-VI-30-05 CONSTRUCTION OF bRGY HEALTH STATION (CUBAY NAPULTAN)</t>
  </si>
  <si>
    <t>INSTALLATION OF TWO (2) UNITS ARTESIAN WELL FOR IRRIGATION SYSTEM (LABOR SERVICES) - 2ND BIDDING</t>
  </si>
  <si>
    <t>Procurement of Piglets</t>
  </si>
  <si>
    <t>4 units diamond core, drill bit</t>
  </si>
  <si>
    <t>Supply and Delivery of Auto Supplies and Equipment</t>
  </si>
  <si>
    <t>RFQ - 200 bags Reflectorized Thermoplastic Pavement Markings Yellow, 300 bags Reflectorized Thermoplastic Pavement Markings White for use in Maintenance Activities (2nd Quarter)</t>
  </si>
  <si>
    <t>Delivery of various construction materials needed for Brgy. Multi-Purpose Gym and Evacuation Center - Brgy. San Miguel, Bayawan City (ITB 20-071)</t>
  </si>
  <si>
    <t>Procurement of HARDWARE SUPPLIES</t>
  </si>
  <si>
    <t>ITB No. 2020-I-P4-01: Rehab./Construction/Iprovement/Concreting of Various Infra Projects</t>
  </si>
  <si>
    <t>For BWD Vehicle SDA 225</t>
  </si>
  <si>
    <t>Bid No. 20-0273 - PROCUREMENT OF CONSTRUCTION MATERIALS - MEO (CONSTRUCTION OF COVERED COURT - BRGY. TUPAS, MARAGUSAN, DAVAO DE ORO)</t>
  </si>
  <si>
    <t>Supply and Delivery of Spare Parts for the Repair of Backhoe Loader, Mogpog</t>
  </si>
  <si>
    <t>Office Equipment for Isolation Unit</t>
  </si>
  <si>
    <t>20NA0072 Completion of Conference/Seminar Building, Brgy. Poblacion, Jabonga, Agusan del Norte</t>
  </si>
  <si>
    <t>3 lots Strapping and Bundling Materials and Band Rolls</t>
  </si>
  <si>
    <t>PR No. 2020-02-0190-MAIN-Supply and Delivery of Hotel Housekeeping Instructional and Laboratory Materials for the College of Business Arts and Sciences</t>
  </si>
  <si>
    <t>Procurement of One (1) Lot Information and Communications Technology (ICT) Equipment for the Philippine National Police Directorate for Logistics (PNP DL)- PNPTR-DL-DP-20-04</t>
  </si>
  <si>
    <t>PROCUREMENT OF ONE (1) UNIT MOTOR VEHICLE</t>
  </si>
  <si>
    <t>ITB No. 2020-I-P3-01: Riprapping/Rehab/Iprovement/Installation of Various Infra Projects</t>
  </si>
  <si>
    <t>Construction and Rehab of All Drainage Canal/Ditches at 100cm width with Cover to Climate Variability Design Standards</t>
  </si>
  <si>
    <t>IB-2020-VI-30-06-CONSTRUCTION OF BARANGAY HEALTH STATION (ODIONG)</t>
  </si>
  <si>
    <t>Request for quotations</t>
  </si>
  <si>
    <t>INFRA 2K20-50 CONCRETING OF ROAD FROM JOSEFINA TO BALINTAWAK, MARGOSATUBIG (PHASE I)</t>
  </si>
  <si>
    <t>Lease of Processing Plant and Warehouse for the Production of Sterilized Milk for Six Months</t>
  </si>
  <si>
    <t>for the repair of outside ceiling of Admin. building</t>
  </si>
  <si>
    <t>Road Asphalting</t>
  </si>
  <si>
    <t>Supply and Delivery of Materials for Fabrication of Pipe Supports in connection with the Waterline Extension Project in Imbang Bridge Crossing Pipeline, Brgy. E. Lopez for Silay City Water District</t>
  </si>
  <si>
    <t>20OI0122: Construction of Flood Control Structures along Zapote River and its Tributaries (Upstream), Las Pinas City</t>
  </si>
  <si>
    <t>1 set CCTV</t>
  </si>
  <si>
    <t>SUPPLY AND DELIVERY OF ASSORTED uPVC PIPES</t>
  </si>
  <si>
    <t>INSTALLATION OF STREET LIGHTS ALONG SANGHAN - ANTONIO LUNA PROVINCIAL ROAD IN BARANGAY SANGHAN, CABADBARAN CITY - 2ND BIDDING</t>
  </si>
  <si>
    <t xml:space="preserve">20NA0074 ACT NO. 71X (Special Maintenance) Selective Replacement of Damaged Concrete Slabs along National Primary, Secondary &amp; Tertiary Roads (Concrete Reblocking), with Pavement Markings 1st Quarter </t>
  </si>
  <si>
    <t>IB-2020-VI-30-07 CONSTRUCTION OF BARANGAY HEALTH STATION (IGCOCOC)</t>
  </si>
  <si>
    <t>2OCB-GSC-315 PURCHASE OF DESKTOP COMPUTERS (RE-BID)</t>
  </si>
  <si>
    <t>Repair and Maintenance of BWD Vehicle SDA225</t>
  </si>
  <si>
    <t>Re-Bidding of Supply and Delivery of One (1) Lot Various Engineering and Maintenance Materials for January 1 to December 31, 2020</t>
  </si>
  <si>
    <t>Invitation to Bid for Supply, Delivery and Installation of Digital Speech Laboratory</t>
  </si>
  <si>
    <t>SUPPLY AND DELIVERY OF TWO (2) UNITS DESKTOP COMPUTER W/ ACCESSORIES - TWO FAILED BIDDING</t>
  </si>
  <si>
    <t>Concreting of Sitio Mabuyucan to Sitio Pun-Ayagan, Barangay Umalbong FMR, Barangay Umalbong, Hingyon, Ifugao</t>
  </si>
  <si>
    <t>20OI0121: CONSTRUCTION OF SLOPE PROTECTION AT ALMIRANTE CREEK AT BRGY. TALON 4, LAS PINAS CITY</t>
  </si>
  <si>
    <t>EXTENSION OF KALASAG</t>
  </si>
  <si>
    <t>20CB-GSC-324 PURCHASE OF OFFICE EQUIPMENT</t>
  </si>
  <si>
    <t>20BA0056: CONCRETING OF BRGY. LIPTAN TO BRGY. KARWARWAY FMR, BRGY. STA. LUCIA, ITBAYAT, BATANES</t>
  </si>
  <si>
    <t>20GGM0011 - Procurement of furnitures for use in various offices, DPWH, Negros Occidental 3rd District Engineering Office, Kabankalan City.</t>
  </si>
  <si>
    <t>SUPPLY AND DELIVERY OF FUEL (DIESEL AND GASOLINE) FOR VARIOUS OFFICES - TWO FAILED BIDDING</t>
  </si>
  <si>
    <t>Supply and Delivery of Medicines for RHU, BEMONC and Philhealth</t>
  </si>
  <si>
    <t>CONSTRUCTION/CONCRETING OF 270 LN. M. LOCAL ACCESS ROAD   Purok 5, TCES, Poblacion, Tubod, Lanao del Norte</t>
  </si>
  <si>
    <t>Information Technology for the Digitization of Listahanan 3 Household Assessment Forms and other NHTS-LAMA Activities</t>
  </si>
  <si>
    <t>P.R No. 2020-AS-05-017(Steel Cabinet &amp; Printer) Administrative Section</t>
  </si>
  <si>
    <t>Supply and Delivery of Construction Materials and Supplies for Improvement of Yook Health Center</t>
  </si>
  <si>
    <t>Supply, Delivery and Installation of Kitchenwares and Equipment for SIP Hub Kitchen of the Univertsity</t>
  </si>
  <si>
    <t>Construction of Laundry Area with Placenta Pit, Vault Slab and Drainage of Birthing and New Calasiao Mun. Health Clinic at Calasiao, Pangasinan</t>
  </si>
  <si>
    <t>ITB No. 2020-G-03-02: Purchase of LGU-Lagawe Office Supplies</t>
  </si>
  <si>
    <t>20CB-GSC-316 PURCHASE OF SPARE PARTS FOR MOTOR VEHICLE</t>
  </si>
  <si>
    <t>Concrete Pavement of Municipal Road to Climate Resilient Design Standards Located in Subdivision Area Poblacion</t>
  </si>
  <si>
    <t>Supply and Delivery of Office Supplies and Computer Supplies for BUGS Registrar’s Office</t>
  </si>
  <si>
    <t>Supply and Delivery of Medical Supplies for RHU, BEMONC and Philhealth</t>
  </si>
  <si>
    <t>Supply and Delivery of Diesel Fuel</t>
  </si>
  <si>
    <t>Supply and Delivery of Construction Materials for Slope Protection @ Star Village</t>
  </si>
  <si>
    <t>PUBLIC BIDDING / PR 19-11-1126 RE-BID / REHABILITATION/RESTORATION OF KALAYAAN HALL EXTERIOR</t>
  </si>
  <si>
    <t>Concreting of Pal-ew-Sto. Niño Road, Barangay Pal-ew (Additional Allocation) and Concreting of Sto. Niño-Pal-ew Road, Barangay Sto. Niño (Additional Allocation)</t>
  </si>
  <si>
    <t>Vehicle Parts for Repair and Maintenance of Light Vehicle</t>
  </si>
  <si>
    <t>Procurement of Consumables/Ink/Toner Intended for 3rd Quarter of CY 2020</t>
  </si>
  <si>
    <t>supply and delivery of 10 unit smartphone, android</t>
  </si>
  <si>
    <t>Repair and Maintenance of LGU Service Vehicles</t>
  </si>
  <si>
    <t>PURCHASE OF SOLAR PANEL AT BARANGAY MUZON I, ROSARIO, CAVITE</t>
  </si>
  <si>
    <t>Purchase of 1-Unit Brand New Vehicle (AMBULANCE TYPE) for the Municipal Healht of LGU Lugait, Misamis Oriental.</t>
  </si>
  <si>
    <t>SUPPLY AND DELIVERY OF  SUPPLIES / MATERIALS FOR LIVELIHOOD PROGRAM FOR FISHERFOLK (FISHING GEARS)</t>
  </si>
  <si>
    <t>PUBLIC BIDDING / PR 20-03-0161 /  125 BRAND NEW MULTI-FUNCTION PRINTERS (MFP)</t>
  </si>
  <si>
    <t>Internet Installation</t>
  </si>
  <si>
    <t>Information Technology to be used by DSWD Regional Field Office 12 for additional and upgrading of ICT Equipment</t>
  </si>
  <si>
    <t>IB-2020-VI-30-08 CONSTRUCTION BARANGAY HEALTH STATION (TABONGTABONG)</t>
  </si>
  <si>
    <t>EXPANSION OF PIER AT BRGY. AMOTAG</t>
  </si>
  <si>
    <t>Re-Blocking and Upgrading of Existing Streets of Poblacion Las Navas, N. Samar</t>
  </si>
  <si>
    <t>Procurement of Various Drugs and Medicines (TFB-2020-003Recanvass) BAC EP 2020-001</t>
  </si>
  <si>
    <t>Procurement of Various Medical Supplies (TFB-2020-004Recanvass) BAC EP 2020-003</t>
  </si>
  <si>
    <t>IB-2020-VI-30-10 CONSTRUCTION MATERIALS (EGANA &amp;SALVACION)</t>
  </si>
  <si>
    <t>Repair/ Rehabilitation of Classroom Damaged by Typhoon Ursula under Quick Response Fund (QRF) CY 2020 Batch 1 Lot 1 at Bacolod PS, Balasan CES, Batuan ES, Gimamanay ES, Quisan ES and Mamhut PS at Bala</t>
  </si>
  <si>
    <t>Procurement of OFFICE FURNITURE ADDITIONAL (Office Tables, Cabinet &amp; Chairs) Delivery &amp; Installation for the use of LGU Lugait, Misamis Oriental.</t>
  </si>
  <si>
    <t>CY 2020 Basic Educational Facilities Fund (BEFF)- Electrification of Un-Energized Schools and  Modernization of Electrical Systems On-Grid Schools Batch 2  (Repost)</t>
  </si>
  <si>
    <t>supply and delivery of computer printers</t>
  </si>
  <si>
    <t>Procurement of Various Drugs and Medicines (TFB-2020-005) BAC EP 2020-001</t>
  </si>
  <si>
    <t>Construction Materials(Construction of Drainage Canal(Gamuton Continuation))</t>
  </si>
  <si>
    <t>ICT Equipment - LAPTOP</t>
  </si>
  <si>
    <t>supply and delivery of one unit dosing pump</t>
  </si>
  <si>
    <t>SUPPLY &amp; DELIVERY OF VARIOUS MATERIALS (OFFICE EQPT) OF OM-BOD</t>
  </si>
  <si>
    <t>Local Access Road in Poblacion to Guadalupe</t>
  </si>
  <si>
    <t>PURCHASE OF MINI DUMP TRUCK AT BARANGAY MUZON I, ROSARIO, CAVITE</t>
  </si>
  <si>
    <t>LOT Procurement of AIR CONDITIONERS for the Use of DOPH Gov. Generoso</t>
  </si>
  <si>
    <t>Plastic, Transparent, 40x40</t>
  </si>
  <si>
    <t>Fabrication of Classroom (Container Van) Brgy. Caturay, Gerona, Tarlac</t>
  </si>
  <si>
    <t>20PA0133 : CONCRETING OF BARANGAY NAGCANASAN FMR, Barangay Nagcanasan, Pilar, Abra</t>
  </si>
  <si>
    <t>Purchase and Installation of Public Address System for COVID-19 Operation</t>
  </si>
  <si>
    <t>LOT Procurement of MATERIALS for Use of Brgy. Lucatan, Tarragona, Davao Oriental</t>
  </si>
  <si>
    <t>Concreting of Road Leading to Jacinto Aguilar M/S Barangay Tugas, Concreting of Road Leading to Buyao-Tugas and Concreting of Road Sito Canlibot, Barangay Tugas</t>
  </si>
  <si>
    <t>Procurement for the Supply and Delivery of 11,100 Sets Educational School Supplies for Public School Grades 1-3 Students of the City</t>
  </si>
  <si>
    <t>CONSTRUCTION OF MULTI-PURPOSE BUILDING (PHANSE II) ADARNA DAY CARE</t>
  </si>
  <si>
    <t>CONSTRUCTION OF CHECK STRUCTURE</t>
  </si>
  <si>
    <t>Concreting of Barangay Road, Purok 6, Brgy. Rizal, Gerona, Tarlac</t>
  </si>
  <si>
    <t>Repair/ Rehabilitation of Classroom Damaged by Typhoon Ursula under Quick Response Fund (QRF) CY 2020 Batch 1 Lot 4 at Binon-an ES, Jose Gonzaludo ES, Malico Es and Pasayan ES Batad, Iloilo.</t>
  </si>
  <si>
    <t>CONSTRUCTION OF PERIMETER FENCE OF NATIONAL CHILD DEVELOPMENT CENTER</t>
  </si>
  <si>
    <t>LOT Procurement of MATERIALS for Use in the Construction of Staff House at Tourism Complex, Brgy. Don Martin Marundan, City of Mati, Davao Oriental</t>
  </si>
  <si>
    <t>CONSTRUCTION OF MULTIPURPOSE BUILDING ( PHASE III) LAWIN DAY CARE</t>
  </si>
  <si>
    <t>PROCUREMENT FOR THE SUPPLY, DELIVERY AND INSTALLATION OF VARIOUS LABORATORY EQUIPMENT FOR USE OF NATIONAL PLANT QUARANTINE SERVICES DIVISION (NPQSD)</t>
  </si>
  <si>
    <t>CONCRETING OF ROAD AT PUROK 4 STA. MARINA</t>
  </si>
  <si>
    <t>SUPPLY AND DELIVERY OF SUBMERSIBLE PUMP, MOTOR, THERMAL OVERLOAD RELAY AND #10 Submersible Cable, 3C</t>
  </si>
  <si>
    <t>Supply &amp; Delivery of Various Medicines</t>
  </si>
  <si>
    <t>Supply and Delivery of furnitures for use of Engineering and Operations Head</t>
  </si>
  <si>
    <t>Repair/ Rehabilitation of Classroom Damaged by Typhoon Ursula under Quick Response Fund (QRF) CY 2020 Batch 1 Lot 5 at Abong ES, Alipata ES. Bito-on ES and Cana PS Carles, Iloilo.</t>
  </si>
  <si>
    <t>Invitation to Bid for Supply and Delivery of Agricultural Supplies at Mun. Agriculture Office, Calaca, Batangas</t>
  </si>
  <si>
    <t>Repair/ Rehabilitation of Classroom Damaged by Typhoon Ursula under Quick Response Fund (QRF) CY 2020 Batch 1 Lot 2 at Kinalkalan ES and Mamhut ES at Balasan, Iloilo.</t>
  </si>
  <si>
    <t>Procurement for the Supply and Delivery of 11,653 Sets Educational School Supplies for Public School Grades 4-6 Students of the City.</t>
  </si>
  <si>
    <t>Purchase of chlorine dioxide A &amp; B</t>
  </si>
  <si>
    <t>20PA0132 : CONCRETING OF BARANGAY GUINGUINABANG FMR, Barangay Guinguinabang, Lacub, Abra</t>
  </si>
  <si>
    <t>Procurement for the Supply and Delivery of 3,700 Pieces School Bags for Public School Grade – 1 Pupils of the City</t>
  </si>
  <si>
    <t>Publication No. 28-2020-G (First Publication) Office Equipment</t>
  </si>
  <si>
    <t>REPAIR OF BARANGAY HALL (BRGY LULUGAYAN) Jiabong, Samar</t>
  </si>
  <si>
    <t>Bidding for the Supply &amp; Delivery of Medical Equipment for COVID-19 Operation</t>
  </si>
  <si>
    <t>Repair/ Rehabilitation of Classroom Damaged by Typhoon Ursula under Quick Response Fund (QRF) CY 2020 Batch 1 Lot 6 at Asluman ES, Granada ES, Piagao PS and Granada NHS Carles, Iloilo.</t>
  </si>
  <si>
    <t>Publication No. 29-2020-G (First Publication) IT Equipment</t>
  </si>
  <si>
    <t>Construction of Bulacon Barangay Multi-Purpose Building, Concreting of Lapu Lapu St (140.00 m) and Concreting of Aguinaldo St, 200.00m</t>
  </si>
  <si>
    <t>Invitation to Bid for Supply and Delivery of Pencil with Eraser, Ballpen, Pentel Pen and Colored Paper for Day Care Children to Senior High School Students at DepEd Calaca District, Calaca, Batangas</t>
  </si>
  <si>
    <t>LOT Procurement of MATERIALS for Use of Brgy. Sto. Rosario, San Isidro, Davao Oriental</t>
  </si>
  <si>
    <t>LOT Procurement of MATERIALS for Use of Brgy. Taguibo, City of Mati, Davao Oriental</t>
  </si>
  <si>
    <t>Supply and Delivery of Monthly Security Services for Various Government Buildings</t>
  </si>
  <si>
    <t>20GGJ0050 REQUEST FOR QUOTATION</t>
  </si>
  <si>
    <t>PURCHASE OF MEDICAL SUPPLIES AT MHO</t>
  </si>
  <si>
    <t>Supply and Delivery of Fertilizers</t>
  </si>
  <si>
    <t>CID No. 19IO0159: Rehabilitation of DENR-EMB RO 8 Laboratory Building, Baras, Palo, (Phase III), Government Center, Baras, Palo, Leyte</t>
  </si>
  <si>
    <t>Purchase of Fuel  (3rd Quarter 2020) Rebid</t>
  </si>
  <si>
    <t>20GHF0006 - Supply and Delivery of Construction Materials and Supplies for use in office repair purposes and in the Repaint of National Bridges, Concrete Parapet and Informative Road Safety Signages a</t>
  </si>
  <si>
    <t>Procurement for the Supply and Delivery of One Unit Mobile Patrol Vehicle with Complete Accessories, City of Koronadal</t>
  </si>
  <si>
    <t>Repair/ Rehabilitation of Classroom Damaged by Typhoon Ursula under Quick Response Fund (QRF) CY 2020 Batch 1 Lot 7 at Cawayan ES, Cawayan NHS, Carles, Iloilo and Balasan NHS, Balasan, Iloilo.</t>
  </si>
  <si>
    <t>Invitation to Bid for Supply and Delivery of Back Pack for Day Care Children to Senior High School Students at DepEd Calaca District, Calaca, Batangas</t>
  </si>
  <si>
    <t>Hiring of Assisting Professional for establishment of 2 hectares PBMA and conduct of Baseline Data Assessment</t>
  </si>
  <si>
    <t>Procurement for the Supply and Delivery of One (1) Unit Four Wheeled Vehicle (Pick-Up) for CSU Operations, City of Koronadal</t>
  </si>
  <si>
    <t>Supply and Delivery of Insecticide</t>
  </si>
  <si>
    <t>OFFICE SUPPLIES, EQUIPMENT, AND CONSUMABLES</t>
  </si>
  <si>
    <t>Publication No. 31-2020-G (First Publication) Two (2) units Brandnew Dump Truck (5 cu.m capacity) and Two (2) units Brandnew Dump Truck (20 cu.m capacity)</t>
  </si>
  <si>
    <t>Procurement of 200 Pieces Toilet Bowl for Use of Various Household in Different Municipalities of Davao Oriental</t>
  </si>
  <si>
    <t>Supply and Delivery of Two (2) units of Motor Vehicle Convertible to Ambulance</t>
  </si>
  <si>
    <t>Procurement of 2,500 Kilos RED PEANUT WITH SHELL in Support to Rice Farmers of the Province (Planting of Peanut after Rice Cropping Season)</t>
  </si>
  <si>
    <t>Repair/ Rehabilitation of Classroom Damaged by Typhoon Ursula under Quick Response Fund (QRF) CY 2020 Batch 1 Lot 8 at Bolo ES and Tupaz ES, Carles, Iloilo.</t>
  </si>
  <si>
    <t>Publication No. 32-2020-G (First Publication) Computer Server</t>
  </si>
  <si>
    <t>PSD-2020-06-0187 (FOR THE USE OF AGENCY OPERATION CENTER AND FO9 STAFF IN ITS DAY TO DAY OPERATION)</t>
  </si>
  <si>
    <t>Publication No. 30-2020-G (First Publication) Heavy Equipments</t>
  </si>
  <si>
    <t>Procurement of Various Medical Equipment (HFEP)</t>
  </si>
  <si>
    <t>Repair/ Rehabilitation of Classroom Damaged by Typhoon Ursula under Quick Response Fund (QRF) CY 2020 Batch 1 Lot 10 at San Fernando ES and Talingting ES, Carles, Iloilo.</t>
  </si>
  <si>
    <t>Supply and Delivery of Three (3) units of Desktop Computer and Three (3) units of Laptop</t>
  </si>
  <si>
    <t>Supply and Delivery of Farm Machineries and Equipment</t>
  </si>
  <si>
    <t>Invitation to Bid for Supply and Delivery of Notebook, Writing Pad and Bond Paper for Day Care Children to Senior High School Students at DepEd Calaca District, Calaca, Batangas</t>
  </si>
  <si>
    <t>Procurement for the Supply and Delivery of One (1) Unit Six (6) Wheeler Reconditioned Water Truck for CENRO, City of Koronadal</t>
  </si>
  <si>
    <t>Repair/ Rehabilitation of Classroom Damaged by Typhoon Ursula under Quick Response Fund (QRF) CY 2020 Batch 1 Lot 3 at Pedro Bedez ES and Zaragosa ES at Balasan, Iloilo.</t>
  </si>
  <si>
    <t>RFQ, Ink and Toners</t>
  </si>
  <si>
    <t>Supply and Delivery of Animal Feeds</t>
  </si>
  <si>
    <t>Procurement of Laparoscopy Tower</t>
  </si>
  <si>
    <t>Invitation to Bid for Supply and Delivery of Plastic Protractor, ID Lace and Holder, Plastic Envelope, Calculator, Pencil Sharpener &amp; Crayons for Day Care Children to Senior High School Students at De</t>
  </si>
  <si>
    <t>Supply and Delivery of Tricycle Plate Stickers</t>
  </si>
  <si>
    <t>Repair/ Rehabilitation of Classroom Damaged by Typhoon Ursula under Quick Response Fund (QRF) CY 2020 Batch 1 Lot 9 at Naborot ES and Pantalan IS, Carles, Iloilo</t>
  </si>
  <si>
    <t>Proposed Construction of Evacuation Center/Multi-Purpose Building at Purok 3, Brgy. Sinalhan</t>
  </si>
  <si>
    <t>Repair/ Rehabilitation of Classroom Damaged by Typhoon Ursula under Quick Response Fund (QRF) CY 2020 Batch 1 Lot 11 at Talingting NHS, Carles, Iloilo.</t>
  </si>
  <si>
    <t>Supply and Delivery of Various Agricultural Supplies and Materials</t>
  </si>
  <si>
    <t>Electrical Distribution for Sinalhan Senior High School, Brgy. Sinalhan</t>
  </si>
  <si>
    <t>SUPPLY AND DELIVERY OF WIRINGS AND CABLES FOR GENERATOR SET (RFQ# 144-2020), Port of Dapitan, Dapitan City, Zamboanga del Norte</t>
  </si>
  <si>
    <t>CID No. 19CSOD26- Procurement for the Conduct of Preliminary Detailed Engineering (PDE) Activities for Soil Testing (Soil and Sub-Surface Exploration and Dynamic Cone Penetration Test) for the Various</t>
  </si>
  <si>
    <t>Repair/ Rehabilitation of Classroom Damaged by Typhoon Ursula under Quick Response Fund (QRF) CY 2020 Batch 1 Lot 13 at Buenavista IS and Tabugon IS, Carles, Iloilo.</t>
  </si>
  <si>
    <t>Proposed Installation of 10 Passenger Elevator at LCA Building, Brgy. Tagapo</t>
  </si>
  <si>
    <t>Repair/ Rehabilitation of Classroom Damaged by Typhoon Ursula under Quick Response Fund (QRF) CY 2020 Batch 1 Lot 14 at Tarong ES and Martin Azuelo MS, Carles, Iloilo.</t>
  </si>
  <si>
    <t>Repair/ Rehabilitation of Classroom Damaged by Typhoon Ursula under Quick Response Fund (QRF) CY 2020 Batch 1 Lot 12 at Bagotao ES, Manlot IS and Barangcalan IS, Carles, Iloilo.</t>
  </si>
  <si>
    <t>Repair/ Rehabilitation of Classroom Damaged by Typhoon Ursula under Quick Response Fund (QRF) CY 2020 Batch 1 Lot 18 at Botongon ES and Estancia CES, Estancia, Iloilo</t>
  </si>
  <si>
    <t>Supply and Delivery of Poultry Animal</t>
  </si>
  <si>
    <t>Supply and Delivery of Various Seedlings</t>
  </si>
  <si>
    <t>Repair/ Rehabilitation of Classroom Damaged by Typhoon Ursula under Quick Response Fund (QRF) CY 2020 Batch 1 Lot 17 at Taloto-an Es, Concepcion, Iloilo, Amayong PS, Madanlog Es, Malunoy ES, San Dioni</t>
  </si>
  <si>
    <t>Additional Supply and Delivery of Printers for Distribution to Various Elementary and Secondary Schools</t>
  </si>
  <si>
    <t>Repair/ Rehabilitation of Classroom Damaged by Typhoon Ursula under Quick Response Fund (QRF) CY 2020 Batch 1 Lot 15 at Lantangan ES, Carles, Iloilo.</t>
  </si>
  <si>
    <t>CID No. 19CSOD28- Procurement for the Conduct of Preliminary Detailed Engineering (PDE) Activities for Soil Testing (Soil and Sub-Surface Exploration) for the Various Flood Control Projects in Valenzu</t>
  </si>
  <si>
    <t>Repair/ Rehabilitation of Classroom Damaged by Typhoon Ursula under Quick Response Fund (QRF) CY 2020 Batch 1 Lot 20 at Granada NHS - Ballesteros Campus, Carles, Iloilo.</t>
  </si>
  <si>
    <t>PROPOSED REPAIR, MAINTENANCE , REHABILITATION OF LINE CANAL AT BRGY. III-C, SAN PABLO CITY</t>
  </si>
  <si>
    <t>Repair/ Rehabilitation of Classroom Damaged by Typhoon Ursula under Quick Response Fund (QRF) CY 2020 Batch 1 Lot 19 at San Roque Es and Tanza ES, Estancia, Iloilo. B</t>
  </si>
  <si>
    <t>CID No. 19CSOD27- Procurement for the Conduct of Preliminary Detailed Engineering (PDE) Activities for Soil Testing (Soil and Sub-Surface Exploration) for the Various Flood Control Projects in Valenzu</t>
  </si>
  <si>
    <t>Repair/ Rehabilitation of Classroom Damaged by Typhoon Ursula under Quick Response Fund (QRF) CY 2020 Batch 1 Lot 22 at Don Casimero Andrada NHS, Carles, Iloilo and Estancia NHS, Estancia, Iloilo.</t>
  </si>
  <si>
    <t>Repair/ Rehabilitation of Classroom Damaged by Typhoon Ursula under Quick Response Fund (QRF) CY 2020 Batch 1 Lot 21 at Binuluangan IS, Carles, Iloilo.</t>
  </si>
  <si>
    <t>Procurement of Medical, Dental &amp; Laboratory Supplies</t>
  </si>
  <si>
    <t>Procurement of External Hard Disk</t>
  </si>
  <si>
    <t>CID No. 19CSOD29- Procurement for the Conduct of Preliminary Detailed Engineering (PDE) Activities for Soil Testing (Soil and Sub-Surface Exploration) for the Various Flood Control Projects in Valenzu</t>
  </si>
  <si>
    <t>Other General Services</t>
  </si>
  <si>
    <t>Repair/ Rehabilitation of Classroom Damaged by Typhoon Ursula under Quick Response Fund (QRF) CY 2020 Batch 1 Lot 16 at Bayas ES, Longuingot ES, and Bayas NHS, Estancia, Iloilo.</t>
  </si>
  <si>
    <t>Supply of 1 unit Plastic Shredder Machine</t>
  </si>
  <si>
    <t>NET BOOK</t>
  </si>
  <si>
    <t>Hauling of New and Old Concrete Pole, Excavation and Erection of New Concrete Pole, and Uprooting of Old Concrete Pole, 50 ft.</t>
  </si>
  <si>
    <t>Repair/ Rehabilitation of Classroom Damaged by Typhoon Ursula under Quick Response Fund (QRF) CY 2020 Batch 1 Lot 23 at Tinigban IS, Toong ES, and Batuan IS, Carles, Iloilo. B</t>
  </si>
  <si>
    <t>REPAIR AND MAINTENANCE OF COMPUTER LABORATORY BUILDING</t>
  </si>
  <si>
    <t>CID No. 19CSOD33- Procurement for the Conduct of Preliminary Detailed Engineering (PDE) Activities for Soil Testing (Soil and Sub-Surface Exploration) for the Various Flood Control Projects in Calooca</t>
  </si>
  <si>
    <t>CID No. 19CSOD31- Procurement for the Conduct of Preliminary Detailed Engineering (PDE) Activities for Soil Testing (Soil and Sub-Surface Exploration) for the Various Flood Control Projects in Calooca</t>
  </si>
  <si>
    <t>CID No. 19CSOD32- Procurement for the Conduct of Preliminary Detailed Engineering (PDE) Activities for Soil Testing (Soil and Sub-Surface Exploration) for the Various Flood Control Projects in Calooca</t>
  </si>
  <si>
    <t>CID No. 19CSOD30- Procurement for the Conduct of Preliminary Detailed Engineering (PDE) Activities for Soil Testing (Soil and Sub-Surface Exploration) for the Various Flood Control Projects in Valenzu</t>
  </si>
  <si>
    <t>CLEAR GLASS</t>
  </si>
  <si>
    <t>Purchase of Aircon w/Installation</t>
  </si>
  <si>
    <t>Purchase Tanod Uniform &amp; Supplies</t>
  </si>
  <si>
    <t>Purchase of Desktop Computer &amp; Other Supplies</t>
  </si>
  <si>
    <t>YERO</t>
  </si>
  <si>
    <t>PROCUREMENT OF MEDICINES AND SUPPLY FOR RURAL HEALTH UNIT BURAUEN, LEYTE</t>
  </si>
  <si>
    <t>20GFE0011 – SUPPLY OF MATERIALS FOR EROSION CONTROL, TRAFFIC SERVICES, PAVEMENT, PAVEMENT AND BRIDGE MAINTENANCE ALONG NATIONAL ROADS – 2ND QUARTER</t>
  </si>
  <si>
    <t>Supply and Delivery of Office Equipment (Lot 1), ICT Equipment (Lot 2), Furnitures and Fixtures (Lot 3) and MOOE (Lot 4) for use of Provincial Engineer's Office (PEO), Iba</t>
  </si>
  <si>
    <t>REHABILITATION OF LEVEL II WATER SYSTEM OF BARANGAY ANONANG WITH PROVISION FOR LEVEL III BURAUEN, LEYTE (RE-BIDDING)</t>
  </si>
  <si>
    <t>Supply and Delivery of Materials and Labor for the Improvement/Rehabilitation of Public Market</t>
  </si>
  <si>
    <t>PROCUREMENT OF OTHER SUPPLIES</t>
  </si>
  <si>
    <t>HO-GRF20-001 - Split Type Metal Enclosure (STME) and Other Accessories Needed for the Reinforcement of the Buckle Anomaly and Damaged Flange Connection of Ilijan Natural Gas Pipeline</t>
  </si>
  <si>
    <t>CYCLONE WIRE</t>
  </si>
  <si>
    <t>PROCUREMENT OF ONE (1) UNIT MULTI-CAB FOR ENGINEERING OFFICE LGU- BURAUEN, LEYTE</t>
  </si>
  <si>
    <t>C-2020-01: ENGAGEMENT OF AN ADVERTSING /DESIGN AGENCY FOR THE DESIGN, CONTENT DEVELOPMENT, PRINTING AND DELIVERY OF THE 2019 ANNUAL REPORT OF THE DEVELOPMENT BANK OF THE PHILIPPINES (DBP)</t>
  </si>
  <si>
    <t>SCHOOL SUPPLIES</t>
  </si>
  <si>
    <t>S1-B1420-001 (PB2) - Furnishing Labor and Materials for Dry Docking and Ship Repair of PB 114</t>
  </si>
  <si>
    <t>Motor Vehicle spare parts</t>
  </si>
  <si>
    <t>Printing &amp; binding supplies &amp; materials</t>
  </si>
  <si>
    <t>PURCHASE OF OFFICE SUPPLIES FOR PRINTING OF LEARNING MATERIALS</t>
  </si>
  <si>
    <t>PROVISION OF NEW ELECTRICAL INSTALLATION AT BISLIG AIRPORT PTB</t>
  </si>
  <si>
    <t>Supply and Delivery of Materials and Labor for the Construction/Improvement/ Rehabilitation of Local Access Road in Brgy. Duhat</t>
  </si>
  <si>
    <t>Rehabilitation of Public Market at Brgy. Poblacion, President Roxas, Cotabato (Re-Published)</t>
  </si>
  <si>
    <t>Cluster I: A. IMPROVEMENT OF ROAD AT WOODSGATE NEAR MBCA SCHOOL AT WOODSGATE CAMP 7 BARANGAY BAGUIO CITY; B. IMPROVEMENT OF DRAINAGE CANAL NEAR BANTASAN RESIDENCE AT WOODSGATE CAMP 7 BARANGAY BAGUIO C</t>
  </si>
  <si>
    <t>Various supplies &amp; materials for uniform</t>
  </si>
  <si>
    <t>installation of street lights</t>
  </si>
  <si>
    <t>MG-A5M20-101 ( ELECTRODE, CAST IRON )</t>
  </si>
  <si>
    <t>SUPPLY &amp; INSTALLATION OF CCTV CAMERA FOR PUBLIC MARKET, DIST 9, BURAUEN BUS TERMINAL, DISTRICT II, STO NIÑO ST, COR. STA ANA, BURAUEN SPORT COMPLEX BURAUEN, LEYTE</t>
  </si>
  <si>
    <t>MG-A5M20-056  ( DIESEL, FUEL )</t>
  </si>
  <si>
    <t>Cluster II: A.  IMPROVEMENT OF DRAINAGE AT PARISAS CAMP 7 BARANGAY BAGUIO CITY: B. ROAD IMPROVEMENT NEAR CLARITO CORPUZ RESIDENCE CAMP 7 BARANGAY BAGUIO CITY</t>
  </si>
  <si>
    <t>Completion of Multi-Purpose Building located at Palibu, Novele, Rosario, Agusan del Sur</t>
  </si>
  <si>
    <t>Rehabilitation of Multi-purpose Hall</t>
  </si>
  <si>
    <t>RFQ2020-05-026_SUPPLY AND DELIVERY OF VARIOUS WATER SERVICE CONNECTION MATERIALS FOR REPAIR/MAINTENANCE OF DISTRIBUTION LINES_2nd PUBLICATION</t>
  </si>
  <si>
    <t>Repair and Rehabilitation of Classrooms in Various School Sites in the Division of Quezon</t>
  </si>
  <si>
    <t>PURCHASE OF IN-ORGANIC FERTILIZER FOR RICE ENHANCEMENT PROGRAM (NEGOTIATED PROCUREMENT)</t>
  </si>
  <si>
    <t>PIKCO-002020-011 (CONSTRUCTION OF GSO OFFICE BUILDING- PHASE III)</t>
  </si>
  <si>
    <t>Purchase of Materials in the Installation of grills for the New Building (R&amp;M-SCHOOL BUILDINGS)"</t>
  </si>
  <si>
    <t>MG-A5A20-003  ( PRINTER SCANNER AND DEVELOPER, COLOR, HIGH SPEED MAXIMUM OF PAPER )</t>
  </si>
  <si>
    <t>Construction/Opening of Junction Balono Road Bayugan 3 - Sitio Narra Junction Wasian, RADS (Phase II)</t>
  </si>
  <si>
    <t>Supply and Delivery of Furniture and Fixture</t>
  </si>
  <si>
    <t>Supply &amp; Delivery of Drugs, Medicines and Laboratory Supplies</t>
  </si>
  <si>
    <t>Construction of Material Recovery Facility &amp; Vermi Compost Box</t>
  </si>
  <si>
    <t>City Project</t>
  </si>
  <si>
    <t>Cluster III: A. REHABILITATION AND IMPROVEMENT OF ERODED RIPRAP NEAR NORMAN BINAYAN RESIDENCE AT PIAS CAMP 7 BARANGAY BAGUIO CITY; B. CONTINUATION OF DRAINAGE CANAL AT AMISTAD CAMP 7 BARANGAY BAGUIO C</t>
  </si>
  <si>
    <t>Provision Of Office Supplies for INSET MAY 2020</t>
  </si>
  <si>
    <t>Office Supplies for Senior High  office use</t>
  </si>
  <si>
    <t>Supplies &amp; materials for Urban greening</t>
  </si>
  <si>
    <t>PURCHASE OF CLEANING SUPPLIES and MATERIALS</t>
  </si>
  <si>
    <t>IMPROVEMENT OF ROAD WITH DRAINAGE CANAL NEAR MRS. MASING TO LACAP RESIDENCE CAMP 7 BARANGAY BAGUIO CITY</t>
  </si>
  <si>
    <t>Supply &amp; Delivery of White Bookpaper_July 7, 2020</t>
  </si>
  <si>
    <t>20HI0071 - Construction of Multi-Purpose Building (Multi-purpose Building) at Brgy. Jubay, Liloan, Cebu</t>
  </si>
  <si>
    <t>REHABILITATION OF ROADS</t>
  </si>
  <si>
    <t>PIKCOT-002020-012 (CONSTRUCTION OF MINI VETERINARY CLINIC)</t>
  </si>
  <si>
    <t>PIKCOT-002020-013 (CONSTRUCTION OF MUNICIPAL NURSERY)</t>
  </si>
  <si>
    <t>2-WAY RADIO</t>
  </si>
  <si>
    <t>Materials for the rehabilitation of Foot walk &amp; pathways to the new building</t>
  </si>
  <si>
    <t>PBD 20-061A DRYDOCKING AND HULL SERVICES</t>
  </si>
  <si>
    <t>Provision of Office Equipment intended for students’ documents</t>
  </si>
  <si>
    <t>20HI0072 - Construction of Multi-Purpose Building/Brgy. Hall, Brgy. Villahermosa, Tudela, Cebu</t>
  </si>
  <si>
    <t>Procurement of Tractor Implement (Disc Harrow), Spare Parts and Accessories</t>
  </si>
  <si>
    <t>2020-144-I PROCUREMENT AND DELIVERY OF 901 BAGS OF GM HYBRID YELLOW CORN SEEDS @ 9KG/ BAG</t>
  </si>
  <si>
    <t>Design, Layout and Setup of Audio/Video production Floor Inclusive of Customized Studio Set/Editing Space and Lighting Setup</t>
  </si>
  <si>
    <t>SUPPLY AND DELIVERY OF SUBMERSIBLE MOTOR 7.5HP</t>
  </si>
  <si>
    <t>20HI0075 - Construction of Multi-Purpose Building, Brgy. Jubay, Liloan, Cebu</t>
  </si>
  <si>
    <t>Maintenance and Other Operating Expenses(MOOE) Supplies and Materials of MANUTO ES, QUEZON I DISTRICT</t>
  </si>
  <si>
    <t>20-DO-0083: Repair/Maintenance of Flood Control &amp; Drainage Structures along Manila East Road, Halayhayin Bridge, Pililla, Rizal</t>
  </si>
  <si>
    <t>Other Supply and Materials;  Tools and Equipment for DomRAC Students</t>
  </si>
  <si>
    <t>2020-145-I PROCUREMENT AND DELIVERY OF  834 BAGS OF GM HYBRID YELLOW CORN SEEDS FOR HIGH ELEVATION  CORN AREAS @ 9KG/ BAG</t>
  </si>
  <si>
    <t>SUPPLY AND DELIVERY OF VARIOUS CI FITTINGS AND uPVC BEND</t>
  </si>
  <si>
    <t>ITB - CONSTRUCTION OF WATER SYSTEM (Procurement of Water Materials Pipes &amp; Fittings)</t>
  </si>
  <si>
    <t>20HI0080 - Construction and/or Repair/Rehabilitation of Multi-Purpose Building, Brgy. Yati, Liloan, Cebu</t>
  </si>
  <si>
    <t>SUPPLY AND DELIVERY OF VARIOUS G.I. FITTINGS</t>
  </si>
  <si>
    <t>Consulting Services for the Detailed Architectural And Engineering Design for the Proposed Construction of the Multi-Purpose Building (Barangay Hall and Fire and Rescue Brigade Headquarters) for Baran</t>
  </si>
  <si>
    <t>Contract ID No.: 20OB0044 Contract Name: Construction of Multi-Purpose Building including Site Development of Mandaluyong City Jail at Barangay Plainview, Mandaluyong City</t>
  </si>
  <si>
    <t>Contract ID No.: 20OB0082 Contract Name: Rehabilitation of Multi-Purpose Building, Mandaluyong Justice Hall, Mandaluyong City</t>
  </si>
  <si>
    <t>Contract ID No.: 20OB0288 Contract Name: Rehabilitation of Multi-Purpose Building (Covered Court), Brgy. Ilaya, Mandaluyong City</t>
  </si>
  <si>
    <t>PROCUREMENT OF BOND PAPER FOR DIFFERENT SCHOOLS</t>
  </si>
  <si>
    <t>RFPQ - PROCUREMENT OF WATER MATERIALS PIPES &amp; FITTINGS FOR CONST OF WATER SYSTEM</t>
  </si>
  <si>
    <t>Improvement and Istallation of 2 pcs Culvert Purok 3</t>
  </si>
  <si>
    <t>PIKCOT-002020-014 (SUPPLY AND DELIVERY OF MUSCOVY DUCK)</t>
  </si>
  <si>
    <t>Procurement of FY 2020 2nd Quarter Common-Use Supplies</t>
  </si>
  <si>
    <t>SUPPLY AND DELIVERY OF VARIOUS WATER CONNECTION MATERIALS</t>
  </si>
  <si>
    <t>Contract ID No.: 20OB0278 Contract Name: Construction of Multi-Purpose Building at Barangay Vergara, Mandaluyong City</t>
  </si>
  <si>
    <t>PIKCOT-002020-015(SUPPLY AND DELIVERY OF NET)</t>
  </si>
  <si>
    <t>SUPPLY OF LABOR AND MATERIALS FOR THE ESTABLISHMENT MULTI-PURPOSE R&amp;D BUILDING LOCATED AT CLIARCUD MAGALANG, PAMPANGA FOR THE YEAR 2020(REBID)</t>
  </si>
  <si>
    <t>Contract ID No.: 20OB0237 Contract Name: Construction of 9-Classroom School Building at Senate President Neptali A. Gonzales Integrated School, Brgy. Mauway, Mandaluyong City, Metro Manila</t>
  </si>
  <si>
    <t>Procurement of Medicines &amp; Medical Supplies-2nd Quarter (GAD Fund)</t>
  </si>
  <si>
    <t>Fabrication and installation of Six (6) Trash Trap  along San Cristobal River, San Juan River, Cabuyao River and Binan River in the Province of Laguna</t>
  </si>
  <si>
    <t>Procurement of Risograph Ink and Maintenance Supplies</t>
  </si>
  <si>
    <t>Procurement of Office, Computer and Maintenance Supplies</t>
  </si>
  <si>
    <t>Completion of Motorpool- Bulanao Campus</t>
  </si>
  <si>
    <t>PROCUREMENT OF PRINTER AND INK FOR DIFFERENT SCHOOLS</t>
  </si>
  <si>
    <t>Proposed installation of 12 units integrated solar streetlights at Barangay San Diego</t>
  </si>
  <si>
    <t>Construction of CVO Outpost Phase II</t>
  </si>
  <si>
    <t>Contract ID No.: 20OB0297 Contract Name: Rehabilitation of Multi-Purpose Building at Mandaluyong Elementary School, Mandaluyong City</t>
  </si>
  <si>
    <t>One (1) Lot Preventive Maintenance of Integrated Electronic Security System for BSP Head Office 2020, as per BSP Terms of Reference and Service Level Agreement</t>
  </si>
  <si>
    <t>Procurement of Ink for Printers</t>
  </si>
  <si>
    <t>Contract ID No.: 20OB0292 Contract Name: Rehabilitation of Multi-Purpose Building at Filemon Javier Elementary School, Mandaluyong City</t>
  </si>
  <si>
    <t>Purchase of food packs</t>
  </si>
  <si>
    <t>Improvement of Tourism Building (Governor’s Guest House)</t>
  </si>
  <si>
    <t>Supply and Delivery of Medical UV Lights and Air Purifier</t>
  </si>
  <si>
    <t>Contract ID No.: 20OB0409 Contract Name: Rehabilitation of Road Network including Laterals, 2nd District,   Marikina City</t>
  </si>
  <si>
    <t>Contract ID No.: 20OB0432 Contract Name: Repair and Maintenance of National Government Owned Building at Commission on Population, Mandaluyong City</t>
  </si>
  <si>
    <t>Improvement of Visitor’s Center- (Ogod)</t>
  </si>
  <si>
    <t>Procurement of Hardware and Industrial Supplies</t>
  </si>
  <si>
    <t>RE-BID FOR THE PURCHASE OF SERVICE BUS FOR OFFICIAL TRANSACTIONS OF THE COLLEGE</t>
  </si>
  <si>
    <t>2nd Public Bidding for the Procurement of Consulting Services for the Review and Updating of the Study on the Fluctuation Factors (K) and Parametric Formula under the Revised Contract Price Escalation</t>
  </si>
  <si>
    <t>RRMF &amp; MOOE</t>
  </si>
  <si>
    <t>Procurement of Medicines &amp; Medical Supplies-2nd Quarter (General Fund)</t>
  </si>
  <si>
    <t>Papsmear</t>
  </si>
  <si>
    <t>Opening of Barangay Access Road (Revised)</t>
  </si>
  <si>
    <t>SUPPLIES ,IT EQUIPTMENT AND MATERIALS</t>
  </si>
  <si>
    <t>Procurement of Amikacn</t>
  </si>
  <si>
    <t>Improvement of New Public Building</t>
  </si>
  <si>
    <t>Procurement of Blood Typing Sera</t>
  </si>
  <si>
    <t>Bale Angeleno</t>
  </si>
  <si>
    <t>20CSA002: CONSULTANCY SERVICES FOR THE CONDUCT OF FEASIBILITY STUDY OF PROPOSED CONSTRUCTION OF MISSING LINKS AND NEW ROADS NAGUILIAN-BAGULIN (LA UNION) - KAPANGAN (BENGUET) ROAD (REGION I)</t>
  </si>
  <si>
    <t>Construction of Perimeter Fence</t>
  </si>
  <si>
    <t>ELECTRIFICATION PROJECTS-20% EDF 2019</t>
  </si>
  <si>
    <t>Establishment of 1,000 cu.m. Gabions</t>
  </si>
  <si>
    <t>Procurement of Acetylcisteine</t>
  </si>
  <si>
    <t>One (1) lot Procurement of Supply and Delivery of Fifty-One (51) units of Desktop PC intended for DOBS (Front-end) for LANDBANK (Laguna, Quezon and Marinduque Branches)</t>
  </si>
  <si>
    <t>PROCUREMENT OF CONSULTING SERVICES TO STRENGTHEN PUBLIC RELATIONS AND MEDIA VISIBILITY OF DOH HEALTH EVENTS REI NO. 2020-013</t>
  </si>
  <si>
    <t>PROCUREMENT FOR THE EXPANSION OF EXISTING SOLID STATE DRIVE (SSD) IB NO. 2020-222</t>
  </si>
  <si>
    <t>Construction Extension of Street Lights</t>
  </si>
  <si>
    <t>Procurement of Medical Equipment for the official use of the Gov. Roque B. Ablan Sr. Memorial Hospital</t>
  </si>
  <si>
    <t>20GSDG0012: Furnishing and Delivery of 120 m.t. Hot Mix Asphalt and 5 Drums of SS-1 for use in the Repair and Maintenance of Concrete and Asphalt  Pavement along Noveleta-Naic-Tagaytay Road, K0063+4</t>
  </si>
  <si>
    <t>20GSDG0011: Furnishing and Delivery of various Materials for the Repainting of Pavement Markings along Tanza-Trece Martirez City-Indang Road, K0052+000 – K0055+000 with exceptions; K0057+200 – K0057+5</t>
  </si>
  <si>
    <t>Office Supplies and Devices/Other Supplies for use of PGOM Office Supplies 3rd Quarter Based on the  Consolidated Annual Procurement Plan for the year 2020</t>
  </si>
  <si>
    <t>Invitation to Bid for Local Access Road, Concreting of C.M. Recto, C. Cajumban St., C. Mila., and A. Caguin Sr. St. Barangay Ermita and Quinale</t>
  </si>
  <si>
    <t>Supply and delivery of Materials for Water Sampling and Analysis</t>
  </si>
  <si>
    <t>Various Infrastructure Projects</t>
  </si>
  <si>
    <t>One Job Supply of Materials and  Labor for Improvement of Covered Gym at REV-SAN LORENZO NHS (Construction of Stage Phase I), San Lorenzo withg the following with equipment and technical personnel req</t>
  </si>
  <si>
    <t>Construction of Purok Stage</t>
  </si>
  <si>
    <t>CONSTRUCTION OF FLOOD CONTROL -DARDARAT, SAN  JUAN, ILOCOS SUR</t>
  </si>
  <si>
    <t>Supply and delivery of Farm Tools Equipment</t>
  </si>
  <si>
    <t>ROAD OPENING AT PUROK 5 TO SITIO SICUPET, CATUNGI, BOLINAO, PANGASINAN</t>
  </si>
  <si>
    <t>20GSDG0014: Furnishing and Delivery of 120 m.t. Hot Asphalt Mix and 5 Drums of SS-1 for use in the Repair and Maintenance of Concrete and Asphalt Pavement along Tagaytay-Manila via Silang Road, K0054+</t>
  </si>
  <si>
    <t>20GSDG0013: Furnishing and Delivery of various Materials for the Repainting of Pavement Markings along Juanito R. Remulla Sr. Road (SO5892LZ), K0054+843 – K0057+159 with exceptions; Juanito R. Remulla</t>
  </si>
  <si>
    <t>AGR-20-0477-B Purchase of Office Equipment</t>
  </si>
  <si>
    <t>Invitation to Bid for Improvement of Drainage Canal at San Rafael St., Kapt Aguinaldo St., &amp; E. Cagayan St., Barangay 1 Ibaba Del Sur Paete, Laguna</t>
  </si>
  <si>
    <t>Procurement of 1 Unit Ambulance to provide immediate, reliable and efficient Emergency medical response to calls for urgent ambulance service</t>
  </si>
  <si>
    <t>Repainting/Improvement of Ynares Multi-Purpose Covered Court &amp; Const. of Comfort Room at Rainbow Village 1, Brgy. Kalayaan, Angono, Rizal</t>
  </si>
  <si>
    <t>Improvement (Provision of Tiles) of School Buildings at San Vicente Elem.School, Brgy. San Vicente, Angono, Rizal</t>
  </si>
  <si>
    <t>Concreting of Farm to Market Road at Brgy. Pong-oy</t>
  </si>
  <si>
    <t>Construction of 2-storey, 8-rooms Ynares School Building at Looc Elem. School, Brgy. Looc, Cardona, Rizal</t>
  </si>
  <si>
    <t>Supply and Delivery of Materials for the Establishment of Municipal Demonstration Farm at Poblacion, Patnanungan, Quezon</t>
  </si>
  <si>
    <t>20GPC0018 RE-INVITATION PROCUREMENT OF HEAVY EQUIPMENT &amp; TRUCK ( 1 PAYLOADER &amp; 1 DUMP TRUCK)</t>
  </si>
  <si>
    <t>Repair/Improvement of Ynares Multi-Purpose Covered Court &amp; Repair of Comfort Room at Brgy. San Jose, Brgy. Dalig &amp; Brgy. Mayamot, Antipolo City; a) Repair/Improvement of Ynares Multi-Purpose Covered C</t>
  </si>
  <si>
    <t>Construction of Perimeter Fence of Rural Health Unit at Southville 9 Phase 2, Brgy. Pinugay, Baras, Rizal</t>
  </si>
  <si>
    <t>Improvement / Concreting of Burbank Street (Area 10 &amp; 11) at Brookside Hills Subd., Brgy. San Isidro, Cainta, Rizal</t>
  </si>
  <si>
    <t>Replacement of CHB Wall &amp; Steel Matting Fence at Rotary Day Care Center Southville 9 Phase 1, Brgy. Pinugay, Baras, Rizal</t>
  </si>
  <si>
    <t>Construction/Provision of Wash Facilities (Water, Sanitation &amp; Hygiene) at Bangad Elem. School, Brgy. Bangad, Binangonan, Rizal</t>
  </si>
  <si>
    <t>Rehabilitation / Improvement of Road at Sitio Pinagkitran, Brgy. Boor, Cardona, Rizal</t>
  </si>
  <si>
    <t>Construction/Provision of Wash Facilities (Water, Sanitation &amp; Hygiene) at Casimiro A. Ynares Sr. Elem. School, Brgy. Mambog, Binangonan, Rizal</t>
  </si>
  <si>
    <t>Improvement of School building, Concreting of Ground &amp; Construction of Gate at Darangan Elem. School, Brgy. Darangan, Binangonan, Rizal</t>
  </si>
  <si>
    <t>Rehabilitation / Concreting of Bayanihan Street, Brgy. 3rd District, Jalajala, Rizal</t>
  </si>
  <si>
    <t>ISC-20-0546-B Proposed Toilet Improvement of Iloilo Sports Complex Magsaysay Village, La Paz, Iloilo City</t>
  </si>
  <si>
    <t>Improvement/Repair of Ynares Multi-Purpose Covered Court, Brgy. Pilapila, Binangonan, Rizal</t>
  </si>
  <si>
    <t>Construction of 2-storey, 6-rooms Ynares School Building at Abuyod Elem. School, Brgy. Dalig, Teresa, Rizal</t>
  </si>
  <si>
    <t>Construction of 4-storey, 8-rooms Ynares School Building at Rosario Ocampo Elem.School, Brgy. San Juan, Taytay, Rizal</t>
  </si>
  <si>
    <t>Improvement / Construction of Stone Masonry for Slope Protection and Concreting of Creek bed, Brgy. Malakaban, Binangonan, Rizal</t>
  </si>
  <si>
    <t>Asphalt Overlaying of A. Kalaw St., Sitio Sambungan, Brgy. Bagumbong, Jalajala, Rizal</t>
  </si>
  <si>
    <t>Repair of Various Ynares School Building at Tanay National High School, Brgy. Plaza Aldea, Tanay, Rizal</t>
  </si>
  <si>
    <t>Concreting / Construction of Drainage Canal of Road at Daang Tubo East, Brgy. Guitnang Bayan I, San Mateo, Rizal</t>
  </si>
  <si>
    <t>Construction of 2-storey, 10-rooms Ynares School Building Don Jose Ynares Sr. Mem. School, Brgy. San Carlos, Binangonan, Rizal</t>
  </si>
  <si>
    <t>Installation of Electrical Lighting System of Ynares Multi-Purpose Covered Courts at Brgy. Dalig, Teresa, Rizal; a) 	Installation of Electrical Lighting System of Ynares Multi-Purpose Covered Court at</t>
  </si>
  <si>
    <t>Concreting (portion) of Road at Pililla GK Village, Pililla, Rizal</t>
  </si>
  <si>
    <t>Construction of 2-Units Artesian Well, Brgy. Bagumbong, Jalajala, Rizal</t>
  </si>
  <si>
    <t>Asphalt Overlaying/Concrete Reblocking (portion) of Serafin Reyes St., Brgy. Punta, Jalajala, Rizal</t>
  </si>
  <si>
    <t>CONSTRUCTION OF CONCRETE PAVEMENT ANS ROAD SHOULDERING AT SITIO QUILATOT AND MAGAT SALAMAT ST.</t>
  </si>
  <si>
    <t>Const. of Ynares Stage at Phase 2 Eastwood Greenview Subd., Brgy. San Isidro, Rodriguez, Rizal</t>
  </si>
  <si>
    <t>Procurement of One (1) Lot Firewall Software Subscription Support</t>
  </si>
  <si>
    <t>Procurement of Full Rebranding Effort for Cebu City Tourism and other items.REBID</t>
  </si>
  <si>
    <t>Supply/Delivery of Materials for the Repair/Replacement Installation of LED Street Lights along the National Highway at  Brgy. Salvacion, San Miguel, Cavite East, Cavite West and Arado, Palo, Leyte</t>
  </si>
  <si>
    <t>Supply and Delivery of 21 Units 2.5HP Non-Inverter iCool Green with Remote and other various appliances.</t>
  </si>
  <si>
    <t>Procurement of Construction Materials for the Construction of Perimeter Niches, Brgy. Dajay, Surallah</t>
  </si>
  <si>
    <t>Procurement of One (1) Lot Back-up as a Service (BaAs) and Disaster Recovery as a Service (DrAs) Solution</t>
  </si>
  <si>
    <t>Transportation Rental for PPDO-2020-1023</t>
  </si>
  <si>
    <t>COO-20-0650-B PURCHASE OF PRINTING AND PUBLICATION MATERIALS</t>
  </si>
  <si>
    <t>Procurement of Construction Materials for the Construction of Perimeter Fence, New PNP Bldg.</t>
  </si>
  <si>
    <t>Invitation to Bid for the Contract for Supply and Delivery ot Two (2) Units Brand New Office Vehicles-Rebid</t>
  </si>
  <si>
    <t>Supply and Delivery of 1 Lot 5 Units Floor Standing Type 3.0 tons Inverter Air Conditioner and 10 units window type aircon.</t>
  </si>
  <si>
    <t>Supply, Installation and Testing of Wall Mounted  Air Conditioning Units (Inverter)</t>
  </si>
  <si>
    <t>Rebidding of Supplies for Water Purification and Testing,  IB No. SB-2020-006</t>
  </si>
  <si>
    <t>Pakyaw Labor for the Proposed Replacement of Old and Broken P.E Pipe Water Distribution Line at Purok 4 and 5, Barangay Ginatilan, Kidapawan City</t>
  </si>
  <si>
    <t>CONTRACT ID: 20GLF0022 - PROCUREMENT OF VARIOUS SPARE PARTS OF VARIOUS MAINT. EQUIPMENT FOR THE REPAIR OF  H1-7298   KIA BONGO W.O.#R11-BB-CM-07-021, H1-7299  KIA BONGO  W.O.# R11-BB-19-CM-07-018, H1-</t>
  </si>
  <si>
    <t>Package 002- Proc. of Drugs, Medicine, Medical,Dental &amp; Laboratory Supplies &amp; MicroNutrient Supplementation (Reposting)</t>
  </si>
  <si>
    <t>Rebidding of TB Drugs,  IB No. SB-2020-009</t>
  </si>
  <si>
    <t>Construction of Drainage Canal Purok 1, Barangay Parian, City of San Fernando</t>
  </si>
  <si>
    <t>CONTRACT ID : 20GLF0025 - PROCUREMENT OF VARIOUS SPARE PARTS FOR USE IN THE REPAIR OF H1-7298, H1-7299, H1-7300, H1-7301 AND F17-73 WITH PR NO. 2020-03-012 DATED 3/06/2020.</t>
  </si>
  <si>
    <t>10607010-235-2020</t>
  </si>
  <si>
    <t>Procurement of Hardware Materials for Improvement of Bridges along Purok 9 to Purok 6 Mangayon</t>
  </si>
  <si>
    <t>Procurement of Various Office Supplies and Devices</t>
  </si>
  <si>
    <t>20CB-GSC-303	REPAIR OF MOTOR VEHICLE  (RE-BID)</t>
  </si>
  <si>
    <t>Purchase and Delivery of Drugs and Medical Supplies for 2nd Quarter 2020</t>
  </si>
  <si>
    <t>Construction of Side Walk with Benches and Streetlights in Enverga Blvd., Brgy. Sadsaran (Gat-Uban to Regidor St.) Mauban, Quezon</t>
  </si>
  <si>
    <t>20CB-GSC-302	PURCHASE OF COMMUNICATION EQUIPMENT (RE-BID)</t>
  </si>
  <si>
    <t>Supply and delivery of Laboratory Supplies for RHU Laboratory</t>
  </si>
  <si>
    <t>Supply and delivery of Plumbing Materials for the Proposed Replacement of Old and Broken P.E Pipe Water Distribution Line at Purok 4 and 5, Barangay Ginatilan, Kidapawan City</t>
  </si>
  <si>
    <t>20GGM0010 - Procurement of various construction materials for use in the Repair and Maintenance of National Roads and Bridges within the district, DPWH, Negros Occidental 3rd District Engineering Offi</t>
  </si>
  <si>
    <t>10605020-236-2020</t>
  </si>
  <si>
    <t>Construction of Masonry Wall in Enverga Blvd., Brgy. Sadsaran (Near Gat-Uban Park), Mauban, Quezon</t>
  </si>
  <si>
    <t>Road Network at Brgy. Luna, Ormoc City</t>
  </si>
  <si>
    <t>5020305000-238-2020</t>
  </si>
  <si>
    <t>Source Development in Ressettlement Areas (Drilling of Water Well) at Brgy. Cagbuhangin, Ormoc City</t>
  </si>
  <si>
    <t>FURNISHING OF LABOR AND MATERIALS FOR THE INSTALLATION OF DISTRIBUTION LINE AT ZONE 1 BARAS, CANAMAN, CAMARINES SUR (INFRA 2020-009)</t>
  </si>
  <si>
    <t>Rebidding of Laboratory Supplies for STI, HIV and AIDS Program,  IB No. SB-2020-012</t>
  </si>
  <si>
    <t>5020301000-247-2020</t>
  </si>
  <si>
    <t>5020305000-240-2020</t>
  </si>
  <si>
    <t>5020399000-239-2020</t>
  </si>
  <si>
    <t>5029905003-244-2020</t>
  </si>
  <si>
    <t>PURCHASE OF MEDICINES, 2ND &amp; 3RD QUARTER 2020</t>
  </si>
  <si>
    <t>5020399000-245-2020</t>
  </si>
  <si>
    <t>Repair &amp; Maintenance: Infrastructure Assets - Road Network along Milagro-Cabintan Brgy. Road At Brgy. Cabintan, Ormoc City</t>
  </si>
  <si>
    <t>10604010-243-2020</t>
  </si>
  <si>
    <t>5020201000-246-2020</t>
  </si>
  <si>
    <t>5020399000-241-2020</t>
  </si>
  <si>
    <t>5020301000-237-2020</t>
  </si>
  <si>
    <t>5020301000-248-2020</t>
  </si>
  <si>
    <t>10604010-242-2020</t>
  </si>
  <si>
    <t>Procurement of Various Office Supplies-A</t>
  </si>
  <si>
    <t>Aviation Oil and Lubricants</t>
  </si>
  <si>
    <t>IMPROVEMENT OF SENIOR CITIZEN BUILDING AT BARANGAY SANTIAGO, MALVAR BATANGAS</t>
  </si>
  <si>
    <t>Purchase, Distribution and Construction of Sanitary Toilets (Procuring Entity: BLGU-Morocborocan)</t>
  </si>
  <si>
    <t>CONSTRUCTION OF DRAINAGE SYSTEM AT BARANGAY SAN PIOQUINTO, MALVAR BATANGAS</t>
  </si>
  <si>
    <t>G-2020-278 Supply and Delivery of Hearing Aid, Office of the City Mayor</t>
  </si>
  <si>
    <t>PROCUREMENT OF VARIOUS OFFICE SUPPLIES &amp; CONSUMABLES FOR 2020 SECOND QUARTER</t>
  </si>
  <si>
    <t>IMPROVEMENT OF MULTI-PURPOSE GYMNASIUM AT BARANGAY SAN JUAN, MALVAR BATANGAS</t>
  </si>
  <si>
    <t>CONSTRUCTION/IMPROVEMENT OF MULTI-PURPOSE BUILDING AT BARANGAY BAGONG POOK, MALVAR BATANGAS</t>
  </si>
  <si>
    <t>IMPROVEMENT OF MULTI-PURPOSE BUILDING AT BARANGAY SAN JUAN, MALVAR, BATANGAS</t>
  </si>
  <si>
    <t>G-2020-209 Supply and Installation of CCTV, Various Schools</t>
  </si>
  <si>
    <t>G-2020-277 Supply and Delivery of Nebulizer, Office of the City Mayor</t>
  </si>
  <si>
    <t>G-2020-279 Supply and Delivery of Monoblock Chairs, Office of the City Mayor</t>
  </si>
  <si>
    <t>PURCHASE OF CONSTRUCTION SUPPLIES AND MATERIALS</t>
  </si>
  <si>
    <t>G-2020-284 Supply and Delivery of Agricultural Inputs: Broiler Production, Gender and Development</t>
  </si>
  <si>
    <t>IMPROVEMENT OF MULTI-PURPOSE GYMNASIUM AT BARANGAY SAN GREGORIO, MALVAR BATANGAS</t>
  </si>
  <si>
    <t>IMPROVEMENT OF MULTI-PURPOSE BUILDING AT BARANGAY SAN ISIDRO, MALVAR, BATANGAS</t>
  </si>
  <si>
    <t>G-2020-200 Supply and Installation of Dry Container Van with Pedestal, Office of the City Mayor</t>
  </si>
  <si>
    <t>Concreting of Pathwalk at Core Shelter Project(Pabahay)</t>
  </si>
  <si>
    <t>CONSTRUCTION OF CANAL AT BARANGAY SANTIAGO, MALVAR, BATANGAS</t>
  </si>
  <si>
    <t>Supply/Installation of Isolation Facility Accessories</t>
  </si>
  <si>
    <t>G-2020-324 Supply and Delivery of Rabies Vaccine, City Health Services Department</t>
  </si>
  <si>
    <t>I-2020-010 Construction of Retaining Wall, Barangay Barandal (Calamba Hills)</t>
  </si>
  <si>
    <t>Improvement of Barangay Hall, Palanay</t>
  </si>
  <si>
    <t>I-2020-008 Construction of Two Storey Canteen Bldg. with Roof Deck (Additional), Calamba City Hall Complex, Barangay Real</t>
  </si>
  <si>
    <t>INSTALLATION OF SOLAR STREET LIGHT</t>
  </si>
  <si>
    <t>Various Spareparts</t>
  </si>
  <si>
    <t>PROCUREMENT OF MEDICINE</t>
  </si>
  <si>
    <t>GSO-20-0498-NP(SV) PURCHASE OF ELECTRICAL SUPPLIES</t>
  </si>
  <si>
    <t>Construction of Drainage Canal - East</t>
  </si>
  <si>
    <t>Rehabilitation of Day Care Center</t>
  </si>
  <si>
    <t>I-2020-013 Construction of Drainage Facility, E. Barretto Sr. ES, Barangay Pansol</t>
  </si>
  <si>
    <t>Supply and Delivery of Furniture and Fixture for Bacnotan Farmer’s Agri-Tourism Center, Baroro, Bacnotan, La Union</t>
  </si>
  <si>
    <t>Rehabilitation &amp; Construction of Drainage Canal - West</t>
  </si>
  <si>
    <t>Installation of Jetmatic Pump (3sets)</t>
  </si>
  <si>
    <t>Purchase of various materials for Improvement of Drainage Canal, Brgy. South Poblacion</t>
  </si>
  <si>
    <t>20HI0093 - Construction/Rehabilitation of Water Supply/Septage and Sewerage/Rainwater Collectors – Rain Water Collectors in Public Facilities</t>
  </si>
  <si>
    <t>Purchase of Aircon, Brgy. South Poblacion.</t>
  </si>
  <si>
    <t>Aircon w/complete Accessories</t>
  </si>
  <si>
    <t>20HI0073 (re-ad) - Construction of Multi-Purpose Building, Brgy. Poblacion, Borbon, Cebu</t>
  </si>
  <si>
    <t>20HI0092 - Concreting of Brgy. Easter Poblacion to Brgy. Altavista FMR, Poro, Cebu</t>
  </si>
  <si>
    <t>ABATEMENT FOR AGUS 6 &amp; 7 HEPC</t>
  </si>
  <si>
    <t>Construction Projects-Concreting of Access Road (Rizal,Lopez Jaena)-MEO,Lopez Jaena</t>
  </si>
  <si>
    <t>Supply and Delivery of Various Information and Communication Technology Equipment, Bacnotan, La Union</t>
  </si>
  <si>
    <t>Supply and Delivery of Genuine Consumables for Javelin J800i Card Printer</t>
  </si>
  <si>
    <t>Supply and Delivery of Construction Materials for Grouted Riprap @ Masungil, Pinayagan Sur, Tubigon, Bohol (Re-Bid)</t>
  </si>
  <si>
    <t>Upgrading of Paulba-Maburi Road (Phase III)</t>
  </si>
  <si>
    <t>5029905003-249-2020</t>
  </si>
  <si>
    <t>FRT-19-1689-B(rebid) - PURCHASE OF DEFIBRILLATOR</t>
  </si>
  <si>
    <t>GSO-20-0576-NP(SV) PURCHASE OF PLUMBING SUPPLIES</t>
  </si>
  <si>
    <t>Construction and Rehabilitation of Drainage System</t>
  </si>
  <si>
    <t>ENVIRONMENTAL SIGNAGES, MATERIALS AND LABOR</t>
  </si>
  <si>
    <t>Supply and Delivery of various Seeds intended for Vegetable Seeds Distribution of the Mun. Agriculture Office</t>
  </si>
  <si>
    <t>SUPPLY AND DELIVERY OF DRUGS AND MEDICINES, BACNOTAN, LA UNION</t>
  </si>
  <si>
    <t>DDH-19-2097-B - Purchase of Medical Equipment(Serological Centrifuge)</t>
  </si>
  <si>
    <t>SITE DEVELOPMENT/ CONSTRUCTION/ EXTENSION OF BARANGAY ROAD ALONG SHORE PROTECTION, BRGY. POBLACION 1, ZUMARRAGA, SAMAR</t>
  </si>
  <si>
    <t>Diesel Fuel</t>
  </si>
  <si>
    <t>Invitation to Bid For Construction of Road Shouldering</t>
  </si>
  <si>
    <t>SUPPLY OF MATERIALS FOR THE REPAIR &amp; MAINTENANCE OF MOTOR VEHICLES REPAIR &amp; INSTALLATION &amp; MAINTENANCE AND SUPPLY OF MATERIALS FOR SJA 587</t>
  </si>
  <si>
    <t>Equipment for Banana Tissue Culture Laboratory</t>
  </si>
  <si>
    <t>Agricultural Supplies Expenses (Farm Materials)</t>
  </si>
  <si>
    <t>Proposed Renovation of Barangay Health Center</t>
  </si>
  <si>
    <t>DUPLICATOR MACHINE-JCH-20-0225-B</t>
  </si>
  <si>
    <t>5020201000-251-2020</t>
  </si>
  <si>
    <t xml:space="preserve">20PL0112 - Package 2: A.) Repair/Maintenance of Kintoy Kasabaan Flood Control, Bulanao, Tabuk City, Kalinga, B.) Repair/Maintenance of Wakki Creek Flood Control, Sagpat, Bulanao, Tabuk City, Kalinga, </t>
  </si>
  <si>
    <t>Rehabilitation of Water Piping ( Fittings)</t>
  </si>
  <si>
    <t>20PL0113 - Concreting of Brgy. Sandara FMR, Brgy. Sandara, Rizal, Kalinga</t>
  </si>
  <si>
    <t>20LC0155 - Tanglaw Bridge 2 (B00187MN) along Tagum －Panabo Circumferential Road</t>
  </si>
  <si>
    <t>ROAD IMPROVEMENT AT BARANGAY HAGNAYA, CARMEN, CEBU</t>
  </si>
  <si>
    <t>Concreting of Rafael Lacson Street</t>
  </si>
  <si>
    <t>20LC0154 - Tanglaw Bridge 2 (B00187MN) along Tagum －Panabo Circumferential Road</t>
  </si>
  <si>
    <t>5020399000-252-2020</t>
  </si>
  <si>
    <t>cLUSTER bC6-2020</t>
  </si>
  <si>
    <t>Improvement of Barangay Multi-Purpose Hall (Extension of Health Center)</t>
  </si>
  <si>
    <t>Construction of Seventy (70) Spans-Concrete Fence</t>
  </si>
  <si>
    <t>5020399000-250-2020</t>
  </si>
  <si>
    <t>Agricultural Supplies Expenses (Vegetable Seeds)</t>
  </si>
  <si>
    <t>5020305000-253-2020</t>
  </si>
  <si>
    <t>Re Bidding - Rehabilitation of Apolinario dela Cruz Waterworks System Improvement of Main Water Source and Intake Box, Installation of additional pipelines and fittings, Replacement of dilapidated pip</t>
  </si>
  <si>
    <t>LOT 1 Supply and Delivery of Materials for the Sustainment of Unit/Office Daily Operations of BRP TARLAC (LD601) and BRP DAVAO DEL SUR (LD602) LOT 2 Supply and Delivery of Materials for the Sustainmen</t>
  </si>
  <si>
    <t>CONSTRUCTION OF MULTI-PURPOSE HALL (PHASE 1) BRGY. SAN ISIDRO, ZUMARRAGA, SAMAR</t>
  </si>
  <si>
    <t>20PL0114 - Concreting of Brgy. Ballayangon FMR, Brgy. Ballayangon, Pinukpuk, Kalinga</t>
  </si>
  <si>
    <t>5021306001-254-2020</t>
  </si>
  <si>
    <t>Pasalubong Center</t>
  </si>
  <si>
    <t>CONSTRUCTION OF BARANGAY HEALTH STATION AT CAURASAN, CARMEN, CEBU</t>
  </si>
  <si>
    <t>Construction of Sanitary Toilet (Plastic Purifying Septic Tank)</t>
  </si>
  <si>
    <t>20IB0142 - Construction of Shelves Commission on Audit Office ESDEO-DPWH Brgy. Alang-Alang, Borongan City, Eastern Samar</t>
  </si>
  <si>
    <t>5021305002-258-2020</t>
  </si>
  <si>
    <t>5021305002-256-2020</t>
  </si>
  <si>
    <t>Construction of Barangay Concrete Roads at Barangay Palanas</t>
  </si>
  <si>
    <t>PURCHASE OF CONSTRUCTION MATERIALS FOR INDIVIDUAL LATRINES, ASSISTANCE TO BARANGAY PROJECTS AND MENRO OFFICE, LGU ZUMARRAGA, SAMAR</t>
  </si>
  <si>
    <t>PEO-20-0665 B- Procurement of Batteries for use in the replacement of Defective Batteries of various service vehicles (PU-20, 21, 22, 23, 24, 25) assigned at PEP/Motorpool, Sta. Barbara, Iloilo</t>
  </si>
  <si>
    <t>5021306001-255-2020</t>
  </si>
  <si>
    <t>Other Maintenance and Other Operating Expenses (MTOCS)</t>
  </si>
  <si>
    <t>IMPROVEMENT OF MULTI-PURPOSE BUILDING (LGU PERIMETER FENCE AND GATE) BRGY. POBLACION 1, ZUMARRAGA, SAMAR</t>
  </si>
  <si>
    <t>Purchase and Delivery of Office Equipment</t>
  </si>
  <si>
    <t>PURCHASE OF VAW DESK ROOM EQUIPMENT</t>
  </si>
  <si>
    <t>5021305002-257-2020</t>
  </si>
  <si>
    <t>5021305002-260-2020</t>
  </si>
  <si>
    <t>PURCHASE OF ORGANIC BASED DEODORIZER FOR THE CONTROLLED DUMPSITE OF THE CITY OF DASMARIÑAS</t>
  </si>
  <si>
    <t>Road Opening &amp; Gravelling of Pananacpan Road</t>
  </si>
  <si>
    <t>Supply/Delivery of Drugs and Medicines</t>
  </si>
  <si>
    <t>ROAD IMPROVEMENT AT CANTIPAY, CARMEN, CEBU</t>
  </si>
  <si>
    <t>5021305002-259-2020</t>
  </si>
  <si>
    <t>Procurement of Janitorial Supplies - 2020-04-0046</t>
  </si>
  <si>
    <t>5021305002-263-2020</t>
  </si>
  <si>
    <t>Construction/ Rehabilitation of Kitchen and Improvement of Main Day Care Center</t>
  </si>
  <si>
    <t>Procurement of Heavy Equipment</t>
  </si>
  <si>
    <t>5021305002-262-2020</t>
  </si>
  <si>
    <t>Completion of multi Purpose Building / Evacuation Center at Barangay Candabong</t>
  </si>
  <si>
    <t>Purchase and Delivery of Information and Communication Technology Equipment</t>
  </si>
  <si>
    <t>5021305003-264-2020</t>
  </si>
  <si>
    <t>Cont. Ref. No. 058-20: Rehabilitation of Flood Control at L1300 at Poblacion, Itogon, Benguet</t>
  </si>
  <si>
    <t>5021305002-261-2020</t>
  </si>
  <si>
    <t>5021305003-266-2020</t>
  </si>
  <si>
    <t>Supply and Delivery of Dental Supplies and Materials for use of 1301st PNDD</t>
  </si>
  <si>
    <t>5021305003-265-2020</t>
  </si>
  <si>
    <t>Purchase of Materials for the Construction of Health Center of Brgy. Esperanza</t>
  </si>
  <si>
    <t>Procurement of Hardware &amp; Electrical Materials</t>
  </si>
  <si>
    <t>5021305003-267-2020</t>
  </si>
  <si>
    <t>Job Order: 1 unit floor mounted aircon for City Council (Conference Room) use.</t>
  </si>
  <si>
    <t>HAHLUL-CAMILING COMMUNAL IRRIGATION SYSTEM IMPROVEMENT</t>
  </si>
  <si>
    <t>5021305003-268-2020</t>
  </si>
  <si>
    <t>5021305003-269-2020</t>
  </si>
  <si>
    <t>Construction of Multi-Pupose Pavement at Brgy. Abuanan Relocation Site, Bago City</t>
  </si>
  <si>
    <t>For Deployment of bouys as Permanent Markers of Marine Protected Area (MPA) for Irrawaddy Dolphins, Bago City</t>
  </si>
  <si>
    <t>Invitation to Bid for PROCUREMENT OF FISHING BOATS  (BANGKA PARA SA MANGINGISDA)</t>
  </si>
  <si>
    <t>SUPPLY AND DELIVERY OF ANTI-RABIES VACCINES (P.R. NO. 300-20-02-0073)</t>
  </si>
  <si>
    <t>ITDI-200335 - SUPPLY AND DELIVERY OF VARIOUS OFFICE SUPPLIES</t>
  </si>
  <si>
    <t>5021305003-270-2020</t>
  </si>
  <si>
    <t>ITDI-200316 - SUPPLY OF LABOR AND MATERIALS FOR THE CALIBRATION OF GRADE K RECTANGULAR GAUGE BLOCKS</t>
  </si>
  <si>
    <t>Establishment of Three Units Isolation Facilities in the Brgy. in Ralation to COVID-19 Situation</t>
  </si>
  <si>
    <t>COMPUTERIZATION OF INTEGRATED FINANCIAL MANAGEMENT INFORMATION AND OPERATIONS LINKED WITH REVENUE SYSTEM, BACNOTAN, LA UNION</t>
  </si>
  <si>
    <t>ITB - Supply and Delivery of Foodstuff for July-December 2020</t>
  </si>
  <si>
    <t>Supplies of Materials for Training Requirements of Sailors Basic Course CY 2020</t>
  </si>
  <si>
    <t>ITDI-200352 - SUPPLY AND DELIVERY OF COPPER STANDARD</t>
  </si>
  <si>
    <t>For use of different vehicles for the months of July 2020 and suceeding month(s)</t>
  </si>
  <si>
    <t>PURCHASE OF ONE (1) UNIT MOBILE CORN MILL FOR MUNICIPAL AGRICULTURE’S OFFICE, AITC, POBLACION, IMPASUGONG, BUKIDNON</t>
  </si>
  <si>
    <t>PROPOSED CONSTRUCTION OF FABRICATED MOVABLE BENCHES, BASKETBALL POST, BOARD AND RING AT BRGY. III-C, SAN PABLO CITY</t>
  </si>
  <si>
    <t>PCADG-5020399000-1057-2020 Other Supplies &amp; Materials Expenses (DPCR)</t>
  </si>
  <si>
    <t>Cont. Ref. No. 059-20: Completion of Flood Control at Binaldian Creek (Near Cuyahon Res.) at Poblacion, Itogon, Benguet</t>
  </si>
  <si>
    <t>CONFIRMATORY DRILLING AT EL SALVADOR CITY RESETTLEMENT PHASE I, LINABO, COGON, EL SALVADOR CITY</t>
  </si>
  <si>
    <t>ITDI-200353 - SUPPLY OF LABOR AND MATERIALS FOR THE CLEANING AND DIAGNOSTICS OF ITDI AIRCONDITIONING UNITS</t>
  </si>
  <si>
    <t>Request for the maintenance of Bago City College Scholastech System, Bago City</t>
  </si>
  <si>
    <t>5021305003-271-2020</t>
  </si>
  <si>
    <t>5021305002-272-2020</t>
  </si>
  <si>
    <t>REHABILITATION OF MULTI-PURPOSE HALL – KIUDTO (PHASE 2), SITIO KIUDTO, HAGPA, IMPASUGONG, BUKIDNON</t>
  </si>
  <si>
    <t>Cont. Ref. No. 060-20: Rehabilitation of Protection Wall and Canal below Barangay Hall at Virac, Itogon, Benguet</t>
  </si>
  <si>
    <t>BATOG-MATALANAK COMMUNAL IRRIGATION SYSTEM IMPROVEMENT</t>
  </si>
  <si>
    <t>ITDI-200365 - SUPPLY AND DELIVERY OF ETHOXYQUIN HYDROCHLORIDE</t>
  </si>
  <si>
    <t>Procurement of Vitamins and Hygiene Items for assistance to BPAs and other similar facilities</t>
  </si>
  <si>
    <t>ITDI-200351 -SUPPLY AND DELIVERY OF COPPER SULPHATE</t>
  </si>
  <si>
    <t>ITDI-200350 - SUPPLY AND DELIVERY OF NITRIC ACID</t>
  </si>
  <si>
    <t>For use at Bago City Hospital, Bago City (Office Supplies)</t>
  </si>
  <si>
    <t>Construction of Bleacher @ Covered Court</t>
  </si>
  <si>
    <t>Purchase and Delivery of Furnitures and Fixtures</t>
  </si>
  <si>
    <t>REHABILITATION OF HANGING BRIDGE AT AMOROS, EL SALVADOR CITY</t>
  </si>
  <si>
    <t>ITDI-200354 - SUPPLY AND DELIVERY OF VARIOUS FOOD CHEMICAL ANALYSIS</t>
  </si>
  <si>
    <t>COMPLETION OF BARANGAY CLINIC (PABAHAY)-PHASE 1</t>
  </si>
  <si>
    <t>ITDI-200318 - DIAGNOSTIC LABORATORY SERVICES FOR SMALL LABORATORY ANIMALS</t>
  </si>
  <si>
    <t>Invitation to Bid Completion of 1-Unit 2-CL Elem. School Building</t>
  </si>
  <si>
    <t>ITDI-200347 - SUPPLY OF LABOR AND MATERIALS FOR THE PRINTING OF ITDI TECHNO-BULLETIN</t>
  </si>
  <si>
    <t>June Procurement</t>
  </si>
  <si>
    <t>Improvement of Alvaniz Potable Water Supply System</t>
  </si>
  <si>
    <t>ROAD OPENING AT SITIO KALAG-ITAN, PANGHAGBAN, BUENAVISTA, BOHOL</t>
  </si>
  <si>
    <t>GEOTECHNICAL SUB SURFACE EXPLORATION: PACKAGE No. 2020-01, MLANG AND TULUNAN, NORTH COTABATO</t>
  </si>
  <si>
    <t>Construction of Sto. Domingo Fire Station, Nueva Ecija</t>
  </si>
  <si>
    <t>PCADG-1058-2020	Renovation of FJGADD Office, DPCR</t>
  </si>
  <si>
    <t>REHABILITATION OF MULTI-PURPOSE BRGY. HALL PHASE 2 (BARANGAY CALAPUGAN, NATIVIDAD, PANGASINAN</t>
  </si>
  <si>
    <t>PCADG-5020399000-1059-2020 Other Supplies &amp; Materials Expenses (DPCR)</t>
  </si>
  <si>
    <t>Purchase of One (1) Unit Mini Dump Truck</t>
  </si>
  <si>
    <t>PURCHASE OF FUEL, OIL AND LUBRICANTS</t>
  </si>
  <si>
    <t>PURCHASE OF ONE (1) UNIT MOBILE RICE MILL FOR MUNICIPAL AGRICULTURE’S OFFICE, AITC, POBLACION, IMPASUGONG, BUKIDNON</t>
  </si>
  <si>
    <t>Construction of Prks. Lopues Michelle and Prk. Lacson Water Supply System, Level III, Brgy Dulao, Bago City  (RE-BID)</t>
  </si>
  <si>
    <t>PROPOSED MUNICIPAL BUILDING FRONT YARD LANDSCAPING (PHASE 1) &amp; REHABILITATION OF STREET LIGTH</t>
  </si>
  <si>
    <t>Concreting of Sihi - Daat FMR</t>
  </si>
  <si>
    <t>ITDI-200345 - SUPPLY AND DELIVERY OF FILING CABINET AND 3 LAYER LATERAL CABINET</t>
  </si>
  <si>
    <t>20PK0070 - Repair/Maintenance of DPWH Building, Quality Assurance Section Office Building, P-6, Bulanao, Tabuk City, Kalinga</t>
  </si>
  <si>
    <t>Cont. Ref. No. 062-20:Restoration of Riprap along Kumashang Municipal Road (Near M. Sebiano Res.)  at Tuding, Itogon, Benguet</t>
  </si>
  <si>
    <t>ITDI-200344 - SUPPLY OF LABOR AND MATERIALS FOR THE REPAIR AND CALIBRATION OF JENWAY FLAME PHOTOMETER</t>
  </si>
  <si>
    <t>Construction of Humayan Water Supply System, Level III, Brgy Tabunan, Bago City (RE-BID)</t>
  </si>
  <si>
    <t>Procurement for the Supply, Delivery and Installation of Window Blinds and Office Furniture and Fixtures for Improvement of Government Building</t>
  </si>
  <si>
    <t>RELOCATION OF THREE LOCAL HEROES MONUMENT</t>
  </si>
  <si>
    <t>Procurement of One (1) unit Service Vehicle  Pick-up</t>
  </si>
  <si>
    <t>1 set Diesel Tractor L5018  for Brgy. Equipment Project @ San Agustin, Talibon, Bohol</t>
  </si>
  <si>
    <t>Concreting of Malbog-Haynon FMR</t>
  </si>
  <si>
    <t>Procurement of Infrastructure - Rehabilitation of Barangay Road from Diversion Road to Sitio Paopagon</t>
  </si>
  <si>
    <t>20DC0207 - LOCAL PROGRAM, Local Infrastructure Program, Buildings  			and Other Structures, Multipurpose/Facilities,  			Construction (Completion)/Repair/Rehab/Improvement of Multi-Purpose Building, B</t>
  </si>
  <si>
    <t>PCADG-1060-2020 Procurement of Audio Equipment for PNP Media Center (Last Phase) (PIO)</t>
  </si>
  <si>
    <t>Purchase of Supplies</t>
  </si>
  <si>
    <t>Cluster N14-2020</t>
  </si>
  <si>
    <t>Procurement of office supplies of INREMP Kalinga for the First Semester CY-2020</t>
  </si>
  <si>
    <t>Procurement of One (1) unit Brand New MPV</t>
  </si>
  <si>
    <t>Construction of Prk. Bantolino Water Supply System, Brgy Ma-ao, Bago City (RE-BID)</t>
  </si>
  <si>
    <t>IMPROVEMENT OF THE GUANG-GUANG MANGROVE PARK</t>
  </si>
  <si>
    <t>Construction of Prk. Paghidaet and Prk. Mabuhay Water Supply System, Level III, Brgu Sagasa, Bago City (RE-BID)</t>
  </si>
  <si>
    <t>ITDI-200341 - SUPPLY AND DELIVERY OF 3 LAYER GLASS SLIDING DOOR CABINET, SLIDING DOOR CABINET, AND LABORATORY CHAIR</t>
  </si>
  <si>
    <t>SUPPLY AND DELIVERY OF MATERIALS AND TOOLS FOR USE IN THE REPAIR/MAINTENANCE OF VARIOUS NATIONAL ROADS AND BRIDGES</t>
  </si>
  <si>
    <t>For Construction of Prk. Masinadyahon Water Supply System, Brgy. Atipuluan, Bago City (RE-BID)</t>
  </si>
  <si>
    <t>20KL007 (Goods)</t>
  </si>
  <si>
    <t>Purchase of One (1) Unit Wheeled Backhoe</t>
  </si>
  <si>
    <t>Construction Of Prk. Hibong Water Supply System, Level III, Brgy. Don Jorge Araneta, Bago City (RE-BID)</t>
  </si>
  <si>
    <t>Construction of Limay Fire Station, Bataan</t>
  </si>
  <si>
    <t>PR-2020-06-01</t>
  </si>
  <si>
    <t>Supply and Delivery of 1000 Amperes Circuit Breaker for MCC2</t>
  </si>
  <si>
    <t>Procurement of Infrastructure - Installation of Solar LED Street Light at Barangay San Isidro</t>
  </si>
  <si>
    <t>Improvement of Day Care Center</t>
  </si>
  <si>
    <t>Purchase of 1 Unit Laptop for Assessor's Office</t>
  </si>
  <si>
    <t>5029905003-203-2020</t>
  </si>
  <si>
    <t>30 cylinders Gass Chlorine, 99% Purity</t>
  </si>
  <si>
    <t>Procurement of Infrastructure - Rehabilitation of Barangay Road from Proper San Victor to Sitio Heni</t>
  </si>
  <si>
    <t>20GII0009 Repair and Maintenance of Defective Roadways under D.O. 41 s2016 along Catarman-Laoang Road and Rawis-Catubig Road, Northern Samar Second District</t>
  </si>
  <si>
    <t>Concreting of Barangay Agpangi - Barangay Bagacay, Farm to Market Road</t>
  </si>
  <si>
    <t>REHABILITATION OF MULTI-PURPOSE HALL (OLD MUNICIPAL BUILDING)</t>
  </si>
  <si>
    <t>Construction of Orani Fire Station, Bataan</t>
  </si>
  <si>
    <t>Procurement of Infrastructure - Installation of Solar LED Street Light at Barangay Salingcomot</t>
  </si>
  <si>
    <t>Construction of 1 unit Health Station at Barangay Cambayobo, Calatrava Negros Occidental</t>
  </si>
  <si>
    <t>For Construction/Extension of Prks. Gabi, Saging, Kawayan and Tuburan Water Supply System, Level III, Brgy. Malingin, Bago City (RE-BID)</t>
  </si>
  <si>
    <t>For  Widening of Road &amp; Construction of Drainage System along Sarmiento Street (Sarmiento St. Extension), Brgy. Poblacion, Bago City (RE-BID)</t>
  </si>
  <si>
    <t>20CB-GSC-304	PURCHASE OF FUEL &amp; LUBRICANTS (RE-BID)</t>
  </si>
  <si>
    <t>IMPROVEMENT OF BASKETBALL COURT (PHASE II) AT PARADAHAN II</t>
  </si>
  <si>
    <t>SUPPLY AND DELIVERY</t>
  </si>
  <si>
    <t>R&amp;DR-20-1216(R1): Procurement of Prepaid Cellphone Cards to be used for encoding of RCM Interview, ME &amp; L, Farming Monitor, Research Trial Implementation and Communication purpose for RCM Activities..</t>
  </si>
  <si>
    <t>For use of the City Agriculturist Office Palay Seed Subsidy Project (RE-BID)</t>
  </si>
  <si>
    <t>Procurement of Infrastructure - Rehabilitation of Barangay Road from Sitio Cabanbanan, Barangay Dapnan to Sitio Lapaz &amp; Sitio Calinaban, Barangay San Isidro</t>
  </si>
  <si>
    <t>Supply and Delivery of ICT Equipment and Furniture &amp; Fixtures to be used in Different Offices, Naujan, Oriental Mindoro</t>
  </si>
  <si>
    <t>For use at Bago City Hospital, Bago City (Laboratory Supplies) (RE-BID)</t>
  </si>
  <si>
    <t>20CB-GSC-305	REPAIR OF MOTOR VEHICLE (RE-BID)</t>
  </si>
  <si>
    <t>For use of the City Agriculture Office, Bago City (RE-BID)</t>
  </si>
  <si>
    <t>Road Opening of Brgy. Maitom – Maticdum Farm to Market Road (Tandag City, Surigao del Sur   ).</t>
  </si>
  <si>
    <t>CONSTRUCTION OF STREETLIGHTS ALONG TANZA-TRECE ROAD</t>
  </si>
  <si>
    <t>Supply and Delivery of Fuel and Lubricants</t>
  </si>
  <si>
    <t>For Bago City PNP use, Bago City (RE-BID)</t>
  </si>
  <si>
    <t>Supply and delivery of labor and materials for Various Security Uniforms and Shirts</t>
  </si>
  <si>
    <t>Procurement of Infrastructure - Road Opening at Ikog Buaya, Sitio Nonocan</t>
  </si>
  <si>
    <t>FURNISHING OF LABOR AND MATERIALS FOR THE CLEANING/CLEARING OF WATERLILIES, LOGS, WASTES AND OTHER DEBRIS AT AGUS 7  HEP DAM, SPILLWAY &amp; INTAKE</t>
  </si>
  <si>
    <t>IMPROVEMENT &amp; REPAIR OF CANAL LINING AT DAANG AMAYA I</t>
  </si>
  <si>
    <t>Construction of 1 unit Day Care Center at Barangay Cambayobo, Calatrava Negros Occidental</t>
  </si>
  <si>
    <t>ITDI-200339 - SUPPLY OF LABOR AND MATERIALS FOR THE COMPREHENSIVE PREVENTIVE MAINTENANCE SERVICE FOR ADMATEL AIR HANDLING UNIT</t>
  </si>
  <si>
    <t>Construction of Bantayan Park Water Supply System, Brgy Poblacion, Bago City (RE-BID)</t>
  </si>
  <si>
    <t>5020305000-177-2020</t>
  </si>
  <si>
    <t>Training package of Security, body guard and traffic enforcers of Mauban, Quezon.</t>
  </si>
  <si>
    <t>Supply and Installation of Streetlights</t>
  </si>
  <si>
    <t>Concreting of Barangay Malatas - Barangay Telim, Farm to Market Road</t>
  </si>
  <si>
    <t>Rehabilitation of Covered Court at Inocencio Lucasan Elementary School, Brgy Abuanan, Bago City (RE-BID)</t>
  </si>
  <si>
    <t>ITDI-200338 - SUPPLY OF LABOR AND MATERIALS FOR THE COMPREHENSIVE PREVENTIVE MAINTENANCE SERVICE FOR ADMATEL GENERATOR SET</t>
  </si>
  <si>
    <t>CONSTRUCTION OF 24 UNITS STREETLIGHTS AT TANAUAN</t>
  </si>
  <si>
    <t>Procurement of Infrastructure - Construction of 2 units Single Detached Commercial Hometel at Sunrise Boulevard</t>
  </si>
  <si>
    <t>Construction of 1.2m width x 18m length Steel Footbridge at Prk. Balatong, Brgy Ilijan, Bago City (RE-BID)</t>
  </si>
  <si>
    <t>For use at Bago City Hospital, Bago City (Medical Supply) (RE-BID)</t>
  </si>
  <si>
    <t>20CB-GSC-306	PURCHASE OF OFFICE EQUIPMENT (RE-BID)</t>
  </si>
  <si>
    <t>Supply and delivery of 2 units Motorcycle use at Engineering Office as Service for Inspection of Projects, Mauban, Quezon.</t>
  </si>
  <si>
    <t>Repost:  DISPOSAL BY SALE OF VARIOUS UNSERVICEABLE PROPERTIES, SCRAP AND VARIOUS VEHICLES AND HEAVY EQUIPMENT ON AN "AS-IS AND WHERE- IS" BASIS.</t>
  </si>
  <si>
    <t>Renovation of Capitol Multi-purpose building 1 and building 2 (Capitol Hills, Brgy. Telaje, Tandag City, Surigao del Sur  ).</t>
  </si>
  <si>
    <t>ITDI-200340 - SUPPLY AND DELIVERY OF ISOPROPYL ALCOHOL</t>
  </si>
  <si>
    <t>Improvement of Public Bus Terminal (Building), Brgy. Triangulo</t>
  </si>
  <si>
    <t>various water connection fittings</t>
  </si>
  <si>
    <t>CONSTRUCTION OF EVACUATION CENTER</t>
  </si>
  <si>
    <t>Supply and delivery of Materials for Improvement of Multi-Purpose Hall in Brgy. Bato, Mauban, Quezon</t>
  </si>
  <si>
    <t>PR-2020-06-03</t>
  </si>
  <si>
    <t>Improvement of Hummaning-Puulen Pathway</t>
  </si>
  <si>
    <t>Purchase and Delivery of Office Equipment and Materials</t>
  </si>
  <si>
    <t>Supply and Delivery of Desktop Computer, AVR and Colored Printer ( F-008-0373-20 )</t>
  </si>
  <si>
    <t>Procurement of Government Vehicle</t>
  </si>
  <si>
    <t>Supply and Delivery of Various size of Ci Butterfly Valve and Various Pumps ( D-032-0284-20 )</t>
  </si>
  <si>
    <t>AMAD-20-1302(R1): Procurement of Office Supplies to be used at AMAD Office</t>
  </si>
  <si>
    <t>SENIOR'S WALKATHON 2020</t>
  </si>
  <si>
    <t>ITDI-200326 - SUPPLY AND DELIVERY OF HPLC COLUMN</t>
  </si>
  <si>
    <t>PROCUREMENT OF EMERGENCY RESCUE MOTOR VEHICLE</t>
  </si>
  <si>
    <t>ITDI-200337 - SUPPLY AND DELIVERY OF VITAMIN C WITH ZINC</t>
  </si>
  <si>
    <t>CONSTRUCTION OF MONUMENT PEDESTAL AT BIWAS AND JULUGAN I</t>
  </si>
  <si>
    <t>ITDI-200336 - SUPPLY AND DELIVERY OF VARIOUS LABORATORY SUPPLIES</t>
  </si>
  <si>
    <t>Concreting of Roads (Shoulders), Along Highway Road, Caritan Centro, Tuguegarao City</t>
  </si>
  <si>
    <t>WIDENING OF MUNICIPAL STREETS  AT PUROK RIVERSIDE, BRGY. ROBLES</t>
  </si>
  <si>
    <t>DISASTER REHABILITATION AND RECOVERY, PURCHASE OF RESCUE VEHICLE</t>
  </si>
  <si>
    <t>BARANGAY DAY</t>
  </si>
  <si>
    <t>RFQ-2020-06-04</t>
  </si>
  <si>
    <t>RFQ-2020-06-01-SH</t>
  </si>
  <si>
    <t>Supply of Materials, Tailoring and delivery of COD Working Uniforms</t>
  </si>
  <si>
    <t>Procurement of electrical wirings and water system materials for use of the 5 SUSIMO Buildings of DENR-INREMP Kalinga</t>
  </si>
  <si>
    <t>PR-2020-06-04</t>
  </si>
  <si>
    <t>FABRICATION OF ELEVATED WATER TANK</t>
  </si>
  <si>
    <t>ITDI-200206 - SUPPLY AND DELIVERY OF VARIOUS LABORATORY SUPPLIES</t>
  </si>
  <si>
    <t>Completion of Halfway House Building (Dayuan, Tago, Surigao del Sur  ).</t>
  </si>
  <si>
    <t>ITDI-200325 - SUPPLY AND DELIVERY OF TELEVISION</t>
  </si>
  <si>
    <t>KAINANG BAYAN</t>
  </si>
  <si>
    <t>ITDI-200314 - SUPPLY AND DELIVERY OF CONTINUOUS FORMS</t>
  </si>
  <si>
    <t>RFQ-2020-06-03-SH</t>
  </si>
  <si>
    <t>PASEO NG MGA BANDA</t>
  </si>
  <si>
    <t>ITDI-200297 - SUPPLY AND DELIVERY OF N-HEPTANE</t>
  </si>
  <si>
    <t>ITB No. 20-23 Procurement of Drugs and Medicines</t>
  </si>
  <si>
    <t>PR-2020-06-02-SH</t>
  </si>
  <si>
    <t>ITDI-200296 - SUPPLY AND DELIVERY OF VARIOUS OFFICE SUPPLIES</t>
  </si>
  <si>
    <t>WATER METER 1/2</t>
  </si>
  <si>
    <t>Concreting of Local Roads at Barangay Tipan, Naga, Zamboanga Sibugay</t>
  </si>
  <si>
    <t>ITDI-200294 - SUPPLY AND DELIVERY OF LF38 OFFICE DESK</t>
  </si>
  <si>
    <t>Clustered Repair/Maintenance of DPWH Building, (Poyopoy Marcos Highway Public Restroom, Taloy Sur and Baguio city Limit - Sto. Tomas Field Office), Tuba, Benguet</t>
  </si>
  <si>
    <t>additional CCTV</t>
  </si>
  <si>
    <t>Construction of Multi-Purpose Building, Centro 10, Tuguegarao City, Cagayan</t>
  </si>
  <si>
    <t>20PC0052 RE-CONSTRUCTION OF THE APAYAO LIVELIHOOD TRAINING CENTER LOCATED AT APAYAO NATIONAL GOVERNMENT CENTER, LUNA, APAYAO</t>
  </si>
  <si>
    <t>Construction of Masonry Drainage Structure, Along Reyno Street, Caritan Centro, Tuguegarao City</t>
  </si>
  <si>
    <t>CLEANING MATERIALS</t>
  </si>
  <si>
    <t>SAYAWAN SA KALYE</t>
  </si>
  <si>
    <t>Repair/Maintenance of DPWH Building Bolo Field Office, Bokod, Benguet</t>
  </si>
  <si>
    <t>Construction of Masonry Drainage Structure, Along Highway Road, Caritan Centro, Tuguegarao City</t>
  </si>
  <si>
    <t>20GAB0003: Supply and Delivery of Thermoplastic Paint (White) and Thermoplastic Paint (Yellow)  for use Along National Roads Within Ilocos Norte 2nd District Engineering Office</t>
  </si>
  <si>
    <t>Clustered Repair/Maintenance of DOST Building, (Regional Office - CAR, Provincial Science &amp; Technology, Sericulture Building, and Training Center), Km. 6, La Trinidad, Benguet</t>
  </si>
  <si>
    <t>REPAIR AND REHAB OF TABBAC (SLOPE PROTECTION AND REINFORCED CANAL), BULALACAO, MANKAYAN</t>
  </si>
  <si>
    <t>Supply &amp; Delivery of Materials to be used in the Rehabilitation of Evacuation Center in Different Barangays, Naujan, Oriental Mindoro</t>
  </si>
  <si>
    <t>Repair/Maintenance of Flood Control along Kennon Road, K0216+120, Camp 1, Tuba, Benguet</t>
  </si>
  <si>
    <t>CONSTRUCTION/REHABILITATION/IMPROVEMENT OF ROAD- SO. TALINGKAPOR BRGY. STA MARIA EAST, SNP.</t>
  </si>
  <si>
    <t>Clustered Repair/Maintenance of DPWH Building, (AES - Annex Building, AES - Planning and Repair Bay Building, AES - Utility Building, and Materials Quality Control Lab. Building Benguet I District Eng</t>
  </si>
  <si>
    <t>RFQ (20-06-028) Enteral Nutrition-Semi Elemental Nutrition 227 g Modular protein Formula</t>
  </si>
  <si>
    <t>PROCUREMENT OF LAN ADAPTER TYPE-C</t>
  </si>
  <si>
    <t>Improvement/Rehabilitation of Barangay Bita Norte Child Development Center</t>
  </si>
  <si>
    <t>20CB-GSC-308	PURCHASE OF NOTEBOOK AND DESKTOP COMPUTERS</t>
  </si>
  <si>
    <t>BARANGAY DAY PARADE</t>
  </si>
  <si>
    <t>Rebidding: 10 lgths Deformed Steel Bars (16mmØ x 6.0m) and other items for 1st Revision-Continuance concreting of Dumaguete Balugo road from existing PCCP near Buling”s Residence connecting existing P</t>
  </si>
  <si>
    <t>20NF0078: INSTALLATION OF ROAD SAFETY DEVICES AND ROAD SIGNAGES ALONG DAPA-UNION-GENERAL LUNA ROAD (S00366SG)</t>
  </si>
  <si>
    <t>20CB-GSC-310	PURCHASE OF DIESEL AND GASOLINE FOR CVMO</t>
  </si>
  <si>
    <t>CONSTRUCTION/IMPROVEMENT OF REINFORCED BOX CULVERT @ SO. NAGSIMBAWAAN BARANGAY CACABUGAOAN</t>
  </si>
  <si>
    <t>Continuation of Balangbang Evacuation Gym</t>
  </si>
  <si>
    <t>20PC0059 CONSTRUCTION/REHABILITATION OF WATER SUPPLY /SEPTAGE AND SEWERAGE/RAIN WATER COLLECTORS-RAIN WATER COLLECTORS IN PUBLIC FACILITIES</t>
  </si>
  <si>
    <t>RFQ (20-06-023) Opthalmology Supplies</t>
  </si>
  <si>
    <t>20NF0077: CLUSTER: A. INSTALLATION/APPLICATION OF ROAD SIGN AND ROAD SAFETY DEVICES ALONG ALL NATIONAL ROAD, SIARGAO ISLAND, SURIGAO DEL NORTE B. REPAIR/MAINTENANCE OF MAASIN BRIDGE AT JCT. OSMENA-PIL</t>
  </si>
  <si>
    <t>20CB-GSC-309	PURCHASE OF OFFICE EQUIPMENT</t>
  </si>
  <si>
    <t>Rebidding: 45 cu.m concrete premix (3000 psi @ 28 days) cf: 9 bags/cu.m for Barangay Junob-Continuance of road concreting Babajuba road (from end of concrete road to Babajuba Elementary School.</t>
  </si>
  <si>
    <t>improvement of multi purpose building</t>
  </si>
  <si>
    <t>RFQ (20-06-029) Various Medical Supplies</t>
  </si>
  <si>
    <t>Procurement of Various Agricultural Inputs and Post-Harvest Facilities for Technology Demonstration and Post-Harvest Projects Implementation under the National Fisheries Program for CY 2020</t>
  </si>
  <si>
    <t>Rehab of Arjub-Aggihaw CIS</t>
  </si>
  <si>
    <t>CONSTRUCTION OF DRAINAGE SYSTEM @ ZONE 6-8, BRGY. ABAR 1ST, SAN JOSE CITY</t>
  </si>
  <si>
    <t>Cluster H8-2020</t>
  </si>
  <si>
    <t>procurement of motorcycle 125 cc</t>
  </si>
  <si>
    <t>20CB-GSC-311 PURCHASE OF DRUGS AND MEDICINES FOR BARANGAYAN PROGRAM (RE-BID)</t>
  </si>
  <si>
    <t>RFQ (20-05-097) Various Laboratory Reagents</t>
  </si>
  <si>
    <t>PROJ. 595 - C.O 2020</t>
  </si>
  <si>
    <t>Purchase of Materials for the Construction of Multi-Purpose Hall of Brgy. Pula</t>
  </si>
  <si>
    <t>PROCUREMENT OF FIRST AND SECOND QUARTER VARIOUS OFFICE SUPPLIES</t>
  </si>
  <si>
    <t>Continuation of Pangngad-Malibo Pathway</t>
  </si>
  <si>
    <t>Siganid (Buras) Production (DOLE-DILEEP), Brgy. Ipil, Surigao City</t>
  </si>
  <si>
    <t>Cluster P17-2020</t>
  </si>
  <si>
    <t>Supply and Delivery of One Lot Kitchen Wares and Appliances ITB # 2020-153</t>
  </si>
  <si>
    <t>Procurement of Hospital Beds 3 Cranks Panel Type Complete Set w/6  “Bed Mattress, side rails for the use of Dr. Rafael S. Tumbokon Memorial Hospital-EEDD, Kalibo, Aklan/ITB no: 2020-335</t>
  </si>
  <si>
    <t>Rehab of Amayao CIS</t>
  </si>
  <si>
    <t>Office Supplies, Consumables, Janitorial Supplies, Electrical Supplies and PPE Supplies for the 2nd Quarter</t>
  </si>
  <si>
    <t>Supply and Delivery of One Lot Office Supplies ITB # 2020-152</t>
  </si>
  <si>
    <t>procurement of double cab truck (garbage truck)</t>
  </si>
  <si>
    <t>Supply and Delivery of Various Laboratory Supplies, PR# 2020-06-0315 et al.</t>
  </si>
  <si>
    <t>Lot 1 (Lucio Vivero CS)-Bid Docs_2020 QRF-Repair - Tacloban City</t>
  </si>
  <si>
    <t>Bid No. 20-0254 - PROCUREMENT OF FOOD SUPPLIES - USE FOR MEO/MOTORPOOL (H.E OPERATORS AT CARAGAN AREA)</t>
  </si>
  <si>
    <t>Rebidding: 11 lgths Deformed Steel Bar (16mmØ x 6.0m) and other items for Barangay Junob-continuance of road concreting Babajuba road (from end of concrete road to Babajuba Elementary School.</t>
  </si>
  <si>
    <t>supply and delivery of construction materials</t>
  </si>
  <si>
    <t>Cluster P16-2020</t>
  </si>
  <si>
    <t>SUPPLY &amp; DELIVERY OF VARIOUS MATERIALS OF CALAGUAS DPP</t>
  </si>
  <si>
    <t>Purchase of construction materials used for the construction of two storey PWD &amp; seniior citizens training center (phase-1)</t>
  </si>
  <si>
    <t>Improvement of Cadaver Holding Area at Ospital ng Tagaytay, Brgy. Kaybagal South, Tagaytay City</t>
  </si>
  <si>
    <t>Continuation of Mongol Potable Water System</t>
  </si>
  <si>
    <t>Rehab of Holang Water system</t>
  </si>
  <si>
    <t>Construction of Fujajagi Footbridge</t>
  </si>
  <si>
    <t>Procurement of Thermal Printer Card &amp; Printer Ribbon for F+M Family Medical Card for Indigents Project, Province of Aklan/ITB no: 2020-333</t>
  </si>
  <si>
    <t>Rehab. of Irrigation Canals w/ Transfer Pump - Ambugat-Bangbangar-Subadi Sur</t>
  </si>
  <si>
    <t>Construction of Flood Control (Stone Masonry) - Cadacad</t>
  </si>
  <si>
    <t>CONSTRUCTION OF DRAINAGE SYSTEM @ ZONE 9, BRGY. ABAR 1ST, SAN JOSE CITY</t>
  </si>
  <si>
    <t>Rebidding: 36 cu.m Coarse Aggregates (2” max. size) and other items for continuance concreting of Vicinal road in Makugihon at Barangay Talay.</t>
  </si>
  <si>
    <t>supply  and delivery of construction materials</t>
  </si>
  <si>
    <t>20DI0115-Construction of Multi – Purpose Building (Barangay Hall Annex), Brgy. Canlubang, Calamba City, Laguna</t>
  </si>
  <si>
    <t>Supply of Materials for the Repair Parts of M &amp; R: Communication Equipment of LMSs</t>
  </si>
  <si>
    <t>Repair of Three (3) C.R. at Ospital ng Tagaytay, Brgy. Kaybagal South, Tagaytay City</t>
  </si>
  <si>
    <t>Continuation of the Construction Loob-Liwo FMR</t>
  </si>
  <si>
    <t>Procurement of Various USB Flash Drive under IB No. 2020-210</t>
  </si>
  <si>
    <t>Installation of Office Divider/Cubicle-Glass &amp; Aluminum at City Planning &amp; Development Office, Tagaytay City Hall</t>
  </si>
  <si>
    <t>Procurement of Brand New Passenger Van</t>
  </si>
  <si>
    <t>Improvement of Multi-Purpose Hall - Lucaban</t>
  </si>
  <si>
    <t>Concreting of Farm to Market Road (Roma Norte-Batu Road)</t>
  </si>
  <si>
    <t>Rehab of Poblacion Water System</t>
  </si>
  <si>
    <t>Supply and Delivery of 6X6 Saddam Truck Rescue Vehicle (Surplus)</t>
  </si>
  <si>
    <t>Cluster H9-2020</t>
  </si>
  <si>
    <t>Retaining Wall with Fence and Stairs Access at Tagaytay City National High School, Brgy. Mendez Crossing East, Tagaytay City</t>
  </si>
  <si>
    <t>Purchase of good commodities used for different offices (bulk bidding)</t>
  </si>
  <si>
    <t>Rehab. of Water System - Lucaban</t>
  </si>
  <si>
    <t>Construction of Livelihood &amp; Enterpreneur Center (Pasalubong Center)</t>
  </si>
  <si>
    <t>Rebidding: 30 cu.m Coarse Aggregates (2” max. size) and other items for Barangay Junob-continuance of road concreting Babajuba road (from end of concrete road to Babajuba Elementary School.</t>
  </si>
  <si>
    <t>Bid No. 20-0255 - PROCUREMENT OF FURNITURE &amp; FIXTURES - RADIO COMMUNICATION SERVICES OFFICE</t>
  </si>
  <si>
    <t>Purchase of construction materials used for the improvement of bongga mountain resort</t>
  </si>
  <si>
    <t>Contract ID No. 20NC0121 - Repair/Maintenance of Bank Protection along Butuan City-Talacogon-La Paz-Loreto-Sta. Josefa Road, Ihawan Bridge (B01631MN), k1401+126 – k1401+240, Loreto, Agusan del Sur</t>
  </si>
  <si>
    <t>B20200206 - REHAB. OF FLORIDA-SUAON-GUPITAN PROVINCIAL ROAD</t>
  </si>
  <si>
    <t>SECURITY SERVICES REQUIREMENT</t>
  </si>
  <si>
    <t>Supply of Materials for the Repair Parts of M &amp; R: Power System of LMSs</t>
  </si>
  <si>
    <t>B20200207 - CONST. OF 100 HOUSING UNITS AT BALAI PIG IMMIMANAN SITIO MASULONG, STO. NINO, TALAINGOD</t>
  </si>
  <si>
    <t>VEHICLES</t>
  </si>
  <si>
    <t>PROJ. 838 - RRMF 2020</t>
  </si>
  <si>
    <t>Rebidding: 24 cu.m Sand (Std. specs) and other items for road Concreting at Purok Kalubihan fronting the residence of Nemesio Larena towards palm and pines street at Barangay Daro.</t>
  </si>
  <si>
    <t>Supply and Delivery of Fuel Tanker Truck Spare Parts</t>
  </si>
  <si>
    <t>Supply and Delivery of Handset Radio Transceiver</t>
  </si>
  <si>
    <t>CONSTRUCTION OF AM-AM, EVACUATION CENTER (PHASE I), BALILI, MANKAYAN, BENGUET</t>
  </si>
  <si>
    <t>20DI0117- Construction and/or Repair/ Rehabilitation of Multi – Purpose Building, Brgy. Tuntungin – Putho, Los Baños, Laguna</t>
  </si>
  <si>
    <t>Completion of Tanod Outpost</t>
  </si>
  <si>
    <t>Supply and Delivery of Plastic Bag and Sacks, PR# 2020-03-0187 &amp; 0168</t>
  </si>
  <si>
    <t>Pag-IBIG Fund CHQ (Supply and Delivery of One (1) Unit Passenger Van Vehicle (PV))</t>
  </si>
  <si>
    <t>Procurement of IT Equipment for the use of Dr. Rafael S. Tumbokon Memorial Hospital-EEDD, Kalibo, Aklan/ITB no: 2020-336</t>
  </si>
  <si>
    <t>Improvement health Center/Extention of RHU</t>
  </si>
  <si>
    <t>20DI0116- Repair/ Rehabilitation/ Improvement of Multi – Purpose Building, Brgy. Masaya, Bay, Laguna</t>
  </si>
  <si>
    <t>Construction of Ihob Footbridge</t>
  </si>
  <si>
    <t>20JG0051 - rebid - Construction / Improvement of Access Roads leading to Seaports - Construction of Concrete Road Rebokon-Palaran-Tubopait-Sacbulan-Senior-Sagasan Road leading to San Pablo Port, Dumal</t>
  </si>
  <si>
    <t>JANITORIAL SERVICES REQUIREMENT</t>
  </si>
  <si>
    <t>INVITATION TO BID FOR THE PROPOSED CONSTRUCTION OF MULTI-PURPOSE BUILDING PHASE I AT BARANGAY SAN ISIDRO, VALENCIA CITY, BUKIDNON</t>
  </si>
  <si>
    <t>Construction of Amoclang Water System</t>
  </si>
  <si>
    <t>Supply and Delivery of Ink Cart and Label Sticker</t>
  </si>
  <si>
    <t>Construction of Pang-ot View Deck</t>
  </si>
  <si>
    <t>Rehab of Pinnang Mini-dam and CIS</t>
  </si>
  <si>
    <t>20DI0118- Rehabilitation of Multi – Purpose Building, Camp Vicente Lim, Brgy. Mayapa, Calamba, Laguna</t>
  </si>
  <si>
    <t>Supply and Delivery of Electrical Wire and Eye Terminal</t>
  </si>
  <si>
    <t>Construction of Butubut Sur Civic Center</t>
  </si>
  <si>
    <t>3 sets Multistage Submersible Pump and Motor</t>
  </si>
  <si>
    <t>Rehab of Alla' Attaban CIS</t>
  </si>
  <si>
    <t>Supply and Delivery of Office and Housekeeping Supplies for Stock at GSO</t>
  </si>
  <si>
    <t>Improvement of Bet-ang Farmers Multi-purpose Building</t>
  </si>
  <si>
    <t>Procurement of IT Equipment, Supplies, Peripherals &amp; Devices</t>
  </si>
  <si>
    <t>Improvement of Bet-ang Farmers Multi-purpose Pavement</t>
  </si>
  <si>
    <t>SUPPLY &amp; DELIVERY OF VARIOUS MATERIALS(CONTAINMENT BASIN) OF MASBATE MINI GRID</t>
  </si>
  <si>
    <t>Improvement of Almeida Farmers Multi-purpose Pavement</t>
  </si>
  <si>
    <t>Construction of Two (2) Storey Men’s Dormitory Building at ESSU Salcedo Campus Re-Bidding</t>
  </si>
  <si>
    <t>IMPROVEMENT/ REHABILITATION / UPGRADING OF SANITARY TOILET AND HYGIENE FACILITY FOR PUBLIC PLACES,PUBLIC MARKET, POBLACION, BACNOTAN, LA UNION</t>
  </si>
  <si>
    <t>20DI0119- Construction/ Completion of Covered Court, Brgy. Aplaya, Sta. Rosa City, Laguna</t>
  </si>
  <si>
    <t>One (1) Unit 20KVA Uninterruptible Power Suply (UPS)</t>
  </si>
  <si>
    <t>20H00061 - Cluster Project: Construction of Rain Water Supply/Septage and Sewerage/Rain Water Collectors-Rain Water Collectors in Public Facilities-19 Units</t>
  </si>
  <si>
    <t>Improvement of Sector 4&amp;5 Bungol Farm to Market Road</t>
  </si>
  <si>
    <t>Procurement of Agricultural Animals</t>
  </si>
  <si>
    <t>INSTALLATION OF SOLAR STREET LIGHTS, JUNCTION NATIONAL ROAD, FATIMA, POBACION DEL NORTE, TERMINAL, POBLACION DEL SUR, VILLABA, LEYTE SOURCE OF FUND: 20% EDF 2020</t>
  </si>
  <si>
    <t>Improvement of Pa-o Farmers Multi-purpose Building</t>
  </si>
  <si>
    <t>INSTALLATION OF GLASS PANELS FOR WINDOW TRANSACTION</t>
  </si>
  <si>
    <t>Purchase of ICT equipment used for different offices (bulk bidding)</t>
  </si>
  <si>
    <t>REPAIR &amp; MAINTENANCE MOTOR VEHICLE (CEISSAFP-PHP70,200.00)</t>
  </si>
  <si>
    <t>Supply and Installation of Renewable, Clear Solar Powered Streetlights (50 watts LED-Integrated Solar Streetlights) Along  Brgys. San Juan &amp; San Andres Road,, Alaminos, Laguna</t>
  </si>
  <si>
    <t>PROCUREMENT OF MEDICAL/SURGICAL/LABORATORY/DENTAL &amp; X-RAY SUPPLIES FOR USE AT KALINGA PROVINCIAL HOSPITAL, 20-05-940</t>
  </si>
  <si>
    <t>PROCUREMENT OF DRUGS AND MEDICINES FOR USE AT KALINGA PROVINCIAL HOSPITAL, 20-05-804</t>
  </si>
  <si>
    <t>INVITATION TO BID FOR THE SUPPLY AND DELIVERY OF 2 UNITS BRANDNEW UTILITY VAN FOR EFFICIENT DELIVERY OF SERVICES TO THE CONSTITUENT OF THE CITY GOVERNMENT OF VALENCIA, BUKIDNON</t>
  </si>
  <si>
    <t>Provision of seeds and fertilizers for the conduct of Farmer-Scientists Training Program Phase II or the On-Farm Experimentation and Technology Adoption</t>
  </si>
  <si>
    <t>Invitation to bid for Rehabilitation of Manpower Development &amp; Multi-Purpose Center</t>
  </si>
  <si>
    <t>CONSTRUCTION OF LOCAL ROAD</t>
  </si>
  <si>
    <t>Improvement of Municipal Mini Museum</t>
  </si>
  <si>
    <t>2020-100 Clearing and Widening of Road Brgy Diaz</t>
  </si>
  <si>
    <t>Improvement of Sector 07 Camiling Farm to Market Road</t>
  </si>
  <si>
    <t>Purchase of fixtures used for different offices (bulk bidding)</t>
  </si>
  <si>
    <t>Procurement of Clothes and Supplies</t>
  </si>
  <si>
    <t>20DI0120- Replacement of Cambantoc Bridge, Brgy. Paciano Rizal,  Bay, Laguna</t>
  </si>
  <si>
    <t>TELEPHONE MOBILE EXPENSE  (OJ7-PHP57,300.00)</t>
  </si>
  <si>
    <t>Procurement for the Supply and Delivery of Forty Four (44) units Pedicab and One (1) unit Fabricated Side Car with Signage, Public Employment Service Office, Barugo, Leyte</t>
  </si>
  <si>
    <t>Procurement of Live Animals</t>
  </si>
  <si>
    <t>CawExt2020-001 Supply and Delivery of Materials for the Construction of Water System</t>
  </si>
  <si>
    <t>IMPROVEMENT/ REHABILITATION / UPGRADING OF SANITARY TOILET AND HYGIENE FACILITY FOR PUBLIC PLACES, PUBLIC MARKET NORTH, POBLACION, BACNOTAN, LA UNION</t>
  </si>
  <si>
    <t>Materials for the Construction of Comfort Room (Phase 3)</t>
  </si>
  <si>
    <t>Construction of Teacher Education Building, NIPSC, Estancia, Iloilo</t>
  </si>
  <si>
    <t>Purchase of office equipment used for different offices (bulk bidding)</t>
  </si>
  <si>
    <t>Construction of Pa-o Farmers Multi-purpose Pavement</t>
  </si>
  <si>
    <t>Ref. No. 2020-010 Proposed Repair and Refurbishment of HTREX Building Located at NHA Main Compound, Elliptical Road, Diliman, Quezon City</t>
  </si>
  <si>
    <t>Improvement of Sector 7 Calungbuyan Farm to Market Road</t>
  </si>
  <si>
    <t>PURCHASE OF PROPERTY, PLANT &amp; EQUIPMENT (PPE), SEMI-EXPENDABLE EQUIPMENT (ICT EQUIPMENT) AND FURNITURE AND FIXTURES TO BE USED BY VARIOUS OFFICES/PROGRAMS OF DSWD FO III FOR THE 1ST SEMESTER OF 2020</t>
  </si>
  <si>
    <t>Improvement of Cemetery Road</t>
  </si>
  <si>
    <t>B20200208 - CONST. OF 100 HOUSING UNITS AT BALAI LUPOWANAN AT SITIO NASILABAN, PALMA GIL, TALAINGOD, DDN</t>
  </si>
  <si>
    <t>Purchase of office supplies for repair &amp; maintenance ICT used for different offices (bulk bidding)</t>
  </si>
  <si>
    <t>20CSAH01 Conduct of Soil Exploration and/or Geotechnical Investigation for Various Bridge Projects in the 2nd and 4th Legislative Districts of Pangasinan</t>
  </si>
  <si>
    <t>REPAIR AND IMPROVEMENT OF BARANGAY BINONGA-AN HEALTH STATION (BHS), BARANGAY BULI (BHS), BARANGAY CAWAYAN (BHS),BARANGAY DONA JUANA (BHS) AND BARANGAY MA-BAYBAY (BHS) (PACKAGE A)</t>
  </si>
  <si>
    <t>Procurement of Disinfectants,  IB No. SB-2020-020</t>
  </si>
  <si>
    <t>Purchase of plumbing materials used for Rm water system.</t>
  </si>
  <si>
    <t>IMPROVEMENT/ REHABILITATION / UPGRADING OF SANITARY TOILET AND HYGIENE FACILITY FOR PUBLIC PLACES, PUBLIC MARKET SOUTH, BACNOTAN, LA UNION</t>
  </si>
  <si>
    <t>REBIDDING ON THE PROVISION OF LABOR, MATERIALS, EQUIPMENT AND OTHER INCIDENTALS NEEDED FOR THE REHABILITATION/IMPROVEMENT OF PIMENTEL SMALL WATER IMPOUNDING PROJECT (SWIP) CANAL LINING AT BRGY. PIMENT</t>
  </si>
  <si>
    <t>20DI0121- Construction of Flood Control Structure, Brgy. San Francisco, Biñan, Laguna</t>
  </si>
  <si>
    <t>Supply and Delivery of Customized Polo Shorts, Long Sleeves, Notebook and Certificate Holder as per PR No. 2020-03-0221</t>
  </si>
  <si>
    <t>20DI0122- Construction of Flood Control Structure, Brgy. Loma, Biñan, Laguna</t>
  </si>
  <si>
    <t>Procurement of Preventive Maintenance Service (PMS) of one (1) Fuji Elevator (1 Year)</t>
  </si>
  <si>
    <t>Procurement of N95 Mask,  IB No. SB-2020-021</t>
  </si>
  <si>
    <t>20CSA001: CCONSULTANCY SERVICES FOR THE CONDUCT OF FEASIBILITY STUDY OF PROPOSED CONSTRUCTION OF MISSING LINKS AND NEW ROADS CERVANTES (ILOCOS SUR) - BESAO-SAGADA (MT. PROVINCE) ROAD VIA LAYLAYA (REGI</t>
  </si>
  <si>
    <t>Procurement of Construction Materials for the Construction of Multi-purpose Building</t>
  </si>
  <si>
    <t>Repair of Public Market (5 Units Roll UP and Canal Gretings)</t>
  </si>
  <si>
    <t>REBIDDING ON THE PROVISION OF LABOR, MATERIALS, EQUIPMENT AND OTHER INCIDENTALS NEEDED FOR THE REHABILITATION OF BUNGAD DIVERSION DAM (DD) AT BRGY. ANGSET, CARASI, ILOCOS NORTE</t>
  </si>
  <si>
    <t>Bid No. 20-0262 - PROCUREMENT OF OFFICE SUPPLIES - MBO (MUNICIPAL BUDGET OFFICE)</t>
  </si>
  <si>
    <t>Negotiation of Supply &amp; Delivery of Various Drugs &amp; Medicine for January 1 to December 31, 2020</t>
  </si>
  <si>
    <t>ITDI-200367 - SUPPLY OF LABOR AND MATERIALS FOR THE REPAIR OF CENTRALIZED AIRCONDITIONING SYSTEM</t>
  </si>
  <si>
    <t>SUPPLY AND DELIVERY OF ADDITIONAL CCTV CAMERA, CABLES &amp; OTHER MATERIALS</t>
  </si>
  <si>
    <t>20GKG0023 (PR No. 23-03-061)- Procurement of Construction Materials and Supplies (102 cu.m. Crushed Aggregates and 34.00 cu.m. Fined Aggregates)  Intended for Transition/Over Lay along Linamon-Zamboan</t>
  </si>
  <si>
    <t>REBIDDING ON THE PROVISION OF LABOR, MATERIALS, EQUIPMENT AND OTHER INCIDENTALS NEEDED FOR THE REHABILITATION/IMPROVEMENT OF BIMOYAYONG DIVERSION DAM (DD) AT BRGY. VIRBIRA, CARASI, ILOCOS NORTE</t>
  </si>
  <si>
    <t>CONSTRUCTION OF PERIMETER FENCE (MINI PLAYGROUND)</t>
  </si>
  <si>
    <t>IMPROVEMENT / REHABILITION OF EVACUATION CENTER, AGTIPAL, BACNOTAN, LA UNION</t>
  </si>
  <si>
    <t>Purchase of vehicle parts used for light &amp; heavy equipment.</t>
  </si>
  <si>
    <t>REBIDDING ON THE PROVISION OF LABOR, MATERIALS, EQUIPMENT AND OTHER INCIDENTALS NEEDED FOR THE IMPROVEMENT OF TANGAOAN SMALL WATER IMPOUNDING PROJECT (SWIP) CANAL LINING AT BRGY. TANGAOAN, PIDDIG, ILO</t>
  </si>
  <si>
    <t>ITDI-200295 - SUPPLY AND DELIVERY OF ANALYTICAL BALANCE (DIGITAL)</t>
  </si>
  <si>
    <t>CONSTRUCTION OF MULTI-PURPOSE PAVEMENT - BRGY. A. TUMAMAK, CABUNGAHAN, BANGKAL, CAMPUROG, CANQUIASON, CASILION, CATAGBACAN, FATIMA, LIBAGONG, NEW BALANAC, PAYAO, SAMBULAWAN, SUBA, TINGHUB, VILLABA, LE</t>
  </si>
  <si>
    <t>2020-053, CONCRETING OF BARANGAY ROAD AT PUROK 3-PUROK 5, LAGUMBINGAN, MIDSAYAP, COTABATO</t>
  </si>
  <si>
    <t>20GKG0024 (PR No. 20-04-065)- Procurement of  Materials and Supplies for use in the Activity # 503-Installation of 10 (ten) sets of decontamination/sanitation tent along Iligan City-Marawi City Road,</t>
  </si>
  <si>
    <t>CONCRETING OF FMR located at KIMLAWIS, KIBLAWAN, DAVAO DEL SUR all in accordance to plans, specifications and scope of work and the Green Procurement Policy as adopted by Executive Order No. 30 series</t>
  </si>
  <si>
    <t>ITDI-200343 - SUPPLY AND DELIVERY OF LAPTOP</t>
  </si>
  <si>
    <t>Construction/Concreting of Barangay Road Section in Barangays  Bacnit, Barlo, Cabanaetan, Luna, Patar and Tagudin</t>
  </si>
  <si>
    <t>CONSTRUCTION OF FOOT BRIDGE LOCATED AT BRGY. ABNATE, KIBLAWAN, DAVAO DEL SUR all in accordance to plans, specifications and scope of work and the Green Procurement Policy as adopted by Executive Order</t>
  </si>
  <si>
    <t>20DI0123- Improvement/ Repair/ Rehabilitation of Roads, NIA Road, Brgy. Mamatid to Brgy. Sala,Cabuyao City, Laguna</t>
  </si>
  <si>
    <t>Supply and Delivery of Ci Gate Valve 6" and Check Valve 10" ( E-018-0318-20 )</t>
  </si>
  <si>
    <t>CONSTRUCTION OF PATHWALK AT BRGY. LANGKAAN II, CITY OF DASMARÑAS, CAVITE</t>
  </si>
  <si>
    <t>REBIDDING ON THE PROVISION OF LABOR, MATERIALS, EQUIPMENT AND OTHER INCIDENTALS NEEDED FOR THE REHABILITATION/IMPROVEMENT OF SARICAO SMALL WATER IMPOUNDING PROJECT (SWIP) AT BRGY. SARICAO, VINTAR, ILO</t>
  </si>
  <si>
    <t>Lot 2 (Tagpuro ES)-Bid Docs_2020 QRF-Repair - Tacloban City-compressed</t>
  </si>
  <si>
    <t>ITDI-200293 - SUPPLY AND DELIVERY OF METALS IN SOIL CRM</t>
  </si>
  <si>
    <t>Rebidding: 14 lgths Deformed Steel Bar (16mmØ x 6.0m) and other items for continuance concreting of Vicinal road in Makugihon at Barangay Talay.</t>
  </si>
  <si>
    <t>Procurement of Various Chemical Products-06-324(O)PEO</t>
  </si>
  <si>
    <t>Procurement of Various Spare Parts-06-325(O)PEO</t>
  </si>
  <si>
    <t>STACK EMISSION OF 1x560KW VOLVO GENSET OF BURIAS DPP</t>
  </si>
  <si>
    <t>Fifteen (15) PIeces HAnd Dryer, Electric</t>
  </si>
  <si>
    <t>Purchase of 3,571 bags Fertilizer (50 kg./bag) Triple 14 (N14-P14-K14). 50/50 Scheme Fertilizer Subsidy for Rice production under Food Security Program.</t>
  </si>
  <si>
    <t>ITDI-200368 - SUPPLY AND DELIVERY OF AERIAL DRONE LAPTOP WORKSTATION</t>
  </si>
  <si>
    <t>Laboratory Tools and Equipment to be used in Sub Surface Exploration activities by Q.A.H.D.</t>
  </si>
  <si>
    <t>2020-052, CONCRETING OF ROAD FROM PUROK 5-PUROK 9, SAN ISIDRO, MIDSAYAP, COTABATO</t>
  </si>
  <si>
    <t>20DI0124- Construction of Tagumpay Bridge, Brgy. Tagumpay, Bay, Laguna</t>
  </si>
  <si>
    <t>Installation of Water Supply to Community Fish Landing Center</t>
  </si>
  <si>
    <t>Rebidding: 304 bags Portland Cement (40 kgs/bag) and other items for road Concreting at Purok Kalubihan fronting the residence of Nemesio Larena towards palm and pines street at Barangay Daro.</t>
  </si>
  <si>
    <t>Lot 3 (Cabalawan ES)-Bid Docs_2020 QRF-Repair - Tacloban City-compressed</t>
  </si>
  <si>
    <t>INVITATION TO BID FOR IMPROVEMENT OF BULALACAO BAY PARK FOR URBAN GREENING/EXPANSION OF FISH LANDING PORT</t>
  </si>
  <si>
    <t>20GKG0025 (PR No. 20-05-071)- Procurement of Construction Materials and Supplies for use in the Repair/Maintenance of Drainage along Tagoloan-Baloi Road (Tagoloan Section), Tagoloan, Lanao del Norte,</t>
  </si>
  <si>
    <t>ITB-GS-20200313-01 - Supply and Delivery of 11,360 bundles Clear Plastic Jacket for Savings, Signature Card  and 10,400 reams Whitewove Paper Mimeo</t>
  </si>
  <si>
    <t>20DI0125- Construction of San Jose – Bucal Bypass Road, Calamba City, Laguna</t>
  </si>
  <si>
    <t>2020-054, CONCRETING OF BARANGAY ROAD FROM BARANGAY HALL TO PUROK 6, MALAMOTE, MIDSAYAP, COTABATO</t>
  </si>
  <si>
    <t>Road Concreting - Dirdirig</t>
  </si>
  <si>
    <t>CONSTRUCTION OF PERIMETER FENCE WITH PERGOLA OF EARLY CHILDHOOD CARE AND DEVELOPMENT CENTER AT POBLACION ZONE II, JAVIER LEYTE</t>
  </si>
  <si>
    <t>One (1) Lot recabling of CCTV Perimeter Backbone</t>
  </si>
  <si>
    <t>Rental of Equipment</t>
  </si>
  <si>
    <t>Procurement of Link Load Balancer under IB No. 2020-219</t>
  </si>
  <si>
    <t>20DI0127- Construction of Multi-Purpose Building, Brgy. Macabling, Santa Rosa, Laguna</t>
  </si>
  <si>
    <t>Completion of Covered Court of VSU Isabel</t>
  </si>
  <si>
    <t>Purchase plumbing materials used for Bobongan/Gapasan water system.</t>
  </si>
  <si>
    <t>20DI0126- Concreting of Road with Drainage, Barangays Casile and Malaban,</t>
  </si>
  <si>
    <t>20PL0115 - Upgrading/Improvement of Local Road from Employees Village-Upper CARAA Ground-NIA Access Road, Bulanao, Tabuk City, Kalinga</t>
  </si>
  <si>
    <t>Supply and Delivery of Laptop</t>
  </si>
  <si>
    <t>20GKG0026 (PR No. 20-05-073)- Procurement of Paint Materials and Supplies for use in the repainting of concrete birdges along National Roads Balili Br. 1 &amp; Balili Br. 2 along Linamon-Zamboanga Road, B</t>
  </si>
  <si>
    <t>Procurement of various Medical Equipment</t>
  </si>
  <si>
    <t>Rebidding: 43 cu.m concrete premix (3000 psi @ 28 days) CF: 9 bags/cu.m for continuance concreting of Vicinal road in Makugihon at Barangay Talay</t>
  </si>
  <si>
    <t>INVITATION TO BID FOR PROCUREMENT OF ONE (1) CROSSOVER UTILITY VEHICLE AND ONE (1) PASSENGER VAN</t>
  </si>
  <si>
    <t>PURCHASE OF ASSISTED DEVICE</t>
  </si>
  <si>
    <t>Supply and Delivery of Laboratory Accessories</t>
  </si>
  <si>
    <t>PURCHASE OF 3 UNITS AIRCONDITION</t>
  </si>
  <si>
    <t>Purchase of vehicle parts used for ambulance &amp; service vehicle.</t>
  </si>
  <si>
    <t>Solar Lights - Dirdirig</t>
  </si>
  <si>
    <t>CONSTRUCTION OF  0.20M X 4.00M X  90.00M CLIMATE  PROOFED CONCRETE  PAVEMENT,  POBLACION 3</t>
  </si>
  <si>
    <t>Supply and Delivery of Laboratory Equipment and Accessories</t>
  </si>
  <si>
    <t>Procurement of Infrastructure - Installation of Solar LED Street Light at Barangay Dapnan</t>
  </si>
  <si>
    <t>Lot 4 (Sta. Elena ES)-Bid Docs_2020 QRF-Repair - Tacloban City_compressed</t>
  </si>
  <si>
    <t>Cont. Ref. No. 065-20: Improvement along Carantes Road at Poblacion, Itogon, Benguet</t>
  </si>
  <si>
    <t>20PA0129 : CONCRETING OF BARANGAY ALANGTIN FMR, Barangay Alangtin, Tubo, Abra</t>
  </si>
  <si>
    <t>ITB - PROCUREMENT OF CONSTRUCTION MATERIALS AND SUPPLY FOR CONCRETING OF PRES GARCIA BRGY ROAD</t>
  </si>
  <si>
    <t>20KL008 (Goods)</t>
  </si>
  <si>
    <t>Purchase of construction materials used for the concreting of BJMP basketball court.</t>
  </si>
  <si>
    <t>20KL009 (Goods)</t>
  </si>
  <si>
    <t>Supply and Delivery of Half-Face Respirator</t>
  </si>
  <si>
    <t>CONSTRUCTION OF  “MABUHAY SILVINO  LUBOS” SIGNAGE</t>
  </si>
  <si>
    <t>SUPPLY AND DELIVERY OF ONE (1) UNIT UTILITY VEHICLE (PICK UP)</t>
  </si>
  <si>
    <t>20NE0089 - Construction/Rehabilitation of Water Supply/Rain Water Collector, Office of the Governor, Office of the Vice-Governor, GSO Building of the Provincial Capitol, Provincial Police Office Build</t>
  </si>
  <si>
    <t>Procurement of Infrastructure - Construction of 1 unit Multi-Purpose Pavement</t>
  </si>
  <si>
    <t>Purchase of medical supplies used for  RHU.</t>
  </si>
  <si>
    <t>Cont. Ref. No. 063-20: Construction of Veteran’s Multi-Purpose Building and Freedom Park at Virac, Itogon, Benguet</t>
  </si>
  <si>
    <t>B-005-2020 SUPPLY AND DELIVERY OF 1 LOT RACK-MOUNTED SERVER, SERVER CABINET AND UNINTERRUPTED POWER SUPPLY (UPS) - NEGOTIATED</t>
  </si>
  <si>
    <t>Cont. Ref. No. 064-20: Improvement of Saddle – Heartwell Feeder Road at Ampucao, Itogon, Benguet</t>
  </si>
  <si>
    <t>Construction of Proposed Monreal Municipal Port</t>
  </si>
  <si>
    <t>UPGRADING OF ELECTRICAL SERVICE/SYSTEM-RECTO MEM. NATIONAL H/S, BRGY.QUIPOT</t>
  </si>
  <si>
    <t>SUPPLY &amp; DELIVERY OF FIRE EXTINGUISHER &amp; LADDER OF OM-BOD</t>
  </si>
  <si>
    <t>PROCUREMENT OF JANITORIAL SERVICES 2020 FOR NORSU CAMPUSES</t>
  </si>
  <si>
    <t>Purchase of Drug Testing kits used for BJMP Quarterly Drug Test use.</t>
  </si>
  <si>
    <t>Purchase of rapid test used for rapid testing (COVID - 19).</t>
  </si>
  <si>
    <t>Lot 5 (Sagkahan NHS)-Bid Docs_2020 QRF-Repair - Tacloban City</t>
  </si>
  <si>
    <t>Supply &amp; Delivery of MEDICAL, DENTAL &amp; LABORATORY SUPPLIES (1st Quarter-2020)</t>
  </si>
  <si>
    <t>PROCUREMENT OF PHOTOCOPIER</t>
  </si>
  <si>
    <t>MHO-Medicines for Mental Health Program (Philhealth Capitation)</t>
  </si>
  <si>
    <t>REPAIR AND  MAINTENANCE OF  PUBLIC  INFRASTRUCTURE</t>
  </si>
  <si>
    <t>Improvement of Public Bus Terminal (Road Concreting of the Rear Portion of Bus Terminal) and Construction of Public Bus Terminal Drainage System, Brgy. Triangulo</t>
  </si>
  <si>
    <t>GAD Information Dissemination Campaign</t>
  </si>
  <si>
    <t>PURCHASE OF OFFICE EQUIPMENT-PNP</t>
  </si>
  <si>
    <t>Procurement of Infrastructure - Barangay Road Opening</t>
  </si>
  <si>
    <t>CONSTRUCTION OF LOCAL  ROAD -Sitio Alvarez, Brgy. Lusacan</t>
  </si>
  <si>
    <t>Procurement of Infrastructure - Construction of PDAO Office Extension Building</t>
  </si>
  <si>
    <t>BNLSL-LCB-24-2020 – Construction of Diversion Works, Canal, Farm Level and Road System of Montebello SIP, Kananga, Leyte</t>
  </si>
  <si>
    <t>20PA0130 : CONCRETING OF BARANGAY TUBTUBA FMR, Barangay Tubtuba, Tubo, Abra</t>
  </si>
  <si>
    <t>Lot 6 (NTCNHS)-Bid Docs_2020 QRF-Repair - Tacloban City_compressed</t>
  </si>
  <si>
    <t>Construction of Masonry Drainage Structure, Along Del Rosario Street, Centro 06, Tuguegarao City, Cagayan</t>
  </si>
  <si>
    <t>Supply &amp; Delivery of BRAND NEW FIRE TRUCK (400 Gallons) with Complete Accessories</t>
  </si>
  <si>
    <t>Supply &amp; Delivery of One (1) Unit UTILITY VAN</t>
  </si>
  <si>
    <t>ITB and Bid Docs for Procurement ID/Contract ID:    20C00046 -Construction of the DENR – Environmental Management Bureau Region 3 Building (Completion)</t>
  </si>
  <si>
    <t>Supply and delivery of Two (2) set Heavy Duty Tent to be used by MDRRMO &amp; IATF during the conduct of activities related to the control of Covid-19</t>
  </si>
  <si>
    <t>Procurement of Infrastructure - Rehabilitation of Sunrise Boulevard</t>
  </si>
  <si>
    <t>B-006-2020 SUPPLY AND DELIVERY OF 1 LOT IT EQUIPMENT, ACCESSORIES AND PERIPHERALS - NEGOTIATED</t>
  </si>
  <si>
    <t>PROCUREMENT OF DRUGS AND MEDICINES 3RD QUARTER CY 2020</t>
  </si>
  <si>
    <t>SUPPLY AND DELIVERY OF ONE (1) LOT HEALTH MANAGEMENT SYSTEM WITH STRUCTURED CABLING AND LICENSES</t>
  </si>
  <si>
    <t>BNLSL-LCB-28A-2020 – Construction of Supplementary Dam of Cambalading SIP, Albuera, Leyte (Package II)</t>
  </si>
  <si>
    <t>Procurement of One (1) unit Brand New Van (for Mobile Blood Donation)</t>
  </si>
  <si>
    <t>Procurement for Enhanced National Greening Program (eNGP) Seedling Production/Procurement, Plantation Establishment, Maintenance and Protection Year 1 CY 2020</t>
  </si>
  <si>
    <t>Purchase of spareparts used for ambulance &amp; SKG 232 strada.</t>
  </si>
  <si>
    <t>SOLAR PANEL STREET LIGHTS-BARANGAY BASIRANG</t>
  </si>
  <si>
    <t>Supply and delivery of Plumbing Materials for Brgy. San Francisco, Nagcarlan, Laguna</t>
  </si>
  <si>
    <t>Procurement of Security Manpower Services FY 2020 for NORSU Campuses</t>
  </si>
  <si>
    <t>Proposed Spring Development Rehabilitation</t>
  </si>
  <si>
    <t>BNLSL-LCB-28-2020 – Construction of Diversion Works, Canal and Farm Level System of Cambalading SIP, Albuera, Leyte (Package I)</t>
  </si>
  <si>
    <t>Supply and Delivery of Four (4) Units Motorcycle- DRR Rescue Vehicle</t>
  </si>
  <si>
    <t>PURCHASE AND DELIVERY OF IT EQUIPMENT AND ACCESSORIES</t>
  </si>
  <si>
    <t>Concreting of Farm to Market Road at Purok 2, Brgy Naya, Pura, Tarlac</t>
  </si>
  <si>
    <t>Supply &amp; Delivery of One (1) Unit AMBULANCE with Complete Accessories</t>
  </si>
  <si>
    <t>Purchase of Office Supplies and Office Equipments</t>
  </si>
  <si>
    <t>IMPROVEMENT OF SHELTER FOR YOUTH OFFENDER &amp; CRISIS CENTER BRGY. TINAMNAN LUCBAN, QUEZON</t>
  </si>
  <si>
    <t>PROCUREMENT OF HYDRAULIC STAMPING MACHINE</t>
  </si>
  <si>
    <t>HO-FMG20-005 - Supply and Delivery of Multimedia Projector</t>
  </si>
  <si>
    <t>SUPPLY &amp; DELIVERY OF PUMP CENTRIFUGAL &amp; HYDRAULIC PRESS OF MARINAWA DPP</t>
  </si>
  <si>
    <t>ITB and Bid Docs for Procurement ID/Contract ID:    20C00047 -Rehabilitation/Restoration of Deteriorated Dikes/Eroded Riverbanks along Pampanga River including Candaba Cut-Off Channel</t>
  </si>
  <si>
    <t>Supply and delivery of clear plastic bag with UCPB Logo ORF 10923-2020-07</t>
  </si>
  <si>
    <t>SUPPLY AND DELIVERY OF CONSTRUCTION MATERIALS FOR THE CONSTRUCTION OF DRAINAGE CANAL ALONG PROVINCIAL ROAD AT BARANGAY ROXAS INFRONT OF COMMERCIAL STALLS</t>
  </si>
  <si>
    <t>Quotation No.20-06-327 = PROCUREMENT OF COMMON OFFICE SUPPLIES</t>
  </si>
  <si>
    <t>Supply &amp; Delivery of MOTOR VEHICLES (Patrol Vehicles) for the use of 16 Barangays of Lopez, Quezon</t>
  </si>
  <si>
    <t>Purchase of fusion machine used for RM water system.</t>
  </si>
  <si>
    <t>Purchase of Construction Materials for  Carpentry Works at Barangay Hall Phase -  I Patawag, Labason ZN.</t>
  </si>
  <si>
    <t>To hire contractor to provide materials, labor and equipment for two (4) Infrastructure Projects (Sibulan) (B-81-2020)</t>
  </si>
  <si>
    <t>PROCUREMENT OF  FURNITURE</t>
  </si>
  <si>
    <t>Supply and Delivery of 15 bottles Acetic Acid, 500ML and Other items. REBID</t>
  </si>
  <si>
    <t>Completion of Covered Court of VSU Villaba</t>
  </si>
  <si>
    <t>PROPOSED OFFICE FOR DISASTER SIMULATION CENTER 2ND  FLOOR, JUAQUIN  GONZALES COMPOUND UNIVERSITY OF THE PHILIPPINES MANILA</t>
  </si>
  <si>
    <t>Procurement of Communication Equipment and Accessories for the OPS</t>
  </si>
  <si>
    <t>Bookbinding (hardbound)</t>
  </si>
  <si>
    <t>20HD0093 - Repair/Maintenance of DPWH Building, Main Building, Cebu I District Engineering Office, Medellin, Cebu</t>
  </si>
  <si>
    <t>Gravelling at Purok 2,3,6 &amp; 9</t>
  </si>
  <si>
    <t>HO-DMD20-005 - Supply and Delivery of Heavy Duty Stapler and OTG Flashdrive</t>
  </si>
  <si>
    <t>PROCUREMENT OF  GROCERIES</t>
  </si>
  <si>
    <t>Purchase of office equipment used for different offices (bulk bidding).</t>
  </si>
  <si>
    <t>Supply &amp; Delivery of OFFICE SUPPLIES for the use of Different Offices (1st Quarter)</t>
  </si>
  <si>
    <t>Construction of Water Tank at Barangay Salagmaya</t>
  </si>
  <si>
    <t>Supply &amp; Delivery of OTHER SUPPLIES for the use of Different Offices (1st Quarter)</t>
  </si>
  <si>
    <t>Purchase of Construction Materials for  Contrete/Masonry Works at Barangay Hall  Phase – I Patawag, Labason ZN.</t>
  </si>
  <si>
    <t>Concreting of Farm to Market Road at Purok 1, Brgy. Balite, Pura, Tarlac</t>
  </si>
  <si>
    <t>PACKAGE 4-2020</t>
  </si>
  <si>
    <t>Supply and Delivery of 40 Units Brand New Customized Police Patrol Vehicle</t>
  </si>
  <si>
    <t>REPAIR OF HANGING BRIDGE AT SITIO RONGO</t>
  </si>
  <si>
    <t>REPAIR OF CAS SCHOOL BUILDING AT NORSU BAYAWAN-STA. CATALINA CAMPUS</t>
  </si>
  <si>
    <t>4Ps : SURGICAL FACE MASK FOR THE PANTAWID PAMILYA PROGRAM STAFF ASSIGNED IN THE PROVINCES.</t>
  </si>
  <si>
    <t>Purchase of Construction Materials for Doors and Windows at Barangay Hall Phase – I  Patawag, Labason ZN.</t>
  </si>
  <si>
    <t>R1MC Tubular Slatch Wind Pressure Support &amp; Water Proofing of Elevator Rooftop</t>
  </si>
  <si>
    <t>Purchase of Cellcards</t>
  </si>
  <si>
    <t>Supply &amp; Delivery of DRUGS &amp; MEDICINES (1st Quarter)</t>
  </si>
  <si>
    <t>19B00060: Repair/Rehabilitation of National Road along Cagayan Valley Road, K0476+800 – K0477+100, Alimanao, Peñablanca, Cagayan</t>
  </si>
  <si>
    <t>ITB NO. GOP/20-DSWD-037 - Supply and Delivery of Document Scanners for DSWD Central Office</t>
  </si>
  <si>
    <t>Purchase of Patient Transport Vehicle</t>
  </si>
  <si>
    <t>PROCUREMENT OF  CEILING HELICOPTER</t>
  </si>
  <si>
    <t>Contract ID No. 20NC0122 - Repair/Maintenance of Bank Protection along Butuan City-Talacogon-La Paz-Loreto-Veruela-Sta. Josefa Road (Panagangan Bridge I) K1370+008-K1370+030, La Paz, Agusan del Sur</t>
  </si>
  <si>
    <t>Purchase of DRR's Medical Equipments for COVID-19</t>
  </si>
  <si>
    <t>CONSTRUCTION OF MULTI-PURPOSE HALL (BGY. BETON, TAYTAY, PALAWAN)</t>
  </si>
  <si>
    <t>Purchase of Construction Materials for  Plumbing Works, at Barangay Hall Phase – I Patawag, Labason ZN.</t>
  </si>
  <si>
    <t>PROCUREMENT OF  FARM EQUIPMENT/MACHINERY</t>
  </si>
  <si>
    <t>Procurement of Tires for the Various City Vehicles</t>
  </si>
  <si>
    <t>SUPPLY AND DELIVERY OF PAINTING MATERIALS FOR BARANGAY QUIRINO MULTI-PURPOSE HALL</t>
  </si>
  <si>
    <t>Purchase of Construction Materials for Roofing Works at Barangay Hall Phase - I Patawag, Labason, ZN.</t>
  </si>
  <si>
    <t>Supply and Delivery of 1 Unit Multi-Purpose Vehicle, Diesel Feed.REBID</t>
  </si>
  <si>
    <t>Supply and delivery of materials for the construction of four (4) classrooms at sitio Sultana, Donganpekong, Matanao, Davao del Sur</t>
  </si>
  <si>
    <t>PRDP-RPCOXI-SIC-011-2020 Hiring of PRDP-RPCO XI Personnel</t>
  </si>
  <si>
    <t>Procurement and Delivery of Portable Shredder, City AGR</t>
  </si>
  <si>
    <t>Procurement and Delivery of Medical Waste Auto Clave Sterilizer, ESLF</t>
  </si>
  <si>
    <t>19B00061: Repair/Rehabilitation of National Road along Peñablanca  Callao Cave Road, Quibal, Peñablanca, Cagayan</t>
  </si>
  <si>
    <t>CONSTRUCTION/IMPROVEMENT OF DANLAGAN BY PASS ROAD-Brgy. Danlagan Lopez, Quezon</t>
  </si>
  <si>
    <t>Contract ID No. 20NC0123 - Repair/Maintenance of Bank Protection along Butuan City-Talacogon-La Paz-Loreto-Veruela-Sta. Josefa Road (Panagangan  Bridge II) (B01579MN) K1370+734-K1370+749, La Paz, Agus</t>
  </si>
  <si>
    <t>CONSTRUCTION OF MULTI-PURPOSE HALL (BGY. PULARAQUEN, TAYTAY, PALAWAN)</t>
  </si>
  <si>
    <t>Rehabilitation/Improvement of Bartolome H. Miranda Road</t>
  </si>
  <si>
    <t>20CSBG001: Geotechnical Investigation for Proposed Bridge Project – (3) Turod-Banquero Overflow Bridge, Reina Mercedes, Isabela</t>
  </si>
  <si>
    <t>Design and Build of Single - storey Administration Building for Dipaculao Water District, Dipaculao, Aurora (Rebidding)</t>
  </si>
  <si>
    <t>Purchase of Response Vehicle</t>
  </si>
  <si>
    <t>Supply &amp; Delivery of One Lot Office Supplies 2020-149</t>
  </si>
  <si>
    <t>Supply, Delivery, Installation and Commissioning of Air-Conditioning System for the Bureau of Quarantine</t>
  </si>
  <si>
    <t>NOTICE OF INVITATION TO SUBMIT PRICE QUOTATION FOR THE SMALL VALUE PROCUREMENT OF 2020 REPAIR OF PERIMETER FENCE OF NFA COMPOUND, LARENA, SIQUIJOR</t>
  </si>
  <si>
    <t>Land Development of the Socialized Housing Project at San Maximo, Natividad, Pangasinan</t>
  </si>
  <si>
    <t>Supply and Delivery for the  Procurement of One (1)  Unit Electronic Total  Station</t>
  </si>
  <si>
    <t>Repair and Rehabilitation of Various School Buildings at Allen Central Elementary School</t>
  </si>
  <si>
    <t>20BC0184-Construction of 2 Storey 2 Classroom 2 Laboratory, Abulug National Rural Vocational High School, Abulug, Cagayan</t>
  </si>
  <si>
    <t>Procurement of ABG Cassette/Cartridge with the Provision of ABG Analyzer Machine (Tie-Up)</t>
  </si>
  <si>
    <t>Procurement and Installation of Lightning Protection System for the CDRRMO</t>
  </si>
  <si>
    <t>CONSTRUCTION OF MULTI-PURPOSE HALL (BGY. TALOG, TAYTAY, PALAWAN)</t>
  </si>
  <si>
    <t>Rehabilitation of Court</t>
  </si>
  <si>
    <t>INVITATION TO BID FOR ADDITIONAL ALLOCATION FOR COMMUNICATION LOAD OF CEES II 2020</t>
  </si>
  <si>
    <t>Supply and Delivery for the  Procurement of One (1)  Unit Drone (Search and  Rescue and Mapping  Drone)</t>
  </si>
  <si>
    <t>Contract ID No. 20NC0124 - Construction of Riverbank Protection of Ihawan River Sta. 0+000-0+060.00, Loreto, Agusan del Sur</t>
  </si>
  <si>
    <t>ITB for REPRODUCTION OF LEARNING MODULES 2020</t>
  </si>
  <si>
    <t>Construction of Multi-Purpose Building Phase II (Beside Municipal Hall)</t>
  </si>
  <si>
    <t>Repair and Rehabilitation of Various School Buildings at Calarayan Elementary School, Guin-arawayan Elementary School and Lipata Elementary School</t>
  </si>
  <si>
    <t>Purchase and Delivery of Supplies for PAPERLESS BARANGAY COUNCIL</t>
  </si>
  <si>
    <t>Construction of Capinitan Elementary School, Phase 1</t>
  </si>
  <si>
    <t>20BC0204-Repair/Maintenance of DOJ Building Registry of Deeds Main Building</t>
  </si>
  <si>
    <t>Contract ID No. 20NC0125 - Construction of Agusan River Flood Control Sta. 0+000-0+050.00, Veruela, Agusan del Sur</t>
  </si>
  <si>
    <t>INVITATION TO BID FOR THE  NEGOTIATED PROCUREMENT OF RESEARCH LABORATORY EQUIPMENT FOR CY 2020</t>
  </si>
  <si>
    <t>20CB0067: Concreting of Brgy. Alangan Farm-to-Market Road, Brgy. Alangan, Limay, Bataan</t>
  </si>
  <si>
    <t>20CB0066: Concreteing of Brgy. Ibis Farm-to-Market Road, Brgy. Ibis, Bagac, Bataan</t>
  </si>
  <si>
    <t>Repair and Rehabilitation of Various School Buildings at Cabacungan Elementary School</t>
  </si>
  <si>
    <t>SUPPLY AND DELIVERY OF IT EQUIPMENT UNDER PB 20-02-14A</t>
  </si>
  <si>
    <t>Cluster D31-2020</t>
  </si>
  <si>
    <t>Supply, Delivery, Installation, Testing and Commissioning of Two (2) Units Synchronizing Unit Module for the Two (2) Units Doosan Electric Generators</t>
  </si>
  <si>
    <t>20CB0068: Concreting of Brgy. Balagtas to Roman Super Highway Farm-to-Market Road, Brgy. Balagtas, Orion, Bataan</t>
  </si>
  <si>
    <t>Repair and Rehabilitation of Various School Buildings at Jubasan Elementary School</t>
  </si>
  <si>
    <t>20BC0207-Repair/Maintenance of DILG Building Bureau of Fire Protection Main Building</t>
  </si>
  <si>
    <t>Repair and Rehabilitation of Various School Buildings at Kinaguitman Elementary School</t>
  </si>
  <si>
    <t>Invitation to Bid for Supply, Delivery and Installation of equipment for the DA-ACEF indigenous fruits project</t>
  </si>
  <si>
    <t>20CB0065: Concreting of Sitio Kinaragan to Sitio Batitaw Brgy. Duale Farm-to-Market Road, Brgy. Duale, Limay, Bataan</t>
  </si>
  <si>
    <t>20BC0202-Repair/Maintenance of DPWH Field Office Building</t>
  </si>
  <si>
    <t>PWD Starter Stocks for Swine Production</t>
  </si>
  <si>
    <t>Purchase of Six (6) Units MIni Dump Truck</t>
  </si>
  <si>
    <t>20BC0210-Repair/Maintenance of DILG Building Bureau of Fire Protection Main Building</t>
  </si>
  <si>
    <t>Procurement of One ( 1 ) unit CHEMISTRY ANALYZER with one ( 1 ) unit Multi media 4 in 1</t>
  </si>
  <si>
    <t>Cluster B9-2020</t>
  </si>
  <si>
    <t>Supply and Delivery of 1,796 UNITS 15MMØ MULTI-JET BRASS WATER METER</t>
  </si>
  <si>
    <t>20CB0070: Repair/Maintenance of DPWH Building, Main Building Bataan II District Engineering Office, Balanga City, Bataan</t>
  </si>
  <si>
    <t>4Ps: OFFICE SUPPLIES FOR 2020 PANTAWID OFFICE IPIL, ZAMBOANGA SIBUGAY</t>
  </si>
  <si>
    <t>Repair and Rehabilitation of Various School Buildings at Lagundi Elementary School</t>
  </si>
  <si>
    <t>Repair and Rehabilitation of Various School Buildings at Pili Elementary School</t>
  </si>
  <si>
    <t>Invitation to Bid for Supply and Delivery of Materials and Equipment for DA-ACEF Mango Project</t>
  </si>
  <si>
    <t>Repair and Rehabilitation of Various School Buildings at Daganas Elementary School</t>
  </si>
  <si>
    <t>20CB0069: Concreting of Purok 6, Brgy. Gen. Lim Farm-to-Market Road, Brgy. Gen. Lim, Orion, Bataan</t>
  </si>
  <si>
    <t>PROCUREMENT FOR THE SUPPLY OF FUELS/FUEL ADDITIVE &amp; LUBRICANTS AND ANTI CORROSIVE</t>
  </si>
  <si>
    <t>Cluster C10-2020</t>
  </si>
  <si>
    <t>Purchase and Delivery of Supplies for HOUSEHOLD TRASH BINS</t>
  </si>
  <si>
    <t>Improvement along Pusposok to Taba-an Foot Trail w/ Handrails</t>
  </si>
  <si>
    <t>20DL0204 - REPAIR/MAINTENANCE OF DRAINAGE ALONG QUEZON-ALABAT-PEREZ ROAD, KM.022+050-KM.022+097 (RIGHT SIDE)</t>
  </si>
  <si>
    <t>20BC0209-Repair/Maintenance of DENR Building Main Building</t>
  </si>
  <si>
    <t>RRMF 2020 TENT PUBLIC ADDRESS CCTV CAMERA SUPPLIES DEVICE AND GENERAL MERCHANDISE</t>
  </si>
  <si>
    <t>20MF0082-Construction of  Multi Purpose Building for Dialysis Center New Capitol Site, Brgy. Kenram, Isulan, Sultan Kudarat</t>
  </si>
  <si>
    <t>HIRING OF TWO SCHOOL WATCHMAN</t>
  </si>
  <si>
    <t>Repair and Rehabilitation of Various School Buildings at Guba Elementary School and New Rizal Elementary School</t>
  </si>
  <si>
    <t>20MF0081-Construction of  Tacurong Multi-Purpose Building, Brgy. Poblacion, Tacurong City, Sultan Kudarat</t>
  </si>
  <si>
    <t>Invitation to Bid for Supply and Delivery of Customized Polo Shirt and Sling Bag</t>
  </si>
  <si>
    <t>20MF0080-Construction of Bridge along Dulawan-Marbel Road (Pinguiaman Section), Lambayong, Sultan Kudarat</t>
  </si>
  <si>
    <t>20MF0083-Construction of  Multi Purpose Building, Brgy. Kenram, Isulan, Sultan Kudarat</t>
  </si>
  <si>
    <t>INVITATION TO BID TO SUPPLY AND DELIVERY OF GOODS FOR MULTI ELECTRODE RESISTIVITY</t>
  </si>
  <si>
    <t>20DL0203 - REPAIR/MAINTENANCE OF FLOOD CONTROL &amp; DRAINAGE STRUCTURES ALONG BAYOD BRIDGE, TALABA-SUMMIT-PANAON ROAD, KM.180+728, ATIMONAN, QUEZON</t>
  </si>
  <si>
    <t>20DL0207 - CONSTRUCTION/REHABILITATION OF WATER SUPPLY/SEPTAGE AND SEWERAGE/RAIN WATER COLLECTORS - RAIN WATER COLLECTORS IN PUBLIC FACILITIES - REGION IV-A  A. COMETA ELEMENTARY SCHOOL, BRGY. COMETA,</t>
  </si>
  <si>
    <t>SUPPLY AND DELIVERY OF IT EQUIPMENT  UNDER PB 20-02-15A (FOR BRANCH STATION)</t>
  </si>
  <si>
    <t>20DL0206 - 71X-SPECIAL MAINTENANCE H. PLACING NEW TRAFFIC SIGNS ALONG DAANG MAHARLIKA, K0159+000 - K0181+000</t>
  </si>
  <si>
    <t>Purchase of Materials to be used in  the Repair/Fabrication of Asphalt Kettle of Maintenance Section,  DPWH-Laguna I DEO, Santa Cruz, Laguna</t>
  </si>
  <si>
    <t>Repair and Rehabilitation of Various School Buildings at Old Rizal Elementary School</t>
  </si>
  <si>
    <t>Office Supplies Consumables</t>
  </si>
  <si>
    <t>DRAINAGE IMPROVEMENT (RIPRAP), GEGONCILLO VILLAGE, BRGY. BALINTAWAK (STRAIGHT CONTRACT LABOR &amp; MATERIALS)</t>
  </si>
  <si>
    <t>20MF0084-Construction of  Povincial Tourism Multi Purpose Building, New Capitol Site, Brgy. Kenram, Isulan, Sultan Kudarat</t>
  </si>
  <si>
    <t>Repair and Rehabilitation of Various School Buildings at Somoge Elementary School</t>
  </si>
  <si>
    <t>20MF0087-Construction of Multi Purpose Building (SK Tourism Hall), Brgy. Kenam, Isulan, Sultan Kudarat</t>
  </si>
  <si>
    <t>Supply and Delivery of Materials for the Improvement/Repair of Motor Pool in Civic Center, Barangay Poblacion.</t>
  </si>
  <si>
    <t>20DL0205 - A)	REPAIR/MAINTENANCE OF DILG BUILDING, PNP – STORAGE ROOM/BARRACKS BUILDING, GUMACA, QUEZON 	 B)	REPAIR/MAINTENANCE OF DPWH BUILDING, DPWH SUB OFFICE (FIELD ENGR. OFFICE), BRGY. LAGYO, GUM</t>
  </si>
  <si>
    <t>Purchase of Construction Materials to be used in the Repair and Maintenance  of Paved Roads along various national roads, DPWH-Laguna I DEO, Santa Cruz, Laguna</t>
  </si>
  <si>
    <t>RICE FOR PREVENTIVE SECURITY MEASURES TO ENSURE PUBLIC SAFETY, CMO</t>
  </si>
  <si>
    <t>BDF/RRMF 2020 INSTALLATION OF STREETLIGHTS CCTV CAMERA RRMF/BDF CCTV CAMERA SUPPLIES DEVICE AND GENERAL MERCHANDISE</t>
  </si>
  <si>
    <t>20MF0085-Construction of  Multi Purpose Building/Disaster Center at Brgy. Rajah Muda, Tacurong City, Sultan Kudarat</t>
  </si>
  <si>
    <t>20MF0086-Construction of Multi Purpose Building (City Civic Center), Tacurong City, Sultan Kudarat</t>
  </si>
  <si>
    <t>YMCKT COLOR RIBBON 500 PRINTS</t>
  </si>
  <si>
    <t>Purchase of Insecticide</t>
  </si>
  <si>
    <t>Repair and Rehabilitation of Various School Buildings at Baybay Elementary School</t>
  </si>
  <si>
    <t>Repair and Rehabilitation of Various School Buildings at Salvacion Elementary School</t>
  </si>
  <si>
    <t>RE-PAINTING OF DOCTOR’S QUARTER &amp; EIGHT UNITS PRIVATE ROOM, VGDH</t>
  </si>
  <si>
    <t>Repair and Rehabilitation of Various School Buildings at Bocsol Elementary School</t>
  </si>
  <si>
    <t>Procurement of Consultancy Services for the “Implementation of the 2020 PhilHealth Client Awareness and Satisfaction Survey”</t>
  </si>
  <si>
    <t>Repair and Rehabilitation of Various School Buildings at Paticua Elementary School</t>
  </si>
  <si>
    <t>PROCUREMENT OF INFORMATION AND COMMUNICATION TECHNOLOGY EQUIPMENT</t>
  </si>
  <si>
    <t>Savings of CY 2019 Quick Response Fund (Batch 1) Savings – Repair and Rehabilitation of Classrooms</t>
  </si>
  <si>
    <t>Purchase of Various Office Supplies for LGU of San Jose (2nd Quarter)</t>
  </si>
  <si>
    <t>Purchase of Disaster Paraphernalia’s, Equipment and Uniforms</t>
  </si>
  <si>
    <t>Repair and Rehabilitation of Various School Buildings at Hinatad Elementary School</t>
  </si>
  <si>
    <t>CY 2020 Quick Response Fund – Repair/Rehabilitation of Classrooms</t>
  </si>
  <si>
    <t>Procurement of Office Equipment for RHU Main, South and North – 2nd Bid</t>
  </si>
  <si>
    <t>Procurement of Meals and Snacks for meetings, visitors and other activities – MO 2nd Bid</t>
  </si>
  <si>
    <t>Repair and Rehabilitation of Various School Buildings at Bangon Elementary School</t>
  </si>
  <si>
    <t>RFQ2020-06-034_SUPPLY AND DELIVERY OF VARIOUS WATER SERVICE CONNECTION MATERIALS FOR INTERCONNECTION AND ACTIVATION OF BALETE WATER SUPPLY PROJECT</t>
  </si>
  <si>
    <t>Procurement of  Medical Equipment for RHU Main, South and North – 2nd Bid</t>
  </si>
  <si>
    <t>Repair and Rehabilitation of Various School Buildings at Guibuangan Elementary School</t>
  </si>
  <si>
    <t>BARANGAY SERVICE AND RESCUE MOTOR VEHICLE WITH SIDECAR OF ANTIPOLO</t>
  </si>
  <si>
    <t>Repair and Rehabilitation of Various School Buildings at McKinley Elementary School</t>
  </si>
  <si>
    <t>CY 2020 Quick Response Fund – Construction of Slope Protection</t>
  </si>
  <si>
    <t>20CE0209: Construction of Multi-Purpose Building, Brgy. Abar 1st, City of San Jose, Nueva Ecija</t>
  </si>
  <si>
    <t>Repair and Rehabilitation of Various School Buildings at Bulao Elementary School</t>
  </si>
  <si>
    <t>Improvement of Barangay Road (Purok Isla, Brgy Burias Glan Sarangani)</t>
  </si>
  <si>
    <t>PURCHASE OF MATERIALS FOR THE CONSTRUCTION/REHABILITATION OF EVACUATION CENTER</t>
  </si>
  <si>
    <t>Repair and Rehabilitation of Various School Buildings at Lo-ok Elementary School and Palanas Elementary School</t>
  </si>
  <si>
    <t>Repair and Rehabilitation of Various School Buildings at Bayho Elementary School, Henaronagan Elementary School and Osmeña Elementary School</t>
  </si>
  <si>
    <t>Repair and Rehabilitation of Various School Buildings at Talisay Elementary School</t>
  </si>
  <si>
    <t>Barangay Office Equipment</t>
  </si>
  <si>
    <t>20GKF0031-Purchase of Materials for Regravelling of Shoulders along Linamon-Zamboanga Road K1570+000-K1573+000.</t>
  </si>
  <si>
    <t>20GKF0030-Purchase of Various Office Supply for use in DPWH-Lanao del Norte 2nd DEO</t>
  </si>
  <si>
    <t>Installation of Slope Protection Dike</t>
  </si>
  <si>
    <t>Concreting of Barangay Road (Sitio Nacolil, Brgy Lago Glan Sarangani Province</t>
  </si>
  <si>
    <t>20GKF0029-Purchase of Various Janitorial Office Supply for use in DPWH-Lanao del Norte 2nd DEO</t>
  </si>
  <si>
    <t>cONSTRUCTION OF pERIMETER fENCE</t>
  </si>
  <si>
    <t>Repair and Rehabilitation of Various School Buildings at Barobaybay Elementary School</t>
  </si>
  <si>
    <t>Construction of SLF Multi-Purpose Hall</t>
  </si>
  <si>
    <t>Supply of materials &amp; rental of concrete mixer for the Concreting of Barangay road</t>
  </si>
  <si>
    <t>20GKF0033-Purchase of Materials for Regravelling of Road Shoulders along Tubod-Ganassi Road K1590+000-K1595+000.</t>
  </si>
  <si>
    <t>Supply of materials for the Construction of Lined Canal</t>
  </si>
  <si>
    <t>20GKF0035-Purchase of Materials for Regravelling of Road Shoulders along Tubod-Ganassi Road K1600+000-K1605+000.</t>
  </si>
  <si>
    <t>20GKF0032- Purchase of Materials for Regravelling of Shoulders along Linamon-Zamboanga Road K1561+000-K1564+000.</t>
  </si>
  <si>
    <t>Repair and Rehabilitation of Various School Buildings at May-igot Elementary School</t>
  </si>
  <si>
    <t>Procurement of Hardware Materials used for Road Concreting of Brgy. Street @ Brgy. San Roque, Socorro, SDN</t>
  </si>
  <si>
    <t>20GKF0034-Purchase of Materials for Regravelling of Road Shoulders along LDNICR (Magsaysay-Tubod Section) K1588+000- K1591+600.</t>
  </si>
  <si>
    <t>Improvement of Water System Transmission Line (Diversion Road)</t>
  </si>
  <si>
    <t>20GKF0040-Purchase of Materials for Regravelling of Shoulders along Linamon-Zamboanga Road K1576+000-K1579+000.</t>
  </si>
  <si>
    <t>20GKF0039-Purchase of Materials for Regravelling of Road Shoulders along Tubod-Ganassi Road K1605+000-K1610+000.</t>
  </si>
  <si>
    <t>Repair &amp; Maintenance of Conduit Pipelines</t>
  </si>
  <si>
    <t>Upgrading of Water System</t>
  </si>
  <si>
    <t>20GKF0038-Purchase of Materials for Regravelling of Road Shoulders along Tubod-Ganassi Road K1605+000-K1610+000.</t>
  </si>
  <si>
    <t>20GKF0037-Purchase of Materials for Regravelling of Shoulders along Linamon-Zamboanga Road K1585+000-K1588+000.</t>
  </si>
  <si>
    <t>Supply and Delivery of Construction Materials for the Construction/Rehabilitation of Local Roads, bgry. Janagdong (Rebid)</t>
  </si>
  <si>
    <t>One (1) Lot Supply, Delivery, Installation, Configuration and Testing of Six (6) units High Speed Line Matrix Printer including Consumables, as per BSP Terms of Reference</t>
  </si>
  <si>
    <t>Supply and Delivery of Customized Gift Certificates for DTI Pangkabuhayan sa Pag-Bangon at Ginhawa (DTI-PBG)</t>
  </si>
  <si>
    <t>Procurement of Aggregates used for Road Concreting of Brgy. Street @ Brgy. San Roque, Socorro, SDN</t>
  </si>
  <si>
    <t>Supply and Delivery of Twenty Three (23) Pre-Disaster Communication Equipment</t>
  </si>
  <si>
    <t>Purchase of Generator Set to be installed at New Public Market, Barangay Poblacion, Lobo, Batangas</t>
  </si>
  <si>
    <t>Supply and Delivery of Construction Materials and Solar Street Lamp, (Rebid)</t>
  </si>
  <si>
    <t>20GKF0036-Purchase of Materials for Regravelling of Shoulders along Linamon-Zamboanga Road K1590+000-K1593+000.</t>
  </si>
  <si>
    <t>Proposed Improvement of Multi-Purpose Building (Improvement and Completion of Second Floor) at JP Laurel Street, Brgy. Poblacion, Kidapawan City</t>
  </si>
  <si>
    <t xml:space="preserve">20OH0148-Local  Program - Construction/Repair/Rehabilitation/Improvement  of  various   Infrastructure including Local Projects-Buildings and other Structures-Multi-Purpose/facilities-Construction of </t>
  </si>
  <si>
    <t>Construction/Rehabilitation of Local Roads</t>
  </si>
  <si>
    <t>Supply and Delivery of Pipes and Fittings for the Rehabilitation/Improvement of Poblacion/Barangay Waterworks System (rebid)</t>
  </si>
  <si>
    <t>20OH0149-Local Program-Local Infrastructure Program-Buildings and other Structures-  Multipurpose / Facilities - Construction of Multi-purpose Building and Facilities, Pres. Corazon C. Aquino Senior H</t>
  </si>
  <si>
    <t>Proposed Construction of Feedmill Plant (15.0m x 15.0m One(1) Storey Building) at Brgy. Paco, Kidapawan City</t>
  </si>
  <si>
    <t>20CSZ004 - CONSULTING SERVICES FOR THE FORMULATION OF DPWH GENDER AND DEVELOPMENT (GAD) AGENDA, GAD STRATEGIC FRAMEWORK AND PLAN, AND ENHANCEMENT OF DPWH GAD TOOLKIT</t>
  </si>
  <si>
    <t>20OH0102 Re-ads-Local Program-Local  Infrastructure  Program-Buildings  and other Structures - Multi-Purpose/Facilities-Construction of Multi-Purpose Building Villamor Air Base, Pasay City</t>
  </si>
  <si>
    <t>Supply and delivery of withdrawal slip booklet for the CDRRMO, Kidapawan City.</t>
  </si>
  <si>
    <t>Repair and Maintenance - Big dome</t>
  </si>
  <si>
    <t>20OH0150-Renovation of Planning Service Offices, DPWH Head Office, Bonifacio Drive, Port Area, Manila</t>
  </si>
  <si>
    <t>PR# 19-12-1699 (REPOSTING) PROCUREMENT OF NINETY (90) UNITS 7.5HP MARINE ENGINE (DIESEL) WITH COMPLETE ACCESSORIES FOR CEBU PROVINCE</t>
  </si>
  <si>
    <t>20OH0151-Proposed Construction/Rehabilitation of Water Supply/Septage and Sewerage/Rainwater Collector-Rainwater Collector System at: 1)	Aurora A. Quezon E/S San Andres cor. Vasquez, Malate, Manila 2)</t>
  </si>
  <si>
    <t>Installation of Solar Street Lights ALong San Pedro Calungsod Parish going to Brgy. Upper Katungal, City of Tacurong</t>
  </si>
  <si>
    <t>Proposed Road Concreting of Circumferential Road/Ninoy Aquino Extension at junction Kidapawan-Calunasan Mlang Road-Purslane Section, Brgy. Magsaysay, Kidapawan City</t>
  </si>
  <si>
    <t>Repair of Brgy. Botoc Health Station and Installation of Facilities</t>
  </si>
  <si>
    <t>Procurement of Bottle and Glass Crusher</t>
  </si>
  <si>
    <t>CONDUCT WORLD TEACHER'S DAY (October 2020)</t>
  </si>
  <si>
    <t>PR# 19-12-1700 (REPOSTING) PROCUREMENT OF TEN (10) UNITS 20HP MARINE ENGINE (DIESEL) WITH COMPLETE ACCESSORIES FOR CEBU PROVINCE</t>
  </si>
  <si>
    <t>PB-20-316, Supply of Diesel Fuel for the use of various activities and official vehicles of the Office of the Vice Governor and Sangguniang Panlalawigan, Amas, Kidapawan City</t>
  </si>
  <si>
    <t>PR# 20-02-355 (REPOSTING) PROCUREMENT OF VARIOUS MATERIALS FOR FABRICATION OF 8 UNITS (22FT) MOTORIZED FRP BOAT UNDER SAAD 2020 FOR COASTAL MUNICIPALITY OF BOHOL</t>
  </si>
  <si>
    <t>Procurement of Mental Drugs Lot 5</t>
  </si>
  <si>
    <t>PR# 20-02-356 (REPOSTING) PROCUREMENT OF EIGHT (8) UNITS 7HP MARINE ENGINE (GASOLINE FED) WITH COMPLETE ACCESSORIES UNDER SAAD 2020 FOR COASTAL MUNICIPALITY OF BOHOL</t>
  </si>
  <si>
    <t>20CB-GSC-299 PRINTING OF VARIOUS NON-ACCOUNTABLE FORMS FOR CITY ASSESSORS OFFICE (RE-BID)</t>
  </si>
  <si>
    <t>Procurement of Mental Drugs Lot 2</t>
  </si>
  <si>
    <t>Supply and delivery of various construction materials for Various Projects LOT 5</t>
  </si>
  <si>
    <t>Purchase of One  (1) Unit  Heavy Equipment  for use at DPWH-Bataan 1st   District Engineering Office  (DEO), Orani,Bataan</t>
  </si>
  <si>
    <t>Procurement of Mental Drugs Lot 1</t>
  </si>
  <si>
    <t>Construction of Cordova Public Market (Cordova Town Square)</t>
  </si>
  <si>
    <t>Procurement of Mental Drugs Lot 3</t>
  </si>
  <si>
    <t>Procurement of Mental Drugs Lot 4</t>
  </si>
  <si>
    <t>Procurement of Mental Drugs Lot 6</t>
  </si>
  <si>
    <t>Diesel Fuel etc. (05-0543) CMO</t>
  </si>
  <si>
    <t>20F00124 - 1. Drainage at Brgy. Rawis, Legazpi City Junction to Secondary National Road, Legazpi City – Sto. Domingo-Tabaco-Tiwi-Camarines Sur Bdry. Road, Brgy. Rawis, Legazpi City, Albay 2nd Legislat</t>
  </si>
  <si>
    <t>20CB-GSC-296 PURCHASE OF BOOK BINDING MACHINE</t>
  </si>
  <si>
    <t>20CB-GSC-297 PURCHASE OF SCHOOL SUPPLIES (SEF)</t>
  </si>
  <si>
    <t>20CB-GSC-298 PURCHASE OF TOOLS AND MATERIALS FOR ROBOTICS (SEF)</t>
  </si>
  <si>
    <t>PR# 20-02-359 &amp; 20-02-360 (REPOSTING) PROCUREMENT OF TWO (2) UNITS MULTI-PURPOSE VEHICLE</t>
  </si>
  <si>
    <t>Procurement of Mental Drugs Lot 7</t>
  </si>
  <si>
    <t>SURVEY SERVICES FOR AFP-RSBS MINDORO PROPERTY</t>
  </si>
  <si>
    <t>PR# 20-01-110 (REPOSTING) PROCUREMENT OF FIFTEEN (15) UNITS 7HP MARINE ENGINE (GASOLINE FED) WITH COMPLETE ACCESSORIES UNDER TARGET 2020 FOR COASTAL MUNICIPALITY OF BOHOL</t>
  </si>
  <si>
    <t>19GF00029 - Supply and Installation of Additional 3-units Air Conditioning Units at Construction Division DPWH RO-V, (PR No. 20-02-038 dated 2/19/2020), DPWH Regional Office No. V, Rawis, Legazpi City</t>
  </si>
  <si>
    <t>Procurement of Ascorbic Acid Drops and Ascorbic Syrup</t>
  </si>
  <si>
    <t>Improvement and Reblocking of Abasag St.</t>
  </si>
  <si>
    <t>REHABILITATION OF FISH PONDS</t>
  </si>
  <si>
    <t>Proposed Construction of Level II Portable Water System(Drilling/Construction of Steel Tank/Pipelines) at Sitio Lika, Brgy. Onica, Kidapawan City</t>
  </si>
  <si>
    <t>20CB-GSC-301 PURCHASE OF MARINE SUPPLIES</t>
  </si>
  <si>
    <t>ITB-B12-2020</t>
  </si>
  <si>
    <t>Supply and delivery of grocery items and perishable goods for the use of Kidapawan City Hospital.</t>
  </si>
  <si>
    <t>Supply and delivery of plumbing materials for the Proposed Installation of waterlines at Sitio Riverside – Sitio Maangue – Sitio Mateo, Brgy. Birada, Kidapawan City.</t>
  </si>
  <si>
    <t>Procurement of Space Spray (cyphenothrin 5%,BTL)</t>
  </si>
  <si>
    <t>Proposed Construction of Level II Portable Water System(Drilling/Construction of Steel Tank/Pipelines) at Purok 7, Brgy. Macebolig, Kidapawan City</t>
  </si>
  <si>
    <t>20GA0214-Construction of Drainage Structure along Aklan East Road Aklan East Road – K0280+350 – K0280+827  Aklan East Road</t>
  </si>
  <si>
    <t>20GA0215-Construction of Road Slope Protection Structures along Aklan West Road Aklan West Road (Kalibo-Nabas) (S00480PN) K0243+981.00 – K0244+045.00</t>
  </si>
  <si>
    <t>Installation of Solar Street Lights Panel for Clarin Town Center, Pob. 2, Clarin, Misamis Occidental</t>
  </si>
  <si>
    <t>20GA0167-Construction of Multi-Purpose Building  In Brgy. Balabag, Malay, Aklan</t>
  </si>
  <si>
    <t>20GA0157-Construction of Multi-Purpose Building  Brgy. Balabag, Malay, Aklan</t>
  </si>
  <si>
    <t>20GA0142-Construction of Multi-Purpose Building (Covered Court) Brgy. Poblacion, Tangalan, Aklan</t>
  </si>
  <si>
    <t>ITB-REBID03-2020</t>
  </si>
  <si>
    <t>SUPPLY AND DELIVERY OF OILS AND LUBRICANTS-PEO</t>
  </si>
  <si>
    <t>CONSTRUCTION OF STANDARD DAYCARE CENTER BUILDING WITH COMPLETE FACILITIES</t>
  </si>
  <si>
    <t>CONSTRUCTION OF TALONGSONG POBLACION BAILEY BRIDGE</t>
  </si>
  <si>
    <t>20GA0130-Improvement/Continuing Const. of Multi-Purpose Building  Brgy. Poblacion, Balete, Aklan</t>
  </si>
  <si>
    <t>FABRICATION AND SUPPLY OF FIBER GLASS MOTORIZED MOTORBOAT AND NON-MOTORIZED MOTORBOAT(SIBID-SIBID)</t>
  </si>
  <si>
    <t>Completion of Slaughterhouse</t>
  </si>
  <si>
    <t>Proposed Construction of Level II Portable Water System(Drilling/Construction of Steel Tank/Pipelines) at Sitio Puas Inda, Brgy. Amas, Kidapawan City.</t>
  </si>
  <si>
    <t>Construction of Perimeter fence at the reforestation project located at Malabbac</t>
  </si>
  <si>
    <t>19GF00030 - Supply and Delivery of Additional Global Navigation Satellite System assigned at PDD (PR No. 20-03-074 dated 3/09/2020), DPWH Regional Office No. V, Rawis, Legazpi City</t>
  </si>
  <si>
    <t>COMPLETION OF STANDARD BIRTHING CLINIC - ALIMIT</t>
  </si>
  <si>
    <t>CONCRETING OF FMR (KAKIDUGEN-CATARAWAN)</t>
  </si>
  <si>
    <t>SUPPLY AND DELIVERY OF ONE (1) UNIT 6-WHEELER 4 x 4, 6 CUBIC METER DUMPTRUCK</t>
  </si>
  <si>
    <t>Supply and delivery of Office and janitorial supplies for the use of the CPDC Office and Kidapawan City Police Station.</t>
  </si>
  <si>
    <t>PROCUREMENT OF 2 UNIT AMBULANCE (TYPE 1) BAC 2020-E06</t>
  </si>
  <si>
    <t>IMPROVEMENT OF LOWER SISI-MANTAE-LIMAN ROAD</t>
  </si>
  <si>
    <t>IMPROVEMENT OF FMR-EDRALIN-ATAN ROAD</t>
  </si>
  <si>
    <t>Procurement of Information and Communication Technology Equipment</t>
  </si>
  <si>
    <t>Procurement of Dental Digital Panoramic X-ray Machine with Complete Accessories and Installation</t>
  </si>
  <si>
    <t>WATER &amp; SANITATION 1 (ELEVATED FLOORING, WITH ROOFING &amp; 10 FAUCET)</t>
  </si>
  <si>
    <t>Construction of Multi – Purpose Pavement located at Ajat</t>
  </si>
  <si>
    <t>SUPPLY AND DELIVERY OF RUBBER POTS WITH REFLECTORIZED STICKER  (P.R. NO. 100-20-05-0210)</t>
  </si>
  <si>
    <t>2 COMFORT ROOMS &amp; KITCHEN SINK</t>
  </si>
  <si>
    <t>Procurement of Oxygen Tanks and Refill</t>
  </si>
  <si>
    <t>P.R. No. 20-101-013 "Procurement of Books for the different Colleges of Basilan State College Main Campus"</t>
  </si>
  <si>
    <t>Concrete Paving along River Park 100LM(Phase 1) (06-0592)CPDO</t>
  </si>
  <si>
    <t>Supply and Delivery of Desktop Computer and Other Equipment</t>
  </si>
  <si>
    <t>BID-2020-06-78 JJASGH- PROC OF VARIOUS AIRCONDITIONING UNITS</t>
  </si>
  <si>
    <t>PEO-20-0482-B CONCRETING OF CABATUAN – ACAO – ITO ROAD  Cabatuan, Iloilo</t>
  </si>
  <si>
    <t>CONSTRUCTION OF LOOM RIVER FRONT PARK AT BARANGAY TABOC, BORONGAN CITY EASTERN SAMAR</t>
  </si>
  <si>
    <t>Procurement of Fully Automated Digital Radiography Ceiling Mounted with Design and Build with Integrated Radiololy Information System (RIS)</t>
  </si>
  <si>
    <t>Procurement of Catering Services for the 4th Level Training 2020 CPH of PSA RSSO IX and the Provinces</t>
  </si>
  <si>
    <t>BID-2020-06-75 JJASGH -TWO UNITS BED PASSENGER ELEVATOR</t>
  </si>
  <si>
    <t>FABRICATION / INSTALLATION OF SOLAR LAMP STREET LIGHTINGS</t>
  </si>
  <si>
    <t>PROCUREMENT OF 26 UNITS MOTOR CYCLE W/ SIDECAR</t>
  </si>
  <si>
    <t>PEO-19-1489-B (RE-BID) Construction of Various Water Systems in the 4th District of Iloilo</t>
  </si>
  <si>
    <t>BID - Various Manila Aide Uniforms, Supplies and Materials - DPS 2nd qtr</t>
  </si>
  <si>
    <t>Purchase and Delivery of Traditional Instruments (Gongs-Kalsa &amp; Pinsak and Solibao-Solibao &amp; Kimbal)</t>
  </si>
  <si>
    <t>Procurement of Spare Parts for the Repair and Maintenance of Transportation Equipment</t>
  </si>
  <si>
    <t>CONSTRUCTION OF SCHOOL STAGE AT PULONG TAMO ELEMENTARY SCHOOL</t>
  </si>
  <si>
    <t>Preventive Maintenance Services for Various Hospital and Medical Equipment - SAH</t>
  </si>
  <si>
    <t>IPH-19-1021-B (Re-Bid) Proposed Landscaping of Iloilo Provincial Hospital, Pototan, Iloilo</t>
  </si>
  <si>
    <t>CONSTRUCTION OF SCHOOL CANTEEN AT SAN ILDEFONSO NATIONAL HIGH SCHOOL</t>
  </si>
  <si>
    <t>CONSTRUCTION OF DAYCARE CENTER AT BRGY. BUBULONG MUNTI</t>
  </si>
  <si>
    <t xml:space="preserve">PEO-19-1487-B (RE-BID) Construction/Improvement of Water System in the 3rd District of Iloilo  1)Construction of Water System:    Brgy. Guibuangan Tigbauan, Iloilo 2) Improvement of Water System:     </t>
  </si>
  <si>
    <t>Procurement of Various Vehicle Spare Parts P.R. Nos. 635 &amp; 634 - DEPW</t>
  </si>
  <si>
    <t>Rental of Heavy Equipment P.R. No. 137 - DEPW</t>
  </si>
  <si>
    <t>Procurement of Various Electrical Supplies and Materials P.R. No. 636 - DEPW</t>
  </si>
  <si>
    <t>Procurement of Asphalt, Bitumul and Thermoplastic Lane Marking P.R. No. 630 - DEPW</t>
  </si>
  <si>
    <t>PEO-19-2099-B Concreting of Municipal Road in Zones 1, 2 and 3 at Barangay Captain Agustin Tirador Janiuay, Iloilo</t>
  </si>
  <si>
    <t>CONSTRUCTION OF DAYCARE CENTER AT BRGY. SAPANG PUTIK</t>
  </si>
  <si>
    <t>CONSTRUCTION OF MUNICIPAL CEMETERY EXTENSION (PHASE III) LOCATED AT SAN ANTONIO, AGOO, LA UNION</t>
  </si>
  <si>
    <t>Procurement of Various Construction Supplies and Materials - DEPW</t>
  </si>
  <si>
    <t>PEO-20-0381-B Concreting of Barasan-Bantay Road Santa Barbara, Iloilo (Brgy. Dalid-Brgy. Buayahon)</t>
  </si>
  <si>
    <t>Procurement of one (1) lot Molecular Laboratory Set Up, OMMC-PR-555</t>
  </si>
  <si>
    <t>Construction of Bank Protection at Abowok, Junction, Pinukpuk</t>
  </si>
  <si>
    <t>COA-20-020-B  Proposed Repair/Improvement Commission on Audit Storage Building  Provincial Equipment Pool Compound, Sta. Barbara, Iloilo</t>
  </si>
  <si>
    <t>REHABILITATION OF CAGUBATAN DOMESTIC DOMESTIC WATER SYSTEM</t>
  </si>
  <si>
    <t>Supply and Delivery of Various Materials for the Completion/Improvement of Multi-Purpose Building (Re-Bid)</t>
  </si>
  <si>
    <t>Concreting &amp; Widening of Barangay Road</t>
  </si>
  <si>
    <t>SDH-18-2253-B (RE-BID) Construction of PHU Complex with Conference Hall and Storage Area of Sara District Hospital (Phase 1) Sara, Iloilo</t>
  </si>
  <si>
    <t>PEO-20-0383-B CONCRETING OF LEON-OMAMBONG-CORDOVA ROAD, Leon, Iloilo</t>
  </si>
  <si>
    <t>PEO-20-0551-B Concreting of Duyan-Duyan- Bacan Road Cabatuan, Iloilo</t>
  </si>
  <si>
    <t>Road Concreting of Purok Riverside</t>
  </si>
  <si>
    <t>Re-bidding Supply and Delivery of Ground Penetrating Radar</t>
  </si>
  <si>
    <t>Supply &amp; Delivery of Materials for the Repair and Maintenance of Other Transportation Equipment</t>
  </si>
  <si>
    <t>PEO-19-1502-B Construction of Elementary School Water Systems in the 3rd District of Iloilo; 1) Construction of Water System       a. San Gregorio  Elementary School, Lambunao, Iloilo      b. Pajo Ele</t>
  </si>
  <si>
    <t>ENG’G PASBAC 001-20 Supply and Delivery of Three (3) Units Well Drilling Truck/Rig (Rotary) with Trailer and Accessories</t>
  </si>
  <si>
    <t>PROCUREMENT OF OFFICE FURNITURE FOR THE PROJECT MANAGEMENT OFFICE OF THE NORTH-SOUTH COMMUTER RAILWAY (NSCR) PROJECT (MALOLOS-TUTUBAN)</t>
  </si>
  <si>
    <t>ITB No. 2020-003-CSL - SUPPLY AND DELIVERY OF VARIOUS LABORATORY SUPPLIES, GLASSWARE AND INSTRUMENT CONSUMABLES FOR ALABANG TESTING AND QUALITY ASSURANCE LABORATORY (ATQAL) AND CEBU TESTING AND QUALIT</t>
  </si>
  <si>
    <t>PROPOSED CONSTRUCTION OF CONCRETE PERIMETER FENCE</t>
  </si>
  <si>
    <t>Supply, Delivery and Installation of Office Furniture And Fixture For Use In CASC, Sci Lab, D Post Office, CESC, Guidance Office, KMS And Registration And Admission Office</t>
  </si>
  <si>
    <t>ITB No. 2020-002-CSL - SUPPLY AND DELIVERY OF VARIOUS LABORATORY STANDARDS, REAGENTS AND MEDIA FOR ALABANG TESTING AND QUALITY ASSURANCE LABORATORY (ATQAL) AND CEBU TESTING AND QUALITY ASSURANCE LABOR</t>
  </si>
  <si>
    <t>CONSTRUCTION OF SCHOOL STAGE AT STA. CATALINA BATA ELEMENTARY SCHOOL</t>
  </si>
  <si>
    <t>Procurement of Various Supplies and Materials, DSW-PR-575</t>
  </si>
  <si>
    <t>CONSTRUCTION OF TWO CLASSROOM AT GABIHAN HIGH SCHOOL</t>
  </si>
  <si>
    <t>PEO-20-0554-B Concreting of Estancia - Gogo Road Estancia, Iloilo</t>
  </si>
  <si>
    <t>INVITATION TO BID FOR THE PROCUREMENT OF SUBMERSIBLE PUMPS WITH CAPACITOR</t>
  </si>
  <si>
    <t>Supply &amp; Delivery of Other Supplies</t>
  </si>
  <si>
    <t>CONSTRUCTION OF EVACUATION CENTER (PHASE III)</t>
  </si>
  <si>
    <t>PURCHASE OF MATERIALS FOR CONSTRUCTION WATER SYSTEM</t>
  </si>
  <si>
    <t>Supply and Delivery of  Equipment, Supplies and Consumables For Use in CASC, CEng, Sci Lab, CEngSC, D Post, CASSC, CESC, GAD, KMS, Guidance And Registration &amp; Admission Office/ (IAEB NO. 2020-005)</t>
  </si>
  <si>
    <t>ENG’G PASBAC 012-20 Supply and Delivery of Materials and Labor for the Enhancement of Financial Records Branch (FRB) Building at Fort Bonifacio, MM</t>
  </si>
  <si>
    <t>PROCUREMENT OF FUEL (JULY TO DECEMBER 2020)</t>
  </si>
  <si>
    <t>20GA0141-Road Widening along Ibajay-Antique Road Ibajay-Antique Road - K0229 + (-176) – K0231 + 254, K0231 + 278 – K0231 + 297</t>
  </si>
  <si>
    <t>2020-05-0109/2020-06-0110 - Furnishing/Delivery of Office Supplies for use in the District</t>
  </si>
  <si>
    <t>BDRRM RESCUE SUPPLIES AND EQUIPMENT</t>
  </si>
  <si>
    <t>Supply &amp; Delivery of Animal/Zoological Supplies</t>
  </si>
  <si>
    <t>SUPPLY AND DELIVERY OF MOBILE CARS FOR THE PHILIPPINE NATIONAL POLICE - MALABON</t>
  </si>
  <si>
    <t>Supply &amp; Delivery of Materials for the Fabrication of Water Tanker w/ Trailer –Brgy. Maniki, Kapalong</t>
  </si>
  <si>
    <t>Construction of Apartment Type Tomb at Catarman Public Cemetery</t>
  </si>
  <si>
    <t>Supply &amp; Delivery of Various Medicine</t>
  </si>
  <si>
    <t>CY 2020 QRF SCHOOL GROUND SLOPE PROTECTION AT GOHANG NHS, GOHANG, BANAUE, IFUGAO</t>
  </si>
  <si>
    <t>PROCUREMENT OF RESCUE ROPES FOR BASIC ROPE RESCUE SKILLS</t>
  </si>
  <si>
    <t>Supply and Delivery of Various Materials for the Construction of Drainage System at Timoteo Vedra Extension in Barangay Pooc Oriental (Re-Bid)</t>
  </si>
  <si>
    <t>ENG’G PASBAC 013-20 Supply and Delivery of Materials for the Repair and Renovation of Veterans Center Building at Camp Aguinaldo, Quezon City</t>
  </si>
  <si>
    <t>Supply &amp; Delivery of Materials for the Improvement of Water System at Prk. 2, Taguango, Brgy. Sua-on, Kapalong, Davao del Norte</t>
  </si>
  <si>
    <t>Supply &amp; Delivery of Materials for the Construction of Adolescent Health Center at Brgy. Maniki, Kapalong</t>
  </si>
  <si>
    <t>Supply/Delivery of Electrical Resistivity Instrument</t>
  </si>
  <si>
    <t>Supply &amp; Delivery of Materials for Proposed Closure and Rehabilitation of Open Dumpsite at Banate Capungagan, Kapalong, Davao del Norte</t>
  </si>
  <si>
    <t>To Purchased MOTOR CYCYLE WITH SIDECAR</t>
  </si>
  <si>
    <t>Construction of FMR</t>
  </si>
  <si>
    <t>Supply and delivery of materials to support barangay socio-economic development projects</t>
  </si>
  <si>
    <t>ITB Motorcycles</t>
  </si>
  <si>
    <t>Supply &amp; Delivery One (1) unit Mini Hydraulic Excavator</t>
  </si>
  <si>
    <t>Construction/Rehabilitation of River Control</t>
  </si>
  <si>
    <t>Improvement of Drainage System @ Sitio Lower Binugao</t>
  </si>
  <si>
    <t>PURCHASE OF OFFICE FURNITURE'S FOR THE OFFICE OF THE MAYOR AND SANGGUNIANG BAYAN</t>
  </si>
  <si>
    <t>To purchased FIBER GLASS BOARD WITH BASKETBALL WITH RING</t>
  </si>
  <si>
    <t>SUPPLY/DELIVERY OF VARIOUS EMERGENCY EVACUATION EQUIPMENT</t>
  </si>
  <si>
    <t>Procurement of Agricultural Machinery and Equipment</t>
  </si>
  <si>
    <t>Package 017- Construction of Lamut Sanitary LandFill- Cell 3</t>
  </si>
  <si>
    <t>Concreting of Pathways at Different Barangays</t>
  </si>
  <si>
    <t>Construction Materials for the Road Concreting of Farm-to-Market Road  Calula,  R. T. Lim, Zamboanga Sibugay</t>
  </si>
  <si>
    <t>Rebidding of the requirement To hire contractor to provide materials, labor, and equipment for the “Concreting of Road, Barangay Kagawasan, Guihulngan City, Negros Oriental”  (B-79-2020)</t>
  </si>
  <si>
    <t>20OF0312 Repair of Hallways and Ceiling at the South Wing Annex Building from the Second to the Fourth Floors, including Aluminum Swing Door Enclosures at the East and West Stairwells HREP Compound, B</t>
  </si>
  <si>
    <t>Repair of Heritage Building Extension</t>
  </si>
  <si>
    <t>Construction/Improvement/Widening of Box Culvert at Purok 4 in Brgy. San Miguel</t>
  </si>
  <si>
    <t>Procurement of 1 Year Security Services</t>
  </si>
  <si>
    <t>Construction of Comfort Room</t>
  </si>
  <si>
    <t>SUPPLY AND DELIVERY OF FRUIT TREES SEEDLINGS FOR FOOD SECURITY 2020, IMPASUGONG, BUKIDNON</t>
  </si>
  <si>
    <t>IMPROV./ CONST. OF DAYCARE CENTER (Brgy. Laiya Ibabao)</t>
  </si>
  <si>
    <t>2020-GOODS-04; SUPPLY OF DIESEL FUEL FOR USE IN THE SERVICE VEHICLES OF DPWH REGIONAL OFFICE XIII FOR 3RD QUARTER AND 4TH QUARTER OF CY 2020, J. ROSALES AVENUE, BUTUAN CITY</t>
  </si>
  <si>
    <t>Procurement of paints, lights and construction materials for the repair and maintenance of the Municipal Auditorium and Municipal Hall</t>
  </si>
  <si>
    <t>3 units Dosing Pump and 3 units Heavy Duty Stirrer / Agitator</t>
  </si>
  <si>
    <t>Supply and Delivery of Various Electrical and Plumbing Materials (Pampanga Branch)</t>
  </si>
  <si>
    <t>RFQ-2020-06-0029-Activity 111-Premix Patching Bituminous Pavement (Furnishing of Premix Asphalt) along Pangasinan-Zambales Road (S00319LZ), KO313+000 to KO319+000 with exception</t>
  </si>
  <si>
    <t>Construction of Slope Protection at Buga, Nabonton</t>
  </si>
  <si>
    <t>Procurement of Manlift Platform Truck with Folding Boom</t>
  </si>
  <si>
    <t>20OF0315 General Repair and Rehabilitation of the Main Building Roofing HREP Compound, Batasan Road, Brgy. Batasan Hills, Q.C.</t>
  </si>
  <si>
    <t>Procurement of Materials for Installation of the Solar Streetlights</t>
  </si>
  <si>
    <t>20OF0314 Repair/Repainting of Exterior Walls and Doors of House Members Offices in the North and Batasan Complex, Brgy. Batasan Hills, Q.C.</t>
  </si>
  <si>
    <t>20OF0313 Repair and Re-Painting of HREP Perimeter Fence Batasan Complex, Brgy. Batasan Hills, Q.C.</t>
  </si>
  <si>
    <t>CONSTRUCTION OF MULTI - PURPOSE BUILDING @ BRGY. LANTIAN, LABANGAN, ZDS</t>
  </si>
  <si>
    <t>Emergency supplies for covid 19</t>
  </si>
  <si>
    <t>Construction of Multi-Purpose Hall (Phase 1)  Breeding Station Casisiitan, Minanga, San Mariano, Isabela</t>
  </si>
  <si>
    <t>RFQ-2020-06-0031-Activity 71x Special Maintenance (Pavement Maintenance)-Furnishing of Emulsified Asphalt (Cationic SS1) for use in the rectication of defects on Asphalt Pavement along Pangasinan-Zamb</t>
  </si>
  <si>
    <t>Improvement of Multi-purpose Hall,  Tubod Bacong, Negros Oriental</t>
  </si>
  <si>
    <t>1	unit	6 Wheeler Brand New Garbage Compactor, PR # 207-20</t>
  </si>
  <si>
    <t>Purchase of Computer set and Accessories</t>
  </si>
  <si>
    <t>IMPROVEMENT OF TOURISM INFRASTRUCTURE - PARKS</t>
  </si>
  <si>
    <t>IMPROV. OF BARANGAY ROAD (SLOPE PROTECTION) (Brgy. Sapangan)</t>
  </si>
  <si>
    <t>PURCHASE OF SUPPLIES &amp; MATERIALS  FOR THE REPLACEMENT/INSTALLATION OF MARKER BUOY</t>
  </si>
  <si>
    <t>SUPPLY AND DELIVERY OF GEO-TAGGING DEVICE FOR OFFICIAL USE OF DENR TARLAC</t>
  </si>
  <si>
    <t>ITB 2020-06-74 Procurement of Food and Drinks for MCC</t>
  </si>
  <si>
    <t>REPLACEMENT OF BASKETBALL GOAL POST TO FIBER GLASS @ BRGY. LANGAPOD, LABANGAN ZDS</t>
  </si>
  <si>
    <t>REHABILITATION OF MULTI - PURPOSED BUILDING (OLD BUILDING) @ BRGY. LANTIAN, LABANGAN ZDS</t>
  </si>
  <si>
    <t>RFQ-2020-06-0030-Activity 112-Penetration Patching Bituminous Pavements (Furnishing of Hot Asphalt, Grade 60-70) along Pangasinan-Zambales Road, KO313+000 to KO320+000 with Exception</t>
  </si>
  <si>
    <t>CONSTRUCTION OF MULTI - PURPOSE BUILDING - PHASE II @ BRGY. DIPAYA, LABANGAN, ZDS</t>
  </si>
  <si>
    <t>20OF0316 Construction/Rehabilitation of Water Supply/Septage and Sewerage/Rain Water Collectors-Rain Water Collectors in Public Facilities, Q.C.</t>
  </si>
  <si>
    <t>RFQ-2020-06-0032-Activity 71x Special Maintenance (Traffic Services Maintenance)-Furnishing of Reflectorized Thermoplastic Powder for used in the Pavement Markings along Pangasinan-Zambales Road (S003</t>
  </si>
  <si>
    <t>PROCUREMENT OF FOUR (4) UNITS GENERATOR SET FOR THE PPSC HEAD OFFICE AND NPC SILANG</t>
  </si>
  <si>
    <t>Procurement of Chemicals, Laboratory Equipment &amp; Supplies</t>
  </si>
  <si>
    <t>PUTTING OF BASKETBALL GOAL POST @ BRGY. LANTIAN, LABANGAN ZDS</t>
  </si>
  <si>
    <t>DRRM COMMAND CENTER/CCTV CONTROL BUILDING - COMPLETION</t>
  </si>
  <si>
    <t>PROCUREMENT OF WOODEN ARMCHAIRS FOR BCC, BUENAVISTA, BOHOL</t>
  </si>
  <si>
    <t>1	unit	6 Wheeler Brand New Garbage Compactor, PR # 208-20</t>
  </si>
  <si>
    <t>CONTINUING OF QUARANTINE FACILITY, BARANGAY CABUNGALUNAN, BURDEOS, QUEZON</t>
  </si>
  <si>
    <t>Repair of Brgy.Mambog Baily Bridge</t>
  </si>
  <si>
    <t>Construction of Brgy. Health Station at Barangay Tabugon, Carles, Iloilo</t>
  </si>
  <si>
    <t>Construction of Multi-Purpose Hall (Phase 9)</t>
  </si>
  <si>
    <t>Package 018- Construction of Livelihood Center for DSWD Clients ( OFW, Solo Parents, PWDs, Women, &amp; AMMA) Phase 4</t>
  </si>
  <si>
    <t>RFQ-2020-06-0034-Act. 63x-Resurfacing of Unpaved Shoulder along Pangasinan-Zambales Road, KO302+000 to KO306+000 with exception</t>
  </si>
  <si>
    <t>Supply and Delivery IT Equipment for Engineering Divison</t>
  </si>
  <si>
    <t>RFQ-2020-06-0033-Activity 111-Premix Patching Bituminous Pavement (Furnishing of Premix Asphalt) along Alaminos-Bolinao Road (S05901LZ), KO358+500 to KO360+000 with exception</t>
  </si>
  <si>
    <t>Commissioning of an Artist to produce Twelve (12) Paintings of Selected Events of the Philippine Segments of the First Circumnavigation of the World by the Magellan Elcano Expedition</t>
  </si>
  <si>
    <t>Purchase of construction materials- Fatima Pavement</t>
  </si>
  <si>
    <t>REHABILITATION AND IMPROVEMENT OF POBLACION LICUAN-DOMINGLAY ROAD</t>
  </si>
  <si>
    <t>SUPPLY AND DELIVERY OF MOTORCYCLE FOR OFFICIAL USE OF DENR TARLAC</t>
  </si>
  <si>
    <t>SUPPLY AND DELIVERY OF SCHOOL SUPPLIES (REBID)</t>
  </si>
  <si>
    <t>SUPPLY AND INSTALLATION OF AGISOFT SOFTWARE FOR OFFICIAL USE OF DENR TARLAC</t>
  </si>
  <si>
    <t>20GIA004 Procurement of Instant Cold Mix Asphalt (Megacol) and Joint Sealant</t>
  </si>
  <si>
    <t>20GG00017 - Procurement of Various IT Equipment for use of Cash Section - Administrative Division, DPWH Regional Office VI, Iloilo City</t>
  </si>
  <si>
    <t>N-COVID Disinfection, Protection and Temperature scanning of employee and students</t>
  </si>
  <si>
    <t>Municipal Sta. Rita Housing Project Phase II</t>
  </si>
  <si>
    <t>INSTALLATION OF STREET LIGHT</t>
  </si>
  <si>
    <t>Package 019- Construction of Material Recovery Facility &amp; Extension of Trading Post Building</t>
  </si>
  <si>
    <t>Procurement of Post Processing Software for FARO 3D Laser Scanner</t>
  </si>
  <si>
    <t>CONSTRUCTION OF OFFICE CUBICLE AND OFFICE EQUIPMENT, BRGY AMOT, BURDEOS, QUEZON</t>
  </si>
  <si>
    <t>INVITATION TO RE-BID FOR THE Procurement of Four (4) units Motorcycle, Tapaz, Capiz</t>
  </si>
  <si>
    <t>Procurement of Personal Watercrafts with Trailer and Rescue Sled for Water Search and Rescue Operations</t>
  </si>
  <si>
    <t>Construction of Various Infrastructure Projects, San Mariano, Isabela</t>
  </si>
  <si>
    <t>Purchase of  Plumbing Materials for the Maintenance of Water System – Waterworks Office,  R. T. Lim, Zamboanga Sibugay</t>
  </si>
  <si>
    <t>Purchase of Catering Services</t>
  </si>
  <si>
    <t>Rehabilitation/Maintenance of Farm to Market Road</t>
  </si>
  <si>
    <t>SUPPLY AND DELIVERY OF LIMESTONE FOR REHABILITATION OF BARANGAY ROADS OF 16 BARANGAYS  BALINTAWAK,EAST KIBAWE, GUTAPOL, KIORAO, LABUAGON, MARAPANGE,MASCARIÑAS, NATULONGAN, NEW KIDAPAWAN, OLD KIBAWE, P</t>
  </si>
  <si>
    <t>Procurement of Aerial Vehicle (Drone) for Surveillance and Monitoring Device during Emergencies</t>
  </si>
  <si>
    <t>INVITATION TO BID FOR SUPPLY AND DELIVERY OF TIRES AND BATTERIES FOR GOVERNMENT HEAVY EQUIPMENT USE</t>
  </si>
  <si>
    <t>Construction of Rural Access Road</t>
  </si>
  <si>
    <t>Invitation to Bid for the Procurement of One (1) Unit Passenger Van (converted into an ambulance and fitted with necessary medical equipment and apparatus) for the use in this municipality.</t>
  </si>
  <si>
    <t>1 LOT Electro-Mechanical Installation of Stage 1 and Stage 2</t>
  </si>
  <si>
    <t>SUPPLY AND DELIVERY OF DRONE &amp; IPAD MINI FOR OFFICIAL USE OF DENR TARLAC</t>
  </si>
  <si>
    <t>SUPPLY AND DELIVERY OF ONE (1) UNIT MINI DUMPTRUCK (BRAND NEW) AND (1) UNIT MINI PAYLOADER (BRAND NEW) OF LGU POLILLO</t>
  </si>
  <si>
    <t>SUPPLY AND DELIVERY OF STARTER KITS FOR DOLE DRESSMAKING, BAKING &amp; SMALL MOTOR ENGINE SERVICE (SMES) PROGRAM</t>
  </si>
  <si>
    <t>CONSTRUCTION OF INFRASTRUCTURE PROJECT, SAN MARIANO, ISABELA</t>
  </si>
  <si>
    <t>Package 021- Construction of Interconnector of Buildings, Entrance/Exit gate, vault for Special Wastes &amp; Comfort Room</t>
  </si>
  <si>
    <t>Package 020- Construction of Bridge to Memorial Park - Phase II</t>
  </si>
  <si>
    <t>Purchase of Gasoline</t>
  </si>
  <si>
    <t>Reproduction of Modules</t>
  </si>
  <si>
    <t>20GAG0003- Furnishing of Materials, Furniture and Equipment  for the Completion of DPWH Main Building, DPWH Pangasinan 1st DEO, Alaminos City, Pangasinan</t>
  </si>
  <si>
    <t>20GAG0001- Furnishing of Materials for the Completion of DPWH Main Building, DPWH Pangasinan 1st DEO, Alaminos City, Pangasinan</t>
  </si>
  <si>
    <t>Improvement of Drainage Line at Pulpogan II (along Municipal Road), Pulpogan, Consolacion, Cebu</t>
  </si>
  <si>
    <t>Construction of Potable Water System, Brgy. Kanapawan, Labo, Camarines Norte</t>
  </si>
  <si>
    <t>20GAG0002- Provision of Office Equipment and Accessories for the use of office Personnel at Pangasinan First District Engineering Office, Alaminos City, Pangasinan</t>
  </si>
  <si>
    <t>Construction/Improvement of Barangay Road (Phase II), Brgy. Tabas, Paracale, Camarines Norte</t>
  </si>
  <si>
    <t>PROCUREMENT OF SPARE PARTS FOR FARM TRACTOR-OMAG-1ST POSTING=PHP 327,100.00</t>
  </si>
  <si>
    <t>Concreting of Roads Infront of Breeding Station, Barangay Minanga, San Mariano, Isabela</t>
  </si>
  <si>
    <t>Rehabilitation of Solar Streetlights, Cory Aquino Boulevard, Camarines Norte</t>
  </si>
  <si>
    <t>SUPPLY AND DELIVERY OF CONSTRUCTION MATERIALS FOR THE CONSTRUCTION OF CONCRETE DRAINAGE COVER (PERFORATED), BRGY. BUNTAY, DULAG LEYTE</t>
  </si>
  <si>
    <t>SOLID WASTE MANAGEMENT</t>
  </si>
  <si>
    <t>Installation of Waste Water Treatment Facility at Consolacion Public Market, Cansaga,Consolacion, Cebu</t>
  </si>
  <si>
    <t>SUPPLY AND DELIVERY OF ALCOHOL (P.R. NO. 300-20-06-0215)</t>
  </si>
  <si>
    <t>Supply and Delivery of Various Fingerlings</t>
  </si>
  <si>
    <t>Supply and Delivery of Banknote Counter Machine</t>
  </si>
  <si>
    <t>SUPPLY AND DELIVERY OF SAFETY VAULT (P.R. NO. 100-20-03-0119)</t>
  </si>
  <si>
    <t>PROVISION OF POTABLE WATER SUPPLY FOR TOBACCO FARMERS OF SITIO SARAGCAO, MAAS-ASIN, MAGSINGAL, ILOCOS SUR</t>
  </si>
  <si>
    <t>Construction Of 1-Unit Tribal Hall</t>
  </si>
  <si>
    <t>Construction/Improvement of Drainage System of Libertad Public Market</t>
  </si>
  <si>
    <t>INVITATION TO BID FOR THE SUPPLY AND DELIVERY OF FUEL AND LUBRICANTS FOR GARBAGE COLLECTION</t>
  </si>
  <si>
    <t>Supply and Delivery of Materials for the Construction and Upgrading of Potable  Water System</t>
  </si>
  <si>
    <t>20PI0092 - Constn/Rehab/Impvt of Waterworks, Brgy. Bontoc Ili, Poblacion and Calutit, Bontoc, Mountain Province</t>
  </si>
  <si>
    <t>Hand Washing Counter for Covid 19-5units</t>
  </si>
  <si>
    <t>Procurement of Reference Books (Lot 1-7)</t>
  </si>
  <si>
    <t>20LA0336 Construction of Rainwater Collection System (RCWS), 1. Compostela valley State College, Compostela; 2. Compostela Valley Sports Complex, Compostela; 3. Tandawan Elementary School, New Bataan;</t>
  </si>
  <si>
    <t>To provide materials, labor, fuel and equipment needed for the development of Bayawan City Waterfront Park (DBM-LGSF-FUND) (NP/PB 20-0672)</t>
  </si>
  <si>
    <t>Procurement of Two (2) Air Conditioning Units for NTC Regional Office No. IX Conference Room</t>
  </si>
  <si>
    <t>20LA0335 Repair/Maintenance of San Jose Revetment (Tigbawan Creek) Montevista, Compostela Valley</t>
  </si>
  <si>
    <t>Quotation No.20-05-312 REBID = Water-based Lubricants</t>
  </si>
  <si>
    <t>ITB no. 2020-06-20 Supply and Delivery of various Fertilizers</t>
  </si>
  <si>
    <t>CONSTRUCTION OF ECCD LEARNING CENTER, SITIO COTO, BRGY. TALTAL, MASINLOC, ZAMBALES</t>
  </si>
  <si>
    <t>RHU Medicines and Vitamins in Preparation of COVID-19</t>
  </si>
  <si>
    <t>SUPPLY &amp; DELIVERY OF LIMESTONE FOR THE MAINTENANCE OF PROVINCIAL ROADS &amp; BRIDGES (MACHINE GRADING, REGRAVELLING SAND, GRAVEL&amp; LIMESTONE)</t>
  </si>
  <si>
    <t>Invitation to Bid for the CONSTRUCTION OF STA. ISABEL CIP, Bato, Catanduanes</t>
  </si>
  <si>
    <t>Supply and Delivery of Office Supplies, 1 Lot, for the Utilization of Pantawid Pamilya staff in RPMO, POO1, POO2, POO3, POO4 and its municipalities for the 1st Quarter CY 2020</t>
  </si>
  <si>
    <t>ITB No. 2020-06-21 Supply and Delivery of Various Agricultural Supplies</t>
  </si>
  <si>
    <t>Six (6) Months Lease Contract of Office Space for NTC Pagadian Satellite Office</t>
  </si>
  <si>
    <t>Supply of 250 bags Cement Portland (40 kgs./bag)</t>
  </si>
  <si>
    <t>LOCAL PROGRAM, LOCAL INFRASTRUCTURE PROGRAM, CONSTRUCTION OF MULTI PURPOSE BUILDING-PHASE 1 (MUNICIPAL HALL) AT DOLORES, QUEZON</t>
  </si>
  <si>
    <t>20GKI0027 (Public Bidding) Contract Name: Purchase of Construction Materials and Other Various Items for use in the DPWH Office 		  (Hand Washing Facility) as a GAD Program</t>
  </si>
  <si>
    <t>20KI0066 (Re-ad) - Construction of Multi-Purpose Building (Coastal Esplanade),  			  Brgy. Southern Poblacion &amp; Brgy. Northern Poblacion, Plaridel Misamis Ocidental</t>
  </si>
  <si>
    <t>PROPOSED CONCRETING OF PAVEMENT AND COVERED DRAINAGE AT DIVISION OFFICE, BRGY. POBLACION OESTE, DAGUPAN CITY</t>
  </si>
  <si>
    <t>Proc of various IT and Office Equipment</t>
  </si>
  <si>
    <t>CONSTRUCTION OF ECCD LEARNING CENTER, BRGY. STO ROSARIO, MASINLOC, ZAMBALES</t>
  </si>
  <si>
    <t>20NA0068 Concreting of Brgy. Mahaba FMR, Cabadbaran City, Agusan del Norte</t>
  </si>
  <si>
    <t>20GGH0023 – Purchase of Ten Thousand (10,000) Liters Diesel Fuel for use of various Vehicles assigned in Planning and Design Section, DPWH – Iloilo 3rd District Engineering Office</t>
  </si>
  <si>
    <t>20PI0093 - Construction/Rehabilitation/Improvement of Various Footbridges, Brgy. Betwagan, Sadanga, Mountain Province</t>
  </si>
  <si>
    <t>Road Rehabilitation of General Fullon Street to Zaldivar Street</t>
  </si>
  <si>
    <t>20GGH0024 –  Purchase of various Office Supplies and Equipment for use in this Office (Planning and Design Section) Line 1: Purchase of Supplies and Materials for the Conduct of Inventory/Condition In</t>
  </si>
  <si>
    <t>Supply and Delivery of Materials for the Construction of Day Care Center</t>
  </si>
  <si>
    <t>SUPPLY &amp; DELIVERY OF SAND &amp; GRAVEL FOR THE MAINTENANCE OF PROVINCIAL ROADS &amp; BRIDGES (MACHINE GRADING, REGRAVELLING SAND, GRAVEL&amp; LIMESTONE)</t>
  </si>
  <si>
    <t>Supply and Delivery of Two (2) Units Brand New Mobile Phones to be used in the Mobile Broadband Network Measuring Applications</t>
  </si>
  <si>
    <t>20KI0087 Contract Name	: Repair/Maintenance of Palilan Revetment 2,  			  Brgy. Palilan, Jimenez Misamis Ocidental</t>
  </si>
  <si>
    <t>Contract Package for the Concreting of Farm to Market Road with Stone Masonry, Barangay Pudoc West, Tagudin, Ilocos Sur</t>
  </si>
  <si>
    <t>20PI0094 - Repair/Maintenance of: 1. DPWH Building Old DE's Quarters, Caluttit, Bontoc, Mountain Province</t>
  </si>
  <si>
    <t>Supply of 36 pieces C.I. Mechanical End Cap 100mm with 50mm Threaded Hole</t>
  </si>
  <si>
    <t>Supply of 200 cu.m. Earthfill and 100 cu.m. Gravel</t>
  </si>
  <si>
    <t>Procurement of Backhoe Track Shoe Type</t>
  </si>
  <si>
    <t>SUPPLY &amp; DELIVERY OF DIESEL FOR ROAD ROLLER AND ROAD GRADER FOR THE MAINTENANCE OF PROVINCIAL ROADS &amp; BRIDGES (MACHINE GRADING, REGRAVELLING SAND, GRAVEL&amp; LIMESTONE)</t>
  </si>
  <si>
    <t>20NA0069 Concreting of Brgy. Guinabsan FMR, Buenavista, Agusan del Norte</t>
  </si>
  <si>
    <t>Supply of 20 pieces Calibrating Bucket (10 liter capacity)</t>
  </si>
  <si>
    <t>CONSTRUCTION OF ECCD LEARNING CENTER, SITIO UBAT, BRGY. BALOGANON, MASINLOC, ZAMBALES</t>
  </si>
  <si>
    <t>Provision of Sixteen (16) Sets Solar Streetlight at Brgy Estipona Local Access Road, Pura, Tarlac</t>
  </si>
  <si>
    <t>SUPPLY AND DELIVERY OF FUEL FOR REHABILITATION OF BARANGAY ROADS OF 16 BARANGAYS</t>
  </si>
  <si>
    <t>20PI0095 - Concreting of Brgy. Agawa FMR, Brgy. Agawa, Besao, Mountain Province</t>
  </si>
  <si>
    <t>Road Concreting at Sitio Antipolo, Jugan, Consolacion, Cebu</t>
  </si>
  <si>
    <t>Supply, Delivery and Installation of Various Furniture and Fixtures for Geographic Information System &amp; Indigenous Crops Laboratory</t>
  </si>
  <si>
    <t>One (1) lot Repair of Trane Chiller at the New Mint Plant, as per BSP Scope of Works and Specifications</t>
  </si>
  <si>
    <t>Supply of 85 pieces C.I. Mechanical Flange Adaptor 150mm. (6") for UPVC Pipe</t>
  </si>
  <si>
    <t>Road Concreting</t>
  </si>
  <si>
    <t>SUPPLY AND DELIVERY OF VARIOUS EQUIPMENT FOR THE UPGRADING OF CROP PROCESSING CENTER</t>
  </si>
  <si>
    <t>Supply and Delivery of Various Agricultural Machinery and Equipment</t>
  </si>
  <si>
    <t>Supply and Delivery of Supplies and Materials for OVPRE-PCAARRD SUSTAIN-IP-TBM Project</t>
  </si>
  <si>
    <t>Construction of SK Office and Fitness Facility (Phase I) Public Auditorium, Barangay Magtaking, Bugallon, Pangasinan</t>
  </si>
  <si>
    <t>Purchase of Office Supplies to be used for different offices of LGU of the Municipality of Tabuelan, Cebu</t>
  </si>
  <si>
    <t>Concreting of Barangay Roads at Balingasag, Sinapsapan, Jordan, Guimaras</t>
  </si>
  <si>
    <t>REHABILITATION OF KANG ANGHEL BARANGAY ROAD</t>
  </si>
  <si>
    <t>Purchase &amp; Delivery of one (1) unit Brand New Boom Truck</t>
  </si>
  <si>
    <t>Supply of 17 pieces C.I. Mechanical Tee, 100mm x 100mm for UPVC</t>
  </si>
  <si>
    <t>Supply &amp; Delivery of Vegetable Seeds for Home Food Production</t>
  </si>
  <si>
    <t>Construction of Rural Access Road Housing Proper</t>
  </si>
  <si>
    <t>Rescue Vehicle for MDRRMO Operation</t>
  </si>
  <si>
    <t>CONCRETING OF ACCESS ROAD (MATERIALS) AT CAMBUHAT</t>
  </si>
  <si>
    <t>REPAIR AND REHABILITATION WORKS OF ELECTRICAL LINES AND PERIMETER LIGHTINGS CAUSED BY STY LAWIN AGGRAVATED BY STY OMPONG</t>
  </si>
  <si>
    <t>Repair of Government Facilities for use During the Operation of Covid 19 Pandemic</t>
  </si>
  <si>
    <t>Supply and Delivery of Various Office Equipment for the College of Human Ecology and Food Science</t>
  </si>
  <si>
    <t>CONCRETING OF ACCESS ROAD (EQUIPMENT) AT CAMBUHAT</t>
  </si>
  <si>
    <t>Supply Labor and Materials for the Expansion of Tabunok Covered Court of the Municipality of Tabuelan, Cebu</t>
  </si>
  <si>
    <t>Construction and Development of Auxiliary Source Water</t>
  </si>
  <si>
    <t>Supply of 111 pieces C.I. Mechanical Flange Socket Adaptor, 100mm. (4") for UPVC</t>
  </si>
  <si>
    <t>Supply of 430 pieces C.I. Saddle Clamp for P.E. (CTS Pipe) 500mm x 19mm</t>
  </si>
  <si>
    <t>20CG0140 - Various Improvement of Facilities of Mechanical Building, Automotive Building and Embankment Works including Spreading of Filling Materials at Mexico Campus,  Various Improvement of Facilit</t>
  </si>
  <si>
    <t>Construction of 1 Classroom and 1 Computer Laboratory at Bungoy Elementary School</t>
  </si>
  <si>
    <t>Supply and Delivery of Various Laboratory Equipment for Food Processing Nutrition and Dietetics Department</t>
  </si>
  <si>
    <t>Purchase &amp; Delivery of one (1) unit Brand New Rescue Vehicle</t>
  </si>
  <si>
    <t>Supply labor and materials for the Repair/Improvement of Lo-oc Stage and Fence of the Municipality of Tabuelan, Cebu</t>
  </si>
  <si>
    <t>Construction of Rural Access Road Sitio Looc Baybay Purok IV</t>
  </si>
  <si>
    <t>FOOD PACKS FOR THE STAFF IN CHARGE AND PUI’S AT THE MUNCIPAL QUARATINE CENTER RELATED TO LGU COVID 19 INTERVENTION ACTIVITIES FOR 60 DAYS</t>
  </si>
  <si>
    <t>Purchase of Ambulance Vehicle</t>
  </si>
  <si>
    <t>Supply and Delivery of Laboratory Reagents - ITB 028-2020 GQ</t>
  </si>
  <si>
    <t>Upgrading and Improvement of Kuli-kuli Road 3</t>
  </si>
  <si>
    <t>Procurement of Civil Works for the Expansion of Material Recovery Facility,  Brgy. Bukid (Ecopark), Barugo, Leyte</t>
  </si>
  <si>
    <t>Supply of 32 pieces C.I. Mechanical Flange Adaptor 200mm for UPVC Pipe</t>
  </si>
  <si>
    <t>SUPPLY AND DELIVERY OF ONE (1) UNIT BRAND NEW SERVICE VEHICLE (PICK-UP) FOR THE CITY VETERINARY OFFICE (REBID)</t>
  </si>
  <si>
    <t>Supply and Delivery of Materials for Construction of Isolation Facility, Brgy. Poblacion, Glan, Sarangani Province.</t>
  </si>
  <si>
    <t>Supply Labor and Materials for the Repair/Improvement/Expansion of Perimeter Fence &amp; Stage at Sitio San Jose, Maravilla, Tabuelan, Cebu</t>
  </si>
  <si>
    <t>20NA0071 Construction of Covered Court, Poblacion, Brgy. 1, Tubay, Agusan del Norte</t>
  </si>
  <si>
    <t>Supply and Delivery of Various Furniture and Fixtures for the College of Human Ecology and Food Sciences</t>
  </si>
  <si>
    <t>Construction of Rural Access Road Purok II</t>
  </si>
  <si>
    <t>CONSTRUCTION AND HEAVY EQUIPMENT</t>
  </si>
  <si>
    <t>Supply of 35 pieces D.I. Mechanical Sleeve Type Coupling, 200mm. (8") for UPVC (Standard Type)</t>
  </si>
  <si>
    <t>Rehabilitation of Barangay Road</t>
  </si>
  <si>
    <t>Procurement of Supply and Delivery of Wooden Arm Chair with Steel Frame</t>
  </si>
  <si>
    <t>Quotation No.20-03-272 REBID = Procurement of Various Drugs and Medicines</t>
  </si>
  <si>
    <t>Construction of Rural Access Road Sitio Bago-Isi</t>
  </si>
  <si>
    <t>Construction of Rural Access Road  Looc Baybay</t>
  </si>
  <si>
    <t>20CG0141 - Various Repair and Improvement of Facilities of College of Computing Studies Building, Integrated HRM Building and CEP Building at Main Campus,  DHVSU, Bacolor, Pampanga</t>
  </si>
  <si>
    <t>Supply of 79 pieces D.I. Mechanical Sleeve Type Coupling, 50mm (2") for UPVC (Standard Type)</t>
  </si>
  <si>
    <t>Supply and Delivery of Various Laboratory Equipment for the College of Human Ecology and Food Sciences-Food Technology Department</t>
  </si>
  <si>
    <t>Purchase of 3 Units Aircon to be used by Vice Mayors Office</t>
  </si>
  <si>
    <t>SUPPLY AND DELIVERY OF VARIOUS PRINTED FORMS, STICKERS AND TIN PLATES FOR THE PROJECT "REGISTRATION AND FRANCHISING OF TRICYCLES, PEDICABS AND E-TRIKES"</t>
  </si>
  <si>
    <t>Supply and Delivery of Automatic Weather Station</t>
  </si>
  <si>
    <t>Construction of Rural Access Road Looc Bukid</t>
  </si>
  <si>
    <t>IB No.2020-06-30(05)Goods Cat I Med/Lab Supplies &amp; Reagents</t>
  </si>
  <si>
    <t>Procurement of Brand new motorbikes for Barangay Officials of Barangay Semirara, Caluya, Antique</t>
  </si>
  <si>
    <t>20FL0084-Rehabilitation/Construction of Road, Barangay Carayat, Prieto Diaz, Sorsogon,Sorsogon 2nd Legislative District</t>
  </si>
  <si>
    <t>Supply of 129 pieces Flange Ring, (steel) 150mm dia.</t>
  </si>
  <si>
    <t>Supply and Delivery of Construction Materials - ITB 029-2020 GQ</t>
  </si>
  <si>
    <t>SUPPLY AND DELIVERY OF COMPLETE FERTILIZER FOR RUBBER PLANTATION – MUNICIPAL WIDE, IMPASUGONG, BUKIDNON</t>
  </si>
  <si>
    <t>Supply and Delivery of Various I.T. and Office Equipment for Geographic Information System and Indigenous Crops Laboratory</t>
  </si>
  <si>
    <t>Purchase of Cleaning Supplies</t>
  </si>
  <si>
    <t>Preventive Maintenance of Motor and Armored Vehicle</t>
  </si>
  <si>
    <t>RFQ - 180ltrs. Diesel Fuel (Lot 1), Assorted Engine Oil/Fuel Filter (Lot 2), 1 unit Air Compressor (Lot 3) for use of the Generator Set of the Information Communication Technology Staff</t>
  </si>
  <si>
    <t>Const. of MRF</t>
  </si>
  <si>
    <t>Contract ID No. 19CSK00054 – Consulting Services for the Conduct of Soil Testing/Exploration for Bridge Projects - Geotechnical Investigation - Construction of Concrete Bridge, Magsaysay-Butuan City C</t>
  </si>
  <si>
    <t>RFQ - 2978.50 Diesel Fuel, 100ltrs. Extra Gasoline for use in the Consolidation of Various Fuel, Oil &amp; Lubricants of DPWH-BCDEO</t>
  </si>
  <si>
    <t>Construction of Rural Access Road Sitio Guinmisahan</t>
  </si>
  <si>
    <t>Invitation to Bid for Const. of Two Storey Four Classroom Bldg. at Calantas ES, Brgy. Calantas, Calaca, Batangas</t>
  </si>
  <si>
    <t>Fabrication of 8 units Barangay MRF</t>
  </si>
  <si>
    <t>20FL0085-Construction of Road Barangay Diamante, Prieto Diaz, Sorsogon, Sorsogon 2nd Legislative District</t>
  </si>
  <si>
    <t>INVITATION TO BID FOR THE SUPPLY AND DELIVERY OF HARDWARE MATERIALS FOR CONSTRUCTION OF PUBLIC MARKET</t>
  </si>
  <si>
    <t>UPGRADING (EARTH TO CONCRETE) OF ROAD GAP ALONG MAMBABANGA - CONCEPCION ROAD</t>
  </si>
  <si>
    <t>Supply &amp; Delivery of Office Equipment for the use of NIA-Regional Office IX, NIA-Regional Office, Labangan, Zambo. Sur</t>
  </si>
  <si>
    <t>Purchase of Supplies for use in the Conduct of Automated Traffic Count along National Roads in Albay 2nd District</t>
  </si>
  <si>
    <t>Contract ID No. 19CSK00055 – Consulting Services for the Conduct of Soil Testing/Exploration for Bridge Projects - Geotechnical Investigation - Construction of Concrete Bridge, Impasug-ong Bdry. Bukid</t>
  </si>
  <si>
    <t>Drainage Improvement (Installation of 0.60m dia RCPC, Construction of manhole 12 units)</t>
  </si>
  <si>
    <t>PR 9-20-04-0560, FOR THE USE OF SAN CARLOS CITY HOSPITAL, THIS CITY.</t>
  </si>
  <si>
    <t>Contract ID No. 19CSK00053 – Consulting Services for the Conduct of Soil Testing/Exploration for Bridge Projects - Geotechnical Investigation - Construction of Pigsuotan Bridge, Brgy. Mandulog, Iligan</t>
  </si>
  <si>
    <t>REHABILITATION OF SPILLWAY</t>
  </si>
  <si>
    <t>PR 31-20-02-0344, FOR THE USE OF PUBLIC SCHOOLS STUDENTS OF DEPED DIVISION OF SAN CARLOS CITY NEGROS OCCIDENTAL.</t>
  </si>
  <si>
    <t>20GID0016 - Supply and Delivery of Reflectorized Traffic Paints for use in Repainting of Bridges, Guardrails and Headwall within the 2nd District of Leyte</t>
  </si>
  <si>
    <t>PR 1-20-03-0520, FOR BANTAY DAGAT SEA BORNE PATROL OPERATION AND OTHER CRM RELATED ACTIVITIES.</t>
  </si>
  <si>
    <t>REPAIR OF BRGY. COMMUNITY CENTER FLOORING (portion only)</t>
  </si>
  <si>
    <t>COMPLETION OF MANPOWER DEVELOPMENT CENTER-BARANGAY LOCSOON</t>
  </si>
  <si>
    <t>Construction of Rural Access Road Sitio Pajo</t>
  </si>
  <si>
    <t>RFQ - Assorted Office Equipment  (Lot 1 &amp; Lot 2) for use in the Consolidation of Various Office Equipment of DPWH-BCDEO</t>
  </si>
  <si>
    <t>Repair/Rehab of Cansaga Bay Park (Bridge Under) located at Tayud, Consolacion, Cebu</t>
  </si>
  <si>
    <t>“SUPPLY AND DELIVERY OF EMERGENCY AND RESCUE EQUIPMENT FOR FLOOD AND EARTHQUAKE”</t>
  </si>
  <si>
    <t>Rehabilitation of JNR – Bogak – Raja – Kabunsuhan Road (Lingig, Surigao del Sur  ).</t>
  </si>
  <si>
    <t>20FL0078-Construction of Water Supply System, Barangay Bolo, Matnog, Sorsogon, Sorsogon 2nd Legislative District</t>
  </si>
  <si>
    <t>Supply and delivery of 900 sets Galvanized Metal Layer Cages with 48 heads of ready-to-lay Pullets per set of cages, ABC PHP46,350,000.00</t>
  </si>
  <si>
    <t>Renovation and Improvements of Boardwalk and Waiting Shed - Phase 1</t>
  </si>
  <si>
    <t>Supply and delivery of Hog Feeds to various MIC Farmer Associations in Leyte, ABC PHP18,453,380.00</t>
  </si>
  <si>
    <t>Purchase of Waste Management Supplies</t>
  </si>
  <si>
    <t>REHABILITATION OF STREET LIGHTING SYSTEM</t>
  </si>
  <si>
    <t>Contract ID No. 19CSK00056 – Consulting Services for the Conduct of Soil Testing/Exploration for Bridge Projects - Geotechnical Investigation - Construction of Bridge, Cagayan de Oro Diversion Road, J</t>
  </si>
  <si>
    <t>Fertilizer Subsidy</t>
  </si>
  <si>
    <t>Proc of various MTPB uniforms, supplies and materials</t>
  </si>
  <si>
    <t>PR 18-20-04-0549, ROAD CONCRETING OF ROADWAYS &amp; IMPROVEMENT OF DRAINAGE WITH SIDEWALK OF ALL INTERIOR ROADS OF STAGES 1 &amp; 2 OF URBAN RELOCATION SITE, PHASE 4.</t>
  </si>
  <si>
    <t>Laboratory Supplies (CPHCF)</t>
  </si>
  <si>
    <t>Supply, Delivery, Configuration and Testing of Local Area Network Tester for the Philippine Competition Commission</t>
  </si>
  <si>
    <t>SUPPLY AND DELIVERY OF TWO (2) UNITS BRAND NEW SERVICE VEHICLES (SPORTS UTILITY VEHICLES) FOR THE SANGGUNIANG PANLUNGSOD OFFICE (REBID)</t>
  </si>
  <si>
    <t>PROCUREMENT OF VARIOUS PHARMACEUTICALS</t>
  </si>
  <si>
    <t>Materials for Development of Municipal Cemetery</t>
  </si>
  <si>
    <t>Purchase of Rolling Trash Bins</t>
  </si>
  <si>
    <t>Contract ID No. 20GSK00012 - Supply and Installation of Office Furnitures &amp; Fixtures for use in the Road Right of Way New Office, Planning and Design Division</t>
  </si>
  <si>
    <t>Construction of Rural Access Road Punta Ignacio</t>
  </si>
  <si>
    <t>REHABILITATION OF MULTI - PURPOSE HALL</t>
  </si>
  <si>
    <t>Concreting of Roads - Cluster I Area</t>
  </si>
  <si>
    <t>PROCUREMENT OF DRUGS AND MEDICINES FOR CHO USE</t>
  </si>
  <si>
    <t>Contract ID No. 20GSK00010 - Supply and Installation for Air Conditioning Units for use in the Planning and Design Division (RROW), 1st Quarter</t>
  </si>
  <si>
    <t>Purchase of BPSO Kits</t>
  </si>
  <si>
    <t>Contract ID No. 20GSK00011 - Supply and Delivery of Office Supplies for the use in the Planning and Design Division for 2nd quarter, 2020</t>
  </si>
  <si>
    <t>Rehabilitation of Tubo-Tubo – Mam-on Road (Cagwait, Surigao del Sur  ).</t>
  </si>
  <si>
    <t>RFQ - Assorted Office Supplies and Consumables (Lot 1, Lot 2, Lot 3, Lot 4) for use in the Consolidation of Assorted Office Supplies of DPWH-BCDEO</t>
  </si>
  <si>
    <t>Repair of Parasanon National High School Multi-Purpose Building</t>
  </si>
  <si>
    <t>Construction of Rural Access Road Dungkaan</t>
  </si>
  <si>
    <t>CONSTRUCTION OF MULTI-PURPOSE CENTER/EVACUATION CENTER IN BARANGAY BUGNAY, VALDERRAMA (Brgy. Bugnay, Valderrama, Antique)/IB. NO. K-2020-025(SC)</t>
  </si>
  <si>
    <t>CONTRACT FOR THE PROCUREMENT OF JANITORIAL SERVICES</t>
  </si>
  <si>
    <t>Concreting of Badong Feeder Road Phase II (Tago, Surigao del Sur  ).</t>
  </si>
  <si>
    <t>Repair of CCTV Cameras</t>
  </si>
  <si>
    <t>SUPPLY AND DELIVERY OF TWO (2) UNITS BRAND NEW SERVICE VEHICLES (PASSENGER VANS) FOR THE CITY GENERAL SERVICES OFFICE (REBID)</t>
  </si>
  <si>
    <t>Concreting of Roads - Cluster II Area</t>
  </si>
  <si>
    <t>Rehabilitation of Brgy. Matho Access Road (Cortes,  Surigao del Sur ).</t>
  </si>
  <si>
    <t>Supply &amp; Delivery of Office Equipment, Furniture &amp; Materials for OUP</t>
  </si>
  <si>
    <t>20FO0098 - Construction of Multi-Purpose Building, Ligao City National Technical Vocational High School, Nasisi, Ligao City, Albay</t>
  </si>
  <si>
    <t>CONSTRUCTION OF CADIAO ROAD(Cadiao, Barbaza, Antique)/IB. NO. K-2020-054(SC)</t>
  </si>
  <si>
    <t>Construction of Rural Access Road S. Dulhugan</t>
  </si>
  <si>
    <t>“SUPPLY AND DELIVERY OF VARIOUS FIRST AID SUPPLIES AND MATERIALS”</t>
  </si>
  <si>
    <t>Improvement of Buildings and Estates/Planning Office</t>
  </si>
  <si>
    <t>CONSTRUCTION OF VARIOUS INFRASTRUCTURE PROJECTS FOR THE CITY OF NAVOTAS UNDER LGSF</t>
  </si>
  <si>
    <t>Concreting of Roads - Cluster III Area</t>
  </si>
  <si>
    <t>Invitation to Bid for Const. of Two Storey Four Classromm Bldg. at P.A. Paterno MES, Brgy. Puting Bato East, Calaca, Batangas</t>
  </si>
  <si>
    <t>CONCRETING OF PROVINCIAL ROAD, 500 meters FROM BARANGAY ILAYA TO BARANGAY SABANG EAST, BUGASONG (Ilaya-Sabang East, Bugasong, Antique)/IB. NO. K-2020-026(SC)</t>
  </si>
  <si>
    <t>Purchase and Installation of CCTV Cameras</t>
  </si>
  <si>
    <t>20FO0096 - Repair/Maintenance of Busac Flood Control along Cabilogan River, Busac, Oas, Albay</t>
  </si>
  <si>
    <t>LGU-COR. 2020-059</t>
  </si>
  <si>
    <t>Supply and delivery of 330 heads Gilt and 22 heads Boar to various MIC Farmers Associations in Leyte, ABC PHP15,840,000.00</t>
  </si>
  <si>
    <t>ICT EQUIPMENT FOR EODB ONE STOP SHOP</t>
  </si>
  <si>
    <t>20FO0097 - Repair/Maintenance of: 1. DPWH Building, AES-Old Bay Area Storage, Paulog, Ligao City; 2. DOJ Main Building, Salvacion St., Sta. Cruz, Ligao City; 3. DA Building, Phil. Coconut Authority, B</t>
  </si>
  <si>
    <t>Supply and delivery pf Various Injectable Medicines for the different Hospitals in Leyte,10,274,000.00</t>
  </si>
  <si>
    <t>PROCUREMENT OF VEHICLE</t>
  </si>
  <si>
    <t>20FO0099 - Construction of Multi-Purpose Building, Brgy. Sto. Cristo, Pio Duran, Albay</t>
  </si>
  <si>
    <t>Supply and delivery of various Medicines for the Leyte Provincial Health Caravan, ABC PHP 10,867,184.00</t>
  </si>
  <si>
    <t>SUPPLY AND DELIVERY OF 3 UNITS MOTOR VEHICLES</t>
  </si>
  <si>
    <t>2020-012 GOODS SUPPLY AND INSTALLATION OF SOLAR PANELS FOR THE SATELLITE POULTRY BREEDING PROJECT</t>
  </si>
  <si>
    <t>Procurement of Power Supply System</t>
  </si>
  <si>
    <t>Supply and delivery of 500 units High Density Utility Folding Bed, ABC PHP1,975,000.00</t>
  </si>
  <si>
    <t>PROCUREMENT FOR THE SUPPLY AND DELIVERY OF MEDICAL SUPPLIES FOR JLGMH</t>
  </si>
  <si>
    <t>CONTRACT ID: 19-10-208 REBID- SUPPLY, DELIVERY, TESTING AND COMMISSIONING OF BRAND NEW AMBULANCE (TYPE I)</t>
  </si>
  <si>
    <t>Construction of Masonry Drainage along Sampaguita Street (Panacal Village), Caggay-Tanza, Tuguegarao City</t>
  </si>
  <si>
    <t>Supply and delivery of Poultry Feeds to Various Farmer - Associations in Leyte, ABC PHP5,064,000.00</t>
  </si>
  <si>
    <t>Supply &amp; Delivery of One Lot Consumables &amp; I.T Supplies 2020-151</t>
  </si>
  <si>
    <t>Purchase of Dental Supplies &amp; Equipment</t>
  </si>
  <si>
    <t>INSTALLATION OF CCTV</t>
  </si>
  <si>
    <t>Construction of Three (3) Phase Primary Distribution Line for Tuguegarao City Slaughter House (Ipil-Ipil Street, Capatan, Tuguegarao City)</t>
  </si>
  <si>
    <t>20LC0153 - Locutan Bridge 1 (B00190MN) along Tagum － Panabo Circumferential Road</t>
  </si>
  <si>
    <t>2020 Capital Outlay RMT Project - Site Development of FLGC III Carmen</t>
  </si>
  <si>
    <t>Invitation to Bid for Const., of Two Storey Multi Purpose Bldg. at Cahil ES, Brgy. Cahil, Calaca, Batangas</t>
  </si>
  <si>
    <t>RFQ - Supply and Delivery of PHilMech Group Accident Insurance Provider</t>
  </si>
  <si>
    <t>20LC0152 - Jct. Tagum City Bypass Road － San Agustin － New Bohol, New Corella, leading to Matin-ao Inland Resort, New Corella, Davao del Norte</t>
  </si>
  <si>
    <t>Improvement of Pallua Elementary School Gymnasium (Pallua Elementary School, Pallua Sur)</t>
  </si>
  <si>
    <t>PROCUREMENT FOR THE SUPPLY AND DELIVERY OF BASIC LIFE SUPPORT (BLS) TRAINING EQUIPMENT OF OLONGAPO CDRRMC</t>
  </si>
  <si>
    <t>PROCUREMENT FOR THE SUPPLY AND DELIVERY OF RESCUE TOOLS AND EQUIPMENT FOR OLONGAPO DRRMO-OLONGAPO FIRE RESCUE</t>
  </si>
  <si>
    <t>Supply &amp; Delivery of Construction Materials and Electrical Supplies for Various Offices 2020-150</t>
  </si>
  <si>
    <t>Concreting of Manggagawa Barangay Road - ITB 030-2020 GQ</t>
  </si>
  <si>
    <t>IB NO. 2020-06-30 (05) Goods Category II – Drugs and Medicines</t>
  </si>
  <si>
    <t>SUPPLY AND DELIVERY OF ONE (1) UNIT BRAND NEW SERVICE VEHICLE (PICK-UP) FOR THE SANGGUNIANG PANLUNGSOD OFFICE (REBID)</t>
  </si>
  <si>
    <t>Procurement of Various Medical Supplies</t>
  </si>
  <si>
    <t>RFQ - Supply of materials, Delivery, Installation and Expert Services for the Software and Hardware components including assembly and debugging of prototype unit for the PIS</t>
  </si>
  <si>
    <t>Supply and Delivery of Office and Janitorial Supplies to be used in different office, Naujan, Oriental Mindoro</t>
  </si>
  <si>
    <t>Procurement of various Medicines for the Animal Bite and Treatment Center of the City Government of Tarlac. B2020-073-A</t>
  </si>
  <si>
    <t>ROAD IMPROVEMENT AT SITIO MALBAGO, LUYANG, CARMEN, CEBU</t>
  </si>
  <si>
    <t>CONSTRUCTION OF JIABONG FIRE STATION</t>
  </si>
  <si>
    <t>NSTALLATION OF TOURISM INFORMATION SYSTEM</t>
  </si>
  <si>
    <t>Invitation to Bid for Const. of Two Storey Administration Bldg. at Puting Bato ES, Brgy. Puting Bato West, Calaca, Batangas</t>
  </si>
  <si>
    <t>CONSTRUCTION OF 2-STOREY MUNICIPAL MULTI PURPOSE BUILDING</t>
  </si>
  <si>
    <t>PEO-19-1450-B (RE-BID) Construction of Various Water Systems in the 1st District of Iloilo Brgy. Cataan, San Joaquin; Brgy. Malagyan, Brgy. Maninila, Miag-ao, Iloilo</t>
  </si>
  <si>
    <t>PEO-20-0382-B CONCRETING OF STA. MONICA-CORDOVA ROAD  Oton, Iloilo</t>
  </si>
  <si>
    <t>Supply and Delivery of Materials to be used in the Installation/ Rehabilitation of Water System Level II &amp; III in Different Barangays, Naujan, Oriental Mindoro</t>
  </si>
  <si>
    <t>Procurement of Hospital Engineering &amp; Facilities Management Unit (HEMU) Supplies and ICT Equipment</t>
  </si>
  <si>
    <t>SWADT-ISABELA-2020-06-0179 : OFFICE SUPPLIES</t>
  </si>
  <si>
    <t>VARIOUS  PROJECTS UNDER CLUSTER I-2020, KAYAPA, BAKUN, BENGUET</t>
  </si>
  <si>
    <t>20GHF0005 - Supply and Delivery of Spare Parts and Lubricants for the Preventive &amp; Corrective Maintenance of Service Vehicles, Heavy Equipment and Miscellaneous Equipment assigned in DPWH Cebu 3rd Dis</t>
  </si>
  <si>
    <t>Procurement for the Supply, Delivery, Installation and Commissioning of 3D Printer for USTP-CDO</t>
  </si>
  <si>
    <t>20PA0128 : CONCRETING OF BARANGAY BUDAC TO BARANGAY GADDANI FMR, Barangay Budac and Barangay Gaddani, Tayum, Abra</t>
  </si>
  <si>
    <t>Purchase of PPE, Isolation Building Equipment and Supplies, Testing Kits and Medicines</t>
  </si>
  <si>
    <t>Procurement of Fuel for use of the Service Vehicles of the City Government of Tarlac. B2020-074-A</t>
  </si>
  <si>
    <t>CONCRETING OF IMAN STREET- BARANGAY MAGCAMIGUING</t>
  </si>
  <si>
    <t>Invitation to Bid for Concreting of Barangay Road at Sitio Buliran, Lumbang na Matanda, Calaca, Batangas</t>
  </si>
  <si>
    <t>20PK0069 - Cluster 1 - Repair and Rehabilitation of Infrastructure Facilities and Other Related Activities - Flood Control and Drainage Systems, Structures and Related Facilities, Mabilong and Dangoy,</t>
  </si>
  <si>
    <t>CONSTRUCTION OF PINABACDAO FIRE STATION</t>
  </si>
  <si>
    <t>IPH-19-616-B (Re-Bid) Construction of Pathological Tank, Vault for Sharps and Materials Recovery Facility for Iloilo Provincial Hospital  Pototan, Iloilo</t>
  </si>
  <si>
    <t>CONSTRUCTION OF PADRE BURGOS FIRE STATION</t>
  </si>
  <si>
    <t>Invitation to Bid for Concreting of Barangay Road at Brgy. Coral ni Lopez, Calaca, Batangas</t>
  </si>
  <si>
    <t>Melt Loading System</t>
  </si>
  <si>
    <t>Medical Supplies for Re-Enlistment of Air Force City Personnel</t>
  </si>
  <si>
    <t>Invitation to Bid for Const. of Two Storey Two Classroom Bldg. at Puting Kahoy ES, Brgy. Puting Kahoy, Calaca, Batangas</t>
  </si>
  <si>
    <t>SUPPLY AND DELIVERY OF LABOR AND MATERIALS FOR THE PROJECT CONSTRUCTION OF TAGABAS ILAYA LEVEL II POTABLE WATER SUPPLY SYSTEM, BRGY. TAGABAS ILAYA, CATANAUAN, QUEZON</t>
  </si>
  <si>
    <t>REHABILITATION OF BARANGAY STREET LIGHT</t>
  </si>
  <si>
    <t>Invitation to Bid for Rehabilitation/ Concreting of Road at Brgy. Matipok, Calaca, Batangas</t>
  </si>
  <si>
    <t>Invitation to Bid for Const. of Stage with Dressing Room and Perimeter Fence at Brgy. Matipok, Calaca, Batangas</t>
  </si>
  <si>
    <t>Tailored Fit Uniform for Pre-Entry Training CY-2020</t>
  </si>
  <si>
    <t>Invitation to Bid for Construction of Slope Protection at Brgy. Makina, Calaca, Batanga</t>
  </si>
  <si>
    <t>CONSTRUCTION OF CANAL LINING AT TALISAYAN, BRGY. SAMPALOC IV, CITY OF DASMARIÑAS, CAVITE</t>
  </si>
  <si>
    <t>NCB Publication No. 2020- 17 (First Publication)- Perimeter Fencing (Provincial Breeding Center)</t>
  </si>
  <si>
    <t>Spares and Services for the Repair and Maintenance of DLM Equipment</t>
  </si>
  <si>
    <t>REHABILITATION/IMPROVEMENT OF LEVEL III WATER SYSTEM</t>
  </si>
  <si>
    <t>SUPPLY AND DELIVERY OF LABOR AND MATERIALS FOR THE PROJECT, CONSTRUCTION OF STA. MARIA DAO LEVEL II POTABLE WATER SUPPLY SYSTEM, BRGY. STA. MARIA DAO, CATANAUAN, QUEZON</t>
  </si>
  <si>
    <t>SUPPLY AND DELIVERY OF HDPE PIPES AND COMPRESSION FITTINGS</t>
  </si>
  <si>
    <t>NCB Publication No. 2020- 18 (First Publication)- FMR Improvement at Sanafe</t>
  </si>
  <si>
    <t>Supply and delivery of HARDWARE MATERIALS  RE: For Land Development of Local Economic Enterprise Compound @ New Slaughterhouse, Brgy. Talaba</t>
  </si>
  <si>
    <t>Invitation to Bid for the Procurement of Lease of Venue and/or Catering Services for CY 2020 NEDA IX and RDC IX Activities  Through Framework Agreement</t>
  </si>
  <si>
    <t>Invitation to Bid for Const. of Three Storey Nine Classroom Bldg. at DGAES, Brgy. Dacanlao, Calaca, Batangas</t>
  </si>
  <si>
    <t>Hydraulic Mule</t>
  </si>
  <si>
    <t>Conditional Spares for the Maintenance and Repair of Bell 412 and UH-1 Helicopters</t>
  </si>
  <si>
    <t>HFW-2020-06-0180 : TEMPORARY FENCE OF HOME FOR WOMEN AT THE NEW BUILDING , MAMPANG ZC</t>
  </si>
  <si>
    <t>20LD0129-Repair/Maintenance of Drainage along Davao-Cotabato Road (Camanchiles Section), K1574+400 to K1575+237.5, Davao del Sur</t>
  </si>
  <si>
    <t>Spares for the Maintenance of C-295 Aircraft Nr 140 &amp; 142</t>
  </si>
  <si>
    <t>Invitation to Bid for Const. of Two Storey Six Classroom Bldg. at Matipok ES, Brgy. Matipok, Calaca, Batangas</t>
  </si>
  <si>
    <t>Furnishing of Labor, Materials, handtools and Equipment RE: Construction of Level II Potable Water Supply @ Brgy. Tagbakin Atimonan, Quezon</t>
  </si>
  <si>
    <t>Generators Set Type</t>
  </si>
  <si>
    <t>Cluster 17: Clustered Projects of Barangay Lengaoan-1</t>
  </si>
  <si>
    <t>Supply and delivery of HARDWARE MATERIALS  RE: For Land Development of Relocation Site @, Brgy. Talaba</t>
  </si>
  <si>
    <t>Invitation to Bid for Const. of Two Unit Communal Toilets at DGANHS, Brgy. Dacanlao, Calaca, Batangas</t>
  </si>
  <si>
    <t>Invitation to Bid for Const. of Two Storey Four Classroom Bldg. at Calaca Central ES, Brgy. 2, Calaca, Batangas</t>
  </si>
  <si>
    <t>IPH-19-1149-B (Re-Bid) Transformer and Wirings (Relocation of 3-units 75KVA Transformer and 2-unit Generator) Iloilo Provincial Hospital, Pototan, Iloilo</t>
  </si>
  <si>
    <t>SUPPLY AND DELIVERY OF LABOR AND MATERIALS FOR THE PROJECT, CONSTRUCTION OF BRGY. TAGBACAN IBABA LEVEL II POTABLE WATER SUPPLY SYSTEM, BRGY. TAGBACAN IBABA, CATANAUAN, QUEZON</t>
  </si>
  <si>
    <t>20CSZ017-Consulting Services for the Design Review/Construction Supervision of the Ambal-Simuay River and Rio Grande De Mindanao River Flood Control Projects Package 1 and Package 2</t>
  </si>
  <si>
    <t>Invitation to Bid for Const. of Two Storey Four Classroom Bldg. at Talisay ES, Brgy. Talisay, Calaca, Batangas</t>
  </si>
  <si>
    <t>PEO-20-0553-B Concreting of Aldeguer - Salcedo Road Sara, Iloilo</t>
  </si>
  <si>
    <t>SUPPLY AND DELIVERY OF LABOR AND MATERIALS FOR THE PROJECT, CONSTRUCTION OF BRGY. NAVITAS LEVEL II POTABLE WATER SUPPLY SYSTEM, BRGY. NAVITAS, CATANAUAN, QUEZON</t>
  </si>
  <si>
    <t>Invitation to Bid for Const. of Two Storey "ALS" Building at Calaca Central ES, Brgy. 2, Calaca, Batangas</t>
  </si>
  <si>
    <t>CID No. 20GI00003 - Purchase/delivery of one (1) set Portable Weigh-In Motion System (with mobilization, manpower, equipment, project management, supervision including programming, testing and commiss</t>
  </si>
  <si>
    <t>Cluster 18: Clustered Projects of Barangay Buyacaoan</t>
  </si>
  <si>
    <t>PEO-20-0613-B Concreting of JNR, Agtambo-Sto. Tomas- Nueva Union Road Passi City, Iloilo</t>
  </si>
  <si>
    <t>Bidding (Infra Project)</t>
  </si>
  <si>
    <t>INVITATION TO BID FOR THE Procurement of Five (5) Units of Fire Suppression System for ICT Equipment and Two (2) Units of Network Switch under the DOE CY2020 ISSP</t>
  </si>
  <si>
    <t>INSTALLATION OF SOLAR STREET LIGHTS - BRGY. SOLIS, BALETE, BATANGAS</t>
  </si>
  <si>
    <t>PEO-19-1551-B Improvement of Various Water Systems in the 3rd District of Iloilo Brgy. Nasaka, Maasin; Brgy. Corot-on, Lambunao, Iloilo</t>
  </si>
  <si>
    <t>CLUSTER 19: CONSTRUCTION OF LIVESTOCK AUCTION CENTER (PHASE II)</t>
  </si>
  <si>
    <t>IMPROVEMENT OF BRGY. HEALTH CENTER-BRGY. PALSARA, BALETE, BATS.</t>
  </si>
  <si>
    <t>Procurement of Various Airconditioning units and Supplies and Materials for Installation P.R. No. 159 - SAH</t>
  </si>
  <si>
    <t>CLUSTER 20: CONSTRUCTION OF NAYBO CHILD DEVELOPMENT CENTER PHASE (II)</t>
  </si>
  <si>
    <t>ROAD IMPROVEMENT (OPENING OF 750 LINEAR METER ROAD AT SITIO PALAWAN-MANAMBAY)</t>
  </si>
  <si>
    <t>Furnishing of Labor, Materials, handtools and Equipment RE: Construction of Community Fish Landing Center, @Zone 4 Poblacion, Atimonan, Quezon</t>
  </si>
  <si>
    <t>REHABILITATION/IMPROVEMENT OF WATER SYSTEM</t>
  </si>
  <si>
    <t>Supply and Delivery of One (1) Unit Brand New Mini Dump Truck for the use of Municipal Government of Calauag for Solid Waste Management</t>
  </si>
  <si>
    <t>2020-049 REHABILITATION OF BUREAU OF FIRE PROTECTION (BFP) BUILDING AT MUNICIPAL HALL COMPOUND, MIDSAYAP, COTABATO</t>
  </si>
  <si>
    <t>CONCRETING OF ROAD - BRGY. SALA, BALETE, BATS.</t>
  </si>
  <si>
    <t>20HI0059 - Concreting of Road to Villahermosa Marine Sanctuary and Mangrove Ecopark, Tudela, Cebu</t>
  </si>
  <si>
    <t>Construction of Brgy. Outpost Phase II</t>
  </si>
  <si>
    <t>2020-050, CONSTRUCTION OF BOX CULVERT AT PUROK 3, MILAYA, MIDSAYAP, COTABATO</t>
  </si>
  <si>
    <t>20HI0035 - Amancion Road Opening, Brgy. Amancion, Catmon, Cebu</t>
  </si>
  <si>
    <t>Contract I.D. No. 20OE0199 - MOOE – Maintenance, Repair and Rehabilitation of Infrastructure Facilities and Other Related Activities – Public Buildings – Repair / Maintenance / Rehab. –  Office of the</t>
  </si>
  <si>
    <t>Contract I.D. No. 20OE0198 - MOOE – Maintenance, Repair and Rehabilitation of Infrastructure Facilities and Other Related Activities – Public Buildings – Repair / Maintenance / Rehab. OP Building, Mul</t>
  </si>
  <si>
    <t>20HI0078 - Construction of Multi-Purpose Building, Barangay Estaca, Compostela, Cebu</t>
  </si>
  <si>
    <t>SUPPLY AND DELIVERY OF SUPPLY AND DELIVERY OF CALIBRATION AND RECERTIFICATION AND REPLACEMENT OF HEPA FILTER OF BIOLOGICAL SAFETY CABINET</t>
  </si>
  <si>
    <t>Research Work, Museum Text and AVP Script Writing of the Dambanang Lapu-lapu (Lapu-Lapu Shrine), Lapu-Lapu City, Cebu</t>
  </si>
  <si>
    <t>Purchase of Risk Communication and Hygiene Kits</t>
  </si>
  <si>
    <t>2020-039, CONSTRUCTION OF BAILEY BRIDGE CONNECTING PUROK 4 AND PUROK 5, POBLACION 5, MIDSAYAP, COTABATO</t>
  </si>
  <si>
    <t>PH-NPC-162238-GO-RFB - Solar Home Systems (SHS) for Access to Sustainable Energy Project Philippines, Window 2</t>
  </si>
  <si>
    <t>20HI0067 - Construction of Infirmary Hospital at Tudela, Cebu – Phase 1</t>
  </si>
  <si>
    <t>CONSTRUCTION OF ONE CLASSROOM SCHOOL BUILDING (SPED)</t>
  </si>
  <si>
    <t>20HI0088 - Construction of Local Road, Brgy. Tayud, Liloan, Cebu</t>
  </si>
  <si>
    <t>CONSTRUCTION OF ONE CLASSROOM SCHOOL BUILDING (ALS)</t>
  </si>
  <si>
    <t>2020-036, CONSTRUCTION OF STEEL BRIDGE AT SITIO PANGPANG, PUROK 4, BARANGAY UPPER GLAD 1, MIDSAYAP, COTABATO</t>
  </si>
  <si>
    <t>Contract I.D. No. 20OE0201 - Construction / Rehabilitation of Water Supply / Septage and Sewerage / Rain Water Collectors – Rain Water Collectors in Public Facilities – Construction of 16 Units Rainwa</t>
  </si>
  <si>
    <t>2020-051, SUPPLY AND DELIVERY OF ELECTRONIC DEVICES AND EQUIPMENT FOR EXPLOSIVE ORDNANCE DISPOSAL (EOD) UNIT AT LGU MIDSAYAP, COTABATO</t>
  </si>
  <si>
    <t>Contract I.D. No. 20OE0200 - MOOE – Maintenance, Repair and Rehabilitation of Infrastructure Facilities and Other Related Activities – Public Buildings – Repair / Maintenance / Rehab. –  DPWH Building</t>
  </si>
  <si>
    <t>CONSTRUCTION OF SPORTS LIBRARY BUILDING</t>
  </si>
  <si>
    <t>Fuel &amp; Lubricants of  Service Vehicle for Supervision/Implementation of Regular Infra Projects</t>
  </si>
  <si>
    <t>20HI0060 - Construction of Multi-Purpose Building, Brgy. Maslog, Danao City, Cebu</t>
  </si>
  <si>
    <t xml:space="preserve">Repair/Maintenance of Reflectorized 					  Thermoplastic Pavement Markings 					  (71x-Special  Maintenance) along  a)	Famy-Real-Infanta-Dinahican Port Road K0093+-623-K0149+636, w/exception Real and </t>
  </si>
  <si>
    <t>Purchase of Asphalt Cement 60/70 for Various Bridges along Various Road Sections</t>
  </si>
  <si>
    <t>Purchase of Materials for Act. # 122 Crack and Joint Sealing of Concrete Pavement</t>
  </si>
  <si>
    <t>Rehabilitation and Construction of Barangay Street Lights</t>
  </si>
  <si>
    <t>Construction of two storey six classroom – Lolomboy Elementary School, Bocaue, Bulacan</t>
  </si>
  <si>
    <t>Repair/Maintenance of Road Safety Devices 					  (Activity 71x-Special Maintenance) along				   		   a) Famy-Real-Infanta-Dinahican Port Road K0093+000-K0149+636, w/exception Real &amp; Infanta, Quezon b)</t>
  </si>
  <si>
    <t>Repair/Maintenance of DILG Building PNP Tayabas Police Station, Tayabas City-Quezon</t>
  </si>
  <si>
    <t>UPGRADING OF CCTV</t>
  </si>
  <si>
    <t>Purchase of Materials, Tools &amp; Equipment use for Routine Maintenance along Various Road Sections</t>
  </si>
  <si>
    <t>Construction of two storey six classroom – Guiguinto Central School, Guiguinto, Bulacan</t>
  </si>
  <si>
    <t>Repair/Maintenance of Yellow Centerline (Activity 71x-Special Maintenance)  along National Bridges, within Quezon 1st DEO,  Lucban, Quezon</t>
  </si>
  <si>
    <t>IB_Cluster 15- Sewerage and Waste Water Facility and Boardwalk, Puerto Galera, Oriental Mindoro</t>
  </si>
  <si>
    <t>Construction of three storey nine classroom – Tikay Elementary School, Malolos, Bulacan</t>
  </si>
  <si>
    <t>Repair/Maintenance of Road Safety Devices 					  (Activity 71x-Special Maintenance) within				   		   a) Tayabas Section, Tayabas City-Quezon b) Lucena-Tayabas-Lucban-Sampaloc Mauban Port Road (S01555</t>
  </si>
  <si>
    <t>PROCUREMENT OF OFFICE SUPPLIES AND DEVICES</t>
  </si>
  <si>
    <t>Construction of three storey nine classroom – Pres. Corazon Cojuangco Aquino MNHS, Malolos, Bulacan</t>
  </si>
  <si>
    <t>DSWD NNP No. 20-GOP-SVC-002-A - Hiring of Writer/Technical Editor for the 2019 DSWD Annual Report</t>
  </si>
  <si>
    <t>Construction of three storey nine classroom – Longos Elementary School, Malolos, Bulacan</t>
  </si>
  <si>
    <t>Construction of four storey eight classroom – Lolomboy National High School, Bocaue, Bulacan</t>
  </si>
  <si>
    <t>Concreting of Brgy. Catacte FMR, Brgy. Catacte, Bustos, Bulacan</t>
  </si>
  <si>
    <t>PROCUREMENT OF MINI-DUMP TRUCK</t>
  </si>
  <si>
    <t>20DC0204 - LOCAL PROGRAM, Local Infrastructure Program, Buildings and Other Structures, Multipurpose/Facilities, Rehabilitation and Improvement of San Nicolas Municipal Building, San Nicolas, Batangas</t>
  </si>
  <si>
    <t xml:space="preserve">20DC0201 - LOCAL PROGRAM, Construction/Repair/Rehabilitation/Improvement of Various Infrastructure including Local Projects, Buildings And Other Structures, Multipurpose/Facilities, Rehabilitation of </t>
  </si>
  <si>
    <t>Construction of three storey nine classroom – Bulihan National High School, Malolos, Bulacan</t>
  </si>
  <si>
    <t xml:space="preserve">20DC0202 - LOCAL PROGRAM, Construction/Repair/Rehabilitation/Improvement of Various Infrastructure including Local Projects, Buildings And Other Structures, Multipurpose/Facilities, Rehabilitation of </t>
  </si>
  <si>
    <t>20DC0203 - LOCAL PROGRAM, Construction/Repair/Rehabilitation/Improvement of Various Infrastructure including Local Projects, Buildings And Other Structures, Multipurpose/Facilities, Construction of Mu</t>
  </si>
  <si>
    <t>Concreting of Brgy. Siling Bata to Brgy. Cacarong Matanda FMR, Brgy. Siling Bata and brgy. Cacarong Matanda, Pandi, Bulacan</t>
  </si>
  <si>
    <t>Proposed Street Lighting</t>
  </si>
  <si>
    <t>GO BAG</t>
  </si>
  <si>
    <t>Construction of three storey twelve classroom – Bungahan Elementary School, Malolos, Bulacan</t>
  </si>
  <si>
    <t>Procurement of Computed Radiography Laser Imaging System(HFEP)</t>
  </si>
  <si>
    <t>PROCUREMENT OF EMERGENCY TRANSPORT VEHICLE</t>
  </si>
  <si>
    <t>Request for Quotation for Drugs and Medicine</t>
  </si>
  <si>
    <t>Concreting of Brgy. Tanawan to Brgy. Poblacion FMR, Brgy. Tanawan and Brgy. Poblacion, Bustos, Bulacan</t>
  </si>
  <si>
    <t xml:space="preserve">20DC0205 - LOCAL PROGRAM, Construction/Repair/Rehabilitation/Improvement of Various Infrastructure including Local Projects, Buildings And Other Structures, Multipurpose/Facilities, Rehabilitation of </t>
  </si>
  <si>
    <t>PROCUREMENT OF PICK-UP TRUCK</t>
  </si>
  <si>
    <t>Procurement of Ultrasound (HFEP)</t>
  </si>
  <si>
    <t>Supply and Delivery of Medical Equipment for Community  Hospital</t>
  </si>
  <si>
    <t>INVITATION TO BID FOR PROCUREMENT OF 8 LAPTOP UNITS, 1 HIGH-END VIDEO EDITING LAPTOP AND 20 DESKTOP UNITS</t>
  </si>
  <si>
    <t>20DC0206 - LOCAL PROGRAM, Local Infrastructure Program, Buildings And Other Structures, Multipurpose/Facilities, Construction of Multi-Purpose Building, San Nicolas, Batangas</t>
  </si>
  <si>
    <t>REPAIR AND RENOVATION OF ADMINISTRATION BUILDING</t>
  </si>
  <si>
    <t>MDRRMF CLUSTER 3-2020 PROJECT: REHABILITATION OF KM. 288-BETAC-WAGI ROAD</t>
  </si>
  <si>
    <t>IMPROVEMENT OF MUNICIPAL PARK</t>
  </si>
  <si>
    <t>PROCUREMENT OF FURNITURE &amp; FIXTURES &amp; OTHER EQUIPMENT</t>
  </si>
  <si>
    <t>CONSTRUCTION OF SLOPE PROTECTION AND COMPLETION OF EVACUATION CENTER</t>
  </si>
  <si>
    <t>MDF CLUSTER 11-2020 PROJECT: REHABILITATION OF IRRIGATION CANAL AT CASDAN</t>
  </si>
  <si>
    <t>Supply and Delivery of Plastic Melter for City ENRO</t>
  </si>
  <si>
    <t>INVITATION TO BID MESS FOODSTUFF LOT A. RICE</t>
  </si>
  <si>
    <t>PROCUREMENT OF IT &amp; OTHER OFFICE EQUIPMENT</t>
  </si>
  <si>
    <t>IB 2020-06-005 PORL Procurement of Operating Room Light 2020-05</t>
  </si>
  <si>
    <t>Procurement of Milk and Vitamins</t>
  </si>
  <si>
    <t>UPGRADING OF ELECTRICAL SYSTEM, PHASE I</t>
  </si>
  <si>
    <t>CONTINUATION OF THE REPAIR AND RENOVATION OF RESEARCH OFFICE / FTC (PHASE II)</t>
  </si>
  <si>
    <t>MDF CLUSTER 12-2020 PROJECTS AT PAOAY, ATOK, BENGUET</t>
  </si>
  <si>
    <t>IB 2020-06-006 PSS Procurement of Steam Sterilizer 2020-06</t>
  </si>
  <si>
    <t>CONSTRUCTION OF INTEGRATED TERMINAL</t>
  </si>
  <si>
    <t>CONTINUATION OF LABORATORY CUM TRAINING CENTER FOR IHM AND TOURISM PROGRAM (PHASE II)</t>
  </si>
  <si>
    <t>UPGRADING OF POWER SYSTEM</t>
  </si>
  <si>
    <t>INVITATION TO BID MESS FOODSTUFF LOT B. MEAT</t>
  </si>
  <si>
    <t>INVITATION TO BID MESS FOODSTUFF LOT F. VEGETABLES LEGUMES AND DESSERT</t>
  </si>
  <si>
    <t>Concreting (NRJ Camagong-Resettlement Site) Barangay Road, Brgy. Camagong</t>
  </si>
  <si>
    <t>INVITATION TO BID MESS FOODSTUFF LOT D. FRESH AND DRIED FISH</t>
  </si>
  <si>
    <t>INVITATION TO BID MESS FOODSTUFF LOT E. GROCERIES</t>
  </si>
  <si>
    <t>Procurement of Spare Parts</t>
  </si>
  <si>
    <t>INVITATION TO BID MESS FOODSTUFF LOT C. POULTRY</t>
  </si>
  <si>
    <t>ONE JOB ORDER FOR LABOR AND MATERIALS FOR THE CONSTRUCTION OF DOH RO 7 (PHASE II),TANJAY GENERAL HOSPITAL AND DOH WAREHOUSE AT EVERSELY CHILDS SANITARIUM (BAC 2020-I01)</t>
  </si>
  <si>
    <t>Procurement of Fertilizer and Insecticide</t>
  </si>
  <si>
    <t>Construction of Multi-Purpose Building (Phase III), Brgy. Cubi-Cubi</t>
  </si>
  <si>
    <t>Procurement of Food Supplies</t>
  </si>
  <si>
    <t>INVITATION TO BID FOR THE ACQUISITION OF 55 UNITS LAPTOP FOR CY 2020</t>
  </si>
  <si>
    <t>Widening of San Nicolas Road at Barangay San Nicolas, Floridablanca, Pampanga</t>
  </si>
  <si>
    <t>Procurement of Surveying Equipment</t>
  </si>
  <si>
    <t>CONCRETING OF BALACTASAN-PANG-ITAN ROAD, BRGY. BALACTASAN, MADALAG, AKLAN</t>
  </si>
  <si>
    <t>PROCUREMENT OF RESPONSE VEHICLE</t>
  </si>
  <si>
    <t>SUPPLY AND DELIVERY OF BACKYARD GARDENING SUPPLIES AND ASSORTED VEGETABLE SEEDS</t>
  </si>
  <si>
    <t>INVITATION TO BID MESS FOODSTUFF LOT G. COLD CUTS</t>
  </si>
  <si>
    <t>Procurement of Medicines and Medical Supplies</t>
  </si>
  <si>
    <t>REHABILITATION OF AMPATUA STREET</t>
  </si>
  <si>
    <t>(20LF0139)Junction Brgy. Old Macopa Centro to Sitio Madsayap, Brgy. Old Macopa, Connecting Manay Public Terminal to Abaca Processing and Corn Milling in Support to Agribusiness, Manay, Davao oOriental</t>
  </si>
  <si>
    <t>REHABILITATION OF MABINI STREET</t>
  </si>
  <si>
    <t>One(1) Job Labor, Materials &amp; Equipment Rentals for the Concreting of Municipal Road of Guanco Street, Pototan, Iloilo</t>
  </si>
  <si>
    <t>2020-TF-04: WATERWORKS SYSTEM PROJECT IN BARANGAY WESTERN UMA</t>
  </si>
  <si>
    <t>IMPROVEMENT/ UPGRADING OF ABATAN- BAGNEN ROAD</t>
  </si>
  <si>
    <t>Installation / Rehabilitation of Street Lighting System &amp; Pathway (Plaza and Around the Church &amp; National Hiway from Tumagbok Bridge to Sapa Bridge), Poblacion Miagao</t>
  </si>
  <si>
    <t>IMPROVEMENT/ UPGRADING OF BONTOC- MAINIT ROAD</t>
  </si>
  <si>
    <t>IMPROVEMENT/ UPGRADING OF SADSADAN- CUBA ROAD</t>
  </si>
  <si>
    <t>Procurement of spareparts (heavy equipment)-B-20-0190</t>
  </si>
  <si>
    <t>Supply and Delivery of Diesel for the Rehabilitation of Roads Leading to Resettlement Sites of Earthquake-Affected Communities</t>
  </si>
  <si>
    <t>IMPROVEMENT/ UPGRADING OF MAMAGA- SACLIT ROAD</t>
  </si>
  <si>
    <t>Procurement of food supplies (meals and snacks)within Davao de Oro-B-20-0189</t>
  </si>
  <si>
    <t>Rehabilitation of Burgos Street</t>
  </si>
  <si>
    <t>Supply of Labor and Materials for the Expansion of Distribution Lines for Water Supply At Brgy. Osiem, Mangaldan, Pangasinan</t>
  </si>
  <si>
    <t>(20LF0140)Jct. San Antonio Baybay Leading to Creamsand Longbeach, Brgy. Baybay, Cateel, Davao Oriental</t>
  </si>
  <si>
    <t>INVITATION TO BID NO. 2020-06-0013 PROCUREMENT OF ELECTRICAL SUPPLIES AND EQUIPMENT OF CAPSU SIGMA SATELLITE COLLEGE</t>
  </si>
  <si>
    <t>REHABILITATION OF JUDGE PIANG D. PAISO STREET</t>
  </si>
  <si>
    <t>(20LF0141)NRJ San Isidro-Campawan Leading to Curtain Falls, Barangay Campawan, Baganga, Davao Oriental</t>
  </si>
  <si>
    <t xml:space="preserve">REQUEST FOR JOB ORDER: REPAIR AND REPAINTING OF MMTSD STAFFHOUSES, OFFICE, STOCKROOM AND LAWN FENCE JO No. F3138S3 (S3-MMT20-006) and REPAIR  AND  RENOVATION  OF  MMTSD LABORATORY ROOM JO No. F3139S3 </t>
  </si>
  <si>
    <t>LAYOUT AND PRINTING OF VARIOUS MANUALS under IB NO. 2020-183</t>
  </si>
  <si>
    <t>Construction of Five (5) Units Multi-purpose Building of Barangay Sta. Felomina, Kisante, Rodero, Cabilao &amp; Old Bulatukan</t>
  </si>
  <si>
    <t>ITB - PURCHASE OF CONSTRUCTION MATERIALS FOR THE IMPROVEMENT OF STREETLIGHT AT ZONE 1-4 PROJECT</t>
  </si>
  <si>
    <t>CONCRETING OF INACBAN BARANGAY ROAD, AYUNGON, NEGROS ORIENTAL</t>
  </si>
  <si>
    <t>(20LF0142) NRJ Salingcomot-Languyon Leading to Languyon Mangove Park, Brgy. Salingcomot, Baganga, Davao Oriental</t>
  </si>
  <si>
    <t>CONCRETING OF KILABAN BARANGAY ROAD, AYUNGON, NEGROS ORIENTAL</t>
  </si>
  <si>
    <t>CONCRETING OF JANDALAMANON BARANGAY ROAD, AYUNGON, NEGROS ORIENTAL</t>
  </si>
  <si>
    <t>Construction of Temporary Office, Municipal Compound, Makilala, Cotabato</t>
  </si>
  <si>
    <t>CONCRETING OF SITIO KANLUKDUHAN, BARANGAY GOMENTOC, BARANGAY ROAD, AYUNGON, NEGROS ORIENTAL</t>
  </si>
  <si>
    <t>CONCRETING OF LAMIGAN (ABURAO SECTION) BARANGAY ROAD AT AYUNGON, NEGROS ORIENTAL</t>
  </si>
  <si>
    <t>ROAD CONCRETING OF MUNICIPAL CEMETERY ACCESS ROAD AT AYUNGON, NEGROS ORIENTAL</t>
  </si>
  <si>
    <t>Construction of Five (5) Units Multi-purpose Building of Barangay Saguing, Biangan, Indangan, New Baguio and Luayon</t>
  </si>
  <si>
    <t>Procurement of Dermatology Equipment</t>
  </si>
  <si>
    <t>IMPROVEMENT/REBLOCKING/SHOULDER/CANAL OF MUNICIPAL STREET- KAPITANA TIRAY STREET, DEGUIT STREET, TABURAZA STREET, ENARDECIDO STREET AND VILLANUEVA STREET, BRGY. POBLACION, AYUNGON, NEGROS ORIENTAL</t>
  </si>
  <si>
    <t>concreting and Improvement of Ground to Multipurpose Hall (Phase 2)</t>
  </si>
  <si>
    <t>ITB - PURCHASE OF CONSTRUCTION MATERIALS FOR THE IMPROVEMENT OF BRGY. HEALTH CENTER PHASE III PROJECT</t>
  </si>
  <si>
    <t>Local Road Upgrading (Improvement of Bato Road) Barangay Bato, Makilala, Cotabato</t>
  </si>
  <si>
    <t>INSTALLATION OF WINDOW BLINDS AT MP Bldg (Mayor's Office, Vice Mayor's Office &amp; SB Office)</t>
  </si>
  <si>
    <t>CONCRETING OF TAMBO BARANGAY ROAD, AYUNGON, NEGROS ORIENTAL</t>
  </si>
  <si>
    <t>Supply and Delivery of Anniversary Gold Ring</t>
  </si>
  <si>
    <t>Construction/Installation of Street Lights</t>
  </si>
  <si>
    <t>PROCUREMENT OF VARIOUS FERTILIZERS</t>
  </si>
  <si>
    <t>Elevated Water Tank at Birthing Center</t>
  </si>
  <si>
    <t>COMPLETION OF COVERED COURT (PHASE 2) - CATIGBIAN</t>
  </si>
  <si>
    <t>Procurement of Dog Trap in Support to Dog Termination Program</t>
  </si>
  <si>
    <t>REPAIR AND MAINTENANCE OF ELECTRIC/ POWER SUPPLY SYSTEM  AT ILOILO INTERNATIONAL AIRPORT</t>
  </si>
  <si>
    <t>SUPPLY AND DELIVERY OF LOT 1: 2,000 LITERS MOLASSES</t>
  </si>
  <si>
    <t>INVITATION TO BID FOR CONSTRUCTION OF ROAD (0.20M X 4.0M X 713M) AT BRGY. BUENAVISTA</t>
  </si>
  <si>
    <t>CONSTRUCTION OF SANITARY LANDFILL FACILITY, CELL 2 BRGY. KALYAAT</t>
  </si>
  <si>
    <t>Bidding for the Supply &amp; Delivery of Medicines for Municipal Health Office use</t>
  </si>
  <si>
    <t>COMPLETION OF TB DOTS</t>
  </si>
  <si>
    <t>CLUSTER 1, 2, 3, 4, 5, 6, 7, 8, 9, 10, 11, 12 &amp; 13 - REPAIR/REHABILITATION OF CLASSROOMS/CONSTRUCTION OF SLOPE PROTECTION (CY 2020 QRF)</t>
  </si>
  <si>
    <t>Construction of Drainage System 88 Linear Meter at L. Cambonga St., Poblacion, Sibonga, Cebu</t>
  </si>
  <si>
    <t>Procurement of Laboratory Equipment (HFEP)</t>
  </si>
  <si>
    <t>Malinao Dam Improvement Project, Pacakge 1 (Const. of Sabo Dam &amp; Slope Protection)</t>
  </si>
  <si>
    <t>Delivery of Brand New Rescue Vehicle needed for Disaster (PNP) (NP/PB 20-0658)</t>
  </si>
  <si>
    <t>INSTALLATION OF STREETLIGHTS ALONG MALINAO RIVER EASEMENT (REBID)</t>
  </si>
  <si>
    <t>Malinao Dam Improvement Project, Pacakge 2 (Const. of Lined Canal &amp; Canal Structures)</t>
  </si>
  <si>
    <t>Bidding for the Supply &amp; Delivery of Materials for Toilet Sanitation Program</t>
  </si>
  <si>
    <t>Termite/Pest Control Services for the Facilities of LPH-Luisiana District Hospital, LPH-Bay District Hospital, LPH-Nagcarlan District Hospital, LPH-San Pablo City District Hospital, LPH-Dr. J.P. Rizal</t>
  </si>
  <si>
    <t>Medicines for LPH-San Pablo City District Hospital</t>
  </si>
  <si>
    <t>CONSULTANCY SERVICES-PREPARATION AND APPROVAL OF COMPREHENSIVE LAND USE AND DEVELOPMENT PLAN OF THE CITY.</t>
  </si>
  <si>
    <t>Procurement of Machineries, Equipment, Furniture’s and Fixtures for the University use at ESSU Main Campus</t>
  </si>
  <si>
    <t>Organic Fertilizer and Assorted Vegetable Seeds for Distribution to Households in the Province of Laguna as Food Security Measure for COVID-19 Pandemic</t>
  </si>
  <si>
    <t>CONSTRUCTION OF DAY CARE CENTER PHASE 2</t>
  </si>
  <si>
    <t>Proposed Construction of Four (4) Storey-Forty Four (44) Rooms – School Building and Facilities at JUAN SUMULONG ELEMENTARY SCHOOL – Phase 3</t>
  </si>
  <si>
    <t>Proposed Construction of Fence at Animal Pound OfficE, Brgy. San Gregorio, San Pablo City.</t>
  </si>
  <si>
    <t>Proposed Construction of City Veterinary Office at Brgy. San Gregorio, San Pablo City.</t>
  </si>
  <si>
    <t>IMPROVEMENT OF PEOPLES CENTER/MPAC REBIDDING</t>
  </si>
  <si>
    <t>SUPPLIES USED FOR AGRICULTURE OFFICE</t>
  </si>
  <si>
    <t>20L00171 : Repair/Maintenance of: I. DPWH Building Presidential Guest House Building DPWH – Region XI – Equipment Management Division; II. DPWH Building Annex Building (Cabinet Secretaries Holding Bui</t>
  </si>
  <si>
    <t>PURCHASE OF EMERGENCY RESPONSE VEHICLE (Customized Four Wheel Drive Pickup Rescue Vehicle) FOR MDRRM OFFICE GUMACA, QUEZON</t>
  </si>
  <si>
    <t>Laboratory Supplies for LPH-Majayjay District Hospital No Balance Billing (NBB)</t>
  </si>
  <si>
    <t>CONDUCT OF GEOTECHNICAL INVESTIGATION FOR TRUCK SCALE SITES AT NDO (VALENZUELA)AND EDO (ANTIPOLO CITY)</t>
  </si>
  <si>
    <t>Rehabilitation/Improvement of 32 Classroom School Building Rear Exterior, PGMNHS, Sta. Cruz, Laguna</t>
  </si>
  <si>
    <t>Improvement of Multi-Purpose Building</t>
  </si>
  <si>
    <t>Supply and Delivery of One Hundred Fifty (150) units Smart Television</t>
  </si>
  <si>
    <t>Procurement of supply and delivery of Assorted Vegetable Seeds</t>
  </si>
  <si>
    <t>SUBMERSABLE REPLACEMENT FOR WATER SYSTEM AT LAPARAY</t>
  </si>
  <si>
    <t>PURCHASE OF FARM INPUTS FOR TILAPIA FISH CULTURE/TILAPIA PRODUCTION</t>
  </si>
  <si>
    <t>2 Units Service Vehicle (PR No. 100-2020-0736) PVGO</t>
  </si>
  <si>
    <t>PURCHASE OF FARM INPUTS FOR BANGUS FISH CULTURE/BANGUS PRODUCTION</t>
  </si>
  <si>
    <t>Supply and Delivery of Assorted Seeds (Centrosema, Calopo,Indigofera)</t>
  </si>
  <si>
    <t>Procurement of supply and delivery of Native Chicken</t>
  </si>
  <si>
    <t>20BE0083 - CONSTRUCTION OF RAINWATER COLLECTION SYSTEM (RWCS) CITY OF ILAGAN, TUMAUINI, CABAGAN, STO. TOMAS, DELFIN ALBANO, STA. MARIA &amp; SAN PABLO, ISABELA</t>
  </si>
  <si>
    <t>RE-BID SUPPLY AND DELIVERY OF TWO HUNDRED SIXTY FOUR (264) UNITS WEIGHING SCALE AND 4,000 BOTTLES MULTI-VITAMINS</t>
  </si>
  <si>
    <t>Procurement of supply and delivery of native pig</t>
  </si>
  <si>
    <t>20BE0084 - CLUSTER I - REPAIR/MAINTENANCE OF PUBLIC  BUILDINGS (A) DPWH PLANNING &amp; DESIGN SECTION BUILDING (B)  DPWH MAIN BUILDING (C) DPWH  GUESTHOUSE BUILDING (D) DPWH  GARAGE BUILDING OSMEÑA, CITY</t>
  </si>
  <si>
    <t>1 Unit Newborn Hearing Screening Machine (PR No. 100-2020-0734) PMH</t>
  </si>
  <si>
    <t>Medical Equipment (PR No. 100-2020-0756) ZSPH</t>
  </si>
  <si>
    <t>GS 2020-04 CALIBRATION OF VARIOUS HEALTH CARE EQUIPMENT</t>
  </si>
  <si>
    <t>Diesel, gas, and lubricants (PR No.100-2020-0781)</t>
  </si>
  <si>
    <t>Procurement of Supply &amp; Delivery of Banana Plantlet</t>
  </si>
  <si>
    <t>Provision of Security Services (PR No. 100-2020-0806) PGO</t>
  </si>
  <si>
    <t>Supply, Delivery, Testing and Commissioning of Brand New Mobile Dental Vehicle under IB No. 2020-144</t>
  </si>
  <si>
    <t>Renovation/Improvement of Municipal Accounting Office @ Escolapia Building, Santa Cruz Laguna</t>
  </si>
  <si>
    <t>Purchase of Personal Protective Equipment (PPE) For Electrical Division Personnel</t>
  </si>
  <si>
    <t>20BE0087 - REPAIR/MAINTENANCE OF DOJ BUILDING NBI – MAIN BUILDING OSMEÑA, CITY OF ILAGAN, ISABELA</t>
  </si>
  <si>
    <t>20BE0086 - CLUSTER III - REPAIR/MAINTENANCE OF PUBLIC BUILDINGS (A) CONSTITUTIONAL OFFICES BUILDING-CIVIL SERVICE COMMISSION BUILDING, ALIBAGU, CITY OF ILAGAN, ISABELA (B) DILG BUILDING PNP-ISABELA PO</t>
  </si>
  <si>
    <t>supply and delivery of office supplies and other materials to be used in RAED Office with PR # 06 dated 06/01/2020 with an ABC of 264,964.08</t>
  </si>
  <si>
    <t>Construction of Evacuation Center at Barangay Malvar, Naujan, Oriental Mindoro</t>
  </si>
  <si>
    <t>Concreting of Road</t>
  </si>
  <si>
    <t>Procurement of Two (2) Units of Water Tank Truck</t>
  </si>
  <si>
    <t>Construction of Evacuation Center at Barangay San Andres, Naujan, Oriental Mindoro</t>
  </si>
  <si>
    <t>Construction of Multi-purpose Building</t>
  </si>
  <si>
    <t>20BE0085 - CLUSTER II - REPAIR/MAINTENANCE OF PUBLIC  BUILDINGS (A) PNP-ISABELA POLICE PROVINCIAL OFFICE – BOQ 3 (B) PNP-ISABELA POLICE PROVINCIAL OFFICE-PIDMB BUILDING (C) PNP-ISABELA POLICE PROVINCI</t>
  </si>
  <si>
    <t>PB2020-06-004 GAA Waterproofing/Concrete Repair, Cleaning of Water Storage Tanks (Cistern/Elevated), Troubleshooting and Repair of Water Pumps (Rebid)</t>
  </si>
  <si>
    <t>Rehabilitation of Water System of Barangay Maparat</t>
  </si>
  <si>
    <t>EXTENSION OF RIVER CONTROL &amp; CONSTRUCTION OF R.C. FOOTBRIDGE</t>
  </si>
  <si>
    <t>Supply and Delivery of One (1) Unit Ambulance to be used in the Municipal Health Office, Naujan, Oriental Mindoro</t>
  </si>
  <si>
    <t>Fabrication and Delivery of Fiberglass Motorized Fishing Boat</t>
  </si>
  <si>
    <t>AB '20 PROCUREMENT OF OFFICE SUPPLIES</t>
  </si>
  <si>
    <t>AB '20 PROCUREMENT OF BDRRM DISASTER EQUIPMENT</t>
  </si>
  <si>
    <t>Procurement of Solar Lamp in Support to Youth Development</t>
  </si>
  <si>
    <t>AB '20 PROCUREMENT OF BDRRM DISASTER SUPPLIES</t>
  </si>
  <si>
    <t>AB '20 PROCUREMENT OF PHOTOCOPY MACHINE</t>
  </si>
  <si>
    <t>PURCHASE OF ONE (1) UNIT DUMP TRUCK  FOR THE MUNICIPALITY OF INFANTA, PANGASINAN</t>
  </si>
  <si>
    <t>SUPPLY AND DELIVERY OF EQUIPMENT, PAINTS AND OTHER MATERIALS FOR TRAFFIC SIGNAGE AND ROAD PEDXING</t>
  </si>
  <si>
    <t>Provision of Security Services Requirements for the TESDA Central Office for FY 2020 - Rebidding</t>
  </si>
  <si>
    <t>Slope Protection Project, Brgy. Cagbang, Miagao, Iloilo</t>
  </si>
  <si>
    <t>Installation of Survellance camera at Multi Purpose Hall, Brgy. Baley-Adaan, Alaminos City, Pangasinan</t>
  </si>
  <si>
    <t>Construction of Riverbank Protection, Brgy. Frantilla, Miagao, Iloilo</t>
  </si>
  <si>
    <t>Concreting of Barangay Road and Construction of Overflow, Brgy. Paro-on, Miagao, Iloilo.</t>
  </si>
  <si>
    <t>RE-BID FOR PROJECT # 19 – 171–PROCUREMENT OF Acquisition of Road Right-of-Way (RROW) for East Road/West Road/ Government Center (PARCELLARY SURVEY FOR EAST ROAD) –Office of the City Mayor</t>
  </si>
  <si>
    <t>2020-22 Supply, Delivery &amp; Installation of Printing Equipment and Supplies for the University</t>
  </si>
  <si>
    <t>ITB 20-03-142 - SUPPLY, DELIVERY AND INSTALLATION OF ICT EQUIPMENT FOR MONITORING OF PROJECT MITHI</t>
  </si>
  <si>
    <t>PROCUREMENT OF MEDICAL SUPPLIES FOR USE AT KALINGA PROVINCIAL HOSPITAL, 20-05-939</t>
  </si>
  <si>
    <t>2020-21 Supply, Delivery &amp; Installation of Laboratory Furniture and Fixture for Analytical Building</t>
  </si>
  <si>
    <t>05-003-20 (PROCUREMENT of SECURITY SERVICES in Department of Agriculture IX)</t>
  </si>
  <si>
    <t>PROCUREMENT OF O.B. KITS FOR USE AT PROVINCIAL HEALTH OFFICE, 20-05-897</t>
  </si>
  <si>
    <t>2020-19 Supply &amp; Delivery of Medical Supplies for Both Campuses</t>
  </si>
  <si>
    <t>Procurement of Various COVID-19 Medical Equipment for CY 2020</t>
  </si>
  <si>
    <t>2020-19 Supply, Delivery &amp; Installation of Technical and Scientific Equipment for Both Campuses</t>
  </si>
  <si>
    <t>PROCUREMENT OF DRUGS AND MEDICINES FOR USE AT KALINGA PROVINCIAL HOSPITAL, 20-05-941</t>
  </si>
  <si>
    <t>MCP-June 2020</t>
  </si>
  <si>
    <t>CONCRETING OF BARANGAY ROAD</t>
  </si>
  <si>
    <t>BARANGAY EMERGENCY RESPONSE VEHICLE</t>
  </si>
  <si>
    <t>Request for Quotation for Equipment Rental of Backhoe and Self loader</t>
  </si>
  <si>
    <t>Supply and Delivery of Office Furniture and Fixtures</t>
  </si>
  <si>
    <t>CONTRACT FOR SECURITY SERVICES, UPM-SHS PALO LEYTE</t>
  </si>
  <si>
    <t>Construction and Improvement of Perimeter Fence of Barangay Health Station</t>
  </si>
  <si>
    <t>Supply and Delivery of Two (2) Units Motorcycle</t>
  </si>
  <si>
    <t>SUPPLY AND DELIVERY OF CONSTRUCTION MATERIALS FOR THE CONSTRUCTION OF 1-STOREY MULTI-PURPOSE HALL (*REPOSTED)</t>
  </si>
  <si>
    <t>2020-17A Procurement of Motor Vehicle-Bayombong Campus (2nd Advertisement)</t>
  </si>
  <si>
    <t>2020-18A Supply, Delivery &amp; Installation of Laboratory Equipment for Research &amp; Development Project-Bayombong Campus</t>
  </si>
  <si>
    <t>Supply &amp; Delivery of Various Medicines (RFP 2020-03)</t>
  </si>
  <si>
    <t>ITB No. (INF) 2020-06-080 CONSTRUCTION/IMPROVEMENT OF MAYTIGBAO – STO. TOMAS, Sulat, Eastern Samar</t>
  </si>
  <si>
    <t>Construction of Pumping Station located at Brgy. Villa Luna Cauayan City, Isabela</t>
  </si>
  <si>
    <t>ITB No. (INF) 2020-06-079 CONCRETING OF BARANGAY ROAD, Brgy. 1, San Julian, Eastern Samar</t>
  </si>
  <si>
    <t>ITB No. (INF) 2020-06-082 ROAD CONCRETING OF MACAANGA ROAD, Brgy. Macaanga, Llorente, Eastern Samar</t>
  </si>
  <si>
    <t>BARANGAY ROAD CONCRETING</t>
  </si>
  <si>
    <t>ITB No. (INF) 2020-06-083 CONSTRUCTION OF BUABUA – BALUD FARM-TO-MARKET ROAD, Salcedo, Eastern Samar</t>
  </si>
  <si>
    <t>PURCHASE OF ICT EQUIPMENT FOR BRGY. POTOL, INFANTA, PANGASINAN</t>
  </si>
  <si>
    <t>Supply &amp; Delivery of 2 Units Shuttle Bus</t>
  </si>
  <si>
    <t>CONSTRUCTION/IMPROVEMENT OF IRRIGATION SYSTEM</t>
  </si>
  <si>
    <t>ITB No. (INF) 2020-06-081 REPAIR/REHABILITATION OF SAURONG BRIDGE, Brgy. Saurong, Oras, Eastern Samar</t>
  </si>
  <si>
    <t>ITB NO. (GDS)  2020-06-014 PROCUREMENT OF CONSTRUCTION MATERIALS FOR THE REHABILITATION &amp; MAINTENANCE OF HINOLASO – DAMPIGAN FMR, Dolores, Eastern Samar</t>
  </si>
  <si>
    <t>PROVISION OF SECURITY SERVICES FOR CY2020</t>
  </si>
  <si>
    <t>ITB No. (INF) 2020-06-085 CONSTRUCTION/IMPROVEMENT OF BRGY. SULONG ROAD, Can-avid, Eastern Samar</t>
  </si>
  <si>
    <t>ITB No. (INF) 2020-06-084 CONSTRUCTION/IMPROVEMENT OF STA. MARGARITA ROAD, Quinapondan, Eastern Samar</t>
  </si>
  <si>
    <t>PROVISION OF JANITORIAL SERVICES FOR CY2020</t>
  </si>
  <si>
    <t>PROVISION OF FUEL FOR ALL AUTHORIZED MOTOR VEHICLE OF THE DEPARTMENT OF AGRICULTURE  (DA) THROUGH THE USE OF FLEET CARDS FOR CALENDAR YEAR 2020</t>
  </si>
  <si>
    <t>ITB No. (INF) 2020-06-086 CONSTRUCTION/IMPROVEMENT OF BRGY. NAPARAAN TO ABEJAO ROAD, Salcedo, Eastern Samar</t>
  </si>
  <si>
    <t>ITB No. (INF) 2020-06-087 CONCRETING OF HOLLYWOOD TO BUNGTOD ROAD, Guiuan, Eastern Samar</t>
  </si>
  <si>
    <t>ITB No. (INF) 2020-06-088 CONSTRUCTION OF BRGY. ROAD, CANTEROS FARM-TO-MARKET ROAD, Can-avid, Eastern Samar</t>
  </si>
  <si>
    <t>Hiring of a Service Provider particularly Media Agency to Develop a Media Plan and Procure Media Placements to Amplify the DOH COVID-19 Nationwide Community Campaign</t>
  </si>
  <si>
    <t>Supply and Delivery of Petroleum for FY 2020</t>
  </si>
  <si>
    <t>SUPPLY AND DELIVERY OF MATERIALS AND SUPPLIES AND DRILLING FOR THE PROVISION OF POTABLE WATER SYSTEM, PUROK 3, BRGY. POTOL, INFANTA, PANGASINAN</t>
  </si>
  <si>
    <t>Supply, Delivery &amp; Installation of 15 Units Desktop Computers with SSD OS, Word Processing &amp; Antivirus Software</t>
  </si>
  <si>
    <t>SERVICE MAINTENANCE OF VARIOUS AIR-CONDITIONING (AC) UNITS OF THE DEPARTMENT OF AGRICULTURE – CENTRAL OFFICES (MAIN/NEW BUILDING) INCLUDING THE INFORMATION AND COMMUNICATIONS TECHNOLOGY SERVICE BUILDI</t>
  </si>
  <si>
    <t>SUPPLY, DELIVERY, FABRICATION and INSTALLATION OF MATERIALS FOR THE CONSTRUCTION OF 6 UNITS SOLAR STREETLIGHTS @ SITIO CENTRO BRGY. BAMBAN, INFANTA, PANGASINAN</t>
  </si>
  <si>
    <t>SUPPLY, DELIVERY, FABRICATION and INSTALLATION OF MATERIALS FOR THE CONSTRUCTION OF 6 UNITS SOLAR STREETLIGHTS @ SITIO TABTABAN, BRGY. BAMBAN, INFANTA, PANGASINAN</t>
  </si>
  <si>
    <t>PROCUREMENT  OF TWO (2) UNITS  BRAND NEW MEDICAL AMBULANCE</t>
  </si>
  <si>
    <t>Procurement of Service Provider for the Phase II of Enhanced Farmland Geographic Information System (FGIS Digitization of Parcellary Maps and Farmland Database Development)</t>
  </si>
  <si>
    <t>CONSTRUCTION OF DRAINAGE CANAL AT ZONE 6</t>
  </si>
  <si>
    <t>the Supply &amp; Delivery of Various Construction Materials intended for Construction of Senior Citizen Building - Phase 2 (Complete Bid)</t>
  </si>
  <si>
    <t>CONSTRUCTION/IMPROVEMENT OF MARKETS</t>
  </si>
  <si>
    <t>Improvement of Naguilian-San Fernando Road, Naguilian</t>
  </si>
  <si>
    <t>Supply and Delivery of Various Brand New Heavy Equipments and  Brand New Six (6) Wheelers Dump truck</t>
  </si>
  <si>
    <t>Purchase of Communication Equipment</t>
  </si>
  <si>
    <t>CONSTRUCTION OF PATHWAY AT ZONE 7</t>
  </si>
  <si>
    <t>Rehabilitation and Improvement of Sapilang Road, Bacnotan</t>
  </si>
  <si>
    <t>Purchase of 50 sets uniforms for JERU, MDRRMO staffs and LCE</t>
  </si>
  <si>
    <t>Improvement of Rimos #4  Road, Luna</t>
  </si>
  <si>
    <t>Procurement of Office Supplies 2020 RE-BID</t>
  </si>
  <si>
    <t>20BF0057: Maintenance, Repair and Rehabilitation of Infrastructure Facilities and Other Related Activities - Public Buildings at Roxas, Isabela and Naguilian, Isabela</t>
  </si>
  <si>
    <t>PROCUREMENT  OF ONE  (1) UNIT  BRAND NEW NON- REFRIGERATED CLOSE MEAT DELIVERY VAN</t>
  </si>
  <si>
    <t>100-2020-05-695 Supply and delivery of 1 unit mixer truck euro IV 6x4 380hp 10m³, etc.</t>
  </si>
  <si>
    <t>Evaporation Kettle</t>
  </si>
  <si>
    <t>Purchase of 50 units Handheld Radios</t>
  </si>
  <si>
    <t>Proposed Expansion &amp; Improvement of Water System - San Antonio</t>
  </si>
  <si>
    <t>REHABILITATION OF TAGO TOWN HALL</t>
  </si>
  <si>
    <t>Improvement/Widening of Balecbec-Basca Farm to Market Road, Naguilian</t>
  </si>
  <si>
    <t>Concrete Paving of Caningay-Balicotoc-Canlamay Road Phase II, Candoni, Negros Occidental /(PEO-2020-0070)</t>
  </si>
  <si>
    <t>Concreting of 250 Linear Meter Sitio Cabasaran to Bubong Paco Farm to Market Road</t>
  </si>
  <si>
    <t>Construction of Dallangayan Este Creek Slope Protection, San Fernando City</t>
  </si>
  <si>
    <t>Construction of Farmers Multi-Purpose Center, Juan Cartas, Caba</t>
  </si>
  <si>
    <t>Concrete Paving of Guinpana-an – Alingasao Road, Moises Padilla, Negros Occ.  (Sta. 0+271.47 to 0+457.15, Sta. 0+998.28 to 1+122.98, Sta. 1+248.38 to 1+646.44)/PEO-2020-0603)</t>
  </si>
  <si>
    <t>Concreting of 150 Linear Meter Brgy. Maria Cristina Farm to Market Road</t>
  </si>
  <si>
    <t>Rehabilitation of Lingsat Farm to Market Road (Hufano Street), San Fernando City</t>
  </si>
  <si>
    <t>Concreting of 150 Linear Meter Sigayan to Bualan Farm to Market Road (AM Counterpart)</t>
  </si>
  <si>
    <t>Concreting of 330 Linear Meter Executive Complex</t>
  </si>
  <si>
    <t>ITB - Purchase of Office Furnitures and Equipment</t>
  </si>
  <si>
    <t>Rehabilitation and Improvement of Biday-Mameltac-Saoay-Dallangayan Road, San Fernando City</t>
  </si>
  <si>
    <t>Construction of Double Barrel Reinforced Concrete Box Culvert Phase I at Barangay Placer</t>
  </si>
  <si>
    <t>Completion of Covered Court (Roofing Works) at Barangay Gomez</t>
  </si>
  <si>
    <t>Procurement of Fuel, Oil &amp; Lubricants</t>
  </si>
  <si>
    <t>Concrete Paving of Sicaba Monte – Dalayapan Provincial Road, Rural Access (Road Upgrading), Brgy. Sicaba Monte, Manapla, Negros Occidental (STA 9+081.96 – STA. 9+441.96) / (PEO-2020-0745).</t>
  </si>
  <si>
    <t>Concreting of 200 Linear Meter Brgy. Cadayonan Farm to Market Road</t>
  </si>
  <si>
    <t>Concreting of 400 Linear Meter Brgy. Bangko to Bulao Farm to Market Road</t>
  </si>
  <si>
    <t>Concreting of 250 Linear Meter Brgy. Sarip Alawi Farm to Market Road</t>
  </si>
  <si>
    <t>Supply and Delivery of Computer Paper Continuous Forms for the Regional Payroll Services Unit of the Department of Education, Regional Office VI</t>
  </si>
  <si>
    <t>Interior Fit-out of PNB 4th Floor, Lacson St., Bacolod City, Negros Occidental / (PEO-2020-0485)</t>
  </si>
  <si>
    <t>ITB-Supply and Delivery of School Supplies and Equipment</t>
  </si>
  <si>
    <t>Expansion/Renovation (Clinical Laboratory/Blood Station, Emergency Room and PWD at Nurse Station), Calatrava Municipal Hospital, Calatrava, Negros Occidental /(PEO-2020-0413)</t>
  </si>
  <si>
    <t>MG-PLM20-015..REPLACEMENT OF POWERHOUSE STATION BATTERIES</t>
  </si>
  <si>
    <t>PR# 20-1417- To supply labor, materials and necessary tools and equipment for the Construction of Multi-Purpose Covered Area at Purok 1, San Jose Ponduan, City of San Fernando, Pampanga.</t>
  </si>
  <si>
    <t>Concreting of Yeban Norte-Punit Road (530 Meters)</t>
  </si>
  <si>
    <t>Supply and Delivery of 1-unit Passenger Van for Bicol University</t>
  </si>
  <si>
    <t>Construction of Breakwater @ So. Candumong, Brgy. Sicaba, Cadiz City</t>
  </si>
  <si>
    <t>Procurement of Various Materials for the Installation of Solar Street Lights</t>
  </si>
  <si>
    <t>ITB NO. 2020-0012 Design, Supply, Fabrication of Mounting Brackets and Installation and Testing of Antenna Panels for the Zamboanga Transmitter Station of the People’s Television Network Inc. (PTNI)</t>
  </si>
  <si>
    <t>SUPPLY, DELIVERY, AND INSTALLATION  OF VARIOUS ICT EQUIPMENT UNDER THE 2020 MITHI PROJECT</t>
  </si>
  <si>
    <t>Construction of Gender Sensitive Evacuation Center (Phase II) @ Brgy. Proper, Brgy. Cabahug, Cadiz City</t>
  </si>
  <si>
    <t>Procurement of Trucking Services for the Intra-Regional and Intra-Provincial Transfer of Grains of NFA Region VI for the Year 2020 (Negotiated Procurement: Two-Failed Biddings)</t>
  </si>
  <si>
    <t>Construction of Pathwalk, Access Ramp and Stairs at Valladolid District Hospital, Valladolid, Negros Occidental / (PEO-2020-0695)</t>
  </si>
  <si>
    <t>Supply and Delivery of 1-unit Sports Utility Vehicle for Bicol University</t>
  </si>
  <si>
    <t>INSTALLATION OF WASTE MANAGEMENT FACILITY</t>
  </si>
  <si>
    <t>MG-A5M20-001..AG4 SUPPLY, DELIVERY, INST., COMMISSIONING OF OIL-WATER SEPARATOR AT SUMP PIT</t>
  </si>
  <si>
    <t>OFFICE ENHANCEMENT PROGRAM</t>
  </si>
  <si>
    <t>CONSTRUCTION OF MULTI-PURPOSE BUILDING WITH WHARF AND LANDING AREA</t>
  </si>
  <si>
    <t>Development Center Fencing &amp; Water Tank &amp; Site Development</t>
  </si>
  <si>
    <t>COMMITTEE ON INFRASTRUCTURE EQUIPMENT IMPROVEMENT PROGRAM</t>
  </si>
  <si>
    <t>MG-ADM20-005..REPLACEMENT OF EXISTING STREET LIGHTING INSIDE NPC MINGEN MRC</t>
  </si>
  <si>
    <t>Repair of Multi-purpose Hall (Day Care 2) Brgy. Pangpang, West District, Sor. City</t>
  </si>
  <si>
    <t>Procurement of Materials for the Integrated Community Food Production (ICFP) Project</t>
  </si>
  <si>
    <t>Procurement of One (1) unit Ambulance</t>
  </si>
  <si>
    <t>CONSTRUCTION OF LOCAL ROAD/BRIDGE &amp; IMPLEMENTATION OF FLOOD &amp; EROSION CONTROL PROJECT BARANGAY PANGPANG, JANABAN COMPOUND, WEST DISTRICT, SORSOGON CITY</t>
  </si>
  <si>
    <t>20DF0182 - 20DF0187 (By Contract) - Local Program - Construction/Repair/Rehabilitation/Improvement of Various Infrastructure  Including Local Projects, Buildings and Other Structures, Multi-Purpose/Fa</t>
  </si>
  <si>
    <t>PURCHASE OF TWO (2) UNITS MOTORCYCLE FOR THE OPERATION OF THE OFFICE OF THE IWWS, INFANTA, PANGASINAN</t>
  </si>
  <si>
    <t>CLEAN AND GREEN ENHANCEMENT PROJECT</t>
  </si>
  <si>
    <t>2821-20 Procurement of Medical Oxygen</t>
  </si>
  <si>
    <t>Supply &amp; Delivery of Electrical System &amp; Lighting Components (OCES)</t>
  </si>
  <si>
    <t>Contract for the Concreting of Road Section at Purok 6 Rd. A (Sitjar Area) 300m, Brgy. Tibal - Og</t>
  </si>
  <si>
    <t>ADDITIONAL SCHOOL AND OFFICE SUPPLIES SHS</t>
  </si>
  <si>
    <t>Completion of one unit two (2) Classroom Makeshift Building Hilusig National High School</t>
  </si>
  <si>
    <t>Improvement of Barangay Road (ONE JOB)</t>
  </si>
  <si>
    <t>MEALS FOR TEAM SUPERVISION</t>
  </si>
  <si>
    <t>REPAINTING OF SCHOOL GROUND SHS</t>
  </si>
  <si>
    <t>Improvement of Roadway &amp; Slope Protection &amp; Drainage</t>
  </si>
  <si>
    <t>Delivery of One (1) Unit Vehicle for Responder (Brand New)</t>
  </si>
  <si>
    <t>Completion of Hanging Footbridge</t>
  </si>
  <si>
    <t>20-05-0545 Supply and Delivery of Materials for Intensive Tilapia Farming in Pond and Tank for the Fisherfolk beneficiaries in the Province of Leyte under SAAD Program 2020.</t>
  </si>
  <si>
    <t>ITB NO. 2020-0011  Provision of Security  Services of People’s Television Network, Inc. Manila Office and its Provincial Station</t>
  </si>
  <si>
    <t>ITB NO. 2020-0013 Supply, Delivery, Installation, Testing, Commissioning and Training of Six (6) Units of  Audio Processors for the Manila, Zamboanga, Guimaras, Naga, and Cotabato Transmitter  Station</t>
  </si>
  <si>
    <t>ROAD CONCRETING (Prk. 6, Fortu Area, Sto. Nino Crossing Opao-Junction Provincial Road, Palma Gil, Talaingod, DDN</t>
  </si>
  <si>
    <t>20-05-0550 Supply and Delivery of Materials for Aquaponics with Intensive Tilapia Culture System in all the Provincial Fishery Offices and Centers of BFAR 8 as Livelihood Support Project under the “Ah</t>
  </si>
  <si>
    <t>CONSTRUCTION/ERECTION OF ELECTRICAL POST</t>
  </si>
  <si>
    <t>Public Bidding of 3 Lots for the Supply and Delivery of Fuel, Oil &amp; Lubricants for Equipment Pool Division, under ITB No. 2020-010R</t>
  </si>
  <si>
    <t>Concreting of Pili - Banilad Road, Pinamalayan, Or Mindoro</t>
  </si>
  <si>
    <t>20OI0103; Rehabilitation of Road, Brgy. Pilar, Las pinas City</t>
  </si>
  <si>
    <t>Concreting of Road at Brgy Batong Dalig, Socorro, Oriental Mindoro</t>
  </si>
  <si>
    <t>Public Bidding for the Supply and Delivery of Water Dispenser, Computer Set &amp; Plastic Chair for the Office of the Vice Governor, under ITB No. 2020-009R</t>
  </si>
  <si>
    <t>Purchase of Vehicle (VAN)</t>
  </si>
  <si>
    <t>Construction of Gabion at Sitio Tagascan, Brgy. San Vicente, Roxas, Oriental Mindoro</t>
  </si>
  <si>
    <t>Construction of Bridge at Sta. Maria, Mansalay, Or. Mindoro</t>
  </si>
  <si>
    <t>Concreting of Road Section at Brgy. Sta.Rosa II, Binaybay, Baco, Or. Mindoro</t>
  </si>
  <si>
    <t>Construction of Slope Protection at Brgy. Waygan Spillway, Mansalay, Oriental Mindoro</t>
  </si>
  <si>
    <t>Construction of New Male Dormitory</t>
  </si>
  <si>
    <t>Supply and delivery of Medical Oxygen/Flask Type/Compressed Air/Carbon Dioxide for the period July 1, 2020 to December 31, 2020 requirement of PCGH</t>
  </si>
  <si>
    <t>20OI0120: Construction of Drainage System, Brgy. Tunasan, Muntinlupa City</t>
  </si>
  <si>
    <t>CONSTRUCTION OF DRAINAGE SYSTEM ALONG DE LEON STREET JCT. P. BURGOS AVE.-J.FELIPE BLVD, CARIDAD, CAVITE CITY</t>
  </si>
  <si>
    <t>20OI0119: Rehabilitation of Road, Brgy. Talon 1, Las Pinas City</t>
  </si>
  <si>
    <t>Procurement of Two (2) units Rescue Vehicle for Barangays of LGU Laak, Davao De Oro</t>
  </si>
  <si>
    <t>Improvement of Multi Purpose Hall (materials only)</t>
  </si>
  <si>
    <t>20OI0118:Rehabilitation of ALS , brgy. Bayanan, Muntinlupa City</t>
  </si>
  <si>
    <t>Installation of Automatic Fire Suppression System at Oriental Mindoro Southern District Hospital, Roxas, Or. Mindoro</t>
  </si>
  <si>
    <t>CONSTRUCTION OF 2-STOREY, 6-UNITS CLASSROOM BUILDING AT PORTA VAGA ELEMENTARY SCHOOL, SAN ROQUE, CAVITE CITY</t>
  </si>
  <si>
    <t>CONSTRUCTION OF BARANGAY DAY CARE CENTER AT DALAHICAN ELEMENTARY SCHOOL, DALAHICAN, CAVITE CITY</t>
  </si>
  <si>
    <t>REHABILITATION OF ROOFING OF STAGE AT SANGLEY POINT NATIONAL HIGH SCHOOL, SAN ANTONIO, CAVITE CITY</t>
  </si>
  <si>
    <t>CONSTRUCTION OF 2-STOREY, 6-UNITS CLASSROOM BUILDING</t>
  </si>
  <si>
    <t>CONSTRUCTION OF BARANGAY DAY CARE CENTER AT ESTANSUELA ELEMENTARY SCHOOL, STA. CRUZ, CAVITE CITY</t>
  </si>
  <si>
    <t>CONSTRUCTION OF 2-STOREY, 6 UNITS CLASSROOM BUILDING AT SAN LORENZO RUIZ ELEMENTARY SCHOOL, DALAHICAN, CAVITE CITY</t>
  </si>
  <si>
    <t>CONSTRUCTION OF BARANGAY DAY CARE CENTER AT STA. CRUZ ELEMENTARY SCHOOL, STA. CRUZ, CAVITE CITY</t>
  </si>
  <si>
    <t>CONSTRUCTION OF SLAUGHTERHOUSE (PHASE IV), SAN ROQUE, CAVITE CITY</t>
  </si>
  <si>
    <t>Procurement of Seven (7) units Steel Goal with Ring &amp; Board and Complete Accessories for Barangay Langtud, Melale, Sto. Niño, Mangloy, Kidawa and Datu Ampunan - Laak, Davao De Oro</t>
  </si>
  <si>
    <t>Contract Labor and Materials for the Concreting of Toribio Suan Street, Laac (Pob.), Laak, Davao De Oro</t>
  </si>
  <si>
    <t>REHABILITATION OF 8-UNITS COMFORM ROOM AT SANGLEY POINT NATIONAL HIGH SCHOOL, SAN ANTONIO, CAVITE CITY</t>
  </si>
  <si>
    <t>Invitation to Bid for Contract No. 4ARO-LOB-19-017</t>
  </si>
  <si>
    <t>CONSTRUCTION/IMPROVEMENT OF SITIO CAINO FTMR Located at Banila, Dupax del Sur, Nueva Vizcaya</t>
  </si>
  <si>
    <t>Contract Labor and Materials for the Construction of Concrete Pavement of Public Night Market Stalls at Laac (Pob.), Laak, Davao De Oro</t>
  </si>
  <si>
    <t>REPAIR AND REHABILITATION OF E-LIBRARY HUB AT LADISLAO DIWA ELEMENTARY SCHOOL, CARIDAD, CAVITE CITY</t>
  </si>
  <si>
    <t>SUPPLY, DELIVERY AND INSTALLATION OF TYPHOON-RESILIENT VERTICAL INDOOR FARMING SYSTEM AT ASCOT BAZAL CAMPUS</t>
  </si>
  <si>
    <t>Purchase of three (3) sets Sand Separator/ Filter bag housing for Pura Water System Pumping Station at Brgy Singat, Nilasin 2nd and Poblacion 3, Pura, Tarlac</t>
  </si>
  <si>
    <t>Procurement of Solar</t>
  </si>
  <si>
    <t>Construction of 1 Unit 3 Classroom Bldg at Gaboc Elementary School</t>
  </si>
  <si>
    <t>SUPPY &amp; DELIVERY OF MATERIALS TO BE USED IN REHABILITATION OF HEALTH CENTER</t>
  </si>
  <si>
    <t>Purchase of one (1) Set Sand Separator / Filter bag housing for Pura Water System Pumping Station at Brgy Estipona, Pura, Tarlac</t>
  </si>
  <si>
    <t>CONSTRUCTION/IMPROVEMENT OF NEW BENAY WANGYEON FTMR Located at Malasin, Dupax del Norte, Nueva Vizcaya</t>
  </si>
  <si>
    <t>Rehabilitation of Drainage System</t>
  </si>
  <si>
    <t>PROCUREMENT, SUPPLY AND DELIVERY OF 85,690 ROUNDS CTG 5.56MM BALL (M193)</t>
  </si>
  <si>
    <t>Site Development of Bancasi Rotunda JCT BCI Highway and DOP Avenue-2nd Bidding</t>
  </si>
  <si>
    <t>Procurement of One (1) Brand New Emergency Vehicle (DOH Standard Ambulance) of LGU Laak, Davao De Oro</t>
  </si>
  <si>
    <t>REGULAR HAULING OF RESIDUAL WASTE FROM MRF TO DENR ACCREDITED SANITARY LANDFILL</t>
  </si>
  <si>
    <t>SUPPLY % DELIVERY OF MATERIALS TO BE USED FOR THE INSTALLATION OF STREET LIGHTS</t>
  </si>
  <si>
    <t>Procurement of Seven (7) units Rescue Vehicle for Barangays of LGU Laak, Davao De Oro</t>
  </si>
  <si>
    <t>Construction of Barangay Health Station, Poblacion 5, Hamtic, Antique</t>
  </si>
  <si>
    <t>Installation of Additional Water System</t>
  </si>
  <si>
    <t>CONSTRUCTION OF MAGA-AD BAKIR CIS Located at Bagabag, Nueva Vizcaya</t>
  </si>
  <si>
    <t>Construction of Streetlights (Procuring Entity: BLGU-Sto. Nino)</t>
  </si>
  <si>
    <t>INVITATION TO BID FOR THE PROCUREMENT OF DRUGS &amp; MEDICINES FOR MUNICIPAL HEALTH CENTER VARIOUS PROGRAM-1st SEMESTER</t>
  </si>
  <si>
    <t>CONSTRUCTION/IMPROVEMENT OF PUROK 2 BONE SOUTH FTMR Located at Aritao, Nueva Vizcaya</t>
  </si>
  <si>
    <t>Construction of Barangay Health Station, Poblacion I, Hamtic, Antique</t>
  </si>
  <si>
    <t>PROCUREMENT, SUPPLY AND DELIVERY OF 165,231 ROUNDS CTG 5.56MM BALL (SS109)</t>
  </si>
  <si>
    <t>PROCUREMENT, SUPPLY AND DELIVERY OF 678 PCS 5.56MM, 30 ROUNDS MAGAZINE</t>
  </si>
  <si>
    <t>PROCUREMENT, SUPPLY AND DELIVERY OF 151,923 ROUNDS CTG 9MM BALL</t>
  </si>
  <si>
    <t>CONSTRUCTION OF CUTAR FARMERS ASSOCIATION CIS Located at Aritao, Nueva Vizcaya</t>
  </si>
  <si>
    <t>CY 2020 ENHANCED NATIONAL GREENING PROGRAM- HAULING OF SEEDLINGS UNDER MECHANIZED AND MODENIZED FOREST NURSERY per DENR-ENGP-MMFN-HAULING-2020-001</t>
  </si>
  <si>
    <t>Completion of MP Facility Covered Court @ Barangay 18-A, Gingoog City, Mis. Or. under Contract Ref. No. 2020-INFRA-043</t>
  </si>
  <si>
    <t>SUPPLY, DELIVERY AND INSTALLATION OF STAND-ALONE SOLAR POWERED LED STREET LIGHTING SYSTEM FOR THE THREE CAMPUSES OF ASCOT</t>
  </si>
  <si>
    <t>Procurement of 1,000 Vial Rabies Vaccine(10 Dose/Vial),etc. under P.R.No. 1408-2020-Office of the City Veterinarian-2nd Bidding</t>
  </si>
  <si>
    <t>Construction of Drainage Canal - Phase 2</t>
  </si>
  <si>
    <t>CONSTRUCTION OF BALONG CIS Located at Labang, Ambaguio, Nueva Vizcaya</t>
  </si>
  <si>
    <t>Construction of Barangay Health Station, Poblacion II &amp; III, Hamtic, Antique</t>
  </si>
  <si>
    <t>PURCHASE OF COMMUNICATION SUPPLIES (PREPAID CARDS)</t>
  </si>
  <si>
    <t>PROCUREMENT OF VARIOUS OFFICE EQUIPMENT AND SUPPLIES USE IN SPECIAL AMELIORATION PROGRAM (SAP) DISTRIBUTION AT 22 BARANGAYS</t>
  </si>
  <si>
    <t>CONSTRUCTION/IMPROVEMENT OF KAKIDUGUEN FTMR Located at Kasibu, Nueva Vizcaya</t>
  </si>
  <si>
    <t>Construction (Completion) of Multi-Purpose Building, 3rd Infantry Batallion HQ, Brgy. Malagos, Baguio District, Davao City</t>
  </si>
  <si>
    <t>Construction of One (1) Storey Barangay Health Station in Barangay Concepcion</t>
  </si>
  <si>
    <t>CONSTRUCTION OF VISTAHILL CIS Located at Bayombong, Nueva Vizcaya</t>
  </si>
  <si>
    <t>Construction of Multi-Purpose Building, Brgy. Calinan Poblacion, Calinan District, Davao City</t>
  </si>
  <si>
    <t>20HH0133-Construction / Rehabilitation of Water Supply / Septage and Sewerage / Rain Water Collectors - Rain Water Collectors in Public Facilities–Region VII: 1.Binaliw National High School, 2.City C</t>
  </si>
  <si>
    <t>20HH0134-Construction / Rehabilitation of Water Supply / Septage and Sewerage / Rain Water Collectors - Rain Water Collectors in Public Facilities–Region VII: 1.Cogon Ramos Public Market, 2.Inayawan P</t>
  </si>
  <si>
    <t>CONSTRUCTION OF LANTAP-BAKIR CIS Located at Bagabag, Nueva Vizcaya</t>
  </si>
  <si>
    <t>Construction of Road from Brgy. Talandang to Sitio Luman, New Valencia to Brgy. New Carmen, Tugbok District, Davao City</t>
  </si>
  <si>
    <t>CONSTRUCTION OF HUKHUKYONG PIS Located at Labang, Ambaguio, Nueva Vizcaya</t>
  </si>
  <si>
    <t>CONSTRACTION OF WATER SYSTEM</t>
  </si>
  <si>
    <t>FLU VACCINATION</t>
  </si>
  <si>
    <t>Electrical Equipment</t>
  </si>
  <si>
    <t>Provision of Solar Street Lighting at Centro 1 and Centro 2, San Guillermo, Isabela</t>
  </si>
  <si>
    <t>Supply and Delivery of One (1) Unit Passenger Van</t>
  </si>
  <si>
    <t>PURCHASE OF CONSTRUCTION MATERIALS FOR SANITATION OF VARIOUS BARANGAYS</t>
  </si>
  <si>
    <t>Construction Materials for the Proposed Completion of Legislative Building Phase III</t>
  </si>
  <si>
    <t>PROCUREMENT OF 1 UNIT CARGO TRUCK USE FOR HAULING OF AGRICULTURAL INPUTS AND PRODUCTS "TO AND FROM" FARM OF THE MUN. AGRICULTURE OFFICE</t>
  </si>
  <si>
    <t>Construction of Covered Court (phase 1) Barangay Silongin</t>
  </si>
  <si>
    <t>ITB No. 20-22 Procurement of Medical Equipment (Re-bidding)</t>
  </si>
  <si>
    <t>INVITATION TO RE-BID FOR THE  SUPPLY AND DELIVERY OF COMPUTER NOTEBOOK PR Nos. 27619-001 to 27619-003</t>
  </si>
  <si>
    <t>2020-05-0104 - Furnishing/Delivery of Personal Protective Equipment for use in the District</t>
  </si>
  <si>
    <t>Purchase of Eight (8) units of Assualt Rifle for the use of Talisay PNP of the City of Talisay</t>
  </si>
  <si>
    <t>CONST. OF BLEACHERS &amp; MULTI-PURPOSE HALL</t>
  </si>
  <si>
    <t>INVITATION TO RE-BID FOR THE  SUPPLY, DELIVERY, AND INSTALLATION OF FIRE SUPRESSION SYSTEM PR No. 27388-001</t>
  </si>
  <si>
    <t>Road Concreting at Barangay Crossing Bayabas, Toril District, Davao City</t>
  </si>
  <si>
    <t>20B00022: Organizational Outcome 1: Ensure Safe and Reliable National Road System: Bridge Program: Widening of Permanent Bridges: Minanga Bridge (B01129LZ) along Daang Maharlika (LZ) (Parallel Bridge)</t>
  </si>
  <si>
    <t>INVITATION TO RE-BID FOR THE  SUPPLY AND DELIVERY OF GIS DESKTOP SOFTWARE PR No. 27611-001</t>
  </si>
  <si>
    <t>Road Concreting at Barangay Marilog Proper, Marilog District, Davao City</t>
  </si>
  <si>
    <t>INVITATION TO RE-BID FOR THE  SUPPLY, DELIVERY, AND INSTALLATION OF LOCAL AREA NETWORK (LAN) STRUCTURED CABLING IN THE NEW MSSD BUILDING, TALAMBAN, CEBU CITY PR No. 27608-001</t>
  </si>
  <si>
    <t>Materials for the Improvement of Manpower Development Center (Sports Center ) Pob. Iluad, Zarraga,  Illoilo</t>
  </si>
  <si>
    <t>2020-06-0111 - Rental of equipment for use in the hauling of various heavy equipment and serviceable vehicles within the District</t>
  </si>
  <si>
    <t>Purchase of Laptops and Printers</t>
  </si>
  <si>
    <t>2020-05-0105 Furnishing/Delivery of Office Supplies for use in the Preliminary Detailed Engineering in the District</t>
  </si>
  <si>
    <t>Purchase of Sixteen (16) unit Android Tablet with Back-up Charger (Battery Pack) for CBMS Program/Data Gathering</t>
  </si>
  <si>
    <t>Purchase of IT Equipments</t>
  </si>
  <si>
    <t>20FL0066-Construction (Road Opening) of Mapaso-Patag-Cawayan Irosin Road, Irosin, Sorsogon Sorsogon 2nd Congressional District</t>
  </si>
  <si>
    <t>Road Concreting at Barangay Mintal, Tugbok District, Davao City</t>
  </si>
  <si>
    <t>CONSTRUCTION OF OBELLAN MULTI-PURPOSE SHED</t>
  </si>
  <si>
    <t>CONSTRUCTION OF SITIO TABLO TO SITIO LEMLUNAY, POBLACION ROAD</t>
  </si>
  <si>
    <t>MEALS AND SNACKS DURING THE CONDUCT OF RE-SURVEY OF EIGHT (8) CBFM AREA WITHIN THE ADMINISTRATIVE JURISDICTION OF CENRO SAN JOSE AMOUNTING TO PHP207,375.00</t>
  </si>
  <si>
    <t>CONSTRUCTION OF LOT 70 SUBDIVISION ROAD CONCRETING</t>
  </si>
  <si>
    <t>20DJ0090-LOCAL PROGRAM, Construction/Repair/Rehabilitation/Improvement of Various Infrastructure including Local Projects, Rehabilitation of Multi-Purpose Building in Barangay Poblacion, San Antonio,</t>
  </si>
  <si>
    <t>20FL0070-Road Opening at Irosin, Sorsogon (Cluster XVI), Irosin, Sorsogon The Procurement/Contract ID: 20FL0070</t>
  </si>
  <si>
    <t>Proposed Slaughterhouse</t>
  </si>
  <si>
    <t>Road Concreting at Barangay Sto. Niño, Tugbok District, Davao City</t>
  </si>
  <si>
    <t>SUPPLY, DELIVERY AND INSTALLATION OF FURNITURE AND FIXTURES FOR THE CITY CIVIL REGISTRATION OFFICE</t>
  </si>
  <si>
    <t>Road Concreting at Barangay Toril Poblacion, Toril District, Davao City</t>
  </si>
  <si>
    <t>SUPPLY AND DELIVERY OF MEDICAL, DENTAL AND LABORATORY SUPPLIES FOR VARIOUS DEPARTMENTS/OFFICES OF THE CITY GOVERNMENT OF MAKATI</t>
  </si>
  <si>
    <t>Local Access Road Upgrading</t>
  </si>
  <si>
    <t>OFFICE MODERNIZATION</t>
  </si>
  <si>
    <t>SUPPLY AND DELIVERY OF STENOGRAPH MACHINES</t>
  </si>
  <si>
    <t>REPAIR OF VARIOUS MEDICAL EQUIPMENT (2 LOTS)</t>
  </si>
  <si>
    <t>SUPPLY AND DELIVERY OF FABRICATED RECYCLABLE BINS</t>
  </si>
  <si>
    <t>20DJ0091-LOCAL PROGRAM, Construction/Repair/Rehabilitation/Improvement of Various Infrastructure including Local Projects, Rehabilitation of Multi-Purpose Building in Barangay Poblacion, Candelaria, Q</t>
  </si>
  <si>
    <t>SUPPLY, DELIVERY AND INSTALLATION OF LABORATORY INFORMATION SYSTEM (LIS) FOR OSPITAL NG MAKATI</t>
  </si>
  <si>
    <t>SUPPLY AND DELIVERY OF MEDICAL EQUIPMENT ACCESSORIES FOR INFUSION PUMPS (JMS AND TERUMO BATTERIES)</t>
  </si>
  <si>
    <t>Proposed Construction of National Child Development Center</t>
  </si>
  <si>
    <t>SUPPLY AND DELIVERY OF CRAWLER EXCAVATOR</t>
  </si>
  <si>
    <t>DRINKING WATER SYSTEM PROJECT THROUGH HYDRAULIC RAM PAMP</t>
  </si>
  <si>
    <t>Purchase of 1 Unit Brand New Asian Utility Vehicle</t>
  </si>
  <si>
    <t>PURCHASE OF GARBAGE BIN</t>
  </si>
  <si>
    <t>PROCUREMENT OF VARIOUS MATERIALS FOR 1ST HALF PREVENTIVE MAINTENANCE, BASEPORT AND TMO'S</t>
  </si>
  <si>
    <t>CONSTRUCTION OF RIVER CONTROL AT BRGY. TABUNOK</t>
  </si>
  <si>
    <t>PRINTING OF MAKATI ANNUAL REPORTS 2019 WITH DOCUMENTARY ENVELOPE</t>
  </si>
  <si>
    <t>20FL0064-Construction of Road , Brgy. Recto and Danao, Bulan, Sorsogon Barangay Recto and Danao, Bulan, Sorsogon</t>
  </si>
  <si>
    <t>PRINTING OF MATERIALS AND FORMS FOR VARIOUS DEPARTMENTS</t>
  </si>
  <si>
    <t>Procurement of 2 (Two) Units for Early Warning and Monitoring</t>
  </si>
  <si>
    <t>SUPPLY AND INSTALLATION OF CCTV CAMERA IN ADMIN AND ACADEMIC BUILDING</t>
  </si>
  <si>
    <t>BPSU Abucay Campus: – Supply, Delivery and Installation of Laboratory Equipment and Facilities for the Rehabilitation of Old Engineering Building</t>
  </si>
  <si>
    <t>PURCHASE AND DELIVERY OF FABRICATED SIGNAGES WITH LETTERING AND PAINTING INCLUDING HAULING AND INSTALLATION THEREOF WITHIN THE PRE-IDENTIFIED STRATEGIC PLACES BETWEEN THE PRIMARY BOUNDARY CORNERS OF M</t>
  </si>
  <si>
    <t>SUPPLY, DELIVERY AND INSTALLATION OF DESKTOP AND LAPTOP COMPUTERS FOR VARIOUS OFFICES/DEPARTMENTS OF CITY GOVERNMENT OF MAKATI</t>
  </si>
  <si>
    <t>Procurement of Motor Vehicle (Passenger Van)</t>
  </si>
  <si>
    <t>SUPPLY AND DELIVERY OF MATERIALS, TOOLS AND PPES FOR VARIOUS PROJECTS OF EEMO,DEPW AND GSD</t>
  </si>
  <si>
    <t>20DJ0094-LOCAL PROGRAM, Construction/Repair/Rehabilitation/Improvement of Various Infrastructure including Local Projects, Road Widening of Quezon Eco-Tourism Road (S06104LZ), Secondary Road, K0167+96</t>
  </si>
  <si>
    <t>20FL0069-Construction (Completion) of Multi-Purpose Building, Brgy. Perles, Prieto-Diaz, Sorsogon Barangay Perlas, Prieto Diaz, Sorsogon</t>
  </si>
  <si>
    <t>20DJ0092-LOCAL PROGRAM, Construction/Repair/Rehabilitation/Improvement of Various Infrastructure including Local Projects, Preventive Maintenance-Primary Roads, Daan Maharlika (LZ) K0118+224.00-K0118+</t>
  </si>
  <si>
    <t>ITB# 88-2020 Office Supplies Expenses</t>
  </si>
  <si>
    <t>Construction of Kulafu River Bridge at Barangay Magsaysay, Marilog District, Davao City</t>
  </si>
  <si>
    <t>20DE0143 Repair and Maintenance of Road Safety Facilities</t>
  </si>
  <si>
    <t>SUPPLY AND DELIVERY OF COMMERCIAL RICE FOR MAKATI CITY JAIL</t>
  </si>
  <si>
    <t>PURCHASE OF OFFICE SUPPLY</t>
  </si>
  <si>
    <t>20DJ0095-LOCAL PROGRAM, Local Infrastructure Program, Construction of Multi-Purpose Building (Phase II), Brgy. Poblacion 6, Sariaya, Quezon</t>
  </si>
  <si>
    <t>DESIGN, LAYOUT AND PRINTING OF MAKATI TOURIST MAPS</t>
  </si>
  <si>
    <t>PROPOSED REHABILITATION AND RENOVATION OF  REMAINING BASIC SCIENCE LABORATORIES SALCEDO HALL, COLLEGE OF MEDICINE UNIVERSITY OF THE PHILIPPINES MANILA</t>
  </si>
  <si>
    <t>ITB# 89-2020 Medical, Dental, &amp; Laboratory Supplies</t>
  </si>
  <si>
    <t>20GH00002 Cluster - Supply and Delivery of Brand New Heavy Equipment, Trucks, and Service Vehicles for use of DPWH Regional Office VII for Dredging Activities and Quick Response Equipment (QRE)</t>
  </si>
  <si>
    <t>20G00098 - Construction of Revetment at Sibalom Bridge (Abutment B Downstream and Upstream) Pangpang, Sibalom, Antique</t>
  </si>
  <si>
    <t>SUPPLY AND DELIVERY OF BIRTHDAY CAKES FOR THE CITY EMPLOYEES THROUGH ORDERING AGREEMENT</t>
  </si>
  <si>
    <t>SUPPLY AND DELIVERY OF FOOD SUPPLIES FOR FOOD ASSISTANCE AND NUTRI-BATA PROJECTS (2 LOTS)</t>
  </si>
  <si>
    <t>20DJ0093-LOCAL PROGRAM, Construction/Repair/Rehabilitation/Improvement of Various Infrastructure including Local Projects, Construction (Completion) of Multi-Purpose Building in Barangay Guis-Guis Tal</t>
  </si>
  <si>
    <t>PROPOSED CONSTRUCTION OF COLUMBARIUM COMPLEX LOCATED AT KALAYAAN AVENUE CORNER N. GARCIA STREET, BARANGAY VALENZUELA, MAKATI CITY</t>
  </si>
  <si>
    <t>SUPPLY AND DELIVERY OF MEALS FOR ACTIVITIES OF VARIOUS DEPARTMENTS/OFFICES OF THE CITY GOVERNMENT OF MAKATI</t>
  </si>
  <si>
    <t>INVITATION TO BID FOR: CONSTRUCTION OF EVACUATION CENTER PHASE VI – CORELLA, BOHOL</t>
  </si>
  <si>
    <t>ITB# 90-2020 Medical, Dental &amp; Supplies</t>
  </si>
  <si>
    <t>PURCHASE OF SUPPLIES AND MATERIALS FOR ACTIVITIES/PROGRAMS OF VARIOUS OFFICES/DEPARTMENTS OF THE CITY GOVERNMENT OF MAKATI</t>
  </si>
  <si>
    <t>Purchase of Sustainable Agri-Fishery based Livelihood and other Agri-Fishery Business Investment (Corn Agribusiness)</t>
  </si>
  <si>
    <t>PURCHASE OF DAIRY STOCKS UNDER P.R. NO. 50-20-05-042</t>
  </si>
  <si>
    <t>CW-KALINGA-UCRIS-03-2020/Upper Chico River Irrigation System(UCRIS)</t>
  </si>
  <si>
    <t>CONSTRUCTION OF EVACUATION CENTER &amp; MULTI-PURPOSE HALL - PHASE V AT BUGALLON PROPER, RAMON, ISABELA</t>
  </si>
  <si>
    <t>Supply and Delivery of Poultry Feeds for use under Livestock and Poultry Program</t>
  </si>
  <si>
    <t>Labor and Materials for Rehabilitation of City Park (Phase II) San Roque, Iriga City</t>
  </si>
  <si>
    <t>20FL0083- Construction/Rehabilitation of Water Supply/Septage and Sewerage/Rain Water Collectors in Public Facilities, Sorsogon Second Congressional District</t>
  </si>
  <si>
    <t>20PA0126 : CONCRETING OF BARANGAY GACAB FMR, Barangay Gacab, Malibcong, Abra</t>
  </si>
  <si>
    <t>PURCHASE OF DIESEL (Improvement/Rehabilitation of Pilot Road of NRJ Suminalum-Kitaan Dagat-Limamawan-Bogayo NRJ (Phase 1))</t>
  </si>
  <si>
    <t>Supply and Delivery of 9,375 heads Free Ranged Chicken and 1,768 heads Ducks for use under Livestock and Poultry Program</t>
  </si>
  <si>
    <t>CW-APAYAO-LARIP-02-2020// LOWER APAYAO RIVER IRRIGATION PROJECT(LARIP)</t>
  </si>
  <si>
    <t>PURCHASE OF DIESEL (River Diversion, Widening and Dredging along Sicade River (Phase 1))</t>
  </si>
  <si>
    <t>20GHC0003- FURNISHING/SUPPLYING OF THE FOLLOWING LABORATORY EQUIPMENT FOR USE IN QUALITY ASSURANCE SECTION</t>
  </si>
  <si>
    <t>PURCHASE OF CONSTRUCTION MATERIALS AND SUPPLIES FOR FENCING @ BARANGAY LUNOTAN, GINGOOG CITY UNDER P.R. NO. 20-20-02-044</t>
  </si>
  <si>
    <t>Construction / Fabrication of Block Tienda (materials only)</t>
  </si>
  <si>
    <t>ITB# 91-2020 Other Supplies and Materials</t>
  </si>
  <si>
    <t>Dairy Animal Shed (Phase II) @ Barangay Lunotan, Gingoog City, Mis. Or. under Contract Ref. no. 2020-INFRA-044</t>
  </si>
  <si>
    <t>Contract ID No. 20GP00033 - Purchase of Heavy Equipment and Service Vehicles for use of DPWH-CAR Regional Office LOT A: Heavy Equipment for Quick Response Equipment (QRE) LOT B: Service Vehicles for u</t>
  </si>
  <si>
    <t>Re-bidding of the Procurement for the Supply, Deliver, Installation and Commissioning of ICT Equipment for Digital Transformation Project of USTP-CDO</t>
  </si>
  <si>
    <t>Public Bidding for the Repair of Roof and Roof Framing of Capitol Building, Roxas City, Under ITB No. 2020-002C</t>
  </si>
  <si>
    <t>20CSNE0001-CONSULTING SERVICES FOR THE CONDUCT OF SOIL EXPLORATION AND/OR GEOTECHNICAL INVESTIGATION FOR THE PROPOSED CONSTRUCTION OF PERMANENT BRIDGES-CLUSTER A, DINAGAT ISLANDS</t>
  </si>
  <si>
    <t>Invitation to Bid for Supply of Security Services for Five (5) Months at New Municipal Hall, Public Market and Old Municipal Building Compound, Calaca, Batangas</t>
  </si>
  <si>
    <t>20PA0127 : CONCRETING OF BARANGAY PACQUED FMR, Barangay Pacqued, Malibcong, Abra</t>
  </si>
  <si>
    <t>PURCHASE OF VARIOUS BOOKS &amp; MODULES FOR BACOLOR SOUTH &amp; NORTH</t>
  </si>
  <si>
    <t>ITB# 93-2020 Other Supplies and Materials</t>
  </si>
  <si>
    <t>Purchase of Motor Vehicle</t>
  </si>
  <si>
    <t>CW-APAYAO-LARIP-01-2020/ LOWER APAYAO RIVER IRRIGATION PROJECT</t>
  </si>
  <si>
    <t>Re-Bidding of the Procurement for the Supply, Delivery, Installation and Commissioning of ICT Equipment for USTP-CDO (1st Quarter)</t>
  </si>
  <si>
    <t>Supply and Delivery of Plated Meals for Admitted Patients at Jose L. Amante Emergency Hospital for July to December 2020</t>
  </si>
  <si>
    <t>Construction of waiting shed (materials only</t>
  </si>
  <si>
    <t>ITB# 92-2020 Other Supplies and Materials</t>
  </si>
  <si>
    <t>Improvement of Multipurposed Building at Brgy, Antipolo, Rizal, Laguna</t>
  </si>
  <si>
    <t>20PK0066 - Repair / Maintenance of DPWH Building, Area Parts and Component Building, P-6, Bulanao, Tabuk City, Kalinga</t>
  </si>
  <si>
    <t>PR-2020-05-100 CLA Supply &amp; Delivery of Photocopier for CTAS and Admin Offices</t>
  </si>
  <si>
    <t>Procurement of Assorted Goods as Food Assistance to Senior Citizens</t>
  </si>
  <si>
    <t>Supply and Delivery of Janitorial Services for Various Government Buildings</t>
  </si>
  <si>
    <t>ADDITIONAL/REHABILITATION OF CCTV CAMERA SYSTEM</t>
  </si>
  <si>
    <t>20PK0068 - Repair/Maintenance of DPWH Building, Adiministrative/Main Building, P-6 Bulanao, Tabuk City, Kalinga</t>
  </si>
  <si>
    <t>PR-2020-05-116 Supply &amp; Delivery of ICT Equipment for the Laboratory Rooms &amp; Offices</t>
  </si>
  <si>
    <t>San Vicente Farm to Market Road Concreting</t>
  </si>
  <si>
    <t>CID No. 20OD0190 - Construction/Rehabilitation of Water Supply/Septage and Sewerage/Rain Water Collectors-Rain Water Collectors in Public Facilities, Valenzuela City &amp; Caloocan City</t>
  </si>
  <si>
    <t>20GF0101 - Repair/Maintenance of Road Safety Facilities</t>
  </si>
  <si>
    <t>Procurement of 9mm Case and Bullet</t>
  </si>
  <si>
    <t>Contract ID No.: 20OB0406 Contract Name: Construction/Rehabilitation of Multi-Purpose Building, Second District, Marikina City</t>
  </si>
  <si>
    <t>One (1) unit Tying Machine</t>
  </si>
  <si>
    <t>QUARTERLY PREVENTIVE MAINTENANCE OF 194 MOTORVEHICLES</t>
  </si>
  <si>
    <t>Contract ID No.: 20OB0308 Contract Name: Rehabilitation of Multi-Purpose Building, Brgy. Hagdan Bato Libis, Mandaluyong City</t>
  </si>
  <si>
    <t>SVP  PUR20-05-0433  Procurement of Disposable Stretcher Cover</t>
  </si>
  <si>
    <t>Procurement of Calibration Services</t>
  </si>
  <si>
    <t>Contract ID No.: 20OB0391 Contract Name: Construction of Multi-Purpose Building, Brgy. Tumana, Marikina City</t>
  </si>
  <si>
    <t>PROCUREMENT OF 11 UNITS LAPTOP</t>
  </si>
  <si>
    <t>CID No. 20OD0189 - Construction of Multi-purpose Building, Brgy. Gen. T. de Leon,Valenzuela City</t>
  </si>
  <si>
    <t>PROCUREMENT OF OFFICE AND JANITORIAL SUPPLIES</t>
  </si>
  <si>
    <t>Installation of 120 Watts Solar Lights within Poblacion Area</t>
  </si>
  <si>
    <t>Construction of U-Ditch Canal with Cover (Re-Bid)</t>
  </si>
  <si>
    <t>PROCUREMENT OF THREE (3) UNITS WATER PURIFIER WITH SOLAR BATTERY  AND 100 PIECES FILTER</t>
  </si>
  <si>
    <t>Contract ID No.: 20OB0417 Contract Name: Repair/Rehabilitation of Road Network, Barangay Parang, Marikina City</t>
  </si>
  <si>
    <t>Contract ID No.: 20OB0425 Contract Name: Repair and Maintenance of National Government Owned Building at Regional Equipment Services, Taguig City</t>
  </si>
  <si>
    <t>20PK0067 - Repair/Maintenance of DPWH BUILDING, AES Office-Repair Bay and Planning Office, P-6 Bulanao, Tabuk City, Kalinga</t>
  </si>
  <si>
    <t>Procurement of Production Chemicals</t>
  </si>
  <si>
    <t>Rebid: Supply and Delivery of Various Drugs and Medicines including Anti-rabies Vaccines for Community Hospital- 3rd Quarter (GAD-2020)</t>
  </si>
  <si>
    <t>DRRM MODERNIZATION</t>
  </si>
  <si>
    <t>20PF0066: Repair and Maintenance of Road Safety Facilities</t>
  </si>
  <si>
    <t>20FN0095 Construction/Repair/Rehabilitation/Improvement of Various Infrastructure including Local Projects – Flood Control Structures/Facilities – Construction of Flood Control, Upstream of Cresini Br</t>
  </si>
  <si>
    <t>20FN0096 Construction/Repair/Rehabilitation/ Improvement of Various Infrastructure including Local Projects – Flood Control Structures/Facilities – Rehabilitation of Salvacion River Outfall, Bula, Cam</t>
  </si>
  <si>
    <t>Rebid: Supply and Delivery of Drugs and Medicines  for City Health Office-3  rd Quarter</t>
  </si>
  <si>
    <t>(2020-020-II) - Construction of Feed Mill Facility</t>
  </si>
  <si>
    <t>20FN0093 Local Roads and Bridges – Local Bridges – Local Infrastructure Program – Construction/Repair/ Rehabilitation/Improvement of Concrete Bridge Project at Bagumbayan Bridge, Brgy. Bagumbayan, Bul</t>
  </si>
  <si>
    <t>Concreting of Alley Road  at Sitio Batog</t>
  </si>
  <si>
    <t>Rebid: Supply and Delivery of Various Drugs and Medicines for Community Hospital- 3  rd Quarter (GF- 2020)</t>
  </si>
  <si>
    <t>Supply and Delivery of Medical, Dental and Laboratory Supplies for City Health Office</t>
  </si>
  <si>
    <t>Supply and Delivery of Medical and Laboratory  Supplies for Community Hospital- GF 2020</t>
  </si>
  <si>
    <t>20FN0094 Construction/Repair/Rehabilitation/Improvement of Various Infrastructure including Local Projects – Flood Control Structure/Facilities – Improvement of Flood Control, Sulong Creek, San Franci</t>
  </si>
  <si>
    <t>20FN0097 Construction/Repair/Rehabilitation/ Improvement of Various Infrastructure including Local Projects – Flood Control Structures/Facilities – Rehabilitation of Flood Control, Baao Lake Outfall I</t>
  </si>
  <si>
    <t>(2020-019-II) Procurement Of Five (5) Units Brand New Hauling Truck</t>
  </si>
  <si>
    <t>(2020-018-II) - PROCUREMENT OF ONE (1) UNIT 45 hp 4WD FARM TRACTOR WITH DISC PLOW</t>
  </si>
  <si>
    <t>Contract ID No.: 20OB0427 Contract Name: Preventive Maintenance along Manila East Road, Pasig City (Chainage 0+000 to Chainage 0+423.90)</t>
  </si>
  <si>
    <t>Contract ID No.: 20OB0426 Contract Name: Repair/Maintenance along Pasig-Pateros Road, Pasig City</t>
  </si>
  <si>
    <t>Supply and Delivery of Medical and Laboratory  Supplies for Community Hospital- GAD 2020</t>
  </si>
  <si>
    <t>Contract ID No.: 20OB0428 Contract Name: Repair/Rehabilitation of Sidewalk, Curb and Gutter along Fort Bonifacio – Nichols Field Road (Lawton Ave.)</t>
  </si>
  <si>
    <t>Procurement of Handheld Radio</t>
  </si>
  <si>
    <t>COMPLETION OF EVACUATION/MULTI-PURPOSE CENTER IN BARANGAY SAN ISIDRO SUR</t>
  </si>
  <si>
    <t>Labor and Materials for the Concreting of Road (Bypass Road) at Brgy. Sta Rita - Brgy. San Francisco, Concepcion, Tarlac</t>
  </si>
  <si>
    <t>PROCUREMENT OF 50 LAPTOP COMPUTERS</t>
  </si>
  <si>
    <t>Contract ID No.: 20OB0430 Contract Name: Installation of Road Safety Devices (Solar Studs) along Marikina Bridge, Marikina City</t>
  </si>
  <si>
    <t>Purchase of Lot for Multi-purpose Activity Center</t>
  </si>
  <si>
    <t>Contract ID No.: 20OB0431 Contract Name: Installation of Road Safety Devices (Solar Studs) along Santolan Bridge, San Juan City</t>
  </si>
  <si>
    <t>20M0096-101</t>
  </si>
  <si>
    <t>20CSDM01 – Consultancy Services for the Conduct of Preliminary Detailed Engineering (Parcellary Survey) along Padre Burgos-Pototanin Road, Province of Quezon</t>
  </si>
  <si>
    <t>20CSNI03 - Soil Testing/Exploration for the Proposed Infrastructure Projects for Rehabilitation/Reconstruction of National Roads with Slips, Slope Collapse, and Landslide at Surigao - Davao Coastal Ro</t>
  </si>
  <si>
    <t>Concreting of Alley Road at Sitio Capacuan</t>
  </si>
  <si>
    <t>20CSNI02 - Soil Testing/Exploration for the Proposed Infrastructure Projects for Rehabilitation/Reconstruction of National Roads with Slips, Slope Collapse and Landslide at Surigao - Davao Coastal Roa</t>
  </si>
  <si>
    <t>20GA0147 - Construction of MPB (Barangay Hall) in Brgy. Carugdog, Lezo, Aklan</t>
  </si>
  <si>
    <t>20CSNI01 - Soil Testing/Exploration for the Proposed Infrastructure Projects for Widening of Permanent Bridges – Tagbina Br. (B00755MN) Along Surigao – Davao Coastal Road, Tagasaka Br. (B00757MN) Alon</t>
  </si>
  <si>
    <t>20GA0149 - Construction of MPB (Evacuation Center) in Brgy. Kinalangay Viejo, Malinao, Aklan</t>
  </si>
  <si>
    <t>Subdivision Survey of Survey Module No. LOT-04-SOR-20 &amp; LOT-05-SOR-20</t>
  </si>
  <si>
    <t>20CSDM02 – Consultancy Services for the Conduct of Preliminary Detailed Engineering (Parcellary Survey) along Missing Gap of San Francisco-San Andres-San Narciso Road, Province of Quezon</t>
  </si>
  <si>
    <t>20GA0144 - Construction (Completion) of Multi-Purpose Building In Brgy. Manoc-manoc, Malay, Aklan</t>
  </si>
  <si>
    <t>Procurement of Laptop Computers and Rack Mounted Servers</t>
  </si>
  <si>
    <t>Supply of Materials for Improvement of Water System (Sitio Asinan - Sitio Cataguman</t>
  </si>
  <si>
    <t>20GA0136 - Concreting of Farm-to-Market Road (FMR) Brgy. Ginictan, Altavas, Aklan</t>
  </si>
  <si>
    <t>Supply of Materials for Improvement of Multi-Purpose Hall Building (Evacuation Center), Phase 2</t>
  </si>
  <si>
    <t>Supply, Delivery and Installation of Digital X-Ray  Machine for Community Hospital</t>
  </si>
  <si>
    <t>20GA0152 - Construction of Multi-Purpose Building Brgy. Baybay, Tangalan, Aklan</t>
  </si>
  <si>
    <t>Supply of Materials for Road Concreting of Brgy. Cruz</t>
  </si>
  <si>
    <t>20GA0146 - Construction of Brgy. Hall Multi-Purpose Pavement in Brgy. Bulwang, Numancia, Aklan</t>
  </si>
  <si>
    <t>Contract ID No.: 20OB0429 Contract Name: Installation of Road Safety Devices (Solar Studs) along Various Roads, Pasig City</t>
  </si>
  <si>
    <t>BARANGAY  ROAD CONCRETING AT GUIMBAWIAN</t>
  </si>
  <si>
    <t>CONSTRUCTION OF DRAINAGE &amp; PROVISION OF COVER (at Brgy. Pandacan)</t>
  </si>
  <si>
    <t>CONSTRUCTION OF PUBLIC CEMETERY</t>
  </si>
  <si>
    <t>Concreting of Road at Sitio Madao, Motoderazo to San Agustin II, Naujan</t>
  </si>
  <si>
    <t>Concreting of Local Road at Sitio Mahapo, Barangay Poblacion, Mansalay, Oriental Mindoro</t>
  </si>
  <si>
    <t>Procurement of 1 Unit Brand New Motor Grader for use of PEO for the Repair/Maintenance of various Provincial Road Projects</t>
  </si>
  <si>
    <t>Improvement/Construction of Old Public Market Building (Fish &amp; Chicken Section 25 Stalls), Gerona, Tarlac</t>
  </si>
  <si>
    <t>Concreting of Tulahong - Tuy-an West Barangay Road at Barangay Tuy-an West, Maasin, Iloilo</t>
  </si>
  <si>
    <t>Concreting of Tulahong - Tuy-an West Barangay Road at Barangay Tulahong, Maasin, Iloilo</t>
  </si>
  <si>
    <t>20PI0082 - Construction/Rehabilitation/Improvement of Local Road, Brgy. Ankileng, Sagada, Mountain Province</t>
  </si>
  <si>
    <t>SUPPLY AND DELIVERY OF MECHANICAL SPARE PARTS FOR KTA38-G1 SECURITY PARTS EN:41238155 AND SN:SO66416, LOT AWARD INTENDED FOR KALAMANSIG DIESEL POWER PLANT</t>
  </si>
  <si>
    <t>Upgrading of Alley w/ Improvement of Drainage Canal Int. Davila St., (Near Totoy Bidang Res.) brgy. Navotas West, Navotas City</t>
  </si>
  <si>
    <t>Procurement of 5 Units Rice Transplanter with accessories for distribution as production support to farmers in Ilocos Norte</t>
  </si>
  <si>
    <t>SUPPLY AND DELIVERY OF ELECTRICAL SPARE PARTS FOR DALE (EM:2006-TAG) &amp; FG WILSON (EM:1606A-E93TAG4; EM:1106A-70TAG2) GENSETS, LOT AWARD</t>
  </si>
  <si>
    <t>20PI0076 - Construction of Waterworks Phase I, Mainit and Guina-ang, Bontoc, Mountain Province</t>
  </si>
  <si>
    <t>SUPPLY AND DELIVERY OF MECHANICAL SECURITY PARTS FOR 163KW PERKINS (MODEL: 2006-TG1), 160KW FG WILSON (MODEL:1606A-E93TAG4), 80KW FG WILSON (MODEL: 1106A-70TAG2), LOT AWARD</t>
  </si>
  <si>
    <t>FEEDS SUPPLY FOR VARIOUS FARMS OF SAGAY CITY (DAIRY, 	RICKY &amp; POULTRY FARMS)</t>
  </si>
  <si>
    <t>Supply and Delivery of Trash Bags (1 lot) (Republication)</t>
  </si>
  <si>
    <t>SUPPLY AND DELIVERY OF MECHANICAL SPARE PARTS FOR 200KW CUMMINS GENSET (EN:6LTAA8.9-G3 SN:78545489), LOT AWARD INTENDED FOR TALICUD DIESEL POWER PLANT</t>
  </si>
  <si>
    <t>Supply of Materials for Cons. of Multi-Purpose Hall (Covered Court), Phase 6</t>
  </si>
  <si>
    <t>SUPPLY AND DELIVERY OF ELECTRICAL SPARE PARTS FOR STANFORD GENERATING SET, LOT AWARD INTENDED FOR KALAMANSIG DIESEL POWER PLANT</t>
  </si>
  <si>
    <t>SUPPLY AND DELIVERY OF ELECTRICAL SPARES FOR 163KW DALE PERKINS (MODEL: EM222/DRR) AND 160KW FG WILSON (MODEL: 1606A-E93TAG4), LOT AWARD</t>
  </si>
  <si>
    <t>REPAINTING OF SCHOOL GROUND AND OTHER FACILITY</t>
  </si>
  <si>
    <t>PROCUREMENT OF VARIOUS WELFARE GOODS OF BRGY ITAW SANGGUNIANG KABATAAN TO SUPPORT IN COVID-19 PANDEMIC</t>
  </si>
  <si>
    <t>20PI0091 - Construction/Rehabilitation of Water Supply/Septage and Sewerage/Rain Water Collectors - Rain Water Collectors in Public Facilities</t>
  </si>
  <si>
    <t>20PI0090 - Bontoc - Mainit - Sagada Road leading to Guina-ang Rice Terraces, Mainit Hotsprings, Bomod-ok Falls, Mountain Province</t>
  </si>
  <si>
    <t>20PI0087 - Replacement of Concrete Pavement along 1. Mt. Province-Ilocos via Tue Road 2. Mt. Province-Ilocos via Kayan Road</t>
  </si>
  <si>
    <t>20PI0089 - Repair/Maintenance of: 2. DPWH Building Caluttit 3. DOST Building Provincial Science and Technology Ctr. Caluttit</t>
  </si>
  <si>
    <t>SUPPLY AND DELIVERY OF CAMSHAFT WITH DRIVE GEAR FOR 500KW CXZ MAN DIESEL, 6L20/27 INTENDED FOR LORETO DIESEL POWER PLANT</t>
  </si>
  <si>
    <t>PROCUREMENT OF VARIOUS WELFARE GOOD OF BRGY ITAW TO SUPPORT IN COVID-19 PANDEMIC</t>
  </si>
  <si>
    <t>20PI0088 - Repair/Maintenance of: 1. Drainage along Baguio-Bontoc Road, Gonogon Section, Bontoc 3. Drainage along Mt. Province - Ilocos Sur via Tue Road, Domog Section, Bauko</t>
  </si>
  <si>
    <t>Upgrading of Alley w/ Improvement of Drainage Canal Int. Davila St. (Near Echol) Brgy. Navotas West, Navotas City</t>
  </si>
  <si>
    <t>for PROCUREMENT OF VARIOUS WELFARE GOODS OF BRGY SAN JOSE SANGGUNIANG KABATAAN TO SUPPORT IN COVID-19 PANDEMIC</t>
  </si>
  <si>
    <t>Contract ID: 20KH0045:Repair/Maintenance of Drainage System Along CDO – Airport – Bukidnon Road, K1443+800 – K1444+028, Cagayan de Oro City</t>
  </si>
  <si>
    <t>Construction of Tanjay City Adolescent Friendly Health Service Center at Barangay Sta. Cruz Viejo</t>
  </si>
  <si>
    <t>20GFG0015 - Procurement of Spareparts for use in Maintenance and upkeep of Service Vehicles and Heavy Equipment at Maintenance Section DPWH, Camarines Sur 4th DEO, Caraycayon, Tigaon, Camarines Sur</t>
  </si>
  <si>
    <t>PROCUREMENT OF VARIOUS WELFARE GOODS OF BRGY LOOY TO SUPPORT IN COVID-19 PANDEMIC</t>
  </si>
  <si>
    <t>Construction of  Box Culvert   at Cambarus Diotay, Brgy. Antipolo</t>
  </si>
  <si>
    <t>Construction of  Water System at Had. Carmenchica, Brgy. DSB</t>
  </si>
  <si>
    <t>PROCUREMENT OF VARIOUS WELFARE GOODS OF BRGY SAN JOSE TO SUPPORT IN COVID-19 PANDEMIC</t>
  </si>
  <si>
    <t>SUPPLY AND DELIVERY OF VARIOUS WATER SERVICE CONNECTION MATERIALS FOR 2ND QUARTER PROCUREMENT OF CY 2020</t>
  </si>
  <si>
    <t>Improvement of Water System at Various Puroks , Brgy. Burgos</t>
  </si>
  <si>
    <t>2020-135-I SUBSCRIPTION OF INTERNET CONNECTIVITY FOR THE PERIOD  JUNE TO DECEMBER 2020</t>
  </si>
  <si>
    <t>RFQ No. 20-074: Supply and Delivery of Various Laboratory Tissue Cassette (Line Items)</t>
  </si>
  <si>
    <t>20FG0100 - CY-2020 Repair/Maintenance of DOJ Building, DOJ Main Building San Antonio, San Jose, Camarines Sur</t>
  </si>
  <si>
    <t>REPAIR AND MAINTANNCE OF MITSUBISHI STRADA</t>
  </si>
  <si>
    <t>Electrification of New Government Building  at Municipal Premises</t>
  </si>
  <si>
    <t>PROCUREMENT OF WELFARE GOODS OF BRGY LOOY SANGGUNIANG KABATAAN TO SUPPORT IN COVID-19 PANDEMIC</t>
  </si>
  <si>
    <t>Supply, Delivery, Installation, and Commissioning of One (1) Unit Fully Automated System for Coagulation</t>
  </si>
  <si>
    <t>INVITATION TO BID FOR THE CONSTRUCTION OF DORMITORY III (MALE) REBID (Design and Build)</t>
  </si>
  <si>
    <t>CONSTRUCTION OF SPILLWAY</t>
  </si>
  <si>
    <t>Supply and Delivery of Office Equipment  - ITB 023-2020  GQ</t>
  </si>
  <si>
    <t>Supply and Delivery of Assorted Medicines</t>
  </si>
  <si>
    <t>20GKI0017 (Public Bidding) (Re-ad) Contract Name: Supply of Customized Binder and other Various Items for use in the DPWH Office</t>
  </si>
  <si>
    <t>Construction of San Fabian Small Water Impounding System (SWIS)</t>
  </si>
  <si>
    <t xml:space="preserve">20GKI0026 (Public Bidding) Contract Name: Furnishing of Materials for Work Category No. 10 – Pavement Maintenance 		  Act. 111 – Premix Patching of Bituminous Pavement along National Primary Roads 		 </t>
  </si>
  <si>
    <t>Supply and Delivery of Construction Materials - ITB 024-2020 GQ</t>
  </si>
  <si>
    <t>Procurement of Various Construction Supplies and Materials-06-321(O)PEO</t>
  </si>
  <si>
    <t>Supply and Delivery of Assorted Other Supplies and Materials</t>
  </si>
  <si>
    <t>Construction of Villaflores Small Water Impounding System (SWIS)</t>
  </si>
  <si>
    <t>REPAIR/RENOVATION OF PERIMETER FENCE AT OMSC LABANGAN SHS</t>
  </si>
  <si>
    <t>Supply and Delivery of Agricultural Supplies and Equipment - ITB 026-2020 GQ</t>
  </si>
  <si>
    <t>Well Drilling Project</t>
  </si>
  <si>
    <t xml:space="preserve">20GKI0025 (Public Bidding) (Re-ad) Contract Name: Furnishing of Materials for Work Category No.18 – Traffic Services Maintenance 		  Act. 302 – Centerline &amp; Lane Line Repainting (Reflectived Pavement </t>
  </si>
  <si>
    <t>20CK0093 - Construction of Classrooms: Two (2) Storey, Six (6) Classroom School Building at Caut Elementary School, La Paz, Tarlac</t>
  </si>
  <si>
    <t>Procurement of Drugs and Medicines (Re-bid)</t>
  </si>
  <si>
    <t>Construction of Canabay Small Water Impounding System (SWIS)</t>
  </si>
  <si>
    <t>20GKI0024 (Public Bidding) (Re-ad) Contract Name: Furnishing of Materials for Work Category No.18 – Traffic Services Maintenance Act. 303 – Guardrail Maintenance, Districtwide, Misamis Occidental 1st</t>
  </si>
  <si>
    <t>Construction of Cabuaan Small Water Impounding System (SWIS)</t>
  </si>
  <si>
    <t>Construction of Banila Small Water Impounding System (SWIS)</t>
  </si>
  <si>
    <t>Supply and delivery of Tires for NCR North Branches</t>
  </si>
  <si>
    <t>Supply and Delivery of Food Processing Tools &amp; Equipment - RFQ 053-2020 GQ</t>
  </si>
  <si>
    <t>PURCHASE OF SOLAR SYSTEM</t>
  </si>
  <si>
    <t>SUPPLY AND DELIVERY OF ELECTRICAL SPARES FOR LEROY SOMER AT PALIMBANG DPP, LOT AWARD</t>
  </si>
  <si>
    <t>SUPPLY AND DELIVERY OF MECHANICAL SPARE PARTS INTENDED FOR UNIT 3, 260KW DALE PERKINS AT NINOY AQUINO DPP, LOT AWARD</t>
  </si>
  <si>
    <t>20BJ0060 : Construction of Municipal Building, Phase 1 Kayapa, Nueva Vizcaya</t>
  </si>
  <si>
    <t>INVITATION TO BID FOR THE PROCUREMENT OF RICE FOR PEACE &amp; ORDER OPERATION</t>
  </si>
  <si>
    <t>INSTALLATION OF FIBER GLASS BASKETBALL GOAL @ BRGY. UPPER CAMPO ISLAM, LABANGAN ZDS</t>
  </si>
  <si>
    <t>TOBACCO FARMERS EQUIPMENT ASSISTANCE</t>
  </si>
  <si>
    <t>SUPPLY AND DELIVERY OF CURRENT TRANSFORMER SPARES FOR SPUG MINDANAO DIESEL POWER PLANT, LOT AWARD</t>
  </si>
  <si>
    <t>Provision of Core Shelter</t>
  </si>
  <si>
    <t>Labor and Materials for the Construction of Concrete Perimeter Fence @ Vallhermoso High School and Construction of Covered Court (Phase I) @ Guadalupe Elementary School</t>
  </si>
  <si>
    <t>Supply and Delivery of Food Processing Tools &amp; Equipment - RFQ 054-2020 GQ</t>
  </si>
  <si>
    <t>Supply and Delivery of Agricultural Supplies &amp; Equipment - ITB 027-2020 GQ</t>
  </si>
  <si>
    <t>20KB0162   Construction of Water System, Brgy. Sinuda, Kitaotao, Bukidnon</t>
  </si>
  <si>
    <t>IMPROVEMENT OF MULTI PURPOSE CENTER, ALEMANIA, DIMIAO</t>
  </si>
  <si>
    <t>20HA0130 - CONSTRUCTION OF CATIGBIAN WATER SUPPLY, CATIGBIAN, BOHOL</t>
  </si>
  <si>
    <t>EXTENSION OF MULTI-PURPOSE HALL</t>
  </si>
  <si>
    <t>Construction of Bansing Small Water Impounding System (SWIS)</t>
  </si>
  <si>
    <t>Supply and Delivery of Rehabilitation of PNP  Building@ Poblacion Tibiao, Ant</t>
  </si>
  <si>
    <t>Supplies for Alternative Home School Program</t>
  </si>
  <si>
    <t>CONSTRUCTION OF DAY CARE CENTER AT BARANGAY SITE (PERPETUAL SUCCOR)</t>
  </si>
  <si>
    <t>Agricultural Service Support</t>
  </si>
  <si>
    <t>Supply And Delivery of Environmental Water And Sanitation Project (Water Quality Monitoring)MHO Tibiao Ant.</t>
  </si>
  <si>
    <t>Concreting of Local Road at Barangay Tubang, Maasin, Iloilo</t>
  </si>
  <si>
    <t>Office Supplies (MSWDO/Disable)</t>
  </si>
  <si>
    <t>PURCHASE OF DRUGS AND MEDICINES</t>
  </si>
  <si>
    <t>Concreting of Access Road to Evacuation Center Phase 1, Brgy. Awasian, Tandag City</t>
  </si>
  <si>
    <t>20KB0163   Construction of Water System, Brgy. Sta. Felomina, Quezon, Bukidnon</t>
  </si>
  <si>
    <t>Concreting of Farm to Market Road (Tubigan)</t>
  </si>
  <si>
    <t>Construction Projects (003)</t>
  </si>
  <si>
    <t>Supply and Delivery of Various Live Animals</t>
  </si>
  <si>
    <t>PROCUREMENT OF VARIOUS GOODS FOR SUPPLEMENTARY FEEDING OF 15 BARANGAYS IN BAY, LAGUNA</t>
  </si>
  <si>
    <t>20BD0111 – CONCRETING OF BRGY. MANALO FMR, BRGY. MANALO, AMULUNG, CAGAYAN</t>
  </si>
  <si>
    <t>Procurement of 1 Unit Brand New 12 seater Van</t>
  </si>
  <si>
    <t>CONSTRUCTION OF STEEL FOOTBRIDGE - Tabobo-an, Odiongan, Romblon</t>
  </si>
  <si>
    <t>Concreting of Roads in Different Barangays  (Panikian to Magtibay), Naujan, Oriental Mindoro</t>
  </si>
  <si>
    <t>PROCUREMENT OF VARIOUS WELFARE GOODS OF BRGY KUYA SANGGUNIANG KABATAAN TO SUPPORT IN COVID-19 PANDEMIC</t>
  </si>
  <si>
    <t>Procurement of Hardware and Construction Supplies - PR No. 2020-05-0063</t>
  </si>
  <si>
    <t>LUYO-BAKILID-DATAG ROAD CONCRETING</t>
  </si>
  <si>
    <t>20BD0110 – CONCRETING OF BRGY. DADDA FMR, BRGY. DADDA, AMULUNG, CAGAYAN</t>
  </si>
  <si>
    <t>Office Supplies (MSWDO)</t>
  </si>
  <si>
    <t>PROCUREMENT OF VARIOUS WELFARE GOODS OF BRGY PANDAN SANGGUNIANG KABATAAN TO SUPPORT IN COVID-19 PANDEMIC</t>
  </si>
  <si>
    <t>Construction Projects (2020-05-065)</t>
  </si>
  <si>
    <t>20KB0164   Construction of Water System, Brgy. Sampaguita, Kibawe, Bukidnon</t>
  </si>
  <si>
    <t>20BD0113 – CONCRETING OF BRGY. BACULUD FMR, BRGY. BACULUD, AMULUNG, CAGAYAN</t>
  </si>
  <si>
    <t>20BD0109 – CONCRETING OF BRGY. PADUL FMR, BRGY. PADUL, SOLANA, CAGAYAN</t>
  </si>
  <si>
    <t>20BD0112 – CONCRETING OF BRGY. TARIBUBU FMR, BRGY. TARIBUBU, TUAO, CAGAYAN</t>
  </si>
  <si>
    <t>EMERGENCY EQUIPMENT/PARAPHERNALIA</t>
  </si>
  <si>
    <t>Delivery of labor and materials for the Improvement of Evacuation Center at Barangay Dila, Bay, Laguna for their implementation of 20% Economic  Development Fund (C.Y. 2020)</t>
  </si>
  <si>
    <t>20BD0108 – CONCRETING OF BRGY. MAMBACAG FMR, BRGY. MAMBACAG, TUAO, CAGAYAN</t>
  </si>
  <si>
    <t>Supplies &amp; Delivery of Materials of Improvement of Waterworks</t>
  </si>
  <si>
    <t>Office Supplies (MSWDO/Senior Citizen)</t>
  </si>
  <si>
    <t>CONSTRUCTION OF LINE CANAL</t>
  </si>
  <si>
    <t>20GG00016 - Procurement of Safety and Emergency Equipment for use in the Quick Response Operation for the Big One Earthquake, DPWH Regional Office VI, Iloilo City</t>
  </si>
  <si>
    <t>20BD0116 – LOCAL PROGRAM - LOCAL INFRASTRUCTURE PROGRAM – BUILDINGS AND OTHER STRUCTURES - MULTIPURPOSE/FACILITIES - CONSTRUCTION OF MULTI-PURPOSE BUILDING, BRGY. MADDARULUG, SOLANA, CAGAYAN</t>
  </si>
  <si>
    <t>20BD0115 – EXPANSION OF IGUIG PUBLIC MARKET BRGY. AJAT, IGUIG, CAGAYAN</t>
  </si>
  <si>
    <t>IMPROVEMENT OF MULTI PURPOSE BUILDING, CAMBAYAON, DIMIAO</t>
  </si>
  <si>
    <t>REHABILITATION OF CANLAMBONG ELEMENTARY SCHOOL</t>
  </si>
  <si>
    <t>20NA0067 Repair and Improvement of Covered Court, Brgy. Jaliobong, Kitcharao, Agusan del Norte</t>
  </si>
  <si>
    <t>CONRETING OF ABIHID ROAD, DIMIAO</t>
  </si>
  <si>
    <t>20GM0077 - Concreting of Sitio Piliopiliohan, Brgy. Inapoy FMR, Brgy. Inapoy, Kabankalan City, Negros Occidental</t>
  </si>
  <si>
    <t>20BD0119 – REPAIR/MAINTENANCE OF OFFICE OF THE PRESIDENT COMMISSION ON HIGHER EDUCATION REGIONAL OFFICE 2 – MAIN BUILDING REGIONAL GOVERNMENT CENTER, TUGUEGARAO CITY</t>
  </si>
  <si>
    <t>IMPROVEMENT/REHABILITATION OF PUBLIC MARKET</t>
  </si>
  <si>
    <t>20BD0118 – REPAIR/ MAINTENANCE OF DOJ BUILDING DOJ REGIONAL OFFICE 2 BUILDING (PHASE 3) REGIONAL GOVERNMENT CENTER, TUGUEGARAO CITY</t>
  </si>
  <si>
    <t>CONSTRUCTION OF CONCRETE WATER RESERVOIR, CANLAMBONG, DIMIAO</t>
  </si>
  <si>
    <t>20BD0117 – REPAIR/MAINTENANCE OF DRAINAGE STRUCTURE ALONG CAGAYAN VALLEY ROAD K0496+000 - K0496+180, IGUIG CAGAYAN</t>
  </si>
  <si>
    <t>Procurement of Materials for Partition</t>
  </si>
  <si>
    <t>OPENING OF FARM TO MARKET ROAD</t>
  </si>
  <si>
    <t>IMPROVEMENT OF MULTI PURPOSE BUILDING, ILE, DIMIAO</t>
  </si>
  <si>
    <t>Supply and Delivery of Five (5) sets High Availability Firewall Appliance (2 paired units)</t>
  </si>
  <si>
    <t>Construction of Farm to Market Road - Brgy. Nibaliw East, San Fabian, Pangasinan</t>
  </si>
  <si>
    <t>CONSTRUCTION OF SLOPE PROTECTION-SAN JULIAN</t>
  </si>
  <si>
    <t>20BD0120 – REPAIR/MAINTENANCE OF DENR BUILDING PENRO CAGAYAN SUB-OFFICE – MAIN BUILDING REGIONAL GOVERNMENT CENTER, TUGUEGARAO CITY</t>
  </si>
  <si>
    <t>20BD0114 – CONCRETING OF BRGY. FURAGUI FMR, BRGY. FURAGUI, SOLANA, CAGAYAN</t>
  </si>
  <si>
    <t>20BD0122 – REPAIR/MAINTENANCE OF DOT BUILDING REGIONAL OFFICE NO. 2 – MAIN BUILDING REGIONAL GOVERNMENT CENTER, TUGUEGARAO CITY</t>
  </si>
  <si>
    <t>IMPROVEMENT OF MULTI PURPOSE BUILDING, TAONGON CABATUAN, DIMIAO</t>
  </si>
  <si>
    <t>20GM0073 - Concreting of Purok Cordova, Brgy. Bocana FMR, Brgy. Bocana, Ilog, Negros Occidental</t>
  </si>
  <si>
    <t>Procurement of Farm Equipment</t>
  </si>
  <si>
    <t>20BD0121 – REPAIR/MAINTENANCE OF DOLE BUILDING PROFESSIONAL REGULATION COMMISSION BUILDING REGIONAL GOVERNMENT CENTER, TUGUEGARAO CITY</t>
  </si>
  <si>
    <t>Construction of Drainage Line Canal (Phase I) at Vasquez Street, Poblacion Ubos, Pintuyan, Southern Leyte</t>
  </si>
  <si>
    <t>20GM0078 - Concreting of Zone 2 to Sitio Cantukong, Brgy. Manlucahoc FMR, Brgy. Manlucahoc, Sipalay City, Negros Occidental</t>
  </si>
  <si>
    <t>20BD0125 – REPAIR/MAINTENANCE OF DILG BUILDING PNP – REGIONAL ENGINEERING UNIT BUILDING CAMP MARCELO A. ADDURU, TUGUEGARAO CITY</t>
  </si>
  <si>
    <t>Construction of New Public Market (Site Development-Embankment), Burgos St., Brgy. Tablang, Paniqui, Tarlac</t>
  </si>
  <si>
    <t>Completion of Session Hall at ABC Hall Building, Aguada, Ozamiz City</t>
  </si>
  <si>
    <t>Construction of New Public Market (Main Building 1), Burgos St., Brgy. Tablang, Paniqui, Tarlac</t>
  </si>
  <si>
    <t>20BG0146-71X Special Maintenance – Furnishing of Materials for Signages for use along National Roads, Along Naguilian - San Mariano Road, Gamu - Roxas Road and Santiago - Tuguegarao Road, Nagulian - S</t>
  </si>
  <si>
    <t>20BD0123 – REPAIR/MAINTENANCE OF CONSTITUTIONAL OFFICE BUILDING CIVIL SERVICE COMMISSION CAGAYAN-BATANES PROV'L OFFICE - MAIN BUILDING REGIONAL GOVERNMENT CENTER, TUGUEGARAO CITY</t>
  </si>
  <si>
    <t>20GM0079 - Concreting of Brgy. Abaca FMR, Brgy. Abaca, Cauayan, Negros Occidental</t>
  </si>
  <si>
    <t>20BD0124 – REPAIR/MAINTENANCE OF DILG BUILDING PNP- BACHELOR OFFICERS QUARTER REGIONAL GOVERNMENT CENTER, TUGUEGARAO CITY</t>
  </si>
  <si>
    <t>Installation of Street Lightings</t>
  </si>
  <si>
    <t>Construction of New Public Market (Site Development-Drainage System), Burgos St., Brgy. Tablang, Paniqui, Tarlac</t>
  </si>
  <si>
    <t>(20NH0081 (RE-AD))Rehabilitation of Municipal Building Brgy. Tina, San Miguel, Surigao del Sur</t>
  </si>
  <si>
    <t>Construction of Drainage Line Canal and Access Road at Pintuyan Eco-Park and Resort</t>
  </si>
  <si>
    <t>Construction Projects (2020-05-066)</t>
  </si>
  <si>
    <t>Supply and Delivery of Twenty (20) units Solar Charge Controllers/Regulators</t>
  </si>
  <si>
    <t>IMPROVEMENT/UPGRADING OF MUNICIPAL CONFERENCE ROOM,LGU-DIMIAO</t>
  </si>
  <si>
    <t>Provision of Hybrid Rice Seeds for School on the Air on Hybrid Rice Production thru Updated Palay Check System</t>
  </si>
  <si>
    <t>Construction of Municipal Hall Building(Annex 1)-Phase 2</t>
  </si>
  <si>
    <t>Office Supplies (MTCO/Tourism)</t>
  </si>
  <si>
    <t>Adv. 20-007 Supply and Delivery of Various Medical Supplies, for use in Cebu Provincial Health Office</t>
  </si>
  <si>
    <t>SUPPLY and DELIVERY of VARIOUS OFFICE SUPPLIES and CONSUMABLES (BATCH 1) - (BAC-NP NO. 2020-05)</t>
  </si>
  <si>
    <t>IMPROVEMENT OF MULTI PURPOSE CENTER, CABANBANAN, DIMIAO</t>
  </si>
  <si>
    <t>Construction of 7-units Booth</t>
  </si>
  <si>
    <t>20GM0074 - Concreting of Brgy. Asia FMR, Brgy. Asia, Hinoba-an, Negros Occidental</t>
  </si>
  <si>
    <t>20GM0075 - Concreting of Purok 6 to Purok 7, Brgy. Culipapa FMR, Brgy. Culipapa, Hinoba-an, Negros Occidental</t>
  </si>
  <si>
    <t>CANHAYUPON NATIONAL HIGH SCHOOL WATERWORKS PROJECT</t>
  </si>
  <si>
    <t>20GM0076 - Concreting of Brgy. Baclao FMR, Brgy. Baclao, Cauayan, Negros Occidental</t>
  </si>
  <si>
    <t>Medical Supplies for CVAC Operation</t>
  </si>
  <si>
    <t>IMPROVEMENT OF MULTI PURPOSE BUILDING, DATAG, DIMIAO</t>
  </si>
  <si>
    <t>Supply and Delivery of Medical Supplies</t>
  </si>
  <si>
    <t>CATERING SERVICES FOR COMMUNITY-BASED ORIENTATION PROGRAM</t>
  </si>
  <si>
    <t>Construction of Covered Canal @ Barangay 9, Gingoog City, Mis. Or. under Contract Ref. no. 2020-INFRA-037</t>
  </si>
  <si>
    <t>Rehabilitation of Sanitary Landfill</t>
  </si>
  <si>
    <t>Supply and Delivery of Various Animal Feeds</t>
  </si>
  <si>
    <t>CONSULTANCY SERVICES FOR SAMAR URBAN DEVELOPMENT PLAN</t>
  </si>
  <si>
    <t>SUPPLY AND DELIVERY OF CUSTOMIZED UNIFORM (POLO SHIRT W/ PRINT) FOR CVOs</t>
  </si>
  <si>
    <t>Construction of CAMSUR Environmental Laboratory Capitol Complex, Cadlan, Pili, Camarines Sur</t>
  </si>
  <si>
    <t>CATERING SERVICES FOR RESPONSE OPERATION</t>
  </si>
  <si>
    <t>CATERING SERVICES FOR HEALTH EMERGENCY MONITORING</t>
  </si>
  <si>
    <t>Laboratory Supplies for RHU</t>
  </si>
  <si>
    <t>CATERING SERVICES FOR HEALTH EMERGENCY MONITORING/RESPONSE OPERATION</t>
  </si>
  <si>
    <t>INSTALLATION OF CCTV CAMERAS FOR “ BALIK PROBINSYA BAGONG PAG -ASA PROGRAM” AT  BRGY TACUB, KAUSWAGAN, LANAO DEL NORTE</t>
  </si>
  <si>
    <t>Supply and Installation of Renewable, Clean Solar Powered Streetlights along Alaminos, San Pablo by Pass Road (60 watts LED , Integrated Solar Streetlights) Phase 2</t>
  </si>
  <si>
    <t>Supply and Delivery of Diesel Fuel ( E-065-0365-20 )</t>
  </si>
  <si>
    <t>CONSTRUCTION OF 5 UNITS MULTI-PURPOSE BUILDINGS</t>
  </si>
  <si>
    <t>REPAIR OF TWO STOREY 12-CLASSROOM BUILDING (GREGORIO DEL PILAR) AND REPAIR OF GYMNASIUM AT OMSC LABANGAN</t>
  </si>
  <si>
    <t>Const. of MP Facility (Covered Court) @ Barangay Minsapinit, Gingoog City, Mis. Or. under Contract Ref. No. 2020-INFRA-038</t>
  </si>
  <si>
    <t>Office Supplies MSWDO/LCPC)</t>
  </si>
  <si>
    <t>Cell cards (MSWDO)</t>
  </si>
  <si>
    <t>Construction of Two Storey Multi-Purpose Building Macad, Pasacao,  Camarines Sur</t>
  </si>
  <si>
    <t>IMPROVEMENT OF BEAS, MABAAY, MULTIPURPOSE HALL</t>
  </si>
  <si>
    <t>Negotiated Procurement for the Provisions of Barangay Health Station at Barangay RH-2,Cotabato City and Provisions o fLying-Inns for  Strategic Barangays at Barangay RH-9, Cotabato City</t>
  </si>
  <si>
    <t>IMPROVEMENT OF AMPAWILEN- SADANGA PROVINCIAL ROAD (ADAREK- RARASOTAN SECTION)</t>
  </si>
  <si>
    <t>Supply and Delivery of Ci and Gi Fittings ( E-042-0342-20 )</t>
  </si>
  <si>
    <t>Livelihood Project, Hog Fattening (Sitio Guinmisahan)</t>
  </si>
  <si>
    <t>CONTINUATION OF PANABUNGEN MULTIPURPOSE HALL, BESAO</t>
  </si>
  <si>
    <t>Office Supplies  COA</t>
  </si>
  <si>
    <t>Supply &amp; Delivery of Various Materials for the Installation of Solar Street Light</t>
  </si>
  <si>
    <t>Supply and Delivery of Brass Union Coupling Adapter ISO 1-1/2" ( D-005-0255-20 )</t>
  </si>
  <si>
    <t>Completion &amp; Rehab. Of MP Facility (Covered Court) @ Barangay Minsapinit, Gingoog City, Mis. Or. under Contract Ref. No. 2020-INFRA-039</t>
  </si>
  <si>
    <t>Purchase Plastic Chairs</t>
  </si>
  <si>
    <t>Use for the augmentation of Secondary Transmission Line to Main Tank at Bong Borlasa source Kabangkalan, Villahermosa, Tudela, Cebu</t>
  </si>
  <si>
    <t>20GDF0014 (By Admin) - Purchasing of Thermoplastic Paint Materials for the use in the Repair and Maintenance of Various National Road in DPWH - Cavite 1st District Engineering Office, Trece Mart</t>
  </si>
  <si>
    <t>MAINTENANCE OF CORE LOCAL ROADS AT ATOK CIS SERVICE ROAD</t>
  </si>
  <si>
    <t>Construction of Drainage Canal-Church Alley, Poblacion, San Fabian, Pangasinan</t>
  </si>
  <si>
    <t>Provision of 1 Unit Four Wheeled Farm Tractor for the Municipal Agriculturist Office</t>
  </si>
  <si>
    <t>Contract ID No. 20NC00117 - Rehabilitation of Santa Josefa Public Memorial Park</t>
  </si>
  <si>
    <t>CONSTRUCTION OF GUITABAYAG BRIDGE (Gomez to Villaflor)</t>
  </si>
  <si>
    <t>Supply &amp; Delivery of Laboratory Reagents for Hematology Analyzer</t>
  </si>
  <si>
    <t>Supply and delivery of One (1) unit Mini-Dump Truck for Municipal Solid Waste Management</t>
  </si>
  <si>
    <t>Rice (RC 158)</t>
  </si>
  <si>
    <t>Concreting/Improvement of Roxas Barangay Road</t>
  </si>
  <si>
    <t>PROCUREMENT OF 1,225 HEADS OF LIVE NATIVE CHICKEN (HEN) &amp; 245 HEADS OF LIVE COCKEREL (MALE CHICKEN)</t>
  </si>
  <si>
    <t>20GDF0016 (By Admin) - Purchasing of Construction Materials for the asphalt patching along Noveleta-Naic-Tagaytay Road, Labanan sa Binakayan Road and Manila Cavite Road DPWH Cavite 1st District Engine</t>
  </si>
  <si>
    <t>PROCUREMENT OF 14 HEADS OF LIVE CARABAO/COW</t>
  </si>
  <si>
    <t>Supply &amp; Delivery of Vegetable Seeds for the Community Based Vegetable Gardening of the Municipal Agriculturist's Office</t>
  </si>
  <si>
    <t>PROCUREMENT OF 205 HEADS OF LIVE DOE &amp; 7 HEADS OF LIVE BUCK</t>
  </si>
  <si>
    <t>Procurement of Household-Level Data Management System</t>
  </si>
  <si>
    <t>Medical and Lab Supplies</t>
  </si>
  <si>
    <t>Repair/Maintenance of DPWH Building AES-Main Building, Baguinge, Kiangan, Ifugao</t>
  </si>
  <si>
    <t>Labor and Materials for Improvement of Health Center Promotion of Healthy Lifestyle Building RHU Compound, Brgy. Poblacion, Glan, Sarangani Province.</t>
  </si>
  <si>
    <t>20GDF0015 (By Admin) - Purchasing of Construction Materials for the Asphalt Patching along Tanza-TMC-Indang Road and Crisanto M. Delos Reyes Avenue Road DPWH Cavite 1st District Engineering Office, Tr</t>
  </si>
  <si>
    <t>Purchase of multifilament net &amp; accessories</t>
  </si>
  <si>
    <t>CONSTRUCTION OF GUITABAYAG BRIDGE (Gomez to Nagbukel)</t>
  </si>
  <si>
    <t>IMPROVEMENT OF GUEDAY IRRIGATION SYSTEM, BESAO</t>
  </si>
  <si>
    <t>Supply &amp; Delivery of 1 Unit of Payloader for the MENRO</t>
  </si>
  <si>
    <t>Supply and Delivery of 100mm dia. Ci Sleeve Type Coupling &amp; Ci Sleeve Type Coupling for PVC 2" with BNG ( D-009-0259-20 )</t>
  </si>
  <si>
    <t>SUPPLY, DELIVERY, INSTALLATION AND COMMISSIONING OF PERIPHERAL MAGNETIC STIMULATOR</t>
  </si>
  <si>
    <t>Supply and Delivery of Fitting &amp; Valves (Lot #1), Fuel &amp; Diesel (Lot #2), Chlorine Granules (Lot #3) and Chlorine Test Kit (Lot #4) for the use of Brooke’s Point Water System Office, Brooke’s Point, P</t>
  </si>
  <si>
    <t>Supply and delivery of Materials (Lot #1), Good Lumber (Lot #2), Fuel (Lot #3) Drainage Structure (Lot #4) and Labor (Lot #5) for Proposed Road Concreting from National Highway sta. 00+350 to Sta. 00+</t>
  </si>
  <si>
    <t xml:space="preserve">20GDF0017 (By Admin) - Purchasing of Construction Materials for the Repair and Maintenance for Cracks and Joint Sealing of Concrete Pavements for various National Road Cavite 1st District Engineering </t>
  </si>
  <si>
    <t>Supply and Delivery of 1 unit Service Vehicle 4X4 MT Pick-Up Type.</t>
  </si>
  <si>
    <t>Rehabilitation/Improvement of Isulan Integrated Public Terminal</t>
  </si>
  <si>
    <t>Supply and Delivery of Materials (Lot #1), Good Lumber (Lot #2) Fuel (Lot #3) and Labor (Lot #4) for Proposed Road Concreting from National Highway Sta. 00+400 to Sta. 00+990m leading to Tagpirara Ele</t>
  </si>
  <si>
    <t>Supply and Delivery of Spare Parts for Maintenance of Garbage Truck Plate # XHB 393 (General Body Repair).</t>
  </si>
  <si>
    <t>Purchase of Twenty (20) Units Brand New Single Motorcycle</t>
  </si>
  <si>
    <t>CLUSTER 29-2020</t>
  </si>
  <si>
    <t>Construction of Slope Protection along Magsaysay-Paco Road</t>
  </si>
  <si>
    <t>Contract ID No. 20NC0118 -  Expansion of Rosario Public Cemetry</t>
  </si>
  <si>
    <t>Supply And Delivery of Materials (Lot #1), Good Lumber (Lot #2), Fuel (Lot #3) Drainage Structure (Lot #4) and Labor (Lot #5) for Proposed Road Concreting from National Highway Sta. 00+015 to Sta. 00+</t>
  </si>
  <si>
    <t>PROCUREMENT OF COASTAL CLEAN UP DRIVE SUPPLIES</t>
  </si>
  <si>
    <t>Procurement of Fuel - 2020-05-0062</t>
  </si>
  <si>
    <t>CID NO. 20IF0137 - Repair and Maintenance of Road Safety  Facilities within Leyte Fourth DEO</t>
  </si>
  <si>
    <t>Construction of Barangay Health Station, Casalngan, Hamtic</t>
  </si>
  <si>
    <t>REHABILITATION OF MAIN ELECTRIC LINE OF MUNICIPAL HALL BUILDING</t>
  </si>
  <si>
    <t>COMPLETION OF NAGUILIAN COMMUNITY CENTER</t>
  </si>
  <si>
    <t>20GDF0018 (By Admin) - Purchasing of Heavy Equipment for the use of the Maintenance Section under Cavite 1st District Engineering Office</t>
  </si>
  <si>
    <t>Supply &amp; Delivery of ICT Equipment for the Municipal Budget Office &amp; (BPLO), Municipality of Bongabong, Oriental Mindoro</t>
  </si>
  <si>
    <t>Supply &amp; Delivery of Drugs &amp; Medicines for Municipal Health Office (1st Semester)</t>
  </si>
  <si>
    <t>Contract ID No. 20NC0119 -Road Widening, Daang Maharlika (Agusan-Davao Section),</t>
  </si>
  <si>
    <t>Procurement of Medicines and Laboratory Supplies</t>
  </si>
  <si>
    <t>PROCUREMENT OF BABY KITS FOR NEW BORN BABIES</t>
  </si>
  <si>
    <t>Contract ID No. 20NC0120 - Flood Control Project - Improvement/Rehabilitation of Adlayan Riverbank Sta. 0+000.00 – Sta. 0+120.00</t>
  </si>
  <si>
    <t>SUPPLY, DELIVERY AND INSTALLATION OF STREET LIGHTS</t>
  </si>
  <si>
    <t>Construction of Rainwater Collection System (RWCS), Kiangan, Lamut, Hungduan, Tinoc and Lagawe, Ifugao</t>
  </si>
  <si>
    <t>CID NO. 20IF0138-Act No. 66X - Selective Replacement of Concrete Pavement within Leyte Fourth DEO</t>
  </si>
  <si>
    <t>DEVELOPMENT OF SENTINELA HILL AS ECO-CULTURAL PARK PHASE II</t>
  </si>
  <si>
    <t>IMPROVEMENT OF TERMINAL COMPLEX</t>
  </si>
  <si>
    <t>IMPROVEMENT OF DAYCARE CENTER</t>
  </si>
  <si>
    <t>SUPPLY AND DELIVERY OF LAPAROSCOPIC/VATS HAND INSTRUMENTS</t>
  </si>
  <si>
    <t>Construction of Market Tiendas</t>
  </si>
  <si>
    <t>CONSTRUCTION OF MRF</t>
  </si>
  <si>
    <t>Tiger Grass Production</t>
  </si>
  <si>
    <t>CLUSTER 30-2020</t>
  </si>
  <si>
    <t>PROCUREMENT OF STOCK PILE</t>
  </si>
  <si>
    <t>Ref. No. 2020-S001 Construction of Secondary and Tertiary Roads with Solar Lamps and Utilities in the Most Affected Area (MAA), Marawi City, Lanao Del Sur</t>
  </si>
  <si>
    <t>Provision of fertilizers for the Technical Briefing on Hybrid Rice Production 2 Batches (Negros Oriental)</t>
  </si>
  <si>
    <t>INSTALLATION OF SOLAR STREETLIGHTS AT EASTERN CABUL-AN, BUENAVISTA, BOHOL</t>
  </si>
  <si>
    <t>Construction of Barangay Health Station, Lapaz-Tubog, Hamtic, Antique</t>
  </si>
  <si>
    <t>Ref. No. 2020-S002 Construction of Primary Road with Solar Lamps and Underground Utilities in the Most Affected Area (MAA), Marawi City, Lanao Del Sur</t>
  </si>
  <si>
    <t>Construction of Evacuation Center @ Barangay Banta-awan, Gingoog City, Mis. Or. under Contract Ref. No. 2020-INFRA-040</t>
  </si>
  <si>
    <t>Construction of Barangay Health Station, Guintas, Hamtic, Antique</t>
  </si>
  <si>
    <t>Supply &amp; Delivery of Medical Supplies for Municipal Health Office (1st Semester)</t>
  </si>
  <si>
    <t>S3-PDM20-001 - Construction of Operator's Quarter and Office in Pandami Diesel Power Plant (DPP)</t>
  </si>
  <si>
    <t>Provision of fertilizers for the Technical Briefing on Hybrid Rice Production (2 Batches)</t>
  </si>
  <si>
    <t>Supply &amp; Delivery of Construction Materials for the Improvement of School Workshop (BBCS) at BBII</t>
  </si>
  <si>
    <t>INVITATION TO BID FOR THE PROJECT: SUPPLY AND DELIVERY OF VARIOUS MEDICAL SUPPLIES, ITB NO. 2020-06-010</t>
  </si>
  <si>
    <t>Construction of Barangay Health Station, Piapi I, Hamtic, Antique</t>
  </si>
  <si>
    <t>Sukol River Night Lights at Poblacion</t>
  </si>
  <si>
    <t>20GDM0098 (2020-06-0098) Provision of DPWH Security Services for its office buildings and compound requiring at least six (6) Security Guards at any time of the 24-hour round-the-clock duty, DPWH, Que</t>
  </si>
  <si>
    <t>Cluster XXXIII</t>
  </si>
  <si>
    <t>CLUSTER 31-2020</t>
  </si>
  <si>
    <t>Construction of Public Comfort Room</t>
  </si>
  <si>
    <t>MUNICIPAL ROAD CONCRETING ALONG LADGADAN ROAD, BARANGAY LADGADAN, SFADS</t>
  </si>
  <si>
    <t>Supply &amp; Delivery of Construction Materials for the Holding Pen Extension (Slaughterhouse)</t>
  </si>
  <si>
    <t>Purchase of One (1) 150 KVA 120 KW, 220/240 Voltage, 60Hz, three phase Sound proof GENERATOR SET for Isolation Facility</t>
  </si>
  <si>
    <t>SUPPLY AND DELIVERY OF TWO (2) UNITS MOTOR VEHICLE (PATROL CAR), PNP, SFADS</t>
  </si>
  <si>
    <t>CONSTRUCTION OF SOLID WASTE SEGREGATION FACILITY AT DUMPSITE , SITIO DAMILAG, BARANGAY PISAAN, SFADS</t>
  </si>
  <si>
    <t>"Revised" Concreting of Streets @ Purok 2 to Rehabilitation Center, Barangay 26, Gingoog City, Mis. Or. under Contract Ref. No. 2020-INFRA-041</t>
  </si>
  <si>
    <t>Cluster XXXIV</t>
  </si>
  <si>
    <t>Provision of Farm Inputs (Purchase of Fertilizer)</t>
  </si>
  <si>
    <t>REHABILITATION OF MASONRY DRAINAGE ALONG MARUZZO STREET</t>
  </si>
  <si>
    <t>02. BD - Procurement and Installation of NAVSENS and COMMELEX Equipment for PS35 LOT 1 Procurement and Installation of NAVSENS Equipment for PS35</t>
  </si>
  <si>
    <t>INVITATION TO BID FOR THE PROJECT: SUPPLY AND DELIVERY OF VARIOUS DRUGS AND MEDICINES, ITB NO. 2020-06-011</t>
  </si>
  <si>
    <t>Cluster XXXIX</t>
  </si>
  <si>
    <t>CONCRETING OF ROAD ALONG DAYAG STREET</t>
  </si>
  <si>
    <t>Cluster XXXVI</t>
  </si>
  <si>
    <t>20HF0098 Repair and Maintenance of Road Safety Facilities (Slope Protection Structure) along  Toledo Barili Santander Road, Brgy. Sayaw, Barili, Cebu</t>
  </si>
  <si>
    <t>Cluster XXXV</t>
  </si>
  <si>
    <t>Rehabilitation and Improvement of Manay Public Market at Manay, Davao Oriental</t>
  </si>
  <si>
    <t>CONSTRUCTION OF SAYANGAN, LUBO BIRTHING HOME FACILITY</t>
  </si>
  <si>
    <t>CARUSIPAN SIP/CY 2020 SIP FUND</t>
  </si>
  <si>
    <t>NAGBETTEDAN SIP/CY 2020 SIP FUND</t>
  </si>
  <si>
    <t>Cluster XXXVII</t>
  </si>
  <si>
    <t>Completion/Painting of MP Hall @ Barangay 22-A, Gingoog City, Mis. Or. under Contract Ref. No. 2020-INFRA-042</t>
  </si>
  <si>
    <t>Procurement and Installation of NAVSENS and COMMELEX Equipment for PS35 Lot 2 - Procurement and Installation of NAVSENS Equipment for PS35</t>
  </si>
  <si>
    <t>Construction of Barangay Health Station, Gov. Evelio B. Javier (EBJ), Hamtic, Antique</t>
  </si>
  <si>
    <t>Construction of Grouted Riprap</t>
  </si>
  <si>
    <t>PR NO. 020-06-040 - furnishing/Purchasing of Materials onlu Item 200(1) and Item 508</t>
  </si>
  <si>
    <t>LOT Procurement of SPAREPARTS for the Use of Light and Heavy Equipment</t>
  </si>
  <si>
    <t>Improvement of Drainage Canal Provincial Government Offices (PEO)</t>
  </si>
  <si>
    <t>Procurement of WCEIS Equipment of PBL1, PBL2, PBL5 AND 9MTR RIB 02 Lot 1 - Procurement of WCEIS Equipment of PBL1, PBL2, PBL5 and 9MTR RIB 02</t>
  </si>
  <si>
    <t>Improvement of Municipal Plaza [Rebid]</t>
  </si>
  <si>
    <t>REHAB./IMPROVEMENT OF PAPATAYAN-CARDIS-KAWAYAN-BAKDEY FMR</t>
  </si>
  <si>
    <t>LUBNAC-PATOC-AO CIS/CY 2020 CARP-IC FUND</t>
  </si>
  <si>
    <t>20HF0093 Repair and Rehabilitation of: 1. DPWH Building, Cebu III District Engineering Office,  Sitio Khinner, Poblacion, Toledo City, Cebu: a. DE's Quarter b. Canteen 2. DPWH Building, Main  Building</t>
  </si>
  <si>
    <t>Cluster XXXVIII</t>
  </si>
  <si>
    <t>Construction of Seawall</t>
  </si>
  <si>
    <t>PROCUREMENT FOR THE SUPPLY, DELIVERY, AND INSTALLATION OF CENTRIFUGE AND ROTARY EVAPORATOR SET FOR USE IN SATELLITE LABORATORIES OF PLANT PRODUCT SAFETY SERVICES DIVISION (PPSSD)</t>
  </si>
  <si>
    <t>BANAOANG PIS/CY 2020 FUND (CCAW)</t>
  </si>
  <si>
    <t>Procurement of Furniture &amp; Fixture [Office tables, chairs, podium &amp; flag stand]   [SB   Legislative]</t>
  </si>
  <si>
    <t>PROCUREMENT FOR THE SUPPLY AND DELIVERY OF SPE REAGENTS FOR USE IN LABORATORIES OF PLANT PRODUCT SAFETY SERVICES DIVISION (PPSSD)</t>
  </si>
  <si>
    <t>Procurement of WCEIS Equipment of PBL1, PBL2, PBL5 AND 9MTR RIB 02 Lot 2 - Procurement of WCEIS Equipment of PBL1, PBL2, PBL5 and 9MTR RIB 02</t>
  </si>
  <si>
    <t>Construction of Water Supply System</t>
  </si>
  <si>
    <t>Municipal Nursery cum Training and Info Building (4 units)</t>
  </si>
  <si>
    <t>PROCUREMENT FOR THE SUPPLY AND DELIVERY OF CHEMICALS AND REAGENTS FOR USE IN LABORATORIES OF PLANT PRODUCT SAFETY SERVICES DIVISION (PPSSD)</t>
  </si>
  <si>
    <t>20DQ0107 - LOCAL PROGRAM – Local Infrastructure Program – Flood Control and Drainage – Drainage / Protection Works – Rehabilitation of Drainage, Brgy. Digman, Bacoor City, Cavite; Rehabilitation of Dr</t>
  </si>
  <si>
    <t>Contract ID: 20MB0153 Contract Name:  Construction/Rehabilitation of Water Supply/Septage and Sewerage/Rain Water Collectors</t>
  </si>
  <si>
    <t>2020-134-I ASSORTED LOWLAND AND UPLAND VEGETABLE SEEDS  UNDER HVCDP CY 2020</t>
  </si>
  <si>
    <t>2020-136-I LABORATORY SUPPLIES FOR THE SECOND QUARTER OF CY 2020</t>
  </si>
  <si>
    <t>20DQ0110 - ORGANIZATIONAL OUTCOME 2: Protect Lives and Properties Against Major Floods – Flood Management Program – Construction/ Maintenance of Flood Mitigation Structures and Drainage Systems - Cons</t>
  </si>
  <si>
    <t>CONSTRUCTION OF BATUKA FMR PHASE 2</t>
  </si>
  <si>
    <t>Construction of Chocolate Processing Facility (In Support to Chocolate Processing Enterprise)</t>
  </si>
  <si>
    <t>20DQ0109 - ORGANIZATIONAL OUTCOME 2: Protect Lives and Properties Against Major Floods – Flood Management Program – Construction/ Maintenance of Flood Mitigation Structures and Drainage Systems - Cons</t>
  </si>
  <si>
    <t>PROCUREMENT FOR THE SUPPLY AND DELIVERY OF PARKER NEEM TONIC, SPINETORAM AND CHLORANTRANILIPROLE FOR USE OF CROP PEST MANAGEMENT DIVISION (CPMD)</t>
  </si>
  <si>
    <t>PROCUREMENT OF TRUCKING SERVICES FOR THE INTRA AND INTER REGIONAL TRANSFER OF GRAINS OF NFA SOUTHERN TAGALOG REGION FOR THE SECOND SEMESTER OF CY 2020</t>
  </si>
  <si>
    <t>PROCUREMENT FOR THE SUPPLY AND DELIVERY OF QUECHERS TUBES FOR USE IN LABORATORIES OF PLANT PRODUCT SAFETY SERVICES DIVISION (PPSSD)</t>
  </si>
  <si>
    <t>20DQ0108 - LOCAL PROGRAM – Local Infrastructure Program – Buildings and Other Structures – Multipurpose/Facilities – Construction of Multi-Purpose Building, Brgy. Marcelino Memije, Gen. Mariano Alvare</t>
  </si>
  <si>
    <t>20DQ0106 - LOCAL PROGRAM – Local Infrastructure Program – Local Roads and Bridges – Local Roads – Rehabilitation of Road, Brgy. Queens Row East, Bacoor City, Cavite</t>
  </si>
  <si>
    <t>2020-133-I MUNGBEAN, PEANUT, AND WATERMELON SEEDS  UNDER HVCDP CY 2020</t>
  </si>
  <si>
    <t>REHABILITATION OF ROAD FROM POBLACION TO BUBONG</t>
  </si>
  <si>
    <t>PROCUREMENT FOR THE SUPPLY AND DELIVERY OF PHEROMONE LURE FOR USE OF CROP PEST MANAGEMENT DIVISION (CPMD)</t>
  </si>
  <si>
    <t>REHABILITATION OF BOX CULVERT</t>
  </si>
  <si>
    <t>PURCHASE OF 2 UNITS STAINLESS WATER LORRY TRUCK</t>
  </si>
  <si>
    <t>20FC0073 : NETWORK DEVELOPMENT PROGRAM – ROAD WIDENING – PRIMARY ROADS, Daang Maharlika (LZ) K0319+027-K0319+951, K0323+800-K0324+284</t>
  </si>
  <si>
    <t>20GMH046 - Supply/Delivery of Road Safety Facilities for the Maintenance/Improvement Of National Road, Sultan Kudarat 2nd District Engineering Office, K1943+000-K1943+935 w/ exception</t>
  </si>
  <si>
    <t>One (1) Lot Hiring of a Courier Service Provider for mailing/delivery of documents/mails/parcels of departments/offices in the BSP Head Office for dispatch to domestic and international stakeholders o</t>
  </si>
  <si>
    <t>Road Concreting at  Polog to Cabangahan Road,  Consolacion, Cebu</t>
  </si>
  <si>
    <t>20GMH044 - Supply/Delivery of  Road Sign for the Maintenance/Improvement of National Road, Sultan Kudarat 2nd District Engineering Office, K1957+000-K2018+000 w/ exception</t>
  </si>
  <si>
    <t>20GMH045 - Supply/Delivery of Thermoplastic Paints for the Repair/Maintenance of National Road &amp; Bridges, Sultan Kudarat 2nd District Engineering Office, (Reflectorized Pavement Marking of Edge, Cente</t>
  </si>
  <si>
    <t>20GMH042 - Supply/Delivery of  Asphalt Cold Mix for the Repair/Maintenance of National Roads &amp; Bridges, Sultan Kudarat 2nd District Engineering Office K1775+-736-Km. 1781+000, K1775+-620-K1775+288</t>
  </si>
  <si>
    <t>20GMH043 - Supply/Delivery of  Fuel &amp; Oil Lubricants for use of various vehicle, chainsaw, and grass cutter assigned in Maintenance Section along Awang-Upi-Lebak-Kalamansig-Palimbang-Sarangani Road K1</t>
  </si>
  <si>
    <t>Procurement Medical Supplies</t>
  </si>
  <si>
    <t>20-05-399 Construction of Water System at Maracabac, Guiling, Alamada, Cotabato</t>
  </si>
  <si>
    <t>Student ID SHS</t>
  </si>
  <si>
    <t>20LG0113 - Repair/Maintenance of Mati Flood Control, Brgy Central, City of Mati, Davao Oriental</t>
  </si>
  <si>
    <t>20FC0091 : CONCRETING OF BRGY. MATANLANG TO BRGY. BAYAN-BAYAN ROAD, LABO CAMARINES NORTE</t>
  </si>
  <si>
    <t>CONSTRUCTION OF FARMER’S MULTI-PURPOSE COVERED COURT AT SANIJUBAR ELEMENTARY SCHOOL, AGOO, LA UNION</t>
  </si>
  <si>
    <t>20FC0084 : CONSTRUCTION/ MAINTENANCE OF FLOOD MITIGATING STRUCTURE AND DRAINAGE SYSTEM, CONSTRUCTION OF SULA SEAWALL BRGY. SULA, VINZONS, CAMARINES NORTE</t>
  </si>
  <si>
    <t>infrastructure Project-LOWER SIBUGUEY II RIS EXTENSION PROJECT PACKAGE 2 CY 2017 REMAINING WORKS Imelda, Zamboanga Sibugay</t>
  </si>
  <si>
    <t>20FC0105 : CONSTRUCTION OF TWO-STOREY BUILDING (DPWH STANDARD DESIGN) OF CAMARINES NORTE DEO, Pasig, Daet, Camarines Norte</t>
  </si>
  <si>
    <t>Student ID JHS</t>
  </si>
  <si>
    <t>CONSTRUCTION OF R.C. BRIDGE AT STA. RITA NORTE, AGOO, LA UNION</t>
  </si>
  <si>
    <t>THE PROCUREMENT FOR THE SUPPLY AND DELIVERY OF DIGITAL DUPLICATOR FOR USE IN SEED TESTING AND SEED CERTIFICATION OF NATIONAL SEED QUALITY CONTROL SERVICES DIVISION (NSQCSD)</t>
  </si>
  <si>
    <t>20DQ0111 - LOCAL PROGRAM – Local Infrastructure Program – Buildings and Other Structures – Multipurpose / Facilities – Construction of Multi-Purpose Building, Brgy. Mambog I, Bacoor City, Cavite; Cons</t>
  </si>
  <si>
    <t>PROCUREMENT FOR THE SUPPLY AND DELIVERY OF ANALYTICAL AND TOP LOADING BALANCE FOR USE IN SEED TESTING AND SEED CERTIFICATION OF NATIONAL SEED QUALITY CONTROL SERVICES DIVISION (NSQCSD)</t>
  </si>
  <si>
    <t>PROCUREMENT FOR THE SUPPLY AND DELIVERY OF ELECTRIC HEAVY DUTY CUTTER FOR USE IN SEED TESTING AND SEED CERTIFICATION OF NATIONAL SEED QUALITY CONTROL SERVICES DIVISION (NSQCSD)</t>
  </si>
  <si>
    <t>PROCUREMENT FOR THE SUPPLY AND DELIVERY OF MYCOTOXIN SUPPLIES FOR USE IN LABORATORIES OF PLANT PRODUCT SAFETY SERVICES DIVISION (PPSSD)</t>
  </si>
  <si>
    <t>PROCUREMENT FOR THE SUPPLY AND DELIVERY OF PURITY WORKBOARD, DIAPHANOSCOPE, AND CIRCLINE MAGNIFIER FOR USE IN SEED TESTING AND SEED CERTIFICATION OF NATIONAL SEED QUALITY CONTROL SERVICES DIVISION (NS</t>
  </si>
  <si>
    <t>ADDITIONAL SCHOOL AND OFFICE SUPPLIES</t>
  </si>
  <si>
    <t>PROCUREMENT FOR THE SUPPLY, AND DELIVERY OF GASES FOR GAS CHROMATOGRAPHY FOR USE IN RESIDUE LABORATORIES OF PLANT PRODUCT SAFETY SERVICES DIVISION (PPSSD)</t>
  </si>
  <si>
    <t>SUPPLY OF LABOR AND MATERIALS FOR THE CONSTRUCTION OF SEED STORAGE OF BPI-LGNCRDPSC, LA CARLOTA CITY, NEGROS OCCIDENTAL</t>
  </si>
  <si>
    <t>PROCUREMENT FOR THE SUPPLY, DELIVERY, AND INSTALLATION OF SPECTROPHOTOMETER FOR USE OF NATIONAL PLANT QUARANTINE SERVICES DIVISION (NPQSD)</t>
  </si>
  <si>
    <t>THE PROCUREMENT FOR THE SUPPLY AND DELIVERY OF PRECISION DIVIDER FOR USE IN SEED TESTING AND SEED CERTIFICATION OF NATIONAL SEED QUALITY CONTROL SERVICES DIVISION (NSQCSD)</t>
  </si>
  <si>
    <t>PROCUREMENT FOR THE SUPPLY AND DELIVERY OF CHEMICAL AND FILTERING SUPPLIES FOR USE OF NATIONAL PLANT QUARANTINE SERVICES DIVISION (NPQSD)</t>
  </si>
  <si>
    <t>Continuation/Improvement of Kendongay FMR, Poblacion, Quirino, Ilocos Sur</t>
  </si>
  <si>
    <t>PROCUREMENT FOR THE SUPPLY AND DELIVERY OF LC, HPLC CONSUMABLES FOR USE IN LABORATORIES OF PLANT PRODUCT SAFETY SERVICES DIVISION (PPSSD)</t>
  </si>
  <si>
    <t>20-06-443 Purchase of 8 in 1 Assorted Vegetables Seeds for Sustainable Integrated Natural Garden (SUSING) Livelihood Program-Livelihood Seeds Distribution for Alamada Constituents</t>
  </si>
  <si>
    <t>SUPPLY OF LABOR SERVICE, SUPPLIES, AND MATERIALS FOR THE ESTABLISHMENT OF 20KW GRID-TIED SOLAR PV ENERGY SYSTEM FOR TISSUE CULTURE LABORATORY OF BPI-DNCRDPSC, BAGO OSHIRO, DAVAO CITY</t>
  </si>
  <si>
    <t>INSTALLATION OF CR SHS</t>
  </si>
  <si>
    <t>infrastructure Project-LOWER SIBUGUEY I RIS EXTENSION PROJECT PACKAGE 3 CY 2016 REMAINING WORKS, Diplahan, Zamboanga Sibugay</t>
  </si>
  <si>
    <t>MATERIALS FOR INTRAMURALS</t>
  </si>
  <si>
    <t>REPAIR OF DOORS FOR SHS</t>
  </si>
  <si>
    <t>20CSD001 :CONSULTANCY SERVICES FOR THE CONDUCT OF PARCELLARY SURVEY OF CALAMBA-LOS BAÑOS-BAY BYPASS, LAGUNAROAD</t>
  </si>
  <si>
    <t>20CSZ005 - CONSULTING SERVICES FOR THE PREPARATION OF FEASIBILITY STUDIES OF NATIONAL SEPTAGE AND SEWERAGE MANAGEMENT PROGRAM  (OLONGAPO CITY AND ILIGAN CITY)</t>
  </si>
  <si>
    <t>Supply and Delivery of Robotics (LSB)</t>
  </si>
  <si>
    <t>SUPPLY OF LABOR AND MATERIALS FOR THE ESTABLISHMENT OF PROCESSING AND SOLAR DRYING FACILITY OF BPI-LGNCRDPSC, LA CARLOTA CITY, NEGROS OCCIDENTAL</t>
  </si>
  <si>
    <t>Catering Services (2020-05-063)</t>
  </si>
  <si>
    <t>General Merchandise (2020-05-061)</t>
  </si>
  <si>
    <t>Office Supplies and Devices (2020-05-068)</t>
  </si>
  <si>
    <t>supply &amp; delivery of One unit Corn Harvester w/trailer &amp; One unit Tractor</t>
  </si>
  <si>
    <t>Electrical Supplies (2020-05-064)</t>
  </si>
  <si>
    <t>supply, delivery &amp; installation of various airconditioning units</t>
  </si>
  <si>
    <t>Vehicle Part and Accessories (2020-05-069)</t>
  </si>
  <si>
    <t>Vehicle Part and Accessories (2020-05-074)</t>
  </si>
  <si>
    <t>supply &amp; delivery of Various School Supplies</t>
  </si>
  <si>
    <t>supply, delivery &amp; installation of various materials for the restoration of Wireless Antennas and additional CCTV Surveillance Cameras</t>
  </si>
  <si>
    <t>PR# 20-0554- To supply labor, materials and necessary tools and equipment for the Improvement of Six (6) Classroom School Building with Comfort Rooms at Magumbali Elementary School, Magumbali, Candaba</t>
  </si>
  <si>
    <t>Vehicle Part and Accessories (2020-05-073)</t>
  </si>
  <si>
    <t>Vehicle Part and Accessories (2020-05-070)</t>
  </si>
  <si>
    <t>Vehicle Part and Accessories (2020-05-072)</t>
  </si>
  <si>
    <t>Vehicle Part and Accessories (2020-05-075)</t>
  </si>
  <si>
    <t>Vehicle Part and Accessories (2020-05-071)</t>
  </si>
  <si>
    <t>Food Stuff (2020-05-082)</t>
  </si>
  <si>
    <t>Purchase of Hardware(2020-05-078)</t>
  </si>
  <si>
    <t>20GA0185-Construction of Revetment Wall and Dredging along Aslum River, Brgy. Aslum, Agbago, Ibajay, Aklan Brgy. Aslum, Agbago, Ibajay, Aklan</t>
  </si>
  <si>
    <t>Vehicle Part and Accessories (2020-05-076)</t>
  </si>
  <si>
    <t>Water (2020-05-081)</t>
  </si>
  <si>
    <t>Office Supplies Equipment and Consumables (2019-05-067)</t>
  </si>
  <si>
    <t>Vehicle Part and Accessories (2020-05-077)</t>
  </si>
  <si>
    <t>ESTABLISHMENT OF THREE (3) UNITS OF SMALL WATER IMPOUNDING SYSTEM (SWIS) AT BRGY. SAN ROQUE, BULALACAO, ORIENTAL MINDORO</t>
  </si>
  <si>
    <t>Catering Services (2020-05-099)</t>
  </si>
  <si>
    <t>Office Supplies (2020-05-083)</t>
  </si>
  <si>
    <t>20GA0213-Concreting of Road Brgy. Sta. Cruz to Brgy. Bigaa, Lezo, Aklan Brgy. Sta. Cruz to Brgy. Bigaa, Lezo, Aklan</t>
  </si>
  <si>
    <t>(RE-POST) Construction of Pathway at Purok 2 to Cemetery, Brgy. Taligaman, Butuan City</t>
  </si>
  <si>
    <t>20GA0188-Construction of Drainage (Flood Control) in Miraflores Street in Brgy. Pob., Ibajay, Aklan</t>
  </si>
  <si>
    <t>20GA0189-Construction of Revetment Wall (Flood Control) In Brgy. Bulabod, Malinao, Aklan   Malinao, Aklan</t>
  </si>
  <si>
    <t>20GA0190-Construction of Revetment Wall (Flood Control) in Brgy. Maloco, Ibajay, Aklan Ibajay, Aklan</t>
  </si>
  <si>
    <t>Catering Services (2020-05-097)</t>
  </si>
  <si>
    <t>20GA0209-Concreting of Road, Sitio Mangga to Sitio Tambak Brgy. Mandong, Batan, Aklan</t>
  </si>
  <si>
    <t>Drug and Medicines (2020-03-036)</t>
  </si>
  <si>
    <t>Catering Services (2020-05-098)</t>
  </si>
  <si>
    <t>Catering Services (2020-05-093)</t>
  </si>
  <si>
    <t>Vehicle Part and Accessories (2020-05-079)</t>
  </si>
  <si>
    <t>Improvement of Day Care Centerr</t>
  </si>
  <si>
    <t>Office Equipment (2020-05-060)</t>
  </si>
  <si>
    <t>20GA0212-Construction of MPB Osman Elementary School Brgy. Osman, Malinao, Aklan</t>
  </si>
  <si>
    <t>Improvement of Multi-Purpose Pavement,Brgy. Ulay-Bugang,Alimodian lloilo</t>
  </si>
  <si>
    <t>ESTABLISHMENT OF MULTI COMMODITY DRYING PAVEMENT AT SITIO KITULAG, BRGY. KINAM &amp; SITIO BOLOLKALON, BRGY. LUN PADIDU, MALAPATAN SARANGANI PROVINCE</t>
  </si>
  <si>
    <t>Vehicle Part and Accessories (2020-05-115)</t>
  </si>
  <si>
    <t>Food Stuff (2020-05-133)</t>
  </si>
  <si>
    <t>Catering Services (2020-05-095)</t>
  </si>
  <si>
    <t>PROCUREMENT OF HYBRID WHITE CORN SEEDS, MALAPATAN SARANGANI PROVINCE</t>
  </si>
  <si>
    <t>Office Supplies (2020-05-105)</t>
  </si>
  <si>
    <t>Drug and Medicines (2020-05-116)</t>
  </si>
  <si>
    <t>Supply, Delivery, Installation, and Commissioning of One (1) Unit Fully Automated Clinical Chemistry Analyzer</t>
  </si>
  <si>
    <t>Catering Services (2020-05-094)</t>
  </si>
  <si>
    <t>Catering Services (2020-05-092)</t>
  </si>
  <si>
    <t>Drug and Medicines (2020-04-051)</t>
  </si>
  <si>
    <t>Office Equipment (2020-05-106)</t>
  </si>
  <si>
    <t>Catering Services (2020-05-096)</t>
  </si>
  <si>
    <t>General Merchandise (2020-05-131)</t>
  </si>
  <si>
    <t>Appliances (2020-05-114)</t>
  </si>
  <si>
    <t>Construction of Multi-Purpose w/Sports Facilities Brgy. Sangay KSK</t>
  </si>
  <si>
    <t>Procurement of BHS Package</t>
  </si>
  <si>
    <t>STACK EMISSION TESTING</t>
  </si>
  <si>
    <t>Vehicle Part and Accessories (2020-05-119)</t>
  </si>
  <si>
    <t>Procurement of ER Lights Ceiling Mounted</t>
  </si>
  <si>
    <t>Procurement of Digital X-Ray with CR System</t>
  </si>
  <si>
    <t>Procurement of Stethoscope, Adult</t>
  </si>
  <si>
    <t>Drug and Medicines (2020-05-088)</t>
  </si>
  <si>
    <t>Procurement of Compressor Upgrade for Mechanical Ventilator</t>
  </si>
  <si>
    <t>General Merchandise (2020-05-120)</t>
  </si>
  <si>
    <t>Drug and Medicines (2020-05-117)</t>
  </si>
  <si>
    <t>Procurement of Fetal Doppler</t>
  </si>
  <si>
    <t>Vehicle Part and Accessories (2020-05-125)</t>
  </si>
  <si>
    <t>Vehicle Part and Accessories (2020-05-132)</t>
  </si>
  <si>
    <t>IA. Riprapping of Sitio Sala River;IB. Construction of Open Canal, Brgy. San Antonio</t>
  </si>
  <si>
    <t>Vehicle Part and Accessories (2020-05-123)</t>
  </si>
  <si>
    <t>Procurement of Hematology Analyzer (3 Differential Parts)</t>
  </si>
  <si>
    <t>General Merchandise (2020-05-104)</t>
  </si>
  <si>
    <t>INSTALLATION OF PUNDUHAN SOLAR LIGHTING</t>
  </si>
  <si>
    <t>Procurement of Medical Equipment Lot 1</t>
  </si>
  <si>
    <t>CONSTRUCTION OF MASINLOC DIALYSIS CENTER</t>
  </si>
  <si>
    <t>General Merchandise (2019-05-062)</t>
  </si>
  <si>
    <t>Drug and Medicines (2020-05-100)</t>
  </si>
  <si>
    <t>Vehicle Part and Accessories (2020-05-127)</t>
  </si>
  <si>
    <t>Vehicle</t>
  </si>
  <si>
    <t>General Merchandise (2020-05-103)</t>
  </si>
  <si>
    <t>Construction of Concrete Drainage Canal(PHASE II) Purok Pag-Asa, Brgy. Sta. Clara Kal. SK</t>
  </si>
  <si>
    <t>Procurement of Medical Equipment Lot 2</t>
  </si>
  <si>
    <t>Office Supplies (2020-05-084)</t>
  </si>
  <si>
    <t>Concreting of Farm-to-Market Road at Sitio Lamao</t>
  </si>
  <si>
    <t>CONSTRUCTION OF KINDERGARTEN CENTER, TALTAL ELEMENTARY SCHOOL</t>
  </si>
  <si>
    <t>Drug and Medicines (2020-05-091)</t>
  </si>
  <si>
    <t>Vehicle Part and Accessories (2020-05-130)</t>
  </si>
  <si>
    <t>General Merchandise (2020-05-099)</t>
  </si>
  <si>
    <t>Vehicle Part and Accessories (2020-05-128</t>
  </si>
  <si>
    <t>Drug and Medicines (2020-05-109)</t>
  </si>
  <si>
    <t>CONSTRUCTION OF MNHS SITE-B DRAINAGE SYSTEM AT MNHS SITE-B SCHOOL SITE, BRGY. POBLACION, MALAPATAN SARANGANI PROVINCE</t>
  </si>
  <si>
    <t>Purchase of Hardware(2020-05-101)</t>
  </si>
  <si>
    <t>CONSTRUCTION OF KINDERGARTEN CENTER, SAN LORENZO ELEMENTARY SCHOOL</t>
  </si>
  <si>
    <t>20GFI0002 -Purchase of IT &amp; Office Equipment (For Planning &amp; Design Section- five  (5) sets Desktop Computer (For Designer), four (4) units Laptop Computer       two (2) units (For Administrative Use)</t>
  </si>
  <si>
    <t>Drug and Medicines (2020-05-112)</t>
  </si>
  <si>
    <t>Vehicle Part and Accessories (2020-05-124)</t>
  </si>
  <si>
    <t>Vehicle Part and Accessories (2020-05-121)</t>
  </si>
  <si>
    <t>Purchase of Various Construction Materials</t>
  </si>
  <si>
    <t>Drug and Medicines (2020-05-087)</t>
  </si>
  <si>
    <t>PROCUREMENT OF UREA AND TRIPLE 14 (14-14-14) FERTILIZERS, MALAPATAN SARANGANI PROVINCE</t>
  </si>
  <si>
    <t>CONSTRUCTION OF KINDERGARTEN CENTER, MASINLOC CENTRAL ELEMENTARY SCHOOL</t>
  </si>
  <si>
    <t>Procurement of Medical Equipment Lot 3</t>
  </si>
  <si>
    <t>Drug and Medicines (2020-05-089)</t>
  </si>
  <si>
    <t>Procurement of Physical Therapy Equipment Set</t>
  </si>
  <si>
    <t>Procurement of Reagent Refrigerator for Pharmaceutical Use</t>
  </si>
  <si>
    <t>supply &amp; delivery of Various Maintenance Materials</t>
  </si>
  <si>
    <t>Procurement of Oxygen Concentrators (6lpm)</t>
  </si>
  <si>
    <t>PROCUREMENT OF ONE (1) UNIT FIRETRUCK FORWARD FTR SINGLE CAB FOR BUREAU OF FIRE PROTECTION, MALAPATAN, SARANGANI PROVINCE</t>
  </si>
  <si>
    <t>Procurement of Newborn Screening Hearing Test</t>
  </si>
  <si>
    <t>20ME0140 - Repair/Maintenance DILG Building Malungon  Police Station Building; Malungon, Sarangani Province</t>
  </si>
  <si>
    <t>Purchase of Hardware(2020-05-086)</t>
  </si>
  <si>
    <t>20ME0142 - Repair/Maintenance along Digos-Makar Road  (Metal Beam including Post); Malungon, Sarangani Province</t>
  </si>
  <si>
    <t>Procurement of Microscope Binocular</t>
  </si>
  <si>
    <t>Rehabilitation/Construction of Roads at Brgy. San Juan, Molo, Iloilo City (Bid No. 20-096)</t>
  </si>
  <si>
    <t>Procurement of Multi-purpose Vehicle of Municipal Mayor’s Office</t>
  </si>
  <si>
    <t>Office Supplies (2020-05-108)</t>
  </si>
  <si>
    <t>Drug and Medicines (2020-05-111)</t>
  </si>
  <si>
    <t>Drug and Medicines (2020-05-110)</t>
  </si>
  <si>
    <t>20ME0141 - Repair/Maintenance along Sarangani-Davao del  Sur Coastal Road (Thermoplastic Pavement Markings), K1726+000-K1729+000 and K1732+000-K1734+000 (with exceptions); Glan, Sarangani Province</t>
  </si>
  <si>
    <t>Procurement of Medical Equipment Lot 4</t>
  </si>
  <si>
    <t>Proposed Asphalt overlay at Brgy. San Juan, San Pablo City.</t>
  </si>
  <si>
    <t>INVITATION TO BID FOR THE SUPPLY AND INSTALLATION OF STREET LIGHTS AT BISLIG CITY</t>
  </si>
  <si>
    <t>20ME0137 - Repair/Maintenance DILG Building PNP-SPPO  Building; Kawas, Alabel, Sarangani Province</t>
  </si>
  <si>
    <t>20ME0139 - Repair/Maintenance of DOJ Building Regional  Trial Court Building, Capitol Compound; Alabel, Sarangani Province</t>
  </si>
  <si>
    <t>20ME0138 - Repair/Maintenance of Municipal Trial Court  Office; Poblacion, Kiamba, Sarangani Province</t>
  </si>
  <si>
    <t>Proposed Installation of Streetlights (30 units Solar) at Brgy. San Cristobal, San Pablo City.</t>
  </si>
  <si>
    <t>Procurement of Hospital/Medical Equipment</t>
  </si>
  <si>
    <t>Vehicle Part and Accessories (2020-05-122)</t>
  </si>
  <si>
    <t>Supply and Delivery of One (1) Unit Basic Life Support (BLS) Ambulance Vehicle; PR No. 20-1182 dated 24 January 2020; SN 124 - 2020</t>
  </si>
  <si>
    <t>Construction/Rehabilitation of Existing Drainage System at Brgy. San Vicente, Jaro, Iloilo City (Bid No. 20-097)</t>
  </si>
  <si>
    <t>Supply and Delivery of Medical Devices and Supplies (PR No. 20-02-0080)</t>
  </si>
  <si>
    <t>Supply and Delivery of Circuit Breakers and Other Items; PR No. 20-1244 dated 04 May 2020; SN 121 - 2020</t>
  </si>
  <si>
    <t>Construction and Operation of Sanitary Landfill (Pagalungan); SN 125 - 2020</t>
  </si>
  <si>
    <t>20AA0350 - REPAIR/REHABILITATION OF COLLAPSED SLOPE PROTECTION OF PASALENG BRIDGE ABUTMENT “A” BRGY. PASALENG, PAGUDPUD, ILOCOS NORTE</t>
  </si>
  <si>
    <t>Construction of Two (2) Storey Two (2) Classroom Building at Jaro I Elementary School, Jaro, Iloilo City (Bid No. 20-104)</t>
  </si>
  <si>
    <t>Supply and Delivery of Various Medical, Dental and Laboratory Supplies (Lot No. 1 and Lot No. 9); PR No. 20-0946 dated 30 March 2020; SN 96a - 2020</t>
  </si>
  <si>
    <t>Rehabilitation/Construction of Roads at Brgy. Calaparan, Arevalo, Iloilo City (Bid No. 20-105)</t>
  </si>
  <si>
    <t>Drug and Medicines (2020-05-085)</t>
  </si>
  <si>
    <t>Office Supplies (2020-05-107)</t>
  </si>
  <si>
    <t>Vehicle Part and Accessories (2020-05-126)</t>
  </si>
  <si>
    <t>Construction of Learning Resource Center for Classes at Jaro II Elementary School, Jaro, Iloilo City (Bid No. 20-102)</t>
  </si>
  <si>
    <t>Vehicle Part and Accessories (2020-05-129)</t>
  </si>
  <si>
    <t>20ME0136 - Construction of Multi-Purpose Building Poblacion  Maasim; Maasim, Sarangani Province</t>
  </si>
  <si>
    <t>Construction/Rehabilitation of Existing Drainage System at Brgy. Tacas, Jaro, Iloilo City (Bid No. 20-101)</t>
  </si>
  <si>
    <t>Rehabilitation/Construction of Roads at Brgy. Dulonan, Arevalo, Iloilo City (Bid No. 20-100)</t>
  </si>
  <si>
    <t>Completion of Classroom at Esteban Juntado Sr. Memorial Elementary School, Calumpang, Molo, Iloilo City (Bid No. 20-103)</t>
  </si>
  <si>
    <t>Procurement of Laboratory Supplies and Equipment</t>
  </si>
  <si>
    <t>PROCUREMENT OF MATERIALS FOR PROPOSED EXPANSION OF WATER SYSTEM AT SITIO ASPANG- MALYANG, BRGY. POBLACION, MALAPATAN, SARANGANI PROVINCE</t>
  </si>
  <si>
    <t>Supply and Delivery of Various Medical, Dental and Laboratory Supplies (Lot No. 1 to Lot No. 5); PR No. 20-1165 dated 06 April 2020; SN 122-2020</t>
  </si>
  <si>
    <t>Drug and Medicines (2020-05-090)</t>
  </si>
  <si>
    <t>PROCUREMENT OF LABOR AND MATERIALS FOR INSTALLATION AND REHABILITATION OF TRANSMISSION AND DISTRIBUTION LINES IN VARIOUS LOCATIONS (4 LOTS)</t>
  </si>
  <si>
    <t>Construction/Provision of Wash Facilities (Water, Sanitation &amp; Hygiene) at Lunsad Elem.School, Brgy. Lunsad, Binangonan, Rizal</t>
  </si>
  <si>
    <t>20HL0109 - Repair/Maintenance of DPWH Building, Office Building, Malabuhan,  Siaton, Negros Oriental</t>
  </si>
  <si>
    <t>Improvement/Repair of Ynares Multi-Purpose Covered Court, Brgy. Tabon, Binangonan, Rizal</t>
  </si>
  <si>
    <t>Construction of 2-storey, 6-rooms Ynares School Building at Ithan Elem. School, Brgy. Ithan, Binangonan, Rizal</t>
  </si>
  <si>
    <t>Asphalt Overlaying of Roads at Angono &amp; Cardona, Rizal; a) Asphalt Overlaying of E. Dela Paz Street, Brgy. San Pedro, Angono, b) Asphalt Overlaying of Ampucao Road (portion), Brgy. Iglesia, Cardona</t>
  </si>
  <si>
    <t>Improvement/Repair of Ynares Multi-Purpose Covered Court at Mahabang Parang National High School, San Juan Heights, Brgy. Mahabang Parang, Binangonan, Rizal</t>
  </si>
  <si>
    <t xml:space="preserve">Repair/Improvement of Stage &amp; Construction of School Signage at Brgy. Janosa, Binangonan, Rizal; a) Repair/Improvement of Stage at Brgy. Janosa, b) Construction of School Signage at Janosa Elementary </t>
  </si>
  <si>
    <t>Vehicle Part and Accessories (2020-05-118)</t>
  </si>
  <si>
    <t>Repair/Repainting/Improvement of Ynares Multi-Purpose Covered Court/Stage/ Multi-Purpose Buildings &amp; Movable Bleacher at  Angono &amp; Binangonan, Rizal; a) Repair/Repainting/Improvement of Ynares Multi-P</t>
  </si>
  <si>
    <t>SUPPLY &amp; DELIVERY OF OFFICE EQUIPMENT'S</t>
  </si>
  <si>
    <t>20ME0135 - Improvement/Construction of Public Market  Malandag; Malungon, Sarangani Province</t>
  </si>
  <si>
    <t>PROCUREMENT OF RESCUE/ EXTRICATION EQUIPMENT OF MDRRMO, MALAPATAN, SARANGANI PROVINCE</t>
  </si>
  <si>
    <t>Construction/Provision of Wash Facilities (Water, Sanitation &amp; Hygiene) at Libid Elem.School, Brgy. Libid, Binangonan, Rizal</t>
  </si>
  <si>
    <t>CONSTRUCTION OF KINDERGARTEN CENTER, GREGORIO ELA BAUTISTA ELEMENTARY SCHOOL</t>
  </si>
  <si>
    <t>Construction of 2-storey, 6-rooms Ynares School Building at Kalinawan Elem. School, Brgy. Kalinawan, Binangonan, Rizal</t>
  </si>
  <si>
    <t>Repair/Repainting of Ynares School Buildings &amp; Improvement of Ynares Multi-Purpose Covered Court at Evangelista Elem. School, Brgy. Evangelista, Baras, Rizal</t>
  </si>
  <si>
    <t>Repair of Roofing / Ceiling of Brgy.Hall Main and Repair of Flooring of Ynares Multi-Purpose Covered Court at Sitio Cinco, Brgy. Pinugay, Baras, Rizal</t>
  </si>
  <si>
    <t>Asphalt Overlaying of C. Cruz St., Brgy. Sto. Niňo, Cainta, Rizal</t>
  </si>
  <si>
    <t>Concreting of Road at Saint Pancratius Street, Park Place Village, Brgy. San Isidro, Cainta, Rizal</t>
  </si>
  <si>
    <t>Asphalt Overlaying/Concrete Reblocking (portion) of Segundo Pillas St., Brgy. Punta, Jalajala, Rizal</t>
  </si>
  <si>
    <t>Construction/Provision of Wash Facilities (Water, Sanitation &amp; Hygiene) at Eastwood Residences, Brgy. San Isidro, Rodriguez, Rizal; a) Construction/Provision of Wash Facilities (Water, Sanitation &amp; Hy</t>
  </si>
  <si>
    <t>Construction of 2-storey, 4-rooms Ynares School Building at Mariano C. San Juan Elem. School, Brgy. San Roque, Cardona, Rizal</t>
  </si>
  <si>
    <t>Improvement of School Fence/Construction of School Arc &amp; Repair of Gate &amp; Artesian Well at Brgy. Bagumbayan &amp; Brgy. Hulo, Pililla, Rizal; a) Improvement of School Fence at Matagbak Elem. School, Brgy.</t>
  </si>
  <si>
    <t>Construction of Ynares Stage &amp; Improvement of Ynares Multi-Prpose Covered Court at Southville 8C Phase 1K, Kasiglahan Village, Brgy. San Jose, Rodriguez, Rizal</t>
  </si>
  <si>
    <t>Improvement / Rehabiltation of E. Pillas Street (portion), Brgy. Punta, Jalajala, Rizal</t>
  </si>
  <si>
    <t>Aspahlt Overlaying of San Antonio Road, Brgy. Quisao, Pililla, Rizal</t>
  </si>
  <si>
    <t>Asphalt Overlaying and Concrete Reblocking (portion) of A. Luna St., Brgy. Quisao, Pililla, Rizal</t>
  </si>
  <si>
    <t>Repair/Improvement of Ynares Multi-Purpose Building &amp; Installation of Electrical Lighting System of Ynares Multi-Purpose Covered Court at Brgy. Balibago &amp; Brgy. Looc, Cardona, Rizal; a) Repair/Improve</t>
  </si>
  <si>
    <t>Repair/Repainting 2-Units 1-Storey Multi-Purpose Building (Health Center / Day Care Center), Brgy. Imatong, Pililla, Rizal</t>
  </si>
  <si>
    <t>Rehabilitation of Feeder Road at Sitio Calasiao, Brgy. Bagumbayan, Pililla, Rizal</t>
  </si>
  <si>
    <t>Construction of Drainage Canal at I.D. Julian Street, Brgy. Iglesia, Cardona, Rizal</t>
  </si>
  <si>
    <t>Construction/Provision of Wash Facilities (Water, Sanitation &amp; Hygiene) at Bagumbayan Elem.School, Brgy. Bagumbayan, Teresa, Rizal</t>
  </si>
  <si>
    <t>Construction of 2-storey, 8-rooms Ynares School Building at Patiis Elem. School, Brgy. Malanday, San Mateo, Rizal</t>
  </si>
  <si>
    <t>Construction of 4-storey, 8-rooms Ynares School Building at Wawa Elem. School, Brgy. Wawa, Tanay, Rizal</t>
  </si>
  <si>
    <t>Concreting (portion) of Rambo Feeder Road, Brgy. Halayhayin, Pililla, Rizal</t>
  </si>
  <si>
    <t>20L00028 : Reconstruction of Concrete Pavement – Matina Crossing Road (Jct. Davao – Cotabato Road – Jct. Davao City Diversion Road), Davao City</t>
  </si>
  <si>
    <t>Asphalt Overlaying of L. Cerrero St., Brgy. Macamot, Binangonan, Rizal</t>
  </si>
  <si>
    <t>20CSEB03 - CLUSTER 2020-BR03: SUB-SURFACE/SOIL EXPLORATION FOR VARIOUS FY 2021 NATIONAL BRIDGE PROJECTS</t>
  </si>
  <si>
    <t>20L00152 : Road Widening &amp; Replacement of Bridge Along Jct. Davao City Diversion Rd. – Magtuod Rd. – New Carmen – Biao Escuela – Biao Joaquin – Jct. Davao – Bukidnon Rd., Davao City</t>
  </si>
  <si>
    <t>20CSEB05 - CLUSTER 2020-FCD02: SUB-SURFACE/SOIL EXPLORATION FOR VARIOUS FY 2021 FLOOD CONTROL PROJECTS: (CONSTRUCTION/ MAINTENANCE OF FLOOD MITIGATION STRUCTURES AND DRAINAGE SYSTEMS)</t>
  </si>
  <si>
    <t>Materials for the Concreting of Farm to Market Road, Brgy. Ayong, Cabatuan, Iloilo</t>
  </si>
  <si>
    <t>20L00151 : Rehabilitation of Paved Road Along Matina Crossing Road (Jct. Davao – Cotabato Road – Jct. Davao City Diversion Road), Davao City</t>
  </si>
  <si>
    <t>INF-ITB 20-024 Upgrading of Modon - Kiantay Boundary Road, Sto. Niño, South Cotabato</t>
  </si>
  <si>
    <t>20MD00131 Thermoplastic Pavement Markings along Davao-Cotabato Road, Pigcawayan, Libungan, Midsayap Section w/ exception, Pigcawayan, Libungan, Midsayap, Cotabato</t>
  </si>
  <si>
    <t>Materials for the Upgrading/Rehabilitation of Isolation Facility, LGU-Cabatuan, Iloilo</t>
  </si>
  <si>
    <t>20L00150 : Rehabilitation of Paved Road Along Bypass Rd. at Jct. Davao –Cotabato Rd. – Central Park (Cordillera Rd.) – Jct. Matina Aplaya Rd., Davao City</t>
  </si>
  <si>
    <t>HYDRAULIC OIL</t>
  </si>
  <si>
    <t>20CN0142-Construction/Rehabilitation of Water Supply/Septage and Sewerage/Rain Water Collector Systems,</t>
  </si>
  <si>
    <t>20MD0130 Thermoplastic Pavement Markings along Davao-Cotabato Road, Pikit, Aleosan, Midsayap Section w/exception,  Pikit, Aleosan, Midsayap, Cotabato</t>
  </si>
  <si>
    <t>INVITATION TO BID FOR THE SUPPLY AND DELIVERY OF COA SERVICE VEHICLE</t>
  </si>
  <si>
    <t>20CSEB04 - CLUSTER 2020-FCD01: SUB-SURFACE/SOIL EXPLORATION FOR VARIOUS FY 2021 FLOOD CONTROL PROJECTS: (CONSTRUCTION/ MAINTENANCE OF FLOOD MITIGATION STRUCTURES AND DRAINAGE SYSTEMS, CONSTRUCTION/ RE</t>
  </si>
  <si>
    <t>PURCHASE AND DELIVERY OF OTHER SUPPLIES AND MATERIALS FOR THE SEED PRODUCTION AREA (SPA) OF DENR PENRO OCCIDENTAL MINDORO AMOUNTING TO PHP30,000.00</t>
  </si>
  <si>
    <t>PURCHASE OF ONE (1) UNIT MOTOR VEHICLE, BRGY. BAYAMBANG, INFANTA, PANGASINAN</t>
  </si>
  <si>
    <t>INF-ITB 20-027 Repair of Nhwy. Kipot - Banga - Nhwy. Purok Reyes and Banga - Lamba - Derilon - Lampari Road, Banga, South Cotabato</t>
  </si>
  <si>
    <t>INF-ITB 20-025 Construction of Lined Canal along Cannery Junction Upper Klinan - Klinan 6 Road, Polomolok, South Cotabato</t>
  </si>
  <si>
    <t>LABOR AND MATERIALS FOR THE EVACUATION CENTER AND DISASTER RISK REDUCTION-RELATED EQUIPMENT AT POBLACION,BADIAN,CEBU</t>
  </si>
  <si>
    <t>Asphalt Overlaying/Concrete Reblocking (portion) of A. Mabini St., Brgy. Sto. Niňo, Cainta, Rizal</t>
  </si>
  <si>
    <t>QRF CY 2020 CONSTRUCTION OF SLOPE PROTECTION</t>
  </si>
  <si>
    <t>20MD0133 Replacement (Re-blocking of Concrete Pavement),  Along Davao-Cotabato Road, Aleosan Section and Dualing-New Panay-Midsayap Road, Kimagango Section, Cotabato</t>
  </si>
  <si>
    <t>20L00154 : Road Widening Along Jct. Davao City Diversion Road – Langub Road – Magtuod Road, Davao City</t>
  </si>
  <si>
    <t>INF-ITB 20-026 Construction of One (1) Sanitary Landfill for Treated Special Waste Cell at IPEMC, Brgy. Tinongcop, Tantangan, South Cotabato</t>
  </si>
  <si>
    <t>PR# 20-1204- 5,000 M3 Hauling and Transport of Residual Waste and General Waste (Tipping Fee)</t>
  </si>
  <si>
    <t>Supply and delivery of various drugs and medicines for Ospital Ning Capas</t>
  </si>
  <si>
    <t>20MD0132 Resurfacing of Unpaved Road Shoulder along Dualing - New Panay - Midsayap Road, Arizona - Poblacion 8, Midsayap, Cotabato</t>
  </si>
  <si>
    <t>CIVIL WORKS FOR THE CONSTRUCTION OF MATERIAL RECOVERY FACILITIES (MRF)</t>
  </si>
  <si>
    <t>Supply and delivery of various drugs and medicines and, laboratory and dental supplies and materials</t>
  </si>
  <si>
    <t>PR# 20-0842- Supply and Commissioning of 70 Air-Conditioning Units at the Legislative Building</t>
  </si>
  <si>
    <t>PURCHASE OF FURNITURE'S  AND FIXTURES</t>
  </si>
  <si>
    <t>PURCHASE OF MATERIALS FOR THE CONSTRUCTION AND IMPROVEMENT OF GYMNASIUM AND SCHOOL SITE</t>
  </si>
  <si>
    <t>Airconditioning Unit for the Use of Isolation Facilty, LGU-Cabatuan, Iloilo</t>
  </si>
  <si>
    <t>PR# 20-0906 - 2 units Brand New Multi-Purpose Vehicle/ Passenger-Type Vehicle</t>
  </si>
  <si>
    <t>PR NO. 2020-06-014 PROCUREMENT OF GROCERY ITEMS, VIAND AND VEGETABLES, MNAO OF LGU-MAPANAS, NORTHERN SAMAR</t>
  </si>
  <si>
    <t>Supply and delivery of various laboratory and radiology supplies and materials</t>
  </si>
  <si>
    <t>Roofing Materials for Rehabilitation and Improvement of LGU Main Building</t>
  </si>
  <si>
    <t>CONSTRUCTION OF GARBENCO MULTIPURPOSE BUILDING/WAREHOUSE</t>
  </si>
  <si>
    <t>Purchase of medical, dental and laboratory supplies to be use at the Rural Health Unit</t>
  </si>
  <si>
    <t>Procurement of Information Technology for CBMS Training</t>
  </si>
  <si>
    <t>20GB0122 - Access Road Leading to San Jose Port and Beaches &amp; Sunset Viewing,  San Jose Boulevard/Esplanade (Hotels, Inns and Beach Resorts), San Jose, Antique</t>
  </si>
  <si>
    <t>Construction of Canan Level II Potable Water System</t>
  </si>
  <si>
    <t>PROCUREMENT OF WELFARE GOODS OF BRGY BIARONG SANGGUNIANG KABATAAN TO SUPPORT IN COVID-19 PANDEMIC</t>
  </si>
  <si>
    <t>Repair Maintenance of Municipal Vehicle</t>
  </si>
  <si>
    <t>PROCUREMENT OF WELFARE GOODS OF BRGY BIARONG TO SUPPORT IN COVID-19 PANDEMIC</t>
  </si>
  <si>
    <t>Service Vehicle of PNP Personnel</t>
  </si>
  <si>
    <t>PR# 20-0910- Supply and Delivery of Various Heavy Equipment</t>
  </si>
  <si>
    <t>PROCUREMENT OF WELFARE GOODS OF BRGY BONGO TO SUPPORT IN COVID-19 PANDEMIC</t>
  </si>
  <si>
    <t>Procurement of one unit Motorcyle</t>
  </si>
  <si>
    <t>20GB0121 - Repair and Maintenance of Road Safety Facilities, Anini-y, T. Fornier, Hamtic, Sibalom, San Remigio, Bugasong, Valderrama, Laua-an &amp; Barbaza, Antique</t>
  </si>
  <si>
    <t>CONSULTANCY SERVICES ON CLUP/CDP FORMULATION</t>
  </si>
  <si>
    <t>INVITATION TO BID FOR IT PROVIDER (BID NO. 200623-01)</t>
  </si>
  <si>
    <t>Q-085-20 PROCUREMENT OF HARDWARE AND CONSTRUCTION SUPPLIES</t>
  </si>
  <si>
    <t>Construction  of Nanaguan Bridge, Brgy. Nanaguan, City of Ilagan, Isabela</t>
  </si>
  <si>
    <t>Procurement of Medicines and Medical Supplies for Pana-on ILHZ 2020 Program Implementation</t>
  </si>
  <si>
    <t>Construction of Motorpool</t>
  </si>
  <si>
    <t>Supply and Delivery of Musical Instruments (PR No. 19-09-0386)</t>
  </si>
  <si>
    <t>Construction Of Multi-Purpose Building, Brgy. Cabalitian, Asingan, Pangasinan</t>
  </si>
  <si>
    <t>Construction  of Slope Protection at KM 8+945 to KM 8+969, Ilagan &amp; Divilacan, Isabela</t>
  </si>
  <si>
    <t>Construction of Open Drainage</t>
  </si>
  <si>
    <t>CONSTRUCTION OF ADMINISTRATIVE BUILDING OF PUP BANSUD CAMPUS</t>
  </si>
  <si>
    <t>20GB0123 - Concreting of Brgy. Maybunga FMR, Brgy. Maybunga, Laua-an, Antique</t>
  </si>
  <si>
    <t>Construction  of Rattan Processing Center Facility, Phase 1, Cabisera 10, City of Ilagan, Isabela</t>
  </si>
  <si>
    <t>Purchase of commonly used drugs and medicines to be use at the Rural Health Unit</t>
  </si>
  <si>
    <t>INVITATION TO BID FOR FURNITURE AND FIXTURES (PLASTIC) (BID NO. 200623-02)</t>
  </si>
  <si>
    <t>Procurement of 1 unit Electro Mechanical Equipment with complete accessories</t>
  </si>
  <si>
    <t>INVITATION TO BID FOR TAILORING  (BID NO. 200623-04)</t>
  </si>
  <si>
    <t>Construction Materials of Water Reservoir, at M.Francisco Evacuation Cenetr</t>
  </si>
  <si>
    <t>INVITATION TO BID FOR NO CATEGORY (RESCUE UTILITY TRAILER) (BID NO. 200623-03)</t>
  </si>
  <si>
    <t>Construction of Multi-Purpose Building with Storage Room and Two Public Comfort Room at Brgy. Tumbaga 1, Sariaya, Quezon</t>
  </si>
  <si>
    <t>CONSTRUCTION AND REHABILITATION OF CLIMATE RESILIENT DRAINAGE</t>
  </si>
  <si>
    <t>INVITATION TO BID FOR VEHICLE (4 WHEELS) AND ACCESSORIES (BID NO. 200623-05)</t>
  </si>
  <si>
    <t>Construction  of Slope Protection at KM 10+860 to KM 10+990, Ilagan &amp; Divilacan, Isabela</t>
  </si>
  <si>
    <t>PROCUREMENT OF WELFARE GOODS OF BRGY KIGAN SANGGUNIANG KABATAAN TO SUPPORT IN COVID-19 PANDEMIC</t>
  </si>
  <si>
    <t>Construction of Flood Control</t>
  </si>
  <si>
    <t>Procurement of  construction  of  multi-purpose  building at Sitio Daruca, Poblacion</t>
  </si>
  <si>
    <t>20LA0319 Construction of Water System Anislagan, Maco, Compostela Valley</t>
  </si>
  <si>
    <t>Procurement of Infrastructure for Road Concreting of Poblacion to Baluarte Municipal Road</t>
  </si>
  <si>
    <t>PR# 20-0905- 1 unit Brand New Backhoe 1 unit Brand New Hydraulic Breaker-Attachment</t>
  </si>
  <si>
    <t>Labor &amp; Materials for the Construction of Seawall @ Purok Sunflower</t>
  </si>
  <si>
    <t>INVITATION TO BID FOR FURNITURE AND FIXTURES (NON-ERGONOMIC) (BID NO. 200623-07)</t>
  </si>
  <si>
    <t>Const. Of NCDC Building</t>
  </si>
  <si>
    <t>Supply and Delivery of Agroforestry</t>
  </si>
  <si>
    <t>INVITATION TO BID FOR SPARE PARTS FOR LIGHT &amp; HEAVY EQUIPMENT (BID NO. 200623-08)</t>
  </si>
  <si>
    <t>INVITATION TO BID FOR ELECTRICAL EQUIPMENT AND APPLIANCE - A (BID NO. 200623-06)</t>
  </si>
  <si>
    <t>INVITATION TO BID FOR CONSTRUCTION SUPPLIES AND MATERIALS (BID NO. 200623-09)</t>
  </si>
  <si>
    <t>CONCRETING OF APNAGAN ROAD</t>
  </si>
  <si>
    <t>CONSTRUCTION AND REHABILITATION OF CLIMATE RESILIENT ROADS AND BRIDGES</t>
  </si>
  <si>
    <t>PURCHASE OF OFFICE EQUIPMENTS</t>
  </si>
  <si>
    <t>ITB for Procurement of Materials for Office Supplies 2020</t>
  </si>
  <si>
    <t>PURCHASE OF FURNITURE'S AND FIXTURES</t>
  </si>
  <si>
    <t>PR# 20-0904- 2 units Brand New Barge</t>
  </si>
  <si>
    <t>INVITATION TO BID FOR QUARRY MATERIALS (BID NO. 200623-10)</t>
  </si>
  <si>
    <t>BPSU Abucay Campus: – Supply, Delivery and Installation of Furniture and Fixtures for the Completion of 2-Storey Academic Building 2</t>
  </si>
  <si>
    <t>20LA0322 Improvement of Water System Patilan, Bongbong, Pantukan, Compostela Valley</t>
  </si>
  <si>
    <t>SUPPLY AND DELIVERY OF WHITE CORN SEEDS (OPV) TO BE DISTRIBUTED TO FARMERS IN UPLAND BARANGAYS OF MOLAVE, ZDS</t>
  </si>
  <si>
    <t>20LA0320 Construction of Water System, Taglawig, Maco, Compostela Valley</t>
  </si>
  <si>
    <t>20CSGB01-CONDUCT OF GEOTECHNICAL INVESTIGATION FOR FY 2021 INFRASTRUCTURE PROJECTS, PROVINCE OF ANTIQUE</t>
  </si>
  <si>
    <t>INVITATION TO BID FOR NO CATEGORY (GIFT CHECK CERTIFICATE) (BID NO. 200623-12)</t>
  </si>
  <si>
    <t>PROCUREMENT OF VARIOUS WELFARE GOODS OF BRGY ROMONGAOB TO SUPPORT IN COVID-19 PANDEMIC</t>
  </si>
  <si>
    <t>20LA0321 Improvement of Water System Purok 3, Bongbong, Pantukan, Compostela Valley</t>
  </si>
  <si>
    <t>PURCHASE OF DRUGS AND MEDICINES FOR 1ST QUARTER</t>
  </si>
  <si>
    <t>PURCHASE OF VARIOUS MATERIALS FOR THE MAINTENANCE OF PNP VEHICLES</t>
  </si>
  <si>
    <t>INVITATION TO BID FOR INDUSTRIAL CHEMICALS (BID NO. 200623-11)</t>
  </si>
  <si>
    <t>PURCHASE OF BEMONC SUPPLIES</t>
  </si>
  <si>
    <t>Procurement of Infrastructure for Library Building Improvement(2nd Floor)</t>
  </si>
  <si>
    <t>Rehabilitation of Maria Clara-San Isidro Road</t>
  </si>
  <si>
    <t>Procurement of construction materials for Concreting of Municipal Road at Ngileb</t>
  </si>
  <si>
    <t>Drugs &amp; Medicines use in Siocon District Hospital</t>
  </si>
  <si>
    <t>INVITATION TO BID FOR GROCERIES (BID NO. 200623-13)</t>
  </si>
  <si>
    <t>20LA0323 Completion of Academic Building Construction in Compostela Campus (Phase 3 of 3 phases in Davao de Oro), Compostela, Davao de Oro</t>
  </si>
  <si>
    <t>Rehabilitation of Diffun – Liwayway - Sitio Pallutan Road</t>
  </si>
  <si>
    <t>Rehabilitation of Rizal – Villa Pascua Road</t>
  </si>
  <si>
    <t>70TH ARAW NG LABANGAN 2020</t>
  </si>
  <si>
    <t>20LA0325 Construction of Water System, Laak NHS, Brgy. Poblacion, Laak, Compostela Valley</t>
  </si>
  <si>
    <t>Procurement/Acquisition of Vehicle(School Bus)</t>
  </si>
  <si>
    <t>20LA0324 Construction of Level II Water Supply System, Purok 7 &amp; 8, Brgy. Fuentes, Pantukan, Compostela Valley</t>
  </si>
  <si>
    <t>20LA0330 Asphalt Overlay along Montevista-Compostela-New Bataan-Maragusan Bdry. Road, Compostela Valley</t>
  </si>
  <si>
    <t>Supply and Delivery of One (1) unit Brand New 6 x 4 x 10-Wheeler, 32 ft. Truck Chassis Mounted with 32 x 8 x 8 footer Wing Van Body</t>
  </si>
  <si>
    <t>20LA0329 Opening of Road, Tipga-Napnapan-Mabatos-Panganason, Brgy. Napnapan, Kingking, Pantukan, Compostela Valley</t>
  </si>
  <si>
    <t>INVITATION TO BID FOR OFFICE SUPPLIES AND MATERIALS (BID NO. 200623-14)</t>
  </si>
  <si>
    <t>Improvement of Processing Center of Quirino Banana Enterprise</t>
  </si>
  <si>
    <t>Construction of Retaining Wall at Baung,Piat,Cagayan</t>
  </si>
  <si>
    <t>PURCHASE OF AIRCON SPLIT TYPE</t>
  </si>
  <si>
    <t>20LA0328 Construction of Multi-Purpose Building, Manat ES, Brgy. Manat, Nabunturan, Compostela Valley</t>
  </si>
  <si>
    <t>20EG0091-Repair and Maintenance of Road Safety Facilities along National Roads K0000+000 - K0000+579.20, Puerto Princesa South Road (S00040PW) and K0000+017.50-K0000+162, Puerto Princesa Wharf Road (S</t>
  </si>
  <si>
    <t>20LA0326 Repair/Rehabilitation/Improvement of Road along Asuncion-San Isidro-Laak-Veruela Road, Compostela Valley</t>
  </si>
  <si>
    <t>Office Supplies (PMTO)</t>
  </si>
  <si>
    <t>20LA0327 Asphalt Overlay along Daang Maharlika Highway, Tuburan Section, Brgy. Tuburan, Mawab, Compostela Valley</t>
  </si>
  <si>
    <t>20LA0331 Construction of Retaining Wall along Asuncion-Laak-Veruela Rd. Libuton Section, Laak, Compostela Valley</t>
  </si>
  <si>
    <t>Improvement of Processing Center of Quirino Coffee Enterprise</t>
  </si>
  <si>
    <t>INSTALLATION OF WATER SYSTEM @ HIGHWAY FOOD COURT</t>
  </si>
  <si>
    <t>BPSU Abucay Campus: – Supply, Delivery and Installation of Equipment and Laboratory Instruments for the Completion of 2-Storey Academic Building 2</t>
  </si>
  <si>
    <t>MEALS AND SNACKS FOR THE YEAR ROUND WOMEN EMPOWERNMENT ORIENTATIONS AND FREE LEGAL ASSISTANCE</t>
  </si>
  <si>
    <t>20LA0333 66X- Selective Replacement of Concrete Pavement along Asuncion-San Isidro-Laak Veruela Road, K1492+950-K1526+593 Intermittent Section; Daang Maharlika Road, K1377±201- K1445+1058 Intermittent</t>
  </si>
  <si>
    <t>INVITATION TO BID FOR FUEL, OIL, LUBRICANTS AND SERVICING (BID NO. 200623-15)</t>
  </si>
  <si>
    <t>20HN0115 -Repair and Maintenance (Asphalt Overlay) at Intermittent Sections of Mactan Circumferential Road Km 31+000 to KM 33+000 (S00020LP), Lapu-Lapu City</t>
  </si>
  <si>
    <t>INVITATION TO BID FOR FUEL, OIL, LUBRICANTS AND SERVICING (BID NO. 200623-16)</t>
  </si>
  <si>
    <t>PROCUREMENT OF 400 PACKS RELIEF GOODS</t>
  </si>
  <si>
    <t>INSTALLATION OF ELECTRIC LINES SERVICE DROP @ HIGHWAY FOOD COURT</t>
  </si>
  <si>
    <t>20LA0334 Construction of Road, Camansi-Banglasan Junction Road, Brgy. Camansi, Montevista, Compostela Valley</t>
  </si>
  <si>
    <t>INVITATION TO BID FOR FUEL, OIL, LUBRICANTS AND SERVICING (BID NO. 200623-17)</t>
  </si>
  <si>
    <t>COMPLETION OF MULTI-PURPOSE HALL</t>
  </si>
  <si>
    <t>INVITATION TO BID FOR FUEL, OIL, LUBRICANTS AND SERVICING (BID NO. 200623-18)</t>
  </si>
  <si>
    <t>DIESEL AND GASOLINE FOR AFP,PNP,BFP MAY 2020 - DIESEL</t>
  </si>
  <si>
    <t>PROPOSED CONTINUING CONSTRUCTION OF CULTURAL STAGE</t>
  </si>
  <si>
    <t>20LA0284 Construction of Multi-Purpose Bldg., (Municipal Gym), Laak, Compostela Valley</t>
  </si>
  <si>
    <t>LANDSCAPING OF HIGHWAY FOOD COURT</t>
  </si>
  <si>
    <t>20LA0332 Repair/Maintenance of Hijo Revetment along Hijo River, Brgy. Hijo, Maco, Compostela Valley</t>
  </si>
  <si>
    <t>DIESEL FOR EMERGENCY SITUATIONS FOR THE MONTH OF MAY 2020 - DIESEL</t>
  </si>
  <si>
    <t>20HN0116 -Repair/Maintenance and Improvement of Cansaga Bay Bridge, Consolacion and Mandaue City, Cebu</t>
  </si>
  <si>
    <t>20LA0285 Improvement of Multi-Purpose Building, Nabunturan Comprehensive National High School, Nabunturan, Compostela Valley</t>
  </si>
  <si>
    <t>20LA0283 Construction of MPB Brgy. Tagnanan, Mabini, Compostela Valley</t>
  </si>
  <si>
    <t>PROCUREMENT OF VARIOUS WELFARE GOODS OF BRGY KUYA TO SUPPROT IN COVID-19 PANDEMIC</t>
  </si>
  <si>
    <t>PROCUREMENT OF MATERIALS FOR TEMPORARY HOLDING FACILITY</t>
  </si>
  <si>
    <t>20DD0219 (Re-Advertised) Local Program, Local Infrastructure Program, Flood Control and Drainage, Drainage / Protection Works, Construction / Rehabilitation of Drainage System at Brgy. Bolbok, Lipa Ci</t>
  </si>
  <si>
    <t>20LA0290 Construction of Multi-Purpose Building, Brgy. Bawani, Mawab, Compostela Valley</t>
  </si>
  <si>
    <t>20LA0294 Construction of Multi-Purpose Building (Health Center), Pangutosan, Nabunturan, Compostela Valley</t>
  </si>
  <si>
    <t>Supply and Delivery of various const. materials for the Construction of Multi-Purpose Hall (Renovation of Brgy. Health Center), Brgy. Capulaan, Villasis, Pangasinan</t>
  </si>
  <si>
    <t>Supply and delivery of hardware supplies and materials for the rehabilitation of RDET Building to Science Centrum</t>
  </si>
  <si>
    <t>RICE AND OTHER COMMODITIES FOR AFP,PNP,BFP FOR MAY 2020 - RICE @ 25 KGS</t>
  </si>
  <si>
    <t>20LA0291 Construction of 2 Storey Multi-Purpose Building (Municipal Health Center), Brgy. Poblacion, Montevista, Compostela Valley</t>
  </si>
  <si>
    <t>20LA0286 Construction of MPB (Gym) Kingking, Pantukan, Compostela Valley</t>
  </si>
  <si>
    <t>PURCHASE OF MOTOR VEHICLES FOR THE OFFICIAL USE OF THE CITY OF DASMARIÑAS</t>
  </si>
  <si>
    <t>20LA0293 Construction of Multi-Purpose Building, Pindasan ES, Mabini, Compostela Valley</t>
  </si>
  <si>
    <t>PROCUREMENT OF VARIOUS WELFARE GOODS OF BRGY BONGO SANNGUNIANG KABATAAN TO SUPORT IN COVID-19 PANDEMIC</t>
  </si>
  <si>
    <t>School Forms SHS</t>
  </si>
  <si>
    <t>20LA0287 Completion of Multi-Purpose Building, MIB Compound, Tuburan 10th Division Philippine Army, Mawab, Compostela Valley</t>
  </si>
  <si>
    <t>The Supply and Delivery of One (1) Unit Ambulance with Complete Accessories (Re-Bid)</t>
  </si>
  <si>
    <t>20LA0292 Construction of Multi-Purpose Building., Brgy. Poblacion, Mawab, Compostela Valley</t>
  </si>
  <si>
    <t>20LA0295 Construction of Multi-Purpose Building (Health Center), Diat, Pantukan, Compostela Valley</t>
  </si>
  <si>
    <t>PURCHASE OF BRGY. AMBULANCE VEHICLE</t>
  </si>
  <si>
    <t>Improvement of Multi-Purpose Pavement,Brgy, Ban-ag, Alimodian Iloilo</t>
  </si>
  <si>
    <t>20LA0299 Rehabilitation of Multi-Purpose Building, Brgy. Saosao, Mawab, Compostela Valley</t>
  </si>
  <si>
    <t>CONSTRUCTION OF LOCAL ACCESS ROAD TO SANITARY LANDFILL BRGY. KALYAAT LUCBAN, QUEZON</t>
  </si>
  <si>
    <t>Supply and Delivery of Various Medical Supplies</t>
  </si>
  <si>
    <t>PROPOSED WATER PIPE EXPANSION</t>
  </si>
  <si>
    <t>Supply and Delivery of various const. materials for the Construction of Multi-Purpose Hall (Phase I), Pob. Zone III, Villasis, Pangasinan</t>
  </si>
  <si>
    <t>Supply and Delivery of various const. materials for the Development Villasis Eco Resort &amp; Evacuation Center Complex construction of Steel Fence, Brgy. Unzad, Villasis, Pangasinan</t>
  </si>
  <si>
    <t>Procurement of Rehabilitation of Access Road leading to Poultry, Swine and Cattle Projects</t>
  </si>
  <si>
    <t>Concreting of Brgy. Hall,Brgy. Coline,Alimodian Iloilo</t>
  </si>
  <si>
    <t>Supply and Delivery of various construction materials for the concreting of Farm to Market Road connecting Libtong Rd 1&amp;2, Brgy. Caramutan, Villasis, Pangasinan</t>
  </si>
  <si>
    <t>Supply and Delivery of various construction materials for the construction of drainage system, Brgy Caramutan, Villasis, Pangasinan</t>
  </si>
  <si>
    <t>20LA0302 Completion of Multi-Purpose Building (Gym) Magsaysay ES, Magsaysay, Nabunturan, Compostela Valley</t>
  </si>
  <si>
    <t>PURCHASE OF OFFICE SUPPLIES AND OTHER SUPPLIES AND MATERIALS FOR THE CONDUCT OF SURVEY, MAPPING, AND PLANNING (SMP) OF CENRO SAN JOSE AMOUNTING TO PHP55,770.00</t>
  </si>
  <si>
    <t>20LA0300 Improvement of MPB (Gym) Linda, Nabunturan, Compostela Valley</t>
  </si>
  <si>
    <t>20LA0301 Improvement of MPB (Brgy. Hall) (Including Site Development), Magnaga, Pantukan, Compostela Valley</t>
  </si>
  <si>
    <t>Construction of Mini Gym</t>
  </si>
  <si>
    <t>Supply and Delivery of various const. materials for the Development Villasis Eco Resort &amp; Evacuation Center Complex Const. of CHB Fence, Access Rd to RHU, retaining wall, Drainage System, Brgy. Unzad,</t>
  </si>
  <si>
    <t>PR 2020-03-018 Supply and Delivery of Materials for the Construction Section Office and Annex Office at 3rd Floor of DPWH DEO – Comval Building Davao De Oro</t>
  </si>
  <si>
    <t>Concreting of Molave St. (from Lawaan St. - Kawayan St.)</t>
  </si>
  <si>
    <t>Concreting of Kawayan St. (from Sampaguita Ave. - Gumamela St.)</t>
  </si>
  <si>
    <t>INVITATION TO BID FOR PROJECT: IMPROVEMENT OF MULTI-PURPOSE HALL (SUPPLY AND INSTALLATION OF PPR PIPING SYSTEM/AUTOMATIC WATER CLOSET AND URINAL FLUSH SENSORS/SANITARY WARES/VALVES AND FIXTURES/TILE W</t>
  </si>
  <si>
    <t>REBIDDING ON THE PROVISION OF LABOR, MATERIALS, EQUIPMENT AND OTHER INCIDENTALS NEEDED FOR THE IMPROVEMENT OF TAGUIPORO GRANDE DIVERSION DAM (DD) AT BRGY. TAGUIPORO GRANDE, BANGUI, ILOCOS NORTE</t>
  </si>
  <si>
    <t>Contracting of Security Services (Blue Guards) for Twelve Months Province of Northern Samar</t>
  </si>
  <si>
    <t>20LA0308 Construction of MPB (3 storey) Kolehiyo and Pantukan (KNP) 12 classrooms, Pantukan, Compostela Valley</t>
  </si>
  <si>
    <t>FOOD SUPPLIES EXPENSES (SUPPLEMENTAL FEEDING)</t>
  </si>
  <si>
    <t>20LA0311 Concreting of Brgy. Talian FMR, Brgy. Talian, Maragusan, Compostela Valley</t>
  </si>
  <si>
    <t>Supply and Delivery of various construction materials for the concreting of Farm to Market Road Libtong Rd 1, Brgy. Caramutan, Villasis, Pangasinan</t>
  </si>
  <si>
    <t>20LA0310 Concreting of Purok 1 to 5, Sitio Mampising, Brgy. Tagnanan FMR, Brgy. Tagnanan, Mabini, Compostela Valley</t>
  </si>
  <si>
    <t>Purchase and Delivery of Inorganic Fertilizers and Pesticides</t>
  </si>
  <si>
    <t>Procurement of Powdered Milk Drink for the use in Supplemental Feeding to Pre-School Children, Province of Aklan /ITB no: 2020-327</t>
  </si>
  <si>
    <t>20DD0310 Local Program, Local Infrastructure Program, Buildings and Other Structures, Multipurpose/ Facilities, Construction of Multi-Purpose Building at Sen. Claro M. Recto Memorial Integrated School</t>
  </si>
  <si>
    <t>20GM0072 - Concreting of Sitio Banman, Brgy. Locotan FMR, Brgy. Locotan, Kabankalan City, Negros Occidental</t>
  </si>
  <si>
    <t>20LA0312 Concreting of Canlawig, Brgy. Poblacion – Brgy. Pamintaran FMR (Phase II), Brgy. Pamintaran, Maragusan, Compostela Valley</t>
  </si>
  <si>
    <t>20LA0309 Rehabilitation of Multi-Purpose Building (Senior Citizen B uilding) Brgy. Poblacion, Nabunturan, Compostela Valley</t>
  </si>
  <si>
    <t>20GM0071 - Concreting of Sitio Batbat to Sitio Tis-an, Brgy. Isio FMR,  Brgy. Isio, Cauayan, Negros Occidental</t>
  </si>
  <si>
    <t>DRUGS AND MEDICINE EXPENSES</t>
  </si>
  <si>
    <t>Supply and Delivery of Construction Materials for the Construction of 3 units Solar Dryer</t>
  </si>
  <si>
    <t>PR 2020-03-022 Supply and Delivery of Materials for Activity 71X – Special Maintenance of Reflective Thermoplastic Stripping Materials (Solid Form) along Surigao – Davao Coastal Road K1781+586 – K1821</t>
  </si>
  <si>
    <t>CLUSTER 28-2020</t>
  </si>
  <si>
    <t>REBIDDING ON THE PROVISION OF LABOR, MATERIALS, EQUIPMENT AND OTHER INCIDENTALS NEEDED FOR THE IMPROVEMENT OF BARCELONA DIVERSION DAM INTAKE STRUCTURE AND CANAL LINING AT BRGY. BARCELONA, SOLSONA, ILO</t>
  </si>
  <si>
    <t>20DD0314 Local Program, Local Infrastructure Program, Local Roads and Bridges, Local Roads, Road Improvement with Line Canal, Brgy. San Miguel, Padre Garcia, Batangas to Brgy. Sta. Cruz, Rosario, Bata</t>
  </si>
  <si>
    <t>PROCUREMENT OF SERVICES FOR THE ONE (1) LOT – EVENT ORGANIZING</t>
  </si>
  <si>
    <t>Rice Subsidy (Solo Parents, PWD's, Malnourished, Senior Citizens)</t>
  </si>
  <si>
    <t>CID No. 20IC0063: Const. of Hospital Building, Schistosomiasis Control and Research Institute, Palo, Leyte; ABC: P16,660,000.00; 164 CD</t>
  </si>
  <si>
    <t>20FO0093 - Construction/Expansion/Rehabilitation of Public Markets/Farmers Markets (Bagsakan Centers) and Public Cemeteries in the 3rd District of Albay (13 sites)</t>
  </si>
  <si>
    <t>SUPPLY AND DELIVERY OF HAULING TRUCK LOT 1: TWO (2) UNITS HAULING TRUCK (ALUMINUM VAN TYPE) LOT 2: ONE (1) UNIT HAULING TRUCK (DROP SIDE TYPE)</t>
  </si>
  <si>
    <t>20DD0312 Local Program, Local Infrastructure Program, Buildings and Other Structures, Multipurpose/ Facilities, Completion of Multi-Purpose Building (Gym), Brgy. Poblacion, Ibaan, Batangas</t>
  </si>
  <si>
    <t>20PC0001CS- Consultancy Services for the Geotechnical Investigation for Bridge and Flood Control Projects  Package I: 1.)  Construction of Rakiang Bridge-Cadaclan, Construction of Kirut Bridge-Eva Gar</t>
  </si>
  <si>
    <t>Agricultural Supplies Expenses</t>
  </si>
  <si>
    <t>20DD0311 Local Program, Local Infrastructure Program, Buildings and Other Structures, Multipurpose/ Facilities, Construction/ Completion of Multi-Purpose Building, Brgy. Castillo, Padre Garcia, Batang</t>
  </si>
  <si>
    <t>CONSTRUCTION OF MULTI - PURPOSED BUILDING @ BRGY. NEW LABANGAN, LABANGAN, ZDS</t>
  </si>
  <si>
    <t>20LA0313 Concreting of Sitio Bonbon – Brgy. Mangloy to Sitio Mangub, Brgy. Emelda FMR, Brgy. Mangloy and Brgy. Emelda, Laak, Compostela Valley</t>
  </si>
  <si>
    <t>Procurement of Supply and Delivery of Various Construction Supplies and Materials</t>
  </si>
  <si>
    <t>PR 2020-03-027 Supply and Delivery of Printer Consumables and I.T. Supplies/ Equipments, for use in the Office of the Construction Section, DPWH-DEO Nabunturan, Davao De Oro Province</t>
  </si>
  <si>
    <t>REBIDDING ON THE PROVISION OF LABOR, MATERIALS, EQUIPMENT AND OTHER INCIDENTALS NEEDED FOR THE REHABILITATION OF SAN CRISTOBAL SMALL WATER IMPOUNDING PROJECT (SWIP) CANAL LINING AT BRGY. SAN CRISTOBAL</t>
  </si>
  <si>
    <t>RENTAL OF TRANSPORT SERVICES FOR THE HAULING OF DILAPIDATED VEHICLES FROM MAKATI CITY TO CALAMBA, LAGUNA</t>
  </si>
  <si>
    <t>20DD0313 Local Program, Local Infrastructure Program, Local Roads and Bridges, Local Roads, Improvement of Road, Brgy. Taysan, San Jose, Batangas</t>
  </si>
  <si>
    <t>SUPPLY OF MATERIALS FOR REHABILITATION OF WATER SYSTEM(CONS. OF RESERVOIR)</t>
  </si>
  <si>
    <t>LAUNDRY SERVICES</t>
  </si>
  <si>
    <t>Procurement of 1 Unit Garbage Compactor</t>
  </si>
  <si>
    <t>Labor and Materials for the Perimeter Fence of the New Rural Health Unit at Sitio Pag-asa, Brgy. Wawa, Orion, Bataan</t>
  </si>
  <si>
    <t>(RE-POST) Rehabilitation of Multi-Purpose Stage</t>
  </si>
  <si>
    <t>REBIDDING ON THE PROVISION OF LABOR, MATERIALS, EQUIPMENT AND OTHER INCIDENTALS NEEDED FOR THE REHABILITATION OF IRRIGATION CANAL OF SALBANG DIVERSION DAM (DD) AT BRGY. SALBANG, PAOAY, ILOCOS NORTE</t>
  </si>
  <si>
    <t>TIRE PATH CONCRETING @ BRGY. TAPODOC, LABANGAN ZDS</t>
  </si>
  <si>
    <t>PROCUREMENT OF MEDICINES &amp; LABORATORY SUPPLIES FOR USE AT MCH/MCHC</t>
  </si>
  <si>
    <t>20DD0316 Local Program, Construction/ Repair/ Rehabilitation/ Improvement of Various Infrastructure Including Local Projects, Buildings and Other Structures, Multipurpose/ Facilities, Rehabilitation o</t>
  </si>
  <si>
    <t>REBIDDING ON THE PROVISION OF LABOR, MATERIALS, EQUIPMENT AND OTHER INCIDENTALS NEEDED FOR THE REHABILITATION OF IRRIGATION CANAL OF SAN AGUSTIN DIVERSION DAM (DD) AT BRGY. SAN AGUSTIN, PAOAY, ILOCOS</t>
  </si>
  <si>
    <t>Rabies Vaccine for immediate use in the continuous massive rabies vaccination in the Barangays of Nueva Valencia-OMAS</t>
  </si>
  <si>
    <t>20PC0002CS-Consultancy Services for the Geotechnical Investigation for the Construction of Multi-Purpose Building Luna, Apayao</t>
  </si>
  <si>
    <t>20DD0318 Local Program, Local Infrastructure Program, Buildings and Other Structures, Multipurpose/ Facilities, Improvement of Multi-Purpose Building, Brgy. San Roque, Rosario, Batangas</t>
  </si>
  <si>
    <t>20FO0094 - Concreting of Sukip-Matanglad FMR, Brgy. Sukip, Pioduran, Albay</t>
  </si>
  <si>
    <t>Supply &amp; Delivery of Materials for the  Rehabilitation of Drainage Canal</t>
  </si>
  <si>
    <t>Supply &amp; Delivery of Materials for the Rehabilitation &amp; Improvement of Children’s Youth Park</t>
  </si>
  <si>
    <t>Publication No. 26-2020-G (First Publication) Common Office Supplies (Lot 2)</t>
  </si>
  <si>
    <t>20DD0317 Local Program, Construction/ Repair/ Rehabilitation/ Improvement of Various Infrastructure Including Local Projects, Buildings and Other Structures, Multipurpose/ Facilities, Rehabilitation o</t>
  </si>
  <si>
    <t>20DD0315 Local Program, Construction/ Repair/ Rehabilitation/ Improvement of Various Infrastructure Including Local Projects, Local Roads and Bridges, Local Roads, Rehabilitation of Road including Dra</t>
  </si>
  <si>
    <t>INSTALLATION OF STREET LIGHTING SYSTEM @ BRGY. TAPODOC, LABANGAN ZDS</t>
  </si>
  <si>
    <t>20FO0095 - Construction of Rain Water Collection System (RWCS) in Region V, CY 2020</t>
  </si>
  <si>
    <t>20LA0314 Construction of Concreting of road with drainage, Tagugpo NHS, Pantukan, Compostela Valley</t>
  </si>
  <si>
    <t>Materials for the Construction of Feeding/ Lunch Area-Napandong ES, Brgy. Napandong</t>
  </si>
  <si>
    <t>20DD0319 Local Program, Local Infrastructure Program, Local Roads and Bridges, Local Roads, Construction/Improvement of Road, Brgy. Taysan, San Jose, Batangas</t>
  </si>
  <si>
    <t>20DD0321 Local Program, Local Infrastructure Program, Buildings and Other Structures, Multipurpose/ Facilities, Construction and/or Repair/Rehabilitation of Multi-Purpose Building, Brgy. Bago, Ibaan,</t>
  </si>
  <si>
    <t>CONSTRUCTION OF HEALTH CENTER @ BRGY. DIPAYA, LABANGAN ZDS</t>
  </si>
  <si>
    <t>SUPPLY AND DELIVERY OF SCHOOL SHOES (LEATHER) FOR DISTRIBUTION TO ALL PUBLIC ELEMENTARY AND SECONDARY SCHOOLS IN MAKATI CITY</t>
  </si>
  <si>
    <t>20JB0076 - Concreting of Local Roads, Dipolog City, Zamboanga Del Norte.</t>
  </si>
  <si>
    <t>Materials for the Construction of School Perimeter Fence- NVCS, Brgy. Poblacion</t>
  </si>
  <si>
    <t>Supply and Installation of Additional Split Type – Inverter Airconditioner at PBB Fixed Link, NAIA Terminal 3</t>
  </si>
  <si>
    <t>20DD0323 Local Program, Local Infrastructure Program, Water Management Facilities, Water Supply, Construction of Water System at Brgy. Duhatan, Lipa City, Batangas</t>
  </si>
  <si>
    <t>REBIDDING ON THE PROVISION OF LABOR, MATERIALS, EQUIPMENT AND OTHER INCIDENTALS NEEDED FOR THE IMPROVEMENT OF MANUGOS SMALL SCALE IRRIGATION SYSTEM AT BRGY. PATIACAN, QUIRINO, ILOCOS SUR</t>
  </si>
  <si>
    <t>Procurement of supply and delivery of tires</t>
  </si>
  <si>
    <t>Materials for the Construction of School Canopy-Igang ES, Brgy. Igang</t>
  </si>
  <si>
    <t>20LA0315 Opening of Tipga Napnapan to Mabaros, Panganason, Kingking, Pantukan, Compostela Valley</t>
  </si>
  <si>
    <t>20DD0322 Local Program, Local Infrastructure Program, Buildings and Other Structures, Multipurpose/ Facilities, Construction/ Rehabilitation of Multi-Purpose Building, Lipa City, Batangas</t>
  </si>
  <si>
    <t>PR 2020-05-077 Consolidated Supply and Delivery of Fuel (Diesel) for the use in Activity 111 (Premix Patching Bituminous Pavements) along Benigno S. Aquino Jr. National Highway Road K1414±1205 – K1427</t>
  </si>
  <si>
    <t>CONSTRUCTION OF TOILET @ BRGY. DIPAYA, LABANGAN ZDS</t>
  </si>
  <si>
    <t>ESTABLISHMENT OF CENTRAL COMPOST PIT @ BRGY. DIPAYA, LABANGAN ZDS</t>
  </si>
  <si>
    <t>Agricultural Supplies</t>
  </si>
  <si>
    <t xml:space="preserve">Contract ID No. 20GP00062 - Purchase of Heavy Equipment, Trucks, and Service Vehicles for use of DPWH-CAR Regional Office for Dredging Activities and Quick Response Equipment (QRE) LOT A: Excavators  </t>
  </si>
  <si>
    <t>Replacement of Elevators PE1, PE2 and SE4 at NAIA Terminal 1</t>
  </si>
  <si>
    <t>20DD0320 Construction/ Rehabilitation of Water Supply/ Septage and Sewerage/ Rainwater Collectors- Rain Water Collectors in Public Facilities</t>
  </si>
  <si>
    <t>PR No. 2020-02-0267-MAIN-Supply and Delivery of Cosmetology Equipment for the Cosmetology Technology Laboratory of CTAS</t>
  </si>
  <si>
    <t>CONSTRUCTION OF DRAINAGE SYSTEM AT DON JUAN BAYVIEW SUBDIVISION, BRGY. SUCAT, MUNTINLUPA CITY (*RE-POSTED)</t>
  </si>
  <si>
    <t>CID No. 20IC00731: 1. Repair/Maint. of DPWH Bldg, Field &amp; Lab. Bldg, Leyte 1 DEO, Palo, Leyte; 2. Repair/Maint. of DENR Bldg, LRA, Gov. Center, Palo, Leyte; Total ABC: P2,940,000.00; 144 CD</t>
  </si>
  <si>
    <t>DIETARY SERVICES</t>
  </si>
  <si>
    <t>Procurement of FUEL for LGU use (2nd quarter 2020)</t>
  </si>
  <si>
    <t>20DD0324 Local Program, Construction/ Repair/ Rehabilitation/ Improvement of Various Infrastructure Including Local Projects, Buildings and Other Structures, Multipurpose/ Facilities, Rehabilitation o</t>
  </si>
  <si>
    <t>Rehabilitation of San Guillermo Public Market, Centro II</t>
  </si>
  <si>
    <t>Construction of Rainwater Collector System FY 2020 5th and 6th District Pangasinan  1. Yatyat E/S, Brgy. Yatyat, Laoac, Pang. 	11. Mabini E/S, Brgy. Mabini, Balungao, Pang.  2. Queved-Anisca E/S, Brgy</t>
  </si>
  <si>
    <t>Supply and delivery of IT supplies and equipment for (FAD)</t>
  </si>
  <si>
    <t>CID No. 20IC0075: Repair/Maint. of Cavite East Drainage System, Palo, Leyte; ABC: P4,900,000.00; 93 CD</t>
  </si>
  <si>
    <t>CONSTRUCTION OF THIRTY TWO (32) UNITS HANDWASHING FACILITY</t>
  </si>
  <si>
    <t>Improvement  along Longboy-Tacal FMR (Tacal Section)</t>
  </si>
  <si>
    <t>RFQ2020-06-031_SUPPLY AND DELIVERY OF VARIOUS WATER SERVICE CONNECTION MATERIALS FOR REALIGNMENT OF 250MMØ HDPE TRANSMISSION LINE AT TAMBAK BRIDGE, BRGY. TAMBAK, NEW WASHINGTON, AKLAN</t>
  </si>
  <si>
    <t>Printing  of College Yearbook SY 2019-2020 Including Photography</t>
  </si>
  <si>
    <t>CID No. 20IC0074: Repair/Maint. of Paran Creek, Flood Control, Brgy. District III, Babatngon, Leyte; ABC: P3,920,000.00; 66 CD</t>
  </si>
  <si>
    <t>Construction of Powerhouse @ CDRRMC, Brgy. Zone 3, Cadiz City</t>
  </si>
  <si>
    <t>Construction of Legislative Building of the Lamut, Ifugao, Lamut, Ifugao</t>
  </si>
  <si>
    <t>Supply, Delivery, and Installation of ICT Software to Support the Command, Control, and Communications Information System (C3IS)</t>
  </si>
  <si>
    <t>20GNE0019 – SUPPLIES/DELIVERIES FOR THE PROCUREMENT OF DIESEL FUEL AND SPECIAL GASOLINE TO BE USED IN THE OPERATION OF HRAS, QAS, PDS AND MS FOR THE 1ST AND 2ND QUARTER OF YEAR 2020. DINAGAT ISLANDS D</t>
  </si>
  <si>
    <t>Supply, Delivery, Installation, Configuration, Testing, Tagging, and Commissioning of Collaboration System to Support the Command, Control, and Communications Information System (C3IS)</t>
  </si>
  <si>
    <t>Procurement of One (1) Lot Internet Subscription Expenses for PNP DICTM- 5020503000-PNP-DICTM-20-04</t>
  </si>
  <si>
    <t>RFQ2020-06-033_SUPPLY &amp; DELIVERY OF VARIOUS INK/TONER FOR OFFICE USE – 2ND QUARTER PROCUREMENT</t>
  </si>
  <si>
    <t>Procurement of One (1) Lot Information and Communications Technology (ICT) Equipment for the PNP CPSM- PNPTR-CPSM-DP-20-01</t>
  </si>
  <si>
    <t>PADYAK SAGIP</t>
  </si>
  <si>
    <t>G-2020-16: SUPPLY, INSTALLATION AND LICENSE SUBSCRIPTION OF FORTY-TWO (42) COMPUTER AIDED DESIGN (CAD) LT SOFTWARE TOOL WITH MAINTENANCE AND SUPPORT FOR THE DEVELOPMENT BANK OF THE PHILIPPINES-REBIDDI</t>
  </si>
  <si>
    <t>Procurement of Food Packs for assistance to BPAs and other similar facilities serving CICL due to Coid-19 Threat</t>
  </si>
  <si>
    <t>COLLECTION, HAULING TRANSPORT AND DISPOSAL OF WASTES OF ICTY OF TRECE MARTIRES FOR THE MONTH OF JULY 1,2020 TO AUGUST 15,2020</t>
  </si>
  <si>
    <t>20DE0142 Repair/Maintenance of DOJ Building, NBI Office Building, Kumintang Ibaba, Batangas City</t>
  </si>
  <si>
    <t>CONSTRUCTION OF CREMATORIUM AT TRECE MARTIRES CITY MEMORIAL PARK AT BRGY. AGUADO, TMC</t>
  </si>
  <si>
    <t>Completion of Multi-Purpose Hall Cum Evacuation Center at Gallanosa National High School</t>
  </si>
  <si>
    <t>PROJ. 147 - C.O 2020</t>
  </si>
  <si>
    <t>20GNE0022 – SUPPLIES/DELIVERIES FOR THE PROCUREMENT OF VARIOUS SPARE PARTS FOR THE PREVENTIVE MAINTENANCE OF THE OFFICIAL VEHICLES OF DPWH-DIDEO, DPWH-COMPOUND, BRGY. CUARINTA, SAN JOSE, DINAGAT ISLAN</t>
  </si>
  <si>
    <t>Improvement/Deepening of Makati-Pateros River, District II, Makati City</t>
  </si>
  <si>
    <t>Construction of Incarizan Footbridge with Slope Protection</t>
  </si>
  <si>
    <t>Rehabilitation/Reconstruction of Single Barrel Box Culvert at Brgy. Central</t>
  </si>
  <si>
    <t>20FN0089 Local Program - Building and Other Structures - Multipurpose/Facilities - Local Infrastructure Program -Construction of Multi-Purpose Building, Baao Community College, Brgy. San Juan, Baao, C</t>
  </si>
  <si>
    <t>Procurement of Semi-Expendable Items for Assistance to BPAs and other Similar Facilities Serving CICL due to COVID-19 Threat.</t>
  </si>
  <si>
    <t>Procurement of Fishery Equipments</t>
  </si>
  <si>
    <t>20CL0041 - Widening of Permanent Bridges, Alusiis Br. (B01392LZ) along Olongapo- Bugallon Road, San Narciso, Zambales</t>
  </si>
  <si>
    <t>CONSTRUCTION OF PERIMETER FENCE OF SUNSHINEVILLE ELEMENTARY SCHOOL AT BRGY. CABUCO,TMC</t>
  </si>
  <si>
    <t>Concreting of Access Road to Community Fish Landing at Brgy. Central</t>
  </si>
  <si>
    <t>20GDE0001 (Re-advertised) Supply and Delivery of Joint Sealant for the various Roads of Batangas II DEO</t>
  </si>
  <si>
    <t>SUPPLY AND DELIVERY OF RICE AND SANDO BAG</t>
  </si>
  <si>
    <t>INVITATION TO BID FOR THE PROCUREMENT OF SITE DEVELOPMENT (PHASE V) Design and Build</t>
  </si>
  <si>
    <t>CONSTRUCTION OF BARANGAY HEALTH STATION ( BHS) AT BARANGAY CONCHU, TMC</t>
  </si>
  <si>
    <t>20CL0001 - Rehabilitation/Reconstruction/Upgrading of Damaged Paved Roads-  Secondary Road Olongapo-Bugallon Road K0 181 + 000 - K0181+124.70</t>
  </si>
  <si>
    <t>Construction/Development of Water System at Brgy. Manlabong</t>
  </si>
  <si>
    <t>Construction of Access Road within the Sanitary Landfill</t>
  </si>
  <si>
    <t>Procurement and Installation of Office Cubicles for Provincial and National Extension Office ITB # 2020-147</t>
  </si>
  <si>
    <t>20GDB0022 Supply of Materials for the Repair &amp; Maintenance of Nasugbu-Lian-Calatagan Road, K0099+455-K0109+000 and Balayan-Balibago Road, K0109+000-K0113+500(Intermittent)</t>
  </si>
  <si>
    <t>20FN0090 Construction/Repair/Rehabilitation/Improvement of Various Infrastructure including Local Project – Local Roads Improvement/ Construction of Concrete Road along Neighborhood Bacolod – San Vice</t>
  </si>
  <si>
    <t>20GMH040 - SUPPLY/DELIVERYOFVARIOUSSPAREPARTSFORUSEOFONE(1)UNITTOYOTAHI-ACECOMMUTERVANTEMP.PLATENO.:ASSIGNEDATADMINISTRATIVESECTION,SULTANKUDARAT2NDDISTRICTENGINEERING OFFICE</t>
  </si>
  <si>
    <t>Construction and Rehabilitation of Brgy. Child Development Centers</t>
  </si>
  <si>
    <t>20GMH041 - SUPPLY/DELIVERYOFVARIOUSOFFICESUPPLIESFORUSEOFADMINISTRATIVESECTION(SUPPLYANDPROPERTYMANAGEMENTUNIT,RECORDSMANAGEMENTUNIT,CASHUNIT,GEN.SERVICESUNIT,HUMANRESOURCEANDMANAGEMENT&amp;DEVELOPMENTUNI</t>
  </si>
  <si>
    <t>IMPROVEMENT/UPGRADING OF ELECTRICAL FACILITIES OF LUIS AGUADO NATIONAL HIGH SCHOOL, BRGY. AGUADO TMC</t>
  </si>
  <si>
    <t>12.	Purchase of Furnitures and Fixtures (Filing Cabinet, Sofa/sala set, etc.) for use of the PG-ENRO Office.</t>
  </si>
  <si>
    <t>9.	Purchase of One (1) lot Brand New LED Wall with Support Structure for use of Provincial Government of Batangas.</t>
  </si>
  <si>
    <t>SUPPLY AND DELIVERY OF VARIOUS LIVE ANIMALS IN SUPPORT TO THE LIVELIHOOD ASSISTANCE PROGRAM OF THE LIVESTOCK PROGRAM FOR CY 2020 (REBID)</t>
  </si>
  <si>
    <t>10.	Purchase of Thirty (30) units Mobile Pedestal for use of the Provincial Tourism Office.</t>
  </si>
  <si>
    <t>Construction/Improvement of M.Roxas Covered Court</t>
  </si>
  <si>
    <t>Construction of Pathway at Sitio Sagkahan, Brgy. Piot</t>
  </si>
  <si>
    <t>PROVISION OF POTABLE WATER (PHASE II) AT BARANGAY PUZOL</t>
  </si>
  <si>
    <t>Construction/Establishment of Emergency Operation Center (EOC) DRRM Operation Center</t>
  </si>
  <si>
    <t>CID No. 20IC0059 (2nd re-advertisement): Const. of San Miguel Integrated Transport Terminal, San Miguel, Leyte; ABC: P14,700,000.00; 186 CD</t>
  </si>
  <si>
    <t>Construction of Flood Control/Protection at San Antonio (Sapa)</t>
  </si>
  <si>
    <t>11.	Purchase of Four (4) units Laptop for use of the Provincial  Budget Office and Provincial  Accounting Office</t>
  </si>
  <si>
    <t>Rehabilitation of Magallanes Medicare Community Hospital</t>
  </si>
  <si>
    <t>20KC0121: Rehabilitation/Reconstruction of National Roads with Slips, Slope Collapse and Landslide-Primary Roads Along Sayre Highway K1466+650-K1466+960 &amp; K1468+070-K1468+350, Sumilao, Bukidnon</t>
  </si>
  <si>
    <t>13.	Purchase of Other Supplies and Materials (Air Freshener Spray, Alcohol Isopropyl 70%, Bleaching Solution,    violet, etc.) for use of the GSO and PHRMO.</t>
  </si>
  <si>
    <t>Supply and Delivery of Bailing Machine (for Residual Waste)</t>
  </si>
  <si>
    <t>14.	Purchase of Office Supplies (All purpose sticker A4, 10’s/pack, glossy, All purpose sticker, matte (A4, 10’s/pack), Antivirus for 3 users, etc.) for use of the GSO, PCLEDO and PHRMO.</t>
  </si>
  <si>
    <t>Construction of Multi-Purpose Pavement at DFBDSMH (Phase II)</t>
  </si>
  <si>
    <t>20GDB0023 Supply of Materials for the Repair &amp; Maintenance of Bridges along various National Roads, Batangas 1st LD</t>
  </si>
  <si>
    <t>15.	Purchase of Other Supplies (Angle Bar, 1/8 “ x 1”, Angel Valve ½, Barrel Bolt 2”, stainless, etc. for use in the maintenance of Provincial Sports Complex.</t>
  </si>
  <si>
    <t>16.	Purchase of Guide 232-70-12420, Guide 232-70-12430, Bolt 01010-51435, etc. for the repair and maintenance of RP Grader with plate no. 7-N1-23 &amp; property no. 1710CHE004.</t>
  </si>
  <si>
    <t>Construction of Warehouse at PEO/PGSO</t>
  </si>
  <si>
    <t>SUPPLY OF VARIOUS OFFICE SUPPLIES</t>
  </si>
  <si>
    <t>CLUSTER I - Irosin, Sorsogon</t>
  </si>
  <si>
    <t>CLUSTER III - Castilla, Sorsogon</t>
  </si>
  <si>
    <t>20KC0122: Preventive Maintenance of Road: Asphalt Overlay Along Sayre Highway K1438+210-K1439+554, Manolo Fortich, Bukidnon</t>
  </si>
  <si>
    <t>19.	Purchase of Asphalt 85/100, Sand, Gravel G-1, etc. for the repair and maintenance of various Prov’l. Roads, Highways and Bridges.</t>
  </si>
  <si>
    <t>18.	Purchase of 2 “o GI Pipe schedule 40, 0.4mm x 4 x 8 Plain GI Sheet, 1/8 x 1 Flat Bar, etc.) for use in the installation of signages at Provincial bridges in Taysan, Batangas.</t>
  </si>
  <si>
    <t>Construction of Public Washroom at Barangay Chavayan</t>
  </si>
  <si>
    <t>Construction of MPDP Shed and Rehabilitation of Retaining Wall/Flood Control</t>
  </si>
  <si>
    <t>20KC0123: Widening of Permanent Bridge Kilisawon Br. (B01441MN) Along Maramag-Maradugao Rd. Phase II, Pangantucan, Bukidnon</t>
  </si>
  <si>
    <t>20CE0207: Widening of Permanent Bridges Manicla Br. (B01968LZ) along Daang Maharlika (LZ)</t>
  </si>
  <si>
    <t>20.	Repair and maintenance of various RP Heavy Equipments. (For RP Grader 7-N1-25 with property no. 1907-CHE-003 and RP Grader 7-N1-26 with property no. 1907-CHE-004)</t>
  </si>
  <si>
    <t>CLUSTER II - Magallanes &amp; Sta. Magdalena, Sorsogon</t>
  </si>
  <si>
    <t>Construction of Sabtang Community Hospital-Punch List &amp; Take-Over Items (Phase I)</t>
  </si>
  <si>
    <t>Completion of Sinakan Day Care Center</t>
  </si>
  <si>
    <t>22.	Purchase of Ready Mix Concrete 3000 psi G-1 @14 days for Brgy. Palanca, San Jose Batangas, Brgy.  Bungahan, Cuenca and Brgy. Natunuan, San Jose Batangas for the repair and maintenance of various P</t>
  </si>
  <si>
    <t>20KC0125: Construction of Water System, Mindanao Army Training Group, TRADOC, PA, Kibaritan Military Reservation, Kalilangan, Bukidnon</t>
  </si>
  <si>
    <t>20KC0124: Widening of Permanent Bridge Lantay Br. (B01442MN) Along Maramag-Maradugao Rd. Phase II, Pangantucan, Bukidnon</t>
  </si>
  <si>
    <t>17.	Purchase of Ready Mix Concrete 3000 psi G-1 @14 days for Brgy. Boboy San Luis and Brgy. Manalupang, Bauan, Batangas for the repair and maintenance of various Prov’l. Roads, Highways and Bridges.</t>
  </si>
  <si>
    <t>20LD0127 -Repair/Maintenance of Pilan River Revetment 1 (Ceboley Section) at Brgy. Zone III, Sta. Cruz, Davao del Sur, Sta. 0+000 to Sta. O+032</t>
  </si>
  <si>
    <t>21.	Purchase of 16mmØ RSB, 12mmØ RSB, GI Tie Wires #16, etc. for the repair and maintenance of various Prov’l roads, Province of Batangas.</t>
  </si>
  <si>
    <t>Contract ID No.: 20OB0010 Contract Name: Construction (Completion) of Multi-Purpose Building including Facilities, Brgy. West Crame, San Juan City</t>
  </si>
  <si>
    <t>24.	Supply and Installation of Spare Parts (Clutch Disc, Pressure Plate, Release Bearing, etc.) for the repair and maintenance of RP Mini Dump Truck (SINO Truck) with property no. 1711-CHE-007</t>
  </si>
  <si>
    <t>CLUSTER IV - Juban, Sorsogon</t>
  </si>
  <si>
    <t>Piping System Interconnecting Water Tanks at Sitio Tukon, Barangay Sinakan</t>
  </si>
  <si>
    <t>Repair/Restoration of Historical/Cultural Site/ Property (San Vicente Ferrer Church)</t>
  </si>
  <si>
    <t>Contract ID No.: 20OB0314 Contract Name: Construction of 4-Storey 8 Classroom Building with Roof deck including Site Development in Barangay Dela Paz Elementary School, Barangay Dela Paz, Pasig City</t>
  </si>
  <si>
    <t>23.	Purchase of Ready Mix Concrete 3000 psi G-1 @7 days for Brgy. Gulod, Calatagan, Batangas and Brgy. Binubusan, Lian, Batangas for the repair and maintenance of various Prov’l. Roads, Highways and B</t>
  </si>
  <si>
    <t>INVITATION TO BID FOR THE  PROCUREMENT OF 1 UNIT RISOGRAPH MACHINE RHU, STA. FE, LEYTE (REBID) (BDG-2020-01R)</t>
  </si>
  <si>
    <t>26.	Purchase of One (1) unit Manual Thermoplastic Road Marking Machine for the maintenance of various Provincial roads in the Province of Batangas.</t>
  </si>
  <si>
    <t>25.	Purchase of Spare Parts (O-ring 07000-12055, Seal Dust 707-56-30-510, O-ring 07000-02060, etc.) for the repair and maintenance of various heavy equipments. (Komatsu Grader 7-N1-21, property no. 94</t>
  </si>
  <si>
    <t>Supply and Delivery of 2,085 bags Hybrid Yellow Corn Seeds Total ABC: Php9,382,500.00</t>
  </si>
  <si>
    <t>Supply and Delivery of 2 units Hauling Trucks ABC: Php4,000,000.00</t>
  </si>
  <si>
    <t>27.	Purchase of One (1) unit Asphalt Kettle for the maintenance of various Provincial roads in the Province of Batangas.</t>
  </si>
  <si>
    <t>Rehabilitation of San Vicente (Poblacion) Port Restroom</t>
  </si>
  <si>
    <t>Dredging / Deepening of Buwaya Creek and its Vicinities, (Inside Camp Aguinaldo) District III, Quezon City</t>
  </si>
  <si>
    <t>Procurement of Supplies and Materials use in Waterworks System</t>
  </si>
  <si>
    <t>20CE0208: Replacement of Permanent Weak Bridges Amawinan Br. (B01981LZ) along Daang Maharlika (LZ)</t>
  </si>
  <si>
    <t>Improvement of Saranai Creek (Phase II) District I, Caloocan City</t>
  </si>
  <si>
    <t>Construction of 4 units Organic Fertilizer Production Facility Prototype C ABC: Php2,000,000.00</t>
  </si>
  <si>
    <t>CLUSTER V - Matnog &amp; Sta. Magdalena, Sorsogon</t>
  </si>
  <si>
    <t>CLUSTER VI - Donsol &amp; Castilla, Sorsogon</t>
  </si>
  <si>
    <t>INVITATION TO BID FOR THE  PROCUREMENT OF 2 UNITS FOGGING MACHINE,  STA. FE, LEYTE (BDG-2020-02)</t>
  </si>
  <si>
    <t xml:space="preserve">20FN0091 Construction/Repair/Rehabilitation/Improvement of Various Infrastructure Including Local Project – Local Roads Concreting of Local Road from San Vicente-Neighborhood-Bacolod, Bato, Camarines </t>
  </si>
  <si>
    <t xml:space="preserve">20FN0092 Construction/Repair/Rehabilitation/Improvement of Various Infrastructure including Local Project – Local Roads Concreting Neighborhood Bacolod – San Vicente Road, Barangay San Vicente, Bato, </t>
  </si>
  <si>
    <t>KABALIKAT  SA EDUKASYON : MOBILE AHA! ( Mobile Library)</t>
  </si>
  <si>
    <t>FURNISHING OF LABOR AND MATERIALS FOR THE RIP RAPPING</t>
  </si>
  <si>
    <t>Improvement / Maintenance of Blumentritt Interceptor and Vicinities, Sampaloc, District IV, Manila</t>
  </si>
  <si>
    <t>JOB FAIR</t>
  </si>
  <si>
    <t>Desilting / Cleaning of Pacheco Drainage Main, Tondo, District I, Manila</t>
  </si>
  <si>
    <t>CLUSTER VII - Bulan, Sorsogon</t>
  </si>
  <si>
    <t>CLUSTER IX - Gubat, Sorsogon</t>
  </si>
  <si>
    <t>Rehabilitation / Bank Improvement of Estero De Magdalena Tondo, District II, Manila</t>
  </si>
  <si>
    <t>Improvement of Casili Creek, District II, Caloocan City</t>
  </si>
  <si>
    <t>Construction of Covered Court in Tabao-Ambil</t>
  </si>
  <si>
    <t>Construction of Manpower Development Center (Alternative Learning System-ALS) at Brgy. Poblacion, San Andres, Quezon</t>
  </si>
  <si>
    <t>20LG0119 - Construction of Rain Water Collector System (RWCS), Davao Oriental 2nd District Engineering Office, Davao Oriental</t>
  </si>
  <si>
    <t>Construction of RHU Laboratory at Brgy. Poblacion, San Andres, Quezon</t>
  </si>
  <si>
    <t>CLUSTER VIII - Irosin &amp; Bulusan, Sorsogon</t>
  </si>
  <si>
    <t>Improvement of Catmon-Niugan Creek, Malabon City</t>
  </si>
  <si>
    <t>Rehabilitation of Drainage System at Brgy. Poblacion San Andres, Quezon</t>
  </si>
  <si>
    <t>Construction of Barangay Health Station in Sitio Yugno,  Brgy. Camflora, San Andres, Quezon</t>
  </si>
  <si>
    <t>20DC0197 - LOCAL PROGRAM, Local Infrastructure Program, Buildings And Other Structures, Multipurpose/Facilities, Repair/Rehabilitation/Improvement of Multi Purpose Building, Brgy. Salvador Agito, Alit</t>
  </si>
  <si>
    <t>20DC0200 - LOCAL PROGRAM, Local Infrastructure Program, Water Management Facilities, Water Supply, Construction (Completion)/Repair/Rehab/Improvement of Water Supply System (Level 3), Brgy. Sinturisan</t>
  </si>
  <si>
    <t>20DC0195 - LOCAL PROGRAM, Local Infrastructure Program, Buildings and Other Structures, Multipurpose/Facilities, Completion/Repair/Rehab/Improvement of Multi Purpose Building, Brgy. Pantay Bata, Tanau</t>
  </si>
  <si>
    <t>20DC0198 - LOCAL PROGRAM, Local Infrastructure Program, Buildings and Other Structures, Multipurpose/Facilities, Repair/Rehabilitation/Improvement of Multi Purpose Building, Brgy. San Miguel, Sto.Toma</t>
  </si>
  <si>
    <t>20DC0194 - LOCAL PROGRAM, Local Infrastructure Program,  Flood Control and Drainage, Drainage/Protection Works, Construction (Completion)/Repair/Rehab/Improvement of Drainage System, Brgy. Gulod, Laur</t>
  </si>
  <si>
    <t>20KC0126: Construction of Motorpool, Mindanao Army Training Group, TRADOC, PA, Kibaritan Military Reservation, Kalilangan, Bukidnon</t>
  </si>
  <si>
    <t>SUPPLY AND DELIVERY OF VARIOUS ANIMAL FEEDS AND FEED INGREDIENTS FOR CLIARC UPLAND, HILLYLAND AND LOWLAND UNDER LIVESTOCK PROGRAM CY 2020</t>
  </si>
  <si>
    <t>SUPPLY AND DELIVERY OF 50,683 BAGS UREA FERTILIZER (46-0-0) TO COMPLEMENT INBRED SEEDS UNDER RCEF FOR DRY SEASON 2020-2021 UNDER RICE PROGRAM FOR CY 2020</t>
  </si>
  <si>
    <t>2020-04-0041 (Contract ID No. 20GHN0001) Supply of Thermoplastic Paint Materials</t>
  </si>
  <si>
    <t>20DC0199 - LOCAL PROGRAM, Local Infrastructure Program, Buildings and Other Structures, Multipurpose/Facilities, Construction (Completion)/Repair/Rehab/Improvement of Multi-Purpose Building, Brgy. San</t>
  </si>
  <si>
    <t>CID No. 20IC0067 (2nd re-advertisement): Const. of Two (2) Storey School Building, EVSU, Tanauan Campus, Tanauan, Leyte; ABC: P8,820,000.00; 140 CD</t>
  </si>
  <si>
    <t>20DC0193 - LOCAL PROGRAM,  Local Infrastructure  Program, Buildings and Other Structures, Multipurpose/Facilities, Completion/Repair/Rehab/Improvement of Multi Purpose Building, Brgy. Dalipit West, Cu</t>
  </si>
  <si>
    <t>SUPPLY AND DELIVERY OF ONE HUNDRED FIFTY THOUSAND (150,000) KILOGRAMS OF SEAWEED SEEDLINGS (Kappaphycus alvarezii)</t>
  </si>
  <si>
    <t>CID No. 20IC0068 (2nd re-advertisement): Const. of Ground Water Tank with PE Liner, San Miguel, Leyte; ABC: P8,820,000.00; 216 CD</t>
  </si>
  <si>
    <t>20DC0196 - LOCAL PROGRAM, Local Infrastructure Program, Water Management Facilities, Water Supply, Construction (Completion)/Repair/Rehab/Improvement of Water System, Malvar National High School, Brgy</t>
  </si>
  <si>
    <t>CID No. 20IC0065 (2nd re-advertisement): Const. of San Miguel Waterworks System Level III, Cabac-an Watershed, Brgy. Bahay, San Miguel, Leyte; ABC: P14,700,000.00; 279 CD</t>
  </si>
  <si>
    <t>Repair of Brgy. Wharf</t>
  </si>
  <si>
    <t>SUPPLY AND DELIVERY OF 2 UNITS HAULING TRUCK IN SUPPORT TO PROGRAM MANAGEMENT OF CORN PROGRAM FOR CY 2020</t>
  </si>
  <si>
    <t>CID No. 20IC0066 (2nd re-advertisement): Rd Rehab. &amp; Drainage Line Const. of Brgy. Rd from Maharlika Hwy to Police RO 8 Gate 2, Camp Kangleon, Campetic, Palo, Leyte; ABC: P13,720,000.00; 105 CD</t>
  </si>
  <si>
    <t>CID No. 20IC0064 (2nd re-advertisement): Const. of San Miguel Waterworks System III, Catambag Watershed, Brgy. Caraycaray, San Miguel, Leyte; ABC: P14,700,000.00; 279 CD</t>
  </si>
  <si>
    <t>20PF0065: Construction/Rehabilitation of Water Supply/Septage and Sewerage/Rain Water Collector Systems CY 2020</t>
  </si>
  <si>
    <t>CID No. 20IC0069 (2nd re-advertisement): Reconst. of Tolosa Public Market, Brgy. Telegrafo, Tolosa, Leyte; ABC: P4,975,000.00; 120 CD</t>
  </si>
  <si>
    <t>20PF0064: Rehabilitation / Restoration of Road Slip along Gov. Bado Dangwa National Road, K0347+490 - K0347+545, Pulag, Gambang, Bakun, Benguet</t>
  </si>
  <si>
    <t>CID No. 20IC0070 (2nd re-advertisement): Const. of Covered Court, Brgy. Quilao, Tolosa, Leyte; ABC: P2,970,000.00; 55 CD</t>
  </si>
  <si>
    <t>Procurement of Materials and Supplies for Pro-poor Project at North Section (Brgy. Sto. Niño to Dumlog) - PR 2020-05-044</t>
  </si>
  <si>
    <t>20GA0164-Construction of Multi-Purpose Building  In Brgy. Ondoy, Ibajay, Aklan</t>
  </si>
  <si>
    <t>SUPPLY AND DELIVERY OF INFORMATION TECHNOLOGY (IT) AND OFFICE EQUIPMENT</t>
  </si>
  <si>
    <t>20GA0174-Construction of Multi-Purpose Building Brgy. Manoc-manoc, Malay, Aklan</t>
  </si>
  <si>
    <t>20F00122 - OO1: Ensure Safe and Reliable National Road System – Bridge Program – Widening of Permanent Bridges – Magsaysay Br. (B00474LZ) along MT Villanueva Ave-Magsaysay Road, Naga City, Camarines S</t>
  </si>
  <si>
    <t>20F00113 - Local Program – Construction/Repair/Rehabilitation/Improvement of Various Infrastructure including Local Projects – Local Roads and Bridges – Local Roads – Construction of Pasacao-Balatan C</t>
  </si>
  <si>
    <t>20F00110 - Local Program – Construction/Repair/Rehabilitation/Improvement of Various Infrastructure including Local Projects – Local Roads and Bridges – Local Roads – Construction of Pasacao-Balatan C</t>
  </si>
  <si>
    <t>20GA0158-Construction of Multi-Purpose Building Brgy. Cabugao, Ibajay, Aklan</t>
  </si>
  <si>
    <t>20F00059 (re-advertisement) - OO1: Ensure Safe and Reliable National Road System – Network Development Program – Road Widening – Secondary Roads, Masbate-Cataingan-Placer Road, Cataingan, Masbate (3rd</t>
  </si>
  <si>
    <t>20F00123 - OO1: Ensure Safe and Reliable National Road System – Bridge Program – Widening of Permanent Bridges – Pili Airport Br. (B00418LZ) along Pili Airport Road, Pili, Camarines Sur 3rd Legislativ</t>
  </si>
  <si>
    <t>20GA0169-Construction of Multi-Purpose Building  in Brgy. Gibon, Nabas, Aklan</t>
  </si>
  <si>
    <t>Procurement of Agricultural Products (Crop Production Support)</t>
  </si>
  <si>
    <t>20F00108 - Convergence and Special Support Program – Construction/Improvement of Access Roads Leading to Declared Tourism Destinations – Pasacao-Balatan Tourism Coastal Highway Leading to Pasacao Port</t>
  </si>
  <si>
    <t>Procurement of Various Office Supplies,  Customized Logbooks &amp; Forms and ICT Consumables</t>
  </si>
  <si>
    <t>20F00075 - OO1: Ensure Safe and Reliable National Road System – Network Development Program – Construction of By-Pass and Diversion Roads – Naga-Jct. Magarao-Canaman-Libmanan Jct. PPH Road (Skybridge)</t>
  </si>
  <si>
    <t>20GA0176-Rehabilitation of MPB (Makato Municipal Hall) Brgy. Poblacion, Makato, Aklan</t>
  </si>
  <si>
    <t>Proposed Installation Motorized Roll Ups Door at San Pablo City Shopping Mall and Public Market, San Pablo City.</t>
  </si>
  <si>
    <t>Improvement of SILAG-PACANG Communal Irrigation System</t>
  </si>
  <si>
    <t>20GA0180-Construction of Multi-Purpose Building Brgy. Maloco, Ibajay, Aklan</t>
  </si>
  <si>
    <t>B-015-2020 SUPPLY AND DELIVERY OF 1 SET DESKTOP COMPUTER WITH COMPLETE ACCESSORIES - REBID</t>
  </si>
  <si>
    <t>FERTILIZERS AND SEEDS FOR URBAN AGRICULTURE GARDENING</t>
  </si>
  <si>
    <t>PURCHASE OF CONFERENCE TABLE</t>
  </si>
  <si>
    <t>CONDUCT OF SONAR SURVEY</t>
  </si>
  <si>
    <t>Completion of Multi-Purpose Building (Covered Court) at Barangay Baluc</t>
  </si>
  <si>
    <t>B-014-2020 SUPPLY AND DELIVERY OF 1 LOT VARIOUS OFFICE EQUIPMENT - REBID</t>
  </si>
  <si>
    <t>Rehabilitation/Construction/Improvement/Upgrade/Completion/Expansion of Barangay Health Stations/Rural Health Unit Bascaran, Daraga, Albay</t>
  </si>
  <si>
    <t>B-010-2020-A SUPPLY AND DELIVERY 1 LOT OFFICE FURNITURE, FIXTURES AND EQUIPMENT - REBID</t>
  </si>
  <si>
    <t>20EB0122: Repair/Maintenance of Bato Ili Flood Control, Brgy. Monte Claro, San Jose, Occidental Mindoro</t>
  </si>
  <si>
    <t>Proposed Construction of Stockroom for CTO / CGSO at Brgy. San Gabriel, San Pablo City.</t>
  </si>
  <si>
    <t>20EB0119-R1: Construction of Bridge, Sitio Maasim, Brgy. 9 Payompon, Mamburao, Occidental Mindoro</t>
  </si>
  <si>
    <t>B-031-2020  SUPPLY AND DELIVERY OF 1 LOT DIPLOMA JACKET</t>
  </si>
  <si>
    <t>Rehabilitation/Construction/Improvement/Upgrade/Completion/Expansion of Barangay Health Stations/Rural Health Unit Em's Barrio 2 South, Legazpi City</t>
  </si>
  <si>
    <t>Contract ID Number 20FD0065 CONCRETING OF BRGY. NAPOLIDAN TO BRGY. BUENASUERTE FMR, BRGY. NAPOLIDAN AND BRGY. BUENASUERTE, LUPI, CAMARINES SUR</t>
  </si>
  <si>
    <t>B-030-2020 SUPPLY AND DELIVERY OF 1 LOT COMPUTER SET - MONITOR &amp; CPU WITH ACCESSORIES</t>
  </si>
  <si>
    <t>20GN0090-Constructions/Rehabilitation of Water Supply/Septage and Sewerage/Rain Water Collectors</t>
  </si>
  <si>
    <t>20EB0123: Repair/Maintenance of Tilik  Flood Control, Lubang, Occidental Mindoro</t>
  </si>
  <si>
    <t>20EB0124: Cluster 2020RWCS-01: Construction of various Rainwater Collection System (RWCS)</t>
  </si>
  <si>
    <t>AGR-20-0478-B Purchase of Agricultural Machinery &amp; Equipment</t>
  </si>
  <si>
    <t>20BF0055: Rehabilitation of Burgos Public Market, Brgy. San Antonino, Burgos, Isabela</t>
  </si>
  <si>
    <t>Supply and Delivery of Various Spare Parts (for use of 25 units Isuzu Dumptrucks)</t>
  </si>
  <si>
    <t>Supply and Delivery of Spare Parts (for use of Backhoe Hitachi No. 2010-04)</t>
  </si>
  <si>
    <t>20BF0056: Construction and/or Repair/Rehabilitation of Multi-Purpose Building, Brgy. Rizal, Roxas, Isabela</t>
  </si>
  <si>
    <t>Proposed Barangay Quadrangle Stage, Brgy. Cabugao Viejo, San Enrique, Iloilo</t>
  </si>
  <si>
    <t>Procurement of Various Agricultural Products-05-051(M)OPAG</t>
  </si>
  <si>
    <t>Supply and Delivery of One (1) unit Genset, 75 KVA, Open Type with Complete Accessories and Battery</t>
  </si>
  <si>
    <t>Rehabilitation and Improvement of Barangay San Jose Water Supply System, Sipalay City, Negros Occidental</t>
  </si>
  <si>
    <t>AGR-20-0479-B Purchase of Agricultural Machinery &amp; Equipment</t>
  </si>
  <si>
    <t>Purchase of Office Equipments for LGU 1st Quarter &amp; 2nd Quarter</t>
  </si>
  <si>
    <t>20IK0093- Repair/Maint. of Drainage Canal along Wright-Taft-Borongan Road, Brgy. Campo 1, Paranas, Samar</t>
  </si>
  <si>
    <t>Reconstruction of One (1) unit, Three (3) Classroom School Building</t>
  </si>
  <si>
    <t>Pavement Markings at Binalonan – San Manuel Road</t>
  </si>
  <si>
    <t>Supply and Delivery of Various Materials for the Implementation of Maintenance of National Roads and Bridges under 71X Special Maintenance (Part of AMWP 2020 under Work Category No. 18-Traffic Service</t>
  </si>
  <si>
    <t>Repair of Four (4) School Buildings at Pasibi-Bituag E/S, Urbiztondo, Pangasinan</t>
  </si>
  <si>
    <t>Construction of Standard One (1) unit, Two (2) Classroom School Building at Siaosio E/S</t>
  </si>
  <si>
    <t>Repair/Rehabilitation of Covered Court Gymnasium at Brgy. Malico, E/S Compound</t>
  </si>
  <si>
    <t>Construction of One (1) unit, Two (2) Classroom Second Floor at Ambonao E/S</t>
  </si>
  <si>
    <t>FURNISHING OF LABOR, MATERIALS AND EQUIPMENT RENTALS FOR THE CONTINUING IMPROVEMENT OF MUNICIPAL RURAL HEALTH CENTER AND BIRTHING CENTER LOCATED AT BRGY. 5, POBLACION, TIGBAUAN, ILOILO.</t>
  </si>
  <si>
    <t>Purchase of One (1) unit Brand New Pick-up Type Vehicle (4x4 Automatic) for Sangguniang Panlungsod.</t>
  </si>
  <si>
    <t>20IK0094- Repair/Maint. of Drainage Canal along Wright-Taft-Borongan Road, Brgy. San Isidro, Paranas, Samar</t>
  </si>
  <si>
    <t>Assorted GOODS to be given to various Barangays and Schools.</t>
  </si>
  <si>
    <t>Procurement of Full Color Production Printer</t>
  </si>
  <si>
    <t>Procurement of Various Agricultural Equipment-05-050(M)OPAG</t>
  </si>
  <si>
    <t>Supply &amp; Delivery of Office Equipment</t>
  </si>
  <si>
    <t>Supply and Delivery of Various Spare Parts (for use of Backhoe EX120, 2012-07)</t>
  </si>
  <si>
    <t>NNP-2020-VI-22-01F TIRES, BATTERY AND SPAREPARTS (GSO0</t>
  </si>
  <si>
    <t>20IK0096- Repair/Maintenance of DPWH Building BOE Area Equipment Section II- Main Repair Shop (Mezzanine Bldg), Brgy. Maulong, Catbalogan City</t>
  </si>
  <si>
    <t>Supply and Delivery of Vehicle Hire for the period of June 15 - August 1, 2020</t>
  </si>
  <si>
    <t>20IK0097- Installation of Road Safety Facilities along National Roads w/in the Jurisdiction of DPWH, Samar II DEO, Catbalogan City</t>
  </si>
  <si>
    <t>Concreting of Brgy. Cupang-Bagong Barrio FMR, Brgy. Cupang &amp; Brgy. Bagong Barrio, Pandi, Bulacan</t>
  </si>
  <si>
    <t>AGR-20-0476-B Purchase of Agricultural Machinery &amp; Equipment</t>
  </si>
  <si>
    <t>REHABILITATION/IMPROVEMENT OF ECOLOGICAL ACCESS ROAD</t>
  </si>
  <si>
    <t>Concreting of Brgy. Sto. Nino FMR, Brgy. Sto. Nino, Pandi, Bulacan</t>
  </si>
  <si>
    <t>Construction of Disaster Operation Center</t>
  </si>
  <si>
    <t>20GBF0002: Purchase &amp; Delivery of Materials for Installation/Application of Reflectorized Thermoplastic Pavement Markings along STR, GRR, IDAMR, Within the District</t>
  </si>
  <si>
    <t>20IK0095- Repair/Maint. of Drainage Canal along Daang Maharlika, Brgy. Maulong, Catbalogan City</t>
  </si>
  <si>
    <t>Repair/Maintenance of Flood Control Structures along Angat River Balite Section, Calumpit, Bulacan</t>
  </si>
  <si>
    <t>PROCUREMENT OF 1-UNIT, 4 WHEELERS, 11 FOOTER 3.0 LIT DROPSIDE BODY (BRAND NEW) VEHICLE FOR THE USE OF MENRO, TIGBAUAN, ILOILO.(Re-Bid)</t>
  </si>
  <si>
    <t>Supply and Delivery of Inflatable Rescue Boat for use of PDRRMO  (2nd Bid)</t>
  </si>
  <si>
    <t>Repair/Maintenance of DPWH Building Warehouse &amp; Repair Bay Bulacan I DEO, Malolos City, Bulacan</t>
  </si>
  <si>
    <t>Concreting of Purok Gitna, Brgy. Manatal FMR, Brgy. Manatal, Pandi, Bulacan</t>
  </si>
  <si>
    <t>Repair/Maintenance of Flood Control Structures along Angat River Parulan Section, Plaridel, Bulacan</t>
  </si>
  <si>
    <t>Repair/Maintenance of DPWH Building DE’s Office &amp; various Offices Bulacan I DEO, Malolos City, Bulacan</t>
  </si>
  <si>
    <t>Supply and Delivery of  Operations Equipment, Search, Rescue and Retrieval and Rapid Telecommunication Equipment for use of the PDRRMO (2nd Bid)</t>
  </si>
  <si>
    <t>Concreting of Purok 5, Camaling, brgy. Pungo FMR, Brgy. Pungo, Calumpit, Bulacan</t>
  </si>
  <si>
    <t>Concreting of Purok 2 to Purok 7, brgy. Gugo FMR, Brgy. Gugo, Calumpit, Bulacan</t>
  </si>
  <si>
    <t>Purchase of 1-unit Mobile Clinic</t>
  </si>
  <si>
    <t>Repair/Maintenance of DILG Building PNP Station Building, Poblacion, Paombong, Bulacan</t>
  </si>
  <si>
    <t>SUPPLY AND DELIVERY OF BRAND NEW GARBAGE COMPACTOR TRUCK FOR SOLID WASTE MANAGEMENT IN THE MUNICIPALITY OF TULUNAN, COTABATO</t>
  </si>
  <si>
    <t>Supply and Delivery of Customized Mobile Kitchen for use of the PDRRMO (2nd Bid)</t>
  </si>
  <si>
    <t>PURCHASE OF ONE UNIT RESCUE/ MULTI-PURPOSE VEHICLE OF BARANGAY MAMBUGSAY, CAUAYAN, NEGROS OCCIDENTAL</t>
  </si>
  <si>
    <t>Purchase and Delivery of Three (3) Units Brand New Van</t>
  </si>
  <si>
    <t>Procurement of Rescue Vehicle</t>
  </si>
  <si>
    <t>Improvement of Brgy. Lunga Drainage Canal</t>
  </si>
  <si>
    <t>20GAA0062: Procurement of One (1) unit CORS Reference Station and One (1) unit GNSS RTK Rover with Controller for use at Planning &amp; Design Section, DPWH-INFDEO, Laoag City</t>
  </si>
  <si>
    <t>Consulting Services for CLUP Formulation</t>
  </si>
  <si>
    <t>Supply and Delivery of Office Equipment for use of Different Offices of the PGOM</t>
  </si>
  <si>
    <t>INVITATION TO BID FOR THE SUPPLY AND DELIVERY OF 1 UNIT DOUBLE-CAB-TYPE MULTI-PURPOSE VEHICLE WITH ACCESSORIES AND REAR AIRCONDITION  FOR CSWDO, OROQUIETA CITY (SECOND NOTICE)</t>
  </si>
  <si>
    <t>Supply and Delivery of Multimedia Projectors (PR No. 2020-02-0185, 2020-02-0299, 2020-02-0152, 2020-02-0339, 2020-02-0270, 2020-02-0299, 2020-02-0261)</t>
  </si>
  <si>
    <t>Completion of Highway Junction Tumbaga Road</t>
  </si>
  <si>
    <t>SUPPLY AND DELIVERY OF VARIOUS MATERIALS, FUEL AND OIL FOR GRAVELLING/MAINTENANCE OF BARANGAY ROADS</t>
  </si>
  <si>
    <t>Materials for the Concreting of Barangay roads</t>
  </si>
  <si>
    <t>Supply and Delivery of Photocopiers (PR No. 2020-02-0415, 2020-02-0242)</t>
  </si>
  <si>
    <t>Concreting of City Road (Bayuga Street)</t>
  </si>
  <si>
    <t>PROVISION OF 10 MBPS INTERNET SERVICES WITH COMMITTED INFORMATION RATE TO MSU-TCTO</t>
  </si>
  <si>
    <t>Concreting of City Road (Purok 4)</t>
  </si>
  <si>
    <t>Supply and Delivery of Office Equipment (PR No. 2020-02-0311, 2020-02-0380, 2020-02-0273, 2020-01-0141)</t>
  </si>
  <si>
    <t>PROCUREMENT OF ONLINE STUDENT ADMISSION &amp; ENROLLMENT SYSTEM</t>
  </si>
  <si>
    <t>Completion of Evacuation Center</t>
  </si>
  <si>
    <t>Concreting of Local Roads</t>
  </si>
  <si>
    <t>Procurement of Materials &amp; Labor for the Project Installation of Solar Street Lights (Procurement of Goods)</t>
  </si>
  <si>
    <t>CONCRETING OF PATHWAY AT PUROK 1</t>
  </si>
  <si>
    <t>Construction of Composting Facility for Biodegradable Waste</t>
  </si>
  <si>
    <t>20GA00001: Supply and Delivery of Ground Penetrating Radar (GPR) for use in the Planning &amp; Design Division, DPWH-Regional Office I, City of San Fernando, La Union</t>
  </si>
  <si>
    <t>20KB0138 Re - Construction of Multi-Purpose Building, Brgy. Tandong, Kitaotao, Bukidnon</t>
  </si>
  <si>
    <t>20KB0159   Repair/Maintenance of DPWH Building New Guardhouse Entrance with Perimeter Fence  :	Pinamaloy, Don Carlos, Bukidnon</t>
  </si>
  <si>
    <t>Improvement of Farm to Market Road at Sitio Imee, Brgy. Imelda</t>
  </si>
  <si>
    <t>Construction of Water Supply System Level 3 Phase 2 (Cansolabao Sitio Arizona)</t>
  </si>
  <si>
    <t>Replacement of Windows at College Building</t>
  </si>
  <si>
    <t>Construction of Multi-purpose Building (Agricultural Training Institute)</t>
  </si>
  <si>
    <t>Improvement and Concreting of FMR (Binubucalan to Canano) Phase 2</t>
  </si>
  <si>
    <t>20KB0161   Repair/Maintenance of Kianggat Mini-dam  :	Kianggat, Dangcagan, Bukidnon</t>
  </si>
  <si>
    <t>Construction of Slope Protection at Sitio Filipinas, Brgy. Valdez</t>
  </si>
  <si>
    <t>Procurement of Office Supplies for Reproduction of Modules &amp; Other Learning Materials for the First Semester S.Y 2020- 2021 use at ESSU Main Campus (PR# 2020-OSPM-177)</t>
  </si>
  <si>
    <t>Concreting of Diangas to Guimotan Road</t>
  </si>
  <si>
    <t>20KB0160   Repair/Maintenance of DPWH Building Ver Overview Field Office  :	Overview, Palacapao, Quezon, Bukidnon</t>
  </si>
  <si>
    <t>Rehabilitation of Slaughter House</t>
  </si>
  <si>
    <t>B20200182 - RURAL ELECTRIFICATION AT RAMADA COMPOUND, STO NINO, CUMABUGAN, TAGUM CITY, DDN</t>
  </si>
  <si>
    <t>B20200181 - CONSTRUCTION OF POTABLE WATER SYSTEM, PUROK 6 (REVISED) AT BRGY. SANTIAGO, ASUNCION, DDN</t>
  </si>
  <si>
    <t>(20GNH0004) Supply and Delivery of Road Safety Signages and Thermoplastic Materials for Installation along SDCR, Aras-asan Diversion Road and Payasan-Los Arcos Road (Intermittent Sections) K1296+200-K</t>
  </si>
  <si>
    <t>Repair of the ORC Building</t>
  </si>
  <si>
    <t>REHABILITATION OF FLOOD CONTROL AT POBLACION</t>
  </si>
  <si>
    <t>Purchase of 60 Heads Female Carabao for the used of integrated Carabao  based Production project</t>
  </si>
  <si>
    <t>Construction of Two Units Makeshift Building for Livelihood Project in Sitio Limite, Brgy. Daja Daku, San Isidro, Leyte, ABC PHP1,318,234.84</t>
  </si>
  <si>
    <t>Rehabilitation/ Upgrading of Aranaar FMR (Calantac, Alcala, Cagayan)</t>
  </si>
  <si>
    <t>Establishment of Fish and Cacao Processing Project in Zamboanga Del Norte</t>
  </si>
  <si>
    <t>SUPPLY &amp; DELIVERY OF AGRICULTURAL MACHINERIES AND EQUIPMENT</t>
  </si>
  <si>
    <t>CLUSTER 13 INFRASTRUCTURE PROJECT</t>
  </si>
  <si>
    <t>IMPROVEMENT OF SB BUILDING -MUNICIPAL GROUND, BRGY.POB.3</t>
  </si>
  <si>
    <t>Construction of Gender Appropriate Toilet</t>
  </si>
  <si>
    <t>SUPPLY AND DELIVERY OF VARIOUS SUPPLIES FOR VARIOUS OFFICES</t>
  </si>
  <si>
    <t>B20200199 - ESTABLISHMENT OF MULTIPLIER FARM PROJECT (PHASE 2)</t>
  </si>
  <si>
    <t>Construction of Level II Water System in Barangay B.del Mundo (11,460.00 Linear Meter for Pipe Laying)</t>
  </si>
  <si>
    <t>CLUSTER 12 INFRASTRUCTURE PROJECT</t>
  </si>
  <si>
    <t>Construction of Riprap at Paniquian Irrigation at Poblacion, Pilar, Bataan</t>
  </si>
  <si>
    <t>NNP-2020-VI-22-02F BRANDNEW VAN</t>
  </si>
  <si>
    <t>B20200198 - RENOVATION OF TEEN TAMBAYAN, DDNSC COMPOUND TAGUM CITY, DDN</t>
  </si>
  <si>
    <t>PROCUREMENT OF ICT EQUIPMENT FOR LMS &amp; ONLINE ADMISSION/REGISTRATION SYSTEM</t>
  </si>
  <si>
    <t>Widening of Eballe Street with Canal</t>
  </si>
  <si>
    <t>Purchase of Materials for the Construction of Sea Ambulance</t>
  </si>
  <si>
    <t>Concreting of Barangay Road at Brgy. Morong, Sitio Purok 7, Sariaya, Quezon</t>
  </si>
  <si>
    <t>PROCUREMENT OF RANDOM ACCESS MEMORY AND VARIOUS DATA STORAGE DEVICES</t>
  </si>
  <si>
    <t>Construction of Reinforced Concrete Box Culvert (Piggatan, Alcala, Cagayan)</t>
  </si>
  <si>
    <t>Construction of Farm to Market Road</t>
  </si>
  <si>
    <t>B20200183 - CONSTRUCTION OF BAHAY SILANGAN FOR REFORMATION OF DRUG PERSONALITIES AT BRGY. MANKILAM, TAGUM CITY, DDN</t>
  </si>
  <si>
    <t>CY 2020 ENHANCED NATIONAL GREENING PROGRAM-HARDENING –OFF ACTIVITIES UNDER MECHANIZED AND MODERNIZED FOREST NURSERY AT BANAO, GUINOBATAN, ALBAY per DENR-ENGP-MMFN-HARDENING-OFF-2020-001</t>
  </si>
  <si>
    <t>SUPPLY AND DELIVERY OF VARIOUS GROCERY ITEMS FOR DISASTER PREPAREDNESS STOCKPILE</t>
  </si>
  <si>
    <t>SUPPLY AND DELIVERY OF VARIOUS SUPPLIES FOR CITY VICE MAYOR'S OFFICE</t>
  </si>
  <si>
    <t>Construction of Power House, Negros First Food Terminal, San Juan St., Bacolod City, Negros Occidental(Re-bid)/PEO-2020-0069</t>
  </si>
  <si>
    <t>PURCHASE OF CONSTRUCTION MATERIALS FOR PROTOTYPE COVID LIGTAS ISOLATION FACILITIES</t>
  </si>
  <si>
    <t>CY 2020 ENHANCED NATIONAL GREENING PROGRAM-HARDENING –OFF ACTIVITIES UNDER MECHANIZED AND MODERNIZED FOREST NURSERY AT SOOC, LUPI, CAMARINES SUR per DENR-ENGP-MMFN-HARDENING-OFF-2020-002</t>
  </si>
  <si>
    <t>SUPPLY &amp; DELIVERY OF MEDICINES AND MEDICAL SUPPLIES</t>
  </si>
  <si>
    <t>Furnishing labor, materials and equipment rental for the Rehab./Improvement of  Waterworks System, Brgy. Bagong Silang, Sta. Cruz, Marinduque</t>
  </si>
  <si>
    <t>PROCUREMENT OF MOTOR VEHICLE (PASSENGER VAN), DR. JOSE RIZAL MEMORIAL HOSPITAL</t>
  </si>
  <si>
    <t>Furnishing labor, materials and equipment rental for the Rehabilitation/Improvement of  Brgy. Waterworks System at Balanacan, Mogpog, Marinduque</t>
  </si>
  <si>
    <t>CONSTRUCTION OF RETAINING WALL -Sitio Awas, Brgy. Tagbakin</t>
  </si>
  <si>
    <t>REHABILITATION OF FLOOD CONTROL AT PANJOBJOBAN 1</t>
  </si>
  <si>
    <t>Furnishing labor, materials and equipment for the Improvement of Brgy. Waterworks System at Brgy. Pili, Boac, Marinduque</t>
  </si>
  <si>
    <t>SUPPLY AND DELIVERY OF VARIOUS MEDICINES AND MEDICAL SUPPLIES FOR DISASTER PREPAREDNESS STOCKPILE</t>
  </si>
  <si>
    <t>Landscaping/Development Municipal Hall Plaza</t>
  </si>
  <si>
    <t>NEW CONSTRUCTION OF LEVEL II POTABLE WATER SYSTEM IN BRGY. MARASBARAS AND SAN ISIDRO</t>
  </si>
  <si>
    <t>CONSTRUCTION OF MULTI-PURPOSE BUILDING CANOPY &amp; HANGING BOARD</t>
  </si>
  <si>
    <t>Procurement of Passenger Van 2020(Repost)</t>
  </si>
  <si>
    <t>CONSTRUCTION OF MPB(TEMPORARY SHELTER/EVACUATION FACILITY/ COVERED COURT)  Brgy.  Bula, Tiaong, Quezon</t>
  </si>
  <si>
    <t>Furnishing labor, materials and equipment for the Construction of Multi-Purpose Hall (Completion of roofing of Gasan Tennis Court and construction of other related structures) at Brgy. Dos, Gasan, Mar</t>
  </si>
  <si>
    <t>Improvement of Bontoc Ili Local Access Road</t>
  </si>
  <si>
    <t>Purchase of spareparts</t>
  </si>
  <si>
    <t>Cluster 07-2020 (1. Improvement of Municipal Capitol Building 2. Restoration/Relocation of Chongliyan Water System 3. Completion of Chakalan Bontoc Ili Animal Bite Center 4. Fabrication &amp; Installation</t>
  </si>
  <si>
    <t>Furnishing labor, materials and equipment rental for the Construction of Waterworks System Phase 1, Brgy. Mongpong, Sta. Cruz, Marinduque</t>
  </si>
  <si>
    <t>SUPPLY AND DELIVERY OF TRIWHEELER FOR OFFICE USE</t>
  </si>
  <si>
    <t>INVITATION TO BID FOR Drugs and Medicines for the Month of AUGUST 2020</t>
  </si>
  <si>
    <t>Procurement of ICT Office Equipment</t>
  </si>
  <si>
    <t>Construction of Water System</t>
  </si>
  <si>
    <t>Cluster 06-2020 (1. Site Development of Municipal Slaughter House 2. Repair of Pakkil Stairway with Railings 3. Improvement of Baang Pathway 4. Improvement of Liwen-Navarangnan hanging Bridge 5. Impro</t>
  </si>
  <si>
    <t>SUPPLY AND DELIVERY OF CONSTRUCTION MATERIALS</t>
  </si>
  <si>
    <t>PROCUREMENT OF VARIOUS IT SUPPLIES/ EQUIPMENT, JANITORIAL AND ELECTRICAL SUPPLIES AND OFFICE SUPPLIES OF BFAR6 FOR CY 2020</t>
  </si>
  <si>
    <t>Furnishing labor, materials and equipment for the Improvement of Brgy. Waterworks System, Brgy. Lupac, Boac, Marinduque</t>
  </si>
  <si>
    <t>Rehabilitation of Barangay Road (Purok 2 to  Purok 3)</t>
  </si>
  <si>
    <t>20GLH0013 (P.R. No. 2020-03-021 dated 03/17/2020) - For use in Maintenance Section in connection with the repair / maintenance of national roads, 3rd Congressional District, Davao City</t>
  </si>
  <si>
    <t>Proposed Site Development and Building Improvement for Central Kitchen at Barangay Tamag, Vigan City</t>
  </si>
  <si>
    <t>20KJ0176: Construction of Classrooms (1sty 2CL), Ozamiz ES, Clarin, Misamis Occidental</t>
  </si>
  <si>
    <t>CONSTRUCTION OF SECOND FLOOR OF DAYCARE CENTER</t>
  </si>
  <si>
    <t>Electrical Power Supply Installation for the Association of Village Type Rice Mill of Grain Dryer Equipment Panel at Barangay Pantay Daya, Vigan City</t>
  </si>
  <si>
    <t>20KJ0175: Construction of Classrooms (2sty 4CL), Lupagan Elementary School, Clarin, Misamis Occidental</t>
  </si>
  <si>
    <t>Construction of Seawall from Brgy. Lagundi to Brgy. Kinaguitman</t>
  </si>
  <si>
    <t>03 units Bioreactor</t>
  </si>
  <si>
    <t>Construction of Causeway at Labuan (Revised 2)</t>
  </si>
  <si>
    <t>20KJ0178: Construction of Classrooms (3sty 9CL), Misamis Annex Integrated School, Ozamis City, Misamis Occidental</t>
  </si>
  <si>
    <t>01 unit Delivery Van with Complete Accessories</t>
  </si>
  <si>
    <t>Conversion of Speech Laboratory Classroom to Agri-Industrial Research Laboratory-Tagum City</t>
  </si>
  <si>
    <t>01 unit Water Tanker</t>
  </si>
  <si>
    <t>20KJ0174: Construction of Classrooms (2sty 10CL), Bonifacio CS, Bonifacio, Misamis Occidental</t>
  </si>
  <si>
    <t>Concreting of Road at Montesino, Sta. Maria</t>
  </si>
  <si>
    <t>SUPPLY AND DELIVERY OF OFFICE SUPPLIES, MATERIALS AND EQUIPMENT</t>
  </si>
  <si>
    <t>45 kgs. Beans, Baguio, 45 kgs. Beans, String, etc..</t>
  </si>
  <si>
    <t>20KJ0177: Construction of Classrooms (1sty 3CL), Camating ES, Tudela, Misamis Occidental</t>
  </si>
  <si>
    <t>Construction of Fence at Anuling Elementary School, Pamucutan</t>
  </si>
  <si>
    <t>Improvement of Road at Suterville, San Jose Gusu</t>
  </si>
  <si>
    <t>33 bottles Auto Transmission Fluid, 1 liter, 46 bottles Brake Fluid, 1 liter (shall comply with DOT3), etc..</t>
  </si>
  <si>
    <t>Construction of Drainage System at Canelar Moret to Johnston Compound, Canelar</t>
  </si>
  <si>
    <t>Construction/Rehabilitation of Drainage System at Tugbungan</t>
  </si>
  <si>
    <t>04 units Hammermill</t>
  </si>
  <si>
    <t>UPGRADING OF LOCAL ACCESS ROAD AT P5 GENERAL AGUINALDO, RAMON, ISABELA</t>
  </si>
  <si>
    <t>600 pcs. Bulb, 3 watts, LED, 180-264 volts, 230 lumens –daylight, 500 pcs. Bulb, 3 watts, LED, 180-264 watts, 210 lumens- warm white, etc..</t>
  </si>
  <si>
    <t>SLOPE PROTECTION (KAWKAW-AY)</t>
  </si>
  <si>
    <t>20M00079- Construction/Improvement of Various Infrastructure in Support of National Security – Construction of SK Pendatun Municipal Police Station Building, Gen. Salipada SK Pendatun, Maguindanao</t>
  </si>
  <si>
    <t>Construction of Slope Protection with Cross Drain (Box Culvert Type) at Lumayang</t>
  </si>
  <si>
    <t>20M00078- Construciton/Rehabilitation of Water Supply/Septage and Sewerage/Rain Water Collectors in Facilities; Koronadal City (5 Units), General Santos City (3 Units), Tacurong City (1 unit), Esperan</t>
  </si>
  <si>
    <t>Construction of Slope Protection at Cabaluay</t>
  </si>
  <si>
    <t>ITB for Procurement of Water Dispenser</t>
  </si>
  <si>
    <t>Concreting of Road at Lanzones</t>
  </si>
  <si>
    <t>Improvement of Barangay Hall Phase II</t>
  </si>
  <si>
    <t>Construction/Rehabilitation/Improvement of Electrification, Power and Energy Structures for City Health Office Building at Zone IV</t>
  </si>
  <si>
    <t>ITB-131 Renovation/Improvement of Boys Scout of the Philippines Building  and Facilities, Butuan City</t>
  </si>
  <si>
    <t>IB No. 2006-310 Proc. of Goods (Supply and Installation of Close Circuit Television Security)</t>
  </si>
  <si>
    <t>IB No. 2006-309 Proc. of Goods (Rabies Vaccine and Others)</t>
  </si>
  <si>
    <t>Purchase of Tires and batteries</t>
  </si>
  <si>
    <t>Construction of Multi-Purpose Hall/Center at Purok 4, Labuan</t>
  </si>
  <si>
    <t>Design and Build Procurement for the Rehabilitation (Retrofitting – Category 3) of Existing Sanitary Landfill Facility and Wastewater Treatment Facility</t>
  </si>
  <si>
    <t>ITB-GS-20200323-01 - 1 Lot Supply, Delivery and Installation of Systems Furniture for LANDBANK Malolos Highway Office Building</t>
  </si>
  <si>
    <t>FURNISHED LABOR &amp; MATERIALS FOR THE IMPROVEMENT OF RHU BUILDING-MEO-1ST POSTIN=PHP 3,000,000.00</t>
  </si>
  <si>
    <t>SUPPLY, DELIVERY, INSTALLATION, TESTING AND COMMISSIONING OF AIR CONDITIONING UNITS-(ITB No. 2020-148)-(bph-maramag and bph-kibawe)</t>
  </si>
  <si>
    <t>FURNISHED LABOR &amp; MATERALS FOR THE CONSTRUCTION OF PUBLIC MARKET 2 BRGY. TALUS, MALUNGON-MEO-1ST POSTING=PHP 2,500,000.00</t>
  </si>
  <si>
    <t>SUPPLY &amp; DELIVERY OF PC DESKTOP, DESKJET PRINTER W/ SCANNER, LAPTOP W/ LICENSE &amp; COLORED PRINTERS</t>
  </si>
  <si>
    <t>Invitation to Bid Rehab. of Multi-Purpose Hall</t>
  </si>
  <si>
    <t>Contract ID 2020-IG-018 - Procurement/Purchase of Prescribed Uniform and Personal Protective Equipment Needed for Maintenance Workers along National Roads within the DPWH, Leyte V District Engineering</t>
  </si>
  <si>
    <t>MAINTENANCE OF GUINZADAN - BANAO- ANDANUM ROAD</t>
  </si>
  <si>
    <t>SUPPLY AND DELIVERY OF HANDHELD RADIO AND RADIO BASE (ITB No. 2020-149)-(provl government of bukidnon)</t>
  </si>
  <si>
    <t>Supply and Delivery of Laptops and Other Items (2nd Bidding)</t>
  </si>
  <si>
    <t>FUEL, OIL LUBRICANTS (LGU)</t>
  </si>
  <si>
    <t>SUPPLY, DELIVERY, INSTALLATION, TESTING AND COMMISSIONING OF AIR CONDITIONING UNITS FOR THE OLD HOSPITAL BUILDING-(ITB No. 2020-146)-(provl government of bukidnon)</t>
  </si>
  <si>
    <t>Catering Services for Mayor's State of the Municipal Address</t>
  </si>
  <si>
    <t>Contract ID 2020-IG-019 - Procurement of Various Office Equipment/IT Supplies Needed for use in Maintenance Section within the DPWH, Leyte V District Engineering Office</t>
  </si>
  <si>
    <t>REHABILITATION OF UPPER DUNGYASAN COMMUNAL IRRIGATION SYSTEM</t>
  </si>
  <si>
    <t>RFQ 20GCJ0038 - Supply of Diesel Fuel for the Operation of Service Vehicles in the Inspection/Supervision, Monitoring of Projects within the 1st and 2nd District and attending of Official Business for</t>
  </si>
  <si>
    <t>INFRA 2K20-43 RENOVATION AND IMPROVEMENT OF 2- STOREY PSWD BUILDING</t>
  </si>
  <si>
    <t>Installation of 3-Phase Extension Line with Transformer, Lightings and Fixtures at NOMPAC, Aguinaldo St., Bacolod City/PEO-2020-0852</t>
  </si>
  <si>
    <t>CONSTRUCTION/REHABILITATION OF WATER SUPPLY/SEPTAGE AND SEWERAGE/RAIN WATER COLLECTORS IN PUBLIC FACILITIES – RAIN WATER COLLECTORS IN PUBLIC FACILITIES, VARIOUS LOCATIONS ALONG BENGUET FIRST DISTRICT</t>
  </si>
  <si>
    <t>PROCUREMENT OF TENT</t>
  </si>
  <si>
    <t>20FH0095 - REPAIR/REHABILITATION/RECONSTRUCTION OF SALVACION FLOOD CONTROL, SALVACION, VIGA, CATANDUANES</t>
  </si>
  <si>
    <t>20BC0167-Construction of 1 Storey 3 Classroom with CR, Canayun Elementary School, Canayun, Abulug, Cagayan</t>
  </si>
  <si>
    <t>Annual Calibration and Preventive Maintenance of Medical Equipment C.Y. 2020</t>
  </si>
  <si>
    <t>INFRA 2K20-42 CONST. OF CAPABILITY DEVELOPMENT CENTER FOR LAW ENFORCERS &amp; DISASTER RISK REDUCTION MANAGEMENT OFFICES (RENOV./IMPROV’T. OF FORMERLY ZAMBOANGA DEL SUR SPORTS ACADEMY FOR THE PROPOSED PDR</t>
  </si>
  <si>
    <t>ITB for Construction of Seawall - Cawilan</t>
  </si>
  <si>
    <t>Local Program - Rehabilitation/Improvement of along Daang Maharlika Highway Jct. Legazpi-Sto. Domingo-Camarines Sur Bdry. Road - K0528+760-K0529+533, K0530+000-K0532+616, Legazpi City</t>
  </si>
  <si>
    <t>Concre Paving of Pacol-Lacaron Road(Phase II), Rural Access (Road Upgrading), Brgy. Pacol-Lacaron, Valladolid, Neg. Occ./PEO-2020-0795</t>
  </si>
  <si>
    <t>IMPROVEMENT OF SACASACAN FMR, SADANGA</t>
  </si>
  <si>
    <t>Procurement of One (1) Unit Six Wheelers Truck Vehicle (Reconditioned)</t>
  </si>
  <si>
    <t>ITB for Construction of Drainage Canal - Brgy. Azucena</t>
  </si>
  <si>
    <t>RFQ 20GCJ0039 - Supply of Diesel Fuel for the Operation of Service Vehicles in the Inspection/Supervision, Surveying, Monitoring of Projects within the 1st and 2nd District and attending of Official B</t>
  </si>
  <si>
    <t>PROCUREMENT  OF HARDWARE MATERIALS AND EQUIPMENT RENTAL FOR THE CONSTRUCTION OF CALABANGA YOUTH AND LIVELIHOOD CENTER (PHASE 3 – COMPLETION)</t>
  </si>
  <si>
    <t>20HC0178- CONCRETING OF BRGY. BAY-ANG FMR, BRGY. BAY-ANG, UBAY, BOHOL</t>
  </si>
  <si>
    <t>20FH0094 - CONSTRUCTION/REHABILITATION OF WATER SUPPLY/SEPTAGE AND SEWERAGE/RAIN WATER COLLECTORS – RAIN WATER COLLECTORS IN PUBLIC FACILITIES AT 21 SITES, PROVINCE OF CATANDUANES</t>
  </si>
  <si>
    <t>CONSTRUCTION OF DISASTER/EVACUATION CENTER, BARANGAY BANUYO, BORONGAN CITY EASTERN SAMAR</t>
  </si>
  <si>
    <t>IMPROVEMENT OF SABANGAN DOGO ROAD</t>
  </si>
  <si>
    <t>Rehab/Repair of Slaughter House</t>
  </si>
  <si>
    <t>ITB-132 Construction and Installation of Elevator, Provincial Health  Office, Brgy. Libertad, Butuan City (REBID)</t>
  </si>
  <si>
    <t>IB 20GCJ0037 - Supply of Diesel Fuel and Unleaded Gasoline for the Operation of Service Vehicles and Heavy Equipment in the Inspection/Supervision, Surveying, Monitoring of Projects and Repair/Mainten</t>
  </si>
  <si>
    <t>IMPROVEMENT OF TSAT SAGANG-TADIAN ROAD</t>
  </si>
  <si>
    <t>RFQ 20GCJ0040 - Supply of Diesel Fuel for the Operation of Service Vehicles in the Inspection/Supervision, Surveying, Monitoring of Projects within the 1st and 2nd District and attending of Official B</t>
  </si>
  <si>
    <t>20HC0179- CONCRETING OF BRGY. CRUZ TO BRGY. CANTORES FMR, BRGY. CRUZ AND BRGY. CANTORES, BUENAVISTA, BOHOL</t>
  </si>
  <si>
    <t>20P00040 Rain Water Collectors in Public Facilities - CAR</t>
  </si>
  <si>
    <t>LOCAL ACCESS ROAD</t>
  </si>
  <si>
    <t>Supply and Delivery of PCB Board Cutter and Other Items (2nd Bidding)</t>
  </si>
  <si>
    <t>UPGRADED GOAT PROGRAM</t>
  </si>
  <si>
    <t>ITB For Construction of Multi-purpose Building - Brgy. Union</t>
  </si>
  <si>
    <t>INFRA 2K20-44 REPAIR/IMPROVEMENT OF COMMON BUILDING AND FACILITIES (BUILDING B) FOR RTC AND ZDSMC WARD</t>
  </si>
  <si>
    <t>Concreting of Road at Brgy. Canarem, Victoria, Tarlac - B-CW-2020-012</t>
  </si>
  <si>
    <t>2 units Brand New Three-Wheeled Motorcycle, Pickup Type and other items for Brgy. Bantayan – Pick-up type multicab to be used for garbage collection in the Barangay and Passenger type multicab to be u</t>
  </si>
  <si>
    <t>Construction and Improvement of Barangay Roads and Bridges</t>
  </si>
  <si>
    <t>ITB for Rehabilitation of Seawall at Brgy. Fabio Phase II</t>
  </si>
  <si>
    <t>REHABILITATION OF INWALOY-MAGULON ACCESS ROAD (RE-BID)</t>
  </si>
  <si>
    <t>Job Order: Installation and Supply of Brand New Standby Generator Set, Diesel Engine (Three (3) Phase 100 KVA) with ATS, Silent Type.</t>
  </si>
  <si>
    <t>(PVSO) INVITATION TO BID FOR THE SUPPLY AND DELIVERY OF PLASTIC PRODUCTS  FOR THE  PROVINCIAL VETERINARY SERVICES OFFICE (PVSO)</t>
  </si>
  <si>
    <t>(PVSO)  INVITATION TO BID FOR THE SUPPLY AND DELIVERY OF AGRICULTURAL MACHINERY AND SUPPLIES FOR THE  PROVINCIAL VETERINARY SERVICES OFFICE (PVSO)</t>
  </si>
  <si>
    <t>IB No. 2004-254 Proc. of Goods (Security Services)(Rebid)</t>
  </si>
  <si>
    <t>PROCUREMENT OF POSTNATAL KIT WITH BABY BOX FOR MOTHERS FOR THE USE OF GENDER &amp; DEVELOPMENT FOCAL POINT SYSTEM – CHO (SECOND BIDDING)</t>
  </si>
  <si>
    <t>ITB for Construction of Kitchen with Equipment</t>
  </si>
  <si>
    <t>2 units Fully Reconditioned Passenger Type Multicab and other items for Brgy. Bantayan – Pick-up type multicab to be used for garbage collection in the Barangay and Passenger type multicab to be used</t>
  </si>
  <si>
    <t>Construction of Covered Court at Pagdalagan Sur, Bauang, La Union</t>
  </si>
  <si>
    <t>PROCUREMENT OF  CIVIL WORKS OF VARIOUS FACILITIES</t>
  </si>
  <si>
    <t>PROCUREMENT OF DUMP TRUCKS FOR THE USE OF CITY ENVIRONMENT AND NATURAL RESOURCES OFFICE (SECOND BIDDING)</t>
  </si>
  <si>
    <t>Acquisition of One (1) Unit 4x4 Brand New Rescue Vehicle</t>
  </si>
  <si>
    <t>Supply and Delivery of One (1) Unit Brand New Garbage Truck to be used in Environment Management Program, Naujan, Oriental Mindoro</t>
  </si>
  <si>
    <t>Two (2) Years and Six (6) Months Contract for Janitorial Services (July 2020 to December 2022)</t>
  </si>
  <si>
    <t>Construction/Installation of Solar Street Lights for the Provincial Government of Occidental Mindoro</t>
  </si>
  <si>
    <t>Repair/Maintenance of DILG Building Hingyon Municipal Station, Hingyon, Ifugao</t>
  </si>
  <si>
    <t>Repair/Maintenance of DOST Building Innovation &amp; Provincial  Science and Technology Center, Lamut, Ifugao</t>
  </si>
  <si>
    <t>CONSTRUCTION OF GOAT BARN, CARE TAKER'S  HUT AND PERIMETER FENCE</t>
  </si>
  <si>
    <t>(PAO)   2ND INVITATION TO BID FOR THE SUPPLY AND DELIVERY OF 1 UNIT MOTORCYCLE FOR THE  PROVINCIAL AGRICULTURAL OFFICE (PAO)</t>
  </si>
  <si>
    <t>IB No. 2005-304 Proc. of Goods (Fuel and Lubricants)</t>
  </si>
  <si>
    <t>Supply &amp; Delivery of Two(2) Units 6-Wheeler Dump Truck (Brand New) intended for Residual Containment Area(RCA) in Relation to Covid-19</t>
  </si>
  <si>
    <t>Supply and delivery of various materials for the repair and upgrade of ICT equipments of BFAR Region Office</t>
  </si>
  <si>
    <t>PB 2020-28 (GOODS) - Lease of Servers for Various Systems</t>
  </si>
  <si>
    <t>(PAO) 2ND INVITATION TO BID FOR THE SUPPLY AND DELIVERY OF AGRICULTURAL PRODUCTS  AND MARINE SUPPLIES (II) FOR THE  PROVINCIAL AGRICULTURAL OFFICE (PAO)</t>
  </si>
  <si>
    <t>PROCUREMENT OF CONSULTING SERVICES FOR SUBDIVISION SURVEY OF 247 HECTARES NEW LANDS</t>
  </si>
  <si>
    <t>Construction of Covered Court at Ballay, Bauang, La Union</t>
  </si>
  <si>
    <t>20FO0086 - Rehabilitation/Improvement of Flood Control Structure, Left and Right Facing Upstream of Bacolod Bridge, Libon, Albay</t>
  </si>
  <si>
    <t>Construction of Slope Protection at Bauang North Central School, Central East, Bauang, La Union</t>
  </si>
  <si>
    <t>Procurement of Civil Works for the Repair of Office Building at Municipal Hall, Mlang, Cotabato.</t>
  </si>
  <si>
    <t>Concreting of Road at So. Matalusad, Brgy. Sta. Cruz, Concepcion, Tarlac - B-CW-2020-013</t>
  </si>
  <si>
    <t>2020-0165-PR2020-0398 Furnishing of Labor, Materials and Equipment for the Construction of 1-Classroom School Building with Toilet at Candungaw High School, Candungaw, San Isidro, Bohol</t>
  </si>
  <si>
    <t>CONSTRUCTION PROJECTS-AM-MF-SEF</t>
  </si>
  <si>
    <t>PROPOSED INSTALLATION OF FIVE UNITS STREETLIGHTS AT BRGY. STA. VERONICA, SAN PABLO CITY</t>
  </si>
  <si>
    <t>ENHANCEMENT OF JAGNA GYMNASIUM (Re-Bid)</t>
  </si>
  <si>
    <t>PRN 049-MOTOR VEHICLE-TF-GOODS-2020</t>
  </si>
  <si>
    <t>CONSTRUCTION OF MULTI-PURPOSE BUILDING (MPB) PHASE II</t>
  </si>
  <si>
    <t>CONSTRUCTION OF ACCESS ROAD (DEKKAN FMR)</t>
  </si>
  <si>
    <t>Repair/Maintenance of DILG Building PNP-Asipulo Municipal  Station, Neduntog, Antipulo, Asipulo, Ifugao</t>
  </si>
  <si>
    <t>20FO0087 - Improvement of Albay-Camsur Diversion Road (Oas Section), Oas, Albay</t>
  </si>
  <si>
    <t>PB 2020-29 (GOODS) - Lease of Servers for Datawarehouse Systems</t>
  </si>
  <si>
    <t>Renovation of Open Bleachers at Pana-ad Park and Stadium, Brgy. Mansilingan, Bacolod City/PEO-2020-0305</t>
  </si>
  <si>
    <t>CONSTRUCTION OF PATIENT WAITING AREA AND KITCHEN (MHO) PHASE - 1</t>
  </si>
  <si>
    <t>IMPROVEMENT OF CANAL AND DRAINAGE CROSSING</t>
  </si>
  <si>
    <t>DELIVERY OF MATERIALS FOR THE CONSTRUCTION OF DRAINAGE SYSTEM AT MARKET WEST SIDE (Re-Bid)</t>
  </si>
  <si>
    <t>PB 2020-30 (GOODS) - Lease of Storage and Automated Tape Library for Datawarehouse and Various Systems</t>
  </si>
  <si>
    <t>Construction of Multi-Purpose Hall (Phase II) Sitio Dapi, Brgy, Cagbalete I, Mauban, Quezon.</t>
  </si>
  <si>
    <t>20FO0089 - Rehabilitation/Improvement of Bacolod Flood Control Structure (Left Side Facing Downstream of Bacolod Bridge) in Libon, Albay</t>
  </si>
  <si>
    <t>Procurement of 1 Lot Various Drugs and Medicines for BJMP-NCR PDL for  July 2020</t>
  </si>
  <si>
    <t>4AQ-SIP-VAR-18 Amontay SIP</t>
  </si>
  <si>
    <t>20FO0090 - Construction of Multi-Purpose Building (Covered Court), Pistola, Oas, Albay</t>
  </si>
  <si>
    <t>Repair/Maintenance of Drainage along Kiangan-Tinoc-Buguias Road, K0315+(-100), Baguinge, Kiangan, Ifugao</t>
  </si>
  <si>
    <t>20GE0104 - Construction (Completion) of Multi-Purpose Building, Brgy. Suclaran, San Lorenzo, Guimaras</t>
  </si>
  <si>
    <t>Construction of White Corn Processing Center</t>
  </si>
  <si>
    <t>Repair/Maintenance of DOTr Building (LTO Office Building), Lamut, Ifugao</t>
  </si>
  <si>
    <t>20GE0103 - Construction of Road Slope Protection Structure – at Specific Locations along Guimaras Circumferential Rd (S00028GR) K0073+065 – K0097+460</t>
  </si>
  <si>
    <t>General Administration and Support(GAS) Office Supplies</t>
  </si>
  <si>
    <t>CLUSTER 27-2020</t>
  </si>
  <si>
    <t>CONCRETING OF FARM TO MARKET ROAD AT BARANGAY SITE, PUROK 2, COGON BACACA</t>
  </si>
  <si>
    <t>Other Supplies and Material Expenses</t>
  </si>
  <si>
    <t>PR-2020-1129 Medical Supplies-PHO</t>
  </si>
  <si>
    <t>Concreting of Road at Brgy. Parulong, Concepcion, Tarlac - B-CW-2020-014</t>
  </si>
  <si>
    <t>2020-0169-PR2020-0402 Furnishing of Labor, Materials and Equipment for the Construction of 2-Classrooms School Building with PWD Toilets at Caimbang Elementary School, Caimbang, San Isidro, Bohol</t>
  </si>
  <si>
    <t>INFRA 2K20-40 CONSTRUCTION OF 14 LN.M. HANGING BRIDGE</t>
  </si>
  <si>
    <t>20FO0088 - Improvement of Albay-Camsur Diversion Road (Oas Section) Phase 2, Oas, Albay</t>
  </si>
  <si>
    <t>20BC0168-Construction of 1 Storey 2 Classroom with CR, Dana-ili Elementary School, (Bldg. 1) Dana-ili, Abulug, Cagayan</t>
  </si>
  <si>
    <t>20FO0091 - Construction of Multi-Purpose Building, Brgy. Calaguimit, Oas, Albay</t>
  </si>
  <si>
    <t xml:space="preserve">CONSTRUCTION OF WATER SYSTEM PROJECT at RELOCATION SITE, CAGAS VILLAGE, BRGY. BANGKAL, MATANAO, DAVAO DEL SUR all in accordance to plans, specifications, scope of work and green procurement policy as </t>
  </si>
  <si>
    <t>PROCUREMENT OF  1 LOT VARIOUS DRUGS AND MEDICINES FOR BJMP-NCR PDL FOR AUGUST 2020</t>
  </si>
  <si>
    <t>Supply and Delivery of Materials for Installation of Solar Street Lighting System</t>
  </si>
  <si>
    <t>20HF0074 (Cluster 16) A.	Construction of Multi-Purpose Building, Barangay Poblacion, Barili, Cebu  B.	Construction and/or Repair/Rehabilitation of Multi-Purpose Building, Brgy. Poblacion, Barili, Cebu</t>
  </si>
  <si>
    <t>Asphalt Overlay @ Different Barangay, DRT, Bulacan</t>
  </si>
  <si>
    <t>2020-0167-PR2020-0400 Furnishing of Labor, Materials and Equipment for the Construction of 2-Classroom School Building with PWD Toilets at Danao Technological  School, Danao, Bohol</t>
  </si>
  <si>
    <t xml:space="preserve">CONSTRUCTION OF LEVEL II, POTABLE WATER SUPPLY SYSTEM FOR BRGY. BATO, STA. CRUZ, DAVAO DEL SUR all in accordance to plans, specifications, scope of work and green procurement policy as adopted by the </t>
  </si>
  <si>
    <t>20FO0092 - Construction of Covered Court, Brgy. La Medalla, Polangui, Albay</t>
  </si>
  <si>
    <t>SUPPLY AND DELIVERY OF LOT 1: 2 HEADS UPGRADED GOAT (BUCK) &amp; 10 HEADS NATIVE GOAT (DOE)</t>
  </si>
  <si>
    <t>Construction of Box-Culvert @ So. Abo, DRT, Bulacan</t>
  </si>
  <si>
    <t>One (1) Lot Automotive Diesel Fuel for the use in the Repair and Maintenance-Infrastructure Assets (Provincial Roads &amp; Bridges), Province of Negros Oriental (B-75-2020)</t>
  </si>
  <si>
    <t>“Purchase of One (1) unit Brand New Payloader (1.2 – 1.7 m3 capacity) for the Municipality of Amlan, Negros Oriental (B-76-2020)</t>
  </si>
  <si>
    <t>Construction of Box-Culvert @ So. Tubigan, Kalawakan, DRT, Bulacan</t>
  </si>
  <si>
    <t>ITB - SUPPLY, DELIVERY AND TESTING OF ONE (1) LOT HIGH POWERED FIREARMS (CALIBER 5.56)</t>
  </si>
  <si>
    <t>Purchase of Two (2) units Brand New 4x4 Six Wheeler Dumptrucks (4m³ cap.) for the Municipality of Tayasan, Negros Oriental (B-77-2020)</t>
  </si>
  <si>
    <t>Constructionn of Powerhouse</t>
  </si>
  <si>
    <t>Supply and delivery of Drugs and Medicines for indigent patient of Mauban.</t>
  </si>
  <si>
    <t>REPAIR OF HANGING BRIDGE located at NEW OPON, MAGSAYSAY, DAVAO DEL SUR all in accordance to plans, specifications and scope of work and the Green Procurement Policy as adopted by Executive Order No. 3</t>
  </si>
  <si>
    <t>Procurement BY LOT of DISTRIBUTION TRANSFORMER, ELECTRIC GENERATOR SET and AUTOMATIC TRANSFER SWITCH for the Use of the Provincial DRRM Council Command Center</t>
  </si>
  <si>
    <t>ITB - Supply, Delivery and Installation of 1 unit Large Format Printer for the Packaging and Labelling Innovation Center</t>
  </si>
  <si>
    <t>Concreting of Road Portion @ So. Tubigan, Kalawakan, DRT, Bulacan</t>
  </si>
  <si>
    <t>PROPOSED RE-ROOFING OF E.R. BUILDING AND REPAINTING OF ROOFING OF LEFT REAR WING QUADRANT BUILDING PHILIPPINE GENERAL HOSPITAL UNIVERSITY OF THE PHILIPPINES MANILA</t>
  </si>
  <si>
    <t>Supply and Delivery of Various Pesticides ABC: Php918,750.00</t>
  </si>
  <si>
    <t>ITB- SUPPLY AND DELIVERY OF PROTECTIVE EQUIPMENT (MODULAR VEST) (CI)</t>
  </si>
  <si>
    <t>SUPPLY AND DELIVERY OF LOT 2: 200 HEADS ROOSTER &amp; 800 HEADS PULLET</t>
  </si>
  <si>
    <t>Procurement of One (1) unit service vehicle for PVO field operation.</t>
  </si>
  <si>
    <t>Agricultural Supplies Expenses (Farm Tools)</t>
  </si>
  <si>
    <t>Agricultural, fishery and Forestry Equipment</t>
  </si>
  <si>
    <t>Supply and Delivery of Agricultural and Forestry Equipment for Community Based Processing Facility Establishment</t>
  </si>
  <si>
    <t>Supply and Delivery of Various ICT Equipment Total ABC: Php1,290,000.00</t>
  </si>
  <si>
    <t>20HF0077 (Cluster 19) A. Road Concreting, Agtugop-Manguiao, Asturias, Cebu; B. Road Concreting, Saksak-Bairan, Asturias, Cebu; C. Road Concreting, Sitio Lindog, Brgy. Tagbubonga, Asturias, Cebu</t>
  </si>
  <si>
    <t>Barangay Facility Enhancement Project</t>
  </si>
  <si>
    <t>Supply and Delivery of Various Chemicals for Mango ABC: Php2,870,630.00</t>
  </si>
  <si>
    <t>20BC0179-Construction of 1 Storey 3 Classroom with CR, Piat Central School, Piat, Cagayan</t>
  </si>
  <si>
    <t>Supply and Delivery of Materials for Installation of Solar Powered Home Lighting System</t>
  </si>
  <si>
    <t>CONSTRUCTION OF DOMESTIC WATER SYSTEM FOR PROPER TIKEY, PHASE II</t>
  </si>
  <si>
    <t>Lot1-Purchase of Anti-rabies vaccine for MHO use</t>
  </si>
  <si>
    <t>REPAIR/REHABILITATION OF CANALS AND CONSTRUCTION OF SIPHON OF TUBING-GABI CIS (REBID), BALENO, MASBATE</t>
  </si>
  <si>
    <t>20BC0181 re-adv.-Construction of 1 Storey 2 Classroom with CR, Warat Elementary School, Piat, Cagayan</t>
  </si>
  <si>
    <t xml:space="preserve">PEO-2020-0166 PR2020-0399 INVITATION TO BID FOR THE PROCUREMENT OF LABOR, MATERIALS, AND EQUIPMENT FOR THE CONSTRUCTION OF 1-CLASSROOM SCHOOL BUILDING WITH PWD TOILETS AT UPPER DELA PAZ PRIMA AT DELA </t>
  </si>
  <si>
    <t>Invitation to Bid for PROCUREMENT OF ONE UNIT PICK-UP VEHICLE</t>
  </si>
  <si>
    <t>Supply, delivery and Commissioning of ONE (1) Unit Corn Picker Harvester for Provincial Corn Service Center @ MIRAIC.</t>
  </si>
  <si>
    <t>REPAIR/REHABILITATION OF CANALS AND CANAL STRUCTURES OF SAGAWSAWAN CIS (REBID), MOBO, MASBATE</t>
  </si>
  <si>
    <t>PROCUREMENT OF  1 LOT VARIOUS DRUGS AND MEDICINES FOR BJMP-NCR PDL FOR SEPTEMBER 2020</t>
  </si>
  <si>
    <t>20AE0067: Repair/Maintenance/Improvement of Drainage Structures along Manila North Road, K0312+240 to K0312+360</t>
  </si>
  <si>
    <t>Concreting of Road at Brgy. Poblacion Sur, Paniqui, Tarlac - B-CW-2020-015</t>
  </si>
  <si>
    <t>ITB- SUPPLY, DELIVERY AND TESTING OF SURVEILLANCE EQUIPMENT (BODY CAMERAS)</t>
  </si>
  <si>
    <t>Supply and Delivery of Furniture and Fixtures for Community Based Processing Facility Establishment</t>
  </si>
  <si>
    <t>SUPPLY AND DELIVERY OF LOT 3: 160 BAGS ANIMAL FEEDS (CHICK GROWER CRUMBLE)</t>
  </si>
  <si>
    <t>ITB- SUPPLY, DELIVERY AND TESTING OF ONE (1) LOT RAMAN SPECTROMETER</t>
  </si>
  <si>
    <t>20HF0078 (Cluster 20) A. Road Concreting, Angilan, Aloguinsan, Cebu; B. Road Concreting, Bonbon, Aloguinsan, Cebu; C. Road Concreting, Poblacion, Aloguinsan, Cebu</t>
  </si>
  <si>
    <t>20BC0191 re-adv.-Construction of Rainwater Collector System</t>
  </si>
  <si>
    <t>Supply &amp; Delivery of Office Supplies for Different Offices</t>
  </si>
  <si>
    <t>Repair and maintenance- Artesian Wells, Reservoirs, Pumping Stations and Conduits</t>
  </si>
  <si>
    <t>20PL0108 - Construction/Rehabilitation of Water Supply/Septage and Sewerage/Rain Water Collectors in Public Facilities, Various School Sites/Barangay/Military Camp (Rizal, Tabuk City and Pinukpuk, Kal</t>
  </si>
  <si>
    <t>Completion of Covered Court of VSU Alangalang</t>
  </si>
  <si>
    <t>CONSTRUCTION OF SLOPE PROTECTION WORKS OF UMAWAS-GAID CIS (REBID)  DIMASALANG, MASBATE</t>
  </si>
  <si>
    <t>Construction of Tanod Outpost</t>
  </si>
  <si>
    <t>SUPPLY/ DELIVERY OF CONSTRUCTION MATERIALS for SAN RAMON-SAN FRANCISCO RIS (REBID), BULAN, SORSOGON</t>
  </si>
  <si>
    <t>ITB- SUPPLY, DELIVERY AND TESTING OF ONE (1) LOT AMMUNITION</t>
  </si>
  <si>
    <t>Procurement of Soil Conditioner with Plant Growth Stimulant</t>
  </si>
  <si>
    <t>REPAIR OF EXISTING CANALS OF MATANG-TUBIG CIS (REBID)  MONREAL, MASBATE</t>
  </si>
  <si>
    <t>Supply &amp; Delivery of Supplies &amp; Materials for ID Printing</t>
  </si>
  <si>
    <t>Supply and Delivery of Lot 1- 1-unit Light Cargo Truck, 6 wheelers &amp; Lot 2- 1-unit Light Cargo Truck 4 or 6 Wheelers for the Implementation</t>
  </si>
  <si>
    <t>RFQ-20-06-021</t>
  </si>
  <si>
    <t>20HF0066 Road Concreting, Mangoto-Sambagon-Busay, Pinamungajan, Cebu</t>
  </si>
  <si>
    <t>Supply &amp; Delivery of Supplies &amp; Materials for Bookbinding &amp; Diploma Jacket Making</t>
  </si>
  <si>
    <t>Invitation to Bid for PROCUREMENT OF ONE UNIT BUS</t>
  </si>
  <si>
    <t>ITB-Foodstuff of HE &amp; NTSB for 2nd Sem 2020</t>
  </si>
  <si>
    <t>ITB- SUPPLY, DELIVERY AND TESTING OF ONE (1) LOT SHORT FIREARMS  (CALIBER .45) (REGULAR GAA)</t>
  </si>
  <si>
    <t>Supply &amp; Delivery of Supplies &amp; Materials for Encoding/Photocopy/Printing</t>
  </si>
  <si>
    <t>ITB- SUPPLY AND DELIVERY OF PROTECTIVE EQUIPMENT (MODULAR VEST) (REGULAR GAA)</t>
  </si>
  <si>
    <t>Subscription of Professional Magazines &amp; Journals for Library use</t>
  </si>
  <si>
    <t>ITB- SUPPLY AND DELIVERY OF ONE (1) LOT VARIOUS INKS</t>
  </si>
  <si>
    <t>20PL0110 - Repair and Maintenance of Road Safety Facilities, Bulanao-Paracelis Road, Tabuk City, Kalinga</t>
  </si>
  <si>
    <t>20PL0111 - Concreting of Brgy. Lower Taloctoc FMR, Brgy. Lower Taloctoc, Tanudan, Kalinga</t>
  </si>
  <si>
    <t>20PL0109 - Package 1 - A.) Repair/Maintenance of DPWH Building, ADE's Building, Lower Kalinga DEO, Tabuk City, Kalinga, B.) Repair/Maintenance of DPWH Building, Rank and File Building, Lower Kalinga D</t>
  </si>
  <si>
    <t>20GM0007 – PROCUREMENT OF FUEL FOR THE USE OF DPWH CUTTER SUCTION DREDGE SDS 18- 1 (XD450) FOR THE DREDGING OF RIO GRANDE DE MINDANAO, BUCANA, BRGY. MOTHER KALANGANAN, COTABATO CITY</t>
  </si>
  <si>
    <t>ITB- SUPPLY, DELIVERY AND INSTALLATION OF ONE (1) LOT AIRCONDITIONING UNITS</t>
  </si>
  <si>
    <t>CONSTRUCTION OF MUNICIPAL DISASTER RISK AND MANAGEMENT OFFICE BUILDING</t>
  </si>
  <si>
    <t>Improvement of Janiuay Public Market (Construction of Comfort Room Building), Janiuay Public Market, Janiuay, Iloilo</t>
  </si>
  <si>
    <t>Supply, Delivery, and Installation of Various Brand New Laboratory Equipment (BAC-NP NO. 2020-04)</t>
  </si>
  <si>
    <t>PURCHASE OF LIQUIFIED PETROLEUM GAS (LGP)  11KGS. FOR THE OPERATION OF TCP OFFICE AMOUNTING TO PHP8,500.00</t>
  </si>
  <si>
    <t>INVITATION TO BID    PROCUREMENT OF I.T. EQUIPMENT (BRAND NEW AND NOT CLONED)  FOR NFA EASTERN VISAYAS REGIONAL OFFICE (REGION VIII)</t>
  </si>
  <si>
    <t>20GAF0002, SUPPLY/ DELIVERY OF ROAD SIGNAGES OF VARIOUS NATIONAL ROADS   WITHIN LA UNION SECOND DISTRICT ENGINEERING OFFICE, LA UNION SECOND DISTRICT</t>
  </si>
  <si>
    <t>20HF0071 Concreting of Brgy. Roads, Brgy. Poblacion, Tuburan, Cebu</t>
  </si>
  <si>
    <t>Supply of Materials for the Emergency Repair of ELT for NH431, NH434 and NH435 Helicopters</t>
  </si>
  <si>
    <t>17GF0110 - Upgrading/Improvement of San Joaquin Rural Health Unit, San Joaquin, Iloilo</t>
  </si>
  <si>
    <t>Concreting of Road at Brgy. Sta. Ines, Paniqui, Tarlac - B-CW-2020-016</t>
  </si>
  <si>
    <t>Concreting of Road at Brgy. Barang, Paniqui, Tarlac - B-CW-2020-017</t>
  </si>
  <si>
    <t>Supply and Delivery of Various Agricultural Equipment</t>
  </si>
  <si>
    <t>Construction of Kusina ng Kalinga at Moncada North Elementary School - B-CW-2020-019</t>
  </si>
  <si>
    <t>COMPLETION OF MULTI-PURPOSE BRGY. HALL BINENG</t>
  </si>
  <si>
    <t>Construction of Kusina ng Kalinga at Concepcion North Elementary School - B-CW-2020-018</t>
  </si>
  <si>
    <t>Drydocking and Other Related Repair of YT226</t>
  </si>
  <si>
    <t>INVITATION TO BID FOR THE Procurement of EECD Various Office Equipment under the Locally Funded Project: NECP - Nineteen (19) Units of Laptop and Two (2) Units of High-Speed Multi-function  Printer</t>
  </si>
  <si>
    <t>20LG0117 - Repair/Maintenance of DENR Building PENRO Nursery House, Dahican, Mati, Davao Oriental</t>
  </si>
  <si>
    <t>Construction of One Classroom in Brgy. Tabao-Ambil</t>
  </si>
  <si>
    <t>20GG0175 - REHABILITATION OF MULTI-PURPOSE BUILDING (GYMNASIUM), BAROTAC NUEVO, ILOILO</t>
  </si>
  <si>
    <t>PIKCOT-002020-009 (IMPROVEMENT OF VARIOUS BARANGAY ROADS)</t>
  </si>
  <si>
    <t>Rehabilitation of Multi-Purpose Building-Guardia</t>
  </si>
  <si>
    <t>INVITATION TO BID FOR THE Procurement of DOEs Tertiary Internet Access Services</t>
  </si>
  <si>
    <t>Supply and Delivery of Tablet Pro for IQAO</t>
  </si>
  <si>
    <t>Drydocking and Other Related Repair of BRP EMILIO JACINTO (PS35)</t>
  </si>
  <si>
    <t>20CSBF0001: Soil Testing/Exploration for the Construction of Flood Control @ Aurora; Luna; Quirino; Roxas; Burgos, Isabela</t>
  </si>
  <si>
    <t>20LG0116 - Repair/Maintenance of DPWH Building BOE-Bilawan Building, Mati, Davao Oriental</t>
  </si>
  <si>
    <t>INVITATION TO BID FOR THE Procurement of DOEs Fixed Wireless Connections</t>
  </si>
  <si>
    <t>(KMH) 2ND INVITATION TO BID FOR THE SUPPLY AND DELIVERY OF ONE (1) UNIT PHARMACY BIOMEDICAL REF</t>
  </si>
  <si>
    <t>Construction of Kusina ng Kalinga at Mayantoc Central Elementary School - B-CW-2020-020</t>
  </si>
  <si>
    <t>20LG0118 - Repair/Maintenance of DPWH Building Engineer's Quarter, Brgy. Matiao, Mati, Davao Oriental</t>
  </si>
  <si>
    <t>Construction of Multi-Purpose Hall-Guardia</t>
  </si>
  <si>
    <t>Construction of Irrigation System-Banbanaal</t>
  </si>
  <si>
    <t>Construction of Main Entrance Gate, Guardhouse and Pylon at La Paz Medicare and Community Hospital, La Paz, Tarlac - B-CW-2020-022</t>
  </si>
  <si>
    <t>20BG0145 - Construction/Rehabilitation of Rain Water Supply/Septage and Two (2) Units of Sewerage/Rain Water Collectors in Public Facilities per Location</t>
  </si>
  <si>
    <t>PB-20-276, Supply &amp; Delivery of Goats for distribution to qualified beneficiaries provincewide</t>
  </si>
  <si>
    <t>PROCUREMENT OF MICROBIOLOGY ANALYTICAL LAB/DA-ACEF EQUIPMENT</t>
  </si>
  <si>
    <t>(SP-VG) 2ND INVITATION TO BID FOR THE 1,429 PAX MEALS &amp; SNACKS, ETC. FOR THE  SANGGUNIANG PANLALAWIGAN – OFFICE OF THE VICE GOVERNOR--285,800.00</t>
  </si>
  <si>
    <t>INVITATION TO BID FOR THE PROCUREMENT OF EECD CONTRACTED OUT SERVICES FOR THE DIGITAL PLACEMENT AND SOCIAL MEDIA MANAGEMENT OF DOE INFOMERCIAL /TV PLUG UNDER THE LOCALLY FUNDED PROJECT: THE NECP</t>
  </si>
  <si>
    <t>PROVISION OF SECURITY SERVICES FOR BFAR-PANABO NATIONAL MARICULTURE CENTER FOR THE PERIOD OF JULY 1, 2020 TO DECEMBER 31,2020</t>
  </si>
  <si>
    <t>SUPPLY AND DELIVERY OF 1 UNIT MINI DUMP TRUCK - BARANGAY MABUSLO</t>
  </si>
  <si>
    <t>(PHRMO) INVITATION TO BID FOR THE SUPPLY AND DELIVERY OF 4 UNITS BIOMETRIC MACHINE FOR THE  PROVINCIAL HUMAN RESOURCE MANAGEMENT OFFICE--80,000.00</t>
  </si>
  <si>
    <t>(GO-PDRRMO) INVITATION TO BID FOR THE SUPPLY AND DELIVERY OF GROCERY ITEMS FOR STOCKPILE (SARDINES, POWERED MILK, ETC.) FOR THE  PROVINCIAL DISASTER RISK REDUCTION MANAGEMENT OFFICE--332,967.82</t>
  </si>
  <si>
    <t>20GPF0008: Supply and Delivery of Asphalt and Aggregates for Use of Maintenance Section of DPWH- Benguet 2nd DEO in Patching, Crack and Joint Sealing of Concrete Pavement along National Roads</t>
  </si>
  <si>
    <t>20HF0096 Asset Preservation Program-Construction of Drainage along Toledo-Tabuelan-Sn Remigio Rd,  K0063+685 – K0063+877</t>
  </si>
  <si>
    <t>(PIHO) INVITATION TO BID FOR THE SUPPLY AND DELIVERY OF 2 UNITS AIR-CONDITIONER (FLOOR MOUNTED &amp; WINDOW TYPE) FOR THE  PROVINCIAL INTEGRATED HEALTH OFFICE--125,000.00</t>
  </si>
  <si>
    <t>20HF0094 Replacement of Barili Bridge (B00523CB) along Carcar-Barili Road</t>
  </si>
  <si>
    <t>20GG0176 - CONCRETING OF BRGY. DALID TO BRGY. SIMSIMAN, BRGY. GAMMA GRANDE TO BRGY. JAMIN-AY ROAD, CALINOG, ILOILO</t>
  </si>
  <si>
    <t>PB-20-277, Supply &amp; Delivery of Livestock (Large Ruminants) for distribution to qualified beneficiaries provincewide</t>
  </si>
  <si>
    <t>PB-20-159, Supply &amp; Delivery of Cacao &amp; Coffee Seedlings for distribution to farmers provincewide</t>
  </si>
  <si>
    <t>Procurement of One (1) unit Garbage Compactor Truck for use in the collection and transport of treated infectious wastes of Tarlac Provincial Hospital and 4 District Hospitals - B-G-2020-080</t>
  </si>
  <si>
    <t>SUPPLY AND DELIVERY OF 1 UNIT GARBAGE TRUCK - BARANGAY BUAG</t>
  </si>
  <si>
    <t>PB-20-297, Supply of Diesel Fuel for various equipment/vehicle use to transport relief goods related to COVID-19 mitigation to different municipalities of the Province of Cotabato</t>
  </si>
  <si>
    <t>Construction of Powerhouse at Tarlac Provincial Capitol, San Vicente, Tarlac City - B-CW-2020-021</t>
  </si>
  <si>
    <t>20HF0097 Asset Preservation Program – Rehabilitation/Reconstruction of Naga-Uling Road,  K0039+233 – K0039+632 with Slips, Slope Collapse and Landslide, Brgy. Don Andres Soriano,  Toledo City, Cebu</t>
  </si>
  <si>
    <t>PB-20-160, Supply &amp; Delivery of Oil Palm Seedlings for distribution to farmers provincewide</t>
  </si>
  <si>
    <t>(PVSO) INVITATION TO BID FOR THE SUPPLY AND DELIVERY OF VETERINARY MEDICAL SUPPLIES (VACUUM BLOOD COLLECTION TUBE, ETC.) FOR THE  PROVINCIAL VETERINARY SERVICES OFFICE--263,975.00</t>
  </si>
  <si>
    <t>(NVPH) 2ND INVITATION TO BID FOR THE SUPPLY AND DELIVERY OF ONE (1) UNIT CAUTERY MACHINE</t>
  </si>
  <si>
    <t>20HF0095 Asset Preservation Program-Reconstruction of Naga-Uling Rd., K0039+632 –  K0040+440; K0041+500 – K0042+000</t>
  </si>
  <si>
    <t>PB-20-248, Supply &amp; Delivery of Food Processing Equipment to be given to Coffee and Cacao qualified planters in the Province of Cotabato</t>
  </si>
  <si>
    <t>Diorite (PR-2020-8751-0099)</t>
  </si>
  <si>
    <t>PEO-20-0543 B- Procurement of Balance Weight for use in the Material Testing and Quality Control Section assigned at PEP, Sta. Barbara, Iloilo</t>
  </si>
  <si>
    <t>PEO-20-0547 B- Procurement of Spare Parts for use in the repair and maintenance of Hino Dump Trucks (NDT-41-50) Model: FG1JGUE-TGL assigned at PEP, Sta. Barbara, Iloilo</t>
  </si>
  <si>
    <t>PEO-20-0545 B- Procurement of Technical and Scientific Equipment for use in the Material Testing and Quality Control Section, PEP, Sta, Barbara, Iloilo</t>
  </si>
  <si>
    <t>PEO-20-0501 B- Procurement of Construction Materials for the Improvement of Leon – Omambong – Cordova Road, Tigbauan, Iloilo</t>
  </si>
  <si>
    <t>PEO-20-0597 B- Procurement of Construction Materials for use in the Improvement of Drainage Canal along Batad Pob.-Bulak Road, Batad, Iloilo</t>
  </si>
  <si>
    <t>PURCHASE OF BPSO VEHICLE</t>
  </si>
  <si>
    <t>100-2020-05-703 Supply and delivery of 650 pcs reflectorized vest, etc.</t>
  </si>
  <si>
    <t>Inspection and Repair as Necessary of NV311</t>
  </si>
  <si>
    <t>PURCHASE AND INSTALLATION OF SOUND SYSTEM AND CCTV CAMERAS FOR THE PAMANTASAN NG DASMARIÑAS</t>
  </si>
  <si>
    <t>19GF00028 - Procurement of &amp; Installation of Canopy for sixteen (16) Service Vehicles (PR No. 20-02-059 dated 2/28/2020), EMD, DPWH, Region V, Legazpi City</t>
  </si>
  <si>
    <t>REDEVELOPMENT OF JUAN SULSE MEMORIAL PARK</t>
  </si>
  <si>
    <t>CONSTRUCTION OF ADDITIONAL CEMETERY VAULT</t>
  </si>
  <si>
    <t>INSTALLATION OF SOLAR POWERED IRRIGATION SYSTEM</t>
  </si>
  <si>
    <t>PROCUREMENT OF COMMON OFFICE SUPPLIES OF CVNHS (SHS)</t>
  </si>
  <si>
    <t>Improvement of Maluko Public Market</t>
  </si>
  <si>
    <t>PB-20-077, Supply &amp; Delivery of Rubber Seedlings for distribution to farmers provincewide</t>
  </si>
  <si>
    <t>INSTALLATION OF TWENTY TWO (22) UNITS SOLAR LIGHTS</t>
  </si>
  <si>
    <t>CONCRETING OF ROAD</t>
  </si>
  <si>
    <t>FOD-R-20-2128: Procurement of 20 units of Laptop</t>
  </si>
  <si>
    <t xml:space="preserve">19GF00027 - Procurement of Nine (9) sets Materials Testing, Thirty three (33) pcs. Clerical Mesh Chair, Mobile Pedestal, etc. for use in the QAHD, Laboratory Office (PR No. 20-03-072 dated 3/9/2020), </t>
  </si>
  <si>
    <t>FOD-R-20-2127: Procurement of 6 units of Branded Desktop Computer (with complete accessories)</t>
  </si>
  <si>
    <t>CONSTRUCTION OF PUBLIC/GOVERNMENT INFRASTRUCTURES (CONSTRUCTION OF THIRD LAGOON)</t>
  </si>
  <si>
    <t>Supply of Materials, Labor and Equipment for the Construction of Additional Structures of New Public Market Site (Site for STP and Parking Area) at Barangay Poblacion, Lobo, Batangas</t>
  </si>
  <si>
    <t>Supply of Materials, Labor and Equipment for Lobo Public Market Sewage Treatment Plant and Facility at Barangay Poblacion, Lobo, Batangas</t>
  </si>
  <si>
    <t>REHABILITATION/IMPROVEMENT OF SOLAR LIGHTS</t>
  </si>
  <si>
    <t>Supply of Materials, Labor and Equipment for the Construction of Lobo Public Market Fence at Barangay Poblacion, Lobo, Batangas</t>
  </si>
  <si>
    <t>Supply of Materials, Labor and Equipment for the Installation of Street Lighting System (Solar) at Market Site, Barangay Poblacion, Lobo, Batangas</t>
  </si>
  <si>
    <t>CONSTRUCTION OF FLOOD CONTROL (RIP-RAPPING)</t>
  </si>
  <si>
    <t>PROCUREMENT OF OFFICE AND JANITORIAL SUPPLIES FOR THE 1ST AND 2ND QUARTERS OF CY 2020</t>
  </si>
  <si>
    <t>Construction /Rehabilitation of Roofing &amp; Ceiling of Municipal Library Office at Poblacion, Bugallon, Pangasinan</t>
  </si>
  <si>
    <t>ITB (PB)-Construction of Maguing Fire Station, Lanao Del Sur</t>
  </si>
  <si>
    <t>Improvement of Roro Port</t>
  </si>
  <si>
    <t>Road Opening (Phase 2)</t>
  </si>
  <si>
    <t>Improvement of Drainage Canal @ FF Cruz (GAD) Purok 5, Bulanao</t>
  </si>
  <si>
    <t>ITB (PB)-Construction of Kabuntalan Fire Station, Maguindanao</t>
  </si>
  <si>
    <t>Rip-rapping of Creek Site (GAD) Sitio Cacaligan, Bantay</t>
  </si>
  <si>
    <t>IB NO. 05-2020 - PROVISION OF SECURITY SERVICES</t>
  </si>
  <si>
    <t>Fabrication of 4 Component Material Recovery Facility @ Bulo East ES, Bulo West ES, Burubor ES, Barangay Hall, Bulo</t>
  </si>
  <si>
    <t>20IA0089 Construction of Disinfection Facility at Biliran Checkpoint, Biliran Bridge</t>
  </si>
  <si>
    <t>Improvement of Road @ Purok 3, Agbannawag</t>
  </si>
  <si>
    <t>Supply, Delivery, Installation and Commissioning of One (1) Unit Fully Automated Blood Culture System</t>
  </si>
  <si>
    <t>One(1) Job: Building and Design of Pototan Community Quarantine Facility for use as quarantine area for COVID 19 PUI's and PUM's of the Municipality of Pototan</t>
  </si>
  <si>
    <t>Improvement of Road, Ybañez &amp; Corner Dollente St, Magsaysay</t>
  </si>
  <si>
    <t>Proposed Concreting of Road at Brgy. San Joaquin, San Pablo City.</t>
  </si>
  <si>
    <t>Supply, Delivery, Installation, and Commissioning of One (1) Unit Fully Automated System for Bacterial Identification and Antimicrobial Susceptibility Testing</t>
  </si>
  <si>
    <t>Rehabilitation of Road Creekside, Cacaligan, Bantay</t>
  </si>
  <si>
    <t>ROAD CONCRETING, BRGY. CAMITOC, DULAG LEYTE</t>
  </si>
  <si>
    <t>20KA0142 Construction of Multi Purpose Building - Construction of Multi-Purpose  Building, Brgy. Iba, Cabanglasan, Bukidnon (Phase II) Cabanglasan, Bukidnon</t>
  </si>
  <si>
    <t>Construction of Canal Lining @ Sagpat, San Julian</t>
  </si>
  <si>
    <t>Proposed Construction of Fence at Cresencia Drusila Senior High School, Brgy. San Roque, San Pablo City.</t>
  </si>
  <si>
    <t>Procurement of Office Supplies for Stock of City General Services Office</t>
  </si>
  <si>
    <t>Improvement of Barangay Road @ Bliss, Nambaran</t>
  </si>
  <si>
    <t>Supply of Materials/Parts for the SMI&amp;ARAS of NAW Units (NVT324, NVT330, NVT331 &amp; NHT421)</t>
  </si>
  <si>
    <t>Improvement of Roadside Slope Protection @ Burayucan, Balong</t>
  </si>
  <si>
    <t>Proposed Improvement of Brgy. Hall, Barangay Imbang Pequeno, San Enrique, Iloilo</t>
  </si>
  <si>
    <t>Improvement of Road @ Catao, Lacnog</t>
  </si>
  <si>
    <t>Construction of Basketball Court @ Purok 7, Laya West</t>
  </si>
  <si>
    <t>Improvement of Barangay Hall/Gym Compound, Centro, Lacnog</t>
  </si>
  <si>
    <t>Graveling of Roads @ Cuaresma St, Laya West</t>
  </si>
  <si>
    <t>Continuation of Farm to Market Road, Junction-Balabalan-Katao &amp; Cemetery Site, Lacnog</t>
  </si>
  <si>
    <t>Construction of Deep Well &amp; Tank (GAD) New Balbalan, Lacnog</t>
  </si>
  <si>
    <t>Improvement of Road @ New Site &amp; Bliss, Nambaran</t>
  </si>
  <si>
    <t>Improvement of FMR @ Laod, Nambaran</t>
  </si>
  <si>
    <t>20IA0090 Repair /Maintenance of DPWH Buildings</t>
  </si>
  <si>
    <t>Purchase of one unit ambulance</t>
  </si>
  <si>
    <t>Construction of Canal Lining @ Cogawe, Cudal</t>
  </si>
  <si>
    <t>20DC0189 - LOCAL PROGRAM, Local Infrastructure Program, Buildings And Other Structures, Multipurpose/Facilities, Construction and/or Repair/Rehabilitation of Multi-Purpose Building, Brgy. San Jose, Al</t>
  </si>
  <si>
    <t>Inspection and Repair as Necessary (IRAN) of NVT330</t>
  </si>
  <si>
    <t>Construction of Deep Well (GAD) Alawao, Cudal</t>
  </si>
  <si>
    <t>IMPROVEMENT OF MUNICIPAL COVERED COURT</t>
  </si>
  <si>
    <t>Improvement of Access Road (Rip-rapping) form Turod to Burubor to Casigayan</t>
  </si>
  <si>
    <t>Procurement of Catering Services, Office Supplies and PPE - Lot 2 - Office Supplies - PAGSO</t>
  </si>
  <si>
    <t>Procurement of Catering Services, Office Supplies and PPE - Lot 1 - Catering Services - PAGSO</t>
  </si>
  <si>
    <t>20DC0190 - LOCAL PROGRAM, Local Infrastructure Program, Local Roads and Bridges, Local Roads, Concreting of Local Roads, Sta. Teresita, Batangas</t>
  </si>
  <si>
    <t>20FF0092 - Construction of Multi-Purpose Building, Brgy. San Felipe, Naga City</t>
  </si>
  <si>
    <t>Procurement of Hauling Services - PGO</t>
  </si>
  <si>
    <t>20DC0187 - LOCAL PROGRAM, Const./Repair/Rehab./Improvement of Various Infrastructure including Local Projects, Buildings And Other Structures, Multipurpose/Facilities, Construction of Multi-Purpose Bu</t>
  </si>
  <si>
    <t>20FF0093 - Repair/Rehab/Improvement of Quality Assurance and Warehouse, DPWH Cam. Sur 3rd DEO, Baras, Canaman, Camarines Sur</t>
  </si>
  <si>
    <t xml:space="preserve">20DC0191 - LOCAL PROGRAM, Construction/Repair/Rehabilitation/Improvement of Various Infrastructure including Local Projects, Buildings And Other Structures, Multipurpose/Facilities, Rehabilitation of </t>
  </si>
  <si>
    <t>20CSEB02-R1 - CLUSTER 2020-BR02: SUB-SURFACE/SOIL EXPLORATION FOR VARIOUS FY 2020 BRIDGE PROJECTS (LOCAL INFRASTRUCTURE PROGRAM)</t>
  </si>
  <si>
    <t>20FF0090 - Construction of Multi-Purpose Building, Brgy. San Isidro, Magarao, Camarines Sur</t>
  </si>
  <si>
    <t xml:space="preserve">20DC0188 - LOCAL PROGRAM, Construction/Repair/Rehabilitation/Improvement of Various Infrastructure including Local Projects, Buildings And Other Structures, Multipurpose/Facilities, Rehabilitation of </t>
  </si>
  <si>
    <t>Procurement of Furniture &amp; Fixture - PASSO</t>
  </si>
  <si>
    <t>20MH0101 - Application of Pavement Markings of National Roads along Isulan- Jct. Dukay-Bagumbayan-Sen. Ninoy Aquino-Kalamansig Road,  K1824+270 - K1825+900, K1830+600 -K1831+650, K1837+000 - K1837+800</t>
  </si>
  <si>
    <t>20FF0091 - Construction of Multi-Purpose Building (Covered Court), Brgy. San Francisco, Calabanga, Camarines Sur</t>
  </si>
  <si>
    <t>CONSTRUCTION OF COVERED LINE CANAL</t>
  </si>
  <si>
    <t>Inspection and Repair as Necessary of NV320</t>
  </si>
  <si>
    <t>20GJ00004 - Procurement of DPWH Security Services of Twenty Four (24) Security Personnel for Deployment at DPWH Regional Office IX (15 Security Guards), Isabela City DEO (3 Security Guards), Zamboanga</t>
  </si>
  <si>
    <t>Backfilling (BFAR Fislanding Project Site) Phase II</t>
  </si>
  <si>
    <t>CONSTRUCTION OF WATER SYSTEM</t>
  </si>
  <si>
    <t>CONSTRUCTION OF WATER IMPOUNDING FACILITIES</t>
  </si>
  <si>
    <t>100-2020-04-641 Supply and delivery of 4 sets #12”Ø concrete moulding (RCPC) , etc.</t>
  </si>
  <si>
    <t>20MH0102 - Application of Pavement Markings of National Roads along Awang- Upi-Lebak-Kalamansig-Palimbang Road, K2007+000 -  K2009+000, K2012+000 -K2013+500, K2028+800 -K2030+800, K2042+800 -K2045+065</t>
  </si>
  <si>
    <t>100-2020-05-655 Supply and delivery of 1 unit desktop, etc.</t>
  </si>
  <si>
    <t>100-2020-05-672 Supply and delivery of 75 pails oil 40-HD, etc.</t>
  </si>
  <si>
    <t>Procurement of Catering Services, Office Supplies and PPE  - Lot 3 - PPE (GARMENTS) - PAGSO</t>
  </si>
  <si>
    <t>Procurement of Various Housekeeping, UPS and Visitor’s Chairs  - Lot 3 - Visitors Chair (funiture) - PTO</t>
  </si>
  <si>
    <t>Procurement of Various Housekeeping, UPS and Visitor’s - Lot 1 - Housekeeping Supplies - PTO</t>
  </si>
  <si>
    <t>Procurement of Various Medical Equipment  - PDH</t>
  </si>
  <si>
    <t>Procurement of Various Medical Supplies - PBCH</t>
  </si>
  <si>
    <t>Invitation to Bid for PROCUREMENT OF TRAINING SUPPLIES AND EQUIPMENT</t>
  </si>
  <si>
    <t>Procurement of Poultry Nets and Nylon - PVET</t>
  </si>
  <si>
    <t>Procurement of Tires - ADH</t>
  </si>
  <si>
    <t>Procurement of Various IT Supplies - PEO ADMIN</t>
  </si>
  <si>
    <t>Procurement of Various Vegetable Seeds - PAGSO</t>
  </si>
  <si>
    <t>Invitation to Bid for PROCUREMENT OF SMART TV &amp; DESKTOP (Sual National High School)</t>
  </si>
  <si>
    <t>Procurement of Polybags - PAGSO</t>
  </si>
  <si>
    <t>Procurement of Tubeless Tire - HCH</t>
  </si>
  <si>
    <t>INVITATION TO BID FOR THE PROCUREMENT OF ICT EQUIPMENT</t>
  </si>
  <si>
    <t>Procurement of Artificial Insemination Materials and Supplies - PVET</t>
  </si>
  <si>
    <t>INVITATION TO BID FOR THE PROCUREMENT OF TECHNICAL AND SCIENTIFIC EQUIPMENT (Supply, Delivery and Installation)</t>
  </si>
  <si>
    <t>Procurement of Various Veterinary Drugs and Biologics - PVET</t>
  </si>
  <si>
    <t>CONSTRUCTION OF ACCESS ROAD</t>
  </si>
  <si>
    <t>CONSTRUCTION OF FLOOD CONTROL STRUCTURE AT BRGY. BACTAS</t>
  </si>
  <si>
    <t>Supply and Delivery of Various Fertilizers</t>
  </si>
  <si>
    <t>CONSTRUCTION OF SLOPE PROTECTION AT BRGY. TUACA</t>
  </si>
  <si>
    <t>Improvement of Municipal Slaughterhouse</t>
  </si>
  <si>
    <t>Procurement of Various Laboratory Reagent Supplies - SDH</t>
  </si>
  <si>
    <t>Supply and Delivery of Various Machineries</t>
  </si>
  <si>
    <t>Procurement of Various Housekeeping, UPS and Visitor’s Chairs - Lot 2 - UPS - PTO</t>
  </si>
  <si>
    <t>Supply and Delivery of Planting Materials</t>
  </si>
  <si>
    <t>Improvement of Legislative Building</t>
  </si>
  <si>
    <t>20DC0186 - LOCAL PROGRAM, Local Infrastructure Program, Buildings and Other Structures, Multipurpose/Facilities, Construction (Completion) of Multi-Purpose Building, Brgy. Subic Ibaba, Agoncillo, Bata</t>
  </si>
  <si>
    <t>Construction of Multi-Purpose Building - Abaya, Galimuyod, Ilocos Sur</t>
  </si>
  <si>
    <t>Supply and Delivery of Corn Seeds</t>
  </si>
  <si>
    <t>Procurement of Other Supplies and Materials - PVET</t>
  </si>
  <si>
    <t>GOODS-062220-036 - PURCHASE OF VARIOUS MEDICAL SUPPLIES FOR BMC AND VARIOUS DISTRICT HOSPITALS</t>
  </si>
  <si>
    <t>GOODS-062220-035 - PURCHASE OF VARIOUS DRUGS AND MEDICINES FOR BMC AND VARIOUS DISTRICT HOSPITALS</t>
  </si>
  <si>
    <t>20G00097 - Construction of Revetment Wall along Cangaranan River at Cangaranan Bridge (Abutment A), Bugasong, Antique</t>
  </si>
  <si>
    <t>IMPROVEMENT OF DAY CARE CENTER</t>
  </si>
  <si>
    <t>Supply and Delivery of HDPE Pipes</t>
  </si>
  <si>
    <t>CLUSTER 16: FENCING OF BANGAO NATIONAL HIGH SCHOOL</t>
  </si>
  <si>
    <t>GOODS-062220-038 - PURCHASE OF VARIOUS DRUGS AND MEDICINES FOR PGB PHARMACY</t>
  </si>
  <si>
    <t>CLUSTER 15: CLUSTERED PROJECTS OF BARANGAY LOO – 1</t>
  </si>
  <si>
    <t>LOCAL ACCESS ROAD UPGRADING AT BRGY. AGOS-AGOS, INFANTA, QUEZON</t>
  </si>
  <si>
    <t>PEO-062220-081 - REHABILITATION/IMPROVEMENT OF MATICTIC BRIDGE, NORZAGARAY, BULACAN</t>
  </si>
  <si>
    <t>GOODS-062220-040 - PURCHASE OF VARIOUS MATERIAL AID FOR DISTRIBUTION</t>
  </si>
  <si>
    <t>GOODS-062220-039 - PURCHASE OF VARIOUS CONSTRUCTION MATERIALS FOR COMMUNITY IMPROVEMENT</t>
  </si>
  <si>
    <t>Supply and Delivery of Floor Mounted Air conditioner (Including Installation)</t>
  </si>
  <si>
    <t>Completion for Sergio Osmeña Street going Mabuhay Central Elementary School</t>
  </si>
  <si>
    <t>ROAD OPENING (SAN GREGORIO – BANUYO PHASE 3) AT BARANGAY BANUYO, BORONGAN CITY, EASTERN SAMAR</t>
  </si>
  <si>
    <t>ROAD CONCRETING AT BARANGAY AMANTACOP, BORONGAN CITY, EASTERN SAMAR</t>
  </si>
  <si>
    <t>Improvement of Farm to Market Road - Calongbuyan, Galimuyod, Ilocos Sur</t>
  </si>
  <si>
    <t>LOCAL ACCESS ROAD UPGRADING AT BRGY. ANTIKIN, INFANTA, QUEZON</t>
  </si>
  <si>
    <t>20GPJ0001:PR No. 2020-02-001 Procurement of Security Services for Day and Night Shift of DPWH-Ifugao Second District Engineering Office Main Office,Potia Sub-Office &amp; Banaue Satellite Office/Resthouse</t>
  </si>
  <si>
    <t>SUPPLY AND DELIVERY OF MEALS &amp; SNACKS</t>
  </si>
  <si>
    <t>SUPPLY AND DELIVERY OF DISASTER KIT &amp; FIRST AID BAG</t>
  </si>
  <si>
    <t>Procurement of Watercrafts</t>
  </si>
  <si>
    <t>PROCUREMENT OF BRAND NEW CUSTOMIZED RESCUE (EMERGENCY RESPONSE) VEHICLE</t>
  </si>
  <si>
    <t>CONSTRUCTION  BARANGAY STAGE - POBLACION, BARANGAY POBALCION, POLILLO, QUEZON</t>
  </si>
  <si>
    <t>CONSTRUCTION OF PROPOSED HALFWAY HOUSE FOR FORMER REBEL &amp; MILITIA NG BAYAN (BGY. IRAWAN, PUERTO PRINCESA CITY)</t>
  </si>
  <si>
    <t>20LA0132 Construction of MPB Nabunturan, (Phase 2), Compostela Valley (Hall of Justice), Compostela Valley</t>
  </si>
  <si>
    <t>SUPPLY AND DELIVERY OF ONE (1) UNIT AMBULANCE</t>
  </si>
  <si>
    <t>Purchase of Eleven (11) Units Laptop for the Use of Sangguniang Bayan</t>
  </si>
  <si>
    <t>20LA0161 Construction of Multi-Purpose Building, Tuk-an ES, Brgy. Poblacion, Laak, Compostela Valley</t>
  </si>
  <si>
    <t>20LA0136 Construction of Multi-Purpose Bldg. (Public Market), Mawab, Compostela Valley</t>
  </si>
  <si>
    <t>20LA0135 Rehabilitation of Multi-Purpose Building (Municipal Gym), Mawab, Compostela Valley</t>
  </si>
  <si>
    <t>20LA0134 Construction of Multi-Purpose Building., (Municipal Hall), Mabini, Compostela Valley</t>
  </si>
  <si>
    <t>Procurement of Motor Vehicle</t>
  </si>
  <si>
    <t>Purchase of Medical, dental and laboratory supplies for Rural Health Unit and Annual Circumcision</t>
  </si>
  <si>
    <t>20GAB0004: SUPPLY AND DELIVERY OF CHEVRON DIRETIONAL SIGN 3MM THICK ALUMINUM SHEET POST: 3MX2" DIAM. SCHEDULE 40 GOLDEN YELLOW GALVANIZED IRON POST FOR USE ALONG NATIONAL ROADS WITHIN ILOCOS NORTE 2ND</t>
  </si>
  <si>
    <t>20LA0256 Rehabilitation of MPB (GYM), Brgy. Ampawid, Laak, Compostela Valley</t>
  </si>
  <si>
    <t>20LA0254 Improvement of MPB, Barangay Cuambog, Mabini, Compostela Valley</t>
  </si>
  <si>
    <t>20LA0255 Construction of Multi-Purpose Bldg. (Brgy. Hall) San Antonio, Laak, Compostela Valley</t>
  </si>
  <si>
    <t>20LA0261 Construction of Concrete Road, Kiokmay, Laak, Compostela Valley</t>
  </si>
  <si>
    <t>20LA0259 Completion of Multi-Purpose Building (Gym), Nueva Visayas ES, Mawab, Compostela Valley</t>
  </si>
  <si>
    <t>20LA0258 Improvement of MPB (including site development), Laak NHS, Poblacion, Laak, Compostela Valley</t>
  </si>
  <si>
    <t>MAINIT- MAREGREG ROAD CONSTRUCTION</t>
  </si>
  <si>
    <t>GOODS-062220-034 - PURCHASE OF VARIOUS DRUGS AND MEDICINES FOR BMC (LGSF)</t>
  </si>
  <si>
    <t>SUPPLY AND DELIVERY OF TEMPORARY SHELTER</t>
  </si>
  <si>
    <t>20LA0257 Construction of Multi-Purpose Bldg., 10 Division Phil. Army, Brgy. Tuburan, Mawab, Compostela Valley</t>
  </si>
  <si>
    <t>Procurement of Coaster Van of LGU Tabuk</t>
  </si>
  <si>
    <t>Procurement of One (1) Unit Motor Vehicle for SP Suma-al</t>
  </si>
  <si>
    <t>20LA0260 Rehabilitation of Multi-Purpose Building (Gym) Brgy. San Roque, Nabunturan, Compostela Valley</t>
  </si>
  <si>
    <t>20LA0195 Construction of Multi-Purpose Building (Mini Gym) Naga ES, Naga, Laak, Compostela Valley</t>
  </si>
  <si>
    <t>20LA0263 Construction of Concrete Road, Naga, Laak, Compostela Valley</t>
  </si>
  <si>
    <t>20LA0272 71X-Special Maintenance of Reflective Thermoplastic Stripping Materials (Solid Form) along Daang Maharlika Road</t>
  </si>
  <si>
    <t>20LA0265 Construction of Concrete Road, Concepcion, Mawab, Compostela Valley</t>
  </si>
  <si>
    <t>20LA0270 71X-Special Maintenance of Reflective Thermoplastic Stripping Materials (Solid Form) along Montevista-Compostela-New Bataan-Maragusan-Mati Bdry. Road &amp; Benigno S. Aquino Jr. National Highway</t>
  </si>
  <si>
    <t>Procurement of One (1) Unit Motor Vehicle for SP Wacnang</t>
  </si>
  <si>
    <t>20LA0262 Construction of Concreting Road (Opening) Tagugpo, Pantukan</t>
  </si>
  <si>
    <t>20LA0269 Construction of Concrete Road Katipunan, Nabunturan, Compostela Valley</t>
  </si>
  <si>
    <t>Supply and Delivery of 8 units Portable X-ray Machine Package under Purchase Request No. 827-20</t>
  </si>
  <si>
    <t>GOODS-062220-037 - PURCHASE OF VARIOUS LABORATORY SUPPLIES FOR BMC AND VARIOUS DISTRICT HOSPITALS</t>
  </si>
  <si>
    <t>20LA0264 Construction of Concrete Road, Brgy. Tagnocon, Nabunturan, Compostela Valley</t>
  </si>
  <si>
    <t>20LA0271 66X-Selective Replacement of Concrete Pavement along Benigno S. Aquino Jr. National Highway</t>
  </si>
  <si>
    <t>Supply and delivery of various office and janitorial supplies and materials</t>
  </si>
  <si>
    <t>SUPPLY AND DELIVERY OF 2-UNITS BRAND NEW EMERGENCY RESCUE VEHICLE</t>
  </si>
  <si>
    <t>Concreting of Esso Road</t>
  </si>
  <si>
    <t>Bidding of Supply and Delivery of Office Supplies for the use of PANTAWID Staff for 2020</t>
  </si>
  <si>
    <t>20LA0267 Construction of Concrete Road, Concepcion Mawab to Calabcab Limbo Maco Road, Compostela Valley</t>
  </si>
  <si>
    <t>20LA0266 Construction of Concrete Road, Las Arenas – Araibo, Pantukan, Compostela Valley</t>
  </si>
  <si>
    <t>Repair and Maintenance of Road Safety Facilities along Apitong-Paterno Rd (S00017LT) K0908+(-550)-K0908+000 &amp; K0908+200-K0909+100, Burgos St (S00031LT) Chainage 598-Chainage 845, Caibaan Rd (S00018LT</t>
  </si>
  <si>
    <t>Construction of 4KM Covered Canal (Phase 2) - ITB 025-2020 GQ</t>
  </si>
  <si>
    <t>20LA0273 Construction of Multi-Purpose Building (Mini Gym) with Site Development, Cabacungan, Nabunturan, Compostela Valley</t>
  </si>
  <si>
    <t>CONSTRUCTION OF FARM TO MARKET ROAD AT BRGY. SAN ISIDRO ALANGALANG, LEYTE</t>
  </si>
  <si>
    <t>CONSTRUCTION OF POBLACION MULTI-PURPOSE BUILDING</t>
  </si>
  <si>
    <t>20LA0275 Construction of Concrete Road, Panibasan-Elizalde, Maco, Compostela Valley</t>
  </si>
  <si>
    <t>CONSTRUCTION/UPGRADING/CONCRETING OF STA. LUCIA ROAD</t>
  </si>
  <si>
    <t>REHAB./IMPROVEMENT OF BASKETBALL COURT (S.K FUND)</t>
  </si>
  <si>
    <t>Supply and Delivery of Office Supplies for Different Offices of LGU Calauag, Quezon for the year 2020</t>
  </si>
  <si>
    <t>20LA0274 Construction of Multi-Purpose Building Mechanized Infantry 10th Division Tuburan, Mawab, Compostela Valley</t>
  </si>
  <si>
    <t>Rental of Equipment for the Road Opening of Bunacan Road Sitio Tawid  (Buenos to Bunacan)</t>
  </si>
  <si>
    <t>20LA0276 Opening/Rehabilitation Boringot, Pantukan, Compostela Valley</t>
  </si>
  <si>
    <t>SUPPLY AND DELIVERY OF SUPPLIES &amp; MATERIALS</t>
  </si>
  <si>
    <t>Supply of gasoline and diesel fuel, additives and lubricants</t>
  </si>
  <si>
    <t>20LA0280 Construction of Concrete Road, Libaylibay-New Visayas, Sangab, Calabcab Limbo to Mawab-Maragusan Road, Mawab, Compostela Valley</t>
  </si>
  <si>
    <t>20LA0279 Construction of Concrete Road, Lumatab to Binuangan, Maco, Compostela Valley</t>
  </si>
  <si>
    <t>Conversion of Anini-y RHU to Polyclinic</t>
  </si>
  <si>
    <t>20LA0282 Construction of Multi-Purpose Building (Women’s Center), Brgy. Cabiadianan, Nabunturan, Compostela Valley</t>
  </si>
  <si>
    <t>20BF0050: Construction of Flood Control Structures at Brgy. Sto. Niño, Aurora, Isabela</t>
  </si>
  <si>
    <t>Event Styling (Municipal Gymnasium)</t>
  </si>
  <si>
    <t>20LA0278 Construction of concrete road Cabidianan to Antiquera, Nabunturan, Compostela Valley</t>
  </si>
  <si>
    <t>Purchase &amp; Delivery of Drugs &amp; Medicines for GMCH</t>
  </si>
  <si>
    <t>Concreting of Pakai Access Road (Road 5) Brgy. Matacong</t>
  </si>
  <si>
    <t>Concreting of SLR Slaughterhouse Access Road at Brgy. Mampurog</t>
  </si>
  <si>
    <t>20LA0281 Construction of Public Market and Terminal Complex (Phase 2), Brgy. Kingking (Poblacion), Pantukan, Compostela Valley</t>
  </si>
  <si>
    <t>20LA0277 Construction of concrete road, Amorcruz, Laak, Compostela Valley</t>
  </si>
  <si>
    <t>20BF0049: Construction of Multi-Purpose Building, Brgy. Macatal, Aurora, Isabela</t>
  </si>
  <si>
    <t>Installation of Automatic Fire System, Addressable Fire Detection and Alarm System, Intercom System, Cable Television and Telephone Data System</t>
  </si>
  <si>
    <t>20BF0051: Concreting of Road, Brgy. Callanguigan, Quezon, Isabela</t>
  </si>
  <si>
    <t>Rehabilitation of Birthing Clinic</t>
  </si>
  <si>
    <t>Petroleum, Oil and Lubricants</t>
  </si>
  <si>
    <t>20BF0048: Concreting of Brgy. San Miguel, Local Access Road, Luna, Isabela</t>
  </si>
  <si>
    <t>Construction of Rainwater Collection System-Tacloban National Agricultural School, Sta. Elena Elementary School, Northern Tacloban City National High School, New Hope Elementary School, Old Kawayan E</t>
  </si>
  <si>
    <t>Concreting of Velez Road at P-1, Brgy. Matacong</t>
  </si>
  <si>
    <t>Concreting of FMR (Manlimonsito to San Ramon) Brgy. Manlimonsito Phase II</t>
  </si>
  <si>
    <t>MUNICIPAL ROAD REBLOCKING POBLACION, ALANGALANG, LEYTE</t>
  </si>
  <si>
    <t>PROCUREMENT OF OFFICE SUPPLIES 2020-2021</t>
  </si>
  <si>
    <t>Sangguniang Bayan Publication of Ten (10) Ordinances</t>
  </si>
  <si>
    <t>20BF0054: Concreting of Katuday-Simimbaan Road, Brgy. Bantug and Brgy. Simimbaan, Sta. 0+000 to Sta. 3+600, Roxas, Isabela</t>
  </si>
  <si>
    <t>Improvement of Farm to Market Road - Sabangan Bato, Galimuyod, Ilocos Sur</t>
  </si>
  <si>
    <t xml:space="preserve">20HN0113 -Construction/Rehabilitation of Water Supply/Septage and  Sewerage/Rain Water Collectors - Rain Water Collectors in Public Facilities namely: (a) Opao ES; (b) Casili ES; (c) Leonard Wood ES; </t>
  </si>
  <si>
    <t>Procurement of Service/supply contract for gasoline and lubricants for use I service vehicle lights/heavy equipments, brushcutter, plate compactor, concrete cutter, chainshaw and other construction eq</t>
  </si>
  <si>
    <t>Concreting of Patpatani Road</t>
  </si>
  <si>
    <t>20HN0112 -Repair/Maintenance of Flood Control and Drainage  Structures along Butuanon Creek-Paknaan, Mandaue, Cebu</t>
  </si>
  <si>
    <t>Purchase of Construction Materials for Use in Pavement Markings along National Roads and Bridges within DPWH- Pampanga 2nd District Engineering Office, San Antonio, Guagua, Pampanga</t>
  </si>
  <si>
    <t>Procurement of It Equipment, Appliances, Office Equipment, Furniture and Fixture and Medical Training Equipment - Lot 2 - Appliances - PHSO</t>
  </si>
  <si>
    <t>20JG0074 - Construction / Rehabilitation of Water Supply / Rain Water Collector System</t>
  </si>
  <si>
    <t>SUPPLY AND DELIVERY OF CONTAINER VAN (MTO)</t>
  </si>
  <si>
    <t>Procurement of It Equipment, Appliances, Office Equipment, Furniture and Fixture and Medical Training Equipment  - Lot 1 - IT Equipment - PHSO</t>
  </si>
  <si>
    <t>20BF0053: Concreting of Road, Brgy. San Antonio, Roxas, Isabela</t>
  </si>
  <si>
    <t>CLUSTER 25-2020</t>
  </si>
  <si>
    <t>CONTINUATION OF KANAY NATONIN FOOTBRIDGE, NATONIN</t>
  </si>
  <si>
    <t>20BF0052: Concreting of Road, Brgy. Bannawag, Aurora, Isabela</t>
  </si>
  <si>
    <t>Procurement of One (1) Unit BRAND NEW 4x4 SUV Vehicle for the Use of the Provincial Government of Davao Oriental</t>
  </si>
  <si>
    <t>20HN0114 -Rehabilitation of DICT Building, Nat'l. Telecommunication  Commission, Brgy. Subangdaku, Mandaue City</t>
  </si>
  <si>
    <t>Procurement of It Equipment, Appliances, Office Equipment, Furniture and Fixture and Medical Training Equipment Lot 4 - furniture and Fixture - PHSO</t>
  </si>
  <si>
    <t>Proposed Construction of Pathway and Canal with Cover, M.H. del Pilar St. Brgy. Libid, Binangonan Rizal</t>
  </si>
  <si>
    <t>PIKCOT-002020-010 ( IMPROVEMENT OF VARIOUS BARANGAY ROADS)</t>
  </si>
  <si>
    <t>Proposed Construction of Road with Canal, Mechilina &amp; Aragoza Extension, Brgy. Batingan, Binangonan Rizal</t>
  </si>
  <si>
    <t>Procurement of It Equipment, Appliances, Office Equipment, Furniture and Fixture and Medical Training Equipment  - Lot 5 Medical Training Equipment - PHSO</t>
  </si>
  <si>
    <t>Procurement of One (1) Unit Photocopier and Air Conditioning Unit - Lot 2 - Air Conditioning Unit</t>
  </si>
  <si>
    <t>Procurement of One (1) Unit BRAND NEW 4x2 SUV Vehicle for the Use of the Provincial Government of Davao Oriental</t>
  </si>
  <si>
    <t>Proposed Improvement of Road, J. Ulang St. Brgy. Tatala, Binangonan Rizal</t>
  </si>
  <si>
    <t>Proposed Improvement of Road, Viernes St. Brgy. Mahabang Parang, Binangonan Rizal</t>
  </si>
  <si>
    <t>SUPPLY AND DELIVERY OF MOTOR CYCLE</t>
  </si>
  <si>
    <t>20CSLC03 CONSULTANCY SERVICES FOR GEOTECHNICAL, GEOLOGICAL SURVEYS/ INVESTIGATIONS &amp; STRUCTURAL ANALYSIS &amp; DESIGN FOR THE PROPOSED CONSTRUCTION OF MULTI-PURPOSE BUILDING (FISH LANDING FACILITY)</t>
  </si>
  <si>
    <t>ESTABLISHMENT OF ORGANIC TRADING POST</t>
  </si>
  <si>
    <t>Supply &amp; Delivery of Mechanical Parts for FG Wilson Gensets of Pangutaran DPP (S3-PPP20-005)</t>
  </si>
  <si>
    <t>Supplying of Fuel, Oil and Gasoline for Heavy Equipment and Various Vehicle (PR#20-06-0569)</t>
  </si>
  <si>
    <t>Proposed Improvement of Road, Picones St. Brgy. Tatala, Binangonan Rizal</t>
  </si>
  <si>
    <t>Proposed Improvement of Road, San Rafael St. Brgy. Pantok, Binangonan Rizal</t>
  </si>
  <si>
    <t>Beaching and Other Related Repairs of SURC 03 and SURC 04</t>
  </si>
  <si>
    <t>20GEF010 Cluster V -1. Supply and Delivery of Oil and Lubricants for use of Heavy Equipment, Service Vehicles, Grass Cutter and Chainsaw assigned at DPWH Palawan 2nd District Engineering Office 2. Sup</t>
  </si>
  <si>
    <t>Proposed Improvement of Road, Cerrero St. Brgy. Mahabang Parang, Binangonan, Rizal</t>
  </si>
  <si>
    <t>PROCUREMENT OF PPSC FY2020 PUBLICATIONS</t>
  </si>
  <si>
    <t>RJO, Replacement of Water Supply &amp; Cooling System Pipings for Jolo DPP (S3-JOL20-005)</t>
  </si>
  <si>
    <t>CLUSTER 26-2020</t>
  </si>
  <si>
    <t>Construction of Watch Tower (Brgy. Zone - 1A, Pulupandan, Negros Occ.)</t>
  </si>
  <si>
    <t>Improvement of Farm to Market Road Leading to Eco-Tourism Park, Abaya, Galimuyod, Ilocos Sur</t>
  </si>
  <si>
    <t>Procurement of Diesel (Land Development of Balai Maganahay at Brgy. Dawan)</t>
  </si>
  <si>
    <t>SUPPLY, DELIVERY AND INSTALLATION OF BRAND NEW GENERATING SET WITH WIRING AND ACCESSORIES</t>
  </si>
  <si>
    <t>Construction/Improvement of C.H.B. Covered Drainage Canal with Concrete Slab &amp; Manhole, Zone 1, Barangay Lipit Norte, Manaoag, Pangsinan</t>
  </si>
  <si>
    <t>Proposed Construction and Improvement of Road, Arabit St. Brgy. Mambog, Binangonan Rizal</t>
  </si>
  <si>
    <t>WDDSP-TWD-IFB-G03b</t>
  </si>
  <si>
    <t>Proposed Site Development of Government Center, Antolines St. Brgy. Calumpang, Binangonan Rizal</t>
  </si>
  <si>
    <t>Proposed Construction of Canal, Purok 2 &amp; 3, Brgy. Bangad, Binangonan Rizal</t>
  </si>
  <si>
    <t>Proposed Installation and Rectification of Road Sign around Binangonan Area</t>
  </si>
  <si>
    <t>Proposed Repainting of MSP Building @ Jacamar St., Brgy. Sta Elena, Marikina City</t>
  </si>
  <si>
    <t>Construction  and Imrpovement of various Municipal Projects (Package 20-05)</t>
  </si>
  <si>
    <t>INVITATION TO BID FOR THE PROCUREMENT OF VARIOUS IT EQUIPMENT AND ACCESSORIES FOR BUSINESS ONE-STOP SHOP CENTER (BOSS CENTER),  CITY OF ALAMINOS, PANGASINAN</t>
  </si>
  <si>
    <t>ROAD OPENING TO SITIO CALBAYUGAY BRGY. CABADSAN, ALANGALANG, LEYTE</t>
  </si>
  <si>
    <t>Proposed Painting of Flooring Outdoor Court @ Marikina Sports Complex, Brgy. Sta Elena, Marikina City</t>
  </si>
  <si>
    <t>SUPPLY AND DELIVERY OF FERTILIZER, VEGETABLE SEEDS AND OTHER SUPPLIES &amp; MATERIALS</t>
  </si>
  <si>
    <t>Proposed Construction  of Inter connecting Road from Barangay Kalawaan to Brgy. Pantok to Brgy. Palangoy (Phase II)</t>
  </si>
  <si>
    <t>Supply and Delivery of Foodstuff Requirements of Residential Care Facilities (RCFs) of the Department of Social Welfare and Development – National Capital Region (DSWD-NCR) for the period of August 1,</t>
  </si>
  <si>
    <t>CONSTRUCTION OF BARANGAY ROADS- CLUSTER 5 (BRGY. BATAAN, IMELDA, BULSA)</t>
  </si>
  <si>
    <t>Hauling Services for the Shipment of 1 x 545KW Genset from Basilan DPP to Sitangkai DPP, Tawi Tawi  (S3-WMO20-007 (Re-bid)</t>
  </si>
  <si>
    <t>Purchase of Mini Fire Truck</t>
  </si>
  <si>
    <t>Proposed Improvement of Wharf, Brgy. Ginoong Sanay, Binangonan Rizal</t>
  </si>
  <si>
    <t>Supply &amp; Delivery of Various O-Rings for Power Barge 119 (S3-B1920-009)</t>
  </si>
  <si>
    <t>Proposed Construction of Waiting Shed and Concrete Benches, Wharf, Sitio Makambong, Brgy. Habagatan, Binangonan Rizal</t>
  </si>
  <si>
    <t>Proposed Construction of Waiting Shed &amp; Concrete Benches, Municipal Cemetery, Brgy. Kaytome, Binangonan Rizal</t>
  </si>
  <si>
    <t>PROCUREMENT OF INFRASTRUCTURE PROJECT:  CONSTRUCTION OF LOWER BOLO BOX CULVERT</t>
  </si>
  <si>
    <t>INVITATION TO BID FOR THE CONSTRUCTION OF SLOPE PROTECTION, CROSS DRAINAGE, RAIL GUARD AND CONCRETE SLAB AT NARRA ST., BRGY. SAN JOSE, CITY OF ALAMINOS, PANGASINAN</t>
  </si>
  <si>
    <t>Proposed Improvement of Road, Kaimito St. Sta. Ursula Subd. Brgy. Batingan, Binangonan Rizal</t>
  </si>
  <si>
    <t>CONCRETING OF LOCAL  ROAD -Liwayway, Brgy. Lalig, Tiaong, Quezon</t>
  </si>
  <si>
    <t>CONSTRUCTION OF BARANGAY ROADS- CLUSTER 6 (BRGY. LAIYA APLAYA, COLOCONTO, NAGSAULAY)</t>
  </si>
  <si>
    <t>Proposed Construction of Barangay Hall Extension, Barangay Hall Compound, Brgy. Pag-asa, Binangonan Rizal</t>
  </si>
  <si>
    <t>Purchase of Rescue Ambulance</t>
  </si>
  <si>
    <t>Proposed Improvement of Barangay Hall, Brgy. Layunan, Binangonan Rizal</t>
  </si>
  <si>
    <t>PARCELLARY SURVEY OF BUKAL-ANTIPOLO-TUKALAN ROAD</t>
  </si>
  <si>
    <t>20CSHN02 -Conduct of Appraisal Services involving Road Widening – Tertiary Roads - Hernan Cortes St - Chainage 1380 –  Chainage 2330, Mandaue City</t>
  </si>
  <si>
    <t>Procurement of Freon for aircondition uint of RFIMC Building office, PFO-office, ORD office, CFRDC Building and Maso Farm Station office.</t>
  </si>
  <si>
    <t>INVITATION TO BID FOR THE SUPPLY AND DELIVERY OF ONE(1) UNIT SERVICE VEHICLE</t>
  </si>
  <si>
    <t>CONSTRUCTION OF CONCRETE FOOT BRIDGE (CALAIS)</t>
  </si>
  <si>
    <t>Procurement of Nutrition and Dietetics Service Equipment</t>
  </si>
  <si>
    <t>Proposed Construction of Covered Court, Barangay Gulod, Binangonan Rizal</t>
  </si>
  <si>
    <t>PROVISION OF LABOR, MATERIALS, EQUIPMENT RENTALS AND OTHER INCIDENTALS NEEDED FOR THE RECONSTRUCTION/ENHANCEMENT OF PIGGERY FENCE AT DA-PREC, SUAL, PANGASINAN</t>
  </si>
  <si>
    <t>Construction of 2nd Floor of RHU Building</t>
  </si>
  <si>
    <t>Concreting of Municipal Road at Tamayo Street, Barangay Poblacion and Canomay, Dimasalang, Masbate</t>
  </si>
  <si>
    <t>CONSTRUCTION OF ROCK CAUSEWAY (SOLAR)</t>
  </si>
  <si>
    <t>Procurement of Vacuum Truck for the Septage Treatment Plant of Norzagaray Water District</t>
  </si>
  <si>
    <t>Proposed Demolition of Structure and Construction of Steel Fence and Laying of Tiles, Binangonan Fishport, Brgy. Libid, Binangonan Riza</t>
  </si>
  <si>
    <t>Supply and Delivery of IT Equipment and Peripherals</t>
  </si>
  <si>
    <t>CONSTRUCTION OF MALUMA SITIO SANGAYAN - ALVANIZ HANGING BRIDGE (PHASE II) , BARANGAY CUYAPIAO , PATNONGON, ANTIQUE</t>
  </si>
  <si>
    <t>Proposed Installation of Streetlights, L. Anore St. going to Mountainville Phase 2, Purok 5) Brgy. Tatala, Binangonan Rizal</t>
  </si>
  <si>
    <t>Proposed Widening of Road/Improvement of Barrio Road, Barangay Pag-asa, Binangonan Rizal</t>
  </si>
  <si>
    <t>Proposed Installation of Streetlights, A. Bonifacio St. (from JM Basa St. to Libid Elementary School) Brgy. Libid, Binangonan Rizal</t>
  </si>
  <si>
    <t>Proposed Installation of Streetlights, Mabuhay Homes from Tricycle Terminal to Barangay Hal Annex, Brgy. Pantok, Binangonan Rizal</t>
  </si>
  <si>
    <t>20GA0063 - Aklan River Flood Control Project, Lezo, Aklan</t>
  </si>
  <si>
    <t>Proposed Installation of Streetlights, J.M. Basa St. Brgy. Libid, Binangonan Rizal</t>
  </si>
  <si>
    <t>Proposed Improvement and Construction of Creekwall Protection, Brgy. Malakaban, Binangonan Rizal</t>
  </si>
  <si>
    <t>Proposed Construction of Slope Protection, upper side Barangay Kinaboogan, Binangonan Rizal</t>
  </si>
  <si>
    <t>Supply and Delivery of various sizes of Brass Water Meter complete with accessories (2-Tailpiece, 2-Nut, 2-Gasket)</t>
  </si>
  <si>
    <t>Proposed Installation of Streetlights, F. Cequeña St. from Manila East Road to Macamot Elem. School, Brgy. Macamot, Binangonan Rizal</t>
  </si>
  <si>
    <t>Proposed Improvement of Mini Park Extension, Barangay Bombong, Binangonan Rizal</t>
  </si>
  <si>
    <t>20GA0064 - Aklan River Flood Control Projects, Numancia, Aklan</t>
  </si>
  <si>
    <t>PROVISION OF LABOR, MATERIALS, EQUIPMENT RENTALS AND OTHER INCIDENTALS NEEDED FOR THE REHABILITATION AND ENHANCEMENT OF DUPLEX ROOFING AT DA-INREC, DINGRAS, ILOCOS NORTE</t>
  </si>
  <si>
    <t>SUPPLY AND DELIVERY OF PERSONAL PROTECTIVE GEAR</t>
  </si>
  <si>
    <t>Supply an Delivery of Materials, Labor and Equipment for the Construction of National Child Development Center at Brgy. Bawi, Padre Garcia, Batangas</t>
  </si>
  <si>
    <t>CONSTRUCTION OF PWD'S TRAINING CENTER</t>
  </si>
  <si>
    <t>CONSTRUCTION OF BARANGAY ROADS- CLUSTER 8 (BRGY. SICO 2.0, CATMON, POCTOL)</t>
  </si>
  <si>
    <t>On-going Construction of DNHS Covered Court</t>
  </si>
  <si>
    <t>CONSTRUCTION OF BARANGAY ROADS- CLUSTER 7 (BRGY. MUZON, PALAHANAN 2.0, LIBATO)</t>
  </si>
  <si>
    <t>Purchase of Rescue Vehicle</t>
  </si>
  <si>
    <t>Proposed Construction of Artesian Well, Purok 7 near Herminigildo Sisante Res. Brgy. Habagatan, Binangonan Riza</t>
  </si>
  <si>
    <t>Drilling Works/Exploration of water source for supplementation of Level III Water Supply System</t>
  </si>
  <si>
    <t>(19Z00042) Contract Package -1, Design and Build of the Ambal-Simuay River and Rio Grande De Mindanao Flood Control Projects</t>
  </si>
  <si>
    <t>Construction of Building and Grounds Services (BGS) Building</t>
  </si>
  <si>
    <t xml:space="preserve">20GH00001 - Supply, Delivery and Installation of one (1) unit Permanent Weigh In Motion Axle Scale for Tamisu Weighbridge Station, Bais City, Negros Oriental and two (2) unit Portable Weigh In Motion </t>
  </si>
  <si>
    <t>PROVISION OF LABOR, MATERIALS, EQUIPMENT RENTALS AND OTHER INCIDENTALS NEEDED FOR THE RECONSTRUCTION OF GARLIC STORAGE FACILITY AT DA-INREC, BATAC CITY, ILOCOS NORTE</t>
  </si>
  <si>
    <t>PURCHASE OF MEDICINES</t>
  </si>
  <si>
    <t>Construction of Slaughterhouse at Municipal Agriculture Office Compound</t>
  </si>
  <si>
    <t>Supply and Delivery of various Plumbing Materials and Fittings for Upgrading of Water Meters</t>
  </si>
  <si>
    <t>Purchase of 1 Unit Ambulance</t>
  </si>
  <si>
    <t>Drilling and Construction of One Test/Production Well (Rotary Method)</t>
  </si>
  <si>
    <t>PURCHASE AND DELIVERY OF ONE (1) UNIT PASSENGER VAN (Rescue Response Vehicle), MDRRMO, Can-avid Eastern Samar</t>
  </si>
  <si>
    <t>CONSTRUCTION OF MULTI-PURPOSE/EVACUATION CENTER IN IGSORO ELEMENTARY SCHOOL, BRGY. IGSORO, BUGASONG (Igsoro Elementary School, Brgy. Igsoro, Bugasong, Antique)/IB. NO. K-2020-050(SC)</t>
  </si>
  <si>
    <t>Supply and Delivery of Medical, Dental and Laboratory Supplies</t>
  </si>
  <si>
    <t>INVITATION TO BID FOR THE PROCUREMENT OF LABOR &amp; MATERIALS FOR ESTABLISHMENT OF TOURISM INFORMATION CENTER LOCATED AT POBLACION MONKAYO DAVAO DE ORO</t>
  </si>
  <si>
    <t>CONSTRUCTION OF BARANGAY ROADS- CLUSTER 9 (BRGY. CALUBCUB 2.0, PINAGBAYANAN, QUIPOT)</t>
  </si>
  <si>
    <t>CONSTRUCTION OF SAN ANTONIO BRIDGE APPROACHES</t>
  </si>
  <si>
    <t>Procurement of AGRICULTURAL PRODUCTS (SEEDLINGS)</t>
  </si>
  <si>
    <t>PROVISION OF LABOR, MATERIALS, EQUIPMENT RENTALS AND OTHER INCIDENTALS NEEDED FOR THE RECONSTRUCTION OF BUFFER SEED BODEGA AT DA-INREC, BATAC CITY, ILOCOS NORTE</t>
  </si>
  <si>
    <t>SUPPLY &amp; DELIVERY OF VARIOUS OFFICE FURNITURES</t>
  </si>
  <si>
    <t xml:space="preserve">20EF0113 Repair/Maintenance of DPWH Building, Maintenance Building National Highway, Brgy. Antipuluan, Narra, Palawan Earthworks, Plain and Reinforced Concrete Works, Finishing and other Civil Works, </t>
  </si>
  <si>
    <t>Installation of Streetlights Along Guimbal Roads</t>
  </si>
  <si>
    <t>CONSTRUCTION OF MULTI-PURPOSE/EVACUATION CENTER EASTERN LAUA-AN NHS IN BRGY. MARIA, LAUA-AN (Eastern Laua-an NHS, Brgy. Maria, Laua-an, Antique)/IB. NO. K-2020-051(SC)</t>
  </si>
  <si>
    <t>Construction/Improvement of C.H.B. Covered Drainage Canal with Concrete Slab &amp; Manhole, Zone 3, Barangay Lipit Sur, Manaoag, Pangsinan</t>
  </si>
  <si>
    <t>REBIDDING OF SUPPLY AND DELIVERY OF EIGHTEEN THOUSAND TWO HUNDRED FIFTY (18,250) HEADS IMPROVED CHICKEN</t>
  </si>
  <si>
    <t>CONSTRUCTION OF EVACUATION CENTER (Brgy. Bari, Sibalom, Antique)/IB. NO. K-2020-053(SC)</t>
  </si>
  <si>
    <t>REHABILITATION OF SEAWALL PROTECTION IN  BARANGAY LISUB-A, ANINI-Y (Brgy. Lisub-A, Anini-y, Antique)/IB. NO. K-2020-052(SC)</t>
  </si>
  <si>
    <t>Construction/Improvement of Covered Drainage Canal with Concrete Manhole Nearby Barangay Hall, Barangay Sta. Ines, Manaoag, Pangasinan</t>
  </si>
  <si>
    <t>NEGOTIATED PROCUREMENT OF SUPPLY, DELIVERY, INSTALLATION AND CONFIGURATION OF VARIOUS ICT EQUIPMENT AND COMPUTER SOFTWARE IN SUPPORT TO OPERATIONS AND RESEARCH DIVISION</t>
  </si>
  <si>
    <t>Construction of Flood Control Projects (Canalization)</t>
  </si>
  <si>
    <t>Procurement of DRUGS AND MEDICINES</t>
  </si>
  <si>
    <t>Construction of Mabasa Potable Water Supply System (Level II)</t>
  </si>
  <si>
    <t>ITB No. 2020-06-19 Supply and Delivery of various Fertilizers</t>
  </si>
  <si>
    <t>CID NO. 20IF0092 (READV) Preventive Maintenance -Primary Roads-Ormoc-Baybay Southern Leyte Bdry. Road, K1014+541-K1015+503, K1015+612-K1016+314, K1016+327-K1017+201, K1017+247-K1017+840, K1022+992-K10</t>
  </si>
  <si>
    <t>Replacement of Belt Conveyor Rollers (2nd Public Bidding)</t>
  </si>
  <si>
    <t>CONCRETING OF LOCAL  ROAD - Sitio Ilaya, Brgy. Behia</t>
  </si>
  <si>
    <t>Technical Assistance in the Formulation of Comprehensive Land Use Plan (CLUP) &amp; Zoning Ordinance  (ZO).</t>
  </si>
  <si>
    <t>New Construction of Level-II Potable Water System at Sitio Luway, Brgy. Cajimos, Romblon, Romblon - MEO</t>
  </si>
  <si>
    <t>Two (2) Years and Six (6) Months Contract for Security Services (July 2020 to December 2022)</t>
  </si>
  <si>
    <t>ITB-GS-20200325-01 - One (1) Year Courier Services for LANDBANK Credit Cards, Statement of Accounts and Other Credit Card Related Parcels</t>
  </si>
  <si>
    <t>INVITATION TO SUBMIT QUOTATION  FOR CATERING SERVICES WITH VENUE AND ACCOMMODATION  DURING THE 2020 CENSUS OF POPULATION AND HOUSING (2020 CPH)  SECOND LEVEL TRAINING ON JULY 20-JULY 25, 2020  AT TUGU</t>
  </si>
  <si>
    <t>20EI0177 - Repair/Maintenance of DILG Building-BJMP Multi-Purpose Hall, Roxas, Oriental Mindoro_055</t>
  </si>
  <si>
    <t>ITB-GS-20200402-01 - Supply and Delivery of 250 Units Gigabit Ethernet Switch</t>
  </si>
  <si>
    <t>SUPPLY AND INSTALLATION OF SOLAR POWER INVERTER FOR NIA - CEBU IMO OFFICE BUILDING RENOVATION</t>
  </si>
  <si>
    <t>Purchase of Electrical Supplies</t>
  </si>
  <si>
    <t>sUPPLY AND dELIVERY OF FERTILIZER</t>
  </si>
  <si>
    <t>Supply &amp; Delivery of Switchgear &amp; Relay Module for Sitangkai DPP (S3-SIT20-014 (Re-bid)</t>
  </si>
  <si>
    <t>Procurement of Civil Works for the Concreting of Anque Street ( From Rizal Street to Dagohoy Street) Poblacion A, Mlang, Cotabato.</t>
  </si>
  <si>
    <t>FURNISHING OF CONSTRUCTION MATERIALS FOR CABCABAN COMMUNAL IRRIGATION PROJECT</t>
  </si>
  <si>
    <t>Supply and Delivery of Urea Plus Zinc Fertilizers</t>
  </si>
  <si>
    <t>Supply &amp; Delivery of Digital Controller, Rotating Diode &amp; Diode Plate Holder for Basilan DPP per PR # S3-BAI20-018 &amp; S3-BAI20-022 (S3-SPUGWM20-010 (Re-bid)</t>
  </si>
  <si>
    <t>20EI0178 - Construction/Rehabilitation of Water Supply/Septage and Sewerage/Rainwater Collectors, Pinamalayan - Bulalacao, Oriental Mindoro_056</t>
  </si>
  <si>
    <t>Procurement of Supply and Delivery of Office Supplies</t>
  </si>
  <si>
    <t>CONCRETING OF FARM TO MARKET ROAD AT BARANGAY SITE OF  BARANGAY SAN JOSE</t>
  </si>
  <si>
    <t>Rehabilitation and Expansion of NARC Tissue Culture Laboratory</t>
  </si>
  <si>
    <t>CONSTRUCTION OF NEW ROAD WITH DRAINAGE SYSTEM</t>
  </si>
  <si>
    <t>PROCUREMENT OF LABOR, MATERIALS &amp; EQUIPMENT FOR THE CONSTRUCTION OF LEVEL 1 WATERWORKS SYSTEM (DRILLING OF PRODUCTION WELL AS SOURCE) AT CANSUJE, ARGAO, CEBU</t>
  </si>
  <si>
    <t>ITB-GS-20200407-01 - Supply, Delivery, Installation &amp; Configuration of Privileged Access Management (PAM) Solution  with Hardware Appliance with Three (3) Years Warranty</t>
  </si>
  <si>
    <t>Enhancement &amp; Upgrading of Business Permit and License System as requested by the Business Permit &amp; Licensing Office</t>
  </si>
  <si>
    <t>PROCUREMENT OF CATERING SERVICES FOR THE 4TH LEVEL TRAINING OF 2020 CENSUS OF POPULATION AND HOUSING (2020 CPH) IN CARAGA REGION</t>
  </si>
  <si>
    <t>RFQ-20-06-017</t>
  </si>
  <si>
    <t>20EF0114 Repair/Maintenance of Isumbo Bridge (Partial Deck Slab Replacement) along Puerto Princesa Road, K0131+479 Sofronio Española, Palawan</t>
  </si>
  <si>
    <t>20PK0065 - Capital Outlay - Construction/Rehabilitation of Water Supply/Septage and Sewerage/Rain Water Collector Systems - Rain Water Collectors in Public Facilities - CAR, Various Location (Balbalan</t>
  </si>
  <si>
    <t>INVITATION TO BID FOR THE PROCUREMENT OF LABOR &amp; MATERIALS FOR RENOVATION OF DRY MARKET LOCATED AT BLOCK 2, MARKET SITE, BARANGAY POBLACION, MONKAYO DAVAO DE ORO</t>
  </si>
  <si>
    <t>NCB Publication No. 2020- 14 (First Publication)- Counterpart for the Upgrading of Sheep and Goat House</t>
  </si>
  <si>
    <t>RFQ-20-06-018</t>
  </si>
  <si>
    <t>20CG0123 (r) - Network Development Program Construction of By-Pass and Diversion Roads Sta. Ana-Arayat Bypass Road, Package 2, Pampanga</t>
  </si>
  <si>
    <t>RFQ-20-06-016</t>
  </si>
  <si>
    <t>SUPPLY AND DELIVERY OF IT EQUIPMENT (Office of the Municipal Agriculturist)</t>
  </si>
  <si>
    <t>Procurement of Comprehensive Asset Management and Inventory System - CGSO</t>
  </si>
  <si>
    <t>RFQ-20-06-019</t>
  </si>
  <si>
    <t>NCB Publication No. 2020- 11 (Package 2020-06 - PB 1. Saddle Jucbong Road Improvement  2. FMR Improvement at Jucbong 3. Jucbong Sadel Road Improvement (Riprap)</t>
  </si>
  <si>
    <t>20EF0115 Repair/Maintenance of DPWH Bldg. (Main Building) Palawan II DEO National Highway Brgy. Antipuluan, Narra, Palawan Finishing, Plumbing/Sanitary Works</t>
  </si>
  <si>
    <t>supply &amp; delivery of Ammunitions</t>
  </si>
  <si>
    <t>CONSTRUCTION OF PUBLIC MARKET BUILDING - PHASE 3</t>
  </si>
  <si>
    <t>20GAJ0004-Furnishing and Delivery of Materials for Thermoplastic Marking Application &amp; Repainting of Centerline, Laneline, and Pedestrian Crosswalk (Work Category # 10) along National Roads within the</t>
  </si>
  <si>
    <t>CONSTRUCTION OF MULTI-PURPOSE BUILDING (PHASE II)</t>
  </si>
  <si>
    <t>Formulation/Development/Implementation and Maintenance of Digital Plaform of the Province of Sorsogon</t>
  </si>
  <si>
    <t>20EF0117 Repair/Maintenance of DPWH Building BAC Building (Motorpool) National Highway, Brgy. Antipuluan, Narra, Palawan Earthworks, Plain and Reinforced Concrete Works, Finishing and other Civil Work</t>
  </si>
  <si>
    <t>20GAJ0005-Furnishing and Delivery of Various Office and Janitorial Services Supplies for use in the DPWH-Pangasinan IV District Engineering Office</t>
  </si>
  <si>
    <t>RFQ-20-06-020</t>
  </si>
  <si>
    <t>NCB Publication No. 2020- 16 (First Publication)- Package 2020-10 - PB (1. Buludna- Bana-ao Road Improvement 2. FMR Improvement at Burnay 3. Latbuag Footbridge Construction Brgy. Burnay)</t>
  </si>
  <si>
    <t>NCB Publication No. 2020- 15 (First Publication)-Package 2020-09 - PB (1. Tupaya FMR Improvement, Tupaya 2. Maanaw- Mabbog Road Improvement, Tupaya 3. Construction Of Momma- Rangtay CIS, Tupaya)</t>
  </si>
  <si>
    <t>Construction of Water System at Upper Kalaparan</t>
  </si>
  <si>
    <t>Proposed Extension of Binangonan-Morong Interconnecting Road, Binangonan Rizal</t>
  </si>
  <si>
    <t>Proposed 3% Completion of Binangonan-Morong Interconnecting Road, Binangonan Rizal</t>
  </si>
  <si>
    <t>Procurement of Assorted Goods for Centers/Institutions (HFG &amp; RSCC)</t>
  </si>
  <si>
    <t>20EF0116 Repair/Maintenance of DPWH Building MQC Building National Highway, Brgy. Antipuluan, Narra, Palawan Earthworks, Plain and Reinforced Concrete Works, Finishing and other Civil Works, Electrica</t>
  </si>
  <si>
    <t>Procurement of One (1) Unit Distribution Transformer  - SOYMPH</t>
  </si>
  <si>
    <t>Proposed  Continuation of Kasinay St. Kalawaan to Quarry Road, Brgy. Pantok  Interconnecting Road</t>
  </si>
  <si>
    <t>Proposed Installation of Water Pipeline along Main Road, Brgy. Kinaboogan, Binangonan Rizal</t>
  </si>
  <si>
    <t>Supply of Materials, Labor and Equipment for the Construction of Pump House and Perimeter Fence and Site Development of Linao Norte Pumping Station 02, Linao Norte, Tuguegarao City</t>
  </si>
  <si>
    <t>Supply and Delivery of Foliar Fertilizers for High Value Crops Upgrading and Development Program in the Municipality of Victoria, Oriental Mindoro</t>
  </si>
  <si>
    <t>Re-Bidding of the Procurement for the Supply, Delivery, Installation and Commissioning of Public Address System for USTP-CDO</t>
  </si>
  <si>
    <t>Supply and Delivery of One (1) unit Brand New Backhoe (Hydraulic Excavator) in the Municipality of Victoria, Oriental Mindoro</t>
  </si>
  <si>
    <t>Procurement of One (1) Unit Service Vehicle - PTO</t>
  </si>
  <si>
    <t>20LB0184 - Construction of Drainage - Magsaysay Avenue - (S01445mn) Chainage 171</t>
  </si>
  <si>
    <t>Proposed Construction of Artesian Well, Purok I near Joseph Gondraneos Res. Brgy. Rayap, Binangonan Rizal</t>
  </si>
  <si>
    <t>20LB0156 - Construction/ Rehabilitation of Drainage Along Pag-asa St. – Suazo St. – Jct. Quezon Boulevard Main Drain, Davao City</t>
  </si>
  <si>
    <t>PB INFRA 20-032_Concreting of Road, Purok 5, Gubatan, Magpet, Cotabato</t>
  </si>
  <si>
    <t>20LB0169 - Construction of Revetment along Matina River, Matina Pangi Bridge Upstream Section, Davao City</t>
  </si>
  <si>
    <t>ITB, DILG PCF 2019</t>
  </si>
  <si>
    <t>20LB0163 - Construction of Flood Mitigation Structure along Matina River, Matina Bridge Upstream, Matina Pangi Section, Left Bank, Davao City</t>
  </si>
  <si>
    <t>PB INFRA 20-031_Concreting of Road, Brgy. Tubon,Pigcawayan, Cotabato</t>
  </si>
  <si>
    <t>PROCUREMENT OF DRUGS &amp; MEDICINES FOR FY 2020</t>
  </si>
  <si>
    <t>PB INFRA 20-029_Concreting of Bulacaon Road, Pigcawayan, Cotabato</t>
  </si>
  <si>
    <t>NE 62R - SIMIMBAAN SWIP</t>
  </si>
  <si>
    <t>Purchase of Polo Shirt with Print for the Youth Symposium Program of the Provincial Government of Zamboanga del Sur (2nd Batch)</t>
  </si>
  <si>
    <t>NE 63R - PAITAN SWIP</t>
  </si>
  <si>
    <t>PB INFRA 20-023_Concreting of Road, Lower Glad, Midsayap, Cotabato</t>
  </si>
  <si>
    <t>20LB0189 - Road Widening along Davao - Cotabato Old Rd - K1522+678 - K1522+808, K1522+826 - K1522+968, K1525+328, K1525+563 - K1525+570</t>
  </si>
  <si>
    <t>IB NO. 2020-06-40 Procurement of TONER CATRIDGES FOR PHOTOCOPIER CY 2020</t>
  </si>
  <si>
    <t>Contract ID 2020-IG-017 - Purchase of Materials for Bituminous Pavement Maintenance along Daang Maharlika K0974+000 to K0976+000, K0983+000 to K0986+500</t>
  </si>
  <si>
    <t>20MF0076-Repair/Maintenance of Drainage Canal along Dulawan-Marbel Road, K1750+666-K1750+941 (Left Side), Lambayong, Sultan Kudarat</t>
  </si>
  <si>
    <t>20MF0079-Repair/Maintenance of Drainage Canal along Kidapawan-Allah Jct.Road, K1673+(-980)-K1673+(-500) Both Sides, Tacurong City, Sultan Kudarat</t>
  </si>
  <si>
    <t>PROJECT # 20-041 - PROCUREMENT OF FURNITURES AND FIXTURES FOR SCHOOL LIBRARIES- CITY SCHOOL DIVISION OFFICE</t>
  </si>
  <si>
    <t>IB NO. 2020-06-38R LINEN SUPPLIES (REBID)</t>
  </si>
  <si>
    <t>20LB0190 - Road Widening along Davao - Cotabato Rd. (Davao City - Jct. Digos Sect.) K1519+920- K1519+1100, K1520+048 - K1520+183, K1520+204 - K1520+330, K1520+850 - K1520+950, K1523+310</t>
  </si>
  <si>
    <t>Contract ID 20IG0068 - Repair/Rehabilitation of Concrete Pavement along Daang Maharlika</t>
  </si>
  <si>
    <t>20LB0231 - Rehabilitation of Road (installation of Solar Lights), Brgy. Pañalum, Paquibato District, Davao City</t>
  </si>
  <si>
    <t>IB NO. 2020-06-43R Procurement of Drugs and Medicines CY 2020 REBID</t>
  </si>
  <si>
    <t>20MF0078-Repair/Maintenance of Drainage Canal along Dulawan-Marbel  Road, K1764+025-K1764+430 (Right Side), Tacurong City, Sultan Kudarat</t>
  </si>
  <si>
    <t>20-05-0580 SUPPLY AND DELIVERY OF MATERIALS FOR THE SEMI-INTENSIVE TILAPIA CULTURE IN PEN AND FIXED-TYPE CAGES OF FISHCORAL IN REGION 8</t>
  </si>
  <si>
    <t>Contract ID 20IG0067 - Repair and Maintenance of Road Safety Facilities within the Leyte V DEO</t>
  </si>
  <si>
    <t>PROCUREMENT OF EMERGENCY SUPPLIES/ ITEMS</t>
  </si>
  <si>
    <t>IB NO. 2020-06-41R Procurement of Toner Tie-Up CY 2020 REBID</t>
  </si>
  <si>
    <t>20MF0077-Repair/Maintenance of Drainage Canal along Kidapawan-Allah Jct. Road, K1677+380-K1677+535 (Right Side), Bo. 2 Section, Tacurong City, Sultan Kudarat</t>
  </si>
  <si>
    <t>Supply and Delivery of 200 Television Sets for Negosyo Serbisyo sa Barangay</t>
  </si>
  <si>
    <t>20GCB0004: Procurement/Supply of Road Marking Compound White and Yellow (For Stocking) for use in Pavement Markings (Edgeline, Centerline and Separator Line) along Gov. J.J. Linao Road (SO4822LZ)(KO12</t>
  </si>
  <si>
    <t>MDRRMF CLUSTER 2-2020 PROJECTS AT PASDONG AND NAGUEY, ATOK, BENGUET</t>
  </si>
  <si>
    <t>IB NO. 2020-06-42R Procurement of Dietary Foodstuffs and Supplies CY 2020 REBID</t>
  </si>
  <si>
    <t>IMPROVEMENT OF PALPALITPIT-CAYAPA FMR</t>
  </si>
  <si>
    <t>Supply, Delivery and Installation of Additional Solar Street Lights at Dinagpan Street to Governor's Drive, Barangay Poblacion 5, Coron, Palawan</t>
  </si>
  <si>
    <t>MDF CLUSTER 2-2020 PROJECTS AT CALIKING, ATOK, BENGUET</t>
  </si>
  <si>
    <t>PROCUREMENT OF ADDITIONAL OFFICE SUPPLIES FOR REPRODUCTION OF MODULES FOR LEARNERS</t>
  </si>
  <si>
    <t>PEO-20-0163 B Procurement of Outer Tires for use in the replacement of worn-out tires of various heavy equipment assigned at PEP, Sta. Barbara, Iloilo</t>
  </si>
  <si>
    <t>RE-BIDDING (3RD) OF VARIOUS CONSTRUCTION AND IMPROVEMENTS OF  MSU NAAWAN CAMPUS FACILITIES</t>
  </si>
  <si>
    <t>PEO-19-1449 B (REBID 2)- Procurement of Furniture and Fixtures for the use of Provincial Engineer’s Office</t>
  </si>
  <si>
    <t>IB NO. 2020-06-39R Procurement of Non-Accountable Forms CY 2020 REBID</t>
  </si>
  <si>
    <t>IMPROVEMENT OF SITIO CAMPONG SAGURISIR FMR</t>
  </si>
  <si>
    <t>Local Brigde in Sitio Tagbon, Panipaison, Brgy. Panipiason, Madalag, Aklan</t>
  </si>
  <si>
    <t>REPAIR OF MANABO IRRIGATION MAIN CANAL, AYYENG MANABO</t>
  </si>
  <si>
    <t>SITE DEVELOPMENT AT BARANGAY SITE</t>
  </si>
  <si>
    <t>PEO-20-0160 B- Procurement of Spare Parts for the use of Venieri Payloader (VFL 1-2) Model: VK 9015 assigned at PEP, Sta. Barbara, Iloilo</t>
  </si>
  <si>
    <t>REHABILITATION OF MULTI-PURPOSE BLDG.</t>
  </si>
  <si>
    <t>(19Z00043) Contract Package -2, Design and Build of the Ambal-Simuay River and Rio Grande De Mindanao Flood Control Projects</t>
  </si>
  <si>
    <t>MDF CLUSTER 10-2020 PROJECT: CONSTRUCTION OF CONCRETE PAVEMENT WITH BOX CULVERT ALONG PEY-AS TO DAMAYAN FMR</t>
  </si>
  <si>
    <t>REHABILITATION / CONSTRUCTION OF 3 CLASSROOM BUILDING (TUBIGON)</t>
  </si>
  <si>
    <t>Concreting of Brgy. Road, Brgy. Camancijan, Culasi, Antique</t>
  </si>
  <si>
    <t>Concreting of Brgy. Road, Brgy. Jalandoni, Culasi, Antiique</t>
  </si>
  <si>
    <t>MDF CLUSTER 9-2020 PROJECTS AT POBLACION, ATOK, BENGUET</t>
  </si>
  <si>
    <t>MDF CLUSTER 8-2020 PROJECT: CONSTRUCTION OF PAVEMENT AT TAMOCMOC ROAD</t>
  </si>
  <si>
    <t>Concreting of Barangay Road, Brgy. San Luis, Culasi, Antique</t>
  </si>
  <si>
    <t>pURCHASE OF mEDICINE (Maternal and Child Care 2, Purchase of Medicine (General Medical Services)</t>
  </si>
  <si>
    <t>MDF CLUSTER 6-2020 PROJECT: CONSTRUCTION OF PAVEMENT ALONG BETAC-KISKIS ROAD AT ABIANG, ATOK, BENGUET</t>
  </si>
  <si>
    <t>Procurement of Drugs and Medicines for BJMP 12 PDL for the Third Quarter of 2020</t>
  </si>
  <si>
    <t>Supply, Delivery, Installation and Commissioning of One (1) Unit Healthcare Waste Treatment Machine</t>
  </si>
  <si>
    <t>SUPPLY AND DELIVERY OF 1 UNITY BRAND NEW RESCUE TRUCK</t>
  </si>
  <si>
    <t>SUPPLY AND DELIVERY OF 1 UNIT BRAND NEW MULTI-PURPOSE VEHICLE</t>
  </si>
  <si>
    <t>Purchase of Native Chicken, Feeds &amp; Net/Screen</t>
  </si>
  <si>
    <t>Procurement of Office Supplies for BJMPRO-XII for the Third Quarter of 2020</t>
  </si>
  <si>
    <t>1-UNIT UTILITY VEHICLE FOR THE OFFICE OF THE CITY ADMINISTRATOR –REBID</t>
  </si>
  <si>
    <t>1-UNIT UTILITY VEHICLE FOR LOCAL FINANCE COMMITTEE-REBID</t>
  </si>
  <si>
    <t>Procurement of Assorted Rehabilitation Supplies for BJMP Region 12 PDL for the Third Quarter of 2020</t>
  </si>
  <si>
    <t>Procurement of Petroleum, Oil and Lubricants for BJMPRO-XII for the Third Quarter of 2020</t>
  </si>
  <si>
    <t>1-UNIT UTILITY VEHICLE FOR DEPED DIVISION OF SAGAY CITY-REBID</t>
  </si>
  <si>
    <t>Relocation Survey of PRDP1-Project Affected Lands</t>
  </si>
  <si>
    <t>SUPPLY AND DELIVERY OF MATERIALS FOR TRANSFORMER INSTALLATION (REBID)</t>
  </si>
  <si>
    <t>Repair/Maintenance of Catubig Hanging Bridge</t>
  </si>
  <si>
    <t>CONCRETING OF COSILI EAST – MACARCARMAY ROAD</t>
  </si>
  <si>
    <t>SUPPLY AND DELIVERY OF 1 UNIT BRAND NEW CREW TRUCK</t>
  </si>
  <si>
    <t>Rehabilitation of Public Market Building (10 stalls)</t>
  </si>
  <si>
    <t>SOLID WASTE MANAGEMENT PROGRAM @ BRGY. DALAPANG, LABANGAN, ZDS</t>
  </si>
  <si>
    <t>COUNTERPART FOR THE REHABILITATION AND MAINTENANCE OF BARANGAY ROAD @ BRGY. DALAPANG, LABANGAN ZDS</t>
  </si>
  <si>
    <t>Improvement of Nueva Fuerza Water System</t>
  </si>
  <si>
    <t>ROAD CONCRETING @ BRGY. DALAPANG, LABANGAN, ZDS</t>
  </si>
  <si>
    <t>CONSTRUCTION OF PUBLIC TOILET @ BRGY. DALAPANG, LABANGAN ZDS</t>
  </si>
  <si>
    <t>Supply and Delivery of Commuter Van (Converted to Ambulance).</t>
  </si>
  <si>
    <t>P – 2020 – 14: Construction  and Improvement of Pipelines/Water System and Comfort Room (Phase 1)</t>
  </si>
  <si>
    <t>IMPROVEMENT OF MULTI - PURPOSED BUILDING @ BRGY. BALIMBINGAN, LABANGAN ZDS</t>
  </si>
  <si>
    <t>REHABILITATION OF OF HANGING BRIDGE @ BRGY. NUBORAN, LABANGAN ZDS</t>
  </si>
  <si>
    <t>COUNTERPART FOR THE REHABILITATION AND MAINTENANCE OF BARANGAY ROAD @ BRGY. NUBORAN, LABANGAN ZDS</t>
  </si>
  <si>
    <t>Reposting Provision of Potable Water Supply</t>
  </si>
  <si>
    <t>COUNTERPART FOR THE REHABILITATION AND MAINTENANCE OF BARANGAY ROAD @ BRGY. BALIMBINGAN, LABANGAN ZDS</t>
  </si>
  <si>
    <t>CONTRACT ID #: 20-03-076 2ND REBID = PROCUREMENT OF VARIOUS LABORATORY SUPPLIES AND REAGENTS</t>
  </si>
  <si>
    <t>Supply and Delivery of Brand New Utility Vehicle (pick-up) - MAO</t>
  </si>
  <si>
    <t>Procurement of Customized Ambulance with Medical Kits</t>
  </si>
  <si>
    <t>Procurement of Labor and materials for the overhauling of 2 units Honda Outboard Engine (115 Hp)</t>
  </si>
  <si>
    <t>REHABILITATION OF DAY CARE CENTER @ BRGY. OLD LABANGAN, LABANGAN ZDS</t>
  </si>
  <si>
    <t>Construction/installation of concrete &amp; stainless tables</t>
  </si>
  <si>
    <t>CONSTRUCTION OF MULTI - PURPOSED BUILDING - PHASE 4 @ BRGY. OLD LABANGAN, LABANGAN ZDS</t>
  </si>
  <si>
    <t>PROCUREMENT OF BIFENTHRIN  UNDER IB NO. 2020-212</t>
  </si>
  <si>
    <t>CONSTRUCTION OF PUROK NG KABATAAN @ BRGY. DALAPANG, LABANGAN ZDS</t>
  </si>
  <si>
    <t>Concreting of farm to market road-Bangag</t>
  </si>
  <si>
    <t>Construction of 150 Ln.m. River Control</t>
  </si>
  <si>
    <t>PROCUREMENT OF DELTAMETHRIN – REBID  UNDER IB NO. 2020-172-A</t>
  </si>
  <si>
    <t>Small Water Impounding Project</t>
  </si>
  <si>
    <t>INSTALLATION OF CCTV @ BRGY. OLD LABANGAN, LABANGAN ZDS</t>
  </si>
  <si>
    <t>SOLID WASTE MANAGEMENT PROGRAM @ BRGY. OLD LABANGAN, LABANGAN, ZDS</t>
  </si>
  <si>
    <t>COUNTERPART FOR THE REHABILITATION AND MAINTENANCE OF BARANGAY ROAD @ BRGY. OLD LABANGAN, LABANGAN ZDS</t>
  </si>
  <si>
    <t>Supply and Delivery of Brand New 4x4 Manual Transmission Pick-up - MSWDO</t>
  </si>
  <si>
    <t>PROVISION FOR THE MAINTENANCE OF WATER SYSTEM @ BRGY. COGONAN, LABANGAN ZDS</t>
  </si>
  <si>
    <t>Procurement of 390,000 pcs Bangus Fingerlings 3-4 inches</t>
  </si>
  <si>
    <t>INSTALLATION OF WATER SYSTEM TO MULTI - PURPOSED BUILDING @ BRGY. OLD LABANGAN, LABANGAN ZDS</t>
  </si>
  <si>
    <t>REHABILITATION OF DAY CARE CENTER @ BRGY. COGONAN, LABANGAN ZDS</t>
  </si>
  <si>
    <t>Purchase and Delivery of Plastic Granulator</t>
  </si>
  <si>
    <t>20JD0101 - Rehabilitation/Reconstruction/Upgrading of Damaged Paved Roads Polanco-Macleodes Road K1828+(-217)-K1829+813</t>
  </si>
  <si>
    <t>20JD0102 - Rehabilitation/Reconstruction of Roads with Slips, Slope Collapse and Landslide Rizal-Dakak-Dapitan Coastal Loop Road K1827+194-K1827+325.20</t>
  </si>
  <si>
    <t>IMPROVEMENT OF PUROK CENTER @ BRGY. COGONAN, LABANGAN ZDS</t>
  </si>
  <si>
    <t>SOLID WASTE MANAGEMENT PROGRAM @ BRGY. COGONAN, LABANGAN, ZDS</t>
  </si>
  <si>
    <t>CONSTRUCTION OF PUROK CENTER @ BRGY. COGONAN, LABANGAN ZDS</t>
  </si>
  <si>
    <t>20FF0088 - Construction of Multi-Purpose Building, Barangay Binaliw, Calabanga, Camarines Sur</t>
  </si>
  <si>
    <t>REHABILITATION OF FIVE (5) HANGING BRIDGE @ BRGY. COGONAN, LABANGAN ZDS</t>
  </si>
  <si>
    <t>20JD0103 - Retrofitting/Strenghtening of Permanent Bridges Polo Bridge (B00411MN) along Jct. Polo-Dapitan Park Nat'l. Road</t>
  </si>
  <si>
    <t>Supply and Delivery of Twenty Five (25) Units Specific Purpose Motor Vehicles</t>
  </si>
  <si>
    <t>CONSTRUCTION OF HANGING BRIDGE @ BRGY. COGONAN, LABANGAN ZDS</t>
  </si>
  <si>
    <t>REHABILITATION / MAINTENANCE OF BARANGAY ROAD @ BRGY. COGONAN, LABANGAN, ZDS</t>
  </si>
  <si>
    <t>20JD0106 - Construction of Multi-Purpose Building (Covered Court) Central Elementary School, Poblacion Bajo,  Sergio Osmeña, Zamboanga del Norte</t>
  </si>
  <si>
    <t>Supply, Delivery, Installation and Commissioning of Airconditioning Units for Philippine Ports Authority Head Office</t>
  </si>
  <si>
    <t>20JD0107 - Construction (Completion) of Multi-Purpose Building San Miguel, Mutia, Zamboanga del Norte</t>
  </si>
  <si>
    <t>PURCHASE AND DELIVERY OF ELECTRIC COMPRESSOR - MO - MDRRMO</t>
  </si>
  <si>
    <t>20JD0105 - Construction of Multi-Purpose Building  La Union, La Libertad, Zamboanga del Norte</t>
  </si>
  <si>
    <t>20FF0089 - Construction of Multi-Purpose Building, Barangay Lugsad, Calabanga, Camarines Sur</t>
  </si>
  <si>
    <t>PROCUREMENT OF TERMITE TREATMENT AND GENERAL PEST CONTROL MAINTENANCE UNDER IB NO. 2020-215</t>
  </si>
  <si>
    <t>Procurement of Flexible Learning and Working Arrangement Supplies and Equipment for Digital Infrastructure</t>
  </si>
  <si>
    <t>20JD0104 - Widening of Permanent Bridges  Leop Bridge (B00584MN)  along Dipolog-Oroquieta National Road</t>
  </si>
  <si>
    <t>20JD0108 - Construction (Completion) of Multi-Purpose Building  Libay, Sibutad, Zamboanga del Norte</t>
  </si>
  <si>
    <t>Purchase and Delivery of Hydraulic Press Packing Machine</t>
  </si>
  <si>
    <t>To provide materials, labor, fuel and equipment for Establishment of Montessori-Type Early Child Care Development Center, 1st Revision-Brgy Nangka (GF 2020) (ITB 20-069)</t>
  </si>
  <si>
    <t>To provide materials, labor, fuel and equipment for Establishment of Montessori-Type Early Child Care Development Center, 1st Revision-Brgy Dawis (GF 2020) (ITB 20-068)</t>
  </si>
  <si>
    <t>INVITATION TO APPLY FOR ELIGIBILITY AND TO BID FOR CY2020 SEVEN LAKES SIP</t>
  </si>
  <si>
    <t>Concreting of Sitio Malbog Road</t>
  </si>
  <si>
    <t>Rehabilitation and Improvement of Municipal Port, Phase II, Sitio Puntales, Brgy. Nipa, Concepcion, Iloilo</t>
  </si>
  <si>
    <t>Concreting of Farm to Market Road, Barangay Plandico, Concepcion, Iloilo</t>
  </si>
  <si>
    <t>20KG0093: Repair/Maintenance of Road Safety Facilities and Pavement Markings (Black Spot) along Linamon-Zamboanga Road, Linamon-Zamboanga, Lanao del Norte</t>
  </si>
  <si>
    <t>Provision of Inbred Rice Certified Seeds to Farmers - B-G-2020-069</t>
  </si>
  <si>
    <t>COMMUNITY EMPOWERMENT THROUGH SCIENCE AND TECHNOLOGY (CEST – SAN LUIS, AURORA)</t>
  </si>
  <si>
    <t>Tarlac Provincial Jail Inmates Rice - B-G-2020-067</t>
  </si>
  <si>
    <t>PURCHASE OF MEDICINE</t>
  </si>
  <si>
    <t>Provision of Production Input Support (Corn Seeds) to Corn Farmers - B-G-2020-068</t>
  </si>
  <si>
    <t>Tarlac Provincial Jail Inmates Food Supplies - B-G-2020-066</t>
  </si>
  <si>
    <t>CONTRACT FOR THE SUPPLY AND DELIVERY OF ONE (1) ASSEMBLY MOULDED  CASE CIRCUIT BREAKER AND ONE (1) ASSEMBLY AUTOMATIC TRANSFER  SWITCH (ATS)  INCLUDING INSTALLATION, TESTING, AND COMMISSIONING</t>
  </si>
  <si>
    <t>Provision of Hybrid Rice Seeds to Farmers - B-G-2020-070</t>
  </si>
  <si>
    <t>Supply and Delivery of Office Curtains and Curtain Rod</t>
  </si>
  <si>
    <t>Construction of Multi-Purpose Hall, Phase II, Brgy. Polopiña, Concepcion, Iloilo</t>
  </si>
  <si>
    <t>Acquisition of Library Books and References Through the Department of Budget and Management (DBM) Php18M Grant.</t>
  </si>
  <si>
    <t>PROCUREMENT OF THE SUPPLY AND DELIVERY OF 1 LOT I.T. SUPPLIES (TONERS FOR PRO V &amp; LHIO USE)</t>
  </si>
  <si>
    <t>IMPROVEMENT/REPAIR OF MULTI PURPOSE BUILDING</t>
  </si>
  <si>
    <t>Procurement of Supplies/Materials/Equipment/Garden Tools for the Enhancement of the Provincial Plant Nursery - B-G-2020-071</t>
  </si>
  <si>
    <t>Improvement of Multi-Purpose Building for the Youth, Children, Women, Etc, Brgy. Poblacion, Concepcion, Iloilo</t>
  </si>
  <si>
    <t>Road Concreting (Sto. Niño, Hinatuan, SDS)</t>
  </si>
  <si>
    <t>Procurement of Supply &amp; Delivery of Various Fertilizers</t>
  </si>
  <si>
    <t>Procurement of Supply &amp; Delivery of Various Farm Tools &amp; Materials</t>
  </si>
  <si>
    <t>Procurement for the Supply and Delivery of Educational School Supplies for Public Elementary School Students of the City of Koronadal - REBID</t>
  </si>
  <si>
    <t>Supply &amp; Delivery of I.T. Equipment (GOODS2020-8)</t>
  </si>
  <si>
    <t>CONSTRUCTION OF DRAINAGE  ( RUBBLE CONCRETE RIPRAP OPEN LINED CANAL ) AT LOPEZ SUBD., BRGY VI, VICTORIAS CITY</t>
  </si>
  <si>
    <t>Purchase and Delivery of One (1) Unit Emergency Rescue Vehicle 4 x 4 Manual</t>
  </si>
  <si>
    <t>Construction of Water Supply Building, Sitio Baliguian, Brgy. Malangabang, Concepcion, Iloilo</t>
  </si>
  <si>
    <t>INVITATION TO APPLY FOR ELIGIBILITY AND TO BID FOR CY2020 ELVAS SIP</t>
  </si>
  <si>
    <t>20EG0085-Repair/Maintenance of Mandaragat River Revetment 1 &amp; 2 K0002+(-275.00), Malvar Road, Puerto Princesa City</t>
  </si>
  <si>
    <t>20EG0084-Construction of Rainwater Collectors Morzon P/S, Culandanum NHS, Tina E/S, Bubusawin E/S, Santo Niño E/S, Aborlan, Kandes E/S, Maranat E/S, Bacungan Barangay Hall, Bacungan E/S, Salvacion Bar</t>
  </si>
  <si>
    <t>COMPLETION OF MULTI-PURPOSE HALL @ BRGY. MANGAYANG</t>
  </si>
  <si>
    <t>Procurement of Drugs and Medicines for use at the Eye Center of the IPHO-TPH - B-G-2020-072</t>
  </si>
  <si>
    <t>Procurement for the Supply, Delivery &amp; Installation of One (1) Unit Earthquake Recording Instrumentation Equipment - REBID</t>
  </si>
  <si>
    <t>20EG0087-Repair /Maintenance of DPWH Building, Administrative Building, Brgy. Sta. Monica, Puerto Princesa City</t>
  </si>
  <si>
    <t>Procurement of Laboratory Supplies for use at the Laboratory Section of the IPHO-TPH (Rebid) - B-G-2020-078</t>
  </si>
  <si>
    <t>Procurement for the Supply and Delivery of Materials for the Graveling of Road @ China Town (Satellite Market), Brgy. GPS (Lot 1) and Gravelling of Road going to Sanitary Land Fill (SLF), Brgy. Parais</t>
  </si>
  <si>
    <t>20EG0086-Repair/Maintenance of DPWH Building, AES - Utility Building, Brgy. Sta. Monica, Puerto Princesa City</t>
  </si>
  <si>
    <t>Completion of Provincial Road Gap @ Upper Ladol, Brgy. Assumption, City of Koronadal</t>
  </si>
  <si>
    <t>Procurement of Drugs and Medicines for use at the Pharmacy Section of the IPHO-TPH (Rebid) - B-G-2020-077</t>
  </si>
  <si>
    <t>Construction of Housing Units at Sta. Catalina Homes, Samal, Bataan</t>
  </si>
  <si>
    <t>Procurement of Parts, Materials and Labor Components for the Repair and Maintenance of Various Trucks and Heavy Equipment used at the Provincial Equipment Pool Office - B-G-2020-076</t>
  </si>
  <si>
    <t>Imrovement of Municipal Evacuation Center</t>
  </si>
  <si>
    <t>Delivery of Various Office, ICT, Communication Equipment, Furniture &amp; Fixtures and Other Property, Plant &amp; Equipment (NP/PB 20-0633).</t>
  </si>
  <si>
    <t>Procurement of Supplies and Equipment for use at Tarlac Rehabilitation Center and Tarlac Drug Recovery Clinic (Rebid) - B-G-2020-079</t>
  </si>
  <si>
    <t>Acquisition of Two (2) units mini dump truck (reconditioned) at Samal, Bataan</t>
  </si>
  <si>
    <t>INVITATION TO APPLY FOR ELIGIBILITY AND TO BID FOR CY2020 DUENGAS CIS</t>
  </si>
  <si>
    <t>Supply and Delivery of Various Information Technology Supplies</t>
  </si>
  <si>
    <t>Acquisition of One (1) unit dump truck (reconditioned) at Samal, Bataan</t>
  </si>
  <si>
    <t>Procurement of Drugs and Medicines for use at the Pharmacy Section of the IPHO-TPH - B-G-2020-074</t>
  </si>
  <si>
    <t>Procurement of Lubricants for the operating/maintenance activities of the Provincial Equipment Pool Office - B-G-2020-075</t>
  </si>
  <si>
    <t>20EG0088-CP-01- Repair/Maintenance of DPWH Building DPWH Resthouse Sitio Tacduan, Brgy. Luzviminda and  Repair/Maintenance of DPWH Building DPWH Resthouse , Brgy. San Rafael , Puerto Princesa City</t>
  </si>
  <si>
    <t>Procurement of Housekeeping Supplies for use at Various Wards of the IPHO-TPH - B-G-2020-073</t>
  </si>
  <si>
    <t>Acquisition of One (1) unit garbage compactor (reconditioned) at Samal Bataan</t>
  </si>
  <si>
    <t>Repair/Upgrading/Improvement of Existing Facility of Dinapigue Community Hospital at Dinapigue, Isabela</t>
  </si>
  <si>
    <t>Supply and delivery of Oil &amp; Lubricants, Heavy Equipments</t>
  </si>
  <si>
    <t>Supply and delivery of materials for the Improvement of Municipal Plaza</t>
  </si>
  <si>
    <t>20CB0063: Repair/Maintenance of Paniquian River Control (Maligaya Section) Mariveles, Bataan</t>
  </si>
  <si>
    <t>SUPPLY AND DELIVERY OF TONERS, IMAGING AND PHOTOCONDUCTOR KIT FOR MULTIFUNCTION (COPIER, SCANNER, PRINTER) MACHINE  AND LASER PRINTERS OF BIR-RR NO.9B LAQUEMAR, SAN PABLO CITY</t>
  </si>
  <si>
    <t>Purchase of Heavy Equipment (Brand New) 1. Boom Truck (Hydraulic) at Dinapigue, Isabela</t>
  </si>
  <si>
    <t>20CB0064: Construction/Rehabilitation of Water Supply/Septage and Sewerage/Rain Water Collectors - Rainwater Collectors in Public Facilities, Bataan 2nd District</t>
  </si>
  <si>
    <t>Construction/Expansion/Completion of Existing Facility of Ayod Barangay Health Station at Brgy. Ayod, Dinapigue, Isabela</t>
  </si>
  <si>
    <t>RIPRAPPING OF BARANGAY ROAD @ BRGY. STO. TOMAS, MABINI, BATANGAS</t>
  </si>
  <si>
    <t>20EG0089-CP-02- Repair/Maintenance of PCOO Building DWMR Radio Pilipinas (Gov't. Radyo Station), Brgy. Sta. Monica, Repair/Maintenance of DA Building PRES- Integrated Offices, Brgy. Tiniguiban and Rep</t>
  </si>
  <si>
    <t>Expansion/Completion of Existing Facility of Dinapigue Municipal Center at Dinapigue, Isabela</t>
  </si>
  <si>
    <t>Construction of Disaster Operation Center at Dinapigue, Isabela</t>
  </si>
  <si>
    <t>Industrial Ceiling Fan with Electrical Accessories and Installation (PR No. 100-2020-0720)</t>
  </si>
  <si>
    <t>NEGOTIATED PROCUREMENT  (Two Failed Bidding) SUPPLY AND DELIVERY OF 4,719 pcs. TUMBLER 500ML. POLYPROPYLENE PLASTIC WITH HANDLE &amp; BRANDED</t>
  </si>
  <si>
    <t>Construction/Expansion/Completion of Existing Facility of Dimaluadi Barangay Health Station at Brgy. Dimaluadi, Dinapigue, Isabela</t>
  </si>
  <si>
    <t>2 Units Utility Vehicle, Brand new (PR No. 300-2020-0002) -REBID</t>
  </si>
  <si>
    <t>Procurement of Solid Waste Management Equipment</t>
  </si>
  <si>
    <t>PBS 20-077 VIDEO CONFERENCING AND LIVESTREAMING EQUIPMENT UPGRADE</t>
  </si>
  <si>
    <t>20EG0090-Construction of Multi-Purpose Building (Puerto Princesa Elementary School), Barangay Kalipay, Puerto Princesa City</t>
  </si>
  <si>
    <t>Supply and Delivery of Materials for Sea Urchin Cages</t>
  </si>
  <si>
    <t>PROCUREMENT OF ONE (01) UNIT BRAND NEW AMBULANCE</t>
  </si>
  <si>
    <t>Supply and delivery of Tires for Firetruck</t>
  </si>
  <si>
    <t>PROCUREMENT OF ONE (01) UNIT BRAND NEW MOTOR VEHICLE</t>
  </si>
  <si>
    <t>Construction of Isolation Facility</t>
  </si>
  <si>
    <t>Rehab. of Evacuation Center</t>
  </si>
  <si>
    <t>PROCUREMENT OF GENERAL MERCHANDISE ( UMBRELLA,  CAPS,  VARIOUS SCHOOL SUPPLIES &amp; SCHOOL BAGS ) FOR PRE-KINDER STUDENTS UNDER ECCD PROGRAM</t>
  </si>
  <si>
    <t>Construction of Community Activity Center (Re-Bid)</t>
  </si>
  <si>
    <t>Procurement of Construction Materials for the Construction of Sanitary Latrine</t>
  </si>
  <si>
    <t>Concreting of Matampay to Taporug Local Access Road</t>
  </si>
  <si>
    <t>SUPPLY AND DELIVERY OF VARIOUS COMMUNICATION EQUIPMENT AND DIGITAL DISCUSSION SYSTEM</t>
  </si>
  <si>
    <t>Supply and Delivery of Construction Materials and Supplies for the Improvement of Mulanay Town Plaza Concrete Pavement and Installation of Movable Stage Plaza</t>
  </si>
  <si>
    <t>SECONDARY INTERNET ACCESS SERVICE (IAS) FOR THE DEPARTMENT OF AGRICULTURE - OFFICE OF THE SECRETARY (DA-OSEC) AND OTHER INTERNET SERVICES</t>
  </si>
  <si>
    <t>GOODS 2020-014 SUPPLY AND DELIVERY OF VARIOUS MEDICINES</t>
  </si>
  <si>
    <t>CONSTRUCTION OF 26 UNITS SANITARY LATRINE</t>
  </si>
  <si>
    <t>ONE (1) YEAR NETWORK FACILITY MAINTENANCE (UCM, VM HOST SERVER, ROUTER AND SWITCHES)</t>
  </si>
  <si>
    <t>SUPPLY AND DELIVERY OF 3-SETS OF SCHOOL  SUPPLIES  FOR  YES TO CHILDREN ASSISTANCE PROGRAM - YCAP</t>
  </si>
  <si>
    <t>SUPPLY AND DELIVERY OF VARIOUS I.T. EQUIPMENT</t>
  </si>
  <si>
    <t>Provision Security and Protection Services for BFAR RFO I for CY 2020</t>
  </si>
  <si>
    <t>Construction Materials and supplies for rehab of Multi Purpose Building</t>
  </si>
  <si>
    <t>SUPPLY AND DELIVERY OF VARIOUS TIRES FOR CONSTRUCTION EQUIPMENT IN THE MUNICIPAL ENGINEERING OFFICE, LGU TULUNAN, COTABATO</t>
  </si>
  <si>
    <t>Procurement of Construction of Slaughterhouse Phase -I</t>
  </si>
  <si>
    <t>Security Services – San Juan Medical Center  (July – December 2020)</t>
  </si>
  <si>
    <t>PB-20-291, Supply &amp; Installation of Airconditions for new hospital building of Mlang District Hospital, Mlang, Cotabato</t>
  </si>
  <si>
    <t>PB-20-255, Supply &amp; Delivery of Inorganic Fertilizer for distribution to qualified farmers of District I, Province of Cotabato</t>
  </si>
  <si>
    <t>PB-20-256, Supply &amp; Delivery of Tires for Heavy Equipment of Provincial Engineer’s Office, Amas, Kidapawan City</t>
  </si>
  <si>
    <t>Security Services – Government Owned Properties of the City (San Juan National High School-Annex, La Verdad Property,F. Manalo and Mini Park) (July – December 2020)</t>
  </si>
  <si>
    <t>Security Services – Public Schools and Its Domain  (July – December 2020)</t>
  </si>
  <si>
    <t>20FE0122 – LP: LOCAL ROADS AND BRIDGES - LOCAL ROADS - CONSTRUCTION/ REPAIR/ REHABILITATION/ IMPROVEMENT OF VARIOUS INFRASTRUCTURE INCLUDING LOCAL PROJECTS - CONSTRUCTION OF TANAG ROAD, LIBMANAN, CAMA</t>
  </si>
  <si>
    <t>PROCUREMENT OF TRANSFUSION TRANSMISSIBLE INFECTION (TTIS) REAGENTS WITH MACHINE TIE-UP  IB NO. 2020-214</t>
  </si>
  <si>
    <t>PROCUREMENT OF MODULAR ENZYME IMMUNO ASSAY (EIA) FOR TRANSFUSION TRANSMISSIBLE INFECTIONS (TTIS) WITH MACHINE TIE UP-RE-BID IB NO. 2020-150-A</t>
  </si>
  <si>
    <t>20FE0123 – LP: LOCAL ROADS AND BRIDGES - LOCAL ROADS - CONSTRUCTION/ REPAIR/ REHABILITATION/ IMPROVEMENT OF VARIOUS INFRASTRUCTURE INCLUDING LOCAL PROJECTS - CONSTRUCTION OF TARUM -CANDAMI ROAD, LIBMA</t>
  </si>
  <si>
    <t>Delivery of Information Technology Parts &amp; Accessories</t>
  </si>
  <si>
    <t>Construction of Night Market Concrete Canal</t>
  </si>
  <si>
    <t>Supply and Delivery of Goods Construction Material for Multi Purpose Building</t>
  </si>
  <si>
    <t>Supply and Delivery of Agricultural Equipment's and facilities - Cassava Dryer (Support Services on National Corn Program/YRRP Re-bid)</t>
  </si>
  <si>
    <t>Installation of Box Culvert at the Boundary of Barangay Balingayan and Malamig, Calapan City, Or. Mindoro</t>
  </si>
  <si>
    <t>Procurement of Various Vegetable Seeds</t>
  </si>
  <si>
    <t>Construction of Covered Court at Juan Morente Pilot School, Pinamalayan, Or. Mindoro</t>
  </si>
  <si>
    <t>Repair/Rehabilitation of Drainage Canal at Casimiro St. Sitio Centro, Brgy. Poblacion II, Victoria, Or. Mindoro</t>
  </si>
  <si>
    <t>Supply and Delivery of Goods for the rehabilitation of Brgy. Stage</t>
  </si>
  <si>
    <t>Repair/Rehabilitation of Bridge Approach at Brgy. Putican Cabulo, Baco, Oriental Mindoro</t>
  </si>
  <si>
    <t>construction of Evacuation Center at Sta. Maria, Naujan, Oriental Mindoro</t>
  </si>
  <si>
    <t>Concreting of Road Section at Brgy. Tagumpay, Dulangan I, Baco, Oriental Mindoro</t>
  </si>
  <si>
    <t>Rechanneling and Desilting of Miaje Creek at Brgy. Ipil, Bongabong, Oriental Mindoro</t>
  </si>
  <si>
    <t>Concreting of Road leading to Provincial Police Office and Cacawan HS at Brgy. Cacawan Pinamalayan Or. Mindoro</t>
  </si>
  <si>
    <t>Construction of 24/7 Oriental Mindoro Rescue Center</t>
  </si>
  <si>
    <t>Construction of Multi-Purpose Hall at San Mariano, Roxas, Or. Mindoro</t>
  </si>
  <si>
    <t>Supply and Delivery of 3,685 bottles Ionic Copper Concentrate Fungicide/Bactericide for distribution to CALABARZON Farmers under Rice Program CY 2020</t>
  </si>
  <si>
    <t>Invitation to Bid for the Procurement of ELECTRICAL SUPPLIES, INSTRUMENT, SECURITY AND EMERGENCY DEVICES</t>
  </si>
  <si>
    <t>REPAIR AND MAINTENANCE OF INFRASTRUCTURE ASSETS (Drainage Structure)</t>
  </si>
  <si>
    <t>Construction of Minsua Road, San Isidro, Mahinog, Camiguin</t>
  </si>
  <si>
    <t>Invitation to Bid for the Procurement of Materials for Improvement of activity Center and Registrar's Lobby</t>
  </si>
  <si>
    <t>Const. of River Control/Drainage System along CCR Maubog Bridge II, Mambajao Camiguin (Re-Bidding)</t>
  </si>
  <si>
    <t>Construction of Road, Lucban, Quezon</t>
  </si>
  <si>
    <t>Invitation to Bid for the Procurement of Materials for Improvement of Fishpond and Food Production</t>
  </si>
  <si>
    <t>Construction of Multi-Purpose Building, Barangay Alupay, Sampaloc, Quezon</t>
  </si>
  <si>
    <t>Invitation to Bid for the Procurement of Office Furnitures</t>
  </si>
  <si>
    <t>Construction of Multi-Purpose Building (2nd Floor) at San Pedro, Naujan, Or. Mindoro</t>
  </si>
  <si>
    <t>20FO0085 - Rehabilitation/Improvement of Bacolod Flood Control Structure (Left Side Facing Downstream of Bacolod Bridge) in Libon, Albay</t>
  </si>
  <si>
    <t>Supply, Delivery and Installation of INREMP-SSF No. 08-Integrated Abaca Stripping Machine and Handloom Weaving for BPK-GUIHEAN(2020-05-008)</t>
  </si>
  <si>
    <t>20FO0084 - Rehabilitation/Improvement of Tandarora Flood Control Dike (Right Side) Guinobatan, Albay</t>
  </si>
  <si>
    <t>20FO0083 - Rehabilitation/Improvement of Tandarora Flood Control Dike (Left Side) Guinobatan, Albay</t>
  </si>
  <si>
    <t>Invitation to Bid for the Procurement of Security Surveillance and Detection Equipment</t>
  </si>
  <si>
    <t>Construction of Multi-Purpose Building (2nd Floor) at Dao, Naujan, Or. Mindoro</t>
  </si>
  <si>
    <t>Invitation to Bid for the Procurement of I.T. Equipment and Supplies</t>
  </si>
  <si>
    <t>Supply, Delivery and Installation of INREMP-SSF No. 09-Upgrading of Coffee Processing Facility for BMMPC(2020-05-009)</t>
  </si>
  <si>
    <t>Invitation to Bid for the Procurement of Air- Conditioning Units</t>
  </si>
  <si>
    <t>Supply and Delivery of Forest Trees Seedlings under Municipal Greening Program of MENRO - Laak, Davao De Oro</t>
  </si>
  <si>
    <t>Contract Labor and Materials for the Expansion of Potable Water System Level III at Prk. 4 &amp; 5, Poblacion Laak, Davao De Oro</t>
  </si>
  <si>
    <t>100-2020-05-668 Supply and delivery of desktop computer and laptop computer</t>
  </si>
  <si>
    <t>Consulting Services for the Ex-Post Evaluation of the Angat Water Utilization and Adequate Improvement Project Phase II (AWUAIP II)</t>
  </si>
  <si>
    <t>SUPPLY OF CONSTRUCTION MATERIALS FOR THE CONSTRUCTION OF ELEVATED TANK W/ 6 TAP STAND, BRGY. BATUG, DULAG LEYTE</t>
  </si>
  <si>
    <t>Supply and Delivery of Tires and Spare Parts Needed for the Maintenance of 4WD Tractor of Mun. Agriculture Office</t>
  </si>
  <si>
    <t>Construction of Thirteen (13) Units Rain Water Collection System (RWCS) on various locations within the Municipalities of Samar</t>
  </si>
  <si>
    <t>Contract Labor and Materials for the Expansion of Potable Water System Level III - Brgy. Poblacion (Prk. 13), Laak, Davao De Oro</t>
  </si>
  <si>
    <t>SUPPLY OF MATERIALS FOR THE CONSTRUCTION OF STAGE, BRGY. BATUG, DULAG LEYTE</t>
  </si>
  <si>
    <t>Supply and Delivery of Various Materials Needed for the Construction of River Landing G.I Stairs with Railings”</t>
  </si>
  <si>
    <t>Additional Disaster and Recovery (DR) Site Infrastructure for Non-SAP Systems</t>
  </si>
  <si>
    <t>Procurement of One Unit Brand New 4.4C Mini Dump Truck not Availavle in DBM-PS</t>
  </si>
  <si>
    <t>Contract Labor and Materials for the Expansion of Potable Water System Level III at Prk. 15 &amp; 16, Poblacion Laak, Davao De Oro</t>
  </si>
  <si>
    <t>SUPPLY AND DELIVERY OF WHEEL CHAIR ADULT FOR USE BY THE MUNICIPAL SOCIAL WELFARE AND DEVELOPMENT OFFICE LGU JAVIER, LEYTE ( For PWD's )</t>
  </si>
  <si>
    <t>DREDGING/DESILTATION OF ANGONO RIVER (SI)</t>
  </si>
  <si>
    <t>Lot No. 14 Repair of Classrooms at Pastor Salazar National High School, TABANGO</t>
  </si>
  <si>
    <t>Lot No. 13 Repair of Classrooms at Don Bernardo Elementary School, TABANGO</t>
  </si>
  <si>
    <t>Supply and Delivery of Various Materials Needed for the Rehabilitation/Improvement of Public Market</t>
  </si>
  <si>
    <t>Lot No. 16 Repair of Classrooms at Telegrafo Elementary School Annex,  TOLOSA and Telegrafo Elementary School, TOLOSA</t>
  </si>
  <si>
    <t>Lot No. 10 Repair of Classrooms at Palo National High School-Pawing Annex, PALO and San Joaquin National High School, PALO</t>
  </si>
  <si>
    <t>SUPPLY AND DELIVERY OF FUEL FOR GOVERNMENT VEHICLES</t>
  </si>
  <si>
    <t>Lot No. 12 Repair of Classrooms at Sta. Fe Stand Alone Senior High School, SANTA FE</t>
  </si>
  <si>
    <t>Lot No. 8 CONSTRUCTION OF SLOPE PROTECTION at Matag-ob Stand Alone Senior High School, MATAG-OB</t>
  </si>
  <si>
    <t>Lot No. 15 Repair of Classrooms at San Roque ES, TOLOSA</t>
  </si>
  <si>
    <t>Lot No. 7 Repair of Classroom at Tongonan Elementary School, KANANGA</t>
  </si>
  <si>
    <t>Supply and Delivery of Various Materials Needed for the Improvement of SB Office</t>
  </si>
  <si>
    <t>Lot No. 9 Repair of Classrooms San Fernando Elementary School, PALO</t>
  </si>
  <si>
    <t>Lot No. 5 Repair of Classroom at Sta. Mesa National High School, DAGAMI</t>
  </si>
  <si>
    <t>Lot No. 6 Repair of Classroom at Granja-Kalinawan National High School, JARO and Bienvenido Guillera Celebre National High School, JARO</t>
  </si>
  <si>
    <t>Contract Labor and Materials for the Expansion of Potable Water System Level III at Prk. 17 &amp; 18, Poblacion Laak, Davao De Oro</t>
  </si>
  <si>
    <t>Lot No. 4 Repair of Classroom at Casiongan Elementary School, CALUBIAN and Rafaelita Cabanas Martinez National High School, CALUBIAN</t>
  </si>
  <si>
    <t>Lot No. 11 Repair of Classrooms at Manaybanay National High School, PASTRANA and Macalpiay Elementary School, PASTRANA</t>
  </si>
  <si>
    <t>20KB0158   Rehabilitation/Reconstruction/Upgrading of Damaged Paved Roads – Secondary Roads along Maramag – Maradugao Rd – K1561+120-k1561+427  :	Base Camp, Maramag, Bukidnon</t>
  </si>
  <si>
    <t>Concreting of 150 Ln.m. Barangay Road at Sitio Kapisakan, Brgy. Caidiocan</t>
  </si>
  <si>
    <t>20KB0157   Rehabilitation/Reconstruction/Upgrading of Damaged Paved Roads – Secondary Roads along Maramag – Maradugao Rd – K1560+361 – K1561+120  :	Base Camp, Maramag, Bukidnon</t>
  </si>
  <si>
    <t>20KB0155   Concreting of Sugar Cane Farm-to Mill Road (FMR), P-1 Crossing Montalban to P-17 OADI, San Jose, Quezon, Bukidnon</t>
  </si>
  <si>
    <t>Supply &amp; Delivery of Motor Vehicle - FB Body 4x2 with Aircon (Euro 4) - Brand New (CMO)</t>
  </si>
  <si>
    <t>PURCHASE OF ICT EQUIPMENT FOR OFFICIAL USE OF DENR-CAR, PENRO MOUNTAIN PROVINCE</t>
  </si>
  <si>
    <t>20KB0156   Concreting of Sugar Cane Farm-to Mill Road (FMR), Calao-calao, Don Carlos – Bershiba, Kitaotao, Bukidnon</t>
  </si>
  <si>
    <t>20KB0153   Construction of Multi-Purpose Building (Barangay Hall), Brgy. Pualas, Don Carlos, Bukidnon</t>
  </si>
  <si>
    <t>20KB0154   Rehabilitation/Construction of Brgy. Hall, Brgy. Camp 1, Maramag, Bukidnon</t>
  </si>
  <si>
    <t>Lot No. 3 Repair of Classroom at Felix Caneja Lafuente National High School, CALUBIAN</t>
  </si>
  <si>
    <t>20KB0151   Construction of Covered Court, Brgy. New Visayas, Dangcagan, Bukidnon</t>
  </si>
  <si>
    <t>20GAE0006: Furnishing and Delivery of Materials for the Repair and Maintenance of Capitol Site Road, K0269+(-597) to K0269+065</t>
  </si>
  <si>
    <t>20KB0150   Construction of Covered Court, Brgy. Pinamula, Kibawe, Bukidnon</t>
  </si>
  <si>
    <t>Augmentation, Installation and Deployment of Wireless/IP Security Cameras and Transmitters at Maasin City (CMO)</t>
  </si>
  <si>
    <t>Concreting of Road in Brgy. Tugbong, Kananga, Leyte, ABC PHP4,984,644.82</t>
  </si>
  <si>
    <t>Contract Labor and Materials for the Expansion of Potable Water System Level III at Brgy. El Katipunan, Laak, Davao De Oro</t>
  </si>
  <si>
    <t>B20200192 - MEDICAL SUPPLIES FOR DDNH-KAPALONG ZONE</t>
  </si>
  <si>
    <t>Construction of Multi-Purpose Bldg. in Brgy. Sto. Niño, Kananga, Leyte, ABC PHP4,985,649.41</t>
  </si>
  <si>
    <t>Proposed Road Concreting/Rehabilitation at Bato Bato St. Holiday Homes, Brgy. San Antonio</t>
  </si>
  <si>
    <t>Procurement of One (1) unit Motor Vehicle for Regional Office XII of the National Telecommunications Commission</t>
  </si>
  <si>
    <t>20KB0152   Construction of Multi-Purpose Building (SK Building), Don Carlos, Bukidnon</t>
  </si>
  <si>
    <t>Construction of Perimeter Fence-Brgy. Lekep-Butao, San Fabian, Pangasinan</t>
  </si>
  <si>
    <t>Proposed Road Concreting/Rehabilitation at Main Road, Holiday Park, Brgy. San Antonio</t>
  </si>
  <si>
    <t>Rehabilitation of Public Market, Brgy. Poblacion, Magpet, Cotabato</t>
  </si>
  <si>
    <t>IMPROVEMENT OF CANAL LINING AT PUROK NAM NAMA @ PALABOTAN</t>
  </si>
  <si>
    <t>UPGRADING/ IMPROVEMENT OF ROAD, PINOCOC</t>
  </si>
  <si>
    <t>CONSTRUCTION OF STONE MASONRY AT BRGY. CANABAY</t>
  </si>
  <si>
    <t>CONSTRUCTION OF EVACUATION CENTER PHASE II IN PAG-ASA ISLAND</t>
  </si>
  <si>
    <t>Concreting of Farm-to-Market Road from Brgy. Poponton-Brgy. Calugtogan Section in Dagami, Leyte, ABC PHP5,451,217.05</t>
  </si>
  <si>
    <t>FURNISHING AND DELIVERY OF ASSORTED VEGETABLE SEEDS PROVISION TO FARMERS AFFECTED BY COVID 19 PANDEMIC</t>
  </si>
  <si>
    <t>Proposed Road Concreting/Rehabilitation at San Jose St. (near Hall of Justice), Brgy. Pacita 1</t>
  </si>
  <si>
    <t>Construction of Multi-Purpose Bldg. (Phase 2) in Brgy. Sabang, Palompon, Leyte, ABC PHP3,819,008.84</t>
  </si>
  <si>
    <t>Procurement for the Supply, Delivery and Installation of Online Content Subscription for Engineering, Technology and Science Courses</t>
  </si>
  <si>
    <t>Construction of Multi-Purpose Bldg. (Phase 2) in Brgy. Plaridel, Dagami, Leyte, ABC PHP3,185,180.26</t>
  </si>
  <si>
    <t>Construction of Multi-Purpose Bldg. (Phase 2) at Geronimo Zaldivar Memorial School of Fisheries in Albuera, Leyte, ABC 3,440,351.27</t>
  </si>
  <si>
    <t>THE SUPPLY AND DELIVERY OF ONE (1) UNIT ASIAN UTILITY VEHICLE (AUV)</t>
  </si>
  <si>
    <t>Construction of Multi-Purpose Bldg. (Phase 2) in Brgy. Sta. Rosa, Barugo, Leyte, ABC PHP3,496,830.44</t>
  </si>
  <si>
    <t>CONSTRUCTION OF DRMM MULTI-PURPOSE HALL (TENEGUIBAN, SAN FERNANDO, MABINI HIGH SCHOOL)</t>
  </si>
  <si>
    <t>Procurement of Hardware Supplies PR # 2020-05-14-160</t>
  </si>
  <si>
    <t>B20200202 - CEMENT PORTLAND FOR FABRICATION OF RCPC AND CHB FOR 2ND QTR.</t>
  </si>
  <si>
    <t>IB-INFRA-2020-01A Construction of Various Infrastructure Projects and Building Maintenance (Repainting) Rebid</t>
  </si>
  <si>
    <t>B20200193 - AMBULANCE EQUIPMENT AND SUPPLIES FOR PEO USE</t>
  </si>
  <si>
    <t>Construction of Suspension Support and Crossover Pipeline along Calogcog Bridge in Tanauan, Leyte, ABC PHP4,692,110.80</t>
  </si>
  <si>
    <t>B20200200 - LABORATORY SUPPLIES FOR PEEDO-BLOOD BANK CENTER</t>
  </si>
  <si>
    <t>B20200196 - EQUIPMENT RENTAL FOR PEO USE</t>
  </si>
  <si>
    <t>SUPPLY / DELIVERY OF IN-SITU WATER QUALITY MONITORING CABLES AND WATER QUALITY PARAMETER SENSOR FOR RESEARCH PROJECT</t>
  </si>
  <si>
    <t>PROCUREMENT AND DELIVERY OF MINI DUMP TRUCK</t>
  </si>
  <si>
    <t>Supply and Delivery of 288 Unit 10Lbs. Fire Extinguisher MAP (Dry Chemical), 254 Unit Smoke Alarm (Photo electronic, Battery operated), 	and 29 Set 150mmØ Alarm Bell w/ Manual Call Point AC 220V w/con</t>
  </si>
  <si>
    <t>Supply &amp; Delivery of Motor Vehicles - Pick Up, 4x2 (CMO)</t>
  </si>
  <si>
    <t>Road Concreting located at Purok Talong Barangay Dos Hermanas</t>
  </si>
  <si>
    <t>Supply and Delivery of Assorted Farm and Garden Tools for the establishment of Barangay Level Vegetable Technology Demonstration Farm/YRRP ESSETS Re-bid</t>
  </si>
  <si>
    <t>CONSTRUCTION OF MULTI-PURPOSE HALL AT BRGY. NEW IBAJAY</t>
  </si>
  <si>
    <t>B20200194 - VEHICLE PARTS AND MATERIALS FOR PEO-POOL USE</t>
  </si>
  <si>
    <t>PROCUREMENT AND DELIVERY OF TWO (2) UNITS SEWER TRUCK</t>
  </si>
  <si>
    <t>20FL0082-Repair and Maintenance of Road Safety Facilities Sorsogon 2nd Congressional District</t>
  </si>
  <si>
    <t>CONSTRUCTION OF SLOPE PROTECTION DIKE @ BRGY. BANILA</t>
  </si>
  <si>
    <t>B20200195 - DIESEL AND GASOLINE FOR PEO-CARMEN</t>
  </si>
  <si>
    <t>CONSTRUCTION/IMPROVEMENT OF DUMLAO ROAD @ PRK. KABARUAN, PALABOTAN</t>
  </si>
  <si>
    <t>CONCRETING OF BARANGAY ROAD IN NAGPALANGAN</t>
  </si>
  <si>
    <t>20MA0084-Construction of Multi-Purpose Building, Brgy. Adaon, Datu Anggal  Midtimbang, Maguindanao</t>
  </si>
  <si>
    <t>RIPRAPPING AND CANAL LINING AT BRGY. KIMBUTAN</t>
  </si>
  <si>
    <t>Construction of Multi-Purpose Bldg. (Phase 2) in Brgy. Malobago, Jaro, Leyte, ABC PHP2,885,521.41</t>
  </si>
  <si>
    <t>Procurement of Laptop &amp; Desktop (Set)  Computers</t>
  </si>
  <si>
    <t>Construction of Multi-Purpose Bldg. (Phase 1) in Brgy. Consolacion, Isabel, Leyte, ABC PHP2,477,190.86</t>
  </si>
  <si>
    <t>Repainting of Edgeline and Centerline along Paco-Roxas-Arakan Valley Rd. (Pres.Roxas section;Greenhills section;Doroluman Section;Arakan Section),k1638+000-k1639+000;k1641+000-k1642+000;k1644+000-k164</t>
  </si>
  <si>
    <t>Construction of Multi-Purpose Bldg. (Phase 1) in Brgy. Hinapolon, Alangalang, Leyte, ABC PHP2,546,532.75</t>
  </si>
  <si>
    <t>Construction of Multi-Purpose Bldg. (Phase 2) in Brgy. Guindag-an, Tanauan, Leyte, ABC PHP2,962,997.64</t>
  </si>
  <si>
    <t>Road Concreting located at Existing PCCP of Julio Mapa-Lanotan Ledesma-Dos Hermanas to Hacienda Pilar, Barangay Katilingban</t>
  </si>
  <si>
    <t>20MA0073-Repair/Rehabilitation/Improvement of Multi-Purpose Building (Headquarters  Building, Camp Bgen Salipada K Pendatun), Parang, Maguindanao</t>
  </si>
  <si>
    <t>Construction of Multi-Purpose Bldg. (Phase 2) in brgy. Naulayan, Matag-ob, Leyte, ABC PHP3,166,558.52</t>
  </si>
  <si>
    <t>Construction of Multi-Purpose Bldg. (Phase 2) in Brgy. Capilla, Pastrana, Leyte, ABC PHP3,175,125.94</t>
  </si>
  <si>
    <t>Construction of Multi-Purpose Bldg. (Phase 2) in Brgy. Manaybanay, Pastrana, Leyte, ABC PHP2,990,770.05</t>
  </si>
  <si>
    <t>Contract Labor and Materials for the Expansion of Potable Water System Level III at Brgy. Concepcion, Laak, Davao De Oro</t>
  </si>
  <si>
    <t>Lot No. 2 Repair of Classroom at Mariquita Cinco Memorial Elementary School, ALANGALANG and Mariano Salazar National High School, ALANGALANG</t>
  </si>
  <si>
    <t>20GH0127 - Repair/Improvement of DPWH Building Access Road Leading to Motorpool Iloilo 3rd District Engineering Office, Barotac Viejo, Iloilo</t>
  </si>
  <si>
    <t>DREDGING/DESILTATION OF ANGONO RIVER (SN-SV)</t>
  </si>
  <si>
    <t>Concreting of Farm to Market Road with Slope Protection at Sitio Caniogan, Brgy. Imelda</t>
  </si>
  <si>
    <t>Repair/Installation of Guardrail along Paco-Roxas-Arakan Valley Road (Greenhills Section-Doroluman Section) k1643+200-k1672+000 (selected portion)</t>
  </si>
  <si>
    <t>Contract Labor and Materials for the Expansion of Potable water System Level III at Brgy. Kiokmay, Laak, Davao De Oro</t>
  </si>
  <si>
    <t>Contract Labor and Materials for the Expansion of Potable Water System Level III at Prk. 14, Poblacion Laak, Davao De Oro</t>
  </si>
  <si>
    <t>Delivery/Provision of Complete Security Services 24/7 at DPWH-Cotabato 2nd DEO, Lanao, Kidapawan City Two (2) shifts with 5 Guards/shift, for the Month of July 1, 2020 – December 31, 2020</t>
  </si>
  <si>
    <t>Construction of Multi-Purpose Hall. (Phase 2) in Brgy. Cabaohan, Pastrana, Leyte, ABC PHP2,407,678.51</t>
  </si>
  <si>
    <t>RIPRAPPING AT BRGY. KINABUAN</t>
  </si>
  <si>
    <t>Contract Labor and Materials for the Expansion of Potable Water System at Prk. 6, 7, 8 &amp; 9, Poblacion Laak, Davao De Oro</t>
  </si>
  <si>
    <t>Construction of Multi-Purpose (Phase 2) in Brgy. San Miguel, Dulag, Leyte, ABC PHP2,506,258.14</t>
  </si>
  <si>
    <t>INVITATION TO BID FOR THE  PROJECT: SUPPLY AND DELIVERY OF DERMATOLOGY EQUIPMENTS AND ACCESSORIES ITB NO. 2020-05-008</t>
  </si>
  <si>
    <t>20NF0070:REPAIR/MAINTENANCE OF RECTANGULAR DRAINAGE DEL PILAR ST., BRGY. PAMOSAINGAN, SOCORRO, SURIGAO DEL NORTE</t>
  </si>
  <si>
    <t>20MA0114-Construction of Multi-Purpose Building, (Public Terminal) Guindulungan, Maguindanao</t>
  </si>
  <si>
    <t>20MA0101-Concreting of Access Road from Junction of Kalanganan Mother to the West Circumferential, Cotabato City</t>
  </si>
  <si>
    <t>Procurement of Non-Regulated Drugs (Electrolyte/Vaccines) For ZDSMC Pharmacy Stocking/Sale Purposes</t>
  </si>
  <si>
    <t>20MA0120-Construction of Multi-Purpose Building, (School Building), Pilot Elementary  School, Brgy. Poblacion, Buluan, Maguindanao</t>
  </si>
  <si>
    <t>Concreting of Road in Brgy. Cabadsan, Alangalang, Leyte, ABC PHP2,307,051.36</t>
  </si>
  <si>
    <t>Construction of Multi-Purpose Bldg. (Phase 1) in Brgy. Ikiran, Alangalang, Leyte, ABC PHP2,369,703.54</t>
  </si>
  <si>
    <t>Materials for Backfilling</t>
  </si>
  <si>
    <t>Local Infrastructure Program; Building and Other Structures; Multi-Purpose/ Facilities, Construction of Multi-Purpose Building, Brgy. Dau, Mabalacat City, Pampanga</t>
  </si>
  <si>
    <t>Local Program; Local Infrastructure Program; Local Roads and Bridges; Local Roads; Construction of Cutcut Flyover, Cutcut, Angeles City</t>
  </si>
  <si>
    <t>20MA0112-Construction/Rehabilitation of the Provincial Tourism Office/ Multi-Purpose  Building, Old Maguindanao Capitol Site, Shariff Aguak, Maguindanao</t>
  </si>
  <si>
    <t>Refurbishment/Upgrading of Old and Existing Buildings (FM &amp; Water Refilling Station)/</t>
  </si>
  <si>
    <t>20NF0069:REPAIR/MAINTENANCE OF DPWH BUILDING STAFF HOUSE &amp; ADMINISTRATIVE BUILDINGS  SURIGAO DEL NORTE I DISTRICT ENGINEERING OFFICE</t>
  </si>
  <si>
    <t>Lot No. 1 Repair of Classroom at Hubang Elementary School, Alangalang</t>
  </si>
  <si>
    <t>Refurbishment/Upgrading of Old and Existing Buildings (Hostel to be converted to Clinic Infirmary)</t>
  </si>
  <si>
    <t>Asset Preservation Program; Preventive Maintenance – Primary Roads; Manila North Road – K0083+605 – K0083+828, K0083+888 – K0084+679, K0085+428 – K0085+684, Angeles City, Pampanga</t>
  </si>
  <si>
    <t>SUPPLY &amp; DELIVERY OF OTHER EQUIPMENTS, DEVICES, TOOLS, FURNITURE &amp; FIXTURES, BOOKS AND OTHER PPE FOR FY2020</t>
  </si>
  <si>
    <t>Construction of Multi-Purpose Bldg. in Brgy. San Vicente, Alangalang, Leyte, ABC PHP1,839,546.67</t>
  </si>
  <si>
    <t>Concreting of Road in Brgy. Tolibao, Capoocan, Leyte, ABC PHP2,007,580.00</t>
  </si>
  <si>
    <t>Construction of a 2-Storey Health Center Bldg. in Brgy. Guinsangaan, Inopacan, Leyte, ABC PHP1,902,417.30</t>
  </si>
  <si>
    <t>PROCUREMENT OF PATIENT TRANSPORT VEHICLE CDRRMO, MALAYBALAY CITY.</t>
  </si>
  <si>
    <t>Construction of Multi-Purpose Bldg. (Phase 1) in Brgy. Poblacion, Albuera, Leyte, ABC PHP2,068,995.54</t>
  </si>
  <si>
    <t>Construction of Lunch Center at Brgy. Guintananan, Dumingag, Zamboanga del Sur</t>
  </si>
  <si>
    <t>Construction of Multi-Purpose Bldg. (Phase 1) in Brgy. Binolho, Albuera, Leyte, ABC PHP2,069,994.64</t>
  </si>
  <si>
    <t>Construction of Dapon Bridge at Buenavista, Claveria, Cagayan.</t>
  </si>
  <si>
    <t>Construction of a 2-Classroom School Building at Don Bernardo Alvarez Elem. School in Brgy. Poblacion, Tabango, Leyte, ABC PHP2,092,236.35</t>
  </si>
  <si>
    <t>INVITATION TO BID FOR THE  PROJECT: SUPPLY AND DELIVERY OF OBSTETRICS/GYNECOLOGY EQUIPMENTS AND ACCESSORIES ITB NO. 2020-05-009</t>
  </si>
  <si>
    <t>Supply and Delivery of 2,877 Bags Vermicast for distribution to CALABARZON Farmers under Rice Program CY 2020</t>
  </si>
  <si>
    <t>20NF0072:REPAIR/MAINTENANCE OF RECTANGULAR DRAINAGE GENERAL LUNA, SURIGAO DEL NORTE</t>
  </si>
  <si>
    <t>Construction of Multi-Purpose Bldg. (Phase 2) in Brgy. Jabong, Tabontabon, Leyte, ABC PHP2,100,465.95</t>
  </si>
  <si>
    <t>PURCHASE OF SPORTS UTILITY VEHICLES (SUV) FOR USE IN THE OFFICE OF SANGGUNIANG PANLALAWIGAN</t>
  </si>
  <si>
    <t>20MA0130-Cluster “A” : Construction of Rainwater Collection System (RWCS)  1.) Barangay Day Care Center, Barangay Poblacion 1, 2.) Barangay Hall, Barangay Poblacion VII, 3.) Barangay Hall, Barangay Po</t>
  </si>
  <si>
    <t>20NF0071: REPAIR/MAINTENANCE OF RECTANGULAR DRAINAGE BRGY. PAMOSAINGAN, SOCORRO, SURIGAO DEL NORTE</t>
  </si>
  <si>
    <t>Construction of Double Barrel Box Culvert in Pagatpat, Calubian,Leyte, ABC PHP2,374,493.61</t>
  </si>
  <si>
    <t>Construction of Multi-Purpose Bldg. (Phase 2) in Brgy. Parag-um, Carigara, Leyte, ABC PHP1,059,538.62</t>
  </si>
  <si>
    <t>20MA0104-Construction/Concreting of Narra-Katidtuan Road, Brgy, Narra, Sultan Kudarat, Maguindanao</t>
  </si>
  <si>
    <t>20FO0082 - Network Development Program - Construction of By-Pass and Diversion Roads - Palanas-Del Rosario Road, Jovellar, Albay</t>
  </si>
  <si>
    <t>Concrering of pathway area 7</t>
  </si>
  <si>
    <t>20DP0071 : Repair/Maintenance of Drainage along San Pablo-Dolores Road, K0087 + (-160) – K0087 + 280 (LS)</t>
  </si>
  <si>
    <t>20KA0141 Paving of Unpaved Roads with Construction of Road Slope Protection Structure along Jct SH Aglayan-Zamboanguita Rd (S00631MN) - K1569 + 187 - K1570 + 092 (Package 2 - K1569 + 607 - K1570 + 092</t>
  </si>
  <si>
    <t>Supply &amp; Delivery of Vehicle Parts &amp; Materials for repair &amp; maintenance of Garbage Truck (CGSO).</t>
  </si>
  <si>
    <t>20GAE0007: Supply and Delivery of Global Navigation Satellite System (GNSS) Equipment for use in the Pre-Detailed Engineering Activities of Personnel Under Planning and Design Section, DPWH-LU 1st DEO</t>
  </si>
  <si>
    <t>Installation of Solar Street Lights in Brgy. Abaca, Dagami, Leyte, ABC PHP1,095,925.43</t>
  </si>
  <si>
    <t>20KA0138 Construction of Multi Purpose Building - Construction of Multi-Purpose  Building, Brgy. Iba, Cabanglasan, Bukidnon (Phase I) Cabanglasan, Bukidnon</t>
  </si>
  <si>
    <t>Concreting of Road Pathway in Sitio Caduldolan, Brgy. Hacienda, Maria, San Isidro, Leyte, ABC PHP1,086,392.71</t>
  </si>
  <si>
    <t>20KA0139 Road Widening along Jct SH Aglayan-Zamboanguita Rd (S00631MN) - K1523 + 850 - K1525 + 500 (Package 2 - K1525 + 340 - K1525 + 500) Malaybalay City, Bukidnon</t>
  </si>
  <si>
    <t>20KA0136 Paving of Unpaved Roads with Construction of Road Slope Protection Structure along Kapalong-Talaingod-Valencia (Bukidnon) Rd (S00641MN) -  K1582 + 587 - K1582 + 734 (Package 1 - K1582 + 680 -</t>
  </si>
  <si>
    <t>Construction of Lunch Center at Sitio Sumibang, Brgy. Labangon, Dumingag, Zamboanga del Sur</t>
  </si>
  <si>
    <t>20KA0140 Paving of Unpaved Roads with Construction of Road Slope Protection Structure along Kapalong-Talaingod-Valencia (Bukidnon) Rd (S00641MN) -  K1582 + 587 - K1582 + 734 (Package 2 - K1582 + 587 -</t>
  </si>
  <si>
    <t>Supply and Delivery of Fertilizers in support to the Corn and Corn-Based Farming System/YRRP (Re-bid)</t>
  </si>
  <si>
    <t>20KA0137 Paving of Unpaved Roads with Construction of Road Slope Protection Structure along Jct SH Aglayan-Zamboanguita Rd (S00631MN) - K1569 + 187 - K1570 + 092 (Package 1 - K1569 + 187 - K1569 + 607</t>
  </si>
  <si>
    <t>Construction of Pergola at Pawing Central School in Pawing, Palo, Leyte, ABC PHP1,078,397.95</t>
  </si>
  <si>
    <t>Installation of Solar Street Lights in Brgy. Naghalin, Kananga, Leyte, ABC PHP1,705,055.37</t>
  </si>
  <si>
    <t>Construction of Lunch Center at Brgy. Labangon, Dumingag, Zamboanga del Sur</t>
  </si>
  <si>
    <t>Construction of a 1-Classroom School Building at Tagaytay Elem. School in Mahaplag, Leyte, ABC PHP1,239,054.84</t>
  </si>
  <si>
    <t>Construction of a 1-Classroom School Building at Paril Elem. School in Mahaplag, Leyte, ABC PHP1,274,987.15</t>
  </si>
  <si>
    <t>20GAE0008: Supply, Delivery and Installation of Design Software for use in the Pre-Detailed Engineering (PDE) Activities of Personnel under Planning and Design Section, DPWH-LU 1st DEO, Lingsat, City</t>
  </si>
  <si>
    <t>Construction of Multi-Purpose Bldg. (Phase 1) in Brgy. Barayong, Carigara, Leyte, ABC PHP2,297,927.90</t>
  </si>
  <si>
    <t>20KA0135 Road Widening along Jct SH Aglayan-Zamboanguita Rd (S00631MN) - K1523 + 850 - K1525 + 500 (Package 1 - K1523 + 850 - K1525 + 340) Malaybalay City, Bukidnon</t>
  </si>
  <si>
    <t>20NF0074: REPAIR/MAINTENANCE OF DILG BUILDING BUREAU OF  FIRE PROTECTION BUILDING-GEN. LUNA FIRE STATION</t>
  </si>
  <si>
    <t>Construction of Multi-Purpose Bldg. (Phase 1) in Brgy. Puting Bato, Leyte, ABC PHP2,220,898.67</t>
  </si>
  <si>
    <t>Procurement of Heavy Equipment - Wheel Loader and Crawler type Hydraulic Excavator - MEO</t>
  </si>
  <si>
    <t>20MA0121-Opening Road, Brgy. Poblacion, Buluan, Maguindanao</t>
  </si>
  <si>
    <t>Provision of Comprehensive Maintenance and Preventive Repair Services for the Network and Security Equipment for FY 2020 (Rebidding)</t>
  </si>
  <si>
    <t>20PA0124 :  CONCRETING OF SITIO MINUWA BARANGAY POBLACION FMR, Barangay Poblacion Licuan-Baay, Abra</t>
  </si>
  <si>
    <t>20NF0075:REPAIR/MAINTENANCE OF DPWH BUILDING FIELD OFFICE BUILDING SURIGAO DEL NORTE 1 DISTRICT ENGINEERING  OFFICE SOCORRO, SURIGAO DEL NORTE</t>
  </si>
  <si>
    <t>Procurement of Various Medical Equipment ITB#2020-12(2)</t>
  </si>
  <si>
    <t>Supply and Delivery of Materials for Water Source Development of Sugbongcogon Water System</t>
  </si>
  <si>
    <t>20NF0076: REPAIR/MAINTENANCE OF DPWH BUILDING VARIOUS OFFICES/BUILDING FINANCE AND MANAGEMENT OFFICE</t>
  </si>
  <si>
    <t>20NF0073:REPAIR/REHABILITATION/IMPROVEMENT OF CONCRETE SLOPE PROTECTION AT JCT. DEL CARMEN-STA. MONICA-SAN ISIDRO ROAD</t>
  </si>
  <si>
    <t>20PA0123 : CONVERGENCE AND SPECIAL SUPPORT PROGRAM-CONSTRUCTION/IMPROVEMENT OF ACCESS ROADS LEADING TO DECLARED TOURISM DESTINATIONS, QUIRSODAN-BAQUERO TO PANACLISAN RIVER AND ROCK FORMATION, Licuan-B</t>
  </si>
  <si>
    <t>Repair/Rehabilitation of Slaughter House, Brgy. Bangac, Mina, Iloilo.</t>
  </si>
  <si>
    <t>COMPLETION OF MULTI-PURPOSE BUILDING AT BINMALEY CENTRAL SCHOOL</t>
  </si>
  <si>
    <t>Supply and Delivery of Construction Materials for the Municipal Eco-Park Development</t>
  </si>
  <si>
    <t>Procurement of Various Medical Equipment ITB#2020-12(1)</t>
  </si>
  <si>
    <t>Network Development-Paving of Unpaved Roads- Tertiary Roads Apayao-Ilocos Norte Rd K0636+831 - K0638+831</t>
  </si>
  <si>
    <t>EXPANSION OF ABORLAN WATER SYSTEM LEVEL III AT BGY. MABINI. APOC APOC &amp; MAGSAYSAY</t>
  </si>
  <si>
    <t>FURNITURES AND FIXTURES</t>
  </si>
  <si>
    <t>20PA0125 : CONCRETING OF BARANGAY BUNEG FMR, BARANGAY BUNEG, LACUB, ABRA, Barangay Buneg, Lacub, Abra</t>
  </si>
  <si>
    <t>Supply, Delivery and Installation of INREMP-SSF No. 05-Establishment of Post-Harvest Facility for New Eden Cooperative(2020-05-005)</t>
  </si>
  <si>
    <t>Supply, Delivery and Installation of INREMP-SSF No. 02-Cacao All-Weather Solar Tunnel Dryer w/ Fermentation Boxes (CAWSTD) for Basyawon-Kisolop Small Upland Farmers Association, Inc.(BKSUFA)(2020-05-0</t>
  </si>
  <si>
    <t>Procurement of Utility Vehicle</t>
  </si>
  <si>
    <t>Supply, Delivery and Installation of INREMP-SSF No. 04-Establishment of Solar Dryers for Kauswagan Utah San Vicente Sinasaan Farmers Association (KUSSFARMA)(2020-05-004)</t>
  </si>
  <si>
    <t>Repair/Improvement of Multi-Purpose Hall, P1  @ Brgy. Buhatan, East District, Sorsogon City</t>
  </si>
  <si>
    <t>Construction of Multi-Purpose Environment Protection Building for Socio-Economic and Health Enhancement Activity</t>
  </si>
  <si>
    <t>Construction of Cabugnayan Dike, San Juan</t>
  </si>
  <si>
    <t>Construction of Sanitary Landfill Cell, Sto. Tomas</t>
  </si>
  <si>
    <t>INSTALLATION OF STREET LIGHTING SYSTEM</t>
  </si>
  <si>
    <t>Construction of Provincial Budget Office and Provincial Accountant's Office Bodega Extension at Capitol Compound, Malaybalay City</t>
  </si>
  <si>
    <t>Supply, Delivery and Installation of INREMP-SSF No. 06-Provision of Coffee All-Weather Solar Dryer with built in Dehumidifiers and Moisture Meter for the MILALITTRA Farmers’s Agriculture Association (</t>
  </si>
  <si>
    <t>Construction of  Farmers Multi-Purpose Center, Las-ud, Caba</t>
  </si>
  <si>
    <t>Supply, Delivery and Installation of INREMP-SSF No. 03-Cacao All-Weather Solar Tunnel Dryer w/ Fermentation Boxes (CAWSTD) for Buyot Upland Farmers Association, Inc.(BUFA)(2020-05-003)</t>
  </si>
  <si>
    <t>20GA0127 - Repair/Rehabilitation of Multi-Purpose Building Kalibo Public Market Kalibo, Aklan</t>
  </si>
  <si>
    <t>20GA0134 - Construction of Alfonso XII Local Road Brgy. Alfonso XII, Libacao, Aklan</t>
  </si>
  <si>
    <t>Completion of Catbangen Central School Covered Court, San Fernando City</t>
  </si>
  <si>
    <t>Supply, Delivery and Installation of INREMP-SSF No. 07-Establishment of Coffee Post harvest Facility for Portulin Talaandig Tribal Association, Inc. (PTTAI) (2020-05-007)</t>
  </si>
  <si>
    <t>Construction of Farmers Multi-Purpose Center, Santiago Sur, Caba</t>
  </si>
  <si>
    <t>Purchase of Construction Materials/Equipment for the Technology Intervention in Binuangan, Misamis Oriental-D1 to Produce Eco-Hollow Blocks from Shredded Solid Waste for DOST Program</t>
  </si>
  <si>
    <t>Repair/Restoration of Portion of Old Capitol Building to be Used as Temporary Stock Room of PGSO Warehouse Brgy. Dalakit, Catarman, Northern Samar</t>
  </si>
  <si>
    <t>Construction of Material Recovery Facility (MRF) Building</t>
  </si>
  <si>
    <t>CONSTRUCTION OF BOX CULVERT CREEK 3 TORANG, CAMALIG, (8000-2-2-10), SARANGANI, DAVAO OCCIDENTAL</t>
  </si>
  <si>
    <t>Supply and Delivery of Hospital Bed, 2 Cranks with IV Pole with Mattress</t>
  </si>
  <si>
    <t>20GA0126 - Construction of Multi-Purpose Building/Evacuation Center at Sitio Centro, Brgy. Cortes, Balete, Aklan</t>
  </si>
  <si>
    <t>ROAD CONCRETING (DOUBLE LANE) BULAWAN ST., MABILA, (8000-2-2-14), SARANGANI, DAVAO OCCIDENTAL.</t>
  </si>
  <si>
    <t>CONSTRUCTION OF BOX CULVERT CREEK 2 TORANG, CAMALIG, (8000-2-2-9), SARANGANI, DAVAO OCCIDENTAL.</t>
  </si>
  <si>
    <t>SUPPLY AND INSTALLATION OF HFG STRUCTURED CABLING FOR CCTV, WIFI AND TELEPHONE SYSTEM</t>
  </si>
  <si>
    <t>20KL0135 - Construction of Multi-Purpose Building Brgy. Poblacion, Laguindingan, Misamis Oriental</t>
  </si>
  <si>
    <t>CONTRACT ID: 20-05-083 - PROCUREMENT OF FAMILY PLANNING COMMODITIES</t>
  </si>
  <si>
    <t>Procurement of Goods for the CEST Livelihood Project for Establishment of a Candle Production Facility for the Parent's Organization</t>
  </si>
  <si>
    <t>IMPROVEMENT OF AKADCHANG WATER SYSTEM</t>
  </si>
  <si>
    <t>Procurement, Supply &amp; Delivery of Medical Equipment</t>
  </si>
  <si>
    <t>Purchase of Construction Materials for the Improvement/Repainting the Tourist Inn, Foot Bridge, Cottages at Lourdes, Poblacion, Binuangan, Misamis Oriental</t>
  </si>
  <si>
    <t>CATERING SERVICES (Meals &amp; Snacks) Formulation of Comprehensive Development Plan (CDP), Comprehensive Land Use Plan (CLUP) Plan, Municipal Disaster Risk Reduction and Management Plan (MDRRMP) Continge</t>
  </si>
  <si>
    <t>Supplies and Materials for the Construction of Municipal Tourism Building</t>
  </si>
  <si>
    <t>Procurement, Supply &amp; Delivery of Fuel</t>
  </si>
  <si>
    <t>20GCB0002: Procurement of Materials (Pen. Asphalt 60/70) for use in the Repair and Maint. Of National Roads &amp; Bridges (Carriageway, Asphalt &amp; Concrete Shoulder) along Roman Expressway (SO1313LZ), JLBM</t>
  </si>
  <si>
    <t>SUPPLY AND INSTALLATION OF RRCY STRUCTURED CABLING FOR CCTV, WIFI AND TELEPHONE SYSTEM</t>
  </si>
  <si>
    <t>20GCB0001: Procurement of Emulsified Asphalt Cationic (SS-1) for use in the Repair &amp; Maint. Of National Roads &amp; Bridges (Carriageway, Asphalt &amp; Concrete Shoulder) along Roman Expressway (SO1313LZ), JL</t>
  </si>
  <si>
    <t>CONSTRUCTION OF SANITARY TOILET WITH HYGIENE FACILITIES FOR PUBLIC PLACES IN SALAPINGAO</t>
  </si>
  <si>
    <t>Local Access Road at  Brgy. Bancoro, San Nicolas, Batangas</t>
  </si>
  <si>
    <t>20PC0056 REPAIR/MAINTENANCE OF DPWH TWO (2) STOREY BUILDING W/ BASEMENT APAYAO II DISTRICT ENGINEERING OFFICE SAN ISIDRO SUR, LUNA, APAYAO</t>
  </si>
  <si>
    <t>CONSTRUCTION OF FILANG FOOTBRIDGE</t>
  </si>
  <si>
    <t xml:space="preserve">PROCUREMENT OF LAPTOP, DRONE &amp; GPS DEVICE  Formulation of Comprehensive Development Plan (CDP), Comprehensive Land Use Plan (CLUP) Plan, Municipal Disaster Risk Reduction and Management Plan (MDRRMP) </t>
  </si>
  <si>
    <t>THIS VEHICLE WILL BE SERVE AS TRANSPORTATION DURING EMERGENCY CASES, BRGY RELATED ACTIVITIES AND FOR OTHER PURPOSES THAT WOULD BE BENEFICIAL FOR THE COMMUNITY.</t>
  </si>
  <si>
    <t>SUPPLY AND DELIVERY OF DESKTOP AND LAPTOP COMPUTERS</t>
  </si>
  <si>
    <t>PROCUREMENT OF ELECTRICAL SUPPLIES</t>
  </si>
  <si>
    <t>Procurement, Supply &amp; Delivery of Spare Parts</t>
  </si>
  <si>
    <t>Procurement of Gazebo-MO,Lopez Jaena</t>
  </si>
  <si>
    <t>20LA0228 Construction of Multi-Purpose Bldg. (Senior Citizen), Brgy. Lapu-Lapu, Maco, Compostela Valley</t>
  </si>
  <si>
    <t>Purchase of Office Equipment, Furniture and Fixtures</t>
  </si>
  <si>
    <t>20LA0225 Improvement of Multi-Purpose Building, Brgy. Poblacion, Montevista, Compostela Valley</t>
  </si>
  <si>
    <t>REHABILITATION OF FINAN-NANG TO TARANGCHUY PATHWAY</t>
  </si>
  <si>
    <t>20LA0230 Construction of Multi-Purpose Building (Mini-Gym), Brgy. Concepcion ES, Concepcion, Mawab, Compostela Valley</t>
  </si>
  <si>
    <t>20LA0176 Construction of Revetment along Mawab River Phase II, Brgy. Poblacion, Mawab, Compostela Valley</t>
  </si>
  <si>
    <t>20LA0227 Construction of Multi-Purpose Building (Senior Citizen Building), Brgy. Del Pilar, Mabini, Compostela Valley</t>
  </si>
  <si>
    <t>20GCB0003: Replacement of Damage In-Ground Automatic Traffic Counter/Classifier (ATC) Sensors and Accessories (2 Lanes) of Three Survey Sites (Bagac-Poblacion Road, KO151+000; Lamao Access Road, KO143</t>
  </si>
  <si>
    <t>Improvement of CLIP Halfway House Halfway House Building, Brgy. Dalakit, Catarman, Northern Samar</t>
  </si>
  <si>
    <t>Supply and Delivery of Medical Supplies for Official Use of JLAEH (2nd Qtr)</t>
  </si>
  <si>
    <t>20L00145 : Construction of Concrete Road Along Bypass Road at Jct. Elpidio Quirino Ave. (Tionko Ave. Section) – Jct. Ponciano St. (Davao City Post Office), Davao City</t>
  </si>
  <si>
    <t>20LA0133 Improvement of Municipal Gym, Maco, Compostela Valley</t>
  </si>
  <si>
    <t>Repair/Maintenance of DOLE Building Nat'l. Concilation &amp; Mediation Board, Trece Martirez, Tacloban City</t>
  </si>
  <si>
    <t>Concreting of Brgy. Palanog Farm to Market Road, Tacloban City, Leyte</t>
  </si>
  <si>
    <t>20LA0229 Construction of Multi-Purpose Building (Senior Citizen Building), Brgy. San Antonio, Laak, Compostela Valley</t>
  </si>
  <si>
    <t>20LA0226 Improvement of MPB (Admin Bldg.) Nabunturan Central ES, Nabunturan, Compostela Valley</t>
  </si>
  <si>
    <t>20L00153 : Road Widening and Replacement of Bridge Along Jct. Davao City Diversion Rd. (Matina Pangi Section) – Matina Pangi Rd. – Sitio Toril – Jct. Catalunan Grande Rd., Davao City</t>
  </si>
  <si>
    <t>20L00141 : Construction of Concrete Bridge – Matina Aplaya Bridge 2, Davao City</t>
  </si>
  <si>
    <t>20L00170 : Reconstruction to Concrete Pavement Along Jct. Daang Maharlika Road – Gov. Gregorio V. Cañeda Road – Jct. FS Dizon Road, Davao City</t>
  </si>
  <si>
    <t>Bid No. 20-0263 - PROCUREMENT OF CATERING SERVICES - MO (LGU ACTIVITIES-3RD QUARTER 2020)</t>
  </si>
  <si>
    <t>Procurement of School Armchairs for Marawi Rehabilitation Program</t>
  </si>
  <si>
    <t>CONSTRUCTION OF BOX CULVERT CREEK 1 TORANG, CAMALIG, (8000-2-2-12), 000000000SARANGANI, DAVAO OCCIDENTAL</t>
  </si>
  <si>
    <t>Repair/Maintenance of Tanghas Lirang River Control, Tacloban City</t>
  </si>
  <si>
    <t>20L00030 : Construction of Flyover along Davao – Cotabato Road – Junction Maa Road, Package 1, Davao City</t>
  </si>
  <si>
    <t>Rehabilitation of Parian Farm to Market Road, San Fernando City</t>
  </si>
  <si>
    <t>Concreting of Brgy. Caglayan to Brgy. Macatel FMR, Brgy. Caglayan and Brgy. Macatel, Conner, Apayao</t>
  </si>
  <si>
    <t>Various Infrastructure Projects at Pasig City-PB-06-19-2020</t>
  </si>
  <si>
    <t>Supply and Delivery of Hospital Portable Air Cleaner with HEPA Filtration and Ultra-Violet Light for Official Use of JLAEH</t>
  </si>
  <si>
    <t>Supply and delivery of CPR Dummies and Automated External Defibrillator (AED) to be placed in different strategic locations to cover the 19 barangays of LGU Pilar, Bataan</t>
  </si>
  <si>
    <t>2490-20 Procurement of Materials for the Construction of HDPE Cage Frame and Circular Cage Frame</t>
  </si>
  <si>
    <t>PURCHASE OF AMBULANCE</t>
  </si>
  <si>
    <t>SUPPLY AND DELIVERY OF HARDWARE MATERIALS FOR THE CONSTRUCTION OF STREET LIGHT</t>
  </si>
  <si>
    <t>Procurement of Various Drugs and Medicines ITB#2020-13 (RE-BIDDING)</t>
  </si>
  <si>
    <t>20LA0238 Construction of Multi-Purpose Building (Alive Building), Brgy. Pindasan ES, Pindasan, Mabini, Compostela Valley</t>
  </si>
  <si>
    <t>20DJ0084-LOCAL PROGRAM, Construction/Repair/Rehabilitation/Improvement of Various Infrastructure including Local Projects, Construction (Completion) of Multi-Purpose Building in Barangay Del Rosario,</t>
  </si>
  <si>
    <t>20LA0235 Rehabilitation of Multi-Purpose Building, Brgy. Sawangan, Mawab, Compostela Valley</t>
  </si>
  <si>
    <t>20LA0236 Completion of MPB (Brgy. Hall) Taglawig, Maco, Compostela Valley</t>
  </si>
  <si>
    <t>20LA0239 Construction of Multi-Purpose Building Sitio Canipa, Matiao, Pantukan, Compostela Valley</t>
  </si>
  <si>
    <t>Purchase of Various Fittings &amp; SDR for Service Connection</t>
  </si>
  <si>
    <t>20LA0234 Construction of Multi-Purpose Building, Brgy. Matilo ES, Matilo, Nabunturan, Compostela Valley</t>
  </si>
  <si>
    <t>20LA0237 Improvement of Multi-Purpose Building (Gym) Cadunan, Mabini, Compostela Valley</t>
  </si>
  <si>
    <t>Procurement, Supply &amp; Delivery of Service Vehicle</t>
  </si>
  <si>
    <t>Supply and Delivery of Heavy Equipment – Towable Boom Lift / Man Lift</t>
  </si>
  <si>
    <t>Various Infrastructure Projects (Infra-20-07), Kabankalan City, Negros Occidental</t>
  </si>
  <si>
    <t>Repair/Maintenance of Service Vehicles of Calasiao, Pangasinan</t>
  </si>
  <si>
    <t>20LA0232 Construction of Multi-Purpose Building (Brgy. Hall), Brgy. Hinagtungan, Laak, Compostela Valley</t>
  </si>
  <si>
    <t>Procurement of Nucleic Acid Amplification Testing Reagents under IB No. 2020-213</t>
  </si>
  <si>
    <t>20LA0233 Construction of MPB (Mini-Gym) Matilo ES, Nabunturan, Compostela Valley</t>
  </si>
  <si>
    <t>20NB0067, Repair/Maintenance of Batucan Estero/Waterway Dike, Sta. 0+000-Sta. 0+090 B/S (Downstream), Brgy. Batucan, Talacogon, Agusan del Sur</t>
  </si>
  <si>
    <t>20LA0231 Improvement of Multi-Purpose Building (Gym) Araibo, Pantukan, Compostela Valley</t>
  </si>
  <si>
    <t>20LA0248 Construction of Bridge at Brgy. New Calape, Montevista, Compostela Valley</t>
  </si>
  <si>
    <t>20DJ0085-LOCAL PROGRAM, Local Infrastructure Program, Construction of Multi-Purpose Building, Brgy. Cabatang, Tiaong, Quezon</t>
  </si>
  <si>
    <t>20NB0065, Repair/Maintenance of Anibongan River Revetment, Sta. 0+060-Sta. 0+160 L/S (Downstream), Brgy. Anibongan, Prosperidad, Agusan del Sur</t>
  </si>
  <si>
    <t>20LA0246 Improvement of MPB (Gym), Tagugpo, Pantukan, Compostela Valley</t>
  </si>
  <si>
    <t>20NB0066, Repair/Maintenance of Azpetia River Revetment, Sta. 0+064-Sta. 0+084 R/S (Upstream), Brgy. Azpetia, Prosperidad, Agusan del Sur</t>
  </si>
  <si>
    <t>Supply and Delivery of Tilapia Feeds</t>
  </si>
  <si>
    <t>IMPROVEMENT &amp; CONSTRUCTION OF WETLAND FOR WASTE WATER  TREATMENT FACILITY OF SLAUGHTER HOUSE, FASTRAC,BRGY ROBLES</t>
  </si>
  <si>
    <t>20LA0244 Construction of Multi-Purpose Building (Officer &amp; Personnel Quarter MIB) Tuburan 10th Division Philippines Army, Mawab, Compostela Valley</t>
  </si>
  <si>
    <t>IMPROVEMENT/ REHABILITATION OF WATER SYSTEM  OF BRGY. CABACUNGAN</t>
  </si>
  <si>
    <t>20LA0247 Construction of MPB (Gym) Basak Integrated NHS, Nabunturan, Compostela Valley</t>
  </si>
  <si>
    <t>Repair/Rehabilitation of District Hospital (Gigmoto District Hospital)</t>
  </si>
  <si>
    <t>DEVELOPMENT OF WATER SYSTEM FROM SITIO PAHO TO SITIO BUNGYOD, BRGY. CABACUNGAN</t>
  </si>
  <si>
    <t>20LA0243 Construction of MPB (ECCD) San Roque, Maco, Compostela Valley</t>
  </si>
  <si>
    <t>20DJ0086-LOCAL PROGRAM, Local Infrastructure Program, Road Widening of Sn Juan-Candelaria-Jct-Candelaria-Bolboc Rd, S02002LZ, K0146+830-K0147+017, Quezon</t>
  </si>
  <si>
    <t>20LA0241 Construction of MPB 100 1st Brigade Phil. Army, Mapaang Maco, Compostela Valley</t>
  </si>
  <si>
    <t>SUPPLY AND DELIVERY OF ONE (1) UNIT 4X4 PICK-UP FOR THE CITY SECURITY AND TRAFFIC MANAGEMENT TASKFORCE OFFICE</t>
  </si>
  <si>
    <t>Repair and Improvement of Capitol Multi-Purpose Hall</t>
  </si>
  <si>
    <t>Laundry Services for San Juan Medical Center  (July – December 2020)</t>
  </si>
  <si>
    <t>Const. of River Control Cavinitan-Pajo</t>
  </si>
  <si>
    <t>PROCUREMENT OF VARIOUS FURNITURE, FIXTURES AND EQUIPMENT UNDER ANNUAL EQUIPMENT PROCUREMENT PROGRAM (AEPP) FOR CY 2019</t>
  </si>
  <si>
    <t>Agno River Basin Flood Control Project – Repair/Maintenance of Bank Protection at Brgy. Macayo, Alcala, Pangasinan, Sta. 04+820.00 to Sta. 05+238.00</t>
  </si>
  <si>
    <t>20LA0242 Construction of Multi-Purpose Building (Day Care Center), Brgy. Bayanihan, Laak, Compostela Valley</t>
  </si>
  <si>
    <t>LAPU-LAPU SOURCE DEVELOPMENT PROJECT [INFRA-2020-001]</t>
  </si>
  <si>
    <t>20LA0240 Construction of Multi-Purpose Building (Gym) Libuton, Laak, Compostela Valley</t>
  </si>
  <si>
    <t>PURCHASE OF DUMP TRUCK</t>
  </si>
  <si>
    <t>20PC0057 CONSTRUCTION OF SIPA FLOOD CONTROL STA. MARCELA, APAYAO</t>
  </si>
  <si>
    <t>20DJ0087-LOCAL PROGRAM, Local Infrastructure Program, Construction of Road Brgy. Poblacion-Brgy. Buliran, San Antonio, Quezon</t>
  </si>
  <si>
    <t>20DJ0089-LOCAL PROGRAM, Local Infrastructure Program, Construction/Rehabilitation of Multi-Purpose Building, Lucena City, Quezon</t>
  </si>
  <si>
    <t>20NB0070, Construction of Concrete Road – Access Road in support of Match Factory, Talacogon, Agusan del Sur</t>
  </si>
  <si>
    <t>20LA0245 Rehabilitation of Multi-Purpose Building (Gym), Brgy. Gemperle ES, Tagnanan, Mabini, Compostela Valley</t>
  </si>
  <si>
    <t>20LA0250 Improvement of MPB (Gym), Poblacion, Nabunturan, Compostela Valley</t>
  </si>
  <si>
    <t>PROVISION OF LOT 1: 30 PAX MEALS AND SNACKS FOR 5 DAYS FOR THE CONDUCT OF TECHNICAL BRIEFING ON CORN &amp; CASSAVA</t>
  </si>
  <si>
    <t>20PC0058 CONSTRUCTION/IMPROVEMENT OF ACCESS ROADS LEADING TO TRADES, INDUSTRIES AND ECONOMIC ZONES STA. FILOMENA ROAD IN SUPPORT OF MULTI-CROP PROCESSING CENTER (COFFEE, CACAO, PINEAPPLE, COCONUT) FUR</t>
  </si>
  <si>
    <t>CLUSTER 23-2020</t>
  </si>
  <si>
    <t>Supply of Materials for the Completion of Market Stalls</t>
  </si>
  <si>
    <t>Supply and Delivery of One (1) Unit 26-34 Seaters Mini Bus</t>
  </si>
  <si>
    <t>CONSTRUCTION OF CIVIC CENTER (PHASE 2) AT BRGY SAN RAFAEL, VILLAREAL, SAMAR</t>
  </si>
  <si>
    <t>Procurement of one unit double cab vehicle</t>
  </si>
  <si>
    <t>20LA0251 Construction of concreting road with Rotonda, Concepcion, Maco, Compostela Valley</t>
  </si>
  <si>
    <t>Purchase of High Angle Rescue Equipment</t>
  </si>
  <si>
    <t>CLUSTER 24-2020</t>
  </si>
  <si>
    <t>AGNO RIVER BASIN FLOOD CONTROL PROJECT-REPAIR MAINTENANCE OF BANK PROTECTION AT BRGY. SAN JOSE, AGUILAR, PANGASINAN, STA. 03+280 TO STA. 03+582</t>
  </si>
  <si>
    <t>20NB0069, Repair/Maintenance of Maygatasan Estero/Waterway Dike, Sta.0+030-Sta.0+041 L/S; Sta.0+020-Sta.0+031 R/S (Downstream), Brgy. Maygatasan, Bayugan, Agusan del Sur</t>
  </si>
  <si>
    <t>Repair/ Maintenance Of DILG Building Bureau of Fire and Protection, Sison, Pangasinan</t>
  </si>
  <si>
    <t>AGNO RIVER BASIN FLOOD CONTROL PROJECT-REPAIR MAINTENANCE OF BANK PROTECTION AT BRGY. SAN FRANCISCO, BUGALLON, PANGASINAN, STA. 01+260 TO STA. 01+598</t>
  </si>
  <si>
    <t>PURCHASE OF MEAT VAN VEHICLE</t>
  </si>
  <si>
    <t>AGNO RIVER BASIN FLOOD CONTROL PROJECT-REPAIR MAINTENANCE OF ANULID-POPONTO RIGHTDIKE AT ALCALA-BAUTISTA, PANGASINAN, STA. 10+640 TO STA. 12+220; STA. 13+320 TO STA. 13+580 AND STA. 15+960 TO STA. 17+</t>
  </si>
  <si>
    <t>INFRA PROJECT JUNE 18, 2020</t>
  </si>
  <si>
    <t>20DD0297 Local Program, Local Infrastructure Program, Buildings and Other Structures, Multipurpose/ Facilities, Construction of Multi-Purpose Building including Facilities in Laurel Park, Brgy. Poblac</t>
  </si>
  <si>
    <t>Repair/Maintenance of DILG Philippine National Police Building, Sta. Maria, Pangasinan</t>
  </si>
  <si>
    <t>UPGRADING/IMPROVEMENT OF PINAGAN-MAGNAO PROVINCIAL ROAD</t>
  </si>
  <si>
    <t>20DD0296 Local Program, Local Infrastructure Program, Buildings and Other Structures, Multipurpose/ Facilities, Construction/ Completion of Multi-Purpose Building (Community Hospital) at Brgy. Castill</t>
  </si>
  <si>
    <t>Improvement of Liga Building/Hall (Phase I)</t>
  </si>
  <si>
    <t>EXPENSES   ON  UGNAYAN SA BARANGAY: SPECIAL LAW MEDICAL AND DENTAL MISSION, TRAINING SEMINAR  OF BARANGAY TANOD,MONTHLY MEETING OF ADAC/MADAC/BARANGAY VISITATION</t>
  </si>
  <si>
    <t>Rehabilitation/Improvement of Level II Water System</t>
  </si>
  <si>
    <t>20DD0298 Local Program, Construction/ Repair/ Rehabilitation/ Improvement of Various Infrastructure including Local Projects, Buildings and Other Structures, Multipurpose/ Facilities, Rehabilitation o</t>
  </si>
  <si>
    <t>20DD0299 Local Program, Local Infrastructure Program, Buildings and Other Structures, Multipurpose/ Facilities, Construction/ Improvement of Multi-Purpose Building including Site Development at Brgy.</t>
  </si>
  <si>
    <t>Supply and Delivery of One (1) Unit Brand New Motor Grader</t>
  </si>
  <si>
    <t>Supply and Delivery of One (1) Unit Brand New Service Vehicle</t>
  </si>
  <si>
    <t>Agno River Basin Flood Control Project – Repair/Maintenance of Bank Protection at Brgy. Magtaking, Bugallon, Pangasinan Sta. 00+060.00 to Sta. 00+494.00</t>
  </si>
  <si>
    <t>Repair/Maintenance of DOLE Building, Rosales, Pangasinan</t>
  </si>
  <si>
    <t>Construction of  Cabatuan Road   Sto. Domingo, San Manuel ,Pangasinan</t>
  </si>
  <si>
    <t>Repair/Maintenance of DOJ Building Bureau of Jail Management and Penology BJMP Compound Perimeter Fence Urdaneta City, Pangasinan</t>
  </si>
  <si>
    <t>20DD0300 Local Program, Local Infrastructure Program, Buildings and Other Structures, Multipurpose/ Facilities, Construction of Multi-Purpose Building (CENRO-DENR), Brgy. Marawoy, Lipa City, Batangas</t>
  </si>
  <si>
    <t>Construction Supplies/Electrical Supplies, Computer Accessories and Equipment/Consumables, Feeds &amp; Minerals and Seeds &amp; Fertilizers, Janitorial Supplies,Office Accessories and Equipment/Office Supplie</t>
  </si>
  <si>
    <t>20DD0301 Local Program, Construction/ Repair/ Rehabilitation/ Improvement of Various Infrastructure including Local Projects, Buildings and Other Structures, Multipurpose/ Facilities, Construction of</t>
  </si>
  <si>
    <t>Procurement of Office Supplies for the use of the Sangguniang Panlalawigan Office and Vice Governor’s Office for the 2nd Quarter 2020</t>
  </si>
  <si>
    <t>Repair/Maintenance of DOJ Regional Trial Court Building, Tayug, Pangasinan</t>
  </si>
  <si>
    <t>SUPPLY AND DELIVERY OF SERVICE VEHICLE (ITB No. 2020-129-A)-(pgo-pdea)</t>
  </si>
  <si>
    <t>Catering services for the food provision and water consumption to 50 LGU personnel,BHERT's and Quarantiners in all Ligtas COVIS 19 Centers in the Municipality for the May 27 to June 30, 2020.</t>
  </si>
  <si>
    <t>PURCHASE OF EMERGENCY RESCUE VEHICLE</t>
  </si>
  <si>
    <t>QM PABAC 011-20 Procurement of 22,033 pairs Philippine Army Rubber Shoes, Black</t>
  </si>
  <si>
    <t>QM PABAC 028-20 Procurement of Various Batteries</t>
  </si>
  <si>
    <t>20DD0306 Local Program, Construction/ Repair/ Rehabilitation/ Improvement of Various Infrastructure Including Local Projects, Buildings and Other Structures, Multipurpose/ Facilities, Construction of</t>
  </si>
  <si>
    <t>20DD0307 Local Program, Local Infrastructure Program, Buildings and Other Structures, Multipurpose/ Facilities, Rehabilitation/ Improvement of Multi-Purpose Building, Material Recovery Facility (MRF)</t>
  </si>
  <si>
    <t>20DD0305 Local Program, Local Infrastructure Program, Buildings and Other Structures, Multipurpose/Facilities, Construction of Multi-Purpose Building (Brgy. Hall), Brgy. Bungahan, Ibaan, Batangas</t>
  </si>
  <si>
    <t>LABOR PAKYAW FOR THE ESTABLISHMENT OF ON-FARM AGROFORESTRY PROJECT @ BRGY. ABACA</t>
  </si>
  <si>
    <t>SECTIONAL REPAIR OF PAVEMEN AT NFA COMPOUND IN BARANGAY SAN IGNACIO, SAN PABLO CITY LAGUNA</t>
  </si>
  <si>
    <t>SUPPLY AND DELIVERY OF 4 X 4 MANUAL TRANSMISSION PICK-UP (ITB No. 2020-127-A)-(provl agriculture office)</t>
  </si>
  <si>
    <t>20DD0308 Local Program, Construction/ Repair/ Rehabilitation/ Improvement of Various Infrastructure Including Local Projects, Water Management Facilities, Water Supply, Rehabilitation of Water Supply</t>
  </si>
  <si>
    <t>QM PABAC 002-20 Procurement of 4,462 each Bag Extendable, PHILARPAT</t>
  </si>
  <si>
    <t>20DD0304 Local Program, Local Infrastructure Program, Buildings and Other Structures, Multipurpose/ Facilities, Improvement of Multi-Purpose Building in Various Barangays, San Jose, Batangas</t>
  </si>
  <si>
    <t>20AJ0098-Repair/Maintenance of River Bank Protection along San Juan River, Brgy. Tebag, San Carlos City, Pangasinan</t>
  </si>
  <si>
    <t>INVITATION TO BID FOR SUPPLY AND DELIVERY OF ICT EQUIPMENTS AND SUPPLIES FOR FY 2020</t>
  </si>
  <si>
    <t>2020-130-I FEEDS FOR ITIK FOR LIFE RESEARCH AND DEVELOPMENT</t>
  </si>
  <si>
    <t>SUPPLY AND DELIVERY OF BRAND NEW MINI DUMP TRUCK (ITB No. 2020-133-A)-(bpmc)</t>
  </si>
  <si>
    <t>20DD0309 Local Program, Construction/ Repair/ Rehabilitation/ Improvement of Various Infrastructure including Local Projects, Flood Control and Drainage, Drainage/Protection Works, Construction of Dra</t>
  </si>
  <si>
    <t>20AJ0099-Repair/Maintenance of DPWH Building Repair Bay Building - Electrical and Mechanical Building, Tuliao, Sta. Barbara, Pangasinan (Phase II)</t>
  </si>
  <si>
    <t>SUPPLY AND DELIVERY OF 4 X 4 MANUAL TRANSMISSION PICK-UP (ITB No. 2020-132-A)-(pgo-coa)</t>
  </si>
  <si>
    <t>Contract ID No. 20NC0116 - Construction of Multi-Purpose Building, Brgy. Bitan-agan, San Francisco, Agusan del Sur</t>
  </si>
  <si>
    <t>20AJ0097-Repair/Maintenance of River Bank Protection along Rio Laguna De Vega Creek, Brgy. Tarece, San Carlos City, Pangasinan</t>
  </si>
  <si>
    <t>Repair/Maintenance of DILG Building PNP-BJMP Perimeter Fence, Baguinge, Kiangan, Ifugao</t>
  </si>
  <si>
    <t>QM PABAC 030-20 Procurement of 1,316 each Shoes Dress, Low Cut Rubber Sole</t>
  </si>
  <si>
    <t>PROCUREMENT FOR THE SUPPLY, DELIVERY, AND INSTALLATION OF CENTER LABORATORY TABLE WITH SINK AND LABORATORY FUMEHOOD FOR USE IN SATELLITE LABORATORIES OF PLANT PRODUCT SAFETY SERVICES DIVISION (PPSSD)</t>
  </si>
  <si>
    <t>20GMH037 - Supply/Delivery of  HARD Asphalt for the Repair/Maintenance of National Roads &amp; Bridges, Sultan kudarat 2nd District Engineering Office, K1977+000-K2045+058 w/ exception</t>
  </si>
  <si>
    <t>20GMH038 - Supply/Delivery of  Latex Paints for the Repair/Maintenance of National Roads &amp; Bridges (Painting/Repainting of Guardrails/Steel Bridges), Sultan kudarat 2nd District Engineering Office, K1</t>
  </si>
  <si>
    <t>Rehabilitation of Lagawe Old Public Market (Bagsakan Center), Lagawe, Ifugao</t>
  </si>
  <si>
    <t>20GMH039 - Supply/Delivery of  Fuel &amp; Oil Lubricants for use of various vehicle, chainsaw, and grass cutter assigned in Maintenance Section along-Awang-Upi-Lebak-Kalamansig-Palimbang-Sarangani Road, K</t>
  </si>
  <si>
    <t>PROCUREMENT OF ONE (1) UNIT MULTIBAND NETWORK SCANNING RECEIVER AND POST PROCESSING TOOL FOR NTC REGIONAL OFFICE NO. IX</t>
  </si>
  <si>
    <t>PROCUREMENT FOR THE SUPPLY, DELIVERY, AND INSTALLATION OF INDUCTIVELY COUPLED PLASMA-OPTICAL EMISSION SPECTROMETRY FOR USE IN SATELLITE LABORATORIES OF PLANT PRODUCT SAFETY SERVICES DIVISION (PPSSD)</t>
  </si>
  <si>
    <t>20HG0154 (RE-BID) - Local Program-Local Infrastructure Program; Buildings and Other Structures; Multipurpose/Facilities – Construction and/or Repair/Rehabilitation of Multi-Purpose Building, Brgy. Pob</t>
  </si>
  <si>
    <t>20HG0161 (RE-BID) - Local Program, Local Roads and Bridges, Local Bridge, Construction of Canbantug-Linut-od Bridge</t>
  </si>
  <si>
    <t>20GD0107 - CONSTRUCTION/REHABILITATION OF WATER SUPPLY/SEPTAGE AND SEWERAGE/RAIN WATER COLLECTORS</t>
  </si>
  <si>
    <t>Repair/Maintenance of DTI Building TESDA Building, Rock Quarry, Awao, Poblacion East, Lagawe, Ifugao</t>
  </si>
  <si>
    <t>Delivery of labor and materials for the Construction/Rehabilitation of Open Canal at Barangay Sta. Cruz, Bay, Laguna for their implementation of 20% Economic Development Fund  (C.Y. 2020)</t>
  </si>
  <si>
    <t>20HG0162 (RE-BID) - Local Program, Local Roads and Bridges, Local Bridge, Construction of Lanao Bridge</t>
  </si>
  <si>
    <t>NOTICE OF INVITATION TO BID FOR THE PROCUREMENT OF WAREHOUSE HANDLING (AND ALLIED) SERVICES FOR GRAINS FOR NFA REGION VII FOR CALENDAR YEAR 2020 (RE-BIDDING)</t>
  </si>
  <si>
    <t>Contract ID No.: 20OB0031 Contract Name: Construction (Completion) of Mandaluyong City College, Barangay Addition Hills, Mandaluyong City</t>
  </si>
  <si>
    <t>GF-20-02-00316 PROCUREMENT OF MOTOR VEHICLE (MULTI-PURPOSE VEHICLE)</t>
  </si>
  <si>
    <t>20-02-088 Concreting of Arturo Buenavista Road with Box Culvert @ Barangay Kitacubong, Alamada, Cotabato</t>
  </si>
  <si>
    <t>CONSTRUCTION OF SLOPE PROTECTION AT PINAGBAYANAN INTEGRATED NHS TAYSAN,BATANGAS-038R</t>
  </si>
  <si>
    <t>CONSTRUCTION OF STONE MASONRY AT MAIN ROAD @ BRGY. LUKIDNON</t>
  </si>
  <si>
    <t>CLUSTERED REPAIR/ REHABILITATION OF ROADSLIPS, SLOPE COLLAPSE AND LANDSLIDE ALONG BAGUIO-BUA-ITOGON ROAD K0254+(-490) - K0254+(-510), ITOGON, BENGUET</t>
  </si>
  <si>
    <t>Contract ID No.: 20OB0038 Contract Name: Construction of Multi-Purpose Building at Barangay Vergara including Completion of Facilities, -Package 2 Mandaluyong City</t>
  </si>
  <si>
    <t>GF-20-02-00016B PROCUREMENT OF ANTI-RABIES VACCINE FOR HUMAN (PURIFIED CHICK EMBRYO CELLS)</t>
  </si>
  <si>
    <t>Contract ID No.: 20OB0046 Contract Name: Construction of Multi-Purpose Building, Barangay Barangka Ilaya, Mandaluyong City</t>
  </si>
  <si>
    <t>Commercial Printing of Leaflet/Brochure</t>
  </si>
  <si>
    <t xml:space="preserve">20NF0068:CONSTRUCTION OF RWCS (2020 CLUSTER) A.	CONSTRUCTION OF RWCS @ STA. PAZ PRIMARY SCHOOL, BRGY. STA. PAZ, SAN ISIDRO, SURIGAO DEL NORTE B.	CONSTRUCTION OF RWCS @ PELAEZ ELEMENTARY SCHOOL, BRGY. </t>
  </si>
  <si>
    <t>20DE0134 Construction/Repair/Rehabilitation/Improvement of Various Infrastructure including Local Projects – Construction of Pastor Road including Drainage, Batangas City</t>
  </si>
  <si>
    <t>PROCUREMENT FOR THE SUPPLY, DELIVERY, AND INSTALLATION OF MICROWAVE DIGESTION SYSTEM FOR USE IN SATELLITE LABORATORIES OF PLANT PRODUCT SAFETY SERVICES DIVISION (PPSSD)</t>
  </si>
  <si>
    <t>20MH0081 - Rehabilitation of Maligaya - Road Side, Barangay Sagasa, Esperanza, Sultan Kudarat</t>
  </si>
  <si>
    <t>20MH0082 - Concreting of Sitio Dinagaan to Upper Alas-as Road, Brgy. Masiag, Bagumbayan, Sultan Kudarat</t>
  </si>
  <si>
    <t>20GDC0004-Purchase of Fuel and Lubricants of Service Vehicles and Equipments for the Month of July to September 2020</t>
  </si>
  <si>
    <t>20MH0100 - Concreting Local Road, Purok Kawayan, Sultan Kudarat</t>
  </si>
  <si>
    <t>20MH0083 - Concreting of Sitio Masagana, Barangay Sangay, Kalamansig, Sultan Kudarat</t>
  </si>
  <si>
    <t>20MH0080 - Concreting of Local Road, Sitio Dinagaan to Upper Alas-as, Bagumbayan, Sultan Kudarat</t>
  </si>
  <si>
    <t>20DE0140 Local Infrastructure Program – Construction of Multi-Purpose Covered Court with Slope Protection at Brgy. Sta. Ana, Mabini, Batangas</t>
  </si>
  <si>
    <t>Contract ID No.: 20OB0128 Contract Name: Construction of Multi-Purpose Building, Barangay Sto. Rosario Silangan Pateros</t>
  </si>
  <si>
    <t>20DE0139 Local Infrastructure Program – Construction of Multi-Purpose Building, San Pascual, Batangas</t>
  </si>
  <si>
    <t>Supply of Labor and Materials for the Development of Deployable and Collapsible Food Hub Including Fabrication of Chassis Components, Food Hub Framing, Electrical and Automation Works</t>
  </si>
  <si>
    <t>20MH0084 - Concreting of Upper Balayan to Kidanao, Barangay Basak, Lebak, Sultan Kudarat</t>
  </si>
  <si>
    <t>Contract ID No.: 20OB0356 Contract Name: Construction of Drainage System at Brgy. Katuparan, Taguig City</t>
  </si>
  <si>
    <t>Delivery of labor and materials for the  Construction/Rehabilitation of Pathway at Barangay Sto. Domingo, Bay, Laguna for their implementation of 20% Economic Development Fund (C.Y. 2020)</t>
  </si>
  <si>
    <t>20DE0135 Local Infrastructure Program – Construction/Rehabilitation of Multi-Purpose Building, Brgy. Bolbok, Batangas City, Batangas</t>
  </si>
  <si>
    <t>20DE0136 Construction/Repair/Rehabilitation/Improvement of Various Infrastructure including Local Projects – Construction of Multi-Purpose Building (Bauan Coliseum), Phase V, Bauan, Batangas</t>
  </si>
  <si>
    <t>20DE0141 Local Infrastructure Program – Construction of Batangas Access Zone - West Side, Batangas City, San Pascual and Bauan, Batangas (Phase 1)</t>
  </si>
  <si>
    <t>20DE0138 Local Infrastructure Program – Rehabilitation of Road along San Isidro - Sto. Niño Rd, Batangas City, Batangas</t>
  </si>
  <si>
    <t>KADTACAN SLAB BRIDGE</t>
  </si>
  <si>
    <t>20DE0137 Local Infrastructure Program – Construction of Multi-Purpose Building (Phase 6, Bauan Sports Coliseum), Bauan, Batangas</t>
  </si>
  <si>
    <t>CONTINUATION OF PUCHU-CHURSO PATHWAY</t>
  </si>
  <si>
    <t>Improvement &amp; Concreting of Farm to Market Road, Quinsoriano</t>
  </si>
  <si>
    <t>Supply and Delivery of 35 units Multicabs under Purchase Request No. 590-20</t>
  </si>
  <si>
    <t>Various Projects of Barangay Poblacion, Bugallon, Pangasinan</t>
  </si>
  <si>
    <t>Expansion and Improvement of Covered Court at Freedom Park</t>
  </si>
  <si>
    <t>Improvement Of Local Access Road, Sitio Kintayum, Calaoaan</t>
  </si>
  <si>
    <t>Proposed Construction of slope protection at Purok Pomelo, Encarnacion Subdivision, Brgy. Poblacion, Kidapawan City(Nuangan Road).</t>
  </si>
  <si>
    <t>Invitation to Bid Purchase of Facilities and Equipment for Teen Center</t>
  </si>
  <si>
    <t>Proposed Road Concreting ((Road Concreting of 158m x 6.10m x 0.20m (2 lanes)), Construction of 243m Open Canal, Construction of 155m Concrete Gutter and Construction of 155m Sidewalk)  at Purok 7, Fro</t>
  </si>
  <si>
    <t>Supply of fuel for the use of the RP Vehicles of the different sections(Anti-drug, PNP, TMU, BFP, BJMP, Licensing, Task Force, Nutrition) of the City Mayor’s Office, Kidapawan City</t>
  </si>
  <si>
    <t>PROJECT: PROCUREMENT OF ONE (1) UNIT DIGITAL COMMUNICATION BOARD</t>
  </si>
  <si>
    <t>Proposed Road Concreting (785.00 meters) at Ninoy Aquino Road, Brgy. Poblacion, Kidapawan City</t>
  </si>
  <si>
    <t>Supply of fuel for the use of the RP Vehicles of the City Mayor’s Office, Kidapawan City.</t>
  </si>
  <si>
    <t>Invitation to Bid Improvement of CICL Center</t>
  </si>
  <si>
    <t>Supply and Delivery of Materials for Provision of Three Phase Power Supply System at Looc Public Market, Fish Landing and Processing Center</t>
  </si>
  <si>
    <t>Proposed Improvement of City Center Island (Improvement of Existing City Island) at Quezon Boulevard, Brgy. Poblacion, Kidapawan City</t>
  </si>
  <si>
    <t>Supply and Delivery of Various Office Equipment for MDRRM Office</t>
  </si>
  <si>
    <t>Proposed repair of the CGSO, Budget and Accounting Offices at City Hall, Brgy. Poblacion, Kidapawan City.</t>
  </si>
  <si>
    <t>CAMERA DLSR 20 MP MIN. W/MOVIE MAKER; AT LEAST 24.3 MP3</t>
  </si>
  <si>
    <t>Procurement of Agregates Base Course , Fuel &amp; Lubricants ( FMR Road Macalibre Bajo -Dampalan Road ) -MEO Lopez Jaena</t>
  </si>
  <si>
    <t>20GKF0028-Purchase of Various Oil and Lubricants for use in Corrective Maintenance of Service Vehicle assigned in Construction Section</t>
  </si>
  <si>
    <t>Improvement and Expansion of Potable Water System-Level II @ Prk. Puago to Prk. Lorenzana (Datru-Dani 20% LDF 2020)</t>
  </si>
  <si>
    <t>LUBRICANT, WIRE ROPE</t>
  </si>
  <si>
    <t>REMOVAL OF WATERLILIES &amp; OTHER DEBRIS AT THE APPROACH CHANNEL OF AGUS 6 POWER INTAKE</t>
  </si>
  <si>
    <t>Construction of Box Culvert, Brgy. Cabugao, Burdeos, Quezon</t>
  </si>
  <si>
    <t>Improvement &amp; Concreting of Farm to Market Road, Villa Hermosa</t>
  </si>
  <si>
    <t>Construction of Farm to Market Road, So.Guinatongan, Brgy. Amot, Burdeos, Quezon</t>
  </si>
  <si>
    <t>Rehabilitation of Concrete Pavement, Rizal Street, Brgy. Poblacion, Burdeos, Quezon</t>
  </si>
  <si>
    <t>Purchase of Desktop Computer w/ Accessories</t>
  </si>
  <si>
    <t>SUPPLY AND DELIVERY OF DRUGS AND MEDICINES</t>
  </si>
  <si>
    <t>CONSTRUCTION OF NEW MULTI-PURPOSE BUILDING/HALL-phase 1</t>
  </si>
  <si>
    <t>Supply and Delivery of Window Roller Blinds</t>
  </si>
  <si>
    <t>FORMULATION OF CLUP WITH ZONING ORDINANCE</t>
  </si>
  <si>
    <t>Construction of Farm to Market Road, So. Babakulan, Brgy. Anibawan, Burdeos Quezon</t>
  </si>
  <si>
    <t>Rehabilitationof Brgy. Road, Brgy. Palasan, Burdeos, Quezon</t>
  </si>
  <si>
    <t>Construction of Concrete Bridge/Bongolanon-Kinarum Road leading to Kirungdong Waterfalls and Wildlife Rescue Center, Brgy. Kinarum, Magpet, North Cotabato</t>
  </si>
  <si>
    <t>Purchase of IT Equipment – SPO</t>
  </si>
  <si>
    <t>Rehabilitation of Farm to Market Road, Brgy. Amot, Burdeos, Quezon</t>
  </si>
  <si>
    <t>Purchase of Tsunami Early Warning Device - Alerting Siren Components</t>
  </si>
  <si>
    <t>Purchase of Disinfectant Solution for Preventive Measures COVID-19 – City Schools Division</t>
  </si>
  <si>
    <t>Concreting of Panadtaran Local Access Road (Purok 4)</t>
  </si>
  <si>
    <t>Purchase of Office Supplies for 2nd Quarter – GSO</t>
  </si>
  <si>
    <t>SUPPLY OF TWO (2) UNITS FIBERGLASS FERRY BOAT (ENGINE NOT INCLUDED WITH COMPLETE ACCESSORIES CANOPY, RAILINGS BOTH SIDES, FIXED CHAIRS)</t>
  </si>
  <si>
    <t>Implementation of the PSF Funded Projects</t>
  </si>
  <si>
    <t>Purchase of Flu Vaccines for the City Employees - CHO</t>
  </si>
  <si>
    <t>Supply and Delivery of 5,000 pcs. Expanded envelope, plastic, as per BSP Technical Specifications and Terms and Conditions</t>
  </si>
  <si>
    <t>Purchase of 50 units Hand Tractor Office of the Provincial Agriculture Province of Northern Samar</t>
  </si>
  <si>
    <t>BIDDING (Infra Project)</t>
  </si>
  <si>
    <t>Purchase of Drugs and Medicines for 2nd Quarter - CHO</t>
  </si>
  <si>
    <t>Local Access Road in Poblacion Proper @ Cuenca, Batangas</t>
  </si>
  <si>
    <t>Purchase of Supplies for Family Planning – 2nd Quarter - CHO</t>
  </si>
  <si>
    <t>PROCUREMENT OF I-UNIT BACKHOE</t>
  </si>
  <si>
    <t>Purchase of Various Supplies and Medicines for Assistance to 4,902 Families Province of Northern Samar</t>
  </si>
  <si>
    <t>Supply and Delivery of 163,416 sachet Rice-Mongo-Sesame Seeds Cereal/Blend under Purchase Request No. 835-20</t>
  </si>
  <si>
    <t>Improvement of Day Care Building and Premises at Bahayang Pag-Asa, Molino V</t>
  </si>
  <si>
    <t>BARANGAY ROAD OPENING</t>
  </si>
  <si>
    <t>20JB0073 - Maintenance, Repair and Rehabilitation of Infrastructure Facilities and  Other Related Activities – Public Buildings (Repair/Maintenance of DILG  Building BJMP- Jail Building (Phase II)</t>
  </si>
  <si>
    <t>SIG PABAC 003-20  Supply and Delivery of One Hundred Fifty (150) sets Rechargeable Battery RF-7800H MP Radio</t>
  </si>
  <si>
    <t>20JB0074 - Maintenance, Repair and Rehabilitation of Infrastructure Facilities and Other Related Activities – Public Buildings (Repair/Maintenance of DPWH Building Staff House Perimeter Fence (back po</t>
  </si>
  <si>
    <t>Installation of Solar Energy Powered Streetlights at Molino Public Cemetery Molino II</t>
  </si>
  <si>
    <t>Renovation of Day Care Center At Molino VI</t>
  </si>
  <si>
    <t>Purchase of Supplies for Clean and Green Project – CENRO</t>
  </si>
  <si>
    <t>ITB 20-0056 - Supply and Delivery of Various Medical &amp; Laboratory Supplies.</t>
  </si>
  <si>
    <t>CONCRETING OF SITIO JAPPOS TO SITIO ANENG FMR, BRGY. BANENGBENG, SABLAN, BENGUET</t>
  </si>
  <si>
    <t>Construction of Multi-Purpose Hall - Greentown Villas at Mambog III</t>
  </si>
  <si>
    <t>Rehabilitation of Pathway and Drainage Canal (Dona Alicia Ext.) Ligas I</t>
  </si>
  <si>
    <t>Procurement of DIESEL FUEL for Use in the Construction/Rehab/Improvement of Provincial Road at NHJ ZARAGOSA-MACATODTOD Road Section at Manay, Davao Oriental</t>
  </si>
  <si>
    <t>Procurement of DIESEL FUEL for Use in the Construction/Rehab/Improvement of Provincial Road at Don Salvador Lopez-Don Martin Marundan Road Section at Brgy. Don Salvador Lopez-Don Martin Marundan, City</t>
  </si>
  <si>
    <t>20GPG0001 - SUPPLY AND DELIVERY OF THERMOPLASTIC PAVEMENT MARKINGS WITHIN THE DISTRICT</t>
  </si>
  <si>
    <t>Improvement of Multipurpose Building (People's Center) at Bayanan</t>
  </si>
  <si>
    <t>Procurement of DIESEL FUEL for Use in the Construction/Rehab/Improvement of Provincial Road at Brgy. Lapulapu, San Isidro, Davao Oriental</t>
  </si>
  <si>
    <t>LOT Procurement of MATERIALS for Use in the Completion of Multi-Purpose Building – Food Court and Perimeter Fence at Capitol Hill, City of Mati, Davao Oriental</t>
  </si>
  <si>
    <t>Upgarading of Tuguegarao City Peoples General Hospital Luna Street., Corner Rizal Street., Centro 6, Tuguegarao City</t>
  </si>
  <si>
    <t>Various Laboratory Supplies_PR 10809</t>
  </si>
  <si>
    <t>LOT Procurement of MATERIALS for Use in the Completion of Multi-Purpose Building – Fitness Gym at Capitol Hill, Brgy. Central, City of Mati, Davao Oriental</t>
  </si>
  <si>
    <t>LOT Procurement of MATERIALS for Use in the Construction of Multi-Purpose Building with Perimeter Fence of Davao Oriental Police Provincial Office (DOPPO) at Brgy. Dahican, City of Mati, Davao Orienta</t>
  </si>
  <si>
    <t>Construction of Seawall (between Guitna and Bonbon) P-I</t>
  </si>
  <si>
    <t>Public Bidding for the Supply and Delivery of Medicines for City Health Office under ITB No. 2020-004-A</t>
  </si>
  <si>
    <t>Completion of Two (2) Classroom, 2nd Floor School Building Cataggaman National High School Tuguegarao City</t>
  </si>
  <si>
    <t>May-it SIP-WS-02-2020 - Construction of Irrigation Facilities of May-it SIP, Basey, Samar</t>
  </si>
  <si>
    <t>Invitation to Bid Purchase of Drugs and Medicine</t>
  </si>
  <si>
    <t>(20P00009)- (BLISTT), Asin - Nangalisan Jct. - Bayabas - Monglo Jct. (Section 1 of BLISTT Outer Ring Circumferential Road), Benguet</t>
  </si>
  <si>
    <t>Supply and Delivery of Complete Fertilizer (14-14-14)</t>
  </si>
  <si>
    <t>Construction of School Building Ligas II Elementary School - Ligas I</t>
  </si>
  <si>
    <t>Construction of Farm to Market Road including Concrete Bridge, Brgy. Aluyon, Burdeos, Quezon</t>
  </si>
  <si>
    <t>Purok Tawi-Tawi, Barangay Poro, City of San Fernando</t>
  </si>
  <si>
    <t>Supply and Delivery of 106 Units  Pump and Engine Sets with Accessories for Various CY 2020 Projects in the Province of Capiz</t>
  </si>
  <si>
    <t>(20P00006)- (BLISTT), Labey – Lacamen Provincial Road (Section 4B of BLISTT Outer Ring Circumferential Road), Package 1 and 2, Sta. 2 + 324 – Sta. 2 + 494, Sta. 2 + 510 - Sta. 2 + 880</t>
  </si>
  <si>
    <t>(20P00005)- (BLISTT) Taloy Norte Jct. - San Pascual Brgy. Hall Jct. (Section 7 of BLISTT Outer Ring Circumferential Road)</t>
  </si>
  <si>
    <t>Consulting Services for the Updating of the Provincial Development and Physical Framework Plan (PDPFP) CY 2020-2029; and Provincial Development Investment Program (PDIP) 2020-2023/IB No. T-2020-005</t>
  </si>
  <si>
    <t>Purchase/Delivery of Item 201 for regravelling of Barangay road, zone 3, 5 and 6</t>
  </si>
  <si>
    <t>Purchase of Office Equipment for Municipal Engineer's Office, Municipality of Burdeos, Quezon</t>
  </si>
  <si>
    <t>Handheld Radios</t>
  </si>
  <si>
    <t>IMPROVEMENT OF PANAAD BOOTH AT THE PANAAD PARK,BRGY. ALIJIS,</t>
  </si>
  <si>
    <t>Procurement of Various Drugs and Medicines for the 3rd Quarter 2020</t>
  </si>
  <si>
    <t>Construction of Farm to Market Road at Barangay Bannawag, Maria Aurora</t>
  </si>
  <si>
    <t>IMPROVEMENT OF POTABLE WATER SYSTEM FROM SAG-ANG TO BRGY. CABAGNA-AN PROPER &amp; SO. OLD FABRICA AT  BRGY. CABAGNA-AN</t>
  </si>
  <si>
    <t>(20P00017)-(BLISTT), Labey – Lacamen Provincial Road (Section 4A of BLISTT Outer Ring Circumferential Road), Sta. 0 + 317 – Sta. 1 + 378, Sta.  4 + 632 - Sta. 5 + 250, Sta. 6 + 014 - Sta. 6 + 518</t>
  </si>
  <si>
    <t>Invitation to Bid Purchase of Medical Laboratory and Dental Supplies</t>
  </si>
  <si>
    <t>CONSTRUCTION OF 4 UNITS CLASSROOM BUILDING AT DON FELIX ROBLES ELEMENTARY SCHOOL</t>
  </si>
  <si>
    <t>Improvement Of Barangay Road</t>
  </si>
  <si>
    <t>PROCUREMENT OF FOOD STUFF (FOR DIETARY SUPPLEMENT FOR UNDERWEIGHT &amp; WASTED PS CHILDREN)</t>
  </si>
  <si>
    <t>MG-ADM20-001..INST. OF LIGHTNING PROTECTION OF MINGEN HEADQUARTERS BUILDING</t>
  </si>
  <si>
    <t>PURCHASE OF SUZUKI PICK UP WITH CANOPY</t>
  </si>
  <si>
    <t>Supply, Delivery, Installation, Testing and Commissioning of Submersible Pump and Motor Assembly, Dual Motor Control, and Flat Cable (Goods-2020-012)</t>
  </si>
  <si>
    <t>MG-A5M20-019..AG4 INST. OF TUNNEL WALL STRENGTHENING COMPOSITE &amp; ANTI PEELING, PHASE 2</t>
  </si>
  <si>
    <t>Supply and Delivery of Various Water System Facilities</t>
  </si>
  <si>
    <t>4	units	Portalet (Portable Toilet), etc. PR # 470-20</t>
  </si>
  <si>
    <t>1	unit	Brand New Mobile Kitchen, etc. PR # 471-20</t>
  </si>
  <si>
    <t xml:space="preserve">Construction Materials and Supplies for use in the Construction of Water System at Brgy. Burbuli, Baco, Oriental Mindoro/ Brgy. Poblacion Baco, Oriental Mindoro/ Brgy. Panggalaan, Calapan City/ Brgy. </t>
  </si>
  <si>
    <t>Construction Materials and Supplies for use in the Construction of SSG Office at San Teodro NHS, San Teodoro, Oriental Mindoro/ Completion of Gymnasium at Ma. Estrella E/S, Tawiran, Calapan City, Orie</t>
  </si>
  <si>
    <t>PURCHASE OF MOTORCYCLE CARGO TYPE/WINDSHIELD</t>
  </si>
  <si>
    <t>Concreting of Sitio Manghiluntud-Sitio Ilaya, Brgy. Amdus FMR, Ayungon Negros Oriental</t>
  </si>
  <si>
    <t>CONSTRUCTION OF MULTI-PURPOSE BUILDING  SAN MIGUEL</t>
  </si>
  <si>
    <t>Construction Materials and Supplies for use in the Improvement of Barangay Hall at Brgy. Bagumbayan, Roxas, Oriental Mindoro/ Repair of Kinder and Grade 1 Classroom at San Juan E/S, Brgy. Cantil Roxas</t>
  </si>
  <si>
    <t>SUPPLY AND DELIVERY  OF CORRUGATED   GI SHEET FOR THE IDENTIFIED PARTIALLY DAMAGED OF TYPHOON TISOY IN THE CITY OF SORSOGON</t>
  </si>
  <si>
    <t>RE-BIDDING-Procurement of PTZ High Difinition Camera(monitor accident prone areas)-MDRRMO,Lopez Jaena</t>
  </si>
  <si>
    <t>Re-bidding of the Procurement for the Supply, Delivery, Installation and Commissioning of TLE Supplies and Equipment for USTP-Panaon</t>
  </si>
  <si>
    <t>RE-BIDDING-Procurement of IT Equipment &amp; Office Equipment(Smoke Free Program)-RHU,Lopez Jaena</t>
  </si>
  <si>
    <t>Rehabilitation &amp; Expansion of Potable Water System-Level II @ Sitio Lobo to Purok Tabudtod-(Tambilil-20% LDF 2020)</t>
  </si>
  <si>
    <t>1	lot	Decontamination Tent (see drawing details), PR # 468-20</t>
  </si>
  <si>
    <t>Concreting of Box Culvert at Purok 4 Marcos Calo</t>
  </si>
  <si>
    <t>20JC0087 - Repair/Maintenance of Damaged Concrete Pavement Siocon- Sirawai Road, (K2083+000-2083+104) Malakubing, Siocon, Zamboanga del Norte</t>
  </si>
  <si>
    <t>20FF0087 - Construction of Rain water Collector System (RWCS)</t>
  </si>
  <si>
    <t>Lot1-Purchase of Drugs and Medicines for the 1st quarter of 2020</t>
  </si>
  <si>
    <t>Construction of Balikatan Pumping Station (Civil Works)</t>
  </si>
  <si>
    <t>Procurement of 400 Set Family Kit,etc. under P.R.No. 1735-2020-5% City Disaster Risk Reduction and Management Fund</t>
  </si>
  <si>
    <t>Lot1-Concreting of barangay Road (Cluster 3) at Road#1- Carupian and Road#2-Bunugan, Baggao, Cagayan, Lot2-Concreting of barangay Road at Road#1- Hacienda Intal, Road#2-Asinga Via &amp; Road#3- San Miguel</t>
  </si>
  <si>
    <t>Supply and Delivery of 3 Units Brand New Sound Proof 100 KVA Generator Set</t>
  </si>
  <si>
    <t>Lot1-Purchase of office supplies for LGU Baggao use (1st and 2nd quarters of 2020)</t>
  </si>
  <si>
    <t>SUPPLY AND DELIVERY OF LOT 1: 230 PIECES PLANNER NOTEBOOK</t>
  </si>
  <si>
    <t>Chemicals and Chemical Products for use of the OMPH patients/2nd quarter 2020</t>
  </si>
  <si>
    <t>Lot1-Purchase of materials for the rehabilitation of Farm to Market Road at Nadjongan Zone 7, Santor, Baggao, Cagayan</t>
  </si>
  <si>
    <t>Invitation to Bid for the Supply and Delivery of Materials for the Improvement of Multipurpose/Government Facilities (Budget, Accounting, and COA Field Offices) Municipal Hall, Poblacion, Daanbantayan</t>
  </si>
  <si>
    <t>Invitation to Bid for the  IMPROVEMENT OF HINAKE - CAMANDAGAN FMR  (Labor, Materials, Fuel &amp; Equipment)  CONTRACT NUMBER.:  ITB No. 20-065 (PR No. 100-20-05-042)</t>
  </si>
  <si>
    <t>Concreting of 1KM Culasian-Motong Farm to Market Road.</t>
  </si>
  <si>
    <t>SUPPLY AND DELIVERY OF BRASS REPLACEMENT PIECE</t>
  </si>
  <si>
    <t>Repair/Maintenance of DoTr Building, Land Transportation Office, Bayombong, Nueva Vizcaya</t>
  </si>
  <si>
    <t>ITB 20-0058 - Supply and Delivery of 99 kits English Reading Kit Level I (ERK I).</t>
  </si>
  <si>
    <t>20CSFM0001 Consulting Services for Sub-Soil Investigation for FY 2021 Proposed Bridge, Flood Control/Shore Protection and Slope Protection Projects, Ticao Island and Burias Island, Masbate</t>
  </si>
  <si>
    <t>ITB 20-0059 - Supply and Delivery of 10 units Dialysis Machine.</t>
  </si>
  <si>
    <t>Public Bidding of 3 Lots for the Supply and Delivery of Medical, Dental and Laboratory Supplies for City Health Office under ITB No. 2020-005-A</t>
  </si>
  <si>
    <t>Installation Of Street Lights Pattaui - Pallua Road Tuguegarao City</t>
  </si>
  <si>
    <t>ITB 20-0057 - Supply and Delivery of Various Laboratory &amp; Medical Supplies.</t>
  </si>
  <si>
    <t>GD2020-05-005_SUPPLY AND DELIVERY OF TWO THOUSAND THREE HUNDRED NINETY (2,390) SETS CHLORINE DIOXIDE (BUG BUST 4322 &amp; 4324) FOR WATER TREATMENT AND MAINTENANCE USE- 2ND QUARTER OF CY 2020</t>
  </si>
  <si>
    <t>Supply and Delivery of Psychological Test Materials for CvSU Silang Campus</t>
  </si>
  <si>
    <t>May-it SIP-WS-01-2020 - Supply, Delivery &amp; Installation of Solar Powered Pump, Control, Panel &amp; Accessories of May-it SIP, Basey, Samar</t>
  </si>
  <si>
    <t>RECONSTRUCTION TO CONCRETE PAVEMENT, 280MM - ALONG CITY LIMIT – STO. TOMAS ROAD (S00404LZ),  K0255+000 - K0255+036, TUBA, BENGUET</t>
  </si>
  <si>
    <t>20JB0075 - Maintenance, Repair and Rehabilitation of Infrastructure Facilities and  Other Related Activities – Public Buildings (Repair/Maintenance of DPWH  Building Staff House)</t>
  </si>
  <si>
    <t>RECONSTRUCTION TO CONCRETE PAVEMENT, 280MM (REINFORCED PCCP) - SPECIFIC LOCATION ALONG BAGUIO - ITOGON ROAD (S00390LZ), K0 258+595 - K0259+534, ITOGON, BENGUET</t>
  </si>
  <si>
    <t>Eight (8) Lots Construction Materials for use in the Additional Appropriation for Rehabilitation/Improvement of Annex Building at NOPH (GAD), Dumaguete City, Neg. Or. (B-73-2020)</t>
  </si>
  <si>
    <t>20-DO-0079:LOCAL PROGRAM - Local Infrastructure Program - Building and Other Structures - Multipurpose/Facilities - Construction of Multi-Purpose Building and Facilities, San Francisco St., Brgy. Patu</t>
  </si>
  <si>
    <t>Construction of Road Slope Protection Structure: Along Baguio - Bauang Road (S00397LZ), K0288+665 - K0288+745, Sablan, Benguet</t>
  </si>
  <si>
    <t>One (1) Lot – Software Subscription, Maintenance and Local Support Services for Oracle Software Licenses as per BSP Terms of Reference and Service Level Agreement (Multi-year Contract for Three Years)</t>
  </si>
  <si>
    <t>HEIRLOOM RICE PROCESSING</t>
  </si>
  <si>
    <t>CONSTRUCTION OF ONE(1) UNIT GPG-TYPE SCHOOL BUILDING AT DAGATAN E/S TAYSAN,BATANGAS-046R</t>
  </si>
  <si>
    <t>CONSTRUCTION OF ROAD SLOPE PROTECTION STRUCTURE - ALONG TAWANG-AMBIONG ROAD (S00387LZ),K0263+870 - K0263+900, LA TRINIDAD, BENGUET</t>
  </si>
  <si>
    <t>NATURAL FERTILIZER MAKING LIVELIHOOD PROJECT</t>
  </si>
  <si>
    <t>SUPPLY AND DELIVERY OF 225 UNITS OF DISASTER TENT</t>
  </si>
  <si>
    <t>ITB and Bid Docs for Procurement ID/Contract ID:    20C00036  Contract Name:      Local Program – Local Infrastructure Program – Buildings and Other Structures – Multi Purpose Facilities – Constructio</t>
  </si>
  <si>
    <t>BANANA CHIPS PROCESSING LIVELIHOOD PROJECT</t>
  </si>
  <si>
    <t>CONSTRUCTION OF STORM SURGE PROTECTION, BULARAN, BANATE, ILOILO</t>
  </si>
  <si>
    <t>PURCHASE OF REFLECTORIZED VEST WITH NAME PLATE &amp; LOGO</t>
  </si>
  <si>
    <t>BANANA AND TARO PROCESSING</t>
  </si>
  <si>
    <t>ENHANCING THE LIVELIHOOD OF GAANG TRIBAL UNITY FOR DEVELOPMENT (GATUD) THROUGH HEIRLOOM RICE PROCESSING</t>
  </si>
  <si>
    <t>PROVISION OF PROCESSING CENTER AND PROCESSING FACILITIES FOR THE ENHANCEMENT OF BANANA PROCESSING INDUSTRY</t>
  </si>
  <si>
    <t>ENHANCING THE LIVELIHOOD OF THE SURUNG WATERSHED COMMUNITY THRU COFFEE PROCESSING CENTER AND FACILITIES</t>
  </si>
  <si>
    <t>Improvement of Road Leading to the Municipal MRF</t>
  </si>
  <si>
    <t>Purchase of Two (2) units Aircon for the Office of the Municipal Mayor</t>
  </si>
  <si>
    <t>SUSTAINING THE LIVELIHOOD OF SMALL COFFEE FARM-HOLDERS ALONG THE PINUKPUK-TABUK (PITA) WATERSHED AREA THROUGH ENHANCED COFFEE PRODUCTION AND PROCESSING</t>
  </si>
  <si>
    <t>Completion of Lower Sabangan Footbridge</t>
  </si>
  <si>
    <t>Opening of Pappa-Bayayeng-Saddul Access Road</t>
  </si>
  <si>
    <t>20MH0075 - Concreting of Road connecting Purok Narra, Brgy. Numo, Esperanza, Sultan Kudarat</t>
  </si>
  <si>
    <t>Supply and delivery of various vegetable seeds to be distributed as training kits to the recipients of the Training on Vegetable Production in Region I</t>
  </si>
  <si>
    <t>WHITE CORN PROCESSING LIVELIHOOD PROJECT</t>
  </si>
  <si>
    <t>CONSTRUCTION OF SLOPE PROTECTION AT DAGA MULTI PURPOSE BUILDING</t>
  </si>
  <si>
    <t>CONSTRUCTION OF FLOOD CONTROL ALONG MALAMA CREEK AT PUROK 4</t>
  </si>
  <si>
    <t>Rehabilitation/Improvement of Sabdang-Pappa Local  Access Road</t>
  </si>
  <si>
    <t>PROCUREMENT OF AMBULANCE (FOR RURAL HEALTH UNIT)</t>
  </si>
  <si>
    <t>PROCUREMENT OF THE RED HAT ENTERPRISE LINUX SUBSCRIPTIONS FOR THE DOTR SERVERS DELL POWEREDGE R820 AND R330</t>
  </si>
  <si>
    <t>SUPPLY AND DELIVERY OF 225 BAGS OPV CORN SEEDS FOR BUFFERSTOCK</t>
  </si>
  <si>
    <t>Installation of Solar Pavement Studs along Dumaguete North Road (DNR), Dumaguete North Road, Negros Oriental - 1</t>
  </si>
  <si>
    <t>RE-BIDDING OF UTILITY VEHICLE 2020</t>
  </si>
  <si>
    <t>CLUSTER A-20</t>
  </si>
  <si>
    <t>GRAVELLING OF SHOULDER OF CONCRETE PAVED ROAD ALONG  CUPIS-UMBOG FMR</t>
  </si>
  <si>
    <t>VEGETABLE PROCESSING LIVELIHOOD PROJECT (INREMP-LES2) – LOT 2</t>
  </si>
  <si>
    <t>CONSTRUCTION OF MP BUILDING(COVERED COURT)</t>
  </si>
  <si>
    <t>Consulting Service for the Support and Maintenance of the Business Name Registration System Next Generation (BNRSNextGEN)</t>
  </si>
  <si>
    <t>CONSTRUCTION OF SLOPE PROTECTION AT BULUAN BARANGAY LOT PHASE II</t>
  </si>
  <si>
    <t>Procurement of IT Supplies</t>
  </si>
  <si>
    <t>Invitation to Bid Construction of Cabantohan-Lemery Road</t>
  </si>
  <si>
    <t>Construction of Multi-Purpose Building Barangay Ayuti, Lucban, Quezon</t>
  </si>
  <si>
    <t>Construction of Multi-Purpose Building Barangay Alupay, Sampaloc, Quezon</t>
  </si>
  <si>
    <t>CONSTRUCTION OF SEAWALL</t>
  </si>
  <si>
    <t>Repair/Maintenance of Revetment along Camatian River Control, Barangay 05, Lucban, Quezon (Phase  II)</t>
  </si>
  <si>
    <t>20FJ0026 - Repair/Maintenance of Sawang Flood Control, Sawang, Uson, Masbate, Sta. 0+000 - Sta. 0+060 (Upstream, R/S)</t>
  </si>
  <si>
    <t>Construction of Building for Coco Sugar Factory, Mauban, Quezon</t>
  </si>
  <si>
    <t>VEGETABLE PROCESSING LIVELIHOOD PROJECT (INREMP-LES2) – LOT 1</t>
  </si>
  <si>
    <t>FRUIT WINE PROCESSING</t>
  </si>
  <si>
    <t>For Stocks - PR # 2020-11957</t>
  </si>
  <si>
    <t>SVP PUR20-03- 0301/0163 Procurement of Calculator,etc.</t>
  </si>
  <si>
    <t>SUPPLY AND DELIVERY OF IT EQUIPMENT</t>
  </si>
  <si>
    <t>BOX CULVERT</t>
  </si>
  <si>
    <t>KAWAKAYAN SIP CY 2020 PACKAGE 1: CONSTRUCTION OF DIVERSION WORKS</t>
  </si>
  <si>
    <t>CONSTRUCTION OF MULTI  PURPOSE BUILDING PHASE  2</t>
  </si>
  <si>
    <t>CONSTRUCTION OF  MULTI  PURPOSE  BUILDING, BRGY. MALACBANG, PARACALE,CAMARINES  NORTE</t>
  </si>
  <si>
    <t>CONSTRUCTION OF  MULTI  PURPOSE BUILDING  PHASE 3</t>
  </si>
  <si>
    <t>POTABLE WATER SUPPLY SYSTEM</t>
  </si>
  <si>
    <t>Supply and Delivery of Medical Supplies and Equipment for CvSU Silang Campus</t>
  </si>
  <si>
    <t>construction of spring intake structure, pipelaying of 23.5 kilometers transmission mains (Owner-supplied pipes and fittings) and other related works</t>
  </si>
  <si>
    <t>ENHANCING THE LIVELIHOOD OF TINANANG INCORPORATED (TI) THROUGH HEIRLOOM RICE PROCESSING</t>
  </si>
  <si>
    <t>Procurement of Two (2) Units Filter Machine</t>
  </si>
  <si>
    <t>INSTALLATION AND FABRICATION OF AMENITIES  (FOR PROPOSED SLAUGHTER HOUSE, STO. NIÑO)</t>
  </si>
  <si>
    <t>INSTALLATION OF STREET LIGHTS ALONG PUROK 6 TO CALAMBA PROPER IN BARANGAY CALAMBA, CABADBARAN CITY</t>
  </si>
  <si>
    <t>DEVELOPMENT OF TOURIST PARKING(Construction of Perimeter Fence with Entrance Gate)</t>
  </si>
  <si>
    <t>(19Z00001) Arterial Road Bypass Project (Plaridel Bypass), Phase III, Contract Packages 1 &amp; 2, KO0034+900.00 to KO0047+400.00, JICA Loan Agreement No. PH-P266</t>
  </si>
  <si>
    <t>PURCHASE OF PURIFIED DRINKING WATER OF CENRO SABLAYAN AMOUNTING TO PHP18,000.00</t>
  </si>
  <si>
    <t>(Cluster X) Local Infrastructure Program; Building and other Structures; Multi-Purpose/Facilities; Construction of Multi-Purpose Covered Area with Reinforced Concrete Slab in Various Barangays in Maba</t>
  </si>
  <si>
    <t>Supply and Delivery of Food Processing Equipment</t>
  </si>
  <si>
    <t>20CSGF0001 - Conduct of Geotechnical/Subsoil Exploration for Various Proposed FY 2021 Projects (RE-BIDDING)</t>
  </si>
  <si>
    <t>20LD0100-Concreting of Road, Sitio Patulangon, Zone I, Sta. Cruz, Davao del Sur</t>
  </si>
  <si>
    <t>20CG0131 - Bridge Program: Retrofitting/ Strengthening of Permanent Bridges – Magliman Br. (B01472LZ) along Jose Abad Santos Ave (JASA), City of San Fernando, Pampanga</t>
  </si>
  <si>
    <t>Provision of Amphitheater at Nursing Arts Laboratory-Reposting</t>
  </si>
  <si>
    <t>20BG0131-Local Infrastructure Program - Buildings and Other Structures - Multipurpose/ Facilities - Construction of Multi-purpose Building, Barangay Napaccu Pequeño, Reina Mercedes, Isabela</t>
  </si>
  <si>
    <t>Supply and Delivery of Commercial Feeds for Bangus (Sinking Type)</t>
  </si>
  <si>
    <t>20BG0132-Construction/Repair/ Rehabilitation/Improvement of Various Infrastructure Inlcuding Local Projects - Rehabilitation of Multi-purpose Building, Reina Mercedes, Isabela</t>
  </si>
  <si>
    <t>(Cluster VI) Local Infrastructure Program; Building and other Structures; Multi-Purpose/Facilities; Improvement of Multi-Purpose Building in Various Barangays in Angeles City, Mabalacat City and Magal</t>
  </si>
  <si>
    <t>RESTORATION OF MALACAÑAN SA SUGBO, CEBU CITY, AND CONVERSION TO NM-CEBU (Removal, Dismantling, Clearing &amp; Disposal Works-Phase 1)</t>
  </si>
  <si>
    <t>Purchase of 2,600 Bags of Syntethic Fertilizers to be distributed to the farmers of Porac, Pampanga</t>
  </si>
  <si>
    <t>Prepare and Cook Cold Meals  (Leading to Cookery NC II  SSTP Toolkits CY 2019 for  Davao City/Sur  Provincial Office.</t>
  </si>
  <si>
    <t>PURCHASE OF MOTOR VEHICLE (RESCUE 911 VEHICLE)</t>
  </si>
  <si>
    <t>Supply and Delivery of Vertical Take-Off and Landing Drone</t>
  </si>
  <si>
    <t>ITB- Upgrading Central Agriculture Laboratory Building (ASIST Lagangilang)</t>
  </si>
  <si>
    <t>20BG0134-Local Infrastructure Program - Buildings and Other Structures - Multipurpose/ Facilities - Construction (Completion) of Multi-purpose Building (Municipal Community Center), Brgy. Bugallon Pro</t>
  </si>
  <si>
    <t>ITB- 1 Unit Van</t>
  </si>
  <si>
    <t>Procurement of supply and delivery of other materials</t>
  </si>
  <si>
    <t>20BG0138-Construction/Repair/ Rehabilitation/Improvement of Various Infrastructure Including Local Projects – Construction of Evacuation Center (Phase 2), San Mariano, Isabela</t>
  </si>
  <si>
    <t>20BG0137-Local Infrastructure Program - Buildings and Other Structures - Multipurpose/Facilities - Construction of Multi-Purpose Building (San Mariano Evacuation Center-Phase 2), Brgy. Minanga, San Ma</t>
  </si>
  <si>
    <t>ITB-1 unit Ambulance</t>
  </si>
  <si>
    <t>Lot 1: One (1) Unit Motor Vehicle for BSP Bacolod Branch, as per attached specifications  Lot 2: One (1) Unit Motor Vehicle for BSP Dumaguete Branch, as per attached specifications  Lot 3: One (1) Uni</t>
  </si>
  <si>
    <t>Supply and delivery of 8 pcs. Tubeless Tire for Service Vehicle: Toyota Hi-Lux, w/ temporary plate no.0801197695 of PGO-DYMP. ABC PHP224,000.00</t>
  </si>
  <si>
    <t>Procurement of Consultancy Services as Systems Integrator for the Supply, Delivery, Installation, and Maintenance of the Philippine Identification System</t>
  </si>
  <si>
    <t>Construction of Building of the Muscovado Production and Marketing Enterprise/ PRDP-IR-R006-NOC-008-000-000-2017-R3</t>
  </si>
  <si>
    <t>Lot 1: One (1) Lot Application of Polyurethane Foam on all BSP Buildings of BSP Cebu RO (see attached Scope of Work and Specifications)                                                                L</t>
  </si>
  <si>
    <t>Purchase &amp; Installation of Communications Equipment for Bicol ( New Legazpi) International Airport (Re-Bid)</t>
  </si>
  <si>
    <t>Procurement of Printing Services</t>
  </si>
  <si>
    <t>ITB- 1 Unit Mini Bus</t>
  </si>
  <si>
    <t>20CSGN0088- Conduct of Geotechnical Investigation of various projects under FY 2021 Infrastructure Program of Negros Occidental 4th District Engineering Office, Negros Occidental 4th Legislative Distr</t>
  </si>
  <si>
    <t>20BG0136-Local Infrastructure Program - Buildings and Other Structures - Multipurpose/Facilities - Construction of Multi-Purpose Building (Municipal Building), Brgy. Napaccu Pequeño, Reina Mercedes, I</t>
  </si>
  <si>
    <t>20BG0135-Local Infrastructure Program - Buildings and Other Structures - Multipurpose/Facilities - Construction of Multi-Purpose Building (Terminal Building), Brgy. Napaccu Pequeño, Reina Mercedes, Is</t>
  </si>
  <si>
    <t>Repair/Maintenance of DPWH Building Quarter's Tinaogan, Bindoy, Negros Oriental</t>
  </si>
  <si>
    <t>RFQ-Office Equipment</t>
  </si>
  <si>
    <t>Supply and Delivery of 100 Bottles Balanced Multiple Maintenance Solution with 5% Dextrose for Pedia and other various hospital supplies.</t>
  </si>
  <si>
    <t>INVITATION TO BID NO. 2020-05-0011 PROCUREMENT OF LABORATORY EQUIPMENT OF CAPSU RDE-CSRDC</t>
  </si>
  <si>
    <t>20BG0139-Construction/Repair/ Rehabilitation/Improvement of Various Infrastructure Including Local Projects – Buildings and Other Structures - Multipurpose/ Facilities - Rehabilitation of Multi-Purpos</t>
  </si>
  <si>
    <t>Local Program: Construction/ Repair/ Rehabilitation/ Improvement of Buildings and Other Structures; Multi-Purpose/ Facilities; Construction of Multi-Purpose Building (Auditorium) at Brgy. Sto. Nino, M</t>
  </si>
  <si>
    <t>PROCUREMENT OF  SERVICES AND MATERIALS FOR THREE (3) EXPLORATORY/PRODUCTION WELLS AND RELATED PUMPING AND STORAGE FACILITIES</t>
  </si>
  <si>
    <t>Procurement Requirement of CGETDC (DTF) Swimming Pool</t>
  </si>
  <si>
    <t>ITB No. GOP/20-DSWD-032 - Hiring of Service Provider for Customs Brokerage and Cargo Hauling Services for FY 2020</t>
  </si>
  <si>
    <t>Local Infrastructure Program; Building and other Structures; Multi-Purpose/ Facilities: Construction of Multi-Purpose Building at Brgy. Pulung Maragul, Angeles City, Pampanga</t>
  </si>
  <si>
    <t>Hiring of Courier/Forwarding Service Provider</t>
  </si>
  <si>
    <t>20BG0140-Construction/Repair/ Rehabilitation/Improvement of Various Infrastructure Including Local Projects – Buildings and Other Structures - Multipurpose/ Facilities - Rehabilitation of Municipal Bu</t>
  </si>
  <si>
    <t>WIDENING OF BARANGAY ROAD, (1) LAND OF TANCINCO AND (2) IN FRONT OF SCHOOL COMPONUD, BARANGAY AMOT, BURDEOS, QUEZON</t>
  </si>
  <si>
    <t>Procurement of supply and delivery of farm chemicals</t>
  </si>
  <si>
    <t>Supply and Delivery of Materials, Labor, Tools and Equipment for the Construction and Completion of Two (2) 110kW Hoist Foundation and Shelter of Mine 3 Project</t>
  </si>
  <si>
    <t>Supply and Delivery of Seaweed Propagules/Seedlings intended for the Fisherfolks in the Province of Masbate</t>
  </si>
  <si>
    <t>20CSJD01 -  Consultancy Services for the Geotechnical and Geological Survey/Investigation for the Proposed Construction/Extension of Three (3) Flood Control Structures (CLUSTER BATCH 1)</t>
  </si>
  <si>
    <t>Supply and delivery of 1 drum Rapid Primer Compound and 400 sacks Cold Mix Asphalt for maintenance use of various Provincial Roads in Leyte. ABC PHP946,140.00</t>
  </si>
  <si>
    <t>20LD0101-Construction of Concrete Road, Jct. Davao Cot-Tubison Road, Sta. Cruz, Davao del Sur</t>
  </si>
  <si>
    <t>20LB0242 - Construction of Libby Creek Flood Control (B/B), Davao City</t>
  </si>
  <si>
    <t>20LB0155 - Construction of Multi-Purpose Building and Other Facilities of DPWH Davao City DEO, L. Ma. Guerrero St., Davao City</t>
  </si>
  <si>
    <t>PROCUREMENT OF WAREHOUSE HANDLING (AND ALLIED) SERVICES FOR GRAINS FOR NFA REGION 3 FOR THE PERIOD JUNE TO DECEMBER 2020 (2nd Public Bidding)</t>
  </si>
  <si>
    <t>Procurement of supply and delivery farm supplies</t>
  </si>
  <si>
    <t>20LD0081-Construction of Multi-Purpose Building (Davao del Sur Sports Complex), Matti, Digos City, Davao del Sur</t>
  </si>
  <si>
    <t>20LB0241 - Construction of Flood Mitigation Structure, Bago River, Sta. 3+673 to Sta. 3+848, Sta. 3+851 to Sta.  3+876, Sta. 3+880 to Sta. 3+897, Sta. 3+901 to Sta. 3+990, Davao City</t>
  </si>
  <si>
    <t>20CSJD02 - Consultancy Services for the Geotechnical and Geological for the Proposed Construction of Four (4) Bridges (CLUSTER BATCH 1)</t>
  </si>
  <si>
    <t>Supply and Delivery of Seaweed Propagules/Seedlings intended for the Fisherfolks in the Province of Camarines Sur</t>
  </si>
  <si>
    <t>Construction of Reading Center</t>
  </si>
  <si>
    <t>Construction of Bridge, Brgy. Bonga Menor, Bustos, Bulacan</t>
  </si>
  <si>
    <t>20LD0066-Construction of Multi-Purpose Building Brgy. Bato, Municipality of Sta. Cruz, Davao del Sur</t>
  </si>
  <si>
    <t>20LD0096-Repair/Rehabilitation of the Municipal Hall, Brgy. Poblacion, Matanao, Davao del Sur</t>
  </si>
  <si>
    <t>Purchase of 1 Unit of Rescue Vehicle</t>
  </si>
  <si>
    <t>Rehabilitation/Reconstruction/Upgrading of Damaged Paved National Roads Famy-Real-Infanta-Dinahican Port Road, K0102+204-K0103+000</t>
  </si>
  <si>
    <t>Supply and Delivery of Fiberglass Reinforce Plastic Boat Materials</t>
  </si>
  <si>
    <t>Supply and delivery of 34 rolls of 2"Ø P.E. PIPES SDR-11 for improvement of water system @ Brgy. Baculanad, Sta. Fe, Leyte. ABC PHP595,000.00</t>
  </si>
  <si>
    <t>Supply and Delivery of Tools for the Repair and Maintenance of all OBM-Patrol Boats</t>
  </si>
  <si>
    <t>SUPPLY AND DELIVERY OF TOILET BOWL, CONSTITUENTS WITHOUT PUBLIC TOILET IN BARANGAY AMOT, BURDEOS, QUEZON</t>
  </si>
  <si>
    <t>Supply and Delivery of FRP Materials, Underwater Fittings and Marine Engine</t>
  </si>
  <si>
    <t>Procurement of Health Communication Solutions under IB No. 2020-203</t>
  </si>
  <si>
    <t>REFURBISHING OF 5 UNITS CR @ A6</t>
  </si>
  <si>
    <t>Construction of Residual Containment Area w/ SWM Equipment Room and Septic Vault for Special Waste</t>
  </si>
  <si>
    <t>Procurement of Structured Local Area Networking (LAN) Cabling for Treatment Rehabilitation Center (TRC) Phase 2 under IB No. 2020-202</t>
  </si>
  <si>
    <t>Supply and Delivery of 1,650 rds of 76mm/Cal 62 HE Ammunition</t>
  </si>
  <si>
    <t>KAWAKAYAN SIP PACKAGE 2: CONSTRUCTION OF CANAL LINING AND CANAL STRUCTURES</t>
  </si>
  <si>
    <t>Procurement of Plastic Trash Bags and Chrorine</t>
  </si>
  <si>
    <t>20CSH022 - Procurement of  Consultancy Services for the Detailed Engineering Design (DED) Activities for various projects, Construction of Elevated Highway along Gen. Maxilom Ave. covering the junctio</t>
  </si>
  <si>
    <t>20CSH018 - Procurement of Consultancy Services for the Detailed Engineering Design (DED) Activities for Various Infrastructure Projects, Construction of Guadalupe- Lahug Bypass Road, Cebu City</t>
  </si>
  <si>
    <t>Supply of 12 Clerical and 10 Janitorial Services for Fiscal Year 2020-2021</t>
  </si>
  <si>
    <t xml:space="preserve">20CSH020 - Procurement of  Consultancy Services for the Detailed Engineering Design (DED) Activities for various projects, Construction of Interchange along F. Sotto St., cor. Gorordo Ave., Cebu City </t>
  </si>
  <si>
    <t>Installation of CCTV's in Various Barangays</t>
  </si>
  <si>
    <t>ITB and Bid Docs for Procurement ID/Contract ID:    20C00042 - Local Program-Construction/Repair/Rehabilitation/Improvement of various Infrastructure including Local Projects – Flood Control &amp; Drainag</t>
  </si>
  <si>
    <t>20CSH016 - Procurement of Consultancy Services for the Detailed Engineering Design (DED) Activities for Various Infrastructure Projects, Construction of Interchange (Tri-Level) along M.C. Briones St.</t>
  </si>
  <si>
    <t>20CSH021 - Procurement of Consultancy Services for the Detailed Engineering Design (DED) Activities for various projects, Construction of Flyover along P. del Rosario St. from the junction of Osmena B</t>
  </si>
  <si>
    <t>20CSH019 - Procurement of  Consultancy Services for the Detailed Engineering Design (DED) Activities for various projects, Construction of Underpass along Juan Luna Ave. from the junction of Archbisho</t>
  </si>
  <si>
    <t>CONSTRUCTION OF FLOOD CONTROL ALONG BULUAN CREEK</t>
  </si>
  <si>
    <t>ENHANCING THE LIVELIHOOD OF MALING FARMERS SAVINGS AND LIVELIHOOD ASSOCIATION (MAFASLA) THROUGH COFFEE PROCESSING</t>
  </si>
  <si>
    <t>20CSH017 - Procurement of Consultancy Services for the Detailed Engineering Design (DED) Activities for Various Infrastructure Projects, Construction of Service Road, along A.C. Cortes Ave. covering t</t>
  </si>
  <si>
    <t>SUPPLY, DELIVERY AND INSTALLATION OF SSF EQUIPMENT FOR SUGARCANE PROCESSING</t>
  </si>
  <si>
    <t>20MH0074 - Concreting of Purok Kawayan Road, Brgy. Poblacion, Bagumbayan, Sultan Kudarat</t>
  </si>
  <si>
    <t>CONSTRUCTION OF WATER TANK, SO. GINATUNGAN, BARANGAY AMOT, BURDEOS, QUEZON</t>
  </si>
  <si>
    <t>PREPARATION AND PRODUCTION OF THE EASTERN VISAYAS TOURISM MARKETING COLLATERALS</t>
  </si>
  <si>
    <t>20AJ0100-Repair/Maintenance of DPWH Old Building Supply/Store Room, Pangasinan IV DEO Building, Tuliao, Sta. Barbara, Pangasinan</t>
  </si>
  <si>
    <t>Conduct of  Feasibility Study of BOSIGON  IRRIGATION PROJECT, Labo, Vinzons, &amp; Paracale, Camarines Norte</t>
  </si>
  <si>
    <t>GF-20-02-00019B HEALTH CARD AND OTHERS</t>
  </si>
  <si>
    <t>SUPPLY AND DELIVERY OF PASSENGER TYPE VAN (ITB No. 2020-130-A)-(pgo-pdrc)</t>
  </si>
  <si>
    <t>Supply and Delivery of Materials, Retrofitting and Installation of Telescopic Boom Assembly for Fuso Fighter Truck</t>
  </si>
  <si>
    <t>CY 2020 BASIC EDUCATIONAL FACILITIES FUND (BEFF) REPAIR/IMPROVEMENT OF VARIOUS SCHOOL BUILDINGS – PUNTA ES (ITB 2020-Infra-003)</t>
  </si>
  <si>
    <t>CY 2020 BASIC EDUCATIONAL FACILITIES FUND (BEFF) REPAIR/IMPROVEMENT OF VARIOUS SCHOOL BUILDINGS – JOSE PLATON MS (ITB 2020-Infra-001)</t>
  </si>
  <si>
    <t>Contract ID No. 20NC0115 - Construction of Rainwater Collection System at San Francisco, Trento, La Paz, Veruela, Loreto, Rosario, Bunawan and Sta. Josefa, all in Agusan del sur (SEE ATACHED BOQ)</t>
  </si>
  <si>
    <t>20JA0078 - REPAIR/MAINTENANCE OF DILG BUILDING REGIONAL HIGHWAY PATROL UNIT 9 BUILDING CAMP BATALLA, R.T. LIM BOULEVARD, ZAMBOANGA CITY</t>
  </si>
  <si>
    <t>CY 2020 BASIC EDUCATIONAL FACILITIES FUND (BEFF) ELECTRICAL UPGRADE OF BUBUYAN NATIONAL HIGH SCHOOL (ITB 2020-Infra-007)</t>
  </si>
  <si>
    <t>CY 2020 BASIC EDUCATIONAL FACILITIES FUND (BEFF) REPAIR/IMPROVEMENT OF VARIOUS SCHOOL BUILDINGS – SAN JUAN ES (ITB 2020-Infra-004)</t>
  </si>
  <si>
    <t>Procurement of Various Hospital Equipment</t>
  </si>
  <si>
    <t>CY 2020 BASIC EDUCATIONAL FACILITIES FUND (BEFF) ELECTRICAL UPGRADE OF MAKILING NATIONAL HIGH SCHOOL (ITB 2020-Infra-006)</t>
  </si>
  <si>
    <t>CY 2020 BASIC EDUCATIONAL FACILITIES FUND (BEFF) REPAIR/IMPROVEMENT OF VARIOUS SCHOOL BUILDINGS – ULANGO ES (ITB 2020-Infra-005)</t>
  </si>
  <si>
    <t>SUPPLY AND DELIVERY OF FLEET FUEL CARDS FOR DIESEL, GASOLINE, OIL, LUBRICANTS AND OTHER SERVICES FOR BFAR CENTRAL OFFICE AND NATIONAL CENTERS.</t>
  </si>
  <si>
    <t>CY 2020 BASIC EDUCATIONAL FACILITIES FUND (BEFF) REPAIR/IMPROVEMENT OF VARIOUS SCHOOL BUILDINGS – LOOC ES (ITB 2020-Infra-002)</t>
  </si>
  <si>
    <t>PROCUREMENT FOR THE SUPPLY AND DELIVERY OF FOUR (4) LOTS OF REGISTERED AND CERTIFIED CORN SEEDS (GLUTINOUS AND WHITE FLINT) FOR SEED DISTRIBUTION OF CROP RESEARCH AND PRODUCT</t>
  </si>
  <si>
    <t>GF-20-02-00018B - ANTI-RABIES VACCINE FOR HUMAN (PVRV-PURIFIED VERO RABIES VACCINE) AND EQUINE RABIES IMMUNE GLOBULIN</t>
  </si>
  <si>
    <t>SUPPLY OF LABOR SERVICE, SUPPLIES AND MATERIALS FOR THE UPGRADING OF SEED STORAGE FOR RICE OF BPI-DNCRDPSC, BAGO OSHIRO, DAVAO CITY</t>
  </si>
  <si>
    <t>SUPPLY OF LABOR AND MATERIALS FOR THE REHABILITATION OF POTATO SEED COLD STORAGE AND PACKING AREA OF BPI-BNCRDPSC, GUISAD, BAGUIO CITY</t>
  </si>
  <si>
    <t>PROCUREMENT FOR THE SUPPLY AND DELIVERY OF SEEDLING TAGS (WHITE LABELS AS TAGGING MATERIAL) FOR USE OF NATIONAL SEED QUALITY CONTROL SERVICES DIVISION (NSQCSD)</t>
  </si>
  <si>
    <t>20GA0161-Re-Invitation-Construction of Multi-Purpose Building In Brgy. Habana, Nabas, Aklan</t>
  </si>
  <si>
    <t>Supply and Delivery of One (1) Set RTK Receiver and Reflectorless Total Station w/ Complete Accessories (3rd Post)</t>
  </si>
  <si>
    <t>20JA0080 - REPAIR AND MAINTENANCE OF FLOOD CONTROL STRUCTURE @ BOLONG RIVER, MANGGABUNGUIAO SECTION, BUNGUIAO, ZAMBOANGA CITY</t>
  </si>
  <si>
    <t>20JA0082 - REPAIR AND MAINTENANCE OF FLOOD CONTROL STRUCTURE @ SINUNUC RIVER, KATILINGBAN SECTION, KATILINGBAN, ZAMBOANGA CITY</t>
  </si>
  <si>
    <t>20JA0081 - REPAIR AND MAINTENANCE OF FLOOD CONTROL STRUCTURE @ BOLONG RIVER, ZONE 2 BUNGUIAO SECTION, BUNGUIAO, ZAMBOANGA CITY</t>
  </si>
  <si>
    <t>20JA0079 - REPAIR/MAINTENANCE OF DILG BUILDING PNP AVIATION BUILDING, AVIATION SECURITY UNIT 9, GOV. CAMINS AVENUE, ZAMBOANGA CITY</t>
  </si>
  <si>
    <t>PROCUREMENT FOR THE SUPPLY AND DELIVERY OF PLATE TAGS FOR TREES FOR USE OF NATIONAL SEED QUALITY CONTROL SERVICES DIVISION (NSQCSD)</t>
  </si>
  <si>
    <t>20GA0181- Re-Invitation- Construction of Multi-Purpose Building Brgy. Afga, Tangalan, Aklan</t>
  </si>
  <si>
    <t>QM PABAC 029-20 Procurement of 111,346 sets Philippine Army Pattern (PHILARPAT) Battle Dress Uniform (BDU) with Ball Cap</t>
  </si>
  <si>
    <t>Office Renovation of Academic Building 1</t>
  </si>
  <si>
    <t>PAKYAW LABOR FOR THE ESTABLISHMENT OF ON-FARM AGROFORESTRY PROJECT AT BRGY. TALBEC</t>
  </si>
  <si>
    <t>BIDDING FOR THE PROCUREMENT OF ONE (1) LOT INTEGRATED SECURITY SUITE FOR TWO (2) YEARS</t>
  </si>
  <si>
    <t>Contract ID No. 20NC0114 - Repair/Maintenance of DPWH Building, Main Office Building, Agusan del Sur Il District Engineering Office, San Francisco, Agusan del Sur</t>
  </si>
  <si>
    <t>Supply and Delivery of Six (6) Units of Cellphone</t>
  </si>
  <si>
    <t>20LB0238 - Construction of Flood Mitigation Structure Along Davao River, Davao River Bridge Downstream Section, Right Bank, Davao City</t>
  </si>
  <si>
    <t>SUPPLY AND DELIVERY OF SERVICE VEHICLE (ITB No. 2020-131-A)-(s.p.)</t>
  </si>
  <si>
    <t>20LB0237 - Construction of Flood Mitigation Structure Along Davao River (Crocodile Park Section), Right Bank, Davao City</t>
  </si>
  <si>
    <t>Repair/Rehab/Improvement of (Asphalt Overlay) Along Daang Maharlika Hiway Jct. Legazpi-Sto. Domingo Camarines Sur Bdry. Road. K0536+585 - K0539+054,  Legazpi, Albay</t>
  </si>
  <si>
    <t>Repair/Rehabilitation/Improvement of (Asphalt Overlay) Along Quezon Ave. Wharf Rd. Elizondo St. And Rizal St.,  Legazpi, Albay</t>
  </si>
  <si>
    <t>20LB0240 - Construction of Flood Mitigation Structure, Bago River, Sta. 3+370 – Sta. 3+422, Sta. 3+426 - Sta. 3+480, Sta. 3+545 - Sta. 3+848, Sta. 3+851 - Sta. 3+876, Sta. 3+880 - Sta. 3+897, Sta. 3+9</t>
  </si>
  <si>
    <t>20LB0203 - Construction of Road, Brgy. Maa, Davao City</t>
  </si>
  <si>
    <t>Supply and Delivery of Bangus Fry at BFAR-MAP, San Roque, Mercedes, Camarines Norte</t>
  </si>
  <si>
    <t>Office Renovation of Academic Building 2</t>
  </si>
  <si>
    <t>20LB0239 - Construction of Flood Mitigation Structure Along Davao River, Davao River Bridge Upstream Section, Right Bank, Davao City</t>
  </si>
  <si>
    <t>Supply and Delivery of Common-Use Office Supplies</t>
  </si>
  <si>
    <t>20LB0230 - Construction of Road, Brgy. Sumimao to Brgy. Malabog, Davao City</t>
  </si>
  <si>
    <t>Repair/Maintenance of DILG Building Lagawe Municipal Police Station, Lagawe, Ifugao</t>
  </si>
  <si>
    <t>Supply and Delivery of Office Supplies intended for printing and processing of FRMS official documents</t>
  </si>
  <si>
    <t>Supply and Delivery of Hardware Materials intended for the Operation and Maintenance of Tiwi Fry Bank</t>
  </si>
  <si>
    <t>Upgrading of Desktop Computer and Supply and Delivery of Various Computer Peripherals</t>
  </si>
  <si>
    <t>Supply and Delivery of FSP Common Audio-Visual Equipment</t>
  </si>
  <si>
    <t>CONSTRUCTION REHAB PROVISION OF AMENTIES OF DETENTION CELL</t>
  </si>
  <si>
    <t>Sustainable Livelihood Support for Disaster Affected Areas under CRFPS</t>
  </si>
  <si>
    <t>20LB0253 - Construction Of Revetment along Matina River, Sta. 4+292 To Sta. 4+480, Davao City</t>
  </si>
  <si>
    <t>ITB-GS-20190703-01 (2) - One (1) Lot Supply, Delivery, Installation, Testing and Commissioning of Variable Refrigerant Flow (VRF) Air-Conditioning Units at LANDBANK Sta. Cruz Office Building</t>
  </si>
  <si>
    <t>20HM0083 (Re-IB) - Local Program, Local Infrastructure Program, Buildings And Other Structures, Multipurpose/Facilities, Construction of Multi-Purpose Building, Brgy. Candanay Norte, Siquijor, Siquijo</t>
  </si>
  <si>
    <t>Procurement of supply and delivery of various NSIC approve hybrid rice seeds</t>
  </si>
  <si>
    <t>20NG0096 - REHABILITATION/CONCRETING OF ROAD FROM BRGY. PILI TO BRGY. KARIHATAG/ BRGY. KARIHATAG, MALIMONO, SURIGAO DEL NORTE</t>
  </si>
  <si>
    <t>ITB-GS-20200304-01 - One (1) Lot Supply and Delivery of 65,500 pcs. EMV VISA Debit Card with Personalization</t>
  </si>
  <si>
    <t>Supply and Delivery of FSP Computer Equipment</t>
  </si>
  <si>
    <t>20LB0293 - Construction of Revetment Along Davao River, Sta. 2+437 to Sta. 2+557, Davao City</t>
  </si>
  <si>
    <t>20LB0292 - Construction of Revetment Along Davao River, Sta. 3+585 To Sta. 3+707, Davao City</t>
  </si>
  <si>
    <t>20LB0268 - Concreting of Brgy. Pandaitan FMR, Brgy. Pandaitan, Paquibato District, Davao City</t>
  </si>
  <si>
    <t>20GGO0002 - SUPPLY OF EQUIPMENT USE IN DATA CAPTURING/MAPPING IN VERTICAL PROJECTS FOR THE PROPOSED INFRA PROGRAM, PROJECT MONITORING OF ON-GOING PROJECTS AND OTHER RELATED ACTIVITIES ASSIGNED TO THE</t>
  </si>
  <si>
    <t>20LB0291 - Construction of Revetment Along Davao River, Sta. 3+566 TO STA. 3+686, Davao City</t>
  </si>
  <si>
    <t>20LB0260 - Rehabilitation of Paved Alternate Road from Region XI to Region X, Jct Davao City Diversion Rd - Catalunan Grande - Talandag - Sumimao - Panalum - Tapak - Cabanglasan - Aglayan, Malaybalay,</t>
  </si>
  <si>
    <t>20LB0246 - Construction of Revetment Along Davao River, Generoso Bridge Downstream Section, Right Bank, Davao City</t>
  </si>
  <si>
    <t>20LB0290 - Construction of Revetment Along Davao River, Sta. 1+013 To Sta. 1+095, Davao City</t>
  </si>
  <si>
    <t>Repair/Maintenance of DPWH  Building, Fence for Maintenance Bodega, Urdaneta City, Pangasinan</t>
  </si>
  <si>
    <t>ITB-GS-20200305-03 - Supply &amp; Delivery of 4,300 Pcs. Ribbon for EPSON Printer FX2190 &amp; 440 Pcs.  Genuine Burroughs Black Multiline Print Inkjet Cartridge</t>
  </si>
  <si>
    <t>Upgrading of Desktop Computer</t>
  </si>
  <si>
    <t>20DD0295 Local Program, Construction/ Repair/ Rehabilitation/ Improvement of Various Infrastructure including Local Projects, Buildings and Other Structures, Multipurpose/ Facilities, Rehabilitation/</t>
  </si>
  <si>
    <t>2020-GOODS-03; SUPPLY/DELIVERY AND INSTALLATION OF COMPUTER DESKTOP, CORE I7/ AND CORE I5, LAPTOP COMPUTERS CORE i7 AND CORE i5,  W/ COMPLETE ACCESSORIES, UPS- UINTERRUPTABLE POWER SUPPLY, AND PRINTER</t>
  </si>
  <si>
    <t>Agno River Basin Flood Control Project – Repair/Maintenance of Bank Protection at Brgy. Talibaew, Calasiao, Pangasinan, Sta. 02+100.00 to Sta. 2+436.00</t>
  </si>
  <si>
    <t>20DD0302 Local Program, Local Infrastructure Program, Buildings and Other Structures, Multipurpose/ Facilities, Construction/ Improvement of Multi-Purpose Building in various Barangays, Padre Garcia,</t>
  </si>
  <si>
    <t>Invitation to Bid for the Purchase of One (1) Unit Multi-Purpose Vehicle for MDRRMO</t>
  </si>
  <si>
    <t>SUPPLY AND DELIVERY OF VARIOUS AGRICULTURAL MACHINERIES AND EQUIPMENT CONSISTING OF FOUR (4) LOTS TO BE USED BY LIVESTOCK PRODUCTION CENTER UNDER LIVESTOCK PROGRAM FOR CY 2020(REBID)</t>
  </si>
  <si>
    <t>20NB0068, Repair/Maintenance of Kibao-an River Revetment, Sta. 0+020-Sta. 0+046 B/S (Downstream), Brgy. Lucena, Prosperidad, Agusan del Sur</t>
  </si>
  <si>
    <t>20B00027 (re-ad): Organizational Outcome 1: Ensure Safe and Reliable National Road System: Network Development: Construction of By-Pass and Diversion Roads Alicia-Angadanan-San Guillermo-Cauayan City-</t>
  </si>
  <si>
    <t>Procurement of supply and delivery of agricultural supplies</t>
  </si>
  <si>
    <t>Procurement of FUEL, OIL &amp; LUBRICANTS for Use in the Repair of Provincial Roads in Gov. Generoso and Cateel, Davao Oriental</t>
  </si>
  <si>
    <t>Supply and Delivery of Printing Supplies and Equipment</t>
  </si>
  <si>
    <t>Procurement of supply and delivery of various inorganic fertilizers</t>
  </si>
  <si>
    <t>ITB-GS-20191202-01 - Additional License for the Existing Solarwinds Servers, Networks, Database and Application Monitoring Tool</t>
  </si>
  <si>
    <t>20NG0066 (RE-AD) - CONSTRUCTION OF BGY. HALL/ BRGY. CENTRAL, PLACER, SURIGAO DEL NORTE</t>
  </si>
  <si>
    <t>Construction of 3 Storey City Hall Annex Building   City Hall Compound,  Brgy. Washington, Surigao City</t>
  </si>
  <si>
    <t>20DD0303 Local Program, Construction/ Repair/ Rehabilitation/ Improvement of Various Infrastructure including Local Projects, Buildings and Other Structures, Multipurpose/Facilities,  Rehabilitation o</t>
  </si>
  <si>
    <t>20AC0087 - Rehabilitation of Tamorong Road with Slope Protection and Culvert, Brgy. Tamorong, Sta. Catalina, Ilocos Sur</t>
  </si>
  <si>
    <t>INVITATION TO BID FOR THE MCWD LAHUG BULK WATER SUPPLY PROJECT</t>
  </si>
  <si>
    <t>Supply, Delivery, Installation and Commissioning of One (1) Unit Automatic Coin Measuring Machine, including Consumables and Training of Personnel, as per BSP Technical Specifications and Terms of Ref</t>
  </si>
  <si>
    <t>20NG0092 - CONSTRUCTION OF MULTI-PURPOSE BUILDING/ESPINA ST., SURIGAO DEL NORTE</t>
  </si>
  <si>
    <t>ITB-GS-20200212-01 - Supply and Delivery of 600 Units Passbook Printer</t>
  </si>
  <si>
    <t>Supply and Delivery of DA-BSWM Promotional Materials for CY 2020 IB No.: BSWM-2020-03-0005</t>
  </si>
  <si>
    <t>Procurement of supply and delivery of agricultural materials</t>
  </si>
  <si>
    <t>20KJ0171: Construction of Convention Center, Ozamis City, Misamis Occidental</t>
  </si>
  <si>
    <t>20NG0090 - CONSTRUCTION OF MULTIPURPOSE BUILDING (MUNICIPAL BLDG.)/SISON, SURIGAO DEL NORTE</t>
  </si>
  <si>
    <t>Procurement of Security Services for Agus 6 &amp; 7 Hydroelectric Power Plants</t>
  </si>
  <si>
    <t>POSTPONEMENT OF THE SUBMISSION AND OPENING OF BIDS FOR THE INFRASTRUCTURE PROJECTS AND GOODS</t>
  </si>
  <si>
    <t>20DJ0088-LOCAL PROGRAM, Local Infrastructure Program, Road Rehabilitation in   Barangay Isabang-Bocohan-Domoit Road, Lucena City, Quezon</t>
  </si>
  <si>
    <t>20LA0249 Construction and/or Repair/Rehabilitation of Multi-Purpose Building, Brgy. Cabidianan, Nabunturan, Compostela Valley</t>
  </si>
  <si>
    <t>20AC0088 - Construction of Multi-Purpose Building, Brgy. Bungro, San Ildefonso, Ilocos Sur</t>
  </si>
  <si>
    <t>Garbage Collection and Disposal – District 1&amp;2, Greenhills (July – December 2020)</t>
  </si>
  <si>
    <t>Security Services for PUP San Juan Campus  (July – December 2020)</t>
  </si>
  <si>
    <t>Procurement of Security Services for Agus 5 Hydroelectric Power Plant</t>
  </si>
  <si>
    <t>Janitorial Services – City Hall, Pinaglabanan Street  (July – December 2020)</t>
  </si>
  <si>
    <t>20NG0091 -CONSTRUCTION OF ABACA PROCESSING BUILDING/FACILITY/MAINIT, SURIGAO DEL NORTE</t>
  </si>
  <si>
    <t>100-2019-12-1793 Supply and delivery of 2x2x10 Coco lumber, 2x2x12 Coco lumber, 1/2" thk. Ord. Plywood, etc.</t>
  </si>
  <si>
    <t>20GA0168-Construction of Multi-Purpose Building In Brgy. Balusbos, Malay, Aklan</t>
  </si>
  <si>
    <t>20AC0079 - Construction of Don Dimas - Don Alejandro Road, Caoayan, Ilocos Sur</t>
  </si>
  <si>
    <t>20AC0081 - Rehabilitation of Rivero Street, Including Construction of Drainage Canal, Brgy. Sta. Elena, Vigan City, Ilocos Sur</t>
  </si>
  <si>
    <t>20GA0197-Concreting of Barangay Road  Brgy. Nagustan, Nabas, Aklan</t>
  </si>
  <si>
    <t>20AC0083 - Construction of Flood Control Structure Along Mestizo River, Brgy. Pandan-Manangat, Caoayan, Ilocos Sur</t>
  </si>
  <si>
    <t>Supply &amp; Delivery of Office &amp; Other Supplies</t>
  </si>
  <si>
    <t>20AC0084 -Construction of River Control Along Bical River, San Juan, Ilocos Sur</t>
  </si>
  <si>
    <t>Janitorial Services – San Juan Medical Center   (July – December 2020)</t>
  </si>
  <si>
    <t>20AC0082 - Construction of Box Culvert and Improvement of Drainage Canal Along Cabasaan Creek, Brgy. VIII, Vigan City, Ilocos Sur</t>
  </si>
  <si>
    <t>20NG0089 - CONSTRUCTION OF MULTIPURPOSE BUILDING (MUNICIPAL BLDG.) / GIGAQUIT, SURIGAO DEL NORTE</t>
  </si>
  <si>
    <t>20NG0088 - CONSTRUCTION OF MULTI-PURPOSE BUILDING/  BARANGAY SAMPAGUITA, TAGANA-AN, SURIGAO DEL NORTE</t>
  </si>
  <si>
    <t>ONTRACT ID: 20-02-063 2ND REBID - PROCUREMENT OF FURNITURE AND FIXTURE</t>
  </si>
  <si>
    <t>20GA0198-Concreting of Barangay Road Brgy. Toledo, Nabas, Aklan</t>
  </si>
  <si>
    <t>20NG0087 - CONSTRUCTION OF THE SECOND FLOOR OF LEGISLATIVE BUILDING / BACUAG, SURIGAO DEL NORTE</t>
  </si>
  <si>
    <t>20B00024: Organizational Outcome 1: Ensure Safe and Reliable National Road System: Bridge Program: Widening of Permanent Bridges: Naguilian Bridge along Daang Maharlika (LZ)(Parallel Bridge)</t>
  </si>
  <si>
    <t>20F00111 - Local Program – Construction/Repair/Rehabilitation/Improvement of Various Infrastructure Including Local Projects – Local Roads and Bridges – Local Roads – Construction of Pasacao-Balatan C</t>
  </si>
  <si>
    <t>Procurement of the Services of a Private Radiologist to Read Computerized Digital X-ray in the Health Services Office, City Government of Baguio</t>
  </si>
  <si>
    <t>20F00109 - Local Program – Construction/Repair/Rehabilitation/Improvement of Various Infrastructure Including Local Projects – Local Roads and Bridges – Local Roads – Construction of Pasacao-Balatan C</t>
  </si>
  <si>
    <t>20GHD0001 - Supply and delivery of Reflectorized Thermoplastic Pavement Markings and other various materials for use in DPWH Cebu 1st District Engineering Office</t>
  </si>
  <si>
    <t>20LB0173 - Construction of Flood Mitigation Structure, Bunawan River, Sta. 5+260 To  Sta. 5+441, Davao City</t>
  </si>
  <si>
    <t>20GA0137 - Concreting of Farm to Market Road (FMR), Brgy. Sibalew, Banga to Brgy. Arcangel, Balete, Aklan</t>
  </si>
  <si>
    <t>CID No. 20CSIO08: Consultancy Services for the Conduct of Feasibility Study of the Proposed Construction of Bypasses/Diversion Roads along Brgy. Kilim – Sitio Tipay Road junction Ormoc – Baybay – Sout</t>
  </si>
  <si>
    <t>20AC0080 - Construction of Drainage Canal Along Sta. Elena Creek to Mestizo River, Brgy. VIII, Vigan City, Ilocos Sur</t>
  </si>
  <si>
    <t>CID No. 20CSIO13: Consultancy Services for the Feasibility Study of the Proposed Calbayog Coastal Diversion Road, Calbayog City, Western Samar</t>
  </si>
  <si>
    <t>INVITATION TO BID FOR THE PROCUREMENT OF ICT SUPPLIES AND EQUIPMENT UNDER 2020 MITHI PROGRAM (Bid no. 2020-01)</t>
  </si>
  <si>
    <t>CID No. 20CSIO09: Consultancy Services for the Conduct of Feasibility Study of the Proposed Construction of Tacloban – Palo Diversion Road (Brgy. 89 San Jose, Brgy. 82, Marasbaras and Brgy. Calanipawa</t>
  </si>
  <si>
    <t>CID No. 20CSIO10: Consultancy Services for the Conduct of Feasibility of the Proposed Road Opening/Construction of Junction Himay-angan – Silago – Abuyog Boundary Road (Bagacay – Tib-o), Abuyog, Leyte</t>
  </si>
  <si>
    <t>Rehabilitation of Drainage along Yakal Street, Lumbayao Street and its Vicinity, Brgy. San Antonio, Makati City, Metro Manila</t>
  </si>
  <si>
    <t>UPLB-IF-016-03-20 CONSTRUCTION OF AREA DRAIN WITH INTERCEPTOR CANAL, DEPARTMENT OF MILITARY SCIENCE AND TACTICS, UPLB, COLLEGE, LAGUNA</t>
  </si>
  <si>
    <t>Geotechnical Investigation (Subsurface Exploration) of:  1. Construction of Multi-Storey Buildings of the following sites (3 holes-15 meters deep per hole): a)	CTU-Guba, Brgy. Guba, b) Brgy. Labangon,</t>
  </si>
  <si>
    <t>UPLB-IF-015-03-20 IMPROVEMENT OF SITE ORNAMENTAL CROPS NURSERY, LUZ ONATE ST., UPLB CAMPUS</t>
  </si>
  <si>
    <t>Procurement of One (1) Lot, Three (3) Years Janitorial Services for CF-Davao and Apo View Satellite</t>
  </si>
  <si>
    <t>CID No. 20CSIO11: Consultancy Services for the Conduct of Feasibility Study of the Proposed Tanauan Bypass Road, San Miguel – Santol – Tunga Road, Tolosa – San Victor – Tabontabon Road and Dapdap – Al</t>
  </si>
  <si>
    <t>20AC0076 - Construction of Multi-Purpose Building (Covered Court), Brgy. San Julian, Bantay, Ilocos Sur</t>
  </si>
  <si>
    <t>Bidding for Supply &amp; Delivery of Medical Supplies – Face Mask</t>
  </si>
  <si>
    <t>20CE0206: Installation of New Traffic Counter/Classifier (ATC), Two (2) Lanes (Dual Piezo)</t>
  </si>
  <si>
    <t>CID No. 20CSIO12: Consultancy Services for the Conduct of Feasibility Study of the Proposed Capoocan – Leyte, Leyte Coastal Road</t>
  </si>
  <si>
    <t>Procurement of Detailed Engineering Design for Lucac Water Supply System Project of San Francisco Water District</t>
  </si>
  <si>
    <t>20CE0205: Installation of New Traffic Counter/Classifier (ATC), Two (2) Lanes (Dual Piezo)</t>
  </si>
  <si>
    <t>Construction of Sta. Barbara Arena, Phase I under Design and Build Scheme</t>
  </si>
  <si>
    <t>Procurement of Gate Valves, Combi Flange w/ Sealing  and STC with Brass Tensile Ring</t>
  </si>
  <si>
    <t>19D00061-GREEN LATRINE PROJECT, UP LOS BAÑOS, LAGUNA</t>
  </si>
  <si>
    <t>supply, delivery, installation and commissioning of 1-unit brand-new Generator Set complete with accessories and Powerhouse</t>
  </si>
  <si>
    <t>SUPPLY AND DELIVERY OF THIRTY (30) PIECES HIGH CHAIRS FOR THE USE OF TRAVEL TAX COUNTERS AT NAIA TERMINALS 1 AND 3</t>
  </si>
  <si>
    <t>Rebidding of Hospital Equipment, IB No. SB-2020-001</t>
  </si>
  <si>
    <t>PURCHASE OF STRONG MOTION ACCELEROGRAPH FOR SEISMIC MONITORING</t>
  </si>
  <si>
    <t>20NG0086 - CONCRETING OF ROAD, BRGY. CAMPO - PAUTAO/ BACUAG, SURIGAO DEL NORTE</t>
  </si>
  <si>
    <t>ITB-GS-20200217-01 - Three (3) Years ATM Cash Loading and First Level Maintenance Services for 600 LANDBANK ATM Units</t>
  </si>
  <si>
    <t>Procurement of Anti-Rabies Vaccines, IB No. SB-2020-019</t>
  </si>
  <si>
    <t>19D00060-EXTENSION, REHABILITATION AND RENOVATION OF AGRICULTURAL AND BIO – PROCESS DIVISION BUILDING, UP LOS BAÑOS</t>
  </si>
  <si>
    <t>Procurement of Medical Supplies and Materials, IB No. SB-2020-017</t>
  </si>
  <si>
    <t>UPLB-RES-033-03-20  SUPPLY AND DELIVERY OF BRANDED AND BRAND NEW CHEMICALS AND CHEMICAL PRODUCTS  FOR IC (2)</t>
  </si>
  <si>
    <t>UPLB-RES-034-03-20  SUPPLY AND DELIVERY OF BRANDED AND BRAND NEW FILAMENT EXTRUDER FOR CEAT – ES (3)</t>
  </si>
  <si>
    <t>20AC0072 - Construction of Multi-Purpose Building (Covered Court), Brgy. Lingsat, Bantay, Ilocos Sur</t>
  </si>
  <si>
    <t>Procurement of Drugs and Medicines, IB No. SB-2020-018</t>
  </si>
  <si>
    <t>Rehabilitation of Drainage, Marconi Street and its Vicinity, Brgy. San Isidro, Makati City, Metro Manila</t>
  </si>
  <si>
    <t>GSO-20-0202-B / JANITORIAL SERVICES</t>
  </si>
  <si>
    <t>20AC0071 - Construction of Drainage Canal Along Barangay Road Going to Tamag Elementary School, Tamag, Vigan City, Ilocos Sur</t>
  </si>
  <si>
    <t>Contract ID: 20GOE0005 - Procurement of Parts for the Repair Service Vehicle (Mitsubishi Adventure SFN-936) of DPWH – NMDEO</t>
  </si>
  <si>
    <t>20AC0078 - Construction of Multi-Purpose Building (Covered Court), Brgy. Paing, Bantay, Ilocos Sur</t>
  </si>
  <si>
    <t>20AC0073 - Construction of Flood Control Structure Along Mestizo River, Brgy. Fuerte (Sabangan), Caoayan, Ilocos Sur</t>
  </si>
  <si>
    <t>UPLB-RES-029-04-20  PROCUREMENT OF DIAGNOSTIC AND LABORATORY SERVICES FOR IPB AND IBS</t>
  </si>
  <si>
    <t>20AC0077 - Construction of Multi-Purpose Building (Covered Court), Brgy. Malingeb, Bantay, Ilocos Sur</t>
  </si>
  <si>
    <t>PEO- 20-068-B NORTHERN ILOILO FISHERY REHABILITATION AND DEVELOPMENT PROJECT (NI-FRDP) - REHABILITATION AND IMPROVEMENT OF CONCEPCION FISH PORT,Concepcion, Iloilo</t>
  </si>
  <si>
    <t>UPLB-RES-027-04-20  SUPPLY AND DELIVERY OF BRANDED AND BRAND NEW INFORMATION TECHNOLOGY FOR ICS</t>
  </si>
  <si>
    <t>Cleaning &amp; Desilting of Main Waterways along Makati Diversion Channel, San Lorenzo Creek, Bangkal Creek towards Estero De Tripa De Gallina Makati City, Metro Manila</t>
  </si>
  <si>
    <t>PR# 20-0232- To supply labor, materials and necessary equipment for the Construction of CHB Line Canal with Concrete Cover and Concrete Drain at San Basilio, Sta. Rita, Pampanga. (Re-bidding)</t>
  </si>
  <si>
    <t>PR# 20-0141- To supply labor, materials and necessary equipment for the Construction of Multi-Purpose Covered Area with Reinforced Concrete Slab and Stage at Mandili I Elementary School, Mandili, Cand</t>
  </si>
  <si>
    <t>PR# 19-3827- To supply labor, materials and necessary equipment for the Concreting of Road, Barangay Pio, Porac, Pampanga. (Re-bidding)</t>
  </si>
  <si>
    <t>WORK ENVIRONMENT MEASUREMENT</t>
  </si>
  <si>
    <t>Invitation to Bid for the Procurement of 15,000 reams of Book Paper</t>
  </si>
  <si>
    <t>PR# 20-0475- To supply labor, materials and necessary equipment for the Construction of Two(2) Storey Multi-Purpose Building at Mabical, Floridablanca, Pampanga</t>
  </si>
  <si>
    <t>PR# 20-0474- To supply labor, materials and necessary equipment for the Construction of Two (2) Storey Multi-Purpose Building at Sta. Monica, Sta. Rita, Pampanga</t>
  </si>
  <si>
    <t>PR# 20-0553- To supply labor, materials and necessary tools and equipment for the Construction of Multi-Purpose Covered Area with Reinforced Concrete Slab at Candelaria, Macabebe, Pampanga.</t>
  </si>
  <si>
    <t>PR# 20-0477- To supply labor, materials and necessary equipment for the Construction of Two (2) Storey Multi-Purpose Building at Pandaguiring, Floridablanca, Pampanga</t>
  </si>
  <si>
    <t>20-DO-0075: LOCAL PROGRAM - Local Infrastructure Program - Building and Other Structures - Multipurpose/Facilities - Construction of Multi-Purpose Building at Gen. Luna St. Brgy. Dulong Bayan 1, San M</t>
  </si>
  <si>
    <t>PR# 20-0476- To supply labor, materials and necessary tools and Equipment for the Construction of Multi-Purpose Covered Area at Balucuc, Apalit, Pampanga</t>
  </si>
  <si>
    <t>PR# 20-0387-To supply labor, materials and necessary equipment for the Supply and Installation of One Unit Elevator with 1000 kg Capacity at Legislative Building, Capitol Compound, City of San Fernand</t>
  </si>
  <si>
    <t>PR# 20-0473- To supply labor, materials and necessary equipment for the Construction of Two (2) Storey Multi-Purpose Building at Becuran, Sta. Rita, Pampanga</t>
  </si>
  <si>
    <t>UPLB-RES-031-04-20  SUPPLY AND DELIVERY OF BRANDED AND BRAND NEW CHEMICALS AND CHEMICAL PRODUCTS FOR BIOTECH &amp; IPB</t>
  </si>
  <si>
    <t>B-026-2020 PROCUREMENT OF VARIOUS ID CONSUMABLES</t>
  </si>
  <si>
    <t>20AC0074 - Construction of Multi-Purpose Building (Covered Court), Brgy. San Clemente, Magsingal, Ilocos Sur</t>
  </si>
  <si>
    <t>20AC0075 - Construction of Multi-Purpose Building, Fuerte, Caoayan, Ilocos Sur</t>
  </si>
  <si>
    <t>Supply, Delivery, Installation, Testing and Commissioning of Fire Suppression System, 5-KW Aircon, UPS, Door Access Control, Temperature and Humidity Monitoring System, Server Rack and Retrofitting of</t>
  </si>
  <si>
    <t>PR# 20-0138- To supply labor, materials and necessary equipment for the Construction of Multi-Purpose Hall, Mesulo, Arayat, Pampanga. (Re-bidding)</t>
  </si>
  <si>
    <t>ITB-GS-20191023-01(2) - 1 Lot Supply, Delivery &amp; Installation of 50 Units Thru-The-Wall Cash Deposit Machine with Four (4) – Year Maintenance Package and Spare Parts</t>
  </si>
  <si>
    <t>20AC0067 - Construction of Seawall, Brgy. Solot-solot, San Juan, Ilocos Sur</t>
  </si>
  <si>
    <t>PUBLIC BIDDING / PR 19-10-0950 Re-Bid / VIDEO WALL PROJECT FOR SECURITY OPERATION</t>
  </si>
  <si>
    <t>S3-SCL20-013 - Construction of Operator's Quarter and Office in Sacol DPP, Sacol Island, Zamboanga City</t>
  </si>
  <si>
    <t>CHECK UP TRANSMISSION AND REPAIR OF TOYOTA FORTUNER</t>
  </si>
  <si>
    <t>B-028-2020 SUPPLY AND DELIVERY OF 1 LOT VARIOUS OFFICE SUPPLIES</t>
  </si>
  <si>
    <t>20AC0068 - Construction of Flood Control of Catabeng Brook Along Brgy. San Clemente, San Julian, San Basilio and Bacar, Magsingal, Ilocos Sur</t>
  </si>
  <si>
    <t>20AC0069 - Construction of Multi-Purpose Building (Covered Court), Brgy. An-annam, Bantay, Ilocos Sur</t>
  </si>
  <si>
    <t>PUBLIC BIDDING / PR 20-02-0073  /  VEHICLE RENTAL</t>
  </si>
  <si>
    <t>PR# 19-3888- 559 pieces Multi-function Inkjet Printer with ADF</t>
  </si>
  <si>
    <t>B-027-2020 SUPPLY AND DELIVERY OF 1 LOT JANITORIAL SUPPLIES</t>
  </si>
  <si>
    <t>PB-Procurement of Security Services for CY 2020 (ITB 2020-10)</t>
  </si>
  <si>
    <t>B-011-2020 SUPPLY AND DELIVERY 1 UNIT STEEL CABINET - REBID</t>
  </si>
  <si>
    <t>UPLB-RES-030-04-20  SUPPLY AND DELIVERY OF BRANDED AND BRAND NEW LABORATORY AND SCIENTIFIC EQUIPMENT FOR BIOTECH AND IPB</t>
  </si>
  <si>
    <t>B-010-2020 PROCUREMENT OF EQUIPMENT AND FIXTURES FOR THE RESEARCH WORKSHOP ROOM  - REBID</t>
  </si>
  <si>
    <t>SUPPLY AND DELIVERY OF VAULT FOR TRAVEL TAX DEPARTMENT</t>
  </si>
  <si>
    <t>PR# 20-0673- Meals for the forum of the Governor with various stakeholders for the period of May to December 2020</t>
  </si>
  <si>
    <t>SUPPLY AND DELIVERY OF PRINTER AND BARCODE SCANNER</t>
  </si>
  <si>
    <t>20AC0066 - Construction of Revetment Wall, Cadanglaan, Sinait, Ilocos Sur</t>
  </si>
  <si>
    <t>Procurement of Managed Security Services</t>
  </si>
  <si>
    <t>20AC0065 - Construction of Flood Control Brgy. Nagsabaran Bical River, San Juan, Ilocos Sur</t>
  </si>
  <si>
    <t>PROCUREMENT OF OTHER SUPPLIES AND MATERIALS (SUPPLIES AND TOOLS ON SHIELDED METAL ARTS &amp; WELDING) FOR SAN ROQUE NHS (UNDER SCHOOLS DIVISION OFFICE)</t>
  </si>
  <si>
    <t>Rehabilitation/Upgrading and Drainage Improvement of Aranga Street and its Vicinity, Brgy. San Antonio, Makati City, Metro Manila</t>
  </si>
  <si>
    <t>CP 2020-30 REBIDDING FOR THE SUPPLY AND DELIVERY OF ONE (1) UNIT HYDRAULIC POWER SPREADER C/O CDRRMC</t>
  </si>
  <si>
    <t>20DE0123 Local Infrastructure Program – Rehab/Improvement/Asphalt Overlay Alitagtag Road (San Pascual Section), Brgy. Mataas na Lupa, Gelerang Kawayan, San Pascual, Batangas</t>
  </si>
  <si>
    <t>20DE0130 Local Infrastructure Program – Construction/Improvement of Old Public Market (Phase II), Mabini, Batangas</t>
  </si>
  <si>
    <t>20DE0125 Local Infrastructure Program – Construction of the Lobo Municipal Hall Phase 1, Lobo, Batangas</t>
  </si>
  <si>
    <t>CP 2020-34 BIDDING FOR THE SUPPLY, DELIVERY AND INSTALLATION OF WATER PUMPS C/O CADMO - SPORTS</t>
  </si>
  <si>
    <t>CP 2020-35 BIDDING FOR THE SUPPLY AND DELIVERY OF VARIOUS IT EQUIPMENT C/O OCSWDO BUB</t>
  </si>
  <si>
    <t>PB20-00-008CORa-02 Supply and Delivery of 8 Lots Various Spare Parts for Repair and Maintenance of Motor Vehicles (Lot 4-Fuel Filters)</t>
  </si>
  <si>
    <t>Rehabilitation/Upgrading and Drainage Improvement of Banuyo Street and its Vicnity, Brgy. San Antonio,  Makati City, Metro Manila</t>
  </si>
  <si>
    <t>PB20-00-008CORa-02 Supply and Delivery of 8 Lots Various Spare Parts for Repair and Maintenance of Motor Vehicles (Lot3-Air Filters)</t>
  </si>
  <si>
    <t>Supply and Delivery of Construction Materials for Bridges Routine Maintenance (CY-2020-1st Quarter).</t>
  </si>
  <si>
    <t>PR# 20-0131- To supply labor, materials and necessary equipment for the Improvement of Barangay Road at Tangle, Mexico, Pampanga. (Re-bidding)</t>
  </si>
  <si>
    <t>PB20-00-008CORa-02 SUPPLY AND DELIVERY OF 8 LOTS VARIOUS SPARE PARTS FOR REPAIR AND MAINTENANCE OF MOTOR VEHICLES (LOT 1-Engine Oil)</t>
  </si>
  <si>
    <t>20AC0064 - Construction of River Control Along Parsua River, Magsingal, Ilocos Sur</t>
  </si>
  <si>
    <t>Supply and Delivery of Asphalt Sealant (60/70) for Routine Maintenance (CY-2020-1st Quarter).</t>
  </si>
  <si>
    <t>PB20-00-008CORa-02 Supply and Delivery of 8 Lots Various Spare Parts for Repair and Maintenance of Motor Vehicles (Lot 5-Spark Plugs)</t>
  </si>
  <si>
    <t>PB20-00-008CORa-02 Supply and Delivery of 8 Lots Various Spare Parts for Repair and Maintenance of Motor Vehicles (Lot 2-Oil Filter)</t>
  </si>
  <si>
    <t>20AC0061 - Construction of Seawall, Sitio Mindanao, Barangay Paratong, Sta. Catalina, Ilocos Sur</t>
  </si>
  <si>
    <t>Improvement of Municipal  Slaughterhouse, Asingan, Pangasinan.</t>
  </si>
  <si>
    <t>B-023-2020 SUPPLY AND DELIVERY OF 1 LOT FOOD PROCESSING EQUIPMENT (FIC)</t>
  </si>
  <si>
    <t>Supply and Delivery of Asphalt Sealant (60/70) for Bridges Routine Maintenance.</t>
  </si>
  <si>
    <t>Construction of Farm to Market Road at Brgy. Domanpot, Asingan, Pangasinan.</t>
  </si>
  <si>
    <t>20AC0058 - Construction of Seawall at Paratong Sitio Mindanao, Sta. Catalina, Ilocos Sur</t>
  </si>
  <si>
    <t>Supply and Delivery of Office Supplies for the Annual Routine Maintenance Program (CY-2020-1st Quarter).</t>
  </si>
  <si>
    <t>Concreting of Farm to Market Road at Brgy. Calepaan, Asingan, Pangasinan.</t>
  </si>
  <si>
    <t>20AC0057 - Construction of Seawall at Paratong, Sta. Catalina, Ilocos Sur</t>
  </si>
  <si>
    <t>Concreting of Cross-Drainage at Brgy. San Vicente East, Asingan, Pangasinan.</t>
  </si>
  <si>
    <t>20AC0060 - Construction of Seawall at Paratong-Subec, Sta. Catalina, Ilocos Sur</t>
  </si>
  <si>
    <t>INVITATION TO BID</t>
  </si>
  <si>
    <t>Supply and Delivery of Ten (10) Lots Consolidated I.T. Equipment and Other Peripherals for Corporate and SOG 4 (Lot 4:Supply and Delivery of Mid-Range Scanner with Scanning Solution)</t>
  </si>
  <si>
    <t>Supply and Delivery of Ten (10) Lots Consolidated I.T. Equipment and Other Peripherals for Corporate and SOG 4 (Lot 2:Supply and Delivery of Branded Small Form Factor Computer)</t>
  </si>
  <si>
    <t>Supply and Delivery of Ten (10) Lots Consolidated I.T. Equipment and Other Peripherals for Corporate and SOG 4 (Lot 5:Supply and Delivery of Barcode Scanner, Box Type)</t>
  </si>
  <si>
    <t>Supply and Delivery of Asphalt Cold Mix for Routine Maintenance (CY-2020-1st Quarter).</t>
  </si>
  <si>
    <t>Supply and Delivery of Item 302 (SSI) Bituminous Tack Coat (Rapid Curing) for Routine Maintenance (CY-2020-1st Quarter).</t>
  </si>
  <si>
    <t>Supply and Delivery of Ten (10) Lots Consolidated I.T. Equipment and Other Peripherals for Corporate and SOG 4 (Lot 1:Supply and Delivery of Branded Laptop and Desktop)</t>
  </si>
  <si>
    <t>Supply and Delivery of Two (2) Lots Jumbo Tissue Roll and Paper Towel under ITB no. PB20-03-004MAL- Lot 2 : Paper Towel</t>
  </si>
  <si>
    <t>Supply and Delivery of Ten (10) Lots Consolidated I.T. Equipment and Other Peripherals for Corporate and SOG 4 (Lot 3:Supply and Delivery of Various Computers, Printers, Hard Disks and Other Periphera</t>
  </si>
  <si>
    <t>Supply and Delivery of Ten (10) Lots Consolidated I.T. Equipment and Other Peripherals for Corporate and SOG 4 (Lot 10: Supply and Delivery of Scanner Mid-Range Large Format)</t>
  </si>
  <si>
    <t>20AC0063: Concreting of Roads, Baclig-Margaay-Salapasap, Cabugao, Ilocos Sur</t>
  </si>
  <si>
    <t>THREE (3) UNITS MANAGED PRINT SERVICES FOR THE USE OF TRAVEL TAX DEPARTMENT-PAD, TEZ FRONTLINE SERVICE AND OFFICE OF THE JOINT VENTURE SELECTION COMMITTEE (RENTAL FOR ONE (1) YEAR)</t>
  </si>
  <si>
    <t>UPGRADING OF EQUIPMENT FOR PROCESSING LABORATORY OF PRESIDENT RAMON MAGSAYSAY STATE UNIVERSITY</t>
  </si>
  <si>
    <t>B-025-2020 REPIPING OF WATER LINES AT CHEMISTRY LABORATORY</t>
  </si>
  <si>
    <t>Purchase of Traffic Reflectorized Paint (Cold Water Base)</t>
  </si>
  <si>
    <t>Supply and Delivery of Ten (10) Lots Consolidated I.T. Equipment and Other Peripherals for Corporate and SOG 4 (Lot 7: Supply and Delivery of Various Software Licenses)</t>
  </si>
  <si>
    <t>PROCUREMENT OF ONE (1) UNIT BRAND NEW AMBULANCE VEHICLE</t>
  </si>
  <si>
    <t>Supply and Delivery of Materials for Replacement of Doors at CCJ</t>
  </si>
  <si>
    <t>Supply and Delivery of Ten (10) Lots Consolidated I.T. Equipment and Other Peripherals for Corporate and SOG 4 (Lot 9: Supply and Delivery of Handheld Barcode Scanner)</t>
  </si>
  <si>
    <t>Supply and Delivery of Two (2) Lots Jumbo Tissue Roll and Paper Towel - Lot 1 : Jumbo Tissue Roll</t>
  </si>
  <si>
    <t>20AC0062 - Construction of Multi-Purpose Building (Covered Court), Brgy. Cabaroan, Magsingal, Ilocos Sur</t>
  </si>
  <si>
    <t>Supply of Materials/Parts for the SMI and ARAS of NAW Units (NH430, NH431, NH432, NH434 &amp; NH435)</t>
  </si>
  <si>
    <t>B-024-2020 REPAIR AND MAINTENANCE OF HIGH ACE GRANDIA GL  SJE-963 AND COLORADO TRAILBLAZER SAA-4045</t>
  </si>
  <si>
    <t>Supply and Delivery of Various Semi-Expendable Equipment for OUSD</t>
  </si>
  <si>
    <t>Supply and Delivery of Ten (10) Lots Consolidated I.T. Equipment and Other Peripherals for Corporate and SOG 4 (Lot 8: Supply and Delivery of Architectural License)</t>
  </si>
  <si>
    <t>PB20-00-008CORa-02 Supply and Delivery of 8 Lots Various Spare Parts for Repair and Maintenance of Motor Vehicles (Lot 7-Batteries)</t>
  </si>
  <si>
    <t>PB20-00-008CORa-02 Supply and Delivery of 8 Lots Various Spare Parts for Repair and Maintenance of Motor Vehicles (Lot 8-Tires, Tire Flap And Tire Interior)</t>
  </si>
  <si>
    <t>Construction of Retaining Wall at Alem-Poblacion Provincial Road, Pudtol, Apayao</t>
  </si>
  <si>
    <t>PB20-00-008CORa-02 Supply and Delivery of 8 Lots Various Spare Parts for Repair and Maintenance of Motor Vehicles (Lot 6-Various Spare Parts For Motorpool Use)</t>
  </si>
  <si>
    <t>Completion of VIP Cottages, Payanan, San Gregorio, Luna, Apayao</t>
  </si>
  <si>
    <t>ITB NO. SV20-03-001MAB Supply and Delivery  of  Raw Materials for Executive Meals</t>
  </si>
  <si>
    <t>ITB No. 20-047: Supply and Delivery of Two Hundred Fifty-Two Thousand (252,000) Heparin Sodium, 1000IU/mL 5mL, Vial  (FRAMEWORK AGREEMENT)</t>
  </si>
  <si>
    <t>Supply and Delivery of Ten (10) Lots Consolidated I.T. Equipment and Other Peripherals for Corporate and SOG 4 (Lot 6: Supply and Delivery of Receipt Printer)</t>
  </si>
  <si>
    <t>PROCUREMENT OF COMPUTERIZED HOSPITAL INFORMATION SYSTEM &amp; ELECTRONIC HEALTH RECORD FOR THE USE OF NAVOTAS CITY HOSPITAL &amp; 25 HEALTH CENTERS</t>
  </si>
  <si>
    <t>INVITATION TO BID FOR PROCUREMENT OF GOODS -  SUPPLY AND DELIVERY OF EIGHT UNITS INFUSION PUMP (IB 2020-05)</t>
  </si>
  <si>
    <t>20FL0063-Construction of Flood Control, Bgy. Culasi, Matnog, Sorsogon Brgy. Culasi, Matnog, Sorsogon</t>
  </si>
  <si>
    <t>Contract I.D. No. 20OE0197 - Construction and / or Repair / Rehabilitation of Multi – Purpose Building Brgy. 72, Zone 6, Tondo Manila</t>
  </si>
  <si>
    <t>Contract ID No. 19CSK00047 – Consulting Services for the Conduct of Feasibility Study for Region X Priority Road Infrastructure Projects-27 (REXPRIP-27) a.	PIA Bypass Road, Misamis Oriental 2nd Legisl</t>
  </si>
  <si>
    <t>Improvement/Rehabilitation/Repair of Apayao Child Development Center, San Isidro Sur, Luna, Apayao</t>
  </si>
  <si>
    <t>Supply and Delivery Farm Input (Assistance to Farmers)</t>
  </si>
  <si>
    <t>Invitation to Bid for the Procurement of Goods: Five (5) Units of Syringe Pump (IB 2020-06)</t>
  </si>
  <si>
    <t>20GO0085 -CONSTRUCTION OF MULTI-PURPOSE BUILDING, BRGY. BANAGO, BACOLOD CITY, NEGROS OCCIDENTAL</t>
  </si>
  <si>
    <t>20FL0074-Construction of Multipurpose Building (Public Market), Brgy. Poblacion, Juban, Sorsogon Brgy. Poblacion, Juban, Sorsogon</t>
  </si>
  <si>
    <t>Improvement of Municipal Hall, Conner, Apayao</t>
  </si>
  <si>
    <t>Procurement of Technical and Scientific Equipment (2nd posting)</t>
  </si>
  <si>
    <t>Improvement of Caglayan-Ripang-Paddaoan-Talifugo-Manag Provincial Road (Paddaoan Section) Sta. 0+000-Sta. 9+800, Conner, Apayao</t>
  </si>
  <si>
    <t>SUPPLY AND DELIVERY OF STUDY CHAIR</t>
  </si>
  <si>
    <t>Improvement of Tanglagan-Bucarot Provincial Road, Calanasan, Apayao</t>
  </si>
  <si>
    <t>Supply of Item 310 (FD) for the use of MMIIDEO for Various National Roads (CY-2020-1st Quarter).</t>
  </si>
  <si>
    <t>HIRING OF GENERAL CONTRACTOR FOR THE RENOVATION OF DBP ZAMBOANGA BUILDING (INCL. RENOVATION OF ZAMBOANGA BRANCH &amp; BBG-WM; FIT-OUT OF ZAMBOANGA PENINSULA LENDING CENTER &amp; ZAMBOANGA CASH CENTER)</t>
  </si>
  <si>
    <t>UPGRADING OF MILKFISH AND TILAPIA PROCESSING FACILITY AT PRMSU CANDELARIA CAMPUS</t>
  </si>
  <si>
    <t>20DE0118 Local Infrastructure Program – Construction of Multi-Purpose Building (Phase 2), Lobo Municipal Compound, Lobo, Batangas</t>
  </si>
  <si>
    <t>Supply and Delivery of Various Supplies and Materials for Hostel Tropicana</t>
  </si>
  <si>
    <t>CP 2020-32 REBIDDING FOR THE SUPPLY AND DELIVERY OF TWO (2) UNITS HYDRAULIC MINI-CUTTERS C/O CDRRMC</t>
  </si>
  <si>
    <t>Provision of Garbage Hauling Services</t>
  </si>
  <si>
    <t>20GA0150-Construction of Multi-Purpose Building (Evacuation Center) Brgy. Rosario, Malinao, Aklan</t>
  </si>
  <si>
    <t>Proposed Renovation, Rehabilitation and Restoration of School Building and Other Facilities at MARICABAN ELEMENTARY SCHOOL (MES) – Phase 4</t>
  </si>
  <si>
    <t>Procurement of Works for the establishment of wood vinegar facility</t>
  </si>
  <si>
    <t>Construction of Tourism Stalls, Lussok, Dagupan, Luna, Apayao</t>
  </si>
  <si>
    <t>ITB No. 20-048 SUPPLY AND DELIVERY OF VARIOUS PATIENT CARDIAC MONITORS / DEFIBRILLATORS (LINE BIDDING)</t>
  </si>
  <si>
    <t>B-022-2020 PROCUREMENT OF INSURANCE PLAN - SVP</t>
  </si>
  <si>
    <t>PROPOSED REPAIR OF REGISTRY OF DEEDS OFFICE AT CITY HALL COMPOUND, DAGUPAN CITY</t>
  </si>
  <si>
    <t>ADH-20-063-B(REBID) PURCHASE OF DRUGS AND MEDICINES</t>
  </si>
  <si>
    <t>SO-OPD18-008 (PB3/NP2) - 1 x 200 kW and 1 x 100 kW Modular Diesel Gensets and Associated Electrical Equipment for Sarangani Diesel Power Plant</t>
  </si>
  <si>
    <t>20AC0059 - Construction of Multi-Purpose Building, Bahet, San Ildefonso, Ilocos Sur</t>
  </si>
  <si>
    <t>Construction of Box Culvert along Ninoy Aquino Ave. from Multinational Ave. to Cut-Cut Bridge, Parañaque City, Metro Manila</t>
  </si>
  <si>
    <t>INVITATION TO BID FOR THE PROCUREMENT OF GOODS: SUPPLY, DELIVERY, TESTING AND COMMISSIONING OF ONE (1) UNIT DUAL CHAMBER EXTERNAL PACEMAKER (PULSE GENERATOR WITH PACEMAKERE CABLES)</t>
  </si>
  <si>
    <t>Contract ID No. 20FA0050: REHABILITATION/RECONSTRUCTION OF NATIONAL ROADS W/SLIPS, SLOPE COLLAPSE AND LANDSLIDE-SECONDARY ROADS, DM JCT-LEGAZPI-STO. DOMINGO-TABACO-CAMARINES SUR BDRY. RD- K0582+330-K0</t>
  </si>
  <si>
    <t>HO-IST20-006 - Subscription of Data Analytics License and Partner Support for NPC Head Office, Diliman, Quezon City</t>
  </si>
  <si>
    <t>Supply and Delivery of DRRM Rescue Vehicles</t>
  </si>
  <si>
    <t>Pocurement of IBM SPSS Statistics Standard Campus Edition Authorized User License for UP Cebu</t>
  </si>
  <si>
    <t>Proposed Improvement of Drainage System and Concrete Pavement of SAN JUAN STREET, Pasay City</t>
  </si>
  <si>
    <t>Proposed FDLRC (Furnishing, Delivery, Laying, Rolling and Compacting of Asphalt)</t>
  </si>
  <si>
    <t>PROPOSED UPGRADING OF PCC PAVEMENT AND DRAINAGE SYSTEM AT SITIO ABALATEN, BARANGAY SALISAY, DAGUPAN CITY</t>
  </si>
  <si>
    <t>Contract I.D. No. 20OE0091 - Construction of Retention Basin at Estero de Sampaloc, Manila City</t>
  </si>
  <si>
    <t>PROPOSED UPGRADING OF PCC PAVEMENT AND DRAINAGE SYSTEM AT RIVERSIDE, BARANGAY POGO CHICO, DAGUPAN CITY</t>
  </si>
  <si>
    <t>74319 - Procurement of 1 Lot Security Services</t>
  </si>
  <si>
    <t>20FL0076-Improvement/rehabilitation of Bulan Public Market Annex, Brgy. 4, Bulan, Sorsogon Zone 4, Bulan, Sorsogon</t>
  </si>
  <si>
    <t>20GA0151-Construction of Multi-Purpose Building (Evacuation Center) Brgy. Unat, Ibajay, Aklan</t>
  </si>
  <si>
    <t>Supply, Delivery and Installation of Furniture, Fixtures, Equipment and Architectural Works for the PPA Head Office Executive Lounge</t>
  </si>
  <si>
    <t>20GA0163-Construction of Multi-Purpose Building  In Brgy. Naisud, Ibajay Aklan</t>
  </si>
  <si>
    <t>S3-B1920-002 - Furnishing of Labor and Materials for Dry Docking and Ship Repair of PB 119</t>
  </si>
  <si>
    <t>Q-022-20 PROCUREMENT OF PHYSICAL FITNESS EQUIPMENT AND ACCESSORIES</t>
  </si>
  <si>
    <t>PROPERTY ADMINISTRATION OF PASIG CENTRAL BUSINESS PARK (PCBP)  – 4TH BIDDING</t>
  </si>
  <si>
    <t>Supply and Delivery of Manual Thermosonic Wedge and Ball Bonder for UP Cebu</t>
  </si>
  <si>
    <t>NEGOTIATED PROCUREMENT UNDER TWO-FAILED BIDDINGS FOR THE COMPLETION/REPAIR/RENOVATION/REHABILITATION/CONSTRUCTION OF VARIOUS BARANGAY HEALTH STATIONS IN THE PROVINCE OF OCCIDENTAL MINDORO – PHASE 2 (L</t>
  </si>
  <si>
    <t>Procurement of Services for PPA Head Office 2nd Floor Concrete Deck Cladding and Waterproofing System</t>
  </si>
  <si>
    <t>ITB - Procurement of Security Personnel Services</t>
  </si>
  <si>
    <t>Contract I.D. No. 20OE0196 - Installation of Pumping Station (Mini Pump) at Barangay 598 Zone 59, Manila City</t>
  </si>
  <si>
    <t>Supply and delivery of one (1) lot Various FLOWERS including flower arrangement and motif service</t>
  </si>
  <si>
    <t>Supply and delivery of one (1) lot Various MEDALS</t>
  </si>
  <si>
    <t>Q-056-20 PROCUREMENT OF MEDICAL AND DENTAL INSTRUMENTS AND EQUIPMENT</t>
  </si>
  <si>
    <t>20FL0068-Construction of Protection Wall/Flood Control, Barangay Guruyan, Juban, Sorsogon Brgy. Guruyan, Juban, Sorsogon</t>
  </si>
  <si>
    <t>Procurement of Supply and delivery of one (1) unit Generator Set</t>
  </si>
  <si>
    <t>Supply and delivery of 12,099 pcs DIPLOMA HOLDER</t>
  </si>
  <si>
    <t>20GA0173-Construction of Multi-Purpose Building In Brgy. Tamalagon, Tangalan, Aklan</t>
  </si>
  <si>
    <t>ACCOMMODATION AND CONFERENCE PACKAGE for the Incident Command System Training Course: Position Courses on Incident Command System</t>
  </si>
  <si>
    <t>20AC0090 - Construction of Multi-Purpose Building, Magsingal, Ilocos Sur</t>
  </si>
  <si>
    <t>Supply and delivery of LEARNING MATERIALS (WORKSHEET/BOOKS) for Day Care Children</t>
  </si>
  <si>
    <t>SUPPLY, DELIVERY OF VARIOUS SPAREPARTS  AND LABOR  SERVICES FOR THE REPAIR AND MAINTENANCE OF THE ROAD ROLLER IN THE MUNICIPAL ENGINEERING NOFFICE, LGU TULUNAN, COTABATO</t>
  </si>
  <si>
    <t>20AC0091 - Construction of Multi-Purpose Building, Brgy. San Vicente, Magsingal, Ilocos Sur</t>
  </si>
  <si>
    <t>Construction of MRF Annex Building at Samal Ecological Park at San Juan, Samal, Bataan</t>
  </si>
  <si>
    <t>20GA0192-Concreting of Barangay Road Brgy. Unidos, Nabas, Aklan</t>
  </si>
  <si>
    <t>20IL0175 (LOCAL – BUILDINGS AND OTHER STRUCTURES – MULTI-PURPOSE/FACILITIES – LOCAL INFRASTRUCTURE PROGRAM, CONSTRUCTION/REHABILITATION OF DISTRICT ENGINEER’S OFFICE Contract Location	: IBARRA, MAASIN</t>
  </si>
  <si>
    <t>20AC0089 - Construction / Rehabilitation of Multi-Purpose Building, Poblacion East, San Ildefonso, Ilocos Sur</t>
  </si>
  <si>
    <t>20GA0128 - Construction/Rehabilitation of Kalibo Public Market, Kalibo, Aklan</t>
  </si>
  <si>
    <t>PR# 20-0621- To supply labor, materials and necessary equipment for the Construction of Two (2) Storey Multi-Purpose Building at Capitol Compound, Sto. Nino, City of San Fernando, Pampanga</t>
  </si>
  <si>
    <t>Acquisition of Two (2) Units 12 Seater Van (brand new) at Samal, Bataan</t>
  </si>
  <si>
    <t>20GA0171 - Construction of Multi-Purpose Building in Brgy. Poblacion, Tangalan, Aklan</t>
  </si>
  <si>
    <t>INVITATION TO BID-SECURITY SERVICE PROVIDER FOR A PERIOD OF ONE (1) YEAR</t>
  </si>
  <si>
    <t>20AC0054 - Concreting of Roads, Brgy. Poblacion East, San Ildefonso, Ilocos Sur</t>
  </si>
  <si>
    <t>HO-PIC20-001 (PB3) - 3 x 50 kW Modular Diesel Gensets, Associated Electrical Equipment and Balance of Plant for the Electrification of New Area in Sulu under Package 11A</t>
  </si>
  <si>
    <t>Procurement of Booklet/Tablet for the Office of the Secretary</t>
  </si>
  <si>
    <t>Procurement of Full Retrofitting, Rehabilitation, and Renovation of the DFA Building</t>
  </si>
  <si>
    <t>ITB-GS-20200218-01 - One (1) Lot Supply and Delivery of EMV VISA Debit Card and Paywave Debit Card for OFBANK</t>
  </si>
  <si>
    <t>ITB-GS-20200224-01 - Three (3) Years Managed Laser Print Services with Consumables</t>
  </si>
  <si>
    <t>Proposed Renovation of Roof System at MALE DORM BAKERY located at Pasay City Jail</t>
  </si>
  <si>
    <t>Contract ID No. 20FA0049: REPLACEMENT AND CONCRETING OF TRAMO BRIDGE WHICH CONNECTS BRGYS. STO. CRISTO AND SAN ROQUE TO BRGY. TAGAS AND NEIGHBORING BARANGAYS IN TABACO CITY, ALBAY</t>
  </si>
  <si>
    <t>ITB-GS-20200219-01 - Supply and Delivery of 1,100 Units Desktop Computer</t>
  </si>
  <si>
    <t>HO-LVD20-001 - Repair of Concrete Access Road to Pagbilao CFTPP at Brgy. Ibabang Polo, Pagbilao, Quezon</t>
  </si>
  <si>
    <t>20D00041 (Readv.) - CONSTRUCTION OF ADMINISTRATION BUILDING	HEADQUARTERS, CAMP GUILLERMO NAKAR, LUCENA CITY, QUEZON</t>
  </si>
  <si>
    <t>Provision of Security Services for Pag-IBIG Fund Central and Eastern Visayas Branches, Offices and Warehouses covering the period Y2020-2021</t>
  </si>
  <si>
    <t>20D00007-Const./Repair/Rehab./Improvement of Various Infrastructure incl. Local Projects Buildings and Other Structure Multipurpose/Facilities UNIVERSITY LIBRARY AND KNOWLEDGE CENTER (ULKC), UPLB, LOS</t>
  </si>
  <si>
    <t>HO-PIB20-007 - Design, Supply, Delivery, Test and Commissioning of Two (2) Units of 5MW Power Barge at Mooring Facility, Bo. Obrero, Iloilo City</t>
  </si>
  <si>
    <t>PROCUREMENT OF TIRES AND BATTERIES</t>
  </si>
  <si>
    <t>Procurement of One (1) Lot, Three (3) Years Private Security Agency (PSA) Services for CF-Davao and Apo View Satellite</t>
  </si>
  <si>
    <t>19D00059-CONSTRUCTION OF UPLB NANOSCIENCE AND TECHNOLOGY FACILITY, LAGUNA</t>
  </si>
  <si>
    <t>Package 10 of 10: Supply and Delivery of 3,697 pcs. 19mm.Ø (3/4”) Plastic Female Elbow, Compression Type (for CTS Pipe)</t>
  </si>
  <si>
    <t>Package 11 of 17: Supply and Delivery of 25 units Fire Hydrant Head 4"Ø (Angle Type) and 15 units Fire Hydrant Head 6"Ø (3-Way) (re-bidding)</t>
  </si>
  <si>
    <t>Package 7 of 17: Supply and Delivery of 22 pcs. Red Lead Primed and Cement Line Steel Pipe, 200mm. diameter x 6 meters  and 15 pcs. Red Lead Primed and Cement Line Steel Pipe, 350mm. diameter x 6 mete</t>
  </si>
  <si>
    <t>RE-BID 19-024-06 ALPHA "RUNWAY STRIP GRADE CORRECTION INCLUDING SLOPE PROTECTION AT MAASIN AIRPORT  (RE-BID)"</t>
  </si>
  <si>
    <t>Package 9 of 17: Supply and Delivery of 6,930 pcs. 19mm.Ø (3/4”) Plastic Union Coupling, Compression Type (for CTS Pipe)</t>
  </si>
  <si>
    <t>Package 6 of 17: Supply and Delivery of 15 lengths - Riser Pipe with Coupling, 10”Ø x 10 ft. (re-bidding)</t>
  </si>
  <si>
    <t>Package 4 of 17: Supply of Labor and Materials for the Production and Delivery of 19 pcs. Yellow Gold Bracelet with I.D Bar (18k, 12 grams)</t>
  </si>
  <si>
    <t>PB20-02-031COR - SUPPLY AND DELIVERY OF CARD PRINTER CONSUMABLES FOR PAGCOR’S EXISTING HITI CS200E CARD PRINTER</t>
  </si>
  <si>
    <t>IMPROVEMENT OF SAN POLICARPO FIRE STATION</t>
  </si>
  <si>
    <t>Package 3 of 17: Supply and Delivery of 305 pairs - Safety Shoes (various sizes)</t>
  </si>
  <si>
    <t>Package 5 of 17: Supply of Labor and Materials for The Production and Delivery of 22 Pieces Yellow Gold Ring with 0.30k 3rd Class Diamond Stone (18k, 6 Grams)</t>
  </si>
  <si>
    <t>Package 8 of 17: Supply and Delivery of 104 pcs. - 25mm.Ø Water Meter</t>
  </si>
  <si>
    <t>HO-PIG20-012 - Supply and Erection / Installation of TAP - USON 69kV Transmission Line Project</t>
  </si>
  <si>
    <t>Package 2 of 17: Supply and Delivery of 117 pcs. - Respiratory Mask  (Full Face Gas Mask) with inclusion of two (2) Cartridges</t>
  </si>
  <si>
    <t>S1-PWN19-033 - Supply of Two (2) Years Security Services for SPUG Palawan Operations Division (POD) Plants and Installations</t>
  </si>
  <si>
    <t>20AC0056 - Construction of Revetment Wall, Barangay Quibit-quibit, Sinait, Ilocos Sur</t>
  </si>
  <si>
    <t>SAFETY HARNESS,</t>
  </si>
  <si>
    <t>EXTENSION OF MULTI-PURPOSE BUILDING AT BRGY. MACATIW, CITY OF ALAMINOS, PANGASINAN</t>
  </si>
  <si>
    <t>WATER POTABILITY TESTING</t>
  </si>
  <si>
    <t>Supply of Materials for the Repair and Maintenance of COMMELEX &amp; NAVSENS  equipment of Five (5) C90 Aircraft (NV390, NV392, NV393, NV394 and NV395)</t>
  </si>
  <si>
    <t>Package 13 of 17: Supply and Delivery of 33 pcs. – D.I. Gate  Valve  Flange Type, 200mm. (8”), Non-Rising Stem with Operating Nut</t>
  </si>
  <si>
    <t>Supply and Delivery of Assorted Food Supplies, Paper Cups and Other Non-Food Supplies for VIP Bar (Lot 3)</t>
  </si>
  <si>
    <t>Supply and Delivery of Assorted Food Supplies, Paper Cups and Other Non-Food Supplies for VIP Bar (Lot 2)</t>
  </si>
  <si>
    <t>Supply and Delivery of Assorted Food Supplies, Paper Cups and Other Non-Food Supplies for VIP Bar (Lot 1)</t>
  </si>
  <si>
    <t>CONSTRUCTION OF MULTI-PURPOSE BUILDING AT BRGY. TANGCARANG, CITY OF ALAMINOS, PANGASINAN</t>
  </si>
  <si>
    <t>CONSTRUCTION OF WINGS OF MULTI-PURPOSE BUILDING AT BRGY. TELBANG, CITY OF ALAMINOS, PANGASINAN</t>
  </si>
  <si>
    <t>PROCUREMENT OF VARIOUS CONSTRUCTION, PLUMBING AND ELECTRICAL SUPPLIES-IB NO. 2020 08</t>
  </si>
  <si>
    <t>Supply of Materials for the Repair and Maintenance of COMMELEX and NAVSENS equipment of Three (3) Cessna Aircraft (NVT324, NVT330, NVT331) and One (1) R22 Helicopter (NHT421)</t>
  </si>
  <si>
    <t>REHABILITATION / UPGRADING OF FARM TO MARKET ROAD (SABANGAN PORTION) AT BRGY. SABANGAN, CITY OF ALAMINOS, PANGASINAN</t>
  </si>
  <si>
    <t>UPLB-S-042-03-20 (FORMERLY UPLB-S-120-12-19), UPGRADE / REHABILITATION OF INTERNET CONNECTION OF BIOTECH</t>
  </si>
  <si>
    <t>PROCUREMENT OF PROFESSIONAL/CONSULTING  SERVICE FOR THE CONDUCT OF AIR DISPERSION  MODELLING FOR THE PIESTTA AIRSHED</t>
  </si>
  <si>
    <t>Supply of Materials for the Repair and Maintenance of COMMELEX &amp; NAVSENS  equipment of Five (5) AW109 Helicopter (NH430, NH431, NV432, NH434, NH435) and Two (2) ASW159 Helicopter (NH440, NH441)</t>
  </si>
  <si>
    <t>Package 17 of 17: Supply and Delivery of 18,931 pcs. - G.I. Bushing, 19mm. x 12mm (Standard)</t>
  </si>
  <si>
    <t>Supply of 1 unit Side-by-side Refrigerator-Freezer, _PR 10660</t>
  </si>
  <si>
    <t>Package 14 of 17: Supply and Delivery of 328 pcs. D.I. Mechanical Sleeve Type Coupling, 100mm. (4”) Ø (Universal Type)</t>
  </si>
  <si>
    <t>Package 16 of 17: Supply and Delivery of 3,656 pcs. - G.I. Cross Tee, 19mm.Ø  (Standard)</t>
  </si>
  <si>
    <t>20AC0051 - Construction of Fuerte Road, Caoayan, Ilocos Sur</t>
  </si>
  <si>
    <t>Supply of Materials for the Repair and Maintenance of COMMELEX &amp; NAVSENS  equipment of Five (5) BNI Aircraft (NV310, NV311, NV312, NV314 and NV320)</t>
  </si>
  <si>
    <t>Package 15 of 17: Supply and Delivery of 650 pcs. – Valve Box Cover, 160mm. (Cast Iron or Ductile Iron)</t>
  </si>
  <si>
    <t>Supply, Delivery and Installation of Attendance Capturing Machines under ITB No. PB20-01-017COR</t>
  </si>
  <si>
    <t>Contract ID No. 19CSK00049 – Consultancy Services for the Conduct of Feasibility Study for Misamis Occidental Economic Zone Diversion Road (ReXPRIP-29), Misamis Occidental 1st and 2nd Legislative Dist</t>
  </si>
  <si>
    <t>PB-Supply, Delivery, Installation, Testing and Commissioning of Airconditioning Units at Psychiatry Department (1 Lot)(ITB No. 2020-09)</t>
  </si>
  <si>
    <t>Contract ID No. 19CSK00048 – Consultancy Services for the Conduct of Feasibility Study for Tubod-Kapatagan Bypass Road, Sapad-Pualas Road, Kauswagan-Poona Piagapo-Marantao Road, Balo-i Bypass Road, (R</t>
  </si>
  <si>
    <t>Procurement of Cloud Subscription/Services for the National Electrification Administration's NEA BIT Project</t>
  </si>
  <si>
    <t>Contract ID No. 20FA0048: CLUSTER 27 CONSTRUCTION OF WATER SYSTEM IN THE FIRST DISTRICT OF ALBAY</t>
  </si>
  <si>
    <t>20GO0038 - WIDENING/IMPROVEMENT/ UPGRADING OF HONORATA MANALO (BURI ROAD), BRGY. MANDALAGAN , BACOLOD CITY</t>
  </si>
  <si>
    <t>20NG0085/CONSTRUCTION (COMPLETION) OF MULTI-PURPOSE BUILDING/  BRGY. CAGNIOG, SURIGAO CITY, SURIGAO DEL NORTE</t>
  </si>
  <si>
    <t>Procurement for the Repair of Classrooms at Lanao del Norte Provincial Science and Technology High School under CY 2020 BEFF - Lot 6 (Rebid)</t>
  </si>
  <si>
    <t>UPLB-S-044-03-20, SUPPLY, DELIVERY AND INSTALLATION OF BRANDED AND BRAND NEW VARIOUS LABORATORY EQUIPMENT</t>
  </si>
  <si>
    <t>20NG0084/REHABILITATION/RECONSTRUCTION OF  NATIONAL ROADS WITH SLIPS, SLOPE COLLAPSE AND LANDSLIDE, SURIGAO-DAVAO COASTAL ROAD, WANGKE SECTION/  BRGY. WANGKE, CLAVER, SURIGAO DEL NORTE, K1183+670 - K1</t>
  </si>
  <si>
    <t>Contract ID No. 20FA0047: CLUSTER 26 WIDENING AND CONCRETING OF BANAO-BICAL ROAD, BACACAY AND STO. DOMINGO, ALBAY AND REHABILITATION OF PAWA-TULIW-LABNIG-ESTANCIA-PARAPUTO ROAD, MALINAO AND TABACO CIT</t>
  </si>
  <si>
    <t>R4-INFRA2020-01-004 Construction of 1-Unit Materials Recovery Facility (MRF) &amp; 1-Unit, 2-Classroom Day Care Center, Package 1 located at Southville 9 Housing Project - Phase 4, Brgy. Pinugay, Baras, R</t>
  </si>
  <si>
    <t>UPLB-S-031-03-20, SUPPLY AND DELIVERY OF BRANDED AND BRAND NEW INFORMATION TECHNOLOGY PARTS, ACCESSORIES AND PERIPHERALS</t>
  </si>
  <si>
    <t>S3-SIB20-002 - Renovation of Powerhouse and Facilities Improvements for Sibutu Diesel Power Plant</t>
  </si>
  <si>
    <t>R4-INFRA2020-01-003 Construction of 1-Unit Multi-Purpose Livelihood and Training Center located at Southville 8B Housing Project - Phase 2, Brgy. San Isidro, Rodriguez, Rizal</t>
  </si>
  <si>
    <t>20AC0053 - Construction of Tamurong Seawall, Brgy. Tamurong, Sta. Catalina, Ilocos Sur</t>
  </si>
  <si>
    <t>20AC0055 - Construction of Road From Brgy. Cuta - Brgy. Tamag, Vigan City, Ilocos Sur</t>
  </si>
  <si>
    <t>HO-PIB20-006 - Repair of Dike / Seawall and Repair / Restoration of CHB Perimeter Fence of NPC Property at BO. Obrero, Iloilo City</t>
  </si>
  <si>
    <t>20BG0116-Repair of Overflow Bridge in Turod-Banquero, Reina Mercedes, Isabela</t>
  </si>
  <si>
    <t>Purchase of Solid Waste Management Equipments</t>
  </si>
  <si>
    <t>UPLB-RES-024-03-20  SUPPLY AND DELIVERY OF BRANDED AND BRAND NEW APPLIANCES FOR IHNF</t>
  </si>
  <si>
    <t>CP 2020-33 BIDDING FOR THE SUPPLY AND DELIVERY OF ONE (1) UNIT SERVICE VEHICLE C/O DEPED</t>
  </si>
  <si>
    <t>Supply, Installation, Testing and Commissioning, and Maintenance of Elevators of the Proposed 23-Storey PSA Building with Roof Deck</t>
  </si>
  <si>
    <t>20AC0052 - Improvement of Vigan - Bantay Bypass Road, Brgy. Nagsangalan, Vigan City, Ilocos Sur</t>
  </si>
  <si>
    <t>Procurement and Delivery of ICT Equipment</t>
  </si>
  <si>
    <t>20NG0083/REHABILITATION/RECONSTRUCTION OF  NATIONAL ROADS WITH SLIPS, SLOPE COLLAPSE AND LANDSLIDE, SURIGAO-DAVAO COASTAL ROAD, HINATIGAN SECTION/  BGRY. HINATIGAN, BACUAG, SURIGAO DEL NORTE, K1160+31</t>
  </si>
  <si>
    <t>20BK0129  Water Distribution System for Cabarroguis and Diffun,  Quirino</t>
  </si>
  <si>
    <t>Fabrication Laboratory Equipment for RDC</t>
  </si>
  <si>
    <t>Supply and Delivery of Various Equipment for OSAS – NSTP</t>
  </si>
  <si>
    <t>Package 12 of 17: Supply and Delivery of 100 pcs. – D.I. Gate  Valve  Flange Type 100mm. (4”), Non-Rising Stem with Operating Nut</t>
  </si>
  <si>
    <t>20BK0130  Water Distribution System for Maddela,  Quirino</t>
  </si>
  <si>
    <t>Supply and delivery of one (1) unit Rapid Damage Assessment and Needs Analysis (RDANA) Vehicle</t>
  </si>
  <si>
    <t>Supply and delivery of one (1) unit RESCUE AMBULANCE, customized and equipped with accessories</t>
  </si>
  <si>
    <t>Supply and delivery of one (1) lot Various COMPUTER SUPPLIES - 1st Qtr 2020</t>
  </si>
  <si>
    <t>S1-SID20-001 (PB2) - Supply and Delivery of Mechanical Spare Parts for 3 x 600kW Cummins Diesel Engine Model KTA38-G1 of Sibuyan DPP</t>
  </si>
  <si>
    <t>Supply and Delivery of Two (2) Lots Food Supplies for VIP Bar-Cooked, Canned and Processed Food Items</t>
  </si>
  <si>
    <t>20NG0082/REHABILITATION/RECONSTRUCTION OF  NATIONAL ROADS WITH SLIPS, SLOPE COLLAPSE AND LANDSLIDE, SURIGAO-DAVAO COASTAL ROAD, CABUGO SECTION/  BRGY. CABUGO, CLAVER, SURIGAO DEL NORTE, K1183+947 - K1</t>
  </si>
  <si>
    <t>Procurement of Student Personal Accident Insurance AY 2020-2021</t>
  </si>
  <si>
    <t>Supply and delivery of Air Conditioning Unit in Mamburao, Occidental Mindoro</t>
  </si>
  <si>
    <t>PR# 19-2645- Consolidated Computer Supplies  (Re-bidding)</t>
  </si>
  <si>
    <t>Invitation to Bid for the Procurement of Disaster Recovery Site (Cloud)</t>
  </si>
  <si>
    <t>INVITATION TO BID to the 4th Public Bidding of the Procurement for the Site Development Works for the NDC Industrial Estate (NDCIE)Project in Brgy. Langkaan, Dasmariñas City, Cavite</t>
  </si>
  <si>
    <t>CONSTRUCTION OF BARCELONA FIRE STATION, SORSOGON</t>
  </si>
  <si>
    <t>CONSTRUCTION OF SIPOCOT FIRE STATION, CAMARINES SUR</t>
  </si>
  <si>
    <t>20-DO-0067: LOCAL PROGRAM - Local Infrastructure Program – Buildings and Other Structures – Multipurpose/Facilities – Construction and/or Repair/ Rehabilitation of Multi-Purpose Building, Brgy. Rizal,</t>
  </si>
  <si>
    <t>R&amp;D-OA-20-1744: Procurement of Various Animal Feeds</t>
  </si>
  <si>
    <t>CONSTRUCTION OF GOA FIRE STATION, CAMARINES SUR</t>
  </si>
  <si>
    <t>UPLB-RES-026-03-20  PROCUREMENT OF DIAGNOSTIC AND LABORATORY SERVICES FOR BIOTECH</t>
  </si>
  <si>
    <t>UPLB-RES-025-03-20  SUPPLY AND DELIVERY OF BRANDED AND BRAND NEW LABORATORY AND SCIENTIFIC EQUIPMENT FOR IHNF</t>
  </si>
  <si>
    <t>20HD0089 - Repair/Maintenance including Road Slips, Sitio Anapog, Brgy. Tinubdan, Daanbantayan, Cebu</t>
  </si>
  <si>
    <t>20NG0080 - REHABILITATION/ RECONSTRUCTION OF NATIONAL ROADS WITH SLIPS, SLOPE COLLAPSE AND LANDSLIDE, SURIGAO-DAVAO COASTAL ROAD CAGDIANAO SECTION/ BRGY. CAGDIANAO, CLAVER, SURIGAO DEL NORTE K1195+867</t>
  </si>
  <si>
    <t>Supply and Delivery of Microsoft Office Home and Business for Installation in the Computers with Installed Ubuntu Operating System in the Main and Field Offices of the Commission – 2nd Bidding</t>
  </si>
  <si>
    <t>Supply and Delivery of 13,590 Bottles of Five (5)-Gallon Purified Drinking Water under ITB no. PB20-02-003MAL</t>
  </si>
  <si>
    <t>UPLB-IF-014-03-20 IMPROVEMENT OF ACCOUNTING OFFICE, A.G. SAMONTE HALL BUILDING, UPLB, COLLEGE, LAGUNA</t>
  </si>
  <si>
    <t>CONSTRUCTION OF DEL GALLEGO FIRE STATION, CAMARINES SUR</t>
  </si>
  <si>
    <t>UPLB-S-033-03-20, SUPPLY, DELIVERY AND INSTALLATION OF BRANDED AND BRAND NEW AUDIO VISUAL EQUIPMENT</t>
  </si>
  <si>
    <t>ITB No. 20-044 Supply and Delivery of Various Rice in Sacks/Packs (Line Bidding)</t>
  </si>
  <si>
    <t>Procurement of Various Library Books  for ULRC and COM (Re-bidding)</t>
  </si>
  <si>
    <t xml:space="preserve">20-DO-0068: LOCAL PROGRAM - Local Infrastructure Program – Buildings and Other Structures – Multipurpose/Facilities – Construction of Multi-Purpose Building (Barangay Health Center), Dela Costa Homes </t>
  </si>
  <si>
    <t>Supply and delivery of Tires for Sinotruck</t>
  </si>
  <si>
    <t>Pag-IBIG Fund CHQ (Supply and Delivery of Five (5) Units Sports Utility Vehicle (SUV) – (Rebidding))</t>
  </si>
  <si>
    <t>LOT 2 - Supply and Delivery of Electrical/ Lighting Materials  - ITB No. PB20-02-030COR</t>
  </si>
  <si>
    <t>Supply and Delivery of Assorted Fertilizer in Marinduque</t>
  </si>
  <si>
    <t>UPLB-CSLT-001-03-20 DETAILED ARCHITECTURAL AND ENGINEERING DESIGN (DAED) OF THE PROPOSED PILOT PLANT AND SCREENHOUSES FOR BIOFERTILIZERS, BIOSTIMULANTS AND BIOPESTICIDES AT BIOTECH-UPLB</t>
  </si>
  <si>
    <t>LOT 3 - Supply and Delivery of Plumbing Materials  - ITB No. PB20-02-030COR</t>
  </si>
  <si>
    <t>UPLB-S-032-03-20, PROCUREMENT FOR REHABILITATION/UPGRADE OF INTERNET CONNECTION FOR VARIOUS OFFICES</t>
  </si>
  <si>
    <t>Supply of Materials Parts for the SMI and ARAS of NAW Units (NV390, NV392, NV393, NV394 &amp; NV395)</t>
  </si>
  <si>
    <t>Supply of Materials/Parts for the SMI and ARAS of NAW Units (NV310, NV311, NV312, NV314 &amp; NV320)</t>
  </si>
  <si>
    <t>HO-PIG20-004 (SO-OPD19-005) (PB3) - Supply, Delivery, Installation, Test and Commissioning of Eight (8) Units of 50KW Modular Diesel Gensets, Associated Electrical Equipment and Balance of Plant for D</t>
  </si>
  <si>
    <t>UPLB-S-034-03-20, SUPPLY AND DELIVERY OF BRANDED AND BRAND NEW VARIOUS OFFICE EQUIPMENT</t>
  </si>
  <si>
    <t>UPLB-S-039-03-20, SUPPLY, DELIVERY AND INSTALLATION OF BRANDED AND BRAND NEW VARIOUS APPLIANCES</t>
  </si>
  <si>
    <t>ITB-GS-20200204-01 - 1 Lot Supply, Delivery &amp; Installation of Signage, ATM Acrylic Frame Panels, Glass Panel Stickers, Rehabilitation of ATM Sunshade, Dismantling of Existing Signage &amp; Removal of Exis</t>
  </si>
  <si>
    <t>HO-PIB20-008 - Rehabilitation/Improvement of Mooring Facility at BO. OBRERO, ILOILO CITY</t>
  </si>
  <si>
    <t>UPLB-S-037-03-20, SUPPLY AND DELIVERY OF BRANDED AND BRAND NEW VARIOUS AGRICULTURAL MACHINERY AND EQUIPMENT</t>
  </si>
  <si>
    <t>73515 - Supply and Delivery of Brass Fittings and Valves in Various Types and Sizes</t>
  </si>
  <si>
    <t>Procurement of Various Office Supplies (BAC 2020-018)</t>
  </si>
  <si>
    <t>LOT 4 - Supply and Delivery of Lumber Materials  - ITB No. PB20-02-030COR</t>
  </si>
  <si>
    <t>LOT 1 - Supply and Delivery of Construction/ Hardware Materials  - ITB No. PB20-02-030COR</t>
  </si>
  <si>
    <t>UPLB-S-038-03-20, SUPPLY AND DELIVERY OF BRANDED AND BRAND NEW VARIOUS WINDOW TYPE AIRCONDITIONING UNITS</t>
  </si>
  <si>
    <t>Supply and delivery of one (1) lot Various OFFICE EQUIPMENT (1st Qtr 2020)</t>
  </si>
  <si>
    <t>SO-OPD20-005 (PB2) - Eight (8) Units of Modular Diesel Generating Sets and Electrical Equipment for Panay and Agutaya SPUG Areas under Schedule IID</t>
  </si>
  <si>
    <t>Procurement of Various IT Supplies and Equipment (BAC 2020-012)</t>
  </si>
  <si>
    <t>73516 - Supply and Delivery of Assorted Galvanized Iron (GI) Pipes and Fittings in Various Sizes</t>
  </si>
  <si>
    <t>One Job Order for the Supply and Delivery of Immunoassay Test kits and Consumables with free use of One (1) Unit Fully Automated Chemiluminescent Immunoassay (CLIA) Analyzer (BAC 2020-019)</t>
  </si>
  <si>
    <t>One Job Order for the Supply and Delivery of Rapid Quantitative Fluorescence Immunochromatographic Assay Test kits and Consumables with free use of One (1) Unit Fluorescence Immunochromatographic Anal</t>
  </si>
  <si>
    <t>BulSU Technical assistance for ISO 9001:2015 QMS Surveillance Audit 2020-2022</t>
  </si>
  <si>
    <t>Supply and Delivery of Printer Toner Cartridges for Replenishment of Stocks for 1st Quarter FY 2020</t>
  </si>
  <si>
    <t>Supply and delivery of  10,000 sets DAYCARE P.E. UNIFORMS</t>
  </si>
  <si>
    <t>SO-OPD20-002 (PB2) - Thirty-One (31) Units of Modular Diesel Generating Sets and Electrical Equipment for Samar SPUG Areas under Schedule IIA</t>
  </si>
  <si>
    <t>UPLB-CSLT-002-03-20 DETAILED ARCHITECTURAL AND ENGINEERING DESIGN (DAED) OF THE PROPOSED CONSTRUCTION OF THE ELECTRICAL ENGINEERING BUILDING PHASE 2.</t>
  </si>
  <si>
    <t>HO-PIG20-002 (PB3) - Seven (7) Units of Modular Diesel Gensets and Associated Electrical Equipment for Three (3) Areas of Barangay Power Association (BAPA) in Palawan</t>
  </si>
  <si>
    <t>S3-PPP20-001 (PB2) - Construction of Operator's Quarter and Rain Water Collector for Pangutaran DPP, Pangutaran, Sulu</t>
  </si>
  <si>
    <t>20CG0119 - Local Infrastructure Program: Multipurpose/ Facilities – Construction of Multi-Purpose Building, Brgy Alasas, San Fernando City, Pampanga</t>
  </si>
  <si>
    <t>LOT 6 - Supply and Delivery of Upholstery Materials - ITB No. PB20-02-030COR</t>
  </si>
  <si>
    <t>Supply and Delivery of Sheet Fed Scanners for the Document Management System (DMS) Project of the Commission</t>
  </si>
  <si>
    <t>20HN0107 -LP: Construction/Repair/ Rehabilitation/Improvement of  Various Infrastructure including Local Projects - Local Roads  and Bridges - Local Roads - Construction of Skywalk,  Barangay Pusok, L</t>
  </si>
  <si>
    <t>One Job Order for the Supply and Delivery of ABG Reagent Kits with Free Use of One (1) Unit ABG Analyzer for a Period of One (1) Year (BAC 2020-015)</t>
  </si>
  <si>
    <t>LOT 5 - Supply and Delivery of Painting Materials - ITB No. PB20-02-030COR</t>
  </si>
  <si>
    <t>One (1) Lot – Upgrading of Gates of BSP Tacloban Branch Office, as per BSP Terms of Reference</t>
  </si>
  <si>
    <t>20HN0104 -LP: Local Infrastructure Program -Local Roads and Bridges – Local Bridges - Widening/Retrofitting of Opao Bridge, Mandaue City (Modified to: Widening of Opao Bridge, Mandaue City)</t>
  </si>
  <si>
    <t>PROCUREMENT OF VARIOUS LABORATORY SUPPLIES (BAC 2020-016)</t>
  </si>
  <si>
    <t>UPLB-S-030-03-20, PROCUREMENT OF SIPHONING SERVICES OF SEPTIC TANKS FOR UPLB DORMITORIES (NEW DORMITORY, VETMED DORMITORY, FORESTRY RESIDENCE HALL, NEW FORESTRY RESIDENCE HALL)</t>
  </si>
  <si>
    <t>Anesthesia Flex Mask</t>
  </si>
  <si>
    <t>Procurement of supply and delivery of services for equipment calibration</t>
  </si>
  <si>
    <t>Breathing Circuit</t>
  </si>
  <si>
    <t>ITB-GS-20190807-01 - Supply, Delivery and Installation of Digital Corner Counter at Various LANDBANK Offices</t>
  </si>
  <si>
    <t>Airway Oropharyngeal guide</t>
  </si>
  <si>
    <t>ITB-CW-20200124-01 - LANDBANK Marawi (Lanao del Sur) Building Construction</t>
  </si>
  <si>
    <t>ITB-CW-20200121-01 - LANDBANK Baguio Corporate Center Building Construction</t>
  </si>
  <si>
    <t>Network Development – Road Widening – Primary Roads, Manila North Road, K0087+701 – K0089+402, K0090+854 – K0091+104, Mabalacat City, Pampanga</t>
  </si>
  <si>
    <t>20JD0094 - Construction of Water System Level II Barangay Owaon, Dapitan City Zamboanga del Norte</t>
  </si>
  <si>
    <t>Contract ID No. 19CSK00044 - Soil Testing/ Exploration for Bridge Projects-Geotechnical Investigation for the Construction of By-Pass and Diversion Roads, Eastern Interior By-Pass Road (Gusa Puerto/ J</t>
  </si>
  <si>
    <t>Contract I.D. No. 20OE0114 - Rehabilitation of School Building at Gen. Licerio Geronimo School, Barangay 412, Manila</t>
  </si>
  <si>
    <t>Contract ID No. 19CSK00043 - Soil Testing/ Exploration for Bridge Projects-Geotechnical Investigation for the Construction of By-Pass and Diversion Roads, CDO-New Western Diversion Road, (Canito-an-Ca</t>
  </si>
  <si>
    <t>Contract I.D. No. 20OE0108 - Rehabilitation of School Building at P. Burgos Elementary School, Barangay 581, Manila</t>
  </si>
  <si>
    <t>20JD0100 - Construction of Water Supply System Level III Barangay Sulangon-Barangay Burgos Dapitan City, Zamboanga del Norte</t>
  </si>
  <si>
    <t>Contract ID No. 19CSK00042 - Soil Testing/ Exploration for Bridge Projects-Geotechnical Investigation of the Construction of By-Pass and Diversion Roads, Puerto-Claveria By-Pass Road, Package 5, Misam</t>
  </si>
  <si>
    <t xml:space="preserve">20A00152: Construction/ Repair/ Rehabilitation/ Improvement of Various Infrastructure including Local Projects - Construction of Riverbank Protection along Agno River Basin at Brgy. Panacol, Aguilar, </t>
  </si>
  <si>
    <t>Contract I.D. No. 20OE0192 - Construction of Multi – Purpose Building at the Department of Social Welfare and Development – National Cpital Region, Manila</t>
  </si>
  <si>
    <t>Cast Polyester</t>
  </si>
  <si>
    <t>20NG0060 - REHABILITATION/RECONSTRUCTION OF NATIONAL ROADS WITH SLIPS, SLOPE COLLAPSE AND LANDSLIDE, SURIGAO-DAVAO COASTAL ROAD, HAYANGGABON SECTION/BRGY. HAYANGGABON, CLAVER, SURIGAO DEL NORTE, K1195</t>
  </si>
  <si>
    <t>Construction of Drainage Facility</t>
  </si>
  <si>
    <t>Contract I.D. No. 20OE0193 - Improvement of Multi – Purpose Facilities, Brgy. 617, Manila City</t>
  </si>
  <si>
    <t>Contract I.D. No. 20OE0194 - Construction of Multi – Purpose Buildings ( Daycare Centers), Manila City</t>
  </si>
  <si>
    <t>Procurement of supply and delivery of ICT</t>
  </si>
  <si>
    <t>Contract I.D. No. 20OE0190 - Continuation of Multi – Purpose Building, Brgy. 259, Tondo, Manila</t>
  </si>
  <si>
    <t>Contract I.D. No. 20OE0191 - Rehabilitation / Reconstruction / Improvement of Multi – Purpose Building, Patricia Paraiso Complex, Brgy. 177, Tondo, Manila</t>
  </si>
  <si>
    <t>Contract I.D. No. 20OE0187 - Preventive Maintenance – Secondary Roads – Plaza Sta. Cruz – (S02423LZ) (FLR) Chainage 000 – Chainage 104, Manila City</t>
  </si>
  <si>
    <t>20HN0097 -LP: Construction/Repair/ Rehabilitation/Improvement of Various Infrastructure including Local Projects - Local Roads and Bridges - Local Roads - Construction of Diversion Road, Brgy. Garing,</t>
  </si>
  <si>
    <t>Contract I.D. No. 20OE0188 - Rehabilitation of Multi – Purpose Building (Bacood Health Center), Manila</t>
  </si>
  <si>
    <t>20NG0030 - NETWORK DEVELOPMENT PROGRAM: ROAD WIDENING- PRIMARY ROADS, DAANG MAHARLIKA (SURIGAO-AGUSAN SECTION), K1160+784.00 - K1162+084.72, K1163+600.00 - K1163+660.00/ ALEGRIA, SURIGAO DEL NORTE</t>
  </si>
  <si>
    <t>Contract I.D. No. 20OE0195 - Re – Development of Estero de Binondo, Dasmariñas St., Brgy. 282, Zone 26, District 3, Manila</t>
  </si>
  <si>
    <t>20FO0062-Widening of Permanent Bridges - Agos Bridge (B00279LZ) along Daang Mahalika (LZ)</t>
  </si>
  <si>
    <t>Contract ID: 20KH0027 Asset Preservation – Rehabilitation/Reconstruction of National Roads with Slips, Slope Collapse, and Landslide – Tertiary Roads – Lumbia-Uguiaban By-Pass Rd – (S00618MN) Chainage</t>
  </si>
  <si>
    <t>Supply and Delivery of Aircondition Units for CvSU Gentri Campus</t>
  </si>
  <si>
    <t>20OH0121-Local Program - Local Infrastructure Program - Flood Control and Drainage - Drainage / Protection Works - Drainage and Protection Works at Estero Tripa de Gallina – Maricaban Creek, Pasay Cit</t>
  </si>
  <si>
    <t>20A00158: Local Infrastructure Program - Construction of Slope Protection Works along Pangasinan - Nueva Vizcaya Road K0224+680 - K0224+920, San Nicolas, Pangasinan</t>
  </si>
  <si>
    <t>Contract I.D. No. 20OE0189 - Rehabilitation of Multi – Purpose Building, Brgy 636, Sta. Mesa, Manila</t>
  </si>
  <si>
    <t>INVITATION TO BID  FOR THE CONSTRUCTION OF 4-STOREY W/ ROOF DECK ACADEMIC BUILDING (PHASE II-STRUCTURE)</t>
  </si>
  <si>
    <t>(19Z00011) PR-01a, Gutalac-Baliguian Alternative Road, Zamboanga Del Norte, K2027+802.62–K2055+764.93</t>
  </si>
  <si>
    <t>INVITATION TO BID FOR THE UPGRADING OF VMMC ELECTRICAL SYSTEM (PHASE 2) (Rebidding)</t>
  </si>
  <si>
    <t>Contract ID: 20KH0030 Asset Preservation – Preventive Maintenance – Secondary Roads – Carmen-Patag  Bulua Rd (S00584MN) Chainage 000-Chainage 400, K1440+660-K1442+000, K1443+328-K1443+581, Cagayan de</t>
  </si>
  <si>
    <t>Construction of two storey four classroom school building Meyto Elementary School, Calumpit, Bulacan</t>
  </si>
  <si>
    <t>20N00002; NRJ CUEVAS – BISLIG RD- K1379+800 – K1382+558, K1382+777.3 – K1384+020, AGUSAN DEL SUR</t>
  </si>
  <si>
    <t>Supply and Delivery of Semi-Expendable Office Furniture for CvSU Gentri Campus</t>
  </si>
  <si>
    <t>Procurement of Maintenance Supplies</t>
  </si>
  <si>
    <t>20A00157: Construction/ Repair/ Rehabilitation/ Improvement of Various Infrastructure including Local Projects, Construction of Slope Protection Works along Pangasinan - Nueva Vizcaya Road K0214+970 -</t>
  </si>
  <si>
    <t>Supply and Delivery of Sports Equipment for CvSU Gentri Campus</t>
  </si>
  <si>
    <t>Supply and Delivery of Kitchenware for CvSU Trece Martires City Campus</t>
  </si>
  <si>
    <t>20CG0026 - Replacement of Permanent Weak Bridges-Lagundi Br. (B01477LZ) along Jose Abad Santos Ave. (JASA), Mexico, Pampanga</t>
  </si>
  <si>
    <t>Supply and Delivery of Semi-Expendable ICT Equipment for CvSU Gentri Campus</t>
  </si>
  <si>
    <t>20A00156: Construction/ Repair/ Rehabilitation/ Improvement of Various Infrastructure including Local Projects, Construction of Slope Protection Works along Pangasinan - Nueva Vizcaya Road K0211+150 -</t>
  </si>
  <si>
    <t>Supply and Delivery of Books for CvSU Trece Martires City Campus</t>
  </si>
  <si>
    <t>Supply and Delivery of Furniture for CvSU Bacoor Campus</t>
  </si>
  <si>
    <t>20N00050; LIANGA COASTAL BYPASS ROAD (SDCR ALTERNATE ROUTE), SURIGAO DEL SUR</t>
  </si>
  <si>
    <t>20HD0017 - Construction of Multi-Purpose Building, Brgy. Taba-ao, Tabogon, Cebu</t>
  </si>
  <si>
    <t>PROPOSED REHABILITATION OF POTOL BRGY. HALL</t>
  </si>
  <si>
    <t>PB No. 19-341-7 Engineering, Procurement, Construction and Commissioning (EPCC) Contract for the Subic-Clark Railway Project for the Department of Transportation (DOTr)</t>
  </si>
  <si>
    <t>Supply and Delivery of Various Supplies and Equipment for Information Center of Agri-Eco Tourism Park at CvSU Indang Campus</t>
  </si>
  <si>
    <t>Supply and Delivery of Various Office Supplies and Equipment for OSAS-NSTP</t>
  </si>
  <si>
    <t>Supply and Delivery of Photocopying Machine for OSAS-NSTP of CvSU Indang Campus</t>
  </si>
  <si>
    <t>Supply and Delivery of Office Furniture for CvSU Imus Campus</t>
  </si>
  <si>
    <t>Supply and Delivery of Various Equipment for CvSU Silang Campus</t>
  </si>
  <si>
    <t>Supply and Deivery of ICT Equipment for CvSU General Trias Campus</t>
  </si>
  <si>
    <t>Supply and Delivery of Laptop Computer For CvSU Imus Campus</t>
  </si>
  <si>
    <t>Contract ID: 20KH0029 Asset Preservation – Construction/Upgrading/Rehabilitation of Drainage along National Roads – Primary Roads – Butuan City – Cagayan de Oro City – Iligan City Road – K1439+700-K14</t>
  </si>
  <si>
    <t>Supply and Delivery of Software Program for CEIT - CvSU Indang Campus</t>
  </si>
  <si>
    <t>Supply and Delivery of Various Supplies and Materials for CED-HEVTED CvSU Main Campus</t>
  </si>
  <si>
    <t>Supply and Delivery of Janitorial Supplies for CvSU Bacoor Campus</t>
  </si>
  <si>
    <t>Contract I.D. No. 20OE0138 - Rehabilitation of Roads and Drainage at Cordillera St. and Ext., Manila</t>
  </si>
  <si>
    <t>REHABILITATION OF BARANGAY STREETS</t>
  </si>
  <si>
    <t>Supply, Delivery and Installation of Office Equipment for CvSU Bacoor Campus</t>
  </si>
  <si>
    <t>Supply and Delivery of Office Supplies and Devices at CvSU Bacoor Campus</t>
  </si>
  <si>
    <t>Supply and Delivery of Various Laboratory Equipment for CED-SHS CvSU Indang Campus</t>
  </si>
  <si>
    <t>Supply and Delivery of Psychological Test Material for CvSU Bacoor Campus</t>
  </si>
  <si>
    <t>20KA0101(Readvertisement) Cluster 2 1.) Construction of Flood Control Structure along Malaybalay -Gingoog Road (Kulaman Br.), Malaybalay City, Bukidnon 2.) Construction of Flood Control Structure alon</t>
  </si>
  <si>
    <t>Supply and Delivery of Disaster Response and Rescue Equipment for CvSU Carmona Campus</t>
  </si>
  <si>
    <t>Supply and Delivery of Sports Equipment for CvSU Carmona Campus</t>
  </si>
  <si>
    <t>Supply and Delivery of Various Equipment for CvSU Carmona Campus</t>
  </si>
  <si>
    <t>Supply and Delivery of Laboratory Supplies and Equipment for CvSU Carmona Campus</t>
  </si>
  <si>
    <t>Supply and Delivery of Laboratory Devices and Equipment for CED-SHS CvSU Indang Campus</t>
  </si>
  <si>
    <t>20L00108 : Construction of Concrete Road-NHJ Dawan-Mamali-Macambol-Magum-Cabuaya Road, Mati City, Package 2, Davao Oriental</t>
  </si>
  <si>
    <t>Supply and Delivery of Various Office Supplies and Equipment for CvSU Tanza Campus</t>
  </si>
  <si>
    <t>Supply and Delivery of Various Office Equipment for CvSU Bacoor Campus</t>
  </si>
  <si>
    <t>Contract ID No. 20FA0040: CLUSTER 22 - REHABILITATION/CONSTRUCTION/IMPROVEMENT OF VARIOUS RIVER CONTROL AT STO. DOMINGO, MALINAO AND MALILIPOT, ALBAY</t>
  </si>
  <si>
    <t>Contract I.D. No. 20OE0166 - Construction of 3 Storey Multi – purpose Building, Brgy. 282, Manila</t>
  </si>
  <si>
    <t>Supply and Delivery of Office Equipment for CvSU Tanza Campus</t>
  </si>
  <si>
    <t>Contract I.D. No. 20OE0173 - Rehabilitation / Reconstruction / Improvement of Multi-purpose Building, Brgy. 152, Tondo, Manila</t>
  </si>
  <si>
    <t>Contract I.D. No. 20OE0185 - Construction of Multi-Purpose Building (Rizal Covered Court), City of Manila</t>
  </si>
  <si>
    <t>Needle &amp; Blade</t>
  </si>
  <si>
    <t>Supply and Delivery of Chair and Tent for CvSU Gentri Campus</t>
  </si>
  <si>
    <t>Cervical Collar</t>
  </si>
  <si>
    <t>Stylet, Pedia</t>
  </si>
  <si>
    <t>Supply and Delivery of Pet Bottles for EBA – Water Refilling Station Unit</t>
  </si>
  <si>
    <t>ITB No. 20-040 Supply and Delivery of Various Housekeeping Supplies (Line Bidding)</t>
  </si>
  <si>
    <t>Batangas</t>
  </si>
  <si>
    <t>Davao Del Sur</t>
  </si>
  <si>
    <t>La Union</t>
  </si>
  <si>
    <t>Negros Occidental</t>
  </si>
  <si>
    <t>Cavite</t>
  </si>
  <si>
    <t>Palawan</t>
  </si>
  <si>
    <t>Quezon</t>
  </si>
  <si>
    <t>Pampanga</t>
  </si>
  <si>
    <t>Iloilo</t>
  </si>
  <si>
    <t>Camarines Sur</t>
  </si>
  <si>
    <t>Bukidnon</t>
  </si>
  <si>
    <t>Samar</t>
  </si>
  <si>
    <t>Pangasinan</t>
  </si>
  <si>
    <t>Cebu</t>
  </si>
  <si>
    <t>Occidental Mindoro</t>
  </si>
  <si>
    <t>Misamis Oriental</t>
  </si>
  <si>
    <t>Leyte</t>
  </si>
  <si>
    <t>Albay</t>
  </si>
  <si>
    <t>Catanduanes,Masbate,Sorsogon</t>
  </si>
  <si>
    <t>Eastern Samar</t>
  </si>
  <si>
    <t>Tarlac</t>
  </si>
  <si>
    <t>Agusan Del Sur</t>
  </si>
  <si>
    <t>Zamboanga Del Sur</t>
  </si>
  <si>
    <t>Metro Manila</t>
  </si>
  <si>
    <t>Davao Oriental</t>
  </si>
  <si>
    <t>Guimaras</t>
  </si>
  <si>
    <t>Ilocos Sur</t>
  </si>
  <si>
    <t>Aklan</t>
  </si>
  <si>
    <t>Camarines Norte</t>
  </si>
  <si>
    <t>Ilocos Norte</t>
  </si>
  <si>
    <t>Cotabato</t>
  </si>
  <si>
    <t>Oriental Mindoro</t>
  </si>
  <si>
    <t>Negros Oriental</t>
  </si>
  <si>
    <t>Sarangani</t>
  </si>
  <si>
    <t>Laguna</t>
  </si>
  <si>
    <t>Antique</t>
  </si>
  <si>
    <t>Bohol</t>
  </si>
  <si>
    <t>Zambales</t>
  </si>
  <si>
    <t>Batanes</t>
  </si>
  <si>
    <t>Davao Del Norte</t>
  </si>
  <si>
    <t>Bataan</t>
  </si>
  <si>
    <t>Zamboanga Del Norte</t>
  </si>
  <si>
    <t>Bohol,Cebu,Negros Oriental</t>
  </si>
  <si>
    <t>Agusan Del Norte</t>
  </si>
  <si>
    <t>Lanao Del Sur</t>
  </si>
  <si>
    <t>Sultan Kudarat</t>
  </si>
  <si>
    <t>Lanao Del Norte</t>
  </si>
  <si>
    <t>Marinduque</t>
  </si>
  <si>
    <t>Cagayan</t>
  </si>
  <si>
    <t>Nueva Vizcaya</t>
  </si>
  <si>
    <t>Biliran</t>
  </si>
  <si>
    <t>South Cotabato</t>
  </si>
  <si>
    <t>Rizal</t>
  </si>
  <si>
    <t>Maguindanao</t>
  </si>
  <si>
    <t>Nueva Ecija</t>
  </si>
  <si>
    <t>(Independent City)</t>
  </si>
  <si>
    <t>Apayao</t>
  </si>
  <si>
    <t>Isabela</t>
  </si>
  <si>
    <t>Siquijor</t>
  </si>
  <si>
    <t>Masbate</t>
  </si>
  <si>
    <t>Bulacan</t>
  </si>
  <si>
    <t>Kalinga</t>
  </si>
  <si>
    <t>Sorsogon</t>
  </si>
  <si>
    <t>Misamis Occidental</t>
  </si>
  <si>
    <t>Northern Samar</t>
  </si>
  <si>
    <t>Zamboanga Sibugay</t>
  </si>
  <si>
    <t>Dinagat Island</t>
  </si>
  <si>
    <t>Surigao Del Sur</t>
  </si>
  <si>
    <t>Capiz</t>
  </si>
  <si>
    <t>Davao Occidental</t>
  </si>
  <si>
    <t>Sulu</t>
  </si>
  <si>
    <t>Compostela Valley</t>
  </si>
  <si>
    <t>Quirino</t>
  </si>
  <si>
    <t>Benguet</t>
  </si>
  <si>
    <t>Mountain Province</t>
  </si>
  <si>
    <t>Ifugao</t>
  </si>
  <si>
    <t>Aurora</t>
  </si>
  <si>
    <t>Surigao Del Norte</t>
  </si>
  <si>
    <t>Southern Leyte</t>
  </si>
  <si>
    <t>Romblon</t>
  </si>
  <si>
    <t>Camiguin</t>
  </si>
  <si>
    <t>Catanduanes</t>
  </si>
  <si>
    <t>Antique,Negros Occidental</t>
  </si>
  <si>
    <t>Aklan,Antique,Capiz,Iloilo,Negros Occidental</t>
  </si>
  <si>
    <t>Basilan</t>
  </si>
  <si>
    <t>Tawi-Tawi</t>
  </si>
  <si>
    <t>sample province</t>
  </si>
  <si>
    <t>Abra</t>
  </si>
  <si>
    <t>Leyte,Samar</t>
  </si>
  <si>
    <t>Bukidnon,Bulacan</t>
  </si>
  <si>
    <t>Bulacan,Cagayan</t>
  </si>
  <si>
    <t>Philippines</t>
  </si>
  <si>
    <t>Bataan,Batanes,Batangas</t>
  </si>
  <si>
    <t>Batangas,Bukidnon,Cagayan,Camarines Sur,Cotabato,Davao Del Sur,Isabela,Pampanga,Tarlac</t>
  </si>
  <si>
    <t>Marinduque,Occidental Mindoro,Oriental Mindoro,Palawan,Romblon</t>
  </si>
  <si>
    <t>Cotabato,Davao Del Norte</t>
  </si>
  <si>
    <t>Metro Manila,Rizal</t>
  </si>
  <si>
    <t>Aklan,Antique,Capiz,Guimaras</t>
  </si>
  <si>
    <t>Aklan,Antique,Capiz,Iloilo</t>
  </si>
  <si>
    <t>Aklan,Antique,Capiz,Guimaras,Iloilo,Negros Occidental</t>
  </si>
  <si>
    <t>Zamboanga Del Norte,Zamboanga Del Sur,Zamboanga Sibugay</t>
  </si>
  <si>
    <t>Zamboanga Del Norte,Zamboanga Del Sur</t>
  </si>
  <si>
    <t>Biliran,Leyte,Samar</t>
  </si>
  <si>
    <t>Agusan Del Norte,Agusan Del Sur,Surigao Del Norte,Surigao Del Sur,Dinagat Island</t>
  </si>
  <si>
    <t>Antique,Capiz,Guimaras,Iloilo,Negros Occidental</t>
  </si>
  <si>
    <t>Batangas,Cavite,Laguna,Quezon,Rizal</t>
  </si>
  <si>
    <t>Aurora,Bataan,Bulacan,Nueva Ecija,Pampanga,Tarlac,Zambales</t>
  </si>
  <si>
    <t>Aklan,Antique,Capiz,Guimaras,Iloilo</t>
  </si>
  <si>
    <t>20-03-013</t>
  </si>
  <si>
    <t>003</t>
  </si>
  <si>
    <t>INFRA 20-07-19</t>
  </si>
  <si>
    <t>016-2020 school forms</t>
  </si>
  <si>
    <t>GEPS-11-2020</t>
  </si>
  <si>
    <t>INFRA 20-07-18</t>
  </si>
  <si>
    <t>20050001</t>
  </si>
  <si>
    <t>INFRA 20-07-16</t>
  </si>
  <si>
    <t>INFRA 20-07-14</t>
  </si>
  <si>
    <t>2020-023</t>
  </si>
  <si>
    <t>20CSDM04</t>
  </si>
  <si>
    <t>020-2020 provision of school supplies for pupils</t>
  </si>
  <si>
    <t>2020-06</t>
  </si>
  <si>
    <t>015-2020 reproduction of report</t>
  </si>
  <si>
    <t xml:space="preserve">20CSAE01: SUBSURFACE EXPLORATION FOR THE PROPOSED </t>
  </si>
  <si>
    <t>019-2020 provision of medical supplies</t>
  </si>
  <si>
    <t>PB-06172020-1</t>
  </si>
  <si>
    <t>INFRA 20-07-15</t>
  </si>
  <si>
    <t>014-2020 world teachers day</t>
  </si>
  <si>
    <t>AGR-20-0347-B Purchase of Agricultural Supplies an</t>
  </si>
  <si>
    <t>007130000000</t>
  </si>
  <si>
    <t>007131000000</t>
  </si>
  <si>
    <t>20CSDM05</t>
  </si>
  <si>
    <t>INFRA 20-07-17</t>
  </si>
  <si>
    <t>0071320000000</t>
  </si>
  <si>
    <t>ITB No. 20-06-12</t>
  </si>
  <si>
    <t>2020kes</t>
  </si>
  <si>
    <t>2020-06-01</t>
  </si>
  <si>
    <t>2020-Barangay san andres-006</t>
  </si>
  <si>
    <t>2020-0601</t>
  </si>
  <si>
    <t>20GGK0006</t>
  </si>
  <si>
    <t>20CSDM06</t>
  </si>
  <si>
    <t>20GGK0005</t>
  </si>
  <si>
    <t>2020-0602</t>
  </si>
  <si>
    <t>2020-06-026</t>
  </si>
  <si>
    <t>BAC2020-06-021</t>
  </si>
  <si>
    <t>INFRA 20-07-21</t>
  </si>
  <si>
    <t>SDH-20-0364-B</t>
  </si>
  <si>
    <t>INFRA 20-07-20</t>
  </si>
  <si>
    <t>OCM-GOODS-2020-F-002</t>
  </si>
  <si>
    <t>19CSK00041</t>
  </si>
  <si>
    <t>2019-Barangay san vicente-007</t>
  </si>
  <si>
    <t>IMELDA202002</t>
  </si>
  <si>
    <t>19GF00031</t>
  </si>
  <si>
    <t>Barangay Cagutsan Sierra-002-2020</t>
  </si>
  <si>
    <t>Barangay Darahuway Gote-003-2020</t>
  </si>
  <si>
    <t>2020-06-46</t>
  </si>
  <si>
    <t>DA7-07-2020-ILD-20-2314</t>
  </si>
  <si>
    <t>2020-06-077</t>
  </si>
  <si>
    <t>NP-03-2020</t>
  </si>
  <si>
    <t>RFQ-2020-031</t>
  </si>
  <si>
    <t>10</t>
  </si>
  <si>
    <t>RFQ XI 2020 002</t>
  </si>
  <si>
    <t>2005-389</t>
  </si>
  <si>
    <t>RFQ NO. 2020-039</t>
  </si>
  <si>
    <t>2020-007</t>
  </si>
  <si>
    <t>SDH-20-0361-B</t>
  </si>
  <si>
    <t>2020-01</t>
  </si>
  <si>
    <t>RFQ NO. 2020-037</t>
  </si>
  <si>
    <t>RFQ NO. 2020-038</t>
  </si>
  <si>
    <t>RFQ XI 2020 001</t>
  </si>
  <si>
    <t>RFQ NO. 2020-035</t>
  </si>
  <si>
    <t>DA7-07-2020-ILD-20-2315</t>
  </si>
  <si>
    <t>RFQ NO. 2020-040</t>
  </si>
  <si>
    <t>RFQ NO. 2020-034</t>
  </si>
  <si>
    <t>BTN-DVOOR-2020-17</t>
  </si>
  <si>
    <t>RFQ NO. 2020-031</t>
  </si>
  <si>
    <t>2020-INFRA-017</t>
  </si>
  <si>
    <t>RFQ NO. 2020-032</t>
  </si>
  <si>
    <t>RFQ NO. 2020-030</t>
  </si>
  <si>
    <t>20GEB0010</t>
  </si>
  <si>
    <t>2020-06-89</t>
  </si>
  <si>
    <t>RFQ NO. 2020-033</t>
  </si>
  <si>
    <t>RFQ NO. 2020-029</t>
  </si>
  <si>
    <t>RFQ NO. 2020-036</t>
  </si>
  <si>
    <t>2020-06-342</t>
  </si>
  <si>
    <t>HMO-20-0354-B</t>
  </si>
  <si>
    <t>PGSO 200-20-01-00302</t>
  </si>
  <si>
    <t>DAS 2020-004</t>
  </si>
  <si>
    <t>PB 2020-043</t>
  </si>
  <si>
    <t>RFQ 2020-028</t>
  </si>
  <si>
    <t>20GEB0012</t>
  </si>
  <si>
    <t>DAS 2020-003</t>
  </si>
  <si>
    <t>AKLAN BAC ITB 175 SERIES 2020</t>
  </si>
  <si>
    <t>SNFPR6</t>
  </si>
  <si>
    <t>2020-06-072(07308603)</t>
  </si>
  <si>
    <t>B-20-001</t>
  </si>
  <si>
    <t>AKLAN BAC ITB 343 SERIES 2020</t>
  </si>
  <si>
    <t>ppn-087-2020</t>
  </si>
  <si>
    <t>SNFPR5</t>
  </si>
  <si>
    <t>AKLAN BAC ITB 342 SERIES 2020</t>
  </si>
  <si>
    <t>2020-01CAB</t>
  </si>
  <si>
    <t>20GEB0093</t>
  </si>
  <si>
    <t>RFQ NO: 2020-06-042</t>
  </si>
  <si>
    <t>AKLAN BAC ITB 346 SERIES 2020</t>
  </si>
  <si>
    <t>20GEB0023</t>
  </si>
  <si>
    <t>2020-06-330</t>
  </si>
  <si>
    <t>20GEB0058</t>
  </si>
  <si>
    <t>2020-06-333</t>
  </si>
  <si>
    <t>PALIMO-RFQ-GOODS-07-CY20</t>
  </si>
  <si>
    <t>ITB No. 20-06-13</t>
  </si>
  <si>
    <t>S2020-06-050</t>
  </si>
  <si>
    <t>ESP-INFRA-10-2020</t>
  </si>
  <si>
    <t>S2020-06-046</t>
  </si>
  <si>
    <t>20GEB0021</t>
  </si>
  <si>
    <t>NWD-2020-014</t>
  </si>
  <si>
    <t>0620-006</t>
  </si>
  <si>
    <t>2020-06-338</t>
  </si>
  <si>
    <t>2020-B1-06-014</t>
  </si>
  <si>
    <t>20-06-007</t>
  </si>
  <si>
    <t>ESP-INFRA-11-2020</t>
  </si>
  <si>
    <t>PROJECT ID NO. I-2020-005</t>
  </si>
  <si>
    <t>Infra 2020-06-014</t>
  </si>
  <si>
    <t>GOODS-2020-007</t>
  </si>
  <si>
    <t>2020-06-336</t>
  </si>
  <si>
    <t>PROJECT ID NO. G-2020-004</t>
  </si>
  <si>
    <t>PROJECT ID NO. I-2020-003</t>
  </si>
  <si>
    <t>20-008</t>
  </si>
  <si>
    <t>ACCOUNTING-2020-01</t>
  </si>
  <si>
    <t>LGU-Sagay-4749</t>
  </si>
  <si>
    <t>RFQ 2020-06-002 (P.R. # 2020-06-012)</t>
  </si>
  <si>
    <t>DA7-07-2020-SAAD-20-1185</t>
  </si>
  <si>
    <t>DA7-07-2020-SAAD-20-0992</t>
  </si>
  <si>
    <t>NWD-2020-015</t>
  </si>
  <si>
    <t>DA7-07-2020-ILD-20-2316</t>
  </si>
  <si>
    <t>200030</t>
  </si>
  <si>
    <t>20-012</t>
  </si>
  <si>
    <t>AKLAN BAC ITB 348 SERIES 2020</t>
  </si>
  <si>
    <t>DA7-07-2020-SAAD-20-1237</t>
  </si>
  <si>
    <t>2020-02</t>
  </si>
  <si>
    <t>SVP-2020-0085</t>
  </si>
  <si>
    <t>AKLAN BAC ITB 349 SERIES 2020</t>
  </si>
  <si>
    <t>LGU-Sagay-4748</t>
  </si>
  <si>
    <t>20-011</t>
  </si>
  <si>
    <t>AKLAN BAC ITB 347 SERIES 2020</t>
  </si>
  <si>
    <t>38-201371-2020</t>
  </si>
  <si>
    <t>20-009</t>
  </si>
  <si>
    <t>2020-481-06</t>
  </si>
  <si>
    <t>2020-480-06</t>
  </si>
  <si>
    <t>2020-6-1409</t>
  </si>
  <si>
    <t>2020-483-06</t>
  </si>
  <si>
    <t>001-2020-06</t>
  </si>
  <si>
    <t>B2 SB4 PEO19 300-20-02-00678</t>
  </si>
  <si>
    <t>AKLAN BAC ITB 209 SERIES 2020</t>
  </si>
  <si>
    <t>AKLAN BAC ITB 208 SERIES 2020</t>
  </si>
  <si>
    <t>RFQ 2020-82</t>
  </si>
  <si>
    <t>2020-B1-02</t>
  </si>
  <si>
    <t>2020-482-06</t>
  </si>
  <si>
    <t>39-201440-2020</t>
  </si>
  <si>
    <t>B2 SB4 PEO19 300-20-02-00677</t>
  </si>
  <si>
    <t>AKLAN BAC ITB 210 SERIES 2020</t>
  </si>
  <si>
    <t>20-010</t>
  </si>
  <si>
    <t>40-201340-2020</t>
  </si>
  <si>
    <t>101-2020-06-02IF</t>
  </si>
  <si>
    <t>AKLAN BAC ITB 211 SERIES 2020</t>
  </si>
  <si>
    <t>2020-486-06</t>
  </si>
  <si>
    <t>AKLAN BAC ITB 207 SERIES 2020</t>
  </si>
  <si>
    <t>41-200483-2020</t>
  </si>
  <si>
    <t>2020-B1-002</t>
  </si>
  <si>
    <t>Infra 2020-06-015</t>
  </si>
  <si>
    <t>100(01)20-06-318(A)</t>
  </si>
  <si>
    <t>AKLAN BAC ITB 212 SERIES 2020</t>
  </si>
  <si>
    <t>36-2020</t>
  </si>
  <si>
    <t>100(01)20-06-055(M)</t>
  </si>
  <si>
    <t>AKLAN BAC ITB 215 SERIES 2020</t>
  </si>
  <si>
    <t>DA7-07-FOD-H-20-2345</t>
  </si>
  <si>
    <t>100(01)20-06-057(M)</t>
  </si>
  <si>
    <t>IAEB 220-20</t>
  </si>
  <si>
    <t>100(01)20-06-003(H)</t>
  </si>
  <si>
    <t>AKLAN BAC ITB 213 SERIES 2020</t>
  </si>
  <si>
    <t>AKLAN BAC ITB 351 SERIES 2020</t>
  </si>
  <si>
    <t>DA7-07-2020-SAAD-20-2131</t>
  </si>
  <si>
    <t>100(01)20-06-319(A)</t>
  </si>
  <si>
    <t>Infra 2020-06-013</t>
  </si>
  <si>
    <t>100(01)20-06-316(A)</t>
  </si>
  <si>
    <t>AKLAN BAC ITB 350 SERIES 2020</t>
  </si>
  <si>
    <t>100(01)20-06-320(A)</t>
  </si>
  <si>
    <t>Infra 2020-06-008</t>
  </si>
  <si>
    <t>2020-06-001</t>
  </si>
  <si>
    <t>IAEB 222-20</t>
  </si>
  <si>
    <t>2020-085</t>
  </si>
  <si>
    <t>DA7-07-2020-FOD-L-20-2347</t>
  </si>
  <si>
    <t>DTI XII-SP 2020-001</t>
  </si>
  <si>
    <t>MA-A2M20-022</t>
  </si>
  <si>
    <t>MA-A2M20-013</t>
  </si>
  <si>
    <t>MA-A2M20-023</t>
  </si>
  <si>
    <t>MA-A2M20-017</t>
  </si>
  <si>
    <t>RFQ No. 2020-SVP-023</t>
  </si>
  <si>
    <t>2020-02A</t>
  </si>
  <si>
    <t>2020-06-13</t>
  </si>
  <si>
    <t>ITB No. 07-INFRA-2020</t>
  </si>
  <si>
    <t>2020-06-0064</t>
  </si>
  <si>
    <t>MA-A2M20-029</t>
  </si>
  <si>
    <t>DTI XII 2020-008</t>
  </si>
  <si>
    <t>MA-A2M20-026</t>
  </si>
  <si>
    <t>MA-A2M20-015</t>
  </si>
  <si>
    <t>MA-A2T20-005</t>
  </si>
  <si>
    <t>Infra 2020-06-012</t>
  </si>
  <si>
    <t>MA-A2M20-019</t>
  </si>
  <si>
    <t>2020-06-21</t>
  </si>
  <si>
    <t>2020-06-17</t>
  </si>
  <si>
    <t>ITB# 20DF-2020-01</t>
  </si>
  <si>
    <t>2020-06-15</t>
  </si>
  <si>
    <t>2020-06-18</t>
  </si>
  <si>
    <t>MA-A2M20-014</t>
  </si>
  <si>
    <t>2020-06-14</t>
  </si>
  <si>
    <t>2020-06-24</t>
  </si>
  <si>
    <t>2020-06-20</t>
  </si>
  <si>
    <t>2020-06-26</t>
  </si>
  <si>
    <t>2020-06-19</t>
  </si>
  <si>
    <t>2020-06-23</t>
  </si>
  <si>
    <t>2020-06-042</t>
  </si>
  <si>
    <t>2020-06-25</t>
  </si>
  <si>
    <t>2020-06-22</t>
  </si>
  <si>
    <t>036</t>
  </si>
  <si>
    <t>2020-06-27</t>
  </si>
  <si>
    <t>2020-06-28</t>
  </si>
  <si>
    <t>2020-06-043</t>
  </si>
  <si>
    <t>PVAO-RFQ-33-PHOTOFRAME-2020</t>
  </si>
  <si>
    <t>0217-2020</t>
  </si>
  <si>
    <t>DEPED-WBNHS-RFQ-2020-009</t>
  </si>
  <si>
    <t>2020-06-04</t>
  </si>
  <si>
    <t>PVAO-RFQ-32-OFFICESUPPLIES-2020</t>
  </si>
  <si>
    <t>2020-06-044</t>
  </si>
  <si>
    <t>0614-001</t>
  </si>
  <si>
    <t>B-CW-2020-022</t>
  </si>
  <si>
    <t>B-CW-2020-023</t>
  </si>
  <si>
    <t>2020-06-03</t>
  </si>
  <si>
    <t>DEPED-WBNHS-RFQ-2020-011</t>
  </si>
  <si>
    <t>2020-06-05</t>
  </si>
  <si>
    <t>DEPED-WBNHS-RFQ-2020-010</t>
  </si>
  <si>
    <t>2020-06-02</t>
  </si>
  <si>
    <t>2020-006-003</t>
  </si>
  <si>
    <t>4</t>
  </si>
  <si>
    <t>PVAO-RFQ-31-JANITORIALSUPPLIES-2020</t>
  </si>
  <si>
    <t>05</t>
  </si>
  <si>
    <t>RFQ -2020-04-A</t>
  </si>
  <si>
    <t>ITB 02-2020</t>
  </si>
  <si>
    <t>ITB 03-2020</t>
  </si>
  <si>
    <t>RFQ -2020-06</t>
  </si>
  <si>
    <t>RFQ -2020-04-B</t>
  </si>
  <si>
    <t>ITB-2020-001</t>
  </si>
  <si>
    <t>03</t>
  </si>
  <si>
    <t>2020-06-0205</t>
  </si>
  <si>
    <t>DORL-HNS-1252-20</t>
  </si>
  <si>
    <t>2020-06-1013</t>
  </si>
  <si>
    <t>2020 Caib 091</t>
  </si>
  <si>
    <t>2020-013</t>
  </si>
  <si>
    <t>019-2020</t>
  </si>
  <si>
    <t>2020-06-1015</t>
  </si>
  <si>
    <t>RFQ -2020-05</t>
  </si>
  <si>
    <t>MISO-1247</t>
  </si>
  <si>
    <t>SF-G- MENRO/GF-2020-20</t>
  </si>
  <si>
    <t>DTI XII 2020-009</t>
  </si>
  <si>
    <t>DES-1250-20</t>
  </si>
  <si>
    <t>SF-G- MHO/Trust Fund-2020-10</t>
  </si>
  <si>
    <t>2020-06-1014</t>
  </si>
  <si>
    <t>06-010-20</t>
  </si>
  <si>
    <t>20L00032</t>
  </si>
  <si>
    <t>20L00148</t>
  </si>
  <si>
    <t>HRS-1249-20</t>
  </si>
  <si>
    <t>VHMCP-1146-20</t>
  </si>
  <si>
    <t>04</t>
  </si>
  <si>
    <t>DRM-1254-20</t>
  </si>
  <si>
    <t>SVP-BRIDGE-062020-113</t>
  </si>
  <si>
    <t>2020-06-017</t>
  </si>
  <si>
    <t>2020 - SNJ - 0006</t>
  </si>
  <si>
    <t>BMC-N-20-188</t>
  </si>
  <si>
    <t>SS-1245-20</t>
  </si>
  <si>
    <t>DRM-1253-20</t>
  </si>
  <si>
    <t>2020-06-018</t>
  </si>
  <si>
    <t>SS-1246-20</t>
  </si>
  <si>
    <t>SVP-BRIDGE-062020-114</t>
  </si>
  <si>
    <t>MISO-1178-20</t>
  </si>
  <si>
    <t>2020-AMP-057</t>
  </si>
  <si>
    <t>1</t>
  </si>
  <si>
    <t>2020-06-06</t>
  </si>
  <si>
    <t>06-001-20</t>
  </si>
  <si>
    <t>06-011-20</t>
  </si>
  <si>
    <t>poblacion2020-01</t>
  </si>
  <si>
    <t>SVP-TMS-062020-116</t>
  </si>
  <si>
    <t>20200616-17</t>
  </si>
  <si>
    <t>1-0022-20</t>
  </si>
  <si>
    <t>20-05-0634</t>
  </si>
  <si>
    <t>ITB2020-06-11</t>
  </si>
  <si>
    <t>0554</t>
  </si>
  <si>
    <t>20BC0206</t>
  </si>
  <si>
    <t>SVP-BRIDGE-062020-115</t>
  </si>
  <si>
    <t>300-2020-06-065</t>
  </si>
  <si>
    <t>2020-05-0019</t>
  </si>
  <si>
    <t>06-002-20</t>
  </si>
  <si>
    <t>2020-28</t>
  </si>
  <si>
    <t>2020</t>
  </si>
  <si>
    <t>2020-002</t>
  </si>
  <si>
    <t>20GBD0027</t>
  </si>
  <si>
    <t>20BC0208</t>
  </si>
  <si>
    <t>2020-27</t>
  </si>
  <si>
    <t>2020-06-1850</t>
  </si>
  <si>
    <t>RFQ2020-109</t>
  </si>
  <si>
    <t>2020-0616-1</t>
  </si>
  <si>
    <t>2020-0616-2</t>
  </si>
  <si>
    <t>20GCE0006</t>
  </si>
  <si>
    <t>2020-06-1848</t>
  </si>
  <si>
    <t>2020-29</t>
  </si>
  <si>
    <t>2020-064</t>
  </si>
  <si>
    <t>TANZA 2 2020-01-06</t>
  </si>
  <si>
    <t>007136-0000-00</t>
  </si>
  <si>
    <t>2020-INFRA-4D</t>
  </si>
  <si>
    <t>LGU LAUREL 20-06-002</t>
  </si>
  <si>
    <t>SV-0611-2020</t>
  </si>
  <si>
    <t>2020-02 Installation of  two Handwashing with cano</t>
  </si>
  <si>
    <t>06162020</t>
  </si>
  <si>
    <t>2020-03-0027 (3)</t>
  </si>
  <si>
    <t>20-06-109</t>
  </si>
  <si>
    <t>007111-0000-00</t>
  </si>
  <si>
    <t>2020-06-309-21</t>
  </si>
  <si>
    <t>20GBD0026</t>
  </si>
  <si>
    <t>006629-2020-01</t>
  </si>
  <si>
    <t>DRR-0286-20</t>
  </si>
  <si>
    <t>0009-06-2020</t>
  </si>
  <si>
    <t>2020-0616-3</t>
  </si>
  <si>
    <t>061620-56</t>
  </si>
  <si>
    <t>100-2020-GOODS-354</t>
  </si>
  <si>
    <t>TANZA 2 2020-02-06</t>
  </si>
  <si>
    <t>2020-06-0006</t>
  </si>
  <si>
    <t>2020-30</t>
  </si>
  <si>
    <t>003-2020</t>
  </si>
  <si>
    <t>MIL-GOODS-2020-06-05</t>
  </si>
  <si>
    <t>PHS-1206-20</t>
  </si>
  <si>
    <t>PHS-1207-20</t>
  </si>
  <si>
    <t>2020-10</t>
  </si>
  <si>
    <t>20CD0167</t>
  </si>
  <si>
    <t>2020-06-0023</t>
  </si>
  <si>
    <t>4411-101-2020-06-263</t>
  </si>
  <si>
    <t>BAC-A-2020-06-002</t>
  </si>
  <si>
    <t>PR No. 1000032627 dated 13 March 2020</t>
  </si>
  <si>
    <t>05-1260B</t>
  </si>
  <si>
    <t>2020-039</t>
  </si>
  <si>
    <t>ETSD-2020-02-0201</t>
  </si>
  <si>
    <t>2020-06-0028 (2)</t>
  </si>
  <si>
    <t>GEPS-02-2020</t>
  </si>
  <si>
    <t>RIS # 19-02-089</t>
  </si>
  <si>
    <t>2020-GOODS-002NP-02-0617</t>
  </si>
  <si>
    <t>2020-479-06</t>
  </si>
  <si>
    <t>2020-06-004</t>
  </si>
  <si>
    <t>2020-075</t>
  </si>
  <si>
    <t>061620201</t>
  </si>
  <si>
    <t>109CO - 06 - 2020 - 090</t>
  </si>
  <si>
    <t>Civil Works 020-2020</t>
  </si>
  <si>
    <t>Office Supplies &amp; Equipment FERD</t>
  </si>
  <si>
    <t>BIDDING20-23</t>
  </si>
  <si>
    <t>20-06-078</t>
  </si>
  <si>
    <t>149-2020</t>
  </si>
  <si>
    <t>GOODS 20-07-05</t>
  </si>
  <si>
    <t>Barangay Ilaor Norte</t>
  </si>
  <si>
    <t>2020-040</t>
  </si>
  <si>
    <t>SanJoseBatsAeb2020-070</t>
  </si>
  <si>
    <t>TANZA 2 2020-03-06</t>
  </si>
  <si>
    <t>PHS-1208-20</t>
  </si>
  <si>
    <t>025-06-2020</t>
  </si>
  <si>
    <t>SI-06-2020-001</t>
  </si>
  <si>
    <t>106CO-6DCAU-2020-444</t>
  </si>
  <si>
    <t>06-2020</t>
  </si>
  <si>
    <t>2020-6-6807</t>
  </si>
  <si>
    <t>MWD-20-013</t>
  </si>
  <si>
    <t>2020-11</t>
  </si>
  <si>
    <t>BINALONAN-2020-059</t>
  </si>
  <si>
    <t>mda126</t>
  </si>
  <si>
    <t>ibaan-2020-093</t>
  </si>
  <si>
    <t>061620-57</t>
  </si>
  <si>
    <t>NS-06-17-20-01</t>
  </si>
  <si>
    <t>RFQ No. 2020 SVP 040</t>
  </si>
  <si>
    <t>PAPC-OG3_ASCOM-2020-11210-5254</t>
  </si>
  <si>
    <t>PR No. 1000032523 dated 10 March 2020</t>
  </si>
  <si>
    <t>Barangay Balugohin Atimonan, Quezon 2020-06</t>
  </si>
  <si>
    <t>100-20-06-3-364</t>
  </si>
  <si>
    <t>TANZA 2 2020-04-06</t>
  </si>
  <si>
    <t>266-06-20-101</t>
  </si>
  <si>
    <t>150-2020</t>
  </si>
  <si>
    <t>06-0013-20</t>
  </si>
  <si>
    <t>2020 Tumanding 6</t>
  </si>
  <si>
    <t>NP-2020-29</t>
  </si>
  <si>
    <t>SV-0716-2020</t>
  </si>
  <si>
    <t>GOODS 20-07-06</t>
  </si>
  <si>
    <t>2020-ANT-GOODS-0110</t>
  </si>
  <si>
    <t>20-61</t>
  </si>
  <si>
    <t>20-06-SO103</t>
  </si>
  <si>
    <t>MIL-GOODS-2020-06-06</t>
  </si>
  <si>
    <t>QN-200608-1/ MS-20-0664</t>
  </si>
  <si>
    <t>2020-06-006</t>
  </si>
  <si>
    <t>2020-38</t>
  </si>
  <si>
    <t>20-06-200</t>
  </si>
  <si>
    <t>GOODS-2020-09</t>
  </si>
  <si>
    <t>RFQ-062020-H</t>
  </si>
  <si>
    <t>06-20-25</t>
  </si>
  <si>
    <t>100-20-06-0818</t>
  </si>
  <si>
    <t>LGU BASILISA - 2020 - 0124</t>
  </si>
  <si>
    <t>RFQ 2020-019</t>
  </si>
  <si>
    <t>06-0012-20</t>
  </si>
  <si>
    <t>PR# 100-20-03-472 E</t>
  </si>
  <si>
    <t>20201149</t>
  </si>
  <si>
    <t>2020-GOODS-034</t>
  </si>
  <si>
    <t>PR No. 2019-12-400</t>
  </si>
  <si>
    <t>GOOD-19-2020</t>
  </si>
  <si>
    <t>PHS-1204-20</t>
  </si>
  <si>
    <t>PAPC-OAIA_HHSG-2020-11206-5255</t>
  </si>
  <si>
    <t>PILAR-20-06-006</t>
  </si>
  <si>
    <t>2020-06-0346</t>
  </si>
  <si>
    <t>2020-06-310-22</t>
  </si>
  <si>
    <t>SV-0613-2020</t>
  </si>
  <si>
    <t>PBI-2020-18</t>
  </si>
  <si>
    <t>PR No. 1000032571 dated 11 May 2020</t>
  </si>
  <si>
    <t>2020-ANT-GOODS-0111</t>
  </si>
  <si>
    <t>06-086-2020</t>
  </si>
  <si>
    <t>GFP100-2020-06-048</t>
  </si>
  <si>
    <t>0010-06-2020</t>
  </si>
  <si>
    <t>PBI-2020-20</t>
  </si>
  <si>
    <t>GOODS 20-07-07</t>
  </si>
  <si>
    <t>NS-06-17-20-02</t>
  </si>
  <si>
    <t>6-35-20</t>
  </si>
  <si>
    <t>SanJoseBatsAeb2020-089</t>
  </si>
  <si>
    <t>100-2006-415-GF</t>
  </si>
  <si>
    <t>20GM0064 (RE-BIDDING)</t>
  </si>
  <si>
    <t>IMSD-2020-06-089</t>
  </si>
  <si>
    <t>RFQ 2020-74</t>
  </si>
  <si>
    <t>20-06-00080</t>
  </si>
  <si>
    <t>2020-475-06</t>
  </si>
  <si>
    <t>2020 - 23</t>
  </si>
  <si>
    <t>TANZA 2 2020-05-06</t>
  </si>
  <si>
    <t>2020-065</t>
  </si>
  <si>
    <t>006-024-2020</t>
  </si>
  <si>
    <t>20GIB0035</t>
  </si>
  <si>
    <t>INFRA-06-16-2020-01</t>
  </si>
  <si>
    <t>C-PEO-055-20</t>
  </si>
  <si>
    <t>2020-06-096</t>
  </si>
  <si>
    <t>2020-127</t>
  </si>
  <si>
    <t>PBI-2020-21</t>
  </si>
  <si>
    <t>2020-06-0022</t>
  </si>
  <si>
    <t>PR# 20-0685</t>
  </si>
  <si>
    <t>MJD-05-332-20</t>
  </si>
  <si>
    <t>2020-093</t>
  </si>
  <si>
    <t>INFRA-06-16-2020-02</t>
  </si>
  <si>
    <t>QN-200608-10/ MS-20-0663</t>
  </si>
  <si>
    <t>NP-2020-30</t>
  </si>
  <si>
    <t>TF-037-2020</t>
  </si>
  <si>
    <t>INFRA-06-16-2020-03</t>
  </si>
  <si>
    <t>LGUPROC 2020 -106R</t>
  </si>
  <si>
    <t>PHS-1214-20</t>
  </si>
  <si>
    <t>2020-06-001 SK FLU</t>
  </si>
  <si>
    <t>ITB2020-06-12</t>
  </si>
  <si>
    <t>BGS-009-20</t>
  </si>
  <si>
    <t>PHS-1213-20</t>
  </si>
  <si>
    <t>20-06-019</t>
  </si>
  <si>
    <t>DCFO-2020-06-039</t>
  </si>
  <si>
    <t>2020-06-273</t>
  </si>
  <si>
    <t>DES 1217-20</t>
  </si>
  <si>
    <t>2020-042</t>
  </si>
  <si>
    <t>INFRA-06-16-2020-04</t>
  </si>
  <si>
    <t>2020-128</t>
  </si>
  <si>
    <t>PAPC-OG8PA_HHSG-2020-11283-5256</t>
  </si>
  <si>
    <t>ATI2020-06-120</t>
  </si>
  <si>
    <t>100-2005-394-GF</t>
  </si>
  <si>
    <t>2020-041</t>
  </si>
  <si>
    <t>sto. nño 2020-006</t>
  </si>
  <si>
    <t>LGUTMO BAC 2020-0470</t>
  </si>
  <si>
    <t>006-025-2020</t>
  </si>
  <si>
    <t>TANZA 2 2020-06-06</t>
  </si>
  <si>
    <t>mda127</t>
  </si>
  <si>
    <t>2020-06-313-ME</t>
  </si>
  <si>
    <t>SVP 2020-058-Haul</t>
  </si>
  <si>
    <t>PR-2020-06-030</t>
  </si>
  <si>
    <t>2020-06-002</t>
  </si>
  <si>
    <t>PHS-1212-20</t>
  </si>
  <si>
    <t>BAG-1-2020-042</t>
  </si>
  <si>
    <t>RFQ No.02-0219-20 DOST PCHRD</t>
  </si>
  <si>
    <t>PBgoods017-2020</t>
  </si>
  <si>
    <t>2020-453-05</t>
  </si>
  <si>
    <t>773</t>
  </si>
  <si>
    <t>sto. nño 2020-007</t>
  </si>
  <si>
    <t>774</t>
  </si>
  <si>
    <t>2020-0051</t>
  </si>
  <si>
    <t>PG-Shopping- 045-2020</t>
  </si>
  <si>
    <t>mnto 20 0007</t>
  </si>
  <si>
    <t>20200616</t>
  </si>
  <si>
    <t>C-PEO-056-20</t>
  </si>
  <si>
    <t>20-45775</t>
  </si>
  <si>
    <t>DTI XII 2020-010</t>
  </si>
  <si>
    <t>2020-011</t>
  </si>
  <si>
    <t>RHU-20-05-778</t>
  </si>
  <si>
    <t>PHS-1211-20</t>
  </si>
  <si>
    <t>MGA-06-287B-20</t>
  </si>
  <si>
    <t>UPR No TRADOC-OG4-MO1-T022-2020</t>
  </si>
  <si>
    <t>2020-06-311-ME</t>
  </si>
  <si>
    <t>PHS-1210-20</t>
  </si>
  <si>
    <t>INFRA-06-16-2020-06</t>
  </si>
  <si>
    <t>LGUTMO BAC 2020-0792</t>
  </si>
  <si>
    <t>FPMD-2020-06-0290</t>
  </si>
  <si>
    <t>PAPC-OG8PA_HHSG-2020-11246-5257</t>
  </si>
  <si>
    <t>RFQ PR NO. 868</t>
  </si>
  <si>
    <t>006-026-2020</t>
  </si>
  <si>
    <t>Invitation to Bid 20-34</t>
  </si>
  <si>
    <t>INFRA-06-16-2020-05</t>
  </si>
  <si>
    <t>2020  07</t>
  </si>
  <si>
    <t>C-PEO-057-20</t>
  </si>
  <si>
    <t>GOODSSVP-40-2020</t>
  </si>
  <si>
    <t>SVP 2020-06-001</t>
  </si>
  <si>
    <t>NS-06-17-20-03</t>
  </si>
  <si>
    <t>SVP 2020-059-San</t>
  </si>
  <si>
    <t>LGUTMO BAC 2020-0689</t>
  </si>
  <si>
    <t>Invitation to Bid 20-35</t>
  </si>
  <si>
    <t>GOODSSVP-41-2020</t>
  </si>
  <si>
    <t>PR 20-06-0177</t>
  </si>
  <si>
    <t>06162020-1</t>
  </si>
  <si>
    <t>006-027-2020</t>
  </si>
  <si>
    <t>SVP-2020-20</t>
  </si>
  <si>
    <t>LGUTMO BAC 2020-0764</t>
  </si>
  <si>
    <t>20-06181PR</t>
  </si>
  <si>
    <t>RFQ IPPF 2020-54</t>
  </si>
  <si>
    <t>PHS-1209-20</t>
  </si>
  <si>
    <t>RFQ IPPF 2020-06-55</t>
  </si>
  <si>
    <t>2020-06-073(07308603)</t>
  </si>
  <si>
    <t>6-06</t>
  </si>
  <si>
    <t>20FF0094</t>
  </si>
  <si>
    <t>2020-06-17-01</t>
  </si>
  <si>
    <t>ITB No. 2020-158-bpmc</t>
  </si>
  <si>
    <t>20-06-012</t>
  </si>
  <si>
    <t>2020-06-0347</t>
  </si>
  <si>
    <t>PR-2020--06-031</t>
  </si>
  <si>
    <t>INFRA-06-16-2020-08</t>
  </si>
  <si>
    <t>lgumat-2020-0026</t>
  </si>
  <si>
    <t>LGUTMO BAC 2020-0896</t>
  </si>
  <si>
    <t>RFQ IPPF 2020-06-56</t>
  </si>
  <si>
    <t>INFRA-06-16-2020-07</t>
  </si>
  <si>
    <t>F-018-0383-20</t>
  </si>
  <si>
    <t>2020-06-311-23</t>
  </si>
  <si>
    <t>005 2020 LML</t>
  </si>
  <si>
    <t>109CO - 06 - 2020 - 091</t>
  </si>
  <si>
    <t>2020-04-051(07308603)</t>
  </si>
  <si>
    <t>RFQ IPPF 2020-06-57</t>
  </si>
  <si>
    <t>2020-14</t>
  </si>
  <si>
    <t>2020-06-10</t>
  </si>
  <si>
    <t>PR 2020-06-156</t>
  </si>
  <si>
    <t>20-06-013</t>
  </si>
  <si>
    <t>RFQ 2020-020</t>
  </si>
  <si>
    <t>O4-20-1078</t>
  </si>
  <si>
    <t>2020-LMES06-004</t>
  </si>
  <si>
    <t>20-06-0472</t>
  </si>
  <si>
    <t>6-11</t>
  </si>
  <si>
    <t>PEO-2020-0173 PR2020-0436</t>
  </si>
  <si>
    <t>PR-2020-06-029</t>
  </si>
  <si>
    <t>20-06-SO104</t>
  </si>
  <si>
    <t>PHS-1205-20</t>
  </si>
  <si>
    <t>2020-06-0030</t>
  </si>
  <si>
    <t>06162020-2</t>
  </si>
  <si>
    <t>2020-06-0339</t>
  </si>
  <si>
    <t>2020-06-325-RHU</t>
  </si>
  <si>
    <t>06-00711</t>
  </si>
  <si>
    <t>2020-06-349</t>
  </si>
  <si>
    <t>2020-LMES06-003</t>
  </si>
  <si>
    <t>GD32-2020</t>
  </si>
  <si>
    <t>20-004</t>
  </si>
  <si>
    <t>2020-06-0348</t>
  </si>
  <si>
    <t>RFQ IPPF 2020-06-58</t>
  </si>
  <si>
    <t>INFRA-06-16-2020-09</t>
  </si>
  <si>
    <t>MEO-20-05-800</t>
  </si>
  <si>
    <t>2020-15</t>
  </si>
  <si>
    <t>2020-078</t>
  </si>
  <si>
    <t>464-A-2020</t>
  </si>
  <si>
    <t>2006002</t>
  </si>
  <si>
    <t>bfp12-15-2020</t>
  </si>
  <si>
    <t>20011264</t>
  </si>
  <si>
    <t>1000031205</t>
  </si>
  <si>
    <t>PHS-1166-20</t>
  </si>
  <si>
    <t>NS-06-17-20-04-R5</t>
  </si>
  <si>
    <t>05-00703</t>
  </si>
  <si>
    <t>2020-06-0036</t>
  </si>
  <si>
    <t>6-20</t>
  </si>
  <si>
    <t>2020-06-0024</t>
  </si>
  <si>
    <t>2020-079</t>
  </si>
  <si>
    <t>2020-06-11</t>
  </si>
  <si>
    <t>006 2020 LML</t>
  </si>
  <si>
    <t>AP-01-06-2020-05</t>
  </si>
  <si>
    <t>2020-01 BATANES</t>
  </si>
  <si>
    <t>MMO-2020-06-16-001</t>
  </si>
  <si>
    <t>BTC-BAC-2020-06-27</t>
  </si>
  <si>
    <t>ITB No. 2020-74</t>
  </si>
  <si>
    <t>463-2020</t>
  </si>
  <si>
    <t>RFQ 006-040-2020</t>
  </si>
  <si>
    <t>brgy20200214</t>
  </si>
  <si>
    <t>0441</t>
  </si>
  <si>
    <t>BAC 1-2020-06-065</t>
  </si>
  <si>
    <t>001-0616-2020</t>
  </si>
  <si>
    <t>20-171</t>
  </si>
  <si>
    <t>100-20-06-0219</t>
  </si>
  <si>
    <t>DAR-PANG-006-2020</t>
  </si>
  <si>
    <t>GOODS-06-16-2020-02</t>
  </si>
  <si>
    <t>P.R. 2020-06-0028</t>
  </si>
  <si>
    <t>2020-06-356</t>
  </si>
  <si>
    <t>Supply Electrical Materials, Delivery &amp; including</t>
  </si>
  <si>
    <t>BAC LURO PR No. 2020-086</t>
  </si>
  <si>
    <t>RFQ No. 2020-06-047</t>
  </si>
  <si>
    <t>PR 20-04-0132</t>
  </si>
  <si>
    <t>Resolution No. 173, S-2020</t>
  </si>
  <si>
    <t>6-22</t>
  </si>
  <si>
    <t>G-PAGRO-045-20</t>
  </si>
  <si>
    <t>ITB 2020-062</t>
  </si>
  <si>
    <t>2020-06-12</t>
  </si>
  <si>
    <t>20010252</t>
  </si>
  <si>
    <t>mnto 20 0008</t>
  </si>
  <si>
    <t>BAC LURO PR No. 2020-058</t>
  </si>
  <si>
    <t>20-172</t>
  </si>
  <si>
    <t>ATI2020-06-121</t>
  </si>
  <si>
    <t>2020 - 24</t>
  </si>
  <si>
    <t>NP-2020-31</t>
  </si>
  <si>
    <t>001</t>
  </si>
  <si>
    <t>2020-06-0353, 2020-06-0354</t>
  </si>
  <si>
    <t>GOODS-06-16-2020-01</t>
  </si>
  <si>
    <t>ITB 2020-063</t>
  </si>
  <si>
    <t>2020 Caib 092</t>
  </si>
  <si>
    <t>20021476</t>
  </si>
  <si>
    <t>pb-gd-2020-037</t>
  </si>
  <si>
    <t>LGU-Camalig-Goods-16</t>
  </si>
  <si>
    <t>20-173</t>
  </si>
  <si>
    <t>brgy 20 0005</t>
  </si>
  <si>
    <t>2020-56</t>
  </si>
  <si>
    <t>Bid No. 20-05-001</t>
  </si>
  <si>
    <t>20-174</t>
  </si>
  <si>
    <t>S5-20-1403</t>
  </si>
  <si>
    <t>MOB-2020-010</t>
  </si>
  <si>
    <t>109CO - 06 - 2020 - 092</t>
  </si>
  <si>
    <t>2020-06-357</t>
  </si>
  <si>
    <t>2020-02-21</t>
  </si>
  <si>
    <t>Bid No. 20-05-002</t>
  </si>
  <si>
    <t>Barangay 01-2020</t>
  </si>
  <si>
    <t>06-01-2020</t>
  </si>
  <si>
    <t>077 - 2020</t>
  </si>
  <si>
    <t>BINALONAN-2020-060</t>
  </si>
  <si>
    <t>ITB 2020-065</t>
  </si>
  <si>
    <t>brgy 20 0006</t>
  </si>
  <si>
    <t>462-2020</t>
  </si>
  <si>
    <t>GOODS-06-16-2020-03</t>
  </si>
  <si>
    <t>BAC LURO PR No. 2020-155</t>
  </si>
  <si>
    <t>Sto. Nino-07-02-20</t>
  </si>
  <si>
    <t>REQUEST FOR QUOTATION (RFQ) No. 20-0550 NP-SVP</t>
  </si>
  <si>
    <t>021620-TFB1</t>
  </si>
  <si>
    <t>2020-06-255</t>
  </si>
  <si>
    <t>elem-june16-1</t>
  </si>
  <si>
    <t>459-2020</t>
  </si>
  <si>
    <t>ITB 2020-06-001</t>
  </si>
  <si>
    <t>6-24</t>
  </si>
  <si>
    <t>RFQ2020-22</t>
  </si>
  <si>
    <t>ITB 2020-066</t>
  </si>
  <si>
    <t>POW#20-06-2077</t>
  </si>
  <si>
    <t>brgy20200215</t>
  </si>
  <si>
    <t>2020-B1-06-015</t>
  </si>
  <si>
    <t>2020-147</t>
  </si>
  <si>
    <t>100200600795</t>
  </si>
  <si>
    <t>DS-G-2020-17</t>
  </si>
  <si>
    <t>ibaan-2020-094</t>
  </si>
  <si>
    <t>1000031203</t>
  </si>
  <si>
    <t>ITB2020-06-01</t>
  </si>
  <si>
    <t>G-PEO-046-20</t>
  </si>
  <si>
    <t>2006-0516-PPD</t>
  </si>
  <si>
    <t>2006-0516-PP</t>
  </si>
  <si>
    <t>0006-06-2020</t>
  </si>
  <si>
    <t>SAR-GOODS-06-051-2020</t>
  </si>
  <si>
    <t>DAR-PANG-007-2020</t>
  </si>
  <si>
    <t>Bid No. 20-05-003</t>
  </si>
  <si>
    <t>Barangay 02-2020</t>
  </si>
  <si>
    <t>2020 - 25</t>
  </si>
  <si>
    <t>2006-0513-BGMS</t>
  </si>
  <si>
    <t>SAR-GOODS-06-052-2020</t>
  </si>
  <si>
    <t>IbajayNHS-2019-06-001</t>
  </si>
  <si>
    <t>gammabridge2020june-1</t>
  </si>
  <si>
    <t>elem-june16-2</t>
  </si>
  <si>
    <t>BAC LURO PR No. 2020-084</t>
  </si>
  <si>
    <t>elem-june16-3</t>
  </si>
  <si>
    <t>40</t>
  </si>
  <si>
    <t>100(01)20-03-0738</t>
  </si>
  <si>
    <t>brgy20200216</t>
  </si>
  <si>
    <t>BAC LURO PR No. 2020-153</t>
  </si>
  <si>
    <t>GSO-20-06-0266</t>
  </si>
  <si>
    <t>458-2020</t>
  </si>
  <si>
    <t>2020 12</t>
  </si>
  <si>
    <t>DM-BAC-2020-0033</t>
  </si>
  <si>
    <t>RFQ-2020-032</t>
  </si>
  <si>
    <t>20-06191PR</t>
  </si>
  <si>
    <t>SVP20-480</t>
  </si>
  <si>
    <t>SAR-GOODS-06-053-2020</t>
  </si>
  <si>
    <t>100-20-05-0175</t>
  </si>
  <si>
    <t>2020-132A</t>
  </si>
  <si>
    <t>ORM-2061-20</t>
  </si>
  <si>
    <t>LGU-ROX-33-2020</t>
  </si>
  <si>
    <t>2020-148</t>
  </si>
  <si>
    <t>CG-RFQ-131-2020</t>
  </si>
  <si>
    <t>jhs-june16-1</t>
  </si>
  <si>
    <t>Barangay 03-2020</t>
  </si>
  <si>
    <t>GSO-20-06-0267</t>
  </si>
  <si>
    <t>MG-PAS20-012</t>
  </si>
  <si>
    <t>SAR-GOODS-06-054-2020</t>
  </si>
  <si>
    <t>PR-2020-673</t>
  </si>
  <si>
    <t>2020 Caib 093</t>
  </si>
  <si>
    <t>INFRA_2020_MERCADO_02</t>
  </si>
  <si>
    <t>S00204-2020</t>
  </si>
  <si>
    <t>RFQ-0616 #1 C-711</t>
  </si>
  <si>
    <t>BAC LURO PR No. 2020-158</t>
  </si>
  <si>
    <t>2020-06-015</t>
  </si>
  <si>
    <t>2020-0053</t>
  </si>
  <si>
    <t>461-2020</t>
  </si>
  <si>
    <t>jhs-june16-2</t>
  </si>
  <si>
    <t>518-20</t>
  </si>
  <si>
    <t>2020-06-122</t>
  </si>
  <si>
    <t>202006020</t>
  </si>
  <si>
    <t>DTIWS-20-06-047</t>
  </si>
  <si>
    <t>GOODS-2020-016</t>
  </si>
  <si>
    <t>2020 -</t>
  </si>
  <si>
    <t>OPV-2020-0174 PR2020-0440</t>
  </si>
  <si>
    <t>ITB 2020-069</t>
  </si>
  <si>
    <t>2020-101-06-014</t>
  </si>
  <si>
    <t>2020-0060</t>
  </si>
  <si>
    <t>100-20-06-0348</t>
  </si>
  <si>
    <t>PHS-1167-20</t>
  </si>
  <si>
    <t>535-2020</t>
  </si>
  <si>
    <t>proc123</t>
  </si>
  <si>
    <t>06162020001</t>
  </si>
  <si>
    <t>2020-06-07</t>
  </si>
  <si>
    <t>BAC LURO PR No. 2020-154</t>
  </si>
  <si>
    <t>020-G001</t>
  </si>
  <si>
    <t>RFQ-GS-20200604-01</t>
  </si>
  <si>
    <t>MSSC-20-06-014</t>
  </si>
  <si>
    <t>DAR-PANG-008-2020</t>
  </si>
  <si>
    <t>100-20-05-0174</t>
  </si>
  <si>
    <t>ITB No. 20-24</t>
  </si>
  <si>
    <t>537-2020</t>
  </si>
  <si>
    <t>jhs-june16-3</t>
  </si>
  <si>
    <t>0218-2020</t>
  </si>
  <si>
    <t>2020-06-008</t>
  </si>
  <si>
    <t>03-2020</t>
  </si>
  <si>
    <t>RFQ-2020-033</t>
  </si>
  <si>
    <t>2020-006-01</t>
  </si>
  <si>
    <t>Q1-01-2020</t>
  </si>
  <si>
    <t>SAM-2020-19</t>
  </si>
  <si>
    <t>DJES-2020-06-007</t>
  </si>
  <si>
    <t>20-06-100GSO</t>
  </si>
  <si>
    <t>100-06-20-01517</t>
  </si>
  <si>
    <t>029-MIF20</t>
  </si>
  <si>
    <t>2020-06-083</t>
  </si>
  <si>
    <t>GFP100-2020-06-045</t>
  </si>
  <si>
    <t>ITB No. 20-25</t>
  </si>
  <si>
    <t>pb-gd-2020-038</t>
  </si>
  <si>
    <t>PB-2016-05-01</t>
  </si>
  <si>
    <t>INFRA-2020-223</t>
  </si>
  <si>
    <t>RFQ-Goods-87-2020</t>
  </si>
  <si>
    <t>20-02-30</t>
  </si>
  <si>
    <t>2020-01-002</t>
  </si>
  <si>
    <t>RFQ-0616 #2 SM-451/454</t>
  </si>
  <si>
    <t>GSO-20-06-0268</t>
  </si>
  <si>
    <t>2020-06-019</t>
  </si>
  <si>
    <t>2020 13</t>
  </si>
  <si>
    <t>PR-2020-009</t>
  </si>
  <si>
    <t>MGA-06-287A-20</t>
  </si>
  <si>
    <t>FAS-20-15</t>
  </si>
  <si>
    <t>2020-06-011</t>
  </si>
  <si>
    <t>SRWD-GOODS-SVP-10-2020</t>
  </si>
  <si>
    <t>BP-2020-09</t>
  </si>
  <si>
    <t>0219-2020</t>
  </si>
  <si>
    <t>2020-BAC-021</t>
  </si>
  <si>
    <t>2020-06-020</t>
  </si>
  <si>
    <t>BP-2020-11</t>
  </si>
  <si>
    <t>2019-16-06-28</t>
  </si>
  <si>
    <t>RFQ-2020-326</t>
  </si>
  <si>
    <t>2020-06-039</t>
  </si>
  <si>
    <t>06-16-2020-214</t>
  </si>
  <si>
    <t>202</t>
  </si>
  <si>
    <t>DAR-PANG-009-2020</t>
  </si>
  <si>
    <t>20-06-047</t>
  </si>
  <si>
    <t>ITB PR 0452</t>
  </si>
  <si>
    <t>2020-061601</t>
  </si>
  <si>
    <t>2006-0514-BGMS</t>
  </si>
  <si>
    <t>2020 14</t>
  </si>
  <si>
    <t>2020-06-0611 TDG</t>
  </si>
  <si>
    <t>FAS-20-16</t>
  </si>
  <si>
    <t>PHS-1168-20</t>
  </si>
  <si>
    <t>F6-20-1106</t>
  </si>
  <si>
    <t>G-2020-06-0290</t>
  </si>
  <si>
    <t>DM-BAC-2020-0034</t>
  </si>
  <si>
    <t>BAC 2020-06-041</t>
  </si>
  <si>
    <t>FAS-20-17</t>
  </si>
  <si>
    <t>BP-2020-10</t>
  </si>
  <si>
    <t>ISPSC-2020-G-E008</t>
  </si>
  <si>
    <t>2020-061602</t>
  </si>
  <si>
    <t>BAC2020-11</t>
  </si>
  <si>
    <t>FAS-20-18</t>
  </si>
  <si>
    <t>Gaba202002</t>
  </si>
  <si>
    <t>PSCES-2020-04-004</t>
  </si>
  <si>
    <t>2020-01-17</t>
  </si>
  <si>
    <t>CG-1-132-2020</t>
  </si>
  <si>
    <t>2020 15</t>
  </si>
  <si>
    <t>2020-06-040</t>
  </si>
  <si>
    <t>BIR-RR5-2020-06-007</t>
  </si>
  <si>
    <t>515-20</t>
  </si>
  <si>
    <t>2020-061603</t>
  </si>
  <si>
    <t>0001</t>
  </si>
  <si>
    <t>RFQ-2020-034</t>
  </si>
  <si>
    <t>0220-2020</t>
  </si>
  <si>
    <t>2020-06-1872</t>
  </si>
  <si>
    <t>RFQ-NP-SVP-246e-2020</t>
  </si>
  <si>
    <t>Parian Oeste-26-6-0002</t>
  </si>
  <si>
    <t>NF 1912-0686 (2020)</t>
  </si>
  <si>
    <t>INFRA-2020-06-045</t>
  </si>
  <si>
    <t>Internet 101-2020-06-01</t>
  </si>
  <si>
    <t>DTI XII 2020-011</t>
  </si>
  <si>
    <t>PB-2020-12</t>
  </si>
  <si>
    <t>CARIDAD202001</t>
  </si>
  <si>
    <t>G-2020-06-0291</t>
  </si>
  <si>
    <t>06-16-2020-215</t>
  </si>
  <si>
    <t>2020-06-267</t>
  </si>
  <si>
    <t>204</t>
  </si>
  <si>
    <t>oshc2020FAD_07</t>
  </si>
  <si>
    <t>PR/RFQ# 2020-05-086</t>
  </si>
  <si>
    <t>2020-060032</t>
  </si>
  <si>
    <t>MKWD2020-048</t>
  </si>
  <si>
    <t>205</t>
  </si>
  <si>
    <t>GOODS-2-2020-006</t>
  </si>
  <si>
    <t>2020-06-2263</t>
  </si>
  <si>
    <t>JHS-2020-017</t>
  </si>
  <si>
    <t>RFQ NO. 2020-0245</t>
  </si>
  <si>
    <t>20-06-045VPAF</t>
  </si>
  <si>
    <t>GOODS 2020-03</t>
  </si>
  <si>
    <t>BAG-1-2020-043</t>
  </si>
  <si>
    <t>P.R NO. 20-06-0208</t>
  </si>
  <si>
    <t>PIKCOT-SUPP-002020-00137</t>
  </si>
  <si>
    <t>ADS-1392-20</t>
  </si>
  <si>
    <t>RFQ 2020-63</t>
  </si>
  <si>
    <t>PB-2020-13</t>
  </si>
  <si>
    <t>06-16-2020-216</t>
  </si>
  <si>
    <t>RFQ-NP-SVP-246g-2020</t>
  </si>
  <si>
    <t>2020-06-91</t>
  </si>
  <si>
    <t>BAC 2020-34</t>
  </si>
  <si>
    <t>206</t>
  </si>
  <si>
    <t>PSP-06-367-20</t>
  </si>
  <si>
    <t>2020-06013 Procurement of Various IT Equipment</t>
  </si>
  <si>
    <t>ITB-ASDI-SDN-2020-23</t>
  </si>
  <si>
    <t>PR 19-11-0492</t>
  </si>
  <si>
    <t>2020-086</t>
  </si>
  <si>
    <t>PR#2020-06-088</t>
  </si>
  <si>
    <t>154</t>
  </si>
  <si>
    <t>20-06-0712</t>
  </si>
  <si>
    <t>20-03-180</t>
  </si>
  <si>
    <t>EMBR02-SVP-GOODS-EMED062020-001</t>
  </si>
  <si>
    <t>FAS-20-19</t>
  </si>
  <si>
    <t>RFQ NO. 2020-0244</t>
  </si>
  <si>
    <t>96</t>
  </si>
  <si>
    <t>ITB 2020-0015</t>
  </si>
  <si>
    <t>DOST XI 2020-024</t>
  </si>
  <si>
    <t>2020-03-0123</t>
  </si>
  <si>
    <t>0024-04-2020</t>
  </si>
  <si>
    <t>RFQ-6-16-2020</t>
  </si>
  <si>
    <t>ATI2020-06-122</t>
  </si>
  <si>
    <t>FAS-20-20</t>
  </si>
  <si>
    <t>BAC 2020-06-042</t>
  </si>
  <si>
    <t>2020-03-0206</t>
  </si>
  <si>
    <t>BAC 2020-G-06-004</t>
  </si>
  <si>
    <t>207</t>
  </si>
  <si>
    <t>BAC-2020-G-06-006</t>
  </si>
  <si>
    <t>20-06-019B</t>
  </si>
  <si>
    <t>PR-2020-010</t>
  </si>
  <si>
    <t>PB-2020-14</t>
  </si>
  <si>
    <t>FAS-20-21</t>
  </si>
  <si>
    <t>BAC 2020-G-06-005</t>
  </si>
  <si>
    <t>C-2020-007</t>
  </si>
  <si>
    <t>20-06-055REG</t>
  </si>
  <si>
    <t>06-16-2020-212</t>
  </si>
  <si>
    <t>FAS-20-22</t>
  </si>
  <si>
    <t>BAC 20-88</t>
  </si>
  <si>
    <t>PCAARRD-2020-04-28-001</t>
  </si>
  <si>
    <t>FAS-20-23</t>
  </si>
  <si>
    <t>RFQ-136-2020</t>
  </si>
  <si>
    <t>DENR-NCR, PR NO. 2020-419</t>
  </si>
  <si>
    <t>RFQ-137-2020</t>
  </si>
  <si>
    <t>06-16-2020-213</t>
  </si>
  <si>
    <t>2020 02</t>
  </si>
  <si>
    <t>408-E-06-2020 (IPHO) (Re-advertisement)</t>
  </si>
  <si>
    <t>DENR-NCR, PR NO. 2020-420</t>
  </si>
  <si>
    <t>2020-06-90</t>
  </si>
  <si>
    <t>0221-2020</t>
  </si>
  <si>
    <t>CG-RFQ-133-2020</t>
  </si>
  <si>
    <t>MMO-081-2019</t>
  </si>
  <si>
    <t>2020-0061</t>
  </si>
  <si>
    <t>BAG-1-2020-045</t>
  </si>
  <si>
    <t>109CO - 06 - 2020 - 093</t>
  </si>
  <si>
    <t>2020-06-007</t>
  </si>
  <si>
    <t>RFQ-GS-20200608-04</t>
  </si>
  <si>
    <t>20-05-130RGL</t>
  </si>
  <si>
    <t>P-2020-01-06</t>
  </si>
  <si>
    <t>2020-59</t>
  </si>
  <si>
    <t>100-06-20-01528</t>
  </si>
  <si>
    <t>PR11050</t>
  </si>
  <si>
    <t>RFQ-Goods-88-2020</t>
  </si>
  <si>
    <t>CG-RFQ-134-2020</t>
  </si>
  <si>
    <t>JHS-2020-018</t>
  </si>
  <si>
    <t>101-20-06-RFQ0682</t>
  </si>
  <si>
    <t>RFQ-138-2020</t>
  </si>
  <si>
    <t>ITB 2020-0016</t>
  </si>
  <si>
    <t>PB-2020-15</t>
  </si>
  <si>
    <t>PCAARRD-2020-04-28-004</t>
  </si>
  <si>
    <t>2020-06-92</t>
  </si>
  <si>
    <t>2020-43</t>
  </si>
  <si>
    <t>BAG-1-2020-046</t>
  </si>
  <si>
    <t>2020-06-306</t>
  </si>
  <si>
    <t>RFQ-GS-20200611-01</t>
  </si>
  <si>
    <t>G-062020-00846</t>
  </si>
  <si>
    <t>RFQ 20-146</t>
  </si>
  <si>
    <t>GHQPC-OJ5-RMB-1124-20</t>
  </si>
  <si>
    <t>208</t>
  </si>
  <si>
    <t>20-06-03</t>
  </si>
  <si>
    <t>20-459</t>
  </si>
  <si>
    <t>12</t>
  </si>
  <si>
    <t>211</t>
  </si>
  <si>
    <t>PENRO06162020</t>
  </si>
  <si>
    <t>NP-2020-32</t>
  </si>
  <si>
    <t>RFQ-GS-2020609-01</t>
  </si>
  <si>
    <t>Tal-Pob-01-2020</t>
  </si>
  <si>
    <t>2020-014</t>
  </si>
  <si>
    <t>100-2020-03-0091</t>
  </si>
  <si>
    <t>PB-2020-16</t>
  </si>
  <si>
    <t>GHQPC-PKOC-TRNG-1126-20</t>
  </si>
  <si>
    <t>212</t>
  </si>
  <si>
    <t>2020 03</t>
  </si>
  <si>
    <t>RFQ-GOODS-2020-070</t>
  </si>
  <si>
    <t>RFQ-Goods-89-2020</t>
  </si>
  <si>
    <t>RFQ-139-2020</t>
  </si>
  <si>
    <t>2020-134</t>
  </si>
  <si>
    <t>213</t>
  </si>
  <si>
    <t>RFQ-GOODS-2020-071</t>
  </si>
  <si>
    <t>2020-04</t>
  </si>
  <si>
    <t>BAC No. 07-06-2020</t>
  </si>
  <si>
    <t>PB-2020-17</t>
  </si>
  <si>
    <t>PHS-1169-20</t>
  </si>
  <si>
    <t>20GHI0023</t>
  </si>
  <si>
    <t>13</t>
  </si>
  <si>
    <t>PB-2020-19</t>
  </si>
  <si>
    <t>GHQPC-PKOC-FSE-1128-20</t>
  </si>
  <si>
    <t>PB-2020-18</t>
  </si>
  <si>
    <t>ITB 2020-0017</t>
  </si>
  <si>
    <t>LGUTMO BAC 2020-0824</t>
  </si>
  <si>
    <t>RFQ-140-2020</t>
  </si>
  <si>
    <t>20GHI0024</t>
  </si>
  <si>
    <t>RFQ-141-2020</t>
  </si>
  <si>
    <t>2020-16</t>
  </si>
  <si>
    <t>RFQ-142-2020</t>
  </si>
  <si>
    <t>2020-06-080</t>
  </si>
  <si>
    <t>02</t>
  </si>
  <si>
    <t>2020-001</t>
  </si>
  <si>
    <t>06-012-20</t>
  </si>
  <si>
    <t>RFQ-010-2020-DIM</t>
  </si>
  <si>
    <t>RFQ-GOODS-2020-072</t>
  </si>
  <si>
    <t>GOODS - 2020-06-046</t>
  </si>
  <si>
    <t>2020-0062</t>
  </si>
  <si>
    <t>20-06-001</t>
  </si>
  <si>
    <t>NARANGASAN-INFR-2020-06-01</t>
  </si>
  <si>
    <t>LGUTMO BAC 2020-0822</t>
  </si>
  <si>
    <t>0222-2020</t>
  </si>
  <si>
    <t>20-03-0120</t>
  </si>
  <si>
    <t>BAC-06-1037</t>
  </si>
  <si>
    <t>300-2006-018</t>
  </si>
  <si>
    <t>BACNTRFQ202006003</t>
  </si>
  <si>
    <t>SF-INFR-2020-003-002A</t>
  </si>
  <si>
    <t>2020-06-041</t>
  </si>
  <si>
    <t>RFQ-2020-172</t>
  </si>
  <si>
    <t>14</t>
  </si>
  <si>
    <t>2020-05-027</t>
  </si>
  <si>
    <t>2020-06-035</t>
  </si>
  <si>
    <t>Contract No. 02 - 2020</t>
  </si>
  <si>
    <t>RFQ-A-014-2020</t>
  </si>
  <si>
    <t>0223-2020</t>
  </si>
  <si>
    <t>NF 2006-0204</t>
  </si>
  <si>
    <t>2020-05-033</t>
  </si>
  <si>
    <t>134-2020</t>
  </si>
  <si>
    <t>RFQ-0616 #3 SM-435/436/440</t>
  </si>
  <si>
    <t>Geps-2020-001</t>
  </si>
  <si>
    <t>RO-2020-06-098</t>
  </si>
  <si>
    <t>2020-06-16</t>
  </si>
  <si>
    <t>NF 2006-0216</t>
  </si>
  <si>
    <t>15-06-032</t>
  </si>
  <si>
    <t>2020-06-001 COVID 19</t>
  </si>
  <si>
    <t>ADS-1391-20</t>
  </si>
  <si>
    <t>2001-007-01</t>
  </si>
  <si>
    <t>ADS-1390-20</t>
  </si>
  <si>
    <t>0224-2020</t>
  </si>
  <si>
    <t>RFQ-Goods-91-2020</t>
  </si>
  <si>
    <t>20-06-0020</t>
  </si>
  <si>
    <t>0225-2020</t>
  </si>
  <si>
    <t>ADS-1388-20</t>
  </si>
  <si>
    <t>ITB 06-016-2020</t>
  </si>
  <si>
    <t>ADS-1389-20</t>
  </si>
  <si>
    <t>RFQ-0616 #4 SM-370-399</t>
  </si>
  <si>
    <t>20-06-0018</t>
  </si>
  <si>
    <t>MB 2020-15 I</t>
  </si>
  <si>
    <t>20GCJ0041</t>
  </si>
  <si>
    <t>MB 2020-16 I</t>
  </si>
  <si>
    <t>20-06-04</t>
  </si>
  <si>
    <t>NF 2006-0212</t>
  </si>
  <si>
    <t>018-2020</t>
  </si>
  <si>
    <t>CW 2020-03-001a</t>
  </si>
  <si>
    <t>15-06-033</t>
  </si>
  <si>
    <t>PB-2020-20</t>
  </si>
  <si>
    <t>MB 2020-17 I</t>
  </si>
  <si>
    <t>2020-0271</t>
  </si>
  <si>
    <t>PHS-1162-20</t>
  </si>
  <si>
    <t>MP-061620-36</t>
  </si>
  <si>
    <t>20GCJ0042</t>
  </si>
  <si>
    <t>133-2020</t>
  </si>
  <si>
    <t>BLGF 035-2020</t>
  </si>
  <si>
    <t>ADS-1380-20</t>
  </si>
  <si>
    <t>MEO-20-06-801</t>
  </si>
  <si>
    <t>527-20</t>
  </si>
  <si>
    <t>pmma-svp-35-20</t>
  </si>
  <si>
    <t>PB-2020-21</t>
  </si>
  <si>
    <t>20-45330</t>
  </si>
  <si>
    <t>RFQ No. 2020-002</t>
  </si>
  <si>
    <t>smwd06162020-7048227</t>
  </si>
  <si>
    <t>DWD 2020-004</t>
  </si>
  <si>
    <t>RFQ-Goods-92-2020</t>
  </si>
  <si>
    <t>GHQPC-PKOC-DMED-1129-20</t>
  </si>
  <si>
    <t>Project No. 2020-26</t>
  </si>
  <si>
    <t>POG DDO 2020-TSE-001</t>
  </si>
  <si>
    <t>SF-INFR-2020-001-001B</t>
  </si>
  <si>
    <t>20KI0088</t>
  </si>
  <si>
    <t>2020-0272</t>
  </si>
  <si>
    <t>06-16-01</t>
  </si>
  <si>
    <t>20KI0089</t>
  </si>
  <si>
    <t>2020-06-068</t>
  </si>
  <si>
    <t>15-06-034</t>
  </si>
  <si>
    <t>GOODS-20-S162</t>
  </si>
  <si>
    <t>DA3-2020-06-04-68</t>
  </si>
  <si>
    <t>2020 05</t>
  </si>
  <si>
    <t>GOODS-20-S163</t>
  </si>
  <si>
    <t>20-03-17-07c</t>
  </si>
  <si>
    <t>MP-061620-37</t>
  </si>
  <si>
    <t>PTCZN-2020-06-0038</t>
  </si>
  <si>
    <t>PHS-1157-20</t>
  </si>
  <si>
    <t>2020-05-030</t>
  </si>
  <si>
    <t>PG-RFQ-2020-06</t>
  </si>
  <si>
    <t>twd 2020-004</t>
  </si>
  <si>
    <t>20KI0090</t>
  </si>
  <si>
    <t>2020 INFRA 007</t>
  </si>
  <si>
    <t>PB-2020-22</t>
  </si>
  <si>
    <t>Barangay 08 Poblacion-001-2020</t>
  </si>
  <si>
    <t>GHQPC-PKOC-MPTSE-1130-20</t>
  </si>
  <si>
    <t>BAC 20-87</t>
  </si>
  <si>
    <t>SVP-2020-06-16-01</t>
  </si>
  <si>
    <t>ADS-1382-20</t>
  </si>
  <si>
    <t>Project No. 2020-27</t>
  </si>
  <si>
    <t>2020-0273</t>
  </si>
  <si>
    <t>PEO-20-0696 B</t>
  </si>
  <si>
    <t>20-05-115GSO</t>
  </si>
  <si>
    <t>PR No. 20-06-02-03</t>
  </si>
  <si>
    <t>2020 INFRA 008</t>
  </si>
  <si>
    <t>smwd06162020-7048265</t>
  </si>
  <si>
    <t>20-462</t>
  </si>
  <si>
    <t>07-06-20-AIP</t>
  </si>
  <si>
    <t>C4-20-0649</t>
  </si>
  <si>
    <t>PB-2020-23</t>
  </si>
  <si>
    <t>2020-06-420</t>
  </si>
  <si>
    <t>PHS-1195-20</t>
  </si>
  <si>
    <t>G-PEO-047-20</t>
  </si>
  <si>
    <t>INFRA 2020-01</t>
  </si>
  <si>
    <t>GOODS-20-S164</t>
  </si>
  <si>
    <t>06-16-02</t>
  </si>
  <si>
    <t>0025/June/2020</t>
  </si>
  <si>
    <t>ADS-1384-20</t>
  </si>
  <si>
    <t>Solicitation No. Goods 20-0617-0068</t>
  </si>
  <si>
    <t>029 20-694-7</t>
  </si>
  <si>
    <t>RFQ-2020-173</t>
  </si>
  <si>
    <t>NP-SVP--20-046</t>
  </si>
  <si>
    <t>20GCJ0043</t>
  </si>
  <si>
    <t>2020-05-283</t>
  </si>
  <si>
    <t>NPSVP-2020-55</t>
  </si>
  <si>
    <t>2020 INFRA 010</t>
  </si>
  <si>
    <t>2020-223</t>
  </si>
  <si>
    <t>2020-295</t>
  </si>
  <si>
    <t>06-16-03</t>
  </si>
  <si>
    <t>2020-06-427</t>
  </si>
  <si>
    <t>2020-06-105</t>
  </si>
  <si>
    <t>BAC 2020-35</t>
  </si>
  <si>
    <t>2020-06-425</t>
  </si>
  <si>
    <t>GOODS-20-S165</t>
  </si>
  <si>
    <t>CA100-2019-01-001</t>
  </si>
  <si>
    <t>G6-20-0562</t>
  </si>
  <si>
    <t>Solicitation No. Goods 20-0617-0070</t>
  </si>
  <si>
    <t>2020 04</t>
  </si>
  <si>
    <t>20-194</t>
  </si>
  <si>
    <t>164-20-06-093</t>
  </si>
  <si>
    <t>BAC No. 07-07-2020</t>
  </si>
  <si>
    <t>BAC-PG-002-20</t>
  </si>
  <si>
    <t>CSWD-SSRFQ-2020-06-009</t>
  </si>
  <si>
    <t>DA 8 SVP Goods 2020-06-0072 (STO 20-05-26-0246)</t>
  </si>
  <si>
    <t>Solicitation No. Goods 20-0617-0069</t>
  </si>
  <si>
    <t>PICK UP-2020-06-01</t>
  </si>
  <si>
    <t>PB20-04-034COR</t>
  </si>
  <si>
    <t>LGU-105-2020</t>
  </si>
  <si>
    <t>CG-1-135-2020</t>
  </si>
  <si>
    <t>GHQPC-PKOC-OTSM-1131-20</t>
  </si>
  <si>
    <t>1253</t>
  </si>
  <si>
    <t>20-06-215</t>
  </si>
  <si>
    <t>019-015</t>
  </si>
  <si>
    <t>ADS-1386-20</t>
  </si>
  <si>
    <t>ITB NO. SV20-06-001ANG SUPPLY AND DELIVERY OF VARI</t>
  </si>
  <si>
    <t>2020-317</t>
  </si>
  <si>
    <t>KB-GOODS-2020-07</t>
  </si>
  <si>
    <t>6-20-40</t>
  </si>
  <si>
    <t>20-0052</t>
  </si>
  <si>
    <t>2020-06-0184</t>
  </si>
  <si>
    <t>GEPS 2020-05</t>
  </si>
  <si>
    <t>BTG3-20GDC0005</t>
  </si>
  <si>
    <t>RFQ 2020-4005</t>
  </si>
  <si>
    <t>20-06-05</t>
  </si>
  <si>
    <t>SVP 2020-354</t>
  </si>
  <si>
    <t>20HC0181</t>
  </si>
  <si>
    <t>Various PRs-SWM (KID20-06-012, COT20-06-021, POL20</t>
  </si>
  <si>
    <t>20-45133</t>
  </si>
  <si>
    <t>002</t>
  </si>
  <si>
    <t>UPB2020.038</t>
  </si>
  <si>
    <t>DA7-2020-06-ILD-20-0679</t>
  </si>
  <si>
    <t>15-06-035</t>
  </si>
  <si>
    <t>RFQ-2020-174</t>
  </si>
  <si>
    <t>AB-2020-0011</t>
  </si>
  <si>
    <t>214</t>
  </si>
  <si>
    <t>1252</t>
  </si>
  <si>
    <t>ADS-1385-20</t>
  </si>
  <si>
    <t>RFQ 2020-0248</t>
  </si>
  <si>
    <t>2020-06-0072</t>
  </si>
  <si>
    <t>2020-087</t>
  </si>
  <si>
    <t>20-05-0685</t>
  </si>
  <si>
    <t>P11-20-0518</t>
  </si>
  <si>
    <t>DAG-2020-06-039</t>
  </si>
  <si>
    <t>11-06-20-AIP</t>
  </si>
  <si>
    <t>PTCZN-2020-06-0043</t>
  </si>
  <si>
    <t>06-16-04</t>
  </si>
  <si>
    <t>RFQ-Goods-93-2020</t>
  </si>
  <si>
    <t>12-06-20-AIP</t>
  </si>
  <si>
    <t>2020 06</t>
  </si>
  <si>
    <t>RFQ 20-111</t>
  </si>
  <si>
    <t>19-6-41</t>
  </si>
  <si>
    <t>DENR XII-SP-26-2020</t>
  </si>
  <si>
    <t>007</t>
  </si>
  <si>
    <t>PHS-1971-20</t>
  </si>
  <si>
    <t>2020-06-009</t>
  </si>
  <si>
    <t>ITB 061620-1</t>
  </si>
  <si>
    <t>75-2020</t>
  </si>
  <si>
    <t>06-16-05</t>
  </si>
  <si>
    <t>I4-20-0526</t>
  </si>
  <si>
    <t>20-6-44</t>
  </si>
  <si>
    <t>2020-06-08</t>
  </si>
  <si>
    <t>GHQPC-PKOC-SEME-SE-1133-20</t>
  </si>
  <si>
    <t>Goods-113-2020</t>
  </si>
  <si>
    <t>2020-06-09B</t>
  </si>
  <si>
    <t>BWD-RFQ-2020-07</t>
  </si>
  <si>
    <t>2019-06-105</t>
  </si>
  <si>
    <t>215</t>
  </si>
  <si>
    <t>SVP 2020-353</t>
  </si>
  <si>
    <t>20-6-43</t>
  </si>
  <si>
    <t>008</t>
  </si>
  <si>
    <t>2020-06-0073</t>
  </si>
  <si>
    <t>216</t>
  </si>
  <si>
    <t>20-06-0017</t>
  </si>
  <si>
    <t>2020-06-010</t>
  </si>
  <si>
    <t>GOODS 2020-182(SVP)</t>
  </si>
  <si>
    <t>2020-036</t>
  </si>
  <si>
    <t>2020-06-16-01</t>
  </si>
  <si>
    <t>2020 10</t>
  </si>
  <si>
    <t>CSWD-SSRFQ-2020-06-010</t>
  </si>
  <si>
    <t>SF Goods 005</t>
  </si>
  <si>
    <t>MP-061620-38</t>
  </si>
  <si>
    <t>76-2020</t>
  </si>
  <si>
    <t>2020-06-01B</t>
  </si>
  <si>
    <t>219</t>
  </si>
  <si>
    <t>ADS-1395-20</t>
  </si>
  <si>
    <t>G6-20-0417</t>
  </si>
  <si>
    <t>012</t>
  </si>
  <si>
    <t>RF-2020-002</t>
  </si>
  <si>
    <t>Liguan202004</t>
  </si>
  <si>
    <t>ADM-187-2020</t>
  </si>
  <si>
    <t>2020-021</t>
  </si>
  <si>
    <t>INF-ITB 20-002</t>
  </si>
  <si>
    <t>JDV-CCTV-006</t>
  </si>
  <si>
    <t>2020-06-0074</t>
  </si>
  <si>
    <t>SVP 2020-355</t>
  </si>
  <si>
    <t>PR No. 2020-06-090</t>
  </si>
  <si>
    <t>20-01-0105</t>
  </si>
  <si>
    <t>MG-PLM20-097</t>
  </si>
  <si>
    <t>77-2020</t>
  </si>
  <si>
    <t>GOODS-2020-06-78</t>
  </si>
  <si>
    <t>220</t>
  </si>
  <si>
    <t>2020-06-16-02</t>
  </si>
  <si>
    <t>VMC-2020-065</t>
  </si>
  <si>
    <t>ADS-1396-20</t>
  </si>
  <si>
    <t>2020 INFRA 006</t>
  </si>
  <si>
    <t>20-05-070D</t>
  </si>
  <si>
    <t>cw-2020-017</t>
  </si>
  <si>
    <t>MG-PLM20-105</t>
  </si>
  <si>
    <t>164-20-05-82</t>
  </si>
  <si>
    <t>2020-06-120</t>
  </si>
  <si>
    <t>GOODS 2020-183(SVP)</t>
  </si>
  <si>
    <t>ADS-1397-20</t>
  </si>
  <si>
    <t>2020-06-246</t>
  </si>
  <si>
    <t>CG-1-136-2020</t>
  </si>
  <si>
    <t>PR No. 2020-06-089</t>
  </si>
  <si>
    <t>RFQ PR NO. 044-2020</t>
  </si>
  <si>
    <t>030-2020 Procurement of Division Personnel Load Ju</t>
  </si>
  <si>
    <t>PR No. 20-06-03-01</t>
  </si>
  <si>
    <t>20-05-0695</t>
  </si>
  <si>
    <t>SDO GOODS 2020-022</t>
  </si>
  <si>
    <t>2020 INFRA 009</t>
  </si>
  <si>
    <t>BGS-010-20</t>
  </si>
  <si>
    <t>ITB 06-2020-009</t>
  </si>
  <si>
    <t>2020-06-09</t>
  </si>
  <si>
    <t>SVP059-2020</t>
  </si>
  <si>
    <t>78-2020</t>
  </si>
  <si>
    <t>guincam2020-06-006</t>
  </si>
  <si>
    <t>2020-06-106</t>
  </si>
  <si>
    <t>PHS-1076-20</t>
  </si>
  <si>
    <t>ATI2020-06-123</t>
  </si>
  <si>
    <t>NP-2020-33</t>
  </si>
  <si>
    <t>2020DBSHS03-06</t>
  </si>
  <si>
    <t>GOODS 2020-184(SVP)</t>
  </si>
  <si>
    <t>ADM-185-2020</t>
  </si>
  <si>
    <t>RFQ-G-2020-076</t>
  </si>
  <si>
    <t>061620202</t>
  </si>
  <si>
    <t>2020-06-16-03</t>
  </si>
  <si>
    <t>VMC-2020-066</t>
  </si>
  <si>
    <t>20-06-080GSO</t>
  </si>
  <si>
    <t>79-2020</t>
  </si>
  <si>
    <t>ADS-1401-20</t>
  </si>
  <si>
    <t>202006E</t>
  </si>
  <si>
    <t>PHO-2020-036 Rebidding</t>
  </si>
  <si>
    <t>20DM0068</t>
  </si>
  <si>
    <t>RFQ NO. 2020-06-043</t>
  </si>
  <si>
    <t>20FH0096</t>
  </si>
  <si>
    <t>334-2020</t>
  </si>
  <si>
    <t>DA 8 SVP Goods 2020-06-0073 (Corn 20-06-0181)</t>
  </si>
  <si>
    <t>Liguan202005</t>
  </si>
  <si>
    <t>2020DBSHS03-07</t>
  </si>
  <si>
    <t>ADS-1404-20</t>
  </si>
  <si>
    <t>MP-061620-39</t>
  </si>
  <si>
    <t>BIDDING20-24</t>
  </si>
  <si>
    <t>INFRA -01- 2020</t>
  </si>
  <si>
    <t>KB-GOODS-2020-05</t>
  </si>
  <si>
    <t>00927</t>
  </si>
  <si>
    <t>2020087</t>
  </si>
  <si>
    <t>2020-299</t>
  </si>
  <si>
    <t>GOV-20-0259-NP(SV)</t>
  </si>
  <si>
    <t>061620203</t>
  </si>
  <si>
    <t>23</t>
  </si>
  <si>
    <t>2020-06-269</t>
  </si>
  <si>
    <t>20PF0067</t>
  </si>
  <si>
    <t>pgeps#0254-2020</t>
  </si>
  <si>
    <t>202006F</t>
  </si>
  <si>
    <t>062020</t>
  </si>
  <si>
    <t>2020-1806</t>
  </si>
  <si>
    <t>ROSAL 0330-2020</t>
  </si>
  <si>
    <t>SVP-10-2020</t>
  </si>
  <si>
    <t>006-002-2020</t>
  </si>
  <si>
    <t>20GFH0011</t>
  </si>
  <si>
    <t>2020-206</t>
  </si>
  <si>
    <t>SVP (2) 966-2020</t>
  </si>
  <si>
    <t>2020-25</t>
  </si>
  <si>
    <t>SV-2020-16</t>
  </si>
  <si>
    <t>2020-048</t>
  </si>
  <si>
    <t>BUE-06162020-01</t>
  </si>
  <si>
    <t>338-2020</t>
  </si>
  <si>
    <t>2020-20</t>
  </si>
  <si>
    <t>2020-SVP-261</t>
  </si>
  <si>
    <t>087.2020</t>
  </si>
  <si>
    <t>2020-010 RFQ</t>
  </si>
  <si>
    <t>2020-NP-06-44</t>
  </si>
  <si>
    <t>2020-012</t>
  </si>
  <si>
    <t>20-06-020RGL</t>
  </si>
  <si>
    <t>PHS-1137-20</t>
  </si>
  <si>
    <t>2020-06-0622 TDG</t>
  </si>
  <si>
    <t>GRANTS-20-05-18</t>
  </si>
  <si>
    <t>OPA-FISHERIES-2020-0163 Rebidding</t>
  </si>
  <si>
    <t>PR# 2020-06.0285</t>
  </si>
  <si>
    <t>2020-06-16-04</t>
  </si>
  <si>
    <t>GHQPC-PKOC-SEICTE-1134-20</t>
  </si>
  <si>
    <t>20PF0068</t>
  </si>
  <si>
    <t>5 02 03 080-02-2</t>
  </si>
  <si>
    <t>ISPSC-2020-G-K008</t>
  </si>
  <si>
    <t>INFR-MUN-2020-06-002</t>
  </si>
  <si>
    <t>VJLN-SVP-2020-05-0518RF</t>
  </si>
  <si>
    <t>PLAWD 2020-06-038</t>
  </si>
  <si>
    <t>2020-06-0617 TDG</t>
  </si>
  <si>
    <t>RFQ-A-015-2020</t>
  </si>
  <si>
    <t>DA7-2020-06-FOD-R-20-2203</t>
  </si>
  <si>
    <t>20-05-085HRMO</t>
  </si>
  <si>
    <t>Guadalupe202003</t>
  </si>
  <si>
    <t>GOODS 2020-185(SVP)</t>
  </si>
  <si>
    <t>333-2020</t>
  </si>
  <si>
    <t>RFQ-627-2020</t>
  </si>
  <si>
    <t>2020-06-0609 TDG</t>
  </si>
  <si>
    <t>2020-019</t>
  </si>
  <si>
    <t>2020-06-012</t>
  </si>
  <si>
    <t>PR-2020</t>
  </si>
  <si>
    <t>5 02 03 070-1-2</t>
  </si>
  <si>
    <t>VJLN-SVP-2020-05-0537RF</t>
  </si>
  <si>
    <t>BDM-BAC-2020-007</t>
  </si>
  <si>
    <t>2020-GOODS-33</t>
  </si>
  <si>
    <t>VJLN-SVP-2020-05-0538RF</t>
  </si>
  <si>
    <t>20-06-029</t>
  </si>
  <si>
    <t>113-2020</t>
  </si>
  <si>
    <t>RFQ NO 2020-073</t>
  </si>
  <si>
    <t>INFR-MUN-2020-06-003</t>
  </si>
  <si>
    <t>V06162020-211</t>
  </si>
  <si>
    <t>RFQ - PR No. 2020-06-0119 dated 6-15-20</t>
  </si>
  <si>
    <t>2020-06-049</t>
  </si>
  <si>
    <t>2020-22</t>
  </si>
  <si>
    <t>20-05-0706</t>
  </si>
  <si>
    <t>PR# 2020-06-0294</t>
  </si>
  <si>
    <t>BUE-06162020-02</t>
  </si>
  <si>
    <t>147</t>
  </si>
  <si>
    <t>pgeps#0255-2020</t>
  </si>
  <si>
    <t>109CO - 06 - 2020 - 095</t>
  </si>
  <si>
    <t>PO-2020-06-01</t>
  </si>
  <si>
    <t>20-06-035RD</t>
  </si>
  <si>
    <t>Bid No. 20-0215</t>
  </si>
  <si>
    <t>ADS-1405-20</t>
  </si>
  <si>
    <t>INFR-MUN-2020-06-004</t>
  </si>
  <si>
    <t>DENR-NCR, PR NO. 2020-395</t>
  </si>
  <si>
    <t>223</t>
  </si>
  <si>
    <t>2020-06-0610 TDG</t>
  </si>
  <si>
    <t>221</t>
  </si>
  <si>
    <t>2020088</t>
  </si>
  <si>
    <t>pgeps#0256-2020</t>
  </si>
  <si>
    <t>8000-3-01-010-009-010-009</t>
  </si>
  <si>
    <t>LGU BASILISA - 2020 - 0125</t>
  </si>
  <si>
    <t>2020SINEGSHS03-07</t>
  </si>
  <si>
    <t>20H00062</t>
  </si>
  <si>
    <t>2020-049</t>
  </si>
  <si>
    <t>2020-21</t>
  </si>
  <si>
    <t>BUE-06162020-03</t>
  </si>
  <si>
    <t>LGU BASILISA - 2020 - 0126</t>
  </si>
  <si>
    <t>100-20-05-572</t>
  </si>
  <si>
    <t>SVP060-2020</t>
  </si>
  <si>
    <t>2020-02-04</t>
  </si>
  <si>
    <t>BEMO-2020-0162 Rebidding</t>
  </si>
  <si>
    <t>RFQ - PR No. 2020-06-0113 dated 6-15-20</t>
  </si>
  <si>
    <t>BUE-06162020-04</t>
  </si>
  <si>
    <t>PLAWD 2020-06-039</t>
  </si>
  <si>
    <t>2020-23</t>
  </si>
  <si>
    <t>Bid No. 20-0265</t>
  </si>
  <si>
    <t>GOODS 2020-186(SVP)</t>
  </si>
  <si>
    <t>BAC2020-06-023</t>
  </si>
  <si>
    <t>224</t>
  </si>
  <si>
    <t xml:space="preserve">Supply Materials and Installation of Two (2) unit </t>
  </si>
  <si>
    <t>24</t>
  </si>
  <si>
    <t>RFQ - PR No. 2020-06-0114 dated 6-15-20</t>
  </si>
  <si>
    <t>2020SINEGSHS03-21</t>
  </si>
  <si>
    <t>OPA-RASS-2020-0164 Rebidding</t>
  </si>
  <si>
    <t>227</t>
  </si>
  <si>
    <t>SVP061-2020</t>
  </si>
  <si>
    <t>BUE-06162020-05</t>
  </si>
  <si>
    <t>RFQ NO. 415</t>
  </si>
  <si>
    <t>2020-088</t>
  </si>
  <si>
    <t>RFQ No. 20-06-129</t>
  </si>
  <si>
    <t>2020-GOODS-248</t>
  </si>
  <si>
    <t>MCIAA 06-475-20</t>
  </si>
  <si>
    <t>2020-GOODS-34</t>
  </si>
  <si>
    <t>PR11021</t>
  </si>
  <si>
    <t>guincam2020-06-007</t>
  </si>
  <si>
    <t>Guadalupe202004</t>
  </si>
  <si>
    <t>20-06-125VPAF</t>
  </si>
  <si>
    <t>2020-06-00060</t>
  </si>
  <si>
    <t>PR# 2020-06.0291</t>
  </si>
  <si>
    <t>100-20-06-108</t>
  </si>
  <si>
    <t>Goods 2020-055</t>
  </si>
  <si>
    <t>20-05-0699</t>
  </si>
  <si>
    <t>2020-06-066</t>
  </si>
  <si>
    <t>20-06-079</t>
  </si>
  <si>
    <t>2020-009</t>
  </si>
  <si>
    <t>PEO-2020-0160 Rebidding</t>
  </si>
  <si>
    <t>20-131</t>
  </si>
  <si>
    <t>2020-050</t>
  </si>
  <si>
    <t>PEO-2020-0161 Rebidding</t>
  </si>
  <si>
    <t>2020-06-00059</t>
  </si>
  <si>
    <t>101-20-06-RFQ0683</t>
  </si>
  <si>
    <t>2020-02-05</t>
  </si>
  <si>
    <t>DA7-2020-06-RAED-20-1072(R1)</t>
  </si>
  <si>
    <t>228</t>
  </si>
  <si>
    <t>GOODS 2020-187(SVP)</t>
  </si>
  <si>
    <t>2020-06-013</t>
  </si>
  <si>
    <t>PO-Bul-2020-06-08</t>
  </si>
  <si>
    <t>20H00063</t>
  </si>
  <si>
    <t>np 2020-15 (GAS)</t>
  </si>
  <si>
    <t>2020SINEGSHS03-22</t>
  </si>
  <si>
    <t>20H00064</t>
  </si>
  <si>
    <t>229</t>
  </si>
  <si>
    <t>2020-06-RFQ01</t>
  </si>
  <si>
    <t>20GCF0001</t>
  </si>
  <si>
    <t>230</t>
  </si>
  <si>
    <t>101-20-06-RFQ0684</t>
  </si>
  <si>
    <t>RFQ 20-2020</t>
  </si>
  <si>
    <t>9000-3-03-001-004-003-0003</t>
  </si>
  <si>
    <t>Goods 2020-056</t>
  </si>
  <si>
    <t>GOODS 2020-188(SVP)</t>
  </si>
  <si>
    <t>20AD0096</t>
  </si>
  <si>
    <t>RFQ NO. 2019-0249</t>
  </si>
  <si>
    <t>20-06-0168TC</t>
  </si>
  <si>
    <t>PR/RFQ# 2020-06-096</t>
  </si>
  <si>
    <t>368-2020</t>
  </si>
  <si>
    <t>TAYSAN2020-029R</t>
  </si>
  <si>
    <t>2020SINEGSHS03-23</t>
  </si>
  <si>
    <t>RCEF 2020-06-073</t>
  </si>
  <si>
    <t>2020-06-0185</t>
  </si>
  <si>
    <t>INFRA 2020-06-001</t>
  </si>
  <si>
    <t>ATI2020-06-124</t>
  </si>
  <si>
    <t>BJMP RO2 REP-02</t>
  </si>
  <si>
    <t>ADS-1409-20</t>
  </si>
  <si>
    <t>2020-06-032</t>
  </si>
  <si>
    <t>088.2020</t>
  </si>
  <si>
    <t>2020-02-036c</t>
  </si>
  <si>
    <t>20G023</t>
  </si>
  <si>
    <t>0444</t>
  </si>
  <si>
    <t>20-05-0161</t>
  </si>
  <si>
    <t>np 2020-16 (GAS)</t>
  </si>
  <si>
    <t>NP-INT-2006-045</t>
  </si>
  <si>
    <t>20H00065</t>
  </si>
  <si>
    <t>2020-016-201</t>
  </si>
  <si>
    <t>S2-DOO20-014</t>
  </si>
  <si>
    <t>20-132</t>
  </si>
  <si>
    <t>TAYSAN2020-031R</t>
  </si>
  <si>
    <t>guincam2020-06-008</t>
  </si>
  <si>
    <t>2020-06-025</t>
  </si>
  <si>
    <t>2020-03-196</t>
  </si>
  <si>
    <t>PHO-2020-038 PR2020-0150</t>
  </si>
  <si>
    <t>GOODS 2020-189(SVP)</t>
  </si>
  <si>
    <t>9000-3-03-001-004-003-006</t>
  </si>
  <si>
    <t>20-06-0115</t>
  </si>
  <si>
    <t>2020-G-01</t>
  </si>
  <si>
    <t>BOC-GOODS-RFQ-54-2020</t>
  </si>
  <si>
    <t>BAC-PD-001-2020</t>
  </si>
  <si>
    <t>SVP-24-2020</t>
  </si>
  <si>
    <t>20-134</t>
  </si>
  <si>
    <t>06-06-2020</t>
  </si>
  <si>
    <t>INFRA20-01</t>
  </si>
  <si>
    <t>GOODS 2020-190(SVP)</t>
  </si>
  <si>
    <t>mos-20-0239</t>
  </si>
  <si>
    <t>160620-042</t>
  </si>
  <si>
    <t>TPB-RFQ 2020-06-168</t>
  </si>
  <si>
    <t>PHS-1067-20</t>
  </si>
  <si>
    <t>PLAWD 2020-06-040</t>
  </si>
  <si>
    <t>20GCJ0044</t>
  </si>
  <si>
    <t>PR 2020-029</t>
  </si>
  <si>
    <t>DA7-2020-06-RAED-20-1959(R1)</t>
  </si>
  <si>
    <t>20H00066</t>
  </si>
  <si>
    <t>20-133</t>
  </si>
  <si>
    <t>2020-06-208</t>
  </si>
  <si>
    <t>ITB-25-2020</t>
  </si>
  <si>
    <t>20-135</t>
  </si>
  <si>
    <t>01078</t>
  </si>
  <si>
    <t>RFQ 2020-06-0109</t>
  </si>
  <si>
    <t>2020-06-RFQ03</t>
  </si>
  <si>
    <t>AGGDS2020-0617A</t>
  </si>
  <si>
    <t>NP-GRMS-2006-046</t>
  </si>
  <si>
    <t>109CO - 06 - 2020 - 096</t>
  </si>
  <si>
    <t>geps-2020-002</t>
  </si>
  <si>
    <t>PR 2020-030</t>
  </si>
  <si>
    <t>EBMS 0667-20</t>
  </si>
  <si>
    <t>2020-101</t>
  </si>
  <si>
    <t>Job Order No.0065; Series of 2020</t>
  </si>
  <si>
    <t>100-06-024</t>
  </si>
  <si>
    <t>ROSAL 0331-2020</t>
  </si>
  <si>
    <t>Ibaan/2020/234</t>
  </si>
  <si>
    <t>20G024</t>
  </si>
  <si>
    <t>BOC-GOODS-RFQ-55-2020</t>
  </si>
  <si>
    <t>2020 07</t>
  </si>
  <si>
    <t>P-0605</t>
  </si>
  <si>
    <t>20-CRG-20-06-1033</t>
  </si>
  <si>
    <t>20H00067</t>
  </si>
  <si>
    <t>ATI2020-06-125</t>
  </si>
  <si>
    <t>GOODS-20-29</t>
  </si>
  <si>
    <t>0074-2020</t>
  </si>
  <si>
    <t>151-2020</t>
  </si>
  <si>
    <t>DA 8 SVP Infra 2020-06-0005(QRF URSULA-20-06-16-00</t>
  </si>
  <si>
    <t>Galicia202003</t>
  </si>
  <si>
    <t>mos-20-0240</t>
  </si>
  <si>
    <t>SVP (2) 957-2020</t>
  </si>
  <si>
    <t>2020-102</t>
  </si>
  <si>
    <t>20-136</t>
  </si>
  <si>
    <t>100-20-03-653</t>
  </si>
  <si>
    <t>IB 2020-029</t>
  </si>
  <si>
    <t>20GCJ0045</t>
  </si>
  <si>
    <t>PR NO. 103-S</t>
  </si>
  <si>
    <t>6066</t>
  </si>
  <si>
    <t>Bid Reference No. 2020-005-A; PR No.2020-03-0082-A</t>
  </si>
  <si>
    <t>P-606</t>
  </si>
  <si>
    <t>420190902282</t>
  </si>
  <si>
    <t>BAC2020-06-024</t>
  </si>
  <si>
    <t>AGGDS2020-0617B</t>
  </si>
  <si>
    <t>20-03-183</t>
  </si>
  <si>
    <t>20-06-187</t>
  </si>
  <si>
    <t>PR NO. 577</t>
  </si>
  <si>
    <t>NP-SVP-269-2020</t>
  </si>
  <si>
    <t>20-137</t>
  </si>
  <si>
    <t>06162001</t>
  </si>
  <si>
    <t>SVP (2) 956-2020</t>
  </si>
  <si>
    <t>mos-20-0241</t>
  </si>
  <si>
    <t>PNU-MIN GD 2020-06-03</t>
  </si>
  <si>
    <t>IB 2020-030</t>
  </si>
  <si>
    <t>N20-MO-096</t>
  </si>
  <si>
    <t>INFRA 2020-06-002</t>
  </si>
  <si>
    <t>948902</t>
  </si>
  <si>
    <t>271-06-20-101</t>
  </si>
  <si>
    <t>R3-BANE-MOOE-2020-AU-64</t>
  </si>
  <si>
    <t>20-06-0279</t>
  </si>
  <si>
    <t>SVP (2) 955-2020</t>
  </si>
  <si>
    <t>SVP 20-0759</t>
  </si>
  <si>
    <t>20-138</t>
  </si>
  <si>
    <t>pr2020-0425</t>
  </si>
  <si>
    <t>pr2020-0411</t>
  </si>
  <si>
    <t>pr2020-0426</t>
  </si>
  <si>
    <t>DA7-2020-06-ILD-L-20-2298</t>
  </si>
  <si>
    <t>mos-20-0242</t>
  </si>
  <si>
    <t>SJ-10-20</t>
  </si>
  <si>
    <t>20-139</t>
  </si>
  <si>
    <t>2020-06-014</t>
  </si>
  <si>
    <t>20GCJ0046</t>
  </si>
  <si>
    <t>RFQ 20-148</t>
  </si>
  <si>
    <t>infra2020009</t>
  </si>
  <si>
    <t>20-06185PR</t>
  </si>
  <si>
    <t>P-0607</t>
  </si>
  <si>
    <t>06162002</t>
  </si>
  <si>
    <t>270-06-20-101</t>
  </si>
  <si>
    <t>BAC164-PRESHOUSING-2020</t>
  </si>
  <si>
    <t>6523-2020-031</t>
  </si>
  <si>
    <t>20-03-0195</t>
  </si>
  <si>
    <t>153-2020</t>
  </si>
  <si>
    <t>20-06-0673 CEEDO</t>
  </si>
  <si>
    <t>1423</t>
  </si>
  <si>
    <t>0020-0056-0320A-2020</t>
  </si>
  <si>
    <t>S2-LIM20-001</t>
  </si>
  <si>
    <t>0620-018</t>
  </si>
  <si>
    <t>QES-06-016-20</t>
  </si>
  <si>
    <t>GOODS 2020-191(SVP)</t>
  </si>
  <si>
    <t>Buhatan202009</t>
  </si>
  <si>
    <t>NP-GRMS-2006-047</t>
  </si>
  <si>
    <t>SVP (2) 950-2020</t>
  </si>
  <si>
    <t>100-20-05-618</t>
  </si>
  <si>
    <t>TASS-REI 06-04-2020</t>
  </si>
  <si>
    <t>20201152</t>
  </si>
  <si>
    <t>6523-2020-032</t>
  </si>
  <si>
    <t>20-140</t>
  </si>
  <si>
    <t>infra2020010</t>
  </si>
  <si>
    <t>2020-06-097</t>
  </si>
  <si>
    <t>RFQ-0616 #5 SM-405</t>
  </si>
  <si>
    <t>NP-SVP-270-2020</t>
  </si>
  <si>
    <t>20KB0167</t>
  </si>
  <si>
    <t>PR 128-2020</t>
  </si>
  <si>
    <t>GOODS-2020-06-79</t>
  </si>
  <si>
    <t>2020 21</t>
  </si>
  <si>
    <t>RFQ 2020-06-206</t>
  </si>
  <si>
    <t>RFQ 2020-06-004</t>
  </si>
  <si>
    <t>IB 2020-069</t>
  </si>
  <si>
    <t>03-072-2020</t>
  </si>
  <si>
    <t>100-20-06-71</t>
  </si>
  <si>
    <t>20-06-259</t>
  </si>
  <si>
    <t>VW1-20-06-021</t>
  </si>
  <si>
    <t>06-2020-003 OSE</t>
  </si>
  <si>
    <t>DA 8 SVP Goods 2020-06-0074 (GASS 20-06-16-0034)</t>
  </si>
  <si>
    <t>S2-DOO20-008</t>
  </si>
  <si>
    <t>RFQ No. 2020 SVP-059</t>
  </si>
  <si>
    <t>BAYLE0620AMP0763</t>
  </si>
  <si>
    <t>2020-05-257</t>
  </si>
  <si>
    <t>N20-MCTC-097</t>
  </si>
  <si>
    <t>S-061620-1</t>
  </si>
  <si>
    <t>PR-2020-</t>
  </si>
  <si>
    <t>100-20-05-573</t>
  </si>
  <si>
    <t>BAYLE0620amp0762</t>
  </si>
  <si>
    <t>geps-2020-004</t>
  </si>
  <si>
    <t>20GB00013 (re-ad)</t>
  </si>
  <si>
    <t>DAR5-2020-06-Q023</t>
  </si>
  <si>
    <t>0020-0056-0320B-2020</t>
  </si>
  <si>
    <t>20KB0168</t>
  </si>
  <si>
    <t>GOODS 2020-192(SVP)</t>
  </si>
  <si>
    <t>NP-SVP-272-2020</t>
  </si>
  <si>
    <t>geps-2020-003</t>
  </si>
  <si>
    <t>20-22</t>
  </si>
  <si>
    <t>Villahermosa202004</t>
  </si>
  <si>
    <t>2020-333</t>
  </si>
  <si>
    <t>20KB0169</t>
  </si>
  <si>
    <t>SAM-2020-20</t>
  </si>
  <si>
    <t>Himamasvpsk2020-01</t>
  </si>
  <si>
    <t>20-06-0674 CEEDO</t>
  </si>
  <si>
    <t>PR # 20-06-180</t>
  </si>
  <si>
    <t>RFQ-178-2020</t>
  </si>
  <si>
    <t>2020-06-016</t>
  </si>
  <si>
    <t>Villahermosa202003</t>
  </si>
  <si>
    <t>NP-SVP-271-2020</t>
  </si>
  <si>
    <t>15-2020_INFR</t>
  </si>
  <si>
    <t>SAM-2020-21</t>
  </si>
  <si>
    <t>20B00052 (re-ad)</t>
  </si>
  <si>
    <t>IAEB 177-20</t>
  </si>
  <si>
    <t>BTG3-2020-06</t>
  </si>
  <si>
    <t>DJRDH 200-20-05-06026</t>
  </si>
  <si>
    <t>RFQ 2020-06-216</t>
  </si>
  <si>
    <t>001-2020</t>
  </si>
  <si>
    <t>2020 - 083</t>
  </si>
  <si>
    <t>BFPRHQSR4A-069</t>
  </si>
  <si>
    <t>C-004-20</t>
  </si>
  <si>
    <t>20KB0170</t>
  </si>
  <si>
    <t>QES-06-017-20</t>
  </si>
  <si>
    <t>IB-2020-073</t>
  </si>
  <si>
    <t>2020-Laptop for COA</t>
  </si>
  <si>
    <t>RFQ 496</t>
  </si>
  <si>
    <t>SAM-2020-22</t>
  </si>
  <si>
    <t>2020-017</t>
  </si>
  <si>
    <t>EPEM 200-20-03-02439</t>
  </si>
  <si>
    <t>IB-2020-070</t>
  </si>
  <si>
    <t>01-06-20</t>
  </si>
  <si>
    <t>S-061620-2</t>
  </si>
  <si>
    <t>RFQ 20-150</t>
  </si>
  <si>
    <t>NP2020-06-341</t>
  </si>
  <si>
    <t>S2-SND20-001</t>
  </si>
  <si>
    <t>DRO12-060-2020</t>
  </si>
  <si>
    <t>20-06-032</t>
  </si>
  <si>
    <t>SAM-2020-23</t>
  </si>
  <si>
    <t>NC#2020-0247-PR2020-0346</t>
  </si>
  <si>
    <t>20KB0171</t>
  </si>
  <si>
    <t>0026/June/2020</t>
  </si>
  <si>
    <t>06-00748</t>
  </si>
  <si>
    <t>SFSJ-10-20</t>
  </si>
  <si>
    <t>IB-2020-071</t>
  </si>
  <si>
    <t>PDRRM 200-20-03-02833</t>
  </si>
  <si>
    <t>TFB-061620-1</t>
  </si>
  <si>
    <t>2020-06-0735</t>
  </si>
  <si>
    <t>PIP PIO 200-20-05-04961</t>
  </si>
  <si>
    <t>NP-SVP-273-2020</t>
  </si>
  <si>
    <t>20-02-00148</t>
  </si>
  <si>
    <t>BFPRHQSR4A-071</t>
  </si>
  <si>
    <t>IB 2020-072</t>
  </si>
  <si>
    <t>014</t>
  </si>
  <si>
    <t>SAM-2020-24</t>
  </si>
  <si>
    <t>NP-SVP-274-2020</t>
  </si>
  <si>
    <t>SB6 HDMP 19 300-20-06-06235</t>
  </si>
  <si>
    <t>20-102</t>
  </si>
  <si>
    <t>2020-022-NP</t>
  </si>
  <si>
    <t>batan202003</t>
  </si>
  <si>
    <t>2020-16-06-28</t>
  </si>
  <si>
    <t>20AB0121</t>
  </si>
  <si>
    <t>GOODS 2020-193(SVP)</t>
  </si>
  <si>
    <t>2020-023-NP</t>
  </si>
  <si>
    <t>20KB0172</t>
  </si>
  <si>
    <t>PMISDP 200-20-04-03431</t>
  </si>
  <si>
    <t>2020-06-0046</t>
  </si>
  <si>
    <t>SAM-2020-25</t>
  </si>
  <si>
    <t>2020-GEN. FUND-RFQ-021</t>
  </si>
  <si>
    <t>UBC-021-2020</t>
  </si>
  <si>
    <t>2020svp - 221-518</t>
  </si>
  <si>
    <t>GSE-2020-041</t>
  </si>
  <si>
    <t>TFB-061620-2</t>
  </si>
  <si>
    <t>DA3-2020-06-01-09</t>
  </si>
  <si>
    <t>06-0016-20</t>
  </si>
  <si>
    <t>20KB0173</t>
  </si>
  <si>
    <t>2020svp - 222-519</t>
  </si>
  <si>
    <t>NP-SVP-275-2020</t>
  </si>
  <si>
    <t>20-06-0675 CPDO</t>
  </si>
  <si>
    <t>BFPRHQSR4A-072</t>
  </si>
  <si>
    <t>2020-01-052 &amp; 2020-05-294</t>
  </si>
  <si>
    <t>PR 2020-06-164</t>
  </si>
  <si>
    <t>2020svp - 223-520</t>
  </si>
  <si>
    <t>CW 2020-06-012</t>
  </si>
  <si>
    <t>SAM-2020-26</t>
  </si>
  <si>
    <t>MP-061620-40</t>
  </si>
  <si>
    <t>batan202004</t>
  </si>
  <si>
    <t>2020-024-NP</t>
  </si>
  <si>
    <t>13-2020</t>
  </si>
  <si>
    <t>S2-SVP20-001</t>
  </si>
  <si>
    <t>PR#2020-05-685</t>
  </si>
  <si>
    <t>2006-264</t>
  </si>
  <si>
    <t>2020-02-0057</t>
  </si>
  <si>
    <t>NFA-RO1-RBAC-2020-06-016</t>
  </si>
  <si>
    <t>0443</t>
  </si>
  <si>
    <t>2020-0274</t>
  </si>
  <si>
    <t>2020-06-272</t>
  </si>
  <si>
    <t>N092-2020</t>
  </si>
  <si>
    <t>20-06-016</t>
  </si>
  <si>
    <t>P-0609</t>
  </si>
  <si>
    <t>2020-06-0075</t>
  </si>
  <si>
    <t>20-06-0676 AGRI</t>
  </si>
  <si>
    <t>2020-02-0063</t>
  </si>
  <si>
    <t>20KB0174</t>
  </si>
  <si>
    <t>BFPRHQSR4A-073</t>
  </si>
  <si>
    <t>20-06-015</t>
  </si>
  <si>
    <t>NP-SVP-276-2020</t>
  </si>
  <si>
    <t>SFSJ-12-20</t>
  </si>
  <si>
    <t>DA3-2020-06-10-127</t>
  </si>
  <si>
    <t>Quotation No.20-05-0314 rebid</t>
  </si>
  <si>
    <t>220191002344</t>
  </si>
  <si>
    <t>GOODS-20-30</t>
  </si>
  <si>
    <t>IB-2020-074</t>
  </si>
  <si>
    <t>02-06-20</t>
  </si>
  <si>
    <t>MUNPINCE-2006-107</t>
  </si>
  <si>
    <t>UBC-024-2020</t>
  </si>
  <si>
    <t>2020-146</t>
  </si>
  <si>
    <t>BTG3-2020-07-S</t>
  </si>
  <si>
    <t>061620-R1</t>
  </si>
  <si>
    <t>20-06-0677 AGRI</t>
  </si>
  <si>
    <t>PR20-022</t>
  </si>
  <si>
    <t>2020-025-NP</t>
  </si>
  <si>
    <t>NP-SVP-277-2020</t>
  </si>
  <si>
    <t>2020-026-NP</t>
  </si>
  <si>
    <t>C-009-20</t>
  </si>
  <si>
    <t>R4-RFQ-050-06-2020</t>
  </si>
  <si>
    <t>N093-2020</t>
  </si>
  <si>
    <t>D1-06-141-2020</t>
  </si>
  <si>
    <t>P-0608</t>
  </si>
  <si>
    <t>03-06-20</t>
  </si>
  <si>
    <t>06-0017-20</t>
  </si>
  <si>
    <t>06-0018-20</t>
  </si>
  <si>
    <t>20-06-0678 PNP KOR</t>
  </si>
  <si>
    <t>DA3-2020-06-08-99</t>
  </si>
  <si>
    <t>PR#20-06-0316</t>
  </si>
  <si>
    <t>20KB0175</t>
  </si>
  <si>
    <t>2006-269</t>
  </si>
  <si>
    <t>NP-SVP-278-2020</t>
  </si>
  <si>
    <t>20-03-00288</t>
  </si>
  <si>
    <t>C-0113-0040-20</t>
  </si>
  <si>
    <t>BTG3-2020-08</t>
  </si>
  <si>
    <t>20KB0176</t>
  </si>
  <si>
    <t>N-131-2020</t>
  </si>
  <si>
    <t>S2-BH120-003</t>
  </si>
  <si>
    <t>TFB-061620-3</t>
  </si>
  <si>
    <t>GOODS 2020-194(SVP)</t>
  </si>
  <si>
    <t>06-0019-20</t>
  </si>
  <si>
    <t>DA7-2020-06-PhilRice-20-2205</t>
  </si>
  <si>
    <t>2020-44</t>
  </si>
  <si>
    <t>D1-06-145-2020</t>
  </si>
  <si>
    <t>20-0522-8811</t>
  </si>
  <si>
    <t>SHS-2020-06-0007</t>
  </si>
  <si>
    <t>2006-093</t>
  </si>
  <si>
    <t>2020-06-0180</t>
  </si>
  <si>
    <t>2020C-21-616</t>
  </si>
  <si>
    <t>SN-2020-06-013</t>
  </si>
  <si>
    <t>2020-06-005</t>
  </si>
  <si>
    <t>20-06-0679 MARKET</t>
  </si>
  <si>
    <t>G-105-20</t>
  </si>
  <si>
    <t>PR062000634</t>
  </si>
  <si>
    <t>2020G - 016-616</t>
  </si>
  <si>
    <t>bagaobawan202001</t>
  </si>
  <si>
    <t>PGL-20 NEGO 25-06</t>
  </si>
  <si>
    <t>S2-ALD20-004</t>
  </si>
  <si>
    <t>2001-090</t>
  </si>
  <si>
    <t>PGL-20 S-27-06</t>
  </si>
  <si>
    <t>20KB0177</t>
  </si>
  <si>
    <t>2020-6</t>
  </si>
  <si>
    <t>2020-06-0071</t>
  </si>
  <si>
    <t>MUNPINCE-2006-108</t>
  </si>
  <si>
    <t>ITB 2020-070</t>
  </si>
  <si>
    <t>20KB0178</t>
  </si>
  <si>
    <t>N-128-2020</t>
  </si>
  <si>
    <t>BTG3-2020-09</t>
  </si>
  <si>
    <t>06-0020-20</t>
  </si>
  <si>
    <t>PGL-20 S-26-06</t>
  </si>
  <si>
    <t>2020G - 017-616</t>
  </si>
  <si>
    <t>6068</t>
  </si>
  <si>
    <t>BTG3-2020-10</t>
  </si>
  <si>
    <t>NP-SVP-279-2020</t>
  </si>
  <si>
    <t>20PL0118</t>
  </si>
  <si>
    <t>TFB-061620-4</t>
  </si>
  <si>
    <t>2020-089</t>
  </si>
  <si>
    <t>2006-002</t>
  </si>
  <si>
    <t>2020 GOODS 26</t>
  </si>
  <si>
    <t>2006-001</t>
  </si>
  <si>
    <t>COBAC IB NO. 002 (G) S. 2020</t>
  </si>
  <si>
    <t>BGH - 06 - 0100</t>
  </si>
  <si>
    <t>013</t>
  </si>
  <si>
    <t>2020-003</t>
  </si>
  <si>
    <t>100-20-06-298</t>
  </si>
  <si>
    <t>2020-066</t>
  </si>
  <si>
    <t>100-20-06-668</t>
  </si>
  <si>
    <t>QES-06-019-20</t>
  </si>
  <si>
    <t>S2-PMG20-010</t>
  </si>
  <si>
    <t>2020-10 (20DI0145)</t>
  </si>
  <si>
    <t>15-Goods-2020</t>
  </si>
  <si>
    <t>2020-20% EDF - 29 - 3-01-001-008-1-10-2</t>
  </si>
  <si>
    <t>2020-ODY-06-178</t>
  </si>
  <si>
    <t>2020-Supplemental Budget - 02 - 1000-03-01-002-004</t>
  </si>
  <si>
    <t>012-2020</t>
  </si>
  <si>
    <t>RFQ-TPB-PR.2020.06.170</t>
  </si>
  <si>
    <t>2020-0089</t>
  </si>
  <si>
    <t>2020-10 (20DI0146)</t>
  </si>
  <si>
    <t>2020-24</t>
  </si>
  <si>
    <t>PR 74617</t>
  </si>
  <si>
    <t>20-06-0003</t>
  </si>
  <si>
    <t>2020-090</t>
  </si>
  <si>
    <t>2020-10 (20DI0147)</t>
  </si>
  <si>
    <t>AMP-RFQ-2020-080</t>
  </si>
  <si>
    <t>S2-ANT20-003</t>
  </si>
  <si>
    <t>2020-03</t>
  </si>
  <si>
    <t>Pr062000635</t>
  </si>
  <si>
    <t>LGU2020-06-50</t>
  </si>
  <si>
    <t>10FSSU-10428</t>
  </si>
  <si>
    <t>0332</t>
  </si>
  <si>
    <t>CGT- Goods- 2020- 00085</t>
  </si>
  <si>
    <t>20PL0119</t>
  </si>
  <si>
    <t>16-2020</t>
  </si>
  <si>
    <t>S2-GIG20-010</t>
  </si>
  <si>
    <t>06-07-2020</t>
  </si>
  <si>
    <t>Ibaan/2020/235</t>
  </si>
  <si>
    <t>MGB_RF-2020-0034</t>
  </si>
  <si>
    <t>2020-10 (20DI0148)</t>
  </si>
  <si>
    <t>PAPC-AGH_HHSG-2020-11138-5168</t>
  </si>
  <si>
    <t>2020-ODY-06-179</t>
  </si>
  <si>
    <t>F-007-0372-20</t>
  </si>
  <si>
    <t>TFB-061620-5</t>
  </si>
  <si>
    <t>2020-10 (20DI0149)</t>
  </si>
  <si>
    <t>PR062000636</t>
  </si>
  <si>
    <t>INFRA-20-48</t>
  </si>
  <si>
    <t>0337</t>
  </si>
  <si>
    <t>20PL0120</t>
  </si>
  <si>
    <t>2020-06-134</t>
  </si>
  <si>
    <t>SM-20-014</t>
  </si>
  <si>
    <t>PR-2020-1421</t>
  </si>
  <si>
    <t>INFRA-20-49</t>
  </si>
  <si>
    <t>20-27</t>
  </si>
  <si>
    <t>GOODS 2020-195(SVP)</t>
  </si>
  <si>
    <t>S2-ANT20-007</t>
  </si>
  <si>
    <t>GOODS #2020-276</t>
  </si>
  <si>
    <t>2020-10 (20DI0151)</t>
  </si>
  <si>
    <t>20-06-033</t>
  </si>
  <si>
    <t>MBT 2002</t>
  </si>
  <si>
    <t>2020-05</t>
  </si>
  <si>
    <t>2020-86</t>
  </si>
  <si>
    <t>20PL0121</t>
  </si>
  <si>
    <t>013-2020</t>
  </si>
  <si>
    <t>PAPC-AGH_HHSG-2020-10813-5028</t>
  </si>
  <si>
    <t>2020-10 (20DI0150)</t>
  </si>
  <si>
    <t>20-06-245</t>
  </si>
  <si>
    <t>2020-ODY-06-180</t>
  </si>
  <si>
    <t>20-01-0093</t>
  </si>
  <si>
    <t>ISQ 2020-06-066</t>
  </si>
  <si>
    <t>PAPC-AGH_HHSG-2020-10994-5062</t>
  </si>
  <si>
    <t>20-06-0359</t>
  </si>
  <si>
    <t>2020-10 (20DI0152)</t>
  </si>
  <si>
    <t>PR 74429</t>
  </si>
  <si>
    <t>2020-091</t>
  </si>
  <si>
    <t>AMP-RFQ 2020-052</t>
  </si>
  <si>
    <t>AMP-RFQ 2020-053</t>
  </si>
  <si>
    <t>20-06-0351</t>
  </si>
  <si>
    <t>RFQ-2020-06-17</t>
  </si>
  <si>
    <t>INFRA 2020-001</t>
  </si>
  <si>
    <t>2020-10 (20DI0153)</t>
  </si>
  <si>
    <t>2020-06-031</t>
  </si>
  <si>
    <t>2020-10 (20DI0155)</t>
  </si>
  <si>
    <t>2020-06-05B</t>
  </si>
  <si>
    <t>06-08-2020</t>
  </si>
  <si>
    <t>R3-BANE-FSDE-2019-BU-134</t>
  </si>
  <si>
    <t>2020-ODY-06-181</t>
  </si>
  <si>
    <t>2020-10 (20DI0154)</t>
  </si>
  <si>
    <t>PAPC-SBn_LSG_ASCOM-2020-10992-5104</t>
  </si>
  <si>
    <t>FB20-06-008COR - Procurement of Two (2) Years Subs</t>
  </si>
  <si>
    <t>AMP-RFQ 2020-054</t>
  </si>
  <si>
    <t>BRG-CDCPF Pastillas Balls Making Machine</t>
  </si>
  <si>
    <t>2020-06-135</t>
  </si>
  <si>
    <t>RFQ No. 2020-06-071</t>
  </si>
  <si>
    <t>2020-06-0561-MAIN</t>
  </si>
  <si>
    <t>PR 74433</t>
  </si>
  <si>
    <t>PR-2020-1316</t>
  </si>
  <si>
    <t>20-06-036</t>
  </si>
  <si>
    <t>2020-10 (20DI0157)</t>
  </si>
  <si>
    <t>2020-10 (20DI0156)</t>
  </si>
  <si>
    <t>DTI-IS -2020-08</t>
  </si>
  <si>
    <t>2020-10 (20DI0158)</t>
  </si>
  <si>
    <t>MUNPINCE-2006-109</t>
  </si>
  <si>
    <t>RBAC12-2020-SVP-F-046</t>
  </si>
  <si>
    <t>2020-0616-0009</t>
  </si>
  <si>
    <t>0449</t>
  </si>
  <si>
    <t>S2-LIM20-005</t>
  </si>
  <si>
    <t>PR No. 2020-02-072</t>
  </si>
  <si>
    <t>CMO-HRO-20-032(CB)</t>
  </si>
  <si>
    <t>RFQ No. 2020-06-072</t>
  </si>
  <si>
    <t>RFQ-2020-037</t>
  </si>
  <si>
    <t>2020-098(6)amp</t>
  </si>
  <si>
    <t>2020-10 (20DI0159)</t>
  </si>
  <si>
    <t>BIDSPPF2020-PR. 085 103 104 105</t>
  </si>
  <si>
    <t>2020-02-0277-MAIN</t>
  </si>
  <si>
    <t>G2020-06-030E</t>
  </si>
  <si>
    <t>17-2020</t>
  </si>
  <si>
    <t>2</t>
  </si>
  <si>
    <t>06-09-2020</t>
  </si>
  <si>
    <t>PAPC-OG1PA_HHSG-2020-11225-5239</t>
  </si>
  <si>
    <t>RBAC12-2020-SVP-F-047</t>
  </si>
  <si>
    <t>2020-0616-0011</t>
  </si>
  <si>
    <t>20-06-037</t>
  </si>
  <si>
    <t>RFQ-2020-038</t>
  </si>
  <si>
    <t>RFQ-20-06-005</t>
  </si>
  <si>
    <t>Goods2020-021</t>
  </si>
  <si>
    <t>2020-07</t>
  </si>
  <si>
    <t>S2-MPP20-018</t>
  </si>
  <si>
    <t>2020ALISHS-03-09</t>
  </si>
  <si>
    <t>LTFRB-2020-07</t>
  </si>
  <si>
    <t>2020-02-0182-MAIN</t>
  </si>
  <si>
    <t>20-06-039</t>
  </si>
  <si>
    <t>2020-099(6)amp</t>
  </si>
  <si>
    <t>06-10-2020</t>
  </si>
  <si>
    <t>PAPC-OG4_ASR-2020-11186-5229</t>
  </si>
  <si>
    <t>S20-05-0257</t>
  </si>
  <si>
    <t>RBAC12-2020-SVP-F-049</t>
  </si>
  <si>
    <t>PB-07092020-A</t>
  </si>
  <si>
    <t>G2020-06-031E</t>
  </si>
  <si>
    <t>S2020-06-085</t>
  </si>
  <si>
    <t>RFQ-2020-039</t>
  </si>
  <si>
    <t>RBAC12-2020-SVP-F-048</t>
  </si>
  <si>
    <t>IB NO.  2020-217</t>
  </si>
  <si>
    <t>S2-MPP20-023</t>
  </si>
  <si>
    <t>2020-0707-013</t>
  </si>
  <si>
    <t>RFQ-2020-05-003</t>
  </si>
  <si>
    <t>UPC SVP2020-06-023</t>
  </si>
  <si>
    <t>160620</t>
  </si>
  <si>
    <t>G2020-06-032E</t>
  </si>
  <si>
    <t>PB-07092020-B</t>
  </si>
  <si>
    <t>06-11-2020</t>
  </si>
  <si>
    <t>2020-100(6)amp</t>
  </si>
  <si>
    <t>S20-05-0263</t>
  </si>
  <si>
    <t>S20-05-0276</t>
  </si>
  <si>
    <t>G2020-06-034E</t>
  </si>
  <si>
    <t>2020-06-125</t>
  </si>
  <si>
    <t>JHS2020-06-009</t>
  </si>
  <si>
    <t>S20-05-0188</t>
  </si>
  <si>
    <t>20-06-038</t>
  </si>
  <si>
    <t>PAPC-OG2PA_HHSG-2020-11129-5202</t>
  </si>
  <si>
    <t>JHS2020-06-010</t>
  </si>
  <si>
    <t>2020-06-126</t>
  </si>
  <si>
    <t>2020-06-0197</t>
  </si>
  <si>
    <t>2020-005</t>
  </si>
  <si>
    <t>DOT-BAC-REI NO. 2020-011</t>
  </si>
  <si>
    <t>SVP20-484</t>
  </si>
  <si>
    <t>G2020-06-033E</t>
  </si>
  <si>
    <t>DOT-BAC-REI NO. 2020-012</t>
  </si>
  <si>
    <t>JHS2020-06-011</t>
  </si>
  <si>
    <t>G2020-06-035E</t>
  </si>
  <si>
    <t>PAPC-OG3PA_HHSG-2020-10987-5111</t>
  </si>
  <si>
    <t>20PD0131</t>
  </si>
  <si>
    <t>G2020-06-036E</t>
  </si>
  <si>
    <t>S20-02-0110</t>
  </si>
  <si>
    <t>S20-05-0125</t>
  </si>
  <si>
    <t>S20-06-0279</t>
  </si>
  <si>
    <t>LMC-2020-SJPIS-011-RO</t>
  </si>
  <si>
    <t>2020-101(6)amp</t>
  </si>
  <si>
    <t>DOT-BAC-REI NO. 2020-013</t>
  </si>
  <si>
    <t>SVP20-481</t>
  </si>
  <si>
    <t>PAPC-TSS_ASR-2020-11133-5233</t>
  </si>
  <si>
    <t>2020-06-127</t>
  </si>
  <si>
    <t>KHS-2020-013</t>
  </si>
  <si>
    <t>S20-05-0128</t>
  </si>
  <si>
    <t>PAPC-FCPA-2020-11207-5241</t>
  </si>
  <si>
    <t>PAPC-SBn_LSG_ASCOM-2020-10990-5133</t>
  </si>
  <si>
    <t>PIKCOT-SUPP-002020-00138</t>
  </si>
  <si>
    <t>RFQ 077-2020</t>
  </si>
  <si>
    <t>20202-002</t>
  </si>
  <si>
    <t>PROCUREMENT OF VARIOUS VACCINES COBAC IB NO. 003 (</t>
  </si>
  <si>
    <t>S20-05-0223</t>
  </si>
  <si>
    <t>S20-05-0130</t>
  </si>
  <si>
    <t>RFQ-20-0004</t>
  </si>
  <si>
    <t>S20-05-0230</t>
  </si>
  <si>
    <t>LGU-2020-162</t>
  </si>
  <si>
    <t>2020-6-6813</t>
  </si>
  <si>
    <t>20-06-005</t>
  </si>
  <si>
    <t>PB-07092020-C</t>
  </si>
  <si>
    <t>RFQ 078-2020</t>
  </si>
  <si>
    <t>RFQ2020-06-070</t>
  </si>
  <si>
    <t>NIH10027531</t>
  </si>
  <si>
    <t>WGS-19-063</t>
  </si>
  <si>
    <t>KHS - 2020 - 014</t>
  </si>
  <si>
    <t>2020-0134</t>
  </si>
  <si>
    <t>NHAXII-2020-042</t>
  </si>
  <si>
    <t>2020-0303</t>
  </si>
  <si>
    <t>2020-873</t>
  </si>
  <si>
    <t>20-06-006</t>
  </si>
  <si>
    <t>MG-A5M20-114</t>
  </si>
  <si>
    <t>AGINF2020-0617A</t>
  </si>
  <si>
    <t>20-06-008</t>
  </si>
  <si>
    <t>BCS-2020-0128</t>
  </si>
  <si>
    <t>BCS-2020-0129</t>
  </si>
  <si>
    <t>MG-A5M20-115</t>
  </si>
  <si>
    <t>AGINF2020-0617C</t>
  </si>
  <si>
    <t>sh-20-06-b-09</t>
  </si>
  <si>
    <t>20CSDK06</t>
  </si>
  <si>
    <t>2020-1930</t>
  </si>
  <si>
    <t>AGINF2020-0617B</t>
  </si>
  <si>
    <t>0616020</t>
  </si>
  <si>
    <t>2020-05-07</t>
  </si>
  <si>
    <t>061620-H01</t>
  </si>
  <si>
    <t>AGINF2020-0617D</t>
  </si>
  <si>
    <t>svp-20-02-a-05</t>
  </si>
  <si>
    <t>bfp12-16-2020</t>
  </si>
  <si>
    <t>2020-06-1</t>
  </si>
  <si>
    <t>20CSDK07</t>
  </si>
  <si>
    <t>sh-20-06-b-05</t>
  </si>
  <si>
    <t>061620-H02</t>
  </si>
  <si>
    <t>HFEP ITB 2020-001</t>
  </si>
  <si>
    <t>bfp12-18-2020</t>
  </si>
  <si>
    <t>20CF0002</t>
  </si>
  <si>
    <t>bfp12-17-2020</t>
  </si>
  <si>
    <t>2020-773</t>
  </si>
  <si>
    <t>PF-0620-602</t>
  </si>
  <si>
    <t>2020-04-06</t>
  </si>
  <si>
    <t>bfp12-19-2020</t>
  </si>
  <si>
    <t>F-0620-133</t>
  </si>
  <si>
    <t>1912020</t>
  </si>
  <si>
    <t>Y-0620-124</t>
  </si>
  <si>
    <t>1922020</t>
  </si>
  <si>
    <t>Y-0620-128</t>
  </si>
  <si>
    <t>Y-0620-126</t>
  </si>
  <si>
    <t>CGT-Goods- 2020-00086</t>
  </si>
  <si>
    <t>1932020</t>
  </si>
  <si>
    <t>DepED-RO6-D1- Hardware Materials with Installation</t>
  </si>
  <si>
    <t>2020-06-038</t>
  </si>
  <si>
    <t>2020-GOODS-249</t>
  </si>
  <si>
    <t>1942020</t>
  </si>
  <si>
    <t>T-0620-125</t>
  </si>
  <si>
    <t>2020-06-0065</t>
  </si>
  <si>
    <t>F-0620-127</t>
  </si>
  <si>
    <t>2020-BLU-AM2019-01-02</t>
  </si>
  <si>
    <t>1952020</t>
  </si>
  <si>
    <t>RO-2020-06-101</t>
  </si>
  <si>
    <t>G2020-001-A</t>
  </si>
  <si>
    <t>F-0620-131</t>
  </si>
  <si>
    <t>1972020</t>
  </si>
  <si>
    <t>F-0620-129</t>
  </si>
  <si>
    <t>2020-BLU-PCF2019-01-03</t>
  </si>
  <si>
    <t>05-07-2020 - CONCRETING OF FARM TO MARKET ROAD WIT</t>
  </si>
  <si>
    <t>CGT-Goods- 2020-00088</t>
  </si>
  <si>
    <t>none</t>
  </si>
  <si>
    <t>CGT-Goods- 2020-00089</t>
  </si>
  <si>
    <t>19102020</t>
  </si>
  <si>
    <t>2020-12</t>
  </si>
  <si>
    <t>1992020</t>
  </si>
  <si>
    <t>19GL00110</t>
  </si>
  <si>
    <t>1962020</t>
  </si>
  <si>
    <t>20CF0130</t>
  </si>
  <si>
    <t>1982020</t>
  </si>
  <si>
    <t>PR-1619JUN20-TV002</t>
  </si>
  <si>
    <t>2005-24</t>
  </si>
  <si>
    <t>INFRA2020-06-001</t>
  </si>
  <si>
    <t>B-G-2020-081</t>
  </si>
  <si>
    <t>CGT-Goods- 2020-00090</t>
  </si>
  <si>
    <t>2005-25</t>
  </si>
  <si>
    <t>19GL00111</t>
  </si>
  <si>
    <t>CGT-Goods- 2020-00091</t>
  </si>
  <si>
    <t>DepEd-SCM-Goods-2020-014</t>
  </si>
  <si>
    <t>PB 20-003</t>
  </si>
  <si>
    <t>None</t>
  </si>
  <si>
    <t>geps-2020-001</t>
  </si>
  <si>
    <t>PR-2020-6-089</t>
  </si>
  <si>
    <t>PR-2020-6-091</t>
  </si>
  <si>
    <t>PB2020-004 (GDS)</t>
  </si>
  <si>
    <t>2020-03-025-B</t>
  </si>
  <si>
    <t>GDS 20-055</t>
  </si>
  <si>
    <t>2005-34</t>
  </si>
  <si>
    <t>PR-2020-6-087</t>
  </si>
  <si>
    <t>19GL00112</t>
  </si>
  <si>
    <t>C06-01</t>
  </si>
  <si>
    <t>2020-06-0066</t>
  </si>
  <si>
    <t>2003-51</t>
  </si>
  <si>
    <t>B-G-2020-083</t>
  </si>
  <si>
    <t>20-06-445</t>
  </si>
  <si>
    <t>PHES JUNE2020-012</t>
  </si>
  <si>
    <t>06162020003</t>
  </si>
  <si>
    <t>SNHS-04-2020</t>
  </si>
  <si>
    <t>PB-20-208</t>
  </si>
  <si>
    <t>PR No. 20-06-044</t>
  </si>
  <si>
    <t>2020-06-046</t>
  </si>
  <si>
    <t>E06-01</t>
  </si>
  <si>
    <t>2020-06-045</t>
  </si>
  <si>
    <t>20GKA0005 / 2020-06-0136</t>
  </si>
  <si>
    <t>B-G-2020-082</t>
  </si>
  <si>
    <t>2020-03-026-A</t>
  </si>
  <si>
    <t>PR No. 20-06-043</t>
  </si>
  <si>
    <t>19GL00113</t>
  </si>
  <si>
    <t>INFRA-CAPIPISA-2020-01</t>
  </si>
  <si>
    <t>GTLMH-20-013</t>
  </si>
  <si>
    <t>20-05-409</t>
  </si>
  <si>
    <t>2020-0008</t>
  </si>
  <si>
    <t>PB-20-325</t>
  </si>
  <si>
    <t>PB-20-330</t>
  </si>
  <si>
    <t>B-G-2020-085</t>
  </si>
  <si>
    <t>B-G-2020-084</t>
  </si>
  <si>
    <t>RFQ#163-2020</t>
  </si>
  <si>
    <t>PB-20-329</t>
  </si>
  <si>
    <t>2005152</t>
  </si>
  <si>
    <t>INP 2020-05-0076</t>
  </si>
  <si>
    <t>2020-006-002</t>
  </si>
  <si>
    <t>PB-20-328</t>
  </si>
  <si>
    <t>2020-06-047</t>
  </si>
  <si>
    <t>PB-20-327</t>
  </si>
  <si>
    <t>PB-20-326</t>
  </si>
  <si>
    <t>GTLMH-TF-20-043 MHS</t>
  </si>
  <si>
    <t>2020-06-048</t>
  </si>
  <si>
    <t>PB-20-299</t>
  </si>
  <si>
    <t>2020 - 006 - 001</t>
  </si>
  <si>
    <t>SVP20-482</t>
  </si>
  <si>
    <t>RFQ-ATI-RTC4A-2020-06-069</t>
  </si>
  <si>
    <t>B-G-2020-088</t>
  </si>
  <si>
    <t>RFQ-ATI-RTC4A-2020-06-067</t>
  </si>
  <si>
    <t>RFQ-ATI-RTC4A-2020-06-070</t>
  </si>
  <si>
    <t>B-G-2020-087</t>
  </si>
  <si>
    <t>ITB No. R4B-20-06-07</t>
  </si>
  <si>
    <t>GTLMH-TF-20-044 MHS</t>
  </si>
  <si>
    <t>SVP20-483</t>
  </si>
  <si>
    <t>bfp12-20-2020</t>
  </si>
  <si>
    <t>20OH0152</t>
  </si>
  <si>
    <t>PB-20-331</t>
  </si>
  <si>
    <t>B-G-2020-086</t>
  </si>
  <si>
    <t>B5-2020-001</t>
  </si>
  <si>
    <t>2020 - 006 - 002</t>
  </si>
  <si>
    <t>RFQ-ATI-RTC4A-2020-06-068</t>
  </si>
  <si>
    <t>ITB No. GOP/20-DSWD-042</t>
  </si>
  <si>
    <t>GTLMH-TF-20-047 MDLS</t>
  </si>
  <si>
    <t>2020 - 006 - 003</t>
  </si>
  <si>
    <t>2020 - 006 - 005</t>
  </si>
  <si>
    <t>RFQ-202006-8309 RGMS-36140</t>
  </si>
  <si>
    <t>SAN JOAQUIN 2020-01</t>
  </si>
  <si>
    <t>2003-55</t>
  </si>
  <si>
    <t>B-G-2020-090</t>
  </si>
  <si>
    <t>RFQ-ATI-RTC4A-2020-06-071</t>
  </si>
  <si>
    <t>061620-B1</t>
  </si>
  <si>
    <t>RFQ-ATI-RTC4A-2020-06-073</t>
  </si>
  <si>
    <t>B-G-2020-092</t>
  </si>
  <si>
    <t>B-G-2020-089</t>
  </si>
  <si>
    <t>2020 - 006 - 006</t>
  </si>
  <si>
    <t>NFA-QZN-GOODS-F-001</t>
  </si>
  <si>
    <t>B-G-2020-091</t>
  </si>
  <si>
    <t>20S027</t>
  </si>
  <si>
    <t>RFQ-202006-8281 RGMS-36010</t>
  </si>
  <si>
    <t>2020 - 006 - 004</t>
  </si>
  <si>
    <t>RFQ-ATI-RTC4A-2020-06-072</t>
  </si>
  <si>
    <t>B-G-2020-093</t>
  </si>
  <si>
    <t>B-G-2020-094</t>
  </si>
  <si>
    <t>138 – 2020</t>
  </si>
  <si>
    <t>135– 2020</t>
  </si>
  <si>
    <t>137 – 2020</t>
  </si>
  <si>
    <t>R1-INIMO-20-05-015</t>
  </si>
  <si>
    <t>136 – 2020</t>
  </si>
  <si>
    <t>2020 - 006 - 008</t>
  </si>
  <si>
    <t>20-0020</t>
  </si>
  <si>
    <t>20-03-0255</t>
  </si>
  <si>
    <t>2020 - 006 - 007</t>
  </si>
  <si>
    <t>Bac-Pg-003-20</t>
  </si>
  <si>
    <t>RFQ-ATI-RTC4A-2020-06-054</t>
  </si>
  <si>
    <t>SVP20-485</t>
  </si>
  <si>
    <t>2020-05-0020</t>
  </si>
  <si>
    <t>06-16-2020-01</t>
  </si>
  <si>
    <t>RFQ-ATI-RTC4A-2020-06-074</t>
  </si>
  <si>
    <t>RFQ2020-015</t>
  </si>
  <si>
    <t>RFQ2020-016</t>
  </si>
  <si>
    <t>19-010-002</t>
  </si>
  <si>
    <t>BV-16-20</t>
  </si>
  <si>
    <t>RFQ-ATI-RTC4A-2020-06-055</t>
  </si>
  <si>
    <t>20-167</t>
  </si>
  <si>
    <t>BV-13-20</t>
  </si>
  <si>
    <t>20-1298</t>
  </si>
  <si>
    <t>2020-13</t>
  </si>
  <si>
    <t>BV-11-20</t>
  </si>
  <si>
    <t>BV-15-20</t>
  </si>
  <si>
    <t>ATI2020-06-115</t>
  </si>
  <si>
    <t>20-1339</t>
  </si>
  <si>
    <t>20-1338</t>
  </si>
  <si>
    <t>ATI2020-06-112</t>
  </si>
  <si>
    <t>ATI2020-06-114</t>
  </si>
  <si>
    <t>20-1302</t>
  </si>
  <si>
    <t>ATI2020-06-113</t>
  </si>
  <si>
    <t>PB037-20</t>
  </si>
  <si>
    <t>N2006 -348</t>
  </si>
  <si>
    <t>PPD-20-043 NP3(SV)</t>
  </si>
  <si>
    <t>MS2020-06-026.4</t>
  </si>
  <si>
    <t>BAC-2020-580</t>
  </si>
  <si>
    <t>MS2020-06-026.3</t>
  </si>
  <si>
    <t>2020-06-09-001</t>
  </si>
  <si>
    <t>ME2020-06-026.1</t>
  </si>
  <si>
    <t>MGBX-06-046-2020</t>
  </si>
  <si>
    <t>MS2020-06-026.2</t>
  </si>
  <si>
    <t>PR# 20-05-0563</t>
  </si>
  <si>
    <t>2020-06-09-002</t>
  </si>
  <si>
    <t>20-1243</t>
  </si>
  <si>
    <t>20-1212</t>
  </si>
  <si>
    <t>2020-02-20</t>
  </si>
  <si>
    <t>20GFO0015</t>
  </si>
  <si>
    <t>20-1380</t>
  </si>
  <si>
    <t>20-1385</t>
  </si>
  <si>
    <t>LSPUMCG20-01</t>
  </si>
  <si>
    <t>2020-07-07-040CW</t>
  </si>
  <si>
    <t>2020-07-07-039CW</t>
  </si>
  <si>
    <t>2020-07-07-030CW</t>
  </si>
  <si>
    <t>2020-07-07-037CW</t>
  </si>
  <si>
    <t>2020-07-07-036CW</t>
  </si>
  <si>
    <t>2020-07-07-038CW</t>
  </si>
  <si>
    <t>20GFO0014</t>
  </si>
  <si>
    <t>2020-07-07-049CW</t>
  </si>
  <si>
    <t>2020-02-0001</t>
  </si>
  <si>
    <t>2020-02-0002</t>
  </si>
  <si>
    <t>2020-07-07-048CW</t>
  </si>
  <si>
    <t>2020-07-07-031CW</t>
  </si>
  <si>
    <t>2020-07-07-034CW</t>
  </si>
  <si>
    <t>2020-07-07-046CW</t>
  </si>
  <si>
    <t>2020-07-07-035CW</t>
  </si>
  <si>
    <t>2020-07-07-041CW</t>
  </si>
  <si>
    <t>2020-02-0003</t>
  </si>
  <si>
    <t>2020-044</t>
  </si>
  <si>
    <t>2020-07-07-047CW</t>
  </si>
  <si>
    <t>2020-043</t>
  </si>
  <si>
    <t>2020-GOODS-4B</t>
  </si>
  <si>
    <t>2020-INFRA-17B</t>
  </si>
  <si>
    <t>2020-INFRA-23</t>
  </si>
  <si>
    <t>P.R. No. X11-20-02-104</t>
  </si>
  <si>
    <t>2020-069</t>
  </si>
  <si>
    <t>P.R. No. X11-20-04-194</t>
  </si>
  <si>
    <t>BFAR IV-A.PR20-0300</t>
  </si>
  <si>
    <t>MG-A5M20-076</t>
  </si>
  <si>
    <t>2020-068</t>
  </si>
  <si>
    <t>20-0799</t>
  </si>
  <si>
    <t>2020-INFRA-6D</t>
  </si>
  <si>
    <t>P.R. No. X4-20-03-137</t>
  </si>
  <si>
    <t>PR 329-20</t>
  </si>
  <si>
    <t>20CSN012</t>
  </si>
  <si>
    <t>2020-070</t>
  </si>
  <si>
    <t>ATI2020-06-116</t>
  </si>
  <si>
    <t>2020-INFRA-7D</t>
  </si>
  <si>
    <t>2020-LGU-Cuenca-046</t>
  </si>
  <si>
    <t>20-00044</t>
  </si>
  <si>
    <t>PR-2020-0783</t>
  </si>
  <si>
    <t>PR-162-100-2020</t>
  </si>
  <si>
    <t>2020-INFRA-18B</t>
  </si>
  <si>
    <t>PR-2020-0734</t>
  </si>
  <si>
    <t>PR-2020-1268</t>
  </si>
  <si>
    <t>PR-2020-0350</t>
  </si>
  <si>
    <t>20-06-08</t>
  </si>
  <si>
    <t>2020-072</t>
  </si>
  <si>
    <t>PR 1-20-03-0429 - CTO</t>
  </si>
  <si>
    <t>PR 1-20-01-0118 - CMO - SPORTS (REBIDDING LOTS 1-3</t>
  </si>
  <si>
    <t>2020-071</t>
  </si>
  <si>
    <t>PR 1-20-02-0402 - CEMO</t>
  </si>
  <si>
    <t>PR-2020-1190</t>
  </si>
  <si>
    <t>PR-2020-1189</t>
  </si>
  <si>
    <t>PR-2020-0465</t>
  </si>
  <si>
    <t>PR-2020-0352</t>
  </si>
  <si>
    <t>202003019</t>
  </si>
  <si>
    <t>PR 1-20-03-0473 - LEGAL</t>
  </si>
  <si>
    <t>PR 1-20-03-0515 - PESO</t>
  </si>
  <si>
    <t>PR 1-20-03-0437 - SPORTS</t>
  </si>
  <si>
    <t>PR 1-20-03-0482 - AGRI</t>
  </si>
  <si>
    <t>2020030012</t>
  </si>
  <si>
    <t>PR 1-20-03-0487 - CED</t>
  </si>
  <si>
    <t>100(01)20-02-0356</t>
  </si>
  <si>
    <t>RFQ No. 0155</t>
  </si>
  <si>
    <t>PR 1-20-03-0501 - PPMO</t>
  </si>
  <si>
    <t>PR 1-20-03-0497 - PESO</t>
  </si>
  <si>
    <t>PR 1-20-03-0490 - SPORTS</t>
  </si>
  <si>
    <t>2020-INFRA-22A</t>
  </si>
  <si>
    <t>PR 1-20-03-0489 - CEMO</t>
  </si>
  <si>
    <t>20-06-002</t>
  </si>
  <si>
    <t>ITB-140</t>
  </si>
  <si>
    <t>2020-074</t>
  </si>
  <si>
    <t>2020-073</t>
  </si>
  <si>
    <t>GHQPC-CYBER-TRNG-1112-20</t>
  </si>
  <si>
    <t>20-06-09</t>
  </si>
  <si>
    <t>BSWM PR 2020-05-1290</t>
  </si>
  <si>
    <t>2020-07-07-332PG</t>
  </si>
  <si>
    <t>2020-077</t>
  </si>
  <si>
    <t>100(01)20-05-1100</t>
  </si>
  <si>
    <t>2020-07-07-333PG</t>
  </si>
  <si>
    <t>JR# 020-0058</t>
  </si>
  <si>
    <t>2020-07-07-331PG</t>
  </si>
  <si>
    <t>2020-076</t>
  </si>
  <si>
    <t>JR# 020-0057</t>
  </si>
  <si>
    <t>2020-PR-98</t>
  </si>
  <si>
    <t>PR-2020-0665</t>
  </si>
  <si>
    <t>2020-07-07-334PG</t>
  </si>
  <si>
    <t>SB6 HDMP19 300-20-06-06236</t>
  </si>
  <si>
    <t>117213</t>
  </si>
  <si>
    <t>2020 002</t>
  </si>
  <si>
    <t>2020-080</t>
  </si>
  <si>
    <t>2020-083</t>
  </si>
  <si>
    <t>PR 1-20-05-0603 - ADMIN OFFICE (PIO)</t>
  </si>
  <si>
    <t>PR 1-20-03-0517 - CED</t>
  </si>
  <si>
    <t>PR 1-20-05-0586 - CEMO</t>
  </si>
  <si>
    <t>ISPQ 057-2020</t>
  </si>
  <si>
    <t>ISPQ 058-2020</t>
  </si>
  <si>
    <t>2020-082</t>
  </si>
  <si>
    <t>PR 1-20-04-0551 - AGRI</t>
  </si>
  <si>
    <t>PR 1-20-06-0659 - AGRI</t>
  </si>
  <si>
    <t>2020-081</t>
  </si>
  <si>
    <t>PR 1-20-04-0526 - CED</t>
  </si>
  <si>
    <t>PR 1-20-06-0631 - CED</t>
  </si>
  <si>
    <t>PR 1-20-04-0532 - PNP</t>
  </si>
  <si>
    <t>PR 1-20-06-0649 - CED</t>
  </si>
  <si>
    <t>PR 1-20-06-0657 - AGRI</t>
  </si>
  <si>
    <t>PR 4-20-03-0461 - CWD</t>
  </si>
  <si>
    <t>ISPQ 056-2020</t>
  </si>
  <si>
    <t>2020-07-07-336PG</t>
  </si>
  <si>
    <t>ISPQ 055-2020</t>
  </si>
  <si>
    <t>0215-2020</t>
  </si>
  <si>
    <t>2020-PR20-803-173</t>
  </si>
  <si>
    <t>PR 401-20-03-0494 - CEMO</t>
  </si>
  <si>
    <t>PR 2-20-03-0492 - PMSD</t>
  </si>
  <si>
    <t>2020-PR20-799-174</t>
  </si>
  <si>
    <t>PR 9-20-04-0533 - CITY HOSPITAL</t>
  </si>
  <si>
    <t>PR 401-20-03-0453 - CWD</t>
  </si>
  <si>
    <t>2020-PR20-812-176</t>
  </si>
  <si>
    <t>PR 18-20-04-0550 - CED</t>
  </si>
  <si>
    <t>2020-07-07-340PG</t>
  </si>
  <si>
    <t>2020-07-07-338PG</t>
  </si>
  <si>
    <t>2020-PR20-813-175</t>
  </si>
  <si>
    <t>PR 4-20-06-0634 - CWD</t>
  </si>
  <si>
    <t>2020-07-07-339PG</t>
  </si>
  <si>
    <t>SVP 20-06-113</t>
  </si>
  <si>
    <t>2020-07-07-342PG</t>
  </si>
  <si>
    <t>2020-07-07-337PG</t>
  </si>
  <si>
    <t>2020-07-07-335PG</t>
  </si>
  <si>
    <t>2020-07-07-348PG</t>
  </si>
  <si>
    <t>004</t>
  </si>
  <si>
    <t>2020-07-07-349PG</t>
  </si>
  <si>
    <t>2020-401-05</t>
  </si>
  <si>
    <t>2020-06-19-090NP</t>
  </si>
  <si>
    <t>2020-06-19-092NP</t>
  </si>
  <si>
    <t>2020-07-07-346PG</t>
  </si>
  <si>
    <t>2020-06-19-089NP</t>
  </si>
  <si>
    <t>2020-07-07-344PG</t>
  </si>
  <si>
    <t>2020-06-19-096NP</t>
  </si>
  <si>
    <t>2020-07-07-345PG</t>
  </si>
  <si>
    <t>2020-06-19-091NP</t>
  </si>
  <si>
    <t>2020-06-19-097NP</t>
  </si>
  <si>
    <t>2020-06-19-098NP</t>
  </si>
  <si>
    <t>2020-07-07-347PG</t>
  </si>
  <si>
    <t>2020-06-19-093NP</t>
  </si>
  <si>
    <t>2020-06-19-101NP</t>
  </si>
  <si>
    <t>2020-06-19-095NP</t>
  </si>
  <si>
    <t>2020-06-19-094NP</t>
  </si>
  <si>
    <t>2020-06-19-100NP</t>
  </si>
  <si>
    <t>2020-06-19-102NP</t>
  </si>
  <si>
    <t>2020-06-19-099NP</t>
  </si>
  <si>
    <t>2020-06-19-106NP</t>
  </si>
  <si>
    <t>2020-07-07-352PG</t>
  </si>
  <si>
    <t>2020-07-07-355PG</t>
  </si>
  <si>
    <t>2020-06-19-103NP</t>
  </si>
  <si>
    <t>2020-07-07-351PG</t>
  </si>
  <si>
    <t>2020-INFRA-016</t>
  </si>
  <si>
    <t>2020-07-07-353PG</t>
  </si>
  <si>
    <t>2020-07-07-350PG</t>
  </si>
  <si>
    <t>01-2020</t>
  </si>
  <si>
    <t>2020-06-19-105NP</t>
  </si>
  <si>
    <t>2020-07-07-356PG</t>
  </si>
  <si>
    <t>2020-06-003</t>
  </si>
  <si>
    <t>AKLAN BAC ITB 203 SERIES 2020</t>
  </si>
  <si>
    <t>RNAFS-2020-06-010</t>
  </si>
  <si>
    <t>2020-07-07-357PG</t>
  </si>
  <si>
    <t>AKLAN BAC ITB 341 SERIES 2020</t>
  </si>
  <si>
    <t>2020-07-07-058PG</t>
  </si>
  <si>
    <t>AKLAN BAC ITB 339 SERIES 2020</t>
  </si>
  <si>
    <t>AKLAN BAC ITB 340 SERIES 2020</t>
  </si>
  <si>
    <t>RNAFS-2020-06-011</t>
  </si>
  <si>
    <t>6-33-20</t>
  </si>
  <si>
    <t>AKLAN BAC ITB 338 SERIES 2020</t>
  </si>
  <si>
    <t>20201501</t>
  </si>
  <si>
    <t>RNAFS-2020-06-009</t>
  </si>
  <si>
    <t>AKLAN BAC ITB 337 SERIES 2020</t>
  </si>
  <si>
    <t>2020-01-004</t>
  </si>
  <si>
    <t>AKLAN BAC ITB 204 SERIES 2020</t>
  </si>
  <si>
    <t>2020-0615-0010</t>
  </si>
  <si>
    <t>06152020</t>
  </si>
  <si>
    <t>20GFD0010</t>
  </si>
  <si>
    <t>061520-01</t>
  </si>
  <si>
    <t>202003013</t>
  </si>
  <si>
    <t>20GFD0009</t>
  </si>
  <si>
    <t>S0-134</t>
  </si>
  <si>
    <t>DCFO-2020-06-038</t>
  </si>
  <si>
    <t>VS-2020-06-01</t>
  </si>
  <si>
    <t>6-20-38</t>
  </si>
  <si>
    <t>2020-06-0264</t>
  </si>
  <si>
    <t>A-2020-15</t>
  </si>
  <si>
    <t>2020 Caib 088</t>
  </si>
  <si>
    <t>RFQ NO. SVP-009-2020</t>
  </si>
  <si>
    <t>PDI PR No. 2020-05-030</t>
  </si>
  <si>
    <t>202-02</t>
  </si>
  <si>
    <t>RFQ-012-2020</t>
  </si>
  <si>
    <t>S0-135</t>
  </si>
  <si>
    <t>20BH0141</t>
  </si>
  <si>
    <t>2020-06-065</t>
  </si>
  <si>
    <t>2020-0468</t>
  </si>
  <si>
    <t>S-2020-0031</t>
  </si>
  <si>
    <t>RFQ NO. SVP-010-2020</t>
  </si>
  <si>
    <t>6-20-39</t>
  </si>
  <si>
    <t>2020-219</t>
  </si>
  <si>
    <t>20050041</t>
  </si>
  <si>
    <t>BSWM PR 2020-05-1222</t>
  </si>
  <si>
    <t>A-2020-16</t>
  </si>
  <si>
    <t>LGUPROC 2020 -103R</t>
  </si>
  <si>
    <t>2020-220</t>
  </si>
  <si>
    <t>CSI-2020-015</t>
  </si>
  <si>
    <t>100-8751-20-182</t>
  </si>
  <si>
    <t>023-06-2020</t>
  </si>
  <si>
    <t>2020-02-138</t>
  </si>
  <si>
    <t>0018-0006-0595-2020</t>
  </si>
  <si>
    <t>ITB-021-2020</t>
  </si>
  <si>
    <t>R.I.S. No.: 20-88-076</t>
  </si>
  <si>
    <t>100-8751-20-318</t>
  </si>
  <si>
    <t>FOG NSRRDC 2020-06-039</t>
  </si>
  <si>
    <t>20-06-60</t>
  </si>
  <si>
    <t>20GFD0011</t>
  </si>
  <si>
    <t>SVP055-2020</t>
  </si>
  <si>
    <t>03a-G-2020 (SB)</t>
  </si>
  <si>
    <t>016</t>
  </si>
  <si>
    <t>LGU_Piddig_2020_041</t>
  </si>
  <si>
    <t>JUNE152020</t>
  </si>
  <si>
    <t>2020-221</t>
  </si>
  <si>
    <t>0018-0005-0574-2020</t>
  </si>
  <si>
    <t>20-06-011</t>
  </si>
  <si>
    <t>105CO-10288-5MIB-2020</t>
  </si>
  <si>
    <t>RFQ No. 2020 Shopping 089</t>
  </si>
  <si>
    <t>P-05-20</t>
  </si>
  <si>
    <t>RFQ-DVO-PR.NO. 2006043 CAT. 70 BUSINESS AND BICYCL</t>
  </si>
  <si>
    <t>2020-222</t>
  </si>
  <si>
    <t>GOODS-52-2020</t>
  </si>
  <si>
    <t>2020-06-0258</t>
  </si>
  <si>
    <t>2020-004</t>
  </si>
  <si>
    <t>3-01-001-20-081</t>
  </si>
  <si>
    <t>RFQ No. 2020 SVP - 039</t>
  </si>
  <si>
    <t>2020-055</t>
  </si>
  <si>
    <t>06152020-</t>
  </si>
  <si>
    <t>20-0610-4411</t>
  </si>
  <si>
    <t>ITB-ATI-CO-2020-07</t>
  </si>
  <si>
    <t>25</t>
  </si>
  <si>
    <t>POW - 8751 - 2020 - LBS - 01</t>
  </si>
  <si>
    <t>2020-0221</t>
  </si>
  <si>
    <t>M-20-006-A</t>
  </si>
  <si>
    <t>LTFRB-2020-06</t>
  </si>
  <si>
    <t>100(01)20-06-312(A)</t>
  </si>
  <si>
    <t>SJ 2020-42-GOODS</t>
  </si>
  <si>
    <t>06152020-A</t>
  </si>
  <si>
    <t>0003-0078-0984-2020</t>
  </si>
  <si>
    <t>7FPAO-18-20</t>
  </si>
  <si>
    <t>2020-06-165-B</t>
  </si>
  <si>
    <t>20-45010</t>
  </si>
  <si>
    <t>PR# 20-0733</t>
  </si>
  <si>
    <t>20GFD0012</t>
  </si>
  <si>
    <t>RFQ No.: BIR-RR11-2020-011</t>
  </si>
  <si>
    <t xml:space="preserve">RFQ-DVO-PR.NO. 2006087 CAT. 46 PAINTING TOOLS AND </t>
  </si>
  <si>
    <t>FOG PNAD</t>
  </si>
  <si>
    <t>20-05-387a</t>
  </si>
  <si>
    <t>2020-06-050</t>
  </si>
  <si>
    <t>PROPERTY 2020-06-15</t>
  </si>
  <si>
    <t>20GFD0013</t>
  </si>
  <si>
    <t>2020-03-189</t>
  </si>
  <si>
    <t>100(01)20-06-009(K)</t>
  </si>
  <si>
    <t>2020-06-166-B</t>
  </si>
  <si>
    <t>RFQ 408</t>
  </si>
  <si>
    <t>P-06-20</t>
  </si>
  <si>
    <t>ITB No. 032-2020  GQ</t>
  </si>
  <si>
    <t>0003-0077-0983-2020</t>
  </si>
  <si>
    <t>2020-0183</t>
  </si>
  <si>
    <t>2020-06-327</t>
  </si>
  <si>
    <t>2020-06-051</t>
  </si>
  <si>
    <t>20-03-396</t>
  </si>
  <si>
    <t>027</t>
  </si>
  <si>
    <t>272-2020</t>
  </si>
  <si>
    <t>200-2020-04-138</t>
  </si>
  <si>
    <t>RFQ-DVO-PR.NO. 2005193 CAT. 41.1 ELECTRONIC CONSUM</t>
  </si>
  <si>
    <t>ITB No. (INF) 2020-06-089 CONCRETING OF CAROLINA –</t>
  </si>
  <si>
    <t>100(01)20-06-323(O)</t>
  </si>
  <si>
    <t>06-60-2020</t>
  </si>
  <si>
    <t>PEO-20-0676 NP (SV)</t>
  </si>
  <si>
    <t>100(01)20-06-313(A)</t>
  </si>
  <si>
    <t>2020-067</t>
  </si>
  <si>
    <t>POW - 8751 - 2020 - PCO - 02</t>
  </si>
  <si>
    <t>20-0106</t>
  </si>
  <si>
    <t>BSWM PR 2020-02-0940</t>
  </si>
  <si>
    <t>2020 Dallag 1</t>
  </si>
  <si>
    <t>20JBG0041</t>
  </si>
  <si>
    <t>2020-290</t>
  </si>
  <si>
    <t>GSO-20-0349</t>
  </si>
  <si>
    <t>2020-03-188</t>
  </si>
  <si>
    <t>2020LGU-04-39A</t>
  </si>
  <si>
    <t>ITB No. 033-2020 GQ</t>
  </si>
  <si>
    <t>2020-092</t>
  </si>
  <si>
    <t>2020-06-22-20DF20 (INFRA)</t>
  </si>
  <si>
    <t>RFQ 2020-06-019 - PR 2020-05-023</t>
  </si>
  <si>
    <t>2020-06-304-16</t>
  </si>
  <si>
    <t>RFQ-DVO-PR.NO. 2006045 CAT. 21 ELECTRICAL SUPPLIES</t>
  </si>
  <si>
    <t>ITB No. (INF) 2020-06-090 CONSTRUCTION OF MULTI-PU</t>
  </si>
  <si>
    <t>06-20-11</t>
  </si>
  <si>
    <t>SVP056-2020</t>
  </si>
  <si>
    <t>028</t>
  </si>
  <si>
    <t>RFQ-DVO-PR.NO. 2006055 CAT. 60 TIRE, BATTERIES AND</t>
  </si>
  <si>
    <t>TF-20-06-009(T)</t>
  </si>
  <si>
    <t>2020-02-136</t>
  </si>
  <si>
    <t>INFRA-2020-06-002</t>
  </si>
  <si>
    <t>2020 Dallag 2</t>
  </si>
  <si>
    <t>AKLAN BAC ITB 345 SERIES 2020</t>
  </si>
  <si>
    <t>TF-20-06-010(T)</t>
  </si>
  <si>
    <t>100(01)20-06-023(AA)</t>
  </si>
  <si>
    <t>ITB No. (INF) 2020-06-091 REHABILITATION/CONSTRUCT</t>
  </si>
  <si>
    <t>100(01)20-06-024(AA)</t>
  </si>
  <si>
    <t>RFQ-DVO-PR.NO. 2005253 CAT. 65 VETERINARY SUPPLIES</t>
  </si>
  <si>
    <t>ADS-0467-20</t>
  </si>
  <si>
    <t>SVP 028-2020</t>
  </si>
  <si>
    <t>P-07-20</t>
  </si>
  <si>
    <t>2020-06-0114</t>
  </si>
  <si>
    <t>20-06124PR</t>
  </si>
  <si>
    <t>061520-02</t>
  </si>
  <si>
    <t>20-44536</t>
  </si>
  <si>
    <t>ISPSC-2020-G-K007</t>
  </si>
  <si>
    <t>PR#20-02-0024 - Rebid</t>
  </si>
  <si>
    <t>SJ 2020-10-GOODS</t>
  </si>
  <si>
    <t>PBG-2020-06-77</t>
  </si>
  <si>
    <t>100(01)20-06-025(AA)</t>
  </si>
  <si>
    <t>2020-02-140</t>
  </si>
  <si>
    <t>S0-136</t>
  </si>
  <si>
    <t>AKLAN BAC ITB 344 SERIES 2020</t>
  </si>
  <si>
    <t>20-0107</t>
  </si>
  <si>
    <t>2020 Kabalantian 2</t>
  </si>
  <si>
    <t>2020-186</t>
  </si>
  <si>
    <t>2020-06-09-20DF20 (INFRA)</t>
  </si>
  <si>
    <t>2020-06-0441</t>
  </si>
  <si>
    <t>MIL-GOODS-2020-06-02</t>
  </si>
  <si>
    <t>2020-06-052</t>
  </si>
  <si>
    <t>2020-032</t>
  </si>
  <si>
    <t>2020-0001</t>
  </si>
  <si>
    <t>2020 - 06 -21</t>
  </si>
  <si>
    <t>PR No. 401-048 dated 5/21/2020</t>
  </si>
  <si>
    <t>Invitation to Bid 07-2020</t>
  </si>
  <si>
    <t>20-06-097</t>
  </si>
  <si>
    <t>20-006-006</t>
  </si>
  <si>
    <t>ITB No. (INF) 2020-06-092 CONSTRUCTION OF TRIPLE B</t>
  </si>
  <si>
    <t>2020-GOODS-033</t>
  </si>
  <si>
    <t>2020-03-186</t>
  </si>
  <si>
    <t>100(01)20-03-025(N)</t>
  </si>
  <si>
    <t>BAC 2020-30</t>
  </si>
  <si>
    <t>ITB No. 034-2020 GQ</t>
  </si>
  <si>
    <t>SVP057-2020</t>
  </si>
  <si>
    <t>RFQ-DVO-PR.NO. 2006047 CAT. 27 FURNITURE AND FIXTU</t>
  </si>
  <si>
    <t>100(01)20-03-026(N)</t>
  </si>
  <si>
    <t>P-08-20</t>
  </si>
  <si>
    <t>273-2020</t>
  </si>
  <si>
    <t>MG-A5C20-050</t>
  </si>
  <si>
    <t>2020-15-06-25</t>
  </si>
  <si>
    <t>2020-06-122 (06207512)</t>
  </si>
  <si>
    <t>100(01)20-03-027(N)</t>
  </si>
  <si>
    <t>2020-G-072</t>
  </si>
  <si>
    <t>100(01)20-02-0437</t>
  </si>
  <si>
    <t>2020-0142</t>
  </si>
  <si>
    <t>772</t>
  </si>
  <si>
    <t>goods2020_30</t>
  </si>
  <si>
    <t>2020-0002</t>
  </si>
  <si>
    <t>100-20-06-105</t>
  </si>
  <si>
    <t>013-SVP-2020</t>
  </si>
  <si>
    <t>100(01)20-04-0897</t>
  </si>
  <si>
    <t>2020-0003</t>
  </si>
  <si>
    <t>100(01)20-04-029(N)</t>
  </si>
  <si>
    <t>2020-15-06-26</t>
  </si>
  <si>
    <t>RFQ-DVO-PR.NO. 2005197 CAT. 14 CONSTRUCTION SUPPLI</t>
  </si>
  <si>
    <t>RFQ 2020-0239</t>
  </si>
  <si>
    <t>Brgy. Bersamin - 2020 - 017</t>
  </si>
  <si>
    <t>DA 8 SVP Goods 2020-06-0070 (Corn 20-05-28-0163)</t>
  </si>
  <si>
    <t>2020 Allab 2</t>
  </si>
  <si>
    <t>01</t>
  </si>
  <si>
    <t>2020-356</t>
  </si>
  <si>
    <t>G19-2020</t>
  </si>
  <si>
    <t>Brgy. Bersamin - 2020 - 016</t>
  </si>
  <si>
    <t>274-2020</t>
  </si>
  <si>
    <t>S0-137</t>
  </si>
  <si>
    <t>PR No. 401-047 dated 5/21/20</t>
  </si>
  <si>
    <t>RFQ-DVO-PR.NO. 2006050 CAT. 25 FOOD AND CATERING S</t>
  </si>
  <si>
    <t>2020-796</t>
  </si>
  <si>
    <t>Invitation to Bid 08-2020</t>
  </si>
  <si>
    <t>SVP058-2020</t>
  </si>
  <si>
    <t>JUNE152020-2</t>
  </si>
  <si>
    <t>TF-20-06-328(O)</t>
  </si>
  <si>
    <t>20-06-175</t>
  </si>
  <si>
    <t>2020-02-004</t>
  </si>
  <si>
    <t>MIL-GOODS-2020-06-03</t>
  </si>
  <si>
    <t>2020-06-053</t>
  </si>
  <si>
    <t>2020-439</t>
  </si>
  <si>
    <t>20-03-486</t>
  </si>
  <si>
    <t>1331-06-20</t>
  </si>
  <si>
    <t>RFQ 407</t>
  </si>
  <si>
    <t>C-2020-006</t>
  </si>
  <si>
    <t>goods2020_31</t>
  </si>
  <si>
    <t>100(01)20-06-026(AA)</t>
  </si>
  <si>
    <t>2020 Anapolon 3</t>
  </si>
  <si>
    <t>WV1-20-06-020</t>
  </si>
  <si>
    <t>2020-06-305-17</t>
  </si>
  <si>
    <t>SVP 2020-352</t>
  </si>
  <si>
    <t>RFQ 489</t>
  </si>
  <si>
    <t>1251</t>
  </si>
  <si>
    <t>2020-0004</t>
  </si>
  <si>
    <t>06192020-086</t>
  </si>
  <si>
    <t>ADS-0195-20</t>
  </si>
  <si>
    <t>2020-200</t>
  </si>
  <si>
    <t>2020-06-118 (0207512)</t>
  </si>
  <si>
    <t>20-45216</t>
  </si>
  <si>
    <t>100(01)20-06-315(A)</t>
  </si>
  <si>
    <t>ITB No. 035-2020 GQ</t>
  </si>
  <si>
    <t>100-20-06-106</t>
  </si>
  <si>
    <t>20-06-098</t>
  </si>
  <si>
    <t>Brgy. Bersamin - 2020 - 018</t>
  </si>
  <si>
    <t>2020 Tumanding 5</t>
  </si>
  <si>
    <t>100(01)20-06-091(Q)</t>
  </si>
  <si>
    <t>mos-20-0237</t>
  </si>
  <si>
    <t>275-2020</t>
  </si>
  <si>
    <t>DDOP-20-4361</t>
  </si>
  <si>
    <t>RMASS-LAU-032020-428</t>
  </si>
  <si>
    <t>RFQ-DVO-PR.NO. 2005210 CAT. 49 PRINTED FORMS AND P</t>
  </si>
  <si>
    <t>RFQ-DVO-PR.NO. 2005231 CAT. 49 PRINTED FORMS AND P</t>
  </si>
  <si>
    <t>PBG-2020-06-20</t>
  </si>
  <si>
    <t>RFQ NO 20-06-058</t>
  </si>
  <si>
    <t>6-34-20</t>
  </si>
  <si>
    <t>ITB No. 036-2020 GQ</t>
  </si>
  <si>
    <t>2020-20-001</t>
  </si>
  <si>
    <t>MGB_RF-2020-0033</t>
  </si>
  <si>
    <t>G20-2020</t>
  </si>
  <si>
    <t>2020-15-06-27</t>
  </si>
  <si>
    <t>RFQ 2020-0238</t>
  </si>
  <si>
    <t>2020-06-04-20DF20 (INFRA)</t>
  </si>
  <si>
    <t>100(01)20-06-331(O)</t>
  </si>
  <si>
    <t>100-2020-006-022</t>
  </si>
  <si>
    <t>NCMH-SVP-Live Streaming Material CY-2020</t>
  </si>
  <si>
    <t>2020-035</t>
  </si>
  <si>
    <t>CS-OCM-062020-112</t>
  </si>
  <si>
    <t>JUNE152020-3</t>
  </si>
  <si>
    <t>2020 Meocan 20</t>
  </si>
  <si>
    <t>Brgy. Bersamin  - 2020 - 019</t>
  </si>
  <si>
    <t>PR#20-06-0308</t>
  </si>
  <si>
    <t>V01-June-20</t>
  </si>
  <si>
    <t>MG-A5M20-086</t>
  </si>
  <si>
    <t>RFQ-106-2020</t>
  </si>
  <si>
    <t>JFMH-047-20-RFQ</t>
  </si>
  <si>
    <t>SFP-2020-06-0188</t>
  </si>
  <si>
    <t>100-20-05-104</t>
  </si>
  <si>
    <t>06-20-12</t>
  </si>
  <si>
    <t>SVP 2020-347</t>
  </si>
  <si>
    <t>PEO-20-0504 B (REBID)</t>
  </si>
  <si>
    <t>RFQ-DVO-PR.NO. 2005233 CAT. 87 OXYGEN AND ACETYLEN</t>
  </si>
  <si>
    <t>pal-20-06-012</t>
  </si>
  <si>
    <t>Brgy. Kisikis - 2020 - 021</t>
  </si>
  <si>
    <t>276-2020</t>
  </si>
  <si>
    <t>RFQ 2020-0237</t>
  </si>
  <si>
    <t>6152020-025</t>
  </si>
  <si>
    <t>RMASS-LAU-032020-218</t>
  </si>
  <si>
    <t>BFARIX-FMRED-20-03-255</t>
  </si>
  <si>
    <t>PR No. 101-201 dated 6/5/2020</t>
  </si>
  <si>
    <t>ITB No. 037-2020 GQ</t>
  </si>
  <si>
    <t>06-20-13</t>
  </si>
  <si>
    <t>goods2020_32</t>
  </si>
  <si>
    <t>Brgy. Pindangan Centro - 2020 - 020</t>
  </si>
  <si>
    <t>20ID0073</t>
  </si>
  <si>
    <t>RFQ-DVO-PR.NO. 2006089 CAT. 87 OXYGEN AND ACETYLEN</t>
  </si>
  <si>
    <t>20-06-099</t>
  </si>
  <si>
    <t>508-2020</t>
  </si>
  <si>
    <t>Brgy. Kisikis - 2020 - 022</t>
  </si>
  <si>
    <t>RFQ-DVO-PR.NO. 2006017 CAT. 32 JANITORIAL SUPPLIES</t>
  </si>
  <si>
    <t>JUNE152020-4</t>
  </si>
  <si>
    <t>RFQ-125-2020-CDD</t>
  </si>
  <si>
    <t>20-45358</t>
  </si>
  <si>
    <t>2020 Napalico 5</t>
  </si>
  <si>
    <t>S0-138</t>
  </si>
  <si>
    <t>029</t>
  </si>
  <si>
    <t>PR#20-06-0309</t>
  </si>
  <si>
    <t>depedilocossur-2020-06-015</t>
  </si>
  <si>
    <t>2020-2076-03-152-B</t>
  </si>
  <si>
    <t>277-2020</t>
  </si>
  <si>
    <t>pal-20-06-013</t>
  </si>
  <si>
    <t>117220LCES</t>
  </si>
  <si>
    <t>2020-06-028-SB2 2019 (INFRA)</t>
  </si>
  <si>
    <t>06-20-14</t>
  </si>
  <si>
    <t>014-2020</t>
  </si>
  <si>
    <t>rfq#2020-04-1,972-vice governor's office</t>
  </si>
  <si>
    <t>ADS-0421-20</t>
  </si>
  <si>
    <t>PPSC BAC IB NO.007 (G) 2020</t>
  </si>
  <si>
    <t>2020-02-006</t>
  </si>
  <si>
    <t>200-20-05-003</t>
  </si>
  <si>
    <t>2020-06-0135</t>
  </si>
  <si>
    <t>CG-RFQ-111-2020</t>
  </si>
  <si>
    <t>2020-06-152</t>
  </si>
  <si>
    <t>06-20-15</t>
  </si>
  <si>
    <t>06-00737</t>
  </si>
  <si>
    <t>0436</t>
  </si>
  <si>
    <t>0023-0060-0838-2020</t>
  </si>
  <si>
    <t>BACRFQ2020-086</t>
  </si>
  <si>
    <t>2020-07-07-358PG</t>
  </si>
  <si>
    <t>06-20-16</t>
  </si>
  <si>
    <t>20-06-101</t>
  </si>
  <si>
    <t>JUNE152020-5</t>
  </si>
  <si>
    <t>UPB2020.036</t>
  </si>
  <si>
    <t>1250</t>
  </si>
  <si>
    <t>rfq#2020-04-2,156-vice governor's office</t>
  </si>
  <si>
    <t>2020-06-</t>
  </si>
  <si>
    <t>PR2020-06-02-073</t>
  </si>
  <si>
    <t>blguamot-2019</t>
  </si>
  <si>
    <t>2020-PLA-059</t>
  </si>
  <si>
    <t>PCADG-6-15-2020</t>
  </si>
  <si>
    <t>2020-05-09</t>
  </si>
  <si>
    <t>2020-06-0342</t>
  </si>
  <si>
    <t>SVP 2020-333</t>
  </si>
  <si>
    <t>202044</t>
  </si>
  <si>
    <t>2020-06-392</t>
  </si>
  <si>
    <t>rfq#2020-05-2,544-pgo-popdev</t>
  </si>
  <si>
    <t>2020-17</t>
  </si>
  <si>
    <t>06-20-17</t>
  </si>
  <si>
    <t>RFQ-DVO-PR.NO. 2005160 CAT. 27 FURNITURE AND FIXTU</t>
  </si>
  <si>
    <t>20-06-100</t>
  </si>
  <si>
    <t>2020-100</t>
  </si>
  <si>
    <t>UCT-2020-06-0189</t>
  </si>
  <si>
    <t>06-20-18</t>
  </si>
  <si>
    <t>H02-June-20</t>
  </si>
  <si>
    <t>2020-26</t>
  </si>
  <si>
    <t>24-2020-001</t>
  </si>
  <si>
    <t>NCMH-SVP-PM-VARIOUS MEDICAL EQUIPMENT CY2020</t>
  </si>
  <si>
    <t>FAS-20-09</t>
  </si>
  <si>
    <t>2020-1150</t>
  </si>
  <si>
    <t>PR. 20-06-212 (2020-06-204)</t>
  </si>
  <si>
    <t>2020-06-029-SB2019 (INFRA)</t>
  </si>
  <si>
    <t>RFQ-DVO-PR.NO. 2005265 CAT. 27 FURNITURE AND FIXTU</t>
  </si>
  <si>
    <t>06-20-19</t>
  </si>
  <si>
    <t>MMO-030-2020</t>
  </si>
  <si>
    <t>SVP 2020-349</t>
  </si>
  <si>
    <t>PR#20-06-0317</t>
  </si>
  <si>
    <t>RFG-2020-G-143</t>
  </si>
  <si>
    <t>2020 Caib 089</t>
  </si>
  <si>
    <t>LB-DF-20-4</t>
  </si>
  <si>
    <t>06-20-20</t>
  </si>
  <si>
    <t>CW-1-112-2020</t>
  </si>
  <si>
    <t>FAS-20-10</t>
  </si>
  <si>
    <t>GHQPC-AFPMCC-TELM-1117-20</t>
  </si>
  <si>
    <t>2020-1424</t>
  </si>
  <si>
    <t>100(01)20-03-0849</t>
  </si>
  <si>
    <t>06-20-21</t>
  </si>
  <si>
    <t>20JI0086</t>
  </si>
  <si>
    <t>300-20-05-0023 (LOT 1)</t>
  </si>
  <si>
    <t>20-CRG-20-06-1030</t>
  </si>
  <si>
    <t>2020-06-0343</t>
  </si>
  <si>
    <t>RFQ 04-064-2020</t>
  </si>
  <si>
    <t>6FSSU-006</t>
  </si>
  <si>
    <t>RFQ 405</t>
  </si>
  <si>
    <t>20GBE0017</t>
  </si>
  <si>
    <t>20-06-SA0097</t>
  </si>
  <si>
    <t>278-2020</t>
  </si>
  <si>
    <t>20-06-0633</t>
  </si>
  <si>
    <t>06-20-22</t>
  </si>
  <si>
    <t>FAS-20-11</t>
  </si>
  <si>
    <t>bac-20-0615a</t>
  </si>
  <si>
    <t>0677</t>
  </si>
  <si>
    <t>2020-05-0003</t>
  </si>
  <si>
    <t>PEO-20-0695 B</t>
  </si>
  <si>
    <t>RB-06-2020-I</t>
  </si>
  <si>
    <t>236A</t>
  </si>
  <si>
    <t>RFQ-DVO-PR.NO. 2005254 CAT. 65 VETERINARY SUPPLIES</t>
  </si>
  <si>
    <t>MIL-INFR-2020-06-01</t>
  </si>
  <si>
    <t>FAS-20-12</t>
  </si>
  <si>
    <t>SVP 2020-348</t>
  </si>
  <si>
    <t>BIDSTAC # NP-SVP 105-(1)-2020</t>
  </si>
  <si>
    <t>rfq#2020-05-2,548-pgo-popdev</t>
  </si>
  <si>
    <t>RFQ-DVO-PR.NO. 2005208 CAT. 64 VETERINARY DRUGS AN</t>
  </si>
  <si>
    <t>mos-20-0238</t>
  </si>
  <si>
    <t>2020-01-001</t>
  </si>
  <si>
    <t>06-20-23</t>
  </si>
  <si>
    <t>PAPC-NCRRCDG_ARESCOM-2020-11247-5250</t>
  </si>
  <si>
    <t>V03-June-20</t>
  </si>
  <si>
    <t>CG-RFQ-113-2020</t>
  </si>
  <si>
    <t>BXU-2020-28</t>
  </si>
  <si>
    <t>rfq#2020-05-2,560-pgo-bac secretariat</t>
  </si>
  <si>
    <t>100-20-02-015</t>
  </si>
  <si>
    <t>2020-07-07-359PG</t>
  </si>
  <si>
    <t>bac-20-0615b</t>
  </si>
  <si>
    <t>2020-310</t>
  </si>
  <si>
    <t>PSU-INFRA-2020-004</t>
  </si>
  <si>
    <t>RFQ-DVO-PR.NO. 2006044 CAT. 39 MEDICAL SUPPLIES AN</t>
  </si>
  <si>
    <t>PR# 20-03-0438</t>
  </si>
  <si>
    <t>BACRFQ2020-087</t>
  </si>
  <si>
    <t xml:space="preserve">RFQ-DVO-PR.NO. 2006011 CAT. 46 PAINTING TOOLS AND </t>
  </si>
  <si>
    <t>FAS-20-13</t>
  </si>
  <si>
    <t>2020-06-0103</t>
  </si>
  <si>
    <t>PGL-20 NEGO 24-06</t>
  </si>
  <si>
    <t>2020- 06-001</t>
  </si>
  <si>
    <t>2020-06-0344</t>
  </si>
  <si>
    <t>300-20-03-0047</t>
  </si>
  <si>
    <t>2020-058</t>
  </si>
  <si>
    <t>06-20-24</t>
  </si>
  <si>
    <t>20-407</t>
  </si>
  <si>
    <t>rfq#2020-06-2,582-pgo-pdea</t>
  </si>
  <si>
    <t>2020-06-15-01</t>
  </si>
  <si>
    <t>436-06-2020 (IPHO)</t>
  </si>
  <si>
    <t>BIDSTAC # NP-SVP 099-(1)-2020</t>
  </si>
  <si>
    <t>FAS-20-14</t>
  </si>
  <si>
    <t>BACRFQ2020-088</t>
  </si>
  <si>
    <t>2020-06-291</t>
  </si>
  <si>
    <t>AVRC -2020-06-0190</t>
  </si>
  <si>
    <t>06192020-087</t>
  </si>
  <si>
    <t>CW-1-114-2020</t>
  </si>
  <si>
    <t>PR 1-20-06-0669 - CEMO</t>
  </si>
  <si>
    <t>1280-06-00125</t>
  </si>
  <si>
    <t>SVP 2020-351</t>
  </si>
  <si>
    <t>ITB 20-0062</t>
  </si>
  <si>
    <t>20-06-057</t>
  </si>
  <si>
    <t>ITB No. 038-2020 GQ</t>
  </si>
  <si>
    <t>PR 1-19-09-1639 - CITY HOSPITAL (REBIDDING LOT 3 O</t>
  </si>
  <si>
    <t>RFQ-2020-06-01</t>
  </si>
  <si>
    <t>INFRA-BGCMEDF-012020</t>
  </si>
  <si>
    <t>2020-06-05E</t>
  </si>
  <si>
    <t>200-20-06-0100</t>
  </si>
  <si>
    <t>2020-028</t>
  </si>
  <si>
    <t>2020-2041</t>
  </si>
  <si>
    <t>ris 20-13-098</t>
  </si>
  <si>
    <t>CW43-2020</t>
  </si>
  <si>
    <t>BIDSTAC # NP-SVP 104-(1)-2020</t>
  </si>
  <si>
    <t>lamak 2020-06</t>
  </si>
  <si>
    <t>QNV-030-2020</t>
  </si>
  <si>
    <t>IB 2020-028</t>
  </si>
  <si>
    <t>2020-GOODS-NP-71</t>
  </si>
  <si>
    <t>RFQ-DVO-PR.NO. 2005237 CAT. 49 PRINTED FORMS AND P</t>
  </si>
  <si>
    <t>RQ 06-112</t>
  </si>
  <si>
    <t>CYBER-TRNG-1118-20</t>
  </si>
  <si>
    <t>SN-2020-36</t>
  </si>
  <si>
    <t>IB No. GS-2020 – 051-A</t>
  </si>
  <si>
    <t>MMO-076-2020</t>
  </si>
  <si>
    <t>ris 20-83-069</t>
  </si>
  <si>
    <t>2020-6-1459</t>
  </si>
  <si>
    <t>015-2020</t>
  </si>
  <si>
    <t>2020-6-15-1</t>
  </si>
  <si>
    <t>0685</t>
  </si>
  <si>
    <t>ITB-DIESEL2020</t>
  </si>
  <si>
    <t>CG-RFQ-115-2020</t>
  </si>
  <si>
    <t>RFQ-DVO-PR.NO. 2004142 CAT. 78 FIRE AND RESCUE EQU</t>
  </si>
  <si>
    <t>RFQ2020-06-01</t>
  </si>
  <si>
    <t>ITB 20-0063</t>
  </si>
  <si>
    <t>PB NO. 2020-036</t>
  </si>
  <si>
    <t>2020-07-07-379PG</t>
  </si>
  <si>
    <t>2020 Sumalili 1</t>
  </si>
  <si>
    <t>2020-06-0164 FMD</t>
  </si>
  <si>
    <t>2020-GOODS-NP-72</t>
  </si>
  <si>
    <t>RQ 06-029A</t>
  </si>
  <si>
    <t>RFQ PR NO. 824</t>
  </si>
  <si>
    <t>lamak-2020-07</t>
  </si>
  <si>
    <t>100-20-06-0093</t>
  </si>
  <si>
    <t>CHMSC 20-017-0615-G</t>
  </si>
  <si>
    <t>LGU-ROX-31-2020</t>
  </si>
  <si>
    <t>SVP 2020-350</t>
  </si>
  <si>
    <t>2020-101-051</t>
  </si>
  <si>
    <t>ITB No. 039-2020 GQ</t>
  </si>
  <si>
    <t>SVP-2020-06-15-01</t>
  </si>
  <si>
    <t>MOOE JUNE 2020</t>
  </si>
  <si>
    <t>IB No. GS-2020 – 052-A</t>
  </si>
  <si>
    <t>OM-188-TBA-2020</t>
  </si>
  <si>
    <t>RFQ PR NO. 860</t>
  </si>
  <si>
    <t>HPMA-2020-05-0331</t>
  </si>
  <si>
    <t>2020-79</t>
  </si>
  <si>
    <t>2020-6-15-2</t>
  </si>
  <si>
    <t>BACRFQ2020-089</t>
  </si>
  <si>
    <t>BIDSTAC # NP-SVP 001-(2)-2020</t>
  </si>
  <si>
    <t>20-06-429</t>
  </si>
  <si>
    <t>PB NO. 2020-037</t>
  </si>
  <si>
    <t>2020-06-13-20DF20 (INFRA)</t>
  </si>
  <si>
    <t>20-06-118</t>
  </si>
  <si>
    <t>2020-Brgy.13-004</t>
  </si>
  <si>
    <t>2020-06-093</t>
  </si>
  <si>
    <t>DFPC 20 055</t>
  </si>
  <si>
    <t>2020-06-0001</t>
  </si>
  <si>
    <t>ITB 20-0064</t>
  </si>
  <si>
    <t>20-06-040</t>
  </si>
  <si>
    <t>CB-2020-016</t>
  </si>
  <si>
    <t>016-2020</t>
  </si>
  <si>
    <t>2020-06-03E</t>
  </si>
  <si>
    <t>200-20-06-0014</t>
  </si>
  <si>
    <t>2020-07-07-375PG</t>
  </si>
  <si>
    <t>BACRFQ2020-090</t>
  </si>
  <si>
    <t>RB-07-2020-M</t>
  </si>
  <si>
    <t>2020-06-0151 PSMD</t>
  </si>
  <si>
    <t>UPB-2020-037</t>
  </si>
  <si>
    <t>100-20-06-0092</t>
  </si>
  <si>
    <t>IB No. GS-2020 – 041-A</t>
  </si>
  <si>
    <t>2020-06-0002</t>
  </si>
  <si>
    <t>20-06-156</t>
  </si>
  <si>
    <t>LGU-ROX-32-2020</t>
  </si>
  <si>
    <t>PR. 20-05-169 (2020-05-176 2ND QUOTE)</t>
  </si>
  <si>
    <t>2020-G-073</t>
  </si>
  <si>
    <t>BACRFQ2020-091</t>
  </si>
  <si>
    <t>20-5244</t>
  </si>
  <si>
    <t>020-06-058</t>
  </si>
  <si>
    <t>ITB 2020-06-003</t>
  </si>
  <si>
    <t>2020-6-15-3</t>
  </si>
  <si>
    <t>GF-20-02-00338B</t>
  </si>
  <si>
    <t>IB No. GS-2020 – 048-A</t>
  </si>
  <si>
    <t>ITB 20-0065</t>
  </si>
  <si>
    <t>MG-A5M20-094</t>
  </si>
  <si>
    <t>20JI0087</t>
  </si>
  <si>
    <t>Q-092-20</t>
  </si>
  <si>
    <t>MMO-031-2020</t>
  </si>
  <si>
    <t>2020-029</t>
  </si>
  <si>
    <t>20-06-446</t>
  </si>
  <si>
    <t>2020-06-15-02</t>
  </si>
  <si>
    <t>NPgoods010-2020</t>
  </si>
  <si>
    <t>016-0720-CP</t>
  </si>
  <si>
    <t>CG-RFQ-116-2020</t>
  </si>
  <si>
    <t>IB No. GS-2020 – 046-A</t>
  </si>
  <si>
    <t>2020-6-15-4</t>
  </si>
  <si>
    <t>2020-07-07-376PG</t>
  </si>
  <si>
    <t>ITB-19-08018</t>
  </si>
  <si>
    <t>20-06-318</t>
  </si>
  <si>
    <t>2020-05-343</t>
  </si>
  <si>
    <t>RQ 06-031A</t>
  </si>
  <si>
    <t>SRESC3_202005</t>
  </si>
  <si>
    <t>BACRFQ2020-092</t>
  </si>
  <si>
    <t>ROSAL 0328-2020</t>
  </si>
  <si>
    <t>2020-6-1469</t>
  </si>
  <si>
    <t>100-20-05-103</t>
  </si>
  <si>
    <t>CG-RFQ-117-2020</t>
  </si>
  <si>
    <t>RFQ 95-2020</t>
  </si>
  <si>
    <t>2020-06-10-20DF20 (INFRA)</t>
  </si>
  <si>
    <t>CW44-2020</t>
  </si>
  <si>
    <t>RFQ No. 2020-02-002</t>
  </si>
  <si>
    <t>1BCT-NAF-06-20</t>
  </si>
  <si>
    <t>2020-06-023</t>
  </si>
  <si>
    <t>IB No. GS-2020 – 071</t>
  </si>
  <si>
    <t>BACRFQ2020-093</t>
  </si>
  <si>
    <t>20-06-387</t>
  </si>
  <si>
    <t>2020-6-15-5</t>
  </si>
  <si>
    <t>20JI0088</t>
  </si>
  <si>
    <t>2020-045</t>
  </si>
  <si>
    <t>cgb2020-200</t>
  </si>
  <si>
    <t>06-115-2020</t>
  </si>
  <si>
    <t>20-06-102</t>
  </si>
  <si>
    <t>2020-GOODS-245</t>
  </si>
  <si>
    <t>2020-B-06-024</t>
  </si>
  <si>
    <t>CabSur2020-001</t>
  </si>
  <si>
    <t>SVP-2020-06-91</t>
  </si>
  <si>
    <t>DF-20-005</t>
  </si>
  <si>
    <t>SVP-2020-06-15-02</t>
  </si>
  <si>
    <t>RFQ QN-0157</t>
  </si>
  <si>
    <t>1BCT-NAF-07-20</t>
  </si>
  <si>
    <t>SVP-2020-06-15-03</t>
  </si>
  <si>
    <t>MPP-2020-03</t>
  </si>
  <si>
    <t>PB-11-2020</t>
  </si>
  <si>
    <t>2020-07-07-360PG</t>
  </si>
  <si>
    <t>2020-6-15-6</t>
  </si>
  <si>
    <t>APR No. 100-20-06-386</t>
  </si>
  <si>
    <t>IB No. GS-2020 – 072</t>
  </si>
  <si>
    <t>PRMS-06-20-01</t>
  </si>
  <si>
    <t>GF-20-02-00301B</t>
  </si>
  <si>
    <t>DES 1135-20</t>
  </si>
  <si>
    <t>2020-06-07E</t>
  </si>
  <si>
    <t>MPP-2020-02</t>
  </si>
  <si>
    <t>2020-06-02E</t>
  </si>
  <si>
    <t>06-15-2020-210</t>
  </si>
  <si>
    <t>cgb2020-202</t>
  </si>
  <si>
    <t>007-2020</t>
  </si>
  <si>
    <t>cgb2020-201</t>
  </si>
  <si>
    <t>PB-12-2020</t>
  </si>
  <si>
    <t>RFQ-2020-06-11</t>
  </si>
  <si>
    <t>DAVOR-G-2020-09</t>
  </si>
  <si>
    <t>C2C-20-09</t>
  </si>
  <si>
    <t>80-20-02-026</t>
  </si>
  <si>
    <t>QNV-029-2020</t>
  </si>
  <si>
    <t>100-2006-0330</t>
  </si>
  <si>
    <t>2020-06-08E</t>
  </si>
  <si>
    <t>2020-07-07-362PG</t>
  </si>
  <si>
    <t>DSB-2020-020</t>
  </si>
  <si>
    <t>2020-02-001</t>
  </si>
  <si>
    <t>06152001</t>
  </si>
  <si>
    <t>6-8-20-ID5</t>
  </si>
  <si>
    <t>RFG-2020-G-146</t>
  </si>
  <si>
    <t>6-132-2020</t>
  </si>
  <si>
    <t>S-2020-0033</t>
  </si>
  <si>
    <t>bcnhs00143</t>
  </si>
  <si>
    <t>DES 1133-20</t>
  </si>
  <si>
    <t>APR No. 100-20-06-379</t>
  </si>
  <si>
    <t>20-06-119</t>
  </si>
  <si>
    <t>1280-06-00126</t>
  </si>
  <si>
    <t>200-20-06-0099</t>
  </si>
  <si>
    <t>GSO-20-06-0263</t>
  </si>
  <si>
    <t>20-06-103</t>
  </si>
  <si>
    <t>42</t>
  </si>
  <si>
    <t>RFQ-2020-06-12</t>
  </si>
  <si>
    <t>RFQ-2020-021</t>
  </si>
  <si>
    <t>CW45-2020</t>
  </si>
  <si>
    <t>101-20-06-137</t>
  </si>
  <si>
    <t>CGS-2020-0134</t>
  </si>
  <si>
    <t>20GA0191</t>
  </si>
  <si>
    <t>QNV-025-2020</t>
  </si>
  <si>
    <t>GF-20-02-00300B</t>
  </si>
  <si>
    <t>R1-670-2020</t>
  </si>
  <si>
    <t>2020-06-19-110NP</t>
  </si>
  <si>
    <t>2020-046</t>
  </si>
  <si>
    <t>20060454</t>
  </si>
  <si>
    <t>cgb2020-203</t>
  </si>
  <si>
    <t>020-06-059</t>
  </si>
  <si>
    <t>20BE0088</t>
  </si>
  <si>
    <t>DES 1134-20</t>
  </si>
  <si>
    <t>2020-06-33-20DF20 (INFRA)</t>
  </si>
  <si>
    <t>2020-06-09-108NP</t>
  </si>
  <si>
    <t>CHMSC 20-018-0615-G</t>
  </si>
  <si>
    <t>RPQ 2020-06-082</t>
  </si>
  <si>
    <t>GF-20-02-00337B</t>
  </si>
  <si>
    <t>2020130</t>
  </si>
  <si>
    <t>2020-PR-100</t>
  </si>
  <si>
    <t>DES 0909-20</t>
  </si>
  <si>
    <t>2020-06-19-109NP</t>
  </si>
  <si>
    <t>0058</t>
  </si>
  <si>
    <t>IB-05-0399-20HRND</t>
  </si>
  <si>
    <t>GEPS-2020-001</t>
  </si>
  <si>
    <t>GEPS-2020-002</t>
  </si>
  <si>
    <t>NONE</t>
  </si>
  <si>
    <t>5</t>
  </si>
  <si>
    <t>SN-2020-009</t>
  </si>
  <si>
    <t>2020-06-19-114NP</t>
  </si>
  <si>
    <t>2020-06-19-111NP</t>
  </si>
  <si>
    <t>20BE0089</t>
  </si>
  <si>
    <t>2020-48</t>
  </si>
  <si>
    <t>GSO-20-06-0265</t>
  </si>
  <si>
    <t>GSO-20-06-0264</t>
  </si>
  <si>
    <t>PROJECT ID NO. I-2020-007</t>
  </si>
  <si>
    <t>Aklan BAC ITB 352 Series of 2020</t>
  </si>
  <si>
    <t>2020-06-19-113NP</t>
  </si>
  <si>
    <t>2020-06-19-112NP</t>
  </si>
  <si>
    <t>100-2020-05-098</t>
  </si>
  <si>
    <t>0059</t>
  </si>
  <si>
    <t>20-06-042</t>
  </si>
  <si>
    <t>2020-312</t>
  </si>
  <si>
    <t>06152020-B</t>
  </si>
  <si>
    <t>20BC0157 re-adv.</t>
  </si>
  <si>
    <t>20-06-043</t>
  </si>
  <si>
    <t>20060453</t>
  </si>
  <si>
    <t>0027-S-20</t>
  </si>
  <si>
    <t>PNU2020-0002</t>
  </si>
  <si>
    <t>20BC0205</t>
  </si>
  <si>
    <t>MCT 20-002</t>
  </si>
  <si>
    <t>2020-311</t>
  </si>
  <si>
    <t>20-06-041</t>
  </si>
  <si>
    <t>M-20-20</t>
  </si>
  <si>
    <t>20GA0195</t>
  </si>
  <si>
    <t>20BC0212</t>
  </si>
  <si>
    <t>0028-S-2020</t>
  </si>
  <si>
    <t>06-196</t>
  </si>
  <si>
    <t>20GGF0015</t>
  </si>
  <si>
    <t>Supplies 301-2020</t>
  </si>
  <si>
    <t>2020-030</t>
  </si>
  <si>
    <t>20HN0083</t>
  </si>
  <si>
    <t>20060452</t>
  </si>
  <si>
    <t>2020-03-086</t>
  </si>
  <si>
    <t>0029-S-2020</t>
  </si>
  <si>
    <t>COMAGASCAS1</t>
  </si>
  <si>
    <t>SEF-I-47-2020</t>
  </si>
  <si>
    <t>2020-313</t>
  </si>
  <si>
    <t>Aklan BAC RFQ 353 Series of 2020</t>
  </si>
  <si>
    <t>20ID0075</t>
  </si>
  <si>
    <t>PSU ITB 2001-008</t>
  </si>
  <si>
    <t>20ID0074</t>
  </si>
  <si>
    <t>0030-S-20</t>
  </si>
  <si>
    <t>2020-PLA-060</t>
  </si>
  <si>
    <t>CW RA 7171-24</t>
  </si>
  <si>
    <t>RFQ-2020-169</t>
  </si>
  <si>
    <t>0031-S-2020</t>
  </si>
  <si>
    <t>2020-06-024</t>
  </si>
  <si>
    <t>SEF-I-48-2020</t>
  </si>
  <si>
    <t>20GGF0016</t>
  </si>
  <si>
    <t>005</t>
  </si>
  <si>
    <t>HMD-2020-02-0115</t>
  </si>
  <si>
    <t>2020-016</t>
  </si>
  <si>
    <t>2020-06-0106</t>
  </si>
  <si>
    <t>GS-GF-2020-0253</t>
  </si>
  <si>
    <t>0033-S-2020</t>
  </si>
  <si>
    <t>300-20-05-0399</t>
  </si>
  <si>
    <t>ADS-1368-20</t>
  </si>
  <si>
    <t>0032-S-2020</t>
  </si>
  <si>
    <t>2020-06-030</t>
  </si>
  <si>
    <t>GF-20-02-00030B</t>
  </si>
  <si>
    <t>19-12-308</t>
  </si>
  <si>
    <t>2020-07-07-363PG</t>
  </si>
  <si>
    <t>lgu padada-0019-06-15-2020</t>
  </si>
  <si>
    <t>RFQ2020-06-0918</t>
  </si>
  <si>
    <t>GF-20-02-00061B</t>
  </si>
  <si>
    <t>ITB NO. 010 OF 2020</t>
  </si>
  <si>
    <t>2020-PR-99</t>
  </si>
  <si>
    <t>RQ No. 2020-06-72</t>
  </si>
  <si>
    <t>GS-GF-2020-0254</t>
  </si>
  <si>
    <t>2020-06-32-20DF20 (INFRA)</t>
  </si>
  <si>
    <t>30060444,0447-0449</t>
  </si>
  <si>
    <t>RDTD-2019-11-0887</t>
  </si>
  <si>
    <t>06-197</t>
  </si>
  <si>
    <t>THWRDEC-Water Analysis</t>
  </si>
  <si>
    <t>20-04-00296</t>
  </si>
  <si>
    <t>20-06-PM013</t>
  </si>
  <si>
    <t>RFQ2020-06-0917</t>
  </si>
  <si>
    <t>ADS-1367-20</t>
  </si>
  <si>
    <t>20-06-059</t>
  </si>
  <si>
    <t>RQ No. 2020-06-74</t>
  </si>
  <si>
    <t>SP(LEGIS)20-099(NP/SV)</t>
  </si>
  <si>
    <t>ADS-1366-20</t>
  </si>
  <si>
    <t>P.R. No.:DARFO2.QES.115.20-05-018</t>
  </si>
  <si>
    <t>2020-402-06</t>
  </si>
  <si>
    <t>20-06-0648</t>
  </si>
  <si>
    <t>B-20-25</t>
  </si>
  <si>
    <t>SVP 2020-13</t>
  </si>
  <si>
    <t>RQ 06-001A</t>
  </si>
  <si>
    <t>ITB NO. 011 OF 2020</t>
  </si>
  <si>
    <t>41</t>
  </si>
  <si>
    <t>100(01)20-04-0896</t>
  </si>
  <si>
    <t>072020</t>
  </si>
  <si>
    <t>20-06-0650</t>
  </si>
  <si>
    <t>2020-06-339</t>
  </si>
  <si>
    <t>20GA0199</t>
  </si>
  <si>
    <t>2020-047</t>
  </si>
  <si>
    <t>RQ No. 2020-06-75</t>
  </si>
  <si>
    <t>ADS-1372-20</t>
  </si>
  <si>
    <t>lgu padada 0018-06-15-2020</t>
  </si>
  <si>
    <t>061520-TFB1</t>
  </si>
  <si>
    <t>LGU-Valencia, Bohol 2020-060</t>
  </si>
  <si>
    <t>HMD-2020-01-0042</t>
  </si>
  <si>
    <t>ADS-1376-20</t>
  </si>
  <si>
    <t>ITB NO. 012 OF 2020</t>
  </si>
  <si>
    <t>2020-06-0015</t>
  </si>
  <si>
    <t>SMAC-NEG-16-20</t>
  </si>
  <si>
    <t>INFRA-2020-03</t>
  </si>
  <si>
    <t>SV20-06-003ILO Lot - 1</t>
  </si>
  <si>
    <t>20-04-225</t>
  </si>
  <si>
    <t>4-S-2020</t>
  </si>
  <si>
    <t>2020-040169</t>
  </si>
  <si>
    <t>LGUBal2020-03</t>
  </si>
  <si>
    <t>2020-07-07-364PG</t>
  </si>
  <si>
    <t>20-06-031</t>
  </si>
  <si>
    <t>RFQ No. 81-2020-G (1 Canvass)</t>
  </si>
  <si>
    <t>20-06-225</t>
  </si>
  <si>
    <t>NIAREG9-06-2020-FUND501LFPS-077 (SH)</t>
  </si>
  <si>
    <t>2020-06-148</t>
  </si>
  <si>
    <t>P.R. No.:DARFO2.QES.115.20-06-014</t>
  </si>
  <si>
    <t>RFQ No. 82-2020-G (1 Canvass)</t>
  </si>
  <si>
    <t>2020-06-35-GF18 (INFRA)</t>
  </si>
  <si>
    <t>VIN BAC 028-2020</t>
  </si>
  <si>
    <t>2020-07-07-365PG</t>
  </si>
  <si>
    <t>INFRA-2020-04</t>
  </si>
  <si>
    <t>ADS-1370-20</t>
  </si>
  <si>
    <t>RFQ No. 83-2020-G (1 Canvass)</t>
  </si>
  <si>
    <t>20-06-319</t>
  </si>
  <si>
    <t>2020-06-0099</t>
  </si>
  <si>
    <t>20-06-104</t>
  </si>
  <si>
    <t>SVP 2020-345</t>
  </si>
  <si>
    <t>20-06-054</t>
  </si>
  <si>
    <t>100(01)20-05-1121</t>
  </si>
  <si>
    <t>6152020</t>
  </si>
  <si>
    <t>SVP-2020-06-92</t>
  </si>
  <si>
    <t>P.R. No. 20-06-159</t>
  </si>
  <si>
    <t>Aklan BAC RFQ 354 Series of 2020</t>
  </si>
  <si>
    <t>061520-TFB2</t>
  </si>
  <si>
    <t>061520-TFB3</t>
  </si>
  <si>
    <t>100(01)20-05-1128</t>
  </si>
  <si>
    <t>SJ20-01</t>
  </si>
  <si>
    <t>2020-04-126</t>
  </si>
  <si>
    <t>2020-05-051</t>
  </si>
  <si>
    <t>KC-2020-06-0191</t>
  </si>
  <si>
    <t>50-1</t>
  </si>
  <si>
    <t>BMC-N-20-180</t>
  </si>
  <si>
    <t>BMC-N-20-179</t>
  </si>
  <si>
    <t>06152020-C</t>
  </si>
  <si>
    <t>RFQ No. 85-2020-G (1 Canvass)</t>
  </si>
  <si>
    <t>VIN BAC 029-2020</t>
  </si>
  <si>
    <t>2020-196-03</t>
  </si>
  <si>
    <t>RFQ No. 84-2020-G (1 Canvass)</t>
  </si>
  <si>
    <t>PR No 08-2020 Fundado</t>
  </si>
  <si>
    <t>bk-cw-1-2020</t>
  </si>
  <si>
    <t>SV20-06-003ILO Lot - 2</t>
  </si>
  <si>
    <t>01-01-2020-06-558</t>
  </si>
  <si>
    <t>2020-06-095</t>
  </si>
  <si>
    <t>SN No 2020-001</t>
  </si>
  <si>
    <t>VIN BAC 030-2020</t>
  </si>
  <si>
    <t>SJ20-02</t>
  </si>
  <si>
    <t>2020-06-34-20DF20 (INFRA)</t>
  </si>
  <si>
    <t>051520-TFB4</t>
  </si>
  <si>
    <t>2020-06-393</t>
  </si>
  <si>
    <t>MKWD-BAC-2020-048</t>
  </si>
  <si>
    <t>102-1011-017</t>
  </si>
  <si>
    <t>2020-06-0095</t>
  </si>
  <si>
    <t>363-2020</t>
  </si>
  <si>
    <t>20-06-107</t>
  </si>
  <si>
    <t>BLGU-PBD-Sta. Elena-2020-24</t>
  </si>
  <si>
    <t>DENR XII-SP-25-2020</t>
  </si>
  <si>
    <t>20GA0054</t>
  </si>
  <si>
    <t>RFQ-2020-170</t>
  </si>
  <si>
    <t>MEO-004-2020</t>
  </si>
  <si>
    <t>364-2020</t>
  </si>
  <si>
    <t>NLPRSD-2020-06-0292</t>
  </si>
  <si>
    <t>BAY-TF-2020-06-429</t>
  </si>
  <si>
    <t>SJ20-03</t>
  </si>
  <si>
    <t>GOODS - 2020-06-044</t>
  </si>
  <si>
    <t>RFQ 2020-0236</t>
  </si>
  <si>
    <t>BMC-N-20-181</t>
  </si>
  <si>
    <t>2020-6-171</t>
  </si>
  <si>
    <t>BACII-2020-15</t>
  </si>
  <si>
    <t>P.R. No. 20-06-162</t>
  </si>
  <si>
    <t>DARROV-4-2020</t>
  </si>
  <si>
    <t>LGUBal2020-04</t>
  </si>
  <si>
    <t>2020-06-36-20DF20 (INFRA)</t>
  </si>
  <si>
    <t>100(01)20-01-0130</t>
  </si>
  <si>
    <t>SJ20-04</t>
  </si>
  <si>
    <t>SV-0736-2020</t>
  </si>
  <si>
    <t>101-1011-017</t>
  </si>
  <si>
    <t>06-0652-19</t>
  </si>
  <si>
    <t>061520-TFB5</t>
  </si>
  <si>
    <t>khs-2020-004</t>
  </si>
  <si>
    <t>BMC-N-20-182</t>
  </si>
  <si>
    <t>P.R. No. 20-06-161</t>
  </si>
  <si>
    <t>2020-g-191</t>
  </si>
  <si>
    <t>2020-06-037</t>
  </si>
  <si>
    <t>2020-308-03</t>
  </si>
  <si>
    <t>BAC-HO GS No. 2020-0243</t>
  </si>
  <si>
    <t>365-2020</t>
  </si>
  <si>
    <t>20-06-052</t>
  </si>
  <si>
    <t>366-2020</t>
  </si>
  <si>
    <t>101-2020-06-159-041</t>
  </si>
  <si>
    <t>2020-05-047</t>
  </si>
  <si>
    <t>RFQ No. 86-2020-G (1 Canvass)</t>
  </si>
  <si>
    <t>037-2020 Procurement of various equipment for tele</t>
  </si>
  <si>
    <t>Waste Water Analysis thwrdec</t>
  </si>
  <si>
    <t>LGU-Valencia, Bohol 2020-061</t>
  </si>
  <si>
    <t>06152020-D</t>
  </si>
  <si>
    <t>SJ20-06</t>
  </si>
  <si>
    <t>popcom2020-049</t>
  </si>
  <si>
    <t>MKWD-BAC-2020-049</t>
  </si>
  <si>
    <t>100-20-04-493</t>
  </si>
  <si>
    <t>LGU-TAN-GOODS-2020-068</t>
  </si>
  <si>
    <t>SJ20-05</t>
  </si>
  <si>
    <t>20-06-110</t>
  </si>
  <si>
    <t>20CB-GSC-327 PURCHASE OF ENGINE OIL FOR MOTOR VEHI</t>
  </si>
  <si>
    <t>20-009-R</t>
  </si>
  <si>
    <t>LGU-100-2020-06-G-435</t>
  </si>
  <si>
    <t>Aklan BAC RFQ 355 Series of 2020</t>
  </si>
  <si>
    <t>NP280-TIRES-2020</t>
  </si>
  <si>
    <t>LGUBal2020-05</t>
  </si>
  <si>
    <t>0051-2020</t>
  </si>
  <si>
    <t>2020-06-335</t>
  </si>
  <si>
    <t>BMC-N-20-183</t>
  </si>
  <si>
    <t>100-2020-Goods-352</t>
  </si>
  <si>
    <t>BACRFQ2020-094</t>
  </si>
  <si>
    <t>362-2020</t>
  </si>
  <si>
    <t>2020-258-03</t>
  </si>
  <si>
    <t>20GA0203</t>
  </si>
  <si>
    <t>ITB No. 2020-154-bpmc</t>
  </si>
  <si>
    <t>20-06-111</t>
  </si>
  <si>
    <t>RFQ-2020-06-002</t>
  </si>
  <si>
    <t>013-2020-PB</t>
  </si>
  <si>
    <t>B-ITB-19-2020-M</t>
  </si>
  <si>
    <t>AFPPS-REPE-0932-20</t>
  </si>
  <si>
    <t>100-20-04-492</t>
  </si>
  <si>
    <t>2020-06-37-20DF20 (INFRA)</t>
  </si>
  <si>
    <t>P.R. No. 20-06-157</t>
  </si>
  <si>
    <t>S-0213</t>
  </si>
  <si>
    <t>06152020-F</t>
  </si>
  <si>
    <t>2020-Brgy.13-005</t>
  </si>
  <si>
    <t>SF-GOODS NO. 63-(06-15-20)</t>
  </si>
  <si>
    <t>7</t>
  </si>
  <si>
    <t>P.R NO. 100-2020-03-0323</t>
  </si>
  <si>
    <t>PR# 020-0174</t>
  </si>
  <si>
    <t>RFQ No. 20-0543 Shopping B</t>
  </si>
  <si>
    <t>20GAC0018</t>
  </si>
  <si>
    <t>2020-Bgry. 04 Pob. 002</t>
  </si>
  <si>
    <t>2020-405</t>
  </si>
  <si>
    <t>005-Goods-2020</t>
  </si>
  <si>
    <t>06152020-E</t>
  </si>
  <si>
    <t>DOSTR01-RFQ2020-25</t>
  </si>
  <si>
    <t>2020-06-0345</t>
  </si>
  <si>
    <t>MKWD-BAC-2020-051</t>
  </si>
  <si>
    <t>ITB No. 2020-155-bph-kalilangan</t>
  </si>
  <si>
    <t>06152020-G</t>
  </si>
  <si>
    <t>014-2020-PB</t>
  </si>
  <si>
    <t>20-06-113</t>
  </si>
  <si>
    <t>DIM-INFRA-2020-09</t>
  </si>
  <si>
    <t>2020-245-03</t>
  </si>
  <si>
    <t>06152020-H</t>
  </si>
  <si>
    <t>20CB-GSC-331 PURCHASE OF FUELS &amp; LUBRICANTS (RE-BI</t>
  </si>
  <si>
    <t>POG/TF/42-2020</t>
  </si>
  <si>
    <t>2020-5-1280</t>
  </si>
  <si>
    <t>20CB-GSC-329 PURCHASE OF MATERIALS FOR SLAUGHTERHO</t>
  </si>
  <si>
    <t>BARANGAY TAGNATE 2</t>
  </si>
  <si>
    <t>074-20-A</t>
  </si>
  <si>
    <t>MKWD-BAC-2020-050</t>
  </si>
  <si>
    <t>RFQ 080 101</t>
  </si>
  <si>
    <t>MALAMA 2020-001</t>
  </si>
  <si>
    <t>2020131</t>
  </si>
  <si>
    <t>2020-449</t>
  </si>
  <si>
    <t>2020-0143</t>
  </si>
  <si>
    <t>ADMIN 2020-03-030</t>
  </si>
  <si>
    <t>RFQ 2020-81</t>
  </si>
  <si>
    <t>2020-I-13</t>
  </si>
  <si>
    <t>20GAC0019</t>
  </si>
  <si>
    <t>MKWD-BAC-2020-052</t>
  </si>
  <si>
    <t>2020-SVP-05-014</t>
  </si>
  <si>
    <t>20-06-106</t>
  </si>
  <si>
    <t>G291-20</t>
  </si>
  <si>
    <t>6-15-2020</t>
  </si>
  <si>
    <t>103-1011-017</t>
  </si>
  <si>
    <t>2020-204</t>
  </si>
  <si>
    <t>074-20-E</t>
  </si>
  <si>
    <t>MMWD-0016-2020</t>
  </si>
  <si>
    <t>2020-07-07-366PG</t>
  </si>
  <si>
    <t>RFQ-2020-053</t>
  </si>
  <si>
    <t>100-20-05-659</t>
  </si>
  <si>
    <t>ITB No. 2020-156-sp-maramara</t>
  </si>
  <si>
    <t>GB 2002-006</t>
  </si>
  <si>
    <t>PAPC-OG3_ASCOM-2020-11185-5251</t>
  </si>
  <si>
    <t>ITB No. UATLMC2020-101-03-005L1</t>
  </si>
  <si>
    <t xml:space="preserve">20CB-GSC-333 PURCHASE OF CORE VALUE T-SHIRTS WITH </t>
  </si>
  <si>
    <t>RFQ-004 MPDO</t>
  </si>
  <si>
    <t>2020-05-1002</t>
  </si>
  <si>
    <t>BMC-N-20-186</t>
  </si>
  <si>
    <t>MALAMA 2020-002</t>
  </si>
  <si>
    <t>2020-022</t>
  </si>
  <si>
    <t>5-S-2020</t>
  </si>
  <si>
    <t>2020-208</t>
  </si>
  <si>
    <t>HPMA-2020-06-0364</t>
  </si>
  <si>
    <t>BAC-PG-00132-20</t>
  </si>
  <si>
    <t>Aklan BAC ITB 334 Series of 2020</t>
  </si>
  <si>
    <t>RFQ No. 20-0545 NP-SV</t>
  </si>
  <si>
    <t>RFQ 2020-06-0108</t>
  </si>
  <si>
    <t>2020132</t>
  </si>
  <si>
    <t>CB 05 - 2020</t>
  </si>
  <si>
    <t>20GA0221</t>
  </si>
  <si>
    <t>20-06-028</t>
  </si>
  <si>
    <t>CG-RFQ-118-2020</t>
  </si>
  <si>
    <t>2020-355</t>
  </si>
  <si>
    <t>06-20-001</t>
  </si>
  <si>
    <t>1021-1011-017</t>
  </si>
  <si>
    <t>RFQ ADMIN 2020 03 029</t>
  </si>
  <si>
    <t>100-20-05-657</t>
  </si>
  <si>
    <t>RFQ 2020-83</t>
  </si>
  <si>
    <t>2020-02-039 &amp; 051</t>
  </si>
  <si>
    <t>BAC-PG-00133-20</t>
  </si>
  <si>
    <t>2020133</t>
  </si>
  <si>
    <t>2020-06-38-20DF20(INFRA)</t>
  </si>
  <si>
    <t>G303-20</t>
  </si>
  <si>
    <t>RQ No. 2020-06-76</t>
  </si>
  <si>
    <t>ITB No. 2020-157-sp-maramara, sp-dinlayan and sp-g</t>
  </si>
  <si>
    <t>LGU-SIN-2020-06-219</t>
  </si>
  <si>
    <t>20-034</t>
  </si>
  <si>
    <t>2020-442</t>
  </si>
  <si>
    <t>0020-20- SVP</t>
  </si>
  <si>
    <t>BMC-N-20-185</t>
  </si>
  <si>
    <t>ATI2020-06-117</t>
  </si>
  <si>
    <t>PAPC-APAO-2020-11300-5252</t>
  </si>
  <si>
    <t>RFQ-2020-084-GOODS</t>
  </si>
  <si>
    <t>020-2020</t>
  </si>
  <si>
    <t>RFQ No. 0156</t>
  </si>
  <si>
    <t>CB 06 - 2020</t>
  </si>
  <si>
    <t>APR No. 100-20-06-410</t>
  </si>
  <si>
    <t>PNU2020-0055</t>
  </si>
  <si>
    <t>2020-2014</t>
  </si>
  <si>
    <t>2020136</t>
  </si>
  <si>
    <t>23-S-20</t>
  </si>
  <si>
    <t>2020-SRV-012</t>
  </si>
  <si>
    <t>20CB-GSC-332 PURCHASE OF SPARE PARTS FOR MOTOR VEH</t>
  </si>
  <si>
    <t>100-20-05-656</t>
  </si>
  <si>
    <t>2020-RFQ-024G</t>
  </si>
  <si>
    <t>DAS2020-046</t>
  </si>
  <si>
    <t>NUB-20-06-0459</t>
  </si>
  <si>
    <t>24-S-20</t>
  </si>
  <si>
    <t>PAPC-HHSG-2020-11147-5253</t>
  </si>
  <si>
    <t>2020-095</t>
  </si>
  <si>
    <t>BMC-N-20-187</t>
  </si>
  <si>
    <t>2020-01-IT-01</t>
  </si>
  <si>
    <t>DHSUD-RFQ-R7-20-001</t>
  </si>
  <si>
    <t>2020-0270</t>
  </si>
  <si>
    <t>DARCII-2020-009</t>
  </si>
  <si>
    <t>20-06-0418</t>
  </si>
  <si>
    <t>DILG-2020-03</t>
  </si>
  <si>
    <t>HB 2003-016</t>
  </si>
  <si>
    <t>2020134</t>
  </si>
  <si>
    <t>2020-324</t>
  </si>
  <si>
    <t>RFQ-09</t>
  </si>
  <si>
    <t>0095-2020</t>
  </si>
  <si>
    <t>2020-06-011 Procurement of Resuce and Communicatio</t>
  </si>
  <si>
    <t>2020-328</t>
  </si>
  <si>
    <t>goods2020037</t>
  </si>
  <si>
    <t>LGN-GOODS-2020-001</t>
  </si>
  <si>
    <t>Jiab-2020-25A</t>
  </si>
  <si>
    <t>2020-402</t>
  </si>
  <si>
    <t>2020-RFQ-025G</t>
  </si>
  <si>
    <t>2020-358</t>
  </si>
  <si>
    <t>ITB No. UATLMC2020-101-03-005L2</t>
  </si>
  <si>
    <t>PR-2020-06-13</t>
  </si>
  <si>
    <t>ITB No. 06-GOODS-2019</t>
  </si>
  <si>
    <t>2020-330</t>
  </si>
  <si>
    <t>06-15-2020</t>
  </si>
  <si>
    <t>2020-334</t>
  </si>
  <si>
    <t>DTIMP-INREMP-2020-03</t>
  </si>
  <si>
    <t>APR No. 100-20-06-416</t>
  </si>
  <si>
    <t>20-018</t>
  </si>
  <si>
    <t>06-15-2020-211</t>
  </si>
  <si>
    <t>20-0612-1061</t>
  </si>
  <si>
    <t>RFQ-2020-085-GOODS</t>
  </si>
  <si>
    <t>2020-399</t>
  </si>
  <si>
    <t>BAC 2020-31</t>
  </si>
  <si>
    <t>LGU-SIN-2020-06-220</t>
  </si>
  <si>
    <t>CG-1-119-2020</t>
  </si>
  <si>
    <t>2020-337</t>
  </si>
  <si>
    <t>101-2020-06-01IF</t>
  </si>
  <si>
    <t>95</t>
  </si>
  <si>
    <t>0427</t>
  </si>
  <si>
    <t>2020-448</t>
  </si>
  <si>
    <t>LGUPROC 2020 -104R</t>
  </si>
  <si>
    <t>TASS-06-06-2020</t>
  </si>
  <si>
    <t>115-1011-017</t>
  </si>
  <si>
    <t>RFQ-004-2020</t>
  </si>
  <si>
    <t>20-06-049</t>
  </si>
  <si>
    <t>0021-20-SVP</t>
  </si>
  <si>
    <t>2020-0615-01</t>
  </si>
  <si>
    <t>June 15, 2020</t>
  </si>
  <si>
    <t>BAC-2020-0018</t>
  </si>
  <si>
    <t>2020-0265</t>
  </si>
  <si>
    <t>CGS-2020-0135</t>
  </si>
  <si>
    <t>PR 2020-06-031</t>
  </si>
  <si>
    <t>2020-GOODS-246</t>
  </si>
  <si>
    <t>2020-433</t>
  </si>
  <si>
    <t>2020-018</t>
  </si>
  <si>
    <t>DVO-200623-19</t>
  </si>
  <si>
    <t>2020-338</t>
  </si>
  <si>
    <t>2020137</t>
  </si>
  <si>
    <t>2020-03-099</t>
  </si>
  <si>
    <t>9998-20-059</t>
  </si>
  <si>
    <t>2020-06-15-03</t>
  </si>
  <si>
    <t>2020-341</t>
  </si>
  <si>
    <t>2020-348</t>
  </si>
  <si>
    <t>CB 07 - 2020</t>
  </si>
  <si>
    <t>QNV-028-2020</t>
  </si>
  <si>
    <t>2020-343</t>
  </si>
  <si>
    <t>RFQ 96-2020</t>
  </si>
  <si>
    <t>RFQ No. 0796-20</t>
  </si>
  <si>
    <t>2020-1835</t>
  </si>
  <si>
    <t>ORF BBG-2020-05</t>
  </si>
  <si>
    <t>20-06-053</t>
  </si>
  <si>
    <t>PR No. 20-04-033</t>
  </si>
  <si>
    <t>CG-RFQ-120-2020</t>
  </si>
  <si>
    <t>2020-01-CONS</t>
  </si>
  <si>
    <t>pgeps#0251-2020</t>
  </si>
  <si>
    <t>RFQ-2020-086-GOODS</t>
  </si>
  <si>
    <t>2020-0044</t>
  </si>
  <si>
    <t>RFQ-005-2020</t>
  </si>
  <si>
    <t>ITB No. UATLMC2020-101-03-005L3</t>
  </si>
  <si>
    <t xml:space="preserve">RFQ 2020 - 06 - 21 Upgrade Equiptment for Barista </t>
  </si>
  <si>
    <t>bac-azds-rfq-022-2020</t>
  </si>
  <si>
    <t>RFQ No. 0795-20</t>
  </si>
  <si>
    <t>IL-2020-U-26</t>
  </si>
  <si>
    <t>2020-06-0179</t>
  </si>
  <si>
    <t>2020-353</t>
  </si>
  <si>
    <t>2020-41</t>
  </si>
  <si>
    <t>2020-361</t>
  </si>
  <si>
    <t>2020-0059</t>
  </si>
  <si>
    <t>RFQ-2020-087-GOODS</t>
  </si>
  <si>
    <t>ITBRA7171-2020-009</t>
  </si>
  <si>
    <t>LGUPROC 2020 -105R</t>
  </si>
  <si>
    <t>2020-0052</t>
  </si>
  <si>
    <t>RFQ-2020-06-012</t>
  </si>
  <si>
    <t>Amagbagan-001</t>
  </si>
  <si>
    <t>2020-06-033</t>
  </si>
  <si>
    <t>2020-06-012 Procurement of Common-Use Office Suppl</t>
  </si>
  <si>
    <t>024-06-2020</t>
  </si>
  <si>
    <t>2020-084</t>
  </si>
  <si>
    <t>pgeps#0252-2020</t>
  </si>
  <si>
    <t>RFQ No. 0785-20</t>
  </si>
  <si>
    <t>HPMA-2020-06-0362</t>
  </si>
  <si>
    <t>2020-340</t>
  </si>
  <si>
    <t>CG-RFQ-121-2020</t>
  </si>
  <si>
    <t>RFQ No. 0793-20</t>
  </si>
  <si>
    <t>1011-20-06-12</t>
  </si>
  <si>
    <t>RFQ 97-2020</t>
  </si>
  <si>
    <t>APR No. 100-20-04-295</t>
  </si>
  <si>
    <t>ATI2020-06-118</t>
  </si>
  <si>
    <t>2020-362</t>
  </si>
  <si>
    <t>409THCO-GHQ&amp;HSC-SVCJ-95-20</t>
  </si>
  <si>
    <t>RFQ-2020-06-013</t>
  </si>
  <si>
    <t>pgeps#0253-2020</t>
  </si>
  <si>
    <t>2020-GOODS-247</t>
  </si>
  <si>
    <t>2020-03-087</t>
  </si>
  <si>
    <t>ITB No. UATLMC2020-101-03-005L4</t>
  </si>
  <si>
    <t>20-04-218</t>
  </si>
  <si>
    <t>2020-2058</t>
  </si>
  <si>
    <t>PR No. 2020-267</t>
  </si>
  <si>
    <t>INFRA-2020-06-35</t>
  </si>
  <si>
    <t>2020-020</t>
  </si>
  <si>
    <t>20-26</t>
  </si>
  <si>
    <t>RFQ No. 2020-012</t>
  </si>
  <si>
    <t>2020-136</t>
  </si>
  <si>
    <t>2020-456</t>
  </si>
  <si>
    <t>APR No. 100-20-06-417</t>
  </si>
  <si>
    <t>CG-RFQ-122-2020</t>
  </si>
  <si>
    <t>DVO-200623-20</t>
  </si>
  <si>
    <t>RFQ-2020-089-GOODS</t>
  </si>
  <si>
    <t>BAC 2020-32</t>
  </si>
  <si>
    <t>PG-2020-045</t>
  </si>
  <si>
    <t>2020-07-07-367PG</t>
  </si>
  <si>
    <t>1011-20-06-13</t>
  </si>
  <si>
    <t>109CO - 06 - 2020 - 087</t>
  </si>
  <si>
    <t>20-06-105</t>
  </si>
  <si>
    <t>2020-1895</t>
  </si>
  <si>
    <t>4411-20-06-023</t>
  </si>
  <si>
    <t>MOOE2020 2ND QTR REPAIR AND MAINTENANCE</t>
  </si>
  <si>
    <t>ITB No. UATLMC2020-101-03-005L5</t>
  </si>
  <si>
    <t>INFRA-2020-06-36</t>
  </si>
  <si>
    <t>2020-Lamitan-26</t>
  </si>
  <si>
    <t>1016-03-007</t>
  </si>
  <si>
    <t>2020-6-15-7</t>
  </si>
  <si>
    <t>2020-07-07-368PG</t>
  </si>
  <si>
    <t>2020-109</t>
  </si>
  <si>
    <t>CW2020-10</t>
  </si>
  <si>
    <t>BOC-GOODS-RFQ-51-2020</t>
  </si>
  <si>
    <t>maniboc2020-01</t>
  </si>
  <si>
    <t>INFRA-2020-06-37</t>
  </si>
  <si>
    <t>RFQ 2020-001 GOODS</t>
  </si>
  <si>
    <t>MGBX-06-076-2020 (8)</t>
  </si>
  <si>
    <t>DVO-200623-21</t>
  </si>
  <si>
    <t>RFQ-Goods-86-2020</t>
  </si>
  <si>
    <t>06192020-088</t>
  </si>
  <si>
    <t>2020-58</t>
  </si>
  <si>
    <t>DOH-MMCHD-2020-06-157-G</t>
  </si>
  <si>
    <t>105CO-10329-54IB-2020</t>
  </si>
  <si>
    <t>20-crg-20-05-1009</t>
  </si>
  <si>
    <t>CG-RFQ-123-2020</t>
  </si>
  <si>
    <t>2020 INFRA 002</t>
  </si>
  <si>
    <t>ITB No. UATLMC2020-101-03-005L6</t>
  </si>
  <si>
    <t>ITB01-GOODS-SUPPLIES-LABOR-2020</t>
  </si>
  <si>
    <t>INFRA-2020-06-38</t>
  </si>
  <si>
    <t>2020-1953</t>
  </si>
  <si>
    <t>2020-07-07-369PG</t>
  </si>
  <si>
    <t>DVO-200623-22</t>
  </si>
  <si>
    <t>2020-80</t>
  </si>
  <si>
    <t>ITBRA7171-2020-010</t>
  </si>
  <si>
    <t>DAPA-077-2020</t>
  </si>
  <si>
    <t>INFRA-2020-06-39</t>
  </si>
  <si>
    <t>2020 INFRA 003</t>
  </si>
  <si>
    <t>2020-407</t>
  </si>
  <si>
    <t>2020-06-061</t>
  </si>
  <si>
    <t>2020-Lamitan-27</t>
  </si>
  <si>
    <t>MGCP-20G-579A</t>
  </si>
  <si>
    <t>RFQ-2020-171</t>
  </si>
  <si>
    <t>0046-2020</t>
  </si>
  <si>
    <t>IB. NO. 2020-176</t>
  </si>
  <si>
    <t>20NA0070</t>
  </si>
  <si>
    <t>100-20-06-0105</t>
  </si>
  <si>
    <t>RFQ-10</t>
  </si>
  <si>
    <t>DVO-200623-23</t>
  </si>
  <si>
    <t>MGBX-06-094-2020</t>
  </si>
  <si>
    <t>DVO-200623-24</t>
  </si>
  <si>
    <t>CG-RFQ-124-2020</t>
  </si>
  <si>
    <t>BAC 2020-33</t>
  </si>
  <si>
    <t>RFQ NO. 20-0541 NP-SVP</t>
  </si>
  <si>
    <t>ITB No. UATLMC2020-101-03-005L7</t>
  </si>
  <si>
    <t>IB No. 2020-189</t>
  </si>
  <si>
    <t>2020-06-0440 RSCC</t>
  </si>
  <si>
    <t>SPC PR No. 2000005462</t>
  </si>
  <si>
    <t>LGUBTA 20-058</t>
  </si>
  <si>
    <t>AMP-019-2020</t>
  </si>
  <si>
    <t>RFQ-2020-006</t>
  </si>
  <si>
    <t>CW2020-11</t>
  </si>
  <si>
    <t>2020 INFRA 005</t>
  </si>
  <si>
    <t>OD-2020-05-006</t>
  </si>
  <si>
    <t>CGS-2020-0136</t>
  </si>
  <si>
    <t>BFARIX-FLEG-20-06-367</t>
  </si>
  <si>
    <t>GOODS2020-71</t>
  </si>
  <si>
    <t>2020 - 98</t>
  </si>
  <si>
    <t>BAC2020-06-022</t>
  </si>
  <si>
    <t>CG-RFQ-125-2020</t>
  </si>
  <si>
    <t>22</t>
  </si>
  <si>
    <t>LGU-SCM 2020-201</t>
  </si>
  <si>
    <t>DVO-200623-25</t>
  </si>
  <si>
    <t>RFQ-2020-090-GOODS-SWMO</t>
  </si>
  <si>
    <t>109CO - 06 - 2020 - 088</t>
  </si>
  <si>
    <t>LCWD-2020-048 Mechanical Gate vAlves and Universal</t>
  </si>
  <si>
    <t>ITB No. UATLMC2020-101-03-003L1</t>
  </si>
  <si>
    <t>2020-07-07-370PG</t>
  </si>
  <si>
    <t>N2FB-23-2020(B)</t>
  </si>
  <si>
    <t>N2FB-07-2020(B)</t>
  </si>
  <si>
    <t>PR 226-020</t>
  </si>
  <si>
    <t>RFQ2020-06-085</t>
  </si>
  <si>
    <t>CG-RFQ-126-2020</t>
  </si>
  <si>
    <t>2020 INFRA 004</t>
  </si>
  <si>
    <t>2020-Lamitan-28</t>
  </si>
  <si>
    <t>BUSO – 001-20</t>
  </si>
  <si>
    <t>2020-05-13-0094</t>
  </si>
  <si>
    <t>CBSUA-SIP-GOODS-11-2020</t>
  </si>
  <si>
    <t>06112020187</t>
  </si>
  <si>
    <t>SVP-2020-06-93</t>
  </si>
  <si>
    <t>DOH-MMCHD-2020-06-158-G</t>
  </si>
  <si>
    <t>BOC-GOODS-RFQ-52-2020</t>
  </si>
  <si>
    <t>BLGU-PBD-Binisitahan Norte-2020-25</t>
  </si>
  <si>
    <t>LGUBTA-059</t>
  </si>
  <si>
    <t>2020-03-066(1)</t>
  </si>
  <si>
    <t>RFQ2020-06-02</t>
  </si>
  <si>
    <t>2020-72</t>
  </si>
  <si>
    <t>100-20-06-0164</t>
  </si>
  <si>
    <t>2020-PB-016</t>
  </si>
  <si>
    <t>2020-06-021</t>
  </si>
  <si>
    <t>03-2020-0184</t>
  </si>
  <si>
    <t>ITB No. UATLMC2020-101-03-003L2</t>
  </si>
  <si>
    <t>0444-20</t>
  </si>
  <si>
    <t>RFQ-2020-091-GOODS-FCSMO</t>
  </si>
  <si>
    <t>2020-314</t>
  </si>
  <si>
    <t>BAC-2020-582</t>
  </si>
  <si>
    <t>2020 INFRA 001</t>
  </si>
  <si>
    <t>RFQ-2020-0010 (Re-Advertised)</t>
  </si>
  <si>
    <t>Mkna-GSO-20-271</t>
  </si>
  <si>
    <t>20-06-003</t>
  </si>
  <si>
    <t>2020-73</t>
  </si>
  <si>
    <t>PG-RFQ-2020-12</t>
  </si>
  <si>
    <t>RFQ-SHS-0015</t>
  </si>
  <si>
    <t>2020-05-089</t>
  </si>
  <si>
    <t>guincam2020-06-001</t>
  </si>
  <si>
    <t>CGS-2020-0137</t>
  </si>
  <si>
    <t>2020-MGBX-06-069-2020 (3) A</t>
  </si>
  <si>
    <t>cgb2020-204</t>
  </si>
  <si>
    <t>ESPERANZA-GDS-2020-06-11</t>
  </si>
  <si>
    <t>2020-06-35</t>
  </si>
  <si>
    <t>2020-PB-017</t>
  </si>
  <si>
    <t>MOOE2020 2ND QTR OFFICE SUPPLIES</t>
  </si>
  <si>
    <t>RFQ-2019-0021</t>
  </si>
  <si>
    <t>100(01)20-06-321(A)</t>
  </si>
  <si>
    <t>06-20-030</t>
  </si>
  <si>
    <t>2020-315</t>
  </si>
  <si>
    <t>P.R. No. 00452-2020</t>
  </si>
  <si>
    <t>KAPALONG2020103</t>
  </si>
  <si>
    <t>FRANCISCO C. JONGKO ES1</t>
  </si>
  <si>
    <t>2020-PB-018</t>
  </si>
  <si>
    <t>guincam2020-06-002</t>
  </si>
  <si>
    <t>INF-ITB 20-003</t>
  </si>
  <si>
    <t>39</t>
  </si>
  <si>
    <t>GOODS#0121, ITB#0123,  PR#0364: SCG-2020</t>
  </si>
  <si>
    <t>0439</t>
  </si>
  <si>
    <t>06-085-2020</t>
  </si>
  <si>
    <t>CG-RFQ-127-2020</t>
  </si>
  <si>
    <t>BINAN-SVP-005-2020</t>
  </si>
  <si>
    <t>cgb2020-205</t>
  </si>
  <si>
    <t>2020-316</t>
  </si>
  <si>
    <t>OJ6-RMME-ICTE-1120-20</t>
  </si>
  <si>
    <t>03-2020-0190</t>
  </si>
  <si>
    <t>MGCP-20I-580A</t>
  </si>
  <si>
    <t>PR NO. 2020-06-0268</t>
  </si>
  <si>
    <t>KAPALONG2020104</t>
  </si>
  <si>
    <t>2020-03-0071</t>
  </si>
  <si>
    <t>GOODS#0091, ITB#0092,  PR#0276: SCG-2020</t>
  </si>
  <si>
    <t>P.R. No. 00309-2020</t>
  </si>
  <si>
    <t>20-06-RES0413</t>
  </si>
  <si>
    <t>N091-2020</t>
  </si>
  <si>
    <t>PR#2020-06-PR071</t>
  </si>
  <si>
    <t>cgb2020-206</t>
  </si>
  <si>
    <t>2020-02-0046</t>
  </si>
  <si>
    <t>0177-20</t>
  </si>
  <si>
    <t>03-2020-0177</t>
  </si>
  <si>
    <t>KAPALONG2020105</t>
  </si>
  <si>
    <t>2020-02-003</t>
  </si>
  <si>
    <t>NP-FPA-2006-044</t>
  </si>
  <si>
    <t>RFQ 494</t>
  </si>
  <si>
    <t>20-06-412</t>
  </si>
  <si>
    <t>rfq2020-6-03</t>
  </si>
  <si>
    <t>PR0027-20 DOPHLUPON REBID</t>
  </si>
  <si>
    <t>CW2020-</t>
  </si>
  <si>
    <t>2020-PB-019</t>
  </si>
  <si>
    <t>PR 126-2020</t>
  </si>
  <si>
    <t>0620-485-476</t>
  </si>
  <si>
    <t>Bidding-01-Amilongan-June2020</t>
  </si>
  <si>
    <t>DOH-MMCHD-2020-06-159-G</t>
  </si>
  <si>
    <t>ITB 20-004</t>
  </si>
  <si>
    <t>109CO - 06 - 2020 - 089</t>
  </si>
  <si>
    <t>2020 - 12</t>
  </si>
  <si>
    <t>RFQ 0320-016</t>
  </si>
  <si>
    <t>cgb2020-207</t>
  </si>
  <si>
    <t>20-06-413</t>
  </si>
  <si>
    <t>20-02-00150</t>
  </si>
  <si>
    <t>00016</t>
  </si>
  <si>
    <t>ISQ 2020-06-064</t>
  </si>
  <si>
    <t>20-01-2020</t>
  </si>
  <si>
    <t>LIN 2020-03</t>
  </si>
  <si>
    <t>DA 8 SVP Goods 2020-06-0071 (STO 20-06-11-0276)</t>
  </si>
  <si>
    <t>guincam2020-06-003</t>
  </si>
  <si>
    <t>082020</t>
  </si>
  <si>
    <t>RFQ#162-2020</t>
  </si>
  <si>
    <t>GEPS2006-005</t>
  </si>
  <si>
    <t>0182-20</t>
  </si>
  <si>
    <t>PR0033-20 to 0036-20 TOURISM REBID</t>
  </si>
  <si>
    <t>P.R. No. 2020-06-0014</t>
  </si>
  <si>
    <t>2020-PR-101</t>
  </si>
  <si>
    <t>SVP 20-06-114</t>
  </si>
  <si>
    <t>2020-PB-020</t>
  </si>
  <si>
    <t>2020 - 99</t>
  </si>
  <si>
    <t>goods2020_33</t>
  </si>
  <si>
    <t>ITB 20-134</t>
  </si>
  <si>
    <t>61520201</t>
  </si>
  <si>
    <t>PR #00671</t>
  </si>
  <si>
    <t>R-BFARIX-FM-IPIL-20-03-309</t>
  </si>
  <si>
    <t>2020-M-06-0003</t>
  </si>
  <si>
    <t>PR0033-20 PEO REBID</t>
  </si>
  <si>
    <t>2020-09</t>
  </si>
  <si>
    <t>PR#2020-06-PR072</t>
  </si>
  <si>
    <t>2020-RBAC8-GOODS- 13</t>
  </si>
  <si>
    <t>PR0069-20 DOPHLUPON</t>
  </si>
  <si>
    <t>HE-2020-06-0006</t>
  </si>
  <si>
    <t>20PJ0053</t>
  </si>
  <si>
    <t>PR NO. 2020-03-0212</t>
  </si>
  <si>
    <t>2020-06-027</t>
  </si>
  <si>
    <t>2020-PR-102</t>
  </si>
  <si>
    <t>INFRA-2020-06-001</t>
  </si>
  <si>
    <t>03-2020-0170</t>
  </si>
  <si>
    <t>2020-PB-021</t>
  </si>
  <si>
    <t>DepEd.Pang.2 2020-006-0001</t>
  </si>
  <si>
    <t>0620-444-436</t>
  </si>
  <si>
    <t>PR 127-2020</t>
  </si>
  <si>
    <t>ITB 20-135</t>
  </si>
  <si>
    <t>cgb2020-208</t>
  </si>
  <si>
    <t>ITB NO. GOP/20-DSWD-041</t>
  </si>
  <si>
    <t>MGCP-20G-581A</t>
  </si>
  <si>
    <t>ITB No. 2020 – 73</t>
  </si>
  <si>
    <t>CG-RFQ-128-2020</t>
  </si>
  <si>
    <t>100-20-06-327</t>
  </si>
  <si>
    <t>rfq2020-6-04</t>
  </si>
  <si>
    <t>PR 2020-06-1798</t>
  </si>
  <si>
    <t>2020-01-0047</t>
  </si>
  <si>
    <t>guincam2020-06-004</t>
  </si>
  <si>
    <t>ITB 2020-060</t>
  </si>
  <si>
    <t>20-46011</t>
  </si>
  <si>
    <t>20-05-0528</t>
  </si>
  <si>
    <t>20PJ0054</t>
  </si>
  <si>
    <t>L-07-2020</t>
  </si>
  <si>
    <t>ESP-GOODS-014-2020</t>
  </si>
  <si>
    <t>111-2020</t>
  </si>
  <si>
    <t>0620-453-445</t>
  </si>
  <si>
    <t>2020-01-0048</t>
  </si>
  <si>
    <t>20-06-0002</t>
  </si>
  <si>
    <t>RFQ-SHS-0017</t>
  </si>
  <si>
    <t>AGGDS2020-0616A</t>
  </si>
  <si>
    <t>ITB 20-136</t>
  </si>
  <si>
    <t>Bac-Pg-001-20</t>
  </si>
  <si>
    <t>20-03-00264</t>
  </si>
  <si>
    <t>20-06-108</t>
  </si>
  <si>
    <t>CRS-SPOF-1121-20</t>
  </si>
  <si>
    <t>2020-01-0049</t>
  </si>
  <si>
    <t>20-06-058</t>
  </si>
  <si>
    <t>RFQ147 For use of TB Reference Laboratory Xpert Xp</t>
  </si>
  <si>
    <t>SVP2020-153</t>
  </si>
  <si>
    <t>PR0074-20 PAGRO</t>
  </si>
  <si>
    <t>30-20-03-034</t>
  </si>
  <si>
    <t>CG-RFQ-129-2020</t>
  </si>
  <si>
    <t>ITB 2020-061</t>
  </si>
  <si>
    <t>20-06-179</t>
  </si>
  <si>
    <t>2020-01-0050</t>
  </si>
  <si>
    <t>20PJ0055</t>
  </si>
  <si>
    <t>0620-445-437</t>
  </si>
  <si>
    <t>SPC PR No. 1000032081</t>
  </si>
  <si>
    <t>MGBX-06-069-2020 (3) B</t>
  </si>
  <si>
    <t>002-S2020</t>
  </si>
  <si>
    <t>100200600772</t>
  </si>
  <si>
    <t>2020-06-028</t>
  </si>
  <si>
    <t>2020-034J</t>
  </si>
  <si>
    <t>CGS-2020-0139</t>
  </si>
  <si>
    <t>PR0100-20 PEO</t>
  </si>
  <si>
    <t>2020-01-0051</t>
  </si>
  <si>
    <t>AGGDS2020-0616B</t>
  </si>
  <si>
    <t>RFQ-20-06-0463</t>
  </si>
  <si>
    <t>AREA V- 2020- SVP-022</t>
  </si>
  <si>
    <t>DAVOR-G-2020-10</t>
  </si>
  <si>
    <t>GOODS-002-2020</t>
  </si>
  <si>
    <t>guincam2020-06-005</t>
  </si>
  <si>
    <t>003-S2020</t>
  </si>
  <si>
    <t>409thCO-GHQ&amp;HSC-RMBD-96-20</t>
  </si>
  <si>
    <t>Other Supplies and Materials ferd</t>
  </si>
  <si>
    <t>2020-097</t>
  </si>
  <si>
    <t>CG-RFQ-130-2020</t>
  </si>
  <si>
    <t>2020-06-SG-061</t>
  </si>
  <si>
    <t>doc</t>
  </si>
  <si>
    <t>ITB 20-137</t>
  </si>
  <si>
    <t>100200600773</t>
  </si>
  <si>
    <t>RFQ 2020-06-0067-B</t>
  </si>
  <si>
    <t>PR 05-3532</t>
  </si>
  <si>
    <t>GHQPC-OJ4-RMOS-1123-20</t>
  </si>
  <si>
    <t>2020-07-07-371PG</t>
  </si>
  <si>
    <t>CGS-2020-0138</t>
  </si>
  <si>
    <t>797</t>
  </si>
  <si>
    <t>2020-06-306-18</t>
  </si>
  <si>
    <t>20PJ0056</t>
  </si>
  <si>
    <t>PR0101-20 PEO</t>
  </si>
  <si>
    <t>MGBX-06-069-2020 (3)</t>
  </si>
  <si>
    <t>cw-2020-016</t>
  </si>
  <si>
    <t>PR #00669</t>
  </si>
  <si>
    <t>AREA V- 2020- SVP-023</t>
  </si>
  <si>
    <t>100-2002-137-GF</t>
  </si>
  <si>
    <t>RFQ-20-06-0461</t>
  </si>
  <si>
    <t>20PL0104</t>
  </si>
  <si>
    <t>2020-PB-022</t>
  </si>
  <si>
    <t>020-001</t>
  </si>
  <si>
    <t>IB No. MM-2020-024(m)</t>
  </si>
  <si>
    <t>00017</t>
  </si>
  <si>
    <t>2020-05-0992</t>
  </si>
  <si>
    <t>PR NO. 020004003</t>
  </si>
  <si>
    <t>2020-01-0052</t>
  </si>
  <si>
    <t>CNVH-2020-0002</t>
  </si>
  <si>
    <t>RFQ-11</t>
  </si>
  <si>
    <t>GOOdS 04-2020</t>
  </si>
  <si>
    <t>DOT BAC REI No. 2020-010</t>
  </si>
  <si>
    <t>SVP No. U-2020-06-001</t>
  </si>
  <si>
    <t>SVP 20-06-115</t>
  </si>
  <si>
    <t>2020-01-0054</t>
  </si>
  <si>
    <t>2020-PB-023</t>
  </si>
  <si>
    <t>2020-07-07-372PG</t>
  </si>
  <si>
    <t>KAPALONG2020106</t>
  </si>
  <si>
    <t>112-2020</t>
  </si>
  <si>
    <t>SVP No. T-2020-06-009</t>
  </si>
  <si>
    <t>2020-01-0053</t>
  </si>
  <si>
    <t>DTI XII 2020-007</t>
  </si>
  <si>
    <t>PR #00670</t>
  </si>
  <si>
    <t>20PL0116</t>
  </si>
  <si>
    <t>20-06-060</t>
  </si>
  <si>
    <t>AREA V- 2020- SVP-024</t>
  </si>
  <si>
    <t>2020-06-020-101</t>
  </si>
  <si>
    <t>RFQ-20-06-0465</t>
  </si>
  <si>
    <t>NM-2020-06-0001</t>
  </si>
  <si>
    <t>Ibaan/2020/233</t>
  </si>
  <si>
    <t>ITB 20-138</t>
  </si>
  <si>
    <t>002-2020</t>
  </si>
  <si>
    <t>RFQ No. 0158</t>
  </si>
  <si>
    <t>MCIAA 06-474-20</t>
  </si>
  <si>
    <t>IB No. 2020-020</t>
  </si>
  <si>
    <t>PR 06-3509</t>
  </si>
  <si>
    <t>2020-06-307-19</t>
  </si>
  <si>
    <t>2020-INFRA-14B</t>
  </si>
  <si>
    <t>20-06-061</t>
  </si>
  <si>
    <t>DARCII-2020-010</t>
  </si>
  <si>
    <t>MCIAA 06-469-20</t>
  </si>
  <si>
    <t>20-06-062</t>
  </si>
  <si>
    <t>20PL0117</t>
  </si>
  <si>
    <t>LP2020LG</t>
  </si>
  <si>
    <t>PSMO20-06-0268</t>
  </si>
  <si>
    <t>2020-PR20-838-177</t>
  </si>
  <si>
    <t>FSDE19-CS-036-20</t>
  </si>
  <si>
    <t>G-2020-06-016-GF 2020- Capital Outlay</t>
  </si>
  <si>
    <t>2020-02-0056</t>
  </si>
  <si>
    <t>AREA V- 2020- SVP-025</t>
  </si>
  <si>
    <t>goods 152-2020</t>
  </si>
  <si>
    <t>2020-6-1</t>
  </si>
  <si>
    <t>IB. NO. K-2020-023(SC)</t>
  </si>
  <si>
    <t>2020-06-SG-062</t>
  </si>
  <si>
    <t>2020-01-0055</t>
  </si>
  <si>
    <t>RPC-2020-E-02</t>
  </si>
  <si>
    <t>PSMO20-06-0277</t>
  </si>
  <si>
    <t>2020-06-271</t>
  </si>
  <si>
    <t>20-06-063</t>
  </si>
  <si>
    <t>2020-07-07-374PG</t>
  </si>
  <si>
    <t>goods 153-2020</t>
  </si>
  <si>
    <t>105CO-10336-HHSBN-2020</t>
  </si>
  <si>
    <t>cgb2020-209</t>
  </si>
  <si>
    <t>IB. NO. K-2020-024(SC)</t>
  </si>
  <si>
    <t>RFQ No.2020-029</t>
  </si>
  <si>
    <t>MCIAA 06-476-20</t>
  </si>
  <si>
    <t>IB. NO. K-2020-028(SC)</t>
  </si>
  <si>
    <t>PR #00668</t>
  </si>
  <si>
    <t>20-014</t>
  </si>
  <si>
    <t>B2020-075-A</t>
  </si>
  <si>
    <t>G-2020-06-015 GF 2020</t>
  </si>
  <si>
    <t>RFQ-2020-03_hdpe-sdr 11 half</t>
  </si>
  <si>
    <t>2020 020</t>
  </si>
  <si>
    <t>IB. NO. K-2020-056(SC)</t>
  </si>
  <si>
    <t>102CO-2020-227</t>
  </si>
  <si>
    <t>2020-G-001</t>
  </si>
  <si>
    <t>GOODS-20-28</t>
  </si>
  <si>
    <t>BOCPOL06032020</t>
  </si>
  <si>
    <t>2020-06-308-20</t>
  </si>
  <si>
    <t>MCIAA 06-480-20</t>
  </si>
  <si>
    <t>BCS-2020-0125</t>
  </si>
  <si>
    <t>PR #00667</t>
  </si>
  <si>
    <t>RFQ-2020-04_hdpe-sdr 11 8</t>
  </si>
  <si>
    <t>BFP Caraga 2020-06-008</t>
  </si>
  <si>
    <t>IB. NO. K-2020-049(SC)</t>
  </si>
  <si>
    <t>ITB 20-139</t>
  </si>
  <si>
    <t>bata2- 2020- 06- 0014</t>
  </si>
  <si>
    <t>RFQ 20-06-067</t>
  </si>
  <si>
    <t>20-06-064</t>
  </si>
  <si>
    <t>RFQ 20-144</t>
  </si>
  <si>
    <t>MinSCAT RFQ 2020-36</t>
  </si>
  <si>
    <t>MCIAA 06-468-20</t>
  </si>
  <si>
    <t>BCS-2020-0126</t>
  </si>
  <si>
    <t>NL-06-02</t>
  </si>
  <si>
    <t>102CO-2020-228</t>
  </si>
  <si>
    <t>PR #00665</t>
  </si>
  <si>
    <t>G-JHS-2020-004</t>
  </si>
  <si>
    <t>MGBX-06-069-2020 (2)</t>
  </si>
  <si>
    <t>BFP BAC IB No. 002 (G) s. 2020</t>
  </si>
  <si>
    <t>RFQ-2020-05_uPVC</t>
  </si>
  <si>
    <t>PR #00666</t>
  </si>
  <si>
    <t>2020-NCOT-011GOODS</t>
  </si>
  <si>
    <t>2020-0218</t>
  </si>
  <si>
    <t>20-06-051</t>
  </si>
  <si>
    <t>DENR-AIPLS 2020-05</t>
  </si>
  <si>
    <t>2020-035J</t>
  </si>
  <si>
    <t>2020-07-07-377PG</t>
  </si>
  <si>
    <t>BCS-2020-0127</t>
  </si>
  <si>
    <t>lu-200615-02</t>
  </si>
  <si>
    <t>2020-G-004</t>
  </si>
  <si>
    <t>BOC-GOODS-RFQ-53-2020</t>
  </si>
  <si>
    <t>20-06-055</t>
  </si>
  <si>
    <t>2020-NCOT-012GOODS</t>
  </si>
  <si>
    <t>ITB No. 2020-14</t>
  </si>
  <si>
    <t>2020-NCOT-013GOODS</t>
  </si>
  <si>
    <t>2020-0179</t>
  </si>
  <si>
    <t>LTO R4A-SPS-2020-006</t>
  </si>
  <si>
    <t>20060455</t>
  </si>
  <si>
    <t>2020-06-090-GS</t>
  </si>
  <si>
    <t>BFP BAC IB No. 001 (I) s. 2020</t>
  </si>
  <si>
    <t>RFQ-2020-06_motorcycle</t>
  </si>
  <si>
    <t>lu-200615-01</t>
  </si>
  <si>
    <t>2020-39</t>
  </si>
  <si>
    <t>RFQ No.27.June 15,2020.GSO.LGU-Lugait</t>
  </si>
  <si>
    <t>06172020</t>
  </si>
  <si>
    <t>2020-APP- BOOKS- NCSM-001</t>
  </si>
  <si>
    <t>PR 0729-20</t>
  </si>
  <si>
    <t>20-06-056</t>
  </si>
  <si>
    <t>2020-06-088-GS</t>
  </si>
  <si>
    <t>BAC 06/15/20-01</t>
  </si>
  <si>
    <t>DEPED-BOHOL-2020-06-076</t>
  </si>
  <si>
    <t>PR 0793-20</t>
  </si>
  <si>
    <t>RFQ-JUNE_1</t>
  </si>
  <si>
    <t>2020-PBGOODS-06-009</t>
  </si>
  <si>
    <t>2020-05-085-GS</t>
  </si>
  <si>
    <t>2020-010</t>
  </si>
  <si>
    <t>06182020</t>
  </si>
  <si>
    <t>1011-20-06-14</t>
  </si>
  <si>
    <t>ITB-2020-06-012</t>
  </si>
  <si>
    <t>RFQ NO. 411</t>
  </si>
  <si>
    <t>Various PR's</t>
  </si>
  <si>
    <t>RB2020-06-199</t>
  </si>
  <si>
    <t>RFQ 2020-236</t>
  </si>
  <si>
    <t>2020-07-07-378PG</t>
  </si>
  <si>
    <t>20NC0126</t>
  </si>
  <si>
    <t>MGBX-06-069-2020 (1)</t>
  </si>
  <si>
    <t>2020-ICT- PB-001</t>
  </si>
  <si>
    <t>ATI-RTC3-2020-0078</t>
  </si>
  <si>
    <t>2020-07-07-341PG</t>
  </si>
  <si>
    <t>RFQ 20-06-040</t>
  </si>
  <si>
    <t>DTIRO1-2020-002</t>
  </si>
  <si>
    <t>ATI-RTC3-2020-0077</t>
  </si>
  <si>
    <t>DEPED-BOHOL-2020-06-077</t>
  </si>
  <si>
    <t>2020-07-07-380PG</t>
  </si>
  <si>
    <t>20-06-263</t>
  </si>
  <si>
    <t>RFQ-JUNE_2</t>
  </si>
  <si>
    <t>2020-PBGOODS-06-008</t>
  </si>
  <si>
    <t>20-06-132</t>
  </si>
  <si>
    <t>2020-07-07-382PG</t>
  </si>
  <si>
    <t>ATI-RTC3-2020-0080</t>
  </si>
  <si>
    <t>20PD0087</t>
  </si>
  <si>
    <t>004 2020 LML</t>
  </si>
  <si>
    <t>ATI-RTC3-2020-0079</t>
  </si>
  <si>
    <t>20-06-15D</t>
  </si>
  <si>
    <t>ITB-2020-06-013</t>
  </si>
  <si>
    <t>20NC0127</t>
  </si>
  <si>
    <t>2020-07-07-381PG</t>
  </si>
  <si>
    <t>ATI-RTC3-2020-0081</t>
  </si>
  <si>
    <t>20PD0096</t>
  </si>
  <si>
    <t>ISMS 36119</t>
  </si>
  <si>
    <t>20-06-15A</t>
  </si>
  <si>
    <t>20PD0095</t>
  </si>
  <si>
    <t>ATI-RTC3-2020-0082</t>
  </si>
  <si>
    <t>RFQ ATI-RTC 02-021</t>
  </si>
  <si>
    <t>2020-06-146</t>
  </si>
  <si>
    <t>JHV-20-06-0458</t>
  </si>
  <si>
    <t>RFQ ATI-RTC 02-022</t>
  </si>
  <si>
    <t>1234561</t>
  </si>
  <si>
    <t>20-06-15E</t>
  </si>
  <si>
    <t>20-06-15B</t>
  </si>
  <si>
    <t>1102Bde-2020-14</t>
  </si>
  <si>
    <t>20PD0100</t>
  </si>
  <si>
    <t>SPNHS2020-06-01</t>
  </si>
  <si>
    <t>20-06-15C</t>
  </si>
  <si>
    <t>Ada-2020-06-002</t>
  </si>
  <si>
    <t>Ada-2020-06-001</t>
  </si>
  <si>
    <t>20-06-15</t>
  </si>
  <si>
    <t>2020-03-023G</t>
  </si>
  <si>
    <t>RFQ ATI-RTC 02-023</t>
  </si>
  <si>
    <t>SMAC-NP-001-2020</t>
  </si>
  <si>
    <t>2020-05-0881 Two Times Preventive Maintenance of M</t>
  </si>
  <si>
    <t>DepED-RO6-D1- Educational Equipment/Support Instru</t>
  </si>
  <si>
    <t>PR No. 2020-03-215</t>
  </si>
  <si>
    <t>calbayog 2020-06-01</t>
  </si>
  <si>
    <t>KHS-2020-003</t>
  </si>
  <si>
    <t>SN-GOODS-20-002</t>
  </si>
  <si>
    <t>124563</t>
  </si>
  <si>
    <t>RFQ ATI-RTC 02-024</t>
  </si>
  <si>
    <t>2020-08</t>
  </si>
  <si>
    <t>KHS-2020-004</t>
  </si>
  <si>
    <t>1234562</t>
  </si>
  <si>
    <t>20GD00003</t>
  </si>
  <si>
    <t>20-5-54</t>
  </si>
  <si>
    <t>RFQ-06162020</t>
  </si>
  <si>
    <t>2020-006-004</t>
  </si>
  <si>
    <t>ITDI-200004_REBID</t>
  </si>
  <si>
    <t>2020-05-0882 Two Times Preventive Maintenance of F</t>
  </si>
  <si>
    <t>2020-140-04</t>
  </si>
  <si>
    <t>DPWH-SK2DEO-20GMH047</t>
  </si>
  <si>
    <t>20-06-55</t>
  </si>
  <si>
    <t>DPWH-SK2DEO-20MH0085</t>
  </si>
  <si>
    <t>RFQ ATI-RTC 02-029</t>
  </si>
  <si>
    <t>DPWH-SK2DEO-20GMH048</t>
  </si>
  <si>
    <t>2020-06-0047</t>
  </si>
  <si>
    <t>lgu sta. Barbara</t>
  </si>
  <si>
    <t>june2020-2</t>
  </si>
  <si>
    <t>G-2020-04-03</t>
  </si>
  <si>
    <t>DPWH-SK2DEO-20MH0103</t>
  </si>
  <si>
    <t>PR # 20-06-0736</t>
  </si>
  <si>
    <t>RFQ ATI-RTC 02-031</t>
  </si>
  <si>
    <t>2020-06-070</t>
  </si>
  <si>
    <t>202006019</t>
  </si>
  <si>
    <t>2nd Quarter MOOE 2020 - 001</t>
  </si>
  <si>
    <t>4327128</t>
  </si>
  <si>
    <t>RFQ ATI-RTC 02-032</t>
  </si>
  <si>
    <t>2020-06-324</t>
  </si>
  <si>
    <t>2020-06-325</t>
  </si>
  <si>
    <t>2nd Quarter MOOE 2020 - 002</t>
  </si>
  <si>
    <t>202006018</t>
  </si>
  <si>
    <t>2020-06-071</t>
  </si>
  <si>
    <t>june2020-1</t>
  </si>
  <si>
    <t>RFQ ATI-RTC 02-027</t>
  </si>
  <si>
    <t>2020-06-0949 Source Emission Testing for Generator</t>
  </si>
  <si>
    <t>06022020A</t>
  </si>
  <si>
    <t>5432918</t>
  </si>
  <si>
    <t>BAC-HO GS 2020-0239 and BAC-HO GS 2020-0231</t>
  </si>
  <si>
    <t>948920</t>
  </si>
  <si>
    <t>1234564</t>
  </si>
  <si>
    <t>MGPQ-RML-2020-06-004</t>
  </si>
  <si>
    <t>INF2020-06-017</t>
  </si>
  <si>
    <t>DSWD 4B 2020-06-0653</t>
  </si>
  <si>
    <t>RFQ ATI-RTC 02-026</t>
  </si>
  <si>
    <t>2nd Quarter MOOE 2020 - 003</t>
  </si>
  <si>
    <t>RFQ ATI-RTC 02-028</t>
  </si>
  <si>
    <t>RFQ ATI-RTC 02-025</t>
  </si>
  <si>
    <t>LES 2020-06-03</t>
  </si>
  <si>
    <t>PB-INF-19-005</t>
  </si>
  <si>
    <t>INF2020-06-018</t>
  </si>
  <si>
    <t>202006021</t>
  </si>
  <si>
    <t>ITB -2020-019</t>
  </si>
  <si>
    <t>2020-06-074</t>
  </si>
  <si>
    <t>2020-06-075</t>
  </si>
  <si>
    <t>948915</t>
  </si>
  <si>
    <t>2020-06-072</t>
  </si>
  <si>
    <t>2020-06-073</t>
  </si>
  <si>
    <t>2nd Quarter MOOE 2020 - 005</t>
  </si>
  <si>
    <t>DSWD 4B 2020-06-0651</t>
  </si>
  <si>
    <t>2020-05-0931 Supply of Patient Monitor Accessories</t>
  </si>
  <si>
    <t>948869</t>
  </si>
  <si>
    <t>2020-02-0397 Supply of Labor and Materials for Rep</t>
  </si>
  <si>
    <t>ITB2020-018</t>
  </si>
  <si>
    <t>2nd Quarter MOOE 2020 - 004</t>
  </si>
  <si>
    <t>PB-INF-19-006</t>
  </si>
  <si>
    <t>20GDK0036</t>
  </si>
  <si>
    <t>RF INFRA GAA CY 2020-06-001</t>
  </si>
  <si>
    <t>202006023</t>
  </si>
  <si>
    <t>2020-06-076</t>
  </si>
  <si>
    <t>948868</t>
  </si>
  <si>
    <t>202006022</t>
  </si>
  <si>
    <t>2020-06-079</t>
  </si>
  <si>
    <t>0615-2020</t>
  </si>
  <si>
    <t>2020-06-0975 Rubber Tubing 1/4 x 1/8 x 50 ft, 100%</t>
  </si>
  <si>
    <t>948867</t>
  </si>
  <si>
    <t>2nd Quarter MOOE 2020 - 006</t>
  </si>
  <si>
    <t>006</t>
  </si>
  <si>
    <t>G2020-06-0001</t>
  </si>
  <si>
    <t>948917</t>
  </si>
  <si>
    <t>V01-June2020</t>
  </si>
  <si>
    <t>2020-06-0968 C-Reactive Protein (CRP) 100 Test/ Ki</t>
  </si>
  <si>
    <t>948916</t>
  </si>
  <si>
    <t>20BB0121</t>
  </si>
  <si>
    <t>ITB2020-024</t>
  </si>
  <si>
    <t>2020-06-078</t>
  </si>
  <si>
    <t>2020-031</t>
  </si>
  <si>
    <t>20BB0122</t>
  </si>
  <si>
    <t>PZDS-2020-06-044-IB</t>
  </si>
  <si>
    <t>20BB0123</t>
  </si>
  <si>
    <t>ITB2020-026</t>
  </si>
  <si>
    <t>PROJECT # 20-039</t>
  </si>
  <si>
    <t>2020-GOODS-035</t>
  </si>
  <si>
    <t>PZDS-2020-06-022-RFQ</t>
  </si>
  <si>
    <t>PROJECT # 20-055</t>
  </si>
  <si>
    <t>ITB2020-025</t>
  </si>
  <si>
    <t>PROJECT # 20-053</t>
  </si>
  <si>
    <t>MZDS-BAC-CW-2020-06</t>
  </si>
  <si>
    <t>ITB2020-027</t>
  </si>
  <si>
    <t>H02-June2020</t>
  </si>
  <si>
    <t>305THCO-10288-220AW-90-2020</t>
  </si>
  <si>
    <t>PROJECT # 20-043</t>
  </si>
  <si>
    <t>019-013</t>
  </si>
  <si>
    <t>20-06-424</t>
  </si>
  <si>
    <t>Sapa Pequeña-0615-1</t>
  </si>
  <si>
    <t>PROJECT # 20-047</t>
  </si>
  <si>
    <t>geps villaaglipaydepedtarlac-0002-2020</t>
  </si>
  <si>
    <t>PROJECT # 20-049</t>
  </si>
  <si>
    <t>305THCO-10285-205THW-112-2020</t>
  </si>
  <si>
    <t>ITB2020-028</t>
  </si>
  <si>
    <t>06-15-202003015</t>
  </si>
  <si>
    <t>PROJECT # 20-050</t>
  </si>
  <si>
    <t>N-14-2020</t>
  </si>
  <si>
    <t>305THCO-10268-220AW-88-2020</t>
  </si>
  <si>
    <t>ITB2020-029</t>
  </si>
  <si>
    <t>PR # 20-06-0690</t>
  </si>
  <si>
    <t>2020-ZP06-00008</t>
  </si>
  <si>
    <t>Sapa Pequeña-0615-2</t>
  </si>
  <si>
    <t>202000768</t>
  </si>
  <si>
    <t>ECNVHS-JUNIOR HS 00002-2020</t>
  </si>
  <si>
    <t>305THCO-10287-220AW-89-2020</t>
  </si>
  <si>
    <t>0216-2020</t>
  </si>
  <si>
    <t>PR # 20-06-0735</t>
  </si>
  <si>
    <t>CB 08-2020</t>
  </si>
  <si>
    <t>2020-06-PR036</t>
  </si>
  <si>
    <t>202000766</t>
  </si>
  <si>
    <t>305THCO-10284-205THW-111-2020</t>
  </si>
  <si>
    <t>MZDS-BAC-G-2020-02</t>
  </si>
  <si>
    <t>PROJECT # 20-054</t>
  </si>
  <si>
    <t>ECNVHS-SHS00003-2020</t>
  </si>
  <si>
    <t>06-01</t>
  </si>
  <si>
    <t>2020-ZP06-00009</t>
  </si>
  <si>
    <t>PROJECT # 20-071</t>
  </si>
  <si>
    <t>PEDHS2020S0010</t>
  </si>
  <si>
    <t>MZDS-BAC-G-2020-03</t>
  </si>
  <si>
    <t>BAC-HO GS 2020-0326</t>
  </si>
  <si>
    <t>CW46-2020</t>
  </si>
  <si>
    <t>RFQ-ATI-RTC4A-2020-06-056</t>
  </si>
  <si>
    <t>PROJECT # 20-072</t>
  </si>
  <si>
    <t>BNS-0520-065</t>
  </si>
  <si>
    <t>BNS-0520-059</t>
  </si>
  <si>
    <t>06-15-20200020020300606001</t>
  </si>
  <si>
    <t>MGPIN-2020-06-053</t>
  </si>
  <si>
    <t>CW47-2020</t>
  </si>
  <si>
    <t>RFQ-ATI-RTC4A-2020-06-057</t>
  </si>
  <si>
    <t>PROJECT # 20-073</t>
  </si>
  <si>
    <t>MGPIN-2020-06-052</t>
  </si>
  <si>
    <t>019-014</t>
  </si>
  <si>
    <t>Papallasen-0615-1</t>
  </si>
  <si>
    <t>PEDHS2020S0011</t>
  </si>
  <si>
    <t>OSAG PR No. 1000032901</t>
  </si>
  <si>
    <t>PROJECT # 20-062</t>
  </si>
  <si>
    <t>CW48-2020</t>
  </si>
  <si>
    <t>HPN-0420-209</t>
  </si>
  <si>
    <t>PROJECT # 20-070</t>
  </si>
  <si>
    <t>IPQ2020--23</t>
  </si>
  <si>
    <t>BDIGON-BAC-2020-01</t>
  </si>
  <si>
    <t>305THCO-10283-205THW-103-2020</t>
  </si>
  <si>
    <t>RFQ-ATI-RTC4A-2020-06-059</t>
  </si>
  <si>
    <t>CB 10-2020</t>
  </si>
  <si>
    <t>IPQ2020-022</t>
  </si>
  <si>
    <t>BDIGON-BAC-2020-02</t>
  </si>
  <si>
    <t>MGPIN-2020-06-054</t>
  </si>
  <si>
    <t>305THCO-10281-205THW-101-2020</t>
  </si>
  <si>
    <t>BgySanVicente 002 - 2020</t>
  </si>
  <si>
    <t>RFQ-ATI-RTC4A-2020-06-058</t>
  </si>
  <si>
    <t>MGPIN-2020-06-055</t>
  </si>
  <si>
    <t>MGPIN-2020-06-056</t>
  </si>
  <si>
    <t>HPN-0520-221</t>
  </si>
  <si>
    <t>305THCO-10282-205THW-102-2020</t>
  </si>
  <si>
    <t>BgySanVicente 001 - 2020</t>
  </si>
  <si>
    <t>RFQ-ATI-RTC4A-2020-06-060</t>
  </si>
  <si>
    <t>Tambacan-0615-1</t>
  </si>
  <si>
    <t>HPN-0520-247</t>
  </si>
  <si>
    <t>HPN-0520-246</t>
  </si>
  <si>
    <t>MGPIN-2020-06-057</t>
  </si>
  <si>
    <t>305THCO-10280-220AW-100-2020</t>
  </si>
  <si>
    <t>G2020-06-027E</t>
  </si>
  <si>
    <t>BgySanVicente 003 - 2020</t>
  </si>
  <si>
    <t>RFQ-ATI-RTC4A-2020-06-061</t>
  </si>
  <si>
    <t>305THCO-10279-205THW-99-2020</t>
  </si>
  <si>
    <t>388548442</t>
  </si>
  <si>
    <t>RFQ-TPB-PR.2020.06.167</t>
  </si>
  <si>
    <t>DAVOR-G-2020-11</t>
  </si>
  <si>
    <t>G2020-06-029E</t>
  </si>
  <si>
    <t>100-20-06-300</t>
  </si>
  <si>
    <t>G2020-06-028E</t>
  </si>
  <si>
    <t>252-878-056-000</t>
  </si>
  <si>
    <t>305THCO-9519-205THW-86-2020</t>
  </si>
  <si>
    <t>388548441</t>
  </si>
  <si>
    <t>PA-2020-03</t>
  </si>
  <si>
    <t>H01-June-2020</t>
  </si>
  <si>
    <t>RFQ-ATI-RTC4A-2020-06-062</t>
  </si>
  <si>
    <t>BAC SVP 2020-43</t>
  </si>
  <si>
    <t>MGPIN-2020-06-058</t>
  </si>
  <si>
    <t>snajose2020-06-001</t>
  </si>
  <si>
    <t>RFQ-ATI-RTC4A-2020-06-063</t>
  </si>
  <si>
    <t>388548444</t>
  </si>
  <si>
    <t>388548445</t>
  </si>
  <si>
    <t>05-2020</t>
  </si>
  <si>
    <t>sanjose2020-06-003</t>
  </si>
  <si>
    <t>388548443</t>
  </si>
  <si>
    <t>RFQ-ATI-RTC4A-2020-06-065</t>
  </si>
  <si>
    <t>388548446</t>
  </si>
  <si>
    <t>RFQ-ATI-RTC4A-2020-06-064</t>
  </si>
  <si>
    <t>IB 2020-06-001I</t>
  </si>
  <si>
    <t>124-2020</t>
  </si>
  <si>
    <t>sanjose2020-06-002</t>
  </si>
  <si>
    <t>sanjose2020-06-004</t>
  </si>
  <si>
    <t>INFRA-CNO-20-0004</t>
  </si>
  <si>
    <t>IB 2020-063</t>
  </si>
  <si>
    <t>100-2020-03-504</t>
  </si>
  <si>
    <t>PR NO. 100-1101-20-06-0610</t>
  </si>
  <si>
    <t>IB 2020-064</t>
  </si>
  <si>
    <t>100-2020-05-713</t>
  </si>
  <si>
    <t>IB 2020-062</t>
  </si>
  <si>
    <t>100-2020-05-715</t>
  </si>
  <si>
    <t>100-2020-02-390</t>
  </si>
  <si>
    <t>100-2020-02-403</t>
  </si>
  <si>
    <t>100-2020-05-665</t>
  </si>
  <si>
    <t>2020-Barangay Bagongon-002</t>
  </si>
  <si>
    <t>100-2020-05-705</t>
  </si>
  <si>
    <t>100-2020-05-669</t>
  </si>
  <si>
    <t>2020-CW-06-03</t>
  </si>
  <si>
    <t>2020-Brgy. 09 Poblacion-002</t>
  </si>
  <si>
    <t>2020-CW-06-05</t>
  </si>
  <si>
    <t>20GEB0005-R1</t>
  </si>
  <si>
    <t>2020-CW-06-04</t>
  </si>
  <si>
    <t>1-070720</t>
  </si>
  <si>
    <t>RFQ-GF-79</t>
  </si>
  <si>
    <t>LGU-POZ 2020-0028</t>
  </si>
  <si>
    <t>RPT-20-0295-B</t>
  </si>
  <si>
    <t>20GEB0032-R1</t>
  </si>
  <si>
    <t>RPT-20-0296-B</t>
  </si>
  <si>
    <t>100-2020-05-657</t>
  </si>
  <si>
    <t>20GEB0047-A-R1</t>
  </si>
  <si>
    <t>20GEB0042-B-R1</t>
  </si>
  <si>
    <t>20GEB0064-R1</t>
  </si>
  <si>
    <t>20GEB0041-R1</t>
  </si>
  <si>
    <t>RPT-20-0401-B</t>
  </si>
  <si>
    <t>RPT-20-0398-B</t>
  </si>
  <si>
    <t>RPT-20-0400-B</t>
  </si>
  <si>
    <t>RPT-20-0397-B</t>
  </si>
  <si>
    <t>NP-01-2020</t>
  </si>
  <si>
    <t>RPT-20-0357-B</t>
  </si>
  <si>
    <t>EBSO-PPE-0451-20</t>
  </si>
  <si>
    <t>ETDC-OSE-1084-20</t>
  </si>
  <si>
    <t>PB NO. 2020-034</t>
  </si>
  <si>
    <t>RPT-20-0399-B</t>
  </si>
  <si>
    <t>100-2020-05-666</t>
  </si>
  <si>
    <t>PB NO. 2020-035</t>
  </si>
  <si>
    <t>RPT-20-0429-B</t>
  </si>
  <si>
    <t>GOODS-007-2020</t>
  </si>
  <si>
    <t>RPT-20-0431-B</t>
  </si>
  <si>
    <t>OJ8-RMDRRE-1083-20</t>
  </si>
  <si>
    <t>GO-2020-06-82</t>
  </si>
  <si>
    <t>ODCOP-SEME-ICT-1087-20</t>
  </si>
  <si>
    <t>OTSG-OSME-1092-20</t>
  </si>
  <si>
    <t>GO-2020-06-81</t>
  </si>
  <si>
    <t>2020-06-0608 TDG</t>
  </si>
  <si>
    <t>GO-2020-06-83</t>
  </si>
  <si>
    <t>GO-2020-06-84</t>
  </si>
  <si>
    <t>NP-02-2020</t>
  </si>
  <si>
    <t>IB 2020-037(AMV)</t>
  </si>
  <si>
    <t>2020-02-055</t>
  </si>
  <si>
    <t>270-2020</t>
  </si>
  <si>
    <t>21-2020</t>
  </si>
  <si>
    <t>268-2020</t>
  </si>
  <si>
    <t>271-2020</t>
  </si>
  <si>
    <t>ISAFP-OSE-1094-20</t>
  </si>
  <si>
    <t>CW2020-07</t>
  </si>
  <si>
    <t>266-2020</t>
  </si>
  <si>
    <t>269-2020</t>
  </si>
  <si>
    <t>267-2020</t>
  </si>
  <si>
    <t>2-062320</t>
  </si>
  <si>
    <t>DepED-RO6-D1-2020QRF(REPAIR)-C1-018-2020</t>
  </si>
  <si>
    <t>2020-33</t>
  </si>
  <si>
    <t>3-062320</t>
  </si>
  <si>
    <t>5-062320</t>
  </si>
  <si>
    <t>1-062320</t>
  </si>
  <si>
    <t>4-062320</t>
  </si>
  <si>
    <t>2020-34</t>
  </si>
  <si>
    <t>RFQ NO. 38</t>
  </si>
  <si>
    <t>SDH-20-0273-B</t>
  </si>
  <si>
    <t>2020-37</t>
  </si>
  <si>
    <t>SanJoseBatsAeb2020-085</t>
  </si>
  <si>
    <t>20-06-00379</t>
  </si>
  <si>
    <t>202006249</t>
  </si>
  <si>
    <t>17202006054</t>
  </si>
  <si>
    <t>SDH-20-0363-B</t>
  </si>
  <si>
    <t>SDH-20-0446-B</t>
  </si>
  <si>
    <t>2020-36</t>
  </si>
  <si>
    <t>SDH-20-0395-B</t>
  </si>
  <si>
    <t>SDH-20-0362-B</t>
  </si>
  <si>
    <t>110620201</t>
  </si>
  <si>
    <t>SDH-20-0444-B</t>
  </si>
  <si>
    <t>SDH-20-0445-B</t>
  </si>
  <si>
    <t>AGR-20-0668-B</t>
  </si>
  <si>
    <t>SanJoseBatsAeb2020-035</t>
  </si>
  <si>
    <t>2020-35</t>
  </si>
  <si>
    <t>1-06112020</t>
  </si>
  <si>
    <t>MSSC-20-06-013</t>
  </si>
  <si>
    <t>SDH-20-0449-B</t>
  </si>
  <si>
    <t>5-06112020</t>
  </si>
  <si>
    <t>SDH-20-0441-B</t>
  </si>
  <si>
    <t>2-06112020</t>
  </si>
  <si>
    <t>PR# 20-0709</t>
  </si>
  <si>
    <t>202006248</t>
  </si>
  <si>
    <t>6-06112020</t>
  </si>
  <si>
    <t>2020-40</t>
  </si>
  <si>
    <t>8-06112020</t>
  </si>
  <si>
    <t>RSU-2020-0013</t>
  </si>
  <si>
    <t>200029</t>
  </si>
  <si>
    <t>7-06112020</t>
  </si>
  <si>
    <t>CW20-03</t>
  </si>
  <si>
    <t>DFPPURCH20-054</t>
  </si>
  <si>
    <t>4-06112020</t>
  </si>
  <si>
    <t>3-06112020</t>
  </si>
  <si>
    <t>N-20-06-059</t>
  </si>
  <si>
    <t>SDH-20-0448-B</t>
  </si>
  <si>
    <t>P.R. No. 20-0043</t>
  </si>
  <si>
    <t>N-20-06-058</t>
  </si>
  <si>
    <t>RSU-2020-0014</t>
  </si>
  <si>
    <t>20GBD0025</t>
  </si>
  <si>
    <t>2020-03-187</t>
  </si>
  <si>
    <t>SDH-20-0443-B</t>
  </si>
  <si>
    <t>N-20-06-060</t>
  </si>
  <si>
    <t>IB 2020-038(AMV)</t>
  </si>
  <si>
    <t>N-20-06-056</t>
  </si>
  <si>
    <t>SDH-20-0447-B</t>
  </si>
  <si>
    <t>SanJoseBatsAeb2020-083</t>
  </si>
  <si>
    <t>SDH-20-0442-B</t>
  </si>
  <si>
    <t>N-20-06-061</t>
  </si>
  <si>
    <t>N-20-06-057</t>
  </si>
  <si>
    <t>20-01-00051 (LATE POSTING)</t>
  </si>
  <si>
    <t>AGR-19-1448-B</t>
  </si>
  <si>
    <t>PMC-020-172</t>
  </si>
  <si>
    <t>PR0017-20 SP SUPPORT SERVICES</t>
  </si>
  <si>
    <t>20EHG007</t>
  </si>
  <si>
    <t>LGU RFQ 2020-55</t>
  </si>
  <si>
    <t>CGDNELZN-2020-06-001</t>
  </si>
  <si>
    <t>N-20-06-062</t>
  </si>
  <si>
    <t>300-agriculturaldevt-20-009</t>
  </si>
  <si>
    <t>N-20-06-063</t>
  </si>
  <si>
    <t>PBI-2020-14</t>
  </si>
  <si>
    <t>20EHG008</t>
  </si>
  <si>
    <t>100-20-06-1815</t>
  </si>
  <si>
    <t>300-agriculturaldevt-20-008</t>
  </si>
  <si>
    <t>N-20-06-065</t>
  </si>
  <si>
    <t>PBI-2020-15</t>
  </si>
  <si>
    <t>20EHG009</t>
  </si>
  <si>
    <t>N-20-06-064</t>
  </si>
  <si>
    <t>PBI-2020-16</t>
  </si>
  <si>
    <t>20EHG010</t>
  </si>
  <si>
    <t>PBI-2020-17</t>
  </si>
  <si>
    <t>GHQPC-OTCN-RMMV-1100-20</t>
  </si>
  <si>
    <t>STC-GOODS - NO. -2020 -0040</t>
  </si>
  <si>
    <t>GHQPC-AFPEBSO-RMB-1105-20</t>
  </si>
  <si>
    <t>20-06-11</t>
  </si>
  <si>
    <t>Barangay Erenas Payao-001-2020</t>
  </si>
  <si>
    <t>GHQPC-AFPRC-OTSM-1095-20</t>
  </si>
  <si>
    <t>2020-034R</t>
  </si>
  <si>
    <t>GHQPC-AFPEBSO-RMOS-1106-20</t>
  </si>
  <si>
    <t>2020-035R</t>
  </si>
  <si>
    <t>2020-037R</t>
  </si>
  <si>
    <t>CGDNELZN-2020-06-002</t>
  </si>
  <si>
    <t>2020-01-1011-43</t>
  </si>
  <si>
    <t>2020-036R</t>
  </si>
  <si>
    <t>20GJC0193</t>
  </si>
  <si>
    <t>20GJC0191</t>
  </si>
  <si>
    <t>RFQ-2020-05-15</t>
  </si>
  <si>
    <t>SV20-06-001BAC</t>
  </si>
  <si>
    <t>20GJC0190</t>
  </si>
  <si>
    <t>2020-ANT-GOODS-0106</t>
  </si>
  <si>
    <t>2020-ANT-GOODS-0107</t>
  </si>
  <si>
    <t>ITB-2020-05</t>
  </si>
  <si>
    <t>20GJC0192</t>
  </si>
  <si>
    <t>2020-06-117 (06207512)</t>
  </si>
  <si>
    <t>2020-ANT-GOODS-0108</t>
  </si>
  <si>
    <t>2020-PR20-695-165</t>
  </si>
  <si>
    <t>BIDSTAC # SB 023-2020</t>
  </si>
  <si>
    <t>2020-PR20-796-164</t>
  </si>
  <si>
    <t>BIDSTAC # SB 024-2020</t>
  </si>
  <si>
    <t>2020-PR20-628-167</t>
  </si>
  <si>
    <t>2020-0071</t>
  </si>
  <si>
    <t>2020-GOODS-014-01-0615</t>
  </si>
  <si>
    <t>PB-0620-39</t>
  </si>
  <si>
    <t>2020-PR20-700-168</t>
  </si>
  <si>
    <t>2020-PR20-797-166</t>
  </si>
  <si>
    <t>20-83-037</t>
  </si>
  <si>
    <t>2005-025-04R</t>
  </si>
  <si>
    <t>BIDSTAC # NP-SVP 111-2020</t>
  </si>
  <si>
    <t>PB-0620-40</t>
  </si>
  <si>
    <t>PB-2020-05-030</t>
  </si>
  <si>
    <t>ADS-0366-20 LOT B</t>
  </si>
  <si>
    <t>2020-PR20-681-169</t>
  </si>
  <si>
    <t>ITB No. 2020-30</t>
  </si>
  <si>
    <t>2020-ANT-GOODS-0109</t>
  </si>
  <si>
    <t>P.R. No. 20-0041</t>
  </si>
  <si>
    <t>RFQ 0520-006</t>
  </si>
  <si>
    <t>2020-PR20-689-170</t>
  </si>
  <si>
    <t>PB-2020-05-032</t>
  </si>
  <si>
    <t>2020-PR20-699-171</t>
  </si>
  <si>
    <t>20-00045</t>
  </si>
  <si>
    <t>PB-0620-41</t>
  </si>
  <si>
    <t>PB-2020-05-031</t>
  </si>
  <si>
    <t>IAEB 041-20</t>
  </si>
  <si>
    <t>BLGU-ANIBONGON-AL-01-2020</t>
  </si>
  <si>
    <t>RFQ 2020-029</t>
  </si>
  <si>
    <t>BIDSTAC # NP-SVP 112-2020</t>
  </si>
  <si>
    <t>2020-85</t>
  </si>
  <si>
    <t>BOD20-089</t>
  </si>
  <si>
    <t>20 - OG - 001 (G)</t>
  </si>
  <si>
    <t>PB-0220-08</t>
  </si>
  <si>
    <t>20GLF0031</t>
  </si>
  <si>
    <t>IB No. 2020-221</t>
  </si>
  <si>
    <t>20BF0060</t>
  </si>
  <si>
    <t xml:space="preserve">100-2020-0130, 0132, 0289, 0570, 0581, 0711, 0713 </t>
  </si>
  <si>
    <t>LGU-AL-28-2020</t>
  </si>
  <si>
    <t>BOD20-088</t>
  </si>
  <si>
    <t>100-2020-0634, 0723 &amp; 0761</t>
  </si>
  <si>
    <t>BOD20-87</t>
  </si>
  <si>
    <t>R.I.S. No.: 20-93-017</t>
  </si>
  <si>
    <t>100-2020-0588 &amp; 0695</t>
  </si>
  <si>
    <t>BOD20-086</t>
  </si>
  <si>
    <t>Bac-Pg-002-20</t>
  </si>
  <si>
    <t>2020-895-001</t>
  </si>
  <si>
    <t>ITB 20-072</t>
  </si>
  <si>
    <t>100-2020-0730</t>
  </si>
  <si>
    <t>100-2020-0662, 0785 &amp; 0786</t>
  </si>
  <si>
    <t>100-2020-0725</t>
  </si>
  <si>
    <t>100-2020-0683, 0750a-b &amp; 0810</t>
  </si>
  <si>
    <t>20 - OG - 002 (G)</t>
  </si>
  <si>
    <t>100-2020-0714, 0716 &amp; 0760</t>
  </si>
  <si>
    <t>GHQPC-OSPS-OTSM-1107-20</t>
  </si>
  <si>
    <t>LGU-AL-29-2020</t>
  </si>
  <si>
    <t>100-2020-0707</t>
  </si>
  <si>
    <t>100-2020-0733a-b</t>
  </si>
  <si>
    <t>Bac-Pg-006-20</t>
  </si>
  <si>
    <t>283</t>
  </si>
  <si>
    <t>P.O.W. 2020-02-130</t>
  </si>
  <si>
    <t>Bac-Pg-005-20</t>
  </si>
  <si>
    <t>SVP 2020-346</t>
  </si>
  <si>
    <t>GHQPC-OSPS-SEMEFF-1108-20</t>
  </si>
  <si>
    <t>Bac-Pg-004-20</t>
  </si>
  <si>
    <t>100-2020-0770</t>
  </si>
  <si>
    <t>BOD20-090</t>
  </si>
  <si>
    <t>PR 20-06-0243</t>
  </si>
  <si>
    <t>0198-2020</t>
  </si>
  <si>
    <t>100-2020-0766</t>
  </si>
  <si>
    <t>CONTRACT ID: 20-06-085</t>
  </si>
  <si>
    <t>BANTAYAN-2020-03-0091</t>
  </si>
  <si>
    <t>20-012-002</t>
  </si>
  <si>
    <t>0200-2020</t>
  </si>
  <si>
    <t>20GLF0032</t>
  </si>
  <si>
    <t>2020-GSIS-PB-072</t>
  </si>
  <si>
    <t>0199-2020</t>
  </si>
  <si>
    <t>20CSKG01</t>
  </si>
  <si>
    <t>0201-2020</t>
  </si>
  <si>
    <t>100-2020-0809a-c</t>
  </si>
  <si>
    <t>IB-2020-065</t>
  </si>
  <si>
    <t>100-2020-0769</t>
  </si>
  <si>
    <t>2020-GSIS-PB-073</t>
  </si>
  <si>
    <t>0204-2020</t>
  </si>
  <si>
    <t>GHQPC-OSPS-OTSM-1109-20</t>
  </si>
  <si>
    <t>AGGDS2020-0611B</t>
  </si>
  <si>
    <t>2020-06-01-25</t>
  </si>
  <si>
    <t>BNLSL-LCB-31-2020</t>
  </si>
  <si>
    <t>IB 2020-061</t>
  </si>
  <si>
    <t>PF-0520-558</t>
  </si>
  <si>
    <t>BNLSL-LCB-30-2020</t>
  </si>
  <si>
    <t>2020-06-PR035</t>
  </si>
  <si>
    <t>0206-2020</t>
  </si>
  <si>
    <t>20GG0042-G</t>
  </si>
  <si>
    <t>0203-2020</t>
  </si>
  <si>
    <t>AGGDS2020-0611A</t>
  </si>
  <si>
    <t>RFQ2020-06-057</t>
  </si>
  <si>
    <t>BANTAYAN-2020-03-0090</t>
  </si>
  <si>
    <t>20GLF0033</t>
  </si>
  <si>
    <t>0202-2020</t>
  </si>
  <si>
    <t>IB-2020-066</t>
  </si>
  <si>
    <t>RFQ2020-06-056</t>
  </si>
  <si>
    <t>104</t>
  </si>
  <si>
    <t>IB-2020-067</t>
  </si>
  <si>
    <t>CONTRACT ID: 20-06-084</t>
  </si>
  <si>
    <t>103</t>
  </si>
  <si>
    <t>BNLSL-LCB-31A-2020</t>
  </si>
  <si>
    <t>ITB PR No.: 0777-20BAC</t>
  </si>
  <si>
    <t>2020-06-02-20</t>
  </si>
  <si>
    <t>20GG0043-G</t>
  </si>
  <si>
    <t>ITB PR No.: 0776-20BAC</t>
  </si>
  <si>
    <t>2020-06-01-26</t>
  </si>
  <si>
    <t>20200611</t>
  </si>
  <si>
    <t>PF-0520-561</t>
  </si>
  <si>
    <t>102</t>
  </si>
  <si>
    <t>RFQ2020-06-055</t>
  </si>
  <si>
    <t>IB-2020-068</t>
  </si>
  <si>
    <t>2020 A-06.091</t>
  </si>
  <si>
    <t>2020 A-06.093</t>
  </si>
  <si>
    <t>0207-2020</t>
  </si>
  <si>
    <t>RFQ2020-06-058</t>
  </si>
  <si>
    <t>DepED-RO6-D1-COVIDSUPPLIES-046-2020</t>
  </si>
  <si>
    <t>ITB PR No.: 1087-20BAC</t>
  </si>
  <si>
    <t>DepED-RO6-D1-BRIGAD ESKWELA2020-045-2020</t>
  </si>
  <si>
    <t>0208-2020</t>
  </si>
  <si>
    <t>ls1d-2020-06-003</t>
  </si>
  <si>
    <t>MUNPINCE-2006-110</t>
  </si>
  <si>
    <t>ITB PR No.: 0205-20BAC</t>
  </si>
  <si>
    <t>PR-2020-5-078C</t>
  </si>
  <si>
    <t>PR-20-06-25</t>
  </si>
  <si>
    <t>2020-POBLACION-010</t>
  </si>
  <si>
    <t>2020-320</t>
  </si>
  <si>
    <t>PGR-INFRA-2020-07-4</t>
  </si>
  <si>
    <t>2020-POBLACION-008</t>
  </si>
  <si>
    <t>PGR-INFRA-2020-07-5</t>
  </si>
  <si>
    <t>8986655</t>
  </si>
  <si>
    <t>PGR-INFRA-2020-07-1</t>
  </si>
  <si>
    <t>2020-POBLACION-007</t>
  </si>
  <si>
    <t>MUNPINCE-2006-111</t>
  </si>
  <si>
    <t>2020-POBLACION-009</t>
  </si>
  <si>
    <t>PGR-INFRA-2020-07-2</t>
  </si>
  <si>
    <t>2020-POBLACION-0012</t>
  </si>
  <si>
    <t>2020-POBLACION-014</t>
  </si>
  <si>
    <t>PGR-INFRA-2020-07-3</t>
  </si>
  <si>
    <t>PGR-INFRA-2020-07-8</t>
  </si>
  <si>
    <t>PGR-INFRA-2020-07-9</t>
  </si>
  <si>
    <t>PB2020-013</t>
  </si>
  <si>
    <t>2020-POBLACION-013</t>
  </si>
  <si>
    <t>PGR-INFRA-2020-07-10</t>
  </si>
  <si>
    <t>PGR-INFRA-2020-07-7</t>
  </si>
  <si>
    <t>PR-2020-6-082</t>
  </si>
  <si>
    <t>PGR-INFRA-2020-07-6</t>
  </si>
  <si>
    <t>2020-POBLACION-015</t>
  </si>
  <si>
    <t>PF-0220-162</t>
  </si>
  <si>
    <t>2020-POBLACION-011</t>
  </si>
  <si>
    <t>PR-20-06-26</t>
  </si>
  <si>
    <t>2020 Caib 087</t>
  </si>
  <si>
    <t>Pr062000630</t>
  </si>
  <si>
    <t>0001-20</t>
  </si>
  <si>
    <t>CP 2020-37</t>
  </si>
  <si>
    <t>6/12/2020</t>
  </si>
  <si>
    <t>06122020</t>
  </si>
  <si>
    <t>2020-PR20-690-172</t>
  </si>
  <si>
    <t>PR062000632</t>
  </si>
  <si>
    <t>2020-S-27</t>
  </si>
  <si>
    <t>CP 2020-38</t>
  </si>
  <si>
    <t>ST2020-06009</t>
  </si>
  <si>
    <t>2020-06-307</t>
  </si>
  <si>
    <t>ST2020-06007</t>
  </si>
  <si>
    <t>0002-20</t>
  </si>
  <si>
    <t>ST2020-06008</t>
  </si>
  <si>
    <t>ST2020-06003</t>
  </si>
  <si>
    <t>ST2020-06006</t>
  </si>
  <si>
    <t>ST2020-06012</t>
  </si>
  <si>
    <t>2020-06-328</t>
  </si>
  <si>
    <t>ST2020-06011</t>
  </si>
  <si>
    <t>ST2020-06010</t>
  </si>
  <si>
    <t>2020-ITB-06-033</t>
  </si>
  <si>
    <t>302775-2020-06-027</t>
  </si>
  <si>
    <t>2020-ITB-06-034</t>
  </si>
  <si>
    <t>ST2020-06002</t>
  </si>
  <si>
    <t>ST2020-06014</t>
  </si>
  <si>
    <t>ST2020-06004</t>
  </si>
  <si>
    <t>2020-ITB-06-026</t>
  </si>
  <si>
    <t>ST2020-06001</t>
  </si>
  <si>
    <t>ST2020-06005</t>
  </si>
  <si>
    <t>RFQ-2020-036</t>
  </si>
  <si>
    <t>2020-06-331</t>
  </si>
  <si>
    <t>2020-06-329</t>
  </si>
  <si>
    <t>2020-ITB-06-037</t>
  </si>
  <si>
    <t>20202-038R</t>
  </si>
  <si>
    <t>2020-ITB-06-038</t>
  </si>
  <si>
    <t>ITB 06-014-2020</t>
  </si>
  <si>
    <t>2020-ITB-06-039</t>
  </si>
  <si>
    <t>2020-039R</t>
  </si>
  <si>
    <t>2020-ITB-06-028</t>
  </si>
  <si>
    <t>PGR-INFRA-2020-03-05</t>
  </si>
  <si>
    <t>2020-ITB-06-036</t>
  </si>
  <si>
    <t>Infra EDF 08-2020</t>
  </si>
  <si>
    <t>2020-040R</t>
  </si>
  <si>
    <t>2020-ITB-06-027</t>
  </si>
  <si>
    <t>301725</t>
  </si>
  <si>
    <t>2020-ITB-06-035</t>
  </si>
  <si>
    <t>PGR-INFRA-2020-07-11</t>
  </si>
  <si>
    <t>06-002-2020</t>
  </si>
  <si>
    <t>6/12/2020_01</t>
  </si>
  <si>
    <t>gsis/npsvp-221-20</t>
  </si>
  <si>
    <t>PHILGEPS-2020-12</t>
  </si>
  <si>
    <t>3-070720</t>
  </si>
  <si>
    <t>PHILGEPS-2020-13</t>
  </si>
  <si>
    <t>goods 2020-001</t>
  </si>
  <si>
    <t>06-001</t>
  </si>
  <si>
    <t>2-070720</t>
  </si>
  <si>
    <t>0214-2020</t>
  </si>
  <si>
    <t>0212-2020</t>
  </si>
  <si>
    <t>0209-2020</t>
  </si>
  <si>
    <t>0211-2020</t>
  </si>
  <si>
    <t>SNCHS# 2020-0013</t>
  </si>
  <si>
    <t>0213-2020</t>
  </si>
  <si>
    <t>RFQ-2020-06-116</t>
  </si>
  <si>
    <t>2020-INFRA-027</t>
  </si>
  <si>
    <t>20GNE0026</t>
  </si>
  <si>
    <t>9-062320</t>
  </si>
  <si>
    <t>6-062320</t>
  </si>
  <si>
    <t>7-062320</t>
  </si>
  <si>
    <t>DC-20-17</t>
  </si>
  <si>
    <t>10-062320</t>
  </si>
  <si>
    <t>0210-2020</t>
  </si>
  <si>
    <t>8-062320</t>
  </si>
  <si>
    <t>11-062320</t>
  </si>
  <si>
    <t>PGL-20 NEGO 23-06</t>
  </si>
  <si>
    <t>2020-ITB-06-042</t>
  </si>
  <si>
    <t>2020-06-0010</t>
  </si>
  <si>
    <t>2020-ITB-06-029</t>
  </si>
  <si>
    <t>GOODS2020-034</t>
  </si>
  <si>
    <t>2020-ITB-06-040</t>
  </si>
  <si>
    <t>2020-ITB-06-041</t>
  </si>
  <si>
    <t>GOODS2020-035</t>
  </si>
  <si>
    <t>20GNE0025</t>
  </si>
  <si>
    <t>2020-ITB-06-044</t>
  </si>
  <si>
    <t>PGR-INFRA-2020-03-16</t>
  </si>
  <si>
    <t>2020-INFRA-028</t>
  </si>
  <si>
    <t>GTLMH-20-069</t>
  </si>
  <si>
    <t>2020-ITB-06-043</t>
  </si>
  <si>
    <t>GTLMH-20-086</t>
  </si>
  <si>
    <t>PGR-INFRA-2020-03-07</t>
  </si>
  <si>
    <t>PGR-INFRA-2020-03-14</t>
  </si>
  <si>
    <t>2020-ITB-06-030</t>
  </si>
  <si>
    <t>20-01-014;034;082;083;095;20-02-014</t>
  </si>
  <si>
    <t>2020-INFRA-029</t>
  </si>
  <si>
    <t>PGR-INFRA-2020-03-13</t>
  </si>
  <si>
    <t>2020-ITB-06-046</t>
  </si>
  <si>
    <t>2020-INFRA-030</t>
  </si>
  <si>
    <t>2020-ITB-06-045</t>
  </si>
  <si>
    <t>06-02</t>
  </si>
  <si>
    <t>2020-ITB-06-031</t>
  </si>
  <si>
    <t>DA3-2020-06-04-61</t>
  </si>
  <si>
    <t>PGR-INFRA-2020-03-18</t>
  </si>
  <si>
    <t>2020-ITB-06-032</t>
  </si>
  <si>
    <t>RFQ20-21-Ref-Case480F-F19-214</t>
  </si>
  <si>
    <t>2020-3-17</t>
  </si>
  <si>
    <t>2020-06-132</t>
  </si>
  <si>
    <t>BAC-ITIO GS No. 2020-0026 dated 21 April 2020</t>
  </si>
  <si>
    <t>2020-INFRA-031</t>
  </si>
  <si>
    <t>PGR-INFRA-2020-03-22</t>
  </si>
  <si>
    <t>DA3-2020-06-09-360</t>
  </si>
  <si>
    <t>2020-INFRA-032</t>
  </si>
  <si>
    <t>PVNHSJHS06132020</t>
  </si>
  <si>
    <t>RFQ20-22-Ref-Case480F-F19-264</t>
  </si>
  <si>
    <t>June 13, 2020 C</t>
  </si>
  <si>
    <t>DA3-2020-06-09-358</t>
  </si>
  <si>
    <t>DA3-2020-06-04-63</t>
  </si>
  <si>
    <t>DA3-2020-06-09-359</t>
  </si>
  <si>
    <t>4-070720</t>
  </si>
  <si>
    <t>20-05-0579</t>
  </si>
  <si>
    <t>DA3-2020-06-09-361</t>
  </si>
  <si>
    <t>BAC-ITIO GS No. 2020-0053 dated 02 June 2020</t>
  </si>
  <si>
    <t>SHOP GOODS 2020-06-13</t>
  </si>
  <si>
    <t>DA3-06-04-60</t>
  </si>
  <si>
    <t>RFQ20-23-Ref-UDDT-MM13-6</t>
  </si>
  <si>
    <t>BAL-06-13-2020-Construction of Roofing in the Park</t>
  </si>
  <si>
    <t>DA3-2020-06-09-362</t>
  </si>
  <si>
    <t>JHS-01-001</t>
  </si>
  <si>
    <t>RFQ No. 20-0549 Shopping B</t>
  </si>
  <si>
    <t>CY2020QRF</t>
  </si>
  <si>
    <t>20-01-0101</t>
  </si>
  <si>
    <t>PMO-20-28</t>
  </si>
  <si>
    <t>brgy. carayrayan 2020-1</t>
  </si>
  <si>
    <t>006-2020</t>
  </si>
  <si>
    <t>2020-2</t>
  </si>
  <si>
    <t>005-2020</t>
  </si>
  <si>
    <t>AMP-018-2020</t>
  </si>
  <si>
    <t>brgy. carayrayan 2020-3</t>
  </si>
  <si>
    <t>brgy. carayrayan 2020-2</t>
  </si>
  <si>
    <t>2020-011-06</t>
  </si>
  <si>
    <t>SVP 2020-06-308</t>
  </si>
  <si>
    <t>302775-2020-06-031</t>
  </si>
  <si>
    <t>2020-010-06</t>
  </si>
  <si>
    <t>2020-209</t>
  </si>
  <si>
    <t>PB-ALBAYINFRA-20-01</t>
  </si>
  <si>
    <t>2020-212</t>
  </si>
  <si>
    <t>2020-211</t>
  </si>
  <si>
    <t>2020-199</t>
  </si>
  <si>
    <t>SP-SV 2020-33</t>
  </si>
  <si>
    <t>NP-SV 34</t>
  </si>
  <si>
    <t>2020-Centro 8-005</t>
  </si>
  <si>
    <t>San Antonio-2020-06-001</t>
  </si>
  <si>
    <t>2020-210</t>
  </si>
  <si>
    <t>QSU-BAC-F-24-2020 01D Aux &amp; HES</t>
  </si>
  <si>
    <t>302775-2020-06-033</t>
  </si>
  <si>
    <t>SVP 2020-06-310</t>
  </si>
  <si>
    <t>2020-06-098</t>
  </si>
  <si>
    <t>PIN2020-077</t>
  </si>
  <si>
    <t>Amandiego-2020-06-001</t>
  </si>
  <si>
    <t>2020-216</t>
  </si>
  <si>
    <t>2020-242</t>
  </si>
  <si>
    <t>RFQ 2020-07</t>
  </si>
  <si>
    <t>SVP 2020-06-309</t>
  </si>
  <si>
    <t>NP-SV 2020-35</t>
  </si>
  <si>
    <t>2020-244</t>
  </si>
  <si>
    <t>2020-246</t>
  </si>
  <si>
    <t>2020-228</t>
  </si>
  <si>
    <t>GSD-20-96797 (ECA)</t>
  </si>
  <si>
    <t>2020-233</t>
  </si>
  <si>
    <t>ITDI-200216_REBID</t>
  </si>
  <si>
    <t>ITDI-200220_REBID</t>
  </si>
  <si>
    <t>NP-SV 2020-36</t>
  </si>
  <si>
    <t>2020-47</t>
  </si>
  <si>
    <t>ITDI-200231_REBID</t>
  </si>
  <si>
    <t>2020-250</t>
  </si>
  <si>
    <t>ITDI-200191_REBID</t>
  </si>
  <si>
    <t>ITDI-200323</t>
  </si>
  <si>
    <t>ITDI-200288_REBID</t>
  </si>
  <si>
    <t>QNV-024-2020</t>
  </si>
  <si>
    <t>2020-177</t>
  </si>
  <si>
    <t>ITDI-200227_REBID</t>
  </si>
  <si>
    <t>20-006-072</t>
  </si>
  <si>
    <t>2020-46</t>
  </si>
  <si>
    <t>2020-63</t>
  </si>
  <si>
    <t>20-006-070</t>
  </si>
  <si>
    <t>ITDI-200233_REBID</t>
  </si>
  <si>
    <t>2020-162</t>
  </si>
  <si>
    <t>DepED-RO6-D1-2020QRF(REPAIR)-C6-023-2020</t>
  </si>
  <si>
    <t>DepED-RO6-D1-2020QRF(REPAIR)-C10-027-2020</t>
  </si>
  <si>
    <t>DepED-RO6-D1-2020QRF(REPAIR)-C9-026-2020</t>
  </si>
  <si>
    <t>DepED-RO6-D1-2020QRF(REPAIR)-C7-024-2020</t>
  </si>
  <si>
    <t>DepED-RO6-D1-2020QRF(REPAIR)-C3-020-2020</t>
  </si>
  <si>
    <t>DepED-RO6-D1-2020QRF(REPAIR)-C2-019-2020</t>
  </si>
  <si>
    <t>DepED-RO6-D1-2020QRF(REPAIR)-C5-022-2020</t>
  </si>
  <si>
    <t>DepED-RO6-D1-2020QRF(REPAIR)-C13-030-2020</t>
  </si>
  <si>
    <t>ITDI-200208_REBID</t>
  </si>
  <si>
    <t>DepED-RO6-D1-2020QRF(REPAIR)-C15-032-2020</t>
  </si>
  <si>
    <t>DepED-RO6-D1-2020QRF(REPAIR)-C12-029-2020</t>
  </si>
  <si>
    <t>DepED-RO6-D1-2020QRF(REPAIR)-C14-031-2020</t>
  </si>
  <si>
    <t>DepED-RO6-D1-2020QRF(REPAIR)-C8-025-2020</t>
  </si>
  <si>
    <t>061420</t>
  </si>
  <si>
    <t>DepED-RO6-D1-2020QRF(REPAIR)-C11-028-2020</t>
  </si>
  <si>
    <t>DepED-RO6-D1-2020QRF(REPAIR)-C4-021-2020</t>
  </si>
  <si>
    <t>ITDI-200218_REBID</t>
  </si>
  <si>
    <t>ITB-BONE SOUTH ES SLOPE PROTECTION-20-06-01</t>
  </si>
  <si>
    <t>DepED-RO6-D1-2020QRF(REPAIR)-C16-033-2020</t>
  </si>
  <si>
    <t>DepED-RO6-D1-2020QRF(REPAIR)-C20-037-2020</t>
  </si>
  <si>
    <t>DepED-RO6-D1-2020QRF(REPAIR)-C19-036-2020</t>
  </si>
  <si>
    <t>DepED-RO6-D1-2020QRF(REPAIR)-C17-034-2020</t>
  </si>
  <si>
    <t>ITDI-200259_REBID</t>
  </si>
  <si>
    <t>DepED-RO6-D1-2020QRF(REPAIR)-C27-044-2020</t>
  </si>
  <si>
    <t>DepED-RO6-D1-2020QRF(REPAIR)-C18-035-2020</t>
  </si>
  <si>
    <t>101-20-06-005</t>
  </si>
  <si>
    <t>DepED-RO6-D1-2020QRF(REPAIR)-C26-043-2020</t>
  </si>
  <si>
    <t>DepED-RO6-D1-2020QRF(REPAIR)-C24-041-2020</t>
  </si>
  <si>
    <t>302775-2020-06-069</t>
  </si>
  <si>
    <t>DepED-RO6-D1-2020QRF(REPAIR)-C21-038-2020</t>
  </si>
  <si>
    <t>ITDI-200240_REBID</t>
  </si>
  <si>
    <t>DepED-RO6-D1-2020QRF(REPAIR)-C22-039-2020</t>
  </si>
  <si>
    <t>101-20-06-002</t>
  </si>
  <si>
    <t>302775-2020-06-070</t>
  </si>
  <si>
    <t>ITDI-200217_REBID</t>
  </si>
  <si>
    <t>DepED-RO6-D1-2020QRF(REPAIR)-C25-042-2020</t>
  </si>
  <si>
    <t>DepED-RO6-D1-2020QRF(REPAIR)-C23-040-2020</t>
  </si>
  <si>
    <t>PUR20-03-0241</t>
  </si>
  <si>
    <t>ITDI-200300_REBID</t>
  </si>
  <si>
    <t>NP2020-06</t>
  </si>
  <si>
    <t>PUR20-05-0391</t>
  </si>
  <si>
    <t>101-20-05-087</t>
  </si>
  <si>
    <t>2020-07-009</t>
  </si>
  <si>
    <t>6064</t>
  </si>
  <si>
    <t>NOSO-Goods-SIP-04-2020</t>
  </si>
  <si>
    <t>NOSO-Goods-SIP-05-2020</t>
  </si>
  <si>
    <t>NP2020-03-176B</t>
  </si>
  <si>
    <t>20GAA0073</t>
  </si>
  <si>
    <t>PUR20-03-0248</t>
  </si>
  <si>
    <t>20GAA0071</t>
  </si>
  <si>
    <t>302775-2020-06-074</t>
  </si>
  <si>
    <t>BAC1-20-013</t>
  </si>
  <si>
    <t>20GAA0072</t>
  </si>
  <si>
    <t>2020-07-008</t>
  </si>
  <si>
    <t>2020-144</t>
  </si>
  <si>
    <t>302775-2020-06-063</t>
  </si>
  <si>
    <t>NP2020-02-116B</t>
  </si>
  <si>
    <t>PUR20-05-0443</t>
  </si>
  <si>
    <t>NP2020-06-314</t>
  </si>
  <si>
    <t>PUR20-06-0456</t>
  </si>
  <si>
    <t>PUR20-04-0356</t>
  </si>
  <si>
    <t>NP2020-06-313</t>
  </si>
  <si>
    <t>TFB 19-304C</t>
  </si>
  <si>
    <t>20GAA0074</t>
  </si>
  <si>
    <t>SVP-GSD-062020-109</t>
  </si>
  <si>
    <t>RFQ-2020-03-264</t>
  </si>
  <si>
    <t>BAC1-20-003</t>
  </si>
  <si>
    <t>SVP-GSD-062020-107</t>
  </si>
  <si>
    <t>20HA0131</t>
  </si>
  <si>
    <t>RFQ-2020-03-233</t>
  </si>
  <si>
    <t>SVP-GSD-062020-108</t>
  </si>
  <si>
    <t>ITB No. 2020-026</t>
  </si>
  <si>
    <t>SVP-GSD-062020-106</t>
  </si>
  <si>
    <t>NP2020-06-321</t>
  </si>
  <si>
    <t>NP2020-02-120B</t>
  </si>
  <si>
    <t>NP2020-06-317</t>
  </si>
  <si>
    <t>NP2020-02-117B</t>
  </si>
  <si>
    <t>RFQ-2020-03-171</t>
  </si>
  <si>
    <t>RFQ-2020-03-334</t>
  </si>
  <si>
    <t>NP2020-02-123</t>
  </si>
  <si>
    <t>20201406</t>
  </si>
  <si>
    <t>RFQ-2020-05-122</t>
  </si>
  <si>
    <t>SVP-GSD-062020-110</t>
  </si>
  <si>
    <t>BP-20-021</t>
  </si>
  <si>
    <t>ITB No. 2020-016</t>
  </si>
  <si>
    <t>ITB No. 2020-018</t>
  </si>
  <si>
    <t>2020-FLOODCONTROL-002</t>
  </si>
  <si>
    <t>PUR20-03-0308</t>
  </si>
  <si>
    <t>BP-20-022</t>
  </si>
  <si>
    <t>RFQ-2020-05-155</t>
  </si>
  <si>
    <t>ITB No. 2020-017</t>
  </si>
  <si>
    <t>2020-MPDP-ANTIPULUAN-002</t>
  </si>
  <si>
    <t>RFQ-2020-05-18</t>
  </si>
  <si>
    <t>SVP-GSD-062020-111</t>
  </si>
  <si>
    <t>PUR20-03-0274</t>
  </si>
  <si>
    <t>RFQ-2020-05-73</t>
  </si>
  <si>
    <t>ITB No. 2020-019</t>
  </si>
  <si>
    <t>RFQ-2020-05-17</t>
  </si>
  <si>
    <t>ITB No. 2020-020</t>
  </si>
  <si>
    <t>WPU-2020-034</t>
  </si>
  <si>
    <t>RFQ-2020-05-166</t>
  </si>
  <si>
    <t>2020-FENCE-IPILAN-002</t>
  </si>
  <si>
    <t>2020-MPBLDG-ESTRELLAP1-002</t>
  </si>
  <si>
    <t>2020-WTP-CALATEGAS-002</t>
  </si>
  <si>
    <t>ITB No. 2020-021</t>
  </si>
  <si>
    <t>svp-20-05-c-08</t>
  </si>
  <si>
    <t>svp-20-05-c-01</t>
  </si>
  <si>
    <t>2020-WTP-P.URDUJA-002</t>
  </si>
  <si>
    <t>RFQ-2020-05-161</t>
  </si>
  <si>
    <t>ITB No. 2020-022</t>
  </si>
  <si>
    <t>2020-OMA-002</t>
  </si>
  <si>
    <t>WPU-2020-035</t>
  </si>
  <si>
    <t>PM20-010</t>
  </si>
  <si>
    <t>PB20-01-015CORa-06</t>
  </si>
  <si>
    <t>RFQ-2020-157</t>
  </si>
  <si>
    <t>sh-20-06-b-03</t>
  </si>
  <si>
    <t>RFQ-2020-05-181</t>
  </si>
  <si>
    <t>svp-20-06-b-05</t>
  </si>
  <si>
    <t>RFQ-2020-05-216</t>
  </si>
  <si>
    <t>RFQ-2020-05-218</t>
  </si>
  <si>
    <t>ITB No. 2020-023</t>
  </si>
  <si>
    <t>RFQ-2020-05-217</t>
  </si>
  <si>
    <t>RFQ-DARFO12-2020-0534</t>
  </si>
  <si>
    <t>sh-20-06-c-06</t>
  </si>
  <si>
    <t>ITB No. 2020-024</t>
  </si>
  <si>
    <t>N090-2020</t>
  </si>
  <si>
    <t>2020-SVP-DENR-EMB-028-02</t>
  </si>
  <si>
    <t>WPU-2020-036</t>
  </si>
  <si>
    <t>RFQ-2020-06-21</t>
  </si>
  <si>
    <t>RFQ-2020-06-84</t>
  </si>
  <si>
    <t>sh-20-06-b-06</t>
  </si>
  <si>
    <t>DOST XI 2020-021</t>
  </si>
  <si>
    <t>RFQ-2020-06-20</t>
  </si>
  <si>
    <t>RFQ-2020-05-220</t>
  </si>
  <si>
    <t>svp-20-06-c-01</t>
  </si>
  <si>
    <t>RFQ-2020-06-100</t>
  </si>
  <si>
    <t>ITB-2020-06-01</t>
  </si>
  <si>
    <t>RFQ-2020-05-219</t>
  </si>
  <si>
    <t>20GPF0011</t>
  </si>
  <si>
    <t>2020-373-017</t>
  </si>
  <si>
    <t>RFQ-2020-05-231</t>
  </si>
  <si>
    <t>RFQ-2020-06-102</t>
  </si>
  <si>
    <t>ITB No. 2020-025</t>
  </si>
  <si>
    <t>2020-373-018</t>
  </si>
  <si>
    <t>20GFG0017</t>
  </si>
  <si>
    <t>20GFG0016</t>
  </si>
  <si>
    <t>SHS-2020-004</t>
  </si>
  <si>
    <t>2020-06-02-012</t>
  </si>
  <si>
    <t>ITB GOODS 2020-06-31</t>
  </si>
  <si>
    <t>2020-06-02-013</t>
  </si>
  <si>
    <t>DOST XI 2020-022</t>
  </si>
  <si>
    <t>SHS-2020-005</t>
  </si>
  <si>
    <t>ITB-2020-06-02</t>
  </si>
  <si>
    <t>BAC-ITO GS No. 2020-048 dated 27 May 2020</t>
  </si>
  <si>
    <t>JHS-2020-019</t>
  </si>
  <si>
    <t>SHS-2020-009</t>
  </si>
  <si>
    <t>ITB GOODS 2020-06-30</t>
  </si>
  <si>
    <t>ITB-2020-06-03</t>
  </si>
  <si>
    <t>SHS-2020-008</t>
  </si>
  <si>
    <t>2020-06-02-014</t>
  </si>
  <si>
    <t>JHS-2020-020</t>
  </si>
  <si>
    <t>SHS-2020-007</t>
  </si>
  <si>
    <t>PG-20-06-011</t>
  </si>
  <si>
    <t>JHS-2020-023</t>
  </si>
  <si>
    <t>JHS-2020-022</t>
  </si>
  <si>
    <t>SHS-2020-006</t>
  </si>
  <si>
    <t>2020-07-02-015</t>
  </si>
  <si>
    <t>JHS-2020-021</t>
  </si>
  <si>
    <t>RFQ20-24-Ref-UDDT-SEN-620</t>
  </si>
  <si>
    <t>ITB GOODS 2020-06-32</t>
  </si>
  <si>
    <t>2020-07-02-016</t>
  </si>
  <si>
    <t>RFQ20-25-Ref-HinoDT-I3-662</t>
  </si>
  <si>
    <t>INFRA-09-20-01</t>
  </si>
  <si>
    <t>505</t>
  </si>
  <si>
    <t>2020-0614</t>
  </si>
  <si>
    <t>LGU-Banayoyo, ISur 2020-06-043</t>
  </si>
  <si>
    <t>JHS-2020-024</t>
  </si>
  <si>
    <t>LGU-Banayoyo, ISur 2020-06-044</t>
  </si>
  <si>
    <t>RFQ20-26-Ref-HinoDT-KPI3</t>
  </si>
  <si>
    <t>JHS-2020-025</t>
  </si>
  <si>
    <t>ITB GOODS 2020-06-33</t>
  </si>
  <si>
    <t>JHS-2020-026</t>
  </si>
  <si>
    <t>INFRA-09-20-02</t>
  </si>
  <si>
    <t>INFRA-09-20-05</t>
  </si>
  <si>
    <t>INFRA-09-20-04</t>
  </si>
  <si>
    <t>INFRA-09-20-03</t>
  </si>
  <si>
    <t>LGU-Banayoyo, ISur 2020-06-042</t>
  </si>
  <si>
    <t>CULABA 2020-04</t>
  </si>
  <si>
    <t>2020-006</t>
  </si>
  <si>
    <t>ITB GOODS 2020-06-34</t>
  </si>
  <si>
    <t>RFQ-2020-66</t>
  </si>
  <si>
    <t>RFQ-2020-67</t>
  </si>
  <si>
    <t>LGU-Banayoyo, ISur 2020-06-046</t>
  </si>
  <si>
    <t>LGU-Banayoyo, ISur 2020-06-045</t>
  </si>
  <si>
    <t>RFQ 2020-06-018</t>
  </si>
  <si>
    <t>RFQ20-27-Ref-Mit-Paj-SCA-508</t>
  </si>
  <si>
    <t>INFRA-09-20-06</t>
  </si>
  <si>
    <t>RFQ-ASDI-SDN-2020-012</t>
  </si>
  <si>
    <t>ITB GOODS 2020-06-35</t>
  </si>
  <si>
    <t>GTLMH-20-081</t>
  </si>
  <si>
    <t>RFQ-2020-71</t>
  </si>
  <si>
    <t>RFQ-2020-69</t>
  </si>
  <si>
    <t>PR#100-20-06-421</t>
  </si>
  <si>
    <t>SH-006-2020</t>
  </si>
  <si>
    <t>RFQ-007-2020</t>
  </si>
  <si>
    <t>101-020-006-065</t>
  </si>
  <si>
    <t>DOST XI 2020-023</t>
  </si>
  <si>
    <t>PB-20-296</t>
  </si>
  <si>
    <t>PB-20-294</t>
  </si>
  <si>
    <t>2020-0042</t>
  </si>
  <si>
    <t>RFQ-2020-72</t>
  </si>
  <si>
    <t>PB-20-320</t>
  </si>
  <si>
    <t>PB-20-319</t>
  </si>
  <si>
    <t>PB-20-318</t>
  </si>
  <si>
    <t>PB-20-317</t>
  </si>
  <si>
    <t>BPS-35979</t>
  </si>
  <si>
    <t>PB-20-295</t>
  </si>
  <si>
    <t>RFQ-2020-70</t>
  </si>
  <si>
    <t>PB-20-322</t>
  </si>
  <si>
    <t>RFQ-006-2020</t>
  </si>
  <si>
    <t>PB-20-324</t>
  </si>
  <si>
    <t>RFQ-2020-68</t>
  </si>
  <si>
    <t>fatima-001</t>
  </si>
  <si>
    <t>RFQ-2020-65</t>
  </si>
  <si>
    <t>PB-20-321</t>
  </si>
  <si>
    <t>015-SHS-2020</t>
  </si>
  <si>
    <t>PB-20-323</t>
  </si>
  <si>
    <t>2583-20</t>
  </si>
  <si>
    <t>20M0026</t>
  </si>
  <si>
    <t>BAC-06-1036</t>
  </si>
  <si>
    <t>013-SHS-2020</t>
  </si>
  <si>
    <t>2484-20</t>
  </si>
  <si>
    <t>20M0027</t>
  </si>
  <si>
    <t>012-SHS-2020</t>
  </si>
  <si>
    <t>2020-06-0003</t>
  </si>
  <si>
    <t>2265-20</t>
  </si>
  <si>
    <t>G17-2020</t>
  </si>
  <si>
    <t>BAC SVP 2020-42</t>
  </si>
  <si>
    <t>20-06-144</t>
  </si>
  <si>
    <t>01-2020-06M</t>
  </si>
  <si>
    <t>RFQ No. 2020-003</t>
  </si>
  <si>
    <t>014-SHS-2020</t>
  </si>
  <si>
    <t>BAC SVP 2020-41</t>
  </si>
  <si>
    <t>20050399</t>
  </si>
  <si>
    <t>bk-2020-02</t>
  </si>
  <si>
    <t>BSTM-2020-02</t>
  </si>
  <si>
    <t>117568-2020-034</t>
  </si>
  <si>
    <t>BSTM-2020-01</t>
  </si>
  <si>
    <t>117568-2020-033</t>
  </si>
  <si>
    <t>PMN2-MD-01</t>
  </si>
  <si>
    <t>2020-06-010-RFQ</t>
  </si>
  <si>
    <t>117568-2020-031</t>
  </si>
  <si>
    <t>2020-0900-004</t>
  </si>
  <si>
    <t>117568-2020-032</t>
  </si>
  <si>
    <t>20DF0188 - 20DF0190</t>
  </si>
  <si>
    <t>117568-2020-030</t>
  </si>
  <si>
    <t>117568-2020-035</t>
  </si>
  <si>
    <t>73511</t>
  </si>
  <si>
    <t>2020-8</t>
  </si>
  <si>
    <t>2020-FMP-06-01</t>
  </si>
  <si>
    <t>2020-INFRA-015</t>
  </si>
  <si>
    <t>June 13, 2020 B</t>
  </si>
  <si>
    <t>June 13, 2020</t>
  </si>
  <si>
    <t>DDN_06/18/2020</t>
  </si>
  <si>
    <t>gsis/npsvp-222-20</t>
  </si>
  <si>
    <t>PR000094</t>
  </si>
  <si>
    <t>DMPD-2020-0052</t>
  </si>
  <si>
    <t>burgos-2020-151-048</t>
  </si>
  <si>
    <t>KAMBONGGAN202001</t>
  </si>
  <si>
    <t>GAAS202001</t>
  </si>
  <si>
    <t>burgos-2020-150-047</t>
  </si>
  <si>
    <t>PB2020-003 (GDS)</t>
  </si>
  <si>
    <t>G-2020-025</t>
  </si>
  <si>
    <t>BAC 2020-003</t>
  </si>
  <si>
    <t>BAL-06-13-2020-Concreting of 100 Linear Meter Sori</t>
  </si>
  <si>
    <t>2020 - SNPABLO - 0001</t>
  </si>
  <si>
    <t>BAL-06-13-2020-Concreting of 700 Linear Meter Bara</t>
  </si>
  <si>
    <t>G-2020-028</t>
  </si>
  <si>
    <t>2020-011R</t>
  </si>
  <si>
    <t>R1-PIMO-20-05-042</t>
  </si>
  <si>
    <t>BAL-06-13-2020-Concreting of 100 Linear Meter Bara</t>
  </si>
  <si>
    <t>20DL0217</t>
  </si>
  <si>
    <t>20DL0216</t>
  </si>
  <si>
    <t>20DL0212</t>
  </si>
  <si>
    <t>20DL0210</t>
  </si>
  <si>
    <t>nlontoc-RFQ-G066-2020</t>
  </si>
  <si>
    <t>20DL0215</t>
  </si>
  <si>
    <t>20DL0209</t>
  </si>
  <si>
    <t>20DL0211</t>
  </si>
  <si>
    <t>20DL0213</t>
  </si>
  <si>
    <t>20DL0208</t>
  </si>
  <si>
    <t>20DL0214</t>
  </si>
  <si>
    <t>INFRA-20-003</t>
  </si>
  <si>
    <t>R1-PIMO-20-04-033</t>
  </si>
  <si>
    <t>12-JUNE-2020-GOODS</t>
  </si>
  <si>
    <t>20DL0219</t>
  </si>
  <si>
    <t>nlontoc-RFQ-G067-2020</t>
  </si>
  <si>
    <t>2020-57</t>
  </si>
  <si>
    <t>GOODS-20-003</t>
  </si>
  <si>
    <t>20DL0218</t>
  </si>
  <si>
    <t>132 – 2020</t>
  </si>
  <si>
    <t>R1-PIMO-20-056-043</t>
  </si>
  <si>
    <t>20-06-019-052</t>
  </si>
  <si>
    <t>130 – 2020</t>
  </si>
  <si>
    <t>20-06-020-052</t>
  </si>
  <si>
    <t>282-20</t>
  </si>
  <si>
    <t>133 – 2020</t>
  </si>
  <si>
    <t>2020bid001</t>
  </si>
  <si>
    <t>2020-06-0078-BAC0055</t>
  </si>
  <si>
    <t>131 – 2020</t>
  </si>
  <si>
    <t>20-06-021-052</t>
  </si>
  <si>
    <t>Dilan-002</t>
  </si>
  <si>
    <t>pal-20-06-011</t>
  </si>
  <si>
    <t>Atabay_2020_01</t>
  </si>
  <si>
    <t>20-06-022-052</t>
  </si>
  <si>
    <t>075-20</t>
  </si>
  <si>
    <t>ITB - 0034</t>
  </si>
  <si>
    <t>Imbalbalatong-002</t>
  </si>
  <si>
    <t>GOODS-2020-02-003</t>
  </si>
  <si>
    <t>20PD0127</t>
  </si>
  <si>
    <t>ITB-0036</t>
  </si>
  <si>
    <t>20PB0029</t>
  </si>
  <si>
    <t>202005038</t>
  </si>
  <si>
    <t>2020-06-09-20-03-22</t>
  </si>
  <si>
    <t>20PB0031</t>
  </si>
  <si>
    <t>ITB 2020-058</t>
  </si>
  <si>
    <t>20PB0030</t>
  </si>
  <si>
    <t>ITB 2020-057</t>
  </si>
  <si>
    <t>2020-06-0025</t>
  </si>
  <si>
    <t>SNIS-JHS-2020-06-001</t>
  </si>
  <si>
    <t>2020-SRV-001</t>
  </si>
  <si>
    <t>2020-SRV-007</t>
  </si>
  <si>
    <t>20PD0129</t>
  </si>
  <si>
    <t>1902119012-1n-2020059</t>
  </si>
  <si>
    <t>2020-06-09-20-03-21</t>
  </si>
  <si>
    <t>ITB-0035</t>
  </si>
  <si>
    <t>BCS-2020-0123</t>
  </si>
  <si>
    <t>BCS-2020-0122</t>
  </si>
  <si>
    <t>2020-SRV-010</t>
  </si>
  <si>
    <t>BCS-2020-0124</t>
  </si>
  <si>
    <t>GDS-124</t>
  </si>
  <si>
    <t>20200612</t>
  </si>
  <si>
    <t>ITB 2020-059</t>
  </si>
  <si>
    <t>Atabay_2020_02</t>
  </si>
  <si>
    <t>20202-SRV-005</t>
  </si>
  <si>
    <t>2020-SRV-009</t>
  </si>
  <si>
    <t>2020-SRV-006</t>
  </si>
  <si>
    <t>2020-SRV-004</t>
  </si>
  <si>
    <t>20PB0032</t>
  </si>
  <si>
    <t>20-06-394</t>
  </si>
  <si>
    <t>20-06-411</t>
  </si>
  <si>
    <t>20-06-414</t>
  </si>
  <si>
    <t>20-06-2020</t>
  </si>
  <si>
    <t>BCS-2020-0121</t>
  </si>
  <si>
    <t>DENR-NCR, PR No. 2020-397 dated 06/11/2020</t>
  </si>
  <si>
    <t>Atabay_2020_04</t>
  </si>
  <si>
    <t>Atabay_2020_03</t>
  </si>
  <si>
    <t>20-05-351</t>
  </si>
  <si>
    <t>DENR-NCR, PR No. 2020-398 dated 06/11/2020</t>
  </si>
  <si>
    <t>ITB#23-2020</t>
  </si>
  <si>
    <t>2020-06-034</t>
  </si>
  <si>
    <t>G-23-2020</t>
  </si>
  <si>
    <t>VNHS-00004-2020</t>
  </si>
  <si>
    <t>2020-07-02</t>
  </si>
  <si>
    <t>G-22-2020</t>
  </si>
  <si>
    <t>BAC 2020-004</t>
  </si>
  <si>
    <t>2020-225-001</t>
  </si>
  <si>
    <t>2020-241-001</t>
  </si>
  <si>
    <t>PSCbac 20-06-001</t>
  </si>
  <si>
    <t>2006011</t>
  </si>
  <si>
    <t>MNHS0001-S2020</t>
  </si>
  <si>
    <t>2020-SRV-011</t>
  </si>
  <si>
    <t>G-25-2020</t>
  </si>
  <si>
    <t>SNCHS SHS #2020-0005</t>
  </si>
  <si>
    <t>Budget Certificate No. 220-2020</t>
  </si>
  <si>
    <t>ITB 2020-006</t>
  </si>
  <si>
    <t>INFRA-2020-06-006</t>
  </si>
  <si>
    <t>SNCHS SHS #2020-0006</t>
  </si>
  <si>
    <t>INFRA-2020-02</t>
  </si>
  <si>
    <t>RFQ No.: 047</t>
  </si>
  <si>
    <t>AMP SVP 20-06-0348</t>
  </si>
  <si>
    <t>Goods 2020-013(NP)</t>
  </si>
  <si>
    <t>INFRA-2020-06-004</t>
  </si>
  <si>
    <t>POW-1041-2020-PGS-01B</t>
  </si>
  <si>
    <t>BRGHGMC-GS-2020-04</t>
  </si>
  <si>
    <t>LNHS2020-0003</t>
  </si>
  <si>
    <t>Budget Certificate No. 233 - 2020</t>
  </si>
  <si>
    <t>G-24-2020</t>
  </si>
  <si>
    <t>INFRA-2020-06-005</t>
  </si>
  <si>
    <t>20-05-0319</t>
  </si>
  <si>
    <t>MOB-BAC-2020-06-020-INFRA</t>
  </si>
  <si>
    <t>20EB0125</t>
  </si>
  <si>
    <t>06102020</t>
  </si>
  <si>
    <t>015</t>
  </si>
  <si>
    <t>2020-Barangay Mombon-002</t>
  </si>
  <si>
    <t>MC1-2006-030</t>
  </si>
  <si>
    <t>GOODS2020-005</t>
  </si>
  <si>
    <t>20CSA004</t>
  </si>
  <si>
    <t>20CSA003</t>
  </si>
  <si>
    <t>2020-Barangay Bunuanan-006</t>
  </si>
  <si>
    <t>2020-Barangay socorro-002</t>
  </si>
  <si>
    <t>20CSAD03</t>
  </si>
  <si>
    <t>Barangay Iguid-003-2020</t>
  </si>
  <si>
    <t>INFRA 2020-006</t>
  </si>
  <si>
    <t>DENR-ORMIN-017-2020</t>
  </si>
  <si>
    <t>20CSDM03</t>
  </si>
  <si>
    <t>2020-03-162</t>
  </si>
  <si>
    <t>2020-03-170</t>
  </si>
  <si>
    <t>IB-01-0206-20 VPAFEA SUPPLY, DELIVERY AND INSTALLA</t>
  </si>
  <si>
    <t>2020-714</t>
  </si>
  <si>
    <t>PRDP-PSO-Admin-2020-013 (AF)</t>
  </si>
  <si>
    <t>IB-01-0186-20 COE-CE SUPPLY AND DELIVERY OF LABORA</t>
  </si>
  <si>
    <t>20GEB0006</t>
  </si>
  <si>
    <t>01-07-2020</t>
  </si>
  <si>
    <t>2020-02-148</t>
  </si>
  <si>
    <t>PANG-2020-0779</t>
  </si>
  <si>
    <t>PANG-2020-0778</t>
  </si>
  <si>
    <t>20II0061</t>
  </si>
  <si>
    <t>2020-03-150</t>
  </si>
  <si>
    <t>PANG-2020-0781</t>
  </si>
  <si>
    <t>ITB INFRA-023-2020</t>
  </si>
  <si>
    <t>Bid No. 20-0274</t>
  </si>
  <si>
    <t>PANG-2020-0780</t>
  </si>
  <si>
    <t>PANG-2020-0782</t>
  </si>
  <si>
    <t>MSBAC 2020-01-010</t>
  </si>
  <si>
    <t>Goods-2020-PB-O3</t>
  </si>
  <si>
    <t>PANG-2020-0783</t>
  </si>
  <si>
    <t>Goods-2020-PB-O2</t>
  </si>
  <si>
    <t>Goods-2020-PB-O1</t>
  </si>
  <si>
    <t>ITB 2020-06-034(GOODS)</t>
  </si>
  <si>
    <t>M-12-20</t>
  </si>
  <si>
    <t>PANG-2020-0784</t>
  </si>
  <si>
    <t>618</t>
  </si>
  <si>
    <t>ITB 2020-06-033 (GOODS)</t>
  </si>
  <si>
    <t>3</t>
  </si>
  <si>
    <t>2020-149</t>
  </si>
  <si>
    <t>PRRI-2020ISA-029</t>
  </si>
  <si>
    <t>2021-001</t>
  </si>
  <si>
    <t>PURCHASE OF 75" LED TV, AIRCON, OFFICE TABLES AND</t>
  </si>
  <si>
    <t>mgc2020-infra037</t>
  </si>
  <si>
    <t>PR NO. 2020-05-105</t>
  </si>
  <si>
    <t>mgc2020-infra038</t>
  </si>
  <si>
    <t>2020-18</t>
  </si>
  <si>
    <t>mgc2020-infra036</t>
  </si>
  <si>
    <t>6112020-023</t>
  </si>
  <si>
    <t>2020-BrgyIV-01</t>
  </si>
  <si>
    <t>MG-PAS20-010</t>
  </si>
  <si>
    <t>2020-BrgyIV-02</t>
  </si>
  <si>
    <t>2020-03-02</t>
  </si>
  <si>
    <t>2020-101-048</t>
  </si>
  <si>
    <t>PR 325-20</t>
  </si>
  <si>
    <t>2020-G010</t>
  </si>
  <si>
    <t>022-06-2020</t>
  </si>
  <si>
    <t>PR NO. 2020-05-095</t>
  </si>
  <si>
    <t>2020-03-01</t>
  </si>
  <si>
    <t>PR No 2020-001</t>
  </si>
  <si>
    <t>20-06-018</t>
  </si>
  <si>
    <t>2020-RFQ-017</t>
  </si>
  <si>
    <t>021-06-2020</t>
  </si>
  <si>
    <t>Purchase of Meals, Snacks and other Supplies to be</t>
  </si>
  <si>
    <t>2020-0264</t>
  </si>
  <si>
    <t>PR. 20-02-085 (2020-02-086 3RD QUOTE)</t>
  </si>
  <si>
    <t>2020-06-3091</t>
  </si>
  <si>
    <t>2020-06-0336</t>
  </si>
  <si>
    <t>2020-0430</t>
  </si>
  <si>
    <t>mgc2020-infra039</t>
  </si>
  <si>
    <t>PN 2020-12</t>
  </si>
  <si>
    <t>2020-0263</t>
  </si>
  <si>
    <t>2020-061101</t>
  </si>
  <si>
    <t>076 - 2020</t>
  </si>
  <si>
    <t>2020-06-0337</t>
  </si>
  <si>
    <t>Bid No. 20-0275</t>
  </si>
  <si>
    <t>2020-061103</t>
  </si>
  <si>
    <t>MMWD-0015-2020</t>
  </si>
  <si>
    <t>GA-BAC-AM # 2020-016-R</t>
  </si>
  <si>
    <t>TAGABAKID-2020-01</t>
  </si>
  <si>
    <t>INFRA-20-47</t>
  </si>
  <si>
    <t>110620202</t>
  </si>
  <si>
    <t>101-20-03-068</t>
  </si>
  <si>
    <t>PR NO. 2020-05-094</t>
  </si>
  <si>
    <t>2020-061102</t>
  </si>
  <si>
    <t>PN 2020-13</t>
  </si>
  <si>
    <t>KB-INFRA-2020-06</t>
  </si>
  <si>
    <t>GA-BAC-AM # 2020-012-R</t>
  </si>
  <si>
    <t>20JBG0040</t>
  </si>
  <si>
    <t>PR#20-083</t>
  </si>
  <si>
    <t>101-20-06-149</t>
  </si>
  <si>
    <t>2020-6-270</t>
  </si>
  <si>
    <t>20-02</t>
  </si>
  <si>
    <t>Bid No. 20-0276</t>
  </si>
  <si>
    <t>PR 03-3299</t>
  </si>
  <si>
    <t>001-01-2020</t>
  </si>
  <si>
    <t>2020-061106</t>
  </si>
  <si>
    <t>Cas007-2020</t>
  </si>
  <si>
    <t>PR 03-3298</t>
  </si>
  <si>
    <t>2020-061105</t>
  </si>
  <si>
    <t>20-06-028TF</t>
  </si>
  <si>
    <t>2020-6-273</t>
  </si>
  <si>
    <t>2020-061104</t>
  </si>
  <si>
    <t>101-20-06-152</t>
  </si>
  <si>
    <t>20-06-0012</t>
  </si>
  <si>
    <t>20-0040-06</t>
  </si>
  <si>
    <t>2020-PBGOODS-05-006</t>
  </si>
  <si>
    <t>PR#20-082</t>
  </si>
  <si>
    <t>20-06-0015</t>
  </si>
  <si>
    <t>RFQ-DARFO12-2020-0502</t>
  </si>
  <si>
    <t>20-NFA-EPS-06-001</t>
  </si>
  <si>
    <t>6112020-024</t>
  </si>
  <si>
    <t>20-06-0011</t>
  </si>
  <si>
    <t>101-20-06-145</t>
  </si>
  <si>
    <t>PR#20-079</t>
  </si>
  <si>
    <t>60011012020</t>
  </si>
  <si>
    <t>PR 03-3301</t>
  </si>
  <si>
    <t>20-06-0010</t>
  </si>
  <si>
    <t>SV-0732-2020</t>
  </si>
  <si>
    <t>20-06-027TF</t>
  </si>
  <si>
    <t>SN-2020-06-011</t>
  </si>
  <si>
    <t>12-01-2020-06-557</t>
  </si>
  <si>
    <t>20A-02-0039</t>
  </si>
  <si>
    <t>101-20-06-154</t>
  </si>
  <si>
    <t>wawa2sk-001</t>
  </si>
  <si>
    <t>2020-032J</t>
  </si>
  <si>
    <t>2020-06-11-009</t>
  </si>
  <si>
    <t>19A-12-1158</t>
  </si>
  <si>
    <t>RFQ-DARFO12-2020-0504</t>
  </si>
  <si>
    <t>PB-2020-06-002</t>
  </si>
  <si>
    <t>20CN0149</t>
  </si>
  <si>
    <t>PR 03-3300</t>
  </si>
  <si>
    <t>20013012020</t>
  </si>
  <si>
    <t>2020-03004</t>
  </si>
  <si>
    <t>20013022020</t>
  </si>
  <si>
    <t>PR#20-081</t>
  </si>
  <si>
    <t>RFQ-DARFO12-2020-0503</t>
  </si>
  <si>
    <t>PR#20-078</t>
  </si>
  <si>
    <t>Bid No. 20-0277</t>
  </si>
  <si>
    <t>26-2020</t>
  </si>
  <si>
    <t>20013032020</t>
  </si>
  <si>
    <t>080-2020</t>
  </si>
  <si>
    <t>20-06-139</t>
  </si>
  <si>
    <t>20A-01-0011</t>
  </si>
  <si>
    <t>28-2020</t>
  </si>
  <si>
    <t>27-2020</t>
  </si>
  <si>
    <t>SN-2020-06-012</t>
  </si>
  <si>
    <t>2020-RFQ-005</t>
  </si>
  <si>
    <t>RFQ 2020-100</t>
  </si>
  <si>
    <t>RFQ-DARFO12-2020-0506</t>
  </si>
  <si>
    <t>19A-10-0953</t>
  </si>
  <si>
    <t>SV-0725-2020</t>
  </si>
  <si>
    <t>RFQ-DARFO12-2020-0505</t>
  </si>
  <si>
    <t>2020-0249</t>
  </si>
  <si>
    <t>INF-16-June 11, 2020</t>
  </si>
  <si>
    <t>2020-0045</t>
  </si>
  <si>
    <t>20A-02-0035</t>
  </si>
  <si>
    <t>29-2020</t>
  </si>
  <si>
    <t>UPLB-RQ-6-123-20-RES LABORATORY SUPPLIES &amp; EQUIPME</t>
  </si>
  <si>
    <t>30-2020</t>
  </si>
  <si>
    <t>PR0057-20 PAGRO REBID</t>
  </si>
  <si>
    <t>VIN BAC 026-2020</t>
  </si>
  <si>
    <t>RFQ-DARFO12-2020-0508</t>
  </si>
  <si>
    <t>RFQ-DARFO12-2020-0507</t>
  </si>
  <si>
    <t>RFQ-DARFO12-2020-0509</t>
  </si>
  <si>
    <t>PR#20-080</t>
  </si>
  <si>
    <t>PR#20-077</t>
  </si>
  <si>
    <t>UPLB-RQ-6-124-20-RES CHEMICALS &amp; CHEMICAL PRODUCTS</t>
  </si>
  <si>
    <t>INF-17-June 11, 2020</t>
  </si>
  <si>
    <t>RFQ-DARFO12-2020-0510</t>
  </si>
  <si>
    <t>RQ 06-081</t>
  </si>
  <si>
    <t>RFQ-DARFO12-2020-0512</t>
  </si>
  <si>
    <t>RFQ 2020-101</t>
  </si>
  <si>
    <t>MG-PLM20-074</t>
  </si>
  <si>
    <t>MG-PLM20-071</t>
  </si>
  <si>
    <t>2020-06-11A</t>
  </si>
  <si>
    <t>VIN BAC 024-2020</t>
  </si>
  <si>
    <t>RFQ-DARFO12-2020-0513</t>
  </si>
  <si>
    <t>2020-06-11B</t>
  </si>
  <si>
    <t>IB No. 01-2020</t>
  </si>
  <si>
    <t>BRGY. CAPAYAWAN- INFRA- 2020-01</t>
  </si>
  <si>
    <t>MG-PLM20-081</t>
  </si>
  <si>
    <t>RQ 06-082</t>
  </si>
  <si>
    <t>RFQ-DARFO12-2020-0511</t>
  </si>
  <si>
    <t>CRF No. 20-004</t>
  </si>
  <si>
    <t>MG-PLM20-079</t>
  </si>
  <si>
    <t>MG-PLM20-084</t>
  </si>
  <si>
    <t>MG-PLM20-082</t>
  </si>
  <si>
    <t>INFR-019-2020</t>
  </si>
  <si>
    <t>RQ 06-097</t>
  </si>
  <si>
    <t>S1-A1-002</t>
  </si>
  <si>
    <t>2020-06-0338</t>
  </si>
  <si>
    <t>BP2020-001</t>
  </si>
  <si>
    <t>MG-PLM20-096</t>
  </si>
  <si>
    <t>MG-PLM20-085</t>
  </si>
  <si>
    <t>06-2020-002</t>
  </si>
  <si>
    <t>RFQ - CPR No. GS-27-32-33-34-39-41-43-47-49-52-58-</t>
  </si>
  <si>
    <t>Cas008-2020</t>
  </si>
  <si>
    <t>ITB NO. 2020-0014N</t>
  </si>
  <si>
    <t>RQ 06-099</t>
  </si>
  <si>
    <t>LGU Valencia, Bohol 2020 - 059</t>
  </si>
  <si>
    <t>2020-6-1441</t>
  </si>
  <si>
    <t>PB-2020-06-003</t>
  </si>
  <si>
    <t>061-20</t>
  </si>
  <si>
    <t>FPMD-2020-06-0289</t>
  </si>
  <si>
    <t>FPR-20-037/038/048-052/060/074</t>
  </si>
  <si>
    <t>GOODS 2020-18</t>
  </si>
  <si>
    <t>RFQ 2020-102</t>
  </si>
  <si>
    <t>JHS - 001 - 06 - 2020</t>
  </si>
  <si>
    <t>60011022020</t>
  </si>
  <si>
    <t>DTI-IS -2020-05</t>
  </si>
  <si>
    <t>PB-Sparts-2020-03</t>
  </si>
  <si>
    <t>2020-07-007</t>
  </si>
  <si>
    <t>BAC-IB 2020-31</t>
  </si>
  <si>
    <t>Bid No. 20-0278</t>
  </si>
  <si>
    <t>2020-06-0560</t>
  </si>
  <si>
    <t>DENR XII-SP-23-2020</t>
  </si>
  <si>
    <t>ITB-2020-06-15</t>
  </si>
  <si>
    <t>794</t>
  </si>
  <si>
    <t>2020-06-0340</t>
  </si>
  <si>
    <t>JHS - 002 - 06 - 2020</t>
  </si>
  <si>
    <t>20-00043</t>
  </si>
  <si>
    <t>2020-LUZON-003</t>
  </si>
  <si>
    <t>waw 2- 01 -002 CLWC</t>
  </si>
  <si>
    <t>20-05-203</t>
  </si>
  <si>
    <t>017</t>
  </si>
  <si>
    <t>MOB-BAC-2020-06-021-INFRA</t>
  </si>
  <si>
    <t>037-LGU-LAOANG-2020</t>
  </si>
  <si>
    <t>cal06102020-01</t>
  </si>
  <si>
    <t>2020-LUZON-004</t>
  </si>
  <si>
    <t>20-06-SO102</t>
  </si>
  <si>
    <t>RFQ-DARFO12-2020-0514</t>
  </si>
  <si>
    <t>520200302592</t>
  </si>
  <si>
    <t>20KB0165</t>
  </si>
  <si>
    <t>Bid No. 20-0279</t>
  </si>
  <si>
    <t>60011032020</t>
  </si>
  <si>
    <t>02-07-2020</t>
  </si>
  <si>
    <t>ITB GOODS 20-06-009</t>
  </si>
  <si>
    <t>JHS -003 - 06 - 2020</t>
  </si>
  <si>
    <t>pn 2020-14</t>
  </si>
  <si>
    <t>PR 2020-03-038</t>
  </si>
  <si>
    <t>07</t>
  </si>
  <si>
    <t>GEPS-008-2020</t>
  </si>
  <si>
    <t>20-NFA-EPS-06-002</t>
  </si>
  <si>
    <t>LGU - Quirino INFRA 2020 - 005</t>
  </si>
  <si>
    <t>NF 2006-0210</t>
  </si>
  <si>
    <t>philgeps06112020</t>
  </si>
  <si>
    <t>PN 2020-15</t>
  </si>
  <si>
    <t>PR 2020-03-042</t>
  </si>
  <si>
    <t>Bid No. 20-0280</t>
  </si>
  <si>
    <t>2020-6-1430</t>
  </si>
  <si>
    <t>RFQ-DARFO12-2020-0515</t>
  </si>
  <si>
    <t>LGU - Quirino INFRA 2020 - 004</t>
  </si>
  <si>
    <t>20PI0096</t>
  </si>
  <si>
    <t>#096</t>
  </si>
  <si>
    <t>PR 2020-03-043</t>
  </si>
  <si>
    <t>PR 2020-03-044</t>
  </si>
  <si>
    <t>20KB0166</t>
  </si>
  <si>
    <t>NF 2006-0211</t>
  </si>
  <si>
    <t>RFQ-DARFO12-2020-0516</t>
  </si>
  <si>
    <t>2020-54-9</t>
  </si>
  <si>
    <t>#150</t>
  </si>
  <si>
    <t>20-06-233</t>
  </si>
  <si>
    <t>2020-0056</t>
  </si>
  <si>
    <t>29654</t>
  </si>
  <si>
    <t>2020-49</t>
  </si>
  <si>
    <t>2020-6-1431</t>
  </si>
  <si>
    <t>RFQ-DARFO12-2020-0517</t>
  </si>
  <si>
    <t>2020-104-4</t>
  </si>
  <si>
    <t>20-06-068</t>
  </si>
  <si>
    <t>061020</t>
  </si>
  <si>
    <t>RFQ-DARFO12-2020-0520</t>
  </si>
  <si>
    <t>PILAR-20-06-004</t>
  </si>
  <si>
    <t>#106</t>
  </si>
  <si>
    <t>ITB 20-06-003</t>
  </si>
  <si>
    <t>2020-GOODS-NP-64</t>
  </si>
  <si>
    <t>MR2020-06-001</t>
  </si>
  <si>
    <t>RFQ-DARFO12-2020-0521</t>
  </si>
  <si>
    <t>2020-Barangay new mahayag-03</t>
  </si>
  <si>
    <t>2020-GOODS-NP-66</t>
  </si>
  <si>
    <t>O-020-008</t>
  </si>
  <si>
    <t>335410</t>
  </si>
  <si>
    <t>2020-MS-101</t>
  </si>
  <si>
    <t>RFQ-DARFO12-2020-0518</t>
  </si>
  <si>
    <t>RFQ-DARFO12-2020-0519</t>
  </si>
  <si>
    <t>2020-RFQ-007</t>
  </si>
  <si>
    <t>ITB 20-06-004</t>
  </si>
  <si>
    <t>2020-GOODS-NP-67</t>
  </si>
  <si>
    <t>PR 2020-03-048</t>
  </si>
  <si>
    <t>06112020</t>
  </si>
  <si>
    <t>2020-GOODS-NP-68</t>
  </si>
  <si>
    <t>PR 2020-03-052</t>
  </si>
  <si>
    <t>PR 2020-03-045</t>
  </si>
  <si>
    <t>I.D. NO. –June10-2020-467</t>
  </si>
  <si>
    <t>PR 2020-04-059</t>
  </si>
  <si>
    <t>TAS20-06-156</t>
  </si>
  <si>
    <t>I.D. NO. –June10-2020-471</t>
  </si>
  <si>
    <t>PR 2020-03-053</t>
  </si>
  <si>
    <t>145-2020</t>
  </si>
  <si>
    <t>SAF-2020-01</t>
  </si>
  <si>
    <t>SUBM#2020 -06 - 15</t>
  </si>
  <si>
    <t>rfq#2020-02-1,312-pgo-pictd</t>
  </si>
  <si>
    <t>2020-GOODS-NP-70</t>
  </si>
  <si>
    <t>I.D. NO. –June10-2020-468</t>
  </si>
  <si>
    <t>2020-06-0341</t>
  </si>
  <si>
    <t>LGU - Quirino GOODS 2020 - 003</t>
  </si>
  <si>
    <t>PR No. 2020-06-144</t>
  </si>
  <si>
    <t>DENR XII-SP-24-2020</t>
  </si>
  <si>
    <t>PROCUREMENT OF GENUINE HP TONER CARTRIDGES (For Ex</t>
  </si>
  <si>
    <t>rfq#2020-03-1,611-provl agriculture office</t>
  </si>
  <si>
    <t>RFQ - PR No. 2020-06-0109 dated 6-10-20</t>
  </si>
  <si>
    <t>SEF-G-026-2020</t>
  </si>
  <si>
    <t>PR 2020-04-060</t>
  </si>
  <si>
    <t>rfq#2020-05-2,499-pswdo</t>
  </si>
  <si>
    <t>146-2020</t>
  </si>
  <si>
    <t>NFA-PBAC-2K-06-002</t>
  </si>
  <si>
    <t>I.D. NO. –June10-2020-472</t>
  </si>
  <si>
    <t>PR 2020-05-068</t>
  </si>
  <si>
    <t>I.D. NO. –June10-2020-473</t>
  </si>
  <si>
    <t>PR 2020-04-064</t>
  </si>
  <si>
    <t>147-2020</t>
  </si>
  <si>
    <t>itb no. 2020-14</t>
  </si>
  <si>
    <t>PR 2020-05-069</t>
  </si>
  <si>
    <t>rfq#2020-05-2,530-pgo-inremp-ptas</t>
  </si>
  <si>
    <t>PILAR-20-06-005</t>
  </si>
  <si>
    <t>PR 2020-05-078</t>
  </si>
  <si>
    <t>I.D. NO. –June10-2020-474</t>
  </si>
  <si>
    <t>PR 2020-05-081</t>
  </si>
  <si>
    <t>PR# 20-06-0604</t>
  </si>
  <si>
    <t>I.D. NO. –June10-2020-469</t>
  </si>
  <si>
    <t>PRDP-PSO-Admin-2020-05-017 (AF)</t>
  </si>
  <si>
    <t>RFQ-DARFO12-2020-0522</t>
  </si>
  <si>
    <t>101-20-06-144</t>
  </si>
  <si>
    <t>2020-06-063</t>
  </si>
  <si>
    <t>06-11-2020-207</t>
  </si>
  <si>
    <t>I.D. NO. –June10-2020-470</t>
  </si>
  <si>
    <t>itb no. 2020-15</t>
  </si>
  <si>
    <t>PR 2020-05-083</t>
  </si>
  <si>
    <t>ITB GOODS 20-06-010</t>
  </si>
  <si>
    <t>brgy20200213</t>
  </si>
  <si>
    <t>RFQ-2020-G-130</t>
  </si>
  <si>
    <t>01-01-2020-06-559</t>
  </si>
  <si>
    <t>PR 2020-05-084</t>
  </si>
  <si>
    <t>20Fk0054</t>
  </si>
  <si>
    <t>RFQ-DARFO12-2020-0524</t>
  </si>
  <si>
    <t>RFQ - PR No. 2020-06-0112 dated 6-10-20</t>
  </si>
  <si>
    <t>PR 2020-05-092</t>
  </si>
  <si>
    <t>RFQ-DARFO12-2020-0523</t>
  </si>
  <si>
    <t>LGU BASILISA - 2020 - 0122</t>
  </si>
  <si>
    <t>PR 2020-05-090</t>
  </si>
  <si>
    <t>PUBLIC BIDDING PR NO. 110-2020</t>
  </si>
  <si>
    <t>RFQ-DARFO12-2020-0525</t>
  </si>
  <si>
    <t>06-11-2020-208</t>
  </si>
  <si>
    <t>023-FTC 2020</t>
  </si>
  <si>
    <t>20-06-141</t>
  </si>
  <si>
    <t>CMO(ADM)-20-040NP/SV)</t>
  </si>
  <si>
    <t>RFQ-2020-G-142</t>
  </si>
  <si>
    <t>PR 2020-05-093</t>
  </si>
  <si>
    <t>LGU BASILISA - 2020 - 0123</t>
  </si>
  <si>
    <t>101-20-06-141</t>
  </si>
  <si>
    <t>Ivitation to Bid 06-2020</t>
  </si>
  <si>
    <t>06-11-2020-209</t>
  </si>
  <si>
    <t>itb no. 2020-16</t>
  </si>
  <si>
    <t>003-07-2020</t>
  </si>
  <si>
    <t>PR 2020-05-095</t>
  </si>
  <si>
    <t>I.D. NO. –June10-2020-476</t>
  </si>
  <si>
    <t>2020-B5-01</t>
  </si>
  <si>
    <t>CGSO-20-026(NP/SV)</t>
  </si>
  <si>
    <t>04-RFQ-2020</t>
  </si>
  <si>
    <t>PR 2020-05-094</t>
  </si>
  <si>
    <t>2020-PR-95</t>
  </si>
  <si>
    <t>DA8-Goods-2020-40 (PR No. RICE 20-05-12-0686)</t>
  </si>
  <si>
    <t>2020-021 CLA</t>
  </si>
  <si>
    <t>RFQ-DARFO12-2020-0528</t>
  </si>
  <si>
    <t>ITB GOODS 20-06-011</t>
  </si>
  <si>
    <t>PR 2020-06-097</t>
  </si>
  <si>
    <t>2020-B5-02</t>
  </si>
  <si>
    <t>CEISS-RMICTE-1107-20</t>
  </si>
  <si>
    <t>I.D. NO. –June10-2020-475</t>
  </si>
  <si>
    <t>11-01-2020-06-505</t>
  </si>
  <si>
    <t>2020-B5-03</t>
  </si>
  <si>
    <t>SRF2020-02</t>
  </si>
  <si>
    <t>2020-62 (GAS)</t>
  </si>
  <si>
    <t>2020-58-001</t>
  </si>
  <si>
    <t>RFQ-DARFO12-2020-0531</t>
  </si>
  <si>
    <t>ITB # 2020 - 001</t>
  </si>
  <si>
    <t>20-20</t>
  </si>
  <si>
    <t>RFQ-DARFO12-2020-0527</t>
  </si>
  <si>
    <t>CMO-CDRRMO(C-3)19-009(NP/SV)</t>
  </si>
  <si>
    <t>RFQ-DARFO12-2020-0526</t>
  </si>
  <si>
    <t>PN 2020-16</t>
  </si>
  <si>
    <t>06112020-A</t>
  </si>
  <si>
    <t>SEC PB 2020-011</t>
  </si>
  <si>
    <t>CEO(MOTORPOOL)20-004(NP/SV)</t>
  </si>
  <si>
    <t>024-FTC 2020</t>
  </si>
  <si>
    <t>20FK0055</t>
  </si>
  <si>
    <t>DA8-Goods-2020-41 (PR No. HVCDP 20-04-28-0551)</t>
  </si>
  <si>
    <t>RFQ-DARFO12-2020-0529</t>
  </si>
  <si>
    <t>RFQ-DARFO12-2020-0532</t>
  </si>
  <si>
    <t>PR-OE-2020-06-08</t>
  </si>
  <si>
    <t>RFQ-DARFO12-2020-0530</t>
  </si>
  <si>
    <t>CVO-20-029(NP/SV)</t>
  </si>
  <si>
    <t>ITB No. 2020-12-EFS</t>
  </si>
  <si>
    <t>PR 2020-03-049</t>
  </si>
  <si>
    <t>PR 2020-04-061</t>
  </si>
  <si>
    <t>2020-15 Lot 1</t>
  </si>
  <si>
    <t>LTO-SU-20-036</t>
  </si>
  <si>
    <t>CVO-20-019(NP/SV)</t>
  </si>
  <si>
    <t>SL-2020-007</t>
  </si>
  <si>
    <t>056-20</t>
  </si>
  <si>
    <t>0106112020</t>
  </si>
  <si>
    <t>ITB-0611 #1 Package 48</t>
  </si>
  <si>
    <t>057-20</t>
  </si>
  <si>
    <t>CEO(MAINT)20-008(NP/SV)</t>
  </si>
  <si>
    <t>SEC PB 2020-012</t>
  </si>
  <si>
    <t>SL-2020-006</t>
  </si>
  <si>
    <t>2020-033J</t>
  </si>
  <si>
    <t>RFQ-DARFO12-2020-0533</t>
  </si>
  <si>
    <t>2020-101-049</t>
  </si>
  <si>
    <t>2020-15 Lot 2</t>
  </si>
  <si>
    <t>SRAVIS 20-06-279</t>
  </si>
  <si>
    <t>20CI0094</t>
  </si>
  <si>
    <t>CMO-CDRRMO(C)20-004(NP/SV)</t>
  </si>
  <si>
    <t>60011042020</t>
  </si>
  <si>
    <t>(2FB)N20-06-035 PURCHASE OF HORMONES ANTAGONISTS M</t>
  </si>
  <si>
    <t>CVO-20-022(NP/SV)</t>
  </si>
  <si>
    <t>CMO(ADM)20-057(NP/SV)</t>
  </si>
  <si>
    <t>H-2020-06-02</t>
  </si>
  <si>
    <t>2020svp - 220-516</t>
  </si>
  <si>
    <t>20CI0096</t>
  </si>
  <si>
    <t>sra20 shipping permit</t>
  </si>
  <si>
    <t>ITB-0611 #2 Package 49</t>
  </si>
  <si>
    <t>20CI0095</t>
  </si>
  <si>
    <t>60011052020</t>
  </si>
  <si>
    <t>2020-09 (20DI0128)</t>
  </si>
  <si>
    <t>60011062020</t>
  </si>
  <si>
    <t>PBgoods015-2020</t>
  </si>
  <si>
    <t>CW-MP-13-2020</t>
  </si>
  <si>
    <t>ITB-0611 #3 Package 50</t>
  </si>
  <si>
    <t>2020-011-001</t>
  </si>
  <si>
    <t>6-20-36</t>
  </si>
  <si>
    <t>pal-20-06-010</t>
  </si>
  <si>
    <t>20-155</t>
  </si>
  <si>
    <t>RFQ 007-2020</t>
  </si>
  <si>
    <t>2020-101-050</t>
  </si>
  <si>
    <t>BAC 2020-06-39</t>
  </si>
  <si>
    <t>20-154</t>
  </si>
  <si>
    <t>REQ 2020-02 Supply, delivery and installation of s</t>
  </si>
  <si>
    <t>20CSPA001</t>
  </si>
  <si>
    <t>CAC-20-053(SHOPPING)</t>
  </si>
  <si>
    <t>20R1017</t>
  </si>
  <si>
    <t>GEPS - 2020 - 78</t>
  </si>
  <si>
    <t>2020-09 (20DI0129)</t>
  </si>
  <si>
    <t>2020-09 (20DI0130)</t>
  </si>
  <si>
    <t>CEO(MOTORPOOL)20-018(NP/SV)</t>
  </si>
  <si>
    <t>20R1018</t>
  </si>
  <si>
    <t>2020-09 (20DI0131)</t>
  </si>
  <si>
    <t>20FN0098</t>
  </si>
  <si>
    <t>INFRA 20-26A DEVELOPMENT FUND</t>
  </si>
  <si>
    <t>20R1019</t>
  </si>
  <si>
    <t>INFRA 20-25A GENERAL FUND</t>
  </si>
  <si>
    <t>2020-09 (20DI0133)</t>
  </si>
  <si>
    <t>NFA-PBAC-2K-06-003</t>
  </si>
  <si>
    <t>20-04-0288</t>
  </si>
  <si>
    <t>06-JO-095</t>
  </si>
  <si>
    <t>2020-16-018</t>
  </si>
  <si>
    <t>GA-BAC-AM # 2020-025</t>
  </si>
  <si>
    <t>BAC 2020-06-40</t>
  </si>
  <si>
    <t>2020-09 (20DI0132)</t>
  </si>
  <si>
    <t>20-04-0287</t>
  </si>
  <si>
    <t>FPR 20 - 055</t>
  </si>
  <si>
    <t>20FN0099</t>
  </si>
  <si>
    <t>GOODS2020-006</t>
  </si>
  <si>
    <t>SEF-I-45-2020</t>
  </si>
  <si>
    <t>sj 2020 soe 011</t>
  </si>
  <si>
    <t>GEPS - 2020 - 79</t>
  </si>
  <si>
    <t>APR No. 100-20-06-378</t>
  </si>
  <si>
    <t>Bid No. 20-0281</t>
  </si>
  <si>
    <t>APR No. 300-20-01-020</t>
  </si>
  <si>
    <t>ITB-0611 #5 Package 52</t>
  </si>
  <si>
    <t>GA-BAC-2020-IA-12</t>
  </si>
  <si>
    <t>2020-63 (GAS)</t>
  </si>
  <si>
    <t>20FN0101</t>
  </si>
  <si>
    <t>GOODS-2020-131</t>
  </si>
  <si>
    <t>20FN0100</t>
  </si>
  <si>
    <t>RFQ#2020-018</t>
  </si>
  <si>
    <t>baccaoayan0120</t>
  </si>
  <si>
    <t>ITB-0611 #4 Package 51</t>
  </si>
  <si>
    <t>20-156</t>
  </si>
  <si>
    <t>20</t>
  </si>
  <si>
    <t>BACSVP-12-2020</t>
  </si>
  <si>
    <t>PR-132-100-2020</t>
  </si>
  <si>
    <t>DA8-Goods-2020-42 (PR No. CORN 20-05-29-0164)</t>
  </si>
  <si>
    <t>ITB-0611 #6 Package 53</t>
  </si>
  <si>
    <t>S-20-04</t>
  </si>
  <si>
    <t>00206112020</t>
  </si>
  <si>
    <t>LGU - Quirino INFRA 2020 - 006</t>
  </si>
  <si>
    <t>20FN0102</t>
  </si>
  <si>
    <t>P.R. No. 20-05-147</t>
  </si>
  <si>
    <t>2020-09 (20DI0134)</t>
  </si>
  <si>
    <t>2020-06-3</t>
  </si>
  <si>
    <t>2020-06-00467</t>
  </si>
  <si>
    <t>APR No. 100-20-05-376</t>
  </si>
  <si>
    <t>RFQ#2020-019</t>
  </si>
  <si>
    <t>20-157</t>
  </si>
  <si>
    <t>ITB-0611 #2 Package 55</t>
  </si>
  <si>
    <t>062920-01A</t>
  </si>
  <si>
    <t>6-20-37</t>
  </si>
  <si>
    <t>RFQ 2020-06-008</t>
  </si>
  <si>
    <t>2020-09 (20DI0136)</t>
  </si>
  <si>
    <t>APR No. 100-20-06-409</t>
  </si>
  <si>
    <t>2020-09 (20DI0135)</t>
  </si>
  <si>
    <t>2020-09 (20DI0137)</t>
  </si>
  <si>
    <t>APR No. 100-20-06-375</t>
  </si>
  <si>
    <t>ITB-0611 #1 Package 54</t>
  </si>
  <si>
    <t>SEF-I-46-2020</t>
  </si>
  <si>
    <t>pb-infra-2020-036</t>
  </si>
  <si>
    <t>007-20</t>
  </si>
  <si>
    <t>2020-06-65</t>
  </si>
  <si>
    <t>BAC2020-10</t>
  </si>
  <si>
    <t>ITB-0611 #3 Package 56</t>
  </si>
  <si>
    <t>GOODS-2020-132</t>
  </si>
  <si>
    <t>00306112020</t>
  </si>
  <si>
    <t>2020-09 (20DI0138)</t>
  </si>
  <si>
    <t>C-001-20</t>
  </si>
  <si>
    <t>BAC-PROP-2020-05</t>
  </si>
  <si>
    <t>2020-02-00122</t>
  </si>
  <si>
    <t>20NH0089(RE-AD)</t>
  </si>
  <si>
    <t>2020-452</t>
  </si>
  <si>
    <t>2020-09 (20DI0139)</t>
  </si>
  <si>
    <t>GOODS-2020-133</t>
  </si>
  <si>
    <t>mgc2020-infra041</t>
  </si>
  <si>
    <t>2020-09 (20DI0142)</t>
  </si>
  <si>
    <t>20DK0135</t>
  </si>
  <si>
    <t>2020-09 (20DI0141)</t>
  </si>
  <si>
    <t>002-06-11-2020</t>
  </si>
  <si>
    <t>C-018-20</t>
  </si>
  <si>
    <t>ITB-0611 #4 Package 57</t>
  </si>
  <si>
    <t>APR No. 100-20-06-393</t>
  </si>
  <si>
    <t>INFR-020-2020</t>
  </si>
  <si>
    <t>C-019-20</t>
  </si>
  <si>
    <t>062920-02B</t>
  </si>
  <si>
    <t>20-06-409</t>
  </si>
  <si>
    <t>NDA-20-06-063-SM</t>
  </si>
  <si>
    <t>2020-09 (20DI0140)</t>
  </si>
  <si>
    <t>INFR-022-2020</t>
  </si>
  <si>
    <t>2020-09 (20DI0144)</t>
  </si>
  <si>
    <t>APR No. 100-20-06-391</t>
  </si>
  <si>
    <t>SVP-20-36</t>
  </si>
  <si>
    <t>003-06-11-2020</t>
  </si>
  <si>
    <t>2020-453</t>
  </si>
  <si>
    <t>2020-09 (20DI0143)</t>
  </si>
  <si>
    <t>RFQ#2020-020</t>
  </si>
  <si>
    <t>BFAR5BAC-2020-104</t>
  </si>
  <si>
    <t>MGB MIMA-20-011</t>
  </si>
  <si>
    <t>2020-50</t>
  </si>
  <si>
    <t>RSPQ NO. 2020-06-PRS-018</t>
  </si>
  <si>
    <t>INFR-021-2020</t>
  </si>
  <si>
    <t>062320-03</t>
  </si>
  <si>
    <t>RFQ 2020-06-009</t>
  </si>
  <si>
    <t>20-001</t>
  </si>
  <si>
    <t>APR No. 100-20-05-323</t>
  </si>
  <si>
    <t>F501-RO-049-20</t>
  </si>
  <si>
    <t>APR No. 100-20-06-399</t>
  </si>
  <si>
    <t>100-18(06-29-2020)</t>
  </si>
  <si>
    <t>RFQ#2020-021</t>
  </si>
  <si>
    <t>2020-455</t>
  </si>
  <si>
    <t>20DK0136</t>
  </si>
  <si>
    <t>2020-454</t>
  </si>
  <si>
    <t>Goods 0023-2020</t>
  </si>
  <si>
    <t>ITB 11-2020</t>
  </si>
  <si>
    <t>MG-PLM20-083</t>
  </si>
  <si>
    <t>RFQ#2020-022</t>
  </si>
  <si>
    <t>004-06-11-2020</t>
  </si>
  <si>
    <t>2020 001</t>
  </si>
  <si>
    <t>100-18(06-29-2020)1</t>
  </si>
  <si>
    <t>Goods 0017-2020</t>
  </si>
  <si>
    <t>RFQ#2020-023</t>
  </si>
  <si>
    <t>HFEP ITB 2020-002</t>
  </si>
  <si>
    <t>PR062000629</t>
  </si>
  <si>
    <t>062920-04</t>
  </si>
  <si>
    <t>TUB 0022020</t>
  </si>
  <si>
    <t>SAM0022020</t>
  </si>
  <si>
    <t>20HC0180</t>
  </si>
  <si>
    <t>RFQ 2020-06-010</t>
  </si>
  <si>
    <t>AREA V- 2020- SVP-021</t>
  </si>
  <si>
    <t>APR No. 100-20-06-381</t>
  </si>
  <si>
    <t>2020-06-66</t>
  </si>
  <si>
    <t>Goods 0024-2020</t>
  </si>
  <si>
    <t>PR No.20-0984</t>
  </si>
  <si>
    <t>20-06-10</t>
  </si>
  <si>
    <t>20HH0135</t>
  </si>
  <si>
    <t>Goods 0025-2020</t>
  </si>
  <si>
    <t>005-06-11-2020</t>
  </si>
  <si>
    <t>MG-PLM20-103</t>
  </si>
  <si>
    <t>062320-05</t>
  </si>
  <si>
    <t>2LSSM2020A-132</t>
  </si>
  <si>
    <t>APR No. 100-20-06-382</t>
  </si>
  <si>
    <t>2020-12-05-004SRDI</t>
  </si>
  <si>
    <t>2020-06-67</t>
  </si>
  <si>
    <t>06-11-20-215-29NLUC</t>
  </si>
  <si>
    <t>20-06-410</t>
  </si>
  <si>
    <t>RFQ-GS-20200605-02</t>
  </si>
  <si>
    <t>2LSSM2020A-133</t>
  </si>
  <si>
    <t>20GEF009 (Re-bid 1)</t>
  </si>
  <si>
    <t>GOODS-2020-134</t>
  </si>
  <si>
    <t>cat2020-002</t>
  </si>
  <si>
    <t>CJR-004-2020</t>
  </si>
  <si>
    <t>2020-11-06-006CA</t>
  </si>
  <si>
    <t>2020-116</t>
  </si>
  <si>
    <t>20GDK0035</t>
  </si>
  <si>
    <t>C-053-2020</t>
  </si>
  <si>
    <t>20GDK0034</t>
  </si>
  <si>
    <t>20EF0118</t>
  </si>
  <si>
    <t>2020-118</t>
  </si>
  <si>
    <t>2020-11-06-007OUS</t>
  </si>
  <si>
    <t>2LSSM2020A-137</t>
  </si>
  <si>
    <t>CJR-006-2020</t>
  </si>
  <si>
    <t>20HH0136</t>
  </si>
  <si>
    <t>2LSSM2020A-134</t>
  </si>
  <si>
    <t>20EF0120</t>
  </si>
  <si>
    <t>baccaoayan0220</t>
  </si>
  <si>
    <t>2LSSM2020A-136</t>
  </si>
  <si>
    <t>20HH0139</t>
  </si>
  <si>
    <t>2LSSM2020A-135</t>
  </si>
  <si>
    <t>20EF0121</t>
  </si>
  <si>
    <t>CJR-005-2020</t>
  </si>
  <si>
    <t>02-838-2020</t>
  </si>
  <si>
    <t>20MC0086</t>
  </si>
  <si>
    <t>20CSE008</t>
  </si>
  <si>
    <t>2LSSM2020A-138</t>
  </si>
  <si>
    <t>20EF0119</t>
  </si>
  <si>
    <t>20HH0138</t>
  </si>
  <si>
    <t>20OD0191</t>
  </si>
  <si>
    <t>20-005</t>
  </si>
  <si>
    <t>SVP 20-1097-1</t>
  </si>
  <si>
    <t>2LSSM2020A-140</t>
  </si>
  <si>
    <t>2LSSM2020A-139</t>
  </si>
  <si>
    <t>20HH0140</t>
  </si>
  <si>
    <t>2LSSM2020A-143</t>
  </si>
  <si>
    <t>2020-06-069</t>
  </si>
  <si>
    <t>2LSSM2020A-142</t>
  </si>
  <si>
    <t>ITB-2020-002</t>
  </si>
  <si>
    <t>20-06-127</t>
  </si>
  <si>
    <t>2LSSM2020A-170</t>
  </si>
  <si>
    <t>PR 2020-05-086</t>
  </si>
  <si>
    <t>20-05-114 to 117</t>
  </si>
  <si>
    <t>2LSSM2020A-141</t>
  </si>
  <si>
    <t>RFQ 2020-06-011</t>
  </si>
  <si>
    <t>2LSSM2020B-169</t>
  </si>
  <si>
    <t>2LSSM2020A-171</t>
  </si>
  <si>
    <t>20DQ0112</t>
  </si>
  <si>
    <t>VILLAPAN-2020-002</t>
  </si>
  <si>
    <t>PR 2020-05-087</t>
  </si>
  <si>
    <t>BG-2020-11</t>
  </si>
  <si>
    <t>pinya 2020</t>
  </si>
  <si>
    <t>20200611-28</t>
  </si>
  <si>
    <t>M2003-207</t>
  </si>
  <si>
    <t>20CSBG002</t>
  </si>
  <si>
    <t>PR 2020-05-088</t>
  </si>
  <si>
    <t>2LSSM2020A-174</t>
  </si>
  <si>
    <t>20DQ0113</t>
  </si>
  <si>
    <t>20CSBG004</t>
  </si>
  <si>
    <t>2LSSM2020A-172</t>
  </si>
  <si>
    <t>20CSBG003</t>
  </si>
  <si>
    <t>2LSSM2020A-173</t>
  </si>
  <si>
    <t>BG-2020-12</t>
  </si>
  <si>
    <t>2LSSM2020A-178</t>
  </si>
  <si>
    <t>2LSSM2020A-175</t>
  </si>
  <si>
    <t>20DQ0115</t>
  </si>
  <si>
    <t>PR-20-06-24</t>
  </si>
  <si>
    <t>G-17-2020</t>
  </si>
  <si>
    <t>20DQ0114</t>
  </si>
  <si>
    <t>2LSSM2020A-177</t>
  </si>
  <si>
    <t>2LSSM2020A-176</t>
  </si>
  <si>
    <t>20CSJ003</t>
  </si>
  <si>
    <t>2LSSM2020A-179</t>
  </si>
  <si>
    <t>20BG0147</t>
  </si>
  <si>
    <t>20CSJ002</t>
  </si>
  <si>
    <t>G-19-2020</t>
  </si>
  <si>
    <t>2LSSM2020A-180</t>
  </si>
  <si>
    <t>BG-2020-13</t>
  </si>
  <si>
    <t>G-16-2020</t>
  </si>
  <si>
    <t>2LSSM2020A-181</t>
  </si>
  <si>
    <t>G-20-2020</t>
  </si>
  <si>
    <t>20E00084</t>
  </si>
  <si>
    <t>G-18-2020</t>
  </si>
  <si>
    <t>20DQ0117</t>
  </si>
  <si>
    <t>20DQ0116</t>
  </si>
  <si>
    <t>202006093</t>
  </si>
  <si>
    <t>2020-216-001</t>
  </si>
  <si>
    <t>GSS-002-2020</t>
  </si>
  <si>
    <t>NIAZDSIMO-DONGOS SIP PHASE III-CY 2018-004 (INFRA)</t>
  </si>
  <si>
    <t>geps-2020-0001</t>
  </si>
  <si>
    <t>SNIS-Elem-2020-06-001</t>
  </si>
  <si>
    <t>NIAZDSIMO-CANIPAY SIP PHASE VI - CY 2020-005 (INFR</t>
  </si>
  <si>
    <t>cabanaetan-0611-2020-1</t>
  </si>
  <si>
    <t>PB2020-007 (PR No. 19-10-1288 and 19-10-1296)</t>
  </si>
  <si>
    <t>G-21-2020</t>
  </si>
  <si>
    <t>deguzman-0611-2020-1</t>
  </si>
  <si>
    <t>06-084-2020</t>
  </si>
  <si>
    <t>20GKC0007</t>
  </si>
  <si>
    <t>NIAZDSIMO-DONGOS SIP PHASE III-CY 2018-025(GOODS)</t>
  </si>
  <si>
    <t>2020-06-11-02</t>
  </si>
  <si>
    <t>2020-GOODS-032</t>
  </si>
  <si>
    <t>2020-GOODS-031</t>
  </si>
  <si>
    <t>2020-06-11-01</t>
  </si>
  <si>
    <t>GOODS-2020-06-10</t>
  </si>
  <si>
    <t>2020-06-11-03</t>
  </si>
  <si>
    <t>2020-06-0101</t>
  </si>
  <si>
    <t>2020-GOODS-030</t>
  </si>
  <si>
    <t>2020-245-001</t>
  </si>
  <si>
    <t>SPC PR NO. BSPD-2020-0003</t>
  </si>
  <si>
    <t>2020-06-11-05</t>
  </si>
  <si>
    <t>2020-06-0096</t>
  </si>
  <si>
    <t>2020-06-0102</t>
  </si>
  <si>
    <t>20M00179</t>
  </si>
  <si>
    <t>2020-216-002</t>
  </si>
  <si>
    <t>RFQ 2020-06-012</t>
  </si>
  <si>
    <t>2020-06-11-04</t>
  </si>
  <si>
    <t>DTI-IS 2020-006</t>
  </si>
  <si>
    <t>RFQ 2020-06-013</t>
  </si>
  <si>
    <t>20M00180</t>
  </si>
  <si>
    <t>20CW-GSC-022</t>
  </si>
  <si>
    <t>20GM00150</t>
  </si>
  <si>
    <t>20M00182</t>
  </si>
  <si>
    <t>20M00181</t>
  </si>
  <si>
    <t>LIMAO-BAC-07-20</t>
  </si>
  <si>
    <t>20GM00148</t>
  </si>
  <si>
    <t>20GM00149</t>
  </si>
  <si>
    <t>20GM00147</t>
  </si>
  <si>
    <t>DA RFO-1-2019-GOODS-053-N (b)</t>
  </si>
  <si>
    <t>ITB2020-06-001</t>
  </si>
  <si>
    <t>O6112020</t>
  </si>
  <si>
    <t>IB 2020-07-007 PVSV</t>
  </si>
  <si>
    <t>20GM00146</t>
  </si>
  <si>
    <t>2020-06-10-174</t>
  </si>
  <si>
    <t>DTI-IS 2020-007</t>
  </si>
  <si>
    <t>2020-AP-06-020</t>
  </si>
  <si>
    <t>2020-AP-06-021</t>
  </si>
  <si>
    <t>LIMAO-BAC-08-20</t>
  </si>
  <si>
    <t>ILI-2719-20</t>
  </si>
  <si>
    <t>mgc2020-infra040</t>
  </si>
  <si>
    <t>20PA0134</t>
  </si>
  <si>
    <t>2020-AP-06-022</t>
  </si>
  <si>
    <t>PEO-19-1500-B</t>
  </si>
  <si>
    <t>PEO-19-1501-B</t>
  </si>
  <si>
    <t>RFQ PR 1912-417</t>
  </si>
  <si>
    <t>SA2020-022</t>
  </si>
  <si>
    <t>PB-SP-EE-2020-13</t>
  </si>
  <si>
    <t>DA7-2020-05-SAAD-20-0981(R2)</t>
  </si>
  <si>
    <t>DA7-2020-05-FOD-L-20-1271(R1)</t>
  </si>
  <si>
    <t>Pb-001-20</t>
  </si>
  <si>
    <t>CRN 2020-01</t>
  </si>
  <si>
    <t>DA7-2020-05-FOD-L-20-0295(R2)</t>
  </si>
  <si>
    <t>QIIREI2005-001</t>
  </si>
  <si>
    <t>100-20-03-0312</t>
  </si>
  <si>
    <t>PB-GB1-2020-14</t>
  </si>
  <si>
    <t>2020-06-46A</t>
  </si>
  <si>
    <t>100-20-03-0283</t>
  </si>
  <si>
    <t>PB-GB1-2020-12</t>
  </si>
  <si>
    <t>G-2020-039</t>
  </si>
  <si>
    <t>2020-06-08-003</t>
  </si>
  <si>
    <t>2006086</t>
  </si>
  <si>
    <t>G-2020-040</t>
  </si>
  <si>
    <t>300-20-05-0496</t>
  </si>
  <si>
    <t>sj 2020 b jul 001</t>
  </si>
  <si>
    <t>PB-GE1-2020-15</t>
  </si>
  <si>
    <t>1870-S1-07</t>
  </si>
  <si>
    <t>sj 2020 b jul 002</t>
  </si>
  <si>
    <t>G-2020-042</t>
  </si>
  <si>
    <t>1960-36-001</t>
  </si>
  <si>
    <t>20-111</t>
  </si>
  <si>
    <t>127 - 2020</t>
  </si>
  <si>
    <t>075 - 2020</t>
  </si>
  <si>
    <t>1960-S3-06</t>
  </si>
  <si>
    <t>DENR-ORMIN-016-2020</t>
  </si>
  <si>
    <t>PEO-19-1503-B</t>
  </si>
  <si>
    <t>G-2020-043</t>
  </si>
  <si>
    <t>2020-042-snq</t>
  </si>
  <si>
    <t>2020-043-snq</t>
  </si>
  <si>
    <t>2020-041-snq</t>
  </si>
  <si>
    <t>20-116</t>
  </si>
  <si>
    <t>20-114</t>
  </si>
  <si>
    <t>20-112</t>
  </si>
  <si>
    <t>20-110</t>
  </si>
  <si>
    <t>20-062</t>
  </si>
  <si>
    <t>20-121</t>
  </si>
  <si>
    <t>20-115</t>
  </si>
  <si>
    <t>20-113</t>
  </si>
  <si>
    <t>20-120</t>
  </si>
  <si>
    <t>20-119</t>
  </si>
  <si>
    <t>J.R. 020-0051</t>
  </si>
  <si>
    <t>20-109</t>
  </si>
  <si>
    <t>2020-0609-33G</t>
  </si>
  <si>
    <t>LGU_Piddig_2020_040</t>
  </si>
  <si>
    <t>20-108</t>
  </si>
  <si>
    <t>20-117</t>
  </si>
  <si>
    <t>20-118</t>
  </si>
  <si>
    <t>J.R. 020-0052</t>
  </si>
  <si>
    <t>2020-0609-32G</t>
  </si>
  <si>
    <t>164-20-06-92</t>
  </si>
  <si>
    <t>J.R. 020-0054</t>
  </si>
  <si>
    <t>20-122</t>
  </si>
  <si>
    <t>128 - 2020</t>
  </si>
  <si>
    <t>20FO0100</t>
  </si>
  <si>
    <t>J.R. 020-0053</t>
  </si>
  <si>
    <t>PB NO. 2020-033</t>
  </si>
  <si>
    <t>20CSKK0004</t>
  </si>
  <si>
    <t>2020-06-65A</t>
  </si>
  <si>
    <t>2020-06-51A</t>
  </si>
  <si>
    <t>2019-DII-ICSR#3-Angadanan-Savings POW</t>
  </si>
  <si>
    <t>VET-2020-0098</t>
  </si>
  <si>
    <t>msj-2020-18</t>
  </si>
  <si>
    <t>2019-DII-ICSR#3-Alicia-Savings POW</t>
  </si>
  <si>
    <t>20-123</t>
  </si>
  <si>
    <t>PB-CW-2020-06-18</t>
  </si>
  <si>
    <t>GOV-2020-0092</t>
  </si>
  <si>
    <t>2020-06-55A</t>
  </si>
  <si>
    <t>2020-05-035</t>
  </si>
  <si>
    <t>NOTD-2020-0137</t>
  </si>
  <si>
    <t>20-05-141</t>
  </si>
  <si>
    <t>2020-06-56A</t>
  </si>
  <si>
    <t>SVP 20-1097-4</t>
  </si>
  <si>
    <t>BNLSL-LCB-05A-2019</t>
  </si>
  <si>
    <t>5020399000-06-20-03</t>
  </si>
  <si>
    <t>PAFF-2020-0080 &amp; 0081</t>
  </si>
  <si>
    <t>ITB2020-06-03</t>
  </si>
  <si>
    <t>20BF0059</t>
  </si>
  <si>
    <t>ADMI-2020-0021</t>
  </si>
  <si>
    <t>20-1097-2</t>
  </si>
  <si>
    <t>HOD-2020-0386</t>
  </si>
  <si>
    <t>AVRC-2020-07-0182</t>
  </si>
  <si>
    <t>PEO-2020-0856</t>
  </si>
  <si>
    <t>VET-2020-0140</t>
  </si>
  <si>
    <t>PESO-2020-0010</t>
  </si>
  <si>
    <t>20BF0058</t>
  </si>
  <si>
    <t>sanpedro123</t>
  </si>
  <si>
    <t>INFRA-NO. 01</t>
  </si>
  <si>
    <t>RMHS-2020-06-25</t>
  </si>
  <si>
    <t>RMHS-2020-06-26</t>
  </si>
  <si>
    <t>RE-IB No. MM-2020-013(m)</t>
  </si>
  <si>
    <t>PR NO. 2020-06-015</t>
  </si>
  <si>
    <t>NEG. PROC. No. MM-2020-005(m)</t>
  </si>
  <si>
    <t>RE-IB No. MM-2020-011(m)</t>
  </si>
  <si>
    <t>RE-IB No. MM-2020-018(m)</t>
  </si>
  <si>
    <t>2020024</t>
  </si>
  <si>
    <t>RE-IB No. MM-2020-017(m)</t>
  </si>
  <si>
    <t>RE-IB No. MM-2020-014(m)</t>
  </si>
  <si>
    <t>DepED-RO6-D1- Hygiene and Sanitation Supplies-002-</t>
  </si>
  <si>
    <t>20-05-145</t>
  </si>
  <si>
    <t>BS 20-03-0485</t>
  </si>
  <si>
    <t>cgb2020-195</t>
  </si>
  <si>
    <t>SVP No. DD-2020-02-011(m)</t>
  </si>
  <si>
    <t>MG-A5M20-102</t>
  </si>
  <si>
    <t>BS 20-03-0498 &amp; 05-0651</t>
  </si>
  <si>
    <t>BS2 0-06-GR003</t>
  </si>
  <si>
    <t>BS 20-02-0193</t>
  </si>
  <si>
    <t>BS 20-06-OE005</t>
  </si>
  <si>
    <t>SVP No. MM-2020-04-006</t>
  </si>
  <si>
    <t>cgb2020-196</t>
  </si>
  <si>
    <t>lgu-es-20-118</t>
  </si>
  <si>
    <t>BS 20-06-ME01</t>
  </si>
  <si>
    <t>BS20-06-JS002</t>
  </si>
  <si>
    <t>101-2020-06-260</t>
  </si>
  <si>
    <t>SVP No. K-2020-06-006</t>
  </si>
  <si>
    <t>BS 20-06-OE006</t>
  </si>
  <si>
    <t>20CN0152</t>
  </si>
  <si>
    <t>cgb2020-198</t>
  </si>
  <si>
    <t>101-2020-06-259</t>
  </si>
  <si>
    <t>020-002-002</t>
  </si>
  <si>
    <t>cgb2020-199</t>
  </si>
  <si>
    <t>SVP No. K-2020-06-002</t>
  </si>
  <si>
    <t>Procurement of Courier Services for PSO Bukidnon 1</t>
  </si>
  <si>
    <t>SanJoseBatsAeb2020-063</t>
  </si>
  <si>
    <t>2020-05-0421 PPD-NHTU</t>
  </si>
  <si>
    <t>SVP No. K-2020-06-003</t>
  </si>
  <si>
    <t>BS20-02-0192</t>
  </si>
  <si>
    <t>BS 20-02-0286</t>
  </si>
  <si>
    <t>cgb2020-197</t>
  </si>
  <si>
    <t>20CN0150</t>
  </si>
  <si>
    <t>2020-300-003</t>
  </si>
  <si>
    <t>SanJoseBatsAeb2020-065</t>
  </si>
  <si>
    <t>20CN0151</t>
  </si>
  <si>
    <t>101-2020-06-258</t>
  </si>
  <si>
    <t>ppn-086-2020</t>
  </si>
  <si>
    <t>20CSPH01</t>
  </si>
  <si>
    <t>SanJoseBatsAeb2020-064</t>
  </si>
  <si>
    <t>ITB2020-06-05</t>
  </si>
  <si>
    <t>020-006-001</t>
  </si>
  <si>
    <t>ITB2020-06-04</t>
  </si>
  <si>
    <t>2020-05-0427 PPD-NHTU</t>
  </si>
  <si>
    <t>20FB0150</t>
  </si>
  <si>
    <t>MPBRIS-LCB-08A-2019</t>
  </si>
  <si>
    <t>2020 -01</t>
  </si>
  <si>
    <t>2020-0610</t>
  </si>
  <si>
    <t>PRO2 BAC 2020-0601</t>
  </si>
  <si>
    <t>101-2020-06-268</t>
  </si>
  <si>
    <t>San Joaquin-Goods-2020-02</t>
  </si>
  <si>
    <t>BAG2020-06-002</t>
  </si>
  <si>
    <t>12345</t>
  </si>
  <si>
    <t>baz-azds-20-06-015</t>
  </si>
  <si>
    <t>2020-03-0236 SOCIAL PENSION</t>
  </si>
  <si>
    <t>SanJoseBatsAeb2020-082</t>
  </si>
  <si>
    <t>1280-06-00127</t>
  </si>
  <si>
    <t>SR2020-006</t>
  </si>
  <si>
    <t>SanJoseBatsAeb2020-066</t>
  </si>
  <si>
    <t>GOODS-2020-19</t>
  </si>
  <si>
    <t>RFQ-2020-06-024</t>
  </si>
  <si>
    <t>PR 06-3531</t>
  </si>
  <si>
    <t>072(A) - 2020</t>
  </si>
  <si>
    <t>cw-2020-015</t>
  </si>
  <si>
    <t>2020-GOODS-NP-63</t>
  </si>
  <si>
    <t>ITB-MPR-Goods-2020-019</t>
  </si>
  <si>
    <t>ITB2020-06-01 BRGY. SAN VICENTE</t>
  </si>
  <si>
    <t>BAC No. 07-05-2020</t>
  </si>
  <si>
    <t>Bid No. 20-0266</t>
  </si>
  <si>
    <t>2020-06-001-101</t>
  </si>
  <si>
    <t>2020-0149</t>
  </si>
  <si>
    <t>SR2020-005</t>
  </si>
  <si>
    <t>BAC-PGCS-007-2020</t>
  </si>
  <si>
    <t>2020-06-102</t>
  </si>
  <si>
    <t>2020-05-002-GF</t>
  </si>
  <si>
    <t>20GFD0007</t>
  </si>
  <si>
    <t>DARFO2.CVRC.115.REC.2020-06-669.00</t>
  </si>
  <si>
    <t>DARFO2.CVRC.115.REC.2020-06-672.00</t>
  </si>
  <si>
    <t>RFQ 2020-AS-06-019</t>
  </si>
  <si>
    <t>20GFD0008</t>
  </si>
  <si>
    <t>2020-027</t>
  </si>
  <si>
    <t>106</t>
  </si>
  <si>
    <t>IB-GOODS-2020-09 Procurement of Drugs and Medicine</t>
  </si>
  <si>
    <t>PR 06-3514</t>
  </si>
  <si>
    <t>REF #040-06-2020</t>
  </si>
  <si>
    <t>20CSAI002</t>
  </si>
  <si>
    <t>VET-2020-0123 &amp; 0124</t>
  </si>
  <si>
    <t>2020-05-103</t>
  </si>
  <si>
    <t>GFW-2020-06-018</t>
  </si>
  <si>
    <t>BAG2020-06-003</t>
  </si>
  <si>
    <t>RFQ No. 2020-SVP-36</t>
  </si>
  <si>
    <t>ANTIPOLO-01JULY2020-01</t>
  </si>
  <si>
    <t>105</t>
  </si>
  <si>
    <t>INF ITB 20-028</t>
  </si>
  <si>
    <t>2020-06-0113</t>
  </si>
  <si>
    <t>2020-06-29</t>
  </si>
  <si>
    <t>ITB 2020-06-002</t>
  </si>
  <si>
    <t>20-06-242</t>
  </si>
  <si>
    <t>2020-06-00021</t>
  </si>
  <si>
    <t>ANTIPOLO-01JULY2020-02</t>
  </si>
  <si>
    <t>OPA-2020-0251</t>
  </si>
  <si>
    <t>OPA-2020-0277, 0280, 0281, 0282</t>
  </si>
  <si>
    <t>ANTIPOLO-01JULY2020-03</t>
  </si>
  <si>
    <t>CARC- 2020-GS-02</t>
  </si>
  <si>
    <t>SINS-G-2020-11</t>
  </si>
  <si>
    <t>2020-063</t>
  </si>
  <si>
    <t>ANTIPOLO-01JULY2020-04</t>
  </si>
  <si>
    <t>06-10-01</t>
  </si>
  <si>
    <t>COVID19-009</t>
  </si>
  <si>
    <t>Bid No. 20-0267</t>
  </si>
  <si>
    <t>06-10-02</t>
  </si>
  <si>
    <t>SVP 2020-51</t>
  </si>
  <si>
    <t>ANTIPOLO-01JULY2020-06</t>
  </si>
  <si>
    <t>2020-06-103</t>
  </si>
  <si>
    <t>ANTIPOLO-01JULY2020-05</t>
  </si>
  <si>
    <t>Infra-20-08</t>
  </si>
  <si>
    <t>PBI-2020-03</t>
  </si>
  <si>
    <t>2020-06-00023</t>
  </si>
  <si>
    <t>ANTIPOLO-01JULY2020-07</t>
  </si>
  <si>
    <t>2020-154</t>
  </si>
  <si>
    <t>20-027</t>
  </si>
  <si>
    <t>ANTIPOLO-01JULY2020-09</t>
  </si>
  <si>
    <t>2020-05-0423 RRCY</t>
  </si>
  <si>
    <t>ANTIPOLO-01JULY2020-08</t>
  </si>
  <si>
    <t>PR 106-06-2020</t>
  </si>
  <si>
    <t>2020-158</t>
  </si>
  <si>
    <t>100-2006-1083</t>
  </si>
  <si>
    <t>RFQ - PR No. 2020-06-0100 dated 6-9-20</t>
  </si>
  <si>
    <t>0020-0139-0819B2020</t>
  </si>
  <si>
    <t>ANTIPOLO-01JULY2020-10</t>
  </si>
  <si>
    <t>PBI-2020-06</t>
  </si>
  <si>
    <t>BXU-2020-20</t>
  </si>
  <si>
    <t>100(01)20-06-052(M)</t>
  </si>
  <si>
    <t>2020-155</t>
  </si>
  <si>
    <t>20-028</t>
  </si>
  <si>
    <t>PBI-2020-05</t>
  </si>
  <si>
    <t>06-10-03</t>
  </si>
  <si>
    <t>2020-06-0094</t>
  </si>
  <si>
    <t>PBI-2020-04</t>
  </si>
  <si>
    <t>20-06-243</t>
  </si>
  <si>
    <t>2020-06-30</t>
  </si>
  <si>
    <t>2020-06-121</t>
  </si>
  <si>
    <t>ITB No. 2020-008</t>
  </si>
  <si>
    <t>ANTIPOLO-01JULY2020-11</t>
  </si>
  <si>
    <t>INFRA-2020-P3</t>
  </si>
  <si>
    <t>INFRA-2020-10</t>
  </si>
  <si>
    <t>PBI-2020-12</t>
  </si>
  <si>
    <t>20K00349</t>
  </si>
  <si>
    <t>06-10-04</t>
  </si>
  <si>
    <t>2020-05-104</t>
  </si>
  <si>
    <t>SVP2020-31</t>
  </si>
  <si>
    <t>0020-0139-0819-2020</t>
  </si>
  <si>
    <t>2020-160</t>
  </si>
  <si>
    <t>CARC-2020-GS-03</t>
  </si>
  <si>
    <t>100(01)20-06-053(M)</t>
  </si>
  <si>
    <t>EMBR02-SVP-GGSS-MIS062020-009</t>
  </si>
  <si>
    <t>ANTIPOLO-01JULY2020-13</t>
  </si>
  <si>
    <t>GFW-2020-06-019</t>
  </si>
  <si>
    <t>RFQ - PR No. 2020-06-0107 dated 6-9-20</t>
  </si>
  <si>
    <t>ANTIPOLO-01JULY2020-12</t>
  </si>
  <si>
    <t>2020-167</t>
  </si>
  <si>
    <t>2020-166</t>
  </si>
  <si>
    <t>INFRA-11</t>
  </si>
  <si>
    <t>0020-0056-0320-2020</t>
  </si>
  <si>
    <t>2020-172</t>
  </si>
  <si>
    <t>RFQ - Assorted Construction Materials for use in M</t>
  </si>
  <si>
    <t>100(01)20-06-054(M)</t>
  </si>
  <si>
    <t>CWD 24-2020</t>
  </si>
  <si>
    <t>20K00350</t>
  </si>
  <si>
    <t>lgu-es-20-119</t>
  </si>
  <si>
    <t>BXU-2020-21</t>
  </si>
  <si>
    <t>DA7-2020-06-ILD-20-1946(R1)</t>
  </si>
  <si>
    <t>2020-171</t>
  </si>
  <si>
    <t>GOODS-05</t>
  </si>
  <si>
    <t>06-10-05</t>
  </si>
  <si>
    <t>ANTIPOLO-01JULY2020-15</t>
  </si>
  <si>
    <t>ANTIPOLO-01JULY2020-14</t>
  </si>
  <si>
    <t>20K00351</t>
  </si>
  <si>
    <t>20GLD0035</t>
  </si>
  <si>
    <t>100-20-03-0353</t>
  </si>
  <si>
    <t>DENR-RFQMS-2020-031</t>
  </si>
  <si>
    <t>GOODS-06</t>
  </si>
  <si>
    <t>2020-173</t>
  </si>
  <si>
    <t>06-10-06</t>
  </si>
  <si>
    <t>2020-178</t>
  </si>
  <si>
    <t>IB 2020-027</t>
  </si>
  <si>
    <t>2020-001-06</t>
  </si>
  <si>
    <t>INFRA-2020-022</t>
  </si>
  <si>
    <t>01-01-2020-06-546</t>
  </si>
  <si>
    <t>4431-2020-03-09</t>
  </si>
  <si>
    <t>SINS-G-2020-06</t>
  </si>
  <si>
    <t>OPOL 2020-055</t>
  </si>
  <si>
    <t>ANTIPOLO-01JULY2020-16</t>
  </si>
  <si>
    <t>GOODS-07</t>
  </si>
  <si>
    <t>2020-184</t>
  </si>
  <si>
    <t>PR 110-06-2020</t>
  </si>
  <si>
    <t>20GE024G</t>
  </si>
  <si>
    <t>2020-180</t>
  </si>
  <si>
    <t>BXU-2020-22</t>
  </si>
  <si>
    <t>2020-002-06</t>
  </si>
  <si>
    <t>ITB No. 2020-009</t>
  </si>
  <si>
    <t>20GLD0036</t>
  </si>
  <si>
    <t>ANTIPOLO-01JULY2020-17</t>
  </si>
  <si>
    <t>2020-185</t>
  </si>
  <si>
    <t>337-06/08/2020</t>
  </si>
  <si>
    <t>20GLD0037</t>
  </si>
  <si>
    <t>2020-192</t>
  </si>
  <si>
    <t>ANTIPOLO-01JULY2020-18</t>
  </si>
  <si>
    <t>GOODS-08</t>
  </si>
  <si>
    <t>20HG0174</t>
  </si>
  <si>
    <t>2020-05-107</t>
  </si>
  <si>
    <t>RB-ITB-2020-001</t>
  </si>
  <si>
    <t>2020-0017</t>
  </si>
  <si>
    <t>ANTIPOLO-01JULY2020-20</t>
  </si>
  <si>
    <t>2020-197</t>
  </si>
  <si>
    <t>INFRA-12</t>
  </si>
  <si>
    <t>2020-05-106</t>
  </si>
  <si>
    <t>0020-0139-0819A2020</t>
  </si>
  <si>
    <t>RFQ - PR No. 2020-06-0103 dated 6-9-20</t>
  </si>
  <si>
    <t>ANTIPOLO-01JULY2020-19</t>
  </si>
  <si>
    <t>BBU-2020-001</t>
  </si>
  <si>
    <t>2020-195</t>
  </si>
  <si>
    <t>2020-0018</t>
  </si>
  <si>
    <t>20GLD0039</t>
  </si>
  <si>
    <t>SINS-G-2019-18</t>
  </si>
  <si>
    <t>20GLD0038</t>
  </si>
  <si>
    <t>20GLD0040</t>
  </si>
  <si>
    <t>20HG0175</t>
  </si>
  <si>
    <t>20CSHN08</t>
  </si>
  <si>
    <t>2020-018-PB</t>
  </si>
  <si>
    <t>NS-06-11-20</t>
  </si>
  <si>
    <t>EMBR02-SVP-GGSS-MIS032020-010</t>
  </si>
  <si>
    <t>ANTIPOLO-01JULY2020-21</t>
  </si>
  <si>
    <t>INF ITB 20-029</t>
  </si>
  <si>
    <t>RFQ - PR No. 2020-06-0105 dated 6-9-20</t>
  </si>
  <si>
    <t>SV-0723-2020</t>
  </si>
  <si>
    <t>20GE025G</t>
  </si>
  <si>
    <t>INFRA-13</t>
  </si>
  <si>
    <t>2020-BC-001</t>
  </si>
  <si>
    <t>BXU-2020-23</t>
  </si>
  <si>
    <t>NP 53.6</t>
  </si>
  <si>
    <t>CW001</t>
  </si>
  <si>
    <t>PR 040-02-2020</t>
  </si>
  <si>
    <t>2020-094</t>
  </si>
  <si>
    <t>INFRA-14</t>
  </si>
  <si>
    <t>DGPD2020-RFQ06-002-G</t>
  </si>
  <si>
    <t>INFRA-2020-018</t>
  </si>
  <si>
    <t>2020-107</t>
  </si>
  <si>
    <t>LGUPROC 2020 -102R</t>
  </si>
  <si>
    <t>2020-103</t>
  </si>
  <si>
    <t>PR No. 2020-06-000006</t>
  </si>
  <si>
    <t>2020-60</t>
  </si>
  <si>
    <t>Pr No. 2020-06-000001</t>
  </si>
  <si>
    <t>INF ITB 20-030</t>
  </si>
  <si>
    <t>Bid No. 20-0268</t>
  </si>
  <si>
    <t>INFRA-2020-16</t>
  </si>
  <si>
    <t>2020-05-088</t>
  </si>
  <si>
    <t>SINS-Inf-2020-03</t>
  </si>
  <si>
    <t>20CSHN09</t>
  </si>
  <si>
    <t>INFRA-2020-17</t>
  </si>
  <si>
    <t>2020-126</t>
  </si>
  <si>
    <t>062920-01</t>
  </si>
  <si>
    <t>Infra-02</t>
  </si>
  <si>
    <t>INFRA-15</t>
  </si>
  <si>
    <t>SA2020-023</t>
  </si>
  <si>
    <t>UPLB-RQ-6-121-20-RES CHEMICALS AND CHEMICAL PRODUC</t>
  </si>
  <si>
    <t>2020-020 CLA</t>
  </si>
  <si>
    <t>DapDap202001</t>
  </si>
  <si>
    <t>IMELDA202001</t>
  </si>
  <si>
    <t>BXU-2020-25</t>
  </si>
  <si>
    <t>20-05-0622</t>
  </si>
  <si>
    <t>RFQ-2020-06-0037</t>
  </si>
  <si>
    <t>INFRA_2020_REPAIR&amp;IMPROVEMENT_03</t>
  </si>
  <si>
    <t>20FK0052</t>
  </si>
  <si>
    <t>BXU-2020-24</t>
  </si>
  <si>
    <t>RFQ-2020-06-0035</t>
  </si>
  <si>
    <t>RFQ-2020-06-0036</t>
  </si>
  <si>
    <t>G-01-2020</t>
  </si>
  <si>
    <t>LGU-RFQ-2020-54</t>
  </si>
  <si>
    <t>INFRA-2020-023</t>
  </si>
  <si>
    <t>LDF20-06-031</t>
  </si>
  <si>
    <t>ITB No. 031-2020 GQ</t>
  </si>
  <si>
    <t>SVP 20-008</t>
  </si>
  <si>
    <t>SVP 20-007</t>
  </si>
  <si>
    <t>20FK0051</t>
  </si>
  <si>
    <t>2020-131</t>
  </si>
  <si>
    <t>06-10-2020-206</t>
  </si>
  <si>
    <t>1400</t>
  </si>
  <si>
    <t>20-37 RD</t>
  </si>
  <si>
    <t>20FB0151</t>
  </si>
  <si>
    <t>20-38 RD</t>
  </si>
  <si>
    <t>RFQ-2020-06-0038</t>
  </si>
  <si>
    <t>RFQ-2020-06-0040</t>
  </si>
  <si>
    <t>O-020-007</t>
  </si>
  <si>
    <t>RFQ-2020-06-0039</t>
  </si>
  <si>
    <t>2020-06-0012</t>
  </si>
  <si>
    <t>INFRA_2020_REPAIR&amp;IMPROVEMENT_04</t>
  </si>
  <si>
    <t>LEE19-06-025</t>
  </si>
  <si>
    <t>20-39 RD</t>
  </si>
  <si>
    <t>UPLB-RQ-6-122-20-RES INFORMATION TECHNOLOGY</t>
  </si>
  <si>
    <t>20-40 BLDG</t>
  </si>
  <si>
    <t>153</t>
  </si>
  <si>
    <t>70-2020</t>
  </si>
  <si>
    <t>ITB (CW-06-2020-018) 20DD0325</t>
  </si>
  <si>
    <t>COB BAC INFRA 2020-003-001</t>
  </si>
  <si>
    <t>20FK0053-Invitation to Bid</t>
  </si>
  <si>
    <t>ITB-2020-JDL-004</t>
  </si>
  <si>
    <t>RFQ-2020-06-0041</t>
  </si>
  <si>
    <t>2020-181</t>
  </si>
  <si>
    <t>2020-153</t>
  </si>
  <si>
    <t>062920-02A</t>
  </si>
  <si>
    <t>ITB (CW-06-2020-018) 20DD0326</t>
  </si>
  <si>
    <t>2020-174</t>
  </si>
  <si>
    <t>20-41 BLDG</t>
  </si>
  <si>
    <t>20-42 BLDG</t>
  </si>
  <si>
    <t>2020-165</t>
  </si>
  <si>
    <t>ITB (CW-06-2020-018) 20DD0328</t>
  </si>
  <si>
    <t>2020/06/052</t>
  </si>
  <si>
    <t>N-20-06-052</t>
  </si>
  <si>
    <t>2020-183</t>
  </si>
  <si>
    <t>LIB2020-001</t>
  </si>
  <si>
    <t>ITB (CW-06-2020-018) 20DD0327</t>
  </si>
  <si>
    <t>PERIMETER FENCE - SAN NICOLAS ELEM.</t>
  </si>
  <si>
    <t>2020-06-59</t>
  </si>
  <si>
    <t>MAPULO-001</t>
  </si>
  <si>
    <t>2020-198</t>
  </si>
  <si>
    <t>2020-06-60</t>
  </si>
  <si>
    <t>ITB (CW-06-2020-018) 20DD0329</t>
  </si>
  <si>
    <t>2020-245</t>
  </si>
  <si>
    <t>ITB (CW-06-2020-018) 20DD0331</t>
  </si>
  <si>
    <t>2020-203</t>
  </si>
  <si>
    <t>SINS-Inf-2020-04</t>
  </si>
  <si>
    <t>211414</t>
  </si>
  <si>
    <t>06102020-02</t>
  </si>
  <si>
    <t>ITB (CW-06-2020-018) 20DD0330</t>
  </si>
  <si>
    <t>2020-234</t>
  </si>
  <si>
    <t>2020-02-1</t>
  </si>
  <si>
    <t>06102020-01</t>
  </si>
  <si>
    <t>ITB (CW-06-2020-018) 20DD0333</t>
  </si>
  <si>
    <t>ITB No. 2020-010</t>
  </si>
  <si>
    <t>ITB (CW-06-2020-018) 20DD0334</t>
  </si>
  <si>
    <t>PR 9-20-05-0601 - CITY HOSPITAL</t>
  </si>
  <si>
    <t>ITB (CW-06-2020-018) 20DD0332</t>
  </si>
  <si>
    <t>100-06-20-441</t>
  </si>
  <si>
    <t>2020-249</t>
  </si>
  <si>
    <t>ITB (CW-06-2020-018) 20DD0335</t>
  </si>
  <si>
    <t>B-20-24</t>
  </si>
  <si>
    <t>2020-98</t>
  </si>
  <si>
    <t>405-06-2020 (IPHO)</t>
  </si>
  <si>
    <t>PERIMETER FENCE - SAN MIGUEL ELEM.</t>
  </si>
  <si>
    <t>ITB (CW-06-2020-018) 20DD0337</t>
  </si>
  <si>
    <t>20-192</t>
  </si>
  <si>
    <t>211415</t>
  </si>
  <si>
    <t>20010809</t>
  </si>
  <si>
    <t>2020-251</t>
  </si>
  <si>
    <t>211416</t>
  </si>
  <si>
    <t>ITB (CW-06-2020-018) 20DD0336</t>
  </si>
  <si>
    <t>SF-GOODS NO. 62-(6-10-20)</t>
  </si>
  <si>
    <t>INFRA-2K20-39</t>
  </si>
  <si>
    <t>ITB (CW-06-2020-018) 20DD0338</t>
  </si>
  <si>
    <t>20010456</t>
  </si>
  <si>
    <t>Bid No. 20-0269</t>
  </si>
  <si>
    <t>PR 9-20-05-0588 - CITY HOSPITAL</t>
  </si>
  <si>
    <t>PR# 20-06-0603</t>
  </si>
  <si>
    <t>20-06-0001</t>
  </si>
  <si>
    <t>COB BAC INFRA 2020-003-002</t>
  </si>
  <si>
    <t>2019-10-06-24</t>
  </si>
  <si>
    <t>211417</t>
  </si>
  <si>
    <t>TF-PB-034</t>
  </si>
  <si>
    <t>N-20-06-053</t>
  </si>
  <si>
    <t>2020-PBINFRA-05-004</t>
  </si>
  <si>
    <t>COB BAC INFRA 2020-003-003</t>
  </si>
  <si>
    <t>SN-20-06-003</t>
  </si>
  <si>
    <t>CDH-2020-0036-0038,0040,0048-0050,0056,0057,0059-0</t>
  </si>
  <si>
    <t>BACC-2020-0019</t>
  </si>
  <si>
    <t>SEF-I-43-2020</t>
  </si>
  <si>
    <t>COB BAC INFRA 2020-003-004</t>
  </si>
  <si>
    <t>20011320</t>
  </si>
  <si>
    <t>mabpang-0610-2020-ENGR</t>
  </si>
  <si>
    <t>ITB No. 2020-135-A-pgo-pictd</t>
  </si>
  <si>
    <t>ITB No. 2020-012</t>
  </si>
  <si>
    <t>211418</t>
  </si>
  <si>
    <t>DSWD4B-2020-011</t>
  </si>
  <si>
    <t>bas 2020-01</t>
  </si>
  <si>
    <t>SVP 20-0693</t>
  </si>
  <si>
    <t>COB BAC INFRA 2020-003-005</t>
  </si>
  <si>
    <t>20-06-09-0017</t>
  </si>
  <si>
    <t>2020-224</t>
  </si>
  <si>
    <t>2020-033</t>
  </si>
  <si>
    <t>2020-225</t>
  </si>
  <si>
    <t>100(01)20-06-327(O)</t>
  </si>
  <si>
    <t>273-20</t>
  </si>
  <si>
    <t>N-20-06-054</t>
  </si>
  <si>
    <t>945</t>
  </si>
  <si>
    <t>ITB No. 2020-013</t>
  </si>
  <si>
    <t>06102020-A</t>
  </si>
  <si>
    <t>EMBR02-SVP-GOODS-MIS032020-009</t>
  </si>
  <si>
    <t>TF-PB-035</t>
  </si>
  <si>
    <t>DENR XII-SP-21-2020</t>
  </si>
  <si>
    <t>274-20</t>
  </si>
  <si>
    <t>20CSPH02</t>
  </si>
  <si>
    <t>211419</t>
  </si>
  <si>
    <t>212020</t>
  </si>
  <si>
    <t>2020-248</t>
  </si>
  <si>
    <t>GF 2020-21</t>
  </si>
  <si>
    <t>ITB NO. OCD 2020-10 (INFRA)</t>
  </si>
  <si>
    <t>100(01)20-06-310(A)</t>
  </si>
  <si>
    <t>2020-227</t>
  </si>
  <si>
    <t>Bid No. 20-0270</t>
  </si>
  <si>
    <t>N-20-06-055</t>
  </si>
  <si>
    <t>2020-226</t>
  </si>
  <si>
    <t>276-20</t>
  </si>
  <si>
    <t>ITB No. 2020-014</t>
  </si>
  <si>
    <t>100(01)20-05-007(K)</t>
  </si>
  <si>
    <t>INFRA 2K20-41</t>
  </si>
  <si>
    <t>2020-Lamitan-25</t>
  </si>
  <si>
    <t>2020-19</t>
  </si>
  <si>
    <t>2020-Lamitan-24</t>
  </si>
  <si>
    <t>275-20</t>
  </si>
  <si>
    <t>100(01)20-06-326(O)</t>
  </si>
  <si>
    <t>20IC0076</t>
  </si>
  <si>
    <t>ITB No. 2020-015</t>
  </si>
  <si>
    <t>GD31-2020</t>
  </si>
  <si>
    <t>277-20</t>
  </si>
  <si>
    <t>BOD20-083</t>
  </si>
  <si>
    <t>951</t>
  </si>
  <si>
    <t>100(01)20-06-311(A)</t>
  </si>
  <si>
    <t>20DB0134</t>
  </si>
  <si>
    <t>TF-PB-036</t>
  </si>
  <si>
    <t>952</t>
  </si>
  <si>
    <t>MG-PLM20-089</t>
  </si>
  <si>
    <t>SEF-I-44-2020</t>
  </si>
  <si>
    <t>279-20</t>
  </si>
  <si>
    <t>LS2-2020-22</t>
  </si>
  <si>
    <t>278-20</t>
  </si>
  <si>
    <t>geps-2020-023</t>
  </si>
  <si>
    <t>19-11-00624 (LATE POSTING)</t>
  </si>
  <si>
    <t>OE-20-01</t>
  </si>
  <si>
    <t>ITB 2020-06-004</t>
  </si>
  <si>
    <t>Poblacion202001</t>
  </si>
  <si>
    <t>GF 2020-22</t>
  </si>
  <si>
    <t>LGU-TAN-INFRA-2020-069</t>
  </si>
  <si>
    <t>280-20</t>
  </si>
  <si>
    <t>211420</t>
  </si>
  <si>
    <t>202006100001</t>
  </si>
  <si>
    <t>ITB 2020-06-005</t>
  </si>
  <si>
    <t>BCS-2020-0113</t>
  </si>
  <si>
    <t>MG-PLM20-091</t>
  </si>
  <si>
    <t>2020-06-01(PB)</t>
  </si>
  <si>
    <t>geps-2020-024</t>
  </si>
  <si>
    <t>AC-2020-05-001</t>
  </si>
  <si>
    <t>PR No. :   2020 - 06 - 021</t>
  </si>
  <si>
    <t>281-20</t>
  </si>
  <si>
    <t>211422</t>
  </si>
  <si>
    <t>MG-PLM20-090</t>
  </si>
  <si>
    <t>NV 2020-033</t>
  </si>
  <si>
    <t>geps-2020-025</t>
  </si>
  <si>
    <t>RFQ-GOODS-2020-064</t>
  </si>
  <si>
    <t>2020-06-02(PB)</t>
  </si>
  <si>
    <t>geps-2020-027</t>
  </si>
  <si>
    <t>ITB 2020-06-006</t>
  </si>
  <si>
    <t>211424</t>
  </si>
  <si>
    <t>geps-2020-026</t>
  </si>
  <si>
    <t>ITB-2020-PR0903</t>
  </si>
  <si>
    <t>211423</t>
  </si>
  <si>
    <t>RFQ-GOODS-2020-065</t>
  </si>
  <si>
    <t>NV 2020-034</t>
  </si>
  <si>
    <t>20010616</t>
  </si>
  <si>
    <t>DA7-2020-06-SAAD-20-1979</t>
  </si>
  <si>
    <t>20PA0131</t>
  </si>
  <si>
    <t>20CB-GSC-313 PURCHASE OF SPARE PARTS FOR HINO EQUI</t>
  </si>
  <si>
    <t>geps-2020-028</t>
  </si>
  <si>
    <t>0020-0159-0927-2020</t>
  </si>
  <si>
    <t>NV 2020-035</t>
  </si>
  <si>
    <t>20021734</t>
  </si>
  <si>
    <t>DM-BAC-2020-0031</t>
  </si>
  <si>
    <t>2020-06-03(PB)</t>
  </si>
  <si>
    <t>BXU-2020-26</t>
  </si>
  <si>
    <t>Poblacion202002</t>
  </si>
  <si>
    <t>RFQ-GOODS-2020-066</t>
  </si>
  <si>
    <t>2020-0019</t>
  </si>
  <si>
    <t>20CB-GSC-314 PURCHASE OF SPARE PARTS FOR VOLVO EQU</t>
  </si>
  <si>
    <t>202006100002</t>
  </si>
  <si>
    <t>DENR XII-SP-22-2020</t>
  </si>
  <si>
    <t>PR No. 2020-03-000025</t>
  </si>
  <si>
    <t>20LA0337</t>
  </si>
  <si>
    <t>20021637</t>
  </si>
  <si>
    <t>20GKG0027</t>
  </si>
  <si>
    <t>ITB 20-070</t>
  </si>
  <si>
    <t>IT-20-06-001</t>
  </si>
  <si>
    <t>211425</t>
  </si>
  <si>
    <t>RFQ-GOODS-2020-067</t>
  </si>
  <si>
    <t>TF-PB-037</t>
  </si>
  <si>
    <t>RFQ-GOODS-2020-068</t>
  </si>
  <si>
    <t>20LA0338</t>
  </si>
  <si>
    <t>062320-01B</t>
  </si>
  <si>
    <t>20LA0339</t>
  </si>
  <si>
    <t>211426</t>
  </si>
  <si>
    <t>BCS-2020-0106</t>
  </si>
  <si>
    <t>20-05-1393</t>
  </si>
  <si>
    <t>216136</t>
  </si>
  <si>
    <t>Bid No. 20-0271</t>
  </si>
  <si>
    <t>BXU-2020-27</t>
  </si>
  <si>
    <t>20CSAJ03</t>
  </si>
  <si>
    <t>RFQ-GOODS-2020-069</t>
  </si>
  <si>
    <t>PBI-2020-23</t>
  </si>
  <si>
    <t>SEC PB No. 2020-013</t>
  </si>
  <si>
    <t>DM-BAC-2020-0032</t>
  </si>
  <si>
    <t>2020-06-04(PB)</t>
  </si>
  <si>
    <t>2020-05-154</t>
  </si>
  <si>
    <t>G-062020-00845</t>
  </si>
  <si>
    <t>2020-04-15</t>
  </si>
  <si>
    <t>2020-04-20-B</t>
  </si>
  <si>
    <t>BCS-2020-0107</t>
  </si>
  <si>
    <t>IB-2020-VI-30-01- RE-EGENTS (DIAGNOSTIC LABORATORY</t>
  </si>
  <si>
    <t>20LA0340</t>
  </si>
  <si>
    <t>JGE2020-015</t>
  </si>
  <si>
    <t>UPB-BID-2020-04A</t>
  </si>
  <si>
    <t>20GME0043</t>
  </si>
  <si>
    <t>2020-IG-020</t>
  </si>
  <si>
    <t>RFQ-2020-12</t>
  </si>
  <si>
    <t>20LA0341</t>
  </si>
  <si>
    <t>BCS-2020-0108</t>
  </si>
  <si>
    <t>JGE2020-016</t>
  </si>
  <si>
    <t>202006100003</t>
  </si>
  <si>
    <t>ITB No. 2020-011</t>
  </si>
  <si>
    <t>0020-0160-0937-2020</t>
  </si>
  <si>
    <t>Bid No. 20-0272</t>
  </si>
  <si>
    <t>2020-096</t>
  </si>
  <si>
    <t>NMF GOODS 2020-04</t>
  </si>
  <si>
    <t>2020-03-14</t>
  </si>
  <si>
    <t>MWD-PR-0520-020</t>
  </si>
  <si>
    <t>BCS-2020-0110</t>
  </si>
  <si>
    <t>2020-06-0111</t>
  </si>
  <si>
    <t>20NA0073 (CLUSTER)</t>
  </si>
  <si>
    <t>BCS-2020-0109</t>
  </si>
  <si>
    <t>896-20</t>
  </si>
  <si>
    <t>BCS-2020-0111</t>
  </si>
  <si>
    <t>B-82-2020</t>
  </si>
  <si>
    <t>062320-04</t>
  </si>
  <si>
    <t>2020-06-05(PB)</t>
  </si>
  <si>
    <t>GO-20-06-039</t>
  </si>
  <si>
    <t>SEC PB No. 2020-014</t>
  </si>
  <si>
    <t>ITB 2020-055</t>
  </si>
  <si>
    <t>MG-A5M20-103</t>
  </si>
  <si>
    <t>JGE2020-017</t>
  </si>
  <si>
    <t>B-ITB-2020-001</t>
  </si>
  <si>
    <t>NUB-20-06-0449</t>
  </si>
  <si>
    <t>burgos-2020-143-043</t>
  </si>
  <si>
    <t>104-06-2020</t>
  </si>
  <si>
    <t>062320-5</t>
  </si>
  <si>
    <t>NMF GOODS 2020-05</t>
  </si>
  <si>
    <t>103-06-2020</t>
  </si>
  <si>
    <t>BCS-2020-0112</t>
  </si>
  <si>
    <t>2020-03-13</t>
  </si>
  <si>
    <t>0020-0159-0927A2020</t>
  </si>
  <si>
    <t>MWD-PR-0620-023</t>
  </si>
  <si>
    <t>20BA0054</t>
  </si>
  <si>
    <t>NMF INFRA 2020-24</t>
  </si>
  <si>
    <t>burgos-2020-146-046</t>
  </si>
  <si>
    <t>RFQ-2020-06-025</t>
  </si>
  <si>
    <t>MWD-PR-0620-024</t>
  </si>
  <si>
    <t>2020-06-048RFQ</t>
  </si>
  <si>
    <t>20GKG0028</t>
  </si>
  <si>
    <t>burgos-2020-145-045</t>
  </si>
  <si>
    <t>burgos-2020-144-044</t>
  </si>
  <si>
    <t>20201006</t>
  </si>
  <si>
    <t>GO-20-06-040</t>
  </si>
  <si>
    <t>2020-06-318</t>
  </si>
  <si>
    <t>NMF INFRA 2020-25</t>
  </si>
  <si>
    <t>Sta. Barbara202001</t>
  </si>
  <si>
    <t>JGE2020-018</t>
  </si>
  <si>
    <t>TF-PB-038</t>
  </si>
  <si>
    <t>2020-02-0384-MAIN</t>
  </si>
  <si>
    <t>JGE2020-019</t>
  </si>
  <si>
    <t>ITB 2020-06-007</t>
  </si>
  <si>
    <t>2020-02-0293-MAIN</t>
  </si>
  <si>
    <t>INFRA 2K20-46</t>
  </si>
  <si>
    <t>MZSP-2020-042</t>
  </si>
  <si>
    <t>ITB 2020-056</t>
  </si>
  <si>
    <t>COB-CS-149-20</t>
  </si>
  <si>
    <t>COB-CS-151-20</t>
  </si>
  <si>
    <t>SV-0711-2020</t>
  </si>
  <si>
    <t>IB-2020-VI-30-02-CONSTRUCTION MATERIALS (TORDESILL</t>
  </si>
  <si>
    <t>TF-PB-039</t>
  </si>
  <si>
    <t>1011-20-06-09</t>
  </si>
  <si>
    <t>JGE2020-020</t>
  </si>
  <si>
    <t>GO-20-06-041</t>
  </si>
  <si>
    <t>ITB No. 2020-I-01-01</t>
  </si>
  <si>
    <t>300-20-04-0430</t>
  </si>
  <si>
    <t>IB NO. 2020-041-A</t>
  </si>
  <si>
    <t>Sta. Barbara202002</t>
  </si>
  <si>
    <t>ITB No. 2020-I-P2-01</t>
  </si>
  <si>
    <t>F501-CS-153-20</t>
  </si>
  <si>
    <t>PNPTR-AKG-DP-20-03</t>
  </si>
  <si>
    <t>ITB 2020-06-008</t>
  </si>
  <si>
    <t>2020-02-0192-MAIN</t>
  </si>
  <si>
    <t>CA-20-06-29</t>
  </si>
  <si>
    <t>F501-CS-152-20</t>
  </si>
  <si>
    <t>SV-0719-2020</t>
  </si>
  <si>
    <t>IB-2020-VI-30-04 TRAFFIC SIGN WITH STAND (SITMO)</t>
  </si>
  <si>
    <t>2020-0022</t>
  </si>
  <si>
    <t>2020-31</t>
  </si>
  <si>
    <t>BOD20-084</t>
  </si>
  <si>
    <t>F501-CS-154-20</t>
  </si>
  <si>
    <t>INFRA 2K20-49</t>
  </si>
  <si>
    <t>ITB 2020-06-009</t>
  </si>
  <si>
    <t>20PG0061</t>
  </si>
  <si>
    <t>2020-06-0441 PPD-NHTU</t>
  </si>
  <si>
    <t>IB-2020-VI-30-05 CONSTRUCTION OF BRGY HEALTH STATI</t>
  </si>
  <si>
    <t>2020-308</t>
  </si>
  <si>
    <t>SVP 2020-029</t>
  </si>
  <si>
    <t>SV-0722-2020</t>
  </si>
  <si>
    <t>GOODS-20-27</t>
  </si>
  <si>
    <t>RFQ - PR No. 2020-06-0106 dated 6-9-20</t>
  </si>
  <si>
    <t>ITB 20-071</t>
  </si>
  <si>
    <t>REF #041-06-2020</t>
  </si>
  <si>
    <t>ITB No. 2020-I-P4-01</t>
  </si>
  <si>
    <t>2020-06-058</t>
  </si>
  <si>
    <t>Bid No. 20-0273</t>
  </si>
  <si>
    <t>2020-157</t>
  </si>
  <si>
    <t>BAC-GS-011-2020</t>
  </si>
  <si>
    <t>RFQ - PR No. 2020-06-0111 dated 6-9-20</t>
  </si>
  <si>
    <t>20NA0072</t>
  </si>
  <si>
    <t>PR Nos. 1000031284, 1000031790</t>
  </si>
  <si>
    <t>2020-02-0190-MAIN</t>
  </si>
  <si>
    <t>PNPTR-DL-DP-20-04</t>
  </si>
  <si>
    <t>37</t>
  </si>
  <si>
    <t>ITB No. 2020-I-P3-01</t>
  </si>
  <si>
    <t>LGU-Las Navas:001-06-2020</t>
  </si>
  <si>
    <t>IB-2020-VI-30-07 CONSTRUCTIONNOF BARANGAY HEALTH S</t>
  </si>
  <si>
    <t>INFRA 2K20-50</t>
  </si>
  <si>
    <t>NDA-20-06-064-SM</t>
  </si>
  <si>
    <t>20-06-294</t>
  </si>
  <si>
    <t>ITB 2020-06-010</t>
  </si>
  <si>
    <t>PR# 020-0172</t>
  </si>
  <si>
    <t>20OI0122</t>
  </si>
  <si>
    <t>SV-0713-2020</t>
  </si>
  <si>
    <t>PR NO. 004-06-20</t>
  </si>
  <si>
    <t>2020-309</t>
  </si>
  <si>
    <t>20NA0074</t>
  </si>
  <si>
    <t>IB-2020-VI-30-07-CONSTRUCTION OF BARANGAY HEALTH S</t>
  </si>
  <si>
    <t>20-05-203 &amp; etc.</t>
  </si>
  <si>
    <t>2OCB-GSC-315 PURCHASE OF DESKTOP COMPUTERS (RE-BID</t>
  </si>
  <si>
    <t>2020-06-059</t>
  </si>
  <si>
    <t>IBTGH 2020-005</t>
  </si>
  <si>
    <t>WPU-2020-010</t>
  </si>
  <si>
    <t>20PG0062</t>
  </si>
  <si>
    <t>20OI0121</t>
  </si>
  <si>
    <t>20BA0056</t>
  </si>
  <si>
    <t>20GGM0011</t>
  </si>
  <si>
    <t>202006112</t>
  </si>
  <si>
    <t>ITB-2020-JDL-005 Re-Bid</t>
  </si>
  <si>
    <t>2020-06-0442 PPD-NHTU</t>
  </si>
  <si>
    <t>RFQ 2020-AS-05-017</t>
  </si>
  <si>
    <t>039-2020</t>
  </si>
  <si>
    <t>2020-02-023(05206441)</t>
  </si>
  <si>
    <t>2020-99</t>
  </si>
  <si>
    <t>ITB No. 2020-G-03-02</t>
  </si>
  <si>
    <t>20CB-GSC-316 PURCHASE OF SPARE PARTS FOR MOTOR VEH</t>
  </si>
  <si>
    <t>DARFO2.CVRC.115.REC.2020-06-558.00</t>
  </si>
  <si>
    <t>LGU-Las Navas:002-06-2020</t>
  </si>
  <si>
    <t>2020-GS-021-A</t>
  </si>
  <si>
    <t>202006113</t>
  </si>
  <si>
    <t>100-20-06-323</t>
  </si>
  <si>
    <t>ITB-Goods-2020-06-036</t>
  </si>
  <si>
    <t>19-11-1126 Re-bid</t>
  </si>
  <si>
    <t>BAC 06/10/20-01</t>
  </si>
  <si>
    <t>101-20-05-426</t>
  </si>
  <si>
    <t>PRDP-PSO-Admin-2020-03-016 (AF)</t>
  </si>
  <si>
    <t>202006114</t>
  </si>
  <si>
    <t>m12020-002</t>
  </si>
  <si>
    <t>ITB No.005.June 9,2020.GSO.LGU.Lugait</t>
  </si>
  <si>
    <t>ITB 2020 - 076</t>
  </si>
  <si>
    <t>20-03-0161</t>
  </si>
  <si>
    <t>B15-1</t>
  </si>
  <si>
    <t>2020-04-0360 PPD-RICTMU</t>
  </si>
  <si>
    <t>IB-2020-VI-30-08 CONSTRUCTION BARANGAY HEALTH STAT</t>
  </si>
  <si>
    <t>ITB 2020 - 077</t>
  </si>
  <si>
    <t>LGU-Las Navas:003-06-2020</t>
  </si>
  <si>
    <t>TFB-2020-003Recanvass (BAC EP 2020-001)</t>
  </si>
  <si>
    <t>TFB-2020-004Recanvass (BAC EP 2020-003)</t>
  </si>
  <si>
    <t>IB-2020-VI-30-10 CONSTRUCTION MATERIALS (EGANA &amp; S</t>
  </si>
  <si>
    <t>01062020</t>
  </si>
  <si>
    <t>ITB No.006.June 9,2020.GSO.LGU.Lugait</t>
  </si>
  <si>
    <t>INFRA 2020-03-001</t>
  </si>
  <si>
    <t>cav 010-2020</t>
  </si>
  <si>
    <t>TFB-2020-005 (BAC EP 2020-001)</t>
  </si>
  <si>
    <t>Invitation to Bid 20-33</t>
  </si>
  <si>
    <t>B15-2</t>
  </si>
  <si>
    <t>328-2020</t>
  </si>
  <si>
    <t>BOD20-085</t>
  </si>
  <si>
    <t>202006041</t>
  </si>
  <si>
    <t>m12020-03</t>
  </si>
  <si>
    <t>PR0066-20 DOPHGG</t>
  </si>
  <si>
    <t>PR 1000033000</t>
  </si>
  <si>
    <t>015-ECE20</t>
  </si>
  <si>
    <t>20PA0133</t>
  </si>
  <si>
    <t>IAEB 217-20</t>
  </si>
  <si>
    <t>PR0094-20 PGO</t>
  </si>
  <si>
    <t>BAC 06/10/20-02</t>
  </si>
  <si>
    <t>ITB-KOR: 20-06-0676 CMO</t>
  </si>
  <si>
    <t>CRPIP-2020-05-061</t>
  </si>
  <si>
    <t>016-ECE20</t>
  </si>
  <si>
    <t>04062020</t>
  </si>
  <si>
    <t>Jiab-2020-20A</t>
  </si>
  <si>
    <t>PR0093-20 PGO</t>
  </si>
  <si>
    <t>ITB PR No.: 0770-20BAC</t>
  </si>
  <si>
    <t>202001</t>
  </si>
  <si>
    <t>PR NO. 005-06-20</t>
  </si>
  <si>
    <t>ITB 2020-06</t>
  </si>
  <si>
    <t>NIA-NOIMO-JO-2020-06-0154</t>
  </si>
  <si>
    <t>05062020</t>
  </si>
  <si>
    <t>Calaca 2020-048</t>
  </si>
  <si>
    <t>02062020</t>
  </si>
  <si>
    <t>ITB-KOR: 20-06-0675 CMO</t>
  </si>
  <si>
    <t>P.R. 20-06-151</t>
  </si>
  <si>
    <t>20PA0132</t>
  </si>
  <si>
    <t>ITB-KOR: 20-06-0674 CMO</t>
  </si>
  <si>
    <t>Publication No. 28-2020-G</t>
  </si>
  <si>
    <t>Jiab-2020-21A</t>
  </si>
  <si>
    <t>ITB PR No.: 0853-20BAC</t>
  </si>
  <si>
    <t>ITB PR No.: 0852-20BAC</t>
  </si>
  <si>
    <t>IAEB 218-20</t>
  </si>
  <si>
    <t>06062020</t>
  </si>
  <si>
    <t>Publication No. 29-2020-G</t>
  </si>
  <si>
    <t>sal-2020-003</t>
  </si>
  <si>
    <t>Calaca 2020-049</t>
  </si>
  <si>
    <t>PR0095-20 PGO</t>
  </si>
  <si>
    <t>PR0097-20 PGO</t>
  </si>
  <si>
    <t>ITB PR 0224</t>
  </si>
  <si>
    <t>20GGJ0050</t>
  </si>
  <si>
    <t>2020-70</t>
  </si>
  <si>
    <t>CID No. 19IO0159</t>
  </si>
  <si>
    <t>PB 2020-10</t>
  </si>
  <si>
    <t>20GHF0006</t>
  </si>
  <si>
    <t>ITB-KOR: 20-06-0673 PNP</t>
  </si>
  <si>
    <t>07062020</t>
  </si>
  <si>
    <t>ITB PR No.: 0816-20BAC</t>
  </si>
  <si>
    <t>Calaca 2020-050</t>
  </si>
  <si>
    <t>SERV-20-06-024</t>
  </si>
  <si>
    <t>ITB-KOR: 20-06-0677 CSU</t>
  </si>
  <si>
    <t>2020-71</t>
  </si>
  <si>
    <t>2020-69</t>
  </si>
  <si>
    <t>Publication No. 31-2020-G</t>
  </si>
  <si>
    <t>PR0031-20 IPHO</t>
  </si>
  <si>
    <t>2020-738</t>
  </si>
  <si>
    <t>PR0005-20 PAGRO</t>
  </si>
  <si>
    <t>08062020</t>
  </si>
  <si>
    <t>ITB PR No.: 0854-20BAC</t>
  </si>
  <si>
    <t>Publication No. 32-2020-G</t>
  </si>
  <si>
    <t>PSD-2020-06-0187</t>
  </si>
  <si>
    <t>Publication No. 30-2020-G</t>
  </si>
  <si>
    <t>IB No. 2020-039</t>
  </si>
  <si>
    <t>10062020</t>
  </si>
  <si>
    <t>2020-739</t>
  </si>
  <si>
    <t>Calaca 2020-051</t>
  </si>
  <si>
    <t>ITB-KOR: 20-06-0645 CENRO</t>
  </si>
  <si>
    <t>03062020</t>
  </si>
  <si>
    <t>2020-74</t>
  </si>
  <si>
    <t>IB No. 2020-040</t>
  </si>
  <si>
    <t>Calaca 2019-133</t>
  </si>
  <si>
    <t>2020-740</t>
  </si>
  <si>
    <t>09062020</t>
  </si>
  <si>
    <t>I-2020-012</t>
  </si>
  <si>
    <t>11062020</t>
  </si>
  <si>
    <t>I-2020-011</t>
  </si>
  <si>
    <t>BAC-ZDN-No. 2020-005</t>
  </si>
  <si>
    <t>19CSOD26</t>
  </si>
  <si>
    <t>13062020</t>
  </si>
  <si>
    <t>I-2020-013</t>
  </si>
  <si>
    <t>14062020</t>
  </si>
  <si>
    <t>12062020</t>
  </si>
  <si>
    <t>18062020</t>
  </si>
  <si>
    <t>2020-75</t>
  </si>
  <si>
    <t>2020-76</t>
  </si>
  <si>
    <t>17062020</t>
  </si>
  <si>
    <t>G-2020-204</t>
  </si>
  <si>
    <t>HS-5020399000-069-2020</t>
  </si>
  <si>
    <t>15062020</t>
  </si>
  <si>
    <t>19CSOD28</t>
  </si>
  <si>
    <t>20062020</t>
  </si>
  <si>
    <t>2020-77</t>
  </si>
  <si>
    <t>2020-03-004</t>
  </si>
  <si>
    <t>19062020</t>
  </si>
  <si>
    <t>19CSOD27</t>
  </si>
  <si>
    <t>22062020</t>
  </si>
  <si>
    <t>21062020</t>
  </si>
  <si>
    <t>HS-5020308000-070-2020</t>
  </si>
  <si>
    <t>IB. NO. 2020-206</t>
  </si>
  <si>
    <t>19CSOD29</t>
  </si>
  <si>
    <t>HS-5021299000-020-2020</t>
  </si>
  <si>
    <t>16062020</t>
  </si>
  <si>
    <t>2020-0306</t>
  </si>
  <si>
    <t>245</t>
  </si>
  <si>
    <t>PR20-06-44</t>
  </si>
  <si>
    <t>23062020</t>
  </si>
  <si>
    <t>PB 2020-06-08</t>
  </si>
  <si>
    <t>19CSOD33</t>
  </si>
  <si>
    <t>ITB -2020-017</t>
  </si>
  <si>
    <t>19CSOD31</t>
  </si>
  <si>
    <t>19CSOD32</t>
  </si>
  <si>
    <t>19CSOD30</t>
  </si>
  <si>
    <t>244</t>
  </si>
  <si>
    <t>HS-5021299000-027-2020</t>
  </si>
  <si>
    <t>2006003</t>
  </si>
  <si>
    <t>2006001</t>
  </si>
  <si>
    <t>246</t>
  </si>
  <si>
    <t>PB-Goods-11-2020</t>
  </si>
  <si>
    <t>HS-5021299000-043-2020</t>
  </si>
  <si>
    <t>20GFE0011</t>
  </si>
  <si>
    <t>Goods GF 03-2020</t>
  </si>
  <si>
    <t>PB-INFRA-05-2020</t>
  </si>
  <si>
    <t>BAC-PB-2020-38</t>
  </si>
  <si>
    <t>DepEd-R06-D1-OTHER SUPPLIES-001-2020</t>
  </si>
  <si>
    <t>BCS-2020-0114</t>
  </si>
  <si>
    <t>PB-Goods-12-2020</t>
  </si>
  <si>
    <t>C-2020-01</t>
  </si>
  <si>
    <t>247</t>
  </si>
  <si>
    <t>2020-78</t>
  </si>
  <si>
    <t>BCS-2020-0115</t>
  </si>
  <si>
    <t>K-020-012</t>
  </si>
  <si>
    <t>K-020-011</t>
  </si>
  <si>
    <t>6/10/2020</t>
  </si>
  <si>
    <t>37-2020-02</t>
  </si>
  <si>
    <t>BAC-PB-2020-39</t>
  </si>
  <si>
    <t>19MC0244 (Re-Published)</t>
  </si>
  <si>
    <t>2020-6-001</t>
  </si>
  <si>
    <t>K-020-013</t>
  </si>
  <si>
    <t>K-020-014</t>
  </si>
  <si>
    <t>MG-A5M20-101</t>
  </si>
  <si>
    <t>PB-Goods-13-2020</t>
  </si>
  <si>
    <t>MG-A5M20-056</t>
  </si>
  <si>
    <t>2020-6-002</t>
  </si>
  <si>
    <t>2020-0247</t>
  </si>
  <si>
    <t>K-020-015</t>
  </si>
  <si>
    <t>MKWD2020-047</t>
  </si>
  <si>
    <t>PB-Goods-14-2020</t>
  </si>
  <si>
    <t>PIKCOT-002020-011</t>
  </si>
  <si>
    <t>MG-A5A20-003</t>
  </si>
  <si>
    <t>2020-0248</t>
  </si>
  <si>
    <t>20-03-011</t>
  </si>
  <si>
    <t>05-06-2020</t>
  </si>
  <si>
    <t>2020-6-003</t>
  </si>
  <si>
    <t>K-020-016</t>
  </si>
  <si>
    <t>2020-6-004</t>
  </si>
  <si>
    <t>20HI0071</t>
  </si>
  <si>
    <t>PIKCOT-002020-012</t>
  </si>
  <si>
    <t>PIKCOT-002020-013</t>
  </si>
  <si>
    <t>PBD 20-061A</t>
  </si>
  <si>
    <t>20HI0072</t>
  </si>
  <si>
    <t>ESPERANZA-GDS-2020-06-10</t>
  </si>
  <si>
    <t>2020-144-I</t>
  </si>
  <si>
    <t>N001-2020</t>
  </si>
  <si>
    <t>PR NO. 006-06-20</t>
  </si>
  <si>
    <t>20HI0075</t>
  </si>
  <si>
    <t>20-DO-0083</t>
  </si>
  <si>
    <t>2020-145-I</t>
  </si>
  <si>
    <t>PR NO. 007-06-20</t>
  </si>
  <si>
    <t>BrgyHitoog 2020 - 002</t>
  </si>
  <si>
    <t>20HI0080</t>
  </si>
  <si>
    <t>PR NO. 008-06-20</t>
  </si>
  <si>
    <t>BWWGEBAC #2020-004</t>
  </si>
  <si>
    <t>20-044</t>
  </si>
  <si>
    <t>20-082</t>
  </si>
  <si>
    <t>20-288</t>
  </si>
  <si>
    <t>sdn-2020-06-032</t>
  </si>
  <si>
    <t>BrgyHitoog 2020 - 001</t>
  </si>
  <si>
    <t>PIKCOT-002020-014</t>
  </si>
  <si>
    <t>2020-05-07A</t>
  </si>
  <si>
    <t>PR NO. 009-06-20</t>
  </si>
  <si>
    <t>20-278</t>
  </si>
  <si>
    <t>PIKCOT-002020-015</t>
  </si>
  <si>
    <t>DA3-2020-04-29-81</t>
  </si>
  <si>
    <t>20-237</t>
  </si>
  <si>
    <t>J.O. No. 2020-05-JO61</t>
  </si>
  <si>
    <t>IB_CivilWorks_2020-06-034</t>
  </si>
  <si>
    <t>sdn-2020-06-033</t>
  </si>
  <si>
    <t>2020-6-2</t>
  </si>
  <si>
    <t>20-297</t>
  </si>
  <si>
    <t>BAC-HO GS No. 2020-0227 dated 26 May 2020 (SSD)</t>
  </si>
  <si>
    <t>20-292</t>
  </si>
  <si>
    <t>2020-1a</t>
  </si>
  <si>
    <t>INFRA-PB-2020-011</t>
  </si>
  <si>
    <t>PR 2020-06-002</t>
  </si>
  <si>
    <t>20-409</t>
  </si>
  <si>
    <t>20-432</t>
  </si>
  <si>
    <t>INFRA-PB-2020-010</t>
  </si>
  <si>
    <t>ITB- 2020-06</t>
  </si>
  <si>
    <t>EOI 2020-006</t>
  </si>
  <si>
    <t>INFRA-PB-2020-014</t>
  </si>
  <si>
    <t>2020-227-002</t>
  </si>
  <si>
    <t>042020662</t>
  </si>
  <si>
    <t>519</t>
  </si>
  <si>
    <t>2020-227-003</t>
  </si>
  <si>
    <t>INFRA-PB-2020-013</t>
  </si>
  <si>
    <t>20CSA002</t>
  </si>
  <si>
    <t>INFRA-PB-2020-012</t>
  </si>
  <si>
    <t>2020-03-001</t>
  </si>
  <si>
    <t>2002-06-013</t>
  </si>
  <si>
    <t>REI No. 2020-013</t>
  </si>
  <si>
    <t>IB No. 2020-222</t>
  </si>
  <si>
    <t>IN-BAC-2020-06-058</t>
  </si>
  <si>
    <t>20GSDG0012</t>
  </si>
  <si>
    <t>20GSDG0011</t>
  </si>
  <si>
    <t>IB No. GS-2020 – 070</t>
  </si>
  <si>
    <t>ALA-INFRA-C1</t>
  </si>
  <si>
    <t>2020-06-319</t>
  </si>
  <si>
    <t>20-00042</t>
  </si>
  <si>
    <t>06042020</t>
  </si>
  <si>
    <t>2020-01-051 Re-bid</t>
  </si>
  <si>
    <t>INFRA-2020-006</t>
  </si>
  <si>
    <t>20GSDG0014</t>
  </si>
  <si>
    <t>20GSDG0013</t>
  </si>
  <si>
    <t>20-013</t>
  </si>
  <si>
    <t>IN-BAC-2020-06-057</t>
  </si>
  <si>
    <t>RIZAL-30JUNE2020-3</t>
  </si>
  <si>
    <t>RIZAL-30JUNE2020-2</t>
  </si>
  <si>
    <t>msj-2020-17</t>
  </si>
  <si>
    <t>RIZAL-30JUNE2020-14</t>
  </si>
  <si>
    <t>MGPQ-RML-2020-06-002(2)</t>
  </si>
  <si>
    <t>19GPC0018</t>
  </si>
  <si>
    <t>RIZAL-30JUNE2020-1</t>
  </si>
  <si>
    <t>RIZAL-30JUNE2020-13</t>
  </si>
  <si>
    <t>RIZAL-30JUNE2020-10</t>
  </si>
  <si>
    <t>RIZAL-30JUNE2020-12</t>
  </si>
  <si>
    <t>RIZAL-30JUNE2020-8</t>
  </si>
  <si>
    <t>RIZAL-30JUNE2020-15</t>
  </si>
  <si>
    <t>RIZAL-30JUNE2020-7</t>
  </si>
  <si>
    <t>RIZAL-30JUNE2020-5</t>
  </si>
  <si>
    <t>RIZAL-30JUNE2020-16</t>
  </si>
  <si>
    <t>ISC-20-0546-B</t>
  </si>
  <si>
    <t>RIZAL-30JUNE2020-6</t>
  </si>
  <si>
    <t>RIZAL-30JUNE2020-24</t>
  </si>
  <si>
    <t>RIZAL-30JUNE2020-11</t>
  </si>
  <si>
    <t>RIZAL-30JUNE2020-4</t>
  </si>
  <si>
    <t>RIZAL-30JUNE2020-17</t>
  </si>
  <si>
    <t>RIZAL-30JUNE2020-23</t>
  </si>
  <si>
    <t>RIZAL-30JUNE2020-22</t>
  </si>
  <si>
    <t>RIZAL-30JUNE2020-9</t>
  </si>
  <si>
    <t>RIZAL-30JUNE2020-25</t>
  </si>
  <si>
    <t>RIZAL-30JUNE2020-20</t>
  </si>
  <si>
    <t>RIZAL-30JUNE2020-19</t>
  </si>
  <si>
    <t>RIZAL-30JUNE2020-18</t>
  </si>
  <si>
    <t>2020-13-001</t>
  </si>
  <si>
    <t>RIZAL-30JUNE2020-21</t>
  </si>
  <si>
    <t>PB-INT-2006-037</t>
  </si>
  <si>
    <t>20-03-00177</t>
  </si>
  <si>
    <t>200028</t>
  </si>
  <si>
    <t>20-02-00139</t>
  </si>
  <si>
    <t>512-2020</t>
  </si>
  <si>
    <t>PB-INT-2006-038</t>
  </si>
  <si>
    <t>PPDO-2020-1023</t>
  </si>
  <si>
    <t>COO-20-0650-B</t>
  </si>
  <si>
    <t>517-2020</t>
  </si>
  <si>
    <t>MIWD</t>
  </si>
  <si>
    <t>20-03-00221</t>
  </si>
  <si>
    <t>20ITB-G-02-00033</t>
  </si>
  <si>
    <t>SB-2020-006</t>
  </si>
  <si>
    <t>PL2020-06-001</t>
  </si>
  <si>
    <t>20GLF0022</t>
  </si>
  <si>
    <t>2020-002g</t>
  </si>
  <si>
    <t>SB-2020-009</t>
  </si>
  <si>
    <t>PARIAN-ITB-01-20</t>
  </si>
  <si>
    <t>20GLF0025</t>
  </si>
  <si>
    <t>235-2020</t>
  </si>
  <si>
    <t>PR NO. 100-8751-20-05-0561</t>
  </si>
  <si>
    <t>2020-06-260</t>
  </si>
  <si>
    <t>20CB-GSC-303-REPAIR OF MOTOR VEHICLE  (RE-BID)</t>
  </si>
  <si>
    <t>2020LGUMROFDL031</t>
  </si>
  <si>
    <t>2020-06-310</t>
  </si>
  <si>
    <t>20CB-GSC-302-PURCHASE OF COMMUNICATION EQUIPMENT (</t>
  </si>
  <si>
    <t>2020-05-278</t>
  </si>
  <si>
    <t>PB2020-06-001</t>
  </si>
  <si>
    <t>20GGM0010</t>
  </si>
  <si>
    <t>236-2020</t>
  </si>
  <si>
    <t>2020-06-311</t>
  </si>
  <si>
    <t>33-2020</t>
  </si>
  <si>
    <t>238-2020</t>
  </si>
  <si>
    <t>34-2020</t>
  </si>
  <si>
    <t>INFRA 2020-009</t>
  </si>
  <si>
    <t>SB-2020-012</t>
  </si>
  <si>
    <t>247-2020</t>
  </si>
  <si>
    <t>240-2020</t>
  </si>
  <si>
    <t>239-2020</t>
  </si>
  <si>
    <t>244-2020</t>
  </si>
  <si>
    <t>245-2020</t>
  </si>
  <si>
    <t>35-2020</t>
  </si>
  <si>
    <t>243-2020</t>
  </si>
  <si>
    <t>246-2020</t>
  </si>
  <si>
    <t>241-2020</t>
  </si>
  <si>
    <t>237-2020</t>
  </si>
  <si>
    <t>248-2020</t>
  </si>
  <si>
    <t>242-2020</t>
  </si>
  <si>
    <t>umcbac20-14</t>
  </si>
  <si>
    <t>PB-PAFBAC-151-20</t>
  </si>
  <si>
    <t>I-062020-00834</t>
  </si>
  <si>
    <t>I-062020-00833</t>
  </si>
  <si>
    <t>G-2020-278</t>
  </si>
  <si>
    <t>I-062020-00835</t>
  </si>
  <si>
    <t>I-062020-00836</t>
  </si>
  <si>
    <t>I-062020-00840</t>
  </si>
  <si>
    <t>G-2020-209</t>
  </si>
  <si>
    <t>G-2020-277</t>
  </si>
  <si>
    <t>G-2020-279</t>
  </si>
  <si>
    <t>G-2020-284</t>
  </si>
  <si>
    <t>I-062020-00837</t>
  </si>
  <si>
    <t>I-062020-00839</t>
  </si>
  <si>
    <t>G-2020-200</t>
  </si>
  <si>
    <t>2020023</t>
  </si>
  <si>
    <t>I-062020-00838</t>
  </si>
  <si>
    <t>PB 06-04-2020</t>
  </si>
  <si>
    <t>G-2020-324</t>
  </si>
  <si>
    <t>I-2020-010</t>
  </si>
  <si>
    <t>2020 Caib 086</t>
  </si>
  <si>
    <t>I-2020-008</t>
  </si>
  <si>
    <t>2020-06-0604 TDG</t>
  </si>
  <si>
    <t>06082020</t>
  </si>
  <si>
    <t>GSO-20-0498-NP(SV)</t>
  </si>
  <si>
    <t>2020-Cabalanggan-03</t>
  </si>
  <si>
    <t>GOOD-2020-001</t>
  </si>
  <si>
    <t>2020-Cabalanggan-02</t>
  </si>
  <si>
    <t>2020-Cabalanggan-01</t>
  </si>
  <si>
    <t>20HI0093</t>
  </si>
  <si>
    <t>BLGU-PBD-Salvacion-2020-22</t>
  </si>
  <si>
    <t>2020-06-0602 TDG</t>
  </si>
  <si>
    <t>20HI0073 (re-ad)</t>
  </si>
  <si>
    <t>20HI0092</t>
  </si>
  <si>
    <t>MG-A7M20-053</t>
  </si>
  <si>
    <t>20-003</t>
  </si>
  <si>
    <t>GOOD-2020-003</t>
  </si>
  <si>
    <t>RFQ No. 2020-SVP-15</t>
  </si>
  <si>
    <t>0855</t>
  </si>
  <si>
    <t>INFRA-2020-044</t>
  </si>
  <si>
    <t>249-20</t>
  </si>
  <si>
    <t>FRT-19-1689-B(REBID)</t>
  </si>
  <si>
    <t>GSO-20-0576-NP(SV)</t>
  </si>
  <si>
    <t>MG-A7T20-051</t>
  </si>
  <si>
    <t>06-59-2020</t>
  </si>
  <si>
    <t>GOOD-2020-002</t>
  </si>
  <si>
    <t>DDH-19-2097-B</t>
  </si>
  <si>
    <t>LF 2020-023</t>
  </si>
  <si>
    <t>2020-06-0600 TDG</t>
  </si>
  <si>
    <t>001-infra-2020</t>
  </si>
  <si>
    <t>MG-A7C20-025</t>
  </si>
  <si>
    <t>QSU-BAC-F-02-2020 DA-ACEF</t>
  </si>
  <si>
    <t>12-01-2020-06-532</t>
  </si>
  <si>
    <t>JCH-20-0225-B</t>
  </si>
  <si>
    <t>251-20</t>
  </si>
  <si>
    <t>20PL0112</t>
  </si>
  <si>
    <t>20PL0113</t>
  </si>
  <si>
    <t>20LC0155</t>
  </si>
  <si>
    <t>06092020</t>
  </si>
  <si>
    <t>20LC0154</t>
  </si>
  <si>
    <t>252-20</t>
  </si>
  <si>
    <t>infra-2020-04</t>
  </si>
  <si>
    <t>QSU-BAC-F-12-2020 05D Grad Fee</t>
  </si>
  <si>
    <t>250-20</t>
  </si>
  <si>
    <t>CB(B)-20-012 (GTLMH)</t>
  </si>
  <si>
    <t>12-01-2020-06-533</t>
  </si>
  <si>
    <t>253-20</t>
  </si>
  <si>
    <t>100-1917-20-288</t>
  </si>
  <si>
    <t>GS-PNBAC2-2020-24</t>
  </si>
  <si>
    <t>LF 2020-024</t>
  </si>
  <si>
    <t>20PL0114</t>
  </si>
  <si>
    <t>254-20</t>
  </si>
  <si>
    <t>06-01-2020-06-540</t>
  </si>
  <si>
    <t>BLGU-PBD-Behia-2020-23</t>
  </si>
  <si>
    <t>20IB0142</t>
  </si>
  <si>
    <t>258-20</t>
  </si>
  <si>
    <t>256-20</t>
  </si>
  <si>
    <t>6059</t>
  </si>
  <si>
    <t>LF 2020-026</t>
  </si>
  <si>
    <t>PEO-20-0665 B</t>
  </si>
  <si>
    <t>255-20</t>
  </si>
  <si>
    <t>10-01-2020-06-541</t>
  </si>
  <si>
    <t>LF 2020-025</t>
  </si>
  <si>
    <t>bacgal-49-2020</t>
  </si>
  <si>
    <t>IPIL-2020-001</t>
  </si>
  <si>
    <t>257-20</t>
  </si>
  <si>
    <t>260-20</t>
  </si>
  <si>
    <t>GEPS-14-2020</t>
  </si>
  <si>
    <t>12-2020_INFR</t>
  </si>
  <si>
    <t>G-HMO-039-20</t>
  </si>
  <si>
    <t>259-20</t>
  </si>
  <si>
    <t>2020-04-0046</t>
  </si>
  <si>
    <t>263-20</t>
  </si>
  <si>
    <t>06-01-2020-06-545</t>
  </si>
  <si>
    <t>262-20</t>
  </si>
  <si>
    <t>6060</t>
  </si>
  <si>
    <t>bacgal-50-2020</t>
  </si>
  <si>
    <t>264-20</t>
  </si>
  <si>
    <t>058-20</t>
  </si>
  <si>
    <t>261-20</t>
  </si>
  <si>
    <t>266-20</t>
  </si>
  <si>
    <t>GS-PNBAC2-2020-26</t>
  </si>
  <si>
    <t>265-20</t>
  </si>
  <si>
    <t>PR NO. 202006027</t>
  </si>
  <si>
    <t>267-20</t>
  </si>
  <si>
    <t>0007-0031-0915-2020</t>
  </si>
  <si>
    <t>268-20</t>
  </si>
  <si>
    <t>269-20</t>
  </si>
  <si>
    <t>BAGO-BAC-2020-0109</t>
  </si>
  <si>
    <t>BAGO-BAC-2020-0107</t>
  </si>
  <si>
    <t>6-20-21</t>
  </si>
  <si>
    <t>300-20-02-0073</t>
  </si>
  <si>
    <t>ITDI-200335</t>
  </si>
  <si>
    <t>270-20</t>
  </si>
  <si>
    <t>ITDI-200316</t>
  </si>
  <si>
    <t>GOOD-2020-004</t>
  </si>
  <si>
    <t>ITB No. 2020-29</t>
  </si>
  <si>
    <t>GS-PNBAC2-2020-28</t>
  </si>
  <si>
    <t>ITDI-200352</t>
  </si>
  <si>
    <t>BAGO-BAC-2020-0114</t>
  </si>
  <si>
    <t>PR No. 20-0936</t>
  </si>
  <si>
    <t>2020-03-003</t>
  </si>
  <si>
    <t>PCADG-06-09-2020</t>
  </si>
  <si>
    <t>059-20</t>
  </si>
  <si>
    <t>lgu-es-20-06-116</t>
  </si>
  <si>
    <t>ITDI-200353</t>
  </si>
  <si>
    <t>BAGO-BAC-2020-0113</t>
  </si>
  <si>
    <t>271-20</t>
  </si>
  <si>
    <t>272-20</t>
  </si>
  <si>
    <t>PR No. 20-0699</t>
  </si>
  <si>
    <t>060-20</t>
  </si>
  <si>
    <t>ITDI-200365</t>
  </si>
  <si>
    <t>20-031</t>
  </si>
  <si>
    <t>ITDI-200351</t>
  </si>
  <si>
    <t>ITDI-200350</t>
  </si>
  <si>
    <t>BAGO-BAC-2020-0115</t>
  </si>
  <si>
    <t>bacgal-51-2020</t>
  </si>
  <si>
    <t>lgu-es-20-06-117</t>
  </si>
  <si>
    <t>ITDI-200354</t>
  </si>
  <si>
    <t>ITDI-200318</t>
  </si>
  <si>
    <t>ITDI-200347</t>
  </si>
  <si>
    <t>2020-006-001</t>
  </si>
  <si>
    <t>BUE-06092020-01</t>
  </si>
  <si>
    <t>20CSM00101</t>
  </si>
  <si>
    <t>BFP R3 BAC IB No. 2020-004 (INFRA)</t>
  </si>
  <si>
    <t>TINOC-2020-04-GOODS</t>
  </si>
  <si>
    <t>HILONGOS 2020-180</t>
  </si>
  <si>
    <t>PR No. 20-0935</t>
  </si>
  <si>
    <t>BAGO-BAC-2020-0121</t>
  </si>
  <si>
    <t>036-2020</t>
  </si>
  <si>
    <t>ITDI-200345</t>
  </si>
  <si>
    <t>20PK0070</t>
  </si>
  <si>
    <t>062-20</t>
  </si>
  <si>
    <t>ITDI-200344</t>
  </si>
  <si>
    <t>BAGO-BAC-2020-0122</t>
  </si>
  <si>
    <t>PR NO. 100-8751-20-05-0564</t>
  </si>
  <si>
    <t>Procurement of One (1) unit Service Vehicle  Pick-</t>
  </si>
  <si>
    <t>037-2020</t>
  </si>
  <si>
    <t>101-2020-05-0187</t>
  </si>
  <si>
    <t>BTG3-2020-0207</t>
  </si>
  <si>
    <t>good-2020-014</t>
  </si>
  <si>
    <t>BAGO-BAC-2020-0124</t>
  </si>
  <si>
    <t>ITB No. 2020-11-EFS</t>
  </si>
  <si>
    <t>BAGO-BAC-2020-0123</t>
  </si>
  <si>
    <t>ITDI-200341</t>
  </si>
  <si>
    <t>PR-2020-06-026</t>
  </si>
  <si>
    <t>BAGO-BAC-2020-0125</t>
  </si>
  <si>
    <t>TINOC-2020-05-GOODS</t>
  </si>
  <si>
    <t>BAGO-BAC-2020-0127</t>
  </si>
  <si>
    <t>BFP R3 BAC IB No. 2020-002 (INFRA)</t>
  </si>
  <si>
    <t>PR #036</t>
  </si>
  <si>
    <t>101-2020-05-0190</t>
  </si>
  <si>
    <t>203-20</t>
  </si>
  <si>
    <t>05-066P-W</t>
  </si>
  <si>
    <t>101-2020-05-0189</t>
  </si>
  <si>
    <t>20GII0009</t>
  </si>
  <si>
    <t>2006-0599</t>
  </si>
  <si>
    <t>101-20-06-267</t>
  </si>
  <si>
    <t>BFP R3 BAC IB No. 2020-003 (INFRA)</t>
  </si>
  <si>
    <t>101-2020-05-0188</t>
  </si>
  <si>
    <t>2006-0603</t>
  </si>
  <si>
    <t>BAGO-BAC-2020-0126</t>
  </si>
  <si>
    <t>BAGO-BAC-2020-0130</t>
  </si>
  <si>
    <t>20CB-GSC-304-PURCHASE OF FUEL &amp; LUBRICANTS (RE-BID</t>
  </si>
  <si>
    <t>INFRA-2020-05-31</t>
  </si>
  <si>
    <t>PR-2020-06-025</t>
  </si>
  <si>
    <t>DA7-2020-06-R&amp;DR-20-1216(R1)</t>
  </si>
  <si>
    <t>BAGO-BAC-2020-0131</t>
  </si>
  <si>
    <t>101-2020-05-0192</t>
  </si>
  <si>
    <t>GOODS 2020-011</t>
  </si>
  <si>
    <t>BAGO-BAC-2020-0129</t>
  </si>
  <si>
    <t>BAGO-BAC-2020-0128</t>
  </si>
  <si>
    <t>2020-06-0334</t>
  </si>
  <si>
    <t>INFRA-2020-05-30</t>
  </si>
  <si>
    <t>18-20</t>
  </si>
  <si>
    <t>BAGO-BAC-2020-0132</t>
  </si>
  <si>
    <t>PR No. 1000031980</t>
  </si>
  <si>
    <t>101-2020-05-0193</t>
  </si>
  <si>
    <t>MG-A7M20-074</t>
  </si>
  <si>
    <t>INFRA-2020-05-33</t>
  </si>
  <si>
    <t>2006-0601</t>
  </si>
  <si>
    <t>ITDI-200339</t>
  </si>
  <si>
    <t>BAGO-BAC-2020-0136</t>
  </si>
  <si>
    <t>177-20</t>
  </si>
  <si>
    <t>2020-03-203</t>
  </si>
  <si>
    <t>2020-ANT-GOODS-0105</t>
  </si>
  <si>
    <t>2006-0600</t>
  </si>
  <si>
    <t>BAGO-BAC-2020-0135</t>
  </si>
  <si>
    <t>ITDI-200338</t>
  </si>
  <si>
    <t>INFRA-2020-05-32</t>
  </si>
  <si>
    <t>101-2020-05-0191</t>
  </si>
  <si>
    <t>BAGO-BAC-2020-0134</t>
  </si>
  <si>
    <t>BAGO-BAC-2020-0133</t>
  </si>
  <si>
    <t>2020-04-246</t>
  </si>
  <si>
    <t>2020-06-0333</t>
  </si>
  <si>
    <t>ITDI-200340</t>
  </si>
  <si>
    <t>LGU Nasipit-2020-045</t>
  </si>
  <si>
    <t>05-066P-B</t>
  </si>
  <si>
    <t>bacgal-52-2020</t>
  </si>
  <si>
    <t>F-008-0373-20</t>
  </si>
  <si>
    <t>ITB-09-001-2020</t>
  </si>
  <si>
    <t>D-032-0284-20</t>
  </si>
  <si>
    <t>DA7-2020-06-AMAD-20-1302(R1)</t>
  </si>
  <si>
    <t>2020-POBLACION-001</t>
  </si>
  <si>
    <t>ITDI-200326</t>
  </si>
  <si>
    <t>2020-06-001 GD</t>
  </si>
  <si>
    <t>ITDI-200337</t>
  </si>
  <si>
    <t>INFRA-2020-05-34</t>
  </si>
  <si>
    <t>ITDI-200336</t>
  </si>
  <si>
    <t>2020-06-09 SH</t>
  </si>
  <si>
    <t>PB-INF-001-2020</t>
  </si>
  <si>
    <t>2020-54</t>
  </si>
  <si>
    <t>G-062020-00841</t>
  </si>
  <si>
    <t>2020-POBLACION-002</t>
  </si>
  <si>
    <t>PR-2020-06-02</t>
  </si>
  <si>
    <t>PR-2020-06-01-SH</t>
  </si>
  <si>
    <t>PR No. 1000031884</t>
  </si>
  <si>
    <t>MAILHI200601</t>
  </si>
  <si>
    <t>ITDI-200206</t>
  </si>
  <si>
    <t>2020-06-0335</t>
  </si>
  <si>
    <t>ITDI-200325</t>
  </si>
  <si>
    <t>2020-POBLACION-003</t>
  </si>
  <si>
    <t>ITDI-200314</t>
  </si>
  <si>
    <t>PR-2020-06-03-SH</t>
  </si>
  <si>
    <t>2020-POBLACION-004</t>
  </si>
  <si>
    <t>ITDI-200297</t>
  </si>
  <si>
    <t>ITB No. 20-23</t>
  </si>
  <si>
    <t>2020-06-02 SH</t>
  </si>
  <si>
    <t>ITDI-200296</t>
  </si>
  <si>
    <t>kolwd 2020-06-198</t>
  </si>
  <si>
    <t>BDM-BAC-2020-006</t>
  </si>
  <si>
    <t>N20-LDF-095</t>
  </si>
  <si>
    <t>ITDI-200294</t>
  </si>
  <si>
    <t>20PE0086</t>
  </si>
  <si>
    <t>20PC0052</t>
  </si>
  <si>
    <t>PB-INF-003-2020</t>
  </si>
  <si>
    <t>2020-POBLACION-005</t>
  </si>
  <si>
    <t>20PE0085</t>
  </si>
  <si>
    <t>PB-INF-002-2020</t>
  </si>
  <si>
    <t>20GAB0003</t>
  </si>
  <si>
    <t>20PE0087</t>
  </si>
  <si>
    <t>GOODS 2020-019</t>
  </si>
  <si>
    <t>20PE0089</t>
  </si>
  <si>
    <t>LGU-100-2020-06-I-008</t>
  </si>
  <si>
    <t>20PE0088</t>
  </si>
  <si>
    <t>IB NO. 2020-220</t>
  </si>
  <si>
    <t>20CB-GSC-308	PURCHASE OF NOTEBOOK AND DESKTOP COMP</t>
  </si>
  <si>
    <t>0020-0125.0755A2020</t>
  </si>
  <si>
    <t>20NF0078</t>
  </si>
  <si>
    <t>20CB-GSC-310	PURCHASE OF DIESEL AND GASOLINE FOR C</t>
  </si>
  <si>
    <t>LGU-100-2020-06-I-007</t>
  </si>
  <si>
    <t>2020-06-43</t>
  </si>
  <si>
    <t>20PC0059</t>
  </si>
  <si>
    <t>20-06-023</t>
  </si>
  <si>
    <t>20NF0077</t>
  </si>
  <si>
    <t>0020-0137-0811-2020</t>
  </si>
  <si>
    <t>20-06-074</t>
  </si>
  <si>
    <t>2020-0644</t>
  </si>
  <si>
    <t>02-2020 pongol</t>
  </si>
  <si>
    <t>20CB-GSC-311 PURCHASE OF DRUGS AND MEDICINES FOR B</t>
  </si>
  <si>
    <t>20-05-097</t>
  </si>
  <si>
    <t>01-595-2020</t>
  </si>
  <si>
    <t>LGU-100-2020-06-G-416</t>
  </si>
  <si>
    <t>2020-06-45</t>
  </si>
  <si>
    <t>ITB No. 074=NP-2020</t>
  </si>
  <si>
    <t>Aklan BAC ITB 335 Series of 2020</t>
  </si>
  <si>
    <t>0700-2020-06-018</t>
  </si>
  <si>
    <t>2020-152</t>
  </si>
  <si>
    <t>03-2020 pongol</t>
  </si>
  <si>
    <t>2020-06-0315 et al.</t>
  </si>
  <si>
    <t>Lot 1 (Lucio Vivero CS)-Bid Docs_2020 QRF-Repair -</t>
  </si>
  <si>
    <t>Bid No. 20-0254</t>
  </si>
  <si>
    <t>0020-0137-0811A2020</t>
  </si>
  <si>
    <t>01-2020 pongol</t>
  </si>
  <si>
    <t>BOD20-078</t>
  </si>
  <si>
    <t>2020-06-47</t>
  </si>
  <si>
    <t>2020-06-49</t>
  </si>
  <si>
    <t>2020-06-48</t>
  </si>
  <si>
    <t>Aklan BAC ITB 333 Series of 2020</t>
  </si>
  <si>
    <t>2020-0609-1</t>
  </si>
  <si>
    <t>2020-0609-2</t>
  </si>
  <si>
    <t>0020-0135-0806B2020</t>
  </si>
  <si>
    <t>02-2020 capihan</t>
  </si>
  <si>
    <t>2020-08 (20DI0115)</t>
  </si>
  <si>
    <t>C4ISR-PNBAC1-2020-24</t>
  </si>
  <si>
    <t>2020-06-50</t>
  </si>
  <si>
    <t>PG-RFQ-2020-11</t>
  </si>
  <si>
    <t>IB No. 2020-210</t>
  </si>
  <si>
    <t>2020-019(Re-Bid)</t>
  </si>
  <si>
    <t>2020-0609-4</t>
  </si>
  <si>
    <t>2020-06-51</t>
  </si>
  <si>
    <t>lam-bac-206-020</t>
  </si>
  <si>
    <t>2020-0609-3</t>
  </si>
  <si>
    <t>038-2020</t>
  </si>
  <si>
    <t>0020-0137-0811B2020</t>
  </si>
  <si>
    <t>Bid No. 20-0255</t>
  </si>
  <si>
    <t>20NC0121</t>
  </si>
  <si>
    <t>20053297</t>
  </si>
  <si>
    <t>GSS-001-2020</t>
  </si>
  <si>
    <t>C4ISR-PNBAC1-2020-25</t>
  </si>
  <si>
    <t>20053369</t>
  </si>
  <si>
    <t>PB-0320-10</t>
  </si>
  <si>
    <t>01-838-2020</t>
  </si>
  <si>
    <t>0020-0136-0810A2020</t>
  </si>
  <si>
    <t>RFQ 0620-011</t>
  </si>
  <si>
    <t>RFQ 0620-008</t>
  </si>
  <si>
    <t>2020-08 (20DI0117)</t>
  </si>
  <si>
    <t>2020-06-53</t>
  </si>
  <si>
    <t>2020-03-0187 &amp; 2020-03-0168</t>
  </si>
  <si>
    <t>BAC-GS-2020-06-003</t>
  </si>
  <si>
    <t>Aklan BAC ITB 336 Series of 336</t>
  </si>
  <si>
    <t>2020-0609</t>
  </si>
  <si>
    <t>2020-08 (20DI0116)</t>
  </si>
  <si>
    <t>2020-06-55</t>
  </si>
  <si>
    <t>20JG0051 - rebid</t>
  </si>
  <si>
    <t>20-0673</t>
  </si>
  <si>
    <t>2020-06-56</t>
  </si>
  <si>
    <t>SAR-GOODS-06-039-2020</t>
  </si>
  <si>
    <t>RFQ 0620-007</t>
  </si>
  <si>
    <t>SAR-GOODS-06-038-2020</t>
  </si>
  <si>
    <t>2020-06-57</t>
  </si>
  <si>
    <t>2020-08 (20DI0118)</t>
  </si>
  <si>
    <t>RFQ 0620-006</t>
  </si>
  <si>
    <t>06-10-2020-01</t>
  </si>
  <si>
    <t>05-215P-A</t>
  </si>
  <si>
    <t>2020-06-58</t>
  </si>
  <si>
    <t>361-2020 Bidding</t>
  </si>
  <si>
    <t>06-10-2020-04</t>
  </si>
  <si>
    <t>06-10-2020-03</t>
  </si>
  <si>
    <t>BOD20-079</t>
  </si>
  <si>
    <t>06-10-2020-02</t>
  </si>
  <si>
    <t>infra-2020-001</t>
  </si>
  <si>
    <t>2020-08 (20DI0119)</t>
  </si>
  <si>
    <t>PB-0320-16</t>
  </si>
  <si>
    <t>BXU-2020-17</t>
  </si>
  <si>
    <t>20H00061</t>
  </si>
  <si>
    <t>06-10-2020-07</t>
  </si>
  <si>
    <t>06-10-2020-06</t>
  </si>
  <si>
    <t>geps-2020-005</t>
  </si>
  <si>
    <t>CEISS-RMMV-1008-20</t>
  </si>
  <si>
    <t>6-30-20</t>
  </si>
  <si>
    <t>PR# 20-05-940</t>
  </si>
  <si>
    <t>PR# 20-05-804</t>
  </si>
  <si>
    <t>20-0661</t>
  </si>
  <si>
    <t>RFQ-6-9-2020B</t>
  </si>
  <si>
    <t>2020-0611</t>
  </si>
  <si>
    <t>06-10-2020-05</t>
  </si>
  <si>
    <t>geps-2020-006</t>
  </si>
  <si>
    <t>2020-08 (20DI0120)</t>
  </si>
  <si>
    <t>OJ7-TELM-1085-20</t>
  </si>
  <si>
    <t>BAC-PG-001-20</t>
  </si>
  <si>
    <t>CawExt2020-001</t>
  </si>
  <si>
    <t>infra-2020-002</t>
  </si>
  <si>
    <t>MH-GOODS-CULIPAPA-CR-PHASE3-2020-001</t>
  </si>
  <si>
    <t>INFRA-2020-06-042</t>
  </si>
  <si>
    <t>geps-2020-007</t>
  </si>
  <si>
    <t>06-10-2020-09</t>
  </si>
  <si>
    <t>06-10-2020-08</t>
  </si>
  <si>
    <t>20200609-15</t>
  </si>
  <si>
    <t>06-10-2020-10</t>
  </si>
  <si>
    <t>2005337</t>
  </si>
  <si>
    <t>geps-2020-008</t>
  </si>
  <si>
    <t>20CSAH01</t>
  </si>
  <si>
    <t>2020-300-06-018</t>
  </si>
  <si>
    <t>SB-2020-020</t>
  </si>
  <si>
    <t>geps-2020-009</t>
  </si>
  <si>
    <t>infra-2020-003</t>
  </si>
  <si>
    <t>DA RFO-1-2019-INFRA-061-R</t>
  </si>
  <si>
    <t>2020-08 (20DI0121)</t>
  </si>
  <si>
    <t>2020-03-0221</t>
  </si>
  <si>
    <t>2020-08 (20DI0122)</t>
  </si>
  <si>
    <t>VMC-2020-064</t>
  </si>
  <si>
    <t>SB-2020-021</t>
  </si>
  <si>
    <t>20CSA001</t>
  </si>
  <si>
    <t>525-2020</t>
  </si>
  <si>
    <t>QES-06-009-20</t>
  </si>
  <si>
    <t>DA RFO-1-2019-INFRA-058-R</t>
  </si>
  <si>
    <t>Bid No. 20-0262</t>
  </si>
  <si>
    <t>ITNTGH No. 2020-001</t>
  </si>
  <si>
    <t>ITDI-200367</t>
  </si>
  <si>
    <t>25020-06-02</t>
  </si>
  <si>
    <t>20GKG0023</t>
  </si>
  <si>
    <t>DA RFO-1-2019-INFRA-060-R</t>
  </si>
  <si>
    <t>infra-2020-004</t>
  </si>
  <si>
    <t>DV -2020-G14</t>
  </si>
  <si>
    <t>geps-2020-010</t>
  </si>
  <si>
    <t>DA RFO-1-2019-INFRA-062-R</t>
  </si>
  <si>
    <t>ITDI-200295</t>
  </si>
  <si>
    <t>ITB2020-06-02</t>
  </si>
  <si>
    <t>ITB 2020-053</t>
  </si>
  <si>
    <t>20GKG0024</t>
  </si>
  <si>
    <t>C-011-20</t>
  </si>
  <si>
    <t>ITDI-200343</t>
  </si>
  <si>
    <t>mabpang-0609-2020-02</t>
  </si>
  <si>
    <t>C-017-20</t>
  </si>
  <si>
    <t>SVP 2020-027</t>
  </si>
  <si>
    <t>2020-08 (20DI0123)</t>
  </si>
  <si>
    <t>E-018-0318-20</t>
  </si>
  <si>
    <t>GEPS 01 2020</t>
  </si>
  <si>
    <t>DA RFO-1-2019-INFRA-066-R</t>
  </si>
  <si>
    <t>Lot 2 (Tagpuro ES)-Bid Docs_2020 QRF-Repair - Tacl</t>
  </si>
  <si>
    <t>ITDI-200293</t>
  </si>
  <si>
    <t>0020-0135-0806A2020</t>
  </si>
  <si>
    <t>100(01)20-06-324(O)</t>
  </si>
  <si>
    <t>100(01)20-06-325(O)</t>
  </si>
  <si>
    <t>BOD20-080</t>
  </si>
  <si>
    <t>BXU-2020-18</t>
  </si>
  <si>
    <t>ITB No. GOODS-20-108</t>
  </si>
  <si>
    <t>ITDI-200368</t>
  </si>
  <si>
    <t>2020-03-0007</t>
  </si>
  <si>
    <t>ITB 2020-052</t>
  </si>
  <si>
    <t>2020-08 (20DI0124)</t>
  </si>
  <si>
    <t>QES-06-010-20</t>
  </si>
  <si>
    <t>0020-0136-0810-2020</t>
  </si>
  <si>
    <t>Lot 3 (Cabalawan ES)-Bid Docs_2020 QRF-Repair - Ta</t>
  </si>
  <si>
    <t>ITB 006-038-2020</t>
  </si>
  <si>
    <t>20GKG0025</t>
  </si>
  <si>
    <t>ITB-GS-20200313-01</t>
  </si>
  <si>
    <t>2020-08 (20DI0125)</t>
  </si>
  <si>
    <t>ITB 2020-054</t>
  </si>
  <si>
    <t>2020-0609-5</t>
  </si>
  <si>
    <t>BXU-2020-19</t>
  </si>
  <si>
    <t>2020-0140</t>
  </si>
  <si>
    <t>SVP 2020-028</t>
  </si>
  <si>
    <t>IB No. 2020-219</t>
  </si>
  <si>
    <t>2020-08 (20DI0127)</t>
  </si>
  <si>
    <t>INFRA-20-05</t>
  </si>
  <si>
    <t>geps-2020-011</t>
  </si>
  <si>
    <t>2020-08 (20DI0126)</t>
  </si>
  <si>
    <t>20PL0115</t>
  </si>
  <si>
    <t>2020-0609-6</t>
  </si>
  <si>
    <t>RFQ 0620-012</t>
  </si>
  <si>
    <t>20GKG0026</t>
  </si>
  <si>
    <t>06092003</t>
  </si>
  <si>
    <t>0020-0135-0806-2020</t>
  </si>
  <si>
    <t>2020 GDS JUN - 02</t>
  </si>
  <si>
    <t>RFQ 0620-013</t>
  </si>
  <si>
    <t>geps-2020-012</t>
  </si>
  <si>
    <t>2020-0609-7</t>
  </si>
  <si>
    <t>geps-2020-013</t>
  </si>
  <si>
    <t>2020-0141</t>
  </si>
  <si>
    <t>RFQ 0620-014</t>
  </si>
  <si>
    <t>101-2020-05-0194</t>
  </si>
  <si>
    <t>Lot 4 (Sta. Elena ES)-Bid Docs_2020 QRF-Repair - T</t>
  </si>
  <si>
    <t>065-20</t>
  </si>
  <si>
    <t>20PA0129</t>
  </si>
  <si>
    <t>BrgyPresGarcia 2020 - 003</t>
  </si>
  <si>
    <t>geps-2020-014</t>
  </si>
  <si>
    <t>QN-200608-16/ MS-20-0673</t>
  </si>
  <si>
    <t>ITB-020-2020</t>
  </si>
  <si>
    <t>20NE0089</t>
  </si>
  <si>
    <t>101-2020-05-0218</t>
  </si>
  <si>
    <t>geps-2020-015</t>
  </si>
  <si>
    <t>063-20</t>
  </si>
  <si>
    <t>B-005-2020</t>
  </si>
  <si>
    <t>064-20</t>
  </si>
  <si>
    <t>RFQ 0620-015</t>
  </si>
  <si>
    <t>BOD20-081</t>
  </si>
  <si>
    <t>GOOD20200201</t>
  </si>
  <si>
    <t>geps-2020-016</t>
  </si>
  <si>
    <t>geps-2020-017</t>
  </si>
  <si>
    <t>Lot 5 (Sagkahan NHS)-Bid Docs_2020 QRF-Repair - Ta</t>
  </si>
  <si>
    <t>STF-PB-028</t>
  </si>
  <si>
    <t>2020-05-083</t>
  </si>
  <si>
    <t>LGU Nasipit-2020-047</t>
  </si>
  <si>
    <t>2020-05-036</t>
  </si>
  <si>
    <t>101-2020-05-0238</t>
  </si>
  <si>
    <t>101-2020-05-0240</t>
  </si>
  <si>
    <t>BNLSL-LCB-24-2020</t>
  </si>
  <si>
    <t>20PA0130</t>
  </si>
  <si>
    <t>Lot 6 (NTCNHS)-Bid Docs_2020 QRF-Repair - Tacloban</t>
  </si>
  <si>
    <t>2020-03-005</t>
  </si>
  <si>
    <t>2020-03-006</t>
  </si>
  <si>
    <t>20C00046</t>
  </si>
  <si>
    <t>2020-ODY-06-177</t>
  </si>
  <si>
    <t>101-2020-05-0239</t>
  </si>
  <si>
    <t>B-006-2020</t>
  </si>
  <si>
    <t>DM 2020-007-001</t>
  </si>
  <si>
    <t>IBTGH No. 2020 – 004</t>
  </si>
  <si>
    <t>BNLSL-LCB-28A-2020</t>
  </si>
  <si>
    <t>06092004</t>
  </si>
  <si>
    <t>geps-2020-018</t>
  </si>
  <si>
    <t>2020-ODY-06-176</t>
  </si>
  <si>
    <t>GOOD20200303</t>
  </si>
  <si>
    <t>BNLSL-LCB-28-2020</t>
  </si>
  <si>
    <t>2020-42</t>
  </si>
  <si>
    <t>LGU LAUREL 20-06-001</t>
  </si>
  <si>
    <t>202042</t>
  </si>
  <si>
    <t>2020-03-007</t>
  </si>
  <si>
    <t>2020-05-00426</t>
  </si>
  <si>
    <t>100-1917-20-303</t>
  </si>
  <si>
    <t>STF-PB-029</t>
  </si>
  <si>
    <t>BCS-2020-0099</t>
  </si>
  <si>
    <t>BOD20-082</t>
  </si>
  <si>
    <t>20C00047</t>
  </si>
  <si>
    <t>ORF 10923-2020-07</t>
  </si>
  <si>
    <t>060920</t>
  </si>
  <si>
    <t>Quotation No.20-06-327</t>
  </si>
  <si>
    <t>2020-03-008</t>
  </si>
  <si>
    <t>geps-2020-019</t>
  </si>
  <si>
    <t>2020-0610-1G</t>
  </si>
  <si>
    <t>B-81-2020</t>
  </si>
  <si>
    <t>PR. No. 101-20-05-015</t>
  </si>
  <si>
    <t>GF-PB-030</t>
  </si>
  <si>
    <t>20-04-00321</t>
  </si>
  <si>
    <t>INFRA-20-06</t>
  </si>
  <si>
    <t>BACII-2020-14</t>
  </si>
  <si>
    <t>2020-PB-008</t>
  </si>
  <si>
    <t>geps-2020-020</t>
  </si>
  <si>
    <t>20HD0093</t>
  </si>
  <si>
    <t>PR. No. 101-20-05-018</t>
  </si>
  <si>
    <t>BCS-2020-0100</t>
  </si>
  <si>
    <t>RGMO-PB-031</t>
  </si>
  <si>
    <t>geps-2020-021</t>
  </si>
  <si>
    <t>2020-03-009</t>
  </si>
  <si>
    <t>6061</t>
  </si>
  <si>
    <t>2020-03-010</t>
  </si>
  <si>
    <t>2020-0610-2G</t>
  </si>
  <si>
    <t>202043</t>
  </si>
  <si>
    <t>PN 10-2020</t>
  </si>
  <si>
    <t>Goods 0028-2020</t>
  </si>
  <si>
    <t>INFRA20200604</t>
  </si>
  <si>
    <t>4Ps-2020-07-0183</t>
  </si>
  <si>
    <t>2020-0610-3G</t>
  </si>
  <si>
    <t>2020 - 021</t>
  </si>
  <si>
    <t>2020-03-011</t>
  </si>
  <si>
    <t>19B00060</t>
  </si>
  <si>
    <t>ITB No. GOP/20-DSWD-037</t>
  </si>
  <si>
    <t>STF-PB-033</t>
  </si>
  <si>
    <t>20NC0122</t>
  </si>
  <si>
    <t>PR. No. 101-20-05-017</t>
  </si>
  <si>
    <t>PB-0620-34</t>
  </si>
  <si>
    <t>2020-0610-5G</t>
  </si>
  <si>
    <t>RGMO-PB-032</t>
  </si>
  <si>
    <t>geps-2020-022</t>
  </si>
  <si>
    <t>2020-PB-009</t>
  </si>
  <si>
    <t>2020-0610-4G</t>
  </si>
  <si>
    <t>20-03-00191</t>
  </si>
  <si>
    <t>PRDP-RPCOXI-SIC-011-2020</t>
  </si>
  <si>
    <t>2020-PB-013</t>
  </si>
  <si>
    <t>2020-PB-011</t>
  </si>
  <si>
    <t>19B00061</t>
  </si>
  <si>
    <t>2020-07-17-INFRA</t>
  </si>
  <si>
    <t>20NC0123</t>
  </si>
  <si>
    <t>PB-0620-35</t>
  </si>
  <si>
    <t>03-06-2020</t>
  </si>
  <si>
    <t>20CSBG001</t>
  </si>
  <si>
    <t>DWD-03-2020</t>
  </si>
  <si>
    <t>PB 20-020-5</t>
  </si>
  <si>
    <t>RVII-SQR-2020-06-001</t>
  </si>
  <si>
    <t>110-2020</t>
  </si>
  <si>
    <t>QRF2020-B1-NS-REPAIR-L1</t>
  </si>
  <si>
    <t>100-1917-20-321</t>
  </si>
  <si>
    <t>20BC0184</t>
  </si>
  <si>
    <t>06092005</t>
  </si>
  <si>
    <t>2020-PB-014</t>
  </si>
  <si>
    <t>PB-0620-36</t>
  </si>
  <si>
    <t>M-20-013</t>
  </si>
  <si>
    <t>2020-01-0003</t>
  </si>
  <si>
    <t>20NC0124</t>
  </si>
  <si>
    <t>QRF2020-B1-NS-REPAIR-L3</t>
  </si>
  <si>
    <t>PB-0620-37</t>
  </si>
  <si>
    <t>BSI-PPRLESS BRGY CNCL</t>
  </si>
  <si>
    <t>2020-68</t>
  </si>
  <si>
    <t>20BC0204</t>
  </si>
  <si>
    <t>20NC0125</t>
  </si>
  <si>
    <t>20CB0067</t>
  </si>
  <si>
    <t>20CB0066</t>
  </si>
  <si>
    <t>QRF2020-B1-NS-REPAIR-L2</t>
  </si>
  <si>
    <t>PB 20-02-14A</t>
  </si>
  <si>
    <t>06092006</t>
  </si>
  <si>
    <t>20CB0068</t>
  </si>
  <si>
    <t>QRF2020-B1-NS-REPAIR-L4</t>
  </si>
  <si>
    <t>20BC0207</t>
  </si>
  <si>
    <t>QRF2020-B1-NS-REPAIR-L5</t>
  </si>
  <si>
    <t>wpu-2020-007</t>
  </si>
  <si>
    <t>20CB0065</t>
  </si>
  <si>
    <t>20BC0202</t>
  </si>
  <si>
    <t>04-06-2020</t>
  </si>
  <si>
    <t>20BC0210</t>
  </si>
  <si>
    <t>6062</t>
  </si>
  <si>
    <t>09087 &amp; 09320</t>
  </si>
  <si>
    <t>20CB0070</t>
  </si>
  <si>
    <t>4PS-2020-06-0186</t>
  </si>
  <si>
    <t>QRF2020-B1-NS-REPAIR-L6</t>
  </si>
  <si>
    <t>QRF2020-B1-NS-REPAIR-L7</t>
  </si>
  <si>
    <t>WPU-2020-008</t>
  </si>
  <si>
    <t>QRF2020-B1-NS-REPAIR-L8</t>
  </si>
  <si>
    <t>20CB0069</t>
  </si>
  <si>
    <t>2020-PB-012</t>
  </si>
  <si>
    <t>BSI-HHOLD TRASHBINS</t>
  </si>
  <si>
    <t>KAP-20-05 (2nd Posting)</t>
  </si>
  <si>
    <t>20DL0204</t>
  </si>
  <si>
    <t>20BC0209</t>
  </si>
  <si>
    <t>2020-015</t>
  </si>
  <si>
    <t>20MF0082</t>
  </si>
  <si>
    <t>QRF2020-B1-NS-REPAIR-L9</t>
  </si>
  <si>
    <t>20MF0081</t>
  </si>
  <si>
    <t>WPU-2020-009</t>
  </si>
  <si>
    <t>20MF0080</t>
  </si>
  <si>
    <t>20MF0083</t>
  </si>
  <si>
    <t>2020-053</t>
  </si>
  <si>
    <t>20DL0203</t>
  </si>
  <si>
    <t>20DL0207</t>
  </si>
  <si>
    <t>PB 20-02-15A</t>
  </si>
  <si>
    <t>20DL0206</t>
  </si>
  <si>
    <t>Lgn1 - SVP2020-06-0006</t>
  </si>
  <si>
    <t>QRF2020-B1-NS-REPAIR-L10</t>
  </si>
  <si>
    <t>2020-06-0156</t>
  </si>
  <si>
    <t>ITB-2020-038</t>
  </si>
  <si>
    <t>20MF0084</t>
  </si>
  <si>
    <t>QRF2020-B1-NS-REPAIR-L12</t>
  </si>
  <si>
    <t>20MF0087</t>
  </si>
  <si>
    <t>MGPQ-RML-2020-06-003</t>
  </si>
  <si>
    <t>20DL0205</t>
  </si>
  <si>
    <t>Lgn1 - SVP2020-06-0007</t>
  </si>
  <si>
    <t>ITB-2020-063</t>
  </si>
  <si>
    <t>20MF0085</t>
  </si>
  <si>
    <t>20MF0086</t>
  </si>
  <si>
    <t>2020-06-0160</t>
  </si>
  <si>
    <t>2020-06-0157</t>
  </si>
  <si>
    <t>MGPIN-2020-02-013</t>
  </si>
  <si>
    <t>QRF2020-B1-NS-REPAIR-L11</t>
  </si>
  <si>
    <t>QRF2020-B1-NS-REPAIR-L15</t>
  </si>
  <si>
    <t>ITB-2020-064</t>
  </si>
  <si>
    <t>QRF2020-B1-NS-REPAIR-L13</t>
  </si>
  <si>
    <t>REI - 2020 - 01</t>
  </si>
  <si>
    <t>MGPIN-2020-02-015</t>
  </si>
  <si>
    <t>QRF2020-B1-NS-REPAIR-L14</t>
  </si>
  <si>
    <t>DV -2020-G15</t>
  </si>
  <si>
    <t>202006015</t>
  </si>
  <si>
    <t>sjom-goods-0007-2020</t>
  </si>
  <si>
    <t>MGPIN-2020-06-050</t>
  </si>
  <si>
    <t>QRF2020-B1-NS-REPAIR-L16</t>
  </si>
  <si>
    <t>202006017</t>
  </si>
  <si>
    <t>127 – 2020</t>
  </si>
  <si>
    <t>126 – 2020</t>
  </si>
  <si>
    <t>QRF2020-B1-NS-REPAIR-L19</t>
  </si>
  <si>
    <t>MKWD2020-046</t>
  </si>
  <si>
    <t>128 – 2020</t>
  </si>
  <si>
    <t>QRF2020-B1-NS-REPAIR-L18</t>
  </si>
  <si>
    <t>ANTI-10-20</t>
  </si>
  <si>
    <t>QRF2020-B1-NS-REPAIR-L17</t>
  </si>
  <si>
    <t>202006016</t>
  </si>
  <si>
    <t>20CE0209</t>
  </si>
  <si>
    <t>QRF2020-B1-NS-REPAIR-L23</t>
  </si>
  <si>
    <t>QRF2020-B1-NS-REPAIR-L21</t>
  </si>
  <si>
    <t>QRF2020-B1-NS-REPAIR-L25</t>
  </si>
  <si>
    <t>QRF2020-B1-NS-REPAIR-L20</t>
  </si>
  <si>
    <t>512</t>
  </si>
  <si>
    <t>20GKF0031</t>
  </si>
  <si>
    <t>20GKF0030</t>
  </si>
  <si>
    <t>QNV-021-2020</t>
  </si>
  <si>
    <t>20GKF0029</t>
  </si>
  <si>
    <t>QNV-022-2020</t>
  </si>
  <si>
    <t>QRF2020-B1-NS-REPAIR-L24</t>
  </si>
  <si>
    <t>QNV-020-2020</t>
  </si>
  <si>
    <t>20GKF0033</t>
  </si>
  <si>
    <t>20GKF0035</t>
  </si>
  <si>
    <t>20GKF0032</t>
  </si>
  <si>
    <t>QRF2020-B1-NS-REPAIR-L22</t>
  </si>
  <si>
    <t>90-20</t>
  </si>
  <si>
    <t>20GKF0034</t>
  </si>
  <si>
    <t>20-006</t>
  </si>
  <si>
    <t>20GKF0040</t>
  </si>
  <si>
    <t>20GKF0039</t>
  </si>
  <si>
    <t>20-007</t>
  </si>
  <si>
    <t>QNV-023-2020</t>
  </si>
  <si>
    <t>20GKF0038</t>
  </si>
  <si>
    <t>20GKF0037</t>
  </si>
  <si>
    <t>BAC-HO-GS No. 2020-0250 dated 29 May 2020 (ITIOD)</t>
  </si>
  <si>
    <t>RFQ-20-0002</t>
  </si>
  <si>
    <t>91-20</t>
  </si>
  <si>
    <t>ESPERANZA-GDS-2020-06-08</t>
  </si>
  <si>
    <t>VMC-2020-047</t>
  </si>
  <si>
    <t>3-01-001-20-076</t>
  </si>
  <si>
    <t>20GKF0036</t>
  </si>
  <si>
    <t>PB2020-07-042I</t>
  </si>
  <si>
    <t>20OH0148</t>
  </si>
  <si>
    <t>2002-068</t>
  </si>
  <si>
    <t>20OH0149</t>
  </si>
  <si>
    <t>PB2020-06-041I</t>
  </si>
  <si>
    <t>20CSZ004</t>
  </si>
  <si>
    <t>20OH0102 Re-ads</t>
  </si>
  <si>
    <t>PB2020-06-057G</t>
  </si>
  <si>
    <t>20OH0150</t>
  </si>
  <si>
    <t>20OH0151</t>
  </si>
  <si>
    <t>2020-CW-016</t>
  </si>
  <si>
    <t>PB2020-07-043I</t>
  </si>
  <si>
    <t>2020025</t>
  </si>
  <si>
    <t>GOODS-009-2020</t>
  </si>
  <si>
    <t>CONDUCT WORLD TEACHER'S DAY 2020</t>
  </si>
  <si>
    <t>PB-20-316</t>
  </si>
  <si>
    <t>DM2020-06-023.5</t>
  </si>
  <si>
    <t>20CB-GSC-299 PRINTING OF VARIOUS NON-ACCOUNTABLE F</t>
  </si>
  <si>
    <t>DM2020-06-023.2</t>
  </si>
  <si>
    <t>2020-031 LOT 5</t>
  </si>
  <si>
    <t>200003</t>
  </si>
  <si>
    <t>DM2020-06-023.1</t>
  </si>
  <si>
    <t>17202005052</t>
  </si>
  <si>
    <t>ME2020-06-023.3</t>
  </si>
  <si>
    <t>DM2020-06-023.4</t>
  </si>
  <si>
    <t>DM2020-06-023.6</t>
  </si>
  <si>
    <t>100-20-05-0543</t>
  </si>
  <si>
    <t>20F00124</t>
  </si>
  <si>
    <t>20CB-GSC-298 PURCHASE OF TOOLS AND MATERIALS FOR R</t>
  </si>
  <si>
    <t>DM2020-06-023.7</t>
  </si>
  <si>
    <t>AFP-RSBS 2020 PSSL395M02</t>
  </si>
  <si>
    <t>19GF00029</t>
  </si>
  <si>
    <t>17202005053</t>
  </si>
  <si>
    <t>2020-INFRA-10A</t>
  </si>
  <si>
    <t>2020-INFRA-13A</t>
  </si>
  <si>
    <t>PB2020-07-044I</t>
  </si>
  <si>
    <t>PB2020-06-060G</t>
  </si>
  <si>
    <t>PB2020-06-059G</t>
  </si>
  <si>
    <t>ME2020-05-024</t>
  </si>
  <si>
    <t>PB2020-07-045I</t>
  </si>
  <si>
    <t>20GA0214</t>
  </si>
  <si>
    <t>20GA0215</t>
  </si>
  <si>
    <t>20-06-02-055</t>
  </si>
  <si>
    <t>20GA0167</t>
  </si>
  <si>
    <t>20GA0157</t>
  </si>
  <si>
    <t>20GA0142</t>
  </si>
  <si>
    <t>2020-GOODS-243</t>
  </si>
  <si>
    <t>60-2020</t>
  </si>
  <si>
    <t>2020-INFRA-11A</t>
  </si>
  <si>
    <t>20GA0130</t>
  </si>
  <si>
    <t>GS 2020-006-020</t>
  </si>
  <si>
    <t>PB-06092020-1</t>
  </si>
  <si>
    <t>PB2020-07-046I</t>
  </si>
  <si>
    <t>PR - 11</t>
  </si>
  <si>
    <t>19GF00030</t>
  </si>
  <si>
    <t>61-2020</t>
  </si>
  <si>
    <t>64-2020</t>
  </si>
  <si>
    <t>BAC-SBSL-MENRO-2020-10A</t>
  </si>
  <si>
    <t>PB2020-06-058G</t>
  </si>
  <si>
    <t>BAC 2020-E06</t>
  </si>
  <si>
    <t>65-2020</t>
  </si>
  <si>
    <t>63-2020</t>
  </si>
  <si>
    <t>DPF 300-20-01-00296</t>
  </si>
  <si>
    <t>IB NO. 2020-06-29 (12)</t>
  </si>
  <si>
    <t>MMP - 12</t>
  </si>
  <si>
    <t>100-20-05-0210</t>
  </si>
  <si>
    <t>GAMOT 200-20-06-06112</t>
  </si>
  <si>
    <t>20-101-013</t>
  </si>
  <si>
    <t>INFRA-20-06-0592</t>
  </si>
  <si>
    <t>PB20-002</t>
  </si>
  <si>
    <t>2020-06-78</t>
  </si>
  <si>
    <t>PEO-20-0482-B</t>
  </si>
  <si>
    <t>2020-06-072bid</t>
  </si>
  <si>
    <t>M-20-010</t>
  </si>
  <si>
    <t>IB NO. 2020-06-29 (13)</t>
  </si>
  <si>
    <t>2020-0900-003</t>
  </si>
  <si>
    <t>2020-06-75</t>
  </si>
  <si>
    <t>PEO-19-1489-B (Re-Bid)</t>
  </si>
  <si>
    <t>2020-06-82</t>
  </si>
  <si>
    <t>ITB 2020-06-032 (GOODS)</t>
  </si>
  <si>
    <t>PEPO 200-20-05-05989</t>
  </si>
  <si>
    <t>INFRASIB-2020-04</t>
  </si>
  <si>
    <t>2020-06-53A</t>
  </si>
  <si>
    <t>IPH-19-1021-B (Re-Bid)</t>
  </si>
  <si>
    <t>INFRASIB-2020-01</t>
  </si>
  <si>
    <t>INFRASIB-2020-02</t>
  </si>
  <si>
    <t>PEO-19-1487-B (Re-Bid)</t>
  </si>
  <si>
    <t>2020-06-88</t>
  </si>
  <si>
    <t>2020-06-63A</t>
  </si>
  <si>
    <t>2020-06-79</t>
  </si>
  <si>
    <t>2020-06-76</t>
  </si>
  <si>
    <t>PEO-19-2099-B</t>
  </si>
  <si>
    <t>INFRASIB-2020-03</t>
  </si>
  <si>
    <t>AGINF2020-0609</t>
  </si>
  <si>
    <t>2020-06-81</t>
  </si>
  <si>
    <t>PEO-20-0381-B</t>
  </si>
  <si>
    <t>2020-06-80</t>
  </si>
  <si>
    <t>2020-06-08-001</t>
  </si>
  <si>
    <t>COA-20-020-B</t>
  </si>
  <si>
    <t>Tadian LGU 2020-03</t>
  </si>
  <si>
    <t>0853</t>
  </si>
  <si>
    <t>2020-Naguiddayan-01</t>
  </si>
  <si>
    <t>SDH-18-2253-B (Re-Bid)</t>
  </si>
  <si>
    <t>PEO-20-0383-B</t>
  </si>
  <si>
    <t>PEO-20-0551-B</t>
  </si>
  <si>
    <t>2020-BrgyV-02</t>
  </si>
  <si>
    <t>OLI-20-03</t>
  </si>
  <si>
    <t>BulSU-BAC-G-2020-14</t>
  </si>
  <si>
    <t>Kapalong2020093</t>
  </si>
  <si>
    <t>PEO-19-1502-B</t>
  </si>
  <si>
    <t>ENG'G PASBAC 001-20</t>
  </si>
  <si>
    <t>RFQ NO. SVP-007-2020</t>
  </si>
  <si>
    <t>ITB No. 2020-003-CSL</t>
  </si>
  <si>
    <t>IAEB 2020-002</t>
  </si>
  <si>
    <t>ITB-2020-002-CSL</t>
  </si>
  <si>
    <t>INFRASIB-2020-05</t>
  </si>
  <si>
    <t>2020-06-83</t>
  </si>
  <si>
    <t>INFRASIB-2020-06</t>
  </si>
  <si>
    <t>PEO-20-0554-B</t>
  </si>
  <si>
    <t>GOODS 2020-21</t>
  </si>
  <si>
    <t>Kapalong2020094</t>
  </si>
  <si>
    <t>IAEB 2020-005</t>
  </si>
  <si>
    <t>ENG’G PASBAC 012-20 Supply and Delivery of Materia</t>
  </si>
  <si>
    <t>20GA0141</t>
  </si>
  <si>
    <t>2020-05-0109/2020-06-0110</t>
  </si>
  <si>
    <t>M-20-012</t>
  </si>
  <si>
    <t>Kapalong2020097</t>
  </si>
  <si>
    <t>036-20</t>
  </si>
  <si>
    <t>Kapalong2020098</t>
  </si>
  <si>
    <t>Kapalong2020096</t>
  </si>
  <si>
    <t>CY 2020 QRF-SCHOOL GROUND SLOPE PROTECTION AT GOHA</t>
  </si>
  <si>
    <t>PPSC BAC IB NO.005 (G) 2020</t>
  </si>
  <si>
    <t>0854</t>
  </si>
  <si>
    <t>ENG’G PASBAC 013-20 Supply and Delivery of Materia</t>
  </si>
  <si>
    <t>Kapalong2020100</t>
  </si>
  <si>
    <t>Kapalong2020099</t>
  </si>
  <si>
    <t>G-093-20</t>
  </si>
  <si>
    <t>Kapalong2020102</t>
  </si>
  <si>
    <t>ADS-1325-20</t>
  </si>
  <si>
    <t>Kapalong2020095</t>
  </si>
  <si>
    <t>2020-B-06-023</t>
  </si>
  <si>
    <t>SRAVIS 20-06-273</t>
  </si>
  <si>
    <t>Kapalong2020101</t>
  </si>
  <si>
    <t>LF 2020-022</t>
  </si>
  <si>
    <t>LANCA-2020-01</t>
  </si>
  <si>
    <t>GOODS2020-06-001</t>
  </si>
  <si>
    <t>ADS-1327-20</t>
  </si>
  <si>
    <t>2020-017cw</t>
  </si>
  <si>
    <t>064-2020</t>
  </si>
  <si>
    <t>PR062000627</t>
  </si>
  <si>
    <t>B-79-2020</t>
  </si>
  <si>
    <t>20OF0312</t>
  </si>
  <si>
    <t>ADS-1326-20</t>
  </si>
  <si>
    <t>INFRA-2020-042</t>
  </si>
  <si>
    <t>109-2020</t>
  </si>
  <si>
    <t>2020-06-022</t>
  </si>
  <si>
    <t>PR No. 20-0923</t>
  </si>
  <si>
    <t>1280-06-00124</t>
  </si>
  <si>
    <t>2020-GOODS-04</t>
  </si>
  <si>
    <t>IB 2020-026</t>
  </si>
  <si>
    <t>04-020P-R</t>
  </si>
  <si>
    <t>RFQ-2020-06-0029</t>
  </si>
  <si>
    <t>INFRA-2020-043</t>
  </si>
  <si>
    <t>20OF0315</t>
  </si>
  <si>
    <t>PG2020-06-01</t>
  </si>
  <si>
    <t>20OF0314</t>
  </si>
  <si>
    <t>20OF0313</t>
  </si>
  <si>
    <t>20200608</t>
  </si>
  <si>
    <t>INFRA-ETG-20-06-011</t>
  </si>
  <si>
    <t>RFQ-2020-06-0031</t>
  </si>
  <si>
    <t>RFQ 2020-01</t>
  </si>
  <si>
    <t>cgb2020-185</t>
  </si>
  <si>
    <t>SN20-04-412</t>
  </si>
  <si>
    <t>InTB-PGAPEO2020OIP-CW1</t>
  </si>
  <si>
    <t>2020-100-06-009</t>
  </si>
  <si>
    <t>2020-g-005-A</t>
  </si>
  <si>
    <t>2020-06-74</t>
  </si>
  <si>
    <t>RFQ-2020-06-0030</t>
  </si>
  <si>
    <t>004-2020</t>
  </si>
  <si>
    <t>20OF0316</t>
  </si>
  <si>
    <t>RFQ-2020-06-0032</t>
  </si>
  <si>
    <t>PPSC BAC IB NO.006 (G) 2020</t>
  </si>
  <si>
    <t>ABC20-06-001</t>
  </si>
  <si>
    <t>BUE-06082020-01</t>
  </si>
  <si>
    <t>cgb2020-186</t>
  </si>
  <si>
    <t>blgucabungalunan-2019</t>
  </si>
  <si>
    <t>2020021</t>
  </si>
  <si>
    <t>ITB-2020-01</t>
  </si>
  <si>
    <t>RFQ-2020-06-0034</t>
  </si>
  <si>
    <t>PLAWD 2020-06-37</t>
  </si>
  <si>
    <t>RFQ-2020-06-0033</t>
  </si>
  <si>
    <t>2020-098</t>
  </si>
  <si>
    <t>2020-3</t>
  </si>
  <si>
    <t>InTB-PGAPEOROADS2020EDF-CW1</t>
  </si>
  <si>
    <t>2020-G-006-A</t>
  </si>
  <si>
    <t>CYN-BAC-2020-30</t>
  </si>
  <si>
    <t>2020-G-007-A</t>
  </si>
  <si>
    <t>20GIA004 Procurement of Instant Cold Mix Asphalt (</t>
  </si>
  <si>
    <t>20GG00017</t>
  </si>
  <si>
    <t>00012-2020</t>
  </si>
  <si>
    <t>CANINGAY INFRA 06-01</t>
  </si>
  <si>
    <t>2020-019cw</t>
  </si>
  <si>
    <t>06292020-058</t>
  </si>
  <si>
    <t>008-2020-G</t>
  </si>
  <si>
    <t>06292020-073</t>
  </si>
  <si>
    <t>INFRA-ETG-20-06-010</t>
  </si>
  <si>
    <t>PR062000628</t>
  </si>
  <si>
    <t>SN20-03-313</t>
  </si>
  <si>
    <t>KAT-06-2020-001</t>
  </si>
  <si>
    <t>06292020-074</t>
  </si>
  <si>
    <t>100-2003-281-GF</t>
  </si>
  <si>
    <t>ITB-2020-02</t>
  </si>
  <si>
    <t>NMF GOODS 2020-03</t>
  </si>
  <si>
    <t>06 – JO – 093 / 094</t>
  </si>
  <si>
    <t>2020-G-008-A</t>
  </si>
  <si>
    <t>ITB 2020-011</t>
  </si>
  <si>
    <t>INFRA-ETG-20-06-012</t>
  </si>
  <si>
    <t>2020-021cw</t>
  </si>
  <si>
    <t>2020-020cw</t>
  </si>
  <si>
    <t>45</t>
  </si>
  <si>
    <t>44</t>
  </si>
  <si>
    <t>20GAG0003</t>
  </si>
  <si>
    <t>20GAG0001</t>
  </si>
  <si>
    <t>20-06-40</t>
  </si>
  <si>
    <t>ITB-2020-044</t>
  </si>
  <si>
    <t>20GAG0002</t>
  </si>
  <si>
    <t>ITB-2020-046</t>
  </si>
  <si>
    <t>GOODS-PROJECT REF. NO. 39-2020-APR</t>
  </si>
  <si>
    <t>INFRA-ETG-20-06-009</t>
  </si>
  <si>
    <t>ITB-2020-045</t>
  </si>
  <si>
    <t>RFQ-F-01-2020</t>
  </si>
  <si>
    <t>20-06-35AA</t>
  </si>
  <si>
    <t>300-20-06-0215</t>
  </si>
  <si>
    <t>PR #433</t>
  </si>
  <si>
    <t>PR No. 1000032455 dtd. March 9, 2020</t>
  </si>
  <si>
    <t>100-20-03-0119</t>
  </si>
  <si>
    <t>20-06-241</t>
  </si>
  <si>
    <t>2019-001-I</t>
  </si>
  <si>
    <t>N 31 C 2020</t>
  </si>
  <si>
    <t>100-2005-038-20%</t>
  </si>
  <si>
    <t>11-2020</t>
  </si>
  <si>
    <t>20PI0092</t>
  </si>
  <si>
    <t>PG-RFQ-2020-01</t>
  </si>
  <si>
    <t>2020-GOODS-32</t>
  </si>
  <si>
    <t>20LA0336</t>
  </si>
  <si>
    <t>NP/PB 20-0672</t>
  </si>
  <si>
    <t>NTCR9-SVP-2020-05</t>
  </si>
  <si>
    <t>20LA0335</t>
  </si>
  <si>
    <t>Quotation No.20-05-312 REBID</t>
  </si>
  <si>
    <t>PB20200608-036</t>
  </si>
  <si>
    <t>20-04-096</t>
  </si>
  <si>
    <t>CAT-SIP-2020-01-06INF</t>
  </si>
  <si>
    <t>14-2020</t>
  </si>
  <si>
    <t>NTCR9-TFB-2020-01</t>
  </si>
  <si>
    <t>RQ 06-010</t>
  </si>
  <si>
    <t>GEN-1011-09-2020</t>
  </si>
  <si>
    <t>20GKI0027</t>
  </si>
  <si>
    <t>20KI0066 (Re-ad)</t>
  </si>
  <si>
    <t>ITB INFRA-022-2020</t>
  </si>
  <si>
    <t>ITB2020-06-87-MPOC</t>
  </si>
  <si>
    <t>PB20200608-037</t>
  </si>
  <si>
    <t>20NA0068</t>
  </si>
  <si>
    <t>20GGH0023</t>
  </si>
  <si>
    <t>20PI0093</t>
  </si>
  <si>
    <t>N 32 C 2020</t>
  </si>
  <si>
    <t>20GGH0024</t>
  </si>
  <si>
    <t>15-2020</t>
  </si>
  <si>
    <t>NTCR9-SVP-2020-06</t>
  </si>
  <si>
    <t>20KI0087</t>
  </si>
  <si>
    <t>INFR-2020-10</t>
  </si>
  <si>
    <t>20PI0094</t>
  </si>
  <si>
    <t>RQ 06-043</t>
  </si>
  <si>
    <t>RQ 06-016</t>
  </si>
  <si>
    <t>HCC2020013</t>
  </si>
  <si>
    <t>20NA0069</t>
  </si>
  <si>
    <t>RQ 06-012</t>
  </si>
  <si>
    <t>PB20200608-038</t>
  </si>
  <si>
    <t>202039</t>
  </si>
  <si>
    <t>PG-RFQ-2020-04</t>
  </si>
  <si>
    <t>20PI0095</t>
  </si>
  <si>
    <t>20-06-39</t>
  </si>
  <si>
    <t>138-2020</t>
  </si>
  <si>
    <t>2000005277</t>
  </si>
  <si>
    <t>RQ 06-040</t>
  </si>
  <si>
    <t>139-2020</t>
  </si>
  <si>
    <t>20-0102</t>
  </si>
  <si>
    <t>BAC2020-06-016</t>
  </si>
  <si>
    <t>20-038 (Re-bid)</t>
  </si>
  <si>
    <t>100-20-06-64</t>
  </si>
  <si>
    <t>RQ 06-034</t>
  </si>
  <si>
    <t>2020-06-170-RFQ</t>
  </si>
  <si>
    <t>PG-RFQ-2020-05</t>
  </si>
  <si>
    <t>20-039</t>
  </si>
  <si>
    <t>BUE-06082020-02</t>
  </si>
  <si>
    <t>CSU-CARIG-OCD-2020- 06-001</t>
  </si>
  <si>
    <t>2020-95</t>
  </si>
  <si>
    <t>140-2020</t>
  </si>
  <si>
    <t>BUE-06082020-03</t>
  </si>
  <si>
    <t>BAC2020-06-018</t>
  </si>
  <si>
    <t>RQ 06-041</t>
  </si>
  <si>
    <t>RQ 06-029</t>
  </si>
  <si>
    <t>20CG0140</t>
  </si>
  <si>
    <t>GEN-3918-10-2010</t>
  </si>
  <si>
    <t>142-2020</t>
  </si>
  <si>
    <t>100-20-06-65</t>
  </si>
  <si>
    <t>BAC2020-06-020</t>
  </si>
  <si>
    <t>LGU-TAN-GOODS-2020-067</t>
  </si>
  <si>
    <t>Bidding-01-June2020</t>
  </si>
  <si>
    <t>ITB No. 028-2020 GQ</t>
  </si>
  <si>
    <t>02-2020</t>
  </si>
  <si>
    <t>RQ 06-039</t>
  </si>
  <si>
    <t>CYN-BAC-2020-31</t>
  </si>
  <si>
    <t>ITB 300-2020-06-04</t>
  </si>
  <si>
    <t>BAC2020-06-019</t>
  </si>
  <si>
    <t>20NA0071</t>
  </si>
  <si>
    <t>141-2020</t>
  </si>
  <si>
    <t>PG-RFQ-2020-07</t>
  </si>
  <si>
    <t>RQ 06-026</t>
  </si>
  <si>
    <t>maasin2020-roadrehab</t>
  </si>
  <si>
    <t>20-06-083</t>
  </si>
  <si>
    <t>Quotation No.20-03-272 REBID</t>
  </si>
  <si>
    <t>PG-RFQ-2020-08</t>
  </si>
  <si>
    <t>PG-RFQ-2020-09</t>
  </si>
  <si>
    <t>20CG0141</t>
  </si>
  <si>
    <t>RQ 06-027</t>
  </si>
  <si>
    <t>143-2020</t>
  </si>
  <si>
    <t>2020-099</t>
  </si>
  <si>
    <t>037-20</t>
  </si>
  <si>
    <t>RFQ 0520-028</t>
  </si>
  <si>
    <t>PG-RFQ-2020-10</t>
  </si>
  <si>
    <t>IB No.2020-06-30(05)Goods Cat I Med/Lab Supplies &amp;</t>
  </si>
  <si>
    <t>itb no. 2020-12</t>
  </si>
  <si>
    <t>20FL0084</t>
  </si>
  <si>
    <t>RQ 06-025</t>
  </si>
  <si>
    <t>ITB No. 029-2020  GQ</t>
  </si>
  <si>
    <t>PR No. 20-0905</t>
  </si>
  <si>
    <t>144-2020</t>
  </si>
  <si>
    <t>BXU-2020-16</t>
  </si>
  <si>
    <t>RFQ - PR No. 2020-05-0094 dated 5-27-20</t>
  </si>
  <si>
    <t>682020</t>
  </si>
  <si>
    <t>19CSK00054</t>
  </si>
  <si>
    <t>RFQ - CPR No. GS-75-90-Cons.4</t>
  </si>
  <si>
    <t>Calaca 2020-032</t>
  </si>
  <si>
    <t>6820201</t>
  </si>
  <si>
    <t>20FL0085</t>
  </si>
  <si>
    <t>2020-03-05</t>
  </si>
  <si>
    <t>NIAREG9-0629-2020-FSDECY2017-076 (GOODS)</t>
  </si>
  <si>
    <t>20GFB03</t>
  </si>
  <si>
    <t>19CSK00055</t>
  </si>
  <si>
    <t>PR 9-20-04-0560 - HOSPITAL</t>
  </si>
  <si>
    <t>19CSK00053</t>
  </si>
  <si>
    <t>PR 31-20-02-0344 - DEPED</t>
  </si>
  <si>
    <t>20GID0016</t>
  </si>
  <si>
    <t>PR 1-20-03-0520 - CEMO (BD)</t>
  </si>
  <si>
    <t>RFQ - CPR No. GS-04-43-52-Cons.1</t>
  </si>
  <si>
    <t>20-06-38</t>
  </si>
  <si>
    <t>2020-02-0099</t>
  </si>
  <si>
    <t>2020-06-0329</t>
  </si>
  <si>
    <t>20FL0078</t>
  </si>
  <si>
    <t>2020-061-14-1</t>
  </si>
  <si>
    <t>PCW-01-2020</t>
  </si>
  <si>
    <t>2020-061-14-2</t>
  </si>
  <si>
    <t>19CSK00056</t>
  </si>
  <si>
    <t>Invitation to Bid 20-31</t>
  </si>
  <si>
    <t>ITB2020-06-77-MTPB</t>
  </si>
  <si>
    <t>PR 18-20-04-0549 - CED</t>
  </si>
  <si>
    <t>Invitation to Bid 20-32</t>
  </si>
  <si>
    <t>RFP 2020-05-0075</t>
  </si>
  <si>
    <t>CYN-BAC-2020-32</t>
  </si>
  <si>
    <t>ITB No. 2020-03-003</t>
  </si>
  <si>
    <t>Bid No. 2020-015</t>
  </si>
  <si>
    <t>20GSK00012</t>
  </si>
  <si>
    <t>PG-RFQ-2020-14</t>
  </si>
  <si>
    <t>100-20-06-66</t>
  </si>
  <si>
    <t>ITB GOODS 20-06-008</t>
  </si>
  <si>
    <t>20GSK00010</t>
  </si>
  <si>
    <t>20GSK00011</t>
  </si>
  <si>
    <t>2020-06-0330</t>
  </si>
  <si>
    <t>RFQ - CPR No. GS-04-28-32-33-34-35-40-41-43-47-48-</t>
  </si>
  <si>
    <t>2020022</t>
  </si>
  <si>
    <t>PG-RFQ-2020-13</t>
  </si>
  <si>
    <t>IB. NO. K-2020-025(SC)</t>
  </si>
  <si>
    <t>ITB 026-2020</t>
  </si>
  <si>
    <t>2020-06-0331</t>
  </si>
  <si>
    <t>CYN-BAC-2020-33</t>
  </si>
  <si>
    <t>100-20-06-67</t>
  </si>
  <si>
    <t>2020-06-0332</t>
  </si>
  <si>
    <t>20-02-0124</t>
  </si>
  <si>
    <t>20FO0098</t>
  </si>
  <si>
    <t>IB. NO. K-2020-054(SC)</t>
  </si>
  <si>
    <t>ADS-1335-20</t>
  </si>
  <si>
    <t>PG-RFQ-2020-15</t>
  </si>
  <si>
    <t>2020-02-0100</t>
  </si>
  <si>
    <t>PR # 20-05-0585</t>
  </si>
  <si>
    <t>CONSTRUCTION OF VARIOUS INFRASTRUCTURE PROJECTS FO</t>
  </si>
  <si>
    <t>100-20-06-68</t>
  </si>
  <si>
    <t>Calaca 2020- 033</t>
  </si>
  <si>
    <t>IB. NO. K-2020-026(SC)</t>
  </si>
  <si>
    <t>20FO0096</t>
  </si>
  <si>
    <t>2020-061-14-3</t>
  </si>
  <si>
    <t>BAC-2020-0017</t>
  </si>
  <si>
    <t>20FO0097</t>
  </si>
  <si>
    <t>2020-061-14-5</t>
  </si>
  <si>
    <t>20-05-0564</t>
  </si>
  <si>
    <t>20FO0099</t>
  </si>
  <si>
    <t>2020-061-14-4</t>
  </si>
  <si>
    <t>GOODS-2020-PB-023</t>
  </si>
  <si>
    <t>2020-012 GOODS "SUPPLY AND INSTALLATION OF SOLAR P</t>
  </si>
  <si>
    <t>TF-LDRRMF S. 2019 20-016/20-017</t>
  </si>
  <si>
    <t>2020-061-14-7</t>
  </si>
  <si>
    <t>OC-63(JLGMH-17) 20 GD</t>
  </si>
  <si>
    <t>CONTRACT ID: 19-10-208 REBID</t>
  </si>
  <si>
    <t>PB-INF-2020-035</t>
  </si>
  <si>
    <t>2020-061-14-6</t>
  </si>
  <si>
    <t>2020-151</t>
  </si>
  <si>
    <t>PB-INF-2020-034</t>
  </si>
  <si>
    <t>20LC0153</t>
  </si>
  <si>
    <t>Calaca 2020-034</t>
  </si>
  <si>
    <t>RFQ NO 20-06-378</t>
  </si>
  <si>
    <t>20LC0152</t>
  </si>
  <si>
    <t>PB-INF-2020-033</t>
  </si>
  <si>
    <t>OC-64(DRRMO-05) 20 GD</t>
  </si>
  <si>
    <t>OC-65(DRRMO-06) 20 GD</t>
  </si>
  <si>
    <t>2020-150</t>
  </si>
  <si>
    <t>ITB No. 030-2020  GQ</t>
  </si>
  <si>
    <t>IB NO. 2020-06-30 (05) Goods Category II – Drugs a</t>
  </si>
  <si>
    <t>CYN-BAC-2020-34</t>
  </si>
  <si>
    <t>VMC-2020-060</t>
  </si>
  <si>
    <t>RFQ NO 20-04-346</t>
  </si>
  <si>
    <t>GOODS 2020-017</t>
  </si>
  <si>
    <t>B2020-073-A</t>
  </si>
  <si>
    <t>2020-06-0029</t>
  </si>
  <si>
    <t>G-04-2020</t>
  </si>
  <si>
    <t>Calaca 2020- 036</t>
  </si>
  <si>
    <t>BARRM-SUL-06-SIA-03-20</t>
  </si>
  <si>
    <t>PEO-19-1450-B (Re-Bid)</t>
  </si>
  <si>
    <t>PEO-20-0382-B</t>
  </si>
  <si>
    <t>GOODS 2020-018</t>
  </si>
  <si>
    <t>IB No. 2020-019</t>
  </si>
  <si>
    <t>SWADT-ISABELA-2020-06-0179</t>
  </si>
  <si>
    <t>I-2020</t>
  </si>
  <si>
    <t>20GHF0005</t>
  </si>
  <si>
    <t>USTP-GSPB-06-5020321099-2020</t>
  </si>
  <si>
    <t>20PA0128</t>
  </si>
  <si>
    <t>Goods 2020-06-016</t>
  </si>
  <si>
    <t>B2020-074-A</t>
  </si>
  <si>
    <t>2020-2076-03-151</t>
  </si>
  <si>
    <t>Calaca 2020- 037</t>
  </si>
  <si>
    <t>20PK0069</t>
  </si>
  <si>
    <t>2020-06-0031</t>
  </si>
  <si>
    <t>IPH-19-616-B (Re-Bid)</t>
  </si>
  <si>
    <t>Calaca 2020- 038</t>
  </si>
  <si>
    <t>PB-PAFBAC-222-19</t>
  </si>
  <si>
    <t>PB-PAFBAC-141-20</t>
  </si>
  <si>
    <t>Calaca 2020- 035</t>
  </si>
  <si>
    <t>401-1011-2020-06-12</t>
  </si>
  <si>
    <t>Calaca 2020- 040</t>
  </si>
  <si>
    <t>Calaca 2020- 039</t>
  </si>
  <si>
    <t>PB-PAFBAC-150-20</t>
  </si>
  <si>
    <t>Calaca 2020- 041</t>
  </si>
  <si>
    <t>GEPS-01-2020</t>
  </si>
  <si>
    <t>NCB Publication No. 2020- 17</t>
  </si>
  <si>
    <t>PB-PAFBAC-153-20</t>
  </si>
  <si>
    <t>FY2019DILG-AM-01</t>
  </si>
  <si>
    <t>401-1011-2020-06-13</t>
  </si>
  <si>
    <t>09088, 09082 &amp; 08993</t>
  </si>
  <si>
    <t>NCB Publication No. 2020- 18</t>
  </si>
  <si>
    <t>03-2020-0195</t>
  </si>
  <si>
    <t>FY2019DILG-AM-02</t>
  </si>
  <si>
    <t>Calaca 2020-042</t>
  </si>
  <si>
    <t>PB-PAFBAC-152-20</t>
  </si>
  <si>
    <t>PB-PAFBAC-156-20</t>
  </si>
  <si>
    <t>HFW-2020-06-0180</t>
  </si>
  <si>
    <t>20LD0129</t>
  </si>
  <si>
    <t>PB-PAFBAC-154-20</t>
  </si>
  <si>
    <t>Calaca 2020-043</t>
  </si>
  <si>
    <t>03-2020-0162</t>
  </si>
  <si>
    <t>PB-PAFBAC-155-20</t>
  </si>
  <si>
    <t>388548437</t>
  </si>
  <si>
    <t>03-2020-0197</t>
  </si>
  <si>
    <t>Calaca 2020-047</t>
  </si>
  <si>
    <t>Calaca 2020-045</t>
  </si>
  <si>
    <t>IPH-19-1149-B (Re-Bid)</t>
  </si>
  <si>
    <t>401-1011-2020-06-15</t>
  </si>
  <si>
    <t>20CSZ017</t>
  </si>
  <si>
    <t>Calaca 2020-044</t>
  </si>
  <si>
    <t>PEO-20-0553-B</t>
  </si>
  <si>
    <t>401-1011-2020-06-14</t>
  </si>
  <si>
    <t>Calaca 2020-046</t>
  </si>
  <si>
    <t>INVITATION TO BID No. 2020-06-001</t>
  </si>
  <si>
    <t>388548438</t>
  </si>
  <si>
    <t>PEO-20-0613-B</t>
  </si>
  <si>
    <t>322020a</t>
  </si>
  <si>
    <t>PB-06302020</t>
  </si>
  <si>
    <t>INF2020-002</t>
  </si>
  <si>
    <t>PEO-19-1551-B</t>
  </si>
  <si>
    <t>388548439</t>
  </si>
  <si>
    <t>INF2020-003</t>
  </si>
  <si>
    <t>2020-06-86</t>
  </si>
  <si>
    <t>388548440</t>
  </si>
  <si>
    <t>352020a</t>
  </si>
  <si>
    <t>342020a</t>
  </si>
  <si>
    <t>332020a</t>
  </si>
  <si>
    <t>17-FEB-2020-INFRA-PANAMIN</t>
  </si>
  <si>
    <t>03-2020-0163</t>
  </si>
  <si>
    <t>014-06-2020</t>
  </si>
  <si>
    <t>ITB 2020-049</t>
  </si>
  <si>
    <t>INF2020-004</t>
  </si>
  <si>
    <t>20HI0059</t>
  </si>
  <si>
    <t>Solano-2020-06-001</t>
  </si>
  <si>
    <t>ITB 2020-050</t>
  </si>
  <si>
    <t>20HI0035</t>
  </si>
  <si>
    <t>20OE0199</t>
  </si>
  <si>
    <t>20OE0198</t>
  </si>
  <si>
    <t>20HI0078</t>
  </si>
  <si>
    <t>PR-20-05-0113</t>
  </si>
  <si>
    <t>PB 06-03-2020</t>
  </si>
  <si>
    <t>ITB 2020-039</t>
  </si>
  <si>
    <t>BCS-2020-0094</t>
  </si>
  <si>
    <t>20HI0067</t>
  </si>
  <si>
    <t>INFRASIB-2020-07</t>
  </si>
  <si>
    <t>36020a</t>
  </si>
  <si>
    <t>20HI0088</t>
  </si>
  <si>
    <t>INFRASIB-2020-08</t>
  </si>
  <si>
    <t>ITB 2020-036</t>
  </si>
  <si>
    <t>20OE0201</t>
  </si>
  <si>
    <t>ITB 2020-051</t>
  </si>
  <si>
    <t>20OE0200</t>
  </si>
  <si>
    <t>INFRASIB-2020-09</t>
  </si>
  <si>
    <t>20GM00135</t>
  </si>
  <si>
    <t>20HI0060</t>
  </si>
  <si>
    <t>20DK0132 (Cluster I)</t>
  </si>
  <si>
    <t>20GM00138</t>
  </si>
  <si>
    <t>20GM00134</t>
  </si>
  <si>
    <t>LIMAO-BAC-06-20</t>
  </si>
  <si>
    <t>20CC0244</t>
  </si>
  <si>
    <t>20DK0133 (Cluster  II)</t>
  </si>
  <si>
    <t>20DK0131</t>
  </si>
  <si>
    <t>20GM00137</t>
  </si>
  <si>
    <t>20CC0245</t>
  </si>
  <si>
    <t>20DK0130</t>
  </si>
  <si>
    <t>20E00109</t>
  </si>
  <si>
    <t>20CC0248</t>
  </si>
  <si>
    <t>20DK0134 (Cluster III)</t>
  </si>
  <si>
    <t>GOODS JUNE 2020-001</t>
  </si>
  <si>
    <t>20CC0246</t>
  </si>
  <si>
    <t>DSWD NNP No. 20-GOP-SVC-002-A</t>
  </si>
  <si>
    <t>20CC0247</t>
  </si>
  <si>
    <t>20CC0249</t>
  </si>
  <si>
    <t>20CC0252</t>
  </si>
  <si>
    <t>GOODS JUNE 2020-002</t>
  </si>
  <si>
    <t>BTG3-2020-0204</t>
  </si>
  <si>
    <t>BTG3-2020-0201</t>
  </si>
  <si>
    <t>20CC0251</t>
  </si>
  <si>
    <t>BTG3-2020-0202</t>
  </si>
  <si>
    <t>BTG3-2020-0203</t>
  </si>
  <si>
    <t>20CC0254</t>
  </si>
  <si>
    <t>20CC0250</t>
  </si>
  <si>
    <t>IB No. 2020-038</t>
  </si>
  <si>
    <t>GOODS JUNE 2020-003</t>
  </si>
  <si>
    <t>20CC0253</t>
  </si>
  <si>
    <t>BTG3-2020-0205</t>
  </si>
  <si>
    <t>GOODS JUNE 2020-004</t>
  </si>
  <si>
    <t>IB No. 2020-037</t>
  </si>
  <si>
    <t>0608-001</t>
  </si>
  <si>
    <t>2020 GDS JUN</t>
  </si>
  <si>
    <t>BTG3-2020-0206</t>
  </si>
  <si>
    <t>2020-03-INFR</t>
  </si>
  <si>
    <t>Infra Projects 12-2020</t>
  </si>
  <si>
    <t>2020-CW-06-02</t>
  </si>
  <si>
    <t>GOODS 2020-06-PLA004</t>
  </si>
  <si>
    <t>2020-CW-06-01</t>
  </si>
  <si>
    <t>Infra Projects 13-2020</t>
  </si>
  <si>
    <t>0608-002</t>
  </si>
  <si>
    <t>pmma-IB-03-20</t>
  </si>
  <si>
    <t>GOODS 2020-06-PLA003</t>
  </si>
  <si>
    <t>IB 2020-06-005 PORL</t>
  </si>
  <si>
    <t>2020-GD-06-01</t>
  </si>
  <si>
    <t>INFRA 2020-06-PLA012</t>
  </si>
  <si>
    <t>2020-04-INFR</t>
  </si>
  <si>
    <t>Infra Projects 14-2020</t>
  </si>
  <si>
    <t>IB 2020-06-006 PSS</t>
  </si>
  <si>
    <t>INFRA 2020-06-PLA011</t>
  </si>
  <si>
    <t>2020-01-INFR</t>
  </si>
  <si>
    <t>2020-02-INFR</t>
  </si>
  <si>
    <t>pmma-IB-04-20</t>
  </si>
  <si>
    <t>pmma-IB-08-20</t>
  </si>
  <si>
    <t>LGU Nasipit-2020-044</t>
  </si>
  <si>
    <t>pmma-IB-06-20</t>
  </si>
  <si>
    <t>pmma-IB-07-20</t>
  </si>
  <si>
    <t>101-2020-05-0221</t>
  </si>
  <si>
    <t>pmma-IB-05-20</t>
  </si>
  <si>
    <t>BAC 2020-I01</t>
  </si>
  <si>
    <t>101-2020-05-0222</t>
  </si>
  <si>
    <t>101-2020-03-0043</t>
  </si>
  <si>
    <t>LGU Nasipit-2020-043</t>
  </si>
  <si>
    <t>101-2020-05-0219</t>
  </si>
  <si>
    <t>pmma-IB-10-20</t>
  </si>
  <si>
    <t>ITB No. 20-06-11</t>
  </si>
  <si>
    <t>msj-2020-16</t>
  </si>
  <si>
    <t>INFRA 2020-06</t>
  </si>
  <si>
    <t>2020-02-0082</t>
  </si>
  <si>
    <t>InTB-PGA2020OPAG-GDS1</t>
  </si>
  <si>
    <t>pmma-IB-09-20</t>
  </si>
  <si>
    <t>101-2020-05-0220</t>
  </si>
  <si>
    <t>Infra 2020-06-007</t>
  </si>
  <si>
    <t>20LF0139</t>
  </si>
  <si>
    <t>Infra 2020-06-009</t>
  </si>
  <si>
    <t>101-2020-03-0016</t>
  </si>
  <si>
    <t>CW2020-06-001(PB)</t>
  </si>
  <si>
    <t>3-9-20-ID3</t>
  </si>
  <si>
    <t>DILG (CMGP)</t>
  </si>
  <si>
    <t>100-20-03-0378</t>
  </si>
  <si>
    <t>PDDO-20-4299</t>
  </si>
  <si>
    <t>ITB 2020-013</t>
  </si>
  <si>
    <t>PDDO-20-4165</t>
  </si>
  <si>
    <t>Infra 2020-06-005</t>
  </si>
  <si>
    <t>MAWADWORKS#1, S. 2020</t>
  </si>
  <si>
    <t>20LF0140</t>
  </si>
  <si>
    <t>20-06-68</t>
  </si>
  <si>
    <t>Infra 2020-06-006</t>
  </si>
  <si>
    <t>20LF0141</t>
  </si>
  <si>
    <t>S3-SPUGM20-001 (S3-MMT20-006 &amp; 007)</t>
  </si>
  <si>
    <t>IB No. 2020-183</t>
  </si>
  <si>
    <t>ITB 2020-010</t>
  </si>
  <si>
    <t>20LF0142</t>
  </si>
  <si>
    <t>ITB 2020-014</t>
  </si>
  <si>
    <t>2020-051</t>
  </si>
  <si>
    <t>2020-054</t>
  </si>
  <si>
    <t>IB No. 2020-035</t>
  </si>
  <si>
    <t>ITB 2020-009</t>
  </si>
  <si>
    <t xml:space="preserve">INSTALLATION OF WINDOW BLINDS AT MP Bldg (Mayor's </t>
  </si>
  <si>
    <t>2020-052</t>
  </si>
  <si>
    <t>2020-05-046</t>
  </si>
  <si>
    <t>GS 2020-006-019</t>
  </si>
  <si>
    <t>IAEB 085-20</t>
  </si>
  <si>
    <t>BUE-06052020-01</t>
  </si>
  <si>
    <t>MAR-00033G-2020</t>
  </si>
  <si>
    <t>BSVP 2040</t>
  </si>
  <si>
    <t>SVP 20-976</t>
  </si>
  <si>
    <t>108-0304-2020</t>
  </si>
  <si>
    <t>100-1917-20-308</t>
  </si>
  <si>
    <t>IAEB 214-20</t>
  </si>
  <si>
    <t>2020-CW-33</t>
  </si>
  <si>
    <t>IAEB 178-20</t>
  </si>
  <si>
    <t>IB No. 2020-036</t>
  </si>
  <si>
    <t>RIO-LMC-11a-2020</t>
  </si>
  <si>
    <t>NP-PB 20-0658</t>
  </si>
  <si>
    <t>PW#02-26-20(1)</t>
  </si>
  <si>
    <t>RIO-LMC-11b-2020</t>
  </si>
  <si>
    <t>IAEB 086-20</t>
  </si>
  <si>
    <t>PGL 20-074</t>
  </si>
  <si>
    <t>PGL 20-075</t>
  </si>
  <si>
    <t>03-00506</t>
  </si>
  <si>
    <t>101-2020-04-0146</t>
  </si>
  <si>
    <t>PGL 20-076</t>
  </si>
  <si>
    <t>POW#12-17-19</t>
  </si>
  <si>
    <t>itb20-06-025</t>
  </si>
  <si>
    <t>PB NO. 2020-032</t>
  </si>
  <si>
    <t>PB NO. 2020-031</t>
  </si>
  <si>
    <t>PW#02-12-20(1)</t>
  </si>
  <si>
    <t>TAL-07-01-2020</t>
  </si>
  <si>
    <t>20L00171</t>
  </si>
  <si>
    <t>2020-0064</t>
  </si>
  <si>
    <t>PGL 20-077</t>
  </si>
  <si>
    <t>101-2020-03-0021</t>
  </si>
  <si>
    <t>NFA-NCR-RBAC-2020-06-05-008</t>
  </si>
  <si>
    <t>PGL INFRA 20-056</t>
  </si>
  <si>
    <t>SVP 2020-338</t>
  </si>
  <si>
    <t>TALB-06-01-2020LAP</t>
  </si>
  <si>
    <t>100-2020-0736</t>
  </si>
  <si>
    <t>SVP 20-1096</t>
  </si>
  <si>
    <t>SVP 2020-343</t>
  </si>
  <si>
    <t>20BE0083</t>
  </si>
  <si>
    <t>SVP 2020-341</t>
  </si>
  <si>
    <t>20BE0084</t>
  </si>
  <si>
    <t>SVP 2020-339</t>
  </si>
  <si>
    <t>100-2020-0734</t>
  </si>
  <si>
    <t>100-2020-0756</t>
  </si>
  <si>
    <t>GS 2020-004</t>
  </si>
  <si>
    <t>100-2020-0781</t>
  </si>
  <si>
    <t>2020-61 (GAS)</t>
  </si>
  <si>
    <t>100-2020-0806</t>
  </si>
  <si>
    <t>IB No. 2020-144</t>
  </si>
  <si>
    <t>STC-GOOD- NO. 2020-0039</t>
  </si>
  <si>
    <t>19-82-071</t>
  </si>
  <si>
    <t>20BE0087</t>
  </si>
  <si>
    <t>20BE0086</t>
  </si>
  <si>
    <t>2020-06-01-06</t>
  </si>
  <si>
    <t>INFRA 2020-005</t>
  </si>
  <si>
    <t>SMN-2020-002</t>
  </si>
  <si>
    <t>PBG-2020-22</t>
  </si>
  <si>
    <t>INFRA 2020-004</t>
  </si>
  <si>
    <t>2020-PLA-057</t>
  </si>
  <si>
    <t>20BE0085</t>
  </si>
  <si>
    <t>PB2020-06-004 GAA</t>
  </si>
  <si>
    <t>PR NO. 100-8751-20-04-0509</t>
  </si>
  <si>
    <t>GOODS 2020-013</t>
  </si>
  <si>
    <t>ITB202006</t>
  </si>
  <si>
    <t>AB 2020-01</t>
  </si>
  <si>
    <t>AB 2020-05</t>
  </si>
  <si>
    <t>PIA-0003G-2020</t>
  </si>
  <si>
    <t>AB 2020-06</t>
  </si>
  <si>
    <t>AB 2020-07</t>
  </si>
  <si>
    <t>ITB-2020-036</t>
  </si>
  <si>
    <t>04-G-2020 (MEO)</t>
  </si>
  <si>
    <t>TESDA-CO-2020-02 _Provision of Security Services R</t>
  </si>
  <si>
    <t>300-20-03-0409</t>
  </si>
  <si>
    <t>BBC2020-003</t>
  </si>
  <si>
    <t>300-20-03-0408</t>
  </si>
  <si>
    <t>300-20-03-0407</t>
  </si>
  <si>
    <t>PROJECT # 19 - 171</t>
  </si>
  <si>
    <t>ITB 20-03-142</t>
  </si>
  <si>
    <t>PR# 20-05-939</t>
  </si>
  <si>
    <t>05-003-20</t>
  </si>
  <si>
    <t>PR# 20-05-897</t>
  </si>
  <si>
    <t>VMC-2020-046</t>
  </si>
  <si>
    <t>PR# 20-05-941</t>
  </si>
  <si>
    <t>2020-02-03</t>
  </si>
  <si>
    <t>2020-03-07</t>
  </si>
  <si>
    <t>LGU-PI-2020-06-14PB</t>
  </si>
  <si>
    <t>BACII-2020-PB-14</t>
  </si>
  <si>
    <t>2020-01-003</t>
  </si>
  <si>
    <t>LGU-PI-2020-06-13PB</t>
  </si>
  <si>
    <t>GOODS 05-2020-001</t>
  </si>
  <si>
    <t>2020-17A</t>
  </si>
  <si>
    <t>2020-18A</t>
  </si>
  <si>
    <t>RFP 2020-03</t>
  </si>
  <si>
    <t>ITB No. (INF) 2020-06-080 CONSTRUCTION/IMPROVEMENT</t>
  </si>
  <si>
    <t>202006B</t>
  </si>
  <si>
    <t>ITB No. (INF) 2020-05-079 CONCRETING OF BARANGAY R</t>
  </si>
  <si>
    <t>ITB No. (INF) 2020-06-082 ROAD CONCRETING OF MACAA</t>
  </si>
  <si>
    <t>BRizal#001-2020</t>
  </si>
  <si>
    <t>ITB No. (INF) 2020-06-083 CONSTRUCTION OF BUABUA –</t>
  </si>
  <si>
    <t>2020-06-01-Goods</t>
  </si>
  <si>
    <t>CW 2020-006-015</t>
  </si>
  <si>
    <t>ITB No. (INF) 2020-06-081 REPAIR/REHABILITATION OF</t>
  </si>
  <si>
    <t>ITB No. (GDS) 2020-06-014 PROCUREMENT OF CONSTRUCT</t>
  </si>
  <si>
    <t>IB NO. 032-20</t>
  </si>
  <si>
    <t>ITB No. (INF) 2020-06-085 CONSTRUCTION/IMPROVEMENT</t>
  </si>
  <si>
    <t>ITB No. (INF) 2020-06-084 CONSTRUCTION/IMPROVEMENT</t>
  </si>
  <si>
    <t>IB NO. 031-20</t>
  </si>
  <si>
    <t>IB NO. 033-20</t>
  </si>
  <si>
    <t>ITB No. (INF) 2020-06-086 CONSTRUCTION/IMPROVEMENT</t>
  </si>
  <si>
    <t xml:space="preserve">ITB No. (INF) 2020-06-087 CONCRETING OF HOLLYWOOD </t>
  </si>
  <si>
    <t>ITB No. (INF) 2020-06-088 CONSTRUCTION OF BRGY. RO</t>
  </si>
  <si>
    <t>IB No. 2020-216</t>
  </si>
  <si>
    <t>2020-06-02-Goods - GSS</t>
  </si>
  <si>
    <t>IB NO. 034-20</t>
  </si>
  <si>
    <t>2020-06-01 Goods - GSS</t>
  </si>
  <si>
    <t>GS 2020-006-021</t>
  </si>
  <si>
    <t>BS-0003-2020</t>
  </si>
  <si>
    <t>05-04-2020</t>
  </si>
  <si>
    <t>CW 2020-006-017</t>
  </si>
  <si>
    <t>INFRA-08-20-03</t>
  </si>
  <si>
    <t>TAG-SDS-051-2020</t>
  </si>
  <si>
    <t>2020-PBG-01</t>
  </si>
  <si>
    <t>INFRA-08-20-01</t>
  </si>
  <si>
    <t>MJES-06072020A</t>
  </si>
  <si>
    <t>INFRA-08-20-02</t>
  </si>
  <si>
    <t>2020-05-0670</t>
  </si>
  <si>
    <t>20BF0057</t>
  </si>
  <si>
    <t>GS 2020-006-018</t>
  </si>
  <si>
    <t>100-2020-05-695</t>
  </si>
  <si>
    <t>MJES-06072020</t>
  </si>
  <si>
    <t>2020-05-</t>
  </si>
  <si>
    <t>TAG-SDS-053-2020</t>
  </si>
  <si>
    <t>bagong silang 3 pr1</t>
  </si>
  <si>
    <t>INFRA-08-20-04</t>
  </si>
  <si>
    <t>PEO-2020-0070</t>
  </si>
  <si>
    <t>BAL-06-08-2020-Concreting of 250 Linear Meter Siti</t>
  </si>
  <si>
    <t>INFRA-08-20-08</t>
  </si>
  <si>
    <t>INFRA-08-20-07</t>
  </si>
  <si>
    <t>PEO-2020-0603</t>
  </si>
  <si>
    <t>BAL-06-08-2020-Concreting of 150 Linear Meter Brgy</t>
  </si>
  <si>
    <t>INFRA-08-20-06</t>
  </si>
  <si>
    <t>BAL-06-08-2020-Concreting of 150 Linear Meter Siga</t>
  </si>
  <si>
    <t>BAL-05-18-2020-Concreting of 330 Linear Meter Exec</t>
  </si>
  <si>
    <t>INFRA-08-20-05</t>
  </si>
  <si>
    <t>52020786</t>
  </si>
  <si>
    <t>06072020</t>
  </si>
  <si>
    <t>PEO-2020-0745</t>
  </si>
  <si>
    <t>BAL-06-08-2020-Concreting of 200 Linear Meter Brgy</t>
  </si>
  <si>
    <t>BAL-06-08-2020-Concreting of 400 Linear Meter Brgy</t>
  </si>
  <si>
    <t>BAL-05-18-2020-Concreting of 250 Linear Meter Brgy</t>
  </si>
  <si>
    <t>2020-N-003</t>
  </si>
  <si>
    <t>PEO-2020-0485</t>
  </si>
  <si>
    <t>2020-03-0068</t>
  </si>
  <si>
    <t>PEO-2020-0413</t>
  </si>
  <si>
    <t>MG-PLM20-015..REPLACEMENT OF POWERHOUSE STATION BA</t>
  </si>
  <si>
    <t>BAC 2020-68</t>
  </si>
  <si>
    <t>52020785</t>
  </si>
  <si>
    <t>BUGASS-2020-039</t>
  </si>
  <si>
    <t>062320-02</t>
  </si>
  <si>
    <t>ITB NO. 2020-0012</t>
  </si>
  <si>
    <t>2005021</t>
  </si>
  <si>
    <t>062320-01A</t>
  </si>
  <si>
    <t>RO6-2020-03</t>
  </si>
  <si>
    <t>PEO-2020-0695</t>
  </si>
  <si>
    <t>BUGASS-2020-040</t>
  </si>
  <si>
    <t>MG-A5M20-001..OIL, WATER SEPARATOR AT SUMP PIT</t>
  </si>
  <si>
    <t>REC-2020-10</t>
  </si>
  <si>
    <t>BAC INFRA 2020-05</t>
  </si>
  <si>
    <t>2020-Infra-01 (2)</t>
  </si>
  <si>
    <t>REC-2020-09</t>
  </si>
  <si>
    <t>MG-ADM20-005..REPLACEMENT OF EXISTING STREET LIGHT</t>
  </si>
  <si>
    <t>662020-001</t>
  </si>
  <si>
    <t>2020-G-01 (2)</t>
  </si>
  <si>
    <t>2020-Goods-11</t>
  </si>
  <si>
    <t>662020-002</t>
  </si>
  <si>
    <t>20DF0182 - 20DF0187</t>
  </si>
  <si>
    <t>ITB-2020-035</t>
  </si>
  <si>
    <t>REC-2020-11</t>
  </si>
  <si>
    <t>2821-20</t>
  </si>
  <si>
    <t>2020-05-0218</t>
  </si>
  <si>
    <t>B20-17-13</t>
  </si>
  <si>
    <t>039</t>
  </si>
  <si>
    <t>037</t>
  </si>
  <si>
    <t>038</t>
  </si>
  <si>
    <t>2020-Infra-03</t>
  </si>
  <si>
    <t>infra 2020-06-001</t>
  </si>
  <si>
    <t>PB-CW-2020-023</t>
  </si>
  <si>
    <t>20-05-0545</t>
  </si>
  <si>
    <t>2020-0011</t>
  </si>
  <si>
    <t>PB-CW-2020-021</t>
  </si>
  <si>
    <t>ITB NO. 2020-0013</t>
  </si>
  <si>
    <t>300-20-04-09</t>
  </si>
  <si>
    <t>20-05-0550</t>
  </si>
  <si>
    <t>2020-010R</t>
  </si>
  <si>
    <t>IB NO. CW 2020 - 081</t>
  </si>
  <si>
    <t>20OI0103</t>
  </si>
  <si>
    <t>IB NO. CW 2020 -085</t>
  </si>
  <si>
    <t>2020-009R</t>
  </si>
  <si>
    <t>100-20-06-355</t>
  </si>
  <si>
    <t>IB NO. CW 2020-084</t>
  </si>
  <si>
    <t>IB NO. CW 2020 - 082</t>
  </si>
  <si>
    <t>IB NO. CW 2020 - 086</t>
  </si>
  <si>
    <t>IB NO. CW 2020 - 084</t>
  </si>
  <si>
    <t>PB-CW-2020-024</t>
  </si>
  <si>
    <t>IAEB 2020-009</t>
  </si>
  <si>
    <t>itb20-06-024</t>
  </si>
  <si>
    <t>20OI0120</t>
  </si>
  <si>
    <t>PB-CW-2020-022</t>
  </si>
  <si>
    <t>20OI0119</t>
  </si>
  <si>
    <t>2020-0361</t>
  </si>
  <si>
    <t>20OI0118</t>
  </si>
  <si>
    <t>IB NO. CW 2020 - 088</t>
  </si>
  <si>
    <t>2020-0448</t>
  </si>
  <si>
    <t>2020-0459</t>
  </si>
  <si>
    <t>4ARO-LOB-19-017</t>
  </si>
  <si>
    <t>1-06052020</t>
  </si>
  <si>
    <t>2020-0461</t>
  </si>
  <si>
    <t>2020-06-215</t>
  </si>
  <si>
    <t>202038</t>
  </si>
  <si>
    <t>2020065</t>
  </si>
  <si>
    <t>074 - 2020</t>
  </si>
  <si>
    <t>20236</t>
  </si>
  <si>
    <t>2-06052020</t>
  </si>
  <si>
    <t>M-11-20</t>
  </si>
  <si>
    <t>M-10-20</t>
  </si>
  <si>
    <t>PRO1GDS-2020-11</t>
  </si>
  <si>
    <t>2020-0348</t>
  </si>
  <si>
    <t>2020-0349</t>
  </si>
  <si>
    <t>0003-2020</t>
  </si>
  <si>
    <t>4-06052020</t>
  </si>
  <si>
    <t>20-153</t>
  </si>
  <si>
    <t>3-06052020</t>
  </si>
  <si>
    <t>PRO1GDS-2020-12</t>
  </si>
  <si>
    <t>PRO1GDS-2020-13</t>
  </si>
  <si>
    <t>PRO1GDS-2020-10</t>
  </si>
  <si>
    <t>7-06052020</t>
  </si>
  <si>
    <t>DENR-ENGP-MMFN-HAULING-2020-001</t>
  </si>
  <si>
    <t>2020-INFRA-043</t>
  </si>
  <si>
    <t>DAPA-076-2020</t>
  </si>
  <si>
    <t>5-06052020</t>
  </si>
  <si>
    <t>2020-G1-007</t>
  </si>
  <si>
    <t>2020-06-062</t>
  </si>
  <si>
    <t>10-06052020</t>
  </si>
  <si>
    <t>20LH0078</t>
  </si>
  <si>
    <t>2020-009-I</t>
  </si>
  <si>
    <t>9-06052020</t>
  </si>
  <si>
    <t>20LH0081</t>
  </si>
  <si>
    <t>20HH0133</t>
  </si>
  <si>
    <t>20HH0134</t>
  </si>
  <si>
    <t>8-06052020</t>
  </si>
  <si>
    <t>20LH0084</t>
  </si>
  <si>
    <t>6-06052020</t>
  </si>
  <si>
    <t>6005012020</t>
  </si>
  <si>
    <t>50011012020</t>
  </si>
  <si>
    <t>CBSUA-SIP-GOODS-09-2020</t>
  </si>
  <si>
    <t>202006050001</t>
  </si>
  <si>
    <t>ITB No. 20-22</t>
  </si>
  <si>
    <t>27619-001 to 27619-003</t>
  </si>
  <si>
    <t>2020-05-0104</t>
  </si>
  <si>
    <t>tgs 10-20</t>
  </si>
  <si>
    <t>100-20-05-324</t>
  </si>
  <si>
    <t>27388-001</t>
  </si>
  <si>
    <t>20LH0086</t>
  </si>
  <si>
    <t>20B00022</t>
  </si>
  <si>
    <t>27611-001</t>
  </si>
  <si>
    <t>20LH0090</t>
  </si>
  <si>
    <t>27608-001</t>
  </si>
  <si>
    <t>2020 - 006 - 016</t>
  </si>
  <si>
    <t>2020-05-0105</t>
  </si>
  <si>
    <t>20FL0066</t>
  </si>
  <si>
    <t>20LH0091</t>
  </si>
  <si>
    <t>KAP-20-15</t>
  </si>
  <si>
    <t>101-20-06-666</t>
  </si>
  <si>
    <t>SVP-2020-054</t>
  </si>
  <si>
    <t>101-20-06-667</t>
  </si>
  <si>
    <t>20DJ0090</t>
  </si>
  <si>
    <t>20FL0070</t>
  </si>
  <si>
    <t>20LH0092</t>
  </si>
  <si>
    <t>BS20-02-0296</t>
  </si>
  <si>
    <t>20LH0093</t>
  </si>
  <si>
    <t>BS20-06-MS005</t>
  </si>
  <si>
    <t>BS20-03-0609</t>
  </si>
  <si>
    <t>BS20-02-MME004</t>
  </si>
  <si>
    <t>BS20-02-0346</t>
  </si>
  <si>
    <t>20DJ0091</t>
  </si>
  <si>
    <t>BS20-03-0410</t>
  </si>
  <si>
    <t>BS20-03-0402</t>
  </si>
  <si>
    <t>BS20-03-0607</t>
  </si>
  <si>
    <t>101-20-006-665</t>
  </si>
  <si>
    <t>B20-17-09</t>
  </si>
  <si>
    <t>ORM-2011-20</t>
  </si>
  <si>
    <t>HILONGOS 2020-179</t>
  </si>
  <si>
    <t>BS20-03-0511</t>
  </si>
  <si>
    <t>20FL0064</t>
  </si>
  <si>
    <t>BS20-06-PR004</t>
  </si>
  <si>
    <t>ITB No. 2020-06-2</t>
  </si>
  <si>
    <t>BS20-03-0520</t>
  </si>
  <si>
    <t>06052020-D</t>
  </si>
  <si>
    <t>SVP-2020-055</t>
  </si>
  <si>
    <t>BS20-06-OE004</t>
  </si>
  <si>
    <t>BS20-06-HS003</t>
  </si>
  <si>
    <t>20DJ0094</t>
  </si>
  <si>
    <t>20FL0069</t>
  </si>
  <si>
    <t>20DJ0092</t>
  </si>
  <si>
    <t>20LH0094</t>
  </si>
  <si>
    <t>20DE0143</t>
  </si>
  <si>
    <t>BS20-03-0590</t>
  </si>
  <si>
    <t>20DJ0095</t>
  </si>
  <si>
    <t>BS20-03-0467</t>
  </si>
  <si>
    <t>BACII-2020-13</t>
  </si>
  <si>
    <t>ITB# 89-2020 Medical, Dental &amp; Supplies</t>
  </si>
  <si>
    <t>20GH00002 (Cluster)</t>
  </si>
  <si>
    <t>20G00098</t>
  </si>
  <si>
    <t>BS20-04-0635</t>
  </si>
  <si>
    <t>BS20-03-0433</t>
  </si>
  <si>
    <t>20DJ0093</t>
  </si>
  <si>
    <t>BS20-02-0215-1</t>
  </si>
  <si>
    <t>BS20-06-M008</t>
  </si>
  <si>
    <t>2020-05-350</t>
  </si>
  <si>
    <t>BS20-06-OS003</t>
  </si>
  <si>
    <t>ASTGOODS06</t>
  </si>
  <si>
    <t>50-20-05-042</t>
  </si>
  <si>
    <t>CW-KALINGA-UCRIS-03-2020</t>
  </si>
  <si>
    <t>2020-LP-21</t>
  </si>
  <si>
    <t>ICITB06052020A</t>
  </si>
  <si>
    <t>20FL0083</t>
  </si>
  <si>
    <t>20PA0126</t>
  </si>
  <si>
    <t>6-5-20</t>
  </si>
  <si>
    <t>2020-LP-22</t>
  </si>
  <si>
    <t>CW-APAYAO-LARIP-02-2020</t>
  </si>
  <si>
    <t>6-6-20</t>
  </si>
  <si>
    <t>20GHC0003</t>
  </si>
  <si>
    <t>20-20-02-044</t>
  </si>
  <si>
    <t>2020-INFRA-044</t>
  </si>
  <si>
    <t>20GP00033</t>
  </si>
  <si>
    <t>USTP-GSPB-06-5050105003-2020</t>
  </si>
  <si>
    <t>2020-002C</t>
  </si>
  <si>
    <t>20CSNE0001</t>
  </si>
  <si>
    <t>Calaca 2020-031</t>
  </si>
  <si>
    <t>20PA0127</t>
  </si>
  <si>
    <t>006-20</t>
  </si>
  <si>
    <t>Poblacion-2020-001</t>
  </si>
  <si>
    <t>CW-APAYAO-LARIP-01-2020</t>
  </si>
  <si>
    <t>ITB PR 0390</t>
  </si>
  <si>
    <t>20PK0066</t>
  </si>
  <si>
    <t>PR-2020-05-100</t>
  </si>
  <si>
    <t>GOODS-2020-06-008</t>
  </si>
  <si>
    <t>ITB PR 0406</t>
  </si>
  <si>
    <t>ITB brgy 25</t>
  </si>
  <si>
    <t>20PK0068</t>
  </si>
  <si>
    <t>PR-2020-05-116</t>
  </si>
  <si>
    <t>202006111</t>
  </si>
  <si>
    <t>20OD0190</t>
  </si>
  <si>
    <t>20GF0101</t>
  </si>
  <si>
    <t>GA-BAC-2019C-DP-21</t>
  </si>
  <si>
    <t>20-406</t>
  </si>
  <si>
    <t>SPC PR No. 202004-026</t>
  </si>
  <si>
    <t>2020-06-0028</t>
  </si>
  <si>
    <t>20-308</t>
  </si>
  <si>
    <t>PUR20-05-0433</t>
  </si>
  <si>
    <t>ITB 2020-05</t>
  </si>
  <si>
    <t>20-391</t>
  </si>
  <si>
    <t>20OD0189</t>
  </si>
  <si>
    <t>2020-PBINFRA-06-006</t>
  </si>
  <si>
    <t>5-11-20</t>
  </si>
  <si>
    <t>20-417</t>
  </si>
  <si>
    <t>20-425</t>
  </si>
  <si>
    <t>20PK0067</t>
  </si>
  <si>
    <t>GA-BAC-2020DP-12</t>
  </si>
  <si>
    <t>ITB Brgy30</t>
  </si>
  <si>
    <t>0605-003</t>
  </si>
  <si>
    <t>20PF0066</t>
  </si>
  <si>
    <t>20FN0095</t>
  </si>
  <si>
    <t>20FN0096</t>
  </si>
  <si>
    <t>0605-001</t>
  </si>
  <si>
    <t>2020-020-II</t>
  </si>
  <si>
    <t>20FN0093</t>
  </si>
  <si>
    <t>0605-002</t>
  </si>
  <si>
    <t>0605-004</t>
  </si>
  <si>
    <t>0605-005</t>
  </si>
  <si>
    <t>20FN0094</t>
  </si>
  <si>
    <t>20FN0097</t>
  </si>
  <si>
    <t>2020-019-II</t>
  </si>
  <si>
    <t>2020-018-II</t>
  </si>
  <si>
    <t>20-427</t>
  </si>
  <si>
    <t>20-426</t>
  </si>
  <si>
    <t>0605-006</t>
  </si>
  <si>
    <t>20-428</t>
  </si>
  <si>
    <t>Poblacion-2020-002</t>
  </si>
  <si>
    <t>101-020-006-064</t>
  </si>
  <si>
    <t>Budget Certificate No. 213-2020 dated May 29, 2020</t>
  </si>
  <si>
    <t>2020-05-066</t>
  </si>
  <si>
    <t>20-430</t>
  </si>
  <si>
    <t>2019-05</t>
  </si>
  <si>
    <t>20-431</t>
  </si>
  <si>
    <t>20CSDM01</t>
  </si>
  <si>
    <t>20CSNI03</t>
  </si>
  <si>
    <t>20CSNI02</t>
  </si>
  <si>
    <t>20GA0147</t>
  </si>
  <si>
    <t>20CSNI01</t>
  </si>
  <si>
    <t>20GA0149</t>
  </si>
  <si>
    <t>DAR-2020-03</t>
  </si>
  <si>
    <t>20CSDM02</t>
  </si>
  <si>
    <t>20GA0144</t>
  </si>
  <si>
    <t>ITB-PB-02</t>
  </si>
  <si>
    <t>2020-2406-001</t>
  </si>
  <si>
    <t>20GA0136</t>
  </si>
  <si>
    <t>0605-007</t>
  </si>
  <si>
    <t>20GA0152</t>
  </si>
  <si>
    <t>20GA0146</t>
  </si>
  <si>
    <t>20-429</t>
  </si>
  <si>
    <t>MUNPINCE-2006-100</t>
  </si>
  <si>
    <t>MUNPINCE-2006-101</t>
  </si>
  <si>
    <t>MUNPINCE-2006-099</t>
  </si>
  <si>
    <t>INFRA 2020-002</t>
  </si>
  <si>
    <t>2020-0034</t>
  </si>
  <si>
    <t>IN-BAC-2020-06-055</t>
  </si>
  <si>
    <t>014-ECE20</t>
  </si>
  <si>
    <t>M-20-17</t>
  </si>
  <si>
    <t>M-20-18</t>
  </si>
  <si>
    <t>20PI0082</t>
  </si>
  <si>
    <t>S3-KDP20-006</t>
  </si>
  <si>
    <t>NAVOTAS WEST 2020-001</t>
  </si>
  <si>
    <t>IN-BAC-2020-06-056</t>
  </si>
  <si>
    <t>S3-TAL20-008</t>
  </si>
  <si>
    <t>20PI0076</t>
  </si>
  <si>
    <t>S3-BLD20-009</t>
  </si>
  <si>
    <t>LGU-Sagay-4745</t>
  </si>
  <si>
    <t>2020-015R</t>
  </si>
  <si>
    <t>S3-TAL20-007</t>
  </si>
  <si>
    <t>S3-KDP20-009</t>
  </si>
  <si>
    <t>S3-BLD20-010</t>
  </si>
  <si>
    <t>030</t>
  </si>
  <si>
    <t>29</t>
  </si>
  <si>
    <t>20PI0091</t>
  </si>
  <si>
    <t>20PI0090</t>
  </si>
  <si>
    <t>20PI0087</t>
  </si>
  <si>
    <t>20PI0089</t>
  </si>
  <si>
    <t>S3-LOR20-001</t>
  </si>
  <si>
    <t>30</t>
  </si>
  <si>
    <t>20PI0088</t>
  </si>
  <si>
    <t>msj-2020-15</t>
  </si>
  <si>
    <t>NAVOTAS WEST 2020-002</t>
  </si>
  <si>
    <t>34</t>
  </si>
  <si>
    <t>Contract ID: 20KH0045</t>
  </si>
  <si>
    <t>BAC 06/04/20-01</t>
  </si>
  <si>
    <t>20GFG0015</t>
  </si>
  <si>
    <t>31</t>
  </si>
  <si>
    <t>pontevedra-20-CW06</t>
  </si>
  <si>
    <t>pontevedra-20-CW05</t>
  </si>
  <si>
    <t>33</t>
  </si>
  <si>
    <t>MKWD2020-041</t>
  </si>
  <si>
    <t>pontevedra-20-CW-04</t>
  </si>
  <si>
    <t>2020-135-I</t>
  </si>
  <si>
    <t>RFQ No. 20-074: Supply and Delivery of Various Lab</t>
  </si>
  <si>
    <t>20FG0100</t>
  </si>
  <si>
    <t>MG-A7C20-019</t>
  </si>
  <si>
    <t>pontevedra-20-CW07</t>
  </si>
  <si>
    <t>32</t>
  </si>
  <si>
    <t>2020-06-0177</t>
  </si>
  <si>
    <t>ITB No. 023-2020  GQ</t>
  </si>
  <si>
    <t>SN-2020-6</t>
  </si>
  <si>
    <t>20GKI0017 (Re-ad)</t>
  </si>
  <si>
    <t>2020-32</t>
  </si>
  <si>
    <t>20GKI0026</t>
  </si>
  <si>
    <t>ITB No. 024-2020  GQ</t>
  </si>
  <si>
    <t>100(01)20-06-321(O)</t>
  </si>
  <si>
    <t>SN-2020-7</t>
  </si>
  <si>
    <t>B-8661-20-11</t>
  </si>
  <si>
    <t>ITB No. 026-2020  GQ</t>
  </si>
  <si>
    <t>CWD06-202001</t>
  </si>
  <si>
    <t>20GKI0025 (Re-ad)</t>
  </si>
  <si>
    <t>20CK0093</t>
  </si>
  <si>
    <t>BRGHGMC-GS-2020-03</t>
  </si>
  <si>
    <t>06-04-01</t>
  </si>
  <si>
    <t>20GKI0024 (Re-ad)</t>
  </si>
  <si>
    <t xml:space="preserve">REQ 2020-025 Supply and delivery of Tires for NCR </t>
  </si>
  <si>
    <t>RFQ No. 053-2020 GQ</t>
  </si>
  <si>
    <t>PR NO. 2020-06-058</t>
  </si>
  <si>
    <t>S3-PLM20-003</t>
  </si>
  <si>
    <t>S3-NAQ20-008</t>
  </si>
  <si>
    <t>20BJ0060</t>
  </si>
  <si>
    <t>GO-20-06-038</t>
  </si>
  <si>
    <t>20-149</t>
  </si>
  <si>
    <t>06-05-2020-01</t>
  </si>
  <si>
    <t>S3-MMT20-015</t>
  </si>
  <si>
    <t>philgeps06042020</t>
  </si>
  <si>
    <t>2020 ITB - 027</t>
  </si>
  <si>
    <t>RFQ No. 054-2020  GQ</t>
  </si>
  <si>
    <t>ITB No. 027-2020 GQ</t>
  </si>
  <si>
    <t>20KB0162</t>
  </si>
  <si>
    <t>20-022</t>
  </si>
  <si>
    <t>20HA0130</t>
  </si>
  <si>
    <t>ITB No. 20-017</t>
  </si>
  <si>
    <t>014-0620-GD</t>
  </si>
  <si>
    <t>2020-292</t>
  </si>
  <si>
    <t>ITB No. 20-018</t>
  </si>
  <si>
    <t>M-20-19</t>
  </si>
  <si>
    <t>2020-06-0577 TDG</t>
  </si>
  <si>
    <t>20KB0163</t>
  </si>
  <si>
    <t>642020-022</t>
  </si>
  <si>
    <t>001-06052020</t>
  </si>
  <si>
    <t>PROJECT ID NO. G-2020-003</t>
  </si>
  <si>
    <t>20BD0111</t>
  </si>
  <si>
    <t>311</t>
  </si>
  <si>
    <t>2020 ADP steelfootbridge</t>
  </si>
  <si>
    <t>INFRA 2020-003</t>
  </si>
  <si>
    <t>36</t>
  </si>
  <si>
    <t>2020-05-0063</t>
  </si>
  <si>
    <t>20-036</t>
  </si>
  <si>
    <t>20BD0110</t>
  </si>
  <si>
    <t>35</t>
  </si>
  <si>
    <t>004-0605</t>
  </si>
  <si>
    <t>20KB0164</t>
  </si>
  <si>
    <t>20BD0113</t>
  </si>
  <si>
    <t>20BD00109</t>
  </si>
  <si>
    <t>20BD0112</t>
  </si>
  <si>
    <t>20-038</t>
  </si>
  <si>
    <t>PROJECT ID NO. I-2020-012</t>
  </si>
  <si>
    <t>20BD00108</t>
  </si>
  <si>
    <t>20GG00016</t>
  </si>
  <si>
    <t>20bd0116</t>
  </si>
  <si>
    <t>20BD0115</t>
  </si>
  <si>
    <t>20-037</t>
  </si>
  <si>
    <t>20NA0067</t>
  </si>
  <si>
    <t>20-035</t>
  </si>
  <si>
    <t>20GM0077</t>
  </si>
  <si>
    <t>20BD0119</t>
  </si>
  <si>
    <t>20bd0118</t>
  </si>
  <si>
    <t>20BD0117</t>
  </si>
  <si>
    <t>SVP 2020-026</t>
  </si>
  <si>
    <t>20-505</t>
  </si>
  <si>
    <t>420200302576</t>
  </si>
  <si>
    <t>sfbac2020-SAIP NO. 04-1000-05</t>
  </si>
  <si>
    <t>INFR-02-2020</t>
  </si>
  <si>
    <t>20BD0120</t>
  </si>
  <si>
    <t>20BD0114</t>
  </si>
  <si>
    <t>20BD0122</t>
  </si>
  <si>
    <t>20GM0073</t>
  </si>
  <si>
    <t>2020-G-27</t>
  </si>
  <si>
    <t>20BD0121</t>
  </si>
  <si>
    <t>Competitive Bidding 2020-19</t>
  </si>
  <si>
    <t>20GM0078</t>
  </si>
  <si>
    <t>20BD0125</t>
  </si>
  <si>
    <t>INF-SFO-04-20</t>
  </si>
  <si>
    <t>I-2020-014</t>
  </si>
  <si>
    <t>20BG0146</t>
  </si>
  <si>
    <t>20BD0123</t>
  </si>
  <si>
    <t>20GM0079</t>
  </si>
  <si>
    <t>20BD0124</t>
  </si>
  <si>
    <t>Competitive Bidding 2020-18</t>
  </si>
  <si>
    <t>20NH0081 (RE-AD)</t>
  </si>
  <si>
    <t>Competitive Bidding 2020-17</t>
  </si>
  <si>
    <t>005-06042020</t>
  </si>
  <si>
    <t>420200302577</t>
  </si>
  <si>
    <t>20-041</t>
  </si>
  <si>
    <t>RFQ-6-4-2020</t>
  </si>
  <si>
    <t>MRB-2020-BLDG</t>
  </si>
  <si>
    <t>Adv. 20-007</t>
  </si>
  <si>
    <t>BAC-NP NO. 2020-05</t>
  </si>
  <si>
    <t>20-503</t>
  </si>
  <si>
    <t>20GM0074</t>
  </si>
  <si>
    <t>20GM0075</t>
  </si>
  <si>
    <t>20-054</t>
  </si>
  <si>
    <t>20GM0076</t>
  </si>
  <si>
    <t>20-029</t>
  </si>
  <si>
    <t>ITB 2020-06-024</t>
  </si>
  <si>
    <t>2020-INFRA-037</t>
  </si>
  <si>
    <t>ITB2020-01-01</t>
  </si>
  <si>
    <t>20013052020</t>
  </si>
  <si>
    <t>2020-300</t>
  </si>
  <si>
    <t>2020-008</t>
  </si>
  <si>
    <t>CHEDRO12 ITB2020-06-002</t>
  </si>
  <si>
    <t>CW-258-2020</t>
  </si>
  <si>
    <t>2020-302</t>
  </si>
  <si>
    <t>2020-303</t>
  </si>
  <si>
    <t>6004012020</t>
  </si>
  <si>
    <t>2020-301</t>
  </si>
  <si>
    <t>6-28-20</t>
  </si>
  <si>
    <t>E-065-0365-20</t>
  </si>
  <si>
    <t>JUNE42020</t>
  </si>
  <si>
    <t>B-8661-20-12</t>
  </si>
  <si>
    <t>2020-INFRA-038</t>
  </si>
  <si>
    <t>CW-259-2020</t>
  </si>
  <si>
    <t>lgm</t>
  </si>
  <si>
    <t>CEO-2018-C14 and CEO-2018-11</t>
  </si>
  <si>
    <t>E-042-0342-20</t>
  </si>
  <si>
    <t>ITB-2019-PW-01</t>
  </si>
  <si>
    <t>D-005-0255-20</t>
  </si>
  <si>
    <t>2020-INFRA-039</t>
  </si>
  <si>
    <t>bac-baquioen-01-20</t>
  </si>
  <si>
    <t>2020-5</t>
  </si>
  <si>
    <t>20GDF0014</t>
  </si>
  <si>
    <t>FLGU-CW-2020-09</t>
  </si>
  <si>
    <t>SF2020-AIP-1000-25</t>
  </si>
  <si>
    <t>20NC0117</t>
  </si>
  <si>
    <t>INFRA-2020-05</t>
  </si>
  <si>
    <t>SOLANO 056-2020</t>
  </si>
  <si>
    <t>2020-ODY-06-175</t>
  </si>
  <si>
    <t>INFRA-017-2020</t>
  </si>
  <si>
    <t>20GDF0016</t>
  </si>
  <si>
    <t>020-06-2020</t>
  </si>
  <si>
    <t>IB No. 2020-029</t>
  </si>
  <si>
    <t>20PG0059</t>
  </si>
  <si>
    <t>ITB 100-2020-06-01</t>
  </si>
  <si>
    <t>20GDF0015</t>
  </si>
  <si>
    <t>Infra-2020-06</t>
  </si>
  <si>
    <t>2020-PB-015</t>
  </si>
  <si>
    <t>D-009-0259-20</t>
  </si>
  <si>
    <t>06-04-02</t>
  </si>
  <si>
    <t>RM-2020-02-002</t>
  </si>
  <si>
    <t>20GDF0017</t>
  </si>
  <si>
    <t>ITB 100-2020-06-02</t>
  </si>
  <si>
    <t>GFW-2020-06-017</t>
  </si>
  <si>
    <t>ITB 100-2020-06-03</t>
  </si>
  <si>
    <t>NAVOTAS WEST 2020-003</t>
  </si>
  <si>
    <t>GFG-2020-06-017</t>
  </si>
  <si>
    <t>INFR-018-2020</t>
  </si>
  <si>
    <t>20NC0118</t>
  </si>
  <si>
    <t>NAVOTAS WEST 2020-004</t>
  </si>
  <si>
    <t>2020-05-0062</t>
  </si>
  <si>
    <t>Publication no. 2020-05</t>
  </si>
  <si>
    <t>CID NO. 20IF0137</t>
  </si>
  <si>
    <t>IB No. 2020-030</t>
  </si>
  <si>
    <t>FLGU-CW-2020-10</t>
  </si>
  <si>
    <t>060420</t>
  </si>
  <si>
    <t>20GDF0018</t>
  </si>
  <si>
    <t>20NC0119</t>
  </si>
  <si>
    <t>Publication no. 2020-07</t>
  </si>
  <si>
    <t>NAVOTAS WEST 2020-005</t>
  </si>
  <si>
    <t>20NC0120</t>
  </si>
  <si>
    <t>JUNE42020-1</t>
  </si>
  <si>
    <t>20PG0060</t>
  </si>
  <si>
    <t>MIA-2020-06-001</t>
  </si>
  <si>
    <t>CID NO. 20IF0138</t>
  </si>
  <si>
    <t>2020-06-029</t>
  </si>
  <si>
    <t>BUENAVISTA202001</t>
  </si>
  <si>
    <t>SURGERY-2020-02-0002</t>
  </si>
  <si>
    <t>tag-07-20</t>
  </si>
  <si>
    <t>FLGU-CW-2020-11</t>
  </si>
  <si>
    <t>LGU2020-06-46</t>
  </si>
  <si>
    <t>NAVOTAS WEST 2020-006</t>
  </si>
  <si>
    <t>2020-S001</t>
  </si>
  <si>
    <t>RFQ-6-4-2020B</t>
  </si>
  <si>
    <t>BUE-06042020-01</t>
  </si>
  <si>
    <t>IB No. 2020-032</t>
  </si>
  <si>
    <t>2020-S002</t>
  </si>
  <si>
    <t>2020-INFRA-040</t>
  </si>
  <si>
    <t>IB No. 2020-031</t>
  </si>
  <si>
    <t>BCS-2020-098</t>
  </si>
  <si>
    <t>RFQ-6-4-2020C</t>
  </si>
  <si>
    <t>IB No. 2020-033</t>
  </si>
  <si>
    <t>20GDM0098</t>
  </si>
  <si>
    <t>I.D. NO. –June2-2020-460</t>
  </si>
  <si>
    <t>tagongon01-20</t>
  </si>
  <si>
    <t>PGLDN 101-20-05-1052</t>
  </si>
  <si>
    <t>2020-05-789-MEO</t>
  </si>
  <si>
    <t>2020-INFRA-041</t>
  </si>
  <si>
    <t>I.D. NO. –June2-2020-461</t>
  </si>
  <si>
    <t>PB INFRA 001-2020</t>
  </si>
  <si>
    <t>SWEP-PNBAC1-2020-02</t>
  </si>
  <si>
    <t>I.D. NO. –June2-2020-466</t>
  </si>
  <si>
    <t>PB INFRA 02-2020</t>
  </si>
  <si>
    <t>I.D. NO. –June2-2020-463</t>
  </si>
  <si>
    <t>20HF0098</t>
  </si>
  <si>
    <t>I.D. NO. –June2-2020-462</t>
  </si>
  <si>
    <t>CW20-19</t>
  </si>
  <si>
    <t>PN 09-2020</t>
  </si>
  <si>
    <t>R1-ISIMO-20-06-021</t>
  </si>
  <si>
    <t>R1-ISIMO-20-06-022</t>
  </si>
  <si>
    <t>I.D. NO. –June2-2020-464</t>
  </si>
  <si>
    <t>2020-INFRA-042</t>
  </si>
  <si>
    <t>IB No. 2020-034</t>
  </si>
  <si>
    <t>I.D. NO. –June2-2020-456</t>
  </si>
  <si>
    <t>PR NO. 020-06-040</t>
  </si>
  <si>
    <t>PR0035-20 +0036-20 MotorPool</t>
  </si>
  <si>
    <t>I.D. NO. –June2-2020-455</t>
  </si>
  <si>
    <t>SWEP-PNBAC1-2020-03</t>
  </si>
  <si>
    <t>2020-PBCW-04</t>
  </si>
  <si>
    <t>2020-0006-0002</t>
  </si>
  <si>
    <t>R1-ISIMO-20-06-020</t>
  </si>
  <si>
    <t>20HF0093</t>
  </si>
  <si>
    <t>I.D. NO. –June2-2020-465</t>
  </si>
  <si>
    <t>I.D. NO. –June2-2020-458</t>
  </si>
  <si>
    <t>ITB PR No.: 0295, 0317-20BAC</t>
  </si>
  <si>
    <t>R1-ISIMO-20-06-023</t>
  </si>
  <si>
    <t>2020-PBG-</t>
  </si>
  <si>
    <t>ITB PR No.: 0206-20BAC</t>
  </si>
  <si>
    <t>I.D. NO. –June2-2020-459</t>
  </si>
  <si>
    <t>I.D. NO. –June2-2020-457</t>
  </si>
  <si>
    <t>ITB PR No.: 0207-20BAC</t>
  </si>
  <si>
    <t>20DQ0107</t>
  </si>
  <si>
    <t>20MB0153</t>
  </si>
  <si>
    <t>2020-134-I</t>
  </si>
  <si>
    <t>2020-136-I</t>
  </si>
  <si>
    <t>20DQ0110</t>
  </si>
  <si>
    <t>2020-0006-0001</t>
  </si>
  <si>
    <t>PRDP ID No.: PRDP-IR-R011-DDS-006-DAV-003-2018</t>
  </si>
  <si>
    <t>20DQ0109</t>
  </si>
  <si>
    <t>ITB PR No.: 1155-20BAC</t>
  </si>
  <si>
    <t>RO4-GOODS-2020-18</t>
  </si>
  <si>
    <t>ITB PR No.: 0193-20BAC</t>
  </si>
  <si>
    <t>20DQ0108</t>
  </si>
  <si>
    <t>20DQ00106</t>
  </si>
  <si>
    <t>2020-133-I</t>
  </si>
  <si>
    <t>lgutangcalldn-095</t>
  </si>
  <si>
    <t>ITB PR No.: 1123-20BAC</t>
  </si>
  <si>
    <t>lgutangcalldn-096</t>
  </si>
  <si>
    <t>GSV2020-06-025</t>
  </si>
  <si>
    <t>20FC0073</t>
  </si>
  <si>
    <t>DPWH-SK2DEO-20GMH046</t>
  </si>
  <si>
    <t>BAC-HO GS No. 2020-0242 dated 28 May 2020 (ASD)</t>
  </si>
  <si>
    <t>20-06-36A</t>
  </si>
  <si>
    <t>DPWH-SK2DEO-20GMH044</t>
  </si>
  <si>
    <t>DPWH-SK2DEO-20GMH045</t>
  </si>
  <si>
    <t>DPWH-SK2DEO-20GMH042</t>
  </si>
  <si>
    <t>DPWH-SK2DEO-20GMH043</t>
  </si>
  <si>
    <t>20-06-37A</t>
  </si>
  <si>
    <t>20-05-399</t>
  </si>
  <si>
    <t>031</t>
  </si>
  <si>
    <t>20LG0113</t>
  </si>
  <si>
    <t>20FC0091</t>
  </si>
  <si>
    <t>AGINF2020-0605B</t>
  </si>
  <si>
    <t>20FC0084</t>
  </si>
  <si>
    <t>NIAREG9-06032020-686</t>
  </si>
  <si>
    <t>20FC0105</t>
  </si>
  <si>
    <t>AGINF2020-0605A</t>
  </si>
  <si>
    <t>ITB PR No.: 0697-20BAC</t>
  </si>
  <si>
    <t>20DQ0111</t>
  </si>
  <si>
    <t>ITB PR No.: 0698-20BAC</t>
  </si>
  <si>
    <t>ITB PR No.: 0694-20BAC</t>
  </si>
  <si>
    <t>ITB PR No.: 0177-20BAC</t>
  </si>
  <si>
    <t>ITB PR No.: 0691-20BAC</t>
  </si>
  <si>
    <t>035</t>
  </si>
  <si>
    <t>ITB PR No.: 0499-20BAC</t>
  </si>
  <si>
    <t>ITB PR No.: 0604-20BAC</t>
  </si>
  <si>
    <t>ITB PR No.: 0772-20BAC</t>
  </si>
  <si>
    <t>ITB PR No.: 0952-20BAC</t>
  </si>
  <si>
    <t>ITB PR No.: 0774-20BAC</t>
  </si>
  <si>
    <t>qis_NFRA_2020#28</t>
  </si>
  <si>
    <t>ITB PR No.: 0204-20BAC</t>
  </si>
  <si>
    <t>20-06-443</t>
  </si>
  <si>
    <t>ITB PR No.: 3310-19BAC</t>
  </si>
  <si>
    <t>034</t>
  </si>
  <si>
    <t>NIAREG9-06032020-687</t>
  </si>
  <si>
    <t>033</t>
  </si>
  <si>
    <t>032</t>
  </si>
  <si>
    <t>20csd01</t>
  </si>
  <si>
    <t>20CSZ005</t>
  </si>
  <si>
    <t>lam-bac-189-020</t>
  </si>
  <si>
    <t>ITB PR No.: 0605-20BAC</t>
  </si>
  <si>
    <t>002-06042020</t>
  </si>
  <si>
    <t>001-06042020</t>
  </si>
  <si>
    <t>004-06042020</t>
  </si>
  <si>
    <t>006-06042020</t>
  </si>
  <si>
    <t>BAC-PG-00118-20</t>
  </si>
  <si>
    <t>003-06042020</t>
  </si>
  <si>
    <t>BAC-PG-00117-20</t>
  </si>
  <si>
    <t>007-06042020</t>
  </si>
  <si>
    <t>012-06042020</t>
  </si>
  <si>
    <t>BAC-PG-00116-20</t>
  </si>
  <si>
    <t>BAC-PG-00119-20</t>
  </si>
  <si>
    <t>BAC 2020-69</t>
  </si>
  <si>
    <t>011-06042020</t>
  </si>
  <si>
    <t>008-06042020</t>
  </si>
  <si>
    <t>010-06042020</t>
  </si>
  <si>
    <t>013-06042020</t>
  </si>
  <si>
    <t>009-06042020</t>
  </si>
  <si>
    <t>022-06042020</t>
  </si>
  <si>
    <t>020-06042020</t>
  </si>
  <si>
    <t>20GA0185</t>
  </si>
  <si>
    <t>021-06042020</t>
  </si>
  <si>
    <t>014-06042020</t>
  </si>
  <si>
    <t>019-0506042020</t>
  </si>
  <si>
    <t>017-06042020</t>
  </si>
  <si>
    <t>015-06042020</t>
  </si>
  <si>
    <t>DENR-ORMIN-015-2020</t>
  </si>
  <si>
    <t>024-06042020</t>
  </si>
  <si>
    <t>20GA0213</t>
  </si>
  <si>
    <t>20GA0188</t>
  </si>
  <si>
    <t>20GA0189</t>
  </si>
  <si>
    <t>20GA0190</t>
  </si>
  <si>
    <t>026-06042020</t>
  </si>
  <si>
    <t>20GA0209</t>
  </si>
  <si>
    <t>030-06042020</t>
  </si>
  <si>
    <t>025-06042020</t>
  </si>
  <si>
    <t>031-06042020</t>
  </si>
  <si>
    <t>016-06042020</t>
  </si>
  <si>
    <t>018-06042020</t>
  </si>
  <si>
    <t>20GA0212</t>
  </si>
  <si>
    <t>B2-2020-03-004</t>
  </si>
  <si>
    <t>038-06042020</t>
  </si>
  <si>
    <t>036-06042020</t>
  </si>
  <si>
    <t>029-06042020</t>
  </si>
  <si>
    <t>B1-2020-04-010</t>
  </si>
  <si>
    <t>034-06042020</t>
  </si>
  <si>
    <t>037-06042020</t>
  </si>
  <si>
    <t>028-06042020</t>
  </si>
  <si>
    <t>032-06042020</t>
  </si>
  <si>
    <t>035-06042020</t>
  </si>
  <si>
    <t>033-06042020</t>
  </si>
  <si>
    <t>027-06042020</t>
  </si>
  <si>
    <t>048-06042020</t>
  </si>
  <si>
    <t>039-06042020</t>
  </si>
  <si>
    <t>ME2020-05-022.2</t>
  </si>
  <si>
    <t>MG-A7T20-050</t>
  </si>
  <si>
    <t>040-06042020</t>
  </si>
  <si>
    <t>ME2020-05-022.5</t>
  </si>
  <si>
    <t>ME2020-05-022.4</t>
  </si>
  <si>
    <t>ME2020-05-022.1</t>
  </si>
  <si>
    <t>045-06042020</t>
  </si>
  <si>
    <t>ME2020-05-022.3</t>
  </si>
  <si>
    <t>049-06042020</t>
  </si>
  <si>
    <t>044-06042020</t>
  </si>
  <si>
    <t>ME2020-05-022.6</t>
  </si>
  <si>
    <t>042-06042020</t>
  </si>
  <si>
    <t>043-06042020</t>
  </si>
  <si>
    <t>Infra-2020-07</t>
  </si>
  <si>
    <t>041-06042020</t>
  </si>
  <si>
    <t>ME2020-05-022.7</t>
  </si>
  <si>
    <t>PB20200601-029</t>
  </si>
  <si>
    <t>ME2020-05-022.8</t>
  </si>
  <si>
    <t>PB20200601-030</t>
  </si>
  <si>
    <t>059-06042020</t>
  </si>
  <si>
    <t>057-06042020</t>
  </si>
  <si>
    <t>054-06042020</t>
  </si>
  <si>
    <t>050-06042020</t>
  </si>
  <si>
    <t>ME2020-05-022.9</t>
  </si>
  <si>
    <t>061-06042020</t>
  </si>
  <si>
    <t>Infra-2020-08</t>
  </si>
  <si>
    <t>PB20200601-031</t>
  </si>
  <si>
    <t>060-06042020</t>
  </si>
  <si>
    <t>056-06042020</t>
  </si>
  <si>
    <t>051-06042020</t>
  </si>
  <si>
    <t>053-06042020</t>
  </si>
  <si>
    <t>058-06042020</t>
  </si>
  <si>
    <t>2020-B2-05-013</t>
  </si>
  <si>
    <t>052-06042020</t>
  </si>
  <si>
    <t>PB20200601-032</t>
  </si>
  <si>
    <t>20GFI0002</t>
  </si>
  <si>
    <t>063-06042020</t>
  </si>
  <si>
    <t>062-06042020</t>
  </si>
  <si>
    <t>UMB-TAG-SDS-01-2020</t>
  </si>
  <si>
    <t>065-06042020</t>
  </si>
  <si>
    <t>2020-B1-04-011</t>
  </si>
  <si>
    <t>PB20200602-033</t>
  </si>
  <si>
    <t>ME2020-05-022.10</t>
  </si>
  <si>
    <t>064-06042020</t>
  </si>
  <si>
    <t>ME2020-05-022.15</t>
  </si>
  <si>
    <t>ME2020-05-022.16</t>
  </si>
  <si>
    <t>BAC-PG-00131-20</t>
  </si>
  <si>
    <t>ME2020-05-022.14</t>
  </si>
  <si>
    <t>2020-B1-03-007</t>
  </si>
  <si>
    <t>20ME0140</t>
  </si>
  <si>
    <t>066-06042020</t>
  </si>
  <si>
    <t>20ME0142</t>
  </si>
  <si>
    <t>ME2020-05-022.12</t>
  </si>
  <si>
    <t>20-096</t>
  </si>
  <si>
    <t>2020-B1-05-012</t>
  </si>
  <si>
    <t>067-06042020</t>
  </si>
  <si>
    <t>069-06042020</t>
  </si>
  <si>
    <t>20ME0141</t>
  </si>
  <si>
    <t>ME2020-05-022.11</t>
  </si>
  <si>
    <t>PB NO. 2020-030</t>
  </si>
  <si>
    <t>20ME0137</t>
  </si>
  <si>
    <t>20ME0139</t>
  </si>
  <si>
    <t>20ME0138</t>
  </si>
  <si>
    <t>PB NO. 2020-029</t>
  </si>
  <si>
    <t>ADS-1241-20</t>
  </si>
  <si>
    <t>ADS-0671-20</t>
  </si>
  <si>
    <t>075-06042020</t>
  </si>
  <si>
    <t>124 - 2020</t>
  </si>
  <si>
    <t>20-097</t>
  </si>
  <si>
    <t>20-02-0080</t>
  </si>
  <si>
    <t>121 - 2020</t>
  </si>
  <si>
    <t>125 - 2020</t>
  </si>
  <si>
    <t>20AA0350</t>
  </si>
  <si>
    <t>20-104</t>
  </si>
  <si>
    <t>96a - 2020</t>
  </si>
  <si>
    <t>20-105</t>
  </si>
  <si>
    <t>068-06042020</t>
  </si>
  <si>
    <t>072-06042020</t>
  </si>
  <si>
    <t>070-06042020</t>
  </si>
  <si>
    <t>20ME0136</t>
  </si>
  <si>
    <t>20-101</t>
  </si>
  <si>
    <t>20-100</t>
  </si>
  <si>
    <t>20-103</t>
  </si>
  <si>
    <t>ADS-1242-20</t>
  </si>
  <si>
    <t>ADS-0668-20</t>
  </si>
  <si>
    <t>ADS-0670-20</t>
  </si>
  <si>
    <t>ADS-0669-20</t>
  </si>
  <si>
    <t>ADS-0646-20</t>
  </si>
  <si>
    <t>2020-B1-04</t>
  </si>
  <si>
    <t>122 - 2020</t>
  </si>
  <si>
    <t>ADS-0647-20</t>
  </si>
  <si>
    <t>ADS-0648-20</t>
  </si>
  <si>
    <t>ITB-2020-10-I</t>
  </si>
  <si>
    <t>RIZAL-23JUNE2020-6</t>
  </si>
  <si>
    <t>20HL0109</t>
  </si>
  <si>
    <t>RIZAL-23JUNE2020-3</t>
  </si>
  <si>
    <t>RIZAL-23JUNE2020-7</t>
  </si>
  <si>
    <t>RIZAL-23JUNE2020-1</t>
  </si>
  <si>
    <t>RIZAL-23JUNE2020-5</t>
  </si>
  <si>
    <t>RIZAL-23JUNE2020-4</t>
  </si>
  <si>
    <t>ADS-0649-20</t>
  </si>
  <si>
    <t>RIZAL-23JUNE2020-2</t>
  </si>
  <si>
    <t>LGU-2020-038</t>
  </si>
  <si>
    <t>20ME0135</t>
  </si>
  <si>
    <t>2020-B1-03-009</t>
  </si>
  <si>
    <t>RIZAL-23JUNE2020-8</t>
  </si>
  <si>
    <t>PB20200602-034</t>
  </si>
  <si>
    <t>RIZAL-23JUNE2020-9</t>
  </si>
  <si>
    <t>RIZAL-23JUNE2020-13</t>
  </si>
  <si>
    <t>RIZAL-23JUNE2020-14</t>
  </si>
  <si>
    <t>RIZAL-23JUNE2020-12</t>
  </si>
  <si>
    <t>RIZAL-23JUNE2020-10</t>
  </si>
  <si>
    <t>RIZAL-23JUNE2020-18</t>
  </si>
  <si>
    <t>RIZAL-23JUNE2020-26</t>
  </si>
  <si>
    <t>RIZAL-23JUNE2020-17</t>
  </si>
  <si>
    <t>RIZAL-23JUNE2020-25</t>
  </si>
  <si>
    <t>RIZAL-23JUNE2020-27</t>
  </si>
  <si>
    <t>RIZAL-23JUNE2020-19</t>
  </si>
  <si>
    <t>RIZAL-23JUNE2020-23</t>
  </si>
  <si>
    <t>RIZAL-23JUNE2020-22</t>
  </si>
  <si>
    <t>RIZAL-23JUNE2020-16</t>
  </si>
  <si>
    <t>RIZAL-23JUNE2020-24</t>
  </si>
  <si>
    <t>RIZAL-23JUNE2020-20</t>
  </si>
  <si>
    <t>RIZAL-23JUNE2020-15</t>
  </si>
  <si>
    <t>RIZAL-23JUNE2020-30</t>
  </si>
  <si>
    <t>RIZAL-23JUNE2020-28</t>
  </si>
  <si>
    <t>RIZAL-23JUNE2020-29</t>
  </si>
  <si>
    <t>RIZAL-23JUNE2020-21</t>
  </si>
  <si>
    <t>20L00028</t>
  </si>
  <si>
    <t>RIZAL-23JUNE2020-31</t>
  </si>
  <si>
    <t>20CSEB03</t>
  </si>
  <si>
    <t>20L00152</t>
  </si>
  <si>
    <t>20CSEB05</t>
  </si>
  <si>
    <t>20L00151</t>
  </si>
  <si>
    <t>INF-ITB 20-024</t>
  </si>
  <si>
    <t>20MD0131</t>
  </si>
  <si>
    <t>20L00150</t>
  </si>
  <si>
    <t>MG-A7O20-007</t>
  </si>
  <si>
    <t>20CN0142</t>
  </si>
  <si>
    <t>20MD0130</t>
  </si>
  <si>
    <t>06032020A</t>
  </si>
  <si>
    <t>20CSEB04</t>
  </si>
  <si>
    <t>SVP-2020-044</t>
  </si>
  <si>
    <t>ITB-2020-06-01 bayambang</t>
  </si>
  <si>
    <t>INF-ITB 20-027</t>
  </si>
  <si>
    <t>INF-ITB 20-025</t>
  </si>
  <si>
    <t>OM-175-L-2020</t>
  </si>
  <si>
    <t>RIZAL-23JUNE2020-11</t>
  </si>
  <si>
    <t>QRF-CY2020-SLOPE PROTECTION</t>
  </si>
  <si>
    <t>20MD0133</t>
  </si>
  <si>
    <t>20L00154</t>
  </si>
  <si>
    <t>INF-ITB 20-026</t>
  </si>
  <si>
    <t>BAC 2020-61</t>
  </si>
  <si>
    <t>2020-029 D&amp;M ONC</t>
  </si>
  <si>
    <t>20MD0132</t>
  </si>
  <si>
    <t>Civil Works 019-2020</t>
  </si>
  <si>
    <t>2020-030 RHU</t>
  </si>
  <si>
    <t>BAC 2020-62</t>
  </si>
  <si>
    <t>BAC 2020-64</t>
  </si>
  <si>
    <t>PR NO. 2020-06-2014</t>
  </si>
  <si>
    <t>2020-028 Lab and hospital supplies</t>
  </si>
  <si>
    <t>100-20-06-0638</t>
  </si>
  <si>
    <t>20GB0122</t>
  </si>
  <si>
    <t>LPZ - 2020 - 008</t>
  </si>
  <si>
    <t>OGDS 06-3-20</t>
  </si>
  <si>
    <t>21</t>
  </si>
  <si>
    <t>100-20-05-0602</t>
  </si>
  <si>
    <t>BAC 2020-63</t>
  </si>
  <si>
    <t>2020-03-90-B</t>
  </si>
  <si>
    <t>20GB0121</t>
  </si>
  <si>
    <t>ITB-011-2020</t>
  </si>
  <si>
    <t>DVO-200623-01</t>
  </si>
  <si>
    <t>Q-085-20</t>
  </si>
  <si>
    <t>020-10 Lot 2</t>
  </si>
  <si>
    <t>Competitive Bidding 2020-16</t>
  </si>
  <si>
    <t>2020-02a</t>
  </si>
  <si>
    <t>19-09-0386</t>
  </si>
  <si>
    <t>20AI0169</t>
  </si>
  <si>
    <t>020-10 Lot 3</t>
  </si>
  <si>
    <t>2020-06-516</t>
  </si>
  <si>
    <t>20GB0123</t>
  </si>
  <si>
    <t>020-10 Lot 1</t>
  </si>
  <si>
    <t>DVO-200623-02</t>
  </si>
  <si>
    <t>RFQ.2020-008</t>
  </si>
  <si>
    <t>DVO-200623-04</t>
  </si>
  <si>
    <t>100-20-06-0631</t>
  </si>
  <si>
    <t>DVO-200623-03</t>
  </si>
  <si>
    <t>PBI-2020-19</t>
  </si>
  <si>
    <t>DVO-200623-05</t>
  </si>
  <si>
    <t>020-10 Lot 4</t>
  </si>
  <si>
    <t>2020-06-517</t>
  </si>
  <si>
    <t>2020-06-03-01</t>
  </si>
  <si>
    <t>20LA0319</t>
  </si>
  <si>
    <t>LGUTMO BAC 2020-13</t>
  </si>
  <si>
    <t>BAC 2020-65</t>
  </si>
  <si>
    <t>BB-2020-002</t>
  </si>
  <si>
    <t>DVO-200623-07</t>
  </si>
  <si>
    <t>GOODS-ETG-20-05-012</t>
  </si>
  <si>
    <t>DVO-200623-08</t>
  </si>
  <si>
    <t>DVO-200623-06</t>
  </si>
  <si>
    <t>DVO-200623-09</t>
  </si>
  <si>
    <t>CRN 2020-06-001</t>
  </si>
  <si>
    <t>2020-038</t>
  </si>
  <si>
    <t>20-06-020</t>
  </si>
  <si>
    <t>2020-037</t>
  </si>
  <si>
    <t>BAC 2020-66</t>
  </si>
  <si>
    <t>DVO-200623-10</t>
  </si>
  <si>
    <t>06032020-A</t>
  </si>
  <si>
    <t>20LA0322</t>
  </si>
  <si>
    <t>GOOD-005-2020</t>
  </si>
  <si>
    <t>20LA0320</t>
  </si>
  <si>
    <t>20CSGB01</t>
  </si>
  <si>
    <t>DVO-200623-12</t>
  </si>
  <si>
    <t>20LA0321</t>
  </si>
  <si>
    <t>DVO-200623-11</t>
  </si>
  <si>
    <t>LGUTMO BAC 2020-14</t>
  </si>
  <si>
    <t>PB-CW-2020-016</t>
  </si>
  <si>
    <t>197</t>
  </si>
  <si>
    <t>100-20-06-0634</t>
  </si>
  <si>
    <t>DVO-200623-13</t>
  </si>
  <si>
    <t>20LA0323</t>
  </si>
  <si>
    <t>PB-CW-2020-018</t>
  </si>
  <si>
    <t>Contract No. PB-CW-2020-017</t>
  </si>
  <si>
    <t>20LA0325</t>
  </si>
  <si>
    <t>LGUTMO BAC 2020-15</t>
  </si>
  <si>
    <t>20LA0324</t>
  </si>
  <si>
    <t>20LA0330</t>
  </si>
  <si>
    <t>PANG-2020-0761</t>
  </si>
  <si>
    <t>20LA0329</t>
  </si>
  <si>
    <t>DVO-200623-14</t>
  </si>
  <si>
    <t>PB-CW-2020-019</t>
  </si>
  <si>
    <t>20LA0328</t>
  </si>
  <si>
    <t>20EG0091</t>
  </si>
  <si>
    <t>20LA0326</t>
  </si>
  <si>
    <t>20LA0327</t>
  </si>
  <si>
    <t>20LA0331</t>
  </si>
  <si>
    <t>PB-CW-2020-020</t>
  </si>
  <si>
    <t>06032020-B</t>
  </si>
  <si>
    <t>20LA0333</t>
  </si>
  <si>
    <t>DVO-200623-15</t>
  </si>
  <si>
    <t>20HN0115</t>
  </si>
  <si>
    <t>DVO-200623-16</t>
  </si>
  <si>
    <t>26</t>
  </si>
  <si>
    <t>20LA0334</t>
  </si>
  <si>
    <t>DVO-200623-17</t>
  </si>
  <si>
    <t>20200603</t>
  </si>
  <si>
    <t>DVO-200623-18</t>
  </si>
  <si>
    <t>TAL-06-30-2020</t>
  </si>
  <si>
    <t>20LA0284</t>
  </si>
  <si>
    <t>20LA0332</t>
  </si>
  <si>
    <t>TAL-06-31-2020</t>
  </si>
  <si>
    <t>20HN0116</t>
  </si>
  <si>
    <t>20LA0285</t>
  </si>
  <si>
    <t>20LA0283</t>
  </si>
  <si>
    <t>27</t>
  </si>
  <si>
    <t>2020-2076-06-203</t>
  </si>
  <si>
    <t>ITB (CW-06-2020-017) 20DD0219 (Re-Advertised)</t>
  </si>
  <si>
    <t>20LA0290</t>
  </si>
  <si>
    <t>20LA0294</t>
  </si>
  <si>
    <t>2005072</t>
  </si>
  <si>
    <t>164-20-05-64</t>
  </si>
  <si>
    <t>TAL-06-32-2020</t>
  </si>
  <si>
    <t>20LA0291</t>
  </si>
  <si>
    <t>20LA0286</t>
  </si>
  <si>
    <t>GEPS-13-2020</t>
  </si>
  <si>
    <t>20LA0293</t>
  </si>
  <si>
    <t>28</t>
  </si>
  <si>
    <t>041</t>
  </si>
  <si>
    <t>20LA0287</t>
  </si>
  <si>
    <t>ITB-019-2020</t>
  </si>
  <si>
    <t>20LA0292</t>
  </si>
  <si>
    <t>20LA0295</t>
  </si>
  <si>
    <t>20LA0299</t>
  </si>
  <si>
    <t>100-1917-20-309</t>
  </si>
  <si>
    <t>399-05-2020 (IPHO)</t>
  </si>
  <si>
    <t>2005075</t>
  </si>
  <si>
    <t>2005073</t>
  </si>
  <si>
    <t>042</t>
  </si>
  <si>
    <t>2006081</t>
  </si>
  <si>
    <t>2005074</t>
  </si>
  <si>
    <t>20LA0302</t>
  </si>
  <si>
    <t>SVP-2020-051</t>
  </si>
  <si>
    <t>20LA0300</t>
  </si>
  <si>
    <t>20LA0301</t>
  </si>
  <si>
    <t>2006080</t>
  </si>
  <si>
    <t>PR 2020-03-018</t>
  </si>
  <si>
    <t>DA RFO-1-2019-INFRA-049-R</t>
  </si>
  <si>
    <t>NS-06-04-20</t>
  </si>
  <si>
    <t>20LA0308</t>
  </si>
  <si>
    <t>07-01-2020-06-510</t>
  </si>
  <si>
    <t>20LA0311</t>
  </si>
  <si>
    <t>2006082</t>
  </si>
  <si>
    <t>20LA0310</t>
  </si>
  <si>
    <t>bacgal-47-2020</t>
  </si>
  <si>
    <t>Aklan BAC ITB 327 Series of 2020</t>
  </si>
  <si>
    <t>ITB (CW-06-2020-017) 20DD0310</t>
  </si>
  <si>
    <t>20GM0072</t>
  </si>
  <si>
    <t>20LA0312</t>
  </si>
  <si>
    <t>20LA0309</t>
  </si>
  <si>
    <t>20GM0071</t>
  </si>
  <si>
    <t>07-01-2020-06-439</t>
  </si>
  <si>
    <t>PR 2020-03-022</t>
  </si>
  <si>
    <t>DA RFO-1-2019-INFRA-48-R</t>
  </si>
  <si>
    <t>ITB (CW-06-2020-017) 20DD0314</t>
  </si>
  <si>
    <t>11-01-2020-06-511</t>
  </si>
  <si>
    <t>20IC0073</t>
  </si>
  <si>
    <t>20FO0093</t>
  </si>
  <si>
    <t>05-0013-20</t>
  </si>
  <si>
    <t>ITB (CW-06-2020-017) 20DD0312</t>
  </si>
  <si>
    <t>20PC0001CS</t>
  </si>
  <si>
    <t>12-01-2020-06-512</t>
  </si>
  <si>
    <t>ITB (CW-06-2020-017) 20DD0311</t>
  </si>
  <si>
    <t>20LA0313</t>
  </si>
  <si>
    <t>20-06-075</t>
  </si>
  <si>
    <t>PR 2020-03-027</t>
  </si>
  <si>
    <t>DA RFO-1-2019-INFRA-051-R</t>
  </si>
  <si>
    <t>BS20-02-0398</t>
  </si>
  <si>
    <t>ITB (CW-06-2020-017) 20DD0313</t>
  </si>
  <si>
    <t>BAC-CAN 2020-001</t>
  </si>
  <si>
    <t>GO-20-06-035</t>
  </si>
  <si>
    <t>SJ-20-154</t>
  </si>
  <si>
    <t>20ITB-INF-02-00032</t>
  </si>
  <si>
    <t>DA RFO-1-2019-INFRA-052-R</t>
  </si>
  <si>
    <t>FLGU-G-2020-29</t>
  </si>
  <si>
    <t>ITB (CW-06-2020-017) 20DD0316</t>
  </si>
  <si>
    <t>DA RFO-1-2019-INFRA-053-R</t>
  </si>
  <si>
    <t>NV 2020-026 Re-bid</t>
  </si>
  <si>
    <t>ITB-2020-010</t>
  </si>
  <si>
    <t>20PC0002CS</t>
  </si>
  <si>
    <t>ITB (CW-06-2020-017) 20DD0318</t>
  </si>
  <si>
    <t>20FO0094</t>
  </si>
  <si>
    <t>ITB-2020-012</t>
  </si>
  <si>
    <t>ITB-2020-011</t>
  </si>
  <si>
    <t>Publication No. 26-2020-G</t>
  </si>
  <si>
    <t>ITB (CW-06-2020-017) 20DD0317</t>
  </si>
  <si>
    <t>ITB (CW-06-2020-017) 20DD0315</t>
  </si>
  <si>
    <t>20FO0095</t>
  </si>
  <si>
    <t>20LA0314</t>
  </si>
  <si>
    <t>NV 2020-030</t>
  </si>
  <si>
    <t>ITB (CW-06-2020-017) 20DD0319</t>
  </si>
  <si>
    <t>ITB (CW-06-2020-017) 20DD0321</t>
  </si>
  <si>
    <t>BS20-03-0463</t>
  </si>
  <si>
    <t>20JB0076</t>
  </si>
  <si>
    <t>NV 2020-031</t>
  </si>
  <si>
    <t>19-83-408</t>
  </si>
  <si>
    <t>ITB (CW-06-2020-017) 20DD0323</t>
  </si>
  <si>
    <t>DA RFO-1-2019-INFRA-054-R</t>
  </si>
  <si>
    <t>SVP 2020-337</t>
  </si>
  <si>
    <t>NV 2020-032</t>
  </si>
  <si>
    <t>20LA0315</t>
  </si>
  <si>
    <t>ITB (CW-06-2020-017) 20DD0322</t>
  </si>
  <si>
    <t>PR 2020-05-077</t>
  </si>
  <si>
    <t>12-01-2020-06-515</t>
  </si>
  <si>
    <t>20GP00062</t>
  </si>
  <si>
    <t>19-83-180</t>
  </si>
  <si>
    <t>ITB (CW-06-2020-017) 20DD0320</t>
  </si>
  <si>
    <t>2020-02-0267-MAIN</t>
  </si>
  <si>
    <t>100-202002-00479</t>
  </si>
  <si>
    <t>GO-20-06-036</t>
  </si>
  <si>
    <t>J06-2020-001</t>
  </si>
  <si>
    <t>ITB (CW-06-2020-017) 20DD0324</t>
  </si>
  <si>
    <t>20BH0135</t>
  </si>
  <si>
    <t>20AI0168</t>
  </si>
  <si>
    <t>20IC0075</t>
  </si>
  <si>
    <t>GO-20-06-037</t>
  </si>
  <si>
    <t>ITB 12-2020</t>
  </si>
  <si>
    <t>KAP-20-12</t>
  </si>
  <si>
    <t>MKWD2020-042</t>
  </si>
  <si>
    <t>PR # 20-03-0411</t>
  </si>
  <si>
    <t>20IC0074</t>
  </si>
  <si>
    <t>062320-01</t>
  </si>
  <si>
    <t>20PG0044</t>
  </si>
  <si>
    <t>ITB NO. OCD 2020-08</t>
  </si>
  <si>
    <t>20GNE0019</t>
  </si>
  <si>
    <t>ITB NO. OCD 2020-09</t>
  </si>
  <si>
    <t>5020503000-PNP-DICTM-20-04</t>
  </si>
  <si>
    <t>MKWD2020-044</t>
  </si>
  <si>
    <t>PNPTR-CPSM-DP-20-01</t>
  </si>
  <si>
    <t>SKT2020-01</t>
  </si>
  <si>
    <t>G-2020-16</t>
  </si>
  <si>
    <t>2020-05-290</t>
  </si>
  <si>
    <t>20DE0142</t>
  </si>
  <si>
    <t>2020-06-305</t>
  </si>
  <si>
    <t>CW20-06-014</t>
  </si>
  <si>
    <t>01-147-2020</t>
  </si>
  <si>
    <t>20GNE0022</t>
  </si>
  <si>
    <t>IB-2020-083-INFRA</t>
  </si>
  <si>
    <t>CW20-06-015</t>
  </si>
  <si>
    <t>CW20-06-016</t>
  </si>
  <si>
    <t>20FN0089</t>
  </si>
  <si>
    <t>20-030</t>
  </si>
  <si>
    <t>ITB 20CL0041</t>
  </si>
  <si>
    <t>2020-03-164</t>
  </si>
  <si>
    <t>CW20-06-017</t>
  </si>
  <si>
    <t>20GDE0001 (Re-advertised)</t>
  </si>
  <si>
    <t>2020-05-263</t>
  </si>
  <si>
    <t>2020-06-0178</t>
  </si>
  <si>
    <t>2020-03-165</t>
  </si>
  <si>
    <t>ITB 20CL0001</t>
  </si>
  <si>
    <t>CW20-06-018</t>
  </si>
  <si>
    <t>CW20-06-019</t>
  </si>
  <si>
    <t>20GDB0022</t>
  </si>
  <si>
    <t>20FN0090</t>
  </si>
  <si>
    <t>DPWH-SK2DEO-20GMH040</t>
  </si>
  <si>
    <t>CW20-06-020</t>
  </si>
  <si>
    <t>DPWH-SK2DEO-20GMH041</t>
  </si>
  <si>
    <t>2020-03-163</t>
  </si>
  <si>
    <t>2020-003G</t>
  </si>
  <si>
    <t>DA3-2019-10-29-03 (2020)</t>
  </si>
  <si>
    <t>05032020</t>
  </si>
  <si>
    <t>CW20-06-021</t>
  </si>
  <si>
    <t>PIN2020-075</t>
  </si>
  <si>
    <t>CW20-06-023</t>
  </si>
  <si>
    <t>20IC0059 (2nd re-advertisement)</t>
  </si>
  <si>
    <t>CW20-06-022</t>
  </si>
  <si>
    <t>CW20-06-026</t>
  </si>
  <si>
    <t>20KC0121</t>
  </si>
  <si>
    <t>CW20-06-025</t>
  </si>
  <si>
    <t>20GDB0023</t>
  </si>
  <si>
    <t>CW20-06-024</t>
  </si>
  <si>
    <t>PIN2020-074</t>
  </si>
  <si>
    <t>CW20-06-027</t>
  </si>
  <si>
    <t>CW20-06-029</t>
  </si>
  <si>
    <t>20KC0122</t>
  </si>
  <si>
    <t>300-20-06-008</t>
  </si>
  <si>
    <t>300-20-02-004</t>
  </si>
  <si>
    <t>20KC0123</t>
  </si>
  <si>
    <t>20CE0207</t>
  </si>
  <si>
    <t>CW20-06-028</t>
  </si>
  <si>
    <t>300-200-02-003</t>
  </si>
  <si>
    <t>300-20-02-002</t>
  </si>
  <si>
    <t>20KC0125</t>
  </si>
  <si>
    <t>20KC0124</t>
  </si>
  <si>
    <t>20LD0127</t>
  </si>
  <si>
    <t>CW20-06-030</t>
  </si>
  <si>
    <t>300-20-02-001</t>
  </si>
  <si>
    <t>200-20-02-0049</t>
  </si>
  <si>
    <t>20-314</t>
  </si>
  <si>
    <t>BDG-2020-01R</t>
  </si>
  <si>
    <t>ITB-DARFO12-2020-0460</t>
  </si>
  <si>
    <t>ITB-DARFO12-2020-0459</t>
  </si>
  <si>
    <t>IB-2020-085-INFRA</t>
  </si>
  <si>
    <t>200-20-02-0048</t>
  </si>
  <si>
    <t>20CE0208</t>
  </si>
  <si>
    <t>IB-2020-084-INFRA</t>
  </si>
  <si>
    <t>ITB-DARFO12-2020-0458</t>
  </si>
  <si>
    <t>CW20-06-031</t>
  </si>
  <si>
    <t>CW20-06-032</t>
  </si>
  <si>
    <t>BDG-2020-02</t>
  </si>
  <si>
    <t>20FN0091</t>
  </si>
  <si>
    <t>20FN0092</t>
  </si>
  <si>
    <t>SKT2020-04</t>
  </si>
  <si>
    <t>IB-2020-086-INFRA</t>
  </si>
  <si>
    <t>SKT2020-03</t>
  </si>
  <si>
    <t>IB-2020-090-INFRA</t>
  </si>
  <si>
    <t>CW20-06-033</t>
  </si>
  <si>
    <t>CW20-06-035</t>
  </si>
  <si>
    <t>IB-2020-088-INFRA</t>
  </si>
  <si>
    <t>IB-2020-089-INFRA</t>
  </si>
  <si>
    <t>PB 06-02-2020</t>
  </si>
  <si>
    <t>20LG0119</t>
  </si>
  <si>
    <t>CW20-06-034</t>
  </si>
  <si>
    <t>IB-2020-087-INFRA</t>
  </si>
  <si>
    <t>BTG3-2020-0197</t>
  </si>
  <si>
    <t>BTG3-2020-0200</t>
  </si>
  <si>
    <t>BTG3-2020-0195</t>
  </si>
  <si>
    <t>BTG3-2020-0198</t>
  </si>
  <si>
    <t>BTG3-2020-0194</t>
  </si>
  <si>
    <t>20KC0126</t>
  </si>
  <si>
    <t>DA3-2020-04-24-55</t>
  </si>
  <si>
    <t>DA3-2020-05-21-82</t>
  </si>
  <si>
    <t>2020-04-0041</t>
  </si>
  <si>
    <t>BTG3-2020-0199</t>
  </si>
  <si>
    <t>20IC0067 (2nd re-advertisement)</t>
  </si>
  <si>
    <t>BTG3-2020-0193</t>
  </si>
  <si>
    <t>Bid Reference No. 2020-006; PR No. 2020-06-0165</t>
  </si>
  <si>
    <t>20IC0068 (2nd re-advertisement)</t>
  </si>
  <si>
    <t>BTG3-2020-0196</t>
  </si>
  <si>
    <t>20IC0065 (2nd re-advertisement)</t>
  </si>
  <si>
    <t>DA3-2019-11-06-18(2020)</t>
  </si>
  <si>
    <t>20IC0066 (2nd re-advertisement)</t>
  </si>
  <si>
    <t>20IC0064 (2nd re-advertisement)</t>
  </si>
  <si>
    <t>20PF0065</t>
  </si>
  <si>
    <t>20IC0069 (2nd re-advertisement)</t>
  </si>
  <si>
    <t>20PF0064</t>
  </si>
  <si>
    <t>20IC0070 (2nd re-advertisement)</t>
  </si>
  <si>
    <t>2020-05-044</t>
  </si>
  <si>
    <t>20GA0164</t>
  </si>
  <si>
    <t>20GA0174</t>
  </si>
  <si>
    <t>20F00122</t>
  </si>
  <si>
    <t>20F00113</t>
  </si>
  <si>
    <t>20F00110</t>
  </si>
  <si>
    <t>20GA0158</t>
  </si>
  <si>
    <t>20F00059</t>
  </si>
  <si>
    <t>20F00123</t>
  </si>
  <si>
    <t>20GA0169</t>
  </si>
  <si>
    <t>GOODS-024-2020</t>
  </si>
  <si>
    <t>20F00108</t>
  </si>
  <si>
    <t>IB No.2020-06-010-G</t>
  </si>
  <si>
    <t>20F00075</t>
  </si>
  <si>
    <t>20GA0176</t>
  </si>
  <si>
    <t>PB NO. 2020-028</t>
  </si>
  <si>
    <t>PB 2020-042</t>
  </si>
  <si>
    <t>20GA0180</t>
  </si>
  <si>
    <t>B-015-2020</t>
  </si>
  <si>
    <t>2020-05-41</t>
  </si>
  <si>
    <t>2020-05-CS1</t>
  </si>
  <si>
    <t>PB-06032020-BALUC</t>
  </si>
  <si>
    <t>B-014-2020</t>
  </si>
  <si>
    <t>18FB0325</t>
  </si>
  <si>
    <t>B-010-2020-A</t>
  </si>
  <si>
    <t>20EB0122</t>
  </si>
  <si>
    <t>PB NO. 2020-027</t>
  </si>
  <si>
    <t>20EB0119-R1</t>
  </si>
  <si>
    <t>B-031-2020</t>
  </si>
  <si>
    <t>18FB0326</t>
  </si>
  <si>
    <t>20FD0065</t>
  </si>
  <si>
    <t>B-030-2020</t>
  </si>
  <si>
    <t>CONTRACT ID NO. 20GN0090</t>
  </si>
  <si>
    <t>20EB0123</t>
  </si>
  <si>
    <t>20EB0124</t>
  </si>
  <si>
    <t>AGR-20-0478-B Purchase of Agricultural Machinery &amp;</t>
  </si>
  <si>
    <t>20BF0055</t>
  </si>
  <si>
    <t>PANG-2020-0757</t>
  </si>
  <si>
    <t>PANG-2020-0758</t>
  </si>
  <si>
    <t>20BF0056</t>
  </si>
  <si>
    <t>PANG-2020-0756</t>
  </si>
  <si>
    <t>100(01)20-05-051(M)</t>
  </si>
  <si>
    <t>PANG-2020-0755</t>
  </si>
  <si>
    <t>PANG-2020-0760</t>
  </si>
  <si>
    <t>CGS-2020-W013</t>
  </si>
  <si>
    <t>AGR-20-0479-B Purchase of Agricultural Machinery &amp;</t>
  </si>
  <si>
    <t>ITB NO: 2020-006-027</t>
  </si>
  <si>
    <t>20IK0093</t>
  </si>
  <si>
    <t>PANG-2020-0750</t>
  </si>
  <si>
    <t>PANG-2020-0753</t>
  </si>
  <si>
    <t>20GHK0004</t>
  </si>
  <si>
    <t>PANG-2020-0752</t>
  </si>
  <si>
    <t>PANG-2020-0751</t>
  </si>
  <si>
    <t>PANG-2020-0754</t>
  </si>
  <si>
    <t>PANG-2020-0749</t>
  </si>
  <si>
    <t>ITB No. GOODS-20-101</t>
  </si>
  <si>
    <t>20IK0094</t>
  </si>
  <si>
    <t>ITB No. GOODS-20-102</t>
  </si>
  <si>
    <t>BPB 2020-013</t>
  </si>
  <si>
    <t>IB NO. 2020-207</t>
  </si>
  <si>
    <t>100(01)20-05-050(M)</t>
  </si>
  <si>
    <t>PANG-2020-0759</t>
  </si>
  <si>
    <t>NNP-2020-VI-22-01F TIRES,BATTERY, SPAREPARTS (GSO)</t>
  </si>
  <si>
    <t>20IK0096</t>
  </si>
  <si>
    <t>MGBX-06-077-2020</t>
  </si>
  <si>
    <t>20IK0097</t>
  </si>
  <si>
    <t>20CC0236</t>
  </si>
  <si>
    <t>AGR-20-0476-B Purchase of Agricultural Machinery &amp;</t>
  </si>
  <si>
    <t>2020-05-286-ME</t>
  </si>
  <si>
    <t>20CC0235</t>
  </si>
  <si>
    <t>msj-2020-13</t>
  </si>
  <si>
    <t>20GBF0002</t>
  </si>
  <si>
    <t>20IK0095</t>
  </si>
  <si>
    <t>20CC0240</t>
  </si>
  <si>
    <t>334-2020 Bidding</t>
  </si>
  <si>
    <t>20CC0242</t>
  </si>
  <si>
    <t>20CC0234</t>
  </si>
  <si>
    <t>20CC0241</t>
  </si>
  <si>
    <t>20CC0239</t>
  </si>
  <si>
    <t>335-2020 Bidding</t>
  </si>
  <si>
    <t>20CC0238</t>
  </si>
  <si>
    <t>20CC0237</t>
  </si>
  <si>
    <t>SJDB-2020-20</t>
  </si>
  <si>
    <t>20CC0243</t>
  </si>
  <si>
    <t>BAC PB 2020-011</t>
  </si>
  <si>
    <t>336-2020 Bidding</t>
  </si>
  <si>
    <t>2020-PB-01</t>
  </si>
  <si>
    <t>20-05-0218</t>
  </si>
  <si>
    <t>20GAA0062</t>
  </si>
  <si>
    <t>338-2020 Bidding</t>
  </si>
  <si>
    <t>300-05-20-0010</t>
  </si>
  <si>
    <t>2020-02-0185, 2020-02-0299, 2020-02-0152, 2020-02-</t>
  </si>
  <si>
    <t>BALZN9-2008</t>
  </si>
  <si>
    <t>PR NO. 2020-10</t>
  </si>
  <si>
    <t>BGRY-2020-001</t>
  </si>
  <si>
    <t>2020-02-0415, 2020-02-0242</t>
  </si>
  <si>
    <t>SCM-INFRA-01072020-01</t>
  </si>
  <si>
    <t>2020-G-060</t>
  </si>
  <si>
    <t>SCM-INFRA-01072020-02</t>
  </si>
  <si>
    <t>2020-02-0311, 2020-02-0380, 2020-02-0273, 2020-01-</t>
  </si>
  <si>
    <t>339-2020 Bidding</t>
  </si>
  <si>
    <t>PSU ITB 2005 097</t>
  </si>
  <si>
    <t>PR NO. 2020-11</t>
  </si>
  <si>
    <t>013-0620-CP</t>
  </si>
  <si>
    <t>2020-363</t>
  </si>
  <si>
    <t>IB 2020-023</t>
  </si>
  <si>
    <t>20GA00001</t>
  </si>
  <si>
    <t>20KB0138 Re-Advertisement</t>
  </si>
  <si>
    <t>20KB0159</t>
  </si>
  <si>
    <t>IB 2020-024</t>
  </si>
  <si>
    <t>20-06-04-IN</t>
  </si>
  <si>
    <t>SCM-INFRA-01072020-03</t>
  </si>
  <si>
    <t>20KB0161</t>
  </si>
  <si>
    <t>IB 2020-025</t>
  </si>
  <si>
    <t>BALZN9-2009</t>
  </si>
  <si>
    <t>20KB0160</t>
  </si>
  <si>
    <t>SCM-INFRA-01072020-04</t>
  </si>
  <si>
    <t>20032719</t>
  </si>
  <si>
    <t>20032713</t>
  </si>
  <si>
    <t>20GNH0004</t>
  </si>
  <si>
    <t>0001-2020</t>
  </si>
  <si>
    <t>20-06-03-IN</t>
  </si>
  <si>
    <t>POW-036-2020</t>
  </si>
  <si>
    <t>06202002</t>
  </si>
  <si>
    <t>2020-062-13</t>
  </si>
  <si>
    <t>2020-0014</t>
  </si>
  <si>
    <t>ME-2020-001</t>
  </si>
  <si>
    <t>POW-033-2020</t>
  </si>
  <si>
    <t>019</t>
  </si>
  <si>
    <t>BAC 2020-06-25</t>
  </si>
  <si>
    <t>ITB NO. 06-20-01</t>
  </si>
  <si>
    <t>20053185</t>
  </si>
  <si>
    <t>2020-0033</t>
  </si>
  <si>
    <t>POW-032-2020</t>
  </si>
  <si>
    <t>pb-infra-2020-034</t>
  </si>
  <si>
    <t>20053164</t>
  </si>
  <si>
    <t>PSU ITB 2005-098</t>
  </si>
  <si>
    <t>PBI-2020-13</t>
  </si>
  <si>
    <t>2020-05-04</t>
  </si>
  <si>
    <t>2020-0015</t>
  </si>
  <si>
    <t>BALZN9-2010</t>
  </si>
  <si>
    <t>20032821</t>
  </si>
  <si>
    <t>DENR-ENGP-MMFN-HARDENING-OFF-2020-001</t>
  </si>
  <si>
    <t>ITB NO. 06-20-03</t>
  </si>
  <si>
    <t>ITB NO. 06-20-02</t>
  </si>
  <si>
    <t>PEO-2020-0069</t>
  </si>
  <si>
    <t>20-06-02</t>
  </si>
  <si>
    <t>DENR-ENGP-MMFN-HARDENING-OFF-2020-002</t>
  </si>
  <si>
    <t>2020-04-0061-65</t>
  </si>
  <si>
    <t>infra 033-2020</t>
  </si>
  <si>
    <t>IB NO. PB-2020-06-20</t>
  </si>
  <si>
    <t>infra 035-2020</t>
  </si>
  <si>
    <t>021</t>
  </si>
  <si>
    <t>POW-037-2020</t>
  </si>
  <si>
    <t>infra  034-2020</t>
  </si>
  <si>
    <t>ITB NO. 06-20-04</t>
  </si>
  <si>
    <t>BAC 2020-06-26</t>
  </si>
  <si>
    <t>POW-035-2020</t>
  </si>
  <si>
    <t>MAILHI200602</t>
  </si>
  <si>
    <t>TUPBACEQ-PB-01-CBP-F164-20-G-R</t>
  </si>
  <si>
    <t>022</t>
  </si>
  <si>
    <t>infra 038-2020</t>
  </si>
  <si>
    <t>INFRA 2020-10</t>
  </si>
  <si>
    <t>BAC 2020-06-27</t>
  </si>
  <si>
    <t>nego8</t>
  </si>
  <si>
    <t>INFRA 2020-09</t>
  </si>
  <si>
    <t>infra 036-2020</t>
  </si>
  <si>
    <t>ITB NO. 06-20-05</t>
  </si>
  <si>
    <t>01-2020-05M</t>
  </si>
  <si>
    <t>BAC 2020-06-28</t>
  </si>
  <si>
    <t>ITB-2020-04</t>
  </si>
  <si>
    <t>INFRA 2020-08</t>
  </si>
  <si>
    <t>GO-20-06-034</t>
  </si>
  <si>
    <t>infra 037-2020</t>
  </si>
  <si>
    <t>02-06-2020</t>
  </si>
  <si>
    <t>20GLH0013 (P.R. No. 2020-03-021 dated 03/17/2020)</t>
  </si>
  <si>
    <t>06232020-079</t>
  </si>
  <si>
    <t>20KJ0176</t>
  </si>
  <si>
    <t>06232020-080</t>
  </si>
  <si>
    <t>20KJ0175</t>
  </si>
  <si>
    <t>Solicitation No. Goods 20-0603-0062</t>
  </si>
  <si>
    <t>CW -20-0603-006R</t>
  </si>
  <si>
    <t>20KJ0178</t>
  </si>
  <si>
    <t>Solicitation No. Goods 20-0213-0015</t>
  </si>
  <si>
    <t>Solicitation No. Goods 20-0603-0063</t>
  </si>
  <si>
    <t>20KJ0174</t>
  </si>
  <si>
    <t>CW -20-0603-025</t>
  </si>
  <si>
    <t>PB GOODS 2020-04</t>
  </si>
  <si>
    <t>Solicitation No. Goods 20-0603-0065</t>
  </si>
  <si>
    <t>20KJ0177</t>
  </si>
  <si>
    <t>CW -20-0603-020</t>
  </si>
  <si>
    <t>CW -20-0603-021</t>
  </si>
  <si>
    <t>Solicitation No. Goods 20-0603-0066</t>
  </si>
  <si>
    <t>CW -20-0603-024</t>
  </si>
  <si>
    <t>CW -20-0603-034</t>
  </si>
  <si>
    <t>Solicitation No. Goods 20-0603-0064</t>
  </si>
  <si>
    <t>06-02-01</t>
  </si>
  <si>
    <t>Solicitation No. Goods 20-0603-0067</t>
  </si>
  <si>
    <t>CW RA 7171-22</t>
  </si>
  <si>
    <t>20M00079</t>
  </si>
  <si>
    <t>CW -20-0603-030</t>
  </si>
  <si>
    <t>20M00078</t>
  </si>
  <si>
    <t>CW -20-0603-026</t>
  </si>
  <si>
    <t>20-03-018</t>
  </si>
  <si>
    <t>CW -20-0603-035</t>
  </si>
  <si>
    <t>CW -20-0603-031</t>
  </si>
  <si>
    <t>ITB-131</t>
  </si>
  <si>
    <t>G-096-20C</t>
  </si>
  <si>
    <t>0031/June/2020</t>
  </si>
  <si>
    <t>06-02-02</t>
  </si>
  <si>
    <t>CW -20-0603-0194</t>
  </si>
  <si>
    <t>ITB No. 2020-09-EFS</t>
  </si>
  <si>
    <t>ITB-GS-20200323-01</t>
  </si>
  <si>
    <t>project Ref. no. 42-2020-JUNE-INFRA</t>
  </si>
  <si>
    <t>ITB No. 2020-148-bph-maramag and bph-kibawe</t>
  </si>
  <si>
    <t>project Ref. no. 43-2020-JUNE-INFRA</t>
  </si>
  <si>
    <t>RFQ-2020-0020</t>
  </si>
  <si>
    <t>2020-IG-018</t>
  </si>
  <si>
    <t>ITB No. 2020-149-provl government of bukidnon</t>
  </si>
  <si>
    <t>20-05-3125</t>
  </si>
  <si>
    <t>OGDS 06-2-20</t>
  </si>
  <si>
    <t>ITB No. 2020-146-provl government of bukidnon</t>
  </si>
  <si>
    <t>DAPA-073-2020</t>
  </si>
  <si>
    <t>2020-IG-019</t>
  </si>
  <si>
    <t>CW RA 7171-23</t>
  </si>
  <si>
    <t>20GCJ0037</t>
  </si>
  <si>
    <t>INFRA 2K20-43</t>
  </si>
  <si>
    <t>PEO-2020-0852</t>
  </si>
  <si>
    <t>20PE0084</t>
  </si>
  <si>
    <t>GOODS 006-2020</t>
  </si>
  <si>
    <t>20FH0095</t>
  </si>
  <si>
    <t>20BC0167</t>
  </si>
  <si>
    <t>INFRA 2K20-42</t>
  </si>
  <si>
    <t>20FB0149</t>
  </si>
  <si>
    <t>PEO-2020-0795</t>
  </si>
  <si>
    <t>BTN-DVOOR-2020-09</t>
  </si>
  <si>
    <t>20GCJ0039</t>
  </si>
  <si>
    <t>cal06012020-10</t>
  </si>
  <si>
    <t>20HC0178</t>
  </si>
  <si>
    <t>20FH0094</t>
  </si>
  <si>
    <t>2020-06-070bid</t>
  </si>
  <si>
    <t>202006110</t>
  </si>
  <si>
    <t>ITB-132</t>
  </si>
  <si>
    <t>20GCJ0040</t>
  </si>
  <si>
    <t>20HC0179</t>
  </si>
  <si>
    <t>20P00040</t>
  </si>
  <si>
    <t>INFRA-2020-001</t>
  </si>
  <si>
    <t>20-05-3123</t>
  </si>
  <si>
    <t>INFRA 2K20-44</t>
  </si>
  <si>
    <t>B-CW-2020-012</t>
  </si>
  <si>
    <t>0075-0010-0893-2020</t>
  </si>
  <si>
    <t>2020-04-00272</t>
  </si>
  <si>
    <t>2020-FMP-032</t>
  </si>
  <si>
    <t>0020-0131-0798-2020</t>
  </si>
  <si>
    <t>0032/June/2020</t>
  </si>
  <si>
    <t>ITB-060220-1</t>
  </si>
  <si>
    <t>ITB-060220-2</t>
  </si>
  <si>
    <t>2020-254</t>
  </si>
  <si>
    <t>PROCUREMENT OF POSTNATAL KIT WITH BABY BOX FOR MOT</t>
  </si>
  <si>
    <t>0075-0009-0892-2020</t>
  </si>
  <si>
    <t>LGU-BLU-20-06-038</t>
  </si>
  <si>
    <t>MKWD-BAC-2020-041</t>
  </si>
  <si>
    <t>PROCUREMENT OF DUMP TRUCKS FOR THE USE OF CITY ENV</t>
  </si>
  <si>
    <t>101-20-05-126</t>
  </si>
  <si>
    <t>GOODS 2020-015</t>
  </si>
  <si>
    <t>IB-2020-060</t>
  </si>
  <si>
    <t>345-2020 Bidding</t>
  </si>
  <si>
    <t>20PG0053</t>
  </si>
  <si>
    <t>20PG0054</t>
  </si>
  <si>
    <t>ITB-060220-3</t>
  </si>
  <si>
    <t>2020-304</t>
  </si>
  <si>
    <t>LGU-2020-037</t>
  </si>
  <si>
    <t>20-06-383</t>
  </si>
  <si>
    <t>bir_pb 2020-28</t>
  </si>
  <si>
    <t>ITB-060220-4</t>
  </si>
  <si>
    <t>TAR-2020-001</t>
  </si>
  <si>
    <t>LGU-BLU-20-06-037</t>
  </si>
  <si>
    <t>20FO0086</t>
  </si>
  <si>
    <t>PR-2005-501</t>
  </si>
  <si>
    <t>B-CW-2020-013</t>
  </si>
  <si>
    <t>2020-0165-PR2020-0398</t>
  </si>
  <si>
    <t>LGU LAUREL 20-05-003</t>
  </si>
  <si>
    <t>20200602-1</t>
  </si>
  <si>
    <t>PRN 049</t>
  </si>
  <si>
    <t>20PG0055</t>
  </si>
  <si>
    <t>20FO0087</t>
  </si>
  <si>
    <t>bir_pb 2020-29</t>
  </si>
  <si>
    <t>PEO-2020-0305</t>
  </si>
  <si>
    <t>20200602-3</t>
  </si>
  <si>
    <t>20200602-2</t>
  </si>
  <si>
    <t>bir_pb 2020-30</t>
  </si>
  <si>
    <t>2020-05-297</t>
  </si>
  <si>
    <t>20FO0089</t>
  </si>
  <si>
    <t>BJMP NCR 2020-27</t>
  </si>
  <si>
    <t>4AQ-SIP-VAR-18</t>
  </si>
  <si>
    <t>20FO0090</t>
  </si>
  <si>
    <t>20PG0057</t>
  </si>
  <si>
    <t>20ge0104</t>
  </si>
  <si>
    <t>2020-0016</t>
  </si>
  <si>
    <t>20PG0056</t>
  </si>
  <si>
    <t>20GE0103</t>
  </si>
  <si>
    <t>20-05-0510</t>
  </si>
  <si>
    <t>PR-2020-1129</t>
  </si>
  <si>
    <t>B-CW-2020-014</t>
  </si>
  <si>
    <t>2020-0169-PR2020-0402</t>
  </si>
  <si>
    <t>INFRA 2K20-40</t>
  </si>
  <si>
    <t>20FO0088</t>
  </si>
  <si>
    <t>20BC0168</t>
  </si>
  <si>
    <t>20FO0091</t>
  </si>
  <si>
    <t>C-014-20</t>
  </si>
  <si>
    <t>BJMP NCR 2020-28</t>
  </si>
  <si>
    <t>034-2020</t>
  </si>
  <si>
    <t>20HF0074 (Cluster 16)</t>
  </si>
  <si>
    <t>06-01-2020-06-501</t>
  </si>
  <si>
    <t>2020-0167-PR2020-0400</t>
  </si>
  <si>
    <t>C-016-20</t>
  </si>
  <si>
    <t>20FO0092</t>
  </si>
  <si>
    <t>SVP 20-996-1</t>
  </si>
  <si>
    <t>06-01-2020-06-500</t>
  </si>
  <si>
    <t>B-75-2020</t>
  </si>
  <si>
    <t>B-76-2020</t>
  </si>
  <si>
    <t>06-01-2020-06-499</t>
  </si>
  <si>
    <t>B-77-2020</t>
  </si>
  <si>
    <t>2020-05-302</t>
  </si>
  <si>
    <t>C-013-20</t>
  </si>
  <si>
    <t>PR0120-20 PDRRMO</t>
  </si>
  <si>
    <t>PR No. 2019-03-195</t>
  </si>
  <si>
    <t>06-01-2020-06-498</t>
  </si>
  <si>
    <t>BACII-2020-12</t>
  </si>
  <si>
    <t>ITB-DARFO12-2020-0456</t>
  </si>
  <si>
    <t>SVP 20-996-2</t>
  </si>
  <si>
    <t>PGLDN 101-20-01-0208</t>
  </si>
  <si>
    <t>12-01-2020-06-502</t>
  </si>
  <si>
    <t>12-01-2020-06-503</t>
  </si>
  <si>
    <t>23-GOODS-HVCDP-2020</t>
  </si>
  <si>
    <t>ITB-DARFO12-2020-0457</t>
  </si>
  <si>
    <t>20HF0077 (Cluster 19)</t>
  </si>
  <si>
    <t>ITB-DARFO12-2020-0455</t>
  </si>
  <si>
    <t>20BC0179</t>
  </si>
  <si>
    <t>035-2020</t>
  </si>
  <si>
    <t>G-2020-020</t>
  </si>
  <si>
    <t>RREIS20-MAS-003-20</t>
  </si>
  <si>
    <t>20BC0181 re-adv.</t>
  </si>
  <si>
    <t>PEO-2020-0166 PR2020-0399</t>
  </si>
  <si>
    <t>6-20-05</t>
  </si>
  <si>
    <t>PGLDN 101-20-01-0241</t>
  </si>
  <si>
    <t>RREIS20-MAS-004-20</t>
  </si>
  <si>
    <t>BJMP NCR 2020-29</t>
  </si>
  <si>
    <t>20AE0067: Repair/Maintenance/Improvement of Draina</t>
  </si>
  <si>
    <t>B-CW-2020-015</t>
  </si>
  <si>
    <t>24-GOODS-HVCDP-2020</t>
  </si>
  <si>
    <t>SVP 20-996-3</t>
  </si>
  <si>
    <t>20HF0078 (Cluster 20)</t>
  </si>
  <si>
    <t>20BC0191 re-adv.</t>
  </si>
  <si>
    <t>20-01-015</t>
  </si>
  <si>
    <t>01-07-2020-06-504</t>
  </si>
  <si>
    <t>20PL0108</t>
  </si>
  <si>
    <t>INFRA-20-04</t>
  </si>
  <si>
    <t>RREIS20-MAS-002-20</t>
  </si>
  <si>
    <t>Infra-2020-PB-O1</t>
  </si>
  <si>
    <t>RRENIS20-SR-001-20</t>
  </si>
  <si>
    <t>AGGDS2020-0603</t>
  </si>
  <si>
    <t>RREIS20-MAS-001-20</t>
  </si>
  <si>
    <t>20-02-024</t>
  </si>
  <si>
    <t>25-GOODS-CORN-2020</t>
  </si>
  <si>
    <t>20HF0066</t>
  </si>
  <si>
    <t>20-02-025</t>
  </si>
  <si>
    <t>6-20-06</t>
  </si>
  <si>
    <t>2020-061</t>
  </si>
  <si>
    <t>20-02-026</t>
  </si>
  <si>
    <t>20-03-074</t>
  </si>
  <si>
    <t>20PL0110</t>
  </si>
  <si>
    <t>20PL0111</t>
  </si>
  <si>
    <t>20PL0109</t>
  </si>
  <si>
    <t>20GM0007</t>
  </si>
  <si>
    <t>MJJLECINFRA001-2020-01</t>
  </si>
  <si>
    <t>janiuay-2020-25</t>
  </si>
  <si>
    <t>BAC-NP NO. 2020-04</t>
  </si>
  <si>
    <t>SVP-2020-050</t>
  </si>
  <si>
    <t>2020-NFA-RBAC08-GOODS-14</t>
  </si>
  <si>
    <t>20GAF0002</t>
  </si>
  <si>
    <t>20HF0071</t>
  </si>
  <si>
    <t>AC-PNBAC1-2020-16</t>
  </si>
  <si>
    <t>17GF0110</t>
  </si>
  <si>
    <t>B-CW-2020-016</t>
  </si>
  <si>
    <t>B-CW-2020-017</t>
  </si>
  <si>
    <t>26-GOODS-CORN-2020</t>
  </si>
  <si>
    <t>B-CW-2020-019</t>
  </si>
  <si>
    <t>POW - 8751 - 2020 - BNG - 02</t>
  </si>
  <si>
    <t>B-CW-2020-018</t>
  </si>
  <si>
    <t>MR-PNBAC1-2020-29</t>
  </si>
  <si>
    <t>PB-06232020-A</t>
  </si>
  <si>
    <t>20LG0117</t>
  </si>
  <si>
    <t>PB 06-01-2020</t>
  </si>
  <si>
    <t>20GG0175</t>
  </si>
  <si>
    <t>PIKCOT-002020-009</t>
  </si>
  <si>
    <t>LGU-Banayoyo,ISur-2020-05-038</t>
  </si>
  <si>
    <t>PB-06232020-D</t>
  </si>
  <si>
    <t>BulSU-BAC-G-2020-22</t>
  </si>
  <si>
    <t>MR-PNBAC1-2020-13</t>
  </si>
  <si>
    <t>20CSBF0001</t>
  </si>
  <si>
    <t>20LG0116</t>
  </si>
  <si>
    <t>PB-06232020-C</t>
  </si>
  <si>
    <t>060220-H01</t>
  </si>
  <si>
    <t>B-CW-2020-020</t>
  </si>
  <si>
    <t>20LG0118</t>
  </si>
  <si>
    <t>LGU-Banayoyo, ISur 2020-05-039</t>
  </si>
  <si>
    <t>LGU-Banayoyo, ISur 2020-05-040</t>
  </si>
  <si>
    <t>20BG0145</t>
  </si>
  <si>
    <t>PB-20-276</t>
  </si>
  <si>
    <t>DA-ACEF-04-20</t>
  </si>
  <si>
    <t>060220-B5</t>
  </si>
  <si>
    <t>PB-06232020-B</t>
  </si>
  <si>
    <t>ITB 2020-0008</t>
  </si>
  <si>
    <t>060220-B3</t>
  </si>
  <si>
    <t>020620-B4</t>
  </si>
  <si>
    <t>20GPF0008</t>
  </si>
  <si>
    <t>20HF0096</t>
  </si>
  <si>
    <t>060220-B2</t>
  </si>
  <si>
    <t>20HF0094</t>
  </si>
  <si>
    <t>20GG0176</t>
  </si>
  <si>
    <t>PB-20-277</t>
  </si>
  <si>
    <t>PB-20-159</t>
  </si>
  <si>
    <t>B-G-2020-080</t>
  </si>
  <si>
    <t>PB-20-297</t>
  </si>
  <si>
    <t>B-CW-2020-021</t>
  </si>
  <si>
    <t>20HF0097</t>
  </si>
  <si>
    <t>PB-20-160</t>
  </si>
  <si>
    <t>060220-B1</t>
  </si>
  <si>
    <t>060220-H02</t>
  </si>
  <si>
    <t>20HF0095</t>
  </si>
  <si>
    <t>PB-20-248</t>
  </si>
  <si>
    <t>PR-2020-8751-0099</t>
  </si>
  <si>
    <t>PEO-20-0543 B</t>
  </si>
  <si>
    <t>PEO-20-0547 B</t>
  </si>
  <si>
    <t>PEO-20-0545 B</t>
  </si>
  <si>
    <t>PEO-20-0501 B</t>
  </si>
  <si>
    <t>PEO-20-0597 B</t>
  </si>
  <si>
    <t>Infra-02-2020</t>
  </si>
  <si>
    <t>100-2020-05-703</t>
  </si>
  <si>
    <t>AC-PNBAC1-2020-01</t>
  </si>
  <si>
    <t>GEPS-12-2020</t>
  </si>
  <si>
    <t>19GF00028</t>
  </si>
  <si>
    <t>01-2020-0032</t>
  </si>
  <si>
    <t>C-05.014</t>
  </si>
  <si>
    <t>05-0011-20</t>
  </si>
  <si>
    <t>003-2019</t>
  </si>
  <si>
    <t>071 - 2020</t>
  </si>
  <si>
    <t>PB-20-077</t>
  </si>
  <si>
    <t>C-05.006</t>
  </si>
  <si>
    <t>C-05.007</t>
  </si>
  <si>
    <t>DA7-06-FOD-R-20-2128</t>
  </si>
  <si>
    <t>19GF00027</t>
  </si>
  <si>
    <t>DA7-06-FOD-R-20-2127</t>
  </si>
  <si>
    <t>C-05.005</t>
  </si>
  <si>
    <t>GOODS-019-2020</t>
  </si>
  <si>
    <t>20-MDF-005</t>
  </si>
  <si>
    <t>20-MDF-003</t>
  </si>
  <si>
    <t>C-05.013</t>
  </si>
  <si>
    <t>20-MDF-004</t>
  </si>
  <si>
    <t>3-01-001-20-070</t>
  </si>
  <si>
    <t>C-05.008</t>
  </si>
  <si>
    <t>B-8661-20-09</t>
  </si>
  <si>
    <t>2020-05-16</t>
  </si>
  <si>
    <t>PB Infra 2020-06-001</t>
  </si>
  <si>
    <t>17202005049</t>
  </si>
  <si>
    <t>17202005050</t>
  </si>
  <si>
    <t>211381</t>
  </si>
  <si>
    <t>PB Infra 2020-06-002</t>
  </si>
  <si>
    <t>211380</t>
  </si>
  <si>
    <t>211382</t>
  </si>
  <si>
    <t>20IA0089 Construction of Disinfection Facility at</t>
  </si>
  <si>
    <t>211379</t>
  </si>
  <si>
    <t>20202-09</t>
  </si>
  <si>
    <t>211378</t>
  </si>
  <si>
    <t>PB NO. 2020-025</t>
  </si>
  <si>
    <t>211396</t>
  </si>
  <si>
    <t>2020-05-01</t>
  </si>
  <si>
    <t>20KA0142</t>
  </si>
  <si>
    <t>211393</t>
  </si>
  <si>
    <t>PB NO. 2020-026</t>
  </si>
  <si>
    <t>211405</t>
  </si>
  <si>
    <t>211392</t>
  </si>
  <si>
    <t>AC-PNBAC1-2020-13</t>
  </si>
  <si>
    <t>211397</t>
  </si>
  <si>
    <t>20-05-008</t>
  </si>
  <si>
    <t>211388</t>
  </si>
  <si>
    <t>211395</t>
  </si>
  <si>
    <t>211394</t>
  </si>
  <si>
    <t>211389</t>
  </si>
  <si>
    <t>211386</t>
  </si>
  <si>
    <t>211387</t>
  </si>
  <si>
    <t>211390</t>
  </si>
  <si>
    <t>211391</t>
  </si>
  <si>
    <t>20IA0090 Repair/Maintenance of DPWh</t>
  </si>
  <si>
    <t>2020G1-005</t>
  </si>
  <si>
    <t>211385</t>
  </si>
  <si>
    <t>BTG3-2020-0189</t>
  </si>
  <si>
    <t>AC-PNBAC1-2020-14</t>
  </si>
  <si>
    <t>211384</t>
  </si>
  <si>
    <t>C-05.015</t>
  </si>
  <si>
    <t>211383</t>
  </si>
  <si>
    <t>2020-06-23-310PG</t>
  </si>
  <si>
    <t>BTG3-2020-0190</t>
  </si>
  <si>
    <t>20FF0092</t>
  </si>
  <si>
    <t>2020-06-23-304PG</t>
  </si>
  <si>
    <t>BTG3-2020-0187</t>
  </si>
  <si>
    <t>20FF0093</t>
  </si>
  <si>
    <t>BTG3-2020-0191</t>
  </si>
  <si>
    <t>20CSEB02-R1</t>
  </si>
  <si>
    <t>20FF0090</t>
  </si>
  <si>
    <t>BTG3-2020-0188</t>
  </si>
  <si>
    <t>2020-06-23-302PG</t>
  </si>
  <si>
    <t>DPWH-SK2DEO-20MH0101</t>
  </si>
  <si>
    <t>20FF0091</t>
  </si>
  <si>
    <t>C-05.011</t>
  </si>
  <si>
    <t>AC-PNBAC1-2020-15</t>
  </si>
  <si>
    <t>20GJ00004</t>
  </si>
  <si>
    <t>17202005048</t>
  </si>
  <si>
    <t>05-0012-20</t>
  </si>
  <si>
    <t>C-05.010</t>
  </si>
  <si>
    <t>C-05.009</t>
  </si>
  <si>
    <t>C-05.012</t>
  </si>
  <si>
    <t>100-2020-04-641</t>
  </si>
  <si>
    <t>DPWH-SK2DEO-20MH0102</t>
  </si>
  <si>
    <t>100-2020-05-655</t>
  </si>
  <si>
    <t>100-2020-05-672</t>
  </si>
  <si>
    <t>2020-06-23-315PG</t>
  </si>
  <si>
    <t>2020-06-23-312PG</t>
  </si>
  <si>
    <t>2020-06-23-311PG</t>
  </si>
  <si>
    <t>6-20-02</t>
  </si>
  <si>
    <t>2020-06-23-318PG</t>
  </si>
  <si>
    <t>2020-06-23-324PG</t>
  </si>
  <si>
    <t>2020-06-23-325PG</t>
  </si>
  <si>
    <t>2020-06-23-322PG</t>
  </si>
  <si>
    <t>6-20-01</t>
  </si>
  <si>
    <t>2020-06-23-323PG</t>
  </si>
  <si>
    <t>2020-06-23-321PG</t>
  </si>
  <si>
    <t>2020-05-0171</t>
  </si>
  <si>
    <t>2020-06-23-316PG</t>
  </si>
  <si>
    <t>2020-06-23-319PG</t>
  </si>
  <si>
    <t>DA8-Goods-2020-36 (PR No. CORN 20-05-20-0161)</t>
  </si>
  <si>
    <t>LGU-BLU-20-06-036</t>
  </si>
  <si>
    <t>2020-06-23-320PG</t>
  </si>
  <si>
    <t>DA8-Goods-2020-39 (PR No. RICE 20-04-16-0660)</t>
  </si>
  <si>
    <t>DA8-Goods-2020-38 (PR No.QRF URSULA 20-05-08-0006)</t>
  </si>
  <si>
    <t>LGU-BLU-20-06-035</t>
  </si>
  <si>
    <t>BTG3-2020_0186 (Readvertised)</t>
  </si>
  <si>
    <t>ITB 2020-012</t>
  </si>
  <si>
    <t>bacgal-43-2020</t>
  </si>
  <si>
    <t>DA8-Goods-2020-37 (PR No. CORN 20-02-14-0126)</t>
  </si>
  <si>
    <t>2020-06-23-317PG</t>
  </si>
  <si>
    <t>GOODS-062220-036</t>
  </si>
  <si>
    <t>GOODS-062220-035</t>
  </si>
  <si>
    <t>20G00097</t>
  </si>
  <si>
    <t>RFQ-2020-06-001</t>
  </si>
  <si>
    <t>388548422</t>
  </si>
  <si>
    <t>GOODS-062220-038</t>
  </si>
  <si>
    <t>388548421</t>
  </si>
  <si>
    <t>P. R. No. 2020-0006</t>
  </si>
  <si>
    <t>PEO-062220-081</t>
  </si>
  <si>
    <t>GOODS-062220-040</t>
  </si>
  <si>
    <t>GOODS-062220-039</t>
  </si>
  <si>
    <t>TAG-SDS-052-2020</t>
  </si>
  <si>
    <t>MZSP-2020-041</t>
  </si>
  <si>
    <t>2020-06-064bid</t>
  </si>
  <si>
    <t>2020-06-065bid</t>
  </si>
  <si>
    <t>bacgal-44-2020</t>
  </si>
  <si>
    <t>P. R. No. 2020-0005</t>
  </si>
  <si>
    <t>20GPJ0001</t>
  </si>
  <si>
    <t>2020 B-05.239</t>
  </si>
  <si>
    <t>2020 B-05.250</t>
  </si>
  <si>
    <t>DPF19 300-20-03-02542</t>
  </si>
  <si>
    <t>P. R. No. 2020-0004</t>
  </si>
  <si>
    <t>POBLACION-2020-006</t>
  </si>
  <si>
    <t>B2 TF-DUE TO NGAS-DILG-HALFWAY HOUSE 20-019</t>
  </si>
  <si>
    <t>20LA0132</t>
  </si>
  <si>
    <t>ITB 20-25</t>
  </si>
  <si>
    <t>PR No. 2020-05-000010</t>
  </si>
  <si>
    <t>20LA0161</t>
  </si>
  <si>
    <t>20LA0136</t>
  </si>
  <si>
    <t>20LA0135</t>
  </si>
  <si>
    <t>20LA0134</t>
  </si>
  <si>
    <t>SB2 LREP19 300-20-03-02986</t>
  </si>
  <si>
    <t>GEPS - 2020 - 75</t>
  </si>
  <si>
    <t>20GAB0004</t>
  </si>
  <si>
    <t>20LA0256</t>
  </si>
  <si>
    <t>20LA0254</t>
  </si>
  <si>
    <t>20LA0255</t>
  </si>
  <si>
    <t>20LA0261</t>
  </si>
  <si>
    <t>20LA0259</t>
  </si>
  <si>
    <t>20LA0258</t>
  </si>
  <si>
    <t>GOODS-062220-034</t>
  </si>
  <si>
    <t>2020 B-05.255</t>
  </si>
  <si>
    <t>20LA0257</t>
  </si>
  <si>
    <t>211410</t>
  </si>
  <si>
    <t>211409</t>
  </si>
  <si>
    <t>20LA0260</t>
  </si>
  <si>
    <t>20LA0195</t>
  </si>
  <si>
    <t>20LA0263</t>
  </si>
  <si>
    <t>20LA0272</t>
  </si>
  <si>
    <t>20LA0265</t>
  </si>
  <si>
    <t>20LA0270</t>
  </si>
  <si>
    <t>211408</t>
  </si>
  <si>
    <t>20LA0262</t>
  </si>
  <si>
    <t>SB2 POP19 300-20-02-01021</t>
  </si>
  <si>
    <t>20LA0269</t>
  </si>
  <si>
    <t>827-20</t>
  </si>
  <si>
    <t>GOODS-062220-037</t>
  </si>
  <si>
    <t>20LA0264</t>
  </si>
  <si>
    <t>20LA0271</t>
  </si>
  <si>
    <t>2020-025 Office and Janitorial 2nd Qtr</t>
  </si>
  <si>
    <t>lgutangcalldn-093</t>
  </si>
  <si>
    <t>QNV-004-2020</t>
  </si>
  <si>
    <t>2020-04-0369, 2020-05-0407-0411</t>
  </si>
  <si>
    <t>20LA0267</t>
  </si>
  <si>
    <t>20LA0266</t>
  </si>
  <si>
    <t>20IM0028</t>
  </si>
  <si>
    <t>ITB No. 025-2020 GQ</t>
  </si>
  <si>
    <t>20LA0273</t>
  </si>
  <si>
    <t>20-05-272</t>
  </si>
  <si>
    <t>lgutangcalldn-094</t>
  </si>
  <si>
    <t>20LA0275</t>
  </si>
  <si>
    <t>SA-INF-2020-05-0003</t>
  </si>
  <si>
    <t>013-06-2020</t>
  </si>
  <si>
    <t>20LA0274</t>
  </si>
  <si>
    <t>0862</t>
  </si>
  <si>
    <t>20LA0276</t>
  </si>
  <si>
    <t>2020 B-05.256</t>
  </si>
  <si>
    <t>2020-026 Gasoline</t>
  </si>
  <si>
    <t>20LA0280</t>
  </si>
  <si>
    <t>20LA0279</t>
  </si>
  <si>
    <t>20LA0282</t>
  </si>
  <si>
    <t>20BF0050</t>
  </si>
  <si>
    <t>CG-1-103-2020</t>
  </si>
  <si>
    <t>20LA0278</t>
  </si>
  <si>
    <t>GOODS-2020-58</t>
  </si>
  <si>
    <t>INFRA-2020-003</t>
  </si>
  <si>
    <t>20LA0281</t>
  </si>
  <si>
    <t>20LA0277</t>
  </si>
  <si>
    <t>20BF0049</t>
  </si>
  <si>
    <t>2020-027 ONC</t>
  </si>
  <si>
    <t>20BF0051</t>
  </si>
  <si>
    <t>20BF0048</t>
  </si>
  <si>
    <t>20IM0029</t>
  </si>
  <si>
    <t>INFRA-2020-002</t>
  </si>
  <si>
    <t>20-05-273</t>
  </si>
  <si>
    <t>SERV-2020-05</t>
  </si>
  <si>
    <t>20BF0054</t>
  </si>
  <si>
    <t>bacgal-45-2020</t>
  </si>
  <si>
    <t>20HN0113</t>
  </si>
  <si>
    <t>20GFB02</t>
  </si>
  <si>
    <t>QNV-005-2020</t>
  </si>
  <si>
    <t>20HN0112</t>
  </si>
  <si>
    <t>20GCH0002</t>
  </si>
  <si>
    <t>2020-06-23-327PG</t>
  </si>
  <si>
    <t>20JG0074</t>
  </si>
  <si>
    <t>2020 B-05.259</t>
  </si>
  <si>
    <t>20BF0053</t>
  </si>
  <si>
    <t>20BF0052</t>
  </si>
  <si>
    <t>PR0025-20 PGO REBID</t>
  </si>
  <si>
    <t>20HN0114</t>
  </si>
  <si>
    <t>ITB - 05 JUNE 2020</t>
  </si>
  <si>
    <t>PIKCOT-02020-010</t>
  </si>
  <si>
    <t>ITB - 04 JUNE 2020</t>
  </si>
  <si>
    <t>2020-06-23-326PG</t>
  </si>
  <si>
    <t>PR0024-20 PGO REBID</t>
  </si>
  <si>
    <t>ITB - 07 JUNE 2020</t>
  </si>
  <si>
    <t>ITB - 06 JUNE 2020</t>
  </si>
  <si>
    <t>2020 B-05.252</t>
  </si>
  <si>
    <t>20CSLC03</t>
  </si>
  <si>
    <t>PR# 20-05-1564</t>
  </si>
  <si>
    <t>S3-PPP20-005</t>
  </si>
  <si>
    <t>PR# 20-06-0569</t>
  </si>
  <si>
    <t>ITB - 02 JUNE 2020</t>
  </si>
  <si>
    <t>ITB - 03 JUNE 2020</t>
  </si>
  <si>
    <t>CB-2020-015</t>
  </si>
  <si>
    <t>MR-PNBAC1-2020-01</t>
  </si>
  <si>
    <t>20GEF010</t>
  </si>
  <si>
    <t>ITB - 01 JUNE 2020</t>
  </si>
  <si>
    <t>PPSC BAC IB NO.004 (G) 2020</t>
  </si>
  <si>
    <t>S3-JOL20-005</t>
  </si>
  <si>
    <t>2020 - 03</t>
  </si>
  <si>
    <t>bacgal-46-2020</t>
  </si>
  <si>
    <t>ITB No. 2020 – 70</t>
  </si>
  <si>
    <t>LG2020MP</t>
  </si>
  <si>
    <t>ITB - 10 JUNE 2020</t>
  </si>
  <si>
    <t>ITB - 12 JUNE 2020</t>
  </si>
  <si>
    <t>ITB - 08 JUNE 2020</t>
  </si>
  <si>
    <t>ITB - 09 JUNE 2020</t>
  </si>
  <si>
    <t>Mkna-GSO-20-260</t>
  </si>
  <si>
    <t>Publication no. 2020-006</t>
  </si>
  <si>
    <t>Alaminos City</t>
  </si>
  <si>
    <t>20-05-274</t>
  </si>
  <si>
    <t>Mkna-GSO-20-259</t>
  </si>
  <si>
    <t>2020 B-05.264</t>
  </si>
  <si>
    <t>ITB - 13 JUNE 2020</t>
  </si>
  <si>
    <t>ITB 20-06-10</t>
  </si>
  <si>
    <t>sj 2020 b jun 001</t>
  </si>
  <si>
    <t>S3-WMO20-007 (Re-bid)</t>
  </si>
  <si>
    <t>ITB - 20 JUNE 2020</t>
  </si>
  <si>
    <t>S3-B1920-009</t>
  </si>
  <si>
    <t>ITB - 19 JUNE 2020</t>
  </si>
  <si>
    <t>ITB - 18 JUNE 2020</t>
  </si>
  <si>
    <t>PB2020-45</t>
  </si>
  <si>
    <t>ITB - 11 JUNE 2020</t>
  </si>
  <si>
    <t>sj 2020 b jun 002</t>
  </si>
  <si>
    <t>ITB - 17 JUNE 2020</t>
  </si>
  <si>
    <t>20-002</t>
  </si>
  <si>
    <t>ITB - 16 JUNE 2020</t>
  </si>
  <si>
    <t>2020 B-05.261</t>
  </si>
  <si>
    <t>20CSHN02</t>
  </si>
  <si>
    <t>066</t>
  </si>
  <si>
    <t>ITB.JUNE1</t>
  </si>
  <si>
    <t>OGDS 06-1-20</t>
  </si>
  <si>
    <t>VMC-2020-057</t>
  </si>
  <si>
    <t>ITB - 15 JUNE 2020</t>
  </si>
  <si>
    <t>DA RFO-1-2019-INFRA-070</t>
  </si>
  <si>
    <t>01-2020-0033</t>
  </si>
  <si>
    <t>ITB-06-2020-001</t>
  </si>
  <si>
    <t>OGDS 06-6-20</t>
  </si>
  <si>
    <t>WDDSP-NorWD-IFB-G07c</t>
  </si>
  <si>
    <t>ITB - 24 JUNE 2020</t>
  </si>
  <si>
    <t>GDS-248-2020</t>
  </si>
  <si>
    <t>ITB - 27 JUNE 2020</t>
  </si>
  <si>
    <t>ITB - 14 JUNE 2020</t>
  </si>
  <si>
    <t>ITB - 26 JUNE 2020</t>
  </si>
  <si>
    <t>ITB - 28 JUNE 2020</t>
  </si>
  <si>
    <t>20GA0063</t>
  </si>
  <si>
    <t>ITB - 25 JUNE 2020</t>
  </si>
  <si>
    <t>ITB - 21 JUNE 2020</t>
  </si>
  <si>
    <t>ITB - 22 JUNE 2020</t>
  </si>
  <si>
    <t>2020-5-002</t>
  </si>
  <si>
    <t>ITB - 29 JUNE 2020</t>
  </si>
  <si>
    <t>ITB - 23 JUNE 2020</t>
  </si>
  <si>
    <t>20GA0064</t>
  </si>
  <si>
    <t>DA RFO-1-2019-INFRA-071</t>
  </si>
  <si>
    <t>2020 B-05.274</t>
  </si>
  <si>
    <t>PG-2020-042</t>
  </si>
  <si>
    <t>OGDS 061-1-20</t>
  </si>
  <si>
    <t>sj 2020 b jun 004</t>
  </si>
  <si>
    <t>ITB-06-2020-004</t>
  </si>
  <si>
    <t>sj 2020 b jun 003</t>
  </si>
  <si>
    <t>ITB - 30 JUNE 2020</t>
  </si>
  <si>
    <t>ITB-06-2020-003</t>
  </si>
  <si>
    <t>19Z00042</t>
  </si>
  <si>
    <t>20GH00001</t>
  </si>
  <si>
    <t>DA RFO-1-2019-INFRA-072</t>
  </si>
  <si>
    <t>052</t>
  </si>
  <si>
    <t>ITB-06-2020-002</t>
  </si>
  <si>
    <t>06012020A</t>
  </si>
  <si>
    <t>06-101-2020</t>
  </si>
  <si>
    <t>IB. NO. K-2020-050(SC)</t>
  </si>
  <si>
    <t>msj-2020-14</t>
  </si>
  <si>
    <t>20-143</t>
  </si>
  <si>
    <t>sj 2020 b jun 005</t>
  </si>
  <si>
    <t>InTB-PGAPEO-4QCO-CW3</t>
  </si>
  <si>
    <t>REF #038-06-2020</t>
  </si>
  <si>
    <t>DA RFO-1-2019-INFRA-073</t>
  </si>
  <si>
    <t>RFQ-2020-0019</t>
  </si>
  <si>
    <t>20EF0113</t>
  </si>
  <si>
    <t>012-0620-CP</t>
  </si>
  <si>
    <t>IB. NO. K-2020-051(SC)</t>
  </si>
  <si>
    <t>DA RFO-1-2019-GOODS-078-R</t>
  </si>
  <si>
    <t>IB. NO. K-2020-053(SC)</t>
  </si>
  <si>
    <t>IB. NO. K-2020-052(SC)</t>
  </si>
  <si>
    <t>DA RFO-1-2019-GOODS-053-N</t>
  </si>
  <si>
    <t>011-0620-CP</t>
  </si>
  <si>
    <t>REF #033(1)-04-2020</t>
  </si>
  <si>
    <t>01-0601</t>
  </si>
  <si>
    <t>CID NO. 20IF0092 (READV)</t>
  </si>
  <si>
    <t>68-2020</t>
  </si>
  <si>
    <t>GEPS - 2020 - 76</t>
  </si>
  <si>
    <t>PR NO. 2006-003</t>
  </si>
  <si>
    <t>IB-2020-058</t>
  </si>
  <si>
    <t>ITB-GS-20200325-01</t>
  </si>
  <si>
    <t>055</t>
  </si>
  <si>
    <t>ITB-GS-20200402-01</t>
  </si>
  <si>
    <t>BAC-PG-00127-20</t>
  </si>
  <si>
    <t>BCSIMOCO-GOODS-21-2K20</t>
  </si>
  <si>
    <t>2020-05-136</t>
  </si>
  <si>
    <t>QNV-018-2020</t>
  </si>
  <si>
    <t>S3-SIT20-014 (Re-bid)</t>
  </si>
  <si>
    <t>PR-2005-541</t>
  </si>
  <si>
    <t>BCSIMOCO-GOODS-18A-2K20</t>
  </si>
  <si>
    <t>QNV-019-2020</t>
  </si>
  <si>
    <t>S3-SPUGWM20-010 (Re-bid)</t>
  </si>
  <si>
    <t>056</t>
  </si>
  <si>
    <t>20-03-0149</t>
  </si>
  <si>
    <t>INFRA-20-03</t>
  </si>
  <si>
    <t>BAC-PG-00128-20</t>
  </si>
  <si>
    <t>202006010001</t>
  </si>
  <si>
    <t>ITB-GS-20200407-01</t>
  </si>
  <si>
    <t>BAC-PG-00130-20</t>
  </si>
  <si>
    <t>ADNPR2020-05-029,ADS-017,SDN-023,SDS-023,PDI-027</t>
  </si>
  <si>
    <t>20EF0114</t>
  </si>
  <si>
    <t>20PK0065</t>
  </si>
  <si>
    <t>20-144</t>
  </si>
  <si>
    <t>NCB Publication No. 2020- 14</t>
  </si>
  <si>
    <t>20CG0123 (r)</t>
  </si>
  <si>
    <t>2020 B-05.251</t>
  </si>
  <si>
    <t>211411</t>
  </si>
  <si>
    <t>NCB Publication No. 2020- 11</t>
  </si>
  <si>
    <t>20EF0115</t>
  </si>
  <si>
    <t>BAC-PG-00129-20</t>
  </si>
  <si>
    <t>3120</t>
  </si>
  <si>
    <t>20GAJ0004</t>
  </si>
  <si>
    <t>2020-G-32</t>
  </si>
  <si>
    <t>GO-20-06-033</t>
  </si>
  <si>
    <t>20EF0117</t>
  </si>
  <si>
    <t>20GAJ0005</t>
  </si>
  <si>
    <t>NCB Publication No. 2020- 16</t>
  </si>
  <si>
    <t>NCB Publication No. 2020- 15</t>
  </si>
  <si>
    <t>ITB No. 2020 – 72</t>
  </si>
  <si>
    <t>ITB - 34 JUNE 2020</t>
  </si>
  <si>
    <t>ITB - 33 JUNE 2020</t>
  </si>
  <si>
    <t>2020-0184</t>
  </si>
  <si>
    <t>20EF0116</t>
  </si>
  <si>
    <t>2020-devmh-067</t>
  </si>
  <si>
    <t>2020-06-23-329PG</t>
  </si>
  <si>
    <t>ITB - 35 JUNE 2020</t>
  </si>
  <si>
    <t>ITB - 32 JUNE 2020</t>
  </si>
  <si>
    <t>Supply of Materials, Labor and Equipment for the C</t>
  </si>
  <si>
    <t>202005033</t>
  </si>
  <si>
    <t>USTP-GSPB-05-5020321099-2020</t>
  </si>
  <si>
    <t>202005012</t>
  </si>
  <si>
    <t>2020-06-23-328PG</t>
  </si>
  <si>
    <t>20LB0184</t>
  </si>
  <si>
    <t>ITB - 31 JUNE 2020</t>
  </si>
  <si>
    <t>20LB0156</t>
  </si>
  <si>
    <t>PB INFRA 20-032</t>
  </si>
  <si>
    <t>20LB0169</t>
  </si>
  <si>
    <t>20LB0163</t>
  </si>
  <si>
    <t>PB INFRA 20-031</t>
  </si>
  <si>
    <t>PB INFRA 20-029</t>
  </si>
  <si>
    <t>R3-BANE-SIP-2020-NE-62R</t>
  </si>
  <si>
    <t>GOODS-2020-130</t>
  </si>
  <si>
    <t>R3-BANE-SIP-2020-NE-63R</t>
  </si>
  <si>
    <t>PB INFRA 20-023</t>
  </si>
  <si>
    <t>20LB0189</t>
  </si>
  <si>
    <t>IB NO. 2020-06-40 Procurement of TONER CATRIDGES F</t>
  </si>
  <si>
    <t>2020-IG-017</t>
  </si>
  <si>
    <t>20MF0076</t>
  </si>
  <si>
    <t>20MF0079</t>
  </si>
  <si>
    <t>PROJECT #  20-041</t>
  </si>
  <si>
    <t>20LB0190</t>
  </si>
  <si>
    <t>20IG0068</t>
  </si>
  <si>
    <t>20LB0231</t>
  </si>
  <si>
    <t>IB NO. 2020-06-43R Procurement of Drugs and Medici</t>
  </si>
  <si>
    <t>20MF0078</t>
  </si>
  <si>
    <t>20-05-0580</t>
  </si>
  <si>
    <t>20IG0067</t>
  </si>
  <si>
    <t xml:space="preserve">IB NO. 2020-06-41R Procurement of Toner Tie-Up CY </t>
  </si>
  <si>
    <t>20MF0077</t>
  </si>
  <si>
    <t>20GCB0004</t>
  </si>
  <si>
    <t>Infra Projects 02-2020; 2nd Posting</t>
  </si>
  <si>
    <t>IB NO. 2020-06-42R Procurement of Dietary Foodstuf</t>
  </si>
  <si>
    <t>InTB-PGA7171PEO2020-CW7</t>
  </si>
  <si>
    <t>MGCP-20G-560A</t>
  </si>
  <si>
    <t>Infra Projects 04-2020; 2nd Posting</t>
  </si>
  <si>
    <t>PEO-20-0163-B</t>
  </si>
  <si>
    <t>MSUN-INFRA-02-19</t>
  </si>
  <si>
    <t>PEO-19-1449 B (REBID-2)</t>
  </si>
  <si>
    <t xml:space="preserve">IB NO. 2020-06-39R Procurement of Non-Accountable </t>
  </si>
  <si>
    <t>InTB-PGA7171PEO2020-CW8</t>
  </si>
  <si>
    <t>INFRA-2019-49</t>
  </si>
  <si>
    <t>InTB-PGA7171PEO2020-CW6</t>
  </si>
  <si>
    <t>ITB 2020-020-001</t>
  </si>
  <si>
    <t>PEO-20-0160 B</t>
  </si>
  <si>
    <t>ITB 2020-018-001</t>
  </si>
  <si>
    <t>19Z00043</t>
  </si>
  <si>
    <t>Infra Projects 11-2020</t>
  </si>
  <si>
    <t>FER2020-012</t>
  </si>
  <si>
    <t>INFRA-2020-020</t>
  </si>
  <si>
    <t>INFRA-2020-021</t>
  </si>
  <si>
    <t>Infra Projects 10-2020</t>
  </si>
  <si>
    <t>Infra Projects 09-2020</t>
  </si>
  <si>
    <t>INFRA-2020-019</t>
  </si>
  <si>
    <t>GOODS- 04</t>
  </si>
  <si>
    <t>Infra Projects 08-2020</t>
  </si>
  <si>
    <t>BJMP12-2020-17</t>
  </si>
  <si>
    <t>94</t>
  </si>
  <si>
    <t>PR#20-05=01</t>
  </si>
  <si>
    <t>BJMP12-2020-20</t>
  </si>
  <si>
    <t>LGU-Sagay-4740</t>
  </si>
  <si>
    <t>LGU-Sagay-4739</t>
  </si>
  <si>
    <t>BJMP12-2020-18</t>
  </si>
  <si>
    <t>BJMP12-2020-19</t>
  </si>
  <si>
    <t>LGU-Sagay-4738</t>
  </si>
  <si>
    <t>Project No. 2020-23</t>
  </si>
  <si>
    <t>92</t>
  </si>
  <si>
    <t>PB-202005-06</t>
  </si>
  <si>
    <t>InTB-PGAPEO-4QCO-CW2</t>
  </si>
  <si>
    <t>93</t>
  </si>
  <si>
    <t>PB NO. 2020-024</t>
  </si>
  <si>
    <t>P-2020-14</t>
  </si>
  <si>
    <t>PIA0002I-2020</t>
  </si>
  <si>
    <t>CONTRACT ID #: 20-03-076 2ND REBID</t>
  </si>
  <si>
    <t>BALZN9-2007</t>
  </si>
  <si>
    <t>BFAR IV-A.20-0213</t>
  </si>
  <si>
    <t>IB NO. 2020-212</t>
  </si>
  <si>
    <t>IB NO. 2020-172-A</t>
  </si>
  <si>
    <t>2020-I-11</t>
  </si>
  <si>
    <t>BFAR IV-A.20-0183</t>
  </si>
  <si>
    <t>ITB 2020-05-028(GOODS)</t>
  </si>
  <si>
    <t>CW-101</t>
  </si>
  <si>
    <t>CW-102</t>
  </si>
  <si>
    <t>20FF0088</t>
  </si>
  <si>
    <t>CW-103</t>
  </si>
  <si>
    <t>BAC-PGCS-005-2020</t>
  </si>
  <si>
    <t>CW-106</t>
  </si>
  <si>
    <t>BAC-PGCS-009-2020</t>
  </si>
  <si>
    <t>CW-107</t>
  </si>
  <si>
    <t>ITB 2020-05-029(GOODS)</t>
  </si>
  <si>
    <t>CW-105</t>
  </si>
  <si>
    <t>20FF0089</t>
  </si>
  <si>
    <t>IB NO. 2020-215</t>
  </si>
  <si>
    <t>20-05-072</t>
  </si>
  <si>
    <t>CW-104</t>
  </si>
  <si>
    <t>CW-108</t>
  </si>
  <si>
    <t>ITB 2020-05-030(GOODS)</t>
  </si>
  <si>
    <t>ITB 20-069</t>
  </si>
  <si>
    <t>ITB 20-068</t>
  </si>
  <si>
    <t>050-2020</t>
  </si>
  <si>
    <t>PR No. 2020-02-01</t>
  </si>
  <si>
    <t>ITB - 2020-LCB-PW-10</t>
  </si>
  <si>
    <t>ITB - 2020-LCB-PG-016</t>
  </si>
  <si>
    <t>20KG0093</t>
  </si>
  <si>
    <t>B-G-2020-069</t>
  </si>
  <si>
    <t>GOODS-2020-009</t>
  </si>
  <si>
    <t>B-G-2020-067</t>
  </si>
  <si>
    <t>GOODS-2020-011</t>
  </si>
  <si>
    <t>B-G-2020-068</t>
  </si>
  <si>
    <t>B-G-2020-066</t>
  </si>
  <si>
    <t>ITB 023-2020</t>
  </si>
  <si>
    <t>GOODS-2020-010</t>
  </si>
  <si>
    <t>B-G-2020-070</t>
  </si>
  <si>
    <t>20-05-073</t>
  </si>
  <si>
    <t>GOODS-2020-012</t>
  </si>
  <si>
    <t>ITB - 2020-LCB-PG-015</t>
  </si>
  <si>
    <t>PROV-2020-01-GS</t>
  </si>
  <si>
    <t>PR-20-05-004</t>
  </si>
  <si>
    <t>B-G-2020-071</t>
  </si>
  <si>
    <t>ITB - 2020-LCB-PW-08</t>
  </si>
  <si>
    <t>BAC-05-1031</t>
  </si>
  <si>
    <t>2020-60 (GAS)</t>
  </si>
  <si>
    <t>2020-59 (GAS)</t>
  </si>
  <si>
    <t>ITB-KOR: 20-05-0639 CMO</t>
  </si>
  <si>
    <t>GOODS2020-8</t>
  </si>
  <si>
    <t>vict-eps20-028</t>
  </si>
  <si>
    <t>ITB 2020-05-031(GOODS)</t>
  </si>
  <si>
    <t>ITB - 2020-LCB-PW-09</t>
  </si>
  <si>
    <t>051-2020</t>
  </si>
  <si>
    <t>20EG0085</t>
  </si>
  <si>
    <t>20EG0084</t>
  </si>
  <si>
    <t>2020-5-29-9</t>
  </si>
  <si>
    <t>B-G-2020-072</t>
  </si>
  <si>
    <t>ITB-KOR: 20-05-0553 CEO</t>
  </si>
  <si>
    <t>20EG0087</t>
  </si>
  <si>
    <t>B-G-2020-078</t>
  </si>
  <si>
    <t>ITB-KOR: 20-05-0604 CEO</t>
  </si>
  <si>
    <t>20EG0086</t>
  </si>
  <si>
    <t>ITB-KOR: 20-05-0672 CEO</t>
  </si>
  <si>
    <t>B-G-2020-077</t>
  </si>
  <si>
    <t>2020-loan001</t>
  </si>
  <si>
    <t>B-G-2020-076</t>
  </si>
  <si>
    <t>2020-004-001</t>
  </si>
  <si>
    <t>NP/PB 20-0633</t>
  </si>
  <si>
    <t>B-G-2020-079</t>
  </si>
  <si>
    <t>2020-loan002</t>
  </si>
  <si>
    <t>052-2020</t>
  </si>
  <si>
    <t>IB NO. 2020 – 051/DFD</t>
  </si>
  <si>
    <t>2020-loan003</t>
  </si>
  <si>
    <t>B-G-2020-074</t>
  </si>
  <si>
    <t>B-G-2020-075</t>
  </si>
  <si>
    <t>20EG0088</t>
  </si>
  <si>
    <t>B-G-2020-073</t>
  </si>
  <si>
    <t>2020-loan004</t>
  </si>
  <si>
    <t>2020-004-003</t>
  </si>
  <si>
    <t>2020-004-002</t>
  </si>
  <si>
    <t>20CB0063</t>
  </si>
  <si>
    <t>20CB0064</t>
  </si>
  <si>
    <t>20EG0089</t>
  </si>
  <si>
    <t>100-2020-0720</t>
  </si>
  <si>
    <t>Goods 2020-012 (np)</t>
  </si>
  <si>
    <t>300-2020-0002</t>
  </si>
  <si>
    <t>2020-G-20</t>
  </si>
  <si>
    <t>PBS 20-077</t>
  </si>
  <si>
    <t>20EG0090</t>
  </si>
  <si>
    <t>ITB202005</t>
  </si>
  <si>
    <t>2020-004-005</t>
  </si>
  <si>
    <t>GS 2020-05-014</t>
  </si>
  <si>
    <t>N 26 C 2020</t>
  </si>
  <si>
    <t>2020-CW-05-04</t>
  </si>
  <si>
    <t>2020-CW-05-02</t>
  </si>
  <si>
    <t>IB NO. 026-20</t>
  </si>
  <si>
    <t>05-033-20</t>
  </si>
  <si>
    <t>2020-CW-05-03</t>
  </si>
  <si>
    <t>IB NO. 029-20</t>
  </si>
  <si>
    <t>Goods 2020-014</t>
  </si>
  <si>
    <t>2020-CW-05-01</t>
  </si>
  <si>
    <t>IB NO. 030-20</t>
  </si>
  <si>
    <t>GS 2020-05-013</t>
  </si>
  <si>
    <t>IB NO. 028-20</t>
  </si>
  <si>
    <t>ITB202001</t>
  </si>
  <si>
    <t>BAC PB 2020-007</t>
  </si>
  <si>
    <t>2020-I-12</t>
  </si>
  <si>
    <t>CSJ-2020-028</t>
  </si>
  <si>
    <t>PB-20-291</t>
  </si>
  <si>
    <t>PB-20-255</t>
  </si>
  <si>
    <t>PB-20-256</t>
  </si>
  <si>
    <t>CSJ-2020-027</t>
  </si>
  <si>
    <t>CSJ-2020-026</t>
  </si>
  <si>
    <t>30052020</t>
  </si>
  <si>
    <t>20FE0122</t>
  </si>
  <si>
    <t>IB No. 2020-214</t>
  </si>
  <si>
    <t>IB No. 2020-150-A</t>
  </si>
  <si>
    <t>20FE0123</t>
  </si>
  <si>
    <t>2020G - 014-601</t>
  </si>
  <si>
    <t>QES-05-029-20</t>
  </si>
  <si>
    <t>IB NO. CW 2020 - 080</t>
  </si>
  <si>
    <t>2020G - 015-601</t>
  </si>
  <si>
    <t>IB NO. CW 2020 -077</t>
  </si>
  <si>
    <t>IB NO. CW 2020-079</t>
  </si>
  <si>
    <t>04-2020</t>
  </si>
  <si>
    <t>IB NO. CW 2020 - 010-A</t>
  </si>
  <si>
    <t>IB NO. CW 2020-076</t>
  </si>
  <si>
    <t>IB NO. CW 2020 -072</t>
  </si>
  <si>
    <t>IB NO. CW 2020 - 074</t>
  </si>
  <si>
    <t>IB NO. CW 2020 - 075</t>
  </si>
  <si>
    <t>IB NO. CW 2020 - 073</t>
  </si>
  <si>
    <t>IB NO. CW 2020 -078</t>
  </si>
  <si>
    <t>ITB-112-2020</t>
  </si>
  <si>
    <t>PRN-497-2020</t>
  </si>
  <si>
    <t>PB-INF-20-001</t>
  </si>
  <si>
    <t>20KE0058</t>
  </si>
  <si>
    <t>PRN-612-2020</t>
  </si>
  <si>
    <t>20KE0046 (Re-Bidding)</t>
  </si>
  <si>
    <t>20DK0113</t>
  </si>
  <si>
    <t>RFQ-586-2020</t>
  </si>
  <si>
    <t>20DK0126</t>
  </si>
  <si>
    <t>PRN-469-2020</t>
  </si>
  <si>
    <t>IB NO. CW 2020 - 041-A</t>
  </si>
  <si>
    <t>20FO0085</t>
  </si>
  <si>
    <t>2020-05-008</t>
  </si>
  <si>
    <t>20FO0084</t>
  </si>
  <si>
    <t>20FO0083</t>
  </si>
  <si>
    <t>RFQ-484-2020</t>
  </si>
  <si>
    <t>IB NO CW. 2020 - 042-A</t>
  </si>
  <si>
    <t>RFQ-514-2020</t>
  </si>
  <si>
    <t>2020-05-009</t>
  </si>
  <si>
    <t>RFQ-482-2020</t>
  </si>
  <si>
    <t>2020-0381</t>
  </si>
  <si>
    <t>2020-0416</t>
  </si>
  <si>
    <t>100-2020-05-668</t>
  </si>
  <si>
    <t>EOI 2020-005</t>
  </si>
  <si>
    <t>19-11-034</t>
  </si>
  <si>
    <t>20IK0092</t>
  </si>
  <si>
    <t>2020-0425</t>
  </si>
  <si>
    <t>2020-05-02</t>
  </si>
  <si>
    <t>20-02-011</t>
  </si>
  <si>
    <t>2020-GSIS-PB-074</t>
  </si>
  <si>
    <t>2020-0421</t>
  </si>
  <si>
    <t>2020-05-056</t>
  </si>
  <si>
    <t>2020-05-05</t>
  </si>
  <si>
    <t>2020-05-096</t>
  </si>
  <si>
    <t>2020-05-095</t>
  </si>
  <si>
    <t>20-02-010</t>
  </si>
  <si>
    <t>2020-05-098</t>
  </si>
  <si>
    <t>2020-05-092</t>
  </si>
  <si>
    <t>2020-02-009</t>
  </si>
  <si>
    <t>2020-05-094</t>
  </si>
  <si>
    <t>2020-05-090</t>
  </si>
  <si>
    <t>2020-05-097</t>
  </si>
  <si>
    <t>20-02-008</t>
  </si>
  <si>
    <t>2020-05-091</t>
  </si>
  <si>
    <t>2020-05-087</t>
  </si>
  <si>
    <t>2020-0418</t>
  </si>
  <si>
    <t>2020-05-086</t>
  </si>
  <si>
    <t>2020-05-093</t>
  </si>
  <si>
    <t>20KB0158</t>
  </si>
  <si>
    <t>2020-05-08</t>
  </si>
  <si>
    <t>20KB0157</t>
  </si>
  <si>
    <t>20KB0155</t>
  </si>
  <si>
    <t>2020-05-0222</t>
  </si>
  <si>
    <t>2020-05-29</t>
  </si>
  <si>
    <t>20KB0156</t>
  </si>
  <si>
    <t>20KB0153</t>
  </si>
  <si>
    <t>20KB0154</t>
  </si>
  <si>
    <t>2020-05-085</t>
  </si>
  <si>
    <t>20KB0151</t>
  </si>
  <si>
    <t>20GAE0006: Furnishing and Delivery of Materials fo</t>
  </si>
  <si>
    <t>20KB0150</t>
  </si>
  <si>
    <t>2020-05-0213</t>
  </si>
  <si>
    <t>2020-062-12-3</t>
  </si>
  <si>
    <t>2020-0417</t>
  </si>
  <si>
    <t>19125327</t>
  </si>
  <si>
    <t>2020-062-12-2</t>
  </si>
  <si>
    <t>ITB 2020-0013</t>
  </si>
  <si>
    <t>05292020</t>
  </si>
  <si>
    <t>ROXII-2020-05-004</t>
  </si>
  <si>
    <t>20KB0152</t>
  </si>
  <si>
    <t>sfbac2020-AIP-1000-23</t>
  </si>
  <si>
    <t>ITB 2020-0014</t>
  </si>
  <si>
    <t>19MC0245</t>
  </si>
  <si>
    <t>2020-5-29-3</t>
  </si>
  <si>
    <t>8918-1630-20</t>
  </si>
  <si>
    <t>2020-5-29-2</t>
  </si>
  <si>
    <t>06-2020 INFRA</t>
  </si>
  <si>
    <t>2020-062-12-1</t>
  </si>
  <si>
    <t>2020-5-29-1</t>
  </si>
  <si>
    <t>ITB 2020-0012</t>
  </si>
  <si>
    <t>2020-062-12-5</t>
  </si>
  <si>
    <t>USTP-GSPB-05-5060602000-2020</t>
  </si>
  <si>
    <t>2020-062-12-8</t>
  </si>
  <si>
    <t>2020-062-12-7</t>
  </si>
  <si>
    <t>ITB-017-2020</t>
  </si>
  <si>
    <t>2020-062-12-6</t>
  </si>
  <si>
    <t>2020-02-098</t>
  </si>
  <si>
    <t>2020121</t>
  </si>
  <si>
    <t>20021987</t>
  </si>
  <si>
    <t>IB-INFRA-2020-01A Construction of Various Infrastr</t>
  </si>
  <si>
    <t>20032286</t>
  </si>
  <si>
    <t>2020-062-12-4</t>
  </si>
  <si>
    <t>20053357</t>
  </si>
  <si>
    <t>20053381</t>
  </si>
  <si>
    <t>0410-2020</t>
  </si>
  <si>
    <t>2020-02-099</t>
  </si>
  <si>
    <t>GDS-243-2020</t>
  </si>
  <si>
    <t>2020-05-0221</t>
  </si>
  <si>
    <t>tgs 09-20</t>
  </si>
  <si>
    <t>2020-02-094</t>
  </si>
  <si>
    <t>20021999</t>
  </si>
  <si>
    <t>2020-03-167</t>
  </si>
  <si>
    <t>20FL0082</t>
  </si>
  <si>
    <t>2020-5-29-5</t>
  </si>
  <si>
    <t>20021737</t>
  </si>
  <si>
    <t>2020-5-29-4</t>
  </si>
  <si>
    <t>101-020-005-064</t>
  </si>
  <si>
    <t>20MA0084</t>
  </si>
  <si>
    <t>2020-5-29-6</t>
  </si>
  <si>
    <t>2020-062-12-13</t>
  </si>
  <si>
    <t>2020-062-12-16</t>
  </si>
  <si>
    <t>20GMC0084</t>
  </si>
  <si>
    <t>2020-062-12-14</t>
  </si>
  <si>
    <t>2020-062-12-12</t>
  </si>
  <si>
    <t>tgs 08-20</t>
  </si>
  <si>
    <t>20MA0073</t>
  </si>
  <si>
    <t>2020-062-12-10</t>
  </si>
  <si>
    <t>2020-062-12-9</t>
  </si>
  <si>
    <t>2020-062-12-11</t>
  </si>
  <si>
    <t>2020-0424</t>
  </si>
  <si>
    <t>2020-05-084</t>
  </si>
  <si>
    <t>20GH0127</t>
  </si>
  <si>
    <t>2020-05-06</t>
  </si>
  <si>
    <t>IB 2020-022</t>
  </si>
  <si>
    <t>20GMC0085</t>
  </si>
  <si>
    <t>2020-0420</t>
  </si>
  <si>
    <t>2020-0419</t>
  </si>
  <si>
    <t>20GMC0086</t>
  </si>
  <si>
    <t>2020-062-12-17</t>
  </si>
  <si>
    <t>2020-5-29-7</t>
  </si>
  <si>
    <t>2020-0422</t>
  </si>
  <si>
    <t>2020-062-12-15</t>
  </si>
  <si>
    <t>20NF0070</t>
  </si>
  <si>
    <t>20MA0114</t>
  </si>
  <si>
    <t>20MA0101</t>
  </si>
  <si>
    <t>GOODS-2020-120</t>
  </si>
  <si>
    <t>20MA0120</t>
  </si>
  <si>
    <t>2020-062-12-20</t>
  </si>
  <si>
    <t>2020-062-12-19</t>
  </si>
  <si>
    <t>2020 - 019</t>
  </si>
  <si>
    <t>20CI0093</t>
  </si>
  <si>
    <t>20CI0092</t>
  </si>
  <si>
    <t>20MA0112</t>
  </si>
  <si>
    <t>IAEB 2020-008</t>
  </si>
  <si>
    <t>20NF0069</t>
  </si>
  <si>
    <t>IAEB 2020-007</t>
  </si>
  <si>
    <t>20CI0091</t>
  </si>
  <si>
    <t>2020-03-15</t>
  </si>
  <si>
    <t>2020-062-12-29</t>
  </si>
  <si>
    <t>2020-062-12-27</t>
  </si>
  <si>
    <t>2020-062-12-28</t>
  </si>
  <si>
    <t>2020-062-12-26</t>
  </si>
  <si>
    <t>202005104</t>
  </si>
  <si>
    <t>2020-062-12-25</t>
  </si>
  <si>
    <t>INFRA-2020-05-003</t>
  </si>
  <si>
    <t>2020-062-12-24</t>
  </si>
  <si>
    <t>ITB-111-2020</t>
  </si>
  <si>
    <t>20NF0072</t>
  </si>
  <si>
    <t>2020-062-12-23</t>
  </si>
  <si>
    <t>nlontoc-ITB056-2020</t>
  </si>
  <si>
    <t>20MA0130</t>
  </si>
  <si>
    <t>20NF0071</t>
  </si>
  <si>
    <t>2020-062-12-18</t>
  </si>
  <si>
    <t>2020-062-12-36</t>
  </si>
  <si>
    <t>20MA0104</t>
  </si>
  <si>
    <t>20FO0082</t>
  </si>
  <si>
    <t>20DP0071</t>
  </si>
  <si>
    <t>20KA0141</t>
  </si>
  <si>
    <t>2020-05-0192</t>
  </si>
  <si>
    <t>20GAE0007: Supply and Delivery of Global Navigatio</t>
  </si>
  <si>
    <t>2020-062-12-33</t>
  </si>
  <si>
    <t>20KA0138</t>
  </si>
  <si>
    <t>2020-062-12-34</t>
  </si>
  <si>
    <t>20KA0139</t>
  </si>
  <si>
    <t>20KA0136</t>
  </si>
  <si>
    <t>202005106</t>
  </si>
  <si>
    <t>20KA0140</t>
  </si>
  <si>
    <t>QES-05-030-20</t>
  </si>
  <si>
    <t>20KA0137</t>
  </si>
  <si>
    <t>2020-062-12-35</t>
  </si>
  <si>
    <t>2020-062-12-30</t>
  </si>
  <si>
    <t>202005105</t>
  </si>
  <si>
    <t>2020-062-12-32</t>
  </si>
  <si>
    <t>2020-062-12-31</t>
  </si>
  <si>
    <t>20GAE0008: Supply, Delivery and Installation of De</t>
  </si>
  <si>
    <t>2020-062-12-21</t>
  </si>
  <si>
    <t>20KA0135</t>
  </si>
  <si>
    <t>20NF0074</t>
  </si>
  <si>
    <t>2020-062-12-22</t>
  </si>
  <si>
    <t>117 – 2020</t>
  </si>
  <si>
    <t>20MA0121</t>
  </si>
  <si>
    <t>ITB 2020-01</t>
  </si>
  <si>
    <t>20PA0124</t>
  </si>
  <si>
    <t>20NF0075</t>
  </si>
  <si>
    <t>ITB No. 2020-12(2) Procurement of Electric Operati</t>
  </si>
  <si>
    <t>2020-05-002</t>
  </si>
  <si>
    <t>20NF0076</t>
  </si>
  <si>
    <t>20NF0073</t>
  </si>
  <si>
    <t>20PA0123</t>
  </si>
  <si>
    <t>DF 20 - 009</t>
  </si>
  <si>
    <t>101-020-005-065</t>
  </si>
  <si>
    <t>100-20-05-292</t>
  </si>
  <si>
    <t>ITB No. 2020-12(1) PROCUREMENT OF 4D Ultrasound Ma</t>
  </si>
  <si>
    <t>20PB0027</t>
  </si>
  <si>
    <t>CRN-PB-004-INFRA-2020</t>
  </si>
  <si>
    <t>20PA0125</t>
  </si>
  <si>
    <t>2020-05-001</t>
  </si>
  <si>
    <t>2020-05-005</t>
  </si>
  <si>
    <t>GOODS-2020-05-008</t>
  </si>
  <si>
    <t>2020-05-004</t>
  </si>
  <si>
    <t>LIMAO-BAC-05-20</t>
  </si>
  <si>
    <t>INFRA-07-20-04</t>
  </si>
  <si>
    <t>INFRA-07-20-06</t>
  </si>
  <si>
    <t>CRN-PB-005-INFRA-2020</t>
  </si>
  <si>
    <t>ITB 2020-144</t>
  </si>
  <si>
    <t>2020-05-006</t>
  </si>
  <si>
    <t>INFRA-07-20-03</t>
  </si>
  <si>
    <t>2020-05-003</t>
  </si>
  <si>
    <t>20GA0127</t>
  </si>
  <si>
    <t>20GA0134</t>
  </si>
  <si>
    <t>INFRA-07-20-05</t>
  </si>
  <si>
    <t>2020-05-007</t>
  </si>
  <si>
    <t>INFRA-07-20-02</t>
  </si>
  <si>
    <t>Binmisor 020-2020</t>
  </si>
  <si>
    <t>NS-05-29-20-01</t>
  </si>
  <si>
    <t>Binmisor 019-2020</t>
  </si>
  <si>
    <t>8000-2-2-10</t>
  </si>
  <si>
    <t>381-05-2020 (IPHO)</t>
  </si>
  <si>
    <t>20GA0126</t>
  </si>
  <si>
    <t>8000-2-2-14</t>
  </si>
  <si>
    <t>8000-2-2-9</t>
  </si>
  <si>
    <t>20-05-0864</t>
  </si>
  <si>
    <t xml:space="preserve">20KL0135 - Construction of Multi-Purpose Building </t>
  </si>
  <si>
    <t>CONTRACT ID: 20-05-083</t>
  </si>
  <si>
    <t>Binmisor 018-2020</t>
  </si>
  <si>
    <t>CW39-2020</t>
  </si>
  <si>
    <t>100-20-01-103</t>
  </si>
  <si>
    <t>Binmisor 017-2020</t>
  </si>
  <si>
    <t>9000-1-2</t>
  </si>
  <si>
    <t>300-19-12-096-B</t>
  </si>
  <si>
    <t>20GCB0002</t>
  </si>
  <si>
    <t>20-05-0865</t>
  </si>
  <si>
    <t>20GCB0001</t>
  </si>
  <si>
    <t>101-020-005-061</t>
  </si>
  <si>
    <t>2020-I001</t>
  </si>
  <si>
    <t>20PC0056</t>
  </si>
  <si>
    <t>CW38-2020</t>
  </si>
  <si>
    <t>9000-1-3</t>
  </si>
  <si>
    <t>BRGY. TALOC - ITB - 2020 - 001</t>
  </si>
  <si>
    <t>DENR-ORMIN-014-2020</t>
  </si>
  <si>
    <t>100-20-02-328</t>
  </si>
  <si>
    <t>20-295</t>
  </si>
  <si>
    <t>100-20-02-327; 341; 342; 343; 344</t>
  </si>
  <si>
    <t>20LA0228</t>
  </si>
  <si>
    <t>LL-20-20</t>
  </si>
  <si>
    <t>20LA0225</t>
  </si>
  <si>
    <t>CW40-2020</t>
  </si>
  <si>
    <t>20LA0230</t>
  </si>
  <si>
    <t>20LA0176</t>
  </si>
  <si>
    <t>20LA0227</t>
  </si>
  <si>
    <t>20GCB0003</t>
  </si>
  <si>
    <t>NS-05-29-20-02</t>
  </si>
  <si>
    <t>ITB PR 0400</t>
  </si>
  <si>
    <t>20L00145</t>
  </si>
  <si>
    <t>20LA0133</t>
  </si>
  <si>
    <t>20IM0025</t>
  </si>
  <si>
    <t>20IM0027</t>
  </si>
  <si>
    <t>20LA0229</t>
  </si>
  <si>
    <t>20LA0226</t>
  </si>
  <si>
    <t>20L00153</t>
  </si>
  <si>
    <t>20L00141</t>
  </si>
  <si>
    <t>20L00170</t>
  </si>
  <si>
    <t>Bid No. 20-0263</t>
  </si>
  <si>
    <t>MBHTE-BARMM-SUPPLY-B011-2020</t>
  </si>
  <si>
    <t>8000-2-2-12</t>
  </si>
  <si>
    <t>20IM0026</t>
  </si>
  <si>
    <t>20L00030</t>
  </si>
  <si>
    <t>INFRA-07-20-01</t>
  </si>
  <si>
    <t>20PB0028</t>
  </si>
  <si>
    <t>PB-06-19-2020</t>
  </si>
  <si>
    <t>ITB PR 0393</t>
  </si>
  <si>
    <t>pb-gd-2020-033</t>
  </si>
  <si>
    <t>2490-20</t>
  </si>
  <si>
    <t>2020-45</t>
  </si>
  <si>
    <t>stfe-20-01</t>
  </si>
  <si>
    <t>ITB No. 2020-13 PROCUREMENT OF DRUGS AND MEDICINES</t>
  </si>
  <si>
    <t>20LA0238</t>
  </si>
  <si>
    <t>20DJ0084</t>
  </si>
  <si>
    <t>20LA0235</t>
  </si>
  <si>
    <t>20LA0236</t>
  </si>
  <si>
    <t>20LA0239</t>
  </si>
  <si>
    <t>20LA0234</t>
  </si>
  <si>
    <t>20LA0237</t>
  </si>
  <si>
    <t>100-19-11-1861</t>
  </si>
  <si>
    <t>ITB PR 0398</t>
  </si>
  <si>
    <t>Infra-20-07</t>
  </si>
  <si>
    <t>2020-89</t>
  </si>
  <si>
    <t>20LA0232</t>
  </si>
  <si>
    <t>IB No. 2020-213</t>
  </si>
  <si>
    <t>20LA0233</t>
  </si>
  <si>
    <t>20NB0067</t>
  </si>
  <si>
    <t>20LA0231</t>
  </si>
  <si>
    <t>20LA0248</t>
  </si>
  <si>
    <t>20DJ0085</t>
  </si>
  <si>
    <t>20NB0065</t>
  </si>
  <si>
    <t>20LA0246</t>
  </si>
  <si>
    <t>20NB0066</t>
  </si>
  <si>
    <t>BFAR5BAC-2020-099</t>
  </si>
  <si>
    <t>20LA0244</t>
  </si>
  <si>
    <t>20LA0247</t>
  </si>
  <si>
    <t>300-20-01-001</t>
  </si>
  <si>
    <t>20LA0243</t>
  </si>
  <si>
    <t>20DJ0086</t>
  </si>
  <si>
    <t>20LA0241</t>
  </si>
  <si>
    <t>2020-281</t>
  </si>
  <si>
    <t>100-20-01-072</t>
  </si>
  <si>
    <t>SJMC-2020-002</t>
  </si>
  <si>
    <t>100-20-01-080</t>
  </si>
  <si>
    <t>20AI0162</t>
  </si>
  <si>
    <t>20LA0242</t>
  </si>
  <si>
    <t>Infra-2020-001</t>
  </si>
  <si>
    <t>20LA0240</t>
  </si>
  <si>
    <t>047</t>
  </si>
  <si>
    <t>20PC0057</t>
  </si>
  <si>
    <t>20DJ0087</t>
  </si>
  <si>
    <t>20DJ0089</t>
  </si>
  <si>
    <t>20NB0070</t>
  </si>
  <si>
    <t>20LA0245</t>
  </si>
  <si>
    <t>20LA0250</t>
  </si>
  <si>
    <t>SVP 20-993</t>
  </si>
  <si>
    <t>20PC0058</t>
  </si>
  <si>
    <t>DAPA-070-2020</t>
  </si>
  <si>
    <t>20GOODS001</t>
  </si>
  <si>
    <t>2020052801</t>
  </si>
  <si>
    <t>stfe-20-02</t>
  </si>
  <si>
    <t>2020-05-ITB-ConstrNatlChildDevtCenter-036</t>
  </si>
  <si>
    <t>PB036-20</t>
  </si>
  <si>
    <t>20LA0251</t>
  </si>
  <si>
    <t>20AI0165</t>
  </si>
  <si>
    <t>20NB0069</t>
  </si>
  <si>
    <t>20AI0160</t>
  </si>
  <si>
    <t>BGH - 05 - 0093</t>
  </si>
  <si>
    <t>20AI0166</t>
  </si>
  <si>
    <t>20-068</t>
  </si>
  <si>
    <t>20AI0167</t>
  </si>
  <si>
    <t>6</t>
  </si>
  <si>
    <t>ITB (CW-05-2020-016) 20DD0297</t>
  </si>
  <si>
    <t>20AI0158</t>
  </si>
  <si>
    <t>DILG-CMGP 2020</t>
  </si>
  <si>
    <t>ITB (CW-05-2020-016) 20DD0296</t>
  </si>
  <si>
    <t>LIGA BLDG-INFRA-1PB</t>
  </si>
  <si>
    <t>ITB (CW-05-2020-016) 20DD0298</t>
  </si>
  <si>
    <t>ITB (CW-05-2020-016) 20DD0299</t>
  </si>
  <si>
    <t>LGU - Quirino GOODS 2020 - 002</t>
  </si>
  <si>
    <t>LGU - Quirino GOODS 2020 - 001</t>
  </si>
  <si>
    <t>20AI0164</t>
  </si>
  <si>
    <t>20AI0159</t>
  </si>
  <si>
    <t>20AI0089 - Re-Adv</t>
  </si>
  <si>
    <t>20AI0157</t>
  </si>
  <si>
    <t>ITB (CW-05-2020-016) 20DD0300</t>
  </si>
  <si>
    <t>ITB (CW-05-2020-016) 20DD0301</t>
  </si>
  <si>
    <t>IN-BAC-2020-05-054</t>
  </si>
  <si>
    <t>20AI0156</t>
  </si>
  <si>
    <t>ITB No. 2020-129-A-pgo-pdea</t>
  </si>
  <si>
    <t>2020-05-90</t>
  </si>
  <si>
    <t>20-069</t>
  </si>
  <si>
    <t>QM PABAC 011-20</t>
  </si>
  <si>
    <t>QM PABAC 028-20</t>
  </si>
  <si>
    <t>ITB (CW-05-2020-016) 20DD0306</t>
  </si>
  <si>
    <t>ITB (CW-05-2020-016) 20DD0307</t>
  </si>
  <si>
    <t>ITB (CW-05-2020-016) 20DD0305</t>
  </si>
  <si>
    <t>2020-05-28-3</t>
  </si>
  <si>
    <t>RO4-INFR-2020-06</t>
  </si>
  <si>
    <t>ITB No. 2020-127-A-provl agriculture office</t>
  </si>
  <si>
    <t>ITB (CW-05-2020-016) 20DD0308</t>
  </si>
  <si>
    <t>QM PABAC 002-20</t>
  </si>
  <si>
    <t>ITB (CW-05-2020-016) 20DD0304</t>
  </si>
  <si>
    <t>20AJ0098</t>
  </si>
  <si>
    <t>2020-03-09</t>
  </si>
  <si>
    <t>2020-130-I</t>
  </si>
  <si>
    <t>ITB No. 2020-133-A-bpmc</t>
  </si>
  <si>
    <t>ITB (CW-05-2020-016) 20DD0309</t>
  </si>
  <si>
    <t>20AJ0099</t>
  </si>
  <si>
    <t>ITB No. 2020-132-A-pgo-coa</t>
  </si>
  <si>
    <t>20NC0116</t>
  </si>
  <si>
    <t>20AJ0097</t>
  </si>
  <si>
    <t>20PG0052</t>
  </si>
  <si>
    <t>QM PABAC 030-20</t>
  </si>
  <si>
    <t>ITB No. DENR XII-01-2020</t>
  </si>
  <si>
    <t>ITB PR No.: 0347, 0348-20BAC</t>
  </si>
  <si>
    <t>DPWH-SK2DEO-20GMH037</t>
  </si>
  <si>
    <t>DPWH-SK2DEO-20GMH038</t>
  </si>
  <si>
    <t>20PG0049</t>
  </si>
  <si>
    <t>DPWH-SK2DEO-20GMH039</t>
  </si>
  <si>
    <t>NTCR9-PB-2020-04</t>
  </si>
  <si>
    <t>ITB PR No.: 0376-20BAC</t>
  </si>
  <si>
    <t>20HG0154 RE-BID</t>
  </si>
  <si>
    <t>20HG0161 RE-BID</t>
  </si>
  <si>
    <t>20GD0107</t>
  </si>
  <si>
    <t>20PG0051</t>
  </si>
  <si>
    <t>PROJECT ID NO. I-2020-011</t>
  </si>
  <si>
    <t>20HG0162 RE-BID</t>
  </si>
  <si>
    <t>RVII-2020-05-002</t>
  </si>
  <si>
    <t>GF-20-02-00316</t>
  </si>
  <si>
    <t>20-02-088</t>
  </si>
  <si>
    <t>TAYSAN2020-038R</t>
  </si>
  <si>
    <t>2020-05-28-5</t>
  </si>
  <si>
    <t>20PE0075</t>
  </si>
  <si>
    <t>GF-20-02-00016B</t>
  </si>
  <si>
    <t>20-046</t>
  </si>
  <si>
    <t>PB 20-02-05</t>
  </si>
  <si>
    <t>20NF0068</t>
  </si>
  <si>
    <t>20DE0134</t>
  </si>
  <si>
    <t>ITB PR No.: 0374-20BAC</t>
  </si>
  <si>
    <t>DPWH-SK2DEO-20MH0081</t>
  </si>
  <si>
    <t>DPWH-SK2DEO-20MH0082</t>
  </si>
  <si>
    <t>BTG3-20GDC0004</t>
  </si>
  <si>
    <t>DPWH-SK2DEO-20MH0100</t>
  </si>
  <si>
    <t>DPWH-SK2DEO-20MH0083</t>
  </si>
  <si>
    <t>DPWH-SK2DEO-20MH0080</t>
  </si>
  <si>
    <t>20DE0140</t>
  </si>
  <si>
    <t>20-128</t>
  </si>
  <si>
    <t>20DE0139</t>
  </si>
  <si>
    <t>20030200</t>
  </si>
  <si>
    <t>DPWH-SK2DEO-20MH0084</t>
  </si>
  <si>
    <t>20-356</t>
  </si>
  <si>
    <t>PROJECT ID NO. I-2020-010</t>
  </si>
  <si>
    <t>20DE0135</t>
  </si>
  <si>
    <t>20DE0136</t>
  </si>
  <si>
    <t>20DE0141</t>
  </si>
  <si>
    <t>20DE0138</t>
  </si>
  <si>
    <t>CW41-2020</t>
  </si>
  <si>
    <t>20DE0137</t>
  </si>
  <si>
    <t>CW42-2020</t>
  </si>
  <si>
    <t>20-22 INFRA</t>
  </si>
  <si>
    <t>590-20</t>
  </si>
  <si>
    <t>2020-05-15</t>
  </si>
  <si>
    <t>20-23 INFRA</t>
  </si>
  <si>
    <t>PB2020-06-038I</t>
  </si>
  <si>
    <t>19</t>
  </si>
  <si>
    <t>PB2020-06-039I</t>
  </si>
  <si>
    <t>PB2020-06-056G</t>
  </si>
  <si>
    <t>G-20-05-004</t>
  </si>
  <si>
    <t>PB2020-06-036I</t>
  </si>
  <si>
    <t>PB2020-06-055G</t>
  </si>
  <si>
    <t>18</t>
  </si>
  <si>
    <t>ITB GOODS 2020-05-28</t>
  </si>
  <si>
    <t>PB2020-06-035I</t>
  </si>
  <si>
    <t>ITB GOODS 2020-05-29</t>
  </si>
  <si>
    <t>PB2020-06-037I</t>
  </si>
  <si>
    <t>MG-A7C20-021</t>
  </si>
  <si>
    <t>20GKF0028</t>
  </si>
  <si>
    <t>'019</t>
  </si>
  <si>
    <t>MG-A7M20-069</t>
  </si>
  <si>
    <t>MG-A7M20-030</t>
  </si>
  <si>
    <t>6-aballa-2020</t>
  </si>
  <si>
    <t>20-24 INFRA</t>
  </si>
  <si>
    <t>3-aballa-2020</t>
  </si>
  <si>
    <t>2-aballa-2020</t>
  </si>
  <si>
    <t>'020</t>
  </si>
  <si>
    <t>2020-04-11</t>
  </si>
  <si>
    <t>PB-01-020</t>
  </si>
  <si>
    <t>2020-02-0102</t>
  </si>
  <si>
    <t>101-20-04-046</t>
  </si>
  <si>
    <t>1-aballa-2020</t>
  </si>
  <si>
    <t>4-aballa-2020</t>
  </si>
  <si>
    <t>20MC0102</t>
  </si>
  <si>
    <t>2003-01C01</t>
  </si>
  <si>
    <t>5-aballa-2020</t>
  </si>
  <si>
    <t>'021</t>
  </si>
  <si>
    <t>2040-S1M03</t>
  </si>
  <si>
    <t>0859</t>
  </si>
  <si>
    <t>2008-01M02-01</t>
  </si>
  <si>
    <t>401-20-05-281</t>
  </si>
  <si>
    <t>101-1909-007</t>
  </si>
  <si>
    <t>2016-01M04</t>
  </si>
  <si>
    <t>SPC PR No. 1000032229</t>
  </si>
  <si>
    <t>NS-05-28-20-02</t>
  </si>
  <si>
    <t>26-2020A</t>
  </si>
  <si>
    <t>2016-01M03-02</t>
  </si>
  <si>
    <t>24-2020A</t>
  </si>
  <si>
    <t>mgc2020-infra024</t>
  </si>
  <si>
    <t>25-2020A</t>
  </si>
  <si>
    <t>22-2020A</t>
  </si>
  <si>
    <t>2016-01M09</t>
  </si>
  <si>
    <t>23-2020A</t>
  </si>
  <si>
    <t>LGU-Diadi BAC 2020</t>
  </si>
  <si>
    <t>NS-05-28-20-01</t>
  </si>
  <si>
    <t>20-2020A</t>
  </si>
  <si>
    <t>835-20</t>
  </si>
  <si>
    <t>2060-01m39</t>
  </si>
  <si>
    <t>5-10-20</t>
  </si>
  <si>
    <t>20JB0073</t>
  </si>
  <si>
    <t>SIG PABAC 003-20</t>
  </si>
  <si>
    <t>20JB0074</t>
  </si>
  <si>
    <t>19-R-01</t>
  </si>
  <si>
    <t>2060-01m40</t>
  </si>
  <si>
    <t>2021-01M04-02</t>
  </si>
  <si>
    <t>ITB 20-0056</t>
  </si>
  <si>
    <t>20PE0083</t>
  </si>
  <si>
    <t>2060-01C13</t>
  </si>
  <si>
    <t>2060-01m11</t>
  </si>
  <si>
    <t>PR0088-20 PEO</t>
  </si>
  <si>
    <t>PR0086-20 PEO</t>
  </si>
  <si>
    <t>20GPG0001</t>
  </si>
  <si>
    <t>2060-01M32</t>
  </si>
  <si>
    <t>PR0090-20 PEO</t>
  </si>
  <si>
    <t>PR0081-20 PEO</t>
  </si>
  <si>
    <t>PB-INF-2020-032</t>
  </si>
  <si>
    <t>21-2020A</t>
  </si>
  <si>
    <t>10809</t>
  </si>
  <si>
    <t>INFRA 08-2020</t>
  </si>
  <si>
    <t>PR0077-20 PEO</t>
  </si>
  <si>
    <t>PR0084-20 PEO</t>
  </si>
  <si>
    <t>PB 05-10-2020</t>
  </si>
  <si>
    <t>ITB No. 2020-004-A</t>
  </si>
  <si>
    <t>PB-INF-2020-031</t>
  </si>
  <si>
    <t>May-it SIP-WS-02-2020</t>
  </si>
  <si>
    <t>20P00009</t>
  </si>
  <si>
    <t>RFQ2020-008</t>
  </si>
  <si>
    <t>1960-S1-03</t>
  </si>
  <si>
    <t>7-aballa-2020</t>
  </si>
  <si>
    <t>PB-2020-01</t>
  </si>
  <si>
    <t>NIAR6-EGPIP-PUMP-CAPIZ-GS02-20</t>
  </si>
  <si>
    <t>20P00006</t>
  </si>
  <si>
    <t>20P00005</t>
  </si>
  <si>
    <t>IB No. T-2020-005</t>
  </si>
  <si>
    <t>8-aballa-2020</t>
  </si>
  <si>
    <t>BJMPROXIII-2020-07</t>
  </si>
  <si>
    <t>2020-05-042</t>
  </si>
  <si>
    <t>20P00017</t>
  </si>
  <si>
    <t>ITB-20-03126</t>
  </si>
  <si>
    <t>MG-ADM20-001..INST. OF LIGHTNING PROTECTION OF MIN</t>
  </si>
  <si>
    <t>Goods-2019-012</t>
  </si>
  <si>
    <t>MG-A5M20-019..INST. OF TUNNEL WALL STRENGTHENING</t>
  </si>
  <si>
    <t>TAG-SDS-039-2020</t>
  </si>
  <si>
    <t>cgb2020-121</t>
  </si>
  <si>
    <t>cgb2020-119</t>
  </si>
  <si>
    <t>IB No. GS-2020 – 058</t>
  </si>
  <si>
    <t>IB No. GS-2020 – 059</t>
  </si>
  <si>
    <t>202-5-20</t>
  </si>
  <si>
    <t>20HJ0115</t>
  </si>
  <si>
    <t>ITB-20-03023</t>
  </si>
  <si>
    <t>IB No. GS-2020 – 060</t>
  </si>
  <si>
    <t>GS 2020-05-016</t>
  </si>
  <si>
    <t>20-076</t>
  </si>
  <si>
    <t>USTP-GSPB-05-5050105003-2020</t>
  </si>
  <si>
    <t>20-015</t>
  </si>
  <si>
    <t>'018</t>
  </si>
  <si>
    <t>cgb2020-120</t>
  </si>
  <si>
    <t>2020-057</t>
  </si>
  <si>
    <t>20JC0087</t>
  </si>
  <si>
    <t>20FF0087</t>
  </si>
  <si>
    <t>G-2020-018</t>
  </si>
  <si>
    <t>WO 2020-01-03</t>
  </si>
  <si>
    <t>08701</t>
  </si>
  <si>
    <t>CW-2020-003</t>
  </si>
  <si>
    <t>08102 &amp; 09040</t>
  </si>
  <si>
    <t>G-2020-019</t>
  </si>
  <si>
    <t>SVP 20-786</t>
  </si>
  <si>
    <t>IB No. GS-2020 – 069</t>
  </si>
  <si>
    <t>G-2020-017</t>
  </si>
  <si>
    <t>PB-2020-05-37</t>
  </si>
  <si>
    <t>ITB No. 20-065</t>
  </si>
  <si>
    <t>2020-000-028</t>
  </si>
  <si>
    <t>Supply and Delivery of Brass Replacement Piece</t>
  </si>
  <si>
    <t>20BI0056</t>
  </si>
  <si>
    <t>IB No. GS-2020 – 068</t>
  </si>
  <si>
    <t>2020 - 018</t>
  </si>
  <si>
    <t>ITB 20-0058</t>
  </si>
  <si>
    <t>20CSFM0001</t>
  </si>
  <si>
    <t>ITB 20-0059</t>
  </si>
  <si>
    <t>ITB No. 2020-005-A</t>
  </si>
  <si>
    <t>PB-INF-2020-030</t>
  </si>
  <si>
    <t>ITB 20-0057</t>
  </si>
  <si>
    <t>MKWD2020-039</t>
  </si>
  <si>
    <t>20-0096</t>
  </si>
  <si>
    <t>May-it SIP-WS-01-2020</t>
  </si>
  <si>
    <t>20PE0080</t>
  </si>
  <si>
    <t>20JB0075</t>
  </si>
  <si>
    <t>20PE0079</t>
  </si>
  <si>
    <t>B-73-2020</t>
  </si>
  <si>
    <t>019-20</t>
  </si>
  <si>
    <t>20-DO-0079</t>
  </si>
  <si>
    <t>20PE0081</t>
  </si>
  <si>
    <t>BAC-ITO GS No. 2020-040 dated 08 May 2020</t>
  </si>
  <si>
    <t>2020-ITB-05-010</t>
  </si>
  <si>
    <t>TAYSAN2020-046R</t>
  </si>
  <si>
    <t>20PE0082</t>
  </si>
  <si>
    <t>2020-ITB-05-017</t>
  </si>
  <si>
    <t>101-020-005-063</t>
  </si>
  <si>
    <t>20C00036</t>
  </si>
  <si>
    <t>2020-ITB-05-020</t>
  </si>
  <si>
    <t>20200525-018</t>
  </si>
  <si>
    <t>065</t>
  </si>
  <si>
    <t>2020-ITB-05-011</t>
  </si>
  <si>
    <t>2020-ITB-05-013</t>
  </si>
  <si>
    <t>2020-ITB-05-021</t>
  </si>
  <si>
    <t>2020-ITB-05-014</t>
  </si>
  <si>
    <t>Infra 2020-08</t>
  </si>
  <si>
    <t>2020-ITB-05-015</t>
  </si>
  <si>
    <t>Infra 2020-07</t>
  </si>
  <si>
    <t>Infra 2020-06</t>
  </si>
  <si>
    <t>DPWH-SK2DEO-20MH0075</t>
  </si>
  <si>
    <t>2020-PR20-612-145</t>
  </si>
  <si>
    <t>2020-ITB-05-018</t>
  </si>
  <si>
    <t>20MGU-032</t>
  </si>
  <si>
    <t>20MGU-031</t>
  </si>
  <si>
    <t>Infra 2020-05</t>
  </si>
  <si>
    <t>ITB-20-03011</t>
  </si>
  <si>
    <t>BAC-CO-GS-2020-05</t>
  </si>
  <si>
    <t>20-994</t>
  </si>
  <si>
    <t>20HJ0118</t>
  </si>
  <si>
    <t>016-20</t>
  </si>
  <si>
    <t>20MGU-028</t>
  </si>
  <si>
    <t>2020-ITB-05-025</t>
  </si>
  <si>
    <t>2020-ITB-05-023</t>
  </si>
  <si>
    <t>DTI PB-20-010</t>
  </si>
  <si>
    <t>20MGU-033</t>
  </si>
  <si>
    <t>20MGU-36</t>
  </si>
  <si>
    <t>15</t>
  </si>
  <si>
    <t>20DK0128</t>
  </si>
  <si>
    <t>20DK0106</t>
  </si>
  <si>
    <t>018</t>
  </si>
  <si>
    <t>20DK0127</t>
  </si>
  <si>
    <t>20FJ0026</t>
  </si>
  <si>
    <t>20DK0124</t>
  </si>
  <si>
    <t>2020-ITB-05-024</t>
  </si>
  <si>
    <t>2020-ITB-05-012</t>
  </si>
  <si>
    <t>001-05-22-2020</t>
  </si>
  <si>
    <t>PUR20-03- 0301</t>
  </si>
  <si>
    <t>20-M-G-002</t>
  </si>
  <si>
    <t>Supply and Delivery of IT Equipment</t>
  </si>
  <si>
    <t>20-M-G-004</t>
  </si>
  <si>
    <t>INN R4B-20-05-05</t>
  </si>
  <si>
    <t>INFRA -27-2020</t>
  </si>
  <si>
    <t>INFRA -25-2020</t>
  </si>
  <si>
    <t>INFRA-26-2020</t>
  </si>
  <si>
    <t>20-M-G-003</t>
  </si>
  <si>
    <t>20-0092</t>
  </si>
  <si>
    <t>WDDSP-MFWD-IFB-CW11a</t>
  </si>
  <si>
    <t>2020-ITB-05-019</t>
  </si>
  <si>
    <t>WDDSP-MFWD-IFB-G11c</t>
  </si>
  <si>
    <t>ITB-19-01010A</t>
  </si>
  <si>
    <t>2002-270</t>
  </si>
  <si>
    <t>762</t>
  </si>
  <si>
    <t>19Z00001</t>
  </si>
  <si>
    <t>SVP-2020-048</t>
  </si>
  <si>
    <t>20CI0085</t>
  </si>
  <si>
    <t>20CSGF0001</t>
  </si>
  <si>
    <t>20LD0100</t>
  </si>
  <si>
    <t>20CG0131</t>
  </si>
  <si>
    <t>2020-INFRA-02</t>
  </si>
  <si>
    <t>20BG0131</t>
  </si>
  <si>
    <t>BFAR5BAC-2020-091</t>
  </si>
  <si>
    <t>20BG0132</t>
  </si>
  <si>
    <t>20CI0084</t>
  </si>
  <si>
    <t>NMPBAC-ITB-2020-05-01</t>
  </si>
  <si>
    <t>2020-05-27</t>
  </si>
  <si>
    <t>SCM-GOODS-05202020-01</t>
  </si>
  <si>
    <t>G2019-014-A</t>
  </si>
  <si>
    <t>20BG0134</t>
  </si>
  <si>
    <t>SVP 2020-312</t>
  </si>
  <si>
    <t>20BG0138</t>
  </si>
  <si>
    <t>20BG0137</t>
  </si>
  <si>
    <t>SVP 2020-310</t>
  </si>
  <si>
    <t>ITB No. 2020-02</t>
  </si>
  <si>
    <t>SVP20-431</t>
  </si>
  <si>
    <t>SVP 2020-311</t>
  </si>
  <si>
    <t>PSYS-20-05-002</t>
  </si>
  <si>
    <t>PEO-2019-0535</t>
  </si>
  <si>
    <t>ITB No. 2020-03</t>
  </si>
  <si>
    <t>20-009-10 Charlie</t>
  </si>
  <si>
    <t>SVP 2020-215</t>
  </si>
  <si>
    <t>CONTRACT ID NO. 20CSGN0088</t>
  </si>
  <si>
    <t>20BG0136</t>
  </si>
  <si>
    <t>20BG0135</t>
  </si>
  <si>
    <t>20HJ0117</t>
  </si>
  <si>
    <t>20-04-00327, 20-04-00328, 20-04-00329, 20-04-00330</t>
  </si>
  <si>
    <t>20-05-48</t>
  </si>
  <si>
    <t>20BG0139</t>
  </si>
  <si>
    <t>20CI0087</t>
  </si>
  <si>
    <t>MKWD-BAC-2020-037</t>
  </si>
  <si>
    <t>CGETDC WO 20-05-01</t>
  </si>
  <si>
    <t>ITB No. GOP/20-DSWD-032</t>
  </si>
  <si>
    <t>20CI0086</t>
  </si>
  <si>
    <t>ITB No. GOP/20-DSWD-030</t>
  </si>
  <si>
    <t>20BG0140</t>
  </si>
  <si>
    <t>SVP 2020-216</t>
  </si>
  <si>
    <t>14B BAC:ESD Mine3 20-005</t>
  </si>
  <si>
    <t>BFAR5BAC-2020-081</t>
  </si>
  <si>
    <t>CS-01</t>
  </si>
  <si>
    <t>SVP20-412</t>
  </si>
  <si>
    <t>20LD0101</t>
  </si>
  <si>
    <t>20LB0242</t>
  </si>
  <si>
    <t>20LB0155</t>
  </si>
  <si>
    <t>NFA-2020-RBAC-REGIII-006A</t>
  </si>
  <si>
    <t>SVP 2020-131</t>
  </si>
  <si>
    <t>20LD0081</t>
  </si>
  <si>
    <t>20LB0241</t>
  </si>
  <si>
    <t>CS-02</t>
  </si>
  <si>
    <t>BFAR5BAC-2020-082</t>
  </si>
  <si>
    <t>20CC0214</t>
  </si>
  <si>
    <t>20LD0066</t>
  </si>
  <si>
    <t>20LD0096</t>
  </si>
  <si>
    <t>20DK0129</t>
  </si>
  <si>
    <t>BFAR5BAC-2020-076</t>
  </si>
  <si>
    <t>SVP20-399</t>
  </si>
  <si>
    <t>BFAR5BAC-2020-078</t>
  </si>
  <si>
    <t>BFAR5BAC-2020-077</t>
  </si>
  <si>
    <t>IB No. 2020-203</t>
  </si>
  <si>
    <t>20MGU-35</t>
  </si>
  <si>
    <t>MG-A7M20-052</t>
  </si>
  <si>
    <t>QES-05-023-20</t>
  </si>
  <si>
    <t>IB No. 2020-202</t>
  </si>
  <si>
    <t>AMMO-PNBAC2-2020-12</t>
  </si>
  <si>
    <t>INN 2020-05-06</t>
  </si>
  <si>
    <t>VMC-2020-053</t>
  </si>
  <si>
    <t>20CSH022</t>
  </si>
  <si>
    <t>20CSH018</t>
  </si>
  <si>
    <t>20CSH020</t>
  </si>
  <si>
    <t>2020-05-06a</t>
  </si>
  <si>
    <t>20C00042</t>
  </si>
  <si>
    <t>20CSH016</t>
  </si>
  <si>
    <t>20CSH021</t>
  </si>
  <si>
    <t>20CSH019</t>
  </si>
  <si>
    <t>20MGU-34</t>
  </si>
  <si>
    <t>2020-ITB-05-016</t>
  </si>
  <si>
    <t>20CSH017</t>
  </si>
  <si>
    <t>2020-ITB-05-022</t>
  </si>
  <si>
    <t>DPWH-SK2DEO-20MH0074</t>
  </si>
  <si>
    <t>2020-05-001-MD</t>
  </si>
  <si>
    <t>20AJ0100</t>
  </si>
  <si>
    <t>FSDE18-CN-043-20</t>
  </si>
  <si>
    <t>GF-20-02-00019B</t>
  </si>
  <si>
    <t>ITB No. 2020-130-A-pgo-pdrc</t>
  </si>
  <si>
    <t>Supply and Delivery of Materials, Retrofitting and</t>
  </si>
  <si>
    <t>ITB 2020-INFRA-003</t>
  </si>
  <si>
    <t>ITB 2020-INFRA-001</t>
  </si>
  <si>
    <t>20NC00115</t>
  </si>
  <si>
    <t>20JA0078</t>
  </si>
  <si>
    <t>ITB 2020-INFRA-007</t>
  </si>
  <si>
    <t>ITB 2020-INFRA-004</t>
  </si>
  <si>
    <t>IB No.2020-04-009-G</t>
  </si>
  <si>
    <t>ITB 2020-INFRA-006</t>
  </si>
  <si>
    <t>ITB 2020-INFRA-005</t>
  </si>
  <si>
    <t>2020-07-A</t>
  </si>
  <si>
    <t>ITB 2020-INFRA-002</t>
  </si>
  <si>
    <t>ITB PR No.: 0258, 0261, 0263, 0264-20BAC</t>
  </si>
  <si>
    <t>GF-20-02-00018B</t>
  </si>
  <si>
    <t>ITB PR No.: 0484-20BAC</t>
  </si>
  <si>
    <t>ITB PR No.: 0277-20BAC</t>
  </si>
  <si>
    <t>ITB PR No.: 0308, 0361-20BAC</t>
  </si>
  <si>
    <t>20GA0161</t>
  </si>
  <si>
    <t>0012-GOODS-2020</t>
  </si>
  <si>
    <t>20JA0080</t>
  </si>
  <si>
    <t>20JA0082</t>
  </si>
  <si>
    <t>20JA0081</t>
  </si>
  <si>
    <t>20JA0079</t>
  </si>
  <si>
    <t>ITB PR No.: 0307, 0362-20BAC</t>
  </si>
  <si>
    <t>20GA0181</t>
  </si>
  <si>
    <t>QM PABAC 029-20</t>
  </si>
  <si>
    <t>2020-04-123</t>
  </si>
  <si>
    <t>2020-05-28-4</t>
  </si>
  <si>
    <t>ISS 2020-008-IT</t>
  </si>
  <si>
    <t>20NC0114</t>
  </si>
  <si>
    <t>BFAR5BAC-2020-050</t>
  </si>
  <si>
    <t>20LB0238</t>
  </si>
  <si>
    <t>ITB No. 2020-131-A-sp-main</t>
  </si>
  <si>
    <t>20LB0237</t>
  </si>
  <si>
    <t>20FB0140</t>
  </si>
  <si>
    <t>20FB0137</t>
  </si>
  <si>
    <t>20LB0240</t>
  </si>
  <si>
    <t>20LB0203</t>
  </si>
  <si>
    <t>BFAR5BAC-2020-051</t>
  </si>
  <si>
    <t>2020-04-122</t>
  </si>
  <si>
    <t>20LB0239</t>
  </si>
  <si>
    <t>BFAR5BAC-2020-064</t>
  </si>
  <si>
    <t>20LB0230</t>
  </si>
  <si>
    <t>20PG0050</t>
  </si>
  <si>
    <t>BFAR5BAC-2020-046</t>
  </si>
  <si>
    <t>BFAR5BAC-2020-053</t>
  </si>
  <si>
    <t>BFAR5BAC-2020-065</t>
  </si>
  <si>
    <t>BFAR5BAC-2020-044</t>
  </si>
  <si>
    <t>TAL-06-03-2020</t>
  </si>
  <si>
    <t>DAR-PANG-005-2020</t>
  </si>
  <si>
    <t>BFAR5BAC-2020-039</t>
  </si>
  <si>
    <t>20LB0253</t>
  </si>
  <si>
    <t>BFAR5BAC-2020-032</t>
  </si>
  <si>
    <t>ITB-GS-20190703-01(2)</t>
  </si>
  <si>
    <t>20HM0083 (RE-IB)</t>
  </si>
  <si>
    <t>SVP 2020-304</t>
  </si>
  <si>
    <t>20NG0096</t>
  </si>
  <si>
    <t>ITB-GS-20200304-01</t>
  </si>
  <si>
    <t>BFAR5BAC-2020-034</t>
  </si>
  <si>
    <t>20LB0293</t>
  </si>
  <si>
    <t>20LB0292</t>
  </si>
  <si>
    <t>20LB0268</t>
  </si>
  <si>
    <t>20GGO0002</t>
  </si>
  <si>
    <t>20LB0291</t>
  </si>
  <si>
    <t>20LB0260</t>
  </si>
  <si>
    <t>20LB0246</t>
  </si>
  <si>
    <t>20LB0290</t>
  </si>
  <si>
    <t>20AI0161</t>
  </si>
  <si>
    <t>ITB-GS-20200305-03</t>
  </si>
  <si>
    <t>BFAR5BAC-2020-036</t>
  </si>
  <si>
    <t>ITB (CW-05-2020-016) 20DD0295</t>
  </si>
  <si>
    <t>2020-GOODS-03</t>
  </si>
  <si>
    <t>20AI0163</t>
  </si>
  <si>
    <t>ITB (CW-05-2020-016) 20DD0302</t>
  </si>
  <si>
    <t>20-5046</t>
  </si>
  <si>
    <t>DA3-2020-02-24-304</t>
  </si>
  <si>
    <t>20NB0068</t>
  </si>
  <si>
    <t>20B00027 (re-ad)</t>
  </si>
  <si>
    <t>SVP 2020-220</t>
  </si>
  <si>
    <t>PR0069-20 PEO REBID</t>
  </si>
  <si>
    <t>SVP 20-971</t>
  </si>
  <si>
    <t>SVP 2020-302</t>
  </si>
  <si>
    <t>ITB-GS-20191202-01</t>
  </si>
  <si>
    <t>20NG0066</t>
  </si>
  <si>
    <t>ITB No. 062-Infra-2020</t>
  </si>
  <si>
    <t>ITB (CW-05-2020-016) 20DD0303</t>
  </si>
  <si>
    <t>20AC0087</t>
  </si>
  <si>
    <t>27806-001</t>
  </si>
  <si>
    <t>BAC-GS No. 2020-046</t>
  </si>
  <si>
    <t>20NG0092</t>
  </si>
  <si>
    <t>ITB-GS-20200212-01</t>
  </si>
  <si>
    <t>IB No.: BSWM-2020-03-0005</t>
  </si>
  <si>
    <t>SVP 2020-173</t>
  </si>
  <si>
    <t>20KJ0171</t>
  </si>
  <si>
    <t>20NG0090</t>
  </si>
  <si>
    <t>2020-PB-SS-AGUS6/7-026-01</t>
  </si>
  <si>
    <t>ITB2020-01-001 (INFRA)</t>
  </si>
  <si>
    <t>20DJ0088</t>
  </si>
  <si>
    <t>20LA0249</t>
  </si>
  <si>
    <t>20AC0088</t>
  </si>
  <si>
    <t>CSJ-2020-031</t>
  </si>
  <si>
    <t>CSJ-2020-029</t>
  </si>
  <si>
    <t>2020-PB-SS-AGUS5-025-01</t>
  </si>
  <si>
    <t>CSJ-2020-013</t>
  </si>
  <si>
    <t>20NG0091</t>
  </si>
  <si>
    <t>SVP 2020-174</t>
  </si>
  <si>
    <t>100-2019-12-1793</t>
  </si>
  <si>
    <t>20GA0168</t>
  </si>
  <si>
    <t>20AC0079</t>
  </si>
  <si>
    <t>20AC0081</t>
  </si>
  <si>
    <t>20GA0197</t>
  </si>
  <si>
    <t>20AC0083</t>
  </si>
  <si>
    <t>ITB-GOODS-2020-05-029</t>
  </si>
  <si>
    <t>20AC0084</t>
  </si>
  <si>
    <t>CSJ-2020-030</t>
  </si>
  <si>
    <t>20AC0082</t>
  </si>
  <si>
    <t>20NG0089</t>
  </si>
  <si>
    <t>20NG0088</t>
  </si>
  <si>
    <t>CONTRACT ID: 20-02-063 2ND REBID</t>
  </si>
  <si>
    <t>20GA0198</t>
  </si>
  <si>
    <t>20NG0087</t>
  </si>
  <si>
    <t>20B00024</t>
  </si>
  <si>
    <t>20F00111</t>
  </si>
  <si>
    <t>CS 2020-01</t>
  </si>
  <si>
    <t>20F00109</t>
  </si>
  <si>
    <t>20GHD0001</t>
  </si>
  <si>
    <t>20LB0173</t>
  </si>
  <si>
    <t>20GA0137</t>
  </si>
  <si>
    <t>CID No. 20CSIO08</t>
  </si>
  <si>
    <t>20AC0080</t>
  </si>
  <si>
    <t>CID No. 20CSIO13</t>
  </si>
  <si>
    <t>Bid 2020-01</t>
  </si>
  <si>
    <t>20CSIO09</t>
  </si>
  <si>
    <t>CID No. 20CSIO10</t>
  </si>
  <si>
    <t>20OC0001</t>
  </si>
  <si>
    <t>UPLB-IF-016-03-20</t>
  </si>
  <si>
    <t>20CSH0002</t>
  </si>
  <si>
    <t>UPLB-IF-015-03-20</t>
  </si>
  <si>
    <t>ITB No. PB20-03-003DAV</t>
  </si>
  <si>
    <t>CID No. 20CSIO12</t>
  </si>
  <si>
    <t>20AC0076</t>
  </si>
  <si>
    <t>A4-2020-001</t>
  </si>
  <si>
    <t>20CE0206</t>
  </si>
  <si>
    <t>2020-01-0016</t>
  </si>
  <si>
    <t>20CE0205</t>
  </si>
  <si>
    <t>PB 20-16</t>
  </si>
  <si>
    <t>PBD - 2020 - 04_GATE VALVES</t>
  </si>
  <si>
    <t>19dpwh61</t>
  </si>
  <si>
    <t>doletac8-2020-11</t>
  </si>
  <si>
    <t>TIEZA-67-2020</t>
  </si>
  <si>
    <t>SB-2020-001</t>
  </si>
  <si>
    <t>nlontoc-ITB050-2020</t>
  </si>
  <si>
    <t>20NG0086</t>
  </si>
  <si>
    <t>ITB-GS-20200217-01</t>
  </si>
  <si>
    <t>SB-2020-019</t>
  </si>
  <si>
    <t>19dpwh60</t>
  </si>
  <si>
    <t>SB-2020-017</t>
  </si>
  <si>
    <t>UPLB-RES-033-03-20 CHEMICALS AND CHEMICAL PRODUCTS</t>
  </si>
  <si>
    <t>UPLB-RES-034-03-20 FILAMENT EXTRUDER</t>
  </si>
  <si>
    <t>20AC0072</t>
  </si>
  <si>
    <t>SB-2020-018</t>
  </si>
  <si>
    <t>20OC0004</t>
  </si>
  <si>
    <t>GSO-20-0202-B</t>
  </si>
  <si>
    <t>20AC0071</t>
  </si>
  <si>
    <t>20GOE0005</t>
  </si>
  <si>
    <t>20AC0078</t>
  </si>
  <si>
    <t>20AC0073</t>
  </si>
  <si>
    <t xml:space="preserve">UPLB-RES-029-04-20 DIAGNOSTIC AND LAB SERVICE FOR </t>
  </si>
  <si>
    <t>20AC0077</t>
  </si>
  <si>
    <t>PEO-20-068-B</t>
  </si>
  <si>
    <t>UPLB-RES-027-04-20 INFORMATION TECHNOLOGY FOR ICS</t>
  </si>
  <si>
    <t>20OC0010</t>
  </si>
  <si>
    <t>BAC 2020-53</t>
  </si>
  <si>
    <t>BAC 2020-55</t>
  </si>
  <si>
    <t>BAC 2020-54</t>
  </si>
  <si>
    <t>MG-A7T20-023</t>
  </si>
  <si>
    <t>20-03-002</t>
  </si>
  <si>
    <t>BAC 2020-50</t>
  </si>
  <si>
    <t>BAC 2020-51</t>
  </si>
  <si>
    <t>BAC 2020-46</t>
  </si>
  <si>
    <t>BAC 2020-49</t>
  </si>
  <si>
    <t>20-DO-0075</t>
  </si>
  <si>
    <t>BAC 2020-47</t>
  </si>
  <si>
    <t>BAC 2020-52</t>
  </si>
  <si>
    <t>BAC 2020-48</t>
  </si>
  <si>
    <t>UPLB-RES-031-04-20 CHEMICALS AND CHEMICAL PRODUCTS</t>
  </si>
  <si>
    <t>B-026-2020</t>
  </si>
  <si>
    <t>20AC0074</t>
  </si>
  <si>
    <t>20AC0075</t>
  </si>
  <si>
    <t>ITB No. PB20-01-007ANGa-03</t>
  </si>
  <si>
    <t>BAC 2020-56</t>
  </si>
  <si>
    <t>ITB-GS-20191023-01(2)</t>
  </si>
  <si>
    <t>20AC0067</t>
  </si>
  <si>
    <t>19-10-0950 Re-Bid</t>
  </si>
  <si>
    <t>BCS-2020-0095</t>
  </si>
  <si>
    <t>TIEZA-66-2020</t>
  </si>
  <si>
    <t>B-028-2020</t>
  </si>
  <si>
    <t>20AC0068</t>
  </si>
  <si>
    <t>20AC0069</t>
  </si>
  <si>
    <t>20-02-0073</t>
  </si>
  <si>
    <t>BAC 2020-60</t>
  </si>
  <si>
    <t>B-027-2020</t>
  </si>
  <si>
    <t>ITB No. 2020-10</t>
  </si>
  <si>
    <t>B-011-2020</t>
  </si>
  <si>
    <t>UPLB-RES-030-04-20 LAB AND SCIEN. EQUIPMENT</t>
  </si>
  <si>
    <t>B-010-2020</t>
  </si>
  <si>
    <t>TIEZA-62-2020</t>
  </si>
  <si>
    <t>BAC 2020-59</t>
  </si>
  <si>
    <t>TIEZA-64-2020</t>
  </si>
  <si>
    <t>20AC0066</t>
  </si>
  <si>
    <t>2020-CIMS(008)-PB-001</t>
  </si>
  <si>
    <t>20AC0065</t>
  </si>
  <si>
    <t>PROCUREMENT OF OTHER SUPPLIES AND MATERIALS (SUPPL</t>
  </si>
  <si>
    <t>20OC0007</t>
  </si>
  <si>
    <t>CP 2020-30 RB</t>
  </si>
  <si>
    <t>20DE0123</t>
  </si>
  <si>
    <t>20DE0130</t>
  </si>
  <si>
    <t>20DE0125</t>
  </si>
  <si>
    <t>CP 2020-34 B</t>
  </si>
  <si>
    <t>CP 2020-35 B</t>
  </si>
  <si>
    <t>PB20-00-008CORa-02</t>
  </si>
  <si>
    <t>20OC0008</t>
  </si>
  <si>
    <t>2020-03-0011</t>
  </si>
  <si>
    <t>BAC 2020-57</t>
  </si>
  <si>
    <t>20AC0064</t>
  </si>
  <si>
    <t>2020-03-0010</t>
  </si>
  <si>
    <t>PB0-00-008CORa-02</t>
  </si>
  <si>
    <t>20AC0061</t>
  </si>
  <si>
    <t>LGU-065-2020</t>
  </si>
  <si>
    <t>B-023-2020</t>
  </si>
  <si>
    <t>2020-03-0012</t>
  </si>
  <si>
    <t>LGU-063-2020</t>
  </si>
  <si>
    <t>20AC0058</t>
  </si>
  <si>
    <t>LGU-062-2020</t>
  </si>
  <si>
    <t>20AC0057</t>
  </si>
  <si>
    <t>LGU-066-2020</t>
  </si>
  <si>
    <t>20AC0060</t>
  </si>
  <si>
    <t>bac-20-0310e</t>
  </si>
  <si>
    <t>bac-20-0310f</t>
  </si>
  <si>
    <t>PB20-03-032COR</t>
  </si>
  <si>
    <t>2020-03-0009</t>
  </si>
  <si>
    <t>2020-03-0008</t>
  </si>
  <si>
    <t>PB20-03-004MAL</t>
  </si>
  <si>
    <t>20AC0063</t>
  </si>
  <si>
    <t>TIEZA-58-2020</t>
  </si>
  <si>
    <t>ITB NO.: GOODS 2020-03-002</t>
  </si>
  <si>
    <t>B-025-2020</t>
  </si>
  <si>
    <t>20-86-002</t>
  </si>
  <si>
    <t>ITB GOODS 20-03-007</t>
  </si>
  <si>
    <t>20-0068</t>
  </si>
  <si>
    <t>20AC0062</t>
  </si>
  <si>
    <t>AC-PNBAC1-2020-12</t>
  </si>
  <si>
    <t>B-024-2020</t>
  </si>
  <si>
    <t>20-0061</t>
  </si>
  <si>
    <t>20% DF-2018-emib-SB</t>
  </si>
  <si>
    <t>PEO CO-2016</t>
  </si>
  <si>
    <t>SV20-03-001MAB</t>
  </si>
  <si>
    <t>ITB No. 20-047: Supply and Delivery of Two Hundred</t>
  </si>
  <si>
    <t>PROCUREMENT OF COMPUTERIZED HOSPITAL INFORMATION S</t>
  </si>
  <si>
    <t>IB 2020-05</t>
  </si>
  <si>
    <t>20FL0063</t>
  </si>
  <si>
    <t>20OE0197</t>
  </si>
  <si>
    <t>19CSK00047</t>
  </si>
  <si>
    <t>PEO CO-2019-SB 2-1-07-04-010</t>
  </si>
  <si>
    <t>ITB-03-2020-002</t>
  </si>
  <si>
    <t>IB 2020-06</t>
  </si>
  <si>
    <t>20GO0085</t>
  </si>
  <si>
    <t>20FL0074</t>
  </si>
  <si>
    <t>PEO CO-2019-1-07-03-990</t>
  </si>
  <si>
    <t>R4-ORD-ARDMS-ADM-20-01-002</t>
  </si>
  <si>
    <t>PEO CO-2019-1-07-03-010</t>
  </si>
  <si>
    <t>ITB NO.: GOODS 2020-03-004</t>
  </si>
  <si>
    <t>PEO CO-2018-1-07-03-010</t>
  </si>
  <si>
    <t>20GOC0002</t>
  </si>
  <si>
    <t>73</t>
  </si>
  <si>
    <t>ITB NO.: GOODS 2020-03-003</t>
  </si>
  <si>
    <t>20DE0118</t>
  </si>
  <si>
    <t>20-0074</t>
  </si>
  <si>
    <t>CP 2020-32 RB</t>
  </si>
  <si>
    <t>dfppurch20-044</t>
  </si>
  <si>
    <t>20GA0150</t>
  </si>
  <si>
    <t>itb20-03-020B</t>
  </si>
  <si>
    <t>SVP 2020-211</t>
  </si>
  <si>
    <t>ITB No. 20-048</t>
  </si>
  <si>
    <t>B-022-2020</t>
  </si>
  <si>
    <t>ITB INFRA-019-2020</t>
  </si>
  <si>
    <t>ADH-20-063-B(REBID)</t>
  </si>
  <si>
    <t>NP-2020-003</t>
  </si>
  <si>
    <t>20AC0059</t>
  </si>
  <si>
    <t>20OC0028</t>
  </si>
  <si>
    <t>IB 2020-04</t>
  </si>
  <si>
    <t>20FA0050</t>
  </si>
  <si>
    <t>BCS-2020-0085</t>
  </si>
  <si>
    <t>2020-02-3</t>
  </si>
  <si>
    <t>UPC PB2020-03-04</t>
  </si>
  <si>
    <t>itb20-03-020A</t>
  </si>
  <si>
    <t>itb20-03-021A</t>
  </si>
  <si>
    <t>ITB INFRA-021-2020</t>
  </si>
  <si>
    <t>20OE0091</t>
  </si>
  <si>
    <t>ITB INFRA-020-2020</t>
  </si>
  <si>
    <t>20FL0076</t>
  </si>
  <si>
    <t>20GA0151</t>
  </si>
  <si>
    <t>BAC-PGCS-001-2020</t>
  </si>
  <si>
    <t>20GA0163</t>
  </si>
  <si>
    <t>BCS-2020-0081</t>
  </si>
  <si>
    <t>Q-022-20</t>
  </si>
  <si>
    <t>2020-GSIS-PB-084</t>
  </si>
  <si>
    <t>UPC PB2020-03-03</t>
  </si>
  <si>
    <t>2020-015-PB</t>
  </si>
  <si>
    <t>BAC-PGCS-109-2020</t>
  </si>
  <si>
    <t>PB 2020-03-06_Security Personnel Services</t>
  </si>
  <si>
    <t>20OE0196</t>
  </si>
  <si>
    <t>itb20-03-023B</t>
  </si>
  <si>
    <t>itb20-03-022B</t>
  </si>
  <si>
    <t>Q-056-20</t>
  </si>
  <si>
    <t>20FL0068</t>
  </si>
  <si>
    <t>ITB NO. 2020-05</t>
  </si>
  <si>
    <t>itb20-03-022A</t>
  </si>
  <si>
    <t>20GA0173</t>
  </si>
  <si>
    <t>itb20-03-023A</t>
  </si>
  <si>
    <t>20AC0090</t>
  </si>
  <si>
    <t>itb20-03-021B</t>
  </si>
  <si>
    <t>BAC PB 2020-008</t>
  </si>
  <si>
    <t>20AC0091</t>
  </si>
  <si>
    <t>2020-TF001</t>
  </si>
  <si>
    <t>20GA0192</t>
  </si>
  <si>
    <t>20IL0175</t>
  </si>
  <si>
    <t>20AC0089</t>
  </si>
  <si>
    <t>20GA0128</t>
  </si>
  <si>
    <t>BAC 2020-45</t>
  </si>
  <si>
    <t>2020-loan005</t>
  </si>
  <si>
    <t>20GA0171</t>
  </si>
  <si>
    <t>2020-06 (Rebidding)</t>
  </si>
  <si>
    <t>20AC0054</t>
  </si>
  <si>
    <t>BCS-2020-0080</t>
  </si>
  <si>
    <t>PB-IP-01-2020</t>
  </si>
  <si>
    <t>ITB-GS-20200218-01</t>
  </si>
  <si>
    <t>ITB-GS-20200224-01</t>
  </si>
  <si>
    <t>itb20-03-019A</t>
  </si>
  <si>
    <t>20FA0049</t>
  </si>
  <si>
    <t>ITB-GS-20200219-01</t>
  </si>
  <si>
    <t>BCS-2020-0079</t>
  </si>
  <si>
    <t>20dpwh41(readv)</t>
  </si>
  <si>
    <t>TAS-20-03-068</t>
  </si>
  <si>
    <t>20dpwh07</t>
  </si>
  <si>
    <t>BCS-2020-0078</t>
  </si>
  <si>
    <t>2020-03-0015</t>
  </si>
  <si>
    <t>ITB No. PB20-03-002DAV</t>
  </si>
  <si>
    <t>19dpwh59</t>
  </si>
  <si>
    <t>PR No. 91686</t>
  </si>
  <si>
    <t>PR No. 91032</t>
  </si>
  <si>
    <t>PR Nos. 90938 &amp; 90940</t>
  </si>
  <si>
    <t>RE-BID 19-024-06 ALPHA</t>
  </si>
  <si>
    <t>PR No. 91685</t>
  </si>
  <si>
    <t>PR No. 90373</t>
  </si>
  <si>
    <t>JR No. 23759</t>
  </si>
  <si>
    <t>PB20-02-031COR - SUPPLY AND DELIVERY OF CARD PRINT</t>
  </si>
  <si>
    <t>PR No. 91535</t>
  </si>
  <si>
    <t>JR No. 23760</t>
  </si>
  <si>
    <t>PR No. 91688</t>
  </si>
  <si>
    <t>BCS-2020-0077</t>
  </si>
  <si>
    <t>PR No. 91815</t>
  </si>
  <si>
    <t>BCS-2020-0076</t>
  </si>
  <si>
    <t>20AC0056</t>
  </si>
  <si>
    <t>MG-A7T20-025</t>
  </si>
  <si>
    <t>MG-A7T20-021</t>
  </si>
  <si>
    <t>AC-PNBAC1-2020-11</t>
  </si>
  <si>
    <t>PR No. 91684</t>
  </si>
  <si>
    <t>ITB No. PB20-02-008ANG</t>
  </si>
  <si>
    <t>PB20-02-008ANG</t>
  </si>
  <si>
    <t>IB NO. 2020-08</t>
  </si>
  <si>
    <t>AC-PNBAC1-2020-08</t>
  </si>
  <si>
    <t>UPLB-S-042-03-20 (FORMERLY UPLB-S-120-12-19)</t>
  </si>
  <si>
    <t>EMBR02-PB-CONSULTINGSERVICES- EMED022020-066</t>
  </si>
  <si>
    <t>AC-PNBAC1-2020-10</t>
  </si>
  <si>
    <t>PR No. 91677</t>
  </si>
  <si>
    <t>10660</t>
  </si>
  <si>
    <t>PR No. 91687</t>
  </si>
  <si>
    <t>PR No. 91678</t>
  </si>
  <si>
    <t>20AC0051</t>
  </si>
  <si>
    <t>AC-PNBAC1-2020-09</t>
  </si>
  <si>
    <t>PR No. 91681</t>
  </si>
  <si>
    <t>ITB No. PB20-01-017COR</t>
  </si>
  <si>
    <t>19CSK00049</t>
  </si>
  <si>
    <t>ITB No. 2020-09</t>
  </si>
  <si>
    <t>19CSK00048</t>
  </si>
  <si>
    <t>ITB2020-003</t>
  </si>
  <si>
    <t>20FA0048</t>
  </si>
  <si>
    <t>20GO0038</t>
  </si>
  <si>
    <t>20NG0085</t>
  </si>
  <si>
    <t>2020-02 Infra (Rebid 2020 BEFF Lot 6)</t>
  </si>
  <si>
    <t>UPLB-S-044-03-20</t>
  </si>
  <si>
    <t>20NG0084</t>
  </si>
  <si>
    <t>20FA0047</t>
  </si>
  <si>
    <t>R4-INFRA2020-01-004</t>
  </si>
  <si>
    <t>UPLB-S-031-03-20</t>
  </si>
  <si>
    <t>bac-20-0302b</t>
  </si>
  <si>
    <t>BCS-2020-0073</t>
  </si>
  <si>
    <t>R4-INFRA2020-01-003</t>
  </si>
  <si>
    <t>20AC0053</t>
  </si>
  <si>
    <t>20AC0055</t>
  </si>
  <si>
    <t>BCS-2020-0074</t>
  </si>
  <si>
    <t>20BG0116</t>
  </si>
  <si>
    <t>SAM-2020-14</t>
  </si>
  <si>
    <t>UPLB-RES-024-03-20 APPLIANCES FOR IHNF</t>
  </si>
  <si>
    <t>CP 2020-33 B</t>
  </si>
  <si>
    <t>PR-FAS00-20-02-00001</t>
  </si>
  <si>
    <t>20AC0052</t>
  </si>
  <si>
    <t>CARC- 2020-GS-01</t>
  </si>
  <si>
    <t>20NG0083</t>
  </si>
  <si>
    <t>20BK0129</t>
  </si>
  <si>
    <t>BulSU-BAC-G-2020-04</t>
  </si>
  <si>
    <t>20-0048</t>
  </si>
  <si>
    <t>PR No. 91683</t>
  </si>
  <si>
    <t>20BK0130</t>
  </si>
  <si>
    <t>itb20-02-017B</t>
  </si>
  <si>
    <t>itb20-02-017C</t>
  </si>
  <si>
    <t>itb20-02-017A</t>
  </si>
  <si>
    <t>BCS-2020-0072</t>
  </si>
  <si>
    <t>PB20-02-001MAB.LOT2</t>
  </si>
  <si>
    <t>20NG0082</t>
  </si>
  <si>
    <t>BulSU-BAC-G-2020-17</t>
  </si>
  <si>
    <t>071 20-663-1</t>
  </si>
  <si>
    <t>PB20-02-001MAB.LOT1</t>
  </si>
  <si>
    <t>20-02-002</t>
  </si>
  <si>
    <t>BAC19-001-004</t>
  </si>
  <si>
    <t>20-DO-0067</t>
  </si>
  <si>
    <t>DA7-R&amp;D-OA-20-1744</t>
  </si>
  <si>
    <t xml:space="preserve">UPLB-RES-026-03-20 DIAGNOSTIC AND LAB SERVICE FOR </t>
  </si>
  <si>
    <t>UPLB-RES-025-03-20 LAB EQUIP. FOR IHNF</t>
  </si>
  <si>
    <t>20HD0089</t>
  </si>
  <si>
    <t>20NG0080</t>
  </si>
  <si>
    <t>BAC Ref No. 02-2020WPMS</t>
  </si>
  <si>
    <t>PB20-02-003MAL</t>
  </si>
  <si>
    <t>UPLB-IF-014-03-20</t>
  </si>
  <si>
    <t>UPLB-S-033-03-20</t>
  </si>
  <si>
    <t>ITB No. 20-044 Supply and Delivery of Various Rice</t>
  </si>
  <si>
    <t>IB No. 2020-02-03</t>
  </si>
  <si>
    <t>20-DO-0068</t>
  </si>
  <si>
    <t>2020-004-004</t>
  </si>
  <si>
    <t>BAC-GS-2020-02-002</t>
  </si>
  <si>
    <t>PB20-02-030COR</t>
  </si>
  <si>
    <t>071 20-644</t>
  </si>
  <si>
    <t>UPLB-CSLT-001-03-20</t>
  </si>
  <si>
    <t>UPLB-S-032-03-20</t>
  </si>
  <si>
    <t>AC-PNBAC1-2020-07</t>
  </si>
  <si>
    <t>AC-PNBAC1-2020-06</t>
  </si>
  <si>
    <t>BCS-2019-0065</t>
  </si>
  <si>
    <t>UPLB-S-034-03-20</t>
  </si>
  <si>
    <t>UPLB-S-039-03-20</t>
  </si>
  <si>
    <t>ITB-GS-20200204-01</t>
  </si>
  <si>
    <t>BCS-2019-0066</t>
  </si>
  <si>
    <t>UPLB-S-037-03-20</t>
  </si>
  <si>
    <t>Purchase Request 73515</t>
  </si>
  <si>
    <t>BAC 2020-018</t>
  </si>
  <si>
    <t>UPLB-S-038-03-20</t>
  </si>
  <si>
    <t>itb20-02-016D</t>
  </si>
  <si>
    <t>BCS-2020-0068</t>
  </si>
  <si>
    <t>BAC 2020-012</t>
  </si>
  <si>
    <t>Purchase Request 73516</t>
  </si>
  <si>
    <t>BAC No. 2020-019</t>
  </si>
  <si>
    <t>BAC No. 2020-017</t>
  </si>
  <si>
    <t>BulSU-BAC-G-2020-16</t>
  </si>
  <si>
    <t>BAC Ref No. 03-2020PTC</t>
  </si>
  <si>
    <t>itb20-02-016B</t>
  </si>
  <si>
    <t>BCS-2020-0059</t>
  </si>
  <si>
    <t>UPLB-CSLT-002-03-20</t>
  </si>
  <si>
    <t>BCS-2020-0060</t>
  </si>
  <si>
    <t>BCS-2020-0067</t>
  </si>
  <si>
    <t>20CG0119</t>
  </si>
  <si>
    <t>BAC Ref No. 04-2020SFC</t>
  </si>
  <si>
    <t>20HN0107</t>
  </si>
  <si>
    <t>BAC No. 2020-015</t>
  </si>
  <si>
    <t>Invitation to Bid 2020-01</t>
  </si>
  <si>
    <t>20HN0104</t>
  </si>
  <si>
    <t>BAC No. 2020-016</t>
  </si>
  <si>
    <t>UPLB-S-030-03-20</t>
  </si>
  <si>
    <t>2020-0067</t>
  </si>
  <si>
    <t>SVP 2020-70</t>
  </si>
  <si>
    <t>2020-0069</t>
  </si>
  <si>
    <t>ITB-GS-20190807-01</t>
  </si>
  <si>
    <t>2020-0066</t>
  </si>
  <si>
    <t>ITB-CW-20200124-01</t>
  </si>
  <si>
    <t>ITB-CW-20200121-01</t>
  </si>
  <si>
    <t>20CI0064</t>
  </si>
  <si>
    <t>CW-95</t>
  </si>
  <si>
    <t>19CSK00044</t>
  </si>
  <si>
    <t>20OE0114</t>
  </si>
  <si>
    <t>19CSK00043</t>
  </si>
  <si>
    <t>SVP 2020-19</t>
  </si>
  <si>
    <t>20OE0108</t>
  </si>
  <si>
    <t>CW-100</t>
  </si>
  <si>
    <t>19CSK00042</t>
  </si>
  <si>
    <t>20A00152</t>
  </si>
  <si>
    <t>20OE0192</t>
  </si>
  <si>
    <t>2020-0070</t>
  </si>
  <si>
    <t>20NG0060</t>
  </si>
  <si>
    <t>CAT-2020-001</t>
  </si>
  <si>
    <t>20OE0193</t>
  </si>
  <si>
    <t>20OE0194</t>
  </si>
  <si>
    <t>SVP 2020-112</t>
  </si>
  <si>
    <t>20OE0190</t>
  </si>
  <si>
    <t>20OE0191</t>
  </si>
  <si>
    <t>20OE0187</t>
  </si>
  <si>
    <t>20HN0097</t>
  </si>
  <si>
    <t>20OE0188</t>
  </si>
  <si>
    <t>20NG0030</t>
  </si>
  <si>
    <t>20OE0195</t>
  </si>
  <si>
    <t>20FO0062</t>
  </si>
  <si>
    <t>Contract ID: 20KH0027</t>
  </si>
  <si>
    <t>20-0003</t>
  </si>
  <si>
    <t>20OH0121</t>
  </si>
  <si>
    <t>20A00158</t>
  </si>
  <si>
    <t>20OE0189</t>
  </si>
  <si>
    <t>19Z00011</t>
  </si>
  <si>
    <t>04213531</t>
  </si>
  <si>
    <t>Contract ID: 20KH0030</t>
  </si>
  <si>
    <t>20CC0116</t>
  </si>
  <si>
    <t>20N00002</t>
  </si>
  <si>
    <t>19-0381</t>
  </si>
  <si>
    <t>20-01-012</t>
  </si>
  <si>
    <t>20A00157</t>
  </si>
  <si>
    <t>19-0380</t>
  </si>
  <si>
    <t>19-0393</t>
  </si>
  <si>
    <t>20CG0026</t>
  </si>
  <si>
    <t>19-0405</t>
  </si>
  <si>
    <t>20A00156</t>
  </si>
  <si>
    <t>19-0514</t>
  </si>
  <si>
    <t>19-0396</t>
  </si>
  <si>
    <t>20N00050</t>
  </si>
  <si>
    <t>20HD0017</t>
  </si>
  <si>
    <t>BP-2019-001</t>
  </si>
  <si>
    <t>PB No. 19-341-7</t>
  </si>
  <si>
    <t>19-0523</t>
  </si>
  <si>
    <t>19-0504</t>
  </si>
  <si>
    <t>19-0445</t>
  </si>
  <si>
    <t>19-0496</t>
  </si>
  <si>
    <t>19-0419</t>
  </si>
  <si>
    <t>19-0517</t>
  </si>
  <si>
    <t>19-0533</t>
  </si>
  <si>
    <t>Contract ID: 20KH0029</t>
  </si>
  <si>
    <t>19-0383</t>
  </si>
  <si>
    <t>18-0354</t>
  </si>
  <si>
    <t>18-0616</t>
  </si>
  <si>
    <t>20OE0138</t>
  </si>
  <si>
    <t>19-0520</t>
  </si>
  <si>
    <t>18-0398</t>
  </si>
  <si>
    <t>19-0097</t>
  </si>
  <si>
    <t>19-0159</t>
  </si>
  <si>
    <t>20KA0101 (Readvertisement)</t>
  </si>
  <si>
    <t>19-0260</t>
  </si>
  <si>
    <t>19-0226</t>
  </si>
  <si>
    <t>19-0270</t>
  </si>
  <si>
    <t>18-0282</t>
  </si>
  <si>
    <t>19-0248</t>
  </si>
  <si>
    <t>20L00108</t>
  </si>
  <si>
    <t>19-0243</t>
  </si>
  <si>
    <t>19-0346</t>
  </si>
  <si>
    <t>20FA0040</t>
  </si>
  <si>
    <t>20OE0166</t>
  </si>
  <si>
    <t>18-0445</t>
  </si>
  <si>
    <t>20OE0173</t>
  </si>
  <si>
    <t>20OE0185</t>
  </si>
  <si>
    <t>2020-0073</t>
  </si>
  <si>
    <t>18-0493</t>
  </si>
  <si>
    <t>2020-0074</t>
  </si>
  <si>
    <t>20-0017</t>
  </si>
  <si>
    <t>ITB No. 20-040 Supply and Delivery of Various Hous</t>
  </si>
  <si>
    <t>Implementing Rules and Regulations</t>
  </si>
  <si>
    <t>WB Procurement Guidelines</t>
  </si>
  <si>
    <t>Others</t>
  </si>
  <si>
    <t>ADB Procurement Guidelines</t>
  </si>
  <si>
    <t>International / Executive Agreement</t>
  </si>
  <si>
    <t>WB Guidelines on the use of Consultants</t>
  </si>
  <si>
    <t>ADB Guidelines on the use of Consultants</t>
  </si>
  <si>
    <t>Public Bidding</t>
  </si>
  <si>
    <t>Shopping</t>
  </si>
  <si>
    <t>Negotiated Procurement - Small Value Procurement (Sec. 53.9)</t>
  </si>
  <si>
    <t>National Competitive Bidding</t>
  </si>
  <si>
    <t>Negotiated Procurement - Two Failed Biddings (Sec. 53.1)</t>
  </si>
  <si>
    <t>Shopping - Ordinary/Regular Office Supplies &amp; Equipment (Sec. 52.1.b)</t>
  </si>
  <si>
    <t>Selection based on Consultants Qualification</t>
  </si>
  <si>
    <t>Negotiated Procurement - NGO Participation (Sec. 53.11)</t>
  </si>
  <si>
    <t>International Competitive Bidding</t>
  </si>
  <si>
    <t>Civil Works</t>
  </si>
  <si>
    <t>Goods</t>
  </si>
  <si>
    <t>Consulting Services</t>
  </si>
  <si>
    <t>Goods - General Support Services</t>
  </si>
  <si>
    <t>Reproduction Services</t>
  </si>
  <si>
    <t>Electronic Parts and Components</t>
  </si>
  <si>
    <t>Medical and Dental Equipment</t>
  </si>
  <si>
    <t>Kitchenware</t>
  </si>
  <si>
    <t>Vehicles</t>
  </si>
  <si>
    <t>Public Relations Programs or Services</t>
  </si>
  <si>
    <t>Agricultural Products (Seeds, Seedlings, Plants..)</t>
  </si>
  <si>
    <t>Medical Supplies and Laboratory Instrument</t>
  </si>
  <si>
    <t>Chemicals and Chemical Products</t>
  </si>
  <si>
    <t>Hardware and Construction Supplies</t>
  </si>
  <si>
    <t>Fuels/Fuel Additives &amp; Lubricants &amp; Anti Corrosive</t>
  </si>
  <si>
    <t>Computer Furniture</t>
  </si>
  <si>
    <t>Airconditioning Maintenance Services</t>
  </si>
  <si>
    <t>Security Services</t>
  </si>
  <si>
    <t>Communication Equipment &amp; Parts and Accessories</t>
  </si>
  <si>
    <t>Engineering and Laboratory Testing Equipment</t>
  </si>
  <si>
    <t>Information Technology</t>
  </si>
  <si>
    <t>General Engineering Services</t>
  </si>
  <si>
    <t>Construction Equipment</t>
  </si>
  <si>
    <t>Office Equipment Parts and Accessories</t>
  </si>
  <si>
    <t>Information Technology Parts &amp; Accessories &amp; Perip</t>
  </si>
  <si>
    <t>Security Surveillance and Detection Equipment</t>
  </si>
  <si>
    <t>Traffic Control Systems</t>
  </si>
  <si>
    <t>Waste Management and Recycling</t>
  </si>
  <si>
    <t>Well Drilling and Construction Services</t>
  </si>
  <si>
    <t>Agricultural Machinery and Equipment</t>
  </si>
  <si>
    <t>Packaging Supplies and Materials</t>
  </si>
  <si>
    <t>Water and Waste Water Treatment Supply &amp; Disposal</t>
  </si>
  <si>
    <t>Live Animals (Livestock, Birds, Live fish &amp; etc..)</t>
  </si>
  <si>
    <t>Laboratory Supplies and Equipment</t>
  </si>
  <si>
    <t>Fire Fighting &amp; Rescue and Safety Equipment</t>
  </si>
  <si>
    <t>Fertilizers</t>
  </si>
  <si>
    <t>Agricultural Chemicals</t>
  </si>
  <si>
    <t>Fixtures</t>
  </si>
  <si>
    <t>Chemical Detergents</t>
  </si>
  <si>
    <t>Printing Supplies</t>
  </si>
  <si>
    <t>Audio and Visual Equipment</t>
  </si>
  <si>
    <t>General Repair and Maintenance Services</t>
  </si>
  <si>
    <t>Hospital / Medical Equipment</t>
  </si>
  <si>
    <t>Airconditioning and Airconditioning Systems</t>
  </si>
  <si>
    <t>Furniture</t>
  </si>
  <si>
    <t>Books, Maps and Other Publications</t>
  </si>
  <si>
    <t>General Contractor</t>
  </si>
  <si>
    <t>Tokens and Awards</t>
  </si>
  <si>
    <t>Communication Equipment</t>
  </si>
  <si>
    <t>Surveying Services</t>
  </si>
  <si>
    <t>Events Management</t>
  </si>
  <si>
    <t>Grocery Items</t>
  </si>
  <si>
    <t>Industrial pumps and compressors</t>
  </si>
  <si>
    <t>Transmission and Distribution Lines</t>
  </si>
  <si>
    <t>Transportation and Communications Services</t>
  </si>
  <si>
    <t>Arts and Crafts Accessories and Supplies</t>
  </si>
  <si>
    <t>Plastic Products</t>
  </si>
  <si>
    <t>Print and Broadcast and Aerial Advertising</t>
  </si>
  <si>
    <t>Internet Services</t>
  </si>
  <si>
    <t>IT Broadcasting and Telecommunications</t>
  </si>
  <si>
    <t>Services</t>
  </si>
  <si>
    <t>Sporting Goods</t>
  </si>
  <si>
    <t>Cargo Forwarding and Hauling Services</t>
  </si>
  <si>
    <t>Construction Management Services</t>
  </si>
  <si>
    <t>Diagnostic and Laboratory Services</t>
  </si>
  <si>
    <t>Veterinary Products and Supplies</t>
  </si>
  <si>
    <t>Power Generation and Distribution Machinery</t>
  </si>
  <si>
    <t>Garments</t>
  </si>
  <si>
    <t>Advertising Agency Services</t>
  </si>
  <si>
    <t>Bedclothes, Linens and Towels</t>
  </si>
  <si>
    <t>Signage and Accessories</t>
  </si>
  <si>
    <t>Hotel and Lodging and Meeting Facilities</t>
  </si>
  <si>
    <t>Hospital / Medical Equipment Services</t>
  </si>
  <si>
    <t>Textiles</t>
  </si>
  <si>
    <t>Paper Materials and Products</t>
  </si>
  <si>
    <t>Photography Services</t>
  </si>
  <si>
    <t>Food Processing Equipment</t>
  </si>
  <si>
    <t>Education and Training Services</t>
  </si>
  <si>
    <t>Telecommunications Provider</t>
  </si>
  <si>
    <t>Flags</t>
  </si>
  <si>
    <t>Pest Control Services</t>
  </si>
  <si>
    <t>Furniture Parts and Accessories</t>
  </si>
  <si>
    <t>Machine Tools</t>
  </si>
  <si>
    <t>Radiological/Diagnostic Equipment</t>
  </si>
  <si>
    <t>Surveying Instruments</t>
  </si>
  <si>
    <t>Photographic Equipment</t>
  </si>
  <si>
    <t>Metal Fabrication</t>
  </si>
  <si>
    <t>Musical Instruments</t>
  </si>
  <si>
    <t>Personal Care Products</t>
  </si>
  <si>
    <t>Janitorial Equipment</t>
  </si>
  <si>
    <t>Financial and Insurance Services</t>
  </si>
  <si>
    <t>Navigation Equipment</t>
  </si>
  <si>
    <t>Funeral and Associated Services</t>
  </si>
  <si>
    <t>Newspapers</t>
  </si>
  <si>
    <t>Rice Milling Services</t>
  </si>
  <si>
    <t>Laundry Services</t>
  </si>
  <si>
    <t>Lease and Rental of Property or Building</t>
  </si>
  <si>
    <t>Pest Control Products</t>
  </si>
  <si>
    <t>Editorial, Design, Graphic and Fine Art Services</t>
  </si>
  <si>
    <t>Video Production Services</t>
  </si>
  <si>
    <t>Marine Transport</t>
  </si>
  <si>
    <t>Automation Equipment</t>
  </si>
  <si>
    <t>Quartermaster Items</t>
  </si>
  <si>
    <t>Travel, Food, Lodging and Entertainment Services</t>
  </si>
  <si>
    <t>Gaming Equipment and Paraphernalia</t>
  </si>
  <si>
    <t>Corporate Giveaways</t>
  </si>
  <si>
    <t>Systems Integration</t>
  </si>
  <si>
    <t>Oil/Heat Chemical Resistant Rubber</t>
  </si>
  <si>
    <t>Architectural Design</t>
  </si>
  <si>
    <t>Timepieces and Jewelry and Gemstone Products</t>
  </si>
  <si>
    <t>Mail and Cargo Transport Services</t>
  </si>
  <si>
    <t>Aircraft Spare Parts</t>
  </si>
  <si>
    <t>Beverages</t>
  </si>
  <si>
    <t>Investigative Equipment</t>
  </si>
  <si>
    <t>Lifting equipment and accessories</t>
  </si>
  <si>
    <t>Meteorological Equipments and Instruments</t>
  </si>
  <si>
    <t>Photographic Parts, Supplies and Accessories</t>
  </si>
  <si>
    <t>Ammunitions and Explosives</t>
  </si>
  <si>
    <t>Maritime Spare Parts</t>
  </si>
  <si>
    <t>Freight Forwarder Services</t>
  </si>
  <si>
    <t>Games and Toys</t>
  </si>
  <si>
    <t>Structured Cabling</t>
  </si>
  <si>
    <t>Dairy Products</t>
  </si>
  <si>
    <t>Aviation Services</t>
  </si>
  <si>
    <t>Aviation Products</t>
  </si>
  <si>
    <t>Geotechnical Instrumentation</t>
  </si>
  <si>
    <t>Ordnance Products</t>
  </si>
  <si>
    <t>Guns and Weapons</t>
  </si>
  <si>
    <t>Telecommunications Engineering</t>
  </si>
  <si>
    <t>Hydrological Instruments</t>
  </si>
  <si>
    <t>Preserved or Processed Foods</t>
  </si>
  <si>
    <t>100,000.00</t>
  </si>
  <si>
    <t>130,671.00</t>
  </si>
  <si>
    <t>5,000,000.00</t>
  </si>
  <si>
    <t>3,500.00</t>
  </si>
  <si>
    <t>2,263,024.89</t>
  </si>
  <si>
    <t>75,000.00</t>
  </si>
  <si>
    <t>2,000,000.00</t>
  </si>
  <si>
    <t>50,000.00</t>
  </si>
  <si>
    <t>2,030,000.00</t>
  </si>
  <si>
    <t>30,000.00</t>
  </si>
  <si>
    <t>233,042.30</t>
  </si>
  <si>
    <t>2,400.00</t>
  </si>
  <si>
    <t>1,328,908.00</t>
  </si>
  <si>
    <t>2,000.00</t>
  </si>
  <si>
    <t>3,300.00</t>
  </si>
  <si>
    <t>270,000.00</t>
  </si>
  <si>
    <t>250,000.00</t>
  </si>
  <si>
    <t>220,000.00</t>
  </si>
  <si>
    <t>1,000,000.00</t>
  </si>
  <si>
    <t>135,000.00</t>
  </si>
  <si>
    <t>257,353.99</t>
  </si>
  <si>
    <t>68,984.37</t>
  </si>
  <si>
    <t>189,410.00</t>
  </si>
  <si>
    <t>101,000.00</t>
  </si>
  <si>
    <t>112,000.00</t>
  </si>
  <si>
    <t>994,750.00</t>
  </si>
  <si>
    <t>1,050,000.00</t>
  </si>
  <si>
    <t>1,955,000.00</t>
  </si>
  <si>
    <t>80,000.00</t>
  </si>
  <si>
    <t>1,186,894.46</t>
  </si>
  <si>
    <t>1,539,048.40</t>
  </si>
  <si>
    <t>5,326,937.40</t>
  </si>
  <si>
    <t>149,900.00</t>
  </si>
  <si>
    <t>200,000.00</t>
  </si>
  <si>
    <t>1,500,000.00</t>
  </si>
  <si>
    <t>247,578.40</t>
  </si>
  <si>
    <t>53,000.00</t>
  </si>
  <si>
    <t>129,000.00</t>
  </si>
  <si>
    <t>4,863,000.00</t>
  </si>
  <si>
    <t>93,475.00</t>
  </si>
  <si>
    <t>420,000.00</t>
  </si>
  <si>
    <t>85,000.00</t>
  </si>
  <si>
    <t>54,500.00</t>
  </si>
  <si>
    <t>108,000.00</t>
  </si>
  <si>
    <t>64,500.00</t>
  </si>
  <si>
    <t>10,000,000.00</t>
  </si>
  <si>
    <t>3,113,470.00</t>
  </si>
  <si>
    <t>155,800.00</t>
  </si>
  <si>
    <t>400,000.00</t>
  </si>
  <si>
    <t>2,340,000.00</t>
  </si>
  <si>
    <t>800,000.00</t>
  </si>
  <si>
    <t>4,292,595.80</t>
  </si>
  <si>
    <t>160,000.00</t>
  </si>
  <si>
    <t>500,000.00</t>
  </si>
  <si>
    <t>966,750.00</t>
  </si>
  <si>
    <t>50,875,000.00</t>
  </si>
  <si>
    <t>442,000.00</t>
  </si>
  <si>
    <t>152,049.00</t>
  </si>
  <si>
    <t>18,456,000.00</t>
  </si>
  <si>
    <t>550,000.00</t>
  </si>
  <si>
    <t>999,160.11</t>
  </si>
  <si>
    <t>150,000.00</t>
  </si>
  <si>
    <t>2,030,600.00</t>
  </si>
  <si>
    <t>149,929.69</t>
  </si>
  <si>
    <t>976,796.82</t>
  </si>
  <si>
    <t>7,708.11</t>
  </si>
  <si>
    <t>51,500.00</t>
  </si>
  <si>
    <t>166,475.00</t>
  </si>
  <si>
    <t>240,000.00</t>
  </si>
  <si>
    <t>60,000.00</t>
  </si>
  <si>
    <t>300,000.00</t>
  </si>
  <si>
    <t>115,000.00</t>
  </si>
  <si>
    <t>490,000.00</t>
  </si>
  <si>
    <t>1,320,000.00</t>
  </si>
  <si>
    <t>984,313.25</t>
  </si>
  <si>
    <t>130,680.00</t>
  </si>
  <si>
    <t>109,500.00</t>
  </si>
  <si>
    <t>850,000.00</t>
  </si>
  <si>
    <t>52,569.00</t>
  </si>
  <si>
    <t>3,600,000.00</t>
  </si>
  <si>
    <t>59,000.00</t>
  </si>
  <si>
    <t>113,373.00</t>
  </si>
  <si>
    <t>1,044,910.00</t>
  </si>
  <si>
    <t>792,225.00</t>
  </si>
  <si>
    <t>598,725.30</t>
  </si>
  <si>
    <t>90,000.00</t>
  </si>
  <si>
    <t>661,172.30</t>
  </si>
  <si>
    <t>92,000.00</t>
  </si>
  <si>
    <t>5,100,000.00</t>
  </si>
  <si>
    <t>1,393,469.77</t>
  </si>
  <si>
    <t>928,615.00</t>
  </si>
  <si>
    <t>198,000.00</t>
  </si>
  <si>
    <t>495,530.00</t>
  </si>
  <si>
    <t>73,920.00</t>
  </si>
  <si>
    <t>561,120.00</t>
  </si>
  <si>
    <t>194,570.00</t>
  </si>
  <si>
    <t>1,452,000.00</t>
  </si>
  <si>
    <t>1,170,000.00</t>
  </si>
  <si>
    <t>815,999.40</t>
  </si>
  <si>
    <t>250,051.25</t>
  </si>
  <si>
    <t>632,000.00</t>
  </si>
  <si>
    <t>732,827.27</t>
  </si>
  <si>
    <t>1,260,000.00</t>
  </si>
  <si>
    <t>102,960.00</t>
  </si>
  <si>
    <t>77,000.00</t>
  </si>
  <si>
    <t>199,999.88</t>
  </si>
  <si>
    <t>14,919,793.00</t>
  </si>
  <si>
    <t>408,441.00</t>
  </si>
  <si>
    <t>2,653,585.00</t>
  </si>
  <si>
    <t>745,390.00</t>
  </si>
  <si>
    <t>538,387.00</t>
  </si>
  <si>
    <t>704,990.00</t>
  </si>
  <si>
    <t>9,860,804.59</t>
  </si>
  <si>
    <t>1,090,000.00</t>
  </si>
  <si>
    <t>2,443,831.37</t>
  </si>
  <si>
    <t>4,887,536.82</t>
  </si>
  <si>
    <t>499,500.00</t>
  </si>
  <si>
    <t>762,775.00</t>
  </si>
  <si>
    <t>1,103,329.00</t>
  </si>
  <si>
    <t>1,400,000.00</t>
  </si>
  <si>
    <t>4,887,241.63</t>
  </si>
  <si>
    <t>403,485.00</t>
  </si>
  <si>
    <t>4,887,619.94</t>
  </si>
  <si>
    <t>2,500,000.00</t>
  </si>
  <si>
    <t>188,472.00</t>
  </si>
  <si>
    <t>2,443,785.57</t>
  </si>
  <si>
    <t>9,542,068.05</t>
  </si>
  <si>
    <t>340,500.00</t>
  </si>
  <si>
    <t>1,046,250.00</t>
  </si>
  <si>
    <t>64,450.00</t>
  </si>
  <si>
    <t>891,575.85</t>
  </si>
  <si>
    <t>19,960.00</t>
  </si>
  <si>
    <t>2,805,000.00</t>
  </si>
  <si>
    <t>80,405.00</t>
  </si>
  <si>
    <t>476,910.00</t>
  </si>
  <si>
    <t>175,930.00</t>
  </si>
  <si>
    <t>367,011.20</t>
  </si>
  <si>
    <t>236,710.50</t>
  </si>
  <si>
    <t>73,235.00</t>
  </si>
  <si>
    <t>769,250.00</t>
  </si>
  <si>
    <t>381,000.00</t>
  </si>
  <si>
    <t>140,000.00</t>
  </si>
  <si>
    <t>525,000.00</t>
  </si>
  <si>
    <t>14,695.00</t>
  </si>
  <si>
    <t>491,505.00</t>
  </si>
  <si>
    <t>321,500.00</t>
  </si>
  <si>
    <t>475,000.00</t>
  </si>
  <si>
    <t>145,300.00</t>
  </si>
  <si>
    <t>399,833.97</t>
  </si>
  <si>
    <t>330,000.00</t>
  </si>
  <si>
    <t>2,991,195.51</t>
  </si>
  <si>
    <t>8,315.00</t>
  </si>
  <si>
    <t>12,787.00</t>
  </si>
  <si>
    <t>11,309,088.88</t>
  </si>
  <si>
    <t>34,119.00</t>
  </si>
  <si>
    <t>4,750.00</t>
  </si>
  <si>
    <t>242,985.75</t>
  </si>
  <si>
    <t>2,925.00</t>
  </si>
  <si>
    <t>10,972.00</t>
  </si>
  <si>
    <t>8,500.00</t>
  </si>
  <si>
    <t>11,090.00</t>
  </si>
  <si>
    <t>12,500.00</t>
  </si>
  <si>
    <t>9,750.00</t>
  </si>
  <si>
    <t>198,245.00</t>
  </si>
  <si>
    <t>9,700.00</t>
  </si>
  <si>
    <t>17,470.00</t>
  </si>
  <si>
    <t>315,000.00</t>
  </si>
  <si>
    <t>3,660.00</t>
  </si>
  <si>
    <t>7,507.00</t>
  </si>
  <si>
    <t>184,444.00</t>
  </si>
  <si>
    <t>59,500.00</t>
  </si>
  <si>
    <t>65,128.00</t>
  </si>
  <si>
    <t>234,511.20</t>
  </si>
  <si>
    <t>333,025.00</t>
  </si>
  <si>
    <t>18,000.00</t>
  </si>
  <si>
    <t>377,814.50</t>
  </si>
  <si>
    <t>90,345.00</t>
  </si>
  <si>
    <t>1,499,793.75</t>
  </si>
  <si>
    <t>1,399,453.13</t>
  </si>
  <si>
    <t>11,297.00</t>
  </si>
  <si>
    <t>414,221.50</t>
  </si>
  <si>
    <t>669,000.00</t>
  </si>
  <si>
    <t>17,500.00</t>
  </si>
  <si>
    <t>397,070.10</t>
  </si>
  <si>
    <t>20,000.00</t>
  </si>
  <si>
    <t>170,000.00</t>
  </si>
  <si>
    <t>13,500.00</t>
  </si>
  <si>
    <t>553,897.00</t>
  </si>
  <si>
    <t>43,890.00</t>
  </si>
  <si>
    <t>36,300.00</t>
  </si>
  <si>
    <t>77,272.12</t>
  </si>
  <si>
    <t>60,131.62</t>
  </si>
  <si>
    <t>40,300.00</t>
  </si>
  <si>
    <t>6,000.00</t>
  </si>
  <si>
    <t>5,000.00</t>
  </si>
  <si>
    <t>12,000.00</t>
  </si>
  <si>
    <t>960,080.00</t>
  </si>
  <si>
    <t>645,000.00</t>
  </si>
  <si>
    <t>136,000.00</t>
  </si>
  <si>
    <t>403,000.00</t>
  </si>
  <si>
    <t>180,935.70</t>
  </si>
  <si>
    <t>504,000.00</t>
  </si>
  <si>
    <t>52,800.00</t>
  </si>
  <si>
    <t>480,000.00</t>
  </si>
  <si>
    <t>75,618.00</t>
  </si>
  <si>
    <t>641,075.00</t>
  </si>
  <si>
    <t>56,000.00</t>
  </si>
  <si>
    <t>63,300.00</t>
  </si>
  <si>
    <t>86,400.00</t>
  </si>
  <si>
    <t>214,920,940.00</t>
  </si>
  <si>
    <t>144,750,000.00</t>
  </si>
  <si>
    <t>7,000.00</t>
  </si>
  <si>
    <t>13,360.00</t>
  </si>
  <si>
    <t>14,000.00</t>
  </si>
  <si>
    <t>350,000.00</t>
  </si>
  <si>
    <t>800,035.00</t>
  </si>
  <si>
    <t>600,000.00</t>
  </si>
  <si>
    <t>771,800.00</t>
  </si>
  <si>
    <t>201,426.75</t>
  </si>
  <si>
    <t>28,000.00</t>
  </si>
  <si>
    <t>133,000.00</t>
  </si>
  <si>
    <t>190,000.00</t>
  </si>
  <si>
    <t>39,020.00</t>
  </si>
  <si>
    <t>163,600.00</t>
  </si>
  <si>
    <t>47,271.80</t>
  </si>
  <si>
    <t>580,000.00</t>
  </si>
  <si>
    <t>58,500.00</t>
  </si>
  <si>
    <t>238,610.00</t>
  </si>
  <si>
    <t>96,000.00</t>
  </si>
  <si>
    <t>61,850.00</t>
  </si>
  <si>
    <t>193,390.00</t>
  </si>
  <si>
    <t>950,000.00</t>
  </si>
  <si>
    <t>880,600.00</t>
  </si>
  <si>
    <t>138,787.00</t>
  </si>
  <si>
    <t>550,146.40</t>
  </si>
  <si>
    <t>19,990.00</t>
  </si>
  <si>
    <t>72,300.00</t>
  </si>
  <si>
    <t>305,950.00</t>
  </si>
  <si>
    <t>311,388.00</t>
  </si>
  <si>
    <t>187,330.00</t>
  </si>
  <si>
    <t>131,536.00</t>
  </si>
  <si>
    <t>488,708.00</t>
  </si>
  <si>
    <t>192,500.00</t>
  </si>
  <si>
    <t>99,735.00</t>
  </si>
  <si>
    <t>70,000.00</t>
  </si>
  <si>
    <t>2,467,893.00</t>
  </si>
  <si>
    <t>595,800.00</t>
  </si>
  <si>
    <t>996,511.43</t>
  </si>
  <si>
    <t>65,000.00</t>
  </si>
  <si>
    <t>63,000.00</t>
  </si>
  <si>
    <t>340,758.27</t>
  </si>
  <si>
    <t>364,820.00</t>
  </si>
  <si>
    <t>180,000.00</t>
  </si>
  <si>
    <t>32,505.00</t>
  </si>
  <si>
    <t>325,600.00</t>
  </si>
  <si>
    <t>173,190.00</t>
  </si>
  <si>
    <t>210,000.00</t>
  </si>
  <si>
    <t>482,800.00</t>
  </si>
  <si>
    <t>437,400.00</t>
  </si>
  <si>
    <t>1,949,000.00</t>
  </si>
  <si>
    <t>84,960.00</t>
  </si>
  <si>
    <t>195,000.00</t>
  </si>
  <si>
    <t>203,499.00</t>
  </si>
  <si>
    <t>92,027.50</t>
  </si>
  <si>
    <t>84,880.00</t>
  </si>
  <si>
    <t>52,290.00</t>
  </si>
  <si>
    <t>1,284,800.00</t>
  </si>
  <si>
    <t>43,425,051.89</t>
  </si>
  <si>
    <t>90,880.00</t>
  </si>
  <si>
    <t>103,612.00</t>
  </si>
  <si>
    <t>92,900.00</t>
  </si>
  <si>
    <t>168,000.00</t>
  </si>
  <si>
    <t>254,000.00</t>
  </si>
  <si>
    <t>130,700.00</t>
  </si>
  <si>
    <t>999,999.84</t>
  </si>
  <si>
    <t>6,577,748.44</t>
  </si>
  <si>
    <t>348,130.00</t>
  </si>
  <si>
    <t>70,661.00</t>
  </si>
  <si>
    <t>570,000.00</t>
  </si>
  <si>
    <t>325,000.00</t>
  </si>
  <si>
    <t>2,761,877.78</t>
  </si>
  <si>
    <t>390,000.00</t>
  </si>
  <si>
    <t>68,291.12</t>
  </si>
  <si>
    <t>998,000.00</t>
  </si>
  <si>
    <t>450,000.00</t>
  </si>
  <si>
    <t>346,725.00</t>
  </si>
  <si>
    <t>60,500.00</t>
  </si>
  <si>
    <t>104,000.00</t>
  </si>
  <si>
    <t>136,500.00</t>
  </si>
  <si>
    <t>1,293,823.72</t>
  </si>
  <si>
    <t>64,400.00</t>
  </si>
  <si>
    <t>145,000.00</t>
  </si>
  <si>
    <t>790,028.76</t>
  </si>
  <si>
    <t>63,221.90</t>
  </si>
  <si>
    <t>54,636.40</t>
  </si>
  <si>
    <t>55,050.00</t>
  </si>
  <si>
    <t>2,169,000.00</t>
  </si>
  <si>
    <t>45,000.00</t>
  </si>
  <si>
    <t>255,420.38</t>
  </si>
  <si>
    <t>167,951.44</t>
  </si>
  <si>
    <t>900,000.00</t>
  </si>
  <si>
    <t>107,497.55</t>
  </si>
  <si>
    <t>53,272.00</t>
  </si>
  <si>
    <t>123,096.00</t>
  </si>
  <si>
    <t>110,750.00</t>
  </si>
  <si>
    <t>975,509.64</t>
  </si>
  <si>
    <t>199,990.50</t>
  </si>
  <si>
    <t>175,000.00</t>
  </si>
  <si>
    <t>176,000.00</t>
  </si>
  <si>
    <t>17,000,000.00</t>
  </si>
  <si>
    <t>219,050.00</t>
  </si>
  <si>
    <t>99,255.00</t>
  </si>
  <si>
    <t>61,355.00</t>
  </si>
  <si>
    <t>89,250.00</t>
  </si>
  <si>
    <t>96,047.00</t>
  </si>
  <si>
    <t>101,160.00</t>
  </si>
  <si>
    <t>700,000.00</t>
  </si>
  <si>
    <t>47,520.00</t>
  </si>
  <si>
    <t>1,700,000.00</t>
  </si>
  <si>
    <t>82,388.00</t>
  </si>
  <si>
    <t>67,500.00</t>
  </si>
  <si>
    <t>998,525.44</t>
  </si>
  <si>
    <t>147,500.00</t>
  </si>
  <si>
    <t>58,000.00</t>
  </si>
  <si>
    <t>117,540.00</t>
  </si>
  <si>
    <t>3,000.00</t>
  </si>
  <si>
    <t>15,000.00</t>
  </si>
  <si>
    <t>234,616.09</t>
  </si>
  <si>
    <t>74,000.00</t>
  </si>
  <si>
    <t>204,960.00</t>
  </si>
  <si>
    <t>408,679.70</t>
  </si>
  <si>
    <t>34,950.00</t>
  </si>
  <si>
    <t>55,200.00</t>
  </si>
  <si>
    <t>33,775,000.00</t>
  </si>
  <si>
    <t>72,000.00</t>
  </si>
  <si>
    <t>127,000.00</t>
  </si>
  <si>
    <t>565,339.00</t>
  </si>
  <si>
    <t>57,800.00</t>
  </si>
  <si>
    <t>20,000,000.00</t>
  </si>
  <si>
    <t>2,111,220.00</t>
  </si>
  <si>
    <t>4,286,404.90</t>
  </si>
  <si>
    <t>29,920,000.00</t>
  </si>
  <si>
    <t>165,000.00</t>
  </si>
  <si>
    <t>234,881.23</t>
  </si>
  <si>
    <t>374,400.00</t>
  </si>
  <si>
    <t>395,000.00</t>
  </si>
  <si>
    <t>95,000.00</t>
  </si>
  <si>
    <t>2,999,164.98</t>
  </si>
  <si>
    <t>696,000.00</t>
  </si>
  <si>
    <t>120,000.00</t>
  </si>
  <si>
    <t>2,999,154.98</t>
  </si>
  <si>
    <t>21,045.00</t>
  </si>
  <si>
    <t>12,960.00</t>
  </si>
  <si>
    <t>577,918.00</t>
  </si>
  <si>
    <t>3,000,000.00</t>
  </si>
  <si>
    <t>712,530.00</t>
  </si>
  <si>
    <t>119,000.00</t>
  </si>
  <si>
    <t>52,000.00</t>
  </si>
  <si>
    <t>296,287.90</t>
  </si>
  <si>
    <t>74,520.00</t>
  </si>
  <si>
    <t>886,020.50</t>
  </si>
  <si>
    <t>1,157,514.15</t>
  </si>
  <si>
    <t>716,300.00</t>
  </si>
  <si>
    <t>105,000.00</t>
  </si>
  <si>
    <t>152,330.00</t>
  </si>
  <si>
    <t>137,800.00</t>
  </si>
  <si>
    <t>942,601.80</t>
  </si>
  <si>
    <t>5,790,454.38</t>
  </si>
  <si>
    <t>49,000.00</t>
  </si>
  <si>
    <t>893,000.00</t>
  </si>
  <si>
    <t>999,398.37</t>
  </si>
  <si>
    <t>690,000.00</t>
  </si>
  <si>
    <t>31,245.00</t>
  </si>
  <si>
    <t>700,132.00</t>
  </si>
  <si>
    <t>111,000.00</t>
  </si>
  <si>
    <t>197,160.60</t>
  </si>
  <si>
    <t>201,720.23</t>
  </si>
  <si>
    <t>80,961.00</t>
  </si>
  <si>
    <t>93,140.00</t>
  </si>
  <si>
    <t>73,100.00</t>
  </si>
  <si>
    <t>347,900.00</t>
  </si>
  <si>
    <t>7,980,000.00</t>
  </si>
  <si>
    <t>261,058.59</t>
  </si>
  <si>
    <t>582,700.00</t>
  </si>
  <si>
    <t>498,365.00</t>
  </si>
  <si>
    <t>3,500,000.00</t>
  </si>
  <si>
    <t>80,650.00</t>
  </si>
  <si>
    <t>5,940.00</t>
  </si>
  <si>
    <t>86,825.00</t>
  </si>
  <si>
    <t>134,250.00</t>
  </si>
  <si>
    <t>499,225.41</t>
  </si>
  <si>
    <t>3,520.00</t>
  </si>
  <si>
    <t>764,691.39</t>
  </si>
  <si>
    <t>184,000.00</t>
  </si>
  <si>
    <t>254,500.00</t>
  </si>
  <si>
    <t>5,039,000.00</t>
  </si>
  <si>
    <t>211,300.00</t>
  </si>
  <si>
    <t>797,380.25</t>
  </si>
  <si>
    <t>5,980,000.00</t>
  </si>
  <si>
    <t>111,500.00</t>
  </si>
  <si>
    <t>97,770.00</t>
  </si>
  <si>
    <t>352,333.25</t>
  </si>
  <si>
    <t>266,920.10</t>
  </si>
  <si>
    <t>197,750.00</t>
  </si>
  <si>
    <t>252,550.00</t>
  </si>
  <si>
    <t>100,300.00</t>
  </si>
  <si>
    <t>82,000.00</t>
  </si>
  <si>
    <t>1,900,000.00</t>
  </si>
  <si>
    <t>7,149,621.77</t>
  </si>
  <si>
    <t>236,900.00</t>
  </si>
  <si>
    <t>54,720.00</t>
  </si>
  <si>
    <t>176,400.00</t>
  </si>
  <si>
    <t>57,500.00</t>
  </si>
  <si>
    <t>483,340.00</t>
  </si>
  <si>
    <t>4,974,975.09</t>
  </si>
  <si>
    <t>1,140,000.00</t>
  </si>
  <si>
    <t>4,249,000.00</t>
  </si>
  <si>
    <t>99,955.00</t>
  </si>
  <si>
    <t>78,600.00</t>
  </si>
  <si>
    <t>59,265.00</t>
  </si>
  <si>
    <t>289,765.65</t>
  </si>
  <si>
    <t>94,876.67</t>
  </si>
  <si>
    <t>800,011.00</t>
  </si>
  <si>
    <t>96,026.00</t>
  </si>
  <si>
    <t>345,000.00</t>
  </si>
  <si>
    <t>542,643.55</t>
  </si>
  <si>
    <t>2,900,000.00</t>
  </si>
  <si>
    <t>62,500.00</t>
  </si>
  <si>
    <t>186,150.00</t>
  </si>
  <si>
    <t>930,000.00</t>
  </si>
  <si>
    <t>86,000.00</t>
  </si>
  <si>
    <t>139,170.00</t>
  </si>
  <si>
    <t>98,311.75</t>
  </si>
  <si>
    <t>76,000.00</t>
  </si>
  <si>
    <t>1,470,327.60</t>
  </si>
  <si>
    <t>63,680.00</t>
  </si>
  <si>
    <t>626,000.00</t>
  </si>
  <si>
    <t>39,600.00</t>
  </si>
  <si>
    <t>361,000.00</t>
  </si>
  <si>
    <t>88,880.00</t>
  </si>
  <si>
    <t>51,290.00</t>
  </si>
  <si>
    <t>57,960.00</t>
  </si>
  <si>
    <t>125,000.00</t>
  </si>
  <si>
    <t>12,601.82</t>
  </si>
  <si>
    <t>78,500.00</t>
  </si>
  <si>
    <t>55,800.00</t>
  </si>
  <si>
    <t>85,900.00</t>
  </si>
  <si>
    <t>102,334.34</t>
  </si>
  <si>
    <t>82,735.25</t>
  </si>
  <si>
    <t>110,408.35</t>
  </si>
  <si>
    <t>71,972.24</t>
  </si>
  <si>
    <t>37,500.00</t>
  </si>
  <si>
    <t>990,000.00</t>
  </si>
  <si>
    <t>923,921.93</t>
  </si>
  <si>
    <t>58,240.00</t>
  </si>
  <si>
    <t>1,540.00</t>
  </si>
  <si>
    <t>994,828.43</t>
  </si>
  <si>
    <t>72,395.00</t>
  </si>
  <si>
    <t>11,500.00</t>
  </si>
  <si>
    <t>110,000.00</t>
  </si>
  <si>
    <t>199,000.00</t>
  </si>
  <si>
    <t>16,334,000.00</t>
  </si>
  <si>
    <t>75,975.00</t>
  </si>
  <si>
    <t>454,634.40</t>
  </si>
  <si>
    <t>75,488.56</t>
  </si>
  <si>
    <t>62,210.00</t>
  </si>
  <si>
    <t>155,280.00</t>
  </si>
  <si>
    <t>72,600.00</t>
  </si>
  <si>
    <t>245,000.00</t>
  </si>
  <si>
    <t>55,745.55</t>
  </si>
  <si>
    <t>294,000.00</t>
  </si>
  <si>
    <t>79,971.50</t>
  </si>
  <si>
    <t>970,000.00</t>
  </si>
  <si>
    <t>1,300,000.00</t>
  </si>
  <si>
    <t>51,641.66</t>
  </si>
  <si>
    <t>495,300.00</t>
  </si>
  <si>
    <t>69,500.00</t>
  </si>
  <si>
    <t>68,300.00</t>
  </si>
  <si>
    <t>444,987.00</t>
  </si>
  <si>
    <t>474,337.18</t>
  </si>
  <si>
    <t>106,100.00</t>
  </si>
  <si>
    <t>217,750.00</t>
  </si>
  <si>
    <t>254,678.00</t>
  </si>
  <si>
    <t>55,100.00</t>
  </si>
  <si>
    <t>340,000.00</t>
  </si>
  <si>
    <t>113,051.25</t>
  </si>
  <si>
    <t>484,802.45</t>
  </si>
  <si>
    <t>129,412.50</t>
  </si>
  <si>
    <t>190,245.00</t>
  </si>
  <si>
    <t>279,000.00</t>
  </si>
  <si>
    <t>135,655.00</t>
  </si>
  <si>
    <t>1,020,000.00</t>
  </si>
  <si>
    <t>1,110,000.00</t>
  </si>
  <si>
    <t>64,300.00</t>
  </si>
  <si>
    <t>170,076.00</t>
  </si>
  <si>
    <t>96,675.00</t>
  </si>
  <si>
    <t>193,060.00</t>
  </si>
  <si>
    <t>119,821.80</t>
  </si>
  <si>
    <t>496,600.00</t>
  </si>
  <si>
    <t>69,260.00</t>
  </si>
  <si>
    <t>199,999.00</t>
  </si>
  <si>
    <t>79,800.00</t>
  </si>
  <si>
    <t>71,967.76</t>
  </si>
  <si>
    <t>100,982.35</t>
  </si>
  <si>
    <t>113,106.20</t>
  </si>
  <si>
    <t>211,100.00</t>
  </si>
  <si>
    <t>1,578,907.00</t>
  </si>
  <si>
    <t>49,846.00</t>
  </si>
  <si>
    <t>69,770.20</t>
  </si>
  <si>
    <t>131,104.00</t>
  </si>
  <si>
    <t>605,040.13</t>
  </si>
  <si>
    <t>80,600.00</t>
  </si>
  <si>
    <t>303,910.00</t>
  </si>
  <si>
    <t>528,000.00</t>
  </si>
  <si>
    <t>1,981,320.00</t>
  </si>
  <si>
    <t>1,573,520.00</t>
  </si>
  <si>
    <t>162,200.00</t>
  </si>
  <si>
    <t>68,000.00</t>
  </si>
  <si>
    <t>69,440.00</t>
  </si>
  <si>
    <t>82,500.00</t>
  </si>
  <si>
    <t>8,167,000.00</t>
  </si>
  <si>
    <t>206,000.00</t>
  </si>
  <si>
    <t>59,079.00</t>
  </si>
  <si>
    <t>42,000.00</t>
  </si>
  <si>
    <t>635,840.00</t>
  </si>
  <si>
    <t>71,770.00</t>
  </si>
  <si>
    <t>259,500.00</t>
  </si>
  <si>
    <t>185,035.20</t>
  </si>
  <si>
    <t>293,577.00</t>
  </si>
  <si>
    <t>296,609.47</t>
  </si>
  <si>
    <t>26,000.00</t>
  </si>
  <si>
    <t>113,077.00</t>
  </si>
  <si>
    <t>106,411.00</t>
  </si>
  <si>
    <t>10,000.00</t>
  </si>
  <si>
    <t>77,200.00</t>
  </si>
  <si>
    <t>52,500.00</t>
  </si>
  <si>
    <t>35,974.00</t>
  </si>
  <si>
    <t>58,300.00</t>
  </si>
  <si>
    <t>154,666.50</t>
  </si>
  <si>
    <t>25,000.00</t>
  </si>
  <si>
    <t>74,796.88</t>
  </si>
  <si>
    <t>131,000.00</t>
  </si>
  <si>
    <t>11,000.00</t>
  </si>
  <si>
    <t>160,600.00</t>
  </si>
  <si>
    <t>81,000.00</t>
  </si>
  <si>
    <t>487,000.00</t>
  </si>
  <si>
    <t>199,405.00</t>
  </si>
  <si>
    <t>358,483.00</t>
  </si>
  <si>
    <t>179,375.00</t>
  </si>
  <si>
    <t>817,156.00</t>
  </si>
  <si>
    <t>86,800.00</t>
  </si>
  <si>
    <t>85,500.00</t>
  </si>
  <si>
    <t>73,656.00</t>
  </si>
  <si>
    <t>1,436,000.00</t>
  </si>
  <si>
    <t>6,000,000.00</t>
  </si>
  <si>
    <t>54,000.00</t>
  </si>
  <si>
    <t>834,000.00</t>
  </si>
  <si>
    <t>109,259.82</t>
  </si>
  <si>
    <t>116,640.00</t>
  </si>
  <si>
    <t>118,000.00</t>
  </si>
  <si>
    <t>74,443.80</t>
  </si>
  <si>
    <t>43,384.00</t>
  </si>
  <si>
    <t>647,100.00</t>
  </si>
  <si>
    <t>187,248.80</t>
  </si>
  <si>
    <t>821,775.60</t>
  </si>
  <si>
    <t>2,605,500.00</t>
  </si>
  <si>
    <t>1,499,951.25</t>
  </si>
  <si>
    <t>164,550.00</t>
  </si>
  <si>
    <t>86,436.00</t>
  </si>
  <si>
    <t>99,850.00</t>
  </si>
  <si>
    <t>30,378.00</t>
  </si>
  <si>
    <t>364,805.72</t>
  </si>
  <si>
    <t>4,200.00</t>
  </si>
  <si>
    <t>1,150,000.00</t>
  </si>
  <si>
    <t>157,500.00</t>
  </si>
  <si>
    <t>287,995.00</t>
  </si>
  <si>
    <t>4,000,000.00</t>
  </si>
  <si>
    <t>156,000.00</t>
  </si>
  <si>
    <t>1,875,600.00</t>
  </si>
  <si>
    <t>49,448.70</t>
  </si>
  <si>
    <t>63,143.00</t>
  </si>
  <si>
    <t>100,660.00</t>
  </si>
  <si>
    <t>1,100,000.00</t>
  </si>
  <si>
    <t>61,318.07</t>
  </si>
  <si>
    <t>143,770.00</t>
  </si>
  <si>
    <t>185,861.78</t>
  </si>
  <si>
    <t>53,170.00</t>
  </si>
  <si>
    <t>61,500.00</t>
  </si>
  <si>
    <t>50,264.00</t>
  </si>
  <si>
    <t>68,900.00</t>
  </si>
  <si>
    <t>228,531.00</t>
  </si>
  <si>
    <t>4,500.00</t>
  </si>
  <si>
    <t>1,818,500.00</t>
  </si>
  <si>
    <t>37,012.00</t>
  </si>
  <si>
    <t>824,129.00</t>
  </si>
  <si>
    <t>59,437.00</t>
  </si>
  <si>
    <t>35,000.00</t>
  </si>
  <si>
    <t>159,970.00</t>
  </si>
  <si>
    <t>153,536.00</t>
  </si>
  <si>
    <t>33,252.50</t>
  </si>
  <si>
    <t>149,843.00</t>
  </si>
  <si>
    <t>214,037.19</t>
  </si>
  <si>
    <t>193,750.00</t>
  </si>
  <si>
    <t>5,031,070.00</t>
  </si>
  <si>
    <t>105,462.00</t>
  </si>
  <si>
    <t>855,312.00</t>
  </si>
  <si>
    <t>107,635.00</t>
  </si>
  <si>
    <t>431,440.00</t>
  </si>
  <si>
    <t>249,000.00</t>
  </si>
  <si>
    <t>71,040.00</t>
  </si>
  <si>
    <t>37,531.33</t>
  </si>
  <si>
    <t>17,599,000.00</t>
  </si>
  <si>
    <t>79,728.43</t>
  </si>
  <si>
    <t>1,340,000.00</t>
  </si>
  <si>
    <t>1,530,000.00</t>
  </si>
  <si>
    <t>133,395.00</t>
  </si>
  <si>
    <t>620,878.10</t>
  </si>
  <si>
    <t>209,500.00</t>
  </si>
  <si>
    <t>219,892.23</t>
  </si>
  <si>
    <t>269,856.00</t>
  </si>
  <si>
    <t>627,200.00</t>
  </si>
  <si>
    <t>663,421.61</t>
  </si>
  <si>
    <t>55,000.00</t>
  </si>
  <si>
    <t>793,168.85</t>
  </si>
  <si>
    <t>142,630.92</t>
  </si>
  <si>
    <t>763,515.50</t>
  </si>
  <si>
    <t>190,871.29</t>
  </si>
  <si>
    <t>297,592.96</t>
  </si>
  <si>
    <t>165,322.50</t>
  </si>
  <si>
    <t>49,079.52</t>
  </si>
  <si>
    <t>383,767.00</t>
  </si>
  <si>
    <t>201,394.00</t>
  </si>
  <si>
    <t>394,145.00</t>
  </si>
  <si>
    <t>227,600.00</t>
  </si>
  <si>
    <t>475,068.00</t>
  </si>
  <si>
    <t>432,000.00</t>
  </si>
  <si>
    <t>464,512.00</t>
  </si>
  <si>
    <t>94,703.70</t>
  </si>
  <si>
    <t>76,868.19</t>
  </si>
  <si>
    <t>71,428.00</t>
  </si>
  <si>
    <t>57,000.00</t>
  </si>
  <si>
    <t>616,947.07</t>
  </si>
  <si>
    <t>99,500.00</t>
  </si>
  <si>
    <t>503,390.00</t>
  </si>
  <si>
    <t>368,675.00</t>
  </si>
  <si>
    <t>71,331.09</t>
  </si>
  <si>
    <t>11,678,000.00</t>
  </si>
  <si>
    <t>78,375.00</t>
  </si>
  <si>
    <t>115,500.00</t>
  </si>
  <si>
    <t>34,265.00</t>
  </si>
  <si>
    <t>657,300.00</t>
  </si>
  <si>
    <t>1,008,000.00</t>
  </si>
  <si>
    <t>567,756.00</t>
  </si>
  <si>
    <t>983,150.00</t>
  </si>
  <si>
    <t>42,086.00</t>
  </si>
  <si>
    <t>991,300.00</t>
  </si>
  <si>
    <t>97,500.00</t>
  </si>
  <si>
    <t>2,200,000.00</t>
  </si>
  <si>
    <t>1,200,022.00</t>
  </si>
  <si>
    <t>96,624.00</t>
  </si>
  <si>
    <t>54,565.00</t>
  </si>
  <si>
    <t>130,380.00</t>
  </si>
  <si>
    <t>110,960.00</t>
  </si>
  <si>
    <t>284,422.50</t>
  </si>
  <si>
    <t>9,840,000.00</t>
  </si>
  <si>
    <t>165,000,000.00</t>
  </si>
  <si>
    <t>2,610,000.00</t>
  </si>
  <si>
    <t>64,000.00</t>
  </si>
  <si>
    <t>231,350.00</t>
  </si>
  <si>
    <t>16,260,153.33</t>
  </si>
  <si>
    <t>63,600.00</t>
  </si>
  <si>
    <t>69,000.00</t>
  </si>
  <si>
    <t>62,671.00</t>
  </si>
  <si>
    <t>134,950.26</t>
  </si>
  <si>
    <t>563,136.00</t>
  </si>
  <si>
    <t>75,600.00</t>
  </si>
  <si>
    <t>3,238,515.35</t>
  </si>
  <si>
    <t>208,370.84</t>
  </si>
  <si>
    <t>91,000.00</t>
  </si>
  <si>
    <t>309,750.00</t>
  </si>
  <si>
    <t>67,000.00</t>
  </si>
  <si>
    <t>118,578.80</t>
  </si>
  <si>
    <t>338,484.00</t>
  </si>
  <si>
    <t>407,150.00</t>
  </si>
  <si>
    <t>48,000.00</t>
  </si>
  <si>
    <t>234,542.50</t>
  </si>
  <si>
    <t>132,540.00</t>
  </si>
  <si>
    <t>76,910.00</t>
  </si>
  <si>
    <t>53,823.20</t>
  </si>
  <si>
    <t>268,039.00</t>
  </si>
  <si>
    <t>132,280.00</t>
  </si>
  <si>
    <t>89,600.00</t>
  </si>
  <si>
    <t>75,250.00</t>
  </si>
  <si>
    <t>134,513.00</t>
  </si>
  <si>
    <t>126,100.00</t>
  </si>
  <si>
    <t>175,500.00</t>
  </si>
  <si>
    <t>1,550,000.00</t>
  </si>
  <si>
    <t>185,270.00</t>
  </si>
  <si>
    <t>15,250.00</t>
  </si>
  <si>
    <t>102,400.00</t>
  </si>
  <si>
    <t>15,042.00</t>
  </si>
  <si>
    <t>12,700.00</t>
  </si>
  <si>
    <t>45,600.00</t>
  </si>
  <si>
    <t>227,200.25</t>
  </si>
  <si>
    <t>52,580.00</t>
  </si>
  <si>
    <t>10,038.40</t>
  </si>
  <si>
    <t>49,910.00</t>
  </si>
  <si>
    <t>772,600.00</t>
  </si>
  <si>
    <t>43,849.00</t>
  </si>
  <si>
    <t>653,400,000.00</t>
  </si>
  <si>
    <t>418,180.00</t>
  </si>
  <si>
    <t>86,790.00</t>
  </si>
  <si>
    <t>321,000.00</t>
  </si>
  <si>
    <t>35,913.96</t>
  </si>
  <si>
    <t>739,000.00</t>
  </si>
  <si>
    <t>198,600.00</t>
  </si>
  <si>
    <t>92,340.00</t>
  </si>
  <si>
    <t>119,550.00</t>
  </si>
  <si>
    <t>496,000.00</t>
  </si>
  <si>
    <t>5,200.00</t>
  </si>
  <si>
    <t>414,934.00</t>
  </si>
  <si>
    <t>15,032.00</t>
  </si>
  <si>
    <t>8,525.00</t>
  </si>
  <si>
    <t>215,493.75</t>
  </si>
  <si>
    <t>1,399,800.00</t>
  </si>
  <si>
    <t>243,100,000.00</t>
  </si>
  <si>
    <t>199,300.00</t>
  </si>
  <si>
    <t>133,200.00</t>
  </si>
  <si>
    <t>127,200.00</t>
  </si>
  <si>
    <t>182,587.00</t>
  </si>
  <si>
    <t>201,100.00</t>
  </si>
  <si>
    <t>81,171.38</t>
  </si>
  <si>
    <t>310,215.00</t>
  </si>
  <si>
    <t>97,766.66</t>
  </si>
  <si>
    <t>59,580.00</t>
  </si>
  <si>
    <t>63,840.00</t>
  </si>
  <si>
    <t>55,500.00</t>
  </si>
  <si>
    <t>68,597.67</t>
  </si>
  <si>
    <t>63,515.28</t>
  </si>
  <si>
    <t>772,800.00</t>
  </si>
  <si>
    <t>165,645.60</t>
  </si>
  <si>
    <t>205,810.00</t>
  </si>
  <si>
    <t>95,090.00</t>
  </si>
  <si>
    <t>152,355.00</t>
  </si>
  <si>
    <t>106,880.00</t>
  </si>
  <si>
    <t>148,318.20</t>
  </si>
  <si>
    <t>168,345.00</t>
  </si>
  <si>
    <t>237,355.00</t>
  </si>
  <si>
    <t>199,950.00</t>
  </si>
  <si>
    <t>205,807.00</t>
  </si>
  <si>
    <t>986,700.00</t>
  </si>
  <si>
    <t>994,000.00</t>
  </si>
  <si>
    <t>54,946.00</t>
  </si>
  <si>
    <t>211,609.20</t>
  </si>
  <si>
    <t>80,820.00</t>
  </si>
  <si>
    <t>209,805.00</t>
  </si>
  <si>
    <t>1,499,966.10</t>
  </si>
  <si>
    <t>20,293.00</t>
  </si>
  <si>
    <t>640,000.00</t>
  </si>
  <si>
    <t>4,375.00</t>
  </si>
  <si>
    <t>51,000.00</t>
  </si>
  <si>
    <t>170,700.00</t>
  </si>
  <si>
    <t>74,260.00</t>
  </si>
  <si>
    <t>150,244.00</t>
  </si>
  <si>
    <t>74,500.00</t>
  </si>
  <si>
    <t>172,281.60</t>
  </si>
  <si>
    <t>68,904.00</t>
  </si>
  <si>
    <t>49,596.00</t>
  </si>
  <si>
    <t>1,200,000.00</t>
  </si>
  <si>
    <t>6,220,000.00</t>
  </si>
  <si>
    <t>73,000.00</t>
  </si>
  <si>
    <t>21,270.00</t>
  </si>
  <si>
    <t>266,660.00</t>
  </si>
  <si>
    <t>5,963,000.00</t>
  </si>
  <si>
    <t>122,470.00</t>
  </si>
  <si>
    <t>650,000.00</t>
  </si>
  <si>
    <t>1,629,933.10</t>
  </si>
  <si>
    <t>139,962.00</t>
  </si>
  <si>
    <t>5,584.00</t>
  </si>
  <si>
    <t>348,385.00</t>
  </si>
  <si>
    <t>871,200.00</t>
  </si>
  <si>
    <t>167,115.00</t>
  </si>
  <si>
    <t>410,000.00</t>
  </si>
  <si>
    <t>123,950.00</t>
  </si>
  <si>
    <t>329,610.00</t>
  </si>
  <si>
    <t>978,000.00</t>
  </si>
  <si>
    <t>168,118.50</t>
  </si>
  <si>
    <t>115,680.00</t>
  </si>
  <si>
    <t>1,196,025.57</t>
  </si>
  <si>
    <t>630,000.00</t>
  </si>
  <si>
    <t>512,233.79</t>
  </si>
  <si>
    <t>74,035.00</t>
  </si>
  <si>
    <t>832,000.00</t>
  </si>
  <si>
    <t>1,166,739.74</t>
  </si>
  <si>
    <t>10,351,166.35</t>
  </si>
  <si>
    <t>74,430.00</t>
  </si>
  <si>
    <t>407,134.00</t>
  </si>
  <si>
    <t>434,936.57</t>
  </si>
  <si>
    <t>2,500.00</t>
  </si>
  <si>
    <t>151,183.90</t>
  </si>
  <si>
    <t>999,200.00</t>
  </si>
  <si>
    <t>409,200.00</t>
  </si>
  <si>
    <t>138,794.00</t>
  </si>
  <si>
    <t>613,700.00</t>
  </si>
  <si>
    <t>25,200.00</t>
  </si>
  <si>
    <t>82,009.00</t>
  </si>
  <si>
    <t>189,977.54</t>
  </si>
  <si>
    <t>134,000.00</t>
  </si>
  <si>
    <t>248,373.00</t>
  </si>
  <si>
    <t>656,175.00</t>
  </si>
  <si>
    <t>355,546.00</t>
  </si>
  <si>
    <t>275,000.00</t>
  </si>
  <si>
    <t>80,500.00</t>
  </si>
  <si>
    <t>68,038.62</t>
  </si>
  <si>
    <t>3,300,000.00</t>
  </si>
  <si>
    <t>185,000.00</t>
  </si>
  <si>
    <t>12,437,500.00</t>
  </si>
  <si>
    <t>20,980.00</t>
  </si>
  <si>
    <t>11,940,000.00</t>
  </si>
  <si>
    <t>66,160.00</t>
  </si>
  <si>
    <t>84,200.00</t>
  </si>
  <si>
    <t>110,176.00</t>
  </si>
  <si>
    <t>99,975.00</t>
  </si>
  <si>
    <t>1,162,160.00</t>
  </si>
  <si>
    <t>1,528,593.00</t>
  </si>
  <si>
    <t>83,940.00</t>
  </si>
  <si>
    <t>18,595.40</t>
  </si>
  <si>
    <t>40,000.00</t>
  </si>
  <si>
    <t>4,985.00</t>
  </si>
  <si>
    <t>12,537,000.00</t>
  </si>
  <si>
    <t>202,056.98</t>
  </si>
  <si>
    <t>324,900.00</t>
  </si>
  <si>
    <t>293,125.00</t>
  </si>
  <si>
    <t>62,600.00</t>
  </si>
  <si>
    <t>316,160.00</t>
  </si>
  <si>
    <t>44,350.00</t>
  </si>
  <si>
    <t>85,300.00</t>
  </si>
  <si>
    <t>46,000.00</t>
  </si>
  <si>
    <t>100,200.00</t>
  </si>
  <si>
    <t>69,225.00</t>
  </si>
  <si>
    <t>478,800.00</t>
  </si>
  <si>
    <t>489,775.00</t>
  </si>
  <si>
    <t>268,800.00</t>
  </si>
  <si>
    <t>7,392.00</t>
  </si>
  <si>
    <t>3,526,911.57</t>
  </si>
  <si>
    <t>750,000.00</t>
  </si>
  <si>
    <t>183,880.50</t>
  </si>
  <si>
    <t>15,215.00</t>
  </si>
  <si>
    <t>193,440.00</t>
  </si>
  <si>
    <t>116,138.00</t>
  </si>
  <si>
    <t>106,570.00</t>
  </si>
  <si>
    <t>59,600.00</t>
  </si>
  <si>
    <t>891,836.10</t>
  </si>
  <si>
    <t>163,450.00</t>
  </si>
  <si>
    <t>65,500.00</t>
  </si>
  <si>
    <t>52,312.00</t>
  </si>
  <si>
    <t>192,136.00</t>
  </si>
  <si>
    <t>5,630.00</t>
  </si>
  <si>
    <t>290,000.00</t>
  </si>
  <si>
    <t>525,102.60</t>
  </si>
  <si>
    <t>209,300.00</t>
  </si>
  <si>
    <t>62,000.00</t>
  </si>
  <si>
    <t>848,071.67</t>
  </si>
  <si>
    <t>380,000.00</t>
  </si>
  <si>
    <t>1,050,698.00</t>
  </si>
  <si>
    <t>124,267.00</t>
  </si>
  <si>
    <t>327,850.00</t>
  </si>
  <si>
    <t>910,548.00</t>
  </si>
  <si>
    <t>6,883,200.00</t>
  </si>
  <si>
    <t>222,905.00</t>
  </si>
  <si>
    <t>76,065.00</t>
  </si>
  <si>
    <t>149,160.00</t>
  </si>
  <si>
    <t>999,844.06</t>
  </si>
  <si>
    <t>1,159,839.38</t>
  </si>
  <si>
    <t>494,289.56</t>
  </si>
  <si>
    <t>375,000.00</t>
  </si>
  <si>
    <t>1,507,840.00</t>
  </si>
  <si>
    <t>71,450.00</t>
  </si>
  <si>
    <t>253,850.00</t>
  </si>
  <si>
    <t>4,900,000.00</t>
  </si>
  <si>
    <t>281,610.00</t>
  </si>
  <si>
    <t>35,150.00</t>
  </si>
  <si>
    <t>719,800.00</t>
  </si>
  <si>
    <t>284,550.00</t>
  </si>
  <si>
    <t>276,975.00</t>
  </si>
  <si>
    <t>642,750.00</t>
  </si>
  <si>
    <t>86,250.00</t>
  </si>
  <si>
    <t>108,300.00</t>
  </si>
  <si>
    <t>161,752.80</t>
  </si>
  <si>
    <t>63,800.00</t>
  </si>
  <si>
    <t>197,000.00</t>
  </si>
  <si>
    <t>9,101.18</t>
  </si>
  <si>
    <t>152,000.00</t>
  </si>
  <si>
    <t>113,880.00</t>
  </si>
  <si>
    <t>58,804.93</t>
  </si>
  <si>
    <t>213,565.75</t>
  </si>
  <si>
    <t>543,400.00</t>
  </si>
  <si>
    <t>18,930.00</t>
  </si>
  <si>
    <t>88,500.00</t>
  </si>
  <si>
    <t>757,183.50</t>
  </si>
  <si>
    <t>552,888.00</t>
  </si>
  <si>
    <t>174,000.00</t>
  </si>
  <si>
    <t>497,807.99</t>
  </si>
  <si>
    <t>232,501.00</t>
  </si>
  <si>
    <t>99,765.00</t>
  </si>
  <si>
    <t>93,000.00</t>
  </si>
  <si>
    <t>87,000.00</t>
  </si>
  <si>
    <t>14,915.00</t>
  </si>
  <si>
    <t>362,260.85</t>
  </si>
  <si>
    <t>720,600.00</t>
  </si>
  <si>
    <t>88,800.00</t>
  </si>
  <si>
    <t>203,499.50</t>
  </si>
  <si>
    <t>85,644.00</t>
  </si>
  <si>
    <t>432,150.00</t>
  </si>
  <si>
    <t>150,832.00</t>
  </si>
  <si>
    <t>44,180.28</t>
  </si>
  <si>
    <t>440,000.00</t>
  </si>
  <si>
    <t>74,600.00</t>
  </si>
  <si>
    <t>992,722.00</t>
  </si>
  <si>
    <t>400,510.00</t>
  </si>
  <si>
    <t>94,791.00</t>
  </si>
  <si>
    <t>795,000.00</t>
  </si>
  <si>
    <t>49,987.80</t>
  </si>
  <si>
    <t>102,217.00</t>
  </si>
  <si>
    <t>89,000.00</t>
  </si>
  <si>
    <t>647,880.00</t>
  </si>
  <si>
    <t>59,007.00</t>
  </si>
  <si>
    <t>7,718,400.00</t>
  </si>
  <si>
    <t>83,000.00</t>
  </si>
  <si>
    <t>70,223.00</t>
  </si>
  <si>
    <t>720,000.00</t>
  </si>
  <si>
    <t>218,400.00</t>
  </si>
  <si>
    <t>123,585.00</t>
  </si>
  <si>
    <t>54,257.85</t>
  </si>
  <si>
    <t>75,910.00</t>
  </si>
  <si>
    <t>231,550.91</t>
  </si>
  <si>
    <t>86,071.00</t>
  </si>
  <si>
    <t>105,800.00</t>
  </si>
  <si>
    <t>14,500.00</t>
  </si>
  <si>
    <t>84,674.97</t>
  </si>
  <si>
    <t>99,000.00</t>
  </si>
  <si>
    <t>89,809.50</t>
  </si>
  <si>
    <t>300,355.00</t>
  </si>
  <si>
    <t>16,000.00</t>
  </si>
  <si>
    <t>120,300.00</t>
  </si>
  <si>
    <t>928,594.92</t>
  </si>
  <si>
    <t>2,100,000.00</t>
  </si>
  <si>
    <t>895,000.00</t>
  </si>
  <si>
    <t>62,400.00</t>
  </si>
  <si>
    <t>52,022.56</t>
  </si>
  <si>
    <t>76,511.00</t>
  </si>
  <si>
    <t>308,128.10</t>
  </si>
  <si>
    <t>139,000.00</t>
  </si>
  <si>
    <t>299,316.00</t>
  </si>
  <si>
    <t>5,500.00</t>
  </si>
  <si>
    <t>583,200.00</t>
  </si>
  <si>
    <t>178,000.00</t>
  </si>
  <si>
    <t>75,950.00</t>
  </si>
  <si>
    <t>687,018.65</t>
  </si>
  <si>
    <t>66,000.00</t>
  </si>
  <si>
    <t>572,755.00</t>
  </si>
  <si>
    <t>95,642.68</t>
  </si>
  <si>
    <t>22,500.00</t>
  </si>
  <si>
    <t>82,806.00</t>
  </si>
  <si>
    <t>847,600.00</t>
  </si>
  <si>
    <t>4,086,772.02</t>
  </si>
  <si>
    <t>58,600.00</t>
  </si>
  <si>
    <t>1,681,859.87</t>
  </si>
  <si>
    <t>233,933.33</t>
  </si>
  <si>
    <t>199,982.80</t>
  </si>
  <si>
    <t>999,529.09</t>
  </si>
  <si>
    <t>1,350,000.00</t>
  </si>
  <si>
    <t>321,681.53</t>
  </si>
  <si>
    <t>165,190.00</t>
  </si>
  <si>
    <t>1,428,536.00</t>
  </si>
  <si>
    <t>72,500.00</t>
  </si>
  <si>
    <t>110,945.00</t>
  </si>
  <si>
    <t>149,950.00</t>
  </si>
  <si>
    <t>540,000.00</t>
  </si>
  <si>
    <t>145,500.00</t>
  </si>
  <si>
    <t>19,600,000.00</t>
  </si>
  <si>
    <t>468,000.00</t>
  </si>
  <si>
    <t>106,450.00</t>
  </si>
  <si>
    <t>95,655.00</t>
  </si>
  <si>
    <t>88,000.00</t>
  </si>
  <si>
    <t>1,828,000.00</t>
  </si>
  <si>
    <t>8,000,000.00</t>
  </si>
  <si>
    <t>73,120.00</t>
  </si>
  <si>
    <t>203,160.00</t>
  </si>
  <si>
    <t>76,960.00</t>
  </si>
  <si>
    <t>915,000.00</t>
  </si>
  <si>
    <t>111,615.70</t>
  </si>
  <si>
    <t>505,320.78</t>
  </si>
  <si>
    <t>122,368.00</t>
  </si>
  <si>
    <t>59,400.00</t>
  </si>
  <si>
    <t>81,030.00</t>
  </si>
  <si>
    <t>981,850.00</t>
  </si>
  <si>
    <t>348,000.00</t>
  </si>
  <si>
    <t>492,550.00</t>
  </si>
  <si>
    <t>787,440.00</t>
  </si>
  <si>
    <t>3,526,000.00</t>
  </si>
  <si>
    <t>130,000.00</t>
  </si>
  <si>
    <t>81,120.00</t>
  </si>
  <si>
    <t>485,000.00</t>
  </si>
  <si>
    <t>23,450.00</t>
  </si>
  <si>
    <t>154,831.00</t>
  </si>
  <si>
    <t>452,475.00</t>
  </si>
  <si>
    <t>203,650.00</t>
  </si>
  <si>
    <t>109,800.00</t>
  </si>
  <si>
    <t>349,485.00</t>
  </si>
  <si>
    <t>742,500.00</t>
  </si>
  <si>
    <t>285,000.00</t>
  </si>
  <si>
    <t>1,771,406.00</t>
  </si>
  <si>
    <t>97,000.00</t>
  </si>
  <si>
    <t>99,200.00</t>
  </si>
  <si>
    <t>1,410,185.89</t>
  </si>
  <si>
    <t>59,200.00</t>
  </si>
  <si>
    <t>304,854.00</t>
  </si>
  <si>
    <t>63,504.00</t>
  </si>
  <si>
    <t>444,000.00</t>
  </si>
  <si>
    <t>471,710.00</t>
  </si>
  <si>
    <t>345,100.00</t>
  </si>
  <si>
    <t>34,000.00</t>
  </si>
  <si>
    <t>678,000.00</t>
  </si>
  <si>
    <t>2,800,000.00</t>
  </si>
  <si>
    <t>2,309,459.61</t>
  </si>
  <si>
    <t>912,483.00</t>
  </si>
  <si>
    <t>229,650.00</t>
  </si>
  <si>
    <t>62,537.00</t>
  </si>
  <si>
    <t>84,000.00</t>
  </si>
  <si>
    <t>75,720.00</t>
  </si>
  <si>
    <t>264,150.00</t>
  </si>
  <si>
    <t>36,000,000.00</t>
  </si>
  <si>
    <t>999,418.00</t>
  </si>
  <si>
    <t>324,226.18</t>
  </si>
  <si>
    <t>31,560.00</t>
  </si>
  <si>
    <t>121,460.00</t>
  </si>
  <si>
    <t>21,000.00</t>
  </si>
  <si>
    <t>842,125.79</t>
  </si>
  <si>
    <t>780,000.00</t>
  </si>
  <si>
    <t>866,200.00</t>
  </si>
  <si>
    <t>90,300.00</t>
  </si>
  <si>
    <t>60,200.00</t>
  </si>
  <si>
    <t>134,300.00</t>
  </si>
  <si>
    <t>2,322,034.12</t>
  </si>
  <si>
    <t>80,696.00</t>
  </si>
  <si>
    <t>162,977.50</t>
  </si>
  <si>
    <t>53,760.00</t>
  </si>
  <si>
    <t>399,000.00</t>
  </si>
  <si>
    <t>117,200.00</t>
  </si>
  <si>
    <t>822,700.00</t>
  </si>
  <si>
    <t>550,160.00</t>
  </si>
  <si>
    <t>53,820.00</t>
  </si>
  <si>
    <t>94,500.00</t>
  </si>
  <si>
    <t>151,775.00</t>
  </si>
  <si>
    <t>1,521,600.00</t>
  </si>
  <si>
    <t>260,000.00</t>
  </si>
  <si>
    <t>896,267.31</t>
  </si>
  <si>
    <t>16,750.00</t>
  </si>
  <si>
    <t>279,385.00</t>
  </si>
  <si>
    <t>527,990.00</t>
  </si>
  <si>
    <t>154,000.00</t>
  </si>
  <si>
    <t>180,472.50</t>
  </si>
  <si>
    <t>91,412.00</t>
  </si>
  <si>
    <t>2,300,000.00</t>
  </si>
  <si>
    <t>986,405.00</t>
  </si>
  <si>
    <t>159,592.00</t>
  </si>
  <si>
    <t>140,750.00</t>
  </si>
  <si>
    <t>522,387.53</t>
  </si>
  <si>
    <t>79,750.00</t>
  </si>
  <si>
    <t>146,283.00</t>
  </si>
  <si>
    <t>74,535.00</t>
  </si>
  <si>
    <t>96,539.00</t>
  </si>
  <si>
    <t>5,100.00</t>
  </si>
  <si>
    <t>1,197,900.00</t>
  </si>
  <si>
    <t>99,900.00</t>
  </si>
  <si>
    <t>146,710.00</t>
  </si>
  <si>
    <t>4,919,126.00</t>
  </si>
  <si>
    <t>471,975.00</t>
  </si>
  <si>
    <t>150,245.00</t>
  </si>
  <si>
    <t>83,615.00</t>
  </si>
  <si>
    <t>606,000.00</t>
  </si>
  <si>
    <t>182,960.00</t>
  </si>
  <si>
    <t>99,000,000.00</t>
  </si>
  <si>
    <t>1,501,205.72</t>
  </si>
  <si>
    <t>411,800.00</t>
  </si>
  <si>
    <t>63,060.00</t>
  </si>
  <si>
    <t>126,000.00</t>
  </si>
  <si>
    <t>121,000.00</t>
  </si>
  <si>
    <t>226,505.00</t>
  </si>
  <si>
    <t>14,819.11</t>
  </si>
  <si>
    <t>419,254.00</t>
  </si>
  <si>
    <t>11,000,000.00</t>
  </si>
  <si>
    <t>70,574.00</t>
  </si>
  <si>
    <t>428,310.00</t>
  </si>
  <si>
    <t>954,568.00</t>
  </si>
  <si>
    <t>94,493.00</t>
  </si>
  <si>
    <t>132,300.00</t>
  </si>
  <si>
    <t>2,611,700.00</t>
  </si>
  <si>
    <t>594,073.00</t>
  </si>
  <si>
    <t>88,768.83</t>
  </si>
  <si>
    <t>599,735.85</t>
  </si>
  <si>
    <t>52,963.00</t>
  </si>
  <si>
    <t>877,699.80</t>
  </si>
  <si>
    <t>61,807.26</t>
  </si>
  <si>
    <t>6,750.00</t>
  </si>
  <si>
    <t>561,000.00</t>
  </si>
  <si>
    <t>39,501.00</t>
  </si>
  <si>
    <t>72,150.00</t>
  </si>
  <si>
    <t>248,000.00</t>
  </si>
  <si>
    <t>211,000.00</t>
  </si>
  <si>
    <t>168,262.50</t>
  </si>
  <si>
    <t>161,650.00</t>
  </si>
  <si>
    <t>617,964.00</t>
  </si>
  <si>
    <t>69,170.00</t>
  </si>
  <si>
    <t>1,361,000.00</t>
  </si>
  <si>
    <t>93,150.00</t>
  </si>
  <si>
    <t>36,288.00</t>
  </si>
  <si>
    <t>996,000.00</t>
  </si>
  <si>
    <t>105,085.00</t>
  </si>
  <si>
    <t>132,812.40</t>
  </si>
  <si>
    <t>61,509.95</t>
  </si>
  <si>
    <t>224,380.80</t>
  </si>
  <si>
    <t>9,605.28</t>
  </si>
  <si>
    <t>14,891,463.28</t>
  </si>
  <si>
    <t>2,768,702.15</t>
  </si>
  <si>
    <t>273,352.50</t>
  </si>
  <si>
    <t>249,960.00</t>
  </si>
  <si>
    <t>61,000.00</t>
  </si>
  <si>
    <t>86,385.00</t>
  </si>
  <si>
    <t>664,920.00</t>
  </si>
  <si>
    <t>74,880.00</t>
  </si>
  <si>
    <t>199,600.00</t>
  </si>
  <si>
    <t>66,880.00</t>
  </si>
  <si>
    <t>6,500,000.00</t>
  </si>
  <si>
    <t>265,899.00</t>
  </si>
  <si>
    <t>495,053.36</t>
  </si>
  <si>
    <t>4,300,000.00</t>
  </si>
  <si>
    <t>203,000.00</t>
  </si>
  <si>
    <t>1,499,700.00</t>
  </si>
  <si>
    <t>14,815.58</t>
  </si>
  <si>
    <t>87,500.00</t>
  </si>
  <si>
    <t>99,960.00</t>
  </si>
  <si>
    <t>110,250.00</t>
  </si>
  <si>
    <t>96,705.00</t>
  </si>
  <si>
    <t>32,000.00</t>
  </si>
  <si>
    <t>194,417.00</t>
  </si>
  <si>
    <t>141,500.00</t>
  </si>
  <si>
    <t>109,600.00</t>
  </si>
  <si>
    <t>99,116.00</t>
  </si>
  <si>
    <t>136,090.00</t>
  </si>
  <si>
    <t>292,650.00</t>
  </si>
  <si>
    <t>171,150.00</t>
  </si>
  <si>
    <t>103,047.54</t>
  </si>
  <si>
    <t>87,780.00</t>
  </si>
  <si>
    <t>122,750.00</t>
  </si>
  <si>
    <t>85,236.80</t>
  </si>
  <si>
    <t>115,184.88</t>
  </si>
  <si>
    <t>680,000.00</t>
  </si>
  <si>
    <t>498,253.78</t>
  </si>
  <si>
    <t>119,700.00</t>
  </si>
  <si>
    <t>115,433.26</t>
  </si>
  <si>
    <t>94,600.00</t>
  </si>
  <si>
    <t>1,429,790.00</t>
  </si>
  <si>
    <t>199,993.80</t>
  </si>
  <si>
    <t>91,880.00</t>
  </si>
  <si>
    <t>57,850.00</t>
  </si>
  <si>
    <t>874,583.00</t>
  </si>
  <si>
    <t>670,199.83</t>
  </si>
  <si>
    <t>95,524.00</t>
  </si>
  <si>
    <t>368,360.88</t>
  </si>
  <si>
    <t>74,945.00</t>
  </si>
  <si>
    <t>35,600.00</t>
  </si>
  <si>
    <t>284,750.00</t>
  </si>
  <si>
    <t>55,220.00</t>
  </si>
  <si>
    <t>189,964.00</t>
  </si>
  <si>
    <t>990,855.00</t>
  </si>
  <si>
    <t>2,627,272.70</t>
  </si>
  <si>
    <t>29,495.00</t>
  </si>
  <si>
    <t>1,592,474.00</t>
  </si>
  <si>
    <t>22,800.00</t>
  </si>
  <si>
    <t>14,850,000.00</t>
  </si>
  <si>
    <t>37,386.00</t>
  </si>
  <si>
    <t>157,285.00</t>
  </si>
  <si>
    <t>29,371.00</t>
  </si>
  <si>
    <t>86,449.00</t>
  </si>
  <si>
    <t>360,000.00</t>
  </si>
  <si>
    <t>720,900.00</t>
  </si>
  <si>
    <t>672,209.60</t>
  </si>
  <si>
    <t>63,933.00</t>
  </si>
  <si>
    <t>310,680.00</t>
  </si>
  <si>
    <t>195,320.00</t>
  </si>
  <si>
    <t>333,414.00</t>
  </si>
  <si>
    <t>145,615.00</t>
  </si>
  <si>
    <t>158,570.00</t>
  </si>
  <si>
    <t>74,200.00</t>
  </si>
  <si>
    <t>54,410.39</t>
  </si>
  <si>
    <t>999,150.00</t>
  </si>
  <si>
    <t>156,757.20</t>
  </si>
  <si>
    <t>1,741,376.00</t>
  </si>
  <si>
    <t>1,428,840.00</t>
  </si>
  <si>
    <t>19,800,000.00</t>
  </si>
  <si>
    <t>60,700.00</t>
  </si>
  <si>
    <t>5,548.94</t>
  </si>
  <si>
    <t>80,440.00</t>
  </si>
  <si>
    <t>65,900.00</t>
  </si>
  <si>
    <t>59,060.00</t>
  </si>
  <si>
    <t>4,950,000.00</t>
  </si>
  <si>
    <t>28,800.00</t>
  </si>
  <si>
    <t>117,000.00</t>
  </si>
  <si>
    <t>128,110.00</t>
  </si>
  <si>
    <t>55,780.00</t>
  </si>
  <si>
    <t>81,180.00</t>
  </si>
  <si>
    <t>3,499,997.35</t>
  </si>
  <si>
    <t>34,734,269.66</t>
  </si>
  <si>
    <t>25,356,749.74</t>
  </si>
  <si>
    <t>161,634.00</t>
  </si>
  <si>
    <t>99,750.00</t>
  </si>
  <si>
    <t>49,950.00</t>
  </si>
  <si>
    <t>114,667.50</t>
  </si>
  <si>
    <t>7,500,000.00</t>
  </si>
  <si>
    <t>2,970,000.00</t>
  </si>
  <si>
    <t>216,756.00</t>
  </si>
  <si>
    <t>921,300.00</t>
  </si>
  <si>
    <t>111,819.00</t>
  </si>
  <si>
    <t>3,100,000.00</t>
  </si>
  <si>
    <t>74,700.00</t>
  </si>
  <si>
    <t>140,442.78</t>
  </si>
  <si>
    <t>302,760.00</t>
  </si>
  <si>
    <t>119,350.00</t>
  </si>
  <si>
    <t>973,539.99</t>
  </si>
  <si>
    <t>144,000.00</t>
  </si>
  <si>
    <t>117,430.00</t>
  </si>
  <si>
    <t>125,100.00</t>
  </si>
  <si>
    <t>499,974.00</t>
  </si>
  <si>
    <t>441,600.00</t>
  </si>
  <si>
    <t>210,970.00</t>
  </si>
  <si>
    <t>4,749.45</t>
  </si>
  <si>
    <t>1,199,999.91</t>
  </si>
  <si>
    <t>32,500.00</t>
  </si>
  <si>
    <t>102,478.60</t>
  </si>
  <si>
    <t>48,750.00</t>
  </si>
  <si>
    <t>92,375.00</t>
  </si>
  <si>
    <t>3,488,000.00</t>
  </si>
  <si>
    <t>91,845.00</t>
  </si>
  <si>
    <t>317,634.00</t>
  </si>
  <si>
    <t>318,344.27</t>
  </si>
  <si>
    <t>1,054,484.12</t>
  </si>
  <si>
    <t>274,013.15</t>
  </si>
  <si>
    <t>72,450.00</t>
  </si>
  <si>
    <t>1,960,000.00</t>
  </si>
  <si>
    <t>517,755.00</t>
  </si>
  <si>
    <t>124,000.00</t>
  </si>
  <si>
    <t>230,000.00</t>
  </si>
  <si>
    <t>177,500.00</t>
  </si>
  <si>
    <t>143,000.00</t>
  </si>
  <si>
    <t>53,495.00</t>
  </si>
  <si>
    <t>351,841.00</t>
  </si>
  <si>
    <t>199,987.00</t>
  </si>
  <si>
    <t>1,880,000.00</t>
  </si>
  <si>
    <t>81,550.00</t>
  </si>
  <si>
    <t>199,995.00</t>
  </si>
  <si>
    <t>978,765.00</t>
  </si>
  <si>
    <t>2,250,000.00</t>
  </si>
  <si>
    <t>1,846,180.00</t>
  </si>
  <si>
    <t>79,760.00</t>
  </si>
  <si>
    <t>187,520.00</t>
  </si>
  <si>
    <t>13,440.00</t>
  </si>
  <si>
    <t>187,497.00</t>
  </si>
  <si>
    <t>608,000.00</t>
  </si>
  <si>
    <t>11,880,000.00</t>
  </si>
  <si>
    <t>99,475.00</t>
  </si>
  <si>
    <t>273,817.60</t>
  </si>
  <si>
    <t>82,940.00</t>
  </si>
  <si>
    <t>284,000.00</t>
  </si>
  <si>
    <t>320,000.00</t>
  </si>
  <si>
    <t>10,211,980.00</t>
  </si>
  <si>
    <t>1,160,000.00</t>
  </si>
  <si>
    <t>109,000.00</t>
  </si>
  <si>
    <t>185,220.00</t>
  </si>
  <si>
    <t>276,000.00</t>
  </si>
  <si>
    <t>70,600.00</t>
  </si>
  <si>
    <t>99,771.00</t>
  </si>
  <si>
    <t>65,700.00</t>
  </si>
  <si>
    <t>46,400.00</t>
  </si>
  <si>
    <t>251,210.00</t>
  </si>
  <si>
    <t>161,640.00</t>
  </si>
  <si>
    <t>1,980,000.00</t>
  </si>
  <si>
    <t>17,710.00</t>
  </si>
  <si>
    <t>1,986,059.00</t>
  </si>
  <si>
    <t>175,050.00</t>
  </si>
  <si>
    <t>958,992.00</t>
  </si>
  <si>
    <t>149,300.00</t>
  </si>
  <si>
    <t>921,574.00</t>
  </si>
  <si>
    <t>563,800.00</t>
  </si>
  <si>
    <t>69,060.00</t>
  </si>
  <si>
    <t>602,385.00</t>
  </si>
  <si>
    <t>82,512.00</t>
  </si>
  <si>
    <t>2,600,000.00</t>
  </si>
  <si>
    <t>55,937.12</t>
  </si>
  <si>
    <t>999,900.00</t>
  </si>
  <si>
    <t>253,634.00</t>
  </si>
  <si>
    <t>342,340.00</t>
  </si>
  <si>
    <t>913,836.00</t>
  </si>
  <si>
    <t>226,000.00</t>
  </si>
  <si>
    <t>216,108.00</t>
  </si>
  <si>
    <t>12,768.87</t>
  </si>
  <si>
    <t>875,000.00</t>
  </si>
  <si>
    <t>186,528.07</t>
  </si>
  <si>
    <t>327,600.00</t>
  </si>
  <si>
    <t>494,604.00</t>
  </si>
  <si>
    <t>231,145.00</t>
  </si>
  <si>
    <t>75,040.00</t>
  </si>
  <si>
    <t>142,890.00</t>
  </si>
  <si>
    <t>493,000.00</t>
  </si>
  <si>
    <t>29,393.52</t>
  </si>
  <si>
    <t>1,658,301.00</t>
  </si>
  <si>
    <t>96,550.00</t>
  </si>
  <si>
    <t>502,714.29</t>
  </si>
  <si>
    <t>355,245.00</t>
  </si>
  <si>
    <t>282,590.00</t>
  </si>
  <si>
    <t>36,500.00</t>
  </si>
  <si>
    <t>49,500.00</t>
  </si>
  <si>
    <t>421,592.00</t>
  </si>
  <si>
    <t>68,615.00</t>
  </si>
  <si>
    <t>292,536.00</t>
  </si>
  <si>
    <t>429,254.00</t>
  </si>
  <si>
    <t>385,335.00</t>
  </si>
  <si>
    <t>149,987.86</t>
  </si>
  <si>
    <t>52,440.00</t>
  </si>
  <si>
    <t>249,580.38</t>
  </si>
  <si>
    <t>1,997,399.63</t>
  </si>
  <si>
    <t>33,770.00</t>
  </si>
  <si>
    <t>288,000.00</t>
  </si>
  <si>
    <t>3,430,000.00</t>
  </si>
  <si>
    <t>192,000.00</t>
  </si>
  <si>
    <t>161,250.00</t>
  </si>
  <si>
    <t>991,800.00</t>
  </si>
  <si>
    <t>3,465,000.00</t>
  </si>
  <si>
    <t>294,542.00</t>
  </si>
  <si>
    <t>228,900.00</t>
  </si>
  <si>
    <t>57,320.00</t>
  </si>
  <si>
    <t>62,458.00</t>
  </si>
  <si>
    <t>609,313.00</t>
  </si>
  <si>
    <t>499,813.28</t>
  </si>
  <si>
    <t>546,135.00</t>
  </si>
  <si>
    <t>7,840,000.00</t>
  </si>
  <si>
    <t>980,000.00</t>
  </si>
  <si>
    <t>10,800.00</t>
  </si>
  <si>
    <t>161,100.00</t>
  </si>
  <si>
    <t>39,287.47</t>
  </si>
  <si>
    <t>15,680,000.00</t>
  </si>
  <si>
    <t>699,378.75</t>
  </si>
  <si>
    <t>649,158.00</t>
  </si>
  <si>
    <t>703,865.00</t>
  </si>
  <si>
    <t>43,200.00</t>
  </si>
  <si>
    <t>122,280.00</t>
  </si>
  <si>
    <t>998,795.70</t>
  </si>
  <si>
    <t>491,767.50</t>
  </si>
  <si>
    <t>452,640.00</t>
  </si>
  <si>
    <t>128,000.00</t>
  </si>
  <si>
    <t>405,000.00</t>
  </si>
  <si>
    <t>29,762,600.00</t>
  </si>
  <si>
    <t>417,851.50</t>
  </si>
  <si>
    <t>432,971.00</t>
  </si>
  <si>
    <t>98,040.00</t>
  </si>
  <si>
    <t>893,837.16</t>
  </si>
  <si>
    <t>2,565,000.00</t>
  </si>
  <si>
    <t>700,675.00</t>
  </si>
  <si>
    <t>17,820,000.00</t>
  </si>
  <si>
    <t>143,627.89</t>
  </si>
  <si>
    <t>34,047.00</t>
  </si>
  <si>
    <t>225,000.00</t>
  </si>
  <si>
    <t>431,395.00</t>
  </si>
  <si>
    <t>298,000.00</t>
  </si>
  <si>
    <t>361,950.00</t>
  </si>
  <si>
    <t>30,380,000.00</t>
  </si>
  <si>
    <t>331,000.00</t>
  </si>
  <si>
    <t>119,635.00</t>
  </si>
  <si>
    <t>64,227.00</t>
  </si>
  <si>
    <t>423,557.50</t>
  </si>
  <si>
    <t>410,073.80</t>
  </si>
  <si>
    <t>262,400.00</t>
  </si>
  <si>
    <t>2,229,800.00</t>
  </si>
  <si>
    <t>1,599,803.00</t>
  </si>
  <si>
    <t>973,171.00</t>
  </si>
  <si>
    <t>428,140.80</t>
  </si>
  <si>
    <t>214,500.00</t>
  </si>
  <si>
    <t>1,276,120.00</t>
  </si>
  <si>
    <t>49,990.00</t>
  </si>
  <si>
    <t>122,800.00</t>
  </si>
  <si>
    <t>31,360,000.00</t>
  </si>
  <si>
    <t>155,000.00</t>
  </si>
  <si>
    <t>36,000.00</t>
  </si>
  <si>
    <t>269,500.00</t>
  </si>
  <si>
    <t>11,440,900.00</t>
  </si>
  <si>
    <t>60,600.00</t>
  </si>
  <si>
    <t>968,000.00</t>
  </si>
  <si>
    <t>31,850,000.00</t>
  </si>
  <si>
    <t>747,918.50</t>
  </si>
  <si>
    <t>610,000.00</t>
  </si>
  <si>
    <t>139,920.00</t>
  </si>
  <si>
    <t>999,939.71</t>
  </si>
  <si>
    <t>886,400.00</t>
  </si>
  <si>
    <t>138,000.00</t>
  </si>
  <si>
    <t>108,840.00</t>
  </si>
  <si>
    <t>76,200.00</t>
  </si>
  <si>
    <t>704,000.00</t>
  </si>
  <si>
    <t>910,000.00</t>
  </si>
  <si>
    <t>261,242.00</t>
  </si>
  <si>
    <t>13,400.00</t>
  </si>
  <si>
    <t>1,976,400.00</t>
  </si>
  <si>
    <t>102,210.40</t>
  </si>
  <si>
    <t>264,000.00</t>
  </si>
  <si>
    <t>19,953,500.00</t>
  </si>
  <si>
    <t>313,333.33</t>
  </si>
  <si>
    <t>9,600.00</t>
  </si>
  <si>
    <t>55,075.00</t>
  </si>
  <si>
    <t>5,500,000.00</t>
  </si>
  <si>
    <t>405,768.00</t>
  </si>
  <si>
    <t>474,096.00</t>
  </si>
  <si>
    <t>51,480.00</t>
  </si>
  <si>
    <t>1,042,867.92</t>
  </si>
  <si>
    <t>5,460,000.00</t>
  </si>
  <si>
    <t>506,040.00</t>
  </si>
  <si>
    <t>1,290,773.00</t>
  </si>
  <si>
    <t>99,670.00</t>
  </si>
  <si>
    <t>107,427.00</t>
  </si>
  <si>
    <t>69,610.00</t>
  </si>
  <si>
    <t>659,657.00</t>
  </si>
  <si>
    <t>44,000.00</t>
  </si>
  <si>
    <t>100,766.00</t>
  </si>
  <si>
    <t>43,040.00</t>
  </si>
  <si>
    <t>35,800.00</t>
  </si>
  <si>
    <t>571,360.00</t>
  </si>
  <si>
    <t>2,700,000.00</t>
  </si>
  <si>
    <t>72,750.00</t>
  </si>
  <si>
    <t>618,145.00</t>
  </si>
  <si>
    <t>23,441,250.00</t>
  </si>
  <si>
    <t>393,229.17</t>
  </si>
  <si>
    <t>1,177,200.00</t>
  </si>
  <si>
    <t>4,155,533.38</t>
  </si>
  <si>
    <t>795,121.90</t>
  </si>
  <si>
    <t>57,200.00</t>
  </si>
  <si>
    <t>147,660.00</t>
  </si>
  <si>
    <t>947,430.00</t>
  </si>
  <si>
    <t>596,721.00</t>
  </si>
  <si>
    <t>186,000.00</t>
  </si>
  <si>
    <t>70,221.00</t>
  </si>
  <si>
    <t>13,300.00</t>
  </si>
  <si>
    <t>1,017,000.00</t>
  </si>
  <si>
    <t>260,720.00</t>
  </si>
  <si>
    <t>140,028.00</t>
  </si>
  <si>
    <t>56,250.00</t>
  </si>
  <si>
    <t>62,539.50</t>
  </si>
  <si>
    <t>105,500.00</t>
  </si>
  <si>
    <t>204,619.57</t>
  </si>
  <si>
    <t>211,950.00</t>
  </si>
  <si>
    <t>5,250.00</t>
  </si>
  <si>
    <t>2,250.00</t>
  </si>
  <si>
    <t>4,194,255.74</t>
  </si>
  <si>
    <t>1,200.00</t>
  </si>
  <si>
    <t>11,668,000.00</t>
  </si>
  <si>
    <t>5,175,000.00</t>
  </si>
  <si>
    <t>280,000.00</t>
  </si>
  <si>
    <t>157,900.00</t>
  </si>
  <si>
    <t>1,434,116.25</t>
  </si>
  <si>
    <t>149,825.00</t>
  </si>
  <si>
    <t>101,470.00</t>
  </si>
  <si>
    <t>1,997,500.00</t>
  </si>
  <si>
    <t>215,750.00</t>
  </si>
  <si>
    <t>660,016.88</t>
  </si>
  <si>
    <t>180,200.00</t>
  </si>
  <si>
    <t>88,650.00</t>
  </si>
  <si>
    <t>6,810,300.00</t>
  </si>
  <si>
    <t>4,230,000.00</t>
  </si>
  <si>
    <t>40,337,000.00</t>
  </si>
  <si>
    <t>3,532,382.20</t>
  </si>
  <si>
    <t>53,654.00</t>
  </si>
  <si>
    <t>660,880.00</t>
  </si>
  <si>
    <t>132,178.00</t>
  </si>
  <si>
    <t>985,600.00</t>
  </si>
  <si>
    <t>321,860.00</t>
  </si>
  <si>
    <t>81,350.00</t>
  </si>
  <si>
    <t>396,500.00</t>
  </si>
  <si>
    <t>65,740.00</t>
  </si>
  <si>
    <t>220,740.00</t>
  </si>
  <si>
    <t>248,845.00</t>
  </si>
  <si>
    <t>10,034,000.00</t>
  </si>
  <si>
    <t>377,500.00</t>
  </si>
  <si>
    <t>105,196.00</t>
  </si>
  <si>
    <t>113,441.00</t>
  </si>
  <si>
    <t>484,400.00</t>
  </si>
  <si>
    <t>4,873,000.00</t>
  </si>
  <si>
    <t>255,000.00</t>
  </si>
  <si>
    <t>1,369,100.00</t>
  </si>
  <si>
    <t>3,720,000.00</t>
  </si>
  <si>
    <t>77,515.00</t>
  </si>
  <si>
    <t>174,780.00</t>
  </si>
  <si>
    <t>162,310.00</t>
  </si>
  <si>
    <t>477,500.00</t>
  </si>
  <si>
    <t>146,398.88</t>
  </si>
  <si>
    <t>455,695.57</t>
  </si>
  <si>
    <t>295,000.00</t>
  </si>
  <si>
    <t>215,126.96</t>
  </si>
  <si>
    <t>166,400.00</t>
  </si>
  <si>
    <t>4,263,839.53</t>
  </si>
  <si>
    <t>87,992.00</t>
  </si>
  <si>
    <t>1,565,500.00</t>
  </si>
  <si>
    <t>494,567.00</t>
  </si>
  <si>
    <t>637,851.03</t>
  </si>
  <si>
    <t>93,175.22</t>
  </si>
  <si>
    <t>17,638,164.50</t>
  </si>
  <si>
    <t>105,550.00</t>
  </si>
  <si>
    <t>1,325,600.00</t>
  </si>
  <si>
    <t>96,480.00</t>
  </si>
  <si>
    <t>73,600.00</t>
  </si>
  <si>
    <t>7,925,000.00</t>
  </si>
  <si>
    <t>212,375.00</t>
  </si>
  <si>
    <t>3,777,000.00</t>
  </si>
  <si>
    <t>329,360.05</t>
  </si>
  <si>
    <t>98,400.00</t>
  </si>
  <si>
    <t>430,000.00</t>
  </si>
  <si>
    <t>178,935.00</t>
  </si>
  <si>
    <t>1,476,000.00</t>
  </si>
  <si>
    <t>196,407.23</t>
  </si>
  <si>
    <t>631,946.70</t>
  </si>
  <si>
    <t>188,577.20</t>
  </si>
  <si>
    <t>428,740.00</t>
  </si>
  <si>
    <t>192,128.00</t>
  </si>
  <si>
    <t>135,269.48</t>
  </si>
  <si>
    <t>1,018,800.00</t>
  </si>
  <si>
    <t>2,840,000.00</t>
  </si>
  <si>
    <t>142,500.18</t>
  </si>
  <si>
    <t>19,995.00</t>
  </si>
  <si>
    <t>999,180.00</t>
  </si>
  <si>
    <t>189,099.58</t>
  </si>
  <si>
    <t>291,411.00</t>
  </si>
  <si>
    <t>1,548,485.00</t>
  </si>
  <si>
    <t>4,252,406.00</t>
  </si>
  <si>
    <t>273,367.50</t>
  </si>
  <si>
    <t>499,918.60</t>
  </si>
  <si>
    <t>1,499,425.00</t>
  </si>
  <si>
    <t>306,250.00</t>
  </si>
  <si>
    <t>14,380,000.00</t>
  </si>
  <si>
    <t>182,680.00</t>
  </si>
  <si>
    <t>3,037,386.00</t>
  </si>
  <si>
    <t>3,653,756.00</t>
  </si>
  <si>
    <t>122,400.00</t>
  </si>
  <si>
    <t>425,462.00</t>
  </si>
  <si>
    <t>9,660,668.00</t>
  </si>
  <si>
    <t>128,854.00</t>
  </si>
  <si>
    <t>327,000.00</t>
  </si>
  <si>
    <t>499,982.20</t>
  </si>
  <si>
    <t>638,000.00</t>
  </si>
  <si>
    <t>8,000.00</t>
  </si>
  <si>
    <t>196,000.00</t>
  </si>
  <si>
    <t>28,978.00</t>
  </si>
  <si>
    <t>774,707.56</t>
  </si>
  <si>
    <t>94,800.00</t>
  </si>
  <si>
    <t>1,677,500.00</t>
  </si>
  <si>
    <t>5,297,000.00</t>
  </si>
  <si>
    <t>1,235,000.00</t>
  </si>
  <si>
    <t>354,788.00</t>
  </si>
  <si>
    <t>285,651.87</t>
  </si>
  <si>
    <t>9,899,910.99</t>
  </si>
  <si>
    <t>663,700.00</t>
  </si>
  <si>
    <t>1,186,008.12</t>
  </si>
  <si>
    <t>99,970.00</t>
  </si>
  <si>
    <t>178,085.00</t>
  </si>
  <si>
    <t>61,420.00</t>
  </si>
  <si>
    <t>1,236,000.00</t>
  </si>
  <si>
    <t>4,460.00</t>
  </si>
  <si>
    <t>97,456.00</t>
  </si>
  <si>
    <t>572,000.00</t>
  </si>
  <si>
    <t>1,267,000.00</t>
  </si>
  <si>
    <t>2,418,750.00</t>
  </si>
  <si>
    <t>90,100.00</t>
  </si>
  <si>
    <t>401,500.00</t>
  </si>
  <si>
    <t>2,887,200.00</t>
  </si>
  <si>
    <t>4,836,309.52</t>
  </si>
  <si>
    <t>48,150.00</t>
  </si>
  <si>
    <t>4,482,183.00</t>
  </si>
  <si>
    <t>49,949.00</t>
  </si>
  <si>
    <t>434,279.00</t>
  </si>
  <si>
    <t>1,359,680.00</t>
  </si>
  <si>
    <t>3,999,612.02</t>
  </si>
  <si>
    <t>205,500.00</t>
  </si>
  <si>
    <t>1,995,600.00</t>
  </si>
  <si>
    <t>10,251,083.25</t>
  </si>
  <si>
    <t>880,000.00</t>
  </si>
  <si>
    <t>14,900.00</t>
  </si>
  <si>
    <t>851,500.00</t>
  </si>
  <si>
    <t>2,200.00</t>
  </si>
  <si>
    <t>94,000.00</t>
  </si>
  <si>
    <t>89,560.00</t>
  </si>
  <si>
    <t>789,274.46</t>
  </si>
  <si>
    <t>5,300,000.00</t>
  </si>
  <si>
    <t>819,840.00</t>
  </si>
  <si>
    <t>435,949.00</t>
  </si>
  <si>
    <t>168,930.00</t>
  </si>
  <si>
    <t>599,191.65</t>
  </si>
  <si>
    <t>80,700.00</t>
  </si>
  <si>
    <t>65,900,000.00</t>
  </si>
  <si>
    <t>129,950.00</t>
  </si>
  <si>
    <t>1,068,779.25</t>
  </si>
  <si>
    <t>133,892.00</t>
  </si>
  <si>
    <t>605,414.25</t>
  </si>
  <si>
    <t>251,000.00</t>
  </si>
  <si>
    <t>52,885.00</t>
  </si>
  <si>
    <t>198,900.00</t>
  </si>
  <si>
    <t>64,200.00</t>
  </si>
  <si>
    <t>23,000.00</t>
  </si>
  <si>
    <t>262,672.00</t>
  </si>
  <si>
    <t>3,400.00</t>
  </si>
  <si>
    <t>597,900.00</t>
  </si>
  <si>
    <t>98,709.00</t>
  </si>
  <si>
    <t>70,400.00</t>
  </si>
  <si>
    <t>1,895,000.00</t>
  </si>
  <si>
    <t>499,291.53</t>
  </si>
  <si>
    <t>865,000.00</t>
  </si>
  <si>
    <t>337,580.00</t>
  </si>
  <si>
    <t>798,283.33</t>
  </si>
  <si>
    <t>218,977.50</t>
  </si>
  <si>
    <t>489,600.00</t>
  </si>
  <si>
    <t>2,740,831.80</t>
  </si>
  <si>
    <t>153,800.00</t>
  </si>
  <si>
    <t>6,834,872.82</t>
  </si>
  <si>
    <t>394,821.24</t>
  </si>
  <si>
    <t>316,812.93</t>
  </si>
  <si>
    <t>2,296,822.44</t>
  </si>
  <si>
    <t>1,385,697.71</t>
  </si>
  <si>
    <t>517,493.59</t>
  </si>
  <si>
    <t>1,909,229.04</t>
  </si>
  <si>
    <t>1,823,906.33</t>
  </si>
  <si>
    <t>587,052.26</t>
  </si>
  <si>
    <t>578,295.40</t>
  </si>
  <si>
    <t>4,894,112.58</t>
  </si>
  <si>
    <t>3,049,157.56</t>
  </si>
  <si>
    <t>1,486,362.56</t>
  </si>
  <si>
    <t>7,901,225.30</t>
  </si>
  <si>
    <t>702,438.23</t>
  </si>
  <si>
    <t>836,161.87</t>
  </si>
  <si>
    <t>622,206.26</t>
  </si>
  <si>
    <t>499,999.50</t>
  </si>
  <si>
    <t>6,093,007.95</t>
  </si>
  <si>
    <t>199,971.24</t>
  </si>
  <si>
    <t>248,888.99</t>
  </si>
  <si>
    <t>996,031.64</t>
  </si>
  <si>
    <t>911,346.26</t>
  </si>
  <si>
    <t>65,350.00</t>
  </si>
  <si>
    <t>144,025.00</t>
  </si>
  <si>
    <t>68,950.00</t>
  </si>
  <si>
    <t>73,200.00</t>
  </si>
  <si>
    <t>137,899.90</t>
  </si>
  <si>
    <t>187,650.00</t>
  </si>
  <si>
    <t>447,660.00</t>
  </si>
  <si>
    <t>995,170.80</t>
  </si>
  <si>
    <t>78,400.00</t>
  </si>
  <si>
    <t>752,979.20</t>
  </si>
  <si>
    <t>142,650.00</t>
  </si>
  <si>
    <t>182,500.00</t>
  </si>
  <si>
    <t>517,600.00</t>
  </si>
  <si>
    <t>485,730.58</t>
  </si>
  <si>
    <t>24,000.00</t>
  </si>
  <si>
    <t>299,323.92</t>
  </si>
  <si>
    <t>605,000.00</t>
  </si>
  <si>
    <t>259,200.00</t>
  </si>
  <si>
    <t>969,103.43</t>
  </si>
  <si>
    <t>573,980.00</t>
  </si>
  <si>
    <t>3,991,600.00</t>
  </si>
  <si>
    <t>309,800.00</t>
  </si>
  <si>
    <t>10,500.00</t>
  </si>
  <si>
    <t>208,000.00</t>
  </si>
  <si>
    <t>28,650.00</t>
  </si>
  <si>
    <t>250,695.00</t>
  </si>
  <si>
    <t>373,470.00</t>
  </si>
  <si>
    <t>2,053,800.00</t>
  </si>
  <si>
    <t>73,800.00</t>
  </si>
  <si>
    <t>68,240.00</t>
  </si>
  <si>
    <t>25,300.00</t>
  </si>
  <si>
    <t>64,150.00</t>
  </si>
  <si>
    <t>104,200.50</t>
  </si>
  <si>
    <t>1,081,358.72</t>
  </si>
  <si>
    <t>186,300.00</t>
  </si>
  <si>
    <t>42,600.00</t>
  </si>
  <si>
    <t>495,073.55</t>
  </si>
  <si>
    <t>1,516,131.00</t>
  </si>
  <si>
    <t>5,925,225.30</t>
  </si>
  <si>
    <t>450,363.00</t>
  </si>
  <si>
    <t>148,900.00</t>
  </si>
  <si>
    <t>57,400.00</t>
  </si>
  <si>
    <t>145,700.00</t>
  </si>
  <si>
    <t>215,100.00</t>
  </si>
  <si>
    <t>9,800.00</t>
  </si>
  <si>
    <t>98,175.00</t>
  </si>
  <si>
    <t>4,000.00</t>
  </si>
  <si>
    <t>134,350.00</t>
  </si>
  <si>
    <t>43,720.00</t>
  </si>
  <si>
    <t>1,144,196.52</t>
  </si>
  <si>
    <t>115,650.00</t>
  </si>
  <si>
    <t>178,912.03</t>
  </si>
  <si>
    <t>137,650.00</t>
  </si>
  <si>
    <t>145,925.00</t>
  </si>
  <si>
    <t>119,970.00</t>
  </si>
  <si>
    <t>278,600.00</t>
  </si>
  <si>
    <t>964,413.51</t>
  </si>
  <si>
    <t>325,591.98</t>
  </si>
  <si>
    <t>190,400.00</t>
  </si>
  <si>
    <t>98,743.00</t>
  </si>
  <si>
    <t>144,475.00</t>
  </si>
  <si>
    <t>34,485.00</t>
  </si>
  <si>
    <t>98,600.00</t>
  </si>
  <si>
    <t>82,200.00</t>
  </si>
  <si>
    <t>156,300.00</t>
  </si>
  <si>
    <t>687,848.23</t>
  </si>
  <si>
    <t>196,740.00</t>
  </si>
  <si>
    <t>54,823.72</t>
  </si>
  <si>
    <t>78,778.00</t>
  </si>
  <si>
    <t>647,000.00</t>
  </si>
  <si>
    <t>265,500.00</t>
  </si>
  <si>
    <t>21,750.00</t>
  </si>
  <si>
    <t>491,749.51</t>
  </si>
  <si>
    <t>45,500.00</t>
  </si>
  <si>
    <t>608,691.00</t>
  </si>
  <si>
    <t>264,999.81</t>
  </si>
  <si>
    <t>548,993.00</t>
  </si>
  <si>
    <t>21,520.00</t>
  </si>
  <si>
    <t>270,940.00</t>
  </si>
  <si>
    <t>76,360.00</t>
  </si>
  <si>
    <t>222,000.00</t>
  </si>
  <si>
    <t>264,110.00</t>
  </si>
  <si>
    <t>62,422.55</t>
  </si>
  <si>
    <t>85,721.00</t>
  </si>
  <si>
    <t>56,600.00</t>
  </si>
  <si>
    <t>84,785.00</t>
  </si>
  <si>
    <t>65,520.00</t>
  </si>
  <si>
    <t>9,520.00</t>
  </si>
  <si>
    <t>26,397.62</t>
  </si>
  <si>
    <t>1,156,500.00</t>
  </si>
  <si>
    <t>122,500.00</t>
  </si>
  <si>
    <t>88,160.00</t>
  </si>
  <si>
    <t>63,323.00</t>
  </si>
  <si>
    <t>164,535.00</t>
  </si>
  <si>
    <t>195,196.00</t>
  </si>
  <si>
    <t>40,856.68</t>
  </si>
  <si>
    <t>165,108.00</t>
  </si>
  <si>
    <t>225,805.00</t>
  </si>
  <si>
    <t>185,940.00</t>
  </si>
  <si>
    <t>403,344.00</t>
  </si>
  <si>
    <t>460,190.00</t>
  </si>
  <si>
    <t>164,480.00</t>
  </si>
  <si>
    <t>37,772.00</t>
  </si>
  <si>
    <t>19,200.00</t>
  </si>
  <si>
    <t>216,220.00</t>
  </si>
  <si>
    <t>18,900.00</t>
  </si>
  <si>
    <t>41,000.00</t>
  </si>
  <si>
    <t>49,684.00</t>
  </si>
  <si>
    <t>35,222.00</t>
  </si>
  <si>
    <t>744,848.00</t>
  </si>
  <si>
    <t>572,999.54</t>
  </si>
  <si>
    <t>14,475.00</t>
  </si>
  <si>
    <t>586,454.59</t>
  </si>
  <si>
    <t>80,800.00</t>
  </si>
  <si>
    <t>929,465.19</t>
  </si>
  <si>
    <t>756,205.64</t>
  </si>
  <si>
    <t>914,845.10</t>
  </si>
  <si>
    <t>806,703.30</t>
  </si>
  <si>
    <t>208,732.00</t>
  </si>
  <si>
    <t>149,990.00</t>
  </si>
  <si>
    <t>499,994.54</t>
  </si>
  <si>
    <t>227,000.00</t>
  </si>
  <si>
    <t>108,250.00</t>
  </si>
  <si>
    <t>81,083.25</t>
  </si>
  <si>
    <t>23,655.00</t>
  </si>
  <si>
    <t>337,220.00</t>
  </si>
  <si>
    <t>999,997.26</t>
  </si>
  <si>
    <t>293,875.00</t>
  </si>
  <si>
    <t>133,990.00</t>
  </si>
  <si>
    <t>145,400.00</t>
  </si>
  <si>
    <t>113,457.00</t>
  </si>
  <si>
    <t>593,600.00</t>
  </si>
  <si>
    <t>1,010,000.00</t>
  </si>
  <si>
    <t>215,030.00</t>
  </si>
  <si>
    <t>206,300.00</t>
  </si>
  <si>
    <t>7,531,300.00</t>
  </si>
  <si>
    <t>45,378.51</t>
  </si>
  <si>
    <t>351,000.00</t>
  </si>
  <si>
    <t>299,750.00</t>
  </si>
  <si>
    <t>26,200.00</t>
  </si>
  <si>
    <t>56,410.00</t>
  </si>
  <si>
    <t>71,570.00</t>
  </si>
  <si>
    <t>334,500.00</t>
  </si>
  <si>
    <t>60,364.90</t>
  </si>
  <si>
    <t>1,300.00</t>
  </si>
  <si>
    <t>21,825.00</t>
  </si>
  <si>
    <t>153,973.00</t>
  </si>
  <si>
    <t>3,046,814.00</t>
  </si>
  <si>
    <t>798,000.00</t>
  </si>
  <si>
    <t>84,235.00</t>
  </si>
  <si>
    <t>451,638.00</t>
  </si>
  <si>
    <t>62,125.25</t>
  </si>
  <si>
    <t>188,310.00</t>
  </si>
  <si>
    <t>80,400.00</t>
  </si>
  <si>
    <t>95,490.00</t>
  </si>
  <si>
    <t>57,873.00</t>
  </si>
  <si>
    <t>699,966.00</t>
  </si>
  <si>
    <t>189,734.00</t>
  </si>
  <si>
    <t>111,213.80</t>
  </si>
  <si>
    <t>143,676.98</t>
  </si>
  <si>
    <t>36,726.50</t>
  </si>
  <si>
    <t>71,500.00</t>
  </si>
  <si>
    <t>100,350.00</t>
  </si>
  <si>
    <t>177,550.00</t>
  </si>
  <si>
    <t>449,999.64</t>
  </si>
  <si>
    <t>97,245.52</t>
  </si>
  <si>
    <t>147,355.74</t>
  </si>
  <si>
    <t>159,000.00</t>
  </si>
  <si>
    <t>114,816.00</t>
  </si>
  <si>
    <t>773,345.00</t>
  </si>
  <si>
    <t>12,485,100.00</t>
  </si>
  <si>
    <t>8,274.04</t>
  </si>
  <si>
    <t>51,725.50</t>
  </si>
  <si>
    <t>499,930.16</t>
  </si>
  <si>
    <t>223,614.00</t>
  </si>
  <si>
    <t>134,170.00</t>
  </si>
  <si>
    <t>98,000.00</t>
  </si>
  <si>
    <t>114,000.00</t>
  </si>
  <si>
    <t>35,250.00</t>
  </si>
  <si>
    <t>99,998.00</t>
  </si>
  <si>
    <t>174,990.00</t>
  </si>
  <si>
    <t>53,970.00</t>
  </si>
  <si>
    <t>232,500.00</t>
  </si>
  <si>
    <t>710,000.00</t>
  </si>
  <si>
    <t>38,158.00</t>
  </si>
  <si>
    <t>73,125.00</t>
  </si>
  <si>
    <t>354,400.00</t>
  </si>
  <si>
    <t>870,000.00</t>
  </si>
  <si>
    <t>572,836.00</t>
  </si>
  <si>
    <t>24,050.00</t>
  </si>
  <si>
    <t>89,991.60</t>
  </si>
  <si>
    <t>274,000.00</t>
  </si>
  <si>
    <t>22,050.00</t>
  </si>
  <si>
    <t>436,000.00</t>
  </si>
  <si>
    <t>62,250.00</t>
  </si>
  <si>
    <t>70,256.50</t>
  </si>
  <si>
    <t>51,620.00</t>
  </si>
  <si>
    <t>6,305,514.32</t>
  </si>
  <si>
    <t>149,000.00</t>
  </si>
  <si>
    <t>49,497.00</t>
  </si>
  <si>
    <t>100,163.00</t>
  </si>
  <si>
    <t>131,700.00</t>
  </si>
  <si>
    <t>17,500,000.00</t>
  </si>
  <si>
    <t>59,350.00</t>
  </si>
  <si>
    <t>499,955.16</t>
  </si>
  <si>
    <t>250,602.90</t>
  </si>
  <si>
    <t>48,995.00</t>
  </si>
  <si>
    <t>103,900.00</t>
  </si>
  <si>
    <t>60,375.00</t>
  </si>
  <si>
    <t>217,600.00</t>
  </si>
  <si>
    <t>212,320.00</t>
  </si>
  <si>
    <t>2,760.00</t>
  </si>
  <si>
    <t>70,308.00</t>
  </si>
  <si>
    <t>107,450.00</t>
  </si>
  <si>
    <t>514,500.00</t>
  </si>
  <si>
    <t>49,422.00</t>
  </si>
  <si>
    <t>302,080.00</t>
  </si>
  <si>
    <t>77,424.90</t>
  </si>
  <si>
    <t>37,000.00</t>
  </si>
  <si>
    <t>801,547.12</t>
  </si>
  <si>
    <t>335,840.00</t>
  </si>
  <si>
    <t>364,400.00</t>
  </si>
  <si>
    <t>561,476.78</t>
  </si>
  <si>
    <t>918,000.00</t>
  </si>
  <si>
    <t>235,000.00</t>
  </si>
  <si>
    <t>279,350.00</t>
  </si>
  <si>
    <t>384,386.50</t>
  </si>
  <si>
    <t>100,430.00</t>
  </si>
  <si>
    <t>91,800.00</t>
  </si>
  <si>
    <t>99,568.50</t>
  </si>
  <si>
    <t>164,500.00</t>
  </si>
  <si>
    <t>73,562.50</t>
  </si>
  <si>
    <t>17,300.00</t>
  </si>
  <si>
    <t>997,429.13</t>
  </si>
  <si>
    <t>967,343.96</t>
  </si>
  <si>
    <t>341,294.84</t>
  </si>
  <si>
    <t>123,000.00</t>
  </si>
  <si>
    <t>188,279.40</t>
  </si>
  <si>
    <t>156,090.00</t>
  </si>
  <si>
    <t>72,606.00</t>
  </si>
  <si>
    <t>20,108.00</t>
  </si>
  <si>
    <t>240,690.00</t>
  </si>
  <si>
    <t>3,800,000.00</t>
  </si>
  <si>
    <t>54,702.00</t>
  </si>
  <si>
    <t>1,875,000.00</t>
  </si>
  <si>
    <t>814,792.00</t>
  </si>
  <si>
    <t>130,530.00</t>
  </si>
  <si>
    <t>124,082.00</t>
  </si>
  <si>
    <t>299,000.00</t>
  </si>
  <si>
    <t>425,000.00</t>
  </si>
  <si>
    <t>230,910.00</t>
  </si>
  <si>
    <t>466,200.00</t>
  </si>
  <si>
    <t>369,090.00</t>
  </si>
  <si>
    <t>253,035.00</t>
  </si>
  <si>
    <t>146,220.00</t>
  </si>
  <si>
    <t>150,445.00</t>
  </si>
  <si>
    <t>1,717,079.00</t>
  </si>
  <si>
    <t>4,843,750.00</t>
  </si>
  <si>
    <t>79,960.00</t>
  </si>
  <si>
    <t>135,819.00</t>
  </si>
  <si>
    <t>143,666.00</t>
  </si>
  <si>
    <t>66,202.00</t>
  </si>
  <si>
    <t>368,285.00</t>
  </si>
  <si>
    <t>149,215.00</t>
  </si>
  <si>
    <t>172,399.00</t>
  </si>
  <si>
    <t>299,265.00</t>
  </si>
  <si>
    <t>49,600.00</t>
  </si>
  <si>
    <t>392,000.00</t>
  </si>
  <si>
    <t>94,358.10</t>
  </si>
  <si>
    <t>5,240.00</t>
  </si>
  <si>
    <t>134,600.00</t>
  </si>
  <si>
    <t>194,000.00</t>
  </si>
  <si>
    <t>271,800.00</t>
  </si>
  <si>
    <t>118,096.00</t>
  </si>
  <si>
    <t>327,005.00</t>
  </si>
  <si>
    <t>123,090.00</t>
  </si>
  <si>
    <t>96,838.50</t>
  </si>
  <si>
    <t>8,033,000.00</t>
  </si>
  <si>
    <t>73,250.00</t>
  </si>
  <si>
    <t>679,000.00</t>
  </si>
  <si>
    <t>324,380.00</t>
  </si>
  <si>
    <t>64,800.00</t>
  </si>
  <si>
    <t>106,000.00</t>
  </si>
  <si>
    <t>126,500.00</t>
  </si>
  <si>
    <t>1,232,500.00</t>
  </si>
  <si>
    <t>189,975.00</t>
  </si>
  <si>
    <t>84,850.00</t>
  </si>
  <si>
    <t>105,660.00</t>
  </si>
  <si>
    <t>177,444.00</t>
  </si>
  <si>
    <t>5,557.00</t>
  </si>
  <si>
    <t>114,940.00</t>
  </si>
  <si>
    <t>169,000.00</t>
  </si>
  <si>
    <t>638,800.00</t>
  </si>
  <si>
    <t>1,157,500.00</t>
  </si>
  <si>
    <t>49,900.00</t>
  </si>
  <si>
    <t>124,310.00</t>
  </si>
  <si>
    <t>28,730.00</t>
  </si>
  <si>
    <t>36,005.00</t>
  </si>
  <si>
    <t>374,500.00</t>
  </si>
  <si>
    <t>267,500.00</t>
  </si>
  <si>
    <t>892,180.00</t>
  </si>
  <si>
    <t>11,999,980.96</t>
  </si>
  <si>
    <t>4,496,328.45</t>
  </si>
  <si>
    <t>67,343.00</t>
  </si>
  <si>
    <t>1,384,925.50</t>
  </si>
  <si>
    <t>53,345.00</t>
  </si>
  <si>
    <t>134,270.00</t>
  </si>
  <si>
    <t>2,999,526.55</t>
  </si>
  <si>
    <t>94,928.20</t>
  </si>
  <si>
    <t>95,400.00</t>
  </si>
  <si>
    <t>215,000.00</t>
  </si>
  <si>
    <t>213,485.39</t>
  </si>
  <si>
    <t>49,300.00</t>
  </si>
  <si>
    <t>960,000.00</t>
  </si>
  <si>
    <t>4,999,737.09</t>
  </si>
  <si>
    <t>133,497.00</t>
  </si>
  <si>
    <t>49,462.00</t>
  </si>
  <si>
    <t>252,715.00</t>
  </si>
  <si>
    <t>304,840.00</t>
  </si>
  <si>
    <t>151,000.00</t>
  </si>
  <si>
    <t>49,960.00</t>
  </si>
  <si>
    <t>373,464.00</t>
  </si>
  <si>
    <t>147,000.00</t>
  </si>
  <si>
    <t>151,015.00</t>
  </si>
  <si>
    <t>638,980.10</t>
  </si>
  <si>
    <t>262,140.40</t>
  </si>
  <si>
    <t>673,920.00</t>
  </si>
  <si>
    <t>46,690.00</t>
  </si>
  <si>
    <t>1,952,364.50</t>
  </si>
  <si>
    <t>12,869,538.62</t>
  </si>
  <si>
    <t>42,950.00</t>
  </si>
  <si>
    <t>81,549.50</t>
  </si>
  <si>
    <t>23,350.00</t>
  </si>
  <si>
    <t>392,760.38</t>
  </si>
  <si>
    <t>95,200.00</t>
  </si>
  <si>
    <t>200,100.00</t>
  </si>
  <si>
    <t>91,190.00</t>
  </si>
  <si>
    <t>49,490.00</t>
  </si>
  <si>
    <t>119,400.00</t>
  </si>
  <si>
    <t>237,500.00</t>
  </si>
  <si>
    <t>204,000.00</t>
  </si>
  <si>
    <t>478,750.00</t>
  </si>
  <si>
    <t>51,470.00</t>
  </si>
  <si>
    <t>74,406.00</t>
  </si>
  <si>
    <t>462,480.00</t>
  </si>
  <si>
    <t>215,720.00</t>
  </si>
  <si>
    <t>3,156,000.00</t>
  </si>
  <si>
    <t>149,999.80</t>
  </si>
  <si>
    <t>149,500.00</t>
  </si>
  <si>
    <t>136,700.00</t>
  </si>
  <si>
    <t>93,925.00</t>
  </si>
  <si>
    <t>57,250.00</t>
  </si>
  <si>
    <t>153,200.00</t>
  </si>
  <si>
    <t>166,830.00</t>
  </si>
  <si>
    <t>23,100.00</t>
  </si>
  <si>
    <t>454,670.00</t>
  </si>
  <si>
    <t>77,550.00</t>
  </si>
  <si>
    <t>199,663.80</t>
  </si>
  <si>
    <t>171,300.00</t>
  </si>
  <si>
    <t>769,500.00</t>
  </si>
  <si>
    <t>96,794.00</t>
  </si>
  <si>
    <t>107,470.00</t>
  </si>
  <si>
    <t>52,995.00</t>
  </si>
  <si>
    <t>129,450.50</t>
  </si>
  <si>
    <t>175,340.00</t>
  </si>
  <si>
    <t>88,440.00</t>
  </si>
  <si>
    <t>101,713.00</t>
  </si>
  <si>
    <t>89,100.00</t>
  </si>
  <si>
    <t>13,500,000.00</t>
  </si>
  <si>
    <t>106,798.00</t>
  </si>
  <si>
    <t>138,180.00</t>
  </si>
  <si>
    <t>4,999,862.04</t>
  </si>
  <si>
    <t>929,000.00</t>
  </si>
  <si>
    <t>469,045.35</t>
  </si>
  <si>
    <t>936,828.12</t>
  </si>
  <si>
    <t>214,000.09</t>
  </si>
  <si>
    <t>387,431.25</t>
  </si>
  <si>
    <t>532,852.00</t>
  </si>
  <si>
    <t>30,000,000.00</t>
  </si>
  <si>
    <t>601,000.00</t>
  </si>
  <si>
    <t>1,299,211.49</t>
  </si>
  <si>
    <t>140,400.00</t>
  </si>
  <si>
    <t>80,256.00</t>
  </si>
  <si>
    <t>154,650.00</t>
  </si>
  <si>
    <t>368,273.00</t>
  </si>
  <si>
    <t>1,206,250.00</t>
  </si>
  <si>
    <t>178,627.23</t>
  </si>
  <si>
    <t>997,079.00</t>
  </si>
  <si>
    <t>68,401.00</t>
  </si>
  <si>
    <t>56,087.51</t>
  </si>
  <si>
    <t>140,800.00</t>
  </si>
  <si>
    <t>66,700.00</t>
  </si>
  <si>
    <t>50,012.00</t>
  </si>
  <si>
    <t>407,017.50</t>
  </si>
  <si>
    <t>538,500.00</t>
  </si>
  <si>
    <t>959,825.00</t>
  </si>
  <si>
    <t>92,400.00</t>
  </si>
  <si>
    <t>295,465.00</t>
  </si>
  <si>
    <t>70,251.00</t>
  </si>
  <si>
    <t>129,999.80</t>
  </si>
  <si>
    <t>355,000.00</t>
  </si>
  <si>
    <t>346,179.68</t>
  </si>
  <si>
    <t>311,659.00</t>
  </si>
  <si>
    <t>20,371.43</t>
  </si>
  <si>
    <t>58,533.00</t>
  </si>
  <si>
    <t>2,081,852.89</t>
  </si>
  <si>
    <t>178,874.00</t>
  </si>
  <si>
    <t>112,749.00</t>
  </si>
  <si>
    <t>61,600.00</t>
  </si>
  <si>
    <t>977,400.00</t>
  </si>
  <si>
    <t>37,008,000.00</t>
  </si>
  <si>
    <t>186,602.80</t>
  </si>
  <si>
    <t>103,800.00</t>
  </si>
  <si>
    <t>4,997,875.93</t>
  </si>
  <si>
    <t>58,930.00</t>
  </si>
  <si>
    <t>244,800.00</t>
  </si>
  <si>
    <t>100,240.00</t>
  </si>
  <si>
    <t>810,000.00</t>
  </si>
  <si>
    <t>190,920.00</t>
  </si>
  <si>
    <t>32,200,037.43</t>
  </si>
  <si>
    <t>53,750.00</t>
  </si>
  <si>
    <t>873,000.00</t>
  </si>
  <si>
    <t>157,790.00</t>
  </si>
  <si>
    <t>164,000.00</t>
  </si>
  <si>
    <t>116,790.00</t>
  </si>
  <si>
    <t>708,000.00</t>
  </si>
  <si>
    <t>335,590.62</t>
  </si>
  <si>
    <t>1,064,000.00</t>
  </si>
  <si>
    <t>340,665.00</t>
  </si>
  <si>
    <t>717,000.00</t>
  </si>
  <si>
    <t>365,276.00</t>
  </si>
  <si>
    <t>141,085.00</t>
  </si>
  <si>
    <t>126,920.00</t>
  </si>
  <si>
    <t>81,500.00</t>
  </si>
  <si>
    <t>794,854.73</t>
  </si>
  <si>
    <t>309,500.00</t>
  </si>
  <si>
    <t>671,339.63</t>
  </si>
  <si>
    <t>248,459.81</t>
  </si>
  <si>
    <t>132,000.00</t>
  </si>
  <si>
    <t>6,003,035.00</t>
  </si>
  <si>
    <t>169,490.00</t>
  </si>
  <si>
    <t>1,912,500.00</t>
  </si>
  <si>
    <t>90,574.40</t>
  </si>
  <si>
    <t>258,000.00</t>
  </si>
  <si>
    <t>242,000.00</t>
  </si>
  <si>
    <t>331,055.00</t>
  </si>
  <si>
    <t>102,092.00</t>
  </si>
  <si>
    <t>305,000.00</t>
  </si>
  <si>
    <t>59,592.00</t>
  </si>
  <si>
    <t>239,155.02</t>
  </si>
  <si>
    <t>78,000.00</t>
  </si>
  <si>
    <t>4,260,000.00</t>
  </si>
  <si>
    <t>912,717.00</t>
  </si>
  <si>
    <t>9,000.00</t>
  </si>
  <si>
    <t>2,649,500.20</t>
  </si>
  <si>
    <t>60,800.00</t>
  </si>
  <si>
    <t>1,259,500.00</t>
  </si>
  <si>
    <t>1,545,822.66</t>
  </si>
  <si>
    <t>3,599,958.00</t>
  </si>
  <si>
    <t>966,410.00</t>
  </si>
  <si>
    <t>149,700.00</t>
  </si>
  <si>
    <t>836,217.00</t>
  </si>
  <si>
    <t>112,550.00</t>
  </si>
  <si>
    <t>1,536,000.00</t>
  </si>
  <si>
    <t>524,254.00</t>
  </si>
  <si>
    <t>5,001.00</t>
  </si>
  <si>
    <t>2,999,845.00</t>
  </si>
  <si>
    <t>70,741.08</t>
  </si>
  <si>
    <t>711,071.20</t>
  </si>
  <si>
    <t>125,715.00</t>
  </si>
  <si>
    <t>184,231.25</t>
  </si>
  <si>
    <t>1,455,302.52</t>
  </si>
  <si>
    <t>261,250.00</t>
  </si>
  <si>
    <t>82,720.00</t>
  </si>
  <si>
    <t>1,775,000.00</t>
  </si>
  <si>
    <t>96,300.00</t>
  </si>
  <si>
    <t>249,106.00</t>
  </si>
  <si>
    <t>510,500.00</t>
  </si>
  <si>
    <t>129,600.00</t>
  </si>
  <si>
    <t>172,000.00</t>
  </si>
  <si>
    <t>163,535.65</t>
  </si>
  <si>
    <t>100,440.00</t>
  </si>
  <si>
    <t>94,250.00</t>
  </si>
  <si>
    <t>62,950.00</t>
  </si>
  <si>
    <t>2,430,000.00</t>
  </si>
  <si>
    <t>59,698.00</t>
  </si>
  <si>
    <t>113,500.00</t>
  </si>
  <si>
    <t>266,000.00</t>
  </si>
  <si>
    <t>429,664.00</t>
  </si>
  <si>
    <t>2,850,000.00</t>
  </si>
  <si>
    <t>401,990.00</t>
  </si>
  <si>
    <t>241,376.24</t>
  </si>
  <si>
    <t>183,263.00</t>
  </si>
  <si>
    <t>4,800,000.00</t>
  </si>
  <si>
    <t>349,579.26</t>
  </si>
  <si>
    <t>1,256,000.00</t>
  </si>
  <si>
    <t>93,360.00</t>
  </si>
  <si>
    <t>129,990.00</t>
  </si>
  <si>
    <t>9,000,000.00</t>
  </si>
  <si>
    <t>999,930.75</t>
  </si>
  <si>
    <t>153,000.00</t>
  </si>
  <si>
    <t>1,800,000.00</t>
  </si>
  <si>
    <t>223,629.50</t>
  </si>
  <si>
    <t>1,547,500.00</t>
  </si>
  <si>
    <t>430,250.00</t>
  </si>
  <si>
    <t>90,400.00</t>
  </si>
  <si>
    <t>421,630.00</t>
  </si>
  <si>
    <t>129,210.00</t>
  </si>
  <si>
    <t>55,299.00</t>
  </si>
  <si>
    <t>87,900.00</t>
  </si>
  <si>
    <t>796,366.00</t>
  </si>
  <si>
    <t>199,946.62</t>
  </si>
  <si>
    <t>317,050.00</t>
  </si>
  <si>
    <t>91,192.50</t>
  </si>
  <si>
    <t>1,645,000.00</t>
  </si>
  <si>
    <t>142,048.13</t>
  </si>
  <si>
    <t>102,272.80</t>
  </si>
  <si>
    <t>331,256.68</t>
  </si>
  <si>
    <t>159,999.00</t>
  </si>
  <si>
    <t>1,092,970.00</t>
  </si>
  <si>
    <t>29,940.00</t>
  </si>
  <si>
    <t>88,950.00</t>
  </si>
  <si>
    <t>3,799,170.80</t>
  </si>
  <si>
    <t>1,396,500.00</t>
  </si>
  <si>
    <t>892,209.00</t>
  </si>
  <si>
    <t>544,040.00</t>
  </si>
  <si>
    <t>123,612.76</t>
  </si>
  <si>
    <t>89,360.00</t>
  </si>
  <si>
    <t>59,484.00</t>
  </si>
  <si>
    <t>99,981.00</t>
  </si>
  <si>
    <t>140,925.00</t>
  </si>
  <si>
    <t>4,500,000.00</t>
  </si>
  <si>
    <t>82,616.10</t>
  </si>
  <si>
    <t>83,839.28</t>
  </si>
  <si>
    <t>14,350.00</t>
  </si>
  <si>
    <t>25,164.00</t>
  </si>
  <si>
    <t>82,028.00</t>
  </si>
  <si>
    <t>116,250.00</t>
  </si>
  <si>
    <t>253,705.84</t>
  </si>
  <si>
    <t>6,400,000.00</t>
  </si>
  <si>
    <t>1,088,175.00</t>
  </si>
  <si>
    <t>233,200.00</t>
  </si>
  <si>
    <t>903,339.22</t>
  </si>
  <si>
    <t>835,000.00</t>
  </si>
  <si>
    <t>66,753.33</t>
  </si>
  <si>
    <t>474,082.28</t>
  </si>
  <si>
    <t>1,299,653.06</t>
  </si>
  <si>
    <t>412,450.00</t>
  </si>
  <si>
    <t>995,600.00</t>
  </si>
  <si>
    <t>224,035.00</t>
  </si>
  <si>
    <t>131,530.00</t>
  </si>
  <si>
    <t>145,861.28</t>
  </si>
  <si>
    <t>40,190.00</t>
  </si>
  <si>
    <t>183,200.00</t>
  </si>
  <si>
    <t>59,020.00</t>
  </si>
  <si>
    <t>102,690.00</t>
  </si>
  <si>
    <t>70,039.50</t>
  </si>
  <si>
    <t>1,116,000.00</t>
  </si>
  <si>
    <t>5,700.00</t>
  </si>
  <si>
    <t>72,900.00</t>
  </si>
  <si>
    <t>181,169.00</t>
  </si>
  <si>
    <t>199,821.56</t>
  </si>
  <si>
    <t>598,927.84</t>
  </si>
  <si>
    <t>896,000.00</t>
  </si>
  <si>
    <t>173,250.00</t>
  </si>
  <si>
    <t>41,476.00</t>
  </si>
  <si>
    <t>1,825,000.00</t>
  </si>
  <si>
    <t>152,588.90</t>
  </si>
  <si>
    <t>13,000.00</t>
  </si>
  <si>
    <t>1,365,000.00</t>
  </si>
  <si>
    <t>672,000.00</t>
  </si>
  <si>
    <t>55,290.00</t>
  </si>
  <si>
    <t>437,000.00</t>
  </si>
  <si>
    <t>88,309.00</t>
  </si>
  <si>
    <t>51,393.00</t>
  </si>
  <si>
    <t>225,757.00</t>
  </si>
  <si>
    <t>106,555.00</t>
  </si>
  <si>
    <t>55,900.36</t>
  </si>
  <si>
    <t>128,100.00</t>
  </si>
  <si>
    <t>400,115.00</t>
  </si>
  <si>
    <t>200,735.00</t>
  </si>
  <si>
    <t>1,313,000.00</t>
  </si>
  <si>
    <t>236,430.00</t>
  </si>
  <si>
    <t>184,800.00</t>
  </si>
  <si>
    <t>90,150.00</t>
  </si>
  <si>
    <t>23,024.00</t>
  </si>
  <si>
    <t>9,360.00</t>
  </si>
  <si>
    <t>82,943.00</t>
  </si>
  <si>
    <t>375,900.00</t>
  </si>
  <si>
    <t>80,575.00</t>
  </si>
  <si>
    <t>89,244.90</t>
  </si>
  <si>
    <t>811,775.00</t>
  </si>
  <si>
    <t>64,756.00</t>
  </si>
  <si>
    <t>192,148.00</t>
  </si>
  <si>
    <t>172,327.25</t>
  </si>
  <si>
    <t>1,764,000.00</t>
  </si>
  <si>
    <t>119,470.00</t>
  </si>
  <si>
    <t>258,500.00</t>
  </si>
  <si>
    <t>117,393.97</t>
  </si>
  <si>
    <t>349,132.30</t>
  </si>
  <si>
    <t>988,483.62</t>
  </si>
  <si>
    <t>1,411,491.00</t>
  </si>
  <si>
    <t>1,783,109.00</t>
  </si>
  <si>
    <t>11,879,669.71</t>
  </si>
  <si>
    <t>922,750.00</t>
  </si>
  <si>
    <t>56,696.00</t>
  </si>
  <si>
    <t>672,028.47</t>
  </si>
  <si>
    <t>88,244.80</t>
  </si>
  <si>
    <t>59,104.00</t>
  </si>
  <si>
    <t>759,977.46</t>
  </si>
  <si>
    <t>449,620.00</t>
  </si>
  <si>
    <t>90,916.00</t>
  </si>
  <si>
    <t>56,616.50</t>
  </si>
  <si>
    <t>78,310.00</t>
  </si>
  <si>
    <t>47,990.00</t>
  </si>
  <si>
    <t>99,562.50</t>
  </si>
  <si>
    <t>142,500.00</t>
  </si>
  <si>
    <t>13,091.00</t>
  </si>
  <si>
    <t>723,683.00</t>
  </si>
  <si>
    <t>463,680.00</t>
  </si>
  <si>
    <t>281,910.60</t>
  </si>
  <si>
    <t>77,920.00</t>
  </si>
  <si>
    <t>407,580.00</t>
  </si>
  <si>
    <t>260,289.80</t>
  </si>
  <si>
    <t>809,100.00</t>
  </si>
  <si>
    <t>78,750.00</t>
  </si>
  <si>
    <t>399,999.00</t>
  </si>
  <si>
    <t>1,118,500.00</t>
  </si>
  <si>
    <t>74,477.00</t>
  </si>
  <si>
    <t>366,000.00</t>
  </si>
  <si>
    <t>702,000.00</t>
  </si>
  <si>
    <t>945,000.00</t>
  </si>
  <si>
    <t>998,565.31</t>
  </si>
  <si>
    <t>189,000.00</t>
  </si>
  <si>
    <t>389,870.00</t>
  </si>
  <si>
    <t>13,469.40</t>
  </si>
  <si>
    <t>119,416.00</t>
  </si>
  <si>
    <t>80,640.00</t>
  </si>
  <si>
    <t>960,640.00</t>
  </si>
  <si>
    <t>128,761.67</t>
  </si>
  <si>
    <t>377,490.00</t>
  </si>
  <si>
    <t>200,500.00</t>
  </si>
  <si>
    <t>2,959,847.63</t>
  </si>
  <si>
    <t>46,300.00</t>
  </si>
  <si>
    <t>117,800.00</t>
  </si>
  <si>
    <t>997,900.00</t>
  </si>
  <si>
    <t>54,835.00</t>
  </si>
  <si>
    <t>59,620.94</t>
  </si>
  <si>
    <t>3,250,000.00</t>
  </si>
  <si>
    <t>1,505,927.25</t>
  </si>
  <si>
    <t>55,760.00</t>
  </si>
  <si>
    <t>23,055.00</t>
  </si>
  <si>
    <t>127,500.00</t>
  </si>
  <si>
    <t>19,230.00</t>
  </si>
  <si>
    <t>113,933.70</t>
  </si>
  <si>
    <t>999,940.00</t>
  </si>
  <si>
    <t>238,000.00</t>
  </si>
  <si>
    <t>1,360,800.00</t>
  </si>
  <si>
    <t>222,390.35</t>
  </si>
  <si>
    <t>514,284.51</t>
  </si>
  <si>
    <t>70,170.00</t>
  </si>
  <si>
    <t>102,323.00</t>
  </si>
  <si>
    <t>890,000.00</t>
  </si>
  <si>
    <t>202,414.87</t>
  </si>
  <si>
    <t>346,400.00</t>
  </si>
  <si>
    <t>416,951.00</t>
  </si>
  <si>
    <t>1,499,814.60</t>
  </si>
  <si>
    <t>794,000.00</t>
  </si>
  <si>
    <t>76,776.00</t>
  </si>
  <si>
    <t>26,753.87</t>
  </si>
  <si>
    <t>198,750.00</t>
  </si>
  <si>
    <t>171,500.00</t>
  </si>
  <si>
    <t>219,000.00</t>
  </si>
  <si>
    <t>224,000.00</t>
  </si>
  <si>
    <t>17,000.00</t>
  </si>
  <si>
    <t>369,695.00</t>
  </si>
  <si>
    <t>176,550.00</t>
  </si>
  <si>
    <t>135,347.00</t>
  </si>
  <si>
    <t>149,920.00</t>
  </si>
  <si>
    <t>341,005.00</t>
  </si>
  <si>
    <t>199,980.00</t>
  </si>
  <si>
    <t>96,094.50</t>
  </si>
  <si>
    <t>112,530.00</t>
  </si>
  <si>
    <t>82,185.00</t>
  </si>
  <si>
    <t>280,770.00</t>
  </si>
  <si>
    <t>157,683.11</t>
  </si>
  <si>
    <t>1,600.00</t>
  </si>
  <si>
    <t>3,960.00</t>
  </si>
  <si>
    <t>9,708,696.14</t>
  </si>
  <si>
    <t>88,289.71</t>
  </si>
  <si>
    <t>845,000.00</t>
  </si>
  <si>
    <t>10,750.00</t>
  </si>
  <si>
    <t>1,177,296.74</t>
  </si>
  <si>
    <t>59,700.00</t>
  </si>
  <si>
    <t>1,301,750.00</t>
  </si>
  <si>
    <t>5,400.00</t>
  </si>
  <si>
    <t>520,500.00</t>
  </si>
  <si>
    <t>148,666.67</t>
  </si>
  <si>
    <t>56,015.00</t>
  </si>
  <si>
    <t>167,500.00</t>
  </si>
  <si>
    <t>222,893.00</t>
  </si>
  <si>
    <t>56,325.50</t>
  </si>
  <si>
    <t>210,052.00</t>
  </si>
  <si>
    <t>97,166.70</t>
  </si>
  <si>
    <t>311,500.00</t>
  </si>
  <si>
    <t>129,870.00</t>
  </si>
  <si>
    <t>217,990.00</t>
  </si>
  <si>
    <t>1,260.00</t>
  </si>
  <si>
    <t>206,600.00</t>
  </si>
  <si>
    <t>984,196.03</t>
  </si>
  <si>
    <t>61,335.00</t>
  </si>
  <si>
    <t>33,510.00</t>
  </si>
  <si>
    <t>45,390.00</t>
  </si>
  <si>
    <t>99,930.00</t>
  </si>
  <si>
    <t>10,197.00</t>
  </si>
  <si>
    <t>692,746.69</t>
  </si>
  <si>
    <t>210,420.00</t>
  </si>
  <si>
    <t>6,402,200.00</t>
  </si>
  <si>
    <t>301,025.00</t>
  </si>
  <si>
    <t>241,400.00</t>
  </si>
  <si>
    <t>70,500.00</t>
  </si>
  <si>
    <t>776,980.50</t>
  </si>
  <si>
    <t>66,680.29</t>
  </si>
  <si>
    <t>540,937.50</t>
  </si>
  <si>
    <t>3,800.00</t>
  </si>
  <si>
    <t>87,470.00</t>
  </si>
  <si>
    <t>199,200.00</t>
  </si>
  <si>
    <t>405,768.46</t>
  </si>
  <si>
    <t>160,875.00</t>
  </si>
  <si>
    <t>999,675.56</t>
  </si>
  <si>
    <t>298,635.00</t>
  </si>
  <si>
    <t>114,600.00</t>
  </si>
  <si>
    <t>205,600.00</t>
  </si>
  <si>
    <t>18,580.00</t>
  </si>
  <si>
    <t>285,700.00</t>
  </si>
  <si>
    <t>650,943.76</t>
  </si>
  <si>
    <t>222,235.00</t>
  </si>
  <si>
    <t>637,480.00</t>
  </si>
  <si>
    <t>137,000.00</t>
  </si>
  <si>
    <t>400,020.00</t>
  </si>
  <si>
    <t>14,400.00</t>
  </si>
  <si>
    <t>930,123.21</t>
  </si>
  <si>
    <t>199,270.00</t>
  </si>
  <si>
    <t>498,000.00</t>
  </si>
  <si>
    <t>17,961.75</t>
  </si>
  <si>
    <t>74,155.00</t>
  </si>
  <si>
    <t>132,500.00</t>
  </si>
  <si>
    <t>85,600.00</t>
  </si>
  <si>
    <t>145,650.00</t>
  </si>
  <si>
    <t>152,247.00</t>
  </si>
  <si>
    <t>162,800.00</t>
  </si>
  <si>
    <t>258,405.00</t>
  </si>
  <si>
    <t>172,500.00</t>
  </si>
  <si>
    <t>61,429.26</t>
  </si>
  <si>
    <t>600,092.00</t>
  </si>
  <si>
    <t>59,185.00</t>
  </si>
  <si>
    <t>99,100.00</t>
  </si>
  <si>
    <t>1,315,519.00</t>
  </si>
  <si>
    <t>9,500.00</t>
  </si>
  <si>
    <t>46,630.00</t>
  </si>
  <si>
    <t>59,300.00</t>
  </si>
  <si>
    <t>157,963.00</t>
  </si>
  <si>
    <t>262,472.00</t>
  </si>
  <si>
    <t>976,098.92</t>
  </si>
  <si>
    <t>692,134.00</t>
  </si>
  <si>
    <t>2,225,000.00</t>
  </si>
  <si>
    <t>799,924.00</t>
  </si>
  <si>
    <t>3,261,000.00</t>
  </si>
  <si>
    <t>92,450.00</t>
  </si>
  <si>
    <t>194,523.00</t>
  </si>
  <si>
    <t>93,400.00</t>
  </si>
  <si>
    <t>108,220.00</t>
  </si>
  <si>
    <t>18,637.00</t>
  </si>
  <si>
    <t>53,125.00</t>
  </si>
  <si>
    <t>545,351.00</t>
  </si>
  <si>
    <t>171,700.00</t>
  </si>
  <si>
    <t>541,100.00</t>
  </si>
  <si>
    <t>116,262.00</t>
  </si>
  <si>
    <t>940,000.00</t>
  </si>
  <si>
    <t>5,789.00</t>
  </si>
  <si>
    <t>38,450.00</t>
  </si>
  <si>
    <t>247,950.00</t>
  </si>
  <si>
    <t>377,336.00</t>
  </si>
  <si>
    <t>926,965.55</t>
  </si>
  <si>
    <t>455,788.00</t>
  </si>
  <si>
    <t>500,020.00</t>
  </si>
  <si>
    <t>178,450.00</t>
  </si>
  <si>
    <t>191,067.00</t>
  </si>
  <si>
    <t>1,650,000.00</t>
  </si>
  <si>
    <t>144,413.00</t>
  </si>
  <si>
    <t>888,200.00</t>
  </si>
  <si>
    <t>686,755.00</t>
  </si>
  <si>
    <t>617,890.00</t>
  </si>
  <si>
    <t>99,947.25</t>
  </si>
  <si>
    <t>59,748.00</t>
  </si>
  <si>
    <t>375,400.00</t>
  </si>
  <si>
    <t>7,800.00</t>
  </si>
  <si>
    <t>554,800.00</t>
  </si>
  <si>
    <t>619,800.42</t>
  </si>
  <si>
    <t>191,000.00</t>
  </si>
  <si>
    <t>217,687.00</t>
  </si>
  <si>
    <t>699,569.51</t>
  </si>
  <si>
    <t>505,500.00</t>
  </si>
  <si>
    <t>2,800.00</t>
  </si>
  <si>
    <t>588,897.97</t>
  </si>
  <si>
    <t>8,835.00</t>
  </si>
  <si>
    <t>8,950,000.00</t>
  </si>
  <si>
    <t>248,710.00</t>
  </si>
  <si>
    <t>124,091.00</t>
  </si>
  <si>
    <t>164,220.00</t>
  </si>
  <si>
    <t>2,053,500.00</t>
  </si>
  <si>
    <t>153,049.00</t>
  </si>
  <si>
    <t>66,730.00</t>
  </si>
  <si>
    <t>183,566.40</t>
  </si>
  <si>
    <t>15,750.00</t>
  </si>
  <si>
    <t>100,450.00</t>
  </si>
  <si>
    <t>112,560.00</t>
  </si>
  <si>
    <t>4,930.00</t>
  </si>
  <si>
    <t>908,620.00</t>
  </si>
  <si>
    <t>126,688.00</t>
  </si>
  <si>
    <t>1,469,965.85</t>
  </si>
  <si>
    <t>348,750.00</t>
  </si>
  <si>
    <t>296,000.00</t>
  </si>
  <si>
    <t>481,357.35</t>
  </si>
  <si>
    <t>103,500.00</t>
  </si>
  <si>
    <t>281,050.00</t>
  </si>
  <si>
    <t>61,970.00</t>
  </si>
  <si>
    <t>99,172.14</t>
  </si>
  <si>
    <t>237,930.00</t>
  </si>
  <si>
    <t>146,236.00</t>
  </si>
  <si>
    <t>204,975.00</t>
  </si>
  <si>
    <t>11,600.00</t>
  </si>
  <si>
    <t>916,000.00</t>
  </si>
  <si>
    <t>236,300.00</t>
  </si>
  <si>
    <t>53,240.00</t>
  </si>
  <si>
    <t>73,500.00</t>
  </si>
  <si>
    <t>80,895.00</t>
  </si>
  <si>
    <t>55,650.00</t>
  </si>
  <si>
    <t>288,480.00</t>
  </si>
  <si>
    <t>299,793.00</t>
  </si>
  <si>
    <t>55,380.00</t>
  </si>
  <si>
    <t>235,319.00</t>
  </si>
  <si>
    <t>211,430.00</t>
  </si>
  <si>
    <t>335,960.00</t>
  </si>
  <si>
    <t>319,232.00</t>
  </si>
  <si>
    <t>99,945.00</t>
  </si>
  <si>
    <t>338,100.00</t>
  </si>
  <si>
    <t>150,540.00</t>
  </si>
  <si>
    <t>55,400.00</t>
  </si>
  <si>
    <t>68,800.00</t>
  </si>
  <si>
    <t>124,500.00</t>
  </si>
  <si>
    <t>260,586.00</t>
  </si>
  <si>
    <t>500,640.00</t>
  </si>
  <si>
    <t>5,114.75</t>
  </si>
  <si>
    <t>985,000.00</t>
  </si>
  <si>
    <t>299,959.30</t>
  </si>
  <si>
    <t>125,165.00</t>
  </si>
  <si>
    <t>4,970.00</t>
  </si>
  <si>
    <t>123,312.00</t>
  </si>
  <si>
    <t>281,541.52</t>
  </si>
  <si>
    <t>545,000.00</t>
  </si>
  <si>
    <t>920.00</t>
  </si>
  <si>
    <t>13,071.50</t>
  </si>
  <si>
    <t>1,485.00</t>
  </si>
  <si>
    <t>101,431.00</t>
  </si>
  <si>
    <t>449,688.65</t>
  </si>
  <si>
    <t>171,216.42</t>
  </si>
  <si>
    <t>421,235.00</t>
  </si>
  <si>
    <t>3,915,409.87</t>
  </si>
  <si>
    <t>125,300.00</t>
  </si>
  <si>
    <t>138,200.00</t>
  </si>
  <si>
    <t>757,090.00</t>
  </si>
  <si>
    <t>299,577.00</t>
  </si>
  <si>
    <t>284,209.51</t>
  </si>
  <si>
    <t>3,408,975.00</t>
  </si>
  <si>
    <t>8,403.50</t>
  </si>
  <si>
    <t>492,466.11</t>
  </si>
  <si>
    <t>66,154.00</t>
  </si>
  <si>
    <t>1,950,000.00</t>
  </si>
  <si>
    <t>324,740.00</t>
  </si>
  <si>
    <t>71,200.00</t>
  </si>
  <si>
    <t>499,946.79</t>
  </si>
  <si>
    <t>4,790.00</t>
  </si>
  <si>
    <t>17,850.00</t>
  </si>
  <si>
    <t>219,994.00</t>
  </si>
  <si>
    <t>2,000,800.00</t>
  </si>
  <si>
    <t>85,125.00</t>
  </si>
  <si>
    <t>240,550.00</t>
  </si>
  <si>
    <t>68,660.00</t>
  </si>
  <si>
    <t>85,800.00</t>
  </si>
  <si>
    <t>69,324.00</t>
  </si>
  <si>
    <t>499,400.00</t>
  </si>
  <si>
    <t>51,503.00</t>
  </si>
  <si>
    <t>249,956.21</t>
  </si>
  <si>
    <t>692,500.00</t>
  </si>
  <si>
    <t>96,600.00</t>
  </si>
  <si>
    <t>74,100.00</t>
  </si>
  <si>
    <t>1,295,000.00</t>
  </si>
  <si>
    <t>21,942.80</t>
  </si>
  <si>
    <t>808,265.00</t>
  </si>
  <si>
    <t>271,400.00</t>
  </si>
  <si>
    <t>1,267,306.00</t>
  </si>
  <si>
    <t>1,083,882.89</t>
  </si>
  <si>
    <t>129,900.00</t>
  </si>
  <si>
    <t>888,040.00</t>
  </si>
  <si>
    <t>729,324.72</t>
  </si>
  <si>
    <t>195,500.00</t>
  </si>
  <si>
    <t>58,085.00</t>
  </si>
  <si>
    <t>1,499,949.95</t>
  </si>
  <si>
    <t>23,550.00</t>
  </si>
  <si>
    <t>161,500.00</t>
  </si>
  <si>
    <t>217,157.48</t>
  </si>
  <si>
    <t>994,410.00</t>
  </si>
  <si>
    <t>25,000,000.00</t>
  </si>
  <si>
    <t>57,167.64</t>
  </si>
  <si>
    <t>54,600.00</t>
  </si>
  <si>
    <t>499,872.03</t>
  </si>
  <si>
    <t>1,188,509.64</t>
  </si>
  <si>
    <t>1,927,827.00</t>
  </si>
  <si>
    <t>617,582.00</t>
  </si>
  <si>
    <t>391,500.00</t>
  </si>
  <si>
    <t>775,500.00</t>
  </si>
  <si>
    <t>141,996.00</t>
  </si>
  <si>
    <t>594,600.00</t>
  </si>
  <si>
    <t>1,450.00</t>
  </si>
  <si>
    <t>2,916,563.20</t>
  </si>
  <si>
    <t>4,475,000.00</t>
  </si>
  <si>
    <t>432,430.00</t>
  </si>
  <si>
    <t>88,100.00</t>
  </si>
  <si>
    <t>2,650,000.00</t>
  </si>
  <si>
    <t>77,900.00</t>
  </si>
  <si>
    <t>99,929.38</t>
  </si>
  <si>
    <t>101,400.00</t>
  </si>
  <si>
    <t>72,205,000.00</t>
  </si>
  <si>
    <t>276,214.80</t>
  </si>
  <si>
    <t>71,185.00</t>
  </si>
  <si>
    <t>112,500.00</t>
  </si>
  <si>
    <t>248,655.00</t>
  </si>
  <si>
    <t>63,710.00</t>
  </si>
  <si>
    <t>74,997.50</t>
  </si>
  <si>
    <t>3,400,000.00</t>
  </si>
  <si>
    <t>359,225.44</t>
  </si>
  <si>
    <t>20,400.00</t>
  </si>
  <si>
    <t>280,538.57</t>
  </si>
  <si>
    <t>57,600.00</t>
  </si>
  <si>
    <t>10,878,000.00</t>
  </si>
  <si>
    <t>178,528.00</t>
  </si>
  <si>
    <t>354,250.00</t>
  </si>
  <si>
    <t>173,500.00</t>
  </si>
  <si>
    <t>558,530.00</t>
  </si>
  <si>
    <t>444,728.50</t>
  </si>
  <si>
    <t>73,375.00</t>
  </si>
  <si>
    <t>40,000,000.00</t>
  </si>
  <si>
    <t>343,750.00</t>
  </si>
  <si>
    <t>431,596.00</t>
  </si>
  <si>
    <t>152,300.00</t>
  </si>
  <si>
    <t>199,840.00</t>
  </si>
  <si>
    <t>4,127,440.60</t>
  </si>
  <si>
    <t>110,160.00</t>
  </si>
  <si>
    <t>552,236.00</t>
  </si>
  <si>
    <t>2,219,000.00</t>
  </si>
  <si>
    <t>114,125.00</t>
  </si>
  <si>
    <t>113,300.00</t>
  </si>
  <si>
    <t>3,445,000.00</t>
  </si>
  <si>
    <t>255,400.00</t>
  </si>
  <si>
    <t>177,670.00</t>
  </si>
  <si>
    <t>632,006.00</t>
  </si>
  <si>
    <t>152,250.00</t>
  </si>
  <si>
    <t>19,100.00</t>
  </si>
  <si>
    <t>103,000.00</t>
  </si>
  <si>
    <t>29,845.00</t>
  </si>
  <si>
    <t>186,590.75</t>
  </si>
  <si>
    <t>4,770.00</t>
  </si>
  <si>
    <t>292,967.64</t>
  </si>
  <si>
    <t>149,735.12</t>
  </si>
  <si>
    <t>96,250.00</t>
  </si>
  <si>
    <t>82,650.00</t>
  </si>
  <si>
    <t>949,090.91</t>
  </si>
  <si>
    <t>96,470.60</t>
  </si>
  <si>
    <t>199,749.90</t>
  </si>
  <si>
    <t>4,492,742.23</t>
  </si>
  <si>
    <t>116,892.00</t>
  </si>
  <si>
    <t>1,070,304.42</t>
  </si>
  <si>
    <t>92,501.00</t>
  </si>
  <si>
    <t>532,000.00</t>
  </si>
  <si>
    <t>91,500.00</t>
  </si>
  <si>
    <t>55,401.39</t>
  </si>
  <si>
    <t>1,878,251.47</t>
  </si>
  <si>
    <t>499,970.62</t>
  </si>
  <si>
    <t>179,600.00</t>
  </si>
  <si>
    <t>229,450.00</t>
  </si>
  <si>
    <t>404,792.50</t>
  </si>
  <si>
    <t>446,413.28</t>
  </si>
  <si>
    <t>170,789.55</t>
  </si>
  <si>
    <t>457,420.00</t>
  </si>
  <si>
    <t>82,823.00</t>
  </si>
  <si>
    <t>15,000,000.00</t>
  </si>
  <si>
    <t>283,000.00</t>
  </si>
  <si>
    <t>147,126.00</t>
  </si>
  <si>
    <t>65,200.00</t>
  </si>
  <si>
    <t>110,645.00</t>
  </si>
  <si>
    <t>129,888.00</t>
  </si>
  <si>
    <t>80,280.00</t>
  </si>
  <si>
    <t>157,700.00</t>
  </si>
  <si>
    <t>199,900.00</t>
  </si>
  <si>
    <t>61,800.00</t>
  </si>
  <si>
    <t>52,920.00</t>
  </si>
  <si>
    <t>584,775.00</t>
  </si>
  <si>
    <t>304,000.00</t>
  </si>
  <si>
    <t>109,105.00</t>
  </si>
  <si>
    <t>400,040.00</t>
  </si>
  <si>
    <t>608,200.00</t>
  </si>
  <si>
    <t>312,350.00</t>
  </si>
  <si>
    <t>1,523,377.32</t>
  </si>
  <si>
    <t>22,000.00</t>
  </si>
  <si>
    <t>61,775.00</t>
  </si>
  <si>
    <t>65,400.00</t>
  </si>
  <si>
    <t>75,450.00</t>
  </si>
  <si>
    <t>374,190.27</t>
  </si>
  <si>
    <t>124,208.00</t>
  </si>
  <si>
    <t>79,320.00</t>
  </si>
  <si>
    <t>649,900.00</t>
  </si>
  <si>
    <t>106,020.00</t>
  </si>
  <si>
    <t>37,020.00</t>
  </si>
  <si>
    <t>197,600.00</t>
  </si>
  <si>
    <t>89,375.00</t>
  </si>
  <si>
    <t>307,320.87</t>
  </si>
  <si>
    <t>560,000.00</t>
  </si>
  <si>
    <t>93,920.00</t>
  </si>
  <si>
    <t>634,414.00</t>
  </si>
  <si>
    <t>20,666.50</t>
  </si>
  <si>
    <t>50,260.00</t>
  </si>
  <si>
    <t>2,207,653.46</t>
  </si>
  <si>
    <t>66,780.00</t>
  </si>
  <si>
    <t>1,590.00</t>
  </si>
  <si>
    <t>157,762.90</t>
  </si>
  <si>
    <t>833,546.00</t>
  </si>
  <si>
    <t>77,761.00</t>
  </si>
  <si>
    <t>193,960,000.00</t>
  </si>
  <si>
    <t>689,800.00</t>
  </si>
  <si>
    <t>133,600.00</t>
  </si>
  <si>
    <t>2,139,445.67</t>
  </si>
  <si>
    <t>81,685.62</t>
  </si>
  <si>
    <t>1,617,730.29</t>
  </si>
  <si>
    <t>1.00</t>
  </si>
  <si>
    <t>79,950.00</t>
  </si>
  <si>
    <t>999,750.00</t>
  </si>
  <si>
    <t>29,062.00</t>
  </si>
  <si>
    <t>246,650.00</t>
  </si>
  <si>
    <t>1,158,000.00</t>
  </si>
  <si>
    <t>351,225.00</t>
  </si>
  <si>
    <t>546,549.00</t>
  </si>
  <si>
    <t>61,490.00</t>
  </si>
  <si>
    <t>50,850.00</t>
  </si>
  <si>
    <t>153,900.00</t>
  </si>
  <si>
    <t>329,844.05</t>
  </si>
  <si>
    <t>127,391.24</t>
  </si>
  <si>
    <t>692,161.60</t>
  </si>
  <si>
    <t>143,800.00</t>
  </si>
  <si>
    <t>204,301.00</t>
  </si>
  <si>
    <t>72,735.00</t>
  </si>
  <si>
    <t>499,903.88</t>
  </si>
  <si>
    <t>20,700.00</t>
  </si>
  <si>
    <t>69,800.00</t>
  </si>
  <si>
    <t>30,997.10</t>
  </si>
  <si>
    <t>3,200.00</t>
  </si>
  <si>
    <t>199,992.50</t>
  </si>
  <si>
    <t>1,488,834.00</t>
  </si>
  <si>
    <t>22,368.00</t>
  </si>
  <si>
    <t>65,630.00</t>
  </si>
  <si>
    <t>499,992.69</t>
  </si>
  <si>
    <t>299,880.00</t>
  </si>
  <si>
    <t>59,587.21</t>
  </si>
  <si>
    <t>499,919.85</t>
  </si>
  <si>
    <t>1,199,872.92</t>
  </si>
  <si>
    <t>70,040.00</t>
  </si>
  <si>
    <t>27,000.00</t>
  </si>
  <si>
    <t>518,000.00</t>
  </si>
  <si>
    <t>63,610.00</t>
  </si>
  <si>
    <t>678,021.00</t>
  </si>
  <si>
    <t>78,070.00</t>
  </si>
  <si>
    <t>447,505.00</t>
  </si>
  <si>
    <t>116,815.00</t>
  </si>
  <si>
    <t>549,761.10</t>
  </si>
  <si>
    <t>139,940.00</t>
  </si>
  <si>
    <t>189,844.20</t>
  </si>
  <si>
    <t>175,750.00</t>
  </si>
  <si>
    <t>751,521.25</t>
  </si>
  <si>
    <t>161,413.63</t>
  </si>
  <si>
    <t>2,014,700.00</t>
  </si>
  <si>
    <t>119,026.00</t>
  </si>
  <si>
    <t>335,231.76</t>
  </si>
  <si>
    <t>216,616.00</t>
  </si>
  <si>
    <t>7,184.00</t>
  </si>
  <si>
    <t>136,987.00</t>
  </si>
  <si>
    <t>432,036.04</t>
  </si>
  <si>
    <t>76,800.00</t>
  </si>
  <si>
    <t>309,736.00</t>
  </si>
  <si>
    <t>69,200.00</t>
  </si>
  <si>
    <t>1,199,763.12</t>
  </si>
  <si>
    <t>455,680.00</t>
  </si>
  <si>
    <t>116,800.00</t>
  </si>
  <si>
    <t>320,400.00</t>
  </si>
  <si>
    <t>495,449.06</t>
  </si>
  <si>
    <t>235,480.00</t>
  </si>
  <si>
    <t>97,750.00</t>
  </si>
  <si>
    <t>19,729,056.51</t>
  </si>
  <si>
    <t>1,165,512.94</t>
  </si>
  <si>
    <t>63,645.00</t>
  </si>
  <si>
    <t>625,617.00</t>
  </si>
  <si>
    <t>132,650.00</t>
  </si>
  <si>
    <t>31,200.00</t>
  </si>
  <si>
    <t>86,690.00</t>
  </si>
  <si>
    <t>248,400.00</t>
  </si>
  <si>
    <t>699,967.05</t>
  </si>
  <si>
    <t>13,807,000.00</t>
  </si>
  <si>
    <t>84,600.00</t>
  </si>
  <si>
    <t>499,985.88</t>
  </si>
  <si>
    <t>62,670.00</t>
  </si>
  <si>
    <t>3,900,000.00</t>
  </si>
  <si>
    <t>46,140.00</t>
  </si>
  <si>
    <t>148,500.00</t>
  </si>
  <si>
    <t>499,877.44</t>
  </si>
  <si>
    <t>78,504.15</t>
  </si>
  <si>
    <t>11,919,966.10</t>
  </si>
  <si>
    <t>85,812.30</t>
  </si>
  <si>
    <t>16,250.00</t>
  </si>
  <si>
    <t>51,250.00</t>
  </si>
  <si>
    <t>785,048.00</t>
  </si>
  <si>
    <t>3,860.00</t>
  </si>
  <si>
    <t>21,466,200.00</t>
  </si>
  <si>
    <t>413,650.00</t>
  </si>
  <si>
    <t>459,350.00</t>
  </si>
  <si>
    <t>4,989,403.09</t>
  </si>
  <si>
    <t>49,060.00</t>
  </si>
  <si>
    <t>29,669,273.35</t>
  </si>
  <si>
    <t>146,800.00</t>
  </si>
  <si>
    <t>70,736.00</t>
  </si>
  <si>
    <t>11,005,392.85</t>
  </si>
  <si>
    <t>817,650.00</t>
  </si>
  <si>
    <t>1,397,000.00</t>
  </si>
  <si>
    <t>199,266.30</t>
  </si>
  <si>
    <t>75,718.32</t>
  </si>
  <si>
    <t>1,473,076.24</t>
  </si>
  <si>
    <t>202,976.59</t>
  </si>
  <si>
    <t>499,990.35</t>
  </si>
  <si>
    <t>103,200.00</t>
  </si>
  <si>
    <t>226,006.19</t>
  </si>
  <si>
    <t>760,000.00</t>
  </si>
  <si>
    <t>77,143.00</t>
  </si>
  <si>
    <t>76,915.00</t>
  </si>
  <si>
    <t>1,454,419.78</t>
  </si>
  <si>
    <t>76,400.00</t>
  </si>
  <si>
    <t>971,399.21</t>
  </si>
  <si>
    <t>1,474,382.55</t>
  </si>
  <si>
    <t>212,303.10</t>
  </si>
  <si>
    <t>359,100.00</t>
  </si>
  <si>
    <t>329,245.00</t>
  </si>
  <si>
    <t>1,410,000.00</t>
  </si>
  <si>
    <t>51,690.00</t>
  </si>
  <si>
    <t>1,880,269.55</t>
  </si>
  <si>
    <t>114,214.00</t>
  </si>
  <si>
    <t>1,961,834.29</t>
  </si>
  <si>
    <t>675,000.00</t>
  </si>
  <si>
    <t>799,994.00</t>
  </si>
  <si>
    <t>11,681,069.30</t>
  </si>
  <si>
    <t>334,825.92</t>
  </si>
  <si>
    <t>10,350.00</t>
  </si>
  <si>
    <t>100,495,000.00</t>
  </si>
  <si>
    <t>10,422.00</t>
  </si>
  <si>
    <t>657,829.82</t>
  </si>
  <si>
    <t>7,320,968.20</t>
  </si>
  <si>
    <t>1,962,498.71</t>
  </si>
  <si>
    <t>44,010.00</t>
  </si>
  <si>
    <t>2,888,799.37</t>
  </si>
  <si>
    <t>138,705.00</t>
  </si>
  <si>
    <t>46,800.00</t>
  </si>
  <si>
    <t>145,676.00</t>
  </si>
  <si>
    <t>102,000.00</t>
  </si>
  <si>
    <t>24,564.00</t>
  </si>
  <si>
    <t>344,616.30</t>
  </si>
  <si>
    <t>687,500.00</t>
  </si>
  <si>
    <t>572,300.00</t>
  </si>
  <si>
    <t>9,600,000.00</t>
  </si>
  <si>
    <t>74,943.00</t>
  </si>
  <si>
    <t>744,300.00</t>
  </si>
  <si>
    <t>657,600.00</t>
  </si>
  <si>
    <t>47,085.00</t>
  </si>
  <si>
    <t>10,326,000.00</t>
  </si>
  <si>
    <t>114,912.00</t>
  </si>
  <si>
    <t>342,400.00</t>
  </si>
  <si>
    <t>260,061.54</t>
  </si>
  <si>
    <t>299,967.00</t>
  </si>
  <si>
    <t>15,533,070.00</t>
  </si>
  <si>
    <t>664,128.54</t>
  </si>
  <si>
    <t>299,952.00</t>
  </si>
  <si>
    <t>168,932.00</t>
  </si>
  <si>
    <t>492,500.00</t>
  </si>
  <si>
    <t>490,644.00</t>
  </si>
  <si>
    <t>620,152.20</t>
  </si>
  <si>
    <t>2,823,316.31</t>
  </si>
  <si>
    <t>93,800.00</t>
  </si>
  <si>
    <t>3,137,117.42</t>
  </si>
  <si>
    <t>100,991.00</t>
  </si>
  <si>
    <t>2,485,785.00</t>
  </si>
  <si>
    <t>462,625.00</t>
  </si>
  <si>
    <t>937,760.00</t>
  </si>
  <si>
    <t>79,045.76</t>
  </si>
  <si>
    <t>247,500.00</t>
  </si>
  <si>
    <t>5,880,000.00</t>
  </si>
  <si>
    <t>35,900.00</t>
  </si>
  <si>
    <t>528,200.00</t>
  </si>
  <si>
    <t>159,786.00</t>
  </si>
  <si>
    <t>1,448,205.93</t>
  </si>
  <si>
    <t>11,450.00</t>
  </si>
  <si>
    <t>173,059.00</t>
  </si>
  <si>
    <t>118,660.00</t>
  </si>
  <si>
    <t>54,760.00</t>
  </si>
  <si>
    <t>95,248.50</t>
  </si>
  <si>
    <t>216,000.00</t>
  </si>
  <si>
    <t>141,614.50</t>
  </si>
  <si>
    <t>7,791,980.00</t>
  </si>
  <si>
    <t>913,077.45</t>
  </si>
  <si>
    <t>1,180,000.00</t>
  </si>
  <si>
    <t>1,408,000.00</t>
  </si>
  <si>
    <t>301,790.00</t>
  </si>
  <si>
    <t>106,800.00</t>
  </si>
  <si>
    <t>272,360.76</t>
  </si>
  <si>
    <t>510,000.00</t>
  </si>
  <si>
    <t>132,548.00</t>
  </si>
  <si>
    <t>314,640.00</t>
  </si>
  <si>
    <t>49,265.00</t>
  </si>
  <si>
    <t>1,539,625.00</t>
  </si>
  <si>
    <t>1,016,468.00</t>
  </si>
  <si>
    <t>20,500.00</t>
  </si>
  <si>
    <t>227,350.00</t>
  </si>
  <si>
    <t>99,820.00</t>
  </si>
  <si>
    <t>41,300.00</t>
  </si>
  <si>
    <t>53,400.00</t>
  </si>
  <si>
    <t>131,293.00</t>
  </si>
  <si>
    <t>24,750,000.00</t>
  </si>
  <si>
    <t>261,785.00</t>
  </si>
  <si>
    <t>100,774.00</t>
  </si>
  <si>
    <t>438,311.60</t>
  </si>
  <si>
    <t>105,600.00</t>
  </si>
  <si>
    <t>219,170.00</t>
  </si>
  <si>
    <t>63,888.00</t>
  </si>
  <si>
    <t>1,108,177.72</t>
  </si>
  <si>
    <t>167,950.00</t>
  </si>
  <si>
    <t>399,507.00</t>
  </si>
  <si>
    <t>303,000.00</t>
  </si>
  <si>
    <t>164,989.00</t>
  </si>
  <si>
    <t>2,230,099.54</t>
  </si>
  <si>
    <t>77,725.00</t>
  </si>
  <si>
    <t>91,052.73</t>
  </si>
  <si>
    <t>220,752.00</t>
  </si>
  <si>
    <t>838,845.00</t>
  </si>
  <si>
    <t>17,640,000.00</t>
  </si>
  <si>
    <t>66,500.00</t>
  </si>
  <si>
    <t>59,996.00</t>
  </si>
  <si>
    <t>167,395.00</t>
  </si>
  <si>
    <t>199,997.75</t>
  </si>
  <si>
    <t>761,100.00</t>
  </si>
  <si>
    <t>14,700,000.00</t>
  </si>
  <si>
    <t>712,000.00</t>
  </si>
  <si>
    <t>74,995.00</t>
  </si>
  <si>
    <t>10,700.00</t>
  </si>
  <si>
    <t>135,674.00</t>
  </si>
  <si>
    <t>67,312.25</t>
  </si>
  <si>
    <t>16,393.00</t>
  </si>
  <si>
    <t>57,415.70</t>
  </si>
  <si>
    <t>72,240.00</t>
  </si>
  <si>
    <t>7,350,000.00</t>
  </si>
  <si>
    <t>2,065,702.00</t>
  </si>
  <si>
    <t>444,504.85</t>
  </si>
  <si>
    <t>3,373,349.35</t>
  </si>
  <si>
    <t>1,950,550.64</t>
  </si>
  <si>
    <t>153,300.00</t>
  </si>
  <si>
    <t>12,491.00</t>
  </si>
  <si>
    <t>17,606.00</t>
  </si>
  <si>
    <t>207,703.84</t>
  </si>
  <si>
    <t>868,761.80</t>
  </si>
  <si>
    <t>69,480.00</t>
  </si>
  <si>
    <t>248,900.00</t>
  </si>
  <si>
    <t>174,054.20</t>
  </si>
  <si>
    <t>16,815.00</t>
  </si>
  <si>
    <t>91,200.00</t>
  </si>
  <si>
    <t>379,500.00</t>
  </si>
  <si>
    <t>55,270.00</t>
  </si>
  <si>
    <t>33,976.00</t>
  </si>
  <si>
    <t>207,340.24</t>
  </si>
  <si>
    <t>204,100.00</t>
  </si>
  <si>
    <t>2,965,903.12</t>
  </si>
  <si>
    <t>60,668.00</t>
  </si>
  <si>
    <t>856,959.00</t>
  </si>
  <si>
    <t>202,926.40</t>
  </si>
  <si>
    <t>241,500.00</t>
  </si>
  <si>
    <t>61,300.00</t>
  </si>
  <si>
    <t>469,000.00</t>
  </si>
  <si>
    <t>9,620.00</t>
  </si>
  <si>
    <t>11,500,000.00</t>
  </si>
  <si>
    <t>240,186.17</t>
  </si>
  <si>
    <t>54,813.00</t>
  </si>
  <si>
    <t>898,000.00</t>
  </si>
  <si>
    <t>1,155,217.00</t>
  </si>
  <si>
    <t>754,064.08</t>
  </si>
  <si>
    <t>312,476.50</t>
  </si>
  <si>
    <t>5,756,437.64</t>
  </si>
  <si>
    <t>1,600,000.00</t>
  </si>
  <si>
    <t>389,142.49</t>
  </si>
  <si>
    <t>2,099,298.88</t>
  </si>
  <si>
    <t>82,594.00</t>
  </si>
  <si>
    <t>239,990.35</t>
  </si>
  <si>
    <t>2,467,745.00</t>
  </si>
  <si>
    <t>34,999.50</t>
  </si>
  <si>
    <t>934,550.00</t>
  </si>
  <si>
    <t>547,302.00</t>
  </si>
  <si>
    <t>851,000.00</t>
  </si>
  <si>
    <t>292,250.00</t>
  </si>
  <si>
    <t>570,800.00</t>
  </si>
  <si>
    <t>187,000.00</t>
  </si>
  <si>
    <t>109,720.00</t>
  </si>
  <si>
    <t>666,000.00</t>
  </si>
  <si>
    <t>116,060.00</t>
  </si>
  <si>
    <t>772,000.00</t>
  </si>
  <si>
    <t>423,185.00</t>
  </si>
  <si>
    <t>281,390.00</t>
  </si>
  <si>
    <t>77,030.00</t>
  </si>
  <si>
    <t>959,720.88</t>
  </si>
  <si>
    <t>53,800.00</t>
  </si>
  <si>
    <t>56,525.00</t>
  </si>
  <si>
    <t>5,093,825.35</t>
  </si>
  <si>
    <t>398,424.65</t>
  </si>
  <si>
    <t>64,388.50</t>
  </si>
  <si>
    <t>224,662.25</t>
  </si>
  <si>
    <t>708,087.25</t>
  </si>
  <si>
    <t>116,940.00</t>
  </si>
  <si>
    <t>95,500.00</t>
  </si>
  <si>
    <t>398,881.42</t>
  </si>
  <si>
    <t>106,900.00</t>
  </si>
  <si>
    <t>997,742.86</t>
  </si>
  <si>
    <t>68,930.00</t>
  </si>
  <si>
    <t>911,497.30</t>
  </si>
  <si>
    <t>445,150.00</t>
  </si>
  <si>
    <t>450,679.86</t>
  </si>
  <si>
    <t>134,100.00</t>
  </si>
  <si>
    <t>79,755.00</t>
  </si>
  <si>
    <t>1,153,000.00</t>
  </si>
  <si>
    <t>22,267.00</t>
  </si>
  <si>
    <t>590,000.00</t>
  </si>
  <si>
    <t>74,180.00</t>
  </si>
  <si>
    <t>79,900.00</t>
  </si>
  <si>
    <t>60,138.64</t>
  </si>
  <si>
    <t>920,000.00</t>
  </si>
  <si>
    <t>53,610.00</t>
  </si>
  <si>
    <t>50,990.00</t>
  </si>
  <si>
    <t>63,720.00</t>
  </si>
  <si>
    <t>618,230.00</t>
  </si>
  <si>
    <t>572,414.00</t>
  </si>
  <si>
    <t>36,778.20</t>
  </si>
  <si>
    <t>20,575.00</t>
  </si>
  <si>
    <t>883,000.00</t>
  </si>
  <si>
    <t>112,800.00</t>
  </si>
  <si>
    <t>120,150.00</t>
  </si>
  <si>
    <t>584,000.00</t>
  </si>
  <si>
    <t>194,870.00</t>
  </si>
  <si>
    <t>101,600.00</t>
  </si>
  <si>
    <t>261,800.00</t>
  </si>
  <si>
    <t>868,000.00</t>
  </si>
  <si>
    <t>499,754.84</t>
  </si>
  <si>
    <t>197,800.00</t>
  </si>
  <si>
    <t>90,950.00</t>
  </si>
  <si>
    <t>350,370.00</t>
  </si>
  <si>
    <t>99,950.00</t>
  </si>
  <si>
    <t>34,920.00</t>
  </si>
  <si>
    <t>1,185,000.00</t>
  </si>
  <si>
    <t>45,000,000.00</t>
  </si>
  <si>
    <t>79,027.00</t>
  </si>
  <si>
    <t>124,245.00</t>
  </si>
  <si>
    <t>29,184.00</t>
  </si>
  <si>
    <t>64,706,962.68</t>
  </si>
  <si>
    <t>876,362.00</t>
  </si>
  <si>
    <t>58,135.00</t>
  </si>
  <si>
    <t>179,000.00</t>
  </si>
  <si>
    <t>331,565.00</t>
  </si>
  <si>
    <t>584,124.00</t>
  </si>
  <si>
    <t>1,499,994.00</t>
  </si>
  <si>
    <t>999,997.95</t>
  </si>
  <si>
    <t>886,892.00</t>
  </si>
  <si>
    <t>999,983.12</t>
  </si>
  <si>
    <t>11,700,957.10</t>
  </si>
  <si>
    <t>48,945.00</t>
  </si>
  <si>
    <t>730,507.00</t>
  </si>
  <si>
    <t>950,190.00</t>
  </si>
  <si>
    <t>728,052.00</t>
  </si>
  <si>
    <t>635,000.00</t>
  </si>
  <si>
    <t>411,166.00</t>
  </si>
  <si>
    <t>553,880.00</t>
  </si>
  <si>
    <t>66,600.00</t>
  </si>
  <si>
    <t>86,360.00</t>
  </si>
  <si>
    <t>77,300.00</t>
  </si>
  <si>
    <t>1,190,000.00</t>
  </si>
  <si>
    <t>695,350.00</t>
  </si>
  <si>
    <t>69,125.00</t>
  </si>
  <si>
    <t>51,605.00</t>
  </si>
  <si>
    <t>6,935,000.00</t>
  </si>
  <si>
    <t>744,528.00</t>
  </si>
  <si>
    <t>191,925.00</t>
  </si>
  <si>
    <t>1,232,082.10</t>
  </si>
  <si>
    <t>87,200.00</t>
  </si>
  <si>
    <t>59,884.00</t>
  </si>
  <si>
    <t>183,250.00</t>
  </si>
  <si>
    <t>167,516.00</t>
  </si>
  <si>
    <t>297,500.00</t>
  </si>
  <si>
    <t>995,000.00</t>
  </si>
  <si>
    <t>198,946.99</t>
  </si>
  <si>
    <t>34,112,590.31</t>
  </si>
  <si>
    <t>273,149.20</t>
  </si>
  <si>
    <t>506,987.00</t>
  </si>
  <si>
    <t>198,135.00</t>
  </si>
  <si>
    <t>23,672,820.00</t>
  </si>
  <si>
    <t>763,099.44</t>
  </si>
  <si>
    <t>152,365.00</t>
  </si>
  <si>
    <t>368,619.50</t>
  </si>
  <si>
    <t>242,382.70</t>
  </si>
  <si>
    <t>4,928,626.71</t>
  </si>
  <si>
    <t>97,714.81</t>
  </si>
  <si>
    <t>193,906.16</t>
  </si>
  <si>
    <t>99,965.00</t>
  </si>
  <si>
    <t>29,600.00</t>
  </si>
  <si>
    <t>39,360.00</t>
  </si>
  <si>
    <t>237,900.00</t>
  </si>
  <si>
    <t>64,950.00</t>
  </si>
  <si>
    <t>499,970.00</t>
  </si>
  <si>
    <t>77,620.00</t>
  </si>
  <si>
    <t>3,973,619.00</t>
  </si>
  <si>
    <t>5,520.00</t>
  </si>
  <si>
    <t>452,800.00</t>
  </si>
  <si>
    <t>199,871.08</t>
  </si>
  <si>
    <t>156,228.00</t>
  </si>
  <si>
    <t>183,867.37</t>
  </si>
  <si>
    <t>105,843.75</t>
  </si>
  <si>
    <t>931,500.00</t>
  </si>
  <si>
    <t>499,423.38</t>
  </si>
  <si>
    <t>498,191.38</t>
  </si>
  <si>
    <t>499,223.05</t>
  </si>
  <si>
    <t>2,750,000.00</t>
  </si>
  <si>
    <t>498,935.62</t>
  </si>
  <si>
    <t>1,999,975.70</t>
  </si>
  <si>
    <t>788,970.44</t>
  </si>
  <si>
    <t>193,735.88</t>
  </si>
  <si>
    <t>100,169.32</t>
  </si>
  <si>
    <t>135,575.00</t>
  </si>
  <si>
    <t>64,911.00</t>
  </si>
  <si>
    <t>663,419.00</t>
  </si>
  <si>
    <t>355,960.00</t>
  </si>
  <si>
    <t>270,992.00</t>
  </si>
  <si>
    <t>309,300.00</t>
  </si>
  <si>
    <t>10,400,000.00</t>
  </si>
  <si>
    <t>699,678.51</t>
  </si>
  <si>
    <t>587,324.90</t>
  </si>
  <si>
    <t>999,450.00</t>
  </si>
  <si>
    <t>144,760.00</t>
  </si>
  <si>
    <t>956,450.00</t>
  </si>
  <si>
    <t>645,076.00</t>
  </si>
  <si>
    <t>378,000.00</t>
  </si>
  <si>
    <t>669,800.00</t>
  </si>
  <si>
    <t>90,866.00</t>
  </si>
  <si>
    <t>387,990.00</t>
  </si>
  <si>
    <t>70,420.00</t>
  </si>
  <si>
    <t>290,975.54</t>
  </si>
  <si>
    <t>630,080.00</t>
  </si>
  <si>
    <t>202,800.00</t>
  </si>
  <si>
    <t>499,959.79</t>
  </si>
  <si>
    <t>180,677.50</t>
  </si>
  <si>
    <t>316,286.05</t>
  </si>
  <si>
    <t>1,377,270.00</t>
  </si>
  <si>
    <t>78,397.00</t>
  </si>
  <si>
    <t>93,393.00</t>
  </si>
  <si>
    <t>55,805.00</t>
  </si>
  <si>
    <t>49,980.00</t>
  </si>
  <si>
    <t>99,977.00</t>
  </si>
  <si>
    <t>384,925.00</t>
  </si>
  <si>
    <t>493,420.00</t>
  </si>
  <si>
    <t>1,547,300.00</t>
  </si>
  <si>
    <t>84,984.00</t>
  </si>
  <si>
    <t>401,945.00</t>
  </si>
  <si>
    <t>299,200.00</t>
  </si>
  <si>
    <t>655,500.00</t>
  </si>
  <si>
    <t>80,100.00</t>
  </si>
  <si>
    <t>259,000.00</t>
  </si>
  <si>
    <t>187,106.00</t>
  </si>
  <si>
    <t>633,000.00</t>
  </si>
  <si>
    <t>63,350.00</t>
  </si>
  <si>
    <t>2,959,157.13</t>
  </si>
  <si>
    <t>116,000.00</t>
  </si>
  <si>
    <t>239,175.00</t>
  </si>
  <si>
    <t>439,380.99</t>
  </si>
  <si>
    <t>140,600.00</t>
  </si>
  <si>
    <t>150,300.00</t>
  </si>
  <si>
    <t>12,373,992.00</t>
  </si>
  <si>
    <t>76,500.00</t>
  </si>
  <si>
    <t>50,274.00</t>
  </si>
  <si>
    <t>467,825.15</t>
  </si>
  <si>
    <t>1,999,811.94</t>
  </si>
  <si>
    <t>352,510.00</t>
  </si>
  <si>
    <t>548,230.00</t>
  </si>
  <si>
    <t>98,800.00</t>
  </si>
  <si>
    <t>233,445.00</t>
  </si>
  <si>
    <t>4,996,600.00</t>
  </si>
  <si>
    <t>6,155,000.00</t>
  </si>
  <si>
    <t>266,550.00</t>
  </si>
  <si>
    <t>34,986,399.36</t>
  </si>
  <si>
    <t>4,086,775.00</t>
  </si>
  <si>
    <t>131,800.00</t>
  </si>
  <si>
    <t>207,450.00</t>
  </si>
  <si>
    <t>78,840.00</t>
  </si>
  <si>
    <t>166,723.00</t>
  </si>
  <si>
    <t>122,444.00</t>
  </si>
  <si>
    <t>60,928.35</t>
  </si>
  <si>
    <t>175,792.00</t>
  </si>
  <si>
    <t>323,495.00</t>
  </si>
  <si>
    <t>149,850.00</t>
  </si>
  <si>
    <t>3,095,000.00</t>
  </si>
  <si>
    <t>297,250.00</t>
  </si>
  <si>
    <t>207,500.00</t>
  </si>
  <si>
    <t>59,373.00</t>
  </si>
  <si>
    <t>491,320.00</t>
  </si>
  <si>
    <t>771,535.00</t>
  </si>
  <si>
    <t>84,800.00</t>
  </si>
  <si>
    <t>99,875.00</t>
  </si>
  <si>
    <t>72,865.00</t>
  </si>
  <si>
    <t>1,674,792.00</t>
  </si>
  <si>
    <t>942,662.00</t>
  </si>
  <si>
    <t>500,110.00</t>
  </si>
  <si>
    <t>23,500,000.00</t>
  </si>
  <si>
    <t>882,000.00</t>
  </si>
  <si>
    <t>430,950.00</t>
  </si>
  <si>
    <t>34,750,000.00</t>
  </si>
  <si>
    <t>93,500.00</t>
  </si>
  <si>
    <t>81,050.00</t>
  </si>
  <si>
    <t>16,119,108.75</t>
  </si>
  <si>
    <t>190,500.00</t>
  </si>
  <si>
    <t>28,252,433.41</t>
  </si>
  <si>
    <t>480,180.00</t>
  </si>
  <si>
    <t>404,812.32</t>
  </si>
  <si>
    <t>450,450.00</t>
  </si>
  <si>
    <t>127,150.00</t>
  </si>
  <si>
    <t>318,800.00</t>
  </si>
  <si>
    <t>399,043.00</t>
  </si>
  <si>
    <t>10,840,000.00</t>
  </si>
  <si>
    <t>4,128,455.38</t>
  </si>
  <si>
    <t>2,006,436.08</t>
  </si>
  <si>
    <t>569,000.00</t>
  </si>
  <si>
    <t>4,154,000.00</t>
  </si>
  <si>
    <t>204,939.33</t>
  </si>
  <si>
    <t>136,163.00</t>
  </si>
  <si>
    <t>191,918.48</t>
  </si>
  <si>
    <t>92,323.00</t>
  </si>
  <si>
    <t>93,676.00</t>
  </si>
  <si>
    <t>966,700.50</t>
  </si>
  <si>
    <t>101,550.00</t>
  </si>
  <si>
    <t>70,963.20</t>
  </si>
  <si>
    <t>1,920.00</t>
  </si>
  <si>
    <t>222,260.00</t>
  </si>
  <si>
    <t>1,364,624.00</t>
  </si>
  <si>
    <t>518,750.00</t>
  </si>
  <si>
    <t>16,564.60</t>
  </si>
  <si>
    <t>24,418,328.31</t>
  </si>
  <si>
    <t>499,307.81</t>
  </si>
  <si>
    <t>213,000.00</t>
  </si>
  <si>
    <t>998,668.13</t>
  </si>
  <si>
    <t>486,250.00</t>
  </si>
  <si>
    <t>4,814,806.50</t>
  </si>
  <si>
    <t>499,240.88</t>
  </si>
  <si>
    <t>499,865.63</t>
  </si>
  <si>
    <t>699,109.69</t>
  </si>
  <si>
    <t>2,688,240.00</t>
  </si>
  <si>
    <t>103,529.00</t>
  </si>
  <si>
    <t>499,800.00</t>
  </si>
  <si>
    <t>2,498,494.69</t>
  </si>
  <si>
    <t>385,000.00</t>
  </si>
  <si>
    <t>828,600.94</t>
  </si>
  <si>
    <t>862,000.00</t>
  </si>
  <si>
    <t>12,136,400.25</t>
  </si>
  <si>
    <t>2,479,248.95</t>
  </si>
  <si>
    <t>29,976,324.60</t>
  </si>
  <si>
    <t>499,434.80</t>
  </si>
  <si>
    <t>87,073.33</t>
  </si>
  <si>
    <t>2,501,250.00</t>
  </si>
  <si>
    <t>576,000.00</t>
  </si>
  <si>
    <t>348,190.89</t>
  </si>
  <si>
    <t>1,486,935.51</t>
  </si>
  <si>
    <t>112,968,500.00</t>
  </si>
  <si>
    <t>557,522.00</t>
  </si>
  <si>
    <t>832,034.04</t>
  </si>
  <si>
    <t>191,860.00</t>
  </si>
  <si>
    <t>1,307,437.00</t>
  </si>
  <si>
    <t>309,745.00</t>
  </si>
  <si>
    <t>404,000.00</t>
  </si>
  <si>
    <t>128,116.00</t>
  </si>
  <si>
    <t>1,551,902.00</t>
  </si>
  <si>
    <t>351,888.50</t>
  </si>
  <si>
    <t>235,621.00</t>
  </si>
  <si>
    <t>99,939.00</t>
  </si>
  <si>
    <t>157,000.00</t>
  </si>
  <si>
    <t>238,750.00</t>
  </si>
  <si>
    <t>463,690.00</t>
  </si>
  <si>
    <t>229,388.06</t>
  </si>
  <si>
    <t>247,000.00</t>
  </si>
  <si>
    <t>139,840.00</t>
  </si>
  <si>
    <t>393,000.00</t>
  </si>
  <si>
    <t>287,500.00</t>
  </si>
  <si>
    <t>95,720.00</t>
  </si>
  <si>
    <t>691,500.00</t>
  </si>
  <si>
    <t>977,707.50</t>
  </si>
  <si>
    <t>709,495.00</t>
  </si>
  <si>
    <t>91,300.00</t>
  </si>
  <si>
    <t>1,087,541.25</t>
  </si>
  <si>
    <t>48,959.20</t>
  </si>
  <si>
    <t>500.00</t>
  </si>
  <si>
    <t>438,500.00</t>
  </si>
  <si>
    <t>5,697,879.03</t>
  </si>
  <si>
    <t>106,171.00</t>
  </si>
  <si>
    <t>5,996,422.03</t>
  </si>
  <si>
    <t>2,310,370.62</t>
  </si>
  <si>
    <t>201,600.00</t>
  </si>
  <si>
    <t>100,492.00</t>
  </si>
  <si>
    <t>303,240.00</t>
  </si>
  <si>
    <t>401,940.00</t>
  </si>
  <si>
    <t>355,220.00</t>
  </si>
  <si>
    <t>434,000.00</t>
  </si>
  <si>
    <t>192,528.00</t>
  </si>
  <si>
    <t>14,920,335.83</t>
  </si>
  <si>
    <t>411,530.00</t>
  </si>
  <si>
    <t>230,890.00</t>
  </si>
  <si>
    <t>625,253.96</t>
  </si>
  <si>
    <t>559,459.38</t>
  </si>
  <si>
    <t>196,875.00</t>
  </si>
  <si>
    <t>678,690.42</t>
  </si>
  <si>
    <t>707,629.40</t>
  </si>
  <si>
    <t>62,200.00</t>
  </si>
  <si>
    <t>328,330.00</t>
  </si>
  <si>
    <t>762,413.38</t>
  </si>
  <si>
    <t>1,954,233.75</t>
  </si>
  <si>
    <t>296,800.00</t>
  </si>
  <si>
    <t>1,379,569.90</t>
  </si>
  <si>
    <t>495,600.00</t>
  </si>
  <si>
    <t>1,956,412.50</t>
  </si>
  <si>
    <t>489,978.56</t>
  </si>
  <si>
    <t>318,710.00</t>
  </si>
  <si>
    <t>976,893.75</t>
  </si>
  <si>
    <t>608,239.64</t>
  </si>
  <si>
    <t>1,380,006.79</t>
  </si>
  <si>
    <t>72,003.05</t>
  </si>
  <si>
    <t>338,196.00</t>
  </si>
  <si>
    <t>53,461.00</t>
  </si>
  <si>
    <t>973,350.00</t>
  </si>
  <si>
    <t>123,800.00</t>
  </si>
  <si>
    <t>128,670.84</t>
  </si>
  <si>
    <t>77,120.00</t>
  </si>
  <si>
    <t>9,700,000.00</t>
  </si>
  <si>
    <t>730,123.80</t>
  </si>
  <si>
    <t>1,138,541.40</t>
  </si>
  <si>
    <t>1,959,046.69</t>
  </si>
  <si>
    <t>199,994.00</t>
  </si>
  <si>
    <t>26,400.00</t>
  </si>
  <si>
    <t>180,010.00</t>
  </si>
  <si>
    <t>141,590.00</t>
  </si>
  <si>
    <t>120,360.75</t>
  </si>
  <si>
    <t>78,518.98</t>
  </si>
  <si>
    <t>2,939,091.60</t>
  </si>
  <si>
    <t>47,094.75</t>
  </si>
  <si>
    <t>422,700.00</t>
  </si>
  <si>
    <t>221,400.00</t>
  </si>
  <si>
    <t>3,660,000.00</t>
  </si>
  <si>
    <t>81,470.00</t>
  </si>
  <si>
    <t>132,600.00</t>
  </si>
  <si>
    <t>652,351.35</t>
  </si>
  <si>
    <t>1,852,565.73</t>
  </si>
  <si>
    <t>202,500.00</t>
  </si>
  <si>
    <t>3,127,235.55</t>
  </si>
  <si>
    <t>1,703,342.77</t>
  </si>
  <si>
    <t>269,648.42</t>
  </si>
  <si>
    <t>3,991,248.82</t>
  </si>
  <si>
    <t>5,315,461.89</t>
  </si>
  <si>
    <t>1,871,121.89</t>
  </si>
  <si>
    <t>1,811,328.12</t>
  </si>
  <si>
    <t>72,461.60</t>
  </si>
  <si>
    <t>1,604,719.33</t>
  </si>
  <si>
    <t>279,846.00</t>
  </si>
  <si>
    <t>89,400.00</t>
  </si>
  <si>
    <t>4,310,353.12</t>
  </si>
  <si>
    <t>889,720.00</t>
  </si>
  <si>
    <t>938,300.00</t>
  </si>
  <si>
    <t>92,182.00</t>
  </si>
  <si>
    <t>75,993.00</t>
  </si>
  <si>
    <t>62,989.00</t>
  </si>
  <si>
    <t>93,300.00</t>
  </si>
  <si>
    <t>4,850.00</t>
  </si>
  <si>
    <t>56,148.00</t>
  </si>
  <si>
    <t>12,400.00</t>
  </si>
  <si>
    <t>119,960.00</t>
  </si>
  <si>
    <t>75,400.00</t>
  </si>
  <si>
    <t>83,113.00</t>
  </si>
  <si>
    <t>96,804.00</t>
  </si>
  <si>
    <t>230,150.00</t>
  </si>
  <si>
    <t>64,618.00</t>
  </si>
  <si>
    <t>59,372.00</t>
  </si>
  <si>
    <t>392,500.00</t>
  </si>
  <si>
    <t>67,400.00</t>
  </si>
  <si>
    <t>5,900.00</t>
  </si>
  <si>
    <t>191,053.25</t>
  </si>
  <si>
    <t>442,890.00</t>
  </si>
  <si>
    <t>1,800.00</t>
  </si>
  <si>
    <t>68,400.00</t>
  </si>
  <si>
    <t>6,300.00</t>
  </si>
  <si>
    <t>994,080.00</t>
  </si>
  <si>
    <t>72,100.00</t>
  </si>
  <si>
    <t>5,650,061.31</t>
  </si>
  <si>
    <t>5,898,574.77</t>
  </si>
  <si>
    <t>5,243,622.52</t>
  </si>
  <si>
    <t>5,185,140.74</t>
  </si>
  <si>
    <t>5,052,738.08</t>
  </si>
  <si>
    <t>5,032,085.24</t>
  </si>
  <si>
    <t>4,966,380.64</t>
  </si>
  <si>
    <t>4,833,731.12</t>
  </si>
  <si>
    <t>8,350.00</t>
  </si>
  <si>
    <t>4,919,502.11</t>
  </si>
  <si>
    <t>4,874,149.33</t>
  </si>
  <si>
    <t>5,567,005.88</t>
  </si>
  <si>
    <t>4,800,445.92</t>
  </si>
  <si>
    <t>4,914,324.79</t>
  </si>
  <si>
    <t>4,977,139.07</t>
  </si>
  <si>
    <t>80,200.00</t>
  </si>
  <si>
    <t>5,526,062.92</t>
  </si>
  <si>
    <t>5,109,326.74</t>
  </si>
  <si>
    <t>5,177,522.13</t>
  </si>
  <si>
    <t>5,646,684.48</t>
  </si>
  <si>
    <t>3,816,794.82</t>
  </si>
  <si>
    <t>5,024,488.95</t>
  </si>
  <si>
    <t>143,425.00</t>
  </si>
  <si>
    <t>3,979,019.97</t>
  </si>
  <si>
    <t>5,292,579.45</t>
  </si>
  <si>
    <t>2,989,060.00</t>
  </si>
  <si>
    <t>4,863,312.59</t>
  </si>
  <si>
    <t>5,053,831.59</t>
  </si>
  <si>
    <t>648,735.00</t>
  </si>
  <si>
    <t>338,900.00</t>
  </si>
  <si>
    <t>21,600.00</t>
  </si>
  <si>
    <t>5,001,989.84</t>
  </si>
  <si>
    <t>5,085,857.42</t>
  </si>
  <si>
    <t>4,345,048.00</t>
  </si>
  <si>
    <t>433,657.00</t>
  </si>
  <si>
    <t>477,100.00</t>
  </si>
  <si>
    <t>70,025.00</t>
  </si>
  <si>
    <t>1,183,800.00</t>
  </si>
  <si>
    <t>1,401,900.00</t>
  </si>
  <si>
    <t>89,080.00</t>
  </si>
  <si>
    <t>142,200.00</t>
  </si>
  <si>
    <t>88,190.00</t>
  </si>
  <si>
    <t>15,436,782.46</t>
  </si>
  <si>
    <t>96,800.00</t>
  </si>
  <si>
    <t>47,002.20</t>
  </si>
  <si>
    <t>612,850.00</t>
  </si>
  <si>
    <t>410,720.00</t>
  </si>
  <si>
    <t>627,583.00</t>
  </si>
  <si>
    <t>590,250.00</t>
  </si>
  <si>
    <t>620,000.00</t>
  </si>
  <si>
    <t>1,065,000.00</t>
  </si>
  <si>
    <t>1,351,424.00</t>
  </si>
  <si>
    <t>999,970.00</t>
  </si>
  <si>
    <t>183,060.00</t>
  </si>
  <si>
    <t>1,581,917.69</t>
  </si>
  <si>
    <t>990,923.05</t>
  </si>
  <si>
    <t>4,734,380.00</t>
  </si>
  <si>
    <t>78,947.00</t>
  </si>
  <si>
    <t>999,725.00</t>
  </si>
  <si>
    <t>499,999.92</t>
  </si>
  <si>
    <t>997,806.40</t>
  </si>
  <si>
    <t>984,000.00</t>
  </si>
  <si>
    <t>91,518.20</t>
  </si>
  <si>
    <t>165,754.85</t>
  </si>
  <si>
    <t>65,990.00</t>
  </si>
  <si>
    <t>74,295.00</t>
  </si>
  <si>
    <t>134,970.00</t>
  </si>
  <si>
    <t>908,240.00</t>
  </si>
  <si>
    <t>899,996.75</t>
  </si>
  <si>
    <t>499,997.90</t>
  </si>
  <si>
    <t>3,069,934.00</t>
  </si>
  <si>
    <t>54,710.00</t>
  </si>
  <si>
    <t>699,995.31</t>
  </si>
  <si>
    <t>222,150.00</t>
  </si>
  <si>
    <t>951,525.00</t>
  </si>
  <si>
    <t>2,400,000.00</t>
  </si>
  <si>
    <t>499,999.19</t>
  </si>
  <si>
    <t>599,997.30</t>
  </si>
  <si>
    <t>216,699.00</t>
  </si>
  <si>
    <t>215,915.00</t>
  </si>
  <si>
    <t>240,645.45</t>
  </si>
  <si>
    <t>699,995.33</t>
  </si>
  <si>
    <t>161,968.00</t>
  </si>
  <si>
    <t>548,852.50</t>
  </si>
  <si>
    <t>241,740.00</t>
  </si>
  <si>
    <t>62,000,000.00</t>
  </si>
  <si>
    <t>115,910.00</t>
  </si>
  <si>
    <t>247,334.00</t>
  </si>
  <si>
    <t>55,085.00</t>
  </si>
  <si>
    <t>198,423.50</t>
  </si>
  <si>
    <t>116,820.00</t>
  </si>
  <si>
    <t>499,996.62</t>
  </si>
  <si>
    <t>884,533.12</t>
  </si>
  <si>
    <t>174,805.00</t>
  </si>
  <si>
    <t>799,996.60</t>
  </si>
  <si>
    <t>57,372.00</t>
  </si>
  <si>
    <t>244,250.00</t>
  </si>
  <si>
    <t>70,830.00</t>
  </si>
  <si>
    <t>138,792.00</t>
  </si>
  <si>
    <t>162,500.00</t>
  </si>
  <si>
    <t>137,500.00</t>
  </si>
  <si>
    <t>77,400.00</t>
  </si>
  <si>
    <t>3,074,000.00</t>
  </si>
  <si>
    <t>657,935.52</t>
  </si>
  <si>
    <t>63,640.00</t>
  </si>
  <si>
    <t>307,565.00</t>
  </si>
  <si>
    <t>1,095,476.00</t>
  </si>
  <si>
    <t>424,335.00</t>
  </si>
  <si>
    <t>151,200.00</t>
  </si>
  <si>
    <t>1,342,700.00</t>
  </si>
  <si>
    <t>33,200.00</t>
  </si>
  <si>
    <t>226,100.00</t>
  </si>
  <si>
    <t>81,069.00</t>
  </si>
  <si>
    <t>255,780.07</t>
  </si>
  <si>
    <t>40,205.00</t>
  </si>
  <si>
    <t>1,916,000.00</t>
  </si>
  <si>
    <t>28,000,000.00</t>
  </si>
  <si>
    <t>40,030.00</t>
  </si>
  <si>
    <t>12,740.00</t>
  </si>
  <si>
    <t>223,000.00</t>
  </si>
  <si>
    <t>6,572,500.00</t>
  </si>
  <si>
    <t>143,699.82</t>
  </si>
  <si>
    <t>505,732.40</t>
  </si>
  <si>
    <t>349,700.00</t>
  </si>
  <si>
    <t>25,960.00</t>
  </si>
  <si>
    <t>49,017.00</t>
  </si>
  <si>
    <t>298,340.60</t>
  </si>
  <si>
    <t>19,900.00</t>
  </si>
  <si>
    <t>19,700.00</t>
  </si>
  <si>
    <t>65,600.00</t>
  </si>
  <si>
    <t>39,890.00</t>
  </si>
  <si>
    <t>113,100.00</t>
  </si>
  <si>
    <t>371,000.00</t>
  </si>
  <si>
    <t>77,730.00</t>
  </si>
  <si>
    <t>423,062.00</t>
  </si>
  <si>
    <t>888,479.17</t>
  </si>
  <si>
    <t>36,690.00</t>
  </si>
  <si>
    <t>2,975,990.46</t>
  </si>
  <si>
    <t>35,625.00</t>
  </si>
  <si>
    <t>414,645.00</t>
  </si>
  <si>
    <t>1,784,268.49</t>
  </si>
  <si>
    <t>242,630.00</t>
  </si>
  <si>
    <t>2,925,000.00</t>
  </si>
  <si>
    <t>1,971,726.15</t>
  </si>
  <si>
    <t>1,620,000.00</t>
  </si>
  <si>
    <t>79,210.00</t>
  </si>
  <si>
    <t>59,258.33</t>
  </si>
  <si>
    <t>1,460,500.00</t>
  </si>
  <si>
    <t>989,393.60</t>
  </si>
  <si>
    <t>164,320.00</t>
  </si>
  <si>
    <t>95,800.00</t>
  </si>
  <si>
    <t>687,970.00</t>
  </si>
  <si>
    <t>122,205.00</t>
  </si>
  <si>
    <t>165,500.00</t>
  </si>
  <si>
    <t>53,162.00</t>
  </si>
  <si>
    <t>56,432.00</t>
  </si>
  <si>
    <t>47,100.00</t>
  </si>
  <si>
    <t>313,998.34</t>
  </si>
  <si>
    <t>99,600.00</t>
  </si>
  <si>
    <t>193,500.00</t>
  </si>
  <si>
    <t>314,990.00</t>
  </si>
  <si>
    <t>13,300,000.00</t>
  </si>
  <si>
    <t>170,181.00</t>
  </si>
  <si>
    <t>425,900.00</t>
  </si>
  <si>
    <t>340,108.00</t>
  </si>
  <si>
    <t>242,330.00</t>
  </si>
  <si>
    <t>399,900.00</t>
  </si>
  <si>
    <t>70,720.00</t>
  </si>
  <si>
    <t>303,600.00</t>
  </si>
  <si>
    <t>594,000.00</t>
  </si>
  <si>
    <t>296,203.00</t>
  </si>
  <si>
    <t>69,994.00</t>
  </si>
  <si>
    <t>697,446.40</t>
  </si>
  <si>
    <t>92,845.00</t>
  </si>
  <si>
    <t>214,653.00</t>
  </si>
  <si>
    <t>166,587.50</t>
  </si>
  <si>
    <t>213,250.00</t>
  </si>
  <si>
    <t>2,011,200.00</t>
  </si>
  <si>
    <t>906,290.00</t>
  </si>
  <si>
    <t>298,440.00</t>
  </si>
  <si>
    <t>7,500.00</t>
  </si>
  <si>
    <t>1,437,760.00</t>
  </si>
  <si>
    <t>269,000.00</t>
  </si>
  <si>
    <t>11,815.00</t>
  </si>
  <si>
    <t>2,175,500.00</t>
  </si>
  <si>
    <t>104,288.00</t>
  </si>
  <si>
    <t>73,350.00</t>
  </si>
  <si>
    <t>5,535,900.00</t>
  </si>
  <si>
    <t>3,324,920.00</t>
  </si>
  <si>
    <t>20,040.00</t>
  </si>
  <si>
    <t>198,240.00</t>
  </si>
  <si>
    <t>48,300.00</t>
  </si>
  <si>
    <t>3,780.00</t>
  </si>
  <si>
    <t>2,781,000.00</t>
  </si>
  <si>
    <t>5,470,000.00</t>
  </si>
  <si>
    <t>520,300.00</t>
  </si>
  <si>
    <t>59,210.00</t>
  </si>
  <si>
    <t>297,100.00</t>
  </si>
  <si>
    <t>38,000.00</t>
  </si>
  <si>
    <t>599,674.94</t>
  </si>
  <si>
    <t>335,000.00</t>
  </si>
  <si>
    <t>107,420.00</t>
  </si>
  <si>
    <t>251,500.00</t>
  </si>
  <si>
    <t>107,050.00</t>
  </si>
  <si>
    <t>615,000.00</t>
  </si>
  <si>
    <t>77,196.00</t>
  </si>
  <si>
    <t>123,667.88</t>
  </si>
  <si>
    <t>113,000.00</t>
  </si>
  <si>
    <t>198,800.00</t>
  </si>
  <si>
    <t>109,998.00</t>
  </si>
  <si>
    <t>802,309.26</t>
  </si>
  <si>
    <t>4,200,000.00</t>
  </si>
  <si>
    <t>751,968.00</t>
  </si>
  <si>
    <t>130,500.00</t>
  </si>
  <si>
    <t>7,000,000.00</t>
  </si>
  <si>
    <t>479,000.00</t>
  </si>
  <si>
    <t>436,800.00</t>
  </si>
  <si>
    <t>2,220,525.00</t>
  </si>
  <si>
    <t>15,547,455.86</t>
  </si>
  <si>
    <t>155,600.00</t>
  </si>
  <si>
    <t>29,400,000.00</t>
  </si>
  <si>
    <t>101,984.43</t>
  </si>
  <si>
    <t>39,200,000.00</t>
  </si>
  <si>
    <t>24,500,000.00</t>
  </si>
  <si>
    <t>13,000,000.00</t>
  </si>
  <si>
    <t>12,162,127.68</t>
  </si>
  <si>
    <t>670,700.00</t>
  </si>
  <si>
    <t>208,192.30</t>
  </si>
  <si>
    <t>445,885.00</t>
  </si>
  <si>
    <t>223,913.00</t>
  </si>
  <si>
    <t>11,368,000.00</t>
  </si>
  <si>
    <t>148,435.00</t>
  </si>
  <si>
    <t>3,700,000.00</t>
  </si>
  <si>
    <t>1,996,580.00</t>
  </si>
  <si>
    <t>2,617,333.34</t>
  </si>
  <si>
    <t>1,994,620.00</t>
  </si>
  <si>
    <t>131,586.00</t>
  </si>
  <si>
    <t>249,994.00</t>
  </si>
  <si>
    <t>260,600.00</t>
  </si>
  <si>
    <t>749,602.77</t>
  </si>
  <si>
    <t>23,066.00</t>
  </si>
  <si>
    <t>155,260.00</t>
  </si>
  <si>
    <t>923,500.00</t>
  </si>
  <si>
    <t>74,355.00</t>
  </si>
  <si>
    <t>58,410.00</t>
  </si>
  <si>
    <t>359,198.81</t>
  </si>
  <si>
    <t>12,189,240.00</t>
  </si>
  <si>
    <t>90,125.00</t>
  </si>
  <si>
    <t>4,086,723.11</t>
  </si>
  <si>
    <t>200,041.71</t>
  </si>
  <si>
    <t>2,070,153.12</t>
  </si>
  <si>
    <t>2,575,572.17</t>
  </si>
  <si>
    <t>499,810.64</t>
  </si>
  <si>
    <t>26,457,801.01</t>
  </si>
  <si>
    <t>85,585.00</t>
  </si>
  <si>
    <t>96,540.00</t>
  </si>
  <si>
    <t>9,642,072.78</t>
  </si>
  <si>
    <t>199,765.94</t>
  </si>
  <si>
    <t>8,330,000.00</t>
  </si>
  <si>
    <t>126,360.00</t>
  </si>
  <si>
    <t>121,118.00</t>
  </si>
  <si>
    <t>485,040.00</t>
  </si>
  <si>
    <t>65,750.00</t>
  </si>
  <si>
    <t>182,389.00</t>
  </si>
  <si>
    <t>29,399,049.50</t>
  </si>
  <si>
    <t>353,840.00</t>
  </si>
  <si>
    <t>69,520.00</t>
  </si>
  <si>
    <t>127,969.49</t>
  </si>
  <si>
    <t>936,000.00</t>
  </si>
  <si>
    <t>42,800.00</t>
  </si>
  <si>
    <t>23,466.00</t>
  </si>
  <si>
    <t>256,875.00</t>
  </si>
  <si>
    <t>1,699,963.86</t>
  </si>
  <si>
    <t>33,550.00</t>
  </si>
  <si>
    <t>499,900.00</t>
  </si>
  <si>
    <t>999,922.98</t>
  </si>
  <si>
    <t>156,172.40</t>
  </si>
  <si>
    <t>999,979.14</t>
  </si>
  <si>
    <t>28,670.50</t>
  </si>
  <si>
    <t>1,394,118.20</t>
  </si>
  <si>
    <t>453,184.00</t>
  </si>
  <si>
    <t>999,981.78</t>
  </si>
  <si>
    <t>350,260.60</t>
  </si>
  <si>
    <t>235,721.00</t>
  </si>
  <si>
    <t>301,900.00</t>
  </si>
  <si>
    <t>82,783.00</t>
  </si>
  <si>
    <t>23,449.50</t>
  </si>
  <si>
    <t>538,000.00</t>
  </si>
  <si>
    <t>65,620.00</t>
  </si>
  <si>
    <t>1,731,990.44</t>
  </si>
  <si>
    <t>42,500,000.00</t>
  </si>
  <si>
    <t>190,635.00</t>
  </si>
  <si>
    <t>3,267,999.56</t>
  </si>
  <si>
    <t>155,700.00</t>
  </si>
  <si>
    <t>307,080.00</t>
  </si>
  <si>
    <t>52,741,705.00</t>
  </si>
  <si>
    <t>67,509.00</t>
  </si>
  <si>
    <t>25,190.00</t>
  </si>
  <si>
    <t>461,969.53</t>
  </si>
  <si>
    <t>74,510.00</t>
  </si>
  <si>
    <t>367,150.00</t>
  </si>
  <si>
    <t>11,007,938.81</t>
  </si>
  <si>
    <t>13,791,916.69</t>
  </si>
  <si>
    <t>3,157,671.92</t>
  </si>
  <si>
    <t>320,141.00</t>
  </si>
  <si>
    <t>214,072.50</t>
  </si>
  <si>
    <t>1,123,500.00</t>
  </si>
  <si>
    <t>174,375.00</t>
  </si>
  <si>
    <t>337,600.00</t>
  </si>
  <si>
    <t>2,470,000.00</t>
  </si>
  <si>
    <t>1,499,396.50</t>
  </si>
  <si>
    <t>356,490.00</t>
  </si>
  <si>
    <t>1,077,134.00</t>
  </si>
  <si>
    <t>1,573,409.00</t>
  </si>
  <si>
    <t>2,895,902.33</t>
  </si>
  <si>
    <t>1,182,600.00</t>
  </si>
  <si>
    <t>28,005,365.30</t>
  </si>
  <si>
    <t>189,494.00</t>
  </si>
  <si>
    <t>3,222,265.00</t>
  </si>
  <si>
    <t>5,616,500.00</t>
  </si>
  <si>
    <t>63,825.00</t>
  </si>
  <si>
    <t>6,137,000.00</t>
  </si>
  <si>
    <t>104,400.00</t>
  </si>
  <si>
    <t>1,164,000.00</t>
  </si>
  <si>
    <t>454,234.00</t>
  </si>
  <si>
    <t>3,750,500.00</t>
  </si>
  <si>
    <t>1,122,203.20</t>
  </si>
  <si>
    <t>679,249.00</t>
  </si>
  <si>
    <t>1,400,959.40</t>
  </si>
  <si>
    <t>1,113,000.00</t>
  </si>
  <si>
    <t>3,340,233.97</t>
  </si>
  <si>
    <t>983,718.75</t>
  </si>
  <si>
    <t>356,400.00</t>
  </si>
  <si>
    <t>447,568.00</t>
  </si>
  <si>
    <t>460,200.00</t>
  </si>
  <si>
    <t>229,060.71</t>
  </si>
  <si>
    <t>143,085.72</t>
  </si>
  <si>
    <t>249,984.75</t>
  </si>
  <si>
    <t>599,091.18</t>
  </si>
  <si>
    <t>60,539.80</t>
  </si>
  <si>
    <t>99,755.35</t>
  </si>
  <si>
    <t>299,821.62</t>
  </si>
  <si>
    <t>274,026.00</t>
  </si>
  <si>
    <t>462,000.00</t>
  </si>
  <si>
    <t>70,006.00</t>
  </si>
  <si>
    <t>253,284.00</t>
  </si>
  <si>
    <t>63,770.00</t>
  </si>
  <si>
    <t>291,200.00</t>
  </si>
  <si>
    <t>72,926.75</t>
  </si>
  <si>
    <t>139,449.50</t>
  </si>
  <si>
    <t>208,080.00</t>
  </si>
  <si>
    <t>66,550.00</t>
  </si>
  <si>
    <t>440,430.00</t>
  </si>
  <si>
    <t>999,999.00</t>
  </si>
  <si>
    <t>94,890.00</t>
  </si>
  <si>
    <t>498,695.68</t>
  </si>
  <si>
    <t>28,500.00</t>
  </si>
  <si>
    <t>99,668.44</t>
  </si>
  <si>
    <t>253,300.00</t>
  </si>
  <si>
    <t>28,688.00</t>
  </si>
  <si>
    <t>253,650.00</t>
  </si>
  <si>
    <t>244,205.00</t>
  </si>
  <si>
    <t>999,087.75</t>
  </si>
  <si>
    <t>888,350.29</t>
  </si>
  <si>
    <t>0.00</t>
  </si>
  <si>
    <t>205,919.00</t>
  </si>
  <si>
    <t>541,845.00</t>
  </si>
  <si>
    <t>272,320.00</t>
  </si>
  <si>
    <t>195,440.00</t>
  </si>
  <si>
    <t>74,096.15</t>
  </si>
  <si>
    <t>45,251.00</t>
  </si>
  <si>
    <t>282,745.00</t>
  </si>
  <si>
    <t>274,090.00</t>
  </si>
  <si>
    <t>320,812.29</t>
  </si>
  <si>
    <t>69,650.00</t>
  </si>
  <si>
    <t>63,150.00</t>
  </si>
  <si>
    <t>94,095.00</t>
  </si>
  <si>
    <t>51,114.15</t>
  </si>
  <si>
    <t>5,777,429.00</t>
  </si>
  <si>
    <t>293,300.00</t>
  </si>
  <si>
    <t>382,500.00</t>
  </si>
  <si>
    <t>472,500.00</t>
  </si>
  <si>
    <t>997,500.00</t>
  </si>
  <si>
    <t>2,280,000.00</t>
  </si>
  <si>
    <t>300,488.25</t>
  </si>
  <si>
    <t>97,900.00</t>
  </si>
  <si>
    <t>89,196.00</t>
  </si>
  <si>
    <t>199,500.00</t>
  </si>
  <si>
    <t>78,164.54</t>
  </si>
  <si>
    <t>210,935.00</t>
  </si>
  <si>
    <t>1,750,000.00</t>
  </si>
  <si>
    <t>94,080.00</t>
  </si>
  <si>
    <t>49,000,000.00</t>
  </si>
  <si>
    <t>339,158.66</t>
  </si>
  <si>
    <t>1,245,750.00</t>
  </si>
  <si>
    <t>1,435,923.58</t>
  </si>
  <si>
    <t>288,468.23</t>
  </si>
  <si>
    <t>171,088.00</t>
  </si>
  <si>
    <t>997,970.00</t>
  </si>
  <si>
    <t>1,224,450.00</t>
  </si>
  <si>
    <t>457,200.00</t>
  </si>
  <si>
    <t>283,046.62</t>
  </si>
  <si>
    <t>335,881.00</t>
  </si>
  <si>
    <t>1,402,626.00</t>
  </si>
  <si>
    <t>216,920.00</t>
  </si>
  <si>
    <t>756,000.00</t>
  </si>
  <si>
    <t>962,174.60</t>
  </si>
  <si>
    <t>216,050.00</t>
  </si>
  <si>
    <t>1,016,795.00</t>
  </si>
  <si>
    <t>1,997,879.32</t>
  </si>
  <si>
    <t>101,500.00</t>
  </si>
  <si>
    <t>40,661.00</t>
  </si>
  <si>
    <t>50,050.00</t>
  </si>
  <si>
    <t>49,825.00</t>
  </si>
  <si>
    <t>14,966,876.23</t>
  </si>
  <si>
    <t>104,650.00</t>
  </si>
  <si>
    <t>178,294.00</t>
  </si>
  <si>
    <t>137,700.00</t>
  </si>
  <si>
    <t>542,000.00</t>
  </si>
  <si>
    <t>227,679.00</t>
  </si>
  <si>
    <t>194,213.00</t>
  </si>
  <si>
    <t>795,081.00</t>
  </si>
  <si>
    <t>360,688.00</t>
  </si>
  <si>
    <t>570,761.00</t>
  </si>
  <si>
    <t>53,940.00</t>
  </si>
  <si>
    <t>217,000.00</t>
  </si>
  <si>
    <t>228,000.00</t>
  </si>
  <si>
    <t>3,651,652.30</t>
  </si>
  <si>
    <t>62,100.00</t>
  </si>
  <si>
    <t>116,337.91</t>
  </si>
  <si>
    <t>271,792.50</t>
  </si>
  <si>
    <t>467,473.29</t>
  </si>
  <si>
    <t>294,590.00</t>
  </si>
  <si>
    <t>25,100,000.00</t>
  </si>
  <si>
    <t>1,939,800.00</t>
  </si>
  <si>
    <t>310,000.00</t>
  </si>
  <si>
    <t>935,959.29</t>
  </si>
  <si>
    <t>1,499,999.98</t>
  </si>
  <si>
    <t>374,506.04</t>
  </si>
  <si>
    <t>127,969.63</t>
  </si>
  <si>
    <t>2,240,000.00</t>
  </si>
  <si>
    <t>1,170,865.00</t>
  </si>
  <si>
    <t>2,381,548.91</t>
  </si>
  <si>
    <t>734,700.00</t>
  </si>
  <si>
    <t>27,182.00</t>
  </si>
  <si>
    <t>262,615.00</t>
  </si>
  <si>
    <t>97,680.00</t>
  </si>
  <si>
    <t>248,500.00</t>
  </si>
  <si>
    <t>499,775.62</t>
  </si>
  <si>
    <t>57,980.00</t>
  </si>
  <si>
    <t>301,317.19</t>
  </si>
  <si>
    <t>249,100.00</t>
  </si>
  <si>
    <t>116,708.00</t>
  </si>
  <si>
    <t>822,800.00</t>
  </si>
  <si>
    <t>230,100.00</t>
  </si>
  <si>
    <t>3,200,000.00</t>
  </si>
  <si>
    <t>422,542.00</t>
  </si>
  <si>
    <t>5,850,000.00</t>
  </si>
  <si>
    <t>1,269,999.99</t>
  </si>
  <si>
    <t>188,270.00</t>
  </si>
  <si>
    <t>591,255.00</t>
  </si>
  <si>
    <t>52,830.56</t>
  </si>
  <si>
    <t>258,428.25</t>
  </si>
  <si>
    <t>33,750.00</t>
  </si>
  <si>
    <t>130,935.30</t>
  </si>
  <si>
    <t>14,975.00</t>
  </si>
  <si>
    <t>153,133.23</t>
  </si>
  <si>
    <t>151,652.50</t>
  </si>
  <si>
    <t>92,090.00</t>
  </si>
  <si>
    <t>1,999,999.60</t>
  </si>
  <si>
    <t>139,448.63</t>
  </si>
  <si>
    <t>169,739.75</t>
  </si>
  <si>
    <t>323,478.26</t>
  </si>
  <si>
    <t>89,640.00</t>
  </si>
  <si>
    <t>2,040,000.00</t>
  </si>
  <si>
    <t>203,224.90</t>
  </si>
  <si>
    <t>16,932,714.75</t>
  </si>
  <si>
    <t>73,400.00</t>
  </si>
  <si>
    <t>494,452.00</t>
  </si>
  <si>
    <t>63,124.00</t>
  </si>
  <si>
    <t>403,200.00</t>
  </si>
  <si>
    <t>236,875.00</t>
  </si>
  <si>
    <t>592,194.77</t>
  </si>
  <si>
    <t>1,719,620.00</t>
  </si>
  <si>
    <t>64,695.00</t>
  </si>
  <si>
    <t>92,858.00</t>
  </si>
  <si>
    <t>139,153.00</t>
  </si>
  <si>
    <t>146,920.00</t>
  </si>
  <si>
    <t>84,015.00</t>
  </si>
  <si>
    <t>937,312.95</t>
  </si>
  <si>
    <t>289,560.00</t>
  </si>
  <si>
    <t>239,000.00</t>
  </si>
  <si>
    <t>3,554,467.49</t>
  </si>
  <si>
    <t>217,200.00</t>
  </si>
  <si>
    <t>107,634.00</t>
  </si>
  <si>
    <t>1,004,282.50</t>
  </si>
  <si>
    <t>288,390.60</t>
  </si>
  <si>
    <t>105,013.50</t>
  </si>
  <si>
    <t>3,610,000.00</t>
  </si>
  <si>
    <t>3,114,000.00</t>
  </si>
  <si>
    <t>975,000.00</t>
  </si>
  <si>
    <t>676,413.00</t>
  </si>
  <si>
    <t>1,653,155.64</t>
  </si>
  <si>
    <t>505,000.00</t>
  </si>
  <si>
    <t>64,850.00</t>
  </si>
  <si>
    <t>93,100.00</t>
  </si>
  <si>
    <t>877,400.00</t>
  </si>
  <si>
    <t>529,203.20</t>
  </si>
  <si>
    <t>3,026,256.32</t>
  </si>
  <si>
    <t>233,427.51</t>
  </si>
  <si>
    <t>113,517.12</t>
  </si>
  <si>
    <t>494,917.50</t>
  </si>
  <si>
    <t>22,000,000.00</t>
  </si>
  <si>
    <t>150,812.80</t>
  </si>
  <si>
    <t>129,800.00</t>
  </si>
  <si>
    <t>89,040.00</t>
  </si>
  <si>
    <t>68,032,492.04</t>
  </si>
  <si>
    <t>95,355.00</t>
  </si>
  <si>
    <t>99,877.23</t>
  </si>
  <si>
    <t>265,281.60</t>
  </si>
  <si>
    <t>496,794.48</t>
  </si>
  <si>
    <t>98,700.00</t>
  </si>
  <si>
    <t>108,747.50</t>
  </si>
  <si>
    <t>195,650.00</t>
  </si>
  <si>
    <t>133,451.50</t>
  </si>
  <si>
    <t>201,509.57</t>
  </si>
  <si>
    <t>884,269.00</t>
  </si>
  <si>
    <t>248,551.80</t>
  </si>
  <si>
    <t>655,000.00</t>
  </si>
  <si>
    <t>8,380,000.00</t>
  </si>
  <si>
    <t>489,000.00</t>
  </si>
  <si>
    <t>458,905.00</t>
  </si>
  <si>
    <t>1,844,000.00</t>
  </si>
  <si>
    <t>59,495.01</t>
  </si>
  <si>
    <t>2,550,000.00</t>
  </si>
  <si>
    <t>4,850,000.00</t>
  </si>
  <si>
    <t>1,152,000.00</t>
  </si>
  <si>
    <t>403,056.10</t>
  </si>
  <si>
    <t>220,670.00</t>
  </si>
  <si>
    <t>49,500,000.00</t>
  </si>
  <si>
    <t>102,500.00</t>
  </si>
  <si>
    <t>395,732.00</t>
  </si>
  <si>
    <t>105,900.00</t>
  </si>
  <si>
    <t>40,070.00</t>
  </si>
  <si>
    <t>3,188,056.80</t>
  </si>
  <si>
    <t>3,070,000.00</t>
  </si>
  <si>
    <t>299,286.61</t>
  </si>
  <si>
    <t>15,632,991.43</t>
  </si>
  <si>
    <t>4,522,824.00</t>
  </si>
  <si>
    <t>397,198.18</t>
  </si>
  <si>
    <t>327,500.00</t>
  </si>
  <si>
    <t>55,750.00</t>
  </si>
  <si>
    <t>8,660,333.47</t>
  </si>
  <si>
    <t>1,503,565.52</t>
  </si>
  <si>
    <t>1,242,188.26</t>
  </si>
  <si>
    <t>5,321,000.00</t>
  </si>
  <si>
    <t>502,210.00</t>
  </si>
  <si>
    <t>10,969.88</t>
  </si>
  <si>
    <t>163,978.00</t>
  </si>
  <si>
    <t>124,600.00</t>
  </si>
  <si>
    <t>8,075,000.00</t>
  </si>
  <si>
    <t>398,437.00</t>
  </si>
  <si>
    <t>97,210.00</t>
  </si>
  <si>
    <t>296,500.00</t>
  </si>
  <si>
    <t>17,100,000.00</t>
  </si>
  <si>
    <t>2,969,989.51</t>
  </si>
  <si>
    <t>499,985.00</t>
  </si>
  <si>
    <t>234,000.00</t>
  </si>
  <si>
    <t>238,500.00</t>
  </si>
  <si>
    <t>224,600.00</t>
  </si>
  <si>
    <t>245,800.00</t>
  </si>
  <si>
    <t>134,400.00</t>
  </si>
  <si>
    <t>95,911.00</t>
  </si>
  <si>
    <t>6,662,688.93</t>
  </si>
  <si>
    <t>13,776,000.00</t>
  </si>
  <si>
    <t>1,537,765.40</t>
  </si>
  <si>
    <t>2,970,291.02</t>
  </si>
  <si>
    <t>1,485,000.00</t>
  </si>
  <si>
    <t>423,022.75</t>
  </si>
  <si>
    <t>922,784.36</t>
  </si>
  <si>
    <t>931,550.00</t>
  </si>
  <si>
    <t>795,477.00</t>
  </si>
  <si>
    <t>2,509,803.92</t>
  </si>
  <si>
    <t>691,037.32</t>
  </si>
  <si>
    <t>265,025.00</t>
  </si>
  <si>
    <t>198,500.00</t>
  </si>
  <si>
    <t>530,428.68</t>
  </si>
  <si>
    <t>5,775,000.00</t>
  </si>
  <si>
    <t>399,295.00</t>
  </si>
  <si>
    <t>621,000.00</t>
  </si>
  <si>
    <t>87,732.00</t>
  </si>
  <si>
    <t>79,200,000.00</t>
  </si>
  <si>
    <t>231,960.00</t>
  </si>
  <si>
    <t>783,940.00</t>
  </si>
  <si>
    <t>3,960,000.00</t>
  </si>
  <si>
    <t>775,000.00</t>
  </si>
  <si>
    <t>185,900.00</t>
  </si>
  <si>
    <t>249,056.50</t>
  </si>
  <si>
    <t>446,336.67</t>
  </si>
  <si>
    <t>283,200.00</t>
  </si>
  <si>
    <t>45,075.00</t>
  </si>
  <si>
    <t>1,815,000.00</t>
  </si>
  <si>
    <t>407,232.00</t>
  </si>
  <si>
    <t>102,285.00</t>
  </si>
  <si>
    <t>667,129.00</t>
  </si>
  <si>
    <t>788,400.00</t>
  </si>
  <si>
    <t>2,268,753.50</t>
  </si>
  <si>
    <t>1,520,000.00</t>
  </si>
  <si>
    <t>1,378,623.40</t>
  </si>
  <si>
    <t>9,900,000.00</t>
  </si>
  <si>
    <t>396,764.20</t>
  </si>
  <si>
    <t>14,430,000.00</t>
  </si>
  <si>
    <t>159,440.10</t>
  </si>
  <si>
    <t>279,235.00</t>
  </si>
  <si>
    <t>193,800.00</t>
  </si>
  <si>
    <t>597,993.50</t>
  </si>
  <si>
    <t>177,699.93</t>
  </si>
  <si>
    <t>398,220.00</t>
  </si>
  <si>
    <t>179,648.00</t>
  </si>
  <si>
    <t>162,000.00</t>
  </si>
  <si>
    <t>710,440.00</t>
  </si>
  <si>
    <t>507,926.84</t>
  </si>
  <si>
    <t>62,459.00</t>
  </si>
  <si>
    <t>49,986.00</t>
  </si>
  <si>
    <t>8,840,000.00</t>
  </si>
  <si>
    <t>5,991,600.00</t>
  </si>
  <si>
    <t>7,425,000.00</t>
  </si>
  <si>
    <t>74,250.00</t>
  </si>
  <si>
    <t>9,800,000.00</t>
  </si>
  <si>
    <t>113,999.90</t>
  </si>
  <si>
    <t>718,200.00</t>
  </si>
  <si>
    <t>7,787,827.00</t>
  </si>
  <si>
    <t>20,725,000.00</t>
  </si>
  <si>
    <t>2,249,924.25</t>
  </si>
  <si>
    <t>392,400.00</t>
  </si>
  <si>
    <t>2,050,040.00</t>
  </si>
  <si>
    <t>369,032,352.00</t>
  </si>
  <si>
    <t>482,816.00</t>
  </si>
  <si>
    <t>239,360.00</t>
  </si>
  <si>
    <t>599,974.51</t>
  </si>
  <si>
    <t>34,650,000.00</t>
  </si>
  <si>
    <t>1,787,964.08</t>
  </si>
  <si>
    <t>999,971.00</t>
  </si>
  <si>
    <t>23,252,150.23</t>
  </si>
  <si>
    <t>312,400.00</t>
  </si>
  <si>
    <t>1,080,000.00</t>
  </si>
  <si>
    <t>9,996,289.32</t>
  </si>
  <si>
    <t>158,326.44</t>
  </si>
  <si>
    <t>599,999.68</t>
  </si>
  <si>
    <t>412,300.00</t>
  </si>
  <si>
    <t>7,370,000.00</t>
  </si>
  <si>
    <t>124,799,000.00</t>
  </si>
  <si>
    <t>152,340.00</t>
  </si>
  <si>
    <t>65,898.00</t>
  </si>
  <si>
    <t>182,850.00</t>
  </si>
  <si>
    <t>998,241.05</t>
  </si>
  <si>
    <t>2,298,810.96</t>
  </si>
  <si>
    <t>1,430,800.00</t>
  </si>
  <si>
    <t>11,529,050.00</t>
  </si>
  <si>
    <t>444,837.63</t>
  </si>
  <si>
    <t>999,329.49</t>
  </si>
  <si>
    <t>34,860,000.00</t>
  </si>
  <si>
    <t>406,200.58</t>
  </si>
  <si>
    <t>93,663.00</t>
  </si>
  <si>
    <t>130,625.00</t>
  </si>
  <si>
    <t>299,999.44</t>
  </si>
  <si>
    <t>86,035.00</t>
  </si>
  <si>
    <t>73,750.00</t>
  </si>
  <si>
    <t>741,169.80</t>
  </si>
  <si>
    <t>8,750,000.00</t>
  </si>
  <si>
    <t>397,875.00</t>
  </si>
  <si>
    <t>999,872.30</t>
  </si>
  <si>
    <t>3,149,629.95</t>
  </si>
  <si>
    <t>142,665.00</t>
  </si>
  <si>
    <t>5,800,000.00</t>
  </si>
  <si>
    <t>519,600.00</t>
  </si>
  <si>
    <t>407,565.00</t>
  </si>
  <si>
    <t>4,720,996.81</t>
  </si>
  <si>
    <t>957,700.00</t>
  </si>
  <si>
    <t>996,400.00</t>
  </si>
  <si>
    <t>1,907,000.00</t>
  </si>
  <si>
    <t>66,050.00</t>
  </si>
  <si>
    <t>431,495.10</t>
  </si>
  <si>
    <t>131,875.00</t>
  </si>
  <si>
    <t>1,114,575.00</t>
  </si>
  <si>
    <t>1,820,000.00</t>
  </si>
  <si>
    <t>89,750.00</t>
  </si>
  <si>
    <t>4,818,353.86</t>
  </si>
  <si>
    <t>2,186,035.00</t>
  </si>
  <si>
    <t>3,203,920.00</t>
  </si>
  <si>
    <t>1,300,337.50</t>
  </si>
  <si>
    <t>1,370,239.95</t>
  </si>
  <si>
    <t>30,190.00</t>
  </si>
  <si>
    <t>2,992,000.00</t>
  </si>
  <si>
    <t>178,800.00</t>
  </si>
  <si>
    <t>2,320,000.00</t>
  </si>
  <si>
    <t>743,050.00</t>
  </si>
  <si>
    <t>23,808,726.65</t>
  </si>
  <si>
    <t>2,982,173.18</t>
  </si>
  <si>
    <t>928,812.50</t>
  </si>
  <si>
    <t>4,468,990.29</t>
  </si>
  <si>
    <t>4,751,299.65</t>
  </si>
  <si>
    <t>3,480,000.00</t>
  </si>
  <si>
    <t>3,569,000.00</t>
  </si>
  <si>
    <t>4,904,231.08</t>
  </si>
  <si>
    <t>112,460.00</t>
  </si>
  <si>
    <t>2,319,127.68</t>
  </si>
  <si>
    <t>406,700.00</t>
  </si>
  <si>
    <t>1,964,825.02</t>
  </si>
  <si>
    <t>3,506,162.90</t>
  </si>
  <si>
    <t>305,133.00</t>
  </si>
  <si>
    <t>2,064,691.14</t>
  </si>
  <si>
    <t>150,689.40</t>
  </si>
  <si>
    <t>1,102,898.00</t>
  </si>
  <si>
    <t>6,434,850.87</t>
  </si>
  <si>
    <t>2,991,839.78</t>
  </si>
  <si>
    <t>456,126.00</t>
  </si>
  <si>
    <t>241,750.00</t>
  </si>
  <si>
    <t>60,000,000.00</t>
  </si>
  <si>
    <t>1,326,996.56</t>
  </si>
  <si>
    <t>1,328,271.00</t>
  </si>
  <si>
    <t>1,341,426.00</t>
  </si>
  <si>
    <t>9,649,997.73</t>
  </si>
  <si>
    <t>265,399.31</t>
  </si>
  <si>
    <t>1,711,301.18</t>
  </si>
  <si>
    <t>1,123,164.00</t>
  </si>
  <si>
    <t>2,629,305.30</t>
  </si>
  <si>
    <t>1,164,752.00</t>
  </si>
  <si>
    <t>19,799,827.30</t>
  </si>
  <si>
    <t>125,350.00</t>
  </si>
  <si>
    <t>465,654.00</t>
  </si>
  <si>
    <t>9,899,971.25</t>
  </si>
  <si>
    <t>1,220,000.00</t>
  </si>
  <si>
    <t>1,423,881.20</t>
  </si>
  <si>
    <t>1,727,500.00</t>
  </si>
  <si>
    <t>9,899,933.21</t>
  </si>
  <si>
    <t>1,995,000.00</t>
  </si>
  <si>
    <t>6,273,775.00</t>
  </si>
  <si>
    <t>1,599,532.94</t>
  </si>
  <si>
    <t>2,914,440.00</t>
  </si>
  <si>
    <t>451,885.00</t>
  </si>
  <si>
    <t>109,876.00</t>
  </si>
  <si>
    <t>19,799,378.78</t>
  </si>
  <si>
    <t>196,800.00</t>
  </si>
  <si>
    <t>1,614,600.00</t>
  </si>
  <si>
    <t>996,680.10</t>
  </si>
  <si>
    <t>64,349,655.98</t>
  </si>
  <si>
    <t>57,896,896.01</t>
  </si>
  <si>
    <t>1,538,538.25</t>
  </si>
  <si>
    <t>68,932.00</t>
  </si>
  <si>
    <t>59,880.00</t>
  </si>
  <si>
    <t>253,975.00</t>
  </si>
  <si>
    <t>18,133,114.23</t>
  </si>
  <si>
    <t>162,730.00</t>
  </si>
  <si>
    <t>135,307.50</t>
  </si>
  <si>
    <t>20,825,242.72</t>
  </si>
  <si>
    <t>78,800.00</t>
  </si>
  <si>
    <t>144,450.00</t>
  </si>
  <si>
    <t>3,309,067.00</t>
  </si>
  <si>
    <t>3,597,956.71</t>
  </si>
  <si>
    <t>1,595,286.37</t>
  </si>
  <si>
    <t>69,750.00</t>
  </si>
  <si>
    <t>135,082.00</t>
  </si>
  <si>
    <t>410,104.00</t>
  </si>
  <si>
    <t>3,062,400,000.00</t>
  </si>
  <si>
    <t>257,840.00</t>
  </si>
  <si>
    <t>2,475,000.00</t>
  </si>
  <si>
    <t>219,141.00</t>
  </si>
  <si>
    <t>80,012.40</t>
  </si>
  <si>
    <t>1,670,936.01</t>
  </si>
  <si>
    <t>50,092.35</t>
  </si>
  <si>
    <t>6,161,996.82</t>
  </si>
  <si>
    <t>51,201.61</t>
  </si>
  <si>
    <t>32,577,872.70</t>
  </si>
  <si>
    <t>69,820.35</t>
  </si>
  <si>
    <t>3,732,000.00</t>
  </si>
  <si>
    <t>346,368.60</t>
  </si>
  <si>
    <t>1,659,930.00</t>
  </si>
  <si>
    <t>262,480.00</t>
  </si>
  <si>
    <t>4,389,877.80</t>
  </si>
  <si>
    <t>294,668.65</t>
  </si>
  <si>
    <t>11,939,601.46</t>
  </si>
  <si>
    <t>472,048.50</t>
  </si>
  <si>
    <t>466,547.00</t>
  </si>
  <si>
    <t>195,220.00</t>
  </si>
  <si>
    <t>981,862.91</t>
  </si>
  <si>
    <t>4,250,000.00</t>
  </si>
  <si>
    <t>257,400.00</t>
  </si>
  <si>
    <t>2,429,379.78</t>
  </si>
  <si>
    <t>684,788.01</t>
  </si>
  <si>
    <t>283,080.00</t>
  </si>
  <si>
    <t>999,465.12</t>
  </si>
  <si>
    <t>288,963.00</t>
  </si>
  <si>
    <t>448,790.66</t>
  </si>
  <si>
    <t>496,730.00</t>
  </si>
  <si>
    <t>97,418.00</t>
  </si>
  <si>
    <t>9,990,446.00</t>
  </si>
  <si>
    <t>498,184.46</t>
  </si>
  <si>
    <t>823,885.86</t>
  </si>
  <si>
    <t>9,996,981.00</t>
  </si>
  <si>
    <t>106,201.50</t>
  </si>
  <si>
    <t>6,800,000.00</t>
  </si>
  <si>
    <t>1,559,000.00</t>
  </si>
  <si>
    <t>12,093,596.00</t>
  </si>
  <si>
    <t>408,075.00</t>
  </si>
  <si>
    <t>5,200,000.00</t>
  </si>
  <si>
    <t>249,318.00</t>
  </si>
  <si>
    <t>455,362.00</t>
  </si>
  <si>
    <t>99,985.19</t>
  </si>
  <si>
    <t>287,300.00</t>
  </si>
  <si>
    <t>660,000.00</t>
  </si>
  <si>
    <t>21,199,952.98</t>
  </si>
  <si>
    <t>19,000,000.00</t>
  </si>
  <si>
    <t>2,760,000.00</t>
  </si>
  <si>
    <t>383,400.00</t>
  </si>
  <si>
    <t>217,672.00</t>
  </si>
  <si>
    <t>33,000.00</t>
  </si>
  <si>
    <t>1,512,355.00</t>
  </si>
  <si>
    <t>49,999,929.61</t>
  </si>
  <si>
    <t>29,700,000.00</t>
  </si>
  <si>
    <t>38,000,000.00</t>
  </si>
  <si>
    <t>785,119.56</t>
  </si>
  <si>
    <t>2,307,089.00</t>
  </si>
  <si>
    <t>2,457,875.00</t>
  </si>
  <si>
    <t>2,002,583.76</t>
  </si>
  <si>
    <t>340,035.00</t>
  </si>
  <si>
    <t>329,850.00</t>
  </si>
  <si>
    <t>2,745,515.64</t>
  </si>
  <si>
    <t>8,895,000.00</t>
  </si>
  <si>
    <t>573,202.50</t>
  </si>
  <si>
    <t>1,825,548.00</t>
  </si>
  <si>
    <t>1,208,392.19</t>
  </si>
  <si>
    <t>806,316.00</t>
  </si>
  <si>
    <t>4,426,344.00</t>
  </si>
  <si>
    <t>1,499,649.52</t>
  </si>
  <si>
    <t>1,200,248.00</t>
  </si>
  <si>
    <t>644,950.00</t>
  </si>
  <si>
    <t>344,698.40</t>
  </si>
  <si>
    <t>88,480.00</t>
  </si>
  <si>
    <t>1,925,519.00</t>
  </si>
  <si>
    <t>2,372,976.50</t>
  </si>
  <si>
    <t>104,500.00</t>
  </si>
  <si>
    <t>105,400.00</t>
  </si>
  <si>
    <t>147,920.00</t>
  </si>
  <si>
    <t>2,632,914.00</t>
  </si>
  <si>
    <t>278,500.00</t>
  </si>
  <si>
    <t>120,029.00</t>
  </si>
  <si>
    <t>56,100.00</t>
  </si>
  <si>
    <t>115,920.00</t>
  </si>
  <si>
    <t>585,800.00</t>
  </si>
  <si>
    <t>702,846.75</t>
  </si>
  <si>
    <t>68,750.00</t>
  </si>
  <si>
    <t>187,500.00</t>
  </si>
  <si>
    <t>147,016.25</t>
  </si>
  <si>
    <t>402,146.40</t>
  </si>
  <si>
    <t>372,747.40</t>
  </si>
  <si>
    <t>922,242.00</t>
  </si>
  <si>
    <t>110,883.50</t>
  </si>
  <si>
    <t>8,999,392.68</t>
  </si>
  <si>
    <t>181,545.00</t>
  </si>
  <si>
    <t>726,000.00</t>
  </si>
  <si>
    <t>137,997.00</t>
  </si>
  <si>
    <t>399,965.78</t>
  </si>
  <si>
    <t>4,123,120.00</t>
  </si>
  <si>
    <t>391,265.00</t>
  </si>
  <si>
    <t>866,430.00</t>
  </si>
  <si>
    <t>829,354.00</t>
  </si>
  <si>
    <t>999,000.00</t>
  </si>
  <si>
    <t>432,760.00</t>
  </si>
  <si>
    <t>790,483.00</t>
  </si>
  <si>
    <t>794,803.00</t>
  </si>
  <si>
    <t>50,641.50</t>
  </si>
  <si>
    <t>1,261,628.00</t>
  </si>
  <si>
    <t>992,250.00</t>
  </si>
  <si>
    <t>199,993.50</t>
  </si>
  <si>
    <t>34,554.00</t>
  </si>
  <si>
    <t>64,270.00</t>
  </si>
  <si>
    <t>4,998,000.00</t>
  </si>
  <si>
    <t>146,420.00</t>
  </si>
  <si>
    <t>229,800.00</t>
  </si>
  <si>
    <t>12,000,000.00</t>
  </si>
  <si>
    <t>46,109,440.00</t>
  </si>
  <si>
    <t>80,598.00</t>
  </si>
  <si>
    <t>1,464,564.74</t>
  </si>
  <si>
    <t>1,922,000.00</t>
  </si>
  <si>
    <t>68,906.25</t>
  </si>
  <si>
    <t>2,331,606.86</t>
  </si>
  <si>
    <t>395,088.09</t>
  </si>
  <si>
    <t>184,863.71</t>
  </si>
  <si>
    <t>52,361.00</t>
  </si>
  <si>
    <t>9,789,848.66</t>
  </si>
  <si>
    <t>1,642,033.01</t>
  </si>
  <si>
    <t>1,499,453.26</t>
  </si>
  <si>
    <t>438,600.00</t>
  </si>
  <si>
    <t>68,200.00</t>
  </si>
  <si>
    <t>840,000.00</t>
  </si>
  <si>
    <t>271,950.00</t>
  </si>
  <si>
    <t>395,540.11</t>
  </si>
  <si>
    <t>197,413.51</t>
  </si>
  <si>
    <t>10,975,562.44</t>
  </si>
  <si>
    <t>9,964,987.00</t>
  </si>
  <si>
    <t>307,341.95</t>
  </si>
  <si>
    <t>28,224.45</t>
  </si>
  <si>
    <t>505,831.42</t>
  </si>
  <si>
    <t>2,256,567.00</t>
  </si>
  <si>
    <t>111,048.75</t>
  </si>
  <si>
    <t>251,271.00</t>
  </si>
  <si>
    <t>28,340,000.00</t>
  </si>
  <si>
    <t>2,137,500.00</t>
  </si>
  <si>
    <t>3,557,996.32</t>
  </si>
  <si>
    <t>222,970.00</t>
  </si>
  <si>
    <t>135,750.00</t>
  </si>
  <si>
    <t>74,800.00</t>
  </si>
  <si>
    <t>176,250.00</t>
  </si>
  <si>
    <t>680,546.00</t>
  </si>
  <si>
    <t>2,421,446.50</t>
  </si>
  <si>
    <t>279,245.00</t>
  </si>
  <si>
    <t>5,738,732.50</t>
  </si>
  <si>
    <t>1,294,800.00</t>
  </si>
  <si>
    <t>1,116,090.00</t>
  </si>
  <si>
    <t>725,000.00</t>
  </si>
  <si>
    <t>114,500.00</t>
  </si>
  <si>
    <t>1,447,403.00</t>
  </si>
  <si>
    <t>333,611.68</t>
  </si>
  <si>
    <t>1,509,154.91</t>
  </si>
  <si>
    <t>1,208,225.00</t>
  </si>
  <si>
    <t>3,125,000.00</t>
  </si>
  <si>
    <t>5,996,916.53</t>
  </si>
  <si>
    <t>520,000.00</t>
  </si>
  <si>
    <t>451,000.00</t>
  </si>
  <si>
    <t>699,660.00</t>
  </si>
  <si>
    <t>119,500.00</t>
  </si>
  <si>
    <t>1,197,787.23</t>
  </si>
  <si>
    <t>361,800.00</t>
  </si>
  <si>
    <t>266,435.00</t>
  </si>
  <si>
    <t>68,600.00</t>
  </si>
  <si>
    <t>2,313,834.42</t>
  </si>
  <si>
    <t>1,309,950.00</t>
  </si>
  <si>
    <t>1,288,000.00</t>
  </si>
  <si>
    <t>307,615.00</t>
  </si>
  <si>
    <t>20,198,500.00</t>
  </si>
  <si>
    <t>2,593,225.84</t>
  </si>
  <si>
    <t>226,723.00</t>
  </si>
  <si>
    <t>28,324.98</t>
  </si>
  <si>
    <t>68,500.00</t>
  </si>
  <si>
    <t>1,032,820.97</t>
  </si>
  <si>
    <t>1,323,787.58</t>
  </si>
  <si>
    <t>32,297,289.45</t>
  </si>
  <si>
    <t>2,349,862.30</t>
  </si>
  <si>
    <t>50,963.00</t>
  </si>
  <si>
    <t>1,613,075.60</t>
  </si>
  <si>
    <t>581,637.00</t>
  </si>
  <si>
    <t>373,300.00</t>
  </si>
  <si>
    <t>2,175,000.00</t>
  </si>
  <si>
    <t>89,280.00</t>
  </si>
  <si>
    <t>84,292.00</t>
  </si>
  <si>
    <t>786,081.14</t>
  </si>
  <si>
    <t>278,000.00</t>
  </si>
  <si>
    <t>216,725.00</t>
  </si>
  <si>
    <t>865,020.00</t>
  </si>
  <si>
    <t>32,786.05</t>
  </si>
  <si>
    <t>387,071.41</t>
  </si>
  <si>
    <t>1,409,917.35</t>
  </si>
  <si>
    <t>285,200.00</t>
  </si>
  <si>
    <t>444,741.00</t>
  </si>
  <si>
    <t>25,535.00</t>
  </si>
  <si>
    <t>1,319,750.00</t>
  </si>
  <si>
    <t>139,770.00</t>
  </si>
  <si>
    <t>971,109.00</t>
  </si>
  <si>
    <t>892,466.56</t>
  </si>
  <si>
    <t>1,747,471.55</t>
  </si>
  <si>
    <t>298,229.49</t>
  </si>
  <si>
    <t>1,476,132.81</t>
  </si>
  <si>
    <t>165,970.00</t>
  </si>
  <si>
    <t>188,750.00</t>
  </si>
  <si>
    <t>204,750.00</t>
  </si>
  <si>
    <t>103,246.00</t>
  </si>
  <si>
    <t>4,798,500.00</t>
  </si>
  <si>
    <t>1,420,686.77</t>
  </si>
  <si>
    <t>412,725.00</t>
  </si>
  <si>
    <t>846,500.00</t>
  </si>
  <si>
    <t>2,348,345.68</t>
  </si>
  <si>
    <t>415,965.00</t>
  </si>
  <si>
    <t>231,027.00</t>
  </si>
  <si>
    <t>428,533.93</t>
  </si>
  <si>
    <t>4,775,450.00</t>
  </si>
  <si>
    <t>575,585.00</t>
  </si>
  <si>
    <t>580,651.00</t>
  </si>
  <si>
    <t>404,550.00</t>
  </si>
  <si>
    <t>11,250.00</t>
  </si>
  <si>
    <t>1,525,056.00</t>
  </si>
  <si>
    <t>48,500,000.00</t>
  </si>
  <si>
    <t>318,000.00</t>
  </si>
  <si>
    <t>88,400.00</t>
  </si>
  <si>
    <t>103,110.00</t>
  </si>
  <si>
    <t>628,255.00</t>
  </si>
  <si>
    <t>40,800.00</t>
  </si>
  <si>
    <t>499,451.00</t>
  </si>
  <si>
    <t>120,000,000.00</t>
  </si>
  <si>
    <t>139,150.00</t>
  </si>
  <si>
    <t>1,175,977.00</t>
  </si>
  <si>
    <t>717,750.00</t>
  </si>
  <si>
    <t>269,290.00</t>
  </si>
  <si>
    <t>1,223,078.19</t>
  </si>
  <si>
    <t>110,459.00</t>
  </si>
  <si>
    <t>999,998.80</t>
  </si>
  <si>
    <t>2,181,848.34</t>
  </si>
  <si>
    <t>755,250.00</t>
  </si>
  <si>
    <t>115,710.00</t>
  </si>
  <si>
    <t>215,950.00</t>
  </si>
  <si>
    <t>669,530.00</t>
  </si>
  <si>
    <t>6,200.00</t>
  </si>
  <si>
    <t>426,000.00</t>
  </si>
  <si>
    <t>262,250.00</t>
  </si>
  <si>
    <t>234,160.00</t>
  </si>
  <si>
    <t>1,505,091.00</t>
  </si>
  <si>
    <t>278,118.00</t>
  </si>
  <si>
    <t>367,120.00</t>
  </si>
  <si>
    <t>150,775.00</t>
  </si>
  <si>
    <t>1,614,353.60</t>
  </si>
  <si>
    <t>222,040.00</t>
  </si>
  <si>
    <t>50,276.00</t>
  </si>
  <si>
    <t>2,999,606.10</t>
  </si>
  <si>
    <t>599,950.32</t>
  </si>
  <si>
    <t>12,396.00</t>
  </si>
  <si>
    <t>76,503.00</t>
  </si>
  <si>
    <t>991,600.00</t>
  </si>
  <si>
    <t>492,244.00</t>
  </si>
  <si>
    <t>1,999,469.80</t>
  </si>
  <si>
    <t>691,000.00</t>
  </si>
  <si>
    <t>456,738.06</t>
  </si>
  <si>
    <t>51,930.00</t>
  </si>
  <si>
    <t>397,000.00</t>
  </si>
  <si>
    <t>4,594,000.00</t>
  </si>
  <si>
    <t>343,541.25</t>
  </si>
  <si>
    <t>4,653,000.00</t>
  </si>
  <si>
    <t>7,400,000.00</t>
  </si>
  <si>
    <t>3,013,064.62</t>
  </si>
  <si>
    <t>3,944,942.38</t>
  </si>
  <si>
    <t>204,500.00</t>
  </si>
  <si>
    <t>135,200.00</t>
  </si>
  <si>
    <t>808,800.00</t>
  </si>
  <si>
    <t>1,119,599.00</t>
  </si>
  <si>
    <t>662,181.57</t>
  </si>
  <si>
    <t>166,944.00</t>
  </si>
  <si>
    <t>4,400.00</t>
  </si>
  <si>
    <t>580,176.00</t>
  </si>
  <si>
    <t>2,145,000.00</t>
  </si>
  <si>
    <t>169,995.00</t>
  </si>
  <si>
    <t>987,000.00</t>
  </si>
  <si>
    <t>274,193.17</t>
  </si>
  <si>
    <t>1,838,514.60</t>
  </si>
  <si>
    <t>213,985.00</t>
  </si>
  <si>
    <t>12,250,000.00</t>
  </si>
  <si>
    <t>132,440.01</t>
  </si>
  <si>
    <t>147,913.00</t>
  </si>
  <si>
    <t>174,800.00</t>
  </si>
  <si>
    <t>272,306.60</t>
  </si>
  <si>
    <t>912,757.13</t>
  </si>
  <si>
    <t>2,969,999.97</t>
  </si>
  <si>
    <t>213,780.52</t>
  </si>
  <si>
    <t>603,200.00</t>
  </si>
  <si>
    <t>240,408.32</t>
  </si>
  <si>
    <t>999,755.00</t>
  </si>
  <si>
    <t>996,808.84</t>
  </si>
  <si>
    <t>604,419.40</t>
  </si>
  <si>
    <t>123,700.00</t>
  </si>
  <si>
    <t>252,000.00</t>
  </si>
  <si>
    <t>548,232.56</t>
  </si>
  <si>
    <t>189,080.00</t>
  </si>
  <si>
    <t>399,655.18</t>
  </si>
  <si>
    <t>9,799,997.65</t>
  </si>
  <si>
    <t>120,706.00</t>
  </si>
  <si>
    <t>279,999,810.00</t>
  </si>
  <si>
    <t>52,970,398.00</t>
  </si>
  <si>
    <t>9,799,997.84</t>
  </si>
  <si>
    <t>41,170,000.00</t>
  </si>
  <si>
    <t>331,700.00</t>
  </si>
  <si>
    <t>910,257.60</t>
  </si>
  <si>
    <t>666,852.50</t>
  </si>
  <si>
    <t>865,200.00</t>
  </si>
  <si>
    <t>381,163.00</t>
  </si>
  <si>
    <t>39,604,000.00</t>
  </si>
  <si>
    <t>127,570.91</t>
  </si>
  <si>
    <t>1,999,998.99</t>
  </si>
  <si>
    <t>58,800,000.00</t>
  </si>
  <si>
    <t>1,930,000.00</t>
  </si>
  <si>
    <t>50,950,198.19</t>
  </si>
  <si>
    <t>156,665.00</t>
  </si>
  <si>
    <t>592,373.94</t>
  </si>
  <si>
    <t>1,596,506.00</t>
  </si>
  <si>
    <t>356,000.00</t>
  </si>
  <si>
    <t>1,240,188.00</t>
  </si>
  <si>
    <t>6,740,000.00</t>
  </si>
  <si>
    <t>19,027,800.00</t>
  </si>
  <si>
    <t>1,247,424.00</t>
  </si>
  <si>
    <t>339,140.00</t>
  </si>
  <si>
    <t>11,385,000.00</t>
  </si>
  <si>
    <t>200,433.00</t>
  </si>
  <si>
    <t>1,694,323.71</t>
  </si>
  <si>
    <t>193,834.00</t>
  </si>
  <si>
    <t>174,488.00</t>
  </si>
  <si>
    <t>39,999,049.66</t>
  </si>
  <si>
    <t>6,930,000.00</t>
  </si>
  <si>
    <t>99,992.00</t>
  </si>
  <si>
    <t>112,755.00</t>
  </si>
  <si>
    <t>699,426.00</t>
  </si>
  <si>
    <t>388,780.00</t>
  </si>
  <si>
    <t>184,370.00</t>
  </si>
  <si>
    <t>3,992,000.00</t>
  </si>
  <si>
    <t>300,967.00</t>
  </si>
  <si>
    <t>64,252.00</t>
  </si>
  <si>
    <t>1,255,626.00</t>
  </si>
  <si>
    <t>485,742.00</t>
  </si>
  <si>
    <t>19,512,082.18</t>
  </si>
  <si>
    <t>15,978.00</t>
  </si>
  <si>
    <t>1,864,517.40</t>
  </si>
  <si>
    <t>261,000.00</t>
  </si>
  <si>
    <t>4,760,950.00</t>
  </si>
  <si>
    <t>979,498.33</t>
  </si>
  <si>
    <t>173,160.00</t>
  </si>
  <si>
    <t>206,604.45</t>
  </si>
  <si>
    <t>1,964,957.00</t>
  </si>
  <si>
    <t>6,756,557.00</t>
  </si>
  <si>
    <t>952,662.72</t>
  </si>
  <si>
    <t>1,430,280.00</t>
  </si>
  <si>
    <t>38,495,037.51</t>
  </si>
  <si>
    <t>1,522,800.00</t>
  </si>
  <si>
    <t>5,232,510.08</t>
  </si>
  <si>
    <t>977,492.99</t>
  </si>
  <si>
    <t>2,895,000.00</t>
  </si>
  <si>
    <t>591,687.25</t>
  </si>
  <si>
    <t>1,705,366.00</t>
  </si>
  <si>
    <t>639,984.45</t>
  </si>
  <si>
    <t>47,979,900.00</t>
  </si>
  <si>
    <t>109,700.00</t>
  </si>
  <si>
    <t>1,710,930.00</t>
  </si>
  <si>
    <t>50,457.00</t>
  </si>
  <si>
    <t>2,385,600.00</t>
  </si>
  <si>
    <t>317,808.00</t>
  </si>
  <si>
    <t>61,315.00</t>
  </si>
  <si>
    <t>1,642,200.00</t>
  </si>
  <si>
    <t>220,700.00</t>
  </si>
  <si>
    <t>939,817.62</t>
  </si>
  <si>
    <t>27,300,000.00</t>
  </si>
  <si>
    <t>2,333,900.00</t>
  </si>
  <si>
    <t>6,875,000.00</t>
  </si>
  <si>
    <t>490,754.28</t>
  </si>
  <si>
    <t>950,500.00</t>
  </si>
  <si>
    <t>3,682,655.14</t>
  </si>
  <si>
    <t>107,300.00</t>
  </si>
  <si>
    <t>3,940,489.48</t>
  </si>
  <si>
    <t>2,897,200.00</t>
  </si>
  <si>
    <t>23,174,033.92</t>
  </si>
  <si>
    <t>286,110.00</t>
  </si>
  <si>
    <t>2,700.00</t>
  </si>
  <si>
    <t>1,810,250.00</t>
  </si>
  <si>
    <t>3,715.00</t>
  </si>
  <si>
    <t>1,066,404.50</t>
  </si>
  <si>
    <t>1,768,475.00</t>
  </si>
  <si>
    <t>170,150.00</t>
  </si>
  <si>
    <t>7,330,025.68</t>
  </si>
  <si>
    <t>300,721.77</t>
  </si>
  <si>
    <t>4,378,687.50</t>
  </si>
  <si>
    <t>858,835.01</t>
  </si>
  <si>
    <t>477,595.00</t>
  </si>
  <si>
    <t>1,343,400.00</t>
  </si>
  <si>
    <t>2,969,095.00</t>
  </si>
  <si>
    <t>3,955,325.51</t>
  </si>
  <si>
    <t>815,209.14</t>
  </si>
  <si>
    <t>249,520.00</t>
  </si>
  <si>
    <t>800,500.00</t>
  </si>
  <si>
    <t>35,300.00</t>
  </si>
  <si>
    <t>3,604,526.86</t>
  </si>
  <si>
    <t>599,981.45</t>
  </si>
  <si>
    <t>306,752.60</t>
  </si>
  <si>
    <t>50,676,000.00</t>
  </si>
  <si>
    <t>173,000.00</t>
  </si>
  <si>
    <t>208,360.00</t>
  </si>
  <si>
    <t>16,435.00</t>
  </si>
  <si>
    <t>246,300.00</t>
  </si>
  <si>
    <t>694,545.00</t>
  </si>
  <si>
    <t>778,225.32</t>
  </si>
  <si>
    <t>806,700.00</t>
  </si>
  <si>
    <t>292,000.00</t>
  </si>
  <si>
    <t>65,840.00</t>
  </si>
  <si>
    <t>325,900.00</t>
  </si>
  <si>
    <t>766,621.09</t>
  </si>
  <si>
    <t>154,200.00</t>
  </si>
  <si>
    <t>16,800.00</t>
  </si>
  <si>
    <t>169,409.26</t>
  </si>
  <si>
    <t>83,350.00</t>
  </si>
  <si>
    <t>175,380.00</t>
  </si>
  <si>
    <t>304,920.00</t>
  </si>
  <si>
    <t>288,470.00</t>
  </si>
  <si>
    <t>999,818.93</t>
  </si>
  <si>
    <t>764,080.00</t>
  </si>
  <si>
    <t>8,670.00</t>
  </si>
  <si>
    <t>49,070.00</t>
  </si>
  <si>
    <t>125,797.50</t>
  </si>
  <si>
    <t>1,061,167.20</t>
  </si>
  <si>
    <t>95,495.00</t>
  </si>
  <si>
    <t>89,900.00</t>
  </si>
  <si>
    <t>57,028.00</t>
  </si>
  <si>
    <t>2,999,813.94</t>
  </si>
  <si>
    <t>730,441.00</t>
  </si>
  <si>
    <t>416,100.00</t>
  </si>
  <si>
    <t>229,925.83</t>
  </si>
  <si>
    <t>187,954.49</t>
  </si>
  <si>
    <t>999,999.68</t>
  </si>
  <si>
    <t>423,050.00</t>
  </si>
  <si>
    <t>1,808,800.00</t>
  </si>
  <si>
    <t>322,400.00</t>
  </si>
  <si>
    <t>298,838.00</t>
  </si>
  <si>
    <t>877,000.00</t>
  </si>
  <si>
    <t>90,850.00</t>
  </si>
  <si>
    <t>2,939,925.29</t>
  </si>
  <si>
    <t>929,619.37</t>
  </si>
  <si>
    <t>1,959,863.45</t>
  </si>
  <si>
    <t>12,539,000.00</t>
  </si>
  <si>
    <t>432,607.00</t>
  </si>
  <si>
    <t>216,136.00</t>
  </si>
  <si>
    <t>7,900.00</t>
  </si>
  <si>
    <t>592,800.00</t>
  </si>
  <si>
    <t>979,965.00</t>
  </si>
  <si>
    <t>1,014,199.20</t>
  </si>
  <si>
    <t>109,415.00</t>
  </si>
  <si>
    <t>459,055.46</t>
  </si>
  <si>
    <t>159,783.36</t>
  </si>
  <si>
    <t>999,534.30</t>
  </si>
  <si>
    <t>7,228,882.95</t>
  </si>
  <si>
    <t>9,255,000.00</t>
  </si>
  <si>
    <t>499,247.00</t>
  </si>
  <si>
    <t>1,469,922.41</t>
  </si>
  <si>
    <t>279,669.48</t>
  </si>
  <si>
    <t>253,200.00</t>
  </si>
  <si>
    <t>93,750.00</t>
  </si>
  <si>
    <t>26,012.00</t>
  </si>
  <si>
    <t>4,851,560.00</t>
  </si>
  <si>
    <t>124,400.00</t>
  </si>
  <si>
    <t>4,409,999.98</t>
  </si>
  <si>
    <t>37,726,000.00</t>
  </si>
  <si>
    <t>523,390.00</t>
  </si>
  <si>
    <t>619,246.00</t>
  </si>
  <si>
    <t>91,008.00</t>
  </si>
  <si>
    <t>57,180.00</t>
  </si>
  <si>
    <t>830,000.00</t>
  </si>
  <si>
    <t>131,175.00</t>
  </si>
  <si>
    <t>113,750.00</t>
  </si>
  <si>
    <t>876,255.00</t>
  </si>
  <si>
    <t>622,200.00</t>
  </si>
  <si>
    <t>300,900.00</t>
  </si>
  <si>
    <t>8,271,000.00</t>
  </si>
  <si>
    <t>244,323.00</t>
  </si>
  <si>
    <t>10,491,000.00</t>
  </si>
  <si>
    <t>1,995,871.20</t>
  </si>
  <si>
    <t>18,000,000.00</t>
  </si>
  <si>
    <t>2,133,619.39</t>
  </si>
  <si>
    <t>234,960.93</t>
  </si>
  <si>
    <t>119,765.00</t>
  </si>
  <si>
    <t>7,129,200.00</t>
  </si>
  <si>
    <t>513,545.00</t>
  </si>
  <si>
    <t>5,321,400.00</t>
  </si>
  <si>
    <t>799,984.97</t>
  </si>
  <si>
    <t>393,902.50</t>
  </si>
  <si>
    <t>4,362,781.17</t>
  </si>
  <si>
    <t>269,711.00</t>
  </si>
  <si>
    <t>94,435.00</t>
  </si>
  <si>
    <t>379,108.40</t>
  </si>
  <si>
    <t>419,333.41</t>
  </si>
  <si>
    <t>493,676.05</t>
  </si>
  <si>
    <t>578,523.00</t>
  </si>
  <si>
    <t>33,361,000.00</t>
  </si>
  <si>
    <t>1,377,800.00</t>
  </si>
  <si>
    <t>10,200.00</t>
  </si>
  <si>
    <t>318,250.00</t>
  </si>
  <si>
    <t>699,825.00</t>
  </si>
  <si>
    <t>338,000.00</t>
  </si>
  <si>
    <t>388,000.00</t>
  </si>
  <si>
    <t>1,181,650.66</t>
  </si>
  <si>
    <t>1,032,269.20</t>
  </si>
  <si>
    <t>105,264.00</t>
  </si>
  <si>
    <t>4,316,600.00</t>
  </si>
  <si>
    <t>411,106.48</t>
  </si>
  <si>
    <t>70,430.30</t>
  </si>
  <si>
    <t>328,860.00</t>
  </si>
  <si>
    <t>299,600.00</t>
  </si>
  <si>
    <t>841,801.00</t>
  </si>
  <si>
    <t>1,199,803.03</t>
  </si>
  <si>
    <t>2,260,000.00</t>
  </si>
  <si>
    <t>19,512,168.46</t>
  </si>
  <si>
    <t>193,401.00</t>
  </si>
  <si>
    <t>1,999,997.48</t>
  </si>
  <si>
    <t>175,196.10</t>
  </si>
  <si>
    <t>107,008.00</t>
  </si>
  <si>
    <t>216,400.00</t>
  </si>
  <si>
    <t>1,470,000.00</t>
  </si>
  <si>
    <t>120,260.00</t>
  </si>
  <si>
    <t>210,279.00</t>
  </si>
  <si>
    <t>1,813,000.00</t>
  </si>
  <si>
    <t>313,137.00</t>
  </si>
  <si>
    <t>709,486.92</t>
  </si>
  <si>
    <t>1,381,045.00</t>
  </si>
  <si>
    <t>840,002.00</t>
  </si>
  <si>
    <t>945,006.00</t>
  </si>
  <si>
    <t>872,407.60</t>
  </si>
  <si>
    <t>161,000.00</t>
  </si>
  <si>
    <t>266,450.00</t>
  </si>
  <si>
    <t>75,502.00</t>
  </si>
  <si>
    <t>153,175.00</t>
  </si>
  <si>
    <t>19,502,380.97</t>
  </si>
  <si>
    <t>342,372.00</t>
  </si>
  <si>
    <t>374,820.00</t>
  </si>
  <si>
    <t>11,939,999.98</t>
  </si>
  <si>
    <t>3,567,776.00</t>
  </si>
  <si>
    <t>2,568,420.00</t>
  </si>
  <si>
    <t>811,405.00</t>
  </si>
  <si>
    <t>99,375.00</t>
  </si>
  <si>
    <t>417,635.56</t>
  </si>
  <si>
    <t>559,000.00</t>
  </si>
  <si>
    <t>10,711,407.00</t>
  </si>
  <si>
    <t>611,064.00</t>
  </si>
  <si>
    <t>1,025,557.00</t>
  </si>
  <si>
    <t>9,999,856.88</t>
  </si>
  <si>
    <t>55,864.75</t>
  </si>
  <si>
    <t>19,501,888.25</t>
  </si>
  <si>
    <t>3,432,000.00</t>
  </si>
  <si>
    <t>97,450.00</t>
  </si>
  <si>
    <t>289,499,796.53</t>
  </si>
  <si>
    <t>207,000.00</t>
  </si>
  <si>
    <t>971,694.27</t>
  </si>
  <si>
    <t>4,538,624.72</t>
  </si>
  <si>
    <t>38,900.00</t>
  </si>
  <si>
    <t>713,411.00</t>
  </si>
  <si>
    <t>12,934,198.51</t>
  </si>
  <si>
    <t>29,397,952.78</t>
  </si>
  <si>
    <t>92,649.70</t>
  </si>
  <si>
    <t>804,023.44</t>
  </si>
  <si>
    <t>12,375,000.00</t>
  </si>
  <si>
    <t>203,027.00</t>
  </si>
  <si>
    <t>509,010.00</t>
  </si>
  <si>
    <t>571,926.25</t>
  </si>
  <si>
    <t>5,197,670.77</t>
  </si>
  <si>
    <t>201,765.00</t>
  </si>
  <si>
    <t>2,454,232.48</t>
  </si>
  <si>
    <t>310,632.00</t>
  </si>
  <si>
    <t>241,440.00</t>
  </si>
  <si>
    <t>9,999,960.13</t>
  </si>
  <si>
    <t>153,928.00</t>
  </si>
  <si>
    <t>243,687.00</t>
  </si>
  <si>
    <t>101,250.00</t>
  </si>
  <si>
    <t>725,889.00</t>
  </si>
  <si>
    <t>9,654,869.08</t>
  </si>
  <si>
    <t>87,230.00</t>
  </si>
  <si>
    <t>84,290.00</t>
  </si>
  <si>
    <t>281,800.00</t>
  </si>
  <si>
    <t>183,542.93</t>
  </si>
  <si>
    <t>14,978,730.89</t>
  </si>
  <si>
    <t>1,120,000.00</t>
  </si>
  <si>
    <t>842,200.00</t>
  </si>
  <si>
    <t>9,999,726.70</t>
  </si>
  <si>
    <t>852,935.00</t>
  </si>
  <si>
    <t>849,732.00</t>
  </si>
  <si>
    <t>156,600.00</t>
  </si>
  <si>
    <t>5,088,823.01</t>
  </si>
  <si>
    <t>502,035.00</t>
  </si>
  <si>
    <t>1,777,613.88</t>
  </si>
  <si>
    <t>71,000.00</t>
  </si>
  <si>
    <t>85,990.00</t>
  </si>
  <si>
    <t>132,460.00</t>
  </si>
  <si>
    <t>52,435.00</t>
  </si>
  <si>
    <t>10,053,000.00</t>
  </si>
  <si>
    <t>11,939,908.64</t>
  </si>
  <si>
    <t>123,970.00</t>
  </si>
  <si>
    <t>932,400.00</t>
  </si>
  <si>
    <t>155,531.93</t>
  </si>
  <si>
    <t>254,580.10</t>
  </si>
  <si>
    <t>3,690,910.09</t>
  </si>
  <si>
    <t>467,740.50</t>
  </si>
  <si>
    <t>78,375.20</t>
  </si>
  <si>
    <t>112,100.00</t>
  </si>
  <si>
    <t>2,885,508.31</t>
  </si>
  <si>
    <t>4,337,743.24</t>
  </si>
  <si>
    <t>725,368.35</t>
  </si>
  <si>
    <t>5,162,420.79</t>
  </si>
  <si>
    <t>955,546.00</t>
  </si>
  <si>
    <t>11,939,177.06</t>
  </si>
  <si>
    <t>1,584,800.00</t>
  </si>
  <si>
    <t>1,560,000.00</t>
  </si>
  <si>
    <t>677,875.00</t>
  </si>
  <si>
    <t>4,243,839.21</t>
  </si>
  <si>
    <t>3,754,200.88</t>
  </si>
  <si>
    <t>5,701,219.60</t>
  </si>
  <si>
    <t>3,767,187.50</t>
  </si>
  <si>
    <t>94,297.00</t>
  </si>
  <si>
    <t>183,820.00</t>
  </si>
  <si>
    <t>5,808,000.00</t>
  </si>
  <si>
    <t>3,395,400.00</t>
  </si>
  <si>
    <t>4,996,567.92</t>
  </si>
  <si>
    <t>989,575.00</t>
  </si>
  <si>
    <t>1,836,650.00</t>
  </si>
  <si>
    <t>6,590,423.49</t>
  </si>
  <si>
    <t>2,740,000.00</t>
  </si>
  <si>
    <t>9,079,050.00</t>
  </si>
  <si>
    <t>1,059,600.00</t>
  </si>
  <si>
    <t>7,569,000.00</t>
  </si>
  <si>
    <t>14,000,000.00</t>
  </si>
  <si>
    <t>5,958,828.89</t>
  </si>
  <si>
    <t>4,019,000.00</t>
  </si>
  <si>
    <t>1,030,000.00</t>
  </si>
  <si>
    <t>437,500.00</t>
  </si>
  <si>
    <t>55,100,000.00</t>
  </si>
  <si>
    <t>11,845,260.00</t>
  </si>
  <si>
    <t>6,165,237.12</t>
  </si>
  <si>
    <t>2,784,017.10</t>
  </si>
  <si>
    <t>9,181,767.50</t>
  </si>
  <si>
    <t>4,732,659.30</t>
  </si>
  <si>
    <t>6,916,350.00</t>
  </si>
  <si>
    <t>16,000,000.00</t>
  </si>
  <si>
    <t>8,592,600.00</t>
  </si>
  <si>
    <t>490,500.00</t>
  </si>
  <si>
    <t>5,131,760.02</t>
  </si>
  <si>
    <t>3,499,264.55</t>
  </si>
  <si>
    <t>5,020,686.68</t>
  </si>
  <si>
    <t>7,458,840.00</t>
  </si>
  <si>
    <t>5,998,574.66</t>
  </si>
  <si>
    <t>730,500.00</t>
  </si>
  <si>
    <t>4,151,665.51</t>
  </si>
  <si>
    <t>2,998,152.98</t>
  </si>
  <si>
    <t>6,260,339.61</t>
  </si>
  <si>
    <t>3,318,370.69</t>
  </si>
  <si>
    <t>5,128,620.26</t>
  </si>
  <si>
    <t>24,197,350.00</t>
  </si>
  <si>
    <t>2,268,500.00</t>
  </si>
  <si>
    <t>5,586,234.92</t>
  </si>
  <si>
    <t>1,834,350.00</t>
  </si>
  <si>
    <t>6,883,593.75</t>
  </si>
  <si>
    <t>6,256,169.73</t>
  </si>
  <si>
    <t>907,950.00</t>
  </si>
  <si>
    <t>3,096,850.34</t>
  </si>
  <si>
    <t>1,996,400.00</t>
  </si>
  <si>
    <t>5,006,498.49</t>
  </si>
  <si>
    <t>865,950.00</t>
  </si>
  <si>
    <t>3,880,482.45</t>
  </si>
  <si>
    <t>3,240,027.28</t>
  </si>
  <si>
    <t>4,550,000.00</t>
  </si>
  <si>
    <t>1,450,000.00</t>
  </si>
  <si>
    <t>914,250.00</t>
  </si>
  <si>
    <t>201,166.66</t>
  </si>
  <si>
    <t>5,946,052.60</t>
  </si>
  <si>
    <t>650,303.50</t>
  </si>
  <si>
    <t>3,495,455.91</t>
  </si>
  <si>
    <t>694,800.00</t>
  </si>
  <si>
    <t>869,100.00</t>
  </si>
  <si>
    <t>911,100.00</t>
  </si>
  <si>
    <t>6,600.00</t>
  </si>
  <si>
    <t>100,583.34</t>
  </si>
  <si>
    <t>260,435.00</t>
  </si>
  <si>
    <t>3,160.00</t>
  </si>
  <si>
    <t>1,820,047.00</t>
  </si>
  <si>
    <t>301,750.00</t>
  </si>
  <si>
    <t>1,343,825.07</t>
  </si>
  <si>
    <t>2,595,970.00</t>
  </si>
  <si>
    <t>3,063,244.41</t>
  </si>
  <si>
    <t>999,909.66</t>
  </si>
  <si>
    <t>57,997.00</t>
  </si>
  <si>
    <t>6,342,600.00</t>
  </si>
  <si>
    <t>4,600.00</t>
  </si>
  <si>
    <t>32,800.00</t>
  </si>
  <si>
    <t>1,529,988.00</t>
  </si>
  <si>
    <t>8,200,000.00</t>
  </si>
  <si>
    <t>3,796,761.23</t>
  </si>
  <si>
    <t>484,765.40</t>
  </si>
  <si>
    <t>414,020.00</t>
  </si>
  <si>
    <t>492,765.40</t>
  </si>
  <si>
    <t>42,443,296.44</t>
  </si>
  <si>
    <t>599,719.37</t>
  </si>
  <si>
    <t>25,202.00</t>
  </si>
  <si>
    <t>740,000.00</t>
  </si>
  <si>
    <t>1,232,250.00</t>
  </si>
  <si>
    <t>270,000,000.00</t>
  </si>
  <si>
    <t>537,050.27</t>
  </si>
  <si>
    <t>517,992.45</t>
  </si>
  <si>
    <t>499,942.28</t>
  </si>
  <si>
    <t>399,428.61</t>
  </si>
  <si>
    <t>5,406,000.00</t>
  </si>
  <si>
    <t>58,978.52</t>
  </si>
  <si>
    <t>5,004,000.00</t>
  </si>
  <si>
    <t>128,150.00</t>
  </si>
  <si>
    <t>111,110.00</t>
  </si>
  <si>
    <t>29,399,998.85</t>
  </si>
  <si>
    <t>4,899,978.01</t>
  </si>
  <si>
    <t>2,936,838.29</t>
  </si>
  <si>
    <t>1,826,513.92</t>
  </si>
  <si>
    <t>54,445.00</t>
  </si>
  <si>
    <t>53,405.00</t>
  </si>
  <si>
    <t>56,393.00</t>
  </si>
  <si>
    <t>360,440.00</t>
  </si>
  <si>
    <t>7,839,984.59</t>
  </si>
  <si>
    <t>29,599,650.87</t>
  </si>
  <si>
    <t>178,398.56</t>
  </si>
  <si>
    <t>937,000.00</t>
  </si>
  <si>
    <t>14,563,108.00</t>
  </si>
  <si>
    <t>5,748,422.00</t>
  </si>
  <si>
    <t>509,000.00</t>
  </si>
  <si>
    <t>1,939,306.60</t>
  </si>
  <si>
    <t>4,240,000.00</t>
  </si>
  <si>
    <t>98,500.00</t>
  </si>
  <si>
    <t>4,899,399.41</t>
  </si>
  <si>
    <t>91,335.00</t>
  </si>
  <si>
    <t>28,642,847.47</t>
  </si>
  <si>
    <t>1,891,978.38</t>
  </si>
  <si>
    <t>6,610,000.00</t>
  </si>
  <si>
    <t>363,576.00</t>
  </si>
  <si>
    <t>187,105.20</t>
  </si>
  <si>
    <t>716,997.00</t>
  </si>
  <si>
    <t>84,750.00</t>
  </si>
  <si>
    <t>999,712.00</t>
  </si>
  <si>
    <t>8,995,414.20</t>
  </si>
  <si>
    <t>12,571,721.70</t>
  </si>
  <si>
    <t>163,475.00</t>
  </si>
  <si>
    <t>1,643,739.00</t>
  </si>
  <si>
    <t>2,295,000.00</t>
  </si>
  <si>
    <t>499,978.50</t>
  </si>
  <si>
    <t>1,378,000.00</t>
  </si>
  <si>
    <t>1,006,550.00</t>
  </si>
  <si>
    <t>3,110,815.57</t>
  </si>
  <si>
    <t>6,475,999.12</t>
  </si>
  <si>
    <t>164,280.00</t>
  </si>
  <si>
    <t>997,711.26</t>
  </si>
  <si>
    <t>143,980.32</t>
  </si>
  <si>
    <t>1,194,625.96</t>
  </si>
  <si>
    <t>249,920.00</t>
  </si>
  <si>
    <t>5,235,000.00</t>
  </si>
  <si>
    <t>749,945.50</t>
  </si>
  <si>
    <t>1,003,630.00</t>
  </si>
  <si>
    <t>2,299,999.14</t>
  </si>
  <si>
    <t>1,349,140.11</t>
  </si>
  <si>
    <t>563,000.10</t>
  </si>
  <si>
    <t>11,799,906.51</t>
  </si>
  <si>
    <t>253,000.00</t>
  </si>
  <si>
    <t>5,600,000.00</t>
  </si>
  <si>
    <t>798,836.65</t>
  </si>
  <si>
    <t>1,494,341.40</t>
  </si>
  <si>
    <t>4,498,938.88</t>
  </si>
  <si>
    <t>749,901.36</t>
  </si>
  <si>
    <t>973,773.75</t>
  </si>
  <si>
    <t>1,997,935.84</t>
  </si>
  <si>
    <t>999,613.24</t>
  </si>
  <si>
    <t>774,019.60</t>
  </si>
  <si>
    <t>1,605,821.75</t>
  </si>
  <si>
    <t>1,475,316.45</t>
  </si>
  <si>
    <t>9,999,649.57</t>
  </si>
  <si>
    <t>17,915,053.01</t>
  </si>
  <si>
    <t>3,111,979.00</t>
  </si>
  <si>
    <t>1,888,518.34</t>
  </si>
  <si>
    <t>4,531,339.74</t>
  </si>
  <si>
    <t>979,204.85</t>
  </si>
  <si>
    <t>17,099,800.67</t>
  </si>
  <si>
    <t>1,179,678.71</t>
  </si>
  <si>
    <t>1,711,067.40</t>
  </si>
  <si>
    <t>519,636.54</t>
  </si>
  <si>
    <t>1,349,834.11</t>
  </si>
  <si>
    <t>474,767.41</t>
  </si>
  <si>
    <t>999,951.42</t>
  </si>
  <si>
    <t>4,000,100.00</t>
  </si>
  <si>
    <t>2,536,000.00</t>
  </si>
  <si>
    <t>152,895.26</t>
  </si>
  <si>
    <t>65,124.84</t>
  </si>
  <si>
    <t>1,330,000.00</t>
  </si>
  <si>
    <t>796,980.00</t>
  </si>
  <si>
    <t>73,180.00</t>
  </si>
  <si>
    <t>408,263.00</t>
  </si>
  <si>
    <t>369,957.52</t>
  </si>
  <si>
    <t>1,801,896.00</t>
  </si>
  <si>
    <t>178,750.00</t>
  </si>
  <si>
    <t>268,836.00</t>
  </si>
  <si>
    <t>1,182,743.90</t>
  </si>
  <si>
    <t>99,801.00</t>
  </si>
  <si>
    <t>1,197,667.08</t>
  </si>
  <si>
    <t>74,596.00</t>
  </si>
  <si>
    <t>649,430.00</t>
  </si>
  <si>
    <t>243,936.00</t>
  </si>
  <si>
    <t>9,487,436.00</t>
  </si>
  <si>
    <t>84,698.00</t>
  </si>
  <si>
    <t>597,986.52</t>
  </si>
  <si>
    <t>3,113,414.37</t>
  </si>
  <si>
    <t>2,498,968.55</t>
  </si>
  <si>
    <t>688,927.06</t>
  </si>
  <si>
    <t>527,399.60</t>
  </si>
  <si>
    <t>2,046,059.27</t>
  </si>
  <si>
    <t>4,374,167.19</t>
  </si>
  <si>
    <t>2,424,840.00</t>
  </si>
  <si>
    <t>1,600,738.72</t>
  </si>
  <si>
    <t>1,298,172.82</t>
  </si>
  <si>
    <t>1,453,900.00</t>
  </si>
  <si>
    <t>2,278,305.00</t>
  </si>
  <si>
    <t>4,022,960.15</t>
  </si>
  <si>
    <t>2,551,800.00</t>
  </si>
  <si>
    <t>2,041,960.00</t>
  </si>
  <si>
    <t>99,727,604.06</t>
  </si>
  <si>
    <t>1,416,000.00</t>
  </si>
  <si>
    <t>596,400.00</t>
  </si>
  <si>
    <t>17,979,300.00</t>
  </si>
  <si>
    <t>1,344,000.00</t>
  </si>
  <si>
    <t>456,142.14</t>
  </si>
  <si>
    <t>1,756,560.00</t>
  </si>
  <si>
    <t>1,416,798.00</t>
  </si>
  <si>
    <t>1,162,660.80</t>
  </si>
  <si>
    <t>4,998,830.71</t>
  </si>
  <si>
    <t>2,042,872.49</t>
  </si>
  <si>
    <t>142,191.00</t>
  </si>
  <si>
    <t>496,320.00</t>
  </si>
  <si>
    <t>376,950.00</t>
  </si>
  <si>
    <t>55,096.00</t>
  </si>
  <si>
    <t>1,996,597.32</t>
  </si>
  <si>
    <t>70,368.50</t>
  </si>
  <si>
    <t>65,731.00</t>
  </si>
  <si>
    <t>191,435.00</t>
  </si>
  <si>
    <t>169,375.00</t>
  </si>
  <si>
    <t>75,223.00</t>
  </si>
  <si>
    <t>75,650.00</t>
  </si>
  <si>
    <t>12,935,000.00</t>
  </si>
  <si>
    <t>5,197,000.00</t>
  </si>
  <si>
    <t>534,520.00</t>
  </si>
  <si>
    <t>47,000.00</t>
  </si>
  <si>
    <t>403,126.00</t>
  </si>
  <si>
    <t>910,024.71</t>
  </si>
  <si>
    <t>221,925.00</t>
  </si>
  <si>
    <t>134,554.00</t>
  </si>
  <si>
    <t>54,750.00</t>
  </si>
  <si>
    <t>971,830.99</t>
  </si>
  <si>
    <t>2,425,000.00</t>
  </si>
  <si>
    <t>69,300.00</t>
  </si>
  <si>
    <t>99,815.60</t>
  </si>
  <si>
    <t>1,455,000.00</t>
  </si>
  <si>
    <t>277,300.00</t>
  </si>
  <si>
    <t>236,090.00</t>
  </si>
  <si>
    <t>90,315.00</t>
  </si>
  <si>
    <t>11,937,445.31</t>
  </si>
  <si>
    <t>23,030,000.00</t>
  </si>
  <si>
    <t>999,906.66</t>
  </si>
  <si>
    <t>3,398,479.39</t>
  </si>
  <si>
    <t>1,636,614.74</t>
  </si>
  <si>
    <t>88,879.00</t>
  </si>
  <si>
    <t>1,401,421.88</t>
  </si>
  <si>
    <t>1,493,425.00</t>
  </si>
  <si>
    <t>499,925.00</t>
  </si>
  <si>
    <t>1,893,077.60</t>
  </si>
  <si>
    <t>9,776,567.52</t>
  </si>
  <si>
    <t>291,000.00</t>
  </si>
  <si>
    <t>11,933,851.05</t>
  </si>
  <si>
    <t>647,237.00</t>
  </si>
  <si>
    <t>1,199,428.12</t>
  </si>
  <si>
    <t>2,140,000.00</t>
  </si>
  <si>
    <t>299,642.10</t>
  </si>
  <si>
    <t>622,000.00</t>
  </si>
  <si>
    <t>725,839.00</t>
  </si>
  <si>
    <t>531,000.00</t>
  </si>
  <si>
    <t>71,460.00</t>
  </si>
  <si>
    <t>1,911,000.00</t>
  </si>
  <si>
    <t>49,999,808.70</t>
  </si>
  <si>
    <t>2,554,685.70</t>
  </si>
  <si>
    <t>180,450.00</t>
  </si>
  <si>
    <t>118,406.00</t>
  </si>
  <si>
    <t>9,975.00</t>
  </si>
  <si>
    <t>51,764.00</t>
  </si>
  <si>
    <t>12,340.62</t>
  </si>
  <si>
    <t>489,444.24</t>
  </si>
  <si>
    <t>438,985.82</t>
  </si>
  <si>
    <t>7,271.50</t>
  </si>
  <si>
    <t>22,996.45</t>
  </si>
  <si>
    <t>1,374,767.00</t>
  </si>
  <si>
    <t>521,051.10</t>
  </si>
  <si>
    <t>79,450.00</t>
  </si>
  <si>
    <t>816,162.00</t>
  </si>
  <si>
    <t>12,751.17</t>
  </si>
  <si>
    <t>1,787,163.05</t>
  </si>
  <si>
    <t>59,782.00</t>
  </si>
  <si>
    <t>194,517.00</t>
  </si>
  <si>
    <t>230,900.00</t>
  </si>
  <si>
    <t>375,206.40</t>
  </si>
  <si>
    <t>9,940.00</t>
  </si>
  <si>
    <t>342,000.00</t>
  </si>
  <si>
    <t>41,462.00</t>
  </si>
  <si>
    <t>7,321,150.00</t>
  </si>
  <si>
    <t>2,729,769.20</t>
  </si>
  <si>
    <t>1,604,219.00</t>
  </si>
  <si>
    <t>967,120.00</t>
  </si>
  <si>
    <t>791,505.00</t>
  </si>
  <si>
    <t>14,424.04</t>
  </si>
  <si>
    <t>681,835.14</t>
  </si>
  <si>
    <t>863,234.31</t>
  </si>
  <si>
    <t>240,500.00</t>
  </si>
  <si>
    <t>1,000.00</t>
  </si>
  <si>
    <t>550,580.00</t>
  </si>
  <si>
    <t>249,993.50</t>
  </si>
  <si>
    <t>27,200.00</t>
  </si>
  <si>
    <t>49,168.40</t>
  </si>
  <si>
    <t>197,520.00</t>
  </si>
  <si>
    <t>84,510.00</t>
  </si>
  <si>
    <t>669,573.35</t>
  </si>
  <si>
    <t>2,379,290.00</t>
  </si>
  <si>
    <t>1,512,000.00</t>
  </si>
  <si>
    <t>1,099,595.00</t>
  </si>
  <si>
    <t>1,180,590.00</t>
  </si>
  <si>
    <t>999,828.72</t>
  </si>
  <si>
    <t>236,026.18</t>
  </si>
  <si>
    <t>1,149,500.00</t>
  </si>
  <si>
    <t>1,207,830.00</t>
  </si>
  <si>
    <t>1,296,900.00</t>
  </si>
  <si>
    <t>998,532.35</t>
  </si>
  <si>
    <t>4,243,896.00</t>
  </si>
  <si>
    <t>1,255,817.64</t>
  </si>
  <si>
    <t>641,248.00</t>
  </si>
  <si>
    <t>907,060.00</t>
  </si>
  <si>
    <t>1,151,960.00</t>
  </si>
  <si>
    <t>1,696,971.05</t>
  </si>
  <si>
    <t>948,060.00</t>
  </si>
  <si>
    <t>2,098,000.00</t>
  </si>
  <si>
    <t>610,955.00</t>
  </si>
  <si>
    <t>90,574.00</t>
  </si>
  <si>
    <t>82,800.00</t>
  </si>
  <si>
    <t>1,446,281.32</t>
  </si>
  <si>
    <t>143,999.00</t>
  </si>
  <si>
    <t>1,935,306.31</t>
  </si>
  <si>
    <t>2,105,000.00</t>
  </si>
  <si>
    <t>2,698,192.09</t>
  </si>
  <si>
    <t>711,396.00</t>
  </si>
  <si>
    <t>3,456,090.00</t>
  </si>
  <si>
    <t>148,220.00</t>
  </si>
  <si>
    <t>499,925.81</t>
  </si>
  <si>
    <t>5,320,000.00</t>
  </si>
  <si>
    <t>52,592.69</t>
  </si>
  <si>
    <t>792,765.00</t>
  </si>
  <si>
    <t>271,085.00</t>
  </si>
  <si>
    <t>79,050.00</t>
  </si>
  <si>
    <t>469,181.15</t>
  </si>
  <si>
    <t>1,947,935.00</t>
  </si>
  <si>
    <t>630,800.00</t>
  </si>
  <si>
    <t>73,160.00</t>
  </si>
  <si>
    <t>499,912.20</t>
  </si>
  <si>
    <t>887,907.00</t>
  </si>
  <si>
    <t>2,677,785.30</t>
  </si>
  <si>
    <t>2,299,618.00</t>
  </si>
  <si>
    <t>269,650.00</t>
  </si>
  <si>
    <t>495,455.00</t>
  </si>
  <si>
    <t>635,760.00</t>
  </si>
  <si>
    <t>217,520.00</t>
  </si>
  <si>
    <t>265,456.00</t>
  </si>
  <si>
    <t>1,498,559.93</t>
  </si>
  <si>
    <t>3,008,072.65</t>
  </si>
  <si>
    <t>9,630,000.00</t>
  </si>
  <si>
    <t>267,183.00</t>
  </si>
  <si>
    <t>1,225.00</t>
  </si>
  <si>
    <t>576,062.11</t>
  </si>
  <si>
    <t>640,817.00</t>
  </si>
  <si>
    <t>221,000.00</t>
  </si>
  <si>
    <t>1,480,610.00</t>
  </si>
  <si>
    <t>67,720.00</t>
  </si>
  <si>
    <t>44,520.00</t>
  </si>
  <si>
    <t>635,729.40</t>
  </si>
  <si>
    <t>284,802.00</t>
  </si>
  <si>
    <t>695,165.26</t>
  </si>
  <si>
    <t>3,600.00</t>
  </si>
  <si>
    <t>3,053.23</t>
  </si>
  <si>
    <t>91,325.60</t>
  </si>
  <si>
    <t>40,900.00</t>
  </si>
  <si>
    <t>67,060.80</t>
  </si>
  <si>
    <t>3,650.71</t>
  </si>
  <si>
    <t>10,452,868.00</t>
  </si>
  <si>
    <t>17,043.13</t>
  </si>
  <si>
    <t>7,200.00</t>
  </si>
  <si>
    <t>1,185,576.38</t>
  </si>
  <si>
    <t>2,535,000.00</t>
  </si>
  <si>
    <t>601,872.00</t>
  </si>
  <si>
    <t>307,750.72</t>
  </si>
  <si>
    <t>1,818,000.00</t>
  </si>
  <si>
    <t>1,429,669.64</t>
  </si>
  <si>
    <t>354,695.22</t>
  </si>
  <si>
    <t>1,999,200.00</t>
  </si>
  <si>
    <t>2,499,972.41</t>
  </si>
  <si>
    <t>390,072.00</t>
  </si>
  <si>
    <t>3,494,433.76</t>
  </si>
  <si>
    <t>10,996,380.73</t>
  </si>
  <si>
    <t>168,910.00</t>
  </si>
  <si>
    <t>71,625.00</t>
  </si>
  <si>
    <t>911,000.00</t>
  </si>
  <si>
    <t>3,050.00</t>
  </si>
  <si>
    <t>478,323.43</t>
  </si>
  <si>
    <t>232,320.00</t>
  </si>
  <si>
    <t>139,381.50</t>
  </si>
  <si>
    <t>1,098,230.00</t>
  </si>
  <si>
    <t>206,502.00</t>
  </si>
  <si>
    <t>51,259.20</t>
  </si>
  <si>
    <t>1,630,860.00</t>
  </si>
  <si>
    <t>99,393.00</t>
  </si>
  <si>
    <t>1,150,462.42</t>
  </si>
  <si>
    <t>64,699.39</t>
  </si>
  <si>
    <t>29,021.45</t>
  </si>
  <si>
    <t>27,375.00</t>
  </si>
  <si>
    <t>375,200.00</t>
  </si>
  <si>
    <t>1,397,118.54</t>
  </si>
  <si>
    <t>499,770.00</t>
  </si>
  <si>
    <t>572,274.57</t>
  </si>
  <si>
    <t>921,472.05</t>
  </si>
  <si>
    <t>206,095.00</t>
  </si>
  <si>
    <t>666,696.65</t>
  </si>
  <si>
    <t>860,000.00</t>
  </si>
  <si>
    <t>1,505,180.64</t>
  </si>
  <si>
    <t>13,598.00</t>
  </si>
  <si>
    <t>227,688.00</t>
  </si>
  <si>
    <t>668,545.10</t>
  </si>
  <si>
    <t>285,100.00</t>
  </si>
  <si>
    <t>1,263,535.00</t>
  </si>
  <si>
    <t>5,014,000.00</t>
  </si>
  <si>
    <t>4,951,231.64</t>
  </si>
  <si>
    <t>1,496,851.84</t>
  </si>
  <si>
    <t>34,254.00</t>
  </si>
  <si>
    <t>244,580.00</t>
  </si>
  <si>
    <t>3,482,440.00</t>
  </si>
  <si>
    <t>18,030.00</t>
  </si>
  <si>
    <t>642,500.00</t>
  </si>
  <si>
    <t>305,145.23</t>
  </si>
  <si>
    <t>2,450,000.00</t>
  </si>
  <si>
    <t>954,865.97</t>
  </si>
  <si>
    <t>317,524.99</t>
  </si>
  <si>
    <t>177,431.00</t>
  </si>
  <si>
    <t>251,653.99</t>
  </si>
  <si>
    <t>697,654.39</t>
  </si>
  <si>
    <t>31,113.60</t>
  </si>
  <si>
    <t>386,519.33</t>
  </si>
  <si>
    <t>4,624,132.95</t>
  </si>
  <si>
    <t>4,330,608.36</t>
  </si>
  <si>
    <t>7,618,750.00</t>
  </si>
  <si>
    <t>46,578.40</t>
  </si>
  <si>
    <t>50,198.00</t>
  </si>
  <si>
    <t>59,774.00</t>
  </si>
  <si>
    <t>2,886,683.69</t>
  </si>
  <si>
    <t>2,575.00</t>
  </si>
  <si>
    <t>120,980.00</t>
  </si>
  <si>
    <t>118,500.00</t>
  </si>
  <si>
    <t>1,170,430.72</t>
  </si>
  <si>
    <t>3,674,643.05</t>
  </si>
  <si>
    <t>90,450.00</t>
  </si>
  <si>
    <t>18,218,747.17</t>
  </si>
  <si>
    <t>1,758,620.00</t>
  </si>
  <si>
    <t>575,456.44</t>
  </si>
  <si>
    <t>4,086,774.99</t>
  </si>
  <si>
    <t>1,920,000.00</t>
  </si>
  <si>
    <t>124,366.01</t>
  </si>
  <si>
    <t>70,200.00</t>
  </si>
  <si>
    <t>1,597,482.52</t>
  </si>
  <si>
    <t>8,790,658.00</t>
  </si>
  <si>
    <t>326,000.00</t>
  </si>
  <si>
    <t>2,520,000.00</t>
  </si>
  <si>
    <t>94,350.00</t>
  </si>
  <si>
    <t>1,168,834.72</t>
  </si>
  <si>
    <t>300,061.01</t>
  </si>
  <si>
    <t>2,880,000.00</t>
  </si>
  <si>
    <t>28,900.00</t>
  </si>
  <si>
    <t>123,880.00</t>
  </si>
  <si>
    <t>57,300.00</t>
  </si>
  <si>
    <t>811,000.00</t>
  </si>
  <si>
    <t>56,373.00</t>
  </si>
  <si>
    <t>151,880.00</t>
  </si>
  <si>
    <t>14,820,439.76</t>
  </si>
  <si>
    <t>3,123,079.75</t>
  </si>
  <si>
    <t>905,619.35</t>
  </si>
  <si>
    <t>63,200.00</t>
  </si>
  <si>
    <t>1,910,000.00</t>
  </si>
  <si>
    <t>4,967,279.05</t>
  </si>
  <si>
    <t>819,000.00</t>
  </si>
  <si>
    <t>113,160.00</t>
  </si>
  <si>
    <t>2,910,678.02</t>
  </si>
  <si>
    <t>322,250.00</t>
  </si>
  <si>
    <t>70,560.00</t>
  </si>
  <si>
    <t>547,200.00</t>
  </si>
  <si>
    <t>18,961,724.09</t>
  </si>
  <si>
    <t>376,737.12</t>
  </si>
  <si>
    <t>166,165.12</t>
  </si>
  <si>
    <t>4,999,071.40</t>
  </si>
  <si>
    <t>28,210.00</t>
  </si>
  <si>
    <t>7,216,336.47</t>
  </si>
  <si>
    <t>188,870.00</t>
  </si>
  <si>
    <t>1,164,993.18</t>
  </si>
  <si>
    <t>169,982.89</t>
  </si>
  <si>
    <t>245,430.00</t>
  </si>
  <si>
    <t>4,090,704.86</t>
  </si>
  <si>
    <t>1,997,211.63</t>
  </si>
  <si>
    <t>566,387.84</t>
  </si>
  <si>
    <t>148,000,000.00</t>
  </si>
  <si>
    <t>51,200.00</t>
  </si>
  <si>
    <t>598,000.00</t>
  </si>
  <si>
    <t>2,976,190.21</t>
  </si>
  <si>
    <t>2,097,695.31</t>
  </si>
  <si>
    <t>13,614.00</t>
  </si>
  <si>
    <t>54,654.60</t>
  </si>
  <si>
    <t>4,999,400.00</t>
  </si>
  <si>
    <t>462,975.03</t>
  </si>
  <si>
    <t>1,499,523.39</t>
  </si>
  <si>
    <t>155,461.76</t>
  </si>
  <si>
    <t>91,904.00</t>
  </si>
  <si>
    <t>1,310,206.11</t>
  </si>
  <si>
    <t>17,058,441.76</t>
  </si>
  <si>
    <t>478,692.41</t>
  </si>
  <si>
    <t>4,224,800.00</t>
  </si>
  <si>
    <t>1,497,693.49</t>
  </si>
  <si>
    <t>203,458.80</t>
  </si>
  <si>
    <t>912,000.00</t>
  </si>
  <si>
    <t>124,727.00</t>
  </si>
  <si>
    <t>233,000.00</t>
  </si>
  <si>
    <t>72,375,000.00</t>
  </si>
  <si>
    <t>2,966,833.10</t>
  </si>
  <si>
    <t>233,090.40</t>
  </si>
  <si>
    <t>411,575.90</t>
  </si>
  <si>
    <t>57,180,000.00</t>
  </si>
  <si>
    <t>206,400.00</t>
  </si>
  <si>
    <t>25,050.00</t>
  </si>
  <si>
    <t>115,302.00</t>
  </si>
  <si>
    <t>665,999.83</t>
  </si>
  <si>
    <t>1,762,162.47</t>
  </si>
  <si>
    <t>13,929,609.11</t>
  </si>
  <si>
    <t>68,105.00</t>
  </si>
  <si>
    <t>2,790,000.00</t>
  </si>
  <si>
    <t>105,860.00</t>
  </si>
  <si>
    <t>1,385,840.00</t>
  </si>
  <si>
    <t>139,450.00</t>
  </si>
  <si>
    <t>1,639,883.60</t>
  </si>
  <si>
    <t>771,667.30</t>
  </si>
  <si>
    <t>4,364,645.04</t>
  </si>
  <si>
    <t>1,853,041.92</t>
  </si>
  <si>
    <t>469,130.50</t>
  </si>
  <si>
    <t>1,060,000.00</t>
  </si>
  <si>
    <t>99,684.00</t>
  </si>
  <si>
    <t>2,379,856.61</t>
  </si>
  <si>
    <t>52,592.19</t>
  </si>
  <si>
    <t>2,399,999.99</t>
  </si>
  <si>
    <t>285,455.00</t>
  </si>
  <si>
    <t>18,834,953.01</t>
  </si>
  <si>
    <t>11,939,780.92</t>
  </si>
  <si>
    <t>4,966,037.66</t>
  </si>
  <si>
    <t>274,219.71</t>
  </si>
  <si>
    <t>1,881,669.00</t>
  </si>
  <si>
    <t>1,341,106.10</t>
  </si>
  <si>
    <t>295,550.00</t>
  </si>
  <si>
    <t>5,479,519.00</t>
  </si>
  <si>
    <t>5,859,258.63</t>
  </si>
  <si>
    <t>1,174,840.00</t>
  </si>
  <si>
    <t>50,800.00</t>
  </si>
  <si>
    <t>5,081,830.20</t>
  </si>
  <si>
    <t>54,900.00</t>
  </si>
  <si>
    <t>17,805,795.61</t>
  </si>
  <si>
    <t>329,000.00</t>
  </si>
  <si>
    <t>181,000.00</t>
  </si>
  <si>
    <t>1,197,548.74</t>
  </si>
  <si>
    <t>164,261,569.20</t>
  </si>
  <si>
    <t>891,290.00</t>
  </si>
  <si>
    <t>151,500.00</t>
  </si>
  <si>
    <t>65,445.10</t>
  </si>
  <si>
    <t>370,000.00</t>
  </si>
  <si>
    <t>7,839,998.77</t>
  </si>
  <si>
    <t>216,500.00</t>
  </si>
  <si>
    <t>746,781.13</t>
  </si>
  <si>
    <t>5,341,110.57</t>
  </si>
  <si>
    <t>16,500.00</t>
  </si>
  <si>
    <t>249,994.24</t>
  </si>
  <si>
    <t>1,211,917.13</t>
  </si>
  <si>
    <t>18,500.00</t>
  </si>
  <si>
    <t>1,155,562.00</t>
  </si>
  <si>
    <t>1,078,925.00</t>
  </si>
  <si>
    <t>148,150.00</t>
  </si>
  <si>
    <t>2,829,000.00</t>
  </si>
  <si>
    <t>76,000,000.00</t>
  </si>
  <si>
    <t>251,226.00</t>
  </si>
  <si>
    <t>429,000.00</t>
  </si>
  <si>
    <t>34,660.00</t>
  </si>
  <si>
    <t>1,931,345.00</t>
  </si>
  <si>
    <t>1,017,529.00</t>
  </si>
  <si>
    <t>36,521,739.00</t>
  </si>
  <si>
    <t>1,575,000.00</t>
  </si>
  <si>
    <t>506,000.00</t>
  </si>
  <si>
    <t>56,200.00</t>
  </si>
  <si>
    <t>42,990.00</t>
  </si>
  <si>
    <t>500,689.30</t>
  </si>
  <si>
    <t>15,220.00</t>
  </si>
  <si>
    <t>53,757.00</t>
  </si>
  <si>
    <t>1,135,680.00</t>
  </si>
  <si>
    <t>281,779.70</t>
  </si>
  <si>
    <t>2,150,000.00</t>
  </si>
  <si>
    <t>101,186,256.86</t>
  </si>
  <si>
    <t>2,742,550.77</t>
  </si>
  <si>
    <t>398,098.07</t>
  </si>
  <si>
    <t>789,000.00</t>
  </si>
  <si>
    <t>3,051,033.41</t>
  </si>
  <si>
    <t>2,839,703.00</t>
  </si>
  <si>
    <t>2,219,107.39</t>
  </si>
  <si>
    <t>869,600.00</t>
  </si>
  <si>
    <t>21,780,000.00</t>
  </si>
  <si>
    <t>163,812.00</t>
  </si>
  <si>
    <t>4,900.00</t>
  </si>
  <si>
    <t>68,350.00</t>
  </si>
  <si>
    <t>1,015,705.36</t>
  </si>
  <si>
    <t>1,189,978.00</t>
  </si>
  <si>
    <t>8,004,300.00</t>
  </si>
  <si>
    <t>1,495,702.31</t>
  </si>
  <si>
    <t>2,375,000.00</t>
  </si>
  <si>
    <t>11,939,999.94</t>
  </si>
  <si>
    <t>1,688,376.10</t>
  </si>
  <si>
    <t>1,850,000.00</t>
  </si>
  <si>
    <t>2,921,807.65</t>
  </si>
  <si>
    <t>1,215,000.00</t>
  </si>
  <si>
    <t>12,934,999.95</t>
  </si>
  <si>
    <t>1,533,908.06</t>
  </si>
  <si>
    <t>1,873,480.86</t>
  </si>
  <si>
    <t>11,939,999.96</t>
  </si>
  <si>
    <t>99,990.00</t>
  </si>
  <si>
    <t>4,187,835.15</t>
  </si>
  <si>
    <t>2,694,000.00</t>
  </si>
  <si>
    <t>1,959,708.72</t>
  </si>
  <si>
    <t>310,225.00</t>
  </si>
  <si>
    <t>1,679,784.01</t>
  </si>
  <si>
    <t>1,248,177.71</t>
  </si>
  <si>
    <t>1,170,755.00</t>
  </si>
  <si>
    <t>1,264,299.48</t>
  </si>
  <si>
    <t>11,939,999.79</t>
  </si>
  <si>
    <t>1,996,134.85</t>
  </si>
  <si>
    <t>2,115,419.21</t>
  </si>
  <si>
    <t>2,499,601.90</t>
  </si>
  <si>
    <t>19,798,440.62</t>
  </si>
  <si>
    <t>2,767,508.01</t>
  </si>
  <si>
    <t>19,799,556.77</t>
  </si>
  <si>
    <t>1,595,000.00</t>
  </si>
  <si>
    <t>29,686,338.44</t>
  </si>
  <si>
    <t>19,795,920.56</t>
  </si>
  <si>
    <t>2,499,454.36</t>
  </si>
  <si>
    <t>3,680,000.00</t>
  </si>
  <si>
    <t>7,930,452.07</t>
  </si>
  <si>
    <t>122,150.51</t>
  </si>
  <si>
    <t>2,093,096.36</t>
  </si>
  <si>
    <t>136,125.00</t>
  </si>
  <si>
    <t>9,896,740.54</t>
  </si>
  <si>
    <t>2,335,859.79</t>
  </si>
  <si>
    <t>2,968,958.31</t>
  </si>
  <si>
    <t>137,930.00</t>
  </si>
  <si>
    <t>8,928,990.10</t>
  </si>
  <si>
    <t>318,651.90</t>
  </si>
  <si>
    <t>7,919,970.73</t>
  </si>
  <si>
    <t>4,949,503.48</t>
  </si>
  <si>
    <t>90,200.00</t>
  </si>
  <si>
    <t>116,485.00</t>
  </si>
  <si>
    <t>277,230.00</t>
  </si>
  <si>
    <t>1,754,819.92</t>
  </si>
  <si>
    <t>1,259,293.75</t>
  </si>
  <si>
    <t>104,624.00</t>
  </si>
  <si>
    <t>1,238,329.73</t>
  </si>
  <si>
    <t>2,222,689.00</t>
  </si>
  <si>
    <t>1,828,854.23</t>
  </si>
  <si>
    <t>2,021,051.76</t>
  </si>
  <si>
    <t>2,176,422.00</t>
  </si>
  <si>
    <t>866,260.00</t>
  </si>
  <si>
    <t>1,523,186.96</t>
  </si>
  <si>
    <t>46,548,645.57</t>
  </si>
  <si>
    <t>191,500.00</t>
  </si>
  <si>
    <t>1,840,650.82</t>
  </si>
  <si>
    <t>1,020,773.28</t>
  </si>
  <si>
    <t>3,354,089.74</t>
  </si>
  <si>
    <t>11,511,274.91</t>
  </si>
  <si>
    <t>1,729,965.63</t>
  </si>
  <si>
    <t>103,940.00</t>
  </si>
  <si>
    <t>1,868,096.49</t>
  </si>
  <si>
    <t>1,893,939.90</t>
  </si>
  <si>
    <t>1,744,732.01</t>
  </si>
  <si>
    <t>399,320.00</t>
  </si>
  <si>
    <t>739,414.35</t>
  </si>
  <si>
    <t>383,000.00</t>
  </si>
  <si>
    <t>151,790.00</t>
  </si>
  <si>
    <t>1,405,261.15</t>
  </si>
  <si>
    <t>1,005,000.00</t>
  </si>
  <si>
    <t>212,077.60</t>
  </si>
  <si>
    <t>738,375.59</t>
  </si>
  <si>
    <t>249,544.14</t>
  </si>
  <si>
    <t>1,212,193.13</t>
  </si>
  <si>
    <t>37,510.00</t>
  </si>
  <si>
    <t>742,907.27</t>
  </si>
  <si>
    <t>1,941,771.80</t>
  </si>
  <si>
    <t>631,073.16</t>
  </si>
  <si>
    <t>724,000.00</t>
  </si>
  <si>
    <t>378,425.00</t>
  </si>
  <si>
    <t>4,342,800.00</t>
  </si>
  <si>
    <t>12,448,000.00</t>
  </si>
  <si>
    <t>40,290.00</t>
  </si>
  <si>
    <t>399,080.00</t>
  </si>
  <si>
    <t>46,367,301.67</t>
  </si>
  <si>
    <t>989,990.00</t>
  </si>
  <si>
    <t>5,957,365.53</t>
  </si>
  <si>
    <t>1,779,661.80</t>
  </si>
  <si>
    <t>617,380.00</t>
  </si>
  <si>
    <t>9,899,940.80</t>
  </si>
  <si>
    <t>2,572,797.81</t>
  </si>
  <si>
    <t>4,860,420.00</t>
  </si>
  <si>
    <t>1,979,482.41</t>
  </si>
  <si>
    <t>268,560.00</t>
  </si>
  <si>
    <t>24,696,422.75</t>
  </si>
  <si>
    <t>688,545.00</t>
  </si>
  <si>
    <t>4,086,774.20</t>
  </si>
  <si>
    <t>1,969,186.65</t>
  </si>
  <si>
    <t>30,170,809.50</t>
  </si>
  <si>
    <t>214,000.00</t>
  </si>
  <si>
    <t>1,000,350.00</t>
  </si>
  <si>
    <t>323,947.00</t>
  </si>
  <si>
    <t>59,447.50</t>
  </si>
  <si>
    <t>128,640.00</t>
  </si>
  <si>
    <t>1,172,500.00</t>
  </si>
  <si>
    <t>99,142.50</t>
  </si>
  <si>
    <t>919,452.50</t>
  </si>
  <si>
    <t>3,691,875.00</t>
  </si>
  <si>
    <t>80,700,000.00</t>
  </si>
  <si>
    <t>43,775.00</t>
  </si>
  <si>
    <t>18,762.50</t>
  </si>
  <si>
    <t>31,264.74</t>
  </si>
  <si>
    <t>2,924,506.76</t>
  </si>
  <si>
    <t>2,429,896.00</t>
  </si>
  <si>
    <t>1,580,000.00</t>
  </si>
  <si>
    <t>55,636.40</t>
  </si>
  <si>
    <t>241,200.00</t>
  </si>
  <si>
    <t>1,144,255.84</t>
  </si>
  <si>
    <t>161,280.00</t>
  </si>
  <si>
    <t>1,922,201.02</t>
  </si>
  <si>
    <t>1,497,396.51</t>
  </si>
  <si>
    <t>1,392,874.73</t>
  </si>
  <si>
    <t>4,680,700.00</t>
  </si>
  <si>
    <t>28,300,000.00</t>
  </si>
  <si>
    <t>300,947.00</t>
  </si>
  <si>
    <t>692,955.20</t>
  </si>
  <si>
    <t>1,000,000.44</t>
  </si>
  <si>
    <t>1,760,092.31</t>
  </si>
  <si>
    <t>5,262,600.00</t>
  </si>
  <si>
    <t>67,550,000.00</t>
  </si>
  <si>
    <t>29,850,000.00</t>
  </si>
  <si>
    <t>12,280,000.00</t>
  </si>
  <si>
    <t>6,279,000.00</t>
  </si>
  <si>
    <t>2,418,781.71</t>
  </si>
  <si>
    <t>1,982,131.80</t>
  </si>
  <si>
    <t>1,625,000.00</t>
  </si>
  <si>
    <t>2,291,623.60</t>
  </si>
  <si>
    <t>1,793,234.21</t>
  </si>
  <si>
    <t>6,116,673.33</t>
  </si>
  <si>
    <t>1,073,429.95</t>
  </si>
  <si>
    <t>1,939,983.32</t>
  </si>
  <si>
    <t>149,351.00</t>
  </si>
  <si>
    <t>1,461,308.88</t>
  </si>
  <si>
    <t>1,457,691.94</t>
  </si>
  <si>
    <t>1,498,409.00</t>
  </si>
  <si>
    <t>99,911.40</t>
  </si>
  <si>
    <t>224,195.60</t>
  </si>
  <si>
    <t>3,367,659.00</t>
  </si>
  <si>
    <t>1,925,500.00</t>
  </si>
  <si>
    <t>2,555,828.55</t>
  </si>
  <si>
    <t>28,816,000.00</t>
  </si>
  <si>
    <t>13,257,978.13</t>
  </si>
  <si>
    <t>11,322,400.00</t>
  </si>
  <si>
    <t>17,341,443.75</t>
  </si>
  <si>
    <t>8,570,736.00</t>
  </si>
  <si>
    <t>1,629,284.00</t>
  </si>
  <si>
    <t>1,488,400.00</t>
  </si>
  <si>
    <t>1,339,121.00</t>
  </si>
  <si>
    <t>23,857,575.00</t>
  </si>
  <si>
    <t>4,325,000.00</t>
  </si>
  <si>
    <t>11,985,000.00</t>
  </si>
  <si>
    <t>9,400,000.00</t>
  </si>
  <si>
    <t>32,000,000.00</t>
  </si>
  <si>
    <t>14,509,324.00</t>
  </si>
  <si>
    <t>3,998,467.03</t>
  </si>
  <si>
    <t>570,621.68</t>
  </si>
  <si>
    <t>1,461,497.96</t>
  </si>
  <si>
    <t>164,865.83</t>
  </si>
  <si>
    <t>28,800,000.00</t>
  </si>
  <si>
    <t>484,939.62</t>
  </si>
  <si>
    <t>3,937,255.00</t>
  </si>
  <si>
    <t>1,077,719.51</t>
  </si>
  <si>
    <t>3,040,361.99</t>
  </si>
  <si>
    <t>5,030,653.00</t>
  </si>
  <si>
    <t>1,455,416.67</t>
  </si>
  <si>
    <t>389,600.00</t>
  </si>
  <si>
    <t>166,355.00</t>
  </si>
  <si>
    <t>2,724,890.34</t>
  </si>
  <si>
    <t>1,954,783.71</t>
  </si>
  <si>
    <t>4,088,040.00</t>
  </si>
  <si>
    <t>86,145,550.00</t>
  </si>
  <si>
    <t>337,285.00</t>
  </si>
  <si>
    <t>522,080.00</t>
  </si>
  <si>
    <t>553,706.00</t>
  </si>
  <si>
    <t>3,678,931.08</t>
  </si>
  <si>
    <t>2,021,000.00</t>
  </si>
  <si>
    <t>1,179,335.00</t>
  </si>
  <si>
    <t>3,821,267.99</t>
  </si>
  <si>
    <t>657,330.00</t>
  </si>
  <si>
    <t>184,829.50</t>
  </si>
  <si>
    <t>6,250,000.00</t>
  </si>
  <si>
    <t>1,431,979.04</t>
  </si>
  <si>
    <t>943,400.00</t>
  </si>
  <si>
    <t>395,075.00</t>
  </si>
  <si>
    <t>255,280.00</t>
  </si>
  <si>
    <t>999,764.22</t>
  </si>
  <si>
    <t>2,070,000.00</t>
  </si>
  <si>
    <t>4,762,044.80</t>
  </si>
  <si>
    <t>156,120.00</t>
  </si>
  <si>
    <t>5,390,000.00</t>
  </si>
  <si>
    <t>3,919,997.20</t>
  </si>
  <si>
    <t>1,697,137.99</t>
  </si>
  <si>
    <t>7,075,584.00</t>
  </si>
  <si>
    <t>74,976.90</t>
  </si>
  <si>
    <t>249,455.00</t>
  </si>
  <si>
    <t>3,008,000.00</t>
  </si>
  <si>
    <t>189,040.00</t>
  </si>
  <si>
    <t>999,789.00</t>
  </si>
  <si>
    <t>1,590,481.12</t>
  </si>
  <si>
    <t>10,975,970.79</t>
  </si>
  <si>
    <t>73,385.00</t>
  </si>
  <si>
    <t>5,544,753.29</t>
  </si>
  <si>
    <t>2,297,908.23</t>
  </si>
  <si>
    <t>2,499,668.53</t>
  </si>
  <si>
    <t>496,125.00</t>
  </si>
  <si>
    <t>378,558.75</t>
  </si>
  <si>
    <t>964,775.00</t>
  </si>
  <si>
    <t>79,910.00</t>
  </si>
  <si>
    <t>4,680,000.00</t>
  </si>
  <si>
    <t>69,425.20</t>
  </si>
  <si>
    <t>498,771.00</t>
  </si>
  <si>
    <t>4,045,907.25</t>
  </si>
  <si>
    <t>498,802.50</t>
  </si>
  <si>
    <t>2,544,359.00</t>
  </si>
  <si>
    <t>1,343,100.00</t>
  </si>
  <si>
    <t>210,091.00</t>
  </si>
  <si>
    <t>499,905.00</t>
  </si>
  <si>
    <t>199,196.71</t>
  </si>
  <si>
    <t>214,300.00</t>
  </si>
  <si>
    <t>3,498,832.00</t>
  </si>
  <si>
    <t>1,810,000.00</t>
  </si>
  <si>
    <t>1,730,000.00</t>
  </si>
  <si>
    <t>353,000.00</t>
  </si>
  <si>
    <t>90,700.00</t>
  </si>
  <si>
    <t>89,070.00</t>
  </si>
  <si>
    <t>233,815.00</t>
  </si>
  <si>
    <t>2,480,000.00</t>
  </si>
  <si>
    <t>13,526,570.05</t>
  </si>
  <si>
    <t>58,990.00</t>
  </si>
  <si>
    <t>768,219.00</t>
  </si>
  <si>
    <t>85,440.00</t>
  </si>
  <si>
    <t>7,001,500.00</t>
  </si>
  <si>
    <t>1,014,840.00</t>
  </si>
  <si>
    <t>128,235.00</t>
  </si>
  <si>
    <t>390,460.00</t>
  </si>
  <si>
    <t>999,996.84</t>
  </si>
  <si>
    <t>1,221,512.63</t>
  </si>
  <si>
    <t>4,250.00</t>
  </si>
  <si>
    <t>4,342,500.17</t>
  </si>
  <si>
    <t>1,366,963.34</t>
  </si>
  <si>
    <t>4,988,175.00</t>
  </si>
  <si>
    <t>327,100.00</t>
  </si>
  <si>
    <t>1,038,499.84</t>
  </si>
  <si>
    <t>4,861,597.00</t>
  </si>
  <si>
    <t>53,855.00</t>
  </si>
  <si>
    <t>674,000.00</t>
  </si>
  <si>
    <t>1,733,000.00</t>
  </si>
  <si>
    <t>64,600.00</t>
  </si>
  <si>
    <t>2,940,022.34</t>
  </si>
  <si>
    <t>776,544.93</t>
  </si>
  <si>
    <t>1,177,575.00</t>
  </si>
  <si>
    <t>1,276,150.00</t>
  </si>
  <si>
    <t>9,899,999.50</t>
  </si>
  <si>
    <t>49,535.00</t>
  </si>
  <si>
    <t>1,834,570.00</t>
  </si>
  <si>
    <t>4,085,271.32</t>
  </si>
  <si>
    <t>26,660,957.67</t>
  </si>
  <si>
    <t>4,999,852.92</t>
  </si>
  <si>
    <t>226,200.00</t>
  </si>
  <si>
    <t>166,676,150.00</t>
  </si>
  <si>
    <t>212,540.00</t>
  </si>
  <si>
    <t>1,501,500.00</t>
  </si>
  <si>
    <t>941,747.59</t>
  </si>
  <si>
    <t>73,281.00</t>
  </si>
  <si>
    <t>1,196,234.84</t>
  </si>
  <si>
    <t>3,867,500.00</t>
  </si>
  <si>
    <t>1,865,600.00</t>
  </si>
  <si>
    <t>128,500.00</t>
  </si>
  <si>
    <t>66,106.50</t>
  </si>
  <si>
    <t>2,110,907.25</t>
  </si>
  <si>
    <t>2,012,000.00</t>
  </si>
  <si>
    <t>14,849,999.20</t>
  </si>
  <si>
    <t>440,969.00</t>
  </si>
  <si>
    <t>766,315.91</t>
  </si>
  <si>
    <t>1,029,000.00</t>
  </si>
  <si>
    <t>3,920,000.00</t>
  </si>
  <si>
    <t>4,918,543.01</t>
  </si>
  <si>
    <t>2,999,998.30</t>
  </si>
  <si>
    <t>63,360.00</t>
  </si>
  <si>
    <t>3,067,500.00</t>
  </si>
  <si>
    <t>322,850.00</t>
  </si>
  <si>
    <t>787,500.50</t>
  </si>
  <si>
    <t>786,500.00</t>
  </si>
  <si>
    <t>25,701.00</t>
  </si>
  <si>
    <t>11,939,999.10</t>
  </si>
  <si>
    <t>1,475,774.96</t>
  </si>
  <si>
    <t>1,035,000.00</t>
  </si>
  <si>
    <t>1,250,000.00</t>
  </si>
  <si>
    <t>257,125.00</t>
  </si>
  <si>
    <t>501,119.16</t>
  </si>
  <si>
    <t>1,571,981.00</t>
  </si>
  <si>
    <t>287,371.40</t>
  </si>
  <si>
    <t>3,150,000.00</t>
  </si>
  <si>
    <t>50,128.00</t>
  </si>
  <si>
    <t>29,695.00</t>
  </si>
  <si>
    <t>232,000.00</t>
  </si>
  <si>
    <t>5,428,800.00</t>
  </si>
  <si>
    <t>2,412,700.00</t>
  </si>
  <si>
    <t>106,714.47</t>
  </si>
  <si>
    <t>76,875.00</t>
  </si>
  <si>
    <t>1,999,898.15</t>
  </si>
  <si>
    <t>303,723.75</t>
  </si>
  <si>
    <t>2,624,700.00</t>
  </si>
  <si>
    <t>11,334,500.00</t>
  </si>
  <si>
    <t>499,406.83</t>
  </si>
  <si>
    <t>2,713,000.00</t>
  </si>
  <si>
    <t>142,180.00</t>
  </si>
  <si>
    <t>3,989,950.43</t>
  </si>
  <si>
    <t>156,480.00</t>
  </si>
  <si>
    <t>813,399.10</t>
  </si>
  <si>
    <t>927,064.30</t>
  </si>
  <si>
    <t>5,298,316.00</t>
  </si>
  <si>
    <t>879,011.59</t>
  </si>
  <si>
    <t>167,700.46</t>
  </si>
  <si>
    <t>1,670,257.50</t>
  </si>
  <si>
    <t>102,700.00</t>
  </si>
  <si>
    <t>6,226,500.00</t>
  </si>
  <si>
    <t>132,900.00</t>
  </si>
  <si>
    <t>1,703,120.00</t>
  </si>
  <si>
    <t>656,735.00</t>
  </si>
  <si>
    <t>146,714.00</t>
  </si>
  <si>
    <t>100,530.00</t>
  </si>
  <si>
    <t>57,060.00</t>
  </si>
  <si>
    <t>657,018.63</t>
  </si>
  <si>
    <t>6,255,165.71</t>
  </si>
  <si>
    <t>164,160.50</t>
  </si>
  <si>
    <t>9,467,921.00</t>
  </si>
  <si>
    <t>211,945.77</t>
  </si>
  <si>
    <t>159,155.60</t>
  </si>
  <si>
    <t>3,647,420.00</t>
  </si>
  <si>
    <t>1,146,620.00</t>
  </si>
  <si>
    <t>1,836,196.10</t>
  </si>
  <si>
    <t>251,931.00</t>
  </si>
  <si>
    <t>1,941,293.00</t>
  </si>
  <si>
    <t>1,489,429.78</t>
  </si>
  <si>
    <t>2,999,981.25</t>
  </si>
  <si>
    <t>2,737,600.00</t>
  </si>
  <si>
    <t>99,050.00</t>
  </si>
  <si>
    <t>101,299.20</t>
  </si>
  <si>
    <t>253,458.00</t>
  </si>
  <si>
    <t>388,945.00</t>
  </si>
  <si>
    <t>46,350,000.00</t>
  </si>
  <si>
    <t>3,207,000.00</t>
  </si>
  <si>
    <t>18,453,380.00</t>
  </si>
  <si>
    <t>83,250.00</t>
  </si>
  <si>
    <t>109,988.00</t>
  </si>
  <si>
    <t>1,094,201.17</t>
  </si>
  <si>
    <t>999,295.00</t>
  </si>
  <si>
    <t>8,311,100.00</t>
  </si>
  <si>
    <t>1,956,035.00</t>
  </si>
  <si>
    <t>139,200.00</t>
  </si>
  <si>
    <t>169,766,454.48</t>
  </si>
  <si>
    <t>683,887.00</t>
  </si>
  <si>
    <t>1,515,404.32</t>
  </si>
  <si>
    <t>545,483.00</t>
  </si>
  <si>
    <t>1,629,023.54</t>
  </si>
  <si>
    <t>2,285,948.15</t>
  </si>
  <si>
    <t>1,275,000.00</t>
  </si>
  <si>
    <t>157,200.00</t>
  </si>
  <si>
    <t>5,372,902.00</t>
  </si>
  <si>
    <t>10,200,000.00</t>
  </si>
  <si>
    <t>425,571.84</t>
  </si>
  <si>
    <t>1,471,570.82</t>
  </si>
  <si>
    <t>1,095,395.00</t>
  </si>
  <si>
    <t>2,041,791.45</t>
  </si>
  <si>
    <t>9,762,620.12</t>
  </si>
  <si>
    <t>243,559.00</t>
  </si>
  <si>
    <t>1,937,999.99</t>
  </si>
  <si>
    <t>73,850.00</t>
  </si>
  <si>
    <t>2,464,246.00</t>
  </si>
  <si>
    <t>14,074,906.68</t>
  </si>
  <si>
    <t>1,659,231.62</t>
  </si>
  <si>
    <t>9,124,865.00</t>
  </si>
  <si>
    <t>1,892,959.26</t>
  </si>
  <si>
    <t>15,840,000.00</t>
  </si>
  <si>
    <t>10,274,000.00</t>
  </si>
  <si>
    <t>10,867,184.00</t>
  </si>
  <si>
    <t>7,240,000.00</t>
  </si>
  <si>
    <t>49,208,500.00</t>
  </si>
  <si>
    <t>1,975,000.00</t>
  </si>
  <si>
    <t>1,334,240.00</t>
  </si>
  <si>
    <t>82,500,000.00</t>
  </si>
  <si>
    <t>5,064,000.00</t>
  </si>
  <si>
    <t>1,692,439.03</t>
  </si>
  <si>
    <t>2,275,574.22</t>
  </si>
  <si>
    <t>24,010,000.00</t>
  </si>
  <si>
    <t>4,834,939.00</t>
  </si>
  <si>
    <t>568,300.00</t>
  </si>
  <si>
    <t>2,340,500.00</t>
  </si>
  <si>
    <t>914,155.53</t>
  </si>
  <si>
    <t>1,380,000.00</t>
  </si>
  <si>
    <t>150,240.50</t>
  </si>
  <si>
    <t>864,136.00</t>
  </si>
  <si>
    <t>9,995,800.00</t>
  </si>
  <si>
    <t>999,705.39</t>
  </si>
  <si>
    <t>3,399,636.00</t>
  </si>
  <si>
    <t>33,616,000.00</t>
  </si>
  <si>
    <t>1,683,436.00</t>
  </si>
  <si>
    <t>3,498,241.00</t>
  </si>
  <si>
    <t>50,096.48</t>
  </si>
  <si>
    <t>1,699,347.45</t>
  </si>
  <si>
    <t>1,128,618.00</t>
  </si>
  <si>
    <t>2,791,000.00</t>
  </si>
  <si>
    <t>11,939,719.00</t>
  </si>
  <si>
    <t>1,499,500.00</t>
  </si>
  <si>
    <t>9,946,500.00</t>
  </si>
  <si>
    <t>1,999,989.00</t>
  </si>
  <si>
    <t>6,861,517.18</t>
  </si>
  <si>
    <t>1,999,922.00</t>
  </si>
  <si>
    <t>4,881,000.00</t>
  </si>
  <si>
    <t>1,848,100.00</t>
  </si>
  <si>
    <t>4,361,054.00</t>
  </si>
  <si>
    <t>4,999,754.81</t>
  </si>
  <si>
    <t>999,949.00</t>
  </si>
  <si>
    <t>1,902,487.00</t>
  </si>
  <si>
    <t>13,007,900.00</t>
  </si>
  <si>
    <t>749,977.00</t>
  </si>
  <si>
    <t>799,986.29</t>
  </si>
  <si>
    <t>1,448,038.44</t>
  </si>
  <si>
    <t>2,816,000.00</t>
  </si>
  <si>
    <t>2,745,000.00</t>
  </si>
  <si>
    <t>4,999,674.75</t>
  </si>
  <si>
    <t>1,172,933.20</t>
  </si>
  <si>
    <t>2,897,996.25</t>
  </si>
  <si>
    <t>1,661,065.00</t>
  </si>
  <si>
    <t>494,050.00</t>
  </si>
  <si>
    <t>2,245,000.00</t>
  </si>
  <si>
    <t>24,285,471.00</t>
  </si>
  <si>
    <t>12,577,000.00</t>
  </si>
  <si>
    <t>12,286,029.00</t>
  </si>
  <si>
    <t>1,999,932.75</t>
  </si>
  <si>
    <t>1,592,000.00</t>
  </si>
  <si>
    <t>805,000.00</t>
  </si>
  <si>
    <t>2,342,215.00</t>
  </si>
  <si>
    <t>1,954,943.00</t>
  </si>
  <si>
    <t>9,144,738.00</t>
  </si>
  <si>
    <t>4,999,803.38</t>
  </si>
  <si>
    <t>502,177,650.00</t>
  </si>
  <si>
    <t>9,160,508.00</t>
  </si>
  <si>
    <t>8,272,540.00</t>
  </si>
  <si>
    <t>48,000,000.00</t>
  </si>
  <si>
    <t>1,680,000.00</t>
  </si>
  <si>
    <t>2,635,385.80</t>
  </si>
  <si>
    <t>4,367,389.00</t>
  </si>
  <si>
    <t>687,000.00</t>
  </si>
  <si>
    <t>2,999,578.71</t>
  </si>
  <si>
    <t>166,452.00</t>
  </si>
  <si>
    <t>1,439,305.40</t>
  </si>
  <si>
    <t>1,999,973.59</t>
  </si>
  <si>
    <t>2,945,045.89</t>
  </si>
  <si>
    <t>1,979,933.79</t>
  </si>
  <si>
    <t>1,850,504.00</t>
  </si>
  <si>
    <t>599,995.49</t>
  </si>
  <si>
    <t>399,993.71</t>
  </si>
  <si>
    <t>4,044,705.60</t>
  </si>
  <si>
    <t>301,194.30</t>
  </si>
  <si>
    <t>3,464,556.99</t>
  </si>
  <si>
    <t>435,726.81</t>
  </si>
  <si>
    <t>1,184,400.00</t>
  </si>
  <si>
    <t>283,500.00</t>
  </si>
  <si>
    <t>567,714.00</t>
  </si>
  <si>
    <t>6,008,971.91</t>
  </si>
  <si>
    <t>21,142,276.47</t>
  </si>
  <si>
    <t>1,776,600.00</t>
  </si>
  <si>
    <t>484,593.75</t>
  </si>
  <si>
    <t>22,234,928.84</t>
  </si>
  <si>
    <t>631,990.00</t>
  </si>
  <si>
    <t>294,695,846.60</t>
  </si>
  <si>
    <t>29,940,624.33</t>
  </si>
  <si>
    <t>2,961,000.00</t>
  </si>
  <si>
    <t>1,072,150.50</t>
  </si>
  <si>
    <t>29,666,579.79</t>
  </si>
  <si>
    <t>29,711,256.07</t>
  </si>
  <si>
    <t>34,257,740.51</t>
  </si>
  <si>
    <t>11,939,664.52</t>
  </si>
  <si>
    <t>33,007,244.91</t>
  </si>
  <si>
    <t>11,760,000.00</t>
  </si>
  <si>
    <t>24,874,778.52</t>
  </si>
  <si>
    <t>37,344,165.02</t>
  </si>
  <si>
    <t>11,939,737.95</t>
  </si>
  <si>
    <t>1,430,000.00</t>
  </si>
  <si>
    <t>477,000.00</t>
  </si>
  <si>
    <t>699,992.00</t>
  </si>
  <si>
    <t>1,599,021.00</t>
  </si>
  <si>
    <t>1,894,050.00</t>
  </si>
  <si>
    <t>2,142,000.00</t>
  </si>
  <si>
    <t>949,080.00</t>
  </si>
  <si>
    <t>9,999,998.64</t>
  </si>
  <si>
    <t>7,200,000.00</t>
  </si>
  <si>
    <t>14,999,996.21</t>
  </si>
  <si>
    <t>21,999,996.92</t>
  </si>
  <si>
    <t>2,856,920.00</t>
  </si>
  <si>
    <t>2,121,609.00</t>
  </si>
  <si>
    <t>1,947,330.00</t>
  </si>
  <si>
    <t>2,979,496.80</t>
  </si>
  <si>
    <t>694,135.00</t>
  </si>
  <si>
    <t>1,613,850.00</t>
  </si>
  <si>
    <t>118,759,437.57</t>
  </si>
  <si>
    <t>264,800.00</t>
  </si>
  <si>
    <t>374,000.00</t>
  </si>
  <si>
    <t>999,951.09</t>
  </si>
  <si>
    <t>2,558,000.00</t>
  </si>
  <si>
    <t>3,080,000.00</t>
  </si>
  <si>
    <t>1,080,240.00</t>
  </si>
  <si>
    <t>419,900.00</t>
  </si>
  <si>
    <t>1,490,759.00</t>
  </si>
  <si>
    <t>620,100.00</t>
  </si>
  <si>
    <t>1,999,726.30</t>
  </si>
  <si>
    <t>26,153,803.00</t>
  </si>
  <si>
    <t>26,000,000.00</t>
  </si>
  <si>
    <t>25,827,598.00</t>
  </si>
  <si>
    <t>1,528,305.00</t>
  </si>
  <si>
    <t>1,460,000.00</t>
  </si>
  <si>
    <t>2,825,383.69</t>
  </si>
  <si>
    <t>1,267,570.00</t>
  </si>
  <si>
    <t>1,992,226.17</t>
  </si>
  <si>
    <t>28,950,000.00</t>
  </si>
  <si>
    <t>879,922.00</t>
  </si>
  <si>
    <t>3,939,500.00</t>
  </si>
  <si>
    <t>123,346.00</t>
  </si>
  <si>
    <t>746,932.89</t>
  </si>
  <si>
    <t>9,460,000.00</t>
  </si>
  <si>
    <t>103,455.00</t>
  </si>
  <si>
    <t>21,907.00</t>
  </si>
  <si>
    <t>6,335,000.00</t>
  </si>
  <si>
    <t>249,944.73</t>
  </si>
  <si>
    <t>137,300.00</t>
  </si>
  <si>
    <t>182,150.00</t>
  </si>
  <si>
    <t>2,562,500.00</t>
  </si>
  <si>
    <t>296,864.68</t>
  </si>
  <si>
    <t>341,657.84</t>
  </si>
  <si>
    <t>352,800.00</t>
  </si>
  <si>
    <t>6,727,000.00</t>
  </si>
  <si>
    <t>511,757.80</t>
  </si>
  <si>
    <t>144,040,594.88</t>
  </si>
  <si>
    <t>843,099.04</t>
  </si>
  <si>
    <t>8,050,000.00</t>
  </si>
  <si>
    <t>11,365,078.85</t>
  </si>
  <si>
    <t>754,216.00</t>
  </si>
  <si>
    <t>13,264,730.68</t>
  </si>
  <si>
    <t>599,450.00</t>
  </si>
  <si>
    <t>5,543,100.00</t>
  </si>
  <si>
    <t>1,517,485.10</t>
  </si>
  <si>
    <t>9,581,336.00</t>
  </si>
  <si>
    <t>359,990.00</t>
  </si>
  <si>
    <t>1,242,500.00</t>
  </si>
  <si>
    <t>298,690.00</t>
  </si>
  <si>
    <t>49,959,413.89</t>
  </si>
  <si>
    <t>119,448.50</t>
  </si>
  <si>
    <t>1,202.00</t>
  </si>
  <si>
    <t>999,976.00</t>
  </si>
  <si>
    <t>860,990.00</t>
  </si>
  <si>
    <t>2,248,500.00</t>
  </si>
  <si>
    <t>4,400,000.00</t>
  </si>
  <si>
    <t>141,750.00</t>
  </si>
  <si>
    <t>4,086,391.86</t>
  </si>
  <si>
    <t>2,164,000.00</t>
  </si>
  <si>
    <t>1,911,532.80</t>
  </si>
  <si>
    <t>2,376,432.00</t>
  </si>
  <si>
    <t>107,800,000.00</t>
  </si>
  <si>
    <t>407,572.50</t>
  </si>
  <si>
    <t>5,122,236.32</t>
  </si>
  <si>
    <t>264,964.08</t>
  </si>
  <si>
    <t>1,993,383.76</t>
  </si>
  <si>
    <t>7,938,000.00</t>
  </si>
  <si>
    <t>3,570,000.00</t>
  </si>
  <si>
    <t>564,650.00</t>
  </si>
  <si>
    <t>996,764.94</t>
  </si>
  <si>
    <t>4,980,000.00</t>
  </si>
  <si>
    <t>289,068.00</t>
  </si>
  <si>
    <t>250,876.07</t>
  </si>
  <si>
    <t>156,728.00</t>
  </si>
  <si>
    <t>116,896.00</t>
  </si>
  <si>
    <t>2,504,000.00</t>
  </si>
  <si>
    <t>9,874,292.00</t>
  </si>
  <si>
    <t>3,780,000.00</t>
  </si>
  <si>
    <t>55,394.06</t>
  </si>
  <si>
    <t>1,205,000.00</t>
  </si>
  <si>
    <t>1,855,000.00</t>
  </si>
  <si>
    <t>2,158,000.00</t>
  </si>
  <si>
    <t>1,214,592.00</t>
  </si>
  <si>
    <t>952,580.00</t>
  </si>
  <si>
    <t>3,030,000.00</t>
  </si>
  <si>
    <t>5,463,741.90</t>
  </si>
  <si>
    <t>67,365.00</t>
  </si>
  <si>
    <t>981,191.52</t>
  </si>
  <si>
    <t>14,485,000.00</t>
  </si>
  <si>
    <t>2,708,480.00</t>
  </si>
  <si>
    <t>1,629,206.36</t>
  </si>
  <si>
    <t>119,339.78</t>
  </si>
  <si>
    <t>69,950.00</t>
  </si>
  <si>
    <t>806,065.44</t>
  </si>
  <si>
    <t>134,500.00</t>
  </si>
  <si>
    <t>344,594.00</t>
  </si>
  <si>
    <t>3,219,539.68</t>
  </si>
  <si>
    <t>21,406,733.83</t>
  </si>
  <si>
    <t>477,965.60</t>
  </si>
  <si>
    <t>59,950.40</t>
  </si>
  <si>
    <t>2,709,158.70</t>
  </si>
  <si>
    <t>9,084,587.61</t>
  </si>
  <si>
    <t>15,914,292.30</t>
  </si>
  <si>
    <t>7,022,679.51</t>
  </si>
  <si>
    <t>6,187,500.00</t>
  </si>
  <si>
    <t>184,000,000.00</t>
  </si>
  <si>
    <t>4,527,811.20</t>
  </si>
  <si>
    <t>73,048.50</t>
  </si>
  <si>
    <t>1,162,975.00</t>
  </si>
  <si>
    <t>149,953.86</t>
  </si>
  <si>
    <t>685,000.00</t>
  </si>
  <si>
    <t>49,748,520.50</t>
  </si>
  <si>
    <t>112,635.00</t>
  </si>
  <si>
    <t>62,172.00</t>
  </si>
  <si>
    <t>9,750,000.00</t>
  </si>
  <si>
    <t>50,000,000.00</t>
  </si>
  <si>
    <t>145,926.50</t>
  </si>
  <si>
    <t>76,540.00</t>
  </si>
  <si>
    <t>3,899,991.84</t>
  </si>
  <si>
    <t>1,462,500.00</t>
  </si>
  <si>
    <t>1,156,763.40</t>
  </si>
  <si>
    <t>3,034,000.00</t>
  </si>
  <si>
    <t>56,500,000.00</t>
  </si>
  <si>
    <t>14,500,000.00</t>
  </si>
  <si>
    <t>337,400.00</t>
  </si>
  <si>
    <t>10,857,146.00</t>
  </si>
  <si>
    <t>11,517,238.00</t>
  </si>
  <si>
    <t>3,354,547.00</t>
  </si>
  <si>
    <t>2,410,488.00</t>
  </si>
  <si>
    <t>3,274,481.00</t>
  </si>
  <si>
    <t>313,818.00</t>
  </si>
  <si>
    <t>3,884,130.99</t>
  </si>
  <si>
    <t>2,452,935.97</t>
  </si>
  <si>
    <t>2,186,000.00</t>
  </si>
  <si>
    <t>466,551.62</t>
  </si>
  <si>
    <t>3,034,982.50</t>
  </si>
  <si>
    <t>10,349,412.00</t>
  </si>
  <si>
    <t>2,915,000.00</t>
  </si>
  <si>
    <t>29,762,112.77</t>
  </si>
  <si>
    <t>1,756,700.00</t>
  </si>
  <si>
    <t>8,960.00</t>
  </si>
  <si>
    <t>8,600,000.00</t>
  </si>
  <si>
    <t>4,499,998.64</t>
  </si>
  <si>
    <t>1,396,345.00</t>
  </si>
  <si>
    <t>2,295,189.00</t>
  </si>
  <si>
    <t>48,850,000.00</t>
  </si>
  <si>
    <t>193,770.00</t>
  </si>
  <si>
    <t>339,000.00</t>
  </si>
  <si>
    <t>1,728,000.00</t>
  </si>
  <si>
    <t>2,659,500.00</t>
  </si>
  <si>
    <t>2,497,407.01</t>
  </si>
  <si>
    <t>4,990.00</t>
  </si>
  <si>
    <t>144,650.00</t>
  </si>
  <si>
    <t>1,394,682.14</t>
  </si>
  <si>
    <t>3,335,553.50</t>
  </si>
  <si>
    <t>16,913,371.44</t>
  </si>
  <si>
    <t>3,987,213.40</t>
  </si>
  <si>
    <t>35,860,000.00</t>
  </si>
  <si>
    <t>1,473,530.00</t>
  </si>
  <si>
    <t>267,150.00</t>
  </si>
  <si>
    <t>759,600.00</t>
  </si>
  <si>
    <t>5,934,593.33</t>
  </si>
  <si>
    <t>14,474,999.96</t>
  </si>
  <si>
    <t>1,646,395.81</t>
  </si>
  <si>
    <t>1,441,500.00</t>
  </si>
  <si>
    <t>1,493,316.61</t>
  </si>
  <si>
    <t>1,992,119.67</t>
  </si>
  <si>
    <t>1,975,235.92</t>
  </si>
  <si>
    <t>1,444,228.09</t>
  </si>
  <si>
    <t>2,299,856.33</t>
  </si>
  <si>
    <t>1,586,186.78</t>
  </si>
  <si>
    <t>24,271,844.66</t>
  </si>
  <si>
    <t>2,571,950.00</t>
  </si>
  <si>
    <t>14,849,996.67</t>
  </si>
  <si>
    <t>893,808.95</t>
  </si>
  <si>
    <t>3,035,000.00</t>
  </si>
  <si>
    <t>14,699,948.34</t>
  </si>
  <si>
    <t>78,546.00</t>
  </si>
  <si>
    <t>1,979,999.12</t>
  </si>
  <si>
    <t>8,100,000.00</t>
  </si>
  <si>
    <t>1,428,263.51</t>
  </si>
  <si>
    <t>790,000.00</t>
  </si>
  <si>
    <t>1,228,444.04</t>
  </si>
  <si>
    <t>809,306.17</t>
  </si>
  <si>
    <t>74,311.00</t>
  </si>
  <si>
    <t>270,638.00</t>
  </si>
  <si>
    <t>2,270,785.00</t>
  </si>
  <si>
    <t>9,900,954.74</t>
  </si>
  <si>
    <t>58,844.00</t>
  </si>
  <si>
    <t>11,200,000.00</t>
  </si>
  <si>
    <t>2,014,648.00</t>
  </si>
  <si>
    <t>5,267,547.00</t>
  </si>
  <si>
    <t>983,100.00</t>
  </si>
  <si>
    <t>2,430,768.00</t>
  </si>
  <si>
    <t>3,101,024.50</t>
  </si>
  <si>
    <t>1,595,798.00</t>
  </si>
  <si>
    <t>499,360.29</t>
  </si>
  <si>
    <t>226,800.00</t>
  </si>
  <si>
    <t>47,800.00</t>
  </si>
  <si>
    <t>2,287,031.00</t>
  </si>
  <si>
    <t>2,039,045.00</t>
  </si>
  <si>
    <t>2,047,730.00</t>
  </si>
  <si>
    <t>96,500,000.00</t>
  </si>
  <si>
    <t>499,965.96</t>
  </si>
  <si>
    <t>2,959,255.00</t>
  </si>
  <si>
    <t>232,408.89</t>
  </si>
  <si>
    <t>1,006,000.00</t>
  </si>
  <si>
    <t>108,966.00</t>
  </si>
  <si>
    <t>968,400.00</t>
  </si>
  <si>
    <t>382,188,598.99</t>
  </si>
  <si>
    <t>496,500.00</t>
  </si>
  <si>
    <t>2,807,176.91</t>
  </si>
  <si>
    <t>100,763.00</t>
  </si>
  <si>
    <t>148,740.48</t>
  </si>
  <si>
    <t>998,813.09</t>
  </si>
  <si>
    <t>79,500.00</t>
  </si>
  <si>
    <t>21,638,798.00</t>
  </si>
  <si>
    <t>207,375.00</t>
  </si>
  <si>
    <t>28,066,253.00</t>
  </si>
  <si>
    <t>2,107,000.00</t>
  </si>
  <si>
    <t>9,392,892.00</t>
  </si>
  <si>
    <t>1,763,272.00</t>
  </si>
  <si>
    <t>4,979,000.00</t>
  </si>
  <si>
    <t>542,640.00</t>
  </si>
  <si>
    <t>1,089,000.00</t>
  </si>
  <si>
    <t>1,147,356.00</t>
  </si>
  <si>
    <t>6,850,000.00</t>
  </si>
  <si>
    <t>505,630.00</t>
  </si>
  <si>
    <t>2,520,477.73</t>
  </si>
  <si>
    <t>9,510,000.00</t>
  </si>
  <si>
    <t>2,000,001.39</t>
  </si>
  <si>
    <t>125,636.00</t>
  </si>
  <si>
    <t>4,350,000.00</t>
  </si>
  <si>
    <t>1,639,440.50</t>
  </si>
  <si>
    <t>5,930,560.00</t>
  </si>
  <si>
    <t>117,600.00</t>
  </si>
  <si>
    <t>25,753,791.70</t>
  </si>
  <si>
    <t>1,324,920.00</t>
  </si>
  <si>
    <t>4,541,000.00</t>
  </si>
  <si>
    <t>9,997,200.00</t>
  </si>
  <si>
    <t>358,825.00</t>
  </si>
  <si>
    <t>33,564,466.08</t>
  </si>
  <si>
    <t>3,609,856.25</t>
  </si>
  <si>
    <t>140,000,000.00</t>
  </si>
  <si>
    <t>115,800,000.00</t>
  </si>
  <si>
    <t>249,985,261.00</t>
  </si>
  <si>
    <t>945,400.00</t>
  </si>
  <si>
    <t>1,658,802.91</t>
  </si>
  <si>
    <t>3,478,134.00</t>
  </si>
  <si>
    <t>9,916,800.00</t>
  </si>
  <si>
    <t>7,800,000.00</t>
  </si>
  <si>
    <t>16,300,949.04</t>
  </si>
  <si>
    <t>1,107,600.00</t>
  </si>
  <si>
    <t>14,600,000.00</t>
  </si>
  <si>
    <t>4,150,725.00</t>
  </si>
  <si>
    <t>11,939,961.04</t>
  </si>
  <si>
    <t>1,134,060.00</t>
  </si>
  <si>
    <t>4,634,000.00</t>
  </si>
  <si>
    <t>55,167,740.36</t>
  </si>
  <si>
    <t>1,585,920.00</t>
  </si>
  <si>
    <t>1,004,000.00</t>
  </si>
  <si>
    <t>1,102,093.25</t>
  </si>
  <si>
    <t>966,722.85</t>
  </si>
  <si>
    <t>4,408,809.77</t>
  </si>
  <si>
    <t>28,140,000.00</t>
  </si>
  <si>
    <t>2,832,000.00</t>
  </si>
  <si>
    <t>4,554,000.00</t>
  </si>
  <si>
    <t>11,939,959.68</t>
  </si>
  <si>
    <t>529,777.80</t>
  </si>
  <si>
    <t>257,850.00</t>
  </si>
  <si>
    <t>50,295,931.43</t>
  </si>
  <si>
    <t>2,276,780.00</t>
  </si>
  <si>
    <t>1,543,050.00</t>
  </si>
  <si>
    <t>133,426.50</t>
  </si>
  <si>
    <t>477,139.43</t>
  </si>
  <si>
    <t>360,040.21</t>
  </si>
  <si>
    <t>359,998.00</t>
  </si>
  <si>
    <t>8,568,000.00</t>
  </si>
  <si>
    <t>535,000.00</t>
  </si>
  <si>
    <t>1,176,000.00</t>
  </si>
  <si>
    <t>848,705.60</t>
  </si>
  <si>
    <t>4,030,486.37</t>
  </si>
  <si>
    <t>4,657,090.00</t>
  </si>
  <si>
    <t>21,824,853.00</t>
  </si>
  <si>
    <t>9,899,965.47</t>
  </si>
  <si>
    <t>1,290,000.00</t>
  </si>
  <si>
    <t>1,940,000.00</t>
  </si>
  <si>
    <t>3,431,959.37</t>
  </si>
  <si>
    <t>2,965,194.42</t>
  </si>
  <si>
    <t>24,738,545.40</t>
  </si>
  <si>
    <t>9,759,123.74</t>
  </si>
  <si>
    <t>2,110,000.00</t>
  </si>
  <si>
    <t>4,949,845.60</t>
  </si>
  <si>
    <t>1,447,440.72</t>
  </si>
  <si>
    <t>931,000.00</t>
  </si>
  <si>
    <t>1,748,088.00</t>
  </si>
  <si>
    <t>249,874.14</t>
  </si>
  <si>
    <t>4,971,000.00</t>
  </si>
  <si>
    <t>5,250,000.00</t>
  </si>
  <si>
    <t>999,999.15</t>
  </si>
  <si>
    <t>1,920,679.59</t>
  </si>
  <si>
    <t>74,250,000.00</t>
  </si>
  <si>
    <t>1,069,771.07</t>
  </si>
  <si>
    <t>15,497,004.34</t>
  </si>
  <si>
    <t>515,816.11</t>
  </si>
  <si>
    <t>1,622,590.00</t>
  </si>
  <si>
    <t>4,997,378.79</t>
  </si>
  <si>
    <t>1,825,826.41</t>
  </si>
  <si>
    <t>888,468.84</t>
  </si>
  <si>
    <t>1,109,266.49</t>
  </si>
  <si>
    <t>23,839,876.00</t>
  </si>
  <si>
    <t>1,089,673.78</t>
  </si>
  <si>
    <t>69,700.00</t>
  </si>
  <si>
    <t>145,540.00</t>
  </si>
  <si>
    <t>182,040.00</t>
  </si>
  <si>
    <t>11,386,365.26</t>
  </si>
  <si>
    <t>1,321,518.75</t>
  </si>
  <si>
    <t>5,297,132.97</t>
  </si>
  <si>
    <t>1,789,700.00</t>
  </si>
  <si>
    <t>1,030,700.00</t>
  </si>
  <si>
    <t>9,899,999.00</t>
  </si>
  <si>
    <t>979,500.00</t>
  </si>
  <si>
    <t>372,976.81</t>
  </si>
  <si>
    <t>10,520,000.00</t>
  </si>
  <si>
    <t>901,000.00</t>
  </si>
  <si>
    <t>7,424,999.50</t>
  </si>
  <si>
    <t>907,000.00</t>
  </si>
  <si>
    <t>5,278,000.00</t>
  </si>
  <si>
    <t>1,093,684.00</t>
  </si>
  <si>
    <t>308,000.00</t>
  </si>
  <si>
    <t>194,931.66</t>
  </si>
  <si>
    <t>418,000.00</t>
  </si>
  <si>
    <t>97,300.00</t>
  </si>
  <si>
    <t>4,086,719.40</t>
  </si>
  <si>
    <t>28,949,998.70</t>
  </si>
  <si>
    <t>1,999,999.30</t>
  </si>
  <si>
    <t>3,199,996.90</t>
  </si>
  <si>
    <t>456,702.51</t>
  </si>
  <si>
    <t>1,499,999.20</t>
  </si>
  <si>
    <t>638,596.00</t>
  </si>
  <si>
    <t>329,019.37</t>
  </si>
  <si>
    <t>5,256,000.00</t>
  </si>
  <si>
    <t>1,118,704.62</t>
  </si>
  <si>
    <t>1,352,800.00</t>
  </si>
  <si>
    <t>1,959,210.00</t>
  </si>
  <si>
    <t>3,503,648.00</t>
  </si>
  <si>
    <t>192,510.00</t>
  </si>
  <si>
    <t>1,716,902.40</t>
  </si>
  <si>
    <t>455,000.00</t>
  </si>
  <si>
    <t>95,819.00</t>
  </si>
  <si>
    <t>101,080.00</t>
  </si>
  <si>
    <t>15,526,465.10</t>
  </si>
  <si>
    <t>441,400.00</t>
  </si>
  <si>
    <t>1,247,617.91</t>
  </si>
  <si>
    <t>4,375,770.00</t>
  </si>
  <si>
    <t>41,362.00</t>
  </si>
  <si>
    <t>1,048,972.50</t>
  </si>
  <si>
    <t>444,199.00</t>
  </si>
  <si>
    <t>1,703,776.68</t>
  </si>
  <si>
    <t>2,383,677.00</t>
  </si>
  <si>
    <t>3,904,104.00</t>
  </si>
  <si>
    <t>219,628.09</t>
  </si>
  <si>
    <t>14,690,615.65</t>
  </si>
  <si>
    <t>7,573,591.00</t>
  </si>
  <si>
    <t>2,527,470.47</t>
  </si>
  <si>
    <t>47,850.00</t>
  </si>
  <si>
    <t>259,184.01</t>
  </si>
  <si>
    <t>925,746.08</t>
  </si>
  <si>
    <t>1,485,176.16</t>
  </si>
  <si>
    <t>1,394,724.16</t>
  </si>
  <si>
    <t>422,000.00</t>
  </si>
  <si>
    <t>1,738,800.00</t>
  </si>
  <si>
    <t>20,634,025.00</t>
  </si>
  <si>
    <t>949,850.00</t>
  </si>
  <si>
    <t>192,440.00</t>
  </si>
  <si>
    <t>440,026.00</t>
  </si>
  <si>
    <t>1,856,614.17</t>
  </si>
  <si>
    <t>180,812.00</t>
  </si>
  <si>
    <t>2,069,739.86</t>
  </si>
  <si>
    <t>786,100.00</t>
  </si>
  <si>
    <t>1,744,750.00</t>
  </si>
  <si>
    <t>2,720,000.00</t>
  </si>
  <si>
    <t>389,930.00</t>
  </si>
  <si>
    <t>1,821,875.38</t>
  </si>
  <si>
    <t>794,252.15</t>
  </si>
  <si>
    <t>4,467,185.45</t>
  </si>
  <si>
    <t>1,993,100.00</t>
  </si>
  <si>
    <t>410,344.41</t>
  </si>
  <si>
    <t>400,600.00</t>
  </si>
  <si>
    <t>2,236,882.62</t>
  </si>
  <si>
    <t>35,820,000.00</t>
  </si>
  <si>
    <t>296,355.00</t>
  </si>
  <si>
    <t>790,705.00</t>
  </si>
  <si>
    <t>2,969,999.99</t>
  </si>
  <si>
    <t>9,950,000.00</t>
  </si>
  <si>
    <t>999,820.74</t>
  </si>
  <si>
    <t>13,930,000.00</t>
  </si>
  <si>
    <t>1,265,000.00</t>
  </si>
  <si>
    <t>49,883,276.37</t>
  </si>
  <si>
    <t>3,515,000.00</t>
  </si>
  <si>
    <t>70,225,000.00</t>
  </si>
  <si>
    <t>2,692,239.03</t>
  </si>
  <si>
    <t>18,125,000.00</t>
  </si>
  <si>
    <t>1,087,000.00</t>
  </si>
  <si>
    <t>160,698.30</t>
  </si>
  <si>
    <t>747,753.30</t>
  </si>
  <si>
    <t>1,148,526.20</t>
  </si>
  <si>
    <t>1,423,019.79</t>
  </si>
  <si>
    <t>642,826.45</t>
  </si>
  <si>
    <t>23,880,000.00</t>
  </si>
  <si>
    <t>536,400.00</t>
  </si>
  <si>
    <t>198,360.00</t>
  </si>
  <si>
    <t>496,530.71</t>
  </si>
  <si>
    <t>1,032,900.00</t>
  </si>
  <si>
    <t>277,750.00</t>
  </si>
  <si>
    <t>4,809,437.18</t>
  </si>
  <si>
    <t>498,800.00</t>
  </si>
  <si>
    <t>1,199,520.00</t>
  </si>
  <si>
    <t>587,000.00</t>
  </si>
  <si>
    <t>299,280.00</t>
  </si>
  <si>
    <t>671,676.32</t>
  </si>
  <si>
    <t>2,219,928.46</t>
  </si>
  <si>
    <t>999,960.00</t>
  </si>
  <si>
    <t>3,153,932.00</t>
  </si>
  <si>
    <t>497,618.25</t>
  </si>
  <si>
    <t>10,130.00</t>
  </si>
  <si>
    <t>1,560.00</t>
  </si>
  <si>
    <t>5,302,721.65</t>
  </si>
  <si>
    <t>88,900.00</t>
  </si>
  <si>
    <t>776,100.00</t>
  </si>
  <si>
    <t>18,965.00</t>
  </si>
  <si>
    <t>955,727.36</t>
  </si>
  <si>
    <t>122,875.00</t>
  </si>
  <si>
    <t>3,056,100.00</t>
  </si>
  <si>
    <t>998,274.20</t>
  </si>
  <si>
    <t>4,947,546.28</t>
  </si>
  <si>
    <t>359,650.00</t>
  </si>
  <si>
    <t>1,491,259.55</t>
  </si>
  <si>
    <t>330,750.00</t>
  </si>
  <si>
    <t>299,803.05</t>
  </si>
  <si>
    <t>427,500.00</t>
  </si>
  <si>
    <t>1,499,026.90</t>
  </si>
  <si>
    <t>763,484.00</t>
  </si>
  <si>
    <t>2,949,000.00</t>
  </si>
  <si>
    <t>91,470.00</t>
  </si>
  <si>
    <t>4,945,349.68</t>
  </si>
  <si>
    <t>1,913,281.00</t>
  </si>
  <si>
    <t>2,685,222.84</t>
  </si>
  <si>
    <t>2,512,500.00</t>
  </si>
  <si>
    <t>180,600.00</t>
  </si>
  <si>
    <t>1,633,511.66</t>
  </si>
  <si>
    <t>1,926,279.91</t>
  </si>
  <si>
    <t>212,125.00</t>
  </si>
  <si>
    <t>85,200.00</t>
  </si>
  <si>
    <t>1,475,000.00</t>
  </si>
  <si>
    <t>1,893,779.67</t>
  </si>
  <si>
    <t>6,860,000.00</t>
  </si>
  <si>
    <t>1,385,746.85</t>
  </si>
  <si>
    <t>198,300.00</t>
  </si>
  <si>
    <t>510,210.00</t>
  </si>
  <si>
    <t>358,921.00</t>
  </si>
  <si>
    <t>5,552,999.81</t>
  </si>
  <si>
    <t>1,074,839.97</t>
  </si>
  <si>
    <t>10,255,000.00</t>
  </si>
  <si>
    <t>241,000.00</t>
  </si>
  <si>
    <t>595,880.00</t>
  </si>
  <si>
    <t>406,728.00</t>
  </si>
  <si>
    <t>4,086,124.68</t>
  </si>
  <si>
    <t>1,263,411.00</t>
  </si>
  <si>
    <t>1,207,180.30</t>
  </si>
  <si>
    <t>1,113,765.58</t>
  </si>
  <si>
    <t>2,247,051.00</t>
  </si>
  <si>
    <t>2,670,807.44</t>
  </si>
  <si>
    <t>599,914.29</t>
  </si>
  <si>
    <t>1,218,000.00</t>
  </si>
  <si>
    <t>76,700.00</t>
  </si>
  <si>
    <t>1,703,917,375.78</t>
  </si>
  <si>
    <t>671,343,892.41</t>
  </si>
  <si>
    <t>249,740.00</t>
  </si>
  <si>
    <t>2,064,000.00</t>
  </si>
  <si>
    <t>668,051.40</t>
  </si>
  <si>
    <t>20,584,805.64</t>
  </si>
  <si>
    <t>299,965.37</t>
  </si>
  <si>
    <t>1,766,064.60</t>
  </si>
  <si>
    <t>12,500,000.00</t>
  </si>
  <si>
    <t>61,760.60</t>
  </si>
  <si>
    <t>9,999,978.98</t>
  </si>
  <si>
    <t>368,209.00</t>
  </si>
  <si>
    <t>448,403.10</t>
  </si>
  <si>
    <t>1,996,166.58</t>
  </si>
  <si>
    <t>10,254,000.00</t>
  </si>
  <si>
    <t>734,136.84</t>
  </si>
  <si>
    <t>24,177,059.50</t>
  </si>
  <si>
    <t>80,796,742.06</t>
  </si>
  <si>
    <t>183,533.96</t>
  </si>
  <si>
    <t>5,646,000.00</t>
  </si>
  <si>
    <t>1,999,955.75</t>
  </si>
  <si>
    <t>9,228,347.48</t>
  </si>
  <si>
    <t>6,998,520.30</t>
  </si>
  <si>
    <t>6,933,807.50</t>
  </si>
  <si>
    <t>1,061,490.00</t>
  </si>
  <si>
    <t>14,956,500.00</t>
  </si>
  <si>
    <t>239,819.00</t>
  </si>
  <si>
    <t>29,861,274.83</t>
  </si>
  <si>
    <t>8,911,401.90</t>
  </si>
  <si>
    <t>9,457,146.69</t>
  </si>
  <si>
    <t>174,550.00</t>
  </si>
  <si>
    <t>1,565,000.00</t>
  </si>
  <si>
    <t>1,999,999.52</t>
  </si>
  <si>
    <t>2,057,800.00</t>
  </si>
  <si>
    <t>16,374,796.97</t>
  </si>
  <si>
    <t>3,678,097.50</t>
  </si>
  <si>
    <t>8,976,830.00</t>
  </si>
  <si>
    <t>917,530.00</t>
  </si>
  <si>
    <t>38,599,998.24</t>
  </si>
  <si>
    <t>3,496,478.11</t>
  </si>
  <si>
    <t>2,731,000.00</t>
  </si>
  <si>
    <t>38,599,983.94</t>
  </si>
  <si>
    <t>6,498,800.00</t>
  </si>
  <si>
    <t>93,969,875.00</t>
  </si>
  <si>
    <t>3,612,068.00</t>
  </si>
  <si>
    <t>35,639,631.53</t>
  </si>
  <si>
    <t>999,941.86</t>
  </si>
  <si>
    <t>6,600,000.00</t>
  </si>
  <si>
    <t>6,603,450.00</t>
  </si>
  <si>
    <t>1,890,900.00</t>
  </si>
  <si>
    <t>5,950,000.00</t>
  </si>
  <si>
    <t>48,999,974.55</t>
  </si>
  <si>
    <t>995,887.20</t>
  </si>
  <si>
    <t>2,982,000.00</t>
  </si>
  <si>
    <t>996,712.50</t>
  </si>
  <si>
    <t>955,920.79</t>
  </si>
  <si>
    <t>998,550.00</t>
  </si>
  <si>
    <t>994,297.50</t>
  </si>
  <si>
    <t>321,030.00</t>
  </si>
  <si>
    <t>162,993.66</t>
  </si>
  <si>
    <t>557,000.00</t>
  </si>
  <si>
    <t>19,799,815.98</t>
  </si>
  <si>
    <t>4,113,998.44</t>
  </si>
  <si>
    <t>9,799,746.52</t>
  </si>
  <si>
    <t>15,551,286.92</t>
  </si>
  <si>
    <t>28,880,600.00</t>
  </si>
  <si>
    <t>948,398.06</t>
  </si>
  <si>
    <t>58,409,482.40</t>
  </si>
  <si>
    <t>1,105,000.00</t>
  </si>
  <si>
    <t>2,010,000.00</t>
  </si>
  <si>
    <t>1,938,106.40</t>
  </si>
  <si>
    <t>2,735,000.00</t>
  </si>
  <si>
    <t>2,499,942.16</t>
  </si>
  <si>
    <t>1,129,503.00</t>
  </si>
  <si>
    <t>1,980,180.00</t>
  </si>
  <si>
    <t>5,430.00</t>
  </si>
  <si>
    <t>8,430,062.01</t>
  </si>
  <si>
    <t>6,895.00</t>
  </si>
  <si>
    <t>6,360.00</t>
  </si>
  <si>
    <t>2,844,000.00</t>
  </si>
  <si>
    <t>13,238,449.62</t>
  </si>
  <si>
    <t>336,000.00</t>
  </si>
  <si>
    <t>556,037.50</t>
  </si>
  <si>
    <t>8,400.00</t>
  </si>
  <si>
    <t>3,670,000.00</t>
  </si>
  <si>
    <t>50,009.00</t>
  </si>
  <si>
    <t>4,372,800.00</t>
  </si>
  <si>
    <t>9,900.00</t>
  </si>
  <si>
    <t>19,773,581.10</t>
  </si>
  <si>
    <t>4,613,186.00</t>
  </si>
  <si>
    <t>3,796,110.65</t>
  </si>
  <si>
    <t>34,800.00</t>
  </si>
  <si>
    <t>19,800.00</t>
  </si>
  <si>
    <t>34,940.00</t>
  </si>
  <si>
    <t>10,600.00</t>
  </si>
  <si>
    <t>6,410.00</t>
  </si>
  <si>
    <t>8,600.00</t>
  </si>
  <si>
    <t>3,662,500.00</t>
  </si>
  <si>
    <t>3,750.00</t>
  </si>
  <si>
    <t>148,750.00</t>
  </si>
  <si>
    <t>348,025.00</t>
  </si>
  <si>
    <t>93,870.00</t>
  </si>
  <si>
    <t>277,100.00</t>
  </si>
  <si>
    <t>3,215.00</t>
  </si>
  <si>
    <t>3,027,648.00</t>
  </si>
  <si>
    <t>23,609.00</t>
  </si>
  <si>
    <t>270,300.00</t>
  </si>
  <si>
    <t>53,149.00</t>
  </si>
  <si>
    <t>14,800.00</t>
  </si>
  <si>
    <t>545,700.00</t>
  </si>
  <si>
    <t>13,205.00</t>
  </si>
  <si>
    <t>58,199.00</t>
  </si>
  <si>
    <t>115,275.95</t>
  </si>
  <si>
    <t>1,386.00</t>
  </si>
  <si>
    <t>3,087.00</t>
  </si>
  <si>
    <t>6,728,500.00</t>
  </si>
  <si>
    <t>23,816.00</t>
  </si>
  <si>
    <t>3,468.00</t>
  </si>
  <si>
    <t>15,781.00</t>
  </si>
  <si>
    <t>4,206,894.00</t>
  </si>
  <si>
    <t>16,372.00</t>
  </si>
  <si>
    <t>7,491.00</t>
  </si>
  <si>
    <t>942,470.00</t>
  </si>
  <si>
    <t>2,874,877.00</t>
  </si>
  <si>
    <t>94,400.00</t>
  </si>
  <si>
    <t>43,084.00</t>
  </si>
  <si>
    <t>19,181.00</t>
  </si>
  <si>
    <t>145,435.00</t>
  </si>
  <si>
    <t>39,425.00</t>
  </si>
  <si>
    <t>591,000.00</t>
  </si>
  <si>
    <t>10,810.00</t>
  </si>
  <si>
    <t>1,806,750.00</t>
  </si>
  <si>
    <t>6,364.00</t>
  </si>
  <si>
    <t>5,075.00</t>
  </si>
  <si>
    <t>146,860.00</t>
  </si>
  <si>
    <t>197,245.00</t>
  </si>
  <si>
    <t>402,500.00</t>
  </si>
  <si>
    <t>810,090.36</t>
  </si>
  <si>
    <t>142,000.00</t>
  </si>
  <si>
    <t>10,962.00</t>
  </si>
  <si>
    <t>1,859,265.00</t>
  </si>
  <si>
    <t>2,483,540.75</t>
  </si>
  <si>
    <t>99,999,999.45</t>
  </si>
  <si>
    <t>1,303,421.84</t>
  </si>
  <si>
    <t>3,032,215.00</t>
  </si>
  <si>
    <t>54,729.50</t>
  </si>
  <si>
    <t>9,550.00</t>
  </si>
  <si>
    <t>6,001.00</t>
  </si>
  <si>
    <t>6,007.00</t>
  </si>
  <si>
    <t>7,920,000.00</t>
  </si>
  <si>
    <t>505,419.09</t>
  </si>
  <si>
    <t>262,819.00</t>
  </si>
  <si>
    <t>13,999,999.50</t>
  </si>
  <si>
    <t>31,647.00</t>
  </si>
  <si>
    <t>16,242,753.90</t>
  </si>
  <si>
    <t>853,558.18</t>
  </si>
  <si>
    <t>1,401,717.25</t>
  </si>
  <si>
    <t>9,994,514.37</t>
  </si>
  <si>
    <t>2,533,096.87</t>
  </si>
  <si>
    <t>669,564.23</t>
  </si>
  <si>
    <t>810,888.33</t>
  </si>
  <si>
    <t>79,837.00</t>
  </si>
  <si>
    <t>1,911,009.65</t>
  </si>
  <si>
    <t>749,800.00</t>
  </si>
  <si>
    <t>444,311.00</t>
  </si>
  <si>
    <t>1,099,427.01</t>
  </si>
  <si>
    <t>11,045,036.77</t>
  </si>
  <si>
    <t>2,149,924.18</t>
  </si>
  <si>
    <t>795,911.67</t>
  </si>
  <si>
    <t>1,298,002.33</t>
  </si>
  <si>
    <t>2,479,886.06</t>
  </si>
  <si>
    <t>2,294,941.09</t>
  </si>
  <si>
    <t>1,679,214.25</t>
  </si>
  <si>
    <t>7,436,499.19</t>
  </si>
  <si>
    <t>729,129.55</t>
  </si>
  <si>
    <t>1,799,827.23</t>
  </si>
  <si>
    <t>1,099,746.64</t>
  </si>
  <si>
    <t>3,583,900.85</t>
  </si>
  <si>
    <t>2,453,181.97</t>
  </si>
  <si>
    <t>627,317.58</t>
  </si>
  <si>
    <t>1,043,241.57</t>
  </si>
  <si>
    <t>2,494,259.17</t>
  </si>
  <si>
    <t>898,261.60</t>
  </si>
  <si>
    <t>849,471.16</t>
  </si>
  <si>
    <t>11,708,530.37</t>
  </si>
  <si>
    <t>17,997,702.28</t>
  </si>
  <si>
    <t>8,475,449.27</t>
  </si>
  <si>
    <t>53,199,485.00</t>
  </si>
  <si>
    <t>4,499,987.49</t>
  </si>
  <si>
    <t>3,546,621.31</t>
  </si>
  <si>
    <t>289,500,000.00</t>
  </si>
  <si>
    <t>482,160.05</t>
  </si>
  <si>
    <t>18,998,751.90</t>
  </si>
  <si>
    <t>413,895.00</t>
  </si>
  <si>
    <t>181,280.00</t>
  </si>
  <si>
    <t>4,300,908.44</t>
  </si>
  <si>
    <t>1,934,215.12</t>
  </si>
  <si>
    <t>14,997,632.98</t>
  </si>
  <si>
    <t>5,383,000.00</t>
  </si>
  <si>
    <t>2,089,555.42</t>
  </si>
  <si>
    <t>1,727,522.54</t>
  </si>
  <si>
    <t>555,791.00</t>
  </si>
  <si>
    <t>135,100,000.00</t>
  </si>
  <si>
    <t>5,920,000.00</t>
  </si>
  <si>
    <t>948,000.00</t>
  </si>
  <si>
    <t>10,050,000.00</t>
  </si>
  <si>
    <t>834,480.00</t>
  </si>
  <si>
    <t>1,068,398.00</t>
  </si>
  <si>
    <t>2,920,000.00</t>
  </si>
  <si>
    <t>499,902.00</t>
  </si>
  <si>
    <t>250,275.00</t>
  </si>
  <si>
    <t>1,199,999.53</t>
  </si>
  <si>
    <t>170,692.00</t>
  </si>
  <si>
    <t>581,304.00</t>
  </si>
  <si>
    <t>3,046,000.00</t>
  </si>
  <si>
    <t>329,475.00</t>
  </si>
  <si>
    <t>86,300.00</t>
  </si>
  <si>
    <t>70,000,000.00</t>
  </si>
  <si>
    <t>375,100.00</t>
  </si>
  <si>
    <t>8,643,000.00</t>
  </si>
  <si>
    <t>2,220,750.00</t>
  </si>
  <si>
    <t>960,750.00</t>
  </si>
  <si>
    <t>5,873,734.99</t>
  </si>
  <si>
    <t>652,600.00</t>
  </si>
  <si>
    <t>1,969,165.64</t>
  </si>
  <si>
    <t>2,099,000.00</t>
  </si>
  <si>
    <t>4,921,084.95</t>
  </si>
  <si>
    <t>5,999,923.56</t>
  </si>
  <si>
    <t>24,875,000.00</t>
  </si>
  <si>
    <t>9,998,598.74</t>
  </si>
  <si>
    <t>311,825.00</t>
  </si>
  <si>
    <t>3,450,000.00</t>
  </si>
  <si>
    <t>13,192,935.00</t>
  </si>
  <si>
    <t>314,572.50</t>
  </si>
  <si>
    <t>1,499,745.38</t>
  </si>
  <si>
    <t>1,210,000.00</t>
  </si>
  <si>
    <t>905,484.23</t>
  </si>
  <si>
    <t>999,838.30</t>
  </si>
  <si>
    <t>2,995,439.87</t>
  </si>
  <si>
    <t>1,959,939.74</t>
  </si>
  <si>
    <t>7,781,000.00</t>
  </si>
  <si>
    <t>10,220,000.00</t>
  </si>
  <si>
    <t>1,015,000.00</t>
  </si>
  <si>
    <t>4,344,846.00</t>
  </si>
  <si>
    <t>1,116,560.00</t>
  </si>
  <si>
    <t>1,372,175.00</t>
  </si>
  <si>
    <t>1,115,540.92</t>
  </si>
  <si>
    <t>1,499,994.08</t>
  </si>
  <si>
    <t>30,390.00</t>
  </si>
  <si>
    <t>4,424,000.00</t>
  </si>
  <si>
    <t>4,551,000.00</t>
  </si>
  <si>
    <t>999,912.92</t>
  </si>
  <si>
    <t>2,939,955.41</t>
  </si>
  <si>
    <t>4,375,145.06</t>
  </si>
  <si>
    <t>2,672,800.00</t>
  </si>
  <si>
    <t>2,207,500.00</t>
  </si>
  <si>
    <t>999,941.75</t>
  </si>
  <si>
    <t>112,081.85</t>
  </si>
  <si>
    <t>439,130.24</t>
  </si>
  <si>
    <t>2,892,540.00</t>
  </si>
  <si>
    <t>2,435,364.75</t>
  </si>
  <si>
    <t>14,981,717.00</t>
  </si>
  <si>
    <t>1,345,754.00</t>
  </si>
  <si>
    <t>766,310.00</t>
  </si>
  <si>
    <t>1,866,635.00</t>
  </si>
  <si>
    <t>24,749,847.03</t>
  </si>
  <si>
    <t>1,979,942.80</t>
  </si>
  <si>
    <t>1,959,895.49</t>
  </si>
  <si>
    <t>48,999,934.59</t>
  </si>
  <si>
    <t>10,800,000.00</t>
  </si>
  <si>
    <t>48,999,575.77</t>
  </si>
  <si>
    <t>1,214,680.17</t>
  </si>
  <si>
    <t>1,495,586.56</t>
  </si>
  <si>
    <t>952,000.00</t>
  </si>
  <si>
    <t>1,979,608.16</t>
  </si>
  <si>
    <t>4,766,000.00</t>
  </si>
  <si>
    <t>49,499,914.27</t>
  </si>
  <si>
    <t>49,499,818.16</t>
  </si>
  <si>
    <t>19,799,863.99</t>
  </si>
  <si>
    <t>1,597,391.75</t>
  </si>
  <si>
    <t>2,608,535.14</t>
  </si>
  <si>
    <t>2,990,594.00</t>
  </si>
  <si>
    <t>1,400,778.50</t>
  </si>
  <si>
    <t>2,517,407.00</t>
  </si>
  <si>
    <t>19,799,947.66</t>
  </si>
  <si>
    <t>1,014,229.00</t>
  </si>
  <si>
    <t>1,578,422.00</t>
  </si>
  <si>
    <t>83,295.00</t>
  </si>
  <si>
    <t>188,424.00</t>
  </si>
  <si>
    <t>19,599,842.64</t>
  </si>
  <si>
    <t>2,213,641.12</t>
  </si>
  <si>
    <t>4,999,987.23</t>
  </si>
  <si>
    <t>24,986.00</t>
  </si>
  <si>
    <t>2,007,180.00</t>
  </si>
  <si>
    <t>19,599,943.77</t>
  </si>
  <si>
    <t>2,939,642.21</t>
  </si>
  <si>
    <t>296,397.00</t>
  </si>
  <si>
    <t>3,429,951.02</t>
  </si>
  <si>
    <t>1,959,198.93</t>
  </si>
  <si>
    <t>365,030.95</t>
  </si>
  <si>
    <t>1,195,030.00</t>
  </si>
  <si>
    <t>29,900.00</t>
  </si>
  <si>
    <t>14,699,833.44</t>
  </si>
  <si>
    <t>5,879,909.44</t>
  </si>
  <si>
    <t>6,287,400.00</t>
  </si>
  <si>
    <t>2,939,941.41</t>
  </si>
  <si>
    <t>111,750.00</t>
  </si>
  <si>
    <t>1,860.00</t>
  </si>
  <si>
    <t>1,959,853.18</t>
  </si>
  <si>
    <t>1,385,838.00</t>
  </si>
  <si>
    <t>9,799,945.84</t>
  </si>
  <si>
    <t>1,959,919.35</t>
  </si>
  <si>
    <t>70,775.00</t>
  </si>
  <si>
    <t>999,981.42</t>
  </si>
  <si>
    <t>1,540,250.00</t>
  </si>
  <si>
    <t>590,832.88</t>
  </si>
  <si>
    <t>451,482.81</t>
  </si>
  <si>
    <t>2,960.00</t>
  </si>
  <si>
    <t>134,885.00</t>
  </si>
  <si>
    <t>1,547,510.00</t>
  </si>
  <si>
    <t>351,459.06</t>
  </si>
  <si>
    <t>1,959,991.60</t>
  </si>
  <si>
    <t>55,770.00</t>
  </si>
  <si>
    <t>2,939,408.15</t>
  </si>
  <si>
    <t>1,959,982.57</t>
  </si>
  <si>
    <t>348,200.00</t>
  </si>
  <si>
    <t>800,811.56</t>
  </si>
  <si>
    <t>7,702,000.00</t>
  </si>
  <si>
    <t>3,423,000.00</t>
  </si>
  <si>
    <t>1,999,979.56</t>
  </si>
  <si>
    <t>2,867,143.76</t>
  </si>
  <si>
    <t>34,299,223.99</t>
  </si>
  <si>
    <t>399,360.00</t>
  </si>
  <si>
    <t>11,939,976.01</t>
  </si>
  <si>
    <t>772,671.25</t>
  </si>
  <si>
    <t>11,939,975.70</t>
  </si>
  <si>
    <t>4,731,375.00</t>
  </si>
  <si>
    <t>3,540,000.00</t>
  </si>
  <si>
    <t>51,480,000.00</t>
  </si>
  <si>
    <t>12,934,953.22</t>
  </si>
  <si>
    <t>999,962.58</t>
  </si>
  <si>
    <t>599,996.00</t>
  </si>
  <si>
    <t>662,900.00</t>
  </si>
  <si>
    <t>1,407,730.80</t>
  </si>
  <si>
    <t>2,427,174.19</t>
  </si>
  <si>
    <t>14,980,000.00</t>
  </si>
  <si>
    <t>4,927,800.00</t>
  </si>
  <si>
    <t>16,660,000.00</t>
  </si>
  <si>
    <t>96,017,500.00</t>
  </si>
  <si>
    <t>2,046,000.00</t>
  </si>
  <si>
    <t>1,324,800.00</t>
  </si>
  <si>
    <t>12,934,947.12</t>
  </si>
  <si>
    <t>1,810,095.27</t>
  </si>
  <si>
    <t>3,945,744.32</t>
  </si>
  <si>
    <t>3,864,686.31</t>
  </si>
  <si>
    <t>1,472,768.00</t>
  </si>
  <si>
    <t>227,745.00</t>
  </si>
  <si>
    <t>2,349,090.00</t>
  </si>
  <si>
    <t>997,753.00</t>
  </si>
  <si>
    <t>384,500.00</t>
  </si>
  <si>
    <t>3,881,112.26</t>
  </si>
  <si>
    <t>542,465.00</t>
  </si>
  <si>
    <t>8,820,000.00</t>
  </si>
  <si>
    <t>3,021,155.20</t>
  </si>
  <si>
    <t>1,499,997.84</t>
  </si>
  <si>
    <t>644,955.00</t>
  </si>
  <si>
    <t>738,090.00</t>
  </si>
  <si>
    <t>1,897,161.40</t>
  </si>
  <si>
    <t>2,939,996.49</t>
  </si>
  <si>
    <t>41,930.00</t>
  </si>
  <si>
    <t>271,868.60</t>
  </si>
  <si>
    <t>176,013,538.00</t>
  </si>
  <si>
    <t>78,870.00</t>
  </si>
  <si>
    <t>14,999,985.16</t>
  </si>
  <si>
    <t>2,498,129.58</t>
  </si>
  <si>
    <t>107,850.00</t>
  </si>
  <si>
    <t>42,500.00</t>
  </si>
  <si>
    <t>29,399,717.41</t>
  </si>
  <si>
    <t>1,928,400.00</t>
  </si>
  <si>
    <t>593,165.00</t>
  </si>
  <si>
    <t>18,309,589.20</t>
  </si>
  <si>
    <t>1,592,600.00</t>
  </si>
  <si>
    <t>2,784,887.68</t>
  </si>
  <si>
    <t>2,940,000.00</t>
  </si>
  <si>
    <t>16,928,000.00</t>
  </si>
  <si>
    <t>715,431.00</t>
  </si>
  <si>
    <t>4,975,000.00</t>
  </si>
  <si>
    <t>1,547,167.68</t>
  </si>
  <si>
    <t>321,480.00</t>
  </si>
  <si>
    <t>1,860,000.00</t>
  </si>
  <si>
    <t>3,638,735.05</t>
  </si>
  <si>
    <t>1,736,400,000.00</t>
  </si>
  <si>
    <t>4,901,672.06</t>
  </si>
  <si>
    <t>2,545,920.00</t>
  </si>
  <si>
    <t>1,350,500.00</t>
  </si>
  <si>
    <t>12,146,967.54</t>
  </si>
  <si>
    <t>1,063,000.00</t>
  </si>
  <si>
    <t>2,352,000.00</t>
  </si>
  <si>
    <t>449,970.00</t>
  </si>
  <si>
    <t>10,600,000.00</t>
  </si>
  <si>
    <t>1,354,508.00</t>
  </si>
  <si>
    <t>19,989,750.56</t>
  </si>
  <si>
    <t>5,485,000.00</t>
  </si>
  <si>
    <t>7,248,080.45</t>
  </si>
  <si>
    <t>1,599,978.64</t>
  </si>
  <si>
    <t>494,550.00</t>
  </si>
  <si>
    <t>1,499,980.00</t>
  </si>
  <si>
    <t>1,499,973.89</t>
  </si>
  <si>
    <t>1,842,468.75</t>
  </si>
  <si>
    <t>6,667,055.00</t>
  </si>
  <si>
    <t>799,239.00</t>
  </si>
  <si>
    <t>126,107.00</t>
  </si>
  <si>
    <t>488,601.60</t>
  </si>
  <si>
    <t>266,200.00</t>
  </si>
  <si>
    <t>2,484,660.31</t>
  </si>
  <si>
    <t>32,830,000.00</t>
  </si>
  <si>
    <t>1,215,050.00</t>
  </si>
  <si>
    <t>1,434,987.25</t>
  </si>
  <si>
    <t>861,136.50</t>
  </si>
  <si>
    <t>436,230.00</t>
  </si>
  <si>
    <t>143,843.84</t>
  </si>
  <si>
    <t>2,060,000.00</t>
  </si>
  <si>
    <t>542,868.60</t>
  </si>
  <si>
    <t>4,590,000.00</t>
  </si>
  <si>
    <t>9,650,000.00</t>
  </si>
  <si>
    <t>2,953,705.00</t>
  </si>
  <si>
    <t>175,261.25</t>
  </si>
  <si>
    <t>867,401.50</t>
  </si>
  <si>
    <t>1,308,895.67</t>
  </si>
  <si>
    <t>6,624,800.00</t>
  </si>
  <si>
    <t>498,499.00</t>
  </si>
  <si>
    <t>367,660.99</t>
  </si>
  <si>
    <t>5,540,550.00</t>
  </si>
  <si>
    <t>920,673.00</t>
  </si>
  <si>
    <t>163,107.00</t>
  </si>
  <si>
    <t>39,199,954.62</t>
  </si>
  <si>
    <t>112,950.00</t>
  </si>
  <si>
    <t>48,999,853.20</t>
  </si>
  <si>
    <t>1,927,350.00</t>
  </si>
  <si>
    <t>1,143,600.00</t>
  </si>
  <si>
    <t>9,382,500.00</t>
  </si>
  <si>
    <t>506,362.28</t>
  </si>
  <si>
    <t>4,989,680.44</t>
  </si>
  <si>
    <t>572,950.00</t>
  </si>
  <si>
    <t>12,740,000.00</t>
  </si>
  <si>
    <t>14,989,946.30</t>
  </si>
  <si>
    <t>346,000.00</t>
  </si>
  <si>
    <t>16,743,873.31</t>
  </si>
  <si>
    <t>16,989,934.98</t>
  </si>
  <si>
    <t>22,498,957.56</t>
  </si>
  <si>
    <t>9,989,890.60</t>
  </si>
  <si>
    <t>4,235,000.00</t>
  </si>
  <si>
    <t>2,395,999.15</t>
  </si>
  <si>
    <t>2,854,500.00</t>
  </si>
  <si>
    <t>50,683,000.00</t>
  </si>
  <si>
    <t>3,681,367.75</t>
  </si>
  <si>
    <t>13,720,000.00</t>
  </si>
  <si>
    <t>12,554,650.00</t>
  </si>
  <si>
    <t>1,272,160.00</t>
  </si>
  <si>
    <t>1,246,676.60</t>
  </si>
  <si>
    <t>57,899,843.81</t>
  </si>
  <si>
    <t>96,499,079.66</t>
  </si>
  <si>
    <t>96,498,691.77</t>
  </si>
  <si>
    <t>139,923,944.95</t>
  </si>
  <si>
    <t>57,899,874.60</t>
  </si>
  <si>
    <t>286,350.00</t>
  </si>
  <si>
    <t>53,298,846.86</t>
  </si>
  <si>
    <t>1,337,399.00</t>
  </si>
  <si>
    <t>43,424,762.96</t>
  </si>
  <si>
    <t>129,180.00</t>
  </si>
  <si>
    <t>1,188,000.00</t>
  </si>
  <si>
    <t>505,700.00</t>
  </si>
  <si>
    <t>5,573,000.00</t>
  </si>
  <si>
    <t>12,436,807.73</t>
  </si>
  <si>
    <t>4,086,764.95</t>
  </si>
  <si>
    <t>2,108,250.00</t>
  </si>
  <si>
    <t>1,124,280.00</t>
  </si>
  <si>
    <t>1,198,050.00</t>
  </si>
  <si>
    <t>1,033,000.00</t>
  </si>
  <si>
    <t>1,280,000.00</t>
  </si>
  <si>
    <t>1,172,952.00</t>
  </si>
  <si>
    <t>499,999.07</t>
  </si>
  <si>
    <t>4,121,824.00</t>
  </si>
  <si>
    <t>1,982,973.00</t>
  </si>
  <si>
    <t>3,183,092.00</t>
  </si>
  <si>
    <t>1,788,495.00</t>
  </si>
  <si>
    <t>2,793,040.00</t>
  </si>
  <si>
    <t>2,869,671.00</t>
  </si>
  <si>
    <t>3,253,441.00</t>
  </si>
  <si>
    <t>3,896,804.63</t>
  </si>
  <si>
    <t>1,798,000.00</t>
  </si>
  <si>
    <t>1,118,275.00</t>
  </si>
  <si>
    <t>232,021.50</t>
  </si>
  <si>
    <t>697,840.00</t>
  </si>
  <si>
    <t>3,999,999.97</t>
  </si>
  <si>
    <t>7,197,999.58</t>
  </si>
  <si>
    <t>17,909,754.21</t>
  </si>
  <si>
    <t>236,106.00</t>
  </si>
  <si>
    <t>3,499,386.34</t>
  </si>
  <si>
    <t>17,909,541.69</t>
  </si>
  <si>
    <t>833,100.00</t>
  </si>
  <si>
    <t>1,509,920.00</t>
  </si>
  <si>
    <t>1,999,999.40</t>
  </si>
  <si>
    <t>1,499,553.80</t>
  </si>
  <si>
    <t>1,849,934.57</t>
  </si>
  <si>
    <t>19,899,529.70</t>
  </si>
  <si>
    <t>1,499,465.13</t>
  </si>
  <si>
    <t>2,499,637.52</t>
  </si>
  <si>
    <t>1,544,400.00</t>
  </si>
  <si>
    <t>11,879,985.18</t>
  </si>
  <si>
    <t>12,869,536.62</t>
  </si>
  <si>
    <t>999,863.72</t>
  </si>
  <si>
    <t>835,450.63</t>
  </si>
  <si>
    <t>1,600,208.00</t>
  </si>
  <si>
    <t>395,800.00</t>
  </si>
  <si>
    <t>294,200.00</t>
  </si>
  <si>
    <t>91,376.76</t>
  </si>
  <si>
    <t>2,664,039.96</t>
  </si>
  <si>
    <t>476,218.00</t>
  </si>
  <si>
    <t>1,095,000.00</t>
  </si>
  <si>
    <t>7,700,000.00</t>
  </si>
  <si>
    <t>970,787.46</t>
  </si>
  <si>
    <t>4,534,054.89</t>
  </si>
  <si>
    <t>9,708,829.70</t>
  </si>
  <si>
    <t>2,662,660.00</t>
  </si>
  <si>
    <t>1,720,000.00</t>
  </si>
  <si>
    <t>3,934,975.95</t>
  </si>
  <si>
    <t>902,965.10</t>
  </si>
  <si>
    <t>4,712,000.00</t>
  </si>
  <si>
    <t>144,143.00</t>
  </si>
  <si>
    <t>2,697,256.47</t>
  </si>
  <si>
    <t>1,318,234.84</t>
  </si>
  <si>
    <t>1,999,945.27</t>
  </si>
  <si>
    <t>1,900,145.00</t>
  </si>
  <si>
    <t>339,048.00</t>
  </si>
  <si>
    <t>1,067,163.83</t>
  </si>
  <si>
    <t>2,210,000.00</t>
  </si>
  <si>
    <t>14,184,194.36</t>
  </si>
  <si>
    <t>915,887.05</t>
  </si>
  <si>
    <t>1,182,000.00</t>
  </si>
  <si>
    <t>474,293.09</t>
  </si>
  <si>
    <t>1,360,000.00</t>
  </si>
  <si>
    <t>2,361,572.00</t>
  </si>
  <si>
    <t>154,325.00</t>
  </si>
  <si>
    <t>1,999,705.69</t>
  </si>
  <si>
    <t>1,744,985.00</t>
  </si>
  <si>
    <t>499,909.86</t>
  </si>
  <si>
    <t>4,906,162.74</t>
  </si>
  <si>
    <t>5,222,500.00</t>
  </si>
  <si>
    <t>5,006,453.60</t>
  </si>
  <si>
    <t>904,928.00</t>
  </si>
  <si>
    <t>414,186.00</t>
  </si>
  <si>
    <t>1,199,999.99</t>
  </si>
  <si>
    <t>1,883,019.60</t>
  </si>
  <si>
    <t>1,477,500.00</t>
  </si>
  <si>
    <t>1,261,517.77</t>
  </si>
  <si>
    <t>8,065,210.00</t>
  </si>
  <si>
    <t>3,673,476.00</t>
  </si>
  <si>
    <t>2,499,999.98</t>
  </si>
  <si>
    <t>4,999,999.98</t>
  </si>
  <si>
    <t>394,377.00</t>
  </si>
  <si>
    <t>1,209,520.05</t>
  </si>
  <si>
    <t>1,999,999.98</t>
  </si>
  <si>
    <t>6,900,000.00</t>
  </si>
  <si>
    <t>511,410.00</t>
  </si>
  <si>
    <t>91,859.00</t>
  </si>
  <si>
    <t>1,007,000.00</t>
  </si>
  <si>
    <t>255,970.00</t>
  </si>
  <si>
    <t>2,187,332.01</t>
  </si>
  <si>
    <t>349,413.36</t>
  </si>
  <si>
    <t>2,862,940.00</t>
  </si>
  <si>
    <t>4,041,557.00</t>
  </si>
  <si>
    <t>6,917,507.32</t>
  </si>
  <si>
    <t>643,286.00</t>
  </si>
  <si>
    <t>598,817.15</t>
  </si>
  <si>
    <t>19,481,973.12</t>
  </si>
  <si>
    <t>41,609,099.74</t>
  </si>
  <si>
    <t>1,381,921.10</t>
  </si>
  <si>
    <t>36,802,364.37</t>
  </si>
  <si>
    <t>335,033.45</t>
  </si>
  <si>
    <t>1,092,360.00</t>
  </si>
  <si>
    <t>1,335,000.00</t>
  </si>
  <si>
    <t>2,270,000.00</t>
  </si>
  <si>
    <t>1,247,008.00</t>
  </si>
  <si>
    <t>6,910,000.00</t>
  </si>
  <si>
    <t>5,160,000.00</t>
  </si>
  <si>
    <t>261,479.00</t>
  </si>
  <si>
    <t>2,138,969.00</t>
  </si>
  <si>
    <t>6,717,365.00</t>
  </si>
  <si>
    <t>1,963,000.00</t>
  </si>
  <si>
    <t>8,400,000.00</t>
  </si>
  <si>
    <t>153,406.59</t>
  </si>
  <si>
    <t>12,775,000.00</t>
  </si>
  <si>
    <t>2,505,185.00</t>
  </si>
  <si>
    <t>980,960.00</t>
  </si>
  <si>
    <t>2,785,200.00</t>
  </si>
  <si>
    <t>149,445.00</t>
  </si>
  <si>
    <t>6,866,000.00</t>
  </si>
  <si>
    <t>29,499,363.00</t>
  </si>
  <si>
    <t>5,317,000.00</t>
  </si>
  <si>
    <t>1,025,000.00</t>
  </si>
  <si>
    <t>526,800.00</t>
  </si>
  <si>
    <t>1,182,400.00</t>
  </si>
  <si>
    <t>1,502,400.00</t>
  </si>
  <si>
    <t>2,569,750.00</t>
  </si>
  <si>
    <t>1,033,100.00</t>
  </si>
  <si>
    <t>750,750.00</t>
  </si>
  <si>
    <t>1,224,279.35</t>
  </si>
  <si>
    <t>4,086,758.80</t>
  </si>
  <si>
    <t>2,965,333.85</t>
  </si>
  <si>
    <t>6,120,431.21</t>
  </si>
  <si>
    <t>1,419,616.00</t>
  </si>
  <si>
    <t>1,895,795.24</t>
  </si>
  <si>
    <t>89,099,998.35</t>
  </si>
  <si>
    <t>755,000.00</t>
  </si>
  <si>
    <t>1,870,000.00</t>
  </si>
  <si>
    <t>411,300.00</t>
  </si>
  <si>
    <t>402,760.00</t>
  </si>
  <si>
    <t>4,072,840.93</t>
  </si>
  <si>
    <t>2,999,931.34</t>
  </si>
  <si>
    <t>413,517.00</t>
  </si>
  <si>
    <t>5,999,429.62</t>
  </si>
  <si>
    <t>3,134,502.00</t>
  </si>
  <si>
    <t>244,950.00</t>
  </si>
  <si>
    <t>4,086,756.90</t>
  </si>
  <si>
    <t>9,527,485.00</t>
  </si>
  <si>
    <t>1,824,135.61</t>
  </si>
  <si>
    <t>1,717,870.00</t>
  </si>
  <si>
    <t>37,110,900.06</t>
  </si>
  <si>
    <t>32,300.00</t>
  </si>
  <si>
    <t>123,575.00</t>
  </si>
  <si>
    <t>12,852,675.00</t>
  </si>
  <si>
    <t>9,999,400.00</t>
  </si>
  <si>
    <t>30,489,582.00</t>
  </si>
  <si>
    <t>16,723,101.12</t>
  </si>
  <si>
    <t>49,996,219.98</t>
  </si>
  <si>
    <t>399,999.71</t>
  </si>
  <si>
    <t>999,744.16</t>
  </si>
  <si>
    <t>1,360,129.00</t>
  </si>
  <si>
    <t>142,317,877.72</t>
  </si>
  <si>
    <t>264,125.00</t>
  </si>
  <si>
    <t>2,188,000.00</t>
  </si>
  <si>
    <t>77,200,000.00</t>
  </si>
  <si>
    <t>1,641,302.12</t>
  </si>
  <si>
    <t>27,738,501.11</t>
  </si>
  <si>
    <t>51,580,848.00</t>
  </si>
  <si>
    <t>951,387.98</t>
  </si>
  <si>
    <t>899,693.74</t>
  </si>
  <si>
    <t>26,765,742.16</t>
  </si>
  <si>
    <t>247,091.00</t>
  </si>
  <si>
    <t>167,020,644.66</t>
  </si>
  <si>
    <t>1,499,840.98</t>
  </si>
  <si>
    <t>13,413,641.66</t>
  </si>
  <si>
    <t>605,065.88</t>
  </si>
  <si>
    <t>3,624,364.50</t>
  </si>
  <si>
    <t>2,999,753.45</t>
  </si>
  <si>
    <t>499,702.39</t>
  </si>
  <si>
    <t>48,152,300.00</t>
  </si>
  <si>
    <t>147,595.00</t>
  </si>
  <si>
    <t>113,400.00</t>
  </si>
  <si>
    <t>1,224,290.00</t>
  </si>
  <si>
    <t>2,809,057.62</t>
  </si>
  <si>
    <t>2,385,734.50</t>
  </si>
  <si>
    <t>4,613,687.39</t>
  </si>
  <si>
    <t>2,050,000.00</t>
  </si>
  <si>
    <t>13,412,450.00</t>
  </si>
  <si>
    <t>2,440,000.00</t>
  </si>
  <si>
    <t>2,754,730.83</t>
  </si>
  <si>
    <t>4,185,999.99</t>
  </si>
  <si>
    <t>35,000,000.00</t>
  </si>
  <si>
    <t>249,077.41</t>
  </si>
  <si>
    <t>1,156,000.00</t>
  </si>
  <si>
    <t>4,305,279.05</t>
  </si>
  <si>
    <t>918,750.00</t>
  </si>
  <si>
    <t>1,070,000.00</t>
  </si>
  <si>
    <t>699,600.00</t>
  </si>
  <si>
    <t>497,600.00</t>
  </si>
  <si>
    <t>2,870,630.00</t>
  </si>
  <si>
    <t>875,050.00</t>
  </si>
  <si>
    <t>1,500,030.59</t>
  </si>
  <si>
    <t>4,574,087.39</t>
  </si>
  <si>
    <t>1,655,580.05</t>
  </si>
  <si>
    <t>3,000,007.71</t>
  </si>
  <si>
    <t>13,414,535.00</t>
  </si>
  <si>
    <t>1,160,340.00</t>
  </si>
  <si>
    <t>256,000.00</t>
  </si>
  <si>
    <t>235,000,000.00</t>
  </si>
  <si>
    <t>309,297.81</t>
  </si>
  <si>
    <t>749,942.50</t>
  </si>
  <si>
    <t>4,086,685.00</t>
  </si>
  <si>
    <t>1,505,678.58</t>
  </si>
  <si>
    <t>1,408,951.00</t>
  </si>
  <si>
    <t>2,000,250.00</t>
  </si>
  <si>
    <t>1,500,485.48</t>
  </si>
  <si>
    <t>106,500.00</t>
  </si>
  <si>
    <t>885,366.40</t>
  </si>
  <si>
    <t>104,442.00</t>
  </si>
  <si>
    <t>14,047,325.00</t>
  </si>
  <si>
    <t>14,706,000.00</t>
  </si>
  <si>
    <t>249,425.00</t>
  </si>
  <si>
    <t>69,715,900.00</t>
  </si>
  <si>
    <t>195,670.00</t>
  </si>
  <si>
    <t>4,110,424.55</t>
  </si>
  <si>
    <t>3,957,000.00</t>
  </si>
  <si>
    <t>3,401,565.84</t>
  </si>
  <si>
    <t>4,135,000.00</t>
  </si>
  <si>
    <t>1,796,375.83</t>
  </si>
  <si>
    <t>3,120,000.00</t>
  </si>
  <si>
    <t>1,998,427.23</t>
  </si>
  <si>
    <t>1,990,000.00</t>
  </si>
  <si>
    <t>20,080,000.00</t>
  </si>
  <si>
    <t>1,889,155.13</t>
  </si>
  <si>
    <t>1,960,423.88</t>
  </si>
  <si>
    <t>24,391,826.00</t>
  </si>
  <si>
    <t>6,824,870.09</t>
  </si>
  <si>
    <t>595,657.93</t>
  </si>
  <si>
    <t>84,789,384.00</t>
  </si>
  <si>
    <t>1,879,442.63</t>
  </si>
  <si>
    <t>956,000.00</t>
  </si>
  <si>
    <t>1,489,410.51</t>
  </si>
  <si>
    <t>2,967,099.39</t>
  </si>
  <si>
    <t>1,297,034.97</t>
  </si>
  <si>
    <t>4,086,718.25</t>
  </si>
  <si>
    <t>2,510,000.00</t>
  </si>
  <si>
    <t>285,800.00</t>
  </si>
  <si>
    <t>1,548,000.00</t>
  </si>
  <si>
    <t>332,967.82</t>
  </si>
  <si>
    <t>5,026,558.50</t>
  </si>
  <si>
    <t>23,920,000.00</t>
  </si>
  <si>
    <t>14,505,752.97</t>
  </si>
  <si>
    <t>3,556,000.00</t>
  </si>
  <si>
    <t>1,999,980.00</t>
  </si>
  <si>
    <t>2,999,997.00</t>
  </si>
  <si>
    <t>2,572,290.63</t>
  </si>
  <si>
    <t>36,600,000.00</t>
  </si>
  <si>
    <t>4,999,940.00</t>
  </si>
  <si>
    <t>263,975.00</t>
  </si>
  <si>
    <t>46,250,000.00</t>
  </si>
  <si>
    <t>2,490,984.00</t>
  </si>
  <si>
    <t>2,061,774.00</t>
  </si>
  <si>
    <t>1,191,424.90</t>
  </si>
  <si>
    <t>538,600.00</t>
  </si>
  <si>
    <t>1,936,238.00</t>
  </si>
  <si>
    <t>1,109,930.00</t>
  </si>
  <si>
    <t>1,976,500.00</t>
  </si>
  <si>
    <t>29,000,500.00</t>
  </si>
  <si>
    <t>8,258,700.00</t>
  </si>
  <si>
    <t>1,760,000.00</t>
  </si>
  <si>
    <t>2,530,000.00</t>
  </si>
  <si>
    <t>6,974,786.00</t>
  </si>
  <si>
    <t>14,200.00</t>
  </si>
  <si>
    <t>4,999,960.00</t>
  </si>
  <si>
    <t>1,460,025.00</t>
  </si>
  <si>
    <t>2,887,049.50</t>
  </si>
  <si>
    <t>2,500,081.66</t>
  </si>
  <si>
    <t>13,257,975.29</t>
  </si>
  <si>
    <t>608,315.00</t>
  </si>
  <si>
    <t>6,193,972.01</t>
  </si>
  <si>
    <t>14,654,980.95</t>
  </si>
  <si>
    <t>1,217,540.75</t>
  </si>
  <si>
    <t>6,087,293.30</t>
  </si>
  <si>
    <t>2,376,000.00</t>
  </si>
  <si>
    <t>2,114,677.89</t>
  </si>
  <si>
    <t>1,621,893.66</t>
  </si>
  <si>
    <t>511,838.72</t>
  </si>
  <si>
    <t>4,076,505.90</t>
  </si>
  <si>
    <t>283,505.36</t>
  </si>
  <si>
    <t>12,870,000.00</t>
  </si>
  <si>
    <t>1,554,353.00</t>
  </si>
  <si>
    <t>6,103,400.00</t>
  </si>
  <si>
    <t>80,900.00</t>
  </si>
  <si>
    <t>3,865,401.47</t>
  </si>
  <si>
    <t>9,500,400.00</t>
  </si>
  <si>
    <t>616,053.49</t>
  </si>
  <si>
    <t>1,979,989.81</t>
  </si>
  <si>
    <t>1,199,999.78</t>
  </si>
  <si>
    <t>1,763,900.05</t>
  </si>
  <si>
    <t>2,969,995.54</t>
  </si>
  <si>
    <t>2,969,996.60</t>
  </si>
  <si>
    <t>395,900.78</t>
  </si>
  <si>
    <t>4,608,000.00</t>
  </si>
  <si>
    <t>195,267.19</t>
  </si>
  <si>
    <t>299,969.00</t>
  </si>
  <si>
    <t>298,200.00</t>
  </si>
  <si>
    <t>2,235,000.00</t>
  </si>
  <si>
    <t>1,731,000.00</t>
  </si>
  <si>
    <t>2,366,118.00</t>
  </si>
  <si>
    <t>8,750.00</t>
  </si>
  <si>
    <t>4,115.00</t>
  </si>
  <si>
    <t>62,000.01</t>
  </si>
  <si>
    <t>1,140,800.00</t>
  </si>
  <si>
    <t>6,700.00</t>
  </si>
  <si>
    <t>11,100,000.00</t>
  </si>
  <si>
    <t>493,750.00</t>
  </si>
  <si>
    <t>3,895,500.00</t>
  </si>
  <si>
    <t>804,500.00</t>
  </si>
  <si>
    <t>6,375.00</t>
  </si>
  <si>
    <t>4,620,000.00</t>
  </si>
  <si>
    <t>2,495,157.44</t>
  </si>
  <si>
    <t>6,462,500.00</t>
  </si>
  <si>
    <t>55,025.00</t>
  </si>
  <si>
    <t>50,034,151.00</t>
  </si>
  <si>
    <t>150,063,628.50</t>
  </si>
  <si>
    <t>68,796,780.00</t>
  </si>
  <si>
    <t>200,759.58</t>
  </si>
  <si>
    <t>554,400.00</t>
  </si>
  <si>
    <t>497,404.00</t>
  </si>
  <si>
    <t>27,559,453.25</t>
  </si>
  <si>
    <t>3,014,449.16</t>
  </si>
  <si>
    <t>6,947,952.50</t>
  </si>
  <si>
    <t>40,150,000.00</t>
  </si>
  <si>
    <t>39,985,000.00</t>
  </si>
  <si>
    <t>1,084,000.00</t>
  </si>
  <si>
    <t>9,998,655.93</t>
  </si>
  <si>
    <t>9,999,998.99</t>
  </si>
  <si>
    <t>1,996,857.32</t>
  </si>
  <si>
    <t>3,014,097.34</t>
  </si>
  <si>
    <t>1,572,022.83</t>
  </si>
  <si>
    <t>1,498,600.00</t>
  </si>
  <si>
    <t>1,538,000.00</t>
  </si>
  <si>
    <t>4,903,240.00</t>
  </si>
  <si>
    <t>452,950.00</t>
  </si>
  <si>
    <t>4,837,715.29</t>
  </si>
  <si>
    <t>48,999,010.74</t>
  </si>
  <si>
    <t>390,500.00</t>
  </si>
  <si>
    <t>3,429,746.50</t>
  </si>
  <si>
    <t>24,499,642.72</t>
  </si>
  <si>
    <t>39,198,912.72</t>
  </si>
  <si>
    <t>393,475.00</t>
  </si>
  <si>
    <t>1,494,675.00</t>
  </si>
  <si>
    <t>999,995.46</t>
  </si>
  <si>
    <t>1,979,992.35</t>
  </si>
  <si>
    <t>5,879,964.45</t>
  </si>
  <si>
    <t>1,959,998.29</t>
  </si>
  <si>
    <t>1,959,907.58</t>
  </si>
  <si>
    <t>3,919,597.66</t>
  </si>
  <si>
    <t>34,960,941.05</t>
  </si>
  <si>
    <t>4,899,809.16</t>
  </si>
  <si>
    <t>2,939,635.30</t>
  </si>
  <si>
    <t>2,449,711.07</t>
  </si>
  <si>
    <t>9,799,983.16</t>
  </si>
  <si>
    <t>2,499,964.66</t>
  </si>
  <si>
    <t>19,599,912.30</t>
  </si>
  <si>
    <t>2,999,918.06</t>
  </si>
  <si>
    <t>9,799,983.51</t>
  </si>
  <si>
    <t>17,999,999.60</t>
  </si>
  <si>
    <t>19,599,974.92</t>
  </si>
  <si>
    <t>54,998,006.00</t>
  </si>
  <si>
    <t>14,699,976.83</t>
  </si>
  <si>
    <t>1,699,846.08</t>
  </si>
  <si>
    <t>1,001,000.00</t>
  </si>
  <si>
    <t>2,108,423.00</t>
  </si>
  <si>
    <t>19,599,840.18</t>
  </si>
  <si>
    <t>24,499,853.41</t>
  </si>
  <si>
    <t>2,858,000.00</t>
  </si>
  <si>
    <t>4,750,000.00</t>
  </si>
  <si>
    <t>3,429,925.57</t>
  </si>
  <si>
    <t>29,399,928.52</t>
  </si>
  <si>
    <t>70,122.00</t>
  </si>
  <si>
    <t>1,856,581.50</t>
  </si>
  <si>
    <t>4,409,913.41</t>
  </si>
  <si>
    <t>19,599,962.23</t>
  </si>
  <si>
    <t>307,475.00</t>
  </si>
  <si>
    <t>29,399,766.34</t>
  </si>
  <si>
    <t>29,399,968.24</t>
  </si>
  <si>
    <t>9,799,938.65</t>
  </si>
  <si>
    <t>29,399,994.96</t>
  </si>
  <si>
    <t>2,049,503.00</t>
  </si>
  <si>
    <t>999,993.75</t>
  </si>
  <si>
    <t>1,499,990.63</t>
  </si>
  <si>
    <t>9,899,153.99</t>
  </si>
  <si>
    <t>14,699,946.31</t>
  </si>
  <si>
    <t>3,022,204.00</t>
  </si>
  <si>
    <t>27,000,000.00</t>
  </si>
  <si>
    <t>4,378,629.02</t>
  </si>
  <si>
    <t>499,964.06</t>
  </si>
  <si>
    <t>999,967.50</t>
  </si>
  <si>
    <t>2,496,380.19</t>
  </si>
  <si>
    <t>4,999,952.00</t>
  </si>
  <si>
    <t>2,127,053.00</t>
  </si>
  <si>
    <t>215,800.00</t>
  </si>
  <si>
    <t>4,087,275.00</t>
  </si>
  <si>
    <t>1,649,382.23</t>
  </si>
  <si>
    <t>2,527,000.00</t>
  </si>
  <si>
    <t>313,500.00</t>
  </si>
  <si>
    <t>1,948,668.75</t>
  </si>
  <si>
    <t>14,800,102.86</t>
  </si>
  <si>
    <t>1,092,063.00</t>
  </si>
  <si>
    <t>1,846,000.00</t>
  </si>
  <si>
    <t>1,341,182.06</t>
  </si>
  <si>
    <t>1,235,239.69</t>
  </si>
  <si>
    <t>370,421.69</t>
  </si>
  <si>
    <t>698,600.00</t>
  </si>
  <si>
    <t>3,433,520.00</t>
  </si>
  <si>
    <t>1,241,365.13</t>
  </si>
  <si>
    <t>322,527.19</t>
  </si>
  <si>
    <t>811,650.00</t>
  </si>
  <si>
    <t>14,593,139.00</t>
  </si>
  <si>
    <t>2,601,510.00</t>
  </si>
  <si>
    <t>3,199,334.25</t>
  </si>
  <si>
    <t>1,436,847.50</t>
  </si>
  <si>
    <t>1,242,720.83</t>
  </si>
  <si>
    <t>3,859,520.00</t>
  </si>
  <si>
    <t>1,645,710.00</t>
  </si>
  <si>
    <t>1,208,044.69</t>
  </si>
  <si>
    <t>13,887,088.64</t>
  </si>
  <si>
    <t>4,354,287.00</t>
  </si>
  <si>
    <t>1,076,344.34</t>
  </si>
  <si>
    <t>6,432,379.85</t>
  </si>
  <si>
    <t>3,520,057.00</t>
  </si>
  <si>
    <t>763,984.00</t>
  </si>
  <si>
    <t>3,478,781.25</t>
  </si>
  <si>
    <t>359,684.00</t>
  </si>
  <si>
    <t>37,193,219.50</t>
  </si>
  <si>
    <t>1,493,329.03</t>
  </si>
  <si>
    <t>782,131.88</t>
  </si>
  <si>
    <t>679,350.00</t>
  </si>
  <si>
    <t>672,065.63</t>
  </si>
  <si>
    <t>3,044,343.75</t>
  </si>
  <si>
    <t>676,109.47</t>
  </si>
  <si>
    <t>723,469.69</t>
  </si>
  <si>
    <t>3,502,399.64</t>
  </si>
  <si>
    <t>1,492,579.76</t>
  </si>
  <si>
    <t>3,289,741.91</t>
  </si>
  <si>
    <t>672,826.88</t>
  </si>
  <si>
    <t>967,150.00</t>
  </si>
  <si>
    <t>1,724,580.00</t>
  </si>
  <si>
    <t>64,700.00</t>
  </si>
  <si>
    <t>319,802.59</t>
  </si>
  <si>
    <t>2,587,003.13</t>
  </si>
  <si>
    <t>1,181,192.79</t>
  </si>
  <si>
    <t>1,310,823.24</t>
  </si>
  <si>
    <t>268,215.94</t>
  </si>
  <si>
    <t>1,788,000.00</t>
  </si>
  <si>
    <t>1,972,950.00</t>
  </si>
  <si>
    <t>425,512.50</t>
  </si>
  <si>
    <t>1,906,734.38</t>
  </si>
  <si>
    <t>1,330,214.81</t>
  </si>
  <si>
    <t>4,735,544.38</t>
  </si>
  <si>
    <t>1,286,680.00</t>
  </si>
  <si>
    <t>2,696,859.38</t>
  </si>
  <si>
    <t>426,298.69</t>
  </si>
  <si>
    <t>1,310,000.00</t>
  </si>
  <si>
    <t>2,499,999.70</t>
  </si>
  <si>
    <t>1,492,225.71</t>
  </si>
  <si>
    <t>1,494,552.69</t>
  </si>
  <si>
    <t>269,961.56</t>
  </si>
  <si>
    <t>10,159,540,045.42</t>
  </si>
  <si>
    <t>1,303,000.00</t>
  </si>
  <si>
    <t>139,978.60</t>
  </si>
  <si>
    <t>397,983.00</t>
  </si>
  <si>
    <t>1,631,720.00</t>
  </si>
  <si>
    <t>1,919,865.00</t>
  </si>
  <si>
    <t>2,957,537.16</t>
  </si>
  <si>
    <t>370,541.00</t>
  </si>
  <si>
    <t>2,284,143.67</t>
  </si>
  <si>
    <t>1,494,752.87</t>
  </si>
  <si>
    <t>1,098,860.00</t>
  </si>
  <si>
    <t>1,473,550.31</t>
  </si>
  <si>
    <t>7,300,000.00</t>
  </si>
  <si>
    <t>3,460,987.02</t>
  </si>
  <si>
    <t>1,909,101.62</t>
  </si>
  <si>
    <t>2,147,000.00</t>
  </si>
  <si>
    <t>2,080,000.00</t>
  </si>
  <si>
    <t>2,373,322.00</t>
  </si>
  <si>
    <t>3,830,259.73</t>
  </si>
  <si>
    <t>60,054,220.00</t>
  </si>
  <si>
    <t>96,499,974.20</t>
  </si>
  <si>
    <t>1,752,017.00</t>
  </si>
  <si>
    <t>1,379,999.99</t>
  </si>
  <si>
    <t>1,999,765.99</t>
  </si>
  <si>
    <t>26,200,000.00</t>
  </si>
  <si>
    <t>999,993.74</t>
  </si>
  <si>
    <t>1,003,020.00</t>
  </si>
  <si>
    <t>2,207,034.38</t>
  </si>
  <si>
    <t>370,750.00</t>
  </si>
  <si>
    <t>4,086,775.12</t>
  </si>
  <si>
    <t>2,664,122.00</t>
  </si>
  <si>
    <t>18,038,000.00</t>
  </si>
  <si>
    <t>1,899,974.00</t>
  </si>
  <si>
    <t>7,779,918.50</t>
  </si>
  <si>
    <t>1,833,092.63</t>
  </si>
  <si>
    <t>27,355,000.00</t>
  </si>
  <si>
    <t>7,766,500.00</t>
  </si>
  <si>
    <t>673,100.00</t>
  </si>
  <si>
    <t>1,890,700.00</t>
  </si>
  <si>
    <t>3,489,730.91</t>
  </si>
  <si>
    <t>1,160,558.96</t>
  </si>
  <si>
    <t>789,850.00</t>
  </si>
  <si>
    <t>72,200,000.00</t>
  </si>
  <si>
    <t>188,961.00</t>
  </si>
  <si>
    <t>87,750.00</t>
  </si>
  <si>
    <t>1,029,784.72</t>
  </si>
  <si>
    <t>1,618,400.00</t>
  </si>
  <si>
    <t>1,066,870.00</t>
  </si>
  <si>
    <t>5,900,000.00</t>
  </si>
  <si>
    <t>1,037,633.28</t>
  </si>
  <si>
    <t>263,350.00</t>
  </si>
  <si>
    <t>1,235,106.36</t>
  </si>
  <si>
    <t>1,453,759.60</t>
  </si>
  <si>
    <t>1,984,334.11</t>
  </si>
  <si>
    <t>588,791.44</t>
  </si>
  <si>
    <t>427,096.69</t>
  </si>
  <si>
    <t>3,567,000.00</t>
  </si>
  <si>
    <t>371,134.02</t>
  </si>
  <si>
    <t>859,293.75</t>
  </si>
  <si>
    <t>1,592,266.50</t>
  </si>
  <si>
    <t>43,365,000.00</t>
  </si>
  <si>
    <t>261,394.88</t>
  </si>
  <si>
    <t>9,408,000.00</t>
  </si>
  <si>
    <t>710,940.00</t>
  </si>
  <si>
    <t>9,281,940.20</t>
  </si>
  <si>
    <t>1,878,750.00</t>
  </si>
  <si>
    <t>9,224,436.35</t>
  </si>
  <si>
    <t>10,994,620.00</t>
  </si>
  <si>
    <t>1,455,975.00</t>
  </si>
  <si>
    <t>3,000,450.00</t>
  </si>
  <si>
    <t>4,947,000.00</t>
  </si>
  <si>
    <t>1,746,000.00</t>
  </si>
  <si>
    <t>1,737,196.00</t>
  </si>
  <si>
    <t>7,585,600.00</t>
  </si>
  <si>
    <t>10,442,880.00</t>
  </si>
  <si>
    <t>99,374,505.17</t>
  </si>
  <si>
    <t>4,171,000.00</t>
  </si>
  <si>
    <t>2,574,710.00</t>
  </si>
  <si>
    <t>6,180,000.00</t>
  </si>
  <si>
    <t>18,920.40</t>
  </si>
  <si>
    <t>2,849,220.00</t>
  </si>
  <si>
    <t>2,995,151.25</t>
  </si>
  <si>
    <t>825,146.42</t>
  </si>
  <si>
    <t>4,822,253.05</t>
  </si>
  <si>
    <t>17,450.00</t>
  </si>
  <si>
    <t>2,542,500.00</t>
  </si>
  <si>
    <t>239,200.00</t>
  </si>
  <si>
    <t>1,179,118.00</t>
  </si>
  <si>
    <t>9,999,237.98</t>
  </si>
  <si>
    <t>1,776,951.38</t>
  </si>
  <si>
    <t>20,162,841,907.02</t>
  </si>
  <si>
    <t>1,289,000.00</t>
  </si>
  <si>
    <t>1,325,610.40</t>
  </si>
  <si>
    <t>856,000.00</t>
  </si>
  <si>
    <t>5,179,350.00</t>
  </si>
  <si>
    <t>3,053,267.00</t>
  </si>
  <si>
    <t>235,400.00</t>
  </si>
  <si>
    <t>519,902.00</t>
  </si>
  <si>
    <t>1,346,000.00</t>
  </si>
  <si>
    <t>439,530.00</t>
  </si>
  <si>
    <t>1,719,000.00</t>
  </si>
  <si>
    <t>1,729,200.00</t>
  </si>
  <si>
    <t>2,599,718.80</t>
  </si>
  <si>
    <t>1,993,077.45</t>
  </si>
  <si>
    <t>26,439.80</t>
  </si>
  <si>
    <t>308,597.58</t>
  </si>
  <si>
    <t>4,751,900.00</t>
  </si>
  <si>
    <t>1,184,216.20</t>
  </si>
  <si>
    <t>1,132,630.74</t>
  </si>
  <si>
    <t>104,079,970.00</t>
  </si>
  <si>
    <t>1,743,276.00</t>
  </si>
  <si>
    <t>10,450,000.00</t>
  </si>
  <si>
    <t>1,210,590.00</t>
  </si>
  <si>
    <t>10,964.20</t>
  </si>
  <si>
    <t>23,644.08</t>
  </si>
  <si>
    <t>374,844.20</t>
  </si>
  <si>
    <t>32,472,300.00</t>
  </si>
  <si>
    <t>3,464,973.68</t>
  </si>
  <si>
    <t>250,000,000.00</t>
  </si>
  <si>
    <t>3,959,995.73</t>
  </si>
  <si>
    <t>9,412,000.00</t>
  </si>
  <si>
    <t>35,701,400.00</t>
  </si>
  <si>
    <t>5,978,832.00</t>
  </si>
  <si>
    <t>2,454,000.00</t>
  </si>
  <si>
    <t>124,660.00</t>
  </si>
  <si>
    <t>1,900,338.05</t>
  </si>
  <si>
    <t>320,320.00</t>
  </si>
  <si>
    <t>5,938,382.37</t>
  </si>
  <si>
    <t>1,999,800.00</t>
  </si>
  <si>
    <t>909,012.00</t>
  </si>
  <si>
    <t>1,872,000.00</t>
  </si>
  <si>
    <t>1,308,339.00</t>
  </si>
  <si>
    <t>3,749,500.00</t>
  </si>
  <si>
    <t>4,416,000.00</t>
  </si>
  <si>
    <t>387,520.00</t>
  </si>
  <si>
    <t>1,210,750.00</t>
  </si>
  <si>
    <t>269,801.00</t>
  </si>
  <si>
    <t>312,137.50</t>
  </si>
  <si>
    <t>88,229.00</t>
  </si>
  <si>
    <t>1,385,985.01</t>
  </si>
  <si>
    <t>2,195,400.00</t>
  </si>
  <si>
    <t>8,933,165.00</t>
  </si>
  <si>
    <t>4,876,900.00</t>
  </si>
  <si>
    <t>7,991,793.00</t>
  </si>
  <si>
    <t>861,323.00</t>
  </si>
  <si>
    <t>1,689,848.24</t>
  </si>
  <si>
    <t>4,108,630.00</t>
  </si>
  <si>
    <t>2,115,216.00</t>
  </si>
  <si>
    <t>2,172,412.08</t>
  </si>
  <si>
    <t>2,923,872.00</t>
  </si>
  <si>
    <t>1,893,924.08</t>
  </si>
  <si>
    <t>1,989,525.32</t>
  </si>
  <si>
    <t>12,135,729.00</t>
  </si>
  <si>
    <t>1,776,916.35</t>
  </si>
  <si>
    <t>1,910,878.42</t>
  </si>
  <si>
    <t>1,892,800.00</t>
  </si>
  <si>
    <t>1,226,017.50</t>
  </si>
  <si>
    <t>1,160,730.00</t>
  </si>
  <si>
    <t>1,032,650.00</t>
  </si>
  <si>
    <t>1,770,000.00</t>
  </si>
  <si>
    <t>1,550,145.00</t>
  </si>
  <si>
    <t>2,012,653.68</t>
  </si>
  <si>
    <t>1,285,000.00</t>
  </si>
  <si>
    <t>1,841,746.50</t>
  </si>
  <si>
    <t>1,970,000.00</t>
  </si>
  <si>
    <t>86,768.00</t>
  </si>
  <si>
    <t>98,475.00</t>
  </si>
  <si>
    <t>2,499,729.68</t>
  </si>
  <si>
    <t>1,386,004.00</t>
  </si>
  <si>
    <t>4,575,000.00</t>
  </si>
  <si>
    <t>220,164.20</t>
  </si>
  <si>
    <t>1,392,105.00</t>
  </si>
  <si>
    <t>2,636,510.00</t>
  </si>
  <si>
    <t>2,537,774.00</t>
  </si>
  <si>
    <t>1,899,720.00</t>
  </si>
  <si>
    <t>1,032,540.20</t>
  </si>
  <si>
    <t>199,936.01</t>
  </si>
  <si>
    <t>2,397,000.00</t>
  </si>
  <si>
    <t>1,211,325.00</t>
  </si>
  <si>
    <t>499,218.00</t>
  </si>
  <si>
    <t>5,175,760.00</t>
  </si>
  <si>
    <t>2,999,117.00</t>
  </si>
  <si>
    <t>299,398.06</t>
  </si>
  <si>
    <t>6,513,000.00</t>
  </si>
  <si>
    <t>1,350,069.19</t>
  </si>
  <si>
    <t>73,877.76</t>
  </si>
  <si>
    <t>924,000.00</t>
  </si>
  <si>
    <t>6,755,697.00</t>
  </si>
  <si>
    <t>1,959,093.50</t>
  </si>
  <si>
    <t>13,028,400.00</t>
  </si>
  <si>
    <t>3,118,014.00</t>
  </si>
  <si>
    <t>8,834,373.00</t>
  </si>
  <si>
    <t>14,391,000.00</t>
  </si>
  <si>
    <t>5,802,400.00</t>
  </si>
  <si>
    <t>1,527,100.00</t>
  </si>
  <si>
    <t>69,141.68</t>
  </si>
  <si>
    <t>2,163,779.39</t>
  </si>
  <si>
    <t>4,977,999.16</t>
  </si>
  <si>
    <t>1,461,371.92</t>
  </si>
  <si>
    <t>113,740.00</t>
  </si>
  <si>
    <t>9,945,036.72</t>
  </si>
  <si>
    <t>1,481,387.02</t>
  </si>
  <si>
    <t>5,124,562.34</t>
  </si>
  <si>
    <t>2,911,329.06</t>
  </si>
  <si>
    <t>1,470,689.31</t>
  </si>
  <si>
    <t>7,434,784.76</t>
  </si>
  <si>
    <t>1,492,324.90</t>
  </si>
  <si>
    <t>4,422,000.00</t>
  </si>
  <si>
    <t>499,190.00</t>
  </si>
  <si>
    <t>449,656.00</t>
  </si>
  <si>
    <t>57,899,999.04</t>
  </si>
  <si>
    <t>432,843.75</t>
  </si>
  <si>
    <t>1,168,200.00</t>
  </si>
  <si>
    <t>496,749.00</t>
  </si>
  <si>
    <t>1,478,810.40</t>
  </si>
  <si>
    <t>695,000.00</t>
  </si>
  <si>
    <t>89,890.00</t>
  </si>
  <si>
    <t>461,390.00</t>
  </si>
  <si>
    <t>491,000.00</t>
  </si>
  <si>
    <t>863,434.90</t>
  </si>
  <si>
    <t>4,097,421.00</t>
  </si>
  <si>
    <t>105,664.70</t>
  </si>
  <si>
    <t>921,055.00</t>
  </si>
  <si>
    <t>77,235.00</t>
  </si>
  <si>
    <t>199,990.00</t>
  </si>
  <si>
    <t>26,400,000.00</t>
  </si>
  <si>
    <t>914,730.45</t>
  </si>
  <si>
    <t>1,553,294.75</t>
  </si>
  <si>
    <t>1,079,042.34</t>
  </si>
  <si>
    <t>2,403,492.86</t>
  </si>
  <si>
    <t>199,940.00</t>
  </si>
  <si>
    <t>2,617,439.41</t>
  </si>
  <si>
    <t>1,982,802.50</t>
  </si>
  <si>
    <t>224,900.00</t>
  </si>
  <si>
    <t>1,859,742.50</t>
  </si>
  <si>
    <t>2,885,500.00</t>
  </si>
  <si>
    <t>2,310,907.25</t>
  </si>
  <si>
    <t>1,189,721.35</t>
  </si>
  <si>
    <t>232,025.00</t>
  </si>
  <si>
    <t>2,730,366.92</t>
  </si>
  <si>
    <t>1,823,549.53</t>
  </si>
  <si>
    <t>2,043,507.36</t>
  </si>
  <si>
    <t>920,783.00</t>
  </si>
  <si>
    <t>1,893,739.36</t>
  </si>
  <si>
    <t>1,446,561.85</t>
  </si>
  <si>
    <t>8,554,420.00</t>
  </si>
  <si>
    <t>25,492,740.00</t>
  </si>
  <si>
    <t>31,019,014.79</t>
  </si>
  <si>
    <t>1,000,006.00</t>
  </si>
  <si>
    <t>14,216,021.37</t>
  </si>
  <si>
    <t>1,658,704.65</t>
  </si>
  <si>
    <t>3,682,074.38</t>
  </si>
  <si>
    <t>4,984,644.82</t>
  </si>
  <si>
    <t>908,437.75</t>
  </si>
  <si>
    <t>2,894,525.03</t>
  </si>
  <si>
    <t>4,985,649.41</t>
  </si>
  <si>
    <t>1,472,634.14</t>
  </si>
  <si>
    <t>3,385,000.00</t>
  </si>
  <si>
    <t>5,451,217.05</t>
  </si>
  <si>
    <t>299,533.50</t>
  </si>
  <si>
    <t>2,698,167.86</t>
  </si>
  <si>
    <t>3,819,008.84</t>
  </si>
  <si>
    <t>3,185,180.26</t>
  </si>
  <si>
    <t>3,440,351.27</t>
  </si>
  <si>
    <t>3,496,830.44</t>
  </si>
  <si>
    <t>2,030,888.00</t>
  </si>
  <si>
    <t>778,392.00</t>
  </si>
  <si>
    <t>8,560,000.00</t>
  </si>
  <si>
    <t>4,692,110.80</t>
  </si>
  <si>
    <t>1,387,000.00</t>
  </si>
  <si>
    <t>4,127,281.20</t>
  </si>
  <si>
    <t>271,050.00</t>
  </si>
  <si>
    <t>2,552,640.00</t>
  </si>
  <si>
    <t>2,296,815.00</t>
  </si>
  <si>
    <t>846,220.00</t>
  </si>
  <si>
    <t>12,200,000.00</t>
  </si>
  <si>
    <t>4,525,069.74</t>
  </si>
  <si>
    <t>299,561.25</t>
  </si>
  <si>
    <t>1,973,410.00</t>
  </si>
  <si>
    <t>999,293.00</t>
  </si>
  <si>
    <t>2,969,094.70</t>
  </si>
  <si>
    <t>2,885,521.41</t>
  </si>
  <si>
    <t>1,040,000.00</t>
  </si>
  <si>
    <t>2,477,190.86</t>
  </si>
  <si>
    <t>1,428,545.00</t>
  </si>
  <si>
    <t>2,546,532.75</t>
  </si>
  <si>
    <t>2,962,997.64</t>
  </si>
  <si>
    <t>4,474,466.20</t>
  </si>
  <si>
    <t>3,166,558.52</t>
  </si>
  <si>
    <t>3,175,125.94</t>
  </si>
  <si>
    <t>2,990,770.05</t>
  </si>
  <si>
    <t>998,939.65</t>
  </si>
  <si>
    <t>2,068,144.67</t>
  </si>
  <si>
    <t>1,945,483.50</t>
  </si>
  <si>
    <t>1,173,641.28</t>
  </si>
  <si>
    <t>900,924.75</t>
  </si>
  <si>
    <t>902,018.45</t>
  </si>
  <si>
    <t>1,045,892.40</t>
  </si>
  <si>
    <t>2,407,678.51</t>
  </si>
  <si>
    <t>2,084,918.90</t>
  </si>
  <si>
    <t>2,506,258.14</t>
  </si>
  <si>
    <t>13,363,000.00</t>
  </si>
  <si>
    <t>1,359,644.00</t>
  </si>
  <si>
    <t>1,979,917.31</t>
  </si>
  <si>
    <t>4,949,959.33</t>
  </si>
  <si>
    <t>4,565,090.85</t>
  </si>
  <si>
    <t>2,969,913.26</t>
  </si>
  <si>
    <t>2,307,051.36</t>
  </si>
  <si>
    <t>2,369,703.54</t>
  </si>
  <si>
    <t>4,950,306.77</t>
  </si>
  <si>
    <t>49,498,947.66</t>
  </si>
  <si>
    <t>9,820,318.14</t>
  </si>
  <si>
    <t>3,430,705.98</t>
  </si>
  <si>
    <t>1,719,903.88</t>
  </si>
  <si>
    <t>9,537,057.64</t>
  </si>
  <si>
    <t>16,563,400.04</t>
  </si>
  <si>
    <t>1,040,400.00</t>
  </si>
  <si>
    <t>1,839,546.67</t>
  </si>
  <si>
    <t>2,007,580.00</t>
  </si>
  <si>
    <t>1,902,417.30</t>
  </si>
  <si>
    <t>2,068,995.54</t>
  </si>
  <si>
    <t>2,069,994.64</t>
  </si>
  <si>
    <t>1,592,700.00</t>
  </si>
  <si>
    <t>2,092,236.35</t>
  </si>
  <si>
    <t>1,150,800.00</t>
  </si>
  <si>
    <t>2,153,833.00</t>
  </si>
  <si>
    <t>2,100,465.95</t>
  </si>
  <si>
    <t>5,731,900.00</t>
  </si>
  <si>
    <t>3,677,366.69</t>
  </si>
  <si>
    <t>1,325,641.00</t>
  </si>
  <si>
    <t>2,374,493.61</t>
  </si>
  <si>
    <t>1,059,538.62</t>
  </si>
  <si>
    <t>9,899,671.32</t>
  </si>
  <si>
    <t>12,034,400.00</t>
  </si>
  <si>
    <t>1,176,290.00</t>
  </si>
  <si>
    <t>1,095,925.43</t>
  </si>
  <si>
    <t>1,086,392.71</t>
  </si>
  <si>
    <t>4,321,800.00</t>
  </si>
  <si>
    <t>16,258,200.00</t>
  </si>
  <si>
    <t>2,999,920.00</t>
  </si>
  <si>
    <t>27,165,600.00</t>
  </si>
  <si>
    <t>1,078,397.95</t>
  </si>
  <si>
    <t>1,705,055.37</t>
  </si>
  <si>
    <t>1,274,987.15</t>
  </si>
  <si>
    <t>2,297,927.90</t>
  </si>
  <si>
    <t>2,220,898.67</t>
  </si>
  <si>
    <t>48,999,924.16</t>
  </si>
  <si>
    <t>12,934,660.20</t>
  </si>
  <si>
    <t>830,259.00</t>
  </si>
  <si>
    <t>1,026,650.00</t>
  </si>
  <si>
    <t>53,074,582.08</t>
  </si>
  <si>
    <t>210,040.00</t>
  </si>
  <si>
    <t>16,993,620.19</t>
  </si>
  <si>
    <t>96,498,741.61</t>
  </si>
  <si>
    <t>11,699,975.64</t>
  </si>
  <si>
    <t>13,929,268.93</t>
  </si>
  <si>
    <t>575,000.00</t>
  </si>
  <si>
    <t>1,106,583.00</t>
  </si>
  <si>
    <t>7,964,999.87</t>
  </si>
  <si>
    <t>4,387,500.00</t>
  </si>
  <si>
    <t>22,665,462.75</t>
  </si>
  <si>
    <t>2,497,864.28</t>
  </si>
  <si>
    <t>9,990,000.00</t>
  </si>
  <si>
    <t>1,225,000.00</t>
  </si>
  <si>
    <t>740,400.00</t>
  </si>
  <si>
    <t>1,848,909.85</t>
  </si>
  <si>
    <t>1,777,909.00</t>
  </si>
  <si>
    <t>4,696,400.00</t>
  </si>
  <si>
    <t>116,506.00</t>
  </si>
  <si>
    <t>276,234.20</t>
  </si>
  <si>
    <t>207,749.00</t>
  </si>
  <si>
    <t>1,753,078.00</t>
  </si>
  <si>
    <t>1,820,914.00</t>
  </si>
  <si>
    <t>1,992,375.00</t>
  </si>
  <si>
    <t>1,499,366.66</t>
  </si>
  <si>
    <t>6,725,000.00</t>
  </si>
  <si>
    <t>349,796.16</t>
  </si>
  <si>
    <t>492,934.72</t>
  </si>
  <si>
    <t>3,358,785.00</t>
  </si>
  <si>
    <t>1,562,182.70</t>
  </si>
  <si>
    <t>1,959,874.32</t>
  </si>
  <si>
    <t>1,615,653.20</t>
  </si>
  <si>
    <t>19,599,992.11</t>
  </si>
  <si>
    <t>248,838.40</t>
  </si>
  <si>
    <t>1,959,991.17</t>
  </si>
  <si>
    <t>59,399,604.88</t>
  </si>
  <si>
    <t>2,940,833.70</t>
  </si>
  <si>
    <t>3,492,435.43</t>
  </si>
  <si>
    <t>2,274,686.70</t>
  </si>
  <si>
    <t>48,250,000.00</t>
  </si>
  <si>
    <t>9,799,997.64</t>
  </si>
  <si>
    <t>12,867,522.13</t>
  </si>
  <si>
    <t>1,959,903.59</t>
  </si>
  <si>
    <t>999,982.94</t>
  </si>
  <si>
    <t>268,270,000.00</t>
  </si>
  <si>
    <t>80,095,000.00</t>
  </si>
  <si>
    <t>1,144,000.00</t>
  </si>
  <si>
    <t>193,000,000.00</t>
  </si>
  <si>
    <t>11,758,886.42</t>
  </si>
  <si>
    <t>22,483,414.27</t>
  </si>
  <si>
    <t>309,722.31</t>
  </si>
  <si>
    <t>1,284,007.88</t>
  </si>
  <si>
    <t>5,025,794.00</t>
  </si>
  <si>
    <t>1,469,619.02</t>
  </si>
  <si>
    <t>2,449,938.61</t>
  </si>
  <si>
    <t>1,469,983.57</t>
  </si>
  <si>
    <t>2,939,608.31</t>
  </si>
  <si>
    <t>1,319,110.00</t>
  </si>
  <si>
    <t>1,959,745.97</t>
  </si>
  <si>
    <t>2,449,751.03</t>
  </si>
  <si>
    <t>5,650,000.00</t>
  </si>
  <si>
    <t>15,258,940.02</t>
  </si>
  <si>
    <t>1,188,885.00</t>
  </si>
  <si>
    <t>1,959,913.97</t>
  </si>
  <si>
    <t>228,409,440.00</t>
  </si>
  <si>
    <t>1,959,989.18</t>
  </si>
  <si>
    <t>2,252,000.00</t>
  </si>
  <si>
    <t>1,959,894.88</t>
  </si>
  <si>
    <t>14,849,999.79</t>
  </si>
  <si>
    <t>3,010,000.00</t>
  </si>
  <si>
    <t>2,939,916.48</t>
  </si>
  <si>
    <t>928,727.28</t>
  </si>
  <si>
    <t>5,879,648.28</t>
  </si>
  <si>
    <t>726,282.00</t>
  </si>
  <si>
    <t>3,919,924.49</t>
  </si>
  <si>
    <t>5,815,131.40</t>
  </si>
  <si>
    <t>549,917.59</t>
  </si>
  <si>
    <t>2,449,606.31</t>
  </si>
  <si>
    <t>3,919,940.39</t>
  </si>
  <si>
    <t>5,101,740.87</t>
  </si>
  <si>
    <t>3,858,581.72</t>
  </si>
  <si>
    <t>4,125,000.00</t>
  </si>
  <si>
    <t>9,999,999.70</t>
  </si>
  <si>
    <t>1,959,942.75</t>
  </si>
  <si>
    <t>71,106,631.33</t>
  </si>
  <si>
    <t>3,429,853.79</t>
  </si>
  <si>
    <t>4,899,622.29</t>
  </si>
  <si>
    <t>199,796.40</t>
  </si>
  <si>
    <t>9,799,953.80</t>
  </si>
  <si>
    <t>9,999,999.38</t>
  </si>
  <si>
    <t>2,179,000.00</t>
  </si>
  <si>
    <t>2,285,800.00</t>
  </si>
  <si>
    <t>5,999,999.93</t>
  </si>
  <si>
    <t>3,999,999.67</t>
  </si>
  <si>
    <t>110,611,042.06</t>
  </si>
  <si>
    <t>106,131,237.00</t>
  </si>
  <si>
    <t>39,600,000.00</t>
  </si>
  <si>
    <t>999,999.92</t>
  </si>
  <si>
    <t>1,722,000.00</t>
  </si>
  <si>
    <t>2,170,000.00</t>
  </si>
  <si>
    <t>9,999,999.88</t>
  </si>
  <si>
    <t>1,472,023.41</t>
  </si>
  <si>
    <t>3,874,501.86</t>
  </si>
  <si>
    <t>122,850.00</t>
  </si>
  <si>
    <t>83,725,400.00</t>
  </si>
  <si>
    <t>13,255,995.00</t>
  </si>
  <si>
    <t>341,250.00</t>
  </si>
  <si>
    <t>1,818,424.00</t>
  </si>
  <si>
    <t>1,557,720.00</t>
  </si>
  <si>
    <t>7,139,200.00</t>
  </si>
  <si>
    <t>5,940,000.00</t>
  </si>
  <si>
    <t>3,530,850.00</t>
  </si>
  <si>
    <t>521,000.00</t>
  </si>
  <si>
    <t>1,497,591.79</t>
  </si>
  <si>
    <t>2,158,240.00</t>
  </si>
  <si>
    <t>1,851,200.00</t>
  </si>
  <si>
    <t>994,140.00</t>
  </si>
  <si>
    <t>14,776,008.24</t>
  </si>
  <si>
    <t>998,261.25</t>
  </si>
  <si>
    <t>1,499,998.00</t>
  </si>
  <si>
    <t>999,554.28</t>
  </si>
  <si>
    <t>33,813,633.95</t>
  </si>
  <si>
    <t>9,799,992.70</t>
  </si>
  <si>
    <t>1,510,600.00</t>
  </si>
  <si>
    <t>299,989.24</t>
  </si>
  <si>
    <t>31,361,750.31</t>
  </si>
  <si>
    <t>12,122,208.25</t>
  </si>
  <si>
    <t>12,840,900.00</t>
  </si>
  <si>
    <t>24,499,999.95</t>
  </si>
  <si>
    <t>4,045,907.16</t>
  </si>
  <si>
    <t>946,277.80</t>
  </si>
  <si>
    <t>29,699,548.78</t>
  </si>
  <si>
    <t>18,334,604.63</t>
  </si>
  <si>
    <t>15,202,668.30</t>
  </si>
  <si>
    <t>9,100,000.00</t>
  </si>
  <si>
    <t>829,533.00</t>
  </si>
  <si>
    <t>2,603,029.40</t>
  </si>
  <si>
    <t>2,980,439.28</t>
  </si>
  <si>
    <t>1,864,978.05</t>
  </si>
  <si>
    <t>18,450,155.99</t>
  </si>
  <si>
    <t>2,249,970.00</t>
  </si>
  <si>
    <t>291,787.00</t>
  </si>
  <si>
    <t>15,030,819.00</t>
  </si>
  <si>
    <t>2,761,112.24</t>
  </si>
  <si>
    <t>496,001.00</t>
  </si>
  <si>
    <t>170,900.00</t>
  </si>
  <si>
    <t>556,761.89</t>
  </si>
  <si>
    <t>47,124,093.32</t>
  </si>
  <si>
    <t>3,691,143.00</t>
  </si>
  <si>
    <t>155,766.00</t>
  </si>
  <si>
    <t>2,415,289.96</t>
  </si>
  <si>
    <t>2,036,000.00</t>
  </si>
  <si>
    <t>1,241,500.00</t>
  </si>
  <si>
    <t>4,737,025.00</t>
  </si>
  <si>
    <t>2,312,500.00</t>
  </si>
  <si>
    <t>152,450.00</t>
  </si>
  <si>
    <t>3,999,982.68</t>
  </si>
  <si>
    <t>1,634,160.00</t>
  </si>
  <si>
    <t>297,088.80</t>
  </si>
  <si>
    <t>107,000.00</t>
  </si>
  <si>
    <t>7,875,000.00</t>
  </si>
  <si>
    <t>530,000.00</t>
  </si>
  <si>
    <t>1,042,000.00</t>
  </si>
  <si>
    <t>1,399,996.00</t>
  </si>
  <si>
    <t>12,739,933.88</t>
  </si>
  <si>
    <t>4,600,000.00</t>
  </si>
  <si>
    <t>5,182,540.00</t>
  </si>
  <si>
    <t>3,399,275.00</t>
  </si>
  <si>
    <t>2,887,000.00</t>
  </si>
  <si>
    <t>3,265,790.00</t>
  </si>
  <si>
    <t>3,736,800.60</t>
  </si>
  <si>
    <t>4,034,172.96</t>
  </si>
  <si>
    <t>244,236.86</t>
  </si>
  <si>
    <t>1,597,941.00</t>
  </si>
  <si>
    <t>1,430,501.00</t>
  </si>
  <si>
    <t>2,670,000.00</t>
  </si>
  <si>
    <t>652,482.80</t>
  </si>
  <si>
    <t>1,843,171.02</t>
  </si>
  <si>
    <t>4,458,936.31</t>
  </si>
  <si>
    <t>355,447.00</t>
  </si>
  <si>
    <t>197,511,504.19</t>
  </si>
  <si>
    <t>753,300.00</t>
  </si>
  <si>
    <t>1,087,739.16</t>
  </si>
  <si>
    <t>11,174,854.00</t>
  </si>
  <si>
    <t>257,398,924.59</t>
  </si>
  <si>
    <t>146,387,950.64</t>
  </si>
  <si>
    <t>1,398,918.57</t>
  </si>
  <si>
    <t>2,802,287.50</t>
  </si>
  <si>
    <t>234,382,490.99</t>
  </si>
  <si>
    <t>229,894.00</t>
  </si>
  <si>
    <t>4,433,082.46</t>
  </si>
  <si>
    <t>242,620.00</t>
  </si>
  <si>
    <t>1,690,000.00</t>
  </si>
  <si>
    <t>5,370,000.00</t>
  </si>
  <si>
    <t>9,500,000.00</t>
  </si>
  <si>
    <t>1,009,129.00</t>
  </si>
  <si>
    <t>1,098,293.00</t>
  </si>
  <si>
    <t>2,494,806.69</t>
  </si>
  <si>
    <t>1,004,682.35</t>
  </si>
  <si>
    <t>159,400.00</t>
  </si>
  <si>
    <t>3,433,467.96</t>
  </si>
  <si>
    <t>286,500.00</t>
  </si>
  <si>
    <t>1,014,232.26</t>
  </si>
  <si>
    <t>1,077,000.00</t>
  </si>
  <si>
    <t>2,250,554.55</t>
  </si>
  <si>
    <t>4,086,771.46</t>
  </si>
  <si>
    <t>288,372.00</t>
  </si>
  <si>
    <t>2,823,514.28</t>
  </si>
  <si>
    <t>4,985,300.00</t>
  </si>
  <si>
    <t>3,610,215.00</t>
  </si>
  <si>
    <t>19,579,835.67</t>
  </si>
  <si>
    <t>998,232.00</t>
  </si>
  <si>
    <t>2,169,240.00</t>
  </si>
  <si>
    <t>650,319.41</t>
  </si>
  <si>
    <t>281,956.00</t>
  </si>
  <si>
    <t>4,763,190.00</t>
  </si>
  <si>
    <t>1,599,902.00</t>
  </si>
  <si>
    <t>2,943,939.63</t>
  </si>
  <si>
    <t>274,750.00</t>
  </si>
  <si>
    <t>6,282,000.00</t>
  </si>
  <si>
    <t>1,195,000.00</t>
  </si>
  <si>
    <t>646,963.93</t>
  </si>
  <si>
    <t>2,098,359.90</t>
  </si>
  <si>
    <t>1,077,999.19</t>
  </si>
  <si>
    <t>10,485,999.80</t>
  </si>
  <si>
    <t>1,710,422.00</t>
  </si>
  <si>
    <t>499,933.20</t>
  </si>
  <si>
    <t>48,509,999.39</t>
  </si>
  <si>
    <t>1,426,500.00</t>
  </si>
  <si>
    <t>3,919,999.35</t>
  </si>
  <si>
    <t>362,595.00</t>
  </si>
  <si>
    <t>2,008,000.00</t>
  </si>
  <si>
    <t>5,938,259.14</t>
  </si>
  <si>
    <t>472,550.00</t>
  </si>
  <si>
    <t>767,000.00</t>
  </si>
  <si>
    <t>102,941.62</t>
  </si>
  <si>
    <t>1,353,000.00</t>
  </si>
  <si>
    <t>705,000.00</t>
  </si>
  <si>
    <t>291,687.41</t>
  </si>
  <si>
    <t>287,774.05</t>
  </si>
  <si>
    <t>2,096,266.00</t>
  </si>
  <si>
    <t>1,840,466.25</t>
  </si>
  <si>
    <t>3,667,000.00</t>
  </si>
  <si>
    <t>473,041.18</t>
  </si>
  <si>
    <t>428,500.00</t>
  </si>
  <si>
    <t>477,795.56</t>
  </si>
  <si>
    <t>592,309.60</t>
  </si>
  <si>
    <t>2,894,531.69</t>
  </si>
  <si>
    <t>671,500.00</t>
  </si>
  <si>
    <t>502,680.00</t>
  </si>
  <si>
    <t>160,400.00</t>
  </si>
  <si>
    <t>53,510.00</t>
  </si>
  <si>
    <t>13,239,006.74</t>
  </si>
  <si>
    <t>57,717.50</t>
  </si>
  <si>
    <t>13,259,348.28</t>
  </si>
  <si>
    <t>30,893,117.26</t>
  </si>
  <si>
    <t>3,576,132.00</t>
  </si>
  <si>
    <t>1,439,917.48</t>
  </si>
  <si>
    <t>7,920,147.20</t>
  </si>
  <si>
    <t>3,226,147.35</t>
  </si>
  <si>
    <t>69,299,996.96</t>
  </si>
  <si>
    <t>170,960.00</t>
  </si>
  <si>
    <t>9,900,487.04</t>
  </si>
  <si>
    <t>9,354,967.03</t>
  </si>
  <si>
    <t>3,640,000.00</t>
  </si>
  <si>
    <t>199,187.50</t>
  </si>
  <si>
    <t>24,400,000.00</t>
  </si>
  <si>
    <t>19,800,923.60</t>
  </si>
  <si>
    <t>231,000.00</t>
  </si>
  <si>
    <t>29,699,990.20</t>
  </si>
  <si>
    <t>29,699,993.77</t>
  </si>
  <si>
    <t>122,000.00</t>
  </si>
  <si>
    <t>5,372,600.00</t>
  </si>
  <si>
    <t>2,700,000,000.00</t>
  </si>
  <si>
    <t>10,680,000.00</t>
  </si>
  <si>
    <t>5,995,000.00</t>
  </si>
  <si>
    <t>33,733,000.00</t>
  </si>
  <si>
    <t>3,453,000.00</t>
  </si>
  <si>
    <t>3,327,687.62</t>
  </si>
  <si>
    <t>34,649,985.05</t>
  </si>
  <si>
    <t>29,701,491.04</t>
  </si>
  <si>
    <t>5,784,064.95</t>
  </si>
  <si>
    <t>9,899,991.49</t>
  </si>
  <si>
    <t>19,801,477.33</t>
  </si>
  <si>
    <t>50,320,695.00</t>
  </si>
  <si>
    <t>995,069.18</t>
  </si>
  <si>
    <t>3,464,922.51</t>
  </si>
  <si>
    <t>9,899,995.57</t>
  </si>
  <si>
    <t>2,980,268.93</t>
  </si>
  <si>
    <t>424,769.39</t>
  </si>
  <si>
    <t>946,140.00</t>
  </si>
  <si>
    <t>82,025,000.00</t>
  </si>
  <si>
    <t>117,141,086.95</t>
  </si>
  <si>
    <t>19,300,000.00</t>
  </si>
  <si>
    <t>1,199,792.77</t>
  </si>
  <si>
    <t>341,072.00</t>
  </si>
  <si>
    <t>29,699,466.87</t>
  </si>
  <si>
    <t>29,449,000.00</t>
  </si>
  <si>
    <t>324,705.00</t>
  </si>
  <si>
    <t>595,000.00</t>
  </si>
  <si>
    <t>62,520.00</t>
  </si>
  <si>
    <t>371,700.00</t>
  </si>
  <si>
    <t>1,335,892.50</t>
  </si>
  <si>
    <t>657,646.83</t>
  </si>
  <si>
    <t>10,500,000.00</t>
  </si>
  <si>
    <t>153,450,000.00</t>
  </si>
  <si>
    <t>16,918,870.36</t>
  </si>
  <si>
    <t>68,945.29</t>
  </si>
  <si>
    <t>90,523,000.00</t>
  </si>
  <si>
    <t>89,829,019.65</t>
  </si>
  <si>
    <t>3,907,214.16</t>
  </si>
  <si>
    <t>91,309,000.00</t>
  </si>
  <si>
    <t>144,747,335.55</t>
  </si>
  <si>
    <t>88,707,634.87</t>
  </si>
  <si>
    <t>111,310,000.00</t>
  </si>
  <si>
    <t>164,988,000.00</t>
  </si>
  <si>
    <t>470,603.00</t>
  </si>
  <si>
    <t>955,000.00</t>
  </si>
  <si>
    <t>85,125,259.13</t>
  </si>
  <si>
    <t>483,900.00</t>
  </si>
  <si>
    <t>299,842.00</t>
  </si>
  <si>
    <t>2,447,500.00</t>
  </si>
  <si>
    <t>11,292,155.18</t>
  </si>
  <si>
    <t>1,695,000.00</t>
  </si>
  <si>
    <t>2,340,801.68</t>
  </si>
  <si>
    <t>3,025,657.63</t>
  </si>
  <si>
    <t>1,187,849.29</t>
  </si>
  <si>
    <t>1,114,793.99</t>
  </si>
  <si>
    <t>2,787,756.08</t>
  </si>
  <si>
    <t>1,329,428.01</t>
  </si>
  <si>
    <t>8,499,997.44</t>
  </si>
  <si>
    <t>2,606,951.31</t>
  </si>
  <si>
    <t>1,388,750.00</t>
  </si>
  <si>
    <t>2,316,000.00</t>
  </si>
  <si>
    <t>1,447,500.00</t>
  </si>
  <si>
    <t>2,750,982.44</t>
  </si>
  <si>
    <t>1,322,050.00</t>
  </si>
  <si>
    <t>1,002,000.00</t>
  </si>
  <si>
    <t>217,124,700.00</t>
  </si>
  <si>
    <t>257,154.28</t>
  </si>
  <si>
    <t>28,916,667.00</t>
  </si>
  <si>
    <t>9,899,994.38</t>
  </si>
  <si>
    <t>9,899,997.26</t>
  </si>
  <si>
    <t>357,625.42</t>
  </si>
  <si>
    <t>97,745.00</t>
  </si>
  <si>
    <t>797,634.97</t>
  </si>
  <si>
    <t>69,510.00</t>
  </si>
  <si>
    <t>173,800.00</t>
  </si>
  <si>
    <t>87,958.00</t>
  </si>
  <si>
    <t>38,600,000.00</t>
  </si>
  <si>
    <t>10,622,795.00</t>
  </si>
  <si>
    <t>2,462,800.00</t>
  </si>
  <si>
    <t>76,748.00</t>
  </si>
  <si>
    <t>2,281,000.00</t>
  </si>
  <si>
    <t>2,077,000.00</t>
  </si>
  <si>
    <t>9,999,999.85</t>
  </si>
  <si>
    <t>6,435,000.00</t>
  </si>
  <si>
    <t>2,557,000.00</t>
  </si>
  <si>
    <t>114,149,274.99</t>
  </si>
  <si>
    <t>212,400.00</t>
  </si>
  <si>
    <t>1,092,900.00</t>
  </si>
  <si>
    <t>982,000.00</t>
  </si>
  <si>
    <t>75,250,000.00</t>
  </si>
  <si>
    <t>6,370,000.00</t>
  </si>
  <si>
    <t>360,255,000.00</t>
  </si>
  <si>
    <t>14,214,611.43</t>
  </si>
  <si>
    <t>2,504,150.00</t>
  </si>
  <si>
    <t>105,750.00</t>
  </si>
  <si>
    <t>15,950,000.00</t>
  </si>
  <si>
    <t>32,807,244.61</t>
  </si>
  <si>
    <t>4,949,688.71</t>
  </si>
  <si>
    <t>2,338,510.50</t>
  </si>
  <si>
    <t>10,540,000.00</t>
  </si>
  <si>
    <t>6,720,000.00</t>
  </si>
  <si>
    <t>172,250.00</t>
  </si>
  <si>
    <t>778,077.39</t>
  </si>
  <si>
    <t>16,663,366.34</t>
  </si>
  <si>
    <t>517,741.50</t>
  </si>
  <si>
    <t>4,897,789.74</t>
  </si>
  <si>
    <t>2,029,000.00</t>
  </si>
  <si>
    <t>969,192,253.28</t>
  </si>
  <si>
    <t>96,498,710.68</t>
  </si>
  <si>
    <t>1,267,200.00</t>
  </si>
  <si>
    <t>96,499,837.62</t>
  </si>
  <si>
    <t>4,221,451.00</t>
  </si>
  <si>
    <t>10,036,581.00</t>
  </si>
  <si>
    <t>19,578,997.50</t>
  </si>
  <si>
    <t>2,650,935.00</t>
  </si>
  <si>
    <t>10,050,575.63</t>
  </si>
  <si>
    <t>10,284,294.75</t>
  </si>
  <si>
    <t>1,555,122.75</t>
  </si>
  <si>
    <t>9,149,048.61</t>
  </si>
  <si>
    <t>8,262,312.00</t>
  </si>
  <si>
    <t>15,911,970.00</t>
  </si>
  <si>
    <t>961,000.00</t>
  </si>
  <si>
    <t>763,000.00</t>
  </si>
  <si>
    <t>80,000,000.00</t>
  </si>
  <si>
    <t>1,021,660.24</t>
  </si>
  <si>
    <t>268,500.00</t>
  </si>
  <si>
    <t>2,199,680.00</t>
  </si>
  <si>
    <t>576,747,648.00</t>
  </si>
  <si>
    <t>65,000,324.09</t>
  </si>
  <si>
    <t>55,887,160.00</t>
  </si>
  <si>
    <t>312,222.50</t>
  </si>
  <si>
    <t>2,406,678.99</t>
  </si>
  <si>
    <t>32,340,000.00</t>
  </si>
  <si>
    <t>11,400,000.00</t>
  </si>
  <si>
    <t>1,699,815.00</t>
  </si>
  <si>
    <t>150,000,000.00</t>
  </si>
  <si>
    <t>670,000.00</t>
  </si>
  <si>
    <t>15,345,000.00</t>
  </si>
  <si>
    <t>4,999,873.48</t>
  </si>
  <si>
    <t>2,799,640.26</t>
  </si>
  <si>
    <t>1,797,532.31</t>
  </si>
  <si>
    <t>16,920,000.00</t>
  </si>
  <si>
    <t>2,749,621.26</t>
  </si>
  <si>
    <t>4,149,935.52</t>
  </si>
  <si>
    <t>2,986,997.34</t>
  </si>
  <si>
    <t>2,655,527.50</t>
  </si>
  <si>
    <t>507,000.00</t>
  </si>
  <si>
    <t>699,856.09</t>
  </si>
  <si>
    <t>67,534,000.00</t>
  </si>
  <si>
    <t>2,969,300.00</t>
  </si>
  <si>
    <t>3,253,000.00</t>
  </si>
  <si>
    <t>129,158.40</t>
  </si>
  <si>
    <t>597,520.11</t>
  </si>
  <si>
    <t>47,446,663.10</t>
  </si>
  <si>
    <t>9,726,600.00</t>
  </si>
  <si>
    <t>22,348.00</t>
  </si>
  <si>
    <t>6,957,658.60</t>
  </si>
  <si>
    <t>3,335,000.00</t>
  </si>
  <si>
    <t>1,092,500.00</t>
  </si>
  <si>
    <t>1,499,791.00</t>
  </si>
  <si>
    <t>801,000.00</t>
  </si>
  <si>
    <t>59,400,000.00</t>
  </si>
  <si>
    <t>737,800.00</t>
  </si>
  <si>
    <t>105,423.83</t>
  </si>
  <si>
    <t>19,796,000.00</t>
  </si>
  <si>
    <t>94,320.00</t>
  </si>
  <si>
    <t>834,976.60</t>
  </si>
  <si>
    <t>991,534.11</t>
  </si>
  <si>
    <t>504,935.00</t>
  </si>
  <si>
    <t>178,200.00</t>
  </si>
  <si>
    <t>58,288.33</t>
  </si>
  <si>
    <t>98,988.00</t>
  </si>
  <si>
    <t>97,200.00</t>
  </si>
  <si>
    <t>299,998.00</t>
  </si>
  <si>
    <t>23,760,000.00</t>
  </si>
  <si>
    <t>1,309,560.00</t>
  </si>
  <si>
    <t>3,954,136.55</t>
  </si>
  <si>
    <t>838,800.00</t>
  </si>
  <si>
    <t>81,600.00</t>
  </si>
  <si>
    <t>198,450.00</t>
  </si>
  <si>
    <t>2,787,702.33</t>
  </si>
  <si>
    <t>539,370.00</t>
  </si>
  <si>
    <t>7,229,591.00</t>
  </si>
  <si>
    <t>236,740.00</t>
  </si>
  <si>
    <t>99,400.00</t>
  </si>
  <si>
    <t>9,443,400.00</t>
  </si>
  <si>
    <t>702,251.98</t>
  </si>
  <si>
    <t>125,461.37</t>
  </si>
  <si>
    <t>583,296.00</t>
  </si>
  <si>
    <t>682,100.00</t>
  </si>
  <si>
    <t>39,001,000.00</t>
  </si>
  <si>
    <t>220,975.00</t>
  </si>
  <si>
    <t>62,877.00</t>
  </si>
  <si>
    <t>537,450.00</t>
  </si>
  <si>
    <t>1,897,873.33</t>
  </si>
  <si>
    <t>1,190,768.00</t>
  </si>
  <si>
    <t>94,826.67</t>
  </si>
  <si>
    <t>1,498,727.95</t>
  </si>
  <si>
    <t>854,118.09</t>
  </si>
  <si>
    <t>12,305,160.00</t>
  </si>
  <si>
    <t>137,760.00</t>
  </si>
  <si>
    <t>14,697,625.65</t>
  </si>
  <si>
    <t>2,969,951.91</t>
  </si>
  <si>
    <t>25,500,000.00</t>
  </si>
  <si>
    <t>1,499,286.02</t>
  </si>
  <si>
    <t>4,993,172.71</t>
  </si>
  <si>
    <t>1,135,000.00</t>
  </si>
  <si>
    <t>3,958,007.75</t>
  </si>
  <si>
    <t>2,491,213.78</t>
  </si>
  <si>
    <t>1,999,197.00</t>
  </si>
  <si>
    <t>14,997,493.55</t>
  </si>
  <si>
    <t>78,179.00</t>
  </si>
  <si>
    <t>724,800.00</t>
  </si>
  <si>
    <t>9,998,658.72</t>
  </si>
  <si>
    <t>2,257,068.21</t>
  </si>
  <si>
    <t>1,045,762.27</t>
  </si>
  <si>
    <t>22,994,000.00</t>
  </si>
  <si>
    <t>53,900,000.00</t>
  </si>
  <si>
    <t>106,149,995.59</t>
  </si>
  <si>
    <t>12,226,080.00</t>
  </si>
  <si>
    <t>29,978,756.28</t>
  </si>
  <si>
    <t>3,984,000.00</t>
  </si>
  <si>
    <t>3,799,990.69</t>
  </si>
  <si>
    <t>48,999,866.87</t>
  </si>
  <si>
    <t>2,999,916.94</t>
  </si>
  <si>
    <t>1,171,152.92</t>
  </si>
  <si>
    <t>21,372,000.00</t>
  </si>
  <si>
    <t>274,500.00</t>
  </si>
  <si>
    <t>4,552,000.00</t>
  </si>
  <si>
    <t>53,074,892.40</t>
  </si>
  <si>
    <t>4,451,520.00</t>
  </si>
  <si>
    <t>765,000.00</t>
  </si>
  <si>
    <t>24,749,857.63</t>
  </si>
  <si>
    <t>3,375,621.00</t>
  </si>
  <si>
    <t>535,500.00</t>
  </si>
  <si>
    <t>824,900.00</t>
  </si>
  <si>
    <t>4,995,000.00</t>
  </si>
  <si>
    <t>9,891,211.81</t>
  </si>
  <si>
    <t>4,560,000.00</t>
  </si>
  <si>
    <t>19,636,391.87</t>
  </si>
  <si>
    <t>22,991,000.00</t>
  </si>
  <si>
    <t>1,947,062,163.77</t>
  </si>
  <si>
    <t>1,782,000.00</t>
  </si>
  <si>
    <t>72,252,000.00</t>
  </si>
  <si>
    <t>553,390.28</t>
  </si>
  <si>
    <t>29,699,982.26</t>
  </si>
  <si>
    <t>47,300,000.00</t>
  </si>
  <si>
    <t>6,825,000.00</t>
  </si>
  <si>
    <t>113,869,972.33</t>
  </si>
  <si>
    <t>21,342,705.42</t>
  </si>
  <si>
    <t>921,672,000.00</t>
  </si>
  <si>
    <t>1,741,936.43</t>
  </si>
  <si>
    <t>8,372,579.52</t>
  </si>
  <si>
    <t>51,740,000.00</t>
  </si>
  <si>
    <t>1,086,548.30</t>
  </si>
  <si>
    <t>1,240,000.00</t>
  </si>
  <si>
    <t>54,683,189.82</t>
  </si>
  <si>
    <t>1,584,198.00</t>
  </si>
  <si>
    <t>665,000.00</t>
  </si>
  <si>
    <t>3,178,938.13</t>
  </si>
  <si>
    <t>732,000.00</t>
  </si>
  <si>
    <t>748,000.00</t>
  </si>
  <si>
    <t>530,400.00</t>
  </si>
  <si>
    <t>8,788,000.00</t>
  </si>
  <si>
    <t>16,926,840.72</t>
  </si>
  <si>
    <t>774,559.72</t>
  </si>
  <si>
    <t>5,397,040.00</t>
  </si>
  <si>
    <t>521,400.00</t>
  </si>
  <si>
    <t>5,054,400.00</t>
  </si>
  <si>
    <t>215,040.00</t>
  </si>
  <si>
    <t>2,620,502.40</t>
  </si>
  <si>
    <t>2,521,768.78</t>
  </si>
  <si>
    <t>1,749,074.98</t>
  </si>
  <si>
    <t>1,375,869.95</t>
  </si>
  <si>
    <t>5,973,320.00</t>
  </si>
  <si>
    <t>947,540.00</t>
  </si>
  <si>
    <t>12,174,040.00</t>
  </si>
  <si>
    <t>564,143.80</t>
  </si>
  <si>
    <t>1,113,783.04</t>
  </si>
  <si>
    <t>559,368.00</t>
  </si>
  <si>
    <t>16,455,600.00</t>
  </si>
  <si>
    <t>1,504,705.38</t>
  </si>
  <si>
    <t>1,798,396.02</t>
  </si>
  <si>
    <t>33,000,000.00</t>
  </si>
  <si>
    <t>15,344,856.27</t>
  </si>
  <si>
    <t>52,110,000.00</t>
  </si>
  <si>
    <t>3,759,553.34</t>
  </si>
  <si>
    <t>2,307,000.00</t>
  </si>
  <si>
    <t>87,077,740.00</t>
  </si>
  <si>
    <t>29,699,973.77</t>
  </si>
  <si>
    <t>5,541,613.32</t>
  </si>
  <si>
    <t>2,144,463.20</t>
  </si>
  <si>
    <t>4,010,000.00</t>
  </si>
  <si>
    <t>15,953,000.00</t>
  </si>
  <si>
    <t>8,004,050.28</t>
  </si>
  <si>
    <t>4,907,000.00</t>
  </si>
  <si>
    <t>9,899,916.97</t>
  </si>
  <si>
    <t>2,130,000.00</t>
  </si>
  <si>
    <t>86,367,500.00</t>
  </si>
  <si>
    <t>41,800,000.00</t>
  </si>
  <si>
    <t>817,997.60</t>
  </si>
  <si>
    <t>3,631,426.50</t>
  </si>
  <si>
    <t>1,111,000.00</t>
  </si>
  <si>
    <t>1,485,888.85</t>
  </si>
  <si>
    <t>86,811,400.00</t>
  </si>
  <si>
    <t>1,481,125.00</t>
  </si>
  <si>
    <t>3,720,486.00</t>
  </si>
  <si>
    <t>541,653.00</t>
  </si>
  <si>
    <t>190,375,000.00</t>
  </si>
  <si>
    <t>4,228,780.75</t>
  </si>
  <si>
    <t>99,790.00</t>
  </si>
  <si>
    <t>83,899,030.00</t>
  </si>
  <si>
    <t>2,335,144.00</t>
  </si>
  <si>
    <t>611,550.00</t>
  </si>
  <si>
    <t>9,694,545.45</t>
  </si>
  <si>
    <t>1,640,895.00</t>
  </si>
  <si>
    <t>1,160,150.00</t>
  </si>
  <si>
    <t>4,949,722.40</t>
  </si>
  <si>
    <t>126,400.00</t>
  </si>
  <si>
    <t>8,500,000.00</t>
  </si>
  <si>
    <t>601,560.00</t>
  </si>
  <si>
    <t>649,423.00</t>
  </si>
  <si>
    <t>3,836,151.00</t>
  </si>
  <si>
    <t>10,704,800.00</t>
  </si>
  <si>
    <t>67,238,000.00</t>
  </si>
  <si>
    <t>1,107,500.00</t>
  </si>
  <si>
    <t>1,067,000.00</t>
  </si>
  <si>
    <t>35,951,000.00</t>
  </si>
  <si>
    <t>2,107,500.00</t>
  </si>
  <si>
    <t>4,233,668.13</t>
  </si>
  <si>
    <t>1,472,984.71</t>
  </si>
  <si>
    <t>907,854.00</t>
  </si>
  <si>
    <t>1,588,013.44</t>
  </si>
  <si>
    <t>2,007,000.00</t>
  </si>
  <si>
    <t>5,975,000.00</t>
  </si>
  <si>
    <t>79,901,000.00</t>
  </si>
  <si>
    <t>1,076,517.62</t>
  </si>
  <si>
    <t>35,596,000.00</t>
  </si>
  <si>
    <t>247,214,000.00</t>
  </si>
  <si>
    <t>58,986,000.00</t>
  </si>
  <si>
    <t>3,275,000.00</t>
  </si>
  <si>
    <t>134,445.00</t>
  </si>
  <si>
    <t>816,933.04</t>
  </si>
  <si>
    <t>1,502,000.00</t>
  </si>
  <si>
    <t>815,000.00</t>
  </si>
  <si>
    <t>26,852,000.00</t>
  </si>
  <si>
    <t>19,819,520.00</t>
  </si>
  <si>
    <t>79,996,788.53</t>
  </si>
  <si>
    <t>34,299,989.07</t>
  </si>
  <si>
    <t>1,299,084.33</t>
  </si>
  <si>
    <t>1,979,956.11</t>
  </si>
  <si>
    <t>2,231,424.72</t>
  </si>
  <si>
    <t>1,979,474.56</t>
  </si>
  <si>
    <t>43,425,000.00</t>
  </si>
  <si>
    <t>29,099,767.49</t>
  </si>
  <si>
    <t>85,035,800.00</t>
  </si>
  <si>
    <t>1,083,290.12</t>
  </si>
  <si>
    <t>48,999,996.39</t>
  </si>
  <si>
    <t>97,998,833.48</t>
  </si>
  <si>
    <t>517,000.00</t>
  </si>
  <si>
    <t>14,849,659.73</t>
  </si>
  <si>
    <t>19,799,702.03</t>
  </si>
  <si>
    <t>3,919,609.45</t>
  </si>
  <si>
    <t>11,286,000.00</t>
  </si>
  <si>
    <t>9,799,932.60</t>
  </si>
  <si>
    <t>50,180,000.00</t>
  </si>
  <si>
    <t>98,999,642.57</t>
  </si>
  <si>
    <t>169,230.50</t>
  </si>
  <si>
    <t>49,498,416.97</t>
  </si>
  <si>
    <t>138,849,025.00</t>
  </si>
  <si>
    <t>9,899,596.36</t>
  </si>
  <si>
    <t>19,992,000.00</t>
  </si>
  <si>
    <t>17,992,200.80</t>
  </si>
  <si>
    <t>134,754,530.00</t>
  </si>
  <si>
    <t>62,170.00</t>
  </si>
  <si>
    <t>53,075,000.00</t>
  </si>
  <si>
    <t>110,296.00</t>
  </si>
  <si>
    <t>240,100.00</t>
  </si>
  <si>
    <t>39,080,000.00</t>
  </si>
  <si>
    <t>60,823.72</t>
  </si>
  <si>
    <t>438,700.00</t>
  </si>
  <si>
    <t>964,762.00</t>
  </si>
  <si>
    <t>118,859,050.00</t>
  </si>
  <si>
    <t>516,000.00</t>
  </si>
  <si>
    <t>45,361,366,040.29</t>
  </si>
  <si>
    <t>270,710.00</t>
  </si>
  <si>
    <t>468,265.67</t>
  </si>
  <si>
    <t>224,345.00</t>
  </si>
  <si>
    <t>43,149,400.00</t>
  </si>
  <si>
    <t>401,989.00</t>
  </si>
  <si>
    <t>69,773.44</t>
  </si>
  <si>
    <t>9,899,900.44</t>
  </si>
  <si>
    <t>365,000.00</t>
  </si>
  <si>
    <t>174,363.38</t>
  </si>
  <si>
    <t>514,000.00</t>
  </si>
  <si>
    <t>170,851.52</t>
  </si>
  <si>
    <t>133,650,000.00</t>
  </si>
  <si>
    <t>75,300.00</t>
  </si>
  <si>
    <t>154,062.00</t>
  </si>
  <si>
    <t>167,100.00</t>
  </si>
  <si>
    <t>230,844,405.00</t>
  </si>
  <si>
    <t>511,971.85</t>
  </si>
  <si>
    <t>62,306.42</t>
  </si>
  <si>
    <t>59,399,994.70</t>
  </si>
  <si>
    <t>9,899,999.86</t>
  </si>
  <si>
    <t>14,849,946.31</t>
  </si>
  <si>
    <t>98,998,843.79</t>
  </si>
  <si>
    <t>30,725.00</t>
  </si>
  <si>
    <t>51,100.00</t>
  </si>
  <si>
    <t>1,885,900.00</t>
  </si>
  <si>
    <t>20 Day/s</t>
  </si>
  <si>
    <t>7 Day/s</t>
  </si>
  <si>
    <t>0 Day/s</t>
  </si>
  <si>
    <t>180 Day/s</t>
  </si>
  <si>
    <t>3 Day/s</t>
  </si>
  <si>
    <t>120 Day/s</t>
  </si>
  <si>
    <t>5 Day/s</t>
  </si>
  <si>
    <t>60 Day/s</t>
  </si>
  <si>
    <t>21 Day/s</t>
  </si>
  <si>
    <t>14 Day/s</t>
  </si>
  <si>
    <t>90 Day/s</t>
  </si>
  <si>
    <t>1 Day/s</t>
  </si>
  <si>
    <t>8 Day/s</t>
  </si>
  <si>
    <t>4 Month/s</t>
  </si>
  <si>
    <t>30 Day/s</t>
  </si>
  <si>
    <t>9 Day/s</t>
  </si>
  <si>
    <t>16 Day/s</t>
  </si>
  <si>
    <t>6 Day/s</t>
  </si>
  <si>
    <t>6 Month/s</t>
  </si>
  <si>
    <t>10 Day/s</t>
  </si>
  <si>
    <t>15 Day/s</t>
  </si>
  <si>
    <t>25 Day/s</t>
  </si>
  <si>
    <t>40 Day/s</t>
  </si>
  <si>
    <t>240 Day/s</t>
  </si>
  <si>
    <t>35 Day/s</t>
  </si>
  <si>
    <t>227 Day/s</t>
  </si>
  <si>
    <t>56 Day/s</t>
  </si>
  <si>
    <t>140 Day/s</t>
  </si>
  <si>
    <t>45 Day/s</t>
  </si>
  <si>
    <t>220 Day/s</t>
  </si>
  <si>
    <t>150 Day/s</t>
  </si>
  <si>
    <t>1 Month/s</t>
  </si>
  <si>
    <t>12 Day/s</t>
  </si>
  <si>
    <t>23 Day/s</t>
  </si>
  <si>
    <t>310 Day/s</t>
  </si>
  <si>
    <t>290 Day/s</t>
  </si>
  <si>
    <t>2 Day/s</t>
  </si>
  <si>
    <t>70 Day/s</t>
  </si>
  <si>
    <t>103 Day/s</t>
  </si>
  <si>
    <t>79 Day/s</t>
  </si>
  <si>
    <t>105 Day/s</t>
  </si>
  <si>
    <t>3 Month/s</t>
  </si>
  <si>
    <t>232 Day/s</t>
  </si>
  <si>
    <t>31 Day/s</t>
  </si>
  <si>
    <t>330 Day/s</t>
  </si>
  <si>
    <t>365 Day/s</t>
  </si>
  <si>
    <t>360 Day/s</t>
  </si>
  <si>
    <t>52 Day/s</t>
  </si>
  <si>
    <t>210 Day/s</t>
  </si>
  <si>
    <t>50 Day/s</t>
  </si>
  <si>
    <t>75 Day/s</t>
  </si>
  <si>
    <t>130 Day/s</t>
  </si>
  <si>
    <t>17 Day/s</t>
  </si>
  <si>
    <t>125 Day/s</t>
  </si>
  <si>
    <t>117 Day/s</t>
  </si>
  <si>
    <t>270 Day/s</t>
  </si>
  <si>
    <t>4 Day/s</t>
  </si>
  <si>
    <t>2 Year/s</t>
  </si>
  <si>
    <t>112 Day/s</t>
  </si>
  <si>
    <t>67 Day/s</t>
  </si>
  <si>
    <t>26 Day/s</t>
  </si>
  <si>
    <t>28 Day/s</t>
  </si>
  <si>
    <t>81 Day/s</t>
  </si>
  <si>
    <t>145 Day/s</t>
  </si>
  <si>
    <t>39 Day/s</t>
  </si>
  <si>
    <t>273 Day/s</t>
  </si>
  <si>
    <t>86 Day/s</t>
  </si>
  <si>
    <t>265 Day/s</t>
  </si>
  <si>
    <t>91 Day/s</t>
  </si>
  <si>
    <t>1 Year/s</t>
  </si>
  <si>
    <t>77 Day/s</t>
  </si>
  <si>
    <t>49 Day/s</t>
  </si>
  <si>
    <t>62 Day/s</t>
  </si>
  <si>
    <t>288 Day/s</t>
  </si>
  <si>
    <t>300 Day/s</t>
  </si>
  <si>
    <t>272 Day/s</t>
  </si>
  <si>
    <t>646 Day/s</t>
  </si>
  <si>
    <t>135 Day/s</t>
  </si>
  <si>
    <t>5 Month/s</t>
  </si>
  <si>
    <t>33 Day/s</t>
  </si>
  <si>
    <t>98 Day/s</t>
  </si>
  <si>
    <t>280 Day/s</t>
  </si>
  <si>
    <t>46 Day/s</t>
  </si>
  <si>
    <t>195 Day/s</t>
  </si>
  <si>
    <t>93 Day/s</t>
  </si>
  <si>
    <t>2 Month/s</t>
  </si>
  <si>
    <t>53 Day/s</t>
  </si>
  <si>
    <t>7 Month/s</t>
  </si>
  <si>
    <t>54 Day/s</t>
  </si>
  <si>
    <t>87 Day/s</t>
  </si>
  <si>
    <t>80 Day/s</t>
  </si>
  <si>
    <t>18 Day/s</t>
  </si>
  <si>
    <t>10 Month/s</t>
  </si>
  <si>
    <t>194 Day/s</t>
  </si>
  <si>
    <t>12 Month/s</t>
  </si>
  <si>
    <t>132 Day/s</t>
  </si>
  <si>
    <t>114 Day/s</t>
  </si>
  <si>
    <t>42 Day/s</t>
  </si>
  <si>
    <t>58 Day/s</t>
  </si>
  <si>
    <t>24 Day/s</t>
  </si>
  <si>
    <t>72 Day/s</t>
  </si>
  <si>
    <t>3 Year/s</t>
  </si>
  <si>
    <t>65 Day/s</t>
  </si>
  <si>
    <t>113 Day/s</t>
  </si>
  <si>
    <t>11 Day/s</t>
  </si>
  <si>
    <t>48 Day/s</t>
  </si>
  <si>
    <t>74 Day/s</t>
  </si>
  <si>
    <t>168 Day/s</t>
  </si>
  <si>
    <t>69 Day/s</t>
  </si>
  <si>
    <t>27 Day/s</t>
  </si>
  <si>
    <t>107 Day/s</t>
  </si>
  <si>
    <t>47 Day/s</t>
  </si>
  <si>
    <t>41 Day/s</t>
  </si>
  <si>
    <t>153 Day/s</t>
  </si>
  <si>
    <t>184 Day/s</t>
  </si>
  <si>
    <t>13 Day/s</t>
  </si>
  <si>
    <t>44 Day/s</t>
  </si>
  <si>
    <t>121 Day/s</t>
  </si>
  <si>
    <t>32 Day/s</t>
  </si>
  <si>
    <t>420 Day/s</t>
  </si>
  <si>
    <t>520 Day/s</t>
  </si>
  <si>
    <t>83 Day/s</t>
  </si>
  <si>
    <t>100 Day/s</t>
  </si>
  <si>
    <t>51 Day/s</t>
  </si>
  <si>
    <t>34 Day/s</t>
  </si>
  <si>
    <t>64 Day/s</t>
  </si>
  <si>
    <t>22 Day/s</t>
  </si>
  <si>
    <t>102 Day/s</t>
  </si>
  <si>
    <t>43 Day/s</t>
  </si>
  <si>
    <t>19 Day/s</t>
  </si>
  <si>
    <t>110 Day/s</t>
  </si>
  <si>
    <t>214 Day/s</t>
  </si>
  <si>
    <t>185 Day/s</t>
  </si>
  <si>
    <t>57 Day/s</t>
  </si>
  <si>
    <t>136 Day/s</t>
  </si>
  <si>
    <t>134 Day/s</t>
  </si>
  <si>
    <t>85 Day/s</t>
  </si>
  <si>
    <t>29 Day/s</t>
  </si>
  <si>
    <t>84 Day/s</t>
  </si>
  <si>
    <t>163 Day/s</t>
  </si>
  <si>
    <t>55 Day/s</t>
  </si>
  <si>
    <t>108 Day/s</t>
  </si>
  <si>
    <t>92 Day/s</t>
  </si>
  <si>
    <t>96 Day/s</t>
  </si>
  <si>
    <t>68 Day/s</t>
  </si>
  <si>
    <t>36 Day/s</t>
  </si>
  <si>
    <t>250 Day/s</t>
  </si>
  <si>
    <t>155 Day/s</t>
  </si>
  <si>
    <t>540 Day/s</t>
  </si>
  <si>
    <t>252 Day/s</t>
  </si>
  <si>
    <t>11 Month/s</t>
  </si>
  <si>
    <t>139 Day/s</t>
  </si>
  <si>
    <t>251 Day/s</t>
  </si>
  <si>
    <t>297 Day/s</t>
  </si>
  <si>
    <t>97 Day/s</t>
  </si>
  <si>
    <t>76 Day/s</t>
  </si>
  <si>
    <t>205 Day/s</t>
  </si>
  <si>
    <t>17 Month/s</t>
  </si>
  <si>
    <t>245 Day/s</t>
  </si>
  <si>
    <t>133 Day/s</t>
  </si>
  <si>
    <t>223 Day/s</t>
  </si>
  <si>
    <t>190 Day/s</t>
  </si>
  <si>
    <t>4 Year/s</t>
  </si>
  <si>
    <t>215 Day/s</t>
  </si>
  <si>
    <t>95 Day/s</t>
  </si>
  <si>
    <t>275 Day/s</t>
  </si>
  <si>
    <t>225 Day/s</t>
  </si>
  <si>
    <t>200 Day/s</t>
  </si>
  <si>
    <t>170 Day/s</t>
  </si>
  <si>
    <t>164 Day/s</t>
  </si>
  <si>
    <t>144 Day/s</t>
  </si>
  <si>
    <t>156 Day/s</t>
  </si>
  <si>
    <t>128 Day/s</t>
  </si>
  <si>
    <t>303 Day/s</t>
  </si>
  <si>
    <t>59 Day/s</t>
  </si>
  <si>
    <t>8 Month/s</t>
  </si>
  <si>
    <t>73 Day/s</t>
  </si>
  <si>
    <t>183 Day/s</t>
  </si>
  <si>
    <t>82 Day/s</t>
  </si>
  <si>
    <t>78 Day/s</t>
  </si>
  <si>
    <t>115 Day/s</t>
  </si>
  <si>
    <t>305 Day/s</t>
  </si>
  <si>
    <t>216 Day/s</t>
  </si>
  <si>
    <t>261 Day/s</t>
  </si>
  <si>
    <t>219 Day/s</t>
  </si>
  <si>
    <t>201 Day/s</t>
  </si>
  <si>
    <t>615 Day/s</t>
  </si>
  <si>
    <t>246 Day/s</t>
  </si>
  <si>
    <t>321 Day/s</t>
  </si>
  <si>
    <t>262 Day/s</t>
  </si>
  <si>
    <t>160 Day/s</t>
  </si>
  <si>
    <t>111 Day/s</t>
  </si>
  <si>
    <t>450 Day/s</t>
  </si>
  <si>
    <t>63 Day/s</t>
  </si>
  <si>
    <t>138 Day/s</t>
  </si>
  <si>
    <t>89 Day/s</t>
  </si>
  <si>
    <t>94 Day/s</t>
  </si>
  <si>
    <t>60 Month/s</t>
  </si>
  <si>
    <t>228 Day/s</t>
  </si>
  <si>
    <t>137 Day/s</t>
  </si>
  <si>
    <t>230 Day/s</t>
  </si>
  <si>
    <t>165 Day/s</t>
  </si>
  <si>
    <t>38 Day/s</t>
  </si>
  <si>
    <t>143 Day/s</t>
  </si>
  <si>
    <t>315 Day/s</t>
  </si>
  <si>
    <t>54 Month/s</t>
  </si>
  <si>
    <t>124 Day/s</t>
  </si>
  <si>
    <t>173 Day/s</t>
  </si>
  <si>
    <t>191 Day/s</t>
  </si>
  <si>
    <t>37 Day/s</t>
  </si>
  <si>
    <t>580 Day/s</t>
  </si>
  <si>
    <t>260 Day/s</t>
  </si>
  <si>
    <t>119 Day/s</t>
  </si>
  <si>
    <t>118 Day/s</t>
  </si>
  <si>
    <t>101 Day/s</t>
  </si>
  <si>
    <t>104 Day/s</t>
  </si>
  <si>
    <t>71 Day/s</t>
  </si>
  <si>
    <t>61 Day/s</t>
  </si>
  <si>
    <t>116 Day/s</t>
  </si>
  <si>
    <t>178 Day/s</t>
  </si>
  <si>
    <t>131 Day/s</t>
  </si>
  <si>
    <t>158 Day/s</t>
  </si>
  <si>
    <t>171 Day/s</t>
  </si>
  <si>
    <t>204 Day/s</t>
  </si>
  <si>
    <t>900 Day/s</t>
  </si>
  <si>
    <t>231 Day/s</t>
  </si>
  <si>
    <t>255 Day/s</t>
  </si>
  <si>
    <t>256 Day/s</t>
  </si>
  <si>
    <t>313 Day/s</t>
  </si>
  <si>
    <t>292 Day/s</t>
  </si>
  <si>
    <t>174 Day/s</t>
  </si>
  <si>
    <t>146 Day/s</t>
  </si>
  <si>
    <t>142 Day/s</t>
  </si>
  <si>
    <t>242 Day/s</t>
  </si>
  <si>
    <t>99 Day/s</t>
  </si>
  <si>
    <t>147 Day/s</t>
  </si>
  <si>
    <t>175 Day/s</t>
  </si>
  <si>
    <t>109 Day/s</t>
  </si>
  <si>
    <t>141 Day/s</t>
  </si>
  <si>
    <t>152 Day/s</t>
  </si>
  <si>
    <t>358 Day/s</t>
  </si>
  <si>
    <t>218 Day/s</t>
  </si>
  <si>
    <t>203 Day/s</t>
  </si>
  <si>
    <t>390 Day/s</t>
  </si>
  <si>
    <t>66 Day/s</t>
  </si>
  <si>
    <t>253 Day/s</t>
  </si>
  <si>
    <t>198 Day/s</t>
  </si>
  <si>
    <t>454 Day/s</t>
  </si>
  <si>
    <t>182 Day/s</t>
  </si>
  <si>
    <t>179 Day/s</t>
  </si>
  <si>
    <t>123 Day/s</t>
  </si>
  <si>
    <t>88 Day/s</t>
  </si>
  <si>
    <t>122 Day/s</t>
  </si>
  <si>
    <t>570 Day/s</t>
  </si>
  <si>
    <t>186 Day/s</t>
  </si>
  <si>
    <t>239 Day/s</t>
  </si>
  <si>
    <t>279 Day/s</t>
  </si>
  <si>
    <t>202 Day/s</t>
  </si>
  <si>
    <t>263 Day/s</t>
  </si>
  <si>
    <t>187 Day/s</t>
  </si>
  <si>
    <t>126 Day/s</t>
  </si>
  <si>
    <t>344 Day/s</t>
  </si>
  <si>
    <t>106 Day/s</t>
  </si>
  <si>
    <t>212 Day/s</t>
  </si>
  <si>
    <t>244 Day/s</t>
  </si>
  <si>
    <t>500 Day/s</t>
  </si>
  <si>
    <t>30 Month/s</t>
  </si>
  <si>
    <t>26 Month/s</t>
  </si>
  <si>
    <t>211 Day/s</t>
  </si>
  <si>
    <t>196 Day/s</t>
  </si>
  <si>
    <t>151 Day/s</t>
  </si>
  <si>
    <t>284 Day/s</t>
  </si>
  <si>
    <t>50 Month/s</t>
  </si>
  <si>
    <t>254 Day/s</t>
  </si>
  <si>
    <t>331 Day/s</t>
  </si>
  <si>
    <t>176 Day/s</t>
  </si>
  <si>
    <t>197 Day/s</t>
  </si>
  <si>
    <t>189 Day/s</t>
  </si>
  <si>
    <t>36 Month/s</t>
  </si>
  <si>
    <t>207 Day/s</t>
  </si>
  <si>
    <t>274 Day/s</t>
  </si>
  <si>
    <t>222 Day/s</t>
  </si>
  <si>
    <t>294 Day/s</t>
  </si>
  <si>
    <t>295 Day/s</t>
  </si>
  <si>
    <t>199 Day/s</t>
  </si>
  <si>
    <t>188 Day/s</t>
  </si>
  <si>
    <t>264 Day/s</t>
  </si>
  <si>
    <t>217 Day/s</t>
  </si>
  <si>
    <t>600 Day/s</t>
  </si>
  <si>
    <t>293 Day/s</t>
  </si>
  <si>
    <t>840 Day/s</t>
  </si>
  <si>
    <t>285 Day/s</t>
  </si>
  <si>
    <t>380 Day/s</t>
  </si>
  <si>
    <t>238 Day/s</t>
  </si>
  <si>
    <t>1801 Day/s</t>
  </si>
  <si>
    <t>177 Day/s</t>
  </si>
  <si>
    <t>1200 Day/s</t>
  </si>
  <si>
    <t>9 Month/s</t>
  </si>
  <si>
    <t>1036 Day/s</t>
  </si>
  <si>
    <t>336 Day/s</t>
  </si>
  <si>
    <t>192 Day/s</t>
  </si>
  <si>
    <t>213 Day/s</t>
  </si>
  <si>
    <t>400 Day/s</t>
  </si>
  <si>
    <t>354 Day/s</t>
  </si>
  <si>
    <t>912 Day/s</t>
  </si>
  <si>
    <t>249 Day/s</t>
  </si>
  <si>
    <t>Crystine S. Puertellano</t>
  </si>
  <si>
    <t>Jennifer  d Alcantara</t>
  </si>
  <si>
    <t>Rey Partible Urbano</t>
  </si>
  <si>
    <t>Thea Joy Tabanao Conrada</t>
  </si>
  <si>
    <t>Katrine Natanauan Martinez</t>
  </si>
  <si>
    <t>Ruel Alfaro Magbanua</t>
  </si>
  <si>
    <t>EDWIN HERNANDEZ NAPULE</t>
  </si>
  <si>
    <t>Christma Joy Pereyra Rodriguez</t>
  </si>
  <si>
    <t>Richard  Cristobal  Agustin</t>
  </si>
  <si>
    <t>EMIL RODRIGUEZ GANADEN</t>
  </si>
  <si>
    <t>NIEL CARO ROSALES</t>
  </si>
  <si>
    <t>LGU TANGUB</t>
  </si>
  <si>
    <t>Agravante B Rodrigo</t>
  </si>
  <si>
    <t>Pauline Joy D. Lozano</t>
  </si>
  <si>
    <t>Mark Joseph Roque Dampil</t>
  </si>
  <si>
    <t>Marissa Rom Sibucao</t>
  </si>
  <si>
    <t>JOCELYN FAJARDO CASTILLO</t>
  </si>
  <si>
    <t>Domingo  G.  Jabien</t>
  </si>
  <si>
    <t>Angelita M. Pasos</t>
  </si>
  <si>
    <t>Jaime S.J. Javellana</t>
  </si>
  <si>
    <t>Cindy Ramos Tiu</t>
  </si>
  <si>
    <t>Edmer S. Polloso</t>
  </si>
  <si>
    <t>Reynaldo Sumagaysay Belgira</t>
  </si>
  <si>
    <t>ALWIN M. UY</t>
  </si>
  <si>
    <t>Jever Catalan Vargas</t>
  </si>
  <si>
    <t>JULIETO DELOAG</t>
  </si>
  <si>
    <t>Mae Lyn Garcia Altarejos</t>
  </si>
  <si>
    <t>Oscar M. Maribojoc Sr.</t>
  </si>
  <si>
    <t>Celso V. Labian</t>
  </si>
  <si>
    <t>ELISA VERGARA BORSIL</t>
  </si>
  <si>
    <t>WILBERTO O. CASTILLO</t>
  </si>
  <si>
    <t>Sheila mae  Alpon  Carpentero</t>
  </si>
  <si>
    <t>Diana E Orcine</t>
  </si>
  <si>
    <t>LITO  D.  LACABA</t>
  </si>
  <si>
    <t>ALLAN B. MATIN-AW</t>
  </si>
  <si>
    <t>Surita Juntilla Pedrozo</t>
  </si>
  <si>
    <t>PRIMILIN ANNE DELGADO MARIANO</t>
  </si>
  <si>
    <t>Sarip Norislami A. Ampatuan</t>
  </si>
  <si>
    <t>Jhoanne Ayen A Jimenez</t>
  </si>
  <si>
    <t>Vilma  Elarmo</t>
  </si>
  <si>
    <t>Floro M Butulan</t>
  </si>
  <si>
    <t>Avel Villamor Nunez</t>
  </si>
  <si>
    <t>GERARDO DALINOC CLEMENTE</t>
  </si>
  <si>
    <t>Erwin Mendoza Punzalan</t>
  </si>
  <si>
    <t>Ronnie D. Morante</t>
  </si>
  <si>
    <t>ALLANA AGUILAR BABAYEN-ON</t>
  </si>
  <si>
    <t>Vincent Jake E. Castillo</t>
  </si>
  <si>
    <t>ESMERALDO P BEJOSA</t>
  </si>
  <si>
    <t>VENUS ESCOBAR TORRES</t>
  </si>
  <si>
    <t>Ma. Nena T. Zapico</t>
  </si>
  <si>
    <t>Magilyn O. Azarcon</t>
  </si>
  <si>
    <t>Veronica Samsam Macadangdang</t>
  </si>
  <si>
    <t>Ma. Corazon V. Tadena</t>
  </si>
  <si>
    <t>Danilo Anggot Taucan</t>
  </si>
  <si>
    <t>HELEN B. BAUTISTA</t>
  </si>
  <si>
    <t>Tolentino Almedilla  Bellezas</t>
  </si>
  <si>
    <t>MARYGRACE B. CARTAGENA</t>
  </si>
  <si>
    <t>Jicylle Madrio Merin</t>
  </si>
  <si>
    <t>RANDY R. LIGSANAN</t>
  </si>
  <si>
    <t>Ehdison San Juan Masculino</t>
  </si>
  <si>
    <t>JENNY C. SIGNEY</t>
  </si>
  <si>
    <t>Hardeley B. Aday</t>
  </si>
  <si>
    <t>Michelle Escalada Monteclaro</t>
  </si>
  <si>
    <t>Remar Joy Blancada Gordevilla</t>
  </si>
  <si>
    <t>BRIGETTE JOY PUNZALAN ILAGAN</t>
  </si>
  <si>
    <t>Maria Jessica Dulce Gumban</t>
  </si>
  <si>
    <t>Marlon Salutan Dubla</t>
  </si>
  <si>
    <t>Venn Wei Sipalay   Añonuevo</t>
  </si>
  <si>
    <t>Rodel Gullon Chavez</t>
  </si>
  <si>
    <t>Ryan Ibrado Bonghanoy</t>
  </si>
  <si>
    <t>Kristina Omapas Racuya</t>
  </si>
  <si>
    <t>Zotico L. Pastelero</t>
  </si>
  <si>
    <t>Gerard Marie T. Enriquez</t>
  </si>
  <si>
    <t>Nim Rod Esguerra Bautista</t>
  </si>
  <si>
    <t>Letecia Arevalo Peñalosa</t>
  </si>
  <si>
    <t>GODWIN XAVIER F. NUÑEZ</t>
  </si>
  <si>
    <t>Junel Tantoy Mirontos</t>
  </si>
  <si>
    <t>Frazier L. Quinesio</t>
  </si>
  <si>
    <t>Natalie Tinao Caparas</t>
  </si>
  <si>
    <t>Jan Mae Dayanghirang Llavore</t>
  </si>
  <si>
    <t>Levy H. Lagutin Jr.</t>
  </si>
  <si>
    <t>GINA D. ABENIO</t>
  </si>
  <si>
    <t>Gilmore Ray Lopez Saniel</t>
  </si>
  <si>
    <t>Floramie  Dumabok  Matus</t>
  </si>
  <si>
    <t>Eric Floreta Labastilla</t>
  </si>
  <si>
    <t>Teresa Leonico Laud</t>
  </si>
  <si>
    <t>Mohmina P. Tanua</t>
  </si>
  <si>
    <t>Norlan M De Las Alas</t>
  </si>
  <si>
    <t>Priscilla Samonte Esguerra</t>
  </si>
  <si>
    <t>Ma. Jeralyn Verbo Jumiller</t>
  </si>
  <si>
    <t>NOEL C. MANGKIKIS</t>
  </si>
  <si>
    <t>Violy Jane Jalandoni Flores</t>
  </si>
  <si>
    <t>Christine Grace Lapinig Tan</t>
  </si>
  <si>
    <t>PHILIP GENE II A.   MALACAS</t>
  </si>
  <si>
    <t>Allan Taranza Pereyras</t>
  </si>
  <si>
    <t>Marla PAMISARAN Andal</t>
  </si>
  <si>
    <t>Diomedes C Palor</t>
  </si>
  <si>
    <t>Reymar Constantino Razon</t>
  </si>
  <si>
    <t>Shirley Agustin Espanillo</t>
  </si>
  <si>
    <t>Michael Andrew Q Frias</t>
  </si>
  <si>
    <t>Jackie Agliam Barangay</t>
  </si>
  <si>
    <t>Lourdes Montante Delgado</t>
  </si>
  <si>
    <t>Felicidad F. De Guzman</t>
  </si>
  <si>
    <t>JOEL P CADIANG</t>
  </si>
  <si>
    <t>Reynaldo Salaan Galzote</t>
  </si>
  <si>
    <t>APOLLO RAMIRO PERNIA</t>
  </si>
  <si>
    <t>Relita Rivera Cardenas</t>
  </si>
  <si>
    <t>William  Aggalut Ringor</t>
  </si>
  <si>
    <t>Fernand Calpito Dalere</t>
  </si>
  <si>
    <t>Jeffrey Celis Magadan</t>
  </si>
  <si>
    <t>Mervin Fuentes Baula</t>
  </si>
  <si>
    <t>Doreen A. Lugo</t>
  </si>
  <si>
    <t>Teofilo, Jr. Rostata Gervacio</t>
  </si>
  <si>
    <t>francisco a. caraos</t>
  </si>
  <si>
    <t>jerry p. leyesa</t>
  </si>
  <si>
    <t>Melanie Obillo Manipon</t>
  </si>
  <si>
    <t>Edwin G. Yuson</t>
  </si>
  <si>
    <t>Charito Tinio Mertens</t>
  </si>
  <si>
    <t>Richard Pandita Sanlocan</t>
  </si>
  <si>
    <t>Leilynn P Edar</t>
  </si>
  <si>
    <t>Rachel Caldo De Loyola</t>
  </si>
  <si>
    <t>ROSALIE N. MORALDE</t>
  </si>
  <si>
    <t>Paul Joseph  Yen Reyes</t>
  </si>
  <si>
    <t>Renel M. Malacapo</t>
  </si>
  <si>
    <t>John Redota Jovellano</t>
  </si>
  <si>
    <t>Marites Fariñas Alnas</t>
  </si>
  <si>
    <t>Evelyn Villareal Palicpic</t>
  </si>
  <si>
    <t>Abel Goc-ong</t>
  </si>
  <si>
    <t>Victoriano Benedicto Lagazo Castillo</t>
  </si>
  <si>
    <t>Gemmond S Gonzales</t>
  </si>
  <si>
    <t>Armando  A Diada</t>
  </si>
  <si>
    <t>Armont C Pecina</t>
  </si>
  <si>
    <t>Desiree L. Zoleta</t>
  </si>
  <si>
    <t>Caysie Bagsit</t>
  </si>
  <si>
    <t>Maribel Lopez Bongar</t>
  </si>
  <si>
    <t>Michael  Mercado Caisip</t>
  </si>
  <si>
    <t>Anna Liza Ramirez Quirolgico</t>
  </si>
  <si>
    <t>Victoria Carcamo Santos</t>
  </si>
  <si>
    <t>Laurence Rosin Arimado</t>
  </si>
  <si>
    <t>Mary Jean Garrido Demonteverde</t>
  </si>
  <si>
    <t>ELMER CASTILLO ABENOJAR</t>
  </si>
  <si>
    <t>Cherry Ibarra Quibael</t>
  </si>
  <si>
    <t>Charo R Arugay</t>
  </si>
  <si>
    <t>Florante O. Enriquez</t>
  </si>
  <si>
    <t>Nestor Corpuz Guillermo</t>
  </si>
  <si>
    <t>Jocelyn D Melandres</t>
  </si>
  <si>
    <t>Jun Pajarillo  Vana</t>
  </si>
  <si>
    <t>Melchor O Quinto</t>
  </si>
  <si>
    <t>Rodolfo Felipe Jopio Jr.</t>
  </si>
  <si>
    <t>Anselmo Baldoza Mano</t>
  </si>
  <si>
    <t>Poliver L  Tumaneng</t>
  </si>
  <si>
    <t>JOEL MERCADO MALIGAYA</t>
  </si>
  <si>
    <t>JULIE P. TABCAO</t>
  </si>
  <si>
    <t>MA.  NORITA ABULAN CABRERA</t>
  </si>
  <si>
    <t>JESSICA ACOLENTAVA OTIC</t>
  </si>
  <si>
    <t>Datumalao Eting Saikol</t>
  </si>
  <si>
    <t>Paul Laday Olanday</t>
  </si>
  <si>
    <t>Gregorio Reyes Wapelle Jr</t>
  </si>
  <si>
    <t>Charmaine Santos</t>
  </si>
  <si>
    <t>Rodney Joy Villagracia Iyoy</t>
  </si>
  <si>
    <t>Eric G Limpin</t>
  </si>
  <si>
    <t>Ma. Cristina L Garcia</t>
  </si>
  <si>
    <t>JOSE CHIQUITO M MAHINAY</t>
  </si>
  <si>
    <t>Samira Guimba Pagayao</t>
  </si>
  <si>
    <t>Carmen B. Cortes</t>
  </si>
  <si>
    <t>Marissa L Yagyagan</t>
  </si>
  <si>
    <t>Teresita Correa Faustino</t>
  </si>
  <si>
    <t>joy ogarte rodriguez</t>
  </si>
  <si>
    <t>DENNIS BAYUWAN BAGYON</t>
  </si>
  <si>
    <t>Jhunrey C Ordioso</t>
  </si>
  <si>
    <t>Juliana Cabling Abenales</t>
  </si>
  <si>
    <t>Lea Ordinario Abando</t>
  </si>
  <si>
    <t>Enrico Magboo Dalangin</t>
  </si>
  <si>
    <t>Ma. Annalyn S. Nolasco</t>
  </si>
  <si>
    <t>Donna Mae Mitra Reyroso</t>
  </si>
  <si>
    <t>STEMSON ESPIRITU NILO</t>
  </si>
  <si>
    <t>CLARENCE C. MORALES</t>
  </si>
  <si>
    <t>Jesus Rey Serna Cavalida</t>
  </si>
  <si>
    <t>Arceli Magtanong Samson</t>
  </si>
  <si>
    <t>ELMER O LUNAS</t>
  </si>
  <si>
    <t>Norma C. Sarigumba</t>
  </si>
  <si>
    <t>LAARNI PEREZ ALINSOD</t>
  </si>
  <si>
    <t>Debby Catherine Castillo Segui</t>
  </si>
  <si>
    <t>JOHN REY JERAO PEREZ</t>
  </si>
  <si>
    <t>DANILO T VILLANUEVA</t>
  </si>
  <si>
    <t>Hope S Macusi</t>
  </si>
  <si>
    <t>Celia R Ragot</t>
  </si>
  <si>
    <t>REGIE BAES AGNO</t>
  </si>
  <si>
    <t>Angel Shieldon C Agan</t>
  </si>
  <si>
    <t>Angeli A. Lood</t>
  </si>
  <si>
    <t>Marilou DC Garcia</t>
  </si>
  <si>
    <t>Elmer G Canios</t>
  </si>
  <si>
    <t>Joseph Barroso delos Reyes</t>
  </si>
  <si>
    <t>ANGELIE AREVALO PEREZ</t>
  </si>
  <si>
    <t>Janet D Flores</t>
  </si>
  <si>
    <t>Emilia Sales Quilet</t>
  </si>
  <si>
    <t>Jahmil H. Asebo</t>
  </si>
  <si>
    <t>Oliver Ted Castillo Orsolino</t>
  </si>
  <si>
    <t>Leila  Clarete   De Guzman</t>
  </si>
  <si>
    <t>John Salvacion Sambajon</t>
  </si>
  <si>
    <t>Marissa Taguba Veranga</t>
  </si>
  <si>
    <t>Jenny Quimpan Puli</t>
  </si>
  <si>
    <t>Feliciana  G. Dacanay</t>
  </si>
  <si>
    <t>Babe Charity S Enerio</t>
  </si>
  <si>
    <t>Gayuting T. Tumanding</t>
  </si>
  <si>
    <t>Joel P Rosario</t>
  </si>
  <si>
    <t>Hilarry Amigable Singalivo</t>
  </si>
  <si>
    <t>Maria Fe L Torrecampo</t>
  </si>
  <si>
    <t>Ricardo Alvarado Sanchez</t>
  </si>
  <si>
    <t>JOSE CABASAGAN CHAN</t>
  </si>
  <si>
    <t>CARLOS D. PADILLO</t>
  </si>
  <si>
    <t>Erwin Libres Cajelo</t>
  </si>
  <si>
    <t>VICTOR LUZA LAGUNA</t>
  </si>
  <si>
    <t>Francisco Escape Oliva, Jr.</t>
  </si>
  <si>
    <t>Ralph Adrian Dizon Gonzales</t>
  </si>
  <si>
    <t>BAC SECRETARIAT, LGU-SANTIAGO CITY</t>
  </si>
  <si>
    <t>Arlene N Nufuar</t>
  </si>
  <si>
    <t>Sylvia P. Obera</t>
  </si>
  <si>
    <t>Elvisa Japay Villar</t>
  </si>
  <si>
    <t>Asaria P Cañal</t>
  </si>
  <si>
    <t>Laila M Robosa</t>
  </si>
  <si>
    <t>Mary Ann Corpuz Lazo</t>
  </si>
  <si>
    <t>Cecilia Calagui</t>
  </si>
  <si>
    <t>Maria Rachel Panti Gonzales</t>
  </si>
  <si>
    <t>LINA COLMINAS ZARCO</t>
  </si>
  <si>
    <t>Pedrito Mojica Serra</t>
  </si>
  <si>
    <t>Ma. Asherine Noscal Atienza</t>
  </si>
  <si>
    <t>Sergio De Guzman Ramirez</t>
  </si>
  <si>
    <t>Linell Fulleros Montuerto</t>
  </si>
  <si>
    <t>Estrella Ageas Maata</t>
  </si>
  <si>
    <t>Jijo Biliran Butalid</t>
  </si>
  <si>
    <t>Nemia Barradas Monzones</t>
  </si>
  <si>
    <t>Miriam C. Jabagat</t>
  </si>
  <si>
    <t>MARIA LIZA GENADA RULL</t>
  </si>
  <si>
    <t>Connie Beb Torralba</t>
  </si>
  <si>
    <t>Enrique Nochebuena Mocling</t>
  </si>
  <si>
    <t>Alex M Rendon</t>
  </si>
  <si>
    <t>Nerissa Nedic Calimbo</t>
  </si>
  <si>
    <t>Josephine L Mananquil</t>
  </si>
  <si>
    <t>Nanette Mirasol Dulfo</t>
  </si>
  <si>
    <t>Enrico Papag Limjuico</t>
  </si>
  <si>
    <t>MELCHOR JR. P. DEJANO</t>
  </si>
  <si>
    <t>Janice Sainz Collado</t>
  </si>
  <si>
    <t>Mary Grace L. Baarde</t>
  </si>
  <si>
    <t>SOFRONIO B. DACILLO, JR.</t>
  </si>
  <si>
    <t>Roel D. Taroc</t>
  </si>
  <si>
    <t>cipriano t cavite</t>
  </si>
  <si>
    <t>FLERINE JAY RELATIVO SANDOT</t>
  </si>
  <si>
    <t>Jessica Anne Luna Honrada</t>
  </si>
  <si>
    <t>ABDURAJAK ORDONEZ</t>
  </si>
  <si>
    <t>Evelyn Larosa Cainglet</t>
  </si>
  <si>
    <t>REGNER MEL BALAGOT</t>
  </si>
  <si>
    <t>Jay Legaspi Cabiles</t>
  </si>
  <si>
    <t>MARIELLE GRACE ANDRIN ROMAREZ</t>
  </si>
  <si>
    <t>MELCHOR CORVERA ROXAS</t>
  </si>
  <si>
    <t>Lalen Salagubang</t>
  </si>
  <si>
    <t>GENE ACHAS BACULPO</t>
  </si>
  <si>
    <t>Florencio Formaran Parcarey</t>
  </si>
  <si>
    <t>Shiela Rose Vicente Vicente</t>
  </si>
  <si>
    <t>Paterno O Hempeso</t>
  </si>
  <si>
    <t>Marivic Evea Dugtong</t>
  </si>
  <si>
    <t>Amador Eusebio Judan</t>
  </si>
  <si>
    <t>MARTINA B. ROSALES</t>
  </si>
  <si>
    <t>Elton Gurro Panulaya</t>
  </si>
  <si>
    <t>Ma. Twinkle G Mercader</t>
  </si>
  <si>
    <t>Corazon Martinez Fronda</t>
  </si>
  <si>
    <t>Gorgonio S. Cabañero Jr.</t>
  </si>
  <si>
    <t>Ariel Ardales Buiza</t>
  </si>
  <si>
    <t>Josephine R. Bohol</t>
  </si>
  <si>
    <t>Glenda Labitigan Goti-ay</t>
  </si>
  <si>
    <t>MARILYN MILLARES MAGPANTAY</t>
  </si>
  <si>
    <t>BEDA LEGITA CANAMAQUE</t>
  </si>
  <si>
    <t>Margie P Alanunay</t>
  </si>
  <si>
    <t>MICHAEL P DUQUEZ</t>
  </si>
  <si>
    <t>MERLINDA M. ANG</t>
  </si>
  <si>
    <t>Vicente Hotchkiss Pimentel, III</t>
  </si>
  <si>
    <t>Jennifer Arnaez</t>
  </si>
  <si>
    <t>Ivy Joy L. Castro</t>
  </si>
  <si>
    <t>Constante C. Sabalburo</t>
  </si>
  <si>
    <t>Jun Brian Tan Soledad</t>
  </si>
  <si>
    <t>Sweet L. Malima</t>
  </si>
  <si>
    <t>Marlone Templeton Buen</t>
  </si>
  <si>
    <t>Aime Escubio Cariño</t>
  </si>
  <si>
    <t>Almond Garalde Leaño</t>
  </si>
  <si>
    <t>Dr. Monette M Martin</t>
  </si>
  <si>
    <t>Andro L. Colacion</t>
  </si>
  <si>
    <t>EDISON ALPARAN LORIAGA</t>
  </si>
  <si>
    <t>DEBBIE HERRAS ESCURO</t>
  </si>
  <si>
    <t>John Rey Arota Tomines</t>
  </si>
  <si>
    <t>segrid sahagon dacanay</t>
  </si>
  <si>
    <t>Emiliana Z Sarmiento</t>
  </si>
  <si>
    <t>JEMSEL  Sr. DETALO VALDEZ</t>
  </si>
  <si>
    <t>Engr. Anastacio Cuares Pol</t>
  </si>
  <si>
    <t>Richard Dean B. Dagpin</t>
  </si>
  <si>
    <t>Shiedhe Kembuan Bangen</t>
  </si>
  <si>
    <t>Ma Ruby S Carmona</t>
  </si>
  <si>
    <t>Jennifer C. Surilla</t>
  </si>
  <si>
    <t>CHARITO TACTAC YANGAT</t>
  </si>
  <si>
    <t>Evelyn T. Aquino</t>
  </si>
  <si>
    <t>Laarni Gomez Dizon</t>
  </si>
  <si>
    <t>Beverly Francisco Guinto</t>
  </si>
  <si>
    <t>Sharon Rose P. Portillo</t>
  </si>
  <si>
    <t>Ciscil B. Montemayor</t>
  </si>
  <si>
    <t>Myline A. Dilla</t>
  </si>
  <si>
    <t>ERNEL PRAVA MAYONGUE</t>
  </si>
  <si>
    <t>Janice L Sta. Cruz</t>
  </si>
  <si>
    <t>ROGELIO PAGAS LAQUINTA</t>
  </si>
  <si>
    <t>Marissa I Rivera</t>
  </si>
  <si>
    <t>Andrew Ian Bulda Dormitorio</t>
  </si>
  <si>
    <t>Michelle S Almojuela</t>
  </si>
  <si>
    <t>Judeth M. Madelo</t>
  </si>
  <si>
    <t>George Vincent O Macrohon</t>
  </si>
  <si>
    <t>Jorge Montalbo Garcia</t>
  </si>
  <si>
    <t>Myrna Inguito Clemen</t>
  </si>
  <si>
    <t>Jocelyn P Flores</t>
  </si>
  <si>
    <t>Danny Clamor Flores</t>
  </si>
  <si>
    <t>Mary Jane B Contapay</t>
  </si>
  <si>
    <t>NOEL RYAN H. UY</t>
  </si>
  <si>
    <t>Bernadette Manggol Sapungan</t>
  </si>
  <si>
    <t>Janice Benlot Aglanao</t>
  </si>
  <si>
    <t>Merlin Paala</t>
  </si>
  <si>
    <t>Bebcyl G Perez</t>
  </si>
  <si>
    <t>Carl Melvin Tillano Galin</t>
  </si>
  <si>
    <t>Joan V. Cortero</t>
  </si>
  <si>
    <t>Tess b. Cruzado</t>
  </si>
  <si>
    <t>ATTY. EDGARDO J. GIL</t>
  </si>
  <si>
    <t>Dolores Carig Tendero</t>
  </si>
  <si>
    <t>BERNARDITHA BOLINA MILLETE</t>
  </si>
  <si>
    <t>Jelyn Futol Sta Ana</t>
  </si>
  <si>
    <t>Emilson U. Jimenez</t>
  </si>
  <si>
    <t>Theo Marc Ogalino Paculan</t>
  </si>
  <si>
    <t>Teotimo delos Santos de Leon</t>
  </si>
  <si>
    <t>Roxanne O. Valenzuela</t>
  </si>
  <si>
    <t>Kristopher Jeff Arrocena</t>
  </si>
  <si>
    <t>Aida L Cerudo</t>
  </si>
  <si>
    <t>Jubet N. Gnilo</t>
  </si>
  <si>
    <t>Maximo G. Lomosbog</t>
  </si>
  <si>
    <t>Jennita V Garcia</t>
  </si>
  <si>
    <t>Alejandro Yulo Mirasol</t>
  </si>
  <si>
    <t>Mary Rose Capanzana Occidental</t>
  </si>
  <si>
    <t>Cherrylyn Estinar Malagday</t>
  </si>
  <si>
    <t>Domingo A. Villamonte</t>
  </si>
  <si>
    <t>Liezel R Sanico</t>
  </si>
  <si>
    <t>Christelyn A. Aguro</t>
  </si>
  <si>
    <t>Marina P. Cayabo</t>
  </si>
  <si>
    <t>MA. NITA DIZOR GEROY</t>
  </si>
  <si>
    <t>Danilyn Ansoc Dedeles</t>
  </si>
  <si>
    <t>Aaron John Reyes Liwag (2nd Account)</t>
  </si>
  <si>
    <t>Armando Guinar Simbano</t>
  </si>
  <si>
    <t>Alan Diarota Ellera</t>
  </si>
  <si>
    <t>VIRGILIO SARABIA FEDELICIO</t>
  </si>
  <si>
    <t>FELIZARDO E. OMONGOS    SR.</t>
  </si>
  <si>
    <t>MA. ANTONIA GATIL RAFALES</t>
  </si>
  <si>
    <t>Jealenie M. Mogol</t>
  </si>
  <si>
    <t>BELEN BANDADA PARAÑAQUE</t>
  </si>
  <si>
    <t>MICHELLE ANN NAVARRO MCARAIG</t>
  </si>
  <si>
    <t>Benjie Burato Nierre</t>
  </si>
  <si>
    <t>Trexy Damasco Alvendo</t>
  </si>
  <si>
    <t>Gene Eslava De Guzman</t>
  </si>
  <si>
    <t>Jhon Michael Tamayosa Estrada</t>
  </si>
  <si>
    <t>Gloria Superable Papa</t>
  </si>
  <si>
    <t>NORIEL DEL CARMEN SEVILLE</t>
  </si>
  <si>
    <t>Michelle A. Bolando</t>
  </si>
  <si>
    <t>Ferdinand B Caberoy</t>
  </si>
  <si>
    <t>Dante Brutas Baclao</t>
  </si>
  <si>
    <t>Celia M Perez</t>
  </si>
  <si>
    <t>Kerry Jaziel Valenzuela</t>
  </si>
  <si>
    <t>FELIPE C BETINOL</t>
  </si>
  <si>
    <t>LEYTE PROVINCIAL BAC</t>
  </si>
  <si>
    <t>Charry Arias Flores</t>
  </si>
  <si>
    <t>Verna Y. Rosario</t>
  </si>
  <si>
    <t>RICHELIZA JEAN C. CORDERO</t>
  </si>
  <si>
    <t>JONATHAN JOSE CERENO CALDERON</t>
  </si>
  <si>
    <t>Edralin B. Baingan</t>
  </si>
  <si>
    <t>Rose Peraan Moncada</t>
  </si>
  <si>
    <t>Verisima Sarigumba Calipusan</t>
  </si>
  <si>
    <t>Darius Brod Delalamon Pelismino</t>
  </si>
  <si>
    <t>Ian Luis C Aguila</t>
  </si>
  <si>
    <t>Marilou A. Gecosala</t>
  </si>
  <si>
    <t>NESTOR OTINGUEY DALAY-ON</t>
  </si>
  <si>
    <t>DORIS JOY C. GARCIA</t>
  </si>
  <si>
    <t>Aldrin Cristoffer Palen Noble</t>
  </si>
  <si>
    <t>Mateo A. Lee, Jr.</t>
  </si>
  <si>
    <t>MA. EDIN OBONA ABAN</t>
  </si>
  <si>
    <t>Maricel Iglesia Panistante</t>
  </si>
  <si>
    <t>RUEL ESTEPA BAUTISTA</t>
  </si>
  <si>
    <t>Fernando Espino David</t>
  </si>
  <si>
    <t>Ma Luz Buenaagua Francisco</t>
  </si>
  <si>
    <t>Prospero Solidum Tolosa</t>
  </si>
  <si>
    <t>Eustila Furog Evangelista</t>
  </si>
  <si>
    <t>Rowena A. Bañaga</t>
  </si>
  <si>
    <t>LORETO GALVEZ NICOLAS</t>
  </si>
  <si>
    <t>Ruby S Cortez</t>
  </si>
  <si>
    <t>ZEA DAYANARA S LAVAREZ</t>
  </si>
  <si>
    <t>EMILIANA D. RUSTIA</t>
  </si>
  <si>
    <t>Roxan Joy Hachero Caparro</t>
  </si>
  <si>
    <t>Dane C Dizon</t>
  </si>
  <si>
    <t>Janice Gumawa Narciso</t>
  </si>
  <si>
    <t>Jocelyn  Gargar Caballero</t>
  </si>
  <si>
    <t>Rainero Elmer Dingal Gerzon</t>
  </si>
  <si>
    <t>Joar Atutubo Soriano</t>
  </si>
  <si>
    <t>Dexter C. Lingbanan</t>
  </si>
  <si>
    <t>Eleuterio L Blasco</t>
  </si>
  <si>
    <t>Michael Imperial Fabros</t>
  </si>
  <si>
    <t>Rodolfo Bitaga Gaboten</t>
  </si>
  <si>
    <t>Gegie Abarro Garcia</t>
  </si>
  <si>
    <t>ENGR. NORMAN DIMATATAC</t>
  </si>
  <si>
    <t>Rodel Carmelo Mabination</t>
  </si>
  <si>
    <t>Glenn Centino Quinto</t>
  </si>
  <si>
    <t>Rodita P Aban</t>
  </si>
  <si>
    <t>Alexander G. Taguiam</t>
  </si>
  <si>
    <t>Noli D. Padagdag</t>
  </si>
  <si>
    <t>Remegio Lao Saniel</t>
  </si>
  <si>
    <t>Julius Caesar Matadling Badilla</t>
  </si>
  <si>
    <t>June Evita Cabansag Cesar</t>
  </si>
  <si>
    <t>ANA MARIA M. MADAYAG</t>
  </si>
  <si>
    <t>Catherine Marissa Puerto Lucero</t>
  </si>
  <si>
    <t>Marivic Ramos Baybay</t>
  </si>
  <si>
    <t>STEVE NICHOLS S. DIONALDO</t>
  </si>
  <si>
    <t>Asnawi Ramos Dalidig</t>
  </si>
  <si>
    <t>Arnold Alba Perez</t>
  </si>
  <si>
    <t>BAC ILOCOS SUR</t>
  </si>
  <si>
    <t>Janet A. Pumalo</t>
  </si>
  <si>
    <t>CICERO DY CLARO</t>
  </si>
  <si>
    <t>Rommel Pacaoncis Masongsong</t>
  </si>
  <si>
    <t>Aldy B Novo</t>
  </si>
  <si>
    <t>Teresita Aquino Pabalan</t>
  </si>
  <si>
    <t>Joseph Raphael De Guzman Francisco</t>
  </si>
  <si>
    <t>Mercedita Delantar Villarubia</t>
  </si>
  <si>
    <t>JOSEPHINE BARABAR  MORAN</t>
  </si>
  <si>
    <t>EDUARDO JUAN FORONDA</t>
  </si>
  <si>
    <t>Aniano III Bisnar Bacor</t>
  </si>
  <si>
    <t>Danilo Bron Alamil</t>
  </si>
  <si>
    <t>Arvin R. Borromeo</t>
  </si>
  <si>
    <t>Dandy T Solas</t>
  </si>
  <si>
    <t>HAZEL GRACE PELLAZO YUTA</t>
  </si>
  <si>
    <t>Melanie Alabat Jalover</t>
  </si>
  <si>
    <t>Laurence Dumpit Ancheta</t>
  </si>
  <si>
    <t>Eva D. Bañares</t>
  </si>
  <si>
    <t>Felicisimo Villarico Wenceslao Jr.</t>
  </si>
  <si>
    <t>Prescylin C Lademora</t>
  </si>
  <si>
    <t>HERBERT WILLIAM L. EMNAS</t>
  </si>
  <si>
    <t>Josephine C Tamayo</t>
  </si>
  <si>
    <t>JAKE CYRIL N. SOLITE</t>
  </si>
  <si>
    <t>ANNA LHE BOLIVAR TULIO</t>
  </si>
  <si>
    <t>ANNE MARGARETT A. BORNASAL</t>
  </si>
  <si>
    <t>Joel D. Friginal</t>
  </si>
  <si>
    <t>Myra B. Eramis</t>
  </si>
  <si>
    <t>Mary Eunice  Parocha  Caimoy</t>
  </si>
  <si>
    <t>Floresa Pizarro Suarez</t>
  </si>
  <si>
    <t>Arlyn L Subillaga</t>
  </si>
  <si>
    <t>Engr. Nashra Dalandangan Misquinan</t>
  </si>
  <si>
    <t>Donald Glenn M Lanzado</t>
  </si>
  <si>
    <t>Minrad Quinto Tigno</t>
  </si>
  <si>
    <t>Cristina Rico Tabunda</t>
  </si>
  <si>
    <t>ROCHELLE LAMADORA GENORING</t>
  </si>
  <si>
    <t>Leopoldo  C Sanchez Jr.</t>
  </si>
  <si>
    <t>MA LOURDES BUNOTAN DANGGA</t>
  </si>
  <si>
    <t>Joseph S. Claveria</t>
  </si>
  <si>
    <t>Virginia Jacob Cañaveras</t>
  </si>
  <si>
    <t>Robert Tuscano</t>
  </si>
  <si>
    <t>RUEL B. CUBERO</t>
  </si>
  <si>
    <t>Nolita Laberinto Acero</t>
  </si>
  <si>
    <t>Alvin P. Justo</t>
  </si>
  <si>
    <t>RENATO RUBEN CASIANO BRAGADO</t>
  </si>
  <si>
    <t>Rizaldy Colon Mercadal</t>
  </si>
  <si>
    <t>Rysza Rhielle R. Reyes</t>
  </si>
  <si>
    <t>Felibert  Ramos Salvador</t>
  </si>
  <si>
    <t>Mary Ann Jacaba Hambre</t>
  </si>
  <si>
    <t>Franco Matias Legaspi Serafin</t>
  </si>
  <si>
    <t>Lilioso Morgia Nunag</t>
  </si>
  <si>
    <t>Maricel R. Enrique</t>
  </si>
  <si>
    <t>Maria Morena Santos</t>
  </si>
  <si>
    <t>Cristina A. Valenzuela</t>
  </si>
  <si>
    <t>Gil Banal Salen</t>
  </si>
  <si>
    <t>Arnel Chavez Salazar</t>
  </si>
  <si>
    <t>Diosdado R Quindoza</t>
  </si>
  <si>
    <t>Jean Mae Baltero</t>
  </si>
  <si>
    <t>NORALYN BINUNCAL BELLO</t>
  </si>
  <si>
    <t>Celeste Ann Laure Capilla</t>
  </si>
  <si>
    <t>Isabelito Francia Aguda</t>
  </si>
  <si>
    <t>ZENITH ALINDOG AVILA</t>
  </si>
  <si>
    <t>Fedencio Pateres Carreon</t>
  </si>
  <si>
    <t>Dennis G Varon</t>
  </si>
  <si>
    <t>ADRIAN CORDITA COSTUYA</t>
  </si>
  <si>
    <t>Lea E Barcebal</t>
  </si>
  <si>
    <t>DANILO B DALISAY</t>
  </si>
  <si>
    <t>Victor O Nuico</t>
  </si>
  <si>
    <t>DEANO CHRISTIAN BEJO ECHAGUE</t>
  </si>
  <si>
    <t>Kim M. Moral</t>
  </si>
  <si>
    <t>Eric DM. Magpantay</t>
  </si>
  <si>
    <t>Danilo Rutaquio Almacen</t>
  </si>
  <si>
    <t>Rowena De la Vida Prado</t>
  </si>
  <si>
    <t>Rainer Mansion Padilla</t>
  </si>
  <si>
    <t>Alex P. Pana</t>
  </si>
  <si>
    <t>Edwin Agdon Raymundo</t>
  </si>
  <si>
    <t>james pregua afliccion</t>
  </si>
  <si>
    <t>Nestor M Canda</t>
  </si>
  <si>
    <t>ALEXANDER VENTERO PIDOR</t>
  </si>
  <si>
    <t>Maricon Alpitche Butcon</t>
  </si>
  <si>
    <t>Marino Merano Silagan Jr.</t>
  </si>
  <si>
    <t>Alexander M. Almario</t>
  </si>
  <si>
    <t>Ma. Gemma Lasala</t>
  </si>
  <si>
    <t>Chamberlain J. Babiera</t>
  </si>
  <si>
    <t>Veronica  Ponce  Paradiang</t>
  </si>
  <si>
    <t>Lagundrina R. Mendoza</t>
  </si>
  <si>
    <t>Marito V. Catorce</t>
  </si>
  <si>
    <t>mary jane malabanan</t>
  </si>
  <si>
    <t>FRANCISCO I. CORPUZ, JR.</t>
  </si>
  <si>
    <t>Marites Pascual</t>
  </si>
  <si>
    <t>LANY AGANAN BURDEOS</t>
  </si>
  <si>
    <t>Precila Gutierrez</t>
  </si>
  <si>
    <t>RIZALDY L. MENDOZA</t>
  </si>
  <si>
    <t>Jerome Bardoquillo Ramirez</t>
  </si>
  <si>
    <t>Jocelyn Talanay Pantaleon</t>
  </si>
  <si>
    <t>Zenny Ricka Ramos</t>
  </si>
  <si>
    <t>Karol Kay T Amacio</t>
  </si>
  <si>
    <t>Paul Michael M Cuadra</t>
  </si>
  <si>
    <t>Myla Dela Cruz Gepitan</t>
  </si>
  <si>
    <t>Jessie P. dela Rosa</t>
  </si>
  <si>
    <t>Leonilo Lota Laborte</t>
  </si>
  <si>
    <t>FRANCIS  VILLAGOMEZ PEREZ</t>
  </si>
  <si>
    <t>Alfonso R Zara III</t>
  </si>
  <si>
    <t>Hayria Gonsang Panalindang</t>
  </si>
  <si>
    <t>Mark Lester Buñag Aducon</t>
  </si>
  <si>
    <t>JAMES EMMANUEL ARAULA CARLOTA</t>
  </si>
  <si>
    <t>Asther Jean Perfecio Saril</t>
  </si>
  <si>
    <t>Helen Antiporda Sumague</t>
  </si>
  <si>
    <t>Maria Fe Able Ballescas</t>
  </si>
  <si>
    <t>Raul Tampus Lumbatan</t>
  </si>
  <si>
    <t>DELFIN DELA CRUZ CARLOS</t>
  </si>
  <si>
    <t>Enrique Bondoc Gonzales</t>
  </si>
  <si>
    <t>Ryan Anthony Agay Olalia</t>
  </si>
  <si>
    <t>REBECCA CALUAG LOPEZ</t>
  </si>
  <si>
    <t>Rosanna P. Lucero</t>
  </si>
  <si>
    <t>Gaudiosa Arevalo Mandeoya</t>
  </si>
  <si>
    <t>JOVITO JR. V. ALMONTE</t>
  </si>
  <si>
    <t>EULOGIO CABERTE AGAD</t>
  </si>
  <si>
    <t>Bernard Sepe Magbanua</t>
  </si>
  <si>
    <t>FEDERICO C. HULLANA, JR.</t>
  </si>
  <si>
    <t>DR. LIANE DOGOLDOGOL DEFIÑO</t>
  </si>
  <si>
    <t>Carolina Castillo Moraleda</t>
  </si>
  <si>
    <t>Irene G. Frani</t>
  </si>
  <si>
    <t>Mary Grace Liwag Capisonda</t>
  </si>
  <si>
    <t>ALEX A. MERLIN</t>
  </si>
  <si>
    <t>Georgie  Lamparas Ruelan</t>
  </si>
  <si>
    <t>Cecilia O. Delos Reyes</t>
  </si>
  <si>
    <t>MELLY S. MALUNES</t>
  </si>
  <si>
    <t>Fernando De Guzman Cruz</t>
  </si>
  <si>
    <t>Precious D Yco</t>
  </si>
  <si>
    <t>Nome R. Ricalde</t>
  </si>
  <si>
    <t>Novemer Tacang Tabasa</t>
  </si>
  <si>
    <t>Jennyfer Villarias Parame</t>
  </si>
  <si>
    <t>Carmencito Omondang Pelaez</t>
  </si>
  <si>
    <t>Jovina Corrales Orias</t>
  </si>
  <si>
    <t>Roland Jason  Montejo</t>
  </si>
  <si>
    <t>Romeo Jr. S Yacan</t>
  </si>
  <si>
    <t>Gracianito Lara Lucero</t>
  </si>
  <si>
    <t>MAXIMINO LANZADERAS ROMERO JR</t>
  </si>
  <si>
    <t>Nida Tordesillas Tuason</t>
  </si>
  <si>
    <t>Ana Liza Calma Zablan</t>
  </si>
  <si>
    <t>Antoinette F. Fernandez</t>
  </si>
  <si>
    <t>Ruben Denoso Raandaan</t>
  </si>
  <si>
    <t>Ronald Nacario Villanueva</t>
  </si>
  <si>
    <t>Anna Mae B. Elemia</t>
  </si>
  <si>
    <t>Jed F. Fajarit</t>
  </si>
  <si>
    <t>Tony B. Evangelista Jr.</t>
  </si>
  <si>
    <t>Virginia D. Balderas</t>
  </si>
  <si>
    <t>Edna Egina Mazon</t>
  </si>
  <si>
    <t>ELENITA LERIT</t>
  </si>
  <si>
    <t>Rosemarie P. Palma</t>
  </si>
  <si>
    <t>EDEL MELGAR DONDONILLA</t>
  </si>
  <si>
    <t>Jeffrey Ross Mendoza Navarro</t>
  </si>
  <si>
    <t>Ermintrude Diaz Gonzales</t>
  </si>
  <si>
    <t>Ricardo C. Castillo</t>
  </si>
  <si>
    <t>LORENCE GARCIA SANCHEZ</t>
  </si>
  <si>
    <t>elsie C Agustin</t>
  </si>
  <si>
    <t>LOUIE C. FERNANDEZ</t>
  </si>
  <si>
    <t>Mary Ann J Chavez</t>
  </si>
  <si>
    <t>Edna C. Padayao</t>
  </si>
  <si>
    <t>Michael Angelo San Pedro BAC Secretariat</t>
  </si>
  <si>
    <t>Rubygene E. Jauculan</t>
  </si>
  <si>
    <t>Ferdinand G. Razonable</t>
  </si>
  <si>
    <t>BAC SECRETARIAT STAFF</t>
  </si>
  <si>
    <t>Wennie S. Angit</t>
  </si>
  <si>
    <t>PHILLIP C. ADVIENTO</t>
  </si>
  <si>
    <t>Teresa P. Silvestre</t>
  </si>
  <si>
    <t>Rryam Ansing Jaralve</t>
  </si>
  <si>
    <t>Elaine Villanueva Del Mundo</t>
  </si>
  <si>
    <t>Glen Mary Fiecas Sim</t>
  </si>
  <si>
    <t>Esterlina I. Gamez</t>
  </si>
  <si>
    <t>Peter  S.  Sobrevega</t>
  </si>
  <si>
    <t>RAIMUNDA MATUOD LUMANTAS</t>
  </si>
  <si>
    <t>MARY FAMILLE PORTILLO IPAW</t>
  </si>
  <si>
    <t>EVA MADRIÑAN</t>
  </si>
  <si>
    <t>JAMES BENEDICT E. BAGSIC</t>
  </si>
  <si>
    <t>JOEL A. ELUMBA</t>
  </si>
  <si>
    <t>Rolando V. Miguel</t>
  </si>
  <si>
    <t>Genalyn T Vallejera</t>
  </si>
  <si>
    <t>Jovito Bron Coderis, Jr.</t>
  </si>
  <si>
    <t>IMELDA  C.  DELLORO</t>
  </si>
  <si>
    <t>Rolando Veronilla Pe</t>
  </si>
  <si>
    <t>NOVER M. BATE</t>
  </si>
  <si>
    <t>JESUS S. BOJA</t>
  </si>
  <si>
    <t>Marilyn Espeja Dolendo</t>
  </si>
  <si>
    <t>Vincent Murillo Caang</t>
  </si>
  <si>
    <t>Leovina mamplata Macunat</t>
  </si>
  <si>
    <t>Aaron John Reyes Liwag</t>
  </si>
  <si>
    <t>Montano R. Saborrido</t>
  </si>
  <si>
    <t>MICHELLE ASIS VICENIO</t>
  </si>
  <si>
    <t>Veronica Manzano Rodriguez</t>
  </si>
  <si>
    <t>JULIE Q. ECONAR</t>
  </si>
  <si>
    <t>Karla A. Gencianos</t>
  </si>
  <si>
    <t>MARIO B GARCIA</t>
  </si>
  <si>
    <t>Geovanni Alfon Hera</t>
  </si>
  <si>
    <t>Rene Mantiquilla FORMACION</t>
  </si>
  <si>
    <t>Aimee Antonio Jimeno</t>
  </si>
  <si>
    <t>Renzjay Antonio Linsangan</t>
  </si>
  <si>
    <t>JOSE , JR. PANUELOS TIAPON</t>
  </si>
  <si>
    <t>Delna Saturnino</t>
  </si>
  <si>
    <t>Arturo I Gumban</t>
  </si>
  <si>
    <t>CHRISTINE PROPONGO CASTOR</t>
  </si>
  <si>
    <t>Felvan Aldrex Rocas Aguila</t>
  </si>
  <si>
    <t>Aylene S. Belleza</t>
  </si>
  <si>
    <t>Randy L Lubis</t>
  </si>
  <si>
    <t>ERNESTO KIM BALANI TORREFRANCA</t>
  </si>
  <si>
    <t>Aries Cañas Balboa</t>
  </si>
  <si>
    <t>Albert L. Pinto</t>
  </si>
  <si>
    <t>JUAN PAULO L INZON</t>
  </si>
  <si>
    <t>Marie Nadeen R. Martinez</t>
  </si>
  <si>
    <t xml:space="preserve">Lee  Anthony Arriesgado </t>
  </si>
  <si>
    <t>RAY PAROJINOG VIRTUDEZ</t>
  </si>
  <si>
    <t>RANNIER JOHN C. FAJARDO</t>
  </si>
  <si>
    <t>Simplicio Paracale</t>
  </si>
  <si>
    <t>Kristel Capundan Rosello</t>
  </si>
  <si>
    <t>Winibeth Rocamora Bonachita</t>
  </si>
  <si>
    <t>Ma. Wiena Lofranco Saguid</t>
  </si>
  <si>
    <t>Edelina Baruso Espejo</t>
  </si>
  <si>
    <t>PAMELA AMOR ACTUB RAMOS</t>
  </si>
  <si>
    <t>MERIAM GALLO RAMOS</t>
  </si>
  <si>
    <t>Cynthia Eleonor Guno Manalo</t>
  </si>
  <si>
    <t>LIZA SANGUENZA VILLAMOR</t>
  </si>
  <si>
    <t>Adelia Gonzales</t>
  </si>
  <si>
    <t>SANDRA TORAYNO UDANG</t>
  </si>
  <si>
    <t>Glyzl  A.  Tolentino</t>
  </si>
  <si>
    <t>ELAINE ADELANTE DURAN</t>
  </si>
  <si>
    <t>MA. ESTRELLA MALAZA DAWAL</t>
  </si>
  <si>
    <t>PERPETUA MACABABBAD ONATE</t>
  </si>
  <si>
    <t>JAYCIBETH TUNAC RAMIREZ</t>
  </si>
  <si>
    <t>FERDINAND YU RICABLANCA</t>
  </si>
  <si>
    <t>MARIA CRISTIE VARGAS BALMADRID</t>
  </si>
  <si>
    <t>Heracleo Belen</t>
  </si>
  <si>
    <t>Rosalie Plaza Espinoza</t>
  </si>
  <si>
    <t>Sanny Yntong Dandoy</t>
  </si>
  <si>
    <t>Resette Hernandez Razon</t>
  </si>
  <si>
    <t>Marito M Sinadjan</t>
  </si>
  <si>
    <t>Mark Anthony Parcon Peñafiel</t>
  </si>
  <si>
    <t>Aaron Pama Raymundo</t>
  </si>
  <si>
    <t>Milagros A Agustin</t>
  </si>
  <si>
    <t>JOSE VICENTE RAYMUNDO MONTALLANA OPINION</t>
  </si>
  <si>
    <t>Jan Michael Clifford Bugtong</t>
  </si>
  <si>
    <t>JERRY R CENTRO</t>
  </si>
  <si>
    <t>KARLA MEI BASQUEZ TAGUBA</t>
  </si>
  <si>
    <t>Nikkolo Marco Aurelio V. Cortes</t>
  </si>
  <si>
    <t>Rachelle De Guzman Agpoon</t>
  </si>
  <si>
    <t>Ciriaco L Montano</t>
  </si>
  <si>
    <t>Angel Jr. Yatar Perocho</t>
  </si>
  <si>
    <t>Noelle Grace Bandonill Rillon</t>
  </si>
  <si>
    <t>EVELYN COLUMBRES MALIGAD</t>
  </si>
  <si>
    <t>Raquel Manlimos Cero</t>
  </si>
  <si>
    <t>Neil Macaraeg</t>
  </si>
  <si>
    <t>Alejo Jr. M Nunez</t>
  </si>
  <si>
    <t>ENGR. EDUARDO SALVADOR MANGOBA JR.</t>
  </si>
  <si>
    <t>Jennifer Ducusin Flores</t>
  </si>
  <si>
    <t>Josephine Villas Pontillas</t>
  </si>
  <si>
    <t>HELEN IGUANA EDULLANTES</t>
  </si>
  <si>
    <t>Noel Aguillon Salvan</t>
  </si>
  <si>
    <t>VIOLA  P.  MONTILLA</t>
  </si>
  <si>
    <t>Lemuel Bagalayos Mañibo</t>
  </si>
  <si>
    <t>Ely Garcillano Ramos</t>
  </si>
  <si>
    <t>Kris Kringle Tamayo Lopez</t>
  </si>
  <si>
    <t>Rogel M De la Cuesta</t>
  </si>
  <si>
    <t>Jim Benzon R. Talavera</t>
  </si>
  <si>
    <t>Lelia Samillano</t>
  </si>
  <si>
    <t>Beato Bandoquillo Balderrama</t>
  </si>
  <si>
    <t>Necerio Lazarte</t>
  </si>
  <si>
    <t>Jomer Pangilinan Manalili</t>
  </si>
  <si>
    <t>Irene Sotomango</t>
  </si>
  <si>
    <t>Marites A. Bermal</t>
  </si>
  <si>
    <t>ADELAIDA M. DELA ROSA</t>
  </si>
  <si>
    <t>Lilibeth G. Santiago</t>
  </si>
  <si>
    <t>JOHN CHRISTIAN MANAGAD SIOCO</t>
  </si>
  <si>
    <t>Jume Therese P. Balandra</t>
  </si>
  <si>
    <t>Vanessa Tornito Alcuizar</t>
  </si>
  <si>
    <t>ERVIN PAGE SALANG</t>
  </si>
  <si>
    <t>WENA CLAVITE TINIO</t>
  </si>
  <si>
    <t>Phibely Pudico Nisperos</t>
  </si>
  <si>
    <t>Christopher D. Badayos</t>
  </si>
  <si>
    <t>Caroline P Bautista</t>
  </si>
  <si>
    <t>Teresita Morata De Sena</t>
  </si>
  <si>
    <t>Rochelle Anne Reforzado Balagonsa</t>
  </si>
  <si>
    <t>Rosemary Terez Gepte</t>
  </si>
  <si>
    <t>Kristine Meneses Torres</t>
  </si>
  <si>
    <t>MICHELLE PACAYRA DIAZ</t>
  </si>
  <si>
    <t>Cecille  Agpalo</t>
  </si>
  <si>
    <t>Chandler Jave Borres Chiong</t>
  </si>
  <si>
    <t>Steve Leo Mangyan</t>
  </si>
  <si>
    <t>Ronald Pilo</t>
  </si>
  <si>
    <t>VOLTAIRE S EGNORA, MD.</t>
  </si>
  <si>
    <t>Brendhel P. Awa-ao</t>
  </si>
  <si>
    <t>Edzrael L. Mohammad</t>
  </si>
  <si>
    <t>Michael M Bacarisas</t>
  </si>
  <si>
    <t>Maricel Cuden Cosme</t>
  </si>
  <si>
    <t>Yolanda Cabana Estampa</t>
  </si>
  <si>
    <t>Ignacio, Jr. G Gelacio</t>
  </si>
  <si>
    <t>Mirasol Hortelano Suan</t>
  </si>
  <si>
    <t>Eliza Alvarez Quiambao</t>
  </si>
  <si>
    <t>Fernando Espinoza Lopez</t>
  </si>
  <si>
    <t>SSUPT LEONIDA G ROSALES</t>
  </si>
  <si>
    <t>Marvin Santos</t>
  </si>
  <si>
    <t>Dr. Peter S. Sobrevega</t>
  </si>
  <si>
    <t>Rhyla Bibas Supnet</t>
  </si>
  <si>
    <t>Marina Ingoy Balicoco</t>
  </si>
  <si>
    <t>RICARDO BINENE FERNANDEZ</t>
  </si>
  <si>
    <t>Michelle M Marcos</t>
  </si>
  <si>
    <t>Ma. Emidith Vivian Cabsaba Joseph</t>
  </si>
  <si>
    <t>MELANIE GAMILDE GACUSAN</t>
  </si>
  <si>
    <t>Rodrhon Michael Espartero Melgar</t>
  </si>
  <si>
    <t>margie celemen africa</t>
  </si>
  <si>
    <t>Evangeline Ligot Madrid</t>
  </si>
  <si>
    <t>LYNDON DICHOSO TORRES</t>
  </si>
  <si>
    <t>ROSA PASILIAO UNTALAN</t>
  </si>
  <si>
    <t>Rosario Fernandez Bautista</t>
  </si>
  <si>
    <t>Lito Amoguis Estoria</t>
  </si>
  <si>
    <t>Vina Liza Ruth Cabrera</t>
  </si>
  <si>
    <t>Lenybelle Ceriola Santos</t>
  </si>
  <si>
    <t>MICHELLE ZAMAR LIM</t>
  </si>
  <si>
    <t>JAIME OLANOLAN CABANADA</t>
  </si>
  <si>
    <t>Erwin Galamiton Ludevese</t>
  </si>
  <si>
    <t>CRISTINA DUNGCA</t>
  </si>
  <si>
    <t>Raquel Gonzales De Jesus</t>
  </si>
  <si>
    <t>LAMLI DAGUNDOL DULUNAN</t>
  </si>
  <si>
    <t>Florinda Z Babilonia</t>
  </si>
  <si>
    <t>Nalyn Saragena Lumabao</t>
  </si>
  <si>
    <t>AURORA BATES RESUERA</t>
  </si>
  <si>
    <t>Joseph Aldrin De Silva Magtanong</t>
  </si>
  <si>
    <t>Diomedes P Bungay</t>
  </si>
  <si>
    <t>Farhan M Ambiong</t>
  </si>
  <si>
    <t>Honrado Solis Solis</t>
  </si>
  <si>
    <t>Cynthia De Chavez Perez</t>
  </si>
  <si>
    <t>Ariel E Fangonilo</t>
  </si>
  <si>
    <t>Jovelyn Tindan Siñel</t>
  </si>
  <si>
    <t>LETECIA SUPERAL SATAIRAPAN</t>
  </si>
  <si>
    <t>Glenn Infante Lansangan</t>
  </si>
  <si>
    <t>Apollo Gamboa Gariando</t>
  </si>
  <si>
    <t>CENON ARPIA PORTUGAL</t>
  </si>
  <si>
    <t>REMELITO B ESTROLOGO</t>
  </si>
  <si>
    <t>Maredith H. Julve</t>
  </si>
  <si>
    <t>Toni Marc L Dargantes</t>
  </si>
  <si>
    <t>JANET ARELLANO MONTEVERDE</t>
  </si>
  <si>
    <t>Celeste Ala Berba</t>
  </si>
  <si>
    <t>Christian Garganza Ortega</t>
  </si>
  <si>
    <t>Magna Ramos Macalma</t>
  </si>
  <si>
    <t>ARCELIE YAMUNGAN FELIPE</t>
  </si>
  <si>
    <t>Ferdinand Fadriquelan Falceso</t>
  </si>
  <si>
    <t>Arturo Magallon Palencia</t>
  </si>
  <si>
    <t>Hope Jaravata Relayson</t>
  </si>
  <si>
    <t>Rebecca Enierga Valenzuela</t>
  </si>
  <si>
    <t>Romeo L Estember</t>
  </si>
  <si>
    <t>Bernadette Llacer Belleza</t>
  </si>
  <si>
    <t>Editha V. Aguinaldo, MPA</t>
  </si>
  <si>
    <t>ADELYNE COSTELO ABREA</t>
  </si>
  <si>
    <t>Roland Cuenca Grijalvo</t>
  </si>
  <si>
    <t>Lea Ann M. Gamban</t>
  </si>
  <si>
    <t>JUANITO C. VALONES</t>
  </si>
  <si>
    <t>Ana Suzette Limguis Moreño</t>
  </si>
  <si>
    <t>Antonio Lucero Cañada</t>
  </si>
  <si>
    <t>Norman S. Bautista</t>
  </si>
  <si>
    <t>DON PATRICK TIONGSON SALAMAT</t>
  </si>
  <si>
    <t>RONELYN BALOLONG BALASE</t>
  </si>
  <si>
    <t>Arvin S De Guzman</t>
  </si>
  <si>
    <t>Dexter Ramis Sarcon</t>
  </si>
  <si>
    <t>ATTY. CHRISTY JOY S SOLLESTA</t>
  </si>
  <si>
    <t>Christie Magdalene J Pedroza</t>
  </si>
  <si>
    <t>Editha P. Conejos</t>
  </si>
  <si>
    <t>Imelda D. Calinao</t>
  </si>
  <si>
    <t>Lorenzo B Gahoy</t>
  </si>
  <si>
    <t>Fe Bernabe</t>
  </si>
  <si>
    <t>Rodelio Aspa Bonto</t>
  </si>
  <si>
    <t>Larina Esquibel Lopez</t>
  </si>
  <si>
    <t>Engr. DOMINADOR DOMINGO DIZON</t>
  </si>
  <si>
    <t>Juvy  Fugnit  Paulican</t>
  </si>
  <si>
    <t>Montano J. Alob</t>
  </si>
  <si>
    <t>Princess Samillano</t>
  </si>
  <si>
    <t>KAREEN A. ORDOÑA</t>
  </si>
  <si>
    <t>Lucia Iraida A Soneja</t>
  </si>
  <si>
    <t>Clark Benzon Lobo Casuco</t>
  </si>
  <si>
    <t>Jerona M. Silagan</t>
  </si>
  <si>
    <t>Rustico B Badilla</t>
  </si>
  <si>
    <t>Jonathan Ramos Viernes</t>
  </si>
  <si>
    <t>Glenn A. Lamag</t>
  </si>
  <si>
    <t>ERLINDA DOMINGUEZ LANTIN</t>
  </si>
  <si>
    <t>Shiela Cueto Zulueta</t>
  </si>
  <si>
    <t>Cherry Rose Castillo Reyes</t>
  </si>
  <si>
    <t>Marivic Masbad Managbanag</t>
  </si>
  <si>
    <t>Joann Liezel Bongat</t>
  </si>
  <si>
    <t>MARY ANN ROMERO ANTONIO</t>
  </si>
  <si>
    <t>Hilario Yoshy Casem</t>
  </si>
  <si>
    <t>Nida Avisado Santiago</t>
  </si>
  <si>
    <t>CHRISTIAN CANO BENDECIO</t>
  </si>
  <si>
    <t>Emmanuel Ablang</t>
  </si>
  <si>
    <t>Mariano Bea Vargas</t>
  </si>
  <si>
    <t>Felix I. Ramos</t>
  </si>
  <si>
    <t>Pastor B. Maike</t>
  </si>
  <si>
    <t>Paul Palma Urbiztondo</t>
  </si>
  <si>
    <t>Danny Familaran Baladjay</t>
  </si>
  <si>
    <t>Irene Bea Faustino</t>
  </si>
  <si>
    <t>Aiza Montecer Engasa</t>
  </si>
  <si>
    <t>GLADYS GANITANO BAGOOD</t>
  </si>
  <si>
    <t>Cecilia coro navela</t>
  </si>
  <si>
    <t>SANTEE C ESPARES</t>
  </si>
  <si>
    <t>Gypsy Jennsen Arquio</t>
  </si>
  <si>
    <t>REGIE PATAGOC</t>
  </si>
  <si>
    <t>Joan DM Vendiola</t>
  </si>
  <si>
    <t>Mathew P. Opeña</t>
  </si>
  <si>
    <t>Jocelyn Laayon Mauting</t>
  </si>
  <si>
    <t>Christine D. Batallones</t>
  </si>
  <si>
    <t>Robert E Palencia</t>
  </si>
  <si>
    <t>Bienvenido Villaflores Aldaba Jr.</t>
  </si>
  <si>
    <t>Allan G. Farnazo</t>
  </si>
  <si>
    <t>Lourdes M. Ng</t>
  </si>
  <si>
    <t>Felton Xenox T. Inting</t>
  </si>
  <si>
    <t>Jessica Foronda Eriguel</t>
  </si>
  <si>
    <t xml:space="preserve">JEFFERSON  THOMPSON RODRIGUEZ </t>
  </si>
  <si>
    <t>GENELYN DYANCO POPA</t>
  </si>
  <si>
    <t>Lucil I Montermoso</t>
  </si>
  <si>
    <t>RENE (BOY) A. ANGELES</t>
  </si>
  <si>
    <t>PEPITO DICTAAN AMOYEN</t>
  </si>
  <si>
    <t>Filomena S Acidera</t>
  </si>
  <si>
    <t>ARNOLD VILLAREAL</t>
  </si>
  <si>
    <t>Rommel Ebuenga De Jesus</t>
  </si>
  <si>
    <t>MA. EILEEN A. BERDEPRADO</t>
  </si>
  <si>
    <t>LORETO LUCERO LORENZO</t>
  </si>
  <si>
    <t>Marissa Molina Austria</t>
  </si>
  <si>
    <t>Teofilo B. Ferolin, Sr.</t>
  </si>
  <si>
    <t>Angeline A Logatiman</t>
  </si>
  <si>
    <t>Jose Jacinto B Antonio</t>
  </si>
  <si>
    <t>Judy Caliguiran Bautista</t>
  </si>
  <si>
    <t>Corazon O. Julian</t>
  </si>
  <si>
    <t>Ronie S. Dela Calzada</t>
  </si>
  <si>
    <t>Marilou G Agustin</t>
  </si>
  <si>
    <t>Milagros M. Perez</t>
  </si>
  <si>
    <t>Liza R. Balagot</t>
  </si>
  <si>
    <t>Hernadith Hinolan Casas</t>
  </si>
  <si>
    <t>APRIL JOY L. VILLA</t>
  </si>
  <si>
    <t>FREDDIE MAGBATO ARETANO</t>
  </si>
  <si>
    <t>Erick Jeffen Orense Estrella</t>
  </si>
  <si>
    <t>MARIBEL MOLINA REGASPI</t>
  </si>
  <si>
    <t>Reynaldo Catubig Misa</t>
  </si>
  <si>
    <t>Nadine Beira</t>
  </si>
  <si>
    <t>Aileen L Bonghanoy</t>
  </si>
  <si>
    <t>Miguel Jr. D. Tolentino</t>
  </si>
  <si>
    <t>Ma. Charmaine Gloria</t>
  </si>
  <si>
    <t>Cyndel Dy Olaguera</t>
  </si>
  <si>
    <t>MERRY DAWN FRONDA HONORIO</t>
  </si>
  <si>
    <t>Josephine  B. Sabando</t>
  </si>
  <si>
    <t>Janelle Dela Cruz</t>
  </si>
  <si>
    <t>Ilyn S. Rio</t>
  </si>
  <si>
    <t>CHARLTON LIU UY</t>
  </si>
  <si>
    <t>Richard Malacad  Gelangre</t>
  </si>
  <si>
    <t>Reynaldo J Santiago</t>
  </si>
  <si>
    <t>Jennifer Mindanao Cruz</t>
  </si>
  <si>
    <t>Norjanna M. Camaguin</t>
  </si>
  <si>
    <t>Michael A. Piodena</t>
  </si>
  <si>
    <t>Teresita Morota Añonuevo</t>
  </si>
  <si>
    <t>Samuel Albino Fuertes</t>
  </si>
  <si>
    <t>Lara Mae Ando</t>
  </si>
  <si>
    <t>Franklin Aquino Salcedo</t>
  </si>
  <si>
    <t>AMORLITO CABIL LAVIÑA</t>
  </si>
  <si>
    <t>Pedro F De Guzman</t>
  </si>
  <si>
    <t>DOWIE JOY RODIS</t>
  </si>
  <si>
    <t>Marivic Torres Pagala</t>
  </si>
  <si>
    <t>Melanie R Interino</t>
  </si>
  <si>
    <t>Ray Retarino Ruiz</t>
  </si>
  <si>
    <t>Doris Grimaldo Labog</t>
  </si>
  <si>
    <t>Noriel G. Sanson</t>
  </si>
  <si>
    <t>Harold Repollo Jabel</t>
  </si>
  <si>
    <t>Lucia G. Obrador</t>
  </si>
  <si>
    <t>Roger Pabilona Aguacito</t>
  </si>
  <si>
    <t>Armina B. Abad</t>
  </si>
  <si>
    <t>Noel C. Mangkikis</t>
  </si>
  <si>
    <t>Victor Ariong Aglipay</t>
  </si>
  <si>
    <t>Norbert C Sotoya II</t>
  </si>
  <si>
    <t>Ida Pableo Reforsado</t>
  </si>
  <si>
    <t>Christian  Salcedo  Serrano</t>
  </si>
  <si>
    <t>VIOLETA V JAVAR</t>
  </si>
  <si>
    <t>MARIE JANE ABING CLAVERO</t>
  </si>
  <si>
    <t>MARISA SISON LAGAR</t>
  </si>
  <si>
    <t>Lamberto Santos Ramos</t>
  </si>
  <si>
    <t>Marina Garces Rosal</t>
  </si>
  <si>
    <t>Vilma B. Ballan</t>
  </si>
  <si>
    <t>MOISES L PECAYO</t>
  </si>
  <si>
    <t>Lourdes Macabulos</t>
  </si>
  <si>
    <t>VINOSA LAT ROBLES</t>
  </si>
  <si>
    <t>MANUEL QUERIJERO HERNANDEZ</t>
  </si>
  <si>
    <t>Arlene Radam Ureta</t>
  </si>
  <si>
    <t>Ellen Padel Platil</t>
  </si>
  <si>
    <t>Jacob Gupana Racho</t>
  </si>
  <si>
    <t>Rosario Y. Baldonado</t>
  </si>
  <si>
    <t>Rommel S Santos</t>
  </si>
  <si>
    <t>Mario Jickey Castrodes Perang</t>
  </si>
  <si>
    <t>Jona Huenda Solano</t>
  </si>
  <si>
    <t>Vincent A Isip</t>
  </si>
  <si>
    <t>Tiburcio Jr. Tolentino Tabarrejo</t>
  </si>
  <si>
    <t>Wilson Rubin Panuncillon</t>
  </si>
  <si>
    <t>Ivy C. Huertas</t>
  </si>
  <si>
    <t>Virginia Punay</t>
  </si>
  <si>
    <t>Reyma Castañeda Tabalno</t>
  </si>
  <si>
    <t>Rhodeliza De Villa Penarroyo</t>
  </si>
  <si>
    <t>Christine Canceran</t>
  </si>
  <si>
    <t>Mark Anthony C Lorilla</t>
  </si>
  <si>
    <t>Asuncion Asuncion Padre</t>
  </si>
  <si>
    <t>Randy B Moredo</t>
  </si>
  <si>
    <t>Marlo L Gonzales</t>
  </si>
  <si>
    <t>MINDA BAUTISTA AGUENZA</t>
  </si>
  <si>
    <t>Jenifer C. Alcain</t>
  </si>
  <si>
    <t>Nelson Baptista Cabarrabang</t>
  </si>
  <si>
    <t>Nydia R. Magallon</t>
  </si>
  <si>
    <t>Noel D. Ejercito</t>
  </si>
  <si>
    <t>Lea Echavez Sabaduquia</t>
  </si>
  <si>
    <t>Jessa S. De Guzman</t>
  </si>
  <si>
    <t>Ruben Fabrigas</t>
  </si>
  <si>
    <t>Chito de Leon Riego de Dios</t>
  </si>
  <si>
    <t>Jesus aleman zamoras</t>
  </si>
  <si>
    <t>MELEN CAGAS ERNACIO</t>
  </si>
  <si>
    <t>MOHAMMAD NUR S. DAWAMI</t>
  </si>
  <si>
    <t>Menchu Tabay Zingapan</t>
  </si>
  <si>
    <t>JENETTE GERONIMO GADO</t>
  </si>
  <si>
    <t>Maricel Baldapan Campugan</t>
  </si>
  <si>
    <t>Ma. Salvacion R. Ferrer</t>
  </si>
  <si>
    <t>Antonio Mendoza Bautista</t>
  </si>
  <si>
    <t>Peter Elvis Limpot Galleto</t>
  </si>
  <si>
    <t>Mercedita A. Flores</t>
  </si>
  <si>
    <t>ISAGANI ARBOLEDA JAENA</t>
  </si>
  <si>
    <t>CHERRYLOU D. REPIA</t>
  </si>
  <si>
    <t>Ma. Stineli B Magdadaro</t>
  </si>
  <si>
    <t>Arnel R. Ganados</t>
  </si>
  <si>
    <t>Helen Pulmano Mabini</t>
  </si>
  <si>
    <t>DIONISIO WALAWAD LINDUGAN</t>
  </si>
  <si>
    <t>Gazelle Ducusin Ochoco</t>
  </si>
  <si>
    <t>Melanie Claire Pasion Singzon</t>
  </si>
  <si>
    <t>Henjie Albete Ramirez</t>
  </si>
  <si>
    <t>Tedler Jr. H. Depaynos</t>
  </si>
  <si>
    <t>Sandra Caturan Dagani</t>
  </si>
  <si>
    <t>Roldan Andal Sarto</t>
  </si>
  <si>
    <t>Kathryn  Reyes</t>
  </si>
  <si>
    <t>NIÑO L. SUSA</t>
  </si>
  <si>
    <t>Muriel Tupas Autencio</t>
  </si>
  <si>
    <t>Harvin Bob  P. Puno</t>
  </si>
  <si>
    <t>Angelina M De Vera</t>
  </si>
  <si>
    <t>Mansueta enot Veluz</t>
  </si>
  <si>
    <t>Dolores M Aydalla</t>
  </si>
  <si>
    <t>EDSEL MAURICE SALVAÑA</t>
  </si>
  <si>
    <t>George Sacdalan Mendoza</t>
  </si>
  <si>
    <t>Rodolfo R David</t>
  </si>
  <si>
    <t>Mike Jun Fuentecilla Onting</t>
  </si>
  <si>
    <t>Cynthia Obispo Gatan</t>
  </si>
  <si>
    <t>Minerva  De Leon Vidad</t>
  </si>
  <si>
    <t>Nila A Tiago</t>
  </si>
  <si>
    <t>Mary Grace Alcantara</t>
  </si>
  <si>
    <t>Noel P Baldueza</t>
  </si>
  <si>
    <t>ARBEN P. BUSTILLO</t>
  </si>
  <si>
    <t>Richard Pornorlles Say-a</t>
  </si>
  <si>
    <t>Felicisima Capistrano Balasabas</t>
  </si>
  <si>
    <t>Ignacio Geno P. Eugenio</t>
  </si>
  <si>
    <t>Marlon Caro Singuay</t>
  </si>
  <si>
    <t>Eduardo Estorco</t>
  </si>
  <si>
    <t>JENNY VIE MIRABUENO BASCON</t>
  </si>
  <si>
    <t>Marietta Abuan Graciano</t>
  </si>
  <si>
    <t>EDGARDO  DELAN NOVELA</t>
  </si>
  <si>
    <t>Debielyn B. Santos</t>
  </si>
  <si>
    <t>DOLORES JAVIER GOTICO</t>
  </si>
  <si>
    <t>CECILIA RHODORA CRUZ CONSTANTINO</t>
  </si>
  <si>
    <t>PABLITO MARTINES IGNACIO</t>
  </si>
  <si>
    <t>John Paulo Samonte Francisco</t>
  </si>
  <si>
    <t>Jerlyn G. Peter</t>
  </si>
  <si>
    <t>Norielle Ann P. Vergara</t>
  </si>
  <si>
    <t>JANICE DJ. CHICO</t>
  </si>
  <si>
    <t>mari soli puzon espesor</t>
  </si>
  <si>
    <t>Leo Layson Aristoza</t>
  </si>
  <si>
    <t>Marivic Yorong Morales</t>
  </si>
  <si>
    <t>CAROLINA C. UMIPIG</t>
  </si>
  <si>
    <t>Myrna Badilles Belgado</t>
  </si>
  <si>
    <t>Danilo Cotelo Espino</t>
  </si>
  <si>
    <t>JACQUELINE L. LIMCOLIOC</t>
  </si>
  <si>
    <t>Ryan Bayonas Dultra</t>
  </si>
  <si>
    <t>JOHANN M. TABING</t>
  </si>
  <si>
    <t>Esmeralda Gonzales Aguilar</t>
  </si>
  <si>
    <t>MECHIE MALE CAMPOMANES</t>
  </si>
  <si>
    <t>JOHN REFUERZO PILOT</t>
  </si>
  <si>
    <t>Anne zeth L. Camara</t>
  </si>
  <si>
    <t>FRANCIS E MAURICIO</t>
  </si>
  <si>
    <t>ROMIDA GAYANES NAAG</t>
  </si>
  <si>
    <t>Manuel M. Andes</t>
  </si>
  <si>
    <t>CARLITO V. AMATOS</t>
  </si>
  <si>
    <t>Peddy C. Sargado</t>
  </si>
  <si>
    <t>Detcyle Velasco</t>
  </si>
  <si>
    <t>JAMES CINO ESTOYA</t>
  </si>
  <si>
    <t>REYNALDO  ORETA GALICIA</t>
  </si>
  <si>
    <t>Letecia Camba Ancog</t>
  </si>
  <si>
    <t>ATTY. NICHOLAS S. MARASIGAN</t>
  </si>
  <si>
    <t>Maria Magnaye Matawaran</t>
  </si>
  <si>
    <t>Marites Dela Cruz</t>
  </si>
  <si>
    <t>Rosmendo Jr C.  Bongocan</t>
  </si>
  <si>
    <t>Bernard Jardiolin Esperanzate</t>
  </si>
  <si>
    <t>Freddie Remolado Sumangit</t>
  </si>
  <si>
    <t>ZORAYA BAKAR MASAKAL</t>
  </si>
  <si>
    <t>VIRGIN GANIR MALICAD</t>
  </si>
  <si>
    <t>Joemard C Calvez</t>
  </si>
  <si>
    <t>TEEJAY YOSHIUMI JUNATAS SAKUMA</t>
  </si>
  <si>
    <t>JOEY A GARCIA</t>
  </si>
  <si>
    <t>DINAH PARO OLIVER</t>
  </si>
  <si>
    <t>Jaypee Villanueva Patricio</t>
  </si>
  <si>
    <t>Cheenne Grace Luha Dela Peña</t>
  </si>
  <si>
    <t>Marife Moron Jabon</t>
  </si>
  <si>
    <t>DOMINGO E MALLO</t>
  </si>
  <si>
    <t>Loida  D. Lathrop</t>
  </si>
  <si>
    <t>Ramon Jr. M. Villareal</t>
  </si>
  <si>
    <t>Marifi Esturas Jordas</t>
  </si>
  <si>
    <t>Lou Wendell C San Jose</t>
  </si>
  <si>
    <t>PABLO SEPTO LABASBAS</t>
  </si>
  <si>
    <t>Ernell Calanog Alojado</t>
  </si>
  <si>
    <t>Analiza Camsa Lomedeg</t>
  </si>
  <si>
    <t>JENNIFER  D. SIMBAJON</t>
  </si>
  <si>
    <t>CRISALDO T MERCADER</t>
  </si>
  <si>
    <t>KATHERINE J GUTIERREZ</t>
  </si>
  <si>
    <t>Jamael Naga Macasimbar</t>
  </si>
  <si>
    <t>Angela Estribor Rodrigo</t>
  </si>
  <si>
    <t>VVERONIDIA S. MARCELO SUAREZ MARCELO</t>
  </si>
  <si>
    <t>Mario G Eje</t>
  </si>
  <si>
    <t>Darios Gentio Galito</t>
  </si>
  <si>
    <t>Mark Jason F. Malgapo</t>
  </si>
  <si>
    <t>Larney F. Marasigan</t>
  </si>
  <si>
    <t>Dominic Babaran Calimag</t>
  </si>
  <si>
    <t>Percy Gonzales Salazar</t>
  </si>
  <si>
    <t>Benazir Lim Alam</t>
  </si>
  <si>
    <t>JHON ALBERT I. NUÑEZ</t>
  </si>
  <si>
    <t>ESTEBAN FERNANDEZ CANONES, JR.</t>
  </si>
  <si>
    <t>Ma. Cecilia Magat -Ibarrientos</t>
  </si>
  <si>
    <t>Jezryl M. Lobaton</t>
  </si>
  <si>
    <t>KATE A. PARULAN</t>
  </si>
  <si>
    <t>Nessa Esporma Acolentaba</t>
  </si>
  <si>
    <t>GLENN H. TIANGHA</t>
  </si>
  <si>
    <t>Louie O Canlas</t>
  </si>
  <si>
    <t>Cheryl Samuel Conag</t>
  </si>
  <si>
    <t>SALVACION NOOT NARANJO</t>
  </si>
  <si>
    <t>Joel B. Elloso</t>
  </si>
  <si>
    <t>Joy Abonitalla Adecer</t>
  </si>
  <si>
    <t>Luxmay P Aleria</t>
  </si>
  <si>
    <t>Irene  Romero Arevalo</t>
  </si>
  <si>
    <t>Mary Grace Palcon Gallardo</t>
  </si>
  <si>
    <t>Jesse R. Quilantang</t>
  </si>
  <si>
    <t>Richie D. Diaz</t>
  </si>
  <si>
    <t>REYNANTE B. INFANTE</t>
  </si>
  <si>
    <t>randy paminiano lorenzo</t>
  </si>
  <si>
    <t>Edhen Flores Aguila</t>
  </si>
  <si>
    <t>MILROSE  L OMADLE</t>
  </si>
  <si>
    <t>Gladys Angit Abarabar</t>
  </si>
  <si>
    <t>Hermosa G. Ramirez</t>
  </si>
  <si>
    <t>Ormil D.  Go</t>
  </si>
  <si>
    <t>Regie Policarpio Mercado</t>
  </si>
  <si>
    <t>MEZACH Y BEDONA</t>
  </si>
  <si>
    <t>Jay-R Palines Carpio</t>
  </si>
  <si>
    <t>CLEANTH REYES GOROSPE</t>
  </si>
  <si>
    <t>ROSELLER CABATINGAN AMOR</t>
  </si>
  <si>
    <t>EDWARD A. ROA</t>
  </si>
  <si>
    <t>Carmilo E Monterona</t>
  </si>
  <si>
    <t>Vivian M. Cuizon</t>
  </si>
  <si>
    <t>John Moses Bulahan Aposaga</t>
  </si>
  <si>
    <t>Jimmy Pastorfile Carandang</t>
  </si>
  <si>
    <t>Gina Marzan Alberto</t>
  </si>
  <si>
    <t>RODNEY LABRADOR NABALONA</t>
  </si>
  <si>
    <t>MARY FE L. MONTANO</t>
  </si>
  <si>
    <t>EVY TINGSON SISA</t>
  </si>
  <si>
    <t>nancy tayoto tayoto</t>
  </si>
  <si>
    <t>MARJORIE ALVAREZ DELA CRUZ</t>
  </si>
  <si>
    <t>ERLINDA F. MANIPON</t>
  </si>
  <si>
    <t>Jingle Repollo Saloma</t>
  </si>
  <si>
    <t>Marvin Liboon</t>
  </si>
  <si>
    <t>Mary Grace  Bajar</t>
  </si>
  <si>
    <t>Jinky Mantile Dantay</t>
  </si>
  <si>
    <t>Georgette Ruga Imperial</t>
  </si>
  <si>
    <t>PRUDENCIO L VARELA</t>
  </si>
  <si>
    <t>Jaybee Gumboc Riobuya</t>
  </si>
  <si>
    <t>Cesah Jane Pillodar Napalla</t>
  </si>
  <si>
    <t>RESTY O. MACARILAY</t>
  </si>
  <si>
    <t>Christina Solero Raymundo</t>
  </si>
  <si>
    <t>MARIA LUCIA RANIN REQUEJO</t>
  </si>
  <si>
    <t>Mary Ann Vasquez Alvarez</t>
  </si>
  <si>
    <t>LIZA PAMA GUMBAN</t>
  </si>
  <si>
    <t>MICHAEL D. MUNAR</t>
  </si>
  <si>
    <t>Alan C. Santos</t>
  </si>
  <si>
    <t>Mark Anthony Cuison Lopez</t>
  </si>
  <si>
    <t>Ritchie De La Cuesta Barrun</t>
  </si>
  <si>
    <t>Maria Cristina Macarayan Dapal</t>
  </si>
  <si>
    <t>Ruel  G. Bantugan</t>
  </si>
  <si>
    <t>RADNEY CARBONEL MIRANDA</t>
  </si>
  <si>
    <t>Levi P. Baldonado</t>
  </si>
  <si>
    <t>Christopher Lacea Malayan</t>
  </si>
  <si>
    <t>EDUARDO CADELIÑA SALA JR.</t>
  </si>
  <si>
    <t>Priscilla A Hernandez</t>
  </si>
  <si>
    <t>Joyce De Vera</t>
  </si>
  <si>
    <t>Jannes Detablan Cantones</t>
  </si>
  <si>
    <t>Jayreen B Pabi</t>
  </si>
  <si>
    <t>Angelica Santayana Asiao</t>
  </si>
  <si>
    <t>RANILYN PASAYLO HAQUE</t>
  </si>
  <si>
    <t>MERLA ARAMBURO REVECHE</t>
  </si>
  <si>
    <t>Magdalena V. Almira</t>
  </si>
  <si>
    <t>Azucena O Gonzales</t>
  </si>
  <si>
    <t>Susan Siacor Arsenio</t>
  </si>
  <si>
    <t>John Patrick Lazaro</t>
  </si>
  <si>
    <t>Lolita M. Jumalon</t>
  </si>
  <si>
    <t>Emily B. Mazon</t>
  </si>
  <si>
    <t>ANGELA C JESALVA</t>
  </si>
  <si>
    <t>Honorata C Bautista</t>
  </si>
  <si>
    <t>Edward Miguel Juanito</t>
  </si>
  <si>
    <t>ada bustamante diones</t>
  </si>
  <si>
    <t>Bobster A. Paraiso</t>
  </si>
  <si>
    <t>Fercilyn E Grospe</t>
  </si>
  <si>
    <t>Antonette Mananes Legson</t>
  </si>
  <si>
    <t>EFREN A BANGAYAN</t>
  </si>
  <si>
    <t>DANILO S. SANTA ANA</t>
  </si>
  <si>
    <t>Marilyn N. Ontolan</t>
  </si>
  <si>
    <t>Judith D. Alde</t>
  </si>
  <si>
    <t>EDSEL MONTERO CARAMONTE</t>
  </si>
  <si>
    <t>RANDY DUENAS DE TORRES</t>
  </si>
  <si>
    <t>REMEGIO GASCON DUYAN</t>
  </si>
  <si>
    <t>Joeven C Calasagsag</t>
  </si>
  <si>
    <t>ZALDY  J.  TRABUCON</t>
  </si>
  <si>
    <t>HERMANDO MARASIGAN PESIGAN</t>
  </si>
  <si>
    <t>LEVY H. LAGUTIN, JR.</t>
  </si>
  <si>
    <t>Fleurdelis Caracut Quinto</t>
  </si>
  <si>
    <t>Rowena Gascon Abad</t>
  </si>
  <si>
    <t>Cheryl Ann Galeon Ombina</t>
  </si>
  <si>
    <t>Remigio Lago Blanco</t>
  </si>
  <si>
    <t>Aleli Arconado Locsin</t>
  </si>
  <si>
    <t>Reymund Condino Sequio</t>
  </si>
  <si>
    <t>NORMAN CORNELIO EBALLE</t>
  </si>
  <si>
    <t>EMMANUEL OBINA</t>
  </si>
  <si>
    <t>ROSELLER DIZON SASIS</t>
  </si>
  <si>
    <t>Wenefredo Evangelio Cagape</t>
  </si>
  <si>
    <t>Russell C Narte</t>
  </si>
  <si>
    <t>Shirley L De Guzman</t>
  </si>
  <si>
    <t>Bacilisa Cuento de Castro</t>
  </si>
  <si>
    <t>Ernesto Garcia Escoto</t>
  </si>
  <si>
    <t>Isagani J. Moso</t>
  </si>
  <si>
    <t>Rosalie  A. Pelle</t>
  </si>
  <si>
    <t>Jomar Alfaro Diama</t>
  </si>
  <si>
    <t>Almar Cagas Acevedo</t>
  </si>
  <si>
    <t>larry fabian dasalla</t>
  </si>
  <si>
    <t>Canuto, Jr Adalin Paluga</t>
  </si>
  <si>
    <t>Roque I. Verzosa III</t>
  </si>
  <si>
    <t>Rose Marie S Organo</t>
  </si>
  <si>
    <t>Nymia T. Chavez</t>
  </si>
  <si>
    <t>Lucia Burdas Pentin</t>
  </si>
  <si>
    <t>Rosabella Senining Laurencio</t>
  </si>
  <si>
    <t>WILLIAM UBA VALDE</t>
  </si>
  <si>
    <t>FERNANDO SAGUISAG A. CABRERA</t>
  </si>
  <si>
    <t>REYNALDO C. RIVERA</t>
  </si>
  <si>
    <t>Margarita Vergara Dimaligalig</t>
  </si>
  <si>
    <t>SOTERO JR. FAVILA LOMIGO</t>
  </si>
  <si>
    <t>Sandae B. Lico</t>
  </si>
  <si>
    <t>Elmer Gumpad Manzano</t>
  </si>
  <si>
    <t>JOB ALSAGA FERRER</t>
  </si>
  <si>
    <t>Marcelo C. Gutierrez</t>
  </si>
  <si>
    <t>Lerio Conmigo Arizala Jr.</t>
  </si>
  <si>
    <t>Kirstene Gail M.  Ocampo</t>
  </si>
  <si>
    <t>Ethel Joy Domingo Invencion</t>
  </si>
  <si>
    <t>Jeffreylhada Muallil Noor</t>
  </si>
  <si>
    <t>Joseph Villanueva Emboltorio</t>
  </si>
  <si>
    <t>Desiree B. Macamay</t>
  </si>
  <si>
    <t>Rommel Geraldizo Bendicion</t>
  </si>
  <si>
    <t>Nemesia Infante Gomez</t>
  </si>
  <si>
    <t>Mary Grace Garcia Soriano</t>
  </si>
  <si>
    <t>Maria Agnes Gonzales Tacadena</t>
  </si>
  <si>
    <t>Romeo A. Beboso</t>
  </si>
  <si>
    <t>Aicelyn Madrid Diahan</t>
  </si>
  <si>
    <t>Annette Francisco Virtudazo</t>
  </si>
  <si>
    <t>Ceferino C. Oryan</t>
  </si>
  <si>
    <t>Romulo Junasa Galleto, Jr.</t>
  </si>
  <si>
    <t>JOCELYN A. FERNANDO, MPMG</t>
  </si>
  <si>
    <t>Antonio, Jr. Sarigumba Acuña</t>
  </si>
  <si>
    <t>Lilibeth c. Locario</t>
  </si>
  <si>
    <t>Nuepe Junior Guyon Manuel</t>
  </si>
  <si>
    <t>Darryl Christian Rigos</t>
  </si>
  <si>
    <t>JOVITO VISTAL TOLARESA</t>
  </si>
  <si>
    <t>ARCELI ALLONES TIMOGTIMOG</t>
  </si>
  <si>
    <t>Marian Carbonell Patosa</t>
  </si>
  <si>
    <t>Freddie Uraga Villajuan</t>
  </si>
  <si>
    <t>Roberto Duarte Bibanco</t>
  </si>
  <si>
    <t>Jose Nolito Castor Tomulto</t>
  </si>
  <si>
    <t>Jose Ferdinand Laloy Gabrido</t>
  </si>
  <si>
    <t>Jerry  C.  Rodriguez</t>
  </si>
  <si>
    <t>Enelyn S. Binson</t>
  </si>
  <si>
    <t>SHEILA B DE LEON</t>
  </si>
  <si>
    <t>Luzviminda S. Reyes</t>
  </si>
  <si>
    <t>Xanthi Romeilla Jalon Vallicer</t>
  </si>
  <si>
    <t>Lauri Rose Salazar Coquia</t>
  </si>
  <si>
    <t>Lurline Merencillo Tongco</t>
  </si>
  <si>
    <t>Roseanne Venessa J Ratunil</t>
  </si>
  <si>
    <t>Elaine L. Abdurani</t>
  </si>
  <si>
    <t>Gerald Alday Pacanan</t>
  </si>
  <si>
    <t>MICHELL FAJARDO PADOHINOG</t>
  </si>
  <si>
    <t>Joel Sampaga Columna</t>
  </si>
  <si>
    <t>Jayna Fe Rabanes Modelo</t>
  </si>
  <si>
    <t>Maria Salome Rafanan Abero</t>
  </si>
  <si>
    <t>Virgie N Bartonico</t>
  </si>
  <si>
    <t>JOWELA  GIMAY JOR</t>
  </si>
  <si>
    <t>Ma. Evangeline P. Martinez</t>
  </si>
  <si>
    <t>Bernalou Malsi Malaque</t>
  </si>
  <si>
    <t>charlemagne tupag noble</t>
  </si>
  <si>
    <t>Rolando Javier Garcia</t>
  </si>
  <si>
    <t>Emmanuel Lorenzo Correa</t>
  </si>
  <si>
    <t>Lunrey B. Bagor</t>
  </si>
  <si>
    <t>JENNY TAMON CABALLERO</t>
  </si>
  <si>
    <t>Cipriano Grande Gardoque</t>
  </si>
  <si>
    <t>Abner Rabano</t>
  </si>
  <si>
    <t>Joeper Hamlag Mendoza</t>
  </si>
  <si>
    <t>Angelita H Reazon</t>
  </si>
  <si>
    <t>Harvey C Jumawan</t>
  </si>
  <si>
    <t>Josephine Escol Avenido</t>
  </si>
  <si>
    <t>MARICRIS S. SANTOS</t>
  </si>
  <si>
    <t>Melanie Calura Rufino</t>
  </si>
  <si>
    <t>Bacsec Centers</t>
  </si>
  <si>
    <t>Gregorio M Monreal</t>
  </si>
  <si>
    <t>Melanio B. De vera</t>
  </si>
  <si>
    <t>Haide D. Daclan</t>
  </si>
  <si>
    <t>ROSELLER LUCAS DAMO</t>
  </si>
  <si>
    <t>Jamaica B. Balubal</t>
  </si>
  <si>
    <t>Maricon Sumpio</t>
  </si>
  <si>
    <t>Lani Pabalan Magno</t>
  </si>
  <si>
    <t>Erosbon Layugan Sabedo</t>
  </si>
  <si>
    <t>Cesar Vasallo Valondo</t>
  </si>
  <si>
    <t>Elloisa Blanco Perez</t>
  </si>
  <si>
    <t>Jonathan Regachuelo Jaluague</t>
  </si>
  <si>
    <t>Christopher M. Edjic</t>
  </si>
  <si>
    <t>IRISH A TORINO</t>
  </si>
  <si>
    <t>Jorge A. Albinda</t>
  </si>
  <si>
    <t>Ramil Mendez Taculod</t>
  </si>
  <si>
    <t>James Robert Maruya Firman</t>
  </si>
  <si>
    <t>Ma Christina Sorilla Segura</t>
  </si>
  <si>
    <t>Wilma C. Obras</t>
  </si>
  <si>
    <t>JULIUS EFREN CEPEDA CANAPI</t>
  </si>
  <si>
    <t>CORAZON A. YAMIT</t>
  </si>
  <si>
    <t>ANINA RAMOS</t>
  </si>
  <si>
    <t>Dominador A Bucalbos</t>
  </si>
  <si>
    <t>Judea Micah Dialco Carbajosa</t>
  </si>
  <si>
    <t>Patrick A. Panaligan</t>
  </si>
  <si>
    <t>Redentor Curate</t>
  </si>
  <si>
    <t>Niña Aniñon Asis</t>
  </si>
  <si>
    <t>Diego P Tan</t>
  </si>
  <si>
    <t>Anna Liza L. Dela Cruz</t>
  </si>
  <si>
    <t>Francis Alfred Calo Bokingo</t>
  </si>
  <si>
    <t>EVA MACAHILIG JIMENEZ</t>
  </si>
  <si>
    <t>Rowena Arcon Plando</t>
  </si>
  <si>
    <t>Ricardo A. Negado</t>
  </si>
  <si>
    <t>RADITO MALLARI ANORAN</t>
  </si>
  <si>
    <t>John B Magbanua</t>
  </si>
  <si>
    <t>Ligaya M Antiola</t>
  </si>
  <si>
    <t>Lucia Casim</t>
  </si>
  <si>
    <t>Alma Dallapas Elvena</t>
  </si>
  <si>
    <t>Allan C. Cauilan</t>
  </si>
  <si>
    <t>BERNARD MALINGTAY PEPE</t>
  </si>
  <si>
    <t>Glaiza Dela Cruz-Pasion</t>
  </si>
  <si>
    <t>Antonietta Alfante Nastor</t>
  </si>
  <si>
    <t>Julius Caducano Bartolome</t>
  </si>
  <si>
    <t>MARIA PAMELA TOLENTINO BACTOL</t>
  </si>
  <si>
    <t>Myra Cecilia Donila Grata</t>
  </si>
  <si>
    <t>Mariz  Lapid  Onchengco</t>
  </si>
  <si>
    <t>Mitch Devibar Ramos</t>
  </si>
  <si>
    <t>Manuel Melis Ignacio</t>
  </si>
  <si>
    <t>Merla A. Monje</t>
  </si>
  <si>
    <t>Angelo Senin Bugarin</t>
  </si>
  <si>
    <t>Rodrigo C Rodrigo</t>
  </si>
  <si>
    <t>Jhenevy Monel Diamate</t>
  </si>
  <si>
    <t>Mr. Clarence Bolante Bunan</t>
  </si>
  <si>
    <t>Ma. Kristina Goylos Medalla</t>
  </si>
  <si>
    <t>Wilson Garagan Viloria II</t>
  </si>
  <si>
    <t>ALJEAN SOON DELWESTE</t>
  </si>
  <si>
    <t>Blesilda Virtucio Erejer</t>
  </si>
  <si>
    <t>Joy M Rivera</t>
  </si>
  <si>
    <t>Arnel B. Javier</t>
  </si>
  <si>
    <t>Jonathan B. Guevarra</t>
  </si>
  <si>
    <t>Brgy. 09 Catbalogan</t>
  </si>
  <si>
    <t>Dennis H. Dino</t>
  </si>
  <si>
    <t>Royina Sison Argueza</t>
  </si>
  <si>
    <t>Arlene Verano Martinez</t>
  </si>
  <si>
    <t>Kapelhoff Arcangel Quidang</t>
  </si>
  <si>
    <t>Eutropio Simbajon Jayectin, M.M.</t>
  </si>
  <si>
    <t>Brian D. Lumague</t>
  </si>
  <si>
    <t>Wilfredo M Letrodo</t>
  </si>
  <si>
    <t>Gomer Liwanag Dado</t>
  </si>
  <si>
    <t>Nelson Cruz Dela Cruz</t>
  </si>
  <si>
    <t>Hanz Cecilio Bernardo</t>
  </si>
  <si>
    <t>Dominic Adriano</t>
  </si>
  <si>
    <t>CHARONE MICHAL GUERRERO DE CASTRO</t>
  </si>
  <si>
    <t>GERALDINE N. RANARA</t>
  </si>
  <si>
    <t>DORINA MELAD</t>
  </si>
  <si>
    <t>Samson Gavasan Gilo, Jr.</t>
  </si>
  <si>
    <t>LEILANI BACALE CASIMPAN</t>
  </si>
  <si>
    <t>Catherine M.  Laza</t>
  </si>
  <si>
    <t>JESUS JONJIE ADELANTAR VENTURANZA</t>
  </si>
  <si>
    <t>Angelita Plaza Tuiza</t>
  </si>
  <si>
    <t>Allison Graza Nudo</t>
  </si>
  <si>
    <t>Consuelo L. Tubis</t>
  </si>
  <si>
    <t>Lourfe S. Rondina</t>
  </si>
  <si>
    <t>CHAVELLE FERRAREN ALONSO</t>
  </si>
  <si>
    <t>JOSEPH HERBON BUSA</t>
  </si>
  <si>
    <t>Aldren Galido Madelozo</t>
  </si>
  <si>
    <t>Demars Gonzaga Madroso</t>
  </si>
  <si>
    <t>ALMIRA PINOL LAPASARAN</t>
  </si>
  <si>
    <t>Eric Torres Tejada</t>
  </si>
  <si>
    <t>Elsie Lubguban</t>
  </si>
  <si>
    <t>Maria Lourdes Galanida Roldan</t>
  </si>
  <si>
    <t>FERNANDO MAGAYANES CARANDANG</t>
  </si>
  <si>
    <t>Paquito Joel Alferez Arocha</t>
  </si>
  <si>
    <t>FRANK F. FANGED</t>
  </si>
  <si>
    <t>Ma. Victoria Tejedor</t>
  </si>
  <si>
    <t>Zelina G Dela Cruz</t>
  </si>
  <si>
    <t>Laarni Vi Delos Reyes</t>
  </si>
  <si>
    <t>Jianel Ugbog Masinadiong</t>
  </si>
  <si>
    <t>Benson Empalmado</t>
  </si>
  <si>
    <t>CHATTLEYA G AMIT</t>
  </si>
  <si>
    <t>Roberto D Tallud</t>
  </si>
  <si>
    <t>Ailleen Melody Enguerra Alya-On</t>
  </si>
  <si>
    <t>TEODORO A. QUINTANA, JR.</t>
  </si>
  <si>
    <t>Roberto Chu Tiu</t>
  </si>
  <si>
    <t>ROSE HABANA MARTINEZ</t>
  </si>
  <si>
    <t>RAYMUND M. DIAZ</t>
  </si>
  <si>
    <t>EVELYN NALAUNAN DALISAY</t>
  </si>
  <si>
    <t>Nadel S. Denapo</t>
  </si>
  <si>
    <t>Michelle Retamar Roldan</t>
  </si>
  <si>
    <t>Lenie Morales Adriano</t>
  </si>
  <si>
    <t>Gertrudes A Obedoza</t>
  </si>
  <si>
    <t>Wilson C. Rosario</t>
  </si>
  <si>
    <t>ANDREA MAE ALEXIS DIMAYUGA</t>
  </si>
  <si>
    <t>Cecilia Notario Jumawan</t>
  </si>
  <si>
    <t>Ferazim R Dannug</t>
  </si>
  <si>
    <t>Mirasol Macaranas Rosano</t>
  </si>
  <si>
    <t>Arlene Sta.Rita Bonquin</t>
  </si>
  <si>
    <t>Christopher Ortega Dalion</t>
  </si>
  <si>
    <t>Rachelle Anne Sera Jose  Santos</t>
  </si>
  <si>
    <t>Julius C. Cerbo</t>
  </si>
  <si>
    <t>Natalie T. Binayan</t>
  </si>
  <si>
    <t>OLIVER ORBIZO OLIVO</t>
  </si>
  <si>
    <t>Marilou Sampaton Bernas</t>
  </si>
  <si>
    <t>Venus Contreras Decena</t>
  </si>
  <si>
    <t>SILAHIS DECENA LAZO</t>
  </si>
  <si>
    <t>Peter A Servito</t>
  </si>
  <si>
    <t>Ma. Jonalyn Rollon Villar</t>
  </si>
  <si>
    <t>Riza Ortez Muanag</t>
  </si>
  <si>
    <t>Luis, Jr. Artieda Albacete</t>
  </si>
  <si>
    <t>Patrick Bayona Gimeno</t>
  </si>
  <si>
    <t>Arlene Maunahan Avejero</t>
  </si>
  <si>
    <t>Dario Sarabusing Jr.</t>
  </si>
  <si>
    <t>Ma. Rosa  D.  Del Rio</t>
  </si>
  <si>
    <t>Annabelle Pocopoco Dagani</t>
  </si>
  <si>
    <t>MARIA LOURDES PEREA TIANGCO</t>
  </si>
  <si>
    <t>Jhonna Salve Janer Buenaflor</t>
  </si>
  <si>
    <t>GENEROSO P DORO</t>
  </si>
  <si>
    <t>Dencio A Pagbilao</t>
  </si>
  <si>
    <t>Vincent M Bayot</t>
  </si>
  <si>
    <t>Princess Fabrienne Tonzo Panganiban</t>
  </si>
  <si>
    <t>Clemence  D.  Pobre</t>
  </si>
  <si>
    <t>Helen B. Olaer</t>
  </si>
  <si>
    <t>Cuajotor Toledo Albert</t>
  </si>
  <si>
    <t>Julie Anne Canzon Valencia</t>
  </si>
  <si>
    <t>Pedro F Caminero Jr.</t>
  </si>
  <si>
    <t>Edison Salawad Morales</t>
  </si>
  <si>
    <t>JEAN ALLEN PECHAYCO ALEJANDRO</t>
  </si>
  <si>
    <t>Michael Trasmil Ibisate</t>
  </si>
  <si>
    <t>GINA LEDESMA_R ROSALES</t>
  </si>
  <si>
    <t>Irna Nadayag Mallari</t>
  </si>
  <si>
    <t>DIEGO EBRADA BAYONITO</t>
  </si>
  <si>
    <t>Lolito B. Aboy</t>
  </si>
  <si>
    <t>Marlon F. Rebabcos</t>
  </si>
  <si>
    <t>Glorina Capito Fernandez</t>
  </si>
  <si>
    <t>NIÑO BALISTOY SALVACION</t>
  </si>
  <si>
    <t>NESTOR MIKLAT IDRA</t>
  </si>
  <si>
    <t>Janine M. Balilia</t>
  </si>
  <si>
    <t>Benito Soriano Montano</t>
  </si>
  <si>
    <t>Perry N. Nava</t>
  </si>
  <si>
    <t>Corazon C Dacudag</t>
  </si>
  <si>
    <t>BERNARDO C. POJAS</t>
  </si>
  <si>
    <t>MARIA CORAZON RIVA VALDEMORO</t>
  </si>
  <si>
    <t>Arundale Gum-u Immoliap Bunnag</t>
  </si>
  <si>
    <t>Marietta Maata Cortes</t>
  </si>
  <si>
    <t>Ana Marie Balisbis Mirambel</t>
  </si>
  <si>
    <t>Mary Allen Pedrano Cornites</t>
  </si>
  <si>
    <t>Vilma Capistrano Globio</t>
  </si>
  <si>
    <t>JURRY JUANILLO BASALO</t>
  </si>
  <si>
    <t>Susan Dela Cruz</t>
  </si>
  <si>
    <t>Azor B Quijano</t>
  </si>
  <si>
    <t>ROGELIO KENTILITISCA PANGAN</t>
  </si>
  <si>
    <t>Erika Yvette Seraspi Reynoso</t>
  </si>
  <si>
    <t>Marisa S. Jumalon</t>
  </si>
  <si>
    <t>AIZA ALEGRIA RUBEN</t>
  </si>
  <si>
    <t>Leonila Santiago De Jesus</t>
  </si>
  <si>
    <t>Samson B. Quinito</t>
  </si>
  <si>
    <t>Teotimo M  Laguitao</t>
  </si>
  <si>
    <t>Ladislao  Gumboc  Flores</t>
  </si>
  <si>
    <t>BABYLYN LAFORTEZA</t>
  </si>
  <si>
    <t>Editha Pascua Covita</t>
  </si>
  <si>
    <t>RAMIL A. CONDEZ</t>
  </si>
  <si>
    <t>Romarico J. Deona</t>
  </si>
  <si>
    <t>Rico L. Navarro</t>
  </si>
  <si>
    <t>Araceli V Domagas</t>
  </si>
  <si>
    <t>Sio King Sy Aurea</t>
  </si>
  <si>
    <t>Sharmaine J. Vicente</t>
  </si>
  <si>
    <t>MARCOS M. KUSAIN, JD, MPA</t>
  </si>
  <si>
    <t>Miladilla Santiago</t>
  </si>
  <si>
    <t>KRISTEL  MAE C. CHAVEZ</t>
  </si>
  <si>
    <t>Ma. Isabel N. Argueza</t>
  </si>
  <si>
    <t>Lily Opano Tuiza</t>
  </si>
  <si>
    <t>Edmar Tenio Tambis</t>
  </si>
  <si>
    <t>RICHILO L. LACEDA</t>
  </si>
  <si>
    <t>Edsel Evangelista Espino</t>
  </si>
  <si>
    <t>Marie Pat Nerona Navora</t>
  </si>
  <si>
    <t>NICEFORO S. LIBERATO</t>
  </si>
  <si>
    <t>Lyalin Alfaro Zapador</t>
  </si>
  <si>
    <t>Elvina M Dotimas</t>
  </si>
  <si>
    <t>Mellany Millano Amaranto</t>
  </si>
  <si>
    <t>Elvie Villanueva Diaz</t>
  </si>
  <si>
    <t>Donnalynn Waje Mercado</t>
  </si>
  <si>
    <t>Ma. Ruth Viñas Bandales</t>
  </si>
  <si>
    <t>Sharon Madamba Agbayani</t>
  </si>
  <si>
    <t>Mario Jennifer Rosco Orion</t>
  </si>
  <si>
    <t>Jenelyn Capilitan Soria</t>
  </si>
  <si>
    <t>Sherwin  V.  Gelacio</t>
  </si>
  <si>
    <t>Susana M Pardo</t>
  </si>
  <si>
    <t>Jonefe Gomez Ocasla</t>
  </si>
  <si>
    <t>MA. LUZ MEDROSO DE LOS REYES</t>
  </si>
  <si>
    <t>MARY ANN C. BELEN</t>
  </si>
  <si>
    <t>HERIBERTO AROCENA TOMAS</t>
  </si>
  <si>
    <t>May Catherine H. Gaviola</t>
  </si>
  <si>
    <t>Mary Grace Lamadora Villacote</t>
  </si>
  <si>
    <t>Jefferson Coruno</t>
  </si>
  <si>
    <t>DOMINGO PINTANG</t>
  </si>
  <si>
    <t>SIXTO BALITA</t>
  </si>
  <si>
    <t>Ko-Jack Espinosa I Ibaño</t>
  </si>
  <si>
    <t>Michael Aquino Abar</t>
  </si>
  <si>
    <t>Nonito Cervancia</t>
  </si>
  <si>
    <t>BENJAMIN N. LAURENCIANA</t>
  </si>
  <si>
    <t>Joey Calimpusan Tonzo</t>
  </si>
  <si>
    <t>Alexander Tapanan Teves</t>
  </si>
  <si>
    <t>Aubrey George Tamargo Corpuz</t>
  </si>
  <si>
    <t>Elma Seraphelle Magdaug Bulagao</t>
  </si>
  <si>
    <t>Orea Attiwan</t>
  </si>
  <si>
    <t>CLARO SENTINA SERVENTO</t>
  </si>
  <si>
    <t>Camille Tomas Ronquillo</t>
  </si>
  <si>
    <t>Alexander A Balmes</t>
  </si>
  <si>
    <t>Celestino D. Boldo</t>
  </si>
  <si>
    <t>Sukarno M Hadjinor</t>
  </si>
  <si>
    <t>RICHARD HOWITT LAW L. LAING</t>
  </si>
  <si>
    <t>Ruel Priolo Padrequil</t>
  </si>
  <si>
    <t>DORILYN C. DADOR</t>
  </si>
  <si>
    <t>Ma. Marites A Cabral</t>
  </si>
  <si>
    <t>Bernie C Malinao</t>
  </si>
  <si>
    <t>Ma. Isabel M Mirano</t>
  </si>
  <si>
    <t>Lucylisa C. Pilapil</t>
  </si>
  <si>
    <t>Hurdy F Denosta</t>
  </si>
  <si>
    <t>Delwin  Dalubajan  Dagook</t>
  </si>
  <si>
    <t>Mary Ann P Halili</t>
  </si>
  <si>
    <t>ALEXIS PETER BELLO DE LA CRUZ</t>
  </si>
  <si>
    <t>George uy So</t>
  </si>
  <si>
    <t>Jay  Solima Subac</t>
  </si>
  <si>
    <t>Juanito M Quinto, Jr.</t>
  </si>
  <si>
    <t>Nazario Usi Benedicto</t>
  </si>
  <si>
    <t>Melinda Devesa Lonceras</t>
  </si>
  <si>
    <t>Chinalyn Dakiwag Rivera</t>
  </si>
  <si>
    <t>LINELLA G. CUEVAS</t>
  </si>
  <si>
    <t>Anacita  V. Barcelon</t>
  </si>
  <si>
    <t>Susan Diswe Costiniano</t>
  </si>
  <si>
    <t>LEAH BANARES TUBID</t>
  </si>
  <si>
    <t>FE MANGUIAT SANGALANG</t>
  </si>
  <si>
    <t>FRANCISCO , JR. YGRUBAY LABRAGUE</t>
  </si>
  <si>
    <t>Meriam Astronomo Arguil</t>
  </si>
  <si>
    <t>Flora R. Mallare</t>
  </si>
  <si>
    <t xml:space="preserve">JULIET  P. LUCAS </t>
  </si>
  <si>
    <t>Leizle B. Anongos</t>
  </si>
  <si>
    <t>Jose B Abrenio Jr.</t>
  </si>
  <si>
    <t>Rosario O. Cabrera</t>
  </si>
  <si>
    <t>JENNIPERL BALLOS JAVIER</t>
  </si>
  <si>
    <t>Arsenio T. Cornites, Jr.</t>
  </si>
  <si>
    <t>Robert John Donesa</t>
  </si>
  <si>
    <t>Pacifico Digal Cabrido, Jr.</t>
  </si>
  <si>
    <t>Jocelyn Castro Ballesteros</t>
  </si>
  <si>
    <t>JEECHEL C. BARIBE</t>
  </si>
  <si>
    <t>Carmelita Seto Bangayan</t>
  </si>
  <si>
    <t>Josephine A. Ruedas</t>
  </si>
  <si>
    <t>RUDY S DACULAN</t>
  </si>
  <si>
    <t>Veronica Josol Baquial</t>
  </si>
  <si>
    <t>RUDYRICK SILVA</t>
  </si>
  <si>
    <t>MARIA GINA P SAZON</t>
  </si>
  <si>
    <t>Victorino Berguela Almario</t>
  </si>
  <si>
    <t>FLORELYN BUOT LACHARON</t>
  </si>
  <si>
    <t>Wilfredo R Bartolini</t>
  </si>
  <si>
    <t>LANNIE MAE C DINGAL</t>
  </si>
  <si>
    <t>Gilbert C. Colegado</t>
  </si>
  <si>
    <t>Jacqueline F Terrado</t>
  </si>
  <si>
    <t>Junje Abayon Draculan</t>
  </si>
  <si>
    <t>ROMMEL G. ERPELO</t>
  </si>
  <si>
    <t>Teresa A. Macapanas</t>
  </si>
  <si>
    <t>Julie G Salvador</t>
  </si>
  <si>
    <t>Edgar Banzuela Balidoy</t>
  </si>
  <si>
    <t>Teresita Guillermo</t>
  </si>
  <si>
    <t>Gerardo Jr. Valdez Bocalan</t>
  </si>
  <si>
    <t>Leonardo Tanginan Elle</t>
  </si>
  <si>
    <t>OLIVER PENUS</t>
  </si>
  <si>
    <t>Delberlyn V. Punzalan</t>
  </si>
  <si>
    <t>Vincent A. Tan</t>
  </si>
  <si>
    <t>Nory Taberna Rivera</t>
  </si>
  <si>
    <t>Omar Sajot Alfaro</t>
  </si>
  <si>
    <t>AICEL NECY F MARTINEZ</t>
  </si>
  <si>
    <t>ROSEJOY TUAPEN MONTEJO</t>
  </si>
  <si>
    <t>EDUARDO C BERNAL</t>
  </si>
  <si>
    <t>Andrew Lim Pagayatan</t>
  </si>
  <si>
    <t>Emerson John Exclamado Fernandez</t>
  </si>
  <si>
    <t>Rolando  Secillano</t>
  </si>
  <si>
    <t>Lilane Mejillano Nuñez</t>
  </si>
  <si>
    <t>ESTRELLA T. SAPURAS</t>
  </si>
  <si>
    <t>Jake Malnegro Maglahus</t>
  </si>
  <si>
    <t>Allan R. Guintapan</t>
  </si>
  <si>
    <t>Elmer Camit Treyes</t>
  </si>
  <si>
    <t>Pablo L Nabong</t>
  </si>
  <si>
    <t>LUCY FE M ELLAR</t>
  </si>
  <si>
    <t>LOURENCE C. BUENAVENTURA</t>
  </si>
  <si>
    <t>CEZARIO JOEL C ESPEJO</t>
  </si>
  <si>
    <t>Abigail Tabadero Alemania</t>
  </si>
  <si>
    <t>Eden Rose V. Calo</t>
  </si>
  <si>
    <t>Manulito S Rodriguez</t>
  </si>
  <si>
    <t>Arjean Villacorta Jumamoy</t>
  </si>
  <si>
    <t>Jocelyn Campaña Langbid</t>
  </si>
  <si>
    <t>ALADIN MABBORANG PASCUAL</t>
  </si>
  <si>
    <t>Bienvenido Capilitan Barrera, Jr.</t>
  </si>
  <si>
    <t>Lilian  Pacamalan  Uy</t>
  </si>
  <si>
    <t>Helen P. Palma</t>
  </si>
  <si>
    <t>Roderick A Ydel</t>
  </si>
  <si>
    <t>Geoffrey P. Villahermosa</t>
  </si>
  <si>
    <t>Edwin Vergel De Dios David</t>
  </si>
  <si>
    <t>Herminia Marcos Osting</t>
  </si>
  <si>
    <t>MARIE ROSE G. BAL</t>
  </si>
  <si>
    <t>Jorgen H. Buzon</t>
  </si>
  <si>
    <t>Monera Ferrer Pramis</t>
  </si>
  <si>
    <t>MARY CRISTY  ACAIN  OCOL</t>
  </si>
  <si>
    <t>Robert M Valles</t>
  </si>
  <si>
    <t>ENGR. JERICK D. ORLANES</t>
  </si>
  <si>
    <t>SHEILA FIEL LEONA</t>
  </si>
  <si>
    <t>Merlina Tunggala Macararanga</t>
  </si>
  <si>
    <t>Rebecca Dampil Subillaga</t>
  </si>
  <si>
    <t>Maxelinda Dela Cruz Serrana</t>
  </si>
  <si>
    <t>Freddie Sr. Francisco Gabo</t>
  </si>
  <si>
    <t>Ruth Magno Milanio</t>
  </si>
  <si>
    <t>Jeffrey Justin T. Talisic</t>
  </si>
  <si>
    <t>Marilyn Ulep Tolentino</t>
  </si>
  <si>
    <t>Emelita I. Garcia</t>
  </si>
  <si>
    <t>Levy H. Lagutin, Jr.</t>
  </si>
  <si>
    <t>Jupalyn Laderas Benedicto</t>
  </si>
  <si>
    <t>Andy Ralfh Villafuerte Conocono</t>
  </si>
  <si>
    <t>Danilo P Polestico</t>
  </si>
  <si>
    <t>Floyd Barcelona Jaron</t>
  </si>
  <si>
    <t>Vivienne P. Belizario</t>
  </si>
  <si>
    <t>Sharon  G.  Umbaad</t>
  </si>
  <si>
    <t>EnP Arlet E. Legaspi</t>
  </si>
  <si>
    <t>Catherine C Padin</t>
  </si>
  <si>
    <t>Genelyn Hilario Sazon</t>
  </si>
  <si>
    <t>Lucila D De Roxas</t>
  </si>
  <si>
    <t>Rosemarie Martinez Paguia</t>
  </si>
  <si>
    <t>Nilo Eduarte Diesta</t>
  </si>
  <si>
    <t>FREDDIE C. BENDULO</t>
  </si>
  <si>
    <t>WILLY MENDOZA CORPUZ</t>
  </si>
  <si>
    <t>RUBY JANE C. CRUZ</t>
  </si>
  <si>
    <t>Robert Pineda Lucero</t>
  </si>
  <si>
    <t>Ma. Teresa  D. Rodriguez</t>
  </si>
  <si>
    <t>HENY JANE VISEN JABONETE</t>
  </si>
  <si>
    <t>Maria Concepcion Salcedo Florida</t>
  </si>
  <si>
    <t>REM BERYL YGOT VELOSO</t>
  </si>
  <si>
    <t>Ruel Jr. Bayubay Masangcay</t>
  </si>
  <si>
    <t>Ivanhoe Torrefiel Kangleon</t>
  </si>
  <si>
    <t>Carlo Fernando G. Logarta</t>
  </si>
  <si>
    <t>Armando L. Andres</t>
  </si>
  <si>
    <t>CLINIA C EUSORES</t>
  </si>
  <si>
    <t>EDWARD ALIGUYON CARIÑO</t>
  </si>
  <si>
    <t>Ariel Luistro Garcia</t>
  </si>
  <si>
    <t>Eddie De Vera Cancino</t>
  </si>
  <si>
    <t>Arjay Caballero Dimafelix</t>
  </si>
  <si>
    <t>Wulfranie Jr. M. Pascua</t>
  </si>
  <si>
    <t>WARLITO M ABAYON JR.</t>
  </si>
  <si>
    <t>Florenda Inutan Carballo</t>
  </si>
  <si>
    <t>FERDINAND P. CAYETANO</t>
  </si>
  <si>
    <t>Francisco C Cabunoc</t>
  </si>
  <si>
    <t>John Carl F Lodevico</t>
  </si>
  <si>
    <t>Lorna L. Pacquing</t>
  </si>
  <si>
    <t>NATHANIEL B. GERTOS</t>
  </si>
  <si>
    <t>MARIA RUBIA</t>
  </si>
  <si>
    <t>Zaldy Rodriguez Delmendo</t>
  </si>
  <si>
    <t>JOVYLYN P LUCAS</t>
  </si>
  <si>
    <t>Vlademer Villalba Brit</t>
  </si>
  <si>
    <t>NORBERTO, JR ONES RUBI</t>
  </si>
  <si>
    <t>Cynthia Macenas Tumanut</t>
  </si>
  <si>
    <t>MARINA C MATUGUINAS</t>
  </si>
  <si>
    <t>MELNER BONDAUG SAGARAY</t>
  </si>
  <si>
    <t>Rosario Corazon  Sison  Abara</t>
  </si>
  <si>
    <t>ATTY. AIKO ELENI NARIDA PALER</t>
  </si>
  <si>
    <t>Jessa Bello Recto</t>
  </si>
  <si>
    <t>Marcial  M. Ilagan</t>
  </si>
  <si>
    <t>Argie Cabunoc Aungon</t>
  </si>
  <si>
    <t>Glace L Osoteo</t>
  </si>
  <si>
    <t>Nerio D Fragata</t>
  </si>
  <si>
    <t>JORJAN BECKER FEDERISO</t>
  </si>
  <si>
    <t>Elvie Quito</t>
  </si>
  <si>
    <t>Liberty Cepeda Omadio</t>
  </si>
  <si>
    <t>JOSE GARCIANO</t>
  </si>
  <si>
    <t>Annabelle Canonigo Husain</t>
  </si>
  <si>
    <t>FIDELITO PANZO CENAS</t>
  </si>
  <si>
    <t>Maria Alma O Almazan</t>
  </si>
  <si>
    <t>Macario Perez Almario</t>
  </si>
  <si>
    <t>Amorie Michele Marba Janubas</t>
  </si>
  <si>
    <t>Ruben M.  Villanueva</t>
  </si>
  <si>
    <t>Cynthia Cortes Gabayoyo</t>
  </si>
  <si>
    <t>RICO MESA</t>
  </si>
  <si>
    <t>Jocelyn C. Jaramillo</t>
  </si>
  <si>
    <t>Leopoldo S Escala</t>
  </si>
  <si>
    <t>JUNE IVY CIELOS MENDEZ</t>
  </si>
  <si>
    <t>Rene P Quezada</t>
  </si>
  <si>
    <t>JENALYN  SANTANDER PONFERRADA</t>
  </si>
  <si>
    <t>Marfen Guinmapang Corvera</t>
  </si>
  <si>
    <t>Catalina Jaylo</t>
  </si>
  <si>
    <t>Ma. Socorro C Tabang</t>
  </si>
  <si>
    <t>MERVIN "BUDA" JUSI JUSI</t>
  </si>
  <si>
    <t>Federico III Daleno Rivero</t>
  </si>
  <si>
    <t>Cesarina Sico Macuha</t>
  </si>
  <si>
    <t>Lazaro Buluran Pascual</t>
  </si>
  <si>
    <t>CLARIBEL L. REBUENO</t>
  </si>
  <si>
    <t>EMERSON R LARUA</t>
  </si>
  <si>
    <t>CHARLENE DE NAVA ALDEA</t>
  </si>
  <si>
    <t>Alexander M. Go</t>
  </si>
  <si>
    <t>NOEL AZARCON AGOR</t>
  </si>
  <si>
    <t>REY GONZALES BAUTISTA</t>
  </si>
  <si>
    <t>MARY JANE MARCELLA ASAN</t>
  </si>
  <si>
    <t>SHIRLEY SENA SIGUE</t>
  </si>
  <si>
    <t>REINZ JEFFENZ K OMEGA</t>
  </si>
  <si>
    <t>Nemesio H Davalos</t>
  </si>
  <si>
    <t>ROEL F FLAMIANO</t>
  </si>
  <si>
    <t>Illanora Gaspar Infante</t>
  </si>
  <si>
    <t>JENNY F OASAY</t>
  </si>
  <si>
    <t>Shiela May M. Noceda</t>
  </si>
  <si>
    <t>Azlek Owen B. Tan</t>
  </si>
  <si>
    <t>Eleuterio Senador Calijan</t>
  </si>
  <si>
    <t>Fe Jennifer V. Yaranon</t>
  </si>
  <si>
    <t>KAREN  M. MAGSALIN</t>
  </si>
  <si>
    <t>ROSELLER LLAMOSO CANDELARIO</t>
  </si>
  <si>
    <t>Marilu Nery Cardenas</t>
  </si>
  <si>
    <t>Restituto Busbos Bautista</t>
  </si>
  <si>
    <t>AMALIA GENOVIA ATIENDA</t>
  </si>
  <si>
    <t>Edgardo  E.  Dancel</t>
  </si>
  <si>
    <t>JED ARIES FAJARDO CASTRO</t>
  </si>
  <si>
    <t>Gemema Paclibar Robles</t>
  </si>
  <si>
    <t>Frencis Panganiban Tiu Rivera</t>
  </si>
  <si>
    <t>Anthony A. Ferrolino</t>
  </si>
  <si>
    <t>Wee Villaver</t>
  </si>
  <si>
    <t>Dennis R Marquez</t>
  </si>
  <si>
    <t>JENNALYN DEL ROSARIO GUERRA</t>
  </si>
  <si>
    <t>Abner H Labaniego</t>
  </si>
  <si>
    <t>Merlyn M. Andalleon</t>
  </si>
  <si>
    <t>Florentino Rapliza Santos, Jr.</t>
  </si>
  <si>
    <t>Atty. Raymundo Badang Bautista Jr.</t>
  </si>
  <si>
    <t>Gloria L. Duga</t>
  </si>
  <si>
    <t>JAYVEE BRYAN GALVEZ CARILLO</t>
  </si>
  <si>
    <t xml:space="preserve">ROWENA FLOR  M.  AGLUBAT </t>
  </si>
  <si>
    <t>EDEM D. ABONITALLA</t>
  </si>
  <si>
    <t>Melencia M. Novero</t>
  </si>
  <si>
    <t>Restituto Zapanta Balane</t>
  </si>
  <si>
    <t>Vannesa Bianca Garcia</t>
  </si>
  <si>
    <t>Imelda Mariano Guillermo</t>
  </si>
  <si>
    <t>VICTORIA LAGUNA SUMALDE</t>
  </si>
  <si>
    <t>Jonalyn Hernandez Villas</t>
  </si>
  <si>
    <t>MARITES BERINGUELA DIONES</t>
  </si>
  <si>
    <t>ALBERT GEÑOSO ADLAON</t>
  </si>
  <si>
    <t>FELIPA DE LEON SANTIAGO</t>
  </si>
  <si>
    <t>ELSA IBERO VILLAMOR</t>
  </si>
  <si>
    <t>Fermin Baguio Dumayas</t>
  </si>
  <si>
    <t>James Escamillas Laredo</t>
  </si>
  <si>
    <t>RONAMAE ROBIN CANOY</t>
  </si>
  <si>
    <t>Zammuel Arellano Bernales</t>
  </si>
  <si>
    <t>Robert Batulayan Pedrosa</t>
  </si>
  <si>
    <t>Carmencita J de Guzman</t>
  </si>
  <si>
    <t>ALICIA RENTILLO JUGADO</t>
  </si>
  <si>
    <t>Gilbert Bo Bolaños</t>
  </si>
  <si>
    <t>RENE M FORMACION</t>
  </si>
  <si>
    <t>Sarah Jenn R. San Blas</t>
  </si>
  <si>
    <t>Baivy Leen Mendoza Reyes</t>
  </si>
  <si>
    <t>Louela G. Glema</t>
  </si>
  <si>
    <t>BRINALYN DE LA CRUZ LONTOC</t>
  </si>
  <si>
    <t>Merlita Mangalonzo Regonda</t>
  </si>
  <si>
    <t>Zenaida Caperlac Lim - Alfonso</t>
  </si>
  <si>
    <t>Francorival Castanares Lorizo</t>
  </si>
  <si>
    <t>Marlon R Cinense</t>
  </si>
  <si>
    <t>Cristine Samulde Adigue</t>
  </si>
  <si>
    <t>MARCELO JUANICH PADILLA</t>
  </si>
  <si>
    <t>Geraldine Anievas</t>
  </si>
  <si>
    <t>Jayson Barbara Florendo</t>
  </si>
  <si>
    <t>Herbie B De Lemios</t>
  </si>
  <si>
    <t>GEMMA CARNECER MONGCAL</t>
  </si>
  <si>
    <t>Evelyn Valenzuela Manuguid</t>
  </si>
  <si>
    <t>Michele Solon Mapalo</t>
  </si>
  <si>
    <t>Eugene Raro Luces</t>
  </si>
  <si>
    <t>Ruben M. Ollete</t>
  </si>
  <si>
    <t>Harvy B. Calabio</t>
  </si>
  <si>
    <t>Marigene De Claro Joaquin</t>
  </si>
  <si>
    <t>ROSEMARIE P. VISAYA</t>
  </si>
  <si>
    <t>Alexander L Ulep</t>
  </si>
  <si>
    <t>Roy Brayan Malalad Malapote</t>
  </si>
  <si>
    <t>Homer G. Hubag</t>
  </si>
  <si>
    <t>Karen Christine O. Onanad</t>
  </si>
  <si>
    <t>Alien Belleza Empaces</t>
  </si>
  <si>
    <t>ROBERT ALBAY BUNDA</t>
  </si>
  <si>
    <t>Fernando  Federis  Mira</t>
  </si>
  <si>
    <t>Rosalyn Ruiz Ballad</t>
  </si>
  <si>
    <t>Meluchi D. Porol</t>
  </si>
  <si>
    <t>Jacinto A. Jaca</t>
  </si>
  <si>
    <t>Jayson Pascual Galbis</t>
  </si>
  <si>
    <t>Rowell M Ynzon</t>
  </si>
  <si>
    <t>joahna grace pates vahey</t>
  </si>
  <si>
    <t>Juneil L. Amarela</t>
  </si>
  <si>
    <t>Lourdes Espartero Guanzon</t>
  </si>
  <si>
    <t>MA. CECILIA REYES POTESTADES</t>
  </si>
  <si>
    <t>Rene E Maning</t>
  </si>
  <si>
    <t>Ariel A. Sotomayor</t>
  </si>
  <si>
    <t>Ruby Rina Soco</t>
  </si>
  <si>
    <t>SALVACION ANGALA OLEA</t>
  </si>
  <si>
    <t>Gilbert Cuaresma</t>
  </si>
  <si>
    <t>Norleto Bustamante</t>
  </si>
  <si>
    <t>LORENA C BELECINA</t>
  </si>
  <si>
    <t>Antonio Manlapig Cruz</t>
  </si>
  <si>
    <t>Allan Rey Del Castillo Hiponia</t>
  </si>
  <si>
    <t>Ma. Hera Geneva Oberio Billena</t>
  </si>
  <si>
    <t>Cesario R Bahalla</t>
  </si>
  <si>
    <t>Leonides M.  Joson</t>
  </si>
  <si>
    <t>Joemarie Flores Geguiera</t>
  </si>
  <si>
    <t>Eliazar Musa Firmalo</t>
  </si>
  <si>
    <t>ARLENE P MEDINA</t>
  </si>
  <si>
    <t>MICHAEL ANDREW QUIROGA FRIAS</t>
  </si>
  <si>
    <t>Conrado C De Vera</t>
  </si>
  <si>
    <t>marites leonen morzo</t>
  </si>
  <si>
    <t>Carlita Ricorte Tagalogon</t>
  </si>
  <si>
    <t>ROGELIO PURGATORIO DAÑO</t>
  </si>
  <si>
    <t>Merlina Bainco Bonalos</t>
  </si>
  <si>
    <t>SATUR CALUBANDI PAYANGDO</t>
  </si>
  <si>
    <t>Felicidad Andaya Manaois</t>
  </si>
  <si>
    <t>Laudemir S. Salac</t>
  </si>
  <si>
    <t>HILARION TACAISAN DUBRIA, JR.</t>
  </si>
  <si>
    <t>Warlie Balanay Agbunag</t>
  </si>
  <si>
    <t>Leonardo Bo Bisa</t>
  </si>
  <si>
    <t>Margie Andres Romagos</t>
  </si>
  <si>
    <t>Elizabeth Fleetwood Ortega</t>
  </si>
  <si>
    <t>Graceli De Leon</t>
  </si>
  <si>
    <t>Marissa Dela Cruz Pagaduan</t>
  </si>
  <si>
    <t>EDNA B. LACSON</t>
  </si>
  <si>
    <t>Maricel Catubig Untalan</t>
  </si>
  <si>
    <t>Marichelle Ferrer</t>
  </si>
  <si>
    <t>Joey Vincent Palao Rabanal - 1</t>
  </si>
  <si>
    <t>Edwardford Najera Dagatan</t>
  </si>
  <si>
    <t>Alejandro E.  Cortez</t>
  </si>
  <si>
    <t>ROSARIO GAOAT CALUYA</t>
  </si>
  <si>
    <t>Agnes Badilla Martino</t>
  </si>
  <si>
    <t>Suzette Caparros Sarausa</t>
  </si>
  <si>
    <t>May Grace Alvaro Palicdon</t>
  </si>
  <si>
    <t>Shykhen B. Yapac</t>
  </si>
  <si>
    <t>Shiela Narbarte Domondon</t>
  </si>
  <si>
    <t>PROCESO M. KADAVERO</t>
  </si>
  <si>
    <t>ENGR. GREGORIO VALENCIA BALUYUT</t>
  </si>
  <si>
    <t>Naomi Asendiente Bajao</t>
  </si>
  <si>
    <t>Giovanni Y. Tianero</t>
  </si>
  <si>
    <t>Marking Garcia Cruz</t>
  </si>
  <si>
    <t>JOSE NIRO R NILLASCA</t>
  </si>
  <si>
    <t>ENGR. EPIFANIO CAGANDE BAGHUCAN</t>
  </si>
  <si>
    <t>Franklin Tubiera Toledana</t>
  </si>
  <si>
    <t>elizabeth ardiente cabahug</t>
  </si>
  <si>
    <t>Elena Maniwang Santillan</t>
  </si>
  <si>
    <t>Daniel G Lacar</t>
  </si>
  <si>
    <t>Paulo F. Tagsip</t>
  </si>
  <si>
    <t>Catherine Arguilles Bayron</t>
  </si>
  <si>
    <t>Dennis Tono Ventilacion</t>
  </si>
  <si>
    <t>JOEL DALMACIA SUMAWANG</t>
  </si>
  <si>
    <t>Mario Jr. Amar Fetalver</t>
  </si>
  <si>
    <t>Roderick Trangia Songahid</t>
  </si>
  <si>
    <t>Leonardo Loñosa Guerrero</t>
  </si>
  <si>
    <t>Gary S Velayo</t>
  </si>
  <si>
    <t>Michael M.Peñaflor</t>
  </si>
  <si>
    <t>Melissa Tabal Menisterio</t>
  </si>
  <si>
    <t>Saturnino Napa Magmanlac, Jr.</t>
  </si>
  <si>
    <t>Rizza Villena Dalisay</t>
  </si>
  <si>
    <t>Rey Acerden Magbanua</t>
  </si>
  <si>
    <t>Florita Cidro Cabato</t>
  </si>
  <si>
    <t>Aaron Joshua L. Reyes</t>
  </si>
  <si>
    <t>Estrella Bacaling Abapo</t>
  </si>
  <si>
    <t>Fernando Cabasing Doinog Jr.</t>
  </si>
  <si>
    <t>Jannette L. Fronda</t>
  </si>
  <si>
    <t>Poliver Laurente Tumaneng</t>
  </si>
  <si>
    <t>Reynaldo R Dalogdog</t>
  </si>
  <si>
    <t>Engr. Joel Antonio</t>
  </si>
  <si>
    <t>GERMAN M. DELA CRUZ</t>
  </si>
  <si>
    <t>Jahra Amiry Narciso</t>
  </si>
  <si>
    <t>Geminina Callada Fernando</t>
  </si>
  <si>
    <t>Jocelyn M Romero</t>
  </si>
  <si>
    <t>ERIKA R. DURAN</t>
  </si>
  <si>
    <t>Vince Kyle Dizon Timbol</t>
  </si>
  <si>
    <t>Anton Jade Cortezo</t>
  </si>
  <si>
    <t>DENNIS MARTILLANO JAMBALOS</t>
  </si>
  <si>
    <t>Anecito  A.  Baculi</t>
  </si>
  <si>
    <t>HERALDO B. PRESADO</t>
  </si>
  <si>
    <t>Eugenia Lizabeth G. Somera</t>
  </si>
  <si>
    <t>Odessa Tomogdan Manligoy</t>
  </si>
  <si>
    <t>Abegail Cuevas Tigas</t>
  </si>
  <si>
    <t>Danilo Ragudo Rafanan</t>
  </si>
  <si>
    <t>GERALD AL P MENDOZA</t>
  </si>
  <si>
    <t>ROSALINDA TAPIA LONZAGA</t>
  </si>
  <si>
    <t>Raymond Ian Quevedo Conde</t>
  </si>
  <si>
    <t>Enrique F. Guinhawa</t>
  </si>
  <si>
    <t>Ramil L. Caseda</t>
  </si>
  <si>
    <t>Leticia Deza</t>
  </si>
  <si>
    <t>Ronald D. Elnar</t>
  </si>
  <si>
    <t>Minda Untiveros</t>
  </si>
  <si>
    <t>NIÑO ANTHONY L. MAGNO</t>
  </si>
  <si>
    <t>Mark Eduard Borda Peñas</t>
  </si>
  <si>
    <t>Venus C. Solano</t>
  </si>
  <si>
    <t>Macinole Manalo Domopoy</t>
  </si>
  <si>
    <t>Dorivic G Espina</t>
  </si>
  <si>
    <t>EFREN  CANACO  VELASCO</t>
  </si>
  <si>
    <t>Marciano Ilagan Ilagan</t>
  </si>
  <si>
    <t>Jerome Duenas Malapit</t>
  </si>
  <si>
    <t>Annabelle De Vera Quiñones</t>
  </si>
  <si>
    <t>Catherine G. Macanip</t>
  </si>
  <si>
    <t>DANIEL, JR. ALBERTO BAUTISTA</t>
  </si>
  <si>
    <t>Jose Ramirez Hainto Jr.</t>
  </si>
  <si>
    <t>ELAINE JUBAILYN MAGARANG MOCSANAT</t>
  </si>
  <si>
    <t>Mila Rodrin Creencia 2</t>
  </si>
  <si>
    <t>PRIMA BASILITA JAMILA</t>
  </si>
  <si>
    <t>JANE MACATANGAY LUCE</t>
  </si>
  <si>
    <t>ROBERTO S PAGAYUNAN</t>
  </si>
  <si>
    <t>IMELDA MATIBAG ABARINTOS</t>
  </si>
  <si>
    <t>Dennis Policarpio Garcia</t>
  </si>
  <si>
    <t>Alexander G. Diez</t>
  </si>
  <si>
    <t>Marilou Doromal Diancin</t>
  </si>
  <si>
    <t>ALVIN  L  ESTRADA.</t>
  </si>
  <si>
    <t>Aaron Espiritu Tedria</t>
  </si>
  <si>
    <t>EVELYN EVIDIENTES GUINTU</t>
  </si>
  <si>
    <t>Leticia O. Clemente</t>
  </si>
  <si>
    <t>David T. Raguindin</t>
  </si>
  <si>
    <t>Narciso Santiago Mendiola Jr.</t>
  </si>
  <si>
    <t>Rhandy D. Domingo</t>
  </si>
  <si>
    <t>Pedro D. Battung</t>
  </si>
  <si>
    <t>Eugene Barocan Damasco</t>
  </si>
  <si>
    <t>Florence Joseline Gredona</t>
  </si>
  <si>
    <t>Manuel Bryan Laguda Villarante</t>
  </si>
  <si>
    <t>MA. DIVINA  L.  FAMULARCANO</t>
  </si>
  <si>
    <t>Juda C. Sediaco</t>
  </si>
  <si>
    <t>Frazali  Sala Siega</t>
  </si>
  <si>
    <t>lovella venteroso ramos</t>
  </si>
  <si>
    <t>Ruth Glifonia Belmes</t>
  </si>
  <si>
    <t>Lilio Serviño Porcalla</t>
  </si>
  <si>
    <t>RENY ACERO CELESPARA</t>
  </si>
  <si>
    <t>ANGELINA RENDON DAET</t>
  </si>
  <si>
    <t>Medilyn Cacabelos Fernandez</t>
  </si>
  <si>
    <t>ROLAND MAYOL PEREZ</t>
  </si>
  <si>
    <t>Jacinto Guerta Ederosas</t>
  </si>
  <si>
    <t>Igmedio Santiago Casticon, CESE</t>
  </si>
  <si>
    <t>Prechie Monton Rivera</t>
  </si>
  <si>
    <t>Blesilda R. Domagas</t>
  </si>
  <si>
    <t>Dante R. Grande</t>
  </si>
  <si>
    <t>Krizza Mapalad Payonga</t>
  </si>
  <si>
    <t>Nelson Miranda Bautista</t>
  </si>
  <si>
    <t>Norman Casiple Ardina</t>
  </si>
  <si>
    <t>Mohamad Mamental Odin</t>
  </si>
  <si>
    <t>Hermie A Villa Jr.</t>
  </si>
  <si>
    <t>MAY MARQUEZ CASTILLO</t>
  </si>
  <si>
    <t>Aris A. Arellano</t>
  </si>
  <si>
    <t>KARLEEN R. DESTURA</t>
  </si>
  <si>
    <t>CANDIDO ALFRED II AZARES BANCORO</t>
  </si>
  <si>
    <t>Abdul Rahman Coliling Palao</t>
  </si>
  <si>
    <t>Carmela Panganiban Valencia</t>
  </si>
  <si>
    <t>Dinah Joy Simora Alsola</t>
  </si>
  <si>
    <t>Luzvi Delos Santos Dabuet</t>
  </si>
  <si>
    <t>MOISES D. LABIAN, JR, PhD, CESO VI</t>
  </si>
  <si>
    <t>NERISSA MACANAS GELIG</t>
  </si>
  <si>
    <t>Mary Noreen A Antonio</t>
  </si>
  <si>
    <t>Reynaldo P.  Restar</t>
  </si>
  <si>
    <t>Anthony Ladiet Villanueva</t>
  </si>
  <si>
    <t>ARTEMIO P TORDECILLA</t>
  </si>
  <si>
    <t>Jessie Yanga Cabug</t>
  </si>
  <si>
    <t>NANCY CABALLERO</t>
  </si>
  <si>
    <t>Nick Longga Bio</t>
  </si>
  <si>
    <t>Rowena M. Torreflores</t>
  </si>
  <si>
    <t>marcelino jr. viernes ramos</t>
  </si>
  <si>
    <t>Felicidad Aquino Rarang</t>
  </si>
  <si>
    <t>Kristine Joy Apostol Castillo</t>
  </si>
  <si>
    <t>Engr. Noel Galacgac Coloma</t>
  </si>
  <si>
    <t>Mary Rose Cambay Espelita</t>
  </si>
  <si>
    <t>Amador M. Leaño, Jr.</t>
  </si>
  <si>
    <t>Eileen C Argañoza</t>
  </si>
  <si>
    <t>Judilyn Tampepe Natabio</t>
  </si>
  <si>
    <t>Rowena Heramis Peralta</t>
  </si>
  <si>
    <t>Eddie Crisologo</t>
  </si>
  <si>
    <t>Ian Lemuel Bandoy Felix</t>
  </si>
  <si>
    <t>Lolita Alvarez</t>
  </si>
  <si>
    <t>Cherryl Roque Diaz</t>
  </si>
  <si>
    <t>NORMA  S.  PERASOL</t>
  </si>
  <si>
    <t>Wilson Merle Lopez</t>
  </si>
  <si>
    <t>JAMES REYES DOLOROSO</t>
  </si>
  <si>
    <t>Ademar R de Castro</t>
  </si>
  <si>
    <t>Francis Antonio Legaspi Flores</t>
  </si>
  <si>
    <t>Christopher Mabulay Rizo</t>
  </si>
  <si>
    <t>Shirley Gonzales Carino</t>
  </si>
  <si>
    <t>Marilyn Lontoc</t>
  </si>
  <si>
    <t>RIZZA VILLAROSA YADAO</t>
  </si>
  <si>
    <t>Evelyn Grace A Aperocho</t>
  </si>
  <si>
    <t>Isaac T. Bangcaya</t>
  </si>
  <si>
    <t>Leonard E. Marquez</t>
  </si>
  <si>
    <t>Carmina F. Jimenea</t>
  </si>
  <si>
    <t>Sharon Obias Dancalan</t>
  </si>
  <si>
    <t>Eunice Penaroyo Reginio</t>
  </si>
  <si>
    <t>Caroline Tubongbanua Bucita</t>
  </si>
  <si>
    <t>Elisheba Pocong Sabandal</t>
  </si>
  <si>
    <t>Leny Olitoquit Mayor</t>
  </si>
  <si>
    <t>Judith  D.  Arago</t>
  </si>
  <si>
    <t>Ana Lorraine Endaya Ellarina</t>
  </si>
  <si>
    <t>GONZALO P COCON</t>
  </si>
  <si>
    <t>Jose Ryan F Galon</t>
  </si>
  <si>
    <t>Cecilio  Arinabo</t>
  </si>
  <si>
    <t>Gerardo Jr. V Viloria</t>
  </si>
  <si>
    <t>Engr. Roberto M Digay</t>
  </si>
  <si>
    <t>Erlinda Responso Cadiente</t>
  </si>
  <si>
    <t>RAY-JAY LANZARROTE EMBOLTORIO</t>
  </si>
  <si>
    <t>RODEL PISCO SARMIENTO</t>
  </si>
  <si>
    <t>Edvil Urbiztondo Trillanes</t>
  </si>
  <si>
    <t>Acela B Bilbao</t>
  </si>
  <si>
    <t>ANTONIO JR FREIRES FECUNDO</t>
  </si>
  <si>
    <t>DIOMEDES V BONALOS</t>
  </si>
  <si>
    <t>Carla Francesca M. Guinto</t>
  </si>
  <si>
    <t>Ma. Gloria Lisette Gay R Espinas</t>
  </si>
  <si>
    <t>Ileen P. Vista</t>
  </si>
  <si>
    <t>Rommel Rekulin Cozo</t>
  </si>
  <si>
    <t>LILIBETH JAVIER DIONEZA</t>
  </si>
  <si>
    <t>MARICHELLE D. FERRER</t>
  </si>
  <si>
    <t>Rusell Gattu Lozano</t>
  </si>
  <si>
    <t>Elaine Lacsa Chavez</t>
  </si>
  <si>
    <t>MARJORIE SAMSON SAN JUAN</t>
  </si>
  <si>
    <t>Dawnavi Lae Valle Lacsado</t>
  </si>
  <si>
    <t>Matildo Montebon Raman</t>
  </si>
  <si>
    <t>Pat Andrew B. Barrientos</t>
  </si>
  <si>
    <t>Reynaldo Carbungco Esteves</t>
  </si>
  <si>
    <t>Enrico Pabalan Santos</t>
  </si>
  <si>
    <t>Angelie de la Llave Intico</t>
  </si>
  <si>
    <t>HELEN C. SILVA</t>
  </si>
  <si>
    <t>Arnoldo A. Ramos Jr.</t>
  </si>
  <si>
    <t>ROXAN KASTINE MENDOZA LUMAPAS</t>
  </si>
  <si>
    <t>Reynante Bayungan Salazar Sr.</t>
  </si>
  <si>
    <t>JIMMY AMBROCIO FAMARANCO</t>
  </si>
  <si>
    <t>WILFREDO BRIAN COMING</t>
  </si>
  <si>
    <t>ARIEL BUMAGAT CUENTAS</t>
  </si>
  <si>
    <t>Carlos Seechung</t>
  </si>
  <si>
    <t>Mary Dumangeng Baguilat</t>
  </si>
  <si>
    <t>novenia viloria</t>
  </si>
  <si>
    <t>Eddie Richard Roa Lagnada</t>
  </si>
  <si>
    <t>Ma. Emelene P. Coquilla</t>
  </si>
  <si>
    <t>Juliet H. Melo</t>
  </si>
  <si>
    <t>Renzo Iray De Leon</t>
  </si>
  <si>
    <t>Edwin Tortosa Torres Jr</t>
  </si>
  <si>
    <t>June   C.  Caberoy</t>
  </si>
  <si>
    <t>Jonas A Tesoro</t>
  </si>
  <si>
    <t>NECESARIO B. DONAYRE</t>
  </si>
  <si>
    <t>FERNANDO ORACION</t>
  </si>
  <si>
    <t>Ofelia Dimabuyo Napalit</t>
  </si>
  <si>
    <t>Armando Naldoza Diamante</t>
  </si>
  <si>
    <t>Princess Carmela Villegas Arcillas</t>
  </si>
  <si>
    <t>Teresita Bravo Guiang</t>
  </si>
  <si>
    <t>Melinda R Abanilla</t>
  </si>
  <si>
    <t>LENNIE M. MERCADO</t>
  </si>
  <si>
    <t>KEREN JOYCE DAYOT POLICARPIO</t>
  </si>
  <si>
    <t>ERNESTO N. ARCO</t>
  </si>
  <si>
    <t>Reynaldo  P.  Dela Questa</t>
  </si>
  <si>
    <t>JOHN JOHN CASTILLO FAULVE</t>
  </si>
  <si>
    <t>Lealyn Baoy Dy</t>
  </si>
  <si>
    <t>AGNES I LUHA</t>
  </si>
  <si>
    <t>HENRY REYES TURA</t>
  </si>
  <si>
    <t>RODOLFO DE GUZMAN DE VERA</t>
  </si>
  <si>
    <t>Aprile Fornis Ragas</t>
  </si>
  <si>
    <t>Rebecca Marcilla Agbay</t>
  </si>
  <si>
    <t>Roger Sr. A Obra</t>
  </si>
  <si>
    <t>GINA LACSARON SERVANO</t>
  </si>
  <si>
    <t>LEA C. BARASI</t>
  </si>
  <si>
    <t>SHEILA ERICA GUARDADO TUBERA</t>
  </si>
  <si>
    <t>Jhune M Rivera</t>
  </si>
  <si>
    <t>GINA GINTO VILLEGAS</t>
  </si>
  <si>
    <t>ELIZABETH FERNANDO CRUZ</t>
  </si>
  <si>
    <t>Lymarie Alcantara Malicdem</t>
  </si>
  <si>
    <t>Joy  G. Pumanes</t>
  </si>
  <si>
    <t>Melany Trinanes</t>
  </si>
  <si>
    <t>Florence Joy R. Mallare-Abad</t>
  </si>
  <si>
    <t>Judith Nomio</t>
  </si>
  <si>
    <t>Haziel Joy Adriano</t>
  </si>
  <si>
    <t>David B. Reyes, Jr.</t>
  </si>
  <si>
    <t>Jerry Grace G Danao</t>
  </si>
  <si>
    <t>Darmo Sumat Ganiban</t>
  </si>
  <si>
    <t>Arsenio Macaspac Lasam</t>
  </si>
  <si>
    <t>merly m montenegro</t>
  </si>
  <si>
    <t>GLENN O. NAGUIT</t>
  </si>
  <si>
    <t>ETHEL M. GOH</t>
  </si>
  <si>
    <t>Rose M Villena</t>
  </si>
  <si>
    <t>Cristina Amparo M Linan</t>
  </si>
  <si>
    <t>JUNREY RATILLA</t>
  </si>
  <si>
    <t>VALENTE MICLAT HALILI</t>
  </si>
  <si>
    <t>Roselma Catherine Garrote Cantos</t>
  </si>
  <si>
    <t>Edgar Bumanglag Llapitan</t>
  </si>
  <si>
    <t>Mr. Sharold B Magallones</t>
  </si>
  <si>
    <t>Ivan Cruz</t>
  </si>
  <si>
    <t>Rico Basilio Macabare</t>
  </si>
  <si>
    <t>JASON  TIPAYNO BULASAO</t>
  </si>
  <si>
    <t>Janeth Cabalida Vailoces</t>
  </si>
  <si>
    <t>Janely Porras Ansoyon</t>
  </si>
  <si>
    <t>PAUL BANTUGAN CUARTERO</t>
  </si>
  <si>
    <t>Velasco Barcarse Mario</t>
  </si>
  <si>
    <t>Ignacio Subebe</t>
  </si>
  <si>
    <t>Veronica Vergara De Jesus</t>
  </si>
  <si>
    <t>JONEFE GOMEZ OCASLA</t>
  </si>
  <si>
    <t>Lelanie Alfaro Maturan</t>
  </si>
  <si>
    <t>Isidro Alabag Gumpad</t>
  </si>
  <si>
    <t>Antoinette Pipo</t>
  </si>
  <si>
    <t>Gerry G Jucar</t>
  </si>
  <si>
    <t>Jacquiline Labrada Ocasla</t>
  </si>
  <si>
    <t>Claudio  D.  Del Monte</t>
  </si>
  <si>
    <t>JEZREEL JOHN MANALO MATRE</t>
  </si>
  <si>
    <t>Mary Nor Jontilla Gonzales</t>
  </si>
  <si>
    <t>COLEEN C LOMOLJO</t>
  </si>
  <si>
    <t>Edwin B Mendoza</t>
  </si>
  <si>
    <t>EDMUND PAPEL SOMORAY</t>
  </si>
  <si>
    <t>Ivylea Cantago</t>
  </si>
  <si>
    <t>JURIS CARINA PALOMO LUGO</t>
  </si>
  <si>
    <t>JUDITH BARRACA UNILONGO</t>
  </si>
  <si>
    <t>LEO ELOGADA DELOS SANTOS</t>
  </si>
  <si>
    <t>Jackson L. Pasamic</t>
  </si>
  <si>
    <t>Gerard  Masalig Morales</t>
  </si>
  <si>
    <t>Blesilda P. Makabali</t>
  </si>
  <si>
    <t>ANASTACIO MAMALIAS  BAHINTING</t>
  </si>
  <si>
    <t>CLEOFE TUBA Polido</t>
  </si>
  <si>
    <t>Eddie cabacungan Acosta</t>
  </si>
  <si>
    <t>Pablo Villamonte Nicolita</t>
  </si>
  <si>
    <t>Maricel Duque Felipe</t>
  </si>
  <si>
    <t>Gaudioso Paredes Boiser</t>
  </si>
  <si>
    <t>Wanessah Charmie Fadri Fardiquela</t>
  </si>
  <si>
    <t>Aprilla M Camilot</t>
  </si>
  <si>
    <t>Nelly Reiza M De Ocampo</t>
  </si>
  <si>
    <t>XYRAINE MAE S. MAGLASANG</t>
  </si>
  <si>
    <t>Theresa B. Dela Pena</t>
  </si>
  <si>
    <t>Randy M. Lorin</t>
  </si>
  <si>
    <t>Giovanne Tan  Lim</t>
  </si>
  <si>
    <t>Gonzalo Taguenca Pusta</t>
  </si>
  <si>
    <t>Bienvenido Jr. Eclipse Siguan</t>
  </si>
  <si>
    <t>ROMEO S BUGNOT</t>
  </si>
  <si>
    <t>Maria Theresa Sta. Cruz Sanz</t>
  </si>
  <si>
    <t>Noli P Apostol</t>
  </si>
  <si>
    <t>Reynold Visaya</t>
  </si>
  <si>
    <t>Godofredo P Madariaga</t>
  </si>
  <si>
    <t>Donato Silvano Advincula</t>
  </si>
  <si>
    <t>Jamaica Gruesco Ebrada</t>
  </si>
  <si>
    <t>AGOSTO BELINO BAOBAOEN</t>
  </si>
  <si>
    <t>Mario V. Abad</t>
  </si>
  <si>
    <t>Teresita L. Vitug</t>
  </si>
  <si>
    <t>ELIZABETH M MUNDA</t>
  </si>
  <si>
    <t>Angelina R Villanoy</t>
  </si>
  <si>
    <t>EDDIEMAR AGANON</t>
  </si>
  <si>
    <t>Josephine Gozon Madlangsakay</t>
  </si>
  <si>
    <t>Magdalina Makiling Bongales</t>
  </si>
  <si>
    <t>ABNER VILLAFLOR DE LA CRUZ</t>
  </si>
  <si>
    <t>Norbert Villagracia Lim</t>
  </si>
  <si>
    <t>Rosel Montaus Miras</t>
  </si>
  <si>
    <t>Kim James Ferolino Sombilon</t>
  </si>
  <si>
    <t>Corazon A. Yamit Abao Yamit</t>
  </si>
  <si>
    <t>Edbert Piosca Soliven</t>
  </si>
  <si>
    <t>Kennedy Madronio Urbano</t>
  </si>
  <si>
    <t>ALLAN P. RAMBANO</t>
  </si>
  <si>
    <t>Noli U. Guiad</t>
  </si>
  <si>
    <t>Gilda Filoteo Lluisma</t>
  </si>
  <si>
    <t>john michael horario alvarez</t>
  </si>
  <si>
    <t>Mitos Villareal Royo</t>
  </si>
  <si>
    <t>CHARYMELLE O FORONDA</t>
  </si>
  <si>
    <t>Frisco Masibay Lahoy</t>
  </si>
  <si>
    <t>Fernando Boricano Mercene</t>
  </si>
  <si>
    <t>Zenaida M Formentera</t>
  </si>
  <si>
    <t>Mia Marinelle Ramos Labuguen</t>
  </si>
  <si>
    <t>Neri Tadeo Beley</t>
  </si>
  <si>
    <t>ALLEN  VILLUGA</t>
  </si>
  <si>
    <t>Ma. Emilyn Sweetie Leonor Protacio</t>
  </si>
  <si>
    <t>Reniza L Abellera</t>
  </si>
  <si>
    <t>Wilfredo F. Gundran</t>
  </si>
  <si>
    <t>Willbert D Hosme</t>
  </si>
  <si>
    <t>Lolita Milante Polillo</t>
  </si>
  <si>
    <t>Eugene Tolentino Garcia</t>
  </si>
  <si>
    <t>Pascual D. Espinosa IV</t>
  </si>
  <si>
    <t>Irene Tabanda</t>
  </si>
  <si>
    <t>VIVIENNE GENEVIEVE CAASI AGUILOS</t>
  </si>
  <si>
    <t>Marcus Andico Cupino</t>
  </si>
  <si>
    <t>Emelita  Moya  Gutierrez</t>
  </si>
  <si>
    <t>Edelyn Arasan Soriano</t>
  </si>
  <si>
    <t>Beverly Mae M Brebante</t>
  </si>
  <si>
    <t>Claress Montojo</t>
  </si>
  <si>
    <t>Amalia Acay Ibarra</t>
  </si>
  <si>
    <t>Leo Hernandez</t>
  </si>
  <si>
    <t>MARIA TERESA HOCSON MIRABUENO</t>
  </si>
  <si>
    <t>GINA R ASULA</t>
  </si>
  <si>
    <t>Engr. Arnulfo F. Tena</t>
  </si>
  <si>
    <t>Mae Marie E Hernandez</t>
  </si>
  <si>
    <t>Samuel Cimeni Penales</t>
  </si>
  <si>
    <t>ALFREDO DANDO DELOS SANTOS</t>
  </si>
  <si>
    <t>ROSEMARIE M. LAWAS</t>
  </si>
  <si>
    <t>Reynaldo Manlupig Basco</t>
  </si>
  <si>
    <t>JOCELYN MENOR TOMON</t>
  </si>
  <si>
    <t>Oliver L Romero</t>
  </si>
  <si>
    <t>Paul Brix P Advincula</t>
  </si>
  <si>
    <t>SALVADOR P ACEBUCHE</t>
  </si>
  <si>
    <t>GIL GABRIEL HIDALGO BORDADO III</t>
  </si>
  <si>
    <t>NENA G. BANGGAT</t>
  </si>
  <si>
    <t>Maria Andrea Carvajal Tiong</t>
  </si>
  <si>
    <t>Ferdinand P. Tumaliuan</t>
  </si>
  <si>
    <t>Verlene Layaoen Melendez</t>
  </si>
  <si>
    <t>Elena Tayag Villa</t>
  </si>
  <si>
    <t>Honey Sahara Bautista Aleman</t>
  </si>
  <si>
    <t>MARIO ABANTO TALLEDO</t>
  </si>
  <si>
    <t>ESTRELLA E. VINO</t>
  </si>
  <si>
    <t>Hanz Willbur Domondon Quebral</t>
  </si>
  <si>
    <t>Cyril D. Valencerina</t>
  </si>
  <si>
    <t>Flordeliza Aquino Ibaite</t>
  </si>
  <si>
    <t>Susan Marzan Casilang</t>
  </si>
  <si>
    <t>Nida B Macam</t>
  </si>
  <si>
    <t>Renen P. Cayabyab</t>
  </si>
  <si>
    <t>Lucila G De Ocampo</t>
  </si>
  <si>
    <t>Edgar S Ocampo</t>
  </si>
  <si>
    <t>ABETH JOSE BUENTIPO BARBA</t>
  </si>
  <si>
    <t>Ronie Niduaza</t>
  </si>
  <si>
    <t>JOMAR D. OLIVA</t>
  </si>
  <si>
    <t>Roderick Casulla Macinas</t>
  </si>
  <si>
    <t>Manuel Dacuma</t>
  </si>
  <si>
    <t>ROSLYN D RUIZ</t>
  </si>
  <si>
    <t>Leonardo  Carandang  Villanueva</t>
  </si>
  <si>
    <t>Maricel S. Yu</t>
  </si>
  <si>
    <t>Jeraldo Cauguiran So</t>
  </si>
  <si>
    <t>VEMIE MONTEJO ESTOLOGA</t>
  </si>
  <si>
    <t>Anthony Balbuena Lozada</t>
  </si>
  <si>
    <t>Marjorie G Diño</t>
  </si>
  <si>
    <t>Khristel Jade De Ocampo Villanueva</t>
  </si>
  <si>
    <t>Juliet Corregidor Custodio</t>
  </si>
  <si>
    <t>Victoria Taguinod Padilla</t>
  </si>
  <si>
    <t>ME-ANN CABOG CENON</t>
  </si>
  <si>
    <t>Edna Leorna  G.  Macapugay</t>
  </si>
  <si>
    <t>Arnulfo Escultor Salazar Jr.</t>
  </si>
  <si>
    <t>Isidro Lopez Tapar</t>
  </si>
  <si>
    <t>Betty Lou Gornez</t>
  </si>
  <si>
    <t>Imelda D. Baltazar</t>
  </si>
  <si>
    <t>Eduardo A. Sieras</t>
  </si>
  <si>
    <t>Joy Melga Buendia Olazo</t>
  </si>
  <si>
    <t>MELANDRES V GUILLERMO</t>
  </si>
  <si>
    <t>ARNEL USITA URGANAY</t>
  </si>
  <si>
    <t>JERUFFABELLE ARZADON BAUYON</t>
  </si>
  <si>
    <t>FRANK FALANGAN FANGED</t>
  </si>
  <si>
    <t>LUCIO F. PEQUIRO</t>
  </si>
  <si>
    <t>Nellie A Francisco</t>
  </si>
  <si>
    <t>KAREN KAY ANNE RECIDO</t>
  </si>
  <si>
    <t>Eugenio T. Rosete</t>
  </si>
  <si>
    <t>Julius Asuit Arcinas</t>
  </si>
  <si>
    <t>JOSE URVILLE DON DAGONDON MALIPER</t>
  </si>
  <si>
    <t>Maria Lucia Sanchez</t>
  </si>
  <si>
    <t>MARISSA PANLILIO ORTIZ</t>
  </si>
  <si>
    <t>Marcos M. Kusain, JD, MPA</t>
  </si>
  <si>
    <t>Victoria R. Del Rosario</t>
  </si>
  <si>
    <t>Ghona Capecenio Abarca</t>
  </si>
  <si>
    <t>Mario Galila Parreño</t>
  </si>
  <si>
    <t>Vilmaflor T Salangsang</t>
  </si>
  <si>
    <t>JOSELITO T ARAO</t>
  </si>
  <si>
    <t>VIRGINIA NENENG MARTIN</t>
  </si>
  <si>
    <t>Joshua Abejero Adanza</t>
  </si>
  <si>
    <t>Reynaldo Ninon Manaog</t>
  </si>
  <si>
    <t>DENNIS  TUMULAK  BENAVIDES</t>
  </si>
  <si>
    <t>Ma. Luisa C Tenedero</t>
  </si>
  <si>
    <t>Oscar Jr. E Perey</t>
  </si>
  <si>
    <t>Ralph Martin Romero Roque</t>
  </si>
  <si>
    <t>Roderick Vergara</t>
  </si>
  <si>
    <t>Espectacion Rafols</t>
  </si>
  <si>
    <t>Marissa G. Quijano</t>
  </si>
  <si>
    <t>Erwin R Suficiencia</t>
  </si>
  <si>
    <t>LEIZL RUPIN SALINAS</t>
  </si>
  <si>
    <t>Teresita O. Jasmin</t>
  </si>
  <si>
    <t>Roda Dolores Franco</t>
  </si>
  <si>
    <t>Atilano Alinarte Abilay</t>
  </si>
  <si>
    <t>abeguel chris acevedo opema</t>
  </si>
  <si>
    <t>Jocelyn M. Dano</t>
  </si>
  <si>
    <t>Reggie C Placido</t>
  </si>
  <si>
    <t>Marivie R. Manero-Fernandez</t>
  </si>
  <si>
    <t>Lourvelyn Sicat Lacson</t>
  </si>
  <si>
    <t>Ma. Leticia C Salcedo</t>
  </si>
  <si>
    <t>Roxanne Lagnason Manoos</t>
  </si>
  <si>
    <t>Anjie P. Ytac</t>
  </si>
  <si>
    <t>Genalyn M Montenegro</t>
  </si>
  <si>
    <t>Loribel Cagatan</t>
  </si>
  <si>
    <t>Aries C. Tang</t>
  </si>
  <si>
    <t>Deniel Salvador Bentoy Morillo</t>
  </si>
  <si>
    <t>Roberto De Guzman Estrella</t>
  </si>
  <si>
    <t>Dexter S. Gaddi</t>
  </si>
  <si>
    <t>Arnold A. De Castro</t>
  </si>
  <si>
    <t>Marlon Sibal Danao</t>
  </si>
  <si>
    <t>Engr Renie R Albarina</t>
  </si>
  <si>
    <t>Rita Grace Alviar Pascua</t>
  </si>
  <si>
    <t>Corazon Parido Plameras</t>
  </si>
  <si>
    <t>EVELYN ANDRES GAPERO</t>
  </si>
  <si>
    <t>Pedrito B. Abregana</t>
  </si>
  <si>
    <t>FRANCISCO D. GUINAYON</t>
  </si>
  <si>
    <t>RAYMUND R. MATEO</t>
  </si>
  <si>
    <t>Mark D. Abayan</t>
  </si>
  <si>
    <t>Arnel Caparros Portales</t>
  </si>
  <si>
    <t>Jeffrey G. Apilado</t>
  </si>
  <si>
    <t>Silvestre Jr. Villamor</t>
  </si>
  <si>
    <t>Elmer O Macalma</t>
  </si>
  <si>
    <t>Adrian Magcamit Aguilar</t>
  </si>
  <si>
    <t>Nelia Marile Castillo</t>
  </si>
  <si>
    <t>Jelly Mangilaya Laurente</t>
  </si>
  <si>
    <t>Peachy Natividad E. Chatto</t>
  </si>
  <si>
    <t>Marichu Lachica Villa-real</t>
  </si>
  <si>
    <t>Richard Cammayo Malayao</t>
  </si>
  <si>
    <t>RONIEL MAMUAD INIEGO</t>
  </si>
  <si>
    <t>Divina Gracia Binuya</t>
  </si>
  <si>
    <t>ORLANDO BACLIG NAVAL, SR.</t>
  </si>
  <si>
    <t>REYNALD V. SAMBRANO</t>
  </si>
  <si>
    <t>Edito Suyom Macasait</t>
  </si>
  <si>
    <t>Albert C. Villamor</t>
  </si>
  <si>
    <t>Melvin B. Arevalo</t>
  </si>
  <si>
    <t>Blessilda May S.  Angeles</t>
  </si>
  <si>
    <t>Heireyne Joy D. Apresto</t>
  </si>
  <si>
    <t>Mark Joton Paguirigan Ramirez</t>
  </si>
  <si>
    <t>Jasmen Joguilon Pablo</t>
  </si>
  <si>
    <t>Amerhussien Basher Panganting</t>
  </si>
  <si>
    <t>GILDA BORRE AJERO</t>
  </si>
  <si>
    <t>LEMUEL  BON  CAMACHO</t>
  </si>
  <si>
    <t>Beatriz V. Bibat</t>
  </si>
  <si>
    <t>alfredo samson</t>
  </si>
  <si>
    <t>Sharon Victor Alita</t>
  </si>
  <si>
    <t>KATHERINE BOGNOT GOMEZ</t>
  </si>
  <si>
    <t>Gloria P Bonalos</t>
  </si>
  <si>
    <t>Luzviminda Bentulan Muyco</t>
  </si>
  <si>
    <t>crisanta barrocan bono</t>
  </si>
  <si>
    <t>ESTELA FELINA BUCSIT MORALES</t>
  </si>
  <si>
    <t>Leslie A. Aguilar</t>
  </si>
  <si>
    <t>Abner  R.  Formento</t>
  </si>
  <si>
    <t>Arnold  M.  Manalo</t>
  </si>
  <si>
    <t>Geremie Noble Tajada</t>
  </si>
  <si>
    <t>Hamza M. Boloto</t>
  </si>
  <si>
    <t>Alver P Lamoste, CPA</t>
  </si>
  <si>
    <t>Marcelino Jr. R. Bebanco</t>
  </si>
  <si>
    <t>Sheila Riva B. Soriaga</t>
  </si>
  <si>
    <t>Guillermo Alquiza Preglo</t>
  </si>
  <si>
    <t>MARK XIST ALBERT A. BAELLO</t>
  </si>
  <si>
    <t>Romeo Dumadaug Palmares</t>
  </si>
  <si>
    <t>Ebenezer Presentacion Presentacion</t>
  </si>
  <si>
    <t>ROY DOLINO BENDANILLO</t>
  </si>
  <si>
    <t>Naomie Dahunan Zalsos</t>
  </si>
  <si>
    <t>Erwin L. Tepace</t>
  </si>
  <si>
    <t>ROSALIN SIMPIA SUROPIA</t>
  </si>
  <si>
    <t>Romeo Avelino Tiri</t>
  </si>
  <si>
    <t>Johnson Urlanda Bonifacio</t>
  </si>
  <si>
    <t>JHOANNA RATIFICAR YANGCO</t>
  </si>
  <si>
    <t>Duannie Chico Gonzales</t>
  </si>
  <si>
    <t>KARENTH PARAYAOAN PALACPAC</t>
  </si>
  <si>
    <t>Vladimir Prado Torres</t>
  </si>
  <si>
    <t>EVANGELINE ESCALO DURUIN</t>
  </si>
  <si>
    <t>Roxan Yvonne Torrero Dayondon</t>
  </si>
  <si>
    <t>Criszen Baluyot BAUTISTA</t>
  </si>
  <si>
    <t>CONSUELO R. GEDUSPAN</t>
  </si>
  <si>
    <t>JENNIFER ROXAS MERCOLITA</t>
  </si>
  <si>
    <t>ANTHONY  ARTHUR D. FERNANDEZ</t>
  </si>
  <si>
    <t>ANDREA LACAMBRA FLORA</t>
  </si>
  <si>
    <t>MILDRED AUSA DELOS SANTOS</t>
  </si>
  <si>
    <t>Oscar  Dela Cruz Monsanto</t>
  </si>
  <si>
    <t>EMMA SALTIGA ROSALES</t>
  </si>
  <si>
    <t>Donell Mark  Francisco Baranda</t>
  </si>
  <si>
    <t>Ronnie B. Besa</t>
  </si>
  <si>
    <t>Jaime B Merquita Jr.</t>
  </si>
  <si>
    <t>Roberto Alngag Chulsi</t>
  </si>
  <si>
    <t>Jerald M Sevilla</t>
  </si>
  <si>
    <t>ORLANDO LIBORES ROMERO</t>
  </si>
  <si>
    <t>arnulfo Acong Jalimao</t>
  </si>
  <si>
    <t>CRISABETH AVERGONZADO BAUTISTA</t>
  </si>
  <si>
    <t>Ludivino Jone Egagamao</t>
  </si>
  <si>
    <t>NIRO ROTE NINIANO</t>
  </si>
  <si>
    <t>GENE T PANGILINAN</t>
  </si>
  <si>
    <t>Reno C Salazar</t>
  </si>
  <si>
    <t>REINA BLANCA D REMPILLO</t>
  </si>
  <si>
    <t>Ferlina D. Ventanilla</t>
  </si>
  <si>
    <t>ZALDY RADOMES PACAYRA</t>
  </si>
  <si>
    <t>Mercedes Inway Luto</t>
  </si>
  <si>
    <t>John David E Bonifacio</t>
  </si>
  <si>
    <t>Clarito Blanche Cadiz</t>
  </si>
  <si>
    <t>Jonathan S Reyes</t>
  </si>
  <si>
    <t>Nolly Adrian B. Gabule</t>
  </si>
  <si>
    <t>MARIVIC CALABIO PRADO</t>
  </si>
  <si>
    <t>Perlita Senarillos Pabillaran</t>
  </si>
  <si>
    <t>Rolando C. Lumboy</t>
  </si>
  <si>
    <t>Barangay I</t>
  </si>
  <si>
    <t>Rene Cinco Lauro</t>
  </si>
  <si>
    <t>Oliver M. Canay</t>
  </si>
  <si>
    <t>Odessa Barba Tejada</t>
  </si>
  <si>
    <t>Gessanth Jay Celestial Silva</t>
  </si>
  <si>
    <t>Barangay Nangkaan Mataasnakahoy</t>
  </si>
  <si>
    <t>Ninez B. Regalado</t>
  </si>
  <si>
    <t>Maria Teresa Guerrero</t>
  </si>
  <si>
    <t>Juliet Zinampan Altura</t>
  </si>
  <si>
    <t>LEONIDA LLURAG VALDEZ</t>
  </si>
  <si>
    <t>Meralona R. Palasan</t>
  </si>
  <si>
    <t>Glonita Fresnido Gellido</t>
  </si>
  <si>
    <t>Romy Alusen Bucalen</t>
  </si>
  <si>
    <t>Jesus Maureal Gloria</t>
  </si>
  <si>
    <t>James Frawley Sacueza Savellano</t>
  </si>
  <si>
    <t>Ramon Gamboa Burgos</t>
  </si>
  <si>
    <t>TERESITA FELICIDAD SACAYLE LUCAGBO</t>
  </si>
  <si>
    <t>Lolita D Solis</t>
  </si>
  <si>
    <t>Angelo Aniar Sabaybay</t>
  </si>
  <si>
    <t>Ma.Gemma C. Lasala</t>
  </si>
  <si>
    <t>Antonio Jr. P Ortacio</t>
  </si>
  <si>
    <t>Laurence Bryan R. Malana</t>
  </si>
  <si>
    <t>JONATHAN R. HIJADA</t>
  </si>
  <si>
    <t>Brenda R. Morales</t>
  </si>
  <si>
    <t>kethlyn franco villar</t>
  </si>
  <si>
    <t>Salem Torres Cervantes</t>
  </si>
  <si>
    <t>Danna Marie B. Asentista</t>
  </si>
  <si>
    <t>PEREGRINA ERONICO CAROSUS</t>
  </si>
  <si>
    <t>IMELDA NAVALTA CANUMAY</t>
  </si>
  <si>
    <t>Nilo Morco Soria</t>
  </si>
  <si>
    <t>DELMA C FERNANDEZ</t>
  </si>
  <si>
    <t>Diana Cantiga Balunan</t>
  </si>
  <si>
    <t>Tessie Bocales Lingbanan</t>
  </si>
  <si>
    <t>LETICIA PANAGUITON OSORIO</t>
  </si>
  <si>
    <t>Pia B Abengoza</t>
  </si>
  <si>
    <t>Wilfur Jr.  D Herrera</t>
  </si>
  <si>
    <t>Jeffin Dick M Vidal</t>
  </si>
  <si>
    <t>Julieta C Romen</t>
  </si>
  <si>
    <t>JOWEL BAHIA RAMOS</t>
  </si>
  <si>
    <t>ROY F DELA CRUZ</t>
  </si>
  <si>
    <t>Aldino Ariola Bazar</t>
  </si>
  <si>
    <t>VANESSA JANE CEBALLOS LIM</t>
  </si>
  <si>
    <t>Gerald B Alvaro</t>
  </si>
  <si>
    <t>ESTELA  B  TUSE</t>
  </si>
  <si>
    <t>Arlene A Amen</t>
  </si>
  <si>
    <t>Lenyln M. Pagay</t>
  </si>
  <si>
    <t>Ronnie Gecolea Sierva</t>
  </si>
  <si>
    <t>Ivan Nikko Cabrera Tormis</t>
  </si>
  <si>
    <t>Ma. Luz Salonga Reyes</t>
  </si>
  <si>
    <t>EDGAR C. OLACO</t>
  </si>
  <si>
    <t>Florenda Aninon Ricaplaza</t>
  </si>
  <si>
    <t>Rhodora Banusing Nuñal</t>
  </si>
  <si>
    <t>ORLANDO FESICO PAN</t>
  </si>
  <si>
    <t>Francisco A  De Castro</t>
  </si>
  <si>
    <t>Rosalind Rosal Vasquez</t>
  </si>
  <si>
    <t>Francisco Lagdamen</t>
  </si>
  <si>
    <t>Reynaldo Collado Floria</t>
  </si>
  <si>
    <t>BERNARD EVANGELISTA</t>
  </si>
  <si>
    <t>CELSO NASOL</t>
  </si>
  <si>
    <t>Ryan Chester G. Fong</t>
  </si>
  <si>
    <t>BRENDO C. AUDIENCIA</t>
  </si>
  <si>
    <t>DONNA M PADUA</t>
  </si>
  <si>
    <t>Marilou Lontoc Lascano</t>
  </si>
  <si>
    <t>Maria Divina Concepcion Evangelista</t>
  </si>
  <si>
    <t>Dindo Bautista Gonzales</t>
  </si>
  <si>
    <t>MARIELLE SANDRA GAVIOLA</t>
  </si>
  <si>
    <t>Jocelyn Maalat Torda</t>
  </si>
  <si>
    <t>Mercidita Vega</t>
  </si>
  <si>
    <t>Sheila Mae T.  Toyorada</t>
  </si>
  <si>
    <t>Elena Hastia Tunacao</t>
  </si>
  <si>
    <t>Francisco III Dacillo Booc</t>
  </si>
  <si>
    <t>Sharon Jane Antonis Dacuno</t>
  </si>
  <si>
    <t>Rosalia Bardaje Crame</t>
  </si>
  <si>
    <t>Cleofe A Amores</t>
  </si>
  <si>
    <t>BENEDICTA BAYBADO BAUTISTA</t>
  </si>
  <si>
    <t>IRENEO L. SORIANO, JR.</t>
  </si>
  <si>
    <t>estela altomera edma</t>
  </si>
  <si>
    <t>JOSE L MANZANO</t>
  </si>
  <si>
    <t>Sancho Jr.   S.  Oaminal</t>
  </si>
  <si>
    <t>Ralph Ceasar Balane Vallar</t>
  </si>
  <si>
    <t>AURORA CUDAL CUARESMA</t>
  </si>
  <si>
    <t>Cecille Angeline 09171477690 Lipardo</t>
  </si>
  <si>
    <t>Janelle B Rosete</t>
  </si>
  <si>
    <t>Leda Penarubia Redoble</t>
  </si>
  <si>
    <t>HENRY JOHN U. MORADA</t>
  </si>
  <si>
    <t>Vanessa Mendoza Aguilar</t>
  </si>
  <si>
    <t>Agnes Anib Montefolka</t>
  </si>
  <si>
    <t>Jelenita D Limot</t>
  </si>
  <si>
    <t>RUTRIFE  JAPAY MALIGRO</t>
  </si>
  <si>
    <t>Chona Terrayo Flores</t>
  </si>
  <si>
    <t>BENIGNO MATEO BONUS</t>
  </si>
  <si>
    <t>Celina L. Padchanan</t>
  </si>
  <si>
    <t>ANNALIZA LAUREO GARCIA</t>
  </si>
  <si>
    <t>Noryn B. Bagano</t>
  </si>
  <si>
    <t>Ma. Teresa M Layug</t>
  </si>
  <si>
    <t>Agnes Lara Gabriel</t>
  </si>
  <si>
    <t>Sherlita Laguna Ogaya</t>
  </si>
  <si>
    <t>JERSON D. REYES</t>
  </si>
  <si>
    <t>Michelle Supat Magbanua</t>
  </si>
  <si>
    <t>Ronel Mark Tinapao Suarez</t>
  </si>
  <si>
    <t>Julie Joy Bayoguing Divinagracia</t>
  </si>
  <si>
    <t>Emily B Laigo</t>
  </si>
  <si>
    <t>Virgie N Bibat</t>
  </si>
  <si>
    <t>Jahnson Salidaga Yap</t>
  </si>
  <si>
    <t>Jocelyn Diaz Sagang</t>
  </si>
  <si>
    <t>Cheryl Escoro Ortiz</t>
  </si>
  <si>
    <t>Leonora Gentica Lee</t>
  </si>
  <si>
    <t>ROMARICO M. CABELLON</t>
  </si>
  <si>
    <t>Amador Baldos Diaz</t>
  </si>
  <si>
    <t>Lolita Fabre Ismael</t>
  </si>
  <si>
    <t>David Calayeg Lumaang</t>
  </si>
  <si>
    <t>ALLEN M FORTES</t>
  </si>
  <si>
    <t>Oscar L Migar</t>
  </si>
  <si>
    <t>Ray P. Mate</t>
  </si>
  <si>
    <t>Arnel Villamor Esller</t>
  </si>
  <si>
    <t>Renejene M. Umali</t>
  </si>
  <si>
    <t>Eddie V Daday</t>
  </si>
  <si>
    <t>Irein E. Landicho</t>
  </si>
  <si>
    <t>Jessie Povadora Saquilabon</t>
  </si>
  <si>
    <t>Chona D. Derramas</t>
  </si>
  <si>
    <t>Jennifer Sayson Teo</t>
  </si>
  <si>
    <t>emmanuel bendita juanitas</t>
  </si>
  <si>
    <t>Yolanda T Egam</t>
  </si>
  <si>
    <t>MONALINA GEBONGA BAINGAN</t>
  </si>
  <si>
    <t>Dominador N Castañeto Jr.</t>
  </si>
  <si>
    <t>MERCEDES M. ALFUERTE</t>
  </si>
  <si>
    <t>PATRICIA TAN MARA</t>
  </si>
  <si>
    <t>Marissa de Guzman Bautista</t>
  </si>
  <si>
    <t>Lucena Macalindong Garma</t>
  </si>
  <si>
    <t>Patricia Kaye Lorio Amate</t>
  </si>
  <si>
    <t>Estrella H Guadalquiver</t>
  </si>
  <si>
    <t>Consuelo Javier Cruz</t>
  </si>
  <si>
    <t>Chari Rose Mozol Apit</t>
  </si>
  <si>
    <t>JENNY BEE HERBILLA RIVERA</t>
  </si>
  <si>
    <t>Mar P. Viernes</t>
  </si>
  <si>
    <t>Jeziel Jordan C. Genita</t>
  </si>
  <si>
    <t>Edward Doctor Carillo</t>
  </si>
  <si>
    <t>Marc Louis B. Sampilo</t>
  </si>
  <si>
    <t>Christine Joy S. Aclan-Pacalang</t>
  </si>
  <si>
    <t>Celestino S Vengco</t>
  </si>
  <si>
    <t>Nemesio M. Frigillana</t>
  </si>
  <si>
    <t>EVANGELINE DESPOJO TIBUNSAY</t>
  </si>
  <si>
    <t>Jane Beth Bolinas Besueña</t>
  </si>
  <si>
    <t>Stanley B Uriarte</t>
  </si>
  <si>
    <t>Rosemary R. Juan</t>
  </si>
  <si>
    <t>Rex Lagrada</t>
  </si>
  <si>
    <t>Arnold Lucaben Paleng</t>
  </si>
  <si>
    <t>Ronald Merin</t>
  </si>
  <si>
    <t>ARNEL ESQUILONA SUAL</t>
  </si>
  <si>
    <t>Cirilo Bantilan Salas</t>
  </si>
  <si>
    <t>Nenita Crisostomo Flores</t>
  </si>
  <si>
    <t>Theresa David Buendia</t>
  </si>
  <si>
    <t>Julius Gali Estacio</t>
  </si>
  <si>
    <t>EDLEY  CASAS ABARIDO</t>
  </si>
  <si>
    <t>Sonny Miranda Naing</t>
  </si>
  <si>
    <t>Freddie Cañeda Sanchez</t>
  </si>
  <si>
    <t>Angel D. Pundao</t>
  </si>
  <si>
    <t>ALICIA  A.   ESCAMILLA</t>
  </si>
  <si>
    <t>Aristotle M Calapre</t>
  </si>
  <si>
    <t>Ma.  Erowena V Soriano</t>
  </si>
  <si>
    <t>Lucio Berong Cortes</t>
  </si>
  <si>
    <t>Monica A. Tuguinay</t>
  </si>
  <si>
    <t>Cipriano Indencia Osunero</t>
  </si>
  <si>
    <t>Noel Jardeleza</t>
  </si>
  <si>
    <t>Zenaida Aborot Veniegas</t>
  </si>
  <si>
    <t>Renato Motao Sarikit</t>
  </si>
  <si>
    <t>Leomar Jepollo Orsolino</t>
  </si>
  <si>
    <t>NIDA ENCISO DEBIL</t>
  </si>
  <si>
    <t>Juanito Gacanes Domingo</t>
  </si>
  <si>
    <t>rodrigo burio olano</t>
  </si>
  <si>
    <t>Karla Shane Ramos Patega</t>
  </si>
  <si>
    <t>Liwayway De Guzman Pangilinan</t>
  </si>
  <si>
    <t>Michael E Pamado</t>
  </si>
  <si>
    <t>Mylene Talidong Mancao</t>
  </si>
  <si>
    <t>JOAN PACALIOGA ABEJUELA</t>
  </si>
  <si>
    <t>Emma Fernandez Sotto</t>
  </si>
  <si>
    <t>Aurora M. Monjardin</t>
  </si>
  <si>
    <t>Levie Agcaoili Talub</t>
  </si>
  <si>
    <t>Gen Anderson Gonzales Tanhueco</t>
  </si>
  <si>
    <t>Nelson Moskito Merculio</t>
  </si>
  <si>
    <t>Katherine Enriquez Perocillo</t>
  </si>
  <si>
    <t>Edmundo Alonzo Escape</t>
  </si>
  <si>
    <t>RAQUEL DAROY ATIENZAR</t>
  </si>
  <si>
    <t>ROLANDO A SAMSON</t>
  </si>
  <si>
    <t>Gilbert Dador Solidum</t>
  </si>
  <si>
    <t>ANNA MYLENE FERRER NATIVIDAD</t>
  </si>
  <si>
    <t>Miramar (Myra) S De Asis</t>
  </si>
  <si>
    <t>ANDREA A. FACUNLA</t>
  </si>
  <si>
    <t>Marilen L Santiago</t>
  </si>
  <si>
    <t>Consorcio Manlangit Ferrer</t>
  </si>
  <si>
    <t>Reyvelino Benigno Apongol</t>
  </si>
  <si>
    <t>LITO LAPITAN</t>
  </si>
  <si>
    <t>Ricardo V Nuñez</t>
  </si>
  <si>
    <t>J0evir S. Gentuli0</t>
  </si>
  <si>
    <t>Eunice Pilapil Narbonita</t>
  </si>
  <si>
    <t>Rosalinda Baring Ongue</t>
  </si>
  <si>
    <t>Karen Rose Uy Flores</t>
  </si>
  <si>
    <t>Ma. Rita Fallorina Ongbit</t>
  </si>
  <si>
    <t>Dhalie Dicen Almirol</t>
  </si>
  <si>
    <t>ENGR. NELSON S. TUMALIUAN</t>
  </si>
  <si>
    <t>JOVANE DELA PENA LEGASPI</t>
  </si>
  <si>
    <t>Princess Charmaine Maribujoc Ortiz</t>
  </si>
  <si>
    <t>Danish Jake Oliva Padernal</t>
  </si>
  <si>
    <t>Erlwin S. Andres</t>
  </si>
  <si>
    <t>BYRON PAMATONG PATAG</t>
  </si>
  <si>
    <t>Percival Ricafrente Taniegra</t>
  </si>
  <si>
    <t>Jefferson  Enobio</t>
  </si>
  <si>
    <t>LENY ROSALES GALOS</t>
  </si>
  <si>
    <t>Ivy M. Rillera</t>
  </si>
  <si>
    <t>FELMA M. DEZA</t>
  </si>
  <si>
    <t>Cezar Espinosa</t>
  </si>
  <si>
    <t>Arsenio Villarosa Pedrosa</t>
  </si>
  <si>
    <t>CRISPIN AUSTRIA BATAC</t>
  </si>
  <si>
    <t>Jovelinda Llena Advincula</t>
  </si>
  <si>
    <t>MA.LEONORA DOREGO SIMERA</t>
  </si>
  <si>
    <t>Jessie B Gaviola</t>
  </si>
  <si>
    <t>Mitchel E Zambrano</t>
  </si>
  <si>
    <t>Susan Habbiling</t>
  </si>
  <si>
    <t>HILARIONA  E.  CORONADO</t>
  </si>
  <si>
    <t>Berna Degala</t>
  </si>
  <si>
    <t>ANALISA FUASO GUILLARDE</t>
  </si>
  <si>
    <t>HERMIE IGNACIO</t>
  </si>
  <si>
    <t>JANICE MAY ARCONES SERASPE</t>
  </si>
  <si>
    <t xml:space="preserve">ADELFA  LAGUMBAY COMETA </t>
  </si>
  <si>
    <t>Liza Panganiban Defeo</t>
  </si>
  <si>
    <t>RENANTE B EBRADO</t>
  </si>
  <si>
    <t>Mary Jane Sison Lola</t>
  </si>
  <si>
    <t>John Paulo Telmo Purino</t>
  </si>
  <si>
    <t>LAILA FUERTES DANAQUE</t>
  </si>
  <si>
    <t>Rudy Zamora Soliven</t>
  </si>
  <si>
    <t>Stanley Gayoma Superticioso</t>
  </si>
  <si>
    <t>Clark Wendell P Lising</t>
  </si>
  <si>
    <t>Donnabel Manzano Justo</t>
  </si>
  <si>
    <t>Arra Jane Juridico</t>
  </si>
  <si>
    <t>Emy Grace  Saulda  Pineda</t>
  </si>
  <si>
    <t>RONALDO B. DALUPING</t>
  </si>
  <si>
    <t>Jeric Capina Caguite</t>
  </si>
  <si>
    <t>Vincent Ian Mejia Malijan</t>
  </si>
  <si>
    <t>Penalin valle gapaz</t>
  </si>
  <si>
    <t>Amabe Amanse Dela Cruz</t>
  </si>
  <si>
    <t>ROSELYN ANN R. BAGASOL</t>
  </si>
  <si>
    <t>Jeffrey B. Rafil</t>
  </si>
  <si>
    <t>MARIA ELIZA SANTANA SILLESA</t>
  </si>
  <si>
    <t>MARLON SANALILA MORANTE</t>
  </si>
  <si>
    <t>Evelyn Tapayan Bagolor</t>
  </si>
  <si>
    <t>EDBOY A. KADUSALE</t>
  </si>
  <si>
    <t>Patricio Pilvera Reponte, Jr.</t>
  </si>
  <si>
    <t>ANNA MARIE L. MUNDIN</t>
  </si>
  <si>
    <t>Ray John Habig</t>
  </si>
  <si>
    <t>Arthur Navia Namia</t>
  </si>
  <si>
    <t>Edwin Sapa Jomao-as</t>
  </si>
  <si>
    <t>Christine Mercado Cainto</t>
  </si>
  <si>
    <t>JANICE QUESARA ANCHALES</t>
  </si>
  <si>
    <t>Rubelen Pulvera Pabecca</t>
  </si>
  <si>
    <t>ANTONIO M GEREMIAS</t>
  </si>
  <si>
    <t>michelle ramos salamat</t>
  </si>
  <si>
    <t>Jordan Ravanzo Sipsip</t>
  </si>
  <si>
    <t>Marjorie Rosales</t>
  </si>
  <si>
    <t>Michelle Bolo</t>
  </si>
  <si>
    <t>Ernesto S. Suplido</t>
  </si>
  <si>
    <t>Andres R Avorque</t>
  </si>
  <si>
    <t>Donald De la Cruz Landero</t>
  </si>
  <si>
    <t>AMY LOVE ONGCOL ENCABO</t>
  </si>
  <si>
    <t>Anabelle T. Abana</t>
  </si>
  <si>
    <t>Philip P. Caneda</t>
  </si>
  <si>
    <t>Mary Rose Feliciano Ubiña</t>
  </si>
  <si>
    <t>Necitas V Perez</t>
  </si>
  <si>
    <t>JOVITA M. ESCASA</t>
  </si>
  <si>
    <t>Gilbert V. Eleazar</t>
  </si>
  <si>
    <t>Julius Luis Juanito</t>
  </si>
  <si>
    <t>RAYMOORE A ARTATES</t>
  </si>
  <si>
    <t>Fatima M. Ombawa</t>
  </si>
  <si>
    <t>Zaldy Omisol Dequito</t>
  </si>
  <si>
    <t>Herbert Bodoso</t>
  </si>
  <si>
    <t>LAWRENCE CASTILLO ERCILLA</t>
  </si>
  <si>
    <t>Amelita Marasigan</t>
  </si>
  <si>
    <t>Roger Mappala</t>
  </si>
  <si>
    <t>RONNIE PANCHO BELARMINO</t>
  </si>
  <si>
    <t>Zaldy D Almoite</t>
  </si>
  <si>
    <t>Mae Ann Olasiman Cutamora</t>
  </si>
  <si>
    <t>JOSELITO  T  MAGAHIS</t>
  </si>
  <si>
    <t>Rey R. Fausto</t>
  </si>
  <si>
    <t>Filma Tulen Maghinay</t>
  </si>
  <si>
    <t>Epelita Mumar Andoy</t>
  </si>
  <si>
    <t>Elna Dingcong</t>
  </si>
  <si>
    <t>Ferdinand So Omaña</t>
  </si>
  <si>
    <t>Georgina Villahermosa Sindo</t>
  </si>
  <si>
    <t>Mildred Carlos</t>
  </si>
  <si>
    <t>Rainerio Anisor Laganson</t>
  </si>
  <si>
    <t>Albert Lee Basuel Cabanting</t>
  </si>
  <si>
    <t>Helen Capuyan Suico</t>
  </si>
  <si>
    <t>Victor Alberca Asentista</t>
  </si>
  <si>
    <t>EMA N RAFIL</t>
  </si>
  <si>
    <t>LCDR RAYMOND A ROLDAN PN</t>
  </si>
  <si>
    <t>Iñigo Lesaca Sugalan</t>
  </si>
  <si>
    <t>Abner Escobar Guilambo</t>
  </si>
  <si>
    <t>Nenita Roña Andres</t>
  </si>
  <si>
    <t>Samsudin Salik</t>
  </si>
  <si>
    <t>Miguel Abobo Gorgonio</t>
  </si>
  <si>
    <t>HELEN M PORTE</t>
  </si>
  <si>
    <t>Ma. Elma Solangon Alapre</t>
  </si>
  <si>
    <t>Paulette Paulo Lagbas</t>
  </si>
  <si>
    <t>Joanna Rose Medallada</t>
  </si>
  <si>
    <t>Nilo Salentes Arrevado</t>
  </si>
  <si>
    <t>Letecia Misa Marron</t>
  </si>
  <si>
    <t>Samuel Tuburlento Miralpes</t>
  </si>
  <si>
    <t>Lorna V. Gayla</t>
  </si>
  <si>
    <t>Melanie Puyong Narciso</t>
  </si>
  <si>
    <t>ALFRED JR DELOS REYES BUENCAMINO</t>
  </si>
  <si>
    <t>ANGELINA RALLOS SOLIANO</t>
  </si>
  <si>
    <t>Joel Guilao Bucao</t>
  </si>
  <si>
    <t>Aladin Calesterio Advincula</t>
  </si>
  <si>
    <t>Maricel Miguel dela Salde</t>
  </si>
  <si>
    <t>Danilo B. Solis</t>
  </si>
  <si>
    <t>Apolinario Bucayu Baggay</t>
  </si>
  <si>
    <t>Elizabeth Valdemoro Cruz</t>
  </si>
  <si>
    <t>Florian Agcopra Labiano</t>
  </si>
  <si>
    <t>Rhoda Apalla Viterbo</t>
  </si>
  <si>
    <t>Engrid Gayacan</t>
  </si>
  <si>
    <t>ANASTACIO H. NUÑEZ, III</t>
  </si>
  <si>
    <t>james berlin H. escaner</t>
  </si>
  <si>
    <t>Hydelize Razote Aguinaldo</t>
  </si>
  <si>
    <t>Rogel Canico Lopez</t>
  </si>
  <si>
    <t>Inocencio Cordero Mana-ay</t>
  </si>
  <si>
    <t>Datu Reymond Laban Russam</t>
  </si>
  <si>
    <t>Allan Dale Hechanova De Asis</t>
  </si>
  <si>
    <t>Restituto Caronan Ramirez</t>
  </si>
  <si>
    <t>DANILO E. DALAGUIT</t>
  </si>
  <si>
    <t>Derick D. Arago</t>
  </si>
  <si>
    <t>Flora May Sanchez Cabatana</t>
  </si>
  <si>
    <t>Rhoderick T. Haban</t>
  </si>
  <si>
    <t>Marissa Catacutan Austria</t>
  </si>
  <si>
    <t>Mariano Querubin Baylon Jr.</t>
  </si>
  <si>
    <t>Jessie Rose Sabindo Pascua</t>
  </si>
  <si>
    <t>Jeanne  Magallanes</t>
  </si>
  <si>
    <t>FEDERICO J. GOTICO III</t>
  </si>
  <si>
    <t>EDNA QUINIO</t>
  </si>
  <si>
    <t>Celso B. Bergado</t>
  </si>
  <si>
    <t>Mary Grace A Dela Cruz</t>
  </si>
  <si>
    <t>LIBRADO DOMINGO DULAY</t>
  </si>
  <si>
    <t>Elmo B Canino</t>
  </si>
  <si>
    <t>Charito G Yulo</t>
  </si>
  <si>
    <t>Irish B. Velasco</t>
  </si>
  <si>
    <t>Marck Tristan B. Martin</t>
  </si>
  <si>
    <t>Mark Chester Anthony Gariando Tamayo</t>
  </si>
  <si>
    <t>LT RAYMOND A ROLDAN PN</t>
  </si>
  <si>
    <t>Celine  A.  Velasco</t>
  </si>
  <si>
    <t>RONALD S. BARRAMEDA</t>
  </si>
  <si>
    <t>Mars Z Julian</t>
  </si>
  <si>
    <t>Mark Alvin Hernandez Gatus</t>
  </si>
  <si>
    <t>ALLAN SABAS BARCENA</t>
  </si>
  <si>
    <t>Rhienna Jhean Marcial Arsenal</t>
  </si>
  <si>
    <t>Josafat Lindong Caipang</t>
  </si>
  <si>
    <t>Fernando Rendon Uy</t>
  </si>
  <si>
    <t>PHET E CALINGASAN</t>
  </si>
  <si>
    <t>MACAPANTAO REMPUNGAN MANAMBA</t>
  </si>
  <si>
    <t>Joel Liban Dubla</t>
  </si>
  <si>
    <t>Warlito Yuson Suan</t>
  </si>
  <si>
    <t>Ederlyn Zaide Dolosa</t>
  </si>
  <si>
    <t>Alexander Z Plata</t>
  </si>
  <si>
    <t>Ma. Macbeth Cabug</t>
  </si>
  <si>
    <t>Estanislao V. Cayanan</t>
  </si>
  <si>
    <t>Eduardo M. Doria</t>
  </si>
  <si>
    <t>MANUEL PARAYNO PARAYNO</t>
  </si>
  <si>
    <t>Marfel Nonato Casanova Solidum</t>
  </si>
  <si>
    <t>Roberto P Bautista</t>
  </si>
  <si>
    <t>ELVIS R. CUIZON</t>
  </si>
  <si>
    <t>ANALIZA  ALVAREZ  HORMILLOSA</t>
  </si>
  <si>
    <t>Robert A Santillano</t>
  </si>
  <si>
    <t>Engr. Fernando B. Sarile Jr.</t>
  </si>
  <si>
    <t>Juluis Jamotillo Cabarubias</t>
  </si>
  <si>
    <t>Kim Manalo Manuel</t>
  </si>
  <si>
    <t>Maynard Rosales Bantinan</t>
  </si>
  <si>
    <t>Rovic G. Pantua</t>
  </si>
  <si>
    <t>ELDA GILO GATO</t>
  </si>
  <si>
    <t>JAIME G. JALON</t>
  </si>
  <si>
    <t>Jose Alcantara Clarion, Jr.</t>
  </si>
  <si>
    <t>Mary Anne Garcia Tanazana</t>
  </si>
  <si>
    <t>Jasmin J. Gunio</t>
  </si>
  <si>
    <t>Ana Marie L. Tayag</t>
  </si>
  <si>
    <t>Aileen Grace Garcia</t>
  </si>
  <si>
    <t>ROSAVILLA  COLANGCO  BALAZO</t>
  </si>
  <si>
    <t>Marevis M. Cabil</t>
  </si>
  <si>
    <t>Felyn Fille Paco</t>
  </si>
  <si>
    <t>Marilou Tamayo Quitlong</t>
  </si>
  <si>
    <t>Shirley Cua San Luis</t>
  </si>
  <si>
    <t>Erma C. Silandron</t>
  </si>
  <si>
    <t>Fe S. Delostrico</t>
  </si>
  <si>
    <t>Jocelyn Mosqueda Abaya</t>
  </si>
  <si>
    <t>Dudeo C. Galeon</t>
  </si>
  <si>
    <t>Pamela Sosa</t>
  </si>
  <si>
    <t>ROMULO JR DISPO</t>
  </si>
  <si>
    <t>Jules Amiel  Angeles</t>
  </si>
  <si>
    <t>Miguel S. Tecson</t>
  </si>
  <si>
    <t>NOE MORALES HERMOSILLA</t>
  </si>
  <si>
    <t>Constancia  C.  Broñozo</t>
  </si>
  <si>
    <t>Lilibeth Tayab Sabihon</t>
  </si>
  <si>
    <t>Maria Rizza Mae  R.  Mabaquiao</t>
  </si>
  <si>
    <t>Karen-May Cabrido Matibag</t>
  </si>
  <si>
    <t>Alma Sheril Desierto Buslotan</t>
  </si>
  <si>
    <t>Catherine Olmoguez Ureta</t>
  </si>
  <si>
    <t>Teresita C. Suralta</t>
  </si>
  <si>
    <t>Grace S Villaroman</t>
  </si>
  <si>
    <t>Baldomero Jr. R. Ranido</t>
  </si>
  <si>
    <t>Wilma Balinquit Baes</t>
  </si>
  <si>
    <t>Wilfredo Ramos Ognilla</t>
  </si>
  <si>
    <t>Abigail Madarang</t>
  </si>
  <si>
    <t>Orlando R Florida</t>
  </si>
  <si>
    <t>JOAN GRACE SUAZO BOLINGOT</t>
  </si>
  <si>
    <t>Maribel Castillo Botavara</t>
  </si>
  <si>
    <t>Tomas II A. Vasquez</t>
  </si>
  <si>
    <t>EDITHA LOPEZ LARON</t>
  </si>
  <si>
    <t>Jaynorin S Kalilangan</t>
  </si>
  <si>
    <t>Jonathan J. Bayona</t>
  </si>
  <si>
    <t>Joel Santos</t>
  </si>
  <si>
    <t>Cirio Dela Cruz Pangan</t>
  </si>
  <si>
    <t>EMILY D UGAY</t>
  </si>
  <si>
    <t>Roldan Roilo Daquigan</t>
  </si>
  <si>
    <t>Ernesto Purulanan Sta Isabel</t>
  </si>
  <si>
    <t>Isedrito Poncardas Cañete</t>
  </si>
  <si>
    <t>SENEN PEREZ</t>
  </si>
  <si>
    <t>JHORRY SANICO CANTA</t>
  </si>
  <si>
    <t>MARY GRACE MENGOTE</t>
  </si>
  <si>
    <t>Melanie D. Calajate</t>
  </si>
  <si>
    <t xml:space="preserve">LIGAYA   UBALDE      </t>
  </si>
  <si>
    <t>Jesse II R Initan</t>
  </si>
  <si>
    <t>Arlene Seno Padilla</t>
  </si>
  <si>
    <t>Jaime Dapula Omaña</t>
  </si>
  <si>
    <t>Joanne Hoylar Garcia</t>
  </si>
  <si>
    <t>Enjill Grace R. Subillaga</t>
  </si>
  <si>
    <t>Michael P Arayan</t>
  </si>
  <si>
    <t>Mary Loren Remegio Ladrillo</t>
  </si>
  <si>
    <t>Allan L Mariano</t>
  </si>
  <si>
    <t>Ruby E De Jong</t>
  </si>
  <si>
    <t>Mavic Azuran</t>
  </si>
  <si>
    <t>Ramon Alberto Tancio</t>
  </si>
  <si>
    <t>NIMFA  C.  LIM</t>
  </si>
  <si>
    <t>Gaudencio Quiaoit Orpiano, Jr</t>
  </si>
  <si>
    <t>Martin A Telan</t>
  </si>
  <si>
    <t>Sostenes M. Palero</t>
  </si>
  <si>
    <t>Ellenietta H.M.V Gamolo</t>
  </si>
  <si>
    <t>LORNA CAYABYAB RODRIGUEZ</t>
  </si>
  <si>
    <t>Julieta Ilama Sabdani</t>
  </si>
  <si>
    <t>Mila Jihan GIBA</t>
  </si>
  <si>
    <t>Reinelyn T. Cabrera</t>
  </si>
  <si>
    <t>Rodrigo V. Custodio</t>
  </si>
  <si>
    <t>Lynden Alipen Aracyang</t>
  </si>
  <si>
    <t>MARJORIE TENORIO GARCIA</t>
  </si>
  <si>
    <t>ARCELYN LEMON ESTOQUIA</t>
  </si>
  <si>
    <t>Elizabeth Dioco Sunga</t>
  </si>
  <si>
    <t>ERWIN A CRUZADA</t>
  </si>
  <si>
    <t>Marilyn Cruz Santella</t>
  </si>
  <si>
    <t>BRUNO  VALMORIA  ORIOQUE</t>
  </si>
  <si>
    <t>Eny Bargo Ferriol</t>
  </si>
  <si>
    <t>ULYSIS M. BRANDINO</t>
  </si>
  <si>
    <t>Diosdado, Jr. Seraspe Bernales</t>
  </si>
  <si>
    <t>Nolan A Tocao</t>
  </si>
  <si>
    <t>Julian Orcino Castro</t>
  </si>
  <si>
    <t>Donato Panaligan</t>
  </si>
  <si>
    <t>Arielyn L. Fernandez</t>
  </si>
  <si>
    <t>BENEDICTA B. GAMATERO</t>
  </si>
  <si>
    <t>Edward Ibbay Salcedo</t>
  </si>
  <si>
    <t>GENERO I BENTAYAO</t>
  </si>
  <si>
    <t>Arlaine M De Vera</t>
  </si>
  <si>
    <t>Ma. Glysa Frias Rico</t>
  </si>
  <si>
    <t>Alvin B De Roxas</t>
  </si>
  <si>
    <t>Winston Rudio Julio</t>
  </si>
  <si>
    <t>Artemio Amilagan Archibido</t>
  </si>
  <si>
    <t>EDGIE SIMON DIMALANTA</t>
  </si>
  <si>
    <t>Jovel Caboteja Mose</t>
  </si>
  <si>
    <t>Carlos L. Taguba</t>
  </si>
  <si>
    <t>Vicente Dellatan Alcoriza</t>
  </si>
  <si>
    <t>Vanesa C. Cutanda</t>
  </si>
  <si>
    <t>Expedito Magluyan Villaruz</t>
  </si>
  <si>
    <t>Ma. Teresa I. Samson</t>
  </si>
  <si>
    <t>CECILIO RAMOS BONIEL</t>
  </si>
  <si>
    <t>CHRISTIE ANN GELVEZON ORTIZ</t>
  </si>
  <si>
    <t>ANNIE JUMAWAN GALLO</t>
  </si>
  <si>
    <t>Edwina C. Carriedo</t>
  </si>
  <si>
    <t>ROSARIO BATUTO ROSETE</t>
  </si>
  <si>
    <t>Benjamin Jr. Bertiz Javellana</t>
  </si>
  <si>
    <t>EDGARDO CARFIN MONSERATE</t>
  </si>
  <si>
    <t>Victorio J Jimenez</t>
  </si>
  <si>
    <t>Andrew Dullin Agunod</t>
  </si>
  <si>
    <t>Jacquiline Lanutan Tagaca</t>
  </si>
  <si>
    <t>Remy O. Patente</t>
  </si>
  <si>
    <t>ROMELYN GERALLA YEE</t>
  </si>
  <si>
    <t>Paolo Crispino Casiñas Sucalit</t>
  </si>
  <si>
    <t>Maria Teresa Hilado Tapil</t>
  </si>
  <si>
    <t>Beverlyn P. Peralta</t>
  </si>
  <si>
    <t>EDISON SALANO ORIAS</t>
  </si>
  <si>
    <t>Beverly O. Sabdani</t>
  </si>
  <si>
    <t>GLENN PAULINO GADIA</t>
  </si>
  <si>
    <t>Emily  Gamba  Dajay</t>
  </si>
  <si>
    <t>Scarlet Sualog Villanueva</t>
  </si>
  <si>
    <t>Adriel S. Dacara</t>
  </si>
  <si>
    <t>Rolinda Macario De Julian</t>
  </si>
  <si>
    <t>Frances Josephine Mercado Acman</t>
  </si>
  <si>
    <t>EMELITO M YURO</t>
  </si>
  <si>
    <t>Angela Eduvala Dagsaan</t>
  </si>
  <si>
    <t>Hilario Pacardo Gorgonia</t>
  </si>
  <si>
    <t>JOANA E. LUZ</t>
  </si>
  <si>
    <t>Ma. Socorro Lacambra Domingo</t>
  </si>
  <si>
    <t>Randy Miranda Matibag</t>
  </si>
  <si>
    <t>Katherine Liwanag Pangilinan</t>
  </si>
  <si>
    <t>RONIL BALLENER TUPAS</t>
  </si>
  <si>
    <t>Emmanuel Edquilang Gulay</t>
  </si>
  <si>
    <t>Leo F. Ferraris</t>
  </si>
  <si>
    <t>Ruiz Lloyd Gonzales Magcamit</t>
  </si>
  <si>
    <t>Marion Acolentaba Balasa</t>
  </si>
  <si>
    <t>Marilyn G Efondo</t>
  </si>
  <si>
    <t>Michelle Baguio Morillo</t>
  </si>
  <si>
    <t>Kristoffer Callangan Mangussad</t>
  </si>
  <si>
    <t>NEOPOLO JR. LACSON MANALOTO</t>
  </si>
  <si>
    <t>Lilybeth Delfin Langomez</t>
  </si>
  <si>
    <t>Rolando L. Policios</t>
  </si>
  <si>
    <t>Madilyn M Macatual</t>
  </si>
  <si>
    <t>Belen Serenio Dela Peña</t>
  </si>
  <si>
    <t>Ma. Soledad F Baquiran</t>
  </si>
  <si>
    <t>Glenn L Enesio</t>
  </si>
  <si>
    <t>Tessie Guerrero Cabaning</t>
  </si>
  <si>
    <t>Rodel  M. Gole</t>
  </si>
  <si>
    <t>Leo Alejandro Uy Yap</t>
  </si>
  <si>
    <t>ALBERTO Q. BEREDO</t>
  </si>
  <si>
    <t>CELSO A. MATIAS</t>
  </si>
  <si>
    <t>Antonio T Chan</t>
  </si>
  <si>
    <t>Leonilo Delos Santos Requinto</t>
  </si>
  <si>
    <t>Zaldy C Domalina</t>
  </si>
  <si>
    <t>Sharmaine Joie B. Color</t>
  </si>
  <si>
    <t>Romelo T. Abag</t>
  </si>
  <si>
    <t>Noreen Lagahit</t>
  </si>
  <si>
    <t>ROMER LOREZCA</t>
  </si>
  <si>
    <t>Jose, Jr. Ban-ao Balajo</t>
  </si>
  <si>
    <t>Benito C. Procia</t>
  </si>
  <si>
    <t>Zenaida Sahagun</t>
  </si>
  <si>
    <t>Evangeline Balan Lorenzo</t>
  </si>
  <si>
    <t>Pedro Arguelles</t>
  </si>
  <si>
    <t>Maria Fe Himalalo-an Evasco</t>
  </si>
  <si>
    <t>RICHELLE L. MOROTA</t>
  </si>
  <si>
    <t>ANGELITA BAUTISTA DAYEGO</t>
  </si>
  <si>
    <t>TEODULO EDER</t>
  </si>
  <si>
    <t>JANE KULPO LIKIGAN</t>
  </si>
  <si>
    <t>Jurupin Piting Pungutan</t>
  </si>
  <si>
    <t>Jaynalyn E Amparo</t>
  </si>
  <si>
    <t>Imelda Movido Villa</t>
  </si>
  <si>
    <t>Elaine Bumanghat Immotna</t>
  </si>
  <si>
    <t>Joann Joy Aseniero Vargas</t>
  </si>
  <si>
    <t>Vanessa Degolacion Arellano</t>
  </si>
  <si>
    <t>Criselda D. Bacatano</t>
  </si>
  <si>
    <t>Raul B. Jacela</t>
  </si>
  <si>
    <t>Raymundo Belen Cueto</t>
  </si>
  <si>
    <t>Benhar Sulaiman Sali</t>
  </si>
  <si>
    <t>Benedicto Cawag Bivas</t>
  </si>
  <si>
    <t>Ramon D Licup</t>
  </si>
  <si>
    <t>Maricel Balmes Recio</t>
  </si>
  <si>
    <t>CARMELITA C VILLAMOR</t>
  </si>
  <si>
    <t>Enrico S Lazaro</t>
  </si>
  <si>
    <t>RONNEL B GUNDOY</t>
  </si>
  <si>
    <t>Librado T. Olivares</t>
  </si>
  <si>
    <t>Cario Abag Baskial</t>
  </si>
  <si>
    <t>MARICHEL PUGOSA CORAZA</t>
  </si>
  <si>
    <t>Rex Aquiatan Agustin</t>
  </si>
  <si>
    <t>Grace G Asis</t>
  </si>
  <si>
    <t>ZOSIMO AQUINO LIBERATO</t>
  </si>
  <si>
    <t>PRUDENCIO EGSAN NOCELO, JR.</t>
  </si>
  <si>
    <t>MARISE A. PONCE</t>
  </si>
  <si>
    <t>Ramil Custodio Martinez</t>
  </si>
  <si>
    <t>Wencislao Jr. Calimlim Cagalitan</t>
  </si>
  <si>
    <t>ODESSA T. MANLIGOY</t>
  </si>
  <si>
    <t>RENALYN BOLIVAR PARREÑO</t>
  </si>
  <si>
    <t>Jessie Bagtang Addag</t>
  </si>
  <si>
    <t>WALTER L. RUIZO</t>
  </si>
  <si>
    <t>Violeta O Garcia</t>
  </si>
  <si>
    <t>Elnora Toledo Lariza</t>
  </si>
  <si>
    <t>Daryl Baptista Daodaoang</t>
  </si>
  <si>
    <t>Kris Millarez Lacanienta</t>
  </si>
  <si>
    <t>Guillermo Israel Modino</t>
  </si>
  <si>
    <t>EDGAR L. MARTINEZ</t>
  </si>
  <si>
    <t>Jean Casalmer Salarda</t>
  </si>
  <si>
    <t>Melvin Ortega Cejas</t>
  </si>
  <si>
    <t>Paul Francis Sarmiento Tomimbang</t>
  </si>
  <si>
    <t>FRANCES SHANELLE GENERATO SALINAS</t>
  </si>
  <si>
    <t>Norman B. Licong</t>
  </si>
  <si>
    <t>MARIE JOY A. ALVIAR</t>
  </si>
  <si>
    <t>ADRIAN A AÑO</t>
  </si>
  <si>
    <t>Rizalyn Sara Bantug</t>
  </si>
  <si>
    <t>Rene Sarmiento</t>
  </si>
  <si>
    <t>Ma. Felicidad Rebong Payba</t>
  </si>
  <si>
    <t>Jose arban dacoseo</t>
  </si>
  <si>
    <t>JASMIN R LACUNA</t>
  </si>
  <si>
    <t>Angela H. Rivera</t>
  </si>
  <si>
    <t>Lara Mae Dente Pares</t>
  </si>
  <si>
    <t>RAL P CORNEJO</t>
  </si>
  <si>
    <t>Nina Lacson Magat</t>
  </si>
  <si>
    <t>Alicia  Fabro Vinluan</t>
  </si>
  <si>
    <t>Beatriz Dumapay Pascual</t>
  </si>
  <si>
    <t>LEO GAMMAD LIGGAYU</t>
  </si>
  <si>
    <t>Elizabeth M Dayot</t>
  </si>
  <si>
    <t>Regina S. Valdez</t>
  </si>
  <si>
    <t>PAOLO ANGELO ATIENZA MESINA</t>
  </si>
  <si>
    <t>Timoteo Jr. Palahang Calunod</t>
  </si>
  <si>
    <t>TERESA M. ARCONCIL</t>
  </si>
  <si>
    <t>JOSEPH ALLEN LACSON SIMON</t>
  </si>
  <si>
    <t>GHECEL CATIBOS MAGDALES</t>
  </si>
  <si>
    <t>Johna Paula Campilan Manzano</t>
  </si>
  <si>
    <t>Maria Juliana A. Toribio</t>
  </si>
  <si>
    <t>ALICIA NATIVIDAD MANAIG</t>
  </si>
  <si>
    <t>LOURDES A. BUENAFE</t>
  </si>
  <si>
    <t>Ely Cabusbusan Cabugsa</t>
  </si>
  <si>
    <t>MARY ANN SARTORIO BAENA</t>
  </si>
  <si>
    <t>Kenneth Simbajon Gabisay</t>
  </si>
  <si>
    <t>JOEY INDINO</t>
  </si>
  <si>
    <t>JOHN NACINO MOSELINA</t>
  </si>
  <si>
    <t>Roweiji F. Bautista</t>
  </si>
  <si>
    <t>Genicar Nieva Barotilla</t>
  </si>
  <si>
    <t>Richard Angel M. Arboleda</t>
  </si>
  <si>
    <t>Elsa M. Martinez</t>
  </si>
  <si>
    <t>Beverly E Calud</t>
  </si>
  <si>
    <t>Christian Macasaquit Colindres</t>
  </si>
  <si>
    <t>Bernardo T. Macauyam</t>
  </si>
  <si>
    <t>Gemma Ladera Asi</t>
  </si>
  <si>
    <t>JUBERT  D.  TUTOR</t>
  </si>
  <si>
    <t>Rosana Bagalanon Butalid</t>
  </si>
  <si>
    <t>Alison V. Senobio</t>
  </si>
  <si>
    <t>Joey Vincent P. Rabanal</t>
  </si>
  <si>
    <t>Ma. Gianelli A Ecuacion</t>
  </si>
  <si>
    <t>Noel Donell Ynion Narida</t>
  </si>
  <si>
    <t>Jasmine Deguito</t>
  </si>
  <si>
    <t>Evelyn C. Padayhag</t>
  </si>
  <si>
    <t>Julie Ann Dizon Malig</t>
  </si>
  <si>
    <t>Melchor Talosig Halog</t>
  </si>
  <si>
    <t>Benigno C Austero</t>
  </si>
  <si>
    <t>Jess Angelo Gabriel Usquisa</t>
  </si>
  <si>
    <t>Maria Celeste R. Dela Cruz</t>
  </si>
  <si>
    <t>Joannarie V. Bantolo</t>
  </si>
  <si>
    <t>Sylvia Maquilan Caratao</t>
  </si>
  <si>
    <t>Rowel Galo Panilawon</t>
  </si>
  <si>
    <t>PAZ COLLANTES CAGUIMBAL</t>
  </si>
  <si>
    <t>Ma. Yvonne  Domanais/ C Shalie  Coralde</t>
  </si>
  <si>
    <t>Roberto Maraño Balde</t>
  </si>
  <si>
    <t>Brenjune Bliss Gerong Calapre</t>
  </si>
  <si>
    <t>Marito  Verzosa  Catorce</t>
  </si>
  <si>
    <t>RHODORA VENTURA CABAL</t>
  </si>
  <si>
    <t>Hercules Coyoca Castro</t>
  </si>
  <si>
    <t>Marvin Francis U Apale</t>
  </si>
  <si>
    <t>Glenn Anthony M. San Mateo</t>
  </si>
  <si>
    <t>JUNE DE LEON ESPINOSA</t>
  </si>
  <si>
    <t>roy panopio pole</t>
  </si>
  <si>
    <t>CHRISTOPHER CATALINO REBUJIO</t>
  </si>
  <si>
    <t>ATTY. MARIA JONIKA GONZAGA ROMANO</t>
  </si>
  <si>
    <t>Joan  Israel  Beo</t>
  </si>
  <si>
    <t>Eugene Paul Gundaya</t>
  </si>
  <si>
    <t>Mary Jane B Chiyawan</t>
  </si>
  <si>
    <t>Ma. Theresa D. Jamero</t>
  </si>
  <si>
    <t>Beberly A Española</t>
  </si>
  <si>
    <t>Leonito  De Leon Villanueva</t>
  </si>
  <si>
    <t>Mary Christine Joy Rendon</t>
  </si>
  <si>
    <t>Mark Jayson R. Carabido</t>
  </si>
  <si>
    <t>jennifer empleo rondina</t>
  </si>
  <si>
    <t>Salome D. Diel</t>
  </si>
  <si>
    <t>Marisa P Las</t>
  </si>
  <si>
    <t>Joma Lyn Payopilin Octaviano</t>
  </si>
  <si>
    <t>Joybeth Delfin Sabino</t>
  </si>
  <si>
    <t>MARY GRACE YAMBOK GUAY</t>
  </si>
  <si>
    <t>Ernesto E Tañada</t>
  </si>
  <si>
    <t>Nimfa Mendoza Derada</t>
  </si>
  <si>
    <t>AGUSTIN JR. DEMETERIO PEDRANO</t>
  </si>
  <si>
    <t>Tomas Posecion</t>
  </si>
  <si>
    <t>Herma Taghap Paragsa</t>
  </si>
  <si>
    <t>Alger F Lamprea</t>
  </si>
  <si>
    <t>Cynthia Faustino Delgado</t>
  </si>
  <si>
    <t>Marites Cueto Borbon</t>
  </si>
  <si>
    <t>Marcelina Jumawan Oguis</t>
  </si>
  <si>
    <t>Ellyne Marie Kee Aligarbes</t>
  </si>
  <si>
    <t>Noel A Sillan</t>
  </si>
  <si>
    <t>SETTE HANNAH D. DAKULA</t>
  </si>
  <si>
    <t>Charles  C. Sokoken</t>
  </si>
  <si>
    <t>JOEGIE BENEMERITO JIMENEZ</t>
  </si>
  <si>
    <t>MONINA C.  MONTERMOSO</t>
  </si>
  <si>
    <t>Rebecca Cequiña Remulta</t>
  </si>
  <si>
    <t>ROSITA  ESTABELLO</t>
  </si>
  <si>
    <t>Lauren Christine B. La'O</t>
  </si>
  <si>
    <t>ZORAIDA CORTINA COLLERA</t>
  </si>
  <si>
    <t>Joan Oliver</t>
  </si>
  <si>
    <t>BAC Secretariat II</t>
  </si>
  <si>
    <t>LODEVICO CODAL LUIS</t>
  </si>
  <si>
    <t>Fritzie Mae Vasquez Valenzuela</t>
  </si>
  <si>
    <t>RONALD I INSON</t>
  </si>
  <si>
    <t>Shoraida Titiban Renabor</t>
  </si>
  <si>
    <t>Rosanna Maratas Siega</t>
  </si>
  <si>
    <t>JohnEryl Ramos Templonuevo</t>
  </si>
  <si>
    <t>Cecile M. Dicen</t>
  </si>
  <si>
    <t>Rey Christian Pasana Nuñez</t>
  </si>
  <si>
    <t>Jaime Estrera Dagsaan</t>
  </si>
  <si>
    <t>Alberto Amabao Carillas</t>
  </si>
  <si>
    <t>Rhonalyn Santos Rivera</t>
  </si>
  <si>
    <t>Fe  Costelo Lutes</t>
  </si>
  <si>
    <t>Leah S Osorio</t>
  </si>
  <si>
    <t>Raymart   S.  Adonis</t>
  </si>
  <si>
    <t>Joseph Dennis Albarracin Adlawan</t>
  </si>
  <si>
    <t>PILAR RABINO VITTO</t>
  </si>
  <si>
    <t>Aileene T Dagos</t>
  </si>
  <si>
    <t>Doris M. Malayao</t>
  </si>
  <si>
    <t>Erwin Domingo Salvador</t>
  </si>
  <si>
    <t>Epifania Sedan Belmis</t>
  </si>
  <si>
    <t>Jerry Binwag Rivera</t>
  </si>
  <si>
    <t>Desiderio Estillore Gudia Jr.</t>
  </si>
  <si>
    <t>elsa babagay delos santos</t>
  </si>
  <si>
    <t>Gloria Española Amar</t>
  </si>
  <si>
    <t>ROGER ANGGOL BEN</t>
  </si>
  <si>
    <t>Joyce Daffon Perey</t>
  </si>
  <si>
    <t>MILAGROS BAGASIN</t>
  </si>
  <si>
    <t>RITO Lumahan Eloc</t>
  </si>
  <si>
    <t>SAMUEL GUMPAL LLANES</t>
  </si>
  <si>
    <t>NOEL RENDON BUSCA</t>
  </si>
  <si>
    <t>LIBRADO M LAWIG</t>
  </si>
  <si>
    <t>Lito I Balarbar</t>
  </si>
  <si>
    <t>Danilo D. Pazcoguin</t>
  </si>
  <si>
    <t>Atty. Cipriano U. Asilo</t>
  </si>
  <si>
    <t>MARIVIC BINAG CORTEZ</t>
  </si>
  <si>
    <t>Riavida Macalolot Soriaga</t>
  </si>
  <si>
    <t>JOCELYN C SANTOCELDES</t>
  </si>
  <si>
    <t>Ruel Cole Armodia</t>
  </si>
  <si>
    <t>SCHERJAN MOOSA C. IBRAHIM</t>
  </si>
  <si>
    <t>Alfonso Pagaduan Mendoza</t>
  </si>
  <si>
    <t>Teogenes Taray Tambis</t>
  </si>
  <si>
    <t>Felicilda F Sano</t>
  </si>
  <si>
    <t>Alvin Putulan Aceret</t>
  </si>
  <si>
    <t>ANGELINA CAPISTRANO RIGOS</t>
  </si>
  <si>
    <t>Marilyn T Inong</t>
  </si>
  <si>
    <t>Nedencio T. Macles and Rebecca M. Gadayan</t>
  </si>
  <si>
    <t>Mary Grace B. Dulnuan</t>
  </si>
  <si>
    <t>Candelaria Ubana Estremos</t>
  </si>
  <si>
    <t>George Anthony V Peña</t>
  </si>
  <si>
    <t>RANDE M. POLO</t>
  </si>
  <si>
    <t>Erlinda S Pesado</t>
  </si>
  <si>
    <t>Jerrico A. Benzon</t>
  </si>
  <si>
    <t>Rose Claide I. Abe</t>
  </si>
  <si>
    <t>Herma Aratan Seruela</t>
  </si>
  <si>
    <t>Romer Pacpaco Regucera</t>
  </si>
  <si>
    <t>Simeon Dassun</t>
  </si>
  <si>
    <t>Maritez Galban</t>
  </si>
  <si>
    <t>Noli T. Gandamon</t>
  </si>
  <si>
    <t>Wilbert Eusebio Jose</t>
  </si>
  <si>
    <t>MA. THERESA REMOROFF BARROSO</t>
  </si>
  <si>
    <t>Noel V. Alcain</t>
  </si>
  <si>
    <t>MOHAMMAD MAPANDI MACAANGCOS</t>
  </si>
  <si>
    <t>VICTORIO FAJARDO CORPORAL</t>
  </si>
  <si>
    <t>Eliza Rendon Alamo</t>
  </si>
  <si>
    <t>WILSON NARVAIS CABRALES</t>
  </si>
  <si>
    <t>ROSE LILIA Balonzo Biado</t>
  </si>
  <si>
    <t>Divina Agaser Miguel</t>
  </si>
  <si>
    <t>elma supas almario</t>
  </si>
  <si>
    <t>SEBASTIAN AMODIA SALCEDO</t>
  </si>
  <si>
    <t>Ruel Robina Ragas</t>
  </si>
  <si>
    <t>MARIA ARRA PAZ G. SELLAR</t>
  </si>
  <si>
    <t>Kristine Gomez Contreras</t>
  </si>
  <si>
    <t>Renee  Salomon  Davad</t>
  </si>
  <si>
    <t>Helen Grace P. Hilario</t>
  </si>
  <si>
    <t>Josephine Tolentino Banay</t>
  </si>
  <si>
    <t>Ria C. Agbulos</t>
  </si>
  <si>
    <t>Joel Aculan Zartiga</t>
  </si>
  <si>
    <t>Armando I. Batiancila</t>
  </si>
  <si>
    <t>Felizardo  R.  Canama</t>
  </si>
  <si>
    <t>Thelma Ardon Escanillas</t>
  </si>
  <si>
    <t>Marie Juvy Lalin Alera</t>
  </si>
  <si>
    <t>Dina V. Panganiban</t>
  </si>
  <si>
    <t>Ricardo Omamalin Calonge</t>
  </si>
  <si>
    <t>Giovanni Gose Desabelle</t>
  </si>
  <si>
    <t>Bill V. Segui</t>
  </si>
  <si>
    <t>Miguelito A. Ogania</t>
  </si>
  <si>
    <t>Elmer Foronda Acoba</t>
  </si>
  <si>
    <t>LEONIDO PAL-ING CATIEL</t>
  </si>
  <si>
    <t>Ruel Lasona</t>
  </si>
  <si>
    <t>EDWARD SULIMA MAHINAY</t>
  </si>
  <si>
    <t>Ma. Liza Candelaria Ortiz</t>
  </si>
  <si>
    <t>May Rose Dejaro  Denolang</t>
  </si>
  <si>
    <t>Randolph R Maguigad</t>
  </si>
  <si>
    <t>William  Alcarde  Calas</t>
  </si>
  <si>
    <t>ULDARICO ECIJA BADANGO</t>
  </si>
  <si>
    <t>Maria Cinderella B. Garcia</t>
  </si>
  <si>
    <t>Marilyn  Labrador Garcia</t>
  </si>
  <si>
    <t>Edgar M Mendoza</t>
  </si>
  <si>
    <t>Emmanuel Cedric Martinez Ontong</t>
  </si>
  <si>
    <t>David Bonifacio</t>
  </si>
  <si>
    <t>ALMA PERANDOS BISNAR</t>
  </si>
  <si>
    <t>Noel A Tubac</t>
  </si>
  <si>
    <t>JANE SALVAME AHON</t>
  </si>
  <si>
    <t>Joan Margarette A Yap</t>
  </si>
  <si>
    <t>Marsal Cajatol Chiong</t>
  </si>
  <si>
    <t>Jonathan Bajo Ramos</t>
  </si>
  <si>
    <t>NICOLE N/A SOBRIA</t>
  </si>
  <si>
    <t>MARL PHILIP YAMSUAN CACHERO</t>
  </si>
  <si>
    <t>Fatima Madonna Ubalde Jaynario</t>
  </si>
  <si>
    <t>Ernesto Loyola Castillo</t>
  </si>
  <si>
    <t>Jesamine M. Mendi</t>
  </si>
  <si>
    <t>Lourdes F Arinduque</t>
  </si>
  <si>
    <t>Eleanor C. Laylo</t>
  </si>
  <si>
    <t>Mariane B. Tingchuy</t>
  </si>
  <si>
    <t>Abigail P Beltran</t>
  </si>
  <si>
    <t>marcelino cabanilla torreon</t>
  </si>
  <si>
    <t>ROBERT M. VALLES</t>
  </si>
  <si>
    <t>Ofelia Escobarte Nacional</t>
  </si>
  <si>
    <t>Marivic Estopin Diaz</t>
  </si>
  <si>
    <t>Romirose B. Padin</t>
  </si>
  <si>
    <t>Pedro Gemanga Taton</t>
  </si>
  <si>
    <t>PRECIOUS GAY ABRAU</t>
  </si>
  <si>
    <t>Luisito Escobas Alla</t>
  </si>
  <si>
    <t>Jenn Glaiza Gallego</t>
  </si>
  <si>
    <t>Jezereel Esteban</t>
  </si>
  <si>
    <t>Gredalie Rivera Acopio</t>
  </si>
  <si>
    <t>ASSEL PAGARAN MADANGUIT</t>
  </si>
  <si>
    <t>Felisa  Tolero  Edullantes</t>
  </si>
  <si>
    <t>Mayo Resuma Pelagio</t>
  </si>
  <si>
    <t>Corazon Barrientos Pagayona</t>
  </si>
  <si>
    <t>MA. NEOFITA S. TUAZON</t>
  </si>
  <si>
    <t>Pilar Balbuena Quinico</t>
  </si>
  <si>
    <t>Arnel Gahator Otida</t>
  </si>
  <si>
    <t>JOLEX LIMSIACO MONTECLARO</t>
  </si>
  <si>
    <t>Herminia Dorador Pelipil</t>
  </si>
  <si>
    <t>Rodelito La Fuente Dacup</t>
  </si>
  <si>
    <t>IVY COSTALES VALENCIA</t>
  </si>
  <si>
    <t>Camilo Ferreira</t>
  </si>
  <si>
    <t>Arnel M Ruz</t>
  </si>
  <si>
    <t>Servando Lonzon Amparo Jr.</t>
  </si>
  <si>
    <t>SANNY  P  ABONALES</t>
  </si>
  <si>
    <t>Leah Kierulf De Paz</t>
  </si>
  <si>
    <t>Julian  Zafe Magtagnob</t>
  </si>
  <si>
    <t>MERVYN OLAER DOCALLOS</t>
  </si>
  <si>
    <t>VICTOR ANANA ANOS</t>
  </si>
  <si>
    <t>Maylen Zorilla Damasing</t>
  </si>
  <si>
    <t>Marilyn F. Chavez</t>
  </si>
  <si>
    <t>Rom Josef Pastrana Manzano</t>
  </si>
  <si>
    <t>ROSA DALAGUETE MANUEL</t>
  </si>
  <si>
    <t>PRISCILLA SOTELO BATOR</t>
  </si>
  <si>
    <t>CLIFTON GARETH NGODCHO FANG-ASAN</t>
  </si>
  <si>
    <t>Sofronia Ceniza Uy</t>
  </si>
  <si>
    <t>ERNIE ARRIESGADO</t>
  </si>
  <si>
    <t>Ireene Garcia Igot</t>
  </si>
  <si>
    <t>Reynaldo V Pioquinto</t>
  </si>
  <si>
    <t>CHARRIE ANN SINGCO SALES</t>
  </si>
  <si>
    <t>Laina Bayona Calubia</t>
  </si>
  <si>
    <t>Katherine B Ramos</t>
  </si>
  <si>
    <t>HENRY C. DE GUZMAN</t>
  </si>
  <si>
    <t>Jose Tobias</t>
  </si>
  <si>
    <t>MARISA SARZABA ALSOL</t>
  </si>
  <si>
    <t>Ricarte De Guzman Tadeja</t>
  </si>
  <si>
    <t>GRACE PONCE ARELLANO</t>
  </si>
  <si>
    <t>Nelly S Ibo</t>
  </si>
  <si>
    <t>Nenita  S.  Palomo</t>
  </si>
  <si>
    <t>ADELFA RICO BELLO</t>
  </si>
  <si>
    <t>RAMON A. BELTRAN</t>
  </si>
  <si>
    <t>Jorge Olaer Madrona</t>
  </si>
  <si>
    <t>Erlie A. Mallari</t>
  </si>
  <si>
    <t>HAIDEE PEÑAMANTE AVELLANO</t>
  </si>
  <si>
    <t>IGNACIO S PANTI</t>
  </si>
  <si>
    <t>Edward Borgoños Isles</t>
  </si>
  <si>
    <t>Jude Thaddeus G. Paat</t>
  </si>
  <si>
    <t>RICKY CRUIZ POCON</t>
  </si>
  <si>
    <t>Mark Nikko Badiola</t>
  </si>
  <si>
    <t>RAZY SUAYAN ONIL</t>
  </si>
  <si>
    <t>MARIA CONCEPCION ANTONIO DALERE</t>
  </si>
  <si>
    <t>ARIEL LABINI MARCO</t>
  </si>
  <si>
    <t>Luzminda Gumapac Machete</t>
  </si>
  <si>
    <t>Rosebella Padura Martinez</t>
  </si>
  <si>
    <t>Rosemia R. Alama-Saliwato</t>
  </si>
  <si>
    <t>Maricel Vitasa Granada</t>
  </si>
  <si>
    <t>Helen A. Cabarles</t>
  </si>
  <si>
    <t>RAUL PANELO GALI</t>
  </si>
  <si>
    <t>MA. BELEN POLIDO ACUESTA</t>
  </si>
  <si>
    <t>Edwin Francisco Argonza</t>
  </si>
  <si>
    <t>Arnaldo G Liansing</t>
  </si>
  <si>
    <t>Mae Valledor</t>
  </si>
  <si>
    <t>Alimoden Aying Pangatungan</t>
  </si>
  <si>
    <t>LEONARDO D AMORES</t>
  </si>
  <si>
    <t>Ma.  Hannah Hecita Dobrea</t>
  </si>
  <si>
    <t>Gregorio D Artieda</t>
  </si>
  <si>
    <t>ERWIN A. ESPINAS</t>
  </si>
  <si>
    <t>CARPIO N. CAMITOC</t>
  </si>
  <si>
    <t>ROSMENDO CARDINEZ BONGOCAN, JR.</t>
  </si>
  <si>
    <t>Sherl Dianne Soriano Estoque</t>
  </si>
  <si>
    <t>ELEANOR YANTO CABANGON</t>
  </si>
  <si>
    <t>Jovit  Villareal</t>
  </si>
  <si>
    <t>IMELDA RIVAS TABILLA</t>
  </si>
  <si>
    <t>Roy Ian A Resplandor</t>
  </si>
  <si>
    <t>Jhuna C. Casillano</t>
  </si>
  <si>
    <t>Nora Pinkihan Linglingon</t>
  </si>
  <si>
    <t>Ma. Teresita Salvoza Quejada</t>
  </si>
  <si>
    <t>Lourdes Pretencio Peñaflor</t>
  </si>
  <si>
    <t>HILARIO, JR. NAGUIT MALIWAT</t>
  </si>
  <si>
    <t>Roda Tunacao Casinillo</t>
  </si>
  <si>
    <t>Carol Zulueta Ramos</t>
  </si>
  <si>
    <t>Delmor De Vera Pascual</t>
  </si>
  <si>
    <t>Rhonna Regina  Puno</t>
  </si>
  <si>
    <t>Ambrocio Zapata Azares</t>
  </si>
  <si>
    <t>Petronio  C.  Tolentino</t>
  </si>
  <si>
    <t>Cherry Rafael Perez</t>
  </si>
  <si>
    <t>YUSOP ARBISON WEE</t>
  </si>
  <si>
    <t>Ma. Fe T Cayao</t>
  </si>
  <si>
    <t>KRISTINE AMECHACHURRA HONTIVEROS</t>
  </si>
  <si>
    <t>EDGARDO A. VALDEZ</t>
  </si>
  <si>
    <t>Leonardo Duran Recabo</t>
  </si>
  <si>
    <t>Edgardo G Pamute</t>
  </si>
  <si>
    <t>Christopher Bataller Villafria</t>
  </si>
  <si>
    <t>Edmar Pascua</t>
  </si>
  <si>
    <t>JOSEPH A. BUNAN</t>
  </si>
  <si>
    <t>Linalyn Tolentino - Cueto</t>
  </si>
  <si>
    <t>Janine S. Zarate</t>
  </si>
  <si>
    <t>SHEILAKIM M LUMABI</t>
  </si>
  <si>
    <t>Illuminada N Saburao</t>
  </si>
  <si>
    <t>Manuel T Barit</t>
  </si>
  <si>
    <t>Leandro Antonio Bebita Capulso</t>
  </si>
  <si>
    <t>THEODORE MAZO ROJAS</t>
  </si>
  <si>
    <t>Vina Ventura Temanel</t>
  </si>
  <si>
    <t>Marinelle Marquez Rubico</t>
  </si>
  <si>
    <t>Lubelle B. Lumabas</t>
  </si>
  <si>
    <t>Corazon Belleza Rivera</t>
  </si>
  <si>
    <t>NANCY INAMAC UNIDAD</t>
  </si>
  <si>
    <t>Miriam Dela Paz Mapatac</t>
  </si>
  <si>
    <t>Earl Dompales Nalzaro</t>
  </si>
  <si>
    <t>JEANNE V. BAUZON</t>
  </si>
  <si>
    <t>Agripina F Ceremones</t>
  </si>
  <si>
    <t>Ma. Vicenta To Malana</t>
  </si>
  <si>
    <t>Mark Joseph Pitpit Dilan</t>
  </si>
  <si>
    <t>MA. GLORIA GELI SORRERA</t>
  </si>
  <si>
    <t>Irwin M Fonbuena</t>
  </si>
  <si>
    <t>JESSON NIALA LABRADOR</t>
  </si>
  <si>
    <t>KRISTAL GAYLE G. PATNON</t>
  </si>
  <si>
    <t>Felipe Listones Cabatana</t>
  </si>
  <si>
    <t>MAR LOUIE V SALCEDO</t>
  </si>
  <si>
    <t>Jerome Galaura Crudo</t>
  </si>
  <si>
    <t>Allan Tafalla Orbita</t>
  </si>
  <si>
    <t>Leomar Bayod Balod</t>
  </si>
  <si>
    <t>Gladys Bacwaden</t>
  </si>
  <si>
    <t>Eunice Faith Panganiban Castillo</t>
  </si>
  <si>
    <t>Kreenzel Joy Pagaduan</t>
  </si>
  <si>
    <t>Feoridin Jason Lazaga Elumbaring</t>
  </si>
  <si>
    <t>RESTITUTO N. RENDAJE</t>
  </si>
  <si>
    <t>Judith Nobleza Delanda</t>
  </si>
  <si>
    <t>Rene Sobremonte</t>
  </si>
  <si>
    <t>CHARITO POBLETE CHAVEZ</t>
  </si>
  <si>
    <t>Ernani B. Añonuevo</t>
  </si>
  <si>
    <t>Maria Rosario Carranza Serrano</t>
  </si>
  <si>
    <t>FE C. NAHUMAN</t>
  </si>
  <si>
    <t>Prescilla Villar Libunao</t>
  </si>
  <si>
    <t>Mary Ann A. Lazo</t>
  </si>
  <si>
    <t>Leah Magtanong</t>
  </si>
  <si>
    <t>RUEL M. CURTOM</t>
  </si>
  <si>
    <t>Mary Grace Sta. Elena</t>
  </si>
  <si>
    <t>Jose Mario C Viernes</t>
  </si>
  <si>
    <t>ELIZABETH TRINIDAD BELLO</t>
  </si>
  <si>
    <t>Bayani  Villanueva</t>
  </si>
  <si>
    <t>ABDULLAH GUYO ARAGON</t>
  </si>
  <si>
    <t>EYMARD CAPERIÑA ANGULO</t>
  </si>
  <si>
    <t>Sandy Kenneth C Ramonal</t>
  </si>
  <si>
    <t>Rose Andrea V. Milaor</t>
  </si>
  <si>
    <t>Jan Carlo Bucayan Palugod</t>
  </si>
  <si>
    <t>Carmelita S. Ramos</t>
  </si>
  <si>
    <t>EDUARDO EBANA JAQUILMAC</t>
  </si>
  <si>
    <t>Edison C Gascon</t>
  </si>
  <si>
    <t>LERMA TERONES RECILLO</t>
  </si>
  <si>
    <t>FELIX D. BANGCARAN</t>
  </si>
  <si>
    <t>SHERLITA ARIÑO PALMA</t>
  </si>
  <si>
    <t>JOEL T. BEHIS</t>
  </si>
  <si>
    <t>DEMIA BILLONES DELORIA</t>
  </si>
  <si>
    <t>Jenny Lopez Castro</t>
  </si>
  <si>
    <t>Narissa B Dado</t>
  </si>
  <si>
    <t>Mamutur D Cariga</t>
  </si>
  <si>
    <t>Rommel Aristotle Paraiso Varias</t>
  </si>
  <si>
    <t>RACHELLE ALANO CRON</t>
  </si>
  <si>
    <t>Amadeo Jr. Ong Tan</t>
  </si>
  <si>
    <t>Aldwin  Alcantara  Carandang</t>
  </si>
  <si>
    <t>Aurora Batoctoy</t>
  </si>
  <si>
    <t>Licerio Camacho Patingo</t>
  </si>
  <si>
    <t>ARLYN TABARRA</t>
  </si>
  <si>
    <t>Nehemia Pomeg-as</t>
  </si>
  <si>
    <t>Edwin Anchos Divina</t>
  </si>
  <si>
    <t>marilou into cabeguin</t>
  </si>
  <si>
    <t>Shirney Gaid Larosa</t>
  </si>
  <si>
    <t>Laica Datu Nayre</t>
  </si>
  <si>
    <t>Franco Asis Monjardin</t>
  </si>
  <si>
    <t>Aida Abolais Macabinta</t>
  </si>
  <si>
    <t>Melanie Sergio Pili</t>
  </si>
  <si>
    <t>Ma. Erlin S. Mesias</t>
  </si>
  <si>
    <t>Rojedy Arroyo Castro</t>
  </si>
  <si>
    <t>MARICRIS G. DIAZ</t>
  </si>
  <si>
    <t>Mobarak Patungcal Pandi</t>
  </si>
  <si>
    <t>Gregorio Mamon Nobleza</t>
  </si>
  <si>
    <t>Necil Gavela Aniñon</t>
  </si>
  <si>
    <t>Maria Charisma Ferrer Lorenzo</t>
  </si>
  <si>
    <t>Khristine Aquino Balagtas</t>
  </si>
  <si>
    <t>Mariza O Nallana</t>
  </si>
  <si>
    <t>Bevs A Santino</t>
  </si>
  <si>
    <t>EDSON III CASTRO TANDOC</t>
  </si>
  <si>
    <t>ALEX ROMMEL VELARDE ROMANO</t>
  </si>
  <si>
    <t>Mansueto Ibale Diangco</t>
  </si>
  <si>
    <t>Adelaida Tosing Diega</t>
  </si>
  <si>
    <t>Maximo H Salvatierra</t>
  </si>
  <si>
    <t>LOUIS SAGRADO BOLLOZOS</t>
  </si>
  <si>
    <t>Triumpo Jr Neypes Cantillo</t>
  </si>
  <si>
    <t>Baimona Batugan Macabago</t>
  </si>
  <si>
    <t>Christine Bernadette Jimenez Biteño</t>
  </si>
  <si>
    <t>Rochelle Marie Pajarillo Bondad</t>
  </si>
  <si>
    <t>MARY GRACE BUCASAS OPON</t>
  </si>
  <si>
    <t>Rafael J Oreta</t>
  </si>
  <si>
    <t>Leonora Lumayag Ofredo</t>
  </si>
  <si>
    <t>Niño Azague Aballa</t>
  </si>
  <si>
    <t>Amelyn Quinio Martinez</t>
  </si>
  <si>
    <t>DELIA MACAYAN MERCADO</t>
  </si>
  <si>
    <t>Annielyn N JAVIER</t>
  </si>
  <si>
    <t>Arsenia Morcoso Ordiales</t>
  </si>
  <si>
    <t>ALONA AGAS ASUNCION</t>
  </si>
  <si>
    <t>Sherry P Villanueva</t>
  </si>
  <si>
    <t>Princess dela Cruz</t>
  </si>
  <si>
    <t>Monalisa Jabonero Cuna</t>
  </si>
  <si>
    <t>Joseph Clarence D Valero</t>
  </si>
  <si>
    <t>Liza Labog Enicola</t>
  </si>
  <si>
    <t>Mar Louie Valenzuela Salcedo</t>
  </si>
  <si>
    <t>EDELYN JIMENEZ IGLESIA</t>
  </si>
  <si>
    <t>Teodoro Alo Jabahab</t>
  </si>
  <si>
    <t>RUPERTO BATO YCO</t>
  </si>
  <si>
    <t>Anabel Bantiad Velasco</t>
  </si>
  <si>
    <t>Jessie Canama Paquibo</t>
  </si>
  <si>
    <t>Engr. MARINA Y. ARCENAL</t>
  </si>
  <si>
    <t>Charlene P. Alonzo</t>
  </si>
  <si>
    <t>REYNALDO PARTIDO SANTOS</t>
  </si>
  <si>
    <t>Algen Grejalvo Rasco</t>
  </si>
  <si>
    <t>SHANEE BALSOMO LASPIÑAS</t>
  </si>
  <si>
    <t>Ronnie B. Alarte</t>
  </si>
  <si>
    <t>Reinerio Boglosa</t>
  </si>
  <si>
    <t>Ramon Chito Mejia Terado</t>
  </si>
  <si>
    <t>Procopio Jr. Comendador Rule</t>
  </si>
  <si>
    <t>Bernadette Sanchez Ragay</t>
  </si>
  <si>
    <t>Janet Mejia Washio</t>
  </si>
  <si>
    <t>Florante Uy Zurbito</t>
  </si>
  <si>
    <t>Ruben Roxas Cauilan</t>
  </si>
  <si>
    <t>Jeffrey Asuncion Rabanal</t>
  </si>
  <si>
    <t>RUBY H. CANLAS</t>
  </si>
  <si>
    <t>Carlo Niel P. Barangtay</t>
  </si>
  <si>
    <t>Wilma G. Udalve</t>
  </si>
  <si>
    <t>ROWENA  VILLALUZ  RAMOS</t>
  </si>
  <si>
    <t>GREGORIO TURQUEZA</t>
  </si>
  <si>
    <t>Conrado Bandoquillo Ragay</t>
  </si>
  <si>
    <t>Allen Mar P Antalan</t>
  </si>
  <si>
    <t>Alma Bella Mater Gilo</t>
  </si>
  <si>
    <t>ANDREA JUNE G ALFAJARO</t>
  </si>
  <si>
    <t>Randolf B.  Dimal</t>
  </si>
  <si>
    <t>Elisa Lucero Lite</t>
  </si>
  <si>
    <t>Cecilia E. Taguiam</t>
  </si>
  <si>
    <t>Arlie Gonzales Villaruel</t>
  </si>
  <si>
    <t>Debbie A Rabi</t>
  </si>
  <si>
    <t>Jannette Rojas Raganit</t>
  </si>
  <si>
    <t>MA. CATHERINA MENDOZA APOSTOL</t>
  </si>
  <si>
    <t>Winilyn Nipales De Leon</t>
  </si>
  <si>
    <t>MARIA ELINOR F. HEMEDES</t>
  </si>
  <si>
    <t>Cholie M. Roble</t>
  </si>
  <si>
    <t>Jenelyn Drilon Lazare</t>
  </si>
  <si>
    <t>Napoleon C Bascon</t>
  </si>
  <si>
    <t>Jerl Oyangoren Procurement Officer</t>
  </si>
  <si>
    <t>Niño G. Mascareñas</t>
  </si>
  <si>
    <t>Christian George Bantilan Pal-ing</t>
  </si>
  <si>
    <t>MA. GINA LABASTIDA LESACA</t>
  </si>
  <si>
    <t>Helen  Senosa  Esperancilla</t>
  </si>
  <si>
    <t>Rhea Valmadrid</t>
  </si>
  <si>
    <t>France Josephine Camua Bautista</t>
  </si>
  <si>
    <t>Rommel R Oira</t>
  </si>
  <si>
    <t>ALEX HILARIO BALAAN</t>
  </si>
  <si>
    <t>Jaybee Punzalan</t>
  </si>
  <si>
    <t>Stephen Eric G. Castrodes</t>
  </si>
  <si>
    <t>DARA AUREA HENRIETTA A. VILLALOBOS</t>
  </si>
  <si>
    <t>Charlotte R. Zacarias</t>
  </si>
  <si>
    <t>Jessica R. Narit/ Julia Marie L. Abarca/ Erwin S. Aban</t>
  </si>
  <si>
    <t>Flordelis Ceniza</t>
  </si>
  <si>
    <t>Sunshine Rhina R Caunin</t>
  </si>
  <si>
    <t>Rosella Alojado Villegas</t>
  </si>
  <si>
    <t>Anna Michelle Icasiano Africa</t>
  </si>
  <si>
    <t>SIEGFREDO L. LOPEZ</t>
  </si>
  <si>
    <t>Toni Rose E. Unciano</t>
  </si>
  <si>
    <t>Loraine Del Rosario Delos Reyes</t>
  </si>
  <si>
    <t>Gloria Alberto</t>
  </si>
  <si>
    <t>ROBERT C. MAMUYAC</t>
  </si>
  <si>
    <t>Chona Lou C Fulinara</t>
  </si>
  <si>
    <t>HENRY B CALUDUCAN</t>
  </si>
  <si>
    <t>CARLOMAGNO DACQUEL ANIES</t>
  </si>
  <si>
    <t>Giena G. Ramos</t>
  </si>
  <si>
    <t>Joshua Mari Jareño</t>
  </si>
  <si>
    <t>Cheldonne Prince Einreb Marquez</t>
  </si>
  <si>
    <t>John Jose T Tabligan</t>
  </si>
  <si>
    <t>LUZ  CUDAl DURANO</t>
  </si>
  <si>
    <t>Jessica Diokno Santos</t>
  </si>
  <si>
    <t>Neil Patrick Y. Cruz</t>
  </si>
  <si>
    <t>Allan  Carpiso</t>
  </si>
  <si>
    <t>Rosana Tee Rogando</t>
  </si>
  <si>
    <t>Jose F. Ycay IV</t>
  </si>
  <si>
    <t>AIMER BARTOLOME CRUZ</t>
  </si>
  <si>
    <t>Lilibeth F Didato</t>
  </si>
  <si>
    <t>Maricor Melorin Carbonilla</t>
  </si>
  <si>
    <t>Julita A. Santos</t>
  </si>
  <si>
    <t>DOMENIC PONIEL SINAY</t>
  </si>
  <si>
    <t>Mayette Casaysayan</t>
  </si>
  <si>
    <t>Darlene Sevilla Esmero</t>
  </si>
  <si>
    <t>REYLLAND EBALLE RENDAL</t>
  </si>
  <si>
    <t>Sonny T. Villabert</t>
  </si>
  <si>
    <t>Rhea G Aquino</t>
  </si>
  <si>
    <t>Angelica B. Acoba</t>
  </si>
  <si>
    <t>EMMANUEL B. SARMIENTO</t>
  </si>
  <si>
    <t>Myles M Sayre</t>
  </si>
  <si>
    <t>Judith Domingo Unson</t>
  </si>
  <si>
    <t>Lord Kristan Atienza Logmao</t>
  </si>
  <si>
    <t>JACLYNN  A. Alvarado</t>
  </si>
  <si>
    <t>Rowena R. Roseos</t>
  </si>
  <si>
    <t>CINSP JERICKSON PATRIARCA MIRAFLOR</t>
  </si>
  <si>
    <t>COMELEC Bids and Awards Committee</t>
  </si>
  <si>
    <t>Marvin Jay R. Hapin</t>
  </si>
  <si>
    <t>Anne Nicole Cabiles</t>
  </si>
  <si>
    <t>JULIUS B. UNDAR</t>
  </si>
  <si>
    <t>Jimcel O. Besa</t>
  </si>
  <si>
    <t>ATHESA LASTIMOSA BAS</t>
  </si>
  <si>
    <t>Roderick I. Mendoza</t>
  </si>
  <si>
    <t>VERMEL GUEVARRA REYES</t>
  </si>
  <si>
    <t>RUEL MARCA</t>
  </si>
  <si>
    <t>Clarence B Rimando</t>
  </si>
  <si>
    <t>Noel  Alcabaza</t>
  </si>
  <si>
    <t>Arnaldo Damot Ibarrientos</t>
  </si>
  <si>
    <t>Angelito Leccio Estrada</t>
  </si>
  <si>
    <t>Clifford Dofitas Hamoy</t>
  </si>
  <si>
    <t>Ray-Ann Sorilla</t>
  </si>
  <si>
    <t>Arjomae Penuela Jacob</t>
  </si>
  <si>
    <t>Active</t>
  </si>
  <si>
    <t>Order</t>
  </si>
  <si>
    <t>17/06/2020</t>
  </si>
  <si>
    <t>16/06/2020</t>
  </si>
  <si>
    <t>15/06/2020</t>
  </si>
  <si>
    <t>14/06/2020</t>
  </si>
  <si>
    <t>13/06/2020</t>
  </si>
  <si>
    <t>12/06/2020</t>
  </si>
  <si>
    <t>11/06/2020</t>
  </si>
  <si>
    <t>10/06/2020</t>
  </si>
  <si>
    <t>09/06/2020</t>
  </si>
  <si>
    <t>08/06/2020</t>
  </si>
  <si>
    <t>07/06/2020</t>
  </si>
  <si>
    <t>06/06/2020</t>
  </si>
  <si>
    <t>05/06/2020</t>
  </si>
  <si>
    <t>04/06/2020</t>
  </si>
  <si>
    <t>03/06/2020</t>
  </si>
  <si>
    <t>02/06/2020</t>
  </si>
  <si>
    <t>01/06/2020</t>
  </si>
  <si>
    <t>31/05/2020</t>
  </si>
  <si>
    <t>30/05/2020</t>
  </si>
  <si>
    <t>29/05/2020</t>
  </si>
  <si>
    <t>28/05/2020</t>
  </si>
  <si>
    <t>27/05/2020</t>
  </si>
  <si>
    <t>26/05/2020</t>
  </si>
  <si>
    <t>25/05/2020</t>
  </si>
  <si>
    <t>23/05/2020</t>
  </si>
  <si>
    <t>22/05/2020</t>
  </si>
  <si>
    <t>21/05/2020</t>
  </si>
  <si>
    <t>20/05/2020</t>
  </si>
  <si>
    <t>24/05/2020</t>
  </si>
  <si>
    <t>18/05/2020</t>
  </si>
  <si>
    <t>16/05/2020</t>
  </si>
  <si>
    <t>15/05/2020</t>
  </si>
  <si>
    <t>14/05/2020</t>
  </si>
  <si>
    <t>19/05/2020</t>
  </si>
  <si>
    <t>12/05/2020</t>
  </si>
  <si>
    <t>13/05/2020</t>
  </si>
  <si>
    <t>11/05/2020</t>
  </si>
  <si>
    <t>07/05/2020</t>
  </si>
  <si>
    <t>08/05/2020</t>
  </si>
  <si>
    <t>09/05/2020</t>
  </si>
  <si>
    <t>06/05/2020</t>
  </si>
  <si>
    <t>05/05/2020</t>
  </si>
  <si>
    <t>28/04/2020</t>
  </si>
  <si>
    <t>27/04/2020</t>
  </si>
  <si>
    <t>29/04/2020</t>
  </si>
  <si>
    <t>30/04/2020</t>
  </si>
  <si>
    <t>01/05/2020</t>
  </si>
  <si>
    <t>24/04/2020</t>
  </si>
  <si>
    <t>23/04/2020</t>
  </si>
  <si>
    <t>25/04/2020</t>
  </si>
  <si>
    <t>22/04/2020</t>
  </si>
  <si>
    <t>21/04/2020</t>
  </si>
  <si>
    <t>17/04/2020</t>
  </si>
  <si>
    <t>15/04/2020</t>
  </si>
  <si>
    <t>01/04/2020</t>
  </si>
  <si>
    <t>02/04/2020</t>
  </si>
  <si>
    <t>09/04/2020</t>
  </si>
  <si>
    <t>05/04/2020</t>
  </si>
  <si>
    <t>07/04/2020</t>
  </si>
  <si>
    <t>06/04/2020</t>
  </si>
  <si>
    <t>13/04/2020</t>
  </si>
  <si>
    <t>16/04/2020</t>
  </si>
  <si>
    <t>14/04/2020</t>
  </si>
  <si>
    <t>30/03/2020</t>
  </si>
  <si>
    <t>27/03/2020</t>
  </si>
  <si>
    <t>31/03/2020</t>
  </si>
  <si>
    <t>18/03/2020</t>
  </si>
  <si>
    <t>19/03/2020</t>
  </si>
  <si>
    <t>20/03/2020</t>
  </si>
  <si>
    <t>23/03/2020</t>
  </si>
  <si>
    <t>14/03/2020</t>
  </si>
  <si>
    <t>16/03/2020</t>
  </si>
  <si>
    <t>17/03/2020</t>
  </si>
  <si>
    <t>13/03/2020</t>
  </si>
  <si>
    <t>12/03/2020</t>
  </si>
  <si>
    <t>25/03/2020</t>
  </si>
  <si>
    <t>11/03/2020</t>
  </si>
  <si>
    <t>10/03/2020</t>
  </si>
  <si>
    <t>09/03/2020</t>
  </si>
  <si>
    <t>07/03/2020</t>
  </si>
  <si>
    <t>26/03/2020</t>
  </si>
  <si>
    <t>06/03/2020</t>
  </si>
  <si>
    <t>05/03/2020</t>
  </si>
  <si>
    <t>04/03/2020</t>
  </si>
  <si>
    <t>03/03/2020</t>
  </si>
  <si>
    <t>29/02/2020</t>
  </si>
  <si>
    <t>28/02/2020</t>
  </si>
  <si>
    <t>02/03/2020</t>
  </si>
  <si>
    <t>27/02/2020</t>
  </si>
  <si>
    <t>26/02/2020</t>
  </si>
  <si>
    <t>24/02/2020</t>
  </si>
  <si>
    <t>25/02/2020</t>
  </si>
  <si>
    <t>21/02/2020</t>
  </si>
  <si>
    <t>22/02/2020</t>
  </si>
  <si>
    <t>20/02/2020</t>
  </si>
  <si>
    <t>14/02/2020</t>
  </si>
  <si>
    <t>15/02/2020</t>
  </si>
  <si>
    <t>19/02/2020</t>
  </si>
  <si>
    <t>11/02/2020</t>
  </si>
  <si>
    <t>12/02/2020</t>
  </si>
  <si>
    <t>08/01/2020</t>
  </si>
  <si>
    <t>18/01/2020</t>
  </si>
  <si>
    <t>22/01/2020</t>
  </si>
  <si>
    <t>28/01/2020</t>
  </si>
  <si>
    <t>24/01/2020</t>
  </si>
  <si>
    <t>13/01/2020</t>
  </si>
  <si>
    <t>29/01/2020</t>
  </si>
  <si>
    <t>21/01/2020</t>
  </si>
  <si>
    <t>23/10/2019</t>
  </si>
  <si>
    <t>16/09/2019</t>
  </si>
  <si>
    <t>18/09/2019</t>
  </si>
  <si>
    <t>31/10/2019</t>
  </si>
  <si>
    <t>07/10/2019</t>
  </si>
  <si>
    <t>11/12/2019</t>
  </si>
  <si>
    <t>20/09/2019</t>
  </si>
  <si>
    <t>28/11/2019</t>
  </si>
  <si>
    <t>18/11/2019</t>
  </si>
  <si>
    <t>20/12/2019</t>
  </si>
  <si>
    <t>09/12/2019</t>
  </si>
  <si>
    <t>11/11/2019</t>
  </si>
  <si>
    <t>14/10/2019</t>
  </si>
  <si>
    <t>12/12/2019</t>
  </si>
  <si>
    <t>03/01/2020</t>
  </si>
  <si>
    <t>20/08/2018</t>
  </si>
  <si>
    <t>03/01/2019</t>
  </si>
  <si>
    <t>30/01/2020</t>
  </si>
  <si>
    <t>08/02/2019</t>
  </si>
  <si>
    <t>16/12/2019</t>
  </si>
  <si>
    <t>12/09/2018</t>
  </si>
  <si>
    <t>26/03/2019</t>
  </si>
  <si>
    <t>06/05/2019</t>
  </si>
  <si>
    <t>31/01/2020</t>
  </si>
  <si>
    <t>05/07/2019</t>
  </si>
  <si>
    <t>18/06/2019</t>
  </si>
  <si>
    <t>11/07/2019</t>
  </si>
  <si>
    <t>20/07/2018</t>
  </si>
  <si>
    <t>02/07/2019</t>
  </si>
  <si>
    <t>03/02/2020</t>
  </si>
  <si>
    <t>25/06/2019</t>
  </si>
  <si>
    <t>15/08/2019</t>
  </si>
  <si>
    <t>06/02/2020</t>
  </si>
  <si>
    <t>01/10/2018</t>
  </si>
  <si>
    <t>07/02/2020</t>
  </si>
  <si>
    <t>25/10/2018</t>
  </si>
  <si>
    <t>17/06/2020 12:00 AM</t>
  </si>
  <si>
    <t>17/06/2020 10:22 AM</t>
  </si>
  <si>
    <t>17/06/2020 4:17 PM</t>
  </si>
  <si>
    <t>17/06/2020 10:16 AM</t>
  </si>
  <si>
    <t>17/06/2020 4:11 PM</t>
  </si>
  <si>
    <t>17/06/2020 2:34 PM</t>
  </si>
  <si>
    <t>16/06/2020 12:00 AM</t>
  </si>
  <si>
    <t>17/06/2020 2:38 PM</t>
  </si>
  <si>
    <t>17/06/2020 2:40 PM</t>
  </si>
  <si>
    <t>17/06/2020 2:42 PM</t>
  </si>
  <si>
    <t>17/06/2020 2:41 PM</t>
  </si>
  <si>
    <t>17/06/2020 5:28 PM</t>
  </si>
  <si>
    <t>17/06/2020 11:37 AM</t>
  </si>
  <si>
    <t>16/06/2020 11:00 AM</t>
  </si>
  <si>
    <t>16/06/2020 5:03 PM</t>
  </si>
  <si>
    <t>16/06/2020 1:52 PM</t>
  </si>
  <si>
    <t>17/06/2020 11:28 AM</t>
  </si>
  <si>
    <t>17/06/2020 4:16 PM</t>
  </si>
  <si>
    <t>17/06/2020 4:18 PM</t>
  </si>
  <si>
    <t>17/06/2020 4:21 PM</t>
  </si>
  <si>
    <t>16/06/2020 10:20 AM</t>
  </si>
  <si>
    <t>15/06/2020 12:00 AM</t>
  </si>
  <si>
    <t>17/06/2020 4:09 PM</t>
  </si>
  <si>
    <t>17/06/2020 4:01 PM</t>
  </si>
  <si>
    <t>17/06/2020 4:14 PM</t>
  </si>
  <si>
    <t>17/06/2020 4:20 PM</t>
  </si>
  <si>
    <t>17/06/2020 4:22 PM</t>
  </si>
  <si>
    <t>17/06/2020 4:07 PM</t>
  </si>
  <si>
    <t>17/06/2020 4:13 PM</t>
  </si>
  <si>
    <t>17/06/2020 4:36 PM</t>
  </si>
  <si>
    <t>17/06/2020 4:44 PM</t>
  </si>
  <si>
    <t>17/06/2020 4:48 PM</t>
  </si>
  <si>
    <t>17/06/2020 4:46 PM</t>
  </si>
  <si>
    <t>17/06/2020 4:41 PM</t>
  </si>
  <si>
    <t>17/06/2020 4:51 PM</t>
  </si>
  <si>
    <t>17/06/2020 4:50 PM</t>
  </si>
  <si>
    <t>17/06/2020 4:56 PM</t>
  </si>
  <si>
    <t>17/06/2020 4:53 PM</t>
  </si>
  <si>
    <t>17/06/2020 5:00 PM</t>
  </si>
  <si>
    <t>17/06/2020 5:02 PM</t>
  </si>
  <si>
    <t>17/06/2020 5:03 PM</t>
  </si>
  <si>
    <t>17/06/2020 4:58 PM</t>
  </si>
  <si>
    <t>17/06/2020 2:08 PM</t>
  </si>
  <si>
    <t>15/06/2020 9:45 AM</t>
  </si>
  <si>
    <t>16/06/2020 10:18 AM</t>
  </si>
  <si>
    <t>17/06/2020 7:11 AM</t>
  </si>
  <si>
    <t>16/06/2020 10:12 AM</t>
  </si>
  <si>
    <t>17/06/2020 11:30 AM</t>
  </si>
  <si>
    <t>16/06/2020 10:38 AM</t>
  </si>
  <si>
    <t>16/06/2020 10:39 AM</t>
  </si>
  <si>
    <t>17/06/2020 12:41 PM</t>
  </si>
  <si>
    <t>17/06/2020 12:57 PM</t>
  </si>
  <si>
    <t>15/06/2020 7:08 PM</t>
  </si>
  <si>
    <t>17/06/2020 2:48 PM</t>
  </si>
  <si>
    <t>14/06/2020 12:00 AM</t>
  </si>
  <si>
    <t>16/06/2020 12:28 PM</t>
  </si>
  <si>
    <t>13/06/2020 12:00 AM</t>
  </si>
  <si>
    <t>17/06/2020 10:12 AM</t>
  </si>
  <si>
    <t>16/06/2020 3:16 PM</t>
  </si>
  <si>
    <t>16/06/2020 3:11 PM</t>
  </si>
  <si>
    <t>16/06/2020 3:26 PM</t>
  </si>
  <si>
    <t>16/06/2020 2:53 PM</t>
  </si>
  <si>
    <t>12/06/2020 12:00 AM</t>
  </si>
  <si>
    <t>15/06/2020 7:47 AM</t>
  </si>
  <si>
    <t>17/06/2020 2:06 PM</t>
  </si>
  <si>
    <t>17/06/2020 11:08 AM</t>
  </si>
  <si>
    <t>15/06/2020 2:18 PM</t>
  </si>
  <si>
    <t>14/06/2020 10:31 AM</t>
  </si>
  <si>
    <t>17/06/2020 8:59 AM</t>
  </si>
  <si>
    <t>17/06/2020 11:00 AM</t>
  </si>
  <si>
    <t>16/06/2020 4:19 PM</t>
  </si>
  <si>
    <t>16/06/2020 4:24 PM</t>
  </si>
  <si>
    <t>16/06/2020 4:27 PM</t>
  </si>
  <si>
    <t>17/06/2020 10:05 AM</t>
  </si>
  <si>
    <t>17/06/2020 10:07 AM</t>
  </si>
  <si>
    <t>17/06/2020 10:09 AM</t>
  </si>
  <si>
    <t>15/06/2020 4:46 PM</t>
  </si>
  <si>
    <t>15/06/2020 4:29 PM</t>
  </si>
  <si>
    <t>14/06/2020 12:08 AM</t>
  </si>
  <si>
    <t>17/06/2020 10:39 AM</t>
  </si>
  <si>
    <t>17/06/2020 10:14 AM</t>
  </si>
  <si>
    <t>17/06/2020 10:40 AM</t>
  </si>
  <si>
    <t>17/06/2020 10:50 AM</t>
  </si>
  <si>
    <t>17/06/2020 10:48 AM</t>
  </si>
  <si>
    <t>17/06/2020 10:51 AM</t>
  </si>
  <si>
    <t>17/06/2020 10:52 AM</t>
  </si>
  <si>
    <t>15/06/2020 10:45 AM</t>
  </si>
  <si>
    <t>12/06/2020 12:13 PM</t>
  </si>
  <si>
    <t>12/06/2020 12:21 PM</t>
  </si>
  <si>
    <t>16/06/2020 7:46 AM</t>
  </si>
  <si>
    <t>16/06/2020 7:49 AM</t>
  </si>
  <si>
    <t>16/06/2020 7:47 AM</t>
  </si>
  <si>
    <t>12/06/2020 5:57 PM</t>
  </si>
  <si>
    <t>15/06/2020 1:26 PM</t>
  </si>
  <si>
    <t>11/06/2020 12:00 AM</t>
  </si>
  <si>
    <t>11/06/2020 10:50 AM</t>
  </si>
  <si>
    <t>15/06/2020 9:11 AM</t>
  </si>
  <si>
    <t>15/06/2020 9:15 AM</t>
  </si>
  <si>
    <t>15/06/2020 9:13 AM</t>
  </si>
  <si>
    <t>17/06/2020 1:32 PM</t>
  </si>
  <si>
    <t>15/06/2020 9:17 AM</t>
  </si>
  <si>
    <t>17/06/2020 1:34 PM</t>
  </si>
  <si>
    <t>17/06/2020 1:35 PM</t>
  </si>
  <si>
    <t>17/06/2020 1:42 PM</t>
  </si>
  <si>
    <t>15/06/2020 9:16 AM</t>
  </si>
  <si>
    <t>17/06/2020 3:55 PM</t>
  </si>
  <si>
    <t>15/06/2020 9:21 AM</t>
  </si>
  <si>
    <t>15/06/2020 9:32 AM</t>
  </si>
  <si>
    <t>15/06/2020 9:26 AM</t>
  </si>
  <si>
    <t>17/06/2020 2:59 PM</t>
  </si>
  <si>
    <t>17/06/2020 4:35 PM</t>
  </si>
  <si>
    <t>17/06/2020 3:54 PM</t>
  </si>
  <si>
    <t>15/06/2020 4:21 PM</t>
  </si>
  <si>
    <t>17/06/2020 3:04 PM</t>
  </si>
  <si>
    <t>17/06/2020 3:08 PM</t>
  </si>
  <si>
    <t>17/06/2020 11:14 AM</t>
  </si>
  <si>
    <t>17/06/2020 3:12 PM</t>
  </si>
  <si>
    <t>11/06/2020 2:32 PM</t>
  </si>
  <si>
    <t>11/06/2020 8:24 AM</t>
  </si>
  <si>
    <t>11/06/2020 9:11 AM</t>
  </si>
  <si>
    <t>11/06/2020 8:29 AM</t>
  </si>
  <si>
    <t>17/06/2020 11:18 AM</t>
  </si>
  <si>
    <t>17/06/2020 3:17 PM</t>
  </si>
  <si>
    <t>11/06/2020 10:31 AM</t>
  </si>
  <si>
    <t>17/06/2020 1:39 PM</t>
  </si>
  <si>
    <t>17/06/2020 1:37 PM</t>
  </si>
  <si>
    <t>11/06/2020 1:00 PM</t>
  </si>
  <si>
    <t>17/06/2020 4:24 PM</t>
  </si>
  <si>
    <t>17/06/2020 5:12 PM</t>
  </si>
  <si>
    <t>17/06/2020 3:58 PM</t>
  </si>
  <si>
    <t>16/06/2020 2:09 PM</t>
  </si>
  <si>
    <t>15/06/2020 2:03 PM</t>
  </si>
  <si>
    <t>17/06/2020 5:14 PM</t>
  </si>
  <si>
    <t>17/06/2020 5:17 PM</t>
  </si>
  <si>
    <t>17/06/2020 5:19 PM</t>
  </si>
  <si>
    <t>17/06/2020 5:18 PM</t>
  </si>
  <si>
    <t>17/06/2020 5:20 PM</t>
  </si>
  <si>
    <t>16/06/2020 2:12 PM</t>
  </si>
  <si>
    <t>17/06/2020 3:42 PM</t>
  </si>
  <si>
    <t>17/06/2020 5:21 PM</t>
  </si>
  <si>
    <t>16/06/2020 9:33 AM</t>
  </si>
  <si>
    <t>17/06/2020 12:15 PM</t>
  </si>
  <si>
    <t>14/06/2020 2:48 AM</t>
  </si>
  <si>
    <t>11/06/2020 4:38 PM</t>
  </si>
  <si>
    <t>16/06/2020 11:05 AM</t>
  </si>
  <si>
    <t>15/06/2020 6:42 PM</t>
  </si>
  <si>
    <t>11/06/2020 8:18 PM</t>
  </si>
  <si>
    <t>17/06/2020 2:04 PM</t>
  </si>
  <si>
    <t>10/06/2020 12:00 AM</t>
  </si>
  <si>
    <t>15/06/2020 3:37 PM</t>
  </si>
  <si>
    <t>15/06/2020 4:28 PM</t>
  </si>
  <si>
    <t>10/06/2020 1:45 PM</t>
  </si>
  <si>
    <t>10/06/2020 1:37 PM</t>
  </si>
  <si>
    <t>10/06/2020 8:26 AM</t>
  </si>
  <si>
    <t>10/06/2020 11:44 AM</t>
  </si>
  <si>
    <t>11/06/2020 9:29 AM</t>
  </si>
  <si>
    <t>11/06/2020 10:43 AM</t>
  </si>
  <si>
    <t>11/06/2020 10:47 AM</t>
  </si>
  <si>
    <t>11/06/2020 10:49 AM</t>
  </si>
  <si>
    <t>15/06/2020 5:33 PM</t>
  </si>
  <si>
    <t>13/06/2020 11:22 PM</t>
  </si>
  <si>
    <t>16/06/2020 1:37 PM</t>
  </si>
  <si>
    <t>16/06/2020 1:34 PM</t>
  </si>
  <si>
    <t>17/06/2020 3:22 PM</t>
  </si>
  <si>
    <t>17/06/2020 2:25 PM</t>
  </si>
  <si>
    <t>17/06/2020 2:43 PM</t>
  </si>
  <si>
    <t>16/06/2020 1:46 PM</t>
  </si>
  <si>
    <t>16/06/2020 2:31 PM</t>
  </si>
  <si>
    <t>15/06/2020 1:53 PM</t>
  </si>
  <si>
    <t>16/06/2020 2:00 PM</t>
  </si>
  <si>
    <t>17/06/2020 1:16 PM</t>
  </si>
  <si>
    <t>17/06/2020 2:02 PM</t>
  </si>
  <si>
    <t>15/06/2020 1:51 PM</t>
  </si>
  <si>
    <t>14/06/2020 2:44 AM</t>
  </si>
  <si>
    <t>15/06/2020 1:52 PM</t>
  </si>
  <si>
    <t>15/06/2020 1:54 PM</t>
  </si>
  <si>
    <t>10/06/2020 3:29 PM</t>
  </si>
  <si>
    <t>15/06/2020 1:56 PM</t>
  </si>
  <si>
    <t>17/06/2020 3:00 PM</t>
  </si>
  <si>
    <t>10/06/2020 3:32 PM</t>
  </si>
  <si>
    <t>10/06/2020 3:37 PM</t>
  </si>
  <si>
    <t>13/06/2020 1:11 PM</t>
  </si>
  <si>
    <t>17/06/2020 11:06 AM</t>
  </si>
  <si>
    <t>17/06/2020 7:21 AM</t>
  </si>
  <si>
    <t>17/06/2020 11:10 AM</t>
  </si>
  <si>
    <t>14/06/2020 2:30 AM</t>
  </si>
  <si>
    <t>11/06/2020 11:56 AM</t>
  </si>
  <si>
    <t>15/06/2020 8:14 PM</t>
  </si>
  <si>
    <t>10/06/2020 4:22 PM</t>
  </si>
  <si>
    <t>13/06/2020 1:03 PM</t>
  </si>
  <si>
    <t>15/06/2020 8:12 PM</t>
  </si>
  <si>
    <t>16/06/2020 4:57 PM</t>
  </si>
  <si>
    <t>11/06/2020 4:30 PM</t>
  </si>
  <si>
    <t>16/06/2020 7:43 AM</t>
  </si>
  <si>
    <t>16/06/2020 10:20 PM</t>
  </si>
  <si>
    <t>16/06/2020 10:22 AM</t>
  </si>
  <si>
    <t>17/06/2020 3:57 PM</t>
  </si>
  <si>
    <t>10/06/2020 2:23 PM</t>
  </si>
  <si>
    <t>16/06/2020 2:07 PM</t>
  </si>
  <si>
    <t>10/06/2020 1:52 PM</t>
  </si>
  <si>
    <t>16/06/2020 5:54 PM</t>
  </si>
  <si>
    <t>09/06/2020 12:00 AM</t>
  </si>
  <si>
    <t>16/06/2020 10:52 PM</t>
  </si>
  <si>
    <t>16/06/2020 10:53 PM</t>
  </si>
  <si>
    <t>16/06/2020 10:34 PM</t>
  </si>
  <si>
    <t>16/06/2020 10:50 PM</t>
  </si>
  <si>
    <t>16/06/2020 10:55 PM</t>
  </si>
  <si>
    <t>16/06/2020 10:56 PM</t>
  </si>
  <si>
    <t>11/06/2020 11:08 AM</t>
  </si>
  <si>
    <t>10/06/2020 6:55 AM</t>
  </si>
  <si>
    <t>11/06/2020 11:16 AM</t>
  </si>
  <si>
    <t>11/06/2020 11:17 AM</t>
  </si>
  <si>
    <t>11/06/2020 11:19 AM</t>
  </si>
  <si>
    <t>11/06/2020 11:12 AM</t>
  </si>
  <si>
    <t>17/06/2020 11:32 AM</t>
  </si>
  <si>
    <t>09/06/2020 4:21 PM</t>
  </si>
  <si>
    <t>16/06/2020 4:23 PM</t>
  </si>
  <si>
    <t>16/06/2020 9:08 AM</t>
  </si>
  <si>
    <t>16/06/2020 12:02 PM</t>
  </si>
  <si>
    <t>16/06/2020 9:06 AM</t>
  </si>
  <si>
    <t>16/06/2020 8:38 PM</t>
  </si>
  <si>
    <t>17/06/2020 6:43 PM</t>
  </si>
  <si>
    <t>17/06/2020 4:00 PM</t>
  </si>
  <si>
    <t>16/06/2020 10:28 AM</t>
  </si>
  <si>
    <t>13/06/2020 11:30 PM</t>
  </si>
  <si>
    <t>16/06/2020 10:36 AM</t>
  </si>
  <si>
    <t>16/06/2020 10:33 AM</t>
  </si>
  <si>
    <t>16/06/2020 10:32 AM</t>
  </si>
  <si>
    <t>16/06/2020 10:37 AM</t>
  </si>
  <si>
    <t>16/06/2020 1:08 PM</t>
  </si>
  <si>
    <t>16/06/2020 8:26 AM</t>
  </si>
  <si>
    <t>09/06/2020 4:28 PM</t>
  </si>
  <si>
    <t>09/06/2020 9:57 PM</t>
  </si>
  <si>
    <t>17/06/2020 11:19 AM</t>
  </si>
  <si>
    <t>17/06/2020 11:20 AM</t>
  </si>
  <si>
    <t>15/06/2020 2:08 PM</t>
  </si>
  <si>
    <t>15/06/2020 2:10 PM</t>
  </si>
  <si>
    <t>15/06/2020 2:09 PM</t>
  </si>
  <si>
    <t>17/06/2020 11:03 AM</t>
  </si>
  <si>
    <t>15/06/2020 2:16 PM</t>
  </si>
  <si>
    <t>17/06/2020 8:36 PM</t>
  </si>
  <si>
    <t>15/06/2020 2:17 PM</t>
  </si>
  <si>
    <t>15/06/2020 11:58 AM</t>
  </si>
  <si>
    <t>15/06/2020 2:19 PM</t>
  </si>
  <si>
    <t>17/06/2020 10:58 AM</t>
  </si>
  <si>
    <t>15/06/2020 2:30 PM</t>
  </si>
  <si>
    <t>16/06/2020 3:15 PM</t>
  </si>
  <si>
    <t>15/06/2020 2:21 PM</t>
  </si>
  <si>
    <t>17/06/2020 10:44 AM</t>
  </si>
  <si>
    <t>15/06/2020 2:46 PM</t>
  </si>
  <si>
    <t>17/06/2020 11:01 AM</t>
  </si>
  <si>
    <t>09/06/2020 8:17 PM</t>
  </si>
  <si>
    <t>09/06/2020 8:19 PM</t>
  </si>
  <si>
    <t>09/06/2020 8:15 PM</t>
  </si>
  <si>
    <t>16/06/2020 1:24 PM</t>
  </si>
  <si>
    <t>17/06/2020 3:06 PM</t>
  </si>
  <si>
    <t>11/06/2020 2:20 PM</t>
  </si>
  <si>
    <t>09/06/2020 8:20 PM</t>
  </si>
  <si>
    <t>11/06/2020 6:35 PM</t>
  </si>
  <si>
    <t>11/06/2020 11:06 AM</t>
  </si>
  <si>
    <t>11/06/2020 10:42 AM</t>
  </si>
  <si>
    <t>11/06/2020 10:54 AM</t>
  </si>
  <si>
    <t>16/06/2020 10:08 AM</t>
  </si>
  <si>
    <t>16/06/2020 12:11 PM</t>
  </si>
  <si>
    <t>10/06/2020 8:30 AM</t>
  </si>
  <si>
    <t>16/06/2020 8:44 AM</t>
  </si>
  <si>
    <t>10/06/2020 8:29 AM</t>
  </si>
  <si>
    <t>15/06/2020 3:53 PM</t>
  </si>
  <si>
    <t>15/06/2020 10:49 AM</t>
  </si>
  <si>
    <t>16/06/2020 8:46 AM</t>
  </si>
  <si>
    <t>10/06/2020 4:43 PM</t>
  </si>
  <si>
    <t>11/06/2020 2:43 PM</t>
  </si>
  <si>
    <t>09/06/2020 5:54 PM</t>
  </si>
  <si>
    <t>10/06/2020 3:38 PM</t>
  </si>
  <si>
    <t>10/06/2020 3:43 PM</t>
  </si>
  <si>
    <t>16/06/2020 8:28 AM</t>
  </si>
  <si>
    <t>10/06/2020 3:42 PM</t>
  </si>
  <si>
    <t>16/06/2020 8:07 PM</t>
  </si>
  <si>
    <t>10/06/2020 3:40 PM</t>
  </si>
  <si>
    <t>16/06/2020 8:09 PM</t>
  </si>
  <si>
    <t>16/06/2020 1:50 PM</t>
  </si>
  <si>
    <t>16/06/2020 1:51 PM</t>
  </si>
  <si>
    <t>16/06/2020 1:49 PM</t>
  </si>
  <si>
    <t>15/06/2020 7:26 PM</t>
  </si>
  <si>
    <t>15/06/2020 5:00 PM</t>
  </si>
  <si>
    <t>16/06/2020 9:35 PM</t>
  </si>
  <si>
    <t>08/06/2020 12:00 AM</t>
  </si>
  <si>
    <t>09/06/2020 9:27 AM</t>
  </si>
  <si>
    <t>16/06/2020 9:33 PM</t>
  </si>
  <si>
    <t>16/06/2020 8:13 AM</t>
  </si>
  <si>
    <t>17/06/2020 3:52 PM</t>
  </si>
  <si>
    <t>10/06/2020 6:11 PM</t>
  </si>
  <si>
    <t>10/06/2020 5:40 PM</t>
  </si>
  <si>
    <t>16/06/2020 3:20 PM</t>
  </si>
  <si>
    <t>16/06/2020 8:14 AM</t>
  </si>
  <si>
    <t>16/06/2020 8:19 AM</t>
  </si>
  <si>
    <t>10/06/2020 9:34 AM</t>
  </si>
  <si>
    <t>16/06/2020 8:17 AM</t>
  </si>
  <si>
    <t>16/06/2020 8:18 AM</t>
  </si>
  <si>
    <t>16/06/2020 8:15 AM</t>
  </si>
  <si>
    <t>16/06/2020 8:53 AM</t>
  </si>
  <si>
    <t>17/06/2020 1:31 PM</t>
  </si>
  <si>
    <t>16/06/2020 8:20 AM</t>
  </si>
  <si>
    <t>17/06/2020 4:34 PM</t>
  </si>
  <si>
    <t>17/06/2020 4:38 PM</t>
  </si>
  <si>
    <t>17/06/2020 4:31 PM</t>
  </si>
  <si>
    <t>16/06/2020 3:53 PM</t>
  </si>
  <si>
    <t>16/06/2020 3:55 PM</t>
  </si>
  <si>
    <t>16/06/2020 11:45 AM</t>
  </si>
  <si>
    <t>16/06/2020 1:59 PM</t>
  </si>
  <si>
    <t>16/06/2020 11:29 AM</t>
  </si>
  <si>
    <t>16/06/2020 11:22 AM</t>
  </si>
  <si>
    <t>16/06/2020 11:17 AM</t>
  </si>
  <si>
    <t>16/06/2020 2:18 PM</t>
  </si>
  <si>
    <t>15/06/2020 4:26 PM</t>
  </si>
  <si>
    <t>08/06/2020 1:49 PM</t>
  </si>
  <si>
    <t>15/06/2020 3:31 PM</t>
  </si>
  <si>
    <t>15/06/2020 3:30 PM</t>
  </si>
  <si>
    <t>15/06/2020 1:07 PM</t>
  </si>
  <si>
    <t>15/06/2020 3:29 PM</t>
  </si>
  <si>
    <t>10/06/2020 2:43 PM</t>
  </si>
  <si>
    <t>15/06/2020 3:28 PM</t>
  </si>
  <si>
    <t>15/06/2020 3:25 PM</t>
  </si>
  <si>
    <t>15/06/2020 3:27 PM</t>
  </si>
  <si>
    <t>16/06/2020 3:33 PM</t>
  </si>
  <si>
    <t>17/06/2020 7:48 PM</t>
  </si>
  <si>
    <t>10/06/2020 12:02 PM</t>
  </si>
  <si>
    <t>15/06/2020 11:07 AM</t>
  </si>
  <si>
    <t>07/06/2020 12:00 AM</t>
  </si>
  <si>
    <t>08/06/2020 1:38 PM</t>
  </si>
  <si>
    <t>12/06/2020 5:32 PM</t>
  </si>
  <si>
    <t>16/06/2020 3:36 PM</t>
  </si>
  <si>
    <t>08/06/2020 1:43 PM</t>
  </si>
  <si>
    <t>11/06/2020 4:48 PM</t>
  </si>
  <si>
    <t>08/06/2020 9:05 AM</t>
  </si>
  <si>
    <t>16/06/2020 4:14 PM</t>
  </si>
  <si>
    <t>15/06/2020 11:00 AM</t>
  </si>
  <si>
    <t>06/06/2020 12:00 AM</t>
  </si>
  <si>
    <t>17/06/2020 2:26 PM</t>
  </si>
  <si>
    <t>12/06/2020 5:30 PM</t>
  </si>
  <si>
    <t>12/06/2020 5:34 PM</t>
  </si>
  <si>
    <t>17/06/2020 2:29 PM</t>
  </si>
  <si>
    <t>16/06/2020 8:49 AM</t>
  </si>
  <si>
    <t>15/06/2020 5:45 PM</t>
  </si>
  <si>
    <t>08/06/2020 3:19 PM</t>
  </si>
  <si>
    <t>16/06/2020 9:28 AM</t>
  </si>
  <si>
    <t>10/06/2020 4:39 PM</t>
  </si>
  <si>
    <t>17/06/2020 2:33 PM</t>
  </si>
  <si>
    <t>09/06/2020 1:51 PM</t>
  </si>
  <si>
    <t>16/06/2020 2:23 PM</t>
  </si>
  <si>
    <t>08/06/2020 5:22 PM</t>
  </si>
  <si>
    <t>17/06/2020 3:10 PM</t>
  </si>
  <si>
    <t>16/06/2020 2:25 PM</t>
  </si>
  <si>
    <t>11/06/2020 1:34 PM</t>
  </si>
  <si>
    <t>15/06/2020 9:40 PM</t>
  </si>
  <si>
    <t>08/06/2020 5:30 PM</t>
  </si>
  <si>
    <t>17/06/2020 11:24 AM</t>
  </si>
  <si>
    <t>09/06/2020 10:59 AM</t>
  </si>
  <si>
    <t>09/06/2020 11:02 AM</t>
  </si>
  <si>
    <t>10/06/2020 1:33 PM</t>
  </si>
  <si>
    <t>11/06/2020 10:09 AM</t>
  </si>
  <si>
    <t>11/06/2020 2:10 PM</t>
  </si>
  <si>
    <t>11/06/2020 11:29 AM</t>
  </si>
  <si>
    <t>15/06/2020 8:49 AM</t>
  </si>
  <si>
    <t>11/06/2020 11:31 AM</t>
  </si>
  <si>
    <t>11/06/2020 10:11 AM</t>
  </si>
  <si>
    <t>11/06/2020 10:13 AM</t>
  </si>
  <si>
    <t>09/06/2020 11:01 AM</t>
  </si>
  <si>
    <t>16/06/2020 9:23 PM</t>
  </si>
  <si>
    <t>16/06/2020 9:16 PM</t>
  </si>
  <si>
    <t>16/06/2020 9:20 PM</t>
  </si>
  <si>
    <t>16/06/2020 9:25 PM</t>
  </si>
  <si>
    <t>16/06/2020 9:27 PM</t>
  </si>
  <si>
    <t>11/06/2020 10:18 AM</t>
  </si>
  <si>
    <t>11/06/2020 10:16 AM</t>
  </si>
  <si>
    <t>16/06/2020 9:29 PM</t>
  </si>
  <si>
    <t>09/06/2020 12:50 PM</t>
  </si>
  <si>
    <t>11/06/2020 10:32 AM</t>
  </si>
  <si>
    <t>11/06/2020 10:38 AM</t>
  </si>
  <si>
    <t>05/06/2020 12:00 AM</t>
  </si>
  <si>
    <t>16/06/2020 9:32 PM</t>
  </si>
  <si>
    <t>11/06/2020 10:30 AM</t>
  </si>
  <si>
    <t>10/06/2020 3:23 PM</t>
  </si>
  <si>
    <t>17/06/2020 8:02 AM</t>
  </si>
  <si>
    <t>09/06/2020 8:32 AM</t>
  </si>
  <si>
    <t>17/06/2020 10:29 AM</t>
  </si>
  <si>
    <t>15/06/2020 4:31 PM</t>
  </si>
  <si>
    <t>05/06/2020 2:54 PM</t>
  </si>
  <si>
    <t>17/06/2020 9:43 AM</t>
  </si>
  <si>
    <t>05/06/2020 3:38 PM</t>
  </si>
  <si>
    <t>17/06/2020 4:33 PM</t>
  </si>
  <si>
    <t>15/06/2020 7:58 PM</t>
  </si>
  <si>
    <t>17/06/2020 4:45 PM</t>
  </si>
  <si>
    <t>16/06/2020 2:34 PM</t>
  </si>
  <si>
    <t>11/06/2020 1:52 PM</t>
  </si>
  <si>
    <t>05/06/2020 12:27 PM</t>
  </si>
  <si>
    <t>11/06/2020 4:07 PM</t>
  </si>
  <si>
    <t>17/06/2020 11:23 AM</t>
  </si>
  <si>
    <t>11/06/2020 4:52 PM</t>
  </si>
  <si>
    <t>16/06/2020 4:18 PM</t>
  </si>
  <si>
    <t>11/06/2020 1:41 PM</t>
  </si>
  <si>
    <t>16/06/2020 2:27 PM</t>
  </si>
  <si>
    <t>11/06/2020 1:43 PM</t>
  </si>
  <si>
    <t>08/06/2020 6:11 PM</t>
  </si>
  <si>
    <t>16/06/2020 2:36 PM</t>
  </si>
  <si>
    <t>17/06/2020 2:32 PM</t>
  </si>
  <si>
    <t>10/06/2020 11:12 AM</t>
  </si>
  <si>
    <t>09/06/2020 9:26 AM</t>
  </si>
  <si>
    <t>17/06/2020 2:24 PM</t>
  </si>
  <si>
    <t>10/06/2020 8:47 AM</t>
  </si>
  <si>
    <t>11/06/2020 3:09 PM</t>
  </si>
  <si>
    <t>11/06/2020 3:21 PM</t>
  </si>
  <si>
    <t>11/06/2020 3:01 PM</t>
  </si>
  <si>
    <t>16/06/2020 5:34 PM</t>
  </si>
  <si>
    <t>10/06/2020 4:40 PM</t>
  </si>
  <si>
    <t>11/06/2020 3:25 PM</t>
  </si>
  <si>
    <t>15/06/2020 5:42 PM</t>
  </si>
  <si>
    <t>16/06/2020 7:09 PM</t>
  </si>
  <si>
    <t>15/06/2020 5:47 PM</t>
  </si>
  <si>
    <t>07/06/2020 2:42 PM</t>
  </si>
  <si>
    <t>11/06/2020 3:58 PM</t>
  </si>
  <si>
    <t>10/06/2020 4:42 PM</t>
  </si>
  <si>
    <t>11/06/2020 4:00 PM</t>
  </si>
  <si>
    <t>04/06/2020 12:00 AM</t>
  </si>
  <si>
    <t>17/06/2020 8:19 AM</t>
  </si>
  <si>
    <t>11/06/2020 4:03 PM</t>
  </si>
  <si>
    <t>04/06/2020 11:10 AM</t>
  </si>
  <si>
    <t>04/06/2020 11:12 AM</t>
  </si>
  <si>
    <t>17/06/2020 11:02 AM</t>
  </si>
  <si>
    <t>09/06/2020 3:34 PM</t>
  </si>
  <si>
    <t>09/06/2020 3:40 PM</t>
  </si>
  <si>
    <t>09/06/2020 3:31 PM</t>
  </si>
  <si>
    <t>09/06/2020 3:35 PM</t>
  </si>
  <si>
    <t>09/06/2020 3:41 PM</t>
  </si>
  <si>
    <t>09/06/2020 3:46 PM</t>
  </si>
  <si>
    <t>09/06/2020 3:49 PM</t>
  </si>
  <si>
    <t>10/06/2020 8:34 AM</t>
  </si>
  <si>
    <t>09/06/2020 3:50 PM</t>
  </si>
  <si>
    <t>09/06/2020 3:56 PM</t>
  </si>
  <si>
    <t>09/06/2020 3:57 PM</t>
  </si>
  <si>
    <t>09/06/2020 3:55 PM</t>
  </si>
  <si>
    <t>17/06/2020 11:29 AM</t>
  </si>
  <si>
    <t>09/06/2020 3:52 PM</t>
  </si>
  <si>
    <t>09/06/2020 3:51 PM</t>
  </si>
  <si>
    <t>09/06/2020 1:53 PM</t>
  </si>
  <si>
    <t>16/06/2020 2:41 PM</t>
  </si>
  <si>
    <t>16/06/2020 4:42 PM</t>
  </si>
  <si>
    <t>16/06/2020 2:39 PM</t>
  </si>
  <si>
    <t>17/06/2020 10:10 AM</t>
  </si>
  <si>
    <t>16/06/2020 8:24 AM</t>
  </si>
  <si>
    <t>09/06/2020 10:52 AM</t>
  </si>
  <si>
    <t>09/06/2020 10:50 AM</t>
  </si>
  <si>
    <t>10/06/2020 2:09 PM</t>
  </si>
  <si>
    <t>15/06/2020 12:43 PM</t>
  </si>
  <si>
    <t>16/06/2020 12:17 PM</t>
  </si>
  <si>
    <t>10/06/2020 2:26 PM</t>
  </si>
  <si>
    <t>16/06/2020 4:30 PM</t>
  </si>
  <si>
    <t>16/06/2020 4:33 PM</t>
  </si>
  <si>
    <t>17/06/2020 3:33 PM</t>
  </si>
  <si>
    <t>16/06/2020 4:54 PM</t>
  </si>
  <si>
    <t>10/06/2020 2:37 PM</t>
  </si>
  <si>
    <t>16/06/2020 4:35 PM</t>
  </si>
  <si>
    <t>10/06/2020 2:40 PM</t>
  </si>
  <si>
    <t>10/06/2020 2:44 PM</t>
  </si>
  <si>
    <t>17/06/2020 11:52 AM</t>
  </si>
  <si>
    <t>09/06/2020 10:56 AM</t>
  </si>
  <si>
    <t>16/06/2020 4:44 PM</t>
  </si>
  <si>
    <t>16/06/2020 3:59 PM</t>
  </si>
  <si>
    <t>08/06/2020 10:45 AM</t>
  </si>
  <si>
    <t>16/06/2020 4:46 PM</t>
  </si>
  <si>
    <t>16/06/2020 4:02 PM</t>
  </si>
  <si>
    <t>16/06/2020 4:00 PM</t>
  </si>
  <si>
    <t>16/06/2020 4:49 PM</t>
  </si>
  <si>
    <t>17/06/2020 10:04 AM</t>
  </si>
  <si>
    <t>11/06/2020 12:56 PM</t>
  </si>
  <si>
    <t>10/06/2020 2:50 PM</t>
  </si>
  <si>
    <t>04/06/2020 11:35 AM</t>
  </si>
  <si>
    <t>10/06/2020 2:53 PM</t>
  </si>
  <si>
    <t>10/06/2020 2:54 PM</t>
  </si>
  <si>
    <t>10/06/2020 2:56 PM</t>
  </si>
  <si>
    <t>15/06/2020 11:56 AM</t>
  </si>
  <si>
    <t>17/06/2020 10:11 AM</t>
  </si>
  <si>
    <t>04/06/2020 11:37 AM</t>
  </si>
  <si>
    <t>17/06/2020 9:23 AM</t>
  </si>
  <si>
    <t>16/06/2020 10:17 AM</t>
  </si>
  <si>
    <t>15/06/2020 12:15 PM</t>
  </si>
  <si>
    <t>17/06/2020 12:12 AM</t>
  </si>
  <si>
    <t>17/06/2020 12:11 AM</t>
  </si>
  <si>
    <t>13/06/2020 5:45 PM</t>
  </si>
  <si>
    <t>15/06/2020 4:16 PM</t>
  </si>
  <si>
    <t>16/06/2020 3:18 PM</t>
  </si>
  <si>
    <t>17/06/2020 12:14 AM</t>
  </si>
  <si>
    <t>17/06/2020 12:16 AM</t>
  </si>
  <si>
    <t>17/06/2020 12:19 AM</t>
  </si>
  <si>
    <t>04/06/2020 4:26 PM</t>
  </si>
  <si>
    <t>17/06/2020 12:22 AM</t>
  </si>
  <si>
    <t>15/06/2020 1:48 PM</t>
  </si>
  <si>
    <t>09/06/2020 10:10 AM</t>
  </si>
  <si>
    <t>08/06/2020 3:01 PM</t>
  </si>
  <si>
    <t>16/06/2020 8:36 AM</t>
  </si>
  <si>
    <t>15/06/2020 1:21 PM</t>
  </si>
  <si>
    <t>11/06/2020 6:18 PM</t>
  </si>
  <si>
    <t>17/06/2020 4:08 PM</t>
  </si>
  <si>
    <t>10/06/2020 2:42 PM</t>
  </si>
  <si>
    <t>15/06/2020 10:10 PM</t>
  </si>
  <si>
    <t>04/06/2020 8:51 AM</t>
  </si>
  <si>
    <t>11/06/2020 6:27 PM</t>
  </si>
  <si>
    <t>11/06/2020 6:21 PM</t>
  </si>
  <si>
    <t>11/06/2020 6:30 PM</t>
  </si>
  <si>
    <t>11/06/2020 6:33 PM</t>
  </si>
  <si>
    <t>16/06/2020 8:24 PM</t>
  </si>
  <si>
    <t>15/06/2020 10:11 PM</t>
  </si>
  <si>
    <t>11/06/2020 6:38 PM</t>
  </si>
  <si>
    <t>11/06/2020 6:39 PM</t>
  </si>
  <si>
    <t>16/06/2020 8:30 PM</t>
  </si>
  <si>
    <t>11/06/2020 6:41 PM</t>
  </si>
  <si>
    <t>11/06/2020 6:45 PM</t>
  </si>
  <si>
    <t>11/06/2020 6:47 PM</t>
  </si>
  <si>
    <t>11/06/2020 6:46 PM</t>
  </si>
  <si>
    <t>11/06/2020 6:50 PM</t>
  </si>
  <si>
    <t>07/06/2020 6:50 PM</t>
  </si>
  <si>
    <t>16/06/2020 4:05 PM</t>
  </si>
  <si>
    <t>11/06/2020 6:49 PM</t>
  </si>
  <si>
    <t>11/06/2020 6:48 PM</t>
  </si>
  <si>
    <t>11/06/2020 6:51 PM</t>
  </si>
  <si>
    <t>11/06/2020 6:53 PM</t>
  </si>
  <si>
    <t>07/06/2020 6:53 PM</t>
  </si>
  <si>
    <t>07/06/2020 6:56 PM</t>
  </si>
  <si>
    <t>15/06/2020 3:26 PM</t>
  </si>
  <si>
    <t>05/06/2020 1:40 PM</t>
  </si>
  <si>
    <t>11/06/2020 6:52 PM</t>
  </si>
  <si>
    <t>07/06/2020 7:01 PM</t>
  </si>
  <si>
    <t>11/06/2020 3:13 PM</t>
  </si>
  <si>
    <t>11/06/2020 6:55 PM</t>
  </si>
  <si>
    <t>16/06/2020 5:12 PM</t>
  </si>
  <si>
    <t>05/06/2020 1:43 PM</t>
  </si>
  <si>
    <t>15/06/2020 8:41 AM</t>
  </si>
  <si>
    <t>15/06/2020 8:40 AM</t>
  </si>
  <si>
    <t>11/06/2020 6:56 PM</t>
  </si>
  <si>
    <t>11/06/2020 6:57 PM</t>
  </si>
  <si>
    <t>16/06/2020 8:34 PM</t>
  </si>
  <si>
    <t>16/06/2020 8:37 PM</t>
  </si>
  <si>
    <t>11/06/2020 6:58 PM</t>
  </si>
  <si>
    <t>11/06/2020 7:00 PM</t>
  </si>
  <si>
    <t>04/06/2020 5:49 AM</t>
  </si>
  <si>
    <t>11/06/2020 6:59 PM</t>
  </si>
  <si>
    <t>11/06/2020 10:08 PM</t>
  </si>
  <si>
    <t>11/06/2020 10:10 PM</t>
  </si>
  <si>
    <t>11/06/2020 10:06 PM</t>
  </si>
  <si>
    <t>07/06/2020 7:05 PM</t>
  </si>
  <si>
    <t>16/06/2020 1:40 PM</t>
  </si>
  <si>
    <t>11/06/2020 10:09 PM</t>
  </si>
  <si>
    <t>11/06/2020 10:05 PM</t>
  </si>
  <si>
    <t>11/06/2020 10:07 PM</t>
  </si>
  <si>
    <t>17/06/2020 3:26 PM</t>
  </si>
  <si>
    <t>17/06/2020 3:21 PM</t>
  </si>
  <si>
    <t>13/06/2020 11:43 PM</t>
  </si>
  <si>
    <t>13/06/2020 11:29 PM</t>
  </si>
  <si>
    <t>03/06/2020 12:00 AM</t>
  </si>
  <si>
    <t>04/06/2020 4:51 PM</t>
  </si>
  <si>
    <t>04/06/2020 4:53 PM</t>
  </si>
  <si>
    <t>11/06/2020 4:57 PM</t>
  </si>
  <si>
    <t>15/06/2020 4:48 PM</t>
  </si>
  <si>
    <t>15/06/2020 4:45 PM</t>
  </si>
  <si>
    <t>05/06/2020 3:42 PM</t>
  </si>
  <si>
    <t>17/06/2020 9:47 AM</t>
  </si>
  <si>
    <t>05/06/2020 3:46 PM</t>
  </si>
  <si>
    <t>15/06/2020 4:51 PM</t>
  </si>
  <si>
    <t>15/06/2020 3:43 PM</t>
  </si>
  <si>
    <t>15/06/2020 3:41 PM</t>
  </si>
  <si>
    <t>17/06/2020 2:54 PM</t>
  </si>
  <si>
    <t>17/06/2020 2:56 PM</t>
  </si>
  <si>
    <t>04/06/2020 3:47 PM</t>
  </si>
  <si>
    <t>15/06/2020 4:11 PM</t>
  </si>
  <si>
    <t>15/06/2020 3:38 PM</t>
  </si>
  <si>
    <t>17/06/2020 3:05 PM</t>
  </si>
  <si>
    <t>08/06/2020 10:19 PM</t>
  </si>
  <si>
    <t>08/06/2020 10:17 PM</t>
  </si>
  <si>
    <t>11/06/2020 6:05 PM</t>
  </si>
  <si>
    <t>15/06/2020 12:41 PM</t>
  </si>
  <si>
    <t>11/06/2020 5:00 PM</t>
  </si>
  <si>
    <t>15/06/2020 10:41 AM</t>
  </si>
  <si>
    <t>16/06/2020 9:31 AM</t>
  </si>
  <si>
    <t>11/06/2020 5:02 PM</t>
  </si>
  <si>
    <t>15/06/2020 12:44 PM</t>
  </si>
  <si>
    <t>16/06/2020 8:45 PM</t>
  </si>
  <si>
    <t>04/06/2020 4:34 PM</t>
  </si>
  <si>
    <t>15/06/2020 5:49 PM</t>
  </si>
  <si>
    <t>16/06/2020 1:18 PM</t>
  </si>
  <si>
    <t>15/06/2020 3:12 PM</t>
  </si>
  <si>
    <t>16/06/2020 1:17 PM</t>
  </si>
  <si>
    <t>16/06/2020 2:37 PM</t>
  </si>
  <si>
    <t>15/06/2020 5:36 PM</t>
  </si>
  <si>
    <t>15/06/2020 4:58 PM</t>
  </si>
  <si>
    <t>10/06/2020 1:55 PM</t>
  </si>
  <si>
    <t>11/06/2020 1:40 PM</t>
  </si>
  <si>
    <t>10/06/2020 2:02 PM</t>
  </si>
  <si>
    <t>15/06/2020 7:56 PM</t>
  </si>
  <si>
    <t>11/06/2020 4:45 PM</t>
  </si>
  <si>
    <t>15/06/2020 4:06 PM</t>
  </si>
  <si>
    <t>04/06/2020 10:03 AM</t>
  </si>
  <si>
    <t>05/06/2020 3:50 PM</t>
  </si>
  <si>
    <t>17/06/2020 7:19 PM</t>
  </si>
  <si>
    <t>15/06/2020 8:16 PM</t>
  </si>
  <si>
    <t>15/06/2020 1:12 PM</t>
  </si>
  <si>
    <t>10/06/2020 2:58 PM</t>
  </si>
  <si>
    <t>15/06/2020 1:23 PM</t>
  </si>
  <si>
    <t>15/06/2020 9:41 AM</t>
  </si>
  <si>
    <t>15/06/2020 1:09 PM</t>
  </si>
  <si>
    <t>08/06/2020 4:49 PM</t>
  </si>
  <si>
    <t>17/06/2020 3:49 PM</t>
  </si>
  <si>
    <t>17/06/2020 1:58 PM</t>
  </si>
  <si>
    <t>08/06/2020 11:26 AM</t>
  </si>
  <si>
    <t>04/06/2020 12:32 PM</t>
  </si>
  <si>
    <t>03/06/2020 3:00 PM</t>
  </si>
  <si>
    <t>17/06/2020 4:15 PM</t>
  </si>
  <si>
    <t>16/06/2020 9:44 AM</t>
  </si>
  <si>
    <t>16/06/2020 12:03 PM</t>
  </si>
  <si>
    <t>16/06/2020 7:30 PM</t>
  </si>
  <si>
    <t>16/06/2020 3:25 PM</t>
  </si>
  <si>
    <t>16/06/2020 5:06 PM</t>
  </si>
  <si>
    <t>15/06/2020 9:00 AM</t>
  </si>
  <si>
    <t>09/06/2020 5:04 PM</t>
  </si>
  <si>
    <t>16/06/2020 5:01 PM</t>
  </si>
  <si>
    <t>16/06/2020 3:44 PM</t>
  </si>
  <si>
    <t>15/06/2020 8:42 AM</t>
  </si>
  <si>
    <t>15/06/2020 11:59 PM</t>
  </si>
  <si>
    <t>09/06/2020 8:40 AM</t>
  </si>
  <si>
    <t>16/06/2020 3:48 PM</t>
  </si>
  <si>
    <t>16/06/2020 5:17 PM</t>
  </si>
  <si>
    <t>16/06/2020 12:24 PM</t>
  </si>
  <si>
    <t>15/06/2020 2:05 PM</t>
  </si>
  <si>
    <t>16/06/2020 5:14 PM</t>
  </si>
  <si>
    <t>09/06/2020 11:07 AM</t>
  </si>
  <si>
    <t>13/06/2020 4:45 PM</t>
  </si>
  <si>
    <t>15/06/2020 2:29 PM</t>
  </si>
  <si>
    <t>11/06/2020 12:35 PM</t>
  </si>
  <si>
    <t>10/06/2020 4:21 PM</t>
  </si>
  <si>
    <t>16/06/2020 5:02 PM</t>
  </si>
  <si>
    <t>10/06/2020 4:19 PM</t>
  </si>
  <si>
    <t>16/06/2020 5:10 PM</t>
  </si>
  <si>
    <t>16/06/2020 12:51 PM</t>
  </si>
  <si>
    <t>13/06/2020 4:43 PM</t>
  </si>
  <si>
    <t>15/06/2020 4:43 PM</t>
  </si>
  <si>
    <t>04/06/2020 7:52 AM</t>
  </si>
  <si>
    <t>04/06/2020 10:54 AM</t>
  </si>
  <si>
    <t>15/06/2020 4:42 PM</t>
  </si>
  <si>
    <t>04/06/2020 8:00 AM</t>
  </si>
  <si>
    <t>04/06/2020 8:03 AM</t>
  </si>
  <si>
    <t>16/06/2020 1:43 PM</t>
  </si>
  <si>
    <t>15/06/2020 4:41 PM</t>
  </si>
  <si>
    <t>15/06/2020 11:55 PM</t>
  </si>
  <si>
    <t>09/06/2020 10:36 AM</t>
  </si>
  <si>
    <t>13/06/2020 4:57 PM</t>
  </si>
  <si>
    <t>13/06/2020 8:40 PM</t>
  </si>
  <si>
    <t>02/06/2020 12:00 AM</t>
  </si>
  <si>
    <t>15/06/2020 2:59 PM</t>
  </si>
  <si>
    <t>08/06/2020 9:25 AM</t>
  </si>
  <si>
    <t>15/06/2020 8:31 AM</t>
  </si>
  <si>
    <t>10/06/2020 4:38 PM</t>
  </si>
  <si>
    <t>10/06/2020 3:52 PM</t>
  </si>
  <si>
    <t>16/06/2020 1:57 PM</t>
  </si>
  <si>
    <t>16/06/2020 1:55 PM</t>
  </si>
  <si>
    <t>16/06/2020 4:29 PM</t>
  </si>
  <si>
    <t>11/06/2020 8:51 AM</t>
  </si>
  <si>
    <t>15/06/2020 10:19 AM</t>
  </si>
  <si>
    <t>11/06/2020 10:02 PM</t>
  </si>
  <si>
    <t>11/06/2020 12:20 PM</t>
  </si>
  <si>
    <t>11/06/2020 10:03 PM</t>
  </si>
  <si>
    <t>11/06/2020 10:01 PM</t>
  </si>
  <si>
    <t>11/06/2020 10:04 PM</t>
  </si>
  <si>
    <t>11/06/2020 12:27 PM</t>
  </si>
  <si>
    <t>11/06/2020 3:14 PM</t>
  </si>
  <si>
    <t>15/06/2020 10:30 PM</t>
  </si>
  <si>
    <t>15/06/2020 6:35 PM</t>
  </si>
  <si>
    <t>11/06/2020 3:59 PM</t>
  </si>
  <si>
    <t>11/06/2020 4:13 PM</t>
  </si>
  <si>
    <t>11/06/2020 10:00 PM</t>
  </si>
  <si>
    <t>11/06/2020 9:56 AM</t>
  </si>
  <si>
    <t>03/06/2020 3:08 PM</t>
  </si>
  <si>
    <t>03/06/2020 9:39 AM</t>
  </si>
  <si>
    <t>15/06/2020 12:09 PM</t>
  </si>
  <si>
    <t>09/06/2020 1:28 PM</t>
  </si>
  <si>
    <t>11/06/2020 1:12 PM</t>
  </si>
  <si>
    <t>10/06/2020 5:13 PM</t>
  </si>
  <si>
    <t>17/06/2020 9:52 AM</t>
  </si>
  <si>
    <t>17/06/2020 9:45 AM</t>
  </si>
  <si>
    <t>09/06/2020 2:18 PM</t>
  </si>
  <si>
    <t>11/06/2020 2:07 PM</t>
  </si>
  <si>
    <t>15/06/2020 4:53 PM</t>
  </si>
  <si>
    <t>03/06/2020 3:57 PM</t>
  </si>
  <si>
    <t>03/06/2020 3:54 PM</t>
  </si>
  <si>
    <t>09/06/2020 1:20 PM</t>
  </si>
  <si>
    <t>11/06/2020 9:22 AM</t>
  </si>
  <si>
    <t>09/06/2020 4:45 PM</t>
  </si>
  <si>
    <t>10/06/2020 3:31 PM</t>
  </si>
  <si>
    <t>16/06/2020 9:11 AM</t>
  </si>
  <si>
    <t>15/06/2020 2:23 PM</t>
  </si>
  <si>
    <t>03/06/2020 10:30 AM</t>
  </si>
  <si>
    <t>15/06/2020 2:25 PM</t>
  </si>
  <si>
    <t>11/06/2020 9:33 AM</t>
  </si>
  <si>
    <t>16/06/2020 1:39 PM</t>
  </si>
  <si>
    <t>15/06/2020 2:26 PM</t>
  </si>
  <si>
    <t>15/06/2020 2:28 PM</t>
  </si>
  <si>
    <t>11/06/2020 1:39 PM</t>
  </si>
  <si>
    <t>03/06/2020 10:05 PM</t>
  </si>
  <si>
    <t>10/06/2020 5:24 PM</t>
  </si>
  <si>
    <t>03/06/2020 2:45 PM</t>
  </si>
  <si>
    <t>05/06/2020 5:11 PM</t>
  </si>
  <si>
    <t>11/06/2020 1:02 PM</t>
  </si>
  <si>
    <t>13/06/2020 1:47 PM</t>
  </si>
  <si>
    <t>10/06/2020 12:47 PM</t>
  </si>
  <si>
    <t>15/06/2020 8:15 PM</t>
  </si>
  <si>
    <t>16/06/2020 5:21 PM</t>
  </si>
  <si>
    <t>10/06/2020 2:24 PM</t>
  </si>
  <si>
    <t>16/06/2020 1:47 PM</t>
  </si>
  <si>
    <t>16/06/2020 9:19 AM</t>
  </si>
  <si>
    <t>16/06/2020 9:23 AM</t>
  </si>
  <si>
    <t>11/06/2020 5:17 PM</t>
  </si>
  <si>
    <t>16/06/2020 9:24 PM</t>
  </si>
  <si>
    <t>16/06/2020 9:16 AM</t>
  </si>
  <si>
    <t>15/06/2020 12:58 PM</t>
  </si>
  <si>
    <t>11/06/2020 5:20 PM</t>
  </si>
  <si>
    <t>15/06/2020 4:49 PM</t>
  </si>
  <si>
    <t>01/06/2020 12:00 AM</t>
  </si>
  <si>
    <t>11/06/2020 5:12 PM</t>
  </si>
  <si>
    <t>01/06/2020 3:02 PM</t>
  </si>
  <si>
    <t>11/06/2020 5:09 PM</t>
  </si>
  <si>
    <t>09/06/2020 9:42 AM</t>
  </si>
  <si>
    <t>08/06/2020 8:49 AM</t>
  </si>
  <si>
    <t>05/06/2020 1:21 PM</t>
  </si>
  <si>
    <t>10/06/2020 3:13 PM</t>
  </si>
  <si>
    <t>11/06/2020 12:06 PM</t>
  </si>
  <si>
    <t>10/06/2020 2:16 PM</t>
  </si>
  <si>
    <t>10/06/2020 4:07 PM</t>
  </si>
  <si>
    <t>09/06/2020 4:10 PM</t>
  </si>
  <si>
    <t>09/06/2020 4:17 PM</t>
  </si>
  <si>
    <t>10/06/2020 2:38 PM</t>
  </si>
  <si>
    <t>08/06/2020 1:08 PM</t>
  </si>
  <si>
    <t>05/06/2020 1:49 PM</t>
  </si>
  <si>
    <t>15/06/2020 4:44 PM</t>
  </si>
  <si>
    <t>15/06/2020 4:47 PM</t>
  </si>
  <si>
    <t>15/06/2020 8:23 PM</t>
  </si>
  <si>
    <t>15/06/2020 8:26 PM</t>
  </si>
  <si>
    <t>15/06/2020 8:27 PM</t>
  </si>
  <si>
    <t>15/06/2020 8:25 PM</t>
  </si>
  <si>
    <t>10/06/2020 5:24 AM</t>
  </si>
  <si>
    <t>15/06/2020 8:33 AM</t>
  </si>
  <si>
    <t>31/05/2020 12:00 AM</t>
  </si>
  <si>
    <t>11/06/2020 3:30 PM</t>
  </si>
  <si>
    <t>11/06/2020 2:13 PM</t>
  </si>
  <si>
    <t>17/06/2020 9:56 PM</t>
  </si>
  <si>
    <t>17/06/2020 9:59 PM</t>
  </si>
  <si>
    <t>15/06/2020 5:34 PM</t>
  </si>
  <si>
    <t>17/06/2020 4:42 PM</t>
  </si>
  <si>
    <t>13/06/2020 5:36 PM</t>
  </si>
  <si>
    <t>30/05/2020 12:00 AM</t>
  </si>
  <si>
    <t>04/06/2020 4:06 PM</t>
  </si>
  <si>
    <t>09/06/2020 3:45 PM</t>
  </si>
  <si>
    <t>08/06/2020 1:41 PM</t>
  </si>
  <si>
    <t>10/06/2020 3:56 PM</t>
  </si>
  <si>
    <t>10/06/2020 3:55 PM</t>
  </si>
  <si>
    <t>10/06/2020 3:59 PM</t>
  </si>
  <si>
    <t>10/06/2020 3:51 PM</t>
  </si>
  <si>
    <t>10/06/2020 3:53 PM</t>
  </si>
  <si>
    <t>10/06/2020 3:47 PM</t>
  </si>
  <si>
    <t>10/06/2020 3:57 PM</t>
  </si>
  <si>
    <t>10/06/2020 3:46 PM</t>
  </si>
  <si>
    <t>10/06/2020 3:49 PM</t>
  </si>
  <si>
    <t>10/06/2020 3:44 PM</t>
  </si>
  <si>
    <t>10/06/2020 3:41 PM</t>
  </si>
  <si>
    <t>10/06/2020 9:41 AM</t>
  </si>
  <si>
    <t>04/06/2020 12:58 PM</t>
  </si>
  <si>
    <t>10/06/2020 3:39 PM</t>
  </si>
  <si>
    <t>10/06/2020 11:03 AM</t>
  </si>
  <si>
    <t>10/06/2020 11:47 AM</t>
  </si>
  <si>
    <t>11/06/2020 1:37 PM</t>
  </si>
  <si>
    <t>10/06/2020 3:36 PM</t>
  </si>
  <si>
    <t>08/06/2020 1:42 PM</t>
  </si>
  <si>
    <t>15/06/2020 8:32 AM</t>
  </si>
  <si>
    <t>07/06/2020 1:51 PM</t>
  </si>
  <si>
    <t>09/06/2020 9:51 AM</t>
  </si>
  <si>
    <t>17/06/2020 3:32 PM</t>
  </si>
  <si>
    <t>10/06/2020 5:52 PM</t>
  </si>
  <si>
    <t>07/06/2020 1:46 PM</t>
  </si>
  <si>
    <t>10/06/2020 3:34 PM</t>
  </si>
  <si>
    <t>10/06/2020 5:46 PM</t>
  </si>
  <si>
    <t>17/06/2020 3:31 PM</t>
  </si>
  <si>
    <t>15/06/2020 8:24 AM</t>
  </si>
  <si>
    <t>07/06/2020 2:03 PM</t>
  </si>
  <si>
    <t>10/06/2020 8:57 PM</t>
  </si>
  <si>
    <t>07/06/2020 1:58 PM</t>
  </si>
  <si>
    <t>17/06/2020 4:40 PM</t>
  </si>
  <si>
    <t>16/06/2020 4:34 PM</t>
  </si>
  <si>
    <t>11/06/2020 3:38 PM</t>
  </si>
  <si>
    <t>16/06/2020 4:40 PM</t>
  </si>
  <si>
    <t>16/06/2020 4:47 PM</t>
  </si>
  <si>
    <t>16/06/2020 4:41 PM</t>
  </si>
  <si>
    <t>16/06/2020 4:32 PM</t>
  </si>
  <si>
    <t>07/06/2020 2:12 PM</t>
  </si>
  <si>
    <t>12/06/2020 8:51 PM</t>
  </si>
  <si>
    <t>07/06/2020 2:07 PM</t>
  </si>
  <si>
    <t>14/06/2020 7:04 PM</t>
  </si>
  <si>
    <t>01/06/2020 9:33 AM</t>
  </si>
  <si>
    <t>29/05/2020 12:00 AM</t>
  </si>
  <si>
    <t>15/06/2020 5:31 PM</t>
  </si>
  <si>
    <t>15/06/2020 5:25 PM</t>
  </si>
  <si>
    <t>15/06/2020 5:29 PM</t>
  </si>
  <si>
    <t>17/06/2020 11:09 PM</t>
  </si>
  <si>
    <t>15/06/2020 7:42 AM</t>
  </si>
  <si>
    <t>14/06/2020 7:09 PM</t>
  </si>
  <si>
    <t>15/06/2020 5:32 PM</t>
  </si>
  <si>
    <t>15/06/2020 5:26 PM</t>
  </si>
  <si>
    <t>09/06/2020 10:08 AM</t>
  </si>
  <si>
    <t>15/06/2020 4:14 PM</t>
  </si>
  <si>
    <t>11/06/2020 4:06 PM</t>
  </si>
  <si>
    <t>10/06/2020 2:46 PM</t>
  </si>
  <si>
    <t>03/06/2020 2:34 PM</t>
  </si>
  <si>
    <t>11/06/2020 10:25 AM</t>
  </si>
  <si>
    <t>02/06/2020 9:19 AM</t>
  </si>
  <si>
    <t>05/06/2020 3:13 PM</t>
  </si>
  <si>
    <t>08/06/2020 11:42 AM</t>
  </si>
  <si>
    <t>10/06/2020 4:48 PM</t>
  </si>
  <si>
    <t>09/06/2020 10:13 AM</t>
  </si>
  <si>
    <t>16/06/2020 5:29 PM</t>
  </si>
  <si>
    <t>10/06/2020 2:06 PM</t>
  </si>
  <si>
    <t>10/06/2020 4:49 PM</t>
  </si>
  <si>
    <t>10/06/2020 2:03 PM</t>
  </si>
  <si>
    <t>10/06/2020 2:04 PM</t>
  </si>
  <si>
    <t>11/06/2020 11:05 AM</t>
  </si>
  <si>
    <t>10/06/2020 4:50 PM</t>
  </si>
  <si>
    <t>10/06/2020 4:01 PM</t>
  </si>
  <si>
    <t>10/06/2020 4:51 PM</t>
  </si>
  <si>
    <t>10/06/2020 4:56 PM</t>
  </si>
  <si>
    <t>10/06/2020 2:13 PM</t>
  </si>
  <si>
    <t>16/06/2020 3:08 PM</t>
  </si>
  <si>
    <t>17/06/2020 9:33 AM</t>
  </si>
  <si>
    <t>10/06/2020 2:11 PM</t>
  </si>
  <si>
    <t>10/06/2020 9:52 AM</t>
  </si>
  <si>
    <t>02/06/2020 4:28 PM</t>
  </si>
  <si>
    <t>03/06/2020 3:25 PM</t>
  </si>
  <si>
    <t>08/06/2020 11:48 AM</t>
  </si>
  <si>
    <t>10/06/2020 9:57 AM</t>
  </si>
  <si>
    <t>13/06/2020 3:21 PM</t>
  </si>
  <si>
    <t>13/06/2020 3:08 PM</t>
  </si>
  <si>
    <t>13/06/2020 3:03 PM</t>
  </si>
  <si>
    <t>11/06/2020 11:34 PM</t>
  </si>
  <si>
    <t>08/06/2020 11:51 AM</t>
  </si>
  <si>
    <t>13/06/2020 3:25 PM</t>
  </si>
  <si>
    <t>11/06/2020 1:22 PM</t>
  </si>
  <si>
    <t>10/06/2020 4:35 PM</t>
  </si>
  <si>
    <t>17/06/2020 9:53 AM</t>
  </si>
  <si>
    <t>17/06/2020 9:54 AM</t>
  </si>
  <si>
    <t>09/06/2020 6:58 PM</t>
  </si>
  <si>
    <t>06/06/2020 12:05 PM</t>
  </si>
  <si>
    <t>06/06/2020 12:07 PM</t>
  </si>
  <si>
    <t>06/06/2020 12:04 PM</t>
  </si>
  <si>
    <t>11/06/2020 2:06 PM</t>
  </si>
  <si>
    <t>11/06/2020 11:27 AM</t>
  </si>
  <si>
    <t>16/06/2020 11:30 AM</t>
  </si>
  <si>
    <t>06/06/2020 12:09 PM</t>
  </si>
  <si>
    <t>11/06/2020 1:53 PM</t>
  </si>
  <si>
    <t>11/06/2020 1:58 PM</t>
  </si>
  <si>
    <t>28/05/2020 12:00 AM</t>
  </si>
  <si>
    <t>09/06/2020 8:33 AM</t>
  </si>
  <si>
    <t>11/06/2020 9:34 AM</t>
  </si>
  <si>
    <t>17/06/2020 2:12 PM</t>
  </si>
  <si>
    <t>17/06/2020 7:22 PM</t>
  </si>
  <si>
    <t>08/06/2020 4:17 PM</t>
  </si>
  <si>
    <t>03/06/2020 5:40 PM</t>
  </si>
  <si>
    <t>02/06/2020 9:03 AM</t>
  </si>
  <si>
    <t>05/06/2020 2:14 PM</t>
  </si>
  <si>
    <t>08/06/2020 4:34 PM</t>
  </si>
  <si>
    <t>27/05/2020 12:00 AM</t>
  </si>
  <si>
    <t>30/05/2020 8:27 AM</t>
  </si>
  <si>
    <t>15/06/2020 2:51 PM</t>
  </si>
  <si>
    <t>08/06/2020 5:55 PM</t>
  </si>
  <si>
    <t>30/05/2020 8:21 AM</t>
  </si>
  <si>
    <t>30/05/2020 8:23 AM</t>
  </si>
  <si>
    <t>30/05/2020 8:18 AM</t>
  </si>
  <si>
    <t>15/06/2020 2:15 PM</t>
  </si>
  <si>
    <t>04/06/2020 1:28 PM</t>
  </si>
  <si>
    <t>05/06/2020 5:00 PM</t>
  </si>
  <si>
    <t>28/05/2020 2:52 PM</t>
  </si>
  <si>
    <t>16/06/2020 12:30 PM</t>
  </si>
  <si>
    <t>05/06/2020 1:27 PM</t>
  </si>
  <si>
    <t>04/06/2020 3:04 PM</t>
  </si>
  <si>
    <t>08/06/2020 4:44 PM</t>
  </si>
  <si>
    <t>04/06/2020 2:49 PM</t>
  </si>
  <si>
    <t>16/06/2020 4:10 PM</t>
  </si>
  <si>
    <t>10/06/2020 9:14 AM</t>
  </si>
  <si>
    <t>16/06/2020 10:54 AM</t>
  </si>
  <si>
    <t>08/06/2020 4:33 PM</t>
  </si>
  <si>
    <t>09/06/2020 3:36 PM</t>
  </si>
  <si>
    <t>17/06/2020 8:58 PM</t>
  </si>
  <si>
    <t>09/06/2020 10:55 PM</t>
  </si>
  <si>
    <t>16/06/2020 8:54 PM</t>
  </si>
  <si>
    <t>12/06/2020 12:41 PM</t>
  </si>
  <si>
    <t>12/06/2020 12:46 PM</t>
  </si>
  <si>
    <t>12/06/2020 12:44 PM</t>
  </si>
  <si>
    <t>26/05/2020 12:00 AM</t>
  </si>
  <si>
    <t>12/06/2020 12:42 PM</t>
  </si>
  <si>
    <t>12/06/2020 12:39 PM</t>
  </si>
  <si>
    <t>12/06/2020 12:45 PM</t>
  </si>
  <si>
    <t>12/06/2020 12:40 PM</t>
  </si>
  <si>
    <t>12/06/2020 12:47 PM</t>
  </si>
  <si>
    <t>17/06/2020 5:48 PM</t>
  </si>
  <si>
    <t>17/06/2020 5:46 PM</t>
  </si>
  <si>
    <t>25/05/2020 12:00 AM</t>
  </si>
  <si>
    <t>10/06/2020 7:06 PM</t>
  </si>
  <si>
    <t>16/06/2020 4:01 PM</t>
  </si>
  <si>
    <t>04/06/2020 1:29 PM</t>
  </si>
  <si>
    <t>17/06/2020 5:44 PM</t>
  </si>
  <si>
    <t>12/06/2020 12:51 PM</t>
  </si>
  <si>
    <t>12/06/2020 12:49 PM</t>
  </si>
  <si>
    <t>11/06/2020 9:07 PM</t>
  </si>
  <si>
    <t>17/06/2020 5:51 PM</t>
  </si>
  <si>
    <t>17/06/2020 5:47 PM</t>
  </si>
  <si>
    <t>17/06/2020 10:09 PM</t>
  </si>
  <si>
    <t>17/06/2020 10:02 PM</t>
  </si>
  <si>
    <t>17/06/2020 10:06 PM</t>
  </si>
  <si>
    <t>17/06/2020 10:04 PM</t>
  </si>
  <si>
    <t>12/06/2020 12:50 PM</t>
  </si>
  <si>
    <t>12/06/2020 12:43 PM</t>
  </si>
  <si>
    <t>17/06/2020 12:46 PM</t>
  </si>
  <si>
    <t>15/06/2020 10:42 AM</t>
  </si>
  <si>
    <t>23/05/2020 12:00 AM</t>
  </si>
  <si>
    <t>09/06/2020 4:20 AM</t>
  </si>
  <si>
    <t>22/05/2020 12:00 AM</t>
  </si>
  <si>
    <t>17/06/2020 8:56 PM</t>
  </si>
  <si>
    <t>28/05/2020 1:51 PM</t>
  </si>
  <si>
    <t>03/06/2020 1:59 PM</t>
  </si>
  <si>
    <t>05/06/2020 4:47 PM</t>
  </si>
  <si>
    <t>16/06/2020 10:26 AM</t>
  </si>
  <si>
    <t>05/06/2020 3:01 PM</t>
  </si>
  <si>
    <t>16/06/2020 10:10 AM</t>
  </si>
  <si>
    <t>09/06/2020 7:17 PM</t>
  </si>
  <si>
    <t>09/06/2020 2:47 PM</t>
  </si>
  <si>
    <t>28/05/2020 10:51 AM</t>
  </si>
  <si>
    <t>17/06/2020 5:38 PM</t>
  </si>
  <si>
    <t>11/06/2020 11:00 AM</t>
  </si>
  <si>
    <t>17/06/2020 7:27 PM</t>
  </si>
  <si>
    <t>05/06/2020 2:58 PM</t>
  </si>
  <si>
    <t>10/06/2020 11:26 AM</t>
  </si>
  <si>
    <t>20/05/2020 12:00 AM</t>
  </si>
  <si>
    <t>17/06/2020 3:09 PM</t>
  </si>
  <si>
    <t>24/05/2020 12:00 AM</t>
  </si>
  <si>
    <t>03/06/2020 9:14 PM</t>
  </si>
  <si>
    <t>10/06/2020 9:59 AM</t>
  </si>
  <si>
    <t>17/06/2020 7:34 PM</t>
  </si>
  <si>
    <t>10/06/2020 9:55 AM</t>
  </si>
  <si>
    <t>11/06/2020 11:02 AM</t>
  </si>
  <si>
    <t>17/06/2020 7:55 PM</t>
  </si>
  <si>
    <t>17/06/2020 7:47 PM</t>
  </si>
  <si>
    <t>10/06/2020 9:46 AM</t>
  </si>
  <si>
    <t>16/06/2020 6:02 PM</t>
  </si>
  <si>
    <t>11/06/2020 10:58 AM</t>
  </si>
  <si>
    <t>17/06/2020 8:51 PM</t>
  </si>
  <si>
    <t>15/06/2020 10:49 PM</t>
  </si>
  <si>
    <t>16/06/2020 5:32 PM</t>
  </si>
  <si>
    <t>17/06/2020 3:44 PM</t>
  </si>
  <si>
    <t>11/06/2020 2:00 PM</t>
  </si>
  <si>
    <t>10/06/2020 9:40 AM</t>
  </si>
  <si>
    <t>19/05/2020 12:00 AM</t>
  </si>
  <si>
    <t>17/06/2020 7:46 PM</t>
  </si>
  <si>
    <t>17/06/2020 7:39 PM</t>
  </si>
  <si>
    <t>04/06/2020 1:30 PM</t>
  </si>
  <si>
    <t>21/05/2020 12:00 AM</t>
  </si>
  <si>
    <t>15/06/2020 3:45 PM</t>
  </si>
  <si>
    <t>16/06/2020 11:47 AM</t>
  </si>
  <si>
    <t>17/06/2020 8:04 PM</t>
  </si>
  <si>
    <t>05/06/2020 3:05 PM</t>
  </si>
  <si>
    <t>13/06/2020 7:37 AM</t>
  </si>
  <si>
    <t>12/05/2020 12:00 AM</t>
  </si>
  <si>
    <t>05/06/2020 3:03 PM</t>
  </si>
  <si>
    <t>11/06/2020 5:31 PM</t>
  </si>
  <si>
    <t>17/06/2020 8:12 PM</t>
  </si>
  <si>
    <t>08/06/2020 11:47 AM</t>
  </si>
  <si>
    <t>11/06/2020 3:03 PM</t>
  </si>
  <si>
    <t>11/06/2020 10:34 AM</t>
  </si>
  <si>
    <t>01/06/2020 2:44 PM</t>
  </si>
  <si>
    <t>17/06/2020 4:32 PM</t>
  </si>
  <si>
    <t>09/06/2020 7:09 PM</t>
  </si>
  <si>
    <t>27/05/2020 2:42 PM</t>
  </si>
  <si>
    <t>10/06/2020 3:05 PM</t>
  </si>
  <si>
    <t>09/06/2020 11:41 AM</t>
  </si>
  <si>
    <t>11/06/2020 7:19 PM</t>
  </si>
  <si>
    <t>27/05/2020 2:40 PM</t>
  </si>
  <si>
    <t>01/06/2020 2:45 PM</t>
  </si>
  <si>
    <t>11/06/2020 11:42 AM</t>
  </si>
  <si>
    <t>05/06/2020 7:51 PM</t>
  </si>
  <si>
    <t>27/05/2020 10:25 PM</t>
  </si>
  <si>
    <t>11/06/2020 7:33 PM</t>
  </si>
  <si>
    <t>17/06/2020 10:11 PM</t>
  </si>
  <si>
    <t>11/06/2020 10:55 AM</t>
  </si>
  <si>
    <t>16/06/2020 6:00 PM</t>
  </si>
  <si>
    <t>08/06/2020 11:45 AM</t>
  </si>
  <si>
    <t>17/06/2020 10:34 AM</t>
  </si>
  <si>
    <t>17/06/2020 5:54 PM</t>
  </si>
  <si>
    <t>17/06/2020 1:54 PM</t>
  </si>
  <si>
    <t>28/05/2020 1:54 PM</t>
  </si>
  <si>
    <t>09/06/2020 4:14 AM</t>
  </si>
  <si>
    <t>16/06/2020 9:14 AM</t>
  </si>
  <si>
    <t>16/06/2020 2:19 PM</t>
  </si>
  <si>
    <t>16/06/2020 2:06 PM</t>
  </si>
  <si>
    <t>29/05/2020 4:05 PM</t>
  </si>
  <si>
    <t>16/06/2020 2:16 PM</t>
  </si>
  <si>
    <t>16/06/2020 2:01 PM</t>
  </si>
  <si>
    <t>17/06/2020 5:52 PM</t>
  </si>
  <si>
    <t>12/06/2020 12:48 PM</t>
  </si>
  <si>
    <t>06/05/2020 12:00 AM</t>
  </si>
  <si>
    <t>04/06/2020 1:51 PM</t>
  </si>
  <si>
    <t>29/05/2020 4:43 PM</t>
  </si>
  <si>
    <t>30/05/2020 2:22 PM</t>
  </si>
  <si>
    <t>30/05/2020 2:10 PM</t>
  </si>
  <si>
    <t>08/06/2020 9:38 AM</t>
  </si>
  <si>
    <t>30/05/2020 2:16 PM</t>
  </si>
  <si>
    <t>30/05/2020 2:25 PM</t>
  </si>
  <si>
    <t>16/06/2020 9:27 AM</t>
  </si>
  <si>
    <t>30/05/2020 2:19 PM</t>
  </si>
  <si>
    <t>30/05/2020 2:28 PM</t>
  </si>
  <si>
    <t>15/05/2020 7:55 PM</t>
  </si>
  <si>
    <t>30/05/2020 2:13 PM</t>
  </si>
  <si>
    <t>09/06/2020 4:46 PM</t>
  </si>
  <si>
    <t>22/05/2020 3:28 PM</t>
  </si>
  <si>
    <t>22/05/2020 3:27 PM</t>
  </si>
  <si>
    <t>22/05/2020 3:26 PM</t>
  </si>
  <si>
    <t>26/05/2020 3:49 PM</t>
  </si>
  <si>
    <t>08/06/2020 9:41 AM</t>
  </si>
  <si>
    <t>08/06/2020 9:44 AM</t>
  </si>
  <si>
    <t>08/06/2020 9:43 AM</t>
  </si>
  <si>
    <t>08/06/2020 9:40 AM</t>
  </si>
  <si>
    <t>26/05/2020 3:46 PM</t>
  </si>
  <si>
    <t>13/06/2020 3:10 PM</t>
  </si>
  <si>
    <t>17/06/2020 1:22 PM</t>
  </si>
  <si>
    <t>19/05/2020 6:10 PM</t>
  </si>
  <si>
    <t>15/06/2020 10:08 AM</t>
  </si>
  <si>
    <t>27/05/2020 9:55 AM</t>
  </si>
  <si>
    <t>27/05/2020 9:54 AM</t>
  </si>
  <si>
    <t>15/06/2020 6:15 PM</t>
  </si>
  <si>
    <t>15/06/2020 6:18 PM</t>
  </si>
  <si>
    <t>27/05/2020 9:33 AM</t>
  </si>
  <si>
    <t>09/06/2020 4:03 PM</t>
  </si>
  <si>
    <t>11/06/2020 11:11 AM</t>
  </si>
  <si>
    <t>17/06/2020 1:23 PM</t>
  </si>
  <si>
    <t>29/05/2020 5:22 PM</t>
  </si>
  <si>
    <t>17/06/2020 1:45 PM</t>
  </si>
  <si>
    <t>09/06/2020 3:58 PM</t>
  </si>
  <si>
    <t>11/06/2020 4:01 PM</t>
  </si>
  <si>
    <t>17/06/2020 9:55 AM</t>
  </si>
  <si>
    <t>27/04/2020 12:00 AM</t>
  </si>
  <si>
    <t>16/06/2020 10:21 AM</t>
  </si>
  <si>
    <t>27/05/2020 9:34 AM</t>
  </si>
  <si>
    <t>17/06/2020 10:00 AM</t>
  </si>
  <si>
    <t>29/05/2020 3:25 PM</t>
  </si>
  <si>
    <t>14/06/2020 7:59 AM</t>
  </si>
  <si>
    <t>11/06/2020 2:23 PM</t>
  </si>
  <si>
    <t>04/06/2020 2:54 PM</t>
  </si>
  <si>
    <t>29/05/2020 3:22 PM</t>
  </si>
  <si>
    <t>17/06/2020 2:10 PM</t>
  </si>
  <si>
    <t>27/05/2020 9:41 AM</t>
  </si>
  <si>
    <t>29/05/2020 5:26 PM</t>
  </si>
  <si>
    <t>27/05/2020 9:36 AM</t>
  </si>
  <si>
    <t>16/06/2020 10:03 PM</t>
  </si>
  <si>
    <t>27/05/2020 9:38 AM</t>
  </si>
  <si>
    <t>27/05/2020 9:35 AM</t>
  </si>
  <si>
    <t>27/05/2020 9:37 AM</t>
  </si>
  <si>
    <t>29/05/2020 3:20 PM</t>
  </si>
  <si>
    <t>17/06/2020 10:06 AM</t>
  </si>
  <si>
    <t>17/06/2020 1:33 PM</t>
  </si>
  <si>
    <t>10/06/2020 2:10 PM</t>
  </si>
  <si>
    <t>11/06/2020 7:15 AM</t>
  </si>
  <si>
    <t>11/06/2020 10:48 AM</t>
  </si>
  <si>
    <t>16/06/2020 4:12 PM</t>
  </si>
  <si>
    <t>11/06/2020 2:05 PM</t>
  </si>
  <si>
    <t>29/05/2020 3:34 PM</t>
  </si>
  <si>
    <t>04/06/2020 2:51 PM</t>
  </si>
  <si>
    <t>09/04/2020 12:00 AM</t>
  </si>
  <si>
    <t>16/06/2020 4:48 PM</t>
  </si>
  <si>
    <t>14/05/2020 10:43 AM</t>
  </si>
  <si>
    <t>12/06/2020 9:43 AM</t>
  </si>
  <si>
    <t>04/06/2020 2:50 PM</t>
  </si>
  <si>
    <t>06/04/2020 12:00 AM</t>
  </si>
  <si>
    <t>15/06/2020 4:39 PM</t>
  </si>
  <si>
    <t>20/05/2020 4:49 PM</t>
  </si>
  <si>
    <t>11/06/2020 9:37 AM</t>
  </si>
  <si>
    <t>16/06/2020 4:09 PM</t>
  </si>
  <si>
    <t>04/06/2020 2:42 PM</t>
  </si>
  <si>
    <t>11/06/2020 8:34 PM</t>
  </si>
  <si>
    <t>14/04/2020 12:00 AM</t>
  </si>
  <si>
    <t>10/06/2020 4:54 PM</t>
  </si>
  <si>
    <t>16/06/2020 4:51 PM</t>
  </si>
  <si>
    <t>11/06/2020 8:29 PM</t>
  </si>
  <si>
    <t>04/06/2020 2:48 PM</t>
  </si>
  <si>
    <t>11/06/2020 1:51 PM</t>
  </si>
  <si>
    <t>09/06/2020 4:35 PM</t>
  </si>
  <si>
    <t>26/05/2020 1:43 PM</t>
  </si>
  <si>
    <t>16/06/2020 4:25 PM</t>
  </si>
  <si>
    <t>26/05/2020 1:40 PM</t>
  </si>
  <si>
    <t>16/06/2020 4:36 PM</t>
  </si>
  <si>
    <t>03/06/2020 3:17 PM</t>
  </si>
  <si>
    <t>03/06/2020 3:13 PM</t>
  </si>
  <si>
    <t>26/05/2020 1:29 PM</t>
  </si>
  <si>
    <t>03/06/2020 3:01 PM</t>
  </si>
  <si>
    <t>04/06/2020 3:42 PM</t>
  </si>
  <si>
    <t>04/06/2020 2:43 PM</t>
  </si>
  <si>
    <t>16/06/2020 4:37 PM</t>
  </si>
  <si>
    <t>27/05/2020 2:44 PM</t>
  </si>
  <si>
    <t>27/05/2020 8:33 AM</t>
  </si>
  <si>
    <t>05/06/2020 8:43 AM</t>
  </si>
  <si>
    <t>16/06/2020 4:28 PM</t>
  </si>
  <si>
    <t>05/06/2020 8:58 AM</t>
  </si>
  <si>
    <t>20/05/2020 1:52 PM</t>
  </si>
  <si>
    <t>05/06/2020 8:46 AM</t>
  </si>
  <si>
    <t>05/06/2020 8:51 AM</t>
  </si>
  <si>
    <t>16/06/2020 10:48 PM</t>
  </si>
  <si>
    <t>08/06/2020 1:51 PM</t>
  </si>
  <si>
    <t>15/06/2020 4:37 PM</t>
  </si>
  <si>
    <t>15/06/2020 2:32 PM</t>
  </si>
  <si>
    <t>05/06/2020 8:53 AM</t>
  </si>
  <si>
    <t>16/06/2020 4:17 PM</t>
  </si>
  <si>
    <t>13/05/2020 4:35 PM</t>
  </si>
  <si>
    <t>15/06/2020 3:22 PM</t>
  </si>
  <si>
    <t>05/06/2020 8:56 AM</t>
  </si>
  <si>
    <t>11/06/2020 7:53 PM</t>
  </si>
  <si>
    <t>15/06/2020 3:20 PM</t>
  </si>
  <si>
    <t>05/06/2020 11:33 AM</t>
  </si>
  <si>
    <t>02/06/2020 11:05 PM</t>
  </si>
  <si>
    <t>10/06/2020 1:57 PM</t>
  </si>
  <si>
    <t>15/06/2020 1:24 PM</t>
  </si>
  <si>
    <t>06/05/2020 9:23 AM</t>
  </si>
  <si>
    <t>09/06/2020 4:16 PM</t>
  </si>
  <si>
    <t>15/06/2020 4:32 PM</t>
  </si>
  <si>
    <t>06/05/2020 9:22 AM</t>
  </si>
  <si>
    <t>02/06/2020 10:52 PM</t>
  </si>
  <si>
    <t>06/05/2020 9:20 AM</t>
  </si>
  <si>
    <t>17/06/2020 10:30 AM</t>
  </si>
  <si>
    <t>17/06/2020 10:28 AM</t>
  </si>
  <si>
    <t>16/06/2020 3:58 PM</t>
  </si>
  <si>
    <t>06/05/2020 9:21 AM</t>
  </si>
  <si>
    <t>04/06/2020 2:18 PM</t>
  </si>
  <si>
    <t>16/06/2020 11:55 AM</t>
  </si>
  <si>
    <t>03/06/2020 8:58 PM</t>
  </si>
  <si>
    <t>16/06/2020 4:04 PM</t>
  </si>
  <si>
    <t>17/06/2020 10:47 AM</t>
  </si>
  <si>
    <t>16/06/2020 4:20 PM</t>
  </si>
  <si>
    <t>17/06/2020 5:26 PM</t>
  </si>
  <si>
    <t>16/06/2020 11:04 PM</t>
  </si>
  <si>
    <t>06/06/2020 10:21 AM</t>
  </si>
  <si>
    <t>06/06/2020 10:23 AM</t>
  </si>
  <si>
    <t>06/06/2020 10:22 AM</t>
  </si>
  <si>
    <t>10/06/2020 8:50 PM</t>
  </si>
  <si>
    <t>06/06/2020 10:16 AM</t>
  </si>
  <si>
    <t>06/06/2020 10:19 AM</t>
  </si>
  <si>
    <t>03/06/2020 3:55 PM</t>
  </si>
  <si>
    <t>06/06/2020 10:14 AM</t>
  </si>
  <si>
    <t>16/06/2020 9:55 AM</t>
  </si>
  <si>
    <t>03/06/2020 4:22 PM</t>
  </si>
  <si>
    <t>06/06/2020 10:20 AM</t>
  </si>
  <si>
    <t>06/06/2020 10:13 AM</t>
  </si>
  <si>
    <t>17/06/2020 10:54 AM</t>
  </si>
  <si>
    <t>20/04/2020 4:07 PM</t>
  </si>
  <si>
    <t>16/06/2020 4:07 PM</t>
  </si>
  <si>
    <t>16/06/2020 4:15 PM</t>
  </si>
  <si>
    <t>15/06/2020 3:56 PM</t>
  </si>
  <si>
    <t>06/06/2020 10:24 AM</t>
  </si>
  <si>
    <t>15/06/2020 4:27 PM</t>
  </si>
  <si>
    <t>16/06/2020 11:42 AM</t>
  </si>
  <si>
    <t>03/06/2020 4:56 PM</t>
  </si>
  <si>
    <t>06/06/2020 5:55 AM</t>
  </si>
  <si>
    <t>15/06/2020 1:37 PM</t>
  </si>
  <si>
    <t>20/04/2020 4:26 PM</t>
  </si>
  <si>
    <t>16/06/2020 11:46 AM</t>
  </si>
  <si>
    <t>16/06/2020 11:52 AM</t>
  </si>
  <si>
    <t>17/06/2020 2:14 PM</t>
  </si>
  <si>
    <t>06/06/2020 10:29 AM</t>
  </si>
  <si>
    <t>20/04/2020 4:16 PM</t>
  </si>
  <si>
    <t>03/06/2020 2:03 PM</t>
  </si>
  <si>
    <t>20/04/2020 3:54 PM</t>
  </si>
  <si>
    <t>17/06/2020 10:49 AM</t>
  </si>
  <si>
    <t>20/04/2020 3:50 PM</t>
  </si>
  <si>
    <t>15/06/2020 1:31 PM</t>
  </si>
  <si>
    <t>06/06/2020 10:28 AM</t>
  </si>
  <si>
    <t>15/06/2020 1:34 PM</t>
  </si>
  <si>
    <t>16/06/2020 11:37 AM</t>
  </si>
  <si>
    <t>16/06/2020 11:34 AM</t>
  </si>
  <si>
    <t>16/06/2020 6:49 PM</t>
  </si>
  <si>
    <t>12/06/2020 11:54 AM</t>
  </si>
  <si>
    <t>31/05/2020 12:27 PM</t>
  </si>
  <si>
    <t>31/05/2020 12:34 PM</t>
  </si>
  <si>
    <t>31/05/2020 12:31 PM</t>
  </si>
  <si>
    <t>12/06/2020 11:58 AM</t>
  </si>
  <si>
    <t>12/06/2020 12:00 PM</t>
  </si>
  <si>
    <t>08/06/2020 4:31 PM</t>
  </si>
  <si>
    <t>16/06/2020 11:00 PM</t>
  </si>
  <si>
    <t>08/06/2020 4:26 PM</t>
  </si>
  <si>
    <t>11/06/2020 10:01 AM</t>
  </si>
  <si>
    <t>06/06/2020 10:26 AM</t>
  </si>
  <si>
    <t>16/06/2020 11:32 AM</t>
  </si>
  <si>
    <t>11/06/2020 10:00 AM</t>
  </si>
  <si>
    <t>08/06/2020 4:23 PM</t>
  </si>
  <si>
    <t>16/06/2020 11:03 AM</t>
  </si>
  <si>
    <t>16/06/2020 2:30 PM</t>
  </si>
  <si>
    <t>20/04/2020 3:32 PM</t>
  </si>
  <si>
    <t>11/06/2020 10:06 AM</t>
  </si>
  <si>
    <t>16/06/2020 1:54 PM</t>
  </si>
  <si>
    <t>11/06/2020 9:43 AM</t>
  </si>
  <si>
    <t>16/06/2020 10:50 AM</t>
  </si>
  <si>
    <t>10/06/2020 1:56 PM</t>
  </si>
  <si>
    <t>08/06/2020 11:50 AM</t>
  </si>
  <si>
    <t>08/06/2020 11:46 AM</t>
  </si>
  <si>
    <t>08/06/2020 11:52 AM</t>
  </si>
  <si>
    <t>11/06/2020 9:57 AM</t>
  </si>
  <si>
    <t>11/06/2020 9:52 AM</t>
  </si>
  <si>
    <t>08/06/2020 11:49 AM</t>
  </si>
  <si>
    <t>08/06/2020 12:00 PM</t>
  </si>
  <si>
    <t>15/06/2020 1:39 PM</t>
  </si>
  <si>
    <t>03/06/2020 4:42 PM</t>
  </si>
  <si>
    <t>20/04/2020 3:43 PM</t>
  </si>
  <si>
    <t>05/06/2020 2:19 PM</t>
  </si>
  <si>
    <t>08/06/2020 11:56 AM</t>
  </si>
  <si>
    <t>27/05/2020 8:32 AM</t>
  </si>
  <si>
    <t>17/06/2020 9:19 PM</t>
  </si>
  <si>
    <t>08/06/2020 11:58 AM</t>
  </si>
  <si>
    <t>16/06/2020 11:07 AM</t>
  </si>
  <si>
    <t>29/05/2020 4:27 PM</t>
  </si>
  <si>
    <t>20/04/2020 3:38 PM</t>
  </si>
  <si>
    <t>17/06/2020 9:18 PM</t>
  </si>
  <si>
    <t>08/06/2020 11:57 AM</t>
  </si>
  <si>
    <t>08/06/2020 4:43 PM</t>
  </si>
  <si>
    <t>08/06/2020 4:45 PM</t>
  </si>
  <si>
    <t>08/06/2020 4:37 PM</t>
  </si>
  <si>
    <t>10/06/2020 10:08 AM</t>
  </si>
  <si>
    <t>02/06/2020 2:53 PM</t>
  </si>
  <si>
    <t>08/06/2020 11:54 AM</t>
  </si>
  <si>
    <t>16/06/2020 9:57 PM</t>
  </si>
  <si>
    <t>17/06/2020 4:55 PM</t>
  </si>
  <si>
    <t>15/06/2020 1:14 PM</t>
  </si>
  <si>
    <t>16/06/2020 12:06 PM</t>
  </si>
  <si>
    <t>10/06/2020 8:59 AM</t>
  </si>
  <si>
    <t>10/06/2020 10:22 AM</t>
  </si>
  <si>
    <t>05/05/2020 1:00 PM</t>
  </si>
  <si>
    <t>17/06/2020 4:57 PM</t>
  </si>
  <si>
    <t>03/06/2020 5:49 PM</t>
  </si>
  <si>
    <t>01/06/2020 11:28 AM</t>
  </si>
  <si>
    <t>10/06/2020 9:36 AM</t>
  </si>
  <si>
    <t>11/06/2020 9:16 AM</t>
  </si>
  <si>
    <t>10/06/2020 9:50 AM</t>
  </si>
  <si>
    <t>03/06/2020 4:53 PM</t>
  </si>
  <si>
    <t>30/04/2020 9:10 AM</t>
  </si>
  <si>
    <t>03/06/2020 4:50 PM</t>
  </si>
  <si>
    <t>31/05/2020 12:24 PM</t>
  </si>
  <si>
    <t>17/06/2020 9:09 PM</t>
  </si>
  <si>
    <t>12/06/2020 11:56 AM</t>
  </si>
  <si>
    <t>26/05/2020 2:12 PM</t>
  </si>
  <si>
    <t>13/05/2020 11:12 AM</t>
  </si>
  <si>
    <t>11/06/2020 2:11 PM</t>
  </si>
  <si>
    <t>17/06/2020 11:02 PM</t>
  </si>
  <si>
    <t>17/06/2020 10:38 AM</t>
  </si>
  <si>
    <t>27/05/2020 11:16 AM</t>
  </si>
  <si>
    <t>04/05/2020 1:55 PM</t>
  </si>
  <si>
    <t>06/06/2020 8:08 AM</t>
  </si>
  <si>
    <t>16/06/2020 10:57 AM</t>
  </si>
  <si>
    <t>16/06/2020 11:10 PM</t>
  </si>
  <si>
    <t>26/05/2020 12:45 PM</t>
  </si>
  <si>
    <t>17/06/2020 9:42 AM</t>
  </si>
  <si>
    <t>17/06/2020 7:25 PM</t>
  </si>
  <si>
    <t>16/06/2020 10:39 PM</t>
  </si>
  <si>
    <t>13/05/2020 11:10 AM</t>
  </si>
  <si>
    <t>13/05/2020 11:13 AM</t>
  </si>
  <si>
    <t>27/05/2020 10:56 AM</t>
  </si>
  <si>
    <t>27/05/2020 11:19 AM</t>
  </si>
  <si>
    <t>09/06/2020 10:51 PM</t>
  </si>
  <si>
    <t>01/06/2020 11:21 AM</t>
  </si>
  <si>
    <t>26/05/2020 1:56 PM</t>
  </si>
  <si>
    <t>13/05/2020 12:40 PM</t>
  </si>
  <si>
    <t>26/05/2020 1:59 PM</t>
  </si>
  <si>
    <t>06/06/2020 7:48 AM</t>
  </si>
  <si>
    <t>18/05/2020 12:05 PM</t>
  </si>
  <si>
    <t>03/06/2020 10:56 AM</t>
  </si>
  <si>
    <t>16/06/2020 10:30 PM</t>
  </si>
  <si>
    <t>10/06/2020 11:35 AM</t>
  </si>
  <si>
    <t>13/05/2020 11:55 AM</t>
  </si>
  <si>
    <t>05/06/2020 11:49 AM</t>
  </si>
  <si>
    <t>16/06/2020 1:22 PM</t>
  </si>
  <si>
    <t>13/05/2020 10:59 AM</t>
  </si>
  <si>
    <t>13/05/2020 11:17 AM</t>
  </si>
  <si>
    <t>18/05/2020 12:06 PM</t>
  </si>
  <si>
    <t>01/06/2020 11:18 AM</t>
  </si>
  <si>
    <t>16/06/2020 6:18 AM</t>
  </si>
  <si>
    <t>13/05/2020 11:16 AM</t>
  </si>
  <si>
    <t>26/05/2020 1:50 PM</t>
  </si>
  <si>
    <t>13/05/2020 10:58 AM</t>
  </si>
  <si>
    <t>16/06/2020 4:59 PM</t>
  </si>
  <si>
    <t>13/05/2020 11:14 AM</t>
  </si>
  <si>
    <t>26/05/2020 1:45 PM</t>
  </si>
  <si>
    <t>17/06/2020 1:01 PM</t>
  </si>
  <si>
    <t>26/05/2020 3:07 PM</t>
  </si>
  <si>
    <t>03/06/2020 3:51 PM</t>
  </si>
  <si>
    <t>27/05/2020 7:56 AM</t>
  </si>
  <si>
    <t>15/06/2020 3:50 PM</t>
  </si>
  <si>
    <t>06/06/2020 7:56 AM</t>
  </si>
  <si>
    <t>29/05/2020 3:12 PM</t>
  </si>
  <si>
    <t>15/06/2020 4:05 PM</t>
  </si>
  <si>
    <t>13/05/2020 10:56 AM</t>
  </si>
  <si>
    <t>26/05/2020 12:36 PM</t>
  </si>
  <si>
    <t>15/06/2020 4:03 PM</t>
  </si>
  <si>
    <t>06/06/2020 6:59 AM</t>
  </si>
  <si>
    <t>16/06/2020 2:56 PM</t>
  </si>
  <si>
    <t>12/06/2020 8:40 PM</t>
  </si>
  <si>
    <t>02/06/2020 11:32 PM</t>
  </si>
  <si>
    <t>06/06/2020 5:30 AM</t>
  </si>
  <si>
    <t>09/06/2020 4:37 PM</t>
  </si>
  <si>
    <t>15/06/2020 2:31 PM</t>
  </si>
  <si>
    <t>02/06/2020 9:55 PM</t>
  </si>
  <si>
    <t>17/06/2020 3:39 PM</t>
  </si>
  <si>
    <t>17/06/2020 3:40 PM</t>
  </si>
  <si>
    <t>17/06/2020 3:36 PM</t>
  </si>
  <si>
    <t>16/06/2020 9:52 PM</t>
  </si>
  <si>
    <t>17/06/2020 3:38 PM</t>
  </si>
  <si>
    <t>17/06/2020 3:35 PM</t>
  </si>
  <si>
    <t>16/06/2020 9:36 AM</t>
  </si>
  <si>
    <t>09/06/2020 4:52 PM</t>
  </si>
  <si>
    <t>17/06/2020 3:34 PM</t>
  </si>
  <si>
    <t>17/06/2020 3:37 PM</t>
  </si>
  <si>
    <t>05/06/2020 4:20 PM</t>
  </si>
  <si>
    <t>09/06/2020 8:22 AM</t>
  </si>
  <si>
    <t>21/05/2020 12:35 PM</t>
  </si>
  <si>
    <t>17/06/2020 4:25 PM</t>
  </si>
  <si>
    <t>02/06/2020 4:43 PM</t>
  </si>
  <si>
    <t>15/06/2020 4:10 PM</t>
  </si>
  <si>
    <t>15/06/2020 4:08 PM</t>
  </si>
  <si>
    <t>21/05/2020 12:29 PM</t>
  </si>
  <si>
    <t>21/05/2020 12:32 PM</t>
  </si>
  <si>
    <t>11/06/2020 4:32 PM</t>
  </si>
  <si>
    <t>02/06/2020 4:27 PM</t>
  </si>
  <si>
    <t>21/05/2020 12:12 PM</t>
  </si>
  <si>
    <t>15/06/2020 9:07 AM</t>
  </si>
  <si>
    <t>10/06/2020 9:00 AM</t>
  </si>
  <si>
    <t>02/06/2020 4:38 PM</t>
  </si>
  <si>
    <t>17/06/2020 2:55 PM</t>
  </si>
  <si>
    <t>17/06/2020 3:45 PM</t>
  </si>
  <si>
    <t>17/06/2020 3:47 PM</t>
  </si>
  <si>
    <t>15/06/2020 3:40 PM</t>
  </si>
  <si>
    <t>02/06/2020 4:32 PM</t>
  </si>
  <si>
    <t>17/06/2020 3:46 PM</t>
  </si>
  <si>
    <t>16/06/2020 5:30 PM</t>
  </si>
  <si>
    <t>10/06/2020 9:07 AM</t>
  </si>
  <si>
    <t>03/06/2020 2:08 PM</t>
  </si>
  <si>
    <t>10/06/2020 9:02 AM</t>
  </si>
  <si>
    <t>26/05/2020 12:31 PM</t>
  </si>
  <si>
    <t>12/06/2020 1:45 PM</t>
  </si>
  <si>
    <t>11/06/2020 3:26 PM</t>
  </si>
  <si>
    <t>02/06/2020 4:39 PM</t>
  </si>
  <si>
    <t>16/06/2020 2:04 PM</t>
  </si>
  <si>
    <t>11/06/2020 3:10 PM</t>
  </si>
  <si>
    <t>26/05/2020 12:23 PM</t>
  </si>
  <si>
    <t>08/06/2020 10:30 PM</t>
  </si>
  <si>
    <t>15/06/2020 9:08 AM</t>
  </si>
  <si>
    <t>10/06/2020 1:58 PM</t>
  </si>
  <si>
    <t>08/06/2020 4:40 PM</t>
  </si>
  <si>
    <t>08/06/2020 10:31 PM</t>
  </si>
  <si>
    <t>15/06/2020 3:47 PM</t>
  </si>
  <si>
    <t>06/06/2020 6:21 AM</t>
  </si>
  <si>
    <t>17/06/2020 8:16 PM</t>
  </si>
  <si>
    <t>16/06/2020 10:53 AM</t>
  </si>
  <si>
    <t>17/06/2020 10:33 AM</t>
  </si>
  <si>
    <t>12/06/2020 12:02 PM</t>
  </si>
  <si>
    <t>12/06/2020 9:11 PM</t>
  </si>
  <si>
    <t>15/06/2020 3:44 PM</t>
  </si>
  <si>
    <t>22/05/2020 10:12 PM</t>
  </si>
  <si>
    <t>11/06/2020 3:18 PM</t>
  </si>
  <si>
    <t>27/05/2020 5:57 PM</t>
  </si>
  <si>
    <t>16/06/2020 8:50 PM</t>
  </si>
  <si>
    <t>17/06/2020 9:01 PM</t>
  </si>
  <si>
    <t>17/06/2020 3:43 PM</t>
  </si>
  <si>
    <t>27/05/2020 7:10 PM</t>
  </si>
  <si>
    <t>13/05/2020 11:03 AM</t>
  </si>
  <si>
    <t>13/05/2020 11:04 AM</t>
  </si>
  <si>
    <t>13/05/2020 11:01 AM</t>
  </si>
  <si>
    <t>17/06/2020 5:24 PM</t>
  </si>
  <si>
    <t>02/06/2020 2:29 PM</t>
  </si>
  <si>
    <t>11/06/2020 3:15 PM</t>
  </si>
  <si>
    <t>09/06/2020 4:00 PM</t>
  </si>
  <si>
    <t>11/06/2020 10:44 AM</t>
  </si>
  <si>
    <t>03/06/2020 3:48 PM</t>
  </si>
  <si>
    <t>02/06/2020 2:27 PM</t>
  </si>
  <si>
    <t>15/06/2020 8:36 PM</t>
  </si>
  <si>
    <t>09/06/2020 7:48 AM</t>
  </si>
  <si>
    <t>10/06/2020 11:42 AM</t>
  </si>
  <si>
    <t>10/06/2020 11:43 AM</t>
  </si>
  <si>
    <t>16/06/2020 9:59 AM</t>
  </si>
  <si>
    <t>17/06/2020 10:35 AM</t>
  </si>
  <si>
    <t>16/06/2020 5:25 PM</t>
  </si>
  <si>
    <t>11/06/2020 3:04 PM</t>
  </si>
  <si>
    <t>04/06/2020 9:00 AM</t>
  </si>
  <si>
    <t>16/06/2020 4:43 PM</t>
  </si>
  <si>
    <t>08/06/2020 2:31 PM</t>
  </si>
  <si>
    <t>17/06/2020 9:33 PM</t>
  </si>
  <si>
    <t>17/06/2020 1:41 PM</t>
  </si>
  <si>
    <t>11/06/2020 3:17 PM</t>
  </si>
  <si>
    <t>16/06/2020 10:01 AM</t>
  </si>
  <si>
    <t>09/06/2020 11:24 AM</t>
  </si>
  <si>
    <t>10/06/2020 6:02 PM</t>
  </si>
  <si>
    <t>08/06/2020 4:13 PM</t>
  </si>
  <si>
    <t>10/06/2020 6:04 PM</t>
  </si>
  <si>
    <t>17/06/2020 9:31 PM</t>
  </si>
  <si>
    <t>04/06/2020 5:16 PM</t>
  </si>
  <si>
    <t>04/06/2020 5:12 PM</t>
  </si>
  <si>
    <t>08/06/2020 6:12 PM</t>
  </si>
  <si>
    <t>17/06/2020 9:34 PM</t>
  </si>
  <si>
    <t>17/06/2020 9:41 PM</t>
  </si>
  <si>
    <t>08/06/2020 6:07 PM</t>
  </si>
  <si>
    <t>17/06/2020 9:22 PM</t>
  </si>
  <si>
    <t>10/06/2020 6:00 PM</t>
  </si>
  <si>
    <t>16/06/2020 2:03 PM</t>
  </si>
  <si>
    <t>13/05/2020 10:55 AM</t>
  </si>
  <si>
    <t>05/06/2020 4:56 PM</t>
  </si>
  <si>
    <t>15/06/2020 4:23 PM</t>
  </si>
  <si>
    <t>09/06/2020 10:56 PM</t>
  </si>
  <si>
    <t>15/06/2020 4:36 PM</t>
  </si>
  <si>
    <t>15/06/2020 4:34 PM</t>
  </si>
  <si>
    <t>04/06/2020 12:20 PM</t>
  </si>
  <si>
    <t>04/06/2020 8:57 AM</t>
  </si>
  <si>
    <t>13/05/2020 10:53 AM</t>
  </si>
  <si>
    <t>06/06/2020 5:13 AM</t>
  </si>
  <si>
    <t>08/06/2020 4:14 PM</t>
  </si>
  <si>
    <t>05/06/2020 5:09 PM</t>
  </si>
  <si>
    <t>06/06/2020 8:16 AM</t>
  </si>
  <si>
    <t>16/06/2020 10:03 AM</t>
  </si>
  <si>
    <t>10/06/2020 6:16 PM</t>
  </si>
  <si>
    <t>04/06/2020 8:59 AM</t>
  </si>
  <si>
    <t>16/06/2020 11:19 AM</t>
  </si>
  <si>
    <t>10/06/2020 6:12 PM</t>
  </si>
  <si>
    <t>15/05/2020 2:32 PM</t>
  </si>
  <si>
    <t>15/06/2020 12:25 PM</t>
  </si>
  <si>
    <t>17/06/2020 9:17 PM</t>
  </si>
  <si>
    <t>11/06/2020 2:19 PM</t>
  </si>
  <si>
    <t>11/06/2020 10:40 AM</t>
  </si>
  <si>
    <t>11/06/2020 2:39 PM</t>
  </si>
  <si>
    <t>11/06/2020 2:17 PM</t>
  </si>
  <si>
    <t>05/06/2020 2:56 PM</t>
  </si>
  <si>
    <t>29/05/2020 4:03 PM</t>
  </si>
  <si>
    <t>10/06/2020 8:52 AM</t>
  </si>
  <si>
    <t>16/06/2020 12:15 PM</t>
  </si>
  <si>
    <t>10/06/2020 8:45 AM</t>
  </si>
  <si>
    <t>16/06/2020 12:07 PM</t>
  </si>
  <si>
    <t>29/05/2020 4:06 PM</t>
  </si>
  <si>
    <t>10/06/2020 8:42 AM</t>
  </si>
  <si>
    <t>11/06/2020 12:08 PM</t>
  </si>
  <si>
    <t>16/06/2020 12:47 PM</t>
  </si>
  <si>
    <t>11/06/2020 6:01 PM</t>
  </si>
  <si>
    <t>28/02/2020 2:06 PM</t>
  </si>
  <si>
    <t>16/06/2020 12:56 PM</t>
  </si>
  <si>
    <t>16/06/2020 11:58 AM</t>
  </si>
  <si>
    <t>16/06/2020 12:33 PM</t>
  </si>
  <si>
    <t>16/06/2020 12:34 PM</t>
  </si>
  <si>
    <t>16/06/2020 12:26 PM</t>
  </si>
  <si>
    <t>15/06/2020 12:20 PM</t>
  </si>
  <si>
    <t>16/06/2020 12:29 PM</t>
  </si>
  <si>
    <t>11/06/2020 5:59 PM</t>
  </si>
  <si>
    <t>16/06/2020 11:59 AM</t>
  </si>
  <si>
    <t>02/06/2020 10:54 AM</t>
  </si>
  <si>
    <t>17/06/2020 9:28 PM</t>
  </si>
  <si>
    <t>15/06/2020 2:12 PM</t>
  </si>
  <si>
    <t>16/06/2020 12:52 PM</t>
  </si>
  <si>
    <t>21/05/2020 3:47 PM</t>
  </si>
  <si>
    <t>16/06/2020 9:22 PM</t>
  </si>
  <si>
    <t>11/06/2020 5:39 PM</t>
  </si>
  <si>
    <t>27/05/2020 9:05 AM</t>
  </si>
  <si>
    <t>05/06/2020 8:07 PM</t>
  </si>
  <si>
    <t>10/06/2020 2:41 PM</t>
  </si>
  <si>
    <t>09/06/2020 2:27 PM</t>
  </si>
  <si>
    <t>17/06/2020 9:32 PM</t>
  </si>
  <si>
    <t>10/06/2020 2:39 PM</t>
  </si>
  <si>
    <t>17/06/2020 9:42 PM</t>
  </si>
  <si>
    <t>17/06/2020 8:50 PM</t>
  </si>
  <si>
    <t>16/06/2020 5:00 PM</t>
  </si>
  <si>
    <t>01/06/2020 9:34 PM</t>
  </si>
  <si>
    <t>17/06/2020 4:28 PM</t>
  </si>
  <si>
    <t>17/06/2020 9:11 PM</t>
  </si>
  <si>
    <t>17/06/2020 9:03 PM</t>
  </si>
  <si>
    <t>17/06/2020 9:05 PM</t>
  </si>
  <si>
    <t>17/06/2020 8:54 PM</t>
  </si>
  <si>
    <t>17/06/2020 8:59 PM</t>
  </si>
  <si>
    <t>17/06/2020 9:29 PM</t>
  </si>
  <si>
    <t>17/06/2020 8:52 PM</t>
  </si>
  <si>
    <t>27/05/2020 9:08 AM</t>
  </si>
  <si>
    <t>17/06/2020 9:08 PM</t>
  </si>
  <si>
    <t>17/06/2020 9:12 PM</t>
  </si>
  <si>
    <t>17/06/2020 8:44 PM</t>
  </si>
  <si>
    <t>16/06/2020 1:11 PM</t>
  </si>
  <si>
    <t>11/06/2020 8:15 AM</t>
  </si>
  <si>
    <t>17/06/2020 8:39 PM</t>
  </si>
  <si>
    <t>17/06/2020 8:46 PM</t>
  </si>
  <si>
    <t>17/06/2020 9:16 PM</t>
  </si>
  <si>
    <t>17/06/2020 8:48 PM</t>
  </si>
  <si>
    <t>17/06/2020 9:23 PM</t>
  </si>
  <si>
    <t>17/06/2020 9:24 PM</t>
  </si>
  <si>
    <t>17/06/2020 9:26 PM</t>
  </si>
  <si>
    <t>17/06/2020 9:14 PM</t>
  </si>
  <si>
    <t>16/06/2020 2:49 PM</t>
  </si>
  <si>
    <t>17/06/2020 9:39 PM</t>
  </si>
  <si>
    <t>17/06/2020 8:41 PM</t>
  </si>
  <si>
    <t>26/05/2020 12:16 PM</t>
  </si>
  <si>
    <t>16/06/2020 1:01 PM</t>
  </si>
  <si>
    <t>17/06/2020 9:37 PM</t>
  </si>
  <si>
    <t>16/06/2020 1:06 PM</t>
  </si>
  <si>
    <t>16/06/2020 12:58 PM</t>
  </si>
  <si>
    <t>11/06/2020 2:56 PM</t>
  </si>
  <si>
    <t>17/06/2020 9:36 PM</t>
  </si>
  <si>
    <t>11/06/2020 2:48 PM</t>
  </si>
  <si>
    <t>11/06/2020 2:36 PM</t>
  </si>
  <si>
    <t>17/06/2020 9:20 PM</t>
  </si>
  <si>
    <t>17/06/2020 4:37 PM</t>
  </si>
  <si>
    <t>24/06/2020 1:00 PM</t>
  </si>
  <si>
    <t>24/06/2020 1:00 AM</t>
  </si>
  <si>
    <t>07/07/2020 1:00 AM</t>
  </si>
  <si>
    <t>25/06/2020 9:00 AM</t>
  </si>
  <si>
    <t>08/07/2020 10:00 AM</t>
  </si>
  <si>
    <t>24/06/2020 9:00 AM</t>
  </si>
  <si>
    <t>22/06/2020 10:00 AM</t>
  </si>
  <si>
    <t>13/07/2020 10:00 AM</t>
  </si>
  <si>
    <t>25/06/2020 1:00 AM</t>
  </si>
  <si>
    <t>06/07/2020 10:00 AM</t>
  </si>
  <si>
    <t>08/07/2020 9:00 AM</t>
  </si>
  <si>
    <t>07/07/2020 10:00 AM</t>
  </si>
  <si>
    <t>01/07/2020 1:00 PM</t>
  </si>
  <si>
    <t>07/07/2020 2:00 PM</t>
  </si>
  <si>
    <t>22/06/2020 1:00 AM</t>
  </si>
  <si>
    <t>24/06/2020 10:00 AM</t>
  </si>
  <si>
    <t>30/06/2020 1:00 PM</t>
  </si>
  <si>
    <t>26/06/2020 8:30 AM</t>
  </si>
  <si>
    <t>24/06/2020 5:00 PM</t>
  </si>
  <si>
    <t>24/06/2020 12:00 PM</t>
  </si>
  <si>
    <t>20/07/2020 2:00 PM</t>
  </si>
  <si>
    <t>06/07/2020 9:00 AM</t>
  </si>
  <si>
    <t>22/06/2020 9:00 AM</t>
  </si>
  <si>
    <t>22/06/2020 4:00 AM</t>
  </si>
  <si>
    <t>26/06/2020 10:00 AM</t>
  </si>
  <si>
    <t>08/07/2020 2:00 PM</t>
  </si>
  <si>
    <t>03/07/2020 10:00 AM</t>
  </si>
  <si>
    <t>22/06/2020 5:00 PM</t>
  </si>
  <si>
    <t>07/07/2020 9:00 AM</t>
  </si>
  <si>
    <t>24/06/2020 9:30 AM</t>
  </si>
  <si>
    <t>07/07/2020 3:00 PM</t>
  </si>
  <si>
    <t>25/06/2020 2:00 PM</t>
  </si>
  <si>
    <t>22/06/2020 2:00 PM</t>
  </si>
  <si>
    <t>24/06/2020 8:00 AM</t>
  </si>
  <si>
    <t>19/06/2020 1:00 AM</t>
  </si>
  <si>
    <t>24/06/2020 1:30 PM</t>
  </si>
  <si>
    <t>23/06/2020 10:00 AM</t>
  </si>
  <si>
    <t>23/06/2020 9:00 AM</t>
  </si>
  <si>
    <t>09/07/2020 10:00 AM</t>
  </si>
  <si>
    <t>22/06/2020 11:00 AM</t>
  </si>
  <si>
    <t>23/06/2020 4:00 PM</t>
  </si>
  <si>
    <t>01/07/2020 9:00 AM</t>
  </si>
  <si>
    <t>06/07/2020 1:00 PM</t>
  </si>
  <si>
    <t>03/07/2020 1:00 PM</t>
  </si>
  <si>
    <t>19/06/2020 11:00 AM</t>
  </si>
  <si>
    <t>22/06/2020 8:00 AM</t>
  </si>
  <si>
    <t>07/07/2020 9:30 AM</t>
  </si>
  <si>
    <t>24/06/2020 2:00 PM</t>
  </si>
  <si>
    <t>01/07/2020 2:00 PM</t>
  </si>
  <si>
    <t>22/06/2020 3:00 PM</t>
  </si>
  <si>
    <t>25/06/2020 9:05 AM</t>
  </si>
  <si>
    <t>25/06/2020 1:00 PM</t>
  </si>
  <si>
    <t>25/06/2020 8:00 AM</t>
  </si>
  <si>
    <t>09/07/2020 9:30 AM</t>
  </si>
  <si>
    <t>02/07/2020 8:30 AM</t>
  </si>
  <si>
    <t>23/06/2020 5:00 PM</t>
  </si>
  <si>
    <t>24/06/2020 11:00 AM</t>
  </si>
  <si>
    <t>22/06/2020 4:30 PM</t>
  </si>
  <si>
    <t>07/07/2020 12:00 PM</t>
  </si>
  <si>
    <t>19/06/2020 4:30 PM</t>
  </si>
  <si>
    <t>19/06/2020 3:00 PM</t>
  </si>
  <si>
    <t>19/06/2020 10:00 AM</t>
  </si>
  <si>
    <t>22/06/2020 12:00 PM</t>
  </si>
  <si>
    <t>22/06/2020 1:00 PM</t>
  </si>
  <si>
    <t>19/06/2020 8:00 AM</t>
  </si>
  <si>
    <t>24/06/2020 12:00 AM</t>
  </si>
  <si>
    <t>22/06/2020 1:30 PM</t>
  </si>
  <si>
    <t>03/07/2020 2:00 PM</t>
  </si>
  <si>
    <t>01/07/2020 10:00 AM</t>
  </si>
  <si>
    <t>08/07/2020 1:00 AM</t>
  </si>
  <si>
    <t>22/06/2020 8:30 AM</t>
  </si>
  <si>
    <t>30/06/2020 9:00 AM</t>
  </si>
  <si>
    <t>19/06/2020 5:00 PM</t>
  </si>
  <si>
    <t>29/06/2020 11:55 AM</t>
  </si>
  <si>
    <t>03/07/2020 9:00 AM</t>
  </si>
  <si>
    <t>23/06/2020 3:30 PM</t>
  </si>
  <si>
    <t>02/07/2020 11:00 AM</t>
  </si>
  <si>
    <t>30/06/2020 9:45 AM</t>
  </si>
  <si>
    <t>23/06/2020 1:00 AM</t>
  </si>
  <si>
    <t>23/06/2020 2:00 PM</t>
  </si>
  <si>
    <t>23/06/2020 1:00 PM</t>
  </si>
  <si>
    <t>06/07/2020 8:30 AM</t>
  </si>
  <si>
    <t>26/06/2020 9:00 AM</t>
  </si>
  <si>
    <t>23/06/2020 8:00 AM</t>
  </si>
  <si>
    <t>06/07/2020 1:30 PM</t>
  </si>
  <si>
    <t>24/07/2020 10:00 AM</t>
  </si>
  <si>
    <t>29/06/2020 2:00 PM</t>
  </si>
  <si>
    <t>18/06/2020 9:00 AM</t>
  </si>
  <si>
    <t>18/06/2020 5:00 PM</t>
  </si>
  <si>
    <t>14/07/2020 9:00 AM</t>
  </si>
  <si>
    <t>26/06/2020 1:00 AM</t>
  </si>
  <si>
    <t>25/06/2020 10:00 AM</t>
  </si>
  <si>
    <t>07/07/2020 1:30 PM</t>
  </si>
  <si>
    <t>19/06/2020 9:00 AM</t>
  </si>
  <si>
    <t>22/06/2020 4:00 PM</t>
  </si>
  <si>
    <t>01/07/2020 12:00 PM</t>
  </si>
  <si>
    <t>24/06/2020 3:00 PM</t>
  </si>
  <si>
    <t>30/06/2020 1:00 AM</t>
  </si>
  <si>
    <t>09/07/2020 2:00 PM</t>
  </si>
  <si>
    <t>24/06/2020 4:00 PM</t>
  </si>
  <si>
    <t>09/07/2020 9:00 AM</t>
  </si>
  <si>
    <t>22/06/2020 12:55 PM</t>
  </si>
  <si>
    <t>22/06/2020 9:30 AM</t>
  </si>
  <si>
    <t>22/06/2020 10:30 AM</t>
  </si>
  <si>
    <t>22/06/2020 2:30 PM</t>
  </si>
  <si>
    <t>08/07/2020 9:30 AM</t>
  </si>
  <si>
    <t>23/06/2020 12:00 PM</t>
  </si>
  <si>
    <t>09/07/2020 11:00 AM</t>
  </si>
  <si>
    <t>18/06/2020 1:00 PM</t>
  </si>
  <si>
    <t>07/07/2020 1:09 AM</t>
  </si>
  <si>
    <t>22/06/2020 6:00 PM</t>
  </si>
  <si>
    <t>06/07/2020 9:15 AM</t>
  </si>
  <si>
    <t>23/06/2020 8:30 AM</t>
  </si>
  <si>
    <t>07/07/2020 9:25 AM</t>
  </si>
  <si>
    <t>07/07/2020 12:00 AM</t>
  </si>
  <si>
    <t>06/07/2020 9:30 AM</t>
  </si>
  <si>
    <t>26/06/2020 5:00 PM</t>
  </si>
  <si>
    <t>25/06/2020 6:00 PM</t>
  </si>
  <si>
    <t>25/06/2020 10:00 PM</t>
  </si>
  <si>
    <t>19/06/2020 1:00 PM</t>
  </si>
  <si>
    <t>25/06/2020 4:00 PM</t>
  </si>
  <si>
    <t>19/06/2020 2:00 PM</t>
  </si>
  <si>
    <t>10/07/2020 10:00 AM</t>
  </si>
  <si>
    <t>10/07/2020 2:00 PM</t>
  </si>
  <si>
    <t>10/07/2020 3:00 PM</t>
  </si>
  <si>
    <t>13/07/2020 1:30 PM</t>
  </si>
  <si>
    <t>22/06/2020 2:02 AM</t>
  </si>
  <si>
    <t>07/07/2020 2:20 PM</t>
  </si>
  <si>
    <t>25/06/2020 12:00 PM</t>
  </si>
  <si>
    <t>26/06/2020 11:55 AM</t>
  </si>
  <si>
    <t>07/07/2020 11:00 AM</t>
  </si>
  <si>
    <t>23/06/2020 9:30 AM</t>
  </si>
  <si>
    <t>26/06/2020 2:00 PM</t>
  </si>
  <si>
    <t>26/06/2020 1:30 PM</t>
  </si>
  <si>
    <t>07/07/2020 2:10 PM</t>
  </si>
  <si>
    <t>02/07/2020 1:00 PM</t>
  </si>
  <si>
    <t>18/06/2020 10:00 AM</t>
  </si>
  <si>
    <t>30/06/2020 10:00 AM</t>
  </si>
  <si>
    <t>07/07/2020 2:30 PM</t>
  </si>
  <si>
    <t>01/07/2020 3:00 PM</t>
  </si>
  <si>
    <t>13/07/2020 9:00 AM</t>
  </si>
  <si>
    <t>23/06/2020 11:00 AM</t>
  </si>
  <si>
    <t>31/07/2020 2:00 PM</t>
  </si>
  <si>
    <t>29/06/2020 1:00 PM</t>
  </si>
  <si>
    <t>08/07/2020 1:00 PM</t>
  </si>
  <si>
    <t>22/06/2020 2:00 AM</t>
  </si>
  <si>
    <t>26/06/2020 10:30 AM</t>
  </si>
  <si>
    <t>29/06/2020 1:00 AM</t>
  </si>
  <si>
    <t>18/06/2020 1:00 AM</t>
  </si>
  <si>
    <t>07/07/2020 1:00 PM</t>
  </si>
  <si>
    <t>06/07/2020 8:00 AM</t>
  </si>
  <si>
    <t>06/07/2020 2:00 PM</t>
  </si>
  <si>
    <t>23/06/2020 11:30 AM</t>
  </si>
  <si>
    <t>26/06/2020 12:00 PM</t>
  </si>
  <si>
    <t>26/06/2020 2:02 PM</t>
  </si>
  <si>
    <t>03/07/2020 3:08 AM</t>
  </si>
  <si>
    <t>29/06/2020 10:30 AM</t>
  </si>
  <si>
    <t>26/06/2020 8:00 AM</t>
  </si>
  <si>
    <t>07/07/2020 8:30 AM</t>
  </si>
  <si>
    <t>07/07/2020 8:15 AM</t>
  </si>
  <si>
    <t>13/07/2020 1:00 PM</t>
  </si>
  <si>
    <t>22/06/2020 1:20 PM</t>
  </si>
  <si>
    <t>06/07/2020 5:00 PM</t>
  </si>
  <si>
    <t>23/06/2020 2:55 PM</t>
  </si>
  <si>
    <t>01/07/2020 1:00 AM</t>
  </si>
  <si>
    <t>19/06/2020 12:00 AM</t>
  </si>
  <si>
    <t>08/07/2020 3:00 PM</t>
  </si>
  <si>
    <t>19/06/2020 1:10 AM</t>
  </si>
  <si>
    <t>07/07/2020 5:00 PM</t>
  </si>
  <si>
    <t>23/06/2020 3:00 PM</t>
  </si>
  <si>
    <t>25/06/2020 9:09 AM</t>
  </si>
  <si>
    <t>22/06/2020 2:02 PM</t>
  </si>
  <si>
    <t>06/07/2020 12:59 PM</t>
  </si>
  <si>
    <t>03/07/2020 8:00 AM</t>
  </si>
  <si>
    <t>24/06/2020 5:00 AM</t>
  </si>
  <si>
    <t>15/07/2020 9:00 AM</t>
  </si>
  <si>
    <t>22/06/2020 11:30 AM</t>
  </si>
  <si>
    <t>29/06/2020 11:00 AM</t>
  </si>
  <si>
    <t>01/07/2020 8:00 AM</t>
  </si>
  <si>
    <t>06/07/2020 2:29 PM</t>
  </si>
  <si>
    <t>18/06/2020 2:00 PM</t>
  </si>
  <si>
    <t>30/06/2020 2:00 PM</t>
  </si>
  <si>
    <t>29/06/2020 10:00 AM</t>
  </si>
  <si>
    <t>22/06/2020 1:02 AM</t>
  </si>
  <si>
    <t>10/07/2020 9:00 AM</t>
  </si>
  <si>
    <t>07/07/2020 8:59 AM</t>
  </si>
  <si>
    <t>22/06/2020 1:15 PM</t>
  </si>
  <si>
    <t>24/06/2020 8:30 AM</t>
  </si>
  <si>
    <t>22/06/2020 6:00 AM</t>
  </si>
  <si>
    <t>08/07/2020 1:30 PM</t>
  </si>
  <si>
    <t>26/06/2020 1:00 PM</t>
  </si>
  <si>
    <t>22/06/2020 5:00 AM</t>
  </si>
  <si>
    <t>07/07/2020 1:59 PM</t>
  </si>
  <si>
    <t>22/06/2020 1:45 PM</t>
  </si>
  <si>
    <t>25/06/2020 7:00 AM</t>
  </si>
  <si>
    <t>29/06/2020 1:30 PM</t>
  </si>
  <si>
    <t>22/06/2020 11:30 PM</t>
  </si>
  <si>
    <t>01/07/2020 1:10 AM</t>
  </si>
  <si>
    <t>25/06/2020 9:30 AM</t>
  </si>
  <si>
    <t>06/07/2020 1:00 AM</t>
  </si>
  <si>
    <t>18/06/2020 8:00 AM</t>
  </si>
  <si>
    <t>23/06/2020 1:05 PM</t>
  </si>
  <si>
    <t>06/07/2020 12:00 PM</t>
  </si>
  <si>
    <t>16/07/2020 9:30 AM</t>
  </si>
  <si>
    <t>16/07/2020 10:30 AM</t>
  </si>
  <si>
    <t>19/06/2020 7:00 AM</t>
  </si>
  <si>
    <t>25/06/2020 5:00 PM</t>
  </si>
  <si>
    <t>16/07/2020 12:30 PM</t>
  </si>
  <si>
    <t>26/06/2020 3:00 PM</t>
  </si>
  <si>
    <t>30/06/2020 5:00 PM</t>
  </si>
  <si>
    <t>25/06/2020 3:00 PM</t>
  </si>
  <si>
    <t>08/07/2020 11:00 AM</t>
  </si>
  <si>
    <t>08/07/2020 10:30 AM</t>
  </si>
  <si>
    <t>14/07/2020 1:00 PM</t>
  </si>
  <si>
    <t>09/07/2020 1:00 PM</t>
  </si>
  <si>
    <t>22/06/2020 12:00 AM</t>
  </si>
  <si>
    <t>08/07/2020 3:30 PM</t>
  </si>
  <si>
    <t>25/06/2020 12:00 AM</t>
  </si>
  <si>
    <t>23/06/2020 10:15 AM</t>
  </si>
  <si>
    <t>23/06/2020 9:15 AM</t>
  </si>
  <si>
    <t>19/06/2020 1:30 PM</t>
  </si>
  <si>
    <t>19/06/2020 12:00 PM</t>
  </si>
  <si>
    <t>29/06/2020 5:00 PM</t>
  </si>
  <si>
    <t>23/06/2020 1:30 PM</t>
  </si>
  <si>
    <t>25/06/2020 11:00 PM</t>
  </si>
  <si>
    <t>22/06/2020 1:12 PM</t>
  </si>
  <si>
    <t>25/06/2020 2:00 AM</t>
  </si>
  <si>
    <t>19/06/2020 11:30 PM</t>
  </si>
  <si>
    <t>19/06/2020 12:01 PM</t>
  </si>
  <si>
    <t>19/06/2020 4:00 PM</t>
  </si>
  <si>
    <t>06/07/2020 11:00 AM</t>
  </si>
  <si>
    <t>24/06/2020 1:10 AM</t>
  </si>
  <si>
    <t>23/06/2020 2:00 AM</t>
  </si>
  <si>
    <t>08/07/2020 11:30 AM</t>
  </si>
  <si>
    <t>24/06/2020 11:30 AM</t>
  </si>
  <si>
    <t>19/06/2020 1:05 PM</t>
  </si>
  <si>
    <t>18/06/2020 9:01 AM</t>
  </si>
  <si>
    <t>18/06/2020 9:09 AM</t>
  </si>
  <si>
    <t>03/07/2020 1:00 AM</t>
  </si>
  <si>
    <t>19/06/2020 8:59 AM</t>
  </si>
  <si>
    <t>25/06/2020 11:00 AM</t>
  </si>
  <si>
    <t>08/07/2020 12:30 PM</t>
  </si>
  <si>
    <t>23/06/2020 12:00 AM</t>
  </si>
  <si>
    <t>19/06/2020 8:30 AM</t>
  </si>
  <si>
    <t>30/06/2020 11:00 AM</t>
  </si>
  <si>
    <t>18/06/2020 9:45 AM</t>
  </si>
  <si>
    <t>18/06/2020 9:59 AM</t>
  </si>
  <si>
    <t>19/06/2020 6:00 PM</t>
  </si>
  <si>
    <t>14/07/2020 10:00 AM</t>
  </si>
  <si>
    <t>29/06/2020 9:00 AM</t>
  </si>
  <si>
    <t>03/07/2020 2:00 AM</t>
  </si>
  <si>
    <t>19/06/2020 5:00 AM</t>
  </si>
  <si>
    <t>13/07/2020 2:00 PM</t>
  </si>
  <si>
    <t>18/06/2020 12:00 PM</t>
  </si>
  <si>
    <t>23/06/2020 8:59 AM</t>
  </si>
  <si>
    <t>19/06/2020 5:05 PM</t>
  </si>
  <si>
    <t>19/06/2020 1:31 PM</t>
  </si>
  <si>
    <t>23/06/2020 11:15 AM</t>
  </si>
  <si>
    <t>09/07/2020 1:30 PM</t>
  </si>
  <si>
    <t>08/07/2020 8:00 AM</t>
  </si>
  <si>
    <t>18/06/2020 4:30 PM</t>
  </si>
  <si>
    <t>23/06/2020 1:15 PM</t>
  </si>
  <si>
    <t>25/06/2020 2:30 PM</t>
  </si>
  <si>
    <t>19/06/2020 12:05 PM</t>
  </si>
  <si>
    <t>07/07/2020 11:30 AM</t>
  </si>
  <si>
    <t>02/07/2020 1:00 AM</t>
  </si>
  <si>
    <t>23/06/2020 2:06 PM</t>
  </si>
  <si>
    <t>07/07/2020 10:30 AM</t>
  </si>
  <si>
    <t>23/06/2020 2:15 PM</t>
  </si>
  <si>
    <t>01/07/2020 5:00 PM</t>
  </si>
  <si>
    <t>07/07/2020 11:15 AM</t>
  </si>
  <si>
    <t>19/06/2020 2:45 PM</t>
  </si>
  <si>
    <t>19/06/2020 2:00 AM</t>
  </si>
  <si>
    <t>23/06/2020 7:00 AM</t>
  </si>
  <si>
    <t>25/06/2020 5:05 PM</t>
  </si>
  <si>
    <t>30/06/2020 3:00 PM</t>
  </si>
  <si>
    <t>19/06/2020 10:30 AM</t>
  </si>
  <si>
    <t>18/06/2020 2:00 AM</t>
  </si>
  <si>
    <t>19/06/2020 9:30 AM</t>
  </si>
  <si>
    <t>02/07/2020 8:00 AM</t>
  </si>
  <si>
    <t>23/06/2020 9:05 AM</t>
  </si>
  <si>
    <t>18/06/2020 3:00 PM</t>
  </si>
  <si>
    <t>23/06/2020 1:12 AM</t>
  </si>
  <si>
    <t>19/06/2020 8:00 PM</t>
  </si>
  <si>
    <t>16/07/2020 1:00 PM</t>
  </si>
  <si>
    <t>22/07/2020 9:00 AM</t>
  </si>
  <si>
    <t>23/06/2020 2:30 PM</t>
  </si>
  <si>
    <t>08/07/2020 10:10 AM</t>
  </si>
  <si>
    <t>18/06/2020 1:30 PM</t>
  </si>
  <si>
    <t>16/07/2020 12:00 PM</t>
  </si>
  <si>
    <t>26/06/2020 11:00 AM</t>
  </si>
  <si>
    <t>24/06/2020 10:30 AM</t>
  </si>
  <si>
    <t>06/07/2020 1:30 AM</t>
  </si>
  <si>
    <t>02/07/2020 10:00 AM</t>
  </si>
  <si>
    <t>26/06/2020 4:00 PM</t>
  </si>
  <si>
    <t>08/07/2020 2:00 AM</t>
  </si>
  <si>
    <t>03/08/2020 1:30 PM</t>
  </si>
  <si>
    <t>06/07/2020 8:59 AM</t>
  </si>
  <si>
    <t>06/07/2020 10:30 AM</t>
  </si>
  <si>
    <t>18/06/2020 4:00 PM</t>
  </si>
  <si>
    <t>23/06/2020 10:30 AM</t>
  </si>
  <si>
    <t>29/06/2020 2:02 PM</t>
  </si>
  <si>
    <t>30/06/2020 8:00 AM</t>
  </si>
  <si>
    <t>17/07/2020 1:00 AM</t>
  </si>
  <si>
    <t>19/06/2020 9:01 AM</t>
  </si>
  <si>
    <t>07/07/2020 2:00 AM</t>
  </si>
  <si>
    <t>23/06/2020 9:45 AM</t>
  </si>
  <si>
    <t>03/07/2020 11:59 PM</t>
  </si>
  <si>
    <t>15/07/2020 5:00 PM</t>
  </si>
  <si>
    <t>15/07/2020 10:00 AM</t>
  </si>
  <si>
    <t>22/07/2020 2:00 PM</t>
  </si>
  <si>
    <t>15/07/2020 2:01 PM</t>
  </si>
  <si>
    <t>23/07/2020 10:00 AM</t>
  </si>
  <si>
    <t>23/07/2020 9:00 AM</t>
  </si>
  <si>
    <t>23/07/2020 1:00 PM</t>
  </si>
  <si>
    <t>22/06/2020 7:00 AM</t>
  </si>
  <si>
    <t>23/07/2020 2:00 PM</t>
  </si>
  <si>
    <t>29/06/2020 4:00 PM</t>
  </si>
  <si>
    <t>29/06/2020 3:00 PM</t>
  </si>
  <si>
    <t>18/06/2020 3:00 AM</t>
  </si>
  <si>
    <t>18/06/2020 5:00 AM</t>
  </si>
  <si>
    <t>22/06/2020 1:01 AM</t>
  </si>
  <si>
    <t>18/06/2020 1:36 PM</t>
  </si>
  <si>
    <t>18/06/2020 12:54 PM</t>
  </si>
  <si>
    <t>22/06/2020 8:00 PM</t>
  </si>
  <si>
    <t>22/06/2020 9:00 PM</t>
  </si>
  <si>
    <t>02/07/2020 3:00 PM</t>
  </si>
  <si>
    <t>29/06/2020 12:00 PM</t>
  </si>
  <si>
    <t>29/06/2020 8:00 AM</t>
  </si>
  <si>
    <t>02/07/2020 9:00 AM</t>
  </si>
  <si>
    <t>01/07/2020 9:30 AM</t>
  </si>
  <si>
    <t>07/07/2020 11:00 PM</t>
  </si>
  <si>
    <t>19/06/2020 11:59 PM</t>
  </si>
  <si>
    <t>03/07/2020 1:30 PM</t>
  </si>
  <si>
    <t>18/06/2020 9:30 AM</t>
  </si>
  <si>
    <t>02/07/2020 9:30 AM</t>
  </si>
  <si>
    <t>01/07/2020 1:30 PM</t>
  </si>
  <si>
    <t>18/06/2020 12:00 AM</t>
  </si>
  <si>
    <t>02/07/2020 2:00 PM</t>
  </si>
  <si>
    <t>18/06/2020 1:45 PM</t>
  </si>
  <si>
    <t>19/06/2020 11:00 PM</t>
  </si>
  <si>
    <t>30/06/2020 2:30 PM</t>
  </si>
  <si>
    <t>08/07/2020 8:30 AM</t>
  </si>
  <si>
    <t>03/07/2020 10:30 AM</t>
  </si>
  <si>
    <t>01/07/2020 11:00 PM</t>
  </si>
  <si>
    <t>03/07/2020 8:30 AM</t>
  </si>
  <si>
    <t>01/07/2020 11:00 AM</t>
  </si>
  <si>
    <t>03/07/2020 3:00 PM</t>
  </si>
  <si>
    <t>02/07/2020 9:45 AM</t>
  </si>
  <si>
    <t>01/07/2020 4:00 PM</t>
  </si>
  <si>
    <t>13/07/2020 1:00 AM</t>
  </si>
  <si>
    <t>03/07/2020 3:30 PM</t>
  </si>
  <si>
    <t>25/06/2020 11:30 AM</t>
  </si>
  <si>
    <t>06/07/2020 3:00 PM</t>
  </si>
  <si>
    <t>02/07/2020 10:50 AM</t>
  </si>
  <si>
    <t>17/07/2020 10:00 AM</t>
  </si>
  <si>
    <t>22/06/2020 1:02 PM</t>
  </si>
  <si>
    <t>19/06/2020 1:11 AM</t>
  </si>
  <si>
    <t>18/06/2020 11:00 AM</t>
  </si>
  <si>
    <t>18/06/2020 2:30 PM</t>
  </si>
  <si>
    <t>02/07/2020 12:00 PM</t>
  </si>
  <si>
    <t>02/07/2020 2:30 PM</t>
  </si>
  <si>
    <t>30/06/2020 9:30 AM</t>
  </si>
  <si>
    <t>30/06/2020 9:15 AM</t>
  </si>
  <si>
    <t>30/06/2020 10:15 AM</t>
  </si>
  <si>
    <t>03/07/2020 9:30 AM</t>
  </si>
  <si>
    <t>14/07/2020 1:30 PM</t>
  </si>
  <si>
    <t>26/06/2020 9:30 AM</t>
  </si>
  <si>
    <t>18/06/2020 1:09 AM</t>
  </si>
  <si>
    <t>18/06/2020 1:10 AM</t>
  </si>
  <si>
    <t>29/06/2020 11:30 AM</t>
  </si>
  <si>
    <t>18/06/2020 8:30 AM</t>
  </si>
  <si>
    <t>25/06/2020 1:30 PM</t>
  </si>
  <si>
    <t>17/07/2020 12:30 PM</t>
  </si>
  <si>
    <t>30/06/2020 8:30 AM</t>
  </si>
  <si>
    <t>25/06/2020 1:30 AM</t>
  </si>
  <si>
    <t>18/06/2020 10:30 AM</t>
  </si>
  <si>
    <t>03/07/2020 11:00 AM</t>
  </si>
  <si>
    <t>18/06/2020 10:10 AM</t>
  </si>
  <si>
    <t>01/07/2020 11:59 PM</t>
  </si>
  <si>
    <t>01/07/2020 1:09 AM</t>
  </si>
  <si>
    <t>18/06/2020 11:30 AM</t>
  </si>
  <si>
    <t>06/07/2020 5:00 AM</t>
  </si>
  <si>
    <t>30/06/2020 12:00 PM</t>
  </si>
  <si>
    <t>23/06/2020 3:00 AM</t>
  </si>
  <si>
    <t>30/06/2020 1:30 PM</t>
  </si>
  <si>
    <t>30/06/2020 5:00 AM</t>
  </si>
  <si>
    <t>02/07/2020 10:30 AM</t>
  </si>
  <si>
    <t>30/06/2020 11:30 AM</t>
  </si>
  <si>
    <t>30/06/2020 2:05 PM</t>
  </si>
  <si>
    <t>02/07/2020 1:30 PM</t>
  </si>
  <si>
    <t>19/06/2020 9:31 AM</t>
  </si>
  <si>
    <t>19/06/2020 2:30 PM</t>
  </si>
  <si>
    <t>02/07/2020 12:30 PM</t>
  </si>
  <si>
    <t>01/07/2020 8:59 AM</t>
  </si>
  <si>
    <t>22/06/2020 1:30 AM</t>
  </si>
  <si>
    <t>21/07/2020 9:00 AM</t>
  </si>
  <si>
    <t>21/07/2020 2:00 PM</t>
  </si>
  <si>
    <t>21/07/2020 1:00 PM</t>
  </si>
  <si>
    <t>21/07/2020 10:00 AM</t>
  </si>
  <si>
    <t>18/06/2020 7:00 AM</t>
  </si>
  <si>
    <t>21/07/2020 3:00 PM</t>
  </si>
  <si>
    <t>30/06/2020 10:30 AM</t>
  </si>
  <si>
    <t>30/07/2020 9:00 AM</t>
  </si>
  <si>
    <t>01/07/2020 8:50 AM</t>
  </si>
  <si>
    <t>01/07/2020 9:50 AM</t>
  </si>
  <si>
    <t>01/07/2020 10:50 AM</t>
  </si>
  <si>
    <t>17/07/2020 12:00 PM</t>
  </si>
  <si>
    <t>25/06/2020 10:30 AM</t>
  </si>
  <si>
    <t>01/07/2020 12:50 PM</t>
  </si>
  <si>
    <t>01/07/2020 1:50 PM</t>
  </si>
  <si>
    <t>03/07/2020 3:00 AM</t>
  </si>
  <si>
    <t>06/07/2020 1:29 PM</t>
  </si>
  <si>
    <t>29/06/2020 9:15 AM</t>
  </si>
  <si>
    <t>29/06/2020 8:30 AM</t>
  </si>
  <si>
    <t>27/07/2020 2:00 PM</t>
  </si>
  <si>
    <t>10/07/2020 1:30 PM</t>
  </si>
  <si>
    <t>03/07/2020 5:00 PM</t>
  </si>
  <si>
    <t>29/06/2020 1:45 PM</t>
  </si>
  <si>
    <t>29/06/2020 3:45 PM</t>
  </si>
  <si>
    <t>18/06/2020 2:05 PM</t>
  </si>
  <si>
    <t>30/06/2020 8:59 AM</t>
  </si>
  <si>
    <t>29/06/2020 10:05 AM</t>
  </si>
  <si>
    <t>13/07/2020 12:00 PM</t>
  </si>
  <si>
    <t>29/06/2020 2:15 PM</t>
  </si>
  <si>
    <t>30/06/2020 2:10 PM</t>
  </si>
  <si>
    <t>30/06/2020 1:59 PM</t>
  </si>
  <si>
    <t>30/06/2020 4:00 PM</t>
  </si>
  <si>
    <t>25/06/2020 8:30 AM</t>
  </si>
  <si>
    <t>10/07/2020 10:30 AM</t>
  </si>
  <si>
    <t>26/06/2020 5:00 AM</t>
  </si>
  <si>
    <t>19/06/2020 9:15 AM</t>
  </si>
  <si>
    <t>29/06/2020 9:30 AM</t>
  </si>
  <si>
    <t>29/07/2020 9:00 AM</t>
  </si>
  <si>
    <t>29/06/2020 9:45 AM</t>
  </si>
  <si>
    <t>30/06/2020 1:45 PM</t>
  </si>
  <si>
    <t>16/07/2020 10:00 AM</t>
  </si>
  <si>
    <t>10/07/2020 5:00 PM</t>
  </si>
  <si>
    <t>29/06/2020 2:30 PM</t>
  </si>
  <si>
    <t>23/06/2020 9:59 AM</t>
  </si>
  <si>
    <t>06/07/2020 2:00 AM</t>
  </si>
  <si>
    <t>29/06/2020 2:00 AM</t>
  </si>
  <si>
    <t>30/06/2020 2:00 AM</t>
  </si>
  <si>
    <t>30/06/2020 3:00 AM</t>
  </si>
  <si>
    <t>29/07/2020 9:30 AM</t>
  </si>
  <si>
    <t>08/07/2020 12:00 PM</t>
  </si>
  <si>
    <t>29/06/2020 5:00 AM</t>
  </si>
  <si>
    <t>29/06/2020 2:10 PM</t>
  </si>
  <si>
    <t>30/06/2020 8:45 AM</t>
  </si>
  <si>
    <t>30/06/2020 11:59 PM</t>
  </si>
  <si>
    <t>29/06/2020 12:30 PM</t>
  </si>
  <si>
    <t>06/07/2020 4:00 PM</t>
  </si>
  <si>
    <t>29/06/2020 8:45 AM</t>
  </si>
  <si>
    <t>22/06/2020 8:45 AM</t>
  </si>
  <si>
    <t>09/07/2020 3:00 PM</t>
  </si>
  <si>
    <t>20/07/2020 10:00 AM</t>
  </si>
  <si>
    <t>25/06/2020 1:59 PM</t>
  </si>
  <si>
    <t>24/06/2020 9:59 AM</t>
  </si>
  <si>
    <t>26/06/2020 2:30 PM</t>
  </si>
  <si>
    <t>02/07/2020 5:00 PM</t>
  </si>
  <si>
    <t>20/07/2020 1:00 PM</t>
  </si>
  <si>
    <t>20/07/2020 9:00 AM</t>
  </si>
  <si>
    <t>20/07/2020 3:00 PM</t>
  </si>
  <si>
    <t>25/06/2020 9:59 AM</t>
  </si>
  <si>
    <t>24/06/2020 1:01 PM</t>
  </si>
  <si>
    <t>25/06/2020 5:00 AM</t>
  </si>
  <si>
    <t>18/06/2020 6:00 PM</t>
  </si>
  <si>
    <t>23/06/2020 5:00 AM</t>
  </si>
  <si>
    <t>23/06/2020 9:01 AM</t>
  </si>
  <si>
    <t>22/06/2020 3:30 PM</t>
  </si>
  <si>
    <t>23/06/2020 10:00 PM</t>
  </si>
  <si>
    <t>29/06/2020 1:12 PM</t>
  </si>
  <si>
    <t>22/06/2020 10:01 AM</t>
  </si>
  <si>
    <t>18/06/2020 3:30 PM</t>
  </si>
  <si>
    <t>23/06/2020 2:30 AM</t>
  </si>
  <si>
    <t>23/06/2020 12:30 PM</t>
  </si>
  <si>
    <t>24/06/2020 8:59 AM</t>
  </si>
  <si>
    <t>23/06/2020 4:30 PM</t>
  </si>
  <si>
    <t>23/06/2020 10:45 AM</t>
  </si>
  <si>
    <t>23/06/2020 10:01 AM</t>
  </si>
  <si>
    <t>23/06/2020 8:50 AM</t>
  </si>
  <si>
    <t>23/06/2020 1:59 PM</t>
  </si>
  <si>
    <t>27/07/2020 5:00 PM</t>
  </si>
  <si>
    <t>23/06/2020 9:50 AM</t>
  </si>
  <si>
    <t>04/08/2020 10:00 AM</t>
  </si>
  <si>
    <t>23/06/2020 1:45 AM</t>
  </si>
  <si>
    <t>26/06/2020 11:30 AM</t>
  </si>
  <si>
    <t>23/06/2020 1:45 PM</t>
  </si>
  <si>
    <t>23/06/2020 9:29 AM</t>
  </si>
  <si>
    <t>22/06/2020 9:59 AM</t>
  </si>
  <si>
    <t>22/06/2020 1:55 PM</t>
  </si>
  <si>
    <t>22/06/2020 2:01 PM</t>
  </si>
  <si>
    <t>22/06/2020 12:30 PM</t>
  </si>
  <si>
    <t>19/06/2020 10:00 PM</t>
  </si>
  <si>
    <t>23/06/2020 9:25 AM</t>
  </si>
  <si>
    <t>16/07/2020 2:00 PM</t>
  </si>
  <si>
    <t>02/07/2020 12:00 AM</t>
  </si>
  <si>
    <t>24/06/2020 9:00 PM</t>
  </si>
  <si>
    <t>21/01/2021 10:00 AM</t>
  </si>
  <si>
    <t>31/12/2020 9:00 AM</t>
  </si>
  <si>
    <t>01/07/2021 9:00 AM</t>
  </si>
  <si>
    <t>23/09/2020 1:00 AM</t>
  </si>
  <si>
    <t>07/10/2020 10:00 AM</t>
  </si>
  <si>
    <t>30/07/2020 2:00 PM</t>
  </si>
  <si>
    <t>31/12/2020 1:00 AM</t>
  </si>
  <si>
    <t>09/07/2020 1:00 AM</t>
  </si>
  <si>
    <t>10/07/2020 1:00 AM</t>
  </si>
  <si>
    <t>06/07/2020 1:15 PM</t>
  </si>
  <si>
    <t>13/07/2020 1:05 PM</t>
  </si>
  <si>
    <t>18/06/2020 1:15 PM</t>
  </si>
  <si>
    <t>17/07/2020 9:00 AM</t>
  </si>
  <si>
    <t>02/07/2020 1:15 PM</t>
  </si>
  <si>
    <t>24/08/2020 12:00 PM</t>
  </si>
  <si>
    <t>19/06/2020 11:30 AM</t>
  </si>
  <si>
    <t>29/06/2020 1:20 PM</t>
  </si>
  <si>
    <t>15/07/2020 11:00 AM</t>
  </si>
  <si>
    <t>09/07/2020 10:01 AM</t>
  </si>
  <si>
    <t>23/06/2020 2:01 PM</t>
  </si>
  <si>
    <t>05/10/2020 9:30 AM</t>
  </si>
  <si>
    <t>28/08/2020 10:00 AM</t>
  </si>
  <si>
    <t>01/07/2020 1:45 PM</t>
  </si>
  <si>
    <t>01/07/2020 1:15 PM</t>
  </si>
  <si>
    <t>24/06/2020 1:45 PM</t>
  </si>
  <si>
    <t>24/06/2020 2:45 PM</t>
  </si>
  <si>
    <t>24/06/2020 2:15 PM</t>
  </si>
  <si>
    <t>01/07/2020 2:15 PM</t>
  </si>
  <si>
    <t>06/07/2020 1:45 PM</t>
  </si>
  <si>
    <t>24/06/2020 1:15 PM</t>
  </si>
  <si>
    <t>18/06/2020 2:02 PM</t>
  </si>
  <si>
    <t>01/09/2020 9:00 AM</t>
  </si>
  <si>
    <t>19/06/2020 2:01 PM</t>
  </si>
  <si>
    <t>22/07/2020 10:00 AM</t>
  </si>
  <si>
    <t xml:space="preserve"> Republic of the Philippines BARANGAY SABANG OFFICE OF THE PUNONG BARANGAY BIDS AND AWARDS COMMITTEE INVITATION TO BID The Barangay Government of BARANGAY SABANG through its Bids and Awards Committee (BAC), invites suppliers/manufacturers/distributors to b</t>
  </si>
  <si>
    <t xml:space="preserve"> see attached file</t>
  </si>
  <si>
    <t xml:space="preserve"> Republic of the Philippines Province of La Union Municipality of Sudipen BIDS AND AWARDS COMMITTEE Invitation to Bid for  REHABILITATION OF SAN JOSE - CASTRO ROAD (SAN JOSE SECTION) LOCATED AT BARANGAY SAN JOSE, SUDIPEN, LA UNION 1. The MUNICIPALITY OF SU</t>
  </si>
  <si>
    <t xml:space="preserve"> school forms (form 138)</t>
  </si>
  <si>
    <t xml:space="preserve"> I. BILLBOARD AND SIGNAGE.................................................1.00SET II. EXCAVATION...............................................................30.00CU.M. III. REINFORCING STEEL BARS...........................................................</t>
  </si>
  <si>
    <t xml:space="preserve"> Republic of the Philippines Province of La Union Municipality of Sudipen BIDS AND AWARDS COMMITTEE Invitation to Bid for  REHABILITATION OF CASTRO – PORPORIKET ROAD LOCATED AT BARANGAY CASTRO &amp; PORPORIKET, SUDIPEN, LA UNION 1. The MUNICIPALITY OF SUDIPEN,</t>
  </si>
  <si>
    <t xml:space="preserve"> HK vision dome camera , 5mp, 20meter IR</t>
  </si>
  <si>
    <t xml:space="preserve"> Republic of the Philippines Province of La Union Municipality of Sudipen BIDS AND AWARDS COMMITTEE Invitation to Bid for  CONCRETE PAVING OF FARM TO MARKET ROAD (SITIO GUDEL) LOCATED AT BARANGAY NAMALTUGAN, SUDIPEN, LA UNION 1. The MUNICIPALITY OF SUDIPEN</t>
  </si>
  <si>
    <t xml:space="preserve"> Republic of the Philippines Province of La Union Municipality of Sudipen BIDS AND AWARDS COMMITTEE Invitation to Bid for  REHABILITATION OF FARM TO MARKET ROAD (SITIO BITTAO) LOCATED AT BARANGAY DUPLAS, SUDIPEN, LA UNION 1. The MUNICIPALITY OF SUDIPEN, LA</t>
  </si>
  <si>
    <t xml:space="preserve"> OFFICE SUPPLIES</t>
  </si>
  <si>
    <t xml:space="preserve"> INVITATION TO BID 2020-CS-04 The Department of Public Works and Highways QUEZON III DISTRICT ENGINEERING OFFICE, Catanauan, Quezon, through the FY2020 PDE FUND intends to apply the amount of ₱ ₱2,030,000.00 being the Approved Budget for the Contract (ABC)</t>
  </si>
  <si>
    <t xml:space="preserve"> school supplies for pupils</t>
  </si>
  <si>
    <t xml:space="preserve"> PRINTING OF LEARNING MODULES FROM  JUNE 2020- DECEMBER 2020 (Weekly DLP)  TOTAL BUDGET: 233,042.30</t>
  </si>
  <si>
    <t xml:space="preserve"> printing/reproduction of reports</t>
  </si>
  <si>
    <t xml:space="preserve"> 20CSAE01: SUBSURFACE EXPLORATION FOR THE PROPOSED 2021 PROJECTS WITHIN THE FIRST DISTRICT OF LA UNION Republic of the Philippines DEPARTMENT OF PUBLIC WORKS AND HIGHWAYS LA UNION 1ST DISTRICT ENGINEERING OFFICE REGIONAL OFFICE I Lingsat, City of San Ferna</t>
  </si>
  <si>
    <t xml:space="preserve"> medical and dental supplies</t>
  </si>
  <si>
    <t xml:space="preserve"> Republic of the Philippines Province of Iloilo BIDS AND AWARDS COMMITTEE INVITATION TO BID Purchase of Kitchenware Bid No. AGR-20-0338-B 1. The Iloilo Provincial Government, through the   General Fund CY 2020 intends to apply the sum of ONE HUNDRED THOUSA</t>
  </si>
  <si>
    <t xml:space="preserve"> Item I	-174.00 sq.m. Finishing and Other Interior Fit-Out Works Item II	-1.00 lot Provision of President’s Office Pantry Item III	-1.00 lot Provision of Toilet and Bath Fixtures Item IV	-1.00 lot Electrical Works</t>
  </si>
  <si>
    <t xml:space="preserve"> Republic of the Philippines Province of La Union Municipality of Sudipen BIDS AND AWARDS COMMITTEE Invitation to Bid for  REHABILITATION OF FARM TO MARKET ROAD (NAMALTUGAN – UP-UPLAS ROAD) LOCATED AT BARANGAY UP-UPLAS, SUDIPEN, LA UNION 1. The MUNICIPALIT</t>
  </si>
  <si>
    <t xml:space="preserve"> catering services</t>
  </si>
  <si>
    <t xml:space="preserve"> Republic of the Philippines Province of Iloilo BIDS AND AWARDS COMMITTEE INVITATION TO BID Purchase of Agricultural Supplies and Materials Bid No. AGR-20-0347-B 1. The Iloilo Provincial Government, through the    General Fund 2020 intends to apply the sum</t>
  </si>
  <si>
    <t xml:space="preserve"> PROPOSED DRAINAGE WITH ROAD WIDENING Zone 6 San Rafael Cararayan, Naga City P250,000.00</t>
  </si>
  <si>
    <t xml:space="preserve"> PROPOSED ROAD CONCRETING SITIO LANGON ABC: 14 DAYS</t>
  </si>
  <si>
    <t xml:space="preserve"> INVITATION TO BID 2020-CS-05 The Department of Public Works and Highways QUEZON III DISTRICT ENGINEERING OFFICE, Catanauan, Quezon, through the FY2020 PDE FUND intends to apply the amount of ₱ ₱1,000,000.00 being the Approved Budget for the Contract (ABC)</t>
  </si>
  <si>
    <t xml:space="preserve"> Republic of the Philippines Province of La Union Municipality of Sudipen BIDS AND AWARDS COMMITTEE Invitation to Bid for  CONCRETE PAVING OF FARM TO MARKET ROAD (SITIO MINDANAO) LOCATED AT BARANGAY NAMALTUGAN, SUDIPEN, LA UNION 1. The MUNICIPALITY OF SUDI</t>
  </si>
  <si>
    <t xml:space="preserve"> PROPOSED PATHWALK Zone 7 San Rafael Cararayan, Naga City ABC:P135,000.00</t>
  </si>
  <si>
    <t xml:space="preserve"> Printing Services of Learners Modules for First to Second Quarter SY 2020-2021 (WEEKLY DLP)   (June- DECEMBER 2020 )  Buget : Php 257,353.99</t>
  </si>
  <si>
    <t xml:space="preserve"> Item Description........................................Quantity...............................Unit of Issue 4 x 2, Six Wheeler, Mounted with.....................1..........................................Unit 5.5 cu.m. Dump Truck Body GCM Rating: 16,000 </t>
  </si>
  <si>
    <t xml:space="preserve"> 2020 KES MOOE SHOPPING</t>
  </si>
  <si>
    <t xml:space="preserve"> 100 pcs. Corrugated Box - brown - collapsible - 32 x 26 x 47 cm. - rectangular 7,062 pcs. Sharpener for Pencil Lead No. 2 - single hole - metal 5,098 pcs. Shoelace - 1 meter - round 100 reams Bond Paper - F4 size 8.27" x 13" - 70 gsm</t>
  </si>
  <si>
    <t xml:space="preserve"> Construction of pathway sitio peña</t>
  </si>
  <si>
    <t xml:space="preserve"> *2 spots per day for 4 months and 1 week Total spots - 246</t>
  </si>
  <si>
    <t xml:space="preserve"> Republic of the Philippines DEPARTMENT OF PUBLIC WORKS AND HIGHWAYS NEGROS OCCIDENTAL 1ST DISTRICT ENGINEERING OFFICE Region VI Matab-ang, Talisay City, Negros Occidental INVITATION TO BID  The Department of Public Works and Highways Negros Occidental 1st</t>
  </si>
  <si>
    <t xml:space="preserve"> INVITATION TO BID 2020-CS-06 The Department of Public Works and Highways QUEZON III DISTRICT ENGINEERING OFFICE, Catanauan, Quezon, through the FY2020 PDE FUND intends to apply the amount of ₱ ₱1,050,000.00 being the Approved Budget for the Contract (ABC)</t>
  </si>
  <si>
    <t xml:space="preserve"> *4 spots per day for 4 months Total spots - 320</t>
  </si>
  <si>
    <t xml:space="preserve"> Construction of Extension Building of Municipal Hall  (Treasury)</t>
  </si>
  <si>
    <t xml:space="preserve"> Republic of the Philippines Municipality of Tabuelan Invitation to Bid  The Philippine Government Electronic Procurement System Office – Procurement Service invites PhilGEPS registered suppliers to bid for the hereunder items Attached: Bidding will be con</t>
  </si>
  <si>
    <t xml:space="preserve"> Republic of the Philippines Province of La Union Municipality of Sudipen BIDS AND AWARDS COMMITTEE Invitation to Bid for  REHABILITATION OF FARM TO MARKET ROAD LOCATED AT BARANGAY SAN FRANCISCO NORTE, SUDIPEN, LA UNION 1. The MUNICIPALITY OF SUDIPEN, LA U</t>
  </si>
  <si>
    <t xml:space="preserve"> Republic of the Philippines BIDS AND AWARDS COMMITTEE Province of Iloilo Invitation to Bid PURCHASE OF I.V. FLUIDS Bid No. SDH-20-0364-B 1. The Iloilo Provincial Government, through the GENERAL FUND 2020 intends to apply the sum of ONE MILLION FIVE HUNDRE</t>
  </si>
  <si>
    <t xml:space="preserve"> Republic of the Philippines Province of La Union Municipality of Sudipen BIDS AND AWARDS COMMITTEE Invitation to Bid for  REHABILITATION OF FARM TO MARKET ROAD LOCATED AT BARANGAY BIGBIGA, SUDIPEN, LA UNION 1. The MUNICIPALITY OF SUDIPEN, LA UNION, throug</t>
  </si>
  <si>
    <t xml:space="preserve"> NEGOTIATED PROCUREMENT - (SMALL VALUE PROCUREMENT) SUPPLY AND DELIVERY OF 7.2KW GENERATOR SET (DIESEL)</t>
  </si>
  <si>
    <t xml:space="preserve"> REQUEST FOR EXPRESSION OF INTEREST (REOI) FOR CONSULTING SERVICES  19CSK00041 – Consultancy Services for the Conduct of Geotechnical &amp; Geological Investigation and Survey Works for the Proposed Construction of Sabo Dam on Upper and Lower Dinanggasan River</t>
  </si>
  <si>
    <t xml:space="preserve"> Construction of drainage canal P-1,2&amp;4</t>
  </si>
  <si>
    <t xml:space="preserve"> Planting Materials (Seedlings) Langka Lansones Macapuno Rambotan</t>
  </si>
  <si>
    <t xml:space="preserve"> Procurement of Hydraulic Breaker and Hydraulic Grapple for use at EMD (PR No. 20-05-103 dated 5/29/2020), DPWH Regional Office No. V, Rawis, Legazpi City</t>
  </si>
  <si>
    <t xml:space="preserve"> Rehab./Improvement of Multi-Purpose Hall P-3</t>
  </si>
  <si>
    <t xml:space="preserve"> Rehabilitation of Barangay Road</t>
  </si>
  <si>
    <t xml:space="preserve"> PURCHASE OF 129-PCS OF RAPID TEST KIT  USE FOR THE PREVENTION OF COVID-19 AMOUNTING ONE HUNDRED TWENTY NINE THOUSAND PESOS ( PHP 129,000.00) CHARGEABLE UNDER BAYANIHAN GRANT TO CITIES AND MUNICIPALITIES FUND.</t>
  </si>
  <si>
    <t xml:space="preserve"> INVITATION TO BID FOR THE Procurement of Various Chemical and Filtering Supplies (450 bottles Lambda Cyhalothrin (500ml/bot) et al..) 1. The Department of Agriculture-Regional Field Office 7, through the GAA 2020 intends to apply the sum of Four Million E</t>
  </si>
  <si>
    <t xml:space="preserve"> 5 pcs 1 1/2 GI Pipe sche.40 20 pcs 12mm plain round bar 5 kilo welding rod 8 pcs 3/4 cylindrical hinges 1 gal primer gray paint 180 bags cement 50 pcs 10mm def. bar 25 pcs 1/4x1 angle bar 1 roll tie wire #16 5 cu.m. mixing sand 3 cu.m. mixing gravel 3 pcs</t>
  </si>
  <si>
    <t xml:space="preserve"> REQUEST TO SUBMIT BEST AND FINAL OFFER  DUE TO TWO FAILED BIDDINGS UNDER NEGOTIATED CONTRACT (Fuel Deposit for Lot 2 – 3,060.11 liters Diesel in Sorsogon, Lot 3 – 3,060.11 liters Diesel in Catanduanes and Lot 4 – 3,060.11 liters Diesel in Masbate for use </t>
  </si>
  <si>
    <t xml:space="preserve"> Procurement Terms and Conditions 1. The Total Approved Budget for the Contract (ABC) is Php85,000.00 2. Price quotation should be include of the required tax obligations. 3. Delivery period as stated in the Notice of Award (NOA) 4. Place of delivery: ESSU</t>
  </si>
  <si>
    <t xml:space="preserve"> Republic of the Philippines Department of Education Region VII, Central Visayas DIVISION OF CARCAR CITY P. Nellas St., Poblacion III, City of Carcar BIDS AND AWARDS COMMITTEE REQUEST FOR QUOTATION The DepEd Carcar City Division invites all interested supp</t>
  </si>
  <si>
    <t xml:space="preserve"> Area of Delivery: Davao City Approved Budget: P108,000.00                            Monday to Saturday (7:00 am to 7:00 pm)                            Excluding Holidays Contract Period : July 1 to December 31, 2020 (6 months)</t>
  </si>
  <si>
    <t xml:space="preserve"> SEE ATTACHED DOCUMENTS...</t>
  </si>
  <si>
    <t xml:space="preserve"> GENERATOR SET, AIRCON WINDOW TYPE, PHOTOCOPIER MACHINE</t>
  </si>
  <si>
    <t xml:space="preserve"> For the Project MODERNIZATION OF LABORATORY EQUIPMENT FOR BACHELOR OF SCIENCE IN ELECTRICAL ENGINEERING  Invitation to Bid No. 2020-007 1.	The Tarlac State University, through the Trust Fund (TF) intends to apply the sum of Ten Million Pesos (P 10,000,000</t>
  </si>
  <si>
    <t xml:space="preserve"> Republic of the Philippines BIDS AND AWARDS COMMITTEE Province of Iloilo Invitation to Bid PURCHASE OF DRUGS AND MEDICINES Bid No. SDH-20-0361-B 1. The Iloilo Provincial Government, through the GENERAL FUND 2020 intends to apply the sum of THREE MILLION O</t>
  </si>
  <si>
    <t xml:space="preserve"> Construction of Concrete Footwalk</t>
  </si>
  <si>
    <t xml:space="preserve"> Area of Delivery:  Davao City Approved Budget : P75,000.00 Contract Period: July 1 to December 31, 2020                          Monday to Friday (7:00 am to 4:00 pm), Saturday (halfday)</t>
  </si>
  <si>
    <t xml:space="preserve"> INVITATION TO BID FOR THE Procurement of *3,600 packs of PHROMONE LURE (5 sachets/pack) 1. The Department of Agriculture-Regional Field Office 7, through the GAA 2020 intends to apply the sum of Two Million Three Hundred Forty Thousand Pesos (₱ 2,340,000.</t>
  </si>
  <si>
    <t xml:space="preserve"> GENERATOR SET, AIRCON WIONDOW TYPE, PHOTOCOPIER MACHINE</t>
  </si>
  <si>
    <t xml:space="preserve"> Republic of the Philippines Province of Davao Oriental Municipality of Boston BIDS AND AWARDS COMMITTEE I N V I T A T I O N   T O   B I D  REHABILITATION OF LOCAL ROADS Sitio Napo, Caatihan, Boston, Davao Oriental 1.	The Municipality of Boston, through Ap</t>
  </si>
  <si>
    <t xml:space="preserve"> ICT EQUIPMENT</t>
  </si>
  <si>
    <t xml:space="preserve"> ITB / BOQ</t>
  </si>
  <si>
    <t xml:space="preserve"> June 15, 2020 INVITATION TO BID 1.	The Department of Public Works and Highways, Mindoro Occidental District Engineering Office, Mamburao, Occidental Mindoro, through the General Appropriations Act intends to apply the sum of the Approved Budget for the Co</t>
  </si>
  <si>
    <t xml:space="preserve"> City Government of Manila INVITATION TO BID NO. 2020-06-89 Procurement of 92,500 pcs. Birthday Cake for the period July to December 31, 2020 1.	The City Government of Manila, through the General Fund CY 2020 – Other Maintenance and Operating Expenses inte</t>
  </si>
  <si>
    <t xml:space="preserve"> GENERATOR SET, AIRCON (WINDOW TYPE), PHOTOCOPIER MACHINE</t>
  </si>
  <si>
    <t xml:space="preserve"> INFORMATION TECHNOLOGY</t>
  </si>
  <si>
    <t xml:space="preserve"> GENERATOR SET, AIRCON SPLIT TYPE, PHOTOCOPIER MACHINE</t>
  </si>
  <si>
    <t xml:space="preserve"> Republic of the Philippines Province of Guimaras OFFICE OF THE BIDS AND AWARDS COMMITTEE INVITATION TO BID FOR    SUPPLY AND DELIVERY OF OFFICE SUPPLIES Bid Ref. No. 2020-06-342 1.	The Province of Guimaras , through the Office Supplies Expenses (5-02-03-0</t>
  </si>
  <si>
    <t xml:space="preserve"> Republic of the Philippines BIDS AND AWARDS COMMITTEE Province of Iloilo Invitation to Bid PURCHASE OF AMBULANCE WITH COMPLETE MEDICAL EQUIPMENT Bid No. HMO-20-0354-B 1. The Iloilo Provincial Government, through the 20% IRA 2019 intends to apply the sum o</t>
  </si>
  <si>
    <t xml:space="preserve"> INVITATION TO BID The Provincial Government of Palawan through its Bids and Awards Committee (BAC) invites suppliers/manufacturers/ distributors/contractors to apply for eligibility and to bid for the hereunder project. Name of the Project       : Procure</t>
  </si>
  <si>
    <t xml:space="preserve"> Republic of the Philippines Province of Cebu City of Toledo Barangay Don Andres Soriano Invitation to Bid for PROPOSED CONSTRUCTION OF DRAINAGE SYSTEM @ PUROK dascc  1.The BARANGAY DON ANDRES SORIANO, through its  20% Developmental Fund 2019 intends to ap</t>
  </si>
  <si>
    <t xml:space="preserve"> project billboard 1 lot surplus common excavation 118 cu.m. structural steel sheet piles, furnished 148 l.m. structural steel sheet piles, driven 138 l.m. reinforced steel bar, grade 40 700 kls. structural concrete class A 26 cu.m. stone masonry 7.50 cu.m</t>
  </si>
  <si>
    <t xml:space="preserve"> Republic of the Philippines Province of Cebu City of Toledo Barangay Don Andres Soriano Invitation to Bid for PROPOSED CONSTRUCTION OF PATHWAYS AT PUROK QCRO 1.The BARANGAY DON ANDRES SORIANO, through its  20% Developmental Fund 2019 intends to apply the </t>
  </si>
  <si>
    <t xml:space="preserve"> Republic of the Philippines PROVINCE OF AKLAN Kalibo -oOo- BIDS AND AWARDS COMMITTEE (BAC) INVITATION TO BID 1.	The Provincial   Government   of   Aklan, through   20% IRA Development Fund CY 2020 intends   to   apply   the   sum   of  Nine Hundred Sevent</t>
  </si>
  <si>
    <t xml:space="preserve"> 8 ream Book Paper (Short) 10 ream  Book Paper (Long) 2 Doz Ballpen (Faber-Castell 0.5mm Black) 3 Pcs Pentouch (Black) 24 pcs. Manila paper 16 pads Yellow Paper 50 Pcs Folder (Long) 7 Pcs Correction Tape 3 box Staple wire (No. 35-5mm) 1 Box Fastener 1 pc P</t>
  </si>
  <si>
    <t xml:space="preserve"> Please see and download the attachment</t>
  </si>
  <si>
    <t xml:space="preserve"> SUPPLY AND DELIVERY OF MATERIALS FOR THE CONSTRUCTION OF EVACUATION CENTER LOCATED AT BARANGAY NAMBARAN, SANTO DOMINGO, ILOCOS SUR.</t>
  </si>
  <si>
    <t xml:space="preserve"> Republic of the Philippines PROVINCE OF AKLAN Kalibo -oOo- BIDS AND AWARDS COMMITTEE (BAC) INVITATION TO BID 1.	The Provincial   Government   of   Aklan, through   5% PWD’s intends   to   apply   the   sum   of  Two Hundred Forty Thousand Pesos Only (Php </t>
  </si>
  <si>
    <t xml:space="preserve"> INVITATION TO APPLY FOR ELIGIBILITY AND TO BID The Municipality of San Pablo Province of Zamboanga del Sur, through its Bids and Awards Committee (BAC), invites all interested suppliers/manufacturers/distributors/contractors to apply for eligibility and t</t>
  </si>
  <si>
    <t xml:space="preserve"> Size: 14-1S" Memory: 1T RAM: 8G Processor: CORE; Series (Core i3-Coreis) Latest oDR4 RAM 2qhz  HDD or SSD</t>
  </si>
  <si>
    <t xml:space="preserve"> Republic of the Philippines PROVINCE OF AKLAN Kalibo -oOo- BIDS AND AWARDS COMMITTEE (BAC) INVITATION TO BID 1.	The Provincial   Government   of   Aklan, through   20% IRA Development Fund CY 2019 intends   to   apply   the   sum   of  Three Hundred Thous</t>
  </si>
  <si>
    <t xml:space="preserve"> Complete package of 9 units cctv cameras with DVR 16 channel, Inclusive of power supply and harddisk abd the complete accessories</t>
  </si>
  <si>
    <t xml:space="preserve"> Republic of the Philippines Province of Bukidnon MUNICIPALITY OF PANGANTUCAN TIN 099-000-631-170 OFFICE OF THE MUNICIPAL MAYOR Bids and Awards Committee (BAC) Cell # 09261024636  Email us: munpangantucanbukidnon@yahoo.com  or visit www.philgeps.net REQUES</t>
  </si>
  <si>
    <t xml:space="preserve"> Republic of the Philippines PROVINCE OF AKLAN Kalibo -oOo- BIDS AND AWARDS COMMITTEE (BAC) INVITATION TO BID 1.	The Provincial   Government   of   Aklan, through   Road Maintenance, MOOE Fund CY 2020 intends   to   apply   the   sum   of  Three Hundred Th</t>
  </si>
  <si>
    <t xml:space="preserve"> Republic of the Philippines Province of Guimaras OFFICE OF THE BIDS AND AWARDS COMMITTEE Invitation to Bid for  One Job Supply of Materials and  Labor for the Construction of Covered Court/GYM, Salvacion (Phase II) at Brgy. Salvacion, NuevaValencia with t</t>
  </si>
  <si>
    <t xml:space="preserve"> Republic of the Philippines Province of Guimaras OFFICE OF THE BIDS AND AWARDS COMMITTEE INVITATION TO BID FOR    SUPPLY AND DELIVERY OF MEDICAL EQUIPMENT Bid Ref. No. 2020-06-333 1.	The Province of Guimaras , through the 107-05-110 Capital Outlay Continu</t>
  </si>
  <si>
    <t xml:space="preserve"> REQUEST FOR QUOTATION								 						Date: _____________________		 								 PR No:	2020-06-15							 ABC:	Php 135,000.00							 NAME OF FIRM/DEALER/CONTRACTOR:   _____________________________							 ADDRESS:       								 TIN NO:     _____________________</t>
  </si>
  <si>
    <t xml:space="preserve"> Item Description........................................Quantity...............................Unit of Issue Bottle and Glass Crusher..................................1..........................................Unit Capacity..............................: </t>
  </si>
  <si>
    <t xml:space="preserve"> Republic of the Philippines Region XII Province of Cotabato City of Kidapawan OFFICE OF THE BIDS AND AWARD COMMITTEE REQUEST FOR QUOTATION (Shopping) 									 Date: June 17, 2020									                          Shopping No: S2020-06-050 The City Govern</t>
  </si>
  <si>
    <t xml:space="preserve"> 1.	The Municipality of Esperanza, through the Municipal &amp; Barangay Fund intends to apply the sum of Three Million Six Hundred Thousand Pesos (Php3,600,000.00) being the Approved Budget for the Contract (ABC) to payments under the contract for Construction</t>
  </si>
  <si>
    <t xml:space="preserve"> 4 pcs GI pipe 2" 2 pcs pressure tank-stainless 82 gallon 2 pcs electric water pump 1 hp 2 pcs pressure switch 2 pcs pressure gauge 1 pc Jetmatic pump 4 pcs Niple 1x2 GI 2 pcs Niple 1x8 GI 4 pcs Niple 3/8 x 2 GI 2 pcs Niple 1 x 10 GI 2 pcs GI tee 1" 4 pcs </t>
  </si>
  <si>
    <t xml:space="preserve"> Republic of the Philippines Region XII Province of Cotabato City of Kidapawan OFFICE OF THE BIDS AND AWARD COMMITTEE REQUEST FOR QUOTATION (Shopping) 									 Date: June 17, 2020									                          Shopping No: S2020-06-046 The City Govern</t>
  </si>
  <si>
    <t xml:space="preserve"> 75 meters - Submersible Cable, 3-Conductors, 30mm 1 set - Double Throw Switch Circuit Breaker, 150Amp, 460V 1 unit - Industrial Circuit Breaker, 125Amp 2 units - Lightning Arrester, 460V, 3 Phase 3 units - Distribution Transformer, 25kVA ▫ Pri. 7600V/1320</t>
  </si>
  <si>
    <t xml:space="preserve"> Republic of the Philippines Province of Guimaras OFFICE OF THE BIDS AND AWARDS COMMITTEE INVITATION TO BID FOR    SUPPLY AND DELIVERY OF TRACTOR TRAILING DISK HARROW (BLADE SIZE 60 CM Ø) Bid Ref. No. 2020-06-338 1.	The Province of Guimaras , through the S</t>
  </si>
  <si>
    <t xml:space="preserve"> Republic of the Philippines Province of Sarangani Municipality of Malapatan INVITATION TO BID  	 2020-B1-06-014        PROCUREMENT OF OFFICE SUPPLIES FOR DIFFERENT OFFICES (1st – 2nd Quarter), MALAPATAN, SARANGANI PROVINCE 1.	The Local Government Unit of </t>
  </si>
  <si>
    <t xml:space="preserve"> Item/Lot No.	ITEM &amp; DESCRIPTION(ABC) in Php	QUANTITY AND UNIT OF MEASURES		 1	C furlins #4 10	pcs			    2	C furlins #3  40	length			    3	G.I. Pipe # 2 36	length			    4	Cement            10	bags			  5	Sand and Gravel   2	cubic m			  6	Welding Rod 10	kl		</t>
  </si>
  <si>
    <t xml:space="preserve"> 1.	The Municipality of Esperanza, through the Municipal &amp; Barangay Fund intends to apply the sum of Five Million One Hundred Thousand Pesos (Php5,100,000.00) being the Approved Budget for the Contract (ABC) to payments under the contract for Construction </t>
  </si>
  <si>
    <t xml:space="preserve"> The Municipality of Bay, through the GOP – 20% Economic Development Fund (EDF) intends to apply the sum of Two Hundred Thousand Pesos Only (PHP 200,000.00) being the Approved Budget for the Contract (ABC) to payments under the contract for the Delivery of</t>
  </si>
  <si>
    <t xml:space="preserve"> Republic of the Philippines  Province of Bukidnon  MUNICIPALITY OF KALILANGAN    Bids and Award Committee (BAC)  INVITATION TO BID FOR  Infra 2020-06-014 The Local Government Unit – Kalilangan, Bukidnon through the BIDS AND AWARDS COMMITTEE (BAC) now invi</t>
  </si>
  <si>
    <t xml:space="preserve"> 1	A4 Laminating Film	5	pcs 2	Accession Book	2	pcs 3	Adhessive Tape (1inch)	5	rolls 4	Air Freshener  (Spray) 320ml	38	bots 5	Air Freshener Can w/ holder 70g	64	cans 6	Airpot (good for 2L)	1	unit 7	Albatross big	62	pcs 8	Albatross small	9	pcs 9	"Alcohol 500</t>
  </si>
  <si>
    <t xml:space="preserve"> Republic of the Philippines Province of Guimaras OFFICE OF THE BIDS AND AWARDS COMMITTEE INVITATION TO BID FOR    SUPPLY AND DELIVERY OF NYLON NET/SCREEN Bid Ref. No. 2020-06-336 1.	The Province of Guimaras , through the DOLE Kabuhayan Program (Various Li</t>
  </si>
  <si>
    <t xml:space="preserve"> The Municipality of Bay, Laguna through the GOP/General Fund intends to apply the sum of Five Hundred Thousand Pesos Only (Php, 500,000.00) being the Approved Budget for the Contract (ABC) to payments under the contract for the 4. Bids received in excess </t>
  </si>
  <si>
    <t xml:space="preserve"> The Municipality of Bay, through the GOP intends to apply the sum of Two Hundred Thousand Pesos Only (PHP 200,000.00) being the Approved Budget for the Contract (ABC) to payments under the contract for the Delivery of labor and materials for the project o</t>
  </si>
  <si>
    <t xml:space="preserve"> PLEASE SEE ATTACHED DOCUMENTS</t>
  </si>
  <si>
    <t xml:space="preserve"> Rental of Financial program for Accounting Office for the Month of July 2020 to December 2020</t>
  </si>
  <si>
    <t xml:space="preserve"> Republic of the Philippines Province of Negros Occidental City of Sagay BIDS AND AWARDS COMMITTEE Tel. No. 4540196, Telefax 4880187 www.sagay-city.com.ph bacsagaycity@yahoo.com INVITATION TO BID The City of Sagay, through its Bids and Awards Committee (BA</t>
  </si>
  <si>
    <t xml:space="preserve"> 1	Long Sleeves Shirt, with DPWH Embroided Logo				30	pcs. 2	Hooded Jacket with DPWH-Palawan 3rd Embroided Logo, Plain Black				30	pcs. 3	Dry Fit Pants, Water  repellent taslan nylon fabric adjustable waist belt				15	pcs. 4	Dry Fit Shirt with DPWH Logo			</t>
  </si>
  <si>
    <t xml:space="preserve"> INVITATION TO BID FOR THE Procurement of Assorted Feeds 1.	The Department of Agriculture-Regional Field Office 7, through the GAA 2020  intends to apply the sum of One Million Four Hundred Fifty Two Thousand Pesos (₱1,452,000.00) being the Approved Budget</t>
  </si>
  <si>
    <t xml:space="preserve"> INVITATION TO BID FOR THE Procurement of Various Feeds 1.	The Department of Agriculture-Regional Field Office 7, through the GAA 2020  intends to apply the sum of One Million One Hundred Seventy Thousand Pesos (₱1,170,000.00) being the Approved Budget for</t>
  </si>
  <si>
    <t xml:space="preserve"> INVITATION TO BID FOR THE Procurement of *571 bottles of Azadirahtin (1 liter/bot. Organic Pesticide) and *100 boxes of Bacillus Thuringiensis (5 x 100 gram/box) 1. The Department of Agriculture-Regional Field Office 7, through the GAA 2020 intends to app</t>
  </si>
  <si>
    <t xml:space="preserve"> Republic of the Philippines Province of Leyte MUNICIPALITY OF PALO Invitation to Bid for the Repair of Gazebo Building Canopy at the Municipal Hall Compound of Palo, Leyte Job Request No. 20-06-112 	 1.	The Municipality of Palo, Leyte, through the General</t>
  </si>
  <si>
    <t xml:space="preserve"> Please see attached documents</t>
  </si>
  <si>
    <t xml:space="preserve"> Republic of the Philippines PROVINCE OF AKLAN Kalibo -oOo- BIDS AND AWARDS COMMITTEE (BAC) INVITATION TO BID 1.	The Provincial   Government   of   Aklan, through   5% LDRRM Fund CY 2019 intends   to   apply   the   sum   of  Seven Hundred Thirty Two Thous</t>
  </si>
  <si>
    <t xml:space="preserve"> INVITATION TO BID FOR THE Procurement of 3,600 heads of Native Chicken 1. The Department of Agriculture-Regional Field Office 7, through the GAA 2020 intends to apply the sum of One Million Two Hundred Sixty Thousand Pesos (₱ 1,260,000.00) being the Appro</t>
  </si>
  <si>
    <t xml:space="preserve"> Please see attached</t>
  </si>
  <si>
    <t xml:space="preserve"> 22 pcs Botolan Household Profile Sticker</t>
  </si>
  <si>
    <t xml:space="preserve"> Republic of the Philippines PROVINCE OF AKLAN Kalibo -oOo- BIDS AND AWARDS COMMITTEE (BAC) INVITATION TO BID 1.	The Provincial   Government   of   Aklan, through   Unexpended Balance of 5% LDRRM Fund CY 2017 intends   to   apply   the   sum   of  One Hund</t>
  </si>
  <si>
    <t xml:space="preserve"> Republic of the Philippines PROVINCE OF AKLAN Kalibo -oOo- BIDS AND AWARDS COMMITTEE (BAC) INVITATION TO BID 1.	The Provincial   Government   of   Aklan, through   20% IRA Development Fund CY 2015 – PRDP 1-Build Counterpart (Supplemental Budget #2  intend</t>
  </si>
  <si>
    <t xml:space="preserve"> Std. Form No.: SF-05	 										Revised on: July 28, 2005	 											 Republic of the Philippines											 City Government of Ormoc											 2nd /F New Ormoc City Hall Bldg., Ormoc City											      Tel. # (053) 255-2054  &amp; 560-8050 											   </t>
  </si>
  <si>
    <t xml:space="preserve"> 1.	The Provincial Government of Batanes, through the Provincial Appropriations Ordinance No. 03 series of 2019 (20% Development Fund) intends to apply the sum of Seven Hundred Forty-Five Thousand Three Hundred Ninety Pesos Only  (₱ 745,390.00), being the </t>
  </si>
  <si>
    <t xml:space="preserve"> 1.	The Provincial Government of Batanes, through the Provincial Appropriations Ordinance No. 03 series of 2019 (20% Development Fund) intends to apply the sum of Five Hundred Thirty-Eight Thousand Three Hundred Eighty Seven Pesos Only (₱ 538,387.00), bein</t>
  </si>
  <si>
    <t xml:space="preserve"> GENERATOR SET Surge Watts: 7.1 KW Rated Watts: 6.5 KW Engine Type: 4-stroke Engine oil: SAE-30/10W-30 Frequency: 60Hz Voltage: AC/DC 220V/12V Current: AC/DC 29.5/8.3 A Fuel Capacity: 25 liters Running Time (100% load): 6.5 hours Fuel Consumption: 2.5-3.85</t>
  </si>
  <si>
    <t xml:space="preserve"> 1.	The Provincial Government of Batanes, through the Provincial Appropriations Ordinance No. 03 series of 2019 (20% Development Fund) intends to apply the sum of Seven Hundred Four Thousand Nine Hundred Ninety Pesos Only (₱ 704,990.00), being the Approved</t>
  </si>
  <si>
    <t xml:space="preserve"> 1.	The Provincial Government of Batanes, through the 2018-20% Development Fund and 2019-20% Development Fund intends to apply the sum of Nine Million Eight Hundred Sixty Thousand Eight Hundred Four Pesos and 59/100 (9,860,804.59) being the Approved Budget</t>
  </si>
  <si>
    <t xml:space="preserve"> INVITATION FOR THE NEGOTIATED PROCUREMENT  (TWO FAILED BIDDINGS) FOR THE  INSTALLATION OF COMMUNICATION SYSTEM/SECURING MONITORING DEVICES (PABX, INTERCOM &amp; CCTV) (EL NIDO, PALAWAN) 1.	The Provincial Government of Palawan, through its 20% Development Fund</t>
  </si>
  <si>
    <t xml:space="preserve"> Republic of the Philippines PROVINCE OF AKLAN Kalibo -oOo- BIDS AND AWARDS COMMITTEE (BAC) INVITATION TO BID 1.	The Provincial   Government   of   Aklan, through   20% IRA Development Fund CY 2020 intends   to   apply   the   sum   of  Two Million Four Hu</t>
  </si>
  <si>
    <t xml:space="preserve"> Republic of the Philippines PROVINCE OF AKLAN Kalibo -oOo- BIDS AND AWARDS COMMITTEE (BAC) INVITATION TO BID 1.	The Provincial   Government   of   Aklan, through   20% IRA Development Fund CY 2020 intends   to   apply   the   sum   of  Four Million Eight </t>
  </si>
  <si>
    <t xml:space="preserve"> Interested suppliers are required to submit the following requirements: (1) valid Mayor’s/Business Permit; (2) PhilGEPS Registration Number; (3) Income/Business Tax Return; (4) Omnibus Sworn Statement; (5) Performance Security; (6) Registration Certificat</t>
  </si>
  <si>
    <t xml:space="preserve"> Republic of the Philippines Province of Sarangani Municipality of Malapatan INVITATION TO BID  	 2020-B1-02        PROCUREMENT OF MATERIALS FOR THE MAINTENANCE AND DEVELOPMENT OF HRIS SYSTEM, MALAPATAN, SARANGANI PROVINCE 1.	The Local Government Unit of M</t>
  </si>
  <si>
    <t xml:space="preserve"> 1.	The Provincial Government of Batanes, through the Provincial Appropriations Ordinance No. 03 series of 2019 (20% Development Fund) intends to apply the sum of Seven Hundred Sixty-Two Thousand Seven Hundred Seventy-Five Pesos Only  (₱ 762,775.00), being</t>
  </si>
  <si>
    <t xml:space="preserve"> INVITATION FOR THE NEGOTIATED PROCUREMENT  (TWO FAILED BIDDINGS) FOR THE  INSTALLATION OF COMMUNICATION SYSTEM/SECURING MONITORING DEVICES (PABX, INTERCOM &amp; CCTV) (SAN VICENTE, PALAWAN) 1.	The Provincial Government of Palawan, through its 20% Development </t>
  </si>
  <si>
    <t xml:space="preserve"> Municipality of Manay Invitation to Bid for Drainage System Project at Central 1.	The Municipality of Manay, through General Fund ( 20% Development Fund ) intends to apply the sum of Five Hundred Thousand Pesos  (P 500,000.00)  being the Approved Budget f</t>
  </si>
  <si>
    <t xml:space="preserve"> 1.	The Provincial Government of Batanes, through the Provincial Appropriations Ordinance No. 03 series of 2019 (20% Development Fund) intends to apply the sum of Four Hundred Three Thousand Four Hundred Eighty-Five Pesos Only (₱ 403,485.00), being the App</t>
  </si>
  <si>
    <t xml:space="preserve"> Republic of the Philippines Province of Sarangani Municipality of Malapatan INVITATION TO BID  	 2020-B1-002        PROCUREMENT OF OFICE EQUIPMENT FOR MUNICIPAL INFORMATION OFFICE, MALAPATAN, SARANGANI PROVINCE 1.	The Local Government Unit of Malapatan, t</t>
  </si>
  <si>
    <t xml:space="preserve"> Republic of the Philippines  Province of Bukidnon  MUNICIPALITY OF KALILANGAN    Bids and Award Committee (BAC)  INVITATION TO BID FOR  Infra 2020-06-015 The Local Government Unit – Kalilangan, Bukidnon through the BIDS AND AWARDS COMMITTEE (BAC) now invi</t>
  </si>
  <si>
    <t xml:space="preserve"> Republic of the Philippines PROVINCE OF ZAMBOANGA DEL NORTE BIDS AND AWARDS COMMITTEE (BAC) BAC Conference Room, Capitol Building, Brgy. Estaka Tel. # (065) 212-6492 Telefax # (065) 212-6492 	                                                               </t>
  </si>
  <si>
    <t xml:space="preserve"> Republic of the Philippines CITY GOVERNMENT OF ORMOC  2nd /F New Ormoc City Hall Bldg.,Ormoc City Tel # (053) 255-2054 &amp; 560-8050 Local # 1126, 1127 &amp; 1123	      36-________________________ INVITATION TO BID         The City Government of Ormoc, through t</t>
  </si>
  <si>
    <t xml:space="preserve"> Republic of the Philippines PROVINCE OF AKLAN Kalibo -oOo- BIDS AND AWARDS COMMITTEE (BAC) INVITATION TO BID 1.	The Provincial   Government   of   Aklan, through   5% LDRRM Fund CY 2019 intends   to   apply   the   sum   of  Two Million Pesos Only (Php 2,</t>
  </si>
  <si>
    <t xml:space="preserve"> INVITATION TO BID FOR THE Procurement of 4,185 kilos of Ginger (Planting Materials) 1.	The Department of Agriculture-Regional Field Office 7, through the GAA 2020  intends to apply the sum of One Million Forty Six Thousand Two Hundred Fifty Pesos (₱ 1,046</t>
  </si>
  <si>
    <t xml:space="preserve"> INVITATION TO BID (GOODS) The Municipality of Sibonga, through the Trust Fund intends to apply the sum of Eight hundred ninety-one thousand five hundred seventy-five &amp; 85/100 pesos only (891,575.85) being the Approved Budget for the Contract (ABC) to paym</t>
  </si>
  <si>
    <t xml:space="preserve"> Republic of the Philippines PROVINCE OF AKLAN Kalibo -oOo- BIDS AND AWARDS COMMITTEE (BAC) INVITATION TO BID 1.	The Provincial   Government   of   Aklan, through   20% IRA Development Fund CY 2019  intends   to   apply   the   sum   of  Two Million Eight </t>
  </si>
  <si>
    <t xml:space="preserve"> INVITATION TO BID FOR THE Procurement of 100 rolls of Range Nets 1.	The Department of Agriculture-Regional Field Office 7, through the GAA 2020  intends to apply the sum of Five Hundred Fifty Thousand Pesos (₱ 550,000.00) being the Approved Budget for the</t>
  </si>
  <si>
    <t xml:space="preserve"> Republic of the Philippines  Province of Bukidnon  MUNICIPALITY OF KALILANGAN    Bids and Award Committee (BAC)  INVITATION TO BID FOR  Infra 2020-06-013 The Local Government Unit – Kalilangan, Bukidnon through the BIDS AND AWARDS COMMITTEE (BAC) now invi</t>
  </si>
  <si>
    <t xml:space="preserve"> Republic of the Philippines PROVINCE OF AKLAN Kalibo -oOo- BIDS AND AWARDS COMMITTEE (BAC) INVITATION TO BID 1.	The Provincial   Government   of   Aklan, through   20% IRA Development Fund CY 2019  intends   to   apply   the   sum   of  One Million Pesos </t>
  </si>
  <si>
    <t xml:space="preserve"> Republic of the Philippines  Province of Bukidnon  MUNICIPALITY OF KALILANGAN    Bids and Award Committee (BAC)  INVITATION TO BID FOR  Infra 2020-06-008 The Local Government Unit – Kalilangan, Bukidnon through the BIDS AND AWARDS COMMITTEE (BAC) now invi</t>
  </si>
  <si>
    <t xml:space="preserve"> See Philippine Bidding Documents, bill of Quantities, and Checklist hereto attached.</t>
  </si>
  <si>
    <t xml:space="preserve"> INVITATION TO BID (GOODS) The Municipality of Sibonga, through the Trust Fund intends to apply the sum of Two hundred thirty-six thousand seven hundred ten &amp; 50/100 pesos only (236,710.50) being the Approved Budget for the Contract (ABC) to payment under </t>
  </si>
  <si>
    <t xml:space="preserve"> 1.	The Local Government Unit of Las Nieves, through the Budget for the Contract Approved by the Sanggunian (MPOF) intends to apply the sum of Seventy Three Thousand Two Hundred Thirty Five(73,235.00)  being the Approved Budget for the Contract (ABC) to pa</t>
  </si>
  <si>
    <t xml:space="preserve"> INVITATION TO BID FOR THE Procurement of Assorted Feeds 1.	1.	The Department of Agriculture-Regional Field Office 7, through the GAA 2020  intends to apply the sum of Seven Hundred Sixty Nine Thousand Two Hundred Fifty Pesos (₱ 769,250.00) being the Appro</t>
  </si>
  <si>
    <t xml:space="preserve"> Sewing Machine Manual (5 units) &gt;15ch 179 sewmaster &gt;automatic bobbin winder &gt;variable stitch length control &gt;forward and reverse function &gt;numbered dial tension &gt;threadle or motor options &gt;drop feed knob</t>
  </si>
  <si>
    <t xml:space="preserve"> Please find attached TOR</t>
  </si>
  <si>
    <t xml:space="preserve"> Please see attached TOR</t>
  </si>
  <si>
    <t xml:space="preserve"> Supply, Delivery and Installation of the Waterproofing at the Roof Deck of SEC Cebu Extension Office Building</t>
  </si>
  <si>
    <t xml:space="preserve"> SUPPLY AND DELIVERY OF 100 HEADS OF F1 MEAT TYPE HOGS FOR USE IN THE KADIWA NI ANI AT KITA FOR THE PROJECT: FINAL HANDS-ON TRAINING AND FOR TESDA ASSESSMENT  OF BATCH 11 AND 12 (PB 2020-02A) 1.	The NATIONAL TOBACCO ADMINISTRATION (NTA), through the 2020 C</t>
  </si>
  <si>
    <t xml:space="preserve"> To promote proper hygiene and sanitation for students of Mandalagan National High School</t>
  </si>
  <si>
    <t xml:space="preserve"> Republic of the Philippines Province of Davao del Sur MUNICIPALITY OF STA.CRUZ INVITATION TO BID CONSTRUCTION OF RESIDUAL CONTAINMENT AREA (ITB No. 07-INFRA-2020) 1.	The Local Government Unit of Sta. Cruz, Davao del Sur through the General Funds for the Y</t>
  </si>
  <si>
    <t xml:space="preserve"> 1 lot Supply and Delivery to the site of 1057 cu.m. Embankment Materials</t>
  </si>
  <si>
    <t xml:space="preserve"> The Department of Trade and Industry Regional Office invites PhilGEPS registered supplier for the SSF FOR ISULAN FREE FARMERS BIOFARMING AND PRODUCERS COOPERATIVE CHILI PROCESSING CENTER_REPOSTING based on the attached Terms of Reference (TOR) with the Ap</t>
  </si>
  <si>
    <t xml:space="preserve"> Republic of the Philippines  Province of Bukidnon  MUNICIPALITY OF KALILANGAN    Bids and Award Committee (BAC)  INVITATION TO BID FOR  Infra 2020-06-012 The Local Government Unit – Kalilangan, Bukidnon through the BIDS AND AWARDS COMMITTEE (BAC) now invi</t>
  </si>
  <si>
    <t xml:space="preserve"> To provide for students and teachers' health-related needs</t>
  </si>
  <si>
    <t xml:space="preserve"> To maintain and repair one (1) system unit and one (1) laptop unit located at the the School Administrative Office</t>
  </si>
  <si>
    <t xml:space="preserve"> Republic of the Philippines REGION X Province of Lanao del Norte MUNICIPALITY OF MATUNGAO matungaolgu@gmail.com  INVITATION TO BID CONCRETING OF 0.670 KM BARANGAY POBLACION TO COMPRA ROAD at Barangay Poblacion-Barangay Puntod, Matungao, Lanao del Norte IT</t>
  </si>
  <si>
    <t xml:space="preserve"> To be used as training materials of the teachers on their session output as part of enhancing their knowledge and skills for better instructional delivery</t>
  </si>
  <si>
    <t xml:space="preserve"> To aid in delivery of instruction and enhancement of Guidance Services</t>
  </si>
  <si>
    <t xml:space="preserve"> To promote school advocacy campaign for Brigada Eskwela 2020</t>
  </si>
  <si>
    <t xml:space="preserve"> To promote conducive learning environment for the students of Mandalagan National High School</t>
  </si>
  <si>
    <t xml:space="preserve"> To promote a functional clinic that would cater to common medical needs of the students</t>
  </si>
  <si>
    <t xml:space="preserve"> To promote hygiene and sanitation among students</t>
  </si>
  <si>
    <t xml:space="preserve"> To enhance teaching-learning process through adequate instructional tools</t>
  </si>
  <si>
    <t xml:space="preserve"> To promote correct hygiene practices among students to keep them safe and healthy</t>
  </si>
  <si>
    <t xml:space="preserve"> Deformed Round Bar Grade 33 – 12mm dia. x  6.00m Deformed Round Bar Grade 33 – 8mm dia. x 6.00m Wire-GI. Tie Wire # 16 Wire-GI. Tie Wire # 8 Welding Rod # 6013 Pipe-GI. Pipe 20 6m/ lnght ( schld. 40) Portland Cement (Plastic bag) 40 kg/bag Powder Add mixt</t>
  </si>
  <si>
    <t xml:space="preserve"> To promote proper hygiene and sanitation among students</t>
  </si>
  <si>
    <t xml:space="preserve"> To facilitate instruction and assessment of learning, and office operations</t>
  </si>
  <si>
    <t xml:space="preserve"> 35 PCS OF CLASSROOM ROUND TABLE</t>
  </si>
  <si>
    <t xml:space="preserve"> To promote hygiene and sanitation through functional water system</t>
  </si>
  <si>
    <t xml:space="preserve"> To promote safe and conducive learning environment for students</t>
  </si>
  <si>
    <t xml:space="preserve"> CONCRETE DRAINAGE Portland Cement – 40kg. (plastic bag) BAR- Deformed Round Grade 33 – 10mm dia. X 6.0m WIRE – GI tie #16 Good Mixed (Minidump) STIFFENER COLUMN Portland Cement  - 40kg.(Plastic Bag) BAR – Deformed Round Grade 33 – 10mm dia. X 6.0m BAR – D</t>
  </si>
  <si>
    <t xml:space="preserve"> Supply and Delivery of Photo and Certificate Frames</t>
  </si>
  <si>
    <t xml:space="preserve"> Mits. FB L300/BO 1385 (DepEd) Motor Oil Oil Filter Fuel Filter Center Post Bell Crank Idler Arm Brake Pad 3SMF Battery Push Button Starter Relay Change Oil &amp; Clean Brakes Check/Repair Electrical System Repair Underchassis Toyota Innova/SHH-896 Motor Oil O</t>
  </si>
  <si>
    <t xml:space="preserve"> FABRICATION AND INSTALLATION OF HANDWASH AT BUILDING 4 AT WESTERN BICUTAN NATIONAL HIGH SCHOOL</t>
  </si>
  <si>
    <t xml:space="preserve"> CNH-0520-058</t>
  </si>
  <si>
    <t xml:space="preserve"> Republic of the Philippines Office of the Punong Barangay BIDS AND AWARDS COMMITTEE Barangay #28 Surong, Pasuquin, Ilocos Norte REQUEST FOR QUOTATIONS  Purchase of Preparedness Materials for Barangay Risk Reduction Management 1.	The BARANGAY SURONG-PASUQU</t>
  </si>
  <si>
    <t xml:space="preserve"> Supply and Delivery of Office Supplies</t>
  </si>
  <si>
    <t xml:space="preserve"> CONCRETE WORKS Portland Cement – 40kg. (plastic bag) BAR- Deformed Round Grade 33 – 8mm dia. X 6.0m BAR – Deformed Round Grade 33 – 8mm dia. X 6.0m WIRE – GI tie #16 Washed Sand Washe Gravel FORMWORKS AND HARDWARE Lumber – Coco 2” x 6” x 12” – 540 bdft Wi</t>
  </si>
  <si>
    <t xml:space="preserve"> Invitation to Bid to all Supplier/Contractor duly accredited by the City Council of Manila to supply and deliver the following items provided hereunder, to wit; Item	 	Qty.	 	Unit	 	 	 	DESCRIPTION 1	 	5	 	Sets	Printer Ink (Blk, M, C, Y)	 	 	 	  2	 	5	 	B</t>
  </si>
  <si>
    <t xml:space="preserve"> I N V I T A T I O N   T O   B I D 2020 - 103 June 17, 2020 1.	The Provincial Government of Tarlac through the 20% DF '19 Continuing - Improvement of Sewerage Treatment Plant at TPH intends to apply the sum of One Million Four Hundred Ninety-Nine Thousand </t>
  </si>
  <si>
    <t xml:space="preserve"> I N V I T A T I O N   T O   B I D 2020 - 104 June 17, 2020 1.	The Provincial Government of Tarlac through the PENRO SB #1 2019 - Healthcare Waste Management Program at GOTMH intends to apply the sum of One Million Three Hundred Ninety-Nine Thousand Four H</t>
  </si>
  <si>
    <t xml:space="preserve"> Republic of the Philippines Office of the Punong Barangay BIDS AND AWARDS COMMITTEE Barangay #28 Surong, Pasuquin, Ilocos Norte REQUEST FOR QUOTATIONS  Purchase of Construction Materials for Rehabilitation of Communal Irrigation System and Drainage System</t>
  </si>
  <si>
    <t xml:space="preserve"> FABRICATION AND INSTALLATION OF CANAL STEEL COVER AT COVERED COURT AT WESTERN BICUTAN NATIONAL HIGH SCHOOL</t>
  </si>
  <si>
    <t xml:space="preserve"> NBC-0520-169</t>
  </si>
  <si>
    <t xml:space="preserve"> Republic of the Philippines Office of the Punong Barangay BIDS AND AWARDS COMMITTEE Barangay #28 Surong, Pasuquin, Ilocos Norte REQUEST FOR QUOTATIONS  Purchase of Preparedness Equipment for Barangay Risk Reduction Management 1.	The BARANGAY SURONG-PASUQU</t>
  </si>
  <si>
    <t xml:space="preserve"> RENOVATION OF COMFORT ROOM AT GROUND FLOOR BUILDING 3 AT WESTERN BICUTAN NATIONAL HIGH SCHOOL</t>
  </si>
  <si>
    <t xml:space="preserve"> Republic of the Philippines Office of the Punong Barangay BIDS AND AWARDS COMMITTEE Barangay #28 Surong, Pasuquin, Ilocos Norte REQUEST FOR QUOTATIONS  Purchase of Office Supplies and Materials 1.	The BARANGAY SURONG-PASUQUIN, through the GENERAL FUND CY </t>
  </si>
  <si>
    <t xml:space="preserve"> RISO PAPER BOND 16 RISO INK RISO MASTER ROLL SAMSUNG TONER D203E 10,000 PRINT LAMINATING FILM SPECIALTY PAPER</t>
  </si>
  <si>
    <t xml:space="preserve"> Republic of the Philippines Office of the Punong Barangay BIDS AND AWARDS COMMITTEE Barangay #7 Caruan, Pasuquin, Ilocos Norte REQUEST FOR QUOTATIONS  Purchase of Office Supplies  1.	The BARANGAY CARUAN-PASUQUIN, through the GENERAL FUND CY 2020  intends </t>
  </si>
  <si>
    <t xml:space="preserve"> Supply and Delivery of Janitorial Supplies</t>
  </si>
  <si>
    <t xml:space="preserve"> Republic of the Philippines Office of the Punong Barangay BIDS AND AWARDS COMMITTEE Barangay #7 Caruan, Pasuquin, Ilocos Norte REQUEST FOR QUOTATIONS  Purchase of Materials for the Construction of Garbage Receptacle 1.	The BARANGAY CARUAN-PASUQUIN, throug</t>
  </si>
  <si>
    <t xml:space="preserve"> Please see attached components</t>
  </si>
  <si>
    <t xml:space="preserve"> Republic of the Philippines Province of Cagayan Municipality Of Ballesteros BARANGAY SAN JUAN INVITATION TO BID FOR “Procurement of Various Materials for the Improvement of Multi-Purpose Building” 1.	The Barangay Government of San Juan, Ballesteros, throu</t>
  </si>
  <si>
    <t xml:space="preserve"> Republic of the Philippines Province of Cagayan Municipality Of Ballesteros BARANGAY SAN JUAN INVITATION TO BID FOR “Procurement of Various Materials for the Construction of One (1) Unit Palay Shed” 1.	The Barangay Government of San Juan, Ballesteros, thr</t>
  </si>
  <si>
    <t xml:space="preserve"> Utility Vehicle</t>
  </si>
  <si>
    <t xml:space="preserve"> Republic of the Philippines Office of the Punong Barangay BIDS AND AWARDS COMMITTEE Barangay #22 Dilanis, Pasuquin, Ilocos Norte REQUEST FOR QUOTATIONS  Purchase of Office Supplies  1.	The BARANGAY DILANIS-PASUQUIN, through the GENERAL FUND CY 2020  inten</t>
  </si>
  <si>
    <t xml:space="preserve"> Washable PPE  8 piece</t>
  </si>
  <si>
    <t xml:space="preserve"> For the use of DORL-HNS</t>
  </si>
  <si>
    <t xml:space="preserve"> bot	Diluent for Hydrodynamic Focusing for Flow Cytometry Method, 20 L	21	21,000.00	441,000.00 bot	Controls (Low, Normal, High), 1.5 x 3 ml	12	17,000.00	204,000.00 Note: Winning bidder must provide a fully-automated 5-part hematology analyzer with Fluoresc</t>
  </si>
  <si>
    <t xml:space="preserve"> INVITATION TO APPLY FOR ELIGIBILITY AND TO BID THE MUNICIPALITY OF CAIBIRAN, BILIRAN IS INVITING ALL INTERESTED BIDDERS ON ITS FORTHCOMING PUBLIC BIDDING FOR: Project Title 	: Acquisition of Laptop (for Engineering Design) Location	        : Office of the</t>
  </si>
  <si>
    <t xml:space="preserve"> Republic of the Philippines BARANGAY RIZAL OFFICE OF THE PUNONG BARANGAY BIDS AND AWARDS COMMITTEE INVITATION TO BID The Barangay Government of BARANGAY RIZAL through its Bids and Awards Committee (BAC), invites suppliers/manufacturers/distributors to bid</t>
  </si>
  <si>
    <t xml:space="preserve"> Republic of the Philippines BARANGAY STO NINO OFFICE OF THE PUNONG BARANGAY BIDS AND AWARDS COMMITTEE INVITATION TO BID The Barangay Government of BARANGAY STO NINO through its Bids and Awards Committee (BAC), invites suppliers/manufacturers/distributors </t>
  </si>
  <si>
    <t xml:space="preserve"> bot	Distilled Water, 6-8 liters per bottle	300	120.00	36,000.00 box	Cassette for Blood Gas Analyzer, 25's / box	30	12,700.00	381,000.00 box	Flashback needle 22 G-0.6mm 1"-25mm silicon coated, latex-free multi-sample needle with viewing chamber, 50's	75	68</t>
  </si>
  <si>
    <t xml:space="preserve"> For MISO use</t>
  </si>
  <si>
    <t xml:space="preserve"> The Local Government Unit of Santa Fe, Nueva Vizcaya, through its Bids &amp; Awards Committee invites contractors to bid for the following project: Contract Name: Repair and Conversion of Old Garbage Compactor  Contract Location: Santa Fe, Nueva Vizcaya Appro</t>
  </si>
  <si>
    <t xml:space="preserve"> The Department of Trade and Industry Regional Office invites PhilGEPS registered supplier for the SSF for Dangkong Upland Farmers Association Tboli Coffee Processing Center_Reposting based on the attached Terms of Reference (TOR) with the Approved Budget </t>
  </si>
  <si>
    <t xml:space="preserve"> FOR DES USE</t>
  </si>
  <si>
    <t xml:space="preserve"> The Local Government Unit of Santa Fe, Nueva Vizcaya, through its Bids &amp; Awards Committee invites contractors to bid for the following project: Contract Name: Procurement of Weighing scale with tray (supply and delivery) Contract Location: Santa Fe, Nueva</t>
  </si>
  <si>
    <t xml:space="preserve"> box	Glass slides, frosted, 72's	210	140.00	29,400.00 box	Glass slides, plain, 72's	120	110.00	13,200.00 box	Coverslip 24x60 mm., 100's	60	150.00	9,000.00 bot	Mounting Medium, 450-500 ml	3	2,200.00	6,600.00 bot	Harris Hematoxylin, 900-1000 mL	3	1,700.00	5,</t>
  </si>
  <si>
    <t xml:space="preserve"> Tubeless tires size 195x15; 205x70 r15</t>
  </si>
  <si>
    <t xml:space="preserve"> 1.	The Department of Public Works and Highways Regional Office XI, Davao City, through its Bids and Awards Committee (BAC), invites bidders to submit bids for the Infra projects funded under GAA FY 2020, to wit: Contract ID 	:	20L00032 Contract Name/Locat</t>
  </si>
  <si>
    <t xml:space="preserve"> 1.	The Department of Public Works and Highways Regional Office XI, Davao City, through its Bids and Awards Committee (BAC), invites bidders to submit bids for the Infra projects funded under GAA FY 2020, to wit: Contract ID 	:	20L00148 Contract Name/Locat</t>
  </si>
  <si>
    <t xml:space="preserve"> For HRS use Computer Specifications: Processor &amp; Cache Memory	Intel Core i7 Processor Main Memory	8GB Display	21” LED Monitor Hard Drive	1Tb  SATA Optical Drive	DVD-RW Communications	Gigabit LAN I/O Ports	•	1 VGA port •	1 RJ45 port •	2 PS/2 port •	2 USB 2</t>
  </si>
  <si>
    <t xml:space="preserve"> Republic of the Philippines Office of the Punong Barangay BIDS AND AWARDS COMMITTEE Barangay #22 Dilanis, Pasuquin, Ilocos Norte REQUEST FOR QUOTATIONS  Purchase of Kitchen Tools and Utensils  1.	The BARANGAY DILANIS-PASUQUIN, through the GENERAL FUND CY </t>
  </si>
  <si>
    <t xml:space="preserve"> VHMCP UNIT USED</t>
  </si>
  <si>
    <t xml:space="preserve"> Republic of the Philippines Office of the Punong Barangay BIDS AND AWARDS COMMITTEE Barangay #22 Dilanis, Pasuquin, Ilocos Norte REQUEST FOR QUOTATIONS  Purchase of Printer  1.	The BARANGAY DILANIS-PASUQUIN, through the GENERAL FUND CY 2020  intends to ap</t>
  </si>
  <si>
    <t xml:space="preserve"> For the use of DRM Specifications: -Continuous intermittent traction program  -Emergency stop switch  -Cervical harness with spreader bar &amp; cervical neck wedge to help position the proper neck angle. -Traction Force: 0 – 22kg -Main Voltage: 220-240V -Trac</t>
  </si>
  <si>
    <t xml:space="preserve"> 100	bot	Alcohol 50	box	Letter Head Paper Stationary Long   75	box	Letter Head Paper Stationary A4   25	box	Pentel Pen broad (10pcs) 60	box	Paper Fastener 12" metal 25	box	Pentel Pen fine (10pcs) 50	box	Facial Tissue 50	pad	Record Book 500pg 50	box	Coin en</t>
  </si>
  <si>
    <t xml:space="preserve"> 1 LOT NON CONTACT HAND WASHING STATION  (WITH SPECIFICATIONS)</t>
  </si>
  <si>
    <t xml:space="preserve"> purchase of various office supplies</t>
  </si>
  <si>
    <t xml:space="preserve"> Small Value Procurement . . .</t>
  </si>
  <si>
    <t xml:space="preserve"> FOR REPLENISHMENT OF STOCKS. GOOD FOR THREE (3) MONTHS CONSUMPTION</t>
  </si>
  <si>
    <t xml:space="preserve"> Specifications: -Sequential -1 arm and leg sleeve with full length zipper with user manual -Pressure setting: 20mmHg – 100mmHg -Rated Voltage: 2020-240V -User friendly -User manual  -At least 2 limbs simultaneously  FOR THE USE OF DRM</t>
  </si>
  <si>
    <t xml:space="preserve"> 1 lot Washable Face Mask</t>
  </si>
  <si>
    <t xml:space="preserve"> 200	pc	Dataman Keeper Single 50	box	Metal Paper tray organizer 3L 100	doz	Expanded Folder long (12pcs) 100	box	Bond Paper F4 120	box	Bond Paper A4 120	box	Bond Paper Q2 120	pc	Arch Filer round ball 3	unit	Manual Binding Machine 50	box	Ball pen 0.7mm 60	bo</t>
  </si>
  <si>
    <t xml:space="preserve"> TONER CARTRIDGE, LEXMARK MS810DN</t>
  </si>
  <si>
    <t xml:space="preserve"> Repair and Maintenance of Municipal Vehicle (L300 - VAN), Municipality of Bongabong, Oriental Mindoro</t>
  </si>
  <si>
    <t xml:space="preserve"> Purchase of Various Supplies</t>
  </si>
  <si>
    <t xml:space="preserve"> Republic of the Philippines Office of the Punong Barangay BIDS AND AWARDS COMMITTEE Barangay #25 Pragata, Pasuquin, Ilocos Norte REQUEST FOR QUOTATIONS  Purchase of Construction Materials for the Construction of Slope Protection 1.	The BARANGAY PRAGATA-PA</t>
  </si>
  <si>
    <t xml:space="preserve"> PROPOSED PURCHASE OF ADDITIONAL CCTV CAMERA AND PUBLIC ADDRESS MATERIALS AND EQUIPMENTS AT BRGY. DEL REMEDIO, SAN PABLO CITY</t>
  </si>
  <si>
    <t xml:space="preserve"> Manual Transmission; Gasoline Feed; 4-stroke 3 Cylinder;</t>
  </si>
  <si>
    <t xml:space="preserve"> 2 units 1HP Wall Mounted Basic Airconditioner; 2 unts 2.5HP Wall Mounted Basic Airconditioner</t>
  </si>
  <si>
    <t xml:space="preserve"> Republic of the Philippines Office of the Punong Barangay BIDS AND AWARDS COMMITTEE Barangay #06 Dilavo, Pasuquin, Ilocos Norte REQUEST FOR QUOTATIONS  Purchase of Construction Materials for the Rehabilitation of Manpower Development Center and Multi-Purp</t>
  </si>
  <si>
    <t xml:space="preserve"> Republic of the Philippines Province of Pangasinan Municipality of Lingayen BARANGAY POBLACION INVITATION TO BID  The Barangay Poblacion, through the Barangay Development Fund  CY-2020       intends to apply the sum of   Eight  Hundred Thousand Pesos Only</t>
  </si>
  <si>
    <t xml:space="preserve"> 6	units	Computer Desktop set 3	Units	Printer 1	units 	Executive Chair 1	units 	Executive Table 15	units	Office Table 15	units 	Office Chair 2	Units	Steel cabinet</t>
  </si>
  <si>
    <t xml:space="preserve"> OTHER SUPPLIES AND MATERIALS EXPENSES</t>
  </si>
  <si>
    <t xml:space="preserve"> OFFICE SUPLIES AND CONSUMABLES FOR THE USE OF UCT-RPMO</t>
  </si>
  <si>
    <t xml:space="preserve"> “ANNEX A” TERMS OF REFERENCE I. PROJECT AND LOCATION    To print the 48 Different kinds of Technology Flyers for RDB II. SCOPE OF WORK          1.To print and deliver 48 kinds x 200 pcs each kind of flyers with following specifications: Printing of Flyers</t>
  </si>
  <si>
    <t xml:space="preserve"> Procurement of Enrichment, IsoVitaleX. Interested bidders can download the attached file for complete specifications and requirements. Please send your quotation thru this email: caysiebagsit.ritm@gmail.com Note: Kindly make our PR# as a subject of your e</t>
  </si>
  <si>
    <t xml:space="preserve"> Items available at the BAC office upon request.</t>
  </si>
  <si>
    <t xml:space="preserve"> World Atlas of Coffee, 22nd Ed.; Hoffman James:978-1-7847-2429-0,	1pc World Atlas of Tea: From the leaf of Cup, The world's teas explored and enjoyed; Smith Krisi: 978-1-7847-2093-3,	1pc Uncommon Grounds: The History of Coffee and how it transferred our w</t>
  </si>
  <si>
    <t xml:space="preserve"> Republic of the Philippines DEPARTMENT OF PUBLIC WORKS AND HIGHWAYS CAGAYAN 2ND DISTRICT ENGINEERING OFFICE Regional Office II Abulug, Cagayan June 15, 2020 INVITATION TO BID  The Cagayan 2nd District Engineering Office, Abulug, Cagayan, through its Bids </t>
  </si>
  <si>
    <t xml:space="preserve"> 20	unit	HP laserjet 12A toner 25	unit	HP laserjet 85A toner 90	bot	Pixma Canon ink refill (794) 3 colored 90	bot	Pixma Canon ink refill (794) black 10	unit	Kyocera Toner TK-1147 10	unit 	Kyocera Toner TK-4109 12	unit 	Kyocera Toner TK-135 100	bot	Epson in</t>
  </si>
  <si>
    <t xml:space="preserve"> REQUEST FOR QUOTATION The Local Government of San Mateo, through its Bids and Awards Committee (BAC), invites suppliers, manufacturers, distributors, contractors registered with the BAC in the Local Government of San Mateo, to apply for eligibility and if</t>
  </si>
  <si>
    <t xml:space="preserve"> Supplies and materials for the construction of TESDA Regional Office V.</t>
  </si>
  <si>
    <t xml:space="preserve"> Manual Transmission; 4-stroke 3-cylinder; Emergency Blinker; and Pubilc Address; Decals (logo and lettering)</t>
  </si>
  <si>
    <t xml:space="preserve"> Location of the Project: Municipal Treasurer's Office, Municipality of San Dionisio, Iloilo Approved Budget for the Contract: P100,000.00 Funding Source: Capital Outlay, Treasurer's Office, CY 2020</t>
  </si>
  <si>
    <t xml:space="preserve"> I. CLEARING &amp; GRUBBING II. AGGREGATES SUB-BASE COARSE III. PCCP (A=55.0m; T=0.20m) SPL. CONSTRUCTION SAFETY &amp; HEALTH</t>
  </si>
  <si>
    <t xml:space="preserve"> Republic of the Philippines Office of the Punong Barangay BIDS AND AWARDS COMMITTEE Barangay Poblacion 3, Pasuquin, Ilocos Norte REQUEST FOR QUOTATIONS  Purchase of Office Supplies 1.	The BARANGAY POBLACION 3-PASUQUIN, through the BARANGAY FUND CY 2020  i</t>
  </si>
  <si>
    <t xml:space="preserve"> Republic of the Philippines										 Department of Public Works and Highways										 OFFICE OF THE DISTRICT ENGINEER										 Cagayan Third District Engineering Office										 Tuguegarao City										 Name of Procuring Entity: 			DPWH-Cagayan Third</t>
  </si>
  <si>
    <t xml:space="preserve"> Location of the Project: Facility Quarantine, Poblacion, San Dionisio, Iloilo Approved Budget for the Contract: 59,000.00 Funding Source: P59,000.00</t>
  </si>
  <si>
    <t xml:space="preserve"> CMO-City Disaster Risk and P.R. No. : Reduction Management Council 2020-04-2280 Date: 04/27/2020 1 1 roll Cable : RG-8; 350 meters 18,550.00 2 10 piece Antennae: Omni(23H) 79,000.00 3 10 pc. Power supply with charger(30amps) 147,400.00 4 1 roll Soldering </t>
  </si>
  <si>
    <t xml:space="preserve"> Position: Public Relations Strategist Monthly Rate: Php 51898 (Php2,359/day) Duration of Engagement: 6 months</t>
  </si>
  <si>
    <t xml:space="preserve"> Republic of the Philippines Office of the Municipal Mayor BIDS AND AWARDS COMMITTEE Burgos, Ilocos Sur INVITATION TO BID The Municipal Government of Burgos, Ilocos Sur, through its Bids and Awards Committee (BAC) invites bids for the hereunder contract: 	</t>
  </si>
  <si>
    <t xml:space="preserve"> Contract I.D. No.: 20GCE0006 Contract Name &amp; Location: Procurement of Occupational Supplies for use in the  Activity 503 - Indirect Cost Work or Expenses for use in the (Personal Protective Equipment) Roadside Worker Uniform, DPWH Nueva Ecija 1st District</t>
  </si>
  <si>
    <t xml:space="preserve"> City Engineer's Office P.R. No. : 2020-04-2221 Date: 04/20/2020 1 3,500 liter FUEL, Diesel 192,500.00</t>
  </si>
  <si>
    <t xml:space="preserve"> Location of t he Project: Municipality of San Dionisio, Iloilo Approved Budget for the Contract: P99,735.00 Funding Source: MOOE, Mayor's Office, CY 2020</t>
  </si>
  <si>
    <t xml:space="preserve"> The specification is available at the Bids and Awards Committee Secretariat Municipal Town Hall, Centro 02, Lasam, Cagayan</t>
  </si>
  <si>
    <t xml:space="preserve"> Invitation to Bid 1.	The Barangay Government of Tanza 2 through the 2020 Development Fund,intend to apply the amount of  Two Hundred Three Thousand  Four Hundred Ninety Nine Pesos (words)  Php 2,467,893.00 as the Approved Budget for the Contract (ABC) for</t>
  </si>
  <si>
    <t xml:space="preserve"> The City Government of Naga (CGN), through its Bids and Awards Committee (BAC), hereby invites all interested contractors, to quote their lowest price on the project stated below, subject to the Terms of Reference (TOR) and submit the same duly signed by </t>
  </si>
  <si>
    <t xml:space="preserve"> PART B OTHER GENERAL REQUIREMENTS B.5 PROJECT BILLBOARD/SIGNBOARD 1 LOT PART A EARTHWORK 803(1)A EXCAVATION(COLUMN FTG., WALL FTG.) 71.22 CU.M 804(1)B EMBANKMENT 3 CU.M PART B PLAIN AND REINFORCED CONCRETE WORKS 900(1)A2 STRUCTURAL CONCRETE (FOOTINGS-COLU</t>
  </si>
  <si>
    <t xml:space="preserve"> I. REMOVAL OF STRUCTURES &amp; OBSTRUCTIONS II. EXCAVATION WORKS III. STONE MASONRY SPL. CONSTRUCTION SAFETY &amp; HEALTH</t>
  </si>
  <si>
    <t xml:space="preserve"> Projects: PURCHASE OF SUPPLIES FOR LAUREL FOUNDING ANNIVERSARY Location: Laurel, Batangas</t>
  </si>
  <si>
    <t xml:space="preserve"> 1 set desktop computer, etc. PHO</t>
  </si>
  <si>
    <t xml:space="preserve"> Handwashing facility with canopy for students and staff</t>
  </si>
  <si>
    <t xml:space="preserve"> SUPPLY AND DELIVERY OF HARDWARE MATERIALS</t>
  </si>
  <si>
    <t xml:space="preserve"> Fume hood - fabricated Incubator - Memmert UNE 600 Waterbath - Memmert Toploading Blance - Mettler Toledo</t>
  </si>
  <si>
    <t xml:space="preserve"> See Line Item</t>
  </si>
  <si>
    <t xml:space="preserve"> 3	Kilo	Common Wire Nail #1 1/2, ABC 80.00/kilo 50	Piece	Plyboard 3/4, ABC 900.00/pc 30	Piece	Heavy Duty Door Knob, ABC 250.00/pc 30	Piece	Door Knob (Lever Type), ABC 300.00/pc 15	Piece	Padlock (Small), ABC 150.00/pc 15	Piece	Padlock (Big), ABC 100.00/pc 1</t>
  </si>
  <si>
    <t xml:space="preserve"> Injector Syringe 200ml Single for CT (Must Be Machine Compatible) T-Connector Tubing w/ Prime Tube Low Pressure For use DRR Email your quotation at bacveterans@gmail.com For inquiries pls. call at 426-3045 or 927-6426 local 2561 Please indicate the brand </t>
  </si>
  <si>
    <t xml:space="preserve"> Office: MDRRMO PURPOSE: UTILITY VEHICLE FOR MDRRMO (RESCUE VEHICLE) ABC: 1,949,000.00 1 UNIT PICK-UP TRACK  SPECS DISPLACEMENT : 1,996 EMISSION STAGE LEVEL: EURO IV ENGINE: 2.0L BI-TURBO DIESEL FUEL TANK CAPACITY (L): 80 MAXIMUM POWER (PS/RPM):213@3750 MA</t>
  </si>
  <si>
    <t xml:space="preserve"> Republic of the Philippines Office of the Punong Barangay BIDS AND AWARDS COMMITTEE Ambugat, Burgos, Ilocos Sur INVITATION TO BID The Barangay Government of Ambugat, Burgos, Ilocos Sur, through its Bids and Awards Committee (BAC) invites bids for the here</t>
  </si>
  <si>
    <t xml:space="preserve"> Republic of the Philippines Province of Sarangani BIDS AND AWARD COMMITTEE Municipality of Maasim INVITATION TO APPLY FOR ELIGIBILITY AND TO BID 	The Municipal Government of Maasim invites suppliers to apply for eligibility and to bid for the supply and d</t>
  </si>
  <si>
    <t xml:space="preserve"> 100 pcs  LED CHIP LIGHT BULB 50W              LIGHT COLOR:  WHITE              COLOR TEMPERATURE: 6500k              ANGLE: 120              OPERATING VOLTAGE: DC 32-34V              OPERATING CURRENT: 1500mA              LUMINOUS FLUX: 3800LM            </t>
  </si>
  <si>
    <t xml:space="preserve"> Invitation to Bid 1.	The Barangay Government of Tanza 2 through the 2019 Development Fund,intend to apply the amount of  Two Hundred Three Thousand Four Hundred Ninety Nine Pesos  (words)  Php 203,499.00 as the Approved Budget for the Contract (ABC) for t</t>
  </si>
  <si>
    <t xml:space="preserve"> 63	bag	        Portland Cement	40kg./bag 6	cu.m.	Sand	black 4	cu.m.	Gravel	3/4" dia. 30	pc.	        Def. St. Bars	10mmØx6m 58	pc.	        Def. St. Bars	12mmØx6m 16	pc.	        Def. St. Bars	16mmØx6m 9	kg.	        Tie Wire	# 16 3	sht.	        Ordinary Plyw</t>
  </si>
  <si>
    <t xml:space="preserve"> Location of the Project: RHU Building, Poblacion, San Dionisio, Iloilo Approved Budget for the Contract: P84,880.00 Funding Source: GAD, CY 2020</t>
  </si>
  <si>
    <t xml:space="preserve"> Bidding will be conducted through open competitive bidding procedures as specified in the Implementing Rules and Regulation (IRR) of Republic Act No. 9184 (R.A. 9184), otherwise known as the Government Procurement Reform Act.</t>
  </si>
  <si>
    <t xml:space="preserve"> Item No.	Unit	ITEM &amp; DESCRIPTION 	QTY. 			 1	      person	Information Communication &amp; Technology Training A&amp;E Junior High School at ALS Learning Center	                                                -50- 		February 24-28, 2020	 			 		Catering Service	 		</t>
  </si>
  <si>
    <t xml:space="preserve"> MULTIVITAMINS Requirements for Drugs and Medicines: **Drugs with history of usage from VMMC (Requirements No. 1-5 only) ** **For Innovators (Requirements No. 1-4 only) ** 1. CPR 2. CGMP 3. LTO 4. CERTIFICATE OF DISTRIBUTOSHIP 5. CERTIFICATE OF ANALYSIS 5.</t>
  </si>
  <si>
    <t xml:space="preserve"> Lactulose 3.3G/5ML (66%) SYRYP 120ML Requirements for Drugs and Medicines: **Drugs with history of usage from VMMC (Requirements No. 1-5 only) ** **For Innovators (Requirements No. 1-4 only) ** 1. CPR 2. CGMP 3. LTO 4. CERTIFICATE OF DISTRIBUTOSHIP 5. CER</t>
  </si>
  <si>
    <t xml:space="preserve"> Name of Procuring Entity:					 Contract Number: LGU-Q-SDG-N-02-19 LOCAL GOVERNMENT UNIT			                                         Name of the Contract: SUPPLY AND DELIVERY OF RESCUE VEHICLE WITH COMPLETE  OF QUEZON, ISABELA  							ACCESSORIES 							Loc</t>
  </si>
  <si>
    <t xml:space="preserve"> Contract ID: 20CD0167      Contract Name:  Repair/Rehabilitation of Valenzuela-Obando-Meycauayan                                 Flood Control Structures along Palasan River (Panghulo to                                 Paliwas Sec.) Obando, Bulacan      C</t>
  </si>
  <si>
    <t xml:space="preserve"> Procurement of 120 heads ducks, ready to lay as start-up post training support during the conduct of Intensifying Farmer’s Income through Rice Duck Integrated Farming System on July 28-30, 2020 at Salvador and Emeteria Integrated Farm, Ocampo, Cam. Sur.</t>
  </si>
  <si>
    <t xml:space="preserve"> Sir/Madam:					 					                  Please quote your lowest price on the item/s listed below, subject to the General Conditions stated hereunder, and submit your quotation duly signed by your authorized representative in sealed envelope.					 					   </t>
  </si>
  <si>
    <t xml:space="preserve"> CAGAYAN STATE UNIVERSITY Aparri, Cagayan REQUEST FOR QUOTATION Gentlemen: 	Please quote your government price, taxes included, FBO 		 stating the shortest time for delivery on the items listed as per specification indicated and furnishing description broc</t>
  </si>
  <si>
    <t xml:space="preserve"> LIST OF ITEMS 10pcs – Flood light, Led 30W 15 pcs – Junction Box 2 rolls – Flat Cord, electrical wire No. 16 10 pcs – Plug, Male 2 pcs – Circuit breaker, 20AT, 3pole, 380V 4 rolls – Telephone Wire 5 pcs – PVC electrical moulding,1’ ‘ 10 pcs PVC electrical</t>
  </si>
  <si>
    <t xml:space="preserve"> Republic of the Philippines											Department of Agriculture											BUREAU OF PLANT INDUSTRY									                       		National Seed Quality Control Services											Cordillera Administrative Region										                      	BPI Compo</t>
  </si>
  <si>
    <t xml:space="preserve"> Republic of the Philippines BATANGAS STATE UNIVERSITY ARASOF-Nasugbu Nasugbu, Batangas Tel. Nos. (043) 416-0350loc 105 REQUEST FOR QUOTATION Purchase of ICT equipments for BatStateU-ARASOF Nasugbu The Batangas State University (BatState U) through the Bid</t>
  </si>
  <si>
    <t xml:space="preserve"> Geotechnical Investigation works, Sub-surface 1 Lot Soil investigation, involving 2 soil boring test at 10 meters depth, Soil Laboratory Analysis, Geotechnical Evaluation and Report for the Proposed Doppler Radar Building in Brgy. Tukon Basco,Batanes Scop</t>
  </si>
  <si>
    <t xml:space="preserve"> Particle Monitoring Microfiber Teflon Filter 2.0µm, PM2.5 (47mm) Cassette Transport Case – Aluminum Filter Cassette with filter screen (47mm) Petri Slide – Millipore Fit for 47mm filter</t>
  </si>
  <si>
    <t xml:space="preserve"> Items of Work: I. Site Preparation.......................................1 Lot II. Excavation, Foundation of Column and Wall Footing.........................1 Lot III. Carpentry and Welding Works, Installation of Steel Truss, Roofing &amp; Ceiling............</t>
  </si>
  <si>
    <t xml:space="preserve"> 2 UNITS BUTTERFLY GATE VALVE 8" DIA. INCLUDING ACCES AND FREE INTALLATION</t>
  </si>
  <si>
    <t xml:space="preserve"> INVITATION TO BID FOR THE SUPPLY AND DELIVERY OF VARIOUS PHARMACEUTICAL DRUGS, MEDICINES AND CONTRAST MEDIA (NEGOTIATED PROCUREMENT- TWO FAILED BIDDING) (IB NO. 2020-GOODS-002NP-02-0617) 1.	The ILOCOS TRAINING AND REGIONAL MEDICAL CENTER (ITRMC), through </t>
  </si>
  <si>
    <t xml:space="preserve"> 1.	The Provincial Government of Batanes, through the Provincial Appropriations Ordinance No. 03 series of 2019 intends to apply the sum of Three Hundred Forty-Eight Thousand One Hundred Thirty Pesos Only  (₱ 348,130.00), being the Approved Budget for the </t>
  </si>
  <si>
    <t xml:space="preserve"> FITTINGS AND MATERIALS</t>
  </si>
  <si>
    <t xml:space="preserve"> 900 PCS T-SHIRT WITH PRINT P130@ = P 117,000.00 650 PAX HYGIENIC KIT P250@ = P 162,500.00 650 PCS DONOR'S CARD P20@ = P 13,000.00 MEALS = P 261,000.00 900 PCS BOTTLED WATER P15@ = P13,500.00 10 PCS TARPAULIN P300@ = P 3,000.00 For further information, ple</t>
  </si>
  <si>
    <t xml:space="preserve"> Request for Quotation 25	rm	Bond Paper A4 Sub 20					 29	rm	Bond Paper Legal/Long S20 80GSM					 25	rm	Newsprint Legal					 12	pack	Special Paper Short 					 20	ea	Tabbing Letters					 40	ea	Envelope Brown Long					 85	ea	Folder Green Long					 8	bx	Faste</t>
  </si>
  <si>
    <t xml:space="preserve"> Republic of the Philippines Province of Agusan del Norte Municipality of Magallanes BIDS AND AWARDS COMMITTEE INVITATION TO BID The Municipality of Magallanes through its Bids and Awards Committee (BAC), invites potential and interested bidders to apply f</t>
  </si>
  <si>
    <t xml:space="preserve"> Approved Budget for Contract (ABC)   :PHP 68,291.12					 QTY	UNIT	ITEM/S DESCRIPTION		UNIT PRICE	TOTAL PRICE 		Office Supplies &amp; Equipment			 2	pc	Assorted color permanent marker fine point (12 pcs./pack)	 10	pc	Plastic desk organizer, 3 Layers		 30	pc	70</t>
  </si>
  <si>
    <t xml:space="preserve"> PURCHASE OF VARIOUS MEDICINES</t>
  </si>
  <si>
    <t xml:space="preserve"> DepEd, Division of Sorsogon										 Standard Form Number: SF-GOOD-60										 Revised on: May 24, 2004										 REQUEST FOR QUOTATION										 										 						Date:		June 17, 2020		 						Quotation No.:		20-06-078-_____		 										 										 					</t>
  </si>
  <si>
    <t xml:space="preserve"> Automated Cell Counter</t>
  </si>
  <si>
    <t xml:space="preserve"> Republic of the Philippines Province of La Union Municipality of Sudipen BIDS AND AWARDS COMMITTEE Invitation to Bid for  PURCHASE OF RELIEF SUPPLIES FOR THE MDRRM OPERATION CENTER OF THE MUNICIPALITY OF SUDIPEN, LA UNION 1. The MUNICIPALITY OF SUDIPEN, L</t>
  </si>
  <si>
    <t xml:space="preserve"> Materials for Street Lighting Facilities</t>
  </si>
  <si>
    <t xml:space="preserve"> Republic of the Philippines BATANGAS STATE UNIVERSITY ARASOF-Nasugbu Nasugbu, Batangas Tel. Nos. (043) 416-0350loc 105 REQUEST FOR QUOTATION Purchase of Kitchen Equipments for BatStateU-ARASOF Nasugbu The Batangas State University (BatState U) through the</t>
  </si>
  <si>
    <t xml:space="preserve"> QTY	UNIT	ITEM DESCRIPTION 		  55.00 	pc/s	Toilet Bowl</t>
  </si>
  <si>
    <t xml:space="preserve"> Invitation to Bid 1.	The Barangay Government of Tanza 2 through the 2020 BCPC Fund, intend to apply the amount One Hundred Four Thousand  Pesos  (words)  Php 104,000.00 as the Approved Budget for the Contract (ABC) for the payment under the contract for t</t>
  </si>
  <si>
    <t xml:space="preserve"> Vancomycin 500mg Inj. (HCL) Requirements for Drugs and Medicines: **Drugs with history of usage from VMMC (Requirements No. 1-5 only) ** **For Innovators (Requirements No. 1-4 only) ** 1. CPR 2. CGMP 3. LTO 4. CERTIFICATE OF DISTRIBUTOSHIP 5. CERTIFICATE </t>
  </si>
  <si>
    <t xml:space="preserve"> INSTALLATION OF CONCRETE DRAINAGE SYSTEM OF TAMBUNAN - STA. LUCIA TOURISM ROAD</t>
  </si>
  <si>
    <t xml:space="preserve"> Repainting of Public Buildings. (Barangay Office, Public Market Building, Health Center, AL's Building and BPAT Outpost)</t>
  </si>
  <si>
    <t xml:space="preserve"> REPOST PHILGEPS DUE TO WRONG BID AMOUNT</t>
  </si>
  <si>
    <t xml:space="preserve"> LEGAL SIZE BOND PAPER	61	BOX A4 SIZE BOND PAPER	3	REAM RECORD BOOK, 150 PAGES	3	pcs BALLPEN, BLACK COLOR	3	pcs xxxxxxxxxxxxxxxxxxxxxxxxxxxxxxxxxxxxxxxxxxxxxxxxxxxxx</t>
  </si>
  <si>
    <t xml:space="preserve"> REQUEST FOR QUOTATION For Above Php 50,000.00 to Php 500,000.00 Date: June 17, 2020 Procurement Title: Supply and Delivery of Two (2) units S/S Submersible Pump  Approved Budget for the Contract (ABC): Php 350,000.00 Name of Company	: ___________________ </t>
  </si>
  <si>
    <t xml:space="preserve"> ISABEL WATER DISTRICT Isabel, Leyte 6539 REQUEST FOR QUOTATION  6 pcs. Sleeve Type Coupling, C.I 4"Ø, STC, PVC to PVC, standard 4 pcs. Sleeve Type Coupling, C.I 6"Ø, STC, PVC to PVC, standard</t>
  </si>
  <si>
    <t xml:space="preserve"> Repair of under chassis and change oil.</t>
  </si>
  <si>
    <t xml:space="preserve"> Location: Brgy. Calamay, Moncada, Tarlac Floor Area: 8.00 m x 7.80m Scope of Work to be Done: 1. Footing and Wall Footing 2.  Column 3. Beam 4. Flooring 5. CHB Wall and Partition 6. Doors and Windows 7. Ceiling 8. Roofing and Roof Framing 9. Kitchen Count</t>
  </si>
  <si>
    <t xml:space="preserve"> agricultural supplies/materials/devices</t>
  </si>
  <si>
    <t xml:space="preserve"> Republic of the Philippines PROVINCE OF NORTHERN SAMAR BIDS AND AWARDS COMMITTEE Catarman Invitation to Bid NS-06-17-20-01 Repair/Improvement of SP Offices at New Capitol Building Brgy. Dalakit Catarman, Northern Samar 1.	The Provincial Government of Nort</t>
  </si>
  <si>
    <t xml:space="preserve"> REQUEST TO SUBMIT PROPOSAL/QUOTATION														 (Small Value Procurement - Sec. 53.9)														 								Date :						 														 														 Company / Store Name and Address														 														 	Please quote your lowest price on the </t>
  </si>
  <si>
    <t xml:space="preserve"> Item No.	Unit	Description	Qty 1	Lot	Rental of Six (6) units 20ftr Container Van Manila to 3ID PA Jamindan Iloilo (Door to Door Delivery)	1 2	Lot	Rental of Six (6) units 20ftr Container Van Manila to 1ID PA Pulacan Zamboanga del Sur (Door to Door Delivery)</t>
  </si>
  <si>
    <t xml:space="preserve"> 40 roll - Plastic for Shrink Wrapper, POF (500mm x 500 meters, 15 microns, 20inch)</t>
  </si>
  <si>
    <t xml:space="preserve"> Republic of the Philippines Province of Quezon Municipality of Atimonan Barangay Balugohin Project Reference No: 2020- Name of the Project: Purchase of Medicines Location of the Project: Barangay Balugohin Atimonan, Quezon REQUEST FOR QUOTATION-SHOPPING (</t>
  </si>
  <si>
    <t xml:space="preserve"> Date: June 8, 2020  	  	 	 	 	 	  Quotation No.100-20-06-346                 REQUEST FOR QUOTATION    (For Immediate Purchase Pursuant to Section 52.1a of the Revised IRR, RA 9184)  Item No. 	Qty. 	Unit 	Description 	ABC 	Unit Price 	Total 	Remarks  (Date</t>
  </si>
  <si>
    <t xml:space="preserve"> Invitation to Bid 1.	The Barangay Government of Tanza 2 through the 2020 CAPITAL OUTLAY, intend to apply the amount of  SEVENTY THOUSAND Pesos  (words)  Php 70,000.00 as the Approved Budget for the Contract (ABC) for the payment under the contract for the</t>
  </si>
  <si>
    <t xml:space="preserve"> 20 PCS. - AIR FRESHENER AASTD.SCENTED GEL  20 PCS - GLADE SCENTED GEL 10 GALS - ALCOHOL 1 BOX - ENERGEL SIGN PEN 5 TUBES- PAPER TOWEL  5 PCS. - JOY DISHWASHING LIQUID 8 PACKS - TISSUE PAPER 12'S 3 PLY 10 PACKS -COKE MISMO 15 PACKS - BISCUIT ASSTD. 8 PACKS</t>
  </si>
  <si>
    <t xml:space="preserve"> Pipetter</t>
  </si>
  <si>
    <t xml:space="preserve"> PARAFILM parafilm M Laboratory film; semi transparent, flexible and water proof material, acid and alcohol resitant 4 inches x 150 ft per roll Tongue depressor wooden, sterile, individually packed 6 inches, 100s per box Cryovials polypropylene, tube, ster</t>
  </si>
  <si>
    <t xml:space="preserve"> Republic of the Philippines Province of Cotabato Municipality of Arakan Barangay Tumanding BIDS AND AWARDS COMMITTEE REQUEST FOR QUOTATION Livelihood Project  The Barangay Local Government Unit of Tumanding is inviting interested suppliers to submit price</t>
  </si>
  <si>
    <t xml:space="preserve"> Name of the Procuring Entity: UNIVERSITY OF NORTHERN PHILIPPINES  	Project Reference Number: 20-06-01-140 										Name of the Project: 	 Standard Form Number: SF-GOOD-60						Location of the Project: UNP Vigan City Revised on: May 24, 2004 Standard Form</t>
  </si>
  <si>
    <t xml:space="preserve"> 2 units refrigerator, etc PHO</t>
  </si>
  <si>
    <t xml:space="preserve"> Republic of the Philippines Province of La Union Municipality of Sudipen BIDS AND AWARDS COMMITTEE Invitation to Bid for  PURCHASE OF MEDICINES (2ND SEMESTER-2020) FOR THE MUNICIPALITY OF SUDIPEN, LA UNION 1. The MUNICIPALITY OF SUDIPEN, LA UNION, through</t>
  </si>
  <si>
    <t xml:space="preserve"> Republic of the Philippines Province of Cotabato Municipality of Antipas BIDS AND AWARDS COMMITTEE 	 REQUEST FOR QUOTATION (RFQ) The Municipal Government of Antipas, through its Bids and Awards Committee (BAC), hereby invites interested suppliers to submi</t>
  </si>
  <si>
    <t xml:space="preserve"> MEALS AND SNACKS FOR REGIONAL OFFICE IN-HOUSE OR URGENT/UNPLANNED ACTIVITIES (MEETINGS, SEMINARS, WORKSHOPS, TRAININGS)</t>
  </si>
  <si>
    <t xml:space="preserve"> Unit        Qty          Items unit        1             Induction Cooker -induction stove glass top -single induction range unit        10           Folding Bed (heavy duty) -single size -indoor type unit        1             Refrigerator -5.3cu ft. dire</t>
  </si>
  <si>
    <t xml:space="preserve"> Item No.	Unit	   ITEM &amp; DESCRIPTION	QTY. 			     1	        pcs	      Folding Bed	                -70-     2	        pcs	      Plastic Mat (Banig)	-50-</t>
  </si>
  <si>
    <t xml:space="preserve"> Please see attached RFQ for the full description of the items and for terms and conditions. Please submit your quotation on or before the closing date.</t>
  </si>
  <si>
    <t xml:space="preserve"> purchase of spare parts</t>
  </si>
  <si>
    <t xml:space="preserve"> Republic of the Philippines PROVINCE OF BOHOL Municipality of Dagohoy INVITATION TO BID FOR THE CONCRETING OF FARM TO MARKET ROAD (SITIO 3-MARKET ROAD)    1.The Local Government Unit of Dagohoy, Bohol intends to apply the sum of Five Million Pesos (Php 5,</t>
  </si>
  <si>
    <t xml:space="preserve"> The Municipality of Malangas, through the Bids and Award Committee (BAC), invites suppliers/manufactures/distributors/contractors to bid for the hereunder contract: Name of Project	: PROCUREMENT OF 1 SET BUTT FUSION MACHINE Technical Specification: 	230 V</t>
  </si>
  <si>
    <t xml:space="preserve"> “Garbage Granulator”           CAPACITY: 5 Cu .Meter per Hour a)	Prime Mover:4D35 Diesel Engine                       (Remanufactured) b)	Granulating Chamber: 1”thk. X 70 Cm X 70 Cm X 1.2 Meter c)	BLADES: 19mm x 150mm x 575mm d)	Main Gear Box    : 20 Hp e</t>
  </si>
  <si>
    <t xml:space="preserve"> Terms and conditions for this quotation: 1. Vehicle specifications: a. Pick-up/Sports Utility Vehicle/Multi-Purpose Van with seating capacity of 5 to 7 person (including driver); b. Not more than 5 years old; c. In good working condition; d. Properly regi</t>
  </si>
  <si>
    <t xml:space="preserve"> The City Government of Santiago invites interested parties to submit price quotation for the “SUPPLY AND DELIVERY OF VARIOUS EQUIPMENT FOR BESPREN SA KALANGITAN PROGRAM“ City Hall, Santiago City, details as follows: ABC: Php 219,050.00 Contract Duration: </t>
  </si>
  <si>
    <t xml:space="preserve"> 20	btl.	Alcohol (Isopropyl) 70% Solution - 500ml			 50	pc	Ballpen (black) - good quality			 12	pc	Ballpen (Green) - good quality			 10	pc	Ballpen (Red) - good quality			 3	pc	Big Flat Rubber Bond - good quality			 15	box	Binder Clips 32mm - black/good qua</t>
  </si>
  <si>
    <t xml:space="preserve"> Republic of the Philippines PROVINCE OF DINAGAT ISLANDS Municipality of Basilisa Barangay Montag INVITATION TO BID PROVISION OF MATERIALS FOR REHABILITATION OF P-1, MULTI-PURPOSE HALL 1.	The Barangay Montag, through the 20% Barangay Development Plan (BDP)</t>
  </si>
  <si>
    <t xml:space="preserve"> Qty.	Unit	Item &amp; Description 240	pcs	Led Bulbs 18w 120	pcs	Led Bulbs 12-13w 1	box	THHN (THNN Stranded Wire #10 		 		 		 		 		 		 		 		 		 		 		 		  		 	   	 	VAT Inclusive  	 	Place of Delivery: Brgy.Poblacion, Cagdianao, DI</t>
  </si>
  <si>
    <t xml:space="preserve"> Isolation gowns with ties disposable, long sleeves N95 Respirator 8210, 20s per box, php 1000, 10 boxes Surgical mask 3 ply, disposable, 50pcs/box, php 400 Powder free nitrile gloves 100pcs/box, medium powder free nitrile gloves 100pcs/box, large Paper to</t>
  </si>
  <si>
    <t xml:space="preserve"> Plastic Bag (Large/Medium) &amp; Straw-big</t>
  </si>
  <si>
    <t xml:space="preserve"> 60 pcs. Plywood 24 liters Paint color: sky blue 100 pcs. Jealousy 2 pcs. Door Knob 6 kilos Common Nails #1</t>
  </si>
  <si>
    <t xml:space="preserve"> 1 unit 2HP Split Type Inverter 1 unit 1HP Split Type Inverter 3 unit 3tr floor mounted basic 1 unit 5tr floor mounted inverter 1 unit 1.5HP split type inverter plus mobilization, labor and materials</t>
  </si>
  <si>
    <t xml:space="preserve"> In view of the above, we are inviting external providers on the services needed. Please read the instructions below. INSTRUCTIONS: 1. Bidders are required to read the instructions and fill out the blanks properly. Prospective suppliers are required to use</t>
  </si>
  <si>
    <t xml:space="preserve"> Local Government Unit of Irosin						                                            GOOD-19-2020                 Publication of Municipal Ordinance No. 3 Series of 2019 or the “Zoning Ordinance(ZO) of the Municipality of Irosin” Irosin, Sorsogon Standard For</t>
  </si>
  <si>
    <t xml:space="preserve"> Losartan 50mg (Potassium) Requirements for Drugs and Medicines: **Drugs with history of usage from VMMC (Requirements No. 1-5 only) ** **For Innovators (Requirements No. 1-4 only) ** 1. CPR 2. CGMP 3. LTO 4. CERTIFICATE OF DISTRIBUTOSHIP 5. CERTIFICATE OF</t>
  </si>
  <si>
    <t xml:space="preserve"> Item No.	Unit	Description	Qty 1	pcs	Metal furring 1 inches x 2 inches x 16 feet	138 2	pcs	Ficem board 1/4 inches x 4 feet x 8 feet	28 3	kls	Concrete nail 1 1/2 inches	3 4	boxes	Blind rivet 1/8 inches x 3/8	2 5	pcs	Drill bit 1/8 inches	10 6	pcs	Granite til</t>
  </si>
  <si>
    <t xml:space="preserve"> Republic of the Philippines Province of Cebu Municipality of Pilar -oo0oo- BIDS AND AWARDS COMMITTEE GOODS AND SERVICES INVITATION TO BID FOR EMERGENCY PURCHASE OF BRAND NEW RESCUE VEHICLE FOR USE OF MDDRMC 1. The Municipality of Pilar, through the CY 202</t>
  </si>
  <si>
    <t xml:space="preserve"> 1.	1	unit/s	Laptop i5, 8GB DDR4 RAM, 32GB HDD+ 128GB M2, 			256GB, 15.6 inches, Windows 10 Home 64-Bit 2.	1	unit/s	LCD Projector 3400 Lumens 3.	1	unit/s	Printer - 3 in 1 4.	1	unit/s	Portable/Trolley Sound System with Wireless Microphone</t>
  </si>
  <si>
    <t xml:space="preserve"> 1	Set	Sliding Glass Door w/ aluminum frames and, ABC 20,000.00/set 		tempered glass fittings (1.20mx2.10m)				 1	Set	Swing Glass Door w/ aluminum frames and, ABC 10,000.00/set 		tempered glass fittings (0.90mx2.10m)				 3	Set	Sliding Glass Window w/ alumi</t>
  </si>
  <si>
    <t xml:space="preserve"> 3 units desktop computer RTC-OCC</t>
  </si>
  <si>
    <t xml:space="preserve"> I. Mobilization II. Excavation III. CSHP IV. Concrete Works V. Steel Works VI. Formworks VII. Masonry Works Labor</t>
  </si>
  <si>
    <t xml:space="preserve"> 1000 pcs - Plastic 40 x 60, 0003 thickness 4500 pcs – Plastic 40 x 40, 0003 thickness</t>
  </si>
  <si>
    <t xml:space="preserve"> HERMOSA 04-2020 impvt of brgy plaza</t>
  </si>
  <si>
    <t xml:space="preserve"> 3 pcs - Philippine Map Panel backdrop, 4x6 ft tall, full colored, 5.0mm white Sintra Board, trim only, matte over lamination</t>
  </si>
  <si>
    <t xml:space="preserve"> Republic of the Philippines PROVINCE OF Zamboanga del Norte Municipality of Sibutad BIDS AND AWARDS COMMITTEE Date: JUNE 17, 2020 Project Reference No. GFP100-2020-06-048   DATED: JUNE 9, 2020 Name of the Project: PROCUREMENT OF MEAL AND SNACKS FOR MUNICI</t>
  </si>
  <si>
    <t xml:space="preserve"> OFFICE: MAYOR'S OFFICE PURPOSE: FOR PEACE AND ORDER AND PUBLIC SAFETY VEHICLE ABC: 2,000,000.00 1 UNIT PICK-UP TRACK MODEL: 4JJ1-TCX TYPE: 4-CYLINDER IN-LINE BLUE POWER DIESEL ENGINE WITH TURBO INTERCOOLER MAXIMUM POWER: PS (KW)@RPM 177 (130) @ 3,600 MAXI</t>
  </si>
  <si>
    <t xml:space="preserve"> I. Mobilization II. CSHP III. Concrete Works (Slab on Grade) IV. Masonry Works V. Equipment Labor</t>
  </si>
  <si>
    <t xml:space="preserve"> Supply and Delivery of Materials of Rehabilitation of Bayanihan Water System</t>
  </si>
  <si>
    <t xml:space="preserve"> Republic of the Philippines Province of La Union Municipality of Sudipen BIDS AND AWARDS COMMITTEE Invitation to Bid for  PURCHASE OF MEDICAL SUPPLIES (2ND SEMESTER-2020) FOR THE MUNICIPALITY OF SUDIPEN, LA UNION 1. The MUNICIPALITY OF SUDIPEN, LA UNION, </t>
  </si>
  <si>
    <t xml:space="preserve"> Republic of the Philippines PROVINCE OF NORTHERN SAMAR BIDS AND AWARDS COMMITTEE Catarman Invitation to Bid NS-06-17-20-02 Repair/Improvement of Emergency Room at G.B. Tan Memorial Hospital Laoang, Northern Samar 1.	The Provincial Government of Northern S</t>
  </si>
  <si>
    <t xml:space="preserve"> see attached document</t>
  </si>
  <si>
    <t xml:space="preserve"> QTY	UNIT	ITEM DESCRIPTION 		  90.00 	pad/s	Application Form for Business Permit (Unified Form - Carbonized)  230.00 	pad/s	Ledger Card - Business Tax</t>
  </si>
  <si>
    <t xml:space="preserve"> 5	Sack	Rice, Premium, 50 kls/sack 2	Sack	Sugar, Light brown 100	Pack	Milk, Powder, 180g 2	Case	Corned beef, 155g 4	Case	Beef loaf, 155g 2	Case	Sardines, 155g 80	Pack	Coffee 120g 3	Case	Noodles, Pork flavor, 72 pcs/case 45	Pc	Noodles, cup, pork flavor, 40g</t>
  </si>
  <si>
    <t xml:space="preserve"> The DPWH, Negros Occidental 3rd District Engineering Office, Kabankalan City, Negros Occidental, through its Bids and Awards Committee (BAC), invites contractors to submit bids for the following contract: 1. Contract ID		:	20GM0064 (Re-bidding) Contract N</t>
  </si>
  <si>
    <t xml:space="preserve"> UNIT DESCRIPTION AND QUANTITY ITEM SET	PORTABLE SOUND/AUDIO SYSTEM	1 	WITH:	 	2-WAY SPEAKERS WITH FOLDABLE STAND	 	DUAL CHANNEL WIRELESS MICROPHONE SYSTEM	 	(TWO WIRELESS MICROPHONES)	 	6 TO 9-CHANNEL POWERED MIXER	 	400W-680W	 	USB MP3 PLAYBACK	 	WITH  P</t>
  </si>
  <si>
    <t xml:space="preserve"> RFQ No. 2020- 					                                                       					Date:_________________ REQUEST FOR QUOTATION SUPPLY &amp; DELIVERY OF OTHER MATERIALS FOR THE USE OF OFFICE OF THE MUNICIPAL MAYOR FOR 1ST QUARTER, 2020 The Municipal Government of</t>
  </si>
  <si>
    <t xml:space="preserve"> DIGOS CITY NATIONAL HIGH SCHOOL						 						 Request for Quotation						 						 						 					Date:	Jun. 11, 2020 					PR No.:	20-06-00080 	Please quote your lowest price on the item/s listed below, subject to the General Conditions on the last page,					 s</t>
  </si>
  <si>
    <t xml:space="preserve"> 1.	The Provincial Government of Batanes, through the Provincial Appropriations Ordinance No. 03 series of 2019 intends to apply the sum of One Hundred Fifty Thousand Pesos Only (₱ 150,000.00), being the Approved Budget for the Contract (ABC) to payments u</t>
  </si>
  <si>
    <t xml:space="preserve"> Furnishing/ delivering of various common construction materials and supplies ***** Nothing follows *****</t>
  </si>
  <si>
    <t xml:space="preserve"> Invitation to Bid 1.	The Barangay Government of Tanza 2 through the 2020 BDRRM FUND,intend to apply the amount of  Fifty Seven Thousand Eight Hundred Pesos  (words)  Php 57,800.00 as the Approved Budget for the Contract (ABC) for the payment under the con</t>
  </si>
  <si>
    <t xml:space="preserve"> Windows 10 Intel Core i7-7700 CPU@2.80HHz 2.81GHz 8gb ram 64-bit OS x64-based processor</t>
  </si>
  <si>
    <t xml:space="preserve"> Republic of the Philippines        PROVINCE OF BUKIDNON             Don Carlos, Bukidnon Invitation to Bid for the Construction of Two-Storey Hall of Justice Building,  Don Carlos, Bukidnon – Phase II (Straight Contract) (Project Reference No. 006-024-202</t>
  </si>
  <si>
    <t xml:space="preserve"> Republic of the Philippines DEPARTMENT OF PUBLIC WORKS AND HIGHWAYS EASTERN SAMAR DISTRICT ENGINEERING OFFICE REGIONAL OFFICE VIII Borongan City, Eastern Samar INVITATION TO BID The Department of Public Works and Highways Eastern Samar District Engineerin</t>
  </si>
  <si>
    <t xml:space="preserve"> CONSTRUCTION PROJECTS</t>
  </si>
  <si>
    <t xml:space="preserve"> INVITATION TO BID 	 Date: June 16, 2020 1.	The Provincial Government of Davao Occidental, through its Bids and Awards Committee (BAC), invites all potential contractors to apply to bid for the following infrastructure projects: IB NO.	Description	ABC	Sour</t>
  </si>
  <si>
    <t xml:space="preserve"> 2 unit Intercore i5 8th GEN          8GB RAM DDR 4          512GB SSD          14inches          MX 250 Videocard 1 unit Intercore i5 10th GEN          1TB HDD+128GB SSD          2GB Videocard MX130 DDR5          14inches          Windows 10 4 pcs  Micros</t>
  </si>
  <si>
    <t xml:space="preserve"> Republic of the Philippines Province of Palawan Municipality of Dumaran BIDS AND AWARDS COMMITTEE dum_bacsecretariat@yahoo.com REQUEST FOR QUOTATION (SUPPLY AND DELIVERY OF DIESEL FOR HEAVY EQUIPMENT USE IN ROAD REHABILITATION) _______________________ ___</t>
  </si>
  <si>
    <t xml:space="preserve"> I. Mobilization II. Demolition III. CSHP IV. Line Canal (L=41.2) V. Steel Grating VI. Equipment</t>
  </si>
  <si>
    <t xml:space="preserve"> Procurement of various agricultural supplies and farm tools as start-up post training support during the conduct of Training on Sloping Agricultural Land Technology (SALT) as Corn-based Farming System in the Province of Cam. Sur.</t>
  </si>
  <si>
    <t xml:space="preserve"> 192 Bags Commercial Rice</t>
  </si>
  <si>
    <t xml:space="preserve"> PURCHASE REQUEST										 										 Department: Higher			 PR No.: MJD-05-332-20		 Date: 27-May-2020					 Section: Publication Office	 							 Qty.	Unit of Issue	Item Desription	Stock No.	Estimated Unit Cost	Total Estimated Cost					 1	unit	"PC Desktop (</t>
  </si>
  <si>
    <t xml:space="preserve"> 2,225 liters diesel location: vice mayor's office, gutalac, zamboanga del norte approved budget for the contract: php95,000.00 opening of bids: june 25, 2020     2:00 pm submission of bids: on or before opening of bids non refundable fee for bidding docum</t>
  </si>
  <si>
    <t xml:space="preserve"> Name of the Procuring Entity: UNIVERSITY OF NORTHERN PHILIPPINES  	Project Reference Number: 20-03-09-093B		             			Name of the Project: 	 Standard Form Number: SF-GOOD-60						Location of the Project: UNP Vigan City Revised on: May 24, 2004 Stand</t>
  </si>
  <si>
    <t xml:space="preserve"> 1 pc. Laptop Notebook (inter Core i5-i7, Screen 13'-13.5', RAM 16GB, Storage 2TB)</t>
  </si>
  <si>
    <t xml:space="preserve"> Use for Garbage Truck in Izuzu Elf (4BE1)</t>
  </si>
  <si>
    <t xml:space="preserve"> Amlodipine 5MG (Besilate) Requirements for Drugs and Medicines: **Drugs with history of usage from VMMC (Requirements No. 1-5 only) ** **For Innovators (Requirements No. 1-4 only) ** 1. CPR 2. CGMP 3. LTO 4. CERTIFICATE OF DISTRIBUTOSHIP 5. CERTIFICATE OF</t>
  </si>
  <si>
    <t xml:space="preserve"> 300 PCS FLU VACCINE</t>
  </si>
  <si>
    <t xml:space="preserve"> List of Office supplies and consumables available at the BAC Office upon request and purchase of bidding documents</t>
  </si>
  <si>
    <t xml:space="preserve"> 1. The Municipality of Banguingui, through its 5% GAD Fund intends to apply the sum of P 3,000,000.00 Three Million Pesos being the Approved Budget for the Contract (ABC) to payments under the contract for Construction of Womens Livelihood &amp; Recreational </t>
  </si>
  <si>
    <t xml:space="preserve"> Ertapenem 1GM, Powder (as sodium) Requirements for Drugs and Medicines: **Drugs with history of usage from VMMC (Requirements No. 1-5 only) ** **For Innovators (Requirements No. 1-4 only) ** 1. CPR 2. CGMP 3. LTO 4. CERTIFICATE OF DISTRIBUTOSHIP 5. CERTIF</t>
  </si>
  <si>
    <t xml:space="preserve"> Portable radio w/ complete accessories &amp; any licenses and Antenna w/ complete accessories.</t>
  </si>
  <si>
    <t xml:space="preserve"> UNIT DESCRIPTION AND QUANTITY ITEM UNITS	ANTI-COVID 19 GLASS PROTECTION    2 	       (AT THE DCFO RECEIVING COUNTER) 	       (DIFFERENT LENGHTS) 	 	 	        LABOR AND MATERIALS 	        WITH FREE INSTALLATION</t>
  </si>
  <si>
    <t xml:space="preserve"> Request for Quotation</t>
  </si>
  <si>
    <t xml:space="preserve"> PURPOSE: FOR DES USE. REPLACEMENT PURCHASE FROM P.R.# 2020-01-1140, FOR RE-POSTING DUE TO CURRENT MARKET PRICE Fax your Price Quotation at Tel. Fax#: 426-30-45 / 927-64-26 local 2561 or Email at bacveterans@gmail.com. Please indicate the brand name and co</t>
  </si>
  <si>
    <t xml:space="preserve"> Republic of the Philippines BATANGAS STATE UNIVERSITY ARASOF-Nasugbu Nasugbu, Batangas Tel. Nos. (043) 416-0350loc 105 REQUEST FOR QUOTATION LABOR and MATERIALS for the Improvement of HOSTEL Building (Canopy, Roof deck, Waterproofing and Repair of Eaves) </t>
  </si>
  <si>
    <t xml:space="preserve"> Republic of the Philippines Province of Palawan Municipality of Dumaran BIDS AND AWARDS COMMITTEE dum_bacsecretariat@yahoo.com REQUEST FOR QUOTATION (SUPPLY AND DELIVERY OF DIESEL FOR HEAVY EQUIPMENT USE IN ROAD REHABILITATION- MAINLAND DUMARAN __________</t>
  </si>
  <si>
    <t xml:space="preserve"> Item No.	Unit	Description	Qty 1		PA Plaque	45 2		Paper Weight	210 3		Bottle Openers	539 4		Key Chains	539 5		Flag Pin	60 * * * * * * * * * * * * * * * * * * * * * * * * NOTHING FOLLOWS * * * * * * * * * * * * * * * * * * * * * * * *</t>
  </si>
  <si>
    <t xml:space="preserve"> The AGRICULTURAL TRAINING INSTITUTE-REGIONAL TRAINING CENTER (ATI-RTC) X, through the 2020 General Appropriations Act intends to apply the sum of One Hundred Five Thousand Pesos (P 105,000.00) being the Approved Budget for the Contract (ABC) to payments u</t>
  </si>
  <si>
    <t xml:space="preserve"> Construction Materials and Supplies</t>
  </si>
  <si>
    <t xml:space="preserve"> 1	Unit	Ball, basketball, official ball, indoor use, leather 		 1	Unit	Ball, volleyball, official ball, genuine leather 		 24	Unit	Ball, basketball, class “B”, all surface use, rubber 		 24	Unit	Ball, volleyball, class “B”, synthetic leather 		 48	Pc	Ring </t>
  </si>
  <si>
    <t xml:space="preserve"> Republic of the Philippines BATANGAS STATE UNIVERSITY ARASOF-Nasugbu Nasugbu, Batangas Tel. Nos. (043) 416-0350loc 105 REQUEST FOR QUOTATION Labor and Materials for the Rehabilitation of IMT Building of BatStateU-ARASOF Nasugbu The Batangas State Universi</t>
  </si>
  <si>
    <t xml:space="preserve"> Republic of the Philippines BARANGAY STO. NIÑO Ibaan, Batangas INVITATION TO BID The Barangay Government of Sto. Niño, Ibaan, Batangas through its Bids and Awards Committee (BAC), invites contractors registered with and classified by the Philippine Contra</t>
  </si>
  <si>
    <t xml:space="preserve"> 1 set Desktop(E-Claims Optimum Requirements)  Inclusions:  :OS Windows 10 Pro or Ultimate x 64  : Hardware :1Tb HDD Storage,4GB Ram, Intel Core i5(any generation) or Higher   : Disk Partition: at Least two(2); Partition 1: OS, Partition 2: Data Files, Eas</t>
  </si>
  <si>
    <t xml:space="preserve"> Republic of the Philippines        PROVINCE OF BUKIDNON             Don Carlos, Bukidnon Invitation to Bid for the Rehabilitation of Multi-Purpose Building at Lake Pinamaloy Area  In Don Carlos, Bukidnon (Straight Contract) (Project Reference No. 006-025-</t>
  </si>
  <si>
    <t xml:space="preserve"> BARANGAY TANZA 2 BIDS AND AWARDS COMMITTEE Barangay Tanza 2,  Navotas City 									Date: Company Name: Adress: Contact Nos. 	Please quote your lowest price on the item/s listed below, subject to the general conditions on the last page, starting the short</t>
  </si>
  <si>
    <t xml:space="preserve"> Location: Poblacion I, Moncada, Tarlac Scope of Work: 1. footing and Wall footing 2. Column 3. Beam 4. Flooring 5. CHB Wall 6. Glass Door and Fixed Glass Wall 7. Ceiling 8. Roofing and Roof Framing 9. Table Counter 10. Electrical 11. Painting</t>
  </si>
  <si>
    <t xml:space="preserve"> Republic of the Philippines LOCAL GOVERNMENT OF MACALELON Macalelon, Quezon OFFICE OF THE BIDS AND AWARDS COMMITTEE INVITATION TO BID The municipality of Macalelon, Quezon through its Bids and Awards Committee (BAC) invites interested bidders/suppliers to</t>
  </si>
  <si>
    <t xml:space="preserve"> Republic of the Philippines COMMISSION ON ELECTIONS Intramuros, M a n i l a REQUEST FOR QUOTATION      For Provision for Hauling Services of Paper Rolls from Marikina  to Sta. Rosa City (BAC Reference No. SVP 2020-058-Haul) End-user: Packing and Shipping </t>
  </si>
  <si>
    <t xml:space="preserve"> FABRICATION AND INSTALLATION OF SOLAR LIGHT-PUROK 3, FUENTES, PANTUKAN</t>
  </si>
  <si>
    <t xml:space="preserve"> Fabrication of Canal Grills at Gen. Lucban St. Brgy 4 Lucban, Quezon</t>
  </si>
  <si>
    <t xml:space="preserve"> Isosorbide-Dinitrate 5mg Sublingual Requirements for Drugs and Medicines: **Drugs with history of usage from VMMC (Requirements No. 1-5 only) ** **For Innovators (Requirements No. 1-4 only) ** 1. CPR 2. CGMP 3. LTO 4. CERTIFICATE OF DISTRIBUTOSHIP 5. CERT</t>
  </si>
  <si>
    <t xml:space="preserve"> Quantity	Unit of Issue	Item Description		 14	pcs	Pulse Oximeters pedia		 14	pcs	Pulse Oximeters Adult		 12	pcs	Oxygen tank ,5 lbs		 12	tank	Oxygen tank 15 lbs		 14	set	Oxygen regulator		 28	set	BP apparatus set		 16	pc	Nebulizer		 171	set	Nebulizing kits </t>
  </si>
  <si>
    <t xml:space="preserve"> Standard Form Number: SF-GOOD-60                                                       Republic of the Philippines Standard Form Title: Request for                                                                                                       Taclo</t>
  </si>
  <si>
    <t xml:space="preserve"> Republic of the Philippines Province of Agusan del Norte Municipality of Remedios T. Romualdez Invitation to Bid PROCUREMENT OF RESCUE EQUIPMENT AND SUPPLIES  1. The Municipality of Remedios T. Romualdez, Agusan del Norte, through the 5% MDRRM Funds inten</t>
  </si>
  <si>
    <t xml:space="preserve"> 1.	The Provincial Government of Batanes, through the Provincial Appropriations Ordinance No. 03 series of 2019 intends to apply the sum of One Hundred Ninety-Seven Thousand One Hundred Sixty Pesos &amp; 60/100 Only (₱ 197,160.60), being the Approved Budget fo</t>
  </si>
  <si>
    <t xml:space="preserve"> INVITATION TO APPLY FOR ELIGIBILITY AND TO BID The  Municipality of Barobo , through its Bids and Awards Committee (BAC), invites contractors registered with and classified by the Philippine Contractors Accreditation Board (PCAB) to apply for eligibility </t>
  </si>
  <si>
    <t xml:space="preserve"> LGU-BAROBO		Project Reference Number			 Name of Procuring Entity		Supply and Delivery of Motorcycle			 					 			Barobo, Surigao del Sur		 Standard Form Number: SF-GOOD-60					 Revised on: May 24, 2004					 Standard Form Title: REQUEST FOR QUOTATION					 	</t>
  </si>
  <si>
    <t xml:space="preserve"> Garbage sacks 500 pcs Bolo (Big) 10 pcs Broom sticks 36 pcs Garbage Bag (black) 1000 pcs Plastic drums 200 liters 10 pcs Long sleeves with print (s/m/l/xl) 36 pcs Mask 100 pcs Utility Gloves 72 pcs</t>
  </si>
  <si>
    <t xml:space="preserve"> Republic of the Philippines					 PROVINCE OF LEYTE					 Municipality of Burauen					 Request for Quotation					 				Date: 	 _____________________________				Quotation No: __________	 _____________________________					 _____________________________					 Pl</t>
  </si>
  <si>
    <t xml:space="preserve"> Supply and Delivery of Personal Protective Equipment intended for DOLE TUPAD Project Implementation in Manito, Albay</t>
  </si>
  <si>
    <t xml:space="preserve"> Supply and Install of One Set of Public Public Address</t>
  </si>
  <si>
    <t xml:space="preserve"> JOB ORDER: Supply of labor and materials for the Repair of DA-RFO8 Guard house at the Entrance gate area. No.	Scope of Work	Quantity	Unit_Cost	ABC 1.	Clearing and demolition                                                                    sq.m.	39.53		 </t>
  </si>
  <si>
    <t xml:space="preserve"> The Department of Trade and Industry Regional Office invites PhilGEPS registered supplier for the Supply, Delivery and Installation of SSF for South Cotabato Chocolate Processing Center based on the attached Terms of Reference (TOR) with the Approved Budg</t>
  </si>
  <si>
    <t xml:space="preserve"> Interventions on COVID - 19 for the promotion of precautionary and safety measures for 2020 CPH  Description                                                                                              Unit                      Quantity           Hand san</t>
  </si>
  <si>
    <t xml:space="preserve"> Republic of the Philippines PROVINCE OF NEGROS ORIENTAL Municipality of Basay Office of the Municipal Engineer/BAC Chairman INVITATION TO BID 	The Municipality of Basay, Negros Oriental thru its Bids and Awards Committee (BAC) invites interested suppliers</t>
  </si>
  <si>
    <t xml:space="preserve"> Item No. Qty. Unit of Issue Item Description 1 1 boxes Gauze (Steril)4x4 2 20 packs Gauze (Non-Steril)4x4 3 5 boxes Gloves (Steril)7.5 4 5 boxes Gloves (Steril)6.5 5 5 boxes Working Glove (large) 6 5 boxes Working Glove (medium) 7 5 boxes Working Glove (s</t>
  </si>
  <si>
    <t xml:space="preserve"> Amoxicillin 500mg (as Trihydrate) Requirements for Drugs and Medicines: **Drugs with history of usage from VMMC (Requirements No. 1-5 only) ** **For Innovators (Requirements No. 1-4 only) ** 1. CPR 2. CGMP 3. LTO 4. CERTIFICATE OF DISTRIBUTOSHIP 5. CERTIF</t>
  </si>
  <si>
    <t xml:space="preserve"> PURCHASE REQUEST										 										 Department: GASS			 PR No.: MGA-06-287B-20		 Date: 05 June 2020					 				 Qty.	Unit of Issue	Item Desription	Stock No.	Estimated Unit Cost	Total Estimated Cost					 40	piece	D.S.B., 12mm dia x 6.00m., G40		 ₱250.00 	 </t>
  </si>
  <si>
    <t xml:space="preserve"> 480 bdft 120 pcs 2"x2"x12' Good Lumber and 27 others L/I</t>
  </si>
  <si>
    <t xml:space="preserve"> Isophane Insulin Human (Recombinant DNA) 100IU/ML, 10ml Requirements for Drugs and Medicines: **Drugs with history of usage from VMMC (Requirements No. 1-5 only) ** **For Innovators (Requirements No. 1-4 only) ** 1. CPR 2. CGMP 3. LTO 4. CERTIFICATE OF DI</t>
  </si>
  <si>
    <t xml:space="preserve"> 240 tank Medical Oxygen (big) 80   tank Medical Oxygen (portable)</t>
  </si>
  <si>
    <t xml:space="preserve"> Printing of the 2019 PAGASA Annual Report 300 pcs Specifications: Size: Spread 8.5" x 22" Folded - 8.5" x 11" Stock: Cover: C2S 220 Inside: Matt 80 Color: Cover: 4 colors Inside: 4 colors Folder: 4 colors Process: Offset Finishing: Smythe Prefect No. of P</t>
  </si>
  <si>
    <t xml:space="preserve"> Item No.	Unit	Description	Qty 1	Lot	Catering Services	1 * * * * * * * * * * * * * * * * * * * * * * * * NOTHING FOLLOWS * * * * * * * * * * * * * * * * * * * * * * * *</t>
  </si>
  <si>
    <t xml:space="preserve"> Qty.	UNIT	ITEM AND DESCRIPTION					APPROVED BUDGET COST	 							UNIT PRICE	TOTAL 								 8	RMS	LETTER HEAD, CITY COUNCIL, LONG SIZE					 3,000.00 	 24,000.00  8	RMS	LETTER HEAD, CITY COUNCIL, SHORT SIZE					 3,000.00 	 24,000.00  3	BXS	LETTER HEAD, CITY </t>
  </si>
  <si>
    <t xml:space="preserve"> Republic of the Philippines        PROVINCE OF BUKIDNON             Don Carlos, Bukidnon Invitation to Bid for the Rehabilitation of Local Road – Perimeter Road along Public Market, Poblacion Sur, Don Carlos, Bukidnon (Straight Contract) (Project Referenc</t>
  </si>
  <si>
    <t xml:space="preserve"> Republic of the Philippines PROVINCE OF SURIGAO DEL SUR MUNICIPALITY OF CARRASCAL OFFICE OF MUNICIPAL BIDS AND AWARDS COMMITTEE The Local Government Unit of Carrascal invites all interested and qualified bidders for offers to supply on the Bid forms: 		  </t>
  </si>
  <si>
    <t xml:space="preserve"> 6	set	15 watts LED Bulb 7	pc	4" dia PVC Receptacle 117	m	#6 Duplex Wire 1	roll	Electrical Tape</t>
  </si>
  <si>
    <t xml:space="preserve"> Republic of the Philippines						 	Province of Nueva Ecija						 	CITY OF GAPAN						 	Km.92, Maharlika Highway, Bayanihan, Gapan City						 	 - - - - o0o - - - - 						 	BIDS AND AWARDS COMMITTEE						 							 	REQUEST FOR QUOTATION						 							 	The Ci</t>
  </si>
  <si>
    <t xml:space="preserve"> Purchase and Delivery of Dengue Test Supplies Santa, Ilocos Sur</t>
  </si>
  <si>
    <t xml:space="preserve"> AIRCONDITION SPLIT TYPE  1 Hp  Cooling Capacity: 6,000 to 11,000 kjh  Power source: 220V to 240V  Power Consumption: 800 to 1,300W  Inverter type (Silent type)  Remote Control  Delivery, installation, testing, commissioning and orientation  Warran</t>
  </si>
  <si>
    <t xml:space="preserve"> Republic of the Philippines PROVINCE OF NORTHERN SAMAR BIDS AND AWARDS COMMITTEE Catarman Invitation to Bid NS-06-17-20-03 Fabrication of Steel Gate at Provincial Sports Center in Brgy. Cawayan, Catarman, Northern Samar 1.	The Provincial Government of Nor</t>
  </si>
  <si>
    <t xml:space="preserve"> Republic of the Philippines COMMISSION ON ELECTIONS Intramuros, M a n i l a REQUEST FOR QUOTATION      For Supply and Delivery of Various Supplies for use to Sanitize Various Offices in the Commission (BAC Reference No. SVP 2020-059-San) End-user: General</t>
  </si>
  <si>
    <t xml:space="preserve"> 113 kits Newborn Screening Test</t>
  </si>
  <si>
    <t xml:space="preserve"> TWO (2) PERSON WORKSTATION	 2 	 SET 	 52,000.00  			  - with fixed side cabinet			  - with screen divider			  - size W156cm x D120cm x			  - with office chair w/ armrest			  - mesh black upholstered			  - chrome leg			 			 REMOTE CONTROLLED WINDOW TYPE AI</t>
  </si>
  <si>
    <t xml:space="preserve"> INVITATION TO BID FOR PURCHASE OF BOOKS / LEARNING MATERIALS FOR CHILD DEVELOPMENT CENTER (DAYCARE PUPILS) 1.	The Municipal Government of Sta. Maria through the 20% Local Development Fund 2020 intends to apply the sum of One Million Nine Hundred Thousand </t>
  </si>
  <si>
    <t xml:space="preserve"> Republic of the Philippines        PROVINCE OF BUKIDNON             Don Carlos, Bukidnon Invitation to Bid for the Proposed Development of Municipal Cemetery in Norte, Don Carlos, Bukidnon – Phase II (Straight Contract) (Project Reference No. 006-027-2020</t>
  </si>
  <si>
    <t xml:space="preserve"> Sanitizer/ alcohol dispenser head- Dimension L20cm x W 25 cmX H 21 cm (+/- 5&amp;)----------103 pieces Metal Stand height- 94 cm Pedal Mechanism- 24 cm</t>
  </si>
  <si>
    <t xml:space="preserve"> 1 unit Air-con Split type 2.5 HP For: Casinglot Elementary School</t>
  </si>
  <si>
    <t xml:space="preserve"> 4   pcs     11 R22.5, Tubeless-type, Fine</t>
  </si>
  <si>
    <t xml:space="preserve"> BUREAU OF CORRECTIONS IWAHIG PRISON AND PENAL FARM Puerto Princesa City REQUEST FOR QUOTATION IPPF 2020-06-54 Date:								        	 Name of Company: _______________________________________________________________ Address: ________________________________</t>
  </si>
  <si>
    <t xml:space="preserve"> Vitamin B Complex (B1-100MG, B6-MG, B12-50MCG) Requirements for Drugs and Medicines: **Drugs with history of usage from VMMC (Requirements No. 1-5 only) ** **For Innovators (Requirements No. 1-4 only) ** 1. CPR 2. CGMP 3. LTO 4. CERTIFICATE OF DISTRIBUTOS</t>
  </si>
  <si>
    <t xml:space="preserve"> 450 liters Insecticide (Active ingredient-Luferurony Carbosulfan)</t>
  </si>
  <si>
    <t xml:space="preserve"> BUREAU OF CORRECTIONS IWAHIG PRISON AND PENAL FARM Puerto Princesa City REQUEST FOR QUOTATION IPPF 2020-06-55 Date:								        	 Name of Company: _______________________________________________________________ Address: ________________________________</t>
  </si>
  <si>
    <t xml:space="preserve"> Procurement of Medical Supplies</t>
  </si>
  <si>
    <t xml:space="preserve"> REPUBLIC OF THE PHILIPPINES DEPARTMENT OF PUBLIC WORKS AND HIGHWAYS CAMARINES SUR 3RD DISTRICT ENGINEERING OFFICE REGIONAL OFFICE V BARAS, CANAMAN INVITATION TO BID The DPWH – Camarines Sur 3rd District Engineering Office, through its Bids and Awards Comm</t>
  </si>
  <si>
    <t xml:space="preserve"> Republic of the Philippines Province of Misamis Oriental Local Government Unit of Claveria INVITATION TO BID FOR  NEGOTIATED  PROCUREMENT Procurement of  Barangay Tanod Insurance The Local Government Unit of Claveria, through the budget approved by the Lo</t>
  </si>
  <si>
    <t xml:space="preserve"> please download the ITB and its supporting documents in the associated component</t>
  </si>
  <si>
    <t xml:space="preserve"> 20 units Micro Desktop Computer 33 units Laptop Computer 5 units High-End Laptop Computer 2 units Portable Scanner 5 units Network Switch 5 units Entry-Level Server 6 units Uninterruptible Power Supply 5 units NAS Rack Mounted 5 units Network Rack</t>
  </si>
  <si>
    <t xml:space="preserve"> Republic of the Philippines						 Province of Eastern Samar						 Municipality of Balangkayan						 						 REQUEST FOR QUOTATION (RFQ)						 						 				DATE :	6/15/2020	 						 						 						 						 						 						 Sir/Madam:						 						 	Please qoute your </t>
  </si>
  <si>
    <t xml:space="preserve"> 1.	3	unit/s	Mobile Cellphone Specs: 			Network -Technology GSM/ HSPA / LTE 			Body- Dimensions : 162.1mm (6.4") full rectangle x 157.6mm 			(6.2" rounded corners x3.02 x 0.31") Weight: 183g (6.46 oz), 			Build: Glass front (Gorilla Glass 3) plastic back, </t>
  </si>
  <si>
    <t xml:space="preserve"> CONSTRUCTION OF MRF - PUROK 1,  8 AND 9, FUENTES, PANTUKAN (MATERIALS)</t>
  </si>
  <si>
    <t xml:space="preserve"> Repair and Maintenance of Heavy Equipment at LGU-Matalom, Leyte. Unit	Item &amp; Description	Quantity set	Transmission Assembly	1</t>
  </si>
  <si>
    <t xml:space="preserve"> 54 pcs. Tiles(60cm x 60cm)white 2   cu.m. 3/4 "Crushed gravel 100 pcs. 4" CHB Non Load bearing 3     cu.m. Fine Washed Sand 15  bags Portland Cement 4    bags Tile Adhesive(regular) 1    bag  Tile Grout, white 2    pcs. Diamond Cutting Disk 4" 1    lump W</t>
  </si>
  <si>
    <t xml:space="preserve"> Quantity	Unit of Issue	Item Description		 25	pcs	ET tubes Size 7.0		 25	pcs	ET tubes Size 4.0		 35	bx	sterile gloves 25 pairs /bx size 8		 20	bx	disposable vinyl exam gloves size M 100/bx		 303	pcs	Particulate respirator N95		 50	bx	Hypo Allergic plaster	</t>
  </si>
  <si>
    <t xml:space="preserve"> Purchase and Delivery of Worksbooks of Day Care Children for SY 2020 - 2021 Santa, Ilocos Sur</t>
  </si>
  <si>
    <t xml:space="preserve"> BUREAU OF CORRECTIONS IWAHIG PRISON AND PENAL FARM Puerto Princesa City REQUEST FOR QUOTATION IPPF 2020-06-56 Date:								        	 Name of Company: _______________________________________________________________ Address: ________________________________</t>
  </si>
  <si>
    <t xml:space="preserve"> Please see attached Inivtation to Bid</t>
  </si>
  <si>
    <t xml:space="preserve"> 1	Lot	Calibration/Re-certification of Biosafety Cabinet w/ complete, ABC 62,500.00/lot NIST traceability calibration certificate service report				 RFQ#06-0630</t>
  </si>
  <si>
    <t xml:space="preserve"> Republic of the Philippines                                                        Province of Misamis Oriental                                                MUNICIPALITY OF KINOGUITAN                                           BIDS AND AWARDS COMMITTEE (</t>
  </si>
  <si>
    <t xml:space="preserve"> Request for Quotation 8	ea SAT Phone prepaid card (P6,000.00)						 65	ea Smart Prepaid Card						 55	ea Globe Prepaid Card						 for the use of 9IB,9ID,PA</t>
  </si>
  <si>
    <t xml:space="preserve"> BUREAU OF CORRECTIONS IWAHIG PRISON AND PENAL FARM Puerto Princesa City REQUEST FOR QUOTATION IPPF 2020-06-57 Date:								        	 Name of Company: _______________________________________________________________ Address: ________________________________</t>
  </si>
  <si>
    <t xml:space="preserve"> 1	set	Supply, Delivery, Installation and Testing of Brand New Chlorinator Digital Metering Pump with Stirrer complete with necessary accessories.								 																			 		   - Equipped with automatic floater shut-off or								 		        water level </t>
  </si>
  <si>
    <t xml:space="preserve"> Work item includes Subgrade Preparation, Aggregate Sub-base Course, PCCP Class A, Concreting of Adjoining Premises and Grouted Rip rap (Slope Protection)</t>
  </si>
  <si>
    <t xml:space="preserve"> Please see attached RFQ</t>
  </si>
  <si>
    <t xml:space="preserve"> Republic of the Philippines						 Province of Eastern Samar						 Municipality of Balangkayan						 						 REQUEST FOR QUOTATION (RFQ)						 						 				DATE :	6/16/2020	 						 						 						 						 						 						 Sir/Madam:						 						 	Please qoute your </t>
  </si>
  <si>
    <t xml:space="preserve"> Qty.	Unit	Item &amp; Description 1,395	Ltr.	Diesel 971	Ltr.	Gasoline 		 		 		 		 		 		 		 		 		 		 		 		 		  		 	   	 	VAT Inclusive  	 	Place of Delivery: Brgy.Poblacion, Cagdianao, DI</t>
  </si>
  <si>
    <t xml:space="preserve"> See attached document.</t>
  </si>
  <si>
    <t xml:space="preserve"> SEE RFQ</t>
  </si>
  <si>
    <t xml:space="preserve"> Procurement of Rabies Vaccine</t>
  </si>
  <si>
    <t xml:space="preserve"> PEO-2020-0173 PR2020-0436 INVITATION TO BID FOR THE PROCUREMENT OF LABOR, MATERIALS, AND EQUIPMENT FOR THE REHABILITATION AND IMPROVEMENT OF PEO BUILDING (ELECTRICAL CONNECTION REVAMP, REPLACEMENT OF DOORS AND WINDOWS, CEILING AND PAINTING WORKS) AT NEW C</t>
  </si>
  <si>
    <t xml:space="preserve"> CONSTRUCTION MULTI PURPOSE BUILDING-PUROK 1, FUENTES, PANTUKAN (MATERILS)</t>
  </si>
  <si>
    <t xml:space="preserve"> Project Title: 	PROPOSED REWIRING FOR TOPAS AND INSTALLATION OF CIRCUIT HOME-RUN AT AMETHYST BUILDING, DSWD FOXI					  Location: 	D. Suazo st. Cor. Magsaysay ave. Davao City					 Approved Budget for the Contract (ABC):		₱626,000.00				 						  ITEM NO. 	S</t>
  </si>
  <si>
    <t xml:space="preserve"> Sodium Bicarbonate 1MEQ/ML, 50ml Requirements for Drugs and Medicines: **Drugs with history of usage from VMMC (Requirements No. 1-5 only) ** **For Innovators (Requirements No. 1-4 only) ** 1. CPR 2. CGMP 3. LTO 4. CERTIFICATE OF DISTRIBUTOSHIP 5. CERTIFI</t>
  </si>
  <si>
    <t xml:space="preserve"> One (1) Lumpsum Consultancy Services for the Conduct of 10-Year Solid Waste Management Plan for Six (6) Local Government Units and Two (2) Provincial Local Government Units in Region 12.</t>
  </si>
  <si>
    <t xml:space="preserve"> INVITATION TO BID FOR PURCHASE OF BOOKS / LEARNING MATERIALS FOR KINDERGARTEN PUPILS 1.	The Municipal Government of Sta. Maria through the Special Education Funds 2020 intends to apply the sum of Three Hundred Sixty One Thousand Pesos (₱361,000.00) being </t>
  </si>
  <si>
    <t xml:space="preserve"> 4 Unit Steel Cabinet. 4 layers. Heavy duty. 35 inches x 18 inches x 52 inches (LxWxH) Note: Please see attached associated component.</t>
  </si>
  <si>
    <t xml:space="preserve"> 5	Box	Aspirin 80 mg Tablet, 100 tablet per box 2	Box	Isoxsuprine Hydrochloride 10 mg Tablet, 40 tablet per box 2	Box	Hydrochlorothiazide 25mg 1 Tablet, 100 tablet per box 5	Box	Lidocaine HCI Epinephrine 20mg/ml,2%, 50 Polypropylene Cartridge x 1.8 mL, Car</t>
  </si>
  <si>
    <t xml:space="preserve"> Various Electrical Supplies</t>
  </si>
  <si>
    <t xml:space="preserve"> 1 Breakfast,1 Lunch,and 1 Dinner (Plate-in) - 322 pax</t>
  </si>
  <si>
    <t xml:space="preserve"> Detailed Estimate		 For the Rehabilitation of Day Care Center		 at Barangay Portic, Bugallon, Pangasinan		 		 ABC: 12,601.82		 A. Materials		 		 2	pcs	1/4 Marine Plywood 5	bd ft	2"x2"x12' Good Lumber 2	kls	Assorted Finishing Nail 6	gals	Semi Gloss Latex 2</t>
  </si>
  <si>
    <t xml:space="preserve"> QTY  UNIT  DESCRIPTION 1 Unit Buffet Cabinet 1 Set Dining Table with Chair 1 Pc Sheep Skin</t>
  </si>
  <si>
    <t xml:space="preserve"> 24		pax	Meals(lunch &amp; dinner) &amp; 2 snacks (am &amp; pm)		 21		pax	Accommodation		 3		pax	Meals(lunch) &amp; 2 snacks (am &amp; pm)</t>
  </si>
  <si>
    <t xml:space="preserve"> 1.	1	unit/s	Laptop NoteBook 			Specs: AMD Ryzen 53500U APU 			512GB Solid State Drive 			8GB SODIMM DDR4 SDRAM 			No Optical Drive 			Windows 10 			14.0 HD LED Display 2.	1	unit/s	LCD Projector 3.	1	piece/s	PC Accs (HDMI Cable) 4.	1	piece/s	USB Accs (USB-</t>
  </si>
  <si>
    <t xml:space="preserve"> BUREAU OF CORRECTIONS IWAHIG PRISON AND PENAL FARM Puerto Princesa City REQUEST FOR QUOTATION IPPF 2020-06-58 Date:								        	 Name of Company: _______________________________________________________________ Address: ________________________________</t>
  </si>
  <si>
    <t xml:space="preserve"> ITEM DESCRIPTION ARE IN ATTACHED FILE</t>
  </si>
  <si>
    <t xml:space="preserve"> Item No.	Quantity 	Unit of Issue		Item Description 		 						 1	2	KLS.		C.W NAILS # 3		 2	5	BOX		STAPLE		 3	2	KLS.		CW NAILS #		 4	6	ROLL		MASKING TAPE # 1		 5	1	PC		BATTERY CLAMPN TERMINAL		 6	15	KLS.		SHIP CHAIN		 7	5	PCS		PADLOCK		 8	3	PCS.		TURN BUCKLE</t>
  </si>
  <si>
    <t xml:space="preserve"> 1	lumpsum	Supply, Delivery, Installation and Testing of Additional 								 		          Single Primary Distribution Line Wire and its Accessories 								 		          with Signed and Sealed Plan plus Design Analysis at 								 		          Existing Aneco </t>
  </si>
  <si>
    <t xml:space="preserve"> 50 SETS RENTAL OF SCAFFOLDING FOR 15 DAYS P240@DAY = P180,000.00 For further information, please refer/contact to: AMELITA E. PEÑAFLOR BAC Chairman LGU Dinalupihan Email Add: amelitapeñaflor@yahoo.com Tel. No.: 047 636-0060 CP No. 09175517677 ISAGANI T. C</t>
  </si>
  <si>
    <t xml:space="preserve"> INVITATION TO BID (464-A-2020) Procurement of Construction Materials for the Improvement of  Brgy. Dajay Day Care Center The LGU Surallah through the Bids and Awards Committee (BAC) is inviting suppliers to bid for the supply and delivery of GOODS/INFRAST</t>
  </si>
  <si>
    <t xml:space="preserve"> USB Type Camera</t>
  </si>
  <si>
    <t xml:space="preserve"> *see RFQ</t>
  </si>
  <si>
    <t xml:space="preserve"> 1 lot Contract Package for Equipment, Labor and Materials for the CONSTRUCTION OF WOMEN DEVELOPMENT CENTER at Dagohoy, Talaingod, Davao del Norte Area: 63.00 sq.m. SCOPE OF WORKS I. Other General Requirements - Project Billboard: 1.00 unit II. Demolition </t>
  </si>
  <si>
    <t xml:space="preserve"> 56 pc sports shirt, dark grey with print 56 pc running shorts with prints (sports)</t>
  </si>
  <si>
    <t xml:space="preserve"> Gabapentin 100mg Cap Requirements for Drugs and Medicines: **Drugs with history of usage from VMMC (Requirements No. 1-5 only) ** **For Innovators (Requirements No. 1-4 only) ** 1. CPR 2. CGMP 3. LTO 4. CERTIFICATE OF DISTRIBUTOSHIP 5. CERTIFICATE OF ANAL</t>
  </si>
  <si>
    <t xml:space="preserve"> Republic of the Philippines PROVINCE OF NORTHERN SAMAR BIDS AND AWARDS COMMITTEE Catarman Invitation to Bid NS-06-17-20-04-R5 Establishment of Automated Weather Station Sitio Tabuk, Brgy. E. Laodenio, Mapanas, Northern Samar 1.	The Provincial Government o</t>
  </si>
  <si>
    <t xml:space="preserve"> Various Hardware &amp; Construction Materials &amp; Supplies</t>
  </si>
  <si>
    <t xml:space="preserve"> Qty	Unit	 Articles / Description 				 1	unit 	Laptop Charger 				 		Specifications:				 		Model: 0713A1990				 		Input: 100-240V~, 50-60Hz 1.5A				 		Output: 19V 4.74A				 2	unit 	ACER Laptop Charger				 		Specifications:				 		ModelPA-1450-26				 		Input</t>
  </si>
  <si>
    <t xml:space="preserve"> Procurement of Aircon</t>
  </si>
  <si>
    <t xml:space="preserve"> Procurement of 300 cubic meter earth fill (Madrigal) for use in the establishment of the ATIng UMA Mini Garden and Vineyard Tunnel. Approved Budget of the Contract includes the labor for spreading and leveling of the materials to the specified area.</t>
  </si>
  <si>
    <t xml:space="preserve"> 22000 PC SACKS (16X26) P7@ = P 154,000.00 4500 PCS SACKS (26X40) P10@ = P 45,000.00 For further information, please refer/contact to: AMELITA E. PEÑAFLOR BAC Chairman LGU Dinalupihan Email Add: amelitapeñaflor@yahoo.com Tel. No.: 047 636-0060 CATHERINE M.</t>
  </si>
  <si>
    <t xml:space="preserve"> Work item includes subgrade preparation, aggregate sub base course, PCCP &amp; embankment (filling of road shoulders)</t>
  </si>
  <si>
    <t xml:space="preserve"> "          Please quote your price(s) for the article(s) as specified in the list below for the Principal II of Libona NHS which are available in your store/establishment/company. If available, please furnish catalogue, descriptive brochures of literature</t>
  </si>
  <si>
    <t xml:space="preserve"> 15 rolls MOTTO Barbed wire (thin, 400m length)</t>
  </si>
  <si>
    <t xml:space="preserve"> 3 units Desktop Computer 3 units Laptop</t>
  </si>
  <si>
    <t xml:space="preserve"> The DEPED Baguio Teachers Camp through it's Bids and Awards Committee (BAC) is now inviting interested suppliers to quote on the following items: REPAIR MATERIALS			 54	pcs	Lumber 2" x 2" x 12' Rough 35	pcs	Lumber 2" x 3" x 12' Rough 45	pcs	Marine Plywood</t>
  </si>
  <si>
    <t xml:space="preserve"> ITB No. 2020-74 June 17, 2020 Republic of the Philippines Province of Davao Oriental CITY OF MATI INVITATION TO BID ESTABLISHMENT OF STOCK ROOM FOR LIVESTOCK AND POULTRY MULTIPLIER FARM Name of Project 1.	The City Government of Mati, through the 20% Local</t>
  </si>
  <si>
    <t xml:space="preserve"> INVITATION TO BID (463-2020) Procurement of Construction Materials for the Improvement of Brgy. Colongulo Day Care Center The LGU Surallah through the Bids and Awards Committee (BAC) is inviting suppliers to bid for the supply and delivery of GOODS/INFRAS</t>
  </si>
  <si>
    <t xml:space="preserve"> 300	pcs.	CHB 4" thick	 14	pcs.	10mm0x6m RSB	 7	cu.m	Sand	 8	pcs.	60x60 Floor Tiles	 40	pcs.	60x60 wall tiles	 4	bags	Adhesive Cement	 1	pcs.	Faucet	 10	pcs.	PVC Pipe # 3dia	 6	pcs.	PVC  Pipe 1/2' dia	 2	pcs.	PVC Elbow # 3	 2	pcs.	PVC Elbow #1/2	 1	pcs.	PV</t>
  </si>
  <si>
    <t xml:space="preserve"> Construction of Flood Control Facility at Purok 1-Purok 1-A to be constructed at Barangay bobongon Please be informed that this project is being posted by Barangay Bobongon, santo tomas, davao del norte</t>
  </si>
  <si>
    <t xml:space="preserve"> The City Government of San Pedro, Laguna invites interested parties to quote for the following item/s as per request Sangguniang Panlungsod: Qty.	Unit of Issue	Item Description		 				 40	sacks	Rice	     	     122,000.00  1280	cans	Sardines (155g.)	       </t>
  </si>
  <si>
    <t xml:space="preserve"> INVITATION TO BID ITB NO. 2020-06-006 The Procuring Entity  through its Bids and Awards Committee (BAC), invites eligible IT suppliers to apply for eligibility and to bid for the hereunder project: Name of Project: Purchase of Construction Materials  for </t>
  </si>
  <si>
    <t xml:space="preserve"> (PLEASE SEE ATTACHED ASSOCIATED COMPONENT) please send Request for Quotation  -  philgepsprocurement19@gmail.com Contact Person:	FREDERICK VILLAS (711-69-73) 7,000	bot	Mineral Water     5 gallon/bottle	 			 		REQUIREMENTS:   (3 SETS IN 3 ENVELOPE EACH)	 	</t>
  </si>
  <si>
    <t xml:space="preserve"> Proposed Repair of Tile Flooring at MLWD Administration Building, Brgy. Balintawak, Lipa City ABC : Php 55,745.55 Project Duration : 5 calendar days</t>
  </si>
  <si>
    <t xml:space="preserve"> FOR PHARMACY USE</t>
  </si>
  <si>
    <t xml:space="preserve"> REPUBLIC OF THE PHILIPPINES  CITY OF ILOILO BIDS AND AWARDS COMMITTEE Office of the BAC Secretariat, 7th Floor, Iloilo City Hall, Plaza Libertad, Iloilo City 5000 Philippines Tel No.:  033-333-111 loc. 730		E-mail: bac.iloilocity@gmail.com REQUEST FOR QUO</t>
  </si>
  <si>
    <t xml:space="preserve"> Procurement of Farm Machineries and Equipment - Php 970,000.00 7 HP DIESEL ENGINE PALAY THRESHER - 1 unit - Php 162,000 Irrigation Water Supply w/ Accesories 7HP engine pumps, horizontal water cooled, 4-cycle diesel engine; bore x stroke – 80 x 75 mm; dis</t>
  </si>
  <si>
    <t xml:space="preserve"> VEHICLE</t>
  </si>
  <si>
    <t xml:space="preserve"> Republic of the Philippines									 DEPARTMENT OF PUBLIC WORKS &amp; HIGHWAYS									 CAMARINES SUR 3RD   									 DISTRICT ENGINEERING OFFICE									 Regional Office V									 Baras, Canaman									 									 Name of Procuring Entry: DPWH-Cam. Sur III	</t>
  </si>
  <si>
    <t xml:space="preserve"> Rice - 31 sacks</t>
  </si>
  <si>
    <t xml:space="preserve"> 1. Universal Outlet (C.O) Convenience Outlet  - 700 pcs 2. Plate Cover 2 Gang for Universal Outlet  - 350 pcs 3. Electrical Wire #12 Stranded THHN/THWN  - 32 box 4. Electrical Wire#12 Solid THHN/THWN  - 2 box 5. Electrical Wire#14 Solid THHN/THWN  - 2 box</t>
  </si>
  <si>
    <t xml:space="preserve"> Supply and delivery of One (1) unit Barcode Scanner, Personal Data Terminal, wireless, handheld, Operating System: Microsoft Windows CE 6.0 R3 and android 2.3 (multi language), Software required: to interface with SAP-based system, laser scanner: 1D and 2</t>
  </si>
  <si>
    <t xml:space="preserve"> All in One Printer with CISS Specifications 1.	Printing method: Micro Piezo print 2.	Nozzle Configuration: 180 nozzles black, 59 nozzles per color 3.	Minimum droplet size: 3 pl, with variable sized droplet technology 4.	Ink technology: dye ink 5.	Printing</t>
  </si>
  <si>
    <t xml:space="preserve"> IT SUPPLIES	 1 	 LOT  	 17,000.00  COMPUTER ANTI-VIRUS/INTERNER SECURITY, 5 IN 1	 2 	 PCS 	 MS OFFICE 2013	 2 	 PCS 	 			 COMBUTER INK	1	LOT	 51,300.00  PRINTER INK HP# 680 BLACK	27	PCS	 PRINTER INK HP# 680 COLOR	27	PCS	 PRINTER INK HP# 678 BLACK	27	PCS	 </t>
  </si>
  <si>
    <t xml:space="preserve"> BIDS AND AWARDS COMMITTEE Tel. # (049) 501-1611 June 17, 2020 INVITATION TO BID The Municipal Government of Sta. Maria, Laguna through its Bids and Award Committee (BAC), invites suppliers/manufacturers/distributors to apply for eligibility and to bid for</t>
  </si>
  <si>
    <t xml:space="preserve"> Procurement of Enteral Formula</t>
  </si>
  <si>
    <t xml:space="preserve"> INVITATION TO BID June 16, 2020 1.	The Provincial Government of Davao Occidental, through its Bids and Awards Committee (BAC), invites all suppliers to apply to bid for the following goods: Bids received in excess of the ABC shall be automatically rejecte</t>
  </si>
  <si>
    <t xml:space="preserve"> REGION XII  Province of Cotabato  Municipality of Midsayap  BIDS &amp; AWARDS COMMITTEE  Tel. Nos. (064) 229-8018; 229-8650; 229-8450  INVITATION TO BID FOR   2020-062, CONSTRUCTION OF 3 UNITS WATER SYSTEM LEVEL II AT PUROK 1, 3 AND 7,   ILBOCEAN, MIDSAYAP, C</t>
  </si>
  <si>
    <t xml:space="preserve"> Work item includes Subgrade preparation, aggregate sub-base course, PCCP, embankment (filling of road shoulders) and rip rapping of existing RCP sides</t>
  </si>
  <si>
    <t xml:space="preserve"> 1 lot Contract Package for Equipment, Labor and Materials REHAB./IMPVT. OF MULTI-PURPOSE BUILDING (GYM) Napungas, Asuncion, Davao del Norte Area of Canopy: 141.00 sq.m. Length of Canopy: 56.40 m. Width of Canopy: 2.50 m. Height of Canopy: ±4.25 m. SCOPE O</t>
  </si>
  <si>
    <t xml:space="preserve"> Supply and Delivery of Rabies Vaccine intended for DA-LGU Manito Albay</t>
  </si>
  <si>
    <t xml:space="preserve"> Supply, delivery and installation of One (1) unit Shrink Wrapping Machine, Packing size: min. of or close to 450mm x 330mm x 200mm (L x W x H), Power Supply: 220-240V, per BSP Specifications</t>
  </si>
  <si>
    <t xml:space="preserve"> The AGRICULTURAL TRAINING INSTITUTE-REGIONAL TRAINING CENTER (ATI-RTC) X, through the 2020 General Appropriations Act intends to apply the sum of Two Hundred Seventeen Thousand Seven Hundred Fifty Pesos (P 217,750.00) being the Approved Budget for the Con</t>
  </si>
  <si>
    <t xml:space="preserve"> Name of the Procuring Entity: UNIVERSITY OF NORTHERN PHILIPPINES  	Project Reference Number: 20-05-27-129 										Name of the Project: 	 Standard Form Number: SF-GOOD-60						Location of the Project: UNP ViganCity Revised on: May 24, 2004 Standard Form </t>
  </si>
  <si>
    <t xml:space="preserve"> Agreggate Base Coarse  42.30 cu.m  Portland Cement Concrete pavement       282.0 sq.m.</t>
  </si>
  <si>
    <t xml:space="preserve"> 20 - 	Cart - 	Ink cartridge, Brother, black, for MPC-J200 30 - 	Cart - 	Ink cartridge, Brother, Tricolor, for MPC-J200 10 - 	Piece - 	Epson Refill ink. Black. For L360 3 - 	Unit - 	Back-UPS. Input-Output: 220V/60Hz. Capacity: 650VA/390W 40 - 	Piece - 	Eps</t>
  </si>
  <si>
    <t xml:space="preserve"> AUDIO AND VISUAL EQUIPMENT</t>
  </si>
  <si>
    <t xml:space="preserve"> REGION XII  Province of Cotabato  Municipality of Midsayap  BIDS &amp; AWARDS COMMITTEE  Tel. Nos. (064) 229-8018; 229-8650; 229-8450  INVITATION TO BID FOR   2020-063, CONSTRUCTION OF WATER SYSTEM LEVEL II AT PUROK BOUGAINVILLE,  BUAL NORTE, MIDSAYAP, COTABA</t>
  </si>
  <si>
    <t xml:space="preserve"> INVITATION TO APPLY FOR ELIGIBILITY AND TO BID THE BIDS AND AWARD COMMITTEE OF BRGY. MAURANG, MUNICIPALITY OF CAIBIRAN, BILIRAN IS INVITING ALL INTERESTED BIDDERS ON ITS FORTH COMING PUBLIC BIDDING FOR: Project Title	                : Construction of Inta</t>
  </si>
  <si>
    <t xml:space="preserve"> 1 lot Contract Package for Equipment, Labor and Materials for the BARANGAY HALL IMPROVEMENT at Brgy. Dagohoy, Talaingod, Davao del Norte Length of Building: 8.40 m. Width of Building: 14.40 m. Height: 5.20 m. I. General Requirements - Project Billboard: 1</t>
  </si>
  <si>
    <t xml:space="preserve"> 1 unit Dump truck Specs: Engine            :  Euro 4 Displacement  : 3933cc Max. Power     : 150 ps @2900 rpm Max. Torque: 59 kg-m@ 1,600 rpm Turbo charger: Turbo charger Suspension Type: Semi-elliptic, laminated leaf spring w/shock absorber Fuel Tank Cap</t>
  </si>
  <si>
    <t xml:space="preserve"> - 20 pieces - Cashbook, Cash in Treasury (Annex 12), Hardbound Front and Back Cover, (21 cm x 34 cm x 2 cm), Velum Cartolina, 100 sheets/200 pages  - 20 pieces - Cashbook, Cash Advances (Annex 14), Hardbound Front &amp; Back Cover, (21 cm x 34 cm x 2 cm),  Ve</t>
  </si>
  <si>
    <t xml:space="preserve"> Supply and Delivery of Construction Materials and Supplies intended for the Repair of Brgy Manumbalay Day Care Center Bldg.</t>
  </si>
  <si>
    <t xml:space="preserve"> Additional bore hole of 86 ft. at 8" diameter</t>
  </si>
  <si>
    <t xml:space="preserve"> 1	840	BD/FT.	2”X2”X12” , (GOOD LUMBER) (210PCS) 2	300	BD/FT.	2”X3”X12” , (GOOD LUMBER) (50PCS) 3	160	BD/FT.	2”X4”X12” , (GOOD LUMBER) (20PCS) 4	4	SHT/S	10.0MM. X 4” X8’, ORDINARY PLYWOOD 5	10	PC/S	CONSTRUCTION GLOVES(WHITE ORANGE) 6	35	KG/S	CWN” #4 7	35	K</t>
  </si>
  <si>
    <t xml:space="preserve"> 1. 2 units Corn Mill -Progressive type, capable of milling white corn for human food with slight switching port adjustment to immediately use for yellow corn milling for poultry and livestock Minimum Specifications: -Input Capacity:200kg-250kg/hr -Power S</t>
  </si>
  <si>
    <t xml:space="preserve"> Republic of the Philippines Province of Negros Occidental Municipality of Binalbagan Telephone/ FAX Number: (034) 3888701 INVITATION TO BID The Municipality   of  Binalbagan, Negros Occidental, through its Bids and Awards Committee (BAC), invites supplier</t>
  </si>
  <si>
    <t xml:space="preserve"> Request for Quotation 32	pcs	Corrugated GI Sheet12ft G30					 6 	pcs	Plain Sheet/Ridge Roll					 51 	pcs	Ply Wood Ord 1/4					 250 	pcs	Coco Lumber 2x2x12					 10 	kls	Umbrella Nail					 1 	ltr	Vulcaseal					 20 	kls	Common Nail 3"					 4 	kls	Common Nail</t>
  </si>
  <si>
    <t xml:space="preserve"> 1.30 pcs -2" x 2" x 12' Coco Lumber - 120 bd. Ft				 2.30 pcs -2" x 3" x 12' Coco Lumber - 180 bd. Ft				 3.40kg Portland Cement - 50 bags				 4.Washed Sand (Silway) - 9 cu.m				 5.9pcs-4" x 4" x 8' G'melina (post) - 96 bd. Ft				 6.20pcs-2" x 4" x 12' G'</t>
  </si>
  <si>
    <t xml:space="preserve"> Republic of the Philippines Sangguniang Barangay of Barangay 5 Poblacion Quezon, Quezon INVITATION TO BID Date: June 19, 2020 The Sangguniang Barangay 5 Poblacion, through its Bids and Awards Committee (BAC), invites supplier/manufactures/distributors/con</t>
  </si>
  <si>
    <t xml:space="preserve"> CANOPY  6:00 X 12:00 Materials: 3 pcs. G.I. dia 1/2 S20 3 pcs. G.I. dia 1/4 S20 2 pcs. G.I. dia 1 S20 16 pcs. G.I. dia 3/4 S20 68 pcs. G.I. dia 1/2 S20 19 PCS. 10MM dia RSB 10 kls. Welding rod  60 pcs. Bolts washer 3/8 x 1/2 12 pcs. Bolts washer 3/8 x 5 4</t>
  </si>
  <si>
    <t xml:space="preserve"> 1	450	PC/S	0.60M. X 0.60M., UNGLAZED TILES 2	77	KL/S	TILE GROUT 3	20	KL/S	TILE ADHESIVE 4	5	PC/S	4” DIA. TILE CUTTER DIAMOND 5	24	PC/S	0.60M. X 0.60M., UNGLAZED TILES 6	14	PC/S	0.60M. X 0.60M., GLAZED TILES 7	5	PC/S	9.0MM. X 2.40M. TILE TRIM 8	2	UNIT/S	WA</t>
  </si>
  <si>
    <t xml:space="preserve"> Construction of Culvert : L=6.00m ; W=0.50m ; D=0.50m</t>
  </si>
  <si>
    <t xml:space="preserve"> Invitation to Bid for the Supply &amp; Delivery of  Various Materials   intended for the Rehabilitation of Water Supply  (Project Reference No. 005-01-2020)  The  Barangay Government of Buyot, Don Carlos, Bukidnon,   intends to apply the sum of  Php 119,821.8</t>
  </si>
  <si>
    <t xml:space="preserve"> Invitation to Bid for the Leachate Pond Completion at Sanitary Landfill 1.	The Local Government Unit of Manolo Fortich, through the General Fund intends to apply the sum of THREE MILLION FIVE HUNDRED THOUSAND PESOS (PhP 3,500,000.00) being the Approved Bu</t>
  </si>
  <si>
    <t xml:space="preserve"> EQUIPMENT FOR THE IMPLEMENTATION OF LIVELIHOOD PROJECT OF MADATAG ISNAG FARMERS ASSOCIATION - HAND TRACTOR - THRESHER - BABY CONO RICE MILL SEE ATTACHED CANVASS FORM FOR THE DETAILS ITEMS MUST BE DELIVERED AT KABUGAO, APAYAO</t>
  </si>
  <si>
    <t xml:space="preserve"> Purchase of 200 pcs Rapid Test Kit</t>
  </si>
  <si>
    <t xml:space="preserve"> REGION XII  Province of Cotabato  Municipality of Midsayap  BIDS &amp; AWARDS COMMITTEE  Tel. Nos. (064) 229-8018; 229-8650; 229-8450  INVITATION TO BID FOR   2020-065, CONSTRUCTION OF (14M X 18M) MULTI-PURPOSE DRYING PAVEMENT AT ANONANG, MIDSAYAP, COTABATO  </t>
  </si>
  <si>
    <t xml:space="preserve"> Supply and Delivery of Construction Materials and Supplies intended for the Repair of Water System at Brgy Manumbalay</t>
  </si>
  <si>
    <t xml:space="preserve"> INVITATION TO BID (462-2020) Procurement of Construction Materials for the Improvement of Day Care Center, Brgy. Naci, Surallah The LGU Surallah through the Bids and Awards Committee (BAC) is inviting suppliers to bid for the supply and delivery of GOODS/</t>
  </si>
  <si>
    <t xml:space="preserve"> One (1) lot Neuro-Psychological Test for 29 Security Division personnel per BSP Terms of Reference</t>
  </si>
  <si>
    <t xml:space="preserve"> The Barangay Government of Brgy. Sto. Nino, through its Bids and Awards Committee (BAC), intends to apply the sum of One Hundred Thirteen Thousand One Hundred Six Pesos and 20/100 (Php 113,106.20), under the 20% BDF of the approved Annual Budget CY 2020, </t>
  </si>
  <si>
    <t xml:space="preserve"> Sir/Madam: Please quote your government price/s including delivery charges, VAT or other applicable taxes, and other incidental expenses for the goods listed in Annex A. Failure to indicate information could be basis for non - compliance. Also, furnish us</t>
  </si>
  <si>
    <t xml:space="preserve"> Republic of the Philippines Province of Nueva Vizcaya BIDS AND AWARDS COMMITTEE (BAC-Goods) BAC OFFICE, Provincial Capitol, Bayombong, Nueva Vizcaya 	 REQUEST FOR QUOTATION (RFQ)  For the Procurement 1 unit Unmanned Aerial Vehicle (Drone) &amp; Digital SLR Ca</t>
  </si>
  <si>
    <t xml:space="preserve"> Republic of the Philippines Department of Agriculture BUREAU OF FISHERIES AND AQUATIC RESOURCES Fisheries Regional Office No. 10 Macabalan, Cagayan de Oro City TIN – 000-550-823-017 INVITATION TO BID  The Bureau of Fisheries and Aquatic Resources Regional</t>
  </si>
  <si>
    <t xml:space="preserve"> Stock / Property No.	Unit	Item Description					Quantity 							 							 1	pcs	Cartolina (asstd. color)				                 	100 2	reams	Construction Paper (asstd. color) short 80 GSM		20 3	pcs	Folder (long)					                                100 4	box	Fa</t>
  </si>
  <si>
    <t xml:space="preserve"> INVITATION TO BID (463-2020) Procurement of Construction Materials for the Improvement of Day Care Center, Brgy. Centrala The LGU Surallah through the Bids and Awards Committee (BAC) is inviting suppliers to bid for the supply and delivery of GOODS/INFRAS</t>
  </si>
  <si>
    <t xml:space="preserve"> DESCRIPTION Republic of the Philippines Province of Oriental Mindoro MUNICIPALITY OF NAUJAN BARANGAY MELGAR B BIDS AND AWARDS COMMITTEE INVITATION TO BID SUPPLY AND DELIVERY OF DISASTER SUPPLIES AND MATERIALS 1. The Barangay Government of MELGAR B – Bids </t>
  </si>
  <si>
    <t xml:space="preserve"> Name  of  Procuring    Entity:   BARANGAY  TUBIGON Name  of  Project:   PURCHASES  OF  CONSTRUCTION  MATERIALS  FOR  THE CONSTRUCTION  OF  MPB-                                      ( COVER  COURT )                PUROK -1  TUBIGON Location  Project:    P-</t>
  </si>
  <si>
    <t xml:space="preserve"> Procurement of Glucose strip with free Glucometer</t>
  </si>
  <si>
    <t xml:space="preserve"> QTY UNIT PARTICULAR 6 pcs  Spanish gutter 10 pcs 3" PVC pipe 10 pcs 3" PVC elbow 12 pcs 4" PVC pipe 6 pcs 4" PVC elbow 4 pcs 4" PVC end plug 8 pcs 4" 0x3" O PVC tee 7 pcs 4"o PVC tee 2 lit Vulca seal 1 lit Solvent cement 20 kg Assorted common nails 116 bd</t>
  </si>
  <si>
    <t xml:space="preserve"> REGION XII  Province of Cotabato  Municipality of Midsayap  BIDS &amp; AWARDS COMMITTEE  Tel. Nos. (064) 229-8018; 229-8650; 229-8450  INVITATION TO BID FOR   2020-066, CONSTRUCTION OF WATER SYSTEM AT DILANGALEN NATIONAL HIGH SCHOOL, POBLACION 1, MIDSAYAP, CO</t>
  </si>
  <si>
    <t xml:space="preserve"> PUBLIC BIDDING</t>
  </si>
  <si>
    <t xml:space="preserve"> food-16 days</t>
  </si>
  <si>
    <t xml:space="preserve"> Construction of Flood Control Facility at Purok 1 -D to be constructed at Barangay bobongon Please be informed that this project is being posted by Barangay Bobongon, santo tomas, davao del norte</t>
  </si>
  <si>
    <t xml:space="preserve"> Republic of the Philippines Province of Sarangani Municipality of Malapatan INVITATION TO BID  	 2020-B1-06-015        PROCUREMENT OF PNP RESPONSE VEHICLE, MALAPATAN, SARANGANI PROVINCE 1.	The Local Government Unit of Malapatan, through the 2018 LDRRMF in</t>
  </si>
  <si>
    <t xml:space="preserve"> Section I. Invitation to Bid Republic of the Philippines Province of Sultan Kudarat Municipality of Bagumbayan OFFICE OF THE BIDS AND AWARDS COMMITTEE Bagumbayan, Sultan Kudarat INVITATION TO BID FOR PROCUREMENT FOR THE 30,260 LITERS OF DIESOLINE FOR THE </t>
  </si>
  <si>
    <t xml:space="preserve"> The Local Government of San Mateo, through its Bids and Awards Committee (BAC), invites suppliers, manufacturers, distributors, contractors registered with the BAC in the Local Government of San Mateo, to apply for eligibility and if found eligible, to bi</t>
  </si>
  <si>
    <t xml:space="preserve"> Item Description &amp; Specification: -4-pcs.-Tubeless Tire, 265 x 60, R18 All Terrain</t>
  </si>
  <si>
    <t xml:space="preserve"> assorted colors and design of HABI</t>
  </si>
  <si>
    <t xml:space="preserve"> 28 PAA SHOES, CHAROL 28 PC RAIN BOOTS</t>
  </si>
  <si>
    <t xml:space="preserve"> Aggregate Base Coarse for Regravelling of Roads at Brgy. Cacayasen, Burgos, Pangasinan</t>
  </si>
  <si>
    <t xml:space="preserve"> Please refer to the attached Request for Quotation. Thank you.</t>
  </si>
  <si>
    <t xml:space="preserve"> Office: Mayor's Office Purpose: For Patrol Vehicles ABC: 1,500,000.00 1 UTILITY VAN VARIANT: PREMIUM M/T (15-SEATER) TRANSMISSION: 5-SPEED MANUAL ENGINE MODEL AND TYPE: 2.5-LITER 4 IN-LINE DOHC 16 VALVE VARIABLE TURBO CHARGE (VGS) DIESEL (YD25DDTI) BORE X</t>
  </si>
  <si>
    <t xml:space="preserve"> GARBAGE TRUCK JMC I 2 pcs Tires 700 x 16 MINI DUMP TRUCK 10A399 2 pcs Tires 700 x 16</t>
  </si>
  <si>
    <t xml:space="preserve"> Procurement of FArm Inputs: Php 635,840.00 Certified imbreed Rice Seeds - 32 bags@40kg @Php 1,200/kg Red Pinoy (onion) seeds (46-0-0)-32 cans@ Php 1,850 Urea (46-0-0)- 32 bags@50kg -@Php 985.00/bag Complete (14-14-14)-32 bags@50kg -@Php 1,200/bag 0-0-60 -</t>
  </si>
  <si>
    <t xml:space="preserve"> 1	4	PC/S	10MM. THK. X 0.15M. X 0.5M. STEEL PLATE 2	16	PC/S	12MM. X 0.25M. ANCHOR BOLT W/ NUT &amp; WASHER 3	5	LNGTH/S	1 ½” DIA. G.I PIPE , S-40 4	25	PC/S	CUTTING DISK 5	4	LNGTH/S	G.I PIPE # 1 ½” DIA. SCH.40 6	13	LNGTH/S	G.I PIPE # 1” DIA. SCH.40 7	9	LNGTH/S	1</t>
  </si>
  <si>
    <t xml:space="preserve"> Jetmatic Pump Steel Pipe Coupling</t>
  </si>
  <si>
    <t xml:space="preserve"> Drainage Canal - L=80.00m ; W=1.20m ; D=0.70m</t>
  </si>
  <si>
    <t xml:space="preserve"> Please refer to the attached Request for Quotation, Plans/Drawings, Program of Work, and Detailed Unit Price Analysis. Thank you.</t>
  </si>
  <si>
    <t xml:space="preserve"> 28 ream Individual Treatment Form 22 ream Referral Form' 2 ream Dental Form</t>
  </si>
  <si>
    <t xml:space="preserve"> Opening of Farm to Market Road Barangay Mabilbila Sur, Santa, Ilocos Sur</t>
  </si>
  <si>
    <t xml:space="preserve"> Name of Project   :Supply of Manpower, Materials, Tools &amp; Equipment and Engineering Supervision for the Re-piping  work of AHU Water Supply in all Quadrants, replacing the G.I. Pipe into P.P.R. from Roofdeck area going down to Ground Floor Lobby Area. App</t>
  </si>
  <si>
    <t xml:space="preserve"> PROJECT: PROVISION OF SLOPE PROTECTION (1.60m X 26.15m) WITH HANDWASHING FACILITIES (0.40m X 28m) AND DRAINAGE SYSTEM (0.20m X 0.30m X 53m) - PHASE I 75	bags	Cement 650	pcs	Concrete Hollow Block 6" 8	cu.m	Fine Sand 4	cu.m	Gravel 3/4 30	pcs	Steel Bar 12mm </t>
  </si>
  <si>
    <t xml:space="preserve"> The Barangay Capagaran, Allacapan,CAgayan through its Bids and Awards Committee (BAC), invites suppliers/distributors/contractors to apply for eligibility and to bid for the hereunder project: Name of Contract :Repair of Gamma Bridge Location : Capagaran,</t>
  </si>
  <si>
    <t xml:space="preserve"> Stock / Property No.	Unit	Item Description					Quantity 							 							 1	unit	Thermal Scanner					                             2 		Specs:					 			Non-contact Infrared Thermometer				 			Powe: DC 3V				 			Measuring range: 32.0'C-42.9'C</t>
  </si>
  <si>
    <t xml:space="preserve"> Supply and delivery of Twenty Five (25) pcs Ammunition Bag, heavy duty</t>
  </si>
  <si>
    <t xml:space="preserve"> Stock / Property No.	Unit	Item Description					Quantity 							 							 1	pcs	Wood Lumber 2x2x10"				                 	85 2	pcs	Ordinary Plywood					                        40 3	kg	CW Nails Assorted					                         8 4	kg	Concrete Nail					  </t>
  </si>
  <si>
    <t xml:space="preserve"> Photo copier	1	 unit  Kyocera Ecosys TASKALF4 1800		 (copier, printer &amp; scanner)		 Speed: 18 copier per mm A3 A4, max. legal		 Dual scan documents processor		 Type: Heavy Duty		 Con't Copying: 1-999 copies		 Zoom Range: 25%-400%		 Resolution: 600x600 dpi,</t>
  </si>
  <si>
    <t xml:space="preserve"> please see attached document</t>
  </si>
  <si>
    <t xml:space="preserve"> Construction of Drainage Canal at Purok 1-B at Barangay bobongon</t>
  </si>
  <si>
    <t xml:space="preserve"> 50 rolls Polyolefin Shrinkable Film (POF), 12”, thickness: minimum of 15 microns, gauge 60, width: minimum of 1,300 meters, plastic wrapping roll</t>
  </si>
  <si>
    <t xml:space="preserve"> NP-4279(L-300FB)(SWAT) 4 pcs Tire 185 R14C 8PR 102/100Q 4 pcs Tire valve 4 tires Wheel weights 4 tires Wheel balancing 1 lot Camber correction and wheel alignment</t>
  </si>
  <si>
    <t xml:space="preserve"> INVITATION TO BID (458-2020) Procurement of Construction Materials for the Improvement of Day Care Center, Brgy. Moloy, Surallah The LGU Surallah through the Bids and Awards Committee (BAC) is inviting suppliers to bid for the supply and delivery of GOODS</t>
  </si>
  <si>
    <t xml:space="preserve"> 1	set	Chairs &amp; Tables</t>
  </si>
  <si>
    <t xml:space="preserve"> Repair/Rehab of Drainage System Phase IV.</t>
  </si>
  <si>
    <t xml:space="preserve"> Procurement Terms and Conditions 1. The Total Approved Budget for the Contract (ABC) is Php90,000.00 2. Price quotation should be include of the required tax obligations. 3. Delivery period is 10 days upon receipt of Notice of Award (NOA) 4. Place of deli</t>
  </si>
  <si>
    <t xml:space="preserve"> 5     pcs      195x15 R8 Tires                   Labor: Complete wheel balancing and alignment 5     pcs      265x65 R 17 Tires                   Labor: Complete wheel balancing and alignment</t>
  </si>
  <si>
    <t xml:space="preserve"> 1   unit   Laptop Computer  With the following specifications: ROG G531GU-AL406T- ASUS OPERATING SYSTEM: WINDOWS 10 HOME PROCESSOR : Intel Corei7-9750H MEMORY : 16GB (8GB x 2) DDR4 2666MHz SDRAM SSD; 512GB PCle 2 NVME SSD HDD: 1TB, DISPLAY: 15.6"fhd 1920 </t>
  </si>
  <si>
    <t xml:space="preserve"> 1100 pcs Leaflets (IEC Material)</t>
  </si>
  <si>
    <t xml:space="preserve"> 1. Laptop = 1 unit				 Processor: Intel Core i7-8565U processor				 1.8GHz quad-core with Turbo Boost (up to 4.6GHz)				 Graphics:NVIDIA GeForce MX250				 Memory: 8GB 2400MHz DDR4				 Storage: Dual Storage 256GB + 1TB HDD				 2. UPS = 8 units				 650VA UP</t>
  </si>
  <si>
    <t xml:space="preserve"> INK CART, BROTHER LC539XL ET AL</t>
  </si>
  <si>
    <t xml:space="preserve"> 3 unit Heavy Duty Steel Filing Cabinet;  	- two drawers and top vault, fire proof 	- approx. dimensions W 18" x D 28" x H 52"  	- gauge 22 all metal body;  	- manual combination top safe;  	- 2 drawers key-lock mechanism;  1 unit High quality, Storage Cab</t>
  </si>
  <si>
    <t xml:space="preserve"> Construction of .60m x 125.00m Drainage Canal at Matusalem, Roxas, Isabela</t>
  </si>
  <si>
    <t xml:space="preserve"> Section I. Invitation to Bid Republic of the Philippines Province of Sultan Kudarat Municipality of Bagumbayan OFFICE OF THE BIDS AND AWARDS COMMITTEE Bagumbayan, Sultan Kudarat INVITATION TO BID FOR THE PROCUREMENT OF CONSTRUCTION MATERIALS FOR THE IMPRO</t>
  </si>
  <si>
    <t xml:space="preserve"> Please see attached PR for specification</t>
  </si>
  <si>
    <t xml:space="preserve"> Stock / Property No.	Unit	Item Description					Quantity 							 							 1	pcs	Thermal Scanner					                            2 		Specs: Non-Contact Infrared Thermometer					 		           Measuring Range 32'C-49'C</t>
  </si>
  <si>
    <t xml:space="preserve"> Solvents ALCOHOL, ethyl, 68%-70%, scented, 500m1 (-5m1)-185 bottle Pesticides or Pest Repellents INSECI1CIDE, aerosol type, net content: 600m1 min-20can Color Compounds and Dispersions STAMP PAD INK, purple or violet-6bottle Paper Materials and Products C</t>
  </si>
  <si>
    <t xml:space="preserve"> Drainage Canal - L=45.00m ; W=0.50m ; D=0.50m</t>
  </si>
  <si>
    <t xml:space="preserve"> A2-G977(Hi-Lux)(Rescue) 4 pcs Tire 265/65 R17 4 pcs Tire valve 4 tires Wheel weights 4 tires Wheel balancing 1 lot Camber correction and wheel alignment SKT-234(Crosswind)(GSO) 2 pcs Tire 205/65 R15 (Promo Price) 2 pcs Tire valve 2 tires Wheel weights 2 t</t>
  </si>
  <si>
    <t xml:space="preserve"> FABRICATION AND INSTALLATION OF 26 SIGNAGE RE: SB MARAMAG RESOLUTION NO. 2020-09; AND INSTALLATION OF PLASTIC TARP COVER ON OBSERVED CRACKS ALONG POWER CHANNEL AND PROVISION OF FOUR (4) “TEMPORARY CLOSED” SIGNAGE ALONG ACCESS ROADS AT BARRACKS BRIDGE AND </t>
  </si>
  <si>
    <t xml:space="preserve"> 8 ream Waiver/pre-natal and Newborn 8 ream CF1 Forms 8 ream CF2 Forms 8 ream CF3 Forms 8 ream Transmittal Forms 8 ream Maternal Record 8 ream Consent Form 8 ream Admission Form 8 ream Doctor's Order 8 ream Medication Form 8 ream Nurse's Notes 8 ream NCP F</t>
  </si>
  <si>
    <t xml:space="preserve"> Repair &amp; Maintenance of Municipal Hall @ LGU-Pantukan, Davao de Oro (Labor)</t>
  </si>
  <si>
    <t xml:space="preserve"> INVITATION TO APPLY FOR ELIGIBILITY AND TO BID THE MUNICIPALITY OF CAIBIRAN, BILIRAN IS INVITING ALL INTERESTED BIDDERS ON ITS FORTHCOMING PUBLIC BIDDING FOR: Project Title 	: Provision of Pedicab (Small Transport) Sewing Machine &amp; Motorboat Engines to Se</t>
  </si>
  <si>
    <t xml:space="preserve"> ITEM I Structural Concrete ITEM II Masonry Works SPL I Cement Plaster ITEM III Metal Structures ITEM IV Pre-Painted Metal Sheets ITEM V Installation of Metal Furring and Joinery Works ITEM VI Doors and Windows ITEM VII Tile WOrks ITEM VIII Plumbing Works </t>
  </si>
  <si>
    <t xml:space="preserve"> Republic of the Philippines							 PROVINCE OF CAGAYAN							 Tuguegarao City							 							 REQUEST FOR QUOTATION							 							 Company Name: 			Quotation No.				 Address:			Date				 TIN Number: 			PR No.				 Tel/Fax: 			Mode of Procurement:				 E-mail </t>
  </si>
  <si>
    <t xml:space="preserve"> Please download and then print the attached Request for Price Quotation Form (RFQ Form) if you want to bid/quote and also if your business is registered as supplier in PhilGEPS. To view this attachment, just click “ORDER” opposite the ASSOCIATED COMPONENT</t>
  </si>
  <si>
    <t xml:space="preserve"> One (1) lot Laboratory Fees for Annual Medical Examination (AME) of 54 BSP Personnel per Terms of Reference (TOR)</t>
  </si>
  <si>
    <t xml:space="preserve"> 216	pax	Snacks for 3 days 		24-Jun-20 		       AM - Egg pie w/ Juice 		       PM - Fruit pie w/ Juice 		25-Jun-20 		       AM - Ginataan w/ Juice 		       PM - Egg pie w/ water 		26-Jun-20 		       AM - Fruit pie w/ Water 		       PM - Ginataan w/ Water 1</t>
  </si>
  <si>
    <t xml:space="preserve"> 295	pad	Carbonized Form 		&gt;Triplicate 		&gt;Sized: Legal 		&gt;50 triplicates/pad</t>
  </si>
  <si>
    <t xml:space="preserve"> INVITATION TO BID (461-2020) Procurement of Construction Materials for the Improvement of Sitio Upper Talahik Brgy. Talahik Day Care Center The LGU Surallah through the Bids and Awards Committee (BAC) is inviting suppliers to bid for the supply and delive</t>
  </si>
  <si>
    <t xml:space="preserve"> Stock / Property No.	Unit	Item Description					    Qty 							 							 A. Supplies							 1	pcs	Cartolina (assorted colors)					                   100 2	ream	Construction Paper (assorted color short 80 GSM) 		    20 3	pcs	Folder (Long)					               </t>
  </si>
  <si>
    <t xml:space="preserve"> 1	Diesel 		10,785L</t>
  </si>
  <si>
    <t xml:space="preserve"> Request for Quotation The SAN RAMON PRISON AND PENAL FARM, through its Bids and Awards Committee, request your lowest quotation of OFFICE SUPPLIES for different section use.   ITEM No.	Unit	Item Description	Quantity	Unit Cost	Total Cost 1	CAN	INSECTICIDE </t>
  </si>
  <si>
    <t xml:space="preserve"> Smart Call Card (300) - 147 pieces Smart Call Card (100) - 602 pieces Globe Call Card (300) - 63 pieces Globe Call Card (100) - 336 pieces Sun TU Call Card (200) - 49 pieces Sun Call Card (300) - 14 pieces Sun Call Card (150) - 14 pieces Sun Call Card (10</t>
  </si>
  <si>
    <t xml:space="preserve"> Procurement of 2nd quarter Negosyo Center office supplies	 85,000.00 		 1	40	ream	Paper, Multicopy, 80gsm, size: 216mm x 330mm (Legal)			 2	40	ream	Paper, Multicopy, 80gsm, size: 210mm x 297mm (A4)			 3	40	piece	Correction Tape, Roller type, film based, u</t>
  </si>
  <si>
    <t xml:space="preserve"> Procurement of Drugs and Medicines for General Consultation (2nd Quarter 2020)</t>
  </si>
  <si>
    <t xml:space="preserve"> Various Madicines</t>
  </si>
  <si>
    <t xml:space="preserve"> OPV-2020-0174 PR2020-0440 INVITATION TO BID FOR THE PROCUREMENT OF OFFICE FURNITURE AND FIXTURES FOR OFFICE USE AT OFFICE OF THE PROVINCIAL VETERINARIAN ABC: P 2,605,500.00 COST OF BID DOCUMENTS: P 5,000.00 ADVERTISEMENT PERIOD: JUNE 17 - JULY 8, 2020 PRE</t>
  </si>
  <si>
    <t xml:space="preserve"> REGION XII  Province of Cotabato  Municipality of Midsayap  BIDS &amp; AWARDS COMMITTEE  Tel. Nos. (064) 229-8018; 229-8650; 229-8450  INVITATION TO BID FOR   2020-069, CONCRETING OF ROAD FROM LOWER KATINGAWAN TO BAGUMBA, LOWER KATINGAWAN, MIDSAYAP, COTABATO </t>
  </si>
  <si>
    <t xml:space="preserve"> Stock/ Property No.	Unit 	Item Description		Quantity	Unit Cost	Total Cost 						 1	unit 	        Solar Panel, 100 watts 		            15	 3,000.00 	 45,000.00  2	unit 	        Battery, 65 ampere-hour 		            15	 4,500.00 	 67,500.00  3	unit 	       </t>
  </si>
  <si>
    <t xml:space="preserve"> PHILIPPINE DEPOSIT INSURANCE CORPORATION SSS MAKATI Building, 6782 Ayala Avenue corner V.A. Rufino Street, Makati City PROCUREMENT AND PROPERTY DEPARTMENT REQUEST FOR QUOTATION Supplier       The PDIC invites you to submit a quotation for the item/s state</t>
  </si>
  <si>
    <t xml:space="preserve"> 1.) Dishwashing liquid, 250ml = 25 bottle 2.) Hand wash liquid, 450ml = 25 bottle 3.) Soap, detergent powder, 70grams = 150 sachet 4.) Soap, detergent powder = 30 kilo 5.) Soap, toilet, white, 60 grams, white = 150 piece 6.) Toothbrush with cover, for adu</t>
  </si>
  <si>
    <t xml:space="preserve"> Anti-Tetanus Serum 1500IU/ml, 1ml (Equine) Ferrous Salt 60mg Elemental Iron + Folic Acid 400mg Tab Ferrous Salt 60mg Elemental Iron Tab Oxycodone HCL 5mg/Cap Requirements for Drugs and Medicines: **Drugs with history of usage from VMMC (Requirements No. 1</t>
  </si>
  <si>
    <t xml:space="preserve"> INVITATION TO BID (535-2020) Procurement of Construction Materials for the Construction of Stockroom The LGU Surallah through the Bids and Awards Committee (BAC) is inviting suppliers to bid for the supply and delivery of GOODS/INFRASTRUCTURE/SERVICES wit</t>
  </si>
  <si>
    <t xml:space="preserve"> Marine Epoxy (A &amp; B) Bronze Nail # 1 1/2 Bronze Nail # 2 Ivory Paint Triton Green Paint Triton Lacquer Thinner Paint Brush #2 Roller Brush</t>
  </si>
  <si>
    <t xml:space="preserve"> Republic of the Philippines Province of Cotabato Municipality of Aleosan Invitation to Bid for the  CONSTRUCTION OF COMFORT ROOM BUILDING (PROGRESSIVE TYPE) AT ALEOSAN PUBLIC MARKET, LGU ALEOSAN, COT. 								June 15, 2020 		 1.	The Local Government Unit </t>
  </si>
  <si>
    <t xml:space="preserve"> T-shirt with print</t>
  </si>
  <si>
    <t xml:space="preserve"> Opening of Farm to Market Road Barangay Bucalag, Santa, Ilocos Sur</t>
  </si>
  <si>
    <t xml:space="preserve"> Supply and Delivery of 500 rolls Cotton Twine, 8 strands, 20/25p, thick spool</t>
  </si>
  <si>
    <t xml:space="preserve"> PVC ID PRINTER &amp; LAMINATOR -	Smart Card Printer -	Flipper (Back to Back Printing) -	Dual Side Printing  -	Card Feeding -	Full Color Ribbon with Black, Overlay and Black for Back Side -	Machine includes Colored Ribbon and 200 PVC Cards   Supplies included:</t>
  </si>
  <si>
    <t xml:space="preserve"> RFQ-GS-20200604-01 Interested Suppliers are invited to submit Price Quotation for the above listed item. The official LANDBANK Request for Quotation Form may be obtained from MR. JENKIN DY(email address: jenkindy26@yahoo.com) . The deadline for the submis</t>
  </si>
  <si>
    <t xml:space="preserve"> see attachment</t>
  </si>
  <si>
    <t xml:space="preserve"> Procurement of FArm Machineries and Equipment-Php 4,000,000.00 35 HP 4WD Tractor - 4 units @ Php 1,000,000.00</t>
  </si>
  <si>
    <t xml:space="preserve"> 1.Outdoor Hazard Signage = 13 units				 Material- 3M engineer relective grade sticker 				 or prismatic engineering grade sticker, digital print, 				 computer cut, full color and size: 1.25x1.25m				 				 Frame specifications-stainless alluminum, G.I pla</t>
  </si>
  <si>
    <t xml:space="preserve"> INVITATION TO BID June 15, 2020 The Eastern Visayas Regional Medical Center, through its Bids and Awards Committee (BAC B) invites suppliers/manufacturers/distributors/contractors to bid for the hereunder project:  Procurement Activity	Approved Budget for</t>
  </si>
  <si>
    <t xml:space="preserve"> INVITATION TO BID (537-2020) Procurement of Construction Materials  The LGU Surallah through the Bids and Awards Committee (BAC) is inviting suppliers to bid for the supply and delivery of GOODS/INFRASTRUCTURE/SERVICES with the following details: TITLE OF</t>
  </si>
  <si>
    <t xml:space="preserve"> Stock / Property No.	Unit	Item Description					Quantity	  										 										 A.  Provision of Labor &amp; Materials of Handwashing Facility for the Enhancement of Health Protocols										 1	pcs	Hollow Blocks 40cm x 20cm x 5cm					350	  2	bags	Portland Ce</t>
  </si>
  <si>
    <t xml:space="preserve"> Toyota Commuter Amb./SHH-439 (CHO) Motor Oil Oil Filter Fuel Filter Battery 3SMF Change Oil &amp; Clean Brakes Toyota Commuter Amb./SHH-443 (CHO) Motor Oil Oil Filter Clutch Master Clutch Disc Clutch Cover Release Bearing Change Oil, Clean Brakes &amp; Repair Und</t>
  </si>
  <si>
    <t xml:space="preserve"> TO BE USED FOR PROPER WASTE DISPOSAL AND SEGREGATION IN THE SENIOR HIGH SCHOOL.</t>
  </si>
  <si>
    <t xml:space="preserve"> PURCHASE AND DELIVERY OF TWO (2) UNITS CEILING FAN FOR DINGLE PUBLIC MARKET, DINGLE, ILOILO</t>
  </si>
  <si>
    <t xml:space="preserve"> Procurement Terms and Conditions 1. The Total Approved Budget for the Contract (ABC) is Php61,318.07 2. Price quotation should be include of the required tax obligations. 3. Delivery period is 10 days upon receipt of Notice of Award (NOA) 4. Place of deli</t>
  </si>
  <si>
    <t xml:space="preserve"> Improvement of Estanol St. to include 1. Excavation 2. Riprapping 3. Road preparation 4. Concrete Pavement</t>
  </si>
  <si>
    <t xml:space="preserve"> Please qoute your lowest price inclusive of VAT on the followig items: Item no.        Quantity          Unit             Description  1	35	book	Record book 2	172	roll	Transparent tape 2" 3	40	Pack	Detergent powder 1 kg 4	35	Can	Floorwax paste red 5	2	pie</t>
  </si>
  <si>
    <t xml:space="preserve"> concrete pavemernt 303 x 4 m x 4 x.10</t>
  </si>
  <si>
    <t xml:space="preserve"> A. Procurement of Personal Protective Equipment and Other Supplies and Materials for Covid-19 B. Project LM (Procurement of Office Supplies for Reproduction  of Learner Materials)</t>
  </si>
  <si>
    <t xml:space="preserve"> 3 units Rice cooker, 10L/62 cups capacity 3 units Pressure cooker, stainless steel, 9L capacity</t>
  </si>
  <si>
    <t xml:space="preserve"> 6 pcs. Inner Tube 13 x 24 and other items for use in the replacement of worn-out parts of Mitsubishi Road Grader, 330.</t>
  </si>
  <si>
    <t xml:space="preserve"> Laboratory Supplies</t>
  </si>
  <si>
    <t xml:space="preserve"> Request for Quotation for Construction Materials (228,531.00)</t>
  </si>
  <si>
    <t xml:space="preserve"> Republic of the Philippines PROVINCE OF Zamboanga del Norte Municipality of Sibutad BIDS AND AWARDS COMMITTEE Date: JUNE 17, 2020 Project Reference No. GFP100-2020-06-045   DATED: JUNE 5, 2020 Name of the Project: PROCUREMENT OF MEAL AND SNACKS DURING THE</t>
  </si>
  <si>
    <t xml:space="preserve"> 1 unit backhoe specs: Engine Power: 40hp Emission : Stage EC Stage lllA Loader Bucket Capacity: 0.36 cu.m. Backhoe Bucket Capacity: 0.08 cu.m. Operating Weight: 4262kg Max. Dig Depth:3.05m Loader Load over Height: up to 2.65m</t>
  </si>
  <si>
    <t xml:space="preserve"> -FOR OFFICE NEEDS  AND SUPPLIES FOR ADMINISTRATIVE USE AND FUNCTION -FOR ENHANCEMENT OF TEACHING - LEARNING ACTIVITIES</t>
  </si>
  <si>
    <t xml:space="preserve"> CONSTRUCTION /INSTALLATION OF STREET LIGHTING SYSTEM @ GELERANG KAWAYAN</t>
  </si>
  <si>
    <t xml:space="preserve"> This project is by lot, partial bid is not accepted LOT LABORATORY SUPPLIES AND EQUIPMENT 1 ACETIC ACID *Glacial acetic acid *8L per bottle UNIT: BOTTLE, QUANTITY: 1 ACETONE *50mL UNIT: BOTTLE, QUANTITY: 50 ALCOHOL *70% ethanol (ethyl alcohol), *1L per bo</t>
  </si>
  <si>
    <t xml:space="preserve"> Please download associated component</t>
  </si>
  <si>
    <t xml:space="preserve"> Bureau of Fisheries and						                        Aquatic Resources - 10					ALTERNATIVE METHOD OF PROCUREMENT	                                        Macabalan, Cagayan de Oro City						                              TIN No.: 000-550-823-017						 				</t>
  </si>
  <si>
    <t xml:space="preserve"> 1 unit ComputerCPU Core i5 - 9400 Prime H310M  4GB DDR4 Memory 1TB HDD DVD Drive Neutron Colt Casing</t>
  </si>
  <si>
    <t xml:space="preserve"> Please quote your lowest price on the item(s) listed below, subject to the Terms and Conditions stated below and submit your quotation duly signed by your representative not later than 10:00 A.M. of  June 22, 2020 in the return envelope attached herewith,</t>
  </si>
  <si>
    <t xml:space="preserve"> 10	pcs	Flashlight  12	pcs	Batuta  12	pcs	Raincoat 12	pcs	Longsleeve</t>
  </si>
  <si>
    <t xml:space="preserve"> Construction of Reservoir - Las Arenas, Pantukan, Davao De Oro (Materials)</t>
  </si>
  <si>
    <t xml:space="preserve"> purchased and delivery of construction supplies</t>
  </si>
  <si>
    <t xml:space="preserve"> PURCHASE REQUEST										 										 Department: GASS			 PR No.: MGA-06-287A-20		 Date: 05 June 2020					 					 Qty.	Unit of Issue	Item Desription	Stock No.	Estimated Unit Cost	Total Estimated Cost					 45	piece	D.S.B., 20mm dia x 6.00m., G40		 ₱749.00 	</t>
  </si>
  <si>
    <t xml:space="preserve"> see attached RFQ</t>
  </si>
  <si>
    <t xml:space="preserve"> ITEM DESCRIPTION 1,500.00 L.s. Subgrade Preparation 300.15 cu.m. Aggregate Base Course 1,100.00 sq.m. PCC Pavement, Plain SPL-I 2.00 each Warning 7 Hazard Signs SPL-II 1.00 l.s Construction Health and Safety SPL-III 1.00 unit Billboard MANPOWER: Mason/Car</t>
  </si>
  <si>
    <t xml:space="preserve"> REPUBLIC OF THE PHILIPPINES Santa Rosa (NE) Water District Santa Rosa – Fort Magsaysay Road, Brgy. Rizal, Santa Rosa, Nueva Ecija Annual Check-up of SRWD Employees (Repost) Item	Description	                              Qty	     Unit	     U. Cost	    Tota</t>
  </si>
  <si>
    <t xml:space="preserve"> Republic of the Philippines Province of Bukidnon Municipality of Cabanglasan -o0o- ___________________________________________________________________________ INVITATION TO BID FOR  Purchase of Materials for Maintenance of Roads and Bridges at Cabanglasan</t>
  </si>
  <si>
    <t xml:space="preserve"> Mits. FB L300/BD #663 (PNP) Motor Oil Oil Filter IC Regulator Oil Seal Button Switcch Terminal Heater Plug Center Post 3SMF Battery Change Oil &amp; Clean Brakes Repair Alternator &amp; Replaced Center Post Mits. FB L300/BD#666 (PNP) Motor Oil Oil Filter Fuel Fil</t>
  </si>
  <si>
    <t xml:space="preserve"> I. Excavation Work II. Solar Panel      a) Materials      b) Labor      c) Equipment Rental</t>
  </si>
  <si>
    <t xml:space="preserve"> Supply &amp; Delivery of July Food Stuff for DOH-TRC Argao residents</t>
  </si>
  <si>
    <t xml:space="preserve"> 180 bags Portland Cement 15 cu.m White Sand 15 cu.m Gravel 3/4</t>
  </si>
  <si>
    <t xml:space="preserve"> Republic of the Philippines Province of Bukidnon Municipality of Cabanglasan -o0o- ___________________________________________________________________________ INVITATION TO BID FOR  Purchase of Diesel and Lubricants for Rehabilitation of Barangay Road, Hi</t>
  </si>
  <si>
    <t xml:space="preserve"> 3.0 TR Floor Mounted Airconditioner.</t>
  </si>
  <si>
    <t xml:space="preserve"> Please quote your lowest price for the following items enumerated below, with the following Terms and Conditions: 1. All entries must be written legibly. 2. Price validity shall be for a period of 120 calendar days. 3. Evaluation of the quoted price will </t>
  </si>
  <si>
    <t xml:space="preserve"> Electrical Systems and Lighting Components</t>
  </si>
  <si>
    <t xml:space="preserve"> Republic of the Philippines Province of Ilocos Sur Vigan City INVITATION TO BID FOR  Purchase &amp; Delivery of Medical Equipment for Ilocos District Hospitals-Tagudin, Sta. Lucia &amp; Narvacan Ilocos Sur 1.	The Provincial Government of Ilocos Sur, through the 2</t>
  </si>
  <si>
    <t xml:space="preserve"> The Municipality of Alfonso Lista, Ifugao assumes no responsibility whatsoever to compensate or indemnify bidders for any expenses incurred in the preparation of the Bid. Source of fund: 20% D.F 2020 See attached price quotation</t>
  </si>
  <si>
    <t xml:space="preserve"> Procurement of FArm Inputs: Php 1,340,000 Certified imbreed Rice Seeds - 100 bags -Php 480,000.00 Swire Urea Red (46-0-0)      - 100 bags - Php 400,000.00 Swire complete (14-14-14)   - 100 bags - Php 480,000.00</t>
  </si>
  <si>
    <t xml:space="preserve"> Examination of quotations shall use non-discretionary "pass/fail" criteria. Veterans Federation of the Philippines reserves the right to accept or reject any proposal, to annul the procurement process, and to reject all quotations at any time prior to con</t>
  </si>
  <si>
    <t xml:space="preserve"> Republic of the Philippines 	CITY OF SAN PEDRO Province of Laguna BIDS AND AWARDS COMMITTEE INVITATION TO APPLY FOR ELIGIBILITY AND TO BID PR NO. 0452 1.	The City Government of San Pedro, Laguna through the 2020 Budget Approved by the Sangguniang Panglung</t>
  </si>
  <si>
    <t xml:space="preserve"> Purchase and delivery of personal protective gears and other supplies for Oplan Alalay</t>
  </si>
  <si>
    <t xml:space="preserve"> Please refer to the attached Request for Quotation, Bill of Quantities, Program of Works, and Plans/Drawing. Thank you.</t>
  </si>
  <si>
    <t xml:space="preserve"> 1 pc Rescue Ladder</t>
  </si>
  <si>
    <t xml:space="preserve"> Agricultural Products-Fungicide Bio-Fungicide,Insecticide,Rodenticides,etc....</t>
  </si>
  <si>
    <t xml:space="preserve"> Telmisartan 40mg Tab Requirements for Drugs and Medicines: **Drugs with history of usage from VMMC (Requirements No. 1-5 only) ** **For Innovators (Requirements No. 1-4 only) ** 1. CPR 2. CGMP 3. LTO 4. CERTIFICATE OF DISTRIBUTOSHIP 5. CERTIFICATE OF ANAL</t>
  </si>
  <si>
    <t xml:space="preserve"> General Requirements	 1	Mobilization / Demobilization	1 lot 2	Health and Safety	1 lot 2	Temporary Enclosure	1 lot 		 	Preliminary Works	 4	Removal/Demolition Works Including Site Clearing of all areas (Existing Drywall Partition, Windows Double Leaf Panel</t>
  </si>
  <si>
    <t xml:space="preserve"> Purchase of ADF for MDRRMC Government vehicle use.</t>
  </si>
  <si>
    <t xml:space="preserve"> The LGU MUNICIPALITY OF JOSEFINA, ZAMBOANGA DEL SUR, through its Bids and Awards Committee (BAC),under BAC Reso.#2020-06-094  intends to perform NEGOTIATED  PROCUREMENT under two failed biddings  in the procurement of  Petroleum, Oil &amp; Lubricants  by the </t>
  </si>
  <si>
    <t xml:space="preserve"> Republic of the Philippines Province of Bukidnon Municipality of Cabanglasan -o0o- ___________________________________________________________________________ INVITATION TO BID FOR  Purchase of Materials for Construction of Market Stalls (PhaseII) Market </t>
  </si>
  <si>
    <t xml:space="preserve"> 1		1	pc	Tape Dispenser, Table Top 2		48	pcs.	Ball Pen - black 3		36	pcs.	Notebook 4		200	ream	PAPER, Multi-Purpose, 70gsm., size:216mmx330mm legal 5		200	ream	PAPER, Multi-Purpose, 70gsm., size:210mmx297mm A4 6		12	pcs	Sign Pen - black, liquid/gel ink 0.5</t>
  </si>
  <si>
    <t xml:space="preserve"> One (1) Year Internet Connection Service for the Six (6) Campuses of ISPSC 1. STA. MARIA CAMPUS (Main Campus) Particulars: *** 50 Mbps Dedicated Fiber Internet 2. Tagudin Campus Particulars: *** 30 Mbps Dedicated Fiber Internet 3. Narvacan, Santiago, Cand</t>
  </si>
  <si>
    <t xml:space="preserve"> Purchase and delivery of drugs and medicines for Botika ng Bayan</t>
  </si>
  <si>
    <t xml:space="preserve"> 1. The [Local Government Unit of Inopacan, Leyte], through the [Capital Outlay of the Municipal Engineering Office in the 2020 General Fund Supplemental Budget No. 1 as per Appropriation Ordinance No. 20-02 by the 14th Sangguniang Bayan of Inopacan, Leyte</t>
  </si>
  <si>
    <t xml:space="preserve"> Republic of the Philippines Province of Albay Municipality of Rapu-Rapu Barangay Gaba INVITATION TO BID FOR THE 20% EDF CY 2020 PROJECTS 1.	The Barangay Local Government Unit of Gaba, Rapu-Rapu, Albay, through the Budget for the Contract Approved by the S</t>
  </si>
  <si>
    <t xml:space="preserve"> Procurement of Office/School/ICT Supplies and Equipment</t>
  </si>
  <si>
    <t xml:space="preserve"> 35 truckloads screened mixed</t>
  </si>
  <si>
    <t xml:space="preserve"> 1 pc Folding Bed</t>
  </si>
  <si>
    <t xml:space="preserve"> please see attached file for details</t>
  </si>
  <si>
    <t xml:space="preserve"> 1	(snacks) AM Siopao and softdrinks 		1915 pax  2	(snacks) PM Siopao and sofdrinks 		1915 pax  3	Lunch - Fried Chicken and chopsuey, 1 rice, Softdrinks and fruits (meals) 		1,685 pax</t>
  </si>
  <si>
    <t xml:space="preserve"> Purchase and delivery of 1st quarter office supplies of Sangguniang Panlungsod Offices</t>
  </si>
  <si>
    <t xml:space="preserve"> 1. 27 Pieces Fascia board 12" x 8ft.- estimated cost 480-estimated amount 12, 960 2. 45 pieces Marine plywood 1/4- estimated cost 450-estimated amount 20,250 3. 28 pieces Angel Bar 1x1x3/4- estimated cost 450-estimated amount 12,600 4. 2 pieces Hardiflex </t>
  </si>
  <si>
    <t xml:space="preserve"> Procurement Terms and Conditions 1. The Total Approved Budget for the Contract (ABC) is Php76,868.19 2. Price quotation should be include of the required tax obligations. 3. Delivery period is 10 days upon receipt of Notice of Award (NOA) 4. Place of deli</t>
  </si>
  <si>
    <t xml:space="preserve"> Mits. Adventure/SHH 702 (Assessor Office) Motor Oil Oil Filter Battery Holder Check Airconditioning System, Replaced Gasket, Repair Leakage &amp; Additional Freon Gas PMS/Change Oil Mits. FB L300/SJL 543 (OSCA) Motor Oil Oil Filter Repair Aircon System &amp; Addi</t>
  </si>
  <si>
    <t xml:space="preserve"> BRAND NEW MOTORCYCLE 2018 Enduro/Offroad, displacement:124ccm(7.57 cubic inches); Engine type: single cylinder, four-stroke; Power: 12.50HP (9.1 kW) @8000 RPM; Torque: 11.60Nm (1.2kgf-m or 8.6 ft.lbs) @6500RPM; Fuel system: carburettor; Fuel control: sing</t>
  </si>
  <si>
    <t xml:space="preserve"> Please download associated components</t>
  </si>
  <si>
    <t xml:space="preserve"> 6 Sets Solar Panel with LED Lights	 6 pcs Battery	 6 pcs G.I Pipes	 6 pcs Cement	 1 t/l Screened Sand</t>
  </si>
  <si>
    <t xml:space="preserve"> Purchase of office supplies for RPMO and SLP province Alcohol, ethyl, 68-70%, scented, 500ml (-5ml) - 100 bottles Clearbook, 20 transparent pockets, for A4 size - 15 pcs Correction tape, film base type, UL 6m min - 200 pcs Data folder, made of chipboard, </t>
  </si>
  <si>
    <t xml:space="preserve"> 1 job Labor and materials for Repair of Pathway Shade (Canopy) from Ayupan Building to Campus Library</t>
  </si>
  <si>
    <t xml:space="preserve"> Labor for Setup, Installation, and Mobilization of Wireless Network Infrastructure fort 60 PCs and laptops with the folowing materials: 			 			 Load Balancing Router (TL-ER5120) 1U Rack Mountable			 5 Port Gigabit Switch Hub with POE			 Cat.6 UTP Cable			</t>
  </si>
  <si>
    <t xml:space="preserve"> The Department of Trade and Industry Regional Office invites PhilGEPS registered supplier for the Supply, Delivery and Installation of SSF Project for Olayan Farmers Association Provision of Tablea and Cocoa Powder/Butter Processing Facility based on the </t>
  </si>
  <si>
    <t xml:space="preserve"> Republic of the Philippines Province of Bukidnon Municipality of Cabanglasan -o0o- ___________________________________________________________________________ INVITATION TO BID FOR  Purchase of Materials for Construction of Multi-Purpose Building X Poblac</t>
  </si>
  <si>
    <t xml:space="preserve"> MATERIALS AND LABOR COST</t>
  </si>
  <si>
    <t xml:space="preserve"> General Requirements	 1	Mobilization / Demobilization	1 lot 2	Health and Safety	1 lot 3	Temporary Enclosure	1 lot Preliminary Works	 4	Removal of Ceiling Board	1 lot 5	Relocation of Troffer Lighting	1 lot 6	Alignment and Repair of Door	1 lot 7	Cleaning of</t>
  </si>
  <si>
    <t xml:space="preserve"> Republic of the Philippines Province of Ilocos Sur Vigan City INVITATION TO BID FOR  Purchase &amp; Delivery of Medical Equipment for Ilocos Sur Provincial Hospital-Gabriela Silang &amp; Ilocos District Hospitals-Sinait &amp; Magsingal Ilocos Sur 1.	The Provincial Go</t>
  </si>
  <si>
    <t xml:space="preserve"> The Municipality of Alfonso Lista, Ifugao assumes no responsibility whatsoever to compensate or indemnify bidders for any expenses incurred in the preparation of the Bid. Submission of price quotation is until the closing date in PhilGEPS Source of fund: </t>
  </si>
  <si>
    <t xml:space="preserve"> Supply and Delivery of Dormitory Linens</t>
  </si>
  <si>
    <t xml:space="preserve"> Metal Stud 1/4" thick Marine Plywood 3/4" thick Marine Plywood 1/8" x 1" Blind Rivets No. 5 Tox 3/16" x 2" Metal Screw Flat Wall Enamel Paint Quick Dry Enamel Paint All-Purpose Epoxy Adhesive No. 100 Sand Paper No. 150 Sand Paper 12" x 12" Shelf Bracket 1</t>
  </si>
  <si>
    <t xml:space="preserve"> Please see "associated component" for the specifications</t>
  </si>
  <si>
    <t xml:space="preserve"> Procurement of various construction materials for use in the upgrading of UMA-Arangkada edible landscape component of ATIng UMA</t>
  </si>
  <si>
    <t xml:space="preserve"> INVITATION TO BID FOR SUPPLY AND DELIVERY OF NINETY (90) CYLINDERS LIQUID GAS CHLORINE (68 KGS/CYLINDER) FOR WATER TREATMENT USE 1.	The METRO KALIBO WATER DISTRICT, through the Corporate Budget for the contract approved by the governing Boards for the yea</t>
  </si>
  <si>
    <t xml:space="preserve"> The Municipality of Alfonso Lista, Ifugao assumes no responsibility whatsoever to compensate or indemnify bidders for any expenses incurred in the preparation of the Bid. Submission of price quotation is until the closing date posted in PhilGEPS See attac</t>
  </si>
  <si>
    <t xml:space="preserve"> INVITATION TO BID FOR  Procurement of 13,518 Liters of Fuel (Diesel) The Municipality of Banaybanay, through the 2020 Annual Budget intends to apply the sum of Five Hundred Sixty-Seven Thousand Seven Hundred Fifty-Six Pesos (Php 567,756.00) being the Appr</t>
  </si>
  <si>
    <t xml:space="preserve"> For complete specification, please see attached for quotation at the associate components link or request.</t>
  </si>
  <si>
    <t xml:space="preserve"> Ball Valve	15 PVC gutter 26x8	5 GI Tee 1/2	15 GI Pipe	15 PVC Pipe 1/2	15 Teflon 1/2	10 PVC Cement	5 GI Elbow	15 Cutting Disc  4"	10 Metal Primer	10 GI Nipple	15 PVC elbow 1/2	60 Black Hose 1/2	55 SDR Coupling 1/2	10 PVC Tee 1/2	5 Roller Paint  4"	3 Enamel</t>
  </si>
  <si>
    <t xml:space="preserve"> REQUEST FOR QUOTATION RFQ No. 2020-0245 The CITY GOVERNMENT OF CABANATUAN through its Bid and Awards Committee (BAC), will undertake Small Value Procurement for the Repair and Maintenance of Batching Plant (CMPO) in accordance with Section 53.9 of the Rev</t>
  </si>
  <si>
    <t xml:space="preserve"> 3 units Table tennis table 3 units Table tennis net w/ post(I.T.T.F)</t>
  </si>
  <si>
    <t xml:space="preserve"> 1.	The Municipality of Daram, through the 20%-Development Fund-2020 intends to apply the sum of Two Million Two Hundred Thousand Pesos (P2,200,000.00) being the Approved Budget for the Contract (ABC) to payments under the contract for the Supply and Deliv</t>
  </si>
  <si>
    <t xml:space="preserve"> Quantity	Unit of Issue	Item Description		 684	bot	Butamirate citrate 7.5 mg/5ml 120 ml		 50	bx	Butamirate citrate 50 mg MR tablet 100`s		 50	bx	Lagundi 300mg tab 100`s 		 50	bx	Lagundi 600mg tab 100`s 		 684	bot	Lagundi 300mg/5ml,120 ml		 684	bot	Lagundi </t>
  </si>
  <si>
    <t xml:space="preserve"> 1.)	(200)	pc	Nipple 3/4" dia x 4" long GI Standard Sch 40 (ISO cert) 2.)	(200)	pc	Brass Ball Valve w/ lockwing 1" dia (ISO cert)/St. Valve</t>
  </si>
  <si>
    <t xml:space="preserve"> INVITATION TO BID FOR Supply and Delivery of Materials for Construction of Line Canal 1.	The Barangay Local Government of Malatab, Antipas, through the Budget Approved by the Sangguniang intends to apply the sum of Fifty Four Thousand Five Hundred Sixty F</t>
  </si>
  <si>
    <t xml:space="preserve"> SEE ATTACHED DOCUMENTS</t>
  </si>
  <si>
    <t xml:space="preserve"> 1 tank LPG refill etc.</t>
  </si>
  <si>
    <t xml:space="preserve"> MCR Office (Materials for the Fabrication of Cabinets at MCR Storage Room) Quantity	Unit of Issue	Item Description 60	Pcs.	¾ x 4 x 8 Marine Plywood 100	Pcs.	½ x 1/8 Good Lumber 2	Ltrs.	Stikwel 10	Kgs.	Assorted Nails 60	Pcs.	Concelled Hinges 30	Pcs.	Puller</t>
  </si>
  <si>
    <t xml:space="preserve"> Republic of the Philippines Province of Bukidnon Municipality of Cabanglasan -o0o- ___________________________________________________________________________ INVITATION TO BID FOR  Purchase of Materials for Construction of Multi-Purpose Building U Canang</t>
  </si>
  <si>
    <t xml:space="preserve"> Republic of the Philippines Province of Ilocos Sur Vigan City INVITATION TO BID FOR  Purchase &amp; Delivery of Food Packs for Adults &amp; Nutri Packs for Children for distribution Provincewide 1.	The Provincial Government of Ilocos Sur, through the Supplemental</t>
  </si>
  <si>
    <t xml:space="preserve"> Please download associated components.</t>
  </si>
  <si>
    <t xml:space="preserve"> City Government of Manila INVITATION TO BID NO. 2020-06-91 Procurement of 11,000 pcs. Laptop 1.	The City Government of Manila, through the SEF Fund CY 2020 –intends to apply the sum of One Hundred  Sixty Five Million  Pesos Only (Php165,000,000.00) being </t>
  </si>
  <si>
    <t xml:space="preserve"> CONSTRUCTION OF NATIONAL CHILD DEVELOPMENT CENTER @ POBLACION, SAN ISIDRO, LEYTE. FOR THE DETAILED DESCRIPTION, PLEASE SEE ATTACHED FILE  (TECHNICAL REPORT PAGE1 AND PAGE2)</t>
  </si>
  <si>
    <t xml:space="preserve"> PURCHASE REQUEST										 										 Department: RDPEE			 PR No.: PSP-06-367-20		 Date: 03-June-20					 Section: STC4iD	 								 Qty.	Unit of Issue	Item Desription	Stock No.	Estimated Unit Cost	Total Estimated Cost					 1	unit	Laptop Specification: ● Pr</t>
  </si>
  <si>
    <t xml:space="preserve"> Purchase of Various IT Equipment for Various Offices. Three (3) units Laptop Two (2) units Computer Printer Two (2) units Desktop Computer  Note: For specifications of the above-mentioned IT Equipment, please refer to the ABE.</t>
  </si>
  <si>
    <t xml:space="preserve"> Various Office Supplies</t>
  </si>
  <si>
    <t xml:space="preserve"> Republic of the Philippines National Irrigation Administration (PAMBANSANG PANGASIWAAN NG PATUBIG) Regional Office No. 13 CARAGA AGUSAN DEL NORTE SURIGAO DEL NORTE AND DINAGAT ISLANDS Irrigation Management Office Office Address      : Ambago, Butuan  City</t>
  </si>
  <si>
    <t xml:space="preserve"> FEEDS	 1 	 LOT  		 FRY MASH	3	bags  (Packaging 10kgs,., CP=31%, Cfat=5%, Cfiber=8%, Crude ash=12%)		 		 CRUMBLE	15	bags (Packaging 20kgs,., CP=45%, Cfat=8%, Cfiber=4%, Crude ash=16%, moisture=12%)		 		 MILKFISH PRE-STARTER SURFER	20	bags (Packaging 20kgs,</t>
  </si>
  <si>
    <t xml:space="preserve"> 1.	The Local Government Unit of Las Nieves, through the Budget for the Contract Approved by the Sanggunian (MPOF) intends to apply the sum of sixty three thousand and six hundred pesos only (Php 63,600.00)  being the Approved Budget for the Contract (ABC)</t>
  </si>
  <si>
    <t xml:space="preserve"> LOT Replacement of Main Breaker Supplies and Materials; Manpower and Equipment Handling</t>
  </si>
  <si>
    <t xml:space="preserve"> Republic of the Philippines Province of Camarines Norte MUNICIPALITY OF TALISAY Office of the Bids and Awards Committee (BAC)                                                                                                                                IN</t>
  </si>
  <si>
    <t xml:space="preserve"> Procurement of Various Laboratory Supplies. Interested bidders can download the attached file for complete specifications and requirements. Please send your quotation thru this email: caysiebagsit.ritm@gmail.com Note: Kindly make our PR# as a subject of y</t>
  </si>
  <si>
    <t xml:space="preserve"> 1	1 unit	MOISTURE ANALYZER Capacity:71 g Readability: 1 mg, 0.01% MC Repeatability: 0.15% (2g sample)                           0.05% (10g sample) Switch-off: Fully automatic, timed, free (1mg/10-140s) Drying programs: Standard, Rapid Drying Methods: 2 Te</t>
  </si>
  <si>
    <t xml:space="preserve"> 1.	The Department of Environment and Natural Resources – Environmental Management Bureau Regional office No. 2 (DENR-EMB-RO2) hereinafter referred to as the “Purchaser” now requests for submission of price quotations for the procurement of the aforesaid i</t>
  </si>
  <si>
    <t xml:space="preserve"> REQUEST FOR QUOTATION RFQ No. 2020-0244 The CITY GOVERNMENT OF CABANATUAN through its Bid and Awards Committee (BAC), will undertake Small Value Procurement for the Supply and Delivery of Petroleum Diesel (PNP) in accordance with Section 53.9 of the Revis</t>
  </si>
  <si>
    <t xml:space="preserve"> Test Kit</t>
  </si>
  <si>
    <t xml:space="preserve"> Republic of the Philippines CITY OF SAN PEDRO Province of Laguna BIDS AND AWARDS COMMITTEE INVITATION TO BID The City Government of San Pedro Laguna through the 2020 Budget Approved by Sangguniang Panglungsod intends to apply the sum of Php 3,238,515.35 b</t>
  </si>
  <si>
    <t xml:space="preserve"> QTY	UNIT	ARTICLE / DESCRIPTION 			  	 	 	 1	pc	Automatic Pipettor, 10-100 ul	  	 	Autoclavable, single-channel, adjustable volume	  	 	Increment: ≤1ul	  	 	with calibration certificate	  	 	 	 1	pc	Automatic Pipettor, 20-200 ul	  	 	Autoclavable, single-c</t>
  </si>
  <si>
    <t xml:space="preserve"> Specifications: -Energy Savings -Cooling capacity: 3 tons -Remote Control -Auto Swing -With Warranty -Inclusion of Installation</t>
  </si>
  <si>
    <t xml:space="preserve"> OFFICE: PNP SALUG PURPOSE: FOR GENERAL REPAIR PF PNP PATROL VEHICLE ABC: 309,750.00 REPAIR OF POLICE MOBILE PATROL (MAHINDRA) COLOR WIHITE</t>
  </si>
  <si>
    <t xml:space="preserve"> Provision of 1000 pcs. advocacy bags for the starter kits after training support for the Ating Tulong Isulong sa Agrikultura laban sa COVID 19 and Urban Agriculture Program. Supplier with good standing shall only be entertained and preferably within local</t>
  </si>
  <si>
    <t xml:space="preserve"> The AGRICULTURAL TRAINING INSTITUTE-REGIONAL TRAINING CENTER (ATI-RTC) X, through the 2020 General Appropriations Act intends to apply the sum of Sixty Seven Thousand Pesos (P 67,000.00) being the Approved Budget for the Contract (ABC) to payments under t</t>
  </si>
  <si>
    <t xml:space="preserve"> Diesel Gasoline ATF U-touring STM 30 U-Extra HD 40 STM 40 XCS</t>
  </si>
  <si>
    <t xml:space="preserve"> see atatched RFQ</t>
  </si>
  <si>
    <t xml:space="preserve"> The LGU MUNICIPALITY OF JOSEFINA, ZAMBOANGA DEL SUR, through its Bids and Awards Committee (BAC),under BAC Reso.#2020-01-001  intends to perform Negotiated Procurement under two failed bidding   in the procurement of Office Equipment &amp; Accessories    of t</t>
  </si>
  <si>
    <t xml:space="preserve"> Sir/Madam: 					      The Bureau of Communications Services would like to request for a quotation for the following item with ABC of P48,000.00					                     					 Qty.	Unit				 					 80	reams	NEWSPRINT 52LBS 22"X29"			 					 				 Please quote </t>
  </si>
  <si>
    <t xml:space="preserve"> Republic of the Philippines Province of Ilocos Norte MUNICIPALITY OF BADOC BIDS AND AWARDS COMMITTEE Tel# (077)670-0110 REQUEST FOR QUOTATION The Local Government of Badoc, through its Bids and Awards Committee (BAC), will undertake a Small Value Procurem</t>
  </si>
  <si>
    <t xml:space="preserve"> Prospective Bidders should have experience in undertaking similar project within the last 5 years with an amount of at least   25% of the proposed project for bidding. Partial bidding is not allowed. The eligibility checks/screening   as well as the Preli</t>
  </si>
  <si>
    <t xml:space="preserve"> Interested bidders may obtain further information of the bidding documents from the BAC Secretariat of Barangay Isauan, Tubungan, Iloilo during working days starting June 17 - 23, 2020 from 8:00 a.m. to 5:00 p.m.</t>
  </si>
  <si>
    <t xml:space="preserve"> Construction of Reservoir - Las Arenas, Pantukan, Davao De Oro (Labor)</t>
  </si>
  <si>
    <t xml:space="preserve"> Republic of the Philippines Province of Bukidnon Municipality of Cabanglasan -o0o- ___________________________________________________________________________ INVITATION TO BID FOR  Purchase of Materials for Construction of Multi-Purpose Building C, Pobla</t>
  </si>
  <si>
    <t xml:space="preserve"> 80    vials  Anti-Rabies Vaccine for RHU</t>
  </si>
  <si>
    <t xml:space="preserve"> Republic of the Philippines Province of Surigao del Norte Municipality of Claver BARANGAY CAGDIANAO INVITATION TO BID Name of Contract: PURCHASE OF MEAT Location: Brgy. Cagdianao, Claver, Surigao del Norte Project Description: Purchase of two thousand eig</t>
  </si>
  <si>
    <t xml:space="preserve"> 1 unit Printer, pref. L3110 2 units Dot Matrix Printer, pref. LQ310 1 unit Printer, WiFi All-in-One with ADF, pref. L5190</t>
  </si>
  <si>
    <t xml:space="preserve"> Batch 1 (3 days) 180.00 pax Packed Lunch w/2 snacks Batch 2 (3 days) 180.00 pax Packed Lunch w/2 snacks Note: Packed lunch with included snacks will be distributed uniformly @ 60 pax per day</t>
  </si>
  <si>
    <t xml:space="preserve"> 1. Please see attached Request for Quotation Form for details 2. RFQ Form can also be downloaded at www.ilocossur.gov.ph 3. Please read the General Instructions to Bidders at the attached RFQ Form</t>
  </si>
  <si>
    <t xml:space="preserve"> Additional benefit for Skeletal Workforce during ECQ</t>
  </si>
  <si>
    <t xml:space="preserve"> Please see the attached document</t>
  </si>
  <si>
    <t xml:space="preserve"> This project is dealing of Brgy. Guinuangan, Lopez, Quezon</t>
  </si>
  <si>
    <t xml:space="preserve"> TO MONITOR AND KEEP UP PUPILS ACADEMIC HEALTH STATUS</t>
  </si>
  <si>
    <t xml:space="preserve"> REQUEST FOR QUOTATION (In accordance with Section 53.9 of Revised-IRR of RA 9184) 	The Municipal Government of Paracale, Camarines Norte invited all legitimate contractors/suppliers to submit quotation for the hereunder list Goods and/or Services on or be</t>
  </si>
  <si>
    <t xml:space="preserve"> No.	"ITEM DESCRIPTION  (ITEM NAME &amp; TECHNICAL SPECIFICATIONS)"	QTY.	UNIT	UNIT COST	APPROVED BUDGET OF CONTRACT (ABC)		"FINANCIAL PROPOSAL  (Indicate the Price Offer)"		TECHNICAL PROPOSAL (Indicate Brand/Model Offer)	 							Unit Price	Total Price		 1	60 A</t>
  </si>
  <si>
    <t xml:space="preserve"> 12 LOADS (BOULDERS (20-30 CM) 18,000.00 108 BAGS ( PORTLAND CEMENT - 28,080.00 5 LOADS - WASHED SAND  TOTAL - 52,580.00</t>
  </si>
  <si>
    <t xml:space="preserve"> 11	reams	Bookpaper long 11	reams	Bookpaper Short 4	pcs	Sign Pen, G-Tech 0.5 5	boxes	Paper Clip Small 8	boxes	Paper Clip Big 5	boxes	Paper Fastener 46	pcs	Ballpen Black 10	pcs	Correction Pen, Small 13	pcs	White Folder Long 2	bottles	White Glue, Big 1	pcs	P</t>
  </si>
  <si>
    <t xml:space="preserve"> 230 pcs LED bulb 1 box electrical wire 50 pcs rubber socket 3 pliers</t>
  </si>
  <si>
    <t xml:space="preserve"> Republic of the Philippines PROVINCE OF SIQUIJOR Capitol, Bldg., Pulangyuta, Siquijor, Siquijor INVITATION TO BID FOR Supply and Delivery of 1500 packs Fortified Powdered Milk (600gms) and 122 packs 370gms Fortified Powdered Milk &amp; 5 Kilos Rice 1.	The Pro</t>
  </si>
  <si>
    <t xml:space="preserve"> No.	"ITEM DESCRIPTION  (ITEM NAME &amp; TECHNICAL SPECIFICATIONS)"	QTY.	UNIT	UNIT COST	APPROVED BUDGET OF CONTRACT (ABC)		"FINANCIAL PROPOSAL  (Indicate the Price Offer)"		TECHNICAL PROPOSAL (Indicate Brand/Model Offer)	 							Unit Price	Total Price		 1	WL-I</t>
  </si>
  <si>
    <t xml:space="preserve"> City Government of Manila INVITATION TO BID NO. 2020-06-90 Procurement of 77,000 pcs. Tablet 10” and 33,000 pcs. Tablet 8” 1.	The City Government of Manila, through the SEF Fund CY 2020 –intends to apply the sum of Six Hundred Fifty Three Million Four Hun</t>
  </si>
  <si>
    <t xml:space="preserve"> Nissan 10W DT/SHG 277 10.00 x 20 Rib Type Tire 10.00 x 20 Interior Tube 10.00 x 20 Lug Type Tire Stud Bolt Rear RH Labor Cost: Nissan FE6 Firetruck/SHH 907 Motor Oil Oil Filter JC -270 Oil Filter C -503 PMS, Change Oil Main &amp; Back Engine Repair Discharge </t>
  </si>
  <si>
    <t xml:space="preserve"> VEHICLE-SPARE PARTS AND PAINTING MATERIALS</t>
  </si>
  <si>
    <t xml:space="preserve"> QTY      UNIT        DESCRIPTION 154    BAGS     PORTLAND CEMENT 7        LOADS    GRAVEL, G1 4        LOADS   RIVERMIXED 4        PCS       2x6x1.2MM C-PURLIONS 2        LOADS   CEMENT HAULING TO SITE</t>
  </si>
  <si>
    <t xml:space="preserve"> Request for Quotation 80	ea	Good Lumber 2x2x12					 53	ea	Good Lumber 2x2x10					 54	ea	Good Lumber 2x3x12					 56	ea	Good Lumber 1x2x10					 15	ea	Good Lumber 2x6x12					 280	ea	Tiles 60x60					 50	bags	Cement Pozzolan					 30	bags	Adhesive Cement					 1</t>
  </si>
  <si>
    <t xml:space="preserve"> To be used for ICT Department encoding and documents preparation</t>
  </si>
  <si>
    <t xml:space="preserve"> RFQ-GS-20200608-04 Interested Suppliers are invited to submit Price Quotation for the above listed item. The official LANDBANK Request for Quotation Form may be obtained from MR. RUEL MARCA (email address: ruelmarca@yahoo.com) . The deadline for the submi</t>
  </si>
  <si>
    <t xml:space="preserve"> 1		units	Notebook PC	                         Cpu: 8th Generation Intek Core i7-8550U 1.80 GHz Processor(8M Cache, up to 4.00 GHz)                         HDD: 1TB HDD + 128GB SSD                         RAM: 8GB, DDR4, 2400MHz	                         Gr</t>
  </si>
  <si>
    <t xml:space="preserve"> Quantity	Unit of Issue	Item Description	                Unit Price	Total Price 				 14	        Pax	                 Breakfast (4 Days)		 14	        Pax	                 Snacks (Am/PM) (5 Days)		 14	        Pax	                 Lunch (5 Days)		 14	        </t>
  </si>
  <si>
    <t xml:space="preserve"> Republic of the Philippines								 Province of Negros Occidental								 Municipality of La Castellana								 Bids and Awards Committee								 								 INVITATION TO APPLY FOR ELIGIBILITY AND TO BID								 								 Name of Project: 		PROCUREMENT OF IC</t>
  </si>
  <si>
    <t xml:space="preserve"> Republic of the Philippines PROVINCE OF SURIGAO DEL SUR Municipality of Carrascal   Barangay Caglayag   INVITATION FOR BIDS                      The Barangay Bacolod through its Bids and Awards Committee invites sealed bids from eligible supplier for Tran</t>
  </si>
  <si>
    <t xml:space="preserve"> One Job order Tourism Video Production Management Package, 1 pc., for Tourism Promotion Videos.</t>
  </si>
  <si>
    <t xml:space="preserve"> LGU-Gubat, Sorsogon	Globe #: 0917-535-5818; Smart # 0998-984-6448 	REQUEST FOR QUOTATION (RFQ) 	Date 	Dear Supplier, 	The	LGU-	requests you to submit a quotation for the procurement project whose details are given  	Project 	PURCHASE OF ONE BAGGER CONCRET</t>
  </si>
  <si>
    <t xml:space="preserve"> This project is by lot, partial bid is not accepted LOT PRINTING SERVICES 1 PRINTING AND BINDING OF IEC MATERIALS FOR TRADITIONAL KNOWLEDGE PROJECT *248 book copies *Book printing. *Half of A4 (landscape). *Cover: C2S 200gsm, matte laminated. *Insert page</t>
  </si>
  <si>
    <t xml:space="preserve"> Tarpaulin 4x5	8	pc Tarpaulin 3x4	4	pc</t>
  </si>
  <si>
    <t xml:space="preserve"> Albatross 50g Air Freshener, spray, glade 320ml. Air Freshener, can , glade Ballpen, black - good quality Carbon Paper, Club-Short (blue) Carbon Paper, Plastofoil, short Chlorine Copy Paper, US, Sub 20 70 gsm, legal 8 1/2 x 14" Copy Paper, US, Sub 20 70 g</t>
  </si>
  <si>
    <t xml:space="preserve"> 1 PC/S TEFLON - 1/2" 9 2 PC/S FLEXIBLE HOSE - 1/2x3/4 ( Lavatory ) 3 3 SET/S FITTINGS - for water closet 10 4 PC/S URINAL BOTTOM FLUSH - . 2 5 PC/S FAUCET - Lavatory Standard 10 6 PC/S PVC COUPLING - Eslon Blue 1/2" 10 7 PC/S PVC ELBOW - Eslon Blue 1/2" 1</t>
  </si>
  <si>
    <t xml:space="preserve"> Republic of the Philippines CITY OF SAN PEDRO Province of Laguna BIDS AND AWARDS COMMITTEE INVITATION TO BID The City Government of San Pedro Laguna through the 2020 CDC Budget Approved by Sangguniang Panglungsod intends to apply the sum of Php 1,500,000.</t>
  </si>
  <si>
    <t xml:space="preserve"> 1 unit i5 laptop  1 unit multi function laser copier</t>
  </si>
  <si>
    <t xml:space="preserve"> Republic of the Philippines Province of Bukidnon Municipality of Cabanglasan -o0o- ___________________________________________________________________________ INVITATION TO BID FOR  Purchase of Materials for Construction of Multi-Purpose Building T Imbatu</t>
  </si>
  <si>
    <t xml:space="preserve"> City Government of Manila INVITATION TO BID NO. 2020-06-92 Procurement of 286,000 pcs. Mobile Prepaid SIM Cards  1.	The City Government of Manila, through the SEF Fund CY 2020 –intends to apply the sum of Two Hundred Forty Three Million One Hundred Thousa</t>
  </si>
  <si>
    <t xml:space="preserve"> REQUEST FOR QUOTATION The Local Government Unit of Siaton, Siaton Negros Oriental, through the Bids and Awards Committee (BAC) will undertake a Small Value Procurement for the Purchase of Computer and Digital Accessories, Storage Devices and Laptop for SI</t>
  </si>
  <si>
    <t xml:space="preserve"> CONDUCT OF QUARTERLY MAINTENANCE CHECK OF 40 AIR-CONDITIONING UNITS INSTALLED AT THE DBM ROV OFFICE BUILDING IN ACCORDANCE WITH ATTACHED TERMS OF REFERENCE. BREAKDOWN AS FOLLOWS GROUND FLOOR (12 UNITS) 1 UNIT WINDOW TYPE 1.5HP 4 UNITS SPLIT TYPE 1HP 2 UNI</t>
  </si>
  <si>
    <t xml:space="preserve"> QTY        UNIT          DESCRIPTION 384       BAGS     PORTLAND CEMENT 17         LOADS   GRAVEL, G1 9           LOADS    RIVERMIXED 4           PCS        2x 6 C-PURLINS x 1.2MM 4           LOADS    CEMENT HAULING TO SITE</t>
  </si>
  <si>
    <t xml:space="preserve"> 9x290 Market billboard with Installation		1	pc 				 	9x80 Market billboard with installation		1	pc</t>
  </si>
  <si>
    <t xml:space="preserve"> RFQ-GS-20200611-01 Interested Suppliers are invited to submit Price Quotation for the above listed item. The official LANDBANK Request for Quotation Form may be obtained from MS. CHARM FLORIDO (email address: charm.florido.landbank@gmail.com). The deadlin</t>
  </si>
  <si>
    <t xml:space="preserve"> 2 units collapsible tent L x W x H -12x18x8 feet, GI pine sched #20 S4 P.G Green back to back</t>
  </si>
  <si>
    <t xml:space="preserve"> Supply &amp; Delivery of Fuel &amp; other Lubricants (Diesel/Crude, Special &amp; Unleaded Gasoline &amp; other oil &amp; lubricants) 890	liter		Gasoline-Special		 107	liter		Gasoline-Unleaded		 1632 liter		Crude-Diesel		 19	liter		Oil 4T		 15	liter		Oil 30		 3	pail		Hydraul</t>
  </si>
  <si>
    <t xml:space="preserve"> Standard Form Number: SF-GOOD-60 Revised on May 24, 2004                                                                                  Republic of the Philippines CARLOS HILADO MEMORIAL STATE COLLEGE  Talisay City, Negros Occidental Telefax (034) 712-8</t>
  </si>
  <si>
    <t xml:space="preserve"> Repair &amp; Maintenance of Buildings</t>
  </si>
  <si>
    <t xml:space="preserve"> Assorted Processing Equipments</t>
  </si>
  <si>
    <t xml:space="preserve"> REQUEST FOR QUOTATION (RFQ) The MEO  through the Bids and Awards Committee (BAC) of the Municipality of Banaybanay, Davao Oriental hereby notifies and invites you to submit your quotation/bid for the hereunder proposed project/request, viz:  USE FOR THE P</t>
  </si>
  <si>
    <t xml:space="preserve"> FOR THE MATERIALS AND FOODS FOR 5 DAYS TEACHERS TRAINING</t>
  </si>
  <si>
    <t xml:space="preserve"> please contact RBAC Secretariat.</t>
  </si>
  <si>
    <t xml:space="preserve"> Diesel - 7272.72727 liters</t>
  </si>
  <si>
    <t xml:space="preserve"> Republic of the Philippines				                                                                                                          Department of Environment and Natural Resources				 		                    OFFICE OF THE PENRO		 				                  </t>
  </si>
  <si>
    <t xml:space="preserve"> Name of the Procuring Entity: UNIVERSITY OF NORTHERN PHILIPPINES  	Project Reference Number: 20-05-28-131 										Name of the Project: 	 Standard Form Number: SF-GOOD-60						Location of the Project: UNP Vigan City Revised on: May 24, 2004 Standard Form</t>
  </si>
  <si>
    <t xml:space="preserve"> RFQ-GS-20200609-01 Interested Suppliers are invited to submit Price Quotation for the above listed item. The official LANDBANK Request for Quotation Form may be obtained from MS. MS. NADZ ILETO (email address: iletonadia25@gmail.com). The deadline for the</t>
  </si>
  <si>
    <t xml:space="preserve"> Republic of the Philippines PROVINCE OF ZAMBOANGA SIBUGAY Municipality of Talusan Barangay Poblacion INVITATION TO BID  (FOR BARANGAY POBLACION) 1.	The Barangay Local Government Unit of Poblacion Talusan Zamboanga Sibugay, through the 20% Development Fund</t>
  </si>
  <si>
    <t xml:space="preserve"> Materials for printing of Modules for SY 2020-2021</t>
  </si>
  <si>
    <t xml:space="preserve"> Office Supplies of Municipal Mayor's Office</t>
  </si>
  <si>
    <t xml:space="preserve"> Republic of the Philippines Province of Bukidnon Municipality of Cabanglasan -o0o- ___________________________________________________________________________ INVITATION TO BID FOR  Purchase of Materials for Construction of Multi-Purpose Building Q(Perime</t>
  </si>
  <si>
    <t xml:space="preserve"> Training Expense</t>
  </si>
  <si>
    <t xml:space="preserve"> 12	set	15 watts LED Bulb 14	pc	4" dia PVC Receptacle 234	m	36 Duplex Wire  2	roll	Electrical Rape (Big)</t>
  </si>
  <si>
    <t xml:space="preserve"> This project is by lot, partial bid is not accepted LOT HARDWARE &amp; CONSTRUCTION SUPPLIES 1 BRUSH/GRASS CUTTER *Engine type: 2 strokes. *Fuel tank capacity: 2hp 1501WE. *Including: blade. UNIT: UNIT, QUANTITY: 1 ELECTRIC WITH DRILL BITS SET *13mm maximum d</t>
  </si>
  <si>
    <t xml:space="preserve"> See attached POW at associated components for details.</t>
  </si>
  <si>
    <t xml:space="preserve"> Request for Quotation for Construction Materials (168,345.00)</t>
  </si>
  <si>
    <t xml:space="preserve"> Alcohol A4 Bond Paper Long Bond Paper Sign Pen Blue Sign Pen Black Surgical Mask Anti-Bacterial Hand Soap</t>
  </si>
  <si>
    <t xml:space="preserve"> CONDUCT OF QUARTERLY MAINTENANCE CHECK OF ONE (1) UNIT GENERATOR SET 60KVA OWNED BY DBM-ROV IN ACCORDANCE WITH ATTACHED TERMS OF REFERENCE</t>
  </si>
  <si>
    <t xml:space="preserve"> Please see attached Specification</t>
  </si>
  <si>
    <t xml:space="preserve"> Republic of the Philippines Province of Bukidnon Municipality of Cabanglasan -o0o- ___________________________________________________________________________ INVITATION TO BID FOR  Purchase of Materials for Construction of Multi-Purpose Building W (Perim</t>
  </si>
  <si>
    <t xml:space="preserve"> Trastuzumab 150mg Lyophilized Powder Requirements for Drugs and Medicines: **Drugs with history of usage from VMMC (Requirements No. 1-5 only) ** **For Innovators (Requirements No. 1-4 only) ** 1. CPR 2. CGMP 3. LTO 4. CERTIFICATE OF DISTRIBUTOSHIP 5. CER</t>
  </si>
  <si>
    <t xml:space="preserve"> For use in Maintenance Section with ID S00163CB, S00249CB, S00253CB, S00259CB, S00162CB, S00373CB, S00258CB and S00394CB.</t>
  </si>
  <si>
    <t xml:space="preserve"> portland cement - 70 bags ordinary plywood - 10 sheets 8mm dia x 6m DRSB - 50 length 10mm dia x 6m DRSB - 50 length latex paint flat wall - 20 gallons</t>
  </si>
  <si>
    <t xml:space="preserve"> 1 unit Medical Cabinet</t>
  </si>
  <si>
    <t xml:space="preserve"> Republic of the Philippines Province of Bukidnon Municipality of Cabanglasan -o0o- ___________________________________________________________________________ INVITATION TO BID FOR  Purchase of Materials for Construction of Multi-Purpose Building P Poblac</t>
  </si>
  <si>
    <t xml:space="preserve"> Food Supplies Expense</t>
  </si>
  <si>
    <t xml:space="preserve"> Republic of the Philippines Province of Bukidnon Municipality of Cabanglasan -o0o- ___________________________________________________________________________ INVITATION TO BID FOR  Purchase of Materials for Construction of Multi-Purpose Building V (Perim</t>
  </si>
  <si>
    <t xml:space="preserve"> Republic of the Philippines CITY OF SAN PEDRO Province of Laguna BIDS AND AWARDS COMMITTEE INVITATION TO BID The City Government of San Pedro Laguna through the 2020 CDC Budget Approved by Sangguniang Panglungsod intends to apply the sum of Php 1,499,966.</t>
  </si>
  <si>
    <t xml:space="preserve"> 2 sets Receiving Sofa      For: Office of the Mayor</t>
  </si>
  <si>
    <t xml:space="preserve"> For use in road maintenance along Cebu 5th DEO jurisdiction.</t>
  </si>
  <si>
    <t xml:space="preserve"> Request for Quotation for Laptop</t>
  </si>
  <si>
    <t xml:space="preserve"> Republic of the Philippines Province of Leyte Municipality of Mahaplag BARANGAY CUATRO DE AGOSTO Invitation to bid for the Procurement of Materials for the Construction of Concrete Pathway at Sitio Maitom 1. The Barangay Cuatro De Agosto of Mahaplag, Leyt</t>
  </si>
  <si>
    <t xml:space="preserve"> various office supplies</t>
  </si>
  <si>
    <t xml:space="preserve"> Tow hitch; Roller bar, bed Liner, step board and sticker logo</t>
  </si>
  <si>
    <t xml:space="preserve"> Department of Education  Region IX, Zamboanga del Sur DIVISION OF ZAMBOANGA DEL SUR Dimataling District SAN MIGUEL ELEMENTARY SCHOOL REQUEST FOR QUOTATION Item No.  Qty.   Unit     Item Description      01            14    Gal        Roofing Paint  02    </t>
  </si>
  <si>
    <t xml:space="preserve"> Polo Shirt with print</t>
  </si>
  <si>
    <t xml:space="preserve"> 2	unit	Vacuum Cleaner (Portable) 2	unit	Stand Fan 1	unit	Airconditioner (1HP) 2	unit	Airconditioner Split Type (2HP) 1	unit	Water Dispenser (Hot &amp; Cold)</t>
  </si>
  <si>
    <t xml:space="preserve"> various materials for repair and maintenance of streetlights</t>
  </si>
  <si>
    <t xml:space="preserve"> Business Plate for Barangay San Manuel</t>
  </si>
  <si>
    <t xml:space="preserve"> Name of Project		: ON-GOING CONSTRUCTION OF MULTI-PURPOSE HALL 		 Location	         	:  Brgy. Narangasan, Milagros, Masbate Brief Description	: I. Ceiling Works 				            a. Materials 			           II. Roofing Works 				            a. Materials 			 </t>
  </si>
  <si>
    <t xml:space="preserve"> Note:  1. ALL ITEMS SHOULD BE IN ONE PACKAGE. 2. ALL BIDDERS MUST BE WITHIN BACOLOD CITY. 3. WARRANTY SHALL BE FOR A PERIOD OF SIX (6) MONTHS FOR SUPPLIES &amp; MATERIALS, ONE (1) YEAR  FOR EQUIPMENT, FROM THE DATE OF ACCEPTANCE BY THE PROCURING ENTITY. 4. PR</t>
  </si>
  <si>
    <t xml:space="preserve"> 1 set Conference Table w Chairs( 6 Seaters)</t>
  </si>
  <si>
    <t xml:space="preserve"> Parachute Tent Canopy Only 50 feet Diameter</t>
  </si>
  <si>
    <t xml:space="preserve"> REQUEST FOR QUOTATION The City Government of San Jose del Monte, through its Bids and Awards Committee (BAC) Invites Suppliers/Manufacturers/Distributors to Bid for hereunder procurement: RFQ No.	PR No.	PROJECT TITLE	Requesting Office	Approved Budget for </t>
  </si>
  <si>
    <t xml:space="preserve"> Please see attached RFQ. ABC: 50,000.00</t>
  </si>
  <si>
    <t xml:space="preserve"> 1 unit 2019 Toyota HILUX 4x4xM/T-FX  - 2..4 liter Diesel, 4-Cylinder, 16-Valve, DOHC Variables  Nozzle Turbo  - with front mounted intercooler (D-4D)  - 2.393cc  - 147 Hp / 3,400 rpm  - 343 Nm/ 1,400- 2800 rpm  - 5 speed Manual Transmission  - 80 liters  </t>
  </si>
  <si>
    <t xml:space="preserve"> Procurement of Electrical Works (Labor and Materials) at the new PPPI Office (NDC Building) See Attached TOR and Layout for your referrence.</t>
  </si>
  <si>
    <t xml:space="preserve"> Republic of the Philippines PROVINCE OF AKLAN Municipality of Tangalan INVITATION TO BID  REHABILITATION/IMPROVEMENT OF LOCAL ACCESS ROAD                                                                            Project Reference No.: SF-INFR-2020-003-00</t>
  </si>
  <si>
    <t xml:space="preserve"> RFQ-2020-172		 			 1.	30	sacks	Dog Food 			 	Deadline for Submission of Bids: June 23, 2020, 11:00 AM		 			PAYMENT TERM: 90 DAYS</t>
  </si>
  <si>
    <t xml:space="preserve"> portland cement - 30 bags 16" x 16" ceramic floor tiles - 460 pcs. sand - 4 cu.m fixed glass partition - 57.36 sq. m glass door (0.8m x 2.1m) - 3 sets</t>
  </si>
  <si>
    <t xml:space="preserve"> Top Engine Overhaul Change Oil Change Tire</t>
  </si>
  <si>
    <t xml:space="preserve"> Item No.	Item and Description						Unit	Quantity 1		Epson Ink - Black					pc	50 2		Epson Ink - Cyan					pc	30 3		Epson Ink - Magenta					pc	30 4		Epson Ink - Yellow					pc	30 5		Bond Paper - A4					reams	60 6		Bond Paper - Legal					reams	60 7		File organ</t>
  </si>
  <si>
    <t xml:space="preserve"> 1.	The General Mariano Alvarez Water District (GMAWD), through the GMAWD General Fund, intends to apply the sum of FIVE MILLION NINE HUNDRED SIXTY THREE THOUSAND PESOS (Php5,963,000.00)  being the Approved Budget for the Contract (ABC) to payments under t</t>
  </si>
  <si>
    <t xml:space="preserve"> Public Bidding See Attachment</t>
  </si>
  <si>
    <t xml:space="preserve"> REQUEST FOR QUOTATION 					       RFQ No. A-014-2020 _____________________________ Name of Dealer/Supplier/Distributor _____________________________ Business Address 	Please quote your lowest price on the item/s listed below, stating the shortest time of </t>
  </si>
  <si>
    <t xml:space="preserve"> Network Cabinet Data 22u 1.2m</t>
  </si>
  <si>
    <t xml:space="preserve"> Purchase of janitorial supplies and toiletries for use of RRCY residents Janitorial Supplies: Dustpan, plastic - 24pcs Duster - 24pcs Laundry brush, with wood handle - 30 pcs Utility pail, plastic, 20ltr cap, white or pastel color - 70 pcs Dipper, plastic</t>
  </si>
  <si>
    <t xml:space="preserve"> Hand Held UHF Two-Way Radios</t>
  </si>
  <si>
    <t xml:space="preserve"> Please download PDF @ associated components for more information</t>
  </si>
  <si>
    <t xml:space="preserve"> Food packs and hygiene kit</t>
  </si>
  <si>
    <t xml:space="preserve"> 1	1	LOT	SUPPLY OF THE FOLLOWING OFFICE EQUIPMENT: 1 UNIT  COPIER MACHINE •	Digital Copier with Network Printing, Color         Scanning and Network Fax •	HyPAS solution platform Technology enables         powerful customizations •	Copy and Print speed of </t>
  </si>
  <si>
    <t xml:space="preserve"> PROVISION OF MATERIALS &amp; SUPPLIES FOR INSET - Php 5, 584.00 1	BOX	PENTEL PEN ( BROAD, BLACK ) - Php 470.00  8	REAMS	A4 BONDPAPER SUBSTANCE 20 - Php 1,560.00  15	PACKS	SPECIAL PAPER 200 GSM ( LONG ) - Php 450.00  8	PCS.	MASKING TAPE (3/4 INCH)	- Php 320.00</t>
  </si>
  <si>
    <t xml:space="preserve"> Purchase of generator sets for use at the 6 provincial operation offices of DSWD FO V during emergency/disaster Generator sets - 6 units 2.5KW, rated voltage 220 volts, gasoline</t>
  </si>
  <si>
    <t xml:space="preserve"> Qty.	Unit of	ITEM  Description	Unit	Amount 	Issue		Cost	 				 				 30	liters	Amci DDAC 50%	 1,500.00 	 45,000.00</t>
  </si>
  <si>
    <t xml:space="preserve"> 3 roll B-net/Horticultural Net 1/4 mesh double-width etc.</t>
  </si>
  <si>
    <t xml:space="preserve"> SUPPLY OF 2 ASSY. ABRASSIVE RAIL SAW MACHINE WITH GUIDING SUPPORT under PR No. RS-1219-055 and ITB No. 2001-007-01 Please quote your lowest price on the item/s listed below, subject to the Terms and Conditions set forth hereunder, stating among others the</t>
  </si>
  <si>
    <t xml:space="preserve"> 18 LENGTH G.I  Pipe 1 1/2" sched. 40 etc.</t>
  </si>
  <si>
    <t xml:space="preserve"> HD Camera Full Frame, Palm Sized Built-in SD Media Card Slots XAVC, AVCHD, DV File Based Recording Slow and Quick Motion 3G-SDI &amp; HDMI Output Wireless LAN Control Optional Upgrade to UHD 4K LAPTOP i7 Processor, 8GB DDR4, 512GB 15.6" FHD, WiFi 6TB External</t>
  </si>
  <si>
    <t xml:space="preserve"> This project is by lot, partial bid is not accepted LOT INFORMATION TECHNOLOGY PARTS &amp; ACCESSORIES &amp; PERIP 1 AC ADAPTER *Input: 100-245V ~ 1.0A 50Hz, *Output: 12VDC ~ 2.6A (for monitor use). UNIT: PIECE, QUANTITY:10 ANTISTATIC WRIST STRAP *ESD wrist strap</t>
  </si>
  <si>
    <t xml:space="preserve"> AM Snacks Lunch PM Snacks Dishwashing, Fabric Conditioner, Detergent Powder, Perfume/Cologne Making Kits Training Kits (brown envelope, notebook, pencil) 3 x 4 Tarpaulins Tokens (for speakers)</t>
  </si>
  <si>
    <t xml:space="preserve"> 95 kilo Vermi Worms</t>
  </si>
  <si>
    <t xml:space="preserve"> Construction of Concrete Spillway &amp; Installation of 600mm dia. RCPC</t>
  </si>
  <si>
    <t xml:space="preserve"> 10 roll B-net/ Horticultural Net 1/4 mesh double-width etc.</t>
  </si>
  <si>
    <t xml:space="preserve"> THE BRGY. NBBS DAGAT-DAGATAN THRU BIDS AND AWARDS COMMITTEE, THROUGH THE CY 2020 ANNUAL BUDGET INTENDS TO APPLY THE SUM OF PHP. 1,196,025.57 BEING THE ABC TO PAYMENTS UNDER THE CONTRACT FOR LABOR &amp; MATERIALS FOR UPGRADING OF ALLEY WITH IMPROVEMENT OF DRAI</t>
  </si>
  <si>
    <t xml:space="preserve"> Republic of the Philippines                                                                               																																																											 DEPARTMENT OF PUBLIC WORKS AND HIGHWAYS																																																		</t>
  </si>
  <si>
    <t xml:space="preserve"> THE BRGY. NBBS DAGAT-DAGATAN THRU BIDS AND AWARDS COMMITTEE, THROUGH THE CY 2020 ANNUAL BUDGET INTENDS TO APPLY THE SUM OF PHP. 512,233.79 BEING THE ABC TO PAYMENTS UNDER THE CONTRACT FOR LABOR &amp; MATERIALS FOR UPGRADING OF ALLEY WITH IMPROVEMENT OF DRAINA</t>
  </si>
  <si>
    <t xml:space="preserve"> This project is by lot, partial bid is not accepted LOT FURNITURE AND FIXTURES 1 OFFICE CHAIR *Type of chair: EXECUTIVE swivel chair with arm rest. *Back: made of leather. *Legs: made of stainless. *Wheels: made of plastic. *High back rest, adjustable hei</t>
  </si>
  <si>
    <t xml:space="preserve"> Assorted Processing Equipment</t>
  </si>
  <si>
    <t xml:space="preserve"> Purchase of IT supplies for use of DSWD FO V Solid State Drive - 33 units Specifications: Capacity: ≥500GB Form Factor: 2.5" Wireless Lavalier Microphone - 1 unit Specifications: Audio input connector: 3.5mm mini jack Frequency band: 2.4GHz Can be used fo</t>
  </si>
  <si>
    <t xml:space="preserve"> 2 units Digital BP Apparatus</t>
  </si>
  <si>
    <t xml:space="preserve"> I.	Invitation to Apply for Eligibility and to Bid Rebidding for the Repair and Renovation of Second Floor Bonifacio P. Sibayan Hall	 1. The Philippine Normal University, through Fund 101 intends to apply the sum of Ten Million Three Hundred Fifty-One Thou</t>
  </si>
  <si>
    <t xml:space="preserve"> Item	Qty.	Unit of	ITEM  Description No.		Issue	 1	2	units	ULV Cold Fogger 2	1	pc	Ridgid 12" Pipe Wrench 3	1	pc	Tramontina Adj. Wrench 4	1	pc	Stanley 9 inches Lineman Pliers 5	1	pc	Stanley 6 inches Lineman Pliers 6	1	cp	Stanley Plier Circlip Bent Ext 7 inc</t>
  </si>
  <si>
    <t xml:space="preserve"> Republic of the Philippines Province of Bukidnon Municipality of Cabanglasan -o0o- ___________________________________________________________________________ INVITATION TO BID FOR  Purchase of Materials for Construction of Calacapan Swimming Pool (Additi</t>
  </si>
  <si>
    <t xml:space="preserve"> THE BRGY. NBBS DAGAT-DAGATAN THRU BIDS AND AWARDS COMMITTEE, THROUGH THE CY 2020 ANNUAL BUDGET INTENDS TO APPLY THE SUM OF PHP. 434,936.57 BEING THE ABC TO PAYMENTS UNDER THE CONTRACT FOR LABOR &amp; MATERIALS FOR UPGRADING OF ALLEY WITH IMPROVEMENT OF DRAINA</t>
  </si>
  <si>
    <t xml:space="preserve"> 1 unit, Pedometer - dimension: 5.5cm L x 3.5cm W x 2cm H - color: Black - weight: 22 gram (battery included) - function: step counter, distance counter, calorie counter and clock - clock with 12 or 24 hour format - metric and imperial units converting fun</t>
  </si>
  <si>
    <t xml:space="preserve"> Ephedrine 50mg/ml, 1ml Amp (as Sulfate) Esmolol 10mg/ml, 10ml Vial (as Hydrochloride) Etoposide 20mg/ml, 10ml Vial Felodipine 10mg MR Epinephrine 1mg/ml, 1ml/Amp Fentanyl Citrate 50mcg/ml, 2ml Inj. (Citrate) Requirements for Drugs and Medicines: **Drugs w</t>
  </si>
  <si>
    <t xml:space="preserve"> 2 units Electric Fan (Big)</t>
  </si>
  <si>
    <t xml:space="preserve"> Republic of the Philippines Province of Iloilo Municipality of Lambunao Office of the Bids &amp; Awards Committee INVITATION TO BID/ REQUEST FOR PRICE QUOTATION Name of Project: Purchase of Ambulance (Hi-Roof) Location: Lambunao, Iloilo ABC: Php 2,200,000.00 </t>
  </si>
  <si>
    <t xml:space="preserve"> Badiangan to Villa Flores Road Opening to include Roadway Excavation</t>
  </si>
  <si>
    <t xml:space="preserve"> PROCUREMENT OF MATERIALS FOR THE REPRODUCTION  OF TEACHER-MADE MODULES AND AND INSTRUCTIONAL MATERIALS (111 TEACHERS) - Php 138, 794.00 222	reams	Long bondpaper substance 20 - Php 46,620.00  111	reams	short bondpaper substance 20 - Php 21,423.00  111	ream</t>
  </si>
  <si>
    <t xml:space="preserve"> Please download PDF @ associated for more information</t>
  </si>
  <si>
    <t xml:space="preserve"> Please see attached PDF file of Purchase Request for reference</t>
  </si>
  <si>
    <t xml:space="preserve"> 1 unit Ignition Assembly Repair &amp; Maintenance of Equipment Replacement of Parts etc,</t>
  </si>
  <si>
    <t xml:space="preserve"> Item No. Qty. Unit of Issue Item Description 1 3,083 liters Diesel 2 2,359 liters Premium</t>
  </si>
  <si>
    <t xml:space="preserve"> 1	unit	television 1	unit	cignal satellite</t>
  </si>
  <si>
    <t xml:space="preserve"> 1	Bagger Mixer  		1 unit  	1 bagger concrete mixer 		 	Type: Air-cooled, 4 cycle single cylinder side value, gasoline engine 		 	Displacement: 273ml (cc) 		 	Continuous output: 4.0kw/3600rpm (5.5HP/3600rpm) 		 	Maximum output: 5.5kw/4000rpm (7.5HP/4000rpm</t>
  </si>
  <si>
    <t xml:space="preserve"> ANNEX A” 		 Price Quotation Form Date:____________________ The BAC Chairperson PMMA Complex, San Narciso, Zambales Sir/Madam: After having carefully read and accepted the terms and conditions in the Request for Quotation, hereunder is our quotation/s for </t>
  </si>
  <si>
    <t xml:space="preserve"> Republic of the Philippines Province of Bukidnon Municipality of Cabanglasan -o0o- ___________________________________________________________________________ INVITATION TO BID FOR  Purchase of Materials for Construction Steel Goal at Pangian, Tagawili, B</t>
  </si>
  <si>
    <t xml:space="preserve"> Number: 	Quantity: 	 1	2250	kg	Ginger Rizome	a. two percent (2%)  weight mortality allowance b. Rhizome  should  be mature(10 months old),dry,clean and  free from  soil particles  and other  inert materials,c. Rhizome  should be disinfected  by washing  w</t>
  </si>
  <si>
    <t xml:space="preserve"> Purchase of Rain boots, Rain coats, Umbrellas &amp; Flashlights</t>
  </si>
  <si>
    <t xml:space="preserve"> SECURITY SERVICES</t>
  </si>
  <si>
    <t xml:space="preserve"> 28 pcs. uPVC Pipe 3"Ø x 6m C-100 2 pcs. C.I. Sleeve Type Coupling 3"Ø 1 pc. C.I. Elbow 3"Ø 1 pc. C.I. TEE 3" x 3"</t>
  </si>
  <si>
    <t xml:space="preserve"> 50	Drums	Calcium Hypochlorite, Granular 70%  		Available Chlorine mn. (with certificate of analysis) 		20% solubility or higher (with certificate of analysis) 		45 kilos of chlorine net weight per drum 		Manufacture in Japan original manufacturer's 		pack</t>
  </si>
  <si>
    <t xml:space="preserve"> This project is by lot, partial bid is not accepted LOT AIRCONDITIONING &amp; AIRCONDITIONING SYSTEMS 1 AIR CONDITIONER *1.0HP, split type, inverter, wall mounted, *Cooling capacity: 9, 270KJ/h, *Power supply: 1/220-230/60, *EER: 13.1, *With free installation</t>
  </si>
  <si>
    <t xml:space="preserve"> Drugs and Medicines Expense</t>
  </si>
  <si>
    <t xml:space="preserve"> INVITATION TO  BID 17 June 2020 The municipality of Sampaloc through its Bids and Awards Committee (BAC) invites suppliers/manufacturers/distributors/contractors to apply for eligibility to bid for the hereunder project: Name of Project	:	CONSTRUCTION OF </t>
  </si>
  <si>
    <t xml:space="preserve"> Republika ng Pilipinas										 National Irrigation Administration										 (Pambansang Pangasiwaan ng Patubig)										 REGION XI										 Irrigation Management Office- Davao de Oro										 										 										 										 										 										 			</t>
  </si>
  <si>
    <t xml:space="preserve"> Republic of the Philippines PROVINCE OF AKLAN Municipality of Tangalan INVITATION TO BID  CONSTRUCTION OF MATERIAL RECOVERY FACILITY Project Reference No.: SF-INFR-2020-001-001B Approved Budget for the Contract: Php 600, 000.00 Source of Fund: EMB DENR RE</t>
  </si>
  <si>
    <t xml:space="preserve"> 1 unit, Hyadraulic Dynamometer - measures up to 90kgs of force - accommodates small and large hand sozes - with 5 grip postitions - dual scale readout measures isometric grip force in both pounds and kilograms - with peak hold needle retaining highest rea</t>
  </si>
  <si>
    <t xml:space="preserve"> One (1) Unit Aircon 1/2 hp (Window Type) and One (1) Unit Steel Cabinet (4 drawers)</t>
  </si>
  <si>
    <t xml:space="preserve"> 2 units Motorcycle XRM 125	   Specification:	   Engine Type	4 stroke,Air-cooled,overhead cam   Displacement	125 cc   Bore X Stroke	52.40 x 57.91 (mm)   Maximum Power	7.12 Kw @ 7,500 rpm   Maximum Torque	9.55 N.m @6,500 rpm   Starting System	Electric and K</t>
  </si>
  <si>
    <t xml:space="preserve"> Item	Qty.	Unit of	ITEM  Description No.		Issue	 1	2	pcs.	Stainless Steel Valve 1 FB 2	1	pc.	Fire Hose 1 1/2 x 100ft. SJ 3	2	pcs.	Fire Hose 1 1/2 x 100ft. DJ 4	1	pc.	Fog Nozzle 1 1/2 5	1	pc.	Giacomini Angle Valve 1 1/2 6	1	pc.	Neck Nipple 1 1/2 7	1	pc.	GI </t>
  </si>
  <si>
    <t xml:space="preserve"> Various Office Supplies Sangguniang Bayan Office</t>
  </si>
  <si>
    <t xml:space="preserve"> The Department of Agriculture-RFO 3, invites interested suppliers to submit quotations/proposals for the hereunder requirement, to wit: 1	unit	Jetmatic Pump	 		Specification:	 		- 2hp motor	 		- 3560 rpm 1 phase 115/230v	 		- odp 60 hz	 		- 1 1/4" x 1 ci </t>
  </si>
  <si>
    <t xml:space="preserve"> 1 unit Chainsaw</t>
  </si>
  <si>
    <t xml:space="preserve"> Various Office Supplies Accounting Office</t>
  </si>
  <si>
    <t xml:space="preserve"> A. Other General Requirements (Project Billboard, Construction Safety and Health (Materials, Labor, Equipment) B. SOLAR STREET LIGHTS SPECIFICATIONS: Integrated Solar Lights, Mono Crystalline, LED Lights, 60 watss with hot dipped, 8 meter high post (inclu</t>
  </si>
  <si>
    <t xml:space="preserve"> Republic of the Philippines Province of Iloilo Municipality of Lambunao Office of the Bids &amp; Awards Committee INVITATION TO BID/ REQUEST FOR PRICE QUOTATION Name of Project: PUrchase of Materials for the Concreting of Municipal Streets (DELMES Access Road</t>
  </si>
  <si>
    <t xml:space="preserve"> The Technical Education and Skills Development Authority (TESDA), through the TESDA-PTC Sindangan, Zamboanga del Norte will undertake a Small Value Procurement for the “Supplies and materials to be used for skills training Cum Production in Wooden Poultry</t>
  </si>
  <si>
    <t xml:space="preserve"> Midazolam 15mg Tab Mecobalamin 500mg Tab Monobasic Sodium Phosphate, Dibasic Sodium 19G/7G Solution Per 133ml Bottle Morphine 10mg/ml, 1ml Monobasic/Dibasic Sodium Phosphate 48G/18G Solution per 100ml Sol, 45ml Requirements for Drugs and Medicines: **Drug</t>
  </si>
  <si>
    <t xml:space="preserve"> Purchase of Gardening Materials</t>
  </si>
  <si>
    <t xml:space="preserve"> 12 mm x 6m RSB Welding Rod Counter Sink Faucet HDPE Pipe 1/2 Compression type Threaded Coupling 1/2 Epoxy Primer PVC Pipe 1/2 PVC Threaded Elbow 1/2 Elbow 1/2 PVC Tee 1/2 PVC Elbow 1 1/4 PVC Pipe  1 1/4</t>
  </si>
  <si>
    <t xml:space="preserve"> P.E. REDUCER 2 X 1 1/2" P.E. REDUCER 3 X 2 " EQUAL TEE MECHANICAL 2" EQUAL TEE MECHANICAL 3" PLASTIC SADDLE CLAMP 2 X 1 1/2" PLASTIC SADDLE CLAMP 4 X 2" P.E. ELBOW 1 1/2" END CAP (PVC) 3" sOLVENT TYPE P.E. MALE ADAPTOR 4"</t>
  </si>
  <si>
    <t xml:space="preserve"> Concreting of Local Road Zone 5, Angustia, Nabua, Camarines Sur</t>
  </si>
  <si>
    <t xml:space="preserve"> Republic of the Philippines Province of Bukidnon Municipality of Cabanglasan -o0o- ___________________________________________________________________________ INVITATION TO BID FOR  Purchase of Solar Lights at Buso/P11 Poblacion/Jasaan/Salimbobonog Capino</t>
  </si>
  <si>
    <t xml:space="preserve"> Construction of Concrete Pathway P-3</t>
  </si>
  <si>
    <t xml:space="preserve"> Military Police Traffic Supplies Expenses</t>
  </si>
  <si>
    <t xml:space="preserve"> Bids and Awards Committee (BAC) Meeting and Conferences for the month of July to December 2020</t>
  </si>
  <si>
    <t xml:space="preserve"> The San Jose City – Local Government Unit (SJC-LGU) through its Bids and Award Committee (BAC), will undertake an Alternative Method of Procurement through Negotiated Procurement for the item stated below, in accordance with Section 53.9 Small Value Procu</t>
  </si>
  <si>
    <t xml:space="preserve"> 300 kilo Mangosteen ripe, fresh etc.</t>
  </si>
  <si>
    <t xml:space="preserve"> 1 unit, Overhead Pulley system - dimension:  10"W x 16" D x 8"H - dual handles - wall plated mounts securely to wall for stability - two pulley system for smooth and easy movement - cord length:  8"(2.45m)</t>
  </si>
  <si>
    <t xml:space="preserve"> The Bids and Awards Committee								 Province of Iloilo								 								      In connection with your Invitation to Bid No. PEO-20-0696 B  scheduled on June 24, 2020, I/we proposed to furnish and deliver in conformity with the terms and conditions, and s</t>
  </si>
  <si>
    <t xml:space="preserve"> 9.5 sqm studdings, placement of 1/4"x4'x8' marine plywood as double wall and paint finish         Disbursement Counter 1 unit 44"x26"x72" pine wood and marine plywood and paint finish</t>
  </si>
  <si>
    <t xml:space="preserve"> Please Send At this Email: tcwdpgeps_7214@yahoo.com Please quote your lowest price inclusive of VAT on the item/s listed below, subject to the Terms and Conditions of this RFQ, and submit your quotation duly signed by your representative not later than Ju</t>
  </si>
  <si>
    <t xml:space="preserve"> Completion of Road Concreting at Sitio Ruston, San Antonio Ogbon to La Opinion, Sitio Ruston San Antonio Ogbon, Nabua, Camarines Sur</t>
  </si>
  <si>
    <t xml:space="preserve"> 168 L.M. a. Excavation works 28 pcs. b. Pipelaying 3"Ø x 6m 4 units c. Installation of Fittings 168 L.M. d. Final Backfill with compaction 85 L.M. e. Demolition of concrete driveways &amp; road shoulders 3-6" thick 18 L.M. f. Road Crossing</t>
  </si>
  <si>
    <t xml:space="preserve"> REQUEST FOR QUOTATION (RFQ) The MO through the Bids and Awards Committee (BAC) of the Municipality of Banaybanay, Davao Oriental hereby notifies and invites you to submit your quotation/bid for the hereunder proposed project/request, viz: FOOD ASSISTANCE </t>
  </si>
  <si>
    <t xml:space="preserve"> Portland Cement	75 Bags Wash Sand	6 Cu. M Graded Gravel (3/4”ø)	9 Cu. M 10mm x 6m RSB	50 Pcs 12mm x 6m RSB	30 Pcs Hacksaw Blade	5 Pcs #16 Tie Wire	7 Kgs 3/8” x 4’ x 8’ Marine Plywood	5 Pcs 2” x 2” x 8’ Coco Lumber	30 Pcs Heavy Duty Construction Pail	6 Pcs</t>
  </si>
  <si>
    <t xml:space="preserve"> SEE ATTACHED DOCUMENT.</t>
  </si>
  <si>
    <t xml:space="preserve"> Republic of the Philippines Province of Bukidnon Municipality of Cabanglasan -o0o- ___________________________________________________________________________ INVITATION TO BID FOR  Purchase of Materials for Pasalubong Center lot 1,2 PB-2020-23 1.	The Loc</t>
  </si>
  <si>
    <t xml:space="preserve"> Visor Face Shield</t>
  </si>
  <si>
    <t xml:space="preserve"> Eperisone HCL 50mg Requirements for Drugs and Medicines: **Drugs with history of usage from VMMC (Requirements No. 1-5 only) ** **For Innovators (Requirements No. 1-4 only) ** 1. CPR 2. CGMP 3. LTO 4. CERTIFICATE OF DISTRIBUTOSHIP 5. CERTIFICATE OF ANALYS</t>
  </si>
  <si>
    <t xml:space="preserve"> 1.The Brgy. Pondang, through the LGSF-DBM intends to apply the sum of Seven Hundred Fifty Thousand Pesos Only (P750,000.00) being the Approved Budget for the Contract (ABC) to payments under the contract for Construction of Multi-purpose Hall. Bids receiv</t>
  </si>
  <si>
    <t xml:space="preserve"> Various Other Supplies and Materials Sangguniang Bayan Office</t>
  </si>
  <si>
    <t xml:space="preserve"> PROVISION OF DRUGS AND MEDICINES FOR SCHOOL CLINIC - Php 15, 215.00 3	boxes	500 mg paracetamol tablet ( 100's/box) - Php 1,650.00  3	gal.	70% ethanol alcohol - Php 1,800.00  3	boxes	3 ply facemask with ear loop - Php 4,500.00  3	 packs	cotton balls ( 300 </t>
  </si>
  <si>
    <t xml:space="preserve"> Feeds for production of animal center</t>
  </si>
  <si>
    <t xml:space="preserve"> Republic of the Philippines  Province of Cebu Municipality of Boljoon INVITATION TO BID FOR the purchase of Construction materials for open canal 1.	The Municipality of Boljoon, through the DRRMF-Special Trust Fund  in the amount of One hundred thousand  </t>
  </si>
  <si>
    <t xml:space="preserve"> 1 piece Carboy Plastic, 10 liters HD Nalgene etc.</t>
  </si>
  <si>
    <t xml:space="preserve"> INVITATION TO BID FOR Breeding Stocks  (Name of Project)    1.	The CITY GOVERNMENT OF ZAMBOANGA, through the AB FY 2020 intends to apply the sum of ONE MILLION THREE HUNDRED TWENTY THOUSAND PESOS (P1,320,000.00) ONLY being the Approved Budget for the Cont</t>
  </si>
  <si>
    <t xml:space="preserve"> Please see attached RFQ # 20-694-7 Submit the HARDCOPY of your SIGNED and SEALED quotation together with your UPDATED ELIGIBILITY requirement on or before the closing date of this opportunity. For more information, please contact Ma'am Nanette M. Rosales </t>
  </si>
  <si>
    <t xml:space="preserve"> RFQ-2020-173		 			 1.	100	days	Rental of 2 Big Tent for Covid 19 			Patients (SPC GENERAL HOSPITAL) 2.	30	days	Rental of 5 Big Tent in Securing Travel Authority Due to Pandemic 			 	Deadline for Submission of Bids: June 19, 2020, 11:00 AM		 			PAYMENT TER</t>
  </si>
  <si>
    <t xml:space="preserve"> Name of the Procuring Entity: TONDO MEDICAL CENTER Name of the Project:  Supply and Delivery of Mineral Water for Nutrtion and Dietetics Service      			                                          Location of the Project: Tondo Medical Center Balut, Tondo M</t>
  </si>
  <si>
    <t xml:space="preserve"> Republic of the Philippines					 Province of Palawan					 MUNICIPALITY OF EL NIDO					 PR No.		 Name of Procuring Entity: Municipal Government of El Nido			RFQ No.		 			Date:		 Office/End-User: MHO					 Company Name					 Adress:					 Business Permit No.:	</t>
  </si>
  <si>
    <t xml:space="preserve"> 2         PCS       OFFICE TABLE                           (2FT. X 3.5FT. X 2.5FT.) 30       PCS        MONOBLOCK CHAIR, WHITE   1       PC          EXECUTIVE CHAIR 10       PCS        WOODEN CHAIR WITH FOAM</t>
  </si>
  <si>
    <t xml:space="preserve"> Concreting of Local Road, San Roque Madawon, Nabua, Camarines Sur</t>
  </si>
  <si>
    <t xml:space="preserve"> 30 pcs CHB#4 10 bags Cement 1 elf Gravel 1.6cum/elf 1 elf Sand 1.6 cum/elf 5 pcs P.E. Connector 3/4 5 pcs P.E. Elbow 3/4 5 pcs P.E Tee 3/4 5 pcs P.E Tee 1/2 5 pcs P.E Connector 3/4x1/2 2 pcs P.E Elbow 1x3/4 150 mtr Hose 3/4 blue(moldex) 30 mtr Hose 1/2 bl</t>
  </si>
  <si>
    <t xml:space="preserve"> REQUEST FOR QUOTATION Procurement of Goods [Supplies for Repair of Restroom Cubicle at IBT][Repost] The   City Government of Tagbilaran, through its Bids and Awards Committee (BAC) intends to apply the sum of One Hundred Ninety-Two Thousand One Hundred Th</t>
  </si>
  <si>
    <t xml:space="preserve"> Diesel and Gasoline</t>
  </si>
  <si>
    <t xml:space="preserve"> Printer 3in1 and inks</t>
  </si>
  <si>
    <t xml:space="preserve"> 1. Provision of six (6) Security Guards for six (6 months) July to December 2020.     a. Three (3) Guards Guards Day Shift @ 8 hours per duty/shift for Regional Office, Wangal, La Trinidad, Benguet.          8 AM - 4 PM          4 PM - 12 MN          12 M</t>
  </si>
  <si>
    <t xml:space="preserve"> 1 UNIT LAPTOP I5102106/8GB/512GB SSDNVME/W10</t>
  </si>
  <si>
    <t xml:space="preserve"> Aircon Window Type 1.0 HP</t>
  </si>
  <si>
    <t xml:space="preserve"> 200 tanks Medical Oxygen (Refill) Norzagaray Municipal Hospital</t>
  </si>
  <si>
    <t xml:space="preserve"> Republic of the Philippines PROVINCE OF ZAMBOANGA DEL NORTE Municipality of Sibutad BIDS AND AWARDS COMMITTEE 					                                                                                                                    June 17, 2020 INVITATION</t>
  </si>
  <si>
    <t xml:space="preserve"> INVITATION TO BID FOR Janitorial Supplies  (Name of Project)    1.	The CITY GOVERNMENT OF ZAMBOANGA, through the General Fund intends to apply the sum of ONE MILLION FIFTY THOUSAND SIX HUNDRED NINETY EIGHT PESOS (P1,050,698.00) ONLY being the Approved Bud</t>
  </si>
  <si>
    <t xml:space="preserve"> 15	pcs	Rechargable Flashlight  15	pcs	Uniform T-shirt with Logo 15	pcs	Whistle 15	pcs	Cloth Caps, Black</t>
  </si>
  <si>
    <t xml:space="preserve"> Pls. quote the item listed below: 1.  Diesel  -   2,824.25 ltrs. End Users:   RHU  -  1,050 ltrs.   MEO  -  1,229 ltrs.   MAO  -  545.25 ltrs.  NOTE:                      Opening of Bids will be on June 30, 2020 @ 1:00 pm</t>
  </si>
  <si>
    <t xml:space="preserve"> PLEASE SEE ATTACHED RFQ.</t>
  </si>
  <si>
    <t xml:space="preserve"> Please see attached Specifications</t>
  </si>
  <si>
    <t xml:space="preserve"> Invitation to Apply for Eligibility and to Bid The Barangay Government of Barangay Bucal, Batangas City intends to apply the sum of One Hundred Twenty Thousand Pesos Only (Php 120,000.00) broken down as follow: ITEM Brief Description SUB-ABC Lot 1 PURCHAS</t>
  </si>
  <si>
    <t xml:space="preserve"> REQUEST FOR QUOTATION Price Quotation No.: CSWD-SSRFQ-2020-06-009 The Castillejos Water District through its Bids &amp; Awards Committee will undertake a procurement transaction for the PROCUREMENT OF SUPPLY AND DELIVERY OF MATERIALS FOR REPAIR OF MAIN LINES </t>
  </si>
  <si>
    <t xml:space="preserve"> Number: 	Quantity: 	Unit	PPMP_Code	PPMP_Code1	PPMP_Code2	PPMP_Remarks	Articles	Specifications	StockNo	Unit_Cost	Estimated_Cost 1	60	kg	2951-33229		2951-33229-		Corn seeds	sweetcorn, 1 kg/pack, hybrid		3,160.00	189,600.00 2	22	kg	2951-33244		2951-33244-		T</t>
  </si>
  <si>
    <t xml:space="preserve"> INVITATION TO BID FOR Other Supplies  (Name of Project)    1.	The CITY GOVERNMENT OF ZAMBOANGA, through the Trust Fund intends to apply the sum of ONE MILLION FIVE HUNDRED THOUSAND PESOS (P1,500,000.00) ONLY being the Approved Budget for the Contract (ABC</t>
  </si>
  <si>
    <t xml:space="preserve"> Specifications can be viewed online by clicking the "Associated Components" section on this ITB. The Local Government Unit-Municipality of Malinao, Aklan through the Bids and Awards Committee, intends to apply the sum of One Million Four Hundred  Thousand</t>
  </si>
  <si>
    <t xml:space="preserve"> INVITATION TO BID FOR THE PROCUREMENT OF TWO (2) YEAR SUBSCRIPTION FOR TWO (2) LOTS OF MOBILE POSTPAID AND PREPAID PLAN FOR PAGCOR OFFICERS AND KEY PERSONNEL under ITB No. PB20-04-034COR The Philippine Amusement and Gaming Corporation (PAGCOR) is inviting</t>
  </si>
  <si>
    <t xml:space="preserve"> 1   unit  Laptop 1   unit  Projector</t>
  </si>
  <si>
    <t xml:space="preserve"> Other Supplies &amp; Materials Expenses</t>
  </si>
  <si>
    <t xml:space="preserve"> For Vegetable Seedling Production in Support to Revitalized Gulayan Project:  SEEDLING TRAYS</t>
  </si>
  <si>
    <t xml:space="preserve"> Purchase of Supplies &amp; Materials  ITEM &amp; DESCRIPTION	QTY	UNIT	UNIT PRICE	TOTAL PRICE CHB 6x8x16	1200	piece	 	  Deformed Bar, 12mm.	20	piece		 Deformed Bar, 10mm.	100	piece		 Tie Wire #16	7	kilo		 Cement	180	bag		 Sand	15	cu.m.		 Gravel	21	cu.m.		 Fine San</t>
  </si>
  <si>
    <t xml:space="preserve"> Department of Education Region VI-Western Visayas Cadiz City Alimatoc Elementary School Small Value for Procurement of the Improvement of Gulayan sa Paaralan 1.	The Alimatoc Elementary School, through the School’s MOOE 2020  intends to apply the sum of Fo</t>
  </si>
  <si>
    <t xml:space="preserve"> 300 can SEEDS-RUBBER</t>
  </si>
  <si>
    <t xml:space="preserve"> REQUEST FOR QUOTATION Date	:	June 15, 2020 Project Title	:	Supply and Delivery of Various Maintenance and Construction Materials ITB No.             	:	SV20-06-001ANG Approved Budget for the Contract (ABC)	:	Nine Hundred Ninety-Nine Thousand Eight Hundred</t>
  </si>
  <si>
    <t xml:space="preserve"> INVITATION TO BID CONSTRUCTION / ESTABLISHMENT OF TOURISM INFORMATION AND PASALUBONG CENTER 1.	The Local Government Unit of Cabadbaran City through the GF – CITY TOURISM PROGRAMS &amp; ACTIVITIES intends to apply the sum of  ONE MILLION ONE HUNDRED FIFTY-NINE</t>
  </si>
  <si>
    <t xml:space="preserve"> INVITATION TO BID KB-GOODS-2020-05 I.	The Municipality of Kitaotao, intends to apply the sum of Three Hundred Thirty Pesos (P330,000.00) for the Supply and Delivery of Various Goods . Bids received more than the ABC shall be automatically rejected at Bid </t>
  </si>
  <si>
    <t xml:space="preserve"> Republic of the Philippines Office of the Municipal Mayor BIDS AND AWARDS COMMITTEE Sual, Pangasinan Invitation to Bid for PROCUREMENT OF MEDICAL SUPPLIES  FOR PRIMARY CARE FACILITY Sual, Pangasinan  1.	The Municipal Government of Sual, Pangasinan, throug</t>
  </si>
  <si>
    <t xml:space="preserve"> Procurement of Services for Re-Installation of Racking Systems</t>
  </si>
  <si>
    <t xml:space="preserve"> REQUEST FOR QUOTATION NOTICE 1. The PHILIPPINE SCIENCE HIGH SCHOOL – ZAMBOANGA PENINSULA REGION CAMPUS (PSHS-ZRC) intends to apply the sum of Three Hundred Seventy Five Thousand Pesos (P 375,000.00) being the Approved Budget for the Contract (ABC) to pay </t>
  </si>
  <si>
    <t xml:space="preserve"> Aircondition Unit 1.5 HP (3 QTY)</t>
  </si>
  <si>
    <t xml:space="preserve"> Republic of the Philippines DEPARTMENT OF PUBLIC WORKS AND HIGHWAYS BATANGAS III DISTRICT ENGINEERING OFFICE REGIONAL OFFICE IV-A J. Gonzales St., Barangay 4, Tanauan City INVITATION TO BID (GS-2020-005) The Department of Public Works and Highways (DPWH),</t>
  </si>
  <si>
    <t xml:space="preserve"> see associated components for downloaable RFQ 2020-4005</t>
  </si>
  <si>
    <t xml:space="preserve"> 6 sets of Truck Tires (700x16)</t>
  </si>
  <si>
    <t xml:space="preserve"> Procurement of supply and delivery of Agricultural Supplies and Materials 10	bags	Complete fertilizer (14-14-14) 50kg/bag 5	bags	Urea (46-0-0) 50kg/bag 4	bags	Muriate of potash (0-0-60) 50kg/bag 40	bags 	Organic Fertilizer (NPK 5-10%) 50kg/bag 200	contain</t>
  </si>
  <si>
    <t xml:space="preserve"> PLEASE SEE ATTACHED FILE OF INVITATION TO BID</t>
  </si>
  <si>
    <t xml:space="preserve"> 1	lot	Rebidding for the labor and materials for the fabrication and						Php__________		Php__________ 		installation of Clear Acrylic Protective Screen for the following:								 										 11	sets	For Kidapawan Branch (Budget - Php6,363.636/set):						Ph</t>
  </si>
  <si>
    <t xml:space="preserve"> JOB ORDER: To supply catering services for the conduct of  Sorghum Production Technology Training on the following dates and locations:  No.	Scope of Work	Quantity	Unit_Cost	ABC 	Venue &amp; Schedule: No. of Participants (20 Sorghum farmers and 5 RPs/ facilit</t>
  </si>
  <si>
    <t xml:space="preserve"> Various medicines and medical supplies</t>
  </si>
  <si>
    <t xml:space="preserve"> UNIVERSITY OF THE PHILIPPINES BAGUIO											 Governor Pack Road, Baguio City, Benguet, CAR											 VAT Reg. TIN: 000-864-006-00007											 Telephone No. 074.442.3484											 Email Address: spmo.upbaguio@up.edu.ph											 											 REQUEST</t>
  </si>
  <si>
    <t xml:space="preserve"> Request for Quotation for the Calibration of Technical Scientific Equipment as one of the requirements for ISO Accreditation 1.	The Department of Agriculture-Regional Field Office 7 (DA-RFO 7), through the General Appropriations Act of CY 2020)  intends t</t>
  </si>
  <si>
    <t xml:space="preserve"> Item	Qty.	Unit of	ITEM  Description No.		Issue	 1	6	pcs.	Oil Supply 100CC for HM 1306 2	1	pc.	Armature ass'y HM 1214C 3	2	pcs.	O Ring 31.5 HM 1241C 4	2	pcs.	Oil Supply 100CC for HM 1306 5	2	set	Carbon Brush CB 175 6	1	pc.	Armature ass'y HM 1214C 7	1	pc.	S</t>
  </si>
  <si>
    <t xml:space="preserve"> RFQ-2020-174		 			 1.	10	units	10 x 16 TENT WITH PRINT 2.	10	units	8 X 10 TENT WITH PRINT 			 	Deadline for Submission of Bids: June 19, 2020, 11:00 AM		 			PAYMENT TERM: 90 DAYS</t>
  </si>
  <si>
    <t xml:space="preserve"> TERMS and CONDITIONS:						 1. All entries must be typewritten or legibly written.						 2. Delivery period within Fifteen (15) working days upon receipt of the approved funded Purchase (P.O.). Administrative penalties pursuant to Sec. 69 of the Revised I</t>
  </si>
  <si>
    <t xml:space="preserve"> For use in Revitalized Gulayan Project:  Garden Tool Set  Blow Molding Watering Sprinkler Garden Hose Heavy Duty Rake with Handle Heavy Duty Shovel All Steel Bulk Seedling Bag Gusseted GrabHoe Wheel BArrow</t>
  </si>
  <si>
    <t xml:space="preserve"> 100 cu.m Mountain/Garden Soil</t>
  </si>
  <si>
    <t xml:space="preserve"> REQUEST FOR QUOTATION	 RFQ No. 2020-0248 The CITY GOVERNMENT OF CABANATUAN through its Bid and Awards Committee (BAC) will undertake Small Value Procurement for SUPPLY AND DELIVERY OF MEDICAL OXYGEN REFILL (50lbs.)in accordance with Section 53.9 of the Re</t>
  </si>
  <si>
    <t xml:space="preserve"> Procurement of Construction Materials &amp; Supplies						 Purchase Requested by the City Agriculture's Office, Tabaco City						 						 To Interested Suppliers, Manufacturers and Distributors,						 						 Please quote your lowest price/s on the lot or item/</t>
  </si>
  <si>
    <t xml:space="preserve"> 1.	The Local Government Unit of Las Nieves, through the Budget for the Contract Approved by the Sanggunian (QRF) intends to apply the sum of ten thousand pesos only (Php 10,000.00)  being the Approved Budget for the Contract (ABC) to payments under the co</t>
  </si>
  <si>
    <t xml:space="preserve"> Procurement of Various Janitorial Supplies. Interested bidders can download the attached file for complete specifications and requirements. Please send your quotation thru this email: caysiebagsit.ritm@gmail.com Note: Kindly make our PR# as a subject of y</t>
  </si>
  <si>
    <t xml:space="preserve"> PROCUREMENT TERMS AND CONDITIONS						 						 1. The Total Approved Budget for the Contract (ABC) is ONE HUNDRED FIFTY THOUSAND PEOS ONLY (150,000.00)						 2.  Price Quotation should be inclusive of tax obligation.						 3. Evaluation of bids will be con</t>
  </si>
  <si>
    <t xml:space="preserve"> Boulder (0.20mø min)	30 Cu. M Fine Sand	12 Cu. M Cement	80 Bags Construction Pail	6 Pcs Wheel Borrow	1 Pc</t>
  </si>
  <si>
    <t xml:space="preserve"> The Technical Education and Skills Development Authority (TESDA), through the TESDA-PTC Sindangan, Zamboanga del Norte will undertake a Small Value Procurement for the “Supplies and materials to be used for IT Infrastructure Upgrade in preparation for Ble</t>
  </si>
  <si>
    <t xml:space="preserve"> Office Supplies</t>
  </si>
  <si>
    <t xml:space="preserve"> UNIT DESCRIPTION QUANTITY  DOUBLE BEAM UV-VIS SPECTROPHOTOMETER "Double beam, Czerny-Turner monochromator, 1901100 nm wavelength range, 1.5 nm fixed spectral bandwidth, full spectrum Xenon pulse lamp single source with exceptionally long life. Scan rates </t>
  </si>
  <si>
    <t xml:space="preserve"> Purchase of audio &amp; video equipments for the use of the Office of the Sangguniang Bayan.</t>
  </si>
  <si>
    <t xml:space="preserve"> 0.60m x 1.0m RCPC	15 Pcs Cement	10 Bags Fine Sand	10.5 Cu. M Tirullet Cutting Disk	2 Pcs 4”x8”x16” CHB	530 Pcs Portland Cement	60 Pcs 10mmøx6m RSB	110 Pcs T.W	22 Kilos Mix Sand and Gravel	3 Cu. M ¾” Graded Gravel	3 Cu. M 2”x4”x10” Coco Lumber	30 Pcs 4” CW</t>
  </si>
  <si>
    <t xml:space="preserve"> 1 unit Spine Board w/ Spider Strap</t>
  </si>
  <si>
    <t xml:space="preserve"> Republic of the Philippines								 CARLOS HILADO MEMORIAL STATE COLLEGE								 Talisay City, Negros Occidental								 Telefax: (034) 712-8404 / 495-3767								 bac.sec@chmsc.edu.ph								 								 REQUEST FOR QUOTATION								 								 							Date:  </t>
  </si>
  <si>
    <t xml:space="preserve"> •	Group Insurance (Annual)   -   600pax</t>
  </si>
  <si>
    <t xml:space="preserve"> tubular 2x4x10	20	pcs tubular 1x2	20	pcs plain sheet .5	10	pcs paint brush #2	6	pcs. quick dry enamel green	4	gals. metal primer	4	gals. paint thinner	20	btls. welding rod	5	kls. c-purlins 2x3	55	pcs. angle bar 1/4	80	pcs 8x12 tiles	400	pcs. metal primer	</t>
  </si>
  <si>
    <t xml:space="preserve"> Metochlopramide 10mg tab (as hydrochloride) Neostigmine Amp (500mcg/ml, 1ml (as methyl sulfate)  Nicardipine 1mg/ml, 2ml (as hydrochloride)  Ofloxacin Eye Drops 0.3% 6ml Nifedipine 30mg MR Oxymetazoline Nasal Spray 0.08% x 16ml (as hydrochloride) Requirem</t>
  </si>
  <si>
    <t xml:space="preserve"> ITEMS 1 REAM BOND PAPER LONG SUB-20 25 PCS BALLPEN BLACK 5 UNIT OFFICE TABLE WOODEN 30 UNIT HIGH BACK CHAIR PLASTIC 10 UNIT STAND FAN 2 UNIT RECLINING CHAIR</t>
  </si>
  <si>
    <t xml:space="preserve"> public biding</t>
  </si>
  <si>
    <t xml:space="preserve"> Republic of the Philippines Province of Nueva Vizcaya BIDS AND AWARDS COMMITTEE (BAC-Goods) BAC OFFICE, Provincial Capitol, Bayombong, Nueva Vizcaya Tel. No. 078-392-2062 	 INVITATION TO BID FOR THE SUPPLY AND DELIVERY OF VEHICLE PARTS (III) FOR   HEAVY E</t>
  </si>
  <si>
    <t xml:space="preserve"> See Attached Invitation to Bid</t>
  </si>
  <si>
    <t xml:space="preserve"> The BARANGAY V, Daet, Camarines Norte through the Bids and Awards Committee (BAC), invites suppliers/manufacturers/distributors/contractors to apply for eligibility to bid for the hereunder project: Name of Project:	REHABILITATION/ REPAINTING  OF MULTI- P</t>
  </si>
  <si>
    <t xml:space="preserve"> 1.	80	pcs	Concrete Hollow Blocks 4"x8"x6" 2.	35	bags	Portland Cement 40kg 3.	14	sheets	Corr. GI Sheet 10' long Ga. 24 4.	14	sheets	Corr. GI Sheet 9' long Ga. 24 5.	10	sheets	Steel Matting 4mm wd 2" sq hole 6.	12	sheets	Steel Wall Cladding 0.4mmx10 ft long</t>
  </si>
  <si>
    <t xml:space="preserve"> Semi Expendable Machinery &amp; Equip-Sports Equip</t>
  </si>
  <si>
    <t xml:space="preserve"> REPUBLIC OF THE PHILIPPINES		 			          PROVINCE OF SIQUIJOR		 					 			        MUNICIPALITY OF SIQUIJOR		 			         REQUEST FOR QUOTATION		 					 			                                                          Date:  		 ______________________________		</t>
  </si>
  <si>
    <t xml:space="preserve"> Republic of the Philippines                                       Province of Leyte                            MUNICIPALITY OF ALBUERA                     OFFICE OF THE MUNICIPAL MAYOR OFFICE OF THE BIDS AND AWARDS COMMITTEE INVITATION TO BID 	The Local G</t>
  </si>
  <si>
    <t xml:space="preserve"> Name of Project: Drilling of one (1) Deep Well through Percussion Drilling Method, 10" diameter, Depth - 100 meters, with the provision that in the event the desired 100 meters is not reached, bid shall automatically be reduced to accedptable amount appro</t>
  </si>
  <si>
    <t xml:space="preserve"> 50 m Submersible Cable #4/3C</t>
  </si>
  <si>
    <t xml:space="preserve"> PROVISION OF MATERIALS FOR THE PAINTING FOR THE MARKINGS OF SIGNAGES/FOOTMARKS FOR COVID-19 PREVENTION - Php 14, 915.00 5	gal.	white enamel paint - Php 3,250.00  5	gal.	red oxide enamel - Php 2,250.00  6	gal.	lemon yellow enamel	-Php 4,470.00  3	gal.	pain</t>
  </si>
  <si>
    <t xml:space="preserve"> Procurement of supply and delivery of ducks 480	heads	Male 721	heads	Female 		•	2-3 months old •	500 grams to 800 grams body weight •	Farm of origin must have Certificate of Avian Flu Free •	Dewormed 1 month before delivery •	Without any physical defect a</t>
  </si>
  <si>
    <t xml:space="preserve"> newsprint long	60	rms. newsprint short	60	rms. bond paper long	60	rms. bond paper short	60	rms. A4 bond paper	20	rms. thermal scanner	4	units hand soap	20	gals alcohol	20	gals zonrox bleach original	20	gals muriatic acid	20	gals. disinfectant matting hold</t>
  </si>
  <si>
    <t xml:space="preserve"> Procurement of Office Furnitures						 Purchase Requested by the Urban Rural &amp; Poor Affairs Office, Tabaco City						 						 To Interested Suppliers, Manufacturers and Distributors,						 						 Please quote your lowest price/s on the lot or item/s  below</t>
  </si>
  <si>
    <t xml:space="preserve"> please see attached Request for Quotation</t>
  </si>
  <si>
    <t xml:space="preserve"> ITEMS 200 PCS BUSINESS ACYTRIC PLATES 200 PCS TRICYCLE ACYTRIC PLATES 100 PCS PUMPBOAT ACYTRIC PLATES 60 PCS YELLOW PLATES</t>
  </si>
  <si>
    <t xml:space="preserve"> Medical Supplies and Laboratory Instruments</t>
  </si>
  <si>
    <t xml:space="preserve"> REQUEST FOR QUOTATION No. 2020-036 1.	The Municipality of Cabiao, Nueva Ecija, through its Bids and Awards Committee (BAC), invites suppliers/manufacturers/distributors to bid if found eligible, to bid for the Procurement of Anti-Rabies Vaccine in accorda</t>
  </si>
  <si>
    <t xml:space="preserve"> 1	INFRARED THERMAL SCANNER							2	PCS 2	HAND SOAP (CLINIC USE)				    			        2	BTL 3	DISPOSABLE MASKS							                3	BOXES 4	DISPOSABLE GLOVES							                4	BOXES 5	DISINFECTING AGENTS (ZONROX)						10	BTL 6	ALCOHOL							         </t>
  </si>
  <si>
    <t xml:space="preserve"> 3	unit	Fortable Chainsaw</t>
  </si>
  <si>
    <t xml:space="preserve"> REQUEST FOR QUOTATION Price Quotation No.: CSWD-SSRFQ-2020-06-010 The Castillejos Water District through its Bids &amp; Awards Committee will undertake a procurement transaction for the PROCUREMENT OF SUPPLY AND DELIVERY OF MATERIALS FOR PIPE LAYING OF ADDITI</t>
  </si>
  <si>
    <t xml:space="preserve"> Invitation to Bid</t>
  </si>
  <si>
    <t xml:space="preserve"> Republic of the Philippines Province of Iloilo Municipality of Lambunao Office of the Bids &amp; Awards Committee INVITATION TO BID/ REQUEST FOR PRICE QUOTATION Name of Project: Purchase of Generator Set to for the use of Municipal Slaughterhouse Location: La</t>
  </si>
  <si>
    <t xml:space="preserve"> 3 set Door Knob etc.</t>
  </si>
  <si>
    <t xml:space="preserve"> Item/Lot No.	ITEM &amp; DESCRIPTION/ TECHNICAL SPECIFICATION	Approved Budget for the Contract (ABC) in PHP	QUANTITY AND UNIT OF MEASURES	SPECIFICATIONS/ BRAND/ MODEL No. (for Bidders to Fill-out)	 UNIT COST	 TOTAL PRICE IN PESOS LOT 1	REPAIR OF PERIMETER FENC</t>
  </si>
  <si>
    <t xml:space="preserve"> Republic of the Philippines Province of Quezon Municipality of San Francisco BARANGAY CAWAYAN I INVITATION TO BID FOR Purchase of “2nd Hand Pick up” Vehicle. 1. The Sangguning Barangay of Cawayan I, San Francisco, Quezon, through the 20% Development Fund </t>
  </si>
  <si>
    <t xml:space="preserve"> 20% EDF CY 2020 Improvement of Water System - P 102,217.00 Schedule of Activities 1. Submission &amp; Receipt of Bids / Bid Opening - July 8, 2020 @ 10:00 AM 2. Bid Evaluation - July 9, 2020 3. Post Qualification - July 10, 2020 4. Approval of Resolution/Issu</t>
  </si>
  <si>
    <t xml:space="preserve"> Janitorial Supplies</t>
  </si>
  <si>
    <t xml:space="preserve"> 1 unit copier 1 unit toner</t>
  </si>
  <si>
    <t xml:space="preserve"> item no.       qty.          unit                   description  1                 10           pcs.                 electrical tape 2                 100         pcs.                 LED Bulb 9 watts  3                 50           pcs.                 r</t>
  </si>
  <si>
    <t xml:space="preserve"> Republic of the Philippines Province of South Cotabato BIDS AND AWARDS COMMITTEE City of Koronadal  (INF-ITB 20-002) INVITATION TO BID  PROJECT NAME/LOCATION/		          	          ABC/SOURCE OF FUND          PROJECT DURATION (BRIEF DESCRIPTION) 	 1.	Prov</t>
  </si>
  <si>
    <t xml:space="preserve"> Request for Quotation  3 	 ea 	Air Freshener 280ml					  1 	 ea 	Air Freshener 320ml					  2 	 ea 	Alcohol (70% Ethyl) 500ml					  1 	 ea 	Alcohol (70% Isoprophyl) 500ml					  2 	 box 	Ballpen ordinary 12's					  12 	 pcs 	Black prince mimeo duplicating i</t>
  </si>
  <si>
    <t xml:space="preserve"> CCTV Monitoring Equipments</t>
  </si>
  <si>
    <t xml:space="preserve"> Procurement of Construction Materials &amp; Supplies						 Purchase Requested by the City Engineering Office, Tabaco City						 						 To Interested Suppliers, Manufacturers and Distributors,						 						 Please quote your lowest price/s on the lot or item/s </t>
  </si>
  <si>
    <t xml:space="preserve"> Procurement of supply and delivery of Tractor Tire 2	pcs	Rear Tractor Tire 12.4-24 (8ply) (Inner &amp; Outer Tube) 2	pcs	Front Tractor Tire 8-16 (8ply) (Inner &amp; Outer Tube) PR# 2020-966</t>
  </si>
  <si>
    <t xml:space="preserve"> 1 Research Fellow for the conduct of the in-house research for 2020 Remuneration: PHP 720,000.00 Contract Duration: 6 months Qualifications: 1. At least doctorate degree holder in Statistics and a master’s degree holder in Statistics; 2. Has at least 5 ye</t>
  </si>
  <si>
    <t xml:space="preserve"> INTERIOR FIT-OUT		 A. Reception Counter with Chair (2Pcs.)-supply	1	Lot Of all materials &amp; accessories such as High		 Density Fiberboard, drawer slide, flush		 Handle, PVS edging – machine pressed &amp; retouch		 Works. Chair’s Materials: High Grade metal leg</t>
  </si>
  <si>
    <t xml:space="preserve"> MAINTENANCE OF DIESEL ENGINE 2 MAINTENANCE OF BLOWER FAN AT POWERHOUSE</t>
  </si>
  <si>
    <t xml:space="preserve"> Bids and Awards Committee							 REQUEST FOR QUOTATION							         The City Government of Pagadian, through its Bids and Awards Committee (BAC), invites suppliers/manufacturers/distributors to bid for the hereunder supplies/goods, charged to 1011-200-5</t>
  </si>
  <si>
    <t xml:space="preserve"> 1	CEMENT (FOR CR/CLINIC WALL DIVISION							200	BAGS 2	SAND AND GRAVEL CUBIC				     			                           4	CUBIC 3	IRON ROD (KABILYA) SIZE 10							                 20	PCS 4	IRON WIRE							                                           2	ROLLS 5	PL</t>
  </si>
  <si>
    <t xml:space="preserve"> ITEM NO.	QTY	UNIT	ARTICLES	UNIT	TOTAL 				PRICE	 PR NO. 20-06-612	HARDWARE SUPPLIES		 1	10	Pcs	GI Pipe 4” x 6 mts Sched 40	4,865.67	48,656.70 2	100	Pcs	Angular Bar 2” x 2” x 6 mts/ 1.5 mm.	724.00	72,400.00 3	30	Pcs	C-Purlins 2” x 3” x 6 mts., 1.5 mm	536.6</t>
  </si>
  <si>
    <t xml:space="preserve"> 2 cu.m Gravel Base 1"-2 dia</t>
  </si>
  <si>
    <t xml:space="preserve"> Concreting of Local Road at Barangay Angustia Going to Brgy. Salvacion Que Gatos, Nabua, Camarines Sur</t>
  </si>
  <si>
    <t xml:space="preserve"> 2 pcs UPS, 650VA 1 pc AVR</t>
  </si>
  <si>
    <t xml:space="preserve"> Construction of Multi-Purpose Hall is funded thru Trust Fund. Please be guided by the following schedule: 1. Submission of Letter of Intent - June 25-26, 2020 2. Eligibility Screening - June 29, 2020 3. Issuance and Availability of Bidding Documents - Jun</t>
  </si>
  <si>
    <t xml:space="preserve"> FORTY FIVE (45) DAYS PREVENTIVE MAINTENANCE WORKS FOR GENERATING NO. 1 AND ITS RELATED AUXILIARIES (MECHANICAL HELPERS)</t>
  </si>
  <si>
    <t xml:space="preserve"> Office supplies and devices, i.e bookpaper,ink cartridge, ink refill etc.</t>
  </si>
  <si>
    <t xml:space="preserve"> Municipality of Danao			  Name of the Procuring Entity	 Standard Form Number: SF-GOOD-60 Revised on: May 24, 2004 Standard Form Title: Request for Quotation REQUEST FOR QUOTATION Date: June 16, 2020 ___________________________________________ COMPANY NAME</t>
  </si>
  <si>
    <t xml:space="preserve"> ITEM: 100 PCS TOILET BOWL</t>
  </si>
  <si>
    <t xml:space="preserve"> 13 cu.m Gravel Base 1"-2 dia etc.</t>
  </si>
  <si>
    <t xml:space="preserve"> 1 set conference table, 12 seaters with 10 pcs. office chair fabric, black 2 pcs. visitor's chair wooden frame fabric upholster 1 set assorted accessories and decorations 1 set long couch 3 seater leather black with coffee table and accessories</t>
  </si>
  <si>
    <t xml:space="preserve"> 1 Research Associate for the conduct of the in-house research for 2020 Remuneration: PHP 480,000.00 Contract Duration: 6 months Qualifications: 1. At least a master’s degree holder in Statistics; 2. Has at least 3 years of previous experience in consultin</t>
  </si>
  <si>
    <t xml:space="preserve"> The Environmental Management Bureau Region 10 through its Bids and Awards Committee (BAC) now invites Philgeps registered supplier to submit their quotation for the Supply and Delivery of EMED 1st Quarter 2020 Office Supplies. 1. Bondpaper (Long, 8.5in x </t>
  </si>
  <si>
    <t xml:space="preserve"> attached</t>
  </si>
  <si>
    <t xml:space="preserve"> PROVISION OF 3 IN 1 PRINTER FOR EVERY GRADE LEVEL - Php 136, 000.00 16	PCS	PRINTER - Php 136,000.00  		3 in 1 (Scanner, printer, photocopier)			 -    		Printing Speed  10 pages (black &amp; white)			 -    		5 pages colored			 -</t>
  </si>
  <si>
    <t xml:space="preserve"> Sir/Madame: DepEd SDO of Oriental Mindoro thru its Bids and Awards Committee invites all interested and legitimate bidders to participate in the PROVISION OF PROCUREMENT AND DELIVERY OF CARDS FOR SCHOOLS DIVISION OFFICE USE. The Approved Budget for the Co</t>
  </si>
  <si>
    <t xml:space="preserve"> Concreting of Local Road, Sitio Sogod, Sto. Domingo, Nabua, Camarines Sur</t>
  </si>
  <si>
    <t xml:space="preserve"> 1. The Municipality of Banguingui, through its GAA intends to apply the sum of P 2,100,000.00 Two Million One Hundred Pesos being the Approved Budget for the Contract (ABC) to payments under the contract for Construction of MATERIAL RECOVERY FACILITY. Bid</t>
  </si>
  <si>
    <t xml:space="preserve"> ONE (1) UNIT Brand New Electric Generator Set Silent type 100 KVA, 460 volts, 3 phase, 60 hz "Cummins diesel engine", RPM 1,800 class H insulation with complete accessories or its equivalent (Trailer Mounted) Control Panel: Digital control panel with disp</t>
  </si>
  <si>
    <t xml:space="preserve"> 2	units	Mist Blower	 		Specifications:	 			Engine 2-stroke Engine 			Maximum Power 77cc 			Air Volume 27 m3/min 			Air Speed 105 m/s 			Liquid Tank Capacity 17L 			Liquids Outflow 0-3, 5L/min 			Maximum Horizontal Range 18m 			Maximum Vertical Range 16m 	</t>
  </si>
  <si>
    <t xml:space="preserve"> Republic of the Philippines									 PROVINCE OF CAGAYAN									 Municipality of Peñablanca									 									 REQUEST FOR QUOTATION									 									 Company Name: 			Quotation No.						 Address:			Date						 TIN Number: 			PR No.						 Tel/Fax: 			Mod</t>
  </si>
  <si>
    <t xml:space="preserve"> Item No.	Quantity	Unit of Issue	Item Description 1	10.00  	Sq.m.	            Plastic Grass 2	500.00	Pcs.	            Hexagonal Paver Blocks 3	24.00  	Bags	            40 kgs. Portland Cement 4	2.00	       Cu.m.	           Washed Sand 5	4.00	       Cu.m	  </t>
  </si>
  <si>
    <t xml:space="preserve"> Quantity	Unit	Item and Description 13	bag	Fertilizer, 14-14-14, Complete 6	bag	Fertilizer, 21-0-0, Ammonium Sulfate 18	bag	Fertilizer, 46-0-0, Urea 7	bottle	Herbicide, Active Ing.: Mecocrop &amp; Dicamba 5	bottle	Herbicide, Non-selective, Active Ing: Glyphosa</t>
  </si>
  <si>
    <t xml:space="preserve"> Potassium Chloride Inj. 2MEQ/ML, 20ml Propanolol 10mg tab (as hydrochloride) Purified Inactivated Chick Embryo Cell Rabbies Vaccine 2.5lU/ML 1 dose vial + Diluent Rabeprazole 20mg tab as sodium Risperidone 2mg Orodispersible Salbutamol Resp. Solution 1mg/</t>
  </si>
  <si>
    <t xml:space="preserve"> The AGRICULTURAL TRAINING INSTITUTE-REGIONAL TRAINING CENTER (ATI-RTC) X, through the 2020 General Appropriations Act intends to apply the sum of One Hundred Thirty Nine Thousand Pesos (P 139,000.00) being the Approved Budget for the Contract (ABC) to pay</t>
  </si>
  <si>
    <t xml:space="preserve"> REQUEST FOR QUOTATION Please quote your lowest price on the Items listed below, Purchase of Tools and Equipment for SMAW NC II. Subject to the conditions also listed below, stating the shortest time of delivery and submit your quotation duly signed by you</t>
  </si>
  <si>
    <t xml:space="preserve"> Name of the Procuring Entity: UNIVERSITY OF NORTHERN PHILIPPINES  	Project Reference Number: 20-03-09-093A		             			Name of the Project: 	 Standard Form Number: SF-GOOD-60						Location of the Project: UNP Vigan City Revised on: May 24, 2004 Stand</t>
  </si>
  <si>
    <t xml:space="preserve"> Thermal Scanner	1 pc. Biogenic Alcohol	24 pcs.</t>
  </si>
  <si>
    <t xml:space="preserve"> Drugs and Medicines</t>
  </si>
  <si>
    <t xml:space="preserve"> Office Supplies for 3rd quarter 2020</t>
  </si>
  <si>
    <t xml:space="preserve"> Supply and Delivery of Organic Fertilizer (City Agriculture Office)</t>
  </si>
  <si>
    <t xml:space="preserve"> VEHICLES PARTS AND ACCESSORIES</t>
  </si>
  <si>
    <t xml:space="preserve"> 1	BONDPAPER LONG SIZE						2	REAM 2	A3 BOND PAPER 					     	        2	REAM 3	PLASTIC ENVELOPE							5	PCS 4	TOOTHPASTE							        10	TUBE 5	HAND SANITIZERS							2	BTL 6	HANDSOAP LIQUID							2	BTL</t>
  </si>
  <si>
    <t xml:space="preserve"> ITEM NO.	QTY	UNIT	ARTICLES	UNIT	TOTAL 				PRICE	 PR NO. 20-06-601	AIR CONDITIONING UNITS		 	1	unit	-Air-Conditioning Unit, Split Type (Wall Mounted), 1.0HP, Inverter with complete installation, hardware and accessories	36,049.00 	36,049.00 	 	 	For Depart</t>
  </si>
  <si>
    <t xml:space="preserve"> 1 pc Compressor 2 pcs Fanbelt 4 pcs 245/70 R16 Tire</t>
  </si>
  <si>
    <t xml:space="preserve"> 2 Tire 265/60R 18 At3 etc.</t>
  </si>
  <si>
    <t xml:space="preserve"> PROVISION OF THERMAL SCANNER - Php 22, 500.00 5	PCS	thermal scanner	- Php 22,500.00  		Specifications:			 -    		UT300R			 -    		Temperature Range-0°C - 199.9°C			 -    		Temperature Range-32°C - 391.8°C			 		Optimim measuring distance - 5cm - 10cm			 		</t>
  </si>
  <si>
    <t xml:space="preserve"> 3	pc		110x75mm Ø C.I Tee Reducer M/J			 1	pc		110x110mm Ø C.I Tee M/J			 1	pc		110x90mm Ø C.I Tee Reducer M/J			 1	pc		110x90mm Ø C.I Straight Reducer M/J			 1	pc		90x75mm Ø C.I Straight Reducer M/J			 1	pcs		75x75mm Ø C.I Tee M/J			 9	pcs		75mm Ø C.I. Sl</t>
  </si>
  <si>
    <t xml:space="preserve"> PHO-2020-036 Rebidding INVITATION TO BID FOR THE PROCUREMENT OF VARIOUS IT SOFTWARE, EQUIPMENT, AND MATERIALS FOR IHOMIS PROVISION OF INTERNET SECURITY, VARIOUS OFFICE IT EQUIPMENT, GMPH, TALIBON, BOHOL ABC: P 847,600.00 COST OF BID DOCUMENTS: P 1,000.00 </t>
  </si>
  <si>
    <t xml:space="preserve"> INVITATION TO BID NO. 2020-CW-06 The       DPWH-QUEZON III DISTRICT ENGINEERING OFFICE, Catanauan, Quezon, through its Bids and Awards Committee (BAC), invites contractors to submit bids for the following Contracts: 1.	Procurement ID/Contract ID: 20DM0068</t>
  </si>
  <si>
    <t xml:space="preserve"> Contract ID:	20FH0096 Contract Name:	REPAIR/MAINTENANCE OF DPWH BUILDING, MAIN OFFICE BUILDING, CATANDUANES DEO, VIRAC, CATANDUANES Contract Location:	CATANDUANES DEO, VIRAC, CATANDUANES Scope of Work:	REPAIR OF DPWH BUILDING Approved Budget for the Contr</t>
  </si>
  <si>
    <t xml:space="preserve"> supply and delivery of various construction materials for the extension of Protection dike at barangay tawagan Boulders	110	cu.m. Mixed Sand and Gravel	50	cu.m. Portland Cement	220	bags 10mm Dia. RSB	90	length 1/4 Thick Ordinary Plywood	6	sheet 2x3x8 Form</t>
  </si>
  <si>
    <t xml:space="preserve"> Number: 	Quantity: 	Unit	PPMP_Code	PPMP_Code1	PPMP_Code2	PPMP_Remarks	Particulars	StockNo	Unit_Cost	Estimated_Cost 							Supply and delivery of Corn Seeds under the Procurement and Distribution			 1	100	bag	2893-32611		2893-32611-		1. Hybrid Yellow Corn </t>
  </si>
  <si>
    <t xml:space="preserve"> Republic of the Philippines Province of Albay Municipality of Rapu-Rapu Barangay Liguan INVITATION TO BID FOR THE IMPROVEMENT OF MULTI-PURPOSE HALL 1.	The Barangay Local Government Unit of Liguan, Rapu-Rapu, Albay, through the Budget for the Contract Appr</t>
  </si>
  <si>
    <t xml:space="preserve"> Face shield-Heavy Duty	13 pcs Face shield-ordinary	3 pcs Zonrox ( Gal.)	4 gal Sink	1 pc Foot Bath	1 pc Disposable Mask	1 box</t>
  </si>
  <si>
    <t xml:space="preserve"> 1 roll 63mm PE pipe SDR 11(60 meters Length) etc.</t>
  </si>
  <si>
    <t xml:space="preserve"> Republic of the Philippines Province of Iloilo Municipality of Lambunao Office of the Bids &amp; Awards Committee INVITATION TO BID/ REQUEST FOR PRICE QUOTATION Name of Project: Location: Lambunao, Iloilo ABC: Php (Supplier’s Name and Office Address) Please q</t>
  </si>
  <si>
    <t xml:space="preserve"> PROCUREMENT OF ONE (1) UNIT RESCUE VEHICLE (VAN)</t>
  </si>
  <si>
    <t xml:space="preserve"> Scaffolding                                           LS              LS Plastering at Existing CHB Wall (Exterior and Interior)                          187.20       sq.m Tile Works, Height = 1.80m (Walling and Flooring)                           80.00  </t>
  </si>
  <si>
    <t xml:space="preserve"> Item No. Qty. unit. Description 1.            4    rim   Bond Paper (Long) 2.            4    rim   Bond Paper (short) 3.            2    rim   Bond Paper (A4) 4.           50   Pcs.  Folder (Long) 5.            1    Box  Staple Wire (35m) 6.            2</t>
  </si>
  <si>
    <t xml:space="preserve"> INVITATION TO BID KB-GOODS-2020-05 I.	The Municipality of Kitaotao, intends to apply the sum of One Hundred Thousand Pesos (P100,000.00) for the Supply and Delivery of Various Goods . Bids received more than the ABC shall be automatically rejected at Bid </t>
  </si>
  <si>
    <t xml:space="preserve"> PLEASE SEE ATTACHED FILE REQUEST FOR QUOTATION (RFQ)</t>
  </si>
  <si>
    <t xml:space="preserve"> Purchase of 3 sets Desktop Computer</t>
  </si>
  <si>
    <t xml:space="preserve"> INVITATION TO BID FOR  Procurement of Goods [Water Meter and Others] (Rebid) The   City Government of Tagbilaran,   through the Continuing Appropriation, intends to apply the sum of One Million Four Hundred Twenty Eight Thousand Five Hundred Thirty Six Pe</t>
  </si>
  <si>
    <t xml:space="preserve"> Republic of the Philippines Province of Iloilo  BIDS AND AWARDS COMMITTEE REQUEST FOR QUOTATION Quotation No.GOV-20-0259-NP (SV) Reference PR No. GOV-20-0259 June 11, 2020 _______________________ _______________________ _______________________ (Supplier’s</t>
  </si>
  <si>
    <t xml:space="preserve"> MOTORCYCLE 150cc - Engine Type: 4 stroke,liquid cooled,SOHC,4 valve  -Bore x stroke: 57.0 mm x 58.7mm Compression Ration: 10.4:1 Transmission/ Shift Type: Constant mesh 5 speed</t>
  </si>
  <si>
    <t xml:space="preserve"> 5	units	Smartphone 		Display: 6.7 inch FHD + Super AMOLED 		OS: Android 10 with One UI 		Chipset: Exynos 9810 		CPU: Octa Core; 4x Mongoose M3@; 2.7 GHz &amp; 4x Cortex-A55 @; 1.7GHZ 		GPU: Mali-G72 MP18 		RAM: 8GB 		Storage: 128GB 		Camera: 12MP Main Cam 		B</t>
  </si>
  <si>
    <t xml:space="preserve"> 1.	The Local Government Unit of Tuao, Cagayan  through General Fund (Capital Outlay) 2020  intends to  apply the sum of  Php 540,000.00   being the Approved Budget for the Contract (ABC) to payments under  the contract for PURCHASE AND DELIVERY OF 2 UNITS</t>
  </si>
  <si>
    <t xml:space="preserve"> Republic of the Philippines   PROVINCIAL GOVERNMENT OF EASTERN SAMAR Provincial Capitol, 6800 Borongan City  E-mail Address: esamar.bac@gmail.com REQUEST FOR QUOTATION RFQ No. 2020-06-269                                                                    </t>
  </si>
  <si>
    <t xml:space="preserve"> Contract ID: 20PF0067 Contract Name: Construction / Rehabilitation of Flood Mitigation Facilities within Major River Basins &amp; Principal Rivers: Construction of Baney Flood Control Brief Description: Flood Control: Construction - Slope Protection using Str</t>
  </si>
  <si>
    <t xml:space="preserve"> Meals &amp; Room Accom.				 			25-Jun-20				 1	20	Rooms	Room Accomodation (Deluxe room)				 2	20	Rooms	Room Accomodation (Exec. room)				 3	300	pax	Snack AM - Clubhouse w/ drinks in glass				 4	300	pax	Meal-Lunch- Rice, Boullabaise large seafood				 			calama</t>
  </si>
  <si>
    <t xml:space="preserve"> 1	pc		110x110mm Ø C.I Tee M/J			 1	pc		110mm x 90° C.I Elbow M/J			 1	pc		110x63mm Ø C.I Tee Reducer M/J			 4	pcs		63mm x 90° C.I Elbow			 2	pc		63mm Ø C.I Gate Valve M/J			 1	pc		50x50mm Ø  Plastic Tee			 1	pc		63mm x 50mm Ø  C.I Reducer M/J			 1	pc		50m</t>
  </si>
  <si>
    <t xml:space="preserve"> SUPPLY AND DELIVERY OF MATERIALS FOR THE RENOVATION/ CONSTRUCTION OF AGTA MUSEUM IN PALAUI ISLAND, SAN VICENTE, STA. ANA. CAGAYAN UNIT  ITEM DESCRIPTION  QUANTITY bags	Cement		300 pcs	10mm		70 pcs	9mm		60 pcs	Hallow blocks		700 kilos	Tie wire		20 Gal.	Mar</t>
  </si>
  <si>
    <t xml:space="preserve"> Description Please quote your price inclusive of VAT on the item/s listed below, subject to the Terms and conditions of the RFQ, and submit your quotation duly signed by your representative not later than June 25, 2020 at CGSO for Goods. Upon receipt of a</t>
  </si>
  <si>
    <t xml:space="preserve"> For MRF Disinfectant and Decomposing.</t>
  </si>
  <si>
    <t xml:space="preserve"> Supply &amp; Delivery of Office Supplies and Consumables</t>
  </si>
  <si>
    <t xml:space="preserve"> These are goods intended for protection and prevention of spread of COVID-19 disease.</t>
  </si>
  <si>
    <t xml:space="preserve"> Contract ID:	20GFH0011 Contract Name:	SUPPLY AND DELIVERY OF OFFICE EQUIPMENT FOR USE IN THE DPWH-DEO CATANDUANES, VIRAC, CATANDUANES (PR#20-06-025 DATED 6/8/2020) Contract Location:	VIRAC, CATANDUANES Scope of Work:	SUPPLY AND DELIVERY OF OFFICE EQUIPMEN</t>
  </si>
  <si>
    <t xml:space="preserve"> INVITATION TO BID FOR  Procurement of Goods [Operational Tent] (Rebid) The   City Government of Tagbilaran,   through the Appropriation Ordinance No. 19-05 for FY 2020, intends to apply the sum of Eight Million Pesos only (Php8,000,000.00)being the  Appro</t>
  </si>
  <si>
    <t xml:space="preserve"> 350 pcs CHB 4" 50 bags cement 24 pcs Corrugated bar 12mm 44 pcs Corrugated bar 10mm 24 pcs GI sheets 12" (.4mm) 30 pcs good lumber 2x6x12 20 pcs good lumber 2x3x12 40 pcs good lumber 2x2x12 3 kls common nail 2" 5 kls common nail 3" 6 kls common nail 4" 2 </t>
  </si>
  <si>
    <t xml:space="preserve"> 1	Alcohol 500ml	48	bottles		 2	Hand Sanitizer  big	6	bottles		 3	Sign pen Grip 1.0 blue	30	pcs		 4	Sign pen (0.04)	50	pcs		 5	Sign pen (black) G2 (0.5)	42	pcs		 6	ballpen black	126	pcs		 7	post it/sticky notes  (76X76mm)	40	pcs		 8	disinfectant spray (big</t>
  </si>
  <si>
    <t xml:space="preserve"> PROVISION OF TWO WAY RADIO - Php 18, 000.00 3	pcs.	two way radio - Php 18,000.00  		specifications:			 		Dual Band handheld transceiver with display function menu on the display			 		Commercial FM Radio receiver			 		incorporates 105 codes "DCS" and 50 pr</t>
  </si>
  <si>
    <t xml:space="preserve"> 1	SAND	                                       3	m³              2000             6000 2	GRAVEL	                                       1	m³              2000             2000 3	#16 TIE WIRE                                   5	Kg                  90        </t>
  </si>
  <si>
    <t xml:space="preserve"> TERMS AND CONDITIONS: 1. Bidders shall provide correct and accurate information required in this form. 2. Bidders may quote for any or all items. 3. Price quotation/s must be valid for a period of Thirty (30) calendar days from the date of submission. 4. </t>
  </si>
  <si>
    <t xml:space="preserve"> PURCHASE REQUEST  Municipality of Buenavista  LGU  Department: LGU-BUENAVISTA Section: BCC PR: Date:  SA1 No.  Qty. 	Unit	Item Description 	Estimated Unit cost 	Estimated Total cost  8	pcs	3 gang switch 16	pcs	single gang switch 34	pcs	18 watts fluorescen</t>
  </si>
  <si>
    <t xml:space="preserve"> supply and delivery of 2400 liters diesel fuel for filling of barangay site of barangay Poblacion</t>
  </si>
  <si>
    <t xml:space="preserve"> SUPPLY AND INSTALLATION OF DOORS AND WINDOWS PROJECT BILLBOARD</t>
  </si>
  <si>
    <t xml:space="preserve"> 10000	pcs	potted mangrove propagules, 2-3ft</t>
  </si>
  <si>
    <t xml:space="preserve"> REQUEST FOR QUOTATION 				 Date:						 RFQ No.						 						 The Department of Environment and Natural Resources (DENR), Region-9, Regional Office, through its Regional Bids and Awards Committee (RBAC), intends to procure for a Supply and Delivery of Const</t>
  </si>
  <si>
    <t xml:space="preserve"> Catering Services good for two meals and four snacks for the conduct of two day Project Development Workshop and Site Validation. Day 1 MENU LUNCH	 1 serve rice	 1 serve calamaris	 1 serve native chicken tinula	 1 serve vegetable lumpia	 1 serve banana	 1</t>
  </si>
  <si>
    <t xml:space="preserve"> PURCHASE OF IT EQUIPMENTS, MUN. BUDGET OFFICE</t>
  </si>
  <si>
    <t xml:space="preserve"> Department of Education Region VI-Western Visayas Cadiz City Alimatoc Elementary School Small Value Procurement of the Repair of 2 Span Perimeter Fence 1.	The Alimatoc Elementary School, through the School’s MOOE 2020  intends to apply the sum of Twenty T</t>
  </si>
  <si>
    <t xml:space="preserve"> 3 pc Stand mixer 3 pc Non-sticky fry pan</t>
  </si>
  <si>
    <t xml:space="preserve"> Metronidazole IV Infusion 3mg/ml, 100ml Montelukast (as sodium) 10mg Morphine Sulfate 10mg CR/MR Tab Morphine 30mg Tab Metoclopramide 5mg/ml, 2ml (HCL) 5mg/ml Midazolam 5mg/ml 1ml Requirements for Drugs and Medicines: **Drugs with history of usage from VM</t>
  </si>
  <si>
    <t xml:space="preserve"> Vehicle Parts &amp; Accessories-Tire,Head Light</t>
  </si>
  <si>
    <t xml:space="preserve"> OPA-FISHERIES-2020-0163 Rebidding INVITATION TO BID FOR THE PROCUREMENT OF P.E. ROPES, SOFT TIE, AND STYROFOAM BALLS FOR MATERIAL SUPPORT IN THE ESTABLISHMENT OF EIGHT (8) P.O. BASED SEAWEED NURSERY PROJECT ABC: P 981,850.00 COST OF BID DOCUMENTS: P 1,000</t>
  </si>
  <si>
    <t xml:space="preserve"> SEE ATTACHED RFQ</t>
  </si>
  <si>
    <t xml:space="preserve"> 1	STAINLESS STEEL TRAY							5	PCS</t>
  </si>
  <si>
    <t xml:space="preserve"> Semi Expendable- ICT EQUIP</t>
  </si>
  <si>
    <t xml:space="preserve"> Contract ID: 20PF0068 Contract Name: Construction / Rehabilitation of Flood Mitigation Facilities within Major River Basins &amp; Principal Rivers: Construction of Copias Flood Control Brief Description: Flood Control: Construction - Slope Protection using St</t>
  </si>
  <si>
    <t xml:space="preserve"> Item Number	Description	Unit	Quantity 			 1	D5 Lactated Ringer Solution 1L x 12	Bx	5 2	Plain Lactated Ringer Solution 1L x12	Bx	30 3	Plain 0.9 Saline 1L x12	Bx	30 4	D5 0.3 Sodium Chloride 500 CC x 24	Bx	3 5	D5 Ionosol MB 1L x12	Bx	8 6	Sterile Water for in</t>
  </si>
  <si>
    <t xml:space="preserve"> Life Coverage Insurance</t>
  </si>
  <si>
    <t xml:space="preserve"> Republic of the Philippines LOCAL GOVERNMENT UNIT Mapandan, Pangasinan INVITATION TO BID for Local Bridge Rehabilitation/Improvement at Brgy. Jimenez-Torres Mapandan, Pangasinan (Phase 2) 1.	The Municipal Government of  Mapandan, Pangasinan, through the G</t>
  </si>
  <si>
    <t xml:space="preserve"> PLEASE DOWNLOAD THE ATTACHMENT/S FOR REFERENCE. Important Notes and Conditions: You can submit your quotation ON or BEFORE JUNE 22, 2020 at 09:00 AM with the photocopy of the following legal documents: a. Mayor’s / Business Permit  b. PhilGEPS Registratio</t>
  </si>
  <si>
    <t xml:space="preserve"> PR No. 				ENG PRO-2020-06-004							 											 	Please quote your lowest price on the item/s listed below, subject to the General Conditions, 										 stating the shortest time of delivery and submit your quotation duly signed by  your authorized 			</t>
  </si>
  <si>
    <t xml:space="preserve"> Information Technology-Laptop</t>
  </si>
  <si>
    <t xml:space="preserve"> REQUEST FOR QUOTATION 					                RFQ No. A-015-2020 _____________________________ Name of Dealer/Supplier/Distributor ___________________________ Business Address 	Please quote your lowest price on the item/s listed below, stating the shortest t</t>
  </si>
  <si>
    <t xml:space="preserve"> COMPREHENSIVE SCHOOL MANAGEMENT SUITE (ISM-SUITE) with the following features: * ADMISSION MANAGEMENT * SCHOOL ADMINISTRATION MODULE * FINANCE * CENTRALIZED DATABASE * TRAINING</t>
  </si>
  <si>
    <t xml:space="preserve"> 10	reams	Bookpaper Long	 9	reams	Bookpaper Short	 3	pcs	Sign Pen, G-Tech 0.5	 3	boxes	Paper Clip Small	 3	boxes	Paper Clip Big	 5	boxes	Paper Fasterner	 50	pcs	Ballpen, Black	 10	pcs	Correction Pen, Snall	 6	pcs	White Folder, Long	 2	bottles	White Glue, B</t>
  </si>
  <si>
    <t xml:space="preserve"> Request for Quotation for the Procurement of One (1) Unit Multi-rotor Drone to be used for Documentation of Rice Activities and Rapid Assessment of Damages on Rice during Calamities 1.	The Department of Agriculture-Regional Field Office 7 (DA-RFO 7), thro</t>
  </si>
  <si>
    <t xml:space="preserve"> 1 unit Printer, 3-in-1, pref. L3110 1 unit Computer stand</t>
  </si>
  <si>
    <t xml:space="preserve"> Republic of the Philippines Province of Albay Municipality of Rapu-Rapu Barangay Guadalupe INVITATION TO BID FOR THE INSTALLATION OF SOLAR POWER SYSTEM 1.	The Barangay Local Government Unit of Guadalupe, Rapu-Rapu, Albay, through the Budget for the Contra</t>
  </si>
  <si>
    <t xml:space="preserve"> supply and delivery of 2000 liters diesel fuel for the filling of barangay site of barangay Poblacion</t>
  </si>
  <si>
    <t xml:space="preserve"> Laptop  Specs: Intel Quad Core i5-8550U Processor at 1.8GHz (8M Cache, up to 4.00 GHz) 12GB DDR4 RAM, 1TB HDD Hard Drive. 14"  1x USB3.0 Type C, 2x USB 3.0, 1x HDMI, 802.11ac, Bluetooth 4.1, HD Webcam, Dolby Audio, Media Card Reader, RJ-45. DVD-RW, 4.84-l</t>
  </si>
  <si>
    <t xml:space="preserve"> Communication Equipment-Android Cellphone</t>
  </si>
  <si>
    <t xml:space="preserve"> REQUEST FOR QUOTATION June 16, 2020_ Date  	Please quote your lowest net price/s on the item/s listed below, giving full detailed description of your offer. Submit your quotation in accordance with Item No.1 of the General Condition printed at the back, t</t>
  </si>
  <si>
    <t xml:space="preserve"> ITEMS 2 UNITS GSP, DISPLAY SIZE: 1.4 X 0.9(3.6X2CM) DISPLAY  RES. 100X64 PIXELS, DISPLAY TYPE: LCD BLACK &amp; WHITE RUNTIME: 18H, STORED WAYPOINTS:500, TRACK LOG: 10000POINTS, 10 SAVED TRACKS, A;TIMETER, BAROMETIOC COMPASS: YES WATERPROOFING:IPX7, TEMPORARY </t>
  </si>
  <si>
    <t xml:space="preserve"> office supplies</t>
  </si>
  <si>
    <t xml:space="preserve"> Item Number	Description	Unit	Quantity 			 1	ATS 1,500 UNITS AMP. X10’S	bx	80 2	TETANUS TOXIOD AMP X10’S	bx	25 3	CEFUROXIME 750 VIAL X10’S	bx	80 4	CEFTRIAXONE 1G VIAL X10’S	bx	50 5	CO-AMOXICLAV 1.2 G VIAL X1’S	bx	50 6	DIPHENHYDRAMINE HCL 50MG AMP X10’S	bx	</t>
  </si>
  <si>
    <t xml:space="preserve"> INVITATION TO BID KB-GOODS-2020-05 I.	The Municipality of Kitaotao, intends to apply the sum of Ninety-Three Thousand Pesos (P93,000.00) for the Supply and Delivery of Various Goods . Bids received more than the ABC shall be automatically rejected at Bid </t>
  </si>
  <si>
    <t xml:space="preserve"> Construction of 6m x 8m Materials Recovery Program M.R.F. (Repost) . NOTE: Barangay Construction Project of Barangay Talaguton in this Municipality Contact Person: VICENTE A. MARUYA III Punong Barangay Barangay Talaguton Mun. of Don Marcelino Province of </t>
  </si>
  <si>
    <t xml:space="preserve"> INVITATION TO BID FOR Procurement of Reference Books &amp; Professional Journals (Lot 1-2) 	          The CAMARINES SUR POLYTECHNIC COLLEGES, through the College Income intends to apply the sum of the following listed below being the Approved Budget for the C</t>
  </si>
  <si>
    <t xml:space="preserve"> The Department of Science and Technology- Central Office, through its Bids and Awards Committee (BAC), requests qualified bidders to submit their lowest price on the ff:</t>
  </si>
  <si>
    <t xml:space="preserve"> Republic of the Philippines Province of Batangas CITY OF STO. TOMAS INVITATION TO BID  The City Government of Sto. Tomas, Batangas through its Bids and Awards Committee (BAC) invites suppliers/manufacturers/distributors to apply for eligibility, and if fo</t>
  </si>
  <si>
    <t xml:space="preserve"> [Republic of the Philippines] Province of Pangasinan Municipality of Natividad INVITATION TO BID FOR TITLE: Dredging and Diversion Along Portion of Viray River Location: Brgy. Poblacion East and San Maximo, Natividad, Pangasinan Approved Budget of the Con</t>
  </si>
  <si>
    <t xml:space="preserve"> Materials for the Proposed Access Route/Footpath going to  		Identified Infectious Facility (Geriatric bldg.) 		 		 		Embankment (including spraeding, levelling &amp; compaction) 220	cu.m.	Item 104 7	cu.m.	Item 201 		 		 		Concrete works ( Lean Concrete) 2	cu</t>
  </si>
  <si>
    <t xml:space="preserve"> Republic of the Philippines LOCAL GOVERNMENT UNIT Mapandan, Pangasinan INVITATION TO BID for Construction/Rehabilitation of Drainage System Along Pandan Avenue,  Mapandan, Pangasinan (L/S) 1.	The Municipal Government of  Mapandan, Pangasinan, through the </t>
  </si>
  <si>
    <t xml:space="preserve"> Sir/Madam: 	Please quote your lowest price on the item/s listed below, stating the shortest time of delivery and please submit your quotation duly signed by your representative. Please return this RFQ not later than JUNE 22, 2020 at 10:30AM in the BAC Off</t>
  </si>
  <si>
    <t xml:space="preserve"> Republic of the Philippines					 DEPARTMENT OF PUBLIC WORKS AND HIGHWAYS					 BUTUAN CITY DISTRICT ENGINEERING OFFICE					 REGIONAL OFFICE XIII					 Butuan City, Agusan del Norte					   Tel. Nos. 342-5331  Fax No. 225-2022					 Name of Procuring Entity: D</t>
  </si>
  <si>
    <t xml:space="preserve"> Unit 	Item Description	Quantity 		 		 cu.m	Gravel YY	20 cu.m	Coarsed Sand	30 pcs.	10mmø x 6m Def. Steel Reinf. Bars	350 pcs.	G.I. Pipe # 1¼	20 pcs.	G.I. Pipe # ¾	4 kg.	G.I. wire	20 bags	Portland Cement	100 bags	Sahara Cement	100 sq.m.	Mosquito net - color</t>
  </si>
  <si>
    <t xml:space="preserve"> 1 desktop computer i-7 processor with MS office software/program 1 net book with MS office software/program</t>
  </si>
  <si>
    <t xml:space="preserve"> Procurement of Sodium Hypochlorite. Interested bidders can download the attached file for complete specifications and requirements. Please send your quotation thru this email: caysiebagsit.ritm@gmail.com Note: Kindly make our PR# as a subject of your emai</t>
  </si>
  <si>
    <t xml:space="preserve"> PURCHASE REQUEST  Municipality of Buenavista  LGU  Department: LGU-BUENAVISTA Section: RHU PR: Date:  SA1 No.  Qty. 	Unit	Item Description 	Estimated Unit cost 	Estimated Total cost  1	drum	70% chlorine powder 10	liters	zonrox TOTAL   Purpose: use for san</t>
  </si>
  <si>
    <t xml:space="preserve"> 147 - Supply and Delivery and Installation of ICT Equipment and Supplies at SDSSU Tandag Campus</t>
  </si>
  <si>
    <t xml:space="preserve"> Meals for 2 days				 		26-Jun-20				 170	pax	Snacks AM: Cheese burger w/ water 350ml				 170	pax	Meals-Lunch: Buttered chicken, Crab meat w/ veggies, 				 		sweet and sour fish fillet, chop lechon, shrimp roll				 		rice, banana lakatan &amp; drinks 300ml				</t>
  </si>
  <si>
    <t xml:space="preserve"> PROVISION OF PRESSURE WATER TANK SET - Php 34, 000.00 4	set	water tank set - 34,000.00  		Specifications:			  		GI P. tank 21 gal with base			     		1/2 AP big water pump shallow</t>
  </si>
  <si>
    <t xml:space="preserve"> Request for Quotation 6	gal	Flat enamel 					 6	gal	Gloss enamel white 					 6	gal	Flat latex					 6	gal	Gloss latex white 					 5	gal	QDE choco brown					 6	gal	QDE bguio green					 6	gal	Paint thinner					 6	pcs	Roller brush w/ basin					 5	pcs	3" paint</t>
  </si>
  <si>
    <t xml:space="preserve"> Quantity	Unit Of Issue	Item Description	Stock No.	"Estimated Unit Cost"	"Estimated Cost" 5	pcs.	Desktop Computer			 		PROCESSOR / CHIPSET	Intel® Core™ i5 processor - 8th gen		 		RAM	8 GB 		 		Harddisk/Storage Capacity	1 TB		 		OPTICAL DRIVE	DVD/CD Writer </t>
  </si>
  <si>
    <t xml:space="preserve"> 10 sacks 14-14-14 Fertilizer</t>
  </si>
  <si>
    <t xml:space="preserve"> 1 UNIT/S RESCUE VEHICLE - DUMPTRUCK - 8 Cyclinder diesel engine - 12 cubic meter dumpbox capacity/ 10 wheelers 6x6 - with free print of the following municipal logo and word MDRRMC in the front - with GSIS insurance and LTO Registration - 1 year warranty </t>
  </si>
  <si>
    <t xml:space="preserve"> 4 unit Cabinet divider etc.</t>
  </si>
  <si>
    <t xml:space="preserve"> Republic of the Philippines LOCAL GOVERNMENT UNIT Mapandan, Pangasinan INVITATION TO BID for Proposed Covered Side Walk With Box Culvert, Curb &amp; Gutter – Phase 2 1.	The Municipal Government of  Mapandan, Pangasinan, through the General Fund (20% Developme</t>
  </si>
  <si>
    <t xml:space="preserve"> No.	"ITEM DESCRIPTION  (ITEM NAME &amp; TECHNICAL SPECIFICATIONS)"	QTY.	UNIT	UNIT COST	APPROVED BUDGET OF CONTRACT (ABC)		"FINANCIAL PROPOSAL  (Indicate the Price Offer)"		TECHNICAL PROPOSAL (Indicate Brand/Model Offer)	 							Unit Price	Total Price		 1	CONS</t>
  </si>
  <si>
    <t xml:space="preserve"> No.	Qty.	Particulars 1	34	Portland Cement 2	24	DRSB 16mm. Ø x 6m. 3	40	DRSB 110mm. Ø x 6m. 4	240	60 pc.-2" x 2" x 12ft. (Coco Lumber) 5	8	Common Wire Nails (Asstd. Sizes) 6	4	Marine plywood 1/2" x 4" x 8" 7	1	G.I. Elbow 2"Ø  8	2	G.I. Coupling 2"Ø 9	1	End </t>
  </si>
  <si>
    <t xml:space="preserve"> Office Supplies &amp; Devices-UPS 800-1200VA Back up Batteries,Collector's Cashbooks,Book Binders</t>
  </si>
  <si>
    <t xml:space="preserve"> QTY   UNIT         DESCRIPTION 8       units       Laptop 3       sets        Desktop 5       units       Printer 1       unit        PVC Printer</t>
  </si>
  <si>
    <t xml:space="preserve"> 1000	pcs	Alcohol 500ml 70%-99% kills germs				 1000	pcs	Liquid Disinfectant 1ltr. Zonrox				 100	        gals	Hand Sanitizer</t>
  </si>
  <si>
    <t xml:space="preserve"> Republic of the Philippines                                               Province of Leyte  	                     MUNICIPALITY OF ALBUERA                              OFFICE OF THE MUNICIPAL MAYOR                    OFFICE OF THE BIDS AND AWARDS COMMITTE</t>
  </si>
  <si>
    <t xml:space="preserve"> Item No.	Description	Unit	Quantity A.1.1(6)	Provision of Combined Field Office, Laboratory and Living Quarters (Rental basis)	mo/s	3.00 B5	Project Billboard/Signage	unit/s	2.00 B.7.1	Occupational Safety and Health Program	mo/s	3.00 b.8(1)	Traffic Manageme</t>
  </si>
  <si>
    <t xml:space="preserve"> Procuring Entity	                               : MUNICIPAL GOVERNMENT OF BASILISA Name of Project			: Purchase of 1 set Tempered Glass Door        Location of Project		: Ferdinand, Basilisa, Dinagat Islands REQUEST FOR QUOTATION 									Date	: _________</t>
  </si>
  <si>
    <t xml:space="preserve"> 20	Bond Paper Long 5	Bond Paper Short (Best Buy) 15	Bond Paper Short 4	Bond Paper A4 (Best Buy) 16	Bond Paper A4 50	Vellum Board Paper White Short 20's 15	Masking Tape 24mm 7	Double-Sided Tape 24mm 2	Double-Sided Tape 24mm (thick) 15	Scotch Tape 24mm 5	Pa</t>
  </si>
  <si>
    <t xml:space="preserve"> Republic of the Philippines DEPARTMENT OF PUBLIC WORKS AND HIGHWAYS Region VII            South Road Properties (SRP), Cebu City                                        Contract ID	 : 20H00062 Contract Name   : Construction/Repair/Rehabilitation/Improvemen</t>
  </si>
  <si>
    <t xml:space="preserve"> ELECTRICAL WIRING, LIGHTING, MAIN SERVICE</t>
  </si>
  <si>
    <t xml:space="preserve"> PURCHASE REQUEST  Municipality of Buenavista  LGU  Department: LGU-BUENAVISTA Section: DA PR: Date:  SA1 No.  Qty. 	Unit	Item Description 	Estimated Unit cost 	Estimated Total cost  72	sacks	urea fertilizer (45-0-0) TOTAL   Purpose: purchase of urea ferti</t>
  </si>
  <si>
    <t xml:space="preserve"> Procuring Entity	                               : MUNICIPAL GOVERNMENT OF BASILISA Name of Project			: Purchase of Construction Materials for Pharmacy Clinic           Location of Project		: Ferdinand, Basilisa, Dinagat Islands REQUEST FOR QUOTATION 					</t>
  </si>
  <si>
    <t xml:space="preserve"> various medical oxygen</t>
  </si>
  <si>
    <t xml:space="preserve"> 2    	pcs	INFRA-REDTHERMAL GUN 50    pcs	FACE SHIELD 4    	boxes 	FACE MASKS 4    	gal	ALCOHOL (70%) 10    liters	BLEACH</t>
  </si>
  <si>
    <t xml:space="preserve"> BEMO-2020-0162 Rebidding INVITATION TO BID FOR THE PROCUREMENT OF LABOR, MATERIALS, AND EQUIPMENT FOR THE CONSTRUCTION OF NURSERY AND VERMI SHED HOUSES AT BIO-DIVERSITY COMPLEX, ROXAS, BILAR, BOHOL ABC: P 842,125.79 COST OF BID DOCUMENTS: P 1,000.00 ADVER</t>
  </si>
  <si>
    <t xml:space="preserve"> 20-10153</t>
  </si>
  <si>
    <t xml:space="preserve"> PURCHASE REQUEST  Municipality of Buenavista  LGU  Department: LGU-BUENAVISTA Section: DA PR: Date:  SA1 No.  Qty. 	Unit	Item Description 	Estimated Unit cost 	Estimated Total cost  70	bags	hybrid rice 3kls/bag TOTAL   Purpose: purchase of hybrid rice see</t>
  </si>
  <si>
    <t xml:space="preserve"> PR No. 				ENG PRO-2020-06-011							 											 	Please quote your lowest price on the item/s listed below, subject to the General Conditions, 										 stating the shortest time of delivery and submit your quotation duly signed by  your authorized 			</t>
  </si>
  <si>
    <t xml:space="preserve"> 1	1	ass	steering rock 2	1	lt	ATF 3	1	pc	water pipe line 4	1	pc	bearing 5	1	pc	alternator hose 6	2	pc	motor support 7	7	lt	motor oil synthetic 8	1	pc	oil filter 9	1	pc	FDEL filter 10	1	set	piston brushing 11	1	set	engine valve guide 12	1	set	engine valve s</t>
  </si>
  <si>
    <t xml:space="preserve"> 1 10 BOT/S ALCOHOL - 70% SOL. 500ML 2 3 BTL/S GLUE - 130G 3 200 PC/S FOLDER - BROWN ( LONG SIZE ) 4 10 BOX/S FASTENER - PAPER, PLASTIC, 50 SETS/BOX 5 2 TUBE/S MECHANICAL PENCIL - LEAD, 0.5 (FOR STEADLER) 6 6 PC/S MASKING TAPE - # 1" 7 12 PC/S RIBBON- REFI</t>
  </si>
  <si>
    <t xml:space="preserve"> 15	 pcs 	Rechargable Flashlight 15	 pcs 	Uniform T - shirt with Logo</t>
  </si>
  <si>
    <t xml:space="preserve"> INVITATION TO BID KB-GOODS-2020-05 I.	The Municipality of Kitaotao, intends to apply the sum of Seventy Five Thousand Pesos Only (P75,000.00) for the Supply and Delivery of Various Goods . Bids received more than the ABC shall be automatically rejected at</t>
  </si>
  <si>
    <t xml:space="preserve"> Brass Ball Faucet 1/2'' ISO std. w/ bibb -50pcs Brass Ball Valve w/ lockwing 1/2'' ISO.std. -50pcs Brass Ball Valve w/ lockwing 3/4' ISO.std. -50pcs Brass Ball Valve w/ lockwing 1'' ISO.std. -50pcs Brass Replacement Piece 1/2'' ISO.std. -50pcs Brass Repla</t>
  </si>
  <si>
    <t xml:space="preserve"> 1. Electronic Door Lock - 2 unit</t>
  </si>
  <si>
    <t xml:space="preserve"> 1.	The Local Government Unit of  Tuao, Cagayan  through General Fund (Capital Outlay) 2020  intends to  apply the sum of  Php 399,000.00   being the Approved Budget for the Contract (ABC) to payments under  the contract for ACQUISITION OF 6 UNITS MOTORCYC</t>
  </si>
  <si>
    <t xml:space="preserve"> Republic of the Philippines					 DEPARTMENT OF PUBLIC WORKS AND HIGHWAYS					 BUTUAN CITY DISTRICT ENGINEERING OFFICE					 REGIONAL OFFICE XIII					 Butuan City, Agusan del Norte					   Tel. Nos. 342-5331  Fax No. 225-2022					 					Page 1 of 2 Name of Pr</t>
  </si>
  <si>
    <t xml:space="preserve"> 20	Garbage Bag L Black 5	Detergent/Bleach Liquid 3	Dipper 3	Pail 3	Long-handled Toilet Brush 5	Nylon Scrub w/ Handle 2	360 Tornado Mop 1	Feather Duster Cleaning Essential (3 pcs/pack) 3	Trash Bin 3	Megabox 70 L 12	Face Shield - Direct Splash Protection 2	</t>
  </si>
  <si>
    <t xml:space="preserve"> OPA-RASS-2020-0164 Rebidding INVITATION TO BID FOR THE PROCUREMENT OF PVC PIPES, PVC PIPE CLEAN OUT SET, PVC ELBOW, AND PVC PIPE SOLVENT FOR THE ESTABLISHMENT OF SMALL FARM RESERVOIR AS SOIL AND WATER CONSERVATION STRUCTURES AND FOR IRRIGATION PURPOSES TO</t>
  </si>
  <si>
    <t xml:space="preserve"> PURCHASE REQUEST  Municipality of Buenavista  LGU  Department: Section:  PR: Date:  SA1 No.  Qty. 	Unit	Item Description 	Estimated Unit cost 	Estimated Total cost  GSO- ABC- 7,000.00 8	pcs	fluorescent tube LED 9W 5	pcs	LED bulb 15W w/ case 5	pcs	bulb soc</t>
  </si>
  <si>
    <t xml:space="preserve"> Description   1. Holy Ghost Proper Barangay intends to apply the sum of One Hundred Ten Thousand Pesos Only (₱ 110,000.00), to payments under the contract for Supply and Delivery of Executive Table with Drawers, Office Table with drawers and Computer tabl</t>
  </si>
  <si>
    <t xml:space="preserve"> Procurement of Infrastructure and Construction Supplies RFQ No. 415</t>
  </si>
  <si>
    <t xml:space="preserve"> 1.	The Local Government Unit of Las Nieves, through the Budget for the Contract Approved by the Sanggunian (20% DF) intends to apply the sum of one hundred twenty four thousand seven hundred and sixty nine pesos only (Php 124,769.00) for Lot 1, eleven tho</t>
  </si>
  <si>
    <t xml:space="preserve"> 1.) 	10	pieces	Clutch Lining 2.)	2	boxes	Spark Plug 3.)	10	pieces	Nylon Connector 4.)	5	pieces	Piston with Ring 5.)	5	pieces	Clutch adaptor threaded 6.)	5	pieces	Gear Box 7.)	2	pieces	Tank regulator 8.)	4	sets	Bore .</t>
  </si>
  <si>
    <t xml:space="preserve"> Republic of the Philippines Bangsamoro Autonomous Region in Muslim Mindanao Provincial Government of Maguindanao BIDS AND AWARDS COMMITTEE REQUEST FOR QUOTATION The PROVINCIAL GOVERNMENT OF MAGUINDANAO – Office of the Provincial Governor invites all inter</t>
  </si>
  <si>
    <t xml:space="preserve"> Please see attached Purchase Request (PR) for the specifications.</t>
  </si>
  <si>
    <t xml:space="preserve"> INVITATION TO BID FOR PROCUREMENT OF EQUIPMENT FOR COE PHYSICS &amp; CHEMISTRY LABORATORY           The CAMARINES SUR POLYTECHNIC COLLEGES, through the GAA (2020) intends to apply the sum of One Million Five Hundred Twenty One Thousand Six Hundred Pesos (₱1,5</t>
  </si>
  <si>
    <t xml:space="preserve"> LOCAL GOVERNMENT UNIT OF GUBAT INVITATION TO BID FOR THE PURCHASE OF DIGITAL DUPLICATOR 1.	The Local Government Unit of Gubat, through its General Fund  intends to apply the sum of  Two Hundred Sixty Thousand  Pesos (₱260,000.00)  being the Approved Budge</t>
  </si>
  <si>
    <t xml:space="preserve"> Item No.	Quantity	Unit of Issue	Item Description B-5-          	2	each	               Project Billboard 405(2)	      5.81	Cu.m.	               Structural Concrete Class “B” 704	             56.79	Sq.m.          	Masonry 804	             34.01	Cu.m.	      </t>
  </si>
  <si>
    <t xml:space="preserve"> Republic of the Philippines Province of Albay Municipality of Rapu-Rapu Barangay Guadalupe INVITATION TO BID FOR THE CONSTRUCTION OF RIVER DIKE 1.	The Barangay Local Government Unit of Guadalupe, Rapu-Rapu, Albay, through the Budget for the Contract Appro</t>
  </si>
  <si>
    <t xml:space="preserve"> 1 unit Center table, 36"x19"x18"          pinewood materials, black paint finish 2 units Shelf,32"x15"x29 1/2", pinewood and plywood materials            3 layers including top, black paint finish</t>
  </si>
  <si>
    <t xml:space="preserve"> Item 			 No.	ITEM &amp; DESCRIPTION	UNIT	QTY 			 			 1	Ø12mm (1/2") Lock Wing Valve (brass)	pcs.	50 2	Ø12mm (1/2") x 90 deg. G.I. Elbow	pcs.	100 3	Ø25mm (1") x 100M PE Tubings SDR-11 (Std.)	rolls	5 4	Ø12mm (1/2") Rep. Piece Plastic-Blue	pcs.	100 5	Ø25mm (1") </t>
  </si>
  <si>
    <t xml:space="preserve"> Republic of the Philippines  Province of Misamis Oriental  Municipality of Sugbongcogon  REQUEST FOR QUOTATION Supply and Delivery of Meal and Snack ITB NO. 100-20-06-108 1.	The Municipality of Sugbongcogon through its Bids and Awards Committee (BAC) will</t>
  </si>
  <si>
    <t xml:space="preserve"> Supply and Delivery of Airconditioning Unit for the Municipal Budget Office, Accounting Office and Municipal Planning and Development Office</t>
  </si>
  <si>
    <t xml:space="preserve"> Procurement of Various Medical Supplies. Interested bidders can download the attached file for complete specifications and requirements. Please send your quotation thru this email: caysiebagsit.ritm@gmail.com Note: Kindly make our PR# as a subject of your</t>
  </si>
  <si>
    <t xml:space="preserve"> INVITATION TO APPLY FOR ELIGIBILITY AND TO BID The Municipal Government of Piñan, Zamboanga del Norte through its Bids and Awards Committee (BAC), invites legitimate suppliers/dealers  to apply for eligibility and if found eligible, to bid for the hereund</t>
  </si>
  <si>
    <t xml:space="preserve"> Location: Sto. Tomas, Pampanga Appropriation: Php 1,000,000.00 Source of Fund: General Fund Classification: Flood Control Limits: Sta. 00 + 000 to Sta. 00 + 147 Net Length: L=147.00 lin.m. No. of days to complete: 30 days</t>
  </si>
  <si>
    <t xml:space="preserve"> PEO-2020-0160 Rebidding INVITATION TO BID FOR THE PROCUREMENT OF AGGREGATE SUBBASE COURSE (ANAPOG) FOR THE MAINTENANCE OF VARIOUS PROVINCIAL ROADS FOR PROJECT MANAGEMENT DIVISION (PMD) III - SET 1 ABC: P 600,000.00 COST OF BID DOCUMENTS: P 1,000.00 ADVERT</t>
  </si>
  <si>
    <t xml:space="preserve"> IMPROVEMENT/ MAINTENANCE OF EXISTING MUN./BRGY. ROADS BRGY. CALBUEG MALASIQUI, PANGASINAN LENGTH: 290.00 METERS WIDTH: 4.00 METERS THICKNESS: 0.20 METER</t>
  </si>
  <si>
    <t xml:space="preserve"> PEO-2020-0161 Rebidding INVITATION TO BID FOR THE PROCUREMENT OF AGGREGATE SUBBASE COURSE (ANAPOG) FOR THE MAINTENANCE OF VARIOUS PROVINCIAL ROADS FOR PROJECT MANAGEMENT DIVISION (PMD) III - SET 2 ABC: P 750,000.00 COST OF BID DOCUMENTS: P 1,000.00 ADVERT</t>
  </si>
  <si>
    <t xml:space="preserve"> Item 			 No.	ITEM &amp; DESCRIPTION	UNIT	QTY 			 			 			 1	Vertical Multi-Stage Submersible Pump	Lot	1 	3.0 Lps against 40 Meters TDH, Ø2 1/2 		 	Discharge Pipe, Stainless Steel casing &amp;		 	Impeller with mechanical Seal Fitted		 	on Stainless Steel Shaft coup</t>
  </si>
  <si>
    <t xml:space="preserve"> 12	 set 	15 watts LED Bulb  14	 pc 	4" dia PVC Receptacle 234	m	#6 Duplex Wire  2	roll	Electrical Tape (Big)</t>
  </si>
  <si>
    <t xml:space="preserve"> 1 SACK RICE - well-milled 50 2 KLS. ONION - . 18 3 KILOS COOKING OIL - . 37 4 KILOS GARLIC - . 13 5 KILOS MONGGO - . 28 6 KILOS BROWN SUGAR - . 62 7 KILOS DRIED FISH-DILI PINIKAS - . 20 8 PACKS COFFEE-25GRMS - . 165 9 CAN SARDINES - . 279 10 PCS NOODLES -</t>
  </si>
  <si>
    <t xml:space="preserve"> 10    	pcs	TRAYS 10    	pcs	DOORMAT</t>
  </si>
  <si>
    <t xml:space="preserve"> Request for Quotation for the Procurement of Various Office Supplies to be used in the DA-RFO7 offices in support to the Implementation of Various Projects 1.	The Department of Agriculture-Regional Field Office 7 (DA-RFO 7), through the General Appropriat</t>
  </si>
  <si>
    <t xml:space="preserve"> 1. Please note that the Opening of Quotation shall be on 20 June 2020 at 10:00 AM 2. Please download attached associated components for details/schedule</t>
  </si>
  <si>
    <t xml:space="preserve"> ITEMS 20 PCS AIR CLEANER 20 PCS OIL FILTER 034 10 PCS OIL FILTER 306 10 PCS OIL FILTER 10 PCS ROCK END 4WD 4 PCS ROCK END L300 4 PCS  ROCK 555 6 PCS VELOCITY STICK BRG 5 PCS VELOCITY OIL SEAL 6 PCS VELOCITY BEARING OUTER 20 PCS RUBBER CAP</t>
  </si>
  <si>
    <t xml:space="preserve"> Common instructional materials and office supplies for CANDAPING NHS</t>
  </si>
  <si>
    <t xml:space="preserve"> 1 Cylinder Refill, 10 lbs capacity, ABC Dry Chemical 4 Cylinder Refill, 5 lbs capacity, ABC Dry Chemical **AWARDING IS PER LOT***</t>
  </si>
  <si>
    <t xml:space="preserve"> Republic of the Philippines DEPARTMENT OF PUBLIC WORKS AND HIGHWAYS Region VII            South Road Properties (SRP), Cebu City                                        Contract ID	 : 20H00063 Contract Name   : Construction/Repair/Rehabilitation/Improvemen</t>
  </si>
  <si>
    <t xml:space="preserve"> Negotiated Procurement No. 2020-15 (GAS) NOTICE FOR RENEGOTIATED PROCUREMENT The Department of Agriculture, Western Visayas, Iloilo City invites all suppliers/distributors to participate in the RENEGOTIATION for the Procurement of Supply &amp; Delivery of Var</t>
  </si>
  <si>
    <t xml:space="preserve"> 7	EPSON L3110 Ink Black 5	EPSON L3110 Ink Cyan 5	EPSON L3110 Ink Magenta 5	EPSON L3110 Ink Yellow 7	EPSON L120 Ink Black 5	EPSON L120 Ink Cyan 5	EPSON L120 Ink Magenta 5	EPSON L120 Ink Yellow 7	EPSON 664 Ink Black 5	EPSON 664 Ink Cyan 5	EPSON 664 Ink Mage</t>
  </si>
  <si>
    <t xml:space="preserve"> Portland Cement, 40 kgs</t>
  </si>
  <si>
    <t xml:space="preserve"> Republic of the Philippines DEPARTMENT OF PUBLIC WORKS AND HIGHWAYS Region VII            South Road Properties (SRP), Cebu City                                        Contract ID	 : 20H00064 Contract Name   : Construction/Repair/Rehabilitation/Improvemen</t>
  </si>
  <si>
    <t xml:space="preserve"> Procurement of Services (Chest X-ray) for the Physical/Laboratory Tests of Municipal Officials and Employees, LGU-Tagudin, Ilocos Sur Attachment: Request for Quotation, Purchase Request</t>
  </si>
  <si>
    <t xml:space="preserve"> Republic of the Philippines DEPARTMENT OF PUBLIC WORKS AND HIGHWAYS NUEVA ECIJA 2ND DISTRICT ENGINEERING OFFICE REGIONAL OFFICE III San Isidro, Cabanatuan City INVITATION TO BID  1.	The DPWH-Nueva Ecija 2nd District Engineering Office, through its Bids an</t>
  </si>
  <si>
    <t xml:space="preserve"> 199 PAGE/S PUBLICATION - 3 CONSECUTIVE ISSUES  - MUNICIPAL ORDINANCE NO. 2019-08 ADOPTING THE INTEGRATED ZONING REGULATIONS OF THE MUNICIPALITY OF MARAGUSAN, DAVAO DE ORO, AND PROVIDING FOR THE ADMINISTRATION, ENFORCEMENT AND AMENDMENT THEREOF AND FOR THE</t>
  </si>
  <si>
    <t xml:space="preserve"> Purchase and Delivery of Fabrication of Two (2) Units Steel Bleacher.</t>
  </si>
  <si>
    <t xml:space="preserve"> The PHILIPPINE SCIENCE HIGH SCHOOL SYSTEM - WESTERN VISAYAS CAMPUS (PSHS-WVC) intends to apply the sum of FIFTY EIGHT THOUSAND PESOS ONLY (P58,000.00) being the Approved Budget for the Contract (ABC) to pay for the contract for the Project: Procurement of</t>
  </si>
  <si>
    <t xml:space="preserve"> Item No.	Description	Unit	Quantity b.9	Mobilization/Demobilization	unit 	1.00 B5	Project Billboard / Signage	unit	1.00 b.7.1	Occupational Safety and Health Program	lot	1.00 A1.1(6)	Provision for combined field office, lab. And	lot	1.00 100(3).b3	Removal o</t>
  </si>
  <si>
    <t xml:space="preserve"> Siphoning of Septic Tanks of Various Offices/Building of the Municipality</t>
  </si>
  <si>
    <t xml:space="preserve"> Contract ID	No. 	      	: 20AD0096 Contract Name	      	: Construction (Completion) of Candon City Hospital    (Satellite ITRMC) Buildings  Contract Location	      	: Candon City, Ilocos Sur	       Brief Description	      	: Construction of Multi-Purpose </t>
  </si>
  <si>
    <t xml:space="preserve"> REQUEST FOR QUOTATION RFQ No. 2020-0249 The CITY GOVERNMENT OF CABANATUAN through its Bid and Awards Committee (BAC), will undertake Small Value Procurement for the Cabanatuan Official Website (CMO) in accordance with Section 53.9 of the Revised Implement</t>
  </si>
  <si>
    <t xml:space="preserve"> 1,000 pcs Holographic STicker for 1st sem 300 pcs ID Card 2 pcs Hiti Ribbon</t>
  </si>
  <si>
    <t xml:space="preserve"> INVITATION TO BID KB-GOODS-2020-05 I.	The Municipality of Kitaotao, intends to apply the sum of  Eighty Thousand Pesos (P80,000.00) for the Supply and Delivery of Various Goods . Bids received more than the ABC shall be automatically rejected at Bid openi</t>
  </si>
  <si>
    <t xml:space="preserve"> Please see "associated component" for the specifications Ultrasound Printer = 1 unit</t>
  </si>
  <si>
    <t xml:space="preserve"> Republic of the Philippines Province of Occidental Mindoro Mamburao, Occidental Mindoro BIDS AND AWARDS COMMITTEE INVITATION TO BID The Provincial Government of Occidental Mindoro through its Bids and Awards Committee (BAC) invites all interested contract</t>
  </si>
  <si>
    <t xml:space="preserve"> SUPPLIES/EQUIPMENT FOR PREPAREDNESS, MITIGATION &amp; RESPONSE PURPOSES</t>
  </si>
  <si>
    <t xml:space="preserve"> 1	Infrared Digital Thermometer 3	Bathroom Tissue 2-ply 24 rolls 10	Isopropyl Alcohol 70% 500ml 10	Hand Soap 2	Ascorbic Acid</t>
  </si>
  <si>
    <t xml:space="preserve"> Quantity	Unit	Item and Description 31,530	pcs	Printing Services: Printing and Delivery of Handouts on Direct Seeding.                                                                 Size: A5 (148mm x 210mm)                                                 </t>
  </si>
  <si>
    <t xml:space="preserve"> 2 units Megaphone</t>
  </si>
  <si>
    <t xml:space="preserve"> REQUEST FOR QUOTATION NOTICE 1. The PHILIPPINE SCIENCE HIGH SCHOOL – ZAMBOANGA PENINSULA REGION CAMPUS (PSHS-ZRC) intends to apply the sum of One Hundred Twenty Six Thousand Pesos (P 126,000.00) being the Approved Budget for the Contract (ABC) to pay for </t>
  </si>
  <si>
    <t xml:space="preserve"> IMPROVEMENT OF BARANGAY HALL @ BRGY. BAGUMBAYAN, LAL-LO, CAGAYAN</t>
  </si>
  <si>
    <t xml:space="preserve"> The AGRICULTURAL TRAINING INSTITUTE-REGIONAL TRAINING CENTER (ATI-RTC) X, through the 2020 General Appropriations Act intends to apply the sum of One Hundred Twenty One Thousand Pesos (P 121,000.00) being the Approved Budget for the Contract (ABC) to paym</t>
  </si>
  <si>
    <t xml:space="preserve"> Installation of Electric Motor Pump and Gravity Tank</t>
  </si>
  <si>
    <t xml:space="preserve"> 6 unit Slotted Metal Rack</t>
  </si>
  <si>
    <t xml:space="preserve"> Unit	Quantity	Articles  pcs 	1	DVR Recorder 16 Channel  pcs 	1	4 T. B Hard Disk  pcs 	14	Fish Eye Camera  pcs 	3	Siemese Cable  pcs 	1	30 amps. Central supply  pcs 	40	BNC Connector  pcs 	20	D.C Plug  pcs 	1	HDMI Splitter  set 	4	HDMI Extender  pcs 	8	HDM</t>
  </si>
  <si>
    <t xml:space="preserve"> REQUEST FOR QUOTATION						 						 Date:						 RFQ No.						 						 The Department of Environment and Natural Resources (DENR), Region-9, Regional Office, through its Regional Bids and Awards Committee (RBAC), intends to procure for a Supply and Delivery </t>
  </si>
  <si>
    <t xml:space="preserve"> 1.	The National Economic and Development Authority (NEDA) Regional Office XII, through the FY 2020 GENERAL APPROPRIATIONS ACT (GAA)  intends to apply the sum of PhP 2,200,000.00 being the Approved Budget for the Contract (ABC) to payments under the contra</t>
  </si>
  <si>
    <t xml:space="preserve"> Republic of the Philippines Province of Bohol Municipality of Alicia INVITATION TO APPLY FOR ELIGIBILITY AND TO BID 	The Local Government Unit of Alicia, through its Bids and Awards Committee (BAC) invites Suppliers/manufacturers/distributors/contractors </t>
  </si>
  <si>
    <t xml:space="preserve"> Republic of the Philippines Department of Health Center for Health Development EASTERN VISAYAS REGIONAL MEDICAL CENTER Tacloban City REQUEST FOR QUOTATION RFQ No: 2020-06-SVP-0194 June 17, 2020 The EVRMC, Tacloban City, through the Bids &amp; Awards Committee</t>
  </si>
  <si>
    <t xml:space="preserve"> Negotiated Procurement No. 2020-16 (GAS) NOTICE FOR RENEGOTIATED PROCUREMENT The Department of Agriculture, Western Visayas, Iloilo City invites all suppliers/distributors to participate in the RENEGOTIATION for the Procurement of Supply &amp; Delivery of Var</t>
  </si>
  <si>
    <t xml:space="preserve"> 1-Year Firewall Software Subscription Support for Epoque Net Access: 1 LOT SPECIFICATIONS: I. Purpose: The purpose of procuring one (1) lot renewal of firewall software support use to access Epoque Net by BOP will ensure that existing software is up-to-da</t>
  </si>
  <si>
    <t xml:space="preserve"> Republic of the Philippines DEPARTMENT OF PUBLIC WORKS AND HIGHWAYS Region VII            South Road Properties (SRP), Cebu City                                        Contract ID	 : 20H00065 Contract Name   : Construction/Repair/Rehabilitation/Improvemen</t>
  </si>
  <si>
    <t xml:space="preserve"> Procurement of construction materials for the improvement/const of Multi-Purpose Building</t>
  </si>
  <si>
    <t xml:space="preserve"> PLEASE SEE ATTACHED PR, TOR AND BID DOCUMENTS FOR DETAILS</t>
  </si>
  <si>
    <t xml:space="preserve"> INVITATION TO BID KB-GOODS-2020-05 I.	The Municipality of Kitaotao, intends to apply the sum of Eighty Thousand Pesos Only (P80,000.00) for the Supply and Delivery of Various Goods . Bids received more than the ABC shall be automatically rejected at Bid o</t>
  </si>
  <si>
    <t xml:space="preserve"> Labor Charge for Body Repair of Municipal Speed Boat 150HP including materials</t>
  </si>
  <si>
    <t xml:space="preserve"> VARIOUS OFFICE EQUIPMENT FOR VARIOUS PUBLIC SCHOOLS</t>
  </si>
  <si>
    <t xml:space="preserve"> Labor Charge for General Overhauling of Municipal Speed Boat 150HP Engine</t>
  </si>
  <si>
    <t xml:space="preserve"> PURCHASE OF EQUIPMENT AT EVACUATION CENTER</t>
  </si>
  <si>
    <t xml:space="preserve"> Item No.	Quantity	Unit of Issue	Item Description 1	           1	Unit	3-4 Cu. m. Dumptruck Euro 4 Compliant Specification: -Engine: 108hp Vertical Type,in-line, four stroke, common rail -Fuel :Diesel  -Max Power / r.p.m. (kw/r.p.m.): 80/3400 -Max. Torque /</t>
  </si>
  <si>
    <t xml:space="preserve"> INVITATION TO BID										 										 The Barangay Libertad, Municipality of Tungawan, Province of Zamboanga Sibugay,  through its Bids and Awards Committee (BAC), invites suppliers /										 manufacturers/ distributors / contractors to apply for eligi</t>
  </si>
  <si>
    <t xml:space="preserve"> Republic of the Philippines					 Province of Palawan					 MUNICIPALITY OF EL NIDO					 PR No.	 Name of Procuring Entity: Municipal Government of El Nido			RFQ No.		 Date:		 Office/End-User: MSWD					 Company Name					 Adress:					 Business Permit No.:				</t>
  </si>
  <si>
    <t xml:space="preserve"> PHO-2020-038 PR2020-0150 INVITATION TO BID FOR THE PROCUREMENT OF BASIC LIFE SUPPORT AMBULANCE FOR THE USE IN CONG. SIMEON G. TORIBIO MEMORIAL HOSPITAL, CARMEN, BOHOL ABC: P 2,500,000.00 COST OF BID DOCUMENTS: P 5,000.00 ADVERTISEMENT PERIOD: JUNE 17 - JU</t>
  </si>
  <si>
    <t xml:space="preserve"> Vehicle Parts and Accessories</t>
  </si>
  <si>
    <t xml:space="preserve"> Item No.	Description	Unit	Quantity A.1.1(6)	Provision of Combined Field	2.00	mo/s b.5	Project Billboard/Signage	1.00	unit b.7.(1)	Occupational Safety and Health Program	2.00	mo/s b.8 (1)	Traffic Management	2.00	mo/s b.9	Mobilization / Demobilization	1.00	</t>
  </si>
  <si>
    <t xml:space="preserve"> Please see attached RFQ.</t>
  </si>
  <si>
    <t xml:space="preserve"> 1	63	Cu. M.	Gravel for filling 2	480	bag	Portland Cement 3	30	Cu. M.	Gravel G#3/4 4	31	Cu. M.	Sand 5	2480	pcs	4” thick concrete hollow blocks 6	190	pcs	10mm diameter by 6.0m Rebars 7	137	pcs	12mm diameter by 6.0m Rebars 8	48	pcs	16mm diameter by 6.0m Reba</t>
  </si>
  <si>
    <t xml:space="preserve"> 5 pcs Raincoat</t>
  </si>
  <si>
    <t xml:space="preserve"> Creation of BOC-CARES Kiosks Aluminum collapsible frame kiosk with printed magnetized cover. Technical Specifications: Size: Width: 2 meters (wrap around the side of the kiosk)         Height: 1.25 meters Color: Full Color Covered Magnetized Number of uni</t>
  </si>
  <si>
    <t xml:space="preserve"> Republic of the Philippines					 Department of Education					 Region IX, Zamboanga del Sur					 Division of Zamboanga del Sur					 PROPER DIMAYA NATIONAL HIGH SCHOOL					 Proper Dimaya, Dinas, Zamboanga del Sur					 					 REQUEST FOR PRICE QUOTATION					 </t>
  </si>
  <si>
    <t xml:space="preserve"> (SVP-24-2020) REQUEST TO SUBMIT QUOTATION OR PROPOSAL FOR THE SUPPLY AND DELIVERY OF LOT 1- OFFICE SUPPLIES, LOT 2- ICT SUPPLIES LOT 3 &amp; 4- COPIER MACHINE AND LOT 5- OTHER SUPPLIES FOR USE AT THE OFFICE OF THE CHIEF, ADMIN AND FINANCE, GSS/PROPERTY UNIT, </t>
  </si>
  <si>
    <t xml:space="preserve"> 1 UNIT LAPTOP AND ACCESSORIES</t>
  </si>
  <si>
    <t xml:space="preserve"> INVITATION TO BID KB-GOODS-2020-05 I.	The Municipality of Kitaotao, intends to apply the sum of Forty Thousand Pesos (P40,000.00) for the Supply and Delivery of Various Goods . Bids received more than the ABC shall be automatically rejected at Bid opening</t>
  </si>
  <si>
    <t xml:space="preserve"> Repainting of school's roof, walls, and ceilings worth Php35,000 (Maliksi Type Building)</t>
  </si>
  <si>
    <t xml:space="preserve"> SEE ATTACHED FILES</t>
  </si>
  <si>
    <t xml:space="preserve"> Repair/Maintenance of Municipal Vehicle (Montero) @ Samal, Bataan 1 ls - Full Charge Freon Gas 134A         Expansion Valve         Rubber Oring         Labor</t>
  </si>
  <si>
    <t xml:space="preserve"> SEE ATTACHMENT</t>
  </si>
  <si>
    <t xml:space="preserve"> Request for Quotation 16 June 2020 The TOURISM PROMOTIONS BOARD invites you to submit quotations for the item/s listed below: Quotation No.  TPB-RFQ 2020-06-168 PR No. 6.004   Requirements:	Service Provider for Online Competency-Based Assessment  Lot 1 - </t>
  </si>
  <si>
    <t xml:space="preserve"> Phenytoin 50mg/ml, 5ml (as sodium salt) Requirements for Drugs and Medicines: **Drugs with history of usage from VMMC (Requirements No. 1-5 only) ** **For Innovators (Requirements No. 1-4 only) ** 1. CPR 2. CGMP 3. LTO 4. CERTIFICATE OF DISTRIBUTOSHIP 5. </t>
  </si>
  <si>
    <t xml:space="preserve"> PR No. 				ENG PRO-2020-06-010							 											 	Please quote your lowest price on the item/s listed below, subject to the General Conditions, 										 stating the shortest time of delivery and submit your quotation duly signed by  your authorized 			</t>
  </si>
  <si>
    <t xml:space="preserve"> The PHILIPPINE SCIENCE HIGH SCHOOL SYSTEM - WESTERN VISAYAS CAMPUS (PSHS-WVC) intends to apply the sum of SEVENTY TWO THOUSAND ONE HUNDRED FIFTY PESOS ONLY (P72,150.00) being the Approved Budget for the Contract (ABC) to pay for the contract for the Proje</t>
  </si>
  <si>
    <t xml:space="preserve"> The Urdaneta City NHS would like to publish the construction of Washing Facility (6 Faucets) at UCHS for Junior High School use.</t>
  </si>
  <si>
    <t xml:space="preserve"> Request for Quotation for the Supply of Fuel and Oil for Vehicles at PATCO Bohol Province 1.	The Department of Agriculture-Regional Field Office 7 (DA-RFO 7), through the General Appropriations Act of CY 2020)  intends to apply the sum of Two Hundred Elev</t>
  </si>
  <si>
    <t xml:space="preserve"> Republic of the Philippines DEPARTMENT OF PUBLIC WORKS AND HIGHWAYS Region VII            South Road Properties (SRP), Cebu City                                        Contract ID	 : 20H00066 Contract Name   : Construction/Repair/Rehabilitation/Improvemen</t>
  </si>
  <si>
    <t xml:space="preserve"> 750 PACKS MEALS AND SNACKS</t>
  </si>
  <si>
    <t xml:space="preserve"> Procurement of construction materials for the improvement/const of Multi-Purpose Building (Accounting&amp;Agri Office)</t>
  </si>
  <si>
    <t xml:space="preserve"> (ITB-25-2020) REQUEST TO SUBMIT QUOTATION OR PROPOSAL FOR THE FUEL DEPOSIT FOR USE AT DA-ALBAY RESEARCH ND DEVELOPMENT CENTER (AES) MAYON CROSSING TABACO CITY AT APPROVED BUDGET FOR THE CONTRACT AMOUNTING TO NINETY-THREE THOUSAND PESOS (PHP93,000.00) PURS</t>
  </si>
  <si>
    <t xml:space="preserve"> VARIOUS GROCERY ITEMS</t>
  </si>
  <si>
    <t xml:space="preserve"> June 16, 2020 REQUEST FOR QUOTATION (RFQ) RADIANT WARMER AND PHOTOTHERAPY 1.	The Batangas Medical Center hereinafter referred to as the “Purchaser” now request for submission of price proposal for the procurement of the aforesaid item described in the Tec</t>
  </si>
  <si>
    <t xml:space="preserve"> Procurement of Medical Supplies for the Disaster and Emergency Response, LGU-Tagudin, Ilocos Sur Attachment: Request for Quotation, Purchase Request</t>
  </si>
  <si>
    <t xml:space="preserve"> (see bidding documents in the associated component for further project details)</t>
  </si>
  <si>
    <t xml:space="preserve"> Stantard From Title:   Purchase Request					 			                               PURCHASE REQUEST			 LGU BUGALLON						 Agency / Procuring Entity						 						 	Department: 		MDRRMC Office		Date:	 						 	Section:				Date:	 						 STOCK 		UNIT	Description	QT</t>
  </si>
  <si>
    <t xml:space="preserve"> 1-Year Preventive Maintenance of Data Center UPS (Delta 80KVA): 1 Lot SPECIFICATIONS: I. Purpose: The procurement of contract for the preventive maintenance data center Uninterrupted Power Supply (UPS) 80KVA will ensure that the equipment is in good condi</t>
  </si>
  <si>
    <t xml:space="preserve"> Request for Quotation 2	each	Tile Grout 0.5	cu.m	Sand 5	bags	Cement 2	each	Paint Brush 3" 40	Pcs	Good Lumber (2x2x12) 16	Kls	CWN Nail 2 1/2" 2	gal	Paint thinner 6	pcs	Roller brush w/ basin 11	gal	Gloss enamel 11	gal	Flat enamel 35	pcs	1/4"x4"x4' plywood  </t>
  </si>
  <si>
    <t xml:space="preserve"> 4	PCS	AUTOMATIC NUMBER STAMP 12 DIGITS 120	PCS	BINDER CLIP 19MM 120	PCS	BINDER CLIP 24MM 120	PCS	BINDER CLIP 32MM 20	BOXES	BLACK BALLPEN GEL 0.5 (12pcs per box) 10	BOXES	BLUE BALLPEN GEL 0.5 (12pcs per box) 100	REAMS	BOND PAPER SHORT SUB-20 100	REAMS	BOND</t>
  </si>
  <si>
    <t xml:space="preserve"> CONSTRUCTION OF 2.0m x 2.0m x1.5m RESERVOIR &amp; INSTALLATION OF PIPELINES 12 pcs. 2'' dia. X 6.0m G.I Pipe S40 4 pcs. 1 1/2'' dia. X 6.0m G.I Pipe S40 8 pcs. 2'' dia. Coupling 10 pcs. 1'' dia. X 6.0m G.I Pipe S40 4 pcs. 1 1/2'' dia. Coupling 9 pcs. 1'' dia.</t>
  </si>
  <si>
    <t xml:space="preserve"> The Urdaneta City NHS would like to publish the Construction of Washing Facility (8 Faucets) at UCNHS for Junior High School use.</t>
  </si>
  <si>
    <t xml:space="preserve"> PURPOSE: FOR HAULING AND TRANSFER OF PCB CONTAMNATED TRANSFORMERS. Fax your Price Quotation at Tel. Fax#: 426-30-45 / 927-64-26 local 2561 or Email at bacveterans@gmail.com. Please indicate the brand name and complete specifications.</t>
  </si>
  <si>
    <t xml:space="preserve"> Purchase of Multivitamins Syrups to be used bt RHU 12 Bxs Multivitamins Syrups x 144's</t>
  </si>
  <si>
    <t xml:space="preserve"> Ten (10) CONSULTANTS</t>
  </si>
  <si>
    <t xml:space="preserve"> For Punong Barangay uniform during meetings and conference.</t>
  </si>
  <si>
    <t xml:space="preserve"> Additional posting for the Repair and Maintenance of Water Works System for barangay.</t>
  </si>
  <si>
    <t xml:space="preserve"> Republic of the Philippines Province of Bohol Municipality of Alicia OFFICE OF THE BAC CHAIRMAN June 17, 2020 ____________________ ____________________ ____________________ Sir/Madame: Greetings! This refers to our project PURCHASE OF MATERIALS FOR REHABI</t>
  </si>
  <si>
    <t xml:space="preserve"> AD Material: Customs Administrative Order (CAO) No. 09-2020  “Clearance Procedures for Goods Entered for Consumption Under the Formal Entry Process” 	 No. of Pages: 40 pages A4 size Newspaper: Broadsheet No. of Issue: Once (1) Color: Black and White Other</t>
  </si>
  <si>
    <t xml:space="preserve"> 3 units Folding Bed</t>
  </si>
  <si>
    <t xml:space="preserve"> Procurement of One (1) Lot Meals &amp; Snacks (2days) Only</t>
  </si>
  <si>
    <t xml:space="preserve"> PLEASE SEE ATTACHMENT</t>
  </si>
  <si>
    <t xml:space="preserve"> Republic of the Philippines DEPARTMENT OF PUBLIC WORKS AND HIGHWAYS Region VII            South Road Properties (SRP), Cebu City                                        Contract ID	 : 20H00067 Contract Name   : Construction/Repair/Rehabilitation/Improvemen</t>
  </si>
  <si>
    <t xml:space="preserve"> I N V I T A T I O N   T O   B I D  The Visayas State University through its Bids and Awards Committee (BAC), invites suppliers/manufacturers/distributors to apply for eligibility and to bid for the hereunder project: Name of Project		 :  Supply and Delive</t>
  </si>
  <si>
    <t xml:space="preserve"> (IB NO. 2020DJG-001) The PhilHealth Regional Office VI, through the COB of CY 2020 intends to apply the sum of Two Million Seven Hundred Sixty Eight Thousand Seven Hundred Two Pesos and 15/100 only  (Php 2,768,702.15), being the Approved Budget for the Co</t>
  </si>
  <si>
    <t xml:space="preserve"> Portland Cement</t>
  </si>
  <si>
    <t xml:space="preserve"> Supply labor and materials for the Repair of Rain Shelter at Babatngon Experiment Station, Brgy. Bagong Silang, Babatngon, Leyte. No.	Scope of Work	Quantity	Unit_Cost	ABC Spcl I	SIGNBOARD/ BILLBOARD        SQ.FT.	32	140.11	 I.	SITEWORKS                   </t>
  </si>
  <si>
    <t xml:space="preserve"> Republic of the Philippines Province of Albay Municipality of Rapu-Rapu Barangay Galicia INVITATION TO BID FOR THE CONSTRUCTION OF MULTI-PURPOSE PAVEMENT – PUROK 5 1.	The Barangay Local Government Unit of Galicia, Rapu-Rapu, Albay, through the Budget for </t>
  </si>
  <si>
    <t xml:space="preserve"> Purchase of Agricultural Products for Agriculture Office @ Samal, Bataan 300 pcs - Seedling Tray 10 rolls - Plastic Mulch</t>
  </si>
  <si>
    <t xml:space="preserve"> Use of RHU for nutrition month celebration  20 bxs Milk Powder 320 grams 36's</t>
  </si>
  <si>
    <t xml:space="preserve"> For Covid Response</t>
  </si>
  <si>
    <t xml:space="preserve"> VARIOUS MEDICAL SUPPLIES</t>
  </si>
  <si>
    <t xml:space="preserve"> various supplies</t>
  </si>
  <si>
    <t xml:space="preserve"> Bid-Opening-July 7,2020 at 2:00 p.m. at Municipal Conference Room</t>
  </si>
  <si>
    <t xml:space="preserve"> REPAINTING OF BARANGAY GYM, BARANGAY HALL, DAY CARE CENTER &amp; WATER SYSTEM</t>
  </si>
  <si>
    <t xml:space="preserve"> Standard Form No. 60						 Revised on May 24, 2004						 REQUEST FOR QUOTATION						 Provincial Government of Romblon						 						 				Date:        June 17, 2020		 				Quotation No.:    103-S		 						 To Our Valued Suppliers:						 						 	Please quote yo</t>
  </si>
  <si>
    <t xml:space="preserve"> Republic of the Philippines								 Province of Cebu								 Municipality of Alcantara								 								 								 								 Standard Form Number:			SF-INFR-05					 Revised on:								 								 INVITATION TO APPLY FOR ELIGIBILITY AND TO BID								 								 </t>
  </si>
  <si>
    <t xml:space="preserve"> 1.	The Bureau of Fisheries and Aquatic Resources (BFAR) Regional Fisheries Office - MIMAROPA, Department of Agriculture invites interested bidders to participate in a public bidding for the above procurement project (“GOODS”) with an Approved Budget for t</t>
  </si>
  <si>
    <t xml:space="preserve"> Procurement of One (1) Lot Meals &amp; Snacks (4days) Only</t>
  </si>
  <si>
    <t xml:space="preserve"> June 16, 2020 INVITATION TO BID TO ALL INTERESTED SUPPLIERS: The Philippine Institute of Volcanology and Seismology (PHIVOLCS) hereby invites legally capable suppliers to submit bids for a Negotiated Procurement - Two Failed Bids for the PHIVOLCS’ require</t>
  </si>
  <si>
    <t xml:space="preserve"> Republic of the Philippines Municipality of Tabuelan Invitation to Bid  The Philippine Government Electronic Procurement System Office – Procurement Service invites PhilGEPS registered suppliers to bid for the hereunder items Attached: INTERESTED BIDDERS </t>
  </si>
  <si>
    <t xml:space="preserve"> (see bidding documents and other supporting papers in the associated component for further project details)</t>
  </si>
  <si>
    <t xml:space="preserve"> Detailed Estimate		 For the Clearing of Barangay Road		 at Barangay Samat, Bugallon, Pangasinan		 		 ABC: 14,815.58		 A. Materials		 		 2	Laborer</t>
  </si>
  <si>
    <t xml:space="preserve"> 1	1 lot	Water Activity Measuring principle: resistive -electrolytic Measuring range: 0.03…..1.0 aw Accuracy: +/- 0.001 aw Range: 0.10……….0.95 aw (10...95%rh) Resolution: +/- 0.001 aw Accuracy of control: No temperature control available Mains supply: 5VDC</t>
  </si>
  <si>
    <t xml:space="preserve"> 50        PC        EXPANDED NBS COLLECTING KIT (FILTER PAPER)</t>
  </si>
  <si>
    <t xml:space="preserve"> Standard Form No. 60						 Revised on May 24, 2004						 REQUEST FOR QUOTATION						 Provincial Government of Romblon						 						 				Date:        June 17, 2020		 				Quotation No.:    577		 						 To Our Valued Suppliers:						 						 	Please quote your</t>
  </si>
  <si>
    <t xml:space="preserve"> 1 unit Aircon Split Type 2 HP</t>
  </si>
  <si>
    <t xml:space="preserve"> INVITATION TO BID KB-GOODS-2020-05 I.	The Municipality of Kitaotao, intends to apply the sum of Twenty-Five Thousand Pesos (P25,000.00) for the Supply and Delivery of Various Goods . Bids received more than the ABC shall be automatically rejected at Bid o</t>
  </si>
  <si>
    <t xml:space="preserve"> VARIOUS CONSTRUCTION MATERIALS</t>
  </si>
  <si>
    <t xml:space="preserve"> Purchase of Medical Supplies for MHO Laboratory @ Samal,Bataan 10 boxes - EDTA 0.5ml Microtainer Surgitech 10 boxes - Glass Slides Frosted End 10 boxes - Disposable Syringe 1cc Terumo 5 trays - Microtainer 0.5ml 10 vls - Cappillary Tube 5 pcs - Capillary </t>
  </si>
  <si>
    <t xml:space="preserve"> 3	unit	 Printer, 3in1, user friendly 1	unit	 Printer, user friendly(single function) 20	bots	 Refill Ink, Black, 003 15	bots	 Refill Ink, Cyan, 003 15	bots	 Refill Ink, Magenta, 003 15	bots	 Refill Ink, Yellow, 003 15	bots	 Refill Ink for existing Printer</t>
  </si>
  <si>
    <t xml:space="preserve"> Relocation/Survey of Lot No. 326, PLS-101, Lot No. 310-A, (LRC) PSD-60584 for Proposed Site of LGU-Naga, Zamboanga Sibugay consisting an area of 10,000 sq.m. (1.00 ha.)</t>
  </si>
  <si>
    <t xml:space="preserve"> CONSTRUCTION OF DAY CARE CENTER @ BRGY CAMBONG, LAL-LO, CAGAYAN</t>
  </si>
  <si>
    <t xml:space="preserve"> Semi Automatic Saddle Stitching Machine- 2 Units Technical Specification: Booklet Size: min. 127 x 89 mm, max. 590 x 305 mm Stitching Head Adjustable Gap: 45 to 330 mm Stitching Crown Size: 13 mm +/- 3mm Stitching Capacity: min. of 2 to 120 sheets, 4mm St</t>
  </si>
  <si>
    <t xml:space="preserve"> 1 unit - laptop ( ASUS)            DESKTOP-OLL6KDA            INTEL (R) CORE TM i3-8130U CPU @ 2.2 GHz            4.00 GB (3.88 GB USABLE)            9E96EB3C-07DE-4799-AFF0-BE15C3B5F20F            00331-10000-00001-AA097            64-BIT OPERATING SYSTE</t>
  </si>
  <si>
    <t xml:space="preserve"> REQUEST FOR QUOTATION The National Irrigation Administration – Bulacan-Aurora-Nueva Ecija Irrigation Management Office, Tambubong, San Rafael, Bulacan through its Bids and Awards Committee (BAC), will undertake NEGOTIATED PROCUREMENT – Small Value Procure</t>
  </si>
  <si>
    <t xml:space="preserve"> LOT 1: SUPPLY AND INSTALLATION	 spans	4	10mm thk. - 1.35 x 2.65m Clear	 		glass w/ aluminum frame	 spans	3	10mm thk. - 1.20 x 2.65m Clear	 		glass w/ aluminum frame	 			 		TOTAL AMOUNT:	 109,600.00</t>
  </si>
  <si>
    <t xml:space="preserve"> REQUEST FOR QUOTATION											 											 RFQ No.		SVP 20-0579			Date			12-May-20			 PR Reference		100-20-04-075			Implementing Office			CGSO			 Closing Date and Time					20-May-20						 Designated Places of Submission (Bid Box Designated Locations)			</t>
  </si>
  <si>
    <t xml:space="preserve"> VARIOUS VEHICLES PARTS AND ACCESSORIES</t>
  </si>
  <si>
    <t xml:space="preserve"> for crematorium machine structure</t>
  </si>
  <si>
    <t xml:space="preserve"> for the repair and maintenance of government facilities</t>
  </si>
  <si>
    <t xml:space="preserve"> for IOS Mobile App development</t>
  </si>
  <si>
    <t xml:space="preserve"> Request for Quotation for the Procurement of Various Laboratory Supplies to be used at the Vaccine Production Laboratory  1.	The Department of Agriculture-Regional Field Office 7 (DA-RFO 7), through the General Appropriations Act of CY 2020)  intends to a</t>
  </si>
  <si>
    <t xml:space="preserve"> Purchase of Office Furniture for MSWD Office @ Samal, Bataan 5 sets - 5 Layer Steel Cabinet</t>
  </si>
  <si>
    <t xml:space="preserve"> PROCUREMENT OF THE FOLLOWING SERVICES: CONCRETING OF 0.10 METER THK, 1.0 METER WIDTH, 140.0 LINEAR METERS PATHWALK AT ZONE 8. A. MATERIALS B. LABOR  C. OTHER SERVICES FOR MORE DETAILS VISIT THE BARANGAY</t>
  </si>
  <si>
    <t xml:space="preserve"> VARIOUS OFFICE SUPPLIES</t>
  </si>
  <si>
    <t xml:space="preserve"> Standard Form Number, SF          Revised on May 24, 2004   PR#: 2020-01-06-014                                                                                                              Date : June 10, 2020                                              </t>
  </si>
  <si>
    <t xml:space="preserve"> see attached bidding documents</t>
  </si>
  <si>
    <t xml:space="preserve"> INVITATION TO BID KB-GOODS-2020-05 I.	The Municipality of Kitaotao, intends to apply the sum of  Forty Thousand Pesos Only (P40,000.00) for the Supply and Delivery of Various Goods . Bids received more than the ABC shall be automatically rejected at Bid o</t>
  </si>
  <si>
    <t xml:space="preserve"> Repair and Maintenance of Air conditioning Units of La Presidencia and COA Office</t>
  </si>
  <si>
    <t xml:space="preserve"> Procurement of One (1) Lot Meals &amp; Snacks Only</t>
  </si>
  <si>
    <t xml:space="preserve"> INVITATION TO BID KB-GOODS-2020-05 I.	The Municipality of Kitaotao, intends to apply the sum of One Hundred Fifteen Thousand Four Hundred Thirty-Three Pesos &amp; 26/100 centavos (P115,433.26) for the Supply and Delivery of Drugs &amp; Medicines . Bids received m</t>
  </si>
  <si>
    <t xml:space="preserve"> Please see attached RFQ and Sample picture</t>
  </si>
  <si>
    <t xml:space="preserve"> gasoline/diesel xxxxxxx</t>
  </si>
  <si>
    <t xml:space="preserve"> PLEASE SEE ATTACHED ITB.</t>
  </si>
  <si>
    <t xml:space="preserve"> Invitation to Bid The LGU of Hindang, Leyte through its Bids and Awards Committee (BAC) invites the PhilGEPS registered suppliers to apply to bid for the Supply and Delivery of Fuel, Oil &amp; Lubricants. Specifications: 5,187 ltrs Diesel Fuel 20 ltrs Engine </t>
  </si>
  <si>
    <t xml:space="preserve"> A. Mitsubishi Jeep UIV-509	 pcs	6	Battery Terminal	 510.00  pcs	2	Side Mirror	 1,140.00  pcs	2	Transmission Support	 5,670.00  pcs	4	Inner Tube 7.50 x 15	 7,320.00  		B. Mitsubishi Jeep 074806	 pcs	4	Inner Tube 7.50 x 15	 7,320.00  pcs	13	Leaf Spring Bush</t>
  </si>
  <si>
    <t xml:space="preserve"> Printing Services</t>
  </si>
  <si>
    <t xml:space="preserve"> The City Government of Koronadal, through its Bids and Awards Committee (BAC) will undertake a Negotiated Procurement – Small Value Procurement for the “ MATERIALS FOR THE REPAIR OF PUBLIC TERMINAL BUILDING “ in accordance with  Section 53.9 of the 2016 I</t>
  </si>
  <si>
    <t xml:space="preserve"> 10 Units External Drive (2 TB)</t>
  </si>
  <si>
    <t xml:space="preserve"> Republic of the Philippines          City of Dumaguete Bids and Awards Committee INVITATION TO BID FOR THE JOB ORDER: SUPPLY AND PLANTING OF BERMUDA GRASS, ETC. 	The City of Dumaguete thru its BIDS AND AWARDS COMMITTEE (BAC), invites all interested manufa</t>
  </si>
  <si>
    <t xml:space="preserve"> PLS. SEE ATTACHED PURCHASE REQUISITION, TERMS OF REFERENCE &amp; BID DOCUMENTS FOR DETAILS</t>
  </si>
  <si>
    <t xml:space="preserve"> PR No.: 0620-018 Office: MALAYBALAY CITY WATER DISTRICT MCWD Procurement of Services ABC: 95,524.00 Date: 6/17/2020 Standard Form Number: SF-GOOD-60 Revised on May 24, 2004 Standard Form Title: Request for Quotation Company Name:_______________________ Ad</t>
  </si>
  <si>
    <t xml:space="preserve"> The Local Government Unit – Quinapondan, Eastern Samar, through its Bids &amp; Awards Committee (BAC ), intends to apply the sum of Three Hundred Sixty Eight Thousand Three Hundred Sixty Pesos and 88/100 (Php368,360.88) under the approved Appropriation Ordina</t>
  </si>
  <si>
    <t xml:space="preserve"> Fuel, Oil and Lubricants</t>
  </si>
  <si>
    <t xml:space="preserve"> 5	 roll 	1 1/2" dia SDR Pipes 5	 pcs 	1 1/2" dia. Connector</t>
  </si>
  <si>
    <t xml:space="preserve"> Republic of the Philippines Province of Albay Municipality of Rapu-Rapu Barangay Buhatan INVITATION TO BID FOR THE REHABILITATION OF PATHWAY 1.	The Barangay Local Government Unit of Buhatan, Rapu-Rapu, Albay, through the Budget for the Contract Approved b</t>
  </si>
  <si>
    <t xml:space="preserve"> 1-Year Preventive Maintenance of PBX System and Voice Gateway: 1 Lot SPECIFICATIONS: I. Purpose: The procurement of contract for the preventive maintenance of IPOPHL PBX system and Voice Gateway will ensure that it is in good condition and to provide cont</t>
  </si>
  <si>
    <t xml:space="preserve"> 850 pcs odor eliminator</t>
  </si>
  <si>
    <t xml:space="preserve"> DAR-Laguna Project No. LO-NL-01-2020......40.00 has located at diff municipalities of Laguna</t>
  </si>
  <si>
    <t xml:space="preserve"> 1 set Head Cylinder Assembly TD27 (Surplus) 1 set Overhauling Gasket 7 liters Engine oil 1 piece Oil filter 1 piece Fuel filter</t>
  </si>
  <si>
    <t xml:space="preserve"> Invitation to Bid The LGU of Hindang, Leyte through its Bids and Awards Committee (BAC) invites the PhilGEPS registered suppliers to apply to bid for the Supply and Delivery of Fuel, Oil and Lubricants. Specifications: 4,860 ltrs Diesel Fuel 100 ltrs Gaso</t>
  </si>
  <si>
    <t xml:space="preserve"> CONSTRUCTION OF QUARANTINE FACILITIES AT COMMON TERMINAL SITE</t>
  </si>
  <si>
    <t xml:space="preserve"> See attached RFQ</t>
  </si>
  <si>
    <t xml:space="preserve"> 2 unit Filing Cabinet (4 layers)</t>
  </si>
  <si>
    <t xml:space="preserve"> INVITATION TO BID FOR CIVIL WORKS June 16, 2020 1.	The Department of Public Works and Highways (DPWH), Bukidnon Second District Engineering Office, Pinamaloy, Don Carlos, Bukidnon through its Bids and Awards Committee BAC, invites contractors to submit bi</t>
  </si>
  <si>
    <t xml:space="preserve"> 1 unit. Aircon Inverter 1.5HP Split Type Inverter</t>
  </si>
  <si>
    <t xml:space="preserve"> 7	 bag 	Portland Cement 2	 cu.m 	Washed Sand 4	cu.m	Gravel 1	pc	1/4" x 4" x 8" Marine Plywood 2	pc	2"x2"x10" Coco Lumber 1	kg	3" CW Nails 1	kg	1 1/2" CW Nails 5	set	1 1/2" G.I. Pipe Schedule 40 3	set	1/2" G.I. Pipe Schedule 40 2	kg	Welding Rod 10	set	15 w</t>
  </si>
  <si>
    <t xml:space="preserve"> Okra - 5 Pack Pole Sitao 1 Kg. - 4 Pack Eggplant 50 Grams - 10 Can Squash 250 Grams - 2 Can Ampalaya 100 Frams - 5 Can Tomato 25 Grams - 4 Can Sweet Pepper 25 Grams - 4 Can Cucumber 250 Grams - 6 Pack Patola 250 Grams - 4 Can Upo 50 Grams - 4 Can Baguio B</t>
  </si>
  <si>
    <t xml:space="preserve"> REQUEST FOR QUOTATION The Philippine Statistics Authority (PSA) through its Bids and Awards Committee (BAC) will apply Small Value Procurement as mode of procurement for the Second Level Training on 2020 Census of Population and Housing (2020 CPH) on 20-2</t>
  </si>
  <si>
    <t xml:space="preserve"> ARTICLE AND DESCRIPTION											 ITEM	QTY.	UNIT						CEILING 					UNIT PRICE		TOTAL  								PRICE							 															 				Office: Department of Public Services				PR No. 653							 				Charge to: Other Supplies and Materials Expenses				OBR No. 100-</t>
  </si>
  <si>
    <t xml:space="preserve"> INVITATION TO BID The Philippine Children’s Medical Center, through GAA/HFEP (DOH) CY 2019 intends to apply the sum of Seventeen Million One Hundred Twenty One Thousand Three Hundred Pesos (Php 17,121,300.00) being the Approved Budget for the Contract (AB</t>
  </si>
  <si>
    <t xml:space="preserve"> 1	 Diploma Holder with Gold Seal 							600	pcs 	 Includes: 								 	 Maroon Haspe Book Cover 								 	 9x11.5" 								 	 3 1/2 diameter evsu gold logo 								 	 printed in gold foil 								 	 #25 paste board 								 	 vellum 180gms 								 	 w/ du</t>
  </si>
  <si>
    <t xml:space="preserve"> Construction and Improvement of Drainage System 1. Along Road #4, Barangay Pob. East 2. Gabay St. Cor. Balanay St., Barangay Pob. East 3. Vidal Cube St. Cor. Balanay St., Barangay Pob. East</t>
  </si>
  <si>
    <t xml:space="preserve"> SEE ATTACHED BILL OF QUANTITIES.</t>
  </si>
  <si>
    <t xml:space="preserve"> SSS Bago Branch Diesel Fuel for the Period July to December 2020 for Service Vehicle SHG 322 Specifications:     1,920 LITERS 1. Diesel or approved equal for automotive 2. Euro 4 Compliant Diesel Fuel 3. Clean Air Act of 2014 compliant to sulfur 4. Water </t>
  </si>
  <si>
    <t xml:space="preserve"> Please quote your lowest price on the item(s) listed below, subject to the Terms and Conditions stated below and submit personally your quotation duly signed by your representative not later than 8:30 A.M. of June 24, 2020 in the return envelope attached </t>
  </si>
  <si>
    <t xml:space="preserve"> Number: 	Quantity: 	Unit	PPMP_Code	PPMP_Code1	PPMP_Code2	PPMP_Remarks	Articles	Specifications	StockNo	Unit_Cost	Estimated_Cost 1	417	bot	3068-33836	1	3068-33836-1		ALCOHOL	70% ethyl, 500ml		120.00	50,040.00 2	416	bot	3069-33838	1	3069-33838-1		ALCOHOL	70%</t>
  </si>
  <si>
    <t xml:space="preserve"> 5 pcs. Venetian Blinds</t>
  </si>
  <si>
    <t xml:space="preserve"> 101 bags Certified Rice seeds</t>
  </si>
  <si>
    <t xml:space="preserve"> Republic of the Philippines					 Province of Palawan					 MUNICIPALITY OF EL NIDO					 PR No. Name of Procuring Entity: Municipal Government of El Nido			RFQ No.		 Date:		 Office/End-User: MAO					 Company Name					 Adress:					 Business Permit No.:					 </t>
  </si>
  <si>
    <t xml:space="preserve"> One (1)-unit Air-Conditioning System Inverter Split Type 2.0HP includes delivery and installation</t>
  </si>
  <si>
    <t xml:space="preserve"> Republic of the Philippines Province of Nueva Vizcaya BIDS AND AWARDS COMMITTEE (BAC-Goods) BAC OFFICE, Provincial Capitol, Bayombong, Nueva Vizcaya 	 REQUEST FOR QUOTATION (RFQ) For the Procurement of Office Supplies (2nd t Quarter) For the Provincial Hu</t>
  </si>
  <si>
    <t xml:space="preserve"> Rice</t>
  </si>
  <si>
    <t xml:space="preserve"> various medical supplies</t>
  </si>
  <si>
    <t xml:space="preserve"> various item</t>
  </si>
  <si>
    <t xml:space="preserve"> Generator Set, 5KVA, Diesel, Silent Type</t>
  </si>
  <si>
    <t xml:space="preserve"> Republic of the Philippines DEPARTMENT OF PUBLIC WORKS AND HIGHWAYS REGIONAL OFFICE II Tuguegarao City, Cagayan INVITATION TO BID 1.	The Department of Public Works and Highways – Regional Office No. 02,, through the DPWH FY 2020 GAA intends to apply the A</t>
  </si>
  <si>
    <t xml:space="preserve"> CCTV MONITOR          32" LCD Color          600 TVL Resolution          BNC, HDMI, VGA, AV, USB          Wall mounted with Bracket 65" ANDROID TV SET          Wall mounted with Bracket ***nothing follows*** (For replacement of defective CCTV Monitor and </t>
  </si>
  <si>
    <t xml:space="preserve"> Republic of the Philippines          City of Dumaguete Bids and Awards Committee INVITATION TO BID FOR THE JOB ORDER: EQUIPMENT RENTAL 	The City of Dumaguete thru its BIDS AND AWARDS COMMITTEE (BAC), invites all interested manufacturers, suppliers, dealer</t>
  </si>
  <si>
    <t xml:space="preserve"> Standard Form Number, SF          Revised on May 24, 2004   PR#: 2020-01-06-015                                                                                                              Date : June 10, 2020                                              </t>
  </si>
  <si>
    <t xml:space="preserve"> 1 piece Clutch Master Cylinder 1 piece Fuse 30 Amphere 1 job Labor</t>
  </si>
  <si>
    <t xml:space="preserve"> CONCRETING OF 0.15m thk x 4.0m width x 28 l.m. length  143 bags Portland cement 17 cu.m. washed gravel 9 cu.m. washed sand 12 pcs. 2''x6''x12' form lumber 24 pcs. 12mm dia. Spikes 6 pcs. 10mm dia. X 6.0m RSB 2 kls. ass. cw nail</t>
  </si>
  <si>
    <t xml:space="preserve"> Office Equipment and Furniture</t>
  </si>
  <si>
    <t xml:space="preserve"> Republic of the Philippines Province of Albay Municipality of Rapu-Rapu Barangay Villahermosa INVITATION TO BID FOR THE 20% EDF CY 2020 PROJECTS 1.	The Barangay Local Government Unit of Villahermosa, Rapu-Rapu, Albay, through the Budget for the Contract A</t>
  </si>
  <si>
    <t xml:space="preserve"> EPC: Php 59,060.00 30 box              Mega Box (storage box) 155L 35 pcs              Total Defense Antibacterial Sanitizer 5 in 1 Protection(1000 ml) 35 pcs              Total Defense Antibacterial Sanitizer 5 in 1 Protection Bottle Spray (300 ml) 10 pc</t>
  </si>
  <si>
    <t xml:space="preserve"> concrete pavement 455 m x 4 m x .10 m</t>
  </si>
  <si>
    <t xml:space="preserve"> PROCUREMENT TERMS &amp; CONDITIONS					 1	The Total Approved Budget for the Contract (ABC) is Php 28,800.00				 2	Price quotation should be inclusive of tax obligations.				 3	Delivery period is 10 calendar days from the receipt of NOA &amp; PO.				 4	If awarded </t>
  </si>
  <si>
    <t xml:space="preserve"> The City Government of Koronadal, through its Bids and Awards Committee (BAC) will undertake a Negotiated Procurement – Small Value Procurement for the “ 30 CU.M GRAVEL, LIMESTONE FOR USE ON PUBLIC TERMINAL OPERATIONS “ in accordance with  Section 53.9 of</t>
  </si>
  <si>
    <t xml:space="preserve"> Republic of the Philippines Office of the President National Irrigation Administration SURIGAO DEL SUR IRRIGATION MANAGEMENT OFFICE Tabon-tabon, Tago, Surigao del Sur Telefax. No.: (086) 214-3155 REQUEST FOR QUOTATION June 10, 2020 Date __________________</t>
  </si>
  <si>
    <t xml:space="preserve"> 100	Pack	Liquid dishwashing concentrate, 200 mL/pack, calamansi scent		 60	Bot	Ethyl Alcohol, with moisturizer, 70%, 500ml/bot		 20	Box	Boxed facial tissue, soft, not fibrous, 2-ply		 24	Bot	Liquid Hand Soap with Dispenser, 225 mL/ bot, anti-bacterial, le</t>
  </si>
  <si>
    <t xml:space="preserve"> Standard Form Number, SF          Revised on May 24, 2004   PR#: 2020-01-06-016                                                                                                              Date : June 10, 2020                                              </t>
  </si>
  <si>
    <t xml:space="preserve"> COMPLETION OF 5.0m x 4.5m Multi Purpose Building 30 bags Portland cement 6 cu.m. washed sand 2 sets panel door w/ jamb 70 pcs. 0.60m x 0.60m floor tiles 6 bags tile adhesive 6 bags skim coat 2 pail flat latex paint 2 pail semi gloss latex paint 2 pcs. pai</t>
  </si>
  <si>
    <t xml:space="preserve"> Republic of the Philippines Province of Albay Municipality of Rapu-Rapu Barangay Villahermosa INVITATION TO BID FOR THE REPAIR &amp; MAINTENANCE OF MULTIPURPOSE BLDG. 1.	The Barangay Local Government Unit of Villahermosa, Rapu-Rapu, Albay, through the Budget </t>
  </si>
  <si>
    <t xml:space="preserve"> 16 pcs. Tarpaulin 5ft x 16ft 12 pcs. Tarpaulin 2ft x 5ft</t>
  </si>
  <si>
    <t xml:space="preserve"> Description of works to be done	Quantity	Unit 	CIVIL, MECHANICAL, ELECTRICAL AND SANITARY/PLUMBING WORKS		 	PART A – OTHER GENERAL REQUIREMENTS		 A.1.1(1)	Construction of Combined Field Office. Laboratory and Living Quarters Building for the Engineer	All	</t>
  </si>
  <si>
    <t xml:space="preserve"> REQUEST FOR QUOTATION  1. The PHILIPPINE SCIENCE HIGH SCHOOL – ZAMBOANGA PENINSULA REGION CAMPUS (PSHS-ZRC) intends to apply the sum of Fifty-Eight Thousand Pesos (P 58,000.00) being the Approved Budget for the Contract (ABC) to pay for the contract for t</t>
  </si>
  <si>
    <t xml:space="preserve"> Republic of the Philippines DEPARTMENT OF PUBLIC WORKS AND HIGHWAYS REGIONAL OFFICE II Tuguegarao City, Cagayan  INVITATION TO BID The DPWH Regional Office No. 2 through the Bids and Awards Committee (BAC) invite contractors to bid for the project  :  Con</t>
  </si>
  <si>
    <t xml:space="preserve"> INVITATION TO BID (INFRA) The Municipality of Sibonga through the General Fund intends to apply the sum of Twenty-five million three hundred fifty-six thousand seven hundred forty-nine &amp; 79/100 pesos only (25,356,749.74) being the Approved Budget for the </t>
  </si>
  <si>
    <t xml:space="preserve"> Republic of the Philippines DEPARTMENT OF PUBLIC WORKS AND HIGHWAYS BATANGAS III DISTRICT ENGINEERING OFFICE REGIONAL OFFICE IV-A J. Gonzales St., Barangay 4, Tanauan City NOTICE OF ALTERNATIVE METHODS OF PROCUREMENT Notice is hereby given that this offic</t>
  </si>
  <si>
    <t xml:space="preserve"> REQUEST  FOR  QUOTATION 																							 Small Value Procurement																							 																							 																							 	Company Name 																						 	Address                			:																			 																					 		 	P</t>
  </si>
  <si>
    <t xml:space="preserve"> Wheel Chairs - 12 Units Aluminum Cane - 27 Units</t>
  </si>
  <si>
    <t xml:space="preserve"> 16 PCS WIRELESS 2 MP FULL HD CAMERA BULLET SET WITH ANTENNA 2 TERA HDD 32 PCS. JUNCTION BOX 1 PC. 30 AMPERES POWER SUPPLY 15 PCS. CCTV BRACKET 300 METERS FLATCORD 32 POWER ADAPTER 1 PC. DVR 40 INCH LCD MONITOR</t>
  </si>
  <si>
    <t xml:space="preserve"> Food for Solid Waste Awareness Activity of Barangay Mayao Crossing, Lucena City</t>
  </si>
  <si>
    <t xml:space="preserve"> PROCUREMENT AND DELIVERY OF CATERING SERVICES FOR RECRUITMENT OF FIRE OFFICER 1 (REGULAR QUOTA) FY 2020</t>
  </si>
  <si>
    <t xml:space="preserve"> June 16, 2020 1.	The Provincial Government of Davao del Sur, through its Special Bids and Awards Committee (SBAC), invites all potential bidders/contractors to participate to bid for the following project: Bids received in excess of the ABC shall be autom</t>
  </si>
  <si>
    <t xml:space="preserve"> 24/7 Safety and Security Services for the entire DSSC Campus</t>
  </si>
  <si>
    <t xml:space="preserve"> The Local Government Unit – Quinapondan, Eastern Samar, through its Bids &amp; Awards Committee (BAC ), intends to apply the sum of Two Hundred Sixteen Thousand Seven Hundred Fifty Six pesos (216,756.00) under the approved Annual Budget Appropriation Ordinanc</t>
  </si>
  <si>
    <t xml:space="preserve"> Republic of the Philippines D E P A R T M E N T  O F  H E A L T H PHILIPPINE CHILDREN’ S MEDICAL CENTER Quezon Avenue, Quezon City             588-9900 loc 361/355  Website: www.pcmc.gov.ph email: bac@pcmc.gov.ph INVITATION TO BID The Philippine Children’</t>
  </si>
  <si>
    <t xml:space="preserve"> Please send quotation to apecozone@gmail.com Laptop x 2 units Display   : 13.3-inch (diagonal) LED-backlit Storage   : 128GB PCIe-based flash storage Processor  : 1.8GHz dual-core Intel Core i5 processor, Turbo Boost up to 2.9GHz Memory   : 8GB of 1600MHz</t>
  </si>
  <si>
    <t xml:space="preserve"> Supply and Delivery of Medical Supplies and Equipment 1 bot Diluent for Hematology Machine (Mindray)-16,500.00 1 bot Rinse for Hematology Machine (Mindray)- 16,100.00 1 bot Lyse for Hematology  Machine (Mindray)- 18,000.00 1 bot Probe Cleanser for Hematol</t>
  </si>
  <si>
    <t xml:space="preserve"> 940 m x 4 m x .10 m</t>
  </si>
  <si>
    <t xml:space="preserve"> Department of Education Region VI-Western Visayas Division of Cadiz City Alimatoc Elementary School SMALL VALUE PROCUREMENT FOR THE GRADUATION YEAR 2020 1.	The Alimatoc Elementary School of Cadiz City, through the Schools MOOE Fund CY 2019  intends to app</t>
  </si>
  <si>
    <t xml:space="preserve"> REQUEST  FOR  QUOTATION																							 NEGOTIATED PROCUREMENT 																							 (TWO FAILED QUOTATION - SVP) 																							 																							 																							 	Company Name 																						 	Address               </t>
  </si>
  <si>
    <t xml:space="preserve"> **INVITATION TO APPLY FOR ELIGIBILITY AND TO BID** The BARANGAY ALAWIHAO,, Daet, Camarines Norte through the Bids and Awards Committee (BAC), invites suppliers/manufacturers/distributors/contractors to apply for eligibility to bid for the hereunder projec</t>
  </si>
  <si>
    <t xml:space="preserve"> Republic of the Philippines Province of Nueva Vizcaya BIDS AND AWARDS COMMITTEE (BAC-Goods) BAC OFFICE, Provincial Capitol, Bayombong, Nueva Vizcaya 	 2nd REQUEST FOR QUOTATION (RFQ) For the Procurement of Office Supplies (1st Quarter) For the Sangguiang </t>
  </si>
  <si>
    <t xml:space="preserve"> Standard Form Number: SF-GOOD-60 Revised on May 24, 2004                                                                                                                                                            Republic of the Philippines CARLOS HILADO M</t>
  </si>
  <si>
    <t xml:space="preserve"> Office: City Budget Office 				PR No. 339 and 340		 				Charge to: Capital Outlay				OBR No. 100-2002-00896 and 100-2002-00894		 				ABC:  Php119,350.00						 										 										 				PR No. 339						 1	1	 unit 		Executive Table				Php	7,000.00	40,000.00</t>
  </si>
  <si>
    <t xml:space="preserve"> PLS. SEE ATTACHED PURCHASE REQUISITION, TERMS OF REFERENCE, BID DOCUMENTS FOR DETAILS</t>
  </si>
  <si>
    <t xml:space="preserve"> 1	pc	Filing Tray, 3 Layers, metal	1 2	pcs	Filing Box	2 3	pcs	File Folder, Horizontal, Legal	3 4	pcs	File Folder, Vertical, Legal	3 5	pcs	Clip Board, Long	2 6	reams	paper, size: Legal/subs 24	3 7	reams	Paper, size: A4, subs 24	5 8	pack	Folder, Tagboard, 10</t>
  </si>
  <si>
    <t xml:space="preserve"> PHILIPPINE INFORMATION AGENCY PIA Bldg, Visayas Avenue, Diliman Quezon City REQUEST FOR QUOTATION (RFQ) The Philippine Information Agency (PIA), through its Bids and Awards Committee (BAC), hereby invites all interested suppliers to quote their lowest pri</t>
  </si>
  <si>
    <t xml:space="preserve"> concrete pavement 667 m x 4 m x .10 m</t>
  </si>
  <si>
    <t xml:space="preserve"> Procurement of Storage Battery, engine Oil, Oil Treatment and Vehicle Spare parts with Labor for the Service Vehicle Strada assigned at the Office of Board Member Dionisio Victor A. Balite, New Capitol Building, Tagbilaran City ABC: P117,430.00 Cost of Ca</t>
  </si>
  <si>
    <t xml:space="preserve"> Republic of the Philippines  Province of Cebu Municipality of Boljoon INVITATION TO BID FOR the purchase of T-Shirts 1.	The Municipality of Boljoon, through the 4040-SPA-Dengue Program, BHW &amp; BNS and Support to Nutrition Activities  in the amount of One h</t>
  </si>
  <si>
    <t xml:space="preserve"> PLEASE CALL FOR THE DETAILS OF THE REQUIRED ITEMS</t>
  </si>
  <si>
    <t xml:space="preserve"> 10869 liters DIESEL</t>
  </si>
  <si>
    <t xml:space="preserve"> PROCUREMENT OF THE FOLLOWING SERVICES: CLEARING, DE-SILTING AND REMOVAL OF WASTES OF QUIRIAON CREEK APPROX. 500 LN.M. x 1.0 METER LABOR SERVICES : CAPABILITY OUTPUT (15 DAYS)                               1 FOREMAN                                10 LABORE</t>
  </si>
  <si>
    <t xml:space="preserve"> REQUEST  FOR  QUOTATION (RE-ISSUANCE) 																							 Small Value Procurement																							 																							 																							 	Company Name 																						 	Address                			:																			 													</t>
  </si>
  <si>
    <t xml:space="preserve"> Republic of the Philippines Province of Nueva Vizcaya BIDS AND AWARDS COMMITTEE (BAC-Goods) BAC OFFICE, Provincial Capitol, Bayombong, Nueva Vizcaya 	 REQUEST FOR QUOTATION (RFQ) For the Procurement of Construction Materials  For the GO- Parks Development</t>
  </si>
  <si>
    <t xml:space="preserve"> See attached</t>
  </si>
  <si>
    <t xml:space="preserve"> 310 bags Apo Cement 55 cu.m washed gravel 35 cu.m washed sand 36 pcs. coco lumber 2x8x12 24 pcs. 16mmx6.0m S.B 10 kls. Ord. nail 3'' 15 kls tire wire</t>
  </si>
  <si>
    <t xml:space="preserve"> Standard Form Number, SF          Revised on May 24, 2004   PR#: 2020-01-06-017                                                                                                              Date : June 10, 2020                                              </t>
  </si>
  <si>
    <t xml:space="preserve"> 2 piece Halogen Bulb (12v) 1 piece Belt w Ribbed 1 piece Peanut Bulb 2 piece Wiper Bushing 1 piece 24v Double Contract bulb 1 job Labor</t>
  </si>
  <si>
    <t xml:space="preserve"> For the use of Cebu City Medical Center.</t>
  </si>
  <si>
    <t xml:space="preserve"> PROCUREMENT AND DELIVERY OF OTHER SUPPLIES &amp; MATERIALS FOR ORIENTATION PROGRAM OF NEWLY APPOINTED  OF FIRE OFFICER 1(REGULAR QUOTA) FY 2020</t>
  </si>
  <si>
    <t xml:space="preserve"> 5 roll plastic pipe 1 1/2 (black) 4 roll plastic pipe 1'' (black) 2 roll plastic pipe 1/2 (black) 8 pcs. jetmatic pump 12 pcs. G.I pipe 1 1/4 Sch. 40 6 pcs. T sachet G.I 1' 1/2 10 pcs. T sachet G.I 1'' 10 pcs. T sachet G.I 1 1/2'' 12 pcs. coupling G.I 1 1</t>
  </si>
  <si>
    <t xml:space="preserve"> QTY.	          UNIT OF ISSUE	                                         ITEM DESCRIPTION 		 1	          LOT	                                                    SCAFFOLDING AND FORMWORKS 123	         SQ.M	                                     DISMANTING OF EX</t>
  </si>
  <si>
    <t xml:space="preserve"> concrete pavement 758 m x 4 m x .10 m</t>
  </si>
  <si>
    <t xml:space="preserve"> 75 tanks Medical Oxygen Refill 1800 Lbs PSI (Big) 40lbs. 25 tanks Medical Oxygen Refill 1500 Lbs PSI (Small) 18lbs.</t>
  </si>
  <si>
    <t xml:space="preserve"> Catering Services for June 22-26</t>
  </si>
  <si>
    <t xml:space="preserve"> A. FURNITURE AND FIXTURES 1. 35 units Customized Tables Shape: Trapezoid Size: Height - 29" Main Base - 29" Sec. Base - 24" Sides - 20" Materials: Hardwood and wood laminates with one open pull out layer under Wheels: Roller caster 2. 35 units Chairs Stak</t>
  </si>
  <si>
    <t xml:space="preserve"> Procurement , delivery and Installation of air-conditioning unit</t>
  </si>
  <si>
    <t xml:space="preserve"> Republic of the Philippines Province of Albay Municipality of Rapu-Rapu Barangay Batan INVITATION TO BID FOR THE 20% EDF CY 2020 1.	The Barangay Local Government Unit of Batan, Rapu-Rapu, Albay, through the Budget for the Contract Approved by the Sangguni</t>
  </si>
  <si>
    <t xml:space="preserve"> Line Upgrading 3 Phase Load.</t>
  </si>
  <si>
    <t xml:space="preserve"> The DPWH-Ilocos Norte Second District Engineering Office, through its Bids and Awards Committee (BAC), invites contractors to submit bids for the Contract: Procurement ID/Contract ID: 20AB0121 Contract Name/Location: REPAIR/ REHABILITATION OF SLOPE PROTEC</t>
  </si>
  <si>
    <t xml:space="preserve"> Procurement and delivery of materials for the Construction of waiting shed bldg/Tanod Outpost</t>
  </si>
  <si>
    <t xml:space="preserve"> REQUEST  FOR  QUOTATION 																							 NEGOTIATED PROCUREMENT 																							 (TWO FAILED QUOTATIO - SVP) 																							 																							 																							 	Company Name 																						 	Address               </t>
  </si>
  <si>
    <t xml:space="preserve"> 1. 2020 CPH Enumerators Manual (384 pages inside, Cover: C2S 140 colored Print, Inside: White newsprint black print, Size: A4) - 997 copies 2. 2020 CPH Supervisors Manual (152 pages inside, Cover: C2S 140 colored Print, Inside: White newsprint black print</t>
  </si>
  <si>
    <t xml:space="preserve"> 455 m x 4 m x .10 m</t>
  </si>
  <si>
    <t xml:space="preserve"> PURCHASE &amp; DELIVERY OF VEHICLE PARTS &amp; ACCESSORIES FOR THE REPAIR &amp; MAINTENANCE OF VARIOUS MUNICIPAL VEHICLES</t>
  </si>
  <si>
    <t xml:space="preserve"> Ambulance Vehicles Lights &amp; Siren</t>
  </si>
  <si>
    <t xml:space="preserve"> Procurement of Meals and Snacks</t>
  </si>
  <si>
    <t xml:space="preserve"> 1. Name of Project: PROCUREMENT OF PARTS AND ACCESSORIES FOR STRADA 4M41 TRITON 3.2 PICK-UP 2. Model: 2018 STRADA 4M41 TRITON 3.2 MITSUBISHI PICK-UP  3. ABC: Php 74,000.00 4. Source of Funds: Division MOOE 5. Location: DepEd Division of Davao Oriental, Go</t>
  </si>
  <si>
    <t xml:space="preserve"> Republic of the Philippines Province of Nueva Vizcaya BIDS AND AWARDS COMMITTEE (BAC-Goods) BAC OFFICE, Provincial Capitol, Bayombong, Nueva Vizcaya 2nd Failure of Bidding  	 2nd REQUEST FOR QUOTATION (RFQ) For the Procurement of Vehicle Parts  For the Go</t>
  </si>
  <si>
    <t xml:space="preserve"> The Department of Agriculture-RFO 3, invites interested suppliers to submit quotations/proposals for the hereunder requirement, to wit: 1	lot	"Provision of Services for Organic Third Party Certification  of Two (2) Farms"	 		Scopes of Work:	 		1. Conduct </t>
  </si>
  <si>
    <t xml:space="preserve"> Please download attached Request for Quotation (RFQ) SPECIFICATIONS: 1. Power: minimum: 5.6 kW, Gasoline Engine, 4 stroke 2. Output Capacity: minimum of 3,700 kg/hr for shelled (including time of removing and replacing the sack of shelled corn from and to</t>
  </si>
  <si>
    <t xml:space="preserve"> Procurement of Rice</t>
  </si>
  <si>
    <t xml:space="preserve"> 1 unit Bassinet 3 unit Goosneck/Examining Light 2 set Spine Board with Straps</t>
  </si>
  <si>
    <t xml:space="preserve"> The City Government of Koronadal, through its Bids and Awards Committee (BAC) will undertake a Negotiated Procurement – Small Value Procurement for the “ REPRODUCTION OF CDC BASED EXECUTIVE &amp; LEGISLATIVE AGENDA 2019-2020 “ in accordance with  Section 53.9</t>
  </si>
  <si>
    <t xml:space="preserve"> PROCUREMENT AND DELIVERY OF OFFICE SUPPLIES  FOR ORIENTATION PROGRAM OF NEWLY APPOINTED  OF FIRE OFFICER 1(REGULAR QUOTA) FY 2020</t>
  </si>
  <si>
    <t xml:space="preserve"> Pag-IBIG FUND Tuguegarao Branch Office Editha Tuddao Bldg., Balzain Road, Tuguegarao City, Cagayan REQUEST FOR QUOTATION SUPPLY AND DELIVERY OF INKS WITH FREEUSE OF SIXTEEN (16) UNITS BRAND NEW 3-IN-1 PRINTERS  The Pag-IBIG Fund (HDMF) is inviting Supplie</t>
  </si>
  <si>
    <t xml:space="preserve"> Construction of Covered Court /Evacuation Center in Barangay San Juan, Alcala, Pangasinan</t>
  </si>
  <si>
    <t xml:space="preserve"> Republic of the Philippines Province of Iloilo Municipality of Lambunao Office of the Bids &amp; Awards Committee INVITATION TO BID/ REQUEST FOR PRICE QUOTATION Name of Project: Purchase of Clinical Equipment for the use of Lambunao MHO-Laboratory Location: L</t>
  </si>
  <si>
    <t xml:space="preserve"> Republic of the Philippines Province of Albay Municipality of Rapu-Rapu Barangay Batan INVITATION TO BID FOR THE REHABILITATION OF WATER SYSTEM 1.	The Barangay Local Government Unit of Batan, Rapu-Rapu, Albay, through the Budget for the Contract Approved </t>
  </si>
  <si>
    <t xml:space="preserve"> Procurement and delivery of materials for the Construction and Installation of Division Walls or Isolation Rooms</t>
  </si>
  <si>
    <t xml:space="preserve"> DESCRIPTION : PAINTING OF STAGE (REAR)                         CONCRETE POST                         BEAM</t>
  </si>
  <si>
    <t xml:space="preserve"> PLS. SEE ATTACHED PURCHASE REQUISITION, TERMS OF REFERENCE, &amp; BID DOCUMENTS FOR DETAILS</t>
  </si>
  <si>
    <t xml:space="preserve"> INVITATION TO BID FOR DRILLING OF ONE (1) EXPLORATORY/PRODUCTION WELL AT BRGY. RAFAELA BARRERA (PROVISION OF WATER SUPPLY TO NHA PERMANENT RESETTLEMENT SITES HOUSING PROGRAM IN YOLANDA AFFECTED AREAS) FOR SAGAY WATER DISTRICT 1. The SAGAY WATER DISTRICT (</t>
  </si>
  <si>
    <t xml:space="preserve"> PHILIPPINE TEXTILE RESEARCH INSTITUTE								 General Santos Avenue, Bicutan, Taguig City								 Telephone No. 8372071 Local 2373 &amp; 2366; Telefax No. 8370744								 								 Request for Quotation								 								 							Date	16-Jun-2020 							Quotation</t>
  </si>
  <si>
    <t xml:space="preserve"> 1 Brand New Unit 3 Channel ECG Machine Supplies, Consumables</t>
  </si>
  <si>
    <t xml:space="preserve"> INVITATION TO BID PROCUREMENT OF NFA - REGION I 2020 PESTICIDES REQUIREMENT  (LEFT-OUT LOTS) (REBIDDING) Project Reference No.: NFA-RO1-RBAC-2020-06-016 1.	The NATIONAL FOOD AUTHORITY (NFA) Regional Office 1 intends to apply the sum of PESOS: ONE MILLION </t>
  </si>
  <si>
    <t xml:space="preserve"> The City Government of San Pedro, Laguna invites interested parties to quote for the following item/s as per request GALIC: XRAY UNIT 4 gal Xray Fixer Solution 6 gal Xray Developer Solution	 Forms can be obtained from the BAC Secretariat starting June 17,</t>
  </si>
  <si>
    <t xml:space="preserve"> 100 pcs, Bed Sheet fitted with Hospital Logo - color: Green - size: 29"W x 69"H (ER) with serial no. at edge of the linen 800 pcs, Bed Sheet, color White, size: 72cm W x 108cm H without joint after hemming - made of 35% cotton and 65% polyester - LPGH &amp;ST</t>
  </si>
  <si>
    <t xml:space="preserve"> Republic of the Philippines  PROVINCIAL GOVERNMENT OF EASTERN SAMAR Provincial Capitol, 6800 Borongan City  E-mail Address: esamar.bac@gmail.com REQUEST FOR QUOTATION RFQ No. 2020-06-272                                                                     </t>
  </si>
  <si>
    <t xml:space="preserve"> 1) 8 pcs. - Wheel Chair (adult) 2) 6 pcs. - Wheel Chair (Pedia) 3) 1 pc. - Tri cane For the use of  the CSWDO, City of Talisay</t>
  </si>
  <si>
    <t xml:space="preserve"> Corazon Locsin Montelibano Memorial Regional Hospital, through its Bids and Awards Committee, intends to procure FUEL FOR THE MOBILE BLOOD DONATION, which will be undertaken in accordance with Section 53.9 of the Revised Implementing Rules and Regulations</t>
  </si>
  <si>
    <t xml:space="preserve"> 42	 bag 	Portland Cement</t>
  </si>
  <si>
    <t xml:space="preserve"> Procurement of Five (5) Pcs Tire Outer &amp; Sixteen (16) Line Items</t>
  </si>
  <si>
    <t xml:space="preserve"> Procurement of Cloth &amp; Thread						 Purchase Requested by the Gender &amp; Development Office, Tabaco City						 						 To Interested Suppliers, Manufacturers and Distributors,						 						 Please quote your lowest price/s on the lot or item/s  below, subject</t>
  </si>
  <si>
    <t xml:space="preserve"> The City Government of Koronadal, through its Bids and Awards Committee (BAC) will undertake a Negotiated Procurement – Small Value Procurement for the “ CERTIFIED RICE SEEDS AS SUPPORT TO RICE FARMERS &amp; SEED GROWERS OF THE CITY “ in accordance with  Sect</t>
  </si>
  <si>
    <t xml:space="preserve"> 1.	The Carmona Water District hereinafter referred to as the “Purchaser” now requests for submission of price quotation for the procurement of the aforesaid item described in the Technical Specifications. 2.	A set of technical specifications are provided </t>
  </si>
  <si>
    <t xml:space="preserve"> PROCUREMENT AND DELIVERY OF PRINTING SERVICES FOR RECRUITMENT OF FIRE OFFICER 1(REGULAR QUOTA) FY 2020</t>
  </si>
  <si>
    <t xml:space="preserve"> Corazon Locsin Montelibano Memorial Regional Hospital, through its Bids and Awards Committee, intends to procure OFFICE SUPPLIES AND CONSUMABLES (PR#20-01-70098), which will be undertaken in accordance with Section 53.9 of the Revised Implementing Rules a</t>
  </si>
  <si>
    <t xml:space="preserve"> Construction Project</t>
  </si>
  <si>
    <t xml:space="preserve"> 10 pieces Tires 195/70 R15 8PR</t>
  </si>
  <si>
    <t xml:space="preserve"> REQUEST FOR QUOTATION Please quote your lowest price on the item/s listed below, subject to the conditions also listed below, stating the shortest time of delivery and submit your quotation duly signed by your representative not later than 5:00 P.M. of Ju</t>
  </si>
  <si>
    <t xml:space="preserve"> PROCUREMENT OF THE FOLLOWING SERVICES: CLEARING, DE-SILTING AND REMOVAL OF WASTES OF AKAN CREEK APPROX. 500 LN.M. x 2.50 METERS LABOR SERVICES : CAPABILITY OUTPUT (15 DAYS)                               1 FOREMAN                                14 LABORERS</t>
  </si>
  <si>
    <t xml:space="preserve"> The Department of Agriculture-RFO 3, invites interested suppliers to submit quotations/proposals for the hereunder requirement, to wit: 		Livestock/Animal Feeds	 5	bags	Rabbit Pellet, 50 kg/bag	 10	bags	Cattle Range Feed, 50 kg/bag	 10	bags	Rice Bran, D1,</t>
  </si>
  <si>
    <t xml:space="preserve"> Republic of the Philippines Department of Health ZAMBOANGA PENINSULA-CENTER FOR HEALTH DEVELOPMENT  Upper Calarian, Zamboanga City 7000 Phone: (062) 983-0314, (062) 983-0146, Fax: (062) 991-3380 Email: dohchdzp@yahoo.com, Web: www.doh.gov.ph Standard Form</t>
  </si>
  <si>
    <t xml:space="preserve"> June 16, 2020     REQUEST FOR QUOTATION     TO ALL INTERESTED SUPPLIERS:     The PHILIPPINE INSTITUTE OF VOLCANOLOGY AND SEISMOLOGY (PHIVOLCS) hereby invites all interested suppliers to quote their lowest price on the item/s listed below, subject to the c</t>
  </si>
  <si>
    <t xml:space="preserve"> concrete pavement 1 km LM</t>
  </si>
  <si>
    <t xml:space="preserve"> Hiring of 1 Administrative Consultant to render the following services: 1) Advisory &amp; review services     - services as appearances before commissions, boards or other judicial bodies to give evidence or        otherwise submit professional opinions     -</t>
  </si>
  <si>
    <t xml:space="preserve"> Food Stuff</t>
  </si>
  <si>
    <t xml:space="preserve"> To be installed at the various government buildings under the City Government of Antipolo as part of the continuous endeavor to control and/or contain the spread of Covid-19. 10 pcs. automatic soap dispenser (Touch Less) 50 pcs. Foot Bath Tray with Coil M</t>
  </si>
  <si>
    <t xml:space="preserve"> Republic of the Philippines Province of Nueva Vizcaya BIDS AND AWARDS COMMITTEE (BAC-Goods) BAC OFFICE, Provincial Capitol, Bayombong, Nueva Vizcaya 	 2ND REQUEST FOR QUOTATION (RFQ)  For the Procurement of 60 pax Meals &amp; Snacks, etc.  For the Governor’s </t>
  </si>
  <si>
    <t xml:space="preserve"> The City Government of Koronadal, through its Bids and Awards Committee (BAC) will undertake a Negotiated Procurement – Small Value Procurement for the “ “ in accordance with  Section 53.9 of the 2016 Implementing Rules and Regulations of Republic Act No.</t>
  </si>
  <si>
    <t xml:space="preserve"> INSTRUCTIONS TO SUPPLIERS: Suppliers are required to submit its quotation using the prescribed form (see Page 4) in the attached Terms of Reference. NOTE: Suppliers who do not comply with any of the requirements, including the use of the prescribed forms </t>
  </si>
  <si>
    <t xml:space="preserve"> Procurement and delivery of materials for the Construction of concrete Bleachers located at Sitio MAngtud, Brgy. Agtatacay Norte, Sapian, Capiz</t>
  </si>
  <si>
    <t xml:space="preserve"> 3 unit Ladder w/ 24 steps (Fiberglass)</t>
  </si>
  <si>
    <t xml:space="preserve"> Procurement and delivery of materials for the Construction of Riprap located at Sitio Bahay, Brgy Agtatacay Sur, Sapian, Capiz.</t>
  </si>
  <si>
    <t xml:space="preserve"> General Cleaning of Air-conditioning Units (2nd Quarter) Window Type (36 units) Wall Mounted Split Type (7 units) 3.0 Tonner Floor Mounted Split Type (4 units)</t>
  </si>
  <si>
    <t xml:space="preserve"> 1) 1 pc. -  Aircon Three (3) tonner  with installation for the use of the Local School Board  (LSB), City of Talisay</t>
  </si>
  <si>
    <t xml:space="preserve"> SUPPLY AND DELIVERY OF OFFICE EQUIPMENT, FURNITURE AND FIXTURES					 3	PC	OFFICE TABLE			 3	PC	OFFICE CHAIRS			 1	PC	MIRROR (WHOLE BODY)			 2	PC	WALL CLOCK			 1	PC	MOBILE DRAWER			 3	PC	COMPUTER TABLE			 1	PC	STEEL CABINET (4 LAYER)			 1	PC	GAS STOVE (2 B</t>
  </si>
  <si>
    <t xml:space="preserve"> Procurement of Thirty (30) Pcs Compass &amp; Two (2) Line Items</t>
  </si>
  <si>
    <t xml:space="preserve"> Please download attached Request for Quotation (RFQ) SPECIFICATIONS: Drive System: Auto Centrifugal Clutch: Spiral Bevel gear Reduction Ratio: 14:19 Related Blade Speed (rpm): Minimum, 5,200 Standard Blades: Minimum Metal Blade: Ø 225T x 3T: Ø255T x 2T Si</t>
  </si>
  <si>
    <t xml:space="preserve"> Please download attached Request for Quotation A. SPECIFICATIONS 1. Sealing Size: 400*10/2 (mm), minimum 2. Single Chamber 3. Voltage: 220Volts/60Hz 4. Motor Power: Minimum 750 watts, single phase 5. Heat Sealing Power: Minimum 750 watts, single phase 6. </t>
  </si>
  <si>
    <t xml:space="preserve"> The City Government of Koronadal, through its Bids and Awards Committee (BAC) will undertake a Negotiated Procurement – Small Value Procurement for the “ 1 LOT SUPPLY &amp; DELIVERY OF FURNITURE &amp; FIXTURES FOR CITY PNP USE “ in accordance with  Section 53.9 o</t>
  </si>
  <si>
    <t xml:space="preserve"> The Department of Agriculture-RFO 3, invites interested suppliers to submit quotations/proposals for the hereunder requirement, to wit: 		LOT 1 - P42,180.00	 		Laboratory Supplies	 10	pc	Forceps (Stainless steel; 5.5" Thumb Dressing Forceps)	 2	box	Filter</t>
  </si>
  <si>
    <t xml:space="preserve"> PR#20-06-0316 ABC 161,640.00 Note: Please see attached specifications at the Associated Components. INSTRUCTIONS/ NOTES TO BIDDERS: 1.	Please indicate the following information in your bid: a) Company Name, Address, Tel/Fax nos.; b)PhilGEPS Registration C</t>
  </si>
  <si>
    <t xml:space="preserve"> 1 job Crank Shaft st. Regrind 1 job Cylinder Head re - surfing 1 job Cylinder Head Valve grinding 1 job Cylinder Head Valve guide Replace 1 job Cylinder Head Valve ring Fab. 1 job Cylinder Head Valve ring Replace 1 job Engine Block Bearing Fittings 1 job </t>
  </si>
  <si>
    <t xml:space="preserve"> For the use of Cebu City Medical Center for patients.</t>
  </si>
  <si>
    <t xml:space="preserve"> Expanded NBS Specimen Collection Kit  Inclusion: Filter Card, Lancet, Transmittal Form, NBS Pink Brochure Extra NBS Poster Additional Drying Rack</t>
  </si>
  <si>
    <t xml:space="preserve"> 1	INTERNET SERVICE (For the Office of the Secretary)		12	month 	 (Please see attached technical specifications)			 				 	(Please write Total amount in words) Total amount    			 				 	Please submit Omnibus Sworn Statement			 				 Any erasure, correction o</t>
  </si>
  <si>
    <t xml:space="preserve"> LOT 1									 1	Unleaded Gasoline							1	lot	17,700.00 										 	Terms &amp; Conditions:									 	1. The Supplier shall Start  to Serve within Three ( 3) days upon									 	receipt of the advice by the Project Engineer Until the Project									 	is Com</t>
  </si>
  <si>
    <t xml:space="preserve"> Republic of the Philippines Province of Nueva Vizcaya BIDS AND AWARDS COMMITTEE (BAC-Goods) BAC OFFICE, Provincial Capitol, Bayombong, Nueva Vizcaya 2nd Failure of Bidding  	 2nd REQUEST FOR QUOTATION (RFQ) For the Procurement of Vehicle Parts (II) (Heavy</t>
  </si>
  <si>
    <t xml:space="preserve"> Please download attached Request for Quotation (RFQ) SPECIFICATIONS: I. Performance    1. Peak Transmission Efficiency (Axle-Rotary Type): 80%, minimum  II. Safety 1. Noise level: 100 dB (A), maximum for 6 hours continuous operation For operator’s safety </t>
  </si>
  <si>
    <t xml:space="preserve"> Request for Quotation for the Procurement of Diesel and Gasoline to be used in the Establishment of 10 hectares Rice Seed Production Project at DA-BES, Gabi, Ubay, Bohol for Cropping Season Jun-Dec. 2020  1.	The Department of Agriculture-Regional Field Of</t>
  </si>
  <si>
    <t xml:space="preserve"> ITEM.	QTY	UNIT OF	DESCRIPTION NO.		ISSUE	 			 1	48	units	Printer 2	997	reams	Bond Paper A4  3	56	set	Ink(black,cyan,magenta,yellow)</t>
  </si>
  <si>
    <t xml:space="preserve"> SUPPLY AND DELIVERY OF OFFICE EQUIPMENT, (I.T. EQUIPMENT)					 2	SET	COMPUTER DESKTOP with specs:			 		AMD RYZEN 5 3RD GEN 3400 3.7 GHZ GIGABYTE H310MMBOARD ,  GTX 1060 6GB, 8GB DDR4 , 128 GB SSD, 1 TB HHD+ SATA DISK  ATX CASE, 550 WATTS  POWER SUPPLY, 23</t>
  </si>
  <si>
    <t xml:space="preserve"> Download attached Request for Quotation (RFQ) and submit to: Anselmo Baldoza Maño City Procurement Officer City Government of Naga Trunk line (054) 2052980 local# 1070 Email: bac@naga.gov.ph/ cpo@naga.gov.ph 1. PhilGEPS Closing Date/Time will be basis for</t>
  </si>
  <si>
    <t xml:space="preserve"> Hands-Free Handwashing Facility 10 units For further details and concern please contact JERIC C. ABRAHAM (BAC SECRETARIAT) on mobile number +63 945 573 9594 or email address at jikoyj@gmail.com. Thanks!</t>
  </si>
  <si>
    <t xml:space="preserve"> TULUAN ELEMENTARY SCHOOL MOOE MARCH AND APRIL 2020</t>
  </si>
  <si>
    <t xml:space="preserve"> REQUEST FOR QUOTATION NOTICE 1. The PHILIPPINE SCIENCE HIGH SCHOOL – ZAMBOANGA PENINSULA REGION CAMPUS (PSHS-ZRC) intends to apply the sum of Eighty Two Thousand Five Hundred Twelve Pesos (P 82,512.00) being the Approved Budget for the Contract (ABC) to p</t>
  </si>
  <si>
    <t xml:space="preserve"> I. Lay-out/Staking - 1.00 lot II. Excavation / Back fill - 75.60 cu.m III. Steel Reinforcement - 10,937.63 kgs. IV. Concrete Pouring - 154.07 cu.m V. G.I Pipe Structure Frames - 1.00 lot VI. Roofing Works - 777.23 sq.m VII. Electrical Works - 76.00 In.m V</t>
  </si>
  <si>
    <t xml:space="preserve"> 1 unit Tractor Brandnew with complete accessories/with warranty 75Hp 3 Cyl.Turbocharged,  Power steering ,Rotary Inj. Pump,12.4x 24 front tire; 18.4x 30 rear tire  Accessories: 1 unit universal Heavy Duty Disc Plow  1 unit universal Hydraulic disc plow 1 </t>
  </si>
  <si>
    <t xml:space="preserve"> For the use of ACHS-Cabading Dialysis Center. 1,400 pack Wound Dressing Pack (Disposable) consisting of: 1 pc. tray 1 pc. pouch 1 pc. non-woven tray cover 1 pc. sterile drape 1 pc. disposable forcep 1 pc. absorbent drape 2 pcs. cotton buds 5 pcs. cotton b</t>
  </si>
  <si>
    <t xml:space="preserve"> 1	The Municipality of Pola, Province of Oriental Mindoro through its 20% Municipal Development  Fund  (Continuing Appropriations) intends to apply the sum of  Three Hundred  Thousand  pesos  only  (Php300,000.00) being the Approved Budget for the Contract</t>
  </si>
  <si>
    <t xml:space="preserve"> The City Government of Koronadal, through its Bids and Awards Committee (BAC) will undertake a Negotiated Procurement – Small Value Procurement for the “ CONSTRUCTION MATERIALS FOR USE ON MARKET OPERATIONS “ in accordance with  Section 53.9 of the 2016 Im</t>
  </si>
  <si>
    <t xml:space="preserve"> INVITATION TO BID Date: June 16, 2020 1.	The Provincial Government of Davao del Sur, through its Bids and Awards Committee (BAC), invites all potential bidders/suppliers to apply to bid for the following goods. Bids received in excess of the ABC shall be </t>
  </si>
  <si>
    <t xml:space="preserve"> Republic of the Philippines PROVINCE OF ZAMBOANGA SIBUGAY Municipality of Roseller T. Lim    INVITATION TO BID 						June 15, 2020 	 To All Interested Bidders: Notice is hereby served that sealed bid be received for public bidding under the harmonious pro</t>
  </si>
  <si>
    <t xml:space="preserve"> Procurement of Fuel and Oil</t>
  </si>
  <si>
    <t xml:space="preserve"> Republic of the Philippines Province of Albay Municipality of Rapu-Rapu Barangay Bagaobawan INVITATION TO BID FOR THE 20% EDF CY 2020 PROJECTS 1.	The Barangay Local Government Unit of Bagaobawan, Rapu-Rapu, Albay, through the Budget for the Contract Appro</t>
  </si>
  <si>
    <t xml:space="preserve"> For negotiated procurement as per Sec. 53.9 of Revised IRR or small value procurement: The Provincial Government of Laguna through its Bids and Awards Committee (BAC) invites suppliers/manufacturers/distributors/contractors to submit quotations for the he</t>
  </si>
  <si>
    <t xml:space="preserve"> PLS. SEE ATTACHED PURCHASE REQUISITION , TERMS OF REFERENCE &amp; BID DOCUMENTS FOR DETAILS</t>
  </si>
  <si>
    <t xml:space="preserve"> The Provincial Government of Laguna through its Bids and Awards Committee (BAC) invites suppliers/manufacturers/distributors/contractors to submit quotations for the hereunder project:  Name of Project	:	IT Equipment for LPH-Nagcarlan District Hospital Lo</t>
  </si>
  <si>
    <t xml:space="preserve"> 1.	Water Meter ½ - 100 Pieces 2.	Brass Replacement Piece ½ - 100 Pieces 3.	Brass Replacement Piece 1 -40 Pieces 4.	Magnetic Safety Valve ½ - 50 Pieces 5.	Brass Ball Valve w/ Lock wing ½ - 100 Pieces 6.	P.E. Tubing ½ - 3 Rolls 7.	P.E. Tubing ¾ - 6 Rolls 8.</t>
  </si>
  <si>
    <t xml:space="preserve"> Kamatis (100g/ tin) ----- 6 Tin Talong (100g/ tin) ----- 6 Tin Siling Panigang (100g/ tin) ----- 6 Tin Siling Maanghang (100g/ tin) ----- 6 Tin Ampalaya (250g/ tin) ----- 6 Tin Okra (1kg/ bag) -----6 Bags Pole Sitao (1kg/ bag) ----- 6 Bags Bush Sitao (1kg</t>
  </si>
  <si>
    <t xml:space="preserve"> Supply of the following: 1) Liquid Nitrogen Tank  (Mother Tank)            -    1  unit 2) Liquid Nitrogen Tank  (Field/Baby Tank)       -    1  unit 3) Refill of Liquid Nitrogen Tank                       -    5 times</t>
  </si>
  <si>
    <t xml:space="preserve"> REGION XII  Province of Cotabato  Municipality of Midsayap  BIDS &amp; AWARDS COMMITTEE  Tel. Nos. (064) 229-8018; 229-8650; 229-8450    INVITATION TO BID FOR   2020-070, SUPPLY AND DELIVERY OF BUSINESS REGISTRATION PLATE AT LGU MIDSAYAP, COTABATO    1.	The M</t>
  </si>
  <si>
    <t xml:space="preserve"> LOT 1									 1	Unleaded Gasoline							1	lot	50,678.78 										 	Terms &amp; Conditions:									 	1. The Supplier shall Start  to Serve within Three ( 3) days upon									 	receipt of the advice by the Project Engineer Until the Project									 	is Com</t>
  </si>
  <si>
    <t xml:space="preserve"> Please download attached Request for Quotation (RFQ) A. SPECIFICATIONS Platform size (mm): 800x1200, minimum Capacity (kg): 1000, maximum Scale interval (g): 500 Rod Material Quality: Copper Column Form: round/square pillar</t>
  </si>
  <si>
    <t xml:space="preserve"> The Provincial Government of Laguna through its Bids and Awards Committee (BAC) invites suppliers/manufacturers/distributors/contractors to submit quotations for the hereunder project:  Name of Project	:	IT Equipment and Mobile Sound System for G.O. Sport</t>
  </si>
  <si>
    <t xml:space="preserve"> Nylon # 2 (30meters)- 12 roll CWN # 3 - 36 kgs CWN # 4 - 42 kgs Portland Cement - 1764 bags</t>
  </si>
  <si>
    <t xml:space="preserve"> For the use of City Gen. Services Office. Honda Civic SHU-703 1 assy. tensioner belt 2 pcs. tail light bulb (double) 2 pcs. tail light bulb (single) 1 pc. water by pass tube 1 set overhauling gasket 2 pcs. silicone gasket 1 pc. oil filter 1 assy. cervo 1 </t>
  </si>
  <si>
    <t xml:space="preserve"> 13 Barangay Cultural Heritageand Geographic Video Presentation</t>
  </si>
  <si>
    <t xml:space="preserve"> Item No. 	Item Description					QTY.	Unit	Unit Price	Total Price 1	Communicaiton Equipment					11	units</t>
  </si>
  <si>
    <t xml:space="preserve"> 7 Liters Engine Oil 1 piece Oil Filter 1 piece Fuel Filter 1 piece Aircon Filter 3 gal Gear Oil sae90 2 gal Gear Oil 90 mobil 1 btl. Engine Flush 120ml 1 btl. Engine Treatment 240ml 1 piece Antibacterial 1 piece Brake Pad 1 piece Air Filter 1 piece Radiat</t>
  </si>
  <si>
    <t xml:space="preserve"> Contract ID: 20PL0118 Contract Name: Improvement of Roadside Structures and Shoulder along Mt. Province-Boundary-Calanan-Pinukpuk-Abbut Road (Cagaluan-Calanan Section) Contract Location: K0483+790-K0483+870, Tabuk City, Kalinga Brief Description: Construc</t>
  </si>
  <si>
    <t xml:space="preserve"> Republic of the Philippines Province of Nueva Vizcaya BIDS AND AWARDS COMMITTEE (BAC-Goods) BAC OFFICE, Provincial Capitol, Bayombong, Nueva Vizcaya 2nd Failure of Bidding  	 2nd REQUEST FOR QUOTATION (RFQ) For the Procurement of Vehicle Parts   For the S</t>
  </si>
  <si>
    <t xml:space="preserve"> 1.	The Local Government Unit of Las Nieves, through the Budget for the Contract approved by the Sanggunian (20% DF) intends to apply the sum of one million and five hundred thousand pesos only (Php 1,500,000.00), being the Approved Budget for the Contract</t>
  </si>
  <si>
    <t xml:space="preserve"> 1 Lot Expansion of Material Recovery Facility</t>
  </si>
  <si>
    <t xml:space="preserve"> INVITATION TO BID The Municipality of Candoni, through its Bids and Awards Committee (BAC), invites suppliers/manufacturers/distributor/contractors to apply for eligibility and to bid for the hereunder project: Name of Project	:  PROCUREMENT OF ONE UNIT E</t>
  </si>
  <si>
    <t xml:space="preserve"> 1 Lot Purchase and Delivery of 11 units of Laptop for the Sangguniang Bayan Office</t>
  </si>
  <si>
    <t xml:space="preserve"> CENTRAL OFFICE BIDS AND AWARDS COMMITTEE (COBAC) INVITATION TO BID PROCUREMENT OF DATABASE SERVER COBAC IB NO. 002 (G) S. 2020  1.	The Department of the Interior and Local Government (DILG), through the General Appropriations Act FY 2020, intends to apply</t>
  </si>
  <si>
    <t xml:space="preserve"> Line Bidding.... 72	 pcs 	 beef cubes 10 g 	 1,440.00  50	 can 	 beef loaf 260 g 	 2,500.00  50	 box 	 cornstarch 1 kl 	 5,000.00  8	 kl 	 black pepper 	 6,400.00  150	 can 	 pineapple sliced 432g 	 11,250.00  40	 kl 	 tomato sauce 1 kl 	 4,000.00  360	 p</t>
  </si>
  <si>
    <t xml:space="preserve"> 2 SETS GSM CONTROLLER</t>
  </si>
  <si>
    <t xml:space="preserve"> 3 set 60w solar lamp streetlights w/ 3-4 mtr monople</t>
  </si>
  <si>
    <t xml:space="preserve"> Repair and Rewiring of Electrical Supply of CTERMS and STABIC Buildings commissioning of the generator set, damaged due to 2019 earthquake</t>
  </si>
  <si>
    <t xml:space="preserve"> Request for Quotation (RFQ)</t>
  </si>
  <si>
    <t xml:space="preserve"> various supplies and materials</t>
  </si>
  <si>
    <t xml:space="preserve"> The Local Government Unit – Quinapondan, Eastern Samar, through its Bids &amp; Awards Committee (BAC ), intends to apply the sum of FOUR HUNDRED TWENTY NINE THOUSAND TWO HUNDRED FIFTY FOUR PESOS AND 63/100 (P429,254.63) under Annual Budget Appropriation Ordin</t>
  </si>
  <si>
    <t xml:space="preserve"> Republic of the Philippines DEPARTMENT OF PUBLIC WORKS AND HIGHWAYS LAGUNA II DISTRICT ENGINEERING OFFICE REGIONAL OFFICE IV-A Brgy. Bambang, Los Baños, Laguna Invitation to Bid No. 2020 - 10 The Department of Public Works and Highways- Laguna II District</t>
  </si>
  <si>
    <t xml:space="preserve"> Republic of the Philippines Province of Davao del Sur MUNICIPALITY OF STA.CRUZ INVITATION TO BID  PROCUREMENT OF PUMPBOAT FOR TAGABULI BAY CRUISE-1ST POSTING (ITB No. 15-Goods-2020) 1.	The Local Government Unit of Sta. Cruz, Davao del Sur through the Gene</t>
  </si>
  <si>
    <t xml:space="preserve"> The MLGU-Pasil, now invites bids for the CONCRETING OF PATHWAY, GALDANG. The project is located at Galdang, Pasil, Province of Kalinga. The following are the Item of Works;					 					 	ITEM NO.	DESCRIPTION	QUANTITY	UNIT	 	103	Excavation &amp; Levelling 	 30.0</t>
  </si>
  <si>
    <t xml:space="preserve"> The MLGU-Pasil, now invites bids for the INSTALLATION OF GLASS DOORS AT THE MP BUILDING (Mayor's, Vice Mayor's &amp; SB Office). The project is located at Amdalao, Guinaang, Pasil, Province of Kalinga. The following are the Item of Works;					 					 	ITEM NO.</t>
  </si>
  <si>
    <t xml:space="preserve"> Invitation to Bid for the REHABILITATION/IMPROVEMENT OF BARANGAY NAPO WATER SYSTEM NAPO, POLANGUI, ALBAY The LGU Polangui-BAC, through Local Government Support Fund (LGSF) to LGUs 2020, intends to apply the sum of ONE MILLION NINE HUNDRED NINETY SEVEN THO</t>
  </si>
  <si>
    <t xml:space="preserve"> OFFICE SUPPLIES Data Folder, made with chipboard, taglia lock  Qty: 50 Price: P150.00 Fastener, for paper, metal, 50 sets per box  Qty: 25 Price: P100.00 PAPER, MULTICOPY, 80gsm, A4 size reams Qty: 100 Price: P210.00 RECORD BOOK, 300 PAGES  Qty: 11 Price:</t>
  </si>
  <si>
    <t xml:space="preserve"> QUOTATION - SEALED CANVASS: Please submit the accomplished OFFICIAL CANVASS FORM before the closing date at PPMD 2nd flr. SSS Main Bldg., East Ave., Quezon City. Submit in Sealed Envelope address to Ms. HYDEE R. RAQUID – Department Manager III, Procuremen</t>
  </si>
  <si>
    <t xml:space="preserve"> 1	1	Set	Desktop with printer 			Intel I7-9700F 4.7Ghz 1151 12 MB Processor; Motherboard B365M;8GB DDR4;256gb SSD m.                           2;1TB harddisk; GTX1050TI 4GB DDR5 videocard;DVD writer;CASING with power                            management;2</t>
  </si>
  <si>
    <t xml:space="preserve"> Informing the public that the 74617-  PHYSICAL &amp; CHEMICAL ANALYSIS OF PRODUCTION WELL (PW #11,13,14,15,16,17 BOVs #1,2,3,4,5, Consumer's Tap #1,2,3,4  Mandatory Parameters (Arsenic,Cadmium,Lead,Nitrate,Color (apparent),Turbidity,PH,Total Dissolved Solids,</t>
  </si>
  <si>
    <t xml:space="preserve"> Procurement of TESDA MIMAROPA Regional Office and Provincial Office of Floor Mounted Outlet for the new erected building, Tawiran Calapan City, Oriental Mindoro</t>
  </si>
  <si>
    <t xml:space="preserve"> 1.	The Local Government Unit of Las Nieves, through the General Appropriations Act intends to apply the sum of one hundred fifty eight thousand pesos only (Php 158 ,000.00) for Lot 1, one hundred twenty four thousand pesos only (Php 124,000.00) for Lot 2,</t>
  </si>
  <si>
    <t xml:space="preserve"> 5 months Preventive Maintenance Services of the following three (3) units DENR Main Bldg. Elevators per attached TOR •	1 unit Win-One •	1 unit LG Sigma •	1 unit Otis-Sky</t>
  </si>
  <si>
    <t xml:space="preserve"> PLEASE CALL FOR THE DETAILS AND REQUIREMENTS</t>
  </si>
  <si>
    <t xml:space="preserve"> Printer ----- 6 Unit GPS Gadget ----- 6 Unit Bond Paper, A4 ----- 28 Reams Bond Paper, Legal ----- 28 Reams Ink ----- 12 Set</t>
  </si>
  <si>
    <t xml:space="preserve"> Invitation to Apply for Eligibility and to Bid Republic of the Philippines Municipality of  Roseller T. Lim Concreting of Road at Ecopark – Phase II 									June  10, 2020 1.	The Municipality of Roseller T. Lim, through its 20% Economic Development Funds</t>
  </si>
  <si>
    <t xml:space="preserve"> 3,125 pcs. Banana Sucker         Tissue Cultured          Free from BBT and Bugtok virus</t>
  </si>
  <si>
    <t xml:space="preserve"> Please submit your quotations based on RFQ Terms &amp; Conditions</t>
  </si>
  <si>
    <t xml:space="preserve"> see attached</t>
  </si>
  <si>
    <t xml:space="preserve"> 2     pcs     Tires 16.9 x 34 with inner tube</t>
  </si>
  <si>
    <t xml:space="preserve"> Contract ID: 20PL0119 Contract Name: Improvement of Shoulder Structure and Repair of Cross Drainage along Mt. Province-Boundary-Calanan-Pinukpuk-Abbut Road (Cagaluan-Calanan Section) Contract Location: K0484+550-K0485+590, Tabuk City, Kalinga Brief Descri</t>
  </si>
  <si>
    <t xml:space="preserve"> ITEM No.	Description	 Quantity 	Unit 	ROAD COMPONENTS		 	PART A- EARTHWORK		 100(3)a1	Individual Removal of Trees (150-300mm dia.)- Small	 58.00 	each 102(2)	Surplus Common Excavation	 660.00 	cu.m. 102(3)a	Surplus Rock excavation	 615.00 	cu.m. 104(2)a	E</t>
  </si>
  <si>
    <t xml:space="preserve"> Ground improvement in Front of AGAPP Building worth Php45,000</t>
  </si>
  <si>
    <t xml:space="preserve"> Purchase of materials and payment for the services.</t>
  </si>
  <si>
    <t xml:space="preserve"> SUPPLY AND DELIVERY OF: 1 UNIT LAPTOP COMPUTER INTEL CORE i7, 8TH GEN, 8GB RAM 1 TB HDD</t>
  </si>
  <si>
    <t xml:space="preserve"> Item No.	Unit	Description	Qty 1	gal	Cidex Sol-28 days	10 2	bxs	Chromic 2-0 ATR round	12 3	boxes	Condom Cath, Large 20s	12 4	boxes	Disp Needle g-19, 21x100s	30 5	boxes	Disp Needle g-25 short x 100s	25 6	pack	Disp Needle g-23 long 100s	25 7	pack	Elastic Ban</t>
  </si>
  <si>
    <t xml:space="preserve"> 2 pcs. - Tire, 185R 14, 8 ply</t>
  </si>
  <si>
    <t xml:space="preserve"> Please see attached Invitation to Bid</t>
  </si>
  <si>
    <t xml:space="preserve"> Republic of the Philippines Province of Nueva Vizcaya BIDS AND AWARDS COMMITTEE (BAC-Goods) BAC OFFICE, Provincial Capitol, Bayombong, Nueva Vizcaya 2nd Failure of Bidding  	 2nd REQUEST FOR QUOTATION (RFQ) For the Procurement of Agricultural Products and</t>
  </si>
  <si>
    <t xml:space="preserve"> Invitation to Apply for Eligibility and to Bid Republic of the Philippines Municipality of  Roseller T. Lim Concreting of Access Road to municipal Water Storage Area – Phase I 									June  10, 2020 1.	The Municipality of Roseller T. Lim, through its 20%</t>
  </si>
  <si>
    <t xml:space="preserve"> Upgrading of Electrical Installation (Maine Line) at Minuyan Elementary School Barangay Minuyan Norzagaray Bulacan</t>
  </si>
  <si>
    <t xml:space="preserve"> Contract ID: 20PL0120 Contract Name: Repair of Cross Drainage Inlet and Canal Lining along Mt. Province-Boundary-Calanan-Pinukpuk-Abbut Road (Cagaluan-Calanan Section) Contract Location: K0485+710-K0485+780, Tabuk City, Kalinga Brief Description: Construc</t>
  </si>
  <si>
    <t xml:space="preserve"> Department of Education Region VI-Western Visayas Division of Cadiz City Alimatoc Elementary School SMALL VALUE PROCUREMENT FOR CATERING SERVICES OF ALIMATOC ELEMENTARY SCHOOL FOR  2020 1.	The Alimatoc Elementary School of Cadiz City, through the Schools </t>
  </si>
  <si>
    <t xml:space="preserve"> INVITATION FOR THE SUBMISSION OF REQUEST FOR QUOTATION The Municipal Government of Quezon, Palawan now invites bids for the project, Purchase of Spareparts for Heavy Equipment  with an Approved Budget for the Contract (ABC) of One Hundred Twenty-Two Thous</t>
  </si>
  <si>
    <t xml:space="preserve"> EMBANKMENT 3,390.00 - CU.M</t>
  </si>
  <si>
    <t xml:space="preserve"> PLEASE CALL FOR THE DETAILS AND INCLUSIONS</t>
  </si>
  <si>
    <t xml:space="preserve"> Provincial Governor's Office Agusan del Norte</t>
  </si>
  <si>
    <t xml:space="preserve"> Upgrading of Electrical Installation (Maine Line) at Sapang Kawayan Elementary School Barangay Matictic Norzagaray Bulacan</t>
  </si>
  <si>
    <t xml:space="preserve"> 2		units	Smartphone, Phablet, Camera Phone, Waterproof 			Type: Phone 			Shape: Bar 			OS: Android 10 			SIM: Nano Sim, Dual Sim, Dual Standby 			Octa-Core (2x2.7 GHz Mongoose M4 + 2x 2.4GHz Cortex  -A75 + 4x 1.9 GHz Cortex -A55) 			Qualcomm SDM855 Snapdr</t>
  </si>
  <si>
    <t xml:space="preserve"> Agricultural Products</t>
  </si>
  <si>
    <t xml:space="preserve"> PLS. SEE ATTACHED PURCHASE REQUISITION,TERMS OF REFERENCE &amp; BID DOCUMENTS FOR DETAILS</t>
  </si>
  <si>
    <t xml:space="preserve"> SEE SPECS</t>
  </si>
  <si>
    <t xml:space="preserve"> 3000	piece	Form 138 1550	piece	Vellum Board, LONG 50	packs	Vellum Board, A4 40	packs	Workz board, long, 10's 38	bottles	Epson Ink,black 35	bottles	Epson ink, cyan 35	bottles	Epson ink, yellow  35	bottles	Epson ink, magenta 10	piece	Arch File, landscape, l</t>
  </si>
  <si>
    <t xml:space="preserve"> BIDS AND AWARDS COMMITTEE NOTICE OF NEGOTIATED PROCUREMENT SMALL VALUE PROCUREMENT 1.	BAM Construction Purok 4, San Carlos, Tabaco City 2.	3CA Builders No. 42 Rawis, Legazpi City 3.	Infra Builders and Sellers Phils., Inc Sto. Niño Village, Taysan, Legazpi</t>
  </si>
  <si>
    <t xml:space="preserve"> Procurement of Desktop &amp; Laptop Computer, Printer and UPS (MSWU) (See attached Purchase Request for more detailed information.)</t>
  </si>
  <si>
    <t xml:space="preserve"> Contract ID: 20PL0121 Contract Name: Rehabilitation of National road, K0534+056 - K0534+106 (Babalag-Kinama-San Francisco Section), Rizal, Kalinga Contract Location: Rizal Kalinga Brief Description: Road Maintenance Approved Budget for the Contract (ABC):</t>
  </si>
  <si>
    <t xml:space="preserve"> Invitation to Bid for the PROPOSED CONSTRUCTION OF NATIONAL CHILD DEVELOPMENT CENTER ALNAY, POLANGUI, ALBAY The LGU Polangui-BAC, through Department of Social Welfare &amp; Development (DSWD) and LGU-Counterpart, intends to apply the sum of TWO MILLION FIVE H</t>
  </si>
  <si>
    <t xml:space="preserve"> Item No.	Unit	Description	Qty 1	lot	To ensure the linen and laundry is stored handled and processed in the manner that maximizes the risks of transmission of infection by that item OPERATION PICK-UP AND DELIVERY TIme Every 0800H on a daily schedule. The l</t>
  </si>
  <si>
    <t xml:space="preserve"> LGU - Magsingal, Ilocos Sur				 Project Reference Number 						 	 Repair/Maintenance of Grader				                                                              	 Magsingal, Ilocos Sur 					   Standard Form Number: SF-GOOD-59 Revised on: May 24, 2004 Stand</t>
  </si>
  <si>
    <t xml:space="preserve"> 1.   4      Bottles          Povidine Iodine (Betadine) 15 ml. 2.   6      Sheets          Floor Matting 3.   3      Pieces           Angle Bar # 2 4.   14    Pieces           Corrugated Bar  10 mm. 5.   1      Gallon           Red Lead 6.   2      Gallon</t>
  </si>
  <si>
    <t xml:space="preserve"> Vehicle Parts &amp; Accessories</t>
  </si>
  <si>
    <t xml:space="preserve"> Please submit bid based on the attached RFQ. If you are a new supplier please submit your Mayor's Permit, PhilGEPS Cert, Income Tax/Business Tax Return, Omnibus Sworn Statement.  If you have not renewed please submit updated copies of these documents.</t>
  </si>
  <si>
    <t xml:space="preserve"> Invitation to Submit Quotation Date:  June 16, 2020 Canvass/Quotation No.: 2020-06-066  	 To All Eligible Service Providers/Bidders I. Please quote your lowest price inclusive of VAT on the items/ listed below, subject to the Terms and Conditions of this </t>
  </si>
  <si>
    <t xml:space="preserve"> Item No.	Unit	Description	Qty 1	Pcs	Aneroid BP Apparatus with Stand and Wheels	15 2	Pcs	BP Apparatus Adult with Stethoscope Portable	20 3	pcs	BP Apparatus PEDIA Portable	8 4	pcs	Pulse Oximeter PEDIA with rechargeable Battery	16 5	pcs	Pulse Oximeter ADULT </t>
  </si>
  <si>
    <t xml:space="preserve"> INVITATION TO SUBMIT QUOTATION  FOR THE PRINTING OF ADDITIONAL MANUALS  FOR 2020 CENSUS OF POPULATION AND HOUSING (2020 CPH) TRAINING 1.	The Philippine Statistics Authority – Regional Statistical Services Office II  (PSA-RSSO II), through the Fiscal Year </t>
  </si>
  <si>
    <t xml:space="preserve"> Informing the public that the 74429- 2 units of Tamping Rammer, 1 unit of Plate Compactor,Concrete Cutter,Engine Driven Dewatering Pump and Power Sprayer 5Hp per PR. No. 74429 with a Total Approved Budget of the Contract (ABC) P331,000.00 Will be done thr</t>
  </si>
  <si>
    <t xml:space="preserve"> 1.	The Local Government Unit of Las Nieves, through the Budget for the Contract approved by the Sanggunian (GF-1011) intends to apply the sum of two hundred ninety two thousand pesos only (Php 292,000.00), being the Approved Budget for the Contract (ABC) </t>
  </si>
  <si>
    <t xml:space="preserve"> supply and delivery of monobloc chairs and tables for different organizations</t>
  </si>
  <si>
    <t xml:space="preserve"> supply and delivery of hardware and construction materials</t>
  </si>
  <si>
    <t xml:space="preserve"> Further information are provided in the Request For Quotation (RFQ).</t>
  </si>
  <si>
    <t xml:space="preserve"> Please see BAC Chairman &amp; attached document.</t>
  </si>
  <si>
    <t xml:space="preserve"> Polo Shirt ----- 150 Pcs.</t>
  </si>
  <si>
    <t xml:space="preserve"> I	10.00	UNIT	LAPTOP			 			Specifications			 			Raizen 5			 			4GB RAM			 			Quad Core, 2.1 ghz			 			1 TB Hardrive			 			128SSD			 			14" Monitor			 			Wifi &amp; Bluetooth Ready			 			with Camera			 			Windows 10</t>
  </si>
  <si>
    <t xml:space="preserve"> Republic of the Philippines                                       Province of Leyte                        MUNICIPALITY OF ALBUERA                     OFFICE OF THE MUNICIPAL MAYOR OFFICE OF THE BIDS AND AWARDS COMMITTEE INVITATION TO BID 	The Local Gover</t>
  </si>
  <si>
    <t xml:space="preserve"> Installation of gutter in Grade VI Building worth Php30,000</t>
  </si>
  <si>
    <t xml:space="preserve"> REQUEST FOR QUOTATION The National Irrigation Administration – Bulacan-Aurora-Nueva Ecija Irrigation Management Office, Tambubong, San Rafael, Bulacan through its Bids and Awards Committee (BAC), will undertake SHOPPING for the Supply &amp; Delivery of Brande</t>
  </si>
  <si>
    <t xml:space="preserve"> Plumbing Materials</t>
  </si>
  <si>
    <t xml:space="preserve"> Item No.	Unit	Description	Qty 1	sets	Upright post 3600mmHx1000mm D (90x75x2.0mm)	31 2	pcs	Beam 2700mm L (100x50x1.5mm)	230 3	pcs	Support beam (2700mm L (100x50x1.5mm)	460 4	pcs	Post connector 300mm L	12 5	sets	Upright post (1800mmHx600mmD (60x50x1.5mmthk)</t>
  </si>
  <si>
    <t xml:space="preserve"> REQUEST FOR QUOTATION Date	:	June 17, 2020 Project Title	:	Procurement of Two (2) Years Subscription of Pocket Wifi ITB No.             	:	FB20-06-008COR Approved Budget for the Contract (ABC)	:	Four Hundred Twenty-Eight Thousand One Hundred Forty Pesos a</t>
  </si>
  <si>
    <t xml:space="preserve"> PLEASE DOWNLOAD THE ATTACHMENT/S FOR REFERENCE. Important Notes and Conditions: You can submit your quotation ON or BEFORE JUNE 22, 2020 at 01:00 PM with the photocopy of the following legal documents: a. Mayor’s / Business Permit b. PhilGEPS Registration</t>
  </si>
  <si>
    <t xml:space="preserve"> INVITATION FOR THE SUBMISSION OF REQUEST FOR QUOTATION The Municipal Government of Quezon, Palawan now invites bids for the project, Supply and Delivery of ICT Equipment for Mayor’s Office  with an Approved Budget for the Contract (ABC) of One Hundred Tho</t>
  </si>
  <si>
    <t xml:space="preserve"> REQUEST FOR QUOTATION  RFQ No. 2020-06-071 The Rizal Medical Center (Rizal Med) through its Bids and Awards Committee-C (BAC-C), hereby invites all interested suppliers or distributors registered with the Philippine Government Electronic Procurement Syste</t>
  </si>
  <si>
    <t xml:space="preserve"> Republic of the Philippines BOHOL ISLAND STATE UNIVERSITY Main Campus, Tagbilaran City INVITATION TO BID FOR PR NO. 2020-06-0561-MAIN-SUPPLY AND DELIVERY OF INKS AND TONERS FOR EXISTING PRINTERS OF THE DIFFERENT BISU OFFICES 1.	The Bohol Island State Univ</t>
  </si>
  <si>
    <t xml:space="preserve"> Informing the public that the 74433- 1 set Pneumatic Tire Changer with accessories &amp; 2 units Submersible Pump 5Hp per PR. No. 74433 with a Total Approved Budget of the Contract (ABC) P170,000.00 Will be done through Shopping Mode of Procurement. The said </t>
  </si>
  <si>
    <t xml:space="preserve"> 100	gallon	ALCOHOL, ethyl, 68%-70%, scented 2	piece	Thermogun 50	piece	Battery, thermogun 100	piece	Surgical gloves 10	unit	Foot controlled sanitizer holder 		 13	pcs	Fire Extinguisher 40	pcs	Empty container/ bottle sprayer (500ml liquid content) 3	pcs	Th</t>
  </si>
  <si>
    <t xml:space="preserve"> I	1.00	UNIT	ONE UNIT BRAND NEW RESCUE AMBULANCE FULLY EQUIPPED 							 			BIG VAN							 			MINIMUM REQUIREMENTS							 			engine displacement: 2,755cc							 			engine type: 4 cylinders, In-line Type; 16 valve DOHC							 			6-speed manual diesel							 </t>
  </si>
  <si>
    <t xml:space="preserve"> 1 LOT ABC :   160,000.00 COMPONENTS:       Piglets - 40 heads      Animal Feeds (starter) - 30 sacks</t>
  </si>
  <si>
    <t xml:space="preserve"> Supply of: For: Outreachh Program - Vaccination &amp; Deworming (June to December)      1) 350 units meals For: Monthly Meeting (July - December)       1) 93 units meals       2) 95 units AM/PM snacks</t>
  </si>
  <si>
    <t xml:space="preserve"> -1- UNIT   FLOOR MOUNTED AIRCON 3 TONS          -1- UNIT   MICROPHONE (HEAVY DUTY)</t>
  </si>
  <si>
    <t xml:space="preserve"> 11 units - 3-in-1 Printer, Ink Tank Printer, can Scan legal size paper NOTE: Please attach with your quote the following documents: 1. PhilGEPS Registration; 2. Mayor's Permit; 3. BIR Registration; and  4. DTI Certificate Many thanks!</t>
  </si>
  <si>
    <t xml:space="preserve"> The City Government of San Pedro, Laguna invites interested parties to quote for the following item/s as per request Sangguniang Panlungsod: Qty.	Unit of Issue	Item Description 		 30	cavans	RICE 40	boxes	canned goods Forms can be obtained from the BAC Sec</t>
  </si>
  <si>
    <t xml:space="preserve"> PLS. SEE ATTACHED PURCHASE REQUISITION, TERMS OF REFERENCE&amp; BID DOCUMENTS FOR DETAILS.</t>
  </si>
  <si>
    <t xml:space="preserve"> In view of the above activity, we are inviting bidders in this area to submit their lowest price(s) on the services needed. Please read the instructions below. INSTRUCTIONS: 1. Bidders are required to read the instructions and fill out the blanks properly</t>
  </si>
  <si>
    <t xml:space="preserve"> Request for Quotation (Negotiated Procurement-Sec. 53.1 of RIRR of RA 9184)                                                                             The Iligan City Government Bids and Awards Committee(BAC) Posted Request for Quotation for the Supply a</t>
  </si>
  <si>
    <t xml:space="preserve"> REQUEST FOR QUOTATION  RFQ No. 2020-06-072 The Rizal Medical Center (Rizal Med) through its Bids and Awards Committee-C (BAC-C), hereby invites all interested suppliers or distributors registered with the Philippine Government Electronic Procurement Syste</t>
  </si>
  <si>
    <t xml:space="preserve"> 6 PCS. TIRES 700 X 16</t>
  </si>
  <si>
    <t xml:space="preserve"> for Electrical &amp; Equipment,Aircon &amp; Ihomp/IT, R1MC-Dagupan City, Pangasinan End-User</t>
  </si>
  <si>
    <t xml:space="preserve"> INVITATION FOR NEGOTIATED PROCUREMENT (2 Failed Bidding) Request for Proposal (RFP) Supply &amp; Delivery of Construction Materials for the Repair of SPPF Prison Facilities’ Perimeter Fence for FY 2020 (4 Lots) 1.	In  view of  the  two  (2)  failed  public  b</t>
  </si>
  <si>
    <t xml:space="preserve"> Republic of the Philippines BOHOL ISLAND STATE UNIVERSITY Main Campus, Tagbilaran City INVITATION TO BID FOR PR NO. 2020-02-0277-MAIN-SUPPLY AND DELIVERY OF STEEL FILING CABINETS FOR  THE DIFFERENT OFFICES 1.	The Bohol Island State University – Main Campu</t>
  </si>
  <si>
    <t xml:space="preserve"> 1.     10     CASE      COFFEE ORIGINAL FLAVOR TWIN PACK X 200 (2000PCS) 2.      8      CASE      COFFEE WHITE TWIN PACK X 200    (1600PCS) 3.      2      CASE      COFFEE LATTE TWIN PACK X 200 (400PCS) 4.     20     CASE      COFFEE WHITE X 240 (4800PCS)</t>
  </si>
  <si>
    <t xml:space="preserve"> GAUDENCIO SALDIVAR SR. ELEMENTARY SCHOOL MOOE APRIL-MAY 2020</t>
  </si>
  <si>
    <t xml:space="preserve"> ITEM No.	Description	 Quantity 	Unit 	ROAD COMPONENTS		 	PART A- EARTHWORK		 100(3)a1	Individual Removal of Trees (150-300mm dia.)- Small	 159.00 	each 102(2)	Surplus Common Excavation	 1,320.00 	cu.m. 102(3)a	Surplus Rock excavation	 854.00 	cu.m. 104(2)</t>
  </si>
  <si>
    <t xml:space="preserve"> Republic of the Philippines Province of Southern Leyte Municipality of San Juan Barangay San Jose BIDS AND AWARD COMMITTEE INVITATION TO BID FOR Supply &amp; Delivery of Vehicles The Brgy. San Jose of San Juan, Southern Leyte through the Province Financial As</t>
  </si>
  <si>
    <t xml:space="preserve"> Repainting of comfort rooms in front of Grade V Building (walls, roof, ceilings) worth Php40,000</t>
  </si>
  <si>
    <t xml:space="preserve"> Item No.	Unit	Description	Qty 1	Lot	Food Pax for the conduct of Briefing to personnel included on SWAB TEST	1 * * * * * * * * * * * * * * * * * * * * * * * * NOTHING FOLLOWS * * * * * * * * * * * * * * * * * * * * * * * *</t>
  </si>
  <si>
    <t xml:space="preserve"> -  1 SET -    SOFA SET WITH COMPLETE ACCESSOTIES   -  1 PC   -    WOODEN CABINET   -  1 UNIT -   CAR SEAT UPHOLSTERY  (SFU-765)   -  1 UNIT -   CAR SEAT UPHOLSTERY  (SHP-728)   -  1 UNIT -   CAR SEAT UPHOLSTERY  (SEG-308)   -  1 UNIT -   CAR SEAT UPHOLSTE</t>
  </si>
  <si>
    <t xml:space="preserve"> 23 units - External Hard Drive, 2TB NOTE: Please attach with your quote the following documents: 1. PhilGEPS Registration; 2. Mayor's Permit; 3. BIR Registration; and  4. DTI Certificate Many thanks!</t>
  </si>
  <si>
    <t xml:space="preserve"> 6	bottle	Dishwashing Paste, 550grams 3	bottle	Toilet cleaner, 1000ml 200	piece	TOILET TISSUE PAPER, 2-ply 30	bottle	Cleaner, toilet &amp; urinal 50	pack	Detergent powder, 1 kg 50	can	Disinfectant spray 50	kilo	Chlorine Granules / powder 200	bottle	ALCOHOL, et</t>
  </si>
  <si>
    <t xml:space="preserve"> 1 UNIT DOCUMENT CAMERA 1 UNIT MULTI MEDIA PROJECTOR 1 UNIT ELECTRIC FAN STAND 1 UNIT STEEL FILE CABINET</t>
  </si>
  <si>
    <t xml:space="preserve"> DIMENSION: 29.75" H X 40" W X 20" D INCHES PLAIN POWDER COATED STEEL TABLE TOP IN DUCT NOSE EDGING FOR ARM COMFORT PLAIN POWDER COATED METAL FRAME  LEGS WITH WIRE MANAGEMENT COLOR GRAY</t>
  </si>
  <si>
    <t xml:space="preserve"> line item</t>
  </si>
  <si>
    <t xml:space="preserve"> 15	Pcs	Traffic Cone with Rubber 1	Pc	Pressure Washer (Portable) 1	Unit	Printer EPSON L3110, 3in1 (Print,Scan,Copy) 1	Unit	Desktop Computer Specifications: CPU:Intel Core i5 7400, 3.0GHz(Quad Core)6MB, LGA1151 14nm Memory: G.SKILL DDR4 2400MHz4GB Storage: </t>
  </si>
  <si>
    <t xml:space="preserve"> PLS. SEE ATTACHED PR, TOR, &amp; BID DOCS FOR DETAILS</t>
  </si>
  <si>
    <t xml:space="preserve"> GLAZING PATTY	                       1 L ¾ MARINE PLYWOOD	               3 PCS 1/2x2x12 LUMBER	               3 PCS HALF MOON 	                       8 PCS SEMI-GLOSS ENAMEL PAINT      1 GAL #2 PAINT BRUSH	               2 PCS BABY ROLLER	                </t>
  </si>
  <si>
    <t xml:space="preserve"> 100 gallons Alcohol 70% Solution P55,000.00</t>
  </si>
  <si>
    <t xml:space="preserve"> Republic of the Philippines BOHOL ISLAND STATE UNIVERSITY Main Campus, Tagbilaran City INVITATION TO BID FOR PR NO. 2020-02-0182-MAIN-SUPPLY AND DELIVERY OF STENOGRAPH MACHINE FOR STENOGRAPH LABORATORY OF CBAS 1.	The Bohol Island State University – Main C</t>
  </si>
  <si>
    <t xml:space="preserve"> 6	unit	Printer, 3 n 1 2	set	Desktop Computer 1	set	CCTV  -Camera 1080p,4 camera, 500gb hdd with 19 inch square monitor 15	pc	BNC Connector 1	roll	Duplex Wire #18 20	pcs	RJ-6</t>
  </si>
  <si>
    <t xml:space="preserve"> 1.) One (1) unit Server backup, high end, network attached storage, 8 hard drive bayS, with included 32TB 3.5inch SATA hard disk drive 7.2 with RAID 1 for HRMO, R1MC-Dagupan City, Pangasinan End-User</t>
  </si>
  <si>
    <t xml:space="preserve"> Purchase of office supplies and devices such as USB's and CDs worth Php40,000</t>
  </si>
  <si>
    <t xml:space="preserve"> Item No.	Unit	Description	Qty 1	pcs	Undershirt Raglan Polyester Spandex Round Neck (as for sample)	3333 * * * * * * * * * * * * * * * * * * * * * * * * NOTHING FOLLOWS * * * * * * * * * * * * * * * * * * * * * * * *</t>
  </si>
  <si>
    <t xml:space="preserve"> The NFRDI, through its Bids and Awards Committee (BAC) intends to procure MEALS AND ACCOMMODATION (4 days) in accordance with Section 52 (Lease of Venue ) of the Revised Implementing Rules Regulations of R.A.9184: TECHNICAL SPECIFICATIONS QUANTITY UNIT AB</t>
  </si>
  <si>
    <t xml:space="preserve"> - 1 SET -     WOODEN CABINETS (FOR ROXII)      - 1 SET -     WOODEN CABINET   (FOR COA)   - 2 SETS-    VENETIAN BLINDS (FOR RO &amp; FTC)</t>
  </si>
  <si>
    <t xml:space="preserve"> Please download the attached file (Associated Components) for the Bid Document.</t>
  </si>
  <si>
    <t xml:space="preserve"> 1.     320    SACK      RICE 25KG</t>
  </si>
  <si>
    <t xml:space="preserve"> ITEM NO.	ITEM &amp; DESCRIPTION				QTY.	UoM 1	TABLET						            1	unit 	Specs:							 	Type: Booklet; Connection: Wifi+Cellular; OS: Android; SIM: Nano SIM							 	OS Ver: Android 10.0; One UI 2; CPU: Exynos 9611, Octa-core Cortex							 	CPU Speed: 4x2</t>
  </si>
  <si>
    <t xml:space="preserve"> Department of Education Region VI-Western Visayas Division of Cadiz City Alimatoc Elementary School SMALL VALUE FOR PROCURING FOR COMMUNICATION LOAD ALIMATOC ELEMENTARY SCHOOL FOR 2020 1.	The Alimatoc Elementary School of Cadiz City, through the Schools M</t>
  </si>
  <si>
    <t xml:space="preserve"> 5 PCS. LED SOLAR OUTDOOR WALL LIGHT 5W 7 PCS. FLOOD LIGHT LED 50W 20 MTR. PDX WIRE# 12 5 PCS. ELECTRICAL TAPE (BIG)</t>
  </si>
  <si>
    <t xml:space="preserve"> -  1 UNIT-     AIRCONDITIONER FLOOR MOUNTED 3 TONS   -  1 UNIT-     DOCUMENT SCANNER   -  1 UNIT-     KITCHEN CABINET   -  1 SET-       TABLE (CONFERENCE - 6 PCS/SET)</t>
  </si>
  <si>
    <t xml:space="preserve"> Republic of the Philippines                   Department of Health	       CENTRAL OFFICE BIDS AND AWARDS COMMITTEE  INVITATION TO BID FOR THE  PROCUREMENT OF AUDIO VISUAL PRODUCTION SET-UP BUNDLE IB NO. 2020-217 1.	The Department of Health (DOH), through </t>
  </si>
  <si>
    <t xml:space="preserve"> PLS. SEE ATTACHED PURCHASE REQUISITION, TERMS OF REFERENCE, &amp; BID DOCS FOR DETAILS</t>
  </si>
  <si>
    <t xml:space="preserve"> Republic of the Philippines Province of Leyte Municipality of Palompon oOo BIDS &amp; AWARD COMMITTEE Invitation to Bid for  REHABILITATION/IMPROVEMENT OF VARIOUS BARANGAY ROAD (SAN ROQUE-CATIGAHAN-HINAGBUAN) 2020-0707-013 Project Identification No. 1.	The Lo</t>
  </si>
  <si>
    <t xml:space="preserve"> RFQ-2020-05-003 Source of Fund: Division MOOE REQUEST FOR QUOTATION SUPPLY AND DELIVERY OF OFFICE SUPPLIES FOR THE SECOND  (2nd) QUARTER OF 2020 FOR SDO RIZAL OFFICE The Department of Education – Division of Rizal through its Bids and Awards Committee wil</t>
  </si>
  <si>
    <t xml:space="preserve"> Republic of the Philippines PROVINCE OF BUKIDNON Municipality of Don Carlos PROCUREMENT UNIT                 RA-11469 – THE BAYANIHAN TO HEAL AS ONE ACT REQUEST FOR QUOTATION 									 						       Date:  						         RFQ No		                           </t>
  </si>
  <si>
    <t xml:space="preserve"> Please download associated component (RFQ) and submit quotation together with the requirements in a sealed envelope to UP Cebu on or before 26 June 2020 at 3:00 PM.  Kindly click DRL if you wish to bid for the item/s herein posted.</t>
  </si>
  <si>
    <t xml:space="preserve"> 16 GB Weight: 0.018kg Length: 54mm Width: 12mm</t>
  </si>
  <si>
    <t xml:space="preserve"> 1.     940     SACK    RICE 25KG</t>
  </si>
  <si>
    <t xml:space="preserve"> 14	ream	Paper  multicopy, long sub20 8	pad	Note Pad stick-on, 2x3,100 sheets per pad 11	pad	worX paper 7	pc	Pilot pen (broad) 16	pc	Folder long size 7	pc	sign pen (blue) 7	pc	sign pen (black) 22	ream	Paper, multicopy, a4 sub20 20	pc	Pencil 5	box	Crayon(si</t>
  </si>
  <si>
    <t xml:space="preserve"> Purchase of office equipment supplies and consumables for printing reading materials such as ink and bond papers worth Php30,000</t>
  </si>
  <si>
    <t xml:space="preserve"> 1.) Forty (40) piece Mattress, with cover, medical grade, 24-25 x 71 ix 3 inches, anti microbial, non-allergic, or better for ER, R1MC-Dagupan City, Pangasinan End-User</t>
  </si>
  <si>
    <t xml:space="preserve"> The NFRDI, through its Bids and Awards Committee (BAC) intends to procure Printing Services in accordance with Section 53. (Small Value ) of the Revised Implementing Rules Regulations of R.A.9184: TECHNICAL SPECIFICATIONS QUANTITY UNIT ABC 1	Printing for </t>
  </si>
  <si>
    <t xml:space="preserve"> The NFRDI, through its Bids and Awards Committee (BAC) intends to procure Meals and Accommodation for 4 days year-end review, workshop of Manila Bay in accordance with Section 53. (Small Value ) of the Revised Implementing Rules Regulations of R.A.9184: T</t>
  </si>
  <si>
    <t xml:space="preserve"> 1.       20       CARTONS      3-PLY DISPOSABLE MASK 2000'S 2.      1000     PIECES         PERSONAL PROTECTIVE EQUIPMENT 3.       300      PIECES         FACE SHIELD</t>
  </si>
  <si>
    <t xml:space="preserve"> Municipality of Danao			  Name of the Procuring Entity	 Standard Form Number: SF-GOOD-60 Revised on: May 24, 2004 Standard Form Title: Request for Quotation REQUEST FOR QUOTATION Date: June 17, 2020 ___________________________________________ COMPANY NAME</t>
  </si>
  <si>
    <t xml:space="preserve"> Bond Paper - Long ( Substance 20 )	126	reams Bond Paper - Short ( Substance 20 )	105	reams Bond Paper -  Long ( GSM 100 )	18	reams Staple Wire 	30	box Fastener	13	box White Folder - Short	300	piece White Folder - Long	600	piece Sealer Tape - Small ( Yello</t>
  </si>
  <si>
    <t xml:space="preserve"> 1	Piece	Rake		 4	Piece	SprinKler		 14	Pack	Seedling Assorted		 40	Liter	Gasoline 		 1	Liter	2T		 23	Piece	Plywood Marine 1/4		 2	Piece	Plywood Marine 1/2		 18	Piece	Lumber 2x2x8		 6	Piece	Lumber 2x6x6		 12	Piece	Lumber 2x2x6		 25	Piece	Lumber 1x2x8		 20	P</t>
  </si>
  <si>
    <t xml:space="preserve"> The NFRDI, through its Bids and Awards Committee (BAC) intends to procure Laboratory reagents, supplies &amp; materials	  in accordance with Section 53. (Small Value ) of the Revised Implementing Rules Regulations of R.A.9184: TECHNICAL SPECIFICATIONS QUANTIT</t>
  </si>
  <si>
    <t xml:space="preserve"> PROVISION OF QUARTERLY PREVENTIVE MAINTENANCE OF THE ELEVATOR OF LA UNION BUILDING FOR 1 YEAR</t>
  </si>
  <si>
    <t xml:space="preserve"> Item No.	Unit	Description	Qty 1	sqmt	Pre-painted corrugated roof 24 x 6m	234 2	sqmt	Pre-painted corrugated roof 24 x 2m	48 3	pcs	Flashing pre-painted	11 4	gals	Vulca seal	2 5	pcs	Tekscrew w/ neoprene ring	103 6	pcs	Angle bar 2 x 2 x 20 x 3/16	10 7	pcs	Ang</t>
  </si>
  <si>
    <t xml:space="preserve"> Thermal Scanner	                           2	unit Digital BP Apparatus	                           1	unit Electric Water Dispenser	                   1	unit Isopropyl Alcohol - 70% Solution            7	gallon Face Mask - 50 pcs./ box	                   5	</t>
  </si>
  <si>
    <t xml:space="preserve"> Folding Chair and Bed  4 piece</t>
  </si>
  <si>
    <t xml:space="preserve"> Department of Education Region VI-Western Visayas Division of Cadiz City Alimatoc Elementay School SMALL VALUE PROCUREMENT FOR THE PROVISION OF FREE SCHOOL SUPPLIES FOR 2020 1.	The Alimatoc Elementay School of Cadiz City, through the Schools MOOE Fund CY </t>
  </si>
  <si>
    <t xml:space="preserve"> REQUEST FOR EXPRESSION OF INTEREST FOR THE  Procurement of Consulting Services for the Social Media Management of the Department of Tourism  1.	The Department of Tourism (DOT), through the General Appropriations Act 2020 intends to apply the sum of Twenty</t>
  </si>
  <si>
    <t xml:space="preserve"> 1   unit   Matrix Printer (FX-2190) w-w-w-w-w-w-w-w-w-w-w-w-w-w</t>
  </si>
  <si>
    <t xml:space="preserve"> 1.      4,000     CANS         SARDINES PREMIUM 155G 2.     17,600    SACHETS    COFFEE 3IN1 TWIN PACK 3.     10,000    CANS         MACKEREL 155G</t>
  </si>
  <si>
    <t xml:space="preserve"> REQUEST FOR EXPRESSION OF INTEREST FOR THE  Procurement of Consulting Services for the Development of Electronic Document Control Center (EDCC) for the Implementation of the Department of Tourism’s Quality Management System 1.	The Department of Tourism (D</t>
  </si>
  <si>
    <t xml:space="preserve"> LED Colored TV - Basic 32" / HDMI Ready	5	units</t>
  </si>
  <si>
    <t xml:space="preserve"> 1.      50,000      PCS      WASHABLE FACEMASK</t>
  </si>
  <si>
    <t xml:space="preserve"> Various Books for Day Care Children Pre-bid Conference: July 6, 2020 @ 9:00AM, venue: Engineer's Office Opening of Bids - July 20, 2020, 10:00AM Other Information: Letter of Intent must be accompanied by a new TAX CLEARANCE.</t>
  </si>
  <si>
    <t xml:space="preserve"> Item No.	Unit	Description	Qty 1	Lot	Support to Research and Documentation of Lessons learned	1 2	Lot	Support to Army to Army Working Groups	1 3	Lot	Support to Philippine army plan and development	1 4	Lot	Support to review and Manuever to Support Unit	1 5	</t>
  </si>
  <si>
    <t xml:space="preserve"> CY 2020 Basic Educational Facilities Fund (BEFF) - Construction of 4 Storey, 8 Classrooms, San Vicente Elementary School, Camp 8, San Vicente, Baguio City Contract Location :	Baguio City Approved Budget for the Contract :	Php23,441,250.00 Scope of  work  </t>
  </si>
  <si>
    <t xml:space="preserve"> PROPOSEDPATHWALK VARIOUS ZONES CARARAYAN,NAGA CITY P197,000.00</t>
  </si>
  <si>
    <t xml:space="preserve"> 1.         425     SETS      WHITE PPEs  (ISOLATION GOWN) 2.         450     SETS       YELLOW PPEs (WITH PANTS)</t>
  </si>
  <si>
    <t xml:space="preserve"> The NFRDI, through its Bids and Awards Committee (BAC) intends to procure Third Party Laboratory Analysis in accordance with Section 53. (Small Value ) of the Revised Implementing Rules Regulations of R.A.9184: TECHNICAL SPECIFICATIONS QUANTITY UNIT ABC 	</t>
  </si>
  <si>
    <t xml:space="preserve"> 42	ream	bond paper long 20	ream	A4 200	piece	cartlina assorted colors 20	bottle	printer refill ink assorted 5	roll	cover celophane 100	piece	clearbook 10	roll	clear tape big roll 11	can	floor wax can 14	piece	sign pen 2	piece	glue big</t>
  </si>
  <si>
    <t xml:space="preserve"> The NFRDI, through its Bids and Awards Committee (BAC) intends to procure Knife Mill in accordance with Section 53. (Small Value ) of the Revised Implementing Rules Regulations of R.A.9184: TECHNICAL SPECIFICATIONS QUANTITY UNIT ABC 1	Knife Mill		1	unit	 </t>
  </si>
  <si>
    <t xml:space="preserve"> The NFRDI, through its Bids and Awards Committee (BAC) intends to procure File Folder with Finger Ring in accordance with Section 53. (Small Value ) of the Revised Implementing Rules Regulations of R.A.9184: TECHNICAL SPECIFICATIONS QUANTITY UNIT ABC 1	Fi</t>
  </si>
  <si>
    <t xml:space="preserve"> INVITATION TO BID The National Irrigation Administration through CY 2020 Projects intends to apply the sum of Four Million One Hundred Fifty Five Thousand Five Hundred Thirty Three Pesos and 38/100 Centavos Only  (P4,155,533.38) being the total Approved B</t>
  </si>
  <si>
    <t xml:space="preserve"> INSTALLATION OF CCTV CAMERA WITH COMPLETE ACCESSORIES</t>
  </si>
  <si>
    <t xml:space="preserve"> 1.) One thousand five hundred (1500) pound Fire Extinguisher, ABC dry chemical refill with fire extinguisher sign and hanger For Aircon,R1MC,Dagupan City,Pangasinan End-User</t>
  </si>
  <si>
    <t xml:space="preserve"> REQUEST FOR EXPRESSION OF INTEREST FOR THE  Procurement of Consulting Services for the Development of the Planning and Monitoring Online System of the Department of Tourism  1.	The Department of Tourism (DOT), through the General Appropriations Act 2020 i</t>
  </si>
  <si>
    <t xml:space="preserve"> Provision of Labor, Materials and Equipment for the Construction of School Perimeter Fence of Alang-Alang, Leyte in accordance with the plan and specifications : SCOPE OF WORK: * Removal of Structure and Obstruction - -&gt;   1.00 L.S * Excavation - - - - - </t>
  </si>
  <si>
    <t xml:space="preserve"> Item No.	Unit	Description	Qty 1	Pcs	Floor Tiles 0.40cm x 0.40cm	150 2	Bags	Tile Adhesive	25 3	Packs	Tile Grout	10 4	pcs	Cutting Disk	5 5	bags	Cement	50 6	Pcs	Hard flex ¼”x 4’ x 8’	30 7	Boxes	Blind rivets	3 8	kl	Drill Bit	3 9	kls	Concrete nail	3 10	pcs	Met</t>
  </si>
  <si>
    <t xml:space="preserve"> THE KAPITOLYO HIGH SCHOOL IS IN NEED FOR INSTALLATION OF INTERNET CONNECTIVITY IN COMPUTER LAB IN VPEII  BUILDING, 3RD FLOOR FOR STUDENTS AND TEACHERS USE.</t>
  </si>
  <si>
    <t xml:space="preserve"> The NFRDI, through its Bids and Awards Committee (BAC) intends to procure Rehabilitation of Staff Quarter's Room, Toilet, Pantry Area and Septic Tank Demolition Works	B net black single in accordance with Section 53. (Small Value ) of the Revised Implemen</t>
  </si>
  <si>
    <t xml:space="preserve"> Item No.	Unit	Description	Qty 1	ea	Oil Filter Hi Lux A4 E462	1 2	ea	Nozzle tip Hi Lux A4 E462	1 3	ea	Air cleaner element Hi Lux A4 E462	1 4	ea	Timing chain guide Hi Lux A4 E462	1 5	set	Wheel cylinder Hi Lux A4 E462	1 6	set	Disc pad front Hi Lux A4 E462	1 </t>
  </si>
  <si>
    <t xml:space="preserve"> Item No.	Unit	Description	Qty 1	pcs	Plastic Palllet Dimmension 1000x1000x150mm Color Blue Type Heavy weight Fork entry 4way static load 6 tons dynamic load 2 1/2 tons packing load 2 tons	135 * * * * * * * * * * * * * * * * * * * * * * * * NOTHING FOLLOWS </t>
  </si>
  <si>
    <t xml:space="preserve"> Republic of the Philippines PROVINCE OF ZAMBALES I B A  Project Reference Number/Purchase Request No..	SMDH-2020-204 													                                                                                                 Location of the Project:	San</t>
  </si>
  <si>
    <t xml:space="preserve"> PROPOSED EXPANSION OF MULTI-PURPOSE BLDG BACK OF BARANGAY HALL ZONE 2 CARARAYAN, NAGA CITY ABC: P180,000.00</t>
  </si>
  <si>
    <t xml:space="preserve"> CENTRAL OFFICE BIDS AND AWARDS COMMITTEE (COBAC) Invitation to Bid PROCUREMENT OF VARIOUS VACCINES COBAC IB NO. 003 (G) S. 2020 The Department of the Interior and Local Government (DILG), through the General Appropriations Act FY 2020 intends to apply the</t>
  </si>
  <si>
    <t xml:space="preserve"> The NFRDI, through its Bids and Awards Committee (BAC) intends to procure Methylmercury Analysisin accordance with Section 53. (Small Value ) of the Revised Implementing Rules Regulations of R.A.9184: TECHNICAL SPECIFICATIONS QUANTITY UNIT ABC 	Methylmerc</t>
  </si>
  <si>
    <t xml:space="preserve"> The NFRDI, through its Bids and Awards Committee (BAC) intends to procure Supply, delivery, installation, and testing of Direct Couple Diesel Engine Centrifugal Pump in accordance with Section 53. (Small Value ) of the Revised Implementing Rules Regulatio</t>
  </si>
  <si>
    <t xml:space="preserve"> The Department of Trade &amp; Industry Region IV-A (DTI-CALABARZON) invites all interested parties to submit their quotation for the Online Business Continuity Training Course for MSMEs under the Priority Industry Clusters of Coffee, Cacao, Processed Fruits a</t>
  </si>
  <si>
    <t xml:space="preserve"> The NFRDI, through its Bids and Awards Committee (BAC) intends to procure Water Purification System in accordance with Section 53. (Small Value ) of the Revised Implementing Rules Regulations of R.A.9184: TECHNICAL SPECIFICATIONS QUANTITY UNIT ABC 1	Water</t>
  </si>
  <si>
    <t xml:space="preserve"> See attached Purchase Request</t>
  </si>
  <si>
    <t xml:space="preserve"> ALCOHOL ethyl, 68-72%, scented 3.785 ltrs	4	gallon AIR FRESHENER	3	pcs CLIP BACKFOLD (50mm)	3	boxes CLIP BACKFOLD (32mm)	3	boxes CLIP BACKFOLD (25mm)	3	boxes CALCULATOR (DIGITAL HD)	5	pcs CORRECTION TAPE	100	pcs FOLDER, pressboard	2	boxes FOLDER, with TAB</t>
  </si>
  <si>
    <t xml:space="preserve"> BLGU-LIBAY, SIBUTAD, Z.N Standard from Number, SF-0000-60 Revised on: May 24, 2004 				PR No: 20-06-005 				Date: June 15, 2020 			           Name of Project: Purchase of Pig 				Reference: Other MOOE 				Budget: P 13, 300.00 Standard Form Title: REQUEST </t>
  </si>
  <si>
    <t xml:space="preserve"> Republic of the Philippines PROVINCE OF ZAMBALES I B A  Project Reference Number/Purchase Request No..	SMDH-2020-205 													                                                                                                 Location of the Project:	San</t>
  </si>
  <si>
    <t xml:space="preserve"> REQUEST FOR QUOTATION 2020-06-070 NEGO 53.9 (SMALL-VALUE PROCUREMENT) The Rizal Medical Center (Rizal Med) through its Bids and Awards Committee – A (BAC-A), hereby invites all interested suppliers or distributors registered with the Philippine Government</t>
  </si>
  <si>
    <t xml:space="preserve"> RT PCR Kit (100 reaction)</t>
  </si>
  <si>
    <t xml:space="preserve"> REQUEST FOR QUOTATION PROJECT TITLE:	CONTRACT OF SERVICES FOR THE MAINTENANCE OF FIRE PROTECTION SYSTEM AT PNOC BUILDINGS 5 AND 6. INSTRUCTIONS:	 ___	ADDITIONAL INSTRUCTIONS ATTACHED 			         ___	NO ADDITIONAL INSTRUCTIONS 1.	Fax / Email / Submit your </t>
  </si>
  <si>
    <t xml:space="preserve"> THE KAPITOLYO HIGH SCHOOL IS IN NEED OF  2 UNITS OF 4 IN 1 PRINTER WITH CONTINUOUS INK FOR SBM AND FINANCE OFFICE USE.</t>
  </si>
  <si>
    <t xml:space="preserve"> One (1) lot - Repair and Replacement of Parts of Chilled and Condenser Water Pumps at the Power Center of BSP Head Office, as per BSP Scope of Works and Picture</t>
  </si>
  <si>
    <t xml:space="preserve"> REQUEST FOR QUOTATION (RFQ) The National Housing Authority (NHA), through its Regional Office Bids and Awards Committee (ROBAC), intends to procure Supply and Delivery of Common Supplies for Support to Regional Office Bids and Awards Committee Operations </t>
  </si>
  <si>
    <t xml:space="preserve"> Repair and Rehabilitation of Storage Room</t>
  </si>
  <si>
    <t xml:space="preserve"> MORONG WATER DISTRICT							 Burgos St. Poblacion Morong Bataan							 Tin # : 275-087- 677-000							 							 PURCHASE REQUEST							 						June 16, 2020	 Department:   		  Operation and Maintenance Division 					 					PR No.	Date:  	 Section:         		</t>
  </si>
  <si>
    <t xml:space="preserve"> One (1) lot - Freight Services for the delivery of Various BSP Publications and Learning Materials as per BSP Terms of Reference (TOR)</t>
  </si>
  <si>
    <t xml:space="preserve"> BLGU-LIBAY, SIBUTAD, Z.N Standard from Number, SF-0000-60 Revised on: May 24, 2004 				PR No: 20-06-006 				Date: June 15, 2020 			           Name of Project: Purchase of Fish 				Reference: Other MOOE 				Budget: P 5, 250.00 Standard Form Title: REQUEST </t>
  </si>
  <si>
    <t xml:space="preserve"> Carbon Brush, Holder - Carbon Brush Holder and Carbon Brush Assembly - Size: 32mm x 40mm x 70mm - Modified Double Brush Box as per NPC sample - 8 pieces Carbon Brush, Electro graphite, Grade  TDG/RE-541 - Attached certificate of origin for the product car</t>
  </si>
  <si>
    <t xml:space="preserve"> BLGU-LIBAY, SIBUTAD, Z.N Standard from Number, SF-0000-60 Revised on: May 24, 2004 				PR No: 20-06-007 				Date: June 15, 2020 			           Name of Project: Purchase of Softdrinks 				Reference: Other MOOE 				Budget: P 2, 250.00 Standard Form Title: RE</t>
  </si>
  <si>
    <t xml:space="preserve"> The Sangguniang Barangay of Katimo, Tagkawayan, Quezon invites interested bidders for construction of Spillway with abc  300,000.00. The bidding will be conducted through open competitive bidding procedures using a non discrepancy pass/fail criteria which</t>
  </si>
  <si>
    <t xml:space="preserve"> BLGU-LIBAY, SIBUTAD, Z.N Standard from Number, SF-0000-60 Revised on: May 24, 2004 				PR No: 20-06-008 				Date: June 15, 2020 			           Name of Project: Purchase of Rice 				Reference: Other MOOE 				Budget: P 1, 200.00 Standard Form Title: REQUEST </t>
  </si>
  <si>
    <t xml:space="preserve"> National Power Corporation INVITATION TO BID PUBLIC BIDDING 2020-0128 1.	The NATIONAL POWER CORPORATION (NPC), through       its        approved       Corporate Budget of CY 2020 intends to apply   the   sum   of (Please see schedule below) being the Appr</t>
  </si>
  <si>
    <t xml:space="preserve"> Please see attached Request for Quotation</t>
  </si>
  <si>
    <t xml:space="preserve"> 1. Cleaner, Degreaser, Motor/Generator, Aerosol + 2 Items 2. Rust Converter/Defender 3. Oil, Penetrating, Aerosol NOTE: PLEASE SEE PRE-PR OR RFQ FOR THE COMPLETE DETAILED OF SPECS.</t>
  </si>
  <si>
    <t xml:space="preserve"> pls see attached docs</t>
  </si>
  <si>
    <t xml:space="preserve"> 1.	The Department of Public Works and Highways, Quezon 1st District Engineering Office, through the FY 2020 GAA, RA 11465, intends to apply the sum of PhP1,997,500.00 inclusive of 5% contingency being the Approved Budget for the Contract (ABC) to payments</t>
  </si>
  <si>
    <t xml:space="preserve"> For details, please find attached documents on Associated Components. Click ORDER opposite the Associated Components to view attached documents. Download is free.   Please check for any Bid Supplements for this posting. If unable to retrieve attached docu</t>
  </si>
  <si>
    <t xml:space="preserve"> For handwashing</t>
  </si>
  <si>
    <t xml:space="preserve"> PROCUREMENT OF SUPPLIES FOR PANDEMIC ( COVID-19) RESPONSE</t>
  </si>
  <si>
    <t xml:space="preserve"> Republic of the Philippines Province of Nueva Vizcaya BIDS AND AWARDS COMMITTEE (BAC-GOODS) BAC OFFICE, Provincial Capitol, Bayombong, Nueva Vizcaya Tel. No. (078) 392-2650 	 2ND INVITATION TO BID FOR THE SUPPLY AND DELIVERY OF HOSPITAL EQUIPMENT FOR THE </t>
  </si>
  <si>
    <t xml:space="preserve"> (see bidding document in the associated component for further project details)</t>
  </si>
  <si>
    <t xml:space="preserve"> *Please see RFQ</t>
  </si>
  <si>
    <t xml:space="preserve"> 100 Reams	Paper, Multi-purpose, A4 200 Reams	Paper, Multi-purpose, Legal 50 Reams	        Paper, Ground wood, short 100 Reams	Paper, Ground wood, Legal 240 pcs	        Pencil 2 pcs	        Heavy Duty Stapler 5 box	       Staple wire, 6 mm 5 box	       Sta</t>
  </si>
  <si>
    <t xml:space="preserve"> REQUEST FOR EXPRESSION OF INTEREST (REI) FOR THE CONSULTANCY SERVICES FOR THE CONDUCT OF PARCELLARY SURVEY PLAN FOR THE CONSTRUCTION OF BYPASS AND DIVERSION ROAD, PAGBILAO – TAYABAS – LUCBAN DIVERSION ROAD, QUEZON PROVINCE 1.	The Department of Public Work</t>
  </si>
  <si>
    <t xml:space="preserve"> Republic of the Philippines Province of Nueva Vizcaya BIDS AND AWARDS COMMITTTEE (GOODS) BAC OFFICE, Provincial Capitol, Bayombong, Nueva Vizcaya 	 		 REQUEST FOR QUOTATION (RFQ) For the Procurement of Medical Supplies For the Provincial Integrated Health</t>
  </si>
  <si>
    <t xml:space="preserve"> Please see attached File Thank you</t>
  </si>
  <si>
    <t xml:space="preserve"> *Please see attached RFQ and sample forms</t>
  </si>
  <si>
    <t xml:space="preserve"> Republic of the Philippines Department of Public Works and Highways SULTAN KUDARAT 1st DISTRICT ENGINEERING OFFICE REGIONAL OFFICE  Isulan, Sultan Kudarat REQUEST FOR EXPRESSION OF INTEREST (REOI) Contract I.D No.	: 20CF0002 Contract Name	Geotechnical Sur</t>
  </si>
  <si>
    <t xml:space="preserve"> 1 ea Nose Gear Drag Brace Bolt PN: 90-820011-5 &amp; 4 L/I</t>
  </si>
  <si>
    <t xml:space="preserve"> PROCUREMENT OF OFFICE EQUIPMENT, PROJECT MMK, PROJECT G-NEWS.COM, PROJECT TLE, AND  BALIK SIGLA SA MAPEH (MUSIC, PE, HEALTH)</t>
  </si>
  <si>
    <t xml:space="preserve"> 1 ea Pressure Plate &amp; 63 L/I</t>
  </si>
  <si>
    <t xml:space="preserve"> PURCHASE OF SUPPLIES AND MATERIALS FOR SMOKE FREE BARANGAY AND SOLID WASTE MANAGEMENT CAMPAIGN PROGRAM</t>
  </si>
  <si>
    <t xml:space="preserve"> 3 ea Battery, Storage 12V, size 4D &amp; 9 L/I</t>
  </si>
  <si>
    <t xml:space="preserve"> PRINTING AND BINDING</t>
  </si>
  <si>
    <t xml:space="preserve"> BALURAN ELEMENTARY SCHOOL MARCH &amp; APRIL 2020 MOOE</t>
  </si>
  <si>
    <t xml:space="preserve"> 4 bx Blind Rivet 5/32 &amp; 9 L/I</t>
  </si>
  <si>
    <t xml:space="preserve"> 25 bg Cement &amp; 41 L/I</t>
  </si>
  <si>
    <t xml:space="preserve"> Republic of the Philippines Province of Batangas CITY OF TANAUAN INVITATION TO BID Description 1)	The City Government of Tanauan, through the    General Fund intends to apply the sum of PHP  10,034,000.00 per month for (5 Months)   being the Approved Budg</t>
  </si>
  <si>
    <t xml:space="preserve"> PURCHASE OF SUPPLIES AND MATERIALS FOR WASTE MANAGEMENT</t>
  </si>
  <si>
    <t xml:space="preserve"> Procurement of Hardware Materials for office glass sliding windows and glass division wall with sliding door including installation services</t>
  </si>
  <si>
    <t xml:space="preserve"> FOR INQUIRIES PLEASE CONTACT: DAN DENNIS S. ALERA BAC Secretariat 09228741557 dandennis.alera@deped.gov.ph</t>
  </si>
  <si>
    <t xml:space="preserve"> Republic of the Philippines Bangsamoro Autonomous Region in Muslim Mindanao Provincial Government of Maguindanao BIDS AND AWARDS COMMITTEE REQUEST FOR QUOTATION The PROVINCIAL GOVERNMENT OF MAGUINDANAO – Office of the Provincial Engineer invites all inter</t>
  </si>
  <si>
    <t xml:space="preserve"> PURCHASE OF OTHER SUPPLIES AND MATERIALS</t>
  </si>
  <si>
    <t xml:space="preserve"> 1 ea The Illustration Guide to Aircraft Carriers of the Word &amp; 16 L/I</t>
  </si>
  <si>
    <t xml:space="preserve"> TERMS OF REFERENCE Consultancy Services PRIORITY DEVELOPMENT AREAS AND PARTNERS ON INTERNATIONAL COOPERATION: ASEAN REGION Background Tourism in the South East Asia boasts unique and dynamic quality products – its people, culture and heritage, rural lands</t>
  </si>
  <si>
    <t xml:space="preserve"> 2 ea Battery 4D &amp; 6 L/I</t>
  </si>
  <si>
    <t xml:space="preserve"> Development of additional existing water system at New Poblacion and Bilis by tapping water from Ribsuan River</t>
  </si>
  <si>
    <t xml:space="preserve"> PURCHASE OF FURNITURE AND FIXTURES</t>
  </si>
  <si>
    <t xml:space="preserve"> Republic of the Philippines Province of Cotabato Municipality of Aleosan Invitation to Bid  SUPPLY AND DELIVERY OF DEVICES AND EQUIPMENTS FOR MUNICIPAL BIRTHING HOME, ALEOSAN, COTABATO                                                                       </t>
  </si>
  <si>
    <t xml:space="preserve"> REQUEST FOR QUOTATION									 				                                                                                                                                                                                    Date: _______________________ __________</t>
  </si>
  <si>
    <t xml:space="preserve"> Please see attached file. Thanks!</t>
  </si>
  <si>
    <t xml:space="preserve"> 8 set Clearing Kit Cal .45 &amp; 6 L/I</t>
  </si>
  <si>
    <t xml:space="preserve"> PURCHASE OF OFFICE SUPPLIES AND MATERIALS</t>
  </si>
  <si>
    <t xml:space="preserve"> 100 pk Chocolate Drinks, Sachet, 22g, 12s &amp; 23 L/I</t>
  </si>
  <si>
    <t xml:space="preserve"> 3 Storey Multipurpose Building with Function Hall</t>
  </si>
  <si>
    <t xml:space="preserve"> Standard Form Number: SF-GOODS-05 Revised on: July 29, 2004        Republic of the Philippines Province of Nueva Ecija Municipality of Bongabon INVITATION TO BID The Municipal Government of Bongabon, Nueva Ecija, through its Bids and Awards Committee (BAC</t>
  </si>
  <si>
    <t xml:space="preserve"> Please see attached RFQ FOR INQUIRIES PLEASE CONTACT: 	 	DAN DENNIS S. ALERA 	BAC Secretariat 63	9228741557 	dandennis.alera@deped.gov.ph</t>
  </si>
  <si>
    <t xml:space="preserve"> 70     bxs     laminated wood 5       tube    sealant (bostik) 50     pcs      profile baseboard 5.5</t>
  </si>
  <si>
    <t xml:space="preserve"> UBALDE E/S MOOE Request for the Months of April, May and June, 2020.</t>
  </si>
  <si>
    <t xml:space="preserve"> 2     SETS     Computer with Printer                    Processor: Intel Core i3 9100 3.6GHZ                    Motherboard: ECS/ASUS/GIGABYTE comp MOBO                    Memory: 8gb mem DDRA Kingston, Crucial                    Harddisk: 240 gb ssd min,</t>
  </si>
  <si>
    <t xml:space="preserve"> PURCHASE OF ADDITIONAL CCTV</t>
  </si>
  <si>
    <t xml:space="preserve"> Repair and Rehabilitation Of Supply and COA Office</t>
  </si>
  <si>
    <t xml:space="preserve"> PURCHASE OF COMMUNICATION EQUIPMENT</t>
  </si>
  <si>
    <t xml:space="preserve"> ONE JOB FURNISHING LABOR AND MATERIALS FOR THE REHABILITATION OF DRAINAGE SYSTEM</t>
  </si>
  <si>
    <t xml:space="preserve"> CONTRACT ID: 19GL00110; P.R. No. 2020-03-034 DATED 03/03/2020; P.R. No. 2020-05-058 DATED 05/27/2020; P.R. No. 2020-05-059 DATED 05/27/2020; P.R. No. 2020-06-062 DATED 06/05/2020; P.R. No. 2020-06-063 DATED 06/05/2020; P.R. No. 2020-06-064 DATED 06/05/202</t>
  </si>
  <si>
    <t xml:space="preserve"> PURCHASE OF OFFICE EQUIPMENT</t>
  </si>
  <si>
    <t xml:space="preserve"> Republic of the Philippines DEPARTMENT OF PUBLIC WORKS AND HIGHWAYS NUEVA ECIJA 2ND DISTRICT ENGINEERING OFFICE REGIONAL OFFICE III San Isidro, Cabanatuan City INVITATION TO BID The   DPWH- Nueva Ecija 2nd District Engineering Office, through its Bids and</t>
  </si>
  <si>
    <t xml:space="preserve"> Please see attached RFQ FOR INQUIRIES PLEASE CONTACT: DAN DENNIS S. ALERA BAC Secretariat 09228741557 dandennis.alera@deped.gov.ph</t>
  </si>
  <si>
    <t xml:space="preserve"> PURCHASE OF SUPPLIES AND MATERIALS FOR  TREE TRIMMING AND STREET LIGHTING PURPOSES</t>
  </si>
  <si>
    <t xml:space="preserve"> Republic of the Philippines Province of Nueva Ecija Municipality of Cuyapo OFFICE OF THE BIDS AND AWARDS COMMITTEE REQUEST FOR QUOTATION The Municipal Government of Cuyapo, Nueva Ecija  , through its Bids and Awards Committee, shall undertake procurement </t>
  </si>
  <si>
    <t xml:space="preserve"> Please see attached file 	DAN DENNIS S. ALERA 	BAC Secretariat 63	9228741557 	dandennis.alera@deped.gov.ph</t>
  </si>
  <si>
    <t xml:space="preserve"> DP 160 - 3a, 50.0 LPS @ 84. mts, 6" dia NPT, SS316 submersible pump, coupled to 75.0 Hp, 460V, phase, 3 wires, 6" dia submersible motor 3C - 50mm2/#1.0 AWG submersible wire VFD motor controller Please see attached bidding documents for the details of the </t>
  </si>
  <si>
    <t xml:space="preserve"> Invitation to Bid to all Supplier/Contractor duly accredited by the City Council of Manila to supply and deliver the following items provided hereunder, to wit; Item	Qty.	 	Unit	 	 	 	DESCRIPTION 1	 	1	 	Set	2 Laptop W/ 1 Printer	 	  2	 	1	 	Set	CCTV CAME</t>
  </si>
  <si>
    <t xml:space="preserve"> IMPROVEMENT OF MULTI- PURPOSE FACILITY AT BRGY. CIUDAD REAL, CSJDM, BULACAN</t>
  </si>
  <si>
    <t xml:space="preserve"> Republic of the Philippines Department of Education CARAGA ADMINISTRATIVE REGION DIVISION OF CABADBARAN CITY CALAMBA NATIONAL HIGH SCHOOL Calamba, Cabadbaran City ___________________________________ Request for Quotation Date: June 16, 2020 Quotation No.:</t>
  </si>
  <si>
    <t xml:space="preserve"> I N V I T A T I O N   T O   B I D 2020 - 105 June 17, 2020 1.	The Provincial Government of Tarlac through the Trust Fund intends to apply the sum of Seventeen Million Six Hundred Thirty-Eight Thousand One Hundred Sixty-Four Pesos and 50/100 (Php 17,638,16</t>
  </si>
  <si>
    <t xml:space="preserve"> 4     pcs     Copier Machine ink TK899 Black 3     pcs     Copier Machine Ink TK899 Cyan 3     pcs     Copier Machine Ink TK899 Magenta 3     pcs     Copier Machine Ink TK899 Yellow 1     pc       Copier Machine Ink TK 3104</t>
  </si>
  <si>
    <t xml:space="preserve"> 125 KVA, 460, 3 phase, generator set, water colled, turbo diesel engine, open- type skid base mounted Please see attached bidding documents for the details of the project to be bid.</t>
  </si>
  <si>
    <t xml:space="preserve"> Please see attached file 	FOR INQUIRIES PLEASE CONTACT: 	 	DAN DENNIS S. ALERA 	BAC Secretariat 63	9228741557 	dandennis.alera@deped.gov.ph</t>
  </si>
  <si>
    <t xml:space="preserve"> CONTRACT ID: 19GL00111; P.R. No. 2020-06-061 DATED 06/04/2020 CONTRACT LOCATION: EQUIPMENT MANAGEMENT DIVISION, DPWH R.O. XI, PANACAN, DAVAO CITY CONTRACT DESCRIPTION: PROCUREMENT OF VARIOUS TIRES, FOR USE IN THE CORRECTIVE &amp; PREVENTIVE MAINTENANCE OF VAR</t>
  </si>
  <si>
    <t xml:space="preserve"> 300     PCS      POLO SHIRT XS-XL 18       PCS      POLO SHIRT XXL, XXXL</t>
  </si>
  <si>
    <t xml:space="preserve"> 46 pieces HEADSETS Specifications 3.5mm Audio /Mic Separate Connectors 0Hz - 20KHz / Impedance: 32 Driver: 2 x 60mm neodymium magnets Cable Length: Max 2.53m</t>
  </si>
  <si>
    <t xml:space="preserve"> PARTICULAR		"APPROVED BUDGET FOR THE CONTRACT (ABC)  PH"	SOURCE OF FUND FOR 2020 NO.	ITEM DESCRIPTION		 1	Data Storage	 750,000.00 	GAA 2	Desktop Computer	 2,125,000.00 	 3	Notebook Computer	 1,600,000.00 	 4	Microsoft Office Pro 2019 	 500,000.00 	 5	Des</t>
  </si>
  <si>
    <t xml:space="preserve"> GENERAL MERCHANDISE</t>
  </si>
  <si>
    <t xml:space="preserve"> Rehabilitation of Local Access Road, Subec, Sta. Catalina, Ilocos Sur</t>
  </si>
  <si>
    <t xml:space="preserve"> Please see attached file FOR INQUIRIES PLEASE CONTACT:	 	 DAN DENNIS S. ALERA	 BAC Secretariat	 09228741557	 dandennis.alera@deped.gov.ph</t>
  </si>
  <si>
    <t xml:space="preserve"> construction of 70 linear meter x 4.0m wide barangay road</t>
  </si>
  <si>
    <t xml:space="preserve"> REQUEST FOR QUOTATION Date: ____________ Name of Dealer: ____________ Address: ____________ GENTLEMEN: Please quote your lowest price and indicate shortest delivery date of articles herein below enumerated and return the same in SEALED ENVELOPE together w</t>
  </si>
  <si>
    <t xml:space="preserve"> 10,000 Food Packs 	*3 kilograms rice (good quality) 	*3 cans sardines (155g) 	*1/2 kilogram pancit (pre-packed) 	*2 cans corned-beef (175g)</t>
  </si>
  <si>
    <t xml:space="preserve"> Please see attached.</t>
  </si>
  <si>
    <t xml:space="preserve"> DP 160 - 3a, 50.0 LPS @ 67.6 mts, 6" dia NPT, SS316 submersible pump, coupled to 75.0 Hp, 460V, phase, 3 wires, 6" dia submersible motor 82-A3 splicing kit 3C - 50mm2/#1.0 AWG submersible wire VFD motor controller Please see attached bidding documents for</t>
  </si>
  <si>
    <t xml:space="preserve"> CONSTRUCTION OF TWO LAYER OPEN CANAL WITH COVER (241.00 LM) AT RD 16 BLK 32B AND BLK 36 RD. 14 BRGY MINUYAN V, CSJDM, BUALACAN</t>
  </si>
  <si>
    <t xml:space="preserve"> CONTRACT ID: 19GL00112; P.R. No. 2020-06-061 DATED 06/04/2020 CONTRACT LOCATION: EQUIPMENT MANAGEMENT DIVISION, DPWH R.O. XI, PANACAN, DAVAO CITY CONTRACT DESCRIPTION:	PROCUREMENT OF VARIOUS FILTERS &amp; LUBRICANT, FOR USE IN THE CORRECTIVE &amp; PREVENTIVE MAIN</t>
  </si>
  <si>
    <t xml:space="preserve"> Please see attached file FOR INQUIRIES PLEASE CONTACT: DAN DENNIS S. ALERA BAC Secretariat 09228741557 dandennis.alera@deped.gov.ph</t>
  </si>
  <si>
    <t xml:space="preserve"> Invitation to Bid to all Supplier/Contractor duly accredited by the City Council of Manila to supply and deliver the following items provided hereunder, to wit; Item	Qty.	 	Unit	 	 	 	DESCRIPTION	  1	 	1	 	Set	Motorcycle With Sidecar	 	 	 	 	  BID PROPOSA</t>
  </si>
  <si>
    <t xml:space="preserve"> -Essential materials for COVID19 Pandemic prevention</t>
  </si>
  <si>
    <t xml:space="preserve"> TERMS OF REFERENCE Consultancy Services PRIORITY DEVELOPMENT AREAS AND PARTNERS ON INTERNATIONAL COOPERATION: ASIA AND THE PACIFIC REGION Background Asia and the Pacific plays a vital role in global tourism, both as an inbound and an outbound market. Tota</t>
  </si>
  <si>
    <t xml:space="preserve"> 66.0 LPS @ 65m TDH SS-316 submersible pump 4.0 LPS LPS @ 85m TDH pump, SS316 3.3 LPS @ 77m TDH  Please see attached bidding documents for the details of the project to be bid.</t>
  </si>
  <si>
    <t xml:space="preserve"> I N V I T A T I O N   T O   B I D 2020 - 107 June 17, 2020 1.	The Provincial Government of Tarlac, intends to apply the sum tabulated herein being the Approved Budget for the Contract (ABC) to payments under the contract of Procurement of Drugs and Medici</t>
  </si>
  <si>
    <t xml:space="preserve"> Construction of Sanitary Toilet &amp; Hygiene Facility, Poblacion, Sta. Catalina, Ilocos Sur</t>
  </si>
  <si>
    <t xml:space="preserve"> OFFICE OF THE BIDS AND AWARDS COMMITTEE (BAC) INVITATION TO BID FOR: 20-06-445 Purchase of Fuel for Oplan Ligtas na Pamayanan Program under Bureau of Fire Protection (BFP) 1.	The Local Government Unit of Alamada, through the TF 2019-5-02-03-090 intends to</t>
  </si>
  <si>
    <t xml:space="preserve"> Republic of the Philippines									 Department of Education 									 Region VI - Western Visayas									 SCHOOLS DIVISON OF BACOLOD CITY									 PATRICIA HOMES ELEMENTARY SCHOOL									 Brgy. Granada, Bacolod City									 REQUEST FOR PRICE QUOTATION</t>
  </si>
  <si>
    <t xml:space="preserve"> PR.No. ____________________ Republic of the Philippines Region XII Province of Cotabato Municipality of Aleosan  OFFICE OF BIDS AND AWARDS COMMITTEE REQUEST FOR QUOTATION __________________________ Name of Company __________________________ Address 	The L</t>
  </si>
  <si>
    <t xml:space="preserve"> Invitation to Bid Sipocot National High School through its Bids and Awards Committee (BAC) invites PhilGEPS registered suppliers to apply to bid for the Supply and Delivery of two thousand (2,000) pieces of face mask for students.</t>
  </si>
  <si>
    <t xml:space="preserve"> Republic of the Philippines Region XII Province of Cotabato BIDS AND AWARDS COMMITTEE Amas, Kidapawan City INVITATION TO BID FOR Supply &amp; Delivery of Adlai Thresher with Machine to be given to qualified association in the province. (PB-20-208) 1.	The Prov</t>
  </si>
  <si>
    <t xml:space="preserve"> supply &amp; delivery of maintenance materials</t>
  </si>
  <si>
    <t xml:space="preserve"> -COVID19 essential materials for prevention and reproduction of modules and worksheets</t>
  </si>
  <si>
    <t xml:space="preserve"> 12 units</t>
  </si>
  <si>
    <t xml:space="preserve"> Republic of the Philippines DEPARTMENT OF PUBLIC WORKS AND HIGHWAYS OFFICE OF THE DISTRICT ENGINEER Bukidnon 1st District Engineering Office Malaybalay City INVITATION TO BID The Department of Public Works and Highways, Bukidnon 1st District Engineering o</t>
  </si>
  <si>
    <t xml:space="preserve"> I N V I T A T I O N   T O   B I D 2020 - 106 June 17, 2020 1.	The Provincial Government of Tarlac through the Trust Fund intends to apply the sum of Four Million Two Hundred Fifty-Two Thousand Four Hundred Six Pesos Only (PhP 4,252,406.00) being the Appro</t>
  </si>
  <si>
    <t xml:space="preserve"> Supply &amp; delivery of thermoplastic materials</t>
  </si>
  <si>
    <t xml:space="preserve"> CONTRACT ID: 19GL00113; P.R. No. 2020-02-031 DATED 02/27/2020 CONTRACT LOCATION: DPWH DAVAO ORIENTAL 2ND DEO, CITY OF MATI, DAVAO ORIENTAL CONTRACT DESCRIPTION: PROCUREMENT OF VARIOUS FURNITURES, FOR USE IN THE SATELLITE MATERIALS TESTING LABORATORY (SMTL</t>
  </si>
  <si>
    <t xml:space="preserve"> The Sangguniang Barangay Capipisa, Tanza, Cavite through its Bids and Awards Committee (BAC), invites contractors registered with and classified by the Philippine Contractors Accreditation Board (PCAB) to apply for eligibility and if found eligible, to bi</t>
  </si>
  <si>
    <t xml:space="preserve"> INVITATION TO BID The Iligan City Government Bids and Awards Committee (BAC), through General Fund 2020, intends to apply the sum of P 1,499,425.00 being the Approved Budget for the Contract (ABC) to payments under the Contract for Procurement of Medical </t>
  </si>
  <si>
    <t xml:space="preserve"> OFFICE OF THE BIDS AND AWARDS COMMITTEE (BAC) INVITATION TO BID FOR: 20-05-409 Purchase of Cacao Seedlings for Cacao Production, Processing and Marketing Project under DAR-MinSAAD 1.	The Local Government Unit of Alamada, through the TRUST FUND- DAR-MinSAA</t>
  </si>
  <si>
    <t xml:space="preserve"> Description   The MINISTRY OF SOCIAL SERVICES AND DEVELOPMENT BARMM, intends to apply the sum of FOURTEEN MILLION AND THREE HUNDRED EIGHTY THOUSAND (P14,380,000.00) / PB-2020-001-1 being the Approved Budget for the Contract (ABC) to payments under the con</t>
  </si>
  <si>
    <t xml:space="preserve"> Republic of the Philippines Region XII Province of Cotabato BIDS AND AWARDS COMMITTEE Amas, Kidapawan City INVITATION TO BID FOR Supply &amp; Delivery of Acrylic Laser Cutter and Printer for MuseyoKutawato, Amas, Kidapawan City. (PB-20-325) 1.	The Provincial </t>
  </si>
  <si>
    <t xml:space="preserve"> Republic of the Philippines Region XII Province of Cotabato BIDS AND AWARDS COMMITTEE Amas, Kidapawan City INVITATION TO BID FOR Supply &amp; Delivery of Laboratory Reagents for Pres. Roxas Provincial Community Hospital, Pres. Roxas, Cotabato. (PB-20-330) 1.	</t>
  </si>
  <si>
    <t xml:space="preserve"> I N V I T A T I O N   T O   B I D 2020 - 109 June 17, 2020 1.	The Provincial Government of Tarlac through the PGO - Capital Outlay - ICT Equipment; PGO - Other MOE intends to apply the sum of Three Million Thirty-Seven Thousand Three Hundred Eighty-Six Pe</t>
  </si>
  <si>
    <t xml:space="preserve"> I N V I T A T I O N   T O   B I D 2020 - 108 June 17, 2020 1.	The Provincial Government of Tarlac through the Trust Fund intends to apply the sum of Three Million Six Hundred Fifty-Three Thousand Seven Hundred Fifty-Six Pesos Only (PhP 3,653,756.00) being</t>
  </si>
  <si>
    <t xml:space="preserve"> Supply &amp; delivery of: 1	272	pcs	Polo Shirt 			xxxxxxx</t>
  </si>
  <si>
    <t xml:space="preserve"> Republic of the Philippines Region XII Province of Cotabato BIDS AND AWARDS COMMITTEE Amas, Kidapawan City INVITATION TO BID FOR Supply &amp; Delivery of Hardware Supplies to be given to various clients in the municipalities of Pres. Roxas, Antipas &amp; Arakan, </t>
  </si>
  <si>
    <t xml:space="preserve"> INVITATION TO BID FOR Upgrading of BiPSU Electrical System (Main Campus &amp; Biliran Campus) 1.	The BILIRAN PROVINCE STATE UNIVERSITY (BiPSU), through the General Appropriations Act (GAA) 2020 intends to apply the sum of Nine Million Six Hundred Sixty Thousa</t>
  </si>
  <si>
    <t xml:space="preserve"> See attached Terms of Reference</t>
  </si>
  <si>
    <t xml:space="preserve"> Flash Drive, 16gb capacity 	  MOUSE, optical, USB connection type 	  SpeciaL Paper(A4), white 	  TOILET BOWL AND URINAL, ordinary 	  Foot Bath,  	  Foot Matt, with tray and disinfectant 	  Knapsack Sprayer 	  48x25 Moveable Hand Washing Lavatory with 2 fa</t>
  </si>
  <si>
    <t xml:space="preserve"> Republic of the Philippines Region XII Province of Cotabato BIDS AND AWARDS COMMITTEE Amas, Kidapawan City INVITATION TO BID FOR Supply &amp; Delivery of Training Supplies for the conduct of various activities of the PDRRMO, Amas, Kidapawan City. (PB-20-328) </t>
  </si>
  <si>
    <t xml:space="preserve"> Republic of the Philippines Region XII Province of Cotabato BIDS AND AWARDS COMMITTEE Amas, Kidapawan City INVITATION TO BID FOR Supply &amp; Delivery of Office &amp; IT Equipment for Provincial Social Welfare &amp; Development Office, Amas, Kidapawan City. (PB-20-32</t>
  </si>
  <si>
    <t xml:space="preserve"> Republic of the Philippines Region XII Province of Cotabato BIDS AND AWARDS COMMITTEE Amas, Kidapawan City INVITATION TO BID FOR Supply of Petroleum Products for Provincial Social Welfare and Development Office, Amas, Kidapawan City. (PB-20-326) 1.	The Pr</t>
  </si>
  <si>
    <t xml:space="preserve"> 300 bottles Enzymesis Nature Aide CPLS 1L 100 gallons Molases 1L 100 gallons Creolinesol 20ml</t>
  </si>
  <si>
    <t xml:space="preserve"> Republic of the Philippines Region XII Province of Cotabato BIDS AND AWARDS COMMITTEE Amas, Kidapawan City INVITATION TO BID FOR Supply &amp; Installation of Glass Doors for Mlang District Hospital, Mlang, Cotabato. (PB-20-299) 1.	The Provincial Government of</t>
  </si>
  <si>
    <t xml:space="preserve"> **Semi-Expendables - Other Machinery &amp; Equipment) **To ensure safe water supply for teachers and pupils.</t>
  </si>
  <si>
    <t xml:space="preserve"> Provision of Labor, Materials and Equipment for the Concreting of Road at Brgy. San Andres, Julita, Leyte in accordance with the plan and specifications : SCOPE OF WORK:  * Cleaning and Grubbing (with stripping) - - - - - - - - &gt; 600.00 sq.m * Sub-grade P</t>
  </si>
  <si>
    <t xml:space="preserve"> The Agricultural Training Institute Region IV-A (ATI Region IV-A) invites interested suppliers to submit quotations/ proposals for the hereunder requirement: Supply and Delivery of various Construction Supplies and Materials for Enhancement of LSA/SPA/ESP</t>
  </si>
  <si>
    <t xml:space="preserve"> I N V I T A T I O N   T O   B I D 2020 - 112 June 17, 2020 1.	The Provincial Government of Tarlac through the Non Office - Repair and Maintenance - Infrastructure Projects intends to apply the sum of One Million Six Hundred Seventy-Seven Thousand Five Hun</t>
  </si>
  <si>
    <t xml:space="preserve"> The Agricultural Training Institute Region IV-A (ATI Region IV-A) invites interested suppliers to submit quotations/ proposals for the hereunder requirement: Provision of Meals and Snacks for the conduct of TOT on Production of High Quality Inbred Rice Se</t>
  </si>
  <si>
    <t xml:space="preserve"> The Agricultural Training Institute Region IV-A (ATI Region IV-A) invites interested suppliers to submit quotations/ proposals for the hereunder requirement: Supply and Delivery of Cultivating Tiller and Multipurpose Shredder for Enhancement of LSA/SPA/ES</t>
  </si>
  <si>
    <t xml:space="preserve"> I N V I T A T I O N   T O   B I D 2020 - 111 June 17, 2020 1.	The Provincial Government of Tarlac through the Non Office - Repair and Maintenance - Infrastructure Projects intends to apply the sum of Five Million Two Hundred Ninety-Seven Thousand Pesos On</t>
  </si>
  <si>
    <t xml:space="preserve"> Invitation to bid SUPPLY AND DELIVERY OF IT EQUIPMENT: LARGE FORMAT SCANNER ITB No. R4B-20-06-07 1.	The NIA MIMAROPA Regional Office, through the General Appropriations Act of 2018 intends to apply the sum of ONE MILLION TWO HUNDRED THIRTY FIVE THOUSAND &amp;</t>
  </si>
  <si>
    <t xml:space="preserve"> 10 pieces PVC Pipe #3 and others.</t>
  </si>
  <si>
    <t xml:space="preserve"> Provision of Labor, Materials and Equipment for the Construction of 2 units Comfort Room at Leyte Provincial Hospital in accordance with the plan and specifications: SCOPE OF WORK: * Embankment - - - - - - - - - - - - - - - - - -&gt;   4.80 cu.m * Structure </t>
  </si>
  <si>
    <t xml:space="preserve"> *Please see attached RFQ</t>
  </si>
  <si>
    <t xml:space="preserve"> Contract ID No. 20OH0152 Contract Name :  Local Program - Local   Infrastructure  Program - Buildings  and  other  Structures - Multi-Purpose/Facilities-Construction/Rehabilitation of Various Multi-purpose Building, Baseco Port Area, Manila Contract Locat</t>
  </si>
  <si>
    <t xml:space="preserve"> Republic of the Philippines Region XII Province of Cotabato BIDS AND AWARDS COMMITTEE Amas, Kidapawan City INVITATION TO BID FOR Supply &amp; Delivery of Agricultural Chemicals for the Office of the Provincial Agriculturist, Amas, Kidapawan City. (PB-20-331) </t>
  </si>
  <si>
    <t xml:space="preserve"> I N V I T A T I O N   T O   B I D 2020 - 110 June 17, 2020 1.	The Provincial Government of Tarlac through the Trust Fund intends to apply the sum of One Million One Hundred Eighty-Six Thousand Eight Pesos and 12/100 (PhP 1,186,008.12) being the Approved B</t>
  </si>
  <si>
    <t xml:space="preserve"> Republic of the Philippines Province of Camarines Norte Municipality of Daet BARANGAY V Tel. 721-1820 OFFICE OF THE BIDS AND AWARDS COMMITTEE June 16, 2020 INVITATION TO APPLY FOR ELIGIBILITY AND TO BID The BARANGAY V, Daet Camarines Norte, through its Bi</t>
  </si>
  <si>
    <t xml:space="preserve"> **Semi - Expendables, Other Machinery &amp; Equipment) **To be used as precautionary measures in fighting the Corona Virus Disease.</t>
  </si>
  <si>
    <t xml:space="preserve"> Invitation to Bid to all Supplier/Contractor duly accredited by the City Council of Manila to supply and deliver the following items provided hereunder, to wit; Item	Qty.	 	Unit	 	 	 	DESCRIPTION 1	 	1	 	Set	CCTV CAMERA (Cameras, Power Supply,	   	 	 	 	 </t>
  </si>
  <si>
    <t xml:space="preserve"> The Agricultural Training Institute Region IV-A (ATI Region IV-A) invites interested suppliers to submit quotations/ proposals for the hereunder requirement: Supply and Delivery of various Training Supplies and Materials for the conduct of CRA Activity in</t>
  </si>
  <si>
    <t xml:space="preserve"> INVITATION TO BID FOR SUBSCRIPTION TO A MULTI-TELCO BULK SMS SERVICE FOR DSWD ENTERPRISE —  ITB NO. GOP/20-DSWD-042 — (PR NO. 2019111806) 1. The Department of Social Welfare and Development (DSWD), through the DSWD Funds, intends to apply the sum of One M</t>
  </si>
  <si>
    <t xml:space="preserve"> 20 pieces Double Lumen ST High Flow Catheter Curve 13Fx150mm</t>
  </si>
  <si>
    <t xml:space="preserve"> **To be used during marketing advocacy programs and health protocol for COVID-19.</t>
  </si>
  <si>
    <t xml:space="preserve"> NAME OF PROJECT:  CONCRETING OF FARM TO MARKET ROAD LOCATION:  Brgy. Cabusay, Labo, Camarines Norte PhP 350,000.00 Description: Concreting of 2.00 x 90.00 LM FMR</t>
  </si>
  <si>
    <t xml:space="preserve"> **Semi - Expendables - ICT Equipment **To enhance knowledge, skills and attitude of teachers and to keep abreast with the recent concerns in education.</t>
  </si>
  <si>
    <t xml:space="preserve"> Please see attached RFQ and send an email to me at louwendellsanjose@dti.gov.ph</t>
  </si>
  <si>
    <t xml:space="preserve"> ELF MINI-DUMP TRUCK 6 WHEELERS NEW TIRES ENGINE-4BE1 EAGLE 3 SEATERS DIESEL 3 CUBIC</t>
  </si>
  <si>
    <t xml:space="preserve"> Stand-by Generator Set 16.0 KVA, 230V, 1 phase, diesel engine turbo type stand-by power Stand-by Generator Set 12.0 KVA, 230V, 1 phase, diesel engine turbo type stand-by power Automatic Transfer Switch, 100 amps, 230 bolts, single phase Please see attache</t>
  </si>
  <si>
    <t xml:space="preserve"> I N V I T A T I O N   T O   B I D 2020 - 114 June 17, 2020 1.	The Provincial Government of Tarlac through the TPH - Drugs and Medicines Expenses intends to apply the sum of Two Million Four Hundred Eighteen Thousand Seven Hundred Fifty Pesos Only (PhP 2,4</t>
  </si>
  <si>
    <t xml:space="preserve"> The Agricultural Training Institute Region IV-A (ATI Region IV-A) invites interested suppliers to submit quotations/ proposals for the hereunder requirement: Supply and Delivery of various Construction Supplies and Materials and Agricultural Input for Enh</t>
  </si>
  <si>
    <t xml:space="preserve"> Republic of the Philippines Province of Nueva Vizcaya BIDS AND AWARDS COMMITTEE (BAC-Goods) BAC OFFICE, Provincial Capitol, Bayombong, Nueva Vizcaya Tel. No. 078-392-2062 	 INVITATION TO BID FOR THE SUPPLY &amp; DELIVERY OF DESKTOP COMPUTERS, LAPTOP, NETWORK </t>
  </si>
  <si>
    <t xml:space="preserve"> I N V I T A T I O N   T O   B I D 2020 - 116 June 17, 2020 1.	The Provincial Government of Tarlac through the SEF - Library on Wheels intends to apply the sum of Two Million Eight Hundred Eighty-Seven Thousand Two Hundred Pesos Only (PhP 2,887,200.00) bei</t>
  </si>
  <si>
    <t xml:space="preserve"> I N V I T A T I O N   T O   B I D 2020 - 113 June 17, 2020 1.	The Provincial Government of Tarlac through the Trust Fund intends to apply the sum of Four Million Eight Hundred Thirty-Six Thousand Three Hundred Nine Pesos and 52/100 (PhP 4,836,309.52) bein</t>
  </si>
  <si>
    <t xml:space="preserve"> **To procure supplies/materials used in day-to-day school operations and teachers' classroom use.</t>
  </si>
  <si>
    <t xml:space="preserve"> I N V I T A T I O N   T O   B I D 2020 - 115 June 17, 2020 1.	The Provincial Government of Tarlac through the Non Office - Office Supplies Expenses intends to apply the sum of Four Million Four Hundred Eighty-Two Thousand One Hundred Eighty-Three Pesos On</t>
  </si>
  <si>
    <t xml:space="preserve"> Procurement of Security Services for BARMM-MPW Maguindanao 1st District Engineering Office: Three Security Personnel (Blue Guards Personnel), 8 hour per shift for (24) hours. Covering the period of July 1 to December 2020. Note: Guard Schedule as follows:</t>
  </si>
  <si>
    <t xml:space="preserve"> Please see attached RFQ and submit proposal at louwendellsanjose@dti.gov.ph</t>
  </si>
  <si>
    <t xml:space="preserve"> **Semi - Expendables - Other Machinery &amp; Equipment **To procure supplies/materials used in day-to-day school operations.</t>
  </si>
  <si>
    <t xml:space="preserve"> The Agricultural Training Institute Region IV-A (ATI Region IV-A) invites interested suppliers to submit quotations/ proposals for the hereunder requirement: Provision of Food, Accommodation and function amenities for the conduct of Refresher Course on Se</t>
  </si>
  <si>
    <t xml:space="preserve"> This project is own and govern by Barangay Bogo Calabat, Josefina, Zamboanga del Sur which they implement this rehab road from Duntolan to Barangay Nopulan and Purok 5 Crossing Boundary to Barangay Pitianan Misamis Occidental and has a distance of more th</t>
  </si>
  <si>
    <t xml:space="preserve"> I N V I T A T I O N   T O   B I D 2020 - 117 June 17, 2020 1.	The Provincial Government of Tarlac through the SEF - Special Programs (Essential Health Care Program and Kits for Kids) intends to apply the sum of Two Million Seven Hundred Thousand Pesos Onl</t>
  </si>
  <si>
    <t xml:space="preserve"> I N V I T A T I O N   T O   B I D 2020 - 118 June 17, 2020 1.	The Provincial Government of Tarlac, intends to apply the sum tabulated herein being the Approved Budget for the Contract (ABC) to payments under the contract of Implementation of Essential Hea</t>
  </si>
  <si>
    <t xml:space="preserve"> ITEM NO.	UNIT		QTY		DESCRIPTION		 							 1	 l.m 		 248.00 		Layout &amp; Staking		 2	 cu.m 		 954.78 		 Earth Works 		 3	 cu.m 		 99.80 		 Reinforcing Concrete 		 4	 lot 		 1.00 		 Reinforcing Steel 		 5	 sq.m 		 1,612.47 		 Masonry Works 		 6	 l.m 		 248.00</t>
  </si>
  <si>
    <t xml:space="preserve"> ITEM NO.	UNIT		QTY		DESCRIPTION		 							 1	 serve 		500		Snacks set A (sandwich and water)		 2	 serve 		500		 Snacks set B (sandwich, noodles and water) 		 3	 serve 		350		 Meals set A (rice, meat and water) 		 4	 serve 		500		 Meals set B (meat,veg. fru</t>
  </si>
  <si>
    <t xml:space="preserve"> ITEM NO.	UNIT		QTY		DESCRIPTION		 							 1	 ltrs 		45010		Diesel 		 2	 gals 		152		 Oil #10 		 3	 gals 		75		 Oil #40 		 INVITATION TO BID The Municipality of Sablayan through its Bids and Awards Committee (BAC) invites all interested contractors to appl</t>
  </si>
  <si>
    <t xml:space="preserve"> Consulting Services for Cabacanan Small Reservoir Irrigation Project-Detailed Engineering</t>
  </si>
  <si>
    <t xml:space="preserve"> ITEM NO.	UNIT		QTY		DESCRIPTION		 							 1	 unit 		22		Siren		 					 Specs: 		 					 Requires: 220V AC power source 		 					 Specifications of JDW188 Electric Mechanical  		 					 Omnidirectional Warning Alarm Siren 		 					 SKU: 371948935_PH-843166671 	</t>
  </si>
  <si>
    <t xml:space="preserve"> **Semi - Expendables (Other Machinery &amp; Equipment) **To ensure security and safety of the school.</t>
  </si>
  <si>
    <t xml:space="preserve"> QTY   UNIT      DESCRIPTION  2       Set       Window Type, 2.5 HP Cooling Capacity, Power Supply:220V/60Hz Single Phase, 12 hr timer Function, wireless remote control panel includes installation material and labor</t>
  </si>
  <si>
    <t xml:space="preserve"> INVITATION TO SUBMIT QUOTATION Quotation Issue Date: June 16, 2020 Quotation Closing Date:  June 23, 2020 Approved Budget for the Contract (ABC):  Php 851,500.00 Description of Goods and Quantity Required:  Procurement of Thirteen (13) Units High Speed Co</t>
  </si>
  <si>
    <t xml:space="preserve"> **To repair 1 Unit Aircon to ensure conducive working environment.</t>
  </si>
  <si>
    <t xml:space="preserve"> Purchase of Office Supplies - 2nd Quarter - SHS</t>
  </si>
  <si>
    <t xml:space="preserve"> Invitation to Bid for the Supply and Delivery of various Medicine for the use of Brgy. Talahib Payapa, Batangas City</t>
  </si>
  <si>
    <t xml:space="preserve"> The Agricultural Training Institute Region IV-A (ATI Region IV-A) invites interested suppliers to submit quotations/ proposals for the hereunder requirement: Supply and Delivery of various Agricultural Tools, Materials and Inputs for Extension Initiatives</t>
  </si>
  <si>
    <t xml:space="preserve"> Provision of Labor, Material and Equipment for the Improvement of Multi-Purpose Building in Brgy. Mahayhay, Alguera, Leyte in accordance with the plan and specifications:  SCOPE OF WORK: * Forms and Falseworks - - - - - - - - - - - -&gt; 185.00 sq.m * Prepai</t>
  </si>
  <si>
    <t xml:space="preserve"> Unit 	Item Description	Quantity	Unit Cost	Total Cost 				 pc	Facemask, Washable	1800	 48.00 	 86,400.00</t>
  </si>
  <si>
    <t xml:space="preserve"> Republic of the Philippines PROVINCE OF NUEVA ECIJA City of Palayan INVITATION TO BID FOR  SUPPLY AND DELIVERY OF BRAND-NEW DECANTER MACHINE FOR ASPHALT BATCHING PLANT June 17, 2020 1.	The Provincial Government of Nueva Ecija (PGNE), through the General F</t>
  </si>
  <si>
    <t xml:space="preserve"> The Agricultural Training Institute Region IV-A (ATI Region IV-A) invites interested suppliers to submit quotations/ proposals for the hereunder requirement: Supply and Delivery of various Agricultural Inputs, Supplies and Materials for Community-Based Nu</t>
  </si>
  <si>
    <t xml:space="preserve"> The Agricultural Training Institute-Regional Training Center VI (ATI-RTC VI) through its Bids and Awards Committee (BAC) intends to apply the sum of Four Hundred Thirty-five Thousand Nine Hundred Forty-nine Pesos Only (₱ 435,949.00). Being the Approved Bu</t>
  </si>
  <si>
    <t xml:space="preserve"> The Agricultural Training Institute-Regional Training Center VI (ATI-RTC VI) through its Bids and Awards Committee (BAC) intends to apply the sum of One Hundred Sixty-eight Thousand Nine Hundred Thirty Pesos Only (₱ 168,930.00). Being the Approved Budget </t>
  </si>
  <si>
    <t xml:space="preserve"> In view of the two (2) failed public biddings, the Local Government Unit (LGU) Bids and Awards Committee (BAC) invites interested bidder/s to participate in the negotiation for the Completion of Day Center with an Approved Budget for the Contract (ABC) of</t>
  </si>
  <si>
    <t xml:space="preserve"> PROCUREMENT OF THE FOLLOWING SERVICES: DUMPING AND SPREADING OF ITEM 201 APPROX. 150.0 METERS A. MATERIALS     ITEM 201 B. LABOR C. HAULING FOR MORE DETAILS VISIT THE BARANGAY</t>
  </si>
  <si>
    <t xml:space="preserve"> The Agricultural Training Institute Region IV-A (ATI Region IV-A) invites interested suppliers to submit quotations/ proposals for the hereunder requirement: Supply and Delivery of various Training Supplies and Materials for the conduct of Extension Initi</t>
  </si>
  <si>
    <t xml:space="preserve"> INVITATION TO BID                                                                   ITB NO. 20-08 	The Lung Center of the Philippines (LCP), through its Bids and Awards Committee (BAC), invites eligible bidders to bid for the : “PROCUREMENT OF VARIOUS MED</t>
  </si>
  <si>
    <t xml:space="preserve"> PROCUREMENT OF THE FOLLOWING SERVICES: DUMPING AND SPREADING OF ITEM 201 APPROX. 250.0 METERS. A. MATERIALS     ITEM 201 B. LABOR FOR MORE DETAILS VISIT THE BARANGAY</t>
  </si>
  <si>
    <t xml:space="preserve"> Please see attached copy of Request for Quotation</t>
  </si>
  <si>
    <t xml:space="preserve"> Republic of the Philippines Bangsamoro Autonomous Region in Muslim Mindanao Province of Maguindanao MUNICIPALITY OF DATU ABDULLAH SANGKI BIDS AND AWARDS COMMITTE   Talisawa, Datu Abdullah Sangki, Maguindanao   INVITATION TO BID The Local Government Unit o</t>
  </si>
  <si>
    <t xml:space="preserve"> PROCUREMENT OF THE FOLLOWING SERVICES: DUMPING AND SPREADING OF ITEM 201 APPROX. 1 KILOMETER. A. MATERIALS     ITEM 201 B. LABOR FOR MORE DETAILS VISIT THE BARANGAY</t>
  </si>
  <si>
    <t xml:space="preserve"> PROCUREMENT OF THE FOLLOWING SERVICES: DUMPING AND SPREADING OF ITEM 201 APPROX. 350.0 METERS A. MATERIALS     ITEM 201 B. LABOR FOR MORE DETAILS VISIT THE BARANGAY</t>
  </si>
  <si>
    <t xml:space="preserve"> CNH-0320-032</t>
  </si>
  <si>
    <t xml:space="preserve"> June 15, 2020 INVITATION TO BID  Reference No. 7031606 /Solicitation No.20-22 The City Government of Tagum invites interested Bidders/Suppliers to bid for the following: Name of Contract         :  SUPPLY AND INSTALLATION OF PANORAMIC/SCENIC ELEVATOR     </t>
  </si>
  <si>
    <t xml:space="preserve"> The Ipil NHS wants to hire 2 Agency Security Guards with an ABC of 240,000.00 in a year.</t>
  </si>
  <si>
    <t xml:space="preserve"> The AGRICULTURAL TRAINING INSTITUTE-REGIONAL TRAINING CENTER (ATI-RTC) X, through the 2020 General Appropriations Act intends to apply the sum of Two Hundred Fifty One Thousand Pesos (P 251,000.00) being the Approved Budget for the Contract (ABC) to payme</t>
  </si>
  <si>
    <t xml:space="preserve"> The AGRICULTURAL TRAINING INSTITUTE-REGIONAL TRAINING CENTER (ATI-RTC) X, through the 2020 General Appropriations Act intends to apply the sum of Sixty Four Thousand Two Hundred Pesos (P 64,200.00) being the Approved Budget for the Contract (ABC) to payme</t>
  </si>
  <si>
    <t xml:space="preserve"> The AGRICULTURAL TRAINING INSTITUTE-REGIONAL TRAINING CENTER (ATI-RTC) X, through the 2020 General Appropriations Act intends to apply the sum of Twenty Three Thousand Pesos (P 23,000.00) being the Approved Budget for the Contract (ABC) to payments under </t>
  </si>
  <si>
    <t xml:space="preserve"> TERMS OF REFERENCE 				                   For Petroleum RATIONALE: In compliance with Republic Act No. 9184 (R.A. 9184),as reiterated in Section 5 of its Implementing Rules and Regulations (IRR),procurement of general support services, including its non-p</t>
  </si>
  <si>
    <t xml:space="preserve"> The AGRICULTURAL TRAINING INSTITUTE-REGIONAL TRAINING CENTER (ATI-RTC) X, through the 2020 General Appropriations Act intends to apply the sum of Three Thousand Four Hundred Pesos (P 3,400.00) being the Approved Budget for the Contract (ABC) to payments u</t>
  </si>
  <si>
    <t xml:space="preserve"> 1 set Broad Band 1 set Laptop 1 set Desk Top 1 Unit Photo Copier w/ scanner 1 Unit Digit Camera (DSLR) 4 pcs External Memory 2 pcs External Drive 2 Unit Desk Top Computer 1 Unit Laptop Computer 1 Unit Printer 1 Unit Laptop 2 Units Printer FX 2175  1 Units</t>
  </si>
  <si>
    <t xml:space="preserve"> 1 UNIT LAPTOP 15 1 PORTABLE PHOTO PRINTER 1 UNIT PRINTER 3N1 W/ADF PLS. SEE ATTACHED FILE.</t>
  </si>
  <si>
    <t xml:space="preserve"> One (1) Job Contract Furnishing Materials, Labor &amp; Equipment for Construction of Evacuation Center Phase 4</t>
  </si>
  <si>
    <t xml:space="preserve"> Republic of the Philippines Province of Iloilo  BIDS AND AWARDS COMMITTEE REQUEST FOR QUOTATION Quotation No. PPD-20-043 NP3(SV) Reference PR No. PPD-20-043 May 20, 2019 _________________________ _________________________ _________________________ (Suppli</t>
  </si>
  <si>
    <t xml:space="preserve"> Procurement of Medical Supplies Lot 1</t>
  </si>
  <si>
    <t xml:space="preserve"> Order/Download and fill up attach Request for Quotation and submit to the BAC Office on/before closing date</t>
  </si>
  <si>
    <t xml:space="preserve"> Procurement of Personal Protective Equipment</t>
  </si>
  <si>
    <t xml:space="preserve"> Construction of WWS, Podpod-Paddig to ES Baclas, Apatan, Pinukpuk</t>
  </si>
  <si>
    <t xml:space="preserve"> Procurement of Male Condom</t>
  </si>
  <si>
    <t xml:space="preserve"> Please quote your lowest price on the item/s in the line item.</t>
  </si>
  <si>
    <t xml:space="preserve"> Procurement of Lynestrenol</t>
  </si>
  <si>
    <t xml:space="preserve"> Republic of the Philippines Province of Agusan del Sur Municipality of Trento BIDS &amp; AWARDS COMMITTEE INVITATION TO BID  FOR THE PROVISION OF OUTDOOR FACILITIES (PHYSICAL ACTIVITY EQUIPMENT) AND CONSTRUCTION OF PERIMETER FENCE PHASE 2 - OUTDOOR FACILITIES</t>
  </si>
  <si>
    <t xml:space="preserve"> Repair &amp; Construction of WWS, Bonnong-Taga, Pinukpuk</t>
  </si>
  <si>
    <t xml:space="preserve"> Please see attached copy of the Request For Quotation</t>
  </si>
  <si>
    <t xml:space="preserve"> 357 pcs Cudgel (Batuta)</t>
  </si>
  <si>
    <t xml:space="preserve"> ALBAY 3RD DISTRICT ENGINEERING OFFICE																										 Paulog, Ligao City																										 																										 																										 INVITATION TO BID																										 																										 																					</t>
  </si>
  <si>
    <t xml:space="preserve"> 602 bottles of multivitamins with inositol 135 boxes of ferrous sulfate BAC Activity 1. Advertisement/Invitation to bid - June 15, 2020 2. Issuance of Bid Documents - June 16-23, 2020  3. Submission of Receipt of Bids - July 7, 2020 @ 1:00 PM 4. Opening o</t>
  </si>
  <si>
    <t xml:space="preserve"> 1.	The Laguna State Polytechnic University Main Campus, through the LSPU-STF intends to apply the sum of Php2,000,000.00 being the Approved Budget for the Contract (ABC) to payments under the contract for the Procurement of Books for the University Librar</t>
  </si>
  <si>
    <t xml:space="preserve"> Republic of the Philippines PROVINCE OF SOUTHERN LEYTE Maasin City Invitation to Bid for the Reblocking of St. Bernard Municipal Road Barangay Himatagon, St. Bernard, Southern Leyte Contact ID # - 2020-07-07-040CW 1.	The Provincial Government of Southern </t>
  </si>
  <si>
    <t xml:space="preserve"> Republic of the Philippines PROVINCE OF SOUTHERN LEYTE Maasin City Invitation to Bid for the Completion/Concreting of Barangay Road Barangay Lumbog, Hinunangan, Southern Leyte Contact ID # - 2020-07-07-039CW 1.	The Provincial Government of Southern Leyte,</t>
  </si>
  <si>
    <t xml:space="preserve"> Republic of the Philippines PROVINCE OF SOUTHERN LEYTE Maasin City Invitation to Bid for the Construction of Canopy of Covered Court Barangay Cantutang, Padre Burgos, Southern Leyte Contact ID # - 2020-07-07-030CW 1.	The Provincial Government of Southern </t>
  </si>
  <si>
    <t xml:space="preserve"> Republic of the Philippines PROVINCE OF SOUTHERN LEYTE Maasin City Invitation to Bid for the Construction of Magaupas River Control Barangay Magaupas, Liloan, Southern Leyte Contact ID # - 2020-07-07-037CW 1.	The Provincial Government of Southern Leyte, t</t>
  </si>
  <si>
    <t xml:space="preserve"> School Supplies</t>
  </si>
  <si>
    <t xml:space="preserve"> Republic of the Philippines PROVINCE OF SOUTHERN LEYTE Maasin City Invitation to Bid for the Construction of Cabul-anonan Seawall Barangay Cabul-anonan, Malitbog, Southern Leyte Contact ID # - 2020-07-07-036CW 1.	The Provincial Government of Southern Leyt</t>
  </si>
  <si>
    <t xml:space="preserve"> Republic of the Philippines PROVINCE OF SOUTHERN LEYTE Maasin City Invitation to Bid for the Construction of San Ramon CHB Canal Barangay San Ramon, Bontoc, Southern Leyte Contact ID # - 2020-07-07-038CW 1.	The Provincial Government of Southern Leyte, thr</t>
  </si>
  <si>
    <t xml:space="preserve"> ALBAY 3RD DISTRICT ENGINEERING OFFICE																											 Paulog, Ligao City																											 																											 INVITATION TO BID																											 																											 The Department of Public Works and Highways</t>
  </si>
  <si>
    <t xml:space="preserve"> Republic of the Philippines PROVINCE OF SOUTHERN LEYTE Maasin City Invitation to Bid for the Construction of Ilihan Concrete Pavement Barangay Ilihan, Macrohon, Southern Leyte Contact ID # - 2020-07-07-049CW 1.	The Provincial Government of Southern Leyte,</t>
  </si>
  <si>
    <t xml:space="preserve"> Source of Fund: CY 2020 BASIC EDUCATIONAL FACILITIES FUND Expected Completion Period: 120 calendar days upon receipt of NTP The Department of Education, Dagupan City Division, through its Bids and Awards Committee (BAC), now invites bids for the above men</t>
  </si>
  <si>
    <t xml:space="preserve"> Republic of the Philippines PROVINCE OF SOUTHERN LEYTE Maasin City Invitation to Bid for the Concreting of Pandan Road Barangay Pandan, Sogod, Southern Leyte Contact ID # - 2020-07-07-048CW 1.	The Provincial Government of Southern Leyte, through the 20% E</t>
  </si>
  <si>
    <t xml:space="preserve"> Republic of the Philippines PROVINCE OF SOUTHERN LEYTE Maasin City Invitation to Bid for the Construction of Multi-Purpose Hall Barangay San Antonio, Tomas Oppus, Southern Leyte Contact ID # - 2020-07-07-031CW 1.	The Provincial Government of Southern Leyt</t>
  </si>
  <si>
    <t xml:space="preserve"> Republic of the Philippines PROVINCE OF SOUTHERN LEYTE Maasin City Invitation to Bid for the Rehabilitation of Barangay Pandan Multi-Purpose Building Barangay Pandan, Liloan, Southern Leyte Contact ID # - 2020-07-07-034CW 1.	The Provincial Government of S</t>
  </si>
  <si>
    <t xml:space="preserve"> Concreting of Barangay Road including 1. Subgade Preparation 2. Aggregate Base Course 3. Cement and Pavement.</t>
  </si>
  <si>
    <t xml:space="preserve"> Republic of the Philippines PROVINCE OF SOUTHERN LEYTE Maasin City Invitation to Bid for the Concreting of Soro-Soro-Hanginan Barangay Road Maasin City, Southern Leyte Contact ID # - 2020-07-07-046CW 1.	The Provincial Government of Southern Leyte, through</t>
  </si>
  <si>
    <t xml:space="preserve"> Republic of the Philippines PROVINCE OF SOUTHERN LEYTE Maasin City Invitation to Bid for the Rehabilitation of Spring Development Project Barangay Mahayag, St. Bernard, Southern Leyte Contact ID # - 2020-07-07-035CW 1.	The Provincial Government of Souther</t>
  </si>
  <si>
    <t xml:space="preserve"> Republic of the Philippines PROVINCE OF SOUTHERN LEYTE Maasin City Invitation to Bid for the Fabrication &amp; Installation of PAIASO Shelves Capitol Site, Asuncion, Maasin City, Southern Leyte Contact ID # - 2020-07-07-041CW 1.	The Provincial Government of S</t>
  </si>
  <si>
    <t xml:space="preserve"> To purchase drone camera at Barangay Silangan II.</t>
  </si>
  <si>
    <t xml:space="preserve"> 1. The  Municipality  of   Laua-an,  Antique   intends  to  apply  the  sum   of Four Hundred Ninety Nine Thousand Nine Hundred Ninety Nine Pesos &amp; 50/100 Only (Php499,999.50) being the Approved  Budget  for the  Contract  (ABC) to payments under the cont</t>
  </si>
  <si>
    <t xml:space="preserve"> Republic of the Philippines PROVINCE OF SOUTHERN LEYTE Maasin City Invitation to Bid for the Concreting of Dagsa Barangay Road Barangay Dagsa, Sogod, Southern Leyte Contact ID # - 2020-07-07-047CW 1.	The Provincial Government of Southern Leyte, through th</t>
  </si>
  <si>
    <t xml:space="preserve"> 1. The  Municipality  of   Laua-an,  Antique   intends  to  apply  the  sum   of One Hundred Ninety Nine Thousand Nine Hundred Seventy One Pesos &amp; 24/100 Only (Php199,971.24) being the Approved  Budget  for the  Contract  (ABC) to payments under the contr</t>
  </si>
  <si>
    <t xml:space="preserve"> ASSORTED CWN 76 KGS PORTLAND CEMENT 150 BAG 18 PCS 16 MM RSB 170.46 KGS #16 TIE WIRE 31 KGS 130-10MM ᴓ X 6M RSB 481 KGS 82-16MM ᴓ X 6M RSB 776.54 KGS FORM OIL 10 GAL SOLIGNUM 2 GAL 1/2" THK PLYWOOD 24 PCS 9' CORR GI SHEET 60 PCS RIDGE ROLL 5 PCS GUTTER 58</t>
  </si>
  <si>
    <t xml:space="preserve"> ART B OTHER GENERAL REQUIREMENTS B.5 PROJECT BILLBOARD/SIGNBOARD 1 LOT PART A EARTHWORK 801 REMOVAL OF STRUCTURES AND OBSTRUCTION 1 LUMPSUM 803(1)A EXCAVATION(CANAL EXCAVATION) 84 CU.M PART B PLAIN AND REINFORCED CONCRETE WORKS 900(1)A2 STRUCTURAL CONCRET</t>
  </si>
  <si>
    <t xml:space="preserve"> 1. 1710(5) GROUTED RIPRAP(CLASS A) 192 CU.M 2. 1704(1) EMBANKMENT 369.60 CU.M 3. PROJECT BILLBOARD  1 EACH</t>
  </si>
  <si>
    <t xml:space="preserve"> P.R. No. X11-20-02-104 - Supply and Delivery for the repair and maintenance of Mitsubishi Montero, H1-7670 (B5-G363) assigned at COA. (Please see attached RFQ)</t>
  </si>
  <si>
    <t xml:space="preserve"> 1.	The Local Government Unit of Las Nieves, through the Budget for the Contract Approved by the Sanggunian (20% DF) intends to apply the sum of one hundred forty four thousand and twenty five pesos only (Php 144,025.00)  being the Approved Budget for the </t>
  </si>
  <si>
    <t xml:space="preserve"> P.R. No. X11-20-04-194 - Supply and Delivery for the use of Ford Ranger Pick-up, H1-5972 (100803/ABB-7023), assigned at EMD. (Please see attached RFQ)</t>
  </si>
  <si>
    <t xml:space="preserve"> See attachment/s.</t>
  </si>
  <si>
    <t xml:space="preserve"> Paint, Epoxy, Component A&amp;B: + 2 Items - Set compose of epoxy resin and catalyst NOTE: PLEASE SEE ATTACHED PRE-PR FOR THE COMPLETE DETAILED OF SPECS.</t>
  </si>
  <si>
    <t xml:space="preserve"> 1.	The Local Government Unit of Las Nieves, through the Budget for the Contract Approved by the Sanggunian (20% DF) intends to apply the sum of one hundred eighty thousand pesos only (Php 180,000.00) for Lot 1 and seven thousand six hundred fifty pesos on</t>
  </si>
  <si>
    <t xml:space="preserve"> PART B OTHER GENERAL REQUIREMENTS B.5 PROJECT BILLBOARD/SIGNBOARD 1 LOT PART A EARTHWORK 803(1)A EXCAVATION(COLUMN FTG., WALL FTG &amp; SEPTIC TANK) 32.18 CU.M PART B PLAIN AND REINFORCED CONCRETE WORKS 900(1)A2 STRUCTURAL CONCRETE (FOOTING-&amp; WALL FOOTING) 6.</t>
  </si>
  <si>
    <t xml:space="preserve"> P.R. No. X4-20-03-137 - Supply and Delivery for the use in the Construction Division. (Please see attached RFQ)</t>
  </si>
  <si>
    <t xml:space="preserve"> ONE LOT 1. C.I. Gate Valve #75 mm dia, F/F w/ steel Ring flange &amp; BNG 2. C.I Gate valve box cover #150mm dia 3. C.I. Tee #100mm dia x 75 mm dia, M/F 4. C.I. Sleeve Type coupling #100 mm dia x 178 mm for PVC 5. C.I. Transition coupling #100mm dia x 178mm m</t>
  </si>
  <si>
    <t xml:space="preserve"> GEOTECHNICAL AND GEOLOGICAL SURVEY/ INVESTIGATIONS.</t>
  </si>
  <si>
    <t xml:space="preserve"> 1.	The Local Government Unit of Las Nieves, through the Budget for the Contract Approved by the Sanggunian (20% DF) intends to apply the sum of one hundred forty two thousand six hundred and fifty pesos only (Php 142,650.00)  being the Approved Budget for</t>
  </si>
  <si>
    <t xml:space="preserve"> printing materiALS bOND :pAPER  500 PCS.</t>
  </si>
  <si>
    <t xml:space="preserve"> The AGRICULTURAL TRAINING INSTITUTE-REGIONAL TRAINING CENTER (ATI-RTC) X, through the 2020 General Appropriations Act intends to apply the sum of Five Hundred Seventeen thousand Six Hundred Pesos (P 517,600.00) being the Approved Budget for the Contract (</t>
  </si>
  <si>
    <t xml:space="preserve"> 103(3)a INDIVIDUAL REMOVAL OF TREES 30 EACH 102(2) SURPLUS COMMON EXCAVATION 4,500 CU.M B.5 PROJECT BILLBOARD/SIGNBOARD 1 EACH</t>
  </si>
  <si>
    <t xml:space="preserve"> PRICE QUOTATION Ladies / Gentlemen: Please quote prices for the items listed below. This proposal is a request for quotation only and not an order. The terms / conditions shall be in accordance with the following: 1. This proposal shall be submitted to th</t>
  </si>
  <si>
    <t xml:space="preserve"> 5 liters engine oil 1 pc oil filter 1 pc drain plug bolt 4 pcs tire (195X70R14) triangle 1 lot oil change 1 lot tire mounting 1 lot camber align</t>
  </si>
  <si>
    <t xml:space="preserve"> INVITATION TO BID FOR  IMPROVEMENT OF MULTI-PURPOSE BUILDING - CARONOAN The Municipality of San Juan, through its Bids and Awards Committee (BAC), invites contractors to submit bids for the following Contract: Contract ID		:          	20-00044						 Contr</t>
  </si>
  <si>
    <t xml:space="preserve"> To provide audio visual aid for classroom instruction</t>
  </si>
  <si>
    <t xml:space="preserve"> Republic of the Philippines Province of Agusan del Norte BIDS AND AWARDS COMMITTEE Capitol, Butuan City INVITATION TO BID (NEGOTIATED PROCUREMENT) NEGOTIATED PROCUREMENT OF MULTI-COMMODITY SOLAR TUNNEL DRYER OF PROVINCIAL AGRICULTURIST OFFICE, AGUSAN DEL </t>
  </si>
  <si>
    <t xml:space="preserve"> Republic of the Philippines PROVINCE OF ZAMBOANGA DEL SUR Municipality of Dimataling BIDS AND AWARD COMMITTEE Reference Number : PR-162-100-2020 Project Title/P.R. # : Purchase of 216 Half Sacks of Rice Approved Budget: Mayor's Office-I STYLE PEACE (MOOE </t>
  </si>
  <si>
    <t xml:space="preserve"> 100(3)A INDIVIDUAL REMOVAL OF TREES 10 EACH 102(2)B SURPLUS COMMON EXCAVATION 1,312.50 CU.M 104(1)A EMBANKMENT 544.50 CU.M 300(1) GRAVEL SURFACE COURSE (UNCRUSHED) 445.20 CU.M B.9 MOBILIZATION/DEMOBILIZATION 1 LUMPSUM B.5 PROJECT BILLBOARD/SIGN BOARD 1 EA</t>
  </si>
  <si>
    <t xml:space="preserve"> Republic of the Philippines Province of Agusan del Norte BIDS AND AWARDS COMMITTEE Capitol, Butuan City INVITATION TO BID (NEGOTIATED PROCUREMENT) NEGOTIATED PROCUREMENT OF ONE (1) UNIT BRAND NEW FOUR WHEEL DRIVE (FWD) TRACTOR OF PROVINCIAL AGRICULTURIST </t>
  </si>
  <si>
    <t xml:space="preserve"> Cabadbaran District Hospital Agusan del Norte</t>
  </si>
  <si>
    <t xml:space="preserve"> Republic of the Philippines Province of Agusan del Norte BIDS AND AWARDS COMMITTEE Capitol, Butuan City INVITATION TO BID (NEGOTIATED PROCUREMENT) RENEGOTIATED PROCUREMENT OF TWO (2) UNITS BRAND NEW PICK-UP OF PROVINCIAL DISASTER RISK REDUCTION MANAGEMENT</t>
  </si>
  <si>
    <t xml:space="preserve"> NOTICE TO CONDUCT FOR  PROCUREMENT OF LOT # 3 AND LOT # 4 OF REPAIR AND MAINTENANCE MATERIALS FOR BALINGASAG WATER DISTRICT The Balingasag Water District , is conducting Negotiated Procurement ,under Two Failed Biddings for the procurement of  Repair and </t>
  </si>
  <si>
    <t xml:space="preserve"> 1.	The Local Government Unit of Las Nieves, through the Budget for the Contract Approved by the Sanggunian (20% DF) intends to apply the sum of one hundred nine thousand and one hundred pesos only (Php 109,100.00) for Lot 1, twelve thousand pesos only (Ph</t>
  </si>
  <si>
    <t xml:space="preserve"> Republic of the Philippines													 City of San Carlos													 Negros Occidental													 													 INVITATION TO BID											FOR SALE	 			PURCHASE REQUEST NO: 1-20-03-0429				P 150.00	 Sealed bids for quotation of prices will be recei</t>
  </si>
  <si>
    <t xml:space="preserve"> Republic of the Philippines													 City of San Carlos													 Negros Occidental													 										            		REBIDDING LOTS 1-3 &amp; 7	 INVITATION TO BID											FOR SALE	 			PURCHASE REQUEST NO: 1-20-01-0118				P 300.00	 Sealed bids for</t>
  </si>
  <si>
    <t xml:space="preserve"> 1.	The Local Government Unit of Las Nieves, through the Budget for the Contract Approved by the Sanggunian (20% DF) intends to apply the sum of one hundred eighty thousand pesos only (Php 180,000.00) for Lot 1 and seven thousand six hundred and fifty peso</t>
  </si>
  <si>
    <t xml:space="preserve"> Republic of the Philippines													 City of San Carlos													 Negros Occidental													 													 INVITATION TO BID											FOR SALE	 			PURCHASE REQUEST NO: 1-20-02-0402				P 150.00	 Sealed bids for quotation of prices will be recei</t>
  </si>
  <si>
    <t xml:space="preserve"> Provincial Health Office Agusan del Norte</t>
  </si>
  <si>
    <t xml:space="preserve"> wood,  good lumber pc.	Paint Brush, 2"	 1x2x5  pc.	Paint Brush, 4"	 gal.	Paint Thinner	 set	Paint Roller w/ Pan	 set	Electric Drill, HD (Makita)	 pc.	Carpenter Saw Irwin	 set	Electrician Set Tools	 pc.	Gun Tacker, HD	 box	Gun Tacker Staple Wire	 pc.	Liqui</t>
  </si>
  <si>
    <t xml:space="preserve"> Sangguniang Panlalawigan Office Agusan del Norte</t>
  </si>
  <si>
    <t xml:space="preserve"> Republic of the Philippines Province of Agusan del Norte BIDS AND AWARDS COMMITTEE Capitol, Butuan City INVITATION TO BID (NEGOTIATED PROCUREMENT) RENEGOTIATED PROCUREMENT OF IT SUPPLIES OF PROVINCIAL DISASTER RISK REDUCTION MANAGEMENT OFFICE, AGUSAN DEL </t>
  </si>
  <si>
    <t xml:space="preserve"> Republic of the Philippines Province of Agusan del Norte BIDS AND AWARDS COMMITTEE Capitol, Butuan City INVITATION TO BID (NEGOTIATED PROCUREMENT) RENEGOTIATED PROCUREMENT OF ONE (1) UNIT BRAND NEW AMBULANCE VAN TYPE OF PROVINCIAL DISASTER RISK REDUCTION </t>
  </si>
  <si>
    <t xml:space="preserve"> Please see attached file.</t>
  </si>
  <si>
    <t xml:space="preserve"> Republic of the Philippines													 City of San Carlos													 Negros Occidental													 													 INVITATION TO BID											FOR SALE	 			PURCHASE REQUEST NO: 1-20-03-0473				P 150.00	 Sealed bids for quotation of prices will be recei</t>
  </si>
  <si>
    <t xml:space="preserve"> Republic of the Philippines													 City of San Carlos													 Negros Occidental													 													 INVITATION TO BID											FOR SALE	 			PURCHASE REQUEST NO: 1-20-03-0515				P 150.00	 Sealed bids for quotation of prices will be recei</t>
  </si>
  <si>
    <t xml:space="preserve"> Republic of the Philippines													 City of San Carlos													 Negros Occidental													 													 INVITATION TO BID											FOR SALE	 			PURCHASE REQUEST NO: 1-20-03-0437				P 150.00	 Sealed bids for quotation of prices will be recei</t>
  </si>
  <si>
    <t xml:space="preserve"> Republic of the Philippines													 City of San Carlos													 Negros Occidental													 													 INVITATION TO BID											FOR SALE	 			PURCHASE REQUEST NO: 1-20-03-0482				P 150.00	 Sealed bids for quotation of prices will be recei</t>
  </si>
  <si>
    <t xml:space="preserve"> Republic of the Philippines													 City of San Carlos													 Negros Occidental													 													 INVITATION TO BID											FOR SALE	 			PURCHASE REQUEST NO: 1-20-03-0487				P 150.00	 Sealed bids for quotation of prices will be recei</t>
  </si>
  <si>
    <t xml:space="preserve"> Please see attached document.</t>
  </si>
  <si>
    <t xml:space="preserve"> Republic of the Philippines Department of Education Region v SCHOOLS DIVISION OF SORSOGON Capitol Compound, Sorsogon City INVITATION TO BID FOR PROVISION OF SECURITY SERVICES FOR 2020 PROJECT NO.:	20-06-001 1.	The DepEd Schools Division Sorsogon Province,</t>
  </si>
  <si>
    <t xml:space="preserve"> ITEM NO.	ITEM &amp; DESCRIPTION	 BRAND	UOM	QTY. 1	Executive Chair		Unit	1 	Specs: W63X D62.5 X H 110-120CM Chrome Base Batterfly			 	Mechanism: 360 Degree Swivel, Adjustable seat Height,			 	Cock, Tilt: Color: Grey			 2	Computer Table 2.10M x .5M x .76M (Hard</t>
  </si>
  <si>
    <t xml:space="preserve"> Republic of the Philippines													 City of San Carlos													 Negros Occidental													 													 INVITATION TO BID											FOR SALE	 			PURCHASE REQUEST NO: 1-20-03-0501				P 300.00	 Sealed bids for quotation of prices will be recei</t>
  </si>
  <si>
    <t xml:space="preserve"> Republic of the Philippines													 City of San Carlos													 Negros Occidental													 													 INVITATION TO BID											FOR SALE	 			PURCHASE REQUEST NO: 1-20-03-0497				P 150.00	 Sealed bids for quotation of prices will be recei</t>
  </si>
  <si>
    <t xml:space="preserve"> Republic of the Philippines													 City of San Carlos													 Negros Occidental													 													 INVITATION TO BID											FOR SALE	 			PURCHASE REQUEST NO: 1-20-03-0490				P 150.00	 Sealed bids for quotation of prices will be recei</t>
  </si>
  <si>
    <t xml:space="preserve"> 100(3)a Individual removal of trees 69 each 102(2)b Surplus Common Excavation 5,520 cu.m. B.5 Project Sign Board 1 each</t>
  </si>
  <si>
    <t xml:space="preserve"> Republic of the Philippines													 City of San Carlos													 Negros Occidental													 													 INVITATION TO BID											FOR SALE	 			PURCHASE REQUEST NO: 1-20-03-0489				P 150.00	 Sealed bids for quotation of prices will be recei</t>
  </si>
  <si>
    <t xml:space="preserve"> Republic of the Philippines Department of Education Region v SCHOOLS DIVISION OF SORSOGON Capitol Compound, Sorsogon City INVITATION TO BID FOR PURCHASE OF COMMON OFFICE SUPPLIES FOR F.Y. 2020 PROJECT NO.:	20-06-002 1.	The DepEd Schools Division Sorsogon </t>
  </si>
  <si>
    <t xml:space="preserve"> Republic of the Philippines Province of Agusan del Norte BIDS AND AWARDS COMMITTEE Capitol, Butuan City Invitation to Bid for Installation of Fire Sprinkler, Fire Detection and Alarm System,  Nasipit District Hospital, Nasipit, Agusan del Norte (REBID) Th</t>
  </si>
  <si>
    <t xml:space="preserve"> 1.	The Local Government Unit of Las Nieves, through the Budget for the Contract Approved by the Sanggunian (20% DF) intends to apply the sum of two hundred thousand pesos only (Php 200,000.00)  being the Approved Budget for the Contract (ABC) to payments </t>
  </si>
  <si>
    <t xml:space="preserve"> Representation Expenses</t>
  </si>
  <si>
    <t xml:space="preserve"> NOTICE TO CONDUCT FOR NEGOTIATED PROCUREMENT  OF WATER METER CLUSTERING  The Balingasag Water District , is conducting Negotiated Procurement ,under Two Failed Biddings for the procurement of  Water Meter Clustering for NRW Reduction of Balingasag Water D</t>
  </si>
  <si>
    <t xml:space="preserve"> 1.	The Local Government Unit of Las Nieves, through the Budget for the Contract Approved by the Sanggunian (20% DF) intends to apply the sum of one hundred thirty six thousand one hundred and fifty pesos only (Php 136,150.00) for Lot 1 and twelve e thousa</t>
  </si>
  <si>
    <t xml:space="preserve"> 20	pc	Genuine Ink Cartridge HP 680 (tri-color) for HP Deskjet 1115 20	pc	Genuine Ink Cartridge HP 680 (black) for HP Deskjet 1115 12	pc	Genuine Ink Cartridge HP 678 (tri-color) for HP Deskjet 3135 10	pc	Genuine Ink Cartridge HP 678 (black) for HP Deskjet </t>
  </si>
  <si>
    <t xml:space="preserve"> Republic of the Philippines PROVINCE OF SOUTHERN LEYTE Maasin City Invitation to Bid for the Procurement of Vehicle Spare Parts &amp; Labor  Contract ID # 2020-07-07-332PG 1.	The Provincial Government of Southern Leyte through the OVG&amp; OSP Repair and Maintena</t>
  </si>
  <si>
    <t xml:space="preserve"> 1.	The Local Government Unit of Las Nieves, through the Budget for the Contract Approved by the Sanggunian (1% LCPC) intends to apply the sum of one hundred forty five thousand and seven hundred pesos only (Php 145,700.00)  being the Approved Budget for t</t>
  </si>
  <si>
    <t xml:space="preserve"> Republic of the Philippines PROVINCE OF SOUTHERN LEYTE Maasin City Invitation to Bid for the Procurement of Catering Services &amp; Venue  Contract ID # 2020-07-07-333PG 1.	The Provincial Government of Southern Leyte through the PDRRMO Training expenses inten</t>
  </si>
  <si>
    <t xml:space="preserve"> Installation of new steel pipelines that crosses the Imbang Bridge located at Brgy. E. Lopez, Silay City. 1. Fabrication and installation of steel pipe bracket supports - 40 units 2. Welding of steel ring flanges 6" diameter for B.I. steel pipe both ends </t>
  </si>
  <si>
    <t xml:space="preserve"> Republic of the Philippines PROVINCE OF SOUTHERN LEYTE Maasin City Invitation to Bid for the Procurement of Vehicle Spare Parts   Contract ID # 2020-07-07-331PG 1.	The Provincial Government of Southern Leyte through the OSP Repair &amp; Maintenance – Transpor</t>
  </si>
  <si>
    <t xml:space="preserve"> 1.	The Local Government Unit of Las Nieves, through the Budget for the Contract Approved by the Sanggunian (20% DF) intends to apply the sum of one hundred thirty four thousand three hundred and fifty pesos only (Php 134,350.00) being the Approved Budget </t>
  </si>
  <si>
    <t xml:space="preserve"> Fabrication of Mechanical Coupling 150mm (6") to fit the outside diameter of the uPVC Pipe 150mm (6") and ASTM A-53 (6") B.I. Pipe to be used for the avoidance of the obstruction in connection with the waterline extension project from Hda. Daniel to Imban</t>
  </si>
  <si>
    <t xml:space="preserve"> PCC through the BIDS &amp; AWARDS Committee intend to apply for 160,000 as the approved budget for the contract  (ABC) under Chest Freezer.  Goods shall be delivered 15 days after receipt of notice to proceed. Specifications: - 20 cu.ft. Solid Top Chest Freez</t>
  </si>
  <si>
    <t xml:space="preserve"> Republic of the Philippines Province of Agusan del Norte BIDS AND AWARDS COMMITTEE Capitol, Butuan City INVITATION TO BID (NEGOTIATED PROCUREMENT) RENEGOTIATED PROCUREMENT OF PORTABLE ANTHROPOMETRIC TOOL OF PROVINCIAL SOCIAL WELFARE AND DEVELOPMENT OFFICE</t>
  </si>
  <si>
    <t xml:space="preserve"> Republic of the Philippines PROVINCE OF SOUTHERN LEYTE Maasin City Invitation to Bid for the Procurement of Vehicle Spare Parts &amp; Labor  Contract ID # 2020-07-07-334PG 1.	The Provincial Government of Southern Leyte through the PDRRMO Repair and Maintenanc</t>
  </si>
  <si>
    <t xml:space="preserve"> Office Supplies , Equipment and consumables</t>
  </si>
  <si>
    <t xml:space="preserve"> see attached documents</t>
  </si>
  <si>
    <t xml:space="preserve"> 1.	The Local Government Unit of Las Nieves, through the Budget for the Contract Approved by the Sanggunian (20% DF) intends to apply the sum of one hundred thirty six thousand one hundred and fifty pesos only (Php 136,150.00) for Lot 1 and twelve thousand</t>
  </si>
  <si>
    <t xml:space="preserve"> 1.	The Local Government Unit of Las Nieves, through the Budget for the Contract Approved by the Sanggunian (20% DF) intends to apply the sum of one hundred twenty five thousand two hundred and eighty pesos only (Php 125,280.00) for Lot 1, one thousand eig</t>
  </si>
  <si>
    <t xml:space="preserve"> 1.	The Local Government Unit of Las Nieves, through the Budget for the Contract Approved by the Sanggunian (20% DF) intends to apply the sum of one hundred forty five thousand nine hundred and twenty five pesos only (Php 145,925.00) being the Approved Bud</t>
  </si>
  <si>
    <t xml:space="preserve"> 1.  POINT MOBILE      -                 9PCS Texas  instrument Cortex A8 Processor @1.6 GHz Windows Mobile Embedded 6.5 Pro 3G, GSM Capable GPS 1D Laser (Scanner) Integrated Bluetooth, Class II, Ver. 2.1 + EDR WLAN IEEE 802.11 a/b/g/n Li-on Battery 4,000m</t>
  </si>
  <si>
    <t xml:space="preserve"> Republic of the Philippines													 City of San Carlos													 Negros Occidental													 													 INVITATION TO BID											FOR SALE	 			PURCHASE REQUEST NO: 1-20-05-0603				P 150.00	 Sealed bids for quotation of prices will be recei</t>
  </si>
  <si>
    <t xml:space="preserve"> Republic of the Philippines													 City of San Carlos													 Negros Occidental													 													 INVITATION TO BID											FOR SALE	 			PURCHASE REQUEST NO: 1-20-03-0517				P 300.00	 Sealed bids for quotation of prices will be recei</t>
  </si>
  <si>
    <t xml:space="preserve"> Republic of the Philippines													 City of San Carlos													 Negros Occidental													 													 INVITATION TO BID											FOR SALE	 			PURCHASE REQUEST NO: 1-20-05-0586				P 300.00	 Sealed bids for quotation of prices will be recei</t>
  </si>
  <si>
    <t xml:space="preserve"> BIDS AND AWARDS COMMITTEE INVITATION TO SUBMIT PRICE QUOTATIONS SHOPPING No. 057-2020                                                                 The METRO ROXAS WATER DISTRICT (MRWD), through its Bids and Awards Committee (BAC), invites Manufacturers</t>
  </si>
  <si>
    <t xml:space="preserve"> BIDS AND AWARDS COMMITTEE INVITATION TO SUBMIT PRICE QUOTATIONS SHOPPING No. 058-2020                                                                 The METRO ROXAS WATER DISTRICT (MRWD), through its Bids and Awards Committee (BAC), invites Manufacturers</t>
  </si>
  <si>
    <t xml:space="preserve"> 1.	The Local Government Unit of Las Nieves, through the Budget for the Contract Approved by the Sanggunian (20% DF) intends to apply the sum of one hundred twenty four thousand and nine hundred and forty four pesos only (Php 124,944.00) for Lot 1, sixty o</t>
  </si>
  <si>
    <t xml:space="preserve"> Republic of the Philippines													 City of San Carlos													 Negros Occidental													 													 INVITATION TO BID											FOR SALE	 			PURCHASE REQUEST NO: 1-20-04-0551				P 150.00	 Sealed bids for quotation of prices will be recei</t>
  </si>
  <si>
    <t xml:space="preserve"> Republic of the Philippines													 City of San Carlos													 Negros Occidental													 													 INVITATION TO BID											FOR SALE	 			PURCHASE REQUEST NO: 1-20-06-0659				P 300.00	 Sealed bids for quotation of prices will be recei</t>
  </si>
  <si>
    <t xml:space="preserve"> 1.	The Local Government Unit of Las Nieves, through the Budget for the Contract Approved by the Sanggunian (20% DF) intends to apply the sum of one hundred thirty thousand nine hundred and eighty pesos only (Php 130,980.00) for Lot 1, eleven thousand and </t>
  </si>
  <si>
    <t xml:space="preserve"> Republic of the Philippines													 City of San Carlos													 Negros Occidental													 													 INVITATION TO BID											FOR SALE	 			PURCHASE REQUEST NO: 1-20-04-0526				P 150.00	 Sealed bids for quotation of prices will be recei</t>
  </si>
  <si>
    <t xml:space="preserve"> Republic of the Philippines													 City of San Carlos													 Negros Occidental													 													 INVITATION TO BID											FOR SALE	 			PURCHASE REQUEST NO: 1-20-06-0631				P 150.00	 Sealed bids for quotation of prices will be recei</t>
  </si>
  <si>
    <t xml:space="preserve"> Republic of the Philippines													 City of San Carlos													 Negros Occidental													 													 INVITATION TO BID											FOR SALE	 			PURCHASE REQUEST NO: 1-20-04-0532				P 150.00	 Sealed bids for quotation of prices will be recei</t>
  </si>
  <si>
    <t xml:space="preserve"> Republic of the Philippines													 City of San Carlos													 Negros Occidental													 													 INVITATION TO BID											FOR SALE	 			PURCHASE REQUEST NO: 1-20-06-0649				P 150.00	 Sealed bids for quotation of prices will be recei</t>
  </si>
  <si>
    <t xml:space="preserve"> Republic of the Philippines													 City of San Carlos													 Negros Occidental													 													 INVITATION TO BID											FOR SALE	 			PURCHASE REQUEST NO: 1-20-06-0657				P 300.00	 Sealed bids for quotation of prices will be recei</t>
  </si>
  <si>
    <t xml:space="preserve"> Republic of the Philippines													 City of San Carlos													 Negros Occidental													 													 INVITATION TO BID											FOR SALE	 			PURCHASE REQUEST NO: 4-20-03-0461				P 150.00	 Sealed bids for quotation of prices will be recei</t>
  </si>
  <si>
    <t xml:space="preserve"> BIDS AND AWARDS COMMITTEE INVITATION TO SUBMIT PRICE QUOTATIONS SHOPPING No. 056-2020                                                                 The METRO ROXAS WATER DISTRICT (MRWD), through its Bids and Awards Committee (BAC), invites Manufacturers</t>
  </si>
  <si>
    <t xml:space="preserve"> Republic of the Philippines PROVINCE OF SOUTHERN LEYTE Maasin City Invitation to Bid for the Procurement of Vehicle Spare Parts  Contract ID # 2020-07-07-336PG 1.	The Provincial Government of Southern Leyte through the PENRMO Repair and Maintenance – Tran</t>
  </si>
  <si>
    <t xml:space="preserve"> BIDS AND AWARDS COMMITTEE INVITATION TO SUBMIT PRICE QUOTATIONS SHOPPING No. 055-2020                                                                 The METRO ROXAS WATER DISTRICT (MRWD), through its Bids and Awards Committee (BAC), invites Manufacturers</t>
  </si>
  <si>
    <t xml:space="preserve"> Mits. FB L300/SJL-591 (DepEd) Motor Oil Oil Filter Fuel Filter Bell Crank Center Post Idler Arm Heater Plug Cylinder Head Gasket Valve Seal Shellac Silicon Gasket Halfmoon Coolant Heater Plug Pull Out Tail Light Assy Spotlight Switch Change Oil &amp; Clean Br</t>
  </si>
  <si>
    <t xml:space="preserve"> Provision of labor, materials, equipment rentals and other incidentals needed for the Reconstruction of Screenhouse at DA-PREC, Sual, Pangasinan  	 	Provision of labor, materials, equipment rentals and other incidentals needed for the Reconstruction of Sc</t>
  </si>
  <si>
    <t xml:space="preserve"> Republic of the Philippines													 City of San Carlos													 Negros Occidental													 													 INVITATION TO BID											FOR SALE	 			PURCHASE REQUEST NO: 401-20-03-0494				P 300.00	 Sealed bids for quotation of prices will be rec</t>
  </si>
  <si>
    <t xml:space="preserve"> Republic of the Philippines													 City of San Carlos													 Negros Occidental													 													 INVITATION TO BID											FOR SALE	 			PURCHASE REQUEST NO: 2-20-03-0492				P 150.00	 Sealed bids for quotation of prices will be recei</t>
  </si>
  <si>
    <t xml:space="preserve"> Provision of labor, materials, equipment rentals and other incidentals needed for the Rehabilitation &amp; Enhancement of Mango Seedling Nursery at DA-INREC, Dingras, Ilocos Norte  	 	Provision of labor, materials, equipment rentals and other incidentals need</t>
  </si>
  <si>
    <t xml:space="preserve"> Republic of the Philippines													 City of San Carlos													 Negros Occidental													 													 INVITATION TO BID											FOR SALE	 			PURCHASE REQUEST NO: 9-20-04-0533				P 150.00	 Sealed bids for quotation of prices will be recei</t>
  </si>
  <si>
    <t xml:space="preserve"> Republic of the Philippines													 City of San Carlos													 Negros Occidental													 													 INVITATION TO BID											FOR SALE	 			PURCHASE REQUEST NO: 401-20-03-0453				P 500.00	 Sealed bids for quotation of prices will be rec</t>
  </si>
  <si>
    <t xml:space="preserve"> Provision of labor, materials, equipment rentals and other incidentals needed for the Repair/Rehabilitation of Israel Type Greenhouse at Ilocos Norte Research &amp; Experiment Center, MMMSU Compound, Tabug, Batac City, Ilocos Norte  	 	Provision of labor, mat</t>
  </si>
  <si>
    <t xml:space="preserve"> Republic of the Philippines													 City of San Carlos													 Negros Occidental													 													 INVITATION TO BID											FOR SALE	 			PURCHASE REQUEST NO: 18-20-04-0550				P 300.00	 Sealed bids for quotation of prices will be rece</t>
  </si>
  <si>
    <t xml:space="preserve"> Republic of the Philippines PROVINCE OF SOUTHERN LEYTE Maasin City Invitation to Bid for the Procurement of Various Office Supplies    Contract ID # 2020-07-07-340PG 1.	The Provincial Government of Southern Leyte through the SOYMPH Office Supplies  expens</t>
  </si>
  <si>
    <t xml:space="preserve"> Republic of the Philippines PROVINCE OF SOUTHERN LEYTE Maasin City Invitation to Bid for the Procurement of Vehicle Spare Parts &amp; Labor  Contract ID # 2020-07-07-338PG 1.	The Provincial Government of Southern Leyte through the PGO Repair and Maintenance –</t>
  </si>
  <si>
    <t xml:space="preserve"> Provision of labor, materials, equipment rentals and other incidentals needed for the Reconstruction of Screenhouse at DA-INREC, Dingras Station, Brgy. Cali, Dingras, Ilocos Norte  	 	Provision of labor, materials, equipment rentals and other incidentals </t>
  </si>
  <si>
    <t xml:space="preserve"> Republic of the Philippines													 City of San Carlos													 Negros Occidental													 													 INVITATION TO BID											FOR SALE	 			PURCHASE REQUEST NO: 4-20-06-0634				P 300.00	 Sealed bids for quotation of prices will be recei</t>
  </si>
  <si>
    <t xml:space="preserve"> Republic of the Philippines PROVINCE OF SOUTHERN LEYTE Maasin City Invitation to Bid for the Procurement of Kitchen Equipment   Contract ID # 2020-07-07-339PG 1.	The Provincial Government of Southern Leyte through the SOYMPH Other Property, Plant and Equi</t>
  </si>
  <si>
    <t xml:space="preserve"> 1	2	drum	Chlorine granules 2	50	pks	Chlorine dioxide</t>
  </si>
  <si>
    <t xml:space="preserve"> Republic of the Philippines PROVINCE OF SOUTHERN LEYTE Maasin City Invitation to Bid for the Procurement of Medical/Hospital Equipment    Contract ID # 2020-07-07-342PG 1.	The Provincial Government of Southern Leyte through the ADH Medical Equipment expen</t>
  </si>
  <si>
    <t xml:space="preserve"> Republic of the Philippines PROVINCE OF SOUTHERN LEYTE Maasin City Invitation to Bid for the Procurement of Vehicle Spare Parts   Contract 2020-07-07-337PG  1.	The Provincial Government of Southern Leyte through the PEO’ENG Repairs and Maintenance – Trans</t>
  </si>
  <si>
    <t xml:space="preserve"> Republic of the Philippines PROVINCE OF SOUTHERN LEYTE Maasin City Invitation to Bid for the Procurement of Electrical Supplies   Contract ID # 2020-07-07-335PG 1.	The Provincial Government of Southern Leyte through the PENRMO Repairs and Maintenance -Bui</t>
  </si>
  <si>
    <t xml:space="preserve"> Republic of the Philippines PROVINCE OF SOUTHERN LEYTE Maasin City Invitation to Bid for the Procurement of Various IT Equipment  Contract ID # 2020-07-07-348PG 1.	The Provincial Government of Southern Leyte through the ADMIN, PSAO– Information and Commun</t>
  </si>
  <si>
    <t xml:space="preserve"> Procurement of Office Supplies for the 2nd Quarter - JHS</t>
  </si>
  <si>
    <t xml:space="preserve"> Republic of the Philippines PROVINCE OF SOUTHERN LEYTE Maasin City Invitation to Bid for the Procurement of Various IT Equipment and Supplies  Contract ID # 2020-07-07-349PG 1.	The Provincial Government of Southern Leyte through the OVG–Information &amp; Comm</t>
  </si>
  <si>
    <t xml:space="preserve"> INVITATION TO BID  PROCUREMENT OF MATERIALS AND EQUIPMENT FOR DISASTER PREPAREDNESS BARANGAY CANDANA-AY, AYUNGON, NEGROS ORIENTAL BID IDENTIFICATION NUMBER 2020-06-07 1.	Barangay Candana-ay, through the 70%  of 5% BDRRMC FUND intends to apply the sum of S</t>
  </si>
  <si>
    <t xml:space="preserve"> for PHO use</t>
  </si>
  <si>
    <t xml:space="preserve"> Republic of the Philippines					 PROVINCE OF SOUTHERN LEYTE					 Maasin City					 	Standard Form No.: SF-GOOD-60			 Project Reference No. 090	 	Revised on:  May 24, 2004			 Name of the Project:  _______	 	Standard Form Title:                              </t>
  </si>
  <si>
    <t xml:space="preserve"> Republic of the Philippines					 PROVINCE OF SOUTHERN LEYTE					 Maasin City					 	Standard Form No.: SF-GOOD-60			 Project Reference No. 092	 	Revised on:  May 24, 2004			 Name of the Project:  _______	 	Standard Form Title:                              </t>
  </si>
  <si>
    <t xml:space="preserve"> Republic of the Philippines PROVINCE OF SOUTHERN LEYTE Maasin City Invitation to Bid for the Procurement of Vehicle Spare Parts  Contract ID # 2020-07-07-346PG 1.	The Provincial Government of Southern Leyte through the OSP Repair and Maintenance – Transpo</t>
  </si>
  <si>
    <t xml:space="preserve"> Republic of the Philippines					 PROVINCE OF SOUTHERN LEYTE					 Maasin City					 	Standard Form No.: SF-GOOD-60			 Project Reference No. 089	 	Revised on:  May 24, 2004			 Name of the Project:  _______	 	Standard Form Title:                              </t>
  </si>
  <si>
    <t xml:space="preserve"> Republic of the Philippines PROVINCE OF SOUTHERN LEYTE Maasin City Invitation to Bid for the Procurement of Vehicle Spare Parts  Contract ID # 2020-07-07-344PG 1.	The Provincial Government of Southern Leyte through the SDH Repair and Maintenance – Transpo</t>
  </si>
  <si>
    <t xml:space="preserve"> Republic of the Philippines					 PROVINCE OF SOUTHERN LEYTE					 Maasin City					 	Standard Form No.: SF-GOOD-60			 Project Reference No. 096	 	Revised on:  May 24, 2004			 Name of the Project:  _______	 	Standard Form Title:                              </t>
  </si>
  <si>
    <t xml:space="preserve"> Republic of the Philippines PROVINCE OF SOUTHERN LEYTE Maasin City Invitation to Bid for the Procurement of Engine Oil, Oil Filter &amp; Labor  Contract ID # 2020-07-07-345PG 1.	The Provincial Government of Southern Leyte through the PGO Repair and Maintenanc</t>
  </si>
  <si>
    <t xml:space="preserve"> Republic of the Philippines					 PROVINCE OF SOUTHERN LEYTE					 Maasin City					 	Standard Form No.: SF-GOOD-60			 Project Reference No. 091	 	Revised on:  May 24, 2004			 Name of the Project:  _______	 	Standard Form Title:                              </t>
  </si>
  <si>
    <t xml:space="preserve"> Republic of the Philippines					 PROVINCE OF SOUTHERN LEYTE					 Maasin City					 	Standard Form No.: SF-GOOD-60			 Project Reference No. 097	 	Revised on:  May 24, 2004			 Name of the Project:  _______	 	Standard Form Title:                              </t>
  </si>
  <si>
    <t xml:space="preserve"> Republic of the Philippines					 PROVINCE OF SOUTHERN LEYTE					 Maasin City					 	Standard Form No.: SF-GOOD-60			 Project Reference No. 098	 	Revised on:  May 24, 2004			 Name of the Project:  _______	 	Standard Form Title:                              </t>
  </si>
  <si>
    <t xml:space="preserve"> Republic of the Philippines PROVINCE OF SOUTHERN LEYTE Maasin City Invitation to Bid for the Procurement of Housekeeping Supplies  Contract ID # 2020-07-07-347PG 1.	The Provincial Government of Southern Leyte through the PDH Other Supplies &amp; Materials exp</t>
  </si>
  <si>
    <t xml:space="preserve"> Republic of the Philippines					 PROVINCE OF SOUTHERN LEYTE					 Maasin City					 	Standard Form No.: SF-GOOD-60			 Project Reference No. 093	 	Revised on:  May 24, 2004			 Name of the Project:  _______	 	Standard Form Title:                              </t>
  </si>
  <si>
    <t xml:space="preserve"> Republic of the Philippines					 PROVINCE OF SOUTHERN LEYTE					 Maasin City					 	Standard Form No.: SF-GOOD-60			 Project Reference No. 101	 	Revised on:  May 24, 2004			 Name of the Project:  _______	 	Standard Form Title:                              </t>
  </si>
  <si>
    <t xml:space="preserve"> Republic of the Philippines					 PROVINCE OF SOUTHERN LEYTE					 Maasin City					 	Standard Form No.: SF-GOOD-60			 Project Reference No. 095	 	Revised on:  May 24, 2004			 Name of the Project:  _______	 	Standard Form Title:                              </t>
  </si>
  <si>
    <t xml:space="preserve"> Republic of the Philippines					 PROVINCE OF SOUTHERN LEYTE					 Maasin City					 	Standard Form No.: SF-GOOD-60			 Project Reference No. 094	 	Revised on:  May 24, 2004			 Name of the Project:  _______	 	Standard Form Title:                              </t>
  </si>
  <si>
    <t xml:space="preserve"> Republic of the Philippines					 PROVINCE OF SOUTHERN LEYTE					 Maasin City					 	Standard Form No.: SF-GOOD-60			 Project Reference No. 100	 	Revised on:  May 24, 2004			 Name of the Project:  _______	 	Standard Form Title:                              </t>
  </si>
  <si>
    <t xml:space="preserve"> Republic of the Philippines					 PROVINCE OF SOUTHERN LEYTE					 Maasin City					 	Standard Form No.: SF-GOOD-60			 Project Reference No. 102	 	Revised on:  May 24, 2004			 Name of the Project:  _______	 	Standard Form Title:                              </t>
  </si>
  <si>
    <t xml:space="preserve"> Republic of the Philippines					 PROVINCE OF SOUTHERN LEYTE					 Maasin City					 	Standard Form No.: SF-GOOD-60			 Project Reference No. 099	 	Revised on:  May 24, 2004			 Name of the Project:  _______	 	Standard Form Title:                              </t>
  </si>
  <si>
    <t xml:space="preserve"> Republic of the Philippines					 PROVINCE OF SOUTHERN LEYTE					 Maasin City					 	Standard Form No.: SF-GOOD-60			 Project Reference No. 106	 	Revised on:  May 24, 2004			 Name of the Project:  _______	 	Standard Form Title:                              </t>
  </si>
  <si>
    <t xml:space="preserve"> Republic of the Philippines PROVINCE OF SOUTHERN LEYTE Maasin City Invitation to Bid for the Procurement of Various Office Supplies  Contract ID # 2020-07-07-352PG 1.	The Provincial Government of Southern Leyte through the PGO– Office Supplies Expenses in</t>
  </si>
  <si>
    <t xml:space="preserve"> Republic of the Philippines PROVINCE OF SOUTHERN LEYTE Maasin City Invitation to Bid for the Procurement of Office Supplies  Contract ID # 2020-07-07-355PG 1.	The Provincial Government of Southern Leyte through the PGO– Office Supplies Expenses intend to </t>
  </si>
  <si>
    <t xml:space="preserve"> Republic of the Philippines					 PROVINCE OF SOUTHERN LEYTE					 Maasin City					 	Standard Form No.: SF-GOOD-60			 Project Reference No. 103	 	Revised on:  May 24, 2004			 Name of the Project:  _______	 	Standard Form Title:                              </t>
  </si>
  <si>
    <t xml:space="preserve"> Republic of the Philippines PROVINCE OF SOUTHERN LEYTE Maasin City Invitation to Bid for the Procurement of Catering Services                                           Contract ID # 2020-07-07-351PG 1.	The Provincial Government of Southern Leyte through t</t>
  </si>
  <si>
    <t xml:space="preserve"> Republic of the Philippines PROVINCE OF SOUTHERN LEYTE Maasin City Invitation to Bid for the Procurement of 1 Unit Chest Type Freezer  Contract ID # 2020-07-07-353PG 1.	The Provincial Government of Southern Leyte through the ADH– Other Property, Platns an</t>
  </si>
  <si>
    <t xml:space="preserve"> Republic of the Philippines PROVINCE OF SOUTHERN LEYTE Maasin City Invitation to Bid for the Procurement of Greenhouse-Materials &amp; Installation  with complete Accessories &amp; Irrigation Facilities                                           Contract ID # 2020</t>
  </si>
  <si>
    <t xml:space="preserve"> Concreting of 58.50 linear meter barangay road.</t>
  </si>
  <si>
    <t xml:space="preserve"> Republic of the Philippines					 PROVINCE OF SOUTHERN LEYTE					 Maasin City					 	Standard Form No.: SF-GOOD-60			 Project Reference No. 105	 	Revised on:  May 24, 2004			 Name of the Project:  _______	 	Standard Form Title:                              </t>
  </si>
  <si>
    <t xml:space="preserve"> Republic of the Philippines PROVINCE OF SOUTHERN LEYTE Maasin City Invitation to Bid for the Procurement of Various Housekeeping Supplies  Contract ID # 2020-07-07-356PG 1.	The Provincial Government of Southern Leyte through the OVG– Other Supplies and Ma</t>
  </si>
  <si>
    <t xml:space="preserve"> Republic of the Philippines					 PROVINCE OF SOUTHERN LEYTE					 Maasin City					 	Standard Form No.: SF-GOOD-60			 Project Reference No. 104	 	Revised on:  May 24, 2004			 Name of the Project:  _______	 	Standard Form Title:                              </t>
  </si>
  <si>
    <t xml:space="preserve"> Repair and rehabilitation of hand washing area</t>
  </si>
  <si>
    <t xml:space="preserve"> Republic of the Philippines PROVINCE OF AKLAN Kalibo -oOo- BIDS AND AWARDS COMMITTEE (BAC) INVITATION TO BID 1.	The Provincial   Government   of   Aklan, through   20% IRA Development Fund CY 2019  intends   to   apply   the   sum   of  Five Hundred Seven</t>
  </si>
  <si>
    <t xml:space="preserve"> Repair and rehabilitation of hand washing area and three seater comfort room</t>
  </si>
  <si>
    <t xml:space="preserve"> Republic of the Philippines  Department of Education  Region V  Division of Camarines Sur  RAGAY NATIONAL AGRICULTURAL AND FISHERIES SCHOOL  BIDS AND AWARDS COMMITTEE  Liboro, Ragay, Camarines Sur  RNAFS-2020-06-010 ATTENTION:  ALL INTERESTED BIDDERS  SUB</t>
  </si>
  <si>
    <t xml:space="preserve"> Republic of the Philippines PROVINCE OF SOUTHERN LEYTE Maasin City Invitation to Bid for the Procurement of Various Housekeeping Supplies  Contract ID # 2020-07-07-357PG 1.	The Provincial Government of Southern Leyte through the PLSO– Other Supplies and M</t>
  </si>
  <si>
    <t xml:space="preserve"> Republic of the Philippines PROVINCE OF AKLAN Kalibo -oOo- BIDS AND AWARDS COMMITTEE (BAC) INVITATION TO BID 1.	The Provincial   Government   of   Aklan, through   MOOE SEF CY 2020 intends   to   apply   the   sum   Five Hundred Eighty Six Thousand Four H</t>
  </si>
  <si>
    <t xml:space="preserve"> Repair and Rehabilitation of Guard House</t>
  </si>
  <si>
    <t xml:space="preserve"> Republic of the Philippines PROVINCE OF SOUTHERN LEYTE Maasin City Invitation to Bid for the Procurement of IT and Office Equipment  Contract ID # 2020-07-07-058PG 1.	The Provincial Government of Southern Leyte through the PAIASO–Information &amp; Communicati</t>
  </si>
  <si>
    <t xml:space="preserve"> Republic of the Philippines PROVINCE OF AKLAN Kalibo -oOo- BIDS AND AWARDS COMMITTEE (BAC) INVITATION TO BID 1.	The Provincial   Government   of   Aklan, through   MOOE SEF CY 2020 intends   to   apply   the   sum   of  Nine Hundred Twenty Nine Thousand F</t>
  </si>
  <si>
    <t xml:space="preserve"> Republic of the Philippines PROVINCE OF AKLAN Kalibo -oOo- BIDS AND AWARDS COMMITTEE (BAC) INVITATION TO BID 1.	The Provincial   Government   of   Aklan, through   MOOE SEF CY 2020 intends   to   apply   the   sum   of  Seven Hundred Fifty Six Thousand Tw</t>
  </si>
  <si>
    <t xml:space="preserve"> Republic of the Philippines  Department of Education  Region V  Division of Camarines Sur  RAGAY NATIONAL AGRICULTURAL AND FISHERIES SCHOOL  BIDS AND AWARDS COMMITTEE  Liboro, Ragay, Camarines Sur  RNAFS-2020-06-011 ATTENTION:  ALL INTERESTED BIDDERS  SUB</t>
  </si>
  <si>
    <t xml:space="preserve"> See attached document</t>
  </si>
  <si>
    <t xml:space="preserve"> Republic of the Philippines PROVINCE OF AKLAN Kalibo -oOo- BIDS AND AWARDS COMMITTEE (BAC) INVITATION TO BID 1.	The Provincial   Government   of   Aklan, through   MOOE SEF CY 2020 intends   to   apply   the   sum   of  Nine Hundred Fourteen Thousand Eigh</t>
  </si>
  <si>
    <t xml:space="preserve"> COMMON OFFICE SUPPLIES</t>
  </si>
  <si>
    <t xml:space="preserve"> Republic of the Philippines  Department of Education  Region V  Division of Camarines Sur  RAGAY NATIONAL AGRICULTURAL AND FISHERIES SCHOOL  BIDS AND AWARDS COMMITTEE  Liboro, Ragay, Camarines Sur  RNAFS-2020-06-009 ATTENTION:  ALL INTERESTED BIDDERS  SUB</t>
  </si>
  <si>
    <t xml:space="preserve"> Republic of the Philippines PROVINCE OF AKLAN Kalibo -oOo- BIDS AND AWARDS COMMITTEE (BAC) INVITATION TO BID 1.	The Provincial   Government   of   Aklan, through   MOOE SEF CY 2020 intends   to   apply   the   sum   of  Eight Hundred Six Thousand Seven Hu</t>
  </si>
  <si>
    <t xml:space="preserve"> ground preparation and lay out.Concreting of pavement and installation of decorative cement tiles</t>
  </si>
  <si>
    <t xml:space="preserve"> Construction of Water Tank Flatform, Installation of Electric Water Pump</t>
  </si>
  <si>
    <t xml:space="preserve"> Republic of the Philippines PROVINCE OF AKLAN Kalibo -oOo- BIDS AND AWARDS COMMITTEE (BAC) INVITATION TO BID 1.	The Provincial   Government   of   Aklan, through   20% IRA Development Fund CY 2019  intends   to   apply   the   sum   of  Four Hundred Ninet</t>
  </si>
  <si>
    <t xml:space="preserve"> a. 20 units - RFID Reader b. 2 units - 15.6" Touch Screen Monitor c. 8 pcs. - TV Monitor Wall Bracket 40" fixed d. 8 units - USB Hub, 8 Ports e. 10 pcs. - USB Cable Extension, 5m f. 1 unit - 24 inches monitor NOTE: The above RFO is a package. Please attac</t>
  </si>
  <si>
    <t xml:space="preserve"> CONCRETE PATHWAY Location: Zone 1, 5, 6 &amp; 7, Brgy. Udoc, Libmanan, Camarines Sur Project Description: I. Concrete Pathway L=142m  W=0.80m  Thk=0.10m                               II. Grouted Riprap                                   a. L=13.30m  H=0.40m   </t>
  </si>
  <si>
    <t xml:space="preserve"> Repair of ceilings 4storey 24 classrooms for high school building.</t>
  </si>
  <si>
    <t xml:space="preserve"> Republic of the Philippines DEPARTMENT OF PUBLIC WORKS AND HIGHWAYS CAMARINES SUR 1st DISTRICT ENGINEERING OFFICE REGIONAL OFFICE V Baras, Canaman, Camarines Sur INVITATION TO BID 		FOR 20GFD0010 – Supply and Delivery of Office Equipment for use in Admini</t>
  </si>
  <si>
    <t xml:space="preserve"> Republic of the Philippines Province of Nueva Vizcaya BIDS AND AWARDS COMMITTEE (BAC-Goods) BAC OFFICE, Provincial Capitol, Bayombong, Nueva Vizcaya 	 REQUEST FOR QUOTATION (RFQ)  For the Procurement of Office Supplies (Battery, Alcohol, etc.) For the Pro</t>
  </si>
  <si>
    <t xml:space="preserve"> Republic of the Philippines DEPARTMENT OF PUBLIC WORKS AND HIGHWAYS CAMARINES SUR 1st DISTRICT ENGINEERING OFFICE REGIONAL OFFICE V Baras, Canaman, Camarines Sur INVITATION TO BID 		FOR 20GFD0009 – Supply and Delivery of Spare Parts and Materials for the </t>
  </si>
  <si>
    <t xml:space="preserve"> Republic of the Philippines								 PROVINCE OF CAGAYAN								 Tuguegarao City								 REQUEST FOR QUOTATION								 Company Name: 			Quotation No.					 Address:			Date					 TIN Number: 			PR No.					 Tel/Fax: 			Mode of Procurement: Shopping					 E-mail</t>
  </si>
  <si>
    <t xml:space="preserve"> UNIT   DESCRIPTION AND QUANTITY ITEM 	              LOT PURCHASE	 UNIT   PUGON WITH 2 BURNERS, 24 INCHES	1 	  DIAMETER, LENGTH 9 FEET, WIDTH 3 FEET,	 	  HEIGHT 22 INCHES, CHIMNEY 9 FEET, FURNACE DIAMETER	 	  17 INCHES X 32 INCHES, HOLE IS 10 INCHES X 7 1/</t>
  </si>
  <si>
    <t xml:space="preserve"> Description Item	Qty	Specifications 1.	Rice	500 bags	R40, 5kg per bag 2.	Canned Corned Beef	500 pcs.	150g, 100% pure beef 3.	Chocolate Drink	250 pcs.	8-35g per envelope 4.	Powdered Milk	500 pcs.	150g 5.	Pancake	500 box	500g per box 6.	Canned Tuna	1000 pcs</t>
  </si>
  <si>
    <t xml:space="preserve"> Specifications can be viewed online by clicking the "Associated Components" section on this ITB. The Local Government Unit-Municipality of Malinao, Aklan through the Bids and Awards Committee, intends to apply the sum of One Hundred Thirty Three Thousand </t>
  </si>
  <si>
    <t xml:space="preserve"> TITLE: PROCUREMENT OF HOSPITAL/MEDICAL EQUIPMENT			 DEPARTMENT: PRIMARY CARE FACILITY			 			 ITEM NO.	QTY	UNIT	ITEM DESCRIPTION 1	2	unit	Lower extremity traction devices (supporting  slings, padding, traction strap) 2	20	pcs	Resistant straps or cravats 3	</t>
  </si>
  <si>
    <t xml:space="preserve"> PROCUREMENT OF ONE (1) LOT EMERGENCY SUPPLIES AS PROTECTIVE MEASURE AGAINST COVID-19 AND COMPLIANCE TO THE NEW NORMAL 1.  ALCOHOL, 70% Ethyl, 500ml - 300 BOTTLES 	 2.  DISINFECTANT, 1/2 Gallon per container - 100 CONTAINERS		 3.  LIQUID HAND SOAP - 10 GAL</t>
  </si>
  <si>
    <t xml:space="preserve"> pack	cable tie 12" black	7 pcs	pdx clamp #14	2400 pcs	Plier	10 pcs	pdx clamp #12	500 pack	multi-tester sunwa (original)	5 pcs	aluminum ladder	3 pcs	Breaker Box 4 slot 	5 pcs	Circuit Breaker 20 ampere	4 pcs	Circuit Breaker 30 ampere	4 pcs	Circuit Breaker 6</t>
  </si>
  <si>
    <t xml:space="preserve"> Description:  Interested providers are invited to submit you proposal for the Third Party Support for the Deployment of Microsoft System Center Configuration Manager (SCCM) ABC: Five Hundred Ninety-Three Thousand Six Hundred Pesos (Php593,600.00) 1. Pleas</t>
  </si>
  <si>
    <t xml:space="preserve"> INVITATION TO APPLY FOR ELIGIBILITY AND TO BID THE BIDS AND AWARD COMMITTEE OF THE MUNICIPALITY OF CAIBIRAN, BILIRAN IS INVITING ALL INTERESTED BIDDERS ON ITS FORTH COMING PUBLIC BIDDING FOR:   Project Title	                : Concrete Pavement of Access R</t>
  </si>
  <si>
    <t xml:space="preserve"> Request for Quotation RFQ No.		SVP-009-2020 MR No.		10067 Requisition No. 	MLS-20-028 Posting Date:         	June 16, 2020 Deadline for Submission:		June 22, 2020 at 9:00 AM Opening Date:	June 22, 2020, 2020 at 10:00 AM TO:	Name of Supplier:______________</t>
  </si>
  <si>
    <t xml:space="preserve"> Requesting for Quotation (RFQ) for PR No. 2005212  Interested suppliers are invited to submit Sealed Price Quotations for the above listed items. The Request for Quotation (RFQ) for may be obtained from Mr. Albert A. Camarillo City General Services Office</t>
  </si>
  <si>
    <t xml:space="preserve"> pcs	PVC pipe blue 1/2	400 pcs	Elbow PVC 1/2 blue	150 pcs	Tee PVC 1/2	25 pcs	Female Adapter PVC 1/2	200 pcs	Male Adapter PVC 1/2	150 pcs	Teplone (Big)	200 pcs	Solvent Cement 100 c. c.	100 pcs	PVC Faucet	500 pcs	Coupling 1/2 Blue	100 pcs	Elbow PVC 2" blue	3</t>
  </si>
  <si>
    <t xml:space="preserve"> 1. pieces  Teflon 3/4"                                    500   P     15.00   P  7,500.00 2. pieces  Brass replacement Piece 1/2"         200   P    180.00  P  36,000.00   3. pieces  Brass water meter 1/2" w/tailpiece 100   P 1,200.00  P 120,000.00 4. pie</t>
  </si>
  <si>
    <t xml:space="preserve"> REPUBLIC OF THE PHILIPPINES Guimba Water District Danzalan St. Cor. Faigal St., Sta. Veronica Guimba, Nueva Ecija Request for Quotation for Supply and Delivery of  Chlorine Dosing Pump, Unit, Parts and Materials for Water Sanitation ABC: Two Hundred Ninet</t>
  </si>
  <si>
    <t xml:space="preserve"> INVITATION TO BID The DPWH Isabela 4th District Engineering Office through its Bids and Awards Committee (BAC), invites contractors to submit bids for the following Contract: Procurement ID / Contract ID			: 20BH0141 Contract Name/                        </t>
  </si>
  <si>
    <t xml:space="preserve"> REQUEST FOR QUOTATION FOR THE SUPPLY AND DELIVERY PROCUREMENT OF VARIOUS GROCERY ITEMS Please quote your lowest price on the item/s listed below, subject to the General Conditions and stating the shortest time of delivery and submit your quotation duly si</t>
  </si>
  <si>
    <t xml:space="preserve"> Procurement of One (1) set Desktop Computer with Printer and Complete Accessories for MCR Office of LGU - Laak, Davao De Oro with an ABC of Php. 110,000.00.</t>
  </si>
  <si>
    <t xml:space="preserve"> Purpose: Training after support under Corn Program different activities (Corn-Based Farming System; Financial Literacy; FSTP Phase 1, FSTP Phase 3 and FSTP Insertion). We are looking for a supplier that can provide the herein stated articles. Please quote</t>
  </si>
  <si>
    <t xml:space="preserve"> Supply of Five Hundred Forty Five (545) cubic meter of common borrow with spreading on site.</t>
  </si>
  <si>
    <t xml:space="preserve"> Request for Quotation RFQ No.		SVP-010-2020 MR No.		11596 Requisition No. 	TSE-2020-037 Posting Date:         	June 16, 2020 Deadline for Submission:		June 22, 2020 at 9:00 AM Opening Date:	June 22, 2020, 2020 at 10:00 AM TO:	Name of Supplier:____________</t>
  </si>
  <si>
    <t xml:space="preserve"> TITLE: PROCUREMENT OF FABRICATED CANOPY			 DEPARTMENT: GENERAL SERVICES OFFICE			 			 ITEM NO.	QTY	UNIT	ITEM DESCRIPTION 1	5	units	fabricated canopy 15x20 			 ABC: PHP. 192,500.00</t>
  </si>
  <si>
    <t xml:space="preserve"> 25 boxes - Laminating Film A4 size 100's/box.</t>
  </si>
  <si>
    <t xml:space="preserve"> Purchase of Construction Materials/ Temporary Reservoir at Tiwi, Loon</t>
  </si>
  <si>
    <t xml:space="preserve"> Plant Plant Plant Intercropping of Papaya, Eggplant, Sili-Panigang and Sili-Tari (2,625 sq.,.) Seedlings 200	pcs	Papaya, Sinta variety F1, seedling 45-50 day old 12	tray	Eggplant, Prolifica Variety F1, 128 seedlings/tray, seedling 18-25 12	tray	Sili, Inok</t>
  </si>
  <si>
    <t xml:space="preserve"> Description:  Interested providers are invited to submit proposal/quotation for the ADOBE CREATIVE CLOUD FOR TEAMS (CCT) SOFTWARE LICENSE SUBSCRIPTION MAINTENANCE AND SUPPORT SERVICES ABC: Three Hundred Thirty-Four Thousand Five Hundred Pesos (Php334,500.</t>
  </si>
  <si>
    <t xml:space="preserve"> PLEASE SEE ATTACHED</t>
  </si>
  <si>
    <t xml:space="preserve"> For Kalayaan 2020 Tarpaulin Printing</t>
  </si>
  <si>
    <t xml:space="preserve"> 400 pcs - PWD I.D. (2.5 inches x 3.5 inches) 475 pcs - PWD Booklet (18 pages inside; cover page; board paper 4.5 inches x 7 inches)</t>
  </si>
  <si>
    <t xml:space="preserve"> REQUEST FOR SUPPLIES AND MATERIALS NEEDED DIN PREVENTION OF THE										 	SPREAD OF COVID-19, PURSUANT TO DAR MC#15 S. 2020										 	FOR SANITIZING, CLEANING &amp; DISINFECTION										 1	SOAP BAR (ANTI BACTERIALS OR SULFUR SOAP)									300	PIECE 2	TISSU</t>
  </si>
  <si>
    <t xml:space="preserve"> ROAD CONCRETING (0.20m thick x 6.0m wide x 255m long)</t>
  </si>
  <si>
    <t xml:space="preserve"> SEE ATTACHED : REQUEST FOR QUOTATION (RFQ)</t>
  </si>
  <si>
    <t xml:space="preserve"> Republic of the Philippines				 Province of Quezon 				 Municipality of Lucban				 				 Bill of Quantities				 Quantity	Unit	Articles/Description	Unit Price	Amount  1 	lot	installation of New aluminum partition		 		wall with panel glass, slidng door and	 </t>
  </si>
  <si>
    <t xml:space="preserve"> PROCUREMENT OF OFFICE EQUIPMENT FOR THE LOCAL GOVERNMENT UNIT COMPUTERIZATION PROGRAM</t>
  </si>
  <si>
    <t xml:space="preserve"> ARTICLE AND DESCRIPTION											 ITEM	QTY.	UNIT						CEILING 					UNIT PRICE		TOTAL  								PRICE							 															 				Office: Ospital ng Tondo				PR No. 206							 				Charge to: Other Supplies and Materials Expenses				OBR No. 100-2001-00353			</t>
  </si>
  <si>
    <t xml:space="preserve"> 1. 45 pack Stringbeans 2. 9 kls Sweet Corn seeds 3. 40 pcs Seedling Tray 4. 45 pack Eggplant Seeds 5. 40 pack Ampalaya Seeds 6. 25 pack Okra Seeds 7. 20 pack Cauliflower Seeds 8. 6 pack Lettuce Seeds 9. 20 pack Squash Seeds 10. 20 pack Upland kangkong see</t>
  </si>
  <si>
    <t xml:space="preserve"> Republic of the Philippines Province of South Cotabato BIDS AND AWARDS COMMITTEE Salada Street, Poblacion Tupi, South Cotabato Tel. Fax No.: (083) 226-1045 INVITATION TO BID FOR THE SUPPLY AND DELIVERY OF CONSTRUCTION MATERIALS FOR THE CONSTRUCTION OF FIF</t>
  </si>
  <si>
    <t xml:space="preserve"> Gentlemen:			 Please submit  your  lowest price quotation (including taxes and government discounts) on charged account basis, on the following supplies/materials/ equipment or labor for the account and official use of the Authority. This Request For Quot</t>
  </si>
  <si>
    <t xml:space="preserve"> Republic of the Philippines				 Province of Quezon 				 Municipality of Lucban				 				 Bill of Quantities				 Quantity	Unit	Articles/Description	Unit Price	Amount  20 	BAG	portland cement		  3 	m3	sand	 	  2	m3	gravel	 	  12	pcs	12mm RSB	 	  6	pcs	10mm R</t>
  </si>
  <si>
    <t xml:space="preserve"> Supply and delivery of the following: 18	roll	Barbed wire @ 30 kgs/roll			 36	roll	Hogwire, 9 eye #47			 10	kilo	"U" Nails, #2			 10	kilo	Tie Wire, gauge # 16			 Note:			 To be delivered at NSRRDC, Bagalupa, Labangan, Zamboanga del Sur</t>
  </si>
  <si>
    <t xml:space="preserve"> 1   Set   Stainless Water Pressurized Tank (80 gals capacity, incl. guage) 1   Set   Electric Water Pump (Goulds, 1HP with Pressure Switch) 1   Set   Stainless Water Tank ( 2000L, with Floater) 4   Pcs   PPR Ball Valve (1 inch diameter) 3   Pcs   PPR Ball</t>
  </si>
  <si>
    <t xml:space="preserve"> Republic of the Philippines DEPARTMENT OF PUBLIC WORKS AND HIGHWAYS CAMARINES SUR 1st DISTRICT ENGINEERING OFFICE REGIONAL OFFICE V Baras, Canaman, Camarines Sur INVITATION TO BID 		FOR 20GFD0011 – Supply  of Fuel for Use of Various Sections for 2nd  Quar</t>
  </si>
  <si>
    <t xml:space="preserve"> THREE THOUSAND (3,000) PIECES CUSTOMIZED DOT EXCITING BICOL FACE MASKS SPECIFICATIONS: •	 Fits snugly and covers from nose bridge to below the chin •	Thick, breathable fabric •	Full sublimation print •	Preferable with pocket/slit for filter COLOR: a)	Blac</t>
  </si>
  <si>
    <t xml:space="preserve"> 1	pc	battery NS40 maintenance 1	set	sidemirror (big base) 2	pcs	headlight bulb (H4) 1	set 	wiper blade 14</t>
  </si>
  <si>
    <t xml:space="preserve"> PLEASE SEE ATTACHED INVITATION TO BID FOR THE PROJECT DESCRIPTION.</t>
  </si>
  <si>
    <t xml:space="preserve"> Construction of Local Road/Bridge at Purok 5, Barangay San Jose, Bacon District, Sorsogon City</t>
  </si>
  <si>
    <t xml:space="preserve"> 8 box  Losartan 50mg tab. 100bp 100bot Ascorbic Acid 100mg/5ml, 60ml syrup 160 bot cetirizine 1mg/ml ,60ml bot. 8 box captoril 25mg /tab 100bp 4 tube erythromycin eye ointment 5% ,5g 8 box erythromycin 500 mg tab 100bp 8 box ethambuto 400 mg tab 100bp 4 v</t>
  </si>
  <si>
    <t xml:space="preserve"> Small Value Procurement</t>
  </si>
  <si>
    <t xml:space="preserve"> Republic of the Philippines  Province of Nueva Ecija  Palayan City BIDS AND AWARDS COMMITTEE  REQUEST FOR QUOTATION  									Date: June 15, 2020 1.	LGU-Palayan City through its Bids and Awards Committee (BAC) invites registered suppliers to submit quotat</t>
  </si>
  <si>
    <t xml:space="preserve"> 3	bxs	Ballpen 50's/box black and blue 15	ream	Colored Paper, assorted colors 250's/ream 6	pcs	Correction Tape 8	sleeves	Manila Paper 11	pcs	Marker, permanent black broadtip type 10	pcs	Marker, permanent red broadtip type 10	pcs	Marker, permanent blue broa</t>
  </si>
  <si>
    <t xml:space="preserve"> 1. 50 ltrs Microbial inoculant 2. 1500 pcs Empty Sacks 3. 300 kgs Molasses Purpose: Soid waste segration and reduction enhancement program waste to food project organic material recovery and fertilizer production/CAO</t>
  </si>
  <si>
    <t xml:space="preserve"> Adapter - 15 pcs	 EPSON , Ink 664 Black - 50 bottles	 EPSON , Ink 664 Cyan - 25 bottles	 EPSON , Ink 664 Magenta - 12 bottles	 EPSON , Ink 664 Yellow - 30 bottles	 EPSON , Ink 003 Black - 25 bottles	 EPSON , Ink 003 Cyan - 7 bottles	 EPSON , Ink 003 Magen</t>
  </si>
  <si>
    <t xml:space="preserve"> 2 pcs. Thermal Scanner</t>
  </si>
  <si>
    <t xml:space="preserve"> Two (2) pcs Timing Belt (R&amp;M Toyota Hilux Pick-up SHF 307) and 27 other LI</t>
  </si>
  <si>
    <t xml:space="preserve"> REQUEST TO SUBMIT PROPOSAL/QUOTATION														 (Shopping - Sec. 52.1 (b))														 								Date :						 														 														 Company / Store Name and Address														 														 	Please quote your lowest price on the items liste</t>
  </si>
  <si>
    <t xml:space="preserve"> office supplies and equipments</t>
  </si>
  <si>
    <t xml:space="preserve"> Requesting for Quotation (RFQ) for PR No. 2006043  Interested suppliers are invited to submit Sealed Price Quotations for the above listed items. The Request for Quotation (RFQ) for may be obtained from Mr. Albert A. Camarillo City General Services Office</t>
  </si>
  <si>
    <t xml:space="preserve"> 360 pcs - Solo Parent I.D. size: 6cm x 9cm non-glossy 750 pcs - Family Access Card size: 4 inch x 10 inch board paper 2,500 pcs - ECCD Booklet 1 (fold coat cover colored, 20 pages black &amp; white) 2,500 pcs - ECCD Booklet 2 (fold coat cover colored, 20 page</t>
  </si>
  <si>
    <t xml:space="preserve"> Municipality of San Juan, Siquijor						Project Reference No.: 				 						Name of Project: Procurement of Office Furniture &amp;				 						Fixtures for OSCA, MSWD CY 2020				 						Location of Project: Poblacion,San Juan, Siquijor				 Standard Form Number: SF</t>
  </si>
  <si>
    <t xml:space="preserve"> PROCUREMENT OF ONE (1) LOT OFFICE EQUIPMENT 1.  Cabinet, Steel File, Vertical File 4 drawers	- 3 UNITS 	 2.  Cabinet, Open Shelves, steel,  5-layers, color: gray, gauge 18	- 10 UNITS ***nothing follows*** Request for Quotation (RFQ) Terms, Conditions, Pro</t>
  </si>
  <si>
    <t xml:space="preserve"> Preparation of As-built Plan, Detailed Engineering Design, Specifications, and Bill of Quantities of Annex Building and Municipal Building electrical system</t>
  </si>
  <si>
    <t xml:space="preserve"> Project: Renovation of Regional Director's Office Location: Camp Col Rafael C Rodriguez, Butuan City Approved Budget for the Contract (ABC): Php147,355.74 Duration: 60 Calendar Days</t>
  </si>
  <si>
    <t xml:space="preserve"> 5 units Office Table Malaysian Wood, Mahogany color Vinyl laminated, 48" x 28" 2 units Office Table Malaysian Wood, Mahogany Color Vinyl laminated, 48" x 28"</t>
  </si>
  <si>
    <t xml:space="preserve"> Premium Hog Starter Pellets, etc.- CEDU Animal- Swine Project Please see attached RFQ.</t>
  </si>
  <si>
    <t xml:space="preserve"> INVITATION TO BID FOR IMPROVEMENT OF PUBLIC MARKET 1.	The Municipal Government of Sta. Maria through the 20% Local Development Fund 2020 intends to apply the sum of One Million Five Hundred Thousand Pesos (₱1,500,000.00) being the Approved Budget for the </t>
  </si>
  <si>
    <t xml:space="preserve"> 1.	The AGRICULTURAL TRAINING INSTITUTE (ATI), through the 2020 GENERAL APPROPRIATIONS ACT (GAA) intends to apply the sum of TWELVE MILLION FOUR HUNDRED EIGHTY-FIVE THOUSAND ONE HUNDRED PESOS (PHP 12,485,100.00) being the Approved Budget for the Contract (</t>
  </si>
  <si>
    <t xml:space="preserve"> 1 pc. Table</t>
  </si>
  <si>
    <t xml:space="preserve"> See Attached file</t>
  </si>
  <si>
    <t xml:space="preserve"> Requesting for Quotation (RFQ) for PR No. 2005198  Interested suppliers are invited to submit Sealed Price Quotations for the above listed items. The Request for Quotation (RFQ) for may be obtained from Mr. Albert A. Camarillo City General Services Office</t>
  </si>
  <si>
    <t xml:space="preserve"> 3RD INVITATION TO BID The Municipal Government of La Trinidad through the Bids and Awards Committee (BAC) invites contractors to bid for the hereunder project: Contract Reference No.: POW - 8751 - 2020 - LBS - 01 Name of Project: Improvement of FMR near S</t>
  </si>
  <si>
    <t xml:space="preserve"> Procurement of Radio Base Transceiver and VHF Handheld Radio of DepEd Elementary - Laak North District, Laak, Davao De Oro with an ABC of Php. 60,000.00</t>
  </si>
  <si>
    <t xml:space="preserve"> INVITATION TO APPLY FOR ELIGIBILITY AND TO BID The Municipal Government of   San Luis, Batangas, through its Bids and Awards Committee (BAC), invites contractors registered with and classified by the Philippine Contractors Accreditation Board (PCAB) to ap</t>
  </si>
  <si>
    <t xml:space="preserve"> 50 pcs. Polo Shirts P35,000.00</t>
  </si>
  <si>
    <t xml:space="preserve"> Republic of the Philippines Province of Eastern Samar Municipality of San Julian REQUEST FOR QUOTATION _______________________________ ______________________________ _______________________________ SIR/MADAME: 	Please quote your lowest price for the follo</t>
  </si>
  <si>
    <t xml:space="preserve"> The Local Government Unit of Amulung, Cagayan intends to purchase Supply and Delivery of 5,000 Liters Diesel for Ambulance through Alternative Mode of Procurement with an ABC of Php 175.000.00 Interested suppliers can avail of the Request for Quotation at</t>
  </si>
  <si>
    <t xml:space="preserve"> 1. 3,000 ltrs Diesel Fuel Note: the price/s quoted by the supplier shall be valid for a period of seven (7) calendar days from the date of the quotation, and the item/s shall be delivered to the procuring entity regardless of an increase or decrease in th</t>
  </si>
  <si>
    <t xml:space="preserve"> 1 Length Angle Bar Cleat 50x50x4.5mm and 56 Line Items</t>
  </si>
  <si>
    <t xml:space="preserve"> 50 gals. Disinfectant Concentrate 15 gals. All Purpose Cleaner</t>
  </si>
  <si>
    <t xml:space="preserve"> Republic of Philippines								 City of Canlaon								 OFFICE OF THE BIDS AND AWARDS COMMITTEE								 REQUEST FOR SEALED QUOTATION								 								 								 				Date:	15-Jun-20			 				Quotation No.:	2020-06-0164			 				PR No.:	2020-06-165-B			 				Depar</t>
  </si>
  <si>
    <t xml:space="preserve"> JOB ORDER: To provide labor and materials for the printing of T-shirts with the following specifications: No.	Scope of Work	Quantity	Unit_Cost	ABC 	MTERIALS:   Cotton	200	300.00	60,000.00 	COLOR:       Navy Blue			 	PRINT: see attached sample			 No.	Terms</t>
  </si>
  <si>
    <t xml:space="preserve"> 11,666 Sachet Nutriblend (rice, sesame, monggo)</t>
  </si>
  <si>
    <t xml:space="preserve"> Used in the office of the Municipal Mayor, this muncipality</t>
  </si>
  <si>
    <t xml:space="preserve"> Republic of the Philippines DEPARTMENT OF PUBLIC WORKS AND HIGHWAYS CAMARINES SUR 1st DISTRICT ENGINEERING OFFICE REGIONAL OFFICE V Baras, Canaman, Camarines Sur INVITATION TO BID 		FOR 20GFD0012 – Supply and Delivery of Customized Binder for use of  Vari</t>
  </si>
  <si>
    <t xml:space="preserve"> Thermal Paper, Coreless for Mobile Receipting Device Ziaplex Ziapos 900</t>
  </si>
  <si>
    <t xml:space="preserve"> items:    vehicle parts, electrical and body repair materials of motorpool equipments location: lgu motorpool, gutalac, zamboanga del norte approved budget for the contract: php710,000.00 opening of bids: july 8, 2020    2:00 pm submission of bids: on or </t>
  </si>
  <si>
    <t xml:space="preserve"> 18	pcs	2 1/2x 2 1/2 x 1/4 angle bar 4	pcs	1 1/2x 1 1/2x 1/4 angle bar 10	klg	welding rod 6	pcs	16mm round bar 8	pcs	turn buckle 2	gal.	red oxide</t>
  </si>
  <si>
    <t xml:space="preserve"> Requesting for Quotation (RFQ) for PR No. 2006087  Interested suppliers are invited to submit Sealed Price Quotations for the above listed items. The Request for Quotation (RFQ) for may be obtained from Mr. Albert A. Camarillo City General Services Office</t>
  </si>
  <si>
    <t xml:space="preserve"> Supply and delivery of the following: 2	pack	EAZI-BREED CIDR Cattle Insert (Porgesterone)			 10	dose	Folligon			 10	dose	Folltropin V			 2	dose	Chorulon			 2	dose	Cystorelin</t>
  </si>
  <si>
    <t xml:space="preserve"> Republic of the Philippines MINDANAO STATE UNIVERSITY AT NAAWAN 9023 Naawan, Misamis Oriental REQUEST FOR QUOTATION To whom it may concern: Please quote your lowest price/s on the lot or item/s listed below, subject to the General Conditions indicated her</t>
  </si>
  <si>
    <t xml:space="preserve"> REQUEST FOR QUOTATION (RFQ) Date: June 16, 2020 The Owner/Proprietor ____________________________ Borongan City Sir/Ma’am: Please quote your price for the items specified below, taking into consideration the following &amp; fill-up the above portion “The Owne</t>
  </si>
  <si>
    <t xml:space="preserve"> The Property Div.-OAS of the Supreme Court, through the Procurement Section, invites interested suppliers to quote for the price/s of the item/s listed in the attached document (PLEASE DOWNLOAD) Please also provide "Eligibility Documents, Annex A"</t>
  </si>
  <si>
    <t xml:space="preserve"> Republic of the Philippines DEPARTMENT OF PUBLIC WORKS AND HIGHWAYS CAMARINES SUR 1st DISTRICT ENGINEERING OFFICE REGIONAL OFFICE V Baras, Canaman, Camarines Sur INVITATION TO BID 		FOR 20GFD0013 – Supply and Delivery of Electrical Supplies, Common Office</t>
  </si>
  <si>
    <t xml:space="preserve"> ARTICLE AND DESCRIPTION											 ITEM	QTY.	UNIT						CEILING 					UNIT PRICE		TOTAL  								PRICE							 															 				Office: Universidad De Manila				PR No. 331							 				Charge to: Medical, Dental and Laboratory Supplies Expenses				OBR No. 1</t>
  </si>
  <si>
    <t xml:space="preserve"> Republic of Philippines								 City of Canlaon								 OFFICE OF THE BIDS AND AWARDS COMMITTEE								 REQUEST FOR SEALED QUOTATION								 								 								 				Date:	15-Jun-20			 				Quotation No.:	2020-06-0163			 				PR No.:	2020-06-166-B			 				Depar</t>
  </si>
  <si>
    <t xml:space="preserve"> Item No.	Description	Qty.	Unit 1	Winning Bidder must provide a Fully Automated Chemiluminescent Microparticle Immuno Assay (CMIA) machine. Provide all necessary accessories needed for the machine to function like RV, Control, calibration, pre-trigger, buf</t>
  </si>
  <si>
    <t xml:space="preserve"> Republic of the Philippines								                     Department of Education								                  Region XI								                        DAVAO CITY NATIONAL HIGH SCHOOL 								                Davao City 								                     COMMITTEE ON </t>
  </si>
  <si>
    <t xml:space="preserve"> Project: Extension and Improvement of Pastoral Office and Quarters Location: Camp Col Rafael C Rodriguez, Butuan City Approved Budget for the Contract (ABC): Php436,000.00</t>
  </si>
  <si>
    <t xml:space="preserve"> Materials for the rehabilitation  of gutter and downspout of Basketball Court.</t>
  </si>
  <si>
    <t xml:space="preserve"> l.	The MUNICIPALITY OF GUINAYANGAN, QUEZON, through  the  2020 C.O.    intends to apply the sum of  Sixty Two Thousand Two Hundred Fifty Pesos  (P 62,250.00) being the Approved Budget for the Contract (ABC) to payments under the contract for Supply and De</t>
  </si>
  <si>
    <t xml:space="preserve"> Procurement of Three (3) units Generator and Four (4) units Grass Cutter for DepEd Elementary - Laak North District, Laak, Davao De Oro with an ABC of Php. 119,000.00.</t>
  </si>
  <si>
    <t xml:space="preserve"> Repair/Improvement of Multipurpose Bldg. (Health Center) of Barangay San Jose, Bacon District, Sorsogon City</t>
  </si>
  <si>
    <t xml:space="preserve"> TIRES #14 X 14 -16 PLY RATING - 2 SETS</t>
  </si>
  <si>
    <t xml:space="preserve"> Invitation to Bid for Filling at ESSU Mini Park at ESSU Main Campus 1.	The Eastern Samar State University – Main Campus, through the FY 2020 Special Trust Fund intends to apply the sum of Six Million Three Hundred Five Thousand Five Hundred Fourteen Pesos</t>
  </si>
  <si>
    <t xml:space="preserve"> Uniforms for Fishery Law Enforcement Personnel 					 					 Short Sleeve with BFAR Logo (sublimation)			35	Piece	21,000.00 Dry fit texture					 Long Sleeve with BFAR Logo (sublimation) Dry fit texture			35	Piece	24,500.00 Tactical Shorts (for men)			65	Pie</t>
  </si>
  <si>
    <t xml:space="preserve"> Clearing, grubbing, demolition of existing structure, excavation &amp; backfilling (L&gt;S) 9 cu.m gravel 3/4 13 bags cement 5 cu.m sand 23 pcs 10mm @RSB 7 pcs G.I Pipe #2  sch. 20 9 pcs 2x2x12 coco lumber 2 kg CW nails asstd. sizes 1 kg Tie wires 4 pcs 1/4 thk </t>
  </si>
  <si>
    <t xml:space="preserve"> Repair and Maintenance of various Service Vehicle for use of Provincial Government of Tarlac LOT 1: Repair and Maintenance of (3) units Dental Bus LOT 2: Repair and Maintenance of Foton Gratour Midi Truck with CS No. GC1802; GC1806; GC1786; GC1823 LOT 3: </t>
  </si>
  <si>
    <t xml:space="preserve"> Purchase of Camera use in Office of Tourism &amp; Department of Agriculture</t>
  </si>
  <si>
    <t xml:space="preserve"> Requesting for Quotation (RFQ) for PR No. 2005193  Interested suppliers are invited to submit Sealed Price Quotations for the above listed items. The Request for Quotation (RFQ) for may be obtained from Mr. Albert A. Camarillo City General Services Office</t>
  </si>
  <si>
    <t xml:space="preserve"> Republic of the Philippines PROVINCIAL GOVERNMENT OF EASTERN SAMAR Capitol Building, Borongan, Eastern Samar, 6800 Tel No. (055)-560-8312 E-mail Address: esamar.bac@gmail.com BIDS AND AWARDS COMMITTEE (BAC) INVITATION TO BID FOR CONCRETING OF CAROLINA – H</t>
  </si>
  <si>
    <t xml:space="preserve"> Republic of the Philippines 	 PROVINCE OF BUKIDNON 	 Municipality of Don Carlos                                     BIDS AND AWARDS COMMITTEE REQUEST FOR QUOTATION 									 							Date:  							RFQ No.											   		Name of Project:  									 							En</t>
  </si>
  <si>
    <t xml:space="preserve"> Republic of the Philippines Province of Iloilo  BIDS AND AWARDS COMMITTEE REQUEST FOR QUOTATION Quotation No.PEO-20-0676-NP (SV) Reference PR No. PEO-20-0676 June 11, 2020 ___________________________ ___________________________ ___________________________</t>
  </si>
  <si>
    <t xml:space="preserve"> Used in the office of the municipal mayor, this municipality</t>
  </si>
  <si>
    <t xml:space="preserve"> 2ND INVITATION TO BID The Municipal Government of La Trinidad through the Bids and Awards Committee (BAC) invites contractors to bid for the hereunder project: Contract Reference No.: POW - 8751 - 2020 - PCO - 02 Name of Project: Construction of Box Culve</t>
  </si>
  <si>
    <t xml:space="preserve"> REQUEST FOR QUOTATION Labor for Replacement of Roofing and Ceiling Eaves of Whitehouse 1. The Cavite State University (CvSU) invites interested firms/suppliers to submit quotation for the project “Labor for Replacement of Roofing and Ceiling Eaves of Whit</t>
  </si>
  <si>
    <t xml:space="preserve"> To be used in the office of matalam police station</t>
  </si>
  <si>
    <t xml:space="preserve"> The Bureau of Soils and Water Management (BSWM), through its Bids and Awards Committee (BAC), intend to hire catering services for the conduct of the “FY 2021 Budget Preparation and Consultation,” on   June 18, 2020, June 25, 2020 &amp; September 15, 2020 at </t>
  </si>
  <si>
    <t xml:space="preserve"> Republic of the Philippines Province of Cotabato Municipality of Arakan Barangay Dallag BIDS AND AWARDS COMMITTEE REQUEST FOR QUOTATION Construction of Multi-purpose Building @ sitio Malli The Barangay Local Government Unit of Dallag is inviting intereste</t>
  </si>
  <si>
    <t xml:space="preserve"> Republic of the Philippines                                                   													 DEPARTMENT OF PUBLIC WORKS AND HIGHWAYS													 ZAMBOANGA DEL NORTE													 1ST DISTRICT ENGINEERING OFFICE													 REGIONAL OFFICE IX													 </t>
  </si>
  <si>
    <t xml:space="preserve"> Description Please quote your price inclusive of VAT on the item/s listed below, subject to the Terms and conditions of the RFQ, and submit your quotation duly signed by your representative not later than June 23, 2020 at CGSO for Goods. Upon receipt of a</t>
  </si>
  <si>
    <t xml:space="preserve"> OFFICE OF THE BIDS AND AWARDS COMMITTEE Name of Procuring Entity:     LGU – BAYOMBONG      Request for Quotation No.: _____________________ Revised on:   ______________________________                                             Date:   __________________</t>
  </si>
  <si>
    <t xml:space="preserve"> ARTICLE AND DESCRIPTION											 ITEM	QTY.	UNIT						CEILING 					UNIT PRICE		TOTAL  								PRICE							 															 				Office: Universidad De Manila				PR No. 330							 				Charge to: Drugs and Medicines Expenses				OBR No. 100-2002-00678							</t>
  </si>
  <si>
    <t xml:space="preserve"> Labor</t>
  </si>
  <si>
    <t xml:space="preserve"> l.	The MUNICIPALITY OF GUINAYANGAN, QUEZON, through  the  2020 C.O.    intends to apply the sum of  Two Hundred Twelve Thousand Three Hundred Twenty  Pesos                   (P 212,320.00) being the Approved Budget for the Contract (ABC) to payments under</t>
  </si>
  <si>
    <t xml:space="preserve"> 1,870 liters diesel location: sb legislative office, gutalac, zamboanga del norte approved budget for the contract: php68,000.00 opening of bids: june 25, 2020    2:00 pm submission of bids: on or before opening of bids non refundable fee for bidding docu</t>
  </si>
  <si>
    <t xml:space="preserve"> Black Ink HP Deskjet Ink Advantage - #680 Colored Ink HP Deskjet Ink Advantage - #680 Alcohol (70% Solution) Tissue (Cleene Premium - 9 rolls)</t>
  </si>
  <si>
    <t xml:space="preserve"> Republic of the Philippines Provincial Government of Aurora Bids and Awards Committee (BAC) BAC Office, Provincial Capitol Building, Baler, Aurora 3200, Philippines Standard Form Number: SF-INFR-05 Revised on: July 29, 2004 INVITATION TO BID The PROVINCIA</t>
  </si>
  <si>
    <t xml:space="preserve"> For use in Michigan Payloader L2-1335 assigned at Maint. Section</t>
  </si>
  <si>
    <t xml:space="preserve"> 1	Unit	Smart TV 75", ABC 120,000.00/unit Resolution: 3840 x 2160, Display Format: 4K UHD 2160p, 75 inch				 Connectivity: Wifi and Internet 3 USB Ports 4 HDMI Ports				 Operating System: Android	 RFQ#06-0619</t>
  </si>
  <si>
    <t xml:space="preserve"> Requesting for Quotation (RFQ) for PR No. 2006045  Interested suppliers are invited to submit Sealed Price Quotations for the above listed items. The Request for Quotation (RFQ) for may be obtained from Mr. Albert A. Camarillo City General Services Office</t>
  </si>
  <si>
    <t xml:space="preserve"> Republic of the Philippines PROVINCIAL GOVERNMENT OF EASTERN SAMAR Capitol Building, Borongan, Eastern Samar, 6800 Tel No. (055)-560-8312 E-mail Address: esamar.bac@gmail.com BIDS AND AWARDS COMMITTEE (BAC) INVITATION TO BID FOR CONSTRUCTION OF MULTI-PURP</t>
  </si>
  <si>
    <t xml:space="preserve"> The City Government of Santiago invites interested parties to submit price quotation for the “SUPPLY AND DELIVERY OF VARIOUS EQUIPMENT FOR CANCER PREVENTION AND CONTROL PROGRAM USE“ City Hall, Santiago City, details as follows: ABC: Php 514,500.00 Contrac</t>
  </si>
  <si>
    <t xml:space="preserve"> 1 pc amglobe crystal light 1/2 clear 6 mtrs #12 THW stranded wire 4 mtrs moldflex pipe # 1/2 32 pcs P.E pipe 1/2 SDR II 1 pc firefly bulb (18watts) 64 mtrs #10 THW stranded wire 1 pc poly junction box 4x4x WC 1 roll electrical tape (big) 1 mtr mecca tube </t>
  </si>
  <si>
    <t xml:space="preserve"> Requesting for Quotation (RFQ) for PR No. 2006055  Interested suppliers are invited to submit Sealed Price Quotations for the above listed items. The Request for Quotation (RFQ) for may be obtained from Mr. Albert A. Camarillo City General Services Office</t>
  </si>
  <si>
    <t xml:space="preserve"> I - Concrete works - 10.55 cu.m II - Masonry works - 196.57 sq. m III - Ceiling works - 109.32 sq. m IV - Roofing works - 158 sq. m V - Painting works - 393.14 sq. m VI - Doors and Windows - 10.98 sq. m VII - Tiling works - 90.56 sq. m VIII - Electrical w</t>
  </si>
  <si>
    <t xml:space="preserve"> ARTICLE AND DESCRIPTION											 ITEM	QTY.	UNIT						CEILING 					UNIT PRICE		TOTAL  								PRICE							 															 				Office: Ospital ng Tondo				PR Nos. 205 &amp; 203							 				Charge to: Other Supplies and Materials Expenses				OBR No. 100-2001-0</t>
  </si>
  <si>
    <t xml:space="preserve"> Please see attached Request for Quotation, Specifications and Scope of Work. Other document relative to this procurement is available at the BAC Secretariat.</t>
  </si>
  <si>
    <t xml:space="preserve"> Republic of the Philippines Province of Cotabato Municipality of Arakan Barangay Dallag BIDS AND AWARDS COMMITTEE REQUEST FOR QUOTATION Purchase of Laptop  The Barangay Local Government Unit of Dallag is inviting interested suppliers to submit price quota</t>
  </si>
  <si>
    <t xml:space="preserve"> Republic of the Philippines PROVINCE OF AKLAN Kalibo -oOo- BIDS AND AWARDS COMMITTEE (BAC) INVITATION TO BID 1.	The Provincial   Government   of   Aklan, through   MOOE SEF CY 2020 intends   to   apply   the   sum   Eight Hundred One Thousand Five Hundred</t>
  </si>
  <si>
    <t xml:space="preserve"> Requesting for Quotation (RFQ) for PR No. 2005253  Interested suppliers are invited to submit Sealed Price Quotations for the above listed items. The Request for Quotation (RFQ) for may be obtained from Mr. Albert A. Camarillo City General Services Office</t>
  </si>
  <si>
    <t xml:space="preserve"> 12 UNITS LAPTOP MIDRANGE</t>
  </si>
  <si>
    <t xml:space="preserve"> Road Work Ahead (T1-1) (50m) 1,800mm x 600mm	12	Pcs Road Work Ahead (T1-1) (100m) 1,800mm x 600mm	14	Pcs Road Work Ahead (T1-1) (150m) 1,800mm x 600mm	14	Pcs Road Work Ahead (T1-1) (200m) 1,800mm x 600mm	14	Pcs Bridge Work Ahead (T1-2) (50m) 1,800mm x 600</t>
  </si>
  <si>
    <t xml:space="preserve"> Materials to be used for construction and re painting of offices.</t>
  </si>
  <si>
    <t xml:space="preserve"> ITEMNO. 	ITEM  &amp; DESCRIPTION	QTY.	UOM 			 1	Commercial Rice	151	sack</t>
  </si>
  <si>
    <t xml:space="preserve"> IT Supplies for Various Offices</t>
  </si>
  <si>
    <t xml:space="preserve"> Republic of the Philippines Province of Nueva Vizcaya BIDS AND AWARDS COMMITTEE (BAC-Goods) BAC OFFICE, Provincial Capitol, Bayombong, Nueva Vizcaya 	 2ND REQUEST FOR QUOTATION (RFQ)  For the Procurement of Office Supplies (Carbon Film, Paper Multi-purpos</t>
  </si>
  <si>
    <t xml:space="preserve"> JOB ORDER: Labor services for the conduct of Complete Soil Analysis for samples collected from 45 sites   in three provinces  Brgy. Camanhagay, San Sebastian Samar, Brgy. Uban, Babatngon Leyte &amp; Brgy.  Manlabang Caibiran Biliran. No.	Scope of Work	Quantit</t>
  </si>
  <si>
    <t xml:space="preserve"> Urea Complete Ammonium Phosphate</t>
  </si>
  <si>
    <t xml:space="preserve"> PR#20-02-0024 ABC 450,000.00 Please see attached Specifications, Terms, Reference and Scope of Work at the Associated Components. INSTRUCTIONS/ NOTES TO BIDDERS: 1.	Please indicate the following information in your bid: a) Company Name, Address, Tel/Fax n</t>
  </si>
  <si>
    <t xml:space="preserve"> Republic of the Philippines Province of Eastern Samar Municipality of San Julian REQUEST FOR QUOTATION _____________________________ _____________________________ _____________________________ SIR/MADAME: 	Please quote your lowest price for the following </t>
  </si>
  <si>
    <t xml:space="preserve"> Bids and Awards Committee							 REQUEST FOR QUOTATION							         The City Government of Pagadian, through its Bids and Awards Committee (BAC), invites suppliers/manufacturers/distributors to bid for the hereunder supplies/goods, charged to TRUST FUND</t>
  </si>
  <si>
    <t xml:space="preserve"> REQUEST FOR QUOTATION Please quote your lowest price on the item/s listed below, subject to the conditions also listed below, stating the shortest time of delivery and submit your quotation duly signed by your representative not later than 5:00 P.M. of  J</t>
  </si>
  <si>
    <t xml:space="preserve"> ARTICLE AND DESCRIPTION											 ITEM	QTY.	UNIT						CEILING 					UNIT PRICE		TOTAL  								PRICE							 															 				Office: Ospital ng Tondo				PR No. 197							 				Charge to: Office Supplies Expenses				OBR No. 100-2001-00344							 				ABC:</t>
  </si>
  <si>
    <t xml:space="preserve"> Republic of the Philippines PROVINCE OF AKLAN Kalibo -oOo- BIDS AND AWARDS COMMITTEE (BAC) INVITATION TO BID 1.	The Provincial   Government   of   Aklan, through   MOOE SEF CY 2020 intends   to   apply   the   sum   Nine Hundred Sixty Seven Thousand Three</t>
  </si>
  <si>
    <t xml:space="preserve"> REQUEST FOR QUOTATION Supply and Delivery of Materials for Replacement of Roofing and Ceiling Eaves of Whitehouse 1. The Cavite State University (CvSU) invites interested firms/suppliers to submit quotation for the project “Supply and Delivery of Material</t>
  </si>
  <si>
    <t xml:space="preserve"> Republic of the Philippines Province of Cotabato Municipality of Arakan Barangay Kabalantian PBIDS AND AWARDS COMMITTEE INVITATION TO BID FOR   Ri Bid for Purchase of Rescue Vehicle Bonggo 1.	The Barangay Local Government Unit of Kabalantian, through the </t>
  </si>
  <si>
    <t xml:space="preserve"> REQUEST FOR QUOTATION					 					 					 P.R. Number   :	2020 -   Date              :	 Company Name	:  _____________________			 					 Address	: _________________________				 					              Please quote your price on the item/s listed below, subject to t</t>
  </si>
  <si>
    <t xml:space="preserve"> 50 pcs Folding Bed 31 pcs Single Foam</t>
  </si>
  <si>
    <t xml:space="preserve"> Construction of Concrete Pathway L:100LM, t=0.10m W= 1.00m 1.Sub base and base Preparations II. PCCP Portland Cement Concrete Pavement B. Installation of $ unit Street Lights  NOTE: This project is intended for barangay sto.domingo the fund is from there </t>
  </si>
  <si>
    <t xml:space="preserve"> Purchase of Various Office Supplies  for SB Office</t>
  </si>
  <si>
    <t xml:space="preserve"> INVITATION TO BID FOR Procurement of Machinery &amp; Equipment for ESSU Can-Avid use PR#20-06-091   1.	The EASTERN SAMAR STATE UNIVERSITY, through the FY 2020 GAA, R.A No. 11465 intends to apply the sum of Three Million Pesos (Php3,000,000.00), [Lot Number On</t>
  </si>
  <si>
    <t xml:space="preserve"> 1	60	bot	Alcohol (big)	 2	50	pcs	Mighty bond	 3	50	bot	Air freshner 320 ml	 4	120	doz	Tissue paper 	 5	40	pcs	Toilet deodorant	 6	30	bot	Muriatic acid	 7	24	sachet	Detergent powder 500g	 8	20	doz	Fabric conditioner	 9	30	bot	Hand sanitizer 100 ml.	 10	30	</t>
  </si>
  <si>
    <t xml:space="preserve"> FOR MODULAR REQUIREMENT</t>
  </si>
  <si>
    <t xml:space="preserve"> Doxitrin Wound Spray 86g Premoxil Powder Vetracin Premium Multivitamins Pidro Povidone iodine 100ml Scourex Powder Scourex Tab 100's Amobac Ciprotyl Tab Alcohol</t>
  </si>
  <si>
    <t xml:space="preserve"> Province of Iloilo Municipality of New Lucena    New Lucena, Iloilo 							         June 15, 2020    INVITATION TO BID FOR THE SUPPLY AND DELIVERY OF MATERIALS FOR CONSTRUCTION OF MULTI – PURPOSE HALL BRGY.BACLAYAN, NEW LUCENA, ILOILO 1.	The Municipality </t>
  </si>
  <si>
    <t xml:space="preserve"> Republika ng Pilipinas BAYAN NG CORTES Surigao del Sur BIDS AND AWARDS COMMITTEE 						           June 16, 2020 INVITATION TO BID FOR    Construction of MRF &amp; Purchase of Plastic Bins 	The Local Government Unit of Cortes through LGU PR. No.  401-048 dated</t>
  </si>
  <si>
    <t xml:space="preserve"> Climate Proofed Concrete Road</t>
  </si>
  <si>
    <t xml:space="preserve"> 1	pcs.	30	CHB #4				 2	 sacks 	70	White Sand				 3	sacks	6	Gravel 3/4				 4	kilos	3	G.I. Wire #16				 5	pc.	1	Plywood ½" x4" x 8'				 6	kilo 	0.5	Concrete Nail 2"				 7	kilo	0.5	Concrete Nail 1 ½"				 8	pcs.	8	Lavatory Faucet				 9	pcs.	3	PVC Pipe Orange </t>
  </si>
  <si>
    <t xml:space="preserve"> Republic of the Philippines PROVINCIAL GOVERNMENT OF EASTERN SAMAR Capitol Building, Borongan, Eastern Samar, 6800 Tel No. (055)-560-8312 E-mail Address: esamar.bac@gmail.com BIDS AND AWARDS COMMITTEE (BAC) INVITATION TO BID FOR CONSTRUCTION OF TRIPLE BAR</t>
  </si>
  <si>
    <t xml:space="preserve"> LETTER OF INVITATION (Negotiated Procurement - Small Value Procurement) June 15, 2020 Dear Sir/Ma’am: Greetings! This is to invite you as our prospective bidder to submit proposal and participate for the project, “Upgrade, Integration and Relocation of Se</t>
  </si>
  <si>
    <t xml:space="preserve"> ARTICLE AND DESCRIPTION											 ITEM	QTY.	UNIT						CEILING 					UNIT PRICE		TOTAL  								PRICE							 															 				Office: Universidad De Manila				PR No. 359							 				Charge to: Textbooks and Instructional Materials Expenses				OBR No. 100</t>
  </si>
  <si>
    <t xml:space="preserve"> Purchase and installation of 149 units sanitary toilets</t>
  </si>
  <si>
    <t xml:space="preserve"> CONCRETE PAVING (LENGHT = 80.0M, WIDTH =3.0M., THICKNESS = 0.20M.) WITH 05.0M. SHOULDER ON BOTH SIDES.</t>
  </si>
  <si>
    <t xml:space="preserve"> l.	The MUNICIPALITY OF GUINAYANGAN, QUEZON, through  the  2020 C.O.    intends to apply the sum of  One Hundred Twenty Four Thousand Eighty Two  Pesos                      (P 124,082.00) being the Approved Budget for the Contract (ABC) to payments under t</t>
  </si>
  <si>
    <t xml:space="preserve"> REPAIR AND IMPROVEMENT OF PLUMBING AND WATER PIPE LINES</t>
  </si>
  <si>
    <t xml:space="preserve"> Requesting for Quotation (RFQ) for PR No. 2006047  Interested suppliers are invited to submit Sealed Price Quotations for the above listed items. The Request for Quotation (RFQ) for may be obtained from Mr. Albert A. Camarillo City General Services Office</t>
  </si>
  <si>
    <t xml:space="preserve"> Uniform and Accesories for BSF and Traffic Enforcers.</t>
  </si>
  <si>
    <t xml:space="preserve"> Disinfection Cap</t>
  </si>
  <si>
    <t xml:space="preserve"> Safety Cone with Accessories, Plastic, Good Quality A. Description: - Four sided signs for maximum visibility  - Perfect for highlighting hazardous areas - Cones Stand 900mm High - Constructed from die-cut multi flute  - Lightweight, Durable and Stackable</t>
  </si>
  <si>
    <t xml:space="preserve"> Construction Materials.</t>
  </si>
  <si>
    <t xml:space="preserve"> 2 unit 2 tonner split type wall mounted inverter aircon with cooling load of 27,000 Btu/hr, 230V, 60Hz 3 phase inclusive of installation............etc Note: Indicate the brand, model and attach brochure offered    Please see and download attachment</t>
  </si>
  <si>
    <t xml:space="preserve"> 1. The Mindanao State University - Tawi-Tawi College of Technology and Oceanography (MSU-TCTO), through the GAA 2020, intends to apply the sum of One Hundred Forty-Six Thousand Two Hundred Twenty Pesos only (PhP 146,220.00) being Approved Budget of Contra</t>
  </si>
  <si>
    <t xml:space="preserve"> City Government of La Carlota								          Standard Form Number: SF-GOOD-59 Revised on: May 24, 2004 Standard Form Title: REQUEST FOR QUOTATION 												Date: ______________											                             Quotation No.________ Company Name </t>
  </si>
  <si>
    <t xml:space="preserve"> LGU-BAROBO		Project Reference Number			 Name of Procuring Entity		Supply &amp; Delivery of Office  Equipment			 					 			Barobo, Surigao del Sur		 Standard Form Number: SF-GOOD-60					 Revised on: May 24, 2004					 Standard Form Title: REQUEST FOR QUOTATION		</t>
  </si>
  <si>
    <t xml:space="preserve"> Invitation to Bid for  SUPPLY &amp; DELIVERY OF CONSTRUCTION MATERIALS FOR THE CONSTRUCTION OF SLAUGHTER HOUSE BLDG. @ BRGY. PILINTANGAN, WAO, LANAO DEL SUR ------------------------------------------------------------------------------------------------------</t>
  </si>
  <si>
    <t xml:space="preserve"> FOR SCHOOL ONLINE COMMUNICATION</t>
  </si>
  <si>
    <t xml:space="preserve"> 3,875 sacks of  RICE at 25 kgs. per sack</t>
  </si>
  <si>
    <t xml:space="preserve"> PLEASE SEE ATTACHED REQUEST FOR QUOTATION FOR THE PROJECT DESCRIPTION.</t>
  </si>
  <si>
    <t xml:space="preserve"> 30	M³	SAND GRAVEL (BALASTRO) 240	PCS	4 ‘’ THK CHB 50	BAGS	CEMENT 6	M³	SAND 9	M³	GRAVEL 20	LENGTH	10 MM DEF BARS 3	KG	# 18 TIE WIRE</t>
  </si>
  <si>
    <t xml:space="preserve"> FOR OFFICE EQUIPMENT</t>
  </si>
  <si>
    <t xml:space="preserve"> Purchase of Various Janitorial Supplies  for SB &amp; VM Office</t>
  </si>
  <si>
    <t xml:space="preserve"> 1.Repair and Improvement of Existing Damaged Structures both at Boundary Marker and Outpost (Including Signages/ Marker ) 2. Re-Painting Works Note: This project is intended for barangay sto.domingo , the fund is from their budget , for any information pl</t>
  </si>
  <si>
    <t xml:space="preserve"> Requesting for Quotation (RFQ) for PR No. 2005197  Interested suppliers are invited to submit Sealed Price Quotations for the above listed items. The Request for Quotation (RFQ) for may be obtained from Mr. Albert A. Camarillo City General Services Office</t>
  </si>
  <si>
    <t xml:space="preserve"> REQUEST FOR QUOTATION RFQ No. 2020-0239 The CITY GOVERNMENT OF CABANATUAN through its Bid and Awards Committee (BAC), will undertake Small Value Procurement for the SUPPLY AND DELIVERY OF OFFICE SUPPLIES in accordance with Section 53.9 of the Revised Impl</t>
  </si>
  <si>
    <t xml:space="preserve"> CONSTRUCTION /INSTALLATION OF SLOPE PROTECTION OF ROAD TO PREVENT FLOOD SCOURING, BARANGAY CUYAPIAO, PATNONGON, ANTIQUE</t>
  </si>
  <si>
    <t xml:space="preserve"> Photographic Services for Barangay Personnel</t>
  </si>
  <si>
    <t xml:space="preserve"> o supply catering services in the conduct of Training on Corn Production Technology on the following date and location: No.	Scope of Work	Quantity	Unit_Cost	ABC 	BATCH 1			 	Venue and Schedule (20 participants + 5 RPs/ facilitators)			49,000.00 	Merida, L</t>
  </si>
  <si>
    <t xml:space="preserve"> Republic of the Philippines Province of Cotabato Municipality of Arakan Barangay Allab PBIDS AND AWARDS COMMITTEE INVITATION TO BID FOR  Ri Bid For  Installation of Culvert 1.	The Barangay Local Government Unit of Allab, through the GENERAL  FUND  intends</t>
  </si>
  <si>
    <t xml:space="preserve"> School and Office Supplies and Consumables</t>
  </si>
  <si>
    <t xml:space="preserve"> A) 1 SET SIREN, sentry e-6 model, 124Db @10ft, 5 selectable alarm tones, made in USA, delivery and installation at the Municipal building. B) 3 SETS SIREN, blue and red light, attaching mechanism, control mechanism, microphone, length - 1.5 meters, rear r</t>
  </si>
  <si>
    <t xml:space="preserve"> Maintenance of St Lights</t>
  </si>
  <si>
    <t xml:space="preserve"> Laboratory department Cooler with horizontal locking telescoping handle with two wheels (with drain plig, fish ruler, cool riser technology, 5 days ice retention,168 cans maximum 110 qrts,104 liters) folding bed heavy duty</t>
  </si>
  <si>
    <t xml:space="preserve"> Republika ng Pilipinas BAYAN NG CORTES Surigao del Sur BIDS AND AWARDS COMMITTEE 						           June 16, 2020 INVITATION TO BID FOR    Purchase of Other Accessories and Supply and Repair of L300 Vehicle Services 	The Local Government Unit of Cortes thro</t>
  </si>
  <si>
    <t xml:space="preserve"> Requesting for Quotation (RFQ) for PR No. 2006050  Interested suppliers are invited to submit Sealed Price Quotations for the above listed items. The Request for Quotation (RFQ) for may be obtained from Mr. Albert A. Camarillo City General Services Office</t>
  </si>
  <si>
    <t xml:space="preserve"> Drainage Constructed</t>
  </si>
  <si>
    <t xml:space="preserve"> 1       ROLL        TRAPAL 8FT.                            9,850.00          9,850.00 60     METERS    TRAPAL BAGA                            695.00         41,700.00 5       BOXES     STAPLE WIRE #1                          78.50             285.00 13   </t>
  </si>
  <si>
    <t xml:space="preserve"> Invitation to Bid “Acquisition of One (1) Unit Supply, Delivery and Installation of Gas Chromatography-Mass Spectrometry (GCMS)” 01.The National Bureau of Investigation, through the 2019 NBI Clearance Retention Fees pursuant to RA 10867 otherwise known as</t>
  </si>
  <si>
    <t xml:space="preserve"> Item No.	Unit	ITEM &amp; DESCRIPTION	QTY. 			 1	set	4" Submersible Motor Pump	-1- 		 - 230volts single phase	 		 - 2HP/ 1.5 KW	 		 - Starting Capacitor Box	 		- steam pump SP4007</t>
  </si>
  <si>
    <t xml:space="preserve"> REQUEST FOR QUOTATION (RFQ) 											Date: June 16, 2020 The Owner/Proprietor _________________________ Borongan City Sir: Please quote your price for the items specified below, taking into consideration the following &amp; fill-up the above portion “The Ow</t>
  </si>
  <si>
    <t xml:space="preserve"> 1	2	units	Swivel Chair, Executive Type		 			*Primary Material-leatherette		 			Secondary Material-PU Leatherette;Finish-Glossy		 			*Dimension (mm); 640x730x1240		 			*Assembly: do it yourself (Comes with instruction manual)		 			*black high Quality leath</t>
  </si>
  <si>
    <t xml:space="preserve"> Lot 1 	Supply and Delivery of the following items:					92,000.00 	25mm syringe filter			10	pack of 100	 	0.45 micron, non sterile					 	100/pack					 	HPLC Column, 150 mm, 5µm, 4.6 mm id			1	pc	 Lot 2	Supply and Delivery of the following items:					105,00</t>
  </si>
  <si>
    <t xml:space="preserve"> PURCHASE OF MATERIALS FOR THE CONSTRUCTION OF WATER EXTRACTION FACILITIES, BARANGAY SAMALAGUE, PATNONGON, ANTIQUE</t>
  </si>
  <si>
    <t xml:space="preserve"> 1800 L diesel</t>
  </si>
  <si>
    <t xml:space="preserve"> Item No.	Description	Qty.	Unit 	Winning bidder must provide GEL INCUBATOR and GEL CENTRIFUGE or any machine needed for GEL CROSSMATCHING, reagent delivery and payment can be in quarterly basis or depends on the demand of the end-user. Technical assistance</t>
  </si>
  <si>
    <t xml:space="preserve"> Republic of the Philippines Province of Surigao del Norte Municipality of Claver BARANGAY CAGDIANAO INVITATION TO BID Name of Contract: PURCHASE OF FIRE FIGHTING EQUIPMENT Location: Brgy. Cagdianao, Claver, Surigao del Norte Project Description: Ten (10) </t>
  </si>
  <si>
    <t xml:space="preserve"> Invitation to ReBid for  PROCUREMENT OF BACKHOE FOR MENRO/SLF OPERATION ---------------------------------------------------------------------------------------------------------------- ITB NO. 2020I_18 1.The Office of the Municipal Environment &amp; Natural R</t>
  </si>
  <si>
    <t xml:space="preserve"> 1. Repair of Roofing and its Accessories 2. repair/ Improvement of Ceiling of Session Area &amp; Office only (with drop ceiling) 3. Tile Works/ Masonry Works (office, Porch, Toilet) 4.Replacement of Doors, Jambs &amp; Glass Windows 5. Repair/ Replacement of Steel</t>
  </si>
  <si>
    <t xml:space="preserve"> Republic of the Philippines Province of Cotabato Municipality of Arakan Barangay Anapolon BIDS AND AWARDS COMMITTEE BIDS AND AWARDS COMMITTEE INVITATION TO BID FOR  Ri Bid ForSupply of Materials for Concrete Perimeter Fence of  Barangay Hall ( 80.00mx 60.</t>
  </si>
  <si>
    <t xml:space="preserve"> SSS Dumaguete Branch Supply of Diesel Fuel covering the period July to December 2020 Specifications: 2,500 liters  Diesel or approved equal for automotive Euro 4 compliant Clean Air Act of 2014 compliant to sulfur content Water Content (%vol.): 0.1 maximu</t>
  </si>
  <si>
    <t xml:space="preserve"> 200	Piece	T-SHIRT WITH PRINT, ABC 300.00/pc 		White w/ print (Please see attached)				 		Small - 30				 		Medium - 50				 		Large - 50				 		Extra Large - 30				 		Extra Extra Large - 20				 		Extra Extra Extra Large - 20				 RFQ#06-0620</t>
  </si>
  <si>
    <t xml:space="preserve"> Procurement of supply and delivery of food (40 pax per Batch)	 240	pax	 July 28, 2020 August 25, 2020 September 29, 2020 October  27, 2020 November 24, 2020 December 8, 2020	 AM Snacks Lunch PM Snacks 		Note: Food will be delivered on site.	 PR# 2020-944</t>
  </si>
  <si>
    <t xml:space="preserve"> Republic ofthe Philippines Province ofNueva Vizcaya Municipality of Ambaguio BARANGAY AMMOWEG June 15, 2020 INVITATION TO APPLY FOR ELIGIBILITY AND TO BID The Barangay Local Government Unit of Ammoweg, Ambaguio, Nueva Vizcaya through the Bids and Awards C</t>
  </si>
  <si>
    <t xml:space="preserve"> Supply and Delivery of Various Agricultural Supplies 200 sack Chicken Dung (45kg/sack)- 36,000.00 200 sack Coco Coir (30kg/sack)- 36,000.00 300 pcs sack (single; green)- 6,300.00 500 pcs Plastic (clear, s.22x38)- 4,750.00 1 pc Soil tester (PH &amp;  Moisture)</t>
  </si>
  <si>
    <t xml:space="preserve"> PACK IN 5 KGS/SACK PROPERLY LABELED</t>
  </si>
  <si>
    <t xml:space="preserve"> FOR MODULAR PURPOSES</t>
  </si>
  <si>
    <t xml:space="preserve"> 06192020-086 NOTICE FOR NEGOTIATED PROCUREMENT Publication: June 16, 2020 Closing: June 19, 2020 Name of Project	Purchase of Computer Desktop and Monitor for SP Office Approved Budget for the Contract	 ₱60,000.00 Contract Period:	1 day Item No.	ITEM DESCR</t>
  </si>
  <si>
    <t xml:space="preserve"> 1 unit Motorcycle, etc.</t>
  </si>
  <si>
    <t xml:space="preserve"> 500 pcs Chip board #30 10 rolls Book binding gold foil 2.5".........etc Please see and download the attachment</t>
  </si>
  <si>
    <t xml:space="preserve"> Cement, Portland, 40 kgs./bag  Concrete Hollow Block - Machine Made 4"  Washed Sand  Washed Gravel  River Mixed  Floor Tiles, 0.50m x 0.50m (white)  Tiles, glazed, 0.30m x 0.30m (white)  Tiles, glazed, 0.40m x 0.40m (white)  Tile Grout Door, Wood Paneled </t>
  </si>
  <si>
    <t xml:space="preserve"> Number: 	Quantity: 	 1	300	bag		Vermicast (organic  fertilizer)	( Bag)		600.00	180,000.00 2	45	bag		AMMONIUM PHOSPHATE	16-20-0, 50kg/bag		1,300.00	58,500.00 3	30	bag		Chicken dung	50 kg/bag		300.00	9,000.00 4	50	bag		Urea (46-0-0)	50 kg/bag		1,000.00	50,0</t>
  </si>
  <si>
    <t xml:space="preserve"> l.	The MUNICIPALITY OF GUINAYANGAN, QUEZON, through  the  2020 C.O.    intends to apply the sum of  Eighty Seven Thousand Pesos  (P 87,000.00) being the Approved Budget for the Contract (ABC) to payments under the contract for Supply and Delivery of Const</t>
  </si>
  <si>
    <t xml:space="preserve"> 365 sacks Noodles (BIHON) at 24 pack/sack 365 cases of Instant Noodles at 72 pieces per case 265 cases SARDINES (100 pcs./ case) 200 packs ECOBAG (size LARGE)</t>
  </si>
  <si>
    <t xml:space="preserve"> LED Flood Light for Basketball Court</t>
  </si>
  <si>
    <t xml:space="preserve"> Republic of the Philippines Province of Cotabato Municipality of Arakan Barangay Tumanding BIDS AND AWARDS COMMITTEE INVITATION TO BID FOR  Ri Bid For Construction of Multi-purpose Bldg. @ Sitio Side B 1.	The Barangay Government Unit of Tumanding, through</t>
  </si>
  <si>
    <t xml:space="preserve"> Repair of Perimeter Fence at Samal South Elementary School @ Samal, Bataan 500 pcs - CHB #5 35 pcs - 12mm dia. Def Bar 30 pcs - 10mm dia. Def Bar 30 bags Cement 1 m/dt - Sand 2 m/dt - Gravel 3/8 1 kg - G.I Wire #18</t>
  </si>
  <si>
    <t xml:space="preserve"> Wreaths Flowers large  Wreaths Flowers medium</t>
  </si>
  <si>
    <t xml:space="preserve"> Republic of the Philippine Province of Davao de Oro  BIDS AND AWARDS COMMITTEE  Cabidianan, Nabunturan, Davao de Oro INVITATION TO SUBMIT QUOTATION FOR THE PROCUREMENT OF GOODS RECOMMENDED FOR SMALL VALUE PROCUREMENT PURSUANT TO SECTION 53.9 OF THE REVISE</t>
  </si>
  <si>
    <t xml:space="preserve"> Fabrication &amp; Intallation of five (5) units towing accessories, per BSP scope of works &amp; material specifications</t>
  </si>
  <si>
    <t xml:space="preserve"> Requesting for Quotation (RFQ) for PR No. 2005210  Interested suppliers are invited to submit Sealed Price Quotations for the above listed items. The Request for Quotation (RFQ) for may be obtained from Mr. Albert A. Camarillo City General Services Office</t>
  </si>
  <si>
    <t xml:space="preserve"> Requesting for Quotation (RFQ) for PR No. 2005231  Interested suppliers are invited to submit Sealed Price Quotations for the above listed items. The Request for Quotation (RFQ) for may be obtained from Mr. Albert A. Camarillo City General Services Office</t>
  </si>
  <si>
    <t xml:space="preserve"> Bids and Awards Committee															 INVITATION TO BID/ REQUEST FOR QUOTATION															 															          The City Government of Pagadian, through its Bids and Awards Committee (BAC), invites suppliers/manufacturers/distributors to apply f</t>
  </si>
  <si>
    <t xml:space="preserve"> RFQ No. 20-06-057 - Procurement of Diesel Fuel and Lubricants for use of Service Vehicle and Heavy Equipment for the 1st &amp; and Quarter</t>
  </si>
  <si>
    <t xml:space="preserve"> l.	The MUNICIPALITY OF GUINAYANGAN, QUEZON, through  the  2020 C.O.    intends to apply the sum of  One Hundred Sixty  Two Thousand Three Hundred Ten  Pesos                      (P 162,310.00) being the Approved Budget for the Contract (ABC) to payments u</t>
  </si>
  <si>
    <t xml:space="preserve"> School Signage Lighted Panaflex</t>
  </si>
  <si>
    <t xml:space="preserve"> SUPPLY AND DELIVERY OF TIRES</t>
  </si>
  <si>
    <t xml:space="preserve"> 1 unit - Fabricated Wood Medicine Cabinet (2 columns; 7 layers with varnish and transparent 1/8 inch thick sliding glass) H=2.15m; L=1.35m; W=0.30m 1 unit - Fabricated Wood Medicine Cabinet (2 columns; 7 layers with varnish and transparent 1/8 inch thick </t>
  </si>
  <si>
    <t xml:space="preserve"> By Contract.</t>
  </si>
  <si>
    <t xml:space="preserve"> Republic of the Philippines Province of Nueva Vizcaya Municipality of Ambaguio BARANGAY AMMOWEG -00000- June 15, 2020 INVITATION TO APPLY FOR ELIGIBILITY AND TO BID The Barangay Local Government Unit of Ammoweg, Ambaguio, Nueva Vizcaya through the Bids an</t>
  </si>
  <si>
    <t xml:space="preserve"> Delivery and Supply of Construction Materials</t>
  </si>
  <si>
    <t xml:space="preserve"> REQUEST FOR QUOTATION RFQ No. 2020-0238 The CITY GOVERNMENT OF CABANATUAN through its Bid and Awards Committee (BAC), will undertake Small Value Procurement for the SUPPLY AND DELIVERY OF OFFICE SUPPLIES in accordance with Section 53.9 of the Revised Impl</t>
  </si>
  <si>
    <t xml:space="preserve"> INVITATION TO BID FOR THE PROPOSED BOX CULVERT AT PUBLIC PLAZA, BRGY. III, POBLACION, MUNICIPALITY OF HINIGARAN, NEGROS OCCIDENTAL 1.	The Local Government Unit of Hinigaran, through 20% Development Fund intends to apply the sum of  ₱ 2,999,526.55 being th</t>
  </si>
  <si>
    <t xml:space="preserve"> The National Center for Mental Health (NCMH) is inviting all Phil-GEPS registered to apply the Request for Quotation for the SUPPLY AND DELIVERY FOR IT EQUIPMENT AND DEVICES FOR VIDEO CONFERENCING AND LIVE STREAMING CY 2020 - LOT. (Complete Technical Pros</t>
  </si>
  <si>
    <t xml:space="preserve"> Republic of the Philippines BATANGAS STATE UNIVERSITY ARASOF-Nasugbu Nasugbu, Batangas Tel. Nos. (043) 416-0350loc 105 REQUEST FOR QUOTATION Purchase of Tools &amp; Equipments for Repair and Maintenance of BatStateU-ARASOF Nasugbu The Batangas State Universit</t>
  </si>
  <si>
    <t xml:space="preserve"> The BPDA-BARMM intends to apply the sum of Two Hundred Fifteen Thousand Pesos (Php 215,000.00) as Approved Budget for the Contract (ABC) for the procurement of Consultancy Services for the Hiring, Recruitment and Employee Assessment through Small Value Pr</t>
  </si>
  <si>
    <t xml:space="preserve"> Republic of the Philippines Province of Cotabato Municipality of Arakan Barangay Meocan BIDS AND AWARDS COMMITTEE INVITATION TO BID FOR  Ri Bid For Supply for Installation of P.E Pipes @ Upper Meocan 1.	The Barangay Local Government Unit of Meocan, throug</t>
  </si>
  <si>
    <t xml:space="preserve"> able Signs Of Brgy. Personnel</t>
  </si>
  <si>
    <t xml:space="preserve"> PR#20-06-0308 ABC 960,000.00 Poly Aluminum Chloride (PAC) 25kg. per bag Poly Aluminum Chloride, Food Grade Specs Drinking Water Treatment Properties: Lemon yellow fine powder use spray drying technology  Usage: The product is widely used for drinking wate</t>
  </si>
  <si>
    <t xml:space="preserve"> Construction of Fence</t>
  </si>
  <si>
    <t xml:space="preserve"> Tube, LED Type, T8, 4ft., 18 watts; + 1 item - T8 LED, 18 watts - 36 watts T8 FL Replacement  - Lumen output   : 1800 Lumens - Color Temperature   : 6500 Daylight - Input Voltage   : 100-240 VAC, 60Hz - Life hours   : 10,000 Life Hours  - Lamp base    : G</t>
  </si>
  <si>
    <t xml:space="preserve"> 65 Hectares Comprehensive Site Development under the Enhanced National Greening Program Cacao Component located at Brgy. Balaoi, Pagudpud, Ilocos Norte</t>
  </si>
  <si>
    <t xml:space="preserve"> REQUEST FOR QUOTATION The Dr. Jose Fabella Memorial Hospital hereby invites interested suppliers to submit quotation for the supply and delivery of: Particular	Quantity	Unit Cost	Total Cost 1.Airpot, electric, with dispenser, 4 liters capacity	1 pc.	₱4,50</t>
  </si>
  <si>
    <t xml:space="preserve"> 56 bags cement 5.5 cu.m gravel 3/4 3 cu.m sand 28 pcs 2x6x12 coco lumber 12 kgs CW nails (asstd. sizes) Labor</t>
  </si>
  <si>
    <t xml:space="preserve"> OPENING OF BIDS IN DSWD FO IX ZAMBOANGA CITY						 DELIVERY IN DSWD FO IX ZC						 PROCUREMENT FOR THE FF.						 						 3,000	BOOKLETS	          RECIPE/MENU BOOKLET				 		SPECIFICATION:				 		&gt;4 PAGES COLORED BACK TO BACK				 		&gt; THICK PAPER				 						 		</t>
  </si>
  <si>
    <t xml:space="preserve"> 2,201 pieces 4" X 8" x 16" Concrete Hollow Block 97 CU.M. washed GRAVEL 78 CU.M. washed SAND</t>
  </si>
  <si>
    <t xml:space="preserve"> The City Government of Santiago invites interested parties to submit price quotation for the “SUPPLY AND DELIVERY OF SANITARY PERMIT AND HEALTH ID FOR SANITARY REQUIREMENT“ City Hall, Santiago City, details as follows: ABC: Php 118,000.00 Contract Duratio</t>
  </si>
  <si>
    <t xml:space="preserve"> Procurement of supply and delivery of food (50 pax/batch) 300	pax	 July 1, 2020 August 5, 2020 September 2, 2020 October  7, 2020 November 4, 2020 December 2, 2020 		Note: Food will be delivered on site. PR# 2020-945</t>
  </si>
  <si>
    <t xml:space="preserve"> The Bids and Awards Committee								 Province of Iloilo								 								      In connection with your Invitation to Bid No. PEO-20-0504 B (Rebid) scheduled on July 1, 2020, I/we proposed to furnish and deliver in conformity with the terms and conditions,</t>
  </si>
  <si>
    <t xml:space="preserve"> Requesting for Quotation (RFQ) for PR No. 2005233  Interested suppliers are invited to submit Sealed Price Quotations for the above listed items. The Request for Quotation (RFQ) for may be obtained from Mr. Albert A. Camarillo City General Services Office</t>
  </si>
  <si>
    <t xml:space="preserve"> DESCRIPTION: 1.	 Cement  - 63 bags 2.	Gravel, washed, ¾  -  6 cu.m. 3.	Sand, washed  -  3 cu.m. 4.	RSB, 10mm dia  -  33 pcs. 5.	Tie wire, G.I, #16  -  1 kilo 6.	Handsaw blade, metal cutting  -  10 pcs 7.	Longspan, 20 ft  -  14 pcs 8.	Longspan, 10 ft  -  3</t>
  </si>
  <si>
    <t xml:space="preserve"> Construction Project of Drainage Canal along Diosdado Macapagal St.,at East Pob., Rizal, Zamboanga del Norte Phase I</t>
  </si>
  <si>
    <t xml:space="preserve"> Concreting of Farm to Market Road Sitio Cabicalan  Zone 7</t>
  </si>
  <si>
    <t xml:space="preserve"> Tarpaulin 3x4</t>
  </si>
  <si>
    <t xml:space="preserve"> RFQ No. 20-06-058 - Purchase of Coring Bit for use in the QualityAssurance Section (Laboratory)</t>
  </si>
  <si>
    <t xml:space="preserve"> REQUEST FOR QUOTATION RFQ No. 2020-0237 The CITY GOVERNMENT OF CABANATUAN through its Bid and Awards Committee (BAC), will undertake Small Value Procurement for the SUPPLY AND DELIVERY OF OFFICE SUPPLIES in accordance with Section 53.9 of the Revised Impl</t>
  </si>
  <si>
    <t xml:space="preserve"> INVITATION TO BID Bid Reference No.  ____________ SUPPLY AND DELIVERY OF MEDICINES (CARI, ANTI RABIES, AND MASS CIRCUMCISION PROGRAM) (REBIDDING) Approved Budget for the Contract (ABC):  Php 638,980.10 1.	The Municipal Government Unit of Initao, Misamis O</t>
  </si>
  <si>
    <t xml:space="preserve"> One (1) Lot Supply, Delivery &amp; Installation of the following items for Ford F-750 Armored Truck SFX 417: -One (1) unit Clutch Fan Assembly -One (1) unit Air Brake Compressor Assembly</t>
  </si>
  <si>
    <t xml:space="preserve"> INVITATION TO BID  Please quote your lowest price inclusive of VAT on the item/s listed below, subject to the Terms and Conditions of this RFQ, and submit your quotation duly signed by your representative not later than June 23, 2020 at 2 in the afternoon</t>
  </si>
  <si>
    <t xml:space="preserve"> Republika ng Pilipinas BAYAN NG CORTES Surigao del Sur BIDS AND AWARDS COMMITTEE June 16, 2020 INVITATION TO BID FOR   Rehabilitation of Barangay Farm to Market Roads Osawan-Tigao to Burgos, Cortes Surigao del Sur 	The Local Government Unit of Cortes thro</t>
  </si>
  <si>
    <t xml:space="preserve"> l.	The MUNICIPALITY OF GUINAYANGAN, QUEZON, through  the  2020 C.O.    intends to apply the sum of  Forty Six Thousand Six Hundred Ninety  Pesos   (P 46,690.00) being the Approved Budget for the Contract (ABC) to payments under the contract for Supply and</t>
  </si>
  <si>
    <t xml:space="preserve"> The City Government of Santiago invites interested parties to submit price quotation for the “SUPPLY AND DELIVERY OF TRAFFIC CITATION TICKET FOR THE IMPLEMENTATION OF CITY TRAFFIC ORDINANCES“ City Hall, Santiago City, details as follows: ABC: Php 82,500.0</t>
  </si>
  <si>
    <t xml:space="preserve"> Invitation to Bid for  SUPPLY &amp; DELIVERY OF CONSTRUCTION MATERIALS FOR THE COMPLETION OF SECOND FLOOR OF WAO MUNICIPAL HALL, MUNICIPAL SITE, BRGY. WESTERN, WAO, LANAO DEL SUR --------------------------------------------------------------------------------</t>
  </si>
  <si>
    <t xml:space="preserve"> 1 unit Laptop</t>
  </si>
  <si>
    <t xml:space="preserve"> 20ID0073	Concreting of Poblacion District 9 to Brgy. Gamay FMR, Brgy. Gamay,Burauen, Leyte 	Concrete Paving for 2.06 Ln. Km. 	12,869,538.62	FMR FY 2020	65 CD	25,000.00 To be eligible to bid for this Contract, a contractor must meet the following major req</t>
  </si>
  <si>
    <t xml:space="preserve"> Requesting for Quotation (RFQ) for PR No. 2006089  Interested suppliers are invited to submit Sealed Price Quotations for the above listed items. The Request for Quotation (RFQ) for may be obtained from Mr. Albert A. Camarillo City General Services Office</t>
  </si>
  <si>
    <t xml:space="preserve"> 1	Diesel		1,564.40L 2	Premium 		1,281.78L</t>
  </si>
  <si>
    <t xml:space="preserve"> Concreting of Farm to Market Road Zone 6</t>
  </si>
  <si>
    <t xml:space="preserve"> Requesting for Quotation (RFQ) for PR No. 2006017  Interested suppliers are invited to submit Sealed Price Quotations for the above listed items. The Request for Quotation (RFQ) for may be obtained from Mr. Albert A. Camarillo City General Services Office</t>
  </si>
  <si>
    <t xml:space="preserve"> 10 bxs Amlodifine 5mg 3 bxs Amlodifine 10mg 10 bxs Losartan 50mg 3 bxs Losartan 100mg 20 tabs Catapres tab 16 bx B-Complex tab 1 bx Carridol 12.5mg 1 bx Gliclazide 80mg 100 tabs Rexidol tab 100 tabs Biogesic tab 4 bxs Mefenamic 500mg 2 bxs Metropolol 50mg</t>
  </si>
  <si>
    <t xml:space="preserve"> ABC = P95,200.00 Catering Services re: On-Site Training on Product Branding, Packaging  And Labelling for the Coco Coir Slipper Production of Maonon Upland  Planters Assn., Inc (MUPAI) on June 23-26, 2020 at Barangay Maonon,  Ligao, Albay DAY 1 – JUNE 23,</t>
  </si>
  <si>
    <t xml:space="preserve"> I Construction/Extension of Covered Court @ Barangay Nalneran  a) Project/Billboard/Sigh board - 1 lot  b) Excavation for struct ion - 19.19 cu.m  c) Concrete works - 5.65 cu.m  d) Reinforcing Steel bar - 1029.60 kgs  e) Roofing works - 101.00 sq.m II Con</t>
  </si>
  <si>
    <t xml:space="preserve"> Number: 	Quantity: 	 1	10	bags		Complete Fertilizer			1,500.00	15,000.00 2	10	bags		Urea Fertilizer			1,400.00	14,000.00 3.	8	bags		Muriate of Potash			1,500.00	12,000.00 4.	5	bags		zinc sulfate			1,500.00	7,500.00 5.	80	bags		Organic Fortified Fertilizer</t>
  </si>
  <si>
    <t xml:space="preserve"> Republic of the Philippines Province of Cotabato Municipality of Arakan Barangay Napalico BIDS AND AWARDS COMMITTEE INVITATION TO BID FOR  Ri Bid For Installation of Water Tank 1.	The Barangay Local Government Unit of Napalico, through the GENERAL      FU</t>
  </si>
  <si>
    <t xml:space="preserve"> 19 set amglobe crystal light 1/2 clear 5 bxs #12 THW stranded wire 22 pcs bulb 18 watts 10 roll electrical tape (big) Labor</t>
  </si>
  <si>
    <t xml:space="preserve"> PR#20-06-0309 ABC 119,400.00 1 box  COLILERT-18 Defects Coliforms/E. Coli or fecal coliforms Pack of 200/box 18 hours for results 15 months shelf life Snap packs for 100ml sample 2 boxes STERILE 51-WELL QUANTI TRAY Pack of 100/box 36 months shelf life fro</t>
  </si>
  <si>
    <t xml:space="preserve"> The Department of Education, Schools Division of Ilocos Sur, Bantay, Ilocos Sur is in need of suppliers for the Supply, Delivery and Installation of 75KVA Transformer including its Accessories. The submission of quotation  is not later than June 19, 2020,</t>
  </si>
  <si>
    <t xml:space="preserve"> PURCHASE ORDER							 Calamba, Misamis Occidental							 Local Government Unit							 							 Supplier:        		 A.G. ANTON STORE 			P.O. No.:	 2020-04-124-D 	 					Date:	06/04/2020	 Address: 		Calamba, Misamis Occidental			Mode of Procurement:		SVP 				</t>
  </si>
  <si>
    <t xml:space="preserve"> Establishment protection and maintenance of coffee plantation to Upland communities to abate illegal logging as a means of promoting peace and order (program against Illegal Logging) Materials Seedlings Bamboo strikes Man power Plantation establishment st</t>
  </si>
  <si>
    <t xml:space="preserve"> DESCRIPTION: 1.	Tire, 265/60/RM 18/110H  -  4 pcs</t>
  </si>
  <si>
    <t xml:space="preserve"> REPAIR AND OTHER OPERATING EXPENSES MOOE 2020 2ND QUARTER -51,470.00</t>
  </si>
  <si>
    <t xml:space="preserve"> The City Government of Santiago invites interested parties to submit price quotation for the “SUPPLY AND DELIVERY OF CONSTRUCTION MATERIALS FOR REPAIR OF TENTS“ City Hall, Santiago City, details as follows: ABC: Php 74,406.00 Contract Duration: 14 calenda</t>
  </si>
  <si>
    <t xml:space="preserve"> ****see attached PR *****</t>
  </si>
  <si>
    <t xml:space="preserve"> Job Description: -prepare relevant communications and maintain required office files - assist in gathering the information and survey, -will identify commercial strategies for transferring technologies to industry/technology adopter - assist in negotiatin</t>
  </si>
  <si>
    <t xml:space="preserve"> please download rfq and store furnish in the associated component</t>
  </si>
  <si>
    <t xml:space="preserve"> 3 unit Filing Cabinet, etc.</t>
  </si>
  <si>
    <t xml:space="preserve"> INVITATION TO BID  PROCUREMENT AND INSTALLATION OF AIR-CONDITIONING UNITS FOR THE OFFICES &amp; CLASSROOMS OF THE NFSTI - PPSC BAC IB NO.007 (G) 2020 1.	The Philippine Public Safety College through the General Appropriations Act of FY2020 , intends to apply t</t>
  </si>
  <si>
    <t xml:space="preserve"> Invitation to Bid “Acquisition of One (1) Lot Supply and Delivery of Various Security Equipment” 01.The National Bureau of Investigation, through the 2019 NBI Clearance Retention Fees pursuant to RA 10867 otherwise known as the NBI Reorganization and Mode</t>
  </si>
  <si>
    <t xml:space="preserve"> 85 LENGTH 10 mm diameter X 6 meter DEF. BAR 23 LENGTH 12 mm diameter X 6 meter DEF BAR 5 pcs. 1.5 mm X 2" X 5" X 6.0 m C-purlins Rafter 14 pcs. 1.2 mm X 2" X 3" X 6.0 m Purlins 13 pcs. 1" X 6 m Flat BAr 31 pcs. double metal paring (joist) 10 pcs. double m</t>
  </si>
  <si>
    <t xml:space="preserve"> 2ND REQUEST FOR PROPOSAL Pursuant to RA 9184, the Department of Human Settlements and Urban Development (DHSUD) located at the 8th Floor DHSUD Building Kalayaan Avenue cor. Mayaman Street, Diliman, Quezon City would like to request for proposal for the hi</t>
  </si>
  <si>
    <t xml:space="preserve"> Please see attached PR for description</t>
  </si>
  <si>
    <t xml:space="preserve"> INVITATION TO BID									 									 The LOCAL GOVERNMENT UNIT OF SINDANGAN, through its Bids and Awards Committee (BAC), hereby invites suppliers/manufacturers/ distributors/contractors to apply for eligibility and to bid for the hereunder project.						</t>
  </si>
  <si>
    <t xml:space="preserve"> The City Government of Santiago invites interested parties to submit price quotation for the “SUPPLY AND DELIVERY OF CONSTRUCTION MATERIALS FOR INSTALLATION OF CEILING AND OTHER ELECTRICAL JOBS“ City Hall, Santiago City, details as follows: ABC: Php 93,92</t>
  </si>
  <si>
    <t xml:space="preserve"> Various Office Equipment Supplies &amp; Consumables</t>
  </si>
  <si>
    <t xml:space="preserve"> The City Government of San Pedro, Laguna invites interested parties to quote for the following item/s as per request Sangguniang Panlungsod: Qty.	Unit of Issue	Item Description 		 40	sacks	Rice 1200	cans	Sardines (155g.) Forms can be obtained from the BAC</t>
  </si>
  <si>
    <t xml:space="preserve"> Republic of the Philippines          City of Dumaguete Bids and Awards Committee INVITATION TO BID FOR PURCHASE REQUEST OF 10 PCS AUTO BULB 24 VOLTS (DOUBLE BIG) AND OTHER ITEMS 	The City of Dumaguete thru its BIDS AND AWARDS COMMITTEE (BAC), invites all </t>
  </si>
  <si>
    <t xml:space="preserve"> PLEASE CONTACT BAC SECRETARIAT FO MORE DETAILS</t>
  </si>
  <si>
    <t xml:space="preserve"> LGU-ALLEN, NORTHERN SAMAR                                               MUNICIPAL BIDS AND AWARDS COMMITTEE                                                                INVITATION TO BID 	The Municipal Government of Allen Northern Samar through its Bids</t>
  </si>
  <si>
    <t xml:space="preserve"> Republic of the Philippines PROVINCE OF SOUTHERN LEYTE Maasin City Invitation to Bid for the Procurement of IT and Office Equipment  Contract ID # 2020-07-07-358PG 1.	The Provincial Government of Southern Leyte through the PAIASO–Information &amp; Communicati</t>
  </si>
  <si>
    <t xml:space="preserve"> The City Government of Santiago invites interested parties to submit price quotation for the “SUPPLY AND DELIVERY OF VARIOUS EQUIPMENT FOR VARIOUS SECTION OF CHO“ City Hall, Santiago City, details as follows: ABC: Php 454,670.00 Contract Duration: 14 cale</t>
  </si>
  <si>
    <t xml:space="preserve"> POLE SITAO SQUASH AMPALAYA EGGPLANT TOMATO OKRA KANGKONG MARIGOLD SWEET BASIL UPO PECHAY  PEPPER</t>
  </si>
  <si>
    <t xml:space="preserve"> materials for the Repair and Maintenance of Energy Structure</t>
  </si>
  <si>
    <t xml:space="preserve"> Republic of the Philippines												 PROVINCE OF ZAMBOANGA SIBUGAY												 Municipality of Payao												 												 REQUEST FOR QUOTATION												 ALTERNATIVE METHODS OF PROCUREMENT THRU												 NEGOTIATED PROCUREMENT-SMALL VALUE (Sec.</t>
  </si>
  <si>
    <t xml:space="preserve"> L=5.5LM;  W=7M, FLOORING EMBANKMENT=1M COL. SIZE= 10"X10"</t>
  </si>
  <si>
    <t xml:space="preserve"> Requesting for Quotation (RFQ) for PR No. 2005284  Interested suppliers are invited to submit Sealed Price Quotations for the above listed items. The Request for Quotation (RFQ) for may be obtained from Mr. Albert A. Camarillo City General Services Office</t>
  </si>
  <si>
    <t xml:space="preserve"> Republic of the Philippines Province of Misamis Occidental Municipality of Plaridel REQUEST FOR QUOTATION Shopping No._____________________ ________________________________ ________________________________ Sir/Madam: Please quote your lowest price on the </t>
  </si>
  <si>
    <t xml:space="preserve"> REQUEST FOR QUOTATION Office Supplies Expenses (PCADG-5020301000-1061-2020) 1.	The Philippine National Police Community Affairs and Development Group, through its Bids and Awards Committee (BAC), will undertake a Small Value Procurement (SVP) for the proc</t>
  </si>
  <si>
    <t xml:space="preserve"> Republic of the Philippines CRUZ NA LIGAS ELEMENTARY SCHOOL Quezon City REQUEST FOR QUOTATION “PURCHASE OF COVID-19 RESPONSE ITEMS” 1.	The CRUZ NA LIGAS Elementary School through its Bids and Awards Committee invites interested firms/supplier to submit qu</t>
  </si>
  <si>
    <t xml:space="preserve"> Handheld Pneumatic Rock Drill Jack Hammer, hose connection: 19mm diameter; Bore diameter of 30-42mm, carbide tipped  Concrete Cutter with motor and accessories, 400mm dia., 7.5 hp, 20 liters water tank capacity Electric Drill with Hammer, 20mm dia. capaci</t>
  </si>
  <si>
    <t xml:space="preserve"> 1.	2	unit/s	Desktop Computer Intel core i7 License 2.	2	unit/s	Printer Laserjet Pro MFP 3.	1	box/es	Toner Cartridge CF280XC</t>
  </si>
  <si>
    <t xml:space="preserve"> Procurement of Newspaper Subscription for July to December 2020 		Philippine Daily Inquirer 132	issue	Office of the Auditor 132	issue	Office of the Regional Executive Director 132	issue	Office of the Chief, Field Operations Division 132	issue	Soils Labora</t>
  </si>
  <si>
    <t xml:space="preserve"> Description: *Length: 10 meter *Kink protection *Can be coupled and uncoupled under pressure *Hose safety factor is more that 4:1 *Equipped with single coupling system on both ends to provide feasible and rapid handling *The single-coupling has a safety v</t>
  </si>
  <si>
    <t xml:space="preserve"> PLEASE SEE ATTACHED FILE FOR REFERENCE</t>
  </si>
  <si>
    <t xml:space="preserve"> STP at slaugther House</t>
  </si>
  <si>
    <t xml:space="preserve"> The City Government of Santiago invites interested parties to submit price quotation for the “SUPPLY AND DELIVERY OF VARIOUS WOODCRAFTS FOR EXECUTIVE LOUNGE USE“ City Hall, Santiago City, details as follows: ABC: Php 106,798.00 Contract Duration: 14 calen</t>
  </si>
  <si>
    <t xml:space="preserve"> Requesting for Quotation (RFQ) for PR No. 2005160  Interested suppliers are invited to submit Sealed Price Quotations for the above listed items. The Request for Quotation (RFQ) for may be obtained from Mr. Albert A. Camarillo City General Services Office</t>
  </si>
  <si>
    <t xml:space="preserve"> Purchase and Installation of CCTV and Solar Panel Lights for MDDRMC, Calasiao, Pangasinan</t>
  </si>
  <si>
    <t xml:space="preserve"> OPENING OF BIDS IN DSWD FO IX ZAMBOANGA CITY									 DELIVERY IN DSWD FO IX ZC									 PROCUREMENT FOR THE FF. 1 LOT PRINTING SERVICES									 									 50,000	copies	REPRODUCTION OF LBP PAYMENT SLIP							 25,000	copies	REPRODUCTION OF BLANK DSWD AUTH</t>
  </si>
  <si>
    <t xml:space="preserve"> The City Government of Santiago invites interested parties to submit price quotation for the “SUPPLY AND DELIVERY OF EXTENSION ENERGY EFFECT CUSHION FOR ELECTRICAL POTENTIAL THERAPY EQUIPMENT“ City Hall, Santiago City, details as follows: ABC: Php 325,000</t>
  </si>
  <si>
    <t xml:space="preserve"> Construction Project of Drainage Canal along Diosdado Macapagal St.,at East Pob., Rizal, Zamboanga del Norte Phase II</t>
  </si>
  <si>
    <t xml:space="preserve"> Construction of Slope Protection</t>
  </si>
  <si>
    <t xml:space="preserve"> Republic of the Philippines PROVINCE OF BUKIDNON Municipality of Sumilao INVITATION TO BID ITB NO. GS-2020-26 PROCUREMENT OF VARIOUS FRUITS SEEDLINGS FOR THE SUSTAINABLE LAND RESOURCE MANAGEMENT APPROACH (SLRMA) FOR AGRI-ENVIRONMENTAL DEVELOPMENT OF UPLAN</t>
  </si>
  <si>
    <t xml:space="preserve"> SCOPE OF WORKS       I. Demolition of Existing Structure               Quantity - 1 Lot     II. Excavation               Quantity - 0.78 cu. m     III. Concrete Works                  A. Wall Footing - 0.24 cu m                  B. Wall Beam - 0.24 cu m  </t>
  </si>
  <si>
    <t xml:space="preserve"> The National Center for Mental Health (NCMH) is inviting all Phil-GEPS registered to apply the Request for Quotation for the ANNUAL PREVENTIVE MAINTENANCE FOR VARIOUS MEDICAL EQUIPMENT CY 202. (Complete Technical Prospective Bidders are REQUIRED to downlo</t>
  </si>
  <si>
    <t xml:space="preserve"> REQUEST FOR QUOTATION For Negotiated Procurement thru Small Value Procurement under Sec. 53.9 of the 2016 Revised IRR of RA 9184 Quotation No.:  2020-06-204 Date: June 15, 2020 PR No.: 20-06-212 PR Date: June 4, 2020 The Metropolitan Tuguegarao Water Dist</t>
  </si>
  <si>
    <t xml:space="preserve"> REQUEST FOR QUOTATION Other Supplies &amp; Materials Expenses (PCADG-5020399000-1062-2020) 1.	The Philippine National Police Community Affairs and Development Group, through its Bidsand Awards Committee(BAC), will undertakea Small Value Procurement (SVP) for </t>
  </si>
  <si>
    <t xml:space="preserve"> SOURCE OF FUNDS: IMPROVEMENT/REHABILITATION OF DRAINAGE SYSTEM BIDDING DATE &amp; TIME: JUNE 23, 2020- 1:00 P.M</t>
  </si>
  <si>
    <t xml:space="preserve"> Piston Ring, (STD)  Overhauling Gasket  Main Bearing  (STD)  Cone Rod Bearing (STD)  Thrust Washer (STR)  Crankshaft Assembly  Silicone Gasket  Sand Paper, #1000 grits  Plastic Gauge  Grinding Stick  Alternator Assembly  Radiator Assembly  Oil Pan Gasket </t>
  </si>
  <si>
    <t xml:space="preserve"> Requesting for Quotation (RFQ) for PR No. 2005265  Interested suppliers are invited to submit Sealed Price Quotations for the above listed items. The Request for Quotation (RFQ) for may be obtained from Mr. Albert A. Camarillo City General Services Office</t>
  </si>
  <si>
    <t xml:space="preserve"> The City Government of Santiago invites interested parties to submit price quotation for the “SUPPLY AND DELIVERY OF BULB FOR MARKET OPERATION USE“ City Hall, Santiago City, details as follows: ABC: Php 72,000.00 Contract Duration: 14 calendar days Schedu</t>
  </si>
  <si>
    <t xml:space="preserve"> Invitation to Bid for  Completion of Climate Resilient Multi-Purpose Hall  @Brgy. Capalong, Real, Quezon 1.	The Municipal Government of Real, Quezon, through the 20% MDF CY2019 intends to apply the sum of One Million Two Hundred  Ninety Nine Thousand Two </t>
  </si>
  <si>
    <t xml:space="preserve"> Procurement of supply and delivery of food (30 pax/Batch)	 180	pax	 July 8, 2020 August 12, 2020 September 9, 2020 October 14, 2020 November 11, 2020 December 9, 2020	 AM Snacks Lunch PM Snacks 		Note: Food will be delivered on site.	 PR# 2020-941</t>
  </si>
  <si>
    <t xml:space="preserve"> PR#20-06-0317 ABC 140,400.00 INSTRUCTIONS/ NOTES TO BIDDERS: 1.	Please indicate the following information in your bid: a) Company Name, Address, Tel/Fax nos.; b)PhilGEPS Registration Certificate No. and date of validity; c) Bidder’s offer ( Technical Spec</t>
  </si>
  <si>
    <t xml:space="preserve"> 17	roll	1 x 1 x 4 ft x 20 m Chicken Wire 168	pcs	10 mm Ø x 6.0 m RSB 10	kls	Welding Rod 1	pcs	Cutting Disk 6	pcs	Paint Brush 400	pcs	Screw with Tox 4	gal	Latex Paint 2	pcs	Drill Bit</t>
  </si>
  <si>
    <t xml:space="preserve"> INVITATION TO APPLY FOR ELIGIBILITY AND TO BID THE BIDS AND AWARD COMMITTEE OF THE MUNICIPALITY OF CAIBIRAN, BILIRAN IS INVITING ALL INTERESTED BIDDERS ON ITS FORTH COMING PUBLIC BIDDING FOR:   Project Title	                : Improvement of Vice Mayor’s O</t>
  </si>
  <si>
    <t xml:space="preserve"> Subgrade Preparation Portland Cement Conc, Pavement</t>
  </si>
  <si>
    <t xml:space="preserve"> The City Government of Santiago invites interested parties to submit price quotation for the “SUPPLY AND DELIVERY OF ELECTRICAL SUPPLIES FOR INSTALLATION OF OVERCURRENT PROTECTION AND UPGRADING TRANSFER SWITCH“ City Hall, Santiago City, details as follows</t>
  </si>
  <si>
    <t xml:space="preserve"> Construction Project (Construction/Improvement of Main MRF Building</t>
  </si>
  <si>
    <t xml:space="preserve"> Please see attached Program of Works for Specifications</t>
  </si>
  <si>
    <t xml:space="preserve"> Purchase of Brochures, Leaflets and Learning Materials for Protection of Children Program</t>
  </si>
  <si>
    <t xml:space="preserve"> 1. The Fortunato F. Halili National Agricultural School (FFHNAS), through the Bids and Awards Committee (BAC) invites bids for the procurement of PHOTOCOPYING MACHINE for Junior High School and Senior High School (for reproduction of learning materials fo</t>
  </si>
  <si>
    <t xml:space="preserve"> Requesting for Quotation (RFQ) for PR No. 2005270  Interested suppliers are invited to submit Sealed Price Quotations for the above listed items. The Request for Quotation (RFQ) for may be obtained from Mr. Albert A. Camarillo City General Services Office</t>
  </si>
  <si>
    <t xml:space="preserve"> see attach RFQ</t>
  </si>
  <si>
    <t xml:space="preserve"> Telephone Mobile Expenses</t>
  </si>
  <si>
    <t xml:space="preserve"> The City Government of Santiago invites interested parties to submit price quotation for the “SUPPLY AND DELIVERY OF OFFICE AND JANITORIAL SUPPLIES FOR BJMP USE“ City Hall, Santiago City, details as follows: ABC: Php 68,401.00 Contract Duration: 14 calend</t>
  </si>
  <si>
    <t xml:space="preserve"> Republic of the Philippines Province of Compostela Valley Municipality of Monkayo -o0o- NEGOTIATED PROCUREMENT OF ADDITIONAL CCTV CAMERA AT MONCAST  The Municipality of Monkayo, through the TRUST FUND  intends to apply the sum of SIXTY THOUSAND PESOS ONLY</t>
  </si>
  <si>
    <t xml:space="preserve"> Pakyaw Labor Provision of Equipment</t>
  </si>
  <si>
    <t xml:space="preserve"> weighing scale, 120 kgs. capacity</t>
  </si>
  <si>
    <t xml:space="preserve"> T E R M S   A N D   C O N D I T I O N S •	LOCATION – 1.	The venue must be within the area of (Proposed: Mainit, Kitcharao, Jabonga, Tubod)  2.	Must have enough parking space for vehicle/s •	SESSION AREAS/ FUNCTION ROOMS - 1.	Free use of air conditioned fu</t>
  </si>
  <si>
    <t xml:space="preserve"> 1.	1	unit/s	Computer set with Accessories 			Specs: 			Processor: Intel Core i3 			Motherboard: Gigabyte/Asus 			Memory: 4GB Kingston 			HDD:500GB 			UPS: 650 VA 			AVR, Mouse, Keyboard 			LED Monitor 19" 2.	1	unit/s	Printer 3 in 1 3.	2	unit/s	LED 27 to 2</t>
  </si>
  <si>
    <t xml:space="preserve"> Request for Price Quotation</t>
  </si>
  <si>
    <t xml:space="preserve"> REQUEST FOR QUOTATION Procurement of Printing &amp; Publication Expenses (PCADG-5029902000-1063-2020) 1.	The Philippine National Police Community Affairs and Development Group, through its Bidsand Awards Committee(BAC), will undertakea Small Value Procurement</t>
  </si>
  <si>
    <t xml:space="preserve"> Cement &amp; 48LI</t>
  </si>
  <si>
    <t xml:space="preserve"> 3,000 pcs cloth face mask</t>
  </si>
  <si>
    <t xml:space="preserve"> Item No.	Description	Qty.	Unit Winning Bidder must: 1.	Provide a Fully-Automated Chemiluminescent Microparticle Immuno Assay (CMIA) Technology for free, including its calibration, preventive and corrective maintenance.  2.	Provide all necessary accessorie</t>
  </si>
  <si>
    <t xml:space="preserve"> Republic of the Philippines										 			      DEPARTMENT OF PUBLIC WORKS AND HIGHWAYS							 				               ISABELA 1ST						 DISTRICT ENGINEERING OFFICE										 REGIONAL OFFICE II										 City of Ilagan, Isabela										 										 Procuring En</t>
  </si>
  <si>
    <t xml:space="preserve"> 3 drum Ink, drum DR512, color- drum for Ineo+284</t>
  </si>
  <si>
    <t xml:space="preserve"> Labor and materials in the propagation of 20,000 quality bamboo seedlings at the Provincial Nursery Laoang Productivity Center, Barangay Laoang Tarlac City Materials Plastic pot (6x10x02black) Potting medium (garden Soil) Fertilizer (organic) Plastic Net </t>
  </si>
  <si>
    <t xml:space="preserve"> Supply &amp; Installation of Airconditioning System A. 1-unit 4HP Wall Mounted Inverter Type Aircon B. Labor &amp; Materials for Aircon Installation of 1-unit Wall Mounted Type	1	lot</t>
  </si>
  <si>
    <t xml:space="preserve"> The City Government of Santiago invites interested parties to submit price quotation for the “SUPPLY AND DELIVERY OF MASTER ROLLS AND GR INK FOR GSO USE“ City Hall, Santiago City, details as follows: ABC: Php 110,000.00 Contract Duration: 14 calendar days</t>
  </si>
  <si>
    <t xml:space="preserve"> Republic of the Philippines Province of Pangasinan Municipality of Natividad BTO CALAPUGAN INVITATION TO BID FOR ( BARANGAY HALL DEEP WELL REHABILITATION AT PUROK 3  BARANGAY CALAPUGAN, NATIVIDAD, PANGASINAN) The [BTO CALAPUGAN], through the  20% Developm</t>
  </si>
  <si>
    <t xml:space="preserve"> Items Quantity / Units 1.flag for lamp post 60 pcs 3ftx6ft nylon (30 barangays) With ready layout and design PRICE QUOTATION/S SHOULD BE PRINTED ON COMPANY’S OFFICIAL LETTERHEAD TOGETHER WITH THE FOLLOWING DOCUMENTS; 1.Mayor’s/Business Permit 2.PhilGEPS R</t>
  </si>
  <si>
    <t xml:space="preserve"> INVITATION TO QUOTE Date:  June 15, 2020 1.	The Provincial Government of Davao del Sur, through its Bids and Awards Committee (BAC), invites all interested bidders/suppliers to quote for the following goods under Alternative Methods of Procurement (Small </t>
  </si>
  <si>
    <t xml:space="preserve"> Municipality of Dumanjug, Cebu through the SB Resolution No. 2018-136 Series of 2018  intends to apply the sum of THREE  HUNDRED FIFTY-FIVE THOUSAND PESOS ONLY (Php 355,000.00) being the Approved Budget for the Contract (ABC) to payments under the contrac</t>
  </si>
  <si>
    <t xml:space="preserve"> The Bids and Awards Committee								 Province of Iloilo								 								      In connection with your Invitation to Bid No. PEO-20-0695 B  scheduled on June 23, 2020, I/we proposed to furnish and deliver in conformity with the terms and conditions, and s</t>
  </si>
  <si>
    <t xml:space="preserve"> One (1) Job Contract for the Electrification (Installation of 25Kva, 760Vac Primary / 230Vac, Secondary, 60Hz, 1-Phase, OISC, Distribution Transformer and Construction of Streetlights)/Brgy. Gegacjac/P311,659.00</t>
  </si>
  <si>
    <t xml:space="preserve"> Detailed Estimate		 For the Declogging /Clearing of Canal		 at Barangay Asinan, Bugallon, Pangasinan		 		 ABC: 20,371.43		 A. Materials		 		 11	Laborer</t>
  </si>
  <si>
    <t xml:space="preserve"> 236A - Supply and Delivery Additional Apparatus in Biology Laboratory of SDSSU Tandag</t>
  </si>
  <si>
    <t xml:space="preserve"> Requesting for Quotation (RFQ) for PR No. 2005254  Interested suppliers are invited to submit Sealed Price Quotations for the above listed items. The Request for Quotation (RFQ) for may be obtained from Mr. Albert A. Camarillo City General Services Office</t>
  </si>
  <si>
    <t xml:space="preserve"> Name of Project		: Riprapping and Construction of Concrete Pavement at Luacan Waterpark Location		: Sitio Luacan,Brgy. Paraiso,Milagros,Masbate Brief Description	:I. Mobilization and Demobilization                                         II. Stone Masonry</t>
  </si>
  <si>
    <t xml:space="preserve"> Procurement of supply and delivery of food for the conduct of DA-PA-Mas Monthly Assessment at OPA Conference Room, San Jose de Buenavista, Antique (45 pax / Batch)	 270	pax	 July 1, 2020 August 5, 2020 September 2, 2020 October 7, 2020 November 4, 2020 De</t>
  </si>
  <si>
    <t xml:space="preserve"> Republika ng Pilipinas PAMAHALAANG LUNGSOD NG TACLOBAN (City Government of Tacloban) Kanhuraw Hill, Tacloban City 6500 Bids and Awards Committee INVITATION TO SUBMIT PRICE QUOTATIONS FOR THE NEGOTIATED PROCUREMENT (Small Value Procurement) OF ANIMAL FEEDS</t>
  </si>
  <si>
    <t xml:space="preserve"> Requesting for Quotation (RFQ) for PR No. 2005208  Interested suppliers are invited to submit Sealed Price Quotations for the above listed items. The Request for Quotation (RFQ) for may be obtained from Mr. Albert A. Camarillo City General Services Office</t>
  </si>
  <si>
    <t xml:space="preserve"> I. SUBBASE @ BASE COURSE II. CONCRETE WORKS III. FORMWORKS</t>
  </si>
  <si>
    <t xml:space="preserve"> Construction Project of Floating Seaweed Dryer II</t>
  </si>
  <si>
    <t xml:space="preserve"> Repair of Perimeter Fence at EcoPark @ Samal, Bataan 4 rolls - Cyclone Wire 2x2x6 1 kg - G.I Wire #16</t>
  </si>
  <si>
    <t xml:space="preserve"> Invitation to Bid “Acquisition of One (1) Lot Health Care Services through Health Maintenance Organization” 01.The National Bureau of Investigation, through the 2019 NBI Clearance Retention Fees pursuant to RA 10867 otherwise known as the NBI Reorganizati</t>
  </si>
  <si>
    <t xml:space="preserve"> The City Government of Santiago invites interested parties to submit price quotation for the “SUPPLY AND DELIVERY OF CONSTRUCTION MATERIALS FOR CONSTRUCTION OF MOTORPOOL GUARD HOUSE“ City Hall, Santiago City, details as follows: ABC: Php 186,602.80 Contra</t>
  </si>
  <si>
    <t xml:space="preserve"> Item No.	Unit	Description	Qty 1	pcs	Snare Drum	5 2	pcs	Trumpet	5 * * * * * * * * * * * * * * * * * * * * * * * * NOTHING FOLLOWS * * * * * * * * * * * * * * * * * * * * * * * *</t>
  </si>
  <si>
    <t xml:space="preserve"> Construction of Niches</t>
  </si>
  <si>
    <t xml:space="preserve"> 100	ream		Book Paper			Long, 70gsm, 216x330mm				 2	cart		Toner			for copier machine (Kyocera Mita) - ECOSYS M2540dn/L				 100	unit		Arch File Folder			Long large Lever with Ring Binder &amp; Metal Finger Pull (Black color, Heavy Duty)</t>
  </si>
  <si>
    <t xml:space="preserve"> Please see attached PR for Specification</t>
  </si>
  <si>
    <t xml:space="preserve"> REQUEST FOR QUOTATION Procurement of Printing &amp; Publication Expenses (PCADG-5029902000-1064-2020) 1.	The Philippine National Police Community Affairs and Development Group, through its Bidsand Awards Committee(BAC), will undertakea Small Value Procurement</t>
  </si>
  <si>
    <t xml:space="preserve"> 1,500 pcs.	BAG TAGS Specifications: Material:  PVC, matte laminated Size:  3.4”  x  2.2” Thickness:  0.76 mm Feature:  with Class A rubber loop (white) Color:   3 colors Printing:  Digital full printing, front &amp; back       500 pcs   CERTIFICATE HOLDER Spe</t>
  </si>
  <si>
    <t xml:space="preserve"> Procurement of Various COD Working Uniform for 2020</t>
  </si>
  <si>
    <t xml:space="preserve"> 40 Reams Bond Paper (Long Subs. 20) 10 Reams Bond Paper ( short subs. 20) 40 Reams Bond Paper (A4 subs. 20) 50 pcs. folder (long) 2 dozens Sign Pen(0.05 black color) 5 pcs Stapler No. 35 Big (Heavy Duty) 5 pcs. Puncher (big) 4 pcs Toilet Brush 3 Boxes Pap</t>
  </si>
  <si>
    <t xml:space="preserve"> Republic of the Philippines PROVINCE OF SOUTHERN LEYTE Maasin City Invitation to Bid for the Procurement of Logbook  Contract ID # 2020-07-07-359PG 1.	The Provincial Government of Southern Leyte through the PDH– Office Supplies Expenses intend to apply fo</t>
  </si>
  <si>
    <t xml:space="preserve"> Items Quantity / Units 1.morgue refrigeration system 1 unit 6 corpses capacity 2,100w input power 1c-5c temperature 2,520 x 1,580 x 1,850 exterior size (wxdxh) 680kg weight -18c/-30c quantity compressor 6 doors PRICE QUOTATION/S SHOULD BE PRINTED ON COMPA</t>
  </si>
  <si>
    <t xml:space="preserve"> INVITATION TO BID SUPPLY AND DELIVERY OF 1,591 BOXES ROUND MOIST CAKE FOR PABIRTHDAY NI LOLO UG LOLA (2ND QUARTER) 1.	The Local Government Unit of Cabadbaran City through the GENERAL FUND intends to apply the sum of ONE HUNDRED NINETY THOUSAND NINE HUNDRE</t>
  </si>
  <si>
    <t xml:space="preserve"> See attached Documents</t>
  </si>
  <si>
    <t xml:space="preserve"> Requesting for Quotation (RFQ) for PR No. 2006044  Interested suppliers are invited to submit Sealed Price Quotations for the above listed items. The Request for Quotation (RFQ) for may be obtained from Mr. Albert A. Camarillo City General Services Office</t>
  </si>
  <si>
    <t xml:space="preserve"> Reference No. PR # 20-03-0438 PRICE QUOTATION FORM (BID FORM) Sealed Bids shall be dropped in the BIDDERS BOX on or before 2:00 P.M.  June 19, 2020    placed at the office of the Chairman of the College BAC. Thereafter, the Bidder's Box shall be sealed un</t>
  </si>
  <si>
    <t xml:space="preserve"> PLEASE CONTACT BAC SECRETARIAT FOR MORE DETAILS</t>
  </si>
  <si>
    <t xml:space="preserve"> Requesting for Quotation (RFQ) for PR No. 2006011  Interested suppliers are invited to submit Sealed Price Quotations for the above listed items. The Request for Quotation (RFQ) for may be obtained from Mr. Albert A. Camarillo City General Services Office</t>
  </si>
  <si>
    <t xml:space="preserve"> Specifications can be viewed online by clicking the "Associated Components" section on this ITB. The Local Government Unit-Municipality of Malinao, Aklan through the Bids and Awards Committee, intends to apply the sum of Five Hundred  Thousand  Pesos and </t>
  </si>
  <si>
    <t xml:space="preserve"> School and Office Supplies</t>
  </si>
  <si>
    <t xml:space="preserve"> Republic of the Philippines PROVINCE OF BUKIDNON Municipality of Sumilao INVITATION TO BID ITB NO. GS-2020-27 PROCUREMENT OF CORN SEEDS &amp; FERTILIZERS FOR THE SUSTAINABLE LAND RESOURCE MANAGEMENT APPROACH (SLRMA) FOR AGRI-ENVIRONMENTAL DEVELOPMENT OF UPLAN</t>
  </si>
  <si>
    <t xml:space="preserve"> 1.	2	unit/s	Aircondition - Floor Mounted/ Single Phase 2.	2	unit/s	Aircondition  2HP Window Type</t>
  </si>
  <si>
    <t xml:space="preserve"> REQUEST FOR QUOTATION Other Supplies &amp; Materials Expenses (PCADG-5020399000-1065-2020) 1.	The Philippine National Police Community Affairs and Development Group, through its Bidsand Awards Committee(BAC), will undertakea Small Value Procurement (SVP) for </t>
  </si>
  <si>
    <t xml:space="preserve"> *LARGE FORMAT PRINTER 36" MAX DOCUMENT WIDTH - 2400 x 1200 dpi Print Resolution for sharp text Documents, A1-Size print Speeds of 35 seconds, Wi-fi Enabled wireless printing (1 unit) *PROJECTOR - 5,500 Lumens, XGA 1024x768 Display Resolution, Aspect Ratio</t>
  </si>
  <si>
    <t xml:space="preserve"> The Local Government Unit of Barugo, through the General Fund intends to apply the sum of Fifty-Two Thousand Five Hundred Pesos (Php 52,500.00) being the Approved Budget for the Contract (ABC) to payment under the contract for the Procurement of Various M</t>
  </si>
  <si>
    <t xml:space="preserve"> The City Government of Santiago invites interested parties to submit price quotation for the “SUPPLY AND DELIVERY OF ELECTRICAL SUPPLIES FOR IMPROVEMENT OF MUSCOVADO BUILDING“ City Hall, Santiago City, details as follows: ABC: Php 365,276.00 Contract Dura</t>
  </si>
  <si>
    <t xml:space="preserve"> REQUEST FOR QUOTATION (RFQ) The MEO  through the Bids and Awards Committee (BAC) of the Municipality of Banaybanay, Davao Oriental hereby notifies and invites you to submit your quotation/bid for the hereunder proposed project/request, viz:  CONSTRUCTION </t>
  </si>
  <si>
    <t xml:space="preserve"> 20	sack		Gestating			Mash				 20	sack		Grower			Mash				 10	sack		Lactating			Mash				 20	sack		Starter			Mash				 5	sack		Corn Bran			Yellow				 10	sack		Laying			Mash</t>
  </si>
  <si>
    <t xml:space="preserve"> 1	ID CARD 2.13" X 3.37" (ATM SIZE) W/ID HOLDER							100	PCS 2	ID CARD 3.5" X 4.5"  W/LANYARD					                         		100	PCS</t>
  </si>
  <si>
    <t xml:space="preserve"> Republic of the Philippines					 PROVINCE OF SIQUIJOR					 BIDS &amp; AWARDS COMMITTEE					 Capitol Building, Siquijor, Siquijor					 					 Business Name:_____________________________				AD. No.: 436-06-2020	 Address:___________________________________				DAT</t>
  </si>
  <si>
    <t xml:space="preserve"> Republika ng Pilipinas PAMAHALAANG LUNGSOD NG TACLOBAN (City Government of Tacloban) Kanhuraw Hill, Tacloban City 6500 Bids and Awards Committee INVITATION TO SUBMIT PRICE QUOTATIONS FOR THE NEGOTIATED PROCUREMENT (Small Value Procurement) OF INDUSTRIAL M</t>
  </si>
  <si>
    <t xml:space="preserve"> Republic of the Philippines					 Province of Palawan					 MUNICIPALITY OF EL NIDO					 PR No. Name of Procuring Entity: Municipal Government of El Nido			RFQ No.	MDRRMO-200-2020	 Date:		 Office/End-User: MDRRMO					 Company Name					 Adress:					 Business</t>
  </si>
  <si>
    <t xml:space="preserve"> OPENING OF BIDS IN DSWD FO IX ZAMBOANGA CITY		 DELIVERY IN AVRC III, MAMPANG ZC		 PROCUREMENT FOR THE FF.	 	 		 50	PCS.	LIQUID DISPENSER (HIGH QUALITY ABS MATERIAL, NON-TOXIC , RUSTPROOF AND CORRUSION  RESISTANCE , LONG LIFE ; 2) VIEWING BODY ; MATERIALS:</t>
  </si>
  <si>
    <t xml:space="preserve"> 06192020-087 NOTICE FOR NEGOTIATED PROCUREMENT Publication: June 16, 2020 Closing: June 19, 2020 Name of Project	Purchase of Real Property Tax Account Register Card for Treasurer’s Office use Approved Budget for the Contract	 ₱200,000.00 Contract Period:	</t>
  </si>
  <si>
    <t xml:space="preserve"> Please see attached Program of Works for Specification</t>
  </si>
  <si>
    <t xml:space="preserve"> Republic of the Philippines													 City of San Carlos													 Negros Occidental													 													 INVITATION TO BID											FOR SALE	 			PURCHASE REQUEST NO: 1-20-06-0669				P 300.00	 Sealed bids for quotation of prices will be recei</t>
  </si>
  <si>
    <t xml:space="preserve"> Republic of the Philippines Province of Batangas Municipality of San Juan BIDS AND AWARDS COMMITTEE INVITATION TO APPLY FOR ELIGIBILITY AND TO BID THE LOCAL GOVERNMENT UNIT OF BRGY. PULANGBATO,  SAN JUAN, BATANGAS, through its Bids and Awards Committee (B</t>
  </si>
  <si>
    <t xml:space="preserve"> Procurement of supply and delivery of food fo the conduct of Rice Report Officers Monthly Meeting Review and Assessment at OPA, Conference Room, Bacolod City  (40 pax / Batch) 	 240	pax July 28, 2020 August 25, 2020 September 29, 2020 October  27, 2020 No</t>
  </si>
  <si>
    <t xml:space="preserve"> Republic of the Philippines Province of South Cotabato BIDS AND AWARDS COMMITTEE Capitol Compound Alunan Avenue, Koronadal City Tel. Fax No.: (083) 228-9951/228-8570 INVITATION TO BID FOR THE SUPPLY AND DELIVERY OF 7,000 BAGS CEMENT, PORTLAND, QUICK DRY &amp;</t>
  </si>
  <si>
    <t xml:space="preserve"> Post Cement, Banana Twine &amp; Bamboo Poles for LSA - FRIEND Organic Farm 800 posts Post Cement 10 rolls Banana Twine 300 poles Bamboo Poles for Trellis *Free Delivery on-site **Please see an attached document in ASSOCIATED COMPONENTS for RFQ</t>
  </si>
  <si>
    <t xml:space="preserve"> Construction Project of Pres. Elpidio Quirino Street</t>
  </si>
  <si>
    <t xml:space="preserve"> l.	The MUNICIPALITY OF GUINAYANGAN, QUEZON, through  the  2020 C.O.    intends to apply the sum of  One Hundred Sixty Nine Thousand Four Hundred Ninety  Pesos                      (P 169,490.00) being the Approved Budget for the Contract (ABC) to payments</t>
  </si>
  <si>
    <t xml:space="preserve"> Republic of the Philippines													 City of San Carlos													 Negros Occidental													 												REBIDDING LOT 3 ONLY	 INVITATION TO BID											FOR SALE	 			PURCHASE REQUEST NO: 1-19-09-1639				P 1,913.00	 Sealed bids for quotation o</t>
  </si>
  <si>
    <t xml:space="preserve"> Item No.	Qty. 	Unit	Item Description		Unit Price	Total Price 						 1	50	ream	PAPER, MULTICOPY, 80gsm, size: 210mm x 297mm			 2	50	ream	PAPER, MULTICOPY, 80gsm, size: 216mm x 330mm			 3	100	ream	PAPER, Multi-Purpose (COPY) Legal, 70 gsm			 4	30	pad	PAPER,</t>
  </si>
  <si>
    <t xml:space="preserve"> Republic of the Philippines Cordillera Administrative Region MUNICIPAL GOVERNMENT OF MALIBCONG Province of Abra Project Title: CONSTRUCTION OF TWO STOREY MULTI-PURPOSE (MUNICIPAL ISOLATION) BUILDING POBLACION, MALIBCONG, ABRA 1.  The Municipal Government </t>
  </si>
  <si>
    <t xml:space="preserve"> The Cagayan State University is pleased to invite you to quote your lowest price on the item/s attached herewith, stating the shortest time of delivery and submit your quotation duly signed by you, or by your authorized representative.</t>
  </si>
  <si>
    <t xml:space="preserve"> *A3 MACHINE - photocopier maximum monthly duty cycle: 50,000 copies introductory comsumables toner: 4,000 copiesdrum: 80,000 copies w/ embedded web server A3 digital monochrome multifunction (print, copy, scan)flatbed &amp; automatic document feeder for duple</t>
  </si>
  <si>
    <t xml:space="preserve"> INVITATION TO BID COMPLETION OF PAAGAN WATER SYSTEM PAAGAN, SANTOL, LA UNION 1.	The Municipal Government of Santol, La Union through the MDF-2020 intends to apply the sum of ONE MILLION FIVE HUNDRED THOUSAND PESOS (Php 1,500,000.00) being the Approved Bud</t>
  </si>
  <si>
    <t xml:space="preserve"> REQUEST FOR QUOTATION (RFQ) Date: June 15, 2020 R.I.S. No.:	20-13-098 Gentlemen:			 Please submit your lowest price quotation (including taxes and government discounts) on charged account basis, on the following supplies/materials/ equipment or labor for </t>
  </si>
  <si>
    <t xml:space="preserve"> IMPROVEMENT OF MUNICIPAL IP HALL GROUND</t>
  </si>
  <si>
    <t xml:space="preserve"> Republika ng Pilipinas PAMAHALAANG LUNGSOD NG TACLOBAN (City Government of Tacloban) Kanhuraw Hill, Tacloban City 6500 Bids and Awards Committee INVITATION TO SUBMIT PRICE QUOTATIONS FOR THE NEGOTIATED PROCUREMENT (Small Value Procurement) OF LIVE ANIMALS</t>
  </si>
  <si>
    <t xml:space="preserve"> Requesting for Quotation (RFQ) for PR No. 2006001  Interested suppliers are invited to submit Sealed Price Quotations for the above listed items. The Request for Quotation (RFQ) for may be obtained from Mr. Albert A. Camarillo City General Services Office</t>
  </si>
  <si>
    <t xml:space="preserve"> Republic of the Philippines Province of Leyte Municipality of Hilongos Barangay LAMAK REQUEST FOR QUOTATION  JUNE 15, 2020          Date               ______________________ _______________________ _______________________ _________________________________</t>
  </si>
  <si>
    <t xml:space="preserve"> B.9	Mobilization/Demobiliazation	lot	all	18,854.00 103(1)a	Structure Excavation (CommonSoil)	5.30	cu.m.	1,780.80 105(1)	Subgrade Preparation (Common Material)	312	sq.m.	5,460.00 201	Aggregate Base Coarse (100mm thk.)	31.20	cu.m.	38,073.36 311(1)a	PCC Pave</t>
  </si>
  <si>
    <t xml:space="preserve"> Bid-Opening-June 25, 2020 at 2:00 P.m. at Municipal Conference Room</t>
  </si>
  <si>
    <t xml:space="preserve"> BIDS AND AWARDS COMMITTEE ATTENTION:		ALL INTERESTED BIDDERS 			 SUBJECT:	INVITATION TO BID –   Procurement of Communication Plan for 1 Year DATE:	June 15, 2020 - - - - - - - - - - - - - - - - - - - - - - - - - - - - - - - - - - - - - - - - - - - - - - - </t>
  </si>
  <si>
    <t xml:space="preserve"> Requesting for Quotation (RFQ) for PR No. 2005237  Interested suppliers are invited to submit Sealed Price Quotations for the above listed items. The Request for Quotation (RFQ) for may be obtained from Mr. Albert A. Camarillo City General Services Office</t>
  </si>
  <si>
    <t xml:space="preserve"> Please see attachment.</t>
  </si>
  <si>
    <t xml:space="preserve"> Jetmatic pump-const of shallow wells</t>
  </si>
  <si>
    <t xml:space="preserve"> INVITATION TO BID IB No. GS-2020 – 051-A Books, Maps and Other Publications for Distribution to all Barangays of Oriental Mindoro 1. The  Provincial  Government  of  Oriental  Mindoro  (PGOM)  through  the  General Fund  intends  to  apply  the  sum  of  </t>
  </si>
  <si>
    <t xml:space="preserve"> INVITATION TO BID FOR SUPPLY AND INSTALL OF BY-PASS POTABLE WATER PIPE LINE QUINANLIMAN, BRGY. POB. 1, REAL, QUEZON 1.	The Municipal Government of Real, Quezon, through the Economic Enterprise &amp; General Fund CY 2020  intends to apply the sum of Nine Hundr</t>
  </si>
  <si>
    <t xml:space="preserve"> REQUEST FOR QUOTATION (RFQ) Date: June 15, 2020 R.I.S. No.:	20-83-069 Gentlemen:			 Please submit your lowest price quotation (including taxes and government discounts) on charged account basis, on the following supplies/materials/ equipment or labor for </t>
  </si>
  <si>
    <t xml:space="preserve"> CADO - PESO - TVET TRAINING EXPENSES FOR SECURITY NC I</t>
  </si>
  <si>
    <t xml:space="preserve"> Job Description: -Maintenance of the nursery and area for herbs, spices and medicinal plants -Planting and propagation of herbs, spices and medicinal plants -process and follow-up documents</t>
  </si>
  <si>
    <t xml:space="preserve"> VARIOUS CONSTRUCTION MATERIALS.</t>
  </si>
  <si>
    <t xml:space="preserve"> Section I. Invitation to Bid Republic of the Philippines Province of Bukidnon MUNICIPALITY OF TALAKAG Invitation to Bid for Procurement of Diesoline (For LGU Use) 1.	The Municipality of Talakag through the General Fund, CY 2020 intends to apply the sum of</t>
  </si>
  <si>
    <t xml:space="preserve"> 200	sachet		Fabric Conditioner							 200	sachet		Detergent Powder							 5	kl		Chlorine							 20	gal		Muriatic Acid							 50	pcs		Toilet Brush							 20	pales		Floor wax							 100	pcs		Soft Broom							 100	pcs		Stick Broom							 30	pcs		Toilet Pump</t>
  </si>
  <si>
    <t xml:space="preserve"> 1 UNIT STEEL CABINET, ETC.</t>
  </si>
  <si>
    <t xml:space="preserve"> Requesting for Quotation (RFQ) for PR No. 2004142  Interested suppliers are invited to submit Sealed Price Quotations for the above listed items. The Request for Quotation (RFQ) for may be obtained from Mr. Albert A. Camarillo City General Services Office</t>
  </si>
  <si>
    <t xml:space="preserve"> June 15, 2020                                                                   	          Solicitation No.: RFQ2020-06-01 REQUEST FOR QUOTATION The Fertilizer and Pesticide Authority, through its Bids and Awards Committee (BAC), invites interested partie</t>
  </si>
  <si>
    <t xml:space="preserve"> Purchase of cellphone for brgy use..</t>
  </si>
  <si>
    <t xml:space="preserve"> Republic of the Philippines Province of South Cotabato BIDS AND AWARDS COMMITTEE Capitol Compound Alunan Avenue, Koronadal City Tel. Fax No.: (083) 228-9951/228-8570 INVITATION TO BID FOR THE SUPPLY AND DELIVERY OF 5 DRUMS HYDRAULIC OIL, AW 68 &amp; ETC. 1.  </t>
  </si>
  <si>
    <t xml:space="preserve"> PB NO. 2020-036		 			Security Service for July 2020 to December 2020 1.	1	persons	OIC Security Guard x 18,796.54 x 6 months for 8 hours 2.	8	persons	Security Guards (Dayshift) x 17,796.54 x 6 months for 8 hours 2.	5	persons	Security Guards (Nightshift) x </t>
  </si>
  <si>
    <t xml:space="preserve"> Republic of the Philippines PROVINCE OF SOUTHERN LEYTE Maasin City Invitation to Bid for the Procurement of Various Medicines and Vitamins  Contract ID # 2020-07-07-379PG 1.	The Provincial Government of Southern Leyte through the PHSO Donation Expenses in</t>
  </si>
  <si>
    <t xml:space="preserve"> Republic of the Philippines Province of Cotabato Municipality of Arakan Barangay Sumalili BIDS AND AWARDS COMMITTEE REQUEST FOR QUOTATION Purchase of Assorted Goods The Barangay Local Government Unit of Sumalili is inviting interested suppliers to submit </t>
  </si>
  <si>
    <t xml:space="preserve"> PROCUREMENT OF SUPPLY AND INSTALLATION FOR THE REPLACEMENT OF VEHICLE TIRES 8 pieces VEHICLE TIRES, 195 R15 for Toyota Hi-Ace Commuter Vans with Plate nos. VK-4756 &amp; VK-4857 4 pieces VEHICLE TIRES, 205/65 R15 for Toyota Innova E with Plate no. SKE-945 2 p</t>
  </si>
  <si>
    <t xml:space="preserve"> BIDS AND AWARDS COMMITTEE ATTENTION:		ALL INTERESTED BIDDERS 			 SUBJECT:	INVITATION TO BID –   Procurement of Office Equipment DATE:	June 15, 2020 - - - - - - - - - - - - - - - - - - - - - - - - - - - - - - - - - - - - - - - - - - - - - - - - - - - - - -</t>
  </si>
  <si>
    <t xml:space="preserve"> Qty.	UNIT	ITEM AND DESCRIPTION					 								TOTAL 1	unit	Entry Level File Server						  		• Processor(s): Intel Xeon E-2124 3.3GHz,						 		 8M cache, 4C/4T, turbo (71W)						 		• Memory: 8GB 2666MT/s DDR4 ECC UDIMM						 		• Storage Controller: PERC H330</t>
  </si>
  <si>
    <t xml:space="preserve"> Republic of the Philippines Province of Leyte Municipality of Hilongos BARANGAY LAMAK INVITATION TO BID FOR THE PROCUREMENT OF OFFICE SUPPLIES.  1.  The Barangay Lamak, through the IRA intends to apply the sum THIRTY FIVE THOUSAND PESOS (₱ 35,000.00) bein</t>
  </si>
  <si>
    <t xml:space="preserve"> *CONFERENCE TABLE - w/o Chair, Size: 3x1.2x.8, Materials: Laminated Particle Board, Metal Table Leg, Rectangular Metal Grommet (1 pc) *Please see attached sample layout and canvass form.</t>
  </si>
  <si>
    <t xml:space="preserve"> CARLOS HILADO MEMORIAL STATE COLLEGE 		BIDS AND AWARDS COMMITTEE Talisay City, Negros Occidental Telefax Nos. (034) 712-8404 INVITATION TO BID  FOR THE PROCUREMENT OF COMMON JANITORIAL SUPPLIES AND OFFICE SUPPLIES FOR THE FOUR (4) CAMPUSES CHMSC 20-017-06</t>
  </si>
  <si>
    <t xml:space="preserve"> Construction of 6.00mx2.00m Steel Gate (Double leaf) with service gate (1.00mx2.00m). Description of works includes :  Earthworks, Reinforced Concrete Works and Progress Photo</t>
  </si>
  <si>
    <t xml:space="preserve"> Procurement of supply and delivery of food fr the conduct of DA Program Assessment &amp; Forum of City/Municipal Agricvulturists at Conference Room, OPA, Roxas City, Capiz (50 pax/Batch)	 300	pax	 July 15, 2020 August 19, 2020 September 16, 2020 October  21, </t>
  </si>
  <si>
    <t xml:space="preserve"> 1 Unit Laptop * CPU: Intel Core i7 processor (10th Generation) * Hard Drive: 256GB Solid State Drive * RAM: 16GB * Display 3840x2400 resolution * Wireless: 802.1 1ac 2x2 Wifi and *OS: windows 10 Home Unit Cost: P 80,550.00 Total Amount: P 80,550.00 5 Unit</t>
  </si>
  <si>
    <t xml:space="preserve"> 1.	The Municipality of Guinayangan, Quezon through the 2020 C.O. intends to apply the sum of One Million Five Hundred Thirty Six Thousand Pesos  (P 1,536,000.00) being the Approved Budget for the Contract (ABC) to payments under the contract for the Concr</t>
  </si>
  <si>
    <t xml:space="preserve"> Lot 1 PhP 5, 001.00 (See attached file or call for more details.)</t>
  </si>
  <si>
    <t xml:space="preserve"> INVITATION TO BID IB No. GS-2020 – 052-A Construction Materials and Supplies for Provision of Cement and Painting Materials to Various Schools Provincewide 1. The  Provincial  Government  of  Oriental  Mindoro  (PGOM)  through  the  Special Education Fund</t>
  </si>
  <si>
    <t xml:space="preserve"> 1,530 LITERS DIESEL 250 LITERS GASOLINE  1 LOT LUBRICANTS</t>
  </si>
  <si>
    <t xml:space="preserve"> Qty.	UNIT	ITEM AND DESCRIPTION					APPROVED BUDGET COST	 							UNIT PRICE	TOTAL 20	BTLS	ALCOHOL (RUBBING 70% ISOPROPYL 500ML)					 68.48 	 1,369.60  30	POCUH	DETERGENT POWDER (ALL PURPOSE 1 KG)					 66.00 	 1,980.00  4	CANS	DISINFECTANT SPRAY (AEROSOL SC</t>
  </si>
  <si>
    <t xml:space="preserve"> 82 pcs graphicoat glassboard, 4ft x 8ft</t>
  </si>
  <si>
    <t xml:space="preserve"> Requesting for Quotation (RFQ) for PR No. 2006027  Interested suppliers are invited to submit Sealed Price Quotations for the above listed items. The Request for Quotation (RFQ) for may be obtained from Mr. Albert A. Camarillo City General Services Office</t>
  </si>
  <si>
    <t xml:space="preserve"> 1. The Department of Agriculture – Regional Field Office – Cordillera Administrative Region (DA-RFO-CAR) intends to apply part of its CY 2020 General Appropriation Act (GAA) the total sum of Six Hundred Thousand Pesos (P6,000,000.00) being the Approved Bu</t>
  </si>
  <si>
    <t xml:space="preserve"> LAPTOP COMPUTER 8GB DDR4 2400MHZ SDRAM OPERATING SYSTEM-INTEL CORE i7-7700HQ(2.8ghz) PROCESSOR WINDOWS 10 HOME GTX 1050-8GB GDD5-VRAM GRAPHICS 150W POWER ADAPTOR  9HRS. BATTERY LIFE SPEARKER WITH SMARTAMP TECHNOLOGY OPTICAL DRIVE 1TB-8GB+128GB SSD</t>
  </si>
  <si>
    <t xml:space="preserve"> Republika ng Pilipinas PAMAHALAANG LUNGSOD NG TACLOBAN (City Government of Tacloban) Kanhuraw Hill, Tacloban City 6500 Bids and Awards Committee INVITATION TO SUBMIT PRICE QUOTATIONS FOR THE NEGOTIATED PROCUREMENT (Small Value Procurement) OF FOOD STUFF (</t>
  </si>
  <si>
    <t xml:space="preserve"> Republic of the Philippines Province of Compostela Valley Municipality of Monkayo -o0o- NEGOTIATED PROCUREMENT OF MATERIALS FOR REPAIR AND MAINTENANCE OF PUMPING STATION FOR WATERWORKS OPERATION UNIT   The Municipality of Monkayo, through the TRUST FUND  </t>
  </si>
  <si>
    <t xml:space="preserve"> PB NO. 2020-037		 			 1.	14	persons	Janitorial Service for July 2020 to December 2020 			14 Utility Worker x 17,325.03 x 6 months for 8 hrs. 			 	Deadline for Submission of Bids: July 7, 2020 10:00 am</t>
  </si>
  <si>
    <t xml:space="preserve"> Repair of Daycare Center</t>
  </si>
  <si>
    <t xml:space="preserve"> 2 UNIT OFFICE TABLE SMALL 2 UNIT OFFICE TABLE BIG 1 UNIT COMPUTER TABLE</t>
  </si>
  <si>
    <t xml:space="preserve"> 000008969		100	rolls	THERMAL TRANSFER LABEL  					 1.0 x 1.2					PhP	  61,750.00 			100	rolls	THERMAL TRANSFER LABEL 			199,500.00 					  5 X 4</t>
  </si>
  <si>
    <t xml:space="preserve"> Prk. Pinya, Tagaytay, Josefina, ZDS</t>
  </si>
  <si>
    <t xml:space="preserve"> Republic of the Philippines Province of South Cotabato BIDS AND AWARDS COMMITTEE Capitol Compound Alunan Avenue, Koronadal City Tel. Fax No.: (083) 228-9951/228-8570 INVITATION TO BID FOR THE SUPPLY AND DELIVERY OF 71 UNITS TELEVISION, LED, SMART TV 1.  T</t>
  </si>
  <si>
    <t xml:space="preserve"> RFQ (20-06-040) Various IT Supplies</t>
  </si>
  <si>
    <t xml:space="preserve"> Republic of the Philippines Province of Davao de Oro MUNICIPALITY OF MONTEVISTA BIDS AND AWARDS COMMITTEE 		 Reference No:  CB-2020-016 INVITATION TO BID FOR OFFICE SUPPLIES 1. 	The Municipality of  Montevista, Compostela Valley Province, through its  Gen</t>
  </si>
  <si>
    <t xml:space="preserve"> Job Description: -Process and follow up documents related to the project -assist in the conduct of the study</t>
  </si>
  <si>
    <t xml:space="preserve"> RFQ (20-06-036) Various Drugs and Medicines</t>
  </si>
  <si>
    <t xml:space="preserve"> *MODEM - Globe, Prepaid Wifi/Modem w/ Free initial load/10 Gbdata allocation, With LTE Capable Sim (64 units) *MODEM - PLDT, Prepaid Wifi/Modem w/ Free initial load/10 Gbdata allocation up to 42Mbps, With LTE Capable Sim (22 units) *Please see attached ca</t>
  </si>
  <si>
    <t xml:space="preserve"> Republic of the Philippines PROVINCE OF SOUTHERN LEYTE Maasin City Invitation to Bid for the Procurement of Survey Equipment  Contract ID # 2020-07-07-375PG 1.	The Provincial Government of Southern Leyte through the PEO – Technical and Scientific Equipmen</t>
  </si>
  <si>
    <t xml:space="preserve"> 1. Materials and Equipment Rental for the Repair and Improvement of School Stage , Efraim Santibañez National High School, Brgy. Sto. Tomas, Passi City, Iloilo/LSB/P 139,460.00 Stock No. Unit Description Qty. 1 pcs angle bar 1/4" x 2" x 6m 30 2 pcs c-purl</t>
  </si>
  <si>
    <t xml:space="preserve"> 30 packs FOLDER, legal size, tagboard, 100pcs/pack, kraft outside white inside 300 pieces CORRECTION TAPE, 5mm x 10mm 300 pieces SIGn PEN, blue, liquid/gel ink, 0.5mm needle tip 150 pieces SIGN PEN, liquid/gel ink, 0.5mm needle tip 2 boxes ENVELOPE, expan</t>
  </si>
  <si>
    <t xml:space="preserve"> UNIVERSITY OF THE PHILIPPINES BAGUIO																					 Governor Pack Road, Baguio City, Benguet, CAR																					 VAT Reg. TIN: 000-864-006-00007																					 Telefax No.: (074) 442-3484																					 email address:  spmo.upbagui</t>
  </si>
  <si>
    <t xml:space="preserve"> *DECIS - Active Ingredients (Deltamethrin) (15 liters) *SELECRON - Active Ingredients (Profenofos) (10 liters) *PENNANT - Active Ingredients (Phenthoate) (10 liters) *SUPER CARTAP - Active Ingredients (Cartap Hydrochloride), 500g/pack (15 liters) *LEYBAYC</t>
  </si>
  <si>
    <t xml:space="preserve"> see attached price quotation form</t>
  </si>
  <si>
    <t xml:space="preserve"> INVITATION TO BID IB No. GS-2020 – 041-A Furniture to be used/installed in the executive building 1. The  Provincial  Government  of  Oriental  Mindoro  (PGOM)  through  the  General Fund intends  to  apply  the  sum  of  Two Million Four Hundred Thirty T</t>
  </si>
  <si>
    <t xml:space="preserve"> Barangay Tagaytay Hill, Josefina, ZDS</t>
  </si>
  <si>
    <t xml:space="preserve"> 2	set		Seat Assembly							 1	unit		Radiator Assly			(4BA1)				 3	pcs		Fan Belt			(A-54)				 2	pcs		Fan Belt			(B-42)				 4	pcs		Glow plug			24 volts				 4	gal		Oil			#40 Diesel				 2	pcs		Oil Filter							 2	pcs		Cross Joint							 1	pc 		Fuel Filter				</t>
  </si>
  <si>
    <t xml:space="preserve"> I. Earthworks: 1.01 Structural Excavation : 4.62 cu.m., 1.02 : Structural Backfill: 2.47 cu.m.,                        1.03: Gravel Bedding: 0.66 cu.m. II. Masonry Works : 31.17 sq.m. III. Plastering : 62.34 sq.m. IV. Reinforcing Steel Bars : 616.37 kgs. </t>
  </si>
  <si>
    <t xml:space="preserve"> REQUEST FOR QUOTATION For Negotiated Procurement thru Small Value Procurement under Sec. 53.9 of the 2016 Revised IRR of RA 9184 Quotation No.:  2020-05-176 (2ND QUOTE) Date: June 15, 2020 PR No.: 20-05-169 PR Date: May 8, 2020 The Metropolitan Tuguegarao</t>
  </si>
  <si>
    <t xml:space="preserve"> 1. The Mindanao State University - Tawi-Tawi College of Technology and Oceanography (MSU-TCTO), through the Trust Fund, intends to apply the sum of One Hundred Forty Thousand Pesos only (PhP 140,000.00) being Approved Budget of Contract to payments under </t>
  </si>
  <si>
    <t xml:space="preserve"> Republic of the Philippines Province of Misamis Occidental Municipality of Aloran INVITATION TO BID FOR THE IMPROVEMENT OF ALORAN WATER SUPPLY SYSTEM (BARANGAY OSPITAL-DULLAN) 				JUNE 15, 2020 1.	The Local Government Unit of Aloran, Misamis Occidental th</t>
  </si>
  <si>
    <t xml:space="preserve"> 130 pages per minute print speed 300 x 360 dpi print resolution 3 rubber feed rollers with one 91) Ink cartridge One (1) Master roll and Pedestal/ Table With Exclusive Distributor Certificate</t>
  </si>
  <si>
    <t xml:space="preserve"> INVITATION TO APPLY FOR ELIGIBILITY AND TO BID  One (1) Lot Information Technology   ITB No. 2020-06-003 P.R. No. 2020-06-173 1.	The Mines and Geosciences Bureau, through the General Appropriations Act (GAA) for CY 2020 intends to apply the sum correspond</t>
  </si>
  <si>
    <t xml:space="preserve"> DEMOLITION OF CONCRETE LAYING OF CHB PLASTERING WORKS PLUMBING WORKS TILE WORKS FLOORING  DOORS AND PARTITION(ANALOK)</t>
  </si>
  <si>
    <t xml:space="preserve"> RESOLUTION ON PRIOR APPROVAL NO. 03-19                   Series of 2020 		 RESOLUTION RECOMMENDING THE USE OF ALTERNATIVE METHOD OF PROCUREMENT FOR  THE ACQUISITION OF GOODS AND SERVICES WHEREAS, various departments/offices submitted Purchase Requests wit</t>
  </si>
  <si>
    <t xml:space="preserve"> INVITATION TO BID IB No. GS-2020 – 048-A Hospital/Medical Equipment for the use of Naujan Community Hospital 1. The  Provincial  Government  of  Oriental  Mindoro  (PGOM)  through  the  General Fund intends  to  apply  the  sum  of  Two Million Eight Hund</t>
  </si>
  <si>
    <t xml:space="preserve"> Unit 	Item Description	Quantity 		 ream	Bond Paper, A4, 80 gsm	236 ream	Bond Paper, Long, 80 gsm	3 bottle	Epson T664-1 Black Ink	13 bottle	Epson T664-2 Cyan Ink	9 bottle	Epson T664-3 Magenta Ink	8 bottle	Epson T664-4 Yellow Ink	8 piece	Flash Drive, 16 GB	</t>
  </si>
  <si>
    <t xml:space="preserve"> Republic of the Philippines Province of South Cotabato BIDS AND AWARDS COMMITTEE Capitol Compound Alunan Avenue, Koronadal City Tel. Fax No.: (083) 228-9951/228-8570 INVITATION TO BID FOR THE SUPPLY AND DELIVERY OF 1 UNIT X-RAY MACHINE 1.  The PROVINCIAL </t>
  </si>
  <si>
    <t xml:space="preserve"> Water Soluble, Degreaser Industrial Typical Physical Properties Color    : Pink Odor     : Mild Solubility : Soluble in water Specific gravity : 1.5 Form : Liquid Features: Products rich foam which lifts dirt from surface Does not contain bio-stimulating </t>
  </si>
  <si>
    <t xml:space="preserve"> Pakyaw Labor and Provision of Equipment</t>
  </si>
  <si>
    <t xml:space="preserve"> 2	pc	Fillet gauge		 11	pc	Try square 300 mm long		 2	unit	Work bench w/ bench vice on 4 corners		 1	set	Belt tension gauge		 2	set	Box wrench metric size		 1	unit	Cooling system analyzer		 2	set	Socket wrench 		 2	set	Tire pressure gauge		 5	pc	Cover alls</t>
  </si>
  <si>
    <t xml:space="preserve"> The ZAMBOANGA CITY STATE POLYTECHNIC COLLEGE through its Bids and Awards Committee (BAC) is inviting PHILGEPS registered suppliers to apply for eligibility and to submit bids for the items listed below: Upgrading of Fiber Line with Wi-Fi and Voice Over IP</t>
  </si>
  <si>
    <t xml:space="preserve"> Invitation to Bid for  Rehabilitation of Extension/Satellite Office @ Brgy. Llavac, Real, Quezon 1.	The Municipal Government of Real, Quezon, through the General Fund -Continuing Legislative Appropriation 2015 intends to apply the sum of Three Hundred For</t>
  </si>
  <si>
    <t xml:space="preserve"> Solar Generator Set 6000 watts with (6) 370 watts panel          - Solar Panel: 370W 36V mono solar panel *6 pcs          - DC Combiner: 4 in 1 out          - Controler: PWM 60A48V          - Inverter: 6000W 48V Pure sine wave          - Battery: 200Ah12V</t>
  </si>
  <si>
    <t xml:space="preserve"> Republic of the Philippines Province of Compostela Valley Municipality of Monkayo -o0o- NEGOTIATED PROCUREMENT OF GLASS DOOR FOR MUNICIPAL HEALTH CENTER BUILDING The Municipality of Monkayo, through the TRUST FUND  intends to apply the sum of  NINETY THRE</t>
  </si>
  <si>
    <t xml:space="preserve"> 1	TARPAULIN 1' X 2'							48	PCS 2	TARPAULIN 3' X 6'							20	PCS 3	TARPAULIN 3' X 6'							20	PCS</t>
  </si>
  <si>
    <t xml:space="preserve"> NEGOTIATED PROCUREMENT-TWO FAILED BIDDINGS OF ONE (1) UNIT LAPTOP AND ONE (1) UNIT PROJECTOR FOR DCA AGRI-FARM TRAINING SCHOOL  In view of two (2) failed biddings, the Municipality of Remedios T. Romualdez, Agusan del Norte  Bids and Awards Committee (BAC</t>
  </si>
  <si>
    <t xml:space="preserve"> Republic of the Philippines Province of Iloilo Municipality of Guimbal Rizal Street, Guimbal, Iloilo The Local Government Unit of Guimbal, Rizal Street, Guimbal, Iloilo, through its Bids and Award Committee (BAC), invites Contractors to submit bids for th</t>
  </si>
  <si>
    <t xml:space="preserve"> Improvement/Rehabilitation of President Bridge of Poblacion																																																																																																																																																																																																				</t>
  </si>
  <si>
    <t xml:space="preserve"> INVITATION TO BID IB No. GS-2020 – 046-A Agricultural Machinery and Equipment for subsidy/assistance to Local Government Units,  Other (Farmers Association/Cooperative) 1. The  Provincial  Government  of  Oriental  Mindoro  (PGOM)  through  the  General F</t>
  </si>
  <si>
    <t xml:space="preserve"> Republic of the Philippines PROVINCE OF SOUTHERN LEYTE Maasin City Invitation to Bid for the Procurement of Various Catering Services  Contract ID # 2020-07-07-376PG 1.	The Provincial Government of Southern Leyte through the PGO – Other Maintenance and Op</t>
  </si>
  <si>
    <t xml:space="preserve"> Section I. Invitation to Bid Republic of the Philippines Province of Bukidnon MUNICIPALITY OF TALAKAG Invitation to Bid for Procurement of Travelling Rice Mill  (For San Isidro Rice Farmer Association, BUB 2015) 1.	The Municipality of Talakag through the </t>
  </si>
  <si>
    <t xml:space="preserve"> TERMS AND CONDITIONS:						 1. All entries must be typewritten or legibly written. 					 2. Delivery period within _____3 days_______________________ upon receipt of the approved  funded Purchase Order (P.O.).   				 3. Warranty shall be for a minimum of </t>
  </si>
  <si>
    <t xml:space="preserve"> Repair / Improve  of Handwashing Facilities in Front of Canteen/ Fornt of Bldg. 3 &amp; 5 / Front of SSES and Front of Kinder</t>
  </si>
  <si>
    <t xml:space="preserve"> For Rosales Municipal Infirmary Unit use.</t>
  </si>
  <si>
    <t xml:space="preserve"> REQUEST FOR QOUTATION  CADO -PESO FOR TVET TRAINING EXPENSE  CAREGIVING NC II - Php 200,000.00</t>
  </si>
  <si>
    <t xml:space="preserve"> 18 assembly Pen Light 18 watt LED lamp 1,081 bags Portland Cement type 1p 11 bags skin coat 98 bags tile adhesive cement 7 boxes 1/8 blind rivets at 1,000 pcs. per box 1 box welding rod stainless steel 1 box #14 THW Stranded 1 box #12 THW Stranded  1 box </t>
  </si>
  <si>
    <t xml:space="preserve"> 1. The Local Government Unit of Magsaysay, Occidental Mindoro through the Annual Budget approved by Sanggunian intends to apply the sum of Fifty One Thousand Pesos (P51,000.00) being the Approved Budget for the Contract (ABC) to payment under the contract</t>
  </si>
  <si>
    <t xml:space="preserve"> CONSTRUCTION OF PROPER KALEO DRAINAGE</t>
  </si>
  <si>
    <t xml:space="preserve"> Floor Mop  Bathroom Tissue Roll Zonrox Powder Soap Walis Tambo Glade	   Pledge	  Lysol	  Joy Dishwashing 	  Domex	  Disinfectant  ( Gallon ) Welding rod G- Tect Black	  Bond Paper long	  Bond Paper  A4	  Led bulb	  Door knob Roller Brush Paint Brush Plast</t>
  </si>
  <si>
    <t xml:space="preserve"> 3	unit		Mower			heavy duty, original				 100	pcs		Faucet							 10	gal		Red Tile Paint							 50	pcs		Dustpan							 1	box		C.W. Nails			2"				 10	rolls		Garden Hose							 40	pcs		Incarta			formica				 10	gal		White Enamel							 10	gal		White Latex					</t>
  </si>
  <si>
    <t xml:space="preserve"> Republic of the Philippines Province of Cotabato Municipality of Arakan BIDS AND AWARDS COMMITTEE  RE BID FOR SUPPLY OF MEDICINE &amp; MEDICAL SUPPLIES FOR WALK IN CLIENT 1.	The Local Government Unit of Arakan, through the GENERAL  FUND  intends to apply the </t>
  </si>
  <si>
    <t xml:space="preserve"> Republic of Canlaon 											 City of Canlaon											 OFFICE OF THE BIDS AND AWARDS COMMITTEE											 REQUEST FOR SEALED QUOTATION											 											 					Date:	6/15/2020					 					Quotation No.:	2020-06-023					 					JO No.:	2020-06-024-D				</t>
  </si>
  <si>
    <t xml:space="preserve"> INVITATION TO BID IB No. GS-2020 – 071 Sporting Goods for distribution to Outstanding pupils and students in public and private schools in Oriental Mindoro 1. The  Provincial  Government  of  Oriental  Mindoro  (PGOM)  through  the  General Fund intends  </t>
  </si>
  <si>
    <t xml:space="preserve"> 1 unit - airconditioner split type,inverter, 2HP</t>
  </si>
  <si>
    <t xml:space="preserve"> SOIL BEARING CAPACITY TEST 2 BOREHOLES</t>
  </si>
  <si>
    <t xml:space="preserve"> 1. The  Municipality  of   Laua-an,  Antique   intends  to  apply  the  sum   of One Hundred Fifty Nine Thousand Nine Hundred Ninety Nine Pesos Only (Php159,999.00) being the Approved  Budget  for the  Contract  (ABC) to payments under the contract Purcha</t>
  </si>
  <si>
    <t xml:space="preserve"> Republic of the Philippines CITY OF BAIS BIDS AND AWARDS COMMITTEE INVITATION TO APPLY FOR ELIGIBILITY AND TO BID 	The City Government of Bais invites interested bidders to apply for eligibility and to bid for prevention and control of Deadly Dengue Carie</t>
  </si>
  <si>
    <t xml:space="preserve"> INVITATION TO APPLY FOR ELIGIBILITY AND TO BID 	The local Government Unit of Can-avid, through is Bid and Awards Committee (BAC). Invites suppliers to apply for eligibility, to bid for the hereunder contract: Name of Contract:      CONCRETING OF BARANGAY </t>
  </si>
  <si>
    <t xml:space="preserve"> See attached file.....</t>
  </si>
  <si>
    <t xml:space="preserve"> PARTICULARS Start-up stock of cattle fattening (at least 150-180 kilos) Php16,500/head 70 beneficiaries Supplement commercial grower feeds Php. 1530/2 sacks 70 beneficiaries Dewormer (oral Albendazol to be administered 1ml/10kg body live weight a total of</t>
  </si>
  <si>
    <t xml:space="preserve"> PLEASE SEE ATTACHMENT FOR DETAILS</t>
  </si>
  <si>
    <t xml:space="preserve"> Republic of the Philippines												 REGION IX      												 PROVINCE OF ZAMBOANGA DEL SUR												 Pagadian City     												 BIDS AND AWARDS COMMITTEE  												 Provincial Capitol, Pagadian City												 							 					 INVITATION FOR</t>
  </si>
  <si>
    <t xml:space="preserve"> Procurement is for Barangay Limama-an, Tambulig, ZDS</t>
  </si>
  <si>
    <t xml:space="preserve"> ITEM NO.	ITEM &amp; DESCRIPTION	 BRAND	UOM	QTY. 1	Bamboo		Pcs	250 2	Drum plastic (Blue)		Pcs	16 3	Nylon (# 200)		Kgs	10 4	Nylon (# 150)		Kgs	5 5	Nylon (# 50)		Rolls	2 6	Nipa		Pcs	500 7	Pisi (evelon # 25)		Rolls	2 8	Pisi (evelon # 8)		Rolls	10 9	Binders		Rolls</t>
  </si>
  <si>
    <t xml:space="preserve"> R/M Building</t>
  </si>
  <si>
    <t xml:space="preserve"> 1.     	The Municipal Government of Veruela, by virtue of the AIP 2020 with the passage of SB Resolution No. 2019-151 is allocating  funds for the “Const. of Multi-purpose Hall at Brgy. Sisimon” amounting to PhP 4,500,000.00 (Four Million Five Hundred Tho</t>
  </si>
  <si>
    <t xml:space="preserve"> 1.The Local Government Unit of the Municipality of Magsaysay, through the 2020 Annual Budget approved by the Sanggunian intends to apply the sum of One Million Pesos (P 1,000,000.00) being the Approved Budget for the Contract (ABC) to payment under the  C</t>
  </si>
  <si>
    <t xml:space="preserve"> The Naga City School of Arts and Trades through the 2018 General Appropriation Act (GAA) intends to apply the sum of Eighty Two Thousand Six Hundred Sixteen pesos  and 10/100only (82,616.10) being the approved budget for the contract (ABC) to payments und</t>
  </si>
  <si>
    <t xml:space="preserve"> Republic of the Philippines PROVINCE OF SOUTHERN LEYTE Maasin City Invitation to Bid for the Procurement of Various Housekeeping Supplies  Contract ID # 2020-07-07-360PG 1.	The Provincial Government of Southern Leyte through the Admin– Other Supplies Expe</t>
  </si>
  <si>
    <t xml:space="preserve"> 1.     Provision of Design Services  : Architectural Plan, Civil/Structural Plan, Electrical Plan, Sanitary/Plumbing Plan, Mechanical Plan, Electronic Plan (Duly Signed and sealed by the Registered Professional) 2. Design and Seismic Analysis 3. Preparati</t>
  </si>
  <si>
    <t xml:space="preserve"> A=14m x 18m</t>
  </si>
  <si>
    <t xml:space="preserve"> INVITATION TO BID IB No. GS-2020 – 072 Vehicle for use of Bulalacao Community Hospital (BCH) 1. The  Provincial  Government  of  Oriental  Mindoro  (PGOM)  through  the  General Fund intends  to  apply  the  sum  of  Two Million Five Hundred Thousand Peso</t>
  </si>
  <si>
    <t xml:space="preserve"> Catering Services of; STOCK NO.	UNIT	ITEM DESCRIPTION				QTY 		Meals and Snacks				 1	pax	Snacks a.m				89 2	pax	Lunch				89 3	pax	Tarpaulin				2 		x-x-x-x-x-x-x-x-x				 Purpose / Remarks:		For use during the the Tree Planting Activities for NIA-KIMO.</t>
  </si>
  <si>
    <t xml:space="preserve"> PURPOSE: FOR DES USE. NEW PURCHASE REQUEST. (3 OF 3) FOR THE MONTH OF MAY 2020 TO AUGUST 2020. Fax your Price Quotation at Tel. Fax#: 426-30-45 / 927-64-26 local 2561 or Email at bacveterans@gmail.com. Please indicate the brand name and complete specifica</t>
  </si>
  <si>
    <t xml:space="preserve"> 30 pax Heavy Snacks</t>
  </si>
  <si>
    <t xml:space="preserve"> Const. of Multi-purpose Hall at Brgy. Sta. Cruz  Contract ID No. MPP-2020-02  			 1.     	The Municipal Government of Veruela, by virtue of the AIP 2020 with the passage of SB Resolution No. 2019-151 is allocating funds for the “Const. of Multi-purpose Ha</t>
  </si>
  <si>
    <t xml:space="preserve"> 1. Please see attached Request for Quotation Form for details 2. Please read the General Instructions to Bidders at the attached RFQ Form</t>
  </si>
  <si>
    <t xml:space="preserve"> Republic of the Philippines CITY OF BAIS BIDS AND AWARDS COMMITTEE INVITATION TO APPLY FOR ELIGIBILITY AND TO RE-BID 	The City Government of Bais invites interested bidders to apply for eligibility and to bid for use of the City Planning Development Offic</t>
  </si>
  <si>
    <t xml:space="preserve"> Installation of Deepwell</t>
  </si>
  <si>
    <t xml:space="preserve"> Republic of the Philippines CITY OF BAIS BIDS AND AWARDS COMMITTEE INVITATION TO APPLY FOR ELIGIBILITY AND TO BID 	The City Government of Bais invites interested bidders to apply for eligibility and to bid for essential care services of Philhealth Members</t>
  </si>
  <si>
    <t xml:space="preserve"> 1.The Local Government Unit of the Municipality of Magsaysay, through funding from the Conditional Augmentation Fund for Municipal Initiated Projects (CAFMIP)  intends to apply the sum of Three Million Pesos Only (3,000,000.00) being the Approved Budget f</t>
  </si>
  <si>
    <t xml:space="preserve"> Item No.  Description   Qty.   Unit 1 Laptop (with Licensed OS)                      3    units Specs : Windows 10 Inter Core i7-9750H Processor (12M Cache 4.5Ghz) NVIDEA GeForce RTX 2060 w/ 6GB GDDR6 16GB DDR4 2666 MHz RAM PCIE NVME 512GB M2 SSD+ 1TB 2.5</t>
  </si>
  <si>
    <t xml:space="preserve"> 1 	 6 	 set 	 Computer Set with Accessories 	 			  Intel Core i5 Processor 	 			 8 GB (2 x 4GB) DDR3 memory 	 			 Integrated Display 	 			 1TB SATA HDD 	 			 DVD-RW Drive 	 			 18.5" LED Monitor 	 			 ATX Tower Casing w/ Power Supply 	 			 Keyboard, Optic</t>
  </si>
  <si>
    <t xml:space="preserve"> B.9	Mobilization/Demobiliazation	lot	all	10,569.30 105(1)	Subgrade Preparation (Common Material)	336	sq.m.	6,216.00 201	Aggregate Base Coarse (100mm thk.)	34	cu.m.	48,273.20 311(1)a	PCC Pavement Plain-Conventional Method, 200mm thk	336	sq.m.	433,440.00 SP</t>
  </si>
  <si>
    <t xml:space="preserve"> Disinfectant - Sanitizer and Deodorizer, 20 liters</t>
  </si>
  <si>
    <t xml:space="preserve"> Republic of the Philippines PROVINCE OF SOUTHERN LEYTE Maasin City Invitation to Bid for the Procurement of Various Machinery and Equipment  Contract ID # 2020-07-07-362PG 1.	The Provincial Government of Southern Leyte through the PESO– Other Machinery an</t>
  </si>
  <si>
    <t xml:space="preserve"> 2 units 3in1 Color Printer 1 unit Laptop (Interl Core i7 Processor, 4 GB DDR4 Memory, 1TB Hard Drive, 15.6" LED Display, DVD Writer, Windows MS 10, MS Office &amp; with extra External HDD)</t>
  </si>
  <si>
    <t xml:space="preserve"> Item Qty. 	Unit	Item Description		 no. 						 1	50	piece	BROOM, soft (tambo)			 2	50	piece	BROOM, STICK (TING-TING), usable length: 760mm min			 3	50	bottle	CLEANER,TOILET BOWL AND URINAL, 900ml-1000ml cap			 4	50	can 	CLEANSER, SCOURING POWDER, 350g min.</t>
  </si>
  <si>
    <t xml:space="preserve"> The following eligibility and technical documents as well as the Financial Proposal Form shall be submitted on or before June 23, 2020, 9:00 AM at the Barangay Hall of Lemu Norte, Enrile, Cagayan. Checklist on Technical documents including eligibility req</t>
  </si>
  <si>
    <t xml:space="preserve"> SEE ATTACHED BID DOCS</t>
  </si>
  <si>
    <t xml:space="preserve"> 1	ls	Assorted Biscuits, Juice &amp; Coffee 1	unit 	Two Burner Gas Stove 1560	pax	Meals (Breakfast,Lunch,Dinner) 		(for command center )for  May 16-31,2020 875	pax	Meals (Breakfast,Lunch,Dinner) 		(for opcen &amp; isolation facilities )for June 1-7,2020 100	bots	M</t>
  </si>
  <si>
    <t xml:space="preserve"> Republic of the Philippines Province of Leyte Municipality of Tunga REQUEST FOR QUOTATION FORM (RFQ) ______________ Date PROCUREMENT TERMS &amp; CONDITIONS 1.	The Total Approved Budget for the Contract (ABC) is One Hundred Thousand Pesos (P100,000.00) Only.  </t>
  </si>
  <si>
    <t xml:space="preserve"> RFQ (20-06-039) Various IT Supplies</t>
  </si>
  <si>
    <t xml:space="preserve"> Purpose: To be used in the Advocacy Campaign on Back to Basics: Scientific and Sustainable Livestock and Poultry Production with Post-training support at Pagadian City   We are looking for a supplier that can provide the herein stated articles. Please quo</t>
  </si>
  <si>
    <t xml:space="preserve"> 100 PCS TILES 60X60 80 PCS TILES 30X30 (FOR CR) 750 PCS HOLLOW BLOCKS #4 100 PCS CEMENT 20 PCS DEFORMED BAR 10MM 1 KLS TILE GROUT 1 KLS G.I. WIRE #16 1 SET PLAST DOOR WITH HAMBA (90CM) 50 L GOOD LUMBER 2X2X8 50 L GOOD LUMBER 1X2X8 10 KG CONCRETE NAIL #3 5</t>
  </si>
  <si>
    <t xml:space="preserve"> PURPOSE: FOR DES USE. NEW PURCHASE REQUEST.  (1 OF 3) FOR THE MONTH OF MAY 2020 TO AUGUST 2020. Fax your Price Quotation at Tel. Fax#: 426-30-45 / 927-64-26 local 2561 or Email at bacveterans@gmail.com. Please indicate the brand name and complete specific</t>
  </si>
  <si>
    <t xml:space="preserve"> 1 storey building - 88m</t>
  </si>
  <si>
    <t xml:space="preserve"> see  attached RFQ and Schedule of requirements</t>
  </si>
  <si>
    <t xml:space="preserve"> Republic of the Philippines Province of Batangas Municipality of San Juan BIDS AND AWARDS COMMITTEE INVITATION TO APPLY FOR ELIGIBILITY AND TO BID THE LOCAL GOVERNMENT UNIT OF BRGY. POCTOL,  SAN JUAN, BATANGAS, through its Bids and Awards Committee (BAC),</t>
  </si>
  <si>
    <t xml:space="preserve"> NO.	Item	QTY.	UNIT		 1	Diesel	1	Drum 2	Gasoline	1	Drum 3	VS1	2	Pcs.  4	WD40	2	Pcs.  5	Top 1 Engine Oil	6	Pcs.  6	2T Oil	6	Pcs.  	Note: Delivery to the Project Site</t>
  </si>
  <si>
    <t xml:space="preserve"> 1 unit Power Saw (Large) "36" 1 unit Power Saw (Medium) "25"</t>
  </si>
  <si>
    <t xml:space="preserve"> Supply and Delivery of Supplies for the HRM Laboratory of SDSSU Tagbina Campus Please see attached  Request for Quotation (RFQ)</t>
  </si>
  <si>
    <t xml:space="preserve"> PURCHASE REQUEST							 Municipality of Pangil							 Pangil, Laguna							 Department: 	Office of the Engineering			PR No.___________		Date:	 Section:				SAI No.___________		Date:____________	 				ALOBS No._______		Date:____________	 Item no.	Qty	Unit	It</t>
  </si>
  <si>
    <t xml:space="preserve"> CONSTRUCTION OF SIKLING FOOTBRIDGE BARANGAY LATANG</t>
  </si>
  <si>
    <t xml:space="preserve"> PLEASE REFER TO REQUEST FOR QUOTATION.</t>
  </si>
  <si>
    <t xml:space="preserve"> See attach RFQ.</t>
  </si>
  <si>
    <t xml:space="preserve"> Republic of the Philippines DEPARTMENT OF PUBLIC WORKS AND HIGHWAYS OFFICE OF THE DISTRICT ENGINEER Aklan District Engineering Office Toting Reyes St., Kalibo, Aklan Re-Invitation The Department of Public Works and Highways (DPWH), Aklan District Engineer</t>
  </si>
  <si>
    <t xml:space="preserve"> B.9	Mobilization/Demobiliazation	lot	all	13,211.60 103(1)a	Structure Excavation (Common Soil)	9.30	cu.m.	2,966.70 105(1)	Subgrade Preparation (Common Material)	260	sq.m.	4,563.00 201	Aggregate Base Coarse (100mm thk.)	26	cu.m.	48,360.00 311(1)a	PCC Paveme</t>
  </si>
  <si>
    <t xml:space="preserve"> RESOLUTION RECOMMENDING THE USE OF ALTERNATIVE METHOD OF PROCUREMENT FOR  THE ACQUISITION OF GOODS AND SERVICES WHEREAS, various departments/offices submitted Purchase Requests with the following details: PR No.	Project Title	ABC	Department/ Office GF-20-</t>
  </si>
  <si>
    <t xml:space="preserve"> 12,150 Pieces Vitamin C, 500g, Non-Acidic</t>
  </si>
  <si>
    <t xml:space="preserve"> Republic of the Philippines					 PROVINCE OF SOUTHERN LEYTE					 Maasin City					 	Standard Form No.: SF-GOOD-60			 Project Reference No. 110	 	Revised on:  May 24, 2004			 Name of the Project:  _______	 	Standard Form Title:                              </t>
  </si>
  <si>
    <t xml:space="preserve"> Rehabilitation/Improvement of Post-Harvest Facility (Warehouse-tiles and painting works &amp; Solar Dryer-plastering of surface.)</t>
  </si>
  <si>
    <t xml:space="preserve"> Date:				Project Reference Number ______________	 Quotation No.  ________				Name of Project:	 				Location  of the Project _____________	 	                                                                                                                   </t>
  </si>
  <si>
    <t xml:space="preserve"> Republic of the Philippines CITY OF BAIS BIDS AND AWARDS COMMITTEE INVITATION TO APPLY FOR ELIGIBILITY AND TO RE-BID 	The City Government of Bais invites interested bidders to apply for eligibility and to bid to be used for Incident Command System (ICS) o</t>
  </si>
  <si>
    <t xml:space="preserve"> Lenovo Ideapad S145-151KB (81VD008LPH+1TB Internal)15.6" Intel Core 3i-7020U 2.3GHz 4GB RAM 512GB SSD+ 1TB 2.5"</t>
  </si>
  <si>
    <t xml:space="preserve"> Republic of the Philippines DEPARTMENT OF PUBLIC WORKS AND HIGHWAYS ISABELA 1ST DISTRICT ENGINEERING OFFICE REGIONAL OFFICE II City of Ilagan, Isabela INVITATION TO BID The DPWH-lsabela lst District Engineering Office, City of Ilagan, lsabela, through the</t>
  </si>
  <si>
    <t xml:space="preserve"> PURPOSE: FOR DES USE. NEW PURCHASE REQUEST. WITH SUPLEMENTAL APP 2020. FOR THE MONTH OF MAY 2020 TO AUGUST 2020 Fax your Price Quotation at Tel. Fax#: 426-30-45 / 927-64-26 local 2561 or Email at bacveterans@gmail.com. Please indicate the brand name and c</t>
  </si>
  <si>
    <t xml:space="preserve"> Republic of the Philippines					 PROVINCE OF SOUTHERN LEYTE					 Maasin City					 	Standard Form No.: SF-GOOD-60			 Project Reference No. 108	 	Revised on:  May 24, 2004			 Name of the Project:  _______	 	Standard Form Title:                              </t>
  </si>
  <si>
    <t xml:space="preserve"> CARLOS HILADO MEMORIAL STATE COLLEGE 		BIDS AND AWARDS COMMITTEE Talisay City, Negros Occidental Telefax Nos. (034) 712-8404 INVITATION TO BID  FOR THE PROCUREMENT OF VARIOUS EQUIPMENT AND FURNITURE AND FIXTURES FOR INSTRUCTIONAL USE OF BSHM – TALISAY CAM</t>
  </si>
  <si>
    <t xml:space="preserve"> 525	pcs	BALLPEN, BLACK				17	8,662.50 348	piece	BALLPEN, BLUE				16.5	5,742.00 46	pcs	BALLPEN, Needle Point 0.5 mm (Black)				97.1	4,466.60 40	pcs	BALLPEN, Needle Point 0.5 mm (Blue)				97.5	3,900.00 20	piece	BALLPEN, pilot Hi-Techpoint V10 Grip (Black)		</t>
  </si>
  <si>
    <t xml:space="preserve"> Republic of the Philippines City of Dapitan BIDS AND AWARDS COMMITTEE INVITATION TO BID June 15, 2020 	 The City Government of Dapitan, through its Bids and Awards Committee (BAC), invites interested parties to apply for eligibility and, if found eligible</t>
  </si>
  <si>
    <t xml:space="preserve"> PCC at CMU intend to apply an amount of 672,000 being the approved budget for the contract (ABC) under Skimmed Milk Powder for milk drinks with the following specifications:  96 bags Skimmed milk @ 25kg/bag MC= 3.6% - 3.9% Fat = 0.7% - 0.91% protein = 32%</t>
  </si>
  <si>
    <t xml:space="preserve"> PURPOSE: FOR DES USE. NEW PURCHASE REQUEST. FOR THE MONTH OF APRIL 2020 TO JUNE 2020 Fax your Price Quotation at Tel. Fax#: 426-30-45 / 927-64-26 local 2561 or Email at bacveterans@gmail.com. Please indicate the brand name and complete specifications.</t>
  </si>
  <si>
    <t xml:space="preserve"> Republic of the Philippines					 PROVINCE OF SOUTHERN LEYTE					 Maasin City					 	Standard Form No.: SF-GOOD-60			 Project Reference No. 109	 	Revised on:  May 24, 2004			 Name of the Project:  _______	 	Standard Form Title:                              </t>
  </si>
  <si>
    <t xml:space="preserve"> cleaning and dismantling installation of floor tiles installation of sink installation of laboratory tables installation of cabinet shelves provision of water line provision of sanitary line innovation of electrical connections additional convenience outl</t>
  </si>
  <si>
    <t xml:space="preserve"> 1	LOT	Speech Laboratory Equipment (25 seats)		 		"Product: Digital Speech/Language Laboratory Equipment (25 seats) Model: SL50NB Specifications:  1 unit control panel (switches for Phone and Microphones, REQ Technologies Broadcast Thrower, Speech Processo</t>
  </si>
  <si>
    <t xml:space="preserve"> Republic of the Philippines                       EASTERN VISAYAS STATE UNIVERSITY                                                                              Tacloban City                     										 BIDS AND AWARDS COMMITTEE INVITATION TO BID  SUPPL</t>
  </si>
  <si>
    <t xml:space="preserve"> 11 units</t>
  </si>
  <si>
    <t xml:space="preserve"> 4.20m x 3.70m</t>
  </si>
  <si>
    <t xml:space="preserve"> Procurement of materials for Proj Batang SES- Mahalin, Ingatan, Iligtas sa COVID 70% alcohol -500ml bottle                                                            9,600.00 Liquid hand soap 450ml                                                          </t>
  </si>
  <si>
    <t xml:space="preserve"> Republic of the Philippines							 Province of Iloilo							 MUNICIPALITY OF BINGAWAN							 							 							 REQUEST FOR QUOTATION							 							 Company Name: ______________________						Date: ___________________________	 Address: _______________________</t>
  </si>
  <si>
    <t xml:space="preserve"> Procurement of Cellular Load</t>
  </si>
  <si>
    <t xml:space="preserve"> Republic of the Philippines					 PROVINCE OF SOUTHERN LEYTE					 Maasin City					 	Standard Form No.: SF-GOOD-60			 Project Reference No. 	 	Revised on:  May 24, 2004			 Name of the Project:  _______	 	Standard Form Title:                                 </t>
  </si>
  <si>
    <t xml:space="preserve"> Republic of the Philippines					 PROVINCE OF SOUTHERN LEYTE					 Maasin City					 	Standard Form No.: SF-GOOD-60			 Project Reference No. 111	 	Revised on:  May 24, 2004			 Name of the Project:  _______	 	Standard Form Title:                              </t>
  </si>
  <si>
    <t xml:space="preserve"> Provision of Repar and Maintenance of PENRO-Quezon Office Building for CY-2020 to include the following  listed below:     1 set     ROLL UP DOOR (GROUND FLOOR)                 SIZE: 480 X 280 (MOTORIZED)     1 set     HEAVY DUTY SWING DOOR TO 2nd FLOOR  </t>
  </si>
  <si>
    <t xml:space="preserve"> 240 boxes Continuous form, 2 ply, 280 x 241mm, 11 x 9 1/2 1000 sheets per box</t>
  </si>
  <si>
    <t xml:space="preserve"> 30 boxes N95 Face mask 60 boxes Face mask 30 boxes Nitrile gloves (large) 30 boxes Gauze pad 10 packs Trauma dressing 10 packs Cotton balls 2 boxes Micropore tape 1 inch 1 box Povidone Iodine 120ml 1 box Blood glucose strips 1 box Glucometer strips 10 bot</t>
  </si>
  <si>
    <t xml:space="preserve"> 1. 18 tube Chlorine (45Kg) 2. 1 pc. Telescopic Handle (24 ft.) 3. 1 roll Vacuum Hose (50 ft) 4. 1 pc. Vacuum Head 5. 1 pc. Nylon Brush (18 inches w/ handle) 6. 20 gal. Muriatic Acid 7. 7 kg. Chlorine Tablet</t>
  </si>
  <si>
    <t xml:space="preserve"> Republic of the Philippines					 PROVINCE OF SOUTHERN LEYTE					 Maasin City					 	Standard Form No.: SF-GOOD-60			 Project Reference No. 113	 	Revised on:  May 24, 2004			 Name of the Project:  _______	 	Standard Form Title:                              </t>
  </si>
  <si>
    <t xml:space="preserve"> Republic of the Philippines					 PROVINCE OF SOUTHERN LEYTE					 Maasin City					 	Standard Form No.: SF-GOOD-60			 Project Reference No. 112	 	Revised on:  May 24, 2004			 Name of the Project:  _______	 	Standard Form Title:                              </t>
  </si>
  <si>
    <t xml:space="preserve"> OFFICE SUPPLIES MOOE 2020 2ND QUARTER- 82,943</t>
  </si>
  <si>
    <t xml:space="preserve"> 12 sets HOSPITAL BED MANUAL (3 CRANKS) complete accessories with Bedside Table</t>
  </si>
  <si>
    <t xml:space="preserve"> Republic of the Philippines  BIDS AND AWARDS COMMITTEE FOR THE PROCUREMENT OF GOODS City of Puerto Princesa Barangay Sta. Monica INVITATION TO BID (Procurement of Goods) PR No. 2020-06-023 Date: June 11, 2020 Procuring/Funding Office/Department: Barangay </t>
  </si>
  <si>
    <t xml:space="preserve"> 4,000 pcs printed ID 4,000 pcs ID Lace 4,000 pcs Id holder</t>
  </si>
  <si>
    <t xml:space="preserve"> 4	unit		Tires			700x15 for SDD-161					                4	unit		Tires			195x14 for SHA-195					                4	unit		Tires			235x70x15 for SHJ-232					                4	unit		Tires			195x15 for A4K-734					                4	unit		Tires			195x15 for A4H-8</t>
  </si>
  <si>
    <t xml:space="preserve"> INVITATION TO BID SUPPLY AND DELIVERY OF FUEL (DIESEL &amp; GASOLINE) FOR THE CITY ENGINEER’S OFFICE  1.	The Local Government Unit of Cabadbaran City through the GENERAL FUND intends to apply the sum of THREE HUNDRED SEVENTY-FIVE THOUSAND NINE HUNDRED PESOS O</t>
  </si>
  <si>
    <t xml:space="preserve"> 80	packs	Garbage bag(small)		 58	packs	Garbage bag(medium)		 100	packs	Garbage bag(large)		 10	pcs	Doormat		 100	bottles	Toilet Bowl Cleaner		 100	boxes	Bath Soap Green/Blue		 12	packs	Detergent Soap Powder(big)		 100	cans	Insect killer		 15	pcs	Tornado M</t>
  </si>
  <si>
    <t xml:space="preserve"> 1	set		Laptop			with Accessories (14inch HD/FHD display powered by up to core i7 processor, has 2 memory slots, which are expandable up to 32GB and coupled with up to 1TB HDD/512GB SSD Storage)				 1	pc		External Hard Drive			1TB 2.5"HDD, USB 3.0 1 unit		</t>
  </si>
  <si>
    <t xml:space="preserve"> STREETLIGHT SUPPLIES AND MATERIALS</t>
  </si>
  <si>
    <t xml:space="preserve"> Please quote your lowest price on item/s listed in the line item and submit your quotation duly signed by your authorized representative through email at bac.secretariat@pnu.edu.ph not later than June 22, 2020 @ 4PM. Note: 1. Delivery period within fiftee</t>
  </si>
  <si>
    <t xml:space="preserve"> MEDIA CONVERTER, CAMERA, FIBER OPTIC CABLE</t>
  </si>
  <si>
    <t xml:space="preserve"> NOTICE OF NEGOTIATED PROCUREMENT (Small Value Procurement) PNOC Exploration Corporation (PNOC EC), through its 2020 Corporate Budget, has an Approved Budget for the Contract (ABC) of  Sixty Four Thousand Pesos (Php64,000.00), inclusive of all applicable t</t>
  </si>
  <si>
    <t xml:space="preserve"> INVITATION TO BID SUPPLY AND DELIVERY OF 1,709 SETS GROCERY PACKS FOR PA-BIRTHDAY NI LOLO UG LOLA  1.	The Local Government Unit of Cabadbaran City through the GENERAL FUND intends to apply the sum of EIGHT HUNDRED ELEVEN THOUSAND SEVEN HUNDRED SEVENTY-FIV</t>
  </si>
  <si>
    <t xml:space="preserve"> 2	unit		Battery			9 plates for SDD161				 1	unit		Battery			11 plates for SHA-195				 1	unit		Battery			11 plates for SHJ-232				 1	unit		Battery			11 plates for A4K-734				 1	unit		Battery			11 plates for A4H-865				 1	unit		Battery			11 plates for A4H-8</t>
  </si>
  <si>
    <t xml:space="preserve"> Unit 	Item Description	QTY 		  kls 	TIE WIRE	1  bdft 	LUMBER 2X2X10	15  pcs 	plywood	2  bags 	Cement	20  pcs 	hollow blocks	200  pcs 	Tapelon	3  lenth 	Round Bar 10mm	12  pcs 	Tiles	40  pcs 	Faucet	8  length 	Blue pipe	8  pcs 	Elbow	10  load 	sand &amp; grave</t>
  </si>
  <si>
    <t xml:space="preserve"> INVITATION TO APPLY FOR ELIGIBILITY AND BID								 								 The  Municipality  of  Maasin,  Iloilo,  through  its  Bids  and  Awards  Committee (BAC),  invites  suppliers/								 distributors/ contractors to apply for eligibility and to bid for the here</t>
  </si>
  <si>
    <t xml:space="preserve"> SUPPLIES AND MATERIALS FOR IMPROVEMENT ROAD,SIDEWALK/PATHWAY &amp; REPLACEMENT MANHOLE COVER</t>
  </si>
  <si>
    <t xml:space="preserve"> 130 pages per minute print speed, 300 x 360 dpi print resolution, rubber feed rollers, with one (1) ink cartridge, one (1) master roll and pedestal/table with exclusive distributor  certificate</t>
  </si>
  <si>
    <t xml:space="preserve"> Republic of the Philippines DEPARTMENT OF PUBLIC WORKS AND HIGHWAYS ILOILO 1st  DISTRICT ENGINEERING OFFICE Fort San Pedro Road, Iloilo City INVITATION TO BID FOR: 20GGF0015 – Procurement  of Spare parts for use in printer INEO+227 of Administrative Secti</t>
  </si>
  <si>
    <t xml:space="preserve"> June 15, 2020 INVITATION TO BID FOR CONCRETING OF FARM-TO-MARKET ROAD AT SITIO PULO, BRGY. KABULUSAN, MAGALLANES, CAVITE The Municipality of Magallanes, Cavite, through the Budget for the Contract approved by the DILG through Performance Challenge Fund (P</t>
  </si>
  <si>
    <t xml:space="preserve"> 20HN0083 (Re-advertisement) -LP: Construction/Repair/ Rehabilitation/Improvement of  Various Infrastructure including Local Projects - Local Roads  and Bridges - Local Roads - Construction of Local Road,.Brgy.Sto. Nino Lamac, Consolacion, Cebu (Modified t</t>
  </si>
  <si>
    <t xml:space="preserve"> 1 - 7 units Heavy Duty Printer/Scanner                 Specifications:                 Wi-Fi Direct, ADF and FAX Ready,                  All-in-One Ink Tank Printer, Multi-function printer with integrated ink tanks for fast, cost-effective and            </t>
  </si>
  <si>
    <t xml:space="preserve"> SOLID WASTE</t>
  </si>
  <si>
    <t xml:space="preserve"> Request for Quotation                                                                          Date   :   O6- 15-2020_                                                                          Quotation No. :2020-006-001_ 									 Mode of Proc.:	shopping_</t>
  </si>
  <si>
    <t xml:space="preserve"> The Municipality of Limay, through its Bids and Awards Committee (BAC) invites registered contractors to apply for eligibility and if found eligible, to bid for the hereunder project/contract: Project/Contract:     CONSTRUCTION OF CONCRETE PEDESTAL FOR SO</t>
  </si>
  <si>
    <t xml:space="preserve"> INVITATION TO BID INSTALLATION OF STREET LIGHTS IN PUROK 1 AND 3, BARANGAY MAHABA 1.	The Local Government Unit of Cabadbaran City through the PEACE &amp; ORDER FUND (EO 70 ELCAC IMPLEMENTATION) intends to apply the sum of NINE HUNDRED EIGTHY-EIGTH THOUSAND FO</t>
  </si>
  <si>
    <t xml:space="preserve"> 1.	22 tanks - Solane</t>
  </si>
  <si>
    <t xml:space="preserve"> 20ID0075	Repair/ Rehabilitation of Damaged Concrete Pavement along Dulag-Julita-Burauen Road, K0946+000-K0947+500 with exceptions 	Concrete Reblocking  For 0.135 Km.	1,411,491.00	Routine Maintenance CY 2020	60 CD	5,000.00 To be eligible to bid for this Co</t>
  </si>
  <si>
    <t xml:space="preserve"> Location: PSU Goa campus Bidding Fee: P 3,000.00 (Non-refundable) Schedule of activities: 1. Issuance and availability of Bid Documents: June 16, 2020 until 12:00 noon of July 7, 2020  (except week-ends &amp; Holidays at the BAC Secretariat Office, PSU-Goa ca</t>
  </si>
  <si>
    <t xml:space="preserve"> 20ID0074	Concreting of Sitio Diyo to Sitio Kapitugan Brgy. Libo FMR,Brgy. Libo,Carigara,Leyte  	Concrete Paving for 1.400 Ln. Km.	11,879,669.71	FMR FY 2020	86 CD	25,000.00 To be eligible to bid for this Contract, a contractor must meet the following major</t>
  </si>
  <si>
    <t xml:space="preserve"> SUPPLIES AND MATERIALS FOR URBAN GREENING</t>
  </si>
  <si>
    <t xml:space="preserve"> Republic of the Philippines Province of Misamis Occidental Municipality of Plaridel INVITATION TO APPLY FOR ELIGIBILITY AND TO BID 	The Local Government Unit, LGU-Plaridel, Misamis Occidental, through its Bids and Awards Committee (BAC), invites suppliers</t>
  </si>
  <si>
    <t xml:space="preserve"> The works consist of (a.) Occupational and Health Program, (b.) Surplus Common Excavation, (c.) Structural Excavation (d) Embankment from Roadway Excavation, (e.) Sub-grade Preparation (f.) Aggregate Sub-Base Course, (g.) Portland cements Concrete Pavemen</t>
  </si>
  <si>
    <t xml:space="preserve"> RFQ-2020-169		 			 1.	50	units	DUAL-BAND WIFI Gigabit Router 			Broadcom 1.4GHz Dual-Core CPU, 5 Gigabit Ports, 			2167Mbps at 5GHZ + 1000Mbps at 2.4GHZ, 5 Gigabit Ports, 1 USB 3.0 			1 USB 2.0, 4 antennas, HomeCare, MU MIMO, Smart Connect, Beamforming, 	</t>
  </si>
  <si>
    <t xml:space="preserve"> PURCHASE OF OFFICE SUPPLIES</t>
  </si>
  <si>
    <t xml:space="preserve"> Unit 	Item Description	QTY 		 load	Gravel and Sand	3 sack	Cement	21 pc	Corrugated bar (8mm)	25 gal	Latex Paint (White)	15 gal	Enamel Paint (White)	15 can	Tinting Colors	70 pc	Paint Brush  # 4	5 kl.	Tie Wire	2  load 	  Sand &amp; Gravel	2  pax 	Labor Package	1</t>
  </si>
  <si>
    <t xml:space="preserve"> The Municipality of Limay, through its Bids and Awards Committee (BAC) invites registered contractors to apply for eligibility and if found eligible, to bid for the hereunder project/contract: Project/Contract:     REPAIR WORKS AT SAINT FRANCIS NATIONAL H</t>
  </si>
  <si>
    <t xml:space="preserve"> Republic of the Philippines DEPARTMENT OF PUBLIC WORKS AND HIGHWAYS ILOILO 1st  DISTRICT ENGINEERING OFFICE Fort San Pedro Road, Iloilo City INVITATION TO BID FOR: 20GGF0016 – Procurement  of Global Navigation Satellite System (GNSS) Equipment (1 base, 2 </t>
  </si>
  <si>
    <t xml:space="preserve"> purchase request</t>
  </si>
  <si>
    <t xml:space="preserve"> HMD-2020-02-0115 (Re-canvass) Early Warning Device for car color: bright red 2 set Hard Hat, Heavy Duty, color: white, adjustable size 10 piece range: 52-61 cm Heavy Duty Gloves, cowhide grain leather, rigger's 10 piece gloves Safety Clothing, Pants and R</t>
  </si>
  <si>
    <t xml:space="preserve"> Service Fees of Various Basketball Officials ( Referees, Table Officials, Barker,etc.) for 2019-2020 1st Inter-Barangay Basketball Tournament</t>
  </si>
  <si>
    <t xml:space="preserve"> Department of Education Region VI-Western Visayas Cadiz City Alimatoc Elementary School Invitation to Bid for the Repair of School Stage of Alimatoc Elementary School 1.	The Alimatoc Elementary School, through the School’s MOOE 2020  intends to apply the </t>
  </si>
  <si>
    <t xml:space="preserve"> The Local Government Unit-Municipality of Malinao, Aklan through the Bids and Awards Committee, intends to apply the sum of Eighty Eight Thousand Two Hundred Forty Four Pesos and 80/100 (Php88,244.80) as the Approved Budget for the Contract (ABC) to payme</t>
  </si>
  <si>
    <t xml:space="preserve"> ITEM NO.	QTY.	UNIT	ITEMS &amp; DESCRIPTION	 				 1	1	unit	Aircondition Split Type Inverter 2.5HP	 			KV-24Wm-Arf 21B 2.5HP	 			Inverter Split Type aircon	 				 2	1	l.s	Installation</t>
  </si>
  <si>
    <t xml:space="preserve"> R/M SPAREPART OF BARANGAY VEHICLES</t>
  </si>
  <si>
    <t xml:space="preserve"> 1.Barangay #6, Municipality of Amadeo through its AIP, intends to apply the sum of Php 49,500.00 being the Approved Budget Ceiling for the MAINTENANCE OF CCTV @ POBLACION #6, AMADEO, CAVITE 2. BAC of Barangay #6, Amadeo, Cavite now invites interested supp</t>
  </si>
  <si>
    <t xml:space="preserve"> EPSON PRINTER L120 EPSON L120 INK, BLACK EPSON L120 INK, MAGENTA EPSON L120 INK, CYAN EPSON L120 INK, YELLOW</t>
  </si>
  <si>
    <t xml:space="preserve"> Republic of the Philippines Province of Ilocos Norte Municipality of Paoay BARANGAY 12 SAN BLAS  BIDS AND AWARDS COMMITTEE INVITATION TO BID 2020-001 Invitation to bid for the Purchase of Materials for the Installation and Rehabilitation of street lightin</t>
  </si>
  <si>
    <t xml:space="preserve"> please see attached RFQ</t>
  </si>
  <si>
    <t xml:space="preserve"> R/M FOR OFFICE BUILDING SUPPLIES AND MATERIALS</t>
  </si>
  <si>
    <t xml:space="preserve"> Unit 	Item Description	Quantity 		  pcs 	Culvert	4  length 	Stainless Pipe #2	2  Unit  	Electrical Motor	1  pcs 	Fabricated Aluminum Letters A4 size	25  pcs 	Tiles 12x12	24  bdft 	Lumber 2x2 8	80  bundle 	Lumber Stick	5  pcs 	Plywood ordinary	6  kls 	Comm</t>
  </si>
  <si>
    <t xml:space="preserve"> Republic of the Philippines Province of Zamboanga del Sur MUNICIPALITY OF LAKE WOOD BIDS AND AWARDS COMMITTEE Invitation to Bid for Procurement of Construction of 105 meters Dona Josefina H. Cerilles Ave. Phase 11 in this Municipality 1.	The Local Governm</t>
  </si>
  <si>
    <t xml:space="preserve"> RESOLUTION ON PRIOR APPROVAL NO. 06-61                   Series of 2020 	 RESOLUTION RECOMMENDING THE USE OF ALTERNATIVE METHOD OF PROCUREMENT FOR  THE ACQUISITION OF GOODS AND SERVICES WHEREAS, various departments/offices submitted Purchase Requests with</t>
  </si>
  <si>
    <t xml:space="preserve"> 1	set		Thermal Camera	Specs and Package				 						                                                 Image Sensor: Uncooled Vox Focal Plane Detector				 						Resolution: 300(H) x 400(V)				 						Optical Resolution: 1920(H) x 1080 (V), 2MP				 						Pixel </t>
  </si>
  <si>
    <t xml:space="preserve"> PLEASE SEE ATTACHED DOCUMENT FOR DETAILS.</t>
  </si>
  <si>
    <t xml:space="preserve"> Republic of the Philippines PROVINCE OF SOUTHERN LEYTE Maasin City Invitation to Bid for the Procurement of Various Office Supplies  Contract ID # 2020-07-07-363PG 1.	The Provincial Government of Southern Leyte through the PAGSO– Office Supplies Expenses </t>
  </si>
  <si>
    <t xml:space="preserve"> Republic of the Philippines Province of Pangasinan Bids and Awards Committee Municipality of Calasiao INVITATION TO BID  REPAIR/MAINTENANCE OF MACHINERIES AND EQUIPMENT AT CALASIAO, PANGASINAN 1.	The Municipality of Calasiao, through the Annual Budget 202</t>
  </si>
  <si>
    <t xml:space="preserve"> REPUBLIC OF THE PHILIPPINES								 PROVINCE OF DAVAO DEL SUR								 MUNICIPALITY OF PADADA								 								 								 Standard Form Number : SF - GOOD -60								 Revised on: May 24, 2004								 Standard Form Tittle : REQUEST FOR QUOTATION						Date :		</t>
  </si>
  <si>
    <t xml:space="preserve"> RFQ2020-06-0918 Category	Item No.	QTY	Unit of Issue	Item Description	Stock No. / APP NO	Estimated Unit Cost	Estimated Cost Construction Materials and Supplies		150	piece	Doorknob, Heavy Duty		390	58,500.00 Total Cost :			58,500.00 ------------------------</t>
  </si>
  <si>
    <t xml:space="preserve"> REFER TO ATTACHED ITB NO. 010 OF 2020</t>
  </si>
  <si>
    <t xml:space="preserve"> PCC at CMU intend to apply an amount of 351,000 as the approved budget for the contract (ABC) under Premium Cocoa Powder for milk drinks with the following specifications: 27 Bags @ 25 kgs/bag MC = 4% fat = 20% - 22% Fineness = 99% Chocolate brown in colo</t>
  </si>
  <si>
    <t xml:space="preserve"> Labor and materials for drilling 50 ft water well for the campus water system as per attached Request for Quotation.</t>
  </si>
  <si>
    <t xml:space="preserve"> ITEM NO.	QTY.	UNIT	ITEMS &amp; DESCRIPTION	 				 1	2	units	Motorcycle (Supremo)	 			Specifications:	 			Frame: Backbone	 			TransmissionType: Manual 5-Speed Constant Mesh	 			Ignition Type: DC-CDI	 			Fuel Capacity (L): 14.3 liters	 			Engine Type: 4 stroke. </t>
  </si>
  <si>
    <t xml:space="preserve"> PVC Pipe 2 "X 10"	2	 pcs PVC P. Trap 2"	7	 pcs PVC WYE 2"	1	 pc PVC Elbow 2" X 90°	5	 pcs PVC Clean out	1	 pc PVC Elbow 2" X 45°	3	 pcs PVC TEE 2"	3	 pcs PVC Pipe 4"X 10	5	 pcs PVC Elbow 4" x 90°	13	 pcs PVC Elbow 4" X 45°	5	 pcs PVC TEE 4" X 4"	2	 pcs PV</t>
  </si>
  <si>
    <t xml:space="preserve"> One (1) Job Contract Furnishing Materials</t>
  </si>
  <si>
    <t xml:space="preserve"> Lenovo Ideapad S145-151KB (81VD008LPH+ 1TB Internal) 15.6" Intel Core i3-7020U 2.3GHz 4GB RAM 512GB SSd+ 1TB 2.5"</t>
  </si>
  <si>
    <t xml:space="preserve"> PR No.   :					 Approved Budget for Contract (ABC)   :PHP 73,920.00					 QTY	UNIT	ITEM/S DESCRIPTION		UNIT PRICE	TOTAL PRICE 84	sample	Analysis of Water Samples*			 		Parameter: Hexavalent Chromium Cr(VI)			 		Sample Volume: 30-50 mL			 		Turn-around time</t>
  </si>
  <si>
    <t xml:space="preserve"> FOR DISINFECTANT FOR NCOV PREVENTION OF THE VARIOUS OFFICES</t>
  </si>
  <si>
    <t xml:space="preserve"> Ink for Epson L1455, for three units Epson Printer 180 cart Cyan 180 cart Magenta 180 cart Yellow 180 cart Black -with free used of printers -see attached RFQ Form</t>
  </si>
  <si>
    <t xml:space="preserve"> RFQ2020-06-0917 Category	Item No.	QTY	Unit of Issue	Item Description	Stock No. / APP NO	Estimated Unit Cost	Estimated Cost Medical Supplies and Instrument		1000	box	Gloves, Clean Large Size, natural rubber latex, smooth surface, beaded cuff, high strength</t>
  </si>
  <si>
    <t xml:space="preserve"> please see the attached RFQ</t>
  </si>
  <si>
    <t xml:space="preserve"> RFQ (20-06-059) Various Laboratory Supplies and Reagents</t>
  </si>
  <si>
    <t xml:space="preserve"> Procurement of assorted navigation equipment under the Hybrid Trimaran Project as per attached Request for Quotation.</t>
  </si>
  <si>
    <t xml:space="preserve"> Supply and Delivery of 1 Lot Premium Rice and others</t>
  </si>
  <si>
    <t xml:space="preserve"> Rhode Island Native Red-Rooster (ready to breed) Philippine Native Chicken-hen(ready to lay) Muscovy Duck-Drake (ready to breed) Muscovy Duck-Hen (ready to lay) Purpose: Stocks for the Corn-Livestock Integration Project in Quirino Province. Please see att</t>
  </si>
  <si>
    <t xml:space="preserve"> Food for working committee / researchers and staff Pack Meals (15 pax X 21 days x P 150.00 each) = P 47,250.00	15	pax Snacks (AM) (15 pax X 21 days X P 50.00 each) = P 15,750.00	15	pax Snacks (PM) (15 pax X 21 days X P 50.00 each) = P 15,750.00	15	pax</t>
  </si>
  <si>
    <t xml:space="preserve"> Republic of the Philippines Local Government Unit of Tinambac, Camarines Sur Municipal Compound, Binalay, Tinambac, Camarines Sur Standard Form Number: SF-GOOD-05 Revised on: July 28, 2004 INVITATION TO APPLY FOR ELIGIBILITY AND TO BID The Local Governmen</t>
  </si>
  <si>
    <t xml:space="preserve"> a) 80 pcs Water Meters</t>
  </si>
  <si>
    <t xml:space="preserve"> REFER TO ATTACHED ITB NO. 011 OF 2020</t>
  </si>
  <si>
    <t xml:space="preserve"> Supply and Delivery of Supplies for the HRM Laboratory of SDSSU Tagbina Campus Please see attached Request for Quotation (RFQ)</t>
  </si>
  <si>
    <t xml:space="preserve"> Furnishing Security Services for 6 Security Guards for the period covering July 1, 2020 to December 31, 2020 with the following assignments: 1) PhilFIDA - Regional Office, Legazpi City - 2 security guards with 12 hours a day duty per guard 2) PhillFIDA - </t>
  </si>
  <si>
    <t xml:space="preserve"> SEEDS		 Ampalaya	100	sacks Eggplant	100	sacks Pepper (sili espada)	100	sacks Bell Pepper	100	sacks Upo	100	sacks Okra	100	sacks Pole Sitao	100	sacks Tomato	100	sacks Upland Kangkong	100	sacks Patola	100	sacks Pechay	100	sacks</t>
  </si>
  <si>
    <t xml:space="preserve"> For use of Dagupan City National High School. (Wash Area)</t>
  </si>
  <si>
    <t xml:space="preserve"> Republic of the Philippines Province of Guimaras OFFICE OF THE BIDS AND AWARDS COMMITTEE INVITATION TO BID FOR    SUPPLY AND DELIVERY OF OUTER TIRE WITH INNER TUBE AND FLAP Bid Ref. No. 2020-06-339 1.	The Province of Guimaras , through the Repair and Main</t>
  </si>
  <si>
    <t xml:space="preserve"> Installation of 3-phase primary line extension with transformer and electrical accessories</t>
  </si>
  <si>
    <t xml:space="preserve"> Procurement of assorted CCTV equipment and accessories under the Hybrid Trimaran Project as per attached Request for Quotation.</t>
  </si>
  <si>
    <t xml:space="preserve"> Republic of the Philippines Province of Davao Del Sur Municipality of Padada INVITATION TO BID June 15, 2020 PURCHASE OF VARIOUS SUPPLIES FOR THE BPAT’S OF LGU PADADA  1.	The Local Government Unit of Padada, Davao Del Sur, Chargeable against the Peace and</t>
  </si>
  <si>
    <t xml:space="preserve"> Republic of the Philippines Province of Nueva Vizcaya BIDS AND AWARDS COMMITTEE (BAC-Goods) BAC OFFICE, Provincial Capitol, Bayombong, Nueva Vizcaya 	 REQUEST FOR QUOTATION (RFQ)  For the Procurement 1 Lot Digital VHF Base Radio (20 units) For the Governo</t>
  </si>
  <si>
    <t xml:space="preserve"> OPERATING System: Windows 10 Processor Type: 3rd Generation Processor Base Frequency: 2.3 GHz Memory Capacity: 4 GB Memory Type: DDR4 Max Supported Memory: 32 GB Drive Configuration: 200 GB SSD + 1 TB HDD Dedicated Graphics: Yes Video Ports: 1xHDMI Audio </t>
  </si>
  <si>
    <t xml:space="preserve"> Bonding Agent, 3 grams	8	tube Car Freshener 32 grams	10	can Clog Remover 500ml	2	gal Contact Cleaner 311 grams	6	pc First Aid Kit (high end)	2	set Glass Cleaner 22 oz	3	btl Multi Purpose Cleaner (high end)	3	can Rat Killer 100 grams	2	pouch Rugby 331ml	2	</t>
  </si>
  <si>
    <t xml:space="preserve"> REFER TO ATTACHED ITB NO. 012 OF 2020</t>
  </si>
  <si>
    <t xml:space="preserve"> 30	boxes	surgical facemask 120	pcs	reusable facemask 120	pcs	face shield 4	pcs	disinfecting fog machine  1	pc	portable sink 24	packs	germ protection soap 3x130grams 30	pcs	1x1x10 good lumber 5	rolls	plastic cover gauge no. 10 1	pc	tucker gun 15	rolls	pack</t>
  </si>
  <si>
    <t xml:space="preserve"> INVITATION TO APPLY FOR ELIGIBILITY AND TO BID FOR THE CONCRETING OF BURGOS – QUIRINO PROVINCIAL ROAD @ BURGOS, ISABELA DESCRIPTION OF WORK 101	(3) a2.  REMOVAL OF ACTUAL STRUCTURES/ OBSTRUCTION - 5429 SQ. M.	 105.  SUB GRADE PREPERATION - 8099 SQ. M.	 20</t>
  </si>
  <si>
    <t xml:space="preserve"> REQUEST FOR QUOTATION Date	:	June 11, 2020 Project Title	:	Two (2) Lots Supply and Delivery of Stock Office Supplies ITB No.             	:	SV20-06-003ILO Approved Budget for the Contract (ABC)	:	One Hundred Fifty Five Thousand Five Hundred Fifteen Pesos </t>
  </si>
  <si>
    <t xml:space="preserve"> delivery of equipment</t>
  </si>
  <si>
    <t xml:space="preserve"> PLEASE SEE ATTACHED AND DOWNLOAD THE DOCUMENT</t>
  </si>
  <si>
    <t xml:space="preserve"> Stock No.:	Unit	Item Description				                    Quantity	Unit Cost	         Total Cost 1	pc.	IP Radio				                                                 4	         13,000.00 	 52,000.00  		     - Operating Frequency : 5150 - 5875 MHz						 		    </t>
  </si>
  <si>
    <t xml:space="preserve"> 1.	The Local Government Unit of Baleno, Masbate, through the 2020 Economic Development Fund intends to apply the sum of Two Million Nine Hundred Fifty-nine Thousand Eight Hundred Forty-seven Pesos &amp; 63/100 (P 2,959,847.63 ) being the Approved Budget for t</t>
  </si>
  <si>
    <t xml:space="preserve"> Republic of the Philippines PROVINCE OF SOUTHERN LEYTE Maasin City Invitation to Bid for the Procurement of Various IT Supplies   Contract ID # 2020-07-07-364PG 1.	The Provincial Government of Southern Leyte through the ADH – Other Supplies and Materials </t>
  </si>
  <si>
    <t xml:space="preserve"> RFQ (20-06-031) Various Information Technology Supplies</t>
  </si>
  <si>
    <t xml:space="preserve"> Republic of the Philippines						 	Cordillera Administrative Region						 	Provincial Local Government Unit of Ifugao						 	BIDS AND AWARDS COMMITTEE ON GOODS						 	2nd Floor COA Bldg., Capitol Compound						 	Lagawe, Ifugao						 	Email Ad.: bacgoodsif</t>
  </si>
  <si>
    <t xml:space="preserve"> 1.	Repair and rehabilitation of pole mast with additional guying, rust treatment, repainting, replacement of damaged guy clips, steps, and grounding (Agoo), 1 set 2.	Repair and rehabilitation of pole mast with additional guying, rust treatment, repainting</t>
  </si>
  <si>
    <t xml:space="preserve"> REQUEST FOR QUOTATION							 							 PR No.:	20-06-063		RFQ No.:		NIAREG9-06-2020-FUND501LFPS-077 (SH)		 PR. Date:	June 03, 2020		RFQ Date:		June 15, 2020		 End-User:	NIA-ZDN RSO		PhilGEPS Reference No.:				 ABC:	99,000.00		PhilGEPS Closing Date:		June 19</t>
  </si>
  <si>
    <t xml:space="preserve"> Inks ( for second-quarter consumption) HPCE Toner 85A - 2pcs HP 61 Black-10pcs HP 678 Black - 15pcs HP 678 Colored- 15pcs HP 704 Black - 9pcs HP 704 Colored - 9pcs Epson 664 Black - 3pcs BT6000 Black - 5pcs BT5000 Yellow - 2pcs BT5000 Cyan - 3pcs BT5000 M</t>
  </si>
  <si>
    <t xml:space="preserve"> To provide materials for the Improvement of Poultry House for Native Chicken at DA-QES, Dungo, Aglipay, Quirino. Please see attached file.</t>
  </si>
  <si>
    <t xml:space="preserve"> 10	 reams 	folder, tagboard, for legal size docs			 250	 pcs 	pencil, leadHB			 50	 pcs 	sign pen, black			 50	 pcs 	sign pen, blue			 10	 bot 	riso ink kz30			 10	 roll 	master roll kz30			 15	 bot 	epson L3110  ink 70 ml cyan			 15	 bot 	epson L3110  in</t>
  </si>
  <si>
    <t xml:space="preserve"> Republic of the Philippines Province of Camarines Norte MUNICIPALITY OF VINZONS BIDS AND AWARDS COMMITTEE (BAC) (Tel. # 446-63-09) INVITATION TO BID 	 Invitation to Bid for: REHABILITATION OF BREAKWATER PHASE I (SABANG)  1.	The Local Government Unit of Vi</t>
  </si>
  <si>
    <t xml:space="preserve"> Republic of the Philippines PROVINCE OF SOUTHERN LEYTE Maasin City Invitation to Bid for the Procurement of Various Catering Services  Contract ID # 2020-07-07-365PG 1.	The Provincial Government of Southern Leyte through the OVG/OSP – Other Maintenance an</t>
  </si>
  <si>
    <t xml:space="preserve"> INVITATION TO APPLY FOR ELIGIBILITY AND TO BID FOR THE CONSTRUCTION OF EVACUATION CENTER (COMPLETION) @ MUNICIPAL COMPOUND, BURGOS, ISABELA DESCRIPTION OF WORK I.	GENERAL REQUIREMENTS - 1.00 lot	 II.	CEILING WORKS - 288.00 sq.m.	 III.	STEEL WORKS - 1.00 l</t>
  </si>
  <si>
    <t xml:space="preserve"> pcs	Flyers,on  "Free Range Chickens"			5000 	A4 size 3 folds C2s 80			 	back to back print full color			 pcs	Pamphlet			200 	8.5 x 11			 	14 pages inc. cover			 	C2s 80 inside			 	C2S 220 cover</t>
  </si>
  <si>
    <t xml:space="preserve"> IMPROVEMENT OF BARANGAY ROAD LOACTED AT SUNRISE VILLAGE, STO. NIÑO , BALOLAO &amp; CALANASAN ROAD</t>
  </si>
  <si>
    <t xml:space="preserve"> Interested Suppliers are invited to submit Sealed Price Quotations for the above listed items. The Official Department of Health Drug Abuse Treatment and Rehabilitation Center Request for Quotation Forms may be obtained from Ms. SUSAN P. DELA CRUZ Head of</t>
  </si>
  <si>
    <t xml:space="preserve"> Procurement of supply and delivery of arm sleeve and paddy boots 50	pair	Arm Sleeves 	 Paddy boots 10	pair	Size 9 15	pair	Size 10 10	pair	Size 11 PR# 2020-936</t>
  </si>
  <si>
    <t xml:space="preserve"> FOOD GLOVES, CELLOPHANE N95 MASK LIQUID SOAP, 500ML</t>
  </si>
  <si>
    <t xml:space="preserve"> 11		GAL.	FLAT WALL ENAMEL 20		PC.	BABY ROLLER, FOAM # 4" 30		GAL.	QUICK DRY ENAMEL 10		GAL.	CAST 30		GAL.	FLAT LATEX 30		GAL.	SEMI-GLOSS LATEX 30		PC.	BABY ROLLER, COTTON # 4  20		PC.	PAINT BRUSH # 2 1/2 40		PC.	SAND PAPER # 120 5		KG	BORAL 5		SHEET	SAND </t>
  </si>
  <si>
    <t xml:space="preserve"> RFQ (20-06-054) Oxygen</t>
  </si>
  <si>
    <t xml:space="preserve"> RESCUE VEHICLE Body Type- FX Type Wheelbase- 3,085 Engine Type- 4-Cylinder; 16 valve 2.4  Displacement -2,393cc Maximum Output- 147hp/ 3,400rpm Maximum Torque- 343 Nm/2,800rpm Transmission- MANUAL Fuel Type- Diesel Color- White With Blinker, Siren &amp; Ambul</t>
  </si>
  <si>
    <t xml:space="preserve"> Republic of the Philippines												 REGION IX      												 PROVINCE OF ZAMBOANGA DEL SUR												 Pagadian City     												 BIDS AND AWARDS COMMITTEE  												 Provincial Capitol, Pagadian City												 												 INVITATION FOR </t>
  </si>
  <si>
    <t xml:space="preserve"> Please find attach quotation</t>
  </si>
  <si>
    <t xml:space="preserve"> 1	lot job 	Repair &amp; Materials of COA Service Vehicle: 1.	2	piece	Tie Rod - Inner 2.	2	piece	Tie Rod - Outer 3.	2	piece	Upper Ball Joint 4.	2	piece	Lower Ball Joint 5.	4	piece	Upper Arm Bushing 6.	4	piece	Press Job 7.	2	piece	Stabilizer Link-Front 8.	2	pie</t>
  </si>
  <si>
    <t xml:space="preserve"> Republic of the Philippines Province of Nueva Vizcaya BIDS AND AWARDS COMMITTEE (BAC-Goods) BAC OFFICE, Provincial Capitol, Bayombong, Nueva Vizcaya 	 REQUEST FOR QUOTATION (RFQ)  For the Procurement 1 unit ADF High Speed Scanner For the Governor’s Office</t>
  </si>
  <si>
    <t xml:space="preserve"> Republic of the Philippines Province of Nueva Vizcaya BIDS AND AWARDS COMMITTEE (BAC-Goods) BAC OFFICE, Provincial Capitol, Bayombong, Nueva Vizcaya 	 REQUEST FOR QUOTATION (RFQ)  For the Procurement of Desktop Computer, Laptop &amp; Scanner For the Nueva Viz</t>
  </si>
  <si>
    <t xml:space="preserve"> CULTURAL ACTIVITY OF BARANGAY SAN JAOQUIN</t>
  </si>
  <si>
    <t xml:space="preserve"> 1. PC Desktop, Processor: Intel Core 17 2600, 3.4Ghz, 8M cache, RAM memory total :8GB, Hard Drive: 2TB, OS: Windows 10, Monitor, 22 inch LCD DVD: recordable (with DVD playback &amp; burner software), Keyboard: Full size-US english, Pointing device: Optical mo</t>
  </si>
  <si>
    <t xml:space="preserve"> 35 trucks/loads screened mixed</t>
  </si>
  <si>
    <t xml:space="preserve"> We are looking for a supplier for Gabion, please see attached documents for the specification and complete description.  Please submit your original quotations on or before closing date in sealed envelope, and /or e-mailed together with your Business Perm</t>
  </si>
  <si>
    <t xml:space="preserve"> OPENING OF BIDS IN DSWD FO IX ZAMBOANGA CITY	 DELIVERY IN DSWD FO IX ZC	 PROCUREMENT FOR THE FF.	 1 LOT SUPPLIES 24	can	AIR FRESHENER, aerosol, 280ml/150g min, in can, shrink wrapped, assorted scents 30	gal	"ALCOHOL, ethyl, 68%-70%, scented, 500 ml, color</t>
  </si>
  <si>
    <t xml:space="preserve"> 1	unit	Submersible Pump and Motor 		Motor: 20Hp, 230V, 3phase, 60hz 		Pump Model: S8S - 475 - 2 		Heavy Duty, Stainless Steel</t>
  </si>
  <si>
    <t xml:space="preserve"> Shopping . . . .</t>
  </si>
  <si>
    <t xml:space="preserve"> Shopping. . .</t>
  </si>
  <si>
    <t xml:space="preserve"> 1500	heads	Layer Chicks		 		***nothing follows***</t>
  </si>
  <si>
    <t xml:space="preserve"> Republic of the Philippines Province of Camarines Norte MUNICIPALITY OF VINZONS BIDS AND AWARDS COMMITTEE (BAC) (Tel. # 446-63-09) INVITATION TO BID 	 Invitation to Bid for: REHABILITATION OF PUBLIC MARKET – POBLACION I, VINZONS, CAM. NORTE  1.	The Local </t>
  </si>
  <si>
    <t xml:space="preserve"> for office use</t>
  </si>
  <si>
    <t xml:space="preserve"> 22 pieces Corrugated Steel Sheet 12 ft 4 pieces Corrugated Steel Sheet 10 ft 20 pieces Corrugated Steel Sheet 8 ft 16 pieces Hardiflex Sanipa 12x8 ft 12 pieces Ridge Roll 2 boxes Texscrew 3" 1 kilo Concrete Nail 3" 3 kilos CWN 3" 3 kilos CWN 2" 1 kilo CWN</t>
  </si>
  <si>
    <t xml:space="preserve"> INVITATION TO BID FOR THE INSTALLATION OF FIBER GLASS BOARD AND LIGHTING OF BASKETBALL COURT OF BARANGAY BAG-ONG KAUSWAGAN, TAMBULIG, ZAMBOANGA DEL SUR 1.	The BLGU  of Barangay Bag-ong Kauswagan, Tambulig Zamboanga del Sur now invites bid for INSTALLATION</t>
  </si>
  <si>
    <t xml:space="preserve"> Please see attached document...</t>
  </si>
  <si>
    <t xml:space="preserve"> delivery of 6set</t>
  </si>
  <si>
    <t xml:space="preserve"> Republic of the Philippines Province of Camarines Norte MUNICIPALITY OF VINZONS BIDS AND AWARDS COMMITTEE (BAC) (Tel. # 446-63-09) 	 INVITATION TO BID FOR: PURCHASE/DELIVERY OF 1 UNIT BACKHOE 1.	The Local Government Unit of Vinzons through the MDRRMF – CA</t>
  </si>
  <si>
    <t xml:space="preserve"> Furnish of s units printer scanner/copier, long bond capable, 7 units printer, 1 unit printer A3 capable</t>
  </si>
  <si>
    <t xml:space="preserve"> CELEBRATION OF WOMEN'S MONTH 2020</t>
  </si>
  <si>
    <t xml:space="preserve"> Republic of the Philippines Province of Nueva Vizcaya BIDS AND AWARDS COMMITTEE (BAC-Goods) BAC OFFICE, Provincial Capitol, Bayombong, Nueva Vizcaya 	 2ND REQUEST FOR QUOTATION (RFQ)  For the Procurement of Desktop Computer, Laptop &amp; Scanner For Provincia</t>
  </si>
  <si>
    <t xml:space="preserve"> FOR WO-0620-001: SLOPE STABILIZATION PROJECT AT LAPAAN WATERSHED AREA REFER TO ATTACHED FILE.</t>
  </si>
  <si>
    <t xml:space="preserve"> INVITATION FOR SUBMISSION OF QUOTATION (SMALL VALUE PROCUREMENT) 	The local Government Unit of Can-avid, through is Bid and Awards Committee (BAC). Invites suppliers to apply for eligibility, to bid for the hereunder contract: Name of Contract:  	Maintena</t>
  </si>
  <si>
    <t xml:space="preserve"> Republic of the Philippines											 Province of Occidental Mindoro											 Mamburao, Occidental Mindoro											 REQUEST FOR QUOTATION											 Date of Posting:	June 18, 2020					Ref. No.		363-2020 RFQ			 						PR No.					 											 The Provin</t>
  </si>
  <si>
    <t xml:space="preserve"> This project entails for the construction of 1m x 210m x 0.10m concrete pathway at Purok 1,4,6 at Brgy. Sta. Elena, Magallanes, Sorsogon.</t>
  </si>
  <si>
    <t xml:space="preserve"> •	Desktop Computer     -      4 Units         A6 7480; 3.0GHz; 8GB RAM; 1TB HDD         ATI RADEON; 700W PSU; 18.5” Led Monitor;         Keyboard, Mouse, Speaker    •	Printer Brother T710W   -    3 Units         Print/Scan/Copy        •	Uninterruptible Po</t>
  </si>
  <si>
    <t xml:space="preserve"> 431 Bags Cement 21 cu.m. Sand 42 cu.m. Gravel 485 pcs. 10mm Ø def. bars 40 pcs. Marine Plywood ¼” 2 pcs. Marine Plywood ½” 2000 bdft. 500-2” x 3” x 8’ Coco Lumber 20 kls. C.W. Nails #4” 3 kls. C.W. Nails #3” 5 kls. C.W. Nails #11/2” 30 kls. Tie Wire #16 1</t>
  </si>
  <si>
    <t xml:space="preserve"> Republic of the Philippines DEPARTMENT OF PUBLIC WORKS AND HIGHWAYS OFFICE OF THE DISTRICT ENGINEER Aklan District Engineering Office Toting Reyes St., Kalibo, Aklan The Department of Public Works and Highways (DPWH), Aklan District EngineeringOffice, Kal</t>
  </si>
  <si>
    <t xml:space="preserve"> RFQ-2020-170		 			 1.	100	kls.	Odoriser 1.	146	gallon	Wipe out 			 	Deadline for Submission of Bids: June 22, 2020, 11:00 AM		 			PAYMENT TERM: 90 DAYS</t>
  </si>
  <si>
    <t xml:space="preserve"> CONSTRUCTION MATERIALS</t>
  </si>
  <si>
    <t xml:space="preserve"> Republic of the Philippines											 Province of Occidental Mindoro											 Mamburao, Occidental Mindoro											 REQUEST FOR QUOTATION											 Date of Posting:	June 15, 2020					Ref. No.		RN 364-2020			 						PR No.					 											 The Provinc</t>
  </si>
  <si>
    <t xml:space="preserve"> Hydrogen Gas 75 tank For PAGASA TUGUEGARAO Upper Air Station  x-x-x-x-x-x-x-x-x-x-x-x-x-x-x-x-x Total ABC  (in PhP) 225,000.00</t>
  </si>
  <si>
    <t xml:space="preserve"> For the Research.</t>
  </si>
  <si>
    <t xml:space="preserve"> PURCHASE OF OFFICE SUPPLIES FOR THE USE OF BARANGAY STAFF</t>
  </si>
  <si>
    <t xml:space="preserve"> Please quote your lowest price for the item: ABC:  75,000.00 1. Airconditioning Unit - 1 unit          Split-Type, Inverter, 2.5 HP    Includes delivery and installation</t>
  </si>
  <si>
    <t xml:space="preserve"> 1	copy	Wireless information and power transfer, thoery and practice by Ng c2019 1	copy	Discrete mathematics with applications metric version by Epp c2020 1	copy	Professional andriod 4E by Meier c2018 1	copy	Essentials of contemporary management by Jones c</t>
  </si>
  <si>
    <t xml:space="preserve"> REQUEST FOR QUOTATION RFQ No. 2020-0236 The CITY GOVERNMENT OF CABANATUAN through its Bid and Awards Committee (BAC), will undertake Small Value Procurement for the SUPPLY AND DELIVERY OF OFFICE SUPPLIES in accordance with Section 53.9 of the Revised Impl</t>
  </si>
  <si>
    <t xml:space="preserve"> TO BE USED FOR THE REPAIR OF 1 UNIT SENIOR HIGH SCHOOL PRINTER FOR THE PRINTING OF HAND-OUTS, DAILY LESSON LOGS, SCHOOL FORMS AND LEARNING MODULES FOR THE SHS STUDENTS.</t>
  </si>
  <si>
    <t xml:space="preserve"> CELLULAR PHONE</t>
  </si>
  <si>
    <t xml:space="preserve"> The Local  Government   Unit  of General  Santos  City, through  the  GENERAL FUND CY 2020  intends  to apply  the sum of three thousand nine hundred sixty and xx / 100 Pesos Only (3,960.00)   being  the Approved  Budget  for the Contract   (ABC) to payme</t>
  </si>
  <si>
    <t xml:space="preserve"> UNIVERSITY OF THE PHILIPPINES MANILA The Health Sciences Center 8/F PGH Central Block Bldg,  Taft Avenue, Manila INVITATION TO BID PROPOSED RENOVATION OF CAMPUS PLANNING  DEVELOPMENT AND MAINTENANCE OFFICE UNIVERSITY OF THE PHILIPPINES MANILA 1.	The Unive</t>
  </si>
  <si>
    <t xml:space="preserve"> INVITATION TO BID No. DARRO V-4-2020 1.	The Department of Agrarian Reform Regional Office No. V (DARRO V) through the General Appropriations Act (GAA) 2020 intends to apply the amount of  EIGHT HUNDRED FORTY-FIVE THOUSAND PESOS (P 845,000.00), being the s</t>
  </si>
  <si>
    <t xml:space="preserve"> 1.	The Local Government Unit of Baleno, Masbate, through the 2020 Economic Development Fund intends to apply the sum of One Million One Hundred Seventy-seven Thousand Two Hundred Ninety-six Pesos &amp; 74/100 (P 1,177,296.74 ) being the Approved Budget for th</t>
  </si>
  <si>
    <t xml:space="preserve"> PURCHASE OF RICE, CANNED GOOD AND NOODLES</t>
  </si>
  <si>
    <t xml:space="preserve"> 1 unit photocopier PGO-BAC Goods &amp; Services</t>
  </si>
  <si>
    <t xml:space="preserve"> INVITATION FOR SUBMISSION OF QUOTATION (SMALL VALUE PROCUREMENT) 	The local Government Unit of Can-avid, through is Bid and Awards Committee (BAC). Invites suppliers to apply for eligibility, to bid for the hereunder contract: Name of Contract:  	Purchase</t>
  </si>
  <si>
    <t xml:space="preserve"> Republic of the Philippines Province of Nueva Vizcaya BIDS AND AWARDS COMMITTEE (BAC-Goods) BAC OFFICE, Provincial Capitol, Bayombong, Nueva Vizcaya 	 REQUEST FOR QUOTATION (RFQ)  For the Procurement of 3,420 pax Meals &amp; Snacks, etc. II For the Governor’s</t>
  </si>
  <si>
    <t xml:space="preserve"> kshs is in need of Parchment paper with printing for Diploma</t>
  </si>
  <si>
    <t xml:space="preserve"> Small Value Procurement . . . .</t>
  </si>
  <si>
    <t xml:space="preserve"> The Local  Government   Unit  of General  Santos  City, through  the  GENERAL CY 2020  intends  to apply  the sum of twenty thousand and xx / 100 Pesos Only (20,000.00)   being  the Approved  Budget  for the Contract   (ABC) to payments  under  the  contr</t>
  </si>
  <si>
    <t xml:space="preserve"> Please find attach file.</t>
  </si>
  <si>
    <t xml:space="preserve"> 1	load	Sand and Gravel	2	 10,000.00  2	sacks	Portland Cement	30	 10,500.00  3	pcs	Corrugated Bar, 10mm	15	 1,500.00  4	pcs	Corrugated Bar, 9mm	15	 1,500.00  5	kl	Grout	5	 500.00  6	pcs	Tiles 60x60	120	 21,000.00  7	pcs	Stone Bricks	50	 10,000.00  8	pcs	Ho</t>
  </si>
  <si>
    <t xml:space="preserve"> Detailed Estimate		 For the Construction of Drainage Line Canal		 at Nalbagan Street, Umanday, Bugallon, Pangasinan		 		 ABC: 50,000.00		 A. Materials		 		 435	pcs	4" CHB 30	bags	Portland Cement 6	cu.m	S1 21	pcs	10mm Ø x 6m RSB 3	kls	# 16 Tie Wire 16	bags</t>
  </si>
  <si>
    <t xml:space="preserve"> Contract Duration: The service maintenance contract shall commence on the date stipulated in the Notice to Proceed to be issued by Facilities Management and Engineering Department (FMED) and shall end on 31 December 2020 Bidders should have completed from</t>
  </si>
  <si>
    <t xml:space="preserve"> The Local Government Unit of Amulung, Cagayan intends to purchase Supply and Delivery of Medicine for 2nd Quarter Use through Alternative Mode of Procurement with an ABC of Php 199,950.00 Interested suppliers can avail of the Request for Quotation at the </t>
  </si>
  <si>
    <t xml:space="preserve"> Republic of the Philippines											 Province of Occidental Mindoro											 Mamburao, Occidental Mindoro											 REQUEST FOR QUOTATION											 Date of Posting:	June 15, 2020					Ref. No.		RN 365-2020			 						PR No.					 											 The Provinc</t>
  </si>
  <si>
    <t xml:space="preserve"> The SANGGUNIANG BARANGAY OF DARASA, TANAUAN CITY, BATANGAS, through the Barangay Operating Budget 2020 intends to apply the sum of Fifteen Thousand Pesos Only (Php 15,000.00) being the Approved Budget of the Contract (ABC) to payment under the Provision o</t>
  </si>
  <si>
    <t xml:space="preserve"> RFQ (20-06-052) Entera Nutrition - Pediatric POlymeric 400g 1-3 years old</t>
  </si>
  <si>
    <t xml:space="preserve"> Republic of the Philippines											 Province of Occidental Mindoro											 Mamburao, Occidental Mindoro											 REQUEST FOR QUOTATION											 Date of Posting:	June 15, 2020					Ref. No.		RN 366-2020			 						PR No.					 											 The Provinc</t>
  </si>
  <si>
    <t xml:space="preserve"> Procurement of Fuel Supply for the Government Vehicle Transportation Used Diesel/Gasoline - 3, 027 Liters TERM OF REFERENCE: 1. The procurement of products using the WPP index, the Bid Price shall be determined based on the prospective supplier's WPP ten </t>
  </si>
  <si>
    <t xml:space="preserve"> Juan Sumulong Elementary School ICT supply 2020-2021</t>
  </si>
  <si>
    <t xml:space="preserve"> The PHILIPPINE SCIENCE HIGH SCHOOL SYSTEM - CALABARZON REGION CAMPUS (PSHS-CBZRC) intends to apply the sum of TWO HUNDRED FIFTEEN THOUSAND PESOS (Php215,000.00) being the Approved Budget for the Contract (ABC) to pay for the contract for the Project: SUPP</t>
  </si>
  <si>
    <t xml:space="preserve"> PR No.   :					 Approved Budget for Contract (ABC)   :PHP  129,870.00					 QTY	UNIT	ITEM/S DESCRIPTION		UNIT PRICE	TOTAL PRICE 26	samples	Analysis of Wastewater Samples			 		parameters:			 		-color			 		-pH			 		-COD			 		-oil and grease			 		-TSS			 		-a</t>
  </si>
  <si>
    <t xml:space="preserve"> Engine Type : Single Cylinder, 4-Stroke, Air-Cooled Gasoline Engine Displacement : 124.00 cc (min.) Start System : Kick/ Electric Transmission : 4-Speed Manual</t>
  </si>
  <si>
    <t xml:space="preserve"> 200	pcs	Seedling tray(128holes)		 2	pcs	pruning shear(heavy duty)		 25	pair	snap solution		 50	bottle	molasses		 3	can	eggplant seeds		 3	can	tomato seeds		 2	kilos	beans		 2	kilos	string beans		 2	kilos	raddish 		 2	can	 red pepper		 1	unit	impluse seale</t>
  </si>
  <si>
    <t xml:space="preserve"> PURCHASE OF MEDICINES</t>
  </si>
  <si>
    <t xml:space="preserve"> Tarpaulin	 1 pc Requirements:	 Size: 7” x 10”	 With eyelets on the corner	 8oz. print	 ****nothing follows****</t>
  </si>
  <si>
    <t xml:space="preserve"> 1 LOT LABOR SERVICES FOR HAULING ACTIVITY FROM SITIO BAGONG SILANG TO AREA 1 FOR WO-0620-001: SLOPE STABILIZATION PROJECT AT LAPAAN WATERSHED AREA  (REFER TO ATTACHED FILE)</t>
  </si>
  <si>
    <t xml:space="preserve"> JOB ORDER: Furnishing of labor, materials and equipment for the Proposed Construction of Market Fire Exit Stairs(additional) phase II at Legazpi City Public Market</t>
  </si>
  <si>
    <t xml:space="preserve"> PLEASE REFER ATTACHMENT</t>
  </si>
  <si>
    <t xml:space="preserve"> PURCHASE OF RICE AND NOODLES</t>
  </si>
  <si>
    <t xml:space="preserve"> The Local  Government   Unit  of General  Santos  City, through  the  GENERAL FUND CY 2020  intends  to apply  the sum of forty five thousand three hundred ninety and xx / 100 Pesos Only (45,390.00)   being  the Approved  Budget  for the Contract   (ABC) </t>
  </si>
  <si>
    <t xml:space="preserve"> One (1) lot office equipment  The complete list of activities: 1. Issuance of bid documents: June 16 to June 19, 2020 @ 09:00 A.M. 2. Bid Opening: June 19, 2020 @ June 10:00 A.M.</t>
  </si>
  <si>
    <t xml:space="preserve"> SEE ATTACHED</t>
  </si>
  <si>
    <t xml:space="preserve"> 1.	2	units	HIGH SPEED SEWING MACHINE 			Technical Specification: 			Application: light to medium weight	heavy weight 			Max. Sewing speed: 4,500 spm		4,000 spm 			Max. Stitch length: 5mm 			Needle bar stroke: 30.7mm		35mm 			Lift of presser foot: by hand </t>
  </si>
  <si>
    <t xml:space="preserve"> 12 PCS TIRES 195/70 R15C</t>
  </si>
  <si>
    <t xml:space="preserve"> The Local  Government   Unit  of General  Santos  City, through  the  GENERAL FUND CY 2020  intends  to apply  the sum of ten thousand one hundred ninety seven and xx / 100 Pesos Only (10,197.00)   being  the Approved  Budget  for the Contract   (ABC) to </t>
  </si>
  <si>
    <t xml:space="preserve"> 1.	The Local Government Unit of Baleno, Masbate, through the 2020 Local Disaster and Risk Reduction Fund intends to apply the sum of Six Hundred Ninety-two Thousand Seven Hundred Forty-six Pesos &amp; 69/100 (P692,746.69) being the Approved Budget for the Con</t>
  </si>
  <si>
    <t xml:space="preserve"> REPUBLIC OF THE PHILIPPINES OFFICE OF BIDS AND AWARDS COMMITTEE 2ND FLOOR, ADMINISTRATION BUILDING ACCESS, EJC., MONTILLA, TACURONG CITY   INVITATION TO BID FOR MACHINERY &amp; EQUIPMENT OUTLAY FOR THE PURCHASE OF ONE UNIT NURSING SIMULATOR FOR THE USE OF COL</t>
  </si>
  <si>
    <t xml:space="preserve"> Republic of the Philippines Province of Zamboanga del Sur MUNICIPALITY OF LAKE WOOD BIDS AND AWARDS COMMITTEE Invitation to Bid for Procurement of Construction of Dagum-Tiwales Road (Road Opening) in this Municipality 1.	The Local Government Unit of Lake </t>
  </si>
  <si>
    <t xml:space="preserve"> Republic of the Philippines Province of Guimaras OFFICE OF THE BIDS AND AWARDS COMMITTEE INVITATION TO BID FOR    SUPPLY AND DELIVERY OF LIVE ANIMALS AND FEEDS Bid Ref. No. 2020-06-335 1.	The Province of Guimaras , through the DOLE Kabuhayan Program (Vari</t>
  </si>
  <si>
    <t xml:space="preserve"> 1. POULTRY/RICE PRODUCTION OF DIMAAMPO NATIVE INHABITANTS ARB COOP AT BARANGAY GUILING, ALAMADA, COTABATO. 2. FARM INPUTS/FERTILIZERS FOR BANGILAN FA, KABACAN, COTABATO. 3. GENERATOR SET 4. ASSORTED FARM INPUTS/GARDEN TOOLS OF DIMAAMPO NATIVE INHABITANTS </t>
  </si>
  <si>
    <t xml:space="preserve"> 3  unit Epson L3110 Printer 1  unit  Desktop Computer            Intel Core i5 9400F Coffee Lake up to 4.10 Ghz with Motherboard            1TB HDD            16GB RAM            GTX 1060 5G Video Card            24 inch Monitor            Generic Tower C</t>
  </si>
  <si>
    <t xml:space="preserve"> Republic of the Philippines											 Province of Occidental Mindoro											 Mamburao, Occidental Mindoro											 REQUEST FOR QUOTATION											 Date of Posting:	June 15, 2020					Ref. No.		RN 362-2020			 						PR No.		PS2020-022			 											 T</t>
  </si>
  <si>
    <t xml:space="preserve"> for stock pile</t>
  </si>
  <si>
    <t xml:space="preserve"> Procurement of TLE Instructional Tools and Materials</t>
  </si>
  <si>
    <t xml:space="preserve"> 166 Bags Complete Fertilizer (14-14-14)</t>
  </si>
  <si>
    <t xml:space="preserve"> 1.	Materials &amp; Equipment Rental for the Improvement of Agriculture Office, Brgy. Sablogon, Passi City, Iloilo, (P 83,910.39)		 Stock No.	Description	Unit	Qty. 1	D-1,0.90m x 2.10m Painted Wood Panel type Door (Swing Type), w/ Wood Door Jam, Heavy Duty Door</t>
  </si>
  <si>
    <t xml:space="preserve"> JOB ORDER: Furnishing of labor, materials and equipment for the Proposed road Concreting at Brgy. 15- Ilawod East, Legazpi City</t>
  </si>
  <si>
    <t xml:space="preserve"> Please find attach quotation.</t>
  </si>
  <si>
    <t xml:space="preserve"> Republic of the Philippines				Project Reference Number: 	G-20-0560                                           Province of Compostela Valley				Name of the Project	:  Supplies (isolation) MUNICIPALITY OF MONTEVISTA			Location of the Project	:           MEO</t>
  </si>
  <si>
    <t xml:space="preserve"> 56	bags	Quail feeds		 500	heads	Layer quail		 		***nothing follows***</t>
  </si>
  <si>
    <t xml:space="preserve"> Rehabilitation of Deep well</t>
  </si>
  <si>
    <t xml:space="preserve"> The Local  Government   Unit  of General  Santos  City, through  the  GENERAL FUND CY 2020  intends  to apply  the sum of seventy four thousand and xx / 100 Pesos Only (74,000.00)   being  the Approved  Budget  for the Contract   (ABC) to payments  under </t>
  </si>
  <si>
    <t xml:space="preserve"> PURCHASE</t>
  </si>
  <si>
    <t xml:space="preserve"> INVITATION FOR SUBMISSION OF QUOTATION (SMALL VALUE PROCUREMENT) 	The local Government Unit of Can-avid, through is Bid and Awards Committee (BAC). Invites suppliers to apply for eligibility, to bid for the hereunder contract: Name of Contract:  	Office S</t>
  </si>
  <si>
    <t xml:space="preserve"> P.R NO. 100-2020-03-0323 PURCHASE OF AGRICULTURAL MATERIALS USE FOR RE-FORESTATION</t>
  </si>
  <si>
    <t xml:space="preserve"> MATERIALS NEEDED FOR THE FABRICATION OF SPOOL, BEND CONNECTIONS AND EXPOSED STEEL PIPE IN CONNECTION WITH THE WATERLINE EXTENSION PROJECT FROM HDA. DANIEL TO IMBANG BRIDGE, BRGY. E. LOPEZ, SILAY CITY: 1. BI PIPE, 6`` DIAMETER, ASTM A-53, SEAMLESS, STANDAR</t>
  </si>
  <si>
    <t xml:space="preserve"> Sir/Madam:																																						 																																						 Please quote your government price/s including delivery charges, VAT or other applicable taxes, and other incidental expenses for the goods listed in Annex A.  Failure</t>
  </si>
  <si>
    <t xml:space="preserve"> The Bids and Awards Committee (BAC) of the Department of Public Works and Highways (DPWH), Ilocos Sur 1st District Engineering Office, Bantay, Ilocos Sur will conduct SMALL VALUE PROCUREMENT in accordance with Section 53.9 of the Revised Implementing Rule</t>
  </si>
  <si>
    <t xml:space="preserve"> Const. of Vertical Garden</t>
  </si>
  <si>
    <t xml:space="preserve"> Printer</t>
  </si>
  <si>
    <t xml:space="preserve"> Please see attached Purchase Request of Supplies and Materials</t>
  </si>
  <si>
    <t xml:space="preserve"> 3000	heads	Broiler chicks		 16	bags	Broiler feed(booster)		 125	bags	Broiler feed(starter)		 115	bags	Broiler feed(finisher)		 2	kgs	Multi vitamins w/electrolytes		 2	kgs	Chlortetracycline w/ vit.A&amp;vit b12		 		***nothing follows***</t>
  </si>
  <si>
    <t xml:space="preserve"> Ozone 03 Generator Machine Air Purifier Deodorizer Sanitizer 220V 10G/24G/H Ozone   Air Volumes: 51-150mᶾ/h   Application area: 11-20m²   Installation: Portable   Type: Ozone Generator   Power Source: AC source   Noise: ≤45dB   Anion Density: 1000000pcs/m</t>
  </si>
  <si>
    <t xml:space="preserve"> 1.	240	bag/s	Open Pollinated Variety (OPV) White Registered  			Corn Seeds 20kgs/bag 			Passed Quality Certification by BPI-NSQCS 			Date of Harvest not later than February 2020</t>
  </si>
  <si>
    <t xml:space="preserve"> 1 LOT LABOR SERVICES FOR HAULING ACTIVITY FROM AREA 2 TO AREA 3 FOR WO-0620-001: SLOPE STABILIZATION PROJECT AT LAPAAN WATERSHED AREA (REFER TO ATTACHED FILE)</t>
  </si>
  <si>
    <t xml:space="preserve"> 215	bags	Layer mash 1		 51	bags	Pre layer mash		 		***nothing follows***</t>
  </si>
  <si>
    <t xml:space="preserve"> 300 bags Complete Fertilizer (14-14-14)</t>
  </si>
  <si>
    <t xml:space="preserve"> 12   pieces   Alcohol Foot Pump</t>
  </si>
  <si>
    <t xml:space="preserve"> Republic of the Philippines PROVINCE OF ZAMBOANGA DEL SUR Municipality of Dimataling BIDS AND AWARD COMMITTEE Reference Number : DIM-INFRA-2020-09 Project Title/P.R. # : UPGRADING/INSTALLATION OF ISOLATION FACILITY Approved Budget: MHO (MOOE) Area of Deli</t>
  </si>
  <si>
    <t xml:space="preserve"> 1	unit	Digital DO/ temperature meter: (preferably YSI), built-in barometer, connector waterproof with bayonet lock, 50 data sets (data memory), dimension 8.3cm width x 21.6cm length x 5.6cm depth. Power: 2 alkaline C-cells approx 400hrs, salinity range 0-</t>
  </si>
  <si>
    <t xml:space="preserve"> The Local  Government   Unit  of General  Santos  City, through  the  GENERAL FUND CY 2020  intends  to apply  the sum of two hundred forty four thousand eight hundred and xx / 100 Pesos Only (244,800.00)   being  the Approved  Budget  for the Contract   </t>
  </si>
  <si>
    <t xml:space="preserve"> TO BE USED BY THE SHS TEACHERS AND STUDENTS FOR HAND WASHING UPON ENTERING THE SCHOOL PREMISES IN COMPLIANCE TO HEALTH PROTOCOL AMIDST COVID-19 PANDEMIC.</t>
  </si>
  <si>
    <t xml:space="preserve"> Purchase of Laptop to be use by the Audit Team Member (Gen. M. Natividad/Palayan)</t>
  </si>
  <si>
    <t xml:space="preserve"> Request for Quotation City Agriculture Office CO - Other Machinery and Equipment P 74,155.00</t>
  </si>
  <si>
    <t xml:space="preserve"> The Local  Government   Unit  of General  Santos  City, through  the  GENERAL FUND  CY 2020  intends  to apply  the sum of one hundred thirty two thousand five hundred and xx / 100 Pesos Only (132,500.00)   being  the Approved  Budget  for the Contract   </t>
  </si>
  <si>
    <t xml:space="preserve"> 25 CU.M   READY MIXED AND AND GRAVEL</t>
  </si>
  <si>
    <t xml:space="preserve"> for MDRRM Office. Local Government Unit-Nabua, Camarines Sur</t>
  </si>
  <si>
    <t xml:space="preserve"> 1 LOT LABOR SERVICES FOR HAULING ACTIVITY FROM AREA 1 TO AREA 2 FOR WO-0620-001: SLOPE STABILIZATION PROJECT AT LAPAAN WATERSHED AREA (REFER TO ATTACHED FILE)</t>
  </si>
  <si>
    <t xml:space="preserve"> Republic of the Philippines					 Province of Palawan					 MUNICIPALITY OF EL NIDO					 PR No.		 Name of Procuring Entity: Municipal Government of El Nido			RFQ No.		 Date:		 Office/End-User: MNAO					 Company Name					 Adress:					 Business Permit No.:			</t>
  </si>
  <si>
    <t xml:space="preserve"> For specification details, please contact MR. JEFFERSON O. CORUNO at 09157584241 or email at psuprocurementunit@gmailcom or procurement@parsu.edu.ph</t>
  </si>
  <si>
    <t xml:space="preserve"> SUPPLY OF MATERIALS</t>
  </si>
  <si>
    <t xml:space="preserve"> Republic of the Philippines City of Dapitan BIDS AND AWARDS COMMITTEE 						June 15, 2020 NOTICE FOR NEGOTIATED - SMALL VALUE PROCUREMENT 	The City Government of Dapitan through the Bids and Awards Committee (BAC) would like to inform PhilGEPS registered </t>
  </si>
  <si>
    <t xml:space="preserve"> 1	7	cu. m.	Fine Sand	 2	9	drum	Asphalt	 			***nothing follows***	 				 			1. For asphalt patching around poblacion	 				 APPROVED BUDGET FOR THE CONTRACT: PHP 162,800.00 LOCATION OF THE CONTRACT: BATARAZA, PALAWAN DURATION OF THE CONTRACT: 7 DAYS SCHEDULE</t>
  </si>
  <si>
    <t xml:space="preserve"> City Government of La Carlota								          Standard Form Number: SF-GOOD-59 Revised on: May 24, 2004 Standard Form Title: REQUEST FOR QUOTATION 												Date: ______________ 												Quotation No.________ Company Name Address 	Please quote your </t>
  </si>
  <si>
    <t xml:space="preserve"> 77 piece Bulb, LED, 11 watts 131 piece Electric Fan, orbit type, ceiling, plastic blade</t>
  </si>
  <si>
    <t xml:space="preserve"> See attached for the request of quotation form.</t>
  </si>
  <si>
    <t xml:space="preserve"> Construction of Deep well at Zone III Brgy, San Miguel</t>
  </si>
  <si>
    <t xml:space="preserve"> 1 LOT FOR INSTALLATION OF GABIONS AND LOG-CUTTING ACTIVITY FOR WO-0620-001: SLOPE STABILIZATION PROJECT AT LAPAAN WATERSHED AREA (REFER TO ATTACHED FILE)</t>
  </si>
  <si>
    <t xml:space="preserve"> Interested Suppliers may submit sealed quotations to the General Services Offices, Municipal Compound, Bgy. Poblacion, Narra, Palawan and Addressed to the BAC Chairman through BAC Secretariat.     Deadline of submission Three days starting from the public</t>
  </si>
  <si>
    <t xml:space="preserve"> Heavy Duty Welding Machine (Bx1-500A Electrode  Holder(300amp)/ground Clamp(300amp)/pure copper welding cable (20mtrs)/ARC welding  helmet, oxygen/acetylene gauge welding Kit accessory with cylinder tank alum Power sparyer w/ induction motor 1.5hp (30m ho</t>
  </si>
  <si>
    <t xml:space="preserve"> Description	Quantity	Unit GI Pipe Casing, 8” Ø Dia. (Sch.40)	17	Lengths GI Pipe Casing, 10” Ø Dia. (Sch 40)	5	Lengths Submersible Pump, 5 Hp. w/ Motor and Control Box	1	Set Panel Board, for 5 Hp	1	Set Submer Cable	90	M P.E Pipes, 3” Ø Dia. X 60m	9	Rolls</t>
  </si>
  <si>
    <t xml:space="preserve"> Other Supplies</t>
  </si>
  <si>
    <t xml:space="preserve"> for Maintenance of MDRRM Ambulance, Local Government Unit - Nabua, Camarines Sur</t>
  </si>
  <si>
    <t xml:space="preserve"> Supply and Delivery of various equipments The Metro Midsayap Water District (MMWD) gives notice that  quotations are invited for the Supply and Delivery of various equipments 1 UNIT - DIESEL WELDING GENERATOR			    SPECIFICATIONS:			  	-SILENT TYPE; AIR C</t>
  </si>
  <si>
    <t xml:space="preserve"> Republic of the Philippines PROVINCE OF SOUTHERN LEYTE Maasin City Invitation to Bid for the Procurement of Window Blinds and Glass Sticker  Contract ID # 2020-07-07-366PG 1.	The Provincial Government of Southern Leyte through the OVG Other Supplies and M</t>
  </si>
  <si>
    <t xml:space="preserve"> PR No. 2020-079, 2020-080, 2020-081, 2020-082, 2020-083 RFQ No. 2020-053 ABC: Php 262,472.00 Request for Quotation (RFQ) with details of procurement is available for download. Or you may visit during office hours, look for Ms. Angelee M. Bernal, BAC Secre</t>
  </si>
  <si>
    <t xml:space="preserve"> JOB ORDER: Furnishing of labor, materials and equipment for the Proposed Rehabilitation of Drainage System at Brgy. 3-EM's Barrio East, Legazpi City</t>
  </si>
  <si>
    <t xml:space="preserve"> The National Mapping and Resource Information Authority, Bids and Awards Committee (NAMRIA BAC) invites interested SUPPLIERS/DEALERS &amp; CONTRACTORS for the following project/s: Procurement of ICT Resources for Geospatial Information and System Management U</t>
  </si>
  <si>
    <t xml:space="preserve"> The Barangay Government of Altura Matanda, Tanauan City through the Bids and Awards Committee(BAC) invites Suppliers/Contractors to apply for the eligibility and if subsequently found eligible to bid for the supply of materials for the project described h</t>
  </si>
  <si>
    <t xml:space="preserve"> Item No.	Unit	Description	Qty 1	prs	Working Glove	1500 2	roll	Laminated Sack 10 x 16	20 3	roll	Nylon Rope 10 x 100 m	50 4	kl	Brown Sugar 1 kL	50 5	box	Sardinas	96 6	ea	Styro Bowl 10 s	1000 7	pcs	Mineral Water 500 ml	1000 8	pck	Biscuit 150 gms	500 9	ea	Duc</t>
  </si>
  <si>
    <t xml:space="preserve"> 1 unit 	Water bath/holding tank with thermometer and heater	 	  -Rectangular shape, L1M x W0.6M x H0.5M	 	  -made of stainless steel 304 materials , 3mm thick	 	  -removable inner platform, made of perforated sheet	 	  -hinge cover with gasket	 	  -electr</t>
  </si>
  <si>
    <t xml:space="preserve"> The Local  Government   Unit  of General  Santos  City, through  the  GENERAL FUND CY 2020  intends  to apply  the sum of four hundred fifty thousand and xx / 100 Pesos Only (450,000.00)   being  the Approved  Budget  for the Contract   (ABC) to payments </t>
  </si>
  <si>
    <t xml:space="preserve"> 9 units Tab A 8.0 (2GB Ram, 32Gb ROM, Battery 5100mAh, OS Android 9.0 Pie &amp; Processor Quadcore 2.0GHz) T295 1 unit Tab A 8.0 w/ S Pen (3GB Ram, 32GB ROM, battery 4,200mAh, OS  Android 9.0 pie &amp; processor quad core 1.8GHz) SM-P205</t>
  </si>
  <si>
    <t xml:space="preserve"> 1 kit Glucose Pap SL 6x100ml + STD 1 kit Cholesterol SL 6x100ml + STD 1 kit Uric Acid SL 5x100ml + STD 2 kit CreatinineJaffe 4 x250ml 2 kit Triglycerides Mono 6x50ml + STD 1 kit ALT/SGPT 4x62.5ml 1 kit HDL Chol 3x80ml 1 box Elitrol Normal Control 1 box El</t>
  </si>
  <si>
    <t xml:space="preserve"> 1. Heavy Duty Steel Folding Bed with Mattress 5 piece	6,250.00 2. Single Foam Mattress 3 piece	4,000.00 3. Fold-A-Mattress with Thin cotton 12 piece	2,150.00 4. Emergency Light 1 piece	1,950.00 5. Disinfectant Mat (for shoes) 3 piece	1,500.00 6. Electric </t>
  </si>
  <si>
    <t xml:space="preserve"> 50 bot cleaner disinfectant &amp; 8 others</t>
  </si>
  <si>
    <t xml:space="preserve"> Invitation to Bid for the supply &amp; delivery of Goods &amp; Commodities for use of the Bureau of Jail Management &amp; Penology, Batangas City</t>
  </si>
  <si>
    <t xml:space="preserve"> Hatchery Equipments and paraphernalia 1. 	5	pcs.	a. Red liquid glass thermometer (6mmx300mm) 2. 	1	pc.	b. Portable D.O. Meter (Digital)		 			c. Weighing Scales 3.	1	pc.	c. 1 Digital weighing scale (5kg cap) 4.	1	pc.	c. 2 Weighing Scale (10kg cap) 5.	1	pc.</t>
  </si>
  <si>
    <t xml:space="preserve"> The Local  Government   Unit  of General  Santos  City, through  the  GENERAL FUND CY 2020  intends  to apply  the sum of five hundred forty one thousand one hundred and xx / 100 Pesos Only (541,100.00)   being  the Approved  Budget  for the Contract   (A</t>
  </si>
  <si>
    <t xml:space="preserve"> June 15, 2020 REQUEST FOR QUOTATION (RFQ) CORRECTIVE MAINTENANCE SERVICE OF GENERATOR SET II (AKSA) 1.	The Batangas Medical Center hereinafter referred to as the “Purchaser” now request for submission of price proposal for the procurement of the aforesaid</t>
  </si>
  <si>
    <t xml:space="preserve"> Republic of the Philippines PROVINCE OF DAVAO ORIENTAL MUNICIPALITY OF SAN ISIDRO INVITATION TO BID FOR THE PROCUREMENT OF WORKS FOR THE CONST’N OF VAWC CRISIS CENTER INCL. MADAC DRUG TREATMENT CENTER AT BRGY BATOBATO, SAN ISIDRO, DAVAO ORIENTAL 1.	The Mu</t>
  </si>
  <si>
    <t xml:space="preserve"> Sala Set = 1 set Dinning Set (6-Seater) = 1 set Sofa = 1 set</t>
  </si>
  <si>
    <t xml:space="preserve"> Republic of the Philippines Province of Batangas CITY OF STO. TOMAS INVITATION TO BID The City Government of Sto. Tomas, Batangas through its Bids and Awards Committee (BAC) invites accredited contractors registered with and classified by the Philippine C</t>
  </si>
  <si>
    <t xml:space="preserve"> Please see attached PR for specifications</t>
  </si>
  <si>
    <t xml:space="preserve"> 70 bxs. Bond Paper (Long) sub.22 @ 5 reams/box 70 bxs. Bond Paper (Short) sub.22 @ 5 reams/box 150 pcs. Record book 300 leaves 150 pcs. Record book 500 leaves 1,000 pcs. Ball pen Blk @ 50/box 500 pcs. Ball pen Blue @ 50/box 200 pcs. Ball pen Red @ 50/box </t>
  </si>
  <si>
    <t xml:space="preserve"> INVITATION FOR SUBMISSION OF QUOTATION (SMALL VALUE PROCUREMENT) 	The local Government Unit of Can-avid, through is Bid and Awards Committee (BAC). Invites suppliers to apply for eligibility, to bid for the hereunder contract: Name of Contract:  	T-shirt </t>
  </si>
  <si>
    <t xml:space="preserve"> Item No.	Unit		Item Description		Quantity 					 1	pcs.		Water Meter 1/2"		                100 2	pcs.		Water Meter 1"		                           2 3	pcs.		Gate Valve with Magnetic Lock		100 4	pcs.		Saddle Clamp 4"x1/2"		          50 5	pcs.		Sadlle Clamp 2</t>
  </si>
  <si>
    <t xml:space="preserve"> SUPPLY &amp; DELIVERY OF INSERT WATER METER &amp; TAILPIECE GASKET</t>
  </si>
  <si>
    <t xml:space="preserve"> 4 PCS Ordinary Plywood, 1/4" 25 pcs 2x2 bd. Ft Form Lumber 3 kg. Common Wire Nails, 3" 2 kg. Common WireNails, 2" 8 kg. Tie Wire, #16 138 bags Cement 9 cu.m Sand 16 cu.m Gravel 161 pc 12mmoDeformable Steel Bar 92 pc 10mmoDeformable Steel Bar 23 kg Tie Wir</t>
  </si>
  <si>
    <t xml:space="preserve"> JOB ORDER: Furnishing of labor, materials and equipment for the Proposed Rehabilitation/Improvement of School Facilities at Legazpi Port Elementary School Brgy. 31- Baybay, Legazpi City</t>
  </si>
  <si>
    <t xml:space="preserve"> PURCHASE OF FUEL, OIL AND LUBRICANTS, CMO, CALBAYOG CITY</t>
  </si>
  <si>
    <t xml:space="preserve"> Invitation to Bid for the supply, delivery &amp; printing of Pamphlets, Letterheads &amp; Tarpaulins for use of different Offices of Batangas City Government.</t>
  </si>
  <si>
    <t xml:space="preserve"> For the maintenance of diff. offices of the Municipal Hall.</t>
  </si>
  <si>
    <t xml:space="preserve"> Hybrid Trimaran Vessel Classification as per attached Request for Quotation.</t>
  </si>
  <si>
    <t xml:space="preserve"> Improvement / Upgrading of Pasalubong Center (Window Grilles, Door and Tables)</t>
  </si>
  <si>
    <t xml:space="preserve"> 5	pc.	P-Trap 5	pc.	Flexible Hose, 1/2 x 1/2 x 1/8" 3	pc.	Angle Valve 3	pc.	Faucet (ordinary) 5	pc.	Faucet (lavatory) 5	set	Water Closet 1	gal.	Muriatic Acid 10	pc.	Teflon Tape (big) 1	1/2 lt.	Epoxy 1	pc.	Snake Wire Pipe Cleaner, 1/4 x 25' 2	bg.	Cement 6	p</t>
  </si>
  <si>
    <t xml:space="preserve"> 1	2	unit	PRINTER	 			L3110 EPSON	 				 2	1	unit	LAPTOP 	 			Inspiron 5570	 			INTELCORE i5-8250 U	 			Ram-4GB_DDR4	 			HHD-118	 			Video Card Radion 530	 			15.6''/ DVD RW	 			windows 10	 				 APPROVED BUDGET FOR THE CONTRACT: PHP 50,000.00 LOCATION OF TH</t>
  </si>
  <si>
    <t xml:space="preserve"> Republic of the Philippines Province of Cebu MUNICIPALITY OF BALAMBAN Balamban, Cebu REQUEST FOR QUOTATION The Municipality of Balamban, through its Bids and Awards Committtee (BAC), will undertake a Negotiated Procurement (Small Value Procurement) for ME</t>
  </si>
  <si>
    <t xml:space="preserve"> The AGRICULTURAL TRAINING INSTITUTE-REGIONAL TRAINING CENTER (ATI-RTC) X, through the 2020 General Appropriations Act intends to apply the sum of Eighteen  Thousand Pesos (P 18,000.00) being the Approved Budget for the Contract (ABC) to payments under the</t>
  </si>
  <si>
    <t xml:space="preserve"> Item No.	Unit	Description	Qty 1	pcs	Hardiflex 1/4x4x8	60 2	pcs	Metal furring 1x2x16	150 3	bxs	Blind Rivets 1/8	4 4	pcs	Drill bit 1/8	30 5	pcs	Metal stud 2x3x10	150 6	kgs	Concrete nail 2	3 7	pcs	Panel door 0.80x2.10	2 8	pcs	Door knob	6 9	prs	Door hinges LP</t>
  </si>
  <si>
    <t xml:space="preserve"> Metropolitan Manila Development Authority																																     BIDS AND AWARDS COMMITTEE																																 																																    REQUEST FOR QUOTATION																																 Small Value Procurement						</t>
  </si>
  <si>
    <t xml:space="preserve"> Please see attached PR in Associated Components</t>
  </si>
  <si>
    <t xml:space="preserve"> ITEM NO.	ITEM &amp; DESCRIPTION	 BRAND	UOM	QTY. 1	205/65 R15 Ecopia EP300 (Tire)			2 2	235/75 R15 (6FR) 697 Dueler (Tire)			2 3	135R14 R624 (Tire)			4</t>
  </si>
  <si>
    <t xml:space="preserve"> Republic of the Philippines PROVINCE OF DAVAO ORIENTAL MUNICIPALITY OF SAN ISIDRO INVITATION TO BID FOR THE PROCUREMENT OF WORKS FOR THE CONST’N OF 1 UNIT – 67.20 SQ.M. AND 3 UNITS – 25.5 SQ.M. MRF, SAN ISIDRO, DAVAO ORIENTAL 1.	The Mun. of San Isidro, Da</t>
  </si>
  <si>
    <t xml:space="preserve"> Brand New Tires ( 8 pcs. 10.00x20, 6 pcs. 11.00x20, 4 pcs. 8.25x20)</t>
  </si>
  <si>
    <t xml:space="preserve"> Department of Education Region VI-Western Visayas Cadiz City Alimatoc Elementary School Invitation to Bid for the Repair and Maintenance of Faulty Electrical Wiring of Alimatoc Elementary School 1.	The Alimatoc Elementary School, through the School’s MOOE</t>
  </si>
  <si>
    <t xml:space="preserve"> 60	ream	Bond Paper, (Good Quality, Long) 60	ream	Bond Paper (Good Quality, A4) 60	pcs	Expanding Envelope (Brown, Long) 12	cart	HP 680 (Black) 10	cart	HP 680 (Colored) 500	pc	Folder (White, Long) 100	pc	Folder (Green, Long) 3	gal	Alcohol 4	pcs	Dater 3	pcs	</t>
  </si>
  <si>
    <t xml:space="preserve"> INVITATION TO BID REPUBLIC OF THE PHILIPPINES CITY OF GOVERNMENT OF NAVOTAS BARANGAY SAN RAFAEL VILLAGE   BIDS AND AWARDS COMMITTEE 1.The Sangguniang BaraNGAY San Rafael Village, through its Bids and Awards Committee intends      to apply the sun of One H</t>
  </si>
  <si>
    <t xml:space="preserve"> The Local  Government   Unit  of General  Santos  City, through  the  GENERAL FUND CY 2020  intends  to apply  the sum of five hundred twenty four thousand eight hundred and xx / 100 Pesos Only (524,800.00)   being  the Approved  Budget  for the Contract </t>
  </si>
  <si>
    <t xml:space="preserve"> JOB ORDER: Furnishing of labor, materials and equipment for the Proposed Concrete Fence and Slope Protection at Lamba Elementary School, Brgy. 60- Lamba, Legazp City</t>
  </si>
  <si>
    <t xml:space="preserve"> Window Type Aircon 2HP</t>
  </si>
  <si>
    <t xml:space="preserve"> Supply and Delivery of Customized Cabinet for the Accounting Department</t>
  </si>
  <si>
    <t xml:space="preserve"> Please see attached file (RFQ-20-06-0459) for reference.</t>
  </si>
  <si>
    <t xml:space="preserve"> 375 bags cement , Portland 3 kgs CW Nails, Assorted 17 pcs RSB 16mm0 3 pcs RSB 12mm0 288 bdft Coco lumber 42 cu.m. Gravel 21 cu.m. Sand</t>
  </si>
  <si>
    <t xml:space="preserve"> Item No.	Unit	Description	Qty 1	sets	Window Roller Blinds 120 x 180	5 2	pcs	THHN wire 12/7	5 3	rlls	THHN wire 14/7	3 4	rlls	Moldflex tube 1/2 in NULL	5 5	rlls	PVC junction box w/ cover	60 6	pcs	PVC utility box	30 7	pcs	Pinlight 4in NULL	50 8	pcs	LED bulb </t>
  </si>
  <si>
    <t xml:space="preserve"> 1	1	UNIT	Executive Chair	 				 			*Ergodynamic	 			*HBC 132-CUL	 			*Essential Leather/PU Leather	 				 				 2	4	UNIT	Computer Chair/Swivel Chair	 				 			*Ergodynamic Chair	 			*Black	 				 				 APPROVED BUDGET FOR THE CONTRACT: PHP 15,000.00 LOCATION OF</t>
  </si>
  <si>
    <t xml:space="preserve"> Small  Value Procurement . . . .</t>
  </si>
  <si>
    <t xml:space="preserve"> Republic of the Philippines Cordillera Administrative Region Province of Kalinga B A L B A L A N BARANGAY POBLACION Invitation to Apply for Eligibility and to Bid for the PURCHASE AND DELIVERY OF IT EQUIPMENTS, POBLACION, BALBALAN 1.	The Local Government </t>
  </si>
  <si>
    <t xml:space="preserve"> JANITORIAL SERVICES 1 person/unit July to December 2020 Cebu Mode of Procurement: Negotiated Procurement-Small Value Procurement Approved Budget for the Contract: Php108,000.00 Requirements: 1.	Business Permit/Mayor’s Permit 2.	Philgeps Registration Numbe</t>
  </si>
  <si>
    <t xml:space="preserve"> 40	pcs	File Box w/cover (Green) 360	pcs	File Box w/cover (Red)</t>
  </si>
  <si>
    <t xml:space="preserve"> 8 sack, Industrial Salt Ion Exchange Resin, high sodium chloride purity, large chunky crystal for water treatment use, 12.5 kilos/sack</t>
  </si>
  <si>
    <t xml:space="preserve"> Provision of :								 	SURVEY SERVICES FOR THE FOLLOWING LOTS:								 									 Lot 1 	LOT 3 - CSII-2020 (CC)							has. 	12.6945 	&gt;  Subdivision Survey of Collective CLOA located at Tinambac,								 		Camarines Sur 							 									 Lot 2 	LOT 4-CSII-</t>
  </si>
  <si>
    <t xml:space="preserve"> 1300 Pcs. 2020 Quadrivalent Inactivated Influenza Vaccine</t>
  </si>
  <si>
    <t xml:space="preserve"> The National Mapping and Resource Information Authority, Bids and Awards Committee (NAMRIA BAC) invites interested SUPPLIERS/DEALERS &amp; CONTRACTORS for the following project/s: Upgrading of Staboardside Main Engine of BRP Hydrographer Ventura. Kindly conta</t>
  </si>
  <si>
    <t xml:space="preserve"> MATERIALS/TOOLS/EQUIPMENT FOR THE IMPLEMENTATION OF LIVELIHOOD PROJECT OF MUSLIM CHRISTIAN REPAIR UMBRELLA ASSOCIATION SEE ATTACHED CANVASS FORM FOR THE DETAILS PROCUREMENT IS ON A LOT BASIS</t>
  </si>
  <si>
    <t xml:space="preserve"> QUANTITY	UNIT	ARTICLES				 60	rolls	Adhesive Tape, Scotch Tape 1"				 30	reams	Bond Paper, Long, S-20, Good Quality				 50	reams	Bond Paper, Short, S-20, Good Quality				 10	reams	Bond Paper, Short, S-24, Good Quality				 20	reams	Colored Paper, Long, Neo</t>
  </si>
  <si>
    <t xml:space="preserve"> PROCUREMENT OF LOGISTIC SUPPLIES FOR RABIES CONTROL PROGRAM OF THE MUNICIPAL AGRICULTURE OFFICE FOR THE 1ST QUARTER OF THE YEAR 2020</t>
  </si>
  <si>
    <t xml:space="preserve"> SULTAN KUDARAT STATE UNIVERSITY OFFICE OF BIDS AND AWARDS COMMITTEE 2ND FLOOR, ADMINISTRATION BUILDING ACCESS, EJC., MONTILLA, TACURONG CITY INVITATION TO BID FOR MACHINERY &amp; EQUIPMENT OUTLAY FOR THE PURCHASE OF VARIOUS EQUIPMENT FOR THE SCIENCE LABORATOR</t>
  </si>
  <si>
    <t xml:space="preserve"> 3 units - Rechargeable Megaphone 5 units Heavy Duty Rechargeable Flashlight 10 pcs Resucue Helmet 1 unit Infant CPR Mannequin 1 unit Child CPR Mannequin 3 units VHF Radio with License 13 pairs Knee Pads 13 pairs Elbow Pads 15 PCs Head Lamp 15 pcs Personal</t>
  </si>
  <si>
    <t xml:space="preserve"> QUANTITY	UNIT	ARTICLES				 2	units	File Cabinet, Lateral, Steel, 3-Drawer, Heavy Duty				 3	units	File Cabinet, Vertical, Steel, 4-Drawer, Heavy Duty				 2	units	Locker Cabinet, Metal, 15-Door (See attached sample)				 4	units	Rubber Boots Rack (See attac</t>
  </si>
  <si>
    <t xml:space="preserve"> Supply and Delivery of Administrative Facilities and Equipment at NFA Laguna Provincial Office</t>
  </si>
  <si>
    <t xml:space="preserve"> Supply &amp; Delivery of D.I.S.T.C 2", 3" &amp; 4"</t>
  </si>
  <si>
    <t xml:space="preserve"> Republic of the Philippines Province of Samar  Municipality of Jiabong INVITATION TO BID FOR  CONSTRUCTION OF MULTI-PURPOSE HALL BRGY CANTONGTONG, JIABONG SAMAR Jiab-2020-25A 1.	The Municipal Government of Jiabong, Samar, intends to apply the sum of ONE H</t>
  </si>
  <si>
    <t xml:space="preserve"> MEALS AND SNACKS</t>
  </si>
  <si>
    <t xml:space="preserve"> Supply &amp; Delivery OF PLASTIC FITTINGS</t>
  </si>
  <si>
    <t xml:space="preserve"> See attached Request for Quotation of Seedlings</t>
  </si>
  <si>
    <t xml:space="preserve"> 1 unit 	UV-Vis spectrophotometer - Benchtop type, double-beam, Compact  	 	     (space saver), Wavelength range of 190nm-1100nm, Path length must	 	     be 1 cm, and/or changeable with 1-10cm path, must include at least 2 	 	     cuvettes and all necessar</t>
  </si>
  <si>
    <t xml:space="preserve"> CATERING SERVICES DURING SP SESSION/LEGISLATIVE ACTIVITIES, SPO, CALBAYOG CITY</t>
  </si>
  <si>
    <t xml:space="preserve"> Solar Streetlights w/stand Solar Panel 5V/35W (movable panel) Lamp: Nichia Led SMD, 3400 lumens equivalent to 68 watts Battery: 3.2V/ 26AH Life PO4 battery Charging Time: 4 hours Lighting Time: All night lighting 4 hours full power lighting and intelligen</t>
  </si>
  <si>
    <t xml:space="preserve"> QUANTITY	UNIT	ARTICLES				 80	boxes	Losartan 50mg, 100's				 80	boxes	Atorvastatin 20mg, 100's				 80	boxes	Losartan 100mg, 100's				 80	trays	Amlodipine 5mg, 100's				 80	boxes	Amlodipine 10mg, 100's				 100	vials	Insulin 70/30				 100	boxes	Gliclazide 3</t>
  </si>
  <si>
    <t xml:space="preserve"> Republic of the Philippines Province of Davao del Sur MUNICIPALITY OF STA.CRUZ INVITATION TO BID REHABILITATION / IMPROVEMENT OF POTABLE WATER SYSTEM – LEVEL II (ITB No. 06-INFRA-2020) 1.	The Local Government Unit of Sta. Cruz, Davao del Sur through the T</t>
  </si>
  <si>
    <t xml:space="preserve"> QUANTITY	UNIT	ARTICLES				 40	boxes	Bond Paper Sub 20 (70 GSM), Short  8.5" x 11", 5 reams/box				 50	boxes	Bond Paper Sub 20 (70 GSM), Long 8.5" x 13", 5 reams/box				 50	boxes	Bond Paper Sub 20 (70 GSM), A4 210mm x 297mm, 5 reams/box				 		*****END*****</t>
  </si>
  <si>
    <t xml:space="preserve"> Purchase of  relief good</t>
  </si>
  <si>
    <t xml:space="preserve"> QUANTITY	UNIT	ARTICLES				 1200	bottles	Ferrous Sulfate with Folic Acid Tab, 100's				 750	boxes	Calcium Carbonate Tab, 100's				 		*****END*****</t>
  </si>
  <si>
    <t xml:space="preserve"> PLease refer to the attached terms of reference. Download and send the attached RFQ to car.mountainprovince@dti.gov.ph to MBAEL F. BANGGAWAN, OIC-Provincial Director, DTI-Mountain Province</t>
  </si>
  <si>
    <t xml:space="preserve"> 1 pc. beam, 12 pcs. torque rod bushing, 1 pc. trunion assy., 2 pcs. trunion seat, 2 pcs. trunion oil seal, 4 pcs. torque rod bolt long, 16 pcs. torque rod bolt short, 32 pcs. trunion bolt, 8 pcs. u-bolt rear, 32 pcs. hub bolt, 2 pcs. trunion washer, 4 pcs</t>
  </si>
  <si>
    <t xml:space="preserve"> Kindly refer to the attached RFQ</t>
  </si>
  <si>
    <t xml:space="preserve"> Printing &amp; Publication Expenses</t>
  </si>
  <si>
    <t xml:space="preserve"> CONSTRUCTION OF LOCAL ACCESS ROAD @ BRGY. BAWOD, SAN ISIDRO, LEYTE. CONSTRUCTION OF 91.20M. X 6.0M X.20M CONCRETE PAVEMENT WITH REINFORCED CONCRETE CANAL AND COVER ON BOTH SIDES OF THE ROAD 5.0 UNITS 1.0M. X 1.0M. RCBC, 334.34 LN.M. CENTER ISLAND, 574.32 </t>
  </si>
  <si>
    <t xml:space="preserve"> Construction Materials</t>
  </si>
  <si>
    <t xml:space="preserve"> QUANTITY	UNIT	ARTICLES				 2	units	Printer				 		          L3110 or its equivalent				 		          All-in-One Printer (Print, Scan, Copy)				 		          Continuous Ink Support System				 		Desktop Computer				 1	unit	System Unit :				 		          Process</t>
  </si>
  <si>
    <t xml:space="preserve"> Municipality of Manay Invitation to Bid for Fencing of Municipal Baywalk 1.	The Municipality of Manay, through General Fund ( 20% Development Fund ) intends to apply the sum of One Million Five Hundred Pesos  (P 1,500,000.00)  being the Approved Budget fo</t>
  </si>
  <si>
    <t xml:space="preserve"> Please see attached Request for Quotation (RFQ)</t>
  </si>
  <si>
    <t xml:space="preserve"> Office supplies and equipment</t>
  </si>
  <si>
    <t xml:space="preserve"> The City Government of San Pedro, Laguna invites interested parties to quote for the following item/s as per request GSO: Qty.	Unit of Issue	Item Description 		 5000	pcs	Garbage Bag (18.5 x 18.5 x 40 x 0.0012 - Biodegradeable) 75	gals	70% Isoprophyl Alcoh</t>
  </si>
  <si>
    <t xml:space="preserve"> 1	200	liter	Gasoline	 				 APPROVED BUDGET FOR THE CONTRACT: PHP 11,600.00 LOCATION OF THE CONTRACT: BATARAZA, PALAWAN DURATION OF THE CONTRACT: 7 DAYS SCHEDULE OF ACTIVITIES: POSTING AND ISSUANCE OF BIDS: JUNE 15-22, 2020 PRE-BID CONFERENCE : DEADLINE FO</t>
  </si>
  <si>
    <t xml:space="preserve"> Use for Backhoe -UH-04</t>
  </si>
  <si>
    <t xml:space="preserve"> Farm Inputs...diff vegetable seeds  for crop production under DAR ARBold program</t>
  </si>
  <si>
    <t xml:space="preserve"> INVITATION FOR SUBMISSION OF QUOTATION (SMALL VALUE PROCUREMENT) 	The local Government Unit of Can-avid, through is Bid and Awards Committee (BAC). Invites suppliers to apply for eligibility, to bid for the hereunder contract: Name of Contract:  	Catering</t>
  </si>
  <si>
    <t xml:space="preserve"> 1. WITHIN URDANETA CITY OR NEARBY TOWNS 2. FOR 125 PERSONNEL 3. SERVICES SHOULD BE DONE IN THE SCHOOLS DIVISION OFFICE FOR NOT MORE THAN 7 DAYS</t>
  </si>
  <si>
    <t xml:space="preserve"> RFQ (20-06-049) Various Supplies for Mechanical Ventilator Rental Use</t>
  </si>
  <si>
    <t xml:space="preserve"> REQUEST FOR QUOTATION The Municipality of Balamban, through its Bids and Awards Committtee (BAC), will undertake a Negotiated Procurement (Small Value Procurement) for CONSTRUCTION MATERIALS OF COVERED COURT AT MENTERYONG DAAN PONDOL BALAMBAN CEBU   ( Mat</t>
  </si>
  <si>
    <t xml:space="preserve"> Strenghtening of Internet Connectivity for New Normal Classes</t>
  </si>
  <si>
    <t xml:space="preserve"> Engine Oil Synthetic = 200 btls. Tire Block  = 50 btls.</t>
  </si>
  <si>
    <t xml:space="preserve"> 8 pcs. ASUS X550ZE Battery (replace/installation)		 4 pcs. ASUS X550ZEKeyboard (replace/installation)		 8 pcs. ASUS X550ZECharger (replace/installation) 		 1 pc.  17” ASUS ROG GL552V Carrying Pack</t>
  </si>
  <si>
    <t xml:space="preserve"> The Municipality of Baliwag, through its Bids and Awards Committee (BAC), invites contractors to apply for eligibility and to bid the here ender project: Name of Project	:	PURCHASE OF ONE YEAR SSL SUBSCRIPTION FOR 				THE MUNICIPALITY OF BALIWAG 	 Locatio</t>
  </si>
  <si>
    <t xml:space="preserve"> The DENR PENRO Zamboanga del Sur invites interested suppliers to submit quotation for Common Use Supplies with the following specifications: Specification Quantity Unit Bond Paper Sub.20,Long 200 Reams Bond Paper Sub.20,A4 50 Reams Folder Long 10 Reams Ex</t>
  </si>
  <si>
    <t xml:space="preserve"> 100 pcs, N95 Small For COVID-19 testing use</t>
  </si>
  <si>
    <t xml:space="preserve"> 1.	The OROQUIETA CITY WATER DISTRICT, through the Corporate Approved Budget 2020 intends to apply the sum of Eight Hundred Thousand Pesos &amp; 00/100 (Php 800,000.00) being the Approved Budget for the Contract (ABC) to payments under the contract for the sup</t>
  </si>
  <si>
    <t xml:space="preserve"> 1	1,000	PCS	REAL PROPERTY TAX ACCOUNT REGISTER	 				 APPROVED BUDGET FOR THE CONTRACT: PHP 30,000.00 LOCATION OF THE CONTRACT: BATARAZA, PALAWAN DURATION OF THE CONTRACT: 7 DAYS SCHEDULE OF ACTIVITIES: POSTING AND ISSUANCE OF BIDS: JUNE 15-22, 2020 PRE-BI</t>
  </si>
  <si>
    <t xml:space="preserve"> 30 Rolls PE PIPE SDR9 # 1 1/2</t>
  </si>
  <si>
    <t xml:space="preserve"> WEBCAM - ANTI GLARE</t>
  </si>
  <si>
    <t xml:space="preserve"> SANGGUNIANG PANLUNGSOD 1 1 Unit/s Motorcycle, brand new, with complete accessories, with standard   tools, inclusive of LTO Registration and GSIS Comprehensive Insurance, with one (1) year warranty on parts and services, with the following Specifications:</t>
  </si>
  <si>
    <t xml:space="preserve"> QUANTITY	UNIT	ARTICLES				 926	pcs	Hard Bound Cover				 		          Color: Blue				 		          Height: 3.5 inches				 		          Length: 16 inches				 		          Width: 9 inches				 		          Mechanism: 70mm				 		*****END*****</t>
  </si>
  <si>
    <t xml:space="preserve"> PURCHASE OF DESKTOP COMPUTER AND CPU, CEO, CALBAYOG CITY</t>
  </si>
  <si>
    <t xml:space="preserve"> 1	20	kgs	Welding Rod 2	3	pcs	14" Cutting Disk 3	9	gals	Rust Converter 4	14	gals	Roof Paint 5	16	gals	Red Oxide Primer 6	9	gals	Paint Thinner 7	11	pcs	#120 Sand Paper 8	2	pails	Flat Latex 9	2	pails	Semi-Gloss Latex 10	3	pcs	9" Roller Brush w/ Tray 11	5	pcs</t>
  </si>
  <si>
    <t xml:space="preserve"> LIQUID SOAP KIT                        10     UNITS</t>
  </si>
  <si>
    <t xml:space="preserve"> QUANTITY	UNIT	ARTICLES				 25	bags	Cement				 1	pc	Nylon Wire				 10	pcs	RSB 10mm				 25	pcs	Cutting Disc #4, Metal				 4	pcs	Drill Bit 1/4				 3	pcs	Drill Bit 3/16				 2	pcs	Drill Bit 1/8				 2	pcs	Pail				 100	pcs	Bolt &amp; Nut 3/8 x 1 1/4				 5	kgs	Weldin</t>
  </si>
  <si>
    <t xml:space="preserve"> QUANTITY	UNIT	ARTICLES				 42	bags	Cement				 2.5	cu.m.	Sand				 5	cu.m.	Gravel				 100	pcs	RSB 12mm x 6.00mm				 10	pcs	Angle Bar 2" x 2" x 4.5mm				 15	kgs	Tie Wire # 16				 330	bd.ft.	Coco Lumber				 10	kgs	CWN, Assorted 				 10	pcs	Plywood, Ordinary 1</t>
  </si>
  <si>
    <t xml:space="preserve"> Republic of the Philippines PROVINCE OF DAVAO ORIENTAL MUNICIPALITY OF SAN ISIDRO INVITATION TO BID FOR THE PROCUREMENT OF VCM&amp;S FOR THE REHABILITATION OF LOCAL ROAD AT KABAISANAN, PUROK PERLAS, BATOBATO, SAN ISIDRO,DAVAO ORIENTAL 1.	The Municipality of S</t>
  </si>
  <si>
    <t xml:space="preserve"> B.9	Mobilization/Demobiliazation	lot	all	21,13860 102(2)b	Roadway Excavation (Surplus Common)	103	cu.m.	17,407.00 105(1)	Subgrade Preparation (Common Material)	316	sq.m.	6,004.00 201	Aggregate Base Coarse (100mm thk.)	31.50	cu.m.	44,100.00 311(1)a	PCC Pav</t>
  </si>
  <si>
    <t xml:space="preserve"> QUANTITY	UNIT	ARTICLES				 5	cu.m.	Sand				 150	pcs	CHB #4				 20	rolls	P.E Pipe Blue 3/4 150m				 20	pcs	Compression Coupling 3/4				 1	pc	Solvent 250cc				 40	pcs	KD 2 x 4 x 12				 50	pcs	KD 2 x 3 x 12				 100	pcs	KD 2 x 2 x 12				 40	pcs	KD 1 x 2 x 12	</t>
  </si>
  <si>
    <t xml:space="preserve"> FABRICATION OF SYMBOLIC GONG WITH 7" DIAMETER TO BE INSTALLED AT MUNICIPAL LOBBY. BAC ACTIVITIES: JUNE 23, 2020  - PURCHASE OF BID DOCS                            JUNE 26, 2020  - SUBMISSION OF BID DOCS</t>
  </si>
  <si>
    <t xml:space="preserve"> 1. The Local Government Unit of Magsaysay, Occidental Mindoro through the Annual Budget approved by Sanggunian intends to apply the sum of Ninety Nine Thousand Nine-hundred Forty Five Pesos (P99,945.00) being the Approved Budget for the Contract (ABC) to </t>
  </si>
  <si>
    <t xml:space="preserve"> Republic of the Philippines Province of Davao Oriental CITY OF MATI REQUEST FOR QUOTATION 			 Date:	11 JUNE 2020 RFQ No.:	0796-2020 Name of Company: __________________________________________________________________________________________________________</t>
  </si>
  <si>
    <t xml:space="preserve"> I. GLASS AND ALUMINUM INSTALLATION (OFFICE PARTITION) II. IRON WORKS (CONSTRUCTION OF MPB KITCHEN-ROOF FRAMING, ROOFING , DOOR GRILLS, SECURITY GRILLS, MBP DOOR / WINDOW GRILLS. FIRE EXIT LADDER) III. MASONRY WORKS INCLUDING FORM WORKS (MBP-KITCHEN) BREAK</t>
  </si>
  <si>
    <t xml:space="preserve"> BIDS AND AWARDS COMMITTEE REQUEST FOR QUOTATION United Coconut Planters Bank (UCPB) invites all interested suppliers, which are registered in the Philippine Government Electronic System (PhilGEPS), to submit their lowest price proposal/quotation for Print</t>
  </si>
  <si>
    <t xml:space="preserve"> RFQ (20-06-053) Compressed Air</t>
  </si>
  <si>
    <t xml:space="preserve"> Qty	Unit	Particulars	Unit Price	 20	pcs	Broom soft	 	 60	kl	Chlorine		 150	pck	Detergent powder (82g) 6pcs/pack		 75	can	Disinfectant spray (510ml)		 50	box	Disposable Face mask (3ply/50s)		 10	box	Disposable Gloves (100s)		 20	pcs	Dustpan Plastic		 160	p</t>
  </si>
  <si>
    <t xml:space="preserve"> Consulting Services for the Relocation, Topographic and Subdivision Survey of Various LGU Owned Lots</t>
  </si>
  <si>
    <t xml:space="preserve"> 1	3	sets	Computer - Intel Corei7 7700/i7  8700; ECS H11 m/ Gigabyte	 			H310; 4GB DDR4 Hyper-X, 18.5" Monitor, CPU CASE w/ 700	 			PSU, KB/Mouse  Micropack USB, Headset, Mouse pad,	 			Speaker Bosston, AVR Secure 500W with UPS	 2	3	units	Printer : T710W ;</t>
  </si>
  <si>
    <t xml:space="preserve"> 1. FREE DELIVERY AT THE SCHOOLS DIVISION OFFICE 2. WITHIN URDANETA CITY OR NEARBY TOWNS 3. SHOULD BE DELIVERED ON OR BEFORE JUNE 26, 2020</t>
  </si>
  <si>
    <t xml:space="preserve"> 8 unit 	Automated rain guage	 	Components:	 	*One (1) unit tipping bucket with cable terminated via connector compatible	 	to datalogger	 	*One (1) unit solar panel (30 watts) with holder and brackets	 	*One(1) Controller Box Assembly inside shall store t</t>
  </si>
  <si>
    <t xml:space="preserve"> note: please see attach supporting rfq</t>
  </si>
  <si>
    <t xml:space="preserve"> Procurement of 1 Set Steel Water Tank for Slaughterhouse use</t>
  </si>
  <si>
    <t xml:space="preserve"> Republic of the Philippines Province of Davao Oriental CITY OF MATI REQUEST FOR QUOTATION 			 Date:	11 JUNE 2020 RFQ No.:	0795-2020 Name of Company: __________________________________________________________________________________________________________</t>
  </si>
  <si>
    <t xml:space="preserve"> The Local Government Unit of Isabel, Leyte through its Bids and Awards Committee (BAC), invites eligible philgeps supplier in the Philippines to supply the hereunder; Name of Project : Purchase of Various Construction Materials Location: Mayor's Office, I</t>
  </si>
  <si>
    <t xml:space="preserve"> Provision of Food and Physical Arrangement of the Venue relative to the conduct of Mid-year Performance Assessment (MYPA) &amp; 2nd Sem Re-Planning Exercises and Year-end Performance Assessment (YEPA) &amp; Corplanning Exercises ABC = P 150,000.00 MYPA &amp; Re-Plann</t>
  </si>
  <si>
    <t xml:space="preserve"> To be used for baking, cooking and dressmaking during TLE classes; for ventilation of tle office</t>
  </si>
  <si>
    <t xml:space="preserve"> TO BE USED BY THE SENIOR HIGH SCHOOL TEACHERS  IN THE PRINTING AND PREPARATION OF THEIR HAND-OUTS, DAILY LESSON LOGS, SCHOOL FORMS AND LEARNING MODULES FOR THE SHS STUDENTS.</t>
  </si>
  <si>
    <t xml:space="preserve"> QUANTITY	UNIT	ARTICLES				 150	pcs	CHB #4				 6	pcs	Angle Bar 1/4 x 1				 30	pcs	RSB 2.2				 30	pcs	Plywood 1/4				 26	bags	Cement				 2	kgs	Concrete Nail #3				 1	kg	Welding Rod				 2	boxes	THHN #12				 7	pcs	Electrical Tape				 15	pcs	Louver Block				 1</t>
  </si>
  <si>
    <t xml:space="preserve"> CONSUMABLE</t>
  </si>
  <si>
    <t xml:space="preserve"> 1. 400  pcs. Brass Adopter ISO 20mm 2. 100  pcs. Brass Adopter ISO 25mm 3. 100  pcs. Brass Adopter ISO 32mm 4. 200  pcs.  Brass Ball Valve w/ Lockwing 1/2" 5. 100  pcs.  Brass Corp. Stop 3/4 " 6.  100  pcs.  Brass Union Compression Type 32mm 7.  10   roll</t>
  </si>
  <si>
    <t xml:space="preserve"> ANGLE BAR SQUARE BAR FLAT BAR</t>
  </si>
  <si>
    <t xml:space="preserve"> Republic of the Philippines Province of Abra Municipality of Pilar  Invitation to Bid for Construction/Rehabilitation of Irrigation System 1.	The Municipality of Pilar, through the RA 7171 to apply the sum of Php4,000,000.00 being the Approved Budget for </t>
  </si>
  <si>
    <t xml:space="preserve"> Use For Executive Order in Schedule Barangay ( Tarpaulin )</t>
  </si>
  <si>
    <t xml:space="preserve"> 10	bag	Hog Starter @ kg/bag 15	bag	Duck layer Pellet @ 50 kg/bag 17	bag	Corn grits @ 40 kg/bag 30	bag	Rice bran D1 @ 40kg/bag 2	bag	Soybean Oil meal @ 40kg/bag 80	bag	Copra meal 80	kg	Fishmeal 30	kg	Limestone Grits 4	kg	Salt 5	kg	Vitamin/Mineral Premix 6	</t>
  </si>
  <si>
    <t xml:space="preserve"> Floor tiling of AVR and Head Teacher's Office</t>
  </si>
  <si>
    <t xml:space="preserve"> Construction of Mini-Library</t>
  </si>
  <si>
    <t xml:space="preserve"> Republic of the Philippines Province of Zamboanga del Sur MUNICIPALITY OF LAKE WOOD BIDS AND AWARDS COMMITTEE Invitation to Bid for Procurement of Construction of Gender Sensitive Common C.R in this Municipality 1.	The Local Government Unit of Lake Wood, </t>
  </si>
  <si>
    <t xml:space="preserve"> Procurement of Various  Common-Use Office Supplies. Please refer to ABE for the specifications</t>
  </si>
  <si>
    <t xml:space="preserve"> REPAIR &amp; MAINTENANCE OF FISHPORT FACILITIES (A. PERIMETER FENCE) REPAIR &amp; MAINTENANCE OF FISHPORT FACILITIES (B. OLD PUBLIC MARKET BLDG.) EXPANSION OF MAGSAYSAY BOULEBARD</t>
  </si>
  <si>
    <t xml:space="preserve"> 2	pcs	4k resolution HDMI cable - 10 meters		 4	pcs	4k resoulution HDMI cable - 5 meters		 3	pcs	OmniDirectional USB Conference Microphone for Desktop/Laptop Computers		 4	pcs	3.55 mm  Stereo Jack male to 6.35 mm (1/4 inch) male Stereo cable dual (L and R)</t>
  </si>
  <si>
    <t xml:space="preserve"> 1.	The Local Government Unit of Las Nieves, through the Budget for the Contract Approved by the Sanggunian (20% DF) intends to apply the sum of One Hundred Thirty eight Thousand Two Hundred Pesos (Php 138,200.00)  being the Approved Budget for the Contrac</t>
  </si>
  <si>
    <t xml:space="preserve"> 1	100	boxes	Tinapa		(425 grms)	 2	95	boxes	Beef Loaf		(425 grms)	 3	90	boxes	Lechon Paksiw	(210 grms)	 4	95	boxes	Corned Beef	(215 grms)</t>
  </si>
  <si>
    <t xml:space="preserve"> Republic of the Philippines Province of Davao Oriental CITY OF MATI REQUEST FOR QUOTATION 			 Date:	11 JUNE 2020 RFQ No.:	0785-2020 Name of Company: __________________________________________________________________________________________________________</t>
  </si>
  <si>
    <t xml:space="preserve"> 1 lot labor &amp; materials for the construction of proposed workstation of OMA1 office</t>
  </si>
  <si>
    <t xml:space="preserve"> QUANTITY	UNIT	ARTICLES				 150	pcs	Longspan Rib Type 20'				 17	pcs	Ridgeroll				 30	pcs	Wall Flashing				 17	pcs	Gutter				 350	pcs	Gutter Rivets				 290	pcs	Plywood, 3/4 				 290	pcs	Plywood, 1/2 				 300	bd. ft.	Coco Lumber (form &amp; scaffolding)				 8	k</t>
  </si>
  <si>
    <t xml:space="preserve"> Republic of the Philippines Province of Davao Oriental CITY OF MATI REQUEST FOR QUOTATION 			 Date:	11 JUNE 2020 RFQ No.:	0793-2020 Name of Company: __________________________________________________________________________________________________________</t>
  </si>
  <si>
    <t xml:space="preserve"> for administrative and office use 10 units pedestal filing cabinet/drawer 1 unit office table  10 units low back office swivel chair</t>
  </si>
  <si>
    <t xml:space="preserve"> 1. The Local Government Unit of Magsaysay, Occidental Mindoro through the Annual Budget approved by Sanggunian intends to apply the sum of Fifty Two Thousand Five-hundred Pesos (P52,500.00) being the Approved Budget for the Contract (ABC) to payment under</t>
  </si>
  <si>
    <t xml:space="preserve"> 4 units Siren</t>
  </si>
  <si>
    <t xml:space="preserve"> The AGRICULTURAL TRAINING INSTITUTE-REGIONAL TRAINING CENTER (ATI-RTC) X, through the 2020 General Appropriations Act intends to apply the sum of Sixty Eight Thousand Pesos (P 68,000.00) being the Approved Budget for the Contract (ABC) to payments under t</t>
  </si>
  <si>
    <t xml:space="preserve"> Janitorial Service</t>
  </si>
  <si>
    <t xml:space="preserve"> Floor tiling of  clinic and guidance office</t>
  </si>
  <si>
    <t xml:space="preserve"> 1	2	boxes	1.0mm gel Impact (blue)	 2	5	boxes	BX-V7 Hi-Techpoint (black)/doz.	 3	10	doz	V5 Hi-Tech Point Roller Ballpen(blue)/doz.	 4	5	doz	V5 Hi-Tech Point Roller Ballpen(black)/doz.	 5	2	doz	G-Tech-C4 Roller Ballpen(black)/doz.	 6	15	doz	Refil G-Tec-C4 R</t>
  </si>
  <si>
    <t xml:space="preserve"> PURCHASE OF PROGESTIN SUBDERMAL IMPLANT (50 PCS), CHO, CALBAYOG CITY</t>
  </si>
  <si>
    <t xml:space="preserve"> 39 unit 	Small smoke house - Height: 1 meter, Diameter 37.5 cm with 5 	 	     stainless steel trays and 4 tray holders, With glass view window,	 	     With thermostat; Stainless body, With stainless sliding firebed and	 	     firebed holder heat source, C</t>
  </si>
  <si>
    <t xml:space="preserve"> TERMS AND CONDITIONS:						 1. All entries must be typewritten or legibly written. 					 2. Delivery period within ________3 days____________________ upon receipt  of the approved  funded Purchase Order (P.O.).   				 3. Warranty shall be for a minimum of</t>
  </si>
  <si>
    <t xml:space="preserve"> 3 piece, Brush Cutter, MultiColor  Engine type: air-cooled, two-stroke,single cylinder gasoline  Engine power: 1.45kw/6500-7000r/min  Displacement: 40.2cc Carburetor: float type Garsoline/2-cycle  Oil mixing ratio: 25:1  Idling speed: 2800-3200r/min  Fuel</t>
  </si>
  <si>
    <t xml:space="preserve"> Republic of the Philippines Province of Albay Municipality of Sto. Domingo Bids and Awards Committee Request for Quotation: 06-03-2020 	 The LGU- Sto. Domingo, Albay through its Bids and Awards Committee (BAC) invites Suppliers/Manufacturer/Distributors f</t>
  </si>
  <si>
    <t xml:space="preserve"> Bus Rental for Stranded Individual from Region V</t>
  </si>
  <si>
    <t xml:space="preserve"> The Municipality of Tanza, Cavite, through its Bids and Awards Committee (BAC), invites contractors registered with and classified by the Philippine Contractors Accreditation Board (PCAB) to apply for eligibility and if found eligible, to bid for the here</t>
  </si>
  <si>
    <t xml:space="preserve"> CIRCUIT BREAKER WITH ENCLOSURE 40AMPS PDX WIRE #12 SPECIAL OUTLET WITH ENCLOSURE PDX WIRE STAPLE FOR #12 ELECTRICAL TAPE DRILLL BIT MASON #5 RUBBER TAPE</t>
  </si>
  <si>
    <t xml:space="preserve"> 2	units		DRONE CAMERA 			(with 2 extra batteries) 		Sensor	1" CMOS 			Effective Pixels: 20 million 		Lens	FOV: about 77  ̊ 			35 mm Format Equivalent: 28 mm 			Aperture: f/2.8-f/11 			Shooting Range: 1 m to ꚙ 		ISO Range	Video:  			100-6400 			Photo: 			1</t>
  </si>
  <si>
    <t xml:space="preserve"> Supply and Delivery with Installation of Steel Racks for official use of CENRO Tagbilaran City	 	  Steel Rack	10	unit</t>
  </si>
  <si>
    <t xml:space="preserve"> Tarpaulin</t>
  </si>
  <si>
    <t xml:space="preserve"> 1	10	BOTTLE	REFILL INK, L3110 PRINTER, BLACK		 2	3	BOTTLE	REFILL INK, L3110 PRINTER, CYAN		 3	3	BOTTLE	REFILL INK, L3110 PRINTER, MAGENTA		 4	3	BOTTLE	REFILL INK, L3110 PRINTER, YELLOW		 5	6	BOTTLE	REFILL INK, L220,L565 PRINTER, BLACK		 6	2	BOTTLE	REFILL </t>
  </si>
  <si>
    <t xml:space="preserve"> Purchase of Second Hand Garbage Truck- Elf Truck (2019 Model)</t>
  </si>
  <si>
    <t xml:space="preserve"> assorted drugs &amp; medicines</t>
  </si>
  <si>
    <t xml:space="preserve"> CITY LIBRARY OFFICE 1 1 Lot LIBRARY ONLINE RESOURCES FOR THE DAVAO CITY LIBRARY AND INFORMATION CENTER Please see attached file/document on associated components or BAC website www.davaocityportal.com (BAC posting) for the complete descriptions, terms of </t>
  </si>
  <si>
    <t xml:space="preserve"> Concreting of 71.0m x 5.0m. local access road (thickness=0.20m). Concrete curb and gutter and concrete canal with reinforced canal cover on both sides of the road including 1.0m. (1.0m x1.0m. x5.0m.) RCBC</t>
  </si>
  <si>
    <t xml:space="preserve"> QTY		UNIT		DESCRIPTION LABORATORY EQUIPMENTS AND REAGENTS 1		Unit		Fully Automated Chemistry Analyzer 1		Unit		Automated Hematology Analyzer(3 Parts) 1		Unit		Electrolytes Analyzer 1		Unit		Digital Clinical Centrifuge 		 *Chemistry Analyzer* 1		Btl		Chole</t>
  </si>
  <si>
    <t xml:space="preserve"> Republic of the Philippines PROVINCE OF SOUTHERN LEYTE Maasin City Invitation to Bid for the Procurement of Various Agricultural Supplies  Contract ID # 2020-07-07-367PG 1.	The Provincial Government of Southern Leyte through the PAGSO Other Maintenance an</t>
  </si>
  <si>
    <t xml:space="preserve"> for Guiuan emergency Response  Team equipments and supplies 5 bxs gloves nono sterile 10 pcs face shield (original) 2 pcs scanner 5 gal. alcohol (3.6 liters) 5 bxs facemask white 1 pc foldable stretcher 1 pc box strap spine board 1 pc head immobilizer</t>
  </si>
  <si>
    <t xml:space="preserve"> Request for Quotation PVC Card w/ Hologram Stamp						4463	pcs YMCKT-K Color Ribbon Kit @ 375/roll						13	roll Top Coat @ 1000/roll						10	roll for the use of ODA, 9ID, PA</t>
  </si>
  <si>
    <t xml:space="preserve"> RFQ (20-06-057) Tolda and Sodium hypochlorite (sprayer decontamination)</t>
  </si>
  <si>
    <t xml:space="preserve"> 1	unit	Cardiac Monitor (5 Parameters) 20	unit	Finger Pulse Oximeter Adult 3	unit	Finger Pulse Oximeter Pedia 1	unit	Laryngoscope Set (Fiber Optic Mac 0,00,1,2,3,4) 9	unit	LED Otoscope 15	unit	Desk or Table top Sphygmomanometer 48	unit	Sphygmomanometer (re</t>
  </si>
  <si>
    <t xml:space="preserve"> CONSTRUCTION MATERIALS AND SUPPLIES</t>
  </si>
  <si>
    <t xml:space="preserve"> 1 unit 	Dual-powered solar dryer</t>
  </si>
  <si>
    <t xml:space="preserve"> Republic of the Philippines Province of Batangas Municipality of San Juan BIDS AND AWARDS COMMITTEE INVITATION TO APPLY FOR ELIGIBILITY AND TO BID THE LOCAL GOVERNMENT UNIT OF BRGY. SAMPIRO,  SAN JUAN, BATANGAS, through its Bids and Awards Committee (BAC)</t>
  </si>
  <si>
    <t xml:space="preserve"> PROCUREMENT OF MATERIALS FOR THE CONSTRUCTION OF DRAINAGE SYSTEM AT LAPUAK PHASE - I				 ABC: 692,500.00				 				 46	cu.m	Gravel 2' dia.		 690	bags	Portland Cement		 547	pcs	12mm dia. X 6.0 deformed bar		 69	cu.m	Riversand		 2000	db.ft.	Form Lumber		 10	p</t>
  </si>
  <si>
    <t xml:space="preserve"> 1	1	Unit	Water Dispenser 			Hot and Cold 			Compressor Cooling 			Floor-Standing 			1 Year Warranty on Parts &amp; Service 2	1	Unit	Refrigerator 2 Door 			8.0 cu.ft. Two Door Top Freezer Refrigerator 			Inverter Linear Compressor 			Door Cooling 			Tempered G</t>
  </si>
  <si>
    <t xml:space="preserve"> SMART CARD 78PCS GLOBE CARDS 110PCS TM CARDS 59PCS</t>
  </si>
  <si>
    <t xml:space="preserve"> Republic of the Philippines PROVINCE OF SOUTHERN LEYTE Maasin City Invitation to Bid for the Procurement of Banana Cardava Plantlets  Contract ID # 2020-07-07-368PG 1.	The Provincial Government of Southern Leyte through the PAGSO - Other Maintenance and O</t>
  </si>
  <si>
    <t xml:space="preserve"> 1	7	bottle	Epson L3110 Refill Ink, black	 2	7	bottle	Epson L3110 Refill Ink, cyan	 3	7	bottle	Epson L3110 Refill Ink, magenta	 4	7	bottle	Epson L3110 Refill Ink, yellow	 5	2	units	External Hard Drive,1TB	 				 APPROVED BUDGET FOR THE CONTRACT: PHP 21,942.</t>
  </si>
  <si>
    <t xml:space="preserve"> I. Removal of Existing Structures II. Chipping of Concrete III. Concrete Works (Stairs &amp; Columns) IV. Masonry Works V. RSB VI. Plastering Works VII. Electrical Works VIII, Ceiling Works IX. Forms &amp; Scaffoldings X. Plumbing Works XI. Tile Works XII. Doors </t>
  </si>
  <si>
    <t xml:space="preserve"> PROJECT: DISSILTING OF CREEK FOR FLOOD PREVENTION LOCATION: BICOS, RIZAL, NUEVA ECIJA DESCRIPTION: L=200.0M, W=6.0M, H=3.0M SOURCE OF FUND: CALAMITY FUND ABC: PHP 150,000.00</t>
  </si>
  <si>
    <t xml:space="preserve"> 1 LOT 	Manila: 1.	Customer Service Training for 1 Batch on June 20-22, 2020 	Qualification  1.	Global leader in professional training; 2.	Trainers undergo a strict and standardized qualification program and training overseas and locally; 3.	Offers profess</t>
  </si>
  <si>
    <t xml:space="preserve"> Republic of the Philippines Province of Pangasinan MUNICIPALITY OF LINGAYEN BARANGAY MANIBOC Invitation to Bid    1. The Barangay Maniboc, through the Barangay  Development Fund CY 2020 intends to apply the sum of  One  Million Two Hundred Sixty Seven  Th</t>
  </si>
  <si>
    <t xml:space="preserve"> Losartan 50mg Metoprolol 50mg Ascorbic Acid 500mg Multivitamins capsule Surgical Masks</t>
  </si>
  <si>
    <t xml:space="preserve"> Please quote your lowest price on the line items.</t>
  </si>
  <si>
    <t xml:space="preserve"> City Anti Drug Abuse Council CMO/ SPORTS DEV. DIVISION Please see attached file/document on associated components or BAC website www.davaocityportal.com (BAC posting) for the complete descriptions, terms of conditions and terms of references. Bidding will</t>
  </si>
  <si>
    <t xml:space="preserve"> This project is by lot, partial bid is not accepted LOT JANITORIAL SERVICES 1 JANITORIAL SERVICES *Equivalent Monthly Rate(EMR)/Average Pay/Month (305.00 x 261/12)= 6633.75 *COLA (RB XIII-12) (15 x 261/12)=326.25, *Five day service leave rate (pro rated) </t>
  </si>
  <si>
    <t xml:space="preserve"> NOTICE FOR NEGOTIATED PROCUREMENT Publication: June 16, 2020 Closing: June 19, 2020 Name of Project	Road Concreting at Barangay Paoa, Vigan City Approved Budget for the Contract	 ₱200,000.00 Contract Period:	6 days Item No.	SCOPE OF WORKS	QTY	UNIT	UNIT CO</t>
  </si>
  <si>
    <t xml:space="preserve"> Republic of the Philippines								 Province of Negros Occidental								 Municipality of La Castellana								 Bids and Awards Committee								 								 INVITATION TO APPLY FOR ELIGIBILITY AND TO BID								 								 Name of Project: 		PURCHASE OF MEDIC</t>
  </si>
  <si>
    <t xml:space="preserve"> Please quote your best price 150 boxes of Surgical Gloves (Size 7.5) 100 pcs\ box ABC 150,000.00 150 boxes of Surgical Gloves (Size 8) 100 pcs\ box ABC 150,000.00 Please email your quotation Please download canvass form</t>
  </si>
  <si>
    <t xml:space="preserve"> 14 cavans Rice and 14 other LI</t>
  </si>
  <si>
    <t xml:space="preserve"> PLEASE SEE THE ATTACHMENT</t>
  </si>
  <si>
    <t xml:space="preserve"> Concreting of Local Road, Siempre Eterno, Paloyon Proper, Nabua, Camarines Sur</t>
  </si>
  <si>
    <t xml:space="preserve"> 1 Set	Water Retort Chamber with Accessories 	 	(steam boiler and cooling tower)	 		 	A. Counter Pressure Retort ,2 - baskets capacity	 	  -  Horizontal type, Stainless Steel T304 type materials	 	  -  Dimensions: L220mm x Diameter 1200mm	 	  -  2" thick r</t>
  </si>
  <si>
    <t xml:space="preserve"> INVITATION TO APPLY FOR ELIGIBILITY AND TO BID The Barangay Council of San Ramon, Bula, Camarines Sur, through its Bids and Awards Committee (BAC), invites suppliers/ contractors to apply for eligibility and to bid for the hereunder projects: Name of Proj</t>
  </si>
  <si>
    <t xml:space="preserve"> Republic of the Philippines PROVINCE OF SOUTHERN LEYTE Maasin City Invitation to Bid for the Procurement of Various Catering Services &amp; Training Materials  Contract ID # 2020-07-07-369PG 1.	The Provincial Government of Southern Leyte through the PAGSO – O</t>
  </si>
  <si>
    <t xml:space="preserve"> CTTMO PR # 2004-001 1 20 Gallon/s Adhesive, stikwel  2 100 Pack/s Calsomine, powder  3 100 Piece/s Paint Brush No.4  4 133 Piece/s Paint Roller Try  5 6 Roll/s Rope, nylon, no. 24 color yellow, 200mtrs  1. All quoted shall be inclusive of VAT. 2. Allquote</t>
  </si>
  <si>
    <t xml:space="preserve"> OFFICE OF THE BIDS AND AWARDS COMMITTEE (BAC)                                                                                                     Notice No     : 2020-245                                                                                     </t>
  </si>
  <si>
    <t xml:space="preserve"> 1. The Department of Agriculture – Regional Field Office – Cordillera Administrative Region (DA-RFO-CAR) intends to apply part of its CY 2020 General Appropriation Act (GAA) the total sum of Nine Hundred Ninety Four Thousand Four Hundred Ten Pesos (P994,4</t>
  </si>
  <si>
    <t xml:space="preserve"> Republic of the Philippines Province of Abra Municipality of Pilar  Invitation to Bid for Construction of Flood Control 1.	The Municipality of Pilar, through the RA 7171 to apply the sum of Php25,000,000.00 being the Approved Budget for the Contract (ABC)</t>
  </si>
  <si>
    <t xml:space="preserve"> 2BOX OF FOLDER, WHITE, LEGAL 10BOX OF PAPER FASTENER, PLASTIC 1PC OF PUNCHER, paper, heavy duty, with two hole guide 4BOX OF ERASER, PLASTIC/RUBBER, for pencil draft/writing 40UNIT OF Calculator, SCIENTIFIC 1PC OF In and Out filer 10PCS OF Staple # 35  25</t>
  </si>
  <si>
    <t xml:space="preserve"> Name of Project: CONS. AND IMPROVEMENT OF TABBAC FOOTRAIL					 Location: Sapid, Mankayan, Benguet					 Materials:					 Description		Qty.	Unit	Unit Cost	Amount 1x4x10 lumber forms		98.1	bd.ft	50.00	 4,905.23  Assorted common nails		9	kgs	95.00	855.00 port </t>
  </si>
  <si>
    <t xml:space="preserve"> The detailed Bill of Materials is attached to the Bid Forms.</t>
  </si>
  <si>
    <t xml:space="preserve"> Concreting of Local Road, Dolorosa, Nabua, Camarines Sur</t>
  </si>
  <si>
    <t xml:space="preserve"> SNACKS</t>
  </si>
  <si>
    <t xml:space="preserve"> Please see attached Invitation to Bid (ITB) and Purchase Request (PR).</t>
  </si>
  <si>
    <t xml:space="preserve"> PROCUREMENT OF TOOLS AND EQUIPMENT FOR CITY ENGINEER'S OFFICE				 ABC: 1,188,509.64				 				 1	unit	Surveying Instrument		 1	unit	Road Concrete Cutter with 10 blades		 2	units	Welding Machine 500 ampere		 1	unit	Electric Bar Cutting Machine 32mm dia.		 1	</t>
  </si>
  <si>
    <t xml:space="preserve"> INVITATION TO BID FOR  1.	The Municipal Government of Coron, Palawan, through the 2020 Annual Municipal Budget intends to apply the sum of One Million Nine Hundred Twenty Seven Thousand Eight Hundred Twenty S Pesos (PhP1,927,827.00) being the Approved Bud</t>
  </si>
  <si>
    <t xml:space="preserve"> TO BE USED BY THE SHS TEACHERS AND GRADE 11- MARRIOTT STUDENTS FOR THE PRESENTATION OF THEIR AUDIO-VISUAL MATERIALS.</t>
  </si>
  <si>
    <t xml:space="preserve"> RFQ-2020-171		 			 1.	30	btls	Multivitamins 2.	30	btls	Antibiotics 			 	Deadline for Submission of Bids: June 22, 2020, 11:00 AM		 			PAYMENT TERM: 90 DAYS</t>
  </si>
  <si>
    <t xml:space="preserve"> SULTAN KUDARAT STATE UNIVERSITY  OFFICE OF BIDS AND AWARDS COMMITTEE 2ND FLOOR, ADMINISTRATION BUILDING ACCESS, EJC MONTILLA, TACURONG CITY INVITATION TO BID FOR Machinery &amp; Equipment Outlay for the Purchase of Various Equipment for the use of Science Lab</t>
  </si>
  <si>
    <t xml:space="preserve"> Procurement of Cattle Fattening Supplies</t>
  </si>
  <si>
    <t xml:space="preserve"> Republic of the Philippines                   Department of Health	       CENTRAL OFFICE BIDS AND AWARDS COMMITTEE  PROCUREMENT OF TROCLOSENE SODIUM IB No. 2020- 176 1.	The Department of Health (DOH), through the General Appropriations Act of 2020 intends</t>
  </si>
  <si>
    <t xml:space="preserve"> PROJECT:CONSTRUCTION OF SEPTIC VAULT FOR HEALTH CARE WASTE LOCATION: SAN GREGORIO, RIZAL, NUEVA ECIJA DESCRIPTION: 10 X 2 = 20.0 SQ.M. SOURCE OF FUND: 20% MUNICIPAL DEVELOPMENT FUND ABC: PHP 200,000.00</t>
  </si>
  <si>
    <t xml:space="preserve"> Department of Public Works and Highways Contract ID:	20NA0070 Title: 		Concreting of Brgy. Sangay FMR, Buenavista, Agusan del Norte Location:		Buenavista, Agusan del Norte ___________________________________________________________________________________</t>
  </si>
  <si>
    <t xml:space="preserve"> *PAINT - Acrytex Gloss (80 gallons) *PAINT - Acrytex Primer (50 gallons) *PAINT - Acrytex Reducer (30 gallons) *ROOFING - G.I. Corrugated Sheet 3' x 10', Ga. 24 (0.30mm thk) (200 sheets) *PLYWOOD (MARINE) - 4' x 8' x 5mm thk (200 sheets) *Please see attac</t>
  </si>
  <si>
    <t xml:space="preserve"> PROCUREMENT OF VARIOUS MACHINERIES AND EQUIPMENT FOR THE USE OF MDRRM OPERATION CENTER, TIGBAUAN, ILOILO.</t>
  </si>
  <si>
    <t xml:space="preserve"> CITY HEALTH OFFICE -- Assorted Eye Glasses -- Please see attached file/document on associated components or BAC website www.davaocityportal.com (BAC posting) for the complete descriptions, terms of conditions and terms of references. Bidding will be condu</t>
  </si>
  <si>
    <t xml:space="preserve"> CSSDO 1 2320 Can/s Beef Loaf 150 grams per can  2 210 Sack/s Rice (50kls) per sack, Well-milled, Good Quality  Delivery Period : 15 Days Upon Receipt of Approved P.O. Please see attached file/document on associated components or BAC website www.davaocityp</t>
  </si>
  <si>
    <t xml:space="preserve"> CONSTRUCTION OF DEEP WELL, CONCRETE FLOORING AND COVER, INSTALLATION OF ELECTRIC PUMP &amp; PIPPINGS AND INSTALLATION OF 750.00 LINEAR METERS PIPELINES.</t>
  </si>
  <si>
    <t xml:space="preserve"> 14	unit 	Chest type freezer/chiller - Chest type, Two door, 18 cu ft, Inverter 1	unit 	Ice cream machine - 304 stainless steel blade with adjustable scrapers,  		     ABS Housing, Air cooled,  304 stainless steel inner bowl, Large opening:  		     Allows </t>
  </si>
  <si>
    <t xml:space="preserve"> Republic of the Philippines                   Department of Health	       CENTRAL OFFICE BIDS AND AWARDS COMMITTEE  PROCUREMENT OF RED EVACUATED TUBE IB No. 2020- 189 1.	The Department of Health (DOH), through the General Appropriations Act of 2020 intend</t>
  </si>
  <si>
    <t xml:space="preserve"> 6	pairs	MAONG PANTS SIZE 28-30 6	pairs	MAONG PANTS SIZE 26-28 6	pairs	MAONG PANTS SIZE 24-26 6	pairs	MAONG PANTS SIZE 22-24 6	pairs	MAONG PANTS SIZE 20-22 6	pairs	MAONG PANTS (GARTERIZED SIZED 18-20) 6	pairs	MAONG PANTS (GARTERIZED SIZED 16-18) 6	pairs	MA</t>
  </si>
  <si>
    <t xml:space="preserve"> Please see attached Request for Quotation.</t>
  </si>
  <si>
    <t xml:space="preserve"> The Local Government Unit of Barugo, through the 20% Project Development Fund intends to apply the sum of Two Million Six Hundred Fifty Thousand Pesos (Php2,650,000.00)  being the Approved Budget for the Contract (ABC) to payments under the contract for P</t>
  </si>
  <si>
    <t xml:space="preserve"> Meatloaf, 150g 48's Sardines, 155g 100's Noodles 3 in 1 Coffee Corned beef</t>
  </si>
  <si>
    <t xml:space="preserve"> 47	bags	Portland Cement 3	cu.m.	Sand (S1) 6	cu.m.	Gravel (G1) 141	pcs	10mmØ x 6m RSB 112	pcs	12mmØ x 6m RSB 11	kgs	#16 G.I. Tie Wire 8	pcs	6mm thk ordinary plywood 174.3	bd.ft.	2”x2”x10’ good lumber 5	kgs.	Assorted CW Nails</t>
  </si>
  <si>
    <t xml:space="preserve"> REPUBLIC OF THE PHILIPPINES PROVINCE OF ORIENTAL MINDORO MUNICIPALITY OF GLORIA NOTICE OF REQUEST FOR QUOTATION The Municipality of Gloria through its Bids and Awards Committee (BAC) will undertake alternative mode of procurement, small value procurement </t>
  </si>
  <si>
    <t xml:space="preserve"> Republic of the Philippines						 City Government of Davao						 						 INVITATION TO BID						 for Infrastructure Projects B13-2020						 						 The City Government of Davao now invites bidders for the project/s under B13-2020 as listed below.   The pros</t>
  </si>
  <si>
    <t xml:space="preserve"> Materials Labor SCHEDULE OF BIDDING Advertisement/Posting – June 16-23, 2020 Issuance of Bid Documents – June 16-24, 2020 Submission and Opening of Bids – June 24, 2020 (Wednesday, 10:00 AM, General Services Office Conference Room, Municipal Compound, Nat</t>
  </si>
  <si>
    <t xml:space="preserve"> Completion of Concreting of Local  Road, Inapatan to Angustia, Nabua, Camarines Sur</t>
  </si>
  <si>
    <t xml:space="preserve"> OFFICE OF THE BIDS AND AWARDS COMMITTEE (BAC)                                                                                                     Notice No     : 2020-246                                                                                     </t>
  </si>
  <si>
    <t xml:space="preserve"> FABRICATION : I MASONRY AND METAL WORKS  BREAKDOWN OF EXPENDITURES :  I.  MATERIALS        -       P   71,185.00  II. LABOR              -            28,800.00                                     ______________      TOTAL              -       P    99,985.</t>
  </si>
  <si>
    <t xml:space="preserve"> INVITATION TO BID FOR THE SUPPLY, DELIVERY AND COMMISSIONING OF OPHTHALMIC ULTRASOUND A/B SCAN WITH UBM 1.  The Cagayan Valley Medical Center (CVMC), intends to apply the sum Three Million Pesos (Php   3,000,000.00 ) being the Approved Budget for the Cont</t>
  </si>
  <si>
    <t xml:space="preserve"> See attach RFQ,.</t>
  </si>
  <si>
    <t xml:space="preserve"> INVITATION TO BID  Please quote your lowest price inclusive of VAT on the item/s listed below, subject to the Terms and Conditions of this RFQ, and submit your quotation duly signed by your representative not later than June 19, 2020 at 2 in the afternoon</t>
  </si>
  <si>
    <t xml:space="preserve"> 2 pcs 8 stack Variloop Antenna / VHF 1 pc RGB (50 Ohms) Coaxial Cable 1 set System Design and Installation -repeater set-up (frequency testing, tuning and others) -antenna set up -coaxial cable termination and installation 6 pcs PL259 Connector 1 set Copp</t>
  </si>
  <si>
    <t xml:space="preserve"> Republic of the Philippines					 Province of Southern Leyte					 Municipality of Silago					 					 REQUEST FOR QUOTATION(RFQ)					 ______________________________________					                                           Date					 ____________________________</t>
  </si>
  <si>
    <t xml:space="preserve"> 1 Set Submersible Motor: 3HP, 1PH, 220 V, 3450 RPM, 60Hz, 14 inches diameter and Control Box 3HP including Pull Out and Install and Testing and Commissioning</t>
  </si>
  <si>
    <t xml:space="preserve"> 1	Wireless Ink Tank Printer	2 units 	Specification:	 	    Automatic   Duplex	 	    Print, Scan, Copy, Fax up to A3+ with	 	   ADF Printer	 	     High Speed Duplex Printing	 	     Printspeed up to 32ppm/20ppm	 	     With a 35-sheet duplex ADF unit 	 	     </t>
  </si>
  <si>
    <t xml:space="preserve"> BCCAD 1 1000 Piece/s Umbrella  Delivery Period : 30 Days Upon Receipt of Approved P.O. Please see attached file/document on associated components or BAC website www.davaocityportal.com (BAC posting) for the complete descriptions, terms of conditions and t</t>
  </si>
  <si>
    <t xml:space="preserve"> Invitation to Quote The Philippine Charity Sweepstakes Office thru the Procurement Division, General Services Dept. announces the purchase and procurement of the above listed item/s. All interested suppliers may secure the standard sealed quotation/canvas</t>
  </si>
  <si>
    <t xml:space="preserve"> Request for Quotation Cheese Cake 35x10s						65	pack Chocolate bar cake						65	pack Pansit canton						10	bx Rice 50kls						10	sack Juice in can 240ml x 24s						12	bx Coffee original 3 in 1						30	pack Corned Beef 175g x 48's						2	bx Mineral Water </t>
  </si>
  <si>
    <t xml:space="preserve"> OFFICE OF THE BIDS AND AWARDS COMMITTEE (BAC)                                                                                                     Notice No     : 2020-248                                                                                     </t>
  </si>
  <si>
    <t xml:space="preserve"> OFFICE OF THE BIDS AND AWARDS COMMITTEE (BAC)                                                                                                     Notice No     : 2020-247                                                                                     </t>
  </si>
  <si>
    <t xml:space="preserve"> 1 lot Additional 22 seaters for the existing H-Tech  "Hello-3" Digital Language Learning System A.22 units Students Unit Hello-3 Features 1.Digital flat switch panel. Spill proof. 2.Stereo sound reproduction and two track recording  L+R, L+L, R+R, LR+LR t</t>
  </si>
  <si>
    <t xml:space="preserve"> Republic of the Philippines PROVINCE OF SOUTHERN LEYTE Maasin City Invitation to Bid for the Procurement of Catering Services, Venue/Rental, Training Supplies &amp; Materials and Agricultural Supplies  Contract ID # 2020-07-07-370PG 1.	The Provincial Governme</t>
  </si>
  <si>
    <t xml:space="preserve"> NOTICE OF NEGOTIATED PROCUREMENT (Two Failed Biddings) TO ALL INTERESTED BIDDERS We are pleased to invite you in our negotiation conference for the project requirements requirement To hire contractor to provide materials, labor and equipment for six (6) I</t>
  </si>
  <si>
    <t xml:space="preserve"> NOTICE OF NEGOTIATED PROCUREMENT (Two Failed Biddings) TO ALL INTERESTED BIDDERS We are pleased to invite you in our negotiation conference for the project requirements “To hire contractor to provide materials, labor, and equipment for the “Additional App</t>
  </si>
  <si>
    <t xml:space="preserve"> Please quote your lowest price on the item/s listed below, subject to the  General Conditions on this page, stating the shortest time of delivery and  submit your quotation duly signed by your representative not later than ten  (10) days upon receipt of t</t>
  </si>
  <si>
    <t xml:space="preserve"> The Pasay City Government – General Services Office, through its Bids and Awards Committee, intends to apply the sum of Three Hundred Fifty Four Thousand Two Hundred Fifty Pesos (Php354,250.00) being the Approved Budget for the Contract (ABC) for the  pro</t>
  </si>
  <si>
    <t xml:space="preserve"> Concreting of Local Road at Topas Proper, Nabua, Camarines Sur</t>
  </si>
  <si>
    <t xml:space="preserve"> Procurement of Sewing machines and Stainless Rack for Kitchen Utensils</t>
  </si>
  <si>
    <t xml:space="preserve"> PROCUREMENT OF MATERIALS FOR ELECTRICAL TRANSMISSION OF ROAD NETWORK AT BALOBO RESETTLEMENT PHASE-1				 ABC: 558,530.00				 				 1800	mtrs.	Wire ACSR #2		 610	mtrs.	Wire ACSR # 1/0		 3	pcs	Pole Top Pin		 3	pcs	Pin Insulator		 4	pcs	Suspension		 8	pcs	Mach</t>
  </si>
  <si>
    <t xml:space="preserve"> INVITATION TO BID Project Name:	Construction of Multi-Purpose Building Name of Bidder:	 Address :	 ITB Number:	BUSO – 001-20 ABC	P 444,728.50 Project Duration	66 Calendar Days Please quote your lowest price on the item/s listed below, stating the shortest</t>
  </si>
  <si>
    <t xml:space="preserve"> see attached RFQ &amp; menu</t>
  </si>
  <si>
    <t xml:space="preserve"> Republic of the Philippines CENTRAL BICOL STATE UNIVERSITY OF AGRICULTURE Impig, Sipocot, Camarines Sur 4408 Website: www.cbsua.edu.ph INVITATION TO BID     CBSUA-SIP-INFRA-01-2020 Design and Build of 3-Storey Solar Powered Gender-Neutral Student Dormitor</t>
  </si>
  <si>
    <t xml:space="preserve"> 20   bot    brother toner (printer &amp; xerox) 50   cart   Epson 003 black 50   cart   Epson 003 cyan 50   cart   Epson 003 magenta 50   cart   Epson 003 yellow 8     pc     ballpen pilot 265 pc     ballpen HBW 100 pc     ballpen, black, retractable 100 pc, </t>
  </si>
  <si>
    <t xml:space="preserve"> Please quote your best price 250 boxes of Levothyroxine Thydin 12.5 mcg (100 pcs\ box) ABC 112,500.00 250 boxes of Levothyroxine Thydin 25 mcg (100 pcs\ box) ABC 137,500.00 150 boxes of Levothyroxine Thydin 50 mcg (100 pcs\ box) ABC 93,750.00 Please email</t>
  </si>
  <si>
    <t xml:space="preserve"> 5	 Pieces	With Side Drawers (1.2M) Materials: MDF Board Size: L120xW60x76HCM 2	 Pieces	With Side Drawers (1.4M) Material: MDF Board Size: L140xW70x76HCM 45	 Pieces	Executive Chair Material: Leatherette Chrome Leg Color: Black Leather 5	 Pieces	Senior Exec</t>
  </si>
  <si>
    <t xml:space="preserve"> This project entails labor and materials for the rehabilitation /construction of 4 units Purok Marker at Brgy. Binisitahan Norte, Magallanes, Sorsogon.</t>
  </si>
  <si>
    <t xml:space="preserve"> electrical materials and supplies</t>
  </si>
  <si>
    <t xml:space="preserve"> PLEASE SEE ATTACHED COMPONENTS</t>
  </si>
  <si>
    <t xml:space="preserve"> PURCHASE OF RDT DETECTION OF DEGUE NSI ANTIGEN &amp; 1GM AND 1gG ANTIBODIES COMBINED, CHO</t>
  </si>
  <si>
    <t xml:space="preserve"> June 15, 2020                                                                   	          Solicitation No.: RFQ2020-06-02 REQUEST FOR QUOTATION The Fertilizer and Pesticide Authority, through its Bids and Awards Committee (BAC), invites interested partie</t>
  </si>
  <si>
    <t xml:space="preserve"> TO BE USED BY THE SCHOOL CLINIC FOR THE STUDENTS AND TEACHERS' HEALTH-RELATED NEEDS AND DURING MEDICAL EMERGENCY CASES.</t>
  </si>
  <si>
    <t xml:space="preserve"> see attached associated component documents</t>
  </si>
  <si>
    <t xml:space="preserve"> 1,630 liters diesel</t>
  </si>
  <si>
    <t xml:space="preserve"> Republic of the Philippines CITY GOVERNMENT OF SAN FERNANDO City Hall Building, F. Ortega Highway Tel. No. (072)8886901, (072) 867-8100/Fax No. (072)8886907 Website: www.sanfernandocity.gov.ph Email: csflu_98@yahoo.com INVITATION TO BID FOR  CONSTRUCTION </t>
  </si>
  <si>
    <t xml:space="preserve"> Diesel Consumption of Maasin LHIO Service Vehicle</t>
  </si>
  <si>
    <t xml:space="preserve"> Republic of the Philippines Province of Quezon Municipality of Atimonan INVITATION FOR ELIGIBILITY AND TO BID 	The Local Government Unit of Atimonan thru the Bids and Awards Committee (BAC) invites interested suppliers/contractors to apply for eligibility</t>
  </si>
  <si>
    <t xml:space="preserve"> 1	Unit 	Biology Table w/ End Sink, 10 Seaters 		Dimension: 		   3600mm L x 800mm W x 850mm H 		Table top: 		Molded resin top (acid resistant), one pc. 		Molded resin edge less and semi gloss finish. 		Base: Epoxy coated steel tubular base and frames with </t>
  </si>
  <si>
    <t xml:space="preserve"> 1  Vermicast    415    sacks</t>
  </si>
  <si>
    <t xml:space="preserve"> Supply and Delivery of Kitchen Supplies for HRM Laboratory of SDSSU Tagbina Campus Lot A- P 88,000.00 Lot B- P 25,300.00 Please see attached Request for Quotation (RFQ)</t>
  </si>
  <si>
    <t xml:space="preserve"> INVITATION TO BID SUPPLY AND DELIVERY OF IT EQUIPMENT AND ACCESSORIES FOR THE CITY HEALTH OFFICE – 2ND BIDDING 1.	The Local Government Unit of Cabadbaran City through the GENERAL FUND intends to apply the sum of TWO HUNDRED FIFTY-FIVE THOUSAND FOUR HUNDRE</t>
  </si>
  <si>
    <t xml:space="preserve"> Construction of Bridge ( Phase I &amp; Phase II) at Antipolo Old, Nabua, Camarines Sur</t>
  </si>
  <si>
    <t xml:space="preserve"> Name of  Procuring Entity : DPWH Isabela 4th DEO				 Request for Quotation /(PR No.)		:RFQ-2020-0010 (RE-ADVERTISED)	/	Various PR # Requested on				Date		:June 15, 2020		 Standard Form/Title: REQUEST FOR QUOTATION			 Office/End-User		:Isabela 4th DEO		 		</t>
  </si>
  <si>
    <t xml:space="preserve"> .                               - Republic of the Philippines CITY OF MARIKINA SF-GOOD-05											Mkna-GSO-20-271                                Revised on: July 28, 2004				 														 	BIDS AND AWARDS COMMITTEE		 NOTICE OF PROPOSED PROCUREMENT The</t>
  </si>
  <si>
    <t xml:space="preserve"> 1 unit Laptop Minimum Specifications:            Intel Core i5 Processor            RAM: 8gb, 32GB            Memory Type: DDR4            Memory Speed: 2400MHz, 2666MHz            Memory Expandable: Max 32gb            Memory Slots: 2 slots            St</t>
  </si>
  <si>
    <t xml:space="preserve"> 20-10042</t>
  </si>
  <si>
    <t xml:space="preserve"> Bond Paper Long(Cactus) Bond paper short (cactus) Computer Ink (Epson) Ballpen (Fabel Castel) Log Book (150 pages) Columnar (24c) Pentel Pen (Pilot) Folder Long (Assorted) Fastener  Correction Tape (joy) Staple Wire (big) Stapler (Big) Puncher (Big) Yello</t>
  </si>
  <si>
    <t xml:space="preserve"> 6	pcs	Tarpaulin 2x3       1	pc	Tarpaulin 3x4</t>
  </si>
  <si>
    <t xml:space="preserve"> Republic of the Philippines Province of Bohol MUNICIPALITY OF DANAO INVITATION TO BID FOR  PROCUREMENT OF OFFICE SUPPLIES FOR LGU-DANAO, BOHOL 2ND QUARTER OF FY 2020 1.	The Municipality of Danao, Bohol, through the General Fund of the Local Government Uni</t>
  </si>
  <si>
    <t xml:space="preserve"> Item No.	Quantity	Unit of Issue	Item Description SLP-1	         19.72	Cu.m.	               Excavation SLP-11	 4.788	Cu.m.  	       Concrete Post 704	         102.0	Sq. m.	       Masonry</t>
  </si>
  <si>
    <t xml:space="preserve"> Republic of the Philippines 	Province of Pangasinan 	Municipality of Infanta 	Barangay Poblacion 	BIDS AND AWARDS COMMITTEE 	 Invitation to Bid for CONCRETING OF ACCESS ROAD @ SAN ROQUE ST., POBLACION, INFANTA, PANGASINAN 1.	The BARANGAY POBLACION, INFANT</t>
  </si>
  <si>
    <t xml:space="preserve"> Please quote your lowest price on the items in the line item.</t>
  </si>
  <si>
    <t xml:space="preserve"> Republic of the Philippines CITY OF BAIS BIDS AND AWARDS COMMITTEE NOTICE FOR NEGOTIATED PROCUREMENT (53.9) (SMALL VALUE PROCUREMENT) 	The City Government of Bais invites interested suppliers to apply for small value procurement for the supply and deliver</t>
  </si>
  <si>
    <t xml:space="preserve"> Quantity    Unit       Description 1              Pails      Quick Dry Enamel 1              Gallons  Paint Thinner 4              Pieces    Paint Brush No. 1 20            Pails       Latex Gloss 5              Pails       Latex Gloss (Red) 5            </t>
  </si>
  <si>
    <t xml:space="preserve"> 550 bag portland cement 4.32 cum fine aggregate 4.83 cum coarse aggregate 114 pc 10mm dia x 6m RSB 7.30kg #16 GI tie wire 150 pc 4" CHB 280 pc 5" CHB 1 pc GI pipe 2 1/2 sched 40 6 pc C purlins 2 x 3 (1.2mm) 4 pc GI tubular 2x4 9 pc corr GI sheet 12' 5 kg </t>
  </si>
  <si>
    <t xml:space="preserve"> Section I. Invitation to Bid   Republic of the Philippines CITY GOVERNMENT OF SAN FERNANDO City Hall Building, F. Ortega Highway Tel. No. (072)8886901, (072) 867-8100/Fax No. (072)8886907 Website: www.sanfernandocity.gov.ph Email: csflu_98@yahoo.com INVIT</t>
  </si>
  <si>
    <t xml:space="preserve"> OFFICE SUPPLIES AND DEVICES</t>
  </si>
  <si>
    <t xml:space="preserve"> Please refer to attached RFQ and sample letterhead</t>
  </si>
  <si>
    <t xml:space="preserve"> To our Suppliers, Request for Quotation forms are available at BAC Secretariat.</t>
  </si>
  <si>
    <t xml:space="preserve"> June 15, 2020 INVITATION TO BID  Reference No. 7046273 /Solicitation No.20-22 The City Government of Tagum invites interested Bidders/Suppliers to bid for the following: Name of Contract         :  CONSOLIDATED OFFICE SUPPLIES 2020 (2ND QUARTER)          </t>
  </si>
  <si>
    <t xml:space="preserve"> PURCHASE OF DESKTOP COMPUTER ETC., CHO, CALBAYOG CITY</t>
  </si>
  <si>
    <t xml:space="preserve"> INVITATION TO BID SUPPLY AND DELIVERY OF ONE (1) UNIT BRAND NEW GENERATOR SET FOR THE CITY HEALTH OFFICE – 2ND BIDDING 1.	The Local Government Unit of Cabadbaran City through the GENERAL FUND intends to apply the sum of FIVE HUNDRED THIRTY-TWO THOUSAND PE</t>
  </si>
  <si>
    <t xml:space="preserve"> 1	20	sacks	Rice 2	6	case	Beef Loaf (72cans/case) 3	6	case	Coffee 3 in 1 (12bags/30pcs) 4	5	case	Corned beef 150grams(100cans) 5	7	case	Sardines (100cans/case</t>
  </si>
  <si>
    <t xml:space="preserve"> Request for Quotation Date:  June 15, 2020 Quotation No.: 2020-006-001               										Mode of Proc.: Shopping To all Eligible Suppliers: 	Please quote your lowest price include of VAT on the item/s below, subject to the Terms and Conditions of th</t>
  </si>
  <si>
    <t xml:space="preserve"> Republic of the Philippines CITY GOVERNMENT OF SAN FERNANDO City Hall Building, F. Ortega Highway Tel. No. (072)8886901, (072) 867-8100/Fax No. (072)8886907 Website: www.sanfernandocity.gov.ph Email: csflu_98@yahoo.com INVITATION TO BID FOR  REHABILITATIO</t>
  </si>
  <si>
    <t xml:space="preserve"> Item No.	Quantity	Unit of Issue	Item Description 803 (1)	  7.01  	Cu.m.	                Structural Excavation 804	         33.04	Cu.m.	                Embankment 404     	301.28	Kgs.	                Reinforcing Steel Bars 405 (1)	3.11	        Cu.m.	      </t>
  </si>
  <si>
    <t xml:space="preserve"> Republic of the Philippines Province of South Cotabato BIDS AND AWARDS COMMITTEE City of Koronadal  (INF-ITB 20-003) INVITATION TO BID  PROJECT NAME/LOCATION/		          	          ABC/SOURCE OF FUND          PROJECT DURATION (BRIEF DESCRIPTION) 	 1.	Prov</t>
  </si>
  <si>
    <t xml:space="preserve"> TO BE USED BY THE SENIOR HIGH SCHOOL STUDENTS (GRADE 11&amp;12) IN THEIR HOUSEKEEPING TASKS SUCH AS CLEANING AND MAINTENANCE OF COMFORT ROOMS AND OTHER AREAS OF RESPONSIBILITY.</t>
  </si>
  <si>
    <t xml:space="preserve"> To be used by the Principal, ADAS, Heads, Guidance Office, and Clinic for storing of school documents/reports and supplies; to be used by the office for printing documents; and to be used by the ADAS and LIS coordinator for storing softcopies of files</t>
  </si>
  <si>
    <t xml:space="preserve"> Supply and Delivery of Classmate Chair without Book Tray of SDSSU Tagbina Campus Please see attached Request for Quotation (RFQ)</t>
  </si>
  <si>
    <t xml:space="preserve"> Republic of the Philippines SILAY CITY GOVERNMENT Zamora Street Silay City, Negros Occidental Telefax No. (034) 495-3746 	Control  Reference Number : GOODS#0121, ITB#0123,  PR#0364: SCG-2020 Name of the Project: Purchase of BIOMETRIC MACHINE to be use of </t>
  </si>
  <si>
    <t xml:space="preserve"> The City Government of San Pedro, Laguna invites interested parties to quote for the following item/s as per request  SPUDMO: Qty.	Unit of Issue	Item Description 		 		Landscaping and Landscape Maintenance Supplies 4	rolls	Water Hose (½)(90mts.length) 4	pc</t>
  </si>
  <si>
    <t xml:space="preserve"> 45 units - Periodic preventive maintenance of aircon units at DDB offices from July 2020 to December 2020 Scope of Services: 1. Monthly rotation for air filter cleaning and monitor cooling condition to avoid water dripping 2. Tabulate all electrical and c</t>
  </si>
  <si>
    <t xml:space="preserve"> PLEASE QUOTE PER: ITEM					SUPPLIER/CONTRACTOR/CONSULTANT'S PROPOSAL BOX		 Item No.	QTY	Unit of Measure	ITEM DESCRIPTION                                                 (ITEM NAME &amp; TECHNICAL SPECIFICATIONS)	Approved Budget for the Contract (ABC)	FINANCIA</t>
  </si>
  <si>
    <t xml:space="preserve"> Scope of Works: 1)  Electrical Works 1)  Please submit your quotation together with your eligibility requirements to the BAC Office, Ground Floor, Alonte Sports Arena, Brgy. Zapote., City of Binan, Laguna on June 22, 2020, on or before 10:00 AM.  Opening </t>
  </si>
  <si>
    <t xml:space="preserve"> BAC RESOLUTION NO. 316-2020 “A RESOLUTION RECOMMENDING “NEGOTIATED - SMALL VALUE PROCUREMENT” FOR THE VARIOUS PURCHASE REQUESTS (PR’s) FROM VARIOUS OFFICES OF THE CITY OF CABADBARAN” 	 NO.	PR NO.	END-USER	PARTICULARS	AMOUNT 1	1379	CGSO	PORTABLE PRESSURE W</t>
  </si>
  <si>
    <t xml:space="preserve"> see ITB attached</t>
  </si>
  <si>
    <t xml:space="preserve"> RM Machinery Equip-ICT Equipment</t>
  </si>
  <si>
    <t xml:space="preserve"> Design and Build for the Construction of the Proposed Sewerage Treatment Plant of the Municipality of Coron. Invitation to Bid  1.The Municipal Government of Coron, Palawan, through the 2020 Annual Municipal Budget intends to apply the sum of FIFTEEN MILL</t>
  </si>
  <si>
    <t xml:space="preserve"> The Office of Associate Justice Carandang of the Supreme Court, through the Procurement Section, invites interested suppliers to quote for the price/s of the item/s listed in the attached document (PLEASE DOWNLOAD) Please also provide "Eligibility Documen</t>
  </si>
  <si>
    <t xml:space="preserve"> 1	63	bots	Alcohol 70% (500ml) 2	140	cont.	Purified water (4ltrs/gal) 3	85	pouch	Detergent powder (1kl/plastic pouch) 4	60	pcs	Toilet Deodorizer 5	68	pcs	Waste basket plastic (asstd colors) 6	25	packs	Trash bag(470mm)18.5/10pcs/roll 7	25	packs	Toilet Tissu</t>
  </si>
  <si>
    <t xml:space="preserve"> Republic of the Philippines SILAY CITY GOVERNMENT Zamora Street Silay City, Negros Occidental Telefax No. (034) 495-3746 	Control  Reference Number : GOODS#0091, ITB#0092,  PR#0276: SCG-2020 Name of the Project: Purchase of Construction Materials for Cons</t>
  </si>
  <si>
    <t xml:space="preserve"> Please see the attached document.</t>
  </si>
  <si>
    <t xml:space="preserve"> 1 unit Generator -model: diesel generator -rated frequency: 60 Hz -rated voltage: 220V -primer power: 7.5 KVA -surge power: 6.1 KVA -power factor: 1 -see attached RFQ Form for more details.</t>
  </si>
  <si>
    <t xml:space="preserve"> 1) 1 unit - Tires 225/80/r  17.5 tubeless 2) 5 unit - Tires 8.25-16  14 pr with flaps &amp; tubes 3) 2 unit - Tires 7.50-16 LT with Flaps &amp; tubes 4) 5 unit - Tires 7.00 x 16 with flaps and tubes  For the use of Garbage compactors ad mini dumptrucks,City of Ta</t>
  </si>
  <si>
    <t xml:space="preserve"> SUBMERSIBLE PUMP “GRUNDFOS”SP 30-3  30 M3/hr rated cap. @ 50 meter TDH coupled with  SUBMERSIBLE MOTOR “Franklin”, 5hp, 440VAC, 3Phase with lead wire</t>
  </si>
  <si>
    <t xml:space="preserve"> 3 Units 2.5HP Split Type AC, Installation Supplies and Labor</t>
  </si>
  <si>
    <t xml:space="preserve"> Purchase of materials for INSET 2020 to be used in the development of teaching and learning</t>
  </si>
  <si>
    <t xml:space="preserve"> 1	Wooden Chairs, Pastel Color	35	 set  	Chair Dimension: Standard size (450x520x975mm)</t>
  </si>
  <si>
    <t xml:space="preserve"> 1	95	BOXES	m/v Capsule 2	126	bots	Ferrous Syrup 250ml 3	130	bots	Salbu+Guia 250ml 4	120	bots	Aluminum Mag. 120ml 5	129	BOXES	Metoprolol 50mg 6	119	boxes	Dicyloverine 10mg 7	129	bots	PNSS 1 liter 8	138	bots	D5 IMB 500cc 9	130	bots	D5LR 1 liter 10	120	bots	</t>
  </si>
  <si>
    <t xml:space="preserve"> REQUEST FOR QUOTATION SHOPPING OF (3 in 1) PHOTOCOPIER/SCANNER/PRINTER, LAPTOP, HARD DRIVE,               					    FLASH DRIVE AND PRINTER     RFQ No. 2020-02-003 The Obando Water District (OWD), through its Bids and Awards Committee (BAC), invites reputa</t>
  </si>
  <si>
    <t xml:space="preserve"> Supply, Fabrication and Installation of Acrylic Counter Shields: 1 Lot I. Specifications : Supply, Fabrication, Installation of Acrylic Counter Shields for IPOPHL’s: 1. Receiving: ● Size : (H) 70 cm (W) 676 cm ● Thickness : 6mm ● Color : Clear ● with five</t>
  </si>
  <si>
    <t xml:space="preserve"> Supply and Delivery of  One (1) Lot Construction Materials- 109,105.00 3 pc G.I. pipe, S40 Ø, 2" 24 pc C.G.I., 26x10 (pre-painted) 3 pc G.I. ridge rolls (pre-painted) 4 pc G.I. flushing (pre-painted) 16 pc Lumber, 2"x6"x10' 18 ps Lumber, 2"x4"x10' 45 pc L</t>
  </si>
  <si>
    <t xml:space="preserve"> INVITATION TO BID The MUNICIPALITY OF TABOGON through its Bids and Awards Committee (BAC), invites suppliers/manufacturers/distributors/contractors to apply eligibility and to bid for the hereunder project: Name of Project			: SUPPLY AND DELIVERY OF SUPPL</t>
  </si>
  <si>
    <t xml:space="preserve"> Please quote your lowest price on the SUPPLY AND DELIVERY OF OFFICE FURNITURE AND EQUIPMENT FOR HRM OFFICE  as specified below and submit your quotation duly signed by your representative not later than 2pm of  JUNE 19, 2020. 				 					 								    LEONOR</t>
  </si>
  <si>
    <t xml:space="preserve"> 2,500 bags Portland Cement</t>
  </si>
  <si>
    <t xml:space="preserve"> Republic of the Philippines Province of Davao Oriental City of Mati BIDS &amp; AWARDS COMMITTEE INVITATION TO BID (REBID) Procurement of MEDICAL SUPPLIES for the Use of DOPH LUPON SOURCE OF FUND: GENERAL FUND [4421-200A-200-5-02-03-080] 1.	The Provincial Gove</t>
  </si>
  <si>
    <t xml:space="preserve"> I. Excavation Works II. RSB III. Concrete Works IV.Forms and Scaffoldings SPL Construction Safety and Health</t>
  </si>
  <si>
    <t xml:space="preserve"> PLEASE SEE ATTACHED REQUEST FOR QUOTATION.</t>
  </si>
  <si>
    <t xml:space="preserve"> Construction materials</t>
  </si>
  <si>
    <t xml:space="preserve"> Please quote your best price 30 pcs of HP 680, Blk ABC 16,500.00 10 pcs of HP 680, Tricolor ABC 5,500.00 Please email your quotation Please download canvass form</t>
  </si>
  <si>
    <t xml:space="preserve"> Republic of the Philippines Province of South Cotabato BIDS AND AWARDS COMMITTEE City of Koronadal  (GOODS-ITB 20-004) INVITATION TO BID  PROJECT NAME/LOCATION/		          	          ABC/SOURCE OF FUND          PROJECT DURATION (BRIEF DESCRIPTION) 	 1.	Pr</t>
  </si>
  <si>
    <t xml:space="preserve"> Request for Quotation 72	pack	Cheese Cake 35x10s					 70	pack	Chocolate bar cake					 12	bx	Pansit canton					 12	sack	Rice 50kls					 12	bx	Juice in can 240ml x 24s					 30	pack	Coffee original 3 in 1					 2	bx	Corned Beef 175g x 48's					 5	bx	Mineral W</t>
  </si>
  <si>
    <t xml:space="preserve"> see attached Purchase request</t>
  </si>
  <si>
    <t xml:space="preserve"> Please submit your quotation for the following items on or before 5:00PM on Jun 26, 2020. ITEM D E S C R I P T I O N QTY. UNIT 1 Pipe, G.I. S-40 Std 1``Ø x 6m 27 pc 2 Steel, Flat Bar, ¾`` x ¼``, (20mm x 6mm) 27 pc 3 Steel, Matting, 2`` x 4.5mmØ 18 pc 4 We</t>
  </si>
  <si>
    <t xml:space="preserve"> INVITATION TO BID (2nd Bidding) The MUNICIPALITY OF TABOGON through its Bids and Awards Committee (BAC), invites suppliers/manufacturers/distributors/contractors to apply eligibility and to bid for the hereunder project: Name of Project			: SUPPLY AND DEL</t>
  </si>
  <si>
    <t xml:space="preserve"> Training Expense Projects, Program and Activities.</t>
  </si>
  <si>
    <t xml:space="preserve"> PURCHASE OF CONSTRUCTION MATERIALS FOR GULAYAN SA PAARALAN PERIMETER FENCE ( CEMENT, CHB #14, SAND, GRAVEL, G.I WIRE #16 AND THE LIKE</t>
  </si>
  <si>
    <t xml:space="preserve"> Invitation to Submit Quotation Date:  June 15, 2020 Canvass/Quotation No.: 2020-06-064  	 To All Eligible Service Providers/Bidders I. Please quote your lowest price inclusive of VAT on the items/ listed below, subject to the Terms and Conditions of this </t>
  </si>
  <si>
    <t xml:space="preserve"> To be used for rewiring and replacement of damaged electrical materials in the school</t>
  </si>
  <si>
    <t xml:space="preserve"> for installation and deliverey to DVTS Dumalag, Capiz</t>
  </si>
  <si>
    <t xml:space="preserve"> INSTALLATION OF STREETLIGHTS @ BRGY. LINAO, SAN ISIDRO, LEYTE</t>
  </si>
  <si>
    <t xml:space="preserve"> Provision of Catering Services good for 30 pax during the conduct of Video Tele Conference Meeting w Local Chief Executives on June 25,29 and July 1,6 and 7,2020 at DA-RFO 8,Tacloban City Scope of Work:  June 25,2020 A.M Snack: Spaghetti with Toasted Brea</t>
  </si>
  <si>
    <t xml:space="preserve"> Item No.	Quantity	Unit of Issue	Item Description 1	             1		                         Construction of Reservoir</t>
  </si>
  <si>
    <t xml:space="preserve"> 250 bags Ammonium Sulfate 200 bags Complete (14-14-14) 50 liters Herbicide (Glyphosate 480g/liter with epicacy test on abaca 50 liters Insecticide (Cypermetrin 50g/liter with epicacy test on abaca Note:  Inclusive of delivery at the following location: He</t>
  </si>
  <si>
    <t xml:space="preserve"> Supply and Delivery of : 1	250	mtrs	THW WIRE 38 mm2 2	4	sets	SECONDARY RACK 2P 3	2	rolls	ELECTRICAL TAPE (BIG) 			xxxxxxx</t>
  </si>
  <si>
    <t xml:space="preserve"> COVID !(  Medical supplies 1	box	KN95 Face Mask 2	box	Surgical Mask 3	box	Vinyl Gloves 4	can	Disinfectant Spray, 1L 5	gal.	Isoprophyl Alcoho l70%, Green Cross 6	unit	Knapsack Sprayer 7	gal.	Disinfectant Liquid Solution (Zonrox) 8	gal.	Handwashing Soap 9	s</t>
  </si>
  <si>
    <t xml:space="preserve"> 1	Charging Counter	2	 pcs  	Costumized with, 3 layers, 3 drawers at both end of the counter, made of hardwoord, with tiles, ceramic top and fully painted		 	Height 1st layer: 1.5 ft		 	Height 2nd layer: 1 ft		 	Height 3rd layer: 1 ft		 	Footer: 0.5 ft		 	</t>
  </si>
  <si>
    <t xml:space="preserve"> Republic of the Philippines Province of Davao Oriental City of Mati BIDS &amp; AWARDS COMMITTEE INVITATION TO BID (REBID) LOT Procurement of MATERIALS for Use in Urban Greening and Landscaping of the TOURISM PREMISES SOURCE OF FUND: 20% LGDF [8000PA-300-1-07-</t>
  </si>
  <si>
    <t xml:space="preserve"> 1.	The Compostela Water District, through the CWD GAA-2017 LOAN intends to apply the sum of Two Million Five Hundred Pesos (₱2,500,000.00) being the Approved Budget for the Contract (ABC) to payments under the contract for Supply, Delivery and Installatio</t>
  </si>
  <si>
    <t xml:space="preserve"> PCC at CMU invites suppliers for  20 tons of good quality Rice bran D2 with an ABC of 300,000. Suppliers must be a Philgeps registered with ANIMAL FEEDS, RICE MILL Category and so with its business permit. For more information, please visit the PCC at CMU</t>
  </si>
  <si>
    <t xml:space="preserve"> 1	2	pcs	Plastic Socket 2 inches 2	2	set	Switch 1" Gang Flush Type 3	4	pcs	Utility Box 4	1	pc	Circuit Breaker 15A 5	3	pcs	Junction Box 6	1	box	Insulated Staple #1 7	2	set	3 Gang Outlet Flush Type 8	2	pcs	LED Bulb 11 watts 9	1	kl	Electrical Tape 10	2	pcs	Ba</t>
  </si>
  <si>
    <t xml:space="preserve"> Please see attached Request for Quotation form for specifics.</t>
  </si>
  <si>
    <t xml:space="preserve"> Republic of the Philippines Province of Southern Leyte Municipality of Silago BIDS AND AWARDS COMMITTEE INVITATION TO BID FOR  Supply and Delivery of  DENTAL EQUIPMENT/FACILITY 1.   The Local Government Unit of Silago, Province of Southern Leyte, through </t>
  </si>
  <si>
    <t xml:space="preserve"> Name of Procuring Entity:  LGU-WAO                               			Request for Quotation (P.R. No.): Revised on:							   	  Date:   June 15, 2020 Standard Form/Title:   REQUEST FOR QUOTATION           			Office/End-User: MENRO                           </t>
  </si>
  <si>
    <t xml:space="preserve"> Republic of the Philippines			 Province of Negros Oriental			 Municipality of Amlan			 BIDS AND AWARDS COMMITTEE			 			 INVITATION TO BID			 			 The Municipality of Amlan, Negros Oriental invites all interested bidders/suppliers  to a competitive bidding </t>
  </si>
  <si>
    <t xml:space="preserve"> You can submit your accomplished RFQ form  @ BAC Office, Bogo City Hall, Cayang, Bogo City, Cebu  or email us @ bogobacoffice2019@gmail.com / 	      bogocpdo@gmail.com Not later than the closing date.</t>
  </si>
  <si>
    <t xml:space="preserve"> INVITATION TO BID Please quote your lowest price inclusive of VAT on the item/s listed below, subject to the Terms and Conditions of this RFQ, and submit your quotation duly signed by your representative not later than June 23, 2020 at 2 in the afternoon </t>
  </si>
  <si>
    <t xml:space="preserve"> 4 units of Laptop Specifications: -I3-1005GI Processor -4 GB TAM -1 TB HDD -15.6" Screen -Windows 10</t>
  </si>
  <si>
    <t xml:space="preserve"> Republic of the Philippines Province of Davao Oriental City of Mati BIDS &amp; AWARDS COMMITTEE INVITATION TO BID (REBID) Procurement of TIRES for Use in Mitsubishi Estrada of the Provincial Engineer’s Office SOURCE OF FUND: OLFP [1999Z4A-5-02-13-960-01] 1.	T</t>
  </si>
  <si>
    <t xml:space="preserve"> Republic of the Philippines City of Manila OFFICE OF THE CITY MAYOR BIDS AND AWARDS COMMITTEE INVITATION TO BID  The City Government of Manila, through the Special Education Fund FY 2020, intends to apply the following amounts for the following proposed p</t>
  </si>
  <si>
    <t xml:space="preserve"> see attached associated components.</t>
  </si>
  <si>
    <t xml:space="preserve"> Republic of the Philippines NATIONAL FOOD AUTHORITY Pawing, Palo, Leyte Region VIII INVITATION TO SUBMIT PRICE QUOTATION   PROCUREMENT OF   BRAND NEW ADMINISTRATIVE FACILITIES AND EQUIPMENT      FOR NFA EASTERN VISAYAS REGIONAL  OFFICE VIII AND NFA  PROVI</t>
  </si>
  <si>
    <t xml:space="preserve"> Republic of the Philippines Province of Davao Oriental City of Mati BIDS &amp; AWARDS COMMITTEE INVITATION TO BID Procurement of MEDICAL SUPPLIES for the Use of DOPH LUPON SOURCE OF FUND: GENERAL FUND [4421-200A-200-5-02-03-080-01] 1.	The Provincial Governmen</t>
  </si>
  <si>
    <t xml:space="preserve"> AUTOMATED EXTERNAL DEFIBRILLATOR (AED) • 7 inch TFT monitor with colour display • Manual mode allows for individual adjustment of shock strength (100 J to 360 J for adults, 10 J to 100 J for children) • Automatically recognises child and adult electrodes </t>
  </si>
  <si>
    <t xml:space="preserve"> DEPARTMENT OF PUBLIC WORKS AND HIGHWAYS Ifugao Second District Engineering Office Aguinaldo, Ifugao INVITATION TO BID The DPWH- Ifugao Second District Engineering Office Aguinaldo, Ifugao, through its Bids and Awards Committee (BAC), invites contractors t</t>
  </si>
  <si>
    <t xml:space="preserve"> The Maintenance Division of the Supreme Court, through the Procurement Section, invites interested suppliers to quote for the price/s of the item/s listed in the attached document (PLEASE DOWNLOAD) Please also provide "Eligibility Documents, Annex A"</t>
  </si>
  <si>
    <t xml:space="preserve"> 1		Stainless School Name 10 inch	1	 24,000.00  2		Stainless School I.D.	1	 6,000.00  3	pack	Grout	3	 450.00  4	pc	Hollowblock # 4	130	 1,950.00  5	pc	RSB 10 mm	12	 2,520.00  6	cubic	Sand &amp; Gravel 	3	 3,900.00  7	kg	Tie Wire # 16	1	 65.62  8	pc	Tiles 40 x </t>
  </si>
  <si>
    <t xml:space="preserve"> PCC at CMU through the Bids and Awards Committee invites suppliers for 20 tons of good quality Copra Meal with an ABC of 300,000. Supplier possess the ANIMAL FEED Category of Philgeps registration and also the business permit. For more info please visit t</t>
  </si>
  <si>
    <t xml:space="preserve"> Republic of the Philippines Province of Batangas MUNICIPALITY OF ALITAGTAG BARANGAY STA. CRUZ INVITATION TO BID FOR INSTALLATION OF LED STREET LIGHTS ALONG NATIONAL ROAD AT STA. CRUZ, ALITAGTAG, BATANGAS  	The Barangay Sta. Cruz, Alitagtag, Batangas throu</t>
  </si>
  <si>
    <t xml:space="preserve"> REQUEST FOR QUOTATION       SHOPPING OF PORTABLE SOUND SYSTEM, SOUND SYSTEM, CAMERA,  REFRIGERATOR, TELEVISION &amp; ELECTRIC OVEN  RFQ No. 2020-02-004 The Obando Water District (OWD), through its Bids and Awards Committee (BAC), invites reputable supplier to</t>
  </si>
  <si>
    <t xml:space="preserve"> Ink 003 (Black) - 10 bottle Ink 003 (Yellow)-5 bottle Ink 003 (Cyan)-5 bottle Ink 003 (Magenta) -5 bottle Cartridge # 810 Black - 10 cart. Cartridge # 811 Colored - 8 cart.</t>
  </si>
  <si>
    <t xml:space="preserve"> ITEM	QTY.	UNIT		ARTICLE AND DESCRIPTION				CEILING 					UNIT PRICE		TOTAL  								PRICE							 															 				Office: Department of Tourism, Culture and Arts of Manila				PR No. 830							 				Charge to: Other Supplies and Materials Expenses				OBR </t>
  </si>
  <si>
    <t xml:space="preserve"> Materials</t>
  </si>
  <si>
    <t xml:space="preserve"> INVITATION TO BID FOR PROVISION OF MULTI-YEAR CONTRACT FOR THE HIRING OF SERVICE PROVIDER FOR PREVENTIVE MAINTENANCE OF THE PASSENGER ELEVATOR AT DSWD-CENTRAL OFFICE FOR CY 2020-2022 —  ITB NO. GOP/20-DSWD-041 — (PR NO. 01-20001-PR-2020-05-00030, 20200501</t>
  </si>
  <si>
    <t xml:space="preserve"> Supply and Delivery of One (1) Lot Vegetable Seeds for Agricultural and Fishery Modernization Program of LGU-Coron. 1. The Municipal Government of Coron, through the 2020 Annual Municipal Budget intends to apply the sum of THREE HUNDRED FIFTY-ONE THOUSAND</t>
  </si>
  <si>
    <t xml:space="preserve"> ITB No. 2020 – 73 June 16, 2020 Republic of the Philippines Province of Davao Oriental CITY OF MATI INVITATION TO BID PROCUREMENT OF AIR-CONDITIONER (City Engineering Office) Name of Project 1.	The City Government of Mati, through the City Mayor’s Office </t>
  </si>
  <si>
    <t xml:space="preserve"> To All Eligible Suppliers ; Please quote your lowest price on the items listed below, subject to the General Condition stated herein and submit the same to the Office of the BAC-Secretariat on or before  July 01, 2020 at 10:00 o'clock in the morning. (SGD</t>
  </si>
  <si>
    <t xml:space="preserve"> Please quote your lowest price on the CATERING SERVICES DURING THE MUNICIPAL DEVELOPMENT COUNCIL ANNUAL PLANNING CONFERENCE as specified below and submit your quotation duly signed by your representative not later than 2pm of  JUNE 19, 2020. 				 					 		</t>
  </si>
  <si>
    <t xml:space="preserve"> Republic of the Philippines								 Department of Health								 VICENTE SOTTO MEMORIAL MEDICAL CENTER								 B. Rodriguez St., Cebu City, 6000								 TELEFAX : 2532182/2540057								 			Email: vsmmc_procurement@yahoo.com					 (Establishment/Supplier)	</t>
  </si>
  <si>
    <t xml:space="preserve"> Construction of Steel Footbridge at Brgy. Acle, L10.00m , W1.20m 1.	Bids received in excess of the ABC shall be automatically rejected at bid opening. 2.	Bidders should have completed a contract similar to the Project. The description of an eligible bidde</t>
  </si>
  <si>
    <t xml:space="preserve"> Item No.	Quantity	Unit of Issue	Item Description 1	24	Pcs.	10mm dia x 6m RSB Std. Def. Bar 2	26	Pcs.	12mm dia x 6m RSB Std. Def. Bar 3	6	Kgs.	#16 G.I. Wire  4	8	Pcs.	Hacksaw Blade 5	66	Bags 	40 kg. Portland Cement 6	4.5	Cu.m.	Washed Sand 7	7	Cu.m.	Washed </t>
  </si>
  <si>
    <t xml:space="preserve"> REGION XII  Province of Cotabato  Municipality of Midsayap  BIDS &amp; AWARDS COMMITTEE  Tel. Nos. (064) 229-8018; 229-8650; 229-8450  INVITATION TO BID FOR   2020-060, COMPLETION OF COVERED COURT AT BARANGAY NALIN, MIDSAYAP, COTABATO    1.	The MUNICIPAL GOVE</t>
  </si>
  <si>
    <t xml:space="preserve"> JOB ORDER: Provide Catering Services good for 30 pax during the conduct of DA-RFO 8 Program Level 2nd Quarter Assessment CY 2020 on June 22,23,&amp; 24, 2020 at DA-RFO 8, Tacloban City. No.	Scope of Work	Quantity	Unit_Cost	ABC 	Day 1			 	AM Snacks: Special Mo</t>
  </si>
  <si>
    <t xml:space="preserve"> Invitation to Bid for the  CONSTRUCTION OF DRAINAGE CANAL  Kiblawan, Davao del Sur 1.The Local Government Unit of Kiblawan, through the 20% Local Government Development Fund 2020[ In the case of National Government Agencies, the General Appropriations Act</t>
  </si>
  <si>
    <t xml:space="preserve"> Item No.	Item and Description						Unit	Quantity 1		Monoblocks (cream)					pc	50 2		Water Dispenser (Standing, Hot and Cold)					pc	8</t>
  </si>
  <si>
    <t xml:space="preserve"> Water System Fittings</t>
  </si>
  <si>
    <t xml:space="preserve"> 1.	The Municipality of Esperanza, intends to apply the sum of  Two Hundred Four Thousand Three Hundred One Pesos (Php204,301.00) being the Approved Budget for the Contract (ABC) to payments under the contract for Supply and Delivery of  Animal Feeds &amp; Vit</t>
  </si>
  <si>
    <t xml:space="preserve"> [Republic of the Philippines] Province of Pangasinan Municipality of Natividad INVITATION TO BID FOR TITLE: OTOP Production Bldg. Extension Completion Location: Brgy. San Maximo, Natividad, Pangasinan Approved Budget of the Contract: Php300,000.00 The [MU</t>
  </si>
  <si>
    <t xml:space="preserve"> PLEASE SEE ATTACHED REQUEST FOR QUOTATION</t>
  </si>
  <si>
    <t xml:space="preserve"> Construction of Slope Protection at SO. Bancalan, Brgy Magahis. 1.	Bids received in excess of the ABC shall be automatically rejected at bid opening. 2.	Bidders should have completed a contract similar to the Project. The description of an eligible bidder</t>
  </si>
  <si>
    <t xml:space="preserve"> Clearing and grubbing, Structure Excavation, Safety and Health</t>
  </si>
  <si>
    <t xml:space="preserve"> Dumping of Aggregates on the ground of TESDA MIMAROPA Provincial Training Center, Tawiran, Calapan City, Oriental Mindoro.</t>
  </si>
  <si>
    <t xml:space="preserve"> 3	units	Refill of fire extinguisher - Dry chemical (10 lbs. capacity)       6 	units	Fire extinguisher - Dry chemical  		(10 lbs. capacity, brand new, with fire extinguisher holder)</t>
  </si>
  <si>
    <t xml:space="preserve"> meals and snacks for the technical briefing in innovative family enterprise development</t>
  </si>
  <si>
    <t xml:space="preserve"> REQUEST FOR QUOTATION SHOPPING OF WASHABLE FACEMASK, ALCOHOL, VITAMIN C, ORAL ANTISEPTIC, WET WIPES AND MOPBUCKET  RFQ No. 2020-06-008 The Obando Water District (OWD), through its Bids and Awards Committee (BAC), invites reputable supplier to submit their</t>
  </si>
  <si>
    <t xml:space="preserve"> Invitation to Bid for the Supply and Delivery of various Medicine for the use of Brgy. Bucal, Batangas City</t>
  </si>
  <si>
    <t xml:space="preserve"> Laboratory Supply Expense - Reagents for chemical test.</t>
  </si>
  <si>
    <t xml:space="preserve"> OFFICE SUPPLIES EXPENSE</t>
  </si>
  <si>
    <t xml:space="preserve"> Concreting of Barangay Road in Brgy. Rillo, L117.00m, W3.00m, T0.15m 1.	Bids received in excess of the ABC shall be automatically rejected at bid opening. 2.	Bidders should have completed a contract similar to the Project. The description of an eligible b</t>
  </si>
  <si>
    <t xml:space="preserve"> Pump &amp; Engine Set for LSA - MG Mantilla's Farm 1 set Pump &amp; Engine Set with complete accessories (air-cooled) *Free Delivery on-site **Please see an attached document in ASSOCIATED COMPONENTS for RFQ</t>
  </si>
  <si>
    <t xml:space="preserve"> Republic of the Philippines						 			Department of Health						 			Cagayan Valley Center for Health Development						 			Tuguegarao City, Cagayan						 									 						                                                         Request for Quoatation Number-</t>
  </si>
  <si>
    <t xml:space="preserve"> PROCUREMENT TERMS &amp; CONDITIONS					 1	The Total Approved Budget for the Contract (ABC) is Php 8,500.00.				 2	Price quotation should be inclusive of tax obligations.				 3	Delivery period is 10 calendar days from the receipt of NOA &amp; PO.				 4	If awarded </t>
  </si>
  <si>
    <t xml:space="preserve"> Republic of the Philippines Province of Davao Oriental City of Mati BIDS &amp; AWARDS COMMITTEE INVITATION TO BID Procurement of 456 Bags NP Compound (Multi-Functional Fertilizer) in Support to Rice Farmers of the Province in the Rainfed Rice Areas SOURCE OF </t>
  </si>
  <si>
    <t xml:space="preserve"> 1 	 1 	 set 	 FRONT AXLE ( I-BEAM) ASSY. 	 			 INCLUSIVE THE FOLLOWING 	 			 A. BRAKE DRUM ( LH &amp; RH) 	 			 B. DRAG LINK 	 			 C. TIE ROD END ( LH &amp; RH) 	 			 D. WHEEL BEARINGS 	 			 E. WHEEL BRAKE CYLINDERS 	 			 F. BRAKES LINES &amp; FITTINGS 	  2 	 1 	 set</t>
  </si>
  <si>
    <t xml:space="preserve"> Invitation to Bid for the Supply and Delivery of various Medicine for the use of Brgy. Banaba West, Batangas City</t>
  </si>
  <si>
    <t xml:space="preserve"> REGION XII  Province of Cotabato  Municipality of Midsayap  BIDS &amp; AWARDS COMMITTEE  Tel. Nos. (064) 229-8018; 229-8650; 229-8450  INVITATION TO BID FOR   2020-061, CONSTRUCTION OF 2 UNITS WATER SYSTEM LEVEL II AT PUROK 5 AND 10,   MALAMOTE, MIDSAYAP, COT</t>
  </si>
  <si>
    <t xml:space="preserve"> 1     UNIT         LAPTOP            1               47,541.92            47,541.92 1     UNIT         PRINTER          2               12,045.29             12,045.29                                                                                TOTAL: 5</t>
  </si>
  <si>
    <t xml:space="preserve"> Rehabilitation of  Barangay Road in Brgy. Talon 1.	Bids received in excess of the ABC shall be automatically rejected at bid opening. 2.	Bidders should have completed a contract similar to the Project. The description of an eligible bidder is contained in</t>
  </si>
  <si>
    <t xml:space="preserve"> The AGRICULTURAL TRAINING INSTITUTE-REGIONAL TRAINING CENTER (ATI-RTC) X, through the 2020 General Appropriations Act intends to apply the sum of Twenty Seven Thousand Pesos (P 27,000.00) being the Approved Budget for the Contract (ABC) to payments under </t>
  </si>
  <si>
    <t xml:space="preserve"> Please quote your lowest price on the items on the line item.</t>
  </si>
  <si>
    <t xml:space="preserve"> Please refer to the attached RFQ for more details.</t>
  </si>
  <si>
    <t xml:space="preserve"> 350 X 20 pax X 10 days</t>
  </si>
  <si>
    <t xml:space="preserve"> QTY	UNIT	DESCRIPTION 130	pcs	Ballpen, Retractable (Black) 70	pcs	Battery, size AA 106	ream	Bond Paper, Long 106	ream	Bond Paper, Medium 20	pcs	Brown envelope, long 20	pcs	Brown Envelope, medium 58	pcs	Correction Fluid 58	pcs	Dog Clip Long 52	pcs	Dog Clip,</t>
  </si>
  <si>
    <t xml:space="preserve"> Clearing and grubbing, Common excavation manual, Masonry works, Plastering, Installation of paving blocks,     Sub-grade preparation, Aggregate sub-base course, PCCP, COSH</t>
  </si>
  <si>
    <t xml:space="preserve"> Republic of the Philippines Province of Davao Oriental City of Mati BIDS &amp; AWARDS COMMITTEE INVITATION TO BID LOT Procurement of MATERIALS for Use in the Improvement of Potable Water System at Brgy. Bobonao, Baganga, Davao Oriental SOURCE OF FUND: 20% LGD</t>
  </si>
  <si>
    <t xml:space="preserve"> Concreting of Barangay Road of Brgy. Bayudbud L117.00m, W3.00m, T0.15m 1.	Bids received in excess of the ABC shall be automatically rejected at bid opening. 2.	Bidders should have completed a contract similar to the Project. The description of an eligible</t>
  </si>
  <si>
    <t xml:space="preserve"> Materials for the Refurbishment of Study Park and Provision of Two(2) Handwashing Facilities</t>
  </si>
  <si>
    <t xml:space="preserve"> 1 Set Computer Desktop with printer Specs: Corei7, h110 motherboard 8GB RAM DDR4, 1TB sata HDD + 240GB ssd DV drw, reader, casing w/ 700w psu 24" Monitpr, avr, speaker, keyboard mouse pad 1 Unit External drive 2TB USB 2.0 PLEASE SEE ATTACHED RFQ. QUOTE YO</t>
  </si>
  <si>
    <t xml:space="preserve"> Republic of the Philippines  PROVINCE OF SURIGAO DEL SUR  		MUNICIPALITY OF CARRASCAL	 Barangay Adlay INVITATION FOR BIDS The Barangay Adlay through its Bids and Awards Committee invites sealed bids from eligible supplier for Construction Materials with a</t>
  </si>
  <si>
    <t xml:space="preserve"> INVITATION FOR PRICE QUOTATION Date:  15 June 2020 For The Repair And Repainting Of Runway, Taxiway and Apron Markings And Markers   At Virac Airport The Civil Aviation Authority of the Philippines (CAAP), Area Center V, Legazpi Airport intends to  apply </t>
  </si>
  <si>
    <t xml:space="preserve"> To be used for repairing water system</t>
  </si>
  <si>
    <t xml:space="preserve"> QTY. UNIT DESCRIPTION  1 PC TRANSMISSION ASSEMBLY</t>
  </si>
  <si>
    <t xml:space="preserve"> Invitation to Bid for the Supply and Delivery of various Medicine for the use of Brgy. Balete, Batangas City</t>
  </si>
  <si>
    <t xml:space="preserve"> 4 bot.   Epson Ink BK 664 4 bot. Alcohol 500 ml. # bot Elmer's Glue 4 bot Pentel Pen Ink 10 reams Bond Paper Long 10 reams Bond Paper Short 6 reams Bond Paper a4 5 reams Construction Paper Long 12 pcs Pilot BP-S Fine Ballpen Black 12 pcs Pilot Bp-S Fine B</t>
  </si>
  <si>
    <t xml:space="preserve"> Item No.	Quantity	Unit of Issue	Item Description 1032 (1)	834.4	            Sq. m.	Metal Painting  B.5 H 	2	            Each	Project Billboard B.7	       L.S.	            L.S	Occupational Safety and Health</t>
  </si>
  <si>
    <t xml:space="preserve"> 100 sets Rapid Test Kit with red top tube collector</t>
  </si>
  <si>
    <t xml:space="preserve"> Construction Supplies and Materials</t>
  </si>
  <si>
    <t xml:space="preserve"> PR No.   :					 Approved Budget for Contract (ABC)   :PHP 161,413.63					 QTY	UNIT	ITEM/S DESCRIPTION		UNIT PRICE	TOTAL PRICE 		 OTHER SUPPLIES AND MATERIALS EXPENSES	 40	boxes	25 watts Incandescent Light Bulbs		 2	pcs	Plastic Bags, Medium		 4	pcs	Field B</t>
  </si>
  <si>
    <t xml:space="preserve"> Title:Supply and Delivery for the City Disaster Risk Reduction and Management Office (CDRRMO) under P.R.No. 0999-2020-Subject to Ordering Agreement Arrangement-2nd bidding Total ABC: Php 2,014,700.00 For representative/s of interested bidders who wish to </t>
  </si>
  <si>
    <t xml:space="preserve"> REQUEST FOR PRICE QUOTATION ________________________	 (Name of External Provider) ________________________ (Address) ________________________ (Address) Please quote your lowest price on the item listed below, subject to the General Conditions on the latte</t>
  </si>
  <si>
    <t xml:space="preserve"> Riprapping</t>
  </si>
  <si>
    <t xml:space="preserve"> QTY.	UNIT	ARTICLES AND DESCRIPTION	 				 1	job	Termite Control 		 		Areas to be treated:		 		1. U-Shape Building 		 		2. Residents Dining		 		3. Kitchen Annex to Dining		 		4. New Warehouse/Storage Room		 		5. UNICEF Building		 		6. New Homelife Unit		 		</t>
  </si>
  <si>
    <t xml:space="preserve"> 1	200	pcs	12mm corrugated steel bar		 2	75	pcs	10mm corrugated steel bar		 3	70	pcs	9mm corrugated steel bar standard		 4	600	pcs	CHB 4''		 5	40	pcs	2x2x10 good lumber		 6	10	pcs	1/2 marine flywood		 7	20	kilos	tir wire no. 16		 8	15	kilos	common wire nai</t>
  </si>
  <si>
    <t xml:space="preserve"> Supply and Delivery of Complete Set Fiber Glass Board for the Sports Activities of Lowland and Upland Barangays with an ABC of Php120,000.00 For further details, please refer to the attached Purchase Request in the associated components.</t>
  </si>
  <si>
    <t xml:space="preserve"> Repair &amp; Maintenance of Other Structure</t>
  </si>
  <si>
    <t xml:space="preserve"> Republic of the Philippines PROVINCE OF SOUTHERN LEYTE Maasin City Invitation to Bid for the Procurement of Various Catering Services  Contract ID # 2020-07-07-371PG 1.	The Provincial Government of Southern Leyte through the PAGSO – Agricultural and Marin</t>
  </si>
  <si>
    <t xml:space="preserve"> 200	Box	Disposable Face mask ear loop, ABC 450.00/box RFQ#06-0625R</t>
  </si>
  <si>
    <t xml:space="preserve"> 2 units split type inverter aircon</t>
  </si>
  <si>
    <t xml:space="preserve"> Republic of the Philippines Province of Davao Oriental City of Mati BIDS &amp; AWARDS COMMITTEE INVITATION TO BID LOT Procurement of MATERIALS for Use in the Construction of Multi-Purpose Building (Fabrication of Paving Blocks &amp; Installation of Tiles) at Siti</t>
  </si>
  <si>
    <t xml:space="preserve"> 6" Sleeve Type Coupling, CI  - 3 pcs 2" Sleeve Type Coupling, CI - 13 pcs 2" Gate Valve, CI - 13 pcs 3" Sleeve Type Coupling, CI - 2 pcs 3" Gate Valve, CI - 7 pcs 2" Cap Plug, GI - 6 pcs 3" Angle Hydrant - 8 sets 2" Angle Hydrant - 5 sets 2" Coupling, GI </t>
  </si>
  <si>
    <t xml:space="preserve"> Rehabilitation of 10 Child Development Centers is funded thru the Early Childhood Care &amp; Development Council Grant. Please be guided by the following schedule: 1. Submission of Letter of Intent - June 25-26, 2020 2. Eligibility Screening - June 29, 2020 3</t>
  </si>
  <si>
    <t xml:space="preserve"> INVITATION FOR PRICE QUOTATION Date:  15 June 2020 For The Repair And Repainting Of Runway, Taxiway and Apron Markings And Markers   At Masbate Airport The Civil Aviation Authority of the Philippines (CAAP), Area Center V, Legazpi Airport intends to  appl</t>
  </si>
  <si>
    <t xml:space="preserve"> 7	Pcs	Retirement Ring (18k-Gold-10 grams) 		 		 		 		Requirements: 		1. Mayor’s/Business Permit 		2. PhilGEPS Registration Number 		3.  Income/Business Tax return 		4.  Omnibus Sworn Statement</t>
  </si>
  <si>
    <t xml:space="preserve"> 2 Unitts Laptop (Intel corei5, 4GB DDR4, 1TB+2GB SSD, NVDMX2450 2GB, 14" Display, Wifi, Cam, Bluetooth, Windows 10 Home License 1 Set Printer Switch 4 Port 3 Meters USB Cable 2 Set External Hard Drive 1TB 3.0 PLEASE SEE ATTACHED RFQ. QUOTE YOUR PRICE AND </t>
  </si>
  <si>
    <t xml:space="preserve"> Contract ID: 20PL0104 Contract Name: Construction of Pinukpuk-Balbalan Road (Bal - Aba-Aba Section), Brgy. Ballayangon, Pinukpuk, Kalinga Contract Location: Pinukpuk, Kalinga Brief Description: Construction of 3,200m Road Gravelling Approved Budget for th</t>
  </si>
  <si>
    <t xml:space="preserve"> Republic of the Philippines CITY GOVERNMENT OF SAN FERNANDO City Hall Building, F. Ortega Highway Tel. No. (072)8886901, (072) 867-8100/Fax No. (072)8886907 Website: www.sanfernandocity.gov.ph Email: csflu_98@yahoo.com INVITATION TO BID FOR  CONTINUATION </t>
  </si>
  <si>
    <t xml:space="preserve"> Construction Supplies and Materials for LSA - MG Mantilla's Farm *Please refer to an attached RFQ for the items *Free delivery at Macalang, Buenavista **Please see an attached document in ASSOCIATED COMPONENTS for the RFQ</t>
  </si>
  <si>
    <t xml:space="preserve"> ROAD CONSTRUCTION WITH DRAINAGE CANAL AT PUROK 8A, BACACA, BARANGAY 19-B, POBLACION DISTRICT, DAVAO CITY ABC: 3,000,000.00 Location: Barangay 19-B, Davao City Fund Source: SARO-OSEC-19-0014429 Physical Target: Roads and Drainage</t>
  </si>
  <si>
    <t xml:space="preserve"> 1			steel truss	 2			roofing	 3			stair (grills)	 4			electricals	 5			sliding windows	 6			panel doors	 7	100	pcs	10mm	 8	1500	pcs	CHB #4	 9	100	bags	cement 	 10	50	kgs	tie wire #16	 11	4	load	sand</t>
  </si>
  <si>
    <t xml:space="preserve"> Please see attached docs.</t>
  </si>
  <si>
    <t xml:space="preserve"> REQUEST FOR QUOTATION SHOPPING OF CONFERENCE TABLE WITH CLERICAL CHAIR, CLERICAL TABLE WITH CLERICAL CHAIR, CENTER TABLE, SOFA &amp; STEEL CABINET   RFQ No. 2020-06-009 The Obando Water District (OWD), through its Bids and Awards Committee (BAC), invites repu</t>
  </si>
  <si>
    <t xml:space="preserve"> 3 IN 1 PRINTER AND SCANNER WITH A4 PHTOCOPIER</t>
  </si>
  <si>
    <t xml:space="preserve"> 4 bxs M32 DILUENT 20L 3 bot M32 LYSE 500ml 1 bot M32 RINSE 20L 1 bot EZ Cleaner 1 bot Probe Cleanser 1 set B30 Control Set</t>
  </si>
  <si>
    <t xml:space="preserve"> 1 572 pcs 4" x 8" x 16" CHB 2 95 bags 40kg Portland Cement 3 9 cu.m Crushed Sand 4 7 cu.m Crushed Gravel 3/4" dia 5 15 lgth 12mm dia x 6m def bars 6 110 lgth 10mm dia x 6m def bars 7 15 kls #16 Tie Wire 8 205 bd ft 2 x 3 x 10 Coco Lumber 9 11 lgth 1/4 x 2</t>
  </si>
  <si>
    <t xml:space="preserve"> Rehabilitation of Barangay Road, Removal and Replacement of Damaged Concrete Pavement at brgy. Lumbangan 1.	Bids received in excess of the ABC shall be automatically rejected at bid opening. 2.	Bidders should have completed a contract similar to the Proje</t>
  </si>
  <si>
    <t xml:space="preserve"> Amoxicillin 500mg Capsule	2	boxes Amoxicillin LA 15% SC Inj Susp100 ml	1	bot Cephalexin 500mg Capsule	2	boxes Cephalexin 250mg/5ml Capsule 60ml	10	bots Diphenhydramine hydrochloride 50mg Capsule	1	box Trimethoprim Sulfadiazine 24% Inj 100ml	1	bot Marboflo</t>
  </si>
  <si>
    <t xml:space="preserve"> PROCUREMENT OF TWO (2) UNITS FLOOR MOUNTED AIRCON, SB OFFICE, TIGBAUAN, ILOILO</t>
  </si>
  <si>
    <t xml:space="preserve"> 8 Ream Bond Paper Short 10 Ream Bond Paper Long 5  U S A-4 3 Computer Ink 3 Computer Ink Colored 90 U S Folder Long 2 Record Book 500 pages 1 Record Book 300 pages 1 Pilot Pentel pen 30 pcs. Photo Copy</t>
  </si>
  <si>
    <t xml:space="preserve"> REQUEST FOR EXPRESSION OF INTEREST FOR THE  Procurement of Consultancy Services for the Philippine International Dive Expo (PHIDEX) Virtual Platform 1.	The Department of Tourism (DOT), through the General Appropriations Act 2020 intends to apply the sum o</t>
  </si>
  <si>
    <t xml:space="preserve"> Construction of 120m Sidewalk with Curbes and Gutter</t>
  </si>
  <si>
    <t xml:space="preserve"> 1	570	bags	NCC cement	 2	90	M3	washed sand	 3	70	M3	screened gravel	 4	8	pcs	2x6x20 c-purlins	 5	20	pcs	16mm corrugated steel bar</t>
  </si>
  <si>
    <t xml:space="preserve"> 1	1	unit	Roll-up Door 3.01m x 2.88 2	1	unit	Roll-up Door 2.50m x 2.88 3	1	unit	Roll-up Door 3.72m x 2.88</t>
  </si>
  <si>
    <t xml:space="preserve"> Rehabilitation of barangay road, removal of existing damaged PCC Pavement, Concreting of Pavement in brgy. Dalima 1.	Bids received in excess of the ABC shall be automatically rejected at bid opening. 2.	Bidders should have completed a contract similar to </t>
  </si>
  <si>
    <t xml:space="preserve"> Clearing &amp; grubbing, Structure excavation, Stone masonry, Embankment fill, Removal of existing concrete pavement, Sub-grade preparation, Aggregate sub-base course, PCCP, RSB, Structural concrete, Construction Safety and Health</t>
  </si>
  <si>
    <t xml:space="preserve"> 4	box	Plastic Shoulder Length Gloves			 4	doz	Toilet - 2 ply			 1	doz	Isoprophyl Alcohol 500ml			 6	packs	Disposable Plastic Sheaths			 1	bot.	Mineral Oil 1000ml			 17	liters	Valbazen Suspension			 2	packs	Absorbent 300gms Cotton</t>
  </si>
  <si>
    <t xml:space="preserve"> Republic of the Philippines CITY GOVERNMENT OF SAN FERNANDO City Hall Building, F. Ortega Highway Tel. No. (072)8886901, (072) 867-8100/Fax No. (072)8886907 Website: www.sanfernandocity.gov.ph Email: csflu_98@yahoo.com INVITATION TO BID FOR  ESTABLISHMENT</t>
  </si>
  <si>
    <t xml:space="preserve"> Republic of the Philippines PROVINCE OF SOUTHERN LEYTE Maasin City Invitation to Bid for the Procurement of Fuel, Oil and Lubricant  Contract ID # 2020-07-07-372PG 1.	The Provincial Government of Southern Leyte through the PAGSO – Fuel, Oil and Lubricants</t>
  </si>
  <si>
    <t xml:space="preserve"> 1	65	pcs	Duo Tone mats 2	25	pcs	Illustraton board 3	28	pcs	Cartolina 4	2	boxes	Pencil 5	6	meters	Paint Canvass</t>
  </si>
  <si>
    <t xml:space="preserve"> [Republic of the Philippines] Province of Pangasinan Municipality of Natividad INVITATION TO BID FOR TITLE: Construction of MRF Expansion Perimeter Fence Location: Brgy. Cacandongan, Natividad, Pangasinan Approved Budget of the Contract: Php300,000.00 The</t>
  </si>
  <si>
    <t xml:space="preserve"> 1	40	pcs	12mm			 2	60	pcs	10mmvel			 3	12	m3	sand			 4	6	m3	gravel			 5	450	pcs	tiles 40 x 40			 6	150	pcs	tiles 20 x 20			 7	250	pcs	tiles 20 x 30			 8	1	set 	toilet and bowl			 9	2	sets	sliding doors			 10	1100	pcs	concrete hallow blocks			 11	30	pcs	2x</t>
  </si>
  <si>
    <t xml:space="preserve"> Concreting of Barangay Road in Brgy. Dalima, L117.00m, W3.00m, T0.15m 1.	Bids received in excess of the ABC shall be automatically rejected at bid opening. 2.	Bidders should have completed a contract similar to the Project. The description of an eligible </t>
  </si>
  <si>
    <t xml:space="preserve"> The Department of Trade and Industry Regional Office invites PhilGEPS registered supplier for the AUGMENTATION OF SSF FOR KALAMANSIG COFFEE INDUSTRY DEVELOPMENT COUNCIL, INC. FOR COFFEE PROCESSING _Reposting based on the attached Terms of Reference (TOR) </t>
  </si>
  <si>
    <t xml:space="preserve"> Contract ID: 20PL0116 Contract Name: Concreting of Sitio Turod to Sitio Burubur (Phase II) FMR, Brgy. Bulo, Tabuk City, Kalinga Contract Location: Tabuk City, Kalinga Brief Description: Construction of 579m x 6.1m x 0.20m thk PCCP Approved Budget for the </t>
  </si>
  <si>
    <t xml:space="preserve"> Chairs &amp; Tables for LSA - JRS Diversified Agri-Farm 45 pcs Monoblock Chairs 15 pcs Monoblock Tables *Free delivery at ATI-RTC 13, Los Angeles, Butuan City **Please see an attached document in ASSOCIATED COMPONENTS for the RFQ</t>
  </si>
  <si>
    <t xml:space="preserve"> Rehabilitation</t>
  </si>
  <si>
    <t xml:space="preserve"> INVITATION FOR PRICE QUOTATION Date:  15 June 2020 For The Provision Of Runway Markers And Markings At Bacon Airport The Civil Aviation Authority of the Philippines (CAAP), Area Center V, Legazpi Airport intends to apply the estimated amount   of  Eighty </t>
  </si>
  <si>
    <t xml:space="preserve"> 3 Units Laptop, intel core i7 8550U, 8GB DDR4 RAM, 2TB HDD, NVIDIA MX150 4GB GDDR5, 15.6" Full HD Display, Wifi, Cam, BT, Windows 10 Home License, free bag: lenovo wireless mouse, speaker fantech Gs202, Steel series mouse pad cleaner 1 Unit Printer 3in1 p</t>
  </si>
  <si>
    <t xml:space="preserve"> Evacuated Tubes - Gold Top with Gel Separator, 100/pack Multisampler Needle, Gauge 21, 100/box Multisampler Needle, Gauge 23, 100/box Pipette Tips, Blue Pipette Tips, Yellow Clear Test Tube, Glass, 100/box Scalp Vein Butterfly Needle Set, Gauge 25, 100/bo</t>
  </si>
  <si>
    <t xml:space="preserve"> Purchase of CCTV camera and payment for the services for barangay safety and security.</t>
  </si>
  <si>
    <t xml:space="preserve"> 3 Units -Outdoor CCTV Cameras 3 Units -Public Adress Speakers 10 Rolls -CCTV Cables 10 Rolls -Flat Cords 10 Rolls -Speaker Wires 3 Sets -Arm Braket/Conduits</t>
  </si>
  <si>
    <t xml:space="preserve"> ITEM NO.	ITEM &amp; DESCRIPTION	 BRAND	UOM	QTY. 1	Aircon Floor Mounted 3 Tonner, cooling capacity 38,160, 		Unit	4 	Power input: 4080W, floor area 44-54 sq. m., with installation			 	Dehumidification, low noise air flow, fresh air switch w/ installation			 2	</t>
  </si>
  <si>
    <t xml:space="preserve"> INVITATION TO BID FOR Procurement of Various Medical Equipment for CY 2020 IB NO: 2020-020 The Western Visayas Medical Center, through Regular Agency Fund/SAA No. 2020-04-0846, in the amount of Twenty One Million Four Hundred Sixty Six Thousand Two Hundre</t>
  </si>
  <si>
    <t xml:space="preserve"> TYPE/MODEL: SINOTUK HOWO, T7 / A7 6 X 4, 10 WHEELER, DUMP TRUCK. ENGINE NO.: D10.38-40, 380HP, EURO 4 TRANSMISSION: HW19710 FRONT AXLE: HF9 REAR AXLE: HC16 COLOR: WHITE TIRES: 12.00R20, 11, STEEL TIRES INCLUDING ONE (1) SPARE TIRE DUMP: 5600*2300*1500mm F</t>
  </si>
  <si>
    <t xml:space="preserve"> Supply and Delivery of DRRM Information Signage to be installed at LGU Compound with an ABC of Php60,000.00 For further details, please refer to the attached Purchase Request in the associated components.</t>
  </si>
  <si>
    <t xml:space="preserve"> 10000	Piece	Specimen Bottle for Stool Screw Cap (Sterile), ABC 12.00/pc 10	Tube	Cream for Defibrillator, ABC 1,500.00/tube 60	Box	Gauze 2x2 Sterile 100pcs per box, ABC 500.00/box 100	Piece	Thoracostomy Tube Size 36, ABC 500.00/pc 29	Piece	Tracheostomy Tub</t>
  </si>
  <si>
    <t xml:space="preserve"> PART A 801 (3) REMOVAL OF STRUCTURES AND OBSTRUCTION 1,359.77 SQ.M (Existing longspan Metal Sheet, Purlins sag rods, struts and sway braces ITEM 1047 STRUCTURAL STEEL 1047(2)b ROOF TRUSS (Retrofitting and Lifting of Existing Steel Trusses and Provision of</t>
  </si>
  <si>
    <t xml:space="preserve"> ICT Equipment for LSA - JRS Diversified Agri-Farm 1 unit Projector 1 unit Laptop *Please refer to an attached RFQ for the specifications **Please see an attached document in ASSOCIATED COMPONENTS for the RFQ</t>
  </si>
  <si>
    <t xml:space="preserve"> Provision of 						 						 LEASE RENTAL of One (1) Airconditioning Unit 					unit	1 Inclusive of Installation (60 Feet)						 						 SPECIFICATIONS :						 &gt; 2.5 HP						 &gt; Split Type 						 &gt; Wall Mounted 						 						 Scope of Work :						 1. Supply of </t>
  </si>
  <si>
    <t xml:space="preserve"> Hammer Mill for LSA - DAJ Diversified Farm 1 unit Hammer Mill (Electric Motor Driven &gt; 150 kg/hr Capacity) *Free Delivery at ATI-RTC 13, Los Angeles, Butuan City **Please see an attached document in ASSOCIATED COMPONENTS for the RFQ</t>
  </si>
  <si>
    <t xml:space="preserve"> Contract ID: 20PL0117 Contract Name: Construction/Concreting of the Tabuk City, Kalinga - Tuao, Cagayan Road via the Burayugan-San Francisco-Naruangan Section, Cagayan Road, Tabuk City, Kalinga Contract Location: Tabuk City, Kalinga Brief Description: Con</t>
  </si>
  <si>
    <t xml:space="preserve"> Description   1     unit      Multi Function Copier</t>
  </si>
  <si>
    <t xml:space="preserve"> Please see attached Request for Quotation (RFQ)..</t>
  </si>
  <si>
    <t xml:space="preserve"> 1			paints 2			ceiling 3			plastering 4			sliding windows 5			grills 6			tiles</t>
  </si>
  <si>
    <t xml:space="preserve"> Supply and delivery of 1 unit Heavy Duty Shredder to be used at the Office of the RTD for Research and Regulatory 1	unit	Heavy Duty Shredder		 		Feed Width: 260mm		 		Shred Capacity: A4 80gsm: A4 70gsm: 11-13 sheets		 		12 - 14 sheets		 		Shred Size: 2 x </t>
  </si>
  <si>
    <t xml:space="preserve"> 2 pcs Flower Stand</t>
  </si>
  <si>
    <t xml:space="preserve"> REQUEST FOR EXPRESSION OF INTEREST FOR DETAILED ENGINEERING  STUDY/DESIGN  OF WARAS  SRIP,  IRIGA CITY, CAMARINES SUR 1.	The National Irrigation Administration RO V, Naga City, through the GAA/FSDE CY 2019  intends to apply the sum of P 11,005,392.85  bei</t>
  </si>
  <si>
    <t xml:space="preserve"> Republic of the Philippines Provincial Government of Aurora Bids and Awards Committee (BAC) BAC Office, Provincial Capitol Building, Baler, Aurora 3200, Philippines Standard Form Number: SF---GOODS-05 Revised on: July 28, 2004 INVITATION TO BID The PROVIN</t>
  </si>
  <si>
    <t xml:space="preserve"> PROVISION OF LABOR AND MATERIALS FOR THE CONSTRUCTION OF  CONCRETE STEP LADDERS AND HAND RAILINGS IN CAPE ENGAÑO, PALAUI ISLAND PROTECTED LANDSCAPE AND SEASCAPE (PIPLS), SAN  VICENTE, STA. ANA, CAGAYAN UNIT      ITEM DESCRIPTION   QUANTITY bag	CEMENT		250</t>
  </si>
  <si>
    <t xml:space="preserve"> Various Grocery Items for Distribution to Barangays  1.	Bids received in excess of the ABC shall be automatically rejected at bid opening. 2.	Bidders should have completed a contract similar to the Project. The description of an eligible bidder is contain</t>
  </si>
  <si>
    <t xml:space="preserve"> INVITATION FOR PRICE QUOTATION Date:  15 June 2020 For The Provision Of Runway Markers And Markings At Bulan Airport The Civil Aviation Authority of the Philippines (CAAP), Area Center V, Legazpi Airport intends to apply the estimated amount   of  One Hun</t>
  </si>
  <si>
    <t xml:space="preserve"> PGM-BAC reserves the right to reject any or all quotations to waive formality therein and to accept offers as may be considered advantageous to the government. The BAC Chairperson Boac, Marinduque</t>
  </si>
  <si>
    <t xml:space="preserve"> This RPQ and PR composed of various Office Supplies such as alcohol, tissue, glue, staple wire, etc.</t>
  </si>
  <si>
    <t xml:space="preserve"> Concreting of Access Road at Brgy. Magahis (MRF) Area 321.00sqm, T0.15m 1.	Bids received in excess of the ABC shall be automatically rejected at bid opening. 2.	Bidders should have completed a contract similar to the Project. The description of an eligibl</t>
  </si>
  <si>
    <t xml:space="preserve"> NOTICE IS HEREBY GIVEN that the National Food Authority Regional Office V, thru its Regional Procurement Committee (RPC) intends to procure thru Small Value Procurement for the Supply and Delivery of 5-Units Airconditioning Units (Rebidding).</t>
  </si>
  <si>
    <t xml:space="preserve"> Incubator for LSA - DAJ Diversified Farm 1 unit Incubator (Semi-Automatic), 150 eggs capacity/batch *Free delivery at ATI-RTC 13, Los Angeles, Butuan City **Please see an attached document in ASSOCIATED COMPONENTS for the RFQ</t>
  </si>
  <si>
    <t xml:space="preserve"> Republic of the Philippines PROVINCE OF SOUTHERN LEYTE Maasin City Invitation to Bid for the Procurement of Various Planting Materials and Fertilizers  Contract ID # 2020-07-07-374PG 1.	The Provincial Government of Southern Leyte through the PAGSO – Agric</t>
  </si>
  <si>
    <t xml:space="preserve"> I 1.00 LOT Demolition, Chipping and Polishing Works II 32.00 SQ.M Tile Works III 1.00 LOT Doors and Windows IV 10.00 SQ.M Painting Works V 1.00 LOT Plumbing, Sanitary Works and Accessories VI 1.00 LOT Electrical Works VII 1.00 CU.M Concrete and Masonry Wo</t>
  </si>
  <si>
    <t xml:space="preserve"> Removal of structure and obstruction, Structure excavation, Reinforcing steel bar, Structural concrete works, Masonry works w/ plastering, Electrical works, Roofing works, Installation of ACP</t>
  </si>
  <si>
    <t xml:space="preserve"> Five(5) reams Bond Paper Legal sub 20 and 20 other LI</t>
  </si>
  <si>
    <t xml:space="preserve"> RFQ No.: 2020-029__			`			                  Date: June 16 ,2020 Name of Company: _______________________________________________________________ Address: _______________________________________________________________________ Business Permit No.: ________</t>
  </si>
  <si>
    <t xml:space="preserve"> CONSTRUCTION/IMPROVEMENT/REHABILITATION</t>
  </si>
  <si>
    <t xml:space="preserve"> Republic of the Philippines Province of Antique Municipality of Valderrama OFFICE OF THE BIDS AND AWARDS COMMITTEE  			 INVITATION TO BID The Local Government Unit of Valderrama, Antique through its Bids and Awards Committee (BAC), invites suppliers to ap</t>
  </si>
  <si>
    <t xml:space="preserve"> 1	15	cu. M.	screened sand		 2	250	bags	northern cement		 3	500	pcs	concrete hollow blocks 4''		 4	30	kilos	sahara waterfroofing cement		 5	530	pcs	floor tiles 40 x 40		 6	160	pcs	staie tiles 30 x 40		 7	230	pcs	wall tiles for comfort room		 8	70	pcs	floor</t>
  </si>
  <si>
    <t xml:space="preserve"> Service Vehicles Engine: 2.8 Liter Diesel, 4 Cylinder in Line DOHC VAriable Nozzle Turbo with Front Mounted INtercooler 2,750cc - 2755cc, 171HP/3400rpm, 360Nm/1200-3405rpm, Direct Injection Common Rail, Fuel Tank: 55-65 Liters TRANSMISSION/SUSPENSION/BRAK</t>
  </si>
  <si>
    <t xml:space="preserve"> To enhance teachers professional growth and prepare materials for Alternative learning mode</t>
  </si>
  <si>
    <t xml:space="preserve"> 15,000 meters (50 rolls) HDPE (Sdr.11) - ½”Ø         P.E. Tube ½” (BLUE) with number per meter and with Property of NORZAGARAY WATER DISTRICT markings</t>
  </si>
  <si>
    <t xml:space="preserve"> Please see attached RFQ, Technical Specifications, in Associated Components   Note. Sealed Canvass.Please attach in your quotation the following documents: Mayor's Permit, Philgeps Registration number and Membership. The Omnibus sworn statement is to be s</t>
  </si>
  <si>
    <t xml:space="preserve"> Thirty (30) rolls Laminated Sacks 10 x 12 and thirty eight (38) other L/I</t>
  </si>
  <si>
    <t xml:space="preserve"> Clearing and grubbing, Excavation, RSB, Structural concrete, Construction Safety and Health</t>
  </si>
  <si>
    <t xml:space="preserve"> INVITATION TO BID  PURCHASE OF MEDICINE LGU-GIGMOTO, CATANDUANES 		 June 1, 2020 1.	The Municipal Government of Gigmoto, through CY 2020 General Fund intends to apply the sum of Seven Hundred Ninety Nine Thousand Nine Hundred Ninety Four Pesos (Php799,994</t>
  </si>
  <si>
    <t xml:space="preserve"> Contract Period: July 1, 2020 - December 31, 2020</t>
  </si>
  <si>
    <t xml:space="preserve"> 5	Unit	3 in 1 Printer Continuous ink tank system, ABC 10,000.00/unit no re-setter needed w/ minimum 1 year warranty				 RFQ#06-0634</t>
  </si>
  <si>
    <t xml:space="preserve"> National Power Corporation INVITATION TO BID PUBLIC BIDDING 2020-0125 1.	The NATIONAL POWER CORPORATION (NPC), through       its        approved       Corporate Budget of CY 2020 intends to apply   the   sum   of (Please see schedule below) being the Appr</t>
  </si>
  <si>
    <t xml:space="preserve"> SUPPLY &amp; DELIVERY OF OFFICE SUPPLIES 1.	The Local Government Unit of Kabacan, through the MOOE 2020 of various offices  intends to apply the sum of Six Hundred Fifty Seven Thousand Eight Hundred Twenty Nine &amp; 82/100 (P 657,829.82) being the Approved Budge</t>
  </si>
  <si>
    <t xml:space="preserve"> 9 pieces HDPE (Sdr.11) - 8”Ø P.E. Tube 8”x6meters (BLUE) with free jointing of butt fusion</t>
  </si>
  <si>
    <t xml:space="preserve"> 1.	The Bureau of Fire Protection Caraga Regional Office, through the General Appropriation Act CY 2020 intends to apply the sum of Seven Million Three Hundred Twenty Thousand Nine Hundred Sixty-Eight Pesos and 20/100 (Php 7,320,968.20) being the Approved </t>
  </si>
  <si>
    <t xml:space="preserve"> SMART CELL CARDS 85PCS GLOBE CELL CARDS 68PCS TM CELL CARDS 47PCS</t>
  </si>
  <si>
    <t xml:space="preserve"> PURCHASE REQUEST											 											 											 Entity Name	BATA  ELEMENTARY SCHOOL II 						Fund Cluster				 											 Office / Section :	Division of Bacolod 			PR No.	:	   2020 - 06- 0014					 				Responsibility Center Code	:			Date	:	 06- 11-  20</t>
  </si>
  <si>
    <t xml:space="preserve"> Republic  of  the  Philippines  Province  of  Marinduque MUNICIPALITY  OF  GASAN INVITATION TO  BID  FOR THE IMPROVEMENT  OF SLAUGHTER HOUSE 1.	The Municipality of Gasan, through  20% Development Fund CY 2020, Public Market and Slaughter House intends to </t>
  </si>
  <si>
    <t xml:space="preserve"> Republic of the Philippines DEPARTMENT OF HEALTH TALISAY DISTRICT HOSPITAL        (DR. JACINTO VELEZ SR. MEMORIAL HOSPITAL) San Isidro, Talisay City, Cebu (032)273-8785  (032) 273-8785 tdh.canvass@gmail.com http://www.tdh.doh.gov.ph “A PHIC Accredited </t>
  </si>
  <si>
    <t xml:space="preserve"> FM-LMSprc-02 Rev-0 	                                                                                                                                                                                                                        April 30, 2018     </t>
  </si>
  <si>
    <t xml:space="preserve"> Construction Supplies &amp; Materials for LSA - Basmayor Farm *Please refer to an attached RFQ for the items *Free Delivery at ATI-RTC 13, Los Angeles, Butuan City **Please see an attached document in ASSOCIATED COMPONENTS for the RFQ</t>
  </si>
  <si>
    <t xml:space="preserve"> REQUEST FOR QUOTATION Printing Services of Tabloid in MinSCAT Main Campus The Mindoro State College of Agriculture and Technology (MinSCAT) through the Bids and Awards Committee invites interested firms/suppliers to submit quotation for the project “Print</t>
  </si>
  <si>
    <t xml:space="preserve"> National Power Corporation INVITATION TO BID PUBLIC BIDDING 2020-0126 1.	The NATIONAL POWER CORPORATION (NPC), through       its        approved       Corporate Budget of CY 2020 intends to apply   the   sum   of (Please see schedule below) being the Appr</t>
  </si>
  <si>
    <t xml:space="preserve"> The DAR Provincial Agrarian Reform Office - Iloilo now invites bids for DAR-CARP Survey Project-Subdivision of New Lands (Agricultural) situated at 2nd, 3rd and 5th District of Iloilo Province involving 98.4681 Hectares. Please refer to the attached Invit</t>
  </si>
  <si>
    <t xml:space="preserve"> Two (2) ea Digital Camera 33mp 1080P 30FPS 8x and thirty seven (37) other L/I</t>
  </si>
  <si>
    <t xml:space="preserve"> please see attached PR</t>
  </si>
  <si>
    <t xml:space="preserve"> Advertisement/Posting of Invitation to Bid 16 June 2020 Issuance and Availability of Bid Documents 16 June to 06 July 2020 Pre-bid Conference 29 June 2020 10:00 AM Last Day of Written Clarification 02 July 2020 Last Day of Issuance of Bid Bulletin 06 July</t>
  </si>
  <si>
    <t xml:space="preserve"> 500 pcs. class 100 uPVC 4"  fixed seal (BLUE) 50 pcs. class 100 uPVC 6" fixed seal (BLUE)</t>
  </si>
  <si>
    <t xml:space="preserve"> Plastic monobloc chairs with backrest (beige color)</t>
  </si>
  <si>
    <t xml:space="preserve"> Republic of the Philippines Province of Cotabato Municipality of Matalam BIDS AND AWARDS COMMITTEE INVITATION TO BID No. 11 s. 2020 SUPPLY &amp; DELIVERY OF THE TIRE FOR VARIOUS MUNICIPAL EQUIPMENT OF LGU 1.	The Local Government Unit (LGU) of Matalam, through</t>
  </si>
  <si>
    <t xml:space="preserve"> Kindly download the attached Request for Quotation form for the details of this requirement. Thank you.</t>
  </si>
  <si>
    <t xml:space="preserve"> PHILIPPINE SCIENCE HIGH SCHOOL SYSTEM						"REQUEST FOR QUOTATION FORM &amp;  NOTICE (GOODS)"		 Office / Campus:			MAIN CAMPUS					 Address / Contact Details:			AGHAM ROAD, DILIMAN, QUEZON CITY					 								 						Quotation No.:	20-06-131	 	GENTELMEN:					Dat</t>
  </si>
  <si>
    <t xml:space="preserve"> 1. Pull-out Vehicle 2. Check-up 3. Battery and Tire Replacement 4. Body repair and painting. 5. Under Chassis  repair. 6. Electrical repair and wiring. 7. Engine repair.</t>
  </si>
  <si>
    <t xml:space="preserve"> QTY.    UNIT    DESCRIPTION 2         units    Aircondition (Window Type) 2.5HP</t>
  </si>
  <si>
    <t xml:space="preserve"> Republic of the Philippines PROVINCE OF SOUTHERN LEYTE Maasin City Invitation to Bid for the Procurement of Various Housekeeping Supplies    Contract ID # 2020-07-07-377PG 1.	The Provincial Government of Southern Leyte through the PGO Other Supplies and M</t>
  </si>
  <si>
    <t xml:space="preserve"> Supply, Delivery and Installation of Window Blinds</t>
  </si>
  <si>
    <t xml:space="preserve"> INVITATION TO BID  PURCHASE OF AUTO SUPPLIES &amp; SPAREPARTS LGU-GIGMOTO, CATANDUANES 		 June 15, 2020 1.	The Municipal Government of Gigmoto, through CY 2020 General Fund intends to apply the sum of Three Hundred Forty Two Thousand Four Hundred Pesos (Php34</t>
  </si>
  <si>
    <t xml:space="preserve"> 1	LOT	1.	Repair and re-piping of main and existing sewer line system at NPO building. a.	Dismantling and subsequent replace of main sanitary and branch pipeline. b.	Repair of leaking sanitary branch pipe. c.	Repair of damaged ceiling board d.	Syphoning of</t>
  </si>
  <si>
    <t xml:space="preserve"> PHILIPPINE SCIENCE HIGH SCHOOL SYSTEM						"REQUEST FOR QUOTATION FORM &amp;  NOTICE (GOODS)"		 Office / Campus:			MAIN CAMPUS					 Address / Contact Details:			AGHAM ROAD, DILIMAN, QUEZON CITY					 								 						Quotation No.:	20-06-135	 	GENTELMEN:					Dat</t>
  </si>
  <si>
    <t xml:space="preserve"> Republic of the Philippines Province of Cotabato Municipality of Matalam BIDS AND AWARDS COMMITTEE INVITATION TO BID No. 12 s. 2020 PURCHASE OF DIESEL FUEL FOR THE REHAB OF SITIO KULOG TO ARAKAN RAOD 1.	The Local Government Unit (LGU) of Matalam, through </t>
  </si>
  <si>
    <t xml:space="preserve"> Please download attached documents or visit our website @www.prc.gov.ph for more details.</t>
  </si>
  <si>
    <t xml:space="preserve"> 1.	The Local Government Unit of Kabacan, through the MOOE 2020 of various offices  intends to apply the sum of Six Hundred Sixty Four Thousand One Hundred Twenty Eight &amp; 54/100 Pesos (P 664,128.54) being the Approved Budget for the Contract (ABC) to payme</t>
  </si>
  <si>
    <t xml:space="preserve"> Republic of the Philippines Province of Cotabato Municipality of Matalam BIDS AND AWARDS COMMITTEE INVITATION TO BID No. 13 s. 2020 PURCHASE OF DIESEL FUEL FOR THE REHAB OF SITIO KULOG TO SITIO VALDEVIESO RAOD 1.	The Local Government Unit (LGU) of Matalam</t>
  </si>
  <si>
    <t xml:space="preserve"> PHILIPPINE SCIENCE HIGH SCHOOL SYSTEM						"REQUEST FOR QUOTATION FORM &amp;  NOTICE (GOODS)"		 Office / Campus:			MAIN CAMPUS					 Address / Contact Details:			AGHAM ROAD, DILIMAN, QUEZON CITY					 								 						Quotation No.:	20-06-132	 	GENTELMEN:					Dat</t>
  </si>
  <si>
    <t xml:space="preserve"> PHILIPPINE SCIENCE HIGH SCHOOL SYSTEM						"REQUEST FOR QUOTATION FORM &amp;  NOTICE (GOODS)"		 Office / Campus:			MAIN CAMPUS					 Address / Contact Details:			AGHAM ROAD, DILIMAN, QUEZON CITY					 								 						Quotation No.:	20-06-133	 	GENTELMEN:					Dat</t>
  </si>
  <si>
    <t xml:space="preserve"> ELECTRICAL WORKS: #12 THHN Wire (Stranded) #14 THHN Wire (Stranded) 1/2"0 PVC Pipe 3/4" 0 Pvc Pipe 4 X 4 Junctiom Box With Cover Mecca Tube (Small) 1/2" 0 Plastic Clamp 3/4" 0 Plastic Clamp 2 Gang Outlet 2 Gang Switch 1 Gang Switch 3/4"0 Plastic Moulding </t>
  </si>
  <si>
    <t xml:space="preserve"> Refer to Attached Annex “A” Price Quotation Form</t>
  </si>
  <si>
    <t xml:space="preserve"> PHILIPPINE SCIENCE HIGH SCHOOL SYSTEM						"REQUEST FOR QUOTATION FORM &amp;  NOTICE (GOODS)"		 Office / Campus:			MAIN CAMPUS					 Address / Contact Details:			AGHAM ROAD, DILIMAN, QUEZON CITY					 								 						Quotation No.:	20-06-134	 	GENTELMEN:					Dat</t>
  </si>
  <si>
    <t xml:space="preserve"> Request for Quotation (RFQ) Request for Quotation No.: 2020-06-090-GS Date Published: June 15, 2020 Closing Date: June 19, 2020 at 10:00 AM, PST (refer to BAC Office Wall Clock) Opening of Quotation: June 19, 2020 at 10:30 AM, PST Title of the Projects: P</t>
  </si>
  <si>
    <t xml:space="preserve"> Advertisement/Posting of Invitation to Bid 16 June 2020 Issuance and Availability of Bid Documents 16 June to 06 July 2020 Pre-bid Conference 29 June 2020, 2:00 PM Last Day of Written Clarification 02 July 2020 Last Day of Issuance of Bid Bulletin 06 July</t>
  </si>
  <si>
    <t xml:space="preserve"> 1 unit MOTORCYCLE Engine Type : 4-Stroke, SOHC Displacement : 177 cc. Maximum Power : 12.74 HP @ 7,500 rpm Maximum Torque : 1.34 Kgf.m @ 4,500 rpm Transmission : 4-speed constant Fuel Tank : 12 Liters Cooling System : Air-cooled Electric Start With Free R</t>
  </si>
  <si>
    <t xml:space="preserve"> Supply and Delivery of UV Light for the Medical Section of BDH</t>
  </si>
  <si>
    <t xml:space="preserve"> 4" Tee Reducer, CI - 1 pc 4" x 3" Tee reducer, CI -  1 pc 4" x 2" Tee reducer, CI - 3 pcs 4" End Cap, CI - 3 pcs 4" Transition Coupling, CI - 1 pc 4" Sleeve Type Coupling, CI - 3 pcs 3" Sleeve Type Coupling, CI - 1 pc 3" End Cap, CI - 2 pcs 2" Sleeve Type</t>
  </si>
  <si>
    <t xml:space="preserve"> INVITATION TO BID (National Competitive Bidding) The BFAR XIII, through its Bids and Awards Committee (BAC), invites eligible suppliers to bid for the hereunder contracts: Project Title: Procurement of Fuel and Lubricants’ Fleet Card for Official use of B</t>
  </si>
  <si>
    <t xml:space="preserve"> MARINE PLYWO D (3/4"), MARINE PLYWOOD (1/4"), MARINE PLYWOOD (1/2"), ORDINARY PLYWOOD (1/4"), 2"x2"x8' GEMILINA O, 1"x2"x8' GEMILINA , PREMIUM CEMENT, COMMON WOOD NAILS 3", COMMON WOOD NAILS 4", NEBRASKA ORDINARY PLYWOOD (1/4"), KITCHEN SINK, STAINLESS FA</t>
  </si>
  <si>
    <t xml:space="preserve"> PLEASE SEE ATTACHED RPQ</t>
  </si>
  <si>
    <t xml:space="preserve"> PURCHASE OF FIXTURES TO BE USED AT THE VISITOR'S INFORMATION CENTER OF PALAUI ISLAND PROTECTED LANDSCAPE AND SEASCAPE (PIPLS) UNIT  ITEM DESCRIPTION   QUANTITY pc	table		3 set	sala set		1</t>
  </si>
  <si>
    <t xml:space="preserve"> 1.	The Philippine Science High School Central Luzon Campus through the GAA 2020  intends to apply the sum of Two Million Four Hundred Eighty Five Thousand Seven Hundred Eighty Five Pesos (PHP 2,485,785. 00) being the Approved Budget for the Contract (ABC)</t>
  </si>
  <si>
    <t xml:space="preserve"> SUPPLY AND DELIVERY OF FISHING GEARS FOR THE USE OF AGTAS IN PALAUI ISLAND PROTECTED LANDSCAPE AND SEASCAPE (PIPLS) , SNA VICENTE, STA. ANA, CAGAYAN UNIT   ITEM DESCRIPTION  QUANTITY 	Mesh Net/Fish Net		 roll	# 4-Twine 030 mm-Depth 100-Length 100 Meters  </t>
  </si>
  <si>
    <t xml:space="preserve"> PHILIPPINE SCIENCE HIGH SCHOOL SYSTEM						"REQUEST FOR QUOTATION FORM &amp;  NOTICE (GOODS)"		 Office / Campus:			MAIN CAMPUS					 Address / Contact Details:			AGHAM ROAD, DILIMAN, QUEZON CITY					 								 						Quotation No.:	20-06-140	 	GENTELMEN:					Dat</t>
  </si>
  <si>
    <t xml:space="preserve"> PR NO. 0729 - 20                                                           Republic of the Philippines                 CITY GOVERNMENT OF TACURONG Alunan Highway, Tacurong City Sultan Kudarat BIDS AND AWARDS COMMITTEE                       Tel nos. (064) </t>
  </si>
  <si>
    <t xml:space="preserve"> unit	Floor Stand Water Dispenser Hot, warm and Cold with Storage		7 Unit	Black Office Chair		2 Unit	Wireless Multi Function Printer		1 pc	warding kit		1 unit	"4 Door 38 cu.ft. freezer,w/ 8 adjustable shelves,1,300 watts full  "		1 	"stainless steel ( body</t>
  </si>
  <si>
    <t xml:space="preserve"> PHILIPPINE SCIENCE HIGH SCHOOL SYSTEM						"REQUEST FOR QUOTATION FORM &amp;  NOTICE (GOODS)"		 Office / Campus:			MAIN CAMPUS					 Address / Contact Details:			AGHAM ROAD, DILIMAN, QUEZON CITY					 								 						Quotation No.:	20-06-136	 	GENTELMEN:					Dat</t>
  </si>
  <si>
    <t xml:space="preserve"> Request for Quotation (RFQ) Request for Quotation No.: 2020-06-088-GS Date Published: June 15, 2020 Closing Date: June 19, 2020 at 10:00 AM, PST (refer to BAC Office Wall Clock) Opening of Quotation: June 19, 2020 at 10:30 AM, PST Title of the Projects: P</t>
  </si>
  <si>
    <t xml:space="preserve"> Name of Contract: Construction of Flood Control, Barangay San Jose (Additional Allocation) IAC Classification: Small "B" for Flood Control PCAB Category "D" Duration: 120 Calendar Days Approved Budget for the Contract: Php 2,000,000.00 xxxxxxxxxxxxxxxxxx</t>
  </si>
  <si>
    <t xml:space="preserve"> Please quote your best offer for the item described below, subject to the Terms and Conditions provided at the 2nd page portion of the attached request for quotation. 	Submit your quotation duly signed by you or your duly representative and copies of the </t>
  </si>
  <si>
    <t xml:space="preserve"> PHILIPPINE SCIENCE HIGH SCHOOL SYSTEM						"REQUEST FOR QUOTATION FORM &amp;  NOTICE (GOODS)"		 Office / Campus:			MAIN CAMPUS					 Address / Contact Details:			AGHAM ROAD, DILIMAN, QUEZON CITY					 								 						Quotation No.:	20-06-138	 	GENTELMEN:					Dat</t>
  </si>
  <si>
    <t xml:space="preserve"> PHILIPPINE SCIENCE HIGH SCHOOL SYSTEM						"REQUEST FOR QUOTATION FORM &amp;  NOTICE (GOODS)"		 Office / Campus:			MAIN CAMPUS					 Address / Contact Details:			AGHAM ROAD, DILIMAN, QUEZON CITY					 								 						Quotation No.:	20-06-139	 	GENTELMEN:					Dat</t>
  </si>
  <si>
    <t xml:space="preserve"> PHILIPPINE SCIENCE HIGH SCHOOL SYSTEM						"REQUEST FOR QUOTATION FORM &amp;  NOTICE (GOODS)"		 Office / Campus:			MAIN CAMPUS					 Address / Contact Details:			AGHAM ROAD, DILIMAN, QUEZON CITY					 								 						Quotation No.:	20-06-141	 	GENTELMEN:					Dat</t>
  </si>
  <si>
    <t xml:space="preserve"> INVITATION TO BID 1.	The Tondo Medical Center (TMC), through the General Appropriations Act/HFEP intends to apply the sum of Five Million Eight Hundred Eighty Thousand Philippine Pesos (PhP 5,880,000.00) being the Approved Budget for the Contract (ABC) to</t>
  </si>
  <si>
    <t xml:space="preserve"> PR NO. 0793 - 20                 Republic of the Philippines         CITY GOVERNMENT OF TACURONG Alunan Highway, Tacurong City Sultan Kudarat BIDS AND AWARDS COMMITTEE                  Tel nos. (064) 562-0128 / Telefax no. (064) 477 - 0138         www.tac</t>
  </si>
  <si>
    <t xml:space="preserve"> 3 thermal scanner 90 box surgical facemask 4 PPE 92 faceshield 3 box alcohol 500 ml 1 foot tray 88 bottle spray 90 bottle zonrox 1 liter 90 pcs safeguard soap 90 pcs tide powder 1 box sign pen 18 box ballpen</t>
  </si>
  <si>
    <t xml:space="preserve"> PHILIPPINE SCIENCE HIGH SCHOOL SYSTEM						"REQUEST FOR QUOTATION FORM &amp;  NOTICE (GOODS)"		 Office / Campus:			MAIN CAMPUS					 Address / Contact Details:			AGHAM ROAD, DILIMAN, QUEZON CITY					 								 						Quotation No.:	20-06-137	 	GENTELMEN:					Dat</t>
  </si>
  <si>
    <t xml:space="preserve"> INVITATION TO BID FOR THE Procurement of Tires  1.	The Municipality of Alabel, through the Annual Budget for CY 2020  intends to apply the sum of: Lot No. 	Description		                                    ABC	        Name/no. of contract I.	Various Tires </t>
  </si>
  <si>
    <t xml:space="preserve"> Request for Quotation (RFQ) Request for Quotation No.: 2020-05-085-GS Date Published: June 15, 2020 Closing Date: June 19,2020 at 10:00 AM, PST (refer to BAC Office Wall Clock) Opening of Quotation: June 19,2020 at 10:30 AM, PST Title of the Projects: Pro</t>
  </si>
  <si>
    <t xml:space="preserve"> Republic  of  the  Philippines  Province  of  Marinduque MUNICIPALITY  OF  GASAN INVITATION TO  BID  FOR THE CONSTRUCTION OF SECOND FLOOR FOOD COURT PHASE 2 1.	The Municipality of Gasan, through  20% Development Fund Continuing Appropriation,  Public Mark</t>
  </si>
  <si>
    <t xml:space="preserve"> 1 set brother DCP-T710W Print-Copy-scan wireless printer with ADF Scanner ( BT - D60B/BT - 5000 CMY )</t>
  </si>
  <si>
    <t xml:space="preserve"> PURCHASE OF COMMUNICATION GADGETS FOR PALAUI ISLAND PROTECTED LANDSCAPE AND SEASCAPE (PIPLS) PAMB UNIT ITEM DESCRIPTION  QUANTITY pc	Laptop (Intel Core i7, 8GB Memory, 1TB Hard Drive)		1 pc	Printer (Wi-Fi all-in-one ink tank printer)		1</t>
  </si>
  <si>
    <t xml:space="preserve"> for office use 2 units computer desktop Specs: CPU intel pentium gold G5400 processor RAM 4GB DDR4 Memory HDD: 500GB Hard drive OpticalL DVD rewritable drive Video: Intel @ UHD Graphics 610 Keyboard: ISB Mouse: optical mouse Internal speaker Bios: R01-A2 </t>
  </si>
  <si>
    <t xml:space="preserve"> PHILIPPINE SCIENCE HIGH SCHOOL SYSTEM						"REQUEST FOR QUOTATION FORM &amp;  NOTICE (GOODS)"		 Office / Campus:			MAIN CAMPUS					 Address / Contact Details:			AGHAM ROAD, DILIMAN, QUEZON CITY					 								 						Quotation No.:	20-06-142	 	GENTELMEN:					Dat</t>
  </si>
  <si>
    <t xml:space="preserve"> PHILIPPINE SCIENCE HIGH SCHOOL SYSTEM						"REQUEST FOR QUOTATION FORM &amp;  NOTICE (GOODS)"		 Office / Campus:			MAIN CAMPUS					 Address / Contact Details:			AGHAM ROAD, DILIMAN, QUEZON CITY					 								 						Quotation No.:	20-06-143	 	GENTELMEN:					Dat</t>
  </si>
  <si>
    <t xml:space="preserve"> Quotation No.  20-06-012 To all eligible Suppliers: Please quote your lowest price inclusive of VAT on the item/s listed below, subject to the Terms and Condition of this RFQ, and submit your quotation duly signed by your representative not later than Jun</t>
  </si>
  <si>
    <t xml:space="preserve"> Procurement of Infrastructure and Construction Supplies RFQ No. 411          Item No.	Description	Qty.	Unit 	MATERIALS:		 1	¼’’ Marine Plywood	15	Sheet 2	#1 Hardinails, (Flat Head)	5	Kgs 3	Quick Dry Enamel, White	7	Gal. 4	Epoxy Primer Paint	5	Gals 5	12’’ </t>
  </si>
  <si>
    <t xml:space="preserve"> Republic of the Philippines         CITY GOVERNMENT OF TACURONG Alunan Highway, Tacurong City Sultan Kudarat BIDS AND AWARDS COMMITTEE                  Tel nos. (064) 562-0128 / Telefax no. (064) 477 - 0138         www.tacurong.gov.ph                     </t>
  </si>
  <si>
    <t xml:space="preserve"> 1900 pcs printing of Certificate for Day Care Recognition</t>
  </si>
  <si>
    <t xml:space="preserve"> PHILIPPINE CHILDREN'S MEDICAL CENTER						 Quezon Avenue, Quezon City						 Tel. No. 8588-9900 local 224/226						 						 REQUEST FOR QUOTATION						 No. RFQ-2020-236						 						 Date :						 						 Name of Supplier :						 						 Address :						 						 </t>
  </si>
  <si>
    <t xml:space="preserve"> Republic of the Philippines PROVINCE OF SOUTHERN LEYTE Maasin City Invitation to Bid for the Procurement of Various Food Stuff  Contract ID # 2020-07-07-378PG 1.	The Provincial Government of Southern Leyte through the PHSO – Other Maintenance and Operatin</t>
  </si>
  <si>
    <t xml:space="preserve"> Republic of the Philippines                CITY GOVERNMENT OF TACURONG Alunan Highway, Tacurong City Sultan Kudarat BIDS AND AWARDS COMMITTEE                  Tel nos. (064) 562-0128 / Telefax no. (064) 477 - 0138      www.tacurong.gov.ph                 </t>
  </si>
  <si>
    <t xml:space="preserve"> SEE ATTACHED INVITATION TO BID, BIDDING DOCUMENTS, CHECKLISTS, STANDARD BIDDING FORMS AND PLANS</t>
  </si>
  <si>
    <t xml:space="preserve"> PRICE QUOTATION Ladies / Gentlemen: 	Please quote prices for the items listed below. This proposal is a request for quotation only and not an order. The terms / conditions shall be in accordance with the following: 1.	This proposal shall be submitted to t</t>
  </si>
  <si>
    <t xml:space="preserve"> 1.	The Philippine Science High School Central Luzon Campus through the GAA 2020  intends to apply the sum of One Million One Hundred Eighty Thousand Pesos (PHP 1,180,000.00) being the Approved Budget for the Contract (ABC) to payments under the contract f</t>
  </si>
  <si>
    <t xml:space="preserve"> Please submit your quotation in a close and sealed envelop and mail in this address: Agricultural Training Institute Regional Training Center III Gov't Complex, San Ramon, Dinalupihan, Bataan C/O Supply Management Unit. or Email us on atiregion3@yahoo.com</t>
  </si>
  <si>
    <t xml:space="preserve"> Republic of the Philippines PROVINCE OF SOUTHERN LEYTE Maasin City Invitation to Bid for the Procurement of Various Brand New Aircondition with Installation    Contract ID # 2020-07-07-341PG 1.	The Provincial Government of Southern Leyte through the SOYMP</t>
  </si>
  <si>
    <t xml:space="preserve"> lot	Queen Size Bed (with Bedside Table and Carving Design)		1 	Varnish, Nails, Concrete Epoxy (1quart), bontite (1 quart), Tinting Color		 	(3Kinds of Color), Sand Paper 60pcs of 3 sizes, top coat paint		 	Labor		 lot	Devider (with Carving Design)		1 	Var</t>
  </si>
  <si>
    <t xml:space="preserve"> 1 lot  ABC- 640,000.00 Components 1.   2,400 cans Canned Sardines in tomato sauce (155g)	 2.   3,200 pcs Instant Noodles, Chicken (70g)	 3.   3,200 pcs Instant Noodles, Beef (70g)	 4.   2,320 packs Instant Coffee Refill (25g)	 5.   1,600 pcs Laundry Soap </t>
  </si>
  <si>
    <t xml:space="preserve"> Republic of the Philippines PROVINCE OF SOUTHERN LEYTE Maasin City Invitation to Bid for the Procurement of Battery (12 Volts 9 Plates) - SOYMPH  Contract ID # 2020-07-07-380PG 1.	The Provincial Government of Southern Leyte through the SOYMPH – Repair and</t>
  </si>
  <si>
    <t xml:space="preserve"> 4 sets CCTV cameras</t>
  </si>
  <si>
    <t xml:space="preserve"> oooOooo INVITATION TO BID FOR THE Procurement of Eco Solvent Printer  1.	The Municipality of Alabel, through the Annual Budget for CY 2020  intends to apply the sum of: Lot No. 	Description		                                    ABC	        Name/no. of cont</t>
  </si>
  <si>
    <t xml:space="preserve"> 1 LOT REPAIR AND MAINTENANCE OF VARIOUS AIRCONDITIONER CLEANING OF AIRCONDITIONER &amp; FREON CHARGING LOCATION: NHMFC HEAD OFFICE - MAKATI 2 UNITS CASSETE TYPE, AIRCON (ANNEX - G/FLR) 1 UNIT WALL MOUNTED, AIRCON (OVP-FAMG ROOM - G/FLR) 3 UNITS FLOOR MOUNTED,</t>
  </si>
  <si>
    <t xml:space="preserve"> Description   Republic of the Philippines BIDS AND AWARDS COMMITTEE FOR THE PROCUREMENT OF GOODS City of Puerto Princesa Barangay Sta. Monica INVITATION TO BID (Procurement of Goods) PR No. 2020-06-024 Date: June 15, 2020 Procuring/Funding Office/Departme</t>
  </si>
  <si>
    <t xml:space="preserve"> Republic of the Philippines PROVINCE OF SOUTHERN LEYTE Maasin City Invitation to Bid for the Procurement of Various Catering Services, Venue &amp; Accommodation  Contract ID # 2020-07-07-382PG 1.	The Provincial Government of Southern Leyte through the PVET – </t>
  </si>
  <si>
    <t xml:space="preserve"> 20 pcs. lock wings 20 pcs. GI Elbow 1/2" 20 pcs. GI straight elbow 1/2" 20 pcs. nipple 1/2" x 12 20 pcs. Saddle clamp 2" 30 pcs. teflon 2 rolls PE black 1/2" x 150 10 can solvent cement neltex 40 pcs. PE Male Adaptor 20 set water meter</t>
  </si>
  <si>
    <t xml:space="preserve"> SOURCE DEVELOPMENT; PROVISION OF PUMP AND ITS ACCESSORIES; CONSTRUCTION OF POWER HOUSE</t>
  </si>
  <si>
    <t xml:space="preserve"> Construction/ Repair/ Rehabilitation/ Improvement of Various Infrastructure Including Local Projects - Rehabilitation of Multi-Purpose Hall, Baguio City Contract Location :	East Modernsite, Baguio City Approved Budget for the Contract :	Php980,000.00 Scop</t>
  </si>
  <si>
    <t xml:space="preserve"> 2 unit Emergency Motorcycle with Storage Bin</t>
  </si>
  <si>
    <t xml:space="preserve"> Quotation No. 2020-06-013 To all Eligible Supplier: Please quote your lowest price inclusive of VAT on the item/s listed below, subject to the Terms and Condition of this RFQ, and submit your quotation duly signed by your representative not later than Jun</t>
  </si>
  <si>
    <t xml:space="preserve"> Republic of the Philippines PROVINCE OF SOUTHERN LEYTE Maasin City Invitation to Bid for the Procurement of One (1) Unit Motor Service Vehicle  Contract ID # 2020-07-07-381PG 1.	The Provincial Government of Southern Leyte through the PHSO – Motor Vehicle </t>
  </si>
  <si>
    <t xml:space="preserve"> Construction/ Repair/ Rehabilitation/ Improvement of Various Infrastructure Including Local Projects – Rehabilitation of Road Teodora Alonzo, Baguio City Contract Location :	Baguio City Approved Budget for the Contract :	Php1,960,000.00 Scope of  work  :	</t>
  </si>
  <si>
    <t xml:space="preserve"> Please quote hereunder your lowest possible price for the Laptop. For more specifications and for the sample please see attached Request for Quotation form and sample. Original Request for Quotation form will be available for pick-up or download from Phil</t>
  </si>
  <si>
    <t xml:space="preserve"> 2 lot Customized Mascot</t>
  </si>
  <si>
    <t xml:space="preserve"> Construction/ Repair/ Rehabilitation/ Improvement of Various Infrastructure Including Local Projects - Rehabilitation of Road at Purok 2 and 3, Brgy. Sta. Escolastica Village, Baguio City Contract Location :	Baguio City Approved Budget for the Contract :	</t>
  </si>
  <si>
    <t xml:space="preserve"> REQUEST FOR QUOTATION 							                                                                 Date: June 9, 2020 							                                                                 RFQ No.: 2020-21-06	 Name of Company: ________________________________</t>
  </si>
  <si>
    <t xml:space="preserve"> Various seeds</t>
  </si>
  <si>
    <t xml:space="preserve"> Please see attached file (RFQ-20-06-0458) for reference.</t>
  </si>
  <si>
    <t xml:space="preserve"> REQUEST FOR QUOTATION 							Date: June 9, 2020 							RFQ No.: 2020-22-06	 Name of Company: ________________________________________________________________________________ Address: ________________________________________________________________________</t>
  </si>
  <si>
    <t xml:space="preserve"> 1. 150 pcs folder long 2. 20 box record book 3. 4 box ordinary Ballpen  4.4 box sign pen  5.10 pcs ducumentary file blue  6.2 pads Cashbook  blue  7. 30 pads yellow paper 8.2 pcs stapler # 35 9. 7 Ream bond paper  A4  10. 20 Ream Bond paper long  11. 18 R</t>
  </si>
  <si>
    <t xml:space="preserve"> 1 unit 3 (seater) Passenger E-Bike</t>
  </si>
  <si>
    <t xml:space="preserve"> 200 pcs Certificates for Printing 200 pcs Token for Participants (Bag) 30   packs Envelope 4     pcs   Tarpaulin (2x5)</t>
  </si>
  <si>
    <t xml:space="preserve"> Please submit price quotation as per attached RFQ</t>
  </si>
  <si>
    <t xml:space="preserve"> Local Infrastructure Program – Renovation of PFVR Building, Department of Education Division Office, Brgy. Military Cut Off, Baguio City, Benguet Contract Location :	Baguio City Approved Budget for the Contract :	Php24,750,000.00 Scope of  work  :	Rehabil</t>
  </si>
  <si>
    <t xml:space="preserve"> Please see attached document for the specification.</t>
  </si>
  <si>
    <t xml:space="preserve"> Supplies and Materials</t>
  </si>
  <si>
    <t xml:space="preserve"> Description I.	Structure Excavation  1. Barangay Ada, TANAUAN, LEYTE through the bids and awards comm.) invites suppliers, distributors of construction materials for the project: Improvement of Designated Excavation Center  2. The bids and awards committe</t>
  </si>
  <si>
    <t xml:space="preserve"> Description I.	Metal Structures  1. Barangay Ada, TANAUAN, LEYTE through the bids and awards comm.) invites suppliers, distributors of construction materials for the project: Fabrication of 4-Units Waste Management Segregation  2. The bids and awards comm</t>
  </si>
  <si>
    <t xml:space="preserve"> Title: CONTINUATION OF IMPROVEMENT OF MULTI PURPOSE HALL ABC: 438,311.60 SCOPE OF WORKS: I.	EARTHWORKS, 17.50 cu.m. II.	CONCRETE WORKS, 16.53 cu.m. III.	MASONRY WORKS, 193.70 sq.m. IV.	PLASTERING WORKS, 293.96 sq.m. V.	INSTALLATION OF DOORS AND WINDOWS, 1</t>
  </si>
  <si>
    <t xml:space="preserve"> Flue curing barn: Excavation works, Masonry works, Roofing works, Hangers, Door ventilation, Flue system, Construction safety and health</t>
  </si>
  <si>
    <t xml:space="preserve"> Supply and Delivery of one (1) unit Projector and one (1) unit Laser Printer *See attached technical specifications</t>
  </si>
  <si>
    <t xml:space="preserve"> REQUEST FOR QUOTATION 							Date: June 9, 2020 							RFQ No.: 2020-23-06	 Name of Company: ________________________________________________________________________________ Address: ________________________________________________________________________</t>
  </si>
  <si>
    <t xml:space="preserve"> Supply and delivery of the following items: 1,210 Liters Diesel Fuel 1 lot Lubricant (10% of Fuel)</t>
  </si>
  <si>
    <t xml:space="preserve"> Standard Form Number: SF-GOOD-60   Revised on: May 24, 2004 Standard Form Title: Request for Quotation Date: Quotation ______________________________ (name of Company) ______________________________ (address/Tel. #) Please quote your lowest price on the i</t>
  </si>
  <si>
    <t xml:space="preserve"> Section I. Invitation to Bid Republic of the Philippines Province of Davao Oriental Municipality of Boston Barangay Poblacion Bids and Awards Committee Invitation to Bid  for the  Procurement of Solar Street Lamp.  1.	The Barangay Government Unit of Pobla</t>
  </si>
  <si>
    <t xml:space="preserve"> Procurement Educational Equipment/Support Instructional Equipment</t>
  </si>
  <si>
    <t xml:space="preserve"> INVITATION TO BID Project  No. 2020-03-215 The Department of Education (DepEd), Division of Panabo City, through the  Continuing Appropriations  for the Provision of Funds for the Procurement of Temporary Learning Spaces for Schools Affected by Earthquake</t>
  </si>
  <si>
    <t xml:space="preserve"> The SANGGUNIANG BARANGAY OF BARANGAY BANJO WEST, TANAUAN CITY, BATANGAS, through the Barangay Operating Budget 2020 intends to apply the sum of Fifty Thousand Pesos Only (Php 50,000.00) being the Approved Budget of the Contract (ABC) to payment under the </t>
  </si>
  <si>
    <t xml:space="preserve"> PLEASE SEE THE BAC SECRETARIAT</t>
  </si>
  <si>
    <t xml:space="preserve"> The SANGGUNIANG BARANGAY OF BARANGAY BANJO WEST, TANAUAN CITY, BATANGAS, through the Barangay Operating Budget 2020 intends to apply the sum of Ten Thousand Pesos Only (Php 10,000.00) being the Approved Budget of the Contract (ABC) to payment under the Pr</t>
  </si>
  <si>
    <t xml:space="preserve"> THE KAPITOLYO HIGH SCHOOL IS IN NEED OF CANOPY/RETRACTABLE TENT, FOLDING BED, FIRST AID KIT AND HAND HELD RADIO FOR SDRR USE.</t>
  </si>
  <si>
    <t xml:space="preserve"> Republic of the Philippines Province of South Cotabato Municipality of Sto. Niño BIDS AND AWARDS COMMITTEE (BAC) Invitation to Bid 1. The Local Government of Sto. Niño, through its Bids and Awards Committee (BAC) invites interested bidder to bid for the p</t>
  </si>
  <si>
    <t xml:space="preserve"> 1. 1 unit Aircon</t>
  </si>
  <si>
    <t xml:space="preserve"> REQUEST FOR QUOTATION 							                                                                        Date: June 9, 2020 							                                                                        RFQ No.: 2020-24-06	 Name of Company: __________________</t>
  </si>
  <si>
    <t xml:space="preserve"> 5	amp	dexamethsone ampule 5	amp	diphenhydramine amp 5	amp	tranexamic amp 10	gals	alcohol 70% 100	pcs	face mask 5	boxes	ibuprofen 400mg tab 10	boxes	amoxicillin 500mg 11	boxes	celecoxib 200mg cap 50	boxes	azithromycin tab 5	boxes	cloxacillin 500mg cap 20	b</t>
  </si>
  <si>
    <t xml:space="preserve"> FOR CITY OF BALANGA NATIONAL HIGH SCHOOL OPERATIONS</t>
  </si>
  <si>
    <t xml:space="preserve"> THE KAPITOLYO HIGH SCHOOL IS IN NEED OF MURIATIC ACID, LYSOL AND BAYGON.</t>
  </si>
  <si>
    <t xml:space="preserve"> 1. 1 Unit Filing Cabinet</t>
  </si>
  <si>
    <t xml:space="preserve"> Invitation to Bid  for  PROVSION OF 14 SECURITY SERVICES AT DPWH REGIONAL OFFICE NO. IV-A, EDSA, QUEZON CITY FOR   SIX (6) MONTHS  Contract ID No. 20GD00003 The Department of Public Works and Highways (DPWH), Regional Office No. IV-A thru its Bids and Awa</t>
  </si>
  <si>
    <t xml:space="preserve"> Description   Supplies and Deliveries of   Electrical  Materials Invitation to Apply for Eligibility and to Bid Republic of the Philippines City of Cagayan de Oro Barangay Bulua JUNE 29,2020 Date of Bidding Purchase Request : 20-5-54 ABC Php 500,000.00 Na</t>
  </si>
  <si>
    <t xml:space="preserve"> Please download the attached file for the purchase request, terms of reference and omnibus sworn statement form.</t>
  </si>
  <si>
    <t xml:space="preserve"> NAME OF PROJECTS: CONSTRUCTION OF MULTIPURPOSE HALL LOCATION: TALOY SUR, TUBA, BENGUET SCOPE OF WORK: INSTALLATION OF SIGNBOARD, STRUCTURAL EXCAVATION, CONSTRUCTION OF TIE BEAM NO. OF WORKING DAYS TO COMPLETE WORK: 9</t>
  </si>
  <si>
    <t xml:space="preserve"> INDUSTRIAL TECHNOLOGY DEVELOPMENT INSTITUTE DOST Cmpd., Bicutan, Taguig City Telephone Nos. (02) 837-20-71 to 82 local 2221 E-mail Add.: itdi.admbac@gmail.com INVITATION TO BID June 15, 2020 Sir/Madam: Please quote your price for the item/items listed bel</t>
  </si>
  <si>
    <t xml:space="preserve"> REPUBLIC OF THE PHILIPPINES CITY OF MANILA OFFICE OF THE BARANGAY COUNCIL INVITATION TO BID SUBMISSION AND OPENING OF BID WILL BE ON JUNE 23, 2020 AT 8 AM. THE BARANGAY 140 ZONE 12 DISTRICT 1 MANILA THROUGH ITS BID AND AWARDS COMMITTEE (BAC) INVITES ALL Q</t>
  </si>
  <si>
    <t xml:space="preserve"> Republic of the Philippines DEPARTMENT OF PUBLIC WORKS AND HIGHWAYS SULTAN KUDARAT 2ND DISTRICT ENGINEERING OFFICE REGION XII Lebak, Sultan Kudarat INVITATION TO BID FOR SUPPLY/DELIVERY OF DIESEL FUEL AND ENGINE OIL FOR USE OF SERVICE VEHICLE ASSIGNED AT </t>
  </si>
  <si>
    <t xml:space="preserve"> Description: REHAB.OF BULUA BRGY.WATER SYSTEM, Barangay Bulua,Cagayan de Oro City.   Invitation to Apply for Eligibility and to Bid Republic of the Philippines City of Cagayan de Oro Barangay Bulua JUNE 29,2020 Date of Bidding Purchase Request : 20-06-55 </t>
  </si>
  <si>
    <t xml:space="preserve"> Department of Public Works and Highways Contract ID	:	20MH0085 Contract Name	:	Concreting of Upper Balayan to Kinadao, Barangay Badiangon, Palimbang, Sultan Kudarat Contract Location	:	Palimbang, Sultan Kudarat Department of Public Works and Highways Sult</t>
  </si>
  <si>
    <t xml:space="preserve"> REQUEST FOR QUOTATION 							Date: June 9, 2020 							RFQ No.: 2020-29-06	 Name of Company: ________________________________________________________________________________ Address: ________________________________________________________________________</t>
  </si>
  <si>
    <t xml:space="preserve"> Republic of the Philippines DEPARTMENT OF PUBLIC WORKS AND HIGHWAYS SULTAN KUDARAT 2ND DISTRICT ENGINEERING OFFICE REGION XII Lebak, Sultan Kudarat INVITATION TO BID FOR SUPPLY/DELIVERY OF TIRE AND BATTERY FOR USE OF SERVICE VEHICLE ASSIGNED AT THE PLANNI</t>
  </si>
  <si>
    <t xml:space="preserve"> 1.       01       lot     Construction/Installation of 20 units Solar Power Streetlights</t>
  </si>
  <si>
    <t xml:space="preserve"> Improvement of Barangay Road to include:     1. Excavation    2. Drainage Riprap    3. Roadway Preparation    4. Concrete Pavement</t>
  </si>
  <si>
    <t xml:space="preserve"> NAME OF PROJECT: CONSTRUCTION OF SEBIT-CAUCALAN WATER WORKS SYSTEM (PHASE 2) PROJECT LOCATION: CAUCALAN, TALOY SUR, TUBA, BENGUET PROJECT DESCRIPTION: BIILBOARD WITH STAND, STRUCTURE EXCAVATION, CONSTRUCTION OF WATER TANK (a. reinforced concrete works b. </t>
  </si>
  <si>
    <t xml:space="preserve"> ACCESS ROAD</t>
  </si>
  <si>
    <t xml:space="preserve"> please see attached</t>
  </si>
  <si>
    <t xml:space="preserve"> Department of Public Works and Highways Contract ID	:	20MH0103 Contract Name	:	Concreting Local Road, Purok Narra, Brgy.Poblacion, Sultan Kudarat Contract Location	:	Lebak, Sultan Kudarat Department of Public Works and Highways Sultan Kudarat 2ndDistrict </t>
  </si>
  <si>
    <t xml:space="preserve"> Reference No. PR # 20-06-0736 PRICE QUOTATION FORM (BID FORM) Sealed Bids shall be dropped in the BIDDERS BOX on or before 2:00 P.M.  June 19, 2020    placed at the office of the Chairman of the College BAC. Thereafter, the Bidder's Box shall be sealed un</t>
  </si>
  <si>
    <t xml:space="preserve"> REQUEST FOR QUOTATION 							Date: June 9, 2020 							RFQ No.: 2020-31-06	 Name of Company: ________________________________________________________________________________ Address: ________________________________________________________________________</t>
  </si>
  <si>
    <t xml:space="preserve"> For further information, please refer to: Mrs. Maria Flora T. Pandes or Mrs. Herbie B. De Lemios Department of Education-Division of Camarines Norte F. Pimentel Avenue, Barangay II, Daet, Camarines Norte Telephone number: 054-440-4464 Cellphone number: 09</t>
  </si>
  <si>
    <t xml:space="preserve"> SCHOOL AND OFFICE SUPPLIES (INK AND OTHERS) ----------   PHP 10,700.00</t>
  </si>
  <si>
    <t xml:space="preserve"> 1. set generator</t>
  </si>
  <si>
    <t xml:space="preserve"> REQUEST FOR QUOTATION 							Date: June 15, 2020 							RFQ No.: 2020-32-06	 Name of Company: ________________________________________________________________________________ Address: _______________________________________________________________________</t>
  </si>
  <si>
    <t xml:space="preserve"> ARTICLE AND DESCRIPTION							 											 ITEM	QTY.	UNIT						CEILING 			 								PRICE			 											 				Office: Sta. Ana Hospital				PR No. 604			 				Charge to: Other Supplies and Materials Expenses				OBR No. 100-2005-004290			 				ABC:  Php135,674.</t>
  </si>
  <si>
    <t xml:space="preserve"> ARTICLE AND DESCRIPTION							 											 ITEM	QTY.	UNIT						CEILING 			 								PRICE			 											 				Office: Sta. Ana Hospital				PR No. 644			 				Charge to: Repairs and Maintenance - Building				OBR No. 100-2005-04294			 				                    a</t>
  </si>
  <si>
    <t xml:space="preserve"> School and office supplies (Bondpaper) ----------------------- Php 16,393.00</t>
  </si>
  <si>
    <t xml:space="preserve"> Please see attached file for the item to be purchased. For further information, please refer to: Mrs. Maria Flora T. Pandes or Mrs. Herbie B. De Lemios Department of Education-Division of Camarines Norte F. Pimentel Avenue, Barangay II, Daet, Camarines No</t>
  </si>
  <si>
    <t xml:space="preserve"> RCDG BRIDGE</t>
  </si>
  <si>
    <t xml:space="preserve"> REQUEST FOR QUOTATION 							Date: June 9, 2020 							RFQ No.: 2020-27-06	 Name of Company: ________________________________________________________________________________ Address: ________________________________________________________________________</t>
  </si>
  <si>
    <t xml:space="preserve"> Please be informed that additional specifications for the Supply and Installation of Street Light at Bislig City, which was inadvertently indicated and published in the PhilGEPS.  FROM 4” x 2” x 25ft. Hot-Dip Round Steel Tapered Lamp Post with single Curv</t>
  </si>
  <si>
    <t xml:space="preserve"> 1. 1 unit laptop computer</t>
  </si>
  <si>
    <t xml:space="preserve"> BIDS AND AWARDS COMMITTEE – HEAD OFFICE INVITATION TO BID 1.	The Bangko Sentral ng Pilipinas (BSP), through its Bids and Awards Committee (BAC) – Head (HO), invites Bidders to apply for eligibility and to bid for the hereunder requirement: Name of Require</t>
  </si>
  <si>
    <t xml:space="preserve"> NAME OF PROJECT: IMPROVEMENT OF FARM TO MARKET ROAD AT PALINA  BALINSAWANG, TALOY SUR PROJECT LOCATION: PALINA, TALOY SUR, TUBA, BENGUET PROJECT DESCRIPTION: BILLBOARD, REMOVAL OF STRUCTURES AND OBSTRUCTIONS, SUBGRADE PREPARATION AND PORTLAND CEMENT CONCR</t>
  </si>
  <si>
    <t xml:space="preserve"> Box sizes:  14 1/4 x 9 1/4 x 6 3/4- 3,000 pcs.  17'/4 x 13 1/4 x 8 1/2- 800 pcs. Single Wall w/o Print RSC (Regular Slotted Container); Glued Joints/Color Brown, Flute Thickness of 5/32; Flutes/Linear Foot-39+3</t>
  </si>
  <si>
    <t xml:space="preserve"> 1. 12 pcs Prepaid Cards</t>
  </si>
  <si>
    <t xml:space="preserve"> LGU Patnanungan, Quezon						Ref.		See other bid docs                                                                                            	 Name of Project	As shown                                                                                    </t>
  </si>
  <si>
    <t xml:space="preserve"> Republic of the Philippines Province of Camarines Sur MUNICIPALITY OF MINALABAC -o0o- Invitation to Bid for CONSTRUCTION OF SEAWALL WITH DRAINAGE CANAL &amp; EMBANKMENT at Salingogon, Minalabac, Camarines Sur 1. LGU-Minalabac, Camarines Sur, through Capital O</t>
  </si>
  <si>
    <t xml:space="preserve"> Sir/Madam:																																		 																																		 Please quote your government price/s including delivery charges, VAT or other applicable taxes, and other incidental expenses for the goods listed in Annex A.  Failure to indi</t>
  </si>
  <si>
    <t xml:space="preserve"> REQUEST FOR QUOTATION 							Date: June 9, 2020 							RFQ No.: 2020-26-06	 Name of Company: ________________________________________________________________________________ Address: ________________________________________________________________________</t>
  </si>
  <si>
    <t xml:space="preserve"> please see attached documents</t>
  </si>
  <si>
    <t xml:space="preserve"> Repair and school maintenance -------- Php 17, 606.00</t>
  </si>
  <si>
    <t xml:space="preserve"> REQUEST FOR QUOTATION 							Date: June 9, 2020 							RFQ No.: 2020-28-06	 Name of Company: ________________________________________________________________________________ Address: ________________________________________________________________________</t>
  </si>
  <si>
    <t xml:space="preserve"> REQUEST FOR QUOTATION 							Date: June 9, 2020 							RFQ No.: 2020-25-06	 Name of Company: ________________________________________________________________________________ Address: ________________________________________________________________________</t>
  </si>
  <si>
    <t xml:space="preserve"> Procurement of other supplies and materials</t>
  </si>
  <si>
    <t xml:space="preserve"> Province of Cagayan BARANGAY UGAC NORTE Tuguegarao City INVITATION TO BID NAME OF PROJECT:  CONSTRUCTION OF MASONRY DRAINAGE STRUCTURE  along Bassig Street (Simangan Alley) REFERENCE NO.: PB-INF-19-005  DATE OF POSTING: June 16, 2020 1. The Barangay Counc</t>
  </si>
  <si>
    <t xml:space="preserve"> Republic of the Philippines Province of Camarines Sur MUNICIPALITY OF MINALABAC -o0o- Invitation to Bid for ROAD CONCRETING (NEAR MALABOG CREEK, HAMORAON) at Hamoraon, Minalabac, Camarines Sur 1. LGU-Minalabac, Camarines Sur, through 20% EDF, CY 2020, int</t>
  </si>
  <si>
    <t xml:space="preserve"> PURCHASE REQUEST					 Barangay : ZONE - 1			P. R. No.: 2020 -	19	 City/ Municipality : Pinamalayan			Date: 		 Provicne : Oriental Mindoro					 REQUISITION					 Item Number	Qty	Unit of Measurement	Item Description 	Estimated Unit Cost	Estimated Amount 1	95</t>
  </si>
  <si>
    <t xml:space="preserve"> Please download the attached file for the item to be purchased. For further information, please refer to: Mrs. Maria Flora T. Pandes or Mrs. Herbie B. De Lemios Department of Education-Division of Camarines Norte F. Pimentel Avenue, Barangay II, Daet, Cam</t>
  </si>
  <si>
    <t xml:space="preserve"> Bond Paper 80 GSM  Paper sizes:  8 1/2 x 11- 500 reams 8 1/2 x 13- 300 reams 8 1/4 11 3/4 (A4)- 200 reams 8 1/2 x 14- 400 reams Substance 24 Color: Ultra White</t>
  </si>
  <si>
    <t xml:space="preserve"> Medical supplies and equipments  - Php 16,815.oo</t>
  </si>
  <si>
    <t xml:space="preserve"> Laptop Computer- 1 Unit Technical Specification:  • CPU: Intel Core i5 or i7 processor  • RAM: 8GB  • Storage: 256 GB PCLe SSD  • Screen size: 15.6 inches, 1920 x 1080 pixels  • Operating System: Microsoft Windows 10  • Dimensions: 14.3 x 10.8 x 0.9 inche</t>
  </si>
  <si>
    <t xml:space="preserve"> Republic of the Philippines Province of Iloilo Municipality of Pavia Invitation to Bid for the Purchase of  Brand New Motor Vehicle for the use of SB Office 1.	The Municipality of Pavia, Iloilo, through the General Fund Prior Year &amp; 2019 intends to apply </t>
  </si>
  <si>
    <t xml:space="preserve"> Repair and maintenance of sliding windows ------ Php 33,976.00</t>
  </si>
  <si>
    <t xml:space="preserve"> Province of Cagayan BARANGAY UGAC NORTE Tuguegarao City INVITATION TO BID NAME OF PROJECT:  CONSTRUCTION OF MASONRY DRAINAGE STRUCTURE  along Bassig Street (Bangayan Alley) REFERENCE NO.: PB-INF-19-006  DATE OF POSTING: June 16, 2020 1. The Barangay Counc</t>
  </si>
  <si>
    <t xml:space="preserve"> -157- lot -Flu Vaccine</t>
  </si>
  <si>
    <t xml:space="preserve"> INVITATION TO BID FOR REPAIR AND IMPROVEMENT OF PERIMETER FENCE, SEPARATOR WALL, MAIN GATE AND PEDESTRIAN GATE 1.	The Bureau of Jail Management and Penology Region -7  through the GAA Fiscal Year 2020 Repair and Maintenance of Other Structure tends to app</t>
  </si>
  <si>
    <t xml:space="preserve"> Invitation to Bid to all Supplier/Contractor duly accredited by the City Council of Manila to supply and deliver the following items provided hereunder, to wit; Item	 	Qty.	 	Unit	 	 	 	DESCRIPTION	  1	 	1	 	Unit	Aircon	 	 	 	 	 	 	  2	 	1	 	Set	Computer </t>
  </si>
  <si>
    <t xml:space="preserve"> Laptop Computer- 1 Unit Technical Specification:  • 2-in-1 laptop  • CPU: Intel Core i5 or i7 processor  • Graphics: Intel UHD Graphics  • RAM: 8GB  • Screen size and resolution: 13.3" diagonal MD IPS BrightView WLED-backlit mulfitouch-enabled edge-to edg</t>
  </si>
  <si>
    <t xml:space="preserve"> Please see attached file for the item to be purchased. Labor Cost: 35% cost of materials (Php 52,610.55) Total Amount of Materials: Php 150,315.85 For further information, please refer to: Mrs. Maria Flora T. Pandes or Mrs. Herbie B. De Lemios Department </t>
  </si>
  <si>
    <t xml:space="preserve"> The BARANGGAY INDUSTRIAL VALLEY COMPLEX, MARIKINA CITY,  through its Bids and Awards Committee (BAC), invites interested parties to apply for eligibility and to bid for the hereunder supplies contract: Name of Contract : Supply and Delivery of Office devi</t>
  </si>
  <si>
    <t xml:space="preserve"> Laptop Computer- 1 Unit Technical Specification:  • 13.3 inch Retina Display with integrated Touch ID sensor  • CPU: 1.1GHz quad core 10th Gen Intel Core i5 processor Turbo Boost up to 3.6GHz with 6MB L3 cache  • Graphics: Intel Iris Plus Graphics  • RAM:</t>
  </si>
  <si>
    <t xml:space="preserve"> Graduation expense ------ Php 9,620.00</t>
  </si>
  <si>
    <t xml:space="preserve"> Republic of the Philippines Pangasinan State University Lingayen, Pangasinan INVITATION TO BID FOR THE MODERNIZATION OF INFORMATION TECHNOLOGY AND NETWORK COMMUNICATION LABORATORY FACILITY OF COLLEGE OF COMPUTING SCIENCES 1.	The Pangasinan State Universit</t>
  </si>
  <si>
    <t xml:space="preserve"> INSTALLATION OF CCTV CAMERAS</t>
  </si>
  <si>
    <t xml:space="preserve"> Purchase of IT Equipment The items to be delivered will be used in the Mayor's Office, Rural Health Unit, and the HR Office.</t>
  </si>
  <si>
    <t xml:space="preserve"> Process Black Ink- 200 kgs.</t>
  </si>
  <si>
    <t xml:space="preserve"> Building</t>
  </si>
  <si>
    <t xml:space="preserve"> PUBLIC ADDRESS SYSTEM REPAIR</t>
  </si>
  <si>
    <t xml:space="preserve"> Republic of the Philippines Department of Education CARAGA ADMINISTRATIVE REGION DIVISION OF CABADBARAN CITY CALAMBA NATIONAL HIGH SCHOOL Calamba, Cabadbaran City ___________________________________ Request for Quotation Date: June 15, 2020 Quotation No.:</t>
  </si>
  <si>
    <t xml:space="preserve"> CTP Plate Gloss- 4,000 kgs. Size: 889 x 586 x .30</t>
  </si>
  <si>
    <t xml:space="preserve"> Repair/Maintenance of Building</t>
  </si>
  <si>
    <t xml:space="preserve"> Republic of the Philippines Province of Iloilo Municipality of Pavia Invitation to Bid for the Improvement of School at Pagsanga-an Elementary School (Repair of Ceiling and Electrical Wiring in Library and Computer Room, Improvement of H.E. Room and Exten</t>
  </si>
  <si>
    <t xml:space="preserve"> Procurement of Annual Subscription Renewal for the NWRB Managed Cloud Services and Web Hosting with Back-up Server and Maintenance. QUANTITY: 1 LOT BUDGET: Php 200,000.00 ----------------------------------- NOTE:  Interested bidders should fill-up the off</t>
  </si>
  <si>
    <t xml:space="preserve"> MARAMAG WATER DISTRICT  Drilling of One (1) Production Well    1. The Maramag Water District, through the LWUA–MWD JSA Fund, intends to apply the sum of Two Million Five Hundred Thousand Pesos Only (P 2,500,000.00) being the Approved Budget for the Contra</t>
  </si>
  <si>
    <t xml:space="preserve"> Repainting of Bridge</t>
  </si>
  <si>
    <t xml:space="preserve"> Purchase of Fuel, Oil and Lubricants for the 3rd Quarter ABC: Php 754,064.08 10,813 ltrs Diesel 1,950 ltrs Special Gasoline 100 ltrs Regular Gasoline 54 ltrs Oil 10 54 ltrs Oil 40 36 ltrs Gear Oil 140 9 ltrs Brake Fluid 9 Ltrs Coolant 5 ltrs 2T INVITATION</t>
  </si>
  <si>
    <t xml:space="preserve"> the materials need are; Item No.	Item/s and Description	Quantity	Unit LOT 1			 1	fastener	2	box 2	legal  bond papers  sub 20/70gsm, 	515	reams 3	letter bond papers  sub 20/70gsm, 	244	reams 4	Ink for Epson Printer (black)	67	btl. 5	Ink for Epson Printer (</t>
  </si>
  <si>
    <t xml:space="preserve"> Republic of the Philippines Province of Iloilo Municipality of Pavia Invitation to Bid for the Improvement of School at Aganan-Ungka Elementary School (Elevation of Classroom, Canteen and Pathways) 1.	The Municipality of Pavia, Iloilo, through the Special</t>
  </si>
  <si>
    <t xml:space="preserve"> Republic of the Philippines Province of Quezon CITY GOVERNMENT OF TAYABAS INVITATION TO BID FOR PROJECT # 20-039 - PROCUREMENT OF ICT EQUIPMENT FOR TEACHING AND LEARNING PURPOSES – CITY SCHOOL DIVISION OFFICE. The City Government of Tayabas, through the S</t>
  </si>
  <si>
    <t xml:space="preserve"> Republic of the Philippines Pangasinan State University Lingayen, Pangasinan INVITATION TO BID FOR THE UPGRADING OF ENGINEERING AND TECHNOLOGY LABORATORIES OF THE PANGASINAN STATE UNIVERSITY 1.	The Pangasinan State University, through the Fund 184 (Extern</t>
  </si>
  <si>
    <t xml:space="preserve"> Purchase of Meals and Snacks for Orientation on Livelihood Assistance Grant (LAG) Implementation ABC: Php 5,000.00 1 Meal for 25 Pax 2 Snacks for 25 Pax</t>
  </si>
  <si>
    <t xml:space="preserve"> Republic of the Philippines Province of Quezon CITY GOVERNMENT OF TAYABAS INVITATION TO BID FOR PROJECT # 20-055 – PROCUREMENT OF RESPONSE / VEHICLE 4 WHEELER -LDRRMO. 1.	The City Government of Tayabas, through the General Fund Continuing 2020 intends to </t>
  </si>
  <si>
    <t xml:space="preserve"> Republic of the Philippines Province of Iloilo Municipality of Pavia Invitation to Bid for the Improvement of School at Pandac Elementary School (Extension of Covered Court, Roofing and Ceiling of Classrooms) 1.	The Municipality of Pavia, Iloilo, through </t>
  </si>
  <si>
    <t xml:space="preserve"> Republic of the Philippines Province of Quezon CITY GOVERNMENT OF TAYABAS INVITATION TO BID FOR PROJECT # 20-053 - PROCUREMENT OF CCTV CAMERA WITH TV MONITOR SYSTEM AND NETWORK INFRASTRUCTURE – CITY SCHOOL DIVISION OFFICE The City Government of Tayabas, t</t>
  </si>
  <si>
    <t xml:space="preserve"> Invitation to Bid for Construction of Footbridge at Brgy. Bularong, Margosatubig, ZDS. Source of Fund: General Fund (20% EDF) Non-refundable fee for bidding documents: 500.00</t>
  </si>
  <si>
    <t xml:space="preserve"> SOLAR POWER SYSTEM INSTALLATION</t>
  </si>
  <si>
    <t xml:space="preserve"> Republic of the Philippines Province of Iloilo Municipality of Pavia Invitation to Bid for the Purchase of one (1) unit Fully Reconditioned Double Cab Fire Truck of the MDRRM Office 1.	The Municipality of Pavia, Iloilo, through the General Fund 2020 inten</t>
  </si>
  <si>
    <t xml:space="preserve"> Item No.	Item/s and Description	Quantity	Unit 1	Grade three reading passage	2100	pcs. 	           English - 700pcs.		 	           Filipino - 700pcs.		 	           MTB - 700pcs.		 2	Grade three reading passage	1900	pcs. 	           English - 700pcs.		 	   </t>
  </si>
  <si>
    <t xml:space="preserve"> Item No.	Item/s and Description	Quantity	Unit	Unit Price LOT 1				 1	hollow blocks	276	pcs	 2	Cement	72	bags	 3	solvent 100cc	15	cans	 4	tee pipe 1/2	23	pcs	 5	porcelain sink	1	unit	 6	coupling traded 1/2	22	pcs.	 7	elbow 1/2	23	pcs.	 8	 plastic water fau</t>
  </si>
  <si>
    <t xml:space="preserve"> L = 37.00 l.m.</t>
  </si>
  <si>
    <t xml:space="preserve"> To support the procurement of services for the updating of two (2) ea Flight Management System (FMS) Navigational Data Base for use of NC-212i aircraft Nrs 2119 and 2120.</t>
  </si>
  <si>
    <t xml:space="preserve"> Republic of the Philippines Province of Quezon CITY GOVERNMENT OF TAYABAS INVITATION TO BID FOR PROJECT # 20-043 – PROCUREMENT OF MOTOR VEHICLE (RESCUE VEHICLE CUSTOMIZED PICK-UP) -LDRRMO. 1.	The City Government of Tayabas, through the General Fund Contin</t>
  </si>
  <si>
    <t xml:space="preserve"> Department of Education Region VI-Western Visayas Division of Cadiz City Alimatoc Elementary School SMALL VALUE PROCUREMENT OF HEAVY DUTY  PRINTER  WITH SCANNER 2019 1.	The Alimatoc Elementary School of Cadiz City, through the Schools MOOE Fund CY 2019  i</t>
  </si>
  <si>
    <t xml:space="preserve"> lined canal</t>
  </si>
  <si>
    <t xml:space="preserve"> The National Commission for Culture and the Arts (NCCA) through its Procurement Section intends to procure “Van Rental for Transportation Service of NCCA Employees” in accordance with Section 53.9 (Negotiated Procurement – Small Value Procurement) of the </t>
  </si>
  <si>
    <t xml:space="preserve"> Item No.	Item/s and Description	Quantity	Unit 1	Thermal scanner	5	units 	Specs: one click usage, LCD screen, beeping		 	warning, long standby time and highly sensitive		 	infrared control		 2	Paracetamol Syrup 60ml.	6	btl. 3	Paracetamol tablet 500g.	25	pc</t>
  </si>
  <si>
    <t xml:space="preserve"> 1. The BARANGAY GOVERNMENT OF SAPA PEQUEÑA, BURGOS, PANGASINAN through its Barangay Development Fund CY 2020 intends to apply an amount of One Hundred Fifty Thousand Pesos Only (Php150,000.00) being the Approved Budget for the Contract (ABC) for payment u</t>
  </si>
  <si>
    <t xml:space="preserve"> Republic of the Philippines Province of Quezon CITY GOVERNMENT OF TAYABAS INVITATION TO BID FOR PROJECT # 20-047 – PROCUREMENT OF DISASTER RESPONSE AND RESCUE EQUIPMENT - LDRRMO. 1.	The City Government of Tayabas, through the General Fund Continuing 2020 </t>
  </si>
  <si>
    <t xml:space="preserve"> REPAIR, IMPROVEMENT, OF SCHOOL CLINIC, AND 3 (THREE) WATER &amp; SANITATION (WATSAN).</t>
  </si>
  <si>
    <t xml:space="preserve"> Republic of the Philippines Province of Quezon CITY GOVERNMENT OF TAYABAS INVITATION TO BID FOR PROJECT # 20-049 - SUPPLY AND DELIVERY OF OTHER SUPPLIES AND MATERIALS (PERSONAL PROTECTIVE GEAR/EQUIPMENT FOR RESPONDERS &amp; VOLUNTEERS) - DRRMO. The City Gover</t>
  </si>
  <si>
    <t xml:space="preserve"> To support the procurement of 500 ea Washer Sealing NAS1523-3Y and 6 other L/I for use during the Phase Maintenance Inspection Intermediate (PMI) of UH-1D Nr 8230, 8330 and 8392 at 205THW</t>
  </si>
  <si>
    <t xml:space="preserve"> Republic of the Philippines Province of Iloilo Municipality of Pavia Invitation to Bid for the Catering Services for Various Activities of the HRM Office and Mayor’s Office 1.	The Municipality of Pavia, Iloilo, through the General Fund 2020 intends to app</t>
  </si>
  <si>
    <t xml:space="preserve"> CALUMPIT WATER DISTRICT      Serrano. St. Corazon, Calumpit, Bulacan      (044) 675-1453; 202-4235; 913-0079      Fax No. (044) 202-5125; 913-0080      (Name of the Procuring Entity)      Project Reference Number: ______________      Name of Project: ____</t>
  </si>
  <si>
    <t xml:space="preserve"> Republic of the Philippines Province of Quezon CITY GOVERNMENT OF TAYABAS INVITATION TO BID FOR PROJECT # 20-050 - PROCUREMENT OF DISASTER RESPONSE AND RESCUE EQUIPMENT (GENERATOR) - LDRRMO The City Government of Tayabas, through the General Fund Continui</t>
  </si>
  <si>
    <t xml:space="preserve"> 1	Computer w/ complete accessories		2	unit 	Specification:			 	Processor: Intel core i5 540 6 GHz			 	Motherboard: P7h55-M-LX			 	Memmory; 8GB ddr4			 	Graphics card: 2 GB ddr5 128 bit			 	Hard disk storage: 500 GB SATA 7200 RPM			 	DVD writer: DVD RW			 </t>
  </si>
  <si>
    <t xml:space="preserve"> To support the procurement of Seventy (70) quarts Polyester Body Filler w/ Hardener and 17 other L/I for use in the 12th and 13th  PIP Inspection Scheduled Maintenance of C-130B aircraft Nr 4704.</t>
  </si>
  <si>
    <t xml:space="preserve"> Republic of the Philippines Province of Iloilo Municipality of Pavia Invitation to Bid for the Purchase of Furniture and Fixtures for Mayor’s Office and MENR Office 1.	The Municipality of Pavia, Iloilo, through the General Fund 2020 intends to apply the s</t>
  </si>
  <si>
    <t xml:space="preserve"> SURIGAO STATE COLLEGE OF TECHNOLOGY Surigao City INVITATION TO BID FOR PROCUREMENT OF SECURITY SERVICES (1 YEAR CONTRACT)  1.	The Surigao State College of Technology, through the General Appropriations Act of 2020 intends to apply the sum of Five Million </t>
  </si>
  <si>
    <t xml:space="preserve"> supplies and equipment for covid</t>
  </si>
  <si>
    <t xml:space="preserve"> 1. The BARANGAY GOVERNMENT OF SAPA PEQUEÑA, BURGOS, PANGASINAN through its Barangay Development Fund CY 2020 intends to apply an amount of One Hundred Nine Thousand Seven Hundred Twenty Pesos Only (Php109,720.00) being the Approved Budget for the Contract</t>
  </si>
  <si>
    <t xml:space="preserve"> Republic of the Philippines Province of Agusan del Sur MUNICIPALITY OF PROSPERIDAD BIDS AND AWARDS COMMITTEE NOTICE FOR NEGOTIATED PROCUREMENT NO. 2020-054 The Municipal Government of PROSPERIDAD, Province of Agusan del Sur, through its Bids and Awards Co</t>
  </si>
  <si>
    <t xml:space="preserve"> OFFICE &amp; OTHER SUPPLIES IN VIEW OF COVID-19 PANDEMIC</t>
  </si>
  <si>
    <t xml:space="preserve"> To support the procurement of services for the updating of six (6) ea Global Positioning System (GPS) Navigational Data Base with PN: GPS-795 for use of C-130T aircraft Nrs 5011 and 5040.</t>
  </si>
  <si>
    <t xml:space="preserve"> Mits. FB L300/SHG 273 (DepEd) Motor Oil Oil Filter Fuel Filter Gear Oil 90 &amp; 140 Center Post Bell Crank Idler Arm Tie Rod End Clutch Master Small Bearing Big Bearing Oil Seal Wheel Cylinder Cap Grease Cap Drain Plug Horn Wiper Blade w/ Handle Rear Door Lo</t>
  </si>
  <si>
    <t xml:space="preserve"> Reference No. PR # 20-06-0735 PRICE QUOTATION FORM (BID FORM) Sealed Bids shall be dropped in the BIDDERS BOX on or before 2:00 P.M.  June 19, 2020    placed at the office of the Chairman of the College BAC. Thereafter, the Bidder's Box shall be sealed un</t>
  </si>
  <si>
    <t xml:space="preserve"> Description: Suzuki mini van Scrum cat eye 4x4 Manual transmission 12 valve Steering wheel All gauges working Body paint original 5 doors 600 cc Engine capacity Passenger capacity of 9 including driver Mags tires Fuel:Gas Accessories : fully loaded pionee</t>
  </si>
  <si>
    <t xml:space="preserve"> INVITATION TO BID FOR THE PROCUREMENT OF FUEL FOR 3RD QUARTER OF 2020, SAN ISIDRO,DAVAO ORIENTAL 1.	The Municipality of San Isidro, through the AIP 2020 Fund intends to apply the sum of Php 600,000.00 being the Approved Budget for the Contract (ABC) to pa</t>
  </si>
  <si>
    <t xml:space="preserve"> 1. The PSHS-MRC now invites qualified suppliers/manufacturers/dealers to submit price quotations for the above item with the following specifications: SMART FUNCTION THERMAL IMAGING CAMERA  - Please see attached request for quotation. 2. Procurement will </t>
  </si>
  <si>
    <t xml:space="preserve"> Republic of the Philippines Province of Agusan del Sur MUNICIPALITY OF PROSPERIDAD BIDS AND AWARDS COMMITTEE NOTICE FOR NEGOTIATED PROCUREMENT NO. 2020-055 The Municipal Government of PROSPERIDAD, Province of Agusan del Sur, through its Bids and Awards Co</t>
  </si>
  <si>
    <t xml:space="preserve"> To support the procurement of 2 ea Connecting Link PN: 205-060-734-11 and 2 other L/I for use of Bell 412 nrs 36691 and 36693 assigned at 205THW.</t>
  </si>
  <si>
    <t xml:space="preserve"> Invitation to Bid for  Purchase of One (1) unit Ambulance for MDRRM use Source of Fund: Trust Fund (5% MDRRMF) Nonrefundable Fee for Bidding Documents: 5,000.00</t>
  </si>
  <si>
    <t xml:space="preserve"> Republic of the Philippines Province of Quezon CITY GOVERNMENT OF TAYABAS INVITATION TO BID FOR PROJECT # 20-054 – PROCUREMENT OF K TO 12 LEARNING MATERIALS DEVELOPED BG LCCAD FOR DEPED - DRRMO. The City Government of Tayabas, through the 5% DRRM Fund 202</t>
  </si>
  <si>
    <t xml:space="preserve"> SHS OFFICE &amp; OTHER SUPPLIES IN VIEW OF COVID-19 PANDEMIC.</t>
  </si>
  <si>
    <t xml:space="preserve"> -Prevention of COVID19 materials and supplies -Reproduction of learner's worksheets materials</t>
  </si>
  <si>
    <t xml:space="preserve"> 2000 pcs face mask</t>
  </si>
  <si>
    <t xml:space="preserve"> Republic of the Philippines Province of Quezon CITY GOVERNMENT OF TAYABAS INVITATION TO BID FOR PROJECT # 20-071 - PROCUREMENT OF OFFICE EQUIPMENT 2ND QUARTER (VARIOUS OFFICES) - GSO The City Government of Tayabas, through the General  Fund 2020 intends t</t>
  </si>
  <si>
    <t xml:space="preserve"> CNH-0520-045</t>
  </si>
  <si>
    <t xml:space="preserve"> Invitation to Bid for Purchase of Two (2) units Rescue Vehicle for the use of Emergency response Source of Fund: Trust Fund (5% MDRRMF) Nonrefundable fee for bidding douments: 10,000.00</t>
  </si>
  <si>
    <t xml:space="preserve"> BIDS AND AWARDS COMMITTEE – HEAD OFFICE INVITATION TO BID 1.	The Bangko Sentral ng Pilipinas (BSP), through its Bids and Awards Committee  – Head Office (BAC-HO), invites Bidders to apply for eligibility and to bid for the hereunder requirement: Name of R</t>
  </si>
  <si>
    <t xml:space="preserve"> CONSTRUCTION OF SA-ONG COVERED DRAINAGE</t>
  </si>
  <si>
    <t xml:space="preserve"> The Agricultural Training Institute Region IV-A (ATI Region IV-A) invites interested suppliers to submit quotations/ proposals for the hereunder requirement: Supply and Delivery of various Agricultural Tools, Materials and Inputs for Adopt a Community - C</t>
  </si>
  <si>
    <t xml:space="preserve"> Republic of the Philippines Province of Quezon CITY GOVERNMENT OF TAYABAS INVITATION TO BID FOR PROJECT # 20-072 - PROCUREMENT OF OFFICE EQUIPMENT – CITY CIVIL REGISTRY OFFICE. The City Government of Tayabas, through the General  Fund 2020 intends to appl</t>
  </si>
  <si>
    <t xml:space="preserve"> Ten (10) Ea, Illustration Board (30"x40") and 24 Other line items.</t>
  </si>
  <si>
    <t xml:space="preserve"> PROVISION OF TRANSPORT SERVICE TO DENR MIMAROPA EMPLOYEES Requirement No. 1: 1. No. of Passenger Van: 1 unit	  2. Exclusive of Driver, Fuel, Toll Fee, Parking Fee 3. Inclusive of Vehicle Maintenance and VAT Charges 4. Destination: Within Metro Manila Vici</t>
  </si>
  <si>
    <t xml:space="preserve"> Eight (8) Ea, Fuel Filter (Ambulance MO4288) and 162 Other line items.</t>
  </si>
  <si>
    <t xml:space="preserve"> Republic of the Philippines Office of the Municipal Mayor BIDS AND AWARDS COMMITTEE Pasuquin, Ilocos Norte REQUEST FOR QUOTATIONS  Purchase of Furniture and Fixtures for Office Use 1.	The LGU-PASUQUIN, through the GENERAL FUND CY 2020  intends to apply th</t>
  </si>
  <si>
    <t xml:space="preserve"> CONSTRUCTION OF PESKONG DRAINAGE</t>
  </si>
  <si>
    <t xml:space="preserve"> The Agricultural Training Institute Region IV-A (ATI Region IV-A) invites interested suppliers to submit quotations/ proposals for the hereunder requirement: Supply and Delivery of various Agricultural Inputs and Materials for Adopt a Community - Starter </t>
  </si>
  <si>
    <t xml:space="preserve"> Republic of the Philippines Province of Quezon CITY GOVERNMENT OF TAYABAS INVITATION TO RE-BID FOR PROJECT # 20-073 - PROCUREMENT OF ROBOTIC KITS - CITY SCHOOL DIVISION OFFICE. The City Government of Tayabas, through the Special Education Fund 2020 intend</t>
  </si>
  <si>
    <t xml:space="preserve"> Republic of the Philippines Office of the Municipal Mayor BIDS AND AWARDS COMMITTEE Pasuquin, Ilocos Norte REQUEST FOR QUOTATIONS  Purchase of Business Plates 1.	The LGU-PASUQUIN, through the GENERAL FUND CY 2020  intends to apply the sum of P 44,000.00 b</t>
  </si>
  <si>
    <t xml:space="preserve"> Department of Education Region VI-Western Visayas Division of Cadiz City Alimatoc Elementary School SMALL VALUE PROCUREMENT OF 2 SETS 18X20 CANOPY  1.	The Alimatoc Elementary School of Cadiz City, through the Schools MOOE Fund CY 2020  intends to apply th</t>
  </si>
  <si>
    <t xml:space="preserve"> 1. The BARANGAY GOVERNMENT OF PAPALLASEN, BURGOS, PANGASINAN through its SK Fund CY 2020 intends to apply an amount of Sixty Eight Thousand Nine Hundred Thirty Pesos Only (Php68,930.00) being the Approved Budget for the Contract (ABC) for payment under th</t>
  </si>
  <si>
    <t xml:space="preserve"> SUPPLIES AND MATERIALS FOR ANTI-VIRUS</t>
  </si>
  <si>
    <t xml:space="preserve"> Please see attached Request for Quotation and Technical Specifications</t>
  </si>
  <si>
    <t xml:space="preserve"> Republic of the Philippines Province of Quezon CITY GOVERNMENT OF TAYABAS INVITATION TO RE-BID FOR PROJECT # 20-062 - PROCUREMENT OF IT EQUIPMENT 2ND QUARTER NON-DBM (VARIOUS OFFICES) - GSO The City Government of Tayabas, through the General  Fund 2020 in</t>
  </si>
  <si>
    <t xml:space="preserve"> NBC-0620-170</t>
  </si>
  <si>
    <t xml:space="preserve"> CONSTRUCTION OF SAFIANGON-CHALLOS FOOTBRIDGE</t>
  </si>
  <si>
    <t xml:space="preserve"> Fifty (50) pcs, Flat bar 3/16 x 1 1/2 and 14 other line items.</t>
  </si>
  <si>
    <t xml:space="preserve"> Republic of the Philippines Province of Quezon CITY GOVERNMENT OF TAYABAS INVITATION TO RE-BID FOR PROJECT # 20-070 - PROCUREMENT OF FURNITURE AND FIXTURES 2ND QUARTER (VARIOUS OFFICES) - GSO The City Government of Tayabas, through the General  Fund 2020 </t>
  </si>
  <si>
    <t xml:space="preserve"> 1	1	unit	DSLR Camera 2	1	unit	Bluetooth DSLR Camera 3	1	unit	LED Ring Light Photo Studio Light with Tripod 4	1	unit	Universal Portable Digital Camera Camcorder Tripod 5	1	unit	Directional Lavalier Lapel Microphone for Smartphones &amp; DSLR Camera 6	1	unit	3-</t>
  </si>
  <si>
    <t xml:space="preserve"> Invitation to Bid for Installation of Basketball Goal/Ring with tempered glass board Spurce of Fund: General Fund (20% EDF) Nonrefundable fee for bid docs: 500.00</t>
  </si>
  <si>
    <t xml:space="preserve"> The Agricultural Training Institute Region IV-A (ATI Region IV-A) invites interested suppliers to submit quotations/ proposals for the hereunder requirement: Supply and Delivery of various Training Supplies and Materials for the conduct of Training on Org</t>
  </si>
  <si>
    <t xml:space="preserve"> PROCURMENT OF HARDWARE/SOFTWARE EQIPEMENTS FOR AUTOMATION OF PERMITS &amp; LICENSES (EASE OF DOING BUSINESS 1.	The Municipality of San Isidro, through the TRUST Fund 2019 Fund intends to apply the sum of Php 1,153,000.00 being the Approved Budget for the Cont</t>
  </si>
  <si>
    <t xml:space="preserve"> 1	1	job	Official Website Development and Website Hosting</t>
  </si>
  <si>
    <t xml:space="preserve"> Invitation to Bid for Concreting of tire path at Digon, Margosatubig, ZDS. Source of Fund: General Fund (20% EDF) Nonrefundable fee for bid docs: 500.00</t>
  </si>
  <si>
    <t xml:space="preserve"> Republic of the Philippines Office of the Municipal Mayor BIDS AND AWARDS COMMITTEE Pasuquin, Ilocos Norte REQUEST FOR QUOTATIONS  Purchase of Spareparts for the Maintenace of Municipal Vehicle (Toyota Hilux PO1650) 1.	The LGU-PASUQUIN, through the GENERA</t>
  </si>
  <si>
    <t xml:space="preserve"> To support the procurement of 15 ea Ball Bearing Assembly with PN: 14900079-4 and two (2) other L/I for the repair of two (2) units Fuel Quantity Indicator, one (1) unit Voltage Regulator and one (1) unit Transmission Oil Pressure Indicator for use of UH-</t>
  </si>
  <si>
    <t xml:space="preserve"> PROCUREMENT OF CONSTRUCTION MATERIALS AND SUPPLIES FOR CONSTRUCTION OF SPILLWAY (CONT.) PROB ASST. 2015 AT BRGY SAN VICENTE, MATALOM, LEYTE</t>
  </si>
  <si>
    <t xml:space="preserve"> Republic of the Philippines Office of the Municipal Mayor BIDS AND AWARDS COMMITTEE Pasuquin, Ilocos Norte REQUEST FOR QUOTATIONS  Purchase of tires for the maintenance of heavy equipment (Dumptruck) 1.	The LGU-PASUQUIN, through the GENERAL FUND CY 2020  </t>
  </si>
  <si>
    <t xml:space="preserve"> Republic of the Philippines Office of the Municipal Mayor BIDS AND AWARDS COMMITTEE Pasuquin, Ilocos Norte REQUEST FOR QUOTATIONS  Purchase of Toilet Bowls 1.	The LGU-PASUQUIN, through the GENERAL FUND CY 2020  intends to apply the sum of P 50,000.00 bein</t>
  </si>
  <si>
    <t xml:space="preserve"> Four Thousand Three hundred seventy three (4373) Pc, Misalette and 18 Other line items.</t>
  </si>
  <si>
    <t xml:space="preserve"> To support the procurement of 15 ea RF Power Transistor with PN: QSD2019-2 and two (2) other L/I for the repair of two (2) units VHF AM Aircraft Radio and two (2) units Dual Tach Indicator for use of UH-1H Aircraft Nrs 516, 926, 929 and 181</t>
  </si>
  <si>
    <t xml:space="preserve"> PROCUREMENT OF CONSTRUCTION MATERIALS AND SUPPLIES FOR CONSTRUCTION OF SPILLWAY (CONT.) MUN 2016 AT BRGY SAN VICENTE, MATALOM, LEYTE</t>
  </si>
  <si>
    <t xml:space="preserve"> 1. The BARANGAY GOVERNMENT OF TAMBACAN, BURGOS, PANGASINAN through its SK Fund CY 2020 intends to apply an amount of Sixty Three Thousand Seven Hundred Twenty Pesos Only (Php63,720.00) being the Approved Budget for the Contract (ABC) for payment under the</t>
  </si>
  <si>
    <t xml:space="preserve"> Three hundred (300) Ea, Coffee Creamer 450g and 40 Other line items.</t>
  </si>
  <si>
    <t xml:space="preserve"> Two Hundred (200) rm, Bond paper (80GSM) A4 Size and 54 Other line items.</t>
  </si>
  <si>
    <t xml:space="preserve"> Item No.	Item/s and Description	Quantity	Unit	Unit Price LOT 1	Provision  of Labor for the improvement of handwashing	1		 	facilities.			 				 LOT 2	Provision  of Labor for the relocation of electrical connection			 	 to the school upgraded transformer.		</t>
  </si>
  <si>
    <t xml:space="preserve"> Republic of the Philippines Office of the Municipal Mayor BIDS AND AWARDS COMMITTEE Pasuquin, Ilocos Norte REQUEST FOR QUOTATIONS  Purchase of Materials for the Construction of Wooden Cabinet/shelves 1.	The LGU-PASUQUIN, through the GENERAL FUND CY 2020  </t>
  </si>
  <si>
    <t xml:space="preserve"> To support the procurement of five (5) ea Rubber Boot with PN: 204-076-410-1 and four (4) other L/I for use during Phase Maintenance of UH-1 Aircraft Nrs 8308, 305, and 853</t>
  </si>
  <si>
    <t xml:space="preserve"> 1.     70        PIECE      ORBIT FAN 16" 2.     10        PIECE       RECHARGEABLE / SOLAR LAMP 3.      2         PIECE      OFFICE TABLE MELAMINE</t>
  </si>
  <si>
    <t xml:space="preserve"> PROCUREMENT OF CONSTRUCTION MATERIALS AND SUPPLIES FOR CONSTRUCTION OF SPILLWAY (CONT.) BRGY AIP  2016 &amp; 2017, AT BRGY SAN VICENTE, MATALOM, LEYTE</t>
  </si>
  <si>
    <t xml:space="preserve"> The Agricultural Training Institute Region IV-A (ATI Region IV-A) invites interested suppliers to submit quotations/ proposals for the hereunder requirement: Supply and Delivery of Commercial chicks and Inputs for the Training on Organic Free Range Chicke</t>
  </si>
  <si>
    <t xml:space="preserve"> Republic of the Philippines															 Province of Benguet															 Municipality of Buguias															 BIDS AND AWARDS COMMITTEE															 															 			Purchase Request Number:				Date:								 			Name of the Project:				Quotation</t>
  </si>
  <si>
    <t xml:space="preserve"> Size : At least 8 x 8 Inches (round or square) Flavor : Preferably Mocha or Chocolate or other flavor for approval of TPB Dedication: “Happy Birthday from TPB Family” Breakdown: MONTH	QUANTITY April         	  16 May   	  8 June 	  15 July	          19 Au</t>
  </si>
  <si>
    <t xml:space="preserve"> Item No. Description Qty. Unit 1 Photocopier Machine (Konica Minolta Bizhub 223 Imaging Unit) 2 set    OPC Drum    Blade    Developer    Space Roller 2  Upper Fuser Roller  4   pcs. 3  Toner Tube TN211   6 pcs</t>
  </si>
  <si>
    <t xml:space="preserve"> 1.     72    VIAL    PURIFIED CHICK EMBRYOCELL RABIES VACCINE                           FOR HUMAN - 2.5I.U. LYOPHILIZED POWDER                           SOLUTION FOR INJECTION (IM/ID) (VAXIRAB) 2.      4     BOX    INSULIN SYRINGE 100's 3.      5     BOX </t>
  </si>
  <si>
    <t xml:space="preserve"> Republic of the Philippines  Province of Misamis Oriental  Municipality of Sugbongcogon  REQUEST FOR QUOTATION Supply and Delivery of Various Supplies for Charter Day Celebration ITB NO. 100-20-06-300 1.	The Municipality of Sugbongcogon through its Bids a</t>
  </si>
  <si>
    <t xml:space="preserve"> 1.     100    PIECE    FOLDING BED</t>
  </si>
  <si>
    <t xml:space="preserve"> See Attachment!</t>
  </si>
  <si>
    <t xml:space="preserve"> To support for the procurement of one (1) ea Starter Generator with PN: 205-075-443-5007 for use of UH-1D Nr 8478.</t>
  </si>
  <si>
    <t xml:space="preserve"> Republic of the Philippines																	 Province of Benguet																	 Municipality of Buguias																	 BIDS AND AWARDS COMMITTEE																	 																	 			Purchase Request Number:				Date:										 			Name of the Project:	</t>
  </si>
  <si>
    <t xml:space="preserve"> The Department of Environment and Natural Resources , PENRO Pampanga , through the government appropriation act intends to apply the sum of PhP 120,000being the Approved Budget for the Contract (ABC) to payments under the " Procurement of  ICT Equipment’ </t>
  </si>
  <si>
    <t xml:space="preserve"> Concreting of Road</t>
  </si>
  <si>
    <t xml:space="preserve"> See attachment!</t>
  </si>
  <si>
    <t xml:space="preserve"> The Agricultural Training Institute Region IV-A (ATI Region IV-A) invites interested suppliers to submit quotations/ proposals for the hereunder requirement: Provision of Food, Accommodation and function amenities for the conduct of Refresher Course for F</t>
  </si>
  <si>
    <t xml:space="preserve"> Quantity		Unit Issue			Item Description 150			length			10mm Square bar 20			kilogram			Welding  Electrode (Ordinary) 20			length			 ¼ x 1” Angle bar 195			bag				 Cement 35			cubic				 Coarse Sand CONSTRUCTION OF THE FOLLOWING FACILITY: 1. PATHWAY 2. WIND</t>
  </si>
  <si>
    <t xml:space="preserve"> Republic of the Philippines Office of the Municipal Mayor BIDS AND AWARDS COMMITTEE Pasuquin, Ilocos Norte REQUEST FOR QUOTATIONS  Purchase of Office Equipment for Office Use 1.	The LGU-PASUQUIN, through the GENERAL FUND CY 2020  intends to apply the sum </t>
  </si>
  <si>
    <t xml:space="preserve"> Republic of the Philippines Office of the Punong Barangay BIDS AND AWARDS COMMITTEE Barangay #31 Carusikis, Pasuquin, Ilocos Norte REQUEST FOR QUOTATIONS  Purchase of Office Supplies 1.	The BARANGAY CARUSIKIS-PASUQUIN, through the GENERAL FUND CY 2020  in</t>
  </si>
  <si>
    <t xml:space="preserve"> PLEASE JUST SEE BAC SECRETARIAT</t>
  </si>
  <si>
    <t xml:space="preserve"> The Agricultural Training Institute Region IV-A (ATI Region IV-A) invites interested suppliers to submit quotations/ proposals for the hereunder requirement: Provision of Meals and Snacks for the conduct of Refresher Course for LFTs (Batch 1) 26 pax - Sep</t>
  </si>
  <si>
    <t xml:space="preserve"> Republic of the Philippines																		 Province of Benguet																		 Municipality of Buguias																		 BIDS AND AWARDS COMMITTEE																		 																		 			Purchase Request Number:				Date:											 			Name of the Pro</t>
  </si>
  <si>
    <t xml:space="preserve"> PROJECT NAME: Construction of Walkshed Bacasen – Wakit Elementary PROJECT LOCATION: Sebang, Buguias, Benguet DURATION: 7 CD (Including mobilization and Curing) PROJECT Cost: PHP 100,000.00 SOURCE OF FUND: 20% MDF CY 2020 ITEM NO. DESCRIPTION QTY UNIT I wa</t>
  </si>
  <si>
    <t xml:space="preserve"> School and Office Equipment/Supplies</t>
  </si>
  <si>
    <t xml:space="preserve"> Republic of the Philippines Office of the Punong Barangay BIDS AND AWARDS COMMITTEE Barangay #29 San Juan, Pasuquin, Ilocos Norte REQUEST FOR QUOTATIONS  Purchase of Office Supplies 1.	The BARANGAY SAN JUAN-PASUQUIN, through the GENERAL FUND CY 2020  inte</t>
  </si>
  <si>
    <t xml:space="preserve"> Invitation to Bid to all Supplier/Contractor duly accredited by the City Council of Manila to supply and deliver the following items provided hereunder, to wit; Item	Qty.	 	Unit	 	 	 	DESCRIPTION 1	 	15	 	Pcs	Flashlight HD	 	 	 	  2	 	20	 	Pcs	Refill of F</t>
  </si>
  <si>
    <t xml:space="preserve"> Republic of the Philippines Office of the Punong Barangay BIDS AND AWARDS COMMITTEE Barangay #29 San Juan, Pasuquin, Ilocos Norte REQUEST FOR QUOTATIONS  Purchase of Materials for the Installation of Streetlights and Slope Protection for Creek 1.	The BARA</t>
  </si>
  <si>
    <t xml:space="preserve"> The Agricultural Training Institute Region IV-A (ATI Region IV-A) invites interested suppliers to submit quotations/ proposals for the hereunder requirement: Provision of Meals and Snacks for the conduct of 3 days Refresher Course for Farmers (Balayan, Ba</t>
  </si>
  <si>
    <t xml:space="preserve"> Republic of the Philippines Office of the Punong Barangay BIDS AND AWARDS COMMITTEE Barangay #23 Sta. Catalina, Pasuquin, Ilocos Norte REQUEST FOR QUOTATIONS  Purchase of Office Supplies 1.	The BARANGAY STA. CATALINA-PASUQUIN, through the GENERAL FUND CY </t>
  </si>
  <si>
    <t xml:space="preserve"> PROJECT NAME: Rehabilitation along JSNR BTK – Toking – Lingadan – Naliskey – J207 Road PROJECT LOCATION: Sebang, Buguias, Benguet DURATION: 48 CD (Including mobilization and Curing) PROJECT Cost: PHP 500,000.00 SOURCE OF FUND: 70% DRRMF CY 2020 ITEM NO. D</t>
  </si>
  <si>
    <t xml:space="preserve"> The Agricultural Training Institute Region IV-A (ATI Region IV-A) invites interested suppliers to submit quotations/ proposals for the hereunder requirement: Provision of Meals and Snacks for the conduct of 3 days Refresher Course for Farmers (Tanay, Riza</t>
  </si>
  <si>
    <t xml:space="preserve"> PROCUREMENT OF THE CONSTRUCTION  OF DOH REGIONAL OFFICE VI BUILDING, PHASE 2 DOH-REGIONAL OFFICE VI BRGY. BOLONG OESTE, STA. BARBARA, ILOILO IB NO.2020-06-001I 1.	The Department of Health, through the Health Facilities Enhancement Program (HFEP) of the De</t>
  </si>
  <si>
    <t xml:space="preserve"> Supply and Delivery of meals, snacks, training supplies, materials and tarpaulin for the seminar-workshop on gender and development concepts, gender mainstreaming and gender analysis tools Meals and Snacks (lunch &amp; AM /PM) supplies and materials Tarpaulin</t>
  </si>
  <si>
    <t xml:space="preserve"> PLEASE SEE BAC SECRETARIAT</t>
  </si>
  <si>
    <t xml:space="preserve"> School and office supplies/equipments</t>
  </si>
  <si>
    <t xml:space="preserve"> DESCRIPTION	UNIT	QTY 		 GENERAL REQUIREMENTS		 Mobilization/Temporary Structures, Utilities and Services/Demobilization	lot	1.00 Safety and Health	lot	1.00 Sub-total		 Gate Entrance		 Concrete Column and Forms		 Cement	bg	40.00 Steel Bars 10mm	pc	30.00 St</t>
  </si>
  <si>
    <t xml:space="preserve"> ITEM OF WORKS: 1  GENERAL REQUIREMENTS 2  STRUCTURAL CONCRETE 3  STRUCTURAL STEEL 4  MASONRY WORKS 5  MOISTURE &amp; THERMAL PROTECTIONS 6  CARPENTRY WORKS 7  DOORS, WINDOWS &amp; PARTITIONS 8  IRON &amp; STAINLESS STEEL WORKS 9  ELECTRICAL WORKS 10  PLUMBING &amp; SANIT</t>
  </si>
  <si>
    <t xml:space="preserve"> INVITATION TO BID The Philippine Children’s Medical Center, through GAA/HFEP (DOH) CY 2019 intends to apply the sum of Fourteen Million Seven Hundred Sixty Thousand Pesos (Php 14,760,000.00) being the Approved Budget for the Contract (ABC) to payment unde</t>
  </si>
  <si>
    <t xml:space="preserve"> Requested by: M J. Atienza/HRMO</t>
  </si>
  <si>
    <t xml:space="preserve"> Republic of the Philippines Province of Davao de Oro MUNICIPALITY OF COMPOSTELA BIDS AND AWARDS COMMITTEE CP#: 0998-571-7569 INVITATION TO BID FOR  Purchase of One (1) unit Computer Server with Complete Accessories – MASSO ITB NO. 2020-06-028, BID NO. 001</t>
  </si>
  <si>
    <t xml:space="preserve"> 3/4 PLYWOOD 1/4 PLYWOOD 2 X 2 X 8 KD 1/2 X 2 X 8 KD ASSORTED NAILS STICKWELL</t>
  </si>
  <si>
    <t xml:space="preserve"> Requested by: A D. Matillano/City Agriculture Office</t>
  </si>
  <si>
    <t xml:space="preserve"> Requested by: C G. Abogado, Jr./City Mayor's Office</t>
  </si>
  <si>
    <t xml:space="preserve"> Requested by: Atty. Anna Fatima R. Chavez/City Legal Office</t>
  </si>
  <si>
    <t xml:space="preserve"> Rehabilitation of Seawall</t>
  </si>
  <si>
    <t xml:space="preserve"> Requested by: Dr. Ricardo B. Panganiban/City Health Office</t>
  </si>
  <si>
    <t xml:space="preserve"> Requested by: R B. Panganiban/CHO - Operation of Halfway Home Drop In Center</t>
  </si>
  <si>
    <t xml:space="preserve"> Procurement of supplies intended for Junior and Senior High School</t>
  </si>
  <si>
    <t xml:space="preserve"> Republic of the Philippines Province of Northern Samar MUNICIPALITY OF LOPE DE VEGA Lope De Vega, Northern Samar Invitation to Bid CONSTRUCTION OF DAY CARE CENTER Barangay Cag-aguingay, Lope De Vega, Northern Samar  The Local Government Unit – Lope De Veg</t>
  </si>
  <si>
    <t xml:space="preserve"> Rehab. of Drainage Canal</t>
  </si>
  <si>
    <t xml:space="preserve"> Republic of the Philippines Province of Northern Samar MUNICIPALITY OF LOPE DE VEGA Lope De Vega, Northern Samar Invitation to Bid IMPROVEMENT OF WATER SYSTEM  Barangay Magsaysay and Poblacion (Purok 9 &amp; 10), Lope De Vega, Northern Samar  The Local Govern</t>
  </si>
  <si>
    <t xml:space="preserve"> June 09, 2020 RE-INVITATION TO BID 1.	The Department of Public Works and Highways, Mindoro Occidental District Engineering Office, Mamburao, Occidental Mindoro, through the General Appropriations Act intends to apply the sum of the Approved Budget for the</t>
  </si>
  <si>
    <t xml:space="preserve"> Republic of the Philippines Province of Northern Samar MUNICIPALITY OF LOPE DE VEGA Lope De Vega, Northern Samar Invitation to Bid CONSTRUCTION OF WATER SYSTEM FOR DOMESTIC USE Barangay Poblacion, Lope De Vega, Northern Samar  The Local Government Unit – </t>
  </si>
  <si>
    <t xml:space="preserve"> To provide electrical connection.</t>
  </si>
  <si>
    <t xml:space="preserve"> PLEASE SEE ATTACHED INVITATION TO BID</t>
  </si>
  <si>
    <t xml:space="preserve"> Premium Quick Dry Enamel, White,	12 gals Premium Quick Dry Enamel, Bright Green,	4 gals Premium Quick Dry Enamel, Cheese,	2 gals Premium Semi Gloss Latex, Gentle Touch,	19 gals Premium Latex, Cheese,	2 gals Premium Latex, Bright Green,	2 gals Premium Red </t>
  </si>
  <si>
    <t xml:space="preserve"> Republic of the Philippines Province of Pangasinan MUNICIPALITY OF POZORRUBIO -o0o- 					 INVITATION TO BID FOR  REBIDDING OF SUPPLY, DELIVERY &amp; INSTALLATION OF MATERIALS REQUIRED FOR THE INSTALLATION OF POWER SUPPLY 3-PHASE LINE TO POZORRUBIO MUSICAL WAT</t>
  </si>
  <si>
    <t xml:space="preserve"> Republic of the Philippines BIDS AND AWARDS COMMITTEE Province of Iloilo Invitation to Bid Purchase of DRUGS AND MEDICINES Bid No.RPT-20-0295-B  1. The Iloilo Provincial Government, through the 2020 GENERAL FUND intends to apply the sum of SEVEN HUNDRED T</t>
  </si>
  <si>
    <t xml:space="preserve"> Republic of the Philippines BIDS AND AWARDS COMMITTEE Province of Iloilo Invitation to Bid Purchase of MEDICAL SUPPLIES Bid No.RPT-20-0296-B  1. The Iloilo Provincial Government, through the 2020 GENERAL FUND intends to apply the sum of NINE HUNDRED FIFTY</t>
  </si>
  <si>
    <t xml:space="preserve"> Requested by: E A. Tuibeo/City Agriculture Office</t>
  </si>
  <si>
    <t xml:space="preserve"> Republic of the Philippines BIDS AND AWARDS COMMITTEE Province of Iloilo Invitation to Bid Purchase of LABORATORY SUPPLIES Bid No.RPT-20-0401-B  1. The Iloilo Provincial Government, through the 2020 GENERAL FUND intends to apply the sum of SIXTY-SIX THOUS</t>
  </si>
  <si>
    <t xml:space="preserve"> Republic of the Philippines BIDS AND AWARDS COMMITTEE Province of Iloilo Invitation to Bid Purchase of LABORATORY SUPPLIES Bid No.RPT-20-0398-B  1. The Iloilo Provincial Government, through the 2020 GENERAL FUND intends to apply the sum of FIFTY-TWO THOUS</t>
  </si>
  <si>
    <t xml:space="preserve"> Republic of the Philippines BIDS AND AWARDS COMMITTEE Province of Iloilo Invitation to Bid Purchase of LABORATORY SUPPLIES Bid No.RPT-20-0400-B  1. The Iloilo Provincial Government, through the 2020 GENERAL FUND intends to apply the sum of EIGHTY-SIX THOU</t>
  </si>
  <si>
    <t xml:space="preserve"> Republic of the Philippines BIDS AND AWARDS COMMITTEE Province of Iloilo Invitation to Bid Purchase of LABORATORY SUPPLIES Bid No.RPT-20-0397-B  1. The Iloilo Provincial Government, through the 2020 GENERAL FUND intends to apply the sum of SEVEN HUNDRED S</t>
  </si>
  <si>
    <t xml:space="preserve"> AIMS AGRI VENTURES Zone 6, Tabuco, Naga City  	 BRIXTON CONSTRUCTION &amp; INDUSTRIAL  SUPPLY CORPORATION 142 Kamias Cor. Anonas Sts., Armon’s Bldg., 2nd Floor, East Kamias, Quezon City GRJC AGRI INDUSTRIAL MACHINERIES Nat’l Hi-way Corner Diversion Road  San </t>
  </si>
  <si>
    <t xml:space="preserve"> Republic of the Philippines BIDS AND AWARDS COMMITTEE Province of Iloilo Invitation to Bid Purchase of DRUGS AND MEDICINES Bid No.RPT-20-0357-B  1. The Iloilo Provincial Government, through the 2020 GENERAL FUND intends to apply the sum of SIX HUNDRED NIN</t>
  </si>
  <si>
    <t xml:space="preserve"> PRINTING &amp; PUBLICATION EXPENSE</t>
  </si>
  <si>
    <t xml:space="preserve"> PB NO. 2020-034		 			 1.	100	UNITS	LAPTOP 			SPECIFICATIONS: 			ASUS TUF GAMING FX 505DT-AL182T 			SAND BLASTED FINISH-GUN METAL 			(COLOR/MAKE NAME: GOLD STEEL) 			DIMENSION: 36.0 X 26.2 X 2.50 2.60 CM 			14.17 X 10.31 X 0.98 1.02 INCHES 			PROCESSOR: AM</t>
  </si>
  <si>
    <t xml:space="preserve"> Republic of the Philippines BIDS AND AWARDS COMMITTEE Province of Iloilo Invitation to Bid Purchase of LABORATORY SUPPLIES Bid No.RPT-20-0399-B  1. The Iloilo Provincial Government, through the 2020 GENERAL FUND intends to apply the sum of NINETY THOUSAND</t>
  </si>
  <si>
    <t xml:space="preserve"> Requested by: J T. Ditona/CED - Motorpool</t>
  </si>
  <si>
    <t xml:space="preserve"> PB NO. 2020-035		 			 1.	1	lot	Proposed Asphalt overlay at Brgy. Sta. Ana, San Pablo City. 			By: Contract 			 	Deadline for Submission of Bids: July 6, 2020 1:00 pm</t>
  </si>
  <si>
    <t xml:space="preserve"> Republic of the Philippines BIDS AND AWARDS COMMITTEE Province of Iloilo Invitation to Bid Purchase of LABORATORY SUPPLIES Bid No.RPT-20-0429-B  1. The Iloilo Provincial Government, through the 2020 GENERAL FUND intends to apply the sum of ONE HUNDRED NIN</t>
  </si>
  <si>
    <t xml:space="preserve"> INVITATION TO APPLY FOR ELIGIBILITY AND TO BID (IAEB)   The Municipality of Molave, Zamboanga del Sur, through its Bids and Awards Committee, invites suppliers/distributors to apply for eligibility and to bid for the hereunder project:   Name of Project  </t>
  </si>
  <si>
    <t xml:space="preserve"> Republic of the Philippines BIDS AND AWARDS COMMITTEE Province of Iloilo Invitation to Bid Purchase of LABORATORY SUPPLIES Bid No.RPT-20-0431-B  1. The Iloilo Provincial Government, through the 2020 GENERAL FUND intends to apply the sum of EIGHTY-SEVEN TH</t>
  </si>
  <si>
    <t xml:space="preserve"> R&amp;M Disaster Response &amp; Rescue Equip</t>
  </si>
  <si>
    <t xml:space="preserve"> DESKTOP COMPUTER W/ COMPLETE ACCESS. PRINTER LQ310</t>
  </si>
  <si>
    <t xml:space="preserve"> SEMI-EXPENDABLE ICT EQUIPMENT (ODCOP-PHP58,500.00)</t>
  </si>
  <si>
    <t xml:space="preserve"> Hardware &amp; Construction Supplies-Flat Latex</t>
  </si>
  <si>
    <t xml:space="preserve"> DIESEL GASOLINE</t>
  </si>
  <si>
    <t xml:space="preserve"> FOR KLX MOTOR BRAKE PAD BRAKE SHOE CHAIN INTERIOR SPROCKET FRONT/ REAR TIRE FRONT/ REAR  FOR XRM MOTOR TIRE AND INTERIOR 2.7X17 BRAKE PAD BRAKE SHOE CHAIN  SPROCKET FRONT AND REAR  FOR XTC BRAKE PAD/SHOE CHAIN SPROCKET TIRE AND INTERIOR RADIATOR FOR HI-LU</t>
  </si>
  <si>
    <t xml:space="preserve"> AJJ TRADING Batangas City JEDECO TRADING CORP.  16 Del Pilar St., Barangay III, Vigan City, Ilocos Sur ASIAN HYBRID SEED TECHNOLOGIES, INC.  Door 4, 267 Juna Subd., Q Blvd., Brgy., Bucan, Talomo District AND ALL INTERESTED SUPPLIERS/BIDDERS REQUEST TO SUB</t>
  </si>
  <si>
    <t xml:space="preserve"> INVITATION TO BID FOR THE PROCUREMENT OF SUPPLY AND DELIVERY OF NINE (9) UNITS RICE COMBINE HARVESTER (REBID)   1.	The Department of Agriculture Regional Field Office (DA RFO) No. 6, through the General Appropriations Act of 2020 intends to apply the sum </t>
  </si>
  <si>
    <t xml:space="preserve"> INVITATION TO BID FOR SECURITY SERVICES 1. The Cebu Technological University, through the GAA intends to apply the sum of Nine Hundred Ninety-Five Thousand Pesos (Php995,000.00) being the Approved Budget for the Contract (ABC) to payments under the contra</t>
  </si>
  <si>
    <t xml:space="preserve"> Repair and Maintenance of Various Service Vehicles of Provincial Government of Tarlac LOT 1: Repair and Maintenance (PMS) of (4) units Toyota Hi Lux 4x4/Innova with CS No. VG 0727, A7N606, P5N4041 and VE 4878 LOT 2: Repair and Maintenace (PMS) of (4) unit</t>
  </si>
  <si>
    <t xml:space="preserve"> Invitation to Bid for  Concreting &amp; Drainage Rehabilitation of J.M. Ceniza St., Looc, Mandaue City (21-2020) 1.	The City Government of Mandaue through the General Fund / Non-office (9999) Continuing Appropriation “Flood Control System” Approved by the San</t>
  </si>
  <si>
    <t xml:space="preserve"> Repair and Maintenance of Various Service Vehicles of Provincial Government of Tarlac 1 Unit Toyota avanza with plate no. (SLF 169) 1 Unit Toyota  Hi-LUx with plate no. (SJP 929) 1 Unit Toyota  Hi-LUx with plate no. (SJL 587) 1 Unit Toyota  Hi-LUx with pl</t>
  </si>
  <si>
    <t xml:space="preserve"> Lot 1:Repair and Maintenance of (1) unit Toyota Hilux FX with Plate no. SLF 463 Lot 2: Repair and Maintenance of (2) units Toyota Innova with CS no. VE 4878 and Plate no. SKX 466 and (1) unit Isuzu NHR Flexi Truck with CS no. CO 1538 Lot 3:Repair and Main</t>
  </si>
  <si>
    <t xml:space="preserve"> Item 100-3 Individual Removal of Trees Item 100-4 Individual Removal of Big Trees Item 101 Removal of Actual Structures Item 102 Excavation Item 104 Common Embankment Item 511 Gabions and Mattresses Item 511-A Polyethylene Liner (PE) Sheets SPL-1 Construc</t>
  </si>
  <si>
    <t xml:space="preserve"> Procurement of Various Tires for the repair and maintenance of various trucks and Heavy Equipments used at the Provincial Equipment Pool Office Tire Assy 20.5x25 tubeless (pay loader) Tire assy 12-R22.5 16P Rib type, tubeless (BUS) Job Installation of Tir</t>
  </si>
  <si>
    <t xml:space="preserve"> Repair and Maintenance of Aircon services of (3) units Toyota Avanza/Innova with plate no. SKX 520, SJL 512, SJ: 584 and (1) unit Hyundai Grand Starex with plate no. SKM 221</t>
  </si>
  <si>
    <t xml:space="preserve"> Repair and Maintenance of Various Service Vehicles of Provincial Government of Tarlac</t>
  </si>
  <si>
    <t xml:space="preserve"> 1.       84      pcs      Tile 0.60 X 0.60M  2.       2        bags    Tile grout 3.       25      pcs.      12mm X 6M  RSB 4.       30      pcs        10mm X 6M  RSB 5.       2        T/L        Washed Sand 6.       1        T/L        Screened Gravel 7.</t>
  </si>
  <si>
    <t xml:space="preserve"> Republic of the Philippines Department of Education Region VI – Western Visayas DIVISION OF AKLAN Poblacion, Numancia, Aklan INVITATION TO BID Project No.: DepED-RO6-D1-2020QRF(REPAIR)-C1-018-2020 The Department of Education (DepED) Division of Aklan, thr</t>
  </si>
  <si>
    <t xml:space="preserve"> Republic of the Philippines Province of Bohol Municipality of Duero BIDS AND AWARDS COMMITTEE Section 1. INVITATION TO BID The Municipality of Duero, Bohol, through its Bids and Awards Committee (BAC), invites suppliers/manufacturers/distributors to apply</t>
  </si>
  <si>
    <t xml:space="preserve"> PR. No. 69-2020 (MDRRMO) 1.	1	pc	Cooking pot (height 6”diameter) 2.	2	pc	Cooking pot (12” height 12” diameter) 3.	1	set	Knife Set (5pcs) 4.	1	pc	Wok (small) 12” diameter 5.	2	pc	Wok (big) 18” diameter 6.	2	pcs	Soup Laddle (stainless) 7.	2	pcs	Sanshi (fryi</t>
  </si>
  <si>
    <t xml:space="preserve"> Republic of the Philippines BIDS AND AWARDS COMMITTEE Province of Iloilo Invitation to Bid PURCHASE OF OFFICE SUPPLIES Bid No. SDH-20-0273-B 1. The Iloilo Provincial Government, through the GENERAL FUND 2020 intends to apply the sum of TWENTY-NINE THOUSAN</t>
  </si>
  <si>
    <t xml:space="preserve"> QTY	UNIT	ITEM DESCRIPTION 		  1,800.00 	pc/s	Non-Accountable Forms (Meter Reading Card)  105.00 	pad/s	Non-Accountable Forms (Meter Reading  Report - 100 leaves/pad in carbonized form</t>
  </si>
  <si>
    <t xml:space="preserve"> Livestock Dispersal for Alliance of Cebu City Farmers Association</t>
  </si>
  <si>
    <t xml:space="preserve"> 1. 5 rolls P.E. Pipe 1" Diameter 2. 20 PC P.E. Tee 1 x1/2 3. 20 PC P.E. Adaptor 1/2 4. 14 PC P.E. Coupling 1/2 5. 9 ROLLS P.E. Pipe 1 1/2 6. 1 PC Bell Reducer 6" x 4" 7. 10 PC P.E. Coupling 1 1/2</t>
  </si>
  <si>
    <t xml:space="preserve"> delivery of motorcycle</t>
  </si>
  <si>
    <t xml:space="preserve"> Republic of the Philippines Province of Cebu Municipality of Cordova BIDS &amp; AWARDS COMMITTEE (032-236-6171) 			  	June 15, 2020 Request for quotation  The Municipality of Cordova, through its Bids and Awards Committee (BAC), is inviting all interested bid</t>
  </si>
  <si>
    <t xml:space="preserve"> Republic of the Philippines BIDS AND AWARDS COMMITTEE Province of Iloilo Invitation to Bid PURCHASE OF DRUGS AND MEDICINES Bid No. SDH-20-0363-B 1. The Iloilo Provincial Government, through the GENERAL FUND 2020 intends to apply the sum of TWO HUNDRED NIN</t>
  </si>
  <si>
    <t xml:space="preserve"> Republic of the Philippines BIDS AND AWARDS COMMITTEE Province of Iloilo Invitation to Bid PURCHASE OF LABORATORY SUPPLIES Bid No. SDH-20-0446-B 1. The Iloilo Provincial Government, through the GENERAL FUND 2020 intends to apply the sum of FOUR HUNDRED NI</t>
  </si>
  <si>
    <t xml:space="preserve"> Republic of the Philippines BIDS AND AWARDS COMMITTEE Province of Iloilo Invitation to Bid PURCHASE OF HOUSEKEEPING SUPPLIES Bid No. SDH-20-0395-B 1. The Iloilo Provincial Government, through the GENERAL FUND 2020 intends to apply the sum of FOUR HUNDRED </t>
  </si>
  <si>
    <t xml:space="preserve"> Republic of the Philippines BIDS AND AWARDS COMMITTEE Province of Iloilo Invitation to Bid PURCHASE OF DRUGS AND MEDICINES Bid No. SDH-20-0362-B 1. The Iloilo Provincial Government, through the GENERAL FUND 2020 intends to apply the sum of THREE HUNDRED F</t>
  </si>
  <si>
    <t xml:space="preserve"> Improvement of Women's Training Center</t>
  </si>
  <si>
    <t xml:space="preserve"> Republic of the Philippines BIDS AND AWARDS COMMITTEE Province of Iloilo Invitation to Bid PURCHASE OF LABORATORY SUPPLIES Bid No. SDH-20-0444-B 1. The Iloilo Provincial Government, through the GENERAL FUND 2020 intends to apply the sum of SEVENTY-SEVEN T</t>
  </si>
  <si>
    <t xml:space="preserve"> Republic of the Philippines BIDS AND AWARDS COMMITTEE Province of Iloilo Invitation to Bid PURCHASE OF LABORATORY SUPPLIES Bid No. SDH-20-0445-B 1. The Iloilo Provincial Government, through the GENERAL FUND 2020 intends to apply the sum of ONE HUNDRED EIG</t>
  </si>
  <si>
    <t xml:space="preserve"> Republic of the Philippines BIDS AND AWARDS COMMITTEE Province of Iloilo Invitation to Bid Purchase of Water Supply Accessories Bid No. AGR-20-0668-B 1. The Iloilo Provincial Government, through the GENERAL FUND 2020 intends to apply the sum of THREE MILL</t>
  </si>
  <si>
    <t xml:space="preserve"> QTY	UNIT	ITEM DESCRIPTION 		  1.00 	unit	All-In-One Desktop Computer 		- Defective Hard Disk (for replacement) 		  1.00 	unit	Printer 		- for replacement of maintenance box 		- for ink pad resetting</t>
  </si>
  <si>
    <t xml:space="preserve"> Republic of the Philippines PROVINCE OF NUEVA VIZCAYA Invitation to Bid for the  REHAB./RESTORATION OF ARTC GREENHOUSE INSTALLATION OF NET COVER AND DRIP IRRIGATION (INST. OF NET COVER) Located at Prov’l. Nursery, Magsaysay, Bay., Nueva Vizcaya  1.	The Pr</t>
  </si>
  <si>
    <t xml:space="preserve"> Purchase of various supplies</t>
  </si>
  <si>
    <t xml:space="preserve"> Republic of the Philippines BIDS AND AWARDS COMMITTEE Province of Iloilo Invitation to Bid PURCHASE OF LABORATORY SUPPLIES Bid No. SDH-20-0449-B 1. The Iloilo Provincial Government, through the GENERAL FUND 2020 intends to apply the sum of ONE HUNDRED EIG</t>
  </si>
  <si>
    <t xml:space="preserve"> Republic of the Philippines PROVINCE OF NUEVA VIZCAYA Invitation to Bid for the  REHAB./RESTORATION OF ARTC GREENHOUSE INSTALLATION OF NET COVER AND DRIP IRRIGATION (INST. OF DRIP IRRIGATION SYSTEM) Located at Prov’l. Nursery, Magsaysay, Bay., Nueva Vizca</t>
  </si>
  <si>
    <t xml:space="preserve"> Republic of the Philippines BIDS AND AWARDS COMMITTEE Province of Iloilo Invitation to Bid PURCHASE OF MEDICAL SUPPLIES Bid No. SDH-20-0441-B 1. The Iloilo Provincial Government, through the GENERAL FUND 2020 intends to apply the sum of NINE HUNDRED THIRT</t>
  </si>
  <si>
    <t xml:space="preserve"> Republic of the Philippines PROVINCE OF NUEVA VIZCAYA Invitation to Bid for the  REHAB./RESTORATION OF ARTC GREENHOUSE INSTALLATION OF NET COVER AND DRIP IRRIGATION (INST. OF SOLAR PUMP IRRIGATION SYSTEM) Located at Prov’l. Nursery, Magsaysay, Bay., Nueva</t>
  </si>
  <si>
    <t xml:space="preserve"> 12 Units Jetmatic Pump For water assistance program</t>
  </si>
  <si>
    <t xml:space="preserve"> 1. 1 PC Submersible Pump w/ out Motor 5 Hp High Head</t>
  </si>
  <si>
    <t xml:space="preserve"> Republic of the Philippines PROVINCE OF NUEVA VIZCAYA 2nd Invitation to Bid for the  CONSTRUCTION OF PANIKI UPPER TALLA, CORDON CIS Located at Cordon, Kasibu, Nueva Vizcaya  1.	The Provincial Government of Nueva Vizcaya, through the 2020 20% Development F</t>
  </si>
  <si>
    <t xml:space="preserve"> Republic of the Philippines PROVINCE OF NUEVA VIZCAYA 2nd Invitation to Bid for the  CONSTRUCTION OF UBUN-PAPAYA-DOMANG CIS Located at Kasibu, Nueva Vizcaya  1.	The Provincial Government of Nueva Vizcaya, through the 2020 20% Development Fund intends to a</t>
  </si>
  <si>
    <t xml:space="preserve"> Please quote your lowest price on the Item/s below, subject to the terms and Conditions and Eligibility Requirements for the Suppliers, stating the shortest time of the delivery and submit your quotation duly signed by your representative not later than J</t>
  </si>
  <si>
    <t xml:space="preserve"> Republic of the Philippines  Province of Leyte  MUNICIPALITY OF PALO NOTICE OF POSTING @ PHILGEPS WEBSITE	                                                                                                                                       June 15, 2020 </t>
  </si>
  <si>
    <t xml:space="preserve"> Republic of the Philippines PROVINCE OF NUEVA VIZCAYA 2nd Invitation to Bid for the  CONSTRUCTION OF NAMANGEGAN ALLOY CIS PHASE III Located at Kasibu, Nueva Vizcaya  1.	The Provincial Government of Nueva Vizcaya, through the 2020 20% Development Fund inte</t>
  </si>
  <si>
    <t xml:space="preserve"> Please see attached Bill of Quantities and Invitation to Bid in the Philippine Bidding Documents</t>
  </si>
  <si>
    <t xml:space="preserve"> PR-000008919	 18  pcs.		Flood light / Y2 Supervision LED IP65		 				   200W, 20000LM, 4000k, 90 Degrees PLEASE FAX YOUR QUOTATION ASAP, ATTENTION TO MR. FERDINAND M. COMPUESTO, PURCHASING MANAGER AT 85524345/88793664 OR EMAIL AT guerreroll@dfp.com.ph. YOU</t>
  </si>
  <si>
    <t xml:space="preserve"> Republic of the Philippines PROVINCE OF NUEVA VIZCAYA Invitation to Bid for the  EXTENSION OF NVPH SLOPE PROTECTION Located at Almaguer North, Bambang, Nueva Vizcaya  1.	The Provincial Government of Nueva Vizcaya, through the PGSO (5-02-13-020) Land Impro</t>
  </si>
  <si>
    <t xml:space="preserve"> Republic of the Philippines PROVINCE OF NUEVA VIZCAYA Invitation to Bid for the  REHAB./RESTORATION OF ARTC GREENHOUSE INSTALLATION OF NET COVER AND DRIP IRRIGATION (CONST. OF ELEVATED CONC. WATER TANK) Located at Prov’l. Nursery, Magsaysay, Bay., Nueva V</t>
  </si>
  <si>
    <t xml:space="preserve"> see line item:</t>
  </si>
  <si>
    <t xml:space="preserve"> Republic of the Philippines BIDS AND AWARDS COMMITTEE Province of Iloilo Invitation to Bid PURCHASE OF LABORATORY SUPPLIES Bid No. SDH-20-0448-B 1. The Iloilo Provincial Government, through the GENERAL FUND 2020 intends to apply the sum of FOUR HUNDRED FI</t>
  </si>
  <si>
    <t xml:space="preserve"> Supply &amp; delivery of: A. Chemical Detergent for Parts Washer @ Repair Kits 1. Chemical Detergent @ 20 Liters/Container/Pail        ------------------------------------------  8 pails Note: 1. Delivery of the items shall be at the Motorpool Compound,      </t>
  </si>
  <si>
    <t xml:space="preserve"> 85 pieces Battery for UPS ******** nothing follows ********</t>
  </si>
  <si>
    <t xml:space="preserve"> Battery Pack &amp; 9 L/I</t>
  </si>
  <si>
    <t xml:space="preserve"> ARTICLE AND DESCRIPTION											 ITEM	QTY.	UNIT						CEILING 					UNIT PRICE		TOTAL  								PRICE							 															 				Office: Universidad De Manila				PR No. 319							 				Charge to: Other Supplies and Materials Expenses				OBR No. 100-2002-006</t>
  </si>
  <si>
    <t xml:space="preserve"> Republic of the Philippines BIDS AND AWARDS COMMITTEE Province of Iloilo Invitation to Bid PURCHASE OF OFFICE SUPPLIES Bid No. SDH-20-0443-B 1. The Iloilo Provincial Government, through the GENERAL FUND 2020 intends to apply the sum of TWO HUNDRED SEVENTY</t>
  </si>
  <si>
    <t xml:space="preserve"> INVITATION TO BID FOR THE PROCUREMENT OF SUPPLY AND DELIVERY OF EIGHT (8) UNITS RICE TRANSPLANTER (RIDE-ON) (REBID) 1.	The Department of Agriculture Regional Field Office (DA RFO) No. 6, through the General Appropriations Act of 2020 intends to apply the </t>
  </si>
  <si>
    <t xml:space="preserve"> 79 cartridges Toner, CF281A ******** nothing follows ********</t>
  </si>
  <si>
    <t xml:space="preserve"> Republic of the Philippines BIDS AND AWARDS COMMITTEE Province of Iloilo Invitation to Bid PURCHASE OF LABORATORY SUPPLIES Bid No. SDH-20-0447-B 1. The Iloilo Provincial Government, through the GENERAL FUND 2020 intends to apply the sum of FIVE HUNDRED EI</t>
  </si>
  <si>
    <t xml:space="preserve"> QTY	UNIT	ITEM DESCRIPTION 		  4.00 	page/s	AN ORDINANCE IMPOSING STRINGENT REGULATIONS AND MEASURES IN TIMES OF EPIDEMIC, PANDEMIC OR OTHER NATIONAL OR LOCAL-WIDE HEALTH EMERGENCIES, PROVIDING EXEMPTIONS AND PENALTIES THEREFOR AND FOR OTHER PURPOSES OF ST</t>
  </si>
  <si>
    <t xml:space="preserve"> Republic of the Philippines BIDS AND AWARDS COMMITTEE Province of Iloilo Invitation to Bid PURCHASE OF MEDICAL SUPPLIES Bid No. SDH-20-0442-B 1. The Iloilo Provincial Government, through the GENERAL FUND 2020 intends to apply the sum of NINE HUNDRED NINET</t>
  </si>
  <si>
    <t xml:space="preserve"> 8	unit	Car Dashboard Camera, for service vehicles 		 - high-end, 1080 full high definition recording 		 - at least 140 degree wide angle lens 		 - night recording 		 - at least 5 MP with CMOS censor 		 - at least 2.7" LCD screen and display 		 - seamless </t>
  </si>
  <si>
    <t xml:space="preserve"> Furniture and Fixtures for utilization of the Office of the mayor/ Department of General Services</t>
  </si>
  <si>
    <t xml:space="preserve"> Section I. Invitation to Bid Section II. Instructions to Bidders A.  General 1.	Scope of Bid 		 	1.1	The Procuring Entity as defined in the BDS, invites bids for the construction of Works, as described in Section VI- Specifications.  The name and identifi</t>
  </si>
  <si>
    <t xml:space="preserve"> Thirty Five (35) bx 100% Pineapple Juice with A-C-E, 240ml 24s/box &amp; 49 other line items</t>
  </si>
  <si>
    <t xml:space="preserve"> 2.00 units Printing Machine (RISO) 2.00 units Multifunction Copier</t>
  </si>
  <si>
    <t xml:space="preserve"> REPAIR</t>
  </si>
  <si>
    <t xml:space="preserve"> &gt; ONE JOB ORDER PUBLICATION OF PROVINCIAL ORDINANCES No. 16-24-03-20 An Ordinance Amending Sec. 6 of Provincial Ordinance No. 16-24-03-2020 -Curfew Hour 9:00 PM - 5:00 AM No. 16-27-04-2020 An Ordinance Requiring Government Institutions to Patronize Locall</t>
  </si>
  <si>
    <t xml:space="preserve"> CONCRETING &amp; RIPRAPPING</t>
  </si>
  <si>
    <t xml:space="preserve"> This project entails purchase of office supplies for use in the COA Office.</t>
  </si>
  <si>
    <t xml:space="preserve"> 1	unit	Sound System 		 - microphone and speaker 		 - speaker system for frontline counters 		******** nothing follows ********</t>
  </si>
  <si>
    <t xml:space="preserve"> PHILIPPINE BIDDING DOCUMENTS (As Harmonized with Development Partners) FOR ENHANCEMENT OF CACAO PRODUCTION THRU PROVISION OF ACCREDITED VARIETY OF CACAO GRAFTED PLANTING MATERIALS AND FERTILIZER SUBSIDY BIDDING Government of the Republic of the Philippine</t>
  </si>
  <si>
    <t xml:space="preserve"> I. Mobilization II. CSHP III. Road Preparation A. Equipment B. Materials IV. Portland Cement Concrete Pavement V. Equipment</t>
  </si>
  <si>
    <t xml:space="preserve"> 1500 L diesel fuel</t>
  </si>
  <si>
    <t xml:space="preserve"> PHILIPPINE BIDDING DOCUMENTS (As Harmonized with Development Partners) FOR ENHANCEMENT OF CACAO PRODUCTION THRU PROVISION OF ACCREDITED VARIETY OF CACAO BIDDING Government of the Republic of the Philippines TABLE OF CONTENTS SECTION I. INVITATION TO BID……</t>
  </si>
  <si>
    <t xml:space="preserve"> I. Mobilization II. CSHP III. Road Preparation A. Equipment B. Materials IV. Portland Cement Concrete Pavement V. Equipment Labor</t>
  </si>
  <si>
    <t xml:space="preserve"> CONSTRUCTION OF 55 METERS CONCRETE CANAL AT PUROK SEGUIDILLA, BRGY. MAYPANGDAN, BORONGAN CITY, EASTERN SAMAR</t>
  </si>
  <si>
    <t xml:space="preserve"> Repair &amp; Maintenance - Motor Vehicle</t>
  </si>
  <si>
    <t xml:space="preserve"> 3000-pcs. Medals, Gold Ordinary/Academic</t>
  </si>
  <si>
    <t xml:space="preserve"> Republic of the Philippines							 Province of Lanao del Norte							 Municipality of Lala							 Office of the Municipal General Services							 				Date			 CANVASS							 							 							 	Sir/Madam:						 		Please quote your lowest price for the followi</t>
  </si>
  <si>
    <t xml:space="preserve"> Rehabilitation of Perimeter Pavement of Covered Court</t>
  </si>
  <si>
    <t xml:space="preserve"> Rice, 21sack</t>
  </si>
  <si>
    <t xml:space="preserve"> Rice, 29Sacks Sardines, 2boxes Noodles, 2boxes</t>
  </si>
  <si>
    <t xml:space="preserve"> Commercial Rice, 5 half sack Red Rice, 4 half Sack Malagkit Rice, 3 sacks Mongo, 3 sacks Brown Sugar, 2 sacks Iodized Salt, 2 sacks Bear Brand, 83kgs Oil, 4 doz Garlic, 10kgd  Tuna, 4case Teaspoon, 2doz Eggs, 12 trays</t>
  </si>
  <si>
    <t xml:space="preserve"> 1	100	ALCOHOL, 70%,  500 ml 2	4	Ant-Virus INSTALLER 3	1	AVR (1000v) 4	24	Ballpen  BP-SF-B (Black) 5	11	Ballpen (Black) Press button 6	5	Ballpen (Blue) Press button 7	5	Ballpen (ordinary, black) 8	4	Ballpen 1423  0.5 black 9	1	Ballpen BP-S-F-B (Red) 10	12	</t>
  </si>
  <si>
    <t xml:space="preserve"> Washable Face Mask, 2000 pcs</t>
  </si>
  <si>
    <t xml:space="preserve"> INVITATION TO BID FOR (GOODS &amp; SERVICES) 	     20GJC0193 – 8 units Desktop Computer etc. To be used in Planning and Design Section.                          (PR # 20-05-181) 1. 	      The DPWH, 2nd District Engineering Office,Labason,Zamboanga del Norte, </t>
  </si>
  <si>
    <t xml:space="preserve"> INVITATION TO BID FOR (GOODS &amp; SERVICES)       20GJC0191 – 100 liters UD Diesel Engine Oil Mega Multi 3 SAE 15W-40 etc. To be use in                           the preventive maintenance of UD Croner DT with code no. H3-6752 assigned                       </t>
  </si>
  <si>
    <t xml:space="preserve"> 2 units Air-conditioning Unit Window Type 1.5HP 1 unit  Air-conditioning Unit 1HP Split Type with Installation (Inverter)</t>
  </si>
  <si>
    <t xml:space="preserve"> 9,600 container	Procurement of 5 Gals Purified Drinking Water for CF- Iloilo 1.	pH	5-7 2.	TDS	&lt;10ppm (Total Dissolved Solids – TDS) 3.	Taste	No objectionable Taste 4.	Odor	No objectionable Odor 5.	Color	5 TCU (True Color Units) 6.	Turbidity	5 NTU ( Nephel</t>
  </si>
  <si>
    <t xml:space="preserve"> INVITATION TO BID FOR (GOODS &amp; SERVICES)       20GJC0190 – 2 pcs. Oil Filter 3831236 etc. Item 1 to 4 to be use for preventive                              maintenance of Volvo Road Grader with code no. N1-2261, Item 5 to 12 use                           </t>
  </si>
  <si>
    <t xml:space="preserve"> Portland Cement Gravel Gravel Rough Lumber 2x4x12 CWN Assorted Mixing Water</t>
  </si>
  <si>
    <t xml:space="preserve"> INVITATION TO BID FOR (GOODS &amp; SERVICES)       20GJC0192 – 1 unit Laptop. To be used for “work from home” of the resident auditor, this                          district. (PR # 20-03-191) 1.         The DPWH, 2nd District Engineering Office,Labason,Zamboa</t>
  </si>
  <si>
    <t xml:space="preserve"> 1500 kg Lean meat/liver/ribs/intestines/entrils 20 kg Bagnet 5 kg Ukilas 1500 kg Dressed chicken/liver/gizard Note: Daily delivery as needed within 30 days (June 2020) Please see and download the attachment</t>
  </si>
  <si>
    <t xml:space="preserve"> Supply and delivery of 500 bags Granular Urea to be used in the Cassava Model Farm for CY 2020 500	bags	Granular Urea		 		Minimum Specifications:		 		Packaging: 50 kg/bag with inner plastic lining		 		Nitrogen (N): 45.08%		 		FPA-accredited dealer and FPA</t>
  </si>
  <si>
    <t xml:space="preserve"> Republika ng Pilipinas PAMAHALAANG LUNGSOD NG TACLOBAN (City Government of Tacloban) Kanhuraw Hill, Tacloban City 6500 Tel. Nos.  325-4053 BIDS AND AWARDS COMMITTEE 	INVITATION TO SUBMIT PRICE QUOTATIONS 1st Posting 	           The City Government of Tacl</t>
  </si>
  <si>
    <t xml:space="preserve"> Supply and delivery of various agricultural inputs to be used in the Sorghum Technology Demonstration 250	bags	Organic Fertilizer		 		Minimum Specifications:		 		Packaging: 50 kg/bag with inner plastic lining		 		Total NPK = 1.5% minimum; C:N = 15.1		 		M</t>
  </si>
  <si>
    <t xml:space="preserve"> Republika ng Pilipinas PAMAHALAANG LUNGSOD NG TACLOBAN (City Government of Tacloban) Kanhuraw Hill, Tacloban City 6500 Tel. Nos.  325-4053 BIDS AND AWARDS COMMITTEE 	INVITATION TO SUBMIT PRICE QUOTATIONS 1st Posting BIDSTAC # SB 024-2020 (7041914). 	     </t>
  </si>
  <si>
    <t xml:space="preserve"> Supply and delivery of 2 units Mobile Electric Weighing Scale for Smal Ruminant and 1 unit Electric Weighing Scale with Cattle Squeezer to be used in monitoring and assessment of breeder stocks produced and maintained in the stations 2	unit	Mobile Electri</t>
  </si>
  <si>
    <t xml:space="preserve"> 1     unit     Dump box 1.20m x 2.90 with 4mm thl Steel Black Iron Plate and 2" x 3" x 1/4" Channel Bar including                   Baby Chassis 2" x 4" x 1/4"mm Channel Bar and accessories 1     unit     Assembly PTO with Complete Accessories</t>
  </si>
  <si>
    <t xml:space="preserve"> INVITATION TO BID FOR THE SUPPLY, DELIVERY, INSTALLATION AND COMMISSIONING OF ONE (1) UNIT ENT-HNS DIGITAL VIDEO STROBOSCOPE (IB NO. 2020-GOODS-014-01-0615) 1.	The ILOCOS TRAINING AND REGIONAL MEDICAL CENTER (ITRMC), through the GAA, FY 2020 (HFEP Fund), </t>
  </si>
  <si>
    <t xml:space="preserve"> Republic of the Philippines Municipality of Taytay Taytay, Palawan NOTICE TO BIDDERS Item # Qty Unit Description Amount 1.	1	unit 	SCANNER:                         Specs: Compact size and Footpring,                         - Powered via USB 3.0 bus powere</t>
  </si>
  <si>
    <t xml:space="preserve"> Supply and delivery of various vehicle parts and accessories for the RP vehicle SJB-258 under HVCDP 4	pcs	Tires		 1	pc 	Battery		 1	set	Seat Cover		 1	pc 	Steering Cover		 1	set	Floor Matting</t>
  </si>
  <si>
    <t xml:space="preserve"> Supply and delivery of 500 bags Granular Complete Fertilizer to be used by OPV white corn farmers, as package with the existing project on regular seed distribution for CY 2020 500	bags	Granular Complete Fertilizer		 		Minimum Specifications:		 		Packagin</t>
  </si>
  <si>
    <t xml:space="preserve"> I N V I T A T I O N  T O  B I D The Manila International Airport Authority, through its Bids and Awards Committee (BAC), invites interested parties to apply for eligibility and to bid for the hereunder service contract: 	 Name of Contract       :  	Supply</t>
  </si>
  <si>
    <t xml:space="preserve"> SUPPLY OF ONE (1) UNIT PORTABLE GENERATOR AND TWO (2) UNITS PORTABLE AIRCON under PR No. KMT-2003-005B and ITB No. 2005-025-04R Please quote your lowest price on the item/s listed below, subject to the Terms and Conditions set forth hereunder, stating amo</t>
  </si>
  <si>
    <t xml:space="preserve"> Republika ng Pilipinas PAMAHALAANG LUNGSOD NG TACLOBAN (City Government of Tacloban) Kanhuraw Hill, Tacloban City 6500 Bids and Awards Committee INVITATION TO SUBMIT PRICE QUOTATIONS FOR THE NEGOTIATED PROCUREMENT (Small Value Procurement) OF AIRCONDITION</t>
  </si>
  <si>
    <t xml:space="preserve"> Republic of the Philippines Municipality of Taytay Taytay, Palawan NOTICE TO BIDDERS Item # Qty Unit Description Amount 1.    1    Lot    FUELS/FUEL ADDITIVES &amp; LUBRICANT &amp; ANTI-CORROSIVE The two envelope system of procurement shall be observed, Bidding d</t>
  </si>
  <si>
    <t xml:space="preserve"> 1	unit	COMPUTER LAPTOP	 		Windows 10Home, AMD Ryzen 7-3750H Processor	 		(2m Cache, up to 4.0 GHz 15.6 inch  Full  HD (1920x1080)	 		IPS Level Panel, 120 Hz NVDIA,  Geforece GTX 1650 with	 		4GB GDDR5, 8GB DDR4MHz RAM,  PCIE NVME 512 GB M.2	 		SSD Backlit</t>
  </si>
  <si>
    <t xml:space="preserve"> please see attached Invitation to Offer for Negotiated Procurement</t>
  </si>
  <si>
    <t xml:space="preserve"> Supply and delivery of 501 reams Bond Paper (Legal) to be used in masterlisting of farmer beneficiary of the Rice Resiliency Project 501	reams	Bond Paper		 		   Legal (8.5 x 13)</t>
  </si>
  <si>
    <t xml:space="preserve"> INVITATION TO BID ITB No. 2020-30 1.	The Dr. Jose Fabella Memorial Hospital, through its Hospital Income intends to apply the amount of Twelve Million Three Hundred Seventy-Three Thousand Nine Hundred Ninety-Two Pesos (Php 12,373,992) being the Approved B</t>
  </si>
  <si>
    <t xml:space="preserve"> Concrete Cutter         -----------------------------------------------------------------------  2 units Specification: Concrete and Asphalt Floor Saw Cutter;  10 HP; 220V; 3600 rpm Cutting Speed w/  Spare Blade (Blades: Diamond Blade w/ Hard Bond, Asphal</t>
  </si>
  <si>
    <t xml:space="preserve"> Please submit your quotation for the following items on or before 5:00PM on Jun 19, 2020. ITEM D E S C R I P T I O N QTY. UNIT  1 Chemicals, Palintest Free Chlorine, DPD1 Tablets (APO II) 9 box Specifications/Recommendations: a. Supplier must provide Mate</t>
  </si>
  <si>
    <t xml:space="preserve"> Hiring of one (1) Research Assistant I for 3 months to assist in the Community-Based Participatory Action Research on Breeder Goat Production 1	1 person x 3 months 	Research Assistant I		 		1. Assists in the project monitoring and data collection needed t</t>
  </si>
  <si>
    <t xml:space="preserve"> Republic of the Philippines Province of Cavite Municipality of Naic BIDS AND AWARDS COMMITTEE PB-2020-05-032 INVITATION TO  BID  INSTALLATION OF TEN (10) UNITS STREETLIGHTS  AT RHU COMPOUND, BRGY. HALANG NAIC, CAVITE 1.       The Municipal Government of N</t>
  </si>
  <si>
    <t xml:space="preserve"> Job Order: Labor and Materials for the repair of Airconditioning Units located at Livestock Banner Program, Feed Laboratory and BAC Secretariat Office 		Job Order: Labor and Materials for the repair of Airconditioning Units located at Livestock Banner Pro</t>
  </si>
  <si>
    <t xml:space="preserve"> INVITATION TO BID FOR  REHABILITATION OF MULTI-PURPOSE BUILDING - CAMINDOROAN The Municipality of San Juan, through its Bids and Awards Committee (BAC), invites contractors to submit bids for the following Contract: Contract ID		:          	20-00045						</t>
  </si>
  <si>
    <t xml:space="preserve"> Republic of the Philippines Municipality of Taytay Taytay, Palawan NOTICE TO BIDDERS Item # Qty Unit Description Amount 1. 1 Lot FUELS/FUEL ADDITIVES &amp; LUBRICANT &amp; ANTI-CORROSIVE 			 Bulldozer #03  1.	1	pc	Priming Pump 2.	5	pcs	Ripper Point  3.	5	pcs	Pin </t>
  </si>
  <si>
    <t xml:space="preserve"> 1	Amlodipine 10mg Tab (100tabs/box)	420	bxs. 2	Amoxicillin 125mg/5ml	144	btls. 3	Amoxicillin 250mg/5ml	144	btls. 4	Amoxicillin 500mg (100 caps/box)	140	bxs. 5	Amoxicillin Drops	150	btls. 6	Ascorbic Acid 500mg Tab (100 tabs/box)	200	bxs. 7	Ascorbic Acid Sy</t>
  </si>
  <si>
    <t xml:space="preserve"> INVITATION TO BID (GOODS) The Municipality of Sibonga, through the General Fund intends to apply the sum of One hundred thousand pesos only (100,000.00) being the Approved Budget for the Contract (ABC) to payment under the contract Re-Bidding for the Supp</t>
  </si>
  <si>
    <t xml:space="preserve"> BLGU-ANIBONGON-01-2020 CONSTRUCTION OF TWO-STOREY EVACUATION CENTER PHASE III BRGY. ANIBONGON ABUYOG, LEYTE</t>
  </si>
  <si>
    <t xml:space="preserve"> Request for Quotation All interested suppliers are requested to submit their quotations on the items listed in the attached Request for Quotation.</t>
  </si>
  <si>
    <t xml:space="preserve"> Republika ng Pilipinas PAMAHALAANG LUNGSOD NG TACLOBAN (City Government of Tacloban) Kanhuraw Hill, Tacloban City 6500 Bids and Awards Committee INVITATION TO SUBMIT PRICE QUOTATIONS FOR THE NEGOTIATED PROCUREMENT (Small Value Procurement) OF MEDICAL SUPP</t>
  </si>
  <si>
    <t xml:space="preserve"> Procurement of Switch Hub, Router, Access Point and Web Camera (See attached Purchase Request for more detailed information.)</t>
  </si>
  <si>
    <t xml:space="preserve"> Barangay Begong</t>
  </si>
  <si>
    <t xml:space="preserve"> 1. ABRASIVE SANDPAPER #150 &amp; 42 OTHERS DELIVERY SITE:  VIGA DPP                          VIGA, CATANDUANES PLEASE SUBMIT REQUIREMENTS: 1	MAYOR’S/BUSINESS PERMIT 2	PhilGEPS REG. NUMBER/CERTIFICATE</t>
  </si>
  <si>
    <t xml:space="preserve"> 165 m.t. Bituminous Concrete Surface Course (FD-Sandmix) 416 m.t. Bituminous Concrete Surface Course (FD) x-x-x-x-xx-x-x-x-x-x-x-x-x-x-x-x-xxxxxxxxxxxxxxxxxx</t>
  </si>
  <si>
    <t xml:space="preserve"> Republic of the Philippines Municipality of Taytay Taytay, Palawan NOTICE TO BIDDERS Item # Qty Unit Description Amount 1. 400 meters Local Access Roads, So. Lake Danao, Bgy. Poblacion                      Width = 6.1M                      Thickness = 20m</t>
  </si>
  <si>
    <t xml:space="preserve"> Republic of the Philippines DEPARTMENT OF PUBLIC WORKS AND HIGHWAYS DAVAO ORIENTAL FIRST DISTRICT ENGINEERING OFFICE REGION XI Lucod, Baganga, Davao Oriental INVITATION TO BID No. 2020-0009  1.	The Department of Public Works and Highways, Davao Oriental F</t>
  </si>
  <si>
    <t xml:space="preserve"> Republic of the Philippines Department of Health	 CENTRAL OFFICE BIDS AND AWARDS COMMITTEE  INVITATION TO BID FOR THE  PROCUREMENT OF BEDAQUILINE FUMARATE IB NO. 2020-221 1.	The Department of Health (DOH), through the General Appropriations Act of 2020 in</t>
  </si>
  <si>
    <t xml:space="preserve"> Please refer to the attached document.</t>
  </si>
  <si>
    <t xml:space="preserve"> Section I. Invitation to Bid Republic of the Philippines PROVINCE OF ZAMBOANGA SIBUGAY Capitol Building, Ipil Heights, Ipil, Zamboanga Sibugay INVITATION TO BID FOR  Repair &amp; Maintenance of Aircondition 	 1.	The Province of Zamboanga Sibugay, through the </t>
  </si>
  <si>
    <t xml:space="preserve"> units		Panasonic AirConditioner 2.5hp Inverter 			3</t>
  </si>
  <si>
    <t xml:space="preserve"> LGU-AL-28-2020 REHABILITATION/IMPROVEMENT OF BARANGAY ROAD BRGY. MATAGNAO ABUYOG, LEYTE</t>
  </si>
  <si>
    <t xml:space="preserve"> 1. ADJUSTABLE WRENCH, 12" LONG &amp; 6 OTHERS DELIVERY SITE:    CATANDUANES SUB STN (MARINAWA DPP)                             BATO, CATANDUANES  PLEASE SUBMIT REQUIREMENTS: 1	MAYOR’S/BUSINESS PERMIT 2	PhilGEPS REG. NUMBER/CERTIFICATE</t>
  </si>
  <si>
    <t xml:space="preserve"> Section I. Invitation to Bid Republic of the Philippines PROVINCE OF ZAMBOANGA SIBUGAY Capitol Building, Ipil Heights, Ipil, Zamboanga Sibugay INVITATION TO BID FOR  16 Units UPS 1.	The Province of Zamboanga Sibugay, through the General Fund BY 2020 inten</t>
  </si>
  <si>
    <t xml:space="preserve"> Repair/rewinding of various motors of Marinawa DPP  SCOPE OF WORKS: 1.	Dismantling of motors 2.	Transport/hauling of motors from plant site to electrical/machine shop 3.	Repair/rewinding 4.	Installation/Testing and commissioning 5.	Six (6) months warranty</t>
  </si>
  <si>
    <t xml:space="preserve"> PURCHASE REQUEST			 LGU BUGALLON						 Agency / Procuring Entity						 						 	Department: 		Mayor's Office 		Date:	 						 	Section:				Date:	 						 STOCK 		UNIT	Description	QTY	UNIT COST	AMOUNT NO.						 	1	box	RJ45	4		 	2	UNIT	Uninterrupted Power Supp</t>
  </si>
  <si>
    <t xml:space="preserve"> REQUEST FOR QUOTATION (RFQ)							 							 							 June 11, 2020		 R.I.S. No.: 20-93-017		 							 						 GENTLEMEN:			 Please submit  your  lowest price quotation (including taxes and government discounts) on charged account basis, on the following suppl</t>
  </si>
  <si>
    <t xml:space="preserve"> Section I. Invitation to Bid Republic of the Philippines PROVINCE OF ZAMBOANGA SIBUGAY Capitol Building, Ipil Heights, Ipil, Zamboanga Sibugay INVITATION TO BID FOR  Drugs &amp; Medicines 1.	The Province of Zamboanga Sibugay, through the GF-BY 2020 intends to</t>
  </si>
  <si>
    <t xml:space="preserve"> 1. ALLEN WRENCH SET &amp; 23 OTHERS DELIVERY SITE:  BURIAS DPP (BURIAS ISLAND)                          SAN PASCUAL, MASBATE PLEASE SUBMIT REQUIREMENTS: 1.	MAYOR’S/BUSINESS PERMIT 2.	PhilGEPS REG. NUMBER/CERTIFICATE</t>
  </si>
  <si>
    <t xml:space="preserve"> Invitation to Bid for the Supply and Delivery of various Office Supplies for the use of Brgy. Soro-Soro Karsada, Batangas City</t>
  </si>
  <si>
    <t xml:space="preserve"> Invitation to Bid for the Supply and Delivery of various Equipment for the use of Brgy. Cuta, Batangas City</t>
  </si>
  <si>
    <t xml:space="preserve"> Invitation to Bid Barangay 895, Zone 99, District VI through its Bids and Awards Committee (BAC), invites all suppliers duly accredited and approved by the City Council of Manila to bid for the hereunder projects: 1  set  Closed Circuit Television (CCTV) </t>
  </si>
  <si>
    <t xml:space="preserve"> INVITATION TO BID The City of Bayawan, through its Bids and Awards Committee (BAC), invites suppliers/manufacturers/distributors/contractors to bid for the hereunder projects: 	Lot No. I		ICT EQUIPMENT					 1	15	unit(s)	Gigabit Manage Switch					 			Enclo</t>
  </si>
  <si>
    <t xml:space="preserve"> Invitation to Bid for the Supply and Delivery of various Medicine for the use of Brgy. Soro-Soro Karsada, Batangas City</t>
  </si>
  <si>
    <t xml:space="preserve"> Straight Contract</t>
  </si>
  <si>
    <t xml:space="preserve"> Section I. Invitation to Bid Republic of the Philippines PROVINCE OF ZAMBOANGA SIBUGAY Capitol Building, Ipil Heights, Ipil, Zamboanga Sibugay INVITATION TO BID FOR  1 Unit Floor Mounted Aircon 1.	The Province of Zamboanga Sibugay, through the GF-BY 2020 </t>
  </si>
  <si>
    <t xml:space="preserve"> Section I. Invitation to Bid Republic of the Philippines PROVINCE OF ZAMBOANGA SIBUGAY Capitol Building, Ipil Heights, Ipil, Zamboanga Sibugay INVITATION TO BID FOR  Commercial Rice &amp; Sardines 1.	The Province of Zamboanga Sibugay, through the GF-BY 2020 i</t>
  </si>
  <si>
    <t xml:space="preserve"> Section I. Invitation to Bid Republic of the Philippines PROVINCE OF ZAMBOANGA SIBUGAY Capitol Building, Ipil Heights, Ipil, Zamboanga Sibugay INVITATION TO BID FOR  1 Unit Risograph Machine Photocopier 1.	The Province of Zamboanga Sibugay, through the Ge</t>
  </si>
  <si>
    <t xml:space="preserve"> Section I. Invitation to Bid Republic of the Philippines PROVINCE OF ZAMBOANGA SIBUGAY Capitol Building, Ipil Heights, Ipil, Zamboanga Sibugay INVITATION TO BID FOR LPG Refill (50kgs &amp; 11kg) 1.	The Province of Zamboanga Sibugay, through the GF-BY 2020 int</t>
  </si>
  <si>
    <t xml:space="preserve"> 1,400 bags Thermoplastic Paint (White) 25kg. 200 bags Thermoplastic Paint (Yellow) 25kg. x-x-xx-x-x-x-x-x-x-x-x-xx-x-xxxxxxxxxxxxxxxxx</t>
  </si>
  <si>
    <t xml:space="preserve"> Section I. Invitation to Bid Republic of the Philippines PROVINCE OF ZAMBOANGA SIBUGAY Capitol Building, Ipil Heights, Ipil, Zamboanga Sibugay INVITATION TO BID FOR  14 Units Printer 1.	The Province of Zamboanga Sibugay, through the General Fund BY 2020 i</t>
  </si>
  <si>
    <t xml:space="preserve"> LGU-AL-29-2020 CONSTRUCTION OF EVACUATION CENTER PHASE II BRGY. KIKILO ABUYOG, LEYTE</t>
  </si>
  <si>
    <t xml:space="preserve"> Section I. Invitation to Bid Republic of the Philippines PROVINCE OF ZAMBOANGA SIBUGAY Capitol Building, Ipil Heights, Ipil, Zamboanga Sibugay INVITATION TO BID FOR  1 Unit Motorcycle 1.	The Province of Zamboanga Sibugay, through the GF BY-2020 intends to</t>
  </si>
  <si>
    <t xml:space="preserve"> Section I. Invitation to Bid Republic of the Philippines PROVINCE OF ZAMBOANGA SIBUGAY Capitol Building, Ipil Heights, Ipil, Zamboanga Sibugay INVITATION TO BID FOR  Assorted Tires, Batteries, Oil and Fuel Filter, and Other Supplies and Materials for the </t>
  </si>
  <si>
    <t xml:space="preserve"> Invitation to Bid for the Supply and Delivery of CCTV Camera for the use of Brgy. Balagtas, Batangas City</t>
  </si>
  <si>
    <t xml:space="preserve"> Package of Office Supplies and Devices</t>
  </si>
  <si>
    <t xml:space="preserve"> REHABILITATION OF SOLAR DRYER BRGY. NEW VISAYAS, PANABO CITY  79.68 SQ.M OF CONCRETE SLAB NOTE: PLEASE ATTACHED LINK BELOW ON OHTER INFORMATION FOR MORE REFERENCE.</t>
  </si>
  <si>
    <t xml:space="preserve"> Invitation to Bid for the Supply and Delivery of other Supplies and Materials for the use of Brgy. Balagtas, Batangas City</t>
  </si>
  <si>
    <t xml:space="preserve"> Procurement of supply and delivery of Agricultural Supplies and Materials 5400	pc	Empty sacks (50 kg capacity) with seam at the opening end 30	Roll (200 meters/ roll)	Nylon line (for grass cutter), No. 9 (4.5 mm) PR# 2020-36</t>
  </si>
  <si>
    <t xml:space="preserve"> Semi Expendable Machinery &amp; Equip-Furniture &amp; Fixture</t>
  </si>
  <si>
    <t xml:space="preserve"> Invitation to Bid for the Supply and Delivery of various Office Supplies for the use of Brgy. Balagtas, Batangas City</t>
  </si>
  <si>
    <t xml:space="preserve"> Section I. Invitation to Bid Republic of the Philippines PROVINCE OF ZAMBOANGA SIBUGAY Capitol Building, Ipil Heights, Ipil, Zamboanga Sibugay INVITATION TO BID FOR  Agricultural Supplies 1.	The Province of Zamboanga Sibugay, through the General Fund BY 2</t>
  </si>
  <si>
    <t xml:space="preserve"> Supply of labor, materials and expertise for the repair of calibration of injection Pumps (Cummins)  SCOPE OF WORKS: 1.	Pull-down and dismantling of injection pumps/motors. 2.	Replacement of nozzle, injector nozzle, delivery valve, plunger, and other defe</t>
  </si>
  <si>
    <t xml:space="preserve"> PURCHASE REQUEST			 LGU BUGALLON						 Agency / Procuring Entity						 						 	Department: 		SB		Date:	 						 	Section:				Date:	 						 STOCK 		UNIT	Description	QTY	UNIT COST	AMOUNT NO.						 	1	box	KN 95 Face Mask	15		 	2	gal	Isopropyl Alcohol (Project</t>
  </si>
  <si>
    <t xml:space="preserve"> 1	Neoprene Rubber Gasket with Single Ply (Nylon Ply) Size: 1/8”thick x 40” width	25	ft		 2	Neoprene Rubber Gasket with Single Ply (Nylon Ply) Size: ¼” thick x 40” width	25	ft		 3	Neoprene Rubber Gasket with Single Ply (Nylon Ply) Size: ½” thick x 40” widt</t>
  </si>
  <si>
    <t xml:space="preserve"> Organic Disinfectant Solution</t>
  </si>
  <si>
    <t xml:space="preserve"> Section I. Invitation to Bid Republic of the Philippines PROVINCE OF ZAMBOANGA SIBUGAY Capitol Building, Ipil Heights, Ipil, Zamboanga Sibugay INVITATION TO BID FOR  Brass Cutter 1.	The Province of Zamboanga Sibugay, through the GF-BY 2020 intends to appl</t>
  </si>
  <si>
    <t xml:space="preserve"> INVITATION TO BID FOR THE CONTRACT ID: 20-06-085 Contract Name: PROCUREMENT OF POLYETHYLENE NET / SCREEN Approved Budget for the Contract (ABC) : Php 1,674,792.00 Cost of Bidding Documents: Php 5,000.00 1. The Department of Health - ZAMBONAGA PENINSULA - </t>
  </si>
  <si>
    <t xml:space="preserve"> Republic of the Philippines Province of Cebu MUNICIPALITY OF BANTAYAN INVITATION TO BID FOR SUPPLY &amp; DELIVERY OF ICT &amp; OFFICE EQUIPMENT, SUPPLIES AND CONSUMABLES 1.	The Municipality of Bantayan, through the GENERAL FUND intends to apply the sum of Nine Hu</t>
  </si>
  <si>
    <t xml:space="preserve"> MATERIALS 1 pc 8 channel Hikvision DVR 1080p 5 in 1 (2mp tp 5 mp) 8 pcs Hikvision Bullet/Dome CCTV Camera 1080p 2 roll RG-6Siamens wire 1 pc 20Acentralized power supply 1 pc 6TB Seagate hard drive 8 set VIDEO bALUN 8 PCS SQUARE BOX 1 PC MONITOR 1 PC 1.5 M</t>
  </si>
  <si>
    <t xml:space="preserve"> Photo Papers (for IATF Travel Pass and ID's)</t>
  </si>
  <si>
    <t xml:space="preserve"> Invitation to Bid for the Supply and Delivery of  Xerox Machine for the use of Brgy. Sta. Rita Karsada, Batangas City</t>
  </si>
  <si>
    <t xml:space="preserve"> 1. The Government Service Insurance System (GSIS), through the GSIS Corporate Operating Budget for CY 2020, intends to apply the sum of Twenty Three Million Five Hundred Thousand Pesos (Php23,500,000.00) being the Approved Budget for the Contract (ABC) to</t>
  </si>
  <si>
    <t xml:space="preserve"> Small Flower Wreaths (small) Medium Flower Wreaths Large Flower Wreaths</t>
  </si>
  <si>
    <t xml:space="preserve"> INVITATION TO BID/REQUEST FOR EXPRESSION OF INTEREST The Department of Public Works and Highways (DPWH) Lanao del Norte 1st District Engineering Office, through its Bids and Awards Committee (BAC), is inviting interested consultants/firms with technical e</t>
  </si>
  <si>
    <t xml:space="preserve"> Toners (6235 code)</t>
  </si>
  <si>
    <t xml:space="preserve"> Section I. Invitation to Bid Republic of the Philippines PROVINCE OF ZAMBOANGA SIBUGAY Capitol Building, Ipil Heights, Ipil, Zamboanga Sibugay INVITATION TO BID FOR  Catering Services for the Conduct of Legislative Sessions Hearings Consultations - Jul. 2</t>
  </si>
  <si>
    <t xml:space="preserve"> Detailed Estimate		 For the Clearing of Barangay Road 		 at Barangay Portic, Bugallon, Pangasinan		 		 ABC: 30,000.00		 A. Materials		 		 8	Laborer</t>
  </si>
  <si>
    <t xml:space="preserve"> Section I. Invitation to Bid Republic of the Philippines PROVINCE OF ZAMBOANGA SIBUGAY Capitol Building, Ipil Heights, Ipil, Zamboanga Sibugay INVITATION TO BID FOR  3 Units Aircon, 3 Tons Inverter 1.	The Province of Zamboanga Sibugay, through the General</t>
  </si>
  <si>
    <t xml:space="preserve"> The Government Service Insurance System (GSIS), through the GSIS Corporate Operating Budget for CY 2020, intends to apply the sum of Thirty Four Million Seven Hundred Fifty Thousand Pesos (Php34,750,000.00) being the Approved Budget for the Contract (ABC)</t>
  </si>
  <si>
    <t xml:space="preserve"> Benzalconium Chloride Solution (disinfectant)</t>
  </si>
  <si>
    <t xml:space="preserve"> 55 pcs PPE 300 pcs hygeine kits 2 pcs 60 watts led bulb 2 pcs 35 watts UV lamp</t>
  </si>
  <si>
    <t xml:space="preserve"> for Crematorium Housing Structure</t>
  </si>
  <si>
    <t xml:space="preserve"> CONTRACT NO.: BNLSL-LCB-31-2020 LOCATION: Bahay SIP, San Miguel, Leyte SCOPE OF WORK: Construction of Pump Works (Package I) APPROVED BUDGET FOR CONTRACT: Php 16,119,108.75 CONTRACT DURATION: 360 calendar days Bidding will be conducted in accordance with </t>
  </si>
  <si>
    <t xml:space="preserve"> 170 ea Water Container (20 ltrs cap) &amp; 2 L/I</t>
  </si>
  <si>
    <t xml:space="preserve"> CONTRACT NO.: BNLSL-LCB-30-2020 LOCATION: Buli SIP, Bato, Leyte SCOPE OF WORK: Construction of Diversion Works, Canal, Farm Level and Drainage System APPROVED BUDGET FOR CONTRACT: Php 28,252,433.41 CONTRACT DURATION: 360 calendar days Bidding will be cond</t>
  </si>
  <si>
    <t xml:space="preserve"> The PHILIPPINE SCIENCE HIGH SCHOOL - MIMAROPA REGION CAMPUS (PSHS-MRC) intends to apply the sum of TWO HUNDRED FOUR THOUSAND PESOS (Php204,000.00) being the Approved Budget for the Contract (ABC) to pay for the contract for the Project:SUPPLY AND DELIVERY</t>
  </si>
  <si>
    <t xml:space="preserve"> A4 Size Advocacy Stickers "DISIPLINADO AKO" Laminated Water Proof</t>
  </si>
  <si>
    <t xml:space="preserve"> Procurement of On Ground Equipment and Survey Tools for the use of Planning and Design Section, DPWH Iloilo 2nd DEO, Balabag, Dumangas, Iloilo</t>
  </si>
  <si>
    <t xml:space="preserve"> Odor Eliminator Solution</t>
  </si>
  <si>
    <t xml:space="preserve"> 50 vial anti-rabies vaccine</t>
  </si>
  <si>
    <t xml:space="preserve"> Various IV Fluids</t>
  </si>
  <si>
    <t xml:space="preserve"> Republic of the Philippines Province of Cebu MUNICIPALITY OF BANTAYAN INVITATION TO BID FOR SUPPLY &amp; DELIVERY OF LIMESTONES AND FUELS FOR ROAD OPENING AT BRGY. TAMIAO, BANTAYAN, CEBU 1.	The Municipality of Bantayan, through the GENERAL FUND intends to app</t>
  </si>
  <si>
    <t xml:space="preserve"> Sticker Papers, A4 size / 50's per pack</t>
  </si>
  <si>
    <t xml:space="preserve"> Various gauge of Medical Oxygen</t>
  </si>
  <si>
    <t xml:space="preserve"> Republic of the Philippines CITY OF PANABO Province of Davao del Norte BIDS AND AWARDS COMMITTEE -o0o- INVITATION TO BID  SUPPLY OF CONSOLIDATED OFFICE SUPPLIES FOR 2ND QUARTER CY 2020 (REBID) 1.	The City of Panabo, through VARIOUS OFFICES 2ND QUARTER MOO</t>
  </si>
  <si>
    <t xml:space="preserve"> INVITATION TO BID FOR THE CONTRACT ID: 20-06-084 Contract Name: SUPPLY, DELIVERY,INSTALLATION, TESTING AND COMMISSIONING OF VARIOUS MEDICAL EQUIPMENT Approved Budget for the Contract (ABC) : Php 10,840,000.00 Cost of Bidding Documents: Php 25,000.00 1. Th</t>
  </si>
  <si>
    <t xml:space="preserve"> Republic of the Philippines CITY OF PANABO Province of Davao del Norte BIDS AND AWARDS COMMITTEE -o0o- INVITATION TO BID  SUPPLY OF AIRCONDITIONER, 5TONNER 1.	The City of Panabo, through CPDO-1 UNIT AIRCONDITIONER (FLOOR MOUNTED) CAPITAL OUTLAY/CONT. 2019</t>
  </si>
  <si>
    <t xml:space="preserve"> CONTRACT NO.: BNLSL-LCB-31A-2020 LOCATION: Bahay SIP, San Miguel, Leyte SCOPE OF WORK: Construction of Canal, Farm Level, Drainage and Road System (Package II) APPROVED BUDGET FOR CONTRACT: Php 4,128,455.38 CONTRACT DURATION: 120 calendar days Bidding wil</t>
  </si>
  <si>
    <t xml:space="preserve"> Republic of the Philippines Department of Agriculture BUREAU OF PLANT INDUSTRY 692 San Andres Street Malate, Manila, Philippines E-mail Address: bpibac@yahoo.com Tel. No.: (02) 8526-7859, (02) 8691-0736 | Website: bpi.da.gov.ph SOLICITATION NO.: ITB PR NO</t>
  </si>
  <si>
    <t xml:space="preserve"> to be installed to various locations within Carmona</t>
  </si>
  <si>
    <t xml:space="preserve"> Procurement of 1 Unit Double Tank Thermoplastic Paint Preheater for Use in the Painting/Repainting of Thermoplastic Pavement Markings along Various National Roads of DPWH Iloilo 2nd DEO, Balabag, Dumangas, Iloilo</t>
  </si>
  <si>
    <t xml:space="preserve"> INVITATION TO BID 1.	The Tondo Medical Center (TMC), through the General Appropriations Act/HFEP intends to apply the sum of Fifteen Million Philippine Pesos (PhP 15,000,000.00) being the Approved Budget for the Contract (ABC) to payments under the contra</t>
  </si>
  <si>
    <t xml:space="preserve"> for Milagrosa Homes Children Playground</t>
  </si>
  <si>
    <t xml:space="preserve"> 1 Lot CONSTRUCTION SUPPLIES AND MATERIALS</t>
  </si>
  <si>
    <t xml:space="preserve"> 1 ea 35ft x 40ft Canvass Awning &amp; 5 L/I</t>
  </si>
  <si>
    <t xml:space="preserve"> INVITATION TO BID 1.	The Tondo Medical Center (TMC), through the General Appropriations Act/HFEP intends to apply the sum of Three Million Philippine Pesos (PhP 3,000,000.00) being the Approved Budget for the Contract (ABC) to payments under the contract </t>
  </si>
  <si>
    <t xml:space="preserve"> Republic of the Philippines CITY OF PANABO Province of Davao del Norte BIDS AND AWARDS COMMITTEE -o0o- INVITATION TO BID  SUPPLY OF POLO SHIRT 1.	The City of Panabo, through CMO-PMP/OTHER SUPPLIES &amp; MATERIALS EXPENSES-LFP/PMP 2020 intends to apply the sum</t>
  </si>
  <si>
    <t xml:space="preserve"> Various Dangerous Drugs</t>
  </si>
  <si>
    <t xml:space="preserve"> Republic of the Philippines MUNICIPALITY OF PAGBILAO Province of Quezon REQUEST FOR QUOTATION The Municipality of Pagbilao, through its Bids and Awards Committee (BAC), will undertake alternative method of Procurement (Shopping 52.1b) for Supply and Deliv</t>
  </si>
  <si>
    <t xml:space="preserve"> Social Case Study Forms Barangay Certification Forms Certificate of Eligibility Forms Animal bite Treatment Center Screening Sheets</t>
  </si>
  <si>
    <t xml:space="preserve"> Anti-Dengue Solution; 2.5ec a.i Delthamitrin 25% Dillution Chemical</t>
  </si>
  <si>
    <t xml:space="preserve"> Various Medical and Laboratory Supplies</t>
  </si>
  <si>
    <t xml:space="preserve"> Republic of the Philippines Department of Education Region VI – Western Visayas DIVISION OF AKLAN Numancia, Aklan 	 REQUEST FOR QUOTATION (RFQ) Project No: DepED-RO6-D1-COVIDSUPPLIES-046-2020 The Department of Education Division of Aklan, through its Bids</t>
  </si>
  <si>
    <t xml:space="preserve"> Republic of the Philippines Department of Education Region VI – Western Visayas DIVISION OF AKLAN Numancia, Aklan 	 REQUEST FOR QUOTATION (RFQ) Project No: DepED-RO6-D1-BRIGAD ESKWELA2020-045-2020 The Department of Education Division of Aklan, through its</t>
  </si>
  <si>
    <t xml:space="preserve"> Real Property Tax Forms Business Tax Form Sheets Subsidiary Ledgers Market Stall Record Forms</t>
  </si>
  <si>
    <t xml:space="preserve"> General Cleaning of 22 Air-Conditioning units of SSS Bacoor Branch for the 3rd and 4th quarter of 2020 List of Requirements: 1. BIR 2303 2. Philgeps Registration Number/Certificate 3. Business/Mayor's Permit 4. Omnibus Sworn Statement 5. Accomplished RFQ/</t>
  </si>
  <si>
    <t xml:space="preserve"> To print tarpaulin for school announcements</t>
  </si>
  <si>
    <t xml:space="preserve"> REPUBLIC OF THE PHILIPPINES PROVINCE OF CEBU MUNICIPALITY OF PINAMUNGAJAN Invitation to Bid for:    SLOPE PROTECTION  (Purok Caimito, Brgy. Camugao) 1.  The MUNICIPALITY OF PINAMUNGAJAN, through the GENERAL FUND  intends to apply the sum of FOUR  HUNDRED </t>
  </si>
  <si>
    <t xml:space="preserve"> REPUBLIC OF THE PHILIPPINES Province of CEBU MUNICIPALITY OF PINAMUNGAJAN                                    INVITATION TO BID FOR : 	                              IMPROVEMENT OF MUNICIPAL PLAZA 			(Supply of Painting Materials &amp; Supplies)     		 			     </t>
  </si>
  <si>
    <t xml:space="preserve"> RFQ No. 2020-06-007 The Obando Water District (OWD), through its Bids and Awards Committee (BAC), invites reputable supplier to submit their quotation Shopping of 40 units of Monobloc Chair with an Approved Budget for the Contract (ABC) of Sixteen Thousan</t>
  </si>
  <si>
    <t xml:space="preserve"> REQUEST FOR QUOTATION (RFQ) (Alternative Method – Shopping 52.1b) The Department of Education - Division of City Schools - City of San Jose del Monte, Bulacan (DepED - CSJDM), through its Bids and Awards Committee, intends to apply the sum of Php. 53,000.</t>
  </si>
  <si>
    <t xml:space="preserve"> HELP:HONING AND EDUCATING LEADERS OF POBLACION</t>
  </si>
  <si>
    <t xml:space="preserve"> INVITATION TO BID FOR Procurement of Infra [Road Concreting of F. Dagohoy Circumferential Road (J.A. Clarin St. – C. Darunday St.)] The City Government of Tagbilaran, through the Continuing Appropriation, intends to apply the sum of Twenty Four Million Fo</t>
  </si>
  <si>
    <t xml:space="preserve"> Section I. Invitation to Bid Republic of the Philippines Province of Romblon  Invitation to Bid for the  Repair of Sitio Tinap-an Bridge Brgy. Lanas, San Jose, Romblon June 15, 2020  1.	The Province of Romblon through the CY 2019 ADP Ref. Code 8000-1-01-0</t>
  </si>
  <si>
    <t xml:space="preserve"> CAREER DAY FOR POBLACION KIDS</t>
  </si>
  <si>
    <t xml:space="preserve"> Section I. Invitation to Bid Republic of the Philippines Province of Romblon  Invitation to Bid for the  Repair of Sitio Sinongtan Bridge Brgy. Lanas, San Jose, Romblon June 15, 2020  1.	The Province of Romblon through the CY 2019 ADP Ref. Code 8000-1-01-</t>
  </si>
  <si>
    <t xml:space="preserve"> GI Pipe 4" sch. 40- 4pcs.  GI Pipe 2" sch. 40 - 8pcs GI Pipe 1 1/2" sch. 40- 4 pcs. GI Pipe 1" sch. 40- 2pcs.  Steel Plate 1/2" x 6" x 6" -2pcs Steel Plate 1/4" x 5" x5" - 8pcs.  Roller Wheel (HD)- 8pcs Machine Bolt 7/8" x 2" - 32 pcs.  Grinding Disc- 10 </t>
  </si>
  <si>
    <t xml:space="preserve"> Section I. Invitation to Bid Republic of the Philippines Province of Romblon  Invitation to Bid for the  Concrete Paving of Provincial Road to Public Cemetery (Additional Fund), Looc, Romblon June 15, 2020  1.	The Province of Romblon through the SP Res. N</t>
  </si>
  <si>
    <t xml:space="preserve"> DALOY NG KASAYSAYN POBLACION RIVER CRUISE</t>
  </si>
  <si>
    <t xml:space="preserve"> REPUBLIC OF THE PHILIPPINES PROVINCE OF CEBU MUNICIPALITY OF PINAMUNGAJAN Invitation to Bid for:   PROVISION OF STREET LIGHTINGS (at Brgy. Pandacan) 1.The MUNICIPALITY OF PINAMUNGAJAN, through the GENERAL FUND  intends to apply the sum of THREE  HUNDRED T</t>
  </si>
  <si>
    <t xml:space="preserve"> FEELING PASKO SA POBLACION</t>
  </si>
  <si>
    <t xml:space="preserve"> Section I. Invitation to Bid Republic of the Philippines Province of Romblon  Invitation to Bid for the  Construction of Perimeter Fence (Phase I) for the Bureau of Jail Management and Penology (BJMP) Facility at Barangay Lonos (Sitio Wireless) Romblon, R</t>
  </si>
  <si>
    <t xml:space="preserve"> MUSIK LABAN</t>
  </si>
  <si>
    <t xml:space="preserve"> ENVIRONMENTAL AWARENESS AND EDUCATION REPUBLIC ACT 9512 OF 2008</t>
  </si>
  <si>
    <t xml:space="preserve"> Section I. Invitation to Bid Republic of the Philippines Province of Romblon  Invitation to Bid for the  Completion of Cajidiocan Sports Complex Concrete Bleacher Cajidiocan, Romblon June 15, 2020 1.	The Province of Romblon through the CY 2019 ADP REF. CO</t>
  </si>
  <si>
    <t xml:space="preserve"> Section I. Invitation to Bid Republic of the Philippines Province of Romblon  Invitation to Bid for the  Completion of Food Court    Poblacion, Cajidiocan, Romblon June 15, 2020  1.	The Province of Romblon through the ADP CY 2020 AIP Ref. Code 8000-1-01-0</t>
  </si>
  <si>
    <t xml:space="preserve"> Section I. Invitation to Bid Republic of the Philippines Province of Romblon  Invitation to Bid for the  Concrete Paving of Farm to Market Road, Gutivan, Cajidiocan, Romblon June 15, 2020  1.	The Province of Romblon through the ADP CY 2020 AIP Ref. Code 8</t>
  </si>
  <si>
    <t xml:space="preserve"> The Municipality of Bindoy, through the Municipal Unutilized &amp; Realigned 20% DF – Revised) intends to apply the sum of Two Million Six Hundred Eighty Eight Thousand Two Hundred Forty Pesos (P 2,688,240.00) being the Approved Budget for the Contract (ABC) </t>
  </si>
  <si>
    <t xml:space="preserve"> Procurement of Material for the Rehabilitation and Installation of Streetlights</t>
  </si>
  <si>
    <t xml:space="preserve"> EDUCATION SUMMIT</t>
  </si>
  <si>
    <t xml:space="preserve"> Section I. Invitation to Bid Republic of the Philippines Province of Romblon  Invitation to Bid for the  Concrete Paving of Farm to Market Road, Cambalo, Cajidiocan, Romblon June 15, 2020  1.	The Province of Romblon through the ADP CY 2020 AIP Ref. Code 8</t>
  </si>
  <si>
    <t xml:space="preserve"> Section I. Invitation to Bid Republic of the Philippines Province of Romblon  Invitation to Bid for the  Concrete Paving of Poblacion-Jao-asan Provincial Road, Magdiwang, Romblon June 15, 2020  1.	The Province of Romblon through the ADP CY 2020 AIP Ref. C</t>
  </si>
  <si>
    <t xml:space="preserve"> Section I. Invitation to Bid Republic of the Philippines Province of Romblon  Invitation to Bid for the  Construction of Maternity Half-Way House, San Jose District Hospital, Poblacion, San Jose, Romblon June 15, 2020 1.	The Province of Romblon through th</t>
  </si>
  <si>
    <t xml:space="preserve"> GIVING IN FAMILY TOGETHER (GIFT)</t>
  </si>
  <si>
    <t xml:space="preserve"> 5 ea RF-5800M HH Battery Pack &amp; 9 L/I</t>
  </si>
  <si>
    <t xml:space="preserve"> SAMPIRO LIVELIHOOD FESTIVAL</t>
  </si>
  <si>
    <t xml:space="preserve"> REQUEST FOR QUOTATION (RFQ) (Alternative Method – Shopping 52.1b) The Department of Education - Division of City Schools - City of San Jose del Monte, Bulacan (DepED - CSJDM), through its Bids and Awards Committee, intends to apply the sum of Php. 58,000.</t>
  </si>
  <si>
    <t xml:space="preserve"> INVITATION TO APPLY FOR ELIGIBILITY AND TO BID THE BIDS AND AWARD COMMITTEE OF THE MUNICIPALITY OF CAIBIRAN, BILIRAN IS INVITING ALL INTERESTED BIDDERS ON ITS FORTH COMING PUBLIC BIDDING FOR:   Project Title	: Drainage Construction along General Luna St. </t>
  </si>
  <si>
    <t xml:space="preserve"> Republic of the Philippines MUNICIPALITY OF CABUGAO Ilocos Sur Invitation to Bid for the Construction of Slope Protection @ Brgy. Quezon, Cabugao, Ilocos Sur 1. The Local Government Unit of Cabugao, Ilocos Sur, through the R.A. 7171 thru Appropriation Ord</t>
  </si>
  <si>
    <t xml:space="preserve"> Republic of the Philippines MUNICIPALITY OF CABUGAO Ilocos Sur Invitation to Bid for the Construction of Multi-Purpose Building @ Brgy. Carusipan (Proper), Cabugao, Ilocos Sur 1. The Local Government Unit of Cabugao, Ilocos Sur, through the R.A. 7171 thru</t>
  </si>
  <si>
    <t xml:space="preserve"> Invitation to Apply for Eligibility and to Bid Republic of the Philippines Municipality of  Roseller T. Lim Construction of Concrete Pavement at Public Market Area 									June  10, 2020 1.	The Municipality of Roseller T. Lim, through its 20% Economic De</t>
  </si>
  <si>
    <t xml:space="preserve"> Republic of the Philippines MUNICIPALITY OF CABUGAO Ilocos Sur Invitation to Bid for the Improvement of Water System @ Cabugao, Ilocos Sur 1. The Local Government Unit of Cabugao, Ilocos Sur, through the R.A. 7171 thru Appropriation Ordinance No. 2019-04 </t>
  </si>
  <si>
    <t xml:space="preserve"> Republic of the Philippines MUNICIPALITY OF CABUGAO Ilocos Sur Invitation to Bid for the Construction of Multi-Purpose Drying Pavement (MPDP) @ Brgy. Quezon, Cabugao, Ilocos Sur 1. The Local Government Unit of Cabugao, Ilocos Sur, through the R.A. 7171 th</t>
  </si>
  <si>
    <t xml:space="preserve"> Republic of the Philippines MUNICIPALITY OF CABUGAO Ilocos Sur Invitation to Bid for the Construction of Multi-Purpose Drying Pavement (MPDP) @ Brgy. Bato, Cabugao, Ilocos Sur 1. The Local Government Unit of Cabugao, Ilocos Sur, through the R.A. 7171 thru</t>
  </si>
  <si>
    <t xml:space="preserve"> Please see attached file..</t>
  </si>
  <si>
    <t xml:space="preserve"> Republic of the Philippines										 BIDS AND AWARDS COMMITTEE										 Baguio City										 (074) 300-6537/ (074)442-8795										 BID FORM										 CP No. 2020-37 Bidding										June 11, 2020 Circular Proposal No.										Date Prepared The City </t>
  </si>
  <si>
    <t xml:space="preserve"> 2 unit   2 HP  window type  AC</t>
  </si>
  <si>
    <t xml:space="preserve"> REPAIR &amp; IMPROVEMENT OF ADMIN BUILDING</t>
  </si>
  <si>
    <t xml:space="preserve"> Provision of 160 pax Meals, Snacks and Accommodation for the conduct of Business Plan Preparation and Business Management Training in Region 1 		Meals, Snacks and Accommodation for 3 days		 		Batch 1 (Ilocos Norte); Php144,000.00		 				 		Menu:		 40	pax	D</t>
  </si>
  <si>
    <t xml:space="preserve"> Republic of the Philippines MUNICIPALITY OF CABUGAO Ilocos Sur Invitation to Bid for the Concreting of Farm to Market Road @ Brgy. Pug-os (Inanama Norte), Cabugao, Ilocos Sur 1. The Local Government Unit of Cabugao, Ilocos Sur, through the R.A. 7171 thru </t>
  </si>
  <si>
    <t xml:space="preserve"> Republic of the Philippines MUNICIPALITY OF CABUGAO Ilocos Sur Invitation to Bid for the Concreting of Farm to Market Road @ Brgy. Pug-os (Inanama Sur), Cabugao, Ilocos Sur 1. The Local Government Unit of Cabugao, Ilocos Sur, through the R.A. 7171 thru Ap</t>
  </si>
  <si>
    <t xml:space="preserve"> Invitation to Apply for Eligibility and to Bid Republic of the Philippines Municipality of  Roseller T. Lim Concreting of Rerouting Road From Legislative to In Front of MSWD Office - Phase I 									June  10, 2020 1.	The Municipality of Roseller T. Lim, </t>
  </si>
  <si>
    <t xml:space="preserve"> 6 pcs. Tires/flap/tube/ 8.25x20 westlake</t>
  </si>
  <si>
    <t xml:space="preserve"> Republic of the Philippines										 BIDS AND AWARDS COMMITTEE										 Baguio City										 (074) 300-6537/ (074)442-8795										 BID FORM										 CP No. 2020-38 Bidding										June 11, 2020 Circular Proposal No.										Date Prepared The City </t>
  </si>
  <si>
    <t xml:space="preserve"> Procurement of Office Table and Chair</t>
  </si>
  <si>
    <t xml:space="preserve"> 1 lot JSTOR Archival Collection Subscription Inclusion: 24/7 Access Unlimited simultaneous usage Institutional Access (IP Based)/Remote Access Product training and orientation Marketing collaterals Usage Report On-call support from Solutions specialists F</t>
  </si>
  <si>
    <t xml:space="preserve"> Republic of the Philippines MUNICIPALITY OF CABUGAO Ilocos Sur Invitation to Bid for the Concreting of Farm to Market Road @ Brgy. Pug-os (Balay-oac), Cabugao, Ilocos Sur 1. The Local Government Unit of Cabugao, Ilocos Sur, through the R.A. 7171 thru Appr</t>
  </si>
  <si>
    <t xml:space="preserve"> ITEM	QTY.	UNIT		ARTICLE AND DESCRIPTION				CEILING 					UNIT PRICE		TOTAL  								PRICE							 				Office: City Planning and Development Office				PR No. 424							 				Charge to: Office Supplies Expenses				OBR No. 100-2002-01339							 				ABC:  Php400</t>
  </si>
  <si>
    <t xml:space="preserve"> Acquisition of Laptop and Printer</t>
  </si>
  <si>
    <t xml:space="preserve"> Acquisition of Documentation Camera</t>
  </si>
  <si>
    <t xml:space="preserve"> Acquisition of Additional CCTV</t>
  </si>
  <si>
    <t xml:space="preserve"> Acquisition of Massage Therapy Machine</t>
  </si>
  <si>
    <t xml:space="preserve"> Perfume Making Program</t>
  </si>
  <si>
    <t xml:space="preserve"> ITEM	QTY.	UNIT		ARTICLE AND DESCRIPTION				CEILING 					UNIT PRICE		TOTAL  								PRICE							 				Office: Office of the Mayor				PR No. 437							 				Charge to: Other Supplies and Materials Expenses				OBR No. 100-2003-01846							 				ABC:  Php309,745</t>
  </si>
  <si>
    <t xml:space="preserve"> Waste Supplies and Materials</t>
  </si>
  <si>
    <t xml:space="preserve"> Peace and Order Supplies and Consumables</t>
  </si>
  <si>
    <t xml:space="preserve"> 1.	The Department of Trade and Industry, through the Integrated Natural Resources and Environmental Management Project – Livelihood Enhancement Support 2 (INREMP-LES 2) under Asian Development Bank (ADB) Funding intends to apply the sum of Ninety Thousand</t>
  </si>
  <si>
    <t xml:space="preserve"> Supply and Delivery of Other Common Office Supplies</t>
  </si>
  <si>
    <t xml:space="preserve"> 1.	The Department of Trade and Industry, through the Integrated Natural Resources and Environmental Management Project – Livelihood Enhancement Support 2 (INREMP-LES 2) under Asian Development Bank (ADB) Funding intends to apply the sum of One Hundred Twe</t>
  </si>
  <si>
    <t xml:space="preserve"> Procurement of Medicine and other Medical Supplies</t>
  </si>
  <si>
    <t xml:space="preserve"> Procurement of Drug Testing Kits</t>
  </si>
  <si>
    <t xml:space="preserve"> Acquisition of Streetlights</t>
  </si>
  <si>
    <t xml:space="preserve"> 1.	The Department of Trade and Industry, through the Integrated Natural Resources and Environmental Management Project – Livelihood Enhancement Support 2 (INREMP-LES 2 ) under the Asian Development Bank (ADB) Funding intends to apply the sum of Three Hund</t>
  </si>
  <si>
    <t xml:space="preserve"> Procurement of Office Supplies and Materials for CY 2020</t>
  </si>
  <si>
    <t xml:space="preserve"> Supplies and Materials for MV Repair and Maintenance</t>
  </si>
  <si>
    <t xml:space="preserve"> ITEM	QTY.	UNIT		ARTICLE AND DESCRIPTION				CEILING 					UNIT PRICE		TOTAL  								PRICE							 															 				Office: Department of Tourism, Culture and Arts of Manila				PR No. 716							 				Charge to: Office Supplies Expenses				OBR No. 100-2005-</t>
  </si>
  <si>
    <t xml:space="preserve"> 1 UNIT WINDOW TYPE AIRCON 1.5 HP 1 UNIT FLOOR STANDING INVERTER AIRCON 3.5 HP</t>
  </si>
  <si>
    <t xml:space="preserve"> ITEM	QTY.	UNIT		ARTICLE AND DESCRIPTION				CEILING 					UNIT PRICE		TOTAL  								PRICE							 				Office: Department of Tourism, Culture and Arts of Manila				PR No. 714							 				Charge to: Other Supplies and Materials Expenses				OBR No. 100-2005-045</t>
  </si>
  <si>
    <t xml:space="preserve"> ITEM	QTY.	UNIT		ARTICLE AND DESCRIPTION				CEILING 					UNIT PRICE		TOTAL  								PRICE							 				Office: Office of the Mayor				PR No. 438							 				Charge to: Other Supplies and Materials Expenses				OBR No. 100-2003-01847							 				ABC:  Php463,690</t>
  </si>
  <si>
    <t xml:space="preserve"> Republic of the Philippines COMMISSION ON AUDIT Quezon City	REQUEST FOR QUOTATION Procurement And Property &amp; Supply Management Services, General Services Office	 Date Prepared: June 12, 2020 Supplier     :______________________ Address      :_____________</t>
  </si>
  <si>
    <t xml:space="preserve"> ITEM	QTY.	UNIT		ARTICLE AND DESCRIPTION				CEILING 					UNIT PRICE		TOTAL  								PRICE							 				Office: Department of Tourism, Culture and Arts of Manila				PR No. 713							 				Charge to: Other Supplies and Materials Expenses				OBR No. 100-2005-045</t>
  </si>
  <si>
    <t xml:space="preserve"> 1.	The Department of Trade and Industry, through the Integrated Natural Resources and Environmental Management Project – Livelihood Enhancement Support 2 (INREMP-LES 2) under Asian Development Bank (ADB) Funding intends to apply the sum of Eighty Thousand</t>
  </si>
  <si>
    <t xml:space="preserve"> Garnite Tiles 60x60, 150pcs Sliding Window, 8sets Flatwall Nalcrete Paint White, 4Balde Gloss Nalcrete Paint White, 4Balde Panel Door, 3pcs Adhesive Cement, 20bags Cement, 20bags</t>
  </si>
  <si>
    <t xml:space="preserve"> 1.	The Department of Trade and Industry, through the Integrated Natural Resources and Environmental Management Project – Livelihood Enhancement Support 2 (INREMP-LES 2) under Asian Development Bank (ADB) Funding intends to apply the sum of Three Hundred N</t>
  </si>
  <si>
    <t xml:space="preserve"> Embankment of Earth Dike at Sitio Liki Section</t>
  </si>
  <si>
    <t xml:space="preserve"> Procurement of Portable Toilet for Barangay South Triangle</t>
  </si>
  <si>
    <t xml:space="preserve"> 1.	The Department of Trade and Industry, through the Integrated Natural Resources and Environmental Management Project – Livelihood Enhancement Support 2 (INREMP-LES 2) under Asian Development Bank (ADB) Funding intends to apply the sum of Two Hundred Eig</t>
  </si>
  <si>
    <t xml:space="preserve"> GI Pipe 2" schedule 40, 12pcs Epoxy Primer, 1gal Gloss Enamel, 1gal Roller brush, 2pcs Paint Thinner, 1gal Six Pack Care Exercise, 2pcs Sky Linker AB Glider Generator, 2pcs M7 Electric Treadmill, 1pc Indoor Upright Stationary wire, 2pcs COD 3in 1 Exercise</t>
  </si>
  <si>
    <t xml:space="preserve"> 1.	The Department of Trade and Industry, through the Integrated Natural Resources and Environmental Management Project – Livelihood Enhancement Support 2 (INREMP-LES 2 ) under the Asian Development Bank (ADB) Funding intends to apply the sum of Six Hundre</t>
  </si>
  <si>
    <t xml:space="preserve"> Section I. Invitation to Re-Bid Republic of the Philippines Province of Romblon  Invitation to Bid for the  Riprapping of Provincial Road Poblacion, Sta. Fe, Romblon June 15, 2020  1.	The Province of Romblon through the SP Res. No. 09-2019-60 dated Septem</t>
  </si>
  <si>
    <t xml:space="preserve"> 1.	The Department of Trade and Industry, through the Integrated Natural Resources and Environmental Management Project – Livelihood Enhancement Support 2 (INREMP-LES 2) under Asian Development Bank (ADB) Funding intends to apply the sum of Seven Hundred N</t>
  </si>
  <si>
    <t xml:space="preserve"> Republic of the Philippines PROVINCE OF ZAMBALES IBA BIDS AND AWARD COMMITTEE Invitation to Bid for the Asphalt overlay of road in front of the Provincial Capitol including part of Iba-Sta. Barbara Road 1.	The Province of Zambales, through the 20% Economi</t>
  </si>
  <si>
    <t xml:space="preserve"> Water Pump 2Hp Gould Pump, 1box PE hose 1" 100m, 2roll PE 3/4 100m, 2roll PE hose 1/2 100m, 2roll PE coupling 1", 20pcs PE coupling 3/4, 20pcs PE coupling 1/2, 20pcs Reducer 3/4 1/2, 10pcs Reducer 1x1/2 10, 10pcs Coupling Reducer 1 x 3/4,  10pcs T 1x3/4 ,</t>
  </si>
  <si>
    <t xml:space="preserve"> 1.	The Department of Trade and Industry, through the Integrated Natural Resources and Environmental Management Project – Livelihood Enhancement Support 2 (INREMP-LES 2 ) under the Asian Development Bank (ADB) Funding intends to apply the sum of One Millio</t>
  </si>
  <si>
    <t xml:space="preserve"> computer consumables</t>
  </si>
  <si>
    <t xml:space="preserve"> See attach rfq</t>
  </si>
  <si>
    <t xml:space="preserve"> 1.	The Department of Trade and Industry, through the Integrated Natural Resources and Environmental Management Project – Livelihood Enhancement Support 2 (INREMP-LES 2) under Asian Development Bank (ADB) Funding intends to apply the sum of Four Hundred Th</t>
  </si>
  <si>
    <t xml:space="preserve"> Section I. Invitation to Bid Republic of the Philippines Province of Romblon  Invitation to Bid for the  Repair/Rehabilitation of Main Building and Completion of Wards at Tablas Island District Hospital (TIDH) San Agustin, Romblon June 15, 2020 1.	The Pro</t>
  </si>
  <si>
    <t xml:space="preserve"> Stone masonry of newly concreted barangay road.</t>
  </si>
  <si>
    <t xml:space="preserve"> 25 SETS OF DISINFECT SAFETY MAT 20 SETS OF ALCOHOL DISPENSING WITH PEDAL</t>
  </si>
  <si>
    <t xml:space="preserve"> Various Gardening Supplies  10 UNI Pruning Shears, 7, Japan Made  200 PC Bag plastic, black (FOR PLANT PROPAGATION 5" X 8")  50 PAK Compost Soil  31 PC Shovel  100 PC Water Sprinkler (rotary)  20 PC Rake for Gardening  2 UNI Wheel Barrow  -In accordance w</t>
  </si>
  <si>
    <t xml:space="preserve"> Republic of the Philippines Province of Northern Samar MUNICIPALITY OF BOBON -oo0oo- BIDS AND AWARDS COMMITTEE INVITATION TO APPLY FOR ELIGIBILITY AND TO BID The Municipal Government of Bobon, Northern Samar through its Bids and Awards Committee (BAC) inv</t>
  </si>
  <si>
    <t xml:space="preserve"> 29 cu.m Boulders 14 sets 1m x 1m x 2m Gabions incl. Tie wires</t>
  </si>
  <si>
    <t xml:space="preserve"> Concreting of Barangay Road Station 2</t>
  </si>
  <si>
    <t xml:space="preserve"> Isuzu Crosswind/SKP-997 (DepEd) Motor Oil Oil Filter Clutch Cover Clutch Disc Release Bearing Upper Balljoint Lower Balljoint Shock Absorber PMS, Change Oil Check/Repair Alternator Repair Underchassis Clean Brakes Isuzu Crosswind/SKP-969  Motor Oil Oil Fi</t>
  </si>
  <si>
    <t xml:space="preserve"> Nissan 10W DT/SFY-353 10.00 x 20 Lug Type Tire 10.00 x 20 Interior Tube Labor Cost: HBM Motor Grader/ BG 110T - 5 # 2 Motor Oil (Main &amp; Back) Labor Cost: Nissan DT/SFY-351 Side Mirror</t>
  </si>
  <si>
    <t xml:space="preserve"> Nissan 10W DT/SHG-280 10.00 x 20 Rib Type Tire 10.00 x 20 Interior Tube 10.00 x 20 Lug Type Tire Labor Cost: Isuzu Firework / SGR-968 &amp; Man Rosenbauer FT Eng. 2D MF Battery Labor Cost: JCB Backhoe Loader Hydraulic Assy Menzi Muck Excavator Hydraulic Oil 6</t>
  </si>
  <si>
    <t xml:space="preserve"> Nissan 10W DT/SHG-276 10.00 x 20 Rib Type Tire 10.00 x 20 Interior Tube 10.00 x 20 Lug Type Tire Labor Cost: 6W Isuzu DT/DT #12 3SM Battery Motor Oil Fuel Filter Oil Filter Air Filter Starter Switch Labor Cost:</t>
  </si>
  <si>
    <t xml:space="preserve"> 1	pc.	Epson Printer , L3110 1	pc.	External CD reader 1	pc.	Numeric keypad</t>
  </si>
  <si>
    <t xml:space="preserve"> 10W Nissan DT/SHG-279 10.00 x 20 Rib Eye Tire 10.00 x 20 Interior Tube 10.00 x 20 Lug Type Tire Labor Cost: 6W Nissan DT/SFY-351 8.25 x 20 Rib Eye Tire 8.25 x 20 Interior Tube 8.20 x 20 Lug Type Tire Labor Cost:</t>
  </si>
  <si>
    <t xml:space="preserve"> Republic of the Philippines Danao City BIDS AND AWARDS COMMITTEE 	 REQUEST FOR QUOTATION The Local Government of Danao City, through the City Mayors Office intends to apply the sum of Php114,000.00 being the Approved Budget for the Contract (ABC) to payme</t>
  </si>
  <si>
    <t xml:space="preserve"> Republic of the Philippines Bangsamoro Autonomous Region in Muslim Mindanao Provincial Government of Maguindanao BIDS AND AWARDS COMMITTEE INVITATION TO BID FOR CONSTRUCTION OF PIGKALAGAN – MATENGEN ROAD 1. The Provincial Government of Maguindanao, throug</t>
  </si>
  <si>
    <t xml:space="preserve"> NOTICE TO BIDDERS 	The Department of Public Works and Highways (DPWH), Dinagat Islands District Engineering Office, will procure through SHOPPING METHOD from accredited &amp; eligible suppliers /manufacturers/ distributors/contractors the procurement for the </t>
  </si>
  <si>
    <t xml:space="preserve"> Description Republic of the Philippines  City of Danao BIDS AND AWARDS COMMITTEE INVITATION TO APPLY FOR ELIGIBILITY AND TO BID INFRASTRUCTURE PROJECTS IN THE CITY OF DANAO Construction of Evacuation Center at Barangay Sabang, Danao City The City Governme</t>
  </si>
  <si>
    <t xml:space="preserve"> Nissan 10W/SFY-352 10.00 x 20 Rib Type Tire 10.00 x 20 Interior Tube 10.00 x 20 Lug Type Tire Clutch Booster Assy Brake Fluids Labor Cost: Isuzu Manlift Room Truck/CS-0301 IC Regulator Bearing Fan Belt Oil Seal Check &amp; Repair Back Engine &amp; Main Engine Alt</t>
  </si>
  <si>
    <t xml:space="preserve"> 1.	The Department of Trade and Industry, through the Integrated Natural Resources and Environmental Management Project – Livelihood Enhancement Support 2 (INREMP-LES 2) under Asian Development Bank (ADB) Funding intends to apply the sum of Six Hundred Twe</t>
  </si>
  <si>
    <t xml:space="preserve"> THERMOGUN ALCOHOL</t>
  </si>
  <si>
    <t xml:space="preserve"> 1.	The Department of Trade and Industry, through the Integrated Natural Resources and Environmental Management Project – Livelihood Enhancement Support 2 (INREMP-LES 2 ) under the Asian Development Bank (ADB) Funding intends to apply the sum of One Hundre</t>
  </si>
  <si>
    <t xml:space="preserve"> TILING, WINDOWS, PAINTING, PLUMBING</t>
  </si>
  <si>
    <t xml:space="preserve"> Republic of the Philippines					 Province of Pangasinan 					 Municipality of Bolinao					 					 REQUEST FOR QUOTATION (RFQ)					 					 Company Name:  				Date:	15-Jun-20 					 Address:					 					       Please quote your lowest price on the item/s listed </t>
  </si>
  <si>
    <t xml:space="preserve"> 1.	The Department of Trade and Industry, through the Integrated Natural Resources and Environmental Management Project – Livelihood Enhancement Support 2 (INREMP-LES 2) under Asian Development Bank (ADB) Funding intends to apply the sum of Six Hundred Sev</t>
  </si>
  <si>
    <t xml:space="preserve"> 75 pieces 15 watts LED Bulb 45 pieces Receptacle Rubber 10 rolls Electrical Tape (big) 2 rolls  # 6 Duplex wire 6 box THHN H12 2 unit megaphone</t>
  </si>
  <si>
    <t xml:space="preserve"> 1.	The Department of Trade and Industry, through the Integrated Natural Resources and Environmental Management Project – Livelihood Enhancement Support 2 (INREMP-LES 2) under Asian Development Bank (ADB) Funding intends to apply the sum of Seven Hundred S</t>
  </si>
  <si>
    <t xml:space="preserve"> Section I. Invitation to Re-Bid Republic of the Philippines Province of Romblon  Invitation to Bid for the  Site Development for Municipal Housing Project at Brgy. Poblacion San Agustin, Romblon June 15, 2020  1.	The Province of Romblon through the ADP CY</t>
  </si>
  <si>
    <t xml:space="preserve"> Republic of the Philippines Bangsamoro Autonomous Region in Muslim Mindanao Provincial Government of Maguindanao BIDS AND AWARDS COMMITTEE INVITATION TO BID FOR CONCRETING OF REBUKEN ROAD – TESDA ROAD 1. The Provincial Government of Maguindanao, through t</t>
  </si>
  <si>
    <t xml:space="preserve"> 400 pieces Cartolina (White) and others</t>
  </si>
  <si>
    <t xml:space="preserve"> 1.	The Department of Trade and Industry, through the Integrated Natural Resources and Environmental Management Project – Livelihood Enhancement Support 2 (INREMP-LES 2) under Asian Development Bank (ADB) Funding intends to apply the sum of One Million Thr</t>
  </si>
  <si>
    <t xml:space="preserve"> 20 boxes Vicryl 1, Taper 12's  20 boxes Vicryl 2/0 Rapide, 12's  10 boxes 2/0 Cutting, 12's</t>
  </si>
  <si>
    <t xml:space="preserve"> Section I. Invitation to Re-Bid Republic of the Philippines Province of Romblon  Invitation to Bid for the  Slope/Shore Protection of Barangay Pandan, Sta. Fe, Romblon June 15, 2020  1.	The Province of Romblon through the PDRRMP CY 2020 Ref. Code 3000-1-0</t>
  </si>
  <si>
    <t xml:space="preserve"> Section I. Invitation to Re-Bid Republic of the Philippines Province of Romblon  Invitation to Bid for the  Completion of Educ’l Facilities (Completion of Stage) at Tampayan Elementary School Magdiwang, Romblon June 15, 2020  1.	The Province of Romblon th</t>
  </si>
  <si>
    <t xml:space="preserve"> 1.	The Department of Trade and Industry, through the Integrated Natural Resources and Environmental Management Project – Livelihood Enhancement Support 2 (INREMP-LES 2 ) under the Asian Development Bank (ADB) Funding intends to apply the sum of Ninety Tho</t>
  </si>
  <si>
    <t xml:space="preserve"> Supply and Delivery of Generator</t>
  </si>
  <si>
    <t xml:space="preserve"> Republic of the Philippines Bangsamoro Autonomous Region in Muslim Mindanao Provincial Government of Maguindanao BIDS AND AWARDS COMMITTEE INVITATION TO BID FOR CONSTRUCTION OF SENDITAN - SAMBOLAWAN ROAD 1. The Provincial Government of Maguindanao, throug</t>
  </si>
  <si>
    <t xml:space="preserve"> Section I. Invitation to Re-Bid Republic of the Philippines Province of Romblon  Invitation to Bid for the  Slope Protection at Sitio Bagulayag, Tubigon, Ferrol, Romblon June 15, 2020  1.	The Province of Romblon through the ADP CY 2020 AIP Ref. Code 8000-</t>
  </si>
  <si>
    <t xml:space="preserve"> 1.	The Department of Trade and Industry, through the Integrated Natural Resources and Environmental Management Project – Livelihood Enhancement Support 2 (INREMP-LES 2) under Asian Development Bank (ADB) Funding intends to apply the sum of Six Hundred Eig</t>
  </si>
  <si>
    <t xml:space="preserve"> Republic of the Philippines Bangsamoro Autonomous Region in Muslim Mindanao Provincial Government of Maguindanao BIDS AND AWARDS COMMITTEE INVITATION TO BID FOR CONSTRUCTION OF TUDOK - PALAO ROAD 1. The Provincial Government of Maguindanao, through the An</t>
  </si>
  <si>
    <t xml:space="preserve"> -Paper, printer, inks and others for learner's worksheets -Disinfectant and protective materials to avoid the spread of virus</t>
  </si>
  <si>
    <t xml:space="preserve"> The Department of Agriculture-RFO 3, invites interested suppliers to submit quotations/proposals for the hereunder requirement, to wit:  	 	OPV Seeds	 5	Can	Tomato (50 grams/can) Semi determinate, fruits matures at 55-60 DAS tolerant to heat and cracking	</t>
  </si>
  <si>
    <t xml:space="preserve"> Section I. Invitation to Re-Bid Republic of the Philippines Province of Romblon  Invitation to Bid for the  Repair/Improvement of Brgy. Water System Bachawan, San Agustin, Romblon June 15, 2020  1.	The Province of Romblon through the ADP CY 2020 AIP Ref. </t>
  </si>
  <si>
    <t xml:space="preserve"> The Cotabato Irrigation Management Office, through its Bids and Awards Committee (BAC), intends to procure  the Supply and Delivery of Spare Part for Loader/Backhoe Case 480F  in accordance with Section 53.9 (Small Value Procurement) of the 2016 Revised I</t>
  </si>
  <si>
    <t xml:space="preserve"> Invitation to Bid for CONSTRUCTION OF WATER SYSTEM LEVEL III WITH RESERVOIR AND DISTRIBUTION LINE CONNECT TO CENTRAL MAGUINDANAO INTEGRATED WATER SYSTEM 1.	The Municipality of Datu Piang, through the MPW-BARMM CY 2019 Water Supply System Project   intends</t>
  </si>
  <si>
    <t xml:space="preserve"> Republic of the Philippines Province of Palawan Municipal Government of Quezon INVITATION FOR NEGOTIATED PROCUREMENT  PROCUREMENT OF OFFICE SUPPLIES FOR DIFFERENT OFFICES 1.	In view of three (3) failed public biddings, the Municipal Government of Quezon, </t>
  </si>
  <si>
    <t xml:space="preserve"> BIDS AND AWARDS COMMITTEE – INFORMATION TECHNOLOGY INFRASTRUCTURE AND OTHER RELATED COMPONENTS INVITATION TO BID 1.	The Bangko Sentral ng Pilipinas (BSP), through its Bids and Awards Committee – Information Technology, Infrastructure and Other Related Com</t>
  </si>
  <si>
    <t xml:space="preserve"> Republic of the Philippines Bangsamoro Autonomous Region in Muslim Mindanao Provincial Government of Maguindanao BIDS AND AWARDS COMMITTEE INVITATION TO BID FOR CONSTRUCTION OF MAGNO – BRGY. RENTI ROAD 1. The Provincial Government of Maguindanao, through </t>
  </si>
  <si>
    <t xml:space="preserve"> Section I. Invitation to Re-Bid Republic of the Philippines Province of Romblon  Invitation to Bid for the  Construction of River Walk/Promenade, Poblacion, Madiwang, Romblon June 15, 2020 1.	The Province of Romblon through the ADP CY 2020 AIP Ref. Code 8</t>
  </si>
  <si>
    <t xml:space="preserve"> The Department of Agriculture-RFO 3, invites interested suppliers to submit quotations/proposals for the hereunder requirement, to wit:  	 	Vegetable Seeds 6	Pouch	Okra,OPV, 1kg/pouch 6	Pouch	Petchay, white stem, matures at 30-45 days,tolerant to Diamond </t>
  </si>
  <si>
    <t xml:space="preserve"> Republic of the Philippines Bangsamoro Autonomous Region in Muslim Mindanao Provincial Government of Maguindanao BIDS AND AWARDS COMMITTEE INVITATION TO BID FOR OPENING/REHABILITATION OF FARM TO MARKET ROAD 1. The Provincial Government of Maguindanao, thr</t>
  </si>
  <si>
    <t xml:space="preserve"> Description	Qty	Unit  Black Printer Ink	24	Bottle/s Blue Printer Ink	1	Bottle/s Bond Paper ( Long)	55	Reams Bond Paper (Short)	21	Reams Clear Book Long ( Violet)	1	Piece/s Construction Paper Long ( Asstd)	4	Reams Correction Tape	2	Piece/s Double Sided Tap</t>
  </si>
  <si>
    <t xml:space="preserve"> Cordless phone duo (2 sets)</t>
  </si>
  <si>
    <t xml:space="preserve"> The Department of Agriculture-RFO 3, invites interested suppliers to submit quotations/proposals for the hereunder requirement, to wit: 1	Unit	Upright Chiller, 11 cu.ft. Glass Door, Showcase Chiller with 7-level temperature control,double glass door with </t>
  </si>
  <si>
    <t xml:space="preserve"> The Department of Agriculture-RFO 3, invites interested suppliers to submit quotations/proposals for the hereunder requirement, to wit:  	 	Hybrid Seeds 205	sachet	Tomato (190 seeds) Matures at 55-60 DAT,TYLCV tolerant with bigger fruits &amp; high yielding 1</t>
  </si>
  <si>
    <t xml:space="preserve"> - Paper, printer, and other learner supplies for worksheets reproduction - COVID19 prevention materials  - Medicines</t>
  </si>
  <si>
    <t xml:space="preserve"> The Department of Agriculture-RFO 3, invites interested suppliers to submit quotations/proposals for the hereunder requirement, to wit: 20	Bottle	Potato Dextrose Agar , for isolation and enumeration of yeasts and molds from dairy and other food products (</t>
  </si>
  <si>
    <t xml:space="preserve"> Please quote your lowest price inclusive of VAT on the item/s listed below, subject to the Terms and Conditions of this RFQ, and submit your quotation duly signed by your representative not later than June 18, 2020 at Bids and Awards Committee of BFAR 8, </t>
  </si>
  <si>
    <t xml:space="preserve"> The Department of Agriculture-RFO 3, invites interested suppliers to submit quotations/proposals for the hereunder requirement, to wit:          180 	Pairs	 Boots, (Rubber Boots/Rain Boots Waterproof), made from rubber or Polyvinyl chloride (PVC)         </t>
  </si>
  <si>
    <t xml:space="preserve"> Name of the Procuring Entity 					Project Reference No.                              				 					      Name of the Project:  Purchase of Tents and Materials for Repair of MDRRM Tents				 									 				              Location of the Project :Looc,Romblon					</t>
  </si>
  <si>
    <t xml:space="preserve"> The Department of Agriculture-RFO 3, invites interested suppliers to submit quotations/proposals for the hereunder requirement, to wit: 1500	Pieces	Seedling Tray (104 holes)  	 	   	 	   	 	Other Requirements  	 	Delivery Site: CLIARC UPLAND, Magalang Pam</t>
  </si>
  <si>
    <t xml:space="preserve"> The Cotabato Irrigation Management Office, through its Bids and Awards Committee (BAC), intends to procure  the Supply and Delivery of Spare Part for UD Nissan Dump Truck  in accordance with Section 53.9 (Small Value Procurement) of the 2016 Revised Imple</t>
  </si>
  <si>
    <t xml:space="preserve"> Republic of the Philippines Region 10 – Northern Mindanao Province of Lanao del Norte MUNICIPALITY OF BALO-I Email: mlgubaloi.ldn@gmail.com Office of the Bids and Awards Committee Invitation to Bid 1.The Local Government Unit of Balo-i, Lanao del Norte, t</t>
  </si>
  <si>
    <t xml:space="preserve"> The Department of Agriculture-RFO 3, invites interested suppliers to submit quotations/proposals for the hereunder requirement, to wit:  	 	Installation of Automatic Transfer Switch of Genset for Backup Power System of Regional Crop Protection Center 1	Is</t>
  </si>
  <si>
    <t xml:space="preserve"> 20 units Andorid Tablet, 10.1 Inches, 2GB/16GB			 Minimum Specifications:			 Atleast MediaTek Helio P22T Quad-core processor or Qualcomm			 Atleast PowerVR GE8320 GPU			 Atleast 2GB LPDDR4X RAM or Higher			 10.1-inch IPS LCD display, 1920×1200 resolution,</t>
  </si>
  <si>
    <t xml:space="preserve"> Items Listed are Supplies and Instructional Materials to be used by Pangantucan National High School for the First Quarter.</t>
  </si>
  <si>
    <t xml:space="preserve"> Invitation to Bid for CY 2020 QRF Repair &amp; Rehabilitation Program 1. The Department of Education – Division of Samar, through the General Appropriations Act ( GAA ) CY 2020 intends to apply the sum of Twenty Five Million Five Hundred Eighty Seven Thousand</t>
  </si>
  <si>
    <t xml:space="preserve"> 1. materials 6	pcs. 	100mmx6.00m. G.I. pipe sched. 40		 10	pcs. 	12mmx6.00m.COTT. BARS		 58	BAGS	GRAND PORTLAND CEMENT		 35	CU.M.	SAND to include delivery		 7.0	CU.M.	# 3/4 GRAVEL to include delievry		 32	pcs. 	2X 1/4	ANGLE BAR (STANDARD)	 25	pcs. 	1X 1/4</t>
  </si>
  <si>
    <t xml:space="preserve"> Invitation to Bid for CY 2020 QRF Repair &amp; Rehabilitation Program 1.	The Department of Education – Division of Samar, through the General Appropriations Act ( GAA ) CY 2020 intends to apply the sum of Twenty Five Million Five Hundred Eighty Seven Thousand</t>
  </si>
  <si>
    <t xml:space="preserve"> Motorcycle 150i scooter Specifications: Engine type: 150cc(single cylinder 4 stroke SOHC, Liquid cooled Rear tire 100/80-14M/C46P Wheelbase 1,280mm Displacement 150cc Power 13hp Strat option:electric Bore X stroke:57.3x57.9mm</t>
  </si>
  <si>
    <t xml:space="preserve"> (see Associated Components for details)</t>
  </si>
  <si>
    <t xml:space="preserve"> Labor and Materials</t>
  </si>
  <si>
    <t xml:space="preserve"> EDUCATIONAL SUPPLIES AND MATERIALS</t>
  </si>
  <si>
    <t xml:space="preserve"> Supply and Delivery of Materials to be used in IT Equipment</t>
  </si>
  <si>
    <t xml:space="preserve"> EDUCATIONAL SUPPLIES AND CONSUMABLES</t>
  </si>
  <si>
    <t xml:space="preserve"> 1	Unit	Laptop w/ Accessories:  Processor: Intel Core i5-8265U Processor (6M Cache, up to 3.90GHz Memory: 4GB DDR4-2400 DRAM (1x4GB) Storage: 1 TB 5400RPM SATA HDD Operating System: Windows 10 Battery: 3 cell Display: 14” diagonal FHD IPS micro edge WLED b</t>
  </si>
  <si>
    <t xml:space="preserve"> Labor and materials</t>
  </si>
  <si>
    <t xml:space="preserve"> see Purchase Request</t>
  </si>
  <si>
    <t xml:space="preserve"> RFQ-SUPPLY AND DELIVERY OF GENERAL MDSE- EMS DUTY VEST WITH REFLECTORIZED PRINT</t>
  </si>
  <si>
    <t xml:space="preserve"> SUPPLY AND DELIVERY OF SEMI-EXPENDABLE ICT EQUIPMENT</t>
  </si>
  <si>
    <t xml:space="preserve"> ITEM #	QUANTITY			ITEM &amp; DESCRIPTION					 									 1	66	pcs		Fire extinguisher refill and service charge					 				*****END****</t>
  </si>
  <si>
    <t xml:space="preserve"> 1.	The Department of Education, Schools Division Office of Albay, through the General Appropriations Act of 2019 or Continuing Appropriations intends to apply the sum of Nine Hundred Thirty Eight Thousand, Three Hundred Pesos (Php 938,300.00) being the Ap</t>
  </si>
  <si>
    <t xml:space="preserve"> ITEM #	QUANTITY			ITEM &amp; DESCRIPTION					 									 1	40	reams		Bond paper, S-20, short					 2	100	reams		Bond paper, S-20,long					 3	10	boxes		Sign pen, 0.7, black, 12's, good quality					 4	5	boxes		Letter envelope w/o window, white, long, 500's					 5</t>
  </si>
  <si>
    <t xml:space="preserve"> ITEM #	QUANTITY			ITEM &amp; DESCRIPTION					 									 1	100	bottles		Ethyl alcohol, 70% solution with moisturizer, 500ml					 2	20	packs		Tissue paper, 3 ply, 12's					 3	40	bottles		Dishwashing liquid, 500ml					 4	20	pcs		Scour pad with sponge, large					</t>
  </si>
  <si>
    <t xml:space="preserve"> ITEM #	QUANTITY			ITEM &amp; DESCRIPTION					 									 1	20	reams		Bond paper, S-20, 8.5x11"					 2	10	sets		Ink refill for Brother copier					 3	10	sets		Ink refill for Epson printer, T6641, T6642, T6643, T6644					 4	10	boxes		Ball pen, 25's, black					 5	</t>
  </si>
  <si>
    <t xml:space="preserve"> REQUEST FOR QUOTATION No. 2020-323                                                                                                                                 	   Request Reference Number: 100-20-05-165         Date: June 15, 2020 Pursuant to R.A. 918</t>
  </si>
  <si>
    <t xml:space="preserve"> REQUEST FOR QUOTATION No. 2020-333                                                                                                                                 	   Request Reference Number: 100-20-06-281         Date: June 15, 2020 Pursuant to R.A. 918</t>
  </si>
  <si>
    <t xml:space="preserve"> Please see attached RFQ...</t>
  </si>
  <si>
    <t xml:space="preserve"> for the distribution to the constituents during Pandemic CORONA VIRUS 17 sacks Rice 10 bags   Plastic bag</t>
  </si>
  <si>
    <t xml:space="preserve"> ITEM #	QUANTITY			ITEM &amp; DESCRIPTION					 									 1	5	pcs		Scotch tape, 1", big, good quality					 2	5	pcs		White board marker, black					 3	5	pcs		Marker, permanent, black					 4	5	pcs		Masking tape, 1", big, good quality					 5	70	reams		Bond paper, S</t>
  </si>
  <si>
    <t xml:space="preserve"> Supply &amp; Delivery of other supplies and materials 01D Aux &amp; HES F24-2020 Kindly see attached file. Thank you!</t>
  </si>
  <si>
    <t xml:space="preserve"> SUPPLY AND DELIVERY OF SEMI-EXPENDABLE OFFICE EQUIPMENTS</t>
  </si>
  <si>
    <t xml:space="preserve"> RFQ - SUPPLY DELIVERY AND INSTALLATION OF INVERTER 2 HP SPLIT TYPE AIRCONDITIONING UNIT FOR THE CITY HEALTH OFFICE</t>
  </si>
  <si>
    <t xml:space="preserve"> Outdoor Projector White Screen Resolution : XGA Pixel Count: 1024 x 768 Aspect Ratio: 4:3 Lumens (Normal) : 5000 Lumens (Eco): 3800 VGA: 2 Composite: 1 Monitor Out: 1 (shared) HDMI: 2 (1 MHL) Audio in: 1 RCA/2 Mini USB A: 1 USB B: 1 LAN: 1 Wireless: Optio</t>
  </si>
  <si>
    <t xml:space="preserve"> Republic of the Philippines Province of Ilocos Norte MUNICIPALITY OF PINILI REQUEST FOR QUOTATION PIN2020-077 The Municipality of Pinili invites all interested registered suppliers to submit quotations for:   1 LOT  =	SUPPLY OF ONE (1) UNIT HEAVY DUTY COP</t>
  </si>
  <si>
    <t xml:space="preserve"> for the distributions to the constituents of the Barangay 17 sacks    Rice 10 bags     Plastic bag</t>
  </si>
  <si>
    <t xml:space="preserve"> ITEM #	QUANTITY			ITEM &amp; DESCRIPTION					 									 1	50	bottles		Liniment oil, 12ml					 2	50	bottles		Hydrogen peroxide, 500ml					 3	50	bottles		Povidone iodine 500ml					 4	10	pcs		Oxygen tank regulator					 5	50	pcs		Oxygen cannula adult					 6	50	pc</t>
  </si>
  <si>
    <t xml:space="preserve"> ITEM #	QUANTITY			ITEM &amp; DESCRIPTION					 									 1	20	rolls		Garbage bag, medium, 10's					 2	20	rolls		Garbage bag, large, 10's					 3	50	rolls		Garbage bag, 2XL, 10's					 4	50	rolls		Garbage bag, 3XL, 10's					 5	50	canister		Disinfectant spray, 340</t>
  </si>
  <si>
    <t xml:space="preserve"> Please see ASSOCIATED COMPONENTS for details</t>
  </si>
  <si>
    <t xml:space="preserve"> RFQ -SUPPLY INSTALLATION AND ACTIVATION  OF THE  CCTV LINE FOR THE CITY DISASTER RISK REDUCTION MANAGEMENT OFFICE</t>
  </si>
  <si>
    <t xml:space="preserve"> REQUEST FOR QUOTATION No. 2020-338                                                                                                                                 	   Request Reference Number: 100-20-05-243         Date: June 15, 2020 Pursuant to R.A. 918</t>
  </si>
  <si>
    <t xml:space="preserve"> ITEM #	QUANTITY			ITEM &amp; DESCRIPTION					 									 1	12	gal		Multi-purpose disinfectant					 2	1	pcs		Tornado mop, ZT 11 or its equivalent					 3	6	pcs		Trash bin w/ pedal, black, 22L capacity, slim					 4	12	canister		Air freshener spray 275ml					 5	12</t>
  </si>
  <si>
    <t xml:space="preserve"> ITEM #	QUANTITY			ITEM &amp; DESCRIPTION					 									 				Food/meals					 									 				Day 1					 1	30	pax		Breakfast: Rice, beef tapa, fruits coffee					 2	30	pax		Snack AM: Spaghetti, toasted bread, bottled water 350ml					 3	30	pax		Lunch: Fried fish, t</t>
  </si>
  <si>
    <t xml:space="preserve"> ITEM #	QUANTITY			ITEM &amp; DESCRIPTION					 									 1	5	units		Megaphone					 2	10	units		Flashlight, night shadow					 3	10	units		Fire extinguisher, dry chemical ABC, 10lbs					 				*****END*****</t>
  </si>
  <si>
    <t xml:space="preserve"> NATIONAL TRANSMISSION CORPORATION RESOURCE MANAGEMENT SERVICES GROUP TransCo Annex Bldg., Diliman, Quezon City Tel. No. 902-1521/Fax No. 914-6209 SUPPLIER’S TECHNICAL/PRICE QUOTATION FORM (NEGOTIATED PROCUREMENT: SMALL VALUE PROCUREMENT) REFERENCE NO.:  G</t>
  </si>
  <si>
    <t xml:space="preserve"> ITEM #	QUANTITY			ITEM &amp; DESCRIPTION					 									 				Meals for launching Oplan Ligtas na Pamayanan:					 1	124	pax		Breakfast: Chicken, chopsuey, rice, bottled softdrinks 250ml					 2	48	pax		Merienda: Pancit, sandwich, bottled water					 3	48	pax		Lun</t>
  </si>
  <si>
    <t xml:space="preserve"> INDUSTRIAL TECHNOLOGY DEVELOPMENT INSTITUTE DOST Cmpd., Bicutan, Taguig City Telephone Nos. (02) 837-20-71 to 82 local 2221 E-mail Add.: itdi.admbac@gmail.com INVITATION TO BID June 14, 2020 Sir/Madam: Please quote your price for the item/items listed bel</t>
  </si>
  <si>
    <t xml:space="preserve"> REQUEST FOR QUOTATION No. 2020-343                                                                                                                                 	   Request Reference Number: 100-20-03-140         Date: June 15, 2020 Pursuant to R.A. 918</t>
  </si>
  <si>
    <t xml:space="preserve"> Provision of Janitorial  Services for seven (7)  Utility men/women  within DENR-PENRO Quezon for six months starting July-December for CY-2020, distributed as follows:   1. PENR Office             -  3   2. CENRO Tayabas        -  1   3. CENRO Real       </t>
  </si>
  <si>
    <t xml:space="preserve"> ITEM #	QUANTITY			ITEM &amp; DESCRIPTION					 									 				Hygiene Supplies/Kit					 1	30	packs		  Shampoo, 8pcs, 15ml sachet					 2	30	packs		  Regular bath soap, 60g, 2pcs					 3	30	packs		  Laundry powder, 30g, 4pcs					 4	30	packs		  Alcohol, small, 1pc	</t>
  </si>
  <si>
    <t xml:space="preserve"> 1	Low Bed Truck Specifications: 1. Engine 1.1 19,688cc, V Type, 355hp 1.2 8 cylinder 1.3 7 Speed Manual Transmission 1.4 12 wheeler 2. Self-Loader Body and Cabin 2.1 Self Loader with sliding body 2.2 Non-skid heavy duty wood flooring with side mounted hoo</t>
  </si>
  <si>
    <t xml:space="preserve"> ITEM #	QUANTITY			ITEM &amp; DESCRIPTION					 									 1	2	units		Power sprayer 3HP with complete accessories					 2	4	rolls		Hose, 100m					 				*****END*****</t>
  </si>
  <si>
    <t xml:space="preserve"> Supply and Delivery of 10pcs Water Resistant 2-way Radio with extra 2 pcs battery</t>
  </si>
  <si>
    <t xml:space="preserve"> Provision of Security Services for eleven (11) Security Guards   within DENR-PENRO Quezon for six months starting July-December for CY-2020, distributed as follows:   1. PENR Office         - 3 Security Guards   2. CENRO Tayabas    - 2 Security Guards-   </t>
  </si>
  <si>
    <t xml:space="preserve"> ITEM #	QUANTITY			ITEM &amp; DESCRIPTION					 									 1	2	units		Projector					 				Resolution — Native: XGA (1024 x 768)					 				Resolution — Maximum:  WUXGA (1920 x 1200)					 				Display Technology:  DLP					 				Video Standard Compatibility:   NTSC, PA</t>
  </si>
  <si>
    <t xml:space="preserve"> Procurement of various materials with installation of CCTV Fiber Optic</t>
  </si>
  <si>
    <t xml:space="preserve"> ITEM #	QUANTITY			ITEM &amp; DESCRIPTION					 									 				Printing of:					 1	10	reams		Prescription pad, 1/2 short					 2	5	reams		NTP lab request form, short					 3	20	reams		Prescription pad, 1/4 long					 4	30	reams		Clinical record, long					 5	3	reams</t>
  </si>
  <si>
    <t xml:space="preserve"> Republic of the Philippines Department of Education Region VI – Western Visayas DIVISION OF AKLAN Poblacion, Numancia, Aklan INVITATION TO BID Project No.: DepED-RO6-D1-2020QRF(REPAIR)-C6-023-2020 The Department of Education (DepED) Division of Aklan, thr</t>
  </si>
  <si>
    <t xml:space="preserve"> Republic of the Philippines Department of Education Region VI – Western Visayas DIVISION OF AKLAN Poblacion, Numancia, Aklan INVITATION TO BID Project No.: DepED-RO6-D1-2020QRF(REPAIR)-C10-027-2020 The Department of Education (DepED) Division of Aklan, th</t>
  </si>
  <si>
    <t xml:space="preserve"> Republic of the Philippines Department of Education Region VI – Western Visayas DIVISION OF AKLAN Poblacion, Numancia, Aklan INVITATION TO BID Project No.: DepED-RO6-D1-2020QRF(REPAIR)-C9-026-2020 The Department of Education (DepED) Division of Aklan, thr</t>
  </si>
  <si>
    <t xml:space="preserve"> PURCHASE OF OFFICES SUPPLIES FOR THE REPRODUCTION OF IM'S IN PREPARATION FOR THE OPENING OF SCHOOL YEAR ON AUGUST 24, 2020, IN WHICH FACE-FACE INSTRUCTION IS WAIVED DUE TO COVID-19 PANDEMIC (BONDPAPER, STAPLER, STAPLE WIRE, INK)</t>
  </si>
  <si>
    <t xml:space="preserve"> Republic of the Philippines Department of Education Region VI – Western Visayas DIVISION OF AKLAN Poblacion, Numancia, Aklan INVITATION TO BID Project No.: DepED-RO6-D1-2020QRF(REPAIR)-C7-024-2020 The Department of Education (DepED) Division of Aklan, thr</t>
  </si>
  <si>
    <t xml:space="preserve"> Republic of the Philippines Department of Education Region VI – Western Visayas DIVISION OF AKLAN Poblacion, Numancia, Aklan INVITATION TO BID Project No.: DepED-RO6-D1-2020QRF(REPAIR)-C3-020-2020 The Department of Education (DepED) Division of Aklan, thr</t>
  </si>
  <si>
    <t xml:space="preserve"> Republic of the Philippines Department of Education Region VI – Western Visayas DIVISION OF AKLAN Poblacion, Numancia, Aklan INVITATION TO BID Project No.: DepED-RO6-D1-2020QRF(REPAIR)-C2-019-2020 The Department of Education (DepED) Division of Aklan, thr</t>
  </si>
  <si>
    <t xml:space="preserve"> Republic of the Philippines Department of Education Region VI – Western Visayas DIVISION OF AKLAN Poblacion, Numancia, Aklan INVITATION TO BID Project No.: DepED-RO6-D1-2020QRF(REPAIR)-C5-022-2020 The Department of Education (DepED) Division of Aklan, thr</t>
  </si>
  <si>
    <t xml:space="preserve"> Republic of the Philippines Department of Education Region VI – Western Visayas DIVISION OF AKLAN Poblacion, Numancia, Aklan INVITATION TO BID Project No.: DepED-RO6-D1-2020QRF(REPAIR)-C13-030-2020 The Department of Education (DepED) Division of Aklan, th</t>
  </si>
  <si>
    <t xml:space="preserve"> Republic of the Philippines Department of Education Region VI – Western Visayas DIVISION OF AKLAN Poblacion, Numancia, Aklan INVITATION TO BID Project No.: DepED-RO6-D1-2020QRF(REPAIR)-C15-032-2020 The Department of Education (DepED) Division of Aklan, th</t>
  </si>
  <si>
    <t xml:space="preserve"> Republic of the Philippines Department of Education Region VI – Western Visayas DIVISION OF AKLAN Poblacion, Numancia, Aklan INVITATION TO BID Project No.: DepED-RO6-D1-2020QRF(REPAIR)-C12-029-2020 The Department of Education (DepED) Division of Aklan, th</t>
  </si>
  <si>
    <t xml:space="preserve"> Republic of the Philippines Department of Education Region VI – Western Visayas DIVISION OF AKLAN Poblacion, Numancia, Aklan INVITATION TO BID Project No.: DepED-RO6-D1-2020QRF(REPAIR)-C14-031-2020 The Department of Education (DepED) Division of Aklan, th</t>
  </si>
  <si>
    <t xml:space="preserve"> Republic of the Philippines Department of Education Region VI – Western Visayas DIVISION OF AKLAN Poblacion, Numancia, Aklan INVITATION TO BID Project No.: DepED-RO6-D1-2020QRF(REPAIR)-C8-025-2020 The Department of Education (DepED) Division of Aklan, thr</t>
  </si>
  <si>
    <t xml:space="preserve"> Other machineries and Equipment/motor vehicle</t>
  </si>
  <si>
    <t xml:space="preserve"> Republic of the Philippines Department of Education Region VI – Western Visayas DIVISION OF AKLAN Poblacion, Numancia, Aklan INVITATION TO BID Project No.: DepED-RO6-D1-2020QRF(REPAIR)-C11-028-2020 The Department of Education (DepED) Division of Aklan, th</t>
  </si>
  <si>
    <t xml:space="preserve"> Republic of the Philippines Department of Education Region VI – Western Visayas DIVISION OF AKLAN Poblacion, Numancia, Aklan INVITATION TO BID Project No.: DepED-RO6-D1-2020QRF(REPAIR)-C4-021-2020 The Department of Education (DepED) Division of Aklan, thr</t>
  </si>
  <si>
    <t xml:space="preserve"> Republic of the Philippines PROVINCE OF NUEVA VIZCAYA Municipality of Aritao BIDS AND AWARDS COMMITTEE ITB-BONE SOUTH ES SLOPE PROTECTION-20-06-01 INVITATION TO BID FOR CONSTRUCTION OF SLOPE PROTECTION At Bone South Elementary School (Main), Bone South, A</t>
  </si>
  <si>
    <t xml:space="preserve"> Republic of the Philippines Department of Education Region VI – Western Visayas DIVISION OF AKLAN Poblacion, Numancia, Aklan INVITATION TO BID Project No.: DepED-RO6-D1-2020QRF(REPAIR)-C16-033-2020 The Department of Education (DepED) Division of Aklan, th</t>
  </si>
  <si>
    <t xml:space="preserve"> Republic of the Philippines Department of Education Region VI – Western Visayas DIVISION OF AKLAN Poblacion, Numancia, Aklan INVITATION TO BID Project No.: DepED-RO6-D1-2020QRF(REPAIR)-C20-037-2020 The Department of Education (DepED) Division of Aklan, th</t>
  </si>
  <si>
    <t xml:space="preserve"> Republic of the Philippines Department of Education Region VI – Western Visayas DIVISION OF AKLAN Poblacion, Numancia, Aklan INVITATION TO BID Project No.: DepED-RO6-D1-2020QRF(REPAIR)-C19-036-2020 The Department of Education (DepED) Division of Aklan, th</t>
  </si>
  <si>
    <t xml:space="preserve"> Republic of the Philippines Department of Education Region VI – Western Visayas DIVISION OF AKLAN Poblacion, Numancia, Aklan INVITATION TO BID Project No.: DepED-RO6-D1-2020QRF(REPAIR)-C17-034-2020 The Department of Education (DepED) Division of Aklan, th</t>
  </si>
  <si>
    <t xml:space="preserve"> Republic of the Philippines Department of Education Region VI – Western Visayas DIVISION OF AKLAN Poblacion, Numancia, Aklan INVITATION TO BID Project No.: DepED-RO6-D1-2020QRF(REPAIR)-C27-044-2020 The Department of Education (DepED) Division of Aklan, th</t>
  </si>
  <si>
    <t xml:space="preserve"> Republic of the Philippines Department of Education Region VI – Western Visayas DIVISION OF AKLAN Poblacion, Numancia, Aklan INVITATION TO BID Project No.: DepED-RO6-D1-2020QRF(REPAIR)-C18-035-2020 The Department of Education (DepED) Division of Aklan, th</t>
  </si>
  <si>
    <t xml:space="preserve"> Republic of the Philippines Province of Surigao del Sur Municipality of Lanuza INVITATION TO BID  PROCUREMENT OF HARDWARE MATERIALS FOR CONSTRUCTION OF 83.95 LM. OPEN CANAL ALONG THE NATIONAL HIGHWAY AT ZONE II, LANUZA SURIGAO DEL SUR 1.	The Local Governm</t>
  </si>
  <si>
    <t xml:space="preserve"> Republic of the Philippines Department of Education Region VI – Western Visayas DIVISION OF AKLAN Poblacion, Numancia, Aklan INVITATION TO BID Project No.: DepED-RO6-D1-2020QRF(REPAIR)-C26-043-2020 The Department of Education (DepED) Division of Aklan, th</t>
  </si>
  <si>
    <t xml:space="preserve"> Republic of the Philippines Department of Education Region VI – Western Visayas DIVISION OF AKLAN Poblacion, Numancia, Aklan INVITATION TO BID Project No.: DepED-RO6-D1-2020QRF(REPAIR)-C24-041-2020 The Department of Education (DepED) Division of Aklan, th</t>
  </si>
  <si>
    <t xml:space="preserve"> SUPPLY AND DELIVERY OF VARIOUS ICT EQUIPMENT</t>
  </si>
  <si>
    <t xml:space="preserve"> Republic of the Philippines Department of Education Region VI – Western Visayas DIVISION OF AKLAN Poblacion, Numancia, Aklan INVITATION TO BID Project No.: DepED-RO6-D1-2020QRF(REPAIR)-C21-038-2020 The Department of Education (DepED) Division of Aklan, th</t>
  </si>
  <si>
    <t xml:space="preserve"> Republic of the Philippines Department of Education Region VI – Western Visayas DIVISION OF AKLAN Poblacion, Numancia, Aklan INVITATION TO BID Project No.: DepED-RO6-D1-2020QRF(REPAIR)-C22-039-2020 The Department of Education (DepED) Division of Aklan, th</t>
  </si>
  <si>
    <t xml:space="preserve"> Republic of the Philippines Province of Surigao del Sur Municipality of Lanuza INVITATION TO BID  PROCUREMENT OF HARDWARE MATERIALS FOR PROPOSED NURSERY ESTABLISHMENT 1.	The Local Government Unit of Lanuza, through the People’s Survival Fund Projects inte</t>
  </si>
  <si>
    <t xml:space="preserve"> SUPPLY AND DELIVERY OF SEMI-EXPENDABLE OFFICE EQUIPMENT</t>
  </si>
  <si>
    <t xml:space="preserve"> Republic of the Philippines Department of Education Region VI – Western Visayas DIVISION OF AKLAN Poblacion, Numancia, Aklan INVITATION TO BID Project No.: DepED-RO6-D1-2020QRF(REPAIR)-C25-042-2020 The Department of Education (DepED) Division of Aklan, th</t>
  </si>
  <si>
    <t xml:space="preserve"> Republic of the Philippines Department of Education Region VI – Western Visayas DIVISION OF AKLAN Poblacion, Numancia, Aklan INVITATION TO BID Project No.: DepED-RO6-D1-2020QRF(REPAIR)-C23-040-2020 The Department of Education (DepED) Division of Aklan, th</t>
  </si>
  <si>
    <t xml:space="preserve"> INVITATION TO BID 1. The University of the Philippines Manila through its Bids and Awards Committee I (BAC 1), invites suppliers/manufacturers/distributors/contractors to apply for eligibility and to bid for the hereunder project: Name of Project : Supply</t>
  </si>
  <si>
    <t xml:space="preserve"> Office: Gat Andres Bonifacio Memorial Medical Center 				PR No. 184		 				Charge to: Philhealth Trust Fund						 				ABC:  Php950,000.00						 										 										 1	20	units		LED Television 43"				Php	7,000.00	25,000.00 				Flat Screen						 				IPS Pan</t>
  </si>
  <si>
    <t xml:space="preserve"> NOTICE TO THE PUBLIC REQUEST FOR PROPOSAL Purchase Request No: PUR20-05-0391  The Philippine General Hospital hereby informs the public that it will be procuring the following item/s through Small Value Procurement:				 PUR20-05-0391 - DPPS							 							</t>
  </si>
  <si>
    <t xml:space="preserve"> Republic of the Philippines Province of Surigao del Sur Municipality of Lanuza INVITATION TO BID  PROCUREMENT OF HABAL-HABAL MINI SPAREPARTS STORE WITH CARWASH WELDING AND VULCANIZING SHOP AT BARANGAY MAMPI, LANUZA, SURIGAO DEL SUR  1.	The Local Governmen</t>
  </si>
  <si>
    <t xml:space="preserve"> Republic of the Philippines Province of Davao De Oro 		Municipality of Compostela BARANGAY SIOCON BIDS AND AWARDS COMMITTEE CP #: 09101906158 INVITATION FOR SMALL VALUE PROCUREMENT. 2020-07-009 SVP #009 1.	The Barangay Siocon through its Bids and Awards C</t>
  </si>
  <si>
    <t xml:space="preserve"> Republic of the Philippines						 Province of Cebu						 Municipality of Alcantara						 						 STATEMENT OF BUDGETARY REQUIREMENT						 						 Name of Project	 	        : Repairs and Maintenance of Fire Truck 				 Location		                : Poblacion Al</t>
  </si>
  <si>
    <t xml:space="preserve"> Name of Project : Furnishing of Construction Materials for Carol-an Dagyangaw SIP  Location : Ayungon, Negros Oriental  Contract No. : NOSO-Goods-SIP-04-2020  Approved Budget for the Contract : P 1,183,800.00  Estimated Contract Duration : 150 calendar da</t>
  </si>
  <si>
    <t xml:space="preserve"> Name of Project : Furnishing of Construction Materials for Carol-an Dagyangaw SIP (CY 2019)  Location : Ayungon, Negros Oriental  Contract No. : NOSO-Goods-SIP-05-2020  Approved Budget for the Contract : 1,401,900.00  Estimated Contract Duration : 150 cal</t>
  </si>
  <si>
    <t xml:space="preserve"> Office: Gat Andres Bonifacio Memorial Medical Center 				PR No. 403		 				Charge to: Other Supplies and Materials Expenses				OBR No. 100-2002-01144		 				ABC:  Php89,080.00						 										 										 1	13	 pads 		OBR'S Form 5pcs./set,50 sets/pad, carbon</t>
  </si>
  <si>
    <t xml:space="preserve"> Republic of the Philippines																																																										 DEPARTMENT OF PUBLIC WORKS AND HIGHWAYS																																																										 OFFICE OF THE DISTRICT ENGINEER																																								</t>
  </si>
  <si>
    <t xml:space="preserve"> NOTICE TO THE PUBLIC REQUEST FOR PROPOSAL Purchase Request No: PUR20-03-0248 The Philippine General Hospital hereby informs the public that it will be procuring the following item/s through Small Value Procurement: 192 gallon   Alcohol, ethyl 70%  P 400.0</t>
  </si>
  <si>
    <t xml:space="preserve"> Procurement (alcohol, liquid bleach, liquid hand soap,etc.)</t>
  </si>
  <si>
    <t xml:space="preserve"> Republic of the Philippines Province of Davao De Oro 		Municipality of Compostela BARANGAY SIOCON BIDS AND AWARDS COMMITTEE CP #: 09101906158 INVITATION FOR SMALL VALUE PROCUREMENT. 2020-07-008 SVP #008 1.	The Barangay Siocon through its Bids and Awards C</t>
  </si>
  <si>
    <t xml:space="preserve"> For the use of City Health Office - Animal Bit Section 500 box insulin syringe 0.5cc 50U, g.29x1/2", 100's 15 box latex exam gloves, large, non-sterile, powder free, 100's 50 box latex exam gloves, medium, non-sterile, powder free, 100's 20 box latex exam</t>
  </si>
  <si>
    <t xml:space="preserve"> Office: CTO and SAH				PR No. 218 and 128		 				Charge to: Printing and Publication Expenses				OBR No. 100-2001-00296 and 100-2001-00206		 				ABC:  Php410,720.00						 										 										 				CITY TREASURER'S OFFICE - PR No. 218						 1	100	pcs.		Gree</t>
  </si>
  <si>
    <t xml:space="preserve"> NOTICE TO THE PUBLIC REQUEST FOR QUOTATION Purchase Request No: PUR20-05-0443 The Philippine General Hospital hereby informs the public that it will be procuring the following item/s through SHOPPING 10,637 bottle Alcohol P 59.00 &gt; 68-72% ethanol (ethyl) </t>
  </si>
  <si>
    <t xml:space="preserve"> Office: Office of the Vice Mayor 				PR No. 573		 				Charge to: Office Supplies Expenses				OBR No. 100-2005-04111		 				ABC:  Php590,250.00						 										 										 1	10	box		Clip, Backfold 1" (32mm) pack				Php	7,000.00	59.00 2	10	box		Clip, Backfol</t>
  </si>
  <si>
    <t xml:space="preserve"> NOTICE TO THE PUBLIC REQUEST FOR PROPOSAL Purchase Request No: PUR20-06-0456 The Philippine General Hospital hereby informs the public that it will be procuring the following item/s through Small Value Procurement: 20 case Pre-disinfectant with tri-enzyma</t>
  </si>
  <si>
    <t xml:space="preserve"> Office: Office of the Vice-Mayor 				PR No. 574		 				Charge to: Representation Expenses				OBR No. 100-2005-04112		 				ABC:  Php600,000.00						 										 										 1	2,000	 packs 		Breakfast				Php	7,000.00	300.00 				Choices of						 				 - arroz ca</t>
  </si>
  <si>
    <t xml:space="preserve"> 206	Pcs	G.I. Pipe 3” Ø sch 40 65	Gals	Flatwall latex  65	Gals	Semi – gloss latex 40	Gals	Red oxide 40	Gals	Quickdry metal paint (golden yellow) 40	Gals	Quickdry metal paint (black) 20	Pcs	Paint brush #2 20	Sets	Roller brush w/ tray 25	Gals	Paint thinner  </t>
  </si>
  <si>
    <t xml:space="preserve"> Republic of the Philippines Danao City BIDS AND AWARDS COMMITTEE 	 REQUEST FOR QUOTATION The Local Government of Danao City, through the City Planning and Development Office intends to apply the sum of Php183,060.00 being the Approved Budget for the Contr</t>
  </si>
  <si>
    <t xml:space="preserve"> INVITATION TO BID 1. The University of the Philippines Manila through its Bids and Awards Committee I (BAC 1), invites suppliers/manufacturers/distributors/contractors to apply for eligibility and to bid for the hereunder project: Name of Project : MANNIN</t>
  </si>
  <si>
    <t xml:space="preserve"> 1,333.33	Bd.ft	200-2 x 4 x 10 Good Lumber 2,133.33	Bd.ft	160-4 x 4 x 10 Good Lumber 1600	Bd.ft	480-2 x 2 x 10 Good Lumber 1066.67	Bd.ft	200-2 x 4 x 8 Good Lumber 1200	Bd.ft	300-2 x 3 x 8 Good Lumber 833.33	Bd.ft	100-1 x 10 x 10 Good Lumber 75	Pcs	Hardifle</t>
  </si>
  <si>
    <t xml:space="preserve"> REPAIR/MAINTENANCE OF FLOOD CONTROL</t>
  </si>
  <si>
    <t xml:space="preserve"> Republic of the Philippines Danao City BIDS AND AWARDS COMMITTEE 	 REQUEST FOR QUOTATION The Local Government of Danao City, through the 20% EDF/CPDO intends to apply the sum of Php78,947.00 being the Approved Budget for the Contract (ABC) to payments und</t>
  </si>
  <si>
    <t xml:space="preserve"> 618	Bags	Portland cement 62	Cu.m	Fine sand 42	Cu.m	Selected gravel 103	Pcs	12mmØ RSB 412	Pcs	10mmØ RSB 309	Sheets	Acrylic sheets 309	Length	2” x 3” x 1.5mm rectangular tube 206	Pcs	Turn buckle 6” 103	Length	12mm round tension rod 206	Kls	Welding rod 52	Pc</t>
  </si>
  <si>
    <t xml:space="preserve"> INVITATION TO BID FOR THE COMPLETION OF MULTI-PURPOSE HALL (CES), CAMBALO, CAJIDIOCAN, ROMBLON 1.	The Municipal Government of Cajidiocan, Romblon through the 20% MDF CY-2019 intends to apply the sum of FOUR HUNDRED NINETY-NINE THOUSAND, NINE HUNDRED NINET</t>
  </si>
  <si>
    <t xml:space="preserve"> Office: Gat Andres Bonifacio Memorial Medical Center 				PR No. 169 				Charge to: Philhealth Trust Fund				 				ABC:  Php984,000.00				 								 								 1	1	unit		Digital Duplicators with Platen Cover				Php 				Inclusions:				 				One (1) Cartridge Ink</t>
  </si>
  <si>
    <t xml:space="preserve"> Office: City Budget Office 				PR No. 115		 				Charge to: Office Supplies Expenses				OBR No. 100-2001-00184		 				ABC:  Php91,518.20						 										 										 1	4	pack		Battery, Drycell, AAA, 2pcs/pack				Php	7,000.00	77.70 2	10	pieces		Clear Folder, </t>
  </si>
  <si>
    <t xml:space="preserve"> Republic of the Philippines Danao City BIDS AND AWARDS COMMITTEE 	 REQUEST FOR QUOTATION The Local Government of Danao City, through the CDRRMO intends to apply the sum of Php72,000.00 being the Approved Budget for the Contract (ABC) to payments under the</t>
  </si>
  <si>
    <t xml:space="preserve"> Office: City Budget Office 				PR No. 342		 				Charge to: Capital Outlay-Office Equipment				OBR No. 100-2002-00895		 				ABC:  Php80,000.00						 										 										 1	1	 unit 		Airconditioner, split type, HP2				Php	7,000.00	80,000.00</t>
  </si>
  <si>
    <t xml:space="preserve"> Office: ONT, MHD, YDWB				PR No. 204,  180, 251		 				Charge to: Other Supplies and Materials Expenses				OBR No. 100-2001-00351, 100-2001-00321		 				ABC:  Php165,754.85				              100-2001-00451		 										 										 				OSPITAL NG TONDO - PR No</t>
  </si>
  <si>
    <t xml:space="preserve"> Republic of the Philippines Danao City BIDS AND AWARDS COMMITTEE 	 REQUEST FOR QUOTATION The Local Government of Danao City, through the Sangguniang Panlungsod Office intends to apply the sum of Php65,990.00 being the Approved Budget for the Contract (ABC</t>
  </si>
  <si>
    <t xml:space="preserve"> Republic of the Philippines Danao City BIDS AND AWARDS COMMITTEE 	 REQUEST FOR QUOTATION The Local Government of Danao City, through the City Agriculture Services Office intends to apply the sum of Php74,295.00 being the Approved Budget for the Contract (</t>
  </si>
  <si>
    <t xml:space="preserve"> Office: City Legal Office 				PR No. 293		 				Charge to: Office Supplies Expenses				OBR No. 100-2001-00500		 				ABC:  Php134,970.00						 										 										 1	25	pcs.		Ballpens, black				Php	7,000.00	15.00 2	12	pcs.		Ballpens, red						15.00 3	12	bx</t>
  </si>
  <si>
    <t xml:space="preserve"> Attached RFQs and Purchase Requests</t>
  </si>
  <si>
    <t xml:space="preserve"> Republic of the Philippines Danao City BIDS AND AWARDS COMMITTEE 	 REQUEST FOR QUOTATION The Local Government of Danao City, through the CDRRMO intends to apply the sum of Php97,500.00 being the Approved Budget for the Contract (ABC) to payments under the</t>
  </si>
  <si>
    <t xml:space="preserve"> 150	Pcs	2’x2’x2mm Square tube 125	Pcs	1’x1”x5mm Angle bar 130	Pcs	6mm Steel matting 100	Bags	Skim coat (Super white) 120	Gals	Flat wall latex 100	Gals	Quickdry latex 50	Gals	Red oxide 36	Gals	Quick dry enamel (black) 6	Gals	Paint thinner 11	Gals	Time out </t>
  </si>
  <si>
    <t xml:space="preserve"> 5,000 packs of rice</t>
  </si>
  <si>
    <t xml:space="preserve"> INVITATION TO BID FOR THE REHABILITATION OF MULTI-PURPOSE HALL, LICO, CAJIDIOCAN, ROMBLON 1.	The Municipal Government of Cajidiocan, Romblon through the 20% MDF CY-2019 intends to apply the sum of EIGHT HUNDRED NINETY-NINE THOUSAND, NINE HUNDRED NINETY SI</t>
  </si>
  <si>
    <t xml:space="preserve"> INVITATION TO BID FOR THE REHABILITATION OF MULTI-PURPOSE HALL LUMBANG ESTE, CAJIDIOCAN, ROMBLON 1.	The Municipal Government of Cajidiocan, Romblon through the 20% MDF CY-2019 intends to apply the sum of FOUR HUNDRED NINETY-NINE THOUSAND, NINE HUNDRED NIN</t>
  </si>
  <si>
    <t xml:space="preserve"> Republic of the Philippines Province of Palawan Municipality of Narra INVITATION TO BID 1.	The Municipal Government of Narra, through Bids and Awards Committee intends to apply the sum of TWO HUNDRED ELEVEN THOUSAND PESOS (PHP 211,000.00) being the Approv</t>
  </si>
  <si>
    <t xml:space="preserve"> INVITATION TO BID 1. The University of the Philippines Manila through its Bids and Awards Committee I (BAC 1), invites suppliers/manufacturers/distributors/contractors to apply for eligibility and to bid for the hereunder project: Name of Project :  SUPPL</t>
  </si>
  <si>
    <t xml:space="preserve"> 4,000 packs or groceries</t>
  </si>
  <si>
    <t xml:space="preserve"> Republic of the Philippines Danao City BIDS AND AWARDS COMMITTEE 	 REQUEST FOR QUOTATION The Local Government of Danao City, through the CMO/Traffic Office intends to apply the sum of Php54,710.00 being the Approved Budget for the Contract (ABC) to paymen</t>
  </si>
  <si>
    <t xml:space="preserve"> INVITATION TO BID FOR THE CONSTRUCTION FOR COCONUT PROCESSING CENTER FOR LIVELIHOOD PHASE II, LUMBANG ESTE, CAJIDIOCAN, ROMBLON 1.	The Municipal Government of Cajidiocan, Romblon through the 20% MDF CY-2019 intends to apply the sum of SIX HUNDRED NINETY-N</t>
  </si>
  <si>
    <t xml:space="preserve"> Republic of the Philippines Province of Palawan Municipality of Narra INVITATION TO BID 1.	The Municipal Government of Narra, through Bids and Awards Committee intends to apply the sum of TWO HUNDRED TWENTY-TWO THOUSAND ONE HUNDRED FIFTY PESOS (PHP 222,15</t>
  </si>
  <si>
    <t xml:space="preserve"> Republic of the Philippines Danao City BIDS AND AWARDS COMMITTEE 	 REQUEST FOR QUOTATION The Local Government of Danao City, through the CDRRMO intends to apply the sum of Php108,000.00 being the Approved Budget for the Contract (ABC) to payments under th</t>
  </si>
  <si>
    <t xml:space="preserve"> 1	Lot	Formworks and Scaffolding 13,050	Pcs	CHB 4”x8”x16” 750	Bags	Portland cement 75	Cu.m	Gravel  60	Cu.m	Sand 710	Length	10mm dia RSB 575	Length	12mm dia RSB</t>
  </si>
  <si>
    <t xml:space="preserve"> INVITATION TO BID 1. The University of the Philippines Manila through its Bids and Awards Committee I (BAC 1), invites suppliers/manufacturers/distributors/contractors to apply for eligibility and to bid for the hereunder project: Name of Project : SUPPLY</t>
  </si>
  <si>
    <t xml:space="preserve"> Republic of the Philippines Danao City BIDS AND AWARDS COMMITTEE 	 REQUEST FOR QUOTATION The Local Government of Danao City, through the Public Information Office intends to apply the sum of Php61,500.00 being the Approved Budget for the Contract (ABC) to</t>
  </si>
  <si>
    <t xml:space="preserve"> INVITATION TO BID FOR THE REHABILITATION OF MULTI-PURPOSE HALL LUMBANG WESTE, CAJIDIOCAN, ROMBLON 1.	The Municipal Government of Cajidiocan, Romblon through the 20% MDF CY-2019 intends to apply the sum of FOUR HUNDRED NINETY-NINE THOUSAND, NINE HUNDRED NI</t>
  </si>
  <si>
    <t xml:space="preserve"> Republic of the Philippines Danao City BIDS AND AWARDS COMMITTEE 	 REQUEST FOR QUOTATION The Local Government of Danao City, through the CDRRMO intends to apply the sum of Php75,000.00 being the Approved Budget for the Contract (ABC) to payments under the</t>
  </si>
  <si>
    <t xml:space="preserve"> INVITATION TO BID FOR THE REHABILITATION OF WATER SUPPLY SYSTEM LUMBANG WESTE, CAJIDIOCAN, ROMBLON 1.	The Municipal Government of Cajidiocan, Romblon through the 20% MDF CY-2019 intends to apply the sum of FIVE HUNDRED NINETY-NINE THOUSAND, NINE HUNDRED N</t>
  </si>
  <si>
    <t xml:space="preserve"> This project has the following terms and specifications: 3 seal with hole maximum of 4-5 color print for dehydrated mango size: 5 x 9 inch (WxH) capacity: 100g Please submit your quotation until June 17, 2020 at WPU-Procurement Office, San Juan, Aborlan, </t>
  </si>
  <si>
    <t xml:space="preserve"> Republic of the Philippines Danao City BIDS AND AWARDS COMMITTEE 	 REQUEST FOR QUOTATION The Local Government of Danao City, through the CDRRMO intends to apply the sum of Php86,250.00 being the Approved Budget for the Contract (ABC) to payments under the</t>
  </si>
  <si>
    <t xml:space="preserve"> Republic of the Philippines Province of Palawan Municipality of Narra INVITATION TO BID 1.	The Municipal Government of Narra, through Bids and Awards Committee intends to apply the sum of TWO HUNDRED SIXTEEN THOUSAND SIX HUNDRED NINETY-NINE PESOS (PHP 216</t>
  </si>
  <si>
    <t xml:space="preserve"> Republic of the Philippines Province of Palawan Municipality of Narra INVITATION TO BID 1.	The Municipal Government of Narra, through Bids and Awards Committee intends to apply the sum of TWO HUNDRED FIFTEEN THOUSAND NINE HUNDRED FIFTEEN PESOS (PHP 215,91</t>
  </si>
  <si>
    <t xml:space="preserve"> Republic of the Philippines Province of Palawan Municipality of Narra INVITATION TO BID 1.	The Municipal Government of Narra, through Bids and Awards Committee intends to apply the sum of TWO HUNDRED FORTY-THOUSAND SIX HUNDRED FORTY-FIVE PESOS AND 45/100 </t>
  </si>
  <si>
    <t xml:space="preserve"> INVITATION TO BID FOR THE CONSTRUCTION OF FMR-ILAYA MARIGONDON, CAJIDIOCAN, ROMBLON 1.	The Municipal Government of Cajidiocan, Romblon through the 20% MDF CY-2019 intends to apply the sum of SIX HUNDRED NINETY-NINE THOUSAND, NINE HUNDRED NINETY FIVE PESOS</t>
  </si>
  <si>
    <t xml:space="preserve"> Republic of the Philippines Danao City BIDS AND AWARDS COMMITTEE 	 REQUEST FOR QUOTATION The Local Government of Danao City, through the BFP-Danao City intends to apply the sum of Php75,000.00 being the Approved Budget for the Contract (ABC) to payments u</t>
  </si>
  <si>
    <t xml:space="preserve"> INVITATION TO BID FOR THE REHABILITATION OF CAMBICANG MULTI-PURPOSE HALL, MARIGONDON, CAJIDIOCAN, ROMBLON 1.	The Municipal Government of Cajidiocan, Romblon through the 20% MDF CY-2019 intends to apply the sum of FOUR HUNDRED NINETY-NINE THOUSAND, NINE HU</t>
  </si>
  <si>
    <t xml:space="preserve"> Republic of the Philippines Province of Palawan Municipality of Narra INVITATION TO BID 1.	The Municipal Government of Narra, through Bids and Awards Committee intends to apply the sum of FIVE HUDRED FORTY-EIGHT THOUSAND EIGHT HUNDRED FIFTY-TWO PESOS AND </t>
  </si>
  <si>
    <t xml:space="preserve"> Please see associated document. Please submit your quotation until June 18, 2020 at WPU-Procurement Office, San Juan, Aborlan, Palawan or email to us at wpu.proc@gmail.com</t>
  </si>
  <si>
    <t xml:space="preserve"> INVITATION TO BID 1. The University of the Philippines Manila through its Bids and Awards Committee I (BAC 1), invites suppliers/manufacturers/distributors/contractors to apply for eligibility and to bid for the hereunder project: Name of Project :  COMPR</t>
  </si>
  <si>
    <t xml:space="preserve"> INVITATION TO BID FOR THE SUPPLY OF GASOLINE AND DIESEL THROUGH FLEET CARD TECHNOLOGY SYSTEM FOR TWO (2) YEARS UNDER ITB NO. PB20-01-015CORA-06 (REBIDDING) The Philippine Amusement and Gaming Corporation (PAGCOR) is inviting all interested bidders in its </t>
  </si>
  <si>
    <t xml:space="preserve"> Republic of the Philippines Danao City BIDS AND AWARDS COMMITTEE 	 REQUEST FOR QUOTATION The Local Government of Danao City, through the City Agriculture Services Office intends to apply the sum of Php687,500.00 being the Approved Budget for the Contract </t>
  </si>
  <si>
    <t xml:space="preserve"> Republic of the Philippines Danao City BIDS AND AWARDS COMMITTEE 	 REQUEST FOR QUOTATION The Local Government of Danao City, through the City Admin./Waterworks Division intends to apply the sum of Php247,334.00 being the Approved Budget for the Contract (</t>
  </si>
  <si>
    <t xml:space="preserve"> Republic of the Philippines Danao City BIDS AND AWARDS COMMITTEE 	 REQUEST FOR QUOTATION The Local Government of Danao City, through the City Engineering Office intends to apply the sum of Php198,423.50 being the Approved Budget for the Contract (ABC) to </t>
  </si>
  <si>
    <t xml:space="preserve"> Republic of the Philippines Danao City BIDS AND AWARDS COMMITTEE 	 REQUEST FOR QUOTATION The Local Government of Danao City, through the CDRRMO intends to apply the sum of Php116,820.00 being the Approved Budget for the Contract (ABC) to payments under th</t>
  </si>
  <si>
    <t xml:space="preserve"> INVITATION TO BID FOR THE IMPROVEMENT OF MULTI-PURPOSE HALL PHASE II- MUNICIPAL BUILDING, POBLACION, CAJIDIOCAN, ROMBLON 1.	The Municipal Government of Cajidiocan, Romblon through the 20% MDF CY-2019 intends to apply the sum of FOUR HUNDRED NINETY-NINE TH</t>
  </si>
  <si>
    <t xml:space="preserve"> Republic of the Philippines Danao City BIDS AND AWARDS COMMITTEE 	 REQUEST FOR QUOTATION The Local Government of Danao City, through the CDRRMO intends to apply the sum of Php57,600.00 being the Approved Budget for the Contract (ABC) to payments under the</t>
  </si>
  <si>
    <t xml:space="preserve"> Supply &amp; Delivery of Materials ABC:884,533.12 468 bot      ALCOHOL, 68-72% ethyl, 500 ml.  305 pc      BALLPEN, ordinary Black  255 pc       BALLPEN, ordinary Blue  1  tube       BALLPEN, Blue ink, retractable, 50 pcs/tube  1 tube	      BALLPEN, Black ink</t>
  </si>
  <si>
    <t xml:space="preserve"> INVITATION TO BID FOR THE CONSTRUCTION OF FMR- SITIO SAED, TAGUILOS, CAJIDIOCAN, ROMBLON 1.	The Municipal Government of Cajidiocan, Romblon through the 20% MDF CY-2019 intends to apply the sum of SEVEN HUNDRED NINETY-NINE THOUSAND, NINE HUNDRED NINETY SIX</t>
  </si>
  <si>
    <t xml:space="preserve"> Labor and Materials :    - For the repair and Installation of  Built In Cabinet at LEIPO Office, SecondFloor Left Wing,           New City Hall, AVL St., Zone 12A, Talisay City</t>
  </si>
  <si>
    <t xml:space="preserve"> The Power Sector Assets and Liabilities Management (PSALM) Corporation is procuring the services of qualified service providers to undertake Sampling and Analysis of Transformer Oil from Five (5) units of Unserviceable Transformers stored at Ligao Stockya</t>
  </si>
  <si>
    <t xml:space="preserve"> Republic of the Philippines Danao City BIDS AND AWARDS COMMITTEE 	 REQUEST FOR QUOTATION The Local Government of Danao City, through the City Admin./Waterworks Division intends to apply the sum of Php70,830.00 being the Approved Budget for the Contract (A</t>
  </si>
  <si>
    <t xml:space="preserve"> Republic of the Philippines Danao City BIDS AND AWARDS COMMITTEE 	 REQUEST FOR QUOTATION The Local Government of Danao City, through the City Health Services Office intends to apply the sum of Php390,000.00 being the Approved Budget for the Contract (ABC)</t>
  </si>
  <si>
    <t xml:space="preserve"> QTY	UNIT	ARTICLE / DESCRIPTION						 								 								 25	pk	18mm Screw Cap, 100pcs/pck						 		 Silver color open top metal cap, magnetic						 		 with 17.5mm blue PTFE / White Silicon Septa						 		 for 20ml headspace Vial Submit the following: (soft or</t>
  </si>
  <si>
    <t xml:space="preserve"> Republic of the Philippines Danao City BIDS AND AWARDS COMMITTEE 	 REQUEST FOR QUOTATION The Local Government of Danao City, through the City Admin./Waterworks Division intends to apply the sum of Php75,000.00 being the Approved Budget for the Contract (A</t>
  </si>
  <si>
    <t xml:space="preserve"> Republic of the Philippines Danao City BIDS AND AWARDS COMMITTEE 	 REQUEST FOR QUOTATION The Local Government of Danao City, through the City Agriculture Services Office intends to apply the sum of Php75,000.00 being the Approved Budget for the Contract (</t>
  </si>
  <si>
    <t xml:space="preserve"> Republic of the Philippines Danao City BIDS AND AWARDS COMMITTEE 	 REQUEST FOR QUOTATION The Local Government of Danao City, through the City Admin./Waterworks Division intends to apply the sum of Php77,400.00 being the Approved Budget for the Contract (A</t>
  </si>
  <si>
    <t xml:space="preserve"> Republic of the Philippines PROVINCE OF NUEVA VIZCAYA Munici pality of Aritao BIDS AND AWARDS COMMITTEE               INVITATION TO BID FOR  FURNISHING/DELIVERY OF FUEL, OIL &amp; LUBRICANTS 1.	The Municipality of Aritao, through its 2020 General Fund intends</t>
  </si>
  <si>
    <t xml:space="preserve"> Republic of the Philippines Danao City BIDS AND AWARDS COMMITTEE 	 REQUEST FOR QUOTATION The Local Government of Danao City, through the CDRRMO intends to apply the sum of Php63,000.00 being the Approved Budget for the Contract (ABC) to payments under the</t>
  </si>
  <si>
    <t xml:space="preserve"> Solicitation No:20GPF0011 Contract Name: Supply and delivery of Thermoplastic Paints and mixtures for repair and maintenance of Reflective Thermoplastic Pavement Markings along National Road by the Maintenance Section within DPWH-Benguet Second District E</t>
  </si>
  <si>
    <t xml:space="preserve"> Republic of the Philippines  Barangay 373, Zone 38, District III, Manila Bids and Awards Committee INVITATION TO BID Barangay 373, Zone 38, District III, Manila through its Bids and Awards Committee (BAC), Invites all Suppliers Contractors to bid the here</t>
  </si>
  <si>
    <t xml:space="preserve"> Republic of the Philippines Danao City BIDS AND AWARDS COMMITTEE 	 REQUEST FOR QUOTATION The Local Government of Danao City, through the City Admin./Waterworks Division intends to apply the sum of Php63,640.00 being the Approved Budget for the Contract (A</t>
  </si>
  <si>
    <t xml:space="preserve"> Republic of the Philippines Danao City BIDS AND AWARDS COMMITTEE 	 REQUEST FOR QUOTATION The Local Government of Danao City, through the 20% EDF Current Appropriation intends to apply the sum of Php307,565.00 being the Approved Budget for the Contract (AB</t>
  </si>
  <si>
    <t xml:space="preserve"> INVITATION TO BID FOR PURCHASE OF OFFICE SUPPLIES LGU, CAJIDIOCAN, ROMBLON 1.	The Municipal Government of Cajidiocan, Romblon intends to apply the sum of ONE MILLION, NINETY-FIVE THOUSAND, FOUR HUNDRED SEVENTY SIX PESOS and 00/100 (P 1,095,476.00) being t</t>
  </si>
  <si>
    <t xml:space="preserve"> Procurement of Automatic Traffic Classifier Please see attached Associated Component for the Request for Quotation (RFQ) Form.</t>
  </si>
  <si>
    <t xml:space="preserve"> Republic of the Philippines Department of Public Works and Highways OFFICE OF THE DISTRICT ENGINEER 		Camarines Sur 4th  District Engineering Office (Formerly: Camarines Sur 3rd DEO) REGION V Caraycayon, Tigaon, Camarines Sur Tel #(054) 881-0107 INVITATIO</t>
  </si>
  <si>
    <t xml:space="preserve"> See attached necessary document.</t>
  </si>
  <si>
    <t xml:space="preserve"> Republic of the Philippines Central Visayas Region Province of Negros Oriental MUNICIPALITY OF SANTA CATALINA Bids and Awards Committee ITB NO.: 2020-06-02-012 INVITATION TO BID FOR THE SUPPLY AND DELIVERY OF COMPUTER EQUIPMENT 1.	The Municipality of Sant</t>
  </si>
  <si>
    <t xml:space="preserve"> PLEASE SEE THE ATTACHED FILE.</t>
  </si>
  <si>
    <t xml:space="preserve"> 10		bag	Cement 1		cu m	Sand  1		cu m	Gravel 5		pcs	2x3x12 Coco Lumber 5		pcs	GI Pipe 2Ø S-40 10		pcs	RSB 10mm 15		pcs	RSB 9mm 9		pcs	MS Plate 8x8x1/4 36		pcs	M Bolt ½x7 2		kls	Tie Wire 2		pcs	Plywood 9		pcs	Insulator 1		pc	Eletrical Tape  9		pcs	LED Flood</t>
  </si>
  <si>
    <t xml:space="preserve"> Invitation to Bid for SUPPLY AND DELIVERY OF DISASTER EQUIPMENT The Municipal Government of Looc, Romblon, through the AO NO 018-2019 Regular intends to apply the sum of Two Hundred Fifty-Five Thousand Seven Hundred Eighty Pesos &amp; 07/100 Only (P 255,780.0</t>
  </si>
  <si>
    <t xml:space="preserve"> Republic of the Philippines Central Visayas Region Province of Negros Oriental MUNICIPALITY OF SANTA CATALINA Bids and Awards Committee ITB NO.: 2020-06-02-013 INVITATION TO BID FOR THE SUPPLY AND DELIVERY OF TIRES 1.	The Municipality of Santa Catalina, N</t>
  </si>
  <si>
    <t xml:space="preserve"> QTY	UNIT	ARTICLE / DESCRIPTION						 								 								 		Hepa Filter, ACFHEPA						 		For Airclean PCR Workstation						 		099.997% efficient at 0.3 microns						 								 		Size:						 1	unit	305 x 610 x 76mm						 2	unit	305 x 457 x 76mm Submit the foll</t>
  </si>
  <si>
    <t xml:space="preserve"> Republic of the Philippines PROVINCE OF NUEVA VIZCAYA Munici pality of Aritao BIDS AND AWARDS COMMITTEE               INVITATION TO BID FOR  PURCHASE/DELIVERY OF PLASTIC DENSIFIER/MELTER MACHINE FOR RESIDUAL WASTES 1.	The Municipality of Aritao, through i</t>
  </si>
  <si>
    <t xml:space="preserve"> 1. The ENERGY REGULATORY COMMISSION (ERC), through the Government of the Philippines (GOP), intends to apply the sum of One Million Nine Hundred Sixteen Thousand Pesos (P1,916,000.00.), inclusive of all government taxes, and other fees and charges being t</t>
  </si>
  <si>
    <t xml:space="preserve"> 1.	The Bangko Sentral ng Pilipinas (BSP), through its Bids and Awards Committee –Information Technology, Infrastructure and Other Related Components (BAC-ITIO), invites bidders to apply for eligibility and to bid for the hereunder requirement: Name of Req</t>
  </si>
  <si>
    <t xml:space="preserve"> Invitation to Bid for SUPPLY AND DELIVERY OF OFFICE EQUIPMENT  FOR MDRRM OFFICE The Municipal Government of Looc, Romblon, through the AO NO 021-2020 Supplemental Appropriation intends to apply the sum of Two Hundred Twenty-Three Thousand Pesos Only (P 22</t>
  </si>
  <si>
    <t xml:space="preserve"> 1. The ENERGY REGULATORY COMMISSION (ERC), through the Government of the Philippines (GOP), intends to apply the sum of Six Million Five Hundred Seventy-Two Thousand Five Hundred Pesos (PhP6,572,500.00) inclusive of all government taxes and other fees and</t>
  </si>
  <si>
    <t xml:space="preserve"> SUPPLY AND DELIVERY OF CONSTRUCTION MATERIALS</t>
  </si>
  <si>
    <t xml:space="preserve"> Republic of the Philippines PROVINCE OF NUEVA VIZCAYA Munici pality of Aritao BIDS AND AWARDS COMMITTEE               INVITATION TO BID FOR  FURNISHING/DELIVERY OF ASSORTED MEDICINES AND SUPPLIES 1.	The Municipality of Aritao, through its 2020 General Fun</t>
  </si>
  <si>
    <t xml:space="preserve"> Republic of the Philippines Central Visayas Region Province of Negros Oriental MUNICIPALITY OF SANTA CATALINA Bids and Awards Committee ITB NO.: 2020-06-02-014 INVITATION TO BID FOR THE SUPPLY AND DELIVERY OF MEDICAL EQUIPMENT 1.	The Municipality of Santa</t>
  </si>
  <si>
    <t xml:space="preserve"> 130		Pcs	Floor Tiles 60x60 4		Cu m	Sand 35		Bags	Cement 8		Bags	Adhesive 3		Bags	Grout 3		Bags	Twine 2		Roll	THHN Wire #12 2		Pcs	Moldflex 1/2 12		Pcs	Utility Box 6		Pcs	Plate 2 gang 6		pcs	Switch 12		Pcs	Junction box 6		Pcs	Circuit Breaker, 30Amp. 1		Pc	</t>
  </si>
  <si>
    <t xml:space="preserve"> 4		pail	Flat Latex 2		pail	Gloss Latex 4		pail	Flat Enamel 2		pail	QDE Gloss 2		gal	Galzing Putty 4		qrt	Acry Color 6		gal	Roof Paint 6		pcs	Paint roller 4		Pcs	Paint Brush 4" 2		Pcs	Paint Brush 2" 120		pcs	Good Lumber 2x2x12 38		pcs	Marine Plywood  1/4 1</t>
  </si>
  <si>
    <t xml:space="preserve"> Republic of the Philippines BIDS AND AWARDS COMMITTEE Municipality of Bulusan Reference Number: PG-20-06-011 June 15, 2020 REQUEST FOR QUOTATION The Local Government of Bulusan, through its Bids and Awards Committee (BAC), requests suppliers/manufacturers</t>
  </si>
  <si>
    <t xml:space="preserve"> concreting of line canal at sitio Mataguissi Barangay Capalalian, Pamplona, Cagayan</t>
  </si>
  <si>
    <t xml:space="preserve"> 2		pcs	Flash Door 2		pcs	Door Jamb 4		box	Loose Pin Hinges 4'  2		pcs	Door Knob 3		pcs	Window Casement 120x150 3		pail	Flat latex 2		pail	Gloss Latex 3		quart	Acry color 6		gal.	Roof Paint 2		pcs	Paint Roller 4" 2		pcs	Paint Brush 4" 1		gal.	Concrete Neut</t>
  </si>
  <si>
    <t xml:space="preserve"> Republic of the Philippines Central Visayas Region Province of Negros Oriental MUNICIPALITY OF SANTA CATALINA Bids and Awards Committee 	ITB NO.: 2020-07-02-015 INVITATION TO BID FOR THE SUPPLY AND DELIVERY OF MOTORCYCLE VEHICLES 1.	The Municipality of Sa</t>
  </si>
  <si>
    <t xml:space="preserve"> Invitation to Bid for SUPPLY AND DELIVERY OF IT EQUIPMENT FOR RHU The Municipal Government of Looc, Romblon, through the AO NO 021-2020 Supplemental Appropriation intends to apply the sum of Seventy-Five Thousand Pesos Only (P 75,000.00) being the Approve</t>
  </si>
  <si>
    <t xml:space="preserve"> Republic of the Philippines Central Visayas Region Province of Negros Oriental MUNICIPALITY OF SANTA CATALINA Bids and Awards Committee ITB NO.: 2020-07-02-016 INVITATION TO BID FOR THE SUPPLY AND DELIVERY OF OFFICE EQUIPMENT 1.	The Municipality of Santa </t>
  </si>
  <si>
    <t xml:space="preserve"> The Cotabato Irrigation Management Office, through its Bids and Awards Committee (BAC), intends to procure  the Supply and Delivery of Spare Part for Hino Dump Truck  in accordance with Section 53.9 (Small Value Procurement) of the 2016 Revised Implementi</t>
  </si>
  <si>
    <t xml:space="preserve"> Invitation to Bid for  Rehabilitation and Improvement of Pagbennecan - Tallaoen Road, Luna, La Union 1.	The Provincial Government of La Union, through the RA7171 intends to apply the sum of ₱1,950,000.00 being the Approved Budget for the Contract (ABC) to</t>
  </si>
  <si>
    <t xml:space="preserve"> REPUBLIC OF THE PHILIPPINES																																							 Province of Davao del Sur																																							 MUNICIPALITY OF SANTA CRUZ																																							 -- oOo --																																							 								</t>
  </si>
  <si>
    <t xml:space="preserve"> Reconstruction of Frontline Offices (Registrar, School Health Facility and Principal's Office) for health precautionary measures</t>
  </si>
  <si>
    <t xml:space="preserve"> .13 mo. CS and HP 133.50 sq.m. clearing and grubbing 106.80 cu.m. excavation 189.13 cu.m. stone masonry</t>
  </si>
  <si>
    <t xml:space="preserve"> 1 month CS and HP 41 cu.m. excavation 67.61 cu.m. concrete class A 2753.47 kgs reinforcing steel 1 ls form works and false works 663.52 l.m. pre-painted rib type roof 900 sq.m. painting works (metal surfaces) 25,535.05 kgs structural steel (roof framing)</t>
  </si>
  <si>
    <t xml:space="preserve"> Invitation to Bid for SUPPLY AND DELIVERY OF MATERIALS FOR INSTALLATION  OF MUNICIPAL STREETLIGHTING SYSTEM The Municipal Government of Looc, Romblon, through the Appropriation Ordinance No. 018-2019 Regular intends to apply the sum of Four Hundred Fourte</t>
  </si>
  <si>
    <t xml:space="preserve"> See attached pertinent document.</t>
  </si>
  <si>
    <t xml:space="preserve"> Invitation to Bid for  Improvement of Barangay I Farm to Market Road, San Fernando City, La Union 1.	The Provincial Government of La Union, through the RA7171 intends to apply the sum of ₱1,950,000.00 being the Approved Budget for the Contract (ABC) to pa</t>
  </si>
  <si>
    <t xml:space="preserve"> Invitation to Bid for  Completion/Expansion of Vinegar Processing Center, Maragayap, Bacnotan, La Union 1.	The Provincial Government of La Union, through the RA7171 intends to apply the sum of ₱1,784,268.49 being the Approved Budget for the Contract (ABC)</t>
  </si>
  <si>
    <t xml:space="preserve"> Invitation to Bid for  Construction of Payocpoc Sur Slope Protection, Bauang, La Union 1.	The Provincial Government of La Union, through the RA7171 intends to apply the sum of ₱1,950,000.00 being the Approved Budget for the Contract (ABC) to payments unde</t>
  </si>
  <si>
    <t xml:space="preserve"> THE PROCURING ENTITY THROUGH ITS BIDS AND AWARDS COMMITTEE INVITES SUPPLIER TO QUOTE FOR THE HEREUNDER PROJECT/PROGRAM: ROAD REHABILITATION    ITEM    DESCRIPTION      ABC/UNIT	QTY  UNIT 1	   Various Construction Materials (Lumber):1 Lot. 	   45     pcs  </t>
  </si>
  <si>
    <t xml:space="preserve"> Invitation to Bid for  Construction of Ambaracao Farmers Multi-Purpose Center, Naguilian, La Union 1.	The Provincial Government of La Union, through the RA7171 intends to apply the sum of ₱2,925,000.00 being the Approved Budget for the Contract (ABC) to p</t>
  </si>
  <si>
    <t xml:space="preserve"> .40 mo. occupational safety and health prog 570 sq.m. scarifying of concrete pavement 114 cu.m. hauling of waste materials 760 sq.m. sub-grade preparation 76 cu.m. excavation 66.55 cu.m. aggregate base course 190 cu.m. stone masonry 760 sq.m. PCCP</t>
  </si>
  <si>
    <t xml:space="preserve"> UNIT          QTY. UNIT,          1 DESCRIPTION:  fx 4X2 2.4L   MANUAL TRANSMISSION  ENGINE/TRANSMISSION; MODEL:  2GD-FTV(LOW) TYPE: 2.4LDIESEL,  4-CYLINDER, 16-VALVE DOHC  VARIABLE NOZZLE TURBO WITH  FRONT MOUNTED INTERCOOLER  DISPLACEMENT CC: 2,393  MAX</t>
  </si>
  <si>
    <t xml:space="preserve"> Republic of the Philippines					 ISABELA STATE UNIVERSITY					 Roxas, Isabela	 				 CANVASS SHEET					 (Date)	 					 Name of Agency/ supplier							 Address		 			 Gentlemen:					 	Please quote your lowest price, tax included on the following item/s listed</t>
  </si>
  <si>
    <t xml:space="preserve"> Invitation to Bid for SUPPLY AND DELIVERY OF AIR CONDITIONER FOR SANGGUNIANG BAYAN OFFICE AND SESSION HALL The Municipal Government of Looc, Romblon, through the AO NO 021-2020 Supplemental Appropriation intends to apply the sum of One Hundred Fifty-Five </t>
  </si>
  <si>
    <t xml:space="preserve"> Republic of the Philippines Province of Surigao del Sur MUNICIPALITY OF CANTILAN REQUEST FOR QUOTATION The Local Government Unit of Cantilan, Surigao del Sur, through its Bids and Awards Committee (BAC), will undertake a Small Value Procurement for the Su</t>
  </si>
  <si>
    <t xml:space="preserve"> Installation of Water System of Capalalian Barangay Hall</t>
  </si>
  <si>
    <t xml:space="preserve"> 2028 bags 21-0-0 (ammonia)</t>
  </si>
  <si>
    <t xml:space="preserve"> 1 mo. CS and HP 101.17 sq.m. unglazed/glazed tiles (stainless letter) 58.76 sq.m. ceiling works 125.70 sq.m. structural steel (sidings cover and frame) 60 sq.m. painting works )metal surfaces/steel trusses)</t>
  </si>
  <si>
    <t xml:space="preserve"> For Toyota Hilux 				 -Roller-up				 -Car alarm &amp; key less entry(powerlock)				 -step board				 -roof rail and carrier				 -leather seat cover				 -rear bumper				 -magwheels and tires</t>
  </si>
  <si>
    <t xml:space="preserve"> The Cotabato Irrigation Management Office, through its Bids and Awards Committee (BAC), intends to procure  the Supply and Delivery of Spare Part for Mitsubishi Pajero Jeep    in accordance with Section 53.9 (Small Value Procurement) of the 2016 Revised I</t>
  </si>
  <si>
    <t xml:space="preserve"> Invitation to Bid for  Retrofitting/Strengthening of Bridge 1 and Bridge 4, Caba and Naguilian, La Union 1.	The Provincial Government of La Union, through the Development Fund intends to apply the sum of ₱20,000,000.00 being the Approved Budget for the Co</t>
  </si>
  <si>
    <t xml:space="preserve"> REQUEST FOR QUOTATION ______________________ 													Date        _______________________________     Name of Dealer        _______________________________ 	          Address GENTLEMEN: 		Please quote your lowest price and indicate shortest delivery d</t>
  </si>
  <si>
    <t xml:space="preserve"> Invitation to Bid for SUPPLY AND DELIVERY OF MATERIALS FOR REPAIR  OF AGRICULTURE OFFICE The Municipal Government of Looc, Romblon, through the AO NO 021-2020 Supplemental Appropriation intends to apply the sum of One Hundred Twenty-Two Thousand Two Hundr</t>
  </si>
  <si>
    <t xml:space="preserve"> 200 pieces Administration Set Adult/Macroset 500 pieces Soluset 700 pieces IV Cannula G18</t>
  </si>
  <si>
    <t xml:space="preserve"> Market-disinfectant</t>
  </si>
  <si>
    <t xml:space="preserve"> 1. Procurement ID/Contract ID:	SH-006-2020 Contract Name:	PROCUREMENT OF SPARE PARTS FOR USE OF MITSUBISHI STRADA PICK-UP WITH PLATE NUMBER 062008 ASSIGNED IN THE OFFICE OF THE ASSISTANT DISTRICT ENGINEER.	 Contract Location:	DPWH-CAPIZ 1ST DEO, KM. 1, RO</t>
  </si>
  <si>
    <t xml:space="preserve"> 2. Procurement ID/Contract ID:	RFQ-007-2020 Contract Name:	PROCUREMENT OF OFFICE SUPPLIES TO BE USED FOR DPWH, CAPIZ 1ST DEO COMPOUND. Contract Location:	DPWH-CAPIZ 1ST DEO, KM. 1, ROXAS CITY Brief Description:	PROCUREMENT OF UNIFORMS AND ACCESSORIES Appr</t>
  </si>
  <si>
    <t xml:space="preserve"> Please see attached Purchase Request</t>
  </si>
  <si>
    <t xml:space="preserve"> QTY	UNIT	ARTICLE / DESCRIPTION						 								 								 6	unit	Helium Gas Tank						 		Ultra high pure helium gas						 		Purity: 99.999%						 		Laboratory Grade						 		For Gas Chromatography Mass Spectrometry use						 		With Quality Certificate						 	</t>
  </si>
  <si>
    <t xml:space="preserve"> Republic of the Philippines Region XII Province of Cotabato BIDS AND AWARDS COMMITTEE Amas, Kidapawan City INVITATION TO BID FOR Supply &amp; Delivery of Forestry Seedlings for flood control and watershed protection on Ancestral Domain areas. (PB-20-296) 1.	T</t>
  </si>
  <si>
    <t xml:space="preserve"> Republic of the Philippines Region XII Province of Cotabato BIDS AND AWARDS COMMITTEE Amas, Kidapawan City INVITATION TO BID FOR Procurement of Food and Accommodation for the conduct of various training activities of PDRRMO - Cotabato Province. (PB-20-294</t>
  </si>
  <si>
    <t xml:space="preserve"> Republic of the Philippines Region XII Province of Cotabato BIDS AND AWARDS COMMITTEE Amas, Kidapawan City INVITATION TO BID FOR Supply &amp; Delivery of Vibrating Screen for Asphalt Plant, Pag-asa, Mlang, Cotabato. (PB-20-320) 1.	The Provincial Government of</t>
  </si>
  <si>
    <t xml:space="preserve"> Republic of the Philippines Region XII Province of Cotabato BIDS AND AWARDS COMMITTEE Amas, Kidapawan City INVITATION TO BID FOR Supply &amp; Delivery of Electrical Supplies for Asphalt Plant, Pag-asa, Mlang, Cotabato. (PB-20-319) 1.	The Provincial Government</t>
  </si>
  <si>
    <t xml:space="preserve"> Republic of the Philippines Region XII Province of Cotabato BIDS AND AWARDS COMMITTEE Amas, Kidapawan City INVITATION TO BID FOR Supply &amp; Delivery of Automotive Parts and Supplies for Motorpool shop of Provincial Engineer’s Office, Amas, Kidapawan City. (</t>
  </si>
  <si>
    <t xml:space="preserve"> Construction, Installation and painting of teachers cubicle.</t>
  </si>
  <si>
    <t xml:space="preserve"> Republic of the Philippines Region XII Province of Cotabato BIDS AND AWARDS COMMITTEE Amas, Kidapawan City INVITATION TO BID FOR Supply &amp; Delivery of Drone for Provincial Engineer’s Office, Amas, Kidapawan City. (PB-20-317) 1.	The Provincial Government of</t>
  </si>
  <si>
    <t xml:space="preserve"> Please quote using the attached RFQ form with your lowest possible price and email at IleenVista@dti.gov.ph not later than June 18, 2020, 10:00 AM.   For those who have not yet submitted their SUPPLIERS’ ACCREDITATION REQUIREMENTS, please attach photocopi</t>
  </si>
  <si>
    <t xml:space="preserve"> Republic of the Philippines Region XII Province of Cotabato BIDS AND AWARDS COMMITTEE Amas, Kidapawan City INVITATION TO BID FOR Supply &amp; Delivery of Emergency Go Bag to be given to high-risk learners in the province. (PB-20-295) 1.	The Provincial Governm</t>
  </si>
  <si>
    <t xml:space="preserve"> Republic of the Philippines Region XII Province of Cotabato BIDS AND AWARDS COMMITTEE Amas, Kidapawan City INVITATION TO BID FOR Supply &amp; Delivery of Basketball Boards with Ring to be given to various barangay recipients in the Province of Cotabato. (PB-2</t>
  </si>
  <si>
    <t xml:space="preserve"> 1. Procurement ID/Contract ID:	RFQ-006-2020 Contract Name:	PROCUREMENT OF MATERIALS FOR USE IN THE REPAINTING OF EDGELINE, CENTERLINE, BROKEN LINES, AND PEDESTRIAN LANES IN CONNECTION WITH THE REPAIR/MAINTENANCE OF NATIONAL ROADS AND BRIDGES (DISTRICTWIDE</t>
  </si>
  <si>
    <t xml:space="preserve"> Republic of the Philippines Region XII Province of Cotabato BIDS AND AWARDS COMMITTEE Amas, Kidapawan City INVITATION TO BID FOR Supply &amp; Delivery of Hardware Supplies for distribution to different barangay/recipients of the Province of Cotabato. (PB-20-3</t>
  </si>
  <si>
    <t xml:space="preserve"> Construction Projects</t>
  </si>
  <si>
    <t xml:space="preserve"> Republic of the Philippines Region XII Province of Cotabato BIDS AND AWARDS COMMITTEE Amas, Kidapawan City INVITATION TO BID FOR Supply &amp; Delivery of Hardware Supplies to be given to various clients in municipalities of Matalam, Carmen, Kabacan &amp; Mlang, P</t>
  </si>
  <si>
    <t xml:space="preserve"> INVITATION TO BID For The  SCHOOL EQUIPMENT  Public Bidding No. 015-SHS-2020 Funding Source: Government of the Philippines Through General Appropriations Act (GAA)  FY 2020. The procurement service invites PhilGEPS registered suppliers to bid for the Scho</t>
  </si>
  <si>
    <t xml:space="preserve"> Republic of the Philippines Region XII Province of Cotabato BIDS AND AWARDS COMMITTEE Amas, Kidapawan City INVITATION TO BID FOR Supply &amp; Delivery of Hardware Supplies to be given to various clients in Aleosan and Pikit, Province of Cotabato. (PB-20-323) </t>
  </si>
  <si>
    <t xml:space="preserve"> OFFICE OF THE BIDS AND AWARDS COMMITTEE (BAC) INVITATION TO BID FOR: 20-06-446 Consolidated Meals and Snacks of the Different Offices of LGU Alamada 3rd Quarter 2020 1.	The Local Government Unit of Alamada, through the MOOE 2020  intends to apply the sum </t>
  </si>
  <si>
    <t xml:space="preserve"> Palay Seeds: (Certified) 40kg/bag Seeds: (Registered) 20kg/bag</t>
  </si>
  <si>
    <t xml:space="preserve"> Republic of the Philippines DEPARTMENT OF PUBLIC WORKS AND HIGHWAYS QUIRINO DISTRICT ENGINEERING OFFICE REGIONAL OFFICE II Cabarroguis, Quirino Procuring Entity	:	DPWH - QDEO	P.R. No.	:	2020-06-072 Revised on	:		Date	:	06/04/2020 Standard Form/Title	:	REQ</t>
  </si>
  <si>
    <t xml:space="preserve"> Please see attached ITB. ABC: 298,440.00</t>
  </si>
  <si>
    <t xml:space="preserve"> INVITATION TO BID For The  SCHOOL EQUIPMENT  Public Bidding No. 013-SHS-2020 Funding Source: Government of the Philippines Through General Appropriations Act (GAA)  FY 2020. The procurement service invites PhilGEPS registered suppliers to bid for the Scho</t>
  </si>
  <si>
    <t xml:space="preserve"> Polycarbonate Roof: Transparent 12ft Chlorine Granules: 50kg Powder Soap: 10kg Formaldehyde: - Steel Wall: - Flexible Hose: 1/2 PVC Tee: 1.5" Alcohol: 70% 500 ml Plankton net: 46 microns Air Stone: - Spatula: 6" Foot Brush: -</t>
  </si>
  <si>
    <t xml:space="preserve"> Republic of the Philippines DEPARTMENT OF PUBLIC WORKS AND HIGHWAYS QUIRINO DISTRICT ENGINEERING OFFICE REGIONAL OFFICE II Cabarroguis, Quirino Procuring Entity	:	DPWH - QDEO	P.R. No.	:	2020-06-069 &amp; 2020-06-074 Revised on	:		Date	:	06/04/2020 &amp; 06/09/202</t>
  </si>
  <si>
    <t xml:space="preserve"> INVITATION TO BID For The  SCHOOL SUPPLIES  Public Bidding No. 012-SHS-2020 Funding Source: Government of the Philippines Through General Appropriations Act (GAA)  FY 2020. The procurement service invites PhilGEPS registered suppliers to bid for the Schoo</t>
  </si>
  <si>
    <t xml:space="preserve"> 1	UTP Cable CAT-6 Outdoor	UTP Cable CAT-6 Outdoor	1	Box	3,000.00 2	Crimping Tools	Crimping Tools	1	Piece	2,500.00 3	RJ45	RJ45 (Pass through hole design, Metal Shielded)	200	Piece	3,000.00 4	Gigabit Wi-Fi Router AC1900	Gigabit Wi-Fi Router AC1900 Max Strea</t>
  </si>
  <si>
    <t xml:space="preserve"> Air Compressor: HD Coffee Brewer: 15Liters Capacity Coffee Maker: (Commercial Coffee Maker); Dimension: 12.5"x13.25"x16"  2000ml 250g Commercial Juice Dispenser Machine: Dimension: 320x445x680mm; Net  Weight: 20kg Double Jacketed Kettle: /Machine, 300L Ge</t>
  </si>
  <si>
    <t xml:space="preserve"> 1	unit	Laptop 		- Intel core I7 9300H 4.0GHz 		- 16 GB DDR4 RAM 		- 256 GB SSD + 1TB HDD 		- Windows 10 Home OS 		- NVIDIA GTX 1650 (4GB GDDRS)</t>
  </si>
  <si>
    <t xml:space="preserve"> 2,085.76    LITERS   DIESEL</t>
  </si>
  <si>
    <t xml:space="preserve"> Department of Agriculture BUREAU OF PLANT INDUSTRY  Baguio National Crop Research, Development and Production Support Center Division BPI-Compound , Guisad, Baguio City Tel. No. (074)445-9084-85 ____________________________________________________________</t>
  </si>
  <si>
    <t xml:space="preserve"> 1.	The Bureau of Jail Management and Penology Regional Office CALABARZON (BJMPRO-CALABARZON) through the GAA2020   intends to apply the sum of Five  Million Five Hundred Thirty-Five Thousand Nine Hundred Pesos (Php 5,535,900.00) being the Approved Budget </t>
  </si>
  <si>
    <t xml:space="preserve"> Republic of the Philippines Department of Health CENTRAL OFFICE BIDS AND AWARDS COMMITTEE 11 June 2020 REQUEST FOR QUOTATION PROCUREMENT OF VARIOUS ICT RFQ No. 2020-003 1.	The Department of Health (DOH), hereinafter referred to as “the Purchaser”, has a r</t>
  </si>
  <si>
    <t xml:space="preserve"> INVITATION TO BID  ACQUISITION OF FORENSIC TOOLS AND EQUIPMENT  FOR CYBERCRIME DIVISION (CCD)  ____________ (ITB No. 2020-06-0001) 1.	The National Bureau of Investigation (NBI), through the Trust Account - PAGCOR Fund intends to apply the sum of Three Mil</t>
  </si>
  <si>
    <t xml:space="preserve"> INVITATION TO BID For The  SCHOOL EQUIPMENT  Public Bidding No. 014-SHS-2020 Funding Source: Government of the Philippines Through General Appropriations Act (GAA)  FY 2020. The procurement service invites PhilGEPS registered suppliers to bid for the Scho</t>
  </si>
  <si>
    <t xml:space="preserve"> SectionI. Invitation to Bid Republic of the Philippines Province of Surigao del Sur Municipality of San Miguel BARANGAY POBLACION Invitation to Bid for the Supply and Delivery of DIESEL FUEL AND OIL LUBRICANTS FOR GRAVELLING OF FARM TO MARKET ROAD - PUROK</t>
  </si>
  <si>
    <t xml:space="preserve"> Quantity		Unit Issue			Item Description 44			bags				cement 21			cubic				Screen Sand 12			length			C-Purlins 2x3x6 4			length			PE Pipe #4 20			sheet			Corrugated  GI Sheet 4x6 G24 4			kilo				Welding Rod (Special)	 2			length			Angular bar #1 4 			sheet</t>
  </si>
  <si>
    <t xml:space="preserve"> Agricultural Training Institute Regional Training Center, MiMaRoPa (ATI-RTC-MiMaRoPa) invites interested bidders/suppliers to submit quotation/proposals for the here under requirement: ATI-RTC MIMAROPA FY 2020 Midyear and Planning Workshop ATI-RTC-MIMAROP</t>
  </si>
  <si>
    <t xml:space="preserve"> I. EXCAVATION AND DISPOSAL: A. LABOR: 1 Foreman 6 Laborers B. EQUIPMENT: 1 Unit Jackhammer Direct Cost 15% O. C. M. 10% Profit 5% V.A.T II. CONCRETE WORKS: Canal Dimension: L= 60m  W=0.4m  H=0.2m A. MATERIALS: 120 bags Portland Cement 8 cu.m. White Sand 1</t>
  </si>
  <si>
    <t xml:space="preserve"> SUPPLIES AND DELIVERY OF DRUGS AND MEDICINE AND VITAMINS FOR THE USED OF BARANGAY SAGAD</t>
  </si>
  <si>
    <t xml:space="preserve"> PURCHASE OF SCHOOL SUPPLIES Php 48,300.00</t>
  </si>
  <si>
    <t xml:space="preserve"> SUPPLIES AND DELIVERY OF OFFICE SUPPLIES FOR THE USED OF BARANGAY SAGAD</t>
  </si>
  <si>
    <t xml:space="preserve"> PURCHASE OF MEDICAL AND DENTAL SUPPLIES Php 3,780.00</t>
  </si>
  <si>
    <t xml:space="preserve"> Installation of 1 unit single piston at least 24HP diesel engine 2,400RPM, input capacity approximate 6 to 8sack/hour at 50kg per sack, all steel heavy duty framing, with a feeder and return elevator with auto overload by pass, with cyclone dust/bran cole</t>
  </si>
  <si>
    <t xml:space="preserve"> 1. The Total Approved Budget for the Contract (ABC) is Seven Hundred Fifty Thousand Pesos (Php 750,000.00). 2. Price quotation/s should be inclusive of tax obligations. 3. Evaluation of bids will be conducted either on a “per item” or “lot” basis. 4. Deli</t>
  </si>
  <si>
    <t xml:space="preserve"> Purchase of School Purchase materials Php 2,000.00</t>
  </si>
  <si>
    <t xml:space="preserve"> Lot No.  Unit Item  Description/Particular   Quantity             No. Of Pax                  Unit Cost      Total Cost Lot No. 1 PSA-RSSO IX - Zamboanga City-Procurement                      Live-in participants-    2,500/pax    Php 645,000.00 of Caterin</t>
  </si>
  <si>
    <t xml:space="preserve"> PURCHASE OF SCHOOL GARDEN TOOLS AND OTHER MATERIALS Php 8,000.00 INCLUDES HAULING AND DELIVERY.</t>
  </si>
  <si>
    <t xml:space="preserve"> Republic of the Philippines DEPARTMENT OF PUBLIC WORKS AND HIGHWAYS  OFFICE OF THE DISTRICT ENGINEER Cavite 1 st  District Engineering Office   Brgy. De Ocampo, Trece Martires City    INVITATION TO BID    The Department of Public Works and Highways (DPWH)</t>
  </si>
  <si>
    <t xml:space="preserve"> Purchase of School Forms and School ID's amounting Php 12,000.00</t>
  </si>
  <si>
    <t xml:space="preserve"> PURCHASE OF OFFICE SUPPLIES INCLUDES PRINTER Php 26,000.00 INCLUDES DELIVERY AND HAULING</t>
  </si>
  <si>
    <t xml:space="preserve"> Anti-flu vaccines @ least 6 months or more validity before expiry date (Quadrivalent Seasonal Flu/Influenza) 0.5 ml pre-filled syringe</t>
  </si>
  <si>
    <t xml:space="preserve"> Agusan National High School with its Bids nd Awards Commiittee (BAC) would like to request for RFQ for the Supply and Delivery of Covid-Response items/ Item	Quantity	Unit	Name of Article(s) &amp; Descriptions	Unit Price	Total	Remarks 1              	4	unit	Th</t>
  </si>
  <si>
    <t xml:space="preserve"> REHABILITATION OF SIXTEEN (16) UNITS CCTV CAMERAS AND REPLACEMENT OF VARIOUS MATERIALS AT BRGY. STA. ELENA, SAN PABLO CITY</t>
  </si>
  <si>
    <t xml:space="preserve"> The Barangay Government of Concepcion Pequeña, Naga City intends to apply for the sum of Five Hundred Twenty Thousand Three Hundred Pesos (Php 520,300.00) to payments under the contract for the proposed Drainage at Zone 2, Happy Homes to Outfall, Concepci</t>
  </si>
  <si>
    <t xml:space="preserve"> Item No. 	Description	UWM	QUANTITY	Unit Price (PhP)	Total Price (PhP) 1	Battery,Motolite,3SM	set	1		 2	Brake Fluid	liter	1		 3	Fuel Filter	pcs.	1		 4	Oil Filter	pcs.	1		 5	Synthetic Oil	liter	7		 6	Headlight bulb	pcs.	2		 7	wiper Blade	set 	1		 8	Air clea</t>
  </si>
  <si>
    <t xml:space="preserve"> The Barangay Government of Concepcion Pequeña, Naga City intends to apply for the sum of Two Hundred Ninety Seven Thousand One Hundred Pesos (Php 297,100.00) to payments under the contract for the proposed Drainage at Zone 2, Canuto Village, Concepcion Pe</t>
  </si>
  <si>
    <t xml:space="preserve"> Republic of the Philippines Province of Ilocos Sur Municipality of San Juan Barangay Lira OFFICE OF THE BIDS AND AWARDS COMMITTEE INVITATION TO APPLY FOR ELIGIBILITY AND TO BID The Barangay Lira,San Juan,Ilocos Sur through the Bids and Awards Committee(BA</t>
  </si>
  <si>
    <t xml:space="preserve"> Office aircon 1HP window type   (2 units)</t>
  </si>
  <si>
    <t xml:space="preserve"> TITLE: SUPPLY AND INSTALLATION OF AIRCON 2.5HP INVERTER SPLIT TYPE  ABC: PHP116,000.00 SOURCE OF FUNDS: BRGY. IRA FUND SUPPLY AND INSTALLATION OF 2 UNITS AIRCON 2.5HP INVERTER SPLIT TYPE                                               x-x-x-x-x-x</t>
  </si>
  <si>
    <t xml:space="preserve"> REHABILITATION OF BASKETBALL COURT</t>
  </si>
  <si>
    <t xml:space="preserve"> Sign pen 0.3 black	pc	200 Correction pen 12mL	pc	200 Flash drive 8GB	pc	200 Ballpen black	pc	200 Ballpen red	pc	100 Epson Inkbottle C13T664100 Black	Bottle	5 Epson Inkbottle C13T664200 Cyan	Bottle	5 Epson Inkbottle C13T664300 Magenta	Bottle	5 Epson Inkbot</t>
  </si>
  <si>
    <t xml:space="preserve"> Desktop Computer, Laptop Computer and Colored Printer</t>
  </si>
  <si>
    <t xml:space="preserve"> Republic of the Philippines Province of Ilocos Sur Municipality of San Juan Barangay Lira OFFICE OF THE BIDS AND AWARDS COMMITTEE INVITATION TO APPLY FOR ELIGIBILITY AND TO BID The Barangay Lira,San Juan,Ilocos Sur through the Bids and Awards Committee (B</t>
  </si>
  <si>
    <t xml:space="preserve"> Supplies and Materials for Barangay Traffic Enforcers</t>
  </si>
  <si>
    <t xml:space="preserve"> 2 unit CAMERA FILM X-A7 Mirrorless Camera with 15-45mm lens - BRAND NEW with ONE YEAR warranty. film introduces the X-A7, the latest addition to its X-series. This versatile mirrorless camera combines a stylish interior with stunning imaging.</t>
  </si>
  <si>
    <t xml:space="preserve"> 1   1 unit Computer Laptop Inter Core i7 8th gen or latest (2.30 GHz or higher) 8GB DDR4 RAM 1 TB HDD SATA 15.6" HD LED Display Intel HD Graphics Optical Disk Drive Pre-installed Windows 10 64-bit Operating System Free Mouse and Laptop Bag   2   2 unit Co</t>
  </si>
  <si>
    <t xml:space="preserve"> 1 unit ID Printer Colored</t>
  </si>
  <si>
    <t xml:space="preserve"> 15 gallons Chlorine Dioxide disinfectant 120 pieces Faceshield 100 cans Solbac Disinfectant spray 10 pieces Foot Mat Disinfectant 40 pieces Alcohol dispenser 2 rolls Plastic cover 30 pieces Plastic expanded envelope long with handle 50 reams Paper Multipu</t>
  </si>
  <si>
    <t xml:space="preserve"> Cooling fan with cold air release</t>
  </si>
  <si>
    <t xml:space="preserve"> 1 LOT Subscription to a Video Conferencing and Online Meeting Software  -In accordance with the Technical Specifications  ABC: Php 615,000.00  NOTE: Please sign all pages of the Technical Specifications and submit it together with your quotation in a SEAL</t>
  </si>
  <si>
    <t xml:space="preserve"> Republika ng Pilipinas					 Department of Education					 Region XI					 Davao City					 Request for Quotation					 				Date:	 				PR No.:	000094 	Please quote your lowest price on the item/s listed below, subject to the General Conditions on the last page</t>
  </si>
  <si>
    <t xml:space="preserve"> 1 1 kg. 4" CW Nails  2 1 kg. 2½" CW Nails  3 1 kg. 1½" CW Nails  4 2 shts. 5mm thk. x 1.20m x 2.40m Marine Plywood, Type II with PS Markings  5 440 pcs. 0.60mm thk x 30mm x 75mm x 3.0m Metal Studs  6 160 pcs. 0.40mm thk x 19mm x 50mm x 5.0m Metal Furring </t>
  </si>
  <si>
    <t xml:space="preserve"> Heavy duty mobile trash bins</t>
  </si>
  <si>
    <t xml:space="preserve"> Medical and Dental equipment</t>
  </si>
  <si>
    <t xml:space="preserve"> various</t>
  </si>
  <si>
    <t xml:space="preserve"> Motorcycle with sidecar and Single Motorcycle</t>
  </si>
  <si>
    <t xml:space="preserve"> 1   1 UNIT MEDICAL CHART RACK WITH WHEELS (2 TIER) 37H X 23W X 13D 2   2 UNIT MEDICAL CHART RACK WITH WHEELS (3 TIER) 37H X 33W X 13D   Remarks : The aluminum whelled chart carriers are designed to provide a lightweight and easy to use medical chart cart </t>
  </si>
  <si>
    <t xml:space="preserve"> 1.	The Municipal Government of Burgos, Ilocos Norte, through the Nutrition Development Program, CY 2020 intends to apply the sum of PhP109,998.00 being the Approved Budget for the Contract (ABC) to payments under the contract for Purchase of Baby Cereals </t>
  </si>
  <si>
    <t xml:space="preserve"> 1 150 PCS ATROPINE SULFATE 250MCG/ML AMPULE  2 135 PCS ADRENALINE AMPULE  3 1,000 PCS ALUMINUM + MAGNESIUM HYDROXIDE TABLET  4 86 BOT ASCORBIC ACID + ZINC DROPS 15ML  5 25 BOT ASCORBIC ACID + TAURINE + LYSINE SYRUP 60ML  6 36 BOT BUTAMIRATE CITRATE 7.5MG/</t>
  </si>
  <si>
    <t xml:space="preserve"> 1 10 m MESH WIRE 1"X1"  2 2 UNIT PLATFORM TROLLEY, DURABLE, 300KG CAP  3 7 ROLL ORCHID NET FOR SCREENHOUSE, BLACK, 5FTX40M  4 20 m GARDEN HOSE, HEAVY DUTY</t>
  </si>
  <si>
    <t xml:space="preserve"> DETAILED ESTIMATES ITEM I DEMOLITION AND REMOVAL OF EXISTING STRUCTURES ITEM II CONCRETE WORKS ITEM III FORMS AND SCAFFOLDINGS ITEM IV ROOFING AND ROOF FRAMING</t>
  </si>
  <si>
    <t xml:space="preserve"> DETAILED ESTIMATES: ITEM I EXCAVATION ITEM II CONCRETE WORKS ITEM III FORM WORKS</t>
  </si>
  <si>
    <t xml:space="preserve"> 1.	The Municipal Government of Burgos, Ilocos Norte, through the 20% Economic Development Fund intends to apply the sum of PhP4,200,000.00 being the Approved Budget for the Contract (ABC) to payments under the contract for Concreting of Paayas-Bobon-Bayog</t>
  </si>
  <si>
    <t xml:space="preserve"> 20 rolls	Gauze roll 20 boxes	Teramycin eye ointment 50 boxes	IV-cañula G 18 50 boxes	IV-cañula G 20 20 boxes	1cc syringe 20 boxes	3cc syringe 50 boxes	Vita K ampoules 10 gallon	Betadine solution 145 boxes 	Chromic 20 (double arm) 100 boxes	Amoxicillin 250</t>
  </si>
  <si>
    <t xml:space="preserve"> DENR-ENVIRONMENTAL MANAGEMENT BUREAU Region 3 invites all eligible suppliers to quote the following: PROCUREMENT AND DELIVERY OF STORAGE RACK AND LOCKER Storage Rack 4ft x 28in x 7ft--- 10 units Locker, 6 doors---- 3 pcs Cabinet for PPE’s, steel storage w</t>
  </si>
  <si>
    <t xml:space="preserve"> Description  Section 1. Invitation to Bid Republic of the Philippines, Barangay Baluan, General Santos City, Invitation to Bid for the Improvement of Health Center at Baluan Proper. BAC-2020-003 1. The Barangay Council of Baluan, General Santos City hereb</t>
  </si>
  <si>
    <t xml:space="preserve"> Republic of the Philippines Region 10 – Northern Mindanao Province of Lanao del Norte MUNICIPALITY OF BALO-I Email: mlgubaloi.ldn@gmail.com Office of the Bids and Awards Committee Invitation to Bid 1. The Local Government Unit of Balo-i, Lanao del Norte, </t>
  </si>
  <si>
    <t xml:space="preserve"> Municipality of Sto. Tomas									 Barangay SAN PABLO									 									 									 INVITATION TO BID									 									 The Barangay Government of San Pablo, Sto. Tomas, Batangas through its Bids and Awards Committee ( BAC) 									 invites suppliers/de</t>
  </si>
  <si>
    <t xml:space="preserve"> DENR-ENVIRONMENTAL MANAGEMENT BUREAU Region 3 invites all eligible suppliers to quote the following: PROCUREMENT AND DELIVERY OF STORAGE DEVICES  PROCUREMENT AND DELIVERY OF STORAGE DEVICES  1. 128GB 2 in 19 Android mobile and computer U disk) Micro USB O</t>
  </si>
  <si>
    <t xml:space="preserve"> 20-10144</t>
  </si>
  <si>
    <t xml:space="preserve"> 1.	The Capiz Provincial Government, through the GOP–2020 intends to apply the total amount Two Million Two Hundred Twenty Thousand Five Hundred Twenty-Five Pesos (Php 2,220,525.00) being the total Approved Budget for the Contract (ABC) to payments under t</t>
  </si>
  <si>
    <t xml:space="preserve"> The National Irrigation Administration – Pangasinan IMO now invites bids for the CONSTRUCTION OF BAYAOAS SRIP – IRRIGATION FACILITIES (PHASE I) under FUND 501. The project is located at Aguilar, Pangasinan with the following description of work:	 I.	CONST</t>
  </si>
  <si>
    <t xml:space="preserve"> 1 2,300 LTRS DIESEL  2 485 LTRS GASOLINE</t>
  </si>
  <si>
    <t xml:space="preserve"> Contract ID:	20DL0217 Contract Name:	C. CONVERGENCE AND SPECIAL SUPPORT PROGRAM 1. CONSTRUCTION / IMPROVEMENT OF ACCESS ROADS LEADING TO DECLARED TOURISM DESTINATIONS 4. ACCESS ROAD LEADING TO LAMESANG BATO, CALAUAG, QUEZON Contract Location:	CALAUAG, QUE</t>
  </si>
  <si>
    <t xml:space="preserve"> Contract ID:	20DL0216 Contract Name:	CONVERGENCE AND SPECIAL SUPPORT PROGRAM, CONSTRUCTION / IMPROVEMENT OF VARIOUS INFRASTRUCTURE IN SUPPORT OF NATIONAL SECURITY 1. ACCESS ROAD LEADING TO 85TH INFANTRY BATTALION BRGY. VILLA PRINSIPE-SAN ISIDRO KANLURAN-M</t>
  </si>
  <si>
    <t xml:space="preserve"> Contract ID:	20DL0212 Contract Name:	LOCAL PROGRAM, CONST. / REPAIR / REHAB. / IMPROVEMENT OF VARIOUS INFRASTRUCTURE INCLUDING LOCAL PROJECTS, NATIONAL ROADS AND BRIDGES, NATIONAL ROADS, CONSTRUCTION OF SLOPE PROTECTION ALONG OLD ZIGZAG ROAD, K0156+650 - </t>
  </si>
  <si>
    <t xml:space="preserve"> 1 unit Laptop Computer</t>
  </si>
  <si>
    <t xml:space="preserve"> Contract ID:	20DL0210 Contract Name:	LOCAL PROGRAM, CONST. / REPAIR / REHAB. / IMPROVEMENT OF VARIOUS INFRASTRUCTURE INCLUDING LOCAL PROJECTS, NATIONAL ROADS AND BRIDGES, NATIONAL ROADS, CONSTRUCTION OF SLOPE PROTECTION ALONG OLD ZIGZAG ROAD, K0154+150 - </t>
  </si>
  <si>
    <t xml:space="preserve"> BUN LIQUID 625ML/KIT	1	SET CHEMISTRY CONTROL LEVEL 1 50ML/KIT	1	SET CHEMISTRY CONTROL LEVEL 2 50ML/KIT	1	SET TRIGLYCERIDES, GPO LIQUID 1000ML/KIT	1	SET URIC ACID LIQUID 1000ML/KIT	1	SET CHOLESTEROL LIQUID 1000ML/KIT	1	SET</t>
  </si>
  <si>
    <t xml:space="preserve"> Contract ID:	20DL0215 Contract Name:	ORGANIZATIONAL OUTCOME 2 : PROTECT LIVES AND PROPERTIES AGAINST MAJOR FLOODS, FLOOD MANAGEMENT PROGRAM, CONSTRUCTION/ MAINTENANCE OF FLOOD MITIGATION STRUCTURES AND DRAINAGE SYSTEMS 13. REHABILITATION OF FLOOD CONTROL </t>
  </si>
  <si>
    <t xml:space="preserve"> Contract ID:	20DL0209 Contract Name:	LOCAL PROGRAM, CONST. / REPAIR / REHAB. / IMPROVEMENT OF VARIOUS INFRASTRUCTURE INCLUDING LOCAL PROJECTS, NATIONAL ROADS AND BRIDGES, NATIONAL ROADS, CONSTRUCTION OF SLOPE PROTECTION ALONG OLD ZIGZAG ROAD, K0153+450 - </t>
  </si>
  <si>
    <t xml:space="preserve"> Contract ID:	20DL0211 Contract Name:	LOCAL PROGRAM, CONST. / REPAIR / REHAB. / IMPROVEMENT OF VARIOUS INFRASTRUCTURE INCLUDING LOCAL PROJECTS, NATIONAL ROADS AND BRIDGES, NATIONAL ROADS, CONSTRUCTION OF SLOPE PROTECTION ALONG DAANG MAHARLIKA (LZ), K0174+0</t>
  </si>
  <si>
    <t xml:space="preserve"> Contract ID:	20DL0213 Contract Name:	LOCAL PROGRAM, CONST. / REPAIR / REHAB. / IMPROVEMENT OF VARIOUS INFRASTRUCTURE INCLUDING LOCAL PROJECTS, NATIONAL ROADS AND BRIDGES, NATIONAL ROADS, CONSTRUCTION OF SLOPE PROTECTION ALONG OLD ZIGZAG ROAD, K0157+050 - </t>
  </si>
  <si>
    <t xml:space="preserve"> Contract ID:	20DL0208 Contract Name:	LOCAL PROGRAM, CONST. / REPAIR / REHAB. / IMPROVEMENT OF VARIOUS INFRASTRUCTURE INCLUDING LOCAL PROJECTS, NATIONAL ROADS AND BRIDGES, NATIONAL ROADS, CONSTRUCTION OF SLOPE PROTECTION ALONG DAANG MAHARLIKA (LZ), K0155+1</t>
  </si>
  <si>
    <t xml:space="preserve"> Contract ID:	20DL0214 Contract Name:	ORGANIZATIONAL OUTCOME 2 : PROTECT LIVES AND PROPERTIES AGAINST MAJOR FLOODS, FLOOD MANAGEMENT PROGRAM, CONSTRUCTION/ MAINTENANCE OF FLOOD MITIGATION STRUCTURES AND DRAINAGE SYSTEMS 6. CONSTRUCTION OF FLOOD CONTROL ALO</t>
  </si>
  <si>
    <t xml:space="preserve"> REPUBLIC OF THE PHILIPPINES LGU-Tigaon, Camarines Sur Caraycayon, Tigaon, Camarines Sur -o0o- BIDS &amp; AWARDS COMMITTEE INVITATION TO BID CONSTRUCTION OF VARIOUS INFRA PROJECTS PROJECT ID NO. INFRA-20-003 1.	The Local Government Unit of Tigaon, Camarines Su</t>
  </si>
  <si>
    <t xml:space="preserve"> 1.	The National Irrigation Administration – Pangasinan IMO, through the General Appropriation Act of 2020 intends to apply the sum of TWELVE MILLION ONE HUNDRED SIXTY TWO THOUSAND ONE HUNDRED TWENTY SEVEN &amp; 67/100 PESOS (12,162,127.68) being the Approved </t>
  </si>
  <si>
    <t xml:space="preserve"> 562 packs</t>
  </si>
  <si>
    <t xml:space="preserve"> Contract ID:	20DL0219 Contract Name:	LOCAL PROGRAM, LOCAL INFRASTRUCTURE PROGRAM, BUILDINGS AND OTHER STRUCTURES, MULTIPURPOSE / FACILITIES 35. CONSTRUCTION OF NEW MUNICIPAL HALL, GUMACA QUEZON Contract Location:	GUMACA QUEZON Brief Description:		CONSTRUC</t>
  </si>
  <si>
    <t xml:space="preserve"> CELL CLEANER 120ML CELLPACK 20L/PK-30L E-CHECK (XS) L1; 1.5ML E-CHECK (XS) L2; 1.5ML E-CHECK (XS) L; 1.5ML STROMATOLYSER 4DL 5L/FFD-200A STROMATOLYSER 4DS 3 x 42ml/ FFS0800A SULFOLYSER 5L/ SLS-220A</t>
  </si>
  <si>
    <t xml:space="preserve"> Republic of the Philippines								 Province of Negros Occidental								 Municipality of La Castellana								 Bids and Awards Committee								 								 INVITATION TO APPLY FOR ELIGIBILITY AND TO BID								 								 Name of Project: 		PROPOSED WATER TA</t>
  </si>
  <si>
    <t xml:space="preserve"> REPUBLIC OF THE PHILIPPINES LGU-Tigaon, Camarines Sur Caraycayon, Tigaon, Camarines Sur -o0o- BIDS &amp; AWARDS COMMITTEE INVITATION TO BID SUPPLY AND DELIVERY OF MATERIALS FOR THE CONSTRUCTION OF MATERIAL RECOVERY FACILITY  CARAYCAYON, TIGAON, CAMARINES SUR </t>
  </si>
  <si>
    <t xml:space="preserve"> Contract ID:	20DL0218 Contract Name:	C. CONVERGENCE AND SPECIAL SUPPORT PROGRAM 3. CONSTRUCTION / IMPROVEMENT OF ACCESS ROADS LEADING TO TRADES, INDUSTRIES, AND ECONOMIC ZONES 5. ACCESS ROADS IN SUPPORT OF HANDICRAFTS, FOODS, COCONUT PROCESSING, AND OTHER</t>
  </si>
  <si>
    <t xml:space="preserve"> ITEM NO.	UNIT		QTY		DESCRIPTION		 							 1	 bags 		381		Portland Cement (Type I)		 2	 cu.m 		42		 Gravel  		 3	 cu.m 		21		 Sand 		 4	 kgs 		8		 Asphalt Filter 		 5	 cu.m 		37		 Mixed Aggregates 		 INVITATION TO BID The Municipality of Sablayan through i</t>
  </si>
  <si>
    <t xml:space="preserve"> 1.	The National Irrigation Administration – Pangasinan IMO now invites bids for the CONSTRUCTION OF DUMOLOC SRIP – FIELD OFFICE under FUND 501. The project is located at Dumoloc, Pangasinan with the following description of work:	 I.	CONSTRUCTION OF FIELD</t>
  </si>
  <si>
    <t xml:space="preserve"> See the attached document for details Download the RFQ at www.urs.edu.ph</t>
  </si>
  <si>
    <t xml:space="preserve"> ITEM NO.	UNIT		QTY		DESCRIPTION		 							 1	 ltrs 		46020		Diesel		 2	 gals 		104		 Oil #10 		 3	 gals 		52		 Oil #40 		 4	 ltrs 		92		 ATF 		 INVITATION TO BID The Municipality of Sablayan through its Bids and Awards Committee (BAC) invites all intereste</t>
  </si>
  <si>
    <t xml:space="preserve"> See attached document Download the RFQ at www.urs.edu.ph</t>
  </si>
  <si>
    <t xml:space="preserve"> Procurement of Other Supplies</t>
  </si>
  <si>
    <t xml:space="preserve"> ITEM NO.	UNIT		QTY		DESCRIPTION		 							 1	 ltrs 		46270		Diesel		 2	 gal 		88		 Oil #10 		 3	 gal 		56		 Oil #40 		 4	 ltrs 		84		 ATF 		 INVITATION TO BID The Municipality of Sablayan through its Bids and Awards Committee (BAC) invites all interested c</t>
  </si>
  <si>
    <t xml:space="preserve"> Supply and delivery of construction materials for the Installation of Street Light.</t>
  </si>
  <si>
    <t xml:space="preserve"> Please quote your lowest price on the item/s listed below, subject tot the General Conditions on the last page, stating the shortest time of delivery and submit your quotation duly signed by your representative. The warranty shall be for a period of six m</t>
  </si>
  <si>
    <t xml:space="preserve"> ITEM NO.	UNIT		QTY		DESCRIPTION		 							 1	 clip 		6		Nylon String		 2	 kgs. 		17		 CWN Assorted 		 3	 bd. Ft. 		375		 Form Lumber 		 4	 cu.m 		66		 Aggregates 		 5	 pcs. 		10		 Pinolic Board 1/2" 		 6	 bags 		220		 Cement 		 7	 cu.m 		34		 Mixed Aggrega</t>
  </si>
  <si>
    <t xml:space="preserve"> Finishing Wokrs of Brgy. Dilan Multi-Purpose Hall</t>
  </si>
  <si>
    <t xml:space="preserve"> Name of Project	:	HIRING OF RESEARCH BOAT AND MOTOR LAUNCH FOR OFFICIAL USE OF TUBBATAHA                                 REEFS NATURAL PARK – MANAGEMENT OFFICE Destination	:	Puerto Princesa City to Tubbataha Reefs Natural Park, Cagayancillo, Palawan to Pu</t>
  </si>
  <si>
    <t xml:space="preserve"> 4   pcs. 4'x8'x1/4" thick marine plywood 3   pcs. 4'x8'x1/4thick marine plywood 30 pcs. 2"x1/2"x8' good lumber 5   kilos assorted common nails 4   pcs.  Ga.#22x12' corr.GI sheets 1   kilo   Umbrella nails  1   can   Vulcaseal 8   pcs.  Amakan 10 bottles V</t>
  </si>
  <si>
    <t xml:space="preserve"> Repair of Office Building (Repair of IMEG Lounge)</t>
  </si>
  <si>
    <t xml:space="preserve"> Deliveries of Supplies and Materials of Multi-Purpose Solar Drier at Barangay Basiad Sta. Elena, Camarines Norte.</t>
  </si>
  <si>
    <t xml:space="preserve"> The Barangay Government of Barangay HIDALGO, Tanauan City, Batangas through the Bids and Awards Committee (BAC) invites Suppliers/Contractors to apply for eligibility and if subsequently found eligible, to bid for the projects described hereunder, viz: Na</t>
  </si>
  <si>
    <t xml:space="preserve"> Finishing Wokrs of Brgy. Imbalbalatong Multi-Purpose Hall</t>
  </si>
  <si>
    <t xml:space="preserve"> Republic of the Philippines Province of Eastern Samar Municipality of Mercedes INVITATION TO BID FOR THE PROCUREMENT OF GOODS PROCUREMENT OF LDRRM IT EQUIPMENT  (1 LOT CCTV SUPPLY AND INSTALLATION) ITB NO. GOODS-2020-02-003  1.	The LOCAL GOVERNMENT  UNIT </t>
  </si>
  <si>
    <t xml:space="preserve"> Contract Package 7: Preventive Maintenance: a. Abanao Ext. – Chainage 008 – Chainage 111 (SO5052LZ) b. Major Mane Rd. – Chainage 057 – Chainage 112 (SO0489LZ) c. Quezon Hill Drive – Chainage 000 – Chainage 075 (SO0503LZ) d. Quirino H-Way (Baguio-Bauang) –</t>
  </si>
  <si>
    <t xml:space="preserve"> Deliveries of supplies and materials for the rehabilitation of Fence ( Barangay Site) at Barangay Basiad, Sta. Elena, Camarines Norte.</t>
  </si>
  <si>
    <t xml:space="preserve"> Construction / Rehabilitation of Water Supply</t>
  </si>
  <si>
    <t xml:space="preserve"> Name of Activity: 	Repair of Division Office (SDS and Supervisor Office) ABC: 	Php. 200,041.71 Specifications: 		See the attached request for quotation Duration	:		30 calendar days Interested Bidders are required to submit their valid and current DTI Busi</t>
  </si>
  <si>
    <t xml:space="preserve"> The San Jose City LGU, through its BAC, invites contractors registered and classified by the Philippine Contractors Accreditation Board(PCAB) to apply for eligibility and if found eligible, to bid for the hereunder contract: Name of Project: Improvement o</t>
  </si>
  <si>
    <t xml:space="preserve"> Construction of Slope Protection- Stone Masonry and Retaining Wall</t>
  </si>
  <si>
    <t xml:space="preserve"> 1 lot 2020-058, CONSTRUCTION OF MULTI-PURPOSE HALL AT PUROK 6, BARANGAY NALIN, MIDSAYAP, COTABATO</t>
  </si>
  <si>
    <t xml:space="preserve"> Construction of Concrete Road</t>
  </si>
  <si>
    <t xml:space="preserve"> 1 lot 2020-057, COMPLETION OF COVERED COURT AT BARANGAY SAN ISIDRO, MIDSAYAP, COTABATO</t>
  </si>
  <si>
    <t xml:space="preserve"> Grade 7 = 280 pages x 120 learners x.0.75 = 25,200 Grade 8 = 264 pages x 120 learners x 0.75 = 23,760 Grade 9 = 280 pages x 110 learners x 0.75 = 23,100 Grade 10 = 272 pages x 120 learners x 0.75 = 24,480                                              Total</t>
  </si>
  <si>
    <t xml:space="preserve"> INVITATION TO BID REPUBLIC OF THE PHILIPPINES CITY OF GOVERNMENT OF NAVOTAS BARANGAY SAN RAFAEL VILLAGE   BIDS AND AWARDS COMMITTEE 1.The Sangguniang BaraNGAY San Rafael Village, through its Bids and Awards Committee intends to  apply the sun of Eighty Th</t>
  </si>
  <si>
    <t xml:space="preserve"> The Sangguniang Barangay of  San Rafael Village, Navotas City through its Committee on Bids and Awards  is inviting prospective suppliers to give their lowest quotation for the following items.</t>
  </si>
  <si>
    <t xml:space="preserve"> INVITATION TO BID NO. UPRIIS-DI-CW-2020-04 1.The National Irrigation Administration - Upper Pampanga River Integrated Irrigation Systems (NIA-UPRIIS), Division I, Malayantoc, Sto. Domingo, Nueva Ecija, through the GAA CY 2020 project intends to apply the </t>
  </si>
  <si>
    <t xml:space="preserve"> Contact Person    : Alain D. Casison- Mun. Engineer -  09302969658  Venue                  : DatuManlumidssa Conference Hall, 2nd floor, Tubod Mun. Building                                Poblacion, Tubod, S.D.N.  Bid Opening         : June 22, 2020  Time</t>
  </si>
  <si>
    <t xml:space="preserve"> Rehabilitation/ Reconstruction of Roads with Slips, Slope Collapse, and Landslide – Quezon Hill Rd #1 – K0308+153 – K0308+175, K0308+428 – K0308+447 Contract Location :	Baguio City Approved Budget for the Contract :	Php8,330,000.00 Scope of  work  :	Rehab</t>
  </si>
  <si>
    <t xml:space="preserve"> 1.	For 30 years of age and below (Male and Female): a.	Physical Examination b.	Routine Urinalysis c.	Complete Blood Count with platelet count d.	Chest X-Ray (Plain) : Posterior-Anterior (PA) View e.	12-Lead Electrocardiogram (ECG) f.	Dental Examination g.</t>
  </si>
  <si>
    <t xml:space="preserve"> The San Jose City LGU, through its BAC, invites contractors registered and classified by the Philippine Contractors Accreditation Board(PCAB) to apply for eligibility and if found eligible, to bid for the hereunder contract: Name of Project: Concreting of</t>
  </si>
  <si>
    <t xml:space="preserve"> Deliveries of Supplies and Materials for the Rehabilitation of Gymnasium Phase IV at Barangay Basiad, Sta. Elena Camarines Norte.</t>
  </si>
  <si>
    <t xml:space="preserve"> REQUEST FOR QUOTATION TERMS OF PAYMENT:   30 DAYS PRICE VALIDITY:        120 DAYS</t>
  </si>
  <si>
    <t xml:space="preserve"> Please see attached RFQ. You may also visit our website at www.jhmc.com for your more procurement opportunities. Thank you.</t>
  </si>
  <si>
    <t xml:space="preserve"> 1 (one) Set of Public Address</t>
  </si>
  <si>
    <t xml:space="preserve"> 1 lot 2020-059, EXPANSION OF RURAL HEALTH UNIT(RHU) BUILDING, POBLACION 3, MIDSAYAP, COTABATO</t>
  </si>
  <si>
    <t xml:space="preserve"> 6 units Jetmatic Pump</t>
  </si>
  <si>
    <t xml:space="preserve"> INVITATION TO BID REPUBLIC OF THE PHILIPPINES CITY OF GOVERNMENT OF NAVOTAS BARANGAY SAN RAFAEL VILLAGE  BIDS AND AWARDS COMMITTEE 1.The Sangguniang Barangay San Rafael, through its Bids and Awards Committee intends to  apply the sun of One Hundred Five T</t>
  </si>
  <si>
    <t xml:space="preserve"> INVITATION TO BID REPUBLIC OF THE PHILIPPINES CITY OF GOVERNMENT OF NAVOTAS BARANGAY SAN RAFAEL VILLAGE   BIDS AND AWARDS COMMITTEE 1.The Sangguniang BaraNGAY San Rafael Village, through its Bids and Awards Committee intends to  apply the sun of  Ninety-E</t>
  </si>
  <si>
    <t xml:space="preserve"> INVITATION TO BID REPUBLIC OF THE PHILIPPINES CITY OF GOVERNMENT OF NAVOTAS BARANGAY SAN RAFAEL VILLAGE   BIDS AND AWARDS COMMITTEE 1.The Sangguniang BaraNGAY San Rafael Village, through its Bids and Awards Committee intends to  apply the sun of Two Hundr</t>
  </si>
  <si>
    <t xml:space="preserve"> 100 pcs Plain R/N shirt (Unisex) - Color: Light Grey/Mint Blue  - Long Sleeves, Regular Fit - Cotton (Adult) - 1 color print, silkscreen</t>
  </si>
  <si>
    <t xml:space="preserve"> 10 pcs Oil filter BF 115-C415 2 pcs RACOR filter assembly 4 pcs RACOR filter element 53234 8 pcs Injector Assembly 1 pc Steering Assembly 20 pcs Spark Plug 4 pcs Control Cable 24ft Throttle and Shift 2 pcs Fuel Pump unit 2 pcs Fuel pump insulator 3 pcs Hi</t>
  </si>
  <si>
    <t xml:space="preserve"> - 4 units Air pump (silent linear) Specifications: 60Hz; 0.15KGF/cubic meter; 80L/min; 72watts; 220v - 20 pcs Aquarium heater Specifications: Stainless steel heating rod; 500watts; submersible; with thermostat - 3 units Submersible pump Specifications: 1.</t>
  </si>
  <si>
    <t xml:space="preserve"> Contact Person  : Alain D. Casison- Mun. Engineer - 09302969658  Venue               : Datu Manlumidsa Conference Hall, 2nd floor Tubod Mun. Building,                            Poblacion, Tubod, S.D.N  Bid Openig        : June 22, 2020  Time             </t>
  </si>
  <si>
    <t xml:space="preserve"> No.	"ITEM DESCRIPTION  (ITEM NAME &amp; TECHNICAL SPECIFICATIONS)"	QTY.	UNIT	UNIT COST	APPROVED BUDGET OF CONTRACT (ABC)	 						 1	20 ft. Container House	3	unit	₱234,000.00	 Php702,000.00 	 2	Sliding door - Fixed Glass	1	set	₱60,000.00	 Php60,000.00 	 3	Stair</t>
  </si>
  <si>
    <t xml:space="preserve"> 1. 18 pcs. 2x2x10' Good Lumber 2. 6 pcs.   2x3x10' Good Lumber 3. 6 pcs.    2x4x10' Good Lumber 4. 8 pcs.   1/2"dia PVC Pipe (blue) 5. 10 pcs. 1/2" dia Assorted PVC Fittings 6. 8 pcs.   4'x8'x1/2" thick Marine Plywood 7. 2 cans  PVC Solvent Cement 8. 1 se</t>
  </si>
  <si>
    <t xml:space="preserve"> 1 unit 8way distribution box 1 pc.Circuit breaker 30A 2 pcs. Circuit breaker 20A 12 pcs LED bulb 30watts 10 pcs Rubber socket 5 pcs Tee socket 75 meters wire  3 pcs. Plug 2 rolls Electrical tape</t>
  </si>
  <si>
    <t xml:space="preserve"> - 3 units VHF Radio (Kenwood-218A) Specifications per unit: 136-174 mhz; 200 channel; 65W; and with NTC permit. - 3 units Power Supply 20 AMPS - 3 units VHF Diamond Antenna F23 - 30 meters RG8 COAX - 15 pieces Amphenol Connectors - 3 pieces Antenna Pole S</t>
  </si>
  <si>
    <t xml:space="preserve"> No.	"ITEM DESCRIPTION  (ITEM NAME &amp; TECHNICAL SPECIFICATIONS)"	QTY.	UNIT	UNIT COST	APPROVED BUDGET OF CONTRACT (ABC)	 						 1	Conference Table	1	set	₱68,750.00	 Php68,750.00 	 2	6 seater Table with 6 mobile cabinet	1	set	₱123,125.00	 Php123,125.00 	 3	3 </t>
  </si>
  <si>
    <t xml:space="preserve"> Supply and delivery of Real Time Kinematics (RTK)  Survey Instruments</t>
  </si>
  <si>
    <t xml:space="preserve"> Republic of the Philippines Province of Pangasinan MUNICIPALITY OF AGNO THE BIDS AND AWARDS COMMITTEE Invitation to Bid for CONSTRUCTION OF PCCP AT SITIO ARINAAR ROAD, BARANGAY MAGSAYSAY 1.	The Municipality of Agno, Pangasinan, through the Annual Budget C</t>
  </si>
  <si>
    <t xml:space="preserve"> Procurement of 1 Lot Repair and Maintenance of Office Equipment (Air-condition) for the 3rd Quarter of 2020</t>
  </si>
  <si>
    <t xml:space="preserve"> REPAIR, IMPROVEMENT OF 2 (TWO) STOCK ROOMS (REPAIR OF STEEL DOORS, STEEL WINDOWS, ELECTRICAL WIRES, CEILING &amp; ROOF).</t>
  </si>
  <si>
    <t xml:space="preserve"> Republic of the Philippines Province of Pangasinan MUNICIPALITY OF AGNO THE BIDS AND AWARDS COMMITTEE Invitation to Bid for CONSTRUCTION OF PUBLIC MARKET ROOFING, POBLACION EAST 1.	The Municipality of Agno, Pangasinan, through the Annual Budget CY 2020 Ge</t>
  </si>
  <si>
    <t xml:space="preserve"> 6	pcs.	1/4" Marine plywood 24	pcs.	Metal Furring 128.34	sq.	1/4" thk Fixed Glass window  		on Alum. Frame 20.72	sq.	1/4" thk Swing Door Glass door  		on Alum. Frame  1	box	Blind rivets 1	kilo	Concrete Nails 1	pack	Sealant  16	pcs.	12 mm Square Bar 4	pcs.	</t>
  </si>
  <si>
    <t xml:space="preserve"> Republic of the Philippines Province of Pangasinan MUNICIPALITY OF AGNO THE BIDS AND AWARDS COMMITTEE Invitation to Bid for CONSTRUCTION OF BOX CULVERT AT BARANGAY PATAR 1.	The Municipality of Agno, Pangasinan, through the Annual Budget CY 2020 General Fu</t>
  </si>
  <si>
    <t xml:space="preserve"> Procurement of 1 Lot Repair and Maintenance of Office Equipment (Desktop Computer) for the 3rd Quarter of 2020</t>
  </si>
  <si>
    <t xml:space="preserve"> Description  Section 1. Invitation to Bid Republic of the Philippines, Barangay Baluan, General Santos City, Invitation to Bid for the Riprapping of Drainage Canal at  Baluan Proper BAC-2020-004 1. The Barangay Council of Baluan, General Santos City hereb</t>
  </si>
  <si>
    <t xml:space="preserve"> REPUBLIC OF THE PHILIPPINES CITY OF MANILA BARANGAY 225 ZONE 22 DISTRICT 2  BIDS AND AWARDS COMMITTEE INVITATION TO BID THE BARANGAY 225 ZONE 22 DISTRICT 2 MANILA, THROUGH IT'S BID AND AWARDS COMMITTEE (BAC) INVITES ALL SUPPLIERS WITH CERTIFICATE OF ACCRE</t>
  </si>
  <si>
    <t xml:space="preserve"> Republic of the Philippines Province of Pangasinan MUNICIPALITY OF AGNO THE BIDS AND AWARDS COMMITTEE Invitation to Bid for CONSTRUCTION OF PCCP AT SITIO BARSAK ROAD, BARANGAY GAYUSAN 1.	The Municipality of Agno, Pangasinan, through the Annual Budget CY 2</t>
  </si>
  <si>
    <t xml:space="preserve"> see attached ITB</t>
  </si>
  <si>
    <t xml:space="preserve"> REPUBLIC OF THE PHILIPPINES CITY OF MANILA BARANGAY 241 ZONE 22 DISTRICT 2  BIDS AND AWARDS COMMITTEE  INVITATION TO BID THE BARANGAY 241 ZONE 22 DISTRICT 2 MANILA, THROUGH IT'S BID AND AWARDS COMMITTEE (BAC) INVITES ALL SUPPLIERS WITH CERTIFICATE OF ACCR</t>
  </si>
  <si>
    <t xml:space="preserve"> Description   Qty 1 lot    1 One (1) Year Subcription License  for Network Firewall Device SCOPE OF WORK:  &gt;Phone and Email support  &gt;Portal product updates  &gt;Version upgrades  &gt;Bug fixes  &gt;Knowledge Transfer   &gt;Assist in troubleshooting by the way of ass</t>
  </si>
  <si>
    <t xml:space="preserve"> Aircon, 1HP   RTV Stainless Letters,   Malino Letters   Condenser Microphone Kit Studio   Mixer, with cables and guitar plug   Tripod, studio box  Microphone, wireless  Microphone, wired   Lapel   Green Screen, 3*3.6m/9.8*11.8ft   Studio Umbrella    Clip </t>
  </si>
  <si>
    <t xml:space="preserve"> N. Cement Gravel 4 Cubic meters Sand 3 Cubic meters 10 mm Deformed steel bar 12 mm Deformed steel bar 12 mm Deformed steel bar GI wire # 16 Phenolic board 3/4" Good lumber 2x2x8 Concrete Nail # 3 Common Nail # 2 L Bar 1/4x3 MS plate 20x60x11/2 Turnbuckle </t>
  </si>
  <si>
    <t xml:space="preserve"> INVITATION TO BID REPUBLIC OF THE PHILIPPINES CITY OF GOVERNMENT OF NAVOTAS BARANGAY SAN RAFAEL VILLAGE   BIDS AND AWARDS COMMITTEE 1.The Sangguniang BaraNGAY San Rafael Village, through its Bids and Awards Committee intends      to apply the sun of Eight</t>
  </si>
  <si>
    <t xml:space="preserve"> Procurement of 1 Lot Repair and Maintenance of Office Equipment (Photocopier) for the 3rd Quarter of 2020</t>
  </si>
  <si>
    <t xml:space="preserve"> see attached program of work</t>
  </si>
  <si>
    <t xml:space="preserve"> Invitation to Bid for the Repair of Multi-Purposed Building thru Repair and Water Collection for Environment Protection @ Brgy. Tongonan, Kananga, Leyte 1.	The Barangay Government of Tongonan, Kananga, Leyte, through its BIDS AND AWARDS COMMITTEE (BAC), t</t>
  </si>
  <si>
    <t xml:space="preserve"> Purchase and delivery of 3 units Split type Airconditioner with Installation to be used in the Municipality of Concepcion, Tarlac Approed Budget for the Contract : P 174,000.00 Source of Fund : 5% Calamity Fund 2020 Deadline for submission, receipt and op</t>
  </si>
  <si>
    <t xml:space="preserve"> Bidding will be conducted through open competitive bidding procedures using non-discretionary pass/fail criteria as specified in the Implementing Rules and Regulations Part A (IRR-A) of Republic Act 9184, otherwise known as the “Government Procurement Ref</t>
  </si>
  <si>
    <t xml:space="preserve"> Republic of the Philippines PROVINCE OF CAGAYAN MUNICIPALITY OF CLAVERIA INVITATION TO BID  									June 11, 2020 	The Local Government Unit of Claveria, Cagayan through the 20% Municipal Development Fund (2019 &amp; 2020 BIDA) would like to apply the sum of</t>
  </si>
  <si>
    <t xml:space="preserve"> Invitation to Bid for the Repair of Multi-Purpose Building (GYM) @ Brgy. Tongonan, Kananga, Leyte 1.	The Barangay Government of Tongonan, Kananga, Leyte, through its BIDS AND AWARDS COMMITTEE (BAC), through the DOE ER 1-94 intends to apply the sum of Thre</t>
  </si>
  <si>
    <t xml:space="preserve"> please find attached Request for Quotation for complete details of the requirements</t>
  </si>
  <si>
    <t xml:space="preserve"> NOTICE TO THE PUBLIC  REQUEST FOR QUOTATION                                                     AMP SVP NO: 20-06-0348	              The University of the Philippines, System (UPS) hereby informs the public that it will be procuring the following item/s t</t>
  </si>
  <si>
    <t xml:space="preserve"> Republic of the Philippines Province of Samar Catbalogan City INVITATION FOR NEGOTIATED PROCUREMENT GOODS 2020-013(NP) Supply and Delivery of  2 units Tires and Starter Motor   The City Government of Catbalogan, through the CY 2020 City Engineering FUND i</t>
  </si>
  <si>
    <t xml:space="preserve"> 1.  SITE WORKS AND SIGNS 2.  CONCRETE WORKS</t>
  </si>
  <si>
    <t xml:space="preserve"> Republic of the Philippines Department of Health 		Center for Health Development-Bicol BICOL REGION GENERAL HOSPITAL AND GERIATRIC MEDICAL CENTER                                            Cabusao, Camarines Sur INVITATION TO BID  PROCUREMENT OF MEDICAL S</t>
  </si>
  <si>
    <t xml:space="preserve"> REPAIR, IMPROVEMENT, OF WATER &amp; SANITATION (WATSAN) IN VIEW OF COVID-19 PANDEMIC.</t>
  </si>
  <si>
    <t xml:space="preserve"> Purchase and delivery of Materials for the Repair and Maintenance of 11 heavy equipment used in the Municipality of Concepcion, Tarlac Approved Budget for the Contract : P 67,509.00 Source of Fund : MOOE 2020- Mun. Mayor's Office Deadline for submission, </t>
  </si>
  <si>
    <t xml:space="preserve"> Procurement of 1 Lot Repair and Maintenance of Office Equipment (Printers) for the 3rd Quarter of 2020</t>
  </si>
  <si>
    <t xml:space="preserve"> A. materials 2 sets panel door w/ jamb (0.80m)    Door knob &amp; Hinges 26 pcs. 1/4"thk ord. plywood 38 pcs. 2X2X10ft.Gemelina 14 kls. asstd. cw nails 2 sets 0.60X0.60m jealousy glass window 2 gals. Flat Enamel Paint 2 gals. Gloss Enamel Paint Labor Cost  Ph</t>
  </si>
  <si>
    <t xml:space="preserve"> Republic of the Philippines Province of Iloilo Lemery Iloilo Invitation to Bid for Purchase of Information Technology Equipments 1.	The Municipality of Lemery, Iloilo, through the Purple Ribbon Fund   intends to apply the sum of  One Hundred Forty Nine Th</t>
  </si>
  <si>
    <t xml:space="preserve"> 1 lot</t>
  </si>
  <si>
    <t xml:space="preserve"> June 09, 2020 INVITATION TO BID  The Department of Public Works and Highways, Mindoro Occidental District Engineering Office, Mamburao, Occidental Mindoro, through its Bids and Award Committee (BAC), invites contractors to submit bids for the following Co</t>
  </si>
  <si>
    <t xml:space="preserve"> Republic of the Philippines Province of Cagayan Municipality of Aparri BARANGAY BULALA NORTE -oOo- BIDS AND AWARDS COMMITTEE 							                           June 10, 2020 	 RE-INVITATION TO APPLY FOR ELIGIBILITY AND TO BID The Barangay of BULALA NORTE, </t>
  </si>
  <si>
    <t xml:space="preserve"> 20 sets Solar Lamp 60w 38mm dia GI s40 Bracket 50mm dia GI s40 Column With Anchorae Bar Stiffener And Concrete Footing Padestal @0.60m depth Labor included</t>
  </si>
  <si>
    <t xml:space="preserve"> UNIT	  DESCRIPTION		QUANTITY I.	FABRICATION OF MISTING TENT  -  7 UNITS		 pcs	Ball Valve with Thread		84 pcs	Misting Nozz;e 1/4"		56 pcs	Safety Breaker w/Housing 20 Amp		35 m	Garden Hose 1/2"		210 rolls	THHN # 3.5		7 pcs	Cable Tie		140 pcs	Electrical Tape</t>
  </si>
  <si>
    <t xml:space="preserve"> 1	Unit	Computer Desktop 		Processor: Core i5 or i7 		Hard Drive: at least 1TB 		Motherboard: Compatible with Processor and Memory, with built in a/v/gigabit LAN  		Optical Drive: DVD-RW 22x SATA(optional)ATX Casing with 600W Power Supply 		Monitor: at lea</t>
  </si>
  <si>
    <t xml:space="preserve"> Construction of concrete pathway</t>
  </si>
  <si>
    <t xml:space="preserve"> Headset Duo, Noise Cancelling, USB Connectivity, Plug and Play Laptop Cooling pad 15 inches with 4-5 Built-in Fan; USB 2.0 Port; Adjustable Visual Angle</t>
  </si>
  <si>
    <t xml:space="preserve"> Republic of the Philippines Province of Agusan del Norte Municipality of Remedios T. Romualdez BARANGAY TAGBONGABONG Invitation to Bid SUPPLY AND DELIVERY OF RAW MATERIALS/INGREDIENTS (FOODSTUFF) FOR THE LIVELIHOOD PROGRAM-MEAT PROCESSING OF SALAKNIB FARM</t>
  </si>
  <si>
    <t xml:space="preserve"> Republic of the Philippines Province of Cagayan Municipality of Aparri BARANGAY CENTRO 4 -oOo- BIDS AND AWARDS COMMITTEE 								                           June 10, 2020 	 RE-INVITATION TO APPLY FOR ELIGIBILITY AND TO BID The Barangay of CENTRO 4, Municip</t>
  </si>
  <si>
    <t xml:space="preserve"> Request for Expression of Interest (REOI)  for the  LIDAR DATA MAPPING AND PARCELLARY/ UTILITIES, FACILITIES/ TOPOGRAPHIC SURVEY FOR THE PROPOSED CONSTRUCTION OF MISSING LINK/NEW ROADS, SAN MANUEL (PANGASINAN)- ITOGON (BENGUET) ROAD 1.	The DPWH-Regional O</t>
  </si>
  <si>
    <t xml:space="preserve"> Request for Expression of Interest (REOI)  for the  LIDAR DATA MAPPING AND PARCELLARY/ UTILITIES, FACILITIES/ TOPOGRAPHIC SURVEY FOR THE PROPOSED CONSTRUCTION OF MISSING LINK/NEW ROADS, BOLINAO-DASOL COASTAL ROAD, PANGASINAN 1.	The DPWH-Regional Office I </t>
  </si>
  <si>
    <t xml:space="preserve"> Construction of covered drainage canal</t>
  </si>
  <si>
    <t xml:space="preserve"> Construction of open canal</t>
  </si>
  <si>
    <t xml:space="preserve"> REQUEST FOR EXPRESSION OF INTEREST (REOI) FOR  Contract ID No. 	20CSAD03 Contract Name/Location: Sub-surface Exploration of Bridges for FY 2021, Ilocos Sur 2nd LD 1.	The DPWH Ilocos Sur Second District Engineering Office through the PDE 2020 intends to ap</t>
  </si>
  <si>
    <t xml:space="preserve"> Construction of Concrete Pathway</t>
  </si>
  <si>
    <t xml:space="preserve"> Republic of the Philippines Province of Oriental Mindoro MUNICIPALITY OF NAUJAN BIDS &amp; AWARDS COMMITTEE INVITATION TO BID CONSTRUCTION OF MULTI- PURPOSE HALL AT BARANGAY SANTIAGO, NAUJAN, ORIENTAL MINDORO 1.	The Municipal Government of Naujan – Bids and A</t>
  </si>
  <si>
    <t xml:space="preserve"> SUPPLY AND DELIVERY OF VARIOUS OFFICE SUPPLIES FOR OFFICIAL USE OF PENRO ORIENTAL MINDORO Delivery Period: within 30 days See Attached Request for Quotation for the items to be procured. Interested Supplier shall submit the filled-up RFQ Form together wit</t>
  </si>
  <si>
    <t xml:space="preserve"> SUBGRADE PREPARATION  A. Capacity and Quantity Computation Area =10x1000 = 10,000.00 sq.m. Grader &amp; Roller days = 10,000.00 sq. m. / 2,000 per day = 5 days B. Direct Cost  350 ltrs Fuel deisel for grader 350 ltrs Fuel deisiel for roller 30 ltrs Oil 40 AGG</t>
  </si>
  <si>
    <t xml:space="preserve"> INVITATION TO BID 2020-CS-03 The Department of Public Works and Highways QUEZON III DISTRICT ENGINEERING OFFICE, Catanauan, Quezon, through the FY2020 PDE FUND intends to apply the amount of ₱ ₱2,500,000.00  being the Approved Budget for the Contract (ABC</t>
  </si>
  <si>
    <t xml:space="preserve"> 1.	The Municipal Government of El Nido, through the Trust Fund-Office of the Bldg. Official (OBO), and General Fund intends to apply the sum of One Million One Hundred Twenty Three Thousand Five Hundred Pesos (₱ 1,123,500.00) being the Approved Budget for</t>
  </si>
  <si>
    <t xml:space="preserve"> 1.	The Municipal Government of El Nido, through the General Fund intends to apply the sum of Two Hundred Sixty Thousand Pesos (₱ 260,000.00) being the Approved Budget for the Contract (ABC) to payments for the Procurement and Delivery of Nutritional Foods</t>
  </si>
  <si>
    <t xml:space="preserve"> Description Please quote your price inclusive of VAT on the item/s listed below, subject to the Terms and conditions of the RFQ, and submit your quotation duly signed by your representative not later than June 18, 2020 at CGSO for Goods. Upon receipt of a</t>
  </si>
  <si>
    <t xml:space="preserve"> The Government of the Philippines (GOP) has received a loan from World Bank towards the cost of Philippine Rural Development Project, and it intends to apply part of the proceeds of this Loan to payments for the procurement of PRDP Vehicle Tires intended </t>
  </si>
  <si>
    <t xml:space="preserve"> June 09, 2020 INVITATION TO BID 1.	The Department of Public Works and Highways, Mindoro Occidental District Engineering Office, Mamburao, Occidental Mindoro, through the General Appropriations Act intends to apply the sum of the Approved Budget for the Co</t>
  </si>
  <si>
    <t xml:space="preserve"> Republic of the Philippines PROVINCE OF ZAMBOANGA SIBUGAY Municipality of Buug BIDS AND AWARDS COMMITTEE Invitation to Bid for Rehablitation/Maintenance of Manlin-Pamintayan &amp; Delmonte FMR 1.	The Local Government Unit of Buug, through the 20 % Development</t>
  </si>
  <si>
    <t xml:space="preserve"> 1.	The Municipal Government of El Nido, through the General Fund intends to apply the sum of  Three Hundred Fifty Six Thousand Four Hundred Ninety Pesos (₱ 356,490.00) being the Approved Budget for the Contract (ABC) to payments for the here under Procure</t>
  </si>
  <si>
    <t xml:space="preserve"> INVITATION TO BID  for  Repair of One (1) unit, Three (3) Classroom School Building at Mangatarem II Central E/S, Mangatarem, Pangasinan Solicitation No. PANG-2020-0779 1.	The Provincial Government of Pangasinan, through the School Board (PR#2020-02-1849)</t>
  </si>
  <si>
    <t xml:space="preserve"> INVITATION TO BID  for  Roofing of Existing Bleachers at Longos E/S, Calasiao, Pangasinan Solicitation No. PANG-2020-0778 1.	The Provincial Government of Pangasinan, through the School Board (PR#2020-02-1851) intends to apply the sum of One Million Five H</t>
  </si>
  <si>
    <t xml:space="preserve"> Contract ID #					 :    20II0061 Contract Name				         :    Repair and Maintenance of Road Safety Facilities (Supply, Delivery and Installation of Danger, Hazard, Warning, Regulatory and Informative Signages) along Catarman Laoang Road, Laoang –Catubi</t>
  </si>
  <si>
    <t xml:space="preserve"> 1.	The Municipal Government of El Nido, through the General Fund intends to apply the sum of One Million One Hundred Eighty Two Thousand Six Hundred Pesos (₱ 1,182,600.00) being the Approved Budget for the Contract (ABC) to payments for the Procurement An</t>
  </si>
  <si>
    <t xml:space="preserve"> INVITATION TO BID  for  Construction of Breakwater for Storm Surge Mitigation at Lingayen, Pangasinan Solicitation No. PANG-2020-0318 1.	The Provincial Government of Pangasinan, through the Local Disaster Risk Reduction Management Fund (PR#2020-02-1858) i</t>
  </si>
  <si>
    <t xml:space="preserve"> A Republic of the Philippines BIDS AND AWARDS COMMITTEE Dagupan City Invitation to Bid   for PROPOSED IMPROVEMENT/REHABILITATION OF THE CITY PEOPLE’S ASTRODOME (INTERIOR AND INCLUDING FAÇADE) AT BARANGAY TAPUAC, DAGUPAN CITY 1.	The City Government of Dagu</t>
  </si>
  <si>
    <t xml:space="preserve"> 1 5 PC/S PAIL - RUBBER 2 2 PC/S SHOVEL - HEAVY DUTY - (Wooden Handle) 3 5 PC/S CONSTRUCTION SAFETY HAT - 4 Yellows &amp; 1 White 4 15 PR/S CONSTRUCTION GLOVES - (ORANGE PALM) 5 1 UNIT/S PE EMPTY CONTAINER - 1m. Dia. (Blue) 6 15 MTR/S PE PIPE - 1/2'' dia SDR 1</t>
  </si>
  <si>
    <t xml:space="preserve"> INVITATION TO BID  for  Construction of Covered Court at Gayusan Integrated School at Brgy. Gayusan, Agno, Pangasinan Solicitation No. PANG-2020-0780 1.	The Provincial Government of Pangasinan, through the School Board (PR#2020-02-1859) intends to apply t</t>
  </si>
  <si>
    <t xml:space="preserve"> INVITATION TO BID  for  Supply and Delivery of Pre-Mix Asphalt and Emulsified Asphalt Solicitation No. PANG-2020-0782 1.	The Provincial Government of Pangasinan, through the Construction, Repair &amp; Maintenance of Various Roads and Bridges intends to apply </t>
  </si>
  <si>
    <t xml:space="preserve"> PDX wire # 1.6 mm PDX wire # 2.0 mm socket, 13/4" SPST switch ,surface type Convenience outlet, duplex surface type Insulated staple 1" THHN wire # 2.0 mm2 THHN wire # 3.5 mm2 THHN wire # 5.5 mm2 Plastic moulding 3/4" T. W. Wire # 1.6 mm T. W. Wire # 2.0 </t>
  </si>
  <si>
    <t xml:space="preserve"> Republic of the Philippines Province of Antique MUNICIPALITY OF SEBASTE OFFICE OF THE BIDS AND AWARDS COMMITTEE INVITATION TO BID ITB NO. 2020-01-010	 The Local Government Unit of Sebaste, Sebaste, Antique, Telephone No. (036) 278-2003, invites interested</t>
  </si>
  <si>
    <t xml:space="preserve"> Republic of the Philippines Province of Leyte BRGY. PINAMOPOAN, CAPOOCAN, LEYTE -oOo- BIDS AND AWARD COMMITTEE INVITATION TO BID  FOR THE PROCUREMENT OF SUPPLIES AND MATERIALS FOR THE CONSTRUCTION OF GARAGE 1.	The Brgy. Pinamopoan, Capoocan, Leyte, throug</t>
  </si>
  <si>
    <t xml:space="preserve"> INVITATION TO BID  for  Supply and Delivery of 160 MT Asphalt Pre-Mix and 8 drums Emulsified Asphalt at PGO, Lingayen, Pangasinan (for use in the Asphalting of School Ground at Libsong E/S and PSAT, Lingayen, Pangasinan) Solicitation No. PANG-2020-0783 1.</t>
  </si>
  <si>
    <t xml:space="preserve"> INVITATION TO BID					 					 Purchase and Delivery of Medical, Dental and Laboratory Supplies					 ITB 2020-06-034(GOODS)					 					 1. The Municipality of Tuba, through the Budget for the contract approved by the Sangguniang Bayan for CY 2020 intends to </t>
  </si>
  <si>
    <t xml:space="preserve"> INVITATION TO APPLY FOR ELIGIBILITY AND BID The Barangay of Magsaysay, Maasin, Iloilo, through its Bids and Awards Committee (BAC), invites suppliers/ distributors/ contractors to apply for eligibility and to bid for the hereunder project: Name of Project</t>
  </si>
  <si>
    <t xml:space="preserve"> INVITATION TO BID  for  Supply and Delivery of 577 MT Asphalt Pre-Mix at PGO, Lingayen, Pangasinan (for use in the Repair/Maintenance of Various Provincial Roads and Bridges within the Province) Solicitation No. PANG-2020-0784 1.	The Provincial Government</t>
  </si>
  <si>
    <t xml:space="preserve"> Procurement of Fluids</t>
  </si>
  <si>
    <t xml:space="preserve"> INVITATION TO BID Purchase and Delivery of Automated External Defibrillator (AED) Complete Set ITB 2020-06-033 (GOODS) 1. 	The Municipality of Tuba, through the Budget for the contract approved by the Sangguniang Bayan for CY 2019 intends to apply the sum</t>
  </si>
  <si>
    <t xml:space="preserve"> PURCHASE OF ONE(1) UNIT MINI-DUMP TRUCK SURPLUS ABC 850,000.00</t>
  </si>
  <si>
    <t xml:space="preserve"> Procurement of Niches</t>
  </si>
  <si>
    <t xml:space="preserve"> 1. 838 book Notebook, 80 leaves 2. 19 boxes Chalk, Colored 3. 19 sets Stamp, appreciation, assorted 4. 19 pcs Alphabet Chart 5. 19 pcs Number Chart 6. 19 pcs Parts of the Body Chart 7. 19 pcs Color Chart 8. 19 pcs Shapes Chart 9. 19 pcs Five Senses chart </t>
  </si>
  <si>
    <t xml:space="preserve"> janitorial Supplies</t>
  </si>
  <si>
    <t xml:space="preserve"> Procurement of IT Server</t>
  </si>
  <si>
    <t xml:space="preserve"> Const of Deped</t>
  </si>
  <si>
    <t xml:space="preserve"> 1	1	lot	Repair and improvement of 2 units screen house					 			Please see attached specification, drawings and bill of quantities					 			*****nothing follows*****</t>
  </si>
  <si>
    <t xml:space="preserve"> Tagumpay St</t>
  </si>
  <si>
    <t xml:space="preserve"> replacement of defective pipes &amp; installation of new pipelines &amp; faucets</t>
  </si>
  <si>
    <t xml:space="preserve"> The TARLAC AGRICULTURAL UNIVERSITY, through its Bids and Awards Committee (BAC), invites all suppliers and dealers to submit sealed quotation for the “PURCHASE OF 75" LED TV, AIRCON, OFFICE TABLES AND CHAIRS". Prospective bidders are required to submit th</t>
  </si>
  <si>
    <t xml:space="preserve"> Please quote us your lowest price inclusive of VAT on the items listed</t>
  </si>
  <si>
    <t xml:space="preserve"> medicine</t>
  </si>
  <si>
    <t xml:space="preserve"> Procurement of One (1) unit Motorcycle ACTIVITY	SCHEDULE	VENUE 1. Issuance of Bid Document June 12, 2020-June 30, 2020 BAC Secretariat Office -MPDO 2. Pre-Bid Conference/ Supplemental Bid-  3. Submission of Bids	  June 30, 2020 @ 10:00 AM BAC Secretariat </t>
  </si>
  <si>
    <t xml:space="preserve"> I - Mobilization/ Demobilization                  one                    lot II - Construction Safety and Health Program                         one                  lot III - Project Billboard                     one                 set IV - Progress Pho</t>
  </si>
  <si>
    <t xml:space="preserve"> Description   3.5mm dual plug computer stereo headset - 15 units FOR ONLINE MEETINGS AND CONFERENCE DIMENSIONS Height x Width x Depth: 162 mm x 144 mm x 46 mm Weight: .074 Kg SYSTEM REQUIREMENTS  Works with Common calling applications across almost all pl</t>
  </si>
  <si>
    <t xml:space="preserve"> construction of multi purpose hall</t>
  </si>
  <si>
    <t xml:space="preserve"> length-40.00m width-0.40m height-0.40m</t>
  </si>
  <si>
    <t xml:space="preserve"> I - Drilling, Installation, Stockpiling Handling and Lifting of 6" dia. Casing BI pipes                      one                lot II - Progress Photograph          one              lot III - Project Billboard             one                      lot IV </t>
  </si>
  <si>
    <t xml:space="preserve"> The LGU of San Andres, Quezon is requesting Quotation for Construction Materials  of Vermi Beds with Vermi Shed at Barangay Poblacion, San Andres, Quezon.</t>
  </si>
  <si>
    <t xml:space="preserve"> length-60.00m width-0.60m thickness-0.10m rip-rapping length-15.00m height-1.00m</t>
  </si>
  <si>
    <t xml:space="preserve"> Booster Pump   Vertical in-Line Multi Stages Stainless steel impeller and shaft. Rated to deliver 500gpm-600gpm max against 40M 950osi driven by 25hp electric motor, 230Volts, 3Phase, 60Hz, 3450 RPM. Motor Controller:   Simplex type controller rated to dr</t>
  </si>
  <si>
    <t xml:space="preserve"> I - Mobilization/ Demobilization                    one                   lot II - Construction Safety and Health Program                       one                        lot III - Project Billboard                   one                      set IV - Prog</t>
  </si>
  <si>
    <t xml:space="preserve"> INVITATION TO BID Bid Reference No.  ____________ SUPPLY AND DELIVERY OF FOGGING MACHINE (REBIDDING) Approved Budget for the Contract (ABC):  Php 260,000.00 1.	The Municipal Government Unit of Initao, Misamis Oriental intends to apply the sum of: Two Hund</t>
  </si>
  <si>
    <t xml:space="preserve"> Ink Printer with Continuous Ink System and Pigment Ink compatible</t>
  </si>
  <si>
    <t xml:space="preserve"> Concreting of Farm-to Market Road w/ Drainage Canal, 20% D.F.</t>
  </si>
  <si>
    <t xml:space="preserve"> SAFETY SHOES &amp; WORK PROTECTION SHOES</t>
  </si>
  <si>
    <t xml:space="preserve"> Improvement of Barangay Hall, 20% D.F.</t>
  </si>
  <si>
    <t xml:space="preserve"> Procurement of Construction Supplies and Materials</t>
  </si>
  <si>
    <t xml:space="preserve"> 15 packs IREX Toner Cyan Unit Cost: P 1,313.00 Total Cost: P 19,695.00 15 packs IREX Toner Yellow Unit Cost: P 1,313.00 Total Cost: P 19,695.00 10 packs IREX Toner Magenta Unit Cost: P 1,313.00 Total Cost: P 13,130.00 10 packs IREX Toner Black Unit Cost: </t>
  </si>
  <si>
    <t xml:space="preserve"> 182 lghts uPVC Pipes #100mm dia (4" dia) x 6m (S-10) x-x-x-x-x nothing follows x-x-x-x</t>
  </si>
  <si>
    <t xml:space="preserve"> 1.	The Local Government Unit (LGU) of Sta. Teresita , Cagayan, through the General Fund  intends to apply the sum of TWO HUNDRED FORTY THOUSAND &amp; 00/100  PESOS (P240,000.00) being the Approved Budget for the Contract (ABC) to payments under the contract f</t>
  </si>
  <si>
    <t xml:space="preserve"> PROCUREMENT OF ONE HUNDRED SIXTY (160) BAGS OF RICE (25 KILOS)</t>
  </si>
  <si>
    <t xml:space="preserve"> Frosted Sticker ( for Glasswall ) -1pc Aluminum Pipe ( 930 cm ) - 1pc Aluminum Pipe ( 480 cm ) - 2pcs Aluminum Pipe ( 460 cm ) - 5pcs Aluminum Pipe ( 400 cm ) - 1pc Aluminum Pipe ( 470 cm ) - 1pc curtain holder - 35pcs curtains ( 290 cm long and 150 cm wi</t>
  </si>
  <si>
    <t xml:space="preserve"> delivery of construction materials</t>
  </si>
  <si>
    <t xml:space="preserve"> 4000 liters Crude/Diesel Oil</t>
  </si>
  <si>
    <t xml:space="preserve"> delivery of solar lights</t>
  </si>
  <si>
    <t xml:space="preserve"> The TARLAC AGRICULTURAL UNIVERSITY, through its Bids and Awards Committee (BAC), invites all suppliers and dealers to submit sealed quotation for the “PURCHASE OF MESH NETS TO BE USED IN THE CONSTRUCTION OF NETHOUSES FOR THE DA-ACEF PROJECT". Prospective </t>
  </si>
  <si>
    <t xml:space="preserve"> PROCUREMENT OF ASSORTED ITEMS FOR MEALS AND SNACKS DURING THE REGULAR MEETING OF THE MUNICIPAL OFFICIALS AND DEPUTY MAYORS</t>
  </si>
  <si>
    <t xml:space="preserve"> Supply and Delivery</t>
  </si>
  <si>
    <t xml:space="preserve"> 10 pcs, Acrylic Sandwich Board, Supply and Install - size: 2 ft (W) x 3.5 ft (H) - including Photo paper with print, bolt and nut (stainless)</t>
  </si>
  <si>
    <t xml:space="preserve"> REQUEST FOR QUOTATION For Negotiated Procurement thru Small Value Procurement under Sec. 53.9 of the 2016 Revised IRR of RA 9184 Quotation No.:  2020-02-086 (3rd QUOTE) Date: June 11, 2020 PR No.: 20-02-085 PR Date: February 7, 2020 The Metropolitan Tugue</t>
  </si>
  <si>
    <t xml:space="preserve"> FURNISHING AND DELIVERY OF LABOR, MATERIALS AND EQUIPMENT FOR THE CONSTRUCTION OF MULTI-PURPOSE COVERED COURT PAHSE 2 AT BARANGAY, BACOLOD, JUBAN, SORSOGON</t>
  </si>
  <si>
    <t xml:space="preserve"> 1.	1	set/s	Computer- AMD A6 Processor, MotherBoard 			4GB DDR3, 500GB HDD, Casing w/ PSU DVDROM 			18.5" Monitor, AVR, Keyboard, Mouse Pad 2.	1	set/s	Computer- Core i5 Processor, MotherBoard 			4GB,  500GB HDD Casing w/ PSU 			18.5" Monitor, Keyboard, Mou</t>
  </si>
  <si>
    <t xml:space="preserve"> Procurement of Vegetable Seeds for the Vegetable Production and Demonstration Site - HVCDP of MAGRO Laak, Davao De Oro with an ABC of Php. 94,890.00.</t>
  </si>
  <si>
    <t xml:space="preserve"> I - Mobilization/ Demobilization               one             lot II - Construction Safety and Health Program              one                 lot III - Project Billboard             one             lot IV - Progress Photograph                    one    </t>
  </si>
  <si>
    <t xml:space="preserve"> SPECIFICATIONS: 8 PCS TIRE FOR DUMP TRUCK (PHP48,000.00) SIZE: 700 - 16 LT TUBELESS NYLON MAXIMUM SINGLE LOAD - 1,320 KG 45 PCS TIRE FOR LOADER (PHP240,000.00) SIZE: 16.9 - 24 ORIGINAL WITH INTERIOR NYLON LOADER WHEEL TYPE MAXIMUM LOAD 7,826 KG MANUFACTUR</t>
  </si>
  <si>
    <t xml:space="preserve"> 1 unit, Computer Table, (must have) - 1. printer stand - 2. speaker stand - 3. pull-out keyboard slot - 4. width of at least 15 1/2" and at least 23" length 7 unit, Computer Chairs - must have arm and back rest with pneumatic seat height adjustment</t>
  </si>
  <si>
    <t xml:space="preserve"> The Barangay Mungo, Tuao Cagayan through its 20% BARANGAY DEV'T Fund intends to apply the sum of             Php 99,668.44  being the Approved Budget for the Contract (ABC) to payments under the contract for  Installation of Street Lights (20 UNITS). Bids</t>
  </si>
  <si>
    <t xml:space="preserve"> Repair and maintenance of different airconditioning units in various offices in CGC</t>
  </si>
  <si>
    <t xml:space="preserve"> Invitation to Bid for the Completion of Damilag Public Market (Construction of Waste Water Treatment Facilty) 1.	The Local Government Unit of Manolo Fortich, through the 20% Local Development Fund intends to apply the sum of FOUR MILLION FIVE HUNDRED THOU</t>
  </si>
  <si>
    <t xml:space="preserve"> 1.	1	unit/s	Aircondition 1.5HP (Split Type) w/ Installation 2.	30	feet	Copper Tube</t>
  </si>
  <si>
    <t xml:space="preserve"> 1 9 REAM/S PAPER - BOND-SUBS.16,LONG (8 1/2"X13") 2 6 REAM/S PAPER - BOOK A4,210MMX297MM,MIN OF 70GSM 3 6 REAM/S PAPER - BOOK LEGAL,216MMX330MM(8-1/2"X13"),MIN OF 70GSM 4 5 ROLL/S TAPE - MASKING #1 5 10 PC/S BALLPEN - ORDINARY, BLACK 6 10 PC/S BALLPEN - O</t>
  </si>
  <si>
    <t xml:space="preserve"> Purchase and delivery of tornado box fan to be used be different offices of the CGC</t>
  </si>
  <si>
    <t xml:space="preserve"> Supply and Delivery of various CI and Mechanical  Fittings for Potable Water The Metro Midsayap Water District (MMWD) gives notice that  quotations are invited for the Supply and Delivery of various CI and Mechanical  Fittings for Potable Water 8 PCS - 3"</t>
  </si>
  <si>
    <t xml:space="preserve"> 23 LI</t>
  </si>
  <si>
    <t xml:space="preserve"> FOR GOODS OFFERED Project Name:	Installation of Street Lighting System Location:	Brgy. Tagabakid, City of Mati, Davao Oriental Approved Budget:	P 999,087.75 Project Duration	39 Calendar Days ITB Number	TAGABAKID-2020-01 Please quote your lowest price on t</t>
  </si>
  <si>
    <t xml:space="preserve"> Construction of New Road at Sitio Pakiling Barangay Baraka Norzagaray Bulacan</t>
  </si>
  <si>
    <t xml:space="preserve"> Improvement of Executive Building</t>
  </si>
  <si>
    <t xml:space="preserve"> Please see attached File</t>
  </si>
  <si>
    <t xml:space="preserve"> Delivery of solar lights</t>
  </si>
  <si>
    <t xml:space="preserve"> HAND DRYER- 4 units • 1150 watts rated power. • 500 watts motor power. • Carbon brush motor type. • Wire type heating. • Brushed stainless steel case material. • IPX1 waterproof. • Touch-free Infrared sensing type</t>
  </si>
  <si>
    <t xml:space="preserve"> Repair and maintenance of dump truck assigned to CEPWD</t>
  </si>
  <si>
    <t xml:space="preserve"> 1 UNIT 4D56 ENGINE WITH TRANSMISSION 1 UNIT RADIATOR 4 ROWS 1 UNIT COOLER (TURBO) 2 PCS ENGINE SUPPORT 2 PCS CABLE (SHIFTING)</t>
  </si>
  <si>
    <t xml:space="preserve"> INVITATION TO BID KB-INFRA- 2020-06 The MUNICIPALITY OF KITAOTAO, through its Bids and Awards Committee (BAC), invites supplier’s manufacturers/contractors to apply for eligibility and to bid for hereunder project:   Project Name	          :  CONSTRUCTION</t>
  </si>
  <si>
    <t xml:space="preserve"> 20 LI</t>
  </si>
  <si>
    <t xml:space="preserve"> TO : ALL BIDDERS WHAT : Schedule for the bid; WHEN : July 2, 2020 @ 9:00 A.M. WHERE : Multi-Purpose Hall, 2nd Floor, Left Wing, Bogo City Hall, Cayang, Bogo City, Cebu Attention: All Bidders 1) You are required to bring Universal Serial Bus (USB) Flash Dr</t>
  </si>
  <si>
    <t xml:space="preserve"> Supply and delivery of Powder Activator to be used in the preparation of Silang Organiks (soil conditioner) for fast decomposition process</t>
  </si>
  <si>
    <t xml:space="preserve"> SUPPLY OF MATERIALS FOR - SCAFFOLDINGS - CONCRETE WORKS (Concrete Floor = 1.89 cu.m.) - PLASTERING WORKS (Interior Only = 43.62 sq.m.) - DOORS AND WINDOWS - ELECTRICAL WORKS (Rough-In Only) - PROJECT BILLBOARD</t>
  </si>
  <si>
    <t xml:space="preserve"> 1 1 BOX/S BALLPEN - ORDINARY,RED 50'S 2 5 BOX BALLPEN - BLACK ORDINARY 50'S 3 5 REAM/S PAPER - BOND COLORED LONG-YELLOW 4 5 REAM/S PAPER - BOND COLORED LONG-BLUE 5 10 REAM/S PAPER - BOND COLORED LONG-PINK 6 45 REAM/S PAPER - BOOK LEGAL,216MMX330MM(8-1/2"X</t>
  </si>
  <si>
    <t xml:space="preserve"> Supply and Delivery of Construction Supplies and Materials for the Improvement of Barangay Health Station at Mabasa with an ABC of Php282,745.00 LOT 1. Billboard = 1,900.00 LOT 2. Miscellaneous Materials = 275,345.00 LOT 3. Equipment Rental = 5,500.00 For</t>
  </si>
  <si>
    <t xml:space="preserve"> PROVISION OF WATCHMAN SERVICES FROM MARCH 1-DECEMBER 31, 2020</t>
  </si>
  <si>
    <t xml:space="preserve"> Printing of Gold Card ID's of Socialized Medical Health Care Program of the CGC</t>
  </si>
  <si>
    <t xml:space="preserve"> Republic of the Philippines Municipality of Taytay Barangay Casian NOTICE TO BIDDERS 1.	CONCRETING OF ROAD ( Bgy. Proper) Item#	Description		QTY.		UNIT	 1.	Portland Cement		769		bags 2.	12mm dia.x6.0m RSB		72		pcs 3.	½”Ordinary Plywood		3		pcs 4.	2”x6”x 1</t>
  </si>
  <si>
    <t xml:space="preserve"> Supply and Delivery of Construction Supplies and Materials needed for the Improvement of Barangay Health Station at Belance with an ABC of Php320,812.29 LOT 1. Billboard = 1,900.00 LOT 2. Miscellaneous Materials = 277,112.29 LOT 3. Electrical Supplies = 2</t>
  </si>
  <si>
    <t xml:space="preserve"> Purchase and delivery of equipment and consumables to be used by BPLS</t>
  </si>
  <si>
    <t xml:space="preserve"> NOTICE FOR NEGOTIATED PROCUREMENT (Small Value Procurement – Sec 53.9 of the Revised IRR of 9184) Reference No. 20-06-028TF Procuring Entity: MUNICIPALITY OF LILIW, LAGUNA Title: Supply and Delivery of Materials for the Repair and Maintenance of Truck MRF</t>
  </si>
  <si>
    <t xml:space="preserve"> Supply and delivery of 3 units printer with scanner</t>
  </si>
  <si>
    <t xml:space="preserve"> Purchase and delivery of janitorial supplies for City Public Market</t>
  </si>
  <si>
    <t xml:space="preserve"> AIR CONDITIONER - Wallmounted - Split type - 1.5 HP - Inverter ***NOTE: Pls. supply/fill-in preferred Deliver Period, Warranty (if applicable) and Price Validity*** ABC: 69,000.00 Delivery Period: Delivery Site: On Site SUBMIT CERTIFIED TRUE COPY OF THE F</t>
  </si>
  <si>
    <t xml:space="preserve"> For the repair and maintenance of vehicle  Lot 1 Labor and materials Work details PMS - 140,000 km and check-up (engine check) Clean EGR/valve kit Replace brake fluid &amp; bleed system Replace clutch fluid Parts: Fuel filter element Fully synthetic oil 5W-30</t>
  </si>
  <si>
    <t xml:space="preserve"> INVITATION TO BID FOR THE Procurement of Various  Materials, Fuel and Lubricant for the Implementation of Road Rehabilitation Program  1.	The Municipality of Alabel, through the Annual Budget for CY 2020  intends to apply the sum of: Lot No. 	Description	</t>
  </si>
  <si>
    <t xml:space="preserve"> Provision of Vehicle Rentals ABC:472,500.00 	1 unit Vehicle Rentals -	105 days Travel -	June –December 2020 -	Region-Wide 	(during the conduct of validation, inspection, Post Qualification and Mass Distribution in relation to the implementation 		Of the P</t>
  </si>
  <si>
    <t xml:space="preserve"> Installation of 4 units floor mounted inverter type airconditioning units at PCA bldg., 4th floor</t>
  </si>
  <si>
    <t xml:space="preserve"> INVITATION TO BID Bid Reference No. ____________ PURCHASE OF FUEL FOR THE SECOND QUARTER (BIDDING) Approved Budget for the Contract (ABC): Php 304,000.00 1. The Municipal Government Unit of Initao, Misamis Oriental intends to apply the sum of : Three Hund</t>
  </si>
  <si>
    <t xml:space="preserve"> INVITATION TO BID KB-INFRA- 2020-06 The MUNICIPALITY OF KITAOTAO, through its Bids and Awards Committee (BAC), invites supplier’s manufacturers/contractors to apply for eligibility and to bid for hereunder project: Project Name	  : CONSTRUCTION OF MULTIPU</t>
  </si>
  <si>
    <t xml:space="preserve"> Please see BAC Chairman &amp; attached document</t>
  </si>
  <si>
    <t xml:space="preserve"> Republic of the Philippines                                                                   PROVINCE OF SAMAR                                                                    INVITATION TO BID                                                           </t>
  </si>
  <si>
    <t xml:space="preserve"> Supply and Delivery of Construction Supplies and Materials needed for the Improvement of Barangay Health Station at Bulala with an ABC of Php300,488.25 LOT 1. Billboard = 1,900.00 LOT 2. Miscellaneous Materials = 257,500.25 LOT 3. Electrical Supplies = 21</t>
  </si>
  <si>
    <t xml:space="preserve"> Please see attached Request for Quotation. ---------------------OPAG--------------------</t>
  </si>
  <si>
    <t xml:space="preserve"> NOTICE FOR NEGOTIATED PROCUREMENT (Small Value Procurement – Sec 53.9 of the Revised IRR of 9184) Reference No. 20-06-027TF Procuring Entity: MUNICIPALITY OF LILIW, LAGUNA Title: Supply and Delivery of Reagents used in Rural Health Unit Laboratory Area of</t>
  </si>
  <si>
    <t xml:space="preserve"> Project Description: Type: Concrete                                            Drainage Length: 123 meters                                      Length: 120m (L=60m,R=60m) Width: 4 meters                                           Width=0.50m Thickness: 6"(</t>
  </si>
  <si>
    <t xml:space="preserve"> Republic of the Philippines BIDS AND AWARDS COMMITTEE Bacolod City INVITATION TO BID FOR THE PURCHASE OF HIGH SPEED FULL COLOR INKJET PRINTER 1.	The City of Bacolod, through the Sangguniang Panlungsod 2019 intends to apply the sum of                      </t>
  </si>
  <si>
    <t xml:space="preserve"> 78 PCS FLU VACCINE</t>
  </si>
  <si>
    <t xml:space="preserve"> QTY   UNIT    DESCRIPTION 1       lot        Emission Test for 2 units Generator set</t>
  </si>
  <si>
    <t xml:space="preserve"> Republic of the Philippines Province of Camarines Sur BARANGAY MAANGAS       Municipality of Presentacion -o0o- Invitation to Bid for PURCHASE OF HARDWARE MATERIALS FOR BARANGAY ACCESS ROAD CONSTRUCTION. 1.	The BLGU of Maangas, Presentacion, Camarines Sur</t>
  </si>
  <si>
    <t xml:space="preserve"> Republic of the Philippines BIDS AND AWARDS COMMITTEE Bacolod City INVITATION TO BID FOR THE PURCHASE OF ONE MOTOR VEHICLE (AUV-BRAND NEW) FOR CITY MAYOR’S OFFICE USE 1.	The City of Bacolod, through the Sangguniang Panlungsod 2019 intends to apply the sum</t>
  </si>
  <si>
    <t xml:space="preserve"> Supply &amp; Delivery of Tire/Spare Parts ABC:94,080.00 	4  pcs TIRE 265 x R16  for Ford Ranger 	4 pcs TIRE 265xR17 for Mitsubishi Strada 	Delivery period: 30 days 	Delivery site: DA-RFO 12, Koronadal City (GSO/RPDP) Note: Bidders must quote in all items (by </t>
  </si>
  <si>
    <t xml:space="preserve"> 350 bottles Multivitamins Syrup 60ml 350 bottles Ascorbic Acid Syrup 60ml 85 boxes Multivitamins Cap. 100pcs/box 85 boxes Ascorbic Acid Tab. 100pcs/box</t>
  </si>
  <si>
    <t xml:space="preserve"> Procurement ID/Contract I.D.: 20CN0149 Contract Name: Retrofitting/Strengthening of Permanent Bridge – Aguang Br. (B03015LZ) Contract Location: along Baler – Casiguran Rd (Baler – Dinadiawan) Brief Description: Bridge Construction Approved Budget for the </t>
  </si>
  <si>
    <t xml:space="preserve"> Supply and Delivery of Construction Supplies and Materials needed for the Improvement of Barangay Health Station at New Gumiad with an ABC of Php339,158.66 LOT 1. Billboard = 1,900.00 LOT 2. Miscellaneous Materials = 320,758.66 LOT 3. Hauling of Materials</t>
  </si>
  <si>
    <t xml:space="preserve"> Republic of the Philippines                                                                   PROVINCE OF SAMAR                                                                   2nd  INVITATION TO BID                                                       </t>
  </si>
  <si>
    <t xml:space="preserve"> INSTALLATION OF SOLAR STREETLIGHT-NAPNAPAN, PANTUKAN</t>
  </si>
  <si>
    <t xml:space="preserve"> Supply &amp; Delivery of Materials ABC:138,000.00 	100 bot Alcohol 80% Ethyl or Isopropyl Alcohol, 500ml 	100 boxes Face mask, 3 ply, 50 pcs/box 	Delivery period: 30 days 	Delivery site: DA-RFO 12, Koronadal City (GSO/RPDP) Note: Bidders must quote in all ite</t>
  </si>
  <si>
    <t xml:space="preserve"> Japan used and reconditioned  Suzuki Multicab Passenger type  4x4</t>
  </si>
  <si>
    <t xml:space="preserve"> 1 10 REAM/S PAPER - BOND,PG,LEGAL,216MMX330MM(8-1/2"X13") 70 GSM 2 11 REAM/S PAPER - BOND,PG,A4,210MMX297MM,70GSM. 3 70 PC/S NOTEBOOK - YARN 4 1 REAM/S PAPER - BOND COLORED LONG-YELLOW 5 1 PC/S USB FLASH DRIVE - 16 GB 6 149 PC/S BALLPEN - ORDINARY, BLACK</t>
  </si>
  <si>
    <t xml:space="preserve"> Republic of the Philippines Province of Occidental Mindoro Municipality of Sta. Cruz INVITATION TO BID The Municipality of Sta. Cruz, through its Bids and Awards Committee (BAC), invites qualified suppliers to bid for the implementation of hereunder progr</t>
  </si>
  <si>
    <t xml:space="preserve"> DESCRIPTION	QTY	UNIT	AMOUNT	TOTAL COST 1	7"    gong	33	PCS	 1,875.00 	 61,875.00  2	6"    gong	15	PCS	 1,354.00 	 20,310.00  3	5"    gong	19	PCS	 1,145.00 	 21,755.00  4	4"    gong	16	PCS	 833.00 	 13,328.00  5	3"   gong	98	PCS	 312.00 	 30,576.00  6	2.5"</t>
  </si>
  <si>
    <t xml:space="preserve"> 2	SETS	13.6x24 BRAND NEW TIRE W/ TUBE AND FLAP 12	SETS	1200X20 BRAND NEW TIRE W/ TUBE AND FLAP 12	SETS	1000X20 BRAND NEW TIRE W/ TUBE AND FLAP 4	SETS	900X20 BRAND NEW TIRE W/ TUBE AND FLAP 10	SETS	825X20 BRAND NEW TIRE W/ TUBE AND FLAP 10	SETS	825X16 BRAN</t>
  </si>
  <si>
    <t xml:space="preserve"> Invitation to Bid The Municipal Government of Liliw, Laguna, through its Bids and Awards Committee (BAC), invites bidders top bid for the hereunder project: Name of Project: Supply and Delivery of Various Equipment for different offices in the Municipalit</t>
  </si>
  <si>
    <t xml:space="preserve"> Furnish of 1 set Desktop Computer (refer attachment for the specs)</t>
  </si>
  <si>
    <t xml:space="preserve"> Republic of the Philippines BIDS AND AWARDS COMMITTEE Bacolod City INVITATION TO BID FOR THE PURCHASE OF MOTOR VEHICLE FOR CITY ADMINISTRATOR'S OFFICE USE 1.	The City of Bacolod, through the Sangguniang Panlungsod 2019 intends to apply the sum of         </t>
  </si>
  <si>
    <t xml:space="preserve"> Per approved PR # 249 dated May 13, 2020 consisting of various drugs and medicines for use in the Mun. Heath Office.</t>
  </si>
  <si>
    <t xml:space="preserve"> The TARLAC AGRICULTURAL UNIVERSITY, through its Bids and Awards Committee (BAC), invites all suppliers and dealers to submit sealed quotation for the “PURCHASE AND DELIVERY OF FEMALE GOATS AND BUCKS". Prospective bidders are required to submit the followi</t>
  </si>
  <si>
    <t xml:space="preserve"> Please contact BAC Secretariat for details</t>
  </si>
  <si>
    <t xml:space="preserve"> RFQ 2020-100 PROJECT		:	LBRDC MOST COMMONLY USED MATERIALS  IMPLEMENTOR		: 	LBP RESOURCES AND DEVELOPMENT CORPORATION OWNER			:	LAND BANK OF THE PHILIPPINES	 REQUEST FOR QUOTATION FOR	:	SUPPLY OF CONSTRUCTION MATERIALS    DATE / TIME OF SUBMISSION		:	ON O</t>
  </si>
  <si>
    <t xml:space="preserve"> SOURCE OF FUNDS: ANNUAL BUDGET CY 2020-- 20% DF BIDDING DATE &amp; TIME: JUNE 19, 2020- 3:00 P.M</t>
  </si>
  <si>
    <t xml:space="preserve"> SOURCE OF FUNDS: ANNUAL BUDGET CY 2020-- 20% DF BIDDING DATE &amp; TIME: JUNE 19, 2020- 1:00 P.M</t>
  </si>
  <si>
    <t xml:space="preserve"> ITEM NO.	QUANTITY	UNIT	DESCRIPTION 1	68	pcs	Angle Bar, 1/4" x 2" x 2" x 6m 2	25	m	Assorted Sanding Paper 3	70	pcs	Assorted Paint Rollers/Brush 4	100	pcs	Bamboo Poles 5	3	box	Blind Rivets, 5/32 x 1" 6	10	box	Blind Rivets, 1/8 x 1" 7	45	pcs	C-Purlin, 2" x 4</t>
  </si>
  <si>
    <t xml:space="preserve"> Supply &amp; Delivery of Agricultural  Equipment ABC:100,000.00 1 unit  Thresher (Complete Set)  	Delivery period: 30 days 	Delivery site: DA- AmasRES, Amas Kidapawan City Note: Bidders must quote in all items (by lot) in a Sealed Envelope  together with Mand</t>
  </si>
  <si>
    <t xml:space="preserve"> Republic of the Philippines BIDS AND AWARDS COMMITTEE Bacolod City INVITATION TO BID FOR THE PURCHASE OF BRAND NEW SERVICE VEHICLE FOR USE AS SERVICE VEHICLE OF PUBLIC WORK DIVISION, CEO 1.	The City of Bacolod, through the Sangguniang Panlungsod 2019 inte</t>
  </si>
  <si>
    <t xml:space="preserve"> Please see attached Request for Quotation. --------------------OPAG---------------------</t>
  </si>
  <si>
    <t xml:space="preserve"> Provision of Consultancy Services (July-December 2019) ABC:756,000.00 	1 pax  Administrative Offcer (July-December 2019)		180,000.00 TERMS OF REFERENCE (TOR) Job Title				:  ADMINSTRATIVE OFFICER  Official Station				: Regional Project Coordination Office</t>
  </si>
  <si>
    <t xml:space="preserve"> unit	Pick up type Vehicle 4x4	1 	With engine displacement not exceeding	 	3000cc	 	Diesel fed	 	Number of Cylinder: 4	 	Number Valves: 16	 	Transmission Category: 6 Speed Automatic	 Purpose: Peace and Order Monitoring to all barangays in the Municipality </t>
  </si>
  <si>
    <t xml:space="preserve"> REPUBLIC OF THE PHILIPPINES CITY GOVERNMENT OF OROQUIETA BIDS AND AWARD COMMITTEE City Hall , Oroquieta City                                                                                                                                                   </t>
  </si>
  <si>
    <t xml:space="preserve"> Polyethylene Water storage Tank (2,000 L) 1 unit Angle bar 2"x2"x1/4"thk 34 pcs Cement 33 bags Sand 2 cu.m Gravel 4 cu.m 16mm dia RSB 40 pcs 10mm dia RSB 25 pcs GI wire #16 4 kgs GI plain sheet 2 pcs Plywood 1/2"thk 4 pcs Cocolumber 2"x3"x10' 8 pcs Assort</t>
  </si>
  <si>
    <t xml:space="preserve"> Republic of the Philippines BIDS AND AWARDS COMMITTEE Bacolod City INVITATION TO BID FOR THE PURCHASE OF 4 WHEELER-TRUCK FOR SOCIO ECONOMIC ENTERPRISE UNIT-MARKETS USE 1.	The City of Bacolod, through the Sangguniang Panlungsod 2019 intends to apply the su</t>
  </si>
  <si>
    <t xml:space="preserve"> Republic of the Philippines Province of Occidental Mindoro Municipality of Sta. Cruz INVITATION TO BID The Municipality of Sta. Cruz, through its Bids and Awards Committee (BAC), invites qualified contractors to bid for the construction of hereunder progr</t>
  </si>
  <si>
    <t xml:space="preserve"> 2 units Laptop</t>
  </si>
  <si>
    <t xml:space="preserve"> ITEM NO.	QUANTITY	UNIT	DESCRIPTION 			 1	5400	pcs	35x25x5.5cm (Barbell) Block Paver 2	2250	pcs	Cement (Paver) Tiles 3	45	pcs	30 x 30 x 2 cm (Cement Tiles) 4	35	pcs	60 x 60cm Ceramic Tiles 5	30	cu.m.	Earthfilling 6	25	pcs	Gravel 7	45	cu.m.	Sand 8	356	bags	</t>
  </si>
  <si>
    <t xml:space="preserve"> REMINDERS: (1) SUBMISSION OF REQUEST FOR QUOTATION SHALL BE ON A SEALED ENVELOPE. THE FLAP OF THE ENVELOPE MUST BE SIGNED. THE DETAILS THAT SHOULD BE REFLECTED IN THE ENVELOPE ARE THE FOLLOWING:  a) RQ NUMBER;  b) COMPANY NAME;  c) REQUESTING UNIT; and  d</t>
  </si>
  <si>
    <t xml:space="preserve"> Republic of the Philippines Province of Davao Oriental City of Mati BIDS &amp; AWARDS COMMITTEE INVITATION TO BID (REBID) Procurement of One (1) Unit CACAO GRINDER in Support to Cacao/Coffee Village Plantation Development Program SOURCE OF FUND: OLFP [1999(OC</t>
  </si>
  <si>
    <t xml:space="preserve"> Republic of the Philippines Province of Camarines Norte MUNICIPALITY OF VINZONS BIDS AND AWARDS COMMITTEE (BAC) (Tel. # 446-63-09) INVITATION TO BID 	 Invitation to Bid for: CONSTRUCTION OF TEMPORARY FACILITY WITH MATERIALS RECOVERY FACILITY – BRGY. MANGC</t>
  </si>
  <si>
    <t xml:space="preserve"> 7 units Manual BP Apparatus</t>
  </si>
  <si>
    <t xml:space="preserve"> Supply &amp; Delivery of Various Agri Supplies ABC:101,500.00 1,005 kgs. Heirloom  Rice Seeds 149 kgs Peanut Seeds 2 bags  Hybrid Corn Seeds 	Delivery period: 30 days 	Delivery site: DA-Aroman RES, Carmen, Cotabato Note: Bidders must quote in all items (by lo</t>
  </si>
  <si>
    <t xml:space="preserve"> Assorted Drugs &amp; Medicines</t>
  </si>
  <si>
    <t xml:space="preserve"> Supply &amp; Delivery of Various Supplies ABC:50,050.00 8 pcs Bukag  9 pcs Winnower  350 pcs Empty Sacks 5 pcs Shovel 6 pcs Spade, HD 2 units Wooden seed shelves (H= 6ft, W=8ft, D= 18”) 	Delivery period: 30 days 	Delivery site: DA-Aroman RES, Carmen, Cotabato</t>
  </si>
  <si>
    <t xml:space="preserve"> A.I. Construction of 0.40 m. x 0.40 m. x 1.10 m. high pedestal																			 8			bags			Portland Cement															 25			cans			Washed Sand															 50			Cans			Washed Gravel															 7			pcs.			16 mm Ø RSB @ 6 m. long															 6</t>
  </si>
  <si>
    <t xml:space="preserve"> Supply &amp; Delivery of Laboratory Supplies ABC:57,000.00 	10  sacks Crack Corn  -	Yellow 	30 sacks Trigo/Wheat -	50 kgs/bag -	Big grains -	White in color and clean 	Delivery period: 30 days 	Delivery site: DA-RCPC, Tacurong City  Note: Bidders must quote in</t>
  </si>
  <si>
    <t xml:space="preserve"> Name of Project: COMPLETION OF LITEN MULTI-PURPOSE HALL						 Location: Suyoc, Mankayan, Benguet						 Materials:						 	Description		QTY	Unit 	Unit Cost	Amount 	Portland Cement		20	bags	351.00	 7,020.00  	Fine sand		1	cu m	 2,434.00 	 2,434.00  	.30x.30 </t>
  </si>
  <si>
    <t xml:space="preserve"> I. SIGNBOARD II. LAY-OUT &amp; EXCAVATION III. STONE MASONRY WORKS</t>
  </si>
  <si>
    <t xml:space="preserve"> Supply &amp; Delivery of Cacao Seedlings ABC:510,000.00 34,000 pcs Cacao Seedlings -	Pencil size -	Graftable  -	Potted on 6” x 10” x.003 -	Polyethylene  black bag 	Delivery period: 30 days 	Delivery site: DA- Amas RES, Kidapawan City  Note: Bidders must quote</t>
  </si>
  <si>
    <t xml:space="preserve"> SOURCE OF FUNDS: ANNUAL BUDGET CY 2020 BIDDING DATE &amp; TIME: JUNE 19, 2020- 1:00 P.M</t>
  </si>
  <si>
    <t xml:space="preserve"> 1 unit Infant Weighing Scale</t>
  </si>
  <si>
    <t xml:space="preserve"> Supply &amp; Delivery of Planting Materials ABC:542,000.00 	542,000 pcs  Cassava Planting Materials   -	Good quality planting materials -	Free from pest &amp; diseases -	Mature stalks  -	With at least 30 viable node/stalk -	Diameter : 1.5m -	Lakan/Rayong Variety </t>
  </si>
  <si>
    <t xml:space="preserve"> RFQ 2020-101 PROJECT		:	LBRDC MOST COMMONLY USED MATERIALS  IMPLEMENTOR		: 	LBP RESOURCES AND DEVELOPMENT CORPORATION OWNER			:	LAND BANK OF THE PHILIPPINES	 REQUEST FOR QUOTATION FOR	:	SUPPLY OF GLASS &amp; STAINLESS MATERIALS    DATE / TIME OF SUBMISSION		:</t>
  </si>
  <si>
    <t xml:space="preserve"> WRENCH, TORQUE S-WRENCH TORQUE</t>
  </si>
  <si>
    <t xml:space="preserve"> CALIBRATION OF SURVEY INSTRUMENT: SOKKIA GRS2, REAL TIME KINEMATIC (RTK) GLOBAL NAVIGATION SATELLITE SYSTEM (GNSS) RECEIVER</t>
  </si>
  <si>
    <t xml:space="preserve"> I. SIGNBOARD II. REMOVAL OF DILAPIDATED FLOOR TILES (FITS CENTER) III. REMOVAL OF DILAPIDATED FLOOR TILES (DRRMO OFFICE) IV. REMOVAL OF DILAPIDATED FLOOR TILES (SB OFFICE) V. REMOVAL OF DILAPIDATED FLOOR TILES (MAYOR'S OFFICE) VI. REMOVAL OF DILAPIDATED F</t>
  </si>
  <si>
    <t xml:space="preserve"> 1	Name of Project: IMPROVEMENT OF KAMANTUKOB-NAKAWA WWS					 	Location:Guinaoang, Mankayan, Benguet					 	Materials:					 	Description		Qty.	Unit	Unit Cost	Amount 	port land cement		25	bags	314.00	 7,850.00  	sand		1.5	cu m	 2,024.00 	 3,036.00  	gravel		</t>
  </si>
  <si>
    <t xml:space="preserve"> Republic of the Philippines Province of Camarines Norte MUNICIPALITY OF VINZONS BIDS AND AWARDS COMMITTEE (BAC) (Tel. # 446-63-09) 	 INVITATION TO BID FOR: Materials for the Installation of Solar Lights – Brgy. Sabang, Vinzons, Camarines Norte 1.	The Loca</t>
  </si>
  <si>
    <t xml:space="preserve"> Supply &amp; Delivery of Laboratory Supplies ABC: 327,000.00 	2 tube Avian Influenza Virus H5N1 Antigen 	2 tube Avian Influenza Virus H5N2 Antigen 	2 tube Avian Influenza Virus H7N1 Antigen 	1 bot EIA Equine Infections Anemia (Coggins Test kit) 	7 kit CAE Tes</t>
  </si>
  <si>
    <t xml:space="preserve"> I. SIGNBOARD II. FACADE PAINTING AND FINISHING III.FACADE EAVES CEILING IV. CONCRETING OF FLOORING V. SENIOR &amp; PWD HOLDING AREA VI. CONCRETING &amp; MASONRY WORKS VII. STEEL WORKS VIII. FORM &amp; SCAFFOLDING IX. DOORS &amp; WINDOWS X. TRUSS AND ROOFING WORKS XI. CAR</t>
  </si>
  <si>
    <t xml:space="preserve"> INVITATION TO BID IB No. 01-2020 PURCHASE OF VARIOUS CONSTRUCTION MATERIALS AND SUPPLY FOR THE PROPOSED CONSTRUCTION OF LINING CANAL APPROXIMATELY 100m 1.	The Barangay Cabolo-an Sur, Oton, Iloilo, through 20% Development, intends to apply the sum of One H</t>
  </si>
  <si>
    <t xml:space="preserve"> 1.	The Brgy. Capayawan, Municipality of Botolan, through the Barangay Fund intends to apply the sum of P 360,688.00 being the Approved Budget for the Contract (ABC) to payments under the contract for Concreting of Capayawan Alley Road (Phase II), Botolan,</t>
  </si>
  <si>
    <t xml:space="preserve"> Republic of the Philippines Province of Camarines Norte MUNICIPALITY OF VINZONS BIDS AND AWARDS COMMITTEE (BAC) (Tel. # 446-63-09) 	 INVITATION TO BID FOR: Hardware Materials for the Construction of Low Cost Housing Phase II – Gawad Kalinga 1.	The Local G</t>
  </si>
  <si>
    <t xml:space="preserve"> FABRICATION AND INSTALLATION OF WOODEN CABINET AT NEW DREDGING OFFICE AND OTHER ACTIVITIES</t>
  </si>
  <si>
    <t xml:space="preserve"> Supply &amp; Delivery of IT Supplies ABC:55,500.00 1 pc Intel core i5-7500 1 pc motherboard, Ex-H110M-V Micro ATX 1 pc 8GB DDR4 2666 DIMM Desktop memory 1 pc 1TB green SATA 6.0 gb/3.5 in IHD 1 pc  22 in widescreen LCD monitor/DVi 1 pc  ATX Case with 700 power</t>
  </si>
  <si>
    <t xml:space="preserve"> BIDS AND AWARDS COMMITTEE REQUEST FOR QUOTATION The UCPB invites all interested suppliers, which are registered in the Philippine Government Electronic Procurement System (PhilGEPS), to submit their lowest price proposal/quotation for the replacement of a</t>
  </si>
  <si>
    <t xml:space="preserve"> MAINTAINING A WATER LILY FREE AT THE SURGE POOL AREA, WHOLE YEAR ROUND WITHIN THE WHOLE BODY OF WATER</t>
  </si>
  <si>
    <t xml:space="preserve"> REPAIR AND RECONDITIONING OF SLURRY PUMP ROTOR OF THE DREDGING MACHINE</t>
  </si>
  <si>
    <t xml:space="preserve"> SOURCE OF FUNDS: ANNUAL BUDGET CY 2020 BIDDING DATE &amp; TIME: JUNE 19, 2020- 3:00 P.M</t>
  </si>
  <si>
    <t xml:space="preserve"> TO SUPPLY HYDRAULIC OIL FOR THE DREDGING MACHINE CONSUMPTION</t>
  </si>
  <si>
    <t xml:space="preserve"> Construction/ Concreting of Provincial Roads, Highways and Bridges (Panhutungan Feeder Road Slope Protection) Municipality of Placer, Surigao del Norte Name of Contract:	Construction/ Concreting of Provincial Roads, Highways and Bridges (Panhutungan Feede</t>
  </si>
  <si>
    <t xml:space="preserve"> I Removal of Existing Canal &amp; Excavation : A. Labor: 1 Foreman 6 Laborers B. Equipment: 1 Unit Jackhammer II C.H.B Laying Plastering and Canal Cover: Canal Dimension L= 37 m, W = 0.6 m (Outside ) , H = 0.6 m A. Mayterials: 105 bags Portland Cement 7 cu.m.</t>
  </si>
  <si>
    <t xml:space="preserve"> 1.	2,993	liter/s	Diesel Fuel</t>
  </si>
  <si>
    <t xml:space="preserve"> covid protection and blended learning supplies</t>
  </si>
  <si>
    <t xml:space="preserve"> INSTALLATION OF SOLAR STREETLIGHTS AT RICAFRENTE COMPOUND,  POBLACION, ROSARIO, CAVITE MATERIALS: 	25pcs.		Solar Powered Lightning Fixture, 10 Watts Led Lamp 	13pcs.		GI Pipe 2”0 	  8pcs		GI Pipe 1 ½”0 	10pcs.		RSB #9 	  3pcs.		Tie Wire #16 	  4pcs.		Weld</t>
  </si>
  <si>
    <t xml:space="preserve"> VACUUM INDUSTRIAL, 230 VOLTS POWER SUPPLY, WET &amp; SUPPLY</t>
  </si>
  <si>
    <t xml:space="preserve"> TO SUPPLY DIESEL &amp; 1 OTHER ITEM</t>
  </si>
  <si>
    <t xml:space="preserve"> DESCRIPTION OF WORK QTY UNIT Installation of Shed Roofing 5.94 sq.m. Materials: 2" x 3" Rectangular Tube 4 lngth Welding Rod 1 kg Roofing Sheet (Rib Type) 4 sheets Roofing Insulator 6 mts Gutter 3.3 mts Down Spout 1 lot Red Oxide 1 quart Enamel (Brown) 1 </t>
  </si>
  <si>
    <t xml:space="preserve"> Republic of the Philippines					 DEPARTMENT OF PUBLIC WORKS AND HIGHWAYS					 BUTUAN CITY DISTRICT ENGINEERING OFFICE					 REGIONAL OFFICE XIII					 Butuan City, Agusan del Norte					   Tel. Nos. 342-5331  Fax No. 225-2022					 					Page 1 of 3 Name of Pr</t>
  </si>
  <si>
    <t xml:space="preserve"> Republic of the Philippines Municipality of Taytay Barangay Casian NOTICE TO BIDDERS 1.	CONCRETING OF ROAD ( Construction of MPP) So. Amianan Rd. Item#	Description			QTY.		UNIT	 1.	Portland Cement			762		bags 2.	12mm dia.x6.0m RSB		        118		pcs 3.	½”O</t>
  </si>
  <si>
    <t xml:space="preserve"> Supply, Delivery, Testing, Integration, Training and  Commissioning of News Production Editing System with  Complete Accessories for the Mindanao Media Hub of the  People’s Television Network, Inc. (PTNI)  (Negotiated Procurement: Two Failed Biddings)</t>
  </si>
  <si>
    <t xml:space="preserve"> Service Vehicle				1	unit &gt; Brand New					 &gt; Sports Utility Vehicle					 &gt; Engine Displacement : 1898cc (minimum)					 &gt; Engine Type : 4-cylinder, Diesel-fed, with turbo intercooler					 &gt; Power : 150 PS 					 &gt; Torque : 350 N-m					 &gt; Fuel System : CRDI	</t>
  </si>
  <si>
    <t xml:space="preserve"> Request for Quotation City Agriculture Office CO - Breeding Stocks P310,000.00</t>
  </si>
  <si>
    <t xml:space="preserve"> 114 reams Multipurpose, Copy Paper 70gsm A4 145 reams Multipurpose, Copy 70gsm Legal 1 pack Tagboard Folder, A4 2 packs Tagboard Folder, Legal 17 pieces Sign pen, blue 17 pieces Sign pen, black 2 tubes Brother Toner, DCP 2540DW 14 pieces Thermal Scanner 1</t>
  </si>
  <si>
    <t xml:space="preserve"> Billboard; Clearing and Excavation; Reinforcing Steel Bars; Concrete Works; Installation of 1/2 “ dia G.I. Pipe Sch. 40 and HDPP Pipe; Construction of Pump House and Upgrading of Water Pump; Electrical Permit/Processing Fee; Electrical Works; Construction</t>
  </si>
  <si>
    <t xml:space="preserve"> Top Loading, Hot and Cold Standing Water Dispenser  4     Pls. submit your quotation thru email:  mi_lynsn@yahoo.com x-x-x-x-x-x-x-x-x-x-x-x-x-x-x-x-x Total ABC  (in PhP)  24,000.00</t>
  </si>
  <si>
    <t xml:space="preserve"> UNIT	  DESCRIPTION		QUANTITY SPL-1	INSTALLATION OF HOSPITAL LIFT ELEVATOR		 	Qty. = 1.00 lot		 I.	Materials		 lot	Hospital Lift Elevator 2 tons Capacity with		1 	75KW motor incl. mechanical and electrical		 	installation incl. accessories &amp; fittings		 II.</t>
  </si>
  <si>
    <t xml:space="preserve"> PROJECT TITLE:	VARIOUS HARDWARE, ELECTRICAL &amp; INDUSTRIAL SUPPLIES		  					        INSTRUCTIONS:	__√_	ADDITIONAL INSTRUCTIONS ATTACHED 			___	NO ADDITIONAL INSTRUCTIONS 1.	Fax / Email / Submit your quote or regret (with reasons thereof) using the PNOC issu</t>
  </si>
  <si>
    <t xml:space="preserve"> 1.	1	unit/s	Motorcycle XRM-125 FI latest</t>
  </si>
  <si>
    <t xml:space="preserve"> Republic of the Philippines Province of Batanes	 MUNICIPALITY OF BASCO               		INVITATION TO BID FOR THE PROCUREMENT OF MATERIALS FOR REPAIR AND MAINTENANCE OF SCHOOL BUILDINGS 1.	The Municipal Local Government Unit of Basco, through the General F</t>
  </si>
  <si>
    <t xml:space="preserve"> RFQ 2020-102 PROJECT		:	LBRDC MOST COMMONLY USED MATERIALS  IMPLEMENTOR		: 	LBP RESOURCES AND DEVELOPMENT CORPORATION OWNER			:	LAND BANK OF THE PHILIPPINES	 REQUEST FOR QUOTATION FOR	:	SUPPLY OF ELECTRICAL MATERIALS    DATE / TIME OF SUBMISSION		:	ON OR </t>
  </si>
  <si>
    <t xml:space="preserve"> Please quote your lowest price inclusive of VAT on the item/s listed below, subject to the Terms and Conditions of this RFQ, and submit your quotation duly signed by your representative not later than  June 18,  2020  at Bids and Awards Committee Katipuna</t>
  </si>
  <si>
    <t xml:space="preserve"> Republic of the Philippines PROVINCE OF SAMAR Catbalogan -o0o- REQUEST FOR EXPRESSION OF INTEREST FOR THE PROCUREMENT OF INDEPENDENT CONSULTANT FOR THE CONSULTANCY SERVICES FOR THE FORMULATION OF FEASIBILITY STUDY AND ENVIRONMENTAL IMPACT ASSESSMENT, AND </t>
  </si>
  <si>
    <t xml:space="preserve"> 1 lot ABC:       84,000.00 Components: "1. Batino’s Food Products 2. Calingayan Rural Improvement Club 3. Cynthia’s Food Products 4. Datsimas Food Products 5. David Menor Mendrata Mushroom Farm 6. Grace Bernadette Food Products 7. JGC Food Products 8. JL </t>
  </si>
  <si>
    <t xml:space="preserve"> INVITATION TO BID IB No. 03, S. 2020 The Municipality of General Nakar, Quezon through the Approved  Purchase Request amounting to One Million One Hundred Seventy Thousand Eight Hundred and Sixty Five Pesos (PhP1,170,865.00) being the Approved Budget for </t>
  </si>
  <si>
    <t xml:space="preserve"> Republic of the Philippines Province of Davao De Oro 		Municipality of Compostela BARANGAY SIOCON BIDS AND AWARDS COMMITTEE CP #: 09101906158 INVITATION TO BID NO. 2020-07-001 BID #001 1.	The Barangay Siocon through its Bids and Awards Committee invites S</t>
  </si>
  <si>
    <t xml:space="preserve"> INVITATION TO BID BAC-IB NO. 2020-31 	 The Research Institute for Tropical Medicine (RITM) through its Bids and Awards Committee (BAC) invites legally, technically and financially capable PhilGEPS registered contractors with valid and appropriate PCAB Lic</t>
  </si>
  <si>
    <t xml:space="preserve"> WDR Ir Dome Camera Network units 13 * 7mm-35mm 5x Zoom * Lens 5x Zoom 8MP 8MP WDR IR Mini Bullet Network Camera units 19 * 1/1.8" 8Megapixel progressive scan CMOS * H. 265&amp;H.264 dual-stream encoding * 25/30 fps @ 8MP (3840x2160) * WDR (120dB), Day/Night (</t>
  </si>
  <si>
    <t xml:space="preserve"> 1 22 REAM/S PAPER - BOND,PG,A4,210MMX297MM,70GSM. 2 22 REAM/S PAPER - BOND,PG,LEGAL,216MMX330MM(8-1/2"X13") 70 GSM 3 3 BOX BALLPEN - BLACK ORDINARY 50'S 4 25 PC/S CORRECTION TAPE - W/ CASE 5 3 PACKS PAPER - PHOTO A4 SIZE 200GMS 20'S/PACK 6 10 BOX/S WIRE -</t>
  </si>
  <si>
    <t xml:space="preserve"> Republic of the Philippines BOHOL ISLAND STATE UNIVERSITY Main Campus, Tagbilaran City INVITATION TO BID FOR SUPPLY AND DELIVERY OF PRINTING SUPPLIES FOR DIFFERENT DEPARTMENTS (NON-PS) (PR NO. 2020-06-0560) 1.	The Bohol Island State University – Main Camp</t>
  </si>
  <si>
    <t xml:space="preserve"> •	Multi-parameter Water Quality Probe   -   1 pc.    •	Hydrochloric Acid (Non-fuming)   - 1 bot    •	Magnesium chloride   -   1 bot    •	Sodium acetate         -   1 bot    *	Sodium carbonate     -   1 bot    •	N-1(1-Napthyl) Ethylenediamine dihychloride </t>
  </si>
  <si>
    <t xml:space="preserve"> The Mabitac Water District, through the Siniloan Water District (SIWADI) BAC intends to apply the sum of PhP 870,000.00 being ABC to payment under the contract for the Drilling of one (1) Exploratoryh/Production Well. We now invites sealed Bids from prosp</t>
  </si>
  <si>
    <t xml:space="preserve"> Activities	Schedule 1. First Day of Issuance of Bid Documents: June 15, 2020 2. Last day of Issuance of Bid Documents: June 23, 2020 @ 2:00 PM 3. Last day of Submission and Opening of Bids: June 23, 2020 @ 2:00 PM</t>
  </si>
  <si>
    <t xml:space="preserve"> 1.	2,000	liter/s	Diesel Fuel</t>
  </si>
  <si>
    <t xml:space="preserve"> INVITATION TO BID FOR  REPAIR OF FARMERS TRAINING CENTER - CACANDONGAN The Municipality of San Juan, through its Bids and Awards Committee (BAC), invites contractors to submit bids for the following Contract: Contract ID		:          	20-00043						 Contra</t>
  </si>
  <si>
    <t xml:space="preserve"> PURCHASE REQUEST NO. 2020-11-0002								 								 Barangay:	Lower Baluran				Province:	Zamboanga Sibugay		 Municipality:	Imelda				Date:	6/11/2020		 								 								 								 QTY	   UNIT OF 	        ITEM			        ESTIMATED 	      ESTIMATED	 	MEASUREMEN</t>
  </si>
  <si>
    <t xml:space="preserve"> please see attached bid docs...</t>
  </si>
  <si>
    <t xml:space="preserve"> Canal Dimension L = 90.00m, W = 0.40m , H = 0.40 Canal Cover L = 90.00m, W = 0/60m , thk = 0.10 Pathway L = 90.00m , W = 2.0m , thk = 0.10 I . Costruction of Canal Lining with Concrete Cover A. Materials : 1,000 pcs CHB #4 220 bags Portland Cement 15 cu.m</t>
  </si>
  <si>
    <t xml:space="preserve"> 7	unit  'LED TV 40" width Ports Input: HDMI, VGA USB 2.0/3.0 Warranty Type: Local Supplier Warranty 40	unit  "WEBCAM 16 megapixels Computer interface: USB 2.0/3.0 System Requirements: Windows XP / Vista / 7 / 8 / 8.1 / 10"		 40	unit  "HEADSET Has micropho</t>
  </si>
  <si>
    <t xml:space="preserve"> UNIT	  DESCRIPTION		QUANTITY 			 			 201	Aggregate Base Course 		 	Qty.= 520  cu.m		 			 	I - MATERIALS		 cu.m	Crushed Gravel (G-1)		520</t>
  </si>
  <si>
    <t xml:space="preserve"> INVITATION TO BID FOR  SUPPLY AND DELIVERY OF ONE (1) UNIT RING NET (2nd Publication) 1.	The Local Government Unit of Laoang, through the Trust Fund ( intends to apply the sum of Two Million Five Hundred Thousand (Php2, 500,000.00) being the Approved Budg</t>
  </si>
  <si>
    <t xml:space="preserve"> 500 booklets traffic violation receipts (triplicate carbonized) - 72,500.00</t>
  </si>
  <si>
    <t xml:space="preserve"> Project Title: 	 REPAIR AND IMPROVEMENT OF ELECTRICAL SYSTEM AT MASUNURIN BUILDING 1&amp;2  					  Location: 	BAGO OSHIRO, MINTAL, DAVAO CITY					 Approved Budget for the Contract (ABC):		₱822,800.00				 						  ITEM NO. 	SCOPE OF WORKS	Specific Inclusions (b</t>
  </si>
  <si>
    <t xml:space="preserve"> Supply &amp; Delivery of  Various Laboratory Supplies ABC:230,100.00 	20  packs Filter paper, 125 mm, Whatman Grade 2, 110/pack 	3 units micropipette stand, carousel type, rotatable for six micropipette 	4 pairs safety shoes, size 6, 7, 8.5 &amp; 12 	4 units Sevi</t>
  </si>
  <si>
    <t xml:space="preserve"> INVITATION TO BID FOR  “Supply and Delivery of One (1) lot Sealed Lead Acid Battery” 1.	The Philippine Institute of Volcanology and Seismology, through the GAA 2020 intends to apply the sum of Three Million Two Hundred Thousand Pesos Only (₱3,200,000.00) </t>
  </si>
  <si>
    <t xml:space="preserve"> INVITATION TO BID FOR CIVIL WORKS June 10, 2020 1.	The Department of Public Works and Highways (DPWH), Bukidnon Second District Engineering Office, Pinamaloy, Don Carlos, Bukidnon through its Bids and Awards Committee BAC, invites contractors to submit bi</t>
  </si>
  <si>
    <t xml:space="preserve"> 1 1 PC/S USB FLASH DRIVE - 16 GB 2 4 PACK STICKER PAPER - 8.5 X 13, 10PCS/PACK 3 10 PC/S RECORD BOOK - 300 PAGES,SMALL DIMENSION 4 30 PC/S BALLPEN - ORDINARY, BLACK 5 3 REAM/S PAPER - BOND,PG,LEGAL,216MMX330MM(8-1/2"X13") 70 GSM 6 3 REAM/S PAPER - BOND,PG</t>
  </si>
  <si>
    <t xml:space="preserve"> The Barangay Government of Barangay Tagpopongan  through the 20% Devt Funds  intends to apply the sum of Four Hundred Twenty Two Thousand Five Hundred Forty Two Pesos Only (PhP422,542.00) for the Supply and Delivery of Materials for the Improvement of Wat</t>
  </si>
  <si>
    <t xml:space="preserve"> Republic of the Philippines PROVINCE OF SAMAR Catbalogan -o0o- REQUEST FOR EXPRESSION OF INTEREST FOR THE PROCUREMENT OF INDEPENDENT CONSULTANT FOR THE CONSULTANCY SERVICES FOR THE FORMULATION OF MASTER DEVELOPMENT PLANS FOR BRGY. MERCEDES RECLAMATION PRO</t>
  </si>
  <si>
    <t xml:space="preserve"> INVITATION TO BID FOR THE PROCUREMENT OF Medical Equipment 1.	The Local Government Unit of Buug, through the General  Fund  intends to apply the sum of  Six Hundred Eighty Thousand Pesos only ( 680,000.00) being the Approved Budget for the Contract (ABC) </t>
  </si>
  <si>
    <t xml:space="preserve"> Republic of the Philippines Dagupan City BIDS AND AWARDS COMMITTEE INVITATION TO BID For the Procurement of Three (3) Units Brand New Motorcycle (PR no.: 2020-00784-024) 1.	The City Government of Dagupan, through the 2017 Approved CONTINUING APPROPRIATION</t>
  </si>
  <si>
    <t xml:space="preserve"> 45 bags cement 3.5 cu.m. Sand 2.5 cu.m. Gravel 53 pcs 10mm0 RSB 18 pcs 12mm0 RSB 360 pcs CHB 4" 6 kgs #16 G.I. Tire wire 5 pcs O. Plywood 1/4" 120 bdft Coco lumber 3 kgs Assorted CW Nail 16 pcs G.I. Corr Roof Sheet 10" 3 pcs G. I. Gutter 8' 4 pcs G.I. End</t>
  </si>
  <si>
    <t xml:space="preserve"> 1  unit PRESSURE COOKER, large capacity pressure, 20l minimum capacity 1 unit RICE COOKER, 15 cups  1 unit WASHING MACHINE, wash &amp; spin, 7kg minimum capacity, single tub, top open 1 unit STOVE, heavy duty double burner</t>
  </si>
  <si>
    <t xml:space="preserve"> Materials (Hardware/Construction)</t>
  </si>
  <si>
    <t xml:space="preserve"> 1.	To reproduce sufficient materials for students 2.	To gauge the CIS pupils’ mastery of the different competencies in the different subject areas ;</t>
  </si>
  <si>
    <t xml:space="preserve"> Item No.	ITEM AND DESCRIPTION	QTY	Unit of Issue	UNIT PRICE 1	Bond Paper A3	2	 box	 2	Bond Paper A4	80	 box	 3	Folder (A4)	10	box	 4	Folder (long)	20	 box	 5	Staple Wire Copper # 35	12	box	 6	Staple Wire Copper # 10	8	 box	 7	Stapler #10	1	 pc	 8	Stapler #</t>
  </si>
  <si>
    <t xml:space="preserve"> Supply, delivery and installation of 24 units steel rack for ACA records Center</t>
  </si>
  <si>
    <t xml:space="preserve"> STRUCTURE EXCAVATION (COMMON SOIL) STRUCTURAL CONCRETE FOR FOOTING TIE BEAM, COLUMN, SUSPENDED SLAB, GIRDER/BEAM (CLASS A) I BEAM STRUCTURAL STEEL PURLINS PREPAINTED METAL SHEET(RIB TYPE, SHORT/LONG SPAN, BELOW 0.47/ABOVE 0.47 THK) REINFORCING STEEL OF RE</t>
  </si>
  <si>
    <t xml:space="preserve"> Procurement of canned corned beef for augmentation support to LGUs to respond to the impact of COVID-19 CANNED CORNED BEEF - 2,500 boxes - 150 grams, 48pcs/box - Not spicy, not in easy open can - Certified Halal Product - With nutritional information in t</t>
  </si>
  <si>
    <t xml:space="preserve"> details at the BAC and RHU</t>
  </si>
  <si>
    <t xml:space="preserve"> 25 set DISINFECTING RUG WITH TRAY, 16" x 22", with removable and washable mat, durable tray 75 piece PVC DOOR MAT, interlocking PVC, 12" x 12" 75 piece WOOVEN FOOT RAG, 12" x 22" minimum dimension</t>
  </si>
  <si>
    <t xml:space="preserve"> Car Rental/ Service Vehicle</t>
  </si>
  <si>
    <t xml:space="preserve"> 1 1 PC/S INK - EPSON - CYAN T6642 2 1 PC/S INK - EPSON - MAGENTA T6643 3 1 PC/S INK - EPSON - YELLOW T6644 4 5 PC/S PEN - SIGN C4-BLACK 5 15 REAM/S PAPER - BOND,PG,A4,210MMX297MM,70GSM. 6 15 REAM/S PAPER - BOND,PG,LEGAL,216MMX330MM(8-1/2"X13") 70 GSM 7 50</t>
  </si>
  <si>
    <t xml:space="preserve"> Name of Project: BACK STREET DRAINAGE CANAL					 	Location: Poblacion, Mankayan, Benguet					 	Materials:					 	Description		Qty.	Unit	Unit Cost	Amount 	10mm diam. RSB(grade 40)		577.20	kgs	39.65	 22,886.57  	#16 GI Tie wire		9	kgs	80.00	720.00 	stone bou</t>
  </si>
  <si>
    <t xml:space="preserve"> Request for Quotation City Agriculture Office CO - Vehicles (MOtor) P 151,652.50</t>
  </si>
  <si>
    <t xml:space="preserve"> Supply &amp; Delivery of Various Laboratory Chemicals ABC:92,090.00 	1 bot. Sulfuric acid, 96%, 2.5 L, AR 	2 bot. Formaldeyde, 1 gallon, AR 	1 bot. Isopropyl alcohol, 1 gallon, AR 	2 bot. Cobalt (II) nitrate hexahydrate 500 g, AR 	4 bot. Nitric acid 69% 2.5L,</t>
  </si>
  <si>
    <t xml:space="preserve"> MOBILIZATION/ DEMOBILIZATION											 OCCUPATIONAL SAFETY &amp; HEALTH PROGRAM											 SCALDING TANK , FURNACE AND CHIMNEY											 BLOOD COLLECTING SINK/ TROUGH											 HOG RESTRAINER											 ELECTRIC HOG STUNNER											 CLEARING OF UNNECESSA</t>
  </si>
  <si>
    <t xml:space="preserve"> Procurement ID/Contract ID:	20PI0096 Contract Name:	Maintenance, Repair and Rehabilitation of Infrastructure Facilities and Other Related Activities - Flood Control and Drainage Systems, Structures and Related Facilities: 2. Calacaban Bridge Abutment Supp</t>
  </si>
  <si>
    <t xml:space="preserve"> INSTALLATION OF RCPC AT CONTROLLED DUMPSITE LOCATED AT AGOS, BATO, CAM. SUR</t>
  </si>
  <si>
    <t xml:space="preserve"> details at the GSO</t>
  </si>
  <si>
    <t xml:space="preserve"> Name of Project:LOWER PROPER COLALO GRAVELING					 Location:Colalo, Mankayan, Benguet					 Materials:					 Description		Qty.	Unit	Unit Cost	Amount mountain crushed gravel(Nayak source)		72	cu m	 1,245.00 	 89,640.00  				Total:	89, 640.00</t>
  </si>
  <si>
    <t xml:space="preserve"> Procurement of canned sardines for augmentation support to LGUs to respond to the impact of COVID-19 CANNED SARDINES - 1,200 boxes -in tomato sauce, not spicy, not in easy-open can -155 grams, 100 pcs/box - Certified Halal Product - With nutritional infor</t>
  </si>
  <si>
    <t xml:space="preserve"> Supply &amp; Delivery  of Proficiency Testing &amp; Certified Reference Materials ABC:77,000.00 	1  set Soil Proficiency Testing (PT) materials 		For pH, organic matter, NPK analysis, 500ml container, 5 containers 	    Specs:  -	PT materials must come from an int</t>
  </si>
  <si>
    <t xml:space="preserve"> The National Telecommunications Commission (NTC) hereby invites prospective Supplier to submit their Price Quotation for Project: Procurement of eScan Corporate Edition (with Hybrid Network Support) - 2 years license. ABC - Php216,000.00 Kindly submit the</t>
  </si>
  <si>
    <t xml:space="preserve"> REPUBLIC OF THE PHILIPPINES CITY OF MANILA OFFICE OF THE BARANGAY COUNCIL INVITATION TO BID SUBMISSION AND OPENING OF BID WILL BE ON JUNE 19, 2020 AT 8 AM  THE BARANGAY 54 ZONE 4 DISTRICT 1 MANILA THROUGH ITS BID AND AWARDS COMMITTEE (BAC) INVITES ALL QUA</t>
  </si>
  <si>
    <t xml:space="preserve"> details at the agri office</t>
  </si>
  <si>
    <t xml:space="preserve"> CONSTRUCTION OF CORE HOUSING UNITS FOR BATO RESETTLEMENT PROJECT (PHASE 1) AT MASOLI, BATO, CAM. SUR</t>
  </si>
  <si>
    <t xml:space="preserve"> 7	unit  'PRINTER Printer Type: Print, Scan, Copy Copy Quality: Colour / Black-and-White; Draft / Standard Maximum Copy Size: A4, Letter Max Copy Resolution: 300 x 300 dpi Maximum Copies from Standalone: 20 copies Php 56,000.00</t>
  </si>
  <si>
    <t xml:space="preserve"> Additional Installation of 3 units of Solar Panel Street Lights with Installation</t>
  </si>
  <si>
    <t xml:space="preserve"> Invitation to Apply for Eligibility and to Bid The Barangay Government of Barangay Dumantay, Batangas City intends to apply the sum of Three Hundred Fifty Thousand Pesos Only (Php 350,000.00) broken down as follow: ITEM Brief Description SUB-ABC Lot 1 PUR</t>
  </si>
  <si>
    <t xml:space="preserve"> Request for Quotation City Agriculture Office CO - Technical &amp; Scientific Equipment P 90,000.00</t>
  </si>
  <si>
    <t xml:space="preserve"> Supply &amp; Delivery of Microtubes ABC:73,400.00 	4 packs 0.5ml Microtubes conical bottom RNA’se &amp; DNA’se free (1,000 pcs/pack) 	4 packs 0.2ml Microtubes conical bottom RNA’se &amp; DNA’se free (1,000 pcs/pack) 	10 packs 1.5ml Microtubes conical bottom RNA’se &amp; </t>
  </si>
  <si>
    <t xml:space="preserve"> REPUBLIC OF THE PHILIPPINES CITY OF MANILA OFFICE OF THE BARANGAY COUNCIL INVITATION TO BID SUBMISSION AND OPENING OF BID WILL BE ON JUNE 19, 2020 AT 8 AM  THE BARANGAY 104 ZONE 8 DISTRICT 1 MANILA THROUGH ITS BID AND AWARDS COMMITTEE (BAC) INVITES ALL QU</t>
  </si>
  <si>
    <t xml:space="preserve"> METRO BANGUED WATER DISTRICT					 Bangued, Abra					 					 PURCHASE REQUEST					 					 DIVISION: 	COMMERCIAL				 PR No.     : 	20-06-068				 DATE       : 	10-Jun-20				 					 Item No.	Description	Quantity	Unit	 Unit Cost 	 Amount  					 1	COMPUTER CPU	1	u</t>
  </si>
  <si>
    <t xml:space="preserve"> INVITATION  TO BID: The Barangay  Gonzales, Tubao, La Union through the Bids and Awards Committee (BAC) invites suppliers/ manufactures/distributors/contractors to apply for the eligibility and to bid for the hereunder  project: Name of  Project:        S</t>
  </si>
  <si>
    <t xml:space="preserve"> Supply &amp; Delivery of Steel Cabinet ABC:60,000.00 	12 units Steel Cabinet -	3 drawers, white or off white w/ lock keys 	 Delivery period :  30  days  Delivery site: DA-RFO 12, Koronadal City (HRMS)	 Note: Bidders must quote in all items (by lot) in a Seale</t>
  </si>
  <si>
    <t xml:space="preserve"> PROCUREMENT OF 2,500 PC FACE MASK</t>
  </si>
  <si>
    <t xml:space="preserve"> Construction of Stockroom for ballot boxes</t>
  </si>
  <si>
    <t xml:space="preserve"> Construction of  concrete footbridge phase 1</t>
  </si>
  <si>
    <t xml:space="preserve"> BIDS AND AWARDS COMMITTEE ATTENTION:		ALL INTERESTED BIDDERS 			 SUBJECT:	INVITATION TO BID –   Programmable Function Generator for Electronics Engineering Laboratory DATE:	June 10, 2020 - - - - - - - - - - - - - - - - - - - - - - - - - - - - - - - - - - </t>
  </si>
  <si>
    <t xml:space="preserve"> Purchase of Drugs and Medicines</t>
  </si>
  <si>
    <t xml:space="preserve"> BIDS AND AWARDS COMMITTEE ATTENTION:		ALL INTERESTED BIDDERS 			 SUBJECT:	INVITATION TO BID –   Procurement of RF Explorer Combo Spectrum Analyzer for Electronics Engineering Laboratory DATE:	June 10, 2020 - - - - - - - - - - - - - - - - - - - - - - - - -</t>
  </si>
  <si>
    <t xml:space="preserve"> Supply &amp;  Delivery of Various Rice Seeds ABC:403,200.00 	72  bags Rice Seeds, Lowland (Inbred) NSIC RC 400 	72 bags  Rice Seeds, Lowland (Inbred) NSIC RC 160 	72  bags Rice Seeds, Lowland (Inbred) NSIC RC 216 	72 bags  Rice Seeds, Lowland (Inbred) NSIC RC</t>
  </si>
  <si>
    <t xml:space="preserve"> Repair/rehabilitation of pathway</t>
  </si>
  <si>
    <t xml:space="preserve"> BIDS AND AWARDS COMMITTEE ATTENTION:		ALL INTERESTED BIDDERS 			 SUBJECT:	INVITATION TO BID –   Procurement of Materials to be used for the 13rh World Skills ASEAN Competition 2020, Singapore DATE:	June 10, 2020 - - - - - - - - - - - - - - - - - - - - - -</t>
  </si>
  <si>
    <t xml:space="preserve"> To purchase office supplies for Barangay Oranbo, Pasig City</t>
  </si>
  <si>
    <t xml:space="preserve"> POROPOSED CONSTRUCTION OF CANAL AT BRGY II-B, SAN PABLO CITY</t>
  </si>
  <si>
    <t xml:space="preserve"> Procurement of Various Medicines</t>
  </si>
  <si>
    <t xml:space="preserve"> INVITATION TO BID FOR  COMPRESSED AIR (RE-BID) ITB No. 2020-MS-101 The Jose R. Reyes Memorial Medical Center, through the General Appropriations Act 2020 intends to apply the sum of One Million Seven Hundred Nineteen Thousand Six Hundred  Twenty Pesos (Ph</t>
  </si>
  <si>
    <t xml:space="preserve"> Supply &amp; Delivery  of Various Supplies ABC:51,000.00 	5  boxes U-Nail  	20 bags Cement 	2 rolls Barb wire 	8 bags  Salt 	5 pcs  Claw Hammer, HD 	5 pcs Hand Saw, high Quality 	1 roll 1” Rope @ 200 meter/roll 	1 roll 1.5” Rope @ 200 meter/roll 	Delivery per</t>
  </si>
  <si>
    <t xml:space="preserve"> Name of Project: REHAB AND CONSTRUCTION OF AMBABAG WWS					 Location: Guinaong, Mankayan, Benguet					 Materials:					 Description		Qty.	Unit	Unit Cost	Amount 10mm diam.RSB		60	pcs	167.00	 10,020.00  # 16 G.I Tie wire		17	kgs	110.00	 1,870.00  port land c</t>
  </si>
  <si>
    <t xml:space="preserve"> Supply &amp; Delivery of  other Supplies ABC:92,858.00 	4 pcs Storage Box (S) 	5 pcs Nigo/Kalalaw (round) 	5 pcs Syche /garab 	5 pcs meter stick , yellow (1 meter) 	2 pcs beach umbrella HD 	10 pair Arm sleeve, long 	10 pcs Fishing hat UV protecting sun hat fo</t>
  </si>
  <si>
    <t xml:space="preserve"> See attached file for reference.</t>
  </si>
  <si>
    <t xml:space="preserve"> The TARLAC AGRICULTURAL UNIVERSITY, through its Bids and Awards Committee (BAC), invites all suppliers and dealers to submit sealed quotation for the “SUPPLY AND DELIVERY OF LABORATORY SUPPLIES". Prospective bidders are required to submit the following: &gt;</t>
  </si>
  <si>
    <t xml:space="preserve"> Construction of concrete footbridge (phase 1)</t>
  </si>
  <si>
    <t xml:space="preserve"> BIDS AND AWARDS COMMITTEE ATTENTION:		ALL INTERESTED BIDDERS 			 SUBJECT:	INVITATION TO BID –   Procurement of Variable Power Supply for Electronics Engineering Laboratory Use DATE:	June 10, 2020 - - - - - - - - - - - - - - - - - - - - - - - - - - - - - -</t>
  </si>
  <si>
    <t xml:space="preserve"> Materials (Hardware/ Construction)</t>
  </si>
  <si>
    <t xml:space="preserve"> IMPROVEMENT / BEAUTIFICATION PHASE II OF SCHOOL STAGE</t>
  </si>
  <si>
    <t xml:space="preserve"> BIDS AND AWARDS COMMITTEE ATTENTION:		ALL INTERESTED BIDDERS 			 SUBJECT:	INVITATION TO BID –   Certification Audit for ISO 9001:2015 (Quality Management System) DATE:	June 10, 2020 - - - - - - - - - - - - - - - - - - - - - - - - - - - - - - - - - - - - -</t>
  </si>
  <si>
    <t xml:space="preserve"> Republic of the Philippines PROVINCE OF SAMAR Catbalogan -o0o- Standard Form Number: SF-INFRA-05 Revised on: July 29, 2004 INVITATION TO  BID The Provincial Government of Samar, through its Bids and Awards Committee (BAC), invites contractors registered w</t>
  </si>
  <si>
    <t xml:space="preserve"> Furnitures and Fixtures</t>
  </si>
  <si>
    <t xml:space="preserve"> 478	bxs 	Face Mask, Surgical, 3-Ply, 50s/box, good quality 		Php__________		Php___________ 		x-x-x-Nothing Follows-x-x-x								 to be used by the Pag-IBIG Fund Employees as PPE against  COVID19</t>
  </si>
  <si>
    <t xml:space="preserve"> Please download PDF @ associated components for information</t>
  </si>
  <si>
    <t xml:space="preserve"> Please quote your lowest price on the item(s)  listed below, subject to the Terms and Condition Stated												 below and submit your quotation duly signed by your representative not later than 10:30 A.M. of  June 22, 												 2020, at the return e</t>
  </si>
  <si>
    <t xml:space="preserve"> BIDS AND AWARDS COMMITTEE ATTENTION:		ALL INTERESTED BIDDERS 			 SUBJECT:	INVITATION TO BID –   Procurement of Analogue Electronics System Lab Kit for Electronics Engineering Laboratory DATE:	June 10, 2020 - - - - - - - - - - - - - - - - - - - - - - - - -</t>
  </si>
  <si>
    <t xml:space="preserve"> 1	1	unit/s	Aircon 2.5HP (Split Type)</t>
  </si>
  <si>
    <t xml:space="preserve"> Four Wheel Drive 2.0 L BI Turbo Diesel 1,996 to 2,000 Engine Displacement 10 Speed Automatic Transmission Customized Equipment: Rain Gutter	 Hood Guard	 Head Light Cover	 Tail Guard Cover	 Hard Deck Cover Automatic	 Tow Hitch with Pin, Clip and Tow Ball	 </t>
  </si>
  <si>
    <t xml:space="preserve"> Various Construction Materials (please download Associated Components for the details)</t>
  </si>
  <si>
    <t xml:space="preserve"> Rubber Shoes  -    15 Pairs</t>
  </si>
  <si>
    <t xml:space="preserve"> 1.	The PhilHealth Regional Office VIII, through the Corporate Budget for COB 2020  intends to apply the sum of One Million Pesos (P1,000,000.00) being the Approved Budget for the Contract (ABC) to payments under the contract for PROCUREMENT OF GENUINE HP </t>
  </si>
  <si>
    <t xml:space="preserve"> The Municipality of Limay, through its Bids and Awards Committee (BAC) invites registered suppliers to apply for eligibility and if found eligible, to bid for the hereunder project/contract: Project/Contract:     PROCUREMENT OF ONE (1) UNIT LIFTING PLATFO</t>
  </si>
  <si>
    <t xml:space="preserve"> INVITATION TO BID NO. 2020-07-002 BID #002 1.	The Barangay Siocon through its Bids and Awards Committee invites Suppliers/Manufacturers/Distributors to apply For Eligibility and to Bid for the Supply and Delivery of the following: No.	PR No.	Particulars	A</t>
  </si>
  <si>
    <t xml:space="preserve"> Inventory / Common Electrical Equipment</t>
  </si>
  <si>
    <t xml:space="preserve"> Security Services    CSC Regional Office, San Gabriel, Tug. City                      3 Security Guards, 3 shifts, 7 days a week, Monday to Sunday                                Cagayan/Batanes Field Office , Carig Sur, Tuguegarao City                    </t>
  </si>
  <si>
    <t xml:space="preserve"> A.	REPAIR/ RECONDITIONING AND IMPROVEMENT OF SLIDING DOOR Heavy Duty Door Roller  Sliding Door Track/ Railing With Clamp  Angle Bar  Round Bar Welding Rod Cutting Disk #4 Grinding Disk #4 QDE  Paint Thinner Paint Brush #2 Baby Roller Welded Wire Mesh #8 B</t>
  </si>
  <si>
    <t xml:space="preserve"> Inventory Office Equipment and Accessories</t>
  </si>
  <si>
    <t xml:space="preserve"> Q   3.00 X 9.00  27m2</t>
  </si>
  <si>
    <t xml:space="preserve"> Delivered on site</t>
  </si>
  <si>
    <t xml:space="preserve"> I.T. Consumables</t>
  </si>
  <si>
    <t xml:space="preserve"> DESKTOP COMPUTER INK</t>
  </si>
  <si>
    <t xml:space="preserve"> Fuel (Gasoline)</t>
  </si>
  <si>
    <t xml:space="preserve"> Printer Consumables</t>
  </si>
  <si>
    <t xml:space="preserve"> 164	sacks	Rice for consumption of AFP</t>
  </si>
  <si>
    <t xml:space="preserve"> The Government of the Philippines (GOP) has received a loan from World Bank towards the cost of Philippine Rural Development Project, and it intends to apply part of the proceeds of this Loan to payments for the procurement of labor, materials and spare p</t>
  </si>
  <si>
    <t xml:space="preserve"> Supply &amp; Delivery of Gasoline Rice Paddy Field Weeder ABC:62,500.00 	1 unit  Gasoline Rice Paddy Field Weeder 	    Specs: -	Engine: rated power: 1.46 KW/42.7cc -	Rated speed: 6500 r/min -	Overall Dimension (L*W*H*) -	1550 x 200 x 400mm, 1550 x 550 x 400mm</t>
  </si>
  <si>
    <t xml:space="preserve"> INVITATION TO APPLY FOR ELIGIBILITY AND TO BID The Municipal Government of Piñan, through its Bids and Awards Committee (BAC), invites contractors registered with and classified by the Philippine Contractors Accreditation Board (PCAB) to apply for eligibi</t>
  </si>
  <si>
    <t xml:space="preserve"> Straight contract</t>
  </si>
  <si>
    <t xml:space="preserve"> Republic of the Philippines Dagupan City BIDS AND AWARDS COMMITTEE INVITATION TO BID For the Procurement of One (1) Unit Brand New Vacuum Excavation Truck (PR no.: 2020-00729-051) 1.	The City Government of Dagupan, through the 2017 &amp; 2019 Approved CONTINU</t>
  </si>
  <si>
    <t xml:space="preserve"> Additional wall, flooring, roofing and roof framing and electrical works</t>
  </si>
  <si>
    <t xml:space="preserve"> 1	unit	Conference Table with Seater 1	unit	55" LED TV 20	pcs	Chair</t>
  </si>
  <si>
    <t xml:space="preserve"> Electrical &amp; Plumbing Supplies</t>
  </si>
  <si>
    <t xml:space="preserve"> Const. of 4 lane km. concrete road including 3,280 linear meter of lined canal</t>
  </si>
  <si>
    <t xml:space="preserve"> Supply &amp; Delivery of  Office Equipment ABC:76,000.00 	2  units Metal Office Desk -	Size: 0.4626 cm -	Materials: Heavy Gauge cold-rolled steel plate -	Color: classic  grey, two-tone option with one keyboard tray, 6 drawers 	 	2  units Office Chair -	Dimens</t>
  </si>
  <si>
    <t xml:space="preserve"> Supply &amp; Delivery of  Agri marine and Supplies ABC:95,200.00 	10  bags Granular Complete Fertilizer (14-14-14) 50 kgs/bag 	10 bags Granular Urea Fertilizer (21-0-0) 50 kgs/bag 	15 pair HD Rubber Boots  	4 sets Garden Tools (Wheel barrow, Shovel, Rake, Gra</t>
  </si>
  <si>
    <t xml:space="preserve"> Republic of the Philippines PROVINCE OF DINAGAT ISLANDS Municipality of Basilisa -oOo- Invitation to Bid EMBANKMENT/EARTFILLING OF SITE FOR NATIONAL LINE AGENCY BUILDING The Municipality of Basilisa, through the 20 % Municipal Development Fund (MDF) 2013 </t>
  </si>
  <si>
    <t xml:space="preserve"> The Environmental Management Bureau 10 through the (SAA No. MOOE-20-04-053 and charged from EMB Central Office’s allotment under 310200100001000) intends to apply the sum of [One Million Eight Hundred Thousand Pesos and Zero Centavo (Php 1,800,000.00) bei</t>
  </si>
  <si>
    <t xml:space="preserve"> Supply &amp; Delivery of  Purified Drinking Water ABC:84,000.00 	2,800 gal  Purified Drinking Water 		 Delivery period :  February – December 2020 Delivery site: DA- RFO 12, Koronadal City (GSO) Note: Bidders must quote in all items (by lot) in a Sealed Envel</t>
  </si>
  <si>
    <t xml:space="preserve"> Completion of Livelihood Center at Municipal Agri. Office, District III, San Miguel, Catanduanes. Scope of Works: Demolition (roof/roof framings, ceiling, beams) &amp; Chipping of Concrete Column, Concrete Works, Rebar Works, Forms/False Works &amp; Electrical Wo</t>
  </si>
  <si>
    <t xml:space="preserve"> Supply and delivery of 1 Lot vehicle parts and accessories, etc.</t>
  </si>
  <si>
    <t xml:space="preserve"> 65	pcs	1/4 Marine Plywood 88	pcs	2 x 3 x 12 Lumber 5	kls	1"CWNails 5	kls	2"CWNails 5	kls	3"CWNails 6	kls	3"Concrete Nail 2	pcs	5/32 Drill Bit 1	unit	Emergency Light 11	pcs	CFL 18 watts 1	pcs	Padlock (big) 13	gals	Flat Wall Enamel Paint 3	pcs	7"Roller Brus</t>
  </si>
  <si>
    <t xml:space="preserve"> Republic of the Philippines PROVINCE OF DINAGAT ISLANDS Municipality of Basilisa -oOo- Invitation to Bid COUNTERPART FOR THE CONSTRUCTION OF BASILISA TOURISM INN The Municipality of Basilisa, through the 20 % Municipal Development Fund (MDF) 2020 intends </t>
  </si>
  <si>
    <t xml:space="preserve"> Two units Pick-Up Type Vehicle not exceeding 3000cc engine displacement, diesel-fed, and 4 cylinder</t>
  </si>
  <si>
    <t xml:space="preserve"> Republic of the Philippines PROVINCE OF ZAMBOANGA SIBUGAY Municipality of Buug BIDS AND AWARDS COMMITTEE Procurement of Office Supplies ( 1st and 2nd quarter of 2020) 1. The Local Government Unit of Buug ,Buug, Zamboanga Sibugay, through the General Fund </t>
  </si>
  <si>
    <t xml:space="preserve"> The East Avenue Medical Center through its Hospital Bids and Awards Committee (BAC) through the General Appropriations Act and /or Hospital Income, invites suppliers / manufacturers / distributors for the bidding of the following project for CY 2020. Inte</t>
  </si>
  <si>
    <t xml:space="preserve"> Procurement of 1 Lot Surveying Services for Government Real Properties Titling</t>
  </si>
  <si>
    <t xml:space="preserve"> The Procuring Entity now invite bid for the Procurement of Motorcylce of PENRO Albay &amp; CENRO Guinobatan, pursuant to RA 9184, with  the following speficiations to wit; 2-Units Motorcycle Engine type -  Air cooled, 4-stroke, SOHC, 2-valve Cylinder layout –</t>
  </si>
  <si>
    <t xml:space="preserve"> PCC at CMU through the BIDS and AWARDS Committee intend to apply the sum of 600,000 being the Approved Budget for the Contract (ABC) to payments under the contract Female nNative Carabao.  BIDs received in excess of the ABC shall be automatically rejected</t>
  </si>
  <si>
    <t xml:space="preserve"> Section I. Invitation to Bid INVITATION TO BID  DA8-Goods-2020-40 (PR No. RICE 20-05-12-0686) 1.	The Department of Agriculture-Regional Field Office No. 8, through the RICE 2020 intends to apply the sum of One Million Six Hundred Thousand Pesos Only (P1,6</t>
  </si>
  <si>
    <t xml:space="preserve"> See attached specifications</t>
  </si>
  <si>
    <t xml:space="preserve"> Supply &amp; Delivery of ICT Equipment (Line 1 -2) ABC:489,000.00 	LINE ITEM # 1: (ICT Equipment)					399,000.00 	1 unit  Gigabit Router -	Firewall throughput-950 Mbps -	VPN Throughput -200 Mbps -	Concurrent sessions-50,000 -	New sessions (per second)-500 -	F</t>
  </si>
  <si>
    <t xml:space="preserve"> Republic of the Philippines Dagupan City BIDS AND AWARDS COMMITTEE INVITATION TO BID For the Procurement of One (1) Unit Brand New 6-Wheeler Water Truck (PR no.: 2020-00730-051) 1.	The City Government of Dagupan, through the 2019 Approved CONTINUING APPRO</t>
  </si>
  <si>
    <t xml:space="preserve"> Fuel, Additives, Lubricants &amp; Anti-corrosive</t>
  </si>
  <si>
    <t xml:space="preserve"> REPAIR &amp; MAINTENACE ICT EQUIP</t>
  </si>
  <si>
    <t xml:space="preserve"> INVITATION TO APPLY FOR ELIGIBILITY AND TO BID FOR THE SCIENCE RESEARCH FACILITY UNDER DESIGN AND BUILD SCHEME (REBIDDING) 1.The  Philippine Science High School-Bicol Region Campus, through the GAA 2020 intends to apply the sum of  FOUR MILLION EIGHT HUND</t>
  </si>
  <si>
    <t xml:space="preserve"> INVITATION TO BID FOR THE PROCUREMENT OF SUPPLY &amp; DELIVERY OF FARM INPUTS (TYPHOON URSULA)      1.	The Department of Agriculture Regional Field Office 6 through the General Appropriations Act (GAA) of 2020 intends to apply the sum of One Million One Hundr</t>
  </si>
  <si>
    <t xml:space="preserve"> PLEASE SEE ATTACHED DOCUMENTS...</t>
  </si>
  <si>
    <t xml:space="preserve"> Supply &amp; Delivery of  Rotary Weeder ABC:70,000.00	 	1 unit Rotary weeder  -	Compact tiller  -	Displacement : 63 cm (9.9) cu in) -	Net power (SAEJ1349) *1: 3.6 kW @ 3,600 rpm -	Maximum net torgue (SAE J1349): 10.3N-m @ 2,500 rpm -	Compression ratio: 8.5:1 </t>
  </si>
  <si>
    <t xml:space="preserve"> Republic of the Philippines Province of Cagayan Municipality of Camalaniugan Barangay Minanga June 11, 2020 INVITATION TO BID  FOR THE FURNISHING &amp; DELIVERY OF VARIOUS  MATERIALS FOR THE CONCRETING OF BARANGAY ROAD AT MINANGA, CAMALANIUGAN, CAGAYAN - 1ST </t>
  </si>
  <si>
    <t xml:space="preserve"> INVITATION TO BID BID REFERENCE NO.: 2020-14 “SUPPLY AND DELIVERY OF BFAR COMPUTER HARDWARE FOR THE OFFICE PRODUCTIVITY PROJECT” The Bureau of Fisheries and Aquatic Resources (BFAR) of the Department of Agriculture, through the General Appropriations Act </t>
  </si>
  <si>
    <t xml:space="preserve"> The City Government of Tagum, through its Bids and Awards Committee (BAC) hereby invites all interested PhilGEPS registered suppliers to submit bids for the procurement of goods. Bids received in excess of the ABC shall be automatically rejected at bid op</t>
  </si>
  <si>
    <t xml:space="preserve"> Supply &amp; Delivery of other Supplies ABC:102,500.00 	31 pcs budding knife (Batanggas made) 	2000 pcs budding tape, 30 x 40 x .001 	5 pcs lopper  	10 pcs Pruning  shear with handle 	70 pcs mono block chair, high quality 	1 unit wooden seed shelves, H= 6 ft.</t>
  </si>
  <si>
    <t xml:space="preserve"> Procurement of 1 Lot construction mateirias and supplies</t>
  </si>
  <si>
    <t xml:space="preserve"> Supply &amp; Delivery of  Materials for (repair &amp; maintenance of farm Machineries) ABC:105,900.00 	2 units Power Sprayer  (1.5 HP) beld driven  	2 units  Grass Cutter 2 in 1 Blade &amp; nylon attachment 43cc 2 stroke engine 	6  pcs Tire for farm machinery 	2 pcs </t>
  </si>
  <si>
    <t xml:space="preserve"> 20	Box	FACE MASK 50PC/BOX (3 PLY)		 2	Box	Amoxicillin ( 500mg, 100 capsules/box)		 10	Bot	Sodium Chloride for irrigation 1 L, 0.9 %		 10	Bot	Sodium Chloride for injection1 L, 0.9 %		 40	Bot	Alcohol,70% 500 ml.		 4	Box	Adhesive bandage strip,sterilized .1"</t>
  </si>
  <si>
    <t xml:space="preserve"> Laboratory Equipment for the Rehabilitation of BSA/BTVTE Building at BPSU Abucay Campus. See attached bidding documents.</t>
  </si>
  <si>
    <t xml:space="preserve"> INVITATION TO BID  (SEC PB No. 2020-011) The Securities and Exchange Commission (SEC), through the authorized appropriations under the FY 2020 Revised Corporation Code (RCC) intends to apply the sum of Three Million Seventy Thousand Pesos (Php3,070,000.00</t>
  </si>
  <si>
    <t xml:space="preserve"> Procurement of 1 Lot battery MF (Nissan Pathfinder SDP 285), etc.</t>
  </si>
  <si>
    <t xml:space="preserve"> Repair/Improvement of Office at Municipal Agri. Office, District III, San Miguel, Cat'nes. Scope of Works: Concrete Works, Masonry Works, Rebar Works, Forms/False Works, Cement Plastered Finish, Windows &amp; Electrical Works (installation/repair). Source of </t>
  </si>
  <si>
    <t xml:space="preserve"> Const. of 1.12 lane km. concrete road including 590 linear meter of lined canal</t>
  </si>
  <si>
    <t xml:space="preserve"> INVITATION TO BID BID REFERENCE NO.: 2020-13 “SUPPLY, DELIVERY, AND INSTALLATION OF ENTERPRISE DATABASE MANAGEMENT SOFTWARE FOR LINUX PLATFORM” The Bureau of Fisheries and Aquatic Resources (BFAR) of the Department of Agriculture, through the General Appr</t>
  </si>
  <si>
    <t xml:space="preserve"> Section I. Invitation to Bid INVITATION TO BID  DA8-Goods-2020-41 (PR No. HVCDP 20-04-28-0551) 1.	The Department of Agriculture-Regional Field Office No. 8, through the HVCDP-2020 intends to apply the sum of Four Million Five Hundred Twenty-Two Thousand E</t>
  </si>
  <si>
    <t xml:space="preserve"> Supply &amp; Delivery of Steel Cabinet ABC:64,000.00 	16  units Steel Cabinet  -	3 drawers -	White Delivery period :  30 days Delivery site: DA- RFO 12, Koronadal City (Rice Program) Note: Bidders must quote in all items (by lot) in a Sealed Envelope  togethe</t>
  </si>
  <si>
    <t xml:space="preserve"> Supply &amp; Delivery of other Supplies ABC:240,000.00	 	1,500  pcs Sublimation Print ID Sling with Side Release and Hook -	1 inch width -	Da Logo Seal -	ID Cases for standard size and ARTA -	3.5” x 5” size 	Delivery period: 30 calendar Days after receipt of </t>
  </si>
  <si>
    <t xml:space="preserve"> LOT 1: Tobtobob PIS &amp; Alfonso Lista, Ifugao Pumpset 	1. Pump set ------------------------------------ 3 Sets 		GENERAL: 		-Centrifugal Pump, Single Stage, Self Priming, 3-Inch Diameter 		-V-Belt Driven by Diesel Engine mounted on a Common Steel Base 		-Sk</t>
  </si>
  <si>
    <t xml:space="preserve"> Supply &amp; Delivery of Agricultural Supplies ABC:327,500.00 	300 packs Ampalaya, Meztiza  variety F1 Variety, 10 seeds/pack 	300 packs Eggplant Seeds, Fortuner F1 Variety, 300 seeds/pack 	300 packs Pole Sitao Seeds, Mariposa Variety, 100 seeds/pack 	300 pac</t>
  </si>
  <si>
    <t xml:space="preserve"> Procurement of 1 Lot Wound Spray, etc.</t>
  </si>
  <si>
    <t xml:space="preserve"> ITB No. 2020-12-EFS June 12, 2020 Republic of the Philippines Province of Davao Oriental CITY OF MATI INVITATION TO BID CONSTRUCTION / IMPROVEMENT OF GOVERNMENT BUILDINGS: Repair/Rehab &amp; Improvement of Government Building Name of Project 1.	The City Gover</t>
  </si>
  <si>
    <t xml:space="preserve"> INVITATION TO BID BID REFERENCE NO.: 2020-15 “SUPPLY AND DELIVERY OF BFAR VIDEO/PHOTO EQUIPMENT FOR THE OFFICE PRODUCTIVITY PROJECT” The Bureau of Fisheries and Aquatic Resources (BFAR) of the Department of Agriculture, through the General Appropriations </t>
  </si>
  <si>
    <t xml:space="preserve"> 556 packs Battery, Dry Cell, AAA ( 2 pcs. per blister pack)</t>
  </si>
  <si>
    <t xml:space="preserve"> Procurement of 1 Lot Pre-Anesthetic, etc.</t>
  </si>
  <si>
    <t xml:space="preserve"> Purchase of Furniture's and Fixtures</t>
  </si>
  <si>
    <t xml:space="preserve"> 1.		298	Bags 	Cement 2.		58	Length 	16mm ᶲ x 6m Rebars 3.		80	Length	16mmᶲ x 7m Rebars 4.		35	Length	12mmᶲ x 6 m Rebars  5.		310	Length	10mm ᶲ x 6m Rebars 6.		49	Kls. 	#16 Tie Wire 7.		1,500	Pcs. 	4”x8”x16” Concrete Hollow Block 8.		30	Pcs.	10mm thk x 4’x</t>
  </si>
  <si>
    <t xml:space="preserve"> Various Office Supplies for Offices Items are indicated in the Bid Docs</t>
  </si>
  <si>
    <t xml:space="preserve"> Please download and then print the attached Invitation to Bid (ITB) for more details and for your reference. To view this attachment, just click “ORDER” opposite the ASSOCIATED COMPONENTS. TOTAL APPROVED BUDGET FOR THE CONTRACT (ABC): ₱8,075,000.00</t>
  </si>
  <si>
    <t xml:space="preserve"> 1.	1	bots	Paint Spray 2.	4	rolls	Automotive Wire #14 3.	20	pcs	Flange Bolt 6mx25 4.	20	pcs	Flange Bolt 8mmx25 5.	40	pcs	Metric CP/washer 6mm 6.	40	pcs	Metric CP/washer 8mm 7.	100	pcs	Blind Revits 3/16x3/4 8.	100	pcs	Blind Revits 3/32x3/4 9.	100	pcs	G.I Pl</t>
  </si>
  <si>
    <t xml:space="preserve"> Procurement of 1 Lot vehicle repair and maintenance</t>
  </si>
  <si>
    <t xml:space="preserve"> INVITATION TO BID (SEC PB No. 2020-012) The Securities and Exchange Commission (SEC), through the authorized appropriations under the FY 2020 Revised Corporation Code (RCC) intends to apply the sum of Five Million Pesos (Php5,000,000.00) being the Approve</t>
  </si>
  <si>
    <t xml:space="preserve"> Purchase of Peace and Order Supplies and Equipment's</t>
  </si>
  <si>
    <t xml:space="preserve"> for use during the Charter day of the City Government of Laoag</t>
  </si>
  <si>
    <t xml:space="preserve"> Provision of Vehicle Rentals	ABC:153,000.00 	1 unit Vehicle Rentals -	34 days Travel -	June –December 2020 -	Region-Wide -	Payment shall be made after the conduct of Activity 	(during the conduct of  the Farm Inspection and evaluation, site validation of </t>
  </si>
  <si>
    <t xml:space="preserve"> 2 Lots Adobe Creative Cloud Complete  Unit Cost: P 39,000.00  Total Price: P 78,000.00  19 Lots Windows 10 Pro (64 Bit)  Unit Cost: P 11,500.00  Total Price: P 218, 500.00    Total Price: P 296,500.00</t>
  </si>
  <si>
    <t xml:space="preserve"> Acrylic Dividers with Installation (See attached pictures) Specifications: FOR 2ND FLOOR 1-set 40" x 39", 3/16 clear acrylic with stand 1-set 49" x 12" X 40", 1/8 clear acrylic 1-set 48" x 12" X 40", 1/8 clear acrylic FOR 1ST FLOOR Admin/ HR, 1/8 clear ac</t>
  </si>
  <si>
    <t xml:space="preserve"> ITB No. 2020-09 (SHORT OF AWARD) 1.	The SUGAR REGULATORY ADMINISTRATION, through the SRA SIDA 2017/18/19 GAA re-budgeted to 2020 Budget intends to apply the sum of Seventeen Million One Hundred Thousand Pesos (₱17,100,000.00) being the total Approved Budg</t>
  </si>
  <si>
    <t xml:space="preserve"> Republic of the Philippines Department of Public Works and Highways Pampanga 3rd District Engineering Office San Francisco Street, Brgy. Pampang, Angeles City Region III Telephone Nos. (045) 323-5782 / 887-5249 DPWH-INFR-04-2016 INVITATION TO BID The Depa</t>
  </si>
  <si>
    <t xml:space="preserve"> Procurement of 1 Lot Kitchenwares</t>
  </si>
  <si>
    <t xml:space="preserve"> Republic of the Philippines Province of Samar BIDS AND AWARD COMMITTEE Negotiated Procurement Health Information Technology Provider Solicitation No. 60011042020 			            Source of Fund. Trust Fund Approved Budget for the Contract:  PhP234,000.00   </t>
  </si>
  <si>
    <t xml:space="preserve"> REQUEST FOR QUOTATION The Local Government Unit of General Santos City thru its Bids and Awards Committee invites interested suppliers for (2FB)N20-06-035 PURCHASE OF HORMONES ANTAGONISTS MEDICINES  amounting to P 238,500.00 Please visit or call Bids and </t>
  </si>
  <si>
    <t xml:space="preserve"> Procurement of 1 Lot Rabies Vaccine, etc.</t>
  </si>
  <si>
    <t xml:space="preserve"> Supply and delivery of 1 lot vehicle parts and accessories, etc.</t>
  </si>
  <si>
    <t xml:space="preserve"> XENON LAMP, 300WATTS NOTE: PLEASE ATTACH THE FOLLOWING DOCUMENTS: 1.	TAX CLEARANCE 2.	MAYOR’S PERMIT 3.	SEC CERT. / DTI PERMIT 4.	FOR 50,000 AND ABOVE , PHILGEPS CERTIFICATE</t>
  </si>
  <si>
    <t xml:space="preserve"> Procurement of Tire</t>
  </si>
  <si>
    <t xml:space="preserve"> REQUEST FOR QUOTATION The Local Government Unit of General Santos City thru its Bids and Awards Committee invites interested suppliers for (2FB)N20-06-034 FURNITURES AND FIXTURES  amounting to P 95,911.00 Please visit or call Bids and Awards Committee off</t>
  </si>
  <si>
    <t xml:space="preserve"> _______________________ _______________________ _______________________ _______________________ _______________________ The Sugar Regulatory Administration (SRA) Bids and Awards Committee (BAC) intends to procure 800 Booklets Shipping Permit under the SRA</t>
  </si>
  <si>
    <t xml:space="preserve"> Please download and then print the attached Invitation to Bid (ITB) for more details and for your reference. To view this attachment, just click “ORDER” opposite the ASSOCIATED COMPONENTS. TOTAL APPROVED BUDGET FOR THE CONTRACT (ABC): ₱13,776,000.00</t>
  </si>
  <si>
    <t xml:space="preserve"> INVITATION TO BID BID REFERENCE NO.: 2020-16 “SUPPLY AND DELIVERY OF UNMANNED AERIAL VEHICLE (UAV) “DRONE” AND ACCESSORIES” The Bureau of Fisheries and Aquatic Resources (BFAR) of the Department of Agriculture, through the General Appropriations Act for 2</t>
  </si>
  <si>
    <t xml:space="preserve"> Republic of the Philippines Province of Samar BIDS AND AWARD COMMITTEE Negotiated Procurement HEALTH INFORMATION TECHNOLOGY PROVIDER  Solicitation No. 60011052020 			            Source of Fund. Trust Fund Approved Budget for the Contract:  PhP195,000.00  </t>
  </si>
  <si>
    <t xml:space="preserve"> Republic of the Philippines DEPARTMENT OF PUBLIC WORKS AND HIGHWAYS LAGUNA II DISTRICT ENGINEERING OFFICE REGIONAL OFFICE IV-A Brgy. Bambang, Los Baños, Laguna Invitation to Bid No. 2020 - 09 The Department of Public Works and Highways- Laguna II District</t>
  </si>
  <si>
    <t xml:space="preserve"> Republic of the Philippines Province of Samar BIDS AND AWARD COMMITTEE Negotiated Procurement Health Information Technology Provider  Solicitation No. 60011062020 			            Source of Fund. Trust Fund Approved Budget for the Contract:  PhP65,000.00   </t>
  </si>
  <si>
    <t xml:space="preserve"> Republic of the Philippines Province of Agusan del Norte Municipality of Remedios T. Romualdez Invitation to Bid SUPPLY AND DELIVERY OF DRUGS AND MEDICINES 1. The Municipality of Remedios T. Romualdez, Agusan del Norte, through the General Funds/PFPR inte</t>
  </si>
  <si>
    <t xml:space="preserve"> Project Billboard ---------------------- 1x Lot -------------------------- 5,744.07 Canalization Works 	A. Common Excavation ----------- 18.18 cu.m ---------------------- 2,897.71 	B. Manual Backfill &amp; Compaction- 15.15 cu.m ---------------------- 2,012.3</t>
  </si>
  <si>
    <t xml:space="preserve"> Please download and then print the attached Invitation to Bid (ITB) for more details and for your reference. To view this attachment, just click “ORDER” opposite the ASSOCIATED COMPONENTS. TOTAL APPROVED BUDGET FOR THE CONTRACT (ABC): ₱931,550.00</t>
  </si>
  <si>
    <t xml:space="preserve"> Republic of the Philippines   Municipality of Sual BIDS AND AWARDS COMMITTEE Sual, Pangasinan   Invitation to Bid for Improvement of Ramp, Building, Canopy &amp; Pavement at PCF Caoayan, Sual, Pangasinan 1.	The Municipal Government of Sual, Pangasinan, throug</t>
  </si>
  <si>
    <t xml:space="preserve"> Name of Project	:	PURCHASE OF COMPLETE SET DESKTOP AND LAPTOP COMPUTERS FOR OFFICIAL USE OF                                 DENR PALAWAN Place of Delivery	:	PENRO Office, Bgy. Sta. Monica, Puerto Princesa City Brief Description	:	Supply and Delivery of: 	</t>
  </si>
  <si>
    <t xml:space="preserve"> Republic of the Philippines Province of Davao de Oro Municipality of Monkayo -o0o- INVITATION TO BID FOR THE PROCUREMENT OF FUEL FOR MAYOR’S OFFICE USE  The Municipality of Monkayo, through the GENERL FUND intends to apply the sum of SIX HUNDRED NINETY ON</t>
  </si>
  <si>
    <t xml:space="preserve"> Please see the attached file.</t>
  </si>
  <si>
    <t xml:space="preserve"> Technical Assistance in the Preparation for QMS 1st year Surveillance (Consultancy Fee)  Total Price: P 280,000.00</t>
  </si>
  <si>
    <t xml:space="preserve"> INVITATION TO BID FOR PROCUREMENT OF BIOMETRIC 1.	The Local Government Unit of Josefina, through the 2020 Extra Ordinary Expenses intends to apply the sum of ONE HUNDRED FOURTEEN THOUSAND PESOS (Php 114,000.00) being the Approved Budget for the Contract (</t>
  </si>
  <si>
    <t xml:space="preserve"> Republic of the Philippines Province of Compostela Valley Municipality of Monkayo -o0o- INVITATION TO BID FOR THE PROCUREMENT OF FUEL FOR MOBILIZATION OF VARIOUS OFFICES  The Municipality of Monkayo, through the GENERL FUND intends to apply the sum of ONE</t>
  </si>
  <si>
    <t xml:space="preserve"> Gentlemen : Please furnish us with your quotation on or before June 15, 2020 for the supply, delivery and installation of sunscreen rollershade for SSS Kalookan Branch Office. End User: SSS Kalookan Branch Total Approved Budget for the Contract: Php530,42</t>
  </si>
  <si>
    <t xml:space="preserve"> NOTICE OF SHORT LIST AND REQUEST FOR PROPOSALS (RFP) for 20CSPA001 : DETAILED ENGINEERING DESIGN OF ABRA COLISEUM AND CONVENTION CENTER, La Paz, Abra The DPWH-Abra District Engineering Office reserves the right to accept or reject any bid and to annul the</t>
  </si>
  <si>
    <t xml:space="preserve"> Procurement of 1 Lot IT Equipment, etc.</t>
  </si>
  <si>
    <t xml:space="preserve"> 5 BOX LAN Cable CAT5e 5 BOX LAN Cable CAT6 ( Please see attached specifications) 10 UNITS WALL SOCKET PLATE, RJ45 4 PORT Specifications: Compatible with: CAT5e/CAT6 Color: White; Type:Wall Socket Size: 3.4inch x 3.4inch /86mm x 86 mm No. of Ports: 4</t>
  </si>
  <si>
    <t xml:space="preserve"> DESIGN AND BUILD FOR THE CONSTRUCTION OF 2-STOREY PASSENGER TERMINAL BUILDING AT MALATAPAY, BARANGAY MALUAY, ZAMBOANGUITA, NEGROS ORIENTAL</t>
  </si>
  <si>
    <t xml:space="preserve"> The National Telecommunications Commission hereby invites prospective Suppliers to submit their Price Quotation for the Project: Procurement of Heavy Duty Scanner for Different Branch and Regional Offices pf National Telecommunications Commission. ABC - P</t>
  </si>
  <si>
    <t xml:space="preserve"> Procurement of 1 Lot (3 units) Air Conditioner</t>
  </si>
  <si>
    <t xml:space="preserve"> VARIOUS OFFICE SUPPLIES: 24	box	CLIP, backfold, all metal, 		clamping: 19mm (-1mm) 24	box	CLIP, backfold, all metal, 		clamping: 19mm (-1mm) 24	box	CLIP, backfold, all metal, 		clamping: 19mm (-1mm) 24	box	CLIP, backfold, all metal, 		clamping: 19mm (-1mm</t>
  </si>
  <si>
    <t xml:space="preserve"> INVITATION TO BID The Department of Public Works and Highways (DPWH) Camarines Sur 5th, District Engineering Office, Camarines Sur, through its Bids and Awards Committee (BAC), invites contractors to submit bids for the following contract(s): Contract ID </t>
  </si>
  <si>
    <t xml:space="preserve"> BIDS AND AWARD COMMITTEE				 	                         INFRA 20-26A DEVELOPMENT FUND Standard Form Number: SF-INFR-O5                                                                 Construction of Barangay Buaya Health Center (Phase I)  Revised on: July </t>
  </si>
  <si>
    <t xml:space="preserve"> VARIOUS TONERS: 6	bottle	INK for Epson L565 color Black 3	bottle	INK for Epson L565 color Cyan 3	bottle	INK for Epson L565 color Magenta 3	bottle	INK for Epson L565 color Yellow 15	bottle	INK, for stamp pad, purple or violet 2	cart		TONER CART, HP Laser 2</t>
  </si>
  <si>
    <t xml:space="preserve"> BIDS AND AWARD COMMITTEE				 	                         INFRA 20-25A GENERAL FUND Standard Form Number: SF-INFR-O5                                                                 Renovation of Market Offices  Revised on: July 29, 2004   	Poblacion, Lapu-La</t>
  </si>
  <si>
    <t xml:space="preserve"> A.	REPAIR/ RECONDITIONING AND IMPROVEMENT OF SLIDING DOOR Heavy Duty Door Roller (2 Wheel, 300kg Cap) Sliding Door Track/ Railing With Clamp (6mm) Angle Bar (1”X1”X1/4”) Angle Bar (2”X2”X1/4”) Wire Mesh 1cm (6ftx20ft) Round Bar(10mm) Welding Rod Small Wel</t>
  </si>
  <si>
    <t xml:space="preserve"> Please submit a bid based on the attached RFQ. If you are a new supplier please submit your Mayor's Permit, PhilGEPS Cert, Income Tax/Business Tax Return, Omnibus Sworn Statement.  If you have not renewed please submit updated copies of these documents.</t>
  </si>
  <si>
    <t xml:space="preserve"> Hauling of four (4) sets of Motor Controls from Stage 2, Pula, Sto. Tomas to Stage 1 Pumping Station, Camp 6 Weight:: ±600.0 kgs / set Height: 2.05 meters Length: 1.10 meters / Width: 0.81 meters Hauling of two (2) sets Peerless Horizontal Split Case Boos</t>
  </si>
  <si>
    <t xml:space="preserve"> The Technical Education and Skills Development Authority (TESDA), through the TESDA, through the Bids and Awards Committee, will undertake a Small Value Procurement for the “Procurement of Computer Set to be used in the preparation for Skills Competition”</t>
  </si>
  <si>
    <t xml:space="preserve"> 16 LI</t>
  </si>
  <si>
    <t xml:space="preserve"> "ROBOTICS KIT (complete with core and expansion sets) Specifications: (or equivalent) Display: 178×128 pixel Monochrome LCD Main Processor: TI Sitara AM1808 (ARM926EJ-S core) @300 MHz Main Memory: 64 MB RAM 16 MB Flash microSDHC Slot USB Host Port  WiFi O</t>
  </si>
  <si>
    <t xml:space="preserve"> INVITATION TO BID FOR PROCUREMENT OF MEDICINE AND MEDICAL SUPPLIES 1.	The Local Government Unit of Josefina, through the GAD 2020 intends to apply the sum of TWO HUNDRED FORTY NINE THOUSAND FIFTY SIX PESOS &amp; 50/100 CENTAVOS (249,056.50) being the Approved</t>
  </si>
  <si>
    <t xml:space="preserve"> 50 HP Submersible Pump and Motor -	4” Discharge Line -	3 phase, 460 – 480 VAC -	TDH – 300 ft, Flow 100 m3 / hr Submersible Cable for Deepwell -	30 mm2, UL 83, 460-480V / 60OC</t>
  </si>
  <si>
    <t xml:space="preserve"> INVITATION TO BID The Department of Public Works and Highways (DPWH) Camarines Sur 5th, District Engineering Office, Camarines Sur, through its Bids and Awards Committee (BAC), invites contractors to submit bids for the following contract(s):   Contract I</t>
  </si>
  <si>
    <t xml:space="preserve"> Republic of the Philippines Province of Agusan del Norte Municipality of Remedios T. Romualdez BARANGAY TAGBONGABONG Invitation to Bid SUPPLY AND DELIVERY OF FOOD PROCESSING EQUIPMENT FOR THE LIVELIHOOD PROGRAM-MEAT PROCESSING OF SALAKNIB FARMERS ASSOCIAT</t>
  </si>
  <si>
    <t xml:space="preserve"> COMPUTER SET PURCHASED</t>
  </si>
  <si>
    <t xml:space="preserve"> The Municipality of Limay, through its Bids and Awards Committee (BAC) invites registered contractors to apply for eligibility and if found eligible, to bid for the hereunder project/contract: Project/Contract:     SUPPLY AND INSTALLATION OF HAND WASH Loc</t>
  </si>
  <si>
    <t xml:space="preserve"> Republic of the Philippines Province of Batangas Municipality of San Juan BIDS AND AWARDS COMMITTEE NEGOTIATED PROCUREMENT THE LOCAL GOVERNMENT UNIT OF SAN JUAN, BATANGAS, through its Bids and Awards Committee (BAC), invites registered PhilGEPS suppliers/</t>
  </si>
  <si>
    <t xml:space="preserve"> INFRASTRUCTURE WORKS FOR THE CONSTRUCTION OF LINE CANAL AT BARANGAY CALANGO, ZAMBOANGUITA, NEGROS ORIENTAL</t>
  </si>
  <si>
    <t xml:space="preserve"> assorted office supplies, materials &amp; equipment</t>
  </si>
  <si>
    <t xml:space="preserve"> 1 5 PC/S PAIL - RUBBER 2 1 PC/S SHOVEL - HEAVY DUTY - (Wooden Handle) 3 5 PC/S CONSTRUCTION SAFETY HAT - 4 Yellows &amp; 1 White 4 5 PC/S CONSTRUCTION RAINCOATS - . - Size:L 5 1 PAIR/S CONSTRUCTION BOOTS - Steel Toe - High Cut Brown, Size:10 6 1 UNIT/S PE EMP</t>
  </si>
  <si>
    <t xml:space="preserve"> 20 tank (big) / 20 tank (small)</t>
  </si>
  <si>
    <t xml:space="preserve"> Please download and then print the attached Invitation to Bid (ITB) for more details and for your reference. To view this attachment, just click “ORDER” opposite the ASSOCIATED COMPONENTS. TOTAL APPROVED BUDGET FOR THE CONTRACT (ABC): ₱788,400.00</t>
  </si>
  <si>
    <t xml:space="preserve"> 184 LI</t>
  </si>
  <si>
    <t xml:space="preserve"> INVITATION TO BID FOR THE PROCUREMENT OF SUPPLY &amp; DELIVERY OF FARM INPUTS (TYPHOON URSULA)      1.	The Department of Agriculture Regional Field Office 6 through the General Appropriations Act (GAA) of 2020 intends to apply the sum of One Million Five Hund</t>
  </si>
  <si>
    <t xml:space="preserve"> Republic of the Philippines REGION IX PROVINCE OF ZAMBOANGA DEL SUR Pagadian City Provincial Capitol, Pagadian City INVITATION TO APPLY FOR ELIGIBILITY AND TO BID The Provincial Government of Zamboanga del Sur, through its Bids and Awards Committee (BAC),</t>
  </si>
  <si>
    <t xml:space="preserve"> Media Platform: TV Length of Ad Spots: 30 seconder Frequency: Three (3) Spots per day, Daily Coverage: Zamboanga City Please use the attached RFQ form when submitting your quotation.</t>
  </si>
  <si>
    <t xml:space="preserve"> Republic of the Philippines Province of Pangasinan Municipality of Sual Barangay Caoayan Invitation to Bid for the Construction of Brgy. Road at Sitio Dating Daan At Barangay Caoayan Sual, Pangasinan 1.	The Barangay Council of Caoayan,through the Barangay</t>
  </si>
  <si>
    <t xml:space="preserve"> Please download and then print the attached Invitation to Bid (ITB) for more details and for your reference. To view this attachment, just click “ORDER” opposite the ASSOCIATED COMPONENTS. TOTAL APPROVED BUDGET FOR THE CONTRACT (ABC): ₱14,430,000.00</t>
  </si>
  <si>
    <t xml:space="preserve"> Republic of the Philippines Province of Compostela Valley Municipality of Monkayo -o0o- INVITATION TO BID FOR THE PROCUREMENT OF MATERIALS FOR CONSTRUCTION OF GOAT HOUSE  The Municipality of Monkayo, through the GENERL FUND intends to apply the sum of ONE</t>
  </si>
  <si>
    <t xml:space="preserve"> INVITATION  FOR NEGOTIATED PROCUREMENT  (goods) NAME OF PROJECT:  PURCHASE AND DELIVERY OF ANIMAL FEEDS AND VETERINARY MEDICINES 1.	In view of the two (2) failed public biddings, the Local Government Unit of  Tuao, Cagayan Bids and Awards Committee (BAC) </t>
  </si>
  <si>
    <t xml:space="preserve"> The Procuring Entity: LGU-INOPACAN, LEYTE Project Reference Number: MTO-100-300-03-05 Name of Project: PURCHASE OF BUSINESS PLATES/ STICKERS Location of Project: POBLACION, INOPACAN, LEYTE Standard Form Number: SF-GOOD-60 Standard Form Title: REQUEST FOR </t>
  </si>
  <si>
    <t xml:space="preserve"> Republic of the Philippines PROVINCE OF ZAMBOANGA DEL SUR Municipality of Dimataling BIDS AND AWARD COMMITTEE Reference Number : PR-132-100-2020 Date: May 18, 2020 Project Title/P.R. # : PURCHASE OF MEALS AND SNACKS Approved Budget of the Contract : Php 1</t>
  </si>
  <si>
    <t xml:space="preserve"> No.	QTY.	UNIT	ITEM DESCRIPTION 1	1	6 man-month	Assisting Professional (AP) for Enterprise Development (EnDev) under the Forestland Management Project (FMP) of Nueva Vizcaya for CY 2020.</t>
  </si>
  <si>
    <t xml:space="preserve"> Section I. Invitation to Bid INVITATION TO BID  DA8-Goods-2020-42 (PR No. CORN 20-05-29-0164) 1.	The Department of Agriculture-Regional Field Office No. 8, through the CORN 2020-C.O intends to apply the sum of Three Million Five Hundred thousand Pesos Onl</t>
  </si>
  <si>
    <t xml:space="preserve"> Please download and then print the attached Invitation to Bid (ITB) for more details and for your reference. To view this attachment, just click “ORDER” opposite the ASSOCIATED COMPONENTS. TOTAL APPROVED BUDGET FOR THE CONTRACT (ABC): ₱165,000.00</t>
  </si>
  <si>
    <t xml:space="preserve"> 1	Lot	Various Office Supplies  for 2nd Qtr - 4th Qtr CY 2020</t>
  </si>
  <si>
    <t xml:space="preserve"> The Central Bicol State University of Agriculture (CBSUA) announces that the aforesaid project will be procured through the Alternative Mode of Negotiated Procurement specified in Section 53.9 (Small Value Procurement) of the 2016 Revised Implementing Rul</t>
  </si>
  <si>
    <t xml:space="preserve"> Purchase of Furniture’s and Fixtures for Various Offices Items to Bid are indicated on the Bid Docs</t>
  </si>
  <si>
    <t xml:space="preserve"> PAINTING WORKS (MASONRY PAINTING) PAINTING WORKS (METAL PAINTING) ELECTRICAL ROUGHING-IN, WIRING AND ACCESSORIES FORM WORKS AND FALSE WORK OCCUPATIONAL SAFETY AND HEALTH PROGRAM</t>
  </si>
  <si>
    <t xml:space="preserve"> One unit printer</t>
  </si>
  <si>
    <t xml:space="preserve"> PR. No. 256-06-2020 	Republic of the Philippines Region XII Province of Cotabato Municipality of Aleosan  OFFICE OF BIDS AND AWARDS COMMITTEE REQUEST FOR QUOTATION __________________________ Name of Company __________________________ Address 	The Local Go</t>
  </si>
  <si>
    <t xml:space="preserve"> Section I. Invitation to Bid Republic of the Philippines Province of Surigao del Sur Municipality of San Miguel BARANGAY TINA INVITATION TO BID FOR THE SUPPLY OF FUEL &amp; OIL LUBRICANTS. 1.	The Barangay Local Government Unit of Tina (BLGU-Tina)through the 2</t>
  </si>
  <si>
    <t xml:space="preserve"> Republic of the Philippines Region XII Province of Cotabato Municipality of Aleosan  INVITATION TO BID FOR THE Supply and Delivery of Construction Materials and Supplies for the Improvement of Multi-Purpose Building June 12, 2020 1.	The Local Government U</t>
  </si>
  <si>
    <t xml:space="preserve"> PR. No.  	Republic of the Philippines Region XII Province of Cotabato Municipality of Aleosan  OFFICE OF BIDS AND AWARDS COMMITTEE REQUEST FOR QUOTATION __________________________ Name of Company __________________________ Address 	The Local Government Un</t>
  </si>
  <si>
    <t xml:space="preserve"> LCWD-2020-050 dtd. 06-10-20 Various Fittings     LCWD Warehouse INVITATION TO BID FOR VARIOUS FITTINGS PR No. &amp; Date : 2020-056, 2020-058 and 2020-059 dated June 1, 2020 Reference No. &amp; Date : __________ 		 1.	The LEGAZPI CITY WATER DISTRICT, through the </t>
  </si>
  <si>
    <t xml:space="preserve"> Supply, delivery and installation of Airconditioning Units</t>
  </si>
  <si>
    <t xml:space="preserve"> 90 packs adult diaper/ 1,400 sachet adult milk, 90 cans biscuit/ 90 pcs. bath soap</t>
  </si>
  <si>
    <t xml:space="preserve"> Media Platform: TV Length of Program: 30 Minutes Frequency: Weekly Type of Program: Live  Others: Local TV - 5 Ad Spots, Daily Cable TV - 5 Ad Spots, Daily FM Radio - 5 Ad Spots, Daily Facebook Live - 5 Ad Spots, Daily TV Program simulcast: Local TV, Cabl</t>
  </si>
  <si>
    <t xml:space="preserve"> Republic of the Philippines Province of Compostela Valley Municipality of Monkayo -o0o- INVITATION TO BID FOR THE PROCUREMENT OF MATERIALS FOR REPAIR AND MAINTENANCE OF STREETLIGHTS  The Municipality of Monkayo, through the GENERL FUND intends to apply th</t>
  </si>
  <si>
    <t xml:space="preserve"> Please download and then print the attached Invitation to Bid (ITB) for more details and for your reference. To view this attachment, just click “ORDER” opposite the ASSOCIATED COMPONENTS. TOTAL APPROVED BUDGET FOR THE CONTRACT (ABC): ₱8,840,000.00</t>
  </si>
  <si>
    <t xml:space="preserve"> Republic of the Philippines City of Cadiz Bids and Awards Committee BID FORM 							 Atty. Reggie C. Placido Chairman  Bids and Awards Committee Sir: 	 	After having carefully read and accepted the conditions in the Invitation to Bid, I/We quote you on th</t>
  </si>
  <si>
    <t xml:space="preserve"> Republic of the Philippines   Municipality of Sual BIDS AND AWARDS COMMITTEE Sual, Pangasinan   Invitation to Bid for Construction of Two (2) Units Potable Water Supply System Level 3 Baybay Norte &amp; Baybay Sur, Sual, Pangasinan 1.	The Municipal Government</t>
  </si>
  <si>
    <t xml:space="preserve"> Procurement for HP Toner Cartridges *Original and brand new cartridges only *HP CF226A (HP26A), black *HP 740A-black, 741A-cyan, 742A-yellow, 743A-magenta *quantities specified in the attached RFQ *incomplete bids will not be accepted  *Bids should be sub</t>
  </si>
  <si>
    <t xml:space="preserve"> 10 pails Oil 10/ 5 pails oil 40</t>
  </si>
  <si>
    <t xml:space="preserve"> 3,257.14 ltrs. Diesel fuel</t>
  </si>
  <si>
    <t xml:space="preserve"> The National Telecommunications Commission (NTC) hereby invites prospective supplier to submit their Price Quotation for the Project: Procurement of Inkjet Printers, CISS, All in One, Print / Scan / Copy / WIFI Kindly check the attached RFQ for Specificat</t>
  </si>
  <si>
    <t xml:space="preserve"> Please download and then print the attached Invitation to Bid (ITB) for more details and for your reference. To view this attachment, just click “ORDER” opposite the ASSOCIATED COMPONENTS. TOTAL APPROVED BUDGET FOR THE CONTRACT (ABC): ₱7,787,827.00</t>
  </si>
  <si>
    <t xml:space="preserve"> The Municipality of Limay, through its Bids and Awards Committee (BAC) invites registered contractors to apply for eligibility and if found eligible, to bid for the hereunder project/contract: Project/Contract:   CONSTRUCTION OF THREE (3) STOREY, NINE (9)</t>
  </si>
  <si>
    <t xml:space="preserve"> The Municipal Government of Pilar, through the 20% Development Fund intends to apply the sum of Two Million Two Hundred Forty Nine Thousand Nine Hundred Twenty Four &amp; 25/100 Pesos (P/2,249, 924.25) being the Approved Budget for the Contract (ABC) to payme</t>
  </si>
  <si>
    <t xml:space="preserve"> DESCRIPTION LOCAL GOVERNMENT UNIT - MUNICIPALITY OF BACOLOR INVITATION TO APPLY FOR ELIGIBILITY AND TO BID The Local Government Unit - Municipality of Bacolor, Bacolor, Pampanga, through the Bids and Award Committee (BAC), invites contractors to apply for</t>
  </si>
  <si>
    <t xml:space="preserve"> please see attached document...</t>
  </si>
  <si>
    <t xml:space="preserve"> 1. The [Local Government Unit of Inopacan, Leyte], through the [Installation of Budgeting and Accounting System, IT Equipment and Software under Capital Outlay of the Municipal Budget Office and Municipal Accounting Office in the 2020 General Fund Supplem</t>
  </si>
  <si>
    <t xml:space="preserve"> Please download and then print the attached Invitation to Bid (ITB) for more details and for your reference. To view this attachment, just click “ORDER” opposite the ASSOCIATED COMPONENTS. TOTAL APPROVED BUDGET FOR THE CONTRACT (ABC): ₱392,400.00</t>
  </si>
  <si>
    <t xml:space="preserve"> Purchase of IT Equipment for Various Offices Items to Bid are included on the Bid Docs</t>
  </si>
  <si>
    <t xml:space="preserve"> The Technical Education and Skills Development Authority (TESDA), through the TESDA-PTC Sindangan, Zamboanga del Norte will undertake a Small Value Procurement for the “Procurement of Computer set to be used in the preparation for Skills Competition”, in </t>
  </si>
  <si>
    <t xml:space="preserve"> June 11, 2020 	 1.	The Provincial Government of Davao del Sur, through its Special Bids and Awards Committee (SBAC), invites all potential bidders/contractors to participate to bid for the following project: Bids received in excess of the ABC shall be aut</t>
  </si>
  <si>
    <t xml:space="preserve"> Invitation to Bid and Bidding Documents</t>
  </si>
  <si>
    <t xml:space="preserve"> Supply, delivery and installation of 1 set Submersible Pump.</t>
  </si>
  <si>
    <t xml:space="preserve"> INVITATION TO BID The Surigao del Sur 1st District Engineering Office, Tandag City, through its Bids and Awards Committee (BAC), invites contractors to submit bids for the following Contract: CONTRACT ID	:	20NH0089(RE-AD) CONTRACT NAME	:	Construction/ Reh</t>
  </si>
  <si>
    <t xml:space="preserve"> 1.    11776    LITERS    DIESEL  APPROVED BUDGET FOR THE CONTRACT: PHP 482, 816.00 LOCATION OF THE CONTRACT: BATARAZA, PALAWAN DURATION OF THE CONTRACT: 7 DAYS SCHEDULE OF ACTIVITIES: POSTING AND ISSUANCE OF BIDS: JUNE 11-23, 2020 PRE-BID CONFERENCE : DEA</t>
  </si>
  <si>
    <t xml:space="preserve"> I - Hauling of materials from Tagbakin to Calumayin by boat rental             one          lot II - Construction Safety and Health Program                    one                 lot III - Project Billboard               one                     lot IV - P</t>
  </si>
  <si>
    <t xml:space="preserve"> Construction of  Rainwater collector per Municipality</t>
  </si>
  <si>
    <t xml:space="preserve"> Repair &amp; Maintenance Barangay Service Patrol</t>
  </si>
  <si>
    <t xml:space="preserve"> 10     Units     VARIABLE FREQUENCY DRIVES 30HP 230V 3PH SPECS: Variable Frequency Drives								 Applicable Motor Output: 22kw/30Hp, 230v, 3ph								 Rated Output Capacity ( heavy duty application) : 34kva 								 Rated Output Current ( heavy duty appl</t>
  </si>
  <si>
    <t xml:space="preserve"> June 11, 2020 1.	The Provincial Government of Davao del Sur, through its Special Bids and Awards Committee (SBAC), invites all potential bidders/contractors to apply to bid for the following project. Bids submitted in excess of the ABC shall be automatica</t>
  </si>
  <si>
    <t xml:space="preserve"> Please download and then print the attached Invitation to Bid (ITB) for more details and for your reference. To view this attachment, just click “ORDER” opposite the ASSOCIATED COMPONENTS. TOTAL APPROVED BUDGET FOR THE CONTRACT (ABC): ₱999,971.00</t>
  </si>
  <si>
    <t xml:space="preserve"> 1 unit Travel Pump Assy.</t>
  </si>
  <si>
    <t xml:space="preserve"> CONSTRUCTION/CONCRETING OF PROVINCIAL ROADS, HIGHWAYS AND BRIDGES (PATAG-SAN MATEO ROAD) Municipality of Burgos, Surigao del Norte Brief Description: 	 The project will involve the Construction/ Concreting of Provincial Roads, Highways and Bridges (Patag-</t>
  </si>
  <si>
    <t xml:space="preserve"> To supply and deliver at Project site Diayo Maria Auro, Aurora 4 units Hapa net (3m width x 5m length x 1.5m depth) 10 rolls B-net (double width, black) size 32 10 rolls PE knotted net (size 17) 400 x 12 x 200 x MD 20 rolls PE rope 7mm diameter 3 rolls PE</t>
  </si>
  <si>
    <t xml:space="preserve"> Shipping Cartons	 Size: 235mm x 104mm x 160mm  	Can withstand 10 carton high</t>
  </si>
  <si>
    <t xml:space="preserve"> CONSTRUCTION OF MULTI PURPOSE BUILDING (WAREHOUSE) AT SIARGAO DISTRICT HOSPITAL Municipality of Dapa, Surigao del Norte Brief Description:    The project has the following scope of works: General Requirements, Earthworks, Concrete Works, Reinforcing Steel</t>
  </si>
  <si>
    <t xml:space="preserve"> 2 pcs. 21 plates / 2 pcs. 17 plates / 1 pc. 15 plates</t>
  </si>
  <si>
    <t xml:space="preserve"> 400     Pcs.     GI PIPE 1/2"Ø X 6 MTRS HEAVY GAUGE PIPE  SPECS: PNS - 26 STANDARD Outside Diameter               :          21.3 mm Mass                                  :          7.662 kg Wall Thickness                  :          2.80 mm Length       </t>
  </si>
  <si>
    <t xml:space="preserve"> 1.  10,714.28    LITERS   DIESEL APPROVED BUDGET FOR THE CONTRACT: PHP 599,999.68 LOCATION OF THE CONTRACT: BATARAZA, PALAWAN DURATION OF THE CONTRACT: 7 DAYS SCHEDULE OF ACTIVITIES: POSTING AND ISSUANCE OF BIDS: JUNE 11-23, 2020 PRE-BID CONFERENCE : DEAD</t>
  </si>
  <si>
    <t xml:space="preserve"> Media Platform: AM Length of Ads Spots: 30 - 35 seconder Frequency: Six (6) Spots per Day, Daily Coverage: Zamboanga City, Zamboanga del Sur, Sibugay Province, Zamboanga del Norte, Basilan, Sulu, Tawi-Tawi,                 Sultan Kudarat, and Saranggani P</t>
  </si>
  <si>
    <t xml:space="preserve"> Request for Proposal  The Bureau of Fisheries and Aquatic Resources Regional Office No. 5 (BFAR RO 5), Fabrica, Bula, Camarines Sur is requesting from prospective suppliers to submit written proposal for the Labor and Materials for the Fabrication and Ins</t>
  </si>
  <si>
    <t xml:space="preserve"> I.	INTRODUCTION Marcopper Mining Corporation (MMC) is a Philippine mining company incorporated in 1964 wherein Canada-based Placer Dome, Inc. has a 39.9% shareholding.  Placer Dome acquired that interest after an association with the exploration of the mi</t>
  </si>
  <si>
    <t xml:space="preserve"> PURCHASE OF 165 PCS FLU VACCINE WITH ADMINISTRATION</t>
  </si>
  <si>
    <t xml:space="preserve"> Production/Printing OF 2019 NAPOLCOM Annual Report *Quantity: 450 copies *Size: 8.5"x 11" *No. of pages: 56 pages (Excluding the flyleaf + cover) *Stock: Cover-C2S 220; Inside: C2S 100           : Envelop - C2S 180 with design           : Others - encoded</t>
  </si>
  <si>
    <t xml:space="preserve"> CONCRETING OF BAYATAKAN ROAD PHASE II Municipality of Dapa, Surigao del Norte Brief Description:    The project has the following scope of works: Construction survey and staking, Project Billboard, Occupational Safety and Health Program, Mobilization/Demo</t>
  </si>
  <si>
    <t xml:space="preserve"> Republic of the Philippines BIDS AND AWARDS COMMITTEE Cadiz City      BID DOCUMENTS for the CONSTRUCTION OF CITY FIRE HYDRANTS &amp; ACCESSORIES @ CITY PROPER, CADIZ CITY (1) BIDS AND AWARDS COMMITTEE  Cadiz City   INVITATION TO BID/REQUEST FOR EXPRESSION OF </t>
  </si>
  <si>
    <t xml:space="preserve"> Procurement for various Audio Visual Equipment *Subdivided into four (4) lots  -Lot 1 External Capture Card - ABC: 50,000.00  -Lot 2 Television Screen - ABC: 74,000.00  -Lot 3 Media Streaming Module - ABC: 13,000.00  -Lot 4 Desktop Computer (Mini PC Form </t>
  </si>
  <si>
    <t xml:space="preserve"> INVITATION TO BID    SUPPLY AND DELIVERY OF THIRTY FOUR (34) UNITS BRAND NEW TRACTOR WITH IMPLEMENTS 1.	The Sugar Regulatory Administration through the 2018 and 2019 General Appropriations Act (GAA) Continuing Budget intends to apply the sum of One Hundre</t>
  </si>
  <si>
    <t xml:space="preserve"> The Municipal Government of Luna, Isabela through its Bids and Awards Committee (BAC) invites all prospective bidders to apply and bid for the hereunder project: Name of Project: PROCUREMENT OF ONE (1) UNIT BRAND NEW DUPLICATING MACHINE WITH PROVISION OF </t>
  </si>
  <si>
    <t xml:space="preserve"> assorted construction materials, pipes &amp; fittings</t>
  </si>
  <si>
    <t xml:space="preserve"> June 11, 2020 REQUEST FOR QUOTATION Supply/Delivery of Office Equipment for RIM Quarter &amp;  RO V Conference Room  of  NIA RO V, Naga City  PR No.: 20-05-068 Quotation/Bid No. F501-RO-049-20 The MANAGER BODEGA GLASSWARE Elias Angeles, Naga City  Sir; Please</t>
  </si>
  <si>
    <t xml:space="preserve"> 1 unit 3HP Submersible Pump/ assorted sizes of pipes /assorted sizes of coupling</t>
  </si>
  <si>
    <t xml:space="preserve"> REPUBLIC OF THE PHILIPPINES																															 	PROVINCE OF ZAMBOANGA DEL NORTE																															 	MUNICIPALITY OF PRES. MANUEL A. ROXAS																															 	BIDS AND AWARDS COMMITTEE																															 				</t>
  </si>
  <si>
    <t xml:space="preserve"> Media Platform: FM Length of Ad Spots: 30 seconder Frequency: Ten (10) Spots per Day, Daily Coverage: Zamboanga City  Please use the attached RFQ form when submitting your quotation.</t>
  </si>
  <si>
    <t xml:space="preserve"> 1.     4,000   LITERS   DIESEL APPROVED BUDGET FOR THE CONTRACT: PHP 220,000.00 LOCATION OF THE CONTRACT: BATARAZA, PALAWAN DURATION OF THE CONTRACT: 7 DAYS SCHEDULE OF ACTIVITIES: POSTING AND ISSUANCE OF BIDS: JUNE 11-23, 2020 PRE-BID CONFERENCE : DEADLI</t>
  </si>
  <si>
    <t xml:space="preserve"> Republic of the Philippines Province of Ilocos Sur Municipality of San Juan Barangay Sunggiam OFFICE OF THE BIDS AND AWARDS COMMITTEE INVITATION TO APPLY FOR ELIGIBILITY AND TO BID The Barangay Sunggiam,Sa Juan,Ilocos Sur through the Bids And Awards Commi</t>
  </si>
  <si>
    <t xml:space="preserve"> Construction of Rainwater Collector</t>
  </si>
  <si>
    <t xml:space="preserve"> 1	50	Boxes.	Sodium Ascorbate 500mg tab 2	50	Boxes.	Vitamin B Complex tab 3	50	Boxes.	Paracetamol 500mg tab 4	50	Boxes.	Multivitamins + Iron Capsule 5	20	Boxes.	Symdex tablet 6	30	Boxes.	Metformin 500mg tab 7	50	Boxes.	Losartan 50mg tab 8	40	Boxes.	Amoxici</t>
  </si>
  <si>
    <t xml:space="preserve"> Section I. Invitation to Bid Republic of the Philippines PROVINCE OF CAGAYAN Municipality of Peñablanca PROVINCIAL BIDS AND AWARDS COMMITTEE INVITATION TO BID FOR  Procurement of 313, 150 Liters Diesel Fuel 1.	The Provincial Government of Cagayan, through</t>
  </si>
  <si>
    <t xml:space="preserve"> 386	pcs	Granite Tiles 60x60 50	pcs	Cement Type 1 12	pcs	Colorproof 1 M x 14 feet 20	bags	Adhesive 8	pcs	Hardiflex 3/16 10	pcs	Angle Bar 1x1x20 10	cum	Find Sand 300	pcs	CHB #4 1	pcs	Hacksaw Blade</t>
  </si>
  <si>
    <t xml:space="preserve"> GALVANIZED STEEL CABLE WIRE</t>
  </si>
  <si>
    <t xml:space="preserve"> Bandwidth : FM Length of Program : 30 minutes Frequency : Weekly Type of Program : Live Coverage : Zamboanga del Sur Please use the attached RFQ form when submitting your quotation.</t>
  </si>
  <si>
    <t xml:space="preserve"> 200     Pcs.     Electical Tape 500     Pcs.     Rubber Tape 3/4</t>
  </si>
  <si>
    <t xml:space="preserve"> REPUBLIC OF THE PHILIPPINES																																			 	PROVINCE OF ZAMBOANGA DEL NORTE																																			 	MUNICIPALITY OF PRES. MANUEL A. ROXAS																																			 	BIDS AND AWARDS COMMITTEE																								</t>
  </si>
  <si>
    <t xml:space="preserve"> COPIER MACHINE SPECIFICATIONS: WITH DUPLEX DOCUMENT FEEDER, FAX FUNCTIONALITY, DUPLEX UNIT WITH ADDITIONAL PAPER TRAYS AND STAND, PAPER SIZE PRINTING - A4-A3 SIZE</t>
  </si>
  <si>
    <t xml:space="preserve"> Section I. Invitation to Bid Republic of the Philippines PROVINCE OF CAGAYAN Municipality of Peñablanca PROVINCIAL BIDS AND AWARDS COMMITTEE INVITATION TO BID FOR  Supply, Delivery and Installation of 4 Units High Volume Low Speed Fan 1.	The Provincial Go</t>
  </si>
  <si>
    <t xml:space="preserve"> Bandwidth : FM Length of Program : 30 minutes Frequency : Weekly Type of Program : Live Please use the attached RFQ form when submitting your quotation.</t>
  </si>
  <si>
    <t xml:space="preserve"> Package I	 Abra        1. Bucay BHS	              1,980,000.00        2. San Miguel BHS	      500,000.00        3. Talogtog BHS	              500,000.00  Package II	 Abra       1. Luba RHU	                       1,000,000.00       2. Manabo RHU	          </t>
  </si>
  <si>
    <t xml:space="preserve"> Republic of the Philippines PROVINCE OF ZAMBOANGA SIBUGAY Municipality of Roseller T. Lim    INVITATION TO BID 						June 08, 2020 	 To All Interested Bidders: Notice is hereby served that sealed bid be received for public bidding under the harmonious pro</t>
  </si>
  <si>
    <t xml:space="preserve"> Republic of the Philippines BIDS AND AWARDS COMMITTEE Cadiz City      BID DOCUMENTS for the CONSTRUCTION OF ONE (1) STOREY, 1-CLASSROOM SCHOOL BUILDING @ SAN ANDRES ELEMENTARY SCHOOL, BRGY. BANQUEROHAN, CADIZ CITY (1) BIDS AND AWARDS COMMITTEE  Cadiz City</t>
  </si>
  <si>
    <t xml:space="preserve"> Purchase of construction materials and supplies for Barangay Tubajon</t>
  </si>
  <si>
    <t xml:space="preserve"> Purchase of 1 set 3hp Submersible Pump and Accessories  for Barangay Sambulawan Please bid documents for details and specifications.</t>
  </si>
  <si>
    <t xml:space="preserve"> Renewal of Adobe Creative Cloud Subscription *All apps subscription *Duration: 17 months (August 1, 2020 to December 31, 2021) *Warranty: 17 months *Bids should be submitted using a two-factor security procedure consisting of an archive format compression</t>
  </si>
  <si>
    <t xml:space="preserve"> INVITATION FOR PRICE QUOTATION Date:  11 June 2020 For The REPAIR AND MAINTENANCE OF CCTV SYSTEM AT  LEGAZPI AIRPORT – 2ND SVP The Civil Aviation Authority of the Philippines (CAAP) intends to apply the estimated amount   of   Two Hundred Ninety Nine Thou</t>
  </si>
  <si>
    <t xml:space="preserve"> portland cement/ coarse aggreagates/ fine aggreagates/ 16mm dia dsb/ 12mm dia, dsb/ Cw nails/ hacksaw blade</t>
  </si>
  <si>
    <t xml:space="preserve"> please see attached file...</t>
  </si>
  <si>
    <t xml:space="preserve"> Section I. Invitation to Bid Republic of the Philippines PROVINCE OF CAGAYAN Municipality of Peñablanca PROVINCIAL BIDS AND AWARDS COMMITTEE INVITATION TO BID FOR   Supply and Delivery of Two (2) Units Brand New Mini Bus, 4x2 M/T Diesel 1.	The Provincial </t>
  </si>
  <si>
    <t xml:space="preserve"> 1.	The Municipality of Impasugong, through the 20% DF – Rehabilitation of Multi-Purpose Halls – Capitan Bayong – Barangay Proper Phase 2 intends to apply the sum of Two Million Five Hundred Thousand Pesos (PhP 2,500,000.00) being the Approved Budget for t</t>
  </si>
  <si>
    <t xml:space="preserve"> INVITATION TO REBID THE SUPPLY AND DELIVERY OF MATERIALS FOR REPLACEMENT AND EXPANSION OF PIPELINES 1.	The Balingasag Water District, through the Balingasag Water District Fund of 2020 intends to apply the following being the Approved Budget for the Contr</t>
  </si>
  <si>
    <t xml:space="preserve"> Rehabilitation of Multi Purpose Building Cost of Bidding Documents: Php 5,000.00					 Source of Funds: GAA FY 2020  The significant times and deadlines of procurement activities are shown below: 1. Issuance of Bidding Documents	Deadline: June 15 – 29, 202</t>
  </si>
  <si>
    <t xml:space="preserve"> Section I. Invitation to Bid Republic of the Philippines PROVINCE OF CAGAYAN Municipality of Peñablanca PROVINCIAL BIDS AND AWARDS COMMITTEE INVITATION TO BID FOR  Supply and Delivery of One (1) Unit Brand New Big Bus, 6 Wheeler, Completely Build Unit (CB</t>
  </si>
  <si>
    <t xml:space="preserve"> 40    Pcs.     SEKO Injection Valve  Specs: for SEKO Metering/dosing pumps</t>
  </si>
  <si>
    <t xml:space="preserve"> DESKTOP COMPUTER i5 INTEL PROCESSOR</t>
  </si>
  <si>
    <t xml:space="preserve"> REPUBLIC OF THE PHILIPPINES																																		 	PROVINCE OF ZAMBOANGA DEL NORTE																																		 	MUNICIPALITY OF PRES. MANUEL A. ROXAS																																		 	BIDS AND AWARDS COMMITTEE																											</t>
  </si>
  <si>
    <t xml:space="preserve"> portland cement/ washed sand/ washed gravel, Tie wire/ hacksaw blade/ red lead paint/ curing compound</t>
  </si>
  <si>
    <t xml:space="preserve"> BRAND NEW, 4 X 2 - 6 WHEELER (EURO 4) TRUCK CHASSIS Engine: NO4C-UV (EURO 4) 150 PS (ISO NET) DIESEL Cycle cylinder, vertical in line, turbo charge and inner cooled overhead valve, water cooled, direct injection, electronic control common rail type Transm</t>
  </si>
  <si>
    <t xml:space="preserve"> Please refer to the attached Bid Documents for more details.</t>
  </si>
  <si>
    <t xml:space="preserve"> 20 units Alcohol Sprayer Wall Mounted 1000ml capacity, Automatic Sensor</t>
  </si>
  <si>
    <t xml:space="preserve"> RFQ-GS-20200605-02 Interested Suppliers are invited to submit  Price Quotation for the above listed item. The official LANDBANK Request for Quotation Form may be obtained from MS. NADZ ILETO (email address: iletonadia25@gmail.com).  The deadline for the s</t>
  </si>
  <si>
    <t xml:space="preserve"> Supply and Delivery of Office Equipment &amp; I.T. Equipment.</t>
  </si>
  <si>
    <t xml:space="preserve"> CONCRETING OF ROAD AND CONSTRUCTION OF DRAINAGE CANAL Z-2</t>
  </si>
  <si>
    <t xml:space="preserve"> COMPLETION OF INSTALLATION OF STREETLIGHTING SYSTEM @ BANGQUEROHAN AREA</t>
  </si>
  <si>
    <t xml:space="preserve"> Republic of the Philippines								 Province of Ilocos Norte								 Municipality of Paoay								 								 REQUEST FOR QUOTATION								 								 					Date:		6/12/2020	 					Qoutation No:		2020-116	 THE MANAGER				 				 								 								 								        </t>
  </si>
  <si>
    <t xml:space="preserve"> Wheel Tire  265/65 R16					4	 pcs  2SM Battery					1	 pc  Wiper Blade  16⅟₂" 					1	 pc  Wiper Blade 24"					1	 pc  x-x-x-x-x-x</t>
  </si>
  <si>
    <t xml:space="preserve"> 1	1	Lot	Supply and Delivery of  I.T. Equipment  			Item Description: 	1	Unit	Printer (with A3) On demand ink jet 360 nozzles Black, 59 nozzles each colour Bi directional printing, Uni directional printing 5760 x 1440 dpi Maximum Resolution Approx. 30 ppm </t>
  </si>
  <si>
    <t xml:space="preserve"> Clutch Assembly, A/C Compressor					1	 l. s.  A/C   O-Ring					6	 pcs  Freon Refregerant  134A					1	 pc  PAG Oil					1	 pc  Solution  141					1	 pc  Replace Compressor and Clutch Assembly (Services-Labor) 					1	 l. s.  Fulldown Condenser (Services-Labor</t>
  </si>
  <si>
    <t xml:space="preserve"> Construction of 1 unit Rainwater Collector System</t>
  </si>
  <si>
    <t xml:space="preserve"> Republic of the Philippines								 Province of Ilocos Norte								 Municipality of Paoay								 								 REQUEST FOR QUOTATION								 								 					Date:		6/12/2020	 					Qoutation No:		2020-118	 THE MANAGER				 				 								 								 								        </t>
  </si>
  <si>
    <t xml:space="preserve"> Split Type 2.5 Hp. Aircondition with accessories</t>
  </si>
  <si>
    <t xml:space="preserve"> Other Supplies and Materials</t>
  </si>
  <si>
    <t xml:space="preserve"> IMPROVEMENT OF PANGANIBAN MUNICIPAL WATER SYSTEM of Barangays Sta. Ana, Burabod, Mabini, San Miguel, San Jose, San Nicolas, and Burabod, Panganiban, Catanduanes</t>
  </si>
  <si>
    <t xml:space="preserve"> Construction of Multi Purpose Building 		 Cost of Bidding Documents: Php 25,000.00					 Source of Funds: GAA FY 2020 The significant times and deadlines of procurement activities are shown below: 1. Issuance of Bidding Documents	Deadline: June 15 – 29, 20</t>
  </si>
  <si>
    <t xml:space="preserve"> Republic of the Philippines Province of Pangasinan Municipality of Sual Barangay Caoayan Invitation to Bid for the Construction of Waiting Shed At Barangay Caoayan Sual, Pangasinan 1.	The Barangay Council of Caoayan,through the Barangay Fund 2020 intends </t>
  </si>
  <si>
    <t xml:space="preserve"> 1 set Dining Table with Chair - 4 chairs with cushion - wooden (MDF) 1 set Office Table with fixed steel cabinet 1 pc Office Chair-High Back (Adjustable, with arm rest) 1 pc Plastic Rectangular Table</t>
  </si>
  <si>
    <t xml:space="preserve"> Road Safety Devices  			 		 Cost of Bidding Documents: Php 5,000.00					 Source of Funds: GAA 101 Maintenance Fund CY 2020 The significant times and deadlines of procurement activities are shown below: 1. Issuance of Bidding Documents	Deadline: June 15 – </t>
  </si>
  <si>
    <t xml:space="preserve"> please see attached file For further information, please refer to: Ms. Sofia Banta Telefax No. 837-8113 loc 318 / 837-2071 loc 2293 Email address: chiebanta@gmail.com For further information, please refer to: Mr. Marlon Balitaon Telefax No. 837-8113 loc 3</t>
  </si>
  <si>
    <t xml:space="preserve"> REHABILITATION OF EXISTING MUNICIPAL ROADS @ Barangays San Jose and Salvacion, Panganiban, Catanduanes</t>
  </si>
  <si>
    <t xml:space="preserve"> 1.	250		pcs.		Plastic Envelope w/ handle		 2.	2500		pcs.		Notebooks		 3.	500		pcs.		Pencil		 4.	750		pcs.		Ballpen		 5.	250		pcs.		Sharpener		 6.	250		pcs.		Ruler		 7.	250		pcs.		Eraser		 8.	250		pcs.		Pad Paper (Grade 1-4)		 9.	250		bxs.		Crayola #16		 1</t>
  </si>
  <si>
    <t xml:space="preserve"> Development of spring source, Construction of Intake Box, Construction of 250 cu.m. Concrete ground reservoir (2-ea) and Pipeline Distribution</t>
  </si>
  <si>
    <t xml:space="preserve"> 20CSE008: Consulting Services for the Conduct of Feasibility Study of the Proposed Coron-Culion Bridge, Palawan</t>
  </si>
  <si>
    <t xml:space="preserve"> Flood Control 	 	 		 		 Cost of Bidding Documents: Php 5,000.00					 Source of Funds: Maintenance Fund 101 CY 2020 The significant times and deadlines of procurement activities are shown below: 1. Issuance of Bidding Documents	Deadline: June 15 – 29, 2020</t>
  </si>
  <si>
    <t xml:space="preserve"> INVITATION TO BID The Department of Public Works and Highways-National Capital Region-Metro Manila 3rd District Engineering Office, through its Bids and Awards Committee (BAC), invites contractors to apply to bid for the following contract/s:     Contract</t>
  </si>
  <si>
    <t xml:space="preserve"> DESCRIPTION  35,000 SHEETS (35 BOXES, 1000 SHEETS  PER BOX) STATEMENT OF ACCOUNT  WHITE COPY WITH BACK PRINT TWO COLORS PRINT 8½  X  6½  CONTINUOUS FORM *Please use the attached Request for Quotation Form *please submit PhilGEPS Registration Certificate</t>
  </si>
  <si>
    <t xml:space="preserve"> Sorghum Seeds 10 bags @ 50 lbs/bag Delivery Site: Murtha Station San Jose, Occidental Mindoro - 5 bags Palawan Research &amp; Experiment Station, Puerto Princesa City, Palawan - 5 bags Please see attached and download RFQ # 20-1097-1. Submit your Sign and Sea</t>
  </si>
  <si>
    <t xml:space="preserve"> Food Supplies</t>
  </si>
  <si>
    <t xml:space="preserve"> labor for the construction of 8.0m x 12.0m Two Storey Multipurpose Building Phase 2 (to include tiling, painting, construction of plant box, installation of 2 PVC door, steel railing at 1st floor of the building)</t>
  </si>
  <si>
    <t xml:space="preserve"> REQUEST FOR EXPRESSION OF INTEREST FOR  Consulting Services for the Preparation of Environmental Impact Statement and  Facilitation of ECC Application for the Modernization Plan of  Gov. Celestino Gallares Memorial Hospital Project located in Cortes, Boho</t>
  </si>
  <si>
    <t xml:space="preserve"> Consolidated I.T. Consumables</t>
  </si>
  <si>
    <t xml:space="preserve"> Please see attached Request for Quotation with Annex 'A' for complete listing.</t>
  </si>
  <si>
    <t xml:space="preserve"> REQUEST FOR EXPRESSION OF INTEREST FOR  Consulting Services for the Conduct of Geotechnical (Soil) Investigation for the Construction of Proposed 6-Storey New Buildings for the Modernization Plan of Gov. Celestino Gallares Memorial Hospital Project locate</t>
  </si>
  <si>
    <t xml:space="preserve"> Republic of the Philippines Province of Dinagat Islands Municipality of Basilisa BARANGAY VILLA PANTINOPLE -oOo- BIDS AND AWARDS COMMITTEE -oOo- INVITATION TO APPLY FOR ELIGIBILITY AND TO BID The Barangay Villa Pantinople, Municipality of Basilisa, Provin</t>
  </si>
  <si>
    <t xml:space="preserve"> Procurement for Professional Video Conferencing Platform Subscription *period covered is six (6) months - July - December 2020 *Can accommodate up to one hundred (100) concurrent meeting participants *Bundled with webinar feature up to five hundred(500) p</t>
  </si>
  <si>
    <t xml:space="preserve"> INVITATION TO BID The Department of Public Works and Highways (DPWH), Cavite 3rd District Engineering Office, Carmona, Cavite through its Bids and Awards Committee (BAC), invites contractors to submit bids for the following Contract: 1. Contract I.D. No.:</t>
  </si>
  <si>
    <t xml:space="preserve"> Quantity       Unit of Issue       Item Description    150	        bxs	          D5 LR 1L x 12's      5          	bxs	          D5 0.3 Nacl 1L X 12's      5	                bxs              D5 0.3 Nacl 500ml X 24's     70	        bxs	          PNSS 1L x 1</t>
  </si>
  <si>
    <t xml:space="preserve"> we are improving our 2nd floor to become an efficient quarantine facility cum evacuation center for this pandemic materials needed 6 sets 1.25x1.20m sliding windows 6 sets 1.20x1.20m tubular windo grills 3 bags tile grout 111 kgs 10mm dia dsb 106.6 kgs 12</t>
  </si>
  <si>
    <t xml:space="preserve"> REQUEST FOR QUOTATION Bid Ref. No 20200611-28 The ILOILO STATE COLLEGE OF FISHERIES MAIN TIWI CAMPUS, through its Bids and Awards Committee (BAC), invites eligible suppliers to submit quotation for the following project: Name of Project: REPOSTING: PURCHA</t>
  </si>
  <si>
    <t xml:space="preserve"> HYDRAULIC EXCAVATOR - CRAWLER TYPE   - 2 units  Engine Rated Power         135/2050 kw/rpm   Bucket Capacity               1.0 cu.m.   Boom Length                    5680 mm   Arm Length                      2710 mm   10 WHEELER DUMPTRUCK - 6 X4          </t>
  </si>
  <si>
    <t xml:space="preserve"> REQUEST FOR EXPRESSION OF INTEREST REOI2020-C02 1.	The Department of Public Works and Highway-Isabela 3rd District Engineering Office     through the PDE 2020 intends to apply the Approved Budget for the Contract (ABC) to payment under the following contr</t>
  </si>
  <si>
    <t xml:space="preserve"> INVITATION TO BID The Department of Public Works and Highways (DPWH), Cavite 3rd District Engineering Office, Carmona, Cavite through its Bids and Awards Committee (BAC), invites contractors to submit bids for the following Contract: 2. Contract I.D. No.:</t>
  </si>
  <si>
    <t xml:space="preserve"> 1.	The Department of Public Works and Highway-Isabela 3rd District Engineering Office     through the PDE 2020 intends to apply the Approved Budget for the Contract (ABC) to payment under the following contract for: Contract ID No.	: 20CSBG004 Contract Na</t>
  </si>
  <si>
    <t xml:space="preserve"> REQUEST FOR EXPRESSION OF INTEREST REOI2020-C03 1.	The Department of Public Works and Highway-Isabela 3rd District Engineering Office     through the PDE 2020 intends to apply the Approved Budget for the Contract (ABC) to payment under the following contr</t>
  </si>
  <si>
    <t xml:space="preserve"> Quantity       Unit of Issue       Item Description    100	       amps	          Amikacin 250mg/ml   1000	       vials	          Ampicillin 250mg   1000	       vials	          Ampicillin 500mg    500	       vials	          ATS 500     20	       amps	     </t>
  </si>
  <si>
    <t xml:space="preserve"> INVITATION TO BID The Department of Public Works and Highways (DPWH), Cavite 3rd District Engineering Office, Carmona, Cavite through its Bids and Awards Committee (BAC), invites contractors to submit bids for the following Contract:     4. Contract I.D. </t>
  </si>
  <si>
    <t xml:space="preserve"> REQUEST FOR QUOTATION (RFQ) (Alternative Method – Shopping 52.1b) The Department of Education - Division of City Schools - City of San Jose del Monte, Bulacan (DepED - CSJDM), through its Bids and Awards Committee, intends to apply the sum of Php. 125,350</t>
  </si>
  <si>
    <t xml:space="preserve"> Procurement of 1 Lot Various Office Supplies for the 3rd Quarter of 2020</t>
  </si>
  <si>
    <t xml:space="preserve"> INVITATION TO BID The Department of Public Works and Highways (DPWH), Cavite 3rd District Engineering Office, Carmona, Cavite through its Bids and Awards Committee (BAC), invites contractors to submit bids for the following Contract: 3. Contract I.D. No.:</t>
  </si>
  <si>
    <t xml:space="preserve"> REQUEST FOR EXPRESSION OF INTEREST (REI) FOR THE 20CSJ003 - CONSULTING SERVICES FOR THE SUB-SURFACE EXPLORATION THRU CALYX DRILLING AND LABORATORY WORKS/ANALYSIS FOR REPLACEMENT OF NINE (9) BRIDGES FOR SULU 1ST BARMM 1.	The Department of Public Works and </t>
  </si>
  <si>
    <t xml:space="preserve"> INSTRUCTION TO BIDDERS (ITB) A. General 1. Scope of Bid 1.1 The Procuring Entity, as defined in the BDS, invites bids for the construction of the Works under the proposed Contract, as described in the BDS. The name and ID of the Contract are stated in the</t>
  </si>
  <si>
    <t xml:space="preserve"> REQUEST FOR EXPRESSION OF INTEREST (REI) FOR THE 20CSJ002 - CONSULTING SERVICES FOR THE SUB-SURFACE EXPLORATION THRU CALYX DRILLING AND LABORATORY WORKS/ANALYSIS FOR WIDENING OF FIVE BRIDGES FOR SULU 2ND, BARMM 1.	The Department of Public Works and Highwa</t>
  </si>
  <si>
    <t xml:space="preserve"> Procurement of 1 Lot Various Drugs and Medicines for the 3rd Quarter of 2020</t>
  </si>
  <si>
    <t xml:space="preserve"> Quantity      Unit of Issue      Item Description     180	       btls	        Alcohol 70% Isopropyl 500ml      10	       pcs	        Bulb with Airflo Control 1891       5	       pcs     	Latex Bulb Adult 1840       5	       pcs	        Velcro Cuff Adult 1</t>
  </si>
  <si>
    <t xml:space="preserve"> Procurement of 1 Lot Fuel, Oil and Lubricant Expenses for the 3rd Quarter of 2020</t>
  </si>
  <si>
    <t xml:space="preserve"> Procurement of 1 Lot Printing and Publication for the 3rd Quarter of 2020</t>
  </si>
  <si>
    <t xml:space="preserve"> 20E00084 - LIP - Construction of Odiongan By-pass Road (Phase 4), Odiongan, Romblon</t>
  </si>
  <si>
    <t xml:space="preserve"> 1700 pcs. CHB 4" thk 186 bags Portland Cement 18 cu.m. washed Sand 12 cu.m washed gravel 178 pcs. 10mm dia. x 6.0m RSB 45 pcs. 12mm dia. 6.0m RSB 20 pcs. 2''x2''x12' form lumber 6 pcs. 1/2'' thk phenolic board 15 pcs. hacksaw blade 10 kls. #16 tie wire 8 </t>
  </si>
  <si>
    <t xml:space="preserve"> Procurement of 1 Lot Rehabilitation Supplies for the 3rd Quarter of 2020</t>
  </si>
  <si>
    <t xml:space="preserve"> Description CITY GOVERNMENT OF DIGOS INVITATION TO BID The City Government of Digos thru the Bids and Awards Committee (BAC) invited interested suppliers/contractors to apply for eligibility screening and if subsequently found eligible to bid for the proc</t>
  </si>
  <si>
    <t xml:space="preserve"> INVITATION TO BID The Department of Public Works and Highways (DPWH), Cavite 3rd District Engineering Office, Carmona, Cavite through its Bids and Awards Committee (BAC), invites contractors to submit bids for the following Contract: 6. Contract I.D. No.:</t>
  </si>
  <si>
    <t xml:space="preserve"> INVITATION TO BID The Department of Public Works and Highways (DPWH), Cavite 3rd District Engineering Office, Carmona, Cavite through its Bids and Awards Committee (BAC), invites contractors to submit bids for the following Contract: 5. Contract I.D. No.:</t>
  </si>
  <si>
    <t xml:space="preserve"> CCTV Camera w/ installation * 8 channels * 6 cameras * 16'' monitor</t>
  </si>
  <si>
    <t xml:space="preserve"> Invitation to Bid The Barangay Calanutian, Municipality of San Nicolas Pangasinan through its Bids and Award Committee(BAC), invites contractors registered with and classfied by the Philgeps to apply for the eligibility and if found eligible, to bid for t</t>
  </si>
  <si>
    <t xml:space="preserve"> REPUBLIC OF THE PHILIPPINES  CITY OF MANILA BARANGAY 216 ZONE 20 DISTRICT 2  BIDS AND AWARDS COMMITTEE  INVITATION TO BID  THE BARANGAY 216 ZONE 20 DISTRICT 2 MANILA, THROUGH IT'S BID AND AWARDS COMMITTEE (BAC) INVITES ALL SUPPLIERS WITH CERTIFICATE OF AC</t>
  </si>
  <si>
    <t xml:space="preserve"> Republic of the Philippines Province of Masbate Municipality of Mandaon BIDS AND AWARD COMMITTEE INVITATION TO APPLY FOR ELIGIBILITY AND TO BID The Local Government Unit of Mandaon, through the ANNUAL BUDGET 2020   intends to apply for the sum of Php 590,</t>
  </si>
  <si>
    <t xml:space="preserve"> ITEM	DESCRIPTION	QUANTITY	UNIT 	A.	Temporary Works Facilities, Mobilization &amp; Demobilization		 1	Temporary Works Facilities	1.00	ls 2	Mobilization/Demobilization	1.00	ls 	B.	Construction of Canal Bench Flume		 1	Common Excavation	1,858.59	cu.m 2	Barrow w/</t>
  </si>
  <si>
    <t xml:space="preserve"> 1 unit water pump 1.5 Hp 1 unit stainless pressure tank 82 gal. 1 pc. 3'' dia. G.I Pipe s40 4 rolls P.E pipe 1'' dia. 1 unit 1'' dia. foot valve 1 unit check valve 1 unit pressure gauge 12 pcs. 1'' dia. Union patente 12 pcs. 1'' dia. Elbow 6 pcs. 1'' dia.</t>
  </si>
  <si>
    <t xml:space="preserve"> Kinder   18 pages x 100 learners x Php0.75=Php 1,350 Grade1   210 pages  x 140 learners x Php0.75= Php 22,050 Grade2  245 pages x130 learners x Php 0.75 = Php23,887.50 Grade 3 264 pages x 130 learners x Php 0.75=Php 25, 740 Grade 4  272 pages x 80 learner</t>
  </si>
  <si>
    <t xml:space="preserve"> ITEM	DESCRIPTION	QUANTITY	UNIT 	Civil Works - Construction of Construction of Canal Structures, Temporary Access Road, Supply &amp; Installation of Steel Pipe Siphon:		 A.	Temporary Works Facilities, Mobilization &amp; Demobilization &amp; Temporary Access Road		 1	T</t>
  </si>
  <si>
    <t xml:space="preserve"> 1.	The Cabanaetan Barangay Council, through the Barangay Fund CY 2020 intends to apply the sum of Seventy Thousand Pesos PhP70,000.00 being the Approved Budget for the Contract (ABC) to payments under the contract for the supply and delivery of various co</t>
  </si>
  <si>
    <t xml:space="preserve"> The Philippine Nuclear Research Institute (PNRI), through the Bids and Awards Committee (BAC), invites interested bidders to bid for hereunder project:  Name of Project	Procurement of One (1) Lot Cremation Equipment for Small Animals and One (1) Lot Indiv</t>
  </si>
  <si>
    <t xml:space="preserve"> Procurement of 1 Lot Military Supplies (Ammunition) for the 3rd Quarter of 2020</t>
  </si>
  <si>
    <t xml:space="preserve"> 1.	The De Guzman Barangay Council, through the Barangay Fund CY 2020 intends to apply the sum of ONE HUNDRED THOUSAND PESOS (P100,000.00) being the Approved Budget for the Contract (ABC) to payments under the contract. Bids received in excess of the ABC s</t>
  </si>
  <si>
    <t xml:space="preserve"> 1.	The Dangerous Drugs Board, through the General Appropriation Act of 2020  intends to apply the sum of Four Million Pesos (Php 4,000,000.00) being the Approved Budget for the Contract (ABC) to payments under the contract for the Development and Deployme</t>
  </si>
  <si>
    <t xml:space="preserve"> schedule opening of bids</t>
  </si>
  <si>
    <t xml:space="preserve"> REQUEST FOR QUOTATION The National Meat Inspection Service (NMIS) through the Bids and Awards Committee (BAC) is inviting interested parties to submit proposal/quotation for the here under project: Name of Project:    	Supply and Delivery of KN95 Face Mas</t>
  </si>
  <si>
    <t xml:space="preserve"> REQUEST FOR QUOTATION The National Meat Inspection Service (NMIS) through the Bids and Awards Committee (BAC) is inviting interested parties to submit proposal/quotation for the here under project: Name of Project:    	Supply and Delivery of Laboratory Su</t>
  </si>
  <si>
    <t xml:space="preserve"> PLEASE SEE ATTACHED COMPONENT</t>
  </si>
  <si>
    <t xml:space="preserve"> ITEM	DESCRIPTION	QUANTITY	UNIT 1	Portland Cement	1,900	bags 2	Sand	130	cu.m. 3	Gravel (3/4” Ø)	340	cu.m. 4	RSB – 10 mm Ø	2,000	pcs. 5	4’ x 8’ x ½” Marine Plywood	100	pcs 6	2” x “ x 12’ Form Lumber	1,600	bd.ft 7	CWN 4” 	50	kgs. 8	CWN 3”	50	kgs. 9	CWN 2 ½”	</t>
  </si>
  <si>
    <t xml:space="preserve"> To provide Labor and materials for the Repair of Brgy. Hall - Brgy. Carmona Opening of Bids - June 29, 2020, 10:00AM, venue: Engineer's Office Other Information: Letter of Intent must be accompanied by a new TAX CLEARANCE.</t>
  </si>
  <si>
    <t xml:space="preserve"> Republic of the Philippines Pangasinan State University Lingayen, Pangasinan INVITATION TO BID FOR THE ONE (1) YEAR SUBSCRIPTION OF ELECTRONIC BOOKS FOR THE UNIVERSITY 1.	The Pangasinan State University, through the Fund 164 (Income) intends to apply the </t>
  </si>
  <si>
    <t xml:space="preserve"> Republic of the Philippines Pangasinan State University Lingayen, Pangasinan INVITATION TO BID FOR THE PROCUREMENT AND INSTALLATION OF VARIOUS AIRCONDITION UNITS FOR THE DIFFERENT CAMPUSES OF THE UNIVERSITY 1.	The Pangasinan State University, through the </t>
  </si>
  <si>
    <t xml:space="preserve"> To provide Labor and materials for the Additional Construction of Multi Purpose Hall - Brgy. Buao Opening of Bids - June 29, 2020, 10:00AM, venue: Engineer's Office Other Information: Letter of Intent must be accompanied by a new TAX CLEARANCE.</t>
  </si>
  <si>
    <t xml:space="preserve"> Republic of the Philippines																						 Province of Batangas																						 MUNICIPALITY OF ALITAGTAG																						 																						 REQUEST FOR SMALL VALUE PROCUREMENT																						 																						 										</t>
  </si>
  <si>
    <t xml:space="preserve"> To provide Labor and materials for the Repair of Street Light - Brgy. Carmona Opening of Bids - June 29, 2020, 10:00AM, venue: Engineer's Office Other Information: Letter of Intent must be accompanied by a new TAX CLEARANCE.</t>
  </si>
  <si>
    <t xml:space="preserve"> Republic of the Philippines Pangasinan State University Lingayen, Pangasinan INVITATION TO BID FOR THE PROCUREMENT AND INSTALLATION OF RADIO STATION EQUIPMENT 1.	The Pangasinan State University, through the Fund 164 (Income) intends to apply the sum of Th</t>
  </si>
  <si>
    <t xml:space="preserve"> REPUBLIC OF THE PHILIPPINES CITY OF MANILA BARANGAY 245 ZONE 22 DISTRICT 2  BIDS AND AWARDS COMMITTEE INVITATION TO BID THE BARANGAY 245 ZONE 22 DISTRICT 2 MANILA, THROUGH IT'S BID AND AWARDS COMMITTEE (BAC) INVITES ALL SUPPLIERS WITH CERTIFICATE OF ACCRE</t>
  </si>
  <si>
    <t xml:space="preserve"> as per BSP Technical Specifications and Terms of Reference</t>
  </si>
  <si>
    <t xml:space="preserve"> To provide Labor and materials for the Repair and Improvement of Multi-Purpose Hall - Brgy. San Jose Pre-bid Conference: July 1, 2020 @ 9:00AM, venue: Engineer's Office Opening of Bids - July 13, 2020, 10:00AM Other Information: Letter of Intent must be a</t>
  </si>
  <si>
    <t xml:space="preserve"> PLEASE ATTACHED COMPONENTS</t>
  </si>
  <si>
    <t xml:space="preserve"> 20M00179 - Completion/Rehabilitation of MPB</t>
  </si>
  <si>
    <t xml:space="preserve"> REPUBLIC OF THE PHILIPPINES CITY OF MANILA BARANGAY 216 ZONE 20 DISTRICT 2  BIDS AND AWARDS COMMITTEE INVITATION TO BID THE BARANGAY 216 ZONE 20 DISTRICT 2 MANILA, THROUGH IT'S BID AND AWARDS COMMITTEE (BAC) INVITES  ALL SUPPLIERS WITH CERTIFICATE OF ACCR</t>
  </si>
  <si>
    <t xml:space="preserve"> Procurement for ICT Supplies and Peripherals *The project is divided into two lots:  -Lot 1 USB C adapter ABC:50,000.00  -Lot 2 Computer Monitor ABC: 40,000.00 *Please refer to the attached TOR for other details and specifications *Quotations/Bids can be </t>
  </si>
  <si>
    <t xml:space="preserve"> To provide Labor and materials for the Renovation of Multi-purpose pavement - Brgy. Ngoso Opening of Bids - June 29, 2020, 10:00AM, venue: Engineer's Office Other Information: Letter of Intent must be accompanied by a new TAX CLEARANCE.</t>
  </si>
  <si>
    <t xml:space="preserve"> 1 LOT ABC :  200,000.00 Components:    - 780 cans Canned Sardines in tomato sauce (155g)  - 800 pcs Instant Noodles, Chicken (70g)  - 800 pcs. Instant Noodles, Beef (70g)  - 600 packs Instant Coffee Reffill (25g)   - 600 pcs. Laundry Soap Bar (380 g)  - 6</t>
  </si>
  <si>
    <t xml:space="preserve"> Procurement for various Computer Software *the project is subdivided into three lots  -LOT 1 Vision Mixer and Switcher Software (VMSS), ABC: 50,000.00  -LOT 2 Printer Management Software ABC:40,000.00  -LOT 3 Video Editing Software ABC: 65,000.00 *Quotati</t>
  </si>
  <si>
    <t xml:space="preserve"> 20M00180 - Construction of Tulunan Public Cemetery</t>
  </si>
  <si>
    <t xml:space="preserve"> Republic of the Philippines Local Government Unit of General Santos City BIDS AND AWARDS COMMITTEE City Hall, General Santos City INVITATION TO APPLY FOR ELIGIBILITY AND TO BID FOR 20CW-GSC-022 ESTABLISHMENT OF ORGANIC TRADING POST CITY OF GENERAL SANTOS </t>
  </si>
  <si>
    <t xml:space="preserve"> 20GM00150 – Rental of Service Vehicle for Roads and Bridges Investigation Activities for DPWH Projects (July 1-15, 2020) (Equipment Rental Only)</t>
  </si>
  <si>
    <t xml:space="preserve"> 20M00182 - Construction / Rehabilitation of Damawato Bridge</t>
  </si>
  <si>
    <t xml:space="preserve"> 20M00181 - Construction/Completion/Rehabilitation of MPB</t>
  </si>
  <si>
    <t xml:space="preserve"> Invitation to Bid for Improvement of Water System (Phase 2), Brgy.Lim-ao, Kananga, Leyte 1.	The Barangay Government of Lim-ao, Kananga, Leyte, through its BIDS AND AWARDS COMMITTEE (BAC),through the DOE ER 1-94 Fund intends to apply the sum of Six Million</t>
  </si>
  <si>
    <t xml:space="preserve"> 20GM00148 – Rental of Service Vehicle for Road Slope and Survey Investigation Activities for DPWH Projects (1-Unit 4x4 Pick-Up) (July 1-15, 2020) (Equipment Rental Only)</t>
  </si>
  <si>
    <t xml:space="preserve"> 20GM00149 – Provision of 4X4 Pick Up Type Service Vehicle for the Engineer for July 1-15, 2020  (Equipment Rental Only)</t>
  </si>
  <si>
    <t xml:space="preserve"> The Bureau of Fisheries and Aquatic Resources (BFAR) of the Department of Agriculture, through the General Appropriations Act for 2020 intends to apply the sum of THIRTY TWO MILLION FIVE HUNDRED SEVENTY SEVEN EIGHT HUNDRED SEVENTY TWO AND 70/100 (Php 32,5</t>
  </si>
  <si>
    <t xml:space="preserve"> 20GM00147 – Rental of Service Vehicle Chargeable to CY 2020 Annual Maintenance Work Program (AMWP) for Inspection and Supervision of Routine / Periodic Maintenance for Roads and Bridge Projects (July 1-15, 2020) (Equipment Rental Only)</t>
  </si>
  <si>
    <t xml:space="preserve"> PARTICULARS	Unit Cost Supply, Delivery, Installation and Configuration of Various ICT Equipment, Office Equipment and Computer Software in Support to Operations and Research Division	 1) Twenty (20) Units Desktop Computer (Windows OS) 	Intel Core i3-9300</t>
  </si>
  <si>
    <t xml:space="preserve"> CARPENTRY WORKS MASONRY WORKS STEEL WORKS DOORS AND WINDOWS ROOFING WORKS</t>
  </si>
  <si>
    <t xml:space="preserve"> Pathwalk scope of work: 1. Cleaning and grubbing 2. Backfilling and compaction 3. Gravel bedding 4. Formworks 5. Rebar works 6. Concreting works</t>
  </si>
  <si>
    <t xml:space="preserve"> IB 2020-07-007 PVSV Procurement of Passenger Van Service Vehicle  2020-07</t>
  </si>
  <si>
    <t xml:space="preserve"> 20GM00146 – Provision of 4x4 Pick UP Type Service Vehicle for the Engineer for July 1-15, 2020   (Equipment Rental Only)</t>
  </si>
  <si>
    <t xml:space="preserve"> Item No.		QTY			UNIT			ITEM &amp; DESCRIPTION																	 																									 		Construction of Municipal Hall Compound Perimeter Fence/Gates &amp; Installation 																							 		of slidingwindows &amp; re-painting of Municipal Hall Buildings.					</t>
  </si>
  <si>
    <t xml:space="preserve"> 1 LOT ABC:    200,000.00 COMPONENTS:  - 20 pcs Stainless Mixing Bowl, 28 cm diameter; durable  - 20 pcs Stainless Tray, 40x030x2cm  - 20 pcs Spatula, length 21.7 cm/8.54; random color  - 20 pcs Blender, Aluminum alloy w/scrub surface; size: 17.7 x 9.1 x 9</t>
  </si>
  <si>
    <t xml:space="preserve"> The Municipal Government of Aloguinsan invites prospective bidders to bid for the project Supply and Delivery of Medicines &amp; Psychotropic Drugs. Source of Fund: GEN. FUND FY 2020 ABC: Php 1,659,930.00 The complete schedule of activities will be as follows</t>
  </si>
  <si>
    <t xml:space="preserve"> The Municipal Government of Aloguinsan invites prospective bidders to bid for the project Supply and Delivery of Medical Supplies. Source of Fund: GEN. FUND FY 2020 ABC: Php 262,480.00 The complete schedule of activities will be as follows: 1. Submission </t>
  </si>
  <si>
    <t xml:space="preserve"> Invitation to Bid for Construction of Multi-Purpose Pavement, Brgy.Lim-ao, Kananga, Leyte 1.	The Barangay Government of Lim-ao, Kananga, Leyte, through its BIDS AND AWARDS COMMITTEE (BAC),through the DOE ER 1-94 Fund intends to apply the sum of Four Milli</t>
  </si>
  <si>
    <t xml:space="preserve"> -Compressor for 5 Tonner Air Conditioning Unit (ACU), Ceiling Mounted -Control Board for 5 Tonner Air Conditioning Unit (AVU), Ceiling Mounted</t>
  </si>
  <si>
    <t xml:space="preserve"> I - Mobilization/ Demobilization       one          lot II - Construction Safety and Health Program                     one              lot III - Project Billboard                  one              lot IV - Progress Photograph                  one       </t>
  </si>
  <si>
    <t xml:space="preserve"> 20PA0134 : CONCRETING OF BARANGAY TABACDA FMR, Barangay Tabacda, Tubo, Abra Contract Location:                    Barangay Tabacda, Tubo, Abra Brief Description:                     Concreting of Road using PCCP (Unreinforced, 0.20m thk. 14 days) The DPWH</t>
  </si>
  <si>
    <t xml:space="preserve"> The Municipal Government of Aloguinsan invites prospective bidders to bid for the project Supply and Delivery of Family Planning Commodities Source of Fund: General Fund FY 2020 ABC: Php 350,000.00 The complete schedule of activities will be as follows: 1</t>
  </si>
  <si>
    <t xml:space="preserve"> Republic of the Philippines										 BIDS AND AWARDS COMMITTEE										 Province of Iloilo										 										 INVITATION TO BID										 Purchase and Delivery of Construction Materials for the Construction of Elevated Concrete Water Tank in Brgy. Iga</t>
  </si>
  <si>
    <t xml:space="preserve"> Republic of the Philippines										 BIDS AND AWARDS COMMITTEE										 Province of Iloilo										 										 INVITATION TO BID										 Purchase and Delivery of Construction Materials for the Construction of Water System in Brgy. Poblacion Zone 1, T</t>
  </si>
  <si>
    <t xml:space="preserve"> TERMS AND CONDITIONS: •	The details listed below are the end-user’s minimum specifications/requirements and must be complied on a pass/fail basis. •	Suppliers/Bidders shall provide correct and accurate information required in this form •	Prices must be qu</t>
  </si>
  <si>
    <t xml:space="preserve"> Scope of Work: A. AMPHITHEATER CLEACHER   I. Steel Works   II. Carpentry Works B. PWD RAMP OF MUNICIPAL BUILDING   I. Earth Works   II. Concrete Works (Footing, Column, Beam, Slab)   III. Form Works   IV. Steel Works C. TRANSFORMER PEDESTAL PAD   I. Earth</t>
  </si>
  <si>
    <t xml:space="preserve"> various goods and supplies</t>
  </si>
  <si>
    <t xml:space="preserve"> INVITATION TO BID IB No. 13 S. 2020 The Municipality of General Nakar, Quezon through the Approved Appropriation Ordinance No. 2019-29  appropriating funds for the Annual Budget CY 2020 intends to apply the sum of One Million Pesos (PhP1,000,000.00) being</t>
  </si>
  <si>
    <t xml:space="preserve"> Scope of Work: A. STAIR RAILING, WOODEN STEPS, TABLES &amp; CHAIRS   I. Steel Works   II. Carpentry and Joinery Works   III. Electrical Fixtures B. GENERAL REQUIREMENTS</t>
  </si>
  <si>
    <t xml:space="preserve"> Request for Quotation for the Procurement of Seedling Tray to be used for the Vegetable Production Project in Negros Oriental 1.	The Department of Agriculture-Regional Field Office 7 (DA-RFO 7), through the General Appropriations Act of CY 2020)  intends </t>
  </si>
  <si>
    <t xml:space="preserve"> Request for Quotation for the Procurement of 1 Unit Generator to be used as Alternative and Emergency Power Supply Source for a Continuous Operations of Livestock Projects at NORDC Siaton, Negros Oriental 1.	The Department of Agriculture-Regional Field Of</t>
  </si>
  <si>
    <t xml:space="preserve"> Republic of the Philippines Province of Ilocos Sur Municipality of Magsingal INVITATION TO BID FOR THE CONSTRUCTION OF WATER RESERVOIR OF BRGY. MACATCATUD, MAGSINGAL, I. SUR. 1. The Brgy. Macatcatud Magsingal, I. Sur intend to apple the sum of Two Hundred</t>
  </si>
  <si>
    <t xml:space="preserve"> 1.	1 unit brand new PICK UP VEHICLE  Color Black customized with emergency equipment and  apparatus (emergency siren with speakers, Flood lights, strobe lights, emergency medical kit, rescue towing rope (2500kg towing capacity), overhead carrier, two-way </t>
  </si>
  <si>
    <t xml:space="preserve"> Request for Quotation for the Procurement of 2 Units Egg Incubator with Hatcher to be distributed to Farmer Associations in Ubay, Bohol in support to the Poultry Production in the Province under PEAF sub-program 1.	The Department of Agriculture-Regional F</t>
  </si>
  <si>
    <t xml:space="preserve"> INVITATION TO BID Land Survey and Mapping Projects 1.	The DAR-IV-A, Quezon II Provincial Office, through its Bids and Awards Committee (BAC), invites interested Bidders/GE Contractors to apply for Eligibility and Shortlisting and if subsequently found eli</t>
  </si>
  <si>
    <t xml:space="preserve"> Multiple Long Line etc. NOTE:To all suppliers bid documents  and BAC Resolution  2020-029 are available at BAC Office and LGU website.</t>
  </si>
  <si>
    <t xml:space="preserve"> INVITATION TO BID IB No. 14 S. 2020 The Municipality of General Nakar, Quezon through the Approved Appropriation Ordinance No. 2019-29  appropriating funds for the Annual Budget CY 2020 intends to apply the sum of Seven Hundred Fifty Thousand Pesos (PhP75</t>
  </si>
  <si>
    <t xml:space="preserve"> City Government of Manila INVITATION TO BID  NO. 2020-06-46A Procurement of one (1) lot Laboratory Examinations and Diagnostic  Procedures Send Out for 2020 1.	The City Government of Manila, through the General Fund CY 2020 – Other Maintenance and Operati</t>
  </si>
  <si>
    <t xml:space="preserve"> Pakyaw Labor etc. NOTE:To all bidders bid documents and BAC Resolution 2020-029 are available at BAC Office and LGU website.</t>
  </si>
  <si>
    <t xml:space="preserve"> INVITATION TO BID IB No. 12 S. 2020 The Municipality of General Nakar, Quezon through the Approved Appropriation Ordinance No. 2018-38 appropriating funds for the Annual Budget CY 2019 intends to apply the sum of Five Hundred Thousand Pesos (PhP500,000.00</t>
  </si>
  <si>
    <t xml:space="preserve"> Republic of the Philippines Province of Cagayan Municipality of Baggao INVITATION TO BID FOR THE PROCUREMENT OF GOODS The Barangay San Jose, Baggao, Cagayan, through the Provincial Assistance CY 2018 intends to apply the sum of  Two Hundred Eighty Eight T</t>
  </si>
  <si>
    <t xml:space="preserve"> Construction of MPP at Lower Collog, Junction, Pinukpuk</t>
  </si>
  <si>
    <t xml:space="preserve"> INVITATION TO BID FOR  SUPPLY &amp; DELIVERY OF VARIOUS MEDICINES (3rd QUARTER) FOR USE IN  MUNICIPAL HEALTH OFFICE VILLASIS, PANGASINAN 	 		 1.	The Local Government of Villasis, Pangasinan, through General Fund , intends to apply the sum of Four hundred Nine</t>
  </si>
  <si>
    <t xml:space="preserve"> Republic of the Philippines Province of Cagayan Municipality of Baggao INVITATION TO BID FOR THE PROCUREMENT OF GOODS The Barangay Ibulo, Baggao, Cagayan, through the 20% BDF CY 2020 intends to apply the sum of Ninety Seven Thousand Four Hundred Eighteen </t>
  </si>
  <si>
    <t xml:space="preserve"> Installation and Implementation of Pre-Developed and customized Application Systems-Phase II NOTE: To all suppliers bid documents and BAC Resolution 2020-029 are available at BAC Office and LGU website.</t>
  </si>
  <si>
    <t xml:space="preserve"> Republic of the Philippines Province of Batangas Municipality of San Juan BIDS AND AWARDS COMMITTEE INVITATION TO BID THE LOCAL GOVERNMENT UNIT OF SAN JUAN, BATANGAS, through its Bids and Awards Committee (BAC), invites registered PhilGEPS suppliers/distr</t>
  </si>
  <si>
    <t xml:space="preserve"> INVITATION TO BID IB No. 15 S. 2020 The Municipality of General Nakar, Quezon through the Approved Appropriation Ordinance No. 2019-29  appropriating funds for the Annual Budget CY 2020 intends to apply the sum of Five Hundred Thousand Pesos (PhP500,000.0</t>
  </si>
  <si>
    <t xml:space="preserve"> INVITATION TO BID  SUPPLY AND DELIVERY OF CONSTRUCTION MATERIALS FOR THE CONSTRUCTION OF CONCRETE BRIDGE LOCATED AT PUROK 2, SITIO SUPON, ALEGRIA, SAN FRANCISCO, AGUSAN DEL SUR 1.	The LGU BARANGAY ALEGRIA OF SAN FRANCISCO, AGUSAN DEL SUR, through the BIDS</t>
  </si>
  <si>
    <t xml:space="preserve"> Invitation to Bid for Upgrading of Electrical Installation at Talaba Elementary School (Repost) 1.	The City Government of Bacoor, Cavite, through the SPP 2018(S)-LSB-01 (SEF 2018) intends to apply the sum of ONE MILLION TWO HUNDRED THOUSAND PESOS AND ZERO</t>
  </si>
  <si>
    <t xml:space="preserve"> Republic of the Philippines Province of Cagayan Municipality of Baggao INVITATION TO BID FOR THE PROCUREMENT OF GOODS The Barangay San Jose, Baggao, Cagayan, through the 20% Barangay Development Fund CY 2019 intends to apply the sum of  One Hundred Six Th</t>
  </si>
  <si>
    <t xml:space="preserve"> Invitation to Bid for Construction of School Building Digman Elementary School at Digman Bacoor City, Cavite (Repost) 1.	The City Government of Bacoor, Cavite, through the APP 2019 - Annex C (LSB 2019) intends to apply the sum of SIX MILLION EIGHT HUNDRED</t>
  </si>
  <si>
    <t xml:space="preserve"> Invitation to Bid  For the Installation of Street Lighting System at Brgy. Punong, Lapuz, Iloilo City 1.	The City of Iloilo, through the 20% Development Fund, CY2019 intends to apply the sum of Five Hundred Thousand Pesos (Php 500,000.00) being the Approv</t>
  </si>
  <si>
    <t xml:space="preserve"> Republic of the Philippines Province of Leyte BRGY. POBLACION ZONE 1, CAPOOCAN, LEYTE -oOo- BIDS AND AWARD COMMITTEE INVITATION TO BID  FOR THE PROCUREMENT OF CCTV 1.	The Brgy. Poblacion Zone I Capoocan, Leyte, through the 20% Development Funds of 2020 in</t>
  </si>
  <si>
    <t xml:space="preserve"> Republic of the Philippines City of Cagayan de Oro BIDS AND AWARDS COMMITTEE  INVITATION TO BID  FOR  Supply and Delivery of One (1) Unit Dropside Truck; PR No. 20-1367 dated 01 April 2020; SN 127 - 2020 1.	The City Government of Cagayan de Oro, through G</t>
  </si>
  <si>
    <t xml:space="preserve"> Invitation to Bid for the Poblacion – Dicklum Water System – Phase I 1.	The Local Government Unit of Manolo Fortich, through the Special Trust Fund intends to apply the sum of TWELVE MILLION NINETY THREE THOUSAND FIVE HUNDRED NINETY SIX PESOS (PhP 12,093,</t>
  </si>
  <si>
    <t xml:space="preserve"> Invitation to Bid for Construction of Dome Shape Gymnasium for Senior High School - at San Nicolas 3 (Greenvalley) City of Bacoor (Repost) 1.	The City Government of Bacoor, Cavite, through the SPP 2019 (S) - LSB -02 SEF Supplemental #2 intends to apply th</t>
  </si>
  <si>
    <t xml:space="preserve"> SUPPLY AND DELIVERY OF VARIOUS OFFICE SUPPLIES FOR OFFICIAL USE OF CENRO SOCORRO Delivery Period: within 30 days See Attached Request for Quotation for the items to be procured. Interested Supplier shall submit the filled-up RFQ Form together with a copy </t>
  </si>
  <si>
    <t xml:space="preserve"> Republic of the Philippines Province of Cagayan Municipality of Baggao INVITATION TO BID FOR THE PROCUREMENT OF GOODS The Barangay Asinga-Via, Baggao, Cagayan, through the 20% BDF CY 2020 intends to apply the sum of Two Hundred Forty Nine Thousand Three H</t>
  </si>
  <si>
    <t xml:space="preserve"> INVITATION TO BID The Municipal Government of San Narciso, Quezon through its Bids and Award Committee (BAC), invites registered suppliers with DTI, Mayor’s Permit and PhilGEPS, if found eligible, to bid or the hereunder contract: Name of Contract : 	Supp</t>
  </si>
  <si>
    <t xml:space="preserve"> INVITATION TO BID The Municipal Government of San Narciso, Quezon through its Bids and Award Committee (BAC), invites registered suppliers with DTI, Mayor’s Permit and PhilGEPS, if found eligible, to bid or the hereunder contract: Name of Contract : 	Inst</t>
  </si>
  <si>
    <t xml:space="preserve"> Installation of Ceiling</t>
  </si>
  <si>
    <t xml:space="preserve"> Invitation to Bid  For the Construction/Rehabilitation of Existing Drainage System at Brgy. Loboc, lapuz, Iloilo City 1.	The City of Iloilo, through the 20% Development Fund, CY2019 intends to apply the sum of Five Hundred Thousand Pesos (Php 500,000.00) </t>
  </si>
  <si>
    <t xml:space="preserve"> Invitation to Bid  For the Construction/Rehabilitation of Existing Drainage System at Brgy. San Isidro, Lapaz, Iloilo City 1.	The City of Iloilo, through the 20% Development Fund, CY2019 intends to apply the sum of One Million Pesos (Php 1,000,000.00) bei</t>
  </si>
  <si>
    <t xml:space="preserve"> Invitation to Bid  For the Fabrication and Installation of Grills in Classrooms of Four (4) Storey Building at Fort San Pedro National High School, Iloilo City 1.	The City of Iloilo, through the SEF, CY2018 intends to apply the sum of Six Hundred Sixty Th</t>
  </si>
  <si>
    <t xml:space="preserve"> [BLGU-Brgy. Ward I-SAN ANTONIO, N. SAMAR] Invitation to Bid for [ INFRASTRUCTURE PROJECTS –Improvement Multipurpose Building] 1.	The [BLGU-Brgy. Ward I-SAN ANTONIO], through the [GENERAL FUND]  intends to apply the sum of [THREE HUNDRED THOUSAND PESOS ONL</t>
  </si>
  <si>
    <t xml:space="preserve"> Invitation to Bid  For the Rehabilitation of All Gabaldon Building at Iloilo Central Elementary School, City Proper, Iloilo City 1.	The City of Iloilo, through the SEF Capital Outlay SB No. 2, CY2019 intends to apply the sum of Seven Million Pesos (Php 7,</t>
  </si>
  <si>
    <t xml:space="preserve"> Invitation to Bid  For the Construction of Three (3) Storey 6 Classroom with Demolition at A. Mirasol Elementary School, mandurriao, Iloilo City 1.	The City of Iloilo, through the 20% Development Fund, CY2019 intends to apply the sum of Twenty One Million</t>
  </si>
  <si>
    <t xml:space="preserve"> Invitation to Bid  For the Construction of Two (2) Storey Eight (8) Classrooms Building at N.J. Elementary School, Lapaz, Iloilo City 1.	The City of Iloilo, through the SEF Capital Outlay, CY2019 intends to apply the sum of Nineteen Million Pesos (Php 19,</t>
  </si>
  <si>
    <t xml:space="preserve"> Invitation to Bid  For the Rehabilitation/Construction of Public Alley at Brgy. Concepcion, City Proper, Iloilo City 1.	The City of Iloilo, through the 20% Development Fund, CY2019 intends to apply the sum of Seven Hundred Fifty Thousand Pesos (Php 750,00</t>
  </si>
  <si>
    <t xml:space="preserve"> Invitation to Bid  For the Construction/Rehabilitation of Existing Drainage System at Brgy. Tabuc Suba, Jaro, Iloilo City 1.	The City of Iloilo, through the 20% ADF, CY2019 intends to apply the sum of Two Million Five Hundred Thousand Pesos (Php 2,500,000</t>
  </si>
  <si>
    <t xml:space="preserve"> Invitation to Bid  For the Installation of Street Lighting System at Brgy. Ingore, Lapaz, Iloilo City 1.	The City of Iloilo, through the 20% Development Fund, CY2019 intends to apply the sum of Eight Hundred Thousand Pesos (Php 800,000.00) being the Appro</t>
  </si>
  <si>
    <t xml:space="preserve"> Invitation to Bid  For the Construction/Rehabilitation/Repair/Widening of Roads at Brgy. Claudio Castilla, EL-98, Jaro, Iloilo City 1.	The City of Iloilo, through the 20% Development Fund, CY2020 intends to apply the sum of Two Million Seven Hundred Sixty</t>
  </si>
  <si>
    <t xml:space="preserve"> To Provide Security Services for Silay City Water District (Office) for the period July 1 to December 31, 2020 1. THREE (3) GUARDS AT SICIWA OFFICE. 2. SCHEDULE OF DUTY: - EVERY 8 HOURS SHIFT - 24 HOURS &amp; 7 DAYS A WEEK Other Information: Please Indicate i</t>
  </si>
  <si>
    <t xml:space="preserve"> Invitation to Bid  For the Repair of Classrooms at Sambag Elementary School, Jaro, Iloilo City 1.	The City of Iloilo, through the SEF Capital Outlay SB No. 1, CY2018 intends to apply the sum of Three Million Four Hundred Thousand Pesos (Php 3,400,000.00) </t>
  </si>
  <si>
    <t xml:space="preserve"> BIDS AND AWARDS COMMITTEE REQUEST FOR QUOTATION The Local Government Unit of Labason, Z.N., invites all interested registered supplier to submit quotation for the Purchase of One (1) Unit 1.5 HP Air Condition for DILG Office: Approved Budget for the Contr</t>
  </si>
  <si>
    <t xml:space="preserve"> Republic of the Philippines Province of Ilocos Norte MUNICIPALITY OF PIDDIG BARANGAY ANAO INVITATION TO BID FOR Supply and Delivery of Construction Supplies and Materials for the various projects of Brgy. Anao 1. The Barangay Council of Anao through the  </t>
  </si>
  <si>
    <t xml:space="preserve"> Invitation to Bid  For the Construction/Rehabilitation of Existing Drainage System at Brgy. Don Esteban, Lapuz, Iloilo City 1.	The City of Iloilo, through the 20% Development Fund, CY2019 intends to apply the sum of One Million Pesos (Php 1,000,000.00) be</t>
  </si>
  <si>
    <t xml:space="preserve"> Invitation to Bid  For the Construction/Rehabilitation/Repair/Widening of Roads at Brgy. Tabuc Suba (Urban Poor Village Petals Ville) Jaro, Iloilo City 1.	The City of Iloilo, through the 20% Development Fund, CY2020 intends to apply the sum of Three Milli</t>
  </si>
  <si>
    <t xml:space="preserve"> Invitation to Bid  For the Construction/Rehabilitation/Repair/Widening of Roads at ICAG Road, Molo, Iloilo City 1.	The City of Iloilo, through the 20% Development Fund, CY2020 intends to apply the sum of Two Million Pesos (Php 2,000,000.00) being the Appr</t>
  </si>
  <si>
    <t xml:space="preserve"> To Provide Security Services for Silay City Water District (St. Francis Villa Rosario Pumping Station) for the period July 1 to December 31, 2020 1. ONE (1) GUARD AT ST. FRANCIS VILLA ROSARIO (SFVR) PUMPING STATION 2. SCHEDULE OF DUTY: - 12 HOURS SHIFT - </t>
  </si>
  <si>
    <t xml:space="preserve"> BIDS AND AWARDS COMMITTEE REQUEST FOR QUOTATION The Local Government Unit of Labason, Z.N., invites all interested registered supplier to submit quotation for the Purchase of IT Equipments for HRMO: Approved Budget for the Contract (ABC):  33,000.00 Sourc</t>
  </si>
  <si>
    <t xml:space="preserve"> To Provide Security Services for Silay City Water District (NHA 1/Yolanda Pumping Station) for the period July 1 to December 31, 2020 1. ONE (1) GUARD AT NHA 1/YOLANDA PUMPING STATION 2. SCHEDULE OF DUTY: - 12 HOURS SHIFT - FROM 6PM TO 6AM THE NEXT DAY Ot</t>
  </si>
  <si>
    <t xml:space="preserve"> Invitation to Bid  For the Completion of Two (2) Storey Building Six (6) Classrooms at Uswag San Isidro Elementary School, Jaro, Iloilo City 1.	The City of Iloilo, through the SEF Capital Outlay SB No. 1, CY2018 intends to apply the sum of Four Million Fi</t>
  </si>
  <si>
    <t xml:space="preserve"> Republic of the Philippines City of Cagayan de Oro BIDS AND AWARDS COMMITTEE Invitation to Bid  for Completion of City Hospital - Lumbia (Phase II); SN 128 - 2020 ` 1.	The City Government of Cagayan de Oro, through the Current Appropriation, Annual Budget</t>
  </si>
  <si>
    <t xml:space="preserve"> To Provide Security Services for Silay City Water District (Bon-Bon Pumping Station) for the period July 1 to December 31, 2020 1. ONE (1) GUARD AT BON-BON PUMPING STATION 2. SCHEDULE OF DUTY: - 12 HOURS SHIFT - FROM 6PM TO 6AM THE NEXT DAY Other Informat</t>
  </si>
  <si>
    <t xml:space="preserve"> PB NO. 2020-033		 			 1.	1	lot	Proposed Additional Floor and its completion of Dormitory Type Hotel at Brgy. San Jose, San Pablo City. 			By: Contract 			 	Deadline for Submission of Bids: July 1, 2020 10:00 am</t>
  </si>
  <si>
    <t xml:space="preserve"> REQUEST FOR EXPRESSION OF INTEREST (REI) FOR CONDUCT OF RELOCATION SURVEY OF ROAD-RIGHT-OF-WAY (RROW) OF MUNICIPALITIES OF KINOGUITAN, BALINGOAN AND TALISAYAN, ALL BARANGAYS ALONG BUTUAN-CAGAYAN DE ORO-ILIGAN ROAD (BCIR) WITHIN MUNICIPALITIES OF KINOGUITA</t>
  </si>
  <si>
    <t xml:space="preserve"> City Government of Manila INVITATION TO BID NO. 2020-06-65A Procurement of Various Office Supplies 1.	The City Government of Manila, through the General Fund CY 2020 – Office Supplies Expenses intends to apply the sum of Two Million Three Hundred Seven Th</t>
  </si>
  <si>
    <t xml:space="preserve"> City Government of Manila INVITATION TO BID NO. 2020-06-51A Procurement of Thirty-One (31) Air Conditioning Units 1.	The City Government of Manila, through the General Fund CY 2020 – Office Equipment intends to apply the sum of Two Million Four Hundred Fi</t>
  </si>
  <si>
    <t xml:space="preserve"> INVITATION TO BID Improvement of Canal Service Roads 1.	 The NIA-MARIIS Division II, through the GAA CY  2019  intends to apply the sum of Two Million Two Thousand Five Hundred Eighty Three Pesos &amp; Seventy Six  Centavos (₱2,002,583.76) being the Approved </t>
  </si>
  <si>
    <t xml:space="preserve"> Republic of the Philippines Province of Negros Occidental Bids &amp; Awards Committee Bacolod City INVITATION TO BID  The Provincial Government of Negros Occidental through its Bids and Awards Committee [BAC] invites interested bidders to apply for eligibilit</t>
  </si>
  <si>
    <t xml:space="preserve"> Republic of the Philippines PROVINCE OF SOUTHERN LEYTE Municipality of San Juan BIDS AND AWARD COMMITTEE INVITATION TO BID FOR  Supply and Delivery of DOLE KABUHAYAN PROGRAM for Native Children and Egg Production The Municipality of San Juan through the D</t>
  </si>
  <si>
    <t xml:space="preserve"> INVITATION TO BID Improvement of Canal Service Roads 1.	 The NIA-MARIIS Division II, through the GAA CY  2019  intends to apply the sum of Two Million Seven Hundred Forty Thousand Five Hundred Fifteen Pesos &amp; Sixty Four  Centavos (₱2,745,515.64) being the</t>
  </si>
  <si>
    <t xml:space="preserve"> Invitation to Bid  For the Construction of ICARE Center at Time Square Gaisano, Gaisano Time Square Center Compound, B. Aquino Ave. Mandurriao, Iloilo City 1.	The City of Iloilo, through the General Fund SB No. 3, CY2019 intends to apply the sum of Thirty</t>
  </si>
  <si>
    <t xml:space="preserve"> ITEM NO.                        DESCRIPTION                         UNIT     QUANTITY SPL 1         Mobilization &amp; Demobilization                         lot          1.00 SPL 2         Construction Safety and Health Program         lot          1.00 SPL </t>
  </si>
  <si>
    <t xml:space="preserve"> City Government of Manila INVITATION TO BID NO. 2020-06-55A Procurement of Various I.T. Equipment 1.	The City Government of Manila, through the General Fund CY 2020 – Information &amp; Communication Technology Equipment (Capital Outlay) intends to apply the s</t>
  </si>
  <si>
    <t xml:space="preserve"> Repair and Maintenance of Breastfeeding Room for Lactating Mothers</t>
  </si>
  <si>
    <t xml:space="preserve"> 200       pcs        PPE Suit with Hood             179,000.00                                                       Tota:    179,000.00</t>
  </si>
  <si>
    <t xml:space="preserve"> City Government of Manila INVITATION TO BID NO. 2020-06-56A Procurement of Food and Drinks 1.	The City Government of Manila, through the General Fund CY 2020 – Extraordinary &amp; Miscellaneous Expenses intends to apply the sum of Two Million Pesos Only (Php2</t>
  </si>
  <si>
    <t xml:space="preserve"> Lot 4 Organic Fertilizer (50kg/bag) - 100 bag Urea (50kg/bag) - 40 bag Complete Fertilizer (50kg/bag) - 30 bag 0-0-60 (50 kg/bag) - 10 bag Pesticide (1L) - 10 liter Herbicide (1L) - 10 liter Fungicide (10pcs/pack) - 10 pack Sack (50kg capacity, netted) - </t>
  </si>
  <si>
    <t xml:space="preserve"> CONTRACT NO.: BNLSL-LCB-05A-2019 LOCATION: Labiranan CIP, Dulag, Leyte SCOPE OF WORK: Construction of Canal System APPROVED BUDGET FOR CONTRACT: Php 1,208,392.19 CONTRACT DURATION: 60 calendar days Bidding will be conducted in accordance with relevant pro</t>
  </si>
  <si>
    <t xml:space="preserve"> Construction of Flood Control Project (Gabion Type) Along Paliwan River at Brgy. Guinbanga-an &amp; Jaguiquican, structure excavation, Gabion, Filter Cloth, Mobilization/Demobilization, Project Billboard, Occupational Safety and Health Program</t>
  </si>
  <si>
    <t xml:space="preserve"> SCOPE OF WORK IN EACH BARANGAY: I. STRUCTURE EXCAVATION 1.15 CU.M. II. CONCRETE WORKS 0.96 CU.M. III. INSTALLATION OF STEEL POST &amp; SOLAR LIGHTS  5 UNITS IV. PAINTING WORKS 1 LOT</t>
  </si>
  <si>
    <t xml:space="preserve"> 1. The  Municipality  of   Laua-an,  Antique   intends  to  apply  the  sum   of One Million Two Hundred Thousand Two Hundred Forty Eight Pesos Only (Php1,200,248.00) being the Approved  Budget  for the  Contract  (ABC) to payments under the contract Purc</t>
  </si>
  <si>
    <t xml:space="preserve"> Lot 2 Organic Fertilizer (50kg/bag) - 100 bag Urea (50kg/bag) - 40 bag Complete Fertilizer (50kg/bag) - 30 bag 0-0-60 (50 kg/bag) - 10 bag Pesticide (1L) - 10 liter Herbicide (1L) - 10 liter Fungicide (10pcs/pack) - 10 pack Sack (50kg capacity, netted) - </t>
  </si>
  <si>
    <t xml:space="preserve"> OPENING OF BIDS IN DSWD FO IX ZAMBOANGA CITY		 DELIVERY IN DSWD-AVRC III MAMPANG, ZAMBOANGA CITY		 PROCUREMENT FOR THE FF.:		 		 1	UNIT	SPHYGMOMANOMETER (POTABLE WITH WHEEELS) 1	UNIT	BP APPARATUS (ANEROID) 1	UNIT	STETHOSCOPE, GOOD QUALITY 2	UNIT	THERMO SC</t>
  </si>
  <si>
    <t xml:space="preserve"> Republic of the Philippines Province of Masbate Municipality of Monreal BARANGAY FAMOSA BIDS AND AWARDS COMMITTEE INVITATION TO BID  									June 11, 2020 	The Barangay Local Government Unit of Famosa, Monreal, Masbate through its Bids and Awards Committ</t>
  </si>
  <si>
    <t xml:space="preserve"> 2nd bidding 2 UNITS MOTORCYCLE 125CC</t>
  </si>
  <si>
    <t xml:space="preserve"> 300.0     BAGS      PORTLAND CEMENT 34.O       CU.M      SAND 6.0         CU.M      GRAVEL 20.0       PCS.       10MM DEF. BARS 4.0         KGS.       #16 TIE WIRE</t>
  </si>
  <si>
    <t xml:space="preserve"> INVITATION TO BID FOR  THE PROCUREMENT FOR THE SUPPLY, DELIVERY, INSTALLATION, TESTING AND COMMISSIONING OF TWO (2) UNITS OF PUMPING EQUIPMENT FOR THE IGACOS WATER DISTRICT’S WATER SUPPLY SYSTEM AND IMRPOVEMENT PROJECT  1.	The Igacos Water District Water </t>
  </si>
  <si>
    <t xml:space="preserve"> Supply and Delivery of IT Equipments</t>
  </si>
  <si>
    <t xml:space="preserve"> Approved By: REYNALDO VIVIT BAC CHAIRMAN</t>
  </si>
  <si>
    <t xml:space="preserve"> 2ND BIDDING CONCRETE FENCING FOR EVACUATION CENTER  Materials: 100 pcs. 10mm dia. DSB 10 kgs. Tie wire 50 bags Portland Cement 1500 pcs. 4" CHB</t>
  </si>
  <si>
    <t xml:space="preserve"> Compact Disc Recordable Compact Disc Rewritable Continous Forms, 11 x 14 7/8 - 3 Ply Ink, HP 678, Black Ink, HP 678, Colored Ink, Rizograph Ink, Toner for Xerox Machine Master Roll Stencil for Rizograph (100 cuts) Ink, "790 Canon Pixma, BK Ink, "790 Canon</t>
  </si>
  <si>
    <t xml:space="preserve"> Paper, Pilot Bond Paper Long, Subst. 20  Paper, Hard Copy, Long, Subst. 20 Paper, Hard Copy, Short, Subst. 20 Paper, Pilot Bond Paper Short, Subst. 20</t>
  </si>
  <si>
    <t xml:space="preserve"> 1 UNIT AMBULANCE  PHILIPPINE BIDDING DOCUMENTS Procurement of GOODS Government of the Republic of the Philippines Third Edition October 2009   Preface These Philippine Bidding Documents (PBDs) for the procurement of Goods through Competitive Bidding have </t>
  </si>
  <si>
    <t xml:space="preserve"> INVITATION TO APPLY FOR ELIGIBILITY AND TO BID The Local Government Unit-Barangay Salog, Sorsogon City throught its Bids and Awards Committee (BAC), invites suppliers registered with and classified by the Department of Trade and Industry(DTI), to bid for </t>
  </si>
  <si>
    <t xml:space="preserve"> Job Order of 9 units Sliding Window 1.) 4 units Fabrication and Installation of 1/4 thk. Bronze Glass Sliding Window 1 Anodized FD 100 Analok Aluminum Frame 1.25 m x 2.56 m. 4-Sliding Glass Panel 2.) 2 units Fabrication and Installation of 1/4 thk. Bronze</t>
  </si>
  <si>
    <t xml:space="preserve"> Republic of the Philippines PROVINCE OF SAMAR Municipality of Pinabacdao Invitation to Bid Repair of Brgy. Mambog Multi-purpose School Building (District Office) Pinabacdao Samar 1. The LOCAL GOVERMENT UNIT of Pinabacdao Samar, through the FY 2020 Budget </t>
  </si>
  <si>
    <t xml:space="preserve"> I. Well Development II. Electrical Works</t>
  </si>
  <si>
    <t xml:space="preserve"> Procurement of Civil Works-Construction of 2 storey building to accommodate PUIs/PUMs</t>
  </si>
  <si>
    <t xml:space="preserve"> Procurement of Hygiene and Sanitation Supplies</t>
  </si>
  <si>
    <t xml:space="preserve"> 3        tank         Oxygen Regulator          4,500.00         13,500.00 3        tank         Oxygen tank                 18,550.00        56,650.00 2        boxes       Face Mask N95                2,800.00          5,600.00 15      boxes       Face M</t>
  </si>
  <si>
    <t xml:space="preserve"> SUPPLY AND DELIVERY OF BRAND NEW MOTORCYCLE WITH SINGLE PASSENGER SIDE CAR - Order of payment for Bid Docs will be available at GSD-Head Office @ 10th Floor Makati City Hall Bldg. 2.  Look for Mr. Reden Villanueva. - A complete set of Bidding Documents wi</t>
  </si>
  <si>
    <t xml:space="preserve"> The Barangay Barancuag, Tuao Cagayan through its Supplemental Fund intends to apply the sum of Php 130,000.00  being the Approved Budget for the Contract (ABC) to payments under the contract for Purchased of Motorcycle. Bids received in excess of the ABC </t>
  </si>
  <si>
    <t xml:space="preserve"> Republic of the Philippines CITY OF BAIS BIDS AND AWARDS COMMITTEE INVITATION TO APPLY FOR ELIGIBILITY AND TO BID 	The City Government of Bais invites interested bidders to apply for eligibility and to bid for Distribution to patients in various barangays</t>
  </si>
  <si>
    <t xml:space="preserve"> Electrode, Bronze NOTE: SEE ATTACHED PRE-PR &amp; RFQ FOR THE COMPLETE SPECS.</t>
  </si>
  <si>
    <t xml:space="preserve"> units		Panasonic AirConditioner 1.5hp Inverter 						3</t>
  </si>
  <si>
    <t xml:space="preserve"> SUPPLY AND DELIVERY OF BRAND NEW SERVICE VEHICLES, INCLUDING PREVENTIVE MAINTENANCE SERVICE (2 LOTS) LOT 1: SUPPLY AND DELIVERY OF ONE (1) BRAND NEW SERVICE VEHICLE (21 SEATER VAN) WITH PREVENTIVE MAINTENANCE SERVICE LOT 2: SUPPLY AND DELIVERY OF ONE (1) </t>
  </si>
  <si>
    <t xml:space="preserve"> SUPPLY AND DELIVERY OF GROCERY SUPPLIES FOR VARIOUS OFFICES OF THE CITY GOVERNMENT OF MAKATI - Order of payment for Bid Docs will be available at GSD-Head Office @ 10th Floor Makati City Hall Bldg. 2.  Look for Mr. Reden Villanueva. - A complete set of Bi</t>
  </si>
  <si>
    <t xml:space="preserve"> PURCHASE OF MICRONUTRIENT POWDER FOR COMPREHENSIVE NUTRITION PROGRAM - Order of payment for Bid Docs will be available at GSD-Head Office @ 10th Floor Makati City Hall Bldg. 2.  Look for Mr. Reden Villanueva. - A complete set of Bidding Documents will be </t>
  </si>
  <si>
    <t xml:space="preserve"> SUPPLY AND DELIVERY OF APPLIANCES AND OTHER EQUIPMENT FOR VARIOUS DEPARTMENTS/OFFICES OF THE CITY GOVERNMENT OF MAKATI  - Order of payment for Bid Docs will be available at GSD-Head Office @ 10th Floor Makati City Hall Bldg. 2.  Look for Mr. Reden Villanu</t>
  </si>
  <si>
    <t xml:space="preserve"> Republic of the Philippines CITY OF BAIS BIDS AND AWARDS COMMITTEE INVITATION TO APPLY FOR ELIGIBILITY AND TO BID 	The City Government of Bais invites interested bidders to apply for eligibility and to bid to provide essential non-communicable disease pre</t>
  </si>
  <si>
    <t xml:space="preserve"> Republic of the Philippines BIDS AND AWARDS COMMITTEE 9017 Población, El Salvador City Misamis Oriental  Email: bac.elsalvadorcity@gmail.com INVITATION TO BID for the PROCUREMENT OF MATERIALS FOR CONSTRUCTION/REHAB OF WWS PROGRAMS FOR SAN FRANCISCO DE ASI</t>
  </si>
  <si>
    <t xml:space="preserve"> SUPPLY AND DELIVERY OF VARIOUS INSTRUMENTS/EQUIPMENT FOR MAKATI HEALTH DEPARTMENT - Order of payment for Bid Docs will be available at GSD-Head Office @ 10th Floor Makati City Hall Bldg. 2.  Look for Mr. Reden Villanueva. - A complete set of Bidding Docum</t>
  </si>
  <si>
    <t xml:space="preserve"> SUPPLY AND DELIVERY OF JANITORIAL AND CLEANING SUPPLIES FOR VARIOUS DEPARTMENTS/OFFICES IN THE CITY GOVERNMENT OF MAKATI - Order of payment for Bid Docs will be available at GSD-Head Office @ 10th Floor Makati City Hall Bldg. 2.  Look for Mr. Reden Villan</t>
  </si>
  <si>
    <t xml:space="preserve"> The MUNICIPALITY OF CALINTAAN, through the 20% Local Development Fund intends to apply the sum of One Million One Hundred  Fifty Thousand Pesos Only (Php1,150,000.00) being the Approved Budget for the Contract (ABC) to payment  under the contract for the </t>
  </si>
  <si>
    <t xml:space="preserve"> Diesel fuel		ltrs	1378</t>
  </si>
  <si>
    <t xml:space="preserve"> The Barangay Dagupan, Tuao Cagayan through its Supplemental Fund intends to apply the sum of  Php 300,000.00  being the Approved Budget for the Contract (ABC) to payments under the contract for  PURCHASED OF MULTI-CAB/BARANGAY PATROL CAR. Bids received in</t>
  </si>
  <si>
    <t xml:space="preserve"> SUPPLY AND DELIVERY OF OFFICE EQUIPMENT AND SUPPLIES FOR VARIOUS DEPARTMENTS/OFFICES OF THE CITY GOVERNMENT OF MAKATI  - Order of payment for Bid Docs will be available at GSD-Head Office @ 10th Floor Makati City Hall Bldg. 2.  Look for Mr. Reden Villanue</t>
  </si>
  <si>
    <t xml:space="preserve"> Procurement ID/Contract I.D.: 20CN0152 Contract Name: Repair/Rehabilitation of Slope Protection along National Roads Contract Location: A. Castañeda – Ma. Aurora San Luis Road, K0226+375, K0202+850, Dimasalang Bridge Brief Description: Earthworks, Bridge </t>
  </si>
  <si>
    <t xml:space="preserve"> Diesel fuel		ltrs	5442</t>
  </si>
  <si>
    <t xml:space="preserve"> Standard Form Number: SF-INFR-05 Revised on:  July 29, 2004 INVITATION TO APPLY FOR ELIGIBILITY AND TO BID The LGU of  Barangay I, Mataasnakahoy, Batangas, through its Bids and Award Committee (BAC), invites contractors/suppliers registered with PHILGEPS </t>
  </si>
  <si>
    <t xml:space="preserve"> Republic of the Philippines CITY OF BAIS BIDS AND AWARDS COMMITTEE INVITATION TO APPLY FOR ELIGIBILITY AND TO BID 	The City Government of Bais invites interested bidders to apply for eligibility and to bid to be used at the Evacuation Center during Calami</t>
  </si>
  <si>
    <t xml:space="preserve"> Courier Services for PSO Bukidnon 12months (1year) PR NO. 2020-06-037.</t>
  </si>
  <si>
    <t xml:space="preserve"> QTY	UNIT	ITEM DESCRIPTION 		  7,140.00 	cu.m.	Compacted Solid Waste (Garbage) Hauling &amp; Disposal to Contractor's Disposal Site</t>
  </si>
  <si>
    <t xml:space="preserve"> The Barangay Cagumitan, Tuao Cagayan through its 20% Barangay Dev’t fund intends to apply the sum of Php 146,420.00 being the Approved Budget for the Contract (ABC) to payments under the contract for Procurement of Materials for the Improvement of Multi-P</t>
  </si>
  <si>
    <t xml:space="preserve"> Rental (Van for Hire) For the Month of August  * for Cotabato City                   (2 Van x 1 trip x Php 5,000.00) * for north cotabato areas        (2Van x 2 Trips  x Php 5,000.00) * for S.K  areas                           ( 2 Van x 2 Trips x Php 5,00</t>
  </si>
  <si>
    <t xml:space="preserve"> OUTSOURCING OF IMAGING SERVICES FOR VULNERABLE GROUPS THROUGH AN ORDERING AGREEMENT - Order of payment for Bid Docs will be available at GSD-Head Office @ 10th Floor Makati City Hall Bldg. 2.  Look for Mr. Reden Villanueva. - A complete set of Bidding Doc</t>
  </si>
  <si>
    <t xml:space="preserve"> OUTSOURCING OF BASIC CLINICAL AND DIAGNOSTIC LABORATORY SUPPLIES AND SERVICES THROUGH AN ORDERING AGREEMENT  - Order of payment for Bid Docs will be available at GSD-Head Office @ 10th Floor Makati City Hall Bldg. 2.  Look for Mr. Reden Villanueva. - A co</t>
  </si>
  <si>
    <t xml:space="preserve"> Republic of the Philippines CITY OF BAIS BIDS AND AWARDS COMMITTEE INVITATION TO APPLY FOR ELIGIBILITY AND TO BID 	The City Government of Bais invites interested bidders to apply for eligibility and to bid to be used as Assistive Devices to given to Perso</t>
  </si>
  <si>
    <t xml:space="preserve"> Submission of RFQ = June 18, 2020, 9:00am at Municipal Hall, Casiguran, Sorsogon</t>
  </si>
  <si>
    <t xml:space="preserve"> Procurement ID/Contract I.D.: 20CN0150 Contract Name: Construction of Multi-Purpose Building Contract Location: Brgy. Dibaraybay, Dinalungan, Aurora Brief Description: Civil, Mechanical, Electrical, and Sanitary/Plumbing Works; Earthworks, Plain and Reinf</t>
  </si>
  <si>
    <t xml:space="preserve"> Installation of Street Light (Solar)</t>
  </si>
  <si>
    <t xml:space="preserve"> QTY	UNIT	ITEM DESCRIPTION 		  1.00 	lot	Clearing  406.00 	cu.m.	Grouted Riprap</t>
  </si>
  <si>
    <t xml:space="preserve"> The MUNICIPALITY OF CALINTAAN, through the 20% Local Development Fund intends to apply the sum of One Million Three Hundred Thousand Pesos Only (Php1,300,000.00) being the Approved Budget for the Contract (ABC) to payment  under the contract for the Const</t>
  </si>
  <si>
    <t xml:space="preserve"> 2.	Procurement ID/Contract I.D.: 20CN0151 A.	Repair/Maintenance of Pingit Creek Revetment 2 &amp; 3 Flood Control, Brgy. Pingit, Baler, Aurora B.	Repair/Maintenance of Cabatangan River Revetment 2 Flood Control, Brgy. Dikildit, Maria Aurora, Aurora Brief Desc</t>
  </si>
  <si>
    <t xml:space="preserve"> Diesel fuel		ltrs	1875</t>
  </si>
  <si>
    <t xml:space="preserve"> Contract ID No. :	20CSPH01 Project:	Geotechnical Investigation for Slope Protection Projects along Various Road Sections in Mountain Province for FY 2020 Location:	Various Road Section in Mountain Province Objectives:	To provide important data necessary i</t>
  </si>
  <si>
    <t xml:space="preserve"> QTY	UNIT	ITEM DESCRIPTION 		  1.00 	lot	Clearing  99.87 	cu.m.	Grouted Riprap</t>
  </si>
  <si>
    <t xml:space="preserve"> 30 CANS RED GOLD TOMATO@25GRAMS 100 PACK/SACHET SWEET PEPPER 30 CANS SQUASH SUPREMA 25GRAMS 200 KLS. MONGGO SUPER YIELD 30 CANS AMPALAYA MESTIZA 50GRAMS 20 CANS WATER MELON BULILIT SWEET 16 (100GRAMS) 100 CANS BULILIT MEGA C</t>
  </si>
  <si>
    <t xml:space="preserve"> Standard Form Number: SF-INFR-05 Revised on:  July 29, 2004 INVITATION TO APPLY FOR ELIGIBILITY AND TO BID The LGU of  Barangay Nangkaan, Mataasnakahoy, Batangas, through its Bids and Award Committee (BAC), invites contractors/suppliers registered with PH</t>
  </si>
  <si>
    <t xml:space="preserve"> SCOPE OF WORKS IN EACH BARANGAY: I. EXCAVATION WORKS   29.40 CU.M. II. CONCRETE WORKS 5.08 CU.M. III. MASONRY WORKS 81.60 SQ.M.</t>
  </si>
  <si>
    <t xml:space="preserve"> 4	rolls	Masking Tape 24mmx54.8m 2	boxes	Staple Wire #35 300	pcs.	Ballpen (blue) 200	pcs.	Ballpen (black) 65	reams	Bookpaper sub24 or 80gsm legal size 65	reams	Bookpaper sub24 or 80gsm A4 size 175	pcs.	Ordinary Note Book (spiral 40 leaves) 20	bottles	Refil</t>
  </si>
  <si>
    <t xml:space="preserve"> Location : Legazpi City, Albay Scope of Work : Concreting of 396.00 l.m. PCCP with Slope Protection Please be reminded that upon dropping of bids, the contractor’s authorized representative must present any but not limited to the following documents: 1.	A</t>
  </si>
  <si>
    <t xml:space="preserve"> CONTRACT NO.: MPBRIS-LCB-08A-2019 LOCATION: Mainit RIS, Alangalang, Leyte SCOPE OF WORK: Construction of Canal System APPROVED BUDGET FOR CONTRACT: Php 1,642,033.01 CONTRACT DURATION: 150 calendar days Bidding will be conducted in accordance with relevant</t>
  </si>
  <si>
    <t xml:space="preserve"> concreting of pathway    L 1300m    W 0.50m      Th  0.075m</t>
  </si>
  <si>
    <t xml:space="preserve"> REQUEST FOR QUOTATION (OPEN CANVASS) Police Regional Office 2 through its Bids and Awards Committee (BAC) invites supplier/manufacturers/distributors/contractors to quote the lowest government price for the hereunder project: Name of the Project	Supply an</t>
  </si>
  <si>
    <t xml:space="preserve"> Laptop with complete accessories		Unit	1 Specification:						 Core i7 7th gen 7700 HQ Quad Core 3.80 ghz			 Max speed (2.80 ghz base speed) 8 Gb			 Ram DDR4, 512Gb ssd+1Tb HDD			 Nvidia GEFORCE GTX 1050 GDDRS 4Gb			 Dedicated + Intel HD 630, 14” Full HD		</t>
  </si>
  <si>
    <t xml:space="preserve"> INVITATION TO BID  for the SUPPLY AND DELIVERY OF  CONSTRUCTION MATERIALS FOR WATER SYSTEM PROJECT 1. The BARANGAY SAN JOAQUIN of Capoocan, Leyte, through its FINANCIAL ASSISTANCE FROM PROVINCE OF LEYTE intends to apply the sum of SIXTY EIGHT THOUSAND TWO</t>
  </si>
  <si>
    <t xml:space="preserve"> (Procurement Of Goods) INVITATION TO BID FOR  ONE (1) UNIT BRGY.RESCUE VEHICLE (BONGGO DOUBL CAB) 1.	The Barangay Local Government of Baganian, Tabina, Zamboanga del Sur through the  20% Development Fund for the year 2012-2018 intends to apply the sum of </t>
  </si>
  <si>
    <t xml:space="preserve"> Procurement of Deep Well Hand Pumps Materials for Zones 3, 5 &amp; 6 of Barangay Banaoang, Sta. Barbara, Pangasinan. List of Materials: 1.) 3 x Units Jetmatic Hand Pump 2.) 33 x Pcs GI Pipe 1 &amp; 1/2 Schedule 40 3.) 33 x Pcs GI Coupling 1 &amp; 1/2 Schedule 40 4.) </t>
  </si>
  <si>
    <t xml:space="preserve"> Procurement of Diesel for Light and Heavy Equipment</t>
  </si>
  <si>
    <t xml:space="preserve"> 11	 piece 	TONER CARTRIDGE, HP laserjet M1212nf MFP "85A" 60	 bottle 	Epson refill, original (Black 003) 40	 bottle 	Epson refill (colour M 003) 40	 bottle 	Epson refill (colour C 003) 35	 bottle 	Epson refill  (colour Y 003) 45	 bottle 	ALCOHOL, 70%, eth</t>
  </si>
  <si>
    <t xml:space="preserve"> QTY	UNIT	ITEM DESCRIPTION 		  1.00 	l.s.	Cutting of Trees and Vegetation  1.00 	l.s.	Hauling of Materials  370.00 	sq.m.	Concrete Works</t>
  </si>
  <si>
    <t xml:space="preserve"> Republic of the Philippines Province of Batangas Municipality of San Juan BIDS AND AWARDS COMMITTEE INVITATION TO APPLY FOR ELIGIBILITY AND TO BID THE LOCAL GOVERNMENT UNIT OF BRGY. PALINGOWAK,  SAN JUAN, BATANGAS, through its Bids and Awards Committee (B</t>
  </si>
  <si>
    <t xml:space="preserve"> Purchase of supplies and materials for the repair and maintenance of Barangay Security Cameras.</t>
  </si>
  <si>
    <t xml:space="preserve"> Multi-Purpose Hall, Farm to Market Road w/ drainage Canal, Flood Control Canal, Farm to Market Road</t>
  </si>
  <si>
    <t xml:space="preserve"> QTY	UNIT	ITEM DESCRIPTION 		  2.00 	set/s	Installation of Main Service  Entrance  146.00 	set/s	Purchase and Installation of Street Lights 		 		Note: Street Lights 		Brgy. Aguila - 2 set/s 		Brgy. Banaybanay I - 33 set/s 		Brgy. Banaybanay II - 3 set/s 		</t>
  </si>
  <si>
    <t xml:space="preserve"> Desktop PC 8gb RAM or Higher 1TB HD or Higher 2GB Video Card of Hiogher i7 Processor or Higher  HDMI Ready 25'' Widescreen HDMI supported Led Monitor UPS Speaker</t>
  </si>
  <si>
    <t xml:space="preserve"> BIDS AND AWARDS COMMITTEE								 REQUEST FOR QUOTATION								 RFQ2020-06-024								 June 9, 2020								 The Civil Service Commission-National capital Region, through its Bids and Awards Committee (BAC), hereby invites all interested suppliers/distribu</t>
  </si>
  <si>
    <t xml:space="preserve"> Supply and Delivery of Second Quarter Various Office Supplies with an ABC of Php307,341.95 arranged in three (3) lots: LOT 1. Common Office Supplies/Consumables LOT 2. Computer Supplies LOT 3. Janitorial/Electrical/Housekeeping Supplies For further detail</t>
  </si>
  <si>
    <t xml:space="preserve"> OFFICE SUPPLIES FOR SCHOOL MODULES AND OTHER REPORTS NEEDED.</t>
  </si>
  <si>
    <t xml:space="preserve"> INVITATION TO BID FOR THE PURCHASE OF OFFICE ACCESSORIES AND SUPPLIES UNDER SEF  2ND BID OPENING 1.	The Local Government Unit of Manolo Fortich, through the Special Education Fund  intends to apply the sum of Five Hundred Five Thousand Eight Hundred Thirt</t>
  </si>
  <si>
    <t xml:space="preserve"> Construction of Multi-Purpose Hall is funded thru the 2020 20% AIP DF Please be guided by the following schedule: 1. Submission of Letter of Intent - June 22-23, 2020 2. Eligibility Screening - June 25, 2020 3. Issuance and Availability of Bidding Documen</t>
  </si>
  <si>
    <t xml:space="preserve"> BIDS AND AWARDS COMMITTEE ATTENTION:		ALL INTERESTED BIDDERS 			 SUBJECT:	INVITATION TO BID –   Procurement of IT Equipment DATE:	June 9, 2020 - - - - - - - - - - - - - - - - - - - - - - - - - - - - - - - - - - - - - - - - - - - - - - - - - - - - - - - - </t>
  </si>
  <si>
    <t xml:space="preserve"> The Municipality of President Roxas (MPR), through the 2020 Special Education Fund (SEF), intends to apply the sum of Three Hundred Eighty Thousand Pesos (Php 380,000.00) being the Approved Budget for the Contract (ABC) to payments under the contract for </t>
  </si>
  <si>
    <t xml:space="preserve"> I. REPAIR OF BASKETBALL BOARD 2 UNITS II. INSTALLATION OF BASKETBALL COURT LIGHTS 14. SETS III. REPAIR OF BASKETBALL STEEL FRAME 2 UNITS IV. PAINTING WORKS 1 LOT V. FORM WORKS/SCAFFOLDING 1 LOT</t>
  </si>
  <si>
    <t xml:space="preserve"> DENR-PENRO Davao de Oro Province INVITATION TO BID FOR THE PURCHASE OF ONE (1) 4X4 PICK-UP VEHICLE; 1.	The DENR-PENRO Davao de Oro, through the Department of Budget &amp; Management (GAA) intends to apply the sum of One Million Five Hundred Thousand Pesos P (</t>
  </si>
  <si>
    <t xml:space="preserve"> 1 UNIT GRASSCUTTER - . - TD40 - w/ complete accessories and tools</t>
  </si>
  <si>
    <t xml:space="preserve"> PLEASE SEE ATTACHED DOCUMENT/S. THANK YOU.</t>
  </si>
  <si>
    <t xml:space="preserve"> Procurement of Various Office and IT Equipment of Different Offices - LGU Laak, Davao De Oro with an ABC of Php. 251,271.00.</t>
  </si>
  <si>
    <t xml:space="preserve"> Purchase of supplies and materials for the maintenance of barangay vehicles.</t>
  </si>
  <si>
    <t xml:space="preserve"> Available upon request xxxxxxxxxxxxxxxxxxxxx</t>
  </si>
  <si>
    <t xml:space="preserve"> 1 set DESKTOP COMPUTER CORE i5 PROCESSOR COMPATIBLE MOTHERBOARD 4 GB DDR4 RAM MEMORIES 1 TB HDD/DVDRW ATX CASING W/ PSU 19" LED MONITOR KEYBOARD MOUSE 2 unit CPU CORE i5 PROCESSOR COMPATIBLE MOTHERBOARD 4 GB DDR4 RAM MEMORIES 1TB HDD/DVDRW ATX CASING W/ P</t>
  </si>
  <si>
    <t xml:space="preserve"> Republic of the Philippines DEPARTMENT OF PUBLIC WORKS AND HIGHWAYS CAMARINES SUR 1st DISTRICT ENGINEERING OFFICE REGIONAL OFFICE V Baras, Canaman, Camarines Sur INVITATION TO BID 		FOR 20GFD0007 – Supply and Delivery of Materials for Repair and Maintenan</t>
  </si>
  <si>
    <t xml:space="preserve"> Flooring of some portion Fabrication &amp; Installation of Steel Matting Concrete Fence around Covered Court</t>
  </si>
  <si>
    <t xml:space="preserve"> 2,000 pcs Seedling tray (100 holes) Class A 1,500 pcs PE Bag (11" x 11" x 18") 10 rolls Plastic mulch Note: Please attach legal documents and updated PhilGEPS Certificate, failure to submit your bid documents will not be considered for the opening by the </t>
  </si>
  <si>
    <t xml:space="preserve"> 88 kgs Bactericide/Fungicide Note: Please attach legal documents and updated PhilGEPS Certificate, failure to submit your bid documents will not be considered for the opening by the BAC. Please refer to RA 9184-GPPB Revised IRR Series of 2016 Appendix 8: </t>
  </si>
  <si>
    <t xml:space="preserve"> Please quote your lowest price on the item(s) listed below, subject to the Terms and Conditions stated below and submit your quotation duly signed by your representative not later than 2:00 P.M. of ________________ in the return envelope attached herewith</t>
  </si>
  <si>
    <t xml:space="preserve"> Republic of the Philippines COMMISSION ON AUDIT Quezon City	REQUEST FOR QUOTATION Procurement And Property &amp; Supply Management Services, General Services Office	 Date Prepared: June 8, 2020 Supplier     :______________________ Address      :______________</t>
  </si>
  <si>
    <t xml:space="preserve"> Republic of the Philippines DEPARTMENT OF PUBLIC WORKS AND HIGHWAYS CAMARINES SUR 1st DISTRICT ENGINEERING OFFICE REGIONAL OFFICE V Baras, Canaman, Camarines Sur INVITATION TO BID 		FOR 20GFD0008 – Supply and Delivery of Materials for the Repair and Maint</t>
  </si>
  <si>
    <t xml:space="preserve"> June 10, 2020 INVITATION TO BID FOR PURCHASE OF IT EQUIPMENT FOR LDRRM GIS MAPPING The Municipality of Magallanes, Cavite, through the Budget for the Contract approved by the Sangguniang Bayan intends to apply the sum of Two Hundred Seventy Nine Thousand </t>
  </si>
  <si>
    <t xml:space="preserve"> 1 unit Hammer Mill Specifications: 300 kilos per hour capacity 3hp Electric motor with three (3) different screen Note: Please attach legal documents and updated PhilGEPS Certificate, failure to submit your bid documents will not be considered for the ope</t>
  </si>
  <si>
    <t xml:space="preserve"> INVITATION TO BID FOR  Procurement of Drugs and Medicines 1.	The Ospital ng Palawan, through its Trust Fund for CY 2020 intends to apply the sum of Five Million Seven Hundred Thirty-Eight Seven Hundred Thirty-Two Pesos and Fifty Cents (5,738,732.50) being</t>
  </si>
  <si>
    <t xml:space="preserve"> Supply and Delivery of Medical, Laboratory and Birthing Facility Supplies for the 1st and 2nd Quarter 2020 with an ABC of Php350,000.00 arranged in five (5) lots: LOT 1. Medicines (MOOE) = Php196,852.00 LOT 2. Laboratory Supplies (MOOE) = Php100,317.50 LO</t>
  </si>
  <si>
    <t xml:space="preserve"> Republika ng Pilipinas PAMAHALAANG LUNGSOD NG TACLOBAN (City Government of Tacloban) Kanhuraw Hill, Tacloban City 6500 BIDS AND AWARDS COMMITTEE INVITATION TO BID  REF #040-06-2020 (JUNE 11, 2020) PR# 2020-181 DATED 02-10-2020 7038486 The Procuring Entity</t>
  </si>
  <si>
    <t xml:space="preserve"> SOIL/ GEOTECHNICAL INVESTIGATION FOR THE PROPOSED CONSTRUCTION OF VARIOUS FLOOD CONTROL PROJECTS AND PROPOSED CONSTRUCTION OF BUILDING PROJECT WITHIN 5TH AND 6TH DISTRICT OF PANGASINAN</t>
  </si>
  <si>
    <t xml:space="preserve"> Available upon request xxxxxxxxxxxxxxxxxx</t>
  </si>
  <si>
    <t xml:space="preserve"> INVITATION TO BID FOR THE SUPPLY AND DELIVERY OF PIPELINE MATERIALS FOR THE 3rd Quarter and 4th Quarter Operation and Maintenance Requirement @ PS 9 Compound, Sito Maag, Penaplata, Samal District IGaCoS under Purchase Order No. 2020 -03- 097 1.	The IGaCoS</t>
  </si>
  <si>
    <t xml:space="preserve"> June 10, 2020 INVITATION TO BID FOR REHABILITATION/IMPROVEMENT OF THE MUNICIPAL BUILDING, MAGALLANES, CAVITE The Municipality of Magallanes, Cavite, through the Budget for the Contract approved by the Sangguniang Bayan intends to apply the sum of Three Hu</t>
  </si>
  <si>
    <t xml:space="preserve"> Invitation to Bid for the   CONSTRUCTION OF DRAINAGE CANAL along Magbanua Street The MUNICIPALITY OF ISULAN, through the MDRRM Fund 2020  intends to apply the sum of ONE MILLION FIVE HUNDRED NINE THOUSAND ONE HUNDRED FIFTY-FOUR PESOS AND 91/100 ONLY (PHP </t>
  </si>
  <si>
    <t xml:space="preserve"> (Procurement Of Goods) INVITATION TO BID FOR  ONE (1) UNIT BRGY.GARBAGE VEHICLE (BONGGO SINLGE CAB) 1.	The Barangay Local Government of Baganian, Tabina, Zamboanga del Sur through the  20% Development Fund for the year 2012-2018 intends to apply the sum o</t>
  </si>
  <si>
    <t xml:space="preserve"> June 10, 2020 INVITATION TO BID FOR CONCRETING OF FARM-TO-MARKET ROAD AT SITIO KAY-APAS, BRGY. MEDINA, MAGALLANES, CAVITE The Municipality of Magallanes, Cavite, through the Budget for the Contract approved by the Sangguniang Bayan intends to apply the su</t>
  </si>
  <si>
    <t xml:space="preserve"> Specifications 1	Renewal of Fortinet License for FG500D i.	1 Year ii.	SN: FGT5HD3917800371 Expires on 2019/09/21 iii.	SN: FG5H1E5818901721 Expires on 2019/07/15 Includes: i.	FORTICARE 1.	Hardware Return and Replace 2.	Firmware Upgrades 3.	24x7 Enhanced Su</t>
  </si>
  <si>
    <t xml:space="preserve"> a.CONTRACT  ID : ANTIPOLO-01JULY2020-01 b. NAME OF PROJECT : Construction of Stone Masonry Riverwall Along Creek at Antipolo Hills Subdivision, Brgy. San Luis, Antipolo City c. LOCATION : Brgy. San Luis, Antipolo City  d. BRIEF DESCRIPTION : Construction </t>
  </si>
  <si>
    <t xml:space="preserve"> 73 bags NSIC Rc480 Certified Seeds 40kilograms per bag Note: Please attach legal documents and updated PhilGEPS Certificate, failure to submit your bid documents will not be considered for the opening by the BAC.</t>
  </si>
  <si>
    <t xml:space="preserve"> Republic of the Philippines Province of South Cotabato BIDS AND AWARDS COMMITTEE City of Koronadal  INF-ITB 20-028 INVITATION TO BID  1.	The Provincial Government of South Cotabato, through the PEO-8751 CA-2020-78-GF intends to apply the sum of          ₱</t>
  </si>
  <si>
    <t xml:space="preserve"> ITEMNO. 	ITEM  &amp; DESCRIPTION	QTY.	UOM 			 1	Solar Powered LED Streetlights (100w)	20	units 	Specification:		 	LED Power:   100w		 	Voltage:          DC 6.4v		 	CCT:                6500k/P65		 	With:               Remote Control</t>
  </si>
  <si>
    <t xml:space="preserve"> The MUNICIPALITY OF CALINTAAN, through the 20% Local Development Fund intends to apply the sum of Five Hundred Twenty Thousand Pesos Only (Php520,000.00) being the Approved Budget for the Contract (ABC) to payment  under the contract for the Improvement o</t>
  </si>
  <si>
    <t xml:space="preserve"> Extension of Main Roofing Finishing of Walls &amp; Columns Construction of Comfort Room  Painting of Walls, Columns &amp; CR</t>
  </si>
  <si>
    <t xml:space="preserve"> Republic of the Philippines Province of Ilocos Sur MUNICIPALITY OF MAGSINGAL Office of the Bids and Awards    Committee   INVITATION TO BID The LGU – MAGSINGAL, through the Bids and Awards Committee (BAC), invites PhilGEPS registered suppliers/contractors</t>
  </si>
  <si>
    <t xml:space="preserve"> Title:Supply and Delivery for the City Disaster Risk Reduction and Management Office (CDRRMO) under P.R.No. 0693-2020-Subject to Ordering Agreement Arrangement Total ABC: Php 699,660.00</t>
  </si>
  <si>
    <t xml:space="preserve"> PLEASE SEE PURCHASE REQUEST AND REQUEST FOR QUOTATION FOR SPECIFICATIONS</t>
  </si>
  <si>
    <t xml:space="preserve"> Portable 3D Printer</t>
  </si>
  <si>
    <t xml:space="preserve"> a.CONTRACT  ID : ANTIPOLO-01JULY2020-02 b. NAME OF PROJECT : Repair/Rehabilitation Works of Three (3) Storey Six (6) Rooms PLED Building at San Isidro National High School Brgy San Isidro, Antipolo City c. LOCATION : Brgy San Isidro, Antipolo City d. BRIE</t>
  </si>
  <si>
    <t xml:space="preserve"> A. materials 8 pcs. 24"x 0.50m culvert 12 bags Portland cement 1 cu.m. Mixed sand &amp; gravel 3 kls. asst. cw nails 10 pcs. 2x2x10ft. Coco Lumber B. Labor Cost 1 lot Well Excavation for a depth of 20 mtrs or water table is attain  P 78,240.00</t>
  </si>
  <si>
    <t xml:space="preserve"> ***Please see attached</t>
  </si>
  <si>
    <t xml:space="preserve"> a.CONTRACT  ID : ANTIPOLO-01JULY2020-03 b. NAME OF PROJECT : Construction of Stone Masonry Riverwall (Portion) Along Labahan Creek at Palemon Street, Crestview Subdivision, Brgy. Cupang, Antipolo City c. LOCATION : Brgy. Cupang, Antipolo City d. BRIEF DES</t>
  </si>
  <si>
    <t xml:space="preserve"> Supply and Delivery of Instructional Materials and Laboratory Supplies</t>
  </si>
  <si>
    <t xml:space="preserve"> 1.	13     UNITS    	3 IN 1 PRINTER Specification: Function: print, scan, print Print type: inkjet printer With CISS Kit with accessories and ADF(Automatic Document Feeder) 2.	3 SETS DESKTOP COMPUTER WITH PRINTER intel core i3-4170 processor 1150, Processo</t>
  </si>
  <si>
    <t xml:space="preserve"> Eco bag with ATI-CAR logo, made of quality cloth, 4"W x 14"Lx17"H		4122	Piece Disposable face mask, 50's		70	Box Alcohol, 500 ml, 68% - 70%		178	Bottle Thermo gun, LCD display digital		5	Piece Epson L3110 Ink, Black		3	Bottle Epson L3110 Ink, Cyan		3	Bott</t>
  </si>
  <si>
    <t xml:space="preserve"> QUANTITY	UNIT	ARTICLES				 8610	bags	Cement				 700	cu.m	Sand				 560	cu.m	Gravel				 81270	pcs	CHB #4				 420	pcs	Plywood, Ordinary, 1/2 x 4 x 8 				 32340	bd.ft	Cocolumber, 2 x 3 x 12				 9590	pcs	RSB Std. 10mm x 6m  				 4760	pcs	RSB Std. 8mm x 6m 				</t>
  </si>
  <si>
    <t xml:space="preserve"> DESCRIPTION BARANGAY GOVERNMENT OF KAPATAGAN INVITATION TO BID The Barangay Government of Kapatagan Thru the bids and awards Committee (BAC) invite interested Suppliers/Constructor to Apply for eligibility screening and if subsequently found to bid for th</t>
  </si>
  <si>
    <t xml:space="preserve"> a.CONTRACT  ID : ANTIPOLO-01JULY2020-04 b. NAME OF PROJECT : Concreting of Road 1 and Construction of Drainage Canal at Bayugo-Padi Heights Subd., Brgy. San Luis, Antipolo City c. LOCATION : Brgy. San Luis, Antipolo City d. BRIEF DESCRIPTION : Concreting </t>
  </si>
  <si>
    <t xml:space="preserve"> 15 units 26 watt LED Street Light, Installed in a 15ft Steel Pole with arm, hot-dipped galvanized, mounted on a galvanized stud w/ Bolt and stable concrete pedestal. -nothing follows- Other Information</t>
  </si>
  <si>
    <t xml:space="preserve"> In relation to the proclamation of the President no. 929 and 922 the Municipality of Bindoy thru the Office of the Disaster Risk Reduction and Management will purchase 100 Covid19 Test Kits (Rapid Diagnostic Test).</t>
  </si>
  <si>
    <t xml:space="preserve"> 1 50 SACK RICE - well-milled 2 18 KLS. ONION - . 3 37 KILOS COOKING OIL - . 4 13 KILOS GARLIC - . 5 28 KILOS MONGGO - . 6 62 KILOS BROWN SUGAR - . 7 20 KILOS DRIED FISH-DILI PINIKAS - . 8 165 PACKS COFFEE-25GRMS - . 9 279 CAN SARDINES - . 10 225 PCS NOODL</t>
  </si>
  <si>
    <t xml:space="preserve"> One (1) Unit Computer Desktop w/ complete accessories</t>
  </si>
  <si>
    <t xml:space="preserve"> Procurement of supply and delivery of Training Supplies 360		Notebook 360		I.D. Holder with sling 360		Ballpen 360		Plastic Envelope with holder 		List of Trainings:  		1.	Retirement Planning Seminar Training Supplies- 30 Notebook I.D. Holder with sling B</t>
  </si>
  <si>
    <t xml:space="preserve"> a.CONTRACT  ID : ANTIPOLO-01JULY2020-06 b. NAME OF PROJECT : Repair/ Improvement of Two(2) Storey, Four(4) Classrooms AUS-AID Building at Old Boso-Boso Elementary School, Sitio Boso-Boso Brgy. San Jose, Antipolo City c. LOCATION : Brgy. San Jose, Antipolo</t>
  </si>
  <si>
    <t xml:space="preserve"> 2 set Tire w/Interior No. 12.5/80-18 2 set Tire w/Interior No. 16.9-28 xxxxxxxxxxxxxxxxxxxxxxxxxxxxxxxxxx</t>
  </si>
  <si>
    <t xml:space="preserve"> a.CONTRACT  ID : ANTIPOLO-01JULY2020-05 b. NAME OF PROJECT : Concreting of Ilang-Ilang St. at Bermuda Heights Subd., Brgy. San Luis, Antipolo City c. LOCATION : Brgy. San Luis, Antipolo City d. BRIEF DESCRIPTION : Concreting of Road e. MAJOR ITEM OF WORKS</t>
  </si>
  <si>
    <t xml:space="preserve"> Order/download attached Invitation to Bid and print-out Abstract of Bids from Philgeps.</t>
  </si>
  <si>
    <t xml:space="preserve"> a.CONTRACT  ID : ANTIPOLO-01JULY2020-07 b. NAME OF PROJECT : Repair/ Repainting of Covered Court and Rewiring of School Building at Brgy. Sta. Cruz and Brgy. San Isidro, Antipolo City (2020 – Package 19) a. Repair/ Repainting of 17.0 m x 30.0 m Ynares Mul</t>
  </si>
  <si>
    <t xml:space="preserve"> QUANTITY	UNIT	ARTICLES				 60	pcs	CCL 2 x 4 x 12				 8	pcs	CCL 4 x 4 x 10				 40	pcs	GI Corrugated 12ft				 30	kilos	CWN 1 1/2, 2, 3 and Umbrella Nail				 20	kilos	CWN 4				 500	pcs	CHB 4				 5	cu.m	Sand				 3	cu.m	Gravel				 2	rolls	Insulation Double, 10</t>
  </si>
  <si>
    <t xml:space="preserve"> 1. Construction of Footbridge (Phase II) at Alegria, Barcelona, Sorsogon     Description: Completion of footbridge 2. Improvement of Health Center at Alegria, Barcelona, Sorsogon     Description: Extension of 3m. x 6m. health center</t>
  </si>
  <si>
    <t xml:space="preserve"> Municipality of Indang, Cavite</t>
  </si>
  <si>
    <t xml:space="preserve"> a.CONTRACT  ID : ANTIPOLO-01JULY2020-09 b. NAME OF PROJECT : Improvement/ Replacement/ Repair/ Repainting at Various Schools, Brgy. Cupang, Antipolo City  (2020 – Package 20) a. Improvement of Portion of Perimeter Fence and Replacement of Steel Gate at Cu</t>
  </si>
  <si>
    <t xml:space="preserve"> 2	pcs	Stapler (heavy duty) 15	pcs	felt paper (assorted color)  25	packs	colored linen paper (10's) thick  4	pcs	stapler with remover (35mm) 10	pcs	scissors (big) 50	pcs	signing pen (0.7)  2	box	white board marker black (fine) 6	box	ballpen  8	pcs	record b</t>
  </si>
  <si>
    <t xml:space="preserve"> Description   Republic of the Philippines Province of Oriental Mindoro MUNICIPALITY OF NAUJAN BARANGAY ARANGIN BIDS AND AWARDS COMMITTEE INVITATION TO BID SUPPLY AND DELIVERY OF MATERIALS TO BE USED FOR THE INSTALLATION OF STREET LIGHTS IN DIFFERENT SITIO</t>
  </si>
  <si>
    <t xml:space="preserve"> a.CONTRACT  ID : ANTIPOLO-01JULY2020-08 b. NAME OF PROJECT : Repair/Repainting of School Canteen at Bagong Nayon II National Highschool - Annex, Brgy. San Isidro, Antipolo City c. LOCATION : Brgy. San Isidro, Antipolo City d. BRIEF DESCRIPTION : Repair/Re</t>
  </si>
  <si>
    <t xml:space="preserve"> Republic of the Philippines Province of Romblon Municipality of Odiongan Bids &amp; Awards Committee Odiongan, Romblon INVITATION TO BID  The Municipal Government of Odiongan through its Bids and Awards Committee [BAC] invites interested bidders to apply for </t>
  </si>
  <si>
    <t xml:space="preserve"> QUANTITY	UNIT	ARTICLES				 4	pcs	Loudspeaker, 2way powered, 15" TC series 2000w peak 1000w RMS				 4	sets	Signal Cable 15m XLR M/F 				 2	sets	Dual Wireless Microphone				 2	pcs	12 Channel Mixer with DSP Effects				 2	pcs	Speaker Stand, Fully Adjustable (</t>
  </si>
  <si>
    <t xml:space="preserve"> Republic of the Philippines          City of Dumaguete Bids and Awards Committee INVITATION TO BID FOR PURCHASE REQUEST OF 35 CU.M COARSE AGGREGATES (2” MAX. SIZE) AND OTHER ITEMS 	The City of Dumaguete thru its BIDS AND AWARDS COMMITTEE (BAC), invites al</t>
  </si>
  <si>
    <t xml:space="preserve"> a.CONTRACT  ID : ANTIPOLO-01JULY2020-10 b. NAME OF PROJECT : Improvement of Covered Pathwalk at Bagong Nayon II Elementary School, Brgy. San Isidro, Antipolo City c. LOCATION : Brgy. San Isidro, Antipolo City d. BRIEF DESCRIPTION : Improvement of Covered </t>
  </si>
  <si>
    <t xml:space="preserve"> Procurement of transparent double top tables to be placed at various areas in the Currency Operations Division</t>
  </si>
  <si>
    <t xml:space="preserve"> Republic of the Philippines PROVINCE OF ZAMBOANGA DEL NORTE BIDS AND AWARDS COMMITTEE (BAC) BAC Conference Room, Capitol Building, Dipolog City Tel. # (065) 212-6492 Telefax # (065) 212-6492                                                                 </t>
  </si>
  <si>
    <t xml:space="preserve"> QUANTITY	UNIT	ARTICLES				 300	pcs	Texscrew Metal 2"				 60	pcs	Metal Furring				 50	pcs	Wall Angle				 20	pcs	Carrying Channel				 4	boxes	Blind Rivets 5/32 x 1/2 and 1/8 x 1/2				 1	box	Blind Rivets 1/8 x 1				 10	pcs	Drill Bit 5/32 and 1/8				 20	pcs	M</t>
  </si>
  <si>
    <t xml:space="preserve"> Waterworks Materials to be used for raw materials for Organic Production</t>
  </si>
  <si>
    <t xml:space="preserve"> INVITATION TO BID FOR THE SUPPLY AND DELIVERY OF PLUMBING FIXTURE &amp; FITTING MATERIALS FOR THE  3rd and 4th Quarter Operation and Maintenance Requirement  @ PS 9 Compound, Sito Maag, Penaplata, Samal District IGaCoS under Purchase Order No. 2020 -03- 094 1</t>
  </si>
  <si>
    <t xml:space="preserve"> The MUNICIPALITY OF CALINTAAN, through the 20% Local Development Fund intends to apply the sum of Two Hundred Thousand Pesos Only (Php200,000.00) being the Approved Budget for the Contract (ABC) to payment  under the contract for the Improvement of Public</t>
  </si>
  <si>
    <t xml:space="preserve"> Please download and view the associated component PDF document for the complete details/specs of the item(s).</t>
  </si>
  <si>
    <t xml:space="preserve"> The Roxas City Government, through the GOP-2020 intends to apply the total amount of Nine Hundred Seventy-One Thousand One Hundred Nine Pesos (Php 971,109.00) being the Aggregate Approved Budget for the Contract (ABC) to payments under the contract for Pu</t>
  </si>
  <si>
    <t xml:space="preserve"> a.CONTRACT  ID : ANTIPOLO-01JULY2020-11 b. NAME OF PROJECT : Construction of Covered Pathwalk  and Repair/ Improvement of Sitio Hall at Brgy. San Jose, Antipolo City (2020 – Package 21) a. Construction of  Covered Pathwalk at Sen. L. Sumulong Circle (Besi</t>
  </si>
  <si>
    <t xml:space="preserve"> Improvement of Multi-Purpose Building - Guiamlong, Caramoran, Catanduanes Improvement of Multi-Purpose Building - Datag West, Caramoran, Catanduanes Extension of Multi-Purpose Building - Camburo, Caramoran, Catanduanes</t>
  </si>
  <si>
    <t xml:space="preserve"> Repair of embankment stoned masonry protection and re-construction of reinforced concrete slab.</t>
  </si>
  <si>
    <t xml:space="preserve"> I. Mobilization II. Drilling III. CSHP IV. Plumbing Works Labor</t>
  </si>
  <si>
    <t xml:space="preserve"> Description   Republic of the Philippines Province of Oriental Mindoro MUNICIPALITY OF NAUJAN BARANGAY ARANGIN BIDS AND AWARDS COMMITTEE INVITATION TO BID SUPPLY AND DELIVERY OF MATERIALS TO BE USED IN CONCRETING OF BARANGAY ROAD, SITIO 2, BARANGAY ARANGI</t>
  </si>
  <si>
    <t xml:space="preserve"> Contract ID No.	: 20K00349     Contract Name	: Const. of By-Pass and Diversion Road Jct. CDO Talakag Road/ Macapagal Drive-Upper Carmen-Patag-Jct. BCIR/ Kauswagan, Cagayan de Oro City     Contract Location	: Cagayan de Oro City     Scope of Work	: Const. </t>
  </si>
  <si>
    <t xml:space="preserve"> Feeds to be used for raw materials for Organic Production</t>
  </si>
  <si>
    <t xml:space="preserve"> Activity: 5 days BLOODLETTING ACTIVITY Schedule and Venue: June 24, 2020 - Bindoy RHU                                June 25, 2020 - Tinaogan BHS                                July 8, 2020    - Bindoy RHU                                July 9, 2020    - </t>
  </si>
  <si>
    <t xml:space="preserve"> Republic of the Philippines          City of Dumaguete Bids and Awards Committee INVITATION TO BID FOR PURCHASE REQUEST OF 45 CU.M CONCRETE PREMIX (3000 PSI @ 28 DAYS) CF: 9 BAGS/CU.M 	The City of Dumaguete thru its BIDS AND AWARDS COMMITTEE (BAC), invite</t>
  </si>
  <si>
    <t xml:space="preserve"> QUANTITY	UNIT	ARTICLES				 1	unit	Pressure Tank, 120 gal.				 1	unit	Shallow Water Pump 1.5hp				 1	pc	Pressure Switch				 1	pc	Pressure Gauge				 2	pcs	Teflon Tape				 2	units	Water Pump, 120 gal., 1.5hp, including accessories				 		*****END*****</t>
  </si>
  <si>
    <t xml:space="preserve"> Supply and Delivery of Technical and Scientific Equipment</t>
  </si>
  <si>
    <t xml:space="preserve"> a.CONTRACT  ID : ANTIPOLO-01JULY2020-13 b. NAME OF PROJECT : Construction of Foundation of Niches at City Public Cemetery No. 2, Sto. Niño St., Barangay San Jose, Antipolo  City c. LOCATION : Barangay San Jose, Antipolo  City d. BRIEF DESCRIPTION : Constr</t>
  </si>
  <si>
    <t xml:space="preserve"> Invitation to Bid for the   CONSTRUCTION OF DRAINAGE CANAL along Panes-Laud Street The MUNICIPALITY OF ISULAN, through the MDRRM Fund 2020  intends to apply the sum of ONE MILLION FOUR HUNDRED TWENTY THOUSAND SIX HUNDRED EIGHTY-SIX PESOS AND 77/100 ONLY (</t>
  </si>
  <si>
    <t xml:space="preserve"> Republic of the Philippines Province of Negros Occidental Municipality of Ilog Invitation to bid for sale  Amount 500 Purchase of materials for the construction of Drainage Canal, Purok Kapitan Andres-Mabini, Barangay I, Pob. Ilog, Neg. Occ</t>
  </si>
  <si>
    <t xml:space="preserve"> a.CONTRACT  ID : ANTIPOLO-01JULY2020-12 b. NAME OF PROJECT : Construction of Bleacher, Canopy and Perimeter Fence at Sierra Vista Subdivision, Brgy. Cupang, Antipolo City c. LOCATION : Brgy. Cupang, Antipolo City d. BRIEF DESCRIPTION : Construction of Ble</t>
  </si>
  <si>
    <t xml:space="preserve"> QUANTITY	UNIT	ARTICLES				 118	pcs	RSB 16mm				 100	pcs	RSB 12mm				 45	pcs	RSB 10mm				 1	roll	GI Wire				 110	bags	Cement				 10	cu.m	Sand				 15	cu.m	Gravel				 12	pcs	Plywood 1/2				 55	pcs	Good Lumber 2 x 3 x 10				 6	kgs	CWN #3				 5	kgs	CWN #2				 </t>
  </si>
  <si>
    <t xml:space="preserve"> QUANTITY	UNIT	ARTICLES				 10	gallons	Paint, Quick Dry Enamel				 10	gallons	Paint, Gloss Latex White				 10	gallons	Paint, Flat Latex White				 2	pcs	Paint Thinner				 4	pcs	Paint Roller Tray				 4	pcs	Paint Brush #4				 4	pcs	Paint Brush #3				 4	pcs	Pa</t>
  </si>
  <si>
    <t xml:space="preserve"> Construction of 200 sq. meters solar dryer, 10 meters x 20 meters with a thickness of 0.15 meters class "A" concrete mixture semi smoothed finished dryer.</t>
  </si>
  <si>
    <t xml:space="preserve"> Republic of the Philippines          City of Dumaguete Bids and Awards Committee INVITATION TO BID FOR THE PURCHASE OF 2,485 CU.M. LOOSE EARTH SOIL AND OTHER ITEMS 	The City of Dumaguete thru its BIDS AND AWARDS COMMITTEE (BAC), invites all interested man</t>
  </si>
  <si>
    <t xml:space="preserve"> QUANTITY	UNIT	ARTICLES				 25	tins	Paint, Latex Flat White Gloss				 23	tins	Paint, Latex Red Maroon				 23	tins	Paint, Latex Dark Green Gloss				 23	tins	Paint, QDE White Gloss				 21	tins	Paint, QDE Flat White Gloss				 22	tins	Paint, QDE Red Gloss				 </t>
  </si>
  <si>
    <t xml:space="preserve"> Republic of the Philippines Province of Davao del Norte BARANGAY VISAYAN VILLAGE, TAGUM CITY BIDS AND AWARDS COMMITTEE                                                                                                                                         </t>
  </si>
  <si>
    <t xml:space="preserve"> PROJECT REFERENCE NO. CWD 24-2020 INVITATION TO BID FOR  Outsourcing of Ten (10) Personnel  to Perform the Distribution of Water Bills  within the Service Areas of the District (Rebidding) Item No.	Item Description	Qty.	Unit	Total Amount 1	Outsourcing of </t>
  </si>
  <si>
    <t xml:space="preserve"> Contract ID No.	: 20K00350     Contract Name	: Const. of By-Pass and Diversion Roads Cagayan de Oro Diversion Road, (Jct. Balubal Sayre Highway-Pueblo de Oro, CDO-Old Airport Road Diversion Road (Pueblo de Oro/ Jct. CDO-Old Airport Road), Phase II, Packag</t>
  </si>
  <si>
    <t xml:space="preserve"> Republic of the Philippines BIDS AND AWARDS COMMITTEE 9017 Población, El Salvador City Misamis Oriental  Email: bac.elsalvadorcity@gmail.com INVITATION TO BID for the PROCUREMENT OF SUBMERSIBLE PUMP AND ACCESSORIES FOR CONSTRUCTION/REHAB OF WWS PROGRAMS F</t>
  </si>
  <si>
    <t xml:space="preserve"> Procurement of dehumidifier in order to reduce relative humidity and dew point inside the Cash Vault are.</t>
  </si>
  <si>
    <t xml:space="preserve"> Request for Quotation for the Procurement of Other Supplies to be used in the ILD Office of the Division Chief and Laboratories 1.	The Department of Agriculture-Regional Field Office 7 (DA-RFO 7), through the General Appropriations Act of CY 2020)  intend</t>
  </si>
  <si>
    <t xml:space="preserve"> QUANTITY	UNIT	ARTICLES				 27	tins	Paint, Latex Flat White Gloss				 25	tins	Paint, Latex Red Maroon				 25	tins	Paint, Latex Dark Green Gloss				 25	tins	Paint, QDE White Gloss				 23	tins	Paint, QDE Flat White Gloss				 24	tins	Paint, QDE Red Gloss				 </t>
  </si>
  <si>
    <t xml:space="preserve"> Specifications: Engine: F6A No. of Cylinders: 3 No. of CC: 660CC Tire Size: 12" Battery Size: NS40</t>
  </si>
  <si>
    <t xml:space="preserve"> Livestocks for communal garden</t>
  </si>
  <si>
    <t xml:space="preserve"> a.CONTRACT  ID : ANTIPOLO-01JULY2020-15 b. NAME OF PROJECT : Construction of Drainage System Phase IV at Maguey Road, Barangay San Luis, Antipolo City c. LOCATION : Barangay San Luis, Antipolo City d. BRIEF DESCRIPTION : Construction of Drainage System e.</t>
  </si>
  <si>
    <t xml:space="preserve"> a.CONTRACT  ID : ANTIPOLO-01JULY2020-14 b. NAME OF PROJECT : Construction of Drainage System Phase III at Maguey Road, Barangay San Isidro, Antipolo City c. LOCATION : Barangay San Isidro, Antipolo City d. BRIEF DESCRIPTION : Construction of Drainage Syst</t>
  </si>
  <si>
    <t xml:space="preserve"> Contract ID No.	: 20K00351     Contract Name	: Const. of By-Pass and Diversion Roads, Claveria-Balingoan By-Pass Road, (Kabangasan-Mapua Section), Misamis Oriental     Contract Location	: Misamis Oriental     Scope of Work	: Const. of Conc. Road     Appro</t>
  </si>
  <si>
    <t xml:space="preserve"> Freight &amp; Handling of various Documents</t>
  </si>
  <si>
    <t xml:space="preserve"> Republic of the Philippines Province of Negros Occidental  Municipality of Ilog Invitation to bid for sale Amount: Php 5,000 Purchase of Multi-Purpose Vehicle for the use of Ilog Rural Health Unit. Ilog, Negros Occidental MULTI-PURPOSE VEHICLE (Four Wheel</t>
  </si>
  <si>
    <t xml:space="preserve"> Rubber Gloves etc.  NOTE: To all suppliers bid documents and BAC Resolution 2020-029 are available at BAC Office and LGU website.</t>
  </si>
  <si>
    <t xml:space="preserve"> CENRO MOBO HONDA XR150L Motorcycle  - 2 UNIT Technical Specification: Engine Type: Single Cylender, 4-Stroke, Air-cooled OHC Displacement : 150cc Fuel Tank Size 12 Liters No. of Strokes 4- stroke Bore X stroke : 57.3 mm x 57.8 mm Kick and starter Start op</t>
  </si>
  <si>
    <t xml:space="preserve"> Specifications: Engine: 4D32 No. of Cylinders: 4 Tire Size: 7.00x16 Battery Size: 2 pcs. 2SM Load Capacity: 5 Cubic Meters (more or less)</t>
  </si>
  <si>
    <t xml:space="preserve"> QUANTITY	UNIT	ARTICLES				 8	units	Printer				 		          L3110 or its Equivalent				 		          All in One Printer (Print, Scan, Copy)				 		          400DPL Print 				 		          Color Ink System : Continuous Ink Support System				 		          Deskto</t>
  </si>
  <si>
    <t xml:space="preserve"> African Night Crawlers</t>
  </si>
  <si>
    <t xml:space="preserve"> QUANTITY	UNIT	ARTICLES				 2500	pcs	Student Handbook				 		          Size : 8.5" x 5.5"				 		          Cover : Colored, Glossy				 		          Inside Pages : Black Print, Plain Paper				 		*****END*****				 		(See attached sample)</t>
  </si>
  <si>
    <t xml:space="preserve"> Bid-Opening-June 30, 2020 at 2:00 p.m. at Municipal Conference Room</t>
  </si>
  <si>
    <t xml:space="preserve"> Republic of the Philippines Province of Bulacan -o0o- Municipality of Calumpit Barangay Iba O’este Invitation to bid for the Maintenance and Rehabilitation of CCTV Fiber Optic System  Iba O'este, Calumpit, Bulacan Barangay Iba O’este, through the General </t>
  </si>
  <si>
    <t xml:space="preserve"> Concreting of 161.4m x 5m x 0.15m Barangay Road</t>
  </si>
  <si>
    <t xml:space="preserve"> 1 1 Unit EC500 Chemiclave Chemical Sterilizer 120V 60Hz, 8 amps, 8" Chamber Dimension WxDxH, in (cm) 16.5 (42) x 23 (58.4) x 14 (35.6) Chamber Dimensions Dia. X D, in (cm) 8 (20.3) x 1.25 (33.7) watts 800, Operating Weight lbs(kg) 59 (26.8)</t>
  </si>
  <si>
    <t xml:space="preserve"> 1.	2     UNIT     OVEN 4 PLATE 2.	4     UNIT     LPG TANK W/ CONTENT 3.	4     UNIT     ELECTRIC MIXER 4.	2     UNIT     STAINLESS STEEL TABLES(Processing Area) 5.	2     UNIT     STAINLESS STEEL TABLES(Packaging Area) 6.	2     UNIT     IMPULSE SEALER(FS 30</t>
  </si>
  <si>
    <t xml:space="preserve"> Location				: Opol, Misamis Oriental	 Total Approved Budget for the  Contract (ABC)	: Nine Hundred Ninety Nine Thousand Nine Hundred Ninety Eight Pesos and 80/100 Only (Php 999,998.80) Delivery Period				: 30 Calendar Days</t>
  </si>
  <si>
    <t xml:space="preserve"> a.CONTRACT  ID : ANTIPOLO-01JULY2020-16 b. NAME OF PROJECT : Repair/ Repainting of Various School Buildings at Brgy. Sta. Cruz, Antipolo City (2020 – Package 22) a. Repair/ Repainting of Two (2) Storey, Four (4) Rooms PLED School Building 3 at Antipolo Na</t>
  </si>
  <si>
    <t xml:space="preserve"> Purchase of 165 pails paint and 1,000 sacks cement.</t>
  </si>
  <si>
    <t xml:space="preserve"> QUANTITY	UNIT	ARTICLES				 20	pcs	KD 2 x 4 x 12				 30	pcs	KD 2 x 3 x 12				 30	pcs	KD 2 x 2 x 12				 60	pcs	Liston Wood 1/2 x 2 x 12				 100	pcs	PVC Clamp, Orange, 1/2				 1	liter	Vulcaseal				 20	pcs	LED Bulb 15W				 2	pcs	PVC O - Tee 3 x 2				 9	kilos	</t>
  </si>
  <si>
    <t xml:space="preserve"> Republic of the Philippines Province of Negros Occidental  Municipality of Ilog Invitation to bid for sale Amount Php 1000 Purchase of materials for the construction of drainage canal, Barangay Dancalan, Ilog, neg. Occ.</t>
  </si>
  <si>
    <t xml:space="preserve"> Battery for Isuzu Crosswind, model 2013              1 unit                 6,200</t>
  </si>
  <si>
    <t xml:space="preserve"> NOTICE OF PROCUREMENT OF GOODS THROUGH ALTERNATIVE METHOD OF PROCUREMENT Notice is given that the Department of Public Works and Highways, Guimaras Engineering District, San Miguel, Jordan, Guimaras, through its Bids and Awards Committee (BAC), will procu</t>
  </si>
  <si>
    <t xml:space="preserve"> QUANTITY	UNIT	ARTICLES				 1	unit	Multi - Purpose Vehicle				 		          4 Cylinders, SOHC 16V				 		          1590cc (1.6L) - displacement				 		          91HP @ 5750 rpm - max output				 		          127Nm @ 4500rpm max. torque				 		          5 speed m</t>
  </si>
  <si>
    <t xml:space="preserve"> To control the dust level and maintain the cleanliness of air in the cash vault. These will be placed at cages 1,2 and 4 of the cash vault.</t>
  </si>
  <si>
    <t xml:space="preserve"> Republic of the Philippines Province of Bulacan -o0o- Municipality of Calumpit Barangay Iba O’este Invitation to bid for the Maintenance and Rehabilitation of Public Address System in Iba O'este, Calumpit, Bulacan Barangay Iba O’este, through the General </t>
  </si>
  <si>
    <t xml:space="preserve"> The Roxas City Government, through the GOP-2020 intends to apply the Aggregate amount of Two Hundred Thirty Four Thousand One Hundred Sixty Pesos (PhP 234,160.00) being the Aggregate Approved Budget for the Contract (ABC) to payments under the contract fo</t>
  </si>
  <si>
    <t xml:space="preserve"> 1,000 liters Gasoline Premium</t>
  </si>
  <si>
    <t xml:space="preserve"> a.CONTRACT  ID : ANTIPOLO-01JULY2020-17 b. NAME OF PROJECT : Repair/ Repainting of Two (2) Storey, Six (6) Rooms Pled School Building 4 at Antipolo National High School, Brgy. Sta. Cruz, Antipolo City c. LOCATION : Brgy. Sta. Cruz, Antipolo City d. BRIEF </t>
  </si>
  <si>
    <t xml:space="preserve"> QUANTITY	UNIT	ARTICLES				 1	pc	Plug-in C/B 100amp				 4	pcs	Plug-in C/B 60amp				 2	pcs	Plug-in C/B 20amp				 30	meters	THHN #10				 50	meters	THHN 3.5 (12)				 30	meters	THHN #14				 4	pcs	Switch, Single WD511				 2	pcs	Plate Cover				 2	pcs	J-Box with </t>
  </si>
  <si>
    <t xml:space="preserve"> Concreting of 2.00m, 0.20m thk Barangay Road.</t>
  </si>
  <si>
    <t xml:space="preserve"> 3,000 liters Gasoline, Regular</t>
  </si>
  <si>
    <t xml:space="preserve"> QUANTITY	UNIT	ARTICLES				 10	sets	Double Deck Bed with Foam				 		Double Deck Bed Size : 30 x 30 x 75 				 		Foam Size : 2 x 30 x 75				 		(See attached sample)				 1	unit	Massage Bed, Portable (Foldable)				 		(See attached sample)				 1	unit	Sewing Mac</t>
  </si>
  <si>
    <t xml:space="preserve"> a.CONTRACT  ID : ANTIPOLO-01JULY2020-18 b. NAME OF PROJECT : Repair/ Improvement of Two (2) Storey Six(6) Classrooms Sumulong Building at San Juan National High School, Brgy. San Juan, Antipolo City c. LOCATION : Brgy. San Juan, Antipolo City d. BRIEF DES</t>
  </si>
  <si>
    <t xml:space="preserve"> Republic of the Philippines Province of Negros Occidental Municipality of Ilog Invitation to bid for sale Amount:Php 1000</t>
  </si>
  <si>
    <t xml:space="preserve"> Invitation to Bid for the Supply and Delivery of various Medicine for the use of Brgy. San Antonio Isla Verde, Batangas City</t>
  </si>
  <si>
    <t xml:space="preserve"> Purchase of 20 units seafood stall.</t>
  </si>
  <si>
    <t xml:space="preserve"> INVITATION TO BID 	 The Department of Public Works and Highways-Cebu 4th District Engineering Office, through its Bids and Awards Committee (BAC), invites contractors to submit bids for the Contract: 1.	Contract ID 		:	20HG0174 Contract Name           :  </t>
  </si>
  <si>
    <t xml:space="preserve"> Republic of the Philippines Province of Negros Occidental Municipality of Ilog Invitation to bid for sale Amount:Php500  Purchase of materials for the concrete pavement BRgy. Balicotoc, Ilog, Neg. Occ.</t>
  </si>
  <si>
    <t xml:space="preserve"> 30	pcs	Square bar, 10mm 6	pcs	G.I. Pipe (S-40), 2" x 20' 5	kgs	Welding Rod 6	liters	Epoxy Primer 6	liters	Epoxy Reducer 1	pc	Cut-off Blade 2	liters	Metal Primer 2	pcs	Paint Brush, 2" 12	pcs	PVC Wire Moulding, 1" 2	pcs	PVC Pipe Orange, 1/2" 7	pcs	Junction </t>
  </si>
  <si>
    <t xml:space="preserve"> Subgrade Preparation, Aggregate Sub-base Course, PCCP Concrete Class ‘A’, Reinforcing Steel Bar, Forms and Scaffoldings Excavation for Structure</t>
  </si>
  <si>
    <t xml:space="preserve"> a.CONTRACT  ID : ANTIPOLO-01JULY2020-20 b. NAME OF PROJECT : Dismantling / Transfer / Erection of Elevated Steel Tank from San Juan Water Service Multi - Purpose Cooperative (SJWSMC), Sitio Buntong Palay, Brgy. San Juan to Kaysakat National High School, B</t>
  </si>
  <si>
    <t xml:space="preserve"> Concreting of 320 meters length; 5 meters in width; 0.20 meters in thickness with one (1) line 910 mm dia. RCPC class "A" concrete mixtures.</t>
  </si>
  <si>
    <t xml:space="preserve"> Republic of the Philippines          City of Dumaguete Bids and Awards Committee INVITATION TO BID FOR PURCHASE REQUEST OF 10 LGTHS DEFORMED STEEL BAR (16MMØ X 6.0M) AND OTHER ITEMS 	The City of Dumaguete thru its BIDS AND AWARDS COMMITTEE (BAC), invites </t>
  </si>
  <si>
    <t xml:space="preserve"> Invitation to Bid for the Supply and Delivery of Handheld Radio for the use of Brgy. Mahabang Dahilig, Batangas City</t>
  </si>
  <si>
    <t xml:space="preserve"> a.CONTRACT  ID : ANTIPOLO-01JULY2020-19 b. NAME OF PROJECT : Construction of Material Recovery Facility (MRF) at Brgy. Calawis, Antipolo City c. LOCATION : Brgy. Calawis, Antipolo City d. BRIEF DESCRIPTION : Construction of Material Recovery Facility (MRF</t>
  </si>
  <si>
    <t xml:space="preserve"> The Bids and Awards Committee (BAC) of the BARANGAY BURABOD Castilla, Sorsogon invites qualified contractor’s to bid for the project: The Procurement process of the afore-mentioned projects will be conducted by this Bids and Awards Committee (BAC) in acco</t>
  </si>
  <si>
    <t xml:space="preserve"> QUANTITY	UNIT	ARTICLES				 30	boxes	Co-Amoxiclav 625mg tab, 100's				 20	boxes	Cefuroxime 500mg tab, 100's				 15	boxes	Cifrofloxacin 500mg caps, 100's				 5	boxes	Clindamycin 300mg tab, 100's				 5	boxes	Clarithromycin 500mg, 100's				 15	boxes	Cefixime </t>
  </si>
  <si>
    <t xml:space="preserve"> Sub grade Preparation, Aggregate Sub-base Course</t>
  </si>
  <si>
    <t xml:space="preserve"> Republic of the Philippines  Province of Negros Occidental Municipality of Ilog Invitation to bid for sale Amount:Php 1000 Purchase of materials for the road concreting, Purok Santan, BRgy. Vista Alegre, Ilog, Neg. Occ.</t>
  </si>
  <si>
    <t xml:space="preserve"> 10,000 liters Automotive Diesel</t>
  </si>
  <si>
    <t xml:space="preserve"> 1.	     459     bags     40kg. Portland Cement 2.	     13       cu.m.    Washed Sand (338 sacks) 3.	      9        cu.m.     Washed Gravel (234 sacks) 4.	     2,745  pcs.        4”CHB 5.	     123     pcs.        10mmØ x 6m RSB 6.	     36       pcs.       </t>
  </si>
  <si>
    <t xml:space="preserve"> 2,000 liters Kerosene</t>
  </si>
  <si>
    <t xml:space="preserve"> REQUEST FOR QUOTATION 	The Caraga State University-Cabadbaran Campus, through its Bids and Awards Committee (BAC), will undertake a Negotiated Procurement (Small Value Procurement) for the project: PROVISION OF THE CONTRACT FOR TARPAULIN PRINTING SERVICES</t>
  </si>
  <si>
    <t xml:space="preserve"> For: HI1-2203, Ford Fiera  1 pc. Tires (6.40 x 13; 8PR Miler Type) w/ Tube For: H2-228, Servicing Machine Battery 12V; 13P (3SM Type) For: H3-6120, Dump Truck Tires (10 x 20; 18PR Lug Type) w/ Tube &amp; Flap For: H3-6482, Dump Truck Tire Rim 20”, Heavy Duty </t>
  </si>
  <si>
    <t xml:space="preserve"> INVITATION TO BID 	 The Department of Public Works and Highways-Cebu 4th District Engineering Office, through its Bids and Awards Committee (BAC), invites contractors to submit bids for the Contract: 1.	Contract ID 		:	20HG0175 Contract Name           :  </t>
  </si>
  <si>
    <t xml:space="preserve"> Please quote your lowest price on the items listed below, subject to the General Conditions, stating the shortest time of delivery and submit your quotation duly signed by your representative.			 			 Instructions:			 a)  Official copy of the Request for Q</t>
  </si>
  <si>
    <t xml:space="preserve"> 20CSHN08 -Appraisal Services for Road-Right-of-Way Acquisition – Road Widening - Secondary Roads - Terminal Bldg. Access Road - Chainage 000 - Chainage 1295, Lapu-Lapu City  Scope of Work		:	Appraisal Services</t>
  </si>
  <si>
    <t xml:space="preserve"> (Section I) Republic of the Philippines Department of Health CENTER FOR HEALTH DEVELOPMENT MIMAROPA Q.M.M.C. Compound, Project 4, Quezon City INVITATION TO BID  RE – BIDDING FOR THE COMPLETION OF ROXAS RURAL HEALTH UNIT (TB DOTS AND BIRTHING FACILITY) &amp; S</t>
  </si>
  <si>
    <t xml:space="preserve"> Republic of the Philippines PROVINCE OF NORTHERN SAMAR BIDS AND AWARDS COMMITTEE Catarman Purchase of 6 units Multicab and 3 Units Prisoner’s Van Province of Northern Samar NS-06-11-20 1.	The Provincial Government of Northern Samar, through the SP Ordinan</t>
  </si>
  <si>
    <t xml:space="preserve"> a.CONTRACT  ID : ANTIPOLO-01JULY2020-21 b. NAME OF PROJECT : Improvement of Drainage Canal at Dela Paz St. (Portion), Brgy. Dela Paz, Antipolo City c. LOCATION : Brgy. Dela Paz, Antipolo City d. BRIEF DESCRIPTION : Improvement of Drainage Canal e. MAJOR I</t>
  </si>
  <si>
    <t xml:space="preserve"> Republic of the Philippines Province of South Cotabato BIDS AND AWARDS COMMITTEE City of Koronadal  INF-ITB 20-029 INVITATION TO BID  1.	The Provincial Government of South Cotabato, through the PEO-8751 20% LDF (8.5.1) intends to apply the sum of         </t>
  </si>
  <si>
    <t xml:space="preserve"> 1 set coring machine PEO</t>
  </si>
  <si>
    <t xml:space="preserve"> Concreting of 200 meters length and 370 meters concrete pathway, 2 meters in width, 0.15 meter in thickness "class A".</t>
  </si>
  <si>
    <t xml:space="preserve"> CONSTRUCTION PROJECT</t>
  </si>
  <si>
    <t xml:space="preserve"> Procurement of additional units to meet the demands during simultaneous pre-loading of withdrawal transactions and verification sessions, and in regular verification activity where cancelled notes are transported to the vault.</t>
  </si>
  <si>
    <t xml:space="preserve"> REQUEST FOR QUOTATION										 										 RFQ No.		NP 53.6			Date				19-Dec-19	 PR Reference		100-19-12-042.1			Implementing Office				CMO	 Closing Date and Time					27-Dec-19					 Designated Places of Submission (Bid Box Designated Locations)					1. BAC</t>
  </si>
  <si>
    <t xml:space="preserve"> Electrical System &amp; Lighting Components</t>
  </si>
  <si>
    <t xml:space="preserve"> Title:Procurement of 3 unit Computer Desktop,etc. under P.R.No. 2173-2020-5% City Disaster Risk Reduction and Management Fund(Continuing). Total ABC: Php 2,100,000.00 For representative/s of interested bidders who wish to attend the Pre-Bidding Conference</t>
  </si>
  <si>
    <t xml:space="preserve"> Concreting of 160 meters length; 5 meters in width; 0.20 meters in thickness class "A" concrete mixtures.</t>
  </si>
  <si>
    <t xml:space="preserve"> REQUEST FOR QUOTATION 				 							Date:        June 1, 2020 							RFQ No.    DGPD20-003 							PR NO.      PD2003-12-084     To All Eligible Suppliers  Please quote your lowest price inclusive of VAT on the item/s listed below, subject to the Terms and C</t>
  </si>
  <si>
    <t xml:space="preserve"> Construction of 22m River Control</t>
  </si>
  <si>
    <t xml:space="preserve"> Brgy. Calbani Maripipi Biliran Vertical Project</t>
  </si>
  <si>
    <t xml:space="preserve"> ITEM #	QUANTITY			ITEM &amp; DESCRIPTION					 									 1	1	pc		RSC Pipe 2"					 2	1	pc		Entrance Cap 2"					 3	6	pcs		C-Clamp, Metal Clamp 2"					 4	2	pcs		PVC Pipe 1 1/2					 5	3	pcs		PVC Short Elbow 1 1/2					 6	1	pc		NEMA 3R Enclosure for 150 AT CB Bolt-o</t>
  </si>
  <si>
    <t xml:space="preserve"> Philippine Flag for Independence Day Celebration</t>
  </si>
  <si>
    <t xml:space="preserve"> ITEM #	QUANTITY			ITEM &amp; DESCRIPTION					 									 1	213	bags		Cement					 2	21	cu.m		Gravel					 3	17	cu.m		Sand					 4	468	pcs		CHB #4					 5	90	pcs		RSB 12mm					 6	45	pcs		RSB 10mm					 7	15	kgs		GI Wire #16					 8	90	pcs		CCL 2x3x12					 9	30	kgs		C</t>
  </si>
  <si>
    <t xml:space="preserve"> Republic of the Philippines Province of Iloilo Municipality of Ajuy BIDS AND AWARD COMMITTEE INVITATION TO APPLY FOR ELIGIBILITY AND TO BID 	The Local Government of Ajuy, Iloilo invites Accredited Supplier to apply for eligibility and to bid for the Purch</t>
  </si>
  <si>
    <t xml:space="preserve"> REQUEST FOR QUOTATION 	The Caraga State University-Cabadbaran Campus, through its Bids and Awards Committee (BAC), will undertake a Negotiated Procurement (Small Value Procurement) for the project: PROVISION OF THE CONTRACT FOR GASOLINE AND DIESEL SUPPLY </t>
  </si>
  <si>
    <t xml:space="preserve"> Republic of the Philippines Province of South Cotabato BIDS AND AWARDS COMMITTEE City of Koronadal  INF-ITB 20-030 INVITATION TO BID  1.	The Provincial Government of South Cotabato, through the 1011-PGO Staff-P/P 1-07-04-990-8.D.1-M/BDP-Brgy Facilities, C</t>
  </si>
  <si>
    <t xml:space="preserve"> Invitation to Bid for the Supply and Delivery of CCTV Camera for the use of Brgy. Poblacion 14, Batangas City</t>
  </si>
  <si>
    <t xml:space="preserve"> Concreting of 130 meters length; 2 meters in width; 0.15 meters in thickness class "A" concrete mixtures.</t>
  </si>
  <si>
    <t xml:space="preserve"> 1 unit	Vacuum Machine (Stand Type 485 Mml Brwn)	 	        ABC: Php 72,000.00/unit		 			 			 1 unit	Chiller/Freezer 4 Door, 1 Comp (Stand Up)	 	        ABC: Php 120,000.00/unit		 			 			 1 unit	Milling Machine: Capacity: 30-60kg/hr 	        ABC: Php 64,000</t>
  </si>
  <si>
    <t xml:space="preserve"> SPCL-I  -  Project Billboard    32.00   sq.ft. I -           Breaking of Existing Pavement   740.00    sq.m. II -          Embankment/Backfilling and Compaction   149.00  cu.m. III -         P.C.C.P. @ 0.127m thick   192 sq.m. Invitation to Bid  EMBANKMEN</t>
  </si>
  <si>
    <t xml:space="preserve"> 20CSHN09 -Appraisal Services for Road-Right-of-Way Acquisition – Road Widening - Secondary Roads - Consolacion-Tayud-Liloan  Road - Chainage 1920 - Chainage 2823, Consolacion, Cebu Scope of Work		:	Appraisal Services</t>
  </si>
  <si>
    <t xml:space="preserve"> Concreting of 250 meters length; 3.6 meters in width; 0.15 meters in thickness class "A" concrete mixtures.</t>
  </si>
  <si>
    <t xml:space="preserve"> ITEM #	QUANTITY			ITEM &amp; DESCRIPTION					 									 1	1	unit		Filing Cabinet, Lateral, 2-Drawer, Gray					 2	3	units		Filing Cabinet, Lateral, 3-Drawer, Gray					 3	2	units		Filing Cabinet, Lateral, 4-Drawer, Gray					 4	1	unit		Tall Cabinet, Glass Window</t>
  </si>
  <si>
    <t xml:space="preserve"> Republic of the Philippines City of Cadiz OFFICE OF THE CITY MAYOR DESIGN AND BUILD COMMITTEE CONCEPTUAL DESIGN Project Title	:  	Installation of Automatic Fire Sprinkler System (with Automatic Fire Detection, Automatic Fire Alarm, Water Tank, Pump House </t>
  </si>
  <si>
    <t xml:space="preserve"> Republic of the Philippines Province of Masbate MUNICIPALITY OF CATAINGAN BARANGAY CHIMENEA   			                                                                                               June 11, 2020 INVITATION TO APPLY FOR ELIGIBILITY AND TO BID Th</t>
  </si>
  <si>
    <t xml:space="preserve"> Concreting of 210 meters length; 5 meters in width; 0.15 meters in thickness class "A" concrete mixtures.</t>
  </si>
  <si>
    <t xml:space="preserve"> Invitation to Bid for the Supply and Delivery of various Equipment for the use of Brgy. Poblacion 14, Batangas City</t>
  </si>
  <si>
    <t xml:space="preserve"> rapid testing kit supplies</t>
  </si>
  <si>
    <t xml:space="preserve"> Republic of the Philippines Province of Masbate MUNICIPALITY OF CATAINGAN BARANGAY DIVISORIA   			                                                                                              JUNE  11, 2020 INVITATION TO APPLY FOR ELIGIBILITY AND TO BID T</t>
  </si>
  <si>
    <t xml:space="preserve"> ITEM #	QUANTITY			ITEM &amp; DESCRIPTION					 									 1	100	packs		Battery, "AA", 2's					 2	100	packs		Battery, "AAA", 2's					 3	30	boxes		Correction Tape, 10 meters, 12's					 4	50	boxes		Sign Pen, Black, 0.5, 12's, Good Quality					 5	20	boxes		Marker, </t>
  </si>
  <si>
    <t xml:space="preserve"> Republic of the Philippines Province of Albay Municipality of Rapu-Rapu Barangay Dap-Dap INVITATION TO BID FOR THE CONSTRUCTION OF FOOTBRIDGE – PUROK 1 1.	The Barangay Local Government Unit of Dap-Dap, Rapu-Rapu, Albay, through the Budget for the Contract</t>
  </si>
  <si>
    <t xml:space="preserve"> To provide meals and snacks during the conduct of 10th World Bank Implementation Support Mission</t>
  </si>
  <si>
    <t xml:space="preserve"> ROTARY COMPOSTER MACHINE</t>
  </si>
  <si>
    <t xml:space="preserve"> Procurement of transparent office desk to comply with existing bank rules prescribing transparent office desk for the head of the Currency Operations Division</t>
  </si>
  <si>
    <t xml:space="preserve"> Rehabilitation of Multi-Purpose Hall (phase 2), located at Barangay Mallorga, Talalora, Samar The Barangay Victory Of Talalora, Samar through its Bids and Awards Committee (BAC), invites interested bidders to apply for eligibility and to bid for the hereu</t>
  </si>
  <si>
    <t xml:space="preserve"> Republic of the Philippines CITY OF LAPU-LAPU BIDS AND AWARDS COMMITTEE Invitation to Bid FOR THE PROCUREMENT of 10 UNITS ALL-IN-ONE PERSONAL COMPUTER The City of Lapu-Lapu through the CAPITAL OUTLAY FUND 3324-1-07-05-030-20s1  intends to apply the sum of</t>
  </si>
  <si>
    <t xml:space="preserve"> Republic of the Philippines DEPARTMENT OF PUBLIC WORKS AND HIGHWAYS PANGASINAN 1ST DISTRICT ENGINEERING OFFICE REGIONAL OFFICE I Alaminos City, Pangasinan Name of Procuring Entity :  DPWH 1ST Pangasinan Engineering District	Request for Quotation No. :	RFQ</t>
  </si>
  <si>
    <t xml:space="preserve"> ITEM I. Structure Excavation ITEM II. Forms and Falseworks ITEM III. Grouted Riprap ITEM IV. Reinforcing Steel ITEM V. Concrete Works</t>
  </si>
  <si>
    <t xml:space="preserve"> Fabrication and Installation of 70 LM GI Pipe Guardrails</t>
  </si>
  <si>
    <t xml:space="preserve"> Concreting of 0.44 lm. @ Sitio Cagbalod Road San Jose, Pilar</t>
  </si>
  <si>
    <t xml:space="preserve"> The works includes: construction of 40.0 In.m. concrete canal and plastering of   230In.m. existing canal. It also includes installation and replacement of 24”dia.   RCPC with grouted riprap headwalls, complete as per approved plans &amp; POW,</t>
  </si>
  <si>
    <t xml:space="preserve"> Procurement of coin counting machine in order to improve the efficiency of the COD in counting and sorting coins.</t>
  </si>
  <si>
    <t xml:space="preserve"> LOCAL GOVERNMENT UNIT OF NAGUILIAN , ISABELA INVITATION TO BID FOR the SUPPLY AND DELIVERY OF CONSTRUCTION MATERIALS OF VARIOUS INFRA-PROJECTS:      1. Repainting of Curb at Center Island at Barangay Quezon/Roxas, Naguilian, Isabela      2. Repainting of </t>
  </si>
  <si>
    <t xml:space="preserve"> June 11, 2020 INVITATION TO BID The Barangay Lam-an of Ozamiz City, through its Bids and Awards Committee (BAC), invites suppliers/contractors to apply for eligibility and to bid for the hereunder projects: Item No.	1 Name of Project/Description &amp; Locatio</t>
  </si>
  <si>
    <t xml:space="preserve"> This project entails purchase of medical supplies for use of frontliners during Covid-19 emergency response implementation of LGU-Magallanes, Sorsogon.</t>
  </si>
  <si>
    <t xml:space="preserve"> Section I. Invitation to Bid Republic of the Philippines Province of Misamis Oriental  Municipality of Salay INVITATION TO BID FOR Procurement of RICE  1.	The Local Government Unit of Salay, through the Provincial  fund 2020]  intends to apply the sum of </t>
  </si>
  <si>
    <t xml:space="preserve"> construction of 5.50m x 7.50m stage</t>
  </si>
  <si>
    <t xml:space="preserve"> Republic of the Philippines Cordillera Administrative Region Province of Kalinga Municipality of Rizal BIDS AND AWARDS COMMITTEE INVITATION TO BID The Local Government Unit of Rizal, through its Bids and Awards Committee , invites contractors to submit bi</t>
  </si>
  <si>
    <t xml:space="preserve"> Brgy. Trabugan Maripipi, Biliran Vertical project</t>
  </si>
  <si>
    <t xml:space="preserve"> l.	The MUNICIPALITY OF GUINAYANGAN, QUEZON, through  the  2020 MOOE    intends to apply the sum of  One Hundred Eighty Nine Thousand Eighty Pesos  (P 189,080.00) being the Approved Budget for the Contract (ABC) to payments under the contract for Supply an</t>
  </si>
  <si>
    <t xml:space="preserve"> Republic of the Philippines												 Province of South Cotabato												 BIDS AND AWARDS COMMITTEE												 Capitol Compound Alunan Avenue, Koronadal City												 Tel. No. (083)228-9951												 												 REQUEST FOR QUOTATION										</t>
  </si>
  <si>
    <t xml:space="preserve"> Retrofitting of Mauhang Bridge</t>
  </si>
  <si>
    <t xml:space="preserve"> ITEM #	QUANTITY			ITEM &amp; DESCRIPTION					 									 1	20	bottles		Toilet Bowl Cleaner 500ml					 2	20	packs		Detergent Powder, 1000 grams					 3	50	bottles		Dishwashing Liquid 250ml					 4	30	canisters		Disinfectant Spray, 340 grams					 5	20	packs		Garba</t>
  </si>
  <si>
    <t xml:space="preserve"> Republic of the Philippines Province of Ilocos Sur Vigan City INVITATION TO BID FOR  Tobacco Farmers/Cooperatives' Farm Mechanization and Post-Harvest Facility Assistance Project 1.	The Provincial Government of Ilocos Sur, through the CY 2020 Appropriatio</t>
  </si>
  <si>
    <t xml:space="preserve"> 500 Heads FREE RANGE CHICKEN LAYER TYPE</t>
  </si>
  <si>
    <t xml:space="preserve"> Republic of the Philippines PROVINCE OF AGUSAN DEL SUR Bids and Awards Committee Gov. Democrito O. Plaza Government Center, Prosperidad Invitation to Bid for Concreting of NRJ (Rosario) Poblacion-Novele-Sta. Cruz Circumferential Road 1.	The Provincial Gov</t>
  </si>
  <si>
    <t xml:space="preserve"> Location : Legazpi City, Albay Scope of Work : Concreting of 0.189 Km PCCP with 175.68 l.m. Lined Canal Please be reminded that upon dropping of bids, the contractor’s authorized representative must present any but not limited to the following documents: </t>
  </si>
  <si>
    <t xml:space="preserve"> Republic of the Philippines PROVINCE OF AGUSAN DEL SUR Bids and Awards Committee Gov. Democrito O. Plaza Government Center, Prosperidad Invitation to Bid for Concreting of NRJ (Bayugan City) Sta. Teresita-Mt. Carmel-Osmeña Circumferential Road 1.	The Prov</t>
  </si>
  <si>
    <t xml:space="preserve"> LOCAL GOVERNMENT UNIT OF NAGUILIAN , ISABELA INVITATION TO BID FOR the SUPPLY AND DELIVERY OF CONSTRUCTION MATERIALS FOR THE CONCRETING OF ROADWAY IN-FRONT OF COMMERCIAL STALLS ALONG PROVINCIAL ROAD AT BARANGAY ROXAS, NAGUILIAN, ISABELA       1.	The Local</t>
  </si>
  <si>
    <t xml:space="preserve"> To purchase educational supplies &amp; materials for barangay Oranbo, Pasig City</t>
  </si>
  <si>
    <t xml:space="preserve"> Office supplies, Other office supplies and semi-expandable supplies</t>
  </si>
  <si>
    <t xml:space="preserve"> ITEM I. Demolition of Damage Gutter ITEM II. Structure Excavation ITEM III. Forms and Falseworks ITEM IV. Grouted Riprap ITEM V. Reinforcing Steel ITEM VI. Concrete Works</t>
  </si>
  <si>
    <t xml:space="preserve"> Republic of the Philippines PROVINCE OF AGUSAN DEL SUR Bids and Awards Committee Gov. Democrito O. Plaza Government Center, Prosperidad Invitation to Bid for Concreting of NRJ (Sibagat) San Vicente-Esperanza Road 1.	The Provincial Government of Agusan del</t>
  </si>
  <si>
    <t xml:space="preserve"> Republic of the Philippines PROVINCE OF AGUSAN DEL SUR Bids and Awards Committee Gov. Democrito O. Plaza Government Center, Prosperidad Invitation to Bid for Construction of Outpatient Department Building for Non-COVID-19 Patients 1.	The Provincial Govern</t>
  </si>
  <si>
    <t xml:space="preserve"> Republic of the Philippines Province of Camarines Norte Municipality of Talisay Office of the Bids and Awards Committee (BAC)                                                                                                                        INVITATION</t>
  </si>
  <si>
    <t xml:space="preserve"> Construction of Poblacion Drainage System (Magsaysay Street) Poblacion, Libungan, Cotabato</t>
  </si>
  <si>
    <t xml:space="preserve"> INVITATION TO BID (CW-06-2020-018) The Department of Public Works and Highways (DPWH)-Batangas IV District Engineering Office, Marawoy, Lipa City, Batangas, through its Bids and Awards Committee (BAC), invites contractors to bid for the contract listed be</t>
  </si>
  <si>
    <t xml:space="preserve"> Construction of Dike with a total length of 79.00 l.m. dimension are 0.60 x 1.00 m. Rubble concrete class "B" thickness was 0.40m. Footing dimension 0.70 x 1.00m.</t>
  </si>
  <si>
    <t xml:space="preserve"> Reconstruction/Upgrading of 1.191 km./2.382 lane km. of road along Salvador H. Escudero III Diversion Road; and Construction of 0.289 km./0.52 lane kilometer road</t>
  </si>
  <si>
    <t xml:space="preserve"> Republic of the Philippines Province of Davao De Oro  Municipality of Monkayo Barangay Banlag OFFICE OF THE BAC CHAIRMAN =O0O= INVITATION TO  BID   FOR: PROCUREMENT OF HARDWARE MATERIALS OF THE PROJECT  REHABILITATION                           	OF  WATER </t>
  </si>
  <si>
    <t xml:space="preserve"> Republic of the Philippines Province of Lanao del Norte Municipality of Tubod OFFICE OF THE BIDS AND AWARDS COMMITTEE INVITATION TO BID CONSTRUCTION AND INSTALLATION OF MUNICIPAL SOLAR STREET LIGHTING Poblacion, Tubod, Lanao del Norte  (ITB-2020-JDL-004) </t>
  </si>
  <si>
    <t xml:space="preserve"> QUANTITY	UNIT	ARTICLES				 1	unit	Passenger Van				 		          1GD - FTV				 		          2.8 Diesel A/T				 		          4 cylinders, in-line type 16V DOHC with VNT and Intercooler				 		          176ps / 3400rpm - max output				 		          450 Nm / 1600</t>
  </si>
  <si>
    <t xml:space="preserve"> QUANTITY	UNIT	ARTICLES				 33	units	Knapsack Sprayer, Semi Stainless, 16 ltrs capacity				 7	sets	Hand Tractor (Corbilla Type), Heavy Duty,  9HP Motor Diesel Engine				 		          Including :				 		          Cage Wheel and Plow, Belt, Pulley, Gear Oil an</t>
  </si>
  <si>
    <t xml:space="preserve"> Republic of the Philippines BIDS AND AWARDS COMMITTEE Cadiz City      BID DOCUMENTS for the COMPLETION OF SEA WALL @ BRGY. PROPER, BRGY. CADIZ VIEJO, CADIZ CITY (1) BIDS AND AWARDS COMMITTEE  Cadiz City   INVITATION TO BID/REQUEST FOR EXPRESSION OF INTERE</t>
  </si>
  <si>
    <t xml:space="preserve"> Supply and Delivery of Construction Materials</t>
  </si>
  <si>
    <t xml:space="preserve"> QUANTITY	UNIT	ARTICLES				 		Desktop Computer				 25	units	System Unit :				 		          Proccessor : i5 - 9400F Coffee Lake Refresh				 		          Motherboard : H310M Pro - M2 Plus				 		          RAM : 8GB				 		          HDD : 1 TB				 		          SSD</t>
  </si>
  <si>
    <t xml:space="preserve"> Republic of the Philippines PROVINCE OF AGUSAN DEL SUR Bids and Awards Committee Gov. Democrito O. Plaza Government Center, Prosperidad Invitation to Bid for Rehabilitation/Improvement of EMCH Building Phase II for Non-COVID-19 Patients 1.	The Provincial </t>
  </si>
  <si>
    <t xml:space="preserve"> Republic of the Philippines PROVINCE OF AGUSAN DEL SUR Bids and Awards Committee Gov. Democrito O. Plaza Government Center, Prosperidad Invitation to Bid for Improvement of All Nurses Station 1.	The Provincial Government of Agusan del Sur through the Gene</t>
  </si>
  <si>
    <t xml:space="preserve"> QUANTITY	UNIT	ARTICLES				 2	units	Dump Truck				 		Engine : N04C-UV, diesel, 4 cycle, vertical 4 cylinder, Euro 4,				 		              electronic control common rail type				 		No. of Wheels : 6				 		GVW : 8,500kg				 		Load Capacity : 7.0 cu.m				 		Tr</t>
  </si>
  <si>
    <t xml:space="preserve"> June 10, 2020 	 INVITATION TO BID Reference No. 7039188 / Solicitation No. 2020/06/052 	The City Government of Tagum invites interested Bidders/Suppliers to submit for eligibility and to bid for the following: 9 UNITS LAPTOP COMPUTER  	 								153,000.00</t>
  </si>
  <si>
    <t xml:space="preserve"> A.	OVERVIEW The Philippine Health Insurance Corporation is issuing this Terms of Reference (T.O.R) expressly providing for the technical requirements relative to the conduct of NEGOTIATED BIDDING FOR THE LEASE OF OFFICE SPACE FOR PHILHEALTH REGIONAL OFFIC</t>
  </si>
  <si>
    <t xml:space="preserve"> QUANTITY	UNIT	ARTICLES				 0.324	sq.meter	Wall Partition D60 (Aluminum &amp; Glass, 0.27 x 1.2m)				 1.068	sq.meter	Wall Partition D60 (Aluminum &amp; Glass, 0.89 x 1.2m)				 1.08	sq.meter	Wall Partition D60 (Aluminum &amp; Glass, 0.90 x 1.2m)				 1.224	sq.meter	Wall</t>
  </si>
  <si>
    <t xml:space="preserve"> IMPROVEMENT OF WATER SYSTEM 1.   The Barangay Council of Libertad, Nabas, Aklan through its local budget approved by the Sanggunian, intends to apply the sum of One Hundred Ten Thousand Pesos and 00/100 only (P 110,000.00), being the Approved Budget for t</t>
  </si>
  <si>
    <t xml:space="preserve"> CONSTRUCTION OF PERIMETER FENCE AT SAN NICOLAS ELEMENTARY SCHOOL</t>
  </si>
  <si>
    <t xml:space="preserve"> Civil works that include concrete work</t>
  </si>
  <si>
    <t xml:space="preserve"> INSTALLATION OF ELECTRICAL LINES</t>
  </si>
  <si>
    <t xml:space="preserve"> QUANTITY	UNIT	ARTICLES				 100	sacks	Commercial Rice				 25	boxes	Corned Beef, 155 grams, 48's				 200	pcs	Toothbrush				 200	pcs	Toothpaste, Sachet				 25	boxes	Bottled Water, 500ml, 24's				 		*****END*****</t>
  </si>
  <si>
    <t xml:space="preserve"> Title:Procurement of 1 Pakyaw Remote Sensing Services for Groundwater Availability Exploration(GEO-Resistivity Survey) under 0700-2020-OCA-Support to Quality Corn Development(Trust Fund). Total ABC: Php 100,000.00 (INSTRUCTION AS TO THE REQUIRED FORM: For</t>
  </si>
  <si>
    <t xml:space="preserve"> QUANTITY	UNIT	ARTICLES				 		For CGSO Backhoe Loader (Sinomach 630 A)				 1	set	Planetary Gear Assy.				 		*****END*****</t>
  </si>
  <si>
    <t xml:space="preserve"> QUANTITY	UNIT	ARTICLES				 4	pcs	Coco Post 4 x 4 x 8				 8	pcs	Coco Lumber 2 x 3 x 10				 40	pcs	Bamboo Sena, Whole				 2	kilos	CN# 3				 2	kilos	CN# 2				 50	rolls	Nylon Cord #90				 4	rolls	Net Nylon, Double, 1" x 6"				 2	units	Submersible Pump, 15 wat</t>
  </si>
  <si>
    <t xml:space="preserve"> Item I-A - General Requirements (Mob./Demob.)  1.00  lot Item I-B - General Requirements (Proj. Signboard &amp; BM)  2.88  sq.m. Item II-A - Earthworks @ Site (Excavation/Backfilling)  19.44  cu.m. Item II-B - Earthworks @ Site (Filling Materials @ G-Floor)  </t>
  </si>
  <si>
    <t xml:space="preserve"> CONSTRUCTION OF DRAINAGE CANAL AT BARANGAY SAN AGUSTIN, SAN SIMON, PAMPANGA</t>
  </si>
  <si>
    <t xml:space="preserve"> 2 units Gang Chair (5 Seaters) 1 unit Executive Table 1 unit Junior Executive Chair 4 units Computer Table</t>
  </si>
  <si>
    <t xml:space="preserve"> FOR THE USE OF STA. CRUZ HIGH INTEGRATED SR HS Surgical Mask Washable facemask N95/KN95 Mask Thermal Gun Tissue Paper Face Shield Medical Gloves Cleaning Bleach Disinfectant Spray Alcohol Detergent Powder Detergent Bar PAPER, Multi-Purpose (COPY) Legal, 8</t>
  </si>
  <si>
    <t xml:space="preserve"> QUANTITY	UNIT	ARTICLES				 25	boxes	Coffee, Sachet 3-in-1				 100	boxes	Ziplock Plastic Bag				 1000	pcs	Pail with Cover, Plastic, 5L				 1000	pcs	Whistle, Plastic				 200	pcs	Laundry Bar Soap				 30	packs	Toilet Paper, 2 Ply				 50	boxes	Alcohol, 75ml, 2</t>
  </si>
  <si>
    <t xml:space="preserve"> QUANTITY	UNIT	ARTICLES				 2	per/meter	Venetian Blinds (39mm x 98.5mm)				 3	per/meter	Venetian Blinds (38.25mm x 98mm)				 1	per/meter	Venetian Blinds (87mm x 52mm)				 2	per/meter	Venetian Blinds (71.5mm x 52mm)				 1	per/meter	Venetian Blinds (87mm x 5</t>
  </si>
  <si>
    <t xml:space="preserve"> Kindly see and download attachments</t>
  </si>
  <si>
    <t xml:space="preserve"> FOR THE USE OF STA. CRUZ HIGH INTEGRATED JUNIOR HS Surgical Mask (Disposable) Washable facemask N95/KN95 Mask Thermal Gun Tissue Paper Face Shield Medical Gloves Cleaning Bleach Disinfectant Spray Alcohol Detergent Powder Detergent Bar PAPER, Multi-Purpos</t>
  </si>
  <si>
    <t xml:space="preserve"> The Roxas City Government, through the GOP-2020 intends to apply the  amount of Ninety-nine Thousand Nine Hundred Ninety-two Pesos (PhP 99,992.00) being the Approved Budget for the Contract (ABC) to payments under the contract for Public Bidding for the S</t>
  </si>
  <si>
    <t xml:space="preserve"> QUANTITY	UNIT	ARTICLES				 100	packs	Spoon, Disposable, 20's				 100	packs	Fork, Disposable, 20's				 100	packs	Sando Bag, Plastic, Large, 100's				 100	bundles	Sando Bag, Plastic, Medium, 100's				 100	packs	Cup, Disposable, 50's				 100	packs	Cup, Paper</t>
  </si>
  <si>
    <t xml:space="preserve"> Republic of the Philippines												 City of San Carlos												 Negros Occidental												 												 			INVITATION TO BID							FOR SALE	 			PURCHASE REQUEST NO: 9-20-05-0601			P 1,800.00	 Sealed bids for quotation of prices will be received </t>
  </si>
  <si>
    <t xml:space="preserve"> 30 watts Solar Streetlights, w/ built-in lithium battery 15' fabricated and pre-painted G.I. pipe pole #3 1'x 1' x 1m Base</t>
  </si>
  <si>
    <t xml:space="preserve"> 1	SPECS:						1	unit 	Elf Double Cab Cargo Type							 	Engine: 4jb1							 	Fuel: Diesel							 	Seating Capacity: 5 persons							 	Tire size: Front: 15" rear: 13"							 	Battery: 6sm							 	Color: White							 	Inclusion:							 	1. With One (1) Spar</t>
  </si>
  <si>
    <t xml:space="preserve"> QUANTITY	UNIT	ARTICLES				 		ALTERNATIVE LEARNING SYSTEM (ALS)				 1830	pieces	Binder Notebook				 1830	pieces	Back Pack Bag, Customized (See attached design)				 1830	pieces	Pen, Red				 1830	pieces	Pen, Black				 1830	pads	Intermediate Pad Paper				 		*</t>
  </si>
  <si>
    <t xml:space="preserve"> Republic of the Philippines Province of Pangasinan Bids and Awards Committee Municipality of Calasiao INVITATION TO BID  PURCHASE AND INSTALLATION OF 2 UNITS WALL MOUNTED AND 1 UNIT FLOOR MOUNTED AIR CONDITIONED AND ACCESSORIES, CALASIAO, PANGASINAN 1.	Th</t>
  </si>
  <si>
    <t xml:space="preserve"> Improvement of Barangay Road to include:1.Roadway Preparation :2.Concrete Pavement</t>
  </si>
  <si>
    <t xml:space="preserve"> Republic of the Philippines PROVINCE OF SIQUIJOR Capitol, Bldg., Pulangyuta, Siquijor, Siquijor INVITATION TO BID FOR Supply and Delivery of 2 units Mechanical Ventilator, Digital 1.	The Province of Siquijor, through the IPHO Medical Equipment Non-Office </t>
  </si>
  <si>
    <t xml:space="preserve"> INVITATION TO BID FOR THE FURNISHING OF LABOR AND MATERIALS FOR THE CONSTRUCTION OF WATER SYSTEMOF BARANGAY 8 POBLACION, TIGBAUAN, ILOILO</t>
  </si>
  <si>
    <t xml:space="preserve"> CONSTRUCTION OF PERIMETER FENCE AT SAN MIGUEL ELEMENTARY SCHOOL</t>
  </si>
  <si>
    <t xml:space="preserve"> Pls. quote the items listed below: 1. Engine Oil - 20 pails 2. ATF Oil  -  14 pails 3. Brake Fluid  -  60 ltrs. 4. SAE 40  -  4 gals. 5. Hydraulic Oil # 10  -  4 ltrs. 6. Gear Oil # 90  -  2 pails 7. Coolant  -  10 ltrs. 8. ATF Fluid  -  10 ltrs. 9. Oil F</t>
  </si>
  <si>
    <t xml:space="preserve"> *Please see attached Purchase Request All particulars relative to the procurement process and contract implementation shall be governed by the pertinent provision of R.A 9184 and its Revised Implementing Rules and Regulations. Quotation Forms are now avai</t>
  </si>
  <si>
    <t xml:space="preserve"> 1       10 BOX STERILE STRIPS 2       10 PC INTRA OCCULAR LENS IOL 16.50 3       10 PC IOL POWER 18.50 4       10 PC IOL POWER 17.50 5       10 PC IOL POWER 19.50 6       10 PC IOL POWER 20.50 7       10 PC IOL POWER 21.50 8       5 PC IOL POWER 23 9     </t>
  </si>
  <si>
    <t xml:space="preserve"> QUANTITY	UNIT	ARTICLES				 300	packs	BREAKFAST :				 		          Egg with Hotdog and Rice				 		          Skinless Longganisa and Rice				 		          Dried Fish with Tomato and Rice				 		          Egg with Tuyo and Rice				 		          Tocino with Rice	</t>
  </si>
  <si>
    <t xml:space="preserve"> Meals Day 1 100 pax Sinigang na baboy, chopsuey &amp; rice AM Snacks 100 pax Cheese burger &amp; 80z Coke PM Snacks 100 pax Puto Pao &amp; juice Meals Day 2 100 pax Beef Steak, pinakbet &amp; rice AM Snacks 100 pax Macaroni salad &amp; 80z coke PM Snacks 100 pax Malagkit &amp; M</t>
  </si>
  <si>
    <t xml:space="preserve"> Invitation to Bid for  INFRA 2K20-39 CONSTRUCTION OF DAGUM-MATALANG ROAD Lakewood, Zamboanga del Sur June 10, 2020 1.	The Provincial Government of Zamboanga del Sur, through the Capital Outlay CY 2020 intends to apply the sum of Nineteen Million Five Hund</t>
  </si>
  <si>
    <t xml:space="preserve"> 1     4 sets Branded Desktop Computer Includes: - Printer: L5190 with 1 set extra ink - Core i5 3.2 GHz 8th Gen or latest - Memory: 8GB DDR4 RAM, 1TB Hard Drive - Video Card: GT730 2GB - 22.5" Wide LED Monitor - Keyboard and Mouse - Windows10 Pro 64bit, A</t>
  </si>
  <si>
    <t xml:space="preserve"> 1 3 BOX/S CLIP - PAPER-VINYL COATED ( BIG ) 2 15 PC/S CORRECTION TAPE - W/ CASE 3 36 PC/S BALLPEN - ORDINARY, BLACK 4 2 BTL/S GLUE - 130G 5 2 ROLL/S TAPE - TRANSPARENT 24MM (1") WIDTH USABLE LENGHT OF 50M 6 1 BOX/S FASTENER - PAPER, PLASTIC, 50 SETS/BOX 7</t>
  </si>
  <si>
    <t xml:space="preserve"> FOR SALE	 Lot 	Amount 1	P 150.00 2	P 300.00 3	P 300.00 4	P 150.00 5	P 150.00 6	P 150.00 7	P 150.00 8	P 150.00 9	P 1,500.00 Republic of the Philippines												 City of San Carlos												 Negros Occidental												 												 			INVITATION TO B</t>
  </si>
  <si>
    <t xml:space="preserve"> 303	cases	Powdered Milk 700kg x 12 125	bags.	Biscuit Cracker 24g x 15 3622	kls.	Brown Sugar (1/2 kl)</t>
  </si>
  <si>
    <t xml:space="preserve"> REQUEST FOR QUOTATION 						 Procurement of Goods - SUPPLY AND DELIVERY OF MATERIALS FOR FABRICATION OF COFFINS						 						 The Davao Prison and Penal Farm, through its Bids and Awards Committee (BAC) intends to  apply						 the sum of TWO HUNDRED SIXTY-</t>
  </si>
  <si>
    <t xml:space="preserve"> Desilting of River with a total length of 601 l.m. total area of river to be dessilted 9,854.19m &amp; total volume of 4,622.06 cu.m. height of cmt 0.48m.</t>
  </si>
  <si>
    <t xml:space="preserve"> Equipment.</t>
  </si>
  <si>
    <t xml:space="preserve"> 5040 pcs Rimo Blend 6840 pcs Rimo Curls</t>
  </si>
  <si>
    <t xml:space="preserve"> REQUEST FOR QUOTATION 					 Procurement of Goods - SUPPLY AND DELIVERY OF 4 UNITS HEAVY DUTY GRASS CUTTER					 					 The Davao Prison and Penal Farm, through its Bids and Awards Committee (BAC) intends to  apply					 the sum of SIXTY THOUSAND  PESOS ONLY </t>
  </si>
  <si>
    <t xml:space="preserve"> WIFI Internet Connection installed @ the Training &amp; Production Center</t>
  </si>
  <si>
    <t xml:space="preserve"> Education-PAULINO R. REOMERO		 1	20	pcs	1/4" Marine Plywood 4' x 8', class AAA	 2	1	pcs	3/4"thk Marine plywood 4' x 8'	 3	1	pcs	 Clear glass 5mm thk x 1m x 1.5m	 4	3	pairs	Loose pin hinges, 3 x 4, stanley	 5	6	gal	Premium Wood Primer	 6	7	gal	Premium wate</t>
  </si>
  <si>
    <t xml:space="preserve"> Republic of the Philippines   Province of Sarangani  Municipality of Alabel    Invitation to Bid for the Completion of Meat Processing Project 1.The Municipality of Alabel, through the Annual Budget for CY 2019[ In the case of National Government Agencies</t>
  </si>
  <si>
    <t xml:space="preserve"> Reconstruction of box culvert from double barrel to singke barrel box culvert. Construction of slope protection with total length of 40 l.m.</t>
  </si>
  <si>
    <t xml:space="preserve"> IMPROVEMENT OF ROAD AT THE BOUNDARY OF PUROK 21 AND PUROK 22, BAGUIO CITY</t>
  </si>
  <si>
    <t xml:space="preserve"> QUANTITY	UNIT	ARTICLES				 		GRADE 3				 5220	pieces	Back Pack Bag, Customized (See attached design)				 5220	pads	Pad Paper (Grade 3)				 20880	pieces	Writing Notebook 				 5220	pieces	Pen, Red				 5220	pieces	Pen, Black				 		***END***</t>
  </si>
  <si>
    <t xml:space="preserve"> QUANTITY	UNIT	ARTICLES				 		GRADE 4				 5640	pieces	Back Pack Bag, Customized (See attached design)				 5640	pads	Pad Paper (Grade 4)				 22560	pieces	Composition Notebook 				 5640	pieces	Pen, Red				 5640	pieces	Pen, Black				 		***END***</t>
  </si>
  <si>
    <t xml:space="preserve"> The Municipality of Limay, through its Bids and Awards Committee (BAC) invites registered contractors to apply for eligibility and if found eligible, to bid for the hereunder project/contract: Project/Contract:     CONSTRUCTION OF GUARD HOUSE AND REPLACEM</t>
  </si>
  <si>
    <t xml:space="preserve"> Construction of concrete revetment with a total length of 80 l.m. footing of 1.00 x 2.63, rubble thickness of 0.30m &amp; headwall of 0.50 x 0.60 m.</t>
  </si>
  <si>
    <t xml:space="preserve"> 1 4 pcs. 2" x 3" x 12' Lawaan Lumber or Approved Equivalent 2 4 pcs. 2" x 2" x 8' Lawaan Lumber or Approved Equivalent 3 4 pcs. 1" x 2" x 8' Lawaan Lumber or Approved Equivalent 4 250 pcs. 2" x 2" x 10' Coco Lumber 5 170 pcs. 2" x 3" x 10' Coco Lumber 6 9</t>
  </si>
  <si>
    <t xml:space="preserve"> QUANTITY	UNIT	ARTICLES				 		GRADE 5				 6130	pieces	Back Pack Bag, Customized (See attached design)				 6130	pads	Intermediate Pad Paper				 24520	pieces	Composition Notebook 				 6130	pieces	Pen, Red				 6130	pieces	Pen, Black				 		***END***</t>
  </si>
  <si>
    <t xml:space="preserve"> For more information pls contact: ENGR. RAQUEL R. ESTRADA Municipal Engineer LGU Mabini, Pangasinan 09569900851</t>
  </si>
  <si>
    <t xml:space="preserve"> please download the ITB and its other supporting documents in the associated component</t>
  </si>
  <si>
    <t xml:space="preserve"> The Roxas City Government, through the GOP-2020 intends to apply the total amount of One Hundred Seventy-Two Thousand Pesos (PhP 172,000.00) being the Approved Budget for the Contract (ABC) to payments under the contract for Public Bidding for the Supply </t>
  </si>
  <si>
    <t xml:space="preserve"> 1000 pcs Medals -with layout -fiber glass (back to back) 400 pcs Certificate Holder -4A</t>
  </si>
  <si>
    <t xml:space="preserve"> REPUBLIC OF THE PHILIPPINES  DEPARTMENT OF SOCIAL WELFARE AND DEVELOPMENT MIMAROPA REGION 1680 F. T Benitez cor Malvar Sts. Malate, Manila INVITATION TO BID FOR SUPPLY AND DELIVERY OF FOOD ITEMS (NUTRIPACKS) FOR THE IMPLEMENTATION OF SUPPLEMENTARY FEEDING</t>
  </si>
  <si>
    <t xml:space="preserve"> Hiring of Consultancy Services (1 Chauffer ) - 6 months</t>
  </si>
  <si>
    <t xml:space="preserve"> CONSTRUCTION OF 4 UNITS COLUMNS WITH FOOTING COMPLETE ROOF FRAMING AND ROOFING SYSTEM INIDICATED IN THE PLAN WITH FASCIA BOARD.</t>
  </si>
  <si>
    <t xml:space="preserve"> REQUEST FOR QUOTATION											 											 RFQ No.		SVP 20-0693				Date				10/06/2020	 PR Reference		100-20-05-028				Implementing Office				CENRO	 Closing Date and Time						June 18, 2020 @ 5:00 P.M					 Designated Places of Submission (Bid Box Designa</t>
  </si>
  <si>
    <t xml:space="preserve"> Project consist of clearing &amp; grubbing with an area of 2,468.13 m2. Creek excavation volume of 1,914 m3. It includes the hauling and proper disposal of excavated materials. Construction safety and health during the work.</t>
  </si>
  <si>
    <t xml:space="preserve"> QUANTITY	UNIT	ARTICLES				 		GRADE 6				 6150	pieces	Back Pack Bag, Customized (See attached design)				 6150	pads	Intermediate Pad Paper				 24600	pieces	Composition Notebook 				 6150	pieces	Pen, Red				 6150	pieces	Pen, Black				 		***END***</t>
  </si>
  <si>
    <t xml:space="preserve"> ONE (1) UNIT 3 TONER FLOOR MOUNTED INVERTER AIR CONDITION WITH ACCESSORIES INCLUDING POWER SUPPLY AND INSTALLATION.</t>
  </si>
  <si>
    <t xml:space="preserve"> ITEM: 150 bags Cement Portland ( for staggered delivery) PURPOSE: "FOR LEAKAGE CONTROL DIVISION. CHARGE TO CAPEX 203-09 TRANSMISSION &amp; DISTRIBUTION MAINS,  B.) MAINLINE LEAKAGE REPAIR"		 ABC: PHP 50,457.00 DELIVERY SCHEDULE: 10  CALENDAR DAYS</t>
  </si>
  <si>
    <t xml:space="preserve"> QUANTITY	UNIT	ARTICLES				 		JUNIOR / SENIOR HIGH SCHOOL				 14200	pcs	Binder Notebook				 		*****END*****</t>
  </si>
  <si>
    <t xml:space="preserve"> 1	40	kg	1" CW Nails				 2	140	kg	2" CW Nails				 3	175	kg	3" CW Nails				 4	200	kg	4" CW Nails				 5	80	kg	2.5" Umbrella Nails				 6	215	shts	4mm x 1.2m x 2.4m Ordinary Plywood				 7	68	pcs	50mm Heavy Duty Padlock				 8	68	pcs	Heavy Duty Hasplock Big				 </t>
  </si>
  <si>
    <t xml:space="preserve"> Improvement of Hanging Bridge to include :1. Installation of Steel Plate &amp; Painting</t>
  </si>
  <si>
    <t xml:space="preserve"> QUANTITY	UNIT	ARTICLES				 		KINDER				 5600	pieces	Back Pack Bag, Customized (See attached design)				 5600	pieces	Pencil, Jumbo, Black				 5600	packs	Crayons, So Big				 5600	pads	Pad Paper (Grade 1)				 		***END***</t>
  </si>
  <si>
    <t xml:space="preserve"> Procurement of Office Supplies</t>
  </si>
  <si>
    <t xml:space="preserve"> A.	OVERVIEW The Philippine Health Insurance Corporation is providing  this Terms of Reference (T.O.R) explicitly stipulating the space and technical requirements relative to the conduct of NEGOTIATED BIDDING FOR THE LEASE OF OFFICE SPACE FOR PHILHEALTH RE</t>
  </si>
  <si>
    <t xml:space="preserve"> Interested bidders are requested to be pre-qualified to bid fr the supply of materials to be delivered onsite.</t>
  </si>
  <si>
    <t xml:space="preserve"> The Roxas City Government, through the GOP-2020 intends to apply the total amount of Six Million Eight Hundred Seventy Five Thousand Pesos (PhP 6,875,000.00) being the Approved Budget for the Contract (ABC) to payments under the contract for Public Biddin</t>
  </si>
  <si>
    <t xml:space="preserve"> 1	LOT	Supply, delivery and installation of equipment, instruments and software for the research project entitled “Improving Productivity of Philippine Carabao Mango through Introduction of Smart Farming Technologies in Plant Water Relation Manipulation”		</t>
  </si>
  <si>
    <t xml:space="preserve"> unit	1	Steel Portable/ Movable Smoke House, Vertical Offset Charcoal Smoker, 50.2'' H x 43.3'' W x 21'' D Cooking Area :1890 square inches Cooking Area Width 22.5'' Cooking Area Depth 14''	 unit	1	"Electric Food Meat Slicer 10""inch MEAT SLICER Semi-Autom</t>
  </si>
  <si>
    <t xml:space="preserve"> •	Handheld Radio    -    23 Units         Frequency Range – VHF:136-173.995MHz         Memory Channel – 128 Channels         Working Voltage – DC7.4V (Li-ion Battery)         Antenna Impedance - 50Ω    •	Megaphone     -      1 Pc.         50w, 3.5mm AUX  </t>
  </si>
  <si>
    <t xml:space="preserve"> The Municipality of San Quintin Abra now invites bids for the CONSTRUCTION OF FARM TO MARKET ROAD AT ZONE II; ITEM DESCRIPTION UNIT QUANTITY 100(1) CLEARING &amp; GRUBBING with STRIPPING sq.m. 650.00 102(2)a. ROADWAY EXCAVATION (SURPLUS COMMON) cu.m. 320.00 1</t>
  </si>
  <si>
    <t xml:space="preserve"> Contract ID No. :	20CSPH02 Project:	Geotechnical Investigation for Slope Protection Projects along Various Road Sections and Construction of Bridge in Mountain Province for FY 2021 Location:	Various Road Section in Mountain Province Objectives:	Geotechnic</t>
  </si>
  <si>
    <t xml:space="preserve"> Accommodation (2 days) 2 Guest Meals Day 1 165 pax Rice, fish, meat, vegetable, soft drinks Snack AM 165 pax Pancake, juice in can Snacks PM 165 pax Bakery bread, juice in can Meals Day 2 165 pax Rice, Meat, vegetable, juice Snacks AM 165 pax Salad, fruit</t>
  </si>
  <si>
    <t xml:space="preserve"> - VARIOUS ROADS OF PINGKIAN 3 - APO STREET (MARCOS COMPOUND) - CELEBRITY VILLE STREETS - LEMAVILLE STREET - VIRGINIA STREET</t>
  </si>
  <si>
    <t xml:space="preserve"> QUANTITY	UNIT	ARTICLES				 		JUNIOR / SENIOR HIGH SCHOOL				 15000	pieces	Back Pack Bag, Customized (See attached design)				 14200	pieces	Pen, Red				 14200	pieces	Pen, Black				 		***END***</t>
  </si>
  <si>
    <t xml:space="preserve"> Republic of the Philippines Province of Abra MUNICIPALITY OF LUBA Invitation to Bid for  PROCUREMENT OF COMMON-USED OFFICE SUPPLIES Contract Number: 2020-21 1.	The MUNICIPALITY OF LUBA, through the GENERAL FUND intends to apply the sum of Php. 750,000.00 </t>
  </si>
  <si>
    <t xml:space="preserve"> 1.	The OFFICE OF CIVIL DEFENSE, through the OCD Quick Response Fund 2019 – Capital Outlay (Continuing Appropriation), intends to apply the sum of Twenty Three Million, One Hundred Seventy Four Thousand, Thirty Three and 92/100 Pesos (PHP23,174,033.92), be</t>
  </si>
  <si>
    <t xml:space="preserve"> REQUEST FOR QUOTATION 						 Procurement of Goods - SUPPLY AND DELIVERY OF DPPF AGRO-INDUSTRY VARIOUS FARM INPUTS FOR THE 3RD AND 4TH QUARTER OF 2020						 						 The Davao Prison and Penal Farm, through its Bids and Awards Committee (BAC) intends to  app</t>
  </si>
  <si>
    <t xml:space="preserve"> QUANTITY	UNIT	ARTICLES				 		GRADE 1				 6500	pieces	Back Pack Bag, Customized (See attached design)				 6500	pads	Pad Paper (Grade 1)				 6500	pieces	Pencil #2				 6500	packs	Crayons, Single				 26000	pieces	Writing Notebook				 		***END***</t>
  </si>
  <si>
    <t xml:space="preserve"> 1 10 PC/S CLEAR BOOK - LONG-40 SHEETS 2 2 ROLL/S DOUBLE SIDED TAPE - #2 3 15 PC/S FOLDER - LONG-PLASTIC THICK PINK 4 10 PC/S PEN - SIGN PEN BLACK-NO.0.3 5 10 PC/S PEN - SIGN PEN BLACK-0.4 6 4 PC/S MAGAZINE RACK - FOLDABLE BLUE-115mmx270mmx325mm</t>
  </si>
  <si>
    <t xml:space="preserve"> I.	INTRODUCTION: The Philippine Health Insurance Corporation (PHIC), a Government Owned and Controlled Corporation, formed by virtue of Republic No. 7875, also known as the National Health Insurance Act of 1995, an act instituting a National Health Insura</t>
  </si>
  <si>
    <t xml:space="preserve"> QUANTITY	UNIT	ARTICLES				 		GRADE 2				 6350	pieces	Back Pack Bag, Customized (See attached design)				 6350	pads	Pad Paper (Grade 2)				 6350	pieces	Pencil #2				 6350	packs	Crayons, Single				 25400	pieces	Writing Notebook				 		***END***</t>
  </si>
  <si>
    <t xml:space="preserve"> The Roxas City Government, through the GOP-2020 intends to apply the total amount of One Hundred Seventy Thousand One Hundred Fifty Pesos (Php 170,150.00) being the Aggregate Approved Budget for the Contract (ABC) to payments under the contract for Public</t>
  </si>
  <si>
    <t xml:space="preserve"> Invitation to Bid for INFRA 2K20-41 REHAB. &amp; IMPROVEMENT OF ZAMBO. DEL SUR PROVINCIAL COLLEGE June 10, 2020 1.	The Provincial Government of Zamboanga del Sur, through the Supplemental Budget No. 1 CY 2020 and Capital Outlay CY 2020 intends to apply the su</t>
  </si>
  <si>
    <t xml:space="preserve"> INVITATION TO BID FOR THE FURNISHING OF LABOR AND MATERIALS FOR THE CONSTRUCTION/REHABILITATION OF LOCAL ROAD OF BARANGAY BAGUINGIN, TIGBAUAN, ILOILO</t>
  </si>
  <si>
    <t xml:space="preserve"> 2,970bags -	Cement					 255 	m³	-	Riversand					 340 	m³	-	Gravel					 			****Nothing Follows****</t>
  </si>
  <si>
    <t xml:space="preserve"> 1. The Municipality of San Quintin, Abra now invites bids for the Purchase and installation of Solar Power System with a technical SPEC: • Model Type :SOLAR 5000TLM • Rating :5Kw • Topology : Transformerless  • Number of Independent MPPT : 2 • Maximum Inp</t>
  </si>
  <si>
    <t xml:space="preserve"> 1 set 50" TV w/ cable</t>
  </si>
  <si>
    <t xml:space="preserve"> 85	sets	-	HLS-250-L-100 100W W/ Cree Chips					 		        Led Streetlight Fixture 5000K CCT with Photocell,					 		        Socket, Link Part and L-Type Aluminum Bracket					 			****Nothing Follows****</t>
  </si>
  <si>
    <t xml:space="preserve"> Procurement of Food Supplies</t>
  </si>
  <si>
    <t xml:space="preserve"> Republic of the Philippines PROVINCE OF BATANGAS Municipality of Lian OFFICE OF BIDS AND AWARDS COMMITTEE INVITATION TO BID 	The Municipal Government of Lian, Batangas through its Bids and Awards Committee (BAC) now calls for the submission of Letters of </t>
  </si>
  <si>
    <t xml:space="preserve"> CID No. 20IC0076:  Const. of Rain Water Collection System (RWCS) at Twenty Two (22) Various School Locations in Alangalang, Babatngon, San Miguel, Sta. Fe, Tanauan, Tolosa and Palo, Leyte;  ABC: P4,378,687.50; 90 CD ACTIVITY	TIME	PLACE 1.  Issuance/Downlo</t>
  </si>
  <si>
    <t xml:space="preserve"> The Roxas City Government, through the GOP-2020 intends to apply the total amount of Seventy Thousand Pesos (PhP 70,000.00) being the Approved Budget for the Contract (ABC) to payments under the contract for Public Bidding for the Supply and Delivery of D</t>
  </si>
  <si>
    <t xml:space="preserve"> QTY UNIT DESCRIPTION 1	Unit	Laptop				 		Specification				 		- OS :  Windows 10				 		- Processor : i76700HQ Turbo				 		- 4GB GDDR5				 		- Memory RAM : 8-16 GB				 		- Storage : 1 TB 2.5 inch 5400 RPN				 		- Display : 14 - 15.6 inch HD				 		- Optical </t>
  </si>
  <si>
    <t xml:space="preserve"> FUEL STORAGE TANK CALIBRATION 35KL Scope of works: 1. Carry out calibration work in accordance with API Manual of Petroleum Management 2. Measurement of cylindrical tanks by means of dry strapping method or any latest      acceptable method or technology </t>
  </si>
  <si>
    <t xml:space="preserve"> Republic of the Philippines Municipality of Kalayaan Province of Palawan BIDS and AWARDS COMMITTEE PUBLIC BIDDING HIRING OF MOTOR LAUNCH INTENDED FOR MOBILIZATION OF CONSTRUCTION MATERIALS FOR CONSTRUCTION OF WOMEN’S CRISIS UNIT (TRANSIENT HOUSE) PHASE II</t>
  </si>
  <si>
    <t xml:space="preserve"> Repair/Maintenance of Bridge Revetment</t>
  </si>
  <si>
    <t xml:space="preserve"> Lot 1	1	unit	ABC=708,400.00 			"Stereomicroscopic with camera system:                  A. Stereoscope 			     - Zoom Ratio: 7.5:1 			     - Zoom Range: 0.67x - 5x 			     - Magnification: 13.4x - 100x 			     - Eyepiece: 20x, Field no. 12.5 			     - Eyep</t>
  </si>
  <si>
    <t xml:space="preserve"> MAINTENANCE OF BRAKE RUNNER PLATE OF GENERATING UNIT</t>
  </si>
  <si>
    <t xml:space="preserve"> Submit price quotation not later than June 15, 2020 at BAC Secretariate Office Imbatug, Baungon, Bukidnon</t>
  </si>
  <si>
    <t xml:space="preserve"> The Municipality of Limay, through its Bids and Awards Committee (BAC) invites registered contractors to apply for eligibility and if found eligible, to bid for the hereunder project/contract: Project/Contract:    CONSTRUCTION OF SECOND FLOOR OF EXISTING </t>
  </si>
  <si>
    <t xml:space="preserve"> Republic of the Philippines Municipality of Kalayaan Province of Palawan BIDS and AWARDS COMMITTEE PUBLIC BIDDING SUPPLY AND DELIVERY OF FOOD SUPPLIES AND MATERIALS FOR 2ND QUARTER FOOD SUBSIDY 1.	The Municipality of Kalayaan, through the SPSM Fund  inten</t>
  </si>
  <si>
    <t xml:space="preserve"> Supply and Delivery of 10 units of Stanchion with Retractable Belt Barrier for SSS Lipa Branch Please refer to the attached canvass and technical specifications. Please submit your quotation together with Mayor's Permit, PhilGEPS Registration Number, BIR </t>
  </si>
  <si>
    <t xml:space="preserve"> 1 set Injection pump, CAM plate assy. 5 pcs Rubber cup, brake, wheel cylinder 2 pcs Rubber cup, secondary cylinder clutch 1 pc Timing belt, 4D56, set 1 pc IC, 12V, alternator</t>
  </si>
  <si>
    <t xml:space="preserve"> DESIGN AND PRINTING OF MARKETING TOOLS (BROCHURE/ TABLE AND WALL CALENDAR/ PAPER BAGS/BUSINESS CARDS)</t>
  </si>
  <si>
    <t xml:space="preserve"> The Local Government Unit-Municipality of Malinao, Aklan through the Bids and Awards Committee, intends to apply the sum of Ninety Eight Thousand  Pesos and 00/100 (Php98,000.00) as the Approved Budget for the Contract (ABC) to payments under the contract</t>
  </si>
  <si>
    <t xml:space="preserve"> Female 250-300 kls.</t>
  </si>
  <si>
    <t xml:space="preserve"> Republic of the Philippines DEPARTMENTOF SOCIAL WELFARE AND DEVELOPMENT Regional  Office No. 10, Masterson Avenue, Upper Carmen, Cagayan de Oro City INVITATION TO BID FOR REBIDDING OF SECURITY SERVICES FOR DSWD REGION 10 OFFICE, CENTERS AND SUB OFFICES 20</t>
  </si>
  <si>
    <t xml:space="preserve"> Republic of the Philippines PROVINCE OF ALBAY 				   Municipality of Rapu-Rapu                                                          Barangay Poblacion Invitation to Bid for  Purchase of Drugs and Medicines 1.	The Barangay Local Government Units of Pob</t>
  </si>
  <si>
    <t xml:space="preserve"> Republic of the Philippines Province of Abra MUNICIPALITY OF LUBA Invitation to Bid for  PROCUREMENT OF OFFICE EQUIPMENT Contract Number: 2020-22 1.	The MUNICIPALITY OF LUBA, through the GENERAL FUND intends to apply the sum of Php. 240,000.00 being the A</t>
  </si>
  <si>
    <t xml:space="preserve"> PLEASE REFER TO THE ATTACHEMENT</t>
  </si>
  <si>
    <t xml:space="preserve"> Brgy. Ermita Maripipi Biliran VERTICAL PROJECT</t>
  </si>
  <si>
    <t xml:space="preserve"> Republic of the Philippines Municipality of Kalayaan Province of Palawan BIDS and AWARDS COMMITTEE PUBLIC BIDDING SUPPLY AND DELIVERY OF ASSORTED SUPPLIES AND MATERIALS INTENDED FOR DRYDOCKING OF M/L QUEEN SEAGULL 1.	The Municipality of Kalayaan, through </t>
  </si>
  <si>
    <t xml:space="preserve"> 1 Function Hall 1 room Accommodation (1 guest) Meals 200 pax Rice, Meat, Vegetable, Fruits Snack AM 200 pax Banana Q, Pineapple juice in can Snack PM 200 pax Pancit, Minute Maid</t>
  </si>
  <si>
    <t xml:space="preserve"> ITEM: 45   Pcs   Drum Size Styrofoam 2       Rolls    V-Net 750   Rolls   Ukay-Ukay Rope 22mm 90     Sacs    Cement 15    Kgs    Mono Nylon 450   Pcs    Habong (palwa with lukay, buli)</t>
  </si>
  <si>
    <t xml:space="preserve"> Fabrication &amp; Installation of 2 units Sidecars</t>
  </si>
  <si>
    <t xml:space="preserve"> National Power Corporation INVITATION TO BID PUBLIC BIDDING 2020-0113 1.	The NATIONAL POWER CORPORATION (NPC), through       its        approved       Corporate Budget of CY 2020 intends to apply   the   sum   of (Please see schedule below) being the Appr</t>
  </si>
  <si>
    <t xml:space="preserve"> FIFTEEN (15) DAYS IN MAINTENANCE ACTIVITIES FOR GENERATING UNIT NO. 3 AND ITS RELATED AUXILIARIES (19 MECHANICAL &amp; ELECTRICAL HELPERS)</t>
  </si>
  <si>
    <t xml:space="preserve"> INVITATION TO BID  1.The Local Government Unit of Barbaza, Antique now invites bids for the Supply and Delivery of Spare Parts for LGU Vehicles &amp; Heavy Equipment.  Description			:	PURCHASE OF SPARE PARTS 					(LGU Vehicles &amp; Heavy Equipments) Approved Bud</t>
  </si>
  <si>
    <t xml:space="preserve"> 20 pcs Ballpen - black 50 pcs Ballpen - blue 30 pcs Brown envelop long 5 btls Ink T6641 - Black 1 btl Ink T6642 - cyan 1 btl Ink T6643 - magenta 1 btl Ink T6644 - yellow 2 pcs Flash drive (8gb) 10 pcs Folder long 1 pc Modem 8 box Paper fastener (plastic c</t>
  </si>
  <si>
    <t xml:space="preserve"> Republic of the Philippines Municipality of Kalayaan Province of Palawan BIDS and AWARDS COMMITTEE PUBLIC BIDDING SUPPLY AND DELIVERY OF GASOLINE,OIL AND LUBRICANTS FOR THE PRE-POSITIONING AND OPERATIONS OF TRANSPORT ASSETS OF MDRRM  1.	The Municipality o</t>
  </si>
  <si>
    <t xml:space="preserve"> Specifications can be viewed online by clicking the "Associated Components" section on this ITB. The Local Government Unit-Municipality of Malinao, Aklan through the Bids and Awards Committee, intends to apply the sum of Six Hundred Ninety Four Thousand F</t>
  </si>
  <si>
    <t xml:space="preserve"> Republic of the Philippines					 Department of Public Works and Highways					 OFFICE OF THE DISTRICT ENGINEER					 Cagayan de Oro City 1st District Engineering Office					 10th RES Compound, Bulua, Cagayan de Oro City					 					 PURCHASE REQUEST					 				</t>
  </si>
  <si>
    <t xml:space="preserve"> 450 pax AM Snack: Bottled water and fudgee bar 450 pax Lunch: Rice with chicken curry and fried fish, bottled water &amp; fudgee bar 450 pax AM Snack: Bottled water &amp; fudgee bar</t>
  </si>
  <si>
    <t xml:space="preserve"> TEN (10) DAYS MAINTENANCE TO CONTINUOUS PREVENTIVE MAINTENANCE FOR GENERATING UNIT NO. 2 AND ITS RELATED AUXILIARIES (48 MAINTENANCE HELPERS)</t>
  </si>
  <si>
    <t xml:space="preserve"> 1 unit Printer L565</t>
  </si>
  <si>
    <t xml:space="preserve"> The Local  Government   Unit  of General  Santos  City, through  the  GENERAL FUND CY 2020  intends  to apply  the sum of three hundred twenty five thousand nine hundred and xx / 100 Pesos Only (325,900.00)   being  the Approved  Budget  for the Contract </t>
  </si>
  <si>
    <t xml:space="preserve"> The BIWAD BAC invites suppliers to quote for the   Supply and Installation of one (1) unit 50KVA Generator Set of Poblacion, Pumping Station I. Generator set    - 1 unit 50 KVA Diesel Generator Set, 3 phase (silent type)    - 1 roll wire    -  1 LS Testin</t>
  </si>
  <si>
    <t xml:space="preserve"> 3in1 Printer with Black Ink Computer Set Extension Wire</t>
  </si>
  <si>
    <t xml:space="preserve"> INVITATION TO BID  1.The Local Government Unit of Barbaza, Antique now invites bids for the Supply and Delivery of Ten (10) units Executive Swivel Chairs to be used in the Office of the Sangguniang Bayan. Description			:	PURCHASE OF SWIVEL CHAIRS Approved</t>
  </si>
  <si>
    <t xml:space="preserve"> 60 persons 1 meal &amp; 2 snacks        Menu:                            Lunch: Rice, beef menudo, pancit canton guisado, special chopsuey, sotanghon soap, softdrinks, desert             Snacks: Meat bread, juice</t>
  </si>
  <si>
    <t xml:space="preserve"> Variety of : vermicast 14x14x14 urea 16-20 EMAS &amp; Fortified Organic fertilizers</t>
  </si>
  <si>
    <t xml:space="preserve"> 7 pcs Signage (3x5 with post and concrete base) 8 pcs Signage (3x4 with post and concrete base) 7 pcs Signage (2x4 with post and concrete base) 8 pcs Signage (3x3 with post and concrete base)</t>
  </si>
  <si>
    <t xml:space="preserve"> 1 unit Water dispenser</t>
  </si>
  <si>
    <t xml:space="preserve"> PR No. 20030903 – Supply and Delivery of Two (2) unitsTruck Dropside 6 Wheeler 1.	The Provincial Government of Camarines Norte, through the GF-Capital Outlay CY 2020intends to apply the sum of Three Million Six Hundred Thousand Pesos (P3,600,000.00) being</t>
  </si>
  <si>
    <t xml:space="preserve"> 20 pcs BR APP with Stethoscope</t>
  </si>
  <si>
    <t xml:space="preserve"> Mattress     90 pcs</t>
  </si>
  <si>
    <t xml:space="preserve"> Qty	Unit	Unit of Issue 		Youth Summit 108	cover	Snacks (a.m.) (Siopao&amp; Zest-O) 108	Cover	Lunch (Ampalaya/Fried Chicken/Pork Steak/Rice/Water 108	Cover	Snacks (p.m.) (Torta&amp; C2) 		Children’s Month Celebration (Nov. 2020) 290	Cover	Snacks (a.m.) (Moron &amp; C2</t>
  </si>
  <si>
    <t xml:space="preserve"> 1     250 BAG COMPLETE FERTILIZER (14-14-14) 2     250 BAG MURIATE OF POTASH (0-0-60)</t>
  </si>
  <si>
    <t xml:space="preserve"> Request for Quotation for the Procurement of Office Supplies to be used in the DA SAAD Implementation in Region 7 1.	The Department of Agriculture-Regional Field Office 7 (DA-RFO 7), through the General Appropriations Act of CY 2019 (continuing)  intends </t>
  </si>
  <si>
    <t xml:space="preserve"> REPAIR/MAINTENANCE OF DPWH BUILDINGS Contract Location:                   a.) Multi-Purpose Building, Zone 7, Bangued, Abra                                               b.) Canteen, Zone 7, Bangued, Abra  Brief Description:                    Repair/Main</t>
  </si>
  <si>
    <t xml:space="preserve"> The Local  Government   Unit  of General  Santos  City, through  the  GENERAL FUND CY 2020  intends  to apply  the sum of seven hundred sixty four thousand eighty and xx / 100 Pesos Only (764,080.00)   being  the Approved  Budget  for the Contract   (ABC)</t>
  </si>
  <si>
    <t xml:space="preserve"> 1 set Brakeshoe, LH-RH 4 pcs Bushing, shock absorber 4 pcs Bushing, front suspension 2 pcs Cross bearing 2 pcs Front suspension parts, ball joint 4 pcs Glow plug, 12V</t>
  </si>
  <si>
    <t xml:space="preserve"> Republic of the Philippines          City of Dumaguete Bids and Awards Committee INVITATION TO BID FOR PURCHASE REQUEST OF 52 BAGS PORTLAND CEMENT 40 KGS AND OTHER ITEMS 	The City of Dumaguete thru its BIDS AND AWARDS COMMITTEE (BAC), invites all interest</t>
  </si>
  <si>
    <t xml:space="preserve"> 1     1,000 GAL PAINT WHITE GLOSS LATEX</t>
  </si>
  <si>
    <t xml:space="preserve"> Completion of Barangay Site, Talaguton Road</t>
  </si>
  <si>
    <t xml:space="preserve"> INVITATION TO BID  1.The Local Government Unit of Barbaza, Antique now invites bids for the Supply and Delivery of IT Equipments to be used in the Office of the Municipal Assessor. Description			:	PURCHASE OF IT EQUIPMENTS Approved Budget for the Contract</t>
  </si>
  <si>
    <t xml:space="preserve"> Procurement of various parts and accessories for the maintenance of PV-30 bill counting machines of the Currency Operations</t>
  </si>
  <si>
    <t xml:space="preserve"> One (1) set Video recording equipment minimum specification  1)	Digital video camera for video recording  •	Image Sensor: CMOS 8 Mega Pixel Sensor •	Video Resolution: 2880*2160/24fps, 2560*1440/30fps, 1920*1080/60fps, 1920*1080/30fps, 1280*720/60fps, 1280</t>
  </si>
  <si>
    <t xml:space="preserve"> Republic of the Philippines PROVINCE OF ALBAY 				   Municipality of Rapu-Rapu                                                          Barangay Poblacion Invitation to Bid for  Maintenance &amp; Improvement of Day Care Center 1.	The Barangay Local Government</t>
  </si>
  <si>
    <t xml:space="preserve"> Portable Booth for Rapid Testing  4 units</t>
  </si>
  <si>
    <t xml:space="preserve"> Subgrade Preparation, Aggregate Sub-base Course Portland Cement Concrete Pavement (PCCP) Embankment</t>
  </si>
  <si>
    <t xml:space="preserve"> The Local  Government   Unit  of General  Santos  City, through  the  GENERAL FUND CY 2020  intends  to apply  the sum of seven hundred thirty thousand four hundred forty one and xx / 100 Pesos Only (730,441.00)   being  the Approved  Budget  for the Cont</t>
  </si>
  <si>
    <t xml:space="preserve"> 10   Box   Carbamazepine 200 mg. /Tab. (100/box) 10   Box   Chlorpromazine 100 mg tab (100/box) 10   Box   Clozapine 100 mg/tab (100 tabs/box) 10   Box   Diphenhydramine 50 mg/ Cap. (100/box) 4     Box   Haloperidol , 5 mg tab (100/box) 2     Amp   Halope</t>
  </si>
  <si>
    <t xml:space="preserve"> •	Split Type Airconditioner (Inverter)    -    2 Units         KSW-18R5CA         2.0HP     •	Window Type Airconditioner (Non Inverter)   -    2 Units         CW-SC184EPH         2.0HP</t>
  </si>
  <si>
    <t xml:space="preserve"> REQUEST FOR QUOTATION (RFQ) Date: June 11, 2020  The Owner/Proprietor _________________ Borongan City Sir: Please quote your price for the items specified below, taking into consideration the following: Name of Project: Repair of T.H.E Building at ESSU Ma</t>
  </si>
  <si>
    <t xml:space="preserve"> REQUEST FOR QUOTATION (RFQ) Date: June 11, 2020  The Owner/Proprietor _________________ Borongan City Sir: Please quote your price for the items specified below, taking into consideration the following: Name of Project: Repair of Comfort Room in College o</t>
  </si>
  <si>
    <t xml:space="preserve"> Water Source (spring); Installation of Water Pumping System 1- (Pumping Station 1.6m x 1.6m); Installation of Transformer with complete accessories; Construction of One (1) Intake box; Installation of Pipes and Fittings; Installation of Overhead Tank (con</t>
  </si>
  <si>
    <t xml:space="preserve"> 1     1 pcs RCPC Molder (Inner) 18" Diameter 2     2 pcs RCPC Molder (Inner) 24" Diameter 3     2 pcs RCPC Molder (Inner) 48" Diameter 4     2 pcs RCPC Bottom Ring 60" Diameter 5     2 set RCPC Molder 36" Diameter 6     1 set RCPC Molder 72" Diameter 7   </t>
  </si>
  <si>
    <t xml:space="preserve"> Republic of the Philippines DEPARTMENT OF PUBLIC WORKS AND HIGHWAYS LANAO DEL NORTE 1st  DISTRICT ENGINEERING OFFICE REGION X 0054 Seminary Drive, Del Carmen, Iligan City INVITATION TO BID FOR THE PROCUREMENT OF GOODS/SUPPLIES FOR THE   FOLLOWING PROJECT </t>
  </si>
  <si>
    <t xml:space="preserve"> The Local  Government   Unit  of General  Santos  City, through  the  GENERAL FUND CY 2020  intends  to apply  the sum of three hundred twenty two thousand four hundred and xx / 100 Pesos Only (322,400.00)   being  the Approved  Budget  for the Contract  </t>
  </si>
  <si>
    <t xml:space="preserve"> INVITATION TO BID The City of Bayawan, through its Bids and Awards Committee (BAC), invites suppliers/manufacturers/distributors/contractors to bid for the hereunder projects: Lot No. I		Integrated Water Supply (Pipes)		 			 1	2000		160mmØ x 6m UPVC Pipe,</t>
  </si>
  <si>
    <t xml:space="preserve"> Specifications can be viewed online by clicking the "Associated Components" section on this ITB. The Local Government Unit-Municipality of Malinao, Aklan through the Bids and Awards Committee, intends to apply the sum of Two Hundred Ninety Eight Thousand </t>
  </si>
  <si>
    <t xml:space="preserve"> 10 galoon Herbicide - round up (4Gal) 5 jar Insecticide - Agita 100 liters Deodorizer - Anti-pollutant</t>
  </si>
  <si>
    <t xml:space="preserve"> Large Tent  10 units</t>
  </si>
  <si>
    <t xml:space="preserve"> 1	UNIT	Car Vehicle 	 	Grade:1.3 J,Transmission:5-Speed M/T 	 	DIMENSION AND WEIGHT 	 	  Overall LengthxWidthx height-4,190mmx1,660mmx1,695mm 	 	Wheelbase-2,655mm, Tread *Front/Rear-1,425mm*1,435mm 	 	Min.Ground Clearance * Without Axle-200mm 	 	Min. Groun</t>
  </si>
  <si>
    <t xml:space="preserve"> Water Source (drilling); Installation of Water Pumping System 1- (Pumping Station 1.6m x 1.6m), (Well Drilling 8dia. Borehole x 90m depth); Installation of Overhead Tank (concrete) (3.0x3.0x3.0)M – 3MHT.; Installation of 1 Transformer with complete access</t>
  </si>
  <si>
    <t xml:space="preserve"> Republic of the Philippines City of Cadiz BIDS AND AWARDS COMMITTEE INVITATION TO BID FOR  “Construction/Repair/Improvement of Multi-Purpose Center/BDRRCC @ Brgy. Zone 6, Cadiz City” 	 1.	The Bids &amp; Awards Committee  through the CY 2017 &amp; 2019 IRA ADP-CDA</t>
  </si>
  <si>
    <t xml:space="preserve"> Poblacion Maripipi, Biliran Horizontal Project</t>
  </si>
  <si>
    <t xml:space="preserve"> Water Source (spring); Installation of Overhead Tank (concrete) (2.5x2.5x2.5)M – 3MHT; Installation of Pipes and Fittings</t>
  </si>
  <si>
    <t xml:space="preserve"> 300 pax AM Snack: Bottled water and Pancit 300 pax Lunch: Rice with pork adobo, pinakbet, bottled water and cloud nine 300 pax PM Snack: Bottled water and croissant</t>
  </si>
  <si>
    <t xml:space="preserve"> National Power Corporation INVITATION TO BID PUBLIC BIDDING 2020-0106 1.	The NATIONAL POWER CORPORATION (NPC), through       its        approved       Corporate Budget of CY 2020 intends to apply   the   sum   of (Please see schedule below) being the Appr</t>
  </si>
  <si>
    <t xml:space="preserve"> A) REQUEST FOR QUOTATION Camera Lenses 1. 2 units  A. Telephoto Zoom Lens a.1) Specifications: Focal Length [mm]: 70-200 Maximum Aperture: F/2.8 Minimum Aperture: F/22 Minimum Object Distance [m]: 0.95 Maximum Magnification Ratio: 1:6.1 Filter Size [mm]: </t>
  </si>
  <si>
    <t xml:space="preserve"> 1 2 PC/S INK - EPSON - BLACK T6641 2 2 BTL/S INK - EPSON (CYAN) T6642 3 2 BTL/S INK - EPSON (MAGENTA) T6643 4 2 PC/S INK - EPSON - YELLOW T6644 5 1 BTL/S INK - EPSON 003 (BLACK) 6 1 BTL/S INK - EPSON 003 (CYAN) 7 1 BTL/S INK - EPSON 003 (MAGENTA) 8 1 BTL/</t>
  </si>
  <si>
    <t xml:space="preserve"> To be used in undertaking maintenance activities above elevated areas of the branch. This provides security and safety to the concerned personnel while executing the said activities.</t>
  </si>
  <si>
    <t xml:space="preserve"> The BIWAD BAC invites suppliers for the Supply and installation of Read and Bill Software including five(5) sets of Handheld Read and Bill Gadgets with portable Bluetooth Printer for Binalonan Water District. I. SOFTWARE  1 lot Read and Bill Software  1 l</t>
  </si>
  <si>
    <t xml:space="preserve"> REQUEST FOR EXPRESSION OF INTEREST (REI) CONSULTING SERVICES FOR THE CONDUCT OF GEOTECHNICAL AND GEOLOGICAL SURVEY/INVESTIGATION FOR THE PROPOSED FLOOD CONTROL PROJECTS WITH 3RD CONGRESSIONAL DISTRICT OF PANGASINAN 1.	The Department of Public Works and Hi</t>
  </si>
  <si>
    <t xml:space="preserve"> I. Mobilization II. Demolition III. CSHP IV. Line Canal (L=82.4) V. Steel Grating VI. Equipment Labor</t>
  </si>
  <si>
    <t xml:space="preserve"> I.	WORKSCOPE Based on the requirements of SEC Public Reference Unit (PRU), below are the scopes of work which Service Provider will provide: 1.	Five (5) units of printer with speed of at least 75 ppm, A4 images, to be deployed as primary printer 2.	Seven </t>
  </si>
  <si>
    <t xml:space="preserve"> Construction of Retaining Wall</t>
  </si>
  <si>
    <t xml:space="preserve"> INVITATION TO BID  The Local Government Unit of Barbaza, Antique, now invites interested contractors with a minimum experience of 5 years in implementing similar/related sub-projects to bid for the hereunder subproject: Name of Project	:	CONSTRUCTION OF S</t>
  </si>
  <si>
    <t xml:space="preserve"> 1. TV 50" LED Flat display with remote control, units, 10</t>
  </si>
  <si>
    <t xml:space="preserve"> REQUEST FOR QUOTATION (RFQ) Date: June 11, 2020  The Owner/Proprietor _________________ Borongan City Sir: Please quote your price for the items specified below, taking into consideration the following: Name of Project: Repair of Nursing Building at ESSU </t>
  </si>
  <si>
    <t xml:space="preserve"> 1 Unit Rescue Van Diesel Engine Type: 4 cylinder Engine Euro 4: 2494cc 5 speed manual transmission Republic of the Philippines Province of Batangas MUNICIPALITY OF MALVAR Office of the Municipal Mayor SECTION I INVITATION TO BID  FOR ACQUISITION OF MOTOR </t>
  </si>
  <si>
    <t xml:space="preserve"> Purchase of Medicine</t>
  </si>
  <si>
    <t xml:space="preserve"> INVITATION TO BID FOR Construction of Reinforced Concrete Slope Protection for CY 2020 1. The Department of Education, Butuan City Division, through the GAA FY 2020 intends to apply the sum of Php 3,820,757.90 RCS-2020-001 (Lot 1), and Php 3,408,125.05 RC</t>
  </si>
  <si>
    <t xml:space="preserve"> INVITATION TO BID No. IB-2020-VI-30-01 The Municipality of Sibalom through its Bids &amp; Awards Committee (BAC), invites bidders/contractors to apply for eligibility and to bid for the hereunder project: Project           	 		:	RE-EGENTS (DIAGNOSTIC LABORATO</t>
  </si>
  <si>
    <t xml:space="preserve"> Water Source (drilling); Installation of Water Pumping System 1- (Pumping Station 1.6m x 1.6m), Installation of Overhead Tank (concrete) (2.5x2.5x2.5)M – 3MHT.; Installation of 1 Transformer with complete accessories; Installation of Pipes and Fittings</t>
  </si>
  <si>
    <t xml:space="preserve"> REQUEST FOR QUOTATION (RFQ) Date: June 11, 2020  The Owner/Proprietor _________________ Borongan City Sir: Please quote your price for the items specified below, taking into consideration the following: Name of Project: Repair of Library Building at ESSU </t>
  </si>
  <si>
    <t xml:space="preserve"> Purchase and Delivery  of 3-Unit Aircondition Units (with Installation)</t>
  </si>
  <si>
    <t xml:space="preserve"> The University of the Philippines Baguio, through the Corporate Budget for the contract approved by the governing Board intends to apply the sum of One Million One Hundred Thousand Pesos (PhP 1,100,000.00) being the Approved Budget for the Contract (ABC) </t>
  </si>
  <si>
    <t xml:space="preserve"> Printing of the Updated Central Visayas Regional Development Plan 2017-2022 Paper size: 8.5 x 11 inches Process: color offset, full color Binding: Smythe sewn, perfect bind Stock Cover: C2S 140 lbs with matte lamination and spot UV. Inside: Matte 70lbs Nu</t>
  </si>
  <si>
    <t xml:space="preserve"> Republic of the Philippines DEPARTMENT OF PUBLIC WORKS AND HIGHWAYS SARANGANI DISTRICT ENGINEERING OFFICE REGIONAL OFFICE XII Sarangani District Engineering Office Alabel Sarangani Province 	 DIRECT CONTRACTING The Department of Public Works and Highways-</t>
  </si>
  <si>
    <t xml:space="preserve"> Purchase of 1 unit Solvent recovery unit, 10 l/h. 230 V, 50-60 Hz, 2 units Heavy duty universal core drilling machine, three speeds motor 230 zv, 50-60 Hz, 6 pcs Coring 100mmx200mm Bit, 6 pcs Coring Bit 100mmx400mm, 1 unit Vibration hammer for soil and as</t>
  </si>
  <si>
    <t xml:space="preserve"> 4 units Trash Bins, Transparent, as per BSP's specifications.</t>
  </si>
  <si>
    <t xml:space="preserve"> Installation of CFS, 1 Layer on Span 1,2,4 of Main Member 1 - 4; Span of Main Member 1 - 3; Installation of CFP on Span 1 – 4 of Main Member 1 - 4</t>
  </si>
  <si>
    <t xml:space="preserve"> Purchase and Delivery of Various Combi-Roller Blinds with installations</t>
  </si>
  <si>
    <t xml:space="preserve"> 150    Pcs   Acetylcysteine 600 mg sachet 150    Pcs   Acetylcysteine 200 mg sachet 3    Box   Al-MgOH tab. (200/100) 100/box 72   Bot   Amoxycillin 250 mg/5 susp.60ml./bot.flav. w/ box 18   Box   Amoxycillin 500 mg cap. Blister 100/box 10   Box   Amlodep</t>
  </si>
  <si>
    <t xml:space="preserve"> RISO CV3230 MASTER COPY 4 BOTTLES RISO CV3230 INK 4 BOTTLES XEROX MACHINE INEO 3350 INK BLACK 6 BOTTLES XEROX MACHINE INEO 3350 INK MAGENTA   2 BOTTLES XEROX MACHINE INEO 3350 INK CYAN  2 BOTTLES XEROX MACHINE INEO 3350 INK YELLOW 2 BOTTLES 1 UNIT TRANSFE</t>
  </si>
  <si>
    <t xml:space="preserve"> Republic of the Philippines BIDS AND AWARDS COMMITTEE Cadiz City      BID DOCUMENTS for the CONCRETING OF ROAD ALLEY @ SO. CAPAYAS, BRGY. SICABA, CADIZ CITY (1) BIDS AND AWARDS COMMITTEE  Cadiz City   INVITATION TO BID/REQUEST FOR EXPRESSION OF INTEREST T</t>
  </si>
  <si>
    <t xml:space="preserve"> The Roxas City Government, through the GOP-2020 intends to apply the amount of One Million Three Hundred Twenty Thousand Pesos (PhP 1,320,000.00) being the Approved Budget for the Contract (ABC) to payments under the contract for Public Bidding for the Su</t>
  </si>
  <si>
    <t xml:space="preserve"> Republic of the Philippines          City of Dumaguete Bids and Awards Committee INVITATION TO BID FOR PURCHASE REQUEST OF 298 PCS CERAMIC FLOOR TILES 400MM X 400MM AND OTHER ITEMS 	The City of Dumaguete thru its BIDS AND AWARDS COMMITTEE (BAC), invites a</t>
  </si>
  <si>
    <t xml:space="preserve"> ITEM DESCRIPTION / SPECIFICATION 2 Units   Mobilization of drilling unit &amp; all accessories 	 2 Units   Preparation of site and setting-up all	 2 Units   Drilling &amp; Installation of 40ft. 10”ø steel pipe as well protective casing. 2 Units   Drilling &amp; Insta</t>
  </si>
  <si>
    <t xml:space="preserve"> 495 BAG/S PORTLAND CEMENT - with delivery at Municipal Warehouse - Type 1</t>
  </si>
  <si>
    <t xml:space="preserve"> Title:Procurement of 650 Pad Traffic Citation Ticket under P.R.No. 2041-2020-Enforcement of Traffic Laws Total ABC: Php 113,750.00 (INSTRUCTION AS TO THE REQUIRED FORM: For your price quotation, please use the attached Request for Quotation (RFQ) Form and</t>
  </si>
  <si>
    <t xml:space="preserve"> Brief Description of the Project		 Quantity	Unit	Item Description 1.00	unit	Rescue Equipment (Manlift)</t>
  </si>
  <si>
    <t xml:space="preserve"> Fittings</t>
  </si>
  <si>
    <t xml:space="preserve"> Purchase of Medical Equipment Maripipi, Biliran</t>
  </si>
  <si>
    <t xml:space="preserve"> The Local Government Unit of Bula is inviting interested PhilGEPS accredited contractors/ suppliers to apply for eligibility and to submit complete bid for the PPLY AND DELIVERY OF MOTOR POOL AND CONSTRUCTION TOOLS under the MMO-GENERAL SERVICES ADMINSTRA</t>
  </si>
  <si>
    <t xml:space="preserve"> Republic of the Philippines Department of Public Works and Highways AGUSAN DEL NORTE DISTRICT ENGINEERING OFFICE REGIONAL OFFICE XIII J. P. Rosales Avenue, Butuan City INVITATION TO BID  The Department of Public Works and Highways Agusan del Norte Distric</t>
  </si>
  <si>
    <t xml:space="preserve"> INVITATION TO BID 1.	Provincial Government of Misamis Oriental, intends to apply the sum stated below being the Approved Budget for the Contract (ABC) to payments under the contract: for the supply and Delivery of Goods. Bids received in excess of the ABC</t>
  </si>
  <si>
    <t xml:space="preserve"> INVITATION TO BID Bid No. B-82-2020 (*REBIDDING) 1.	The Provincial Government of Negros Oriental now invites bids for the rebidding of the following requirements, viz: 	Project Name:	Source of Fund:	ABC: Project Name 1	Four (4) Lots Construction Materials</t>
  </si>
  <si>
    <t xml:space="preserve"> Republic of the Philippines BIDS AND AWARDS COMMITTEE Cadiz City      BID DOCUMENTS for the CONSTRUCTION OF CONCRETE WATER TANK @ BURGOS ELEMENTARY SCHOOL, BRGY. BURGOS, CADIZ CITY (1) BIDS AND AWARDS COMMITTEE  Cadiz City   INVITATION TO BID/REQUEST FOR </t>
  </si>
  <si>
    <t xml:space="preserve"> REQUEST FOR QUOTATION (RFQ) Date: June 11, 2020  The Owner/Proprietor _________________ Borongan City Sir: Please quote your price for the items specified below, taking into consideration the following: Name of Project: Repair of Engineering Building at E</t>
  </si>
  <si>
    <t xml:space="preserve"> The Local  Government   Unit  of General  Santos  City, through  the  GENERAL FUND CY 2020  intends  to apply  the sum of one hundred nineteen thousand seven hundred sixty five and xx / 100 Pesos Only (119,765.00)   being  the Approved  Budget  for the Co</t>
  </si>
  <si>
    <t xml:space="preserve"> INVITATION TO BID  1.The Local Government Unit of Barbaza, Antique now invites bids for the Supply and Delivery of Office Equipment (one Unit Split Type Air Conditioning Unit) to be used in the Office of the Municipal Planning &amp; Development Coordinator. D</t>
  </si>
  <si>
    <t xml:space="preserve"> 2149	bags	Urea Fertilizer 2329	bags	Complete Fertilizer 6840	bags	Chicken Manure (50kg/bag) 96	pcs	Insecticide 80	pcs	Fungicide ----------------------------------------------------------------------------------------------------------------------------- B</t>
  </si>
  <si>
    <t xml:space="preserve"> The Local  Government   Unit  of General  Santos  City, through  the  GENERAL FUND CY 2020  intends  to apply  the sum of five hundred thirteen thousand five hundred forty five and xx / 100 Pesos Only (513,545.00)   being  the Approved  Budget  for the Co</t>
  </si>
  <si>
    <t xml:space="preserve"> Manpower Requirement			 I	I.1 SEC-Head Office	Janitor	13	Immediately upon  contract implementation 		Hauler	15	 		Electrician	1	 		Telephone Technician	1	 		Carpenter/Plumber	1	 		Driver	2	 		Supervisor	1	 	I.2  SEC-Legazpi Ext. Office	Janitors  	2	 	I.3 </t>
  </si>
  <si>
    <t xml:space="preserve"> INVITATION TO BID PROVISION OF MEALS AND DRINKING WATER FOR PROJECT SAGIP BATANG SOLVENT (PSBS)  Bid Ref. No. 2020-18 1.	The Philippine Drug Enforcement Agency (PDEA), thru its Bids and Awards Committee (BAC), intends to apply the following sum being the </t>
  </si>
  <si>
    <t xml:space="preserve"> 1 lot 2020-055, CONSTRUCTION OF DAY CARE CENTER HALL AT LOMOPOG, MIDSAYAP, COTABATO</t>
  </si>
  <si>
    <t xml:space="preserve"> COATING, STAINLESS STEEL 316L Features: * 100% Stainless Steel Filter - designed for the most demanding service to protect against rust and corrosion * Coats in a single pass on most surfaces * Dries quickly to an attractive top - coat finish that resist </t>
  </si>
  <si>
    <t xml:space="preserve"> Purchase and Delivery of Various Electrical Materials</t>
  </si>
  <si>
    <t xml:space="preserve"> Republic of the Philippines ISABELA STATE UNIVERSITY Cabagan, Isabela INVITATION TO APPLY FOR ELIGIBILITY AND TO BID The Isabela State University, through its Bids and Awards Committee is inviting all qualified bidders to apply for eligibility and to bid </t>
  </si>
  <si>
    <t xml:space="preserve"> 467	bags	Portland Cement	 50	cu.m.	Screened Gravel	 25	cu.m.	Washed Sand	 150	pcs	Deformed Bars, 10mm x 6m	 5	pcs	Deformed Bars, 16mm x 6m	 20	pcs	C-Purlins, 1.2mm x 2" x 4" x 20'	 6	pcs	C-Purlins, 1.2mm x 2" x 3" x 20'	 2	pcs	Flat Bar, 1/4" x 1" x 1" x 2</t>
  </si>
  <si>
    <t xml:space="preserve"> Please see attached file (RFQ-20-06-0449) for reference.</t>
  </si>
  <si>
    <t xml:space="preserve"> 1.	The Municipal Government of Burgos, Ilocos Norte, through the General Fund intends to apply the sum of PhP2,000,000.00 being the Approved Budget for the Contract (ABC) to payments under the contract for Rehabilitation of Municipal Streets (L. Garcia St</t>
  </si>
  <si>
    <t xml:space="preserve"> assorted construction supplies &amp; materials</t>
  </si>
  <si>
    <t xml:space="preserve"> Republic of the Philippines BIDS AND AWARDS COMMITTEE Cadiz City      BID DOCUMENTS for the INSTALLATION OF MOTOR PUMP &amp; WATER SUPPLY PIPELINES @ YEE-ON ELEMENTARY SCHOOL, BRGY. CABAHUG, CADIZ CITY (1) BIDS AND AWARDS COMMITTEE  Cadiz City   INVITATION TO</t>
  </si>
  <si>
    <t xml:space="preserve"> Brief Description of the Project			 Quantity	Unit	Item Description	 		COMMON OFFICE SUPPLIES:	 95	bottle	Alcohol 70% 500ml	 17	bxs.	Ballpen,Pilot- Black	 1	bxs.	Ballpen,Pilot- red	 5	bxs.	Ballpen, Pilot-Blue	 1	bxs.	Ballpen, Pilot-Red	 2	box	Ballpen, Pand</t>
  </si>
  <si>
    <t xml:space="preserve"> supplies &amp; materials for fabrication of fiberglass reinforced plastic fish tanks &amp; boats</t>
  </si>
  <si>
    <t xml:space="preserve"> Purchase of Food Assistance !5 Barangay's Maripipi, Biliran</t>
  </si>
  <si>
    <t xml:space="preserve"> Republic of the Philippines          City of Dumaguete Bids and Awards Committee INVITATION TO BID FOR PURCHASE REQUEST OF 5 CU.M SAND STD. AND SPECS AND OTHER ITEMS 	The City of Dumaguete thru its BIDS AND AWARDS COMMITTEE (BAC), invites all interested m</t>
  </si>
  <si>
    <t xml:space="preserve"> PLEASE SEE ATTACHED QUOTATION.</t>
  </si>
  <si>
    <t xml:space="preserve"> Structural Concrete (ramp &amp; concrete bleacher), Structural Concrete (Columns @ Roof Deck Stair) 20.68Mpa, 28 days, Structural Concrete (Suspended Slab) 20.68Mpa, 28 days (roof deck), Structural Concrete (Beams/Girders) 20.68Mpa, 28 days (roof deck), Reinf</t>
  </si>
  <si>
    <t xml:space="preserve"> Brief Description of the Project			 Quantity	Unit	Item Description	 1.00	lot	Construction &amp; Occupational Health	 1.00	lot	Mobilization	 16.00	cu.m.	Excavation Works	 58.44	cu.m.	Concrete Works	 1.00	lot	Formworks &amp; scaffolds (rental)	 113.76	lm.	Roofing/T</t>
  </si>
  <si>
    <t xml:space="preserve"> 1.	The Municipal Government of Burgos, Ilocos Norte, through the 20% Development Fund  intends to apply the sum of PhP2,000,000.00 being the Approved Budget for the Contract (ABC) to payments under the contract for Construction of Flood Control Dike (Biny</t>
  </si>
  <si>
    <t xml:space="preserve"> IV. GENERAL CONDITIONS							 								 	1. All quotations must be duly signed by the duly authorized representative.							 	2. All quotations shall be considered as fixed prices and not subject to price escalation during the contract implementation.					</t>
  </si>
  <si>
    <t xml:space="preserve"> REQUEST FOR QUOTATION (RFQ) Supply and Delivery of Personalized of CFO Anniversary Polo Shirt The Commission on Filipinos Overseas invites PhilGEPS registered supplier to apply for the eligibility and to quote the lowest price for the Supply and Delivery </t>
  </si>
  <si>
    <t xml:space="preserve"> 1.	The Municipal Government of Burgos, Ilocos Norte, through the 20% Development Fund 2020 intends to apply the sum of PhP1,000,000.00 being the Approved Budget for the Contract (ABC) to payments under the contract for Rehabilitation of Drainage Canals (E</t>
  </si>
  <si>
    <t xml:space="preserve"> 1.	The Municipal Government of Burgos, Ilocos Norte, through the 20% Development Fund 2020 intends to apply the sum of PhP1,032,269.20 being the Approved Budget for the Contract (ABC) to payments under the contract for Rehabilitation of Municipal Streets </t>
  </si>
  <si>
    <t xml:space="preserve"> Please read attached Terms of Reference</t>
  </si>
  <si>
    <t xml:space="preserve"> Republic of the Philippines Province of Eastern Samar Municipality of Guiuan Invitation to Bid  for  SUPPLY AND DELIVERY OF MATERIALS FOR PROPOSED BRGY. ROAD CONCRETING AT SITIO CABCAO, BRGY. BUCAO, GUIUAN, EASTERN SAMAR Barangay Bucao of Guiuan,  through</t>
  </si>
  <si>
    <t xml:space="preserve"> 60,000	pcs	Cacao seedlings, grafted 1,440	pcs	Calamansi, budded 2,200	pcs	Black pepper seedlings 560	        pcs	Pomelo, budded 400	        kg	Corn Seeds, 1kg foil bag 20	        bag	Pechay 80	        can	Ampalaya 120	        bag	Pole Sitao 160	        ca</t>
  </si>
  <si>
    <t xml:space="preserve"> ARTICLE AND DESCRIPTION										 ITEM	QTY.	UNIT						CEILING 			UNIT PRICE			TOTAL  								PRICE						 				Office: Office of the City Accountant				P.R. No. 364						 				Charge to: Office Supplies Expenses				OBR. No. 100-2002-01002						 				 ABC:  Ph</t>
  </si>
  <si>
    <t xml:space="preserve"> The Local  Government   Unit  of General  Santos  City, through  the  GENERAL FUND CY 2020  intends  to apply  the sum of seventy thousand four hundred thirty and 30 / 100 Pesos Only (70,430.30)   being  the Approved  Budget  for the Contract   (ABC) to p</t>
  </si>
  <si>
    <t xml:space="preserve"> Brief Description of the Project		 Quantity	Unit	Item Description 1.00	lot	Construction &amp; Occupational Health 1.00	lot	Mobilization 280.00	cu.m.	Excavation Works 84.00	cu.m.	Stone Masonry</t>
  </si>
  <si>
    <t xml:space="preserve"> Republic of the Philippines Province of Albay Municipality of Rapu-Rapu Barangay Sta. Barbara INVITATION TO BID FOR THE IMPROVEMENT/REHABILITATION OF WATER SYSTEM 1.	The Barangay Local Government Unit of Sta. Barbara, Rapu-Rapu, Albay, through the Budget </t>
  </si>
  <si>
    <t xml:space="preserve"> Purchase and Delivery of Fruit Tree Seedlings</t>
  </si>
  <si>
    <t xml:space="preserve"> 1	unit	Refrigerator (inverter type), side by side ( 912x1780x738, whd) 4	unit	Freezer (Chest type/vertical) 6	unit	Split type aircon inverter 1Hp, AH-XS10UF 2	unit	Dehumidifier</t>
  </si>
  <si>
    <t xml:space="preserve"> Republic of the Philippines BOHOL ISLAND STATE UNIVERSITY Main Campus, Tagbilaran City INVITATION TO BID FOR PR NO. 2020-02-0384-MAIN-SUPPLY AND DELIVERY OF CHEQUE PAPER FOR REGISTRAR’S OFFICE 1.	The Bohol Island State University – Main Campus, Tagbilaran</t>
  </si>
  <si>
    <t xml:space="preserve"> Construction of 21 – Unit Multi-Purpose Shed (W=2.0m, L=4.1m, H=2.4m)</t>
  </si>
  <si>
    <t xml:space="preserve"> 1 unit Satellite Market @ Sitio Sunrise 1.5m flr. area</t>
  </si>
  <si>
    <t xml:space="preserve"> Republic of the Philippines BOHOL ISLAND STATE UNIVERSITY Main Campus, Tagbilaran City INVITATION TO BID FOR PR NO. 2020-02-0293-MAIN-SUPPLY, DELIVERY AND INSTALLATION OF LABORATORY EQUIPMENT FOR GARMENTS TECHNOLOGY INSTRUCTION FOR THE COLLEGE OF TEACHER </t>
  </si>
  <si>
    <t xml:space="preserve"> Invitation to Bid for  INFRA 2K20-46 REHABILITATION OF POB. LAKEWOOD – BAKING – DAGUM ROAD Lakewood, Zamboanga del Sur June 10, 2020 1.	The Provincial Government of Zamboanga del Sur, through the CONTINUING CAPITAL OUTLAY CY 2019 (SUPPLEMENTAL BUDGET #4 C</t>
  </si>
  <si>
    <t xml:space="preserve"> Republic of the Philippines PROVINCE OF ZAMBOANGA SIBUGAY Municipality of Mabuhay Barangay Kauswagan OFFICE OF THE BAC CHAIRMAN INVITATION TO BID                                                                                                              </t>
  </si>
  <si>
    <t xml:space="preserve"> 1 lot 2020-056, CONSTRUCTION OF COVERED COURT AT SITIO BULOD, BARANGAY TUGAL, MIDSAYAP, COTABATO</t>
  </si>
  <si>
    <t xml:space="preserve"> Date: June 10, 2020 The MANAGER		Quotation/Bid No. COB-CS-149-20 BONINGS’ TRADING  General Luna St., Naga City	Purpose: Supply/Delivery of Office Supplies and Materials for use of NIA-CAMSUR IMO Office, Naga City (REBID). 	 REQUEST FOR QUOTATION Please qu</t>
  </si>
  <si>
    <t xml:space="preserve"> Date: June 10, 2020 The MANAGER		Quotation/Bid No. COB-CS-151-20 NEW PRIMART AUTO SUPPLY Dinaga, Naga City	Purpose: Supply/Delivery of Spare Parts and Tools for use at NIA-THIRIS, Sta. Lucia, Magarao, Camarines Sur  	 REQUEST FOR QUOTATION Please quote yo</t>
  </si>
  <si>
    <t xml:space="preserve"> 15 units desktop computer PEO</t>
  </si>
  <si>
    <t xml:space="preserve"> ITEM NO.	UNIT	ITEMS &amp; DESCRIPTION/S		QTY	UNIT	UNIT PRICE 1	unit	Solar inverter, 6 KVA, 48V output with		1	 unit 	 		maximum 10A limited current				 		(ABC Php 80,000.00)				 2	unit	Digital temperature and humidity recorder,		1	unit	 		TDK0302 Model 40 0 C</t>
  </si>
  <si>
    <t xml:space="preserve"> INVITATION TO BID No. IB-2020-VI-30-02 The Municipality of Sibalom through its Bids &amp; Awards Committee (BAC), invites bidders/contractors to apply for eligibility and to bid for the hereunder project: Project           	 		:	Construction Materials (Tordes</t>
  </si>
  <si>
    <t xml:space="preserve"> PL - NB BALDO 1 unit Generator (Dynamo 10 KVA) _ Kubato Diesel Engine, RT 140 14Hp, water cooled, direct injection, with tools, manual, stub shaft coupled with dynamo 2 units Heavy duty distribution transformer (20 KVA) rewiring and installation</t>
  </si>
  <si>
    <t xml:space="preserve"> Republic of the Philippines  Province of Eastern Samar  Municipality of Guiuan    Invitation to Bid for   SUPPLY AND DELIVERY OF 3 UNITS AIR CONDITION 3TR (FLOOR MOUNTED), GUIUAN E. SAMAR 1.	The Local Government Unit of Guiuan through the Capital Outlay  </t>
  </si>
  <si>
    <t xml:space="preserve"> CONSTRUCTION OF 125.00 L.M. DRAINAGE CANAL AND 120. L.M. PERIMETER FENCE</t>
  </si>
  <si>
    <t xml:space="preserve"> 200,000   pcs  Washable Face Mask --------------------------------------------------------------------------------------------------------------------------- Bids received in excess of the ABC shall be automatically rejected during the bid opening. The bi</t>
  </si>
  <si>
    <t xml:space="preserve"> Location:  Pullaan ABC: Php 2,300,000.00 Cost of Bid Docs: 5,000.00 The Procurement Schedules are as following: 1. Deadline of buying of Bid Docs: June 24, 2020 @ 5:00 PM 2. Deadline for submission of Bid Docs: June 25, 2020 @ 9:00 AM 3. Opening of Bids: </t>
  </si>
  <si>
    <t xml:space="preserve"> Pakyaw Labor etc.  NOTE:To all suppliers bid documents  and  BAC Resolution 2020-029 are available at BAC Office and LGU website.</t>
  </si>
  <si>
    <t xml:space="preserve"> Republic of the Philippines                   Department of Health	       CENTRAL OFFICE BIDS AND AWARDS COMMITTEE  INVITATION TO BID FOR THE  PROCUREMENT FOR THE RENEWAL OF DOH BLADE CHASSIS AND BLADE SERVERS MAINTENANCE AGREEMENT – REBID  IB NO. 2020-04</t>
  </si>
  <si>
    <t xml:space="preserve"> Republic of the Philippines Province of Albay Municipality of Rapu-Rapu Barangay Sta. Barbara INVITATION TO BID FOR THE CONSTRUCTION OF SEAWALL (PHASE II) 1.	The Barangay Local Government Unit of Sta. Barbara, Rapu-Rapu, Albay, through the Budget for the </t>
  </si>
  <si>
    <t xml:space="preserve"> Construction of 210 – Unit  Apartment Type Niches</t>
  </si>
  <si>
    <t xml:space="preserve"> Republic of the Philippines Province of Southern Leyte Municipality of Tomas Oppus Invitation to Bid  PROCUREMENT OF MATERIALS FOR THE CONSTRUCTION OF MULTI-PURPOSE BLDG./EVACUATION CENTER 1.	The Barangay Government of San Isidro, Tomas Oppus, Southern Le</t>
  </si>
  <si>
    <t xml:space="preserve"> Location:  Montabion/Abinuan/ Caba/Pob. South/Tungngod ABC: Php 1,140,000.00 Cost of Bid Docs: 5,000.00 The Procurement Schedules are as following: 1. Deadline of buying of Bid Docs: June 24, 2020 @ 5:00 PM 2. Deadline for submission of Bid Docs: June 25,</t>
  </si>
  <si>
    <t xml:space="preserve"> Date: June 10, 2020 The MANAGER		Quotation/Bid No. F501-CS-153-20 JENJAINA CONSTRUCTION &amp; SUPPLY Zone 1, Baras, Canaman, Camarines Sur	Purpose: Supply/Delivery of Construction Materials for use of NIA-THIRIS for SAN NICOLAS PIS (FAW), Canaman, Camarines S</t>
  </si>
  <si>
    <t xml:space="preserve"> INVITATION TO BID No. IB-2020-VI-30-03 The Municipality of Sibalom through its Bids &amp; Awards Committee (BAC), invites bidders/contractors to apply for eligibility and to bid for the hereunder project: Project           	 	:	 Farm to Market Road (Various B</t>
  </si>
  <si>
    <t xml:space="preserve"> 250m Sidewalk &amp; Gutter</t>
  </si>
  <si>
    <t xml:space="preserve"> Republic of the Philippines BOHOL ISLAND STATE UNIVERSITY Main Campus, Tagbilaran City INVITATION TO BID FOR PR NO. 2020-02-0192-MAIN-SUPPLY AND DELIVERY OF AUDIO AND VISUAL EQUIPMENT (TV SETS) FOR INSTRUCTIONAL PURPOSES OF CTAS 1.	The Bohol Island State </t>
  </si>
  <si>
    <t xml:space="preserve"> For installation of structured cabling system at the new office of Mindanao Station at City Tourism Office, City Hall Complex, Cagayan de oro City Requirements: 1.  Philgeps Registration 2.  BIR Registration (Form 2303) 3.  2020 Mayors permit See attached</t>
  </si>
  <si>
    <t xml:space="preserve"> Date: June 10, 2020 The MANAGER		Quotation/Bid No. F501-CS-152-20 JENJAINA CONSTRUCTION &amp; SUPPLY Zone 1, Baras, Canaman, Camarines Sur	Purpose: Supply/Delivery of Construction Materials for use of NIA-THIRIS for SAN FRANCISCO PIS (FAW), Canaman, Camarines</t>
  </si>
  <si>
    <t xml:space="preserve"> 5 pcs 7.50 x 154x14 PR tires with flap &amp; tube, rough PEO</t>
  </si>
  <si>
    <t xml:space="preserve"> The Local  Government   Unit  of General  Santos  City, through  the  GENERAL FUND CY 2020  intends  to apply  the sum of one hundred sixty one thousand and xx / 100 Pesos Only (161,000.00)   being  the Approved  Budget  for the Contract   (ABC) to paymen</t>
  </si>
  <si>
    <t xml:space="preserve"> INVITATION TO BID No. IB-2020-VI-30-04 The Municipality of Sibalom through its Bids &amp; Awards Committee (BAC), invites bidders/contractors to apply for eligibility and to bid for the hereunder project: Project           	 	:	 Traffic Sign with Stand (SITMO</t>
  </si>
  <si>
    <t xml:space="preserve"> Republic of the Philippines CITY GOVERNMENT OF LA CARLOTA BIDS AND AWARDS COMMITTEE OFFICE TEL. NO.  735-1370                                                                                                      	               	         INVITATION TO BID </t>
  </si>
  <si>
    <t xml:space="preserve"> This project  entails on bus hiring (sweeper team) for use during Covid-19 pandemic emergency response of LGU-Magallanes.</t>
  </si>
  <si>
    <t xml:space="preserve"> PLEASE SEE ATTACHED ASSOCIATED COMPONENT</t>
  </si>
  <si>
    <t xml:space="preserve"> REPAIR/REPAINTING OF OFFICE Supply of labor, materials and technical expertise for the repair/repainting of Office and Operator’s Quarter Scope of Works: 1. Mobilization of materials and equipment 2. Dismantling of dilapidated roofs, trusses and ceiling b</t>
  </si>
  <si>
    <t xml:space="preserve"> Date: June 10, 2020 The MANAGER		Quotation/Bid No. F501-CS-154-20 WILLPRINT GRAPHICS CENTRE INC. Concepcion, Naga City	Purpose: Supply/Delivery of Advertising Materials for use of Institutional Unit NIA-CSIMO, Naga City 	 REQUEST FOR QUOTATION Please quot</t>
  </si>
  <si>
    <t xml:space="preserve"> Invitation to Bid for  INFRA 2K20-49 CONCRETING OF BINUAY TO BALUNO ROAD SECTION Dimataling, Zamboanga del Sur June 10, 2020 1.	The Provincial Government of Zamboanga del Sur, through the 20% EDF CY 2020 intends to apply the sum of Nineteen Million Five H</t>
  </si>
  <si>
    <t xml:space="preserve"> The Local  Government   Unit  of General  Santos  City, through  the  GENERAL FUND CY 2020  intends  to apply  the sum of three hundred forty two thousand three hundred seventy two and xx / 100 Pesos Only (342,372.00)   being  the Approved  Budget  for th</t>
  </si>
  <si>
    <t xml:space="preserve"> The Local  Government   Unit  of General  Santos  City, through  the  GENERAL FUND CY 2020  intends  to apply  the sum of three hundred seventy four thousand eight hundred twenty and xx / 100 Pesos Only (374,820.00)   being  the Approved  Budget  for the </t>
  </si>
  <si>
    <t xml:space="preserve"> 120m concrete pavement</t>
  </si>
  <si>
    <t xml:space="preserve"> Facilities for Engineer, Other General Requirements, Earthworks, Subbase and Base Course, Surface Courses, Drainage and slope Protection Structures, Miscellaneous Structures</t>
  </si>
  <si>
    <t xml:space="preserve"> 1	Unit	LAPTOP 		Display :      Retina display  16inch LED-backlit display with IPS technology; 2560‑by‑1600 native resolution at 227 pixels per inch with support for millions of colors  Supported scaled resolutions:    1680 by 1050    1440 by 900    1024 </t>
  </si>
  <si>
    <t xml:space="preserve"> INVITATION TO BID No. IB-2020-VI-30-05 The Municipality of Sibalom through its Bids &amp; Awards Committee (BAC), invites bidders/contractors to apply for eligibility and to bid for the hereunder project: Project           	 	:	 Construction of Barangay Healt</t>
  </si>
  <si>
    <t xml:space="preserve"> INVITATION TO BID INSTALLATION OF TWO (2) UNITS ARTESIAN WELL FOR IRRIGATION SYSTEM (LABOR SERVICES) – 2ND BIDDING 1.	The Local Government Unit of Cabadbaran City through the GENERAL FUND intends to apply the sum of TWO HUNDRED THOUSAND PESOS ONLY (P 200,</t>
  </si>
  <si>
    <t xml:space="preserve"> ITEM	ITEM  DESCRIPTION	QTY	UNIT NO.			 1	Piglets (45 - 65 days)	24	heads</t>
  </si>
  <si>
    <t xml:space="preserve"> 4 units diamond core, drill bit PEO</t>
  </si>
  <si>
    <t xml:space="preserve"> INVITATION TO BID The City of Bayawan, through its Bids and Awards Committee (BAC), invites suppliers/manufacturers/distributors/contractors to bid for the hereunder projects: 	Lot No. I		Tarpaulin Printing					 1	1	lot	"Labor and Materials ( Tarpaulin Pr</t>
  </si>
  <si>
    <t xml:space="preserve"> Republika ng Pilipinas PAMAHALAANG LUNGSOD NG TACLOBAN (City Government of Tacloban) Kanhuraw Hill, Tacloban City 6500 BIDS AND AWARDS COMMITTEE INVITATION TO BID  REF #041-06-2020 (JUNE 11, 2020) PR# 2020-647 DATED 05-28-2020 7040183 The Procuring Entity</t>
  </si>
  <si>
    <t xml:space="preserve"> Location:  Burnay/Cudog/Montabiong/Pob. North/Buyabuyan ABC: Php 1,100,000.00 Cost of Bid Docs: 5,000.00 The Procurement Schedules are as following: 1. Deadline of buying of Bid Docs: June 24, 2020 @ 5:00 PM 2. Deadline for submission of Bid Docs: June 25</t>
  </si>
  <si>
    <t xml:space="preserve"> We are looking for a supplier of vehicle battery (9 plates) for more details please see attached request for quotation. Please submit your original quotations on or before closing date in a sealed envelope and or/ e-mailed together with your Business Perm</t>
  </si>
  <si>
    <t xml:space="preserve"> 375 BAG/S PORTLAND CEMENT - with delivery at Municipal Warehouse - Type 1</t>
  </si>
  <si>
    <t xml:space="preserve"> 1	Piston Repair Kit S4881152	1	pcs 2	Neck Repair Kit S4881152	1	pcs 3	Repair Kit S4880730	4	pcs 4	Repair Kit S4881007	1	pcs 5	Neck Repair Kit S4891005	1	pcs 6	Neck Repair Kit S4890960	1	pcs 7	Neck Repair Kit S4890900	2	pcs 8	Repair Kit S4880830	2	pcs 9	Re</t>
  </si>
  <si>
    <t xml:space="preserve"> REQUEST FOR QUOTATION The Municipal Government of Magsaysay, Palawan, through its Bids and Awards Committee (BAC), will undertake a Small Value Procurement for the “Office Equipment for Isolation Unit” in accordance with Section 53.9 of the Implementing R</t>
  </si>
  <si>
    <t xml:space="preserve"> as per BSP Technical Specifications</t>
  </si>
  <si>
    <t xml:space="preserve"> Republic of the Philippines BOHOL ISLAND STATE UNIVERSITY Main Campus, Tagbilaran City INVITATION TO BID FOR PR NO. 2020-02-0190-MAIN-SUPPLY AND DELIVERY OF HOTEL HOUSEKEEPING INSTRUCTIONAL AND LABORATORY MATERIALS FOR THE COLLEGE OF BUSINESS ARTS AND SCI</t>
  </si>
  <si>
    <t xml:space="preserve"> Cylinders: 4-cylinders, L type Valve Mechanism: 16-valve DOHC Displacement: 2,982cc Maximum output: 136/3,400 Ps/Rpm Maximum torque: 300/1,200-2,400 Nm/Rpm Bore &amp; stroke: 92.0 x 103.0 mm Fuel system: Common-rail type Emission standard: Euro 4 Overall leng</t>
  </si>
  <si>
    <t xml:space="preserve"> Location:  Cudog/Pob. West/Banga/Pob. North ABC: Php 1,200,000.00 Cost of Bid Docs: 5,000.00 The Procurement Schedules are as following: 1. Deadline of buying of Bid Docs: June 24, 2020 @ 5:00 PM 2. Deadline for submission of Bid Docs: June 25, 2020 @ 9:0</t>
  </si>
  <si>
    <t xml:space="preserve"> Project Description: Construction of 1m x 1.0m x 980m Long Drainage Canal with units of 1x1x7m Box Culvert Item No. - Description				Percent of Total	Unit	Quantity 						 						 I		STANDARD BILLBOARD		0.07%	Each	1.00 II		REMOVAL OF EXISTING STRUCTURE		7.7</t>
  </si>
  <si>
    <t xml:space="preserve"> INVITATION TO BID No. IB-2020-VI-30-06 The Municipality of Sibalom through its Bids &amp; Awards Committee (BAC), invites bidders/contractors to apply for eligibility and to bid for the hereunder project: Project           	 	:	 Construction of Barangay Healt</t>
  </si>
  <si>
    <t xml:space="preserve"> Purchase of office and school supplies</t>
  </si>
  <si>
    <t xml:space="preserve"> Invitation to Bid for  INFRA 2K20-50 CONCRETING OF ROAD FROM JOSEFINA TO BALINTAWAK, MARGOSATUBIG (PHASE I) Margosatubig, Zamboanga del Sur June 10, 2020 1.	The Provincial Government of Zamboanga del Sur, through the 20% EDF CY 2020 intends to apply the s</t>
  </si>
  <si>
    <t xml:space="preserve"> Complete line of pasteurization, Homogenization equipment with rated capacity of 3,500 liters per day 	Provision of Warehouse/area where milk pouches can be stored 	Provision of area where additional equipment may be installed 	Plant must have license-to-</t>
  </si>
  <si>
    <t xml:space="preserve"> 1	30	pcs	2"x2"x12' lumber		 2	30	pcs	2"x4"x12' lumber		 3	20	pcs	2"x3"x12' lumber		 4	10	pcs	1/2"x10"x8' Cenepa hardiflex		 5	6	pcs	#50 pre coated spanish flashing		 6	12	pcs	#50 pre coated spanish type gutter		 7	16	pcs	1/4" thick marine plywood		 8	2	kg</t>
  </si>
  <si>
    <t xml:space="preserve"> Area = 648 sq. m., 324m L</t>
  </si>
  <si>
    <t xml:space="preserve"> Supply and Delivery of the following materials: 1.) ANGLE BAR, 2``X2``X1/4`` - 45 pcs. 2.) FLAT BAR, 3``X1/4``,STD - 15 pcs. 3.) ROUND BAR, 1/2`` DIAMETER, PLAIN - 25 pcs. 4.) BOLTS &amp; NUTS W/ PLAIN &amp; LOCK WASHER, 1/2``X 2``,US - 170 sets 5.) BOLTS &amp; NUTS </t>
  </si>
  <si>
    <t xml:space="preserve"> Construction of Flood Control Structures along Zapote River and its Tributaries</t>
  </si>
  <si>
    <t xml:space="preserve"> 1 set CCTV PEO</t>
  </si>
  <si>
    <t xml:space="preserve"> 1. The total approved budget for the contract for the SUPPLY AND DELIVERY OF ASSORTED uPVC PIPES is PhP 207,000.00 2. Price quotations must include all taxes, duties, and/or levies payable and must be valid for 30 days. 3. Suppliers must specify the BRAND</t>
  </si>
  <si>
    <t xml:space="preserve"> INVITATION TO BID INSTALLATION OF STREET LIGHTS ALONG SANGHAN - ANTONIO LUNA PROVINCIAL ROAD IN BARANGAY SANGHAN, CABADBARAN CITY - 2ND BIDDING 1.	The Local Government Unit of Cabadbaran City through the PEACE &amp; ORDER FUND under EO 70 ELCAC IMPLEMENTATION</t>
  </si>
  <si>
    <t xml:space="preserve"> INVITATION TO BID No. IB-2020-VI-30-07 The Municipality of Sibalom through its Bids &amp; Awards Committee (BAC), invites bidders/contractors to apply for eligibility and to bid for the hereunder project: Project           	 	:	 Construction of Barangay Healt</t>
  </si>
  <si>
    <t xml:space="preserve"> Establishment of Water System and Repair &amp; Improvement of Entrance Gate &amp; Guard House for JRMSU-Tampilisan Campus</t>
  </si>
  <si>
    <t xml:space="preserve"> The Local  Government   Unit  of General  Santos  City, through  the  GENERAL FUND CY 2020  intends  to apply  the sum of nine hundred seventy thousand and xx / 100 Pesos Only (970,000.00)   being  the Approved  Budget  for the Contract   (ABC) to payment</t>
  </si>
  <si>
    <t xml:space="preserve"> We are looking for a supplier for repair and maintenance materials of BWD Vehicle , for more details please see attached request for quotation. Please submit your original quotations on or before closing date in a sealed envelope, and or e-mailed together</t>
  </si>
  <si>
    <t xml:space="preserve"> Republic of the Philippines Department of Health Central Luzon Center for Health Development Talavera General Hospital Talavera, Nueva Ecija    ISO QMS Certified INVITATION TO BID  Re-Bidding of Supply and Delivery of One (1) Lot Various Engineering and M</t>
  </si>
  <si>
    <t xml:space="preserve"> Republic of the Philippines WESTERN PHILIPPINES UNIVERSITY          A STRONG PARTNER FOR SUSTAINABLE DEVELOPMENT BIDS AND AWARDS COMMITTEE Invitation to Bid for Supply, Delivery and Installation of Digital Speech Laboratory The Western Philippines Univers</t>
  </si>
  <si>
    <t xml:space="preserve"> BAC RESOLUTION NO. 312-2020 “A RESOLUTION DECLARING FAILURE OF BIDDING AND RECOMMEND FOR ALTERNATIVE MODE OF PROCUREMENT” WHEREAS, the Bids and Awards Committee (BAC) thru the Secretariat published in PhilGEPS and in any conspicuous places the purchase of</t>
  </si>
  <si>
    <t xml:space="preserve"> Facilities for Engineer, Other General Requirements, Earthworks, Subbase and Base Course, Surface Courses, Drainage and Slope Protection Structures, Miscellaneous Structures</t>
  </si>
  <si>
    <t xml:space="preserve"> CONSTRUCTION OF SLOPE PROTECTION</t>
  </si>
  <si>
    <t xml:space="preserve"> Demolition of existing wall and window, structure excavation, concrete works with reinforcement  for footing, wall footing, column and concrete pouring for slab, masonry works for right side-window, rear side, installation of structural steel for roof fra</t>
  </si>
  <si>
    <t xml:space="preserve"> The Local  Government   Unit  of General  Santos  City, through  the  GENERAL FUND CY 2020  intends  to apply  the sum of eight hundred four thousand twenty three and 44 / 100 Pesos Only (804,023.44)   being  the Approved  Budget  for the Contract   (ABC)</t>
  </si>
  <si>
    <t xml:space="preserve"> Surplus Common Excavation, Structure Excavation (Common Soil), Embankment from Roadway Excavation, Subgrade Preparation (Common Material), Aggregate Sub-base Course, (20 cm. thk.), Portland Cement Concrete Pavement (unreinforced, 0.15m thick, 14 days), Co</t>
  </si>
  <si>
    <t xml:space="preserve"> Procurement of furnitures for use in various offices, DPWH, Negros Occidental 3rd District Engineering Office, Kabankalan City. 1.	The DPWH Negros Occidental 3rd District Engineering Office, Kabankalan City through the FY 2020 EAO intends to apply the sum</t>
  </si>
  <si>
    <t xml:space="preserve"> Please download ITB in the Associated Components</t>
  </si>
  <si>
    <t xml:space="preserve"> Republic of the Philippines Province of Lanao del Norte Municipality of Tubod OFFICE OF THE BIDS AND AWARDS COMMITTEE INVITATION TO BID CONSTRUCTION/CONCRETING OF 270 LN. M. LOCAL ACCESS ROAD   Purok 5, TCES, Poblacion, Tubod, Lanao del Norte  (ITB-2020-J</t>
  </si>
  <si>
    <t xml:space="preserve"> 1	Unit 	PROJECTOR 		Projection System :    3LCD Technology, RGB liquid crystal shutter 		LCD Panel :    0.55 inch with MLA (D10) 		Image :     		Colour Light Output :    3,600 Lumen- 2,235 Lumen (economy) In accordance with IDMS15.4 		White Light Output :</t>
  </si>
  <si>
    <t xml:space="preserve"> Republic of the Philippines MUNICIPALITY OF BUENAVISTA INVITATION TO BID FOR SUPPLY AND DELIVERY OF MATERIALS FOR IMPROVEMENT OF YOOK HEALTH CENTER   1.	The Local Government Unit of Buenavista, Marinduque through the fund from 20 Development Fund CY 2020 </t>
  </si>
  <si>
    <t xml:space="preserve"> Kindly see attached documents</t>
  </si>
  <si>
    <t xml:space="preserve"> Republic of the Philippines Province of Pangasinan BIDS AND AWARDS COMMITTEE Municipality of Calasiao INVITATION TO BID FOR  CONSTRUCTION OF LAUNDRY AREA WITH PLACENTA PIT, VAULT SLAB AND DRAINAGE OF BIRTHING AND NEW CALASIAO MUNICIPAL HEALTH CLINIC, AT C</t>
  </si>
  <si>
    <t xml:space="preserve"> Location: LGU-Lagawe ABC: Php 310,632.00 Cost of Bid Docs: 500.00 The Procurement Schedules are as following: 1. Deadline of buying of Bid Docs: June 24, 2020 @ 5:00 PM 2. Deadline for submission of Bid Docs: June 25, 2020 @ 9:00 AM 3. Opening of Bids: Ju</t>
  </si>
  <si>
    <t xml:space="preserve"> The Local  Government   Unit  of General  Santos  City, through  the  GENERAL FUND CY 2020  intends  to apply  the sum of two hundred forty one thousand four hundred forty and xx / 100 Pesos Only (241,440.00)   being  the Approved  Budget  for the Contrac</t>
  </si>
  <si>
    <t xml:space="preserve"> 30 units Fabrication of Light trap Note: Please attach legal documents and updated PhilGEPS Certificate, failure to submit your bid documents will not be considered for the opening by the BAC. Please refer to RA 9184-GPPB Revised IRR Series of 2016 Append</t>
  </si>
  <si>
    <t xml:space="preserve"> Project Description: Construction of 380m x 6m Item No. - Description				Percent of Total	Unit	Quantity 						 						 I	BILLBOARDS/SIGNAGES			0.07%	lot	1.00 II	 CLEARING AND GRUBBING 			2.99%	sq.m	2,660.00 III	 EMBANKMENT 			22.85%	cu.m	2,432.00 IV	 AGGRE</t>
  </si>
  <si>
    <t xml:space="preserve"> REQUEST FOR QUOTATIONS Supply and Delivery of Office Supplies and Computer Supplies for BUGS Registrar’s Office The Bicol University, through the Corporate Budget for the contract approved by the Board of Regents intends to apply the sum of One Hundred Fi</t>
  </si>
  <si>
    <t xml:space="preserve"> To All Eligible Suppliers; Please quote your lowest price on the item listed below subject to the General Conditions stated herein and submit the same to the Office of the BAC-Secretariat on or before June 23, 2020 at 10:00 o'clock in the morning. (SGD) W</t>
  </si>
  <si>
    <t xml:space="preserve"> Republic of the Philippines Province of Cagayan Municipality of Sta. Praxedes BIDS AND AWARDS COMMITTEE	 Invitation to Bid Supply and Delivery of Construction Materials for the Slope Protection @ Star Village Barangay Cadongdongan ITB – Goods – 2020 -06-0</t>
  </si>
  <si>
    <t xml:space="preserve"> Supply of Labor and Materials for Rehabilitation / Restoration of Kalayaan Hall Exterior</t>
  </si>
  <si>
    <t xml:space="preserve"> Name of Contract: Concreting of Pal-ew-Sto. Niño Road, Barangay Pal-ew (Additional Allocation) and Concreting of Sto. Niño-Pal-ew Road, Barangay Sto. Niño (Additional Allocation) IAC Classification: Small "B" for Roads PCAB Category "D" Duration: 90 Calen</t>
  </si>
  <si>
    <t xml:space="preserve"> Description   Section I Republic of the Philippines Province of Sarangani Municipality of Maitum OFFICE OF BIDS AND AWARDS COMMITTEE Invitation to Bid for Vehicle Parts for Repair and Maintenance of Light Vehicle 1. The Local Government of Maitum, through</t>
  </si>
  <si>
    <t xml:space="preserve"> The Government of the Philippines (GOP) has received a loan from World Bank towards the cost of Philippine Rural Development Project, and it intends to apply part of the proceeds of this Loan to payments for the procurement of Consumables/Ink/Toner Intend</t>
  </si>
  <si>
    <t xml:space="preserve"> Smartphone, Realme 6, storage: 128gb, RAM: 8gb, Display Android Smartphone</t>
  </si>
  <si>
    <t xml:space="preserve"> TO PURCHASE SOLAR PANEL TO BE USE AS  ELECTRICITY SOURCE OF BRGY. MULTIPURPOSE HALL..</t>
  </si>
  <si>
    <t xml:space="preserve"> Republic of the Philippines Province of Misamis Oriental Municipality of Lugait -oOo- INVITATION TO BID FOR THE PROCUREMENT OF 1-UNIT BRAND NEW GOVERNMENT VEHICLE (AMBULANCE TYPE) FOR THE USE OF LOCAL GOVERNMMENT UNIT OF LUGAIT, MISAMIS ORIENTAL. The Muni</t>
  </si>
  <si>
    <t xml:space="preserve"> 1.	The Local Government Unit (LGU) of Aroroy, through its Supplemental Budget No. 05 - 2020 to apply the sum of Php 2,000,000.00 being the Approved Budget for the Contract (ABC) to payments under the contract for Supply and Delivery of Supplies/Materials </t>
  </si>
  <si>
    <t xml:space="preserve"> Procurement of Services and Provision of One Hundred Twenty-Five (125) Units Brand New Multi-Function Printers (MFP) for the Printing and Photocopying Requirements of Various OP Offices for FY 2020</t>
  </si>
  <si>
    <t xml:space="preserve"> Item No.	Qty	Unit	Article / Description 1	1	lot	"Internet Installation  - ladderized pole ranging 100ft.or more depending on the requirement of the location for 28 public schools - WIFI ready (Labor and Materials and Maintenance after sales included)"</t>
  </si>
  <si>
    <t xml:space="preserve"> 40	pcs	SOLID STATE DRIVE (SSD)  		Desired Technical Specification  		Interface : SATA 6 Gb/ s Interface  		Capacity: 250Gb 		Sequencial Read: 550 MB/ s 		Sequencial Write: 520 MB/ s 		Random Read read up to IOPS: 95K 		Random Write read up to IOPS: 81K 		</t>
  </si>
  <si>
    <t xml:space="preserve"> INVITATION TO BID No. IB-2020-VI-30-08 The Municipality of Sibalom through its Bids &amp; Awards Committee (BAC), invites bidders/contractors to apply for eligibility and to bid for the hereunder project: Project           	 	:	 Construction of Barangay Healt</t>
  </si>
  <si>
    <t xml:space="preserve"> 1.	The Local Government Unit of Aroroy, through its Annual Budget (20% DF)  intends to apply the sum of Php 500,000.00 being the Approved Budget for the Contract (ABC) to payments under the contract for Expansion of Pier at Brgy. Amotag.  Bids received in</t>
  </si>
  <si>
    <t xml:space="preserve"> Project Description: Re-Blocking of 6 x 538m Las Navas Municipal Road Item No. - Description				Percent of Total	Unit	Quantity 						 						 I	BILLBOARDS/SIGNAGES			0.07%	lot	1.00 II	 Removal of Existing Structure 			11.52%	sq.m	3,228.00 III	 BASE PREPARA</t>
  </si>
  <si>
    <t xml:space="preserve"> QUOTATION FORM For Negotiated Procurement due to Two-Failed Bidding Registered Name  of Establishment:		Date: Mode of Procurement:	June 10, 2020 Negotiated Procurement (Two-Failed Bidding) Address: 		Quotation No.	TFB-2020-003Recanvass Contact No.		PR No.</t>
  </si>
  <si>
    <t xml:space="preserve"> QUOTATION FORM For Negotiated Procurement due to Two-Failed Bidding Registered Name  of Establishment:		Date: Mode of Procurement:	June 10, 2020 Negotiated Procurement (Two-Failed Bidding) Address: 		Quotation No.	TFB-2020-004Recanvass Contact No.		PR No.</t>
  </si>
  <si>
    <t xml:space="preserve"> INVITATION TO BID No. IB-2020-VI-30-10 The Municipality of Sibalom through its Bids &amp; Awards Committee (BAC), invites bidders/contractors to apply for eligibility and to bid for the hereunder project: Project           	 		:	Construction Materials (Egana </t>
  </si>
  <si>
    <t xml:space="preserve"> Invitation to Bid for QRF2020-RVI-022-ILOILO-B1-L1 ITB No. 007 The Department of Education (DepED) Schools Division of Iloilo, through the CY 2020 Quick Response Fund (QRF), intends to apply the sum Five Million Eighty Eight Thousand Eight Hundred Twenty </t>
  </si>
  <si>
    <t xml:space="preserve"> Republic of the Philippines Province of Misamis Oriental Municipality of Lugait -oOo- PROCUREMENT OF OFFICE FURNITURE ADDITIONAL (OFFICE TABLES, CABINET &amp; CHAIRS), DELIVERY AND INSTALLATION FOR THE USE OF LOCAL GOVERNMMENT UNIT OF LUGAIT, MISAMIS ORIENTAL</t>
  </si>
  <si>
    <t xml:space="preserve"> The Department of Education, Schools Division of Puerto Princesa Bids and Awards Committee through the FY 2020  General Appropriation Act intends to apply the sum of One Million Seven Hundred Seventy Seven Thousand Six Hundred Thirteen Pesos and 88/100 On</t>
  </si>
  <si>
    <t xml:space="preserve"> 1 unit HP Laserjet Printer Pro 200 color 3 units canon pixma MX 532 wireless all in one printer</t>
  </si>
  <si>
    <t xml:space="preserve"> QUOTATION FORM For Negotiated Procurement due to Two-Failed Bidding Registered Name  of Establishment:		Date: Mode of Procurement:	June 10, 2020 Negotiated Procurement (Two-Failed Bidding) Address: 		Quotation No.	TFB-2020-005 Contact No.		PR No. 	EP-19-1</t>
  </si>
  <si>
    <t xml:space="preserve"> Item No.	Qty	Unit	Article / Description 1	30	units	"LAPTOP  - CPU: Ryzen 5 - RAM: 4GB - 8GB - SSD: 240 - 256GB - HDD: 500GB - 1TB - WINDOWS 10 - MS Office - Wifi Ready - MONITOR RES: 1920 x 1080P (FHD)"</t>
  </si>
  <si>
    <t xml:space="preserve"> supply and delivery of one unit Dosing Pump with accessories, EMEC, K CL PLUS (Constant Dosing System with level control)</t>
  </si>
  <si>
    <t xml:space="preserve"> 1. CABINET FILING STEEL, 3-DRAWERS IN POWDER COATED METAL BODY &amp; 5 OTHERS DELIVERY SITE:     OM-BOD OFFICE                             PEÑAFRANCIA, DARAGA, ALBAY PLEASE SUBMIT REQUIREMENTS: 1	MAYOR’S/BUSINESS PERMIT 2	PhilGEPS REG. NUMBER/CERTIFICATE</t>
  </si>
  <si>
    <t xml:space="preserve"> Republic of the Philippines PROVINCE OF ALBAY 				   Municipality of Rapu-Rapu Invitation to Bid for  Local Access Road in Poblacion to Guadalupe  1.	The Local Government Units of Rapu-Rapu, Albay through the Approved 2019 LGSF-Assistance to the Municipal</t>
  </si>
  <si>
    <t xml:space="preserve"> TO PURCHASE MINI DUMP TRUCK AS TO BE USE FOR THE COLLECTION OF GARBAGE AT BRGY. MUZON I.</t>
  </si>
  <si>
    <t xml:space="preserve"> Republic of the Philippines Province of Davao Oriental City of Mati BIDS &amp; AWARDS COMMITTEE INVITATION TO BID LOT Procurement of AIR CONDITIONERS for the Use of DOPH Gov. Generoso SOURCE OF FUND: GF-CAPITAL OUTLAY [4421-4-300-5-02-13-050] 1.	The Provincia</t>
  </si>
  <si>
    <t xml:space="preserve"> Supply &amp; Delivery: 10,000 pcs. Plastic, transparent, 40 Height × 40 Length</t>
  </si>
  <si>
    <t xml:space="preserve"> Fabrication of Classroom (Container Van)</t>
  </si>
  <si>
    <t xml:space="preserve"> CCTV with 5 HD infrared/waterproof camera heavy duty wire and 42'' Led TV Monitor</t>
  </si>
  <si>
    <t xml:space="preserve"> CONCRETING OF BARANGAY NAGCANASAN FMR Contract Location:                    Barangay Nagcanasan, Pilar, Abra Brief Description:                     Concreting of Road using PCCP (Unreinforced, 0.20m thk. 14 days) The DPWH-Abra District Engineering Office </t>
  </si>
  <si>
    <t xml:space="preserve"> INVITATION TO BID (GOODS) The Municipality of Sibonga, through the Trust Fund intends to apply the sum of Four hundred ninety-nine thousand nine hundred pesos only (499,900.00) being the Approved Budget for the Contract (ABC) to payment under the contract</t>
  </si>
  <si>
    <t xml:space="preserve"> Republic of the Philippines Province of Davao Oriental City of Mati BIDS &amp; AWARDS COMMITTEE INVITATION TO BID LOT Procurement of MATERIALS for Use of Brgy. Lucatan, Tarragona, Davao Oriental SOURCE OF FUND: PGO [1999Z4-B-5-02-14-030] 1.	The Provincial Gov</t>
  </si>
  <si>
    <t xml:space="preserve"> Name of Contract: Concreting of Road Leading to Jacinto Aguilar M/S Barangay Tugas, Concreting of Road Leading to Buyao-Tugas and Concreting of Road Sito Canlibot, Barangay Tugas IAC Classification: Small "B" for Roads PCAB Category "D" Duration: 90 Calen</t>
  </si>
  <si>
    <t xml:space="preserve"> Republic of the Philippines Province of South Cotabato City of Koronadal BIDS AND AWARDS COMMITTEE INVITATION TO BID FOR THE  Procurement for the Supply and Delivery of 11,100 Sets Educational School Supplies for Public School Grades 1-3 Students of the C</t>
  </si>
  <si>
    <t xml:space="preserve"> Construction of Multipurpose Building with a floor area of 7.00m x8.00m consist of the following scope of works: Masonry works for Septic Vault; Concrete Works for Slab, Sidewalk and Septic Vault(Slab); Plastering Works for all elevation  including Parape</t>
  </si>
  <si>
    <t xml:space="preserve"> I. STRUCTURE EXCAVATION, MANUAL				 II. STRUCTURE BACKFILL, MANUAL				 III. CLASS A CONCRETE				 IV. RUBBLE MASONRY				 V. 2" DIAMETER PERFORATED PIPE W/ END CUP				 VI. FILTER DRAIN				 VII. REINFORCING STEEL BARS				 FURNISHING &amp; STOCKPILING				 CUT, BE</t>
  </si>
  <si>
    <t xml:space="preserve"> PCCP (new)</t>
  </si>
  <si>
    <t xml:space="preserve"> Invitation to Bid for QRF2020-RVI-022-ILOILO-B1-L4 ITB No. 010 The Department of Education (DepED) Schools Division of Iloilo, through the CY 2020 Quick Response Fund (QRF), intends to apply the sum Three Million Six Hundred Ninety Thousand Nine Hundred T</t>
  </si>
  <si>
    <t xml:space="preserve"> Republic of the Philippines Province of Samar  Municipality of Jiabong INVITATION TO BID FOR  CONSTRUCTION  OF PERIMETER FENCE OF NATIONAL CHILD DEVELOPMENT CENTER Jiab-2020-20A 1.	The Municipal Government of Jiabong, Samar, intends to apply the sum of ON</t>
  </si>
  <si>
    <t xml:space="preserve"> Republic of the Philippines Province of Davao Oriental City of Mati BIDS &amp; AWARDS COMMITTEE INVITATION TO BID LOT Procurement of MATERIALS for Use in the Construction of Staff House at Tourism Complex, Brgy. Don Martin Marundan, City of Mati, Davao Orient</t>
  </si>
  <si>
    <t xml:space="preserve"> Construction of Multipurpose Building with a floor area of 7.00m x8.00m consist of the following scope of works;Plastering Works; Painting works for all elevation including parapet walls and ceiling; Fabrication and installation of Doors and Windows; as p</t>
  </si>
  <si>
    <t xml:space="preserve"> DESCRIPTION: 101 REMOVAL OF STRUCTURES AND OBSTRUCTION 105 SUBGRADE PREPARATION 201 AGGRAGATE BASE COURSE 311 PCC PAVEMENT, PLAIN  SPL -1 WARNING &amp; HAZARD SIGNS INCLUDING BOLLARDS SPL- 2 HEALTH AND SAFETY SPL-3 BILLBOARD (4 X8 TARPAULIN ON 2 X3 WOODEN FRA</t>
  </si>
  <si>
    <t xml:space="preserve"> 1. The total approved budget for the contract for the SUPPLY AND DELIVERY OF SUBMERSIBLE PUMP, MOTOR, THERMAL OVERLOAD RELAY AND #10 Submersible Cable, 3C is PhP 112,100.00 2. Price quotations must include all taxes, duties, and/or levies payable and must</t>
  </si>
  <si>
    <t xml:space="preserve"> Republic of the Philippines Department of Health Cagayan Valley Center for Health Development BATANES GENERAL HOSPITAL Basco, Batanes E-mail Address: bataneshospital@gmail.com INVITATION TO BID ITB NO. 2020-06 Supply &amp; Delivery of Various Medicines 1. The</t>
  </si>
  <si>
    <t xml:space="preserve"> Republika ng Pilipinas								 NATIONAL IRRIGATION ADMINISTRATION								 Pambansang Pangasiwaan ng Patubig								 Negros Occidental Irrigation Management Office								 Celis St. Bago City, Negros Occidental								 (034) 461-0494, (034) 454-2033							</t>
  </si>
  <si>
    <t xml:space="preserve"> Invitation to Bid for QRF2020-RVI-022-ILOILO-B1-L5 ITB No. 011 The Department of Education (DepED) Schools Division of Iloilo, through the CY 2020 Quick Response Fund (QRF), intends to apply the sum Four Million Three Hundred Thirty Seven Thousand Seven H</t>
  </si>
  <si>
    <t xml:space="preserve"> Supply and Delivery of 70 bags Okra Seeds- 1 kilo, 70 bags Sitao Seeds- 1 kilo, 45 bags Pechay seeds- 1 kilo, 45 bags Radish Seeds- 1 kilo, 70 cans Eggplant Seeds- 50 grams, 115 bag Complete Fertilizer, etc.....</t>
  </si>
  <si>
    <t xml:space="preserve"> Invitation to Bid for QRF2020-RVI-022-ILOILO-B1-L2 ITB No. 008 The Department of Education (DepED) Schools Division of Iloilo, through the CY 2020 Quick Response Fund (QRF), intends to apply the sum Five Million One Hundred Sixty Two Thousand Four Hundred</t>
  </si>
  <si>
    <t xml:space="preserve"> Republic of the Philippines Province of South Cotabato City of Koronadal BIDS AND AWARDS COMMITTEE INVITATION TO BID FOR THE  Procurement for the Supply and Delivery of 11,653 Sets Educational School Supplies for Public School Grades 4-6 Students of the C</t>
  </si>
  <si>
    <t xml:space="preserve"> CONCRETING OF BARANGAY GUINGUINABANG FMR Contract Location:                     Barangay Guinguinabang, Lacub, Abra Brief Description:                     Concreting of Road using PCCP (Unreinforced, 0.20m thk.) The DPWH-Abra District Engineering Office r</t>
  </si>
  <si>
    <t xml:space="preserve"> Republic of the Philippines Province of South Cotabato City of Koronadal BIDS AND AWARDS COMMITTEE INVITATION TO BID FOR THE  Procurement for the Supply and Delivery of 3,700 Pieces School Bags for Public School Grade – 1 Pupils of the City 1.	The City Go</t>
  </si>
  <si>
    <t xml:space="preserve"> Republic of the Philippines Cordillera Administrative Region Provincial Local Government Unit of Ifugao BIDS AND AWARDS COMMITTEE 2nd Floor COA Bldg., Capitol Compound Lagawe, Ifugao Email Ad.: bacgoodsifugao13@gmail.com INVITATION TO BID OFFICE EQUIPMENT</t>
  </si>
  <si>
    <t xml:space="preserve"> Republic of the Philippines Province of Samar  Municipality of Jiabong INVITATION TO BID FOR  REPAIR OF BARANGAY HALL (BRGY LULUGAYAN) Jiab-2020-21A 1.	The Municipal Government of Jiabong, Samar, intends to apply the sum of ONE HUNDRED FIFTY THOUSAND  PES</t>
  </si>
  <si>
    <t xml:space="preserve"> INVITATION TO BID (GOODS) The Municipality of Sibonga, through the General Fund intends to apply the sum of Six hundred seventy-seven thousand eight hundred seventy-five pesos only (677,875.00) being the Approved Budget for the Contract (ABC) to payment u</t>
  </si>
  <si>
    <t xml:space="preserve"> Invitation to Bid for QRF2020-RVI-022-ILOILO-B1-L6 ITB No. 012 The Department of Education (DepED) Schools Division of Iloilo, through the CY 2020 Quick Response Fund (QRF), intends to apply the sum Four Million Two Hundred Forty Three Thousand Eight Hund</t>
  </si>
  <si>
    <t xml:space="preserve"> Republic of the Philippines Cordillera Administrative Region Provincial Local Government Unit of Ifugao BIDS AND AWARDS COMMITTEE 2nd Floor COA Bldg., Capitol Compound Lagawe, Ifugao Email Ad.: bacgoodsifugao13@gmail.com INVITATION TO BID IT EQUIPMENT Pub</t>
  </si>
  <si>
    <t xml:space="preserve"> Construction of single storey 8.00 x 18.00 m. (144.00 sq.m.) Barangay Multi purpose building with amenities</t>
  </si>
  <si>
    <t xml:space="preserve"> Supply and Delivery of 5,600 pcs. Jumbo Yellow Pencil with Eraser, 97,250 pcs. Yellow Pencil with Eraser, 93,000 pcs. Ballpen 1.0mm, 27,400 pcs. Pentel pen Black, and 13,600 pcs. Colored Paper 20's assorted</t>
  </si>
  <si>
    <t xml:space="preserve"> Republic of the Philippines Province of Davao Oriental City of Mati BIDS &amp; AWARDS COMMITTEE INVITATION TO BID LOT Procurement of MATERIALS for Use of Brgy. Sto. Rosario, San Isidro, Davao Oriental SOURCE OF FUND: PGO [1999Z4-B-5-02-14-030] 1.	The Provinci</t>
  </si>
  <si>
    <t xml:space="preserve"> Republic of the Philippines Province of Davao Oriental City of Mati BIDS &amp; AWARDS COMMITTEE INVITATION TO BID LOT Procurement of MATERIALS for Use of Brgy. Taguibo, City of Mati, Davao Oriental SOURCE OF FUND: PGO [1999Z4-B-5-02-14-030] 1.	The Provincial </t>
  </si>
  <si>
    <t xml:space="preserve"> Republic of the Philippines 	CITY OF SAN PEDRO Province of Laguna BIDS AND AWARDS COMMITTEE INVITATION TO APPLY FOR ELIGIBILITY AND TO BID PR NO. 0224 1.	The City Government of San Pedro, Laguna through the 2020 Budget Approved by the Sangguniang Panglung</t>
  </si>
  <si>
    <t xml:space="preserve"> Republic of the Philippines DEPARTMENT OF PUBLIC WORKS AND HIGHWAYS ILOILO CITY DISTRICT ENGINEERING OFFICE REGION VI Fort San Pedro Road, Iloilo City Name of Procuring Entity:   DPWH-ILOILO CITY DISTRICT ENGINEERING OFFICE Request for Quotation (PR No): </t>
  </si>
  <si>
    <t xml:space="preserve"> Republic of the Philippines				 Province of Lanao del Norte				 Municipality of Lala				 Office of the Municipal General Services				 				                                                                                        ____________ 				            </t>
  </si>
  <si>
    <t xml:space="preserve"> 1. The Department of Agriculture – Regional Field Office – Cordillera Administrative Region (DA-RFO-CAR) intends to apply part of its CY 2020 General Appropriation Act (GAA) the total sum of Three Million Three Hundred Ninety Five Thousand Four Hundred Pe</t>
  </si>
  <si>
    <t xml:space="preserve"> Republic of the Philippines Department of Public Works and Highways REGIONAL OFFICE VIII Baras, Palo, Leyte INVITATION TO BID June 10, 2020 1.	The DPWH Regional Office VIII, Baras, Palo, Leyte through its Bids and Awards Committee (BAC), invites contracto</t>
  </si>
  <si>
    <t xml:space="preserve"> 18000  Liters	Diesel	47.15	848,700.00 2500    Liters	Unleaded Regular	56.35	140,875.00 Conditions:  1. Total Cost is  based on current average pump price for Diesel and Unleaded Gasolinein Gasoline Station along JASA, Layac, Sta Isabel, and San Ramon   2.</t>
  </si>
  <si>
    <t xml:space="preserve"> Please see attached Invitation to Bid for details.</t>
  </si>
  <si>
    <t xml:space="preserve"> Republic of the Philippines     Province of South Cotabato     City of Koronadal     BIDS AND AWARDS COMMITTEE INVITATION TO BID FOR THE  Procurement for the Supply and Delivery of One Unit Mobile Patrol Vehicle with Complete Accessories, City of Koronada</t>
  </si>
  <si>
    <t xml:space="preserve"> Invitation to Bid for QRF2020-RVI-022-ILOILO-B1-L7 ITB No. 013 The Department of Education (DepED) Schools Division of Iloilo, through the CY 2020 Quick Response Fund (QRF), intends to apply the sum Six Million Five Hundred Ninety Thousand Four Hundred Tw</t>
  </si>
  <si>
    <t xml:space="preserve"> Supply and Delivery of 4,550 pcs. Small Bag- Back Pack Color:  Orange bag with side pocket net and logo, 9,050 pcs.  Medium Bag- Back Pack, Color:  Blue bag with side pocket net and logo, 8,650 pcs. Large bag-  Back Pack Color:  Mint Green with front pock</t>
  </si>
  <si>
    <t xml:space="preserve"> Hiring of Assisting Professional for establishment of 2 hectares PBMA and conduct of Baseline Data Assessment  see attached files for the details.</t>
  </si>
  <si>
    <t xml:space="preserve"> Republic of the Philippines     Province of South Cotabato     City of Koronadal     BIDS AND AWARDS COMMITTEE INVITATION TO BID FOR THE  Procurement for the Supply and Delivery of One (1) Unit Four Wheeled Vehicle (Pick-Up) for CSU Operations, City of Ko</t>
  </si>
  <si>
    <t xml:space="preserve"> 1. The Department of Agriculture – Regional Field Office – Cordillera Administrative Region (DA-RFO-CAR) intends to apply part of its CY 2020 General Appropriation Act (GAA) the total sum of One Million Fifty Nine Thousand Six Hundred Pesos (P1,059,600.00</t>
  </si>
  <si>
    <t xml:space="preserve"> The items attached is one portable data filer. Please attached your price quotation on items you are interested.</t>
  </si>
  <si>
    <t xml:space="preserve"> 1. The Department of Agriculture – Regional Field Office – Cordillera Administrative Region (DA-RFO-CAR) intends to apply part of its CY 2020 General Appropriation Act (GAA) the total sum of Seven Million Five Hundred Sixty Nine Thousand Pesos (P7,569,000</t>
  </si>
  <si>
    <t xml:space="preserve"> Republic of the Philippines Cordillera Administrative Region Provincial Local Government Unit of Ifugao BIDS AND AWARDS COMMITTEE 2nd Floor COA Bldg., Capitol Compound Lagawe, Ifugao Email Ad.: bacgoodsifugao13@gmail.com INVITATION TO BID Two (2) units Br</t>
  </si>
  <si>
    <t xml:space="preserve"> Republic of the Philippines Province of Davao Oriental City of Mati BIDS &amp; AWARDS COMMITTEE INVITATION TO BID Procurement of 200 Pieces Toilet Bowl for Use of Various Household in Different Municipalities of Davao Oriental SOURCE OF FUND: GAD FUND [7999-P</t>
  </si>
  <si>
    <t xml:space="preserve"> INVITATION TO APPLY FOR ELIGIBILITY AND TO BID The Municipality of Silang, Cavite, through its Bids and Awards Committee (BAC), invites suppliers/ manufacturers/ distributors/ contractors to apply for eligibility and to bid for the projects: Supply and De</t>
  </si>
  <si>
    <t xml:space="preserve"> Republic of the Philippines Province of Davao Oriental City of Mati BIDS &amp; AWARDS COMMITTEE INVITATION TO BID Procurement of 2,500 Kilos RED PEANUT WITH SHELL in Support to Rice Farmers of the Province (Planting of Peanut after Rice Cropping Season) SOURC</t>
  </si>
  <si>
    <t xml:space="preserve"> Invitation to Bid for QRF2020-RVI-022-ILOILO-B1-L8 ITB No. 014 The Department of Education (DepED) Schools Division of Iloilo, throtyugh the CY 2020 Quick Response Fund (QRF), intends to apply the sum Five Million Nine Hundred Fifty Eight Thousand Eight H</t>
  </si>
  <si>
    <t xml:space="preserve"> Republic of the Philippines Cordillera Administrative Region Provincial Local Government Unit of Ifugao BIDS AND AWARDS COMMITTEE 2nd Floor COA Bldg., Capitol Compound Lagawe, Ifugao Email Ad.: bacgoodsifugao13@gmail.com INVITATION TO BID COMPUTER SERVER </t>
  </si>
  <si>
    <t xml:space="preserve"> OPENING OF BIDS IN ZAMBOANGA CITY DELIVERY IN ZAMBOANGA CITY PROCUREMENT OF THE FOLLOWING: 50 GALLOON ALCOHOL 70%  4 LIT. 320 BOX SURGICAL FACE MASK (50 PCS) 30 BOX SURGICAL GLOVES (ASSORTED) ****************************************** PURPOSE: FOR THE USE</t>
  </si>
  <si>
    <t xml:space="preserve"> Republic of the Philippines Cordillera Administrative Region Provincial Local Government Unit of Ifugao BIDS AND AWARDS COMMITTEE 2nd Floor COA Bldg., Capitol Compound Lagawe, Ifugao Email Ad.: bacgoodsifugao13@gmail.com INVITATION TO BID HEAVY EQUIPMENTS</t>
  </si>
  <si>
    <t xml:space="preserve"> 1.	The Tondo Medical Center (TMC), through the General Appropriations Act/HFEP intends to apply the sum of Eleven Million Eight Hundred Forty Five Thousand Two Hundred Sixty Philippine Pesos (PhP 11,845,260.00) being the Approved Budget for the Contract (</t>
  </si>
  <si>
    <t xml:space="preserve"> Invitation to Bid for QRF2020-RVI-022-ILOILO-B1-L10 ITB No. 016 The Department of Education (DepED) Schools Division of Iloilo, through the CY 2020 Quick Response Fund (QRF), intends to apply the sum Six Million One Hundred Sixty Five Thousand Two Hundred</t>
  </si>
  <si>
    <t xml:space="preserve"> 1. The Department of Agriculture – Regional Field Office – Cordillera Administrative Region (DA-RFO-CAR) intends to apply part of its CY 2020 General Appropriation Act (GAA) the total sum of Two Million Seven Hundred Eighty Four Thousand Seventeen Pesos a</t>
  </si>
  <si>
    <t xml:space="preserve"> Supply and Delivery of 47,900 pcs. Composition Notebook (80 leaves) 46 gsm, 155,000 pcs.  Spiral Notebook (80 leaves 46 GSM), 42,750 pcs.  Writing Pad 80 leaves, 68,500 Inter.  Writing Pad 80 leaves,  13,600 pcs. Bond Paper (Short) 80 GMS 50pcs/ sheets, 8</t>
  </si>
  <si>
    <t xml:space="preserve"> Republic of the Philippines     Province of South Cotabato     City of Koronadal     BIDS AND AWARDS COMMITTEE INVITATION TO BID FOR THE  Procurement for the Supply and Delivery of One (1) Unit Six (6) Wheeler Reconditioned Water Truck for CENRO, City of </t>
  </si>
  <si>
    <t xml:space="preserve"> Invitation to Bid for QRF2020-RVI-022-ILOILO-B1-L3 ITB No. 009 The Department of Education (DepED) Schools Division of Iloilo, through the CY 2020 Quick Response Fund (QRF), intends to apply the sum Four Million Seven Hundred Thirty Two Thousand Six Hundr</t>
  </si>
  <si>
    <t xml:space="preserve"> 50 pcs. HP 680 Black 50 pcs. HP 680 Tri-color 20 pcs. HP 85A 50 pcs. LX310</t>
  </si>
  <si>
    <t xml:space="preserve"> 1. The Department of Agriculture – Regional Field Office – Cordillera Administrative Region (DA-RFO-CAR) intends to apply part of its CY 2020 General Appropriation Act (GAA) the total sum of Six Million Nine Hundred Sixteen Thousand Three Hundred Fifty Pe</t>
  </si>
  <si>
    <t xml:space="preserve"> 1.	The Tondo Medical Center (TMC), through the General Appropriations Act/HFEP intends to apply the sum of Sixteen Million Philippine Pesos (PhP 16,000,000.00) being the Approved Budget for the Contract (ABC) to payments under the contract for the Procure</t>
  </si>
  <si>
    <t xml:space="preserve"> Supply and Delivery of 8,650 pcs. Plastic Protractor 10cm 180, 21,200 pcs. ID Lace and Holder (Personalized), 54,800 pcs. Plastic Envelope Long, 27,400 pcs. Colored Plastic Expanded Envelope, 2,400 pcs. Calculator, 22,250 pcs. Plastic Pencil Sharpener 2 -</t>
  </si>
  <si>
    <t xml:space="preserve"> Invitation to Bid for QRF2020-RVI-022-ILOILO-B1-L9 ITB No. 015 The Department of Education (DepED) Schools Division of Iloilo, through the CY 2020 Quick Response Fund (QRF), intends to apply the sum Five Million One Hundred Thirty One Thousand Seven Hundr</t>
  </si>
  <si>
    <t xml:space="preserve"> Download attachment in the Associated Components. For further information, please refer to: Atty. VIRGILIO B. GALEON Head, BAC Secretariat BAC Office Government Center Bldg. A J. P. Rizal Blvd., Market Area  City of Santa Rosa, Laguna 4026 Telephone Numbe</t>
  </si>
  <si>
    <t xml:space="preserve"> Invitation to Bid for QRF2020-RVI-022-ILOILO-B1-L11 ITB No. 017 The Department of Education (DepED) Schools Division of Iloilo, through the CY 2020 Quick Response Fund (QRF), intends to apply the sum Five Million Twenty Thousand Six Hundred Eighty Six Pes</t>
  </si>
  <si>
    <t xml:space="preserve"> 1. The Department of Agriculture – Regional Field Office – Cordillera Administrative Region (DA-RFO-CAR) intends to apply part of its CY 2020 General Appropriation Act (GAA) the total sum of Seven Million Four Hundred Fifty Eight Thousand Eight Hundred Fo</t>
  </si>
  <si>
    <t xml:space="preserve"> REQUEST FOR QUOTATION (RFQ) The Philippine Ports Authority, PMO- Zamboanga del Norte, through its Bids and Awards Committee will undertake Negotiated Procurement – Sec.53.9 Small Value Procurement for the SUPPLY AND DELIVERY OF WIRINGS AND CABLES FOR GENE</t>
  </si>
  <si>
    <t xml:space="preserve"> NOTICE OF PROCUREMENT June 11, 2020 Notice is hereby given that the Department of Public Works and Highways (DPWH)-Metro Manila 3rd District Engineering Office is undertaking the following project, to wit; CID No. 19CSOD26- Procurement for the Conduct of </t>
  </si>
  <si>
    <t xml:space="preserve"> Invitation to Bid for QRF2020-RVI-022-ILOILO-B1-L13 ITB No. 019 The Department of Education (DepED) Schools Division of Iloilo, through the CY 2020 Quick Response Fund (QRF), intends to apply the sum Four Million One Hundred Fifty One Thousand Six Hundred</t>
  </si>
  <si>
    <t xml:space="preserve"> Invitation to Bid for QRF2020-RVI-022-ILOILO-B1-L14 ITB No. 020 The Department of Education (DepED) Schools Division of Iloilo, through the CY 2020 Quick Response Fund (QRF), intends to apply the sum Six Million Two Hundred Sixty Thousand Three Hundred Th</t>
  </si>
  <si>
    <t xml:space="preserve"> Invitation to Bid for QRF2020-RVI-022-ILOILO-B1-L12 ITB No. 018 The Department of Education (DepED) Schools Division of Iloilo, through the CY 2020 Quick Response Fund (QRF), intends to apply the sum Three Million Three Hundred Eighteen Thousand Three Hun</t>
  </si>
  <si>
    <t xml:space="preserve"> Invitation to Bid for QRF2020-RVI-022-ILOILO-B1-L18 ITB No. 024 The Department of Education (DepED) Schools Division of Iloilo, through the CY 2020 Quick Response Fund (QRF), intends to apply the sum Five Million One Hundred Twenty Eight Thousand Six HUnd</t>
  </si>
  <si>
    <t xml:space="preserve"> 1. The Department of Agriculture – Regional Field Office – Cordillera Administrative Region (DA-RFO-CAR) intends to apply part of its CY 2020 General Appropriation Act (GAA) the total sum of Twenty Four Million One Hundred Ninety Seven Thousand Three Hund</t>
  </si>
  <si>
    <t xml:space="preserve"> 1. The Department of Agriculture – Regional Field Office – Cordillera Administrative Region (DA-RFO-CAR) intends to apply part of its CY 2020 General Appropriation Act (GAA) the total sum of Two Million Two Hundred Sixty Eight Thousand Five Hundred Pesos </t>
  </si>
  <si>
    <t xml:space="preserve"> Invitation to Bid for QRF2020-RVI-022-ILOILO-B1-L17 ITB No. 023 The Department of Education (DepED) Schools Division of Iloilo, through the CY 2020 Quick Response Fund (QRF), intends to apply the sum Five Million Five Hundred Eighty Six Thousand Two Hundr</t>
  </si>
  <si>
    <t xml:space="preserve"> The Philippine National Police (PNP) Health Service (HS) invites all PhilGEPS-accredited suppliers to apply for eligibility and to bid for the Procurement of Other Supplies &amp; Materials. Approved Budget for Contract: Php6,883,593.75 Bid Documents shall be </t>
  </si>
  <si>
    <t xml:space="preserve"> Invitation to Bid for QRF2020-RVI-022-ILOILO-B1-L15 ITB No. 021 The Department of Education (DepED) Schools Division of Iloilo, through the CY 2020 Quick Response Fund (QRF), intends to apply the sum Six Million Two Hundred Fifty Six Thousand One Hundred </t>
  </si>
  <si>
    <t xml:space="preserve"> NOTICE OF PROCUREMENT June 11, 2020 Notice is hereby given that the Department of Public Works and Highways (DPWH)-Metro Manila 3rd District Engineering Office is undertaking the following project, to wit; CID No. 19CSOD28- Procurement for the Conduct of </t>
  </si>
  <si>
    <t xml:space="preserve"> Invitation to Bid for QRF2020-RVI-022-ILOILO-B1-L20 ITB No. 026 The Department of Education (DepED) Schools Division of Iloilo, through the CY 2020 Quick Response Fund (QRF), intends to apply the sum Three Million Ninety Six Thousand Eight Hundred Fifty P</t>
  </si>
  <si>
    <t xml:space="preserve"> 1. The Department of Agriculture – Regional Field Office – Cordillera Administrative Region (DA-RFO-CAR) intends to apply part of its CY 2020 General Appropriation Act (GAA) the total sum of One Million Nine Hundred Ninety Six Thousand Four Hundred Pesos </t>
  </si>
  <si>
    <t xml:space="preserve"> PROPOSED REPAIR, MAINTENANCE , REHABILITATION OF LINE CANAL AT BRGY. III-C, SAN PABLO CITY</t>
  </si>
  <si>
    <t xml:space="preserve"> Invitation to Bid for QRF2020-RVI-022-ILOILO-B1-L19 ITB No. 025 The Department of Education (DepED) Schools Division of Iloilo, through the CY 2020 Quick Response Fund (QRF), intends to apply the sum Five Million Six Thousand Four Hundred Ninety Eight Pes</t>
  </si>
  <si>
    <t xml:space="preserve"> NOTICE OF PROCUREMENT June 11, 2020 Notice is hereby given that the Department of Public Works and Highways (DPWH)-Metro Manila 3rd District Engineering Office is undertaking the following project, to wit; CID No. 19CSOD27- Procurement for the Conduct of </t>
  </si>
  <si>
    <t xml:space="preserve"> Invitation to Bid for QRF2020-RVI-022-ILOILO-B1-L22 ITB No. 028 The Department of Education (DepED) Schools Division of Iloilo, through the CY 2020 Quick Response Fund (QRF), intends to apply the sum Three Million Eight Hundred Eighty Thousand Four Hundre</t>
  </si>
  <si>
    <t xml:space="preserve"> Invitation to Bid for QRF2020-RVI-022-ILOILO-B1-L21 ITB No. 027 The Department of Education (DepED) Schools Division of Iloilo, through the CY 2020 Quick Response Fund (QRF), intends to apply the sum Three Million Two Hundred Forty Thousand Twenty Seven P</t>
  </si>
  <si>
    <t xml:space="preserve"> The Philippine National Police (PNP) Health Service (HS) invites all PhilGEPS-accredited suppliers to apply for eligibility and to bid for the Procurement of Medical, Dental &amp; Laboratory Supplies. Approved Budget for Contract: Php4,550,000.00 Bid Document</t>
  </si>
  <si>
    <t xml:space="preserve"> Republic of the Philippines                   Department of Health	       CENTRAL OFFICE BIDS AND AWARDS COMMITTEE  INVITATION TO BID FOR THE  PROCUREMENT OF EXTERNAL HARD DISK IB NO. 2020-206 1.	The Department of Health (DOH), through the General Appropr</t>
  </si>
  <si>
    <t xml:space="preserve"> NOTICE OF PROCUREMENT June 11, 2020 Notice is hereby given that the Department of Public Works and Highways (DPWH)-Metro Manila 3rd District Engineering Office is undertaking the following project, to wit; CID No. 19CSOD29- Procurement for the Conduct of </t>
  </si>
  <si>
    <t xml:space="preserve"> The Philippine National Police (PNP) Health Service (HS) invites all PhilGEPS-accredited suppliers to apply for eligibility and to bid for the Other General Services. Approved Budget for Contract: Php201,166.66 Bid Documents shall be available at the HS B</t>
  </si>
  <si>
    <t xml:space="preserve"> Invitation to Bid for QRF2020-RVI-022-ILOILO-B1-L16 ITB No. 022 The Department of Education (DepED) Schools Division of Iloilo, through the CY 2020 Quick Response Fund (QRF), intends to apply the sum Five Million Nine Hundred Forty Six Thousand Fifty Two </t>
  </si>
  <si>
    <t xml:space="preserve"> unit	Plastic Shredder Machine	1 		 	Specs:	 	Heavy duty plastic recycling shredder Machine	 	Height-1500mm, width-600mm, length-1000mm	 	Frame-6mmx50mmx500mm, angle bar w/ 3mm mild steel (MS) plate sliding cover	 	Shredding component-12mm MS Plate blade, </t>
  </si>
  <si>
    <t xml:space="preserve"> Sir/Ma'am: Please quote your lowest possible price for the article described in the attached document.</t>
  </si>
  <si>
    <t xml:space="preserve"> Refer to RFQ</t>
  </si>
  <si>
    <t xml:space="preserve"> Invitation to Bid for QRF2020-RVI-022-ILOILO-B1-L23 ITB No. 029 The Department of Education (DepED) Schools Division of Iloilo, through the CY 2020 Quick Response Fund (QRF), intends to apply the sum Three Million Four Hundred Ninety Five Thousand Four Hu</t>
  </si>
  <si>
    <t xml:space="preserve"> INVITATION TO BID PB 2020-06-08 1.  The Local Government Unit of Abulug, Cagayan through Special Education Fund 2020 intends to apply the sum of THREE HUNDRED TWENTY FIVE THOUSAND PESOS (P 325,000.00) being the Approved Budget for the Contract (ABC) to pa</t>
  </si>
  <si>
    <t xml:space="preserve"> NOTICE OF PROCUREMENT June 11, 2020 Notice is hereby given that the Department of Public Works and Highways (DPWH)-Metro Manila 3rd District Engineering Office is undertaking the following project, to wit; CID No. 19CSOD33- Procurement for the Conduct of </t>
  </si>
  <si>
    <t xml:space="preserve"> PURCHASE REQUEST					 Barangay : ZONE - 1			P. R. No.: 2020 -017-06		 City/ Municipality : Pinamalayan			Date: 		 Provicne : Oriental Mindoro					 REQUISITION					 Item Number	Qty	Unit of Measurement	Item Description 	Estimated Unit Cost	Estimated Amount </t>
  </si>
  <si>
    <t xml:space="preserve"> NOTICE OF PROCUREMENT June 11, 2020 Notice is hereby given that the Department of Public Works and Highways (DPWH)-Metro Manila 3rd District Engineering Office is undertaking the following project, to wit; CID No. 19CSOD31- Procurement for the Conduct of </t>
  </si>
  <si>
    <t xml:space="preserve"> NOTICE OF PROCUREMENT June 11, 2020 Notice is hereby given that the Department of Public Works and Highways (DPWH)-Metro Manila 3rd District Engineering Office is undertaking the following project, to wit; CID No. 19CSOD32- Procurement for the Conduct of </t>
  </si>
  <si>
    <t xml:space="preserve"> NOTICE OF PROCUREMENT June 11, 2020 Notice is hereby given that the Department of Public Works and Highways (DPWH)-Metro Manila 3rd District Engineering Office is undertaking the following project, to wit; 5.	CID No. 19CSOD30- Procurement for the Conduct </t>
  </si>
  <si>
    <t xml:space="preserve"> Sir/Ma'am: Please quote your lowest possible prices for the articles described in the attached document.</t>
  </si>
  <si>
    <t xml:space="preserve"> The Philippine National Police (PNP) Health Service (HS) invites all PhilGEPS-accredited suppliers to apply for eligibility and to bid for the Other General Services. Approved Budget for Contract: Php100,583.34 Bid Documents shall be available at the HS B</t>
  </si>
  <si>
    <t xml:space="preserve"> To payment for the Purchase of Aircon w/Installation delivered to Brgy. Sto. Niño Sur Arevalo, Iloilo City.       Sources of Funds : AB 2020       Date of Public Bidding: June 18, 2020 @ 10:00 A.m. at Brgy. Hall</t>
  </si>
  <si>
    <t xml:space="preserve"> To payment for the Purchase of Tanod Uniform &amp; Supplies delivered to Brgy. Sto. Niño Sur,     Arevalo, Iloilo City     Sources of Funds: AB 2020       Date of Public Bidding: June 18, 2020 @ 2:00 P.M. at Brgy. Hall</t>
  </si>
  <si>
    <t xml:space="preserve"> To payment for the Purchase of Desktop Computer &amp; Other Supplies delivered at Brgy. Bolilao Mand, Iloilo City.        Sources of Funds: ABYIP 2020        Date of Public Bidding: June 19, 2020 @ 10:00 A.M. at Brgy. Hall</t>
  </si>
  <si>
    <t xml:space="preserve"> Sir/Ma'am: Please quote your possible lowest prices for the articles described in the attached document.</t>
  </si>
  <si>
    <t xml:space="preserve"> Republic of the Philippines PROVINCE OF LEYTE Burauen, Leyte INVITATION TO BID   PROCUREMENT OF MEDICINES AND SUPPLY FOR RURAL HEALTH UNIT BURAUEN, LEYTE The Municipality of Burauen, through the Bids and Awards Committee (BAC) invites contractors / suppli</t>
  </si>
  <si>
    <t xml:space="preserve"> The Philippine National Police (PNP) Health Service (HS) invites all PhilGEPS-accredited suppliers to apply for eligibility and to bid for the Other General Services. Approved Budget for Contract: Php301,750.00 Bid Documents shall be available at the HS B</t>
  </si>
  <si>
    <t xml:space="preserve"> Republic of the Philippines DEPARTMENT OF PUBLIC WORKS AND HIGHWAYS CAMARINES SUR 2ND DISTRICT ENGINEERING OFFICE Regional Office V Baras, Canaman, Camarines Sur INVITATION TO BID  FOR   20GFE0011 – SUPPLY OF MATERIALS FOR EROSION CONTROL, TRAFFIC SERVICE</t>
  </si>
  <si>
    <t xml:space="preserve"> Republic of the Philippines PROVINCE OF ZAMBALES IBA BIDS AND AWARDS COMMITTEE Invitation to Bid for the Supply and Delivery of Office Equipment (Lot 1), ICT Equipment (Lot 2), Furnitures and Fixtures (Lot 3) and MOOE (Lot 4) 1.	The Provincial Government </t>
  </si>
  <si>
    <t xml:space="preserve"> Republic of the Philippines PROVINCE OF LEYTE Burauen, Leyte INVITATION TO BID   REHABILITATION OF LEVEL II WATER SYSTEM OF BARANGAY ANONANG WITH PROVISION FOR LEVEL III BURAUEN, LEYTE (RE-BIDDING) The Municipality of Burauen, through the Bids and Awards </t>
  </si>
  <si>
    <t xml:space="preserve"> Invitation to Bid  SUPPLY AND DELIVERY OF MATERIALS AND LABOR FOR THE IMPROVEMENT/REHABILITATION OF PUBLIC MARKET 1.	The Local Government Unit of Padre Burgos, through the Municipal Development Fund, intends to apply the sum of Nine Hundred Ninety Nine Th</t>
  </si>
  <si>
    <t xml:space="preserve"> Republic of the Philippines Department of Education Region VI- Western Visayas  DIVISION OF AKLAN District of Ibajay West IBAJAY CENTRAL SCHOOL Ibajay, Aklan REQUEST FOR QUOTATION (RFQ) Project No: DepED-RO6 – OTHER SUPPLIES – 001-2020 The Department of E</t>
  </si>
  <si>
    <t xml:space="preserve"> National Power Corporation INVITATION TO BID PUBLIC BIDDING 2020-0114 1.	The NATIONAL POWER CORPORATION (NPC), through       its        approved       Corporate Budget of CY 2020 intends to apply   the   sum   of (Please see schedule below) being the Appr</t>
  </si>
  <si>
    <t xml:space="preserve"> Republic of the Philippines PROVINCE OF LEYTE Burauen, Leyte INVITATION TO BID   PROCUREMENT OF ONE (1) UNIT MULTI-CAB FOR ENGINEERING OFFICE LGU- BURAUEN, LEYTE The Municipality of Burauen, through the Bids and Awards Committee (BAC) invites contractors </t>
  </si>
  <si>
    <t xml:space="preserve"> 1.	The Development Bank of the Philippines (DBP), through the Corporate Budget for CY 2020 intends to apply the sum of Two Million Five Hundred Thousand Pesos (Php2,500,000.00) inclusive of taxes/VAT being the Approved Budget for the Contract (ABC) to pay</t>
  </si>
  <si>
    <t xml:space="preserve"> 1. The Department of Agriculture – Regional Field Office – Cordillera Administrative Region (DA-RFO-CAR) intends to apply part of its CY 2020 General Appropriation Act (GAA) the total sum of One Million Five Hundred Twenty Nine Thousand Nine Hundred Eight</t>
  </si>
  <si>
    <t xml:space="preserve"> To purchase motor vehicle spare parts for the vehicles of Barangay Kalawaan, Pasig City</t>
  </si>
  <si>
    <t xml:space="preserve"> To purchase supplies &amp; materials printing &amp; binding for Barangay Kalawaan, Pasig City</t>
  </si>
  <si>
    <t xml:space="preserve"> NOTE: ALL ITEMS SHOULD BE DELIVERED IN ONE PACKAGE           ITEMS AND ESTIMATED AMOUNT ARE INCLUDED 25		REAMS	Bond Paper 70 GSM (LONG)			 195.00 	 4,875.00  25		REAMS	Bond Paper 70 GSM (short)				 165.00 	 4,125.00  5		BOTTLES	EPSON INK L365 (black)				 </t>
  </si>
  <si>
    <t xml:space="preserve"> PROVISION OF NEW ELECTRICAL INSTALLATION AT BISLIG AIRPORT PTB A. Materials B. Labor</t>
  </si>
  <si>
    <t xml:space="preserve"> Invitation to Bid  SUPPLY AND DELIVERY OF MATERIALS AND LABOR FOR THE CONSTRUCTION/IMPROVEMENT/REHABILITATION OF LOCAL ACCESS ROAD IN BRGY. DUHAT 1.	The Local Government Unit of Padre Burgos, through the Municipal Development Fund, intends to apply the su</t>
  </si>
  <si>
    <t xml:space="preserve"> Rehabilitation of Public Market (36.m x 10.8m)</t>
  </si>
  <si>
    <t xml:space="preserve"> Civil Works</t>
  </si>
  <si>
    <t xml:space="preserve"> To purchase various supplies &amp; materials for uniform of Barangay Kalawaan, Pasig City</t>
  </si>
  <si>
    <t xml:space="preserve"> to purchase various supplies &amp; materials for installation of street lights in Barangay Kalawaan, Pasig City</t>
  </si>
  <si>
    <t xml:space="preserve"> Electrode, Cast Iron Special Features: * Suitable for welding of cast iron to steel * Can be use for grey cast iron and malleable cast iron * Low ampere. Eliminate excessive heat build-up * Easily machinable weld deposit * Excellent penetration * Tensile </t>
  </si>
  <si>
    <t xml:space="preserve"> Republic of the Philippines PROVINCE OF LEYTE Burauen, Leyte INVITATION TO BID   SUPPLY &amp; INSTALLATION OF CCTV CAMERA FOR PUBLIC MARKET, DIST 9, BURAUEN BUS TERMINAL, DISTRICT II, STO NIÑO ST, COR. STA ANA, BURAUEN SPORT COMPLEX BURAUEN, LEYTE The Municip</t>
  </si>
  <si>
    <t xml:space="preserve"> DIESEL, FUEL   5,000 LITER</t>
  </si>
  <si>
    <t xml:space="preserve"> Part B		Other General Requirements	 B.5	Lot	Project Billboard/Signboard	2 Part III		Civil/Electrical Works	 Part A		Earthworks	 803 (1) a	Cu.m	Structure Excavation – Common Soil (Stage)	29.32 804 (1) a	Cu.m	Embankment from Structure Excavation (Stage)	20.</t>
  </si>
  <si>
    <t xml:space="preserve"> To purchase various supplies &amp; materials for rehabilitation of Multi Purpose Hall of Barangay Kalawaan, Pasig City</t>
  </si>
  <si>
    <t xml:space="preserve"> The Metro Kalibo Water District, through the Bids and Awards Committee (BAC), will undertake Negotiated Procurement (Small Value Procurement) for the SUPPLY AND DELIVERY OF VARIOUS WATER SERVICE CONNECTION MATERIALS FOR REPAIR/MAINTENANCE OF DISTRIBUTION </t>
  </si>
  <si>
    <t xml:space="preserve"> Bids and Awards Committee                                                                    INVITATION TO BID           REPAIR AND REHABILITATION OF CLASSROOMS IN VARIOUS SCHOOL SITES IN THE DIVISION OF                        QUEZON, CLUSTER NOS. 1-10 UN</t>
  </si>
  <si>
    <t xml:space="preserve"> Republic of the Philippines PROVINCE OF LEYTE Burauen, Leyte INVITATION TO BID   PURCHASE OF IN-ORGANIC FERTILIZER FOR RICE ENHANCEMENT PROGRAM (NEGOTIATED PROCUREMENT) The Municipality of Burauen, through the Bids and Awards Committee (BAC) invites contr</t>
  </si>
  <si>
    <t xml:space="preserve"> SEE ATTACHED DOCUMENT</t>
  </si>
  <si>
    <t xml:space="preserve"> NOTE: ALL ITEMS MUST BE DELIVERED IN ONE PACKAGE           LIST OF ITEMS AND ESTIMATED AMOUNT ARE INCLUDED 64		lnts	12mm x 6.0m Square Bar			 260.93 	 16,699.52  5		kgs	Welding Rod (6013)				 105.00 	 525.00  1		gal	Primer, Red Oxide				 550.00 	 550.00  </t>
  </si>
  <si>
    <t xml:space="preserve"> Printer Scanner and Developer, Color, High Speed of Paper NOTE: PLEASE SEE ATTACHED PRE-PR FOR THE COMPLETE DETAILED OF SPECIFICATIONS.</t>
  </si>
  <si>
    <t xml:space="preserve"> Part B		Other General Requirements	 B.5	Each	Project Billboard/Signboard	2 B.9	L.S	Mobilization/Demobilization	1 Part C		Earthworks	 102 (1)	cu.m	Roadway Excavation (Unsuitable)	3,070.40 Project Description: Excavation of Roadway w/ 3,070.40 cu.m 1.	The L</t>
  </si>
  <si>
    <t xml:space="preserve"> INVITATION TO BID FOR THE SUPPLY AND DELIVERY OF FURNITURE &amp; FIXTURE 1.	The Barangay Poblacion, City Muntinlupa, through its approved Budget for 2020, intends to apply the sum of Seven Hundred Forty Thousand Pesos (P740.000.00) being the Approved Budget f</t>
  </si>
  <si>
    <t xml:space="preserve"> Supply &amp; Delivery of Drugs, Medicines and Laboratory Supplies</t>
  </si>
  <si>
    <t xml:space="preserve"> Construction of Material Recovery Facility &amp; Vermi Compost Box with the following proposed works:  Item No.               Description	                Unit 		Quantity     1		  Footing				      CU.M.		  0.64     2		  Columns				       CU.M.	  1.05     3		  </t>
  </si>
  <si>
    <t xml:space="preserve"> Republic of the Philippines City of Manila OFFICE OF THE CITY MAYOR BIDS AND AWARDS COMMITTEE INVITATION TO BID  The City Government of Manila, through the Capital Outlay FY 2020, intends to apply the following amount for the following proposed project: 1</t>
  </si>
  <si>
    <t xml:space="preserve"> NOTE: ALL ITEMS MUST BE DELIVERED IN ONE PACKAGE           LIST OF ITEMS AND ESTIMATED COST ARE INCLUDED 15		REAMS	Bond Paper 70 GSM (LONG)				 195.00 	 2,925.00  15		REAMS	Bond Paper 70 GSM (SHORT)				 165.00 	 2,475.00  12		PCS.	ballpen (blue)				      </t>
  </si>
  <si>
    <t xml:space="preserve"> NOTE: ALL ITEMS MUST BE DELIVERED IN ONE PACKAGE           LIST OF ITEMS AND ESTIMATED COST ARE INCLUDED 5		REAMS	Bond Paper 70 GSM (LONG)				 195.00 	 975.00  3		REAMS	Bond Paper 70 GSM (SHORT)				 175.00 	 525.00  66		PCS.	FOLDER (LONG-ORDINARY WHITE)		</t>
  </si>
  <si>
    <t xml:space="preserve"> To purchase various supplies &amp; materials for Urban Greening of Barangay Kalawaan, Pasig City</t>
  </si>
  <si>
    <t xml:space="preserve"> NOTE: ALL ITEMS MUST BE DELIVERED IN ONE PACKAGE           LIST OF ITEMS AND ESTIMATED COST ARE INCLUDED 10		PCS.	RUGS				                       100.00 	 1,000.00  20		BOTTLES	ZONROX 500 ml.				 22.00 	 440.00  8		gallons	ALCOHOL  ( 70% Ethyl)			550.00 	 </t>
  </si>
  <si>
    <t xml:space="preserve"> INVITATION TO BID  1.	The National Printing Office, through the Revolving Fund 2020 intends to apply the sum of ₱2,000,000.00 being the Approved Budget for the Contract (ABC) to payment under the contract for the Procurement of Supply &amp; Delivery of White </t>
  </si>
  <si>
    <t xml:space="preserve"> Provision of Field Office for the Engineer (Rental Basis); Permits and Clearances; Project Billboard/Signboard; Occupational Safety and Health Program; Mobilization/Demobilization; Clearing and Grubbing; Structure Excavation (Common Soil); Embankment from</t>
  </si>
  <si>
    <t xml:space="preserve"> SCOPE OF WORKS:        I. Hauling of Surface Materials       II. Spreading of Surface Materials 1. Materials (Free) 2. Requirement Equipment          *2 units- Dump truck - Municipal Equipment          *1 unit-  Back hoe - Municipal Equipment          *1 </t>
  </si>
  <si>
    <t xml:space="preserve"> Sir/Ma'am: Please quote your lowesy possible price for the article described in the attached document.</t>
  </si>
  <si>
    <t xml:space="preserve"> NOTE: ALL ITEMS MUST BE DELIVERED IN ONE PACKAGE                 LIST OF ITEMS AND ESTIMATED COST ARE INCLUDED 7		pcs.	GI pipe (sched 20×2in×6m)				 1,030.00 	 7,210.00  14		pcs.	Deformed bar( 9mmØ×6m)				 105.00 	 1,470.00  35		 lengths	C-purlin (2in×3in</t>
  </si>
  <si>
    <t xml:space="preserve"> NOTE: ITEM AND ITS PARTS SHOULD BE DELIVERED IN ONE PACKAGE           ESTIMATED COST OF ITEM ALSO INCLUDED 1	Unit		STEEL CABINET (4 DRAWERS)				 8,000.00 	 8,000.00</t>
  </si>
  <si>
    <t xml:space="preserve"> Provision of Field Office for the Engineer (Rental Basis); Permits and Clearances; Project Billboard/Signboard; Occupational Safety and Health Program; Mobilization/Demobilization; Removal of Structures and Obstruction; Structure Excavation (Common Soil);</t>
  </si>
  <si>
    <t xml:space="preserve"> 1.	The Municipality of Esperanza, Masbate through the Appropriation Ordinance No. 6, series of 2019 under the Office of the Municipal Agriculturist (MAGO) intends to apply the sum of  Two Hundred Fifty Nine Thousand Pesos (₱259,000.00) being the Approved </t>
  </si>
  <si>
    <t xml:space="preserve"> DESCRIPTION PROCUREMENT AND DELIVERY OF 901 BAGS OF GM HYBRID YELLOW CORN SEEDS @ 9KG/ BAG Minimum Specifications: - Herbicide-resistant - Must be an NSIC approved GMCn variety. (Reference: Seed     Catalogue) - Variety adoptable to both low and high elev</t>
  </si>
  <si>
    <t xml:space="preserve"> Republic of the Philippines PROVINCE OF CAGAYAN Municipality of Peñablanca PROVINCIAL BIDS AND AWARDS COMMITTEE INVITATION FOR NEGOTIATED PROCUREMENT DUE TO TWO FAILED BIDDINGS Design, Layout and Setup of Audio/Video production Floor Inclusive of Customiz</t>
  </si>
  <si>
    <t xml:space="preserve"> 1. The total approved budget for the contract for the SUPPLY AND DELIVERY OF SUBMERSIBLE MOTOR 7.5HP is PhP 65,000.00 2. Price quotations must include all taxes, duties, and/or levies payable and must be valid for 30 days. 3. Suppliers must specify the BR</t>
  </si>
  <si>
    <t xml:space="preserve"> Provision of Field Office for the Engineer (Rental Basis); Permits and Clearances; Project Billboard/Signboard; Occupational Safety and Health Program; Mobilization/Demobilization; Structure Excavation (Common Soil) – Catch Basin); Structural Concrete, Co</t>
  </si>
  <si>
    <t xml:space="preserve"> Various Supplies</t>
  </si>
  <si>
    <t xml:space="preserve"> Contract ID: 20-DO-0083 Contract Name: Repair/Maintenance of Flood Control &amp; Drainage Structures along Manila East Road, Halayhayin Bridge, Pililla, Rizal Contract Location	: Pililla, Rizal Brief Description	: Repair/Maintenance of Flood Control &amp; Drainag</t>
  </si>
  <si>
    <t xml:space="preserve"> NOTE: ALL ITEMS MUST BE DELIVERED IN ONE PACKAGE           LIST OF ITEMS AND ESTIMATED COST ARE INCLUDED 59		pcs.	Silver Rod				                                     24.00 	 1,416.00  20		pcs.	Bronze Rod				                             50.00 	 1,000.00  2	</t>
  </si>
  <si>
    <t xml:space="preserve"> DESCRIPTION PROCUREMENT AND DELIVERY OF 834 BAGS OF GM HYBRID YELLOW CORN SEEDS FOR HIGH ELEVATION CORN AREAS @ 9KG/ BAG GM Hybrid Yellow Corn Seeds for High Elevation Corn Areas of Davao City @ 9 kilograms/ bag Farmer's preferred varieties:  NSIC 2019 GM</t>
  </si>
  <si>
    <t xml:space="preserve"> 1. The total approved budget for the contract for the SUPPLY AND DELIVERY OF VARIOUS CI FITTINGS AND uPVC BEND is PhP 128,150.00 2. Price quotations must include all taxes, duties, and/or levies payable and must be valid for 30 days. 3. Suppliers must spe</t>
  </si>
  <si>
    <t xml:space="preserve"> PROCUREMENT OF WATER MATERIALS PIPES AND FITTINGS FOR CONSTRUCTION OF WATER SYSTEM ONLY</t>
  </si>
  <si>
    <t xml:space="preserve"> 1. The total approved budget for the contract for the SSUPPLY AND DELIVERY OF VARIOUS G.I. FITTINGS is PhP 91,000.00 2. Price quotations must include all taxes, duties, and/or levies payable and must be valid for 30 days. 3. Suppliers must specify the BRA</t>
  </si>
  <si>
    <t xml:space="preserve"> Section I.  REQUEST FOR EXPRESSION OF INTEREST CONSULTING SERVICES  FOR THE PREPARATION OF DETAILED  ARCHITECTURAL AND ENGINEERING DESIGN FOR THE PROPOSED CONSTRUCTION OF A MULTI-PURPOSE BUILDING  (BARANGAY HALL AND FIRE AND RESCUE BRIGADE HEADQUARTERS)  </t>
  </si>
  <si>
    <t xml:space="preserve"> INVITATION TO BID A.	The Department of Public Works and Highways-Metro Manila 1 District Engineering Office, Westbank Road, Manggahan Floodway, Rosario, Pasig City through its Bids and Awards Committee (BAC), invites contractors to submit bids for the fol</t>
  </si>
  <si>
    <t xml:space="preserve"> ITEM NO.	DESCRIPTION	UNIT	QTY LOT 1	BOND PAPER A4	 REAMS 	9,856 	Specifications: Multi-Purpose Copy Paper  	8 ¼” * 11 ¾” 	SUBS 20/70 GSM</t>
  </si>
  <si>
    <t xml:space="preserve"> PROCUREMENT OF WATER MATERIALS PIPES &amp; FITTINGS FOR CONSTRUCTION OF WATER SYSTEM ONLY</t>
  </si>
  <si>
    <t xml:space="preserve"> Improvement and Istallation of 2 pcs Culvert Purok 3</t>
  </si>
  <si>
    <t xml:space="preserve"> REQUEST FOR QUOTATION The Department of Budget and Management Regional Office VI, through its Bids and Awards Committee, intends to undertake Shopping for the procurement of 2nd quarter common-use supplies, in accordance with Section 52 of the Revised Imp</t>
  </si>
  <si>
    <t xml:space="preserve"> 1. The total approved budget for the contract for the SUPPLY AND DELIVERY OF VARIOUS WATER CONNECTION MATERIALS is PhP 360,440.00 2. Price quotations must include all taxes, duties, and/or levies payable and must be valid for 30 days. 3. Suppliers must sp</t>
  </si>
  <si>
    <t xml:space="preserve"> The Department of Agriculture-RFO 3, invites interested suppliers/ bidders to submit bid proposal(s) for the hereunder requirement, to wit: QUANTITY UNIT Item No. Description 1 lot I Permits &amp; Clearance 177 cu.m II Earth Works &amp; Dismantling 1 ls III Tools</t>
  </si>
  <si>
    <t xml:space="preserve"> Republic of the Philippines Province of Isabela LOCAL GOVERNMENT UNIT OF BENITO SOLIVEN INVITATION TO BID FOR THE PROCUREMENT OF MEDICINES AND MEDICAL SUPPLIES – 2ND QUARTER (GAD FUND) 1.	The Municipal Government of Benito Soliven, intends to apply the su</t>
  </si>
  <si>
    <t xml:space="preserve"> Under the Supreme Court decision with GR Nos 171947-48, dated December 19, 2008, was tasked the DENR to lead in the rehabilitation, clean up and preservation of Manila Bay, top restore and maintain its water SB level. The DENR-PENRO Laguna identified rive</t>
  </si>
  <si>
    <t xml:space="preserve"> Necessary supplies for Risograph machine and its maintenance ***kindly see attached file for reference</t>
  </si>
  <si>
    <t xml:space="preserve"> Necessary supplies for Office, Computer and Maintenance divided into 3 lots.  ***Kindly see attached file for reference</t>
  </si>
  <si>
    <t xml:space="preserve"> Contract Name:	Completion of Motorpool- Bulanao Campus Contract ID Number:	IB_CivilWorks_2020-06-034 Location of the Contract:	KSU Main Campus, National Highway, Purok 6, Bulanao, Tabuk City, Kalinga Lot and Reference:	Two Lots - Completion of Motorpool- </t>
  </si>
  <si>
    <t xml:space="preserve"> DESCRIPTION	UNIT	QTY LOT 1: PROCUREMENT OF PRINTER FOR DIFFERENT SCHOOLS Printer (L5190)	UNIT 	22 Specifications: Compact integrated tank design High yield ink bottles Spill-free, error-free refilling Print, scan, copy, fax with ADF Wi-Fi, Wi-Fi Direct Bo</t>
  </si>
  <si>
    <t xml:space="preserve"> 12 units integrated solar streetlights</t>
  </si>
  <si>
    <t xml:space="preserve"> Construction of CVO Outpost Phase II, Barangay Nupolan, Josefina, ZDS</t>
  </si>
  <si>
    <t xml:space="preserve"> One (1) Lot Preventive Maintenance of Integrated Electronic Security System for BSP Head Office 2020, as per BSP Terms of Reference and Service Level Agreement Contract Duration: Duration shall start from the date stipulated in the Notice to Proceed to be</t>
  </si>
  <si>
    <t xml:space="preserve"> Essential ink supply for a printer ***kindly see attached file for Reference</t>
  </si>
  <si>
    <t xml:space="preserve"> Rice Sardines, tuna, meat loaf Noodles Alcohol Soap Medicine</t>
  </si>
  <si>
    <t xml:space="preserve"> NAME OF THE PROJECT: Improvement of Tourism Building (Governor’s Guest House)  LOCATION OF THE PROJECT:  Tourism Compound, Dancalan, Donsol, Sorsogon  PROJECT REFERENCE NO.:  INFRA-PB-2020-011  Approved Budget for the Contract: ₱1,000,000.00  Source of Fu</t>
  </si>
  <si>
    <t xml:space="preserve"> REQUEST FOR QUOTATION TO: ALL BIDDERS/SUPPLIERS The Games and Amusements Board (GAB) through its Bids and Awards Committee (BAC) will undertake a Small Value Procurement in accordance with Section 53.9 of the 2016 Revised Implementing Rules and Regulation</t>
  </si>
  <si>
    <t xml:space="preserve"> NAME OF THE PROJECT: Improvement of Visitor’s Center- (Ogod)  LOCATION OF THE PROJECT:  Ogod, Donsol, Sorsogon  PROJECT REFERENCE NO.:  INFRA-PB-2020-010  Approved Budget for the Contract: ₱1,000,000.00  Source of Fund: A.O. No. 6, s-2020 BRIEF DESCRIPTIO</t>
  </si>
  <si>
    <t xml:space="preserve"> Necessary supplies for out Disaster Risk Reduction Management Team ***kindly see attached file for Reference</t>
  </si>
  <si>
    <t xml:space="preserve"> 1.	The Davao del Norte State College through the Internally Generated Income, Tuition Fee  intends to apply the sum of Five Million Pesos Only (Php 5,000,000.00) being the Approved Budget for the Contract (ABC) to payment under the contract for the Purcha</t>
  </si>
  <si>
    <t xml:space="preserve"> Pls see attached REI.</t>
  </si>
  <si>
    <t xml:space="preserve"> NAME OF THE PROJECT: Installation of Street Lights  LOCATION OF THE PROJECT: Donsol Community College to Tres Marias, Donsol, Sorsogon  PROJECT REFERENCE NO.:  INFRA-PB-2020-014  Approved Budget for the Contract: ₱2,800,000.00  Source of Fund: MCDF 2019 B</t>
  </si>
  <si>
    <t xml:space="preserve"> REPUBLIC OF THE PHILIPPINES  CITY OF MANILA BARANGAY 227 ZONE 21 DISTRICT 2 MANILA OFFICE OF THE BID AWARDS COMMITTEE BIDS &amp; AWARDS COMMITTEE INVITATION TO BID THE BARANGAY 227 ZONE 21 DISTRICT 2 TONDO,MANILA THROUGH ITS BID &amp; AWARDS COMMITTEE (BAC) INVIT</t>
  </si>
  <si>
    <t xml:space="preserve"> Republic of the Philippines Province of Isabela LOCAL GOVERNMENT UNIT OF BENITO SOLIVEN INVITATION TO BID FOR THE PROCUREMENT OF MEDICINES AND MEDICAL SUPPLIES – 2ND QUARTER (GENERAL FUND) 1.	The Municipal Government of Benito Soliven, intends to apply th</t>
  </si>
  <si>
    <t xml:space="preserve"> Papsmear</t>
  </si>
  <si>
    <t xml:space="preserve"> General Support Services- Rental of Equipment Amount - 84,750.00</t>
  </si>
  <si>
    <t xml:space="preserve"> Procurement of Amikacn</t>
  </si>
  <si>
    <t xml:space="preserve"> NAME OF THE PROJECT: Improvement of New Public Building  LOCATION OF THE PROJECT: Market Site, Donsol, Sorsogon  PROJECT REFERENCE NO.:  INFRA-PB-2020-013  Approved Budget for the Contract: ₱2,000,000.00  Source of Fund: A.O. No. 07, s-2020 BRIEF DESCRIPT</t>
  </si>
  <si>
    <t xml:space="preserve"> Procurement of Blood Typing Sera</t>
  </si>
  <si>
    <t xml:space="preserve"> Bale Angeleno</t>
  </si>
  <si>
    <t xml:space="preserve"> Request for Expression of Interest (REOI)  for the  CONSULTANCY SERVICES FOR THE CONDUCT OF FEASIBILITY STUDY OF PROPOSED CONSTRUCTION OF MISSING LINKS AND NEW ROADS NAGUILIAN-BAGULIN (LA UNION) - KAPANGAN (BENGUET) ROAD (REGION I) 1.	The DPWH-Regional Of</t>
  </si>
  <si>
    <t xml:space="preserve"> NAME OF THE PROJECT: Construction of Perimeter Fence  LOCATION OF THE PROJECT: Donsol Community College- Tres Marias, Donsol, Sorsogon  PROJECT REFERENCE NO.:  INFRA-PB-2020-012  Approved Budget for the Contract: ₱1,500,000.00  Source of Fund: 20%  MCDF 2</t>
  </si>
  <si>
    <t xml:space="preserve"> THE PROCURING ENTITY THROUGH ITS BIDS AND AWARDS COMMITTEE INVITES SUPPLIER TO QUOTE FOR THE HEREUNDER PROJECT PROGRAM: ELECTRIFICATION PROJECTS -20% EDF 2019 ITEMS	DESCRIPTION	ABC/UNIT	QTY	UNIT 1	Various Electrical Materials (Electrical): 1 Lot. 	3     R</t>
  </si>
  <si>
    <t xml:space="preserve"> The DENR-PENRO Davao del Sur, through its Bids and Awards Committee (BAC), invites contractors to submit bids for the following Contract: Contract Name      :    Establishment of 1,000 cu.m Gabions                                    Contract Location :   </t>
  </si>
  <si>
    <t xml:space="preserve"> Procurement of Acetylcisteine</t>
  </si>
  <si>
    <t xml:space="preserve"> I. To be Installed to the following branches (Please see attached files @ Associated Components) LAGUNA BINAN BRANCH- Old National Highway, Brgy. Canlalay Binan, Laguna CABUYAO BRACH- Don Onofre Bldg., F. Bailon St. Brgy. Sala Cabuyao, Laguna CALAMBA BRAN</t>
  </si>
  <si>
    <t xml:space="preserve"> Section I. Notice of Eligibility and Short Listing 09 June 2020 Mr. Jose Victor Gaite Chief Finance Officer EON (Events Organizer Network), Inc. 8F OPL Building, 100 C. Palanca St., Legaspi Village, Makati City Dear Mr. Gaite: 1.	The Department of Health </t>
  </si>
  <si>
    <t xml:space="preserve"> Republic of the Philippines                   Department of Health	       CENTRAL OFFICE BIDS AND AWARDS COMMITTEE  INVITATION TO BID FOR  PROCUREMENT FOR THE EXPANSION OF EXISTING SOLID STATE DRIVE (SSD) IB NO. 2020-222 1.	The Department of Health (DOH),</t>
  </si>
  <si>
    <t xml:space="preserve"> Spl-1 Excavation  Spl-2 Concrete Works Spl-3 Iron Works Spl-4 Electrical Works</t>
  </si>
  <si>
    <t xml:space="preserve"> 1.	The Provincial Government of Ilocos Norte, through the General Fund  intends to apply the sum of Eighteen Million Pesos            (Php  18,000,000.00                        ) being the Approved Budget for the Contract (ABC) to payments under the contr</t>
  </si>
  <si>
    <t xml:space="preserve"> Republic of the Philippines DEPARTMENT OF PUBLIC WORKS AND HIGHWAYS OFFICE OF THE DISTRICT ENGINEER Cavite II District Engineering Office Brgy. Mangas II, Alfonso, Cavite INVITATION TO BID The Department of Public Works and Highways (DPWH) Cavite II Distr</t>
  </si>
  <si>
    <t xml:space="preserve"> INVITATION TO BID IB No. GS-2020 – 070 Office Supplies and Devices/Other Supplies for use of PGOM Office Supplies 3rd Quarter Based on the  Consolidated Annual Procurement Plan for the year 2020 1. The  Provincial  Government  of  Oriental  Mindoro  (PGOM</t>
  </si>
  <si>
    <t xml:space="preserve"> Republic of the Philippines Province of Laguna Municipality of Paete Tel. Nos. (049) 501-6490-101, (049) 557-0001  Invitation to Bid for  Invitation to Bid for Local Access Road, Concreting of C.M. Recto, C. Cajumban St., C. Mila., and A. Caguin Sr. St. B</t>
  </si>
  <si>
    <t xml:space="preserve"> Republic of the Philippines Province of Guimaras OFFICE OF THE BIDS AND AWARDS COMMITTEE INVITATION TO BID FOR    SUPPLY AND DELIVERY OF MATERIALS FOR WATER SAMPLING AND ANALYSIS Bid Ref. No. 2020-06-325 1.	The Province of Guimaras , through the 2020 SPP </t>
  </si>
  <si>
    <t xml:space="preserve"> INVITATION TO BID The Local Government unit of Barangay Alapang through the Bids and Awards Committee(BAC) invites contractors to bid for the hereunder projects: A. Contract reference No.:	                        POW-1041-2020-ALA-01B Name of Project:	   </t>
  </si>
  <si>
    <t xml:space="preserve"> Republic of the Philippines Province of Guimaras OFFICE OF THE BIDS AND AWARDS COMMITTEE Invitation to Bid for  One Job Supply of Materials and  Labor for the Improvement of Covered GYM at Rev-San Lorenzo NHS (Construction of Stage Phase I), San Lorenzo w</t>
  </si>
  <si>
    <t xml:space="preserve"> 1. The Barangay Government of Bagontaas, Valencia City, Bukidnon through its 2020 20% LDF, intends to apply the following sum of One hundred forty three thousand nine hundred eighty &amp; 32/100 (P143,980.32) @ P-11a, Bagontaas, Valencia City, Bukidnon.  Bids</t>
  </si>
  <si>
    <t xml:space="preserve"> INVITATION TO BID FOR  CONSTRUCTION OF FLOOD CONTROL - DARDARAT The Municipality of San Juan, through its Bids and Awards Committee (BAC), invites contractors to submit bids for the following Contract: Contract ID		:          	20-00042						 Contract Name</t>
  </si>
  <si>
    <t xml:space="preserve"> Republic of the Philippines Province of Guimaras OFFICE OF THE BIDS AND AWARDS COMMITTEE INVITATION TO BID FOR    SUPPLY AND DELIVERY OF FARM TOOLS EQUIPMENT Bid Ref. No. 2020-06-324 1.	The Province of Guimaras , through the 2020 20% DF- Support to Agrofo</t>
  </si>
  <si>
    <t xml:space="preserve"> Procurement of Three (3) years Security Services of PFDA-Iloilo Fish Port Complex and its premises.</t>
  </si>
  <si>
    <t xml:space="preserve"> Republic of the Philippines Province of Guimaras OFFICE OF THE BIDS AND AWARDS COMMITTEE INVITATION TO BID FOR    SUPPLY AND DELIVERY OF DRUGS AND MEDICINES Bid Ref. No. 2020-01-051 Re-bid 1.	The Province of Guimaras , through the Revolving Fund  intends </t>
  </si>
  <si>
    <t xml:space="preserve"> Republic of the Philippines MUNICIPALITY OF BOLINAO Province of Pangasinan PROPOSED ROAD OPENING AT PUROK 5 TO SITIO SICUPET, CATUNGI, BOLINAO, PANGASINAN 1.	The LOCAL GOVERNMENT UNIT OF BOLINAO, PANGASINAN through the 20% Development Fundintends to apply</t>
  </si>
  <si>
    <t xml:space="preserve"> Republic of the Philippines Province of Iloilo BIDS AND AWARDS COMMITTEE INVITATION TO BID Purchase of Office Equipment Bid No.GOV-20-0477-B 1. The Iloilo Provincial Government, through the 2020 GENERAL FUND intends to apply the sum of ONE HUNDRED SIXTY F</t>
  </si>
  <si>
    <t xml:space="preserve"> Republic of the Philippines Province of Laguna Municipality of Paete Tel. Nos. (049) 501-6490-101, (049) 557-0001  Invitation to Bid for  Invitation to Bid for Improvement of Drainage Canal at San Rafael St., Kapt Aguinaldo St., &amp; E. Cagayan St., Barangay</t>
  </si>
  <si>
    <t xml:space="preserve"> 1.	The Provincial Government of Ilocos Norte, through the General Fund  intends to apply the sum of Two Million Five Hundred Thousand Pesos                                  (Php 2,500,000.00               ) being the Approved Budget for the Contract (ABC)</t>
  </si>
  <si>
    <t xml:space="preserve"> a. CONTRACT ID: RIZAL-30JUNE2020-3 b. NAME OF PROJECT: Repainting/Improvement of Ynares Multi-Purpose Covered Court &amp; Const. of Comfort Room at Rainbow Village 1, Brgy. Kalayaan, Angono, Rizal c. LOCATION: Brgy. Kalayaan, Angono, Rizal d. BRIEF DESCRIPTIO</t>
  </si>
  <si>
    <t xml:space="preserve"> a. CONTRACT ID: RIZAL-30JUNE2020-2 b. NAME OF PROJECT: Improvement (Provision of Tiles) of School Buildings at San Vicente Elem. School, Brgy. San Vicente, Angono, Rizal c. LOCATION: Brgy. San Vicente, Angono, Rizal  d. BRIEF DESCRIPTION: Improvement of S</t>
  </si>
  <si>
    <t xml:space="preserve"> Republic of the Philippines Province of Southern Leyte Municipality of San Juan BIDS AND AWARDS COMMITTEE INVITATION TO BID 								Date:	January 10, 2020						                Contract no:    MSJ-2020-17 The LGU of the Municipality of San Juan, Southern L</t>
  </si>
  <si>
    <t xml:space="preserve"> a. CONTRACT ID: RIZAL-30JUNE2020-14 b. NAME OF PROJECT: Construction of 2-storey, 8-rooms Ynares School Building at Looc Elem. School, Brgy. Looc, Cardona, Rizal c. LOCATION: Brgy. Looc, Cardona, Rizal d. BRIEF DESCRIPTION: Construction of Ynares School B</t>
  </si>
  <si>
    <t xml:space="preserve"> PROCUREMENT OF HEAVY EQUIPMENT &amp; TRUCK</t>
  </si>
  <si>
    <t xml:space="preserve"> a. CONTRACT ID: RIZAL-30JUNE2020-1 b. NAME OF PROJECT: Repair/Improvement of Ynares Multi-Purpose Covered Court &amp; Repair of Comfort Room at Brgy. San Jose, Brgy. Dalig &amp; Brgy. Mayamot, Antipolo City a)  Repair/Improvement of Ynares Multi-Purpose Covered C</t>
  </si>
  <si>
    <t xml:space="preserve"> a. CONTRACT ID: RIZAL-30JUNE2020-13 b. NAME OF PROJECT: Construction of Perimeter Fence of Rural Health Unit at Southville 9 Phase 2, Brgy. Pinugay, Baras, Rizal c. LOCATION: Brgy. Pinugay, Baras, Rizal d. BRIEF DESCRIPTION: Construction of Perimeter Fenc</t>
  </si>
  <si>
    <t xml:space="preserve"> a. CONTRACT ID: RIZAL-30JUNE2020-10 b. NAME OF PROJECT: Improvement / Concreting of Burbank Street (Area 10 &amp; 11) at Brookside Hills Subd., Brgy. San Isidro, Cainta, Rizal c. LOCATION: Brgy. San Isidro, Cainta, Rizal d. BRIEF DESCRIPTION: Road improvement</t>
  </si>
  <si>
    <t xml:space="preserve"> a. CONTRACT ID: RIZAL-30JUNE2020-12 b. NAME OF PROJECT: Replacement of CHB Wall &amp; Steel Matting Fence at Rotary Day Care Center Southville 9 Phase 1, Brgy. Pinugay, Baras, Rizal c. LOCATION: Brgy. Pinugay, Baras, Rizal d. BRIEF DESCRIPTION: Replacement of</t>
  </si>
  <si>
    <t xml:space="preserve"> a. CONTRACT ID: RIZAL-30JUNE2020-8 b. NAME OF PROJECT: Construction/Provision of Wash Facilities (Water, Sanitation &amp; Hygiene) at Bangad Elem. School, Brgy. Bangad, Binangonan, Rizal c. LOCATION: Brgy. Bangad, Binangonan, Rizal  d. BRIEF DESCRIPTION: Wash</t>
  </si>
  <si>
    <t xml:space="preserve"> a. CONTRACT ID: RIZAL-30JUNE2020-15 b. NAME OF PROJECT: Rehabilitation / Improvement of Road at Sitio Pinagkitran, Brgy. Boor, Cardona, Rizal c. LOCATION: Brgy. Boor, Cardona, Rizal d. BRIEF DESCRIPTION: Road improvement. e. MAJOR ITEM OF WORK: Stone Maso</t>
  </si>
  <si>
    <t xml:space="preserve"> a. CONTRACT ID: RIZAL-30JUNE2020-7 b. NAME OF PROJECT: Construction/Provision of Wash Facilities (Water, Sanitation &amp; Hygiene) at Casimiro A. Ynares Sr. Elem. School, Brgy. Mambog, Binangonan, Rizal c. LOCATION: Brgy. Mambog, Binangonan, Rizal d. BRIEF DE</t>
  </si>
  <si>
    <t xml:space="preserve"> a. CONTRACT ID: RIZAL-30JUNE2020-5 b. NAME OF PROJECT: Improvement of School building, Concreting of Ground &amp; Construction of Gate at Darangan Elem. School, Brgy. Darangan, Binangonan, Rizal c. LOCATION: Brgy. Darangan, Binangonan, Rizal d. BRIEF DESCRIPT</t>
  </si>
  <si>
    <t xml:space="preserve"> a. CONTRACT ID: RIZAL-30JUNE2020-16 b. NAME OF PROJECT: Rehabilitation / Concreting of Bayanihan Street, Brgy. 3rd District, Jalajala, Rizal c. LOCATION: Brgy. 3rd District, Jalajala, Rizal d. BRIEF DESCRIPTION: Road improvement. e. MAJOR ITEM OF WORK: PC</t>
  </si>
  <si>
    <t xml:space="preserve"> a. CONTRACT ID: RIZAL-30JUNE2020-6 b. NAME OF PROJECT: Improvement/Repair of Ynares Multi-Purpose Covered Court, Brgy. Pilapila, Binangonan, Rizal c. LOCATION: Brgy. Pilapila, Binangonan, Rizal d. BRIEF DESCRIPTION: Improvement of Ynares Multi-Purpose Cov</t>
  </si>
  <si>
    <t xml:space="preserve"> a. CONTRACT ID: RIZAL-30JUNE2020-24 b. NAME OF PROJECT: Construction of 2-storey, 6-rooms Ynares School Building at Abuyod Elem. School, Brgy. Dalig, Teresa, Rizal c. LOCATION: Brgy. Dalig, Teresa, Rizal  d. BRIEF DESCRIPTION: Construction of Ynares Schoo</t>
  </si>
  <si>
    <t xml:space="preserve"> a. CONTRACT ID: RIZAL-30JUNE2020-11 b. NAME OF PROJECT: Construction of 4-storey, 8-rooms Ynares School Building at Rosario Ocampo Elem. School, Brgy. San Juan, Taytay, Rizal c. LOCATION: Brgy. San Juan, Taytay, Rizal  d. BRIEF DESCRIPTION: Construction o</t>
  </si>
  <si>
    <t xml:space="preserve"> a. CONTRACT ID: RIZAL-30JUNE2020-4 b. NAME OF PROJECT: Improvement / Construction of Stone Masonry for Slope Protection and Concreting of Creek bed, Brgy. Malakaban, Binangonan, Rizal c. LOCATION: Brgy. Malakaban, Binangonan, Rizal d. BRIEF DESCRIPTION: S</t>
  </si>
  <si>
    <t xml:space="preserve"> a. CONTRACT ID: RIZAL-30JUNE2020-17 b. NAME OF PROJECT: Asphalt Overlaying of A. Kalaw St., Sitio Sambungan, Brgy. Bagumbong, Jalajala, Rizal c. LOCATION: Brgy. Bagumbong, Jalajala, Rizal d. BRIEF DESCRIPTION: Road improvement. e. MAJOR ITEM OF WORK: Bitu</t>
  </si>
  <si>
    <t xml:space="preserve"> a. CONTRACT ID: RIZAL-30JUNE2020-23 b. NAME OF PROJECT: Repair of Various Ynares School Building at Tanay National High School, Brgy. Plaza Aldea, Tanay, Rizal c. LOCATION: Brgy. Plaza Aldea, Tanay, Rizal d. BRIEF DESCRIPTION: Repair of Various Ynares Sch</t>
  </si>
  <si>
    <t xml:space="preserve"> a. CONTRACT ID: RIZAL-30JUNE2020-22 b. NAME OF PROJECT: Concreting / Construction of Drainage Canal of Road at Daang Tubo East, Brgy. Guitnang Bayan I, San Mateo, Rizal c. LOCATION: Brgy. Guitnang Bayan I, San Mateo, Rizal d. BRIEF DESCRIPTION: Constructi</t>
  </si>
  <si>
    <t xml:space="preserve"> a. CONTRACT ID: RIZAL-30JUNE2020-9 b. NAME OF PROJECT: Construction of 2-storey, 10-rooms Ynares School Building Don Jose Ynares Sr. Mem. School, Brgy. San Carlos, Binangonan, Rizal c. LOCATION: Brgy. San Carlos, Binangonan, Rizal d. BRIEF DESCRIPTION: Co</t>
  </si>
  <si>
    <t xml:space="preserve"> a. CONTRACT ID: RIZAL-30JUNE2020-25 b. NAME OF PROJECT: Installation of Electrical Lighting System of Ynares Multi-Purpose Covered Courts at Brgy. Dalig, Teresa, Rizal a)  Installation of Electrical Lighting System of Ynares Multi-Purpose Covered Court at</t>
  </si>
  <si>
    <t xml:space="preserve"> a. CONTRACT ID: RIZAL-30JUNE2020-20 b. NAME OF PROJECT: Concreting (portion) of Road at Pililla GK Village, Pililla, Rizal c. LOCATION: Pililla, Rizal d. BRIEF DESCRIPTION: Road improvement.  e. MAJOR ITEM OF WORK: PCC Pavement (Plain) – Conventional Meth</t>
  </si>
  <si>
    <t xml:space="preserve"> a. CONTRACT ID: RIZAL-30JUNE2020-19 b. NAME OF PROJECT: Construction of 2-Units Artesian Well, Brgy. Bagumbong, Jalajala, Rizal c. LOCATION: Brgy. Bagumbong, Jalajala, Rizal d. BRIEF DESCRIPTION: Construction Artesian Well. e. MAJOR ITEM OF WORK: Drilling</t>
  </si>
  <si>
    <t xml:space="preserve"> a. CONTRACT ID: RIZAL-30JUNE2020-18 b. NAME OF PROJECT: Asphalt Overlaying/Concrete Reblocking (portion) of Serafin Reyes St., Brgy. Punta, Jalajala, Rizal c. LOCATION: Brgy. Punta, Jalajala, Rizal d. BRIEF DESCRIPTION: Road improvement. e. MAJOR ITEM OF </t>
  </si>
  <si>
    <t xml:space="preserve"> PLEASE SEE ATTACHED DOCUMENTS.</t>
  </si>
  <si>
    <t xml:space="preserve"> a. CONTRACT ID: RIZAL-30JUNE2020-21 b. NAME OF PROJECT: Const. of Ynares Stage at Phase 2 Eastwood Greenview Subd. , Brgy. San Isidro, Rodriguez, Rizal c. LOCATION: Brgy. San Isidro, Rodriguez, Rizal d. BRIEF DESCRIPTION: Const. of Ynares Stage e. MAJOR I</t>
  </si>
  <si>
    <t xml:space="preserve"> The purpose of procuring one (1) lot firewall software subscription support is to enable IPOPHL to protect its employees, network and information assets against known and advanced persistent cyber-attacks proliferating the Internet.</t>
  </si>
  <si>
    <t xml:space="preserve"> Office use.</t>
  </si>
  <si>
    <t xml:space="preserve"> Republic of the Philippines Province of Leyte Municipality of Palo INVITATION TO BID FOR  Supply/Delivery of Materials for the Repair/Replacement Installation of LED Street Lights along the National Highway at  Brgy. Salvacion, San Miguel, Cavite East, Ca</t>
  </si>
  <si>
    <t xml:space="preserve"> Use in Cebu City Medical Center-College of Nursing.</t>
  </si>
  <si>
    <t xml:space="preserve"> INVITATION TO BID (512-2020) Procurement of Construction Materials for the Construction of Perimeter Niches, Brgy. Dajay, Surallah The LGU Surallah through the Bids and Awards Committee (BAC) is inviting suppliers to bid for the supply and delivery of GOO</t>
  </si>
  <si>
    <t xml:space="preserve"> Back-up of databases, applications and electronic file wrappers</t>
  </si>
  <si>
    <t xml:space="preserve"> Republic of the Philippines BIDS AND AWARDS COMMITTEE Province of Iloilo Invitation to Bid Purchase of Printing and Publication Materials Bid No. COO-20-0650-B 1. The Iloilo Provincial Government, through the GENERAL FUND 2020 intends to apply the sum of </t>
  </si>
  <si>
    <t xml:space="preserve"> INVITATION TO BID (517-2020) Procurement of Construction Materials for the Concreting of Perimeter Fence at new PNP building The LGU Surallah through the Bids and Awards Committee (BAC) is inviting suppliers to bid for the supply and delivery of GOODS/INF</t>
  </si>
  <si>
    <t xml:space="preserve"> Invitation to Bid SUPPLY AND DELIVERY OF TWO (2) UNITS BRAND NEW OFFICE VEHICLES UNDER PR NO. 13799 (Rebid) 1. The Metro Iloilo Water District through the Corporate Fund of 2020 intends to apply the sum of Two Million Five Hundred Thousand Pesos (P 2,500,</t>
  </si>
  <si>
    <t xml:space="preserve"> For Administrative Support Program.</t>
  </si>
  <si>
    <t xml:space="preserve"> Republic of the Philippines MUNICIPALITY OF ORION Province of Bataan Bids and Awards Committee Secretariat Office, 2nd Floor Municipal Building, San Vicente, Orion, Bataan Telephone No. 244-9611 local 101 20ITB-G-02-00033 Invitation to Bid Supply, Install</t>
  </si>
  <si>
    <t xml:space="preserve"> Republic of the Philippines DEPARTMENT OF HEALTH WESTERN VISAYAS Center for Health Development INVITATION TO BID FOR THE  Rebidding of Supplies for Water Purification and Testing,  IB No. SB-2020-006 1.	The Department of Health – WV CHD, through the GOP –</t>
  </si>
  <si>
    <t xml:space="preserve"> Brgy. Government of Ginatilan BIDS AND AWARD COMMITTEE Brgy. Ginatilan, Kidapawan City INVITATIONS TO PAKYAW CONTRACT GROUPS Date: June 10, 2020 PL#:PL 2020-06-001 	The City of Kidapawan is inviting Pakyaw Contract Groups to apply for the various items in</t>
  </si>
  <si>
    <t xml:space="preserve"> Republic of the Philippies DEPARTMENT OF PUBLIC WORKS AND HIGHWAYS DAVAO ORIENTAL FIRST DISTRICT ENGINEERING OFFICE REGION XI Lucod, Baganga, Davao Oriental RE-INVITATION TO BID No. 2020-0008  1.The Department of Public Works and Highways, Davao Oriental </t>
  </si>
  <si>
    <t xml:space="preserve"> Supply/ Delivery of Drugs, Medicines, Medical, Dental &amp; Laboratory Supplies &amp; Micro Nutrient Supplementation particulary, Lot 2 &amp; 3 Please see attached Document for Lot 2 &amp; Lot 3 only</t>
  </si>
  <si>
    <t xml:space="preserve"> Republic of the Philippines DEPARTMENT OF HEALTH WESTERN VISAYAS Center for Health Development INVITATION TO BID FOR THE  Rebidding of TB Drugs,  IB No. SB-2020-009 1.	The Department of Health – WV CHD, through the NTP CONAP 2019 fund  intends to apply th</t>
  </si>
  <si>
    <t xml:space="preserve"> Republic of the Philippines CITY GOVERNMENT OF SAN FERNANDO Barangay Parian Email: brgy_parian_csflu@yahoo.com. INVITATION TO BID FOR  Construction of Drainage Canal Purok 1, Barangay Parian, City of San Fernando 1.	The Barangay Parian, through the Barang</t>
  </si>
  <si>
    <t xml:space="preserve"> Republic of the Philippines DEPARTMENT OF PUBLIC WORKS AND HIGHWAYS DAVAO ORIENTAL FIRST DISTRICT ENGINEERING OFFICE REGION XI Lucod, Baganga, Davao Oriental RE-INVITATION TO BID No. 2020-0008  1.	The Department of Public Works and Highways, Davao Orienta</t>
  </si>
  <si>
    <t xml:space="preserve"> PROCUREMENT OF FURNITURE AND FIXTURES</t>
  </si>
  <si>
    <t xml:space="preserve"> Republic of the Philippines Province of Davao De Oro MUNICIPALITY OF COMPOSTELA BIDS AND AWARDS COMMITTEE CP#: 0998-571-7569 INVITATION TO BID FOR  Procurement of Hardware Materials for Improvement of Bridges along Purok 9 to Purok 6 Mangayon ITB NO. 2020</t>
  </si>
  <si>
    <t xml:space="preserve"> The Local  Government   Unit  of General  Santos  City, through  the  GENERAL FUND CY 2020  intends  to apply  the sum of two hundred thousand and xx / 100 Pesos Only (200,000.00)   being  the Approved  Budget  for the Contract   (ABC) to payments  under </t>
  </si>
  <si>
    <t xml:space="preserve"> Purchase and Delivery of Drugs and Medical Supplies for 2nd Quarter 2020</t>
  </si>
  <si>
    <t xml:space="preserve"> CONSTRUCTION OF SIDE WALK WITH BENCHES AND STREETLIGHTS IN ENVERGA BLVD., Barangay Sadsaran (GAT-UBAN TO REGIDOR ST.) MAUBAN, QUEZON. 1.	The Local Government Unit of Mauban  through the 20% DEVELOPMENT FUND (DF)-8751/1-07-03-010, 2020 intends to apply the</t>
  </si>
  <si>
    <t xml:space="preserve"> The Local  Government   Unit  of General  Santos  City, through  the  GENERAL FUND CY 2020  intends  to apply  the sum of seventy four thousand five hundred ninety six and xx / 100 Pesos Only (74,596.00)   being  the Approved  Budget  for the Contract   (</t>
  </si>
  <si>
    <t xml:space="preserve"> SUPPLY AND DELIVERY OF LABORATORY SUPPLIES FOR RHU LABORATORY The Local Government Unit of Mauban through the GENERAL FUND-4411/5-02-03-080 (03), 2020 intends to		 apply the sum of Six Hundred Forty Nine Thousand Four Hundred Thirty Pesos (Php 649,430.00)</t>
  </si>
  <si>
    <t xml:space="preserve"> Republic of the Philippines Region XII Province of Cotabato City of Kidapawan Brgy. Ginatilan OFFICE OF THE BIDS AND AWARD COMMITTEE June 10, 2020 INVITATION TO BID FOR  Supply and delivery of Plumbing Materials for the Proposed Replacement of Old and Bro</t>
  </si>
  <si>
    <t xml:space="preserve"> Procurement of various construction materials for use in the Repair and Maintenance of National Roads and Bridges within the district, DPWH, Negros Occidental 3rd District Engineering Office, Kabankalan City. 1.	The DPWH Negros Occidental 3rd District Eng</t>
  </si>
  <si>
    <t xml:space="preserve"> PROCUREMENT OF OFFICE EQUIPMENT</t>
  </si>
  <si>
    <t xml:space="preserve"> CONSTRUCTION OF MASONRY WALL IN ENVERGA BLVD., BARANGAY SADSARAN (NEAR GAT-UBAN PARK), MAUBAN, QUEZON. 1.	The Local Government Unit of Mauban  through the 20% DEVELOPMENT FUND(DF)-8751/1-07-03-990, 2020 intends to apply the sum of Five Hundred Ninety Seve</t>
  </si>
  <si>
    <t xml:space="preserve"> Republic of the Philippines CITY GOVERNMENT OF ORMOC  2nd /F New Ormoc City Hall Bldg.,Ormoc City Tel # (053) 255-2054 &amp; 560-8050 Local # 1126, 1127 &amp; 1123   33-________________________ INVITATION TO BID         The City Government of Ormoc, through the B</t>
  </si>
  <si>
    <t xml:space="preserve"> PROCUREMENT OF FOOD SUPPLIES</t>
  </si>
  <si>
    <t xml:space="preserve"> 34-________________________ INVITATION TO BID         The City Government of Ormoc, through the Bids and Awards Committee (BAC), invites contractors registered with and classified by the Philippine Contractors Accreditation Board (PCAB) to bid for the her</t>
  </si>
  <si>
    <t xml:space="preserve"> ITEM           DESCRIPTION         QUANTITY           UNIT 1	FURNISHING OF LABOR AND MATERIALS FOR THE INSTALLATION OF DISTRIBUTION LINE AT ZONE 1, BARANGAY BARAS, CANAMAN, CAMARINES SUR           1 LOT																					 																						 								</t>
  </si>
  <si>
    <t xml:space="preserve"> Republic of the Philippines DEPARTMENT OF HEALTH WESTERN VISAYAS Center for Health Development INVITATION TO BID FOR THE  Rebidding of Laboratory Supplies for STI, HIV and AIDS Program,  IB No. SB-2020-012 1.	The Department of Health – WV CHD, through the</t>
  </si>
  <si>
    <t xml:space="preserve"> PROCUREMENT OF OFFICE SUPPLIES</t>
  </si>
  <si>
    <t xml:space="preserve"> PROCUREMENT OF OTHER SUPPLIES</t>
  </si>
  <si>
    <t xml:space="preserve"> RENTAL OF MOTOR VEHICLE</t>
  </si>
  <si>
    <t xml:space="preserve"> PROJECT:PURCHASE OF MEDICINES, 2ND &amp; 3RD QUARTER 2020 LOCATION: RHU-RIZAL, NUEVA ECIJA SOURCE OF FUND: GENERAL FUND ABC: PHP 600,000.00</t>
  </si>
  <si>
    <t xml:space="preserve"> Republic of the Philippines CITY GOVERNMENT OF ORMOC  2nd /F New Ormoc City Hall Bldg.,Ormoc City Tel # (053) 255-2054 &amp; 560-8050 Local # 1126, 1127 &amp; 1123	      35-________________________ INVITATION TO BID         The City Government of Ormoc, through t</t>
  </si>
  <si>
    <t xml:space="preserve"> CONSTRUCTIONS OF SOU PHASE 1</t>
  </si>
  <si>
    <t xml:space="preserve"> PROCUREMENT OF TRAINING SUPPLIES</t>
  </si>
  <si>
    <t xml:space="preserve"> CONSTRUCTION OF SOU LAST PHASE</t>
  </si>
  <si>
    <t xml:space="preserve"> 1.	The West Visayas State University Medical Center, through its Use of Income Fund 2020 intends to apply  the sum of  TWO MILLION FORTY ONE THOUSAND NINE HUNDRED SIXTY PESOS (PhP 2,041,960.00) ONLY being the Approved Budget for the Contract (ABC) to paym</t>
  </si>
  <si>
    <t xml:space="preserve"> ARMED FORCES OF THE PHILIPPINES PHILIPPINE AIR FORCE OFFICE OF THE PAF BIDS AND AWARDS COMMITTEE Colonel Jesus Villamor Air Base, Pasay City Invitation to Bid The Armed Forces of the Philippines, through the PAF Bids and Awards Committee (PAFBAC), invites</t>
  </si>
  <si>
    <t xml:space="preserve"> Republic of the Philippines Province of Batangas MUNICIPALITY OF MALVAR Office of the Municipal Mayor SECTION I INVITATION TO BID FOR IMPROVEMENT OF SENIOR CITIZENS BUILDING AT BARANGAY SANTIAGO, MALVAR BATANGAS 1. The Municipality of Malvar, through the </t>
  </si>
  <si>
    <t xml:space="preserve"> Republic of the Philippines Province of Masbate Municipality of Monreal BARANGAY MOROCBOROCAN BIDS AND AWARDS COMMITTEE INVITATION TO BID  									June 9, 2020 	The Barangay Local Government Unit of Morocborocan, Monreal, Masbate through its Bids and Awa</t>
  </si>
  <si>
    <t xml:space="preserve"> Republic of the Philippines Province of Batangas MUNICIPALITY OF MALVAR Office of the Municipal Mayor SECTION I INVITATION TO BID FOR CONSTRUCTION OF DRAINAGE SYSTEM AT BARANGAY SAN PIOQUINTO, MALVAR BATANGAS 1. The Municipality of Malvar, through the Sup</t>
  </si>
  <si>
    <t xml:space="preserve"> 1. The CITY GOVERNMENT OF CALAMBA through the General Fund intends to apply the sum of PHP 1,416,000.00 being the Approved Budget for the Contract (ABC) to payments under the contract for: G-2020-278 Supply and Delivery of Hearing Aid Office of the City M</t>
  </si>
  <si>
    <t xml:space="preserve"> INVITATION TO BID The Northern Negros State College of Science and Technology at Old Sagay, Sagay City, Negros Occidental through its Bids and Awards Committee (BAC), invites bidders to apply for eligibility and if found eligible, to bid for the hereunder</t>
  </si>
  <si>
    <t xml:space="preserve"> Republic of the Philippines Province of Batangas MUNICIPALITY OF MALVAR Office of the Municipal Mayor SECTION I INVITATION TO BID FOR IMPROVEMENT OF MULTI-PURPOSE GYMNASIUM AT BARANGAY SAN JUAN, MALVAR BATANGAS 1. The Municipality of Malvar, through the S</t>
  </si>
  <si>
    <t xml:space="preserve"> Republic of the Philippines Province of Batangas MUNICIPALITY OF MALVAR Office of the Municipal Mayor SECTION I INVITATION TO BID FOR CONSTRUCTION/IMPROVEMENT OF MULTI-PURPOSE BUILDING AT BARANGAY BAGONG POOK, MALVAR BATANGAS 1. The Municipality of Malvar</t>
  </si>
  <si>
    <t xml:space="preserve"> Republic of the Philippines Province of Batangas MUNICIPALITY OF MALVAR Office of the Municipal Mayor SECTION I INVITATION TO BID  FOR IMPROVEMENT OF MULTI-PURPOSE BUILDING AT BARANGAY SAN JUAN, MALVAR, BATANGAS 1.	The Municipality of Malvar, through the </t>
  </si>
  <si>
    <t xml:space="preserve"> 1. The CITY GOVERNMENT OF CALAMBA through the Special Education Fund intends to apply the sum of PHP 17,979,300.00 being the Approved Budget for the Contract (ABC) to payments under the contract for: G-2020-209 Supply and Installation of CCTV Various Scho</t>
  </si>
  <si>
    <t xml:space="preserve"> 1. The CITY GOVERNMENT OF CALAMBA through the General Fund intends to apply the sum of PHP 1,500,000.00 being the Approved Budget for the Contract (ABC) to payments under the contract for: G-2020-277 Supply and Delivery of Nebulizer Office of the City May</t>
  </si>
  <si>
    <t xml:space="preserve"> 1. The CITY GOVERNMENT OF CALAMBA through the General Fund intends to apply the sum of PHP 1,344,000.00 being the Approved Budget for the Contract (ABC) to payments under the contract for: G-2020-279 Supply and Delivery of Monoblock Chairs Office of the C</t>
  </si>
  <si>
    <t xml:space="preserve"> - CONCRETE PIPES - SAND GRAVEL - CEMENT -  PLYWOOD</t>
  </si>
  <si>
    <t xml:space="preserve"> 1. The CITY GOVERNMENT OF CALAMBA through the GAD Fund intends to apply the sum of PHP 1,756,560.00 being the Approved Budget for the Contract (ABC) to payments under the contract for: G-2020-284 Supply and Delivery of Agricultural Inputs: Broiler Product</t>
  </si>
  <si>
    <t xml:space="preserve"> Republic of the Philippines Province of Batangas MUNICIPALITY OF MALVAR Office of the Municipal Mayor SECTION I INVITATION TO BID FOR IMPROVEMENT OF MULTI-PURPOSE GYMNASIUM AT BARANGAY SAN GREGORIO, MALVAR BATANGAS 1. The Municipality of Malvar, through t</t>
  </si>
  <si>
    <t xml:space="preserve"> Republic of the Philippines Province of Batangas MUNICIPALITY OF MALVAR Office of the Municipal Mayor SECTION I INVITATION TO BID  FOR IMPROVEMENT OF MULTI-PURPOSE BUILDING AT BARANGAY SAN ISIDRO, MALVAR, BATANGAS 1.	The Municipality of Malvar, through th</t>
  </si>
  <si>
    <t xml:space="preserve"> 1. The CITY GOVERNMENT OF CALAMBA through the General Fund intends to apply the sum of PHP 1,416,798.00 being the Approved Budget for the Contract (ABC) to payments under the contract for: G-2020-200 Supply and Installation of Dry Container Van with Pedes</t>
  </si>
  <si>
    <t xml:space="preserve"> Republic of the Philippines PROVINCE OF SAMAR Municipality of Pinabacdao Invitation to Bid Concreting of Pathwalk at Core Shelter Project(Pabahay) Pinabacdao Samar 1. The LOCAL GOVERMENT UNIT of Pinabacdao Samar, through the FY 2020 Budget intends to appl</t>
  </si>
  <si>
    <t xml:space="preserve"> Republic of the Philippines Province of Batangas MUNICIPALITY OF MALVAR Office of the Municipal Mayor SECTION I INVITATION TO BID  FOR CONSTRUCTION OF CANAL AT BARANGAY SANTIAGO, MALVAR, BATANGAS 1. The Municipality of Malvar, through the Supplemental Bud</t>
  </si>
  <si>
    <t xml:space="preserve"> Municipality of Looc INVITATION TO BID FOR Supply/Installation of Isolation Facility Accessories 1.	The Municipality of Looc, through the Bayanihan Grant intends to apply the sum of Php 1,020,000.00 being the Approved Budget for the Contract (ABC) to paym</t>
  </si>
  <si>
    <t xml:space="preserve"> 1. The CITY GOVERNMENT OF CALAMBA through the General Fund intends to apply the sum of PHP 1,162,660.80 being the Approved Budget for the Contract (ABC) to payments under the contract for: G-2020-324 Supply and Delivery of Rabies Vaccine City Health Servi</t>
  </si>
  <si>
    <t xml:space="preserve"> 1. The CITY GOVERNMENT OF CALAMBA through the General Fund intends to apply the sum of PHP 4,998,830.71 being the Approved Budget for the Contract (ABC) to payments under the contract for: I-2020-010 Construction of Retaining Wall Barangay Barandal (Calam</t>
  </si>
  <si>
    <t xml:space="preserve"> INVITATION TO APPLY FOR ELIGIBILITY AND TO BID THE BIDS AND AWARD COMMITTEE OF BRGY. PALANAY, MUNICIPALITY OF CAIBIRAN, BILIRAN IS INVITING ALL INTERESTED BIDDERS ON ITS FORTH COMING PUBLIC BIDDING FOR: Project Title	: Improvement of Barangay Hall Period </t>
  </si>
  <si>
    <t xml:space="preserve"> 1. The CITY GOVERNMENT OF CALAMBA through the General Fund intends to apply the sum of PHP 2,042,872.49 being the Approved Budget for the Contract (ABC) to payments under the contract for: I-2020-008 Construction of Two Storey Canteen Bldg. with Roof Deck</t>
  </si>
  <si>
    <t xml:space="preserve"> INVITATION TO BID Sealed proposal in ink typewritten one (1) copy will be received fro bonafide contractors on June 22, 2020 at 10:00 AM at Barangay Hall, Barangay A. PASCUAL, this city on which date, time and place the bid will publicly opened in the pre</t>
  </si>
  <si>
    <t xml:space="preserve"> Spareparts-Various Spareparts</t>
  </si>
  <si>
    <t xml:space="preserve"> Procurement involves efforts to quantify medicines requirements, selecting appropriate procurement methods, prequalifying suppliers and products.</t>
  </si>
  <si>
    <t xml:space="preserve"> Republic of the Philippines Province of Iloilo  BIDS AND AWARDS COMMITTEE REQUEST FOR QUOTATION Quotation No. GSO-20-0498-NP(SV) Reference PR No. GSO-20-0498 June 8, 2020 ____________________________________ ____________________________________ __________</t>
  </si>
  <si>
    <t xml:space="preserve"> TO THE BIDDERS: Interested bidders may obtain further information from the LBGU Barangay Cabalanggan at the address given below. The Local Barangay Government Unit of Barangay Cabalanggan serves the right to accept or reject any bid, declares failure of b</t>
  </si>
  <si>
    <t xml:space="preserve"> 34 pcs .40mm x 12' Corr. G.I. Sheets 34 pcs .40mm x 10' Corr. G.I. Sheets 10 kgs Umbrella Nails 2 kgs. Concrete Nails 3 kgs. Hardi Nails 10 pcs. Standard Gutter 8 pcs. Standard Ridge Roll 10 pcs. 1/2" x 12" Hardi Sanepa 1 lit. Roof Sealant 10 bags 4" dia.</t>
  </si>
  <si>
    <t xml:space="preserve"> 1. The CITY GOVERNMENT OF CALAMBA through the Special Education Fund intends to apply the sum of PHP 1,996,597.32 being the Approved Budget for the Contract (ABC) to payments under the contract for: Construction of Drainage Facility, E. Barretto Sr. ES Ba</t>
  </si>
  <si>
    <t xml:space="preserve"> Republic of the Philippines  Province of La Union  Municipality of Bacnotan  Bids and Awards Committee  INVITATION TO BID FOR  Supply and Delivery of Furniture and Fixture for Bacnotan Farmer’s Agri-Tourism Center  1.	The Municipality of Bacnotan, through</t>
  </si>
  <si>
    <t xml:space="preserve"> TO ALL BIDDERS: Interested bidders may obtain further information from the LBGU Barangay Cabalanggan at the address given below. The Local Barangay Government Unit of Barangay Cabalanggan serves the right to accept or reject any bid, declares failure of b</t>
  </si>
  <si>
    <t xml:space="preserve"> Item No.	Unit	Qty.	Description of Articles 1	bags	180	Portland Cement 2	cu.m	10	Sand (Washed) 3	cu.m	20	Gravel (Fine) 4	lgth	175	12mm dia x 6.0m DSB  5	lgth	105	10mm dia x 6.0m DSB  6	lgth	10	3" dia x 3.0 m uPVC Pipe, Orange S-500 7	kgs	25	#16 G.I. Tie Wi</t>
  </si>
  <si>
    <t xml:space="preserve"> Project Billboard/Signboard; Occupational Safety and Health Program; Mobilization/Demobilization; Structure Excavation (Common Soil); Gravel Fill; Structural Concrete (Footings and Slab on Fill) Class A, 28 days; Structural Concrete (Columns) Class A, 28 </t>
  </si>
  <si>
    <t xml:space="preserve"> Item No.	Unit	Qty.	Description of Articles 1	unit	1	Aircon 			2.5 HP 			Window Type 			Good Quality</t>
  </si>
  <si>
    <t xml:space="preserve"> This project entails labor and materials for the Construction of 1m x120m x 0.10m concrete pathway at Purok 1 &amp; 3, Salvacion, Magallanes, Sorsogon.</t>
  </si>
  <si>
    <t xml:space="preserve"> Office Equipment-Aircon w/complete Accessories</t>
  </si>
  <si>
    <t xml:space="preserve"> Provision of Combined Field Office, Laboratory and Living Quarters Building for the Engineer (Rental Basis); Miscellaneous Survey and Staking; Project Billboard / Signboard; Occupational Safety and Health Program; Traffic Management; Mobilization/Demobili</t>
  </si>
  <si>
    <t xml:space="preserve"> ABATEMENT FOR AGUS 6 &amp; 7 HEPC NOTE: (FOR JOB ORDER) REQUEST FOR QUOTATION SHALL BE THRU EMAIL DUE TO COVID 19.   YOU CAN DROP YOUR QUOTATIONS AT OUR BID BOX SITUATED IN FRONT OF OUR MAINGATE GUARDHOUSE – AGUS 6/7 HPPC.</t>
  </si>
  <si>
    <t xml:space="preserve"> 2.00 units Project Billboard 506.87 cu.m Surplus Common Excavation 3,960.00 sq.m  Subgrade Preparation 740.03 cu.m Aggregate Sub Base Course  2,475.00 Portland Cement Concrete Pavement 87.00  cu.m Stone Masonry (Grouted Riprap) Equipment Needed: Backhoe,R</t>
  </si>
  <si>
    <t xml:space="preserve"> Republic of the Philippines  Province of La Union  Municipality of Bacnotan  Bids and Awards Committee  INVITATION TO BID FOR  Supply and Delivery of Various Information and Communication Technology Equipment  1.	The Municipality of Bacnotan, through the </t>
  </si>
  <si>
    <t xml:space="preserve"> Specifications YMCK Full Color with Resin Black, 500 Prints	3 sets Retransfer Film, 1500 Prints	1 set Interested Suppliers should submit the following together with the quotation: 1. Valid Mayor's/Business Permit 2. PhilGEPS Registration Number</t>
  </si>
  <si>
    <t xml:space="preserve"> Republic of the Philippines Province of Bohol MUNICIPALITY OF TUBIGON INVITATION TO BID FOR Supply and Delivery of Construction Materials for Grouted Riprap @ Masungil, Pinayagan Sur, Tubigon, Bohol (Re-Bid) 1. The Local Government Unit of Tubigon, Bohol,</t>
  </si>
  <si>
    <t xml:space="preserve"> The City Government of Ligao through its Bids and Awards Committee (BAC), now invites bids for the herein project: Name of Contract        :  Upgrading of Paulba-Maburi Road (Phase III) Location                       : Paulba,  Ligao City Brief Descriptio</t>
  </si>
  <si>
    <t xml:space="preserve"> Rental of Motor Vehicles</t>
  </si>
  <si>
    <t xml:space="preserve"> Republic of the Philippines BIDS AND AWARDS COMMITTEE Province of Iloilo Invitation to Bid Purchase of Defibrillator  Bid No. FRT-19-1689-B(REBID) 1. The Iloilo Provincial Government, through the SUPPLEMENTAL BUDGET #2, 2017 intends to apply the sum of ON</t>
  </si>
  <si>
    <t xml:space="preserve"> Republic of the Philippines Province of Iloilo  BIDS AND AWARDS COMMITTEE REQUEST FOR QUOTATION Quotation No. GSO-20-0576-NP(SV) Reference PR No. GSO-20-0576 June 8, 2020 __________________________________ __________________________________ ______________</t>
  </si>
  <si>
    <t xml:space="preserve"> Construction and Rehabilitation of Drainage System</t>
  </si>
  <si>
    <t xml:space="preserve"> ENVIRONMENTAL SIGNAGES, MATERIALS AND LABOR NOTE: (FOR JOB ORDER) REQUEST FOR QUOTATION SHALL BE THRU EMAIL DUE TO COVID 19.   YOU CAN DROP YOUR QUOTATIONS AT OUR BID BOX SITUATED IN FRONT OF OUR MAINGATE GUARDHOUSE – AGUS 6/7 HPPC.</t>
  </si>
  <si>
    <t xml:space="preserve"> Republic of the Philippines                   PROVINCE OF BUKIDNON                   Municipality of Don Carlos                                        BIDS AND AWARDS COMMITTEE       REQUEST FOR QUOTATION   									 						                                </t>
  </si>
  <si>
    <t xml:space="preserve"> Republic of the Philippines  Province of La Union  Municipality of Bacnotan  Bids and Awards Committee  INVITATION TO BID FOR  Supply and Delivery of Drugs and Medicines  1.	The Municipality of Bacnotan, through the General Fund intends to apply the sum o</t>
  </si>
  <si>
    <t xml:space="preserve"> Republic of the Philippines BIDS AND AWARDS COMMITTEE Province of Iloilo Invitation to Bid Purchase of Medical Equipment Bid No. DDH-19-2097-B 1. The Iloilo Provincial Government, through the 20% IRA OF 2018 intends to apply the sum of ONE HUNDRED EIGHTY </t>
  </si>
  <si>
    <t xml:space="preserve"> SUPPLY AND DELIVERY OF THE FOLLOWING: ITEM NO.       DESCRIPTION                                                           UNIT            QUANTITY      I              REINFORCED CONCRETE BOX CULVERT (RCBC)            cum                5.94      II      </t>
  </si>
  <si>
    <t xml:space="preserve"> Fuel-Diesel Fuel</t>
  </si>
  <si>
    <t xml:space="preserve"> INVITATION TO BID CONSTRUCTION OF ROAD SHOULDERING Name of Procuring Entity: BLGU- WILSON Source of fund:	20% PDF 2020 Approved Budget for the Contract:	NINETY NINE THOUSAND EIGHT HUNDRED FIFTEEN PESOS AND 60/100   (Php 99,815.60) only. Contract Name:	CON</t>
  </si>
  <si>
    <t xml:space="preserve"> SUPPLY OF MATERIALS FOR THE REPAIR &amp; MAINTENANCE OF MOTOR VEHICLES REPAIR &amp; INSTALLATION &amp; MAINTENANCE AND SUPPLY OF MATERIALS FOR SJA 587</t>
  </si>
  <si>
    <t xml:space="preserve"> Equipment for Banana Tissue Culture Laboratory Kindly see attached file. Thank you!</t>
  </si>
  <si>
    <t xml:space="preserve"> Republic of the Phillippines BIDS AND AWARDS COMMITTEE FOR THE PROCUREMENT OF GOODS City of Puerto Princesa  Barangay Inagawan Invitation To Bid ( Procurement of Goods ) The scheduled of Bidding Activities should be as follows : 1. Publication Posting of </t>
  </si>
  <si>
    <t xml:space="preserve"> Republic of the Philippines BIDS AND AWARDS COMMITTEE Province of Iloilo Invitation to Bid Purchase of  DUPLICATOR MACHINE Bid No. JCH-20-0225-B 1. The Iloilo Provincial Government, through the Supplemental Budget No. 2 2019 intends to apply the sum of ON</t>
  </si>
  <si>
    <t xml:space="preserve"> Procurement of Training Supplies</t>
  </si>
  <si>
    <t xml:space="preserve"> Contract ID: 20PL0112 Contract Name: Package 2: A.) Repair/Maintenance of Kintoy Kasabaan Flood Control, Bulanao, Tabuk City, Kalinga, B.) Repair/Maintenance of Wakki Creek Flood Control, Sagpat, Bulanao, Tabuk City, Kalinga, C.) Repair Maintenance of Ta-</t>
  </si>
  <si>
    <t xml:space="preserve"> see details attached with pow</t>
  </si>
  <si>
    <t xml:space="preserve"> Contract ID: 20PL0113 Contract Name: Concreting of Brgy. Sandara FMR, Brgy. Sandara, Rizal, Kalinga Contract Location: Rizal, Kalinga Brief Description: Construction of 600m x 5.0m x 0.20m thk PCCP Approved Budget for the Contract (ABC): PhP 11,937,445.31</t>
  </si>
  <si>
    <t xml:space="preserve"> 4 	Procurement ID/Contract ID		20LC0155 	Contract Name		Tanglaw Bridge 2 (B00187MN) along Tagum －Panabo Circumferential Road 	Contract Location		Braulio E. Dujali, Davao del Norte 	Brief Description		Widening of Bridge 	Approved Budget for the Contract ( </t>
  </si>
  <si>
    <t xml:space="preserve"> ITEM NO.                DESCRIPTION                            QUANTITY           UNIT 100                        CLEARING  AND GRUBBING            180                  SQ.M 105                        SUB-GRADE PREPARATION             900                 </t>
  </si>
  <si>
    <t xml:space="preserve"> Concreting Project at Rafael Lacson Street (Slaughter House Road) Liloy, Zamboanga del Norte amounting                     P 2,300,000.00  190 meters Length 0.20 m thickness 6.10 m width 150 calendar days to complete the project</t>
  </si>
  <si>
    <t xml:space="preserve"> 3	Procurement ID/Contract ID		20LC0154 	Contract Name		Tanglaw Bridge 2 (B00187MN) along Tagum －Panabo Circumferential Road 	Contract Location		Braulio E. Dujali, Davao del Norte 	Brief Description		Widening of Bridge 	Approved Budget for the Contract ( A</t>
  </si>
  <si>
    <t xml:space="preserve"> INVITATION TO BID NO. INFRA-2020-04 									 1.	The Municipal Government of Hungduan, Ifugao, through the 20% Municipal Development Fund intends to apply the sum of One Million Six Hundred Thirty Six Thousand Six Hundred Fourteen Pesos &amp; Seventy Four Cen</t>
  </si>
  <si>
    <t xml:space="preserve"> Improvement of Barangay Multi-Purpose Hall (Extension of Health Center)</t>
  </si>
  <si>
    <t xml:space="preserve"> Construction of Seventy (70) Spans-Concrete Fence Please call Engr. Richard Pablo at 0926-395-9865  for more information regarding the ITB posted.  Kindly see attached file. Thank you!</t>
  </si>
  <si>
    <t xml:space="preserve"> INVITATION TO BID The Iligan City Government Bids and Awards Committee (BAC), through General Fund 2020, intends to apply the sum of P 1,493,425.00 being the Approved Budget for the Contract (ABC) to payments under the Contract for Procurement of Medical </t>
  </si>
  <si>
    <t xml:space="preserve"> PHILIPPINE BIDDING DOCUMENTS (As Harmonized with Development Partners) Procurement for  Re Bidding - Rehabilitation of Apolinario dela Cruz Waterworks System Improvement of Main Water Source and Intake Box, Installation of additional pipelines and fitting</t>
  </si>
  <si>
    <t xml:space="preserve"> 1.	Bids received in excess of the ABC shall be automatically rejected during the Bid Opening. Interested Bidders may obtain further information from PN BAC in the given address below from 8:00 AM to 5:00 PM, Monday to Friday. 2.	Issuance of Bidding Docume</t>
  </si>
  <si>
    <t xml:space="preserve"> SUPPLY AND DELIVERY OF THE FOLLOWING: ITEM NO.      DESCRIPTION                                            UNIT         QUANTITY     I              DEMOLITION AND CHEEPING WORKS            lot               108.00     II             CONCRETE WORKS        </t>
  </si>
  <si>
    <t xml:space="preserve"> Contract ID: 20PL0114 Contract Name: Concreting of Brgy. Ballayangon FMR, Brgy. Ballayangon, Pinukpuk, Kalinga Contract Location: Pinukpuk, Kalinga Brief Description: Construction of 810m x 5.0m x 0.20m thk PCCP Approved Budget for the Contract (ABC): PhP</t>
  </si>
  <si>
    <t xml:space="preserve"> Repair of Motor Vehicles</t>
  </si>
  <si>
    <t xml:space="preserve"> 1	12	Sheets	1/4" thick Marine Plywood 2	150	Bd.Ft.	 2" x 2" x 12' Good lumber 3	160	Bd.Ft.	 2" x 2" x 10' Good lumber 4	55	Bd.Ft.	 2" x 2" x 8' Good lumber 5	10	kgs	  #2 1/2" CWN 6	3	kgs	  #1" CWN 7	12	bd.ft.	1'' x 3'' x 6' good lumber 8	12	bd.ft.	1'' x 3</t>
  </si>
  <si>
    <t xml:space="preserve"> SEE ATTACHED FORM TO BID</t>
  </si>
  <si>
    <t xml:space="preserve"> This project entails labor and materials for the construction of concrete pathway (0.10mx 1.0m x 244m) at Purok 1,2,3,4, Sitio Sta. Lourdes, Behia, Magallanes, Sorosogon.</t>
  </si>
  <si>
    <t xml:space="preserve"> Department of Public Works and Highways (DPWH) Contract ID: 20IB0142 Contract Name: Construction of Shelves Commission on Audit Office ESDEO-DPWH Location of the Contract: Brgy. Alang-Alang, Borongan City, Eastern Samar Republic of the Philippines DEPARTM</t>
  </si>
  <si>
    <t xml:space="preserve"> Repair of Office Equipment</t>
  </si>
  <si>
    <t xml:space="preserve"> SUPPLY AND DELIVERY OF THE FOLLOWING: ITEM NO.       DESCRIPTION                                                              UNIT          QUANTITY     I                PORTLAND CEMENT, TYPE 1 @ 40 KLS. PER BAG              BAGS            1,110     II  </t>
  </si>
  <si>
    <t xml:space="preserve"> The Bids and Awards Committee								 Province of Iloilo								 								      In connection with your Invitation to Bid No. PEO-20-0665-B  scheduled on June 19, 2020, I/we proposed to furnish and deliver in conformity with the terms and conditions, and s</t>
  </si>
  <si>
    <t xml:space="preserve"> Repair and Maintenance of Motor Vehicle</t>
  </si>
  <si>
    <t xml:space="preserve"> SUPPLY AND DELIVERY OF THE FOLLOWING ITEM NO.       DESCRIPTION                                          UNIT       QUANTITY      I              STEEL GATE                                             sqm            11.02      II             STEEL FENCE   </t>
  </si>
  <si>
    <t xml:space="preserve"> Office of the Municipal Mayor	1	unit ID Card Printer Machine, Dye Sublimation, 300dpi, full		 color printing		 		 Refrigerator, 2 doors, 8 cubic feet, digital, inverter	1	unit 		 CCTV, 8 cameras, 16 DVR channels, 32" LED TV, 6 TB HDD	1	unit 		 Office of t</t>
  </si>
  <si>
    <t xml:space="preserve"> EQUIPMENT</t>
  </si>
  <si>
    <t xml:space="preserve"> 1. DEODORIZER.........................................................280 CARBOY Specifications: 100% Biodegradable from Plant Extract 1:200 Dilution Ratio Odor Eliminator Natural Disinfectant Organic Product NOTE: Please be informed that the City Governm</t>
  </si>
  <si>
    <t xml:space="preserve"> Specifications Item No.	Description	Quantity	Unit 	ROAD COMPONENTS		 	PART A – OTHER GENERAL REQUIREMENTS		 A.1.4(1)	Provision of Progress Photograps	610.00	each B.5	Project Billboard/Signboard	2.00	each B.7	Occupational Safety &amp; Health Program	all	l.s. B</t>
  </si>
  <si>
    <t xml:space="preserve"> INVITATION TO BID June 9, 2020 1.	The Provincial Government of Davao Occidental, through its Bids and Awards Committee (BAC), invites all suppliers to apply to bid for the following goods: Bids received in excess of the ABC shall be automatically rejected</t>
  </si>
  <si>
    <t xml:space="preserve"> ITEM NO.                DESCRIPTION                              QUANTITY           UNIT 100                         CLEARING AND GRUBBING             180                 SQ.M 105                         SUB-GRADE PREPARATION             900              </t>
  </si>
  <si>
    <t xml:space="preserve"> 70% Solution Isopropyl/Ethyl Rubbing Alcohol (Antiseptic Disinfectant) 70% Solution Isopropyl/Ethyl Rubbing Alcohol (Antiseptic Disinfectant) 500ml Facial Tissue, 2ply Toilet Tissue, 2ply Disinfectant Spray, (340g) Powder Detergent Soap, (880g/pack) Toile</t>
  </si>
  <si>
    <t xml:space="preserve"> Construction/ Rehabilitation of Kitchen and Improvement of Main Day Care Center</t>
  </si>
  <si>
    <t xml:space="preserve"> Office of the Municipal Mayor		 Laptop Computer, Intel Core i7 or higher, GTX 1050 or higher, 8GB RAM	1	unit or higher, 120GB SSD+ 1TB HDD (7200 RPM), Win10 64bit		 		 Desktop Computer, Intel Core i7 or higher, GTX 1070 or higher, 16GB	1	unit RAM, 500GB S</t>
  </si>
  <si>
    <t xml:space="preserve"> Repair of IT Equipment and Software</t>
  </si>
  <si>
    <t xml:space="preserve"> Billboard; Structure Excavation; Reinforcing Steel Bar; Structural Concrete; Backfilling;  Safety and Health;  Equipment Requirement: One bagger mixer; Dump Truck; bar bender, backhoe;  Safety shoes; safety helmet; safety gloves; reflectorized vest  20w.d</t>
  </si>
  <si>
    <t xml:space="preserve"> 1) 25 bags 40kg Portland Cement 2) 87 bags Crushed Sand 3) 130 pcs 16x16 Floor Tiles 4) 145 bags Gravel 5) 10 bags Tile Grout 6) 190 lm Spandrell 6" 7) 50 lgth Double Furring 8) 20 lgth 2" Wall Anglel 9) 10 shts  MPW 1/4" thk 10) 20 lgth Carrying Channel </t>
  </si>
  <si>
    <t xml:space="preserve"> Republic of the Philippines          City of Dumaguete Bids and Awards Committee INVITATION TO BID FOR JOB ORDER OF 1 UNIT FLOOR MOUNTED AIRCON 	The City of Dumaguete thru its BIDS AND AWARDS COMMITTEE (BAC), invites all interested manufacturers, supplier</t>
  </si>
  <si>
    <t xml:space="preserve"> INVITATION TO BID NO. INFR-2020-10 									Date: June 10, 2020 1.	The Government of the Philippines (GOP) has received a Loan and administered by the International Fund for Agricultural Development (IFAD) through Loan No. 2000001773 toward the cost of th</t>
  </si>
  <si>
    <t xml:space="preserve"> LOT - I Aggregates 70	cu.m.	Item 201 		Total of Lot - I  P45,500.00 		 		LOT - II  Hardware 630	bags	Portland Cement  20	lgths	GA # 16 2" x 4" C-Purlins 10	lgths	12mm dia DSB 		Total of Lot - II  P185,400.00 		GRAND TOTAL AMOUNT  P230,900.00</t>
  </si>
  <si>
    <t xml:space="preserve"> 4	units	Fabricated Fiberglass Bouys 		Specs: 		4ft diameter, red color, circular with traigulate base 		with MPA BAGO CITY 		3/8 Galvanized Chain, 500 kgs. Concrete Anchor 8	units	Marker Bouys 		Specs: 		8 length Bamboo Pole, 8 mtrs, Rope 		8 pcs. 1 Ft. C</t>
  </si>
  <si>
    <t xml:space="preserve"> Republic of the Philippines Office of the Municipal Mayor BIDS AND AWARDS COMMITTEE Sual, Pangasinan Invitation to Bid for PROCUREMENT OF FISHING BOATS  (BANGKA PARA SA MANGINGISDA) Sual, Pangasinan 1.	The Municipal Government of Sual, Pangasinan, through</t>
  </si>
  <si>
    <t xml:space="preserve"> INDUSTRIAL TECHNOLOGY DEVELOPMENT INSTITUTE DOST Cmpd., Bicutan, Taguig City Telephone Nos. (02) 837-20-71 to 82 local 2221 E-mail Add.: itdi.admbac@gmail.com INVITATION TO BID June 9, 2020 Sir/Madam: Please quote your price for the item/items listed belo</t>
  </si>
  <si>
    <t xml:space="preserve"> 38     pcs     1/4 x 4 x 8 Marine Plywood  80     pcs     2 x 2 x 8 Good Lumber 15     kls     Assorted Common Nails 6      gals     Flatwall Enamel Paint 3      gals     paint Thinner 1      pc       7" Roller Brush w/ Tray 27    mtrs    12/2 PDX Copper </t>
  </si>
  <si>
    <t xml:space="preserve"> Republic of the Philippines  Province of La Union  Municipality of Bacnotan  Bids and Awards Committee  INVITATION TO BID FOR  COMPUTERIZATION OF INTEGRATED FINANCIAL MANAGEMENT INFORMATION AND OPERATIONS LINKED WITH REVENUE SYSTEM  1.	The Municipality of</t>
  </si>
  <si>
    <t xml:space="preserve"> INVITATION TO BID ITB 2020 - _29_ 1.	The Dr. Jose Fabella Memorial Hospital, through General Appropriations Act 2020 (GAA 2020) intends to apply the amount of Seven Million Three Hundred Twenty One Thousand One Hundred Fifty Pesos (Php 7,321,150.00) being</t>
  </si>
  <si>
    <t xml:space="preserve"> LOT - I Auto Diesel 40,000	liters	Auto Diesel 		Total of Lot - I  P1,760,000.00 		 		LOT - II Premium Gasoline 10,000	liters	Premium Gasoline 		Total of Lot - II  P540,000.00 		GRAND TOTAL AMOUNT  P2,300,000.00</t>
  </si>
  <si>
    <t xml:space="preserve"> 1.	The Municipality of Impasugong, through the 8-90-00 (2016 &amp; below) 20% - Purchase of Post Harvest Facilities intends to apply the sum Four Hundred Thirty Thousand Pesos (PhP 430,000.00) being the Approved Budget for the Contract (ABC) to payments under</t>
  </si>
  <si>
    <t xml:space="preserve"> PROPOSED CONSTRUCTION OF FABRICATED MOVABLE BENCHES, BASKETBALL POST, BOARD AND RING AT BRGY. III-C, SAN PABLO CITY</t>
  </si>
  <si>
    <t xml:space="preserve"> INVITATION TO BID The Police Community Affairs and Development Group (PCADG), through its Bids and Awards Committee (BAC), invites all PhilGeps registered suppliers to bid pursuant to the Revised Implementing Rules and Regulations (IRR) of Republic Act (R</t>
  </si>
  <si>
    <t xml:space="preserve"> Billboard; Clearing and Site preparation; Excavation; Reinforcing Steel Bars; Concrete Works; Safety and Health; Equipment Requirement:  Safety shoes; safety helmet; safety gloves; reflectorized vest; speed cutter; bar bender; dumptruck; 24 w.d.</t>
  </si>
  <si>
    <t xml:space="preserve"> INVITATION TO BID LGU-El Salvador City, Misamis Oriental through its BAC, invites interested bidders to apply for eligibility and if found eligible to bid for the contract: 1.	Contract ID No.	:	ITB No. 2020-06-049 Name of Project	:	Confrimatory Drilling (</t>
  </si>
  <si>
    <t xml:space="preserve"> 3884	pax	Unifast Labor Charges 175	pax	Non-Unofast Labor Charges 		GRAND TOTAL AMOUNT  P791,505.00</t>
  </si>
  <si>
    <t xml:space="preserve"> 1.	The Municipality of Impasugong, through the 20% DF – Rehabilitation of Multi-Purpose Halls – Hagpa – Kiudto Phase 2 intends to apply the sum of One Million Five Hundred Thousand Pesos (PhP 1,500,000.00) being the Approved Budget for the Contract (ABC) </t>
  </si>
  <si>
    <t xml:space="preserve"> Billboard; Demolition of existing dilapidated canal; Construction of Canal; Construction of Protection Wall; Safety and Health; Equipment Requirement: safety shoes; safety helmet; safety gloves; reflectorized vest; Dumptruck/cargo Truck; bagger concrete m</t>
  </si>
  <si>
    <t xml:space="preserve"> INVITATION TO BID NO. INFR-2020-11 									Date: June 10, 2020 1.	The Government of the Philippines (GOP) has received a Loan and administered by the International Fund for Agricultural Development (IFAD) through Loan No. 2000001773 toward the cost of th</t>
  </si>
  <si>
    <t xml:space="preserve"> 200 Unit Cost       500"bottle/tablet"Vitamin C, Ascorbic Acid, atleast 500mg/Tablet, atleast 100 Tablets per                                    Box/Bottle (Generic or Branded)				 150 Unit Cost       500 PieceHand Soap - 500 ML with Pump Dispenser, Anti-</t>
  </si>
  <si>
    <t xml:space="preserve"> 200	reams	Bond paper long 200	reams	Bond paper short 200	pcs	Sign pen black (pilot) 200	pcs	Ballpen black TI MS TM, Doodle fine (0.5) 10	bxs	Pencil #3 12's/bx 10	bxs	Pentel pen black 12's/bx 10	bxs	Pentel Pen blue 12's/bx 1	bx 	White board marker balck 25</t>
  </si>
  <si>
    <t xml:space="preserve"> ITEM        DESCRIPTION                                 QTY.            UNIT   I.           Const. of Bleacher                           10                m</t>
  </si>
  <si>
    <t xml:space="preserve"> Office of the Municipal Mayor	 1	Office Chairs, Ergodynamic Design	10 2	Filing Steel Cabinet with vault, 3 layers	1 3	Sofa with coffee table and side table, Hard wood with cushion	1 4	Oconference Table, Customized, arrangeable U-Shape, hard wood	7 		 	Off</t>
  </si>
  <si>
    <t xml:space="preserve"> INVITATION TO BID LGU-El Salvador City, Misamis Oriental through its BAC, invites interested bidders to apply for eligibility and if found eligible to bid for the contract: 1.	Contract ID No.	:	ITB No. 2020-06-050/Project ID No. 20-018-20% Name of Project</t>
  </si>
  <si>
    <t xml:space="preserve"> Republic of the Philippines Province of  Romblon Municipality of  Magdiwang Barangay Silum -oOo- INVITATION TO BID COMPLETION OF BARANGAY CLINIC (PABAHAY)-PHASE 1 Project ID No.001-2020                                                                      </t>
  </si>
  <si>
    <t xml:space="preserve"> Republic of the Philippines Province of Iloilo Municipality of Lemery Invitation to Bid 1.	The Barangay  Marapal,  Lemery, Iloilo, through  General Fund  intends to apply the sum of Two Hundred Twenty Thousand  Pesos ( P220,000.00 ) being the Approved  Bu</t>
  </si>
  <si>
    <t xml:space="preserve"> For internet connection, commuter supplies and others</t>
  </si>
  <si>
    <t xml:space="preserve"> Improvement to include: 1.installation of intake box 2.installation of transmission of intake box</t>
  </si>
  <si>
    <t xml:space="preserve"> Republic of the Philippines																		 Province of Bohol																		 Municipality of Buenavista																		 																		 Barangay Panghagban																	 INVITATION TO APPLY FOR ELIGIBILITY AND TO BID																		 							</t>
  </si>
  <si>
    <t xml:space="preserve"> GEOTECHNICAL SUB SURFACE EXPLORATION: PACKAGE No. 2020-01, MLANG AND TULUNAN, NORTH COTABATO</t>
  </si>
  <si>
    <t xml:space="preserve"> Please see attached bidding documents.</t>
  </si>
  <si>
    <t xml:space="preserve"> Republic of the Philippines Province of Pangasinan Municipality of Natividad BTO CALAPUGAN INVITATION TO BID FOR ( REHABILITATION OF MULTI-PURPOSE  BRGY. HALL PHASE 2) The [BTO CALAPUGAN], through the  20% Development Fund  intends to apply the sum of [ON</t>
  </si>
  <si>
    <t xml:space="preserve"> Invitation to Bid 									June 10, 2020 	 1.	 The Municipal Government of Tinoc through the Bids and Awards Committee advertised an Invitation to bid for the Purchase of One (1) Unit Mini Dump Truck   funded under the LGSF – Other Financial Assistance of</t>
  </si>
  <si>
    <t xml:space="preserve"> Republic of the Philippines Province of Leyte Municipality of Hilongos INVITATION TO RE-BID FOR THE PURCHASE OF FUEL, OIL AND LUBRICANTS 1.  The Local Government Unit of Hilongos, through GENERAL FUND-CURRENT APPROPRIATION intends to apply the sum ONE MIL</t>
  </si>
  <si>
    <t xml:space="preserve"> 1.	The Municipality of Impasugong, through the 8-90-00 (2016 &amp; below) 20% - Purchase of Post Harvest Facilities intends to apply the sum Five Hundred Seventy Thousand Pesos (PhP 570,000.00) being the Approved Budget for the Contract (ABC) to payments unde</t>
  </si>
  <si>
    <t xml:space="preserve"> LOT - I Aggregates 10	cu.m.	Mixing Sand 10	cu.m.	3/4" Crushed Aggregates 		Total of Lot - I  P27,200.00</t>
  </si>
  <si>
    <t xml:space="preserve"> Republic of the Philippines Province of Eastern Samar Municipality of Mercedes OFFICE OF THE BIDS AND AWARDS COMMITTEE (BAC) INVITATION TO BID # INFRA-2020-006  Invitation to Bid for the Proposed Municipal Building Front Yard Landscaping (Phase 1) &amp; Rehab</t>
  </si>
  <si>
    <t xml:space="preserve"> Republic of the Philippines MUNICIPALITY OF BUENAVISTA INVITATION TO BID FOR CONCRETING OF SIHI – DAAT FMR  1.	The Local Government Unit of Buenavista, Marinduque through the fund from the 20% DF CY 2020 intends to apply the sum of Nine Hundred Ninety Nin</t>
  </si>
  <si>
    <t xml:space="preserve"> Contract ID: 20PK0070 Contract Name: Repair/Maintenance of DPWH Building, Quality Assurance Section Office Building, P-6, Bulanao, Tabuk City, Kalinga   Contract Location: P-6, Bulanao, Tabuk City, Kalinga Brief Description: Repair and Maintenance of Buil</t>
  </si>
  <si>
    <t xml:space="preserve"> Billboard; Structural Excavation; Reinforcing Steel Bars; Structural Concrete; Grouted Riprap;  Equipment Requirement: Bar Cutter; Bar Bender; Concrete Mixer; Dumptruck; Safety shoes; safety helmet; safety gloves; reflectorized vest; 14 w.d.</t>
  </si>
  <si>
    <t xml:space="preserve"> LOT - I Aggregates 10	cu.m.	Mixing Sand 10	cu.m.	3/4" Crushed Aggregates 		Total of Lot - I  P24,700.00</t>
  </si>
  <si>
    <t xml:space="preserve"> Republic of the Philippines Province of Davao de Oro MUNICIPALITY OF COMPOSTELA BIDS AND AWARDS COMMITTEE CP#: 0998-571-7569 INVITATION TO BID FOR  Procurement for the Supply, Delivery and Installation of Window Blinds and Office Furniture and Fixtures fo</t>
  </si>
  <si>
    <t xml:space="preserve"> Republic of the Philippines Province of Samar MUNICIPALITY OF MARABUT INVITATION to BID for  RELOCATION OF THREE LOCAL HEROES MONUMENT  	 1.	The Municipal Government of Marabut, through its 20% Development Fund intends to apply the sum of Four Hundred Tho</t>
  </si>
  <si>
    <t xml:space="preserve"> Procurement of One (1) unit Service Vehicle  Pick-up ACTIVITY	SCHEDULE	VENUE 1. Issuance of Bid Document June 10, 2020-June 30, 2020 BAC Secretariat Office -MPDO 2. Pre-Bid Conference/ Supplemental Bid- June 17, 2020 @ Tourism Office @ 1:30 PM	 3. Submiss</t>
  </si>
  <si>
    <t xml:space="preserve"> 1 set Diesel Tractor L5018 KRX193 Rotary Tiller Specifications: Model: KRX193 Dimensions: Width (mm) 2153 Depth (mm) 893 Height (mm) 1033 Weight with Joint: Kg. 464 Blade Type: Flange Number of Blade: pcs. 36 Tilling Width: mm 1863 Blade Shaft: PTO 540 rp</t>
  </si>
  <si>
    <t xml:space="preserve"> Republic of the Philippines MUNICIPALITY OF BUENAVISTA INVITATION TO BID FOR CONCRETING OF MALBOG – HAYNON FMR  1.	The Local Government Unit of Buenavista, Marinduque through the fund from the 20% DF CY 2020 intends to apply the sum of Nine Hundred Ninety</t>
  </si>
  <si>
    <t xml:space="preserve"> Rehabilitation of Barangay Road from Diversion Road to Sitio Paopagon, Barangay Salingcomot, Baganga, Davao Oriental.</t>
  </si>
  <si>
    <t xml:space="preserve"> Republic of the Philippines DEPARTMENT OF PUBLIC WORKS AND HIGHWAYS BATANGAS III DISTRICT ENGINEERING OFFICE REGIONAL OFFICE IV-A J. Gonzales St., Barangay 4, Tanauan City RE-INVITATION TO BID (CW-2020-035) The DPWH–Batangas III District Engineering Offic</t>
  </si>
  <si>
    <t xml:space="preserve"> Purchase of Supplies Please be guided by the following schedules: 1. Submission of Letter of Intent - June 11,2020 2. Issuance and Availability of Bidding Documents - June 15-16,2020 3. Opening of Bids - June 18, 2020</t>
  </si>
  <si>
    <t xml:space="preserve"> INVITATION TO BID NO. INFRA-2020-09 									 1.	The Municipal Government of Hungduan, Ifugao, through the 20% Municipal Development Fund intends to apply the sum of One Million Two Hundred Fifty Five Thousand Eight Hundred Seventeen Pesos &amp; Sixty Four Ce</t>
  </si>
  <si>
    <t xml:space="preserve"> ITEM NO.	ITEM AND DESCRIPTION			QTY	UNIT 	Common Office Supplies				 1	Correctional tape, 6 meters			90	pc 2	Bond paper A4- 20/70 gsm			700	rms 3	Bond paper short, 20/70 gsm			700	rms 4	Bond paper long, 20/70 gsm			700	rms 5	Ballpen-Black and Blue			90	bo</t>
  </si>
  <si>
    <t xml:space="preserve"> Procurement of One (1) unit Brand New MPV ACTIVITY	SCHEDULE	VENUE 1. Issuance of Bid Document June 10, 2020-June 30, 2020 BAC Secretariat Office -MPDO 2. Pre-Bid Conference/ Supplemental Bid- June 17, 2020 @ Tourism Office @ 1:30 PM	 3. Submission of Bids</t>
  </si>
  <si>
    <t xml:space="preserve"> ITB No. 2020-11-EFS June 10, 2020 Republic of the Philippines Province of Davao Oriental CITY OF MATI INVITATION TO BID IMPROVEMENT OF THE GUANG-GUANG MANGROVE PARK Name of Project 1.	The City Government of Mati, through the Trust Fund Account (from the D</t>
  </si>
  <si>
    <t xml:space="preserve"> INVITATION TO BID FOR (Procurement of Goods; Supply and Delivery of Materials for use in the repair/maintenance of various national roads and bridges within the  jurisdiction of MMIDEO, NCR, DPWH, Rosario, Pasig City  	The Metro Manila 1st District Engine</t>
  </si>
  <si>
    <t xml:space="preserve"> Lot I - Aggregates &amp; Masonry Products: 10	cu.m.	Mixing Sand 10	cu.m.	3/4" Crushed Aggregates 		Total of Lot - I P27,200.00</t>
  </si>
  <si>
    <t xml:space="preserve"> Republic of the Philippines  DEPARTMENT OF PUBLIC WORKS AND HIGHWAYS MISAMIS ORIENTAL 2nd DISTRICT ENGINEERING OFFICE Region X Balase Street, El Salvador City   INVITATION TO BID FOR The Department of Public Works and Highways Misamis Oriental 2nd Distric</t>
  </si>
  <si>
    <t xml:space="preserve"> Invitation to Bid 									June 10, 2020 	 1.	 The Municipal Government of Tinoc through the Bids and Awards Committee advertised an Invitation to bid for the Purchase of One (1) Unit Wheeled Backhoe   funded under the Year 2020 Annual Budget – 20% Local </t>
  </si>
  <si>
    <t xml:space="preserve"> Lot I-Aggregates &amp; Masonry Products 80	bags	Portland Cement (40kg./bag) 10	cu.m	Mixing Sand 5	cu.m	Mixing Gravel (Crack Stone) 		Total of Lot - I P42,100.00</t>
  </si>
  <si>
    <t xml:space="preserve"> 50	ream	                   PAPER, MULTICOPY, 80gsm, size: 210mm x 297mm	 50	ream	                   PAPER, MULTICOPY, 80gsm, size: 216mm x 330mm	 100	ream	                   PAPER, Multi-Purpose (COPY) Legal, 70 gsm	 30	pad	                   PAPER, PAD, </t>
  </si>
  <si>
    <t xml:space="preserve"> Supply and Delivery of 1000 Amperes Circuit Breaker for MCC2, FOB Masbate</t>
  </si>
  <si>
    <t xml:space="preserve"> Installation of Solar LED Street Light at Barangay San Isidro, Baganga, Davao Oriental.</t>
  </si>
  <si>
    <t xml:space="preserve"> Improvement of Day Care Center</t>
  </si>
  <si>
    <t xml:space="preserve"> Laptop 15.6" (Core i7 / 8 gb ram DDR 4 Windows 10 / 1 TB HDD)</t>
  </si>
  <si>
    <t xml:space="preserve"> 30 cylinders Gas Chlorine, 99% purity Approved Budget Cost: ₱10,500.00 / tank x x x x x This is a two (2) envelope system: Envelope “A” to contain the following; among others: A.) A refundable bid bond in the form of cash, Manager's or Cashier's check equ</t>
  </si>
  <si>
    <t xml:space="preserve"> Rehabilitation of Barangay Road from Proper San Victor to Sitio Heni, Barangay San Victor, Baganga, Davao Oriental</t>
  </si>
  <si>
    <t xml:space="preserve"> Contract ID No.	:20GII0009 Contract Name	:Repair and Maintenance of Defective Roadways under D.O. 41 s2016 along Catarman-Laoang Road and Rawis-Catubig Road Contract Location:Northern Samar Second District Brief Description of Goods to be Procured:Use as </t>
  </si>
  <si>
    <t xml:space="preserve"> Scope of Works *Lay-Out *Base Preparation *Portland Cement Concrete Pavement *Labor *Equipment Rental *Contingencies</t>
  </si>
  <si>
    <t xml:space="preserve"> Republic of the Philippines                                                       Province of Zamboanga del Norte                                                          MUNICIPALITY OF MANUKAN 	                                                           </t>
  </si>
  <si>
    <t xml:space="preserve"> Please see attached bidding documents for details.</t>
  </si>
  <si>
    <t xml:space="preserve"> Installation of Solar LED Street Light at Barangay Salingcomot, Baganga, Davao Oriental.</t>
  </si>
  <si>
    <t xml:space="preserve"> Scope of Works: *Layout *Structural Excavation and Clearing *Filling and Compaction *Concrete Works *Masonry Works, Roof Framing Works *Ceiling *Roofing Works *Doors *Windows *Sanitary Works, Septic Tank *Painting *Window Grills *Electrical *Hauling</t>
  </si>
  <si>
    <t xml:space="preserve"> LOT I - Aggregates &amp; Masonry Products 50	bags	Portland Cement (40kg./bag) 		Total of Lot - I  P14,000.00</t>
  </si>
  <si>
    <t xml:space="preserve"> LOT - III Lumber 150	pcs.	2" x 2" x 10' R/L  		Total of Lot - III P 33,600. 00</t>
  </si>
  <si>
    <t xml:space="preserve"> The Local  Government   Unit  of General  Santos  City, through  the  GENERAL FUND CY 2020  intends  to apply  the sum of one hundred forty eight thousand two hundred twenty and xx / 100 Pesos Only (148,220.00)   being  the Approved  Budget  for the Contr</t>
  </si>
  <si>
    <t xml:space="preserve"> INVITATION TO BID FOR Procurement of Goods; Supply and Delivery of One (1) Unit Portable  Weigh-In-Motion (WIM) Axle Weigher Set for use of Anti-Truck  Overloading Mobile Enforcers (ATOME) of MMIDEO, NCR, DPWH,  Rosario, Pasig City  	The Metro Manila 1st </t>
  </si>
  <si>
    <t xml:space="preserve"> Request for Quotation for the Procurement of Prepaid Cellphone Cards to be used for Encoding of RCM Interview, ME &amp; L, Farming Monitor, Research Trial Implementation and Communication purpose for RCM Activities in the province of Negros Oriental CY 2020 1</t>
  </si>
  <si>
    <t xml:space="preserve"> 3,500	bags	Certified Palay Seeds 	40 kgs/bag	 		Note: Date of Harvest not earlier than Mar 1, 2020 		Requested Varieties are: PSB Rc 10; NSIC Rc 222, 		216, 226, 238 and recently released good quality 		varities 		GRAND TOTA AMOUNT  P5,320,000.00</t>
  </si>
  <si>
    <t xml:space="preserve"> Republic of the Philippines PROVINCE OF LANAO DEL NORTE MUNICIPALITY OF LALA Office of the Municipal General Services                                                                                                               _________________          </t>
  </si>
  <si>
    <t xml:space="preserve"> Rehabilitation of Barangay Road from Sitio Cabanbanan, Barangay Dapnan to Sitio Lapaz &amp; Sitio Calinaban, Barangay San Isidro, Baganga, Davao Oriental</t>
  </si>
  <si>
    <t xml:space="preserve"> Republic of the Philippines Province of Oriental Mindoro MUNICIPALITY OF NAUJAN BIDS AND AWARDS COMMITTEE INVITATION TO BID SUPPLY AND DELIVERY OF ICT EQUIPMENT AND FURNITURE &amp; FIXTURES TO BE USED IN DIFFERENT OFFICES, NAUJAN, ORIENTAL MINDORO 1.	The Muni</t>
  </si>
  <si>
    <t xml:space="preserve"> 5	bxs	Cholesterol Fuji Chem 10	bxs	Triglycerides Fuji Chem 20	bxs	Sodium Pottasium 1	bx 	UF II Search Sed 1	bx	UF II Search Bac 1	bx	UF II Pac Bac 1	bx	UF II Pac Sed 3,000	pcs	Specimen cup w/ cover sterile 5	bxs	UF II Sheath 		GRAND TOTAL AMOUNT  P271,085</t>
  </si>
  <si>
    <t xml:space="preserve"> The Local  Government   Unit  of General  Santos  City, through  the  GENERAL FUND CY 2020  intends  to apply  the sum of seventy nine thousand fifty and xx / 100 Pesos Only (79,050.00)   being  the Approved  Budget  for the Contract   (ABC) to payments  </t>
  </si>
  <si>
    <t xml:space="preserve"> 1,500	 bags	Certified Palay Seeds 	40kgs/bag	 		Note:  Date Harvest is not earlier than January 1, 2020 		Requested Varieties are: 		PSB Rc 10, NSIC Rc: 222, 216, 226, 238 and Recenty 		good quality varieties 		GRAND TOTAL AMOUNT   P2,280,000.00</t>
  </si>
  <si>
    <t xml:space="preserve"> Temporary Facilities, Project Billboard, Construction Safety and Health, Mobilization/Demobilization, Clearing and Grubbing, Roadway Excavation (Surplus Soft Rock for Disposal), Foundation Fill, Pipe Culvert and Drain Excavation, Embankment from Road Exca</t>
  </si>
  <si>
    <t xml:space="preserve"> Republic of the Philippines Province of Bukidnon MUNICIPALITY OF LIBONA   INVITATION TO BID 	The Local Government Unit of libona, through its Bids and Awards Committee (BAC) invites Suppliers/manufacturers/distributors/contractors with to apply for eligib</t>
  </si>
  <si>
    <t xml:space="preserve"> 83	sets	PNP Pexilized Field Service Uniform 83	pcs	Tactical Boots 		GRAND TOTAL AMOUNT  P630,800.00</t>
  </si>
  <si>
    <t xml:space="preserve"> per attached BSP specifications for delivery to BSP Batac Branch, City of Batac, Ilocos Norte</t>
  </si>
  <si>
    <t xml:space="preserve"> Road Opening at Ikog Buaya, Sitio Nonocan, Barangay Dapnan Phase III, Baganga, Davao Oriental</t>
  </si>
  <si>
    <t xml:space="preserve"> CLEANING / CLEARING OF WATERLILIES</t>
  </si>
  <si>
    <t xml:space="preserve"> Scope of Works: *Clearing and Grubbing *Structural Excavation *Filling and Compaction, Concrete Works *Forms and Scaffolding *Masonry Works *Septic Tank *Windows *Doors *Corrugated Metal Roofing *Ceiling *Plumbing Works *Roof Framing Works *Painting Works</t>
  </si>
  <si>
    <t xml:space="preserve"> LOT - I Aggregates  70	bags	Portland Cement (40kg./bag) 35	cu.m.	Mixing Sand 40	cu.m.	3/4" Crushed Aggregates 5	shts	3/4" Ordinary Plywood 50	pcs	2  x 2 x 12 Gemelina R/L 		Total of Lot - I  P124,625.00</t>
  </si>
  <si>
    <t xml:space="preserve"> TRAINING PACKAGE OF SECURITY, BODY GUARD AND TRAFFIC ENFORCER OF MAUBAN, QUEZON The Local Government Unit of Mauban through the GENERAL FUND, 1011/5-02-02-010, 2020 intends to apply the sum of Two hundred ninety two thousand pesos (Php 292,000.00) being t</t>
  </si>
  <si>
    <t xml:space="preserve"> Republic of the Philippines Province of Cotabato Municipality of Antipas BIDS AND AWARDS COMMITTEE INVITATION TO BID FOR Supply and Installation of Streetlights 1.	The Municipal Government of Antipas, through the Budget approved by the Sanggunian intends </t>
  </si>
  <si>
    <t xml:space="preserve"> Scope of Works *Clearing and Grubbing *Sub-Grade Preparation *Aggregate Sub-Base Course *Aggregate Base Course *Portland Cement Concrete Pavement *Stoned Masonry Canal *Contingencies</t>
  </si>
  <si>
    <t xml:space="preserve"> LOT - I Aggregates 10	cu.m.	Washed Sand 6	cu.m.	3/4" Crushed Rock 		Total of Lot - I  P18,700.00 		LOT - III Lumber 50	pcs	2" x 2" x 10' R/L 30	pcs	1" x 2" x 10' R/L 		Total of Lot - III  P11,050.00</t>
  </si>
  <si>
    <t xml:space="preserve"> Construction of 2 units Single Detached Commercial Hometel at Sunrise Boulevard, Barangay Dapnan, Baganga, Davao Oriental.</t>
  </si>
  <si>
    <t xml:space="preserve"> LOT - I Aggregates 30	cu.m.	Washed Fine Aggregates 20	cu.m.	3/4" Crushed Aggregates 33	cu.m.	Item 201 		Total of Lot - I  P83,050.00 		LOT - III  Lumber 67	pcs	2" x 2" x 12' R/L 		Total of Lot - III  P13,400.00 		 		LOT - IV  Painting 10	gals	Zinc Chromat</t>
  </si>
  <si>
    <t xml:space="preserve"> 150	bxs	Clean gloves large 10	bxs	NGT FR. 18 10's/box 50	btls	Hydrogen peroxide 500ml 1000	pcs	Soluset 50	packs	Blood set 10's/pack 20	bxs	Syringe 50ml 50's /box 50	packs	Adult diaper large 10's/pack 50	packs	Boufant cap 100's/pack 50	bxs	Disposable syrin</t>
  </si>
  <si>
    <t xml:space="preserve"> The Local  Government   Unit  of General  Santos  City, through  the  GENERAL FUND  intends  to apply  the sum of one hundred forty five thousand and xx / 100 Pesos Only (145,000.00)   being  the Approved  Budget  for the Contract   (ABC) to payments  und</t>
  </si>
  <si>
    <t xml:space="preserve"> SUPPLY AND DELIVERY OF 2 UNITS MOTORCYCLE USE AT ENGINEERING OFFICE AS SERVICE FOR INSPECTION OF PROJECTS, MAUBAN, QUEZON. The Local Government Unit of Mauban through the TRUST FUND-ENGINEERING OFFICE, 2020 intends to apply the sum of Two hundred seventee</t>
  </si>
  <si>
    <t xml:space="preserve"> The Municipality of Pola, Oriental Mindoro hereby invites interested parties to participate in the public auction of various unserviceable properties, scrap and waste materials and various motor vehicles, as indicated below Item No.	Item Description and L</t>
  </si>
  <si>
    <t xml:space="preserve"> Repair of Building 1, Repair of Building 2, Repair of Gazebo and Wooden Trellis, Repainting of Gate, Electrical Works (Bldg 1, 2 and Gazebo), Construction of Pumphouse, Installation of Water Tanks, Temporary Facilities, Project Billboard, Mobilization/Dem</t>
  </si>
  <si>
    <t xml:space="preserve"> Republic of the Philippines Province of Agusan del Norte Municipality of Nasipit Invitation to Bid for Improvement of Public Bus Terminal (Building), Brgy. Triangulo 1. The Local Government Unit of Nasipit, through the 20% MDF 2020 intends to apply the su</t>
  </si>
  <si>
    <t xml:space="preserve"> 1,400 pieces 1/2” Ball Valve / Stop Cock Ball Type-Lock Wing (Threaded) (please see complete specifications below) Approved Budget Cost: ₱400.00 / pc 15 pieces 3/4” Ball Valve / Stop Cock Ball Type-Lock Wing (Threaded) (please see complete specifications </t>
  </si>
  <si>
    <t xml:space="preserve"> CONSTRUCTION OF EVACUATION CENTER</t>
  </si>
  <si>
    <t xml:space="preserve"> SUPPLY AND DELIVERY OF MATERIALS FOR IMPROVEMENT OF MULTI-PURPOSE HALL IN BARANGAY BATO, MAUBAN, QUEZON. 1.	The Local Government Unit of Mauban through the 20% DEVELOPMENT FUND (DF)-8751/1-07-10-030, 2020 intends to apply the sum of Two hundred sixty seve</t>
  </si>
  <si>
    <t xml:space="preserve"> 10	bottle	INK, EPSON 664, Black	 5	bottle	INK, EPSON 664, Yellow	 5	bottle	INK, EPSON 664, Magenta	 5	bottle	INK, EPSON 664, Cyan	 10	bottle	INK, EPSON 003, Black	 5	bottle	INK, EPSON 003, Yellow	 5	bottle	INK, EPSON 003, Magenta	 5	bottle	INK, EPSON 003,</t>
  </si>
  <si>
    <t xml:space="preserve"> INVITATION TO BID NO. INFRA-2020-03 									 1.	The Municipal Government of Hungduan, Ifugao, through the 20% Municipal Development Fund intends to apply the sum of Five Hundred Seventy Six Thousand Sixty Two Pesos &amp; Eleven Centavos (₱576,062.11) being t</t>
  </si>
  <si>
    <t xml:space="preserve"> Air Freshener, 280 ml can, lemon	75	can Air Freshener,gel	17	pack Alcohol, 500ml, 70% ethanol	181	bottle Ballpen (Blue)	24	piece Ballpen (Black)	228	piece Ballpen (Red)	28	piece Battery, dry cell, AA	46	packet Battery, dry cell, AAA	15	packet Bleach disin</t>
  </si>
  <si>
    <t xml:space="preserve"> Toyota Hilux 4x2</t>
  </si>
  <si>
    <t xml:space="preserve"> Request for Quotation for the Procurement of Office Supplies to be used at AMAD Office 1.	The Department of Agriculture-Regional Field Office 7 (DA-RFO 7), through the General Appropriations Act of CY 2020)  intends to apply the sum of Sixty Seven Thousan</t>
  </si>
  <si>
    <t xml:space="preserve"> SENIOR'S WALKATHON 2020</t>
  </si>
  <si>
    <t xml:space="preserve"> Republic of the Philippines Province of Northern Samar LOCAL GOVERNMENT UNIT CAPUL, NORTHERN SAMAR BID AND AWARDS COMMITTEE INVITATION TO BID 2020-06-001 GD The LOCAL GOVERNMENT UNIT OF CAPUL NORTHERN SAMAR through its BIDS AND AWARDS COMMITTEE (BAC), inv</t>
  </si>
  <si>
    <t xml:space="preserve"> 50	piece	        BROOM, soft (tambo)	 50	piece	        BROOM, STICK (TING-TING), usable length: 760mm min	 50	bottle	CLEANER,TOILET BOWL AND URINAL, 900ml-1000ml cap	 50	can 	        CLEANSER, SCOURING POWDER, 350g min./can	 50	pack	        DETERGENT POWD</t>
  </si>
  <si>
    <t xml:space="preserve"> Concreting of Roads (Shoulders), Along Highway Road, Caritan Centro, Tuguegarao City</t>
  </si>
  <si>
    <t xml:space="preserve"> Republic of the Philippines						 Province of Negros Occidental						 Municipality of La Castellana						 Bids and Awards Committee						 						 INVITATION TO APPLY FOR ELIGIBILITY AND TO BID						 						 Name of Project: 		WIDENING OF MUNICIPAL STREETS 	</t>
  </si>
  <si>
    <t xml:space="preserve"> 2 units Rescue Passenger Van 2.2L Diesel MT Length: 4,260mm- 4300mm Width:1,695mm- 1700mm Height: 1,895mm wheelbase: 2,350mm curb weight: 1,140kg- 1,200kg engine: 2.2L E4 Compliant fuel tank capacity: 55L Suspension Front Independent Wishbone and coil sta</t>
  </si>
  <si>
    <t xml:space="preserve"> BARANGAY DAY</t>
  </si>
  <si>
    <t xml:space="preserve"> 20	piece 	Empty bottle for alcohol, 350-500ml	 1	box	        Paracetamol	 1	box	        Mefinamic acid	 1	box	        Loperamide, antihistamine	 1	box	        Loperamide</t>
  </si>
  <si>
    <t xml:space="preserve"> 5	book	       RECORD BOOK, 300 PAGES, size: 214mm x 278mm min	 3	roll	       TAPE, TRANSPARENT, width: 24mm (±1mm)	 2	pack	       FOLDER, TAGBOARD, for A4 size documents	 1	pack	       FOLDER, TAGBOARD, for legal size documents	 10	piece	       CLEARBOOK,</t>
  </si>
  <si>
    <t xml:space="preserve"> per BSP specifications for delivery to BSP Batac Branch, City of Batac, Ilocos Norte</t>
  </si>
  <si>
    <t xml:space="preserve"> ITEM NO.	ITEM AND DESCRIPTION			QTY	UNIT 1	Electrical wirings (drop wire) No. 6 for Surung SUSIMO Building			50	Linear meter 2	Electrical wirings (drop wire) No. 6 for PITA SUSIMO Building			125	Linear meter 3	Electrical wirings (drop wire) No. 6 for Cal-</t>
  </si>
  <si>
    <t xml:space="preserve"> 6	Unit	Router	 2	Unit	UTP cable	 6	Unit	Switch Hub 8 port	 1	Unit	RJ 45	 1	Unit	Crimping tool</t>
  </si>
  <si>
    <t xml:space="preserve"> NAME OF PROJECT: FABRICATION OF ELEVATED WATER TANK LOCATION: BRGY. MAILHI, BAYBAY CITY, LEYTE SOURCE OF FUND: IRA DETAILED ESTIMATES  MATERIALS AND LABOR</t>
  </si>
  <si>
    <t xml:space="preserve"> False Works and Forms, Concrete Slab, Masonry Works, Carpentry Works, Glass Works, and Fabricated Materials, Reflected Ceiling, Electrical Works, Tile Works (CR), Painting Works, Riprap (Class A) – Slope Protection, Lined Canal (0.80 x 0.90m), Storm Drain</t>
  </si>
  <si>
    <t xml:space="preserve"> KAINANG BAYAN</t>
  </si>
  <si>
    <t xml:space="preserve"> Invitation to Bid for the Supply and Delivery of various Medicine for the use of Brgy. Sta. Clara, Batangas City</t>
  </si>
  <si>
    <t xml:space="preserve"> 10	piece	        BROOM, STICK (TING-TING), usable length: 760mm min	 10	can	        CLEANER,TOILET BOWL AND URINAL, 900ml-1000ml cap	 10	pouch	DETERGENT POWDER, all purpose, 1kg	 10	piece	        DUST PAN, non-rigid plastic, w/ detachable handle	 10	roll	</t>
  </si>
  <si>
    <t xml:space="preserve"> PASEO NG MGA BANDA</t>
  </si>
  <si>
    <t xml:space="preserve"> INVITATION TO BID June 8, 2020 The Eastern Visayas Regional Medical Center, through its Bids and Awards Committee (BAC A) invites suppliers/manufacturers/distributors to bid for the hereunder project:  Item/Description	Approved Budget for the Contract (AB</t>
  </si>
  <si>
    <t xml:space="preserve"> 5	cart 	        INK CART, EPSON C13T664100 (T6641), Black	 3	cart 	        INK CART, EPSON C13T664200 (T6642), Cyan	 3	cart 	        INK CART, EPSON C13T664300 (T6643), Magenta	 3	cart  	INK CART, EPSON C13T664400 (T6644), Yellow	 1	cart 	        INK CART</t>
  </si>
  <si>
    <t xml:space="preserve"> KOLAMBUGAN WATER DISTRICT					                                        ( GOVERNMENT OWNED AND CONTROLLED CORPORATION )					                                           Cabili Street, Poblacion, Kolambugan Lanao del Norte 920               					              </t>
  </si>
  <si>
    <t xml:space="preserve"> Concreting of 0.15m x 4m x 67 meters road at Sitio Elib. NOTE: Barangay construction Project of Barangay Talaguton in this Municipality CONTACT PERSON: VICENTE A. MARUYA III Punong Barangay Barangay Talaguton Municipality of Don Marcelino Province of Dava</t>
  </si>
  <si>
    <t xml:space="preserve"> Concreting of Local Roads with 130m (Item 311) Length, 0.20m thickness, 5.00m width and 1.00m shouldering on both sides. Scope of Works: Item 102 - Surplus Common Excavation Item 103(6) - Pipe Culvert and Drain Excavation Item 200 - Aggregates Sub-base Co</t>
  </si>
  <si>
    <t xml:space="preserve"> Benguet First District Engineering Office La Trinidad, Benguet June 8, 2020 INVITATION TO BID The Benguet First District Engineering Office, through its Bids and Awards Committee (BAC), invites contractors to submit bids for the following Contract: Contra</t>
  </si>
  <si>
    <t xml:space="preserve"> ADDITIONAL CCTV at PANSOL PROPER AND KAINGIN 1</t>
  </si>
  <si>
    <t xml:space="preserve"> Construction of Multi-Purpose Building, Centro 10, Tuguegarao City, Cagayan</t>
  </si>
  <si>
    <t xml:space="preserve"> CONSTRUCTION OF APAYAO LIVELIHOOD TRAINING CENTER</t>
  </si>
  <si>
    <t xml:space="preserve"> Construction of Masonry Drainage Structure, Along Reyno Street, Caritan Centro, Tuguegarao City</t>
  </si>
  <si>
    <t xml:space="preserve"> WASTE MANAGEMENT MATERIALS</t>
  </si>
  <si>
    <t xml:space="preserve"> SAYAWAN SA KALYE</t>
  </si>
  <si>
    <t xml:space="preserve"> Construction of Masonry Drainage Structure, Along Highway Road, Caritan Centro, Tuguegarao City</t>
  </si>
  <si>
    <t xml:space="preserve"> INVITATION TO BID The Department of Public Works and Highways Ilocos Norte Second District Engineering Office , through its Bids and Awards Committee (BAC) for Goods, invites suppliers to submit bids for the following Contract: Contract ID: 20GAB0003 Cont</t>
  </si>
  <si>
    <t xml:space="preserve"> Province of Benguet-CAR Municipality of Mankayan  BIDS AND AWARDS COMMITTEE INVITATION TO APPLY FOR ELIGIBILITY AND TO BID JUNE 9, 2020 	The Municipal Government of Mankayan, through its Bids and Awards Committee, invites PhilGEPS registered supplier for </t>
  </si>
  <si>
    <t xml:space="preserve"> Republic of the Philippines Province of Oriental Mindoro MUNICIPALITY OF NAUJAN BIDS AND AWARDS COMMITTEE INVITATION TO BID SUPPLY &amp; DELIVERY OF MATERIALS TO BE USED IN THE REHABILITATION OF EVACUATION CENTER IN DIFFERENT BARANGAYS, NAUJAN, ORIENTAL MINDO</t>
  </si>
  <si>
    <t xml:space="preserve"> INVITATION TO  BID The Municipality of San Nicolas, Pangasinan through its Bids and Awards Committee (BAC), invites contractors registered with and classified by the Philippine Contractors Accreditation Board (PCAB) to apply for eligibility and if found e</t>
  </si>
  <si>
    <t xml:space="preserve"> RFQ (20-06-028) Enteral Nutrition-Semi Elemental Nutrition 227 g Modular protein Formula</t>
  </si>
  <si>
    <t xml:space="preserve"> Republic of the Philippines                   Department of Health	       CENTRAL OFFICE BIDS AND AWARDS COMMITTEE  INVITATION TO BID FOR THE PROCUREMENT OF LAN ADAPTER TYPE-C IB NO. 2020-220 1.	The Department of Health (DOH), through the General Appropri</t>
  </si>
  <si>
    <t xml:space="preserve"> Improvement/Rehabilitation of Barangay Bita Norte Child Development Center</t>
  </si>
  <si>
    <t xml:space="preserve"> The Local  Government   Unit  of General  Santos  City, through  the  GENERAL FUND CY 2020  intends  to apply  the sum of nine hundred eleven thousand and xx / 100 Pesos Only (911,000.00)   being  the Approved  Budget  for the Contract   (ABC) to payments</t>
  </si>
  <si>
    <t xml:space="preserve"> BARANGAY DAY PARADE</t>
  </si>
  <si>
    <t xml:space="preserve"> Republic of the Philippines          City of Dumaguete Bids and Awards Committee INVITATION TO BID FOR PURCHASE REQUEST OF 10 LGTHS DEFORMED STEEL BARS (16MMØ X 6.0M) AND OTHER ITEMS 	The City of Dumaguete thru its BIDS AND AWARDS COMMITTEE (BAC), invites</t>
  </si>
  <si>
    <t xml:space="preserve"> Republic of the Philippines DEPARTMENT OF PUBLIC WORKS AND HIGHWAYS SURIGAO DEL NORTE 1st  DISTRICT ENGINEERING OFFICE REGIONAL OFFICE XIII 			       Dapa, Siargao Island, Surigao del Norte INVITATION TO BID The Department of Public Works and Highways Sur</t>
  </si>
  <si>
    <t xml:space="preserve"> The Local  Government   Unit  of General  Santos  City, through  the  GEERAL FUND CY 2020  intends  to apply  the sum of two hundred thirty two thousand three hundred twenty and xx / 100 Pesos Only (232,320.00)   being  the Approved  Budget  for the Contr</t>
  </si>
  <si>
    <t xml:space="preserve"> CONSTRUCTION/REHABILITATION OF WATER SUPPLY/SEPTAGE AND SEWERAGE/RAIN WATER COLLECTORS</t>
  </si>
  <si>
    <t xml:space="preserve"> Invitation to Bid for the Supply and Delivery of various Medicine for the use of Brgy. Sampaga, Batangas City</t>
  </si>
  <si>
    <t xml:space="preserve"> RFQ (20-06-023) Opthalmology Supplies</t>
  </si>
  <si>
    <t xml:space="preserve"> The Local  Government   Unit  of General  Santos  City, through  the  GENERAL FUND CY 2020  intends  to apply  the sum of two hundred six thousand five hundred two and xx / 100 Pesos Only (206,502.00)   being  the Approved  Budget  for the Contract   (ABC</t>
  </si>
  <si>
    <t xml:space="preserve"> Invitation to Bid for the Supply and Delivery of CCTV Camera for the use of Brgy. Sampaga, Batangas City</t>
  </si>
  <si>
    <t xml:space="preserve"> 25 Bags Portland Cement 3 cu.mRider Washed Sand  325pcs4” thk chb 25pcs 9mm0x6m deformed bars 4kgs #16 gi tie wire 6 shts 1/4 x 4x8 marine plywood 32	bdft	4-2 x 6 x 8 Good Lumber	 50 bdft 15-2x2x10 goo lumber 1 kg # 3 concrete nails 1 kg # cwn 0.5 kg #2 1</t>
  </si>
  <si>
    <t xml:space="preserve"> RFQ (20-06-029) Various Medical Supplies</t>
  </si>
  <si>
    <t xml:space="preserve"> INVITATION TO BID FOR THE PROCUREMENT OF VARIOUS AGRICULTURAL INPUTS AND POST-HARVEST FACILITIES FOR TECHNOLOGY DEMONSTRATION AND POST-HARVEST PROJECTS IMPLEMENTATION UNDER THE NATIONAL FISHERIES PROGRAM FOR CY 2020 (2ND BIDDING) Invitation to Bid No. 202</t>
  </si>
  <si>
    <t xml:space="preserve"> INVITATION TO BID Sealed proposal in ink typewritten one (1) copy will be received fro bonafide contractors on June 23, 2020 at 2:00 PM at Barangay Hall, Barangay Abar 1st, this city on which date, time and place the bid will publicly opened in the presen</t>
  </si>
  <si>
    <t xml:space="preserve"> INVITATION TO BID NO. INFRA-2020-08 									 1.	The Municipal Government of Hungduan, Ifugao, through the 20% Municipal Development Fund intends to apply the sum of One Million One Hundred Fifty Thousand Four Hundred Sixty Two Pesos &amp; Forty Two Centavos </t>
  </si>
  <si>
    <t xml:space="preserve"> Republic of the Philippines Province of Bukidnon MUNICIPALITY OF LIBONA Barangay Government Unit of Pongol INVITATION TO BID 	The Barangay Government Unit of Pongol, through its Bids and Awards Committee (BAC) invites Suppliers/manufacturers/distributors/</t>
  </si>
  <si>
    <t xml:space="preserve"> The Local  Government   Unit  of General  Santos  City, through  the  GENERAL FUND CY 2020  intends  to apply  the sum of twenty nine thousand twenty one and 45 / 100 Pesos Only (29,021.45)   being  the Approved  Budget  for the Contract   (ABC) to paymen</t>
  </si>
  <si>
    <t xml:space="preserve"> RFQ (20-05-097) Various Laboratory Reagents</t>
  </si>
  <si>
    <t xml:space="preserve"> 1.	1		set		Computer w/ Printer		 2.	1		unit		Office Table		 3.	1		unit		Office Chair		 4.	100		pcs.		Monobloc Chair		 5.	20		pcs.		Kiddie Chair		 6.	6		pcs.		Kiddie Table		 7.	1		unit		Steel Cabinet		 8.	1		set		Projector w/ screen		 9.	2		unit		Televisio</t>
  </si>
  <si>
    <t xml:space="preserve"> 1	The Municipality of Pola, Province of Oriental Mindoro through its  General Fund  (Special Purpose Appropriation 20% MDF (SB#2, 2019) intends to apply the sum of One Million Three Hundred Ninety-Seven Thousand One Hundred Eighteen  pesos and 54/100 only</t>
  </si>
  <si>
    <t xml:space="preserve"> INVITATION FOR NEGOTIATED PROCUREMENT  DUE TO TWO- FAILED BIDDINGS ITB  No. 074-NP - 2020 1.	The City Government of Surigao, through its Bids and Awards Committee (BAC) intends to procure Siganid Fingelings (buras) and feeds for Siganid Production (DOLE-D</t>
  </si>
  <si>
    <t xml:space="preserve"> INVITATION TO BID NO. INFRA-2020-05 									 1.	The Municipal Government of Hungduan, Ifugao, through the 20% Municipal Development Fund intends to apply the sum of Five Hundred Seventy Thousand Two Hundred Seventy Four Pesos &amp; Fifty Seven Centavos (₱572</t>
  </si>
  <si>
    <t xml:space="preserve"> Republic of the Philippines PROVINCE OF BUKDINON Malaybalay City OFFICE OF THE PROVINCIAL GOVERNOR Bids and Awards Committee INVITATION TO BID FOR THE “SUPPLY AND DELIVERY OF ONE LOT KITCHEN WARES AND APPLIANCES” ITB No. 2020-153 June 8, 2020 1.	The Provi</t>
  </si>
  <si>
    <t xml:space="preserve"> 1. 40	units	 Hospital Bed 3 cranks panel type Complete set w/ 6” Bed Mattress, side rails, IV Pole size: 2160mm x 1000mm x 500mm Standard Configuration: Double Protection Screw System Luxurious Silent Castors Aluminum Alloy Guardrails Double Protection Sc</t>
  </si>
  <si>
    <t xml:space="preserve"> Please see Request for Quotation/Bid form attached to Associated Components.</t>
  </si>
  <si>
    <t xml:space="preserve"> Republic of the Philippines PROVINCE OF BUKDINON Malaybalay City OFFICE OF THE PROVINCIAL GOVERNOR Bids and Awards Committee INVITATION TO BID FOR THE “SUPPLY AND DELIVERY OF ONE LOT OFFICE SUPPLIES” ITB No. 2020-152 June 8, 2020 1.	The Provincial Governm</t>
  </si>
  <si>
    <t xml:space="preserve"> 3	Pieces	"Carbouy, LDPE carbouy with spigot 25L, transparent, opaque" 9	Pieces	Magnetic Stirring Bar, Magnetic stirring bar assortments w/ storage box, heat resistant, white 10	Pieces	"Container, Carbouy container Black, 50L" 2,000	Pieces	"Personal Protec</t>
  </si>
  <si>
    <t xml:space="preserve"> Republic of the Philippines Department of Education Region VIII SCHOOLS DIVISION OF TACLOBAN CITY Tacloban City INVITATION TO BID Project No.: CY 2020_QRF (REPAIR)-Lot 1 1. The Department of Education (DepED) Division of Tacloban City, through the General</t>
  </si>
  <si>
    <t xml:space="preserve"> 1 60 KILOS BROWN SUGAR - . 2 40 KILOS DRIED FISH-DILI PINIKAS - . 3 160 CAN SARDINES - . 4 50 BOT/S SOY SAUCE - . 5 60 KILOS COOKING OIL - . 6 80 CAN/S CORNED BEEF - 160 GRMS. 7 300 PCS NOODLES - . 8 25 SACK RICE - well-milled 9 12 PCK/S SALT - 250 GRMS-I</t>
  </si>
  <si>
    <t xml:space="preserve"> Republic of the Philippines          City of Dumaguete Bids and Awards Committee INVITATION TO BID FOR PURCHASE REQUEST OF 11 LGTHS DEFORMED STEEL BAR (16MMØ X 6.0M) AND OTHER ITEMS 	The City of Dumaguete thru its BIDS AND AWARDS COMMITTEE (BAC), invites </t>
  </si>
  <si>
    <t xml:space="preserve"> INVITATION TO BID NO. INFRA-2020-06 									 1.	The Municipal Government of Hungduan, Ifugao, through the 20% Municipal Development Fund intends to apply the sum of Six Hundred Sixty Eight Thousand Five Hundred Forty Five Pesos &amp; Ten Centavos (₱668,545.1</t>
  </si>
  <si>
    <t xml:space="preserve"> 1. FUEL FILTER &amp; 10 OTHERS Note: item # 1-4 intended for 90kw Cummins genset DELIVERY SITE:   CALAGUAS DPP                           Brgy. Banocboc, Vinzons, Camarines Norte PLEASE SUBMIT REQUIREMENTS: 1.	MAYOR’S/BUSINESS PERMIT 2.	PhilGEPS REG. NUMBER/CE</t>
  </si>
  <si>
    <t xml:space="preserve"> 575 bags Portland cement 42 cu.m Sand 61 cu.m Gravel 120 cu.m Red cinder w/ binder 69 kls Tie wire #16 551 pcs 16mm dia D/B 611 pcs 10mm dia D/B 20 pcs 20mm dia D/B 198 pcs 12mm dia D/B 120 pcs 1 1/2" dia GI pipe s-40 252 pcs 1 1/2" dia GI scaffolding cla</t>
  </si>
  <si>
    <t xml:space="preserve"> Cadaver Holding Area</t>
  </si>
  <si>
    <t xml:space="preserve"> 1. 50,000		pcs	Thermal Printed Card (design to be provided) 				Process: Retransfer 	Printing: YMCKO Finish: Overlay Gloss / Laminated Size: ISO CR80 85.60 x 53.98 mm Protocol: ISO 14443A Thickness: 0.88mm 13.56MHz MIFARE Classic 1K PVC Card body material</t>
  </si>
  <si>
    <t xml:space="preserve"> Republic of the Philippines          City of Dumaguete Bids and Awards Committee INVITATION TO BID FOR PURCHASE REQUEST OF 36 CU.M COARSE AGGREGATES (2” MAX. SIZE) AND OTHER ITEMS 	The City of Dumaguete thru its BIDS AND AWARDS COMMITTEE (BAC), invites al</t>
  </si>
  <si>
    <t xml:space="preserve"> Republic of the Philippines Province of Bukidnon MUNICIPALITY OF LIBONA Barangay Government Unit of Capihan INVITATION TO BID 	The Barangay Government Unit of Capihan, through its Bids and Awards Committee (BAC) invites Suppliers/manufacturers/distributor</t>
  </si>
  <si>
    <t xml:space="preserve"> Republic of the Philippines DEPARTMENT OF PUBLIC WORKS AND HIGHWAYS LAGUNA II DISTRICT ENGINEERING OFFICE REGIONAL OFFICE IV-A Brgy. Bambang, Los Baños, Laguna Invitation to Bid No. 2020 - 08 The Department of Public Works and Highways- Laguna II District</t>
  </si>
  <si>
    <t xml:space="preserve"> Repair of C.R.</t>
  </si>
  <si>
    <t xml:space="preserve"> 3/4 marine plywood 1/4x1x1x6m Angle Bar Welding Rod Bolt 3/6 x 1l nuts and washers 60x60 tiles Counter sink Faucet HDPE Pipe 1/2 Compression type threaded coupling 1/2 Epoxy (1ltr) epoxy primer PVC Pipe 1/2 PVC Threaded Elbow 1/2 PVC Elbow 1/2 PVC Tee 1/2</t>
  </si>
  <si>
    <t xml:space="preserve"> Republic of the Philippines                   Department of Health	       CENTRAL OFFICE BIDS AND AWARDS COMMITTEE  INVITATION TO BID FOR THE  PROCUREMENT OF VARIOUS USB FLASH DRIVE  IB NO. 2020-210 1.	The Department of Health (DOH), through the General A</t>
  </si>
  <si>
    <t xml:space="preserve"> office divider</t>
  </si>
  <si>
    <t xml:space="preserve"> Passenger Van Engine: 1GD ftv, 4 cylinders in line 16 valve DOHC Diplacement: 2,755 Emission Standard: Euro 4 Seating Capacity:15 Over All LxWxH: 5,265x1,950x1990 Transmission: 6 speed manual Power Features: Window, Door Retract Steering System: Variable </t>
  </si>
  <si>
    <t xml:space="preserve"> Republic of the Philippines Office of the Punong Barangay BIDS AND AWARDS COMMITTEE Lucaban, Burgos, Ilocos Sur INVITATION TO BID The Barangay Government of Lucaban, Burgos, Ilocos Sur, through its Bids and Awards Committee (BAC) invites bids for the here</t>
  </si>
  <si>
    <t xml:space="preserve"> 1.	The Local Government Unit of Enrile through the Local Government Support Fund-AM 2019 intends to apply the sum of Five Million pesos (Php 5,000,000.00) being the Approved Budget for the Contract (ABC) to payments under the contract for the Concreting o</t>
  </si>
  <si>
    <t xml:space="preserve"> Section I. Invitation to Bid   INVITATION TO BID FOR  Supply and Delivery of 6x6 Saddam Truck Rescue Vehicle (Surplus) 1.	The Local Government Unit of Lambayong, through the MDRRM Expenses Fund intends to apply the sum of Two Million Four Hundred Fifty Th</t>
  </si>
  <si>
    <t xml:space="preserve"> INVITATION TO BID NO. INFRA-2020-07 									 1.	The Municipal Government of Hungduan, Ifugao, through the 20% Municipal Development Fund intends to apply the sum of Nine Hundred Fifty Four Thousand Eight Hundred Sixty Five Pesos &amp; Ninety Seven Centavos (</t>
  </si>
  <si>
    <t xml:space="preserve"> Retaining Wall</t>
  </si>
  <si>
    <t xml:space="preserve"> GOOD COMMODITIES</t>
  </si>
  <si>
    <t xml:space="preserve"> Republic of the Philippines MUNICIPALITY OF BUENAVISTA INVITATION TO BID FOR CONSTRUCTION OF LIVELIHOOD &amp; ENTERPRENEUR CENTER  1.	The Local Government Unit of Buenavista, Marinduque through the fund from the 20% DF CY 2020 intends to apply the sum of Six </t>
  </si>
  <si>
    <t xml:space="preserve"> Republic of the Philippines          City of Dumaguete Bids and Awards Committee INVITATION TO BID FOR PURCHASE REQUEST OF 30 CU.M COARSE AGGREGATES (2” MAX. SIZE) AND OTHER ITEMS 	The City of Dumaguete thru its BIDS AND AWARDS COMMITTEE (BAC), invites al</t>
  </si>
  <si>
    <t xml:space="preserve"> 1 UNIT GANG CHAIR - 4 SEATERS - STAINLESS</t>
  </si>
  <si>
    <t xml:space="preserve"> 113 bags Portland cement 11 cu.m Sand 11.5 cu.m Gravel 120 pcs 10mm dia D/B 1000 pcs CHB #4" 14 kls Tie wire #16 1 pc Hacksaw blade 56 pcs Sahara cment 50 pcs 12mm dia D/B 8 pcs Corr. GI sheet G.24 x 8' 2 units Door (1.80m x 0.70m) 2 pcs Pail flush bowl 8</t>
  </si>
  <si>
    <t xml:space="preserve"> SEE ATTACHED INVITATION TO BID, CHECKLISTS, BIDDING DOCUMENTS, STANDARD BIDDING FORMS AND PLANS</t>
  </si>
  <si>
    <t xml:space="preserve"> 1. The Provincial Government of Davao Del Norte, through 20% DF CY 2020 and Trust Fund (NHA), intends to apply the sum of Forty Four Million Six Hundred Twenty Four Thousand One Hundred Thirty Two and 95/100 Pesos (Php 44,624,132.95) and being the Approve</t>
  </si>
  <si>
    <t xml:space="preserve"> INVITATION TO BID FOR  GENERAL SUPPORT SERVICES  (Security Services Requirement of MMIDEO, NCR, DPWH, Rosario, Pasig City) 	The Metro Manila 1st District Engineering Office, through the GAA 2020 intends to apply the sum of FOUR MILLION THREE HUNDRED THIRT</t>
  </si>
  <si>
    <t xml:space="preserve"> Republic of the Philippines Municipality of Taytay Taytay, Palawan NOTICE TO BIDDERS Item # Qty Unit Description Amount 1. 1 unit Brand New Vehicle (VAN) Specification: Transmission and chassis: Transmission: 6-speed MANUAL, Suspension Front/Rear: McPhers</t>
  </si>
  <si>
    <t xml:space="preserve"> 1.	10		unit		Refill of Fire Extinguisher 2.	1		set		CCTV Camera &amp; Access.</t>
  </si>
  <si>
    <t xml:space="preserve"> Republic of the Philippines          City of Dumaguete Bids and Awards Committee INVITATION TO BID FOR PURCHASE REQUEST OF 24 CU.M SAND (STD. SPECS) AND OTHER ITEMS 	The City of Dumaguete thru its BIDS AND AWARDS COMMITTEE (BAC), invites all interested ma</t>
  </si>
  <si>
    <t xml:space="preserve"> Please submit your quotation for the following items on or before 5:00PM on Jun 22, 2020. ITEM D E S C R I P T I O N QTY. UNIT  1 Piston Ring, STD (4 Wheels) 1 set 2 Liner, Cylinder (Finish) (4 Wheels) 1 set 3 Gasket, Overhauling (4 Wheels) 1 set 4 Bearin</t>
  </si>
  <si>
    <t xml:space="preserve"> Please submit your quotation for the following items on or before 5:00PM on Jun 22, 2020. ITEM D E S C R I P T I O N QTY. UNIT  1 Radio Transceiver, Handset Radio 3 unit Technical Specification Requirements: Portable handhel radio; water resistant, shock </t>
  </si>
  <si>
    <t xml:space="preserve"> 3,800	Pieces	Plastic bag, PE, 5in x 6in x 0. 005 ,, w/ 1-color print 2,600	Pieces	Plastic sack ,50kg cap, with 2-color print 10,000	Pieces	Plastic bag, PE, 5in x 6in x 0. 005 ,, w/ 1-color print</t>
  </si>
  <si>
    <t xml:space="preserve"> INVITATION TO BID SUPPLY AND DELIVERY OF ONE (1) UNIT PASSENGER VAN VEHICLE (PV)    The Pag-IBIG Fund Corporate Headquarters, through its Bids and Awards Committee – Goods and Services (BAC-GS) intends to apply the sum of Two Million Six Hundred Thousand </t>
  </si>
  <si>
    <t xml:space="preserve"> 1. 4	Unit	Inkjet printer with built-in Continuous Ink System Print Method: On-demand ink jet, Bi-directional printing, Uni-directional printing, 5760 x 1440 dpi Max resolution, Micro Piezo™ print head Nozzle Configuration 180 Nozzles Black, 59 Nozzles per</t>
  </si>
  <si>
    <t xml:space="preserve"> Item No.	Scope of Work	 		 403	REINFORCING STEEL	 900	REINFORCE CONCRETE	 414	FORMS &amp; FALSEWORKS	 704	MASONRY WORKS	 103(1)a	Structure Excavation	 1027	PLASTERING WORKS	 1010	WINDOW	 500(1)	ROOFING WORKS	 ITEM B.5:	PROJECT BILLBOARD</t>
  </si>
  <si>
    <t xml:space="preserve"> INVITATION TO BID The DPWH Zamboanga del Sur 2nd District Engineering Office, Poblacion, Guipos, Zamboanga del Sur, through its Bids and Awards Committee (BAC), invites contractors to submit bids for the following Contract: Contract ID	:	20JG0051 - rebid </t>
  </si>
  <si>
    <t xml:space="preserve"> INVITATION TO BID FOR  GENERAL SUPPORT SERVICES  (Janitorial Services Requirement of MMIDEO, NCR, DPWH, Rosario, Pasig City) 	The Metro Manila 1st District Engineering Office, through the GAA 2020 intends to apply the sum of TWO MILLION EIGHT HUNDRED EIGH</t>
  </si>
  <si>
    <t xml:space="preserve"> Local Government of Valencia Catarata Street, Poblacion, Valencia City,  Bukidnon, Philippines Philippine access (088) 828-5430 Contract Reference No. 10-2020 06/09/2020 INVITATION TO BID FOR THE PROPOSED CONSTRUCTION OF MULTI-PURPOSE BUILDING PHASE I AT </t>
  </si>
  <si>
    <t xml:space="preserve"> 1	pc    Ball Joint Lower Labor</t>
  </si>
  <si>
    <t xml:space="preserve"> Please submit your quotation for the following items on or before 5:00PM on Jun 15, 2020. ITEM D E S C R I P T I O N QTY. UNIT  1 INK CART, Black, C33S020578 SJIC23P(K) 5 pc 2 INK CART, Cyan, C33S020584 SJIC23P(C) 2 pc 3 INK CART, Magenta, C33S020585 SJIC</t>
  </si>
  <si>
    <t xml:space="preserve"> Item No.	Scope of Work	 		 403	REINFORCING STEEL	 900	REINFORCE CONCRETE	 414	FORMS &amp; FALSEWORKS	 704	MASONRY WORKS	 103(1)a	Structure Excavation	 1027	PLASTERING WORKS	 1010	WINDOW	 SPL	TILE WORKS	 ITEM B.5:	PROJECT BILLBOARD</t>
  </si>
  <si>
    <t xml:space="preserve"> 1	Brake Pad 1	Bushing Pad 	Labor</t>
  </si>
  <si>
    <t xml:space="preserve"> Please submit your quotation for the following items on or before 5:00PM on Jun 22, 2020. ITEM D E S C R I P T I O N QTY. UNIT 1 Electrical, Wire, THHN Copper Wire, 100mm² (4/0 AWG) , Stranded (300m/reel) 150 mtr 2 Electrical, Eye Terminal, 100mm3 3 pc Aw</t>
  </si>
  <si>
    <t xml:space="preserve"> Construction of Butubut Sur Civic Center</t>
  </si>
  <si>
    <t xml:space="preserve"> 2 sets Multistage Submersible Motor with the following specifications: I. General Requirements: Rating	:	30	Hp Nominal Voltage	:	460	V Number of Phase	:	3	 Frequency	:	60	Hz Standard Diameter	:	6	Inches Lead Wire / Cables	:	Plug-in or Detachable Rotor Spl</t>
  </si>
  <si>
    <t xml:space="preserve"> Civil works that include concrete works</t>
  </si>
  <si>
    <t xml:space="preserve"> INVITATION TO BID The Provincial Government of Occidental Mindoro through its Bids and Awards Committee (BAC) invites all interested contractors to apply for eligibility and to bid for the following projects: Reference No.	Name of Project	Location	Brief D</t>
  </si>
  <si>
    <t xml:space="preserve"> Improvement of Bet-ang Farmers Multi-purpose Building</t>
  </si>
  <si>
    <t xml:space="preserve"> Improvement of Bet-ang Farmers Multi-purpose Pavement</t>
  </si>
  <si>
    <t xml:space="preserve"> 1. ANGLE BAR 1/2x2x20 &amp; 20 OTHERS DELIVERY SITE :  MASBATE MINI GRID OFFICE                           PINAMARBUHAN, MOBO, MASBATE PLEASE SUBMIT REQUIREMENTS: 1.	MAYOR’S/BUSINESS PERMIT 2.	PhilGEPS REG. NUMBER/CERTIFICATE</t>
  </si>
  <si>
    <t xml:space="preserve"> Improvement of Almeida Farmers Multi-purpose Pavement</t>
  </si>
  <si>
    <t xml:space="preserve"> Invitation to Bid for Construction of Two (2) Storey Men’s Dormitory Building at ESSU Salcedo Campus Re-Bidding 1.	The Eastern Samar State University – Main Campus, through the FY 2020 GAA, R.A 11465 intends to apply the sum of Eighteen Million Two Hundre</t>
  </si>
  <si>
    <t xml:space="preserve"> Section I. Invitation to Bid     Republic of the Philippines Province of La union Municipality of Bacnotan INVITATION TO BID The Local Government of Bacnotan through its Bids and Awards Committee (BAC) invites contractors to submit bids for the following </t>
  </si>
  <si>
    <t xml:space="preserve"> Republic of the Philippines Municipality of Taytay Taytay, Palawan NOTICE TO BIDDERS Item # Qty Unit Description Amount 1. 1 lot Construction Materials and Supplies The two envelope system of procurement shall be observed, Bidding documents shall be avail</t>
  </si>
  <si>
    <t xml:space="preserve"> To provide back-up UPS for the CCTV operations</t>
  </si>
  <si>
    <t xml:space="preserve"> Republic of the Philippines DEPARTMENT OF PUBLIC WORKS AND HIGHWAYS Region VII   South Road Properties (SRP), Cebu City                                        Contract ID	 : 20H00061 Contract Name  : Cluster Project: Construction of Rain Water Supply/Sept</t>
  </si>
  <si>
    <t xml:space="preserve"> Improvement of Sector 4&amp;5 Bungol Farm to Market Road</t>
  </si>
  <si>
    <t xml:space="preserve"> Cuttings Napier 500 Kl Callandra Seeds 1/2 Kl Indigofera Seeds 1/2 Kl Rhizoni Seeds 1/2 Kl Acid Ipil-Ipil 3/4 Heads Upgraded Goat 20 * 5 Months Old * 15-18k * 60-75% Breed Anglo Nubian Heads Breeder Goat 2 * 75% Anglo Nubian * Aged 5-6 Months Old * 18 to </t>
  </si>
  <si>
    <t xml:space="preserve"> I. STRUCTURE EXCAVATION 8.83 CU.M. II. CONCRETE WORKS 8.83 CU.M. III. INSTALLATION OF  POST &amp; SOLAR LIGHTS 46 UNITS IV. PAINTING WORKS 1 LOT</t>
  </si>
  <si>
    <t xml:space="preserve"> Improvement of Pa-o Farmers Multi-purpose Building</t>
  </si>
  <si>
    <t xml:space="preserve"> PROJECT:INSTALLATION OF GLASS PANELS FOR WINDOW TRANSACTION LOCATION: LGU-RIZAL, NUEVA ECIJA DESCRIPTION: INSTALLATION OF GLASS PANELS FOR WINDOW TRANSACTION SOURCE OF FUND: GENERAL FUND ABC: PHP 70,000.00</t>
  </si>
  <si>
    <t xml:space="preserve"> 1 unit Laptop computer 1 unit Biometric 1 unit Smart TV 1 unit Netbook computer</t>
  </si>
  <si>
    <t xml:space="preserve"> REPAIR &amp; MAINTENANCE MOTOR VEHICLE</t>
  </si>
  <si>
    <t xml:space="preserve"> Republic of the Philippines Province of Kalinga TABUK CITY OHS COMMITTEE ON BIDS AND AWARDS INVITATION TO BID FOR THE PROCUREMENT OF MEDICAL/SURGICAL/LABORATORY/XRAY/ULTRASOUND SUPPLIES 1. The PROVINCIAL GOVERNMENT OF KALINGA, through the General Fund Ann</t>
  </si>
  <si>
    <t xml:space="preserve"> Republic of the Philippines Province of Kalinga TABUK CITY OHS COMMITTEE ON BIDS AND AWARDS INVITATION TO BID FOR THE PROCUREMENT OF DRUGS AND MEDICINES (DANGEROUS DRUGS) 1. The PROVINCIAL GOVERNMENT OF KALINGA, through the General Fund Annual Budget 2020</t>
  </si>
  <si>
    <t xml:space="preserve"> Local Government of Valencia Catarata Street, Poblacion, Valencia City,  Bukidnon, Philippines Philippine access (088) 828-5430 Contract Reference No. 2020-09 RE-BID 06/09/2020 INVITATION TO BID FOR THE SUPPLY AND DELIVERY OF 2 UNITS BRANDNEW UTILITY VAN </t>
  </si>
  <si>
    <t xml:space="preserve"> Provision of the following seeds and fertilizers: 1. 13kg Sweet corn seeds 2. 15kg Mungo Seeds 3. 25kg. Peanut Seeds 4. 85 bags Chicken manure/vermicast fertilizer 5. 12 bags complete fertilizer 6. 12 bags Urea Note: inclusive of transportation and delive</t>
  </si>
  <si>
    <t xml:space="preserve"> Formworks &amp; Scaffolding                          LS              LS    Demolition of Existing Roofing  Roof Framing &amp; Roof Beams                      LS              LS  Reinforced Concrete Footing   (at Stage -1st floor &amp; 2nd floor)                cu.m  </t>
  </si>
  <si>
    <t xml:space="preserve"> I. MOBILIZATION/DEMOLIBILIZATION.SIGNAGE II. CARPENTRY WORKS III. MASONRY WORKS</t>
  </si>
  <si>
    <t xml:space="preserve"> Item No.	Scope of Work	 		 405	MASONRYWORKS	 707	REINFORCING STEEL	 300	REINFORCING CONCRETE	 1027	PLASTERING WORKS	 1010	DOORS	 1009	WINDOWS	 1003	CEILINGS	 1102	ELECTRICAL WORKS	 SPL	TILING WORKS	 1032	PAINT WORKS	 B.5:	PROJECT BILLBOARD</t>
  </si>
  <si>
    <t xml:space="preserve"> 2020-100 Clearing and Widening of Road Brgy Diaz</t>
  </si>
  <si>
    <t xml:space="preserve"> Improvement of Sector 07 Camiling Farm to Market Road</t>
  </si>
  <si>
    <t xml:space="preserve"> 3 units Executive chairs 1 unit Steel cabinet - 3 drawers (small)</t>
  </si>
  <si>
    <t xml:space="preserve"> 1 Bags Red Beads 21 2 Bags Blue Beads 21 3 Bags Yellow Beads 21 4 Bags Black Beads 21 5 Bags Green Beads 21 6 Bags White Beads 21 7 Bags Orange Beads 21 8 Boxes Bead Needles 15 9 Dozens Buttons 25 10 Rolls Magic Tape 9 11 Rolls White Thread 80 12 Pcs Scis</t>
  </si>
  <si>
    <t xml:space="preserve"> TELEPHONE MOBILE EXPENSE</t>
  </si>
  <si>
    <t xml:space="preserve"> The Local Government Unit of Barugo, through the Department of Labor and Employment Integrated Livelihood and Emergency Employment Program (DILEEP) 2019 intends to apply the sum of Eight Hundred Eleven Thousand Pesos only (Php811,000.00) being the Approve</t>
  </si>
  <si>
    <t xml:space="preserve"> Republic of the Philippines Batangas City Invitation to Apply for Eligibility and to Bid The Barangay Government of Barangay Mahabang Parang, Batangas City intends to apply the sum of One Hundred Sixty Thousand Pesos Only (Php 160,000.00) broken down as f</t>
  </si>
  <si>
    <t xml:space="preserve"> Various Construction Materials</t>
  </si>
  <si>
    <t xml:space="preserve"> Republic of the Philippines Province of La union Municipality of Bacnotan INVITATION TO BID The Local Government of  Bacnotan through its Bids and Awards Committee (BAC) invites contractors to submit bids for the following contract. Contract Name: Improve</t>
  </si>
  <si>
    <t xml:space="preserve"> Republic of the Philippines Province of Negros Occidental MUNICIPALITY OF HINOBA-AN Brgy. Council of Culipapa Bids and Awards Committee INVITATION TO BID The Barangay Council of Culipapa, Municipality of  Hinoba-an, Negros Occidental through its Bids and </t>
  </si>
  <si>
    <t xml:space="preserve"> Construction of Teacher Education Building (General Requirements, Mobilization &amp; Demobilization, Demolition, Excavation, Filling, Concrete &amp; Masonry Works, Column Footings, Tie Beam &amp; Wall Footing, Columns (grand to roof deck) Second Floor Beam, Ground Fl</t>
  </si>
  <si>
    <t xml:space="preserve"> 1 unit Audio recorder 1 unit Electric pot 1.5L 2 units Lapel mic 2 units Microphone 1 unit Rice cooker (10 cups) 2 units Water dispenser  1 unit Camera</t>
  </si>
  <si>
    <t xml:space="preserve"> Construction of Pa-o Farmers Multi-purpose Pavement</t>
  </si>
  <si>
    <t xml:space="preserve"> Invitation to Bid The National Housing Authority (NHA), through the Corporate Budget approved by the NHA Board for CY 2020 intends to apply the sum of the Approved Budget for the Contract (ABC) to payments for the following contract: Ref. No. 2020-010	 PR</t>
  </si>
  <si>
    <t xml:space="preserve"> Improvement of Sector 7 Calungbuyan Farm to Market Road</t>
  </si>
  <si>
    <t xml:space="preserve"> Lot 1 - IT Equipments Lot 2 - Furniture and Fixtures</t>
  </si>
  <si>
    <t xml:space="preserve"> Improvement of Cemetery Road</t>
  </si>
  <si>
    <t xml:space="preserve"> 1 unit AVR (220V fuse 5A) 6 units UPS (600 VA) 1 unit Printer L3110 1 unit Printer L360 2 pcs Mouse wireless 1 pc Anti-virus 1 unit CPU</t>
  </si>
  <si>
    <t xml:space="preserve"> Procurement ID/Contract ID: 20CSAH01  Contract Name /Contract Location: Conduct of Soil Exploration and/or Geotechnical Investigation for Various Bridge Projects in the 2nd and 4th Legislative Districts of Pangasinan --------------------------------------</t>
  </si>
  <si>
    <t xml:space="preserve"> DEMOLITION OF UNNECESSARY STRUCTURES, CONCRETE AND MASONRY WORKS, FORM WORKS AND SCAFFOLDING WORKS, TILES, METAL AND ROOFING WORKS, SANITARY AND PLUMBING WORKS, CEILING AND CARPENTRY WORKS, DOORS AND WINDOWS, ELECTRICAL AND PAINTING WORKS.</t>
  </si>
  <si>
    <t xml:space="preserve"> Republic of the Philippines DEPARTMENT OF HEALTH WESTERN VISAYAS Center for Health Development INVITATION TO BID FOR THE  Procurement of Disinfectants,  IB No. SB-2020-020 1.	The Department of Health – WV CHD, through the SAA-2020-03-0345 fund  intends to</t>
  </si>
  <si>
    <t xml:space="preserve"> 1 roll PE pipe no. 3 1 roll PE pipe no. 2 1/2 1 roll PE pipe no. 2 1 roll PE pipe #1 1/2 1 pc PE Pipe # 1/2 3 pcs Saddle clamp 3 x 1/2 3 pcs Saddle clamp 2 1/2 x 1/2 3 pcs Saddle clamp 2 x 1/2 3 pcs Saddle clamp 1 1/2 x 1/2 3 pcs Elbow, PE pipe #3 3 pcs E</t>
  </si>
  <si>
    <t xml:space="preserve"> Section I. Invitation to Bid     Republic of the Philippines Province of La union Municipality of Bacnotan INVITATION TO BID The Local Government of  Bacnotan through its Bids and Awards Committee (BAC) invites contractors to submit bids for the following</t>
  </si>
  <si>
    <t xml:space="preserve"> INVITATION TO BID FOR THE REBIDDING ON THE PROVISION OF LABOR, MATERIALS, EQUIPMENT AND OTHER INCIDENTALS NEEDED FOR THE REHABILITATION/IMPROVEMENT OF PIMENTEL SMALL WATER IMPOUNDING PROJECT (SWIP) CANAL LINING AT BRGY. PIMENTEL, BATAC CITY, ILOCOS NORTE </t>
  </si>
  <si>
    <t xml:space="preserve"> 1	lot	Token Supply and Delivery of Customized Polo shirt for the conduct of Batch 2 and 3 of Rice Specialists’ Training Course from last quarter of 2019 to 1st quarter of 2020  ITEM: Polo Shirts Quantity: 75 pcs  Material: Honeycomb fabric  Color: Combina</t>
  </si>
  <si>
    <t xml:space="preserve"> ITEM NO.	QTY	UNIT	ARTICLES	UNIT	TOTAL 				PRICE	 PR NO. 20-06-595			 1	12	monthly	Preventive Maintenance Service (PMS) of one (1) Fuji Elevator (1 year)	5,880.00	70,560.00 				TOTAL	70,560.00 NOTE TO ALL SUPPLIERS:  PLEASE ATTACHED CTC OF THE FOLLOWING WI</t>
  </si>
  <si>
    <t xml:space="preserve"> Republic of the Philippines DEPARTMENT OF HEALTH WESTERN VISAYAS Center for Health Development INVITATION TO BID FOR THE  Procurement of N95 Mask,  IB No. SB-2020-021 1.	The Department of Health – WV CHD, through the NTP CONAP 2019 fund  intends to apply </t>
  </si>
  <si>
    <t xml:space="preserve"> Request for Expression of Interest (REOI) for the CONSULTANCY SERVICES FOR THE CONDUCT OF FEASIBILITY STUDY OF PROPOSED CONSTRUCTION OF MISSING LINKS AND NEW ROADS CERVANTES (ILOCOS SUR) - BESAO-SAGADA (MT. PROVINCE) ROAD VIA LAYLAYA (REGION I) 1. The DPW</t>
  </si>
  <si>
    <t xml:space="preserve"> INVITATION TO BID (Rebid) Procurement of Construction Materials for the Construction of Multi-Purpose Building The LGU Surallah through the Bids and Awards Committee (BAC) is inviting suppliers to bid for the supply and delivery of GOODS/INFRASTRUCTURE/SE</t>
  </si>
  <si>
    <t xml:space="preserve"> The Local Government Unit – Quinapondan, Eastern Samar, through its Bids &amp; Awards Committee (BAC ), intends to apply the sum of On Hundred Sixty six Thousand One Hundred Sixty five Pesos and 12/100 (Php166,165.12) under the approved Appropriation Ordinanc</t>
  </si>
  <si>
    <t xml:space="preserve"> INVITATION TO BID FOR THE REBIDDING ON THE PROVISION OF LABOR, MATERIALS, EQUIPMENT AND OTHER INCIDENTALS NEEDED FOR THE REHABILITATION OF BUNGAD DIVERSION DAM (DD) AT BRGY. ANGSET, CARASI, ILOCOS NORTE 1.	The Department of Agriculture Regional Field Offi</t>
  </si>
  <si>
    <t xml:space="preserve"> 1 20 PC/S RIBBON- CARTRIDGE - LQ310+ DOT MATRIX 2 10 REAM/S PAPER - BOOK LEGAL,216MMX330MM(8-1/2"X13"),MIN OF 70GSM 3 10 REAM/S PAPER - BOOK A4,210MMX297MM,MIN OF 70GSM 4 15 REAM/S PAPER - BOOK SUBS.20 SHORT ( 8 1/2"X11" ) 5 8 BOX/S COMPUTER FORMS - 4 PLY</t>
  </si>
  <si>
    <t xml:space="preserve"> Republic of the Philippines Department of Health Central Luzon Center for Health Development Talavera General Hospital Talavera, Nueva Ecija   ISO QMS Certified INVITATION FOR NEGOTIATION Negotiation of Supply &amp; Delivery of Various Drugs &amp; Medicine for Ja</t>
  </si>
  <si>
    <t xml:space="preserve"> *FIBER OPTIC CABLES FOR HI-WAY, AND LONG DISTANCE.</t>
  </si>
  <si>
    <t xml:space="preserve"> INVITATION TO BID FOR THE REBIDDING ON THE PROVISION OF LABOR, MATERIALS, EQUIPMENT AND OTHER INCIDENTALS NEEDED FOR THE REHABILITATION/IMPROVEMENT OF BIMOYAYONG DIVERSION DAM (DD) AT BRGY. VIRBIRA, CARASI, ILOCOS NORTE 1.	The Department of Agriculture Re</t>
  </si>
  <si>
    <t xml:space="preserve"> I.  MOBILIZATION/DEMOBILIZATION II. FORM WORKS III. MASONRY WORKS</t>
  </si>
  <si>
    <t xml:space="preserve"> Republic of the Philippines Province of La union Municipality of Bacnotan INVITATION TO BID The Local Government of Bacnotan through its Bids and Awards Committee (BAC) invites contractors to submit bids for the following contract. Contract Name: Improvem</t>
  </si>
  <si>
    <t xml:space="preserve"> INVITATION TO BID FOR  Procurement of Sound System 1.	The Local Government Unit  of Don Victoriano,  Don Victoriano, Misamis  Occidental through the  Bids and Awards Committee BAC intends to apply the sum of   Four Hundred Thousand Pesos  (P 400,000.00)  </t>
  </si>
  <si>
    <t xml:space="preserve"> 1 roll Automotive wire 2 pcs Brake light, isuzu forward 2 pcs Auto bulb, 24V (box) 10 pcs Battery clamp 4 pcs Bolt w/ nut 12mm HT 3 pcs Center bolt, 1/2 x10", high tensile 2 pcs Center bolt, 1/2 x 10", high tensile 1 pc Center bolt, 9/16 x 10", high tensi</t>
  </si>
  <si>
    <t xml:space="preserve"> INVITATION TO BID FOR THE REBIDDING ON THE PROVISION OF LABOR, MATERIALS, EQUIPMENT AND OTHER INCIDENTALS NEEDED FOR THE IMPROVEMENT OF TANGAOAN SMALL WATER IMPOUNDING PROJECT (SWIP) CANAL LINING AT BRGY. TANGAOAN, PIDDIG, ILOCOS NORTE 1.	The Department o</t>
  </si>
  <si>
    <t xml:space="preserve"> SCOPE OF WORK IN EACH BARANGAY: I. BASE COURSE AGGREGATES 18.90 CU.M. II. CONCRETE WORKS  128.31 CU.M.</t>
  </si>
  <si>
    <t xml:space="preserve"> 2020-053, CONCRETING OF BARANGAY ROAD AT PUROK 3-PUROK 5, LAGUMBINGAN, MIDSAYAP, COTABATO</t>
  </si>
  <si>
    <t xml:space="preserve"> June 9, 2020 1.	The Provincial Government of Davao del Sur, through its Special Bids and Awards Committee (SBAC), invites all potential bidders/contractors to apply to bid for the following project. Bids submitted in excess of the ABC shall be automatical</t>
  </si>
  <si>
    <t xml:space="preserve"> 1.	The Local Government Unit of Mabini, Pangasinan, through the 20% Development Fund CY 2020 intends to apply the sum of TWO MILLION SIX HUNDRED THOUSAND PESOS (PhP2,600,000.00) being the Approved Budget for the Contract (ABC) to payments under the contra</t>
  </si>
  <si>
    <t xml:space="preserve"> ITEM	ITEM  DESCRIPTION	QTY	UNIT NO.			 1	Monoblock Chair	80</t>
  </si>
  <si>
    <t xml:space="preserve"> ITEMS OF WORK: I. EARTHWORKS AND MOBILIZATION ......................................................1.00 Lot II. FORMWORKS......................................................1.00 Lot III. CONCRETE AND MASONRY WORKS.......................................</t>
  </si>
  <si>
    <t xml:space="preserve"> INVITATION TO BID FOR THE REBIDDING ON THE PROVISION OF LABOR, MATERIALS, EQUIPMENT AND OTHER INCIDENTALS NEEDED FOR THE REHABILITATION/IMPROVEMENT OF SARICAO SMALL WATER IMPOUNDING PROJECT (SWIP) AT BRGY. SARICAO, VINTAR, ILOCOS NORTE 1.	The Department o</t>
  </si>
  <si>
    <t xml:space="preserve"> Republic of the Philippines Department of Education Region VIII SCHOOLS DIVISION OF TACLOBAN CITY Tacloban City INVITATION TO BID Project No.: CY 2020_QRF (REPAIR)-Lot 2 1. The Department of Education (DepED) Division of Tacloban City, through the General</t>
  </si>
  <si>
    <t xml:space="preserve"> Republic of the Philippines          City of Dumaguete Bids and Awards Committee INVITATION TO BID FOR PURCHASE REQUEST OF 14 LGTHS DEFORMED STEEL BAR (16MMØ X 6.0M) AND OTHER ITEMS 	The City of Dumaguete thru its BIDS AND AWARDS COMMITTEE (BAC), invites </t>
  </si>
  <si>
    <t xml:space="preserve"> Smoke Emission Testing of 1x560kw Volvo genset Parameters : 1	Nitrogen Oxide (NOx) 2	Carbon Monoxide (CO) 3	Sulfur Oxide (Sox) 4	Particulate Matter (PM) 5	Sulfur Dioxide(SO2) Scope of Works: 1.	Perform Source Emission Monitoring to determine compliance to</t>
  </si>
  <si>
    <t xml:space="preserve"> To provide electric hand dryers in all comfort rooms of the branch</t>
  </si>
  <si>
    <t xml:space="preserve"> See attached ITB No. GOODS-20-108 and print Bid Notice Abstract</t>
  </si>
  <si>
    <t xml:space="preserve"> Republic of the Philippines									 DEPARTMENT OF PUBLIC WORKS AND HIGHWAYS									 REGIONAL OFFICE NO. IV-A									 EDSA, Quezon City									 Name of Procuring Entity :				Request for Quotation (P.R. No.):				2020-03-0007	 Revised on		:					Date:	Jun</t>
  </si>
  <si>
    <t xml:space="preserve"> 1 lot 2020-052, CONCRETING OF ROAD FROM PUROK 5-PUROK 9, SAN ISIDRO, MIDSAYAP, COTABATO</t>
  </si>
  <si>
    <t xml:space="preserve"> The Local Government Unit – Quinapondan, Eastern Samar, through its Bids &amp; Awards Committee (BAC ), intends to apply the sum of One Hundred Fifty Five Thousand Four Hundred Sixty One Pesos and 76/100 (Php155,461.76) under the approved Appropriation Ordina</t>
  </si>
  <si>
    <t xml:space="preserve"> Republic of the Philippines          City of Dumaguete Bids and Awards Committee INVITATION TO BID FOR PURCHASE REQUEST OF 304 BAGS PORTLAND CEMENT (40 KGS/BAG) AND OTHER ITEMS 	The City of Dumaguete thru its BIDS AND AWARDS COMMITTEE (BAC), invites all i</t>
  </si>
  <si>
    <t xml:space="preserve"> Republic of the Philippines Department of Education Region VIII SCHOOLS DIVISION OF TACLOBAN CITY Tacloban City INVITATION TO BID Project No.: CY 2020_QRF (REPAIR)-Lot 3 1. The Department of Education (DepED) Division of Tacloban City, through the General</t>
  </si>
  <si>
    <t xml:space="preserve"> Republic of the Philippines Province of Oriental Mindoro Municipality of Bulalacao Invitation to Bid for   IMPROVEMENT OF BULALACAO BAY PARK FOR URBAN GREENING/EXPANSION OF FISH LANDING PORT            June 1, 2020 1.	The Municipality of Bulalacao, throug</t>
  </si>
  <si>
    <t xml:space="preserve"> Invitation to Bid For   Supply and Delivery of 11,360 bundles Clear Plastic Jacket for Savings, Signature Card  and 10,400 reams Whitewove Paper Mimeo 1.	The LAND BANK OF THE PHILIPPINES (LANDBANK), through its Corporate Budget for the contract approved b</t>
  </si>
  <si>
    <t xml:space="preserve"> 1 lot 2020-054, CONCRETING OF BARANGAY ROAD FROM BARANGAY HALL TO PUROK 6, MALAMOTE, MIDSAYAP, COTABATO</t>
  </si>
  <si>
    <t xml:space="preserve"> Republic of the Philippines Office of the Punong Barangay BIDS AND AWARDS COMMITTEE Dirdirig Burgos, Ilocos Sur INVITATION TO BID The Barangay Government of Dirdirig, Burgos, Ilocos Sur, through its Bids and Awards Committee (BAC) invites bids for the her</t>
  </si>
  <si>
    <t xml:space="preserve"> CONSTRUCTION OF PERIMETER FENCE WITH PERGOLA OF EARLY CHILDHOOD CARE AND DEVELOPMENT CENTER AT POBLACION ZONE II, JAVIER LEYTE. TERMS AND CONDITIONS : 1.	Supply and Delivery of  Labor and Materials for the Construction of Perimeter Fence with Pergola of E</t>
  </si>
  <si>
    <t xml:space="preserve"> For recabling of CCTV Perimeter Backbone</t>
  </si>
  <si>
    <t xml:space="preserve"> City Government of La Carlota								          Standard Form Number: SF-GOOD-59 Revised on: May 24, 2004 Standard Form Title: REQUEST FOR QUOTATION 												Date: ______________												              Quotation No.________ Company Name Address 	Pleas</t>
  </si>
  <si>
    <t xml:space="preserve"> ITEM	ITEM  DESCRIPTION	QTY	UNIT NO.			 1	Rental of Equipment (includes fuel, oil and operator) BACKHOE	4	days</t>
  </si>
  <si>
    <t xml:space="preserve"> Republic of the Philippines                   Department of Health	       CENTRAL OFFICE BIDS AND AWARDS COMMITTEE  INVITATION TO BID FOR THE PROCUREMENT OF LINK LOAD BALANCER IB NO. 2020-219 1.	The Department of Health (DOH), through the General Appropri</t>
  </si>
  <si>
    <t xml:space="preserve"> Republic of the Philippines Province of Iloilo Municipality of Lemery Invitation to Bid 1.	The Barangay  Velasco,  Lemery, Iloilo, through  General Fund  intends to apply the sum of One Hundred Fifty Three Thousand Three Hundred Pesos ( P153,300.00 ) bein</t>
  </si>
  <si>
    <t xml:space="preserve"> I N V I T A T I O N   T O   B I D  The Visayas State University (VSU) through its Bids and Awards Committee (BAC) invites contractors to bid for the hereunder project: Name of Project 	:  Completion of Covered Court of VSU Isabel (INFRA-20-05) Location		:</t>
  </si>
  <si>
    <t xml:space="preserve"> 1 unit Submersible pump assembly 5HP (multi-stage) w/ pull-out &amp; installation - good quality 1 unit Panel board 5HP &amp; accessories including installation &amp; repair of submersible pump</t>
  </si>
  <si>
    <t xml:space="preserve"> Contract ID: 20PL0115 Contract Name: Upgrading/Improvement of Local Road from Employees Village-Upper CARAA Ground-NIA Access Road, Bulanao, Tabuk City, Kalinga Contract Location: Tabuk City, Kalinga Brief Description: Construction of 210m x 6.1m x 0.23m </t>
  </si>
  <si>
    <t xml:space="preserve"> Please submit your quotation for the following items on or before 5:00PM on Jun 22, 2020. ITEM D E S C R I P T I O N QTY. UNIT  1 Computer, Laptop 2 unit Technical Specification Requirements: Operating System : Windows 10 Home Processor : Intel Core i7-10</t>
  </si>
  <si>
    <t xml:space="preserve"> Procurement of various Medical Equipment.</t>
  </si>
  <si>
    <t xml:space="preserve"> Republic of the Philippines          City of Dumaguete Bids and Awards Committee INVITATION TO BID FOR PURCHASE REQUEST OF 43 CU.M CONCRETE PREMIX (3000 PSI @ 28 DAYS) CF: 9 BAGS/CU.M 	The City of Dumaguete thru its BIDS AND AWARDS COMMITTEE (BAC), invite</t>
  </si>
  <si>
    <t xml:space="preserve"> 1.	The Human Rights Violations Victims’ Memorial Commission, through the 2019 General Appropriations Act, intends to apply the sum of Three Million Five Hundred Thousand Pesos Only (Php 3,500,000.00) being the Approved Budget for the Contract (ABC) to pay</t>
  </si>
  <si>
    <t xml:space="preserve"> PROJECT: PURCHASE OF ASSISTED DEVICE LOCATION:RIZAL, NUEVA ECIJA SOURCE OF FUND: GENERAL FUND ABC: PHP 100,000.00</t>
  </si>
  <si>
    <t xml:space="preserve"> Please submit your quotation for the following items on or before 5:00PM on Jun 22, 2020. ITEM D E S C R I P T I O N QTY. UNIT UNIT COST TOTAL COST 1 Lab. Accs, Free Standing Electrode Stand with Swivel Arm, 01X081600 1 pc 2 Lab. Accs, General Purpose Pla</t>
  </si>
  <si>
    <t xml:space="preserve"> PURCHASE OF 3 UNITS AIRCONDITION</t>
  </si>
  <si>
    <t xml:space="preserve"> 3 pcs 12V battery, disposable, 11 plates 2 pcs Fuel filter cartridge, 4D56/mil. jeep 2 pcs Oil filter cartridge, 4D56/mil. jeep 1 pc Fuel filter cartridge, Foton ambulance 1 pc Oil filter cartridge, Foton ambulance</t>
  </si>
  <si>
    <t xml:space="preserve"> Construction of 0.20m X 4.00m X 90.00m  Climate Proofed Concrete Pavement to  include demolition of existing structure,  embankment, concrete works (includes  rectification of concrete steps-one side), and  masonry worksi</t>
  </si>
  <si>
    <t xml:space="preserve"> 1 unit Electric fan (rota air) 1 unit Refrigerator 1 unit Projector</t>
  </si>
  <si>
    <t xml:space="preserve"> Please submit your quotation for the following items on or before 5:00PM on Jun 22, 2020. ITEM D E S C R I P T I O N QTY. UNIT  1 Lab. Accs, Crucible Tong (Metal) 2 pc 2 Lab. Accs, Laboratory Wrapping Film, 4`` x 125 ft. 1 roll 3 Magnetic Stir Bar, PTFE -</t>
  </si>
  <si>
    <t xml:space="preserve"> Installation of Solar LED Street Light at Barangay Dapnan, Baganga, Davao Oriental</t>
  </si>
  <si>
    <t xml:space="preserve"> Republic of the Philippines Department of Education Region VIII SCHOOLS DIVISION OF TACLOBAN CITY Tacloban City INVITATION TO BID Project No.: CY 2020_QRF (REPAIR)-Lot 4 1. The Department of Education (DepED) Division of Tacloban City, through the General</t>
  </si>
  <si>
    <t xml:space="preserve"> Billboard; Excavation Works; RSB Works; Structural Concrete Class A; PCC Pavement (Plain); Steel Grating; Painting Works (Masonry painting); Safety &amp; Health (Construction Health and safety Requirement); Equipment Requirement:  payloader; backhoe; batching</t>
  </si>
  <si>
    <t xml:space="preserve"> CONCRETING OF BARANGAY ALANGTIN FMR Contract Location:                     Barangay Alangtin, Tubo, Abra Brief Description:                     Concreting of Roads using PCCP (Unreinforced, 0.28m thk., 14 days) The DPWH-Abra District Engineering Office re</t>
  </si>
  <si>
    <t xml:space="preserve"> PROCUREMENT OF CONSTRUCTION MATERIALS AND SUPPLY FOR CONCRETING OF PRES GARCIA BRGY ROAD PHASE iv ONLY</t>
  </si>
  <si>
    <t xml:space="preserve"> Republic of the Philippines DEPARTMENT OF PUBLIC WORKS AND HIGHWAYS MISAMIS ORIENTAL 2nd DISTRICT ENGINEERING OFFICE Region X Balase Street, El Salvador City INVITATION TO BID FOR The Department of Public Works and Highways Misamis Oriental 2nd District E</t>
  </si>
  <si>
    <t xml:space="preserve"> 265 bags Portland cement 14 cu.m Sand 21 cu.m Gravel</t>
  </si>
  <si>
    <t xml:space="preserve"> Please see attached RFQ for the full description of the item and for terms and conditions. Please submit your quotation on or before the closing date.</t>
  </si>
  <si>
    <t xml:space="preserve"> Construction of Concrete “Mabuhay Silvino  Lubos” Signage to include earthworks and  concrete works (footing, pedestal, slab on  grade, concrete signage).</t>
  </si>
  <si>
    <t xml:space="preserve"> Republic of the Philippines Province of South Cotabato BIDS AND AWARDS COMMITTEE Salada Street, Poblacion Tupi, South Cotabato Tel. Fax No.: (083) 226-1045 INVITATION TO BID FOR THE SUPPLY AND DELIVERY OF ONE (1) UNIT UTILITY VEHICLE (PICK UP) 1.	The Muni</t>
  </si>
  <si>
    <t xml:space="preserve"> INVITATION TO BID  for the following Projects: Construction/Rehabilitation of Water Supply/Rain Water Collector, Office of the Governor, Office of the Vice-Governor, GSO Building of the Provincial Capitol, Provincial Police Office Building, Municipal Poli</t>
  </si>
  <si>
    <t xml:space="preserve"> Construction of 1 unit Multi-Purpose Pavement (0.10 x 17 x 28 M) at Sitio Obian 2, Barangay San Victor, Baganga, Davao Oriental.</t>
  </si>
  <si>
    <t xml:space="preserve"> 20 boxes N95 mask 3 pcs Oxygen holder 3 pcs Oxygen tank w/ regulator 30 pcs Torniquet 3 unit Wheel chair 3 units BP w/ stand 5 unit Nebulizer pulmo aid</t>
  </si>
  <si>
    <t xml:space="preserve"> Structure Excavation; Embankment; Structural Concrete for Fooling and Slab on Fill; Structural Concrete for Fooling Tie Beam, Girder/Beam; Reinforcing Steel of Reinforced Concrete Structures; Formworks and Falseworks; catch Basin (Concrete/CHB); Plumbing </t>
  </si>
  <si>
    <t xml:space="preserve"> The Zamboanga State College of Marine Sciences and Technology (ZSCMST), through its Bids and Awards Committee, is inviting PhilGEPS registered suppliers to submit its best quotation on the item/s listed below, subject to the terms and conditions below sta</t>
  </si>
  <si>
    <t xml:space="preserve"> Billboard; Excavation (Slope &amp; Foundation); Construction of Slope Protection; PCCP;  Safety &amp; Health (Construction Health and safety Requirement); Equipment Requirement: backhoe; bar cutter; bar bender; one bagger mixer; concrete vibrator; water truck(160</t>
  </si>
  <si>
    <t xml:space="preserve"> Construction of Monreal Municipal Port</t>
  </si>
  <si>
    <t xml:space="preserve"> UNIT	  DESCRIPTION		                  QUANTITY 	50 KVA TRANSFORMER		 I	ELECTRICAL WORKS		 A.	 Supply and Installations of Electrical Overhead Secondary Wire Suspension &amp; Service Entrance		 pcs	RSC Pipe 2 1/2"Ø		                2 pcs	Entrance Cap 2 1/2Ø		 </t>
  </si>
  <si>
    <t xml:space="preserve"> Please submit your quotation for the following items on or before 5:00PM on Jun 22, 2020. ITEM D E S C R I P T I O N QTY. UNIT 1 Lab. Accs, Filter Paper, 11cm (10 circles/pack) (retention rating: 8um) (for Oil &amp; Grease analysis) 1 pack 2 Lab. Accs, Filter</t>
  </si>
  <si>
    <t xml:space="preserve"> 1. FIRE EXTINGUISHER CONTAINS ABC, DRY CHEM     100LBS, MONO AMMONIUM PHOSPHATE     WITH WHEEL 2. LADDER, ELECTRICIAN, EXTENDABLE     AT LEAST 32 FT, FIBERGLASS, 300LBS LOAD CAP DELIVERY SITE: OM-BOD OFFICE                          PEÑAFRANCIA, DARAGA, AL</t>
  </si>
  <si>
    <t xml:space="preserve"> INVITATION TO BID FOR PROCUREMENT OF JANITORIAL SERVICES 2020 FOR NORSU CAMPUSES Project Reference No.: GOOD2020-02-01 1. The Negros Oriental State University (NORSU) Campuses and the Bids and Awards Committee (BAC), through General Appropriation and Allo</t>
  </si>
  <si>
    <t xml:space="preserve"> 580 pcs Drug testing kits</t>
  </si>
  <si>
    <t xml:space="preserve"> 40 PCS One step rapid test</t>
  </si>
  <si>
    <t xml:space="preserve"> Republic of the Philippines Department of Education Region VIII SCHOOLS DIVISION OF TACLOBAN CITY Tacloban City INVITATION TO BID Project No.: CY 2020_QRF (REPAIR)-Lot 5 1. The Department of Education (DepED) Division of Tacloban City, through the General</t>
  </si>
  <si>
    <t xml:space="preserve"> See associated components for complete details</t>
  </si>
  <si>
    <t xml:space="preserve"> CMUPRES LC RAZALO		 1	1	Unit	Digital Duplicator	 			Print Speed: At least 130ppm and up	 			Paper feed table capacity: At least 1000 sheets and up	 			Paper weight: 45 - 210 gsm	 			Power consumption: max 220 W	 			Power: 160 W, TEC: 2.23 KWh	 			Heavy du</t>
  </si>
  <si>
    <t xml:space="preserve"> Municipality of Danao			  Name of the Procuring Entity	 Standard Form Number: SF-GOOD-60 Revised on: May 24, 2004 Standard Form Title: Request for Quotation REQUEST FOR QUOTATION Date: June 10, 2020 ___________________________________________ COMPANY NAME</t>
  </si>
  <si>
    <t xml:space="preserve"> Replacement of Roofing panels of legislative  building, replacement of 5 units steel  windows to aluminum sliding windows and  converting of roofing to concrete slab of ABC  Building.</t>
  </si>
  <si>
    <t xml:space="preserve"> Republic of the Philippines Province of Agusan del Norte Municipality of Nasipit Invitation to Bid for the Improvement of Public Bus Terminal (Road Concreting of the Rear Portion of Bus Terminal) and Construction of Public Bus Terminal Drainage System, Br</t>
  </si>
  <si>
    <t xml:space="preserve"> E-Billboard and Bulletin Board Maintenance</t>
  </si>
  <si>
    <t xml:space="preserve"> Republic of the Philippines PROVINCE OF LANAO DEL NORTE MUNICIPALITY OF LALA Office of the Municipal General Services                                                                                         _________________                                </t>
  </si>
  <si>
    <t xml:space="preserve"> Barangay Road Opening:  - From NHJ Sitio Tuajon, Barangay Dapnan to Sitio Kasukan, Barangay San Victor  - From Barangay Site Saoquigue to Diversion Road.  - From Proposed Cemetery, Barangay Salingcomot  - At Ikog Buaya, Sitio Nonocan, Barangay Dapnan Phas</t>
  </si>
  <si>
    <t xml:space="preserve"> UNIT	  DESCRIPTION		QUANTITY 105	Subgrade Preparation		 	A = 345m x 5m		 	Qty.= 1794 sq.m		 I- Equipment Rental:			 	1 Road Grader  for 6 hours		 	1 Road Roller    for 6 hours		 			 II- Labor:			 	1 Foreman  for 0.5 day(s)		 	2 Laborers  for 0.5 day(s)		 </t>
  </si>
  <si>
    <t xml:space="preserve"> Construction of PDAO Office Extension Building at Municipal Complex, Baganga, Davao Oriental.</t>
  </si>
  <si>
    <t xml:space="preserve"> CONTRACT NO.: BNLSL-LCB-24-2020 LOCATION: Montebello SIP, Kananga, Leyte SCOPE OF WORK: Construction of Diversion Works, Canal, Farm Level and Road System APPROVED BUDGET FOR CONTRACT: Php 18,834,953.01 CONTRACT DURATION: 360 calendar days Bidding will be</t>
  </si>
  <si>
    <t xml:space="preserve"> CONCRETING OF BARANGAY TUBTUBA FMR Contract Location:                     Barangay Tubtuba, Tubo, Abra Brief Description:                     Concreting of Roads using PCCP (Unreinforced, 0.20m thk., 14 days) The DPWH-Abra District Engineering Office rese</t>
  </si>
  <si>
    <t xml:space="preserve"> Republic of the Philippines Department of Education Region VIII SCHOOLS DIVISION OF TACLOBAN CITY Tacloban City INVITATION TO BID Project No.: CY 2020_QRF (REPAIR)-Lot 6 1. The Department of Education (DepED) Division of Tacloban City, through the General</t>
  </si>
  <si>
    <t xml:space="preserve"> Construction of Masonry Drainage Structure, Along Del Rosario Street, Centro 06, Tuguegarao City, Cagayan</t>
  </si>
  <si>
    <t xml:space="preserve"> RE-INVITATION TO BID The DPWH-Regional Office No. III,  through  its  Bids  and  Awards  Committee  (BAC),  invites contractors to submit bids for the Contract below: Procurement ID/Contract ID:    20C00046 Contract Name:      Construction of the DENR – E</t>
  </si>
  <si>
    <t xml:space="preserve"> 2 set - Heavy Duty Tent</t>
  </si>
  <si>
    <t xml:space="preserve"> Rehabilitation of of Sunrise Boulevard, Barangay Dapnan, Baganga, Davao Oriental</t>
  </si>
  <si>
    <t xml:space="preserve"> Allopurinol 300mg caps 100's	30	box Aluminum Magnesium 200mg tab 500's	50	box Amlodipine 10mg tablet 100's	70	box Amoxicillin 500mg capsule 100's	200	box Anti-fungal ointment	70	tubes Anti-Scabies Ointment	50	tubes Ascorbic Acid	1000	box Aspirin 80mg tabs</t>
  </si>
  <si>
    <t xml:space="preserve"> Republic of the Philippines Department of Health Central Luzon Center for Health Development Talavera General Hospital Talavera, Nueva Ecija   ISO QMS Certified INVITATION TO BID  SUPPLY AND DELIVERY OF ONE (1) LOT HEALTH MANAGEMENT SYSTEM WITH STRUCTURED</t>
  </si>
  <si>
    <t xml:space="preserve"> CONTRACT NO.: BNLSL-LCB-28A-2020 LOCATION: Cambalading SIP, Albuera, Leyte SCOPE OF WORK: Construction of Supplementary Dam APPROVED BUDGET FOR CONTRACT: Php 5,859,258.63 CONTRACT DURATION: 180 calendar days Bidding will be conducted in accordance with re</t>
  </si>
  <si>
    <t xml:space="preserve"> Procurement of One (1) unit Brand New Van (for Mobile Blood Donation).</t>
  </si>
  <si>
    <t xml:space="preserve"> The DENR-Provincial Environment and Natural Resources Office (PENRO) Zamboanga del Sur, through its Bids and Awards Committee, invites interested LGUs, People's Organizations (PO's), Non-Government Organization (NGO's), and Cooperatives to participate in </t>
  </si>
  <si>
    <t xml:space="preserve"> 4 pcs Tire, tubeless 195 R15 2 pcs Tire, tubeless 235/75 R15</t>
  </si>
  <si>
    <t xml:space="preserve"> Republic of the Philippines OFFICE OF THE PUNONG BARANGAY Barangay BASIRANG Province of Misamis Occidental INVITATION TO BID The Office of the Punong Barangay of Barangay BASIRANG through its Bids and Awards Committee [BAC], invites supplier/s registered </t>
  </si>
  <si>
    <t xml:space="preserve"> 46 pcs. - 3" dia. UPVC Pipe 1 set - 4x8 Tarpaulin with Frame Signboard</t>
  </si>
  <si>
    <t xml:space="preserve"> INVITATION TO BID FOR Procurement of Security Manpower Services FY 2020 for NORSU Campuses Project Reference No.: GOOD2020-03-03 1. The Negros Oriental State University (NORSU) Campuses and the Bids and Awards Committee (BAC), through General Appropriatio</t>
  </si>
  <si>
    <t xml:space="preserve"> Republic of the Philippines PROVINCE OF ZAMBOANGA DEL NORTE Municipality of Godod BARANGAY SIORAN INVITATION TO BID FOR PROPOSED SPRING DEVELOPMENT REHABILITATION Sioran, Godod, Zamboanga del Norte 1.	The Barangay Local Government Unit of Sioran, Godod, Z</t>
  </si>
  <si>
    <t xml:space="preserve"> CONTRACT NO.: BNLSL-LCB-28-2020 LOCATION: Cambalading SIP, Albuera, Leyte SCOPE OF WORK: Construction of Diversion Works, Canal and Farm Level System (Package I)  APPROVED BUDGET FOR CONTRACT: Php 17,805,795.61 CONTRACT DURATION: 360 calendar days Bidding</t>
  </si>
  <si>
    <t xml:space="preserve"> Supply and Delivery of Four (4) Units Motorcycle- DRR Rescue Vehicle With the Following Specifications: Engine Type: not exceeding 200cc Displacement: not exceeding 200cc Seating Capacity: 1 driver plus 8 passengers Type of Fuel: Gasoline Additional Appar</t>
  </si>
  <si>
    <t xml:space="preserve"> Project: PURCHASE AND DELIVERY OF IT EQUIPMENT AND ACCESSORIES Location: Laurel, Batangas ABC: PHP 329,000.00 Advertisement	June 10-17, 2019	 Pre-bid Conference	-	 Submission of Letter of Intent	June 10-18, 2020	 Issuance of Bid Documents	June 10-18, 2020</t>
  </si>
  <si>
    <t xml:space="preserve"> Name of Project: Concreting of Farm to Market Road Location: Purok 2, Brgy Naya, Pura, Tarlac ABC: Php 500,000.00</t>
  </si>
  <si>
    <t xml:space="preserve"> Supply and delivery of office supplies and equipments</t>
  </si>
  <si>
    <t xml:space="preserve"> PHILIPPINE BIDDING DOCUMENTS (As Harmonized with Development Partners) Procurement for  IMPROVEMENT OF SHELTER FOR YOUTH OFFENDER &amp; CRISIS CENTER BRGY. TINAMNAN LUCBAN, QUEZON BIDDING Government of the Republic of the Philippines Fourth Edition   Preface </t>
  </si>
  <si>
    <t xml:space="preserve"> 1	1	Unit	Hydraulic Hot stamping Machine 			1 Power: 380V 50HZ 			2 Stamping area 400 * 600mm 			3 Table area: 520 * 800mm 			4 Heating power: 6400W 			5 Motor power : 3700W 			6 Maximum pressure: 60T 			7 Bronzing thickness &lt; 75mm 			8 Stamping temperatur</t>
  </si>
  <si>
    <t xml:space="preserve"> 1. PUMP CENTRIFUGAL, STAINLESS STEEL, SHAFT IN MECHANICAL SEAL, SIZE: 100MM x 80MM, SUCTION AND      DISCHARGE PUMP 2. HYDRAULIC PRESS HEAVY  DUTY, 10 TON, H FRAME WITH TURBO AIR HYDRAULIC PUMP , SINGLE ACTING      CYLINDER WITH HOSE ASSY. DELIVERY SITE: </t>
  </si>
  <si>
    <t xml:space="preserve"> INVITATION TO BID The DPWH-Regional Office No. III,  through  its  Bids  and  Awards  Committee  (BAC),  invites contractors to submit bids for the Contract below: Procurement ID/Contract ID:    20C00047 Contract Name:      Rehabilitation/Restoration of D</t>
  </si>
  <si>
    <t xml:space="preserve"> BIDS AND AWARDS COMMITTEE REQUEST FOR QUOTATION United Coconut Planters Bank (UCPB) invites all interested suppliers, which are registered in the Philippine Government Electronic System (PhilGEPS), to submit their lowest price proposal/quotation for suppl</t>
  </si>
  <si>
    <t xml:space="preserve"> LOCAL GOVERNMENT UNIT OF NAGUILIAN , ISABELA INVITATION TO BID FOR the SUPPLY AND DELIVERY OF CONSTRUCTION MATERIALS FOR THE CONSTRUCTION OF DRAINAGE CANAL ALONG PROVINCIAL ROAD AT BARANGAY ROXAS INFRONT OF COMMERCIAL STALLS. 1.	The Local Government Unit </t>
  </si>
  <si>
    <t xml:space="preserve"> 1 unit Butt Fusion machine     GENERATOR SET / GASOLINE              Rated watts: 6,500         Surge watts: 7,000         Fuel tank capacity: 6.6 gallon         Electric starting system         Overhead value engage w/ AVR alternator         Hydraulic pr</t>
  </si>
  <si>
    <t xml:space="preserve"> BIDS AND AWARDS COMMITTEE REQUEST FOR QUOTATION 	The  Barangay Unit of Patawag, Labason, ZN., Invites all interested registered supplier to submit quotation for the Purchase of Construction Materials for  Carpentry Works at Barangay Hall Phase -  I Patawa</t>
  </si>
  <si>
    <t xml:space="preserve"> INVITATION TO BID Bid No. B-81-2020  1.	The Provincial Government of Negros Oriental, through Source of Fund: 1) SP Res.#1115-2019 AO #72,Series of 2019,20% DF CY 2020; 2) SP Res.#846-2018 (20% DF,AIP 2019); 3) SP Res.#1076-2017  AO 57 Series of 2017 20 %</t>
  </si>
  <si>
    <t xml:space="preserve"> water meter, 1/2 Dia. Ball Valve (PVC with Tread), Ball Valve (PVC without Tread), PE Male Adaptor, PE Female Adaptor, PE MAle Elbow, PE female Elbow, RE Elbow, 2x1 1/2 PE Tee, 1 1/2 x 1 PE Tee, 1 1/2 PEE Coupling, 2 PE Coupling, 1 1/2 hose, 1/2 PVC Pipe,</t>
  </si>
  <si>
    <t xml:space="preserve"> CVM - MP Condino		 1	10	Unit	Steel Cabinet, heavy duty 4 -drawers	 2	4	Unit	Office Steel rack Open Steel shelves filing cabinet, 5 layers	 4	15	Unit	Executive Chair	 5	2	Unit	L Shape Sofa set, modern and simple design, leather with center table	 6	4	Set	S</t>
  </si>
  <si>
    <t xml:space="preserve"> For the general supplies of various Cebu City Government Offices.</t>
  </si>
  <si>
    <t xml:space="preserve"> I N V I T A T I O N   T O   B I D  The Visayas State University (VSU) through its Bids and Awards Committee (BAC) invites contractors to bid for the hereunder project: Name of Project 	:  Completion of Covered Court of VSU Villaba (INFRA-20-06) Location		</t>
  </si>
  <si>
    <t xml:space="preserve"> UNIVERSITY OF THE PHILIPPINES MANILA The Health Sciences Center 8/F PGH Central Block Bldg,  Taft Avenue, Manila INVITATION TO BID PROPOSED OFFICE FOR DISASTER SIMULATION CENTER 2ND  FLOOR, JUAQUIN  GONZALES COMPOUND UNIVERSITY OF THE PHILIPPINES MANILA 1</t>
  </si>
  <si>
    <t xml:space="preserve"> Republic of the Philippines CITY GOVERNMENT OF SAN FERNANDO City Hall Building, F. Ortega Highway Tel. No. (072)8886901, (072) 867-8100/Fax No. (072)8886907 Website: www.sanfernandocity.gov.ph Email: csflu_98@yahoo.com INVITATION TO BID FOR  Procurement o</t>
  </si>
  <si>
    <t xml:space="preserve"> 15 books Bookbinding - hardbound</t>
  </si>
  <si>
    <t xml:space="preserve"> Repair/Maintenance of DPWH Building</t>
  </si>
  <si>
    <t xml:space="preserve"> 5,024 liters of fuel</t>
  </si>
  <si>
    <t xml:space="preserve"> DRINKS AND BEVERAGES  1	90	cases	Canned Juice Drink- Pineapple, Orange, Four                                Seasons (240 ml x 24) 2	100	cases	Flavored Juice w/ GCE &amp; L-carnitine (330ml x 24) 3	20	cases	Ready-to-Drink Tonic Food Drink (24 x 250ml) GROCERIE</t>
  </si>
  <si>
    <t xml:space="preserve"> 1 unit laptop 14 inches</t>
  </si>
  <si>
    <t xml:space="preserve"> BIDS AND AWARDS COMMITTEE REQUEST FOR QUOTATION 	The Barangay Unit of Patawag, Labason, ZN., Invites all interested registered supplier to submit quotation for the Purchase of Construction Materials for  Contrete/Masonry Works at Barangay Hall  Phase – I </t>
  </si>
  <si>
    <t xml:space="preserve"> Name of Project: Concreting of Farm to Market Road Location: Purok 1, Brgy. Balite, Pura, Tarlac ABC: Php 500,000.00</t>
  </si>
  <si>
    <t xml:space="preserve"> COMPLETION OF BUILDING, REHABILITATION OF DOMESTIC WATER SUPPLY, CONSTRUCTION OF FOOTHPATH AND REPAIR &amp; CONSTRUCTION OF FOOTHBRIDGE PROJECT COMPONENT: 1. REPAIR OF DEPYANG I AT DALIPEY, TACADANG (PHP430,500.00). 2. COMPLETION AND IMPROVEMENT OF SADDLE CHI</t>
  </si>
  <si>
    <t xml:space="preserve"> Section I. Invitation to Bid Republic of the Philippines PROVINCE OF CAGAYAN Municipality of Peñablanca PROVINCIAL BIDS AND AWARDS COMMITTEE INVITATION TO BID FOR  Supply and Delivery of 40 Units Brand New Customized Police Patrol Vehicle 1.	The Provincia</t>
  </si>
  <si>
    <t xml:space="preserve"> Republic of the Philippines								 Province of Negros Occidental								 Municipality of La Castellana								 Bids and Awards Committee								 								 INVITATION TO APPLY FOR ELIGIBILITY AND TO BID								 								 Name of Project: 		REPAIR OF HANGING</t>
  </si>
  <si>
    <t xml:space="preserve"> Invitation to Bid for REPAIR OF CAS SCHOOL BUILDING AT NORSU BAYAWAN-STA. CATALINA CAMPUS INFRA2020-06-04 1. The Negros Oriental State University (NORSU), through the SPECIAL TRUST FUND (STF) intends to apply the sum Two Million Five Hundred Thousand Peso</t>
  </si>
  <si>
    <t xml:space="preserve"> OPENING OF BIDS IN DSWD FO IX ZAMBOANGA CITY					 DELIVERY IN DSWD FO IX ZAMBOANGA CITY					 PROCUREMENT FOR THE FF.: 					 330	BOX	SURGICAL FACE MASK			 ********************************************	 FOR THE PANTAWID PAMILYA PROGRAM STAFF ASSIGNED IN THE </t>
  </si>
  <si>
    <t xml:space="preserve"> BIDS AND AWARDS COMMITTEE REQUEST FOR QUOTATION 	The Local Government Unit of Labason, ZN.,invites all interested registered supplier to submit quotation for the Purchase of Construction Materials for Doors and Windows at Barangay Hall Phase – I  Patawag,</t>
  </si>
  <si>
    <t xml:space="preserve"> Republic of the Philippines Department of Health REGION 1 MEDICAL CENTER Arellano Street, Dagupan City BAC Office Tel No.: (075) 523-18-65 Telefax: (075) 523-41-03 r1mcsbac2012@gmail.com Invitation to Bid for the R1MC Tubular Slatch Wind Pressure Support </t>
  </si>
  <si>
    <t xml:space="preserve"> Republic of the Philippines Province of Ilocos Norte MUNICIPALITY OF CURRIMAO INVITATION TO BID FOR  PURCHASE OF CELLCARDS 1.	The Municipality of Currimao intends to apply the sum of [Two Hundred Six Thousand Pesos (P206,000.00)] being the Approved Budget</t>
  </si>
  <si>
    <t xml:space="preserve"> INVITATION TO BID FOR SUPPLY AND DELIVERY OF DOCUMENT SCANNERS FOR DSWD CENTRAL OFFICE —  ITB NO. GOP/20-DSWD-037 — (PR NO. 01-20001-PR-2020-03-00300) 1. The Department of Social Welfare and Development (DSWD), through the DSWD Funds, intends to apply the</t>
  </si>
  <si>
    <t xml:space="preserve"> 1.	The Local Government Unit of Las Nieves, through the Budget for the Contract approved by the Sanggunian (MDRRMF-TF) intends to apply the sum of two million two hundred and fifty thousand pesos only (Php 2,250,000.00), being the Approved Budget for the </t>
  </si>
  <si>
    <t xml:space="preserve"> 1	1	unit	Ceiling Helicopter Fan (24 ft diameter, variable speed)</t>
  </si>
  <si>
    <t xml:space="preserve"> Cover All, Gloves, Face MAsk, Face Shield, Boots, Thermal Scanner, Thermometer, Oxygen Tank with Regulator, Canula-Adult, Canula-Children, BP Apparatus</t>
  </si>
  <si>
    <t xml:space="preserve"> Republic of the Philippines Municipality of Taytay Taytay, Palawan NOTICE TO BIDDERS Item # Qty Unit Description Amount 1.   1    Unit   Const. Of Multi-Purpose Hall The two envelope system of procurement shall be observed, Bidding documents shall be avai</t>
  </si>
  <si>
    <t xml:space="preserve"> BIDS AND AWARDS COMMITTEE REQUEST FOR QUOTATION 	The Barangay  Unit of Patawag, Labason, ZN., Invites all interested registered supplier to submit quotation for the Purchase of Construction Materials for  Plumbing Works, at Barangay Hall Phase – I Patawag</t>
  </si>
  <si>
    <t xml:space="preserve"> RGMO - Sudaria		 1	107	Unit	Harrow (Bearing Oil Type, Tire: 700 x 15, 9 	 			blade, Shafting 2 1/2, Blade Size 24", Frame 	 			118" &amp; 131"	 2	1	Unit	Disc Plow (standard size)</t>
  </si>
  <si>
    <t xml:space="preserve"> 2 btls Glass cleaner 4 btls Alcohol 70% 500ml 5 btls Toilet bowl cleaner 10 packs Bathroom tissue 2 ply 4/pack 10 bulb Bulb 9 watts 12 cards Talk n text card 300 12 cards Globe card 300 5 pcs Doormat plastic 3 pcs Broom soft 1 pc Dish drainer w/ 2 drawers</t>
  </si>
  <si>
    <t xml:space="preserve"> LOCAL GOVERNMENT UNIT OF NAGUILIAN , ISABELA INVITATION TO BID FOR the SUPPLY AND DELIVERY OF PAINTING MATERIALS FOR BARANGAY QUIRINO MULTI-PURPOSE HALL. 1.	The Local Government Unit of Naguilian, Isabela, through the 20% Development Fund intends to apply</t>
  </si>
  <si>
    <t xml:space="preserve"> BIDS AND AWARDS COMMITTEE REQUEST FOR QUOTATION The Barangay Unit of Patawag, Labason, ZN., Invites all interested registered supplier to submit quotation for the Purchase of Construction Materials for Roofing Works at Barangay Hall Phase - I Patawag, Lab</t>
  </si>
  <si>
    <t xml:space="preserve"> For office use.</t>
  </si>
  <si>
    <t xml:space="preserve"> Republic of the Philippines Province of Davao del Sur MUNICIPALITY OF MATANAO -oOo- INVITATION TO BID The Local Government Unit of Matanao, Davao del Sur, through its Bids and Awards Committee (BAC), invites interested ISO certified suppliers/distributors</t>
  </si>
  <si>
    <t xml:space="preserve"> The Philippine Rural Development Project- Regional Project Coordination Office XI hereunder referred to as the End-User now requests interested applicants to submit Expression of Interest for the Hiring of the following PRDP-RPCO XI personnel for the peri</t>
  </si>
  <si>
    <t xml:space="preserve"> Republic of the Philippines CITY GOVERNMENT OF SAN FERNANDO City Hall Building, F. Ortega Highway Tel. No. (072)8886901, (072) 867-8100/Fax No. (072)8886907 Website: www.sanfernandocity.gov.ph Email: csflu_98@yahoo.com INVITATION TO BID FOR  Procurement a</t>
  </si>
  <si>
    <t xml:space="preserve"> Republic of the Philippines Municipality of Taytay Taytay, Palawan NOTICE TO BIDDERS Item # Qty Unit Description Amount 1. 1 Unit Const. Of Multi-Purpose Hall The two envelope system of procurement shall be observed, Bidding documents shall be available a</t>
  </si>
  <si>
    <t xml:space="preserve"> Concreting of 200m x 5m x 0.20m roadway w/.5 shoulder both sides demolition of existing PCCP thick with the following proposed work:  Item No.			Description				          Unit 		   Quantity     A.1.1	Provision of Field for the Engineer (rental basis)	   mo</t>
  </si>
  <si>
    <t xml:space="preserve"> REQUEST FOR EXPRESSION OF INTEREST REOI2020-C01 1.	The Department of Public Works and Highway-Isabela 3rd District Engineering Office     through the PDE 2020 intends to apply the Approved Budget for the Contract (ABC) to payment under the following contr</t>
  </si>
  <si>
    <t xml:space="preserve"> Invitation to Bid Design and Build of Single - storey Administration Building for Dipaculao Water District, Dipaculao, Aurora 1.	The Dipaculao Water District intends to apply the sum of Seven Hundred Eighty-Nine Thousand Pesos (P789,000.00) being the tota</t>
  </si>
  <si>
    <t xml:space="preserve"> 1.	The Local Government Unit of Las Nieves, through the Budget for the Contract approved by the Sanggunian (MDRRMF-TF) intends to apply the sum of one million and nine hundred thousand pesos only (Php 1,900,000.00), being the Approved Budget for the Contr</t>
  </si>
  <si>
    <t xml:space="preserve"> Republic of the Philippines PROVINCE OF BUKDINON Malaybalay City OFFICE OF THE PROVINCIAL GOVERNOR Bids and Awards Committee INVITATION TO BID FOR THE “SUPPLY AND DELIVERY OF ONE LOT HOUSEKEEPING SUPPLIES” ITB No. 2020-149 June 9, 2020 1.	The Provincial G</t>
  </si>
  <si>
    <t xml:space="preserve"> INVITATION TO BID FOR THE Supply, Delivery, Installation and Commissioning of Air-Conditioning System for the Bureau of Quarantine PUBLIC BIDDING NO. 20-020-5 FUNDING SOURCE: General Appropriations Act of 2017 1.	The PROCUREMENT SERVICE invites PhilGEPS r</t>
  </si>
  <si>
    <t xml:space="preserve"> Sec VI - TECHNICAL SPECIFICATIONS A.	GENERAL PROVISIONS AND REQUIREMENTS 1.	GENERAL These specifications cover the requirements for the Repair of Perimeter Fence (section only), in NFA Siquijor as stipulated in the plans which will form part of the contra</t>
  </si>
  <si>
    <t xml:space="preserve"> ITEM NO.	DESCRIPTION					Unit	     Qty. I	Project Sign Board					pc.	       1 II	Deep Well Drilling					m	      12 III	Pump( 2Hp )					       Set	       1 IV	Pipelines fittings and appurtenances		LS	       1 V	Elevated Stainless Steel Tank			Cu.m       10</t>
  </si>
  <si>
    <t xml:space="preserve"> Procurement of One (1) Unit Android Electronic Total Station Specification:  Android 5.1 Operating System  1000m Reflector less/5000m Reflector  1”/2” Angle Accuracy  Automatic Graph Drawing  Complete with surveying Programs  5.0 inch capacitive Tou</t>
  </si>
  <si>
    <t xml:space="preserve"> Project No.: QRF2020-B1-NS-REPAIR-L1 The Department of Education (DepED) Division of Northern Samar, through the 2020 Government Appropriations Act (GAA), intends to apply the sum of Two Million Two Hundred Nineteen Thousand One Hundred Seven Pesos and 39</t>
  </si>
  <si>
    <t xml:space="preserve"> Republic of the Philippines DEPARTMENT OF PUBLIC WORKS AND HIGHWAYS CAGAYAN 2ND DISTRICT ENGINEERING OFFICE Regional Office II Abulug, Cagayan June 9, 2020 INVITATION TO BID  The Cagayan 2nd District Engineering Office, Abulug, Cagayan, through its Bids a</t>
  </si>
  <si>
    <t xml:space="preserve"> Procurement of ABG Cassette/Cartridge with the Provision of ABG Analyzer Machine (Tie-Up)</t>
  </si>
  <si>
    <t xml:space="preserve"> Republic of the Philippines   CITY GOVERNMENT OF SAN FERNANDO   City Hall Building, F. Ortega Highway   Tel. No. (072)8886901, (072) 867-8100/Fax No. (072)8886907   Website: www.sanfernandocity.gov.ph   Email: csflu_98@yahoo.com      INVITATION TO BID FOR</t>
  </si>
  <si>
    <t xml:space="preserve"> Purchase of Supplies for the Rehabilitation of Court</t>
  </si>
  <si>
    <t xml:space="preserve"> 1.	The Cadiz East Elementary School II of Cadiz City, through the Schools MOOE Fund CY 2020  intends to apply the sum of Four Thousand, Nine Hundred Pesos (Php 4,900.00) being the Approved Budget for the Contract (ABC) to payments under the contract for I</t>
  </si>
  <si>
    <t xml:space="preserve"> All-Weather Waterproof, with 4K Gimbal Camera, Payload Release System for Search and Rescue, Land and Take-Off in the  Water, Mapping Drone to include Mapping Software Optical Sensor Type / Size: ½.3” CMOS Valid Pixels: 14MP Recording Media: Micro SD Card</t>
  </si>
  <si>
    <t xml:space="preserve"> The Bids and Awards Committee (BAC) of Luis Uychiat Elementary School invites interested bidders 0f 2020  Learning Modules Reproduction Reproduction of Learning Modules Months Covered: August-December 2020 Approved Budget Contract: 68,350.00 Pre-Bid Confe</t>
  </si>
  <si>
    <t xml:space="preserve"> 1.	The Local Government Unit of Las Nieves, through the Budget for the Contract approved by the Sanggunian (20% DF) intends to apply the sum of one million and five hundred thousand pesos only (Php 1,500,000.00) being the Approved Budget for the Contract </t>
  </si>
  <si>
    <t xml:space="preserve"> Project No.: QRF2020-B1-NS-REPAIR-L3 The Department of Education (DepED) Division of Northern Samar, through the 2020 Government Appropriations Act (GAA), intends to apply the sum of One Million Fifteen Thousand Seven Hundred Five Pesos and 36/100 Centavo</t>
  </si>
  <si>
    <t xml:space="preserve"> Republic of the Philippines Municipality of Taytay Taytay, Palawan NOTICE TO BIDDERS Item # Qty Unit Description Amount 1.	24	pcs 	Tires Intended for 3 Hi-lux  2.	16	pcs 	Tires Intended for 2 Commuter Ambulance 3.	6	pcs 	Tires 7.50 RIG LT 10 PLY Intended </t>
  </si>
  <si>
    <t xml:space="preserve"> Republic of the Philippines City of Makati Metro Manila BARANGAY SAN ISIDRO BIDS AND AWARDS COMMITTEE Date: 9 June 2020 INVITATION TO BID The Bids and Awards Committee of Barangay San Isidro, Makati City, Metro Manila is inviting all interested parties to</t>
  </si>
  <si>
    <t xml:space="preserve"> 1. The Department of Agriculture – Regional Field Office – Cordillera Administrative Region (DA-RFO-CAR) intends to apply part of its CY 2020 General Appropriation Act (GAA) the total sum of Eight Million Five Thousand Pesos (P8,005,000.00) being the Appr</t>
  </si>
  <si>
    <t xml:space="preserve"> a)	Signboard b)	Occupational safety &amp; health program c)	Structure excavation d)	Gravel bedding e)	Formworks f)	Reinforcing steel bars g)	Structural concrete h)	Manual hauling of materials</t>
  </si>
  <si>
    <t xml:space="preserve"> The PHILIPPINE SCIENCE HIGH SCHOOL SOUTHERN MINDANAO CAMPUS through the General Appropriations Act (GAA) of 2020 intends to apply the sum of Two Million Three Hundred Seventy Five Thousand (P2,375,000.00) Pesos being the Approved Budget for the Contract (</t>
  </si>
  <si>
    <t xml:space="preserve"> INVITATION TO BID The DPWH-Bataan 2nd District Engineering Office, through its Bids and Awards Committee (BAC), invites contractors to submit bids for the following Contract: Contract ID	:	20CB0067 Contract Name	:	Concreting of Brgy. Alangan Farm-to-Marke</t>
  </si>
  <si>
    <t xml:space="preserve"> INVITATION TO BID The DPWH-Bataan 2nd District Engineering Office, through its Bids and Awards Committee (BAC), invites contractors to submit bids for the following Contract: Contract ID	:	20CB0066 Contract Name	:	Concreting of Brgy. Ibis Farm-to-Market R</t>
  </si>
  <si>
    <t xml:space="preserve"> Project No.: QRF2020-B1-NS-REPAIR-L2 The Department of Education (DepED) Division of Northern Samar, through the 2020 Government Appropriations Act (GAA), intends to apply the sum of One Million Six Hundred Eighty-Eight Thousand Three Hundred Seventy-Six </t>
  </si>
  <si>
    <t xml:space="preserve"> INVITATION TO BID  SUPPLY AND DELIVERY OF IT EQUIPMENT UNDER PB 20-02-14A 1.	The Philippine Rice Research Institute, through the 2020 Regular Trust Fund Budget intends to apply the sum of ONE MILLION EIGHT HUNDRED FIFTY THOUSAND PESOS AND 00/100 ONLY (PhP</t>
  </si>
  <si>
    <t xml:space="preserve"> a)	Signboard b)	Occupational safety &amp; health program c)	Formworks  d)	Structural excavation e)	Grouted riprap f)	Concrete pathway (class “a”) g)	G.I. pipe railings h)	Carpentry and tinsmithry works i)	Structural concrete j)	Steel works k)	Septic tank l)	R</t>
  </si>
  <si>
    <t xml:space="preserve"> Supply, Delivery, Installation, Testing and Commissioning of Two (2) Units Synchronizing Unit Module for the Two (2) Units Doosan Electric Generators.</t>
  </si>
  <si>
    <t xml:space="preserve"> INVITATION TO BID The DPWH-Bataan 2nd District Engineering Office, through its Bids and Awards Committee (BAC), invites contractors to submit bids for the following Contract: Contract ID	:	20CB0068 Contract Name	:	Concreting of Brgy. Balagtas to Roman Sup</t>
  </si>
  <si>
    <t xml:space="preserve"> materials</t>
  </si>
  <si>
    <t xml:space="preserve"> Project No.: QRF2020-B1-NS-REPAIR-L4 The Department of Education (DepED) Division of Northern Samar, through the 2020 Government Appropriations Act (GAA), intends to apply the sum of One Million Five Hundred Thirty-Three Thousand Nine Hundred Eight Pesos </t>
  </si>
  <si>
    <t xml:space="preserve"> Project No.: QRF2020-B1-NS-REPAIR-L5 The Department of Education (DepED) Division of Northern Samar, through the 2020 Government Appropriations Act (GAA), intends to apply the sum of One Million Eight Hundred Seventy-Three Thousand Four Hundred Eighty Pes</t>
  </si>
  <si>
    <t xml:space="preserve"> Republic of the Philippines WESTERN PHILIPPINES UNIVERSITY          A STRONG PARTNER FOR SUSTAINABLE DEVELOPMENT BIDS AND AWARDS COMMITTEE Invitation to Bid for Supply, Delivery and Installation of equipment for the DA-ACEF indigenous fruits project The W</t>
  </si>
  <si>
    <t xml:space="preserve"> INVITATION TO BID The DPWH-Bataan 2nd District Engineering Office, through its Bids and Awards Committee (BAC), invites contractors to submit bids for the following Contract: Contract ID	:	20CB0065 Contract Name	:	Concreting of Sitio Kinaragan to Sitio Ba</t>
  </si>
  <si>
    <t xml:space="preserve"> 1.	The Local Government Unit of Las Nieves, through the General Appropriations Act (BUB/GPB) intends to apply the sum of four hundred ninety eight thousand pesos only (Php 498,000.00), being the Approved Budget for the Contract (ABC) to payments under the</t>
  </si>
  <si>
    <t xml:space="preserve"> 2x4 Mini dump Truck Dimensions: Wheelbase 3200, Front Overhang 1230 Ring Overhang 1360, Wheel Track Front Axie 1530 Wheel track rear axie 1584,Chassis length 5780 Approach angle 29, Departure angle 23 Maximum driving speed (Km/H 74) Maximum gradiability 1</t>
  </si>
  <si>
    <t xml:space="preserve"> a)	Signboard b)	Occupational safety &amp; health program c)	Formworks  d)	Reinforcing steel bars e)	Steel and tinsmithry works f)	Structural concrete g)	Pathway preparation h)	Masonry &amp; plumbing works i)	Painting works j)	G.I. pipe railings k)	Septic tank l)	</t>
  </si>
  <si>
    <t xml:space="preserve"> INVITATION TO BID FOR SUPPLY AND DELIVERY OF 1,796 UNITS 15MM Ø MULTI JET BRASS WATER METER 1. The Tanay Water District, through the 2020 Corporate Operating Budget intends to apply the sum of Two Million Six Hundred Ninety Four Thousand Pesos (₱2,694,000</t>
  </si>
  <si>
    <t xml:space="preserve"> INVITATION TO BID The DPWH-Bataan 2nd District Engineering Office, through its Bids and Awards Committee (BAC), invites contractors to submit bids for the following Contract: Contract ID	:	20CB0070 Contract Name	:	Repair/Maintenance of DWPH Building, Main</t>
  </si>
  <si>
    <t xml:space="preserve"> OPENING OF BIDS IN DSWD FO IX ZAMBOANGA CITY						 DELIVERY IN DSWD-SWAD-IPIL, ZAMBOANGA SIBUGAY						 PROCUREMENT FOR THE FF.:						 						 17	BOX	BALL PEN, BLACK, 0.5mm 50 PCS. /BOX				 	REAM	BOND PAPER A4, S-20				 230	REAM	BOND PAPER LONG S-20				 200</t>
  </si>
  <si>
    <t xml:space="preserve"> Project No.: QRF2020-B1-NS-REPAIR-L6 The Department of Education (DepED) Division of Northern Samar, through the 2020 Government Appropriations Act (GAA), intends to apply the sum of One Million Six Hundred Seventy-Nine Thousand Seven Hundred Eighty-Four </t>
  </si>
  <si>
    <t xml:space="preserve"> Project No.: QRF2020-B1-NS-REPAIR-L7 The Department of Education (DepED) Division of Northern Samar, through the 2020 Government Appropriations Act (GAA), intends to apply the sum of One Million Two Hundred Forty-Eight Thousand One Hundred Seventy-Seven P</t>
  </si>
  <si>
    <t xml:space="preserve"> Republic of the Philippines WESTERN PHILIPPINES UNIVERSITY          A STRONG PARTNER FOR SUSTAINABLE DEVELOPMENT BIDS AND AWARDS COMMITTEE Invitation to Bid for Supply and Delivery of Materials and Equipment for DA-ACEF Mango Project The Western Philippin</t>
  </si>
  <si>
    <t xml:space="preserve"> Project No.: QRF2020-B1-NS-REPAIR-L8 The Department of Education (DepED) Division of Northern Samar, through the 2020 Government Appropriations Act (GAA), intends to apply the sum of One Million Two Hundred Sixty-Four Thousand Two Hundred Ninety-Nine Peso</t>
  </si>
  <si>
    <t xml:space="preserve"> INVITATION TO BID The DPWH-Bataan 2nd District Engineering Office, through its Bids and Awards Committee (BAC), invites contractors to submit bids for the following Contract: Contract ID	:	20CB0069 Contract Name	:	Concreting of Purok 6, Brgy. Gen. Lim Far</t>
  </si>
  <si>
    <t xml:space="preserve"> Republic of the Philippines CITY GOVERNMENT OF SAN FERNANDO City Hall Building, F. Ortega Highway Tel. No. (072)8886901, (072) 867-8100/Fax No. (072)8886907 Website: www.sanfernandocity.gov.ph Email: csflu_98@yahoo.com INVITATION TO BID FOR  PROCUREMENT F</t>
  </si>
  <si>
    <t xml:space="preserve"> a)	Signboard b)	Occupational safety &amp; health program c)	Forms and scaffoldings  d)	Reinforcing steel bars e)	Steel and tinsmithry works f)	Structural concrete g)	Plastering works h)	Masonry works i)	Painting works j)	G.I. pipe railings k)	Handlaid rock em</t>
  </si>
  <si>
    <t xml:space="preserve"> Item of works includes: -Concrete Footpath -Structural Concrete -Excavation -Railings -Manual Hauling</t>
  </si>
  <si>
    <t xml:space="preserve"> Contract ID:	20DL0204 Contract Name:	REPAIR/MAINTENANCE OF DRAINAGE ALONG QUEZON-ALABAT-PEREZ ROAD, KM.022+050-KM.022+097 (RIGHT SIDE) Contract Location:	ALABAT, QUEZON Brief Description:		REPAIR/MAINTENANCE OF DRAINAGE STRUCTURES Approved Budget for the </t>
  </si>
  <si>
    <t xml:space="preserve"> Item	Quantity	Unit	Description					 1	1		pcs.	TENT					 2	7		pcs.	TROMPA W/ ACCESORIES					 3	4		roll.	SPEAKER WIRE					 4	2		pcs.	CAMERA					 5	2		roll.	CCTV WIRE					 6	1		pc.	AVR					 7	1		pc.	DVR 16 CHANNEL</t>
  </si>
  <si>
    <t xml:space="preserve"> Republic of the Philippines DEPARTMENT OF PUBLIC WORKS AND HIGHWAYS SULTAN KUDARAT 1ST DISTRICT ENGINEERING OFFICE REGIONAL OFFICE XII Isulan, Sultan K INVITATION TO BID The Department of Public Works and Highways, Sultan Kudarat 1st District Engineering </t>
  </si>
  <si>
    <t xml:space="preserve"> MALE ( 25-50 YEARS OLD) PHYSICALLY AND MENTALLY FIT MUST BE RESIDING NEAR  THE WORK STATION preferably with experience</t>
  </si>
  <si>
    <t xml:space="preserve"> Project No.: QRF2020-B1-NS-REPAIR-L9 The Department of Education (DepED) Division of Northern Samar, through the 2020 Government Appropriations Act (GAA), intends to apply the sum of Two Million Seven Hundred Sixty-Seven Thousand Five Hundred Eight Pesos </t>
  </si>
  <si>
    <t xml:space="preserve"> Republic of the Philippines WESTERN PHILIPPINES UNIVERSITY          A STRONG PARTNER FOR SUSTAINABLE DEVELOPMENT BIDS AND AWARDS COMMITTEE Invitation to Bid for Supply and Delivery of Customized Polo Shirt and Sling Bag  The Western Philippines University</t>
  </si>
  <si>
    <t xml:space="preserve"> The National Irrigation Administration-Regional Office XII, through the GAA Fund CY2019 intends to apply the sum of EIGHT MILLION PESOS (P 8,000,000.00) being the Approved Budget for the Contract (ABC) to payments under the contract for NIA12-R.O.-GOODS-2</t>
  </si>
  <si>
    <t xml:space="preserve"> Contract ID:	20DL0203 Contract Name:	REPAIR/MAINTENANCE OF FLOOD CONTROL &amp; DRAINAGE STRUCTURES ALONG BAYOD BRIDGE, TALABA-SUMMIT-PANAON ROAD, KM.180+728, ATIMONAN, QUEZON 	 Contract Location:	ATIMONAN, QUEZON Brief Description:		REPAIR/MAINTENANCE OF FLOO</t>
  </si>
  <si>
    <t xml:space="preserve"> Contract ID:	20DL0207 Contract Name:	CONSTRUCTION/REHABILITATION OF WATER SUPPLY/SEPTAGE AND SEWERAGE/RAIN WATER COLLECTORS - RAIN WATER COLLECTORS IN PUBLIC FACILITIES - REGION IV-A  A. COMETA ELEMENTARY SCHOOL, BRGY. COMETA, QUEZON, QUEZON B. GUMUBAT EL</t>
  </si>
  <si>
    <t xml:space="preserve"> INVITATION TO BID  SUPPLY AND DELIVERY OF IT EQUIPMENT  UNDER PB 20-02-15A (FOR BRANCH STATION) 1.	The Philippine Rice Research Institute, through the 2020 Capital Outlay Fund Budget intends to apply the sum of THREE MILLION SIX HUNDRED EIGHTY THOUSAND PE</t>
  </si>
  <si>
    <t xml:space="preserve"> Contract ID:	20DL0206 Contract Name:	71X-SPECIAL MAINTENANCE H. PLACING NEW TRAFFIC SIGNS ALONG DAANG MAHARLIKA, K0159+000 - K0181+000 Contract Location:	ATIMONAN, QUEZON Brief Description:		PLACING NEW TRAFFIC SIGNS Approved Budget for the Contract (ABC)</t>
  </si>
  <si>
    <t xml:space="preserve"> Republic of the Philippines DEPARTMENT OF PUBLIC WORKS AND HIGHWAYS LAGUNA I  DISTRICT ENGINEERING OFFICE REGIONAL OFFICE NO. IV-A Santa Cruz, Laguna 									June 8, 2020 NOTICE OF PROCUREMENT THROUGH ALTERNATIVE METHOD 	Notice is given that the DPWH-Lag</t>
  </si>
  <si>
    <t xml:space="preserve"> Project No.: QRF2020-B1-NS-REPAIR-L10 The Department of Education (DepED) Division of Northern Samar, through the 2020 Government Appropriations Act (GAA), intends to apply the sum of Two Million Ninety-Three Thousand Ninety-Six Pesos and 36/100 Centavos </t>
  </si>
  <si>
    <t xml:space="preserve"> Office Supplies Consumables</t>
  </si>
  <si>
    <t xml:space="preserve"> Contract Reference Number: ITB#2020-038; PR# 2020-02-0506 Name of the Contract: DRAINAGE IMPROVEMENT (RIPRAP), GEGONCILLO VILLAGE, BRGY. BALINTAWAK (STRAIGHT CONTRACT LABOR &amp; MATERIALS) Location of the Contract: ESCALANTE GOVERNMENT CENTER Standard Form N</t>
  </si>
  <si>
    <t xml:space="preserve"> Project No.: QRF2020-B1-NS-REPAIR-L12 The Department of Education (DepED) Division of Northern Samar, through the 2020 Government Appropriations Act (GAA), intends to apply the sum of Two Million Three Hundred Thirty-Five Thousand Eight Hundred Fifty-Nine</t>
  </si>
  <si>
    <t xml:space="preserve"> Contract ID:	20DL0205 Contract Name:	A)	REPAIR/MAINTENANCE OF DILG BUILDING, PNP – STORAGE ROOM/BARRACKS BUILDING, GUMACA, QUEZON 	 B)	REPAIR/MAINTENANCE OF DPWH BUILDING, DPWH SUB OFFICE (FIELD ENGR. OFFICE), BRGY. LAGYO, GUMACA, QUEZON C)	REPAIR/MAINTEN</t>
  </si>
  <si>
    <t xml:space="preserve"> BIDS AND AWARDS COMMITTEE: Item #	 Qty	   Unit	                   Item Description	  Unit Cost	      Total Cost 0001	60	sacks	Rice		 			x-x-x-x Nothing Follows x-x-x-x		 ROY D. CARALDE                            WINNY C. WAYCO, CE, EnP	                   </t>
  </si>
  <si>
    <t xml:space="preserve"> Item	Quantity	Unit	Description 1	6	pcs.	LED 2	1	pcs.	360 CAMERA  3	2	pcs.	MONITOR 4	3	roll.	CCTV WIRE 5	2	pcs.	AVR  6	10	pcs.	POWER SUPPLY (ADAPTOR) 7	5	pcs.	CCTV CAMERA</t>
  </si>
  <si>
    <t xml:space="preserve"> YMCKT COLOR RIBBON 500 PRINTS</t>
  </si>
  <si>
    <t xml:space="preserve"> Republic of the Philippines Office of the Municipal mayor BIDS AND AWARDS COMMITTEE Pasuquin, Ilocos Norte INVITATION TO BID FOR  Purchase of Insecticide  1.	The LGU-PASUQUIN, through the VIRGINIA TOBACCO EXCISE TAXES R.A. 7171        (FY 2016)  intends t</t>
  </si>
  <si>
    <t xml:space="preserve"> Project No.: QRF2020-B1-NS-REPAIR-L11 The Department of Education (DepED) Division of Northern Samar, through the 2020 Government Appropriations Act (GAA), intends to apply the sum of One Million Seven Hundred Fifty-Four Thousand Eight Hundred Nineteen Pe</t>
  </si>
  <si>
    <t xml:space="preserve"> Project No.: QRF2020-B1-NS-REPAIR-L15 The Department of Education (DepED) Division of Northern Samar, through the 2020 Government Appropriations Act (GAA), intends to apply the sum of One Million Two Hundred Fifty Nine Thousand Two Hundred Ninety Three Pe</t>
  </si>
  <si>
    <t xml:space="preserve"> BIDS AND AWARDS COMMITTEE: Item #	 Qty	   Unit	                   Item Description	  Unit Cost	      Total Cost 0001	60	gals	Latex Paint		 0002	10	gals	Floor Paint/Power Floor		 0003	11	shts	3/4 x 4 x 8		 0004	2	kgs	1 1/2 Fishing Nails		 0005	1	ltr	Stikwe</t>
  </si>
  <si>
    <t xml:space="preserve"> Project No.: QRF2020-B1-NS-REPAIR-L13 The Department of Education (DepED) Division of Northern Samar, through the 2020 Government Appropriations Act (GAA), intends to apply the sum of One Million Two Hundred Thirty Eight Thousand Three Hundred Twenty Nine</t>
  </si>
  <si>
    <t xml:space="preserve"> REQUEST FOR EXPRESSION OF INTEREST FOR THE Procurement of Consultancy Services for the “Implementation of the 2020 PhilHealth Client Awareness and Satisfaction Survey” 1.	The Philippine Council for Health Research and Development (PCHRD), through the 2019</t>
  </si>
  <si>
    <t xml:space="preserve"> Republic of the Philippines Office of the Municipal mayor BIDS AND AWARDS COMMITTEE Pasuquin, Ilocos Norte INVITATION TO BID FOR  Purchase of Fertilizer  1.	The LGU-PASUQUIN, through the VIRGINIA TOBACCO EXCISE TAXES R.A. 7171        (FY 2016)  intends to</t>
  </si>
  <si>
    <t xml:space="preserve"> Project No.: QRF2020-B1-NS-REPAIR-L14 The Department of Education (DepED) Division of Northern Samar, through the 2020 Government Appropriations Act (GAA), intends to apply the sum of One Million Eight Hundred Twenty-Eight Thousand Eight Hundred Fifty-Fou</t>
  </si>
  <si>
    <t xml:space="preserve"> INVITATION TO BID FOR  Procurement of Information and Communication Technology Equipment  1.	The Local Government Unit  of Don Victoriano,  Don Victoriano, Misamis  Occidental through the  Bids and Awards Committee BAC intends to apply the sum of   Five H</t>
  </si>
  <si>
    <t xml:space="preserve"> •Repair and Rehabilitation of School Building [Marcos Pimentel ES, Labo (5)] - ₱ 1,564,875.35 •Construction of Concrete Slab on Covered Court and Improvement of School Fence (F. Baldovino ES, Daet) - ₱ 456,176.41 Please download the attached bidding docum</t>
  </si>
  <si>
    <t xml:space="preserve"> INVITATION TO BID FOR Purchase of Various Office Supplies for LGU of San Jose (2nd Quarter) 1.	The Municipality of San Jose, through the 2020 Annual Budget (General Fund) under the Office Supplies Expenses of the Local Government Unit of San Jose   intend</t>
  </si>
  <si>
    <t xml:space="preserve"> Republic of the Philippines Office of the Municipal mayor BIDS AND AWARDS COMMITTEE Pasuquin, Ilocos Norte INVITATION TO BID FOR  Purchase of Disaster Paraphernalia’s, Equipment and Uniforms 1.	The LGU-PASUQUIN, through the CALAMITY FUND CY2020, intends t</t>
  </si>
  <si>
    <t xml:space="preserve"> Project No.: QRF2020-B1-NS-REPAIR-L16 The Department of Education (DepED) Division of Northern Samar, through the 2020 Government Appropriations Act (GAA), intends to apply the sum of One Million Five Hundred Twenty Three Thousand One Hundred Eighty Six P</t>
  </si>
  <si>
    <t xml:space="preserve"> Please download the attached bidding document for more info about the project. For further information, please refer to: Mrs. Maria Flora T. Pandes or Mrs. Herbie B. De Lemios Department of Education-Division of Camarines Norte F. Pimentel Avenue, Baranga</t>
  </si>
  <si>
    <t xml:space="preserve"> ITEM NO.	UNIT		QTY		DESCRIPTION		 							 					PHILHEALTH PCB		 							 1	 pcs 		14		 BP Apparatus 		 							 2	 pcs 		7		 Treatment/Medicine Cart 		 							 3	 tank 		9		 Oxygen refill 50lbs 		 							 							 4	 unit 		1		 Steam Sterilzer Autoclave, 16.</t>
  </si>
  <si>
    <t xml:space="preserve"> ITEM NO.	UNIT		QTY		DESCRIPTION		 							 1	 serve 		250		Snacks Set A (sandwich &amp; water)		 2	 serve 		500		 Snacks Set B (sandwich, noodles &amp; water) 		 3	 serve 		300		 Meals Set A (rice, meat, water) 		 4	 serve 		250		 Meals Set B (meat, veg., fruits &amp;</t>
  </si>
  <si>
    <t xml:space="preserve"> Project No.: QRF2020-B1-NS-REPAIR-L19 The Department of Education (DepED) Division of Northern Samar, through the 2020 Government Appropriations Act (GAA), intends to apply the sum of One Million Eight Hundred Forty Thousand Six Hundred Fifty Pesos and 82</t>
  </si>
  <si>
    <t xml:space="preserve"> The Metro Kalibo Water District, through the Bids and Awards Committee (BAC), will undertake Negotiated Procurement (Small Value Procurement) for the SUPPLY AND DELIVERY OF VARIOUS WATER SERVICE CONNECTION MATERIALS FOR INTERCONNECTION AND ACTIVATION OF B</t>
  </si>
  <si>
    <t xml:space="preserve"> ITEM NO.	UNIT		QTY		DESCRIPTION		 							 					PHILHEALTH PCB		 					 CAPITAL OUTLAY 		 1	 unit 		1		 Television 65 inch KD-65X7007E 		 					 TYPE:  		 					 TV type: LCD 		 					 Screen size: 65 inches 		 					 Resolution: 3840 x 2160 		 					 SPECS: 		 </t>
  </si>
  <si>
    <t xml:space="preserve"> Project No.: QRF2020-B1-NS-REPAIR-L18 The Department of Education (DepED) Division of Northern Samar, through the 2020 Government Appropriations Act (GAA), intends to apply the sum of One Million Twenty Thousand Seven Hundred Seventy Three Pesos and 28/10</t>
  </si>
  <si>
    <t xml:space="preserve"> PROCUREMENT OF THE FOLLOWING SERVICES: MOTORCYCLE: FRAME WITH BACKBONE FRONT TIRE 3.00 x 17 IGNITION TYPE DC-CDI ENGINE TYPE 4 STROKE, SINGLE OVERHEAD CAMSHAFT, BORE x STROKE 1 CYLINDER, DISPLACEMENT 176.6 cc, FRONT SUSPENSION TELESCOPIC FORK FUEL CAPACIT</t>
  </si>
  <si>
    <t xml:space="preserve"> Project No.: QRF2020-B1-NS-REPAIR-L17 The Department of Education (DepED) Division of Northern Samar, through the 2020 Government Appropriations Act (GAA), intends to apply the sum of Three Million Three Hundred Fifty Four Thousand Eighty Nine Pesos and 7</t>
  </si>
  <si>
    <t xml:space="preserve"> Location of Project: Alawihao National High School, Alawihao, Daet, Camarines Norte Please download the attached bidding document for more info about the project. For further information, please refer to: Mrs. Maria Flora T. Pandes or Mrs. Herbie B. De Le</t>
  </si>
  <si>
    <t xml:space="preserve"> The DPWH Nueva Ecija 1st DEO, through its Bids and Awards Committee (BAC), invites contractors to submit bids for the following contract:			 				 	20CE0209: Construction of Multi-Purpose Building, Brgy. Abar 1st, City of San Jose, Nueva Ecija			 				 				</t>
  </si>
  <si>
    <t xml:space="preserve"> Project No.: QRF2020-B1-NS-REPAIR-L23 The Department of Education (DepED) Division of Northern Samar, through the 2020 Government Appropriations Act (GAA), intends to apply the sum of One Million Seven Hundred Twenty Nine Thousand Nine Hundred Sixty Five </t>
  </si>
  <si>
    <t xml:space="preserve"> Concreting of deckslab.laying of stone masonry at both sides of culvert approach and graveling of road.</t>
  </si>
  <si>
    <t xml:space="preserve"> Republic of the Philippines Province of Iloilo MUNICIPALITY OF BINGAWAN Office of the Bids and Awards Committee INVITATION TO BID PURCHASE OF MATERIALS FOR THE CONSTRUCTION/REHABILITATION OF EVACUATION CENTER Name of Project The Local Government Unit of B</t>
  </si>
  <si>
    <t xml:space="preserve"> Project No.: QRF2020-B1-NS-REPAIR-L21 The Department of Education (DepED) Division of Northern Samar, through the 2020 Government Appropriations Act (GAA), intends to apply the sum of One Million Eight Hundred Sixty-Eight Thousand Ninety-Six Pesos and 49/</t>
  </si>
  <si>
    <t xml:space="preserve"> Project No.: QRF2020-B1-NS-REPAIR-L25 The Department of Education (DepED) Division of Northern Samar, through the 2020 Government Appropriations Act (GAA), intends to apply the sum of One Million Eight Hundred Ninety Three Thousand Nine Hundred Thirty Nin</t>
  </si>
  <si>
    <t xml:space="preserve"> Project No.: QRF2020-B1-NS-REPAIR-L20 The Department of Education (DepED) Division of Northern Samar, through the 2020 Government Appropriations Act (GAA), intends to apply the sum of One Million Seven Hundred Forty Four Thousand Seven Hundred Thirty Two </t>
  </si>
  <si>
    <t xml:space="preserve"> Package of Office Equipment 2	Sets	Computer with Printer 10	Pcs	CCTV Camera 7	Roll	UTP Wire 2	Unit	DVR 16 Channel 2	Pcs	Connector</t>
  </si>
  <si>
    <t xml:space="preserve"> Contract Name: 20GKF0031-Purchase of Materials for Regravelling of Shoulders along Linamon-Zamboanga Road K1570+000-K1573+000. Contract Location: Lanao del Norte Brief Description of Goods to be Procured: Aggregate Base Course = 414 cu.m. Approved Budget </t>
  </si>
  <si>
    <t xml:space="preserve"> Contract Name: 20GKF0030-Purchase of Various Office Supply for use in DPWH-Lanao del Norte 2nd DEO Contract Location: Iligan City Brief Description of Goods to be Procured: various office supplies (see attached RFQ/specification) Approved Budget for the C</t>
  </si>
  <si>
    <t xml:space="preserve"> B.9	Mobilization/Demobilization	1	lot	15,853.95 103(1)	Structure Excavation	51	cu.m.	14,790.00 511	Gabions	102	cu.m.	417,853.20 SPL 	Project Billboard	lot	All	1,502.85 	Equipment Needed: (Minimum) Dumptruck (10cu.m.)		1 unit Backhoe (0.80cu.m.)		1 unit Ca</t>
  </si>
  <si>
    <t xml:space="preserve"> Concreting of 43.00 In.m., 0.15m thick, 4.00m width roadway Brgy Road</t>
  </si>
  <si>
    <t xml:space="preserve"> Contract Name: 20GKF0029-Purchase of Various Janitorial Office Supply for use in DPWH-Lanao del Norte 2nd DEO Contract Location: Iligan City Brief Description of Goods to be Procured: various cleaning reagents and accessories (see attached RFQ/specificati</t>
  </si>
  <si>
    <t xml:space="preserve"> 103(1)a	Structure Excavation	18	cu.m.	7,308.00 900(1)	Structural Concrete	13.60	cu.m.	95,798.40 902(1)	Reinforcing Steel	148.00	kgs	10,360.00 1047(2)a	Structural Steel	1	lot	385,033.60 SPL 	Project Billboard	lot	All	1,500.00 	Equipment Needed: (Minimum) W</t>
  </si>
  <si>
    <t xml:space="preserve"> Project No.: QRF2020-B1-NS-REPAIR-L24 The Department of Education (DepED) Division of Northern Samar, through the 2020 Government Appropriations Act (GAA), intends to apply the sum of One Million Four Hundred Five Thousand Two Hundred Sixty One Pesos and </t>
  </si>
  <si>
    <t xml:space="preserve"> 803(1)a	Structure Excavation (Common Soil)	20	cu.m.	10,740.00 804(1)a	Embarkment from Excavation	40	cu.m.	9,200.00 900(1)	Structural Concrete	19	cu.m.	133,380.00 902(1)	Reinforcing Steel	1,540.85	kgs	100,155.25 903(2)	Form works and False Works	30	sq.m.	2</t>
  </si>
  <si>
    <t xml:space="preserve"> Supply of materials &amp; rental of concrete mixer for the Concreting of Barangay road</t>
  </si>
  <si>
    <t xml:space="preserve"> Contract Name: 20GKF0033-Purchase of Materials for Regravelling of Road Shoulders along Tubod-Ganassi Road K1590+000-K1595+000. Contract Location: Lanao del Norte Brief Description of Goods to be Procured: Aggregate Base Course = 333 cu.m. Approved Budget</t>
  </si>
  <si>
    <t xml:space="preserve"> Supply of materials for the Construction of Lined Canal</t>
  </si>
  <si>
    <t xml:space="preserve"> Contract Name: 20GKF0035-Purchase of Materials for Regravelling of Road Shoulders along Tubod-Ganassi Road K1600+000-K1605+000. Contract Location: Lanao del Norte Brief Description of Goods to be Procured: Aggregate Base Course = 333 cu.m. Approved Budget</t>
  </si>
  <si>
    <t xml:space="preserve"> Contract Name: 20GKF0032- Purchase of Materials for Regravelling of Shoulders along Linamon-Zamboanga Road K1561+000-K1564+000. Contract Location: Lanao del Norte Brief Description of Goods to be Procured: Aggregate Base Course = 414 cu.m. Approved Budget</t>
  </si>
  <si>
    <t xml:space="preserve"> Project No.: QRF2020-B1-NS-REPAIR-L22 The Department of Education (DepED) Division of Northern Samar, through the 2020 Government Appropriations Act (GAA), intends to apply the sum of One Million Two Hundred Twelve Thousand One Hundred Ninty Three Pesos a</t>
  </si>
  <si>
    <t xml:space="preserve"> OFFICE OF THE BIDS AND AWARDS COMMITTEE INVITATION TO BID NO. 90-20 Name of Project: Procurement of Hardware Materials used for Road Concreting of Brgy. Street @ Brgy. San Roque, Socorro, SDN Source of Funds: 20% Development Fund The Municipality of Socor</t>
  </si>
  <si>
    <t xml:space="preserve"> Contract Name: 20GKF0034-Purchase of Materials for Regravelling of RoadShoulders along LDNICR (Magsaysay-Tubod Section) K1588+000- K1591+600. Contract Location: Lanao del Norte Brief Description of Goods to be Procured: Aggregate Base Course = 368 cu.m. A</t>
  </si>
  <si>
    <t xml:space="preserve"> MUNICIPALITY OF HINABANGAN Hinabangan, Samar Invitation to Bid for  Improvement of Water System Transmission Line  (Diversion Road) 1.	The Municipal Government of Hinabangan, through the 20% Development Fund CY 2020 intends to apply the sum of ONE MILLION</t>
  </si>
  <si>
    <t xml:space="preserve"> Contract Name: 20GKF0040-Purchase of Materials for Regravelling of Shoulders along Linamon-Zamboanga Road K1576+000-K1579+000. Contract Location: Lanao del Norte Brief Description of Goods to be Procured: Aggregate Base Course = 414 cu.m. Approved Budget </t>
  </si>
  <si>
    <t xml:space="preserve"> Contract Name: 20GKF0039-Purchase of Materials for Regravelling of Road Shoulders along Tubod-Ganassi Road K1605+000-K1610+000. Contract Location: Lanao del Norte Brief Description of Goods to be Procured: Aggregate Base Course = 333 cu.m. Approved Budget</t>
  </si>
  <si>
    <t xml:space="preserve"> MUNICIPALITY OF HINABANGAN Hinabangan, Samar Invitation to Bid for  Repair &amp; Maintenance of Conduit Pipelines 1.	The Municipal Government of Hinabangan, through the MOOE CY 2020 (Mayor’s Office) intends to apply the sum of SIX HUNDRED THIRTY ONE THOUSAND </t>
  </si>
  <si>
    <t xml:space="preserve"> 801	Removal &amp; Relocation of Structures (63mmØ HDPE Pipes	720	ln.m.	47,520.00 803(1)	Structure Excavation (Common Soil)	108	cu.m.	48,168.00 804(1)	Embankment From Structure Excavation	108	cu.m.	24,084.00 900(1)	Structural Concrete, Class “A”	1.75	cu.m.	11,</t>
  </si>
  <si>
    <t xml:space="preserve"> Contract Name: 20GKF0038-Purchase of Materials for Regravelling of Road Shoulders along Tubod-Ganassi Road K1605+000-K1610+000. Contract Location: Lanao del Norte Brief Description of Goods to be Procured: Aggregate Base Course = 333 cu.m. Approved Budget</t>
  </si>
  <si>
    <t xml:space="preserve"> Contract Name: 20GKF0037-Purchase of Materials for Regravelling of Shoulders along Linamon-Zamboanga Road K1585+000-K1588+000. Contract Location: Lanao del Norte Brief Description of Goods to be Procured: Aggregate Base Course = 414 cu.m. Approved Budget </t>
  </si>
  <si>
    <t xml:space="preserve"> Cement, Portland	840	bags Sand, S &amp; W	50	cu.m. Gravel, 3/4" - 1"	100	cu.m. 16Ø x 6.0 RSB, Deformed	30	pcs. 25pcs. 2" x 6" x 12' Coco Lumber	300	BF 8pcs. 2" x 2" x 12' Coco Lumber	32	BF 1pc. 3" x 4" x 10' Apitong	10	BF 1/4" x 2" x 8' Flat Moulding	2	pcs. 3</t>
  </si>
  <si>
    <t xml:space="preserve"> Supply and Delivery of Customized Gift Certificates for DTI Pangkabuhayan sa Pagbangon at Ginhawa (DTI-PBG) 1.	The Department of Trade and Industry Region IV-A, through the General Appropriations Act intends to apply the sum of  Twelve Million Four Hundre</t>
  </si>
  <si>
    <t xml:space="preserve"> OFFICE OF THE BIDS AND AWARDS COMMITTEE INVITATION TO BID NO. 91-20 Name of Project: Procurement of Aggregates used for Road Concreting of Brgy. Street @ Brgy. San Roque, Socorro, SDN Source of Funds: 20% Development Fund The Municipality of Socorro throu</t>
  </si>
  <si>
    <t xml:space="preserve"> 1.	The Local Government Unit (LGU) of Esperanza, through the Appropriation Ordinance No. 6, series of 2019 under the Office of the Municipal Disaster Risk Reduction and Management Council (MDRRM Office) intends to apply the sum of Three Hundred Ninety Nin</t>
  </si>
  <si>
    <t xml:space="preserve"> INVITATION TO BID PROCUREMENT OF VARIOUS MEDICAL EQUIPMENT CY 2020 PUBLIC BIDDING NO. VMC-2020-026 1.	The Valenzuela Medical Center (VMC), through the General Appropriations Act CY 2020/Income Fund intends to apply the sum of Philippine Currency: Forty Fi</t>
  </si>
  <si>
    <t xml:space="preserve"> Republic of the Philippines Province of Batangas MUNICIPALITY OF LOBO Invitation to Bid for the PURCHASE OF GENERATOR SET TO BE INSTALLED AT NEW PUBLIC MARKET, BARANGAY POBLACION, LOBO, BATANGAS Contract ID No. 3-01-001-20-076 			 1.The Municipal Governme</t>
  </si>
  <si>
    <t xml:space="preserve"> Semi-Integrated Solar Street Lamp 	35	unit (Lamp + Battery + Controller + Solar Panel)		  - Lamp : 80 Led Beads, 220 Lumens/Watts		 &gt; 3,000 Lumen, &gt; 50,000 Hrs, 6000k Color Temp.,		  - Charge Controller: MPPT, 10A Charge 		 Current, Intellegent Led Power </t>
  </si>
  <si>
    <t xml:space="preserve"> Contract Name: 20GKF0036-Purchase of Materials for Regravelling of Shoulders along Linamon-Zamboanga Road K1590+000-K1593+000. Contract Location: Lanao del Norte Brief Description of Goods to be Procured: Aggregate Base Course = 414 cu.m. Approved Budget </t>
  </si>
  <si>
    <t xml:space="preserve"> Republic of the Philippines Region XII Province of Cotabato CITY OF KIDAPAWAN BIDS AND AWARDS COMMITTEE Invitation to Bid 						  		          Date: June 09, 2020 1.	The City Government of Kidapawan, through the 20% EDF CY 2020 Appropriation Ordinance 20-0</t>
  </si>
  <si>
    <t xml:space="preserve"> Contract ID No. 20OH0148 Contract Name : Local  Program - Construction/Repair/Rehabilitation/Improvement  of  various   Infrastructure including Local Projects-Buildings and other Structures-Multi-Purpose/facilities-Construction of Various Multi-Purpose B</t>
  </si>
  <si>
    <t xml:space="preserve"> Invitation to Bid for Construction/Rehabilitation of Local Roads, Poblacion,Mogpog, Marinduque 1.	The Municipal Government of Mogpog, through the 2020Annual Investment Fundintends to apply the sum of ONE MILLION SEVEN HUNDRED SEVENTY NINE THOUSAND SIX HUN</t>
  </si>
  <si>
    <t xml:space="preserve"> 2" GRAVEL	5.67	m3 1" Gravel	0.94	m3 Portland Cement 40 kg Type I	61	Bags 3/4" Gravel	5.78	m3 Sand	7.22	m3 Ordinary Plywood (4' x 8' x 1/2") 	2	pcs 2" x 2" x 12' Cocolumber 	10	pcs Common wire nails (Assorted Size)	5	kgs 16 mmØ x 6 mtr RSB	12	pcs 12 mmØ x </t>
  </si>
  <si>
    <t xml:space="preserve"> Contract ID No. 20OH0149 Contract Name : Local Program-Local Infrastructure Program-Buildings and other Structures-  Multipurpose / Facilities - Construction of Multi-purpose Building and Facilities, Pres. Corazon C. Aquino Senior High School, Baseco Port</t>
  </si>
  <si>
    <t xml:space="preserve"> Republic of the Philippines Region XII Province of Cotabato CITY OF KIDAPAWAN BIDS AND AWARDS COMMITTEE Invitation to Bid 						  		             Date: June 9, 2020 1.	The City Government of Kidapawan, through the Trust Fund (Department of Agriculture Acco</t>
  </si>
  <si>
    <t xml:space="preserve"> For Shortlisted Consultants only.</t>
  </si>
  <si>
    <t xml:space="preserve"> Contract ID No. 20OH0102 Re-ads Contract Name :  Local Program-Local  Infrastructure  Program-Buildings  and other Structures - Multi-Purpose/Facilities-Construction of Multi-Purpose Building Villamor Air Base, Pasay City Contract Location: Pasay City	 Sc</t>
  </si>
  <si>
    <t xml:space="preserve"> Republic of the Philippines Region XII Province of Cotabato City of Kidapawan OFFICE OF THE BIDS AND AWARD COMMITTEE June 9, 2020 INVITATION TO BID FOR  SUPPLY AND DELIVERY OF WITHDRAWAL SLIP BOOKLET FOR THE CDRRMO, KIDAPAWAN CITY The CITY GOVERNMENT OF K</t>
  </si>
  <si>
    <t xml:space="preserve"> Contract ID No. 20OH0150 Contract Name :  Renovation of Planning Service Offices, DPWH Head Office, Bonifacio Drive, Port Area, Manila Contract Location: Manila City	 Scope of Work: Renovation of Office Building Source of Fund and Year: GAA 2020  Approved</t>
  </si>
  <si>
    <t xml:space="preserve"> INVITATION TO BID: BID REFERENCE NO. 2020-63 “(REPOSTING) PROCUREMENT OF NINETY (90) UNITS 7.5HP MARINE ENGINE (DIESEL) WITH COMPLETE ACCESSORIES FOR CEBU PROVINCE” The DA-Bureau of Fisheries and Aquatic Resources Region VII, through the General Appropria</t>
  </si>
  <si>
    <t xml:space="preserve"> Contract ID No. 20OH0151 Contract Name :  Proposed Construction/Rehabilitation of Water Supply/Septage and Sewerage/Rainwater                            Collector-Rainwater Collector System at: 1)	Aurora A. Quezon E/S San Andres cor. Vasquez, Malate, Mani</t>
  </si>
  <si>
    <t xml:space="preserve"> Republic of the Philippines CITY OF TACURONGAlong National Highway &amp; City S OFFICE OF THE CITY MAYOR INVITATION TO BID FOR  INSTALLATION OF SOLAR STREET LIGHTS (Contract ID No: 2020-CW-017) The City Government of Tacurong, through Locally Funded Projects </t>
  </si>
  <si>
    <t xml:space="preserve"> Republic of the Philippines Region XII Province of Cotabato CITY OF KIDAPAWAN BIDS AND AWARDS COMMITTEE Invitation to Bid 						  		             Date: June 09, 2020 1.	The City Government of Kidapawan, through the 20% EDF CY 2020 Appropriation Ordinance 2</t>
  </si>
  <si>
    <t xml:space="preserve"> Republic of the Philippines PROVINCE OF SAMAR Municipality of Pinabacdao Invitation to Bid Repair of Brgy. Botoc Health Station and Installation of Facilities Pinabacdao Samar 1. The LOCAL GOVERMENT UNIT of Pinabacdao Samar, through the FY 2020 Budget int</t>
  </si>
  <si>
    <t xml:space="preserve"> 1 unit Bottle and Glass Crusher Grinding Capacity: 500-1,000kg/hr Prime Mover: 10-14 HP Diesel Engine Horizontal Blades: Approx. 26 pcs, high impact steel blades Rotor Diameter: 215mm Hopper Dimension: Approx. 22" x 18" Perforation Screen Size: Approx. 5/</t>
  </si>
  <si>
    <t xml:space="preserve"> ATTACHED</t>
  </si>
  <si>
    <t xml:space="preserve"> INVITATION TO BID: BID REFERENCE NO. 2020-64 “(REPOSTING) PROCUREMENT OF TEN (10) UNITS 20HP MARINE ENGINE (DIESEL) WITH COMPLETE ACCESSORIES FOR CEBU PROVINCE” The DA-Bureau of Fisheries and Aquatic Resources Region VII, through the General Appropriation</t>
  </si>
  <si>
    <t xml:space="preserve"> Republic of the Philippines Region XII Province of Cotabato BIDS AND AWARDS COMMITTEE Amas, Kidapawan City INVITATION TO BID FOR Supply of Diesel Fuel for the use of various activities and official vehicles of the Office of the Vice Governor and Sanggunia</t>
  </si>
  <si>
    <t xml:space="preserve"> INVITATION TO BID BID REFERENCE NO. 2020-67 “(REPOSTING) PROCUREMENT OF VARIOUS MATERIALS FOR FABRICATION OF 8 UNITS (22FT) MOTORIZED FRP BOAT UNDER SAAD 2020 FOR COASTAL MUNICIPALITY OF BOHOL” The DA-Bureau of Fisheries and Aquatic Resources Region VII, </t>
  </si>
  <si>
    <t xml:space="preserve"> Procurement of Mental Drugs Lot 5</t>
  </si>
  <si>
    <t xml:space="preserve"> INVITATION TO BID: BID REFERENCE NO. 2020-65 “(REPOSTING) PROCUREMENT OF EIGHT (8) UNITS 7HP MARINE ENGINE (GASOLINE FED) WITH COMPLETE ACCESSORIES UNDER SAAD 2020 FOR COASTAL MUNICIPALITY OF BOHOL” The DA-Bureau of Fisheries and Aquatic Resources Region </t>
  </si>
  <si>
    <t xml:space="preserve"> The Local  Government   Unit  of General  Santos  City, through  the  GENERAL FUND CY 2020  intends  to apply  the sum of one million one hundred seventy two thousand five hundred and xx / 100 Pesos Only (1,172,500.00)   being  the Approved  Budget  for t</t>
  </si>
  <si>
    <t xml:space="preserve"> Procurement of Mental Drugs Lot 2</t>
  </si>
  <si>
    <t xml:space="preserve"> Supply and delivery of various construction materials for Various Projects LOT 5</t>
  </si>
  <si>
    <t xml:space="preserve"> Contract ID: 			200003	 Contract Name: 	Purchase of One  (1) Unit  Heavy Equipment  for use at DPWH-Bataan 1st   District Engineering Office  (DEO) Contract Location: 		Orani,Bataan                  Approved Budget for the Contract (ABC):  Php 6,800,000.0</t>
  </si>
  <si>
    <t xml:space="preserve"> Procurement of Mental Drugs Lot 1</t>
  </si>
  <si>
    <t xml:space="preserve"> Republic of the Philippines Province of Cebu Municipality of Cordova BIDS AND AWARDS COMMITTEE (BAC) (032-236-6171) INVITATION TO BID  The Municipality of Cordova, through its Bids and Awards Committee (BAC) intends to apply  the sum of Eighty Million Sev</t>
  </si>
  <si>
    <t xml:space="preserve"> Procurement of Mental Drugs Lot 3</t>
  </si>
  <si>
    <t xml:space="preserve"> Procurement of Mental Drugs Lot 4</t>
  </si>
  <si>
    <t xml:space="preserve"> Procurement of Mental Drugs Lot 6</t>
  </si>
  <si>
    <t xml:space="preserve"> Diesel Fuel etc. NOTE:To all suppliers bid documents and BAC Resolution 2020-029 are available at  BAC Office and LGU website.</t>
  </si>
  <si>
    <t xml:space="preserve"> 20F00124 - Maintenance, Repair and Rehabilitation of Infrastructure Facilities and Other Related Activities – Maintenance Repair and Rehabilitation of Infrastructure Facilities – Flood Control and Drainage Systems Structures and Related Facilities: Repair</t>
  </si>
  <si>
    <t xml:space="preserve"> The Local  Government   Unit  of General  Santos  City, through  the  DEPED SEF CY 2020  intends  to apply  the sum of two million eight hundred thousand and xx / 100 Pesos Only (2,800,000.00)   being  the Approved  Budget  for the Contract   (ABC) to pay</t>
  </si>
  <si>
    <t xml:space="preserve"> The Local  Government   Unit  of General  Santos  City, through  the  DEPED SEF CY 2020  intends  to apply  the sum of two million four hundred twenty nine thousand eight hundred ninety six and xx / 100 Pesos Only (2,429,896.00)   being  the Approved  Bud</t>
  </si>
  <si>
    <t xml:space="preserve"> The Local  Government   Unit  of General  Santos  City, through  the  GENERAL FUND CY 2020  intends  to apply  the sum of one million five hundred eighty thousand and xx / 100 Pesos Only (1,580,000.00)   being  the Approved  Budget  for the Contract   (AB</t>
  </si>
  <si>
    <t xml:space="preserve"> INVITATION TO BID: BID REFERENCE NO. 2020-68 “(REPOSTING) PROCUREMENT OF TWO (2) UNITS MULTI-PURPOSE VEHICLE” The DA-Bureau of Fisheries and Aquatic Resources Region VII, through the General Appropriations Act (GAA) FY 2020 intends to apply the sum of TWO</t>
  </si>
  <si>
    <t xml:space="preserve"> Procurement of Mental Drugs Lot 7</t>
  </si>
  <si>
    <t xml:space="preserve"> REQUEST FOR QUOTATION      	Please quote your lowest price on the project listed below, subject to the Terms of Reference hereto attached.  Submit your quotation duly signed by your representative not later than 10:00 a.m. on 24 June 2020 to this address:</t>
  </si>
  <si>
    <t xml:space="preserve"> INVITATION TO BID: BID REFERENCE NO. 2020-66 “(REPOSTING) PROCUREMENT OF FIFTEEN (15) UNITS 7HP MARINE ENGINE (GASOLINE FED) WITH COMPLETE ACCESSORIES UNDER TARGET 2020 FOR COASTAL MUNICIPALITY OF BOHOL” The DA-Bureau of Fisheries and Aquatic Resources Re</t>
  </si>
  <si>
    <t xml:space="preserve"> Supply and Installation of Additional 3-units Air Conditioning Units at Construction Division DPWH RO-V, (PR No. 20-02-038 dated 2/19/2020), DPWH Regional Office No. V, Rawis, Legazpi City</t>
  </si>
  <si>
    <t xml:space="preserve"> Republic of the Philippines Province of Cebu Municipality of Cordova BIDS AND AWARDS COMMITTEE (BAC) (032-236-6171) INVITATION TO BID  The Municipality of Cordova, through its Bids and Awards Committee (BAC) intends to apply  the sum of One Hundred Sixty-</t>
  </si>
  <si>
    <t xml:space="preserve"> B.5 PROJECT BILLBOARD/SIGNBOARD 1 EACH 101(3)B3 REMOVAL OF ACTUAL STRUCTURES/OBSTRUCTIONS 1,200.20 SQ.M 103(1) STRUCTURE EXCAVATION 17.64 CU.M 300(1) AGGREGATE SURFACE COURSE(UNCRUSHED) 188.60 CU.M 311(1)A PORTLAND CEMENT CONCRETE PAVEMENT 1,109.40 CU.M</t>
  </si>
  <si>
    <t xml:space="preserve"> B.5 PROJECT BILLBOARD/SIGN BOARD 1 EACH 803(1)A EXCAVATION 132 CU.M 900(1)A2 STRUCTURAL CONCRETE *WALL FOOTING 15.50 CU.M 900(1)B2 STRUCTURAL CONCRETE *SLAB ON FILL 57.60 CU.M 1046(2)A CHB NON LOAD BEARING (*INCLUDING REINFORCING STEEL) 668 SQ.M 1027(1) C</t>
  </si>
  <si>
    <t xml:space="preserve"> Republic of the Philippines Region XII Province of Cotabato CITY OF KIDAPAWAN BIDS AND AWARDS COMMITTEE Invitation to Bid 						  		             Date: June 09, 2020 1.	The City Government of Kidapawan, through the Local Disaster Risk Reduction Management </t>
  </si>
  <si>
    <t xml:space="preserve"> The Local  Government   Unit  of General  Santos  City, through  the  GENERAL FUND CY 2020  intends  to apply  the sum of four million six hundred eighty thousand seven hundred and xx / 100 Pesos Only (4,680,700.00)   being  the Approved  Budget  for the </t>
  </si>
  <si>
    <t xml:space="preserve"> Republic of the Philippines						 City Government of Davao						 						 INVITATION TO BID						 for Infrastructure Projects B12-2020						 						 The City Government of Davao now invites bidders for the project/s under B12-2020 as listed below.   The pros</t>
  </si>
  <si>
    <t xml:space="preserve"> Republic of the Philippines Region XII Province of Cotabato City of Kidapawan OFFICE OF THE BIDS AND AWARD COMMITTEE June 9, 2020 INVITATION TO BID FOR  SUPPLY AND DELIVERY OF GROCERY ITEMS AND PERISHABLE GOODS FOR THE USE OF KIDAPAWAN CITY HOSPITAL The C</t>
  </si>
  <si>
    <t xml:space="preserve"> Republic of the Philippines Region XII Province of Cotabato City of Kidapawan OFFICE OF THE BIDS AND AWARD COMMITTEE June 9, 2020 INVITATION TO BID FOR  SUPPLY AND DELIVERY OF PLUMBING MATERIALS FOR THE PROPOSED INSTALLATION OF WATERLINES AT SITIO RIVERSI</t>
  </si>
  <si>
    <t xml:space="preserve"> Procurement of Space Spray (cyphenothrin 5%,BTL)</t>
  </si>
  <si>
    <t xml:space="preserve"> Republic of the Philippines PROVINCE OF MISAMIS OCCIDENTAL Municipality of Clarin ooOoo INVITATION TO APPLY FOR ELIGIBILITY AND TO BID (IAEB) The Municipal Government of Clarin, Province of Misamis Occidental, through its Bid and Award Committee (BAC) inv</t>
  </si>
  <si>
    <t xml:space="preserve"> Republic of the Philippines Bangsamoro Autonomous Region in Muslim Mindanao Provincial Government of Maguindanao BIDS AND AWARDS COMMITTEE Buluan, Maguindanao INVITATION TO BID FOR SUPPLY AND DELIVERY OF 4X4 PICK-UP 1.	The Provincial Government of Maguind</t>
  </si>
  <si>
    <t xml:space="preserve"> Name of  Project/Contract	:	CONSTRUCTION OF STANDARD DAYCARE CENTER BUILDING WITH COMPLETE FACILITIES Location				:	ALIMIT,  Kasibu, Nueva Vizcaya Brief Description			:	1. Reinforced concrete beams, columns and slabs 					2. Installation of CHB 					3. St</t>
  </si>
  <si>
    <t xml:space="preserve"> 800(1) CLEARING &amp; GRUBBING 250 SQ.M 803(1) STRUCTURE EXCAVATION 120 CU.M 505(5) GROUTED RIPRAP (CLASS A) 253.13 CU.M 900(1)B4 PLAIN AND REINFORCED CONCRETE WORKS 52.32 104(1) EMBANKMENT 48 CU.M SPL INSTALLATION OF BAILEY BRIDGE(PANEL LUMBER ACCESSORIES &amp; </t>
  </si>
  <si>
    <t xml:space="preserve"> INVITATION TO BID GS 2020-006-020              FABRICATION AND SUPPLY OF FIBER GLASS MOTORIZED MOTORBOAT AND NON-MOTORIZED MOTORBOAT(SIBID-SIBID) 1.	The City Government of Sorsogon, through the Tanging Program under the 10 Pts. Agenda Other Purpose Funds </t>
  </si>
  <si>
    <t xml:space="preserve"> Item I	-92.16 sq.m. Ceiling works Item II	-65 l.m. Fencing works Item III	-101.71 sq.m. Tileworks Item IV	-16.46 sq.m. Glassworks Item V	-736.47 sq.m. Paintworks Item VI	-130.35 l.m. Installation of Fascia board Item VII	-6 units Installation of Doors Ite</t>
  </si>
  <si>
    <t xml:space="preserve"> Republic of the Philippines Region XII Province of Cotabato CITY OF KIDAPAWAN BIDS AND AWARDS COMMITTEE Invitation to Bid 						  		            Date: June 09, 2020 1.	The City Government of Kidapawan, through the Local Disaster Risk Reduction Management F</t>
  </si>
  <si>
    <t xml:space="preserve"> this project consist of delivery of materials and construction projects</t>
  </si>
  <si>
    <t xml:space="preserve"> Supply and Delivery of Additional Global Navigation Satellite System assigned at PDD (PR No. 20-03-074 dated 3/09/2020), DPWH Regional Office No. V, Rawis, Legazpi City</t>
  </si>
  <si>
    <t xml:space="preserve"> Name of  Project/Contract	:	COMPLETION OF STANDARD BIRTHING CLINIC - ALIMIT Location				:	ALIMIT,  Kasibu, Nueva Vizcaya Brief Description			:	1. Construction of Reinforced Concrete Slabs 					2. Installation of 4” CHB 					3. 20mm thick plastering works </t>
  </si>
  <si>
    <t xml:space="preserve"> Name of  Project/Contract	:	CONCRETINGOF FMR (KAKIDUGEN-CATARAWAN) Location				:	KAKIDUGEN,  Kasibu, Nueva Vizcaya Brief Description			:	1. Excavation for Structure 					2. 0.15m x 5m x 255m aggregate base coarse 					3. Construction of 0.15m x 5.0m x 255</t>
  </si>
  <si>
    <t xml:space="preserve"> Republic of the Philippines Province of Southern Leyte MUNICIPALITY OF SAINT BERNARD BIDS AND AWARDS COMMITTEE INVITATION TO RE-BID FOR SUPPLY AND DELIVERY OF ONE (1) UNIT 6-WHEELER 4 x 4, 6 CUBIC METER DUMPTRUCK BAC-SBSL-MENRO-2020-10A 1.	The Municipalit</t>
  </si>
  <si>
    <t xml:space="preserve"> Republic of the Philippines Region XII Province of Cotabato City of Kidapawan OFFICE OF THE BIDS AND AWARD COMMITTEE June 9, 2020 INVITATION TO BID FOR  SUPPLY AND DELIVERY OF OFFICE AND JANITORIAL SUPPLIES FOR THE USE OF THE CPDC AND KIDAPAWAN CITY POLIC</t>
  </si>
  <si>
    <t xml:space="preserve"> BIDS AND AWARDS COMMITTEE  INVITATION TO BID The DEPARTMENT OF HEALTH – CENTRAL VISAYAS CENTER for HEALTH DEVELOPMENT (DOH CV CHD), through its Bids and Awards Committee (BAC), invites suppliers to bid for the hereunder projects: BAC NO. 2020 - E06 Item #</t>
  </si>
  <si>
    <t xml:space="preserve"> Name of  Project/Contract	:	IMPROVEMENT OF LOWER SISI-MANTAE-LIMAN ROAD Location				:	PUDI,  Kasibu, Nueva Vizcaya Brief Description			:	1.Excavation for Structure 					2. Aggregate base coarse 					3. Installation of 24” and 36” RCPC with Stone Masonry H</t>
  </si>
  <si>
    <t xml:space="preserve"> Name of  Project/Contract	:	IMPROVEMENT OF FMR-EDRALIN-ATAN ROAD Location				:	ANTUTOT,  Kasibu, Nueva Vizcaya Brief Description			:	1. 0.15M thick aggregate base coarse 					2. Construction of 0.15m x 5.0m x 45m PCCP and 0.15m x 445m concrete tirepath 		</t>
  </si>
  <si>
    <t xml:space="preserve"> INVITATION TO BID FOR PROCUREMENT OF DENTAL DIGITAL PANORAMIC X-RAY WITH COMPLETE ACCESORRIES AND INSTALLATION IB No. 2020-06-29 (12) 1.	The Adela Serra Ty Memorial Medical Center, through HFEP CY 2019  intends to apply the sum of Two Million Pesos Only (</t>
  </si>
  <si>
    <t xml:space="preserve"> WATER &amp; SANITATION 1 (ELEVATED FLOORING, WITH ROOFING &amp; 10 FAUCET) Item No.	Quantity	Unit	Description 			MASONRY WORKS 	36	pieces	60x60 Tiles double polish  	12	pieces	10mm Deformed steel bar 	2	pieces	Plywood 1/4 	10	pieces	Good Lumber 2x2x8 	250	pieces	</t>
  </si>
  <si>
    <t xml:space="preserve"> Construction of Multi – Purpose Pavement and delivery of construction materials</t>
  </si>
  <si>
    <t xml:space="preserve"> 2 COMFORT ROOMS &amp; KITCHEN SINK Item No.	Quantity	Unit	Description 			MASONRY WORKS 	14	pieces	60x60 Tiles double polish  	164	pieces	30x30 Wall Tiles  	40	pieces	30x30 Floor Tiles  	4	pieces	Aluminum Tile trim 	9	pieces	Plastic Tile trim 	22	pieces	10mm D</t>
  </si>
  <si>
    <t xml:space="preserve"> Important Notice for Bidders: 1. Bid documents will be available to prospective bidder upon payment of a non-refundable amount of Five Thousand Pesos Only (P 5,000.00) to the Basilan State College Cashier 2. All bidders are required to post a Bid Security</t>
  </si>
  <si>
    <t xml:space="preserve"> Concrete Paving along River Park 100LM NOTE:To all bidders bid documents and BAC Resolution 2020-029 are available at BAC Office and LGU website.</t>
  </si>
  <si>
    <t xml:space="preserve"> INVITATION TO BID SUPPLY AND DELIVERY OF DESKTOP COMPUTER AND OTHER EQUIPMENT  1.	The NATIONAL DAIRY AUTHORITY through the PL480 FUNDS intends to apply the sum of PESOS: ONE MILLION NINE HUNDRED TWENTY FIVE THOUSAND FIVE HUNDRED (P1,925,500.00) ONLY on th</t>
  </si>
  <si>
    <t xml:space="preserve"> City Government of Manila INVITATION TO BID NO. 2020-06-78 Procurement of Various Airconditioning Units and Supplies &amp; Materials for Installation 1.	The City Government of Manila, through the Philhealth Trust Fund CY 2020  intends to apply the sum of Two </t>
  </si>
  <si>
    <t xml:space="preserve"> Republic of the Philippines Province of Eastern Samar City of Borongan -0- BIDS AND AWARDS COMMITTEE ------------------------------------------------------------------------------------------ Invitation to Bid for CONSTRUCTION OF LOOM RIVER FRONT PARK AT </t>
  </si>
  <si>
    <t xml:space="preserve"> Republic of the Philippines Department of Health 	ADELA SERRA TY MEMORIAL MEDICAL CENTER	 		Capitol Hills, Tandag City, Surigao del Sur Telefax No. 086-211-4306, E-mail add: astmmc_hbac@yahoo.com.ph INVITATION TO BID FOR PROCUREMENT OF FULLY AUTOMATED DIG</t>
  </si>
  <si>
    <t xml:space="preserve"> Lot No.	Unit	Item Description/Particular	Quantity     No. of Pax	   Unit Cost	Total  Cost Lot  No. 1	pax	PSA-RSSO IX - Zamboanga City- Procurement of  Catering Services  (Lunch with AM and PM Snacks) Live-out for 6 days  in the conduct of the  4th Level  </t>
  </si>
  <si>
    <t xml:space="preserve"> City Government of Manila INVITATION TO BID NO. 2020-06-75 Procurement of Two (2) Units Bed Passenger Elevator including Installation, Testing  Commissioning, Civil Works, Dismantling and Preventive Maintenance  1.	The City Government of Manila, through t</t>
  </si>
  <si>
    <t xml:space="preserve"> Item No. | Description | Unit | Quantity SPL I | Excavation / Disposal | cu m | 2.88 SPL II | Concrete Works / Forms | cu m | 1.71 SPL III | Pole Works | pcs | 10 SPL IV | Construction Healty &amp; Safety | set | 1 Other Information Activities Schedule: 1. Is</t>
  </si>
  <si>
    <t xml:space="preserve"> PROJECT: PROCUREMENT OF 26 UNITS MOTOR CYCLE W/ SIDECAR LOCATION: RIZAL, NUEVA ECIJA DESCRIPTION: 26 UNITS MOTOR CYCLE W/ SIDECAR SOURCE OF FUND: GENERAL FUND ABC: PHP 2,000,000.00</t>
  </si>
  <si>
    <t xml:space="preserve"> City Government of Manila INVITATION TO BID NO. 2020-06-82 Procurement of Various Manila Aide Uniform, Supplies and Materials 1.	The City Government of Manila, through the General Fund CY 2020 - Other Supplies and Materials Expenses intends to apply the s</t>
  </si>
  <si>
    <t xml:space="preserve"> 1 - GONGS, Kalsa and Pinsak = 19 sets 2 - SOLIBAO, Solibao and Kimbal = 19 sets Note: made of carabao, cow or deer skin, good quality</t>
  </si>
  <si>
    <t xml:space="preserve"> Please see attached purchase request</t>
  </si>
  <si>
    <t xml:space="preserve"> City Government of Manila INVITATION TO BID  NO. 2020-06-53A Preventive Maintenance Services for Various Hospital and Medical Equipment 1.	The City Government of Manila, through the General Fund CY 2020 – Repairs and Maintenance – Machinery and Equipment </t>
  </si>
  <si>
    <t xml:space="preserve"> City Government of Manila INVITATION TO BID  NO. 2020-06-88 Procurement of Various Vehicle Spare Parts 1.	The City Government of Manila, through the General Fund CY 2020 – Other Supplies and Materials Expenses intends to apply the sum of One Million Three</t>
  </si>
  <si>
    <t xml:space="preserve"> City Government of Manila INVITATION TO BID  NO. 2020-06-63A Rental of Heavy Equipment 1.	The City Government of Manila, through the General Fund CY 2020 – Rent Expenses intends to apply the sum of Two Million Five Hundred  Thousand Pesos Only (Php2,500,0</t>
  </si>
  <si>
    <t xml:space="preserve"> City Government of Manila INVITATION TO BID  NO. 2020-06-79 Procurement of Various Electrical Supplies and Materials 1.	The City Government of Manila, through the General Fund CY 2020 – Other Supplies and Materials Expenses intends to apply the sum of Two</t>
  </si>
  <si>
    <t xml:space="preserve"> City Government of Manila INVITATION TO BID  NO. 2020-06-76 Procurement of Asphalt, Bitumul and Thermoplastic Lane Marking 1.	The City Government of Manila, through the General Fund CY 2020 – Repairs and Maintenance – Infrastructure Assets intends to appl</t>
  </si>
  <si>
    <t xml:space="preserve"> City Government of Manila INVITATION TO BID  NO. 2020-06-81 Procurement of Various Construction Supplies and Materials 1.	The City Government of Manila, through the General Fund CY 2020 – Repairs and Maintenance – Infrastructure Assets &amp; Repairs and Maint</t>
  </si>
  <si>
    <t xml:space="preserve"> City Government of Manila INVITATION TO BID  NO. 2020-06-80 Procurement of one (1) lot Molecular Laboratory Set Up 1.	The City Government of Manila, through the General Fund CY 2020 – Medical Equipment-Capital Outlay   intends to apply the sum of  Fourtee</t>
  </si>
  <si>
    <t xml:space="preserve"> Construction of Bank Protection at Abowok, Junction, Pinukpuk</t>
  </si>
  <si>
    <t xml:space="preserve"> Republic of the Philippines Cordillera Administrative Region Mountain Province MUNICIPALITY OF TADIAN OFFICE OF THE BIDS AND AWARDS COMMITTEE Invitation to Bid for   REHABILITATION OF CAGUBATAN DOMESTIC DOMESTIC WATER SYSTEM Date: June 9, 2020 1.	The Muni</t>
  </si>
  <si>
    <t xml:space="preserve"> 1.	The Local Government Unit of Tubigon, Bohol, through the budget for the contract approved by the Sangguniang Bayan (20% Development Fund) intends to apply the sum of One Million Four Hundred Sixty-One Thousand Four Hundred Ninety-Seven and 96/100 Pesos</t>
  </si>
  <si>
    <t xml:space="preserve"> The LOCAL BARANGAY GOVERNMENT UNIT of Barangay Naguiddayan, intends to apply the sum above-stated being the Approved Budget for the Contract (ABC) to payments under the contract for (Concreting &amp; Widening of Barangay Road), specified hereunder: MATERIALS </t>
  </si>
  <si>
    <t xml:space="preserve"> The LOCAL BARANGAY GOVERNMENT UNIT of Barangay V, intends to apply the sum above-stated being the Approved Budget for the Contract (ABC) to payments under the contract for Construction of Drainage Canal, specified hereunder: MATERIALS COST      -     106,</t>
  </si>
  <si>
    <t xml:space="preserve"> Road Concreting - 360 length                            2.5 width</t>
  </si>
  <si>
    <t xml:space="preserve"> Republic of the Philippines BULACAN STATE UNIVERSITY City of Malolos, Bulacan ________________________________________ INVITATION TO BID FOR   Re-Bidding Supply and Delivery of Ground Penetrating Radar (BulSU-BAC-G-2020-14) The BULACAN STATE UNIVERSITY (B</t>
  </si>
  <si>
    <t xml:space="preserve"> Republic of the Philippines MUNICIPALITY OF KAPALONG Province of Davao del Norte 	o0o	 INVITATION TO BID 	 Supply &amp; Delivery of Materials for the Repair and Maintenance of Other Transportation Equipment  1.	The Local Government Unit of Kapalong, through t</t>
  </si>
  <si>
    <t xml:space="preserve"> P H I L I P P I N E   A R M Y OFFICE OF THE PHILIPPINE ARMY SPECIAL BIDS AND AWARDS COMMITTEE Fort Andres Bonifacio, Metro Manila Invitation to Bid The Armed Forces of the Philippines, through the Philippine Army Special Bids and Awards Committee (PASBAC)</t>
  </si>
  <si>
    <t xml:space="preserve"> Request for Quotation RFQ No.		SVP-007-2020 Posting Date:         	June 9, 2020 Deadline for Submission:		June 16, 2020 at 9:00 AM Opening Date:	June 16, 2020 at 10:00 AM TO:	Name of Supplier: _______________________ 	Address: ____________________________</t>
  </si>
  <si>
    <t xml:space="preserve"> BIDS AND AWARDS COMMITTEE  FDA-BAC Ref. NO. ITB No. 2020-003-CSL INVITATION TO BIDS 1.       The Food and Drug Administration (FDA), through the FDA MOOE Fund of 2020 intends to apply the sum of Three Million Nine Hundred Thirty-Seven Thousand Two Hundred</t>
  </si>
  <si>
    <t xml:space="preserve"> PROJECT NAME: PROPOSED CONSTRUCTION OF CONCRETE PERIMETER FENCE LOCATION: KINAN-OAN ELEMENTARY SCHOOL, KINAN-OA, TRINIDAD, BOHOL OWNER'S NAME: DEP-ED - KES TOTAL LENGTH: 55 METERS PROJECT COST: 200,000</t>
  </si>
  <si>
    <t xml:space="preserve"> Republic of the Philippines DR. EMILIO B. ESPINOSA, SR. MEMORIAL STATE COLLEGE  OF AGRICULTURE AND TECHNOLOGY (Masbate State College) BIDS AND AWARDS COMMITTEE http:www.debesmscat.edu.ph INVITATION TO BID FOR THE SUPPLY, DELIVERY AND INSTALLATION OF OFFIC</t>
  </si>
  <si>
    <t xml:space="preserve"> BIDS AND AWARDS COMMITTEE  FDA-BAC Ref. No. ITB No. 2020-002-CSL INVITATION TO BIDS SUPPLY AND DELIVERY OF VARIOUS LABORATORY STANDARDS, REAGENTS AND MEDIA FOR ALABANG TESTING AND QUALITY ASSURANCE LABORATORY (ATQAL) AND CEBU TESTING AND QUALITY ASSURANCE</t>
  </si>
  <si>
    <t xml:space="preserve"> City Government of Manila INVITATION TO BID  NO. 2020-06-83 Procurement of Various Supplies and Materials 1.	The City Government of Manila, through the General Fund CY 2020 – Other Supplies and Materials Expenses  intends to apply the sum of  Five Million</t>
  </si>
  <si>
    <t xml:space="preserve"> Republic of the Philippines Province of Batanes	 MUNICIPALITY OF BASCO               		INVITATION TO BID FOR THE PROCUREMENT OF SUBMERSIBLE PUMPS WITH CAPACITOR 1.	The Municipal Local Government Unit of Basco, through the General Fund  intends to apply th</t>
  </si>
  <si>
    <t xml:space="preserve"> Republic of the Philippines MUNICIPALITY OF KAPALONG Province of Davao del Norte 	o0o	 INVITATION TO BID 	 Supply &amp; Delivery of Other Supplies 1.	The Local Government Unit of Kapalong, through the General Fund  intends to apply the sum of Three Hundred Ei</t>
  </si>
  <si>
    <t xml:space="preserve"> The Barangay Local Government of Depase, Municipality of Bayog, Zamboanga del Sur thru its Bids and Awards Committee (BAC) invites all interested bidders for the “CONSTRUCTION OF EVACUATION CENTER (PHASE III)”  with project location at Barangay Depase,  B</t>
  </si>
  <si>
    <t xml:space="preserve"> Republic of the Philippines Province of Southern Leyte Municipality of Tomas Oppus Invitation to Bid  PROCUREMENT OF MATERIALS FOR THE CONSTRUCTION OF  COMMUNITY LEARNING CENTER 1.	The Barangay Local Government Unit, Hinagtikan, Tomas Oppus, Southern Leyt</t>
  </si>
  <si>
    <t xml:space="preserve"> Republic of the Philippines DR. EMILIO B. ESPINOSA, SR. MEMORIAL STATE COLLEGE  OF AGRICULTURE AND TECHNOLOGY (Masbate State College) BIDS AND AWARDS COMMITTEE http:www.debesmscat.edu.ph INVITATION TO BID FOR THE SUPPLY AND DELIVERY OF  EQUIPMENT, SUPPLIE</t>
  </si>
  <si>
    <t xml:space="preserve"> See Phil. Bidding Documents, Bill of Quantities and Checklist hereto attached.</t>
  </si>
  <si>
    <t xml:space="preserve"> Republic of the Philippines							 DEPARTMENT OF PUBLIC WORKS AND HIGHWAYS							 CAGAYAN 2ND							 DISTRICT ENGINEERING OFFICE							 Regional Office II							 Abulug, Cagayan							 							 							 Procuring Entity:		DPWH-Cagayan 2nd DEO	P.R. No.:			20</t>
  </si>
  <si>
    <t xml:space="preserve"> Purchase of RESCUE SUPPLIES AND EQUIPMENT</t>
  </si>
  <si>
    <t xml:space="preserve"> Republic of the Philippines MUNICIPALITY OF KAPALONG Province of Davao del Norte 	o0o	 INVITATION TO BID 	 Supply &amp; Delivery of Animal/Zoological Supplies  1.	The Local Government Unit of Kapalong, through the General Fund  intends to apply the sum of Fiv</t>
  </si>
  <si>
    <t xml:space="preserve"> Republic of the Philippines CITY OF MALABON Metro Manila BIDS AND AWARDS COMMITTEE I N V I T A T I O N    T O    B I D SUPPLY AND DELIVERY OF MOBILE CARS FOR THE  PHILIPINE NATIONAL POLICE - MALABON 1.	The City Government of Malabon, through the Trust Fun</t>
  </si>
  <si>
    <t xml:space="preserve"> Republic of the Philippines MUNICIPALITY OF KAPALONG Province of Davao del Norte 	o0o	 INVITATION TO BID 	 Supply &amp; Delivery of Materials for the Fabrication of Water Tanker w/ Trailer –Brgy. Maniki, Kapalong   1.	The Local Government Unit of Kapalong, th</t>
  </si>
  <si>
    <t xml:space="preserve"> Republic of the Philippines MUNICIPALITY OF CATARMAN Province of Northern Samar 	-ooOoo- BIDS &amp; AWARDS COMMITTEE INVITATION TO BID 	The Local Government of Catarman, Northern Samar invites interested parties/contractors to Apply for Eligibility and to Bid</t>
  </si>
  <si>
    <t xml:space="preserve"> Republic of the Philippines MUNICIPALITY OF KAPALONG Province of Davao del Norte 	o0o	 INVITATION TO BID 	 Supply &amp; Delivery of Various Medicine 1.	The Local Government Unit of Kapalong, through the General Fund  intends to apply the sum of Two Hundred Tw</t>
  </si>
  <si>
    <t xml:space="preserve"> 1 LOT</t>
  </si>
  <si>
    <t xml:space="preserve"> INVITATION TO BID  PROCUREMENT OF RESCUE ROPES FOR BASIC ROPE RESCUE SKILLS                                                                                                                                              PPSC BAC IB NO.005 (G) 2020 1.	The Phi</t>
  </si>
  <si>
    <t xml:space="preserve"> 1.	The Local Government Unit of Tubigon, Bohol, through the budget for the contract approved by the Sangguniang Bayan (20% Development Fund) intends to apply the sum of One Million One Hundred Seventy-Nine Thousand Three Hundred Thirty-Five Pesos (P1,179,</t>
  </si>
  <si>
    <t xml:space="preserve"> Republic of the Philippines MUNICIPALITY OF KAPALONG Province of Davao del Norte 	o0o	 INVITATION TO BID 	 Supply &amp; Delivery of Materials for the Improvement of Water System at Prk. 2, Taguango, Brgy. Sua-on, Kapalong, Davao del Norte 1.	The Local Governm</t>
  </si>
  <si>
    <t xml:space="preserve"> Republic of the Philippines MUNICIPALITY OF KAPALONG Province of Davao del Norte 	o0o	 INVITATION TO BID 	 Supply &amp; Delivery of Materials for the Construction of Adolescent Health Center at Brgy. Maniki, Kapalong  1.	The Local Government Unit of Kapalong,</t>
  </si>
  <si>
    <t xml:space="preserve"> Date: June 08, 2020 1.	The Provincial Government of Davao del Sur, through its Bids and Awards Committee (BAC), invites all potential bidders / suppliers to apply to bid for the following goods. Bids received in excess of the ABC shall be automatically re</t>
  </si>
  <si>
    <t xml:space="preserve"> Republic of the Philippines MUNICIPALITY OF KAPALONG Province of Davao del Norte 	o0o	 INVITATION TO BID 	 Supply &amp; Delivery of Materials for Proposed Closure and Rehabilitation of Open Dumpsite at Banate Capungagan, Kapalong, Davao del Norte 1.	The Local</t>
  </si>
  <si>
    <t xml:space="preserve"> 1	Pick-up Type Vehicle Not exceeding 3000cc engine displacement, diesel-fed 4 cylinders Manual Freedom White(Pearl White)/Silver Mettalic/Attitude Black Mica(Midnight Black) 2	Asian Utility Vehicle Not exceeding 2500cc engine displacement, diesel-fed and </t>
  </si>
  <si>
    <t xml:space="preserve"> Republic of the Philippines MUNICIPALITY OF KAPALONG Province of Davao del Norte 	o0o	 INVITATION TO BID 	 Supply &amp; Delivery of Other Supplies 1.	The Local Government Unit of Kapalong, through the General Fund  intends to apply the sum of Nine Hundred For</t>
  </si>
  <si>
    <t xml:space="preserve"> The Barangay Cagumitan, through its 10% BARANGAY DEV'T FUND intends to apply the sum Php 80,000.00 being the Approved Budget for the Contract (ABC) to payments under the contract to PURCHASED MOTOR CYCLE WITH SIDECAR. Bids received in excess of the ABC sh</t>
  </si>
  <si>
    <t xml:space="preserve"> 201 Aggregate Base Course 311 Portland Cement Concrete Pavement</t>
  </si>
  <si>
    <t xml:space="preserve"> See attached file.......</t>
  </si>
  <si>
    <t xml:space="preserve"> ITB No. 2020-08 (SHORT OF AWARD) 1.	The SUGAR REGULATORY ADMINISTRATION, through the SRA Corporate Operating Budget 2020 intends to apply the sum of One Million Three Hundred Fifty Thousand Pesos (₱1,350,000.00) being the total Approved Budget for the Con</t>
  </si>
  <si>
    <t xml:space="preserve"> Republic of the Philippines MUNICIPALITY OF KAPALONG Province of Davao del Norte 	o0o	 INVITATION TO BID 	 Supply &amp; Delivery One (1) unit Mini Hydraulic Excavator 1.	The Local Government Unit of Kapalong, through the MDRRM Fund   intends to apply the sum </t>
  </si>
  <si>
    <t xml:space="preserve"> Construction/Rehabilitation of River Control at Brgy. Punta, Libagon, So. Leyte</t>
  </si>
  <si>
    <t xml:space="preserve"> Description   SITE CLEARING AND GRUBBING Removal of Vegetations STRUCTURAL EXCAVATION Waster Disposal and Backfill Foundation fill Reinforcing steel Structural Concrete, Class A Pipe Culverts, 575 mm dia. RCCP Stone Masonry Units Warning and Hazard Signs </t>
  </si>
  <si>
    <t xml:space="preserve"> Supply and delivery of the following: 1. 300 pcs. Chairs (Plastic) 2. 2 units Filling Cabinet (Metal) 3. 10 sets Office Tables with Chairs 4. 1 set Sofa bed (6" Disclaimer) 5. 2 pcs. Office Chairs</t>
  </si>
  <si>
    <t xml:space="preserve"> The Barangay Cagumitan, Tuao Cagayan through its 10% SK fund intends to apply the sum of Php 80,000.00 being the Approved Budget for the Contract (ABC) to payments under the contract for purchased FIBER GLASS BOARD WITH BASKETBALL WITH RING . Bids receive</t>
  </si>
  <si>
    <t xml:space="preserve"> FOR GOODS OFFERED Project Name:	CONSTRUCTION OF EVACUATION CENTER Location:	Purok 8 (Sitio Magasa), Brgy. Lanca, City of Mati, Davao Oriental Approved Budget:	P 999,764.22 Project Duration	46 Calendar Days ITB Number	LANCA-2020-01 Pre-bidding Conference	J</t>
  </si>
  <si>
    <t xml:space="preserve"> THE OFFICE OF THE BIDS AND AWARDS COMMITTEE, SAN CARLOS CITY IS IN NEED OF SUPPLY/DELIVERY OF PROCUREMENT OF THE FOLLOWING EMERGENCY EVACUATION EQUIPMENT: 100 UNIT FAMILY MODULAR TENT SPECS: MEASURING 1.5 X 1.5 METERS, CAN ACCOMMODATE 5-7 PERSONS, TOP OPE</t>
  </si>
  <si>
    <t xml:space="preserve"> 1	MINI 4WD FARM TRACTOR SPECIFICATIONS: &gt; with rated power 36-40 horsepower, vertical, three to four (3-4) cylinders, 4 stroke cycles, direct injection, natural aspirated diesel engine, minimum PTO horsepower is 85% of the maximum rated horsepower, PTO sp</t>
  </si>
  <si>
    <t xml:space="preserve"> Construction of Sanitary Landfill- Cell 3 at Nabanngan, Payawan, Lamut, Ifugao Please see attached documents</t>
  </si>
  <si>
    <t xml:space="preserve"> Concreting of Pathways at Different Barangays, San Pascual, Masbate</t>
  </si>
  <si>
    <t xml:space="preserve"> Republic of the Philippines PROVINCE OF ZAMBOANGA SIBUGAY Municipality of Roseller T. Lim OFFICE OF THE BAC CHAIRMAN Barangay Calula INVITATION TO BID 						June 08, 2020 To All Interested Bidders: Notice is hereby served that sealed bid be received for p</t>
  </si>
  <si>
    <t xml:space="preserve"> INVITATION TO BID Bid No. B-79-2020 (*REBIDDING) 1.	The Provincial Government of Negros Oriental, through Responsibility Center: 8918-021(19), intends to apply the sum of Five Million Three Hundred Ninety Thousand Pesos (Php 5,390,000.00) being the Approv</t>
  </si>
  <si>
    <t xml:space="preserve"> 1.	a)  Contract ID:	20OF0312 b)  Contract Name:	Repair of Hallways and Ceiling at the South Wing Annex Building from the Second to the Fourth Floors, including Aluminum Swing Door Enclosures at the East and West Stairwells HREP Compound, Brgy. Batasan Hil</t>
  </si>
  <si>
    <t xml:space="preserve"> 1	Passenger Van Not exceeding 3000cc engine displacement, diesel-fed and 4 cylinders</t>
  </si>
  <si>
    <t xml:space="preserve"> The City Government of Ligao through its Bids and Awards Committee (BAC), now invites bids for the herein project: Name of Contract        :  Repair of Heritage Building Extension Location                       : Dunao,  Ligao City Brief Description      </t>
  </si>
  <si>
    <t xml:space="preserve"> [Republic of the Philippines] Province of Pangasinan Municipality of Natividad INVITATION TO BID FOR TITLE: Construction/Improvement/Widening of Box Culvert at Purok 4 in Brgy. San Miguel Project Cost: P1,500,000.00 The [MUNICIPALITY OF NATIVIDAD], throug</t>
  </si>
  <si>
    <t xml:space="preserve"> The Barangay Malalinta, Tuao Cagayan through its 20% Barangay Dev’t fund intends to apply the sum of Php 74,976.90 being the Approved Budget for the Contract (ABC) to payments under the contract for Construction of Comfort Room . Bids received in excess o</t>
  </si>
  <si>
    <t xml:space="preserve"> 1.	The Municipality of Impasugong, through the GF – Agricultural Support &amp; Services – OM &amp; OE intends to apply the sum Four Hundred Thousand Pesos (PhP400,000.00) being the Approved Budget for the Contract (ABC) to payments under the contract for PRNo.20-</t>
  </si>
  <si>
    <t xml:space="preserve"> Republic of the Philippines Province of Batangas Municipality of San Juan BIDS AND AWARDS COMMITTEE INVITATION TO APPLY FOR ELIGIBILITY AND TO BID THE LOCAL GOVERNMENT UNIT OF BRGY. LAIYA IBABAO,  SAN JUAN, BATANGAS, through its Bids and Awards Committee </t>
  </si>
  <si>
    <t xml:space="preserve"> SUPPLY OF 64,000.00 LITERS OF DIESEL FUEL.</t>
  </si>
  <si>
    <t xml:space="preserve"> 3 units Dosing Pump (metering pump), with the following specifications: Type Beta BT5b 1008, 6.8 LPH at 10 bars, 230V, single phase, 60Hz, solenoid driven IP65 with the following accessories: - Foot valve strainer - Injection valve, 1/2” NP - Discharge tu</t>
  </si>
  <si>
    <t xml:space="preserve"> Supply and Delivery of Various Electrical and Plumbing Materials (Pampanga Branch) *Please see attached Canvass Form. **Be guided accordingly on the second page of the Canvass Form. ***Kindly see the following attached documents: - Bill of Quantities (BOQ</t>
  </si>
  <si>
    <t xml:space="preserve"> The City Government of Ligao through its Bids and Awards Committee (BAC), now invites bids for the herein project: Name of Contract        :  Construction of Slope Protection Location                       : Buga, Nabonton,  Ligao City Brief Description  </t>
  </si>
  <si>
    <t xml:space="preserve"> 4.	a)  Contract ID:	20OF0315 b)  Contract Name:	General Repair and Rehabilitation of the Main Building Roofing HREP Compound, Batasan Road, Brgy. Batasan Hills, Q.C.  c)  Contract Location:	Quezon City d)  Scope of Work:	General Repair and Rehabilitation </t>
  </si>
  <si>
    <t xml:space="preserve"> Supply of labor and parts for the repair of barangay service</t>
  </si>
  <si>
    <t xml:space="preserve"> The Barangay Malalinta, Tuao Cagayan through its Provincial Aid fund intends to apply the sum of Php 73.385.00 being the Approved Budget for the Contract (ABC) to payments under the contract for Procurement of Materials for Installation of the Solar Stree</t>
  </si>
  <si>
    <t xml:space="preserve"> 3.	a)  Contract ID:	20OF0314 b)  Contract Name:	Repair/Repainting of Exterior Walls and Doors of House Members Offices in the North and Batasan Complex, Brgy. Batasan Hills, Q.C. c)  Contract Location:	Quezon City d)  Scope of Work:	Repair/Re-Painting of </t>
  </si>
  <si>
    <t xml:space="preserve"> 2.	a)  Contract ID:	20OF0313 b)  Contract Name:	Repair and Re-Painting of HREP Perimeter Fence Batasan Complex, Brgy. Batasan Hills, Q.C. c)  Contract Location:	Quezon City d)  Scope of Work:	Repair and Re-Painting of Building  e)  Approved Budget for the</t>
  </si>
  <si>
    <t xml:space="preserve"> Personal Protective Equipment  and supplies for covid 19</t>
  </si>
  <si>
    <t xml:space="preserve"> The Municipal Government of San Mariano, Isabela intends to apply the sum of Two Million Four Hundred Ninety Nine Thousand Six Hundred Sixty Eight pesos and Fifty-Three Centavos Only. (Php2,499,668.53) being the Approved Budget for the Contract (ABC) char</t>
  </si>
  <si>
    <t xml:space="preserve"> Republic of the Philippines Province of Negros Oriental MUNICIPALITY OF BACONG Barangay Tubod INVITATION TO BID Improvement of Multi-purpose Hall,  Tubod Bacong, Negros Oriental RFQ 2020-01 1.	The Barangay Tubod through the Brgy Fund  intends to apply the</t>
  </si>
  <si>
    <t xml:space="preserve"> Republic of the Philippines CITY OF BAIS BIDS AND AWARDS COMMITTEE INVITATION TO APPLY FOR ELIGIBILITY AND TO BID 	The City Government of Bais invites interested bidders to apply for eligibility and to bid for use in Waste Management and Environmental San</t>
  </si>
  <si>
    <t xml:space="preserve"> Purchase of Computer set and Accessories</t>
  </si>
  <si>
    <t xml:space="preserve"> Republic of the Philippines Cordillera Administrative Region PROVINCIAL GOVERNMENT OF ABRA Bangued Invitation to Bid for  IMPROVEMENT OF TOURISM INFRASTRUCTURE - PARKS 1.	The Provincial Government of Abra, through the Budget for the Contract Approved by t</t>
  </si>
  <si>
    <t xml:space="preserve"> Republic of the Philippines Province of Batangas Municipality of San Juan BIDS AND AWARDS COMMITTEE INVITATION TO APPLY FOR ELIGIBILITY AND TO BID THE LOCAL GOVERNMENT UNIT OF BRGY. SAPANGAN,  SAN JUAN, BATANGAS, through its Bids and Awards Committee (BAC</t>
  </si>
  <si>
    <t xml:space="preserve"> PURCHASE OF SUPPLIES &amp; MATERIALS FOR THE REPLACEMENT/INSTALLATION OF MARKER BUOY (P.E. ROPE, CYLINDRICAL FOAM, ROUNDED FOAM, NYLON)</t>
  </si>
  <si>
    <t xml:space="preserve"> SUPPLY AND DELIVERY OF GEO-TAGGING DEVICE FOR OFFICIAL USE OF DENR TARLAC</t>
  </si>
  <si>
    <t xml:space="preserve"> City Government of Manila INVITATION TO BID NO. 2020-06-74 Procurement of Food and Drinks 1.	The City Government of Manila, through the General Fund CY 2020 – Representation Expenses intends to apply the sum of Four Million Six Hundred Eighty Thousand Pes</t>
  </si>
  <si>
    <t xml:space="preserve"> 5.	a)  Contract ID:	20OF0316 b)  Contract Name:	Construction/Rehabilitation of Water Supply/Septage and Sewerage/Rain Water Collectors-Rain Water Collectors in Public Facilities, Q.C. c)  Contract Location:	Quezon City d)  Scope of Work:	Construction/Reha</t>
  </si>
  <si>
    <t xml:space="preserve"> INVITATION TO BID  PROCUREMENT OF FOUR (4) UNITS GENERATOR SET FOR THE PPSC HEAD OFFICE AND NPC SILANG PPSC BAC IB NO.006 (G) 2020 1.	The Philippine Public Safety College through the General Appropriations Act of FY2020 , intends to apply the sum indicate</t>
  </si>
  <si>
    <t xml:space="preserve"> DRRM COMMAND CENTER/CCTV CONTROL BUILDING - COMPLETION</t>
  </si>
  <si>
    <t xml:space="preserve"> Republic of the Philippines																		 Province of Bohol																		 Municipality of Buenavista																		 																		 INVITATION TO APPLY FOR ELIGIBILITY AND TO BID																		 																		 The Barangay Local Govern</t>
  </si>
  <si>
    <t xml:space="preserve"> W=6M; L=10LM; CONSTRUCT CEILING AND SIX (6) ROOMS</t>
  </si>
  <si>
    <t xml:space="preserve"> Republic of the Philippines PROVINCE OF SAMAR Municipality of Pinabacdao Invitation to Bid Repair of Brgy.Mambog Baily Bridge Pinabacdao Samar 1. The LOCAL GOVERMENT UNIT of PInabacdao Samar, through the FY 2020 Budget intends to apply the sum of Six Hund</t>
  </si>
  <si>
    <t xml:space="preserve"> Republic of the Philippines Province of Iloilo MUNICIPALITY OF CARLES INVITATION TO BID 1.0 The Municipal Government of Carles, Province of Iloilo through its GRANT by DOH-HFEP CY 2019 intends to apply the sum of One Million Seven Hundred Thousand Pesos O</t>
  </si>
  <si>
    <t xml:space="preserve"> Washed Gravel Washed Sand Portland Cement 12mm RSB 10mm RSB Cut off Disk 14 Tie Wire #16 3/8”x4”x8 ord. Plywood  2”x2”x8 coco lumber 2”x3”x12 coco lumber Bamboo poles 4” common nails 3” common nails  2-1/2 common nails 1” ½ common nails 1” ¼ G.I Pipe Sche</t>
  </si>
  <si>
    <t xml:space="preserve"> Construction of Livelihood Center for DSWD Clients ( OFW, Solo Parent, PWDs, Women, &amp; AMMA-Phase 4 Please see attached documents</t>
  </si>
  <si>
    <t xml:space="preserve"> PR No. 				CMD 2020-03-042							 											 	Please quote your lowest price on the item/s listed below, subject to the General Conditions, 										 stating the shortest time of delivery and submit your quotation duly signed by  your authorized 							</t>
  </si>
  <si>
    <t xml:space="preserve"> 1 lot Commissioning of an Artist to produce Twelve (12) Paintings of Selected Events of the Philippine Segments of the First Circumnavigation of the World by the Magellan Elcano Expedition</t>
  </si>
  <si>
    <t xml:space="preserve"> Purchase of construction materials for the concreting of barangay Fatima pavement around Fatima Market.</t>
  </si>
  <si>
    <t xml:space="preserve"> Republic of the Philippines Cordillera Administrative Region PROVINCIAL GOVERNMENT OF ABRA Bangued Invitation to Bid for  REHABILITATION AND IMPROVEMENT OF  POBLACION LICUAN-DOMINGLAY ROAD 1.	The Provincial Government of Abra, through the Budget for the C</t>
  </si>
  <si>
    <t xml:space="preserve"> SUPPLY AND DELIVERY OF MOTORCYCLE FOR OFFICIAL USE OF DENR TARLAC</t>
  </si>
  <si>
    <t xml:space="preserve"> INVITATION TO BID  1.	The CITY GOVERNMENT OF CAUAYAN, ISABELA through the 2020 GENERAL FUND intends to apply the sum of ONE MILLION EIGHT HUNDRED TEN THOUSAND PESOS (PHP1,810,000.00) being the Approved Budget for the Contract (ABC) to payments under the c</t>
  </si>
  <si>
    <t xml:space="preserve"> SUPPLY AND INSTALLATION OF AGISOFT SOFTWARE FOR OFFICIAL USE OF DENR TARLAC</t>
  </si>
  <si>
    <t xml:space="preserve"> INVITATION TO BID June 5, 2020            Contract ID Number	:  20GIA004 P.R. Number		:  2020-05-0052 dated May 26, 2020 (GOODS) A B C			:  P 1,730,000.00 Contract Location	:  Naval, Province of Biliran Brief Description	:  Procurement of Instant Cold Mix</t>
  </si>
  <si>
    <t xml:space="preserve"> Department of Public Works and Highways  Regional Office VI, Fort San Pedro, Iloilo City INVITATION TO BID  The Department of Public Works and Highways, Regional Office VI, through its Bids and Awards Committee (BAC), invites suppliers to submit bids for </t>
  </si>
  <si>
    <t xml:space="preserve"> N-COVID Disinfection, Protection and Temperature scanning of employee and students</t>
  </si>
  <si>
    <t xml:space="preserve"> Section 1. INVITATION to BID (IB) No. 2020-012 The Municipality of Cabiao, Nueva Ecija, through its Bids and Awards Committee (BAC), invites suppliers/manufacturers/distributors to apply for eligibility and to bid if found eligible, to bid for the followi</t>
  </si>
  <si>
    <t xml:space="preserve"> ACTIVITIES	SCHEDULE 1.	Issuance of Bid Documents	June 15, 2020 2.	Pre-Bid conference	 3.	Opening of Bids	June 19, 2020, 9:00 A.M. 4.	Bid Evaluation	June 19, 2020, 2020 5.	Post-qualification	June 23, 2020, 2020 6.	Notice of Award	June 26, 2020</t>
  </si>
  <si>
    <t xml:space="preserve"> Procurement of Infrastructure Projects 1. Construction of Material Recovery Facility @ Trading Post, Mabatobato, Lamut, Ifugao 2. Extension of Trading Post Building @ Mabatobato, Lamut, Ifugao Please see attached documents</t>
  </si>
  <si>
    <t xml:space="preserve"> INVITATION TO BID The City Vigan, through its Bids and Awards Committee (BAC), invites suppliers/manufacturers/distributors/contractors to apply for eligibility and to bid for the hereunder project: Name of Project:	Procurement of Post Processing Software</t>
  </si>
  <si>
    <t xml:space="preserve"> OFFICE CUBICLE AND OFFICE EQUIPMENT</t>
  </si>
  <si>
    <t xml:space="preserve"> Republic of the Philippines Province of Capiz Municipality of Tapaz INVITATION TO RE-BID  Procurement of Four (4) units Motorcycle, Tapaz, Capiz 1. 	The Municipality of Tapaz, through the 5% MDRRMF Fund 2020 intends to apply the sum of Two Hundred Thirty-</t>
  </si>
  <si>
    <t xml:space="preserve"> INVITATION TO BID The City Vigan, through its Bids and Awards Committee (BAC), invites suppliers/manufacturers/distributors/contractors to apply for eligibility and to bid for the hereunder project: Name of Project:	Procurement of Personal Watercrafts wit</t>
  </si>
  <si>
    <t xml:space="preserve"> The Municipal Government of San Mariano, Isabela intends to apply the sum of Thirteen Million Five Hundred Twenty Six Thousand Five Hundred Seventy Pesos and 05/100 (Php13,526,570.05) being the Approved Budget for the Contract (ABC) chargeable against CY </t>
  </si>
  <si>
    <t xml:space="preserve"> Purchase of Catering Services</t>
  </si>
  <si>
    <t xml:space="preserve"> PURCHASE OF OFFICE SUPPLIES AND MATERIALS (1ST AND 2ND QUARTER)</t>
  </si>
  <si>
    <t xml:space="preserve"> Reshaping &amp; compaction, including trimming of road side slopes of Katipunan Barangay Road networks.</t>
  </si>
  <si>
    <t xml:space="preserve"> JUNE 8, 2020 INVITATION TO BID Name of Project: SUPPLY AND DELIVERY OF LIMESTONE FOR REHABILITATION OF BARANGAY ROADS OF 16 BARANGAYS  BALINTAWAK,EAST KIBAWE, GUTAPOL, KIORAO, LABUAGON, MARAPANGE,MASCARIÑAS, NATULONGAN, NEW KIDAPAWAN, OLD KIBAWE, PALMA, R</t>
  </si>
  <si>
    <t xml:space="preserve"> INVITATION TO BID The City Vigan, through its Bids and Awards Committee (BAC), invites suppliers/manufacturers/distributors/contractors to apply for eligibility and to bid for the hereunder project: Name of Project:	Procurement of Aerial Vehicle (Drone) f</t>
  </si>
  <si>
    <t xml:space="preserve"> 1		Set		Tire, 23.5 x 25, 18/20 PR, Tube Type 	 1		Pc		Tire, 23.1 x 26, 12 PR Tubeless, Non directional 34		Set		Tire, 12 x 20, Tube Type, Super Lug, (Cross Lug) 18 PR 13		Set		Tire, 11 x 20, Tube Type, Super Lug (Cross Lug) 18 PR 4		Set		Battery, Low Main</t>
  </si>
  <si>
    <t xml:space="preserve"> Portland Cement Coco Lumber 2x4x12 Sand Gravel Common Nails #3</t>
  </si>
  <si>
    <t xml:space="preserve"> Brief Description of the Project				 Quantity	Unit	Item Description		  1.00 	unit	Passenger Van (converted into an ambulance		 		   and fitted with necessary medical equipment		 		   and apparatus)		 		Specifications:		 		Engine:		 		·         not exceddi</t>
  </si>
  <si>
    <t xml:space="preserve"> 1 LOT ELECTRO-MECHANICAL INSTALLATION OF STAGE 1 Mobilization/General Requirements/Site Clean up Concreting Works Booster Pump Pad Piping Support Motor Controller Pad Welding Works Installation and Fabrication of Piping Supports Installation and Fabricati</t>
  </si>
  <si>
    <t xml:space="preserve"> SUPPLY AND DELIVERY OF DRONE &amp; IPAD MINI FOR OFFICIAL USE OF DENR TARLAC</t>
  </si>
  <si>
    <t xml:space="preserve"> Republic of the Philippines Province of Quezon MUNICIPALITY OF POLILLO ***** INVITATION TO BID FOR  SUPPLY AND DELIVERY OF ONE (1) UNIT MINI DUMPTRUCK (BRAND NEW) AND (1) UNIT MINI PAYLOADER (BRAND NEW) OF LGU POLILLO 1.	The Municipality of Polillo, throu</t>
  </si>
  <si>
    <t xml:space="preserve"> Invitation to Bid for the  SUPPLY AND DELIVERY OF STARTER KITS FOR DOLE DRESSMAKING, BAKING &amp; SMALL MOTOR ENGINE SERVICE (SMES) PROGRAM 1.	The LGU-RAMON, ISABELA, through the Budget for the contract approved by the Sanggunian intends to apply the sum of P</t>
  </si>
  <si>
    <t xml:space="preserve"> The Municipal Government of San Mariano, Isabela intends to apply the sum of Nine Hundred Ninety Nine Thousand Nine Hundred Ninety-Six Pesos and Eighty-Four Centavos (Php999,996.84) being the Approved Budget for the Contract (ABC) chargeable against CY 20</t>
  </si>
  <si>
    <t xml:space="preserve"> Procurement of Infrastructure Projects 1. Constn. of Interconnector of Buildings @ Public Market, Pob. West, Lamut, Ifugao 2. Constn. of Entrance/ Exit gate at Trading Post, Mabatobato, Lamut, Ifugao 3. Constn. of Vault for Special Wastes 4. Constn. of Co</t>
  </si>
  <si>
    <t xml:space="preserve"> Construction of Bridge to Memorial Park - Phase II @ Mabatobato, Lamut, Ifugao Please see attached documents</t>
  </si>
  <si>
    <t xml:space="preserve"> gasoline supplies for lawn mower</t>
  </si>
  <si>
    <t xml:space="preserve"> Reproduction of Learners Materials Supplies of Ink for Modules</t>
  </si>
  <si>
    <t xml:space="preserve"> Republic of the Philippines DEPARTMENT OF PUBLIC WORKS AND HIGHWAYS PANGASINAN 1ST DISTRICT ENGINEERING OFFICE REGIONAL OFFICE I Alaminos City, Pangasinan INVITATION TO BID FOR 20GAG0003- Furnishing of Materials, Furniture and Equipment  for the Completio</t>
  </si>
  <si>
    <t xml:space="preserve"> Republic of the Philippines DEPARTMENT OF PUBLIC WORKS AND HIGHWAYS PANGASINAN 1ST DISTRICT ENGINEERING OFFICE REGIONAL OFFICE I Alaminos City, Pangasinan INVITATION TO BID FOR 20GAG0001- Furnishing of Materials for the Completion of DPWH Main Building, D</t>
  </si>
  <si>
    <t xml:space="preserve"> 1.	The Municipality of Consolacion, through the GF - 20% intends to apply the sum of One Million Three Hundred Sixty-Six Thousand Nine Hundred Sixty-Three Pesos and 34/100 (P 1,366,963.34) being the Approved Budget for the Contract (ABC) to payments under</t>
  </si>
  <si>
    <t xml:space="preserve"> Invitation to Bid for the Construction of Potable Water System, Brgy. Kanapawan, Labo, Camarines Norte 1.	TheProvincial Government of Camarines Norte, through the 20% Development Fund 2019intends to apply the sum of Four MillionNine Hundred Eighty-Eight T</t>
  </si>
  <si>
    <t xml:space="preserve"> Republic of the Philippines DEPARTMENT OF PUBLIC WORKS AND HIGHWAYS PANGASINAN 1ST DISTRICT ENGINEERING OFFICE REGIONAL OFFICE I Alaminos City, Pangasinan INVITATION TO BID FOR 20GAG0002- Provision of Office Equipment and Accessories for the use of office</t>
  </si>
  <si>
    <t xml:space="preserve"> Invitation to Bid for the Construction/Improvement of Barangay Road (Phase II), Brgy. Tabas, Paracale, Camarines Norte 1.	TheProvincial Government of Camarines Norte, through the Performance Challenge Fund CY 2020intends to apply the sum of Four MillionFi</t>
  </si>
  <si>
    <t xml:space="preserve"> 2 PCS. tIRES # 540/65R 34 REAR 2 PCS TIRE # 440/65r 24 FRONT 12 PCS OIL SEAL BEARING 12 PCS BEARING # 6310 1 PC CLUTCH CABLE 1M 1 PC. OIL FILTER 1 PC FUEL FILTER 1 PC AIR  CLEANER</t>
  </si>
  <si>
    <t xml:space="preserve"> The Municipal Government of San Mariano, Isabela intends to apply the sum of One Million Thirty-Eight Thousand Four Hundred Ninety-Nine Pesos and Eighty-Four Pesos (Php1,038,499.84) being the Approved Budget for the Contract (ABC) chargeable against CY 20</t>
  </si>
  <si>
    <t xml:space="preserve"> Invitation to Bid for the Rehabilitation of Solar Streetlights, Cory Aquino Boulevard, Camarines Norte 1.	TheProvincial Government of Camarines Norte, through the General Fund 2020intends to apply the sum of Four MillionEight Hundred Sixty-One Thousand Fi</t>
  </si>
  <si>
    <t xml:space="preserve"> FOR NFA REGIONAL OFFICE 02</t>
  </si>
  <si>
    <t xml:space="preserve"> I.    CONCRETE AND MASONRY WORKS              -         5.375  CU.M.</t>
  </si>
  <si>
    <t xml:space="preserve"> SOLID WASTE MANAGEMENT (1ST QUARTER TO 3RD QUARTER)</t>
  </si>
  <si>
    <t xml:space="preserve"> 1.	The Municipality of Consolacion, through the GF - 20% EDF intends to apply the sum of Three Million Five Hundred Thousand Pesos (P 3,500,000.00) being the Approved Budget for the Contract (ABC) to payments under the contract for Construction/Installati</t>
  </si>
  <si>
    <t xml:space="preserve"> Section I. Invitation to Bid INVITATION TO BID: BID REFERENCE NO.: 2020-014 Supply and Delivery of Various Fingerlings  The Bureau of Fisheries and Aquatic Resources-12 (BFAR-12) of the Department of Agriculture, through the General Appropriations Act for</t>
  </si>
  <si>
    <t xml:space="preserve"> Republic of the Philippines Province of Ilocos Sur MUNICIPALITY OF MAGSINGAL Office of the Bids and Awards    Committee INVITATION TO BID FOR THE PROVISION OF POTABLE WATER SUPPLY FOR TOBACCO FARMERS OF SITIO SARAGCAO, MAAS-ASIN, MAGSINGAL, ILOCOS SUR The</t>
  </si>
  <si>
    <t xml:space="preserve"> Republic of the Philippines  Province of Cotabato Municipality of Antipas Barangay Kiyaab OFFICE OF THE BIDS &amp; AWARD COMMITTEE Invitation to Bid for Construction Of 1-Unit Tribal Hall 1.	The Barangay Government of Kiyaab through the Trust Fund intends to </t>
  </si>
  <si>
    <t xml:space="preserve"> Invitation to Bid for Construction/Improvement of Drainage System of Libertad Public Market  Libertad, Antique The Local Government of Libertad, Antique, through the MDF 2020 intends to apply the sum of One Million Three Hundred Thousand Pesos (PhP 1,300,</t>
  </si>
  <si>
    <t xml:space="preserve"> 15,000	Ltr	Fuel, Diesel 1,300	Ltr	Fuel, Gasoline, Special 100   	Ltr	Oil, Diesel Engine 15W40 20    	Pail	Oil, Hydraulic VG 68 60    	Ltr	Oil, Hydraulic SAE 30 120   	Ltr	Oil, Hydraulic SAE 10 14    	Ltr	Oil, 2T 25    	Ltr	Oil, Gasoline Engine 20W50 25   </t>
  </si>
  <si>
    <t xml:space="preserve"> MUNICIPALITY OF ABRA DE ILOG Name of Procuring Entity						                Contract Reference Number Goods No.11-2020 Name of Contract: Supply and Delivery of Materials for the  Construction and Upgrading of Potable Water System    Location: Abra de Ilog,</t>
  </si>
  <si>
    <t xml:space="preserve"> Procurement ID/Contract ID:	20PI0092 Contract Name:	Local Infrastructure Program - Water Management Facilities - Water Supply: Construction/ Rehabilitation/ Improvement of Waterworks, Brgy. Bontoc Ili, Poblacion and Calutit, Bontoc, Mountain Province Cont</t>
  </si>
  <si>
    <t xml:space="preserve"> 3/4 Marine Plywood 1/4 4x1x1x6m Angle Bar Welding Rod Bolt 3/16x1 w/ nuts and washers 60x60 tiles Counter Sink Faucet HDPE Pipe 1/2 Compression Type Threaded Coupling 1/2 Epoxy (1ltr) Epoxy Primer PVC Pipe 1/2 PVC Threaded Elbow 1/2 PVC Elbow 1/2 PVC Tee </t>
  </si>
  <si>
    <t xml:space="preserve"> INVITATION TO BID FOR Procurement of Reference Books (Lot 1-7) 	          The CAMARINES SUR POLYTECHNIC COLLEGES, through the College Income intends to apply the sum of the following listed below being the Approved Budget for the Contract (ABC) to payment</t>
  </si>
  <si>
    <t xml:space="preserve"> Construction of Rainwater Collection System (Polyethylene Tank – Vertical)</t>
  </si>
  <si>
    <t xml:space="preserve"> INVITATION TO BID The City of Bayawan, through its Bids and Awards Committee (BAC), invites suppliers/manufacturers/distributors/contractors to bid for the hereunder projects: 	Lot No. I		Materials, labor, fuel and equipment needed for the development of </t>
  </si>
  <si>
    <t xml:space="preserve"> REQUEST FOR QUOTATION The National Telecommunications Commission (NTC), through its Bids and Awards Committee (BAC), will undertake Negotiated Procurement – Small Value Procurement for the project “Procurement of Two (2) Air Conditioning Units for NTC Reg</t>
  </si>
  <si>
    <t xml:space="preserve"> Reinforced Concrete Revetment</t>
  </si>
  <si>
    <t xml:space="preserve"> BIDS AND AWARDS COMMITTEE (BAC) Email address: bacregion2@yahoo.com Telefax No.: (078) 304-0560 CP Nos.: 09173190220 INVITATION TO BID ITB No.: 2020-06-20 The Department of Agriculture – Regional Field Office No. 02 (DA-RFO 02) through its Bids and Awards</t>
  </si>
  <si>
    <t xml:space="preserve"> Republic of the Philippines Province of Zambales MUNICIPALITY OF MASINLOC OFFICE OF THE BIDS AND AWARDS COMMITTEE INVITATION TO BID The Municipality of Masinloc, Province of Zambales, through its Bids and Awards Committee (BAC), invites suppliers/Manufact</t>
  </si>
  <si>
    <t xml:space="preserve"> 1  1,490   bts.   Ascorbic Acid with zinc syrup 60ml    58.00      86,420.00 2  125      bxs.  Vitamins = Iron Food Supplement Capsule (Multiron)   400.00    50,000.00 3  432      bts.   Paracetamol 250mg/5ml 60ml   60.00    25,920.00 4  20        bxs.  P</t>
  </si>
  <si>
    <t xml:space="preserve"> JUNE 8, 2020 INVITATION TO BID Name of Project: SUPPLY &amp; DELIVERY OF LIMESTONE FOR THE MAINTENANCE OF PROVINCIAL ROADS &amp; BRIDGES (MACHINE GRADING, REGRAVELLING SAND, GRAVEL&amp; LIMESTONE)  Approved Budget of the Contract: P 1,501,500.00 ITEM: 2,730	cu.m.	Lim</t>
  </si>
  <si>
    <t xml:space="preserve"> 1.	The National Irrigation Administration Interim Albay-Catanduanes IMO, Tuburan, Ligao City, through the GAA/SIP CY 2020 intends to apply the sum of P941,747.59 being the Approved Budget for the Contract (ABC) to STA. ISABEL CIP, Bato, Catanduanes under </t>
  </si>
  <si>
    <t xml:space="preserve"> 17 bags cement 2   cu.m gravel 1   cu.m sand 22 pcs   RSB 10mm 22 pcs   RSB 9mm 5 1/2    kg #16 tie wire 3  pcs  ordinary plywood 1/4" thk 108 bd.ft coco lumber 3  kg  cw nails, assorted 11 pcs G.I pipe 2" sch 40, 6m length 3   kg  welding rod 600 lm #6 s</t>
  </si>
  <si>
    <t xml:space="preserve"> Invitation to Bid Supply and Delivery of Office Supplies, 1 Lot, for the Utilization of Pantawid Pamilya staff in RPMO, POO1, POO2, POO3, POO4 and its municipalities for the 1st Quarter CY 2020 1.	The Department of Social Welfare and Development, Field Of</t>
  </si>
  <si>
    <t xml:space="preserve"> BIDS AND AWARDS COMMITTEE (BAC) Email address: bacregion2@yahoo.com Telefax No.: (078) 304-0560 CP Nos.: 09173190220 INVITATION TO BID ITB No.: 2020-06-21 The Department of Agriculture – Regional Field Office No. 02 (DA-RFO 02) through its Bids and Awards</t>
  </si>
  <si>
    <t xml:space="preserve"> MUNICIPALITY OF ABRA DE ILOG Name of Procuring Entity							 Contract Reference Number Goods No.14-2020 Name of Contract: Supply and Delivery of Medicines    Location:  LGU, ADIOM Republic of the Philippines Province of Occidental Mindoro Municipality of </t>
  </si>
  <si>
    <t xml:space="preserve"> REQUEST FOR QUOTATION The National Telecommunications Commission (NTC), through its Bids and Awards Committee (BAC), will undertake Negotiated Procurement – Two Failed Biddings for the project “Six (6) Months Lease Contract of Office Space for NTC Pagadia</t>
  </si>
  <si>
    <t xml:space="preserve"> Municipality of Dolores, Quezon INVITATION TO BID FOR THE LOCAL PROGRAM, LOCAL INFRASTRUCTURE PROGRAM, CONSTRUCTION OF MULTI PURPOSE BUILDING-PHASE 1 (MUNICIPAL HALL) AT DOLORES, QUEZON The LGU, through  the General Fund  (Office of the Mayor)–intends to </t>
  </si>
  <si>
    <t xml:space="preserve"> A Republic of the Philippines BIDS AND AWARDS COMMITTEE Dagupan City Invitation to Bid   for PROPOSED CONCRETING OF PAVEMENT AND COVERED DRAINAGE AT DIVISION OFFICE, BRGY. POBLACION OESTE, DAGUPAN CITY 1.	The City Government of Dagupan, through the CONTIN</t>
  </si>
  <si>
    <t xml:space="preserve"> City Government of Manila INVITATION TO BID NO. 2020-06-87 Procurement of Various I.T. and Office Equipment 1.	The City Government of Manila, through the Capital Outlay-Operating Expenses CY 2020 for Peace and Order intends to apply the sum of Two Million</t>
  </si>
  <si>
    <t xml:space="preserve"> Republic of the Philippines	 	DEPARTMENT OF PUBLIC WORKS AND HIGHWAYS	 	ILOILO 3RD	 	DISTRICT ENGINEERING OFFICE	 	REGIONAL OFFICE VI	 	Barotac Viejo, Iloilo	 INVITATION TO BID FOR  1.	Contract Name:	20GGH0023 – Purchase of Ten Thousand (10,000) Liters Di</t>
  </si>
  <si>
    <t xml:space="preserve"> Procurement ID/Contract ID:	20PI0093 Contract Name:	Local Infrastructure Program - Local Roads and Bridges, Local Bridges, Construction/ Rehabilitation/ Improvement of Various Footbridges, Brgy. Betwagan, Sadanga, Mountain Province Contract Location:	Sada</t>
  </si>
  <si>
    <t xml:space="preserve"> Invitation to Bid for Road Rehabilitation of General Fullon Street to Zaldivar Street  Libertad, Antique The Local Government of Libertad, Antique, through the MDF 2020 intends to apply the sum of Three Million Pesos (PhP 3,000,000.00) being the Approved </t>
  </si>
  <si>
    <t xml:space="preserve"> MUNICIPALITY OF ABRA DE ILOG Name of Procuring Entity							 Contract Reference Number Goods No.15-2020 Name of Contract: Supply and Delivery of  Materials for the Construction of Day Care Center Poblacion    Location:  Abra de Ilog, Occ. Mindoro Republic</t>
  </si>
  <si>
    <t xml:space="preserve"> JUNE 8, 2020 INVITATION TO BID Name of Project: SUPPLY &amp; DELIVERY OF SAND &amp; GRAVEL FOR THE MAINTENANCE OF PROVINCIAL ROADS &amp; BRIDGES (MACHINE GRADING, REGRAVELLING SAND, GRAVEL&amp; LIMESTONE) Approved Budget of the Contract: P 1,029,000.00 ITEM: 735	cu.m.	Sa</t>
  </si>
  <si>
    <t xml:space="preserve"> REQUEST FOR QUOTATION The National Telecommunications Commission (NTC), through its Bids and Awards Committee (BAC), will undertake a Negotiated Procurement - Small Value Procurement for the “Supply and Delivery of Two (2) Units Brand New Mobile Phones to</t>
  </si>
  <si>
    <t xml:space="preserve"> Invitation to Bid for the Contract Package for the Concreting of Farm to Market Road with Stone Masonry, Barangay Pudoc West, Tagudin, Ilocos Sur 1.	The Local Government Unit of Tagudin, Ilocos Sur, thru its Bids and Awards Committee intends to apply the </t>
  </si>
  <si>
    <t xml:space="preserve"> Procurement ID/Contract ID:	20PI0094 Contract Name:	Maintenance, Repair and Rehabilitation of Infrastructure Facilities and Other Related Activities - Public Buildings: Repair/Maintenance of: 1. DPWH Building Old DE's Quarters, Caluttit, Bontoc, Mountain </t>
  </si>
  <si>
    <t xml:space="preserve"> LGU - Padre Burgos, Southern Leyte INVITATION TO BID FOR  Procurement of Backhoe Track Shoe Type Padre Burgos, Southern Leyte 1.	The LGU Padre Burgos, Southern Leyte through the 20% EDF , CY 2020  intends to apply the sum of Three Million Sixty Seven Thou</t>
  </si>
  <si>
    <t xml:space="preserve"> JUNE 8, 2020 INVITATION TO BID Name of Project: SUPPLY &amp; DELIVERY OF DIESEL FOR ROAD ROLLER AND ROAD GRADER FOR THE MAINTENANCE OF PROVINCIAL ROADS &amp; BRIDGES (MACHINE GRADING, REGRAVELLING SAND, GRAVEL&amp; LIMESTONE)  Approved Budget of the Contract: 322,850</t>
  </si>
  <si>
    <t xml:space="preserve"> Department of Public Works and Highways Contract ID:	20NA0069 Title: 		Concreting of Brgy. Guinabsan FMR, Buenavista, Agusan del Norte Location:		Buenavista, Agusan del Norte ________________________________________________________________________________</t>
  </si>
  <si>
    <t xml:space="preserve"> Name of Project: Provision of Sixteen (16) Sets Solar Streetlight Location: Brgy Estipona, Pura, Tarlac ABC: Php 787,500.50 Specification: 16 sets LED Solar Light 150 V SMD, Warm White Model: SSL 150W-WW Specification: Light Output: 150W Solar Panel:250W </t>
  </si>
  <si>
    <t xml:space="preserve"> JUNE 8, 2020 INVITATION TO BID Name of Project: SUPPLY AND DELIVERY OF FUEL FOR REHABILITATION OF BARANGAY ROADS OF 16 BARANGAYS   Approved Budget of the Contract: P 786,500.00 ITEM: 14,300	liters	Fuel  (for road grader) 		 The conduct of Bid for SUPPLY A</t>
  </si>
  <si>
    <t xml:space="preserve"> Portland Cement 9mm dia. RSB Tie Wire #16 Common Nails (Assorted) CHB 4"x8"x16' Sand Gravel</t>
  </si>
  <si>
    <t xml:space="preserve"> Procurement ID/Contract ID:	20PI0095 Contract Name:	Concreting of Brgy. Agawa FMR, Brgy. Agawa, Besao, Mountain Province Contract Location:	Besao, Mountain Province Brief Description:	Road concreting Approved Budget for the Contract (ABC):	Php 11,939,999.</t>
  </si>
  <si>
    <t xml:space="preserve"> 1.	The Municipality of Consolacion, through the GF - 20% intends to apply the sum of One Million Four Hundred Seventy-Five Thousand Seven Hundred Seventy-Four Pesos and 96/100 (P 1,475,774.96) being the Approved Budget for the Contract (ABC) to payments u</t>
  </si>
  <si>
    <t xml:space="preserve"> Please see attached Invitation for Negotiation</t>
  </si>
  <si>
    <t xml:space="preserve"> This project is located at barangay Nueva Era,Cabatuan,Isabela			 			 I.	CLEARING AND GRUBBING	8,050.00	sq.m. II.	SUBGRADE PREPARATION	8,050.00	sq.m. III.	AGGREGATE SUB-BASE COARSE	1,207.50	cu.m. IV.	AGGREGATE BASE COARSE	966.00	cu.m. V.	PORTLAND CEMENT C</t>
  </si>
  <si>
    <t xml:space="preserve"> various agricultural machinery and equipment</t>
  </si>
  <si>
    <t xml:space="preserve"> REQUEST FOR QUOTATION Supply and Delivery of Supplies and Materials for OVPRE-PCAARRD SUSTAIN-IP-TBM Project 1. The Cavite State University (CvSU) invites interested firms/suppliers to submit quotation for the project “Supply and Delivery of Supplies and </t>
  </si>
  <si>
    <t xml:space="preserve"> Republic of the Philippines Province of Pangasinan Municipality of Bugallon OFFICE OF THE BIDS AND AWARDS COMMITTEE INVITATION TO BID The Barangay Magtaking of the Municipality of Bugallon, Pangasinan, through its Bids and Awards Committee (BAC), invites </t>
  </si>
  <si>
    <t xml:space="preserve"> Republic of the Philippines Province of Guimaras Municipality of Jordan  Invitation to Bid for Concreting of Barangay Roads at Balingasag, Sinapsapan, Jordan, Guimaras Invitation to Bid No. 20-038 (Re-bid) 1.	The Municipal Government of Jordan, through th</t>
  </si>
  <si>
    <t xml:space="preserve"> Republic of the Philippines						 Province of Bohol						 Municipality of Batuan						 Barangay Poblacion Sur						 						 ABSTRACT OF BID/BILL OF QUANTITIES						 ____________________________						 ____________________________						 _____________________</t>
  </si>
  <si>
    <t xml:space="preserve"> Mobile Aerial Platform GVW (kg) 6775 Engine Model: 4B2-115C50 Euro4   Net Weight (kg) 5775     Drive size 4*2     Max speed: 95kmh     Platform Specs: Max lift: 12m Max crane     Weight 100kg., Basket Max weight 200kg     Power: 90Kw     Displacement: 5.5</t>
  </si>
  <si>
    <t xml:space="preserve"> Portland Cement Coco Lumber 2"x4"x12' Mixing Water Sand Gravel Common Nails (Assorted)</t>
  </si>
  <si>
    <t xml:space="preserve"> Province of Guimaras			 Municipality of Jordan			 BIDS AWARDS COMMITTEE			 			  			8-Jun-20 			 Invitation of Bid No.20-039			 			 Sealed bids, in triplicate subject to the coordination herein below specified will be received in the			 Property Division o</t>
  </si>
  <si>
    <t xml:space="preserve"> Republic of the Philippines																		 Province of Bohol																		 Municipality of Buenavista																		 																		 Barangay Cambuhat																		 INVITATION TO APPLY FOR ELIGIBILITY AND TO BID																		 								</t>
  </si>
  <si>
    <t xml:space="preserve"> The CAGAYAN STATE UNIVERSITY through the GAA FY 2020 intends to apply the sum Five Million Four Hundred Twenty-Eight Thousand Eight Hundred Pesos(P 5,428,800.00), being the Approved Budget for the Contract (ABC) to payments under the contract for “REPAIR </t>
  </si>
  <si>
    <t xml:space="preserve"> Republic of the Philippines Province of Pangasinan BIDS AND AWARDS COMMITTEE Municipality of Calasiao INVITATION TO BID FOR  REPAIR OF GOVERNMENT FACILITIES FOR USE DURING THE OPERATION OF COVID 19 PANDEMIC AT CALASIAO, PANGASINAN 1.	The Municipality of C</t>
  </si>
  <si>
    <t xml:space="preserve"> MUNICIPALITY OF ABRA DE ILOG Name of Procuring Entity						                Contract Reference Number Infra No. 01-2020 Name of Contract:  Construction and Development of Auxiliary Source Water      Location: Brgy. Tibag, Abra de Ilog, Occ. Mindoro Republi</t>
  </si>
  <si>
    <t xml:space="preserve"> INVITATION TO BID The Department of Public Works and Highways - Pampanga 1st District Engineering Office, through its Bids and Awards Committee (BAC), invites contractors to submit bids for the following Contract: 1.	 Procurement ID/Contract ID	:	20CG0140</t>
  </si>
  <si>
    <t xml:space="preserve"> Municipality of Dolores, Quezon INVITATION TO BID FOR CONSTRUCTION OF 1 CLASSROOM AND 1 COMPUTER LABORATORY AT BUNGOY ELEMENTARY SCHOOL  The LGU, through  the General  Fund ( 20% DF)–intends to apply the sum of  Two Million Six Hundred  Thousand  Pesos (P</t>
  </si>
  <si>
    <t xml:space="preserve"> Engine Specification		 Type		2.8L Diesel, 4 Cylinder, In line 16V, DOHC, Turbo charged Engine Technology	Direct Injection Common Rail Diesel (d-4D) Displacement		  2.755cc   Max Output		  176ps/3,4000rpm   Max Torque		  420nm/1,400-2,600rpm   Fuel Tank Ca</t>
  </si>
  <si>
    <t xml:space="preserve"> PLEASE REFER  ATTACHMENT</t>
  </si>
  <si>
    <t xml:space="preserve"> 1 unit Ambulance Vehicle</t>
  </si>
  <si>
    <t xml:space="preserve"> 1.	The MUNICIPALITY OF GUINAYANGAN, QUEZON, through  the  2020 MOOE  intends to apply the sum of  One Hundred Forty Two Thousand One Hundred Eighty Pesos                 (P 142,180.00) being the Approved Budget for the Contract (ABC) to payments under the</t>
  </si>
  <si>
    <t xml:space="preserve"> MUNICIPALITY OF ABRA DE ILOG Name of Procuring Entity						                Contract Reference Number Infra No. 02-2020 Name of Contract:  Upgrading and Improvement of Kuli-kuli Road 3      Location: Brgy. Armado, Abra de Ilog, Occ. Mindoro Republic of the</t>
  </si>
  <si>
    <t xml:space="preserve"> The Local Government Unit of Barugo, through the 20% Project Development Fund (PDF)  intends to apply the sum of Three Hundred Fifty Thousand Pesos only (Php350,000.00) being the Approved Budget for the Contract (ABC) to payments under the contract for Pr</t>
  </si>
  <si>
    <t xml:space="preserve"> INVITATION TO BID  1.	The CITY GOVERNMENT OF CAUAYAN, ISABELA through the 2020 GENERAL FUND intends to apply the sum of ONE MILLION THREE HUNDRED THOUSAND PESOS (Php 1,300,000.00) being the Approved Budget for the Contract (ABC) to payments under the cont</t>
  </si>
  <si>
    <t xml:space="preserve"> Specifications: 1293.33 bd.ft. 388 pcs-2” x 2” x 10’ Coco Lumber; 970.67 bd.ft. 364 pcs-2” x 2” x 8’ Coco Lumber; 110 bd.ft. 22 pcs-2” x 3” x 10’ Coco Lumber; 440 bd.ft. 66 pcs-2” x 4” x 10’ Coco Lumber; 44 bd.ft. 11 pcs-2” x 4” x 6’ Coco Lumber; 160 bd.f</t>
  </si>
  <si>
    <t xml:space="preserve"> One (1) Unit Mini Dump-Truck</t>
  </si>
  <si>
    <t xml:space="preserve"> Item 105: Sub-grade preparation: A) Capacity and Quantity Computation: Area 8m x 430m = 3,440 sq.m. No. of Grader days 3,4440 sq.m. / 3, 000 sq.m. per day = 1.1 say 1.5 days No. of Roller days 3,440 sq.m. /2, 000 sq.m. per day = 1.7 say 2 days B) Direct C</t>
  </si>
  <si>
    <t xml:space="preserve"> Please see attached Bidding Document in the Associated Components. Thank you very much</t>
  </si>
  <si>
    <t xml:space="preserve"> Purchase of 3 Units Aircon to be used by Vice Mayors Office 3 Units Split Type Aircon Inverter with 10 year Warranty on compressor and 1 Year Warranty on parts and serrvice</t>
  </si>
  <si>
    <t xml:space="preserve"> Republic of the Philippines CITY OF MALABON Metro Manila BIDS AND AWARDS COMMITTEE I N V I T A T I O N    T O    B I D SUPPLY AND DELIVERY OF VARIOUS PRINTED FORMS, STICKERS AND  TIN PLATES FOR THE PROJECT “REGISTRATION AND FRANCHISING  OF TRICYCLES, PEDI</t>
  </si>
  <si>
    <t xml:space="preserve"> Please submit your quotation for the following items on or before 5:00PM on Jun 24, 2020. ITEM D E S C R I P T I O N QTY. UNIT  1 Automatic Weather Station 1 unit Technical Specification Requirements: Operating Temperature: -40 to 150F (-40° to +65°C); No</t>
  </si>
  <si>
    <t xml:space="preserve"> INVITATION TO BID PROCUREMENT OF VARIOUS GOODS IB NO. 2020-06-30 (05) 1.	The Department of Health Cagayan Valley Center for Health Development, through the GOP-General Appropriations Act 2020 intends to apply the lump sum of One Million Two Hundred Fifty </t>
  </si>
  <si>
    <t xml:space="preserve"> Republic of the Philippines Province of Antique Municipality of Caluya Barangay Semirara INVITATION TO BID FOR PROCUREMENT OF 9 UNITS BRAND NEW MOTORBIKES FOR BARANGAY OFFICIALS OF BARANGAY SEMIRARA, CALUYA, ANTIQUE  1.	The Local Government Unit Semirara,</t>
  </si>
  <si>
    <t xml:space="preserve"> Construction of 160.00 meters concrete road</t>
  </si>
  <si>
    <t xml:space="preserve"> l.	The MUNICIPALITY OF GUINAYANGAN, QUEZON, through the  2020  MDF   intends to apply the sum of  One Hundred Forty Six Thousand Seven Hundred Fourteen  Pesos                                  (P 146,714.00) being the Approved Budget for the Contract (ABC)</t>
  </si>
  <si>
    <t xml:space="preserve"> 1.	The Municipality of Impasugong, through the 20% Rubber Plantation Project/Oil Palm Project intends to apply the sum Two Million Five Hundred Thousand Pesos (PhP 2,500,000.00) being the Approved Budget for the Contract (ABC) to payments under the contra</t>
  </si>
  <si>
    <t xml:space="preserve"> Please download pDf @ associated components for more information</t>
  </si>
  <si>
    <t xml:space="preserve"> Cleaning supplies for the maintenance of Bgy. building facilities</t>
  </si>
  <si>
    <t xml:space="preserve"> Supply of labor and materials on the conduct of Preventive Maintenance Services to BSP Motor and Armored Vehicle. Please see attachment for details.</t>
  </si>
  <si>
    <t xml:space="preserve"> Republic of the Philippines					 DEPARTMENT OF PUBLIC WORKS AND HIGHWAYS					 BUTUAN CITY DISTRICT ENGINEERING OFFICE					 REGIONAL OFFICE XIII					 Butuan City, Agusan del Norte					   Tel. Nos. 342-5331  Fax No. 225-2022					 					 Name of Procuring Ent</t>
  </si>
  <si>
    <t xml:space="preserve"> Item No.	Scope of Work	Quantity	Unit	Total Estimated Cost I	Excavation and Lay Out	1 lot	 II	Forms and Scaffolding	480	Bd.ft.	 III	Concrete and Masonry Works	170	Bags	 IV	Steel/Roofing Works	84	pcs	 				657,018.63</t>
  </si>
  <si>
    <t xml:space="preserve"> REQUEST FOR EXPRESSION OF INTEREST (REOI) FOR CONSULTING SERVICES  19CSK00054 – Consulting Services for the Conduct of Soil Testing/Exploration for Bridge Projects - Geotechnical Investigation - Construction of Concrete Bridge, Magsaysay-Butuan City Coast</t>
  </si>
  <si>
    <t xml:space="preserve"> Republic of the Philippines					 DEPARTMENT OF PUBLIC WORKS AND HIGHWAYS					 BUTUAN CITY					 DISTRICT ENGINEERING OFFICE					 REGIONAL OFFICE XIII					 Butuan City, Agusan del Norte					 	                                      Tel. Nos. 342-5331  Fax No.</t>
  </si>
  <si>
    <t xml:space="preserve"> Const. of Two Storey Building (Dimension:  22.50m x 9.40m) made of concrete, masonry works, C- Joist suspended slabs, steel &amp; galva iron roofing sheets complete with ceilings, hanger &amp; nailers, paintings, plumbing &amp; sanitary fixtures, doors &amp; windows with</t>
  </si>
  <si>
    <t xml:space="preserve"> Item No.	Scope of Work	Quantity	Unit	Total Estimated Cost 1	Steel and Welding Works	8.00	units	 				 				 				 				211,945.77</t>
  </si>
  <si>
    <t xml:space="preserve"> Construction of 179.52 meters concrete road</t>
  </si>
  <si>
    <t xml:space="preserve"> Section I. Invitation to Bid Republic of the Philippines Province of Surigao del Sur Municipality of San Miguel BARANGAY Umalag INVITATION TO BID FOR THE SUPPLY AND DELIVERY OF HARDWARE MATERIALS FOR CONSTRUCTION OF PUBLIC MARKET 1.	The BarangayLocal Gove</t>
  </si>
  <si>
    <t xml:space="preserve"> The Municipal Government of Luna, Isabela through its Bids and Awards Committee (BAC) invites contractors registered by the Philippine Contractors Accreditation Board (PCAB) to apply and bid for the hereunder project: Name of Project: UPGRADING (EARTH TO </t>
  </si>
  <si>
    <t xml:space="preserve"> Approved Budget for the Contract: Php 3,647,420.00 Estimated Budget Contract Duration/ Delivery Period: 30 Calendar Days SCHEDULE of ACTIVITIES 1. Issuance of Bid Documents: June 9 – 29, 2020 before bid opening 2. Pre-bid Conference: June 16, 2020, 09:00 </t>
  </si>
  <si>
    <t xml:space="preserve"> ITEM NO.	PARTICULARS	 UNIT 	QTY 1	Roadpod VT Plus A	unit	 3.00  			 2	Road "O" Tubes (30M/Roll)                                                                                                                            	roll	 4.00  			 3	Figure 8 Road Cle</t>
  </si>
  <si>
    <t xml:space="preserve"> REQUEST FOR EXPRESSION OF INTEREST (REOI) FOR CONSULTING SERVICES  19CSK00055 – Consulting Services for the Conduct of Soil Testing/Exploration for Bridge Projects - Geotechnical Investigation - Construction of Concrete Bridge, Impasug-ong Bdry. Bukidnon </t>
  </si>
  <si>
    <t xml:space="preserve"> 120	pcs.	    0.60"Ø x 1.0m RCPC 450	pcs.	    4" CHB 42	bags	    Portland Cement 4	cu.m.	Crushed Sand 2	cu.m.	Gravel, Crushed Stone, 3/4" 24	lngth	    10mmØ x 6.0m RSB, deformed 1	pcs.	    Hacksaw Blade 3	kgs.	    #16 G.I. Wire</t>
  </si>
  <si>
    <t xml:space="preserve"> FOR SALE	 TOTAL ABC: P 1,941,293.00	 Lot	Amount per BAC 1	P 150.00 2	P 300.00 3	P 150.00 4	P 150.00 5	P 300.00 6	P 300.00 7	P 300.00 8	P 300.00 9	P 150.00 10	P 300.00 11	P 300.00 12	P 150.00 13	P 150.00 14	P 300.00 15	P 150.00 16	P 300.00 17	P 150.00 18	P</t>
  </si>
  <si>
    <t xml:space="preserve"> REQUEST FOR EXPRESSION OF INTEREST (REOI) FOR CONSULTING SERVICES  19CSK00053 – Consulting Services for the Conduct of Soil Testing/Exploration for Bridge Projects - Geotechnical Investigation - Construction of Pigsuotan Bridge, Brgy. Mandulog, Iligan Cit</t>
  </si>
  <si>
    <t xml:space="preserve"> qspillway riprap  18.50m x 3.00m     55.50m2</t>
  </si>
  <si>
    <t xml:space="preserve"> Republic of the Philippines												 City of San Carlos												 Negros Occidental												 												 			INVITATION TO BID							FOR SALE	 			PURCHASE REQUEST NO: 31-20-02-0344			P 3,000.00	 Sealed bids for quotation of prices will be received</t>
  </si>
  <si>
    <t xml:space="preserve"> 20GID0016	Supply and Delivery of Reflectorized Traffic Paints for use in Repainting of Bridges, Guardrails and Headwall within the 2nd District of Leyte  Supply and Delivery of the Following: 120 pails Reflectorized Traffic Paint -White 20 pails- Reflecto</t>
  </si>
  <si>
    <t xml:space="preserve"> Republic of the Philippines												 City of San Carlos												 Negros Occidental												 												 			INVITATION TO BID							FOR SALE	 			PURCHASE REQUEST NO: 1-20-03-0520			P 1,000.00	 Sealed bids for quotation of prices will be received </t>
  </si>
  <si>
    <t xml:space="preserve"> q   30 sq.m</t>
  </si>
  <si>
    <t xml:space="preserve"> Republic of the Philippines OFFICE OF THE PUNONG BARANGAY Barangay LOCSOON Province of Misamis Occidental INVITATION TO BID The Office of the Punong Barangay of Barangay Locsoon through its Bids and Awards Committee [BAC], invites supplier/s registered wi</t>
  </si>
  <si>
    <t xml:space="preserve"> 1.	The Municipality of Consolacion, through the GF - 20% intends to apply the sum of Two Hundred Fifty-Three Thousand Four Hundred Fifty-Eight Pesos (P 253,458.00) being the Approved Budget for the Contract (ABC) to payments under the contract for Repair/</t>
  </si>
  <si>
    <t xml:space="preserve"> The Municipal Government of Bayog, Zamboanga del Sur thru its Bids and Awards Committee (BAC) invites all interested bidders for the “SUPPLY AND DELIVERY OF EMERGENCY AND RESCUE EQUIPMENT FOR FLOOD AND EARTHQUAKE” for preparedness and operations of the Mu</t>
  </si>
  <si>
    <t xml:space="preserve"> Construction of Field Office for the Engineer, Project Billboard, Occupational Safety and Health Program, Traffic Management, Mobilization/Demobilization, Clearing and Grubbing, Roadway Excavation (Common), Foundation Fill, Pipe Culvert and Drain Excavati</t>
  </si>
  <si>
    <t xml:space="preserve"> Construction of 3,077 ln.m. Water Supply System</t>
  </si>
  <si>
    <t xml:space="preserve"> 500	sets	Supply and Delivery of nine hundred (900) sets galvanized metal layer cage with forty-eight (48) heads of pullets ready to lay in every set. To thirty (30) MIC Farmers Associations in the Municipality of Leyte subject to its terms and conditions.</t>
  </si>
  <si>
    <t xml:space="preserve"> SECTION I. INVITATION TO BID FOR THE PROPOSED RENOVATION AND IMPROVEMENTS OF BOARDWALK AND WAINTING SHED 1. 	The DENR PENRO CEBU through the IPAF-RIA of PA OIWS intends to apply the sum of Three Million Two Hundred Seven Thousand Pesos (P3,207,000.00) bei</t>
  </si>
  <si>
    <t xml:space="preserve"> 1,166	Bags	Hog grower Pellets (50 kilos) 3,080	Bags	Hog Gestating Mash (50 kilos) 1,166	Bags	Hog Lactating Mash (50 kilos) 330	Bags	Piglet Booster (24 kilos) 3,916	Bags	Pre Starter (25 kilos) TERMS &amp; CONDITIONS: 1. The Supplier has a capacity to deliver t</t>
  </si>
  <si>
    <t xml:space="preserve"> supplies for Barangay Eco-aide and clean-up drive</t>
  </si>
  <si>
    <t xml:space="preserve"> The  Sangguniang Barangay  VILLA BOTA , through its Bids and Awards Committee (BAC), invites suppliers/manufacturers/distributors/contractors to apply for eligibility and to bid for the hereunder project: Name of Project	:  REHABILITATION  OF STREET LIGHT</t>
  </si>
  <si>
    <t xml:space="preserve"> REQUEST FOR EXPRESSION OF INTEREST (REOI) FOR CONSULTING SERVICES  19CSK00056 – Consulting Services for the Conduct of Soil Testing/Exploration for Bridge Projects - Geotechnical Investigation - Construction of Bridge, Cagayan de Oro Diversion Road, Jct. </t>
  </si>
  <si>
    <t xml:space="preserve"> City Government of Manila INVITATION TO BID NO. 2020-06-77 Procurement of Various MTPB Uniforms, Supplies and Materials 1.	The City Government of Manila, through the TRUSTFUND CY 2020 (2-01-01-020-OVR-25%) intends to apply the sum of Eight Million Three H</t>
  </si>
  <si>
    <t xml:space="preserve"> Republic of the Philippines												 City of San Carlos												 Negros Occidental												 												 			INVITATION TO BID							FOR SALE	 			PURCHASE REQUEST NO: 18-20-04-0549			P 1,956.00	 Sealed bids for quotation of prices will be received</t>
  </si>
  <si>
    <t xml:space="preserve"> - see Terms of Reference</t>
  </si>
  <si>
    <t xml:space="preserve"> INVITATION TO BID  1.	The CITY GOVERNMENT OF CAUAYAN, ISABELA through the 2020 GENERAL FUND intends to apply the sum of FOUR MILLION PESOS (Php 4,000,000.00) being the Approved Budget for the Contract (ABC) to payments under the contract for the Supply an</t>
  </si>
  <si>
    <t xml:space="preserve"> INVITATION TO BID PROCUREMENT OF VARIOUS PHARMACEUTICALS  ITB No. 2020-03-003 1.	The NORTHERN MINDANAO MEDICAL CENTER (NMMC), through the General Appropriations Act 2020 intends to apply the sum of One Hundred Sixty Nine Million Seven Hundred Sixty Six Th</t>
  </si>
  <si>
    <t xml:space="preserve"> Republic of the Philippines Province of Guimaras Municipality of Sibunag INVITATION TO BID FOR  Bid No. 2020-015 – Materials for Development of M unicipal Cemetery The Municipality of Sibunag  through the 2020 20% DF   (Development of Mun icipal Cemetery,</t>
  </si>
  <si>
    <t xml:space="preserve"> Trash Bins for Waste Segregation Projects</t>
  </si>
  <si>
    <t xml:space="preserve"> Contract ID No. 20GSK00012 - Supply and Installation of Office Furnitures &amp; Fixtures for use in the Road Right of Way New Office, Planning and Design Division. (Please see attached ITB)</t>
  </si>
  <si>
    <t xml:space="preserve"> The  Sangguniang Barangay  LAGUNA , through its Bids and Awards Committee (BAC), invites suppliers/manufacturers/distributors/contractors to apply for eligibility and to bid for the hereunder project: Name of Project	:  REHABILITATION  OF MULTI – PURPOSE </t>
  </si>
  <si>
    <t xml:space="preserve"> Concreting of Roads - Cluster I Area A. Valeroso Road, Barangay Caduldulaoan B. Marquez Road, Barangay Botbotones C. Antonio Road, Barangay San Vicente D. Antimano Road (Gap), Barangay Pinpinas</t>
  </si>
  <si>
    <t xml:space="preserve"> Republic of the Philippines Dagupan City BIDS AND AWARDS COMMITTEE INVITATION TO BID For the Procurement of Drugs and Medicines for CHO use (PR no.: 2020-00615-014) 1.	The City Government of Dagupan, through the 2020 Approved ANNUAL BUDGET intends to appl</t>
  </si>
  <si>
    <t xml:space="preserve"> Contract ID No. 20GSK00010 - Supply and Installation for Air Conditioning Units for use in the Planning and Design Division (RROW), 1st Quarter. (Please see attached ITB)</t>
  </si>
  <si>
    <t xml:space="preserve"> safety kits and supplies for BPSOs</t>
  </si>
  <si>
    <t xml:space="preserve"> Contract ID No. 20GSK00011 - Supply and Delivery of Office Supplies for the use in the Planning and Design Division for 2nd quarter, 2020. (Please see attached ITB)</t>
  </si>
  <si>
    <t xml:space="preserve"> Temporary Facilities, Project Billboard, Construction Safety and Health, Mobilization/Demobilization, Clearing and Grubbing, Roadway Excavation (Common), Foundation Fill, Pipe Culvert and Drain Excavation, Embankment from Road Excavation, Subgrade Prepara</t>
  </si>
  <si>
    <t xml:space="preserve"> Republic of the Philippines					 DEPARTMENT OF PUBLIC WORKS AND HIGHWAYS					 BUTUAN CITY DISTRICT ENGINEERING OFFICE					 REGIONAL OFFICE XIII					 Butuan City, Agusan del Norte					   Tel. Nos. 342-5331  Fax No. 225-2022					 					Page 1 of 6 Name of Pr</t>
  </si>
  <si>
    <t xml:space="preserve"> Republic of the Philippines PROVINCE OF SAMAR Municipality of Pinabacdao Invitation to Bid Repair of Brgy.Mambog Baily Bridge Pinabacdao Samar 1. The LOCAL GOVERMENT UNIT of PInabacdao Samar, through the FY 2020 Budget intends to apply the sum of Five Hun</t>
  </si>
  <si>
    <t xml:space="preserve"> BIDS AND AWARDS COMMITTEE INVITATION TO BID No. 026-2020 The METRO ROXAS WATER DISTRICT (MRWD), through its Bids and Awards Committee (BAC), invites Janitorial Agencies/Janitorial Service Providers to apply for eligibility and to bid for the hereunder pro</t>
  </si>
  <si>
    <t xml:space="preserve"> Construction of Field Office for the Engineer, Provision of Furnitures/Fixtures, Equipment and Appliances for the Field Office of the Engineer, Construction Survey and Staking, Project Billboard, Occupational Safety and Health Program, Traffic Management,</t>
  </si>
  <si>
    <t xml:space="preserve"> Repair/Maintenance and Replacement of various cctv cameras</t>
  </si>
  <si>
    <t xml:space="preserve"> INVITATION TO BID  1.	The CITY GOVERNMENT OF CAUAYAN, ISABELA through the 2020 GENERAL FUND intends to apply the sum of FOUR MILLION FIVE HUNDRED THOUSAND PESOS (Php 4,500,000.00) being the Approved Budget for the Contract (ABC) to payments under the cont</t>
  </si>
  <si>
    <t xml:space="preserve"> Concreting of Roads - Cluster II Area A. Villegas Road, Barangay Pilpila B. Espino Road, Barangay Vargas C. Esteban Road, Barangay Vargas D. Road #11, Barangay Sta. Ines East E. Road #5, Barangay Sta. Ines East</t>
  </si>
  <si>
    <t xml:space="preserve"> Supply of labor and parts for the repair and maintenance of barangay service patrols</t>
  </si>
  <si>
    <t xml:space="preserve"> 6	pcs	Swivel Chairs 				 		•Leather type without leg supporter, •Thick cushion				 		•Black textillen mesh, •Comportable Seat &amp; Back				 		•Maximum weight capacity: 100kg, •Tilt Lock Mechanism				 		•Chromed Steel Base and PP Casters				 		•Pneumatic Seat</t>
  </si>
  <si>
    <t xml:space="preserve"> 1	Pick-Up 4x4 1. Automatic transmission 2. 2.0 - 3.0 cc Engine displacement 3. Bedliner 4. Leather seat cover 5. Towing hitch</t>
  </si>
  <si>
    <t xml:space="preserve"> Brief Description/Specification: “SUPPLY AND DELIVERY OF VARIOUS FIRST AID SUPPLIES AND MATERIALS” for preparedness and operations of the Municipal Disaster Risk Reduction &amp; Management Office in the Municipal Government of Bayog, Zamboanga del Sur.   Appr</t>
  </si>
  <si>
    <t xml:space="preserve"> SURIGAO STATE COLLEGE OF TECHNOLOGY Surigao City INVITATION TO BID FOR IMPROVEMENT OF BUILDINGS AND ESTATES/PLANNING OFFICE 1.	The Surigao State College of Technology, through the Corporate Budget for the Contract Approved by the Governing Boards intends </t>
  </si>
  <si>
    <t xml:space="preserve"> INVITATION TO BID CONSTRUCTION OF VARIOUS INFRASTRUCTURE PROJECTS FOR THE CITY OF NAVOTAS UNDER LGSF The City Government of Navotas, through its Bids and Awards Committee, will hold a Public Bidding for the CONSTRUCTION OF VARIOUS INFRASTRUCTURE PROJECTS </t>
  </si>
  <si>
    <t xml:space="preserve"> Concreting of Roads - Cluster III Area A. Road #12, St. Anthony Subd., Barangay Pob. East B. Sagun Road, Barangay Pob. West C. Morales St. Extension (Gap), Barangay Pob. West D. Road #11, Barangay Pob. West</t>
  </si>
  <si>
    <t xml:space="preserve"> Const. of Two Storey  Building (Dimension:  22.50m x 9.40m) made of concrete masonry works, C- Joist suspended slabs, steel &amp; galva iron roofing sheets complete with ceilings, hanger &amp; nailers, paintings, plumbing &amp; sanitary fixtures, doors &amp; windows with</t>
  </si>
  <si>
    <t xml:space="preserve"> Additional cameras for various streets of Bgy. Mariana</t>
  </si>
  <si>
    <t xml:space="preserve"> ALBAY 3RD DISTRICT ENGINEERING OFFICE																											 Paulog, Ligao City																											 																											 																											 INVITATION TO BID																											 																											 															</t>
  </si>
  <si>
    <t xml:space="preserve"> Local Government Unit of Cordon, Isabela Invitation to Bid for Construction of Multi-Purpose Hall located  at LGU-Cordon, Isabela. 1.	The Local Government Unit, through the Provincial  Fund intends to apply the sum of Five Million Pesos          (P5,000,0</t>
  </si>
  <si>
    <t xml:space="preserve"> 330	Heads	GILT 		1. Grand Parent Stocks 		2. Parent Stocks 22	Heads	Boar 		1. Grand Parent Stocks 		2. Terminal lines 		3. A.I. Trained TERMS AND CONDITIONS: 1. The Supplier has a capacity to deliver the required Gilts and Boars needed by the project. 2. </t>
  </si>
  <si>
    <t xml:space="preserve"> The Municipality of Baliwag, through its Bids and Awards Committee (BAC), invites contractors to apply for eligibility and to bid the here ender project: Name of Project	:	ICT EQUIPMENT FOR EODB ONE STOP SHOP 	 Location		:	BALIWAG, BULACAN	 Brief Descript</t>
  </si>
  <si>
    <t xml:space="preserve"> ALBAY 3RD DISTRICT ENGINEERING OFFICE																										 Paulog, Ligao City																										 																										 INVITATION TO BID																										 																										 The DPWH - Albay 3rd District Engineering Office</t>
  </si>
  <si>
    <t xml:space="preserve"> 1000	vials	AMPICILLIN 250mg 1000	vials	AMPICILLIN 500mg 2000	vials	AMPICILLIN + SULBACTAM Na 750mg 1000	amps	BUPIVACAINE 0.5% HEAVY 4ml Sol. 2000	vials	CEFAZOLIN 1g 1000	vials	CEFTAZIDIME 1g 2000	vials	CEFTRIAXONE 1g 5000	vials	CEFUROXIME 750mg 500	amps	C</t>
  </si>
  <si>
    <t xml:space="preserve"> Invitation to Bid for the  PROCUREMENT OF VEHICLE Kiblawan, Davao del Sur 1.The Local Government Unit of Kiblawan, through the 2020 Peace and Order Fund[ In the case of National Government Agencies, the General Appropriations Act and/or continuing appropr</t>
  </si>
  <si>
    <t xml:space="preserve"> 288	bot	Aluminum Magnesium SUSP 60 ml 200	box	Aluminum Hydroxide + Magnesium Hydroxide 720	bot	Ambroxol 6mg/ml DROPS 15ml 2880	bot	Ambroxol 15mg/ml SYRUP 60ml 500	box	Ambroxol 30mg TAB 100s 300	box	Amlodipine 5mg TAB 100s 500	box	Amoxicillin 500mg CAP 100</t>
  </si>
  <si>
    <t xml:space="preserve"> Republic of the Philippines Province of Leyte MUNICIPALITY OF CAPOOCAN -oOo- CAPOOCAN BIDS AND AWARD COMMITTEE INVITATION TO BID  for SUPPLY AND DELIVERY OF 3 UNITS MOTOR VEHICLES 1.	The MUNICIPALITY of Capoocan, Leyte, through the MO GENERAL FUND, MDRRM </t>
  </si>
  <si>
    <t xml:space="preserve"> SPECIFICATION: &gt; Hybrid Solar Inverter (5KVA with Built-in MPPT Charge Controller, 48 vdc Input Voltage, 60A, 220-250VAC Pure Sine Wave Output &gt; Monocrystalline 335 watts Solar PV Modules (14 units) &gt; 4mm2/6mm2 DC Solar Cables &gt; 4.69lWp railing kit and ac</t>
  </si>
  <si>
    <t xml:space="preserve"> INVITATION TO BID (RE-BID) The Provincial Government of Palawan through its Bids and Awards Committee (BAC) invites suppliers/manufacturers/ distributors/contractors to apply for eligibility and to bid for the hereunder project. Name of the Project       </t>
  </si>
  <si>
    <t xml:space="preserve"> 500	units	Heavy Duty Utility Bed with the following specifications: -2020 all new model-hHigh  Density -Rigid-Military grade Camp AId Regular Utility Bed -3 Folds Utility Bed -Oxford Polyester Fabric  -Black PVC Coated Fabric density 6x6 275g/m2 -PVC Late</t>
  </si>
  <si>
    <t xml:space="preserve"> Invitation to Bid Republic of the Philippines City of Olongapo -0- BIDS AND AWARDS COMMITTEE BAC Office 3rd Floor  Olongapo City Hall  Web: www.olongapocity.gov.ph INVITATION TO BID FOR  OC-63(JLGMH-17) 20 GD  PROCUREMENT FOR THE SUPPLY AND DELIVERY OF ME</t>
  </si>
  <si>
    <t xml:space="preserve"> INVITATION TO BID FOR THE    CONTRACT ID: 19-10-208 REBID  Contract Name: SUPPLY, DELIVERY, TESTING AND COMMISSIONING OF BRAND NEW AMBULANCE (TYPE I)   Approved Budget for the Contract (ABC) : Php  82,500,000.00       Cost of Bidding Documents: Php 50,000</t>
  </si>
  <si>
    <t xml:space="preserve"> Construction of Masonry Drainage along Sampaguita Street (Panacal Village), Caggay-Tanza, Tuguegarao City</t>
  </si>
  <si>
    <t xml:space="preserve"> 900	BAGS	Chicken Layer Grower Crumble (50 kilos) 300	BAGS	Chicken Pre-Layer Crumble (50 kilos) 1500	BAGS	Chicken Layer 1 Crumble (50 kilos Terms and Conditions: a. Feeds delivered should be in good condition. b. Feeds should be delivered at thirty (30) Fa</t>
  </si>
  <si>
    <t xml:space="preserve"> Republic of the Philippines PROVINCE OF BUKDINON Malaybalay City OFFICE OF THE PROVINCIAL GOVERNOR Bids and Awards Committee INVITATION TO BID FOR THE “SUPPLY AND DELIVERY OF ONE LOT CONSUMABLES &amp; I.T SUPPLIES” ITB No. 2020-151 June 8, 2020 1.	The Provinc</t>
  </si>
  <si>
    <t xml:space="preserve"> Supplies and equipment for Barangay Dental Clinic</t>
  </si>
  <si>
    <t xml:space="preserve"> qcctv   1 set</t>
  </si>
  <si>
    <t xml:space="preserve"> Construction of Three (3) Phase Primary Distribution Line for Tuguegarao City Slaughter House (Ipil-Ipil Street, Capatan, Tuguegarao City)</t>
  </si>
  <si>
    <t xml:space="preserve"> INVITATION TO BID  No. 2020-015 The Department of Public Works and Highways -Davao del Norte District Engineering Office, Tagum City, Davao del Norte, through its Bids and Awards Committee (BAC), invites contractors to submit bids for the following Contra</t>
  </si>
  <si>
    <t xml:space="preserve"> The work covered under this contract shall include the following: 1. Construction of 5.20m vehicular gate 2. improvement of dryer house (painting and improvement of roof framing system) 3. provision of concrete ramp/approach 4. 200mm thick concrete paveme</t>
  </si>
  <si>
    <t xml:space="preserve"> Const. of Two Storey Building (Dimension:  11.80m x 7.00m) made of concrete, masonry works, steel &amp; galva iron roofing sheets complete with ceilings, hanger &amp; nailers, paintings, plumbing &amp; sanitary fixtures, doors &amp; windows with grills, railings, signage</t>
  </si>
  <si>
    <t xml:space="preserve"> Improvement of Pallua Elementary School Gymnasium (Pallua Elementary School, Pallua Sur)</t>
  </si>
  <si>
    <t xml:space="preserve"> Invitation to Bid Republic of the Philippines City of Olongapo -0- BIDS AND AWARDS COMMITTEE BAC Office 3rd Floor  Olongapo City Hall  Web: www.olongapocity.gov.ph INVITATION TO BID FOR  OC-64(DRRMO-05) 20 GD PROCUREMENT FOR THE SUPPLY AND DELIVERY OF BAS</t>
  </si>
  <si>
    <t xml:space="preserve"> Invitation to Bid Republic of the Philippines City of Olongapo -0- BIDS AND AWARDS COMMITTEE BAC Office 3rd Floor  Olongapo City Hall  Web: www.olongapocity.gov.ph INVITATION TO BID FOR  OC-65(DRRMO-06) 20 GD  PROCUREMENT FOR THE SUPPLY AND DELIVERY OF RE</t>
  </si>
  <si>
    <t xml:space="preserve"> Republic of the Philippines PROVINCE OF BUKDINON Malaybalay City OFFICE OF THE PROVINCIAL GOVERNOR Bids and Awards Committee INVITATION TO BID FOR THE “SUPPLY AND DELIVERY OF ONE LOT CONSTRUCTION MATERIALS &amp; ELECTRICAL SUPPLIES FOR VARIOUS OFFICES” ITB No</t>
  </si>
  <si>
    <t xml:space="preserve"> 1.	The Municipality of Guinayangan, Quezon through the 2020 C.O. intends to apply the sum of One Million Five Hundred Twelve Thousand Pesos  (P 1,512,000.00) being the Approved Budget for the Contract (ABC) to payments under the contract for the Concretin</t>
  </si>
  <si>
    <t xml:space="preserve"> INVITATION TO BID  1.	The CITY GOVERNMENT OF CAUAYAN, ISABELA through the 2020 GENERAL FUND intends to apply the sum of ONE MILLION THREE HUNDRED EIGHTY THOUSAND PESOS (Php 1,380,000.00) being the Approved Budget for the Contract (ABC) to payments under t</t>
  </si>
  <si>
    <t xml:space="preserve"> VALENZUELA MEDICAL CENTER									 Padrigal St., Karuhatan, Valenzuela City									 Telephone No. 294-6711									 									 PURCHASE REQUEST									 									 Office		Medical Division	 	PR. No.				Date:	June 1, 2020 Division		Physical Medicine and Reh</t>
  </si>
  <si>
    <t xml:space="preserve"> Republic of the Philippines Province of Oriental Mindoro MUNICIPALITY OF NAUJAN BIDS AND AWARDS COMMITTEE INVITATION TO BID SUPPLY AND DELIVERY OF OFFICE, JANITORIAL AND OTHER SUPPLIES TO BE USED IN DIFFERENT OFFICES, NAUJAN, ORIENTAL MINDORO 1.	The Munic</t>
  </si>
  <si>
    <t xml:space="preserve"> Vaccine, Rabies, Vero Cell Purified, 2.5IU/0.5ml vial +diluent,   Serum, anti-rabies (equine) 200IU/ml, 5ml vial Prospective Bidders must have completed a contract similar to the project with the amount of at least 50% of the ABC. Bidding will be conducte</t>
  </si>
  <si>
    <t xml:space="preserve"> ITEM NO                     DESCRIPTION                            QUANTITY        UNIT 105 (1)                       SUB-GRADE PREPARATION          900                SQ.M 201                             AGGREGATE BASE COURSE         157.5             CU</t>
  </si>
  <si>
    <t xml:space="preserve"> Invitation to Bid for the CONSTRUCTION OF JIABONG FIRE STATION  1.	The Bureau of Fire Protection Region 8, through the Special Accounts in the General Fund SAGF 2020 intends to apply the sum of Seven Million Three Hundred Twenty Thousand Nine Hundred Sixt</t>
  </si>
  <si>
    <t xml:space="preserve"> Installation of Tourism Information System Expected Output: 	Automated filing &amp; reporting system 	Automated counting of daily arrivals With the following disaggregation: •	Sex •	Age •	Nationality •	Address •	Accommodation •	Length of Stay</t>
  </si>
  <si>
    <t xml:space="preserve"> Const. of Two Storey Building (Dimension:  8.50m x 6.20m) made of concrete, masonry works, C- Joist suspended  slabs, steel, &amp; galva iron roofing sheets complete with ceilings, hanger, fie exit ladder, signages &amp; electrical systems including demolition of</t>
  </si>
  <si>
    <t xml:space="preserve"> INVATATION TO BID   CONSTRUCTION OF 2-STOREY MUNICIPAL MULTI-PURPOSE BUILDING Identification No. BARMM-SUL-06-SIA-03-20 June 4, 2020 The Municipality of Siasi, Province of Sulu, implementing  partner of the Development Bank of the Philippine (DBP) now inv</t>
  </si>
  <si>
    <t xml:space="preserve"> Republic of the Philippines Province of Oriental Mindoro MUNICIPALITY OF NAUJAN BIDS AND AWARDS COMMITTEE INVITATION TO BID SUPPLY AND DELIVERY OF MATERIALS TO BE USED IN THE INSTALLATION/ REHABILITATION OF WATER SYSTEM LEVEL II &amp; III IN DIFFERENT BARANGA</t>
  </si>
  <si>
    <t xml:space="preserve"> INVITATION TO BID FOR Procurement of Hospital Engineering &amp; Facilities Management Unit (HEMU) Supplies and ICT Equipment IB NO: 2020-019 The Western Visayas Medical Center, through Internally Generated Income and FY 2020 GAA, in the amount of Three Millio</t>
  </si>
  <si>
    <t xml:space="preserve"> OPENING OF BIDS IN DSWD FO IX ZAMBOANGA CITY		 DELIVERY IN DSWD-T ISABELA CITY, BASILAN PROVINCE		 PROCUREMENT FOR THE FF.:		 		 2	PCS.	FLASH DRIVE, 16gb CAPACITY 30	REAM	PAPER, MULTI-PURPOSE (COPY) LEGAL SIZE , 70gsm, 216mm X 330mm, SUB 20 30	REAM	PAPER,</t>
  </si>
  <si>
    <t xml:space="preserve"> 1. The LGU-Bakun, Benguet, through the 2020 20% MDF intends to apply the sum of   P 1,699,347.45 being the Approved Budget for the Contract (ABC) to payments under the contract Various Infrastructure Projects under Cluster I-2020, Kayapa, Bakun, Benguet (</t>
  </si>
  <si>
    <t xml:space="preserve"> INVITATION TO BID The DPWH Cebu 3rd District Engineering Office through its Bids and Awards Committee (BAC) for Goods, invites suppliers to submit bids for the following Contract:             Contract ID: 20GHF0005            Contract Name: Supply and Del</t>
  </si>
  <si>
    <t xml:space="preserve"> CONCRETING OF BARANGAY BUDAC TO BARANGAY GADDANI FMR Contract Location:                      Barangay Budac and Barangay Gaddani, Tayum, Abra Brief Description:                     Concreting of Roads using PCCP (Unreinforced,                             </t>
  </si>
  <si>
    <t xml:space="preserve"> Republic of the Philippines  Province of Bukidnon  MUNICIPALITY OF KALILANGAN    Bids and Award Committee (BAC)  INVITATION TO BID FOR  Goods 2020-06-016 The Local Government Unit – Kalilangan, Bukidnon through the BIDS AND AWARDS COMMITTEE (BAC) now invi</t>
  </si>
  <si>
    <t xml:space="preserve"> Diesel,  Umleaded Prospective Bidders must have completed a contract similar to the project with the amount of at least 50% of the ABC. Bidding will be conducted through open competitive bidding procedures using a non-discretionary “pass/fail” criterion a</t>
  </si>
  <si>
    <t xml:space="preserve"> Republic of the Philippines Province of Misamis Occidental MUNICIPALITY OF CALAMBA   INVITATION TO BID FOR THE CONCRETING OF IMAN STREET- BARANGAY MAGCAMIGUING 	June 9, 2020 1.	The Local Government Unit of Calamba, Misamis Occidental, through the 20% Deve</t>
  </si>
  <si>
    <t xml:space="preserve"> Concreting of Road with following description of works re:  Portland Cement Concrete Pavement (1,101.00 sq.m. @ 0.20m thk.) including subgrade and aggregate base course preparation and compaction.</t>
  </si>
  <si>
    <t xml:space="preserve"> Contract ID: 20PK0069 Contract Name: Cluster 1 - Repair and Rehabilitation of Infrastructure Facilities and Other Related Activities - Flood Control and Drainage Systems, Structures and Related Facilities, Mabilong and Dangoy, Lubuagan, Kalinga   Contract</t>
  </si>
  <si>
    <t xml:space="preserve"> Invitation to Bid for the CONSTRUCTION OF PINABACDAO FIRE STATION 1. The Bureau of Fire Protection Region 8, through the Special Accounts in the General Fund SAGF 2020 intends to apply the sum of Seven Million Three Hundred Twenty Thousand Nine Hundred Si</t>
  </si>
  <si>
    <t xml:space="preserve"> Invitation to Bid for the CONSTRUCTION OF PADRE BURGOS FIRE STATION  1.	The Bureau of Fire Protection Region 8, through the Special Accounts in the General Fund SAGF 2020 intends to apply the sum of Seven Million Three Hundred Twenty Thousand Nine Hundred</t>
  </si>
  <si>
    <t xml:space="preserve"> Concreting of Road with following description of works re:  Portland Cement Concrete Pavement (1,113.00 sq.m. @ 0.20m thk.) including subgrade and aggregate base course preparation and compaction.</t>
  </si>
  <si>
    <t xml:space="preserve"> Const. of Two Storey Building (Total Floor Area:  161.00 sq.m.) with 11.5m x 1.50m Balcony made of concrete, masonry works, C- Joist suspended slabs, steel &amp; galva iron roofing sheets complete with ceilings,  hanger &amp; nailers, paintings, plumbing &amp; sanita</t>
  </si>
  <si>
    <t xml:space="preserve"> Revised on: July 28, 2004                                            INVITATION TO APPLY FOR ELIGIBILITY AND TO BID                        The Local Government Unit of Catanauan, Quezon, through its Bids and Awards Committee (BAC), invites suppliers/manuf</t>
  </si>
  <si>
    <t xml:space="preserve"> This project is own by the Barangay Government of Lower Bag-ong Tudela, Josefina, Zamboanga del Sur which they have to repair their streetlights inorder to maintain the safety of their constituents.</t>
  </si>
  <si>
    <t xml:space="preserve"> Concreting of Road with following description of works re:  Portland Cement Concrete Pavement (492.00 sq.m. @ 0.20m thk.) including removal of existing PCCP (reblocking), roadway excavation, subgrade and aggregate base course preparation and compaction.</t>
  </si>
  <si>
    <t xml:space="preserve"> Const. of Stage with dressing room (Dimension: 8.0m x 7.00) complete with Reinf. Concrete column, masonry works, steel trusses &amp; coloroof g.i. sheet, rib- type roofing, paintings, doors, windows, ceiling, tileworks, sanitary/ plumbing and electrical syste</t>
  </si>
  <si>
    <t xml:space="preserve"> Construction of Slope Protection with following description of works re:  Grouted Riprap, Class A (Total Volume:  120.66 cu.m.) including individual Removal of Trees, Structure Excavation, Embankment &amp; Concrete Sealing, 150mm thk.</t>
  </si>
  <si>
    <t xml:space="preserve"> ITEMS OF WORK: I. DEMOLITION (SLABS, WALLS) ......................................................28.50 CU.M. II. EXCAVATION WORKS (MANUAL) ......................................................95.00 CU.M. III. HAULING AND DISPOSAL OF DEMOLISHED AND EXCAV</t>
  </si>
  <si>
    <t xml:space="preserve"> Republic of the Philippines Cordillera Administrative Region Provincial Local Government Unit of Ifugao BIDS AND AWARDS COMMITTEE - INFRA 3rd Floor PEO Bldg., Capitol Compound Lagawe, Ifugao Email Ad.: bacifugao@gmail.com INVITATION TO BID  		NCB Publicat</t>
  </si>
  <si>
    <t xml:space="preserve"> ITEMS OF WORK I. CLEARING AND GRUBBING II. INTAKE TANK III. TRANSMISSION PIPELINE IV. CABLE INSTALLATION V. PROJECT BILLBOARD</t>
  </si>
  <si>
    <t xml:space="preserve"> INVITATION TO BID FOR SUPPLY AND DELIVERY OF HDPE PIPES AND COMPRESSION FITTINGS 1. The Tanay Water District, through the Corporate Budget for the contract approved by the governing Boards intends to apply the sum of One Million One Hundred Seventy Two Th</t>
  </si>
  <si>
    <t xml:space="preserve"> Please refer to attached ITB</t>
  </si>
  <si>
    <t xml:space="preserve"> ITEMS OF WORK CLEARING AND GRUBBING INTAKE TANK TRANSMISSION PIPELINE RESERVOIR TANKS PROJECTS BILLBOARD</t>
  </si>
  <si>
    <t xml:space="preserve"> Const. of Three Storey Building (Dimension: 36m x 9.40m) made of concrete, masonry works, steel &amp; galva iron roofing sheets complete with ceilings, hanger &amp; nailers, paintings, plumbing &amp; sanitary fixtures, doors &amp; windows with grills, railings, fire exit</t>
  </si>
  <si>
    <t xml:space="preserve"> OPENING OF BIDS IN DSWD FO IX, ZAMBOANGA CITY		 DELIVERY IN DSWD HOME FOR WOMEN MAMPANG ZAMBOANGA CITY		 PROCUREMENT FOR THE FF.:		 		 1	UNIT 	TEMPORARY FENCE SHIELD 		FENCE 1.8m X 2.4m, 32 X 1.5mm WITH PAINT 		********************************** 		PURPOSE</t>
  </si>
  <si>
    <t xml:space="preserve"> Repair and Maintenance of Lined Canal</t>
  </si>
  <si>
    <t xml:space="preserve"> Const. of Two Storey Building (Dimension: 31.50m x 9.40m) made of concrete, masonry works, C- Joist suspended slabs, steel &amp; galva iron roofing sheets complete with ceilings, hanger &amp; nailers, paintings, plumbing &amp; sanitary fixtures, doors &amp; windows with </t>
  </si>
  <si>
    <t xml:space="preserve"> Municipality of ATIMONAN, QUEZON Standard From Number SF-INFRA-05 Revised on July 28, 2004 INVITATION TO BID The Municipal Government of ATIMONAN, QUEZON, through its Bids and Awards Committee (BAC), invites Contractors to apply for Eligibility and to Bid</t>
  </si>
  <si>
    <t xml:space="preserve"> PROJECT NAME: Improvement of Laduan Elementary School PROJECT LOCATION:  Lengaoan, Buguias, Benguet DURATION:  44 CD (Including mobilization and Curing) PROJECT Cost:  PHP 290,000.00 SOURCE OF FUND: 20% MDF CY 2020 ITEM NO.	DESCRIPTION							 QTY  	   	UN</t>
  </si>
  <si>
    <t xml:space="preserve"> Const. of Two (2) units Communal Toilet (Floor Area:  CR #1- 18.12 sqm; CR #2 22.06 sq.m.) made of concrete, masonry works, steel &amp; galva iron roofing sheets complete with ceilings, hanger &amp; nailers, paintings, plumbing, &amp; sanitary fixtures, doors &amp; windo</t>
  </si>
  <si>
    <t xml:space="preserve"> Const. of Two Storey Four Classroom Building (Dimension:  22.50m x 9.40m) made of concrete, masonry works, C- Joist suspended slabs, steel &amp; galva iron roofing sheets complete with ceilings, hanger &amp; nailers, paintings, plumbing &amp; sanitary fixtures, doors</t>
  </si>
  <si>
    <t xml:space="preserve"> REQUEST FOR EXPRESSION OF INTEREST (REI) FOR CONSULTING SERVICES FOR THE DESIGN REVIEW/CONSTRUCTION SUPERVISION OF THE AMBAL-SIMUAY RIVER AND RIO GRANDE DE MINDANAO RIVER FLOOD CONTROL PROJECTS PACKAGE 1 AND PACKAGE 2 1.	The Department of Public Works and</t>
  </si>
  <si>
    <t xml:space="preserve"> Const. of Two Storey Four Classroom Bldg. at Talisay ES, Brgy. Talisay, Calaca, Batangas</t>
  </si>
  <si>
    <t xml:space="preserve"> Const. of Two Storey "ALS" Building (Dimension:  19.05m x 9.15m) made of concrete, masonry works, C-Joist suspended slabs, steel &amp; galva iron roofing sheets complete with  ceilings, hanger &amp; nailers, paintings, plumbing &amp; sanitary fixtures, doors &amp; window</t>
  </si>
  <si>
    <t xml:space="preserve"> Republic of the Philippines DEPARTMENT OF PUBLIC WORKS AND HIGHWAYS REGIONAL OFFICE VIII Baras, Palo, Leyte    INVITATION TO BID No. 2020-06-001 June 8, 2020 1.	The Department of Public Works and Highways Regional Office VIII, Baras, Palo, Leyte, through </t>
  </si>
  <si>
    <t xml:space="preserve"> PROJECT NAME: Improvement of Gusadan – Lusong Pathway PROJECT LOCATION:  Buyacaoan, Buguias, Benguet DURATION:  37 CD (Including mobilization and Curing) PROJECT Cost:  PHP 100,000.00 SOURCE OF FUND: 20% MDF CY 2020 ITEM NO.	DESCRIPTION							 QTY  	   	U</t>
  </si>
  <si>
    <t xml:space="preserve"> CONCRETING OF FMR-BRGY. STA CRUZ Brgy. Sta. Cruz, Labo, Cams. Norte</t>
  </si>
  <si>
    <t xml:space="preserve"> INVITATION TO BID MUNICIPALITY OF BALETE THE MUNICIPALITY OF BALETE THRU BIDS AND AWARDS COMMITTEE INVITES ALL SUPPLIERS/BIDDERS/CONTRACTORS TO APPLY FOR ELIGIBILITY SCREENING AND IF SUBSEQUENTLY FOUND ELIGIBLE FOR THE PROCUREMENT REQUEST FOR THE PROJECT </t>
  </si>
  <si>
    <t xml:space="preserve"> Section II. Instructions to Bidders A.  General 1.	Scope of Bid 		 	1.1	The Procuring Entity as defined in the BDS, invites bids for the construction of Works, as described in Section VI- Specifications.  The name and identification number of the Contract</t>
  </si>
  <si>
    <t xml:space="preserve"> PROJECT NAME: Construction of Livestock Auction Center (Phase II)  PROJECT LOCATION:  Abatan, Buguias, Benguet DURATION:  191 CD (Including mobilization and Curing) PROJECT Cost:  PHP 2,635,385.80 SOURCE OF FUND: 20% MDF CY 2020 ITEM NO.	DESCRIPTION						</t>
  </si>
  <si>
    <t xml:space="preserve"> BIDS AND AWARDS COMMITTEE MUNICIPALITY OF BALETE THE MUNICIPALITY OF BALETE  THRU BIDS AND AWARDS COMMITTEE INVITES ALL SUPPLIERS/BIDDERS/CONTRACTORS TO APPLY FOR ELIGIBILITY SCREENING AND IF SUBSEQUENTLY FOUND ELIGIBLE FOR THE PROCUREMENT REQUEST FOR THE</t>
  </si>
  <si>
    <t xml:space="preserve"> City Government of Manila INVITATION TO BID  NO. 2020-06-86 Procurement of Various Airconditioning units and Supplies and Materials for Installation 1.	The City Government of Manila, through the Philhealth Fund intends to apply the sum of Four Million Thr</t>
  </si>
  <si>
    <t xml:space="preserve"> PROJECT NAME: Construction of Naybo Child Development Center (Phase II)  PROJECT LOCATION:  Poblacion, Buguias, Benguet DURATION:  68 CD (Including mobilization and Curing) PROJECT Cost:  PHP 400,000.00 SOURCE OF FUND: Supplemental Budget CY 2020 ITEM NO.</t>
  </si>
  <si>
    <t xml:space="preserve"> CONCRETING OF FMR-BRGY. MASALONG Dumpsite, Brgy. Masalong, Labo, Cams. Norte</t>
  </si>
  <si>
    <t xml:space="preserve"> CONCRETING OF FMR-BRGY. BAKIAD PSHIDA, Brgy. Bakiad, Labo, Cams. Norte</t>
  </si>
  <si>
    <t xml:space="preserve"> CONCRETING OF FMR-BRGY. BAKIAD P3, Brgy. Bakiad, Labo, Cams. Norte</t>
  </si>
  <si>
    <t xml:space="preserve"> 1.00 LOT - PROJECT BILLBOARD 5250.00 SQ.M. - CLEARING AND GRUBBING 2478.00 CU.M. - COMMON EXCAVATION 3000.00 SQ.M. - SUBGRADE PREPARATION 1.00 UNIT - CSPMC CABINET</t>
  </si>
  <si>
    <t xml:space="preserve"> I. DISMANTLING OF DILAPIDATED PUMP &amp; ACCESSORIES II. REPLACEMENT/INSTALLATION</t>
  </si>
  <si>
    <t xml:space="preserve"> 2020-049 REHABILITATION OF BUREAU OF FIRE PROTECTION (BFP) BUILDING AT MUNICIPAL HALL COMPOUND, MIDSAYAP, COTABATO</t>
  </si>
  <si>
    <t xml:space="preserve"> BIDS AND AWARDS COMMITTEE MUNICIPALITY OF BALETE THE MUNICIPALITY OF BALETE THRU BIDS AND AWARDS COMMITTE INVITES ALL SUPPLIERS/BIDDERS/CONTRACTORS TO APPLY FOR ELIGIBILITY SCREENING AND IF SUBSEQUENTLY FOUND ELIGIBLE FOR THE PROCUREMENT REQUEST FOR THE P</t>
  </si>
  <si>
    <t xml:space="preserve"> Provision of Field Office for the Engineer (Rental Basis); Project Billboard/Sign Board; Occupational Safety &amp; Health Program; Mobilization/Demobilization; Clearing &amp; Grubbing; Surplus Common Excavation; Structure Excavation, Soft Rock; Embankment from Bo</t>
  </si>
  <si>
    <t xml:space="preserve"> Description I.	Reinforced Concrete  II.	Masonry Works III.	Railings  IV.	Doors and Windows  V.	Ceramic / Unglazed Tiles  VI.	Electrical Works VII.	Painting  1. Barangay Solano, TANAUAN, LEYTE through the bids and awards comm.) invites suppliers, distribut</t>
  </si>
  <si>
    <t xml:space="preserve"> 2020-050, CONSTRUCTION OF BOX CULVERT AT PUROK 3, MILAYA, MIDSAYAP, COTABATO</t>
  </si>
  <si>
    <t xml:space="preserve"> Provision of Combined Field Office, Laboratory and Living Quarters Building for the Engineer (Rental Basis); Project Billboard/Signboard; Occupational Safety and Health Program; Traffic Management; Mobilization/Demobilization; Clearing and Grubbing (w/ st</t>
  </si>
  <si>
    <t xml:space="preserve"> The DPWH-North Manila District Engineering Office, through its Bids and Awards Committee (BAC) invites contractors to submit bids for the following Contract: 2.	  Contract I.D. No. 20OE0199   Contract Name: MOOE – Maintenance, Repair and Rehabilitation of</t>
  </si>
  <si>
    <t xml:space="preserve"> The DPWH-North Manila District Engineering Office, through its Bids and Awards Committee (BAC) invites contractors to submit bids for the following Contract: 1.	  Contract I.D. No. 20OE0198   Contract Name: MOOE – Maintenance, Repair and Rehabilitation of</t>
  </si>
  <si>
    <t xml:space="preserve"> Republic of the Philippines  Department of  Science and Technology  Regional Office No. IX  Pettit Barracks,   Zamboanga  City Tel. Nos. (062) 992-1114; (062) 991-1024 INVITATION TO BID SUPPLY AND DELIVERY OF SUPPLY AND DELIVERY OF CALIBRATION AND RECERTI</t>
  </si>
  <si>
    <t xml:space="preserve"> 1 lot Research Work, Museum Text and AVP Script Writing of the Dambanang Lapu-lapu (Lapu-Lapu Shrine), Lapu-Lapu City, Cebu</t>
  </si>
  <si>
    <t xml:space="preserve"> Municipality of Looc INVITATION TO BID FOR Purchase for Risk Communication and Hygiene Kits 1.	The Municipality of Looc, through the Bayanihan Grant intends to apply the sum of Php 1,850,504.00 being the Approved Budget for the Contract (ABC) to payments </t>
  </si>
  <si>
    <t xml:space="preserve"> 2020-039, CONSTRUCTION OF BAILEY BRIDGE CONNECTING PUROK 4 AND PUROK 5, POBLACION 5, MIDSAYAP, COTABATO</t>
  </si>
  <si>
    <t xml:space="preserve"> National Power Corporation INVITATION TO BID PUBLIC BIDDING 2020-0094 1.	National Power Corporation (NPC) has received financing from the European Union administered by World Bank toward the cost of the Access to Sustainable Energy Project (ASEP), Philipp</t>
  </si>
  <si>
    <t xml:space="preserve"> RENOVATION OF LABO MUNICIPAL MUSEUM Municipal Museum, Labo, Cams. Norte</t>
  </si>
  <si>
    <t xml:space="preserve"> Project Billboard/Sign Board; Occupational Safety and Health Program; Mobilization/Demobilization; Subgrade Preparation (Common Material); Aggregate Subbase Course (0.15m thick); Portland Cement Concrete Pavement (Unreinforced), (0.20m thick, 14 days).</t>
  </si>
  <si>
    <t xml:space="preserve"> 2020-036, CONSTRUCTION OF STEEL BRIDGE AT SITIO PANGPANG, PUROK 4, BARANGAY UPPER GLAD 1, MIDSAYAP, COTABATO</t>
  </si>
  <si>
    <t xml:space="preserve"> The DPWH-North Manila District Engineering Office, through its Bids and Awards Committee (BAC) invites contractors to submit bids for the following Contract: 4.	 Contract I.D. No. 20OE0201   Contract Name: Construction / Rehabilitation of Water Supply / S</t>
  </si>
  <si>
    <t xml:space="preserve"> 2020-051, SUPPLY AND DELIVERY OF ELECTRONIC DEVICES AND EQUIPMENT FOR EXPLOSIVE ORDNANCE DISPOSAL (EOD) UNIT AT LGU MIDSAYAP, COTABATO</t>
  </si>
  <si>
    <t xml:space="preserve"> The DPWH-North Manila District Engineering Office, through its Bids and Awards Committee (BAC) invites contractors to submit bids for the following Contract: 3.	Contract I.D. No. 20OE0200   Contract Name: MOOE – Maintenance, Repair and Rehabilitation of I</t>
  </si>
  <si>
    <t xml:space="preserve"> Fuel &amp; Lubricants of  Service Vehicle for Supervision/Implementation of Regular Infra Projects</t>
  </si>
  <si>
    <t xml:space="preserve"> Thermoplastic Pavement Markings</t>
  </si>
  <si>
    <t xml:space="preserve"> Purchase of Asphalt Cement 60/70 for Various Bridges along Various Road Sections</t>
  </si>
  <si>
    <t xml:space="preserve"> Purchase of Materials for Act. # 122 Crack and Joint Sealing of Concrete Pavement - Maintenance Section</t>
  </si>
  <si>
    <t xml:space="preserve"> Invitation to Bid for Rehabilitation and Construction of Barangay Street Lights, Brgy.Lim-ao, Kananga, Leyte 1.	The Barangay Government of Lim-ao, Kananga, Leyte, through its BIDS AND AWARDS COMMITTEE (BAC),through the DOE ER 1-94 funds intends to apply t</t>
  </si>
  <si>
    <t xml:space="preserve"> The DPWH – Bulacan First District Engineering Office, through its Bids and Awards Committee (BAC), invites contractors to submit bids for the following Contract: Contract ID: 20CC0244 Contract Name: Construction of two storey six classroom – Lolomboy Elem</t>
  </si>
  <si>
    <t xml:space="preserve"> Road Safety Devices</t>
  </si>
  <si>
    <t xml:space="preserve"> Repair of One(1) Building</t>
  </si>
  <si>
    <t xml:space="preserve"> 30 PCS. 4MP Night Color Technology POE Bullet with Varifocal-IP Network Security Camera with Accessories 30 pcs. Waterproof Survillence Outdoor Junction Box(Camera Terminal) 1 unit 32 Channel Network Video Recorder 2U SATA ( 8sata ports up 10TB HD capacit</t>
  </si>
  <si>
    <t xml:space="preserve"> Purchase of Materials, Tools &amp; Equipment use for Routine Maintenance along Various Road Sections</t>
  </si>
  <si>
    <t xml:space="preserve"> The DPWH – Bulacan First District Engineering Office, through its Bids and Awards Committee (BAC), invites contractors to submit bids for the following Contract: Contract ID: 20CC0245 Contract Name: Construction of two storey six classroom – Guiguinto Cen</t>
  </si>
  <si>
    <t xml:space="preserve"> Repainting of Centerline</t>
  </si>
  <si>
    <t xml:space="preserve"> Cluster 15- Sewerage and Waste Water Facility and Boardwalk, Puerto Galera, Oriental Mindoro  15.1 Construction of Boardwalk and Sewage Treatment Plant Phase 2 at Sabang Beach, Puerto Galera, Oriental Mindoro 15.2 Construction of Boardwalk and Sewage Trea</t>
  </si>
  <si>
    <t xml:space="preserve"> The DPWH – Bulacan First District Engineering Office, through its Bids and Awards Committee (BAC), invites contractors to submit bids for the following Contract: Contract ID: 20CC0248 Contract Name: Construction of three storey nine classroom – Tikay Elem</t>
  </si>
  <si>
    <t xml:space="preserve"> STOCK NO.		ITEM DESCRIPTION		QTY.	UNIT 1	)	Alcohol, Isopropyl, 70% Solution, 330ml, Spray 		94	bottles 2	)	Anti-virus Software, Licensed, 5 Devices		2	lic. 3	)	Ballpen, 0.5mm, Ball Needle Point, Black 		24	pieces 4	)	Ballpen, 1 Box, Black		1	box 5	)	Ballp</t>
  </si>
  <si>
    <t xml:space="preserve"> The DPWH – Bulacan First District Engineering Office, through its Bids and Awards Committee (BAC), invites contractors to submit bids for the following Contract: Contract ID: 20CC0246 Contract Name: Construction of three storey nine classroom – Pres. Cora</t>
  </si>
  <si>
    <t xml:space="preserve"> NOTICE OF NEGOTIATED PROCUREMENT (Small Value Procurement-Individual Consultant) DSWD NNP No. 20-GOP-SVC-002-A “Hiring of Writer/Technical Editor for the 2019 DSWD Annual Report” (PR No. 01-20001-PR-2020-02-00197) 1. The Department of Social Welfare and D</t>
  </si>
  <si>
    <t xml:space="preserve"> The DPWH – Bulacan First District Engineering Office, through its Bids and Awards Committee (BAC), invites contractors to submit bids for the following Contract: Contract ID: 20CC0247 Contract Name: Construction of three storey nine classroom – Longos Ele</t>
  </si>
  <si>
    <t xml:space="preserve"> The DPWH – Bulacan First District Engineering Office, through its Bids and Awards Committee (BAC), invites contractors to submit bids for the following Contract: Contract ID: 20CC0249 Contract Name: Construction of four storey eight classroom – Lolomboy N</t>
  </si>
  <si>
    <t xml:space="preserve"> The DPWH – Bulacan First District Engineering Office, through its Bids and Awards Committee (BAC), invites contractors to submit bids for the following Contract: Contract ID: 20CC0252 Contract Name: Concreting of Brgy. Catacte FMR Contract Location: Brgy.</t>
  </si>
  <si>
    <t xml:space="preserve"> 4x4 Mini-Dump Truck for Hauling of Solid Waste with the following Specifications: Cabin:					1880mm extended cab,LHD, A/C  Vehicle Main Dimensions:		Overall dimensions (LxWxH)mm5995x2350x3450 Wheel base:  			(mm)3360Wheel track (front/rear) (mm)1160/1475 </t>
  </si>
  <si>
    <t xml:space="preserve"> Republic of the Philippines DEPARTMENT OF PUBLIC WORKS AND HIGHWAYS BATANGAS III DISTRICT ENGINEERING OFFICE REGIONAL OFFICE IV-A J. Gonzales St., Barangay 4, Tanauan City INVITATION TO BID (CW-2020-034) The DPWH–Batangas III District Engineering Office, </t>
  </si>
  <si>
    <t xml:space="preserve"> The DPWH – Bulacan First District Engineering Office, through its Bids and Awards Committee (BAC), invites contractors to submit bids for the following Contract: Contract ID: 20CC0251 Contract Name: Construction of three storey nine classroom – Bulihan Na</t>
  </si>
  <si>
    <t xml:space="preserve"> The DPWH – Bulacan First District Engineering Office, through its Bids and Awards Committee (BAC), invites contractors to submit bids for the following Contract: Contract ID: 20CC0254 Contract Name: Concreting of Brgy. Siling Bata to Brgy. Cacarong Matand</t>
  </si>
  <si>
    <t xml:space="preserve"> For Road Protection in Sitio Can-Anyong</t>
  </si>
  <si>
    <t xml:space="preserve"> 500 UNITS GO BAG N95 Mask Flashlight First Aid Kits Radio Transistor Sleeping Bag Cangoods  MineralWater Bisquits Toiletries</t>
  </si>
  <si>
    <t xml:space="preserve"> The DPWH – Bulacan First District Engineering Office, through its Bids and Awards Committee (BAC), invites contractors to submit bids for the following Contract: Contract ID: 20CC0250 Contract Name: Construction of three storey twelve classroom – Bungahan</t>
  </si>
  <si>
    <t xml:space="preserve"> Procurement of Computed Radiography Laser Imaging System(HFEP)</t>
  </si>
  <si>
    <t xml:space="preserve"> Utility Vehicle for LDRRMC Use with the Following Specifications: Engine Model:		2 GD-FTV (low) Engine Type:		2.4diesel, 4-cylinder, 16 valve DOHC Variable, Nozzle Turbo with front Mounted Intercooler Displacement:		2,389 cc Max Output: 			hm/rpm 147/3,40</t>
  </si>
  <si>
    <t xml:space="preserve"> REPUBLIC OF THE PHILIPPINES PROVINCE OF EASTERN SAMAR MUNICIPALITY OF LAWAAN REQUEST FOR QUOTATION PR No.: RFQ No.: PR Date: PhilGEPS Reference No. : End-User : Closing Date: ABC:650,000.00 Time: Sir/Madam: Please quote your lowest price on the items/s li</t>
  </si>
  <si>
    <t xml:space="preserve"> The DPWH – Bulacan First District Engineering Office, through its Bids and Awards Committee (BAC), invites contractors to submit bids for the following Contract: Contract ID: 20CC0253 Contract Name: Concreting of Brgy. Tanawan to Brgy. Poblacion FMR Contr</t>
  </si>
  <si>
    <t xml:space="preserve"> Pick-up Utility Vehicle for LDRRMC Use with the following Specifications: Engine Model:				4JJ1-TCX Engine Type:	4-cylinder In-line Blue Power Diesel w/ Turbo intercooler Displacement:				2,999cc Maximum Power	PS(kW)@rpm:	177(130)@3,600 Maximum Torque	N-m</t>
  </si>
  <si>
    <t xml:space="preserve"> Procurement of Ultrasound (HFEP)</t>
  </si>
  <si>
    <t xml:space="preserve"> Supply and Delivery of Medical Equipment for Community Hospital</t>
  </si>
  <si>
    <t xml:space="preserve"> 1.	The Human Rights Violations Victims’ Memorial Commission, through the 2019 General Appropriations Act, intends to apply the sum of One Million Four-Hundred Thirty Thousand Pesos Only (Php 1,430,000.00)) being the Approved Budget for the Contract (ABC) </t>
  </si>
  <si>
    <t xml:space="preserve"> Two-Storey School Building</t>
  </si>
  <si>
    <t xml:space="preserve"> 2.	The Municipal Government of Atok, Benguet now invites bids for MDRRMF CLUSTER 3-2020 PROJECT: REHABILITATION OF KM. 288-BETAC-WAGI ROAD AT ABIANG, ATOK, BENGUET with the following Scope of Works: 102.		EXCAVATION 104.		EMBANKMENT 405.		STRUCTURAL CONCR</t>
  </si>
  <si>
    <t xml:space="preserve"> Republic of the Philippines Province of Northern Samar MUNICIPALITY OF LOPE DE VEGA Lope De Vega, Northern Samar Invitation to Bid IMPROVEMENT OF MUNICIPAL PARK Barangay Poblacion, Lope De Vega, Northern Samar  The Local Government Unit – Lope De Vega, No</t>
  </si>
  <si>
    <t xml:space="preserve"> PROCUREMENT OF FURNITURE &amp; FIXTURES &amp; OTHER EQUIPMENT 1.	The Municipal Government of Placer, through the Budget for the contract approved by the respective Sanggunian-  General Fund CY 2020 intends to apply the sum of One Million Four Hundred Thirty Thous</t>
  </si>
  <si>
    <t xml:space="preserve"> Republic of the Philippines Province of Northern Samar MUNICIPALITY OF LOPE DE VEGA Lope De Vega, Northern Samar Invitation to Bid CONSTRUCTION OF SLOPE PROTECTION AND COMPLETION OF EVACUATION CENTER Barangay Osmena, Lope De Vega, Northern Samar  The Loca</t>
  </si>
  <si>
    <t xml:space="preserve"> The Municipal Government of Atok, Benguet now invites bids for MDF CLUSTER 11-2020 PROJECT: REHABILITATION OF IRRIGATION CANAL AT CASDAN, NAGUEY, ATOK, BENGUET with the following Scope of Works: SPL. 1.	INSTALLATION OF BILLBOARD/TARPAULIN	 I.	EXCAVATION/S</t>
  </si>
  <si>
    <t xml:space="preserve"> Supply and Delivery of Plastic Melter for City ENRO</t>
  </si>
  <si>
    <t xml:space="preserve"> BID PROPOSAL MESS FOODSTUFF						 AUGUST TO DEC 2020						 						 LOT A. RICE						 						 MONTHS						 ITEMS/DESCRIPTION	QTY 	UNIT	Unit Price	Total Price	Unit Price	Total Price 	 5 months					 Rice; Semi-laon/Commercial 50 kg (long grain)	1000	sacks		 - </t>
  </si>
  <si>
    <t xml:space="preserve"> INVITATION TO BID FOR:  PROCUREMENT OF IT &amp; OTHER OFFICE EQUIPMENT 1.	The Municipal Government of Placer, through the Budgte for the contract approved by the respective Sanggunian-  General Fund CY 2020 intends to apply the sum of Two Million One Hundred </t>
  </si>
  <si>
    <t xml:space="preserve"> IB 2020-06-005 PORL Procurement of Operating Room Light 2020-05</t>
  </si>
  <si>
    <t xml:space="preserve"> Republic of the Philippines Province of Northern Samar MUNICIPALITY OF LOPE DE VEGA -oo0oo- BIDS AND AWARDS COMMITTEE INVITATION TO BID  The Bids and Awards Committee of the Municipality of Lope de Vega hereby invites accredited business entities to bid f</t>
  </si>
  <si>
    <t xml:space="preserve"> Invitation to Bid for: UPGRADING OF ELECTRICAL SYSTEM, PHASE I 1.	The Municipal Government of Placer, through the Budget approved by the Sanggunian - 20% EDF CY2020 intends to apply the sum of Five Million pesos (P5,000,000.00) being the Approved Budget f</t>
  </si>
  <si>
    <t xml:space="preserve"> Two-Storey School Building (Research Office)</t>
  </si>
  <si>
    <t xml:space="preserve"> The Municipal Government of Atok, Benguet now invites bids for MDF CLUSTER 12-2020 PROJECTS AT PAOAY, ATOK, BENGUET with the following Clustered Projects: 1.	CONSTRUCTION OF PAVEMENT ALONG GUEWENG-SALAT ROAD WITH AN ABC OF P500,000.00; AND 2.	CONSTRUCTION</t>
  </si>
  <si>
    <t xml:space="preserve"> IB 2020-06-006 PSS Procurement of Steam Sterilizer 2020-06</t>
  </si>
  <si>
    <t xml:space="preserve"> Invitation to Bid for: CONSTRUCTION OF INTEGRATED TERMINAL 1.	The Municipal Government of Placer, through the Budget approved by the respective Sanggunian - through DBP loan intends to apply the sum of Twenty Five Million pesos (P25,000,000.00) being the </t>
  </si>
  <si>
    <t xml:space="preserve"> Two-Storey School Building (Training Center with Lodging Rooms)</t>
  </si>
  <si>
    <t xml:space="preserve"> Upgrading of Primary/Secondary Lines, Transformers and provision of Gen-Set with Housing</t>
  </si>
  <si>
    <t xml:space="preserve"> BID PROPOSAL MESS FOODSTUFF						 AUGUST TO DEC 2020						 LOT B. MEAT 						 						 MONTHS						 ITEMS/DESCRIPTION	QTY 	UNIT	Unit Price	Total Price	Unit Price	Total Price 	 5 months					 Beef Sirloin (cut as requested)	3000	kgs		 -   		 -    Pork liempo	</t>
  </si>
  <si>
    <t xml:space="preserve"> BID PROPOSAL MESS FOODSTUFF						 AUGUST TO DEC 2020						 LOT .F VEGETABLES,LEGUMES &amp; DESSERT						 						 MONTHS						 ITEMS/DESCRIPTION	QTY 	UNIT	Unit Price	Total Price	Unit Price	Total Price 	 5 months					 Ampalaya	320	kg.		 -   		 -    Ampalaya leav</t>
  </si>
  <si>
    <t xml:space="preserve"> Invitation to Bid for the Road Concreting (NRJ Camagong-Resettlement Site) Barangay Road, Brgy. Camagong The Local Government Unit of Nasipit, through the 20% MDF 2020 intends to apply the sum of One Million Nine Hundred Thousand Pesos (Php 1,900,000.00) </t>
  </si>
  <si>
    <t xml:space="preserve"> BID PROPOSAL MESS FOODSTUFF						 AUGUST TO DEC 2020						 LOT D.DRIED &amp; FRESH FISH						 						 MONTHS						 ITEMS/DESCRIPTION	QTY 	UNIT	Unit Price	Total Price	Unit Price	Total Price 	 5 months					 						 Bangus,cleaned 2 pcs/kg	1300	kgs		 -   		 -    G</t>
  </si>
  <si>
    <t xml:space="preserve"> BID PROPOSAL MESS FOODSTUFF						 AUGUST TO DEC 2020						 LOT.E GROCERIES						 						 MONTHS						 ITEMS/DESCRIPTION	QTY 	UNIT	Unit Price	Total Price	Unit Price	Total Price 	 5 months					 GROCERIES						 All Around Sarsa, 320 gm	 500 	btl.		 -   		 -  </t>
  </si>
  <si>
    <t xml:space="preserve"> For replace of various damaged parts of Municipal Vehicles.</t>
  </si>
  <si>
    <t xml:space="preserve"> BID PROPOSAL MESS FOODSTUFF						 AUGUST TO DEC 2020						 LOT C. POULTRY						 						 MONTHS						 ITEMS/DESCRIPTION	QTY 	UNIT	Unit Price	Total Price	Unit Price	Total Price 	 5 months					 Chicken Breast ( less neck)	3000	kgs		 -   		 -    Chicken Legs (</t>
  </si>
  <si>
    <t xml:space="preserve"> BIDS AND AWARDS COMMITTEE INVITATION TO BID The DEPARTMENT OF HEALTH – CENTRAL VISAYAS CENTER for HEALTH DEVELOPMENT (DOH – CV CHD), through its Bids and Awards Committee (BAC), invites contractors to bid for the hereunder projects: BAC NO. 2020-I01 	 NAM</t>
  </si>
  <si>
    <t xml:space="preserve"> For distribution to farmers.</t>
  </si>
  <si>
    <t xml:space="preserve"> For Awuyon Community Municipal Hospital use.</t>
  </si>
  <si>
    <t xml:space="preserve"> Invitation to Bid for the Construction of Multi-Purpose Building (Phase III), Brgy. Cubi-Cubi 1.	The Local Government Unit of Nasipit, through the 20% MDF 2020 intends to apply the sum of Nine Hundred Ninety-Nine Thousand Nine Hundred Fifty-One Pesos and </t>
  </si>
  <si>
    <t xml:space="preserve"> Food Supplies Assistance to Military and MPOC Members.</t>
  </si>
  <si>
    <t xml:space="preserve"> ACQUISITION OF 55 UNITS LAPTOPS		 		 		 UNIT	ITEM/DESRIPTION	QUANTITY pcs	Laptops	55 	Core i5 ( latest gen)	 	8gb RAM	 	256GB SSD	 	ITB HDD	 	Intel UHD Graphics 620 Nvidia MX130 GDDR5 2 G	 	Windows 10 Pro 64bit	 	Ports:	 	1 USB type C 3.1 Gen 1 with Power</t>
  </si>
  <si>
    <t xml:space="preserve"> Description of Works to be Done Part A. Civil Works.......................................92.77% Part B. General Item &amp; Other Requirements......7.23% ...................................................................100% Item/Description.................</t>
  </si>
  <si>
    <t xml:space="preserve"> Republic of the Philippines PROVINCE OF SOUTHERN LEYTE Municipality of San Juan BIDS AND AWARD COMMITTEE INVITATION TO BID FOR  Procurement of Surveying Equipment The Municipality of San Juan through the General Fund intends to apply the sum of Four Hundr</t>
  </si>
  <si>
    <t xml:space="preserve"> ROAD IMPROVEMENT: SEE PROGRAM OF WORKS, DRAWINGS AND BILL OF QUANTITIES UPON PAYMENT OF BIDDING DOCUMENTS</t>
  </si>
  <si>
    <t xml:space="preserve"> 4 cylinder, turbo-intercooler, common-rail direct injection, blue power diesel engine, passenger van body type,  Displacement: 2.8-3.0 liters Max power PS/RPM: 72kw (98hp)/3400 Max torque (Nm/Rpm): 220N.m/1700 Emission standard: EURO 4 Brakes: service: dr</t>
  </si>
  <si>
    <t xml:space="preserve"> Republic of the Philippines Cordillera Administrative Region Province of Abra Bangued INVITATION TO BID FOR THE SUPPLY AND DELIVERY OF BACKYARD GARDENING SUPPLIES AND ASSORTED VEGETABLE SEEDS 1.	The PROVINCIAL GOVERNMENT OF ABRA through the Budget for the</t>
  </si>
  <si>
    <t xml:space="preserve"> BID PROPOSAL MESS FOODSTUFF						 AUGUST TO DEC 2020						 						 LOT .G COLD CUTS						 						 MONTHS						 ITEMS/DESCRIPTION	QTY 	UNIT	Unit Price	Total Price	Unit Price	Total Price 	 5 months					 Burger Patties,80 pcs	160	box		 -   		 -    Hotdog jumbo</t>
  </si>
  <si>
    <t xml:space="preserve"> Republic of the Philippines  Province of Bukidnon  MUNICIPALITY OF KALILANGAN    Bids and Award Committee (BAC)  INVITATION TO BID FOR  Infra 2020-06-007 The Local Government Unit – Kalilangan, Bukidnon through the BIDS AND AWARDS COMMITTEE (BAC) now invi</t>
  </si>
  <si>
    <t xml:space="preserve"> Republic of the Philippines Department of Public Works and Highways DAVAO ORIENTAL FIRST DISTRICT ENGINEERING OFFICE REGION XI Lucod, Baganga, Davao Oriental INVITATION TO BID ITB No. 2020-035 1.	The Department of Public Works and Highways Davao Oriental </t>
  </si>
  <si>
    <t xml:space="preserve"> Republic of the Philippines  Province of Bukidnon  MUNICIPALITY OF KALILANGAN    Bids and Award Committee (BAC)  INVITATION TO BID FOR  Infra 2020-06-009 The Local Government Unit – Kalilangan, Bukidnon through the BIDS AND AWARDS COMMITTEE (BAC) now invi</t>
  </si>
  <si>
    <t xml:space="preserve"> Republic of the Philippines Province of Iloilo  Municipality of Pototan BIDS AND AWARDS COMMITTEE INVITATION TO BID 1.	The Municipality of Pototan, through the IRA Fund‘‘ intends to apply the sum of (2,500,000.00) being the Approved Budget for the Contrac</t>
  </si>
  <si>
    <t xml:space="preserve"> IMPROVEMENT/ UPGRADING OF ABATAN- BAGNEN ROAD FUND SOURCE: DILG (CMGP) TYPES OF WORK TO BE DONE: Provision of field office for the engineer (rental basis) Provision of furniture, equipment and appliances Provision of 4x4 pick-up type service vehicle for t</t>
  </si>
  <si>
    <t xml:space="preserve"> INVITATION TO BID FOR THE INSTALLATION / REHABILITATION OF STREETLIGHTING SYSTEM &amp; PATHWAY (PLAZA AND AROUND THE CHURCH &amp; NATIONAL HIWAY FROM TUMAGBOK BRIDGE TO SAPA BRIDGE), POBLACION, MIAGAO    1.	The Municipality of Miagao through the Budget for the Co</t>
  </si>
  <si>
    <t xml:space="preserve"> IMPROVEMENT/ UPGRADING OF BONTOC- MAINIT ROAD FUND COURCE: DILG (CMGP) TYPES OF WORK TO BE DONE: Provision of field office for the engineer (rental basis) Provision of furniture, equipment and appliances Provision of 4x4 pick-up type service vehicle for t</t>
  </si>
  <si>
    <t xml:space="preserve"> IMPROVEMENT/ UPGRADING OF SADSADAN- CUBA ROAD FUND SOURCE: DILG (CMGP) TYPES OF WORK TO BE DONE: Provision of field office for the engineer (rental basis) Provision of furniture, equipment and appliances Provision of 4x4 pick-up type service vehicle for t</t>
  </si>
  <si>
    <t xml:space="preserve"> Republic of the Philippines Province of Davao de Oro BIDS AND AWARDS COMMITTE Cabidianan, Nabunturan, Davao de Oro ITB No. 20-021 June 03, 2020 INVITATION TO BID  FOR  THE Procurement of spareparts (heavy equipment) 1.	The Provincial Government of Davao d</t>
  </si>
  <si>
    <t xml:space="preserve"> Republic of the Philippines Region XII Province of Cotabato Municipality of Makilala  OFFICE OF THE BIDS AND AWARD COMMITTEE INVITATION TO BID N0. 2020-013            The Municipality of Makilala, through the  Municipal Government-20% EDF  intends to appl</t>
  </si>
  <si>
    <t xml:space="preserve"> IMPROVEMENT/ UPGRADING OF MAMAGA- SACLIT ROAD FUND SOURCE: DILG (CMGP) TYPES OF WORK TO BE DONE: Provision of field office for the engineer (rental basis) Provision of furniture, equipment and appliances Provision of 4x4 pick-up type service vehicle for t</t>
  </si>
  <si>
    <t xml:space="preserve"> Republic of the Philippines Province of Davao de Oro BIDS AND AWARDS COMMITTE Cabidianan, Nabunturan, Davao de Oro ITB No. 20-021 June 03, 2020 INVITATION TO BID  FOR  THE Procurement of food supplies (meals and snacks)within Davao de Oro 1.	The Provincia</t>
  </si>
  <si>
    <t xml:space="preserve"> Republic of the Philippines  Province of Bukidnon  MUNICIPALITY OF KALILANGAN    Bids and Award Committee (BAC)  INVITATION TO BID FOR  Infra 2020-06-005 The Local Government Unit – Kalilangan, Bukidnon through the BIDS AND AWARDS COMMITTEE (BAC) now invi</t>
  </si>
  <si>
    <t xml:space="preserve"> Brief Description of the Project: Pipelaying of 6”Ø, 4”Ø &amp; 3”Ø uPVC Pipes S10 and installation of 9 G.I. Pipe S-40/super “A” Drainage Crossing A.	Additional Guidelines to be followed in line with the COVID-19 measures, are as follows: a.	Number of partici</t>
  </si>
  <si>
    <t xml:space="preserve"> INVITATION TO BID NO. 2020-06-0013 PROCUREMENT OF ELECTRICAL SUPPLIES AND EQUIPMENT OF CAPSU SIGMA SATELLITE COLLEGE 1.	The Capiz State University, through the Special Trust Fund - 2020 intends to apply the sum of One Million Two Hundred Sixty-Seven Thous</t>
  </si>
  <si>
    <t xml:space="preserve"> Republic of the Philippines  Province of Bukidnon  MUNICIPALITY OF KALILANGAN    Bids and Award Committee (BAC)  INVITATION TO BID FOR  Infra 2020-06-006 The Local Government Unit – Kalilangan, Bukidnon through the BIDS AND AWARDS COMMITTEE (BAC) now invi</t>
  </si>
  <si>
    <t xml:space="preserve"> SEE ATTACHED BID DOCUMENTS FOR COMPLETE DETAILS</t>
  </si>
  <si>
    <t xml:space="preserve"> INVITATION TO BID FOR THE  LAYOUT AND PRINTING OF VARIOUS MANUALS IB NO. 2020-183 1.	The Department of Health (DOH), through the General Appropriations Act of 2020 intends to apply the sum of Three Million Nine Hundred Thirty Nine Thousand Five Hundred Ph</t>
  </si>
  <si>
    <t xml:space="preserve"> Republic of the Philippines Province of Cotabato Municipality of Makilala OFFICE OF THE BIDS &amp; AWARDS COMMITTEE INVITATION TO BID #2020-010 The Municipality of Makilala, funded by the Municipal Government applies for the Construction of Five (5) Units Mul</t>
  </si>
  <si>
    <t xml:space="preserve"> 13		Pcs	LED Lamp 7		Pcs	GI Pipe 2ø S-40 2		Pcs	GI pipe 1ø S-40 600		Mtr	Service Drop Wire #6 52		Pcs	MS Bolt 1/2 x 6 13		Pcs	MS Plate 8x8x1/4 13		Pcs	Spool Insulator 20		Pcs	RSB 9mm 26		Pcs	RSB 10mm 2		Pcs	Plywood 1/4 (M) 15		Pcs	Coco Lumber 2x3x12 3		Kls</t>
  </si>
  <si>
    <t xml:space="preserve"> INVITATION TO BID  CONCRETING OF INACBAN BARANGAY ROAD, AYUNGON, NEGROS ORIENTAL BID IDENTIFICATION NUMBER 2020-06-21 1.	The Municipality of Ayungon, through the 20% LDF 2020 Supplemental Budget intends to apply the sum of Two Million Pesos (Php 2,000,000</t>
  </si>
  <si>
    <t xml:space="preserve"> INVITATION TO BID  CONCRETING OF KILABAN BARANGAY ROAD, AYUNGON, NEGROS ORIENTAL BID IDENTIFICATION NUMBER 2020-06-22 1.	The Municipality of Ayungon, through the 20% LDF 2020 Supplemental Budget intends to apply the sum of Two Million Pesos (Php 2,000,000</t>
  </si>
  <si>
    <t xml:space="preserve"> INVITATION TO BID  CONCRETING OF JANDALAMANON BARANGAY ROAD, AYUNGON, NEGROS ORIENTAL BID IDENTIFICATION NUMBER 2020-06-20 1.	The Municipality of Ayungon, through the 20% LDF 2020 Supplemental Budget intends to apply the sum of Two Million Pesos (Php 2,00</t>
  </si>
  <si>
    <t xml:space="preserve"> Republic of the Philippines Province of Cotabato Municipality of Makilala OFFICE OF THE BIDS &amp; AWARDS COMMITTEE INVITATION TO BID #2020-014 The Municipality of Makilala, funded by the Municipal Government applies for the Construction of Temporary Office, </t>
  </si>
  <si>
    <t xml:space="preserve"> INVITATION TO BID  CONCRETING OF SITIO KANLUKDUHAN, BARANGAY GOMENTOC, BARANGAY ROAD, AYUNGON, NEGROS ORIENTAL BID IDENTIFICATION NUMBER 2020-06-23 1.	The Municipality of Ayungon, through the 20% LDF 2020 Supplemental Budget intends to apply the sum of Tw</t>
  </si>
  <si>
    <t xml:space="preserve"> INVITATION TO BID  CONCRETING OF LAMIGAN (ABURAO SECTION) BARANGAY ROAD AT AYUNGON, NEGROS ORIENTAL BID IDENTIFICATION NUMBER 2020-06-26 1.	The Municipality of Ayungon, through the 20% LDF 2020 Supplemental Budget intends to apply the sum of Seven Hundred</t>
  </si>
  <si>
    <t xml:space="preserve"> INVITATION TO BID  ROAD CONCRETING OF MUNICIPAL CEMETERY ACCESS ROAD AT AYUNGON, NEGROS ORIENTAL BID IDENTIFICATION NUMBER 2020-06-25 1.	The Municipality of Ayungon, through the 20% LDF 2020 Supplemental Budget intends to apply the sum of Two Million Peso</t>
  </si>
  <si>
    <t xml:space="preserve"> Republic of the Philippines Province of Cotabato Municipality of Makilala OFFICE OF THE BIDS &amp; AWARDS COMMITTEE INVITATION TO BID #2020-011 The Municipality of Makilala, funded by the Municipal Government applies for the Construction of Five (5) Units Mul</t>
  </si>
  <si>
    <t xml:space="preserve"> INVITATION TO BID 1.	The Tondo Medical Center (TMC), through the General Appropriations Act/HFEP intends to apply the sum of Nine Million Four Hundred Sixty Thousand Philippine Pesos (PhP 9,460,000.00) being the Approved Budget for the Contract (ABC) to p</t>
  </si>
  <si>
    <t xml:space="preserve"> INVITATION TO BID  IMPROVEMENT/REBLOCKING/SHOULDER/CANAL OF MUNICIPAL STREET- KAPITANA TIRAY STREET, DEGUIT STREET, TABURAZA STREET, ENARDECIDO STREET AND VILLANUEVA STREET, BRGY. POBLACION, AYUNGON, NEGROS ORIENTAL BID IDENTIFICATION NUMBER 2020-06-27 1.</t>
  </si>
  <si>
    <t xml:space="preserve"> Installation of Decorative Cement Tiles</t>
  </si>
  <si>
    <t xml:space="preserve"> 220		Pcs	60x60 Floor Tiles 19		Pcs	Tile Adhesive 5		Pcs	Tile Grout	 25		Pcs	Marine Plywood 1/4 105		Pcs	Good Lumber 2x2x12 5		Kls	CWN 2"	 10		Kls	CWN 3"	 2		Kls	CWN 1½"	 3		Kls	Concrete Nail 37		Pcs	Coco Lumber 2x3x12 120		bags	Cement	 8		cu m	Sand	 92		P</t>
  </si>
  <si>
    <t xml:space="preserve"> Republic of the Philippines Province of Cotabato Municipality of Makilala OFFICE OF THE BIDS &amp; AWARDS COMMITTEE INVITATION TO BID #2020-009 The Municipality of Makilala, funded by the DILG-AM applies for the Local Road Upgrading (Improvement of Bato Road)</t>
  </si>
  <si>
    <t xml:space="preserve"> 1. The MLGU-Pasil, now invites bids for the INSTALLATION OF WINDOW BLINDS AT MP Bldg (Mayor's Office, Vice Mayor's Office &amp; SB Office). The project is located at Amdala, Guinaang, Pasil, Province of Kalinga. The following are the Item of Works;					 					</t>
  </si>
  <si>
    <t xml:space="preserve"> Construction of Multi-Purpose Building</t>
  </si>
  <si>
    <t xml:space="preserve"> INVITATION TO BID  CONCRETING OF TAMBO BARANGAY ROAD, AYUNGON, NEGROS ORIENTAL BID IDENTIFICATION NUMBER 2020-06-24 1.	The Municipality of Ayungon, through the 20% LDF 2020 Supplemental Budget intends to apply the sum of Two Million Pesos (Php 2,000,000.0</t>
  </si>
  <si>
    <t xml:space="preserve"> 4 pcs. Gold Ring 18K</t>
  </si>
  <si>
    <t xml:space="preserve"> Construction/Installation of Street Lights</t>
  </si>
  <si>
    <t xml:space="preserve"> INVITATION TO BID GS 2020-006-019              PROCUREMENT  OF VARIOUS   FERTILIZERS 1.	The City Government of Sorsogon, through the Tanging Program under the 10 Pts. Agenda Other Purpose Funds CY 2020  intends to apply the sum of Two Million Five  Hundre</t>
  </si>
  <si>
    <t xml:space="preserve"> PR # 085 -020 INVITATION TO BID (INFRA) The Municipality of Sibonga through the Trust Fund intends to apply the sum of Two hundred ninety-six thousand eight hundred sixty-four &amp; 68/100 pesos only (296,864.68) being the Approved Budget for the Contract (AB</t>
  </si>
  <si>
    <t xml:space="preserve"> Republic of the Philippines										 Province of Bohol										 Municipality of Buenavista										 										 Barangay Anonang										 INVITATION TO APPLY FOR ELIGIBILITY AND TO BID										 										 The Barangay Local Government Unit of  CATIGBI</t>
  </si>
  <si>
    <t xml:space="preserve"> Republic of the Philippines Province of Siquijor Municipality of Maria INVITATION TO BID FOR Procurement of Dog Trap in Support to Dog Termination Program – Maria, Siquijor / MAR-00033G-2020 1.	The LGU – Municipality of Maria, through the Capital Outlay i</t>
  </si>
  <si>
    <t xml:space="preserve"> 1	DDC Battery Replacement for infilex GC/GD/AZ/CM 		22	set 	model no. 83170639-001			 	Industrial Ethernet replacement for CMS Console A and B, GS line (fiber optic converter)		3	set 	DDC Replacement for CP-CTO-1-1, CP-PTB-2-2 and CP-ADM_1-1		3	set 	Infle</t>
  </si>
  <si>
    <t xml:space="preserve"> Lot 1 Molasses Delivered on site:  1. Palawan - 400 liters 2. Oriental Mindoro - 400 liters 3. Occidental Mindoro - 400 liters 4. Romblon - 400 liters 5. Marinduque - 400 liters Note: Delivered to Provinces - APCO Office Please see attached RFQ # 20-976 S</t>
  </si>
  <si>
    <t xml:space="preserve"> The LOCAL GOVERNMENT UNIT OF MAGDALENA, through the 2019 LGSF-AM Program thru Notice of ADA (NADAI) No. 02-101254-09-2019 &amp; counterpart of the Municipality of Magdalena as per OBR No. 100-2003-164 to apply the sum of Six Million Seven Hundred Twenty Seven</t>
  </si>
  <si>
    <t xml:space="preserve"> PHILIPPINE BIDDING DOCUMENTS (As Harmonized with Development Partners) Procurement for  CONSTRUCTION OF SANITARY LANDFILL FACILITY, CELL 2 BRGY. KALYAAT LUCBAN, QUEZON BIDDING Government of the Republic of the Philippines Fourth Edition   Preface These Ph</t>
  </si>
  <si>
    <t xml:space="preserve"> PR # 214-020 INVITATION TO BID (GOODS) The Municipality of Sibonga, through the Trust Fund intends to apply the sum of Five hundred eleven thousand seven hundred fifty-seven &amp; 80/100 pesos only (511,757.80) being the Approved Budget for the Contract (ABC)</t>
  </si>
  <si>
    <t xml:space="preserve"> X X X X X X X X X X STRAIGHT CONTRACT FOR THE COMPLETION OF TB DOTS X X X X X X X X X X X X X I. TILE WORKS II. ELECTRICAL WORKS III. CEILING WORKS IV. DOORS AND WINDOWS V. PLUMBING AND PIPES FITTINGS VI. PAINTING WORKS VII. PERIMETER PATHWALK VIII. X-RAY</t>
  </si>
  <si>
    <t xml:space="preserve"> Republic of the Philippines Department of Education Region V SCHOOLS DIVISION OFFICE OF CAMARINES SUR 	 INVITATION TO BID Project No.: 2020-06-01 The Department of Education (DepED) Schools Division Office of Camarines Sur, through the CY 2020 QUICK RESPO</t>
  </si>
  <si>
    <t xml:space="preserve"> PR # 178 -020 INVITATION TO BID (INFRA) The Municipality of Sibonga through the General Fund intends to apply the sum of Eight hundred forty-three thousand ninety-nine &amp; 4/100 pesos only (843,099.04) being the Approved Budget for the Contract (ABC) to pay</t>
  </si>
  <si>
    <t xml:space="preserve"> INVITATION TO BID 1.	The Tondo Medical Center (TMC), through the General Appropriations Act/HFEP intends to apply the sum of Eight Million Fifty Thousand Philippine Pesos (PhP 8,050,000.00) being the Approved Budget for the Contract (ABC) to payments unde</t>
  </si>
  <si>
    <t xml:space="preserve"> 1. The National Irrigation Administration (NIA), Regional Irrigation Office No.7, through the Lined Project 2020 intends to apply the sum of Eleven Million Three Hundred Sixty Five Thousand Seventy Eight Pesos and 85/100 (P 11,365,078.85) being the Approv</t>
  </si>
  <si>
    <t xml:space="preserve"> REQUEST FOR QUOTATION										 										 RFQ No.		  NP/PB 20-0658		Date				  June 8, 2020		 PR Reference		  300-19-05-016		Implementing Office				  CDRRMO		 Pre-Bid Conference and Time				  June 16, 2020 (10:00 A. M.)						 Closing Date and Time				  Ju</t>
  </si>
  <si>
    <t xml:space="preserve"> The Local Government Unit-Municipality of Malinao, Aklan through the 20% Development Fund, intends to apply the sum of Seven Hundred Fifty Four Thousand Two Hundred Sixteen Pesos and 00/100 (Php754,216.00) as the Approved Budget for the Contract (ABC) to </t>
  </si>
  <si>
    <t xml:space="preserve"> 1. The National Irrigation Administration (NIA), Regional Irrigation Office No.7, through the Lined Project 2020 intends to apply the sum of Thirteen Million Two Hundred Sixty Four Thousand Seven Hundred Thirty Pesos and 68/100 (P 13,264,730.68) being the</t>
  </si>
  <si>
    <t xml:space="preserve"> PR # 086-020 INVITATION TO BID (GOODS) The Municipality of Sibonga, through the General Fund intends to apply the sum of Five hundred ninety-nine thousand four hundred fifty pesos only (599,450.00) being the Approved Budget for the Contract (ABC) to payme</t>
  </si>
  <si>
    <t xml:space="preserve"> INVITATION TO BID      20-074 Name of Project	:	Termite/Pest Control Services for the Facilities of LPH-Luisiana District Hospital, LPH-Bay District Hospital, LPH-Nagcarlan District Hospital, LPH-San Pablo City District Hospital, LPH-Dr. J.P. Rizal Memori</t>
  </si>
  <si>
    <t xml:space="preserve"> INVITATION TO BID     20-075 Name of Project	:	Medicines for LPH-San Pablo City District Hospital Location	:	San Pablo City  Brief Description	:	Various Medicines  Approved Budget For the Contract	:	1,517,485.10 Delivery Period 	:	10 Calendar Days The Pro</t>
  </si>
  <si>
    <t xml:space="preserve"> Review Plan and Prepare the Following: Identifying the issues, potentials and furture development needs and spatial requirement of the city. Assess the Situation using both technical and participatory methods *Accomplishment of current CLUP Based on Key r</t>
  </si>
  <si>
    <t xml:space="preserve"> INVITATION TO BID FOR Procurement of Machineries, Equipment, Furniture’s and Fixtures for the University use at ESSU Main Campus  1.	The EASTERN SAMAR STATE UNIVERSITY, through the FY 2020 GAA, R.A No. 11465 intends to apply the sum of Nine Million Five H</t>
  </si>
  <si>
    <t xml:space="preserve"> INVITATION TO BID      20-076 Name of Project	:	Organic Fertilizer and Assorted Vegetable Seeds for Distribution to Households in the Province of Laguna as Food Security Measure for COVID-19 Pandemic  Location	:	Sta. Cruz, Laguna  Brief Description	:	Orga</t>
  </si>
  <si>
    <t xml:space="preserve"> The Local Government Unit-Municipality of Malinao, Aklan through the 20% Development Fund, intends to apply the sum of Two Hundred Ninety Eight Thousand Six Hundred Ninety Pesos and 00/100 (Php298,690.00) as the Approved Budget for the Contract (ABC) to p</t>
  </si>
  <si>
    <t xml:space="preserve"> INVITATION TO BID The City Government of Pasay, through its Bids and Awards Committee (BAC) invites suppliers/manufacturers/distributors/contractors to apply and submit sealed bids for the supply and delivery of the following: Proposed Construction of Fou</t>
  </si>
  <si>
    <t xml:space="preserve"> PB NO. 2020-032		 			 1.	1	lot	Proposed Construction of Fence at Animal Pound Office, Brgy. San Gregorio, San Pablo City. 			By: Contract 			 	Deadline for Submission of Bids: June 29, 2020 1:00 pm</t>
  </si>
  <si>
    <t xml:space="preserve"> PB NO. 2020-031		 			 1.	1	lot	Proposed Construction of City Veterinary Office at Brgy. San Gregorio, San Pablo City. 			By: Contract 			 	Deadline for Submission of Bids: June 29, 2020 10:00 am</t>
  </si>
  <si>
    <t xml:space="preserve"> The Local Government Unit-Municipality of Malinao, Aklan through the 20% Development Fund, intends to apply the sum of One Hundred Nineteen Thousand Four Hundred Forty Eight Pesos and 50/100 (Php119,448.50) as the Approved Budget for the Contract (ABC) to</t>
  </si>
  <si>
    <t xml:space="preserve"> Republic of the Philippines							 PROVINCE OF ZAMBOANGA SIBUGAY							 Municipality of Talusan							 -7012-							 							 							 MUNICIPAL BIDS AND AWARDS  COMMITTEE							 REQUEST FOR QUOTATION							 SMALL VALUE PROCUREMENT							 NOTICE TO THE PUBL</t>
  </si>
  <si>
    <t xml:space="preserve"> 1.	The Department of Public Works and Highways Regional Office XI, Davao City, through its Bids and Awards Committee (BAC), invites bidders to submit bids for the Infra project funded under FY 2020 RA 11465 Regular 2020 CURRENT, to wit: Contract ID 	:	20L</t>
  </si>
  <si>
    <t xml:space="preserve"> INVITATION TO BID The Municipal Government of Gumaca, through its Bids and Awards Committee (BAC), invites suppliers/ manufacturers/ distributors/ contractors, to bid for the hereunder contract: Name of Contract		:	PURCHASE OF EMERGENCY RESPONSE VEHICLE L</t>
  </si>
  <si>
    <t xml:space="preserve"> INVITATION TO BID     20-077 Name of Project	:	Laboratory Supplies for LPH-Majayjay District Hospital No Balance Billing (NBB) Location	:	Majayjay, Laguna  Brief Description	:	Various Laboratory Supplies  Approved Budget For the Contract	:	999,976.00 Deli</t>
  </si>
  <si>
    <t xml:space="preserve"> 2 unit Aircon 3TR Standard Floor Mounted 1 unit Aircon 2.0 HP Inverter Wall Mounted 1 unit Aircon 2.0 HP Standard Wall Mounted</t>
  </si>
  <si>
    <t xml:space="preserve"> SUPPLY OF LABOR, TOOLS, APPARATUS/EQUIPMENT AND LABORATORY EQUIPMENT FOR THE SOIL BORING/SOIL EXPLORATION/ANALYSIS OF THE SITE</t>
  </si>
  <si>
    <t xml:space="preserve"> INVITATION TO BID    	NO	PROJECT DESCRIPTION / LOCATION	BRIEF DESCRIPTION	APPROVED BUDGET FOR THE CONTRACT	CONTRACT DURATION (CALENDAR  DAYS) PGL INFRA 20-056	01	Rehabilitation/Improvement of 32 Classroom School Building Rear Exterior, PGMNHS, Sta. Cruz, </t>
  </si>
  <si>
    <t xml:space="preserve"> Removal of Existing Structures  Structure Excavation  Embankment (from Borrow) Structural Concrete  Reinforcing Steel Formworks and Falseworks Carpentry and Joinery Works Doors and Windows (w/Grills) Prepainted Metal Sheets Tileworks Cement Plaster Finish</t>
  </si>
  <si>
    <t xml:space="preserve"> Invitation to Bid 2020-004 SUPPLY AND DELIVERY OF ONE HUNDRED FIFTY (150) UNITS SMART TELEVISION The Government of the Philippines, through the Department of Education, Division of Surigao del Sur, intends to apply the sum of Two Million Two Hundred Forty</t>
  </si>
  <si>
    <t xml:space="preserve"> Procurement of supply and delivery of Assorted Vegetable Seeds 100	packets	Pechay Black Behi Type 2g/pack 100	packets	Raddish Hybrid Long, Smooth type 16g/pack 100	packets	Eggplant Hybrid, Long purple type 1g/pack 100	packets	Tomato 1g/pack 100	packets	Am</t>
  </si>
  <si>
    <t xml:space="preserve"> Republic of the Philippines							 PROVINCE OF ZAMBOANGA SIBUGAY							 Municipality of Talusan							 -7012-							 OFFICE OF THE BAC CHAIRMAN							 							 INVITATION TO BID							 							 NOTICE TO THE PUBLIC:							 							 	Notice is hereby served t</t>
  </si>
  <si>
    <t xml:space="preserve"> 100 BAGS  HYDRIDE LIME  2HAS 4 BAGS 14-14-14/ HAS    4 BAGS 46-0-0 80 BAGS FISH FEEDS STARTER 150 BAGS FISH FEED GROWER 100 BAGS FISH FEED FINISHER</t>
  </si>
  <si>
    <t xml:space="preserve"> Section I. Invitation to Bid Republic of the Philippines PROVINCE OF ZAMBOANGA SIBUGAY Capitol Building, Ipil Heights, Ipil, Zamboanga Sibugay INVITATION TO BID FOR  2 Units Service Vehicle 1.	The Province of Zamboanga Sibugay, through the GF-SB#1, BY 202</t>
  </si>
  <si>
    <t xml:space="preserve"> 50 BAGS HYDRIDE LIME  2 BAGS 14-14-14 2 BAGS 46-0-0 40 BAGS FISH FEED STARTER 75 BAGS FISH FEED GROWER 50 BAGS FISHFEED FINISHER</t>
  </si>
  <si>
    <t xml:space="preserve"> Please see attached RFQ # 20-1096 Submit your Sign and Sealed Quotation together with your UPDATED ELIGIBILITY Requirements For more details please call BUB/Planning (426-0593)  Technical Requirements: 1. Valid Business Permit / Mayor's Permit 2. Valid Ph</t>
  </si>
  <si>
    <t xml:space="preserve"> Procurement of supply and delivery of Native Chicken 20	heads	Rooster 100	heads	Hen 		Specification:  *Not less than 1kg (1000 grams)  *Not less than 4 months old but not more than 12 months old *No physical defects *Vaccinated against New Castle Disease </t>
  </si>
  <si>
    <t xml:space="preserve"> Invitation to Bid 2020-005 The Government of the Philippines, through the Department of Education, Division of Surigao del Sur, intends to apply the sum of Two Million One Hundred Sixty Four Thousand (Php 2,164,000.00) being the Approved Budget for the Co</t>
  </si>
  <si>
    <t xml:space="preserve"> Procurement of supply and delivery of native pig 		Native Pig Predominantly black or dark brown in color showing the phenotypic characteristics of a native chicken 4	heads	Male 13	heads	Female 		*Not less than 3 months but not more than 8 months of age *N</t>
  </si>
  <si>
    <t xml:space="preserve"> Procurement of supply and delivery of Agricultural Supplies and Materials 16	pcs	Plastic drums w/ lid (200 liters) 32	roll	Nylon string 48	pcs	Seedling tray (104 holes) 16	roll	Mulching Polyethylene 16	unit	Garden hose (100 meter/unit) A2 PR# 2020-924</t>
  </si>
  <si>
    <t xml:space="preserve"> Section I. Invitation to Bid Republic of the Philippines PROVINCE OF ZAMBOANGA SIBUGAY Capitol Building, Ipil Heights, Ipil, Zamboanga Sibugay INVITATION TO BID FOR  1 Unit Newborn Hearing Screening Machine 1.	The Province of Zamboanga Sibugay, through th</t>
  </si>
  <si>
    <t xml:space="preserve"> Section I. Invitation to Bid Republic of the Philippines PROVINCE OF ZAMBOANGA SIBUGAY Capitol Building, Ipil Heights, Ipil, Zamboanga Sibugay INVITATION TO BID FOR  Medical Equipment 1.	The Province of Zamboanga Sibugay, through the 20% DF, 2019 intends </t>
  </si>
  <si>
    <t xml:space="preserve"> 1.	The Western Visayas Medical Center, through the Regular Fund and Collection of Income, intends to apply the sum of PhP 1,500,000.00 Philippine Currency being the Approved Budget for the Contract (ABC) to payments under the contract for IB No. GS 2020-0</t>
  </si>
  <si>
    <t xml:space="preserve"> Section I. Invitation to Bid Republic of the Philippines PROVINCE OF ZAMBOANGA SIBUGAY Capitol Building, Ipil Heights, Ipil, Zamboanga Sibugay INVITATION TO BID (REBID) FOR  Diesel, gas, and lubricants 1.	The Province of Zamboanga Sibugay, through the Gen</t>
  </si>
  <si>
    <t xml:space="preserve"> INVITATION TO BID FOR THE PROCUREMENT OF SUPPLY &amp; DELIVERY OF BANANA PLANTLET      1.	The Department of Agriculture Regional Field Office 6 through the General Appropriations Act (GAA) of 2020 intends to apply the sum of One Million Eight Hundred Twenty E</t>
  </si>
  <si>
    <t xml:space="preserve"> Section I. Invitation to Bid Republic of the Philippines PROVINCE OF ZAMBOANGA SIBUGAY Capitol Building, Ipil Heights, Ipil, Zamboanga Sibugay INVITATION TO BID FOR  Provision of Security Services 1.	The Province of Zamboanga Sibugay, through the GF-BY 20</t>
  </si>
  <si>
    <t xml:space="preserve"> Republic of the Philippines Department of Health	 CENTRAL OFFICE BIDS AND AWARDS COMMITTEE  INVITATION TO BID FOR THE SUPPLY, DELIVERY, TESTING AND COMMISSIONING OF BRAND NEW MOBILE DENTAL VEHICLE IB NO. 2020-144 1.	The Department of Health (DOH), through</t>
  </si>
  <si>
    <t xml:space="preserve"> Prospective bidders should have experience in undertaking a similar project within the last two (2) years within an amount of at least 50% of the proposed project for bidding. The Eligibility Check/Screening as well as the Preliminary Examination of Bids </t>
  </si>
  <si>
    <t xml:space="preserve"> I N V I T A T I O N  T O  B I D The Manila International Airport Authority, through its Bids and Awards Committee (BAC), invites interested parties to apply for eligibility and to bid for the hereunder service contract: 	 Name of Contract       :  	Purcha</t>
  </si>
  <si>
    <t xml:space="preserve"> The Department of Agriculture-RFO 3, invites interested suppliers to submit quotations/proposals for the hereunder requirement, to wit: ITEM NO.	QTY.	UNIT	ITEMS &amp; DESCRIPTION		UNIT PRICE	TOTAL AMOUNT	BRAND/MODEL 							 			COMPUTER SUPPLIES AND OTHER MATE</t>
  </si>
  <si>
    <t xml:space="preserve"> Republic of the Philippines Province of Oriental Mindoro MUNICIPALITY OF NAUJAN BIDS &amp; AWARDS COMMITTEE INVITATION TO BID CONSTRUCTION OF EVACUATION CENTER AT BARANGAY MALVAR, NAUJAN, ORIENTAL MINDORO 1.	The Municipal Government of Naujan – Bids and Award</t>
  </si>
  <si>
    <t xml:space="preserve"> Concreting of Road at Sitio Obbog, Sta. Maria Norte, Binalonan, Pangasinan (49m x 6m x 0.2m)</t>
  </si>
  <si>
    <t xml:space="preserve"> 2 units Water Tank Truck (4 cubic) A. Detailed Specification Driver Form: 4 x 2; Side of Driving: Left B.Dimension Wheelbase 3360mm Overall Dimension 6080 x 2020 x 2400 mm Cargo Body Internal 3300 x 1680 x 1080 mm Front/Near Suspension Length 1095/1625 mm</t>
  </si>
  <si>
    <t xml:space="preserve"> Republic of the Philippines Province of Oriental Mindoro MUNICIPALITY OF NAUJAN BIDS &amp; AWARDS COMMITTEE INVITATION TO BID CONSTRUCTION OF EVACUATION CENTER AT BARANGAY SAN ANDRES, NAUJAN, ORIENTAL MINDORO 1.	The Municipal Government of Naujan – Bids and A</t>
  </si>
  <si>
    <t xml:space="preserve"> Republic of the Philippines Province of Misamis Occidental Municipality of Plaridel INVITATION TO APPLY FOR ELIGIBILITY AND TO BID 	 	The Local Government Unit, LGU-Plaridel, Misamis Occidental, through its Bids and Awards Committee (BAC), invites supplie</t>
  </si>
  <si>
    <t xml:space="preserve"> Invitation to Bid 1.	The Commission on Higher Education (CHED), through the General Appropriations Act Fiscal Year 2019 intends to apply the sum of Five Hundred Sixty Four Thousand Six Hundred Fifty Pesos (PHP 564,650.00) being the Approved Budget for the</t>
  </si>
  <si>
    <t xml:space="preserve"> Republic of the Philippines Province of Davao De Oro MUNICIPALITY OF COMPOSTELA BIDS AND AWARDS COMMITTEE (BAC) Invitation to Bid for Rehabilitation of Water System of Barangay Maparat (ITB NO. 2020-06-025 - BID NO. 001) 1.	The Municipality of Compostela,</t>
  </si>
  <si>
    <t xml:space="preserve"> Republic of the Philippines MUNICIPALITY OF ECHAGUE Province of Isabela INVITATION TO BID FOR  THE PROCUREMENT OF  TIRES 1.	The Local Government Unit , through  the  GENERAL   FUND  Of  2020   intends to apply the sum of  FOUR  MILLION NINE HUNDRED EIGHTY</t>
  </si>
  <si>
    <t xml:space="preserve"> A. CONSTRUCTION OF R.C. FOOTBRIDGE I. Excavation II. Reinforced Concrete III. Railings IV. Embankment and Aggregate Base Course V. P.C.C.P 504: Riprap &amp; Grouted Riprap B. Extension of River Control I. Excavation II. Rubber Concrete Foundation 504: Riprap </t>
  </si>
  <si>
    <t xml:space="preserve"> Republic of the Philippines Province of Oriental Mindoro MUNICIPALITY OF NAUJAN BIDS AND AWARDS COMMITTEE INVITATION TO BID SUPPLY AND DELIVERY OF ONE (1) UNIT AMBULANCE TO BE USED IN THE MUNICIPAL HEALTH OFFICE, NAUJAN, ORIENTAL MINDORO 1. 	The Municipal</t>
  </si>
  <si>
    <t xml:space="preserve"> INVITATION TO BID FOR THE FABRICATION AND DELIVERY OF FIBERGLASS REINFORCED PLASTIC MOTORIZED FISHING BOAT 1. The Bureau of Fisheries and Aquatic Resources-Regional Fisheries Office I (BFAR RFO I), through the General Appropriation Act of 2020 (GAA 2020) </t>
  </si>
  <si>
    <t xml:space="preserve"> BIDS &amp; AWARDS COMMITTEE  INVITATION TO BID  REPUBLIC OF THE PHILIPPINES  CITY OF GOVERNMENT OF NAVOTAS  BARANGAY NBBS KAUNLARAN  BIDS AND AWARDS COMMITTEE  1. The Sangguniang Barangay of NBBS-Kaunlaran, through its Bids and Awards Committee intends to app</t>
  </si>
  <si>
    <t xml:space="preserve"> BIDS &amp; AWARDS COMMITTEE  INVITATION TO BID  REPUBLIC OF THE PHILIPPINES  CITY OF GOVERNMENT OF NAVOTAS  BARANGAY NBBS KAUNLARAN  BIDS AND AWARDS COMMITTEE  1. The Sangguniang Barangay of NBBS - Kaunlaran, through its Bids and Awards Committee intends to a</t>
  </si>
  <si>
    <t xml:space="preserve"> Republic of the Philippines Province of Siquijor Municipality of Maria Barangay Pisong-A INVITATION TO BID FOR Procurement of Solar Lamp in Support to Youth Development– Pisong-A, Maria, Siquijor / PIA-0003G-2020 1.	The BLGU –Pisong A,  Maria, through the</t>
  </si>
  <si>
    <t xml:space="preserve"> Republic of the Philippines BIDS AND AWARDS COMMITTEE Province of Pangasinan Municipality of Infanta INVITATION TO BID FOR PURCHASE OF ONE (1) UNIT DUMP TRUCK  FOR THE MUNICIPALITY OF INFANTA, PANGASINAN 1.	The Municipality of Infanta, Pangasinan, through</t>
  </si>
  <si>
    <t xml:space="preserve"> INVITATION TO BID  The Technical Education and Skills Development Authority (TESDA), through the General Appropriations Act (GAA) CY 2020 intends to apply the sum of Nine Million Eight Hundred Seventy-Four Thousand Two Hundred Ninety-Two Pesos (Php 9,874,</t>
  </si>
  <si>
    <t xml:space="preserve"> INVITATION TO BID FOR SLOPE PROTECTION PROJECT,  BRGY. CAGBANG, MIAGAO, ILOILO 1.	The Municipality of Miagao through the Budget for the Contract Approved by the Sanggunian, Trust Fund – Provincial Aid,  Budget Year 2020 intends to apply the sum of P 3,780</t>
  </si>
  <si>
    <t xml:space="preserve"> I.  Electrical Works Labor OCMP/CP/VAT</t>
  </si>
  <si>
    <t xml:space="preserve"> INVITATION TO BID FOR THE CONSTRUCTION OF RIVERBANK PROTECTION,  BRGY. FRANTILLA,  MIAGAO, ILOILO 1.	The Municipality of Miagao through the Budget for the Contract Approved by the Sanggunian, Trust Fund – Provincial Aid,  Budget Year 2020 intends to apply</t>
  </si>
  <si>
    <t xml:space="preserve"> INVITATION TO BID FOR THE CONCRETING OF BARANGAY ROAD AND  CONSTRUCTION OF OVERFLOW, BRGY. PARO-ON,  MIAGAO, ILOILO 1.	The Municipality of Miagao through the Budget for the Contract Approved by the Sanggunian, Trust Fund – Provincial Aid,  Budget Year 202</t>
  </si>
  <si>
    <t xml:space="preserve"> Republic of the Philippines Province of Quezon CITY GOVERNMENT OF TAYABAS INVITATION TO RE-BID FOR PROJECT # 19 – 171–PROCUREMENT OF Acquisition of Road Right-of-Way (RROW) for East Road/West Road/ Government Center (PARCELLARY SURVEY FOR EAST ROAD) –Offi</t>
  </si>
  <si>
    <t xml:space="preserve"> For the University</t>
  </si>
  <si>
    <t xml:space="preserve"> SUPPLY, DELIVERY AND INSTALLATION OF ICT EQUIPMENT FOR MONITORING OF PROJECT MITHI (20-03-142) 1.	Department of Science and Technology – MIMAROPA (DOST-MIMAROPA), through its Bids and Awards Committee (BAC) invites all prospective bidders to bid for the p</t>
  </si>
  <si>
    <t xml:space="preserve"> Republic of the Philippines Province of Kalinga TABUK CITY OHS COMMITTEE ON BIDS AND AWARDS INVITATION TO BID FOR THE PROCUREMENT OF PHARMACY SUPPLIES 1. The PROVINCIAL GOVERNMENT OF KALINGA, through the General Fund Annual Budget 2020 Intends to apply th</t>
  </si>
  <si>
    <t xml:space="preserve"> For Bayombong Campus</t>
  </si>
  <si>
    <t xml:space="preserve"> INVITATION TO BID FOR PROCUREMENT OF SECURITY SERVICES      1. The Department of Agriculture Regional Field Office IX, through the GAA 2020 intends to apply the sum of  FIVE MILLION FOUR HUNDRED SIXTY  THREE  THOUSAND SEVEN HUNDRED FORTY ONE PESOS AND  NI</t>
  </si>
  <si>
    <t xml:space="preserve"> Republic of the Philippines Province of Kalinga TABUK CITY OHS COMMITTEE ON BIDS AND AWARDS INVITATION TO BID FOR THE PROCUREMENT OF O.B. KITS 1. The PROVINCIAL GOVERNMENT OF KALINGA, through the General Fund Annual Budget 2020 Intends to apply the sum of</t>
  </si>
  <si>
    <t xml:space="preserve"> For both campuses</t>
  </si>
  <si>
    <t xml:space="preserve"> INVITATION TO BID PROCUREMENT OF VARIOUS COVID-19 MEDICAL EQUIPMENT CY 2020 PUBLIC BIDDING NO. VMC-2020-028 1.	The Valenzuela Medical Center (VMC), through the General Appropriations Act CY 2020, intends to apply the sum of Philippine Currency: FOURTEEN M</t>
  </si>
  <si>
    <t xml:space="preserve"> Republic of the Philippines Province of Kalinga TABUK CITY OHS COMMITTEE ON BIDS AND AWARDS INVITATION TO BID FOR THE PROCUREMENT OF DRUGS AND MEDICINES 1. The PROVINCIAL GOVERNMENT OF KALINGA, through the General Fund Annual Budget 2020 Intends to apply </t>
  </si>
  <si>
    <t xml:space="preserve"> -</t>
  </si>
  <si>
    <t xml:space="preserve"> Procurement of Vehicle and Accessories</t>
  </si>
  <si>
    <t xml:space="preserve"> REPUBLIC OF THE PHILIPPINES PROVINCE OF EASTERN SAMAR MUNICIPALITY OF LAWAAN REQUEST FOR QUOTATION PR No.: RFQ No.: PR Date: PhilGEPS Reference No. : End-User : Closing Date: ABC:76,000.00 Time: Sir/Madam: Please quote your lowest price on the items/s lis</t>
  </si>
  <si>
    <t xml:space="preserve"> Republic of the Philippines Province of Northern Samar MUNICIPALITY OF VICTORIA -o0o- INVITATION TO BID FOR THE SUPPLY AND DELIVERY OF OFFICE FURNITURE AND FIXTURES Contract No. LGU-PI-2020-06-14PB 1.	The Local Government Unit of Victoria, Northern Samar,</t>
  </si>
  <si>
    <t xml:space="preserve"> INVITATION TO BID The University of the Philippines Manila – School of Health Sciences through its Bids and Awards Committee, invites contractors/contractual services agencies duly registered and licensed to operate business under the laws of the Philippi</t>
  </si>
  <si>
    <t xml:space="preserve"> Removal/Transfer of Cyclone Fence, Preparation of existing CHB fence for plastering and Chipping /Excavation works, concrete works (column, foundation &amp; horizontal stiffener) and painting works</t>
  </si>
  <si>
    <t xml:space="preserve"> Republic of the Philippines Province of Northern Samar MUNICIPALITY OF VICTORIA -o0o- INVITATION TO BID FOR THE SUPPLY AND DELIVERY OF TWO (2) UNITS MOTORCYCLE Contract No. LGU-PI-2020-06-13PB 1.	The Local Government Unit of Victoria, Northern Samar, thro</t>
  </si>
  <si>
    <t xml:space="preserve"> ITEM NO. QTY UNIT DESCRIPTION 1.00 238.00 BAGS PORTLAND CEMENT PREMIUM 2.00 19.29 CU.M. WASHED SAND 3.00 17.15 CU.M. 3/4" CRUSHED GRAVEL 4.00 36.00 LNGTH 16MMØX6M RSB 5.00 76.00 LNGTH 12MMØX6M RSB 6.00 173.00 LNGTH 10MMØX6M RSB 7.00 40.00 KGS. TIE WIRE #1</t>
  </si>
  <si>
    <t xml:space="preserve"> For procurement office.</t>
  </si>
  <si>
    <t xml:space="preserve"> For research.</t>
  </si>
  <si>
    <t xml:space="preserve"> Republic of the Philippines Department of Health Cagayan Valley Center for Health Development BATANES GENERAL HOSPITAL Basco, Batanes E-mail Address: bataneshospital@gmail.com REQUEST FOR PROPOSAL RFP NO. 2020-03 Supply &amp; Delivery of Various Medicines 1.	</t>
  </si>
  <si>
    <t xml:space="preserve"> Republic of the Philippines PROVINCIAL GOVERNMENT OF EASTERN SAMAR Capitol Building, Borongan, Eastern Samar, 6800 Tel No. (055)-560-8312 E-mail Address: esamar.bac@gmail.com BIDS AND AWARDS COMMITTEE (BAC) INVITATION TO BID FOR CONSTRUCTION/IMPROVEMENT O</t>
  </si>
  <si>
    <t xml:space="preserve"> INVITATION TO BID The Cauayan City Water District intends to apply the sum of TWENTY ONE MILLION FOUR HUNDRED SIX THOUSAND SEVEN HUNDRED THIRTY THREE AND 83/100 PESOS (₱21,406,733.83) being the Approved Budget for the Contract (ABC) to payment under the c</t>
  </si>
  <si>
    <t xml:space="preserve"> Republic of the Philippines PROVINCIAL GOVERNMENT OF EASTERN SAMAR Capitol Building, Borongan, Eastern Samar, 6800 Tel No. (055)-560-8312 E-mail Address: esamar.bac@gmail.com BIDS AND AWARDS COMMITTEE (BAC) INVITATION TO BID FOR CONCRETING OF BARANGAY ROA</t>
  </si>
  <si>
    <t xml:space="preserve"> Republic of the Philippines PROVINCIAL GOVERNMENT OF EASTERN SAMAR Capitol Building, Borongan, Eastern Samar, 6800 Tel No. (055)-560-8312 E-mail Address: esamar.bac@gmail.com BIDS AND AWARDS COMMITTEE (BAC) INVITATION TO BID FOR ROAD CONCRETING OF MACAANG</t>
  </si>
  <si>
    <t xml:space="preserve"> SUPPLIES AND MATERIALS NEEDED FOR THE BARANGAY ROAD CONCRETING</t>
  </si>
  <si>
    <t xml:space="preserve"> Republic of the Philippines PROVINCIAL GOVERNMENT OF EASTERN SAMAR Capitol Building, Borongan, Eastern Samar, 6800 Tel No. (055)-560-8312 E-mail Address: esamar.bac@gmail.com BIDS AND AWARDS COMMITTEE (BAC) INVITATION TO BID FOR CONSTRUCTION OF BUABUA – B</t>
  </si>
  <si>
    <t xml:space="preserve"> Republic of the Philippines Municipality of Infanta Barangay Potol BIDS AND AWARDS COMMITTEE Infanta, Pangasinan INVITATION TO BID FOR PURCHASE OF ICT EQUIPMENT FOR BRGY. POTOL, INFANTA, PANGASINAN 1.	The Barangay Potol, Infanta, Pangasinan - BAC, through</t>
  </si>
  <si>
    <t xml:space="preserve"> INVITATION TO BID  1.	The National Printing Office, through the Revolving Fund 2020 intends to apply the sum of Php8,000,000.00 being the Approved Budget for the Contract (ABC) to payments under the contract for the Procurement of Supply and Delivery of 2</t>
  </si>
  <si>
    <t xml:space="preserve"> INVITATION TO BID (CW 2020-006-015)   The CITY GOVERNMENT OF SORSOGON, through its Bids and Awards Committee (BAC), invites suppliers/contractors to apply for eligibility and to bid for the hereunder project:  Name of Project		:	CONSTRUCTION/IMPROVEMENT O</t>
  </si>
  <si>
    <t xml:space="preserve"> Republic of the Philippines PROVINCIAL GOVERNMENT OF EASTERN SAMAR Capitol Building, Borongan, Eastern Samar, 6800 Tel No. (055)-560-8312 E-mail Address: esamar.bac@gmail.com BIDS AND AWARDS COMMITTEE (BAC) INVITATION TO BID FOR REPAIR/REHABILITATION OF S</t>
  </si>
  <si>
    <t xml:space="preserve"> Republic of the Philippines PROVINCIAL GOVERNMENT OF EASTERN SAMAR Capitol Building, Borongan, Eastern Samar, 6800 Tel No. (055)-560-8312 E-mail Address: esamar.bac@gmail.com BIDS AND AWARDS COMMITTEE (BAC) INVITATION TO BID FOR THE  PROCUREMENT OF CONSTR</t>
  </si>
  <si>
    <t xml:space="preserve"> 1.	The Department of Agriculture (DA) – Central Office, PhilFIDA, PCAF and FDC, through the GAA CY2020 intends to apply the sum of Fifteen Million Nine Hundred Fourteen Thousand Two Hundred Ninety-Two Pesos and 30/100 (PhP15,914,292.30) being the Approved</t>
  </si>
  <si>
    <t xml:space="preserve"> 1.	The Department of Agriculture (DA) – Central Office, through the GAA CY2020 intends to apply the sum of Seven Million Twenty-Two Thousand Six Hundred Seventy-Nine Pesos and 51/100 (PhP7,022,679.51) being the Approved Budget for the Contract (ABC) to pa</t>
  </si>
  <si>
    <t xml:space="preserve"> 1.	The Department of Agriculture (DA) – Central Office, through the GAA CY 2020 intends to apply the sum of Six Million One Hundred Eighty Seven Thousand Five Hundred Pesos (PhP6,187,500.00) being the Approved Budget for the Contract (ABC) to payments und</t>
  </si>
  <si>
    <t xml:space="preserve"> Republic of the Philippines PROVINCIAL GOVERNMENT OF EASTERN SAMAR Capitol Building, Borongan, Eastern Samar, 6800 Tel No. (055)-560-8312 E-mail Address: esamar.bac@gmail.com BIDS AND AWARDS COMMITTEE (BAC) INVITATION TO BID FOR CONCRETING OF HOLLYWOOD TO</t>
  </si>
  <si>
    <t xml:space="preserve"> Republic of the Philippines PROVINCIAL GOVERNMENT OF EASTERN SAMAR Capitol Building, Borongan, Eastern Samar, 6800 Tel No. (055)-560-8312 E-mail Address: esamar.bac@gmail.com BIDS AND AWARDS COMMITTEE (BAC) INVITATION TO BID FOR CONSTRUCTION OF BRGY. ROAD</t>
  </si>
  <si>
    <t xml:space="preserve"> Republic of the Philippines Department of Health	 CENTRAL OFFICE BIDS AND AWARDS COMMITTEE  INVITATION TO BID FOR THE  HIRING OF A SERVICE PROVIDER PARTICULARLY MEDIA AGENCY TO DEVELOP A MEDIA PLAN AND PROCURE MEDIA PLACEMENTS TO AMPLIFY THE DOH COVID-19 </t>
  </si>
  <si>
    <t xml:space="preserve"> It includes: 107,520.00 Liters of Diesel and 32, 192.00 liters of Premium (Ron 91)</t>
  </si>
  <si>
    <t xml:space="preserve"> Republic of the Philippines Province of Pangasinan Municipality of Infanta Barangay Potol BIDS AND AWARDS COMMITTEE INVITATION TO BID FOR SUPPLY AND DELIVERY OF MATERIALS AND SUPPLIES AND DRILLING FOR THE PROVISION OF POTABLE WATER SYSTEM, PUROK 3, BRGY. </t>
  </si>
  <si>
    <t xml:space="preserve"> INVITATION TO BID  1.	The National Printing Office, through the Revolving Fund 2020 intends to apply the sum of ₱1,275,000.00 being the Approved Budget for the Contract (ABC) to payments under the contract for the Procurement of Supply, Delivery and Insta</t>
  </si>
  <si>
    <t xml:space="preserve"> 1.	The Department of Agriculture (DA) – Central Office, through the GAA CY 2020 intends to apply the sum One Million One Hundred Sixty-Two Thousand Nine Hundred Seventy-Five Pesos (PhP1,162,975.00) being the Approved Budget for the Contract (ABC) to payme</t>
  </si>
  <si>
    <t xml:space="preserve"> Republic of the Philippines Province of Pangasinan Municipality of Infanta Barangay Bamban BIDS AND AWARDS COMMITTEE INVITATION TO BID FOR:  SUPPLY, DELIVERY, FABRICATION and INSTALLATION OF MATERIALS FOR THE CONSTRUCTION OF 6 UNITS SOLAR STREETLIGHTS @ S</t>
  </si>
  <si>
    <t xml:space="preserve"> BIDS AND AWARDS COMMITTEE INVITATION TO BID The Barangay of Tanong, through its Committee on Bids &amp; Awards, hereby invites all interested parties to submit sealed bid for the hereunder project: Name of Project: Purchase of Office Equipment Brief Descripti</t>
  </si>
  <si>
    <t xml:space="preserve"> INVITATION TO BID  PROCUREMENT  OF TWO (2) UNITS  BRAND NEW MEDICAL AMBULANCE   GS 2020-006-021 1.	The City Government of Sorsogon    intends to apply the sum of   Four   Million   Four Hundred      Thousand      Pesos (P 4,400,000.00) being the Approved </t>
  </si>
  <si>
    <t xml:space="preserve"> INVITATION TO BID PROCUREMENT OF SERVICE PROVIDER FOR THE PHASE II OF ENHANCED FARMLAND GEOGRAPHIC INFORMATION SYSTEM (FGIS DIGITIZATION OF PARCELLARY MAPS AND FARMLAND DATABASE DEVELOPMENT)  ITB NO. BS-003-2020 1.	The National Irrigation Administration (</t>
  </si>
  <si>
    <t xml:space="preserve"> The Barangay Bagong Sirang through its Bids and Awards Committee (BAC) invites suppliers to apply for the stated project below: Name of Project	: CONSTRUCTION OF DRAINAGE CANAL AT ZONE 6  Location		: ZONE 6 BAGONG SIRANG, PILI, CAMARINES SUR  Project Refe</t>
  </si>
  <si>
    <t xml:space="preserve"> Republic of the Philippines PROVINCE OF BUKIDNON Municipality of Don Carlos BIDS AND AWARDS COMMITTEE Invitation to Bid for the Supply &amp; Delivery of Various Construction Materials intended for Construction of Senior Citizen Building - Phase 2 (Complete Bi</t>
  </si>
  <si>
    <t xml:space="preserve"> INVITATION TO BID (CW 2020-006-017)   The CITY GOVERNMENT OF SORSOGON, through its Bids and Awards Committee (BAC), invites suppliers/contractors to apply for eligibility and to bid for the hereunder project:  Name of Project		:	CONSTRUCTION/IMPROVEMENT O</t>
  </si>
  <si>
    <t xml:space="preserve"> Invitation to Bid for  Improvement of Naguilian-San Fernando Road, Naguilian, La Union 1.	The Provincial Government of La Union, through the RA7171 intends to apply the sum of ₱9,750,000.00 being the Approved Budget for the Contract (ABC) to payments unde</t>
  </si>
  <si>
    <t xml:space="preserve"> Republic of the Philippines Province of Surigao del Sur Municipality of Tago ----oo0oo---- Invitation to Bid Supply and Delivery of Various Brand New Heavy Equipments and Brand New Six (6) Wheelers Dump truck Project ID No. TAG-SDS-051-2020 The Local Gove</t>
  </si>
  <si>
    <t xml:space="preserve"> 12 units touch screen cellular phones 6 units keypad phones 3 handheld radio</t>
  </si>
  <si>
    <t xml:space="preserve"> The Barangay Bagong Sirang through its Bids and Awards Committee (BAC) invites suppliers to apply for the stated project below: Name of Project	: CONSTRUCTION OF PATHWAY AT ZONE 7 Location		: ZONE 7 BAGONG SIRANG, PILI, CAMARINES SUR  Project Reference No</t>
  </si>
  <si>
    <t xml:space="preserve"> Invitation to Bid for  Rehabilitation and Improvement of Sapilang Road, Bacnotan, La Union 1.	The Provincial Government of La Union, through the RA7171 intends to apply the sum of ₱3,899,991.84 being the Approved Budget for the Contract (ABC) to payments </t>
  </si>
  <si>
    <t xml:space="preserve"> 1. The Local government Unit of Jipapad, Eastern Samar through the 5% DRRM Fund (2020) intends to apply the sum of Three Hundred Thousand Pesos (300,000.00) being the Approved Budget for the Contract (ABC) as payment under the contract for the Purchase of</t>
  </si>
  <si>
    <t xml:space="preserve"> Invitation to Bid for  Improvement of Rimos #4  Road, Luna, La Union 1.	The Provincial Government of La Union, through the RA7171 intends to apply the sum of ₱1,462,500.00 being the Approved Budget for the Contract (ABC) to payments under the contract for</t>
  </si>
  <si>
    <t xml:space="preserve"> RE - INVITATION TO BID The Local Government Unit of Jasaan, Jasaan, Misamis Oriental, through the General Fund intends to apply the sum of Five Million Pesos and 00/100 (P 5,000,000.00) being the Approved Budget for the Contract (ABC) to payments under th</t>
  </si>
  <si>
    <t xml:space="preserve"> INVITATION TO BID  PROCUREMENT  OF ONE  (1) UNIT  BRAND NEW NON- REFRIGERATED CLOSE MEAT DELIVERY VAN    GS 2020 -006-018 1.	The City Government of Sorsogon    intends to apply the sum of   One   Million   Seven  Hundred      Thousand      Pesos (P 1,700,</t>
  </si>
  <si>
    <t xml:space="preserve"> INVITATION TO BID (for the Procurement of Goods)           1.	The City Government of Puerto Princesa (CGPP), through Appropriation Ordinance No. 6-2019 (Supplemental Budget No. 3 for CY 2019/Fund Source: Borrowings – Loan at Land Bank of the Philippines) </t>
  </si>
  <si>
    <t xml:space="preserve"> • 	15 units Evaporation Kettle for coco sap cooking/processing         Brand New kettle •	Double-jacketed closed evaporation kettle using 3mm thick stainless steel plate •	One Hundred (100) liters capacity •	Type 304 with one (1) vacuum pump driven by 200</t>
  </si>
  <si>
    <t xml:space="preserve"> The Local government Unit of Jipapad, Eastern Samar through the 5% DRRM Fund (2019) intends to apply the sum of One Hundred Fifty Thousand Pesos (150,000.00) being the Approved Budget for the Contract (ABC) as payment under the contract for the Purchase o</t>
  </si>
  <si>
    <t xml:space="preserve"> INVITATION TO BID The Local Government Unit of Jasaan, Jasaan, Misamis Oriental, through the 20% DF intends to apply the sum of Five Million Pesos and 00/100 (P 5,000,000.00) being the Approved Budget for the Contract (ABC) to payments under the contract </t>
  </si>
  <si>
    <t xml:space="preserve"> Republic of the Philippines Province of Surigao del Sur Municipality of Tago ---ooo0ooo--- Invitation to Bid REHABILITAITON OF TAGO TOWN HALL Project ID No. TAG-SDS-053-2020 The Local Government Unit of Tago, Surigao del Sur invites sealed Bids from eligi</t>
  </si>
  <si>
    <t xml:space="preserve"> for bagong silang 3 labo camarines norte.. their council agreed to implement the project of construction of pathway with the following materials... 297 bags portland cement 30 cu.m. item 201 33 cu.m crushed gravel 20 cu.m. washed sand 106.6 kgs 12mm dia d</t>
  </si>
  <si>
    <t xml:space="preserve"> Invitation to Bid for  Improvement/Widening of Balecbec-Basca Farm to Market Road, Naguilian, La Union 1.	The Provincial Government of La Union, through the RA7171 intends to apply the sum of ₱3,900,000.00 being the Approved Budget for the Contract (ABC) </t>
  </si>
  <si>
    <t xml:space="preserve"> Earthworks,  Subbase And Base Course,  Surface Course,  Drainage &amp; Slope Protection Structures, Miscellaneous</t>
  </si>
  <si>
    <t xml:space="preserve"> Invitation to Bid for  Construction of Dallangayan Este Creek Slope Protection, San Fernando City, La Union 1.	The Provincial Government of La Union, through the RA7171 intends to apply the sum of ₱1,950,000.00 being the Approved Budget for the Contract (</t>
  </si>
  <si>
    <t xml:space="preserve"> Invitation to Bid for  Construction of Farmers Multi-Purpose Center, Juan Cartas, Caba, La Union 1.	The Provincial Government of La Union, through the RA7171 intends to apply the sum of ₱3,900,000.00 being the Approved Budget for the Contract (ABC) to pay</t>
  </si>
  <si>
    <t xml:space="preserve"> Invitation to Bid for  Rehabilitation of Lingsat Farm to Market Road (Hufano Street), San Fernando City, La Union 1.	The Provincial Government of La Union, through the RA7171 intends to apply the sum of ₱3,900,000.00 being the Approved Budget for the Cont</t>
  </si>
  <si>
    <t xml:space="preserve"> 10     pcs     Office Table    1     unit    Gang Chair, 3 seater Stainless    1     unit     Steel Cabinet 2 drawer horizontal    1     unit     Inkjet Printer (3 in 1)</t>
  </si>
  <si>
    <t xml:space="preserve"> Invitation to Bid for  Rehabilitation and Improvement of Biday-Mameltac-Saoay-Dallangayan Road, San Fernando City, La Union 1.	The Provincial Government of La Union, through the RA7171 intends to apply the sum of ₱3,900,000.00 being the Approved Budget fo</t>
  </si>
  <si>
    <t xml:space="preserve"> Republic of the Philippines Province of Isabela LOCAL GOVERNMENT UNIT OF BENITO SOLIVEN INVITATION TO BID FOR THE CONSTRUCTION OF DOUBLE BARREL REINFORCED CONCRETE BOX CULVERT PHASE I AT BARANGAY PLACER 1.	The Barangay Government of Placer thru the Bids a</t>
  </si>
  <si>
    <t xml:space="preserve"> Republic of the Philippines Province of Isabela LOCAL GOVERNMENT UNIT OF BENITO SOLIVEN INVITATION TO BID FOR THE COMPLETION OF COVERED COURT (ROOFING WORKS) AT BARANGAY GOMEZ 1.	The Barangay Government of Gomez thru the Bids and Awards Committee of the M</t>
  </si>
  <si>
    <t xml:space="preserve"> Supply and Delivery of Computer Paper Continuous Forms for the Regional Payroll Services Unit of the Department of Education, Regional Office VI (Rebid) Item No. Qty. Unit Description 1 350 Box Computer Paper Continuous Form, 14 7/8"x11"; carbonless 4 ply</t>
  </si>
  <si>
    <t xml:space="preserve"> Ceiling Works, Windows, Doors, Plastering, Painting Works, Floor Topping, Tile Works, Electrical</t>
  </si>
  <si>
    <t xml:space="preserve"> INVITATION TO BID FOR THE SUPPLY AND DELIVERY OF SCHOOL SUPPLIES AND EQUIPMENT  1.	The Municipality of Salcedo, through the Special Education Fund  intends to apply the sum of Three Hundred Thirteen Thousand Eight Hundred Eighteen Pesos only ( Php 313,818</t>
  </si>
  <si>
    <t xml:space="preserve"> General Requirements, Demolition Works, Earthworks, Structural Works, Architectural Works, Electrical , Plumbing</t>
  </si>
  <si>
    <t xml:space="preserve"> MG-PLM20-015..REPLACEMENT OF POWERHOUSE STATION BATTERIES ABC : P4,000,000.00 PLACE OF DELIVERY : PULANGI IV HEP WAREHOUSE MARAMAG, BUKIDNON AMOUNT OF BID DOCUMENTS : P 5,000.00</t>
  </si>
  <si>
    <t xml:space="preserve"> Republic of the Philippines PROVINCE OF PAMPANGA City of San Fernando INVITATION TO BID NO. 2020-18 IG - BAC INVITATION TO BID FOR PURCHASE REQUEST NO. 20-1417 and 20-0554 The Provincial Government of Pampanga (“Province”) intends to apply the following s</t>
  </si>
  <si>
    <t xml:space="preserve"> Republic of the Philippines Province of Isabela LOCAL GOVERNMENT UNIT OF BENITO SOLIVEN INVITATION TO BID FOR THE CONCRETING OF YEBAN NORTE-PUNIT ROAD (530 METERS) 1.	The Municipal Government of Benito Soliven, intends to apply the sum of Two Million Four</t>
  </si>
  <si>
    <t xml:space="preserve"> INVITATION TO BID FOR THE Supply and Delivery of 1-unit Passenger Van for Bicol University 1. The BICOL UNIVERSITY, through the Corporate Budget for the contract approved by the Board of Regents intends to apply the sum of Two Million One Hundred Eighty-S</t>
  </si>
  <si>
    <t xml:space="preserve"> Republic of the Philippines BIDS AND AWARDS COMMITTEE Cadiz City      BID DOCUMENTS for the CONSTRUCTION OF BREAKWATER @ SO. CANDUMONG, BRGY. SICABA, CADIZ CITY (1) BIDS AND AWARDS COMMITTEE  Cadiz City   INVITATION TO BID/REQUEST FOR EXPRESSION OF INTERE</t>
  </si>
  <si>
    <t xml:space="preserve"> Republic of the Philippines Province of Cagayan MUNICIPALITY OF BALLESTEROS Barangay Sta. Cruz INVITATION TO BID FOR  Procurement of Various Materials for the Installation of Solar Street Lights 1.	The Barangay Government of Sta. Cruz through the 20% Deve</t>
  </si>
  <si>
    <t xml:space="preserve"> ITB NO. 2020-0012 Design, Supply, Fabrication of Mounting Brackets and Installation and Testing of Antenna Panels for the Zamboanga Transmitter Station of the People’s Television Network Inc. (PTNI)</t>
  </si>
  <si>
    <t xml:space="preserve"> INVITATION TO BID PUBLIC BIDDING NO.: 2005021 FUNDING SOURCE: GOVERNMENT OF THE PHILIPPINES THROUGH GENERAL APPROPRIATIONS ACT  (GAA) FY 2020 The Department of Science and Technology (DOST-CAR), through its Bids and Awards Committee  (BAC),  invites  bidd</t>
  </si>
  <si>
    <t xml:space="preserve"> Republic of the Philippines BIDS AND AWARDS COMMITTEE Cadiz City      BID DOCUMENTS for the CONSTRUCTION OF GENDER SENSITIVE EVACUATION CENTER (PHASE II) @ BRGY. PROPER, BRGY. CABAHUG, CADIZ CITY (1) BIDS AND AWARDS COMMITTEE  Cadiz City   INVITATION TO B</t>
  </si>
  <si>
    <t xml:space="preserve"> The NATIONAL FOOD AUTHORITY (NFA) Regional Office VI intends to apply the sum of Twenty Nine Million Seven Hundred Sixty Two Thousand One Hundred Twelve Pesos and 77/100 (Php 29,762,112.77) inclusive of VAT from its Corporate Operating Budget as the Appro</t>
  </si>
  <si>
    <t xml:space="preserve"> General Rqmts., Pathwalk, Access ramp with railings, Access stairs with railings</t>
  </si>
  <si>
    <t xml:space="preserve"> INVITATION TO BID FOR THE Supply and Delivery of 1-unit Sports Utility Vehicle for Bicol University 1. The BICOL UNIVERSITY, through the Corporate Budget for the contract approved by the Board of Regents intends to apply the sum of One Million Seven Hundr</t>
  </si>
  <si>
    <t xml:space="preserve"> INSTALLATION OF WASTE MANAGEMENT FACILITY FOR SCHOOL</t>
  </si>
  <si>
    <t xml:space="preserve"> MG-A5M20-001..AG4 SUPPLY, DELIVERY, INST., COMMISSIONING OF OIL-WATER SEPARATOR AT SUMP PIT ABC  : P 8,600,000.00 PLACE OF DELIVERY : AGUS 4 HEP WAREHOUSE BALOI-, LANAO DEL NORTE AMOUNT OF BID DOCUMENTS : P 10,000.00</t>
  </si>
  <si>
    <t xml:space="preserve"> Please see attached file for reference.</t>
  </si>
  <si>
    <t xml:space="preserve"> Republic of the Philipines Province of Camarines Sur Municipality of Del Gallego BIDS AND AWARDS COMMITTEE INVITATION TO BID FOR CONSTRUCTION OF MULTI-PURPOSE BUILDING WITH WHARF AND LANDING AREA The Local Government Unit of Del Gallego, Camarines Sur, th</t>
  </si>
  <si>
    <t xml:space="preserve"> Republic of the Philippines Province of Albay Municipality of Tiwi BIDS AND AWARDS COMMITTEE Invitation to Bid for the CHILD DEVELOPMENT CENTER FENCING &amp; WATER TANK &amp; SITE DEVELOPMENT 1.	The Local Government Unit of Tiwi, Albay, through General Fund (SB N</t>
  </si>
  <si>
    <t xml:space="preserve"> MG-ADM20-005..REPLACEMENT OF EXISTING STREET LIGHTING INSIDE NPC MINGEN MRC ABC : P 3,000,000.00 PLACE OF DELIVERY :  MINGEN CENTRAL WAREHOUSE DITUCALAN, ILIGAN CITY AMOUNT OF BID DOCUMENTS : P 3,000.00</t>
  </si>
  <si>
    <t xml:space="preserve"> I. SITE PREPARATION (REMOVAL OF EXST ROOF) -- 4% II. REPAIR OF ROOF/ROOF FRAMING -- 53.64% III. REPAIR OF CEILING -- 22.08% IV. PAINTING - 12.69% V. SCAFFOLDINGS -- 7.60% -- LS</t>
  </si>
  <si>
    <t xml:space="preserve"> Republic of the Philippines Province of Albay Municipality of Tiwi OFFICE OF THE BIDS AND AWARDS COMMITTEE CP#0917-851-2315 INVITATION TO BID  PROCUREMENT OF MATERIALS FOR THE INTEGRATED COMMUNITY FOOD PRODUCTION (ICFP) PROJECT 1.	The Local Government Uni</t>
  </si>
  <si>
    <t xml:space="preserve"> Republic of the Philippines Province of Albay Municipality of Tiwi OFFICE OF THE BIDS AND AWARDS COMMITTEE CP#0917-851-2315 INVITATION TO BID  PROCUREMENT OF ONE (1) UNIT AMBULANCE 1.	The Local Government Unit of Tiwi, Albay, through General Fund (SB#1) o</t>
  </si>
  <si>
    <t xml:space="preserve"> I. SITE PREPARATION - 9.79% -- LS II. AGGREGATE BASE COURSE (ITEM 201) - 1.79% - 3.2 III. P.C.C.P (ITEM 311) - 11.96%  IV. GOUTED RIPRAP (ITEM 504) /RUB CONC. - 16.87% V. FOOTBRIDGE -- 41.25% VI. FORMS/SCAFFOLDINGS -- 18.35% -- LS DIRECT COST LABOR---34.2</t>
  </si>
  <si>
    <t xml:space="preserve"> Republic of the Philippines BIDS AND AWARDS COMMITTEE Province of Pangasinan Municipality of Infanta INVITATION TO BID FOR PURCHASE OF TWO (2) UNITS MOTORCYCLE FOR THE OPERATION OF THE OFFICE OF THE IWWS, INFANTA, PANGASINAN 1.	The Municipality of Infanta</t>
  </si>
  <si>
    <t xml:space="preserve"> Medical Oxygen: 1800 PSI</t>
  </si>
  <si>
    <t xml:space="preserve"> 130 "Unit(s)" "100-watts LED Street Light -" "100-265 volts, 12,000 lumens, IP65 Bridgelux Chips Meanwell Driver, Daylight, size: 725x285x82mm no arm and photo switch" 70 "Piece(s)" "Photo Control Switch -" "" 2 "Roll(s)" "#6 Service Drop Wire -" "" *****</t>
  </si>
  <si>
    <t xml:space="preserve"> Contract for the Concreting of Road Section at Purok 6. Rd. A (Sitjar Area) 300m, Brgy. Tibal - Og The Municipality of Santo Tomas, through MDF CY 2020 intends to apply the sum of P’ 2,497,407.01 being the Approved Budget for the Contract (ABC) to payment</t>
  </si>
  <si>
    <t xml:space="preserve"> ADDITIONAL SCHOOL AND OFFICE SUPPLIES SHS</t>
  </si>
  <si>
    <t xml:space="preserve"> Description  Republic of the Philippines  Province of Leyte  Municipality of Mahaplag -ooOOoo- INVITATION TO BID Procurement of construction materials for Completion of one unit two (2) Classroom Makeshift Building Hilusig National High School  1. The Loc</t>
  </si>
  <si>
    <t xml:space="preserve"> Location of the Project: Brgy. Mandu-awak, San Dionisio, Iloilo Approved Budget for the Contract: P920,000.00 Funding Source: 20% Devel;opment Fund, CY 2019 Contract Duration: 40 Calendar Days Physical Target: 60 ln.m. Bid Opening: June 24, 2020 at 10:00 </t>
  </si>
  <si>
    <t xml:space="preserve"> MEALS FOR TEAM SUPERVISION FOR VISITORS AND TEACHERS</t>
  </si>
  <si>
    <t xml:space="preserve"> REPAINTING OF SCHOOL GROUND SHS FOR SCHOOL BEAUTIFICATION</t>
  </si>
  <si>
    <t xml:space="preserve"> Republic of the Philippines Province of Albay Municipality of Tiwi OFFICE OF THE BIDS AND AWARDS COMMITTEE CP#0917-851-2315 Invitation to Bid for the IMPROVEMENT OF ROADWAY &amp; SLOPE PROTECTION &amp; DRAINAGE 1.	The Local Government Unit of Tiwi, Albay, through</t>
  </si>
  <si>
    <t xml:space="preserve"> Location of the Project: Brgy. Dugman-Pangi Road, San Dionisio, Iloilo Approved Budget for the Contract: P1,550,000.00 Funding Source: 20% Development Fund, CY 2019 Contract Duration: 90 Calendar Days Physical Target: 155 ln.m. Bid Opening: June 24, 2020 </t>
  </si>
  <si>
    <t xml:space="preserve"> Concreting of barangay road @ brgy San Antonio, Lal-lo, Cagayan</t>
  </si>
  <si>
    <t xml:space="preserve"> Location of the Project: Municipality of San Dionisio, Iloilo Approved Budget for the Contract: P1,250,000.00 Funding Source: MDRRM FUND, CY 2020 Specifications:           2.2 Diesel Engine, 5 speed Mandual Transmission           Euro-4 Diesel engine; Ste</t>
  </si>
  <si>
    <t xml:space="preserve"> Republic of the Philippines PROVINCE OF QUIRINO Cabarroguis -oOo- BIDS AND AWARDS COMMITTEE INVITATION TO BID FOR  Completion of Hanging Footbridge Contract No. PB-CW-2020-023 							June 6, 2020 1.	The Bids and Awards Committee (BAC) of the Provincial Go</t>
  </si>
  <si>
    <t xml:space="preserve"> INVITATION TO BID  (Public Bidding) The BFAR 08, through its Bids and Awards Committee (BAC), invites eligible suppliers to bid for the hereunder contract:	 NAME OF CONTRACT: 20-05-0545 Supply and Delivery of Materials for Intensive Tilapia Farming in Pon</t>
  </si>
  <si>
    <t xml:space="preserve"> ITB NO. 2020-0011 Provision of Security  Services of People’s Television Network, Inc. Manila Office and its Provincial Station</t>
  </si>
  <si>
    <t xml:space="preserve"> Republic of the Philippines PROVINCE OF QUIRINO Cabarroguis -oOo- BIDS AND AWARDS COMMITTEE INVITATION TO BID FOR  Completion of Hanging Footbridge Contract No. PB-CW-2020-021 							June 6, 2020 1.	The Bids and Awards Committee (BAC) of the Provincial Go</t>
  </si>
  <si>
    <t xml:space="preserve"> ITB NO. 2020-0013 Supply, Delivery, Installation, Testing, Commissioning and Training of Six (6) Units of Audio Processors for the Manila, Zamboanga, Guimaras, Naga, and Cotabato Transmitter Stations of the People`s Television Network, Inc. (PTNI)</t>
  </si>
  <si>
    <t xml:space="preserve"> Section I. Invitation to Bid Republic of the Philippines Province of Davao del Norte MUNICIPALITY OF TALAINGOD 								7 June, 2020 Invitation to Bid for ROAD CONCRETING (@Purok 6, Fortu Area, Sto. Niño Crossing Opao-Junction Provincial Road, Palma Gil, T</t>
  </si>
  <si>
    <t xml:space="preserve"> INVITATION TO BID (Public Bidding) The BFAR 08, through its Bids and Awards Committee (BAC), invites eligible suppliers to bid for the hereunder contract:	 NAME OF CONTRACT: 20-05-0550 Supply and Delivery of Materials for Aquaponics with Intensive Tilapia</t>
  </si>
  <si>
    <t xml:space="preserve"> Republic of the Philippines Province of Cebu MUNICIPALITY OF DAANBANTAYAN BARANGAY POBLACION Bids and Awards Committee INVITATION TO BID PROCUREMENT OF MATERIALS FOR CONSTRUCTION/ERECTION OF ELECTRICAL POST 1. The Barangay Goverment of Poblacion,Daanbanta</t>
  </si>
  <si>
    <t xml:space="preserve"> 1.	The Capiz Provincial Government, through the GOP–2020 intends to apply the total amount of Seven Hundred Fifty-Nine Thousand Six Hundred Pesos (Php759,600.00) being the total aggregated Approved Budget for the Contract (ABC) to payments under the contr</t>
  </si>
  <si>
    <t xml:space="preserve"> INVITATION TO BID IB NO. CW 2020 – 081 Concreting of Pili – Banilad Road, Pinamalayan, Oriental Mindoro 1.  The Provincial Government of Oriental Mindoro (PGOM) through the 20% Development Fund 2019 intends to apply the sum of Five Million Nine Hundred Th</t>
  </si>
  <si>
    <t xml:space="preserve"> Rehabilitation of Road</t>
  </si>
  <si>
    <t xml:space="preserve"> INVITATION TO BID IB NO. CW 2020 – 085 Concreting of Road at Brgy. Batong Dalig, Socorro, Oriental Mindoro 1.  The Provincial Government of Oriental Mindoro (PGOM) through the 20% Development Fund CA 2019 intends to apply the sum of One Million Six Hundre</t>
  </si>
  <si>
    <t xml:space="preserve"> 1.	The Capiz Provincial Government, through the GOP–2020 intends to apply the total amount One Million Four Hundred Forty-One Thousand Five Hundred Pesos (Php 1,441,500.00) being the total Approved Budget for the Contract (ABC) to payments under the contr</t>
  </si>
  <si>
    <t xml:space="preserve"> Section I. Invitation to Bid Republic of the Philippines Province of Davao del Norte Municipality of Talaingod 7 June, 2020 INVITATION TO BID FOR PURCHASE OF VEHICLE (VAN) (MMO-BAC &amp; GSO)) 1.	The Local Government Unit of Talaingod, Davao del Norte intends</t>
  </si>
  <si>
    <t xml:space="preserve"> INVITATION TO BID IB NO. CW 2020 – 084 Construction  of Gabion at Sitio Tagascan, Brgy. San Vicente, Roxas, Oriental Mindoro 1.  The Provincial Government of Oriental Mindoro (PGOM) through the General Fund – 5% Calamity Fund 2019 intends to apply the sum</t>
  </si>
  <si>
    <t xml:space="preserve"> INVITATION TO BID IB NO. CW 2020 – 082 Construction of Bridge at Sta. Maria, Mansalay, Oriental Mindoro 1.  The Provincial Government of Oriental Mindoro (PGOM) through the 20% Development Fund CA 2019 intends to apply the sum of One Million Nine Hundred </t>
  </si>
  <si>
    <t xml:space="preserve"> INVITATION TO BID IB NO. CW 2020 – 086 Concreting of Road Section at Brgy. Sta. Rosa II, Binaybay, Baco, Oriental Mindoro 1.  The Provincial Government of Oriental Mindoro (PGOM) through the 20% Development Fund CA 2019 intends to apply the sum of One Mil</t>
  </si>
  <si>
    <t xml:space="preserve"> INVITATION TO BID IB NO. CW 2020 – 083 Construction of Slope Protection at Brgy. Waygan Spillway, Mansalay Oriental Mindoro 1.  The Provincial Government of Oriental Mindoro (PGOM) through the General Fund – 5% Calamity Fund 2019 intends to apply the sum </t>
  </si>
  <si>
    <t xml:space="preserve"> Construction of Concrete/Timber Footbridge, Width=2.40m, Length= 40.00m 1. 84.00 LM Columns (Pre-Vast) 2. 10.00 cu.m Capping, Girder and Transom 3. 9,226.67 bd. ft Plank Floor and Running Board 4. 60.00 bd.ft Stone Masonry 5. 3,367.50 bd.ft Railguard and </t>
  </si>
  <si>
    <t xml:space="preserve"> Republic of the Philippines PROVINCE OF QUIRINO Cabarroguis -oOo- BIDS AND AWARDS COMMITTEE INVITATION TO BID FOR  Completion of Hanging Footbridge Contract No. PB-CW-2020-024 							June 6, 2020 1.	The Bids and Awards Committee (BAC) of the Provincial Go</t>
  </si>
  <si>
    <t xml:space="preserve"> Republic of the Philippines DR. EMILIO B. ESPINOSA, SR. MEMORIAL STATE COLLEGE  OF AGRICULTURE AND TECHNOLOGY (Masbate State College) BIDS AND AWARDS COMMITTEE http:www.debesmscat.edu.ph Cabitan, Mandaon, Masbate Invitation to Bid for the  Construction of</t>
  </si>
  <si>
    <t xml:space="preserve"> INVITATION TO BID The City Government of Pasay, through its Bids and Awards Committee (BAC) invites suppliers/manufacturers/distributors/contractors to apply and submit sealed bids for the supply and delivery of the following: Proposed supply and delivery</t>
  </si>
  <si>
    <t xml:space="preserve"> Construction of Drainage</t>
  </si>
  <si>
    <t xml:space="preserve"> Republic of the Philippines PROVINCE OF QUIRINO Cabarroguis -oOo- BIDS AND AWARDS COMMITTEE INVITATION TO BID FOR  Completion of Hanging Footbridge Contract No. PB-CW-2020-022 							June 6, 2020 1.	The Bids and Awards Committee (BAC) of the Provincial Go</t>
  </si>
  <si>
    <t xml:space="preserve"> DRAINAGE SYSTEM</t>
  </si>
  <si>
    <t xml:space="preserve"> Procurement of Two (2) units Rescue Vehicle for Barangays of LGU Laak, Davao De Oro with an ABC if Php. 3,200,000.00. Specification: *Engine: Model: 2GD-FTV(low), Type: 2.4L Diesel, 4-Cylinder, 16-valve DOHC, Variable Nozzle Turbo w/ front Mounted interco</t>
  </si>
  <si>
    <t xml:space="preserve"> Acquasition of construction materials for improvement of Barangay Multi Purpose Hall Taguihon, Baclayon, Bohol Bill of materials:   INSTALLATION OF DOOR AND WINDOWS 1.  1 set   - Fixed glass window 1 w/ aluminum frame (1.12mx1.00m with opening) 2.  2 sets</t>
  </si>
  <si>
    <t xml:space="preserve"> building</t>
  </si>
  <si>
    <t xml:space="preserve"> INVITATION TO BID IB NO. CW 2020 – 088 Installation of Automatic Fire Suppression System at Oriental Mindoro Southern District Hospital, Roxas, Oriental Mindoro 1.  The Provincial Government of Oriental Mindoro (PGOM) through the General Fund CA 2018 inte</t>
  </si>
  <si>
    <t xml:space="preserve"> Procurement of Seven (7) units Steel Goal with Ring &amp; Board and Complete Accessories for Barangay Langtud, Melale, Sto. Niño, Mangloy, Kidawa and Datu Ampunan - Laak, Davao De Oro with an ABC of Php. 2,100,000.00.</t>
  </si>
  <si>
    <t xml:space="preserve"> Contract Labor and Materials for the Concreting of Toribio Suan Street, Laac (Pob.), Laak, Davao De Oro with an ABC of Php. 1,428,263.51.</t>
  </si>
  <si>
    <t xml:space="preserve"> See attached main document.</t>
  </si>
  <si>
    <t xml:space="preserve"> Republic of the Philippines PROVINCE OF NUEVA VIZCAYA Invitation to Bid for the  CONSTRUCTION/IMPROVEMENT OF SITIO CAINO FTMR Located at Banila, Dupax del Sur, Nueva Vizcaya  1.	The Provincial Government of Nueva Vizcaya, through the 2020 20% Development </t>
  </si>
  <si>
    <t xml:space="preserve"> Contract Labor and Materials for the Construction of Concrete Pavement of Public Night Market Stalls at Laac (Pob.), Laak, Davao De Oro with an ABC of Php. 809,306.17.</t>
  </si>
  <si>
    <t xml:space="preserve"> SUPPLY, DELIVERY AND INSTALLATION OF TYPHOON-RESILIENT VERTICAL INDOOR FARMING SYSTEM AT ASCOT BAZAL CAMPUS</t>
  </si>
  <si>
    <t xml:space="preserve"> Name of Project: Purchase of three (3) sets Sand Separator/ Filter bag housing for Pura Water System Pumping Station Location: Brgy Singat, Nilasin 2nd and Poblacion 3, Pura, Tarlac ABC: Php 1,600,000.00 5 units SAND SEPARATOR/ FILTER BAG HOUSING Filter b</t>
  </si>
  <si>
    <t xml:space="preserve"> PANEL 900 WATS INVERTER 7500 WATTS RATING 2X7500 WATTS PANEL MOUNTING &amp; ACCESSORIES DC SURGE PROTECTION AC CIRCUIT BREAKER PV POWER CABLES OTHER INST. MATERIALS</t>
  </si>
  <si>
    <t xml:space="preserve"> Invitation to Bid for the Construction of 1 Unit 3 Classroom Bldg at Gaboc Elementary School 1.	The Local Government Unit of Manolo Fortich, through the Special Education Fund intends to apply the sum of FOUR MILLION THREE HUNDRED THOUSAND PESOS (PhP 4,30</t>
  </si>
  <si>
    <t xml:space="preserve"> Description Republic of the Philippines Province of Oriental Mindoro MUNICIPALITY OF NAUJAN BARANGAY SAN JOSE BIDS AND AWARDS COMMITTEE INVITATION TO BID SUPPLY AND DELIVERY OF MATERIALS TO BE USED IN REHABILITATION OF HEALTH CENTER, SITIO SIMBAHAN, BARAN</t>
  </si>
  <si>
    <t xml:space="preserve"> Name of Project: Purchase of One (1) Set Sand Separator/ Filter bag housing for Pura Water System Pumping Station  Location: Brgy Estipona, Pura, Tarlac ABC: Php 640,000.00 2 units SAND SEPARATOR/ FILTER BAG HOUSING Filter bag housing : Single PR# : SBF-0</t>
  </si>
  <si>
    <t xml:space="preserve"> Republic of the Philippines PROVINCE OF NUEVA VIZCAYA Invitation to Bid for the  CONSTRUCTION/IMPROVEMENT OF NEW BENAY WANGYEON FTMR Located at Malasin, Dupax del Norte, Nueva Vizcaya  1.	The Provincial Government of Nueva Vizcaya, through the 2020 20% De</t>
  </si>
  <si>
    <t xml:space="preserve"> INVITATION TO APPLY FOR ELIGIBILITY AND BID The Barangay of Pispis, Maasin, Iloilo, through its Bids and Awards Committee (BAC), invites suppliers/ distributors/ contractors to apply for eligibility and to bid for the hereunder project: Name of Project : </t>
  </si>
  <si>
    <t xml:space="preserve"> INVITATION TO APPLY FOR ELIGIBILITY AND BID The Barangay of Daja, Maasin, Iloilo, through its Bids and Awards Committee (BAC), invites suppliers/ distributors/ contractors to apply for eligibility and to bid for the hereunder project: Name of Project : Re</t>
  </si>
  <si>
    <t xml:space="preserve"> PROCUREMENT, SUPPLY AND DELIVERY OF 5.56MM AMMUNITIONS (M193)</t>
  </si>
  <si>
    <t xml:space="preserve"> Name of Project:Site Development of Bancasi Rotunda JCT BCI Highway and DOP Avenue-2nd Bidding Location: Barangay Bancasi,Butuan City Duration:200 calendar days Total ABC: Php 9,900,954.74 For representative/s of interested bidders who wish to attend the </t>
  </si>
  <si>
    <t xml:space="preserve"> Procurement of One (1) Brand New Emergency Vehicle (DOH Standard Ambulance) of LGU Laak, Davao De Oro with an ABC of Php. 2,600,000.00. Specification: - 2.5 L In-line, 4 Cylinder DOHC 16, Turbo Charge Diesel Engine (Valve Variable), 120-130 PS (Max Power)</t>
  </si>
  <si>
    <t xml:space="preserve"> MUST HAVE AN DENR ENVIRONMENTAL COMPLIANCE CERTIFICATE FOR SANITARY LANDFILL</t>
  </si>
  <si>
    <t xml:space="preserve"> Description   Republic of the Philippines Province of Oriental Mindoro MUNICIPALITY OF NAUJAN BARANGAY SAN JOSE BIDS AND AWARDS COMMITTEE INVITATION TO BID SUPPLY AND DELIVERY OF MATERIALS TO BE USED FOR THE INSTALLATION OF STREET LIGHTS IN DIFFERENT SITI</t>
  </si>
  <si>
    <t xml:space="preserve"> Procurement of Seven (7) units Rescue Vehicle for Barangays of LGU Laak, Davao De Oro with an ABC of Php. 11,200,000.00. Specification: *Engine: Model: 2GD-FTV(low), Type: 2.4L Diesel, 4-Cylinder, 16-valve DOHC, Variable Nozzle Turbo w/ front Mounted inte</t>
  </si>
  <si>
    <t xml:space="preserve"> Stock	ITEM DESCRIPTION	QTY	UNIT No.			 			 A.	 General Requirements		 	1. Permits (Building Permits, Occupancy Permit, ECC, DOLE 	1	lot 	    and  other Local Permits required)		 	2. Mobilization/Demobilization	1	lot 	3. Temporary Facilities	1	lot 	4. Phot</t>
  </si>
  <si>
    <t xml:space="preserve"> 4 ROLLS PE PIPE 1'' Ø 3 ROLLS PE PIPE 2 2 1/2'' Ø  5 ROLLS PE PIPE 3/4'' Ø</t>
  </si>
  <si>
    <t xml:space="preserve"> Republic of the Philippines PROVINCE OF NUEVA VIZCAYA Invitation to Bid for the  CONSTRUCTION OF MAGA-AD BAKIR CIS Located at Bagabag, Nueva Vizcaya  1.	The Provincial Government of Nueva Vizcaya, through the 2020 20% Development Fund intends to apply the</t>
  </si>
  <si>
    <t xml:space="preserve"> Construction of 9 units  Streetlights</t>
  </si>
  <si>
    <t xml:space="preserve"> Republic of the Philippines Province of Compostela Valley Municipality of Monkayo -o0o- INVITATION TO BID FOR THE PROCUREMENT OF DRUGS &amp; MEDICINES FOR MUNICIPAL HEALTH CENTER VARIOUS PROGRAM-1st SEMESTER The Municipality of Monkayo, through the GENERAL FU</t>
  </si>
  <si>
    <t xml:space="preserve"> Republic of the Philippines PROVINCE OF NUEVA VIZCAYA Invitation to Bid for the  CONSTRUCTION/IMPROVEMENT OF PUROK 2 BONE SOUTH FTMR Located at Aritao, Nueva Vizcaya  1.	The Provincial Government of Nueva Vizcaya, through the 2020 20% Development Fund int</t>
  </si>
  <si>
    <t xml:space="preserve"> PROCUREMENT, SUPPLY AND DELIVERY OF 5.56MM AMMUNITIONS (SS109)</t>
  </si>
  <si>
    <t xml:space="preserve"> PROCUREMENT, SUPPLY AND DELIVERY OF 30 ROUNDS MAGAZINE FOR 5.56MM</t>
  </si>
  <si>
    <t xml:space="preserve"> PROCUREMENT, SUPPLY AND DELIVERY OF 9MM AMMUNITIONS</t>
  </si>
  <si>
    <t xml:space="preserve"> Republic of the Philippines PROVINCE OF NUEVA VIZCAYA Invitation to Bid for the  CONSTRUCTION OF CUTAR FARMERS ASSOCIATION CIS Located at Aritao, Nueva Vizcaya  1.	The Provincial Government of Nueva Vizcaya, through the 2020 20% Development Fund intends t</t>
  </si>
  <si>
    <t xml:space="preserve"> INVITATION TO BID FOR  CY 2020 ENHANCED NATIONAL GREENING PROGRAM- HAULING OF SEEDLINGS UNDER MECHANIZED AND MODENIZED FOREST NURSERY DENR-ENGP-MMFN-HAULING-2020-001 1.	The Department of Environment and Natural Resources, Regional Office No. 5, Rawis, Leg</t>
  </si>
  <si>
    <t xml:space="preserve"> Republic of the Philippines LOCAL GOVERNMENT UNIT OF GINGOOG BIDS AND AWARDS COMMITTEE Gingoog City INVITATION TO BID 1.	The Local Government Unit of Gingoog City, through the Budget for the contract approved by the Sangguniang Panlungsod, intends to appl</t>
  </si>
  <si>
    <t xml:space="preserve"> Description of Work to be Done: - Excavations - Backfilling and Compaction - R.C. Foundation and Pedestal - Reinforcing Steel for Foundation and Pedestal - Formworks - Project Sign Board (COA) - Project Sign Board (ASCOT) - Complete Streetlight LED Light </t>
  </si>
  <si>
    <t xml:space="preserve"> Title:Procurement of 1,000 Vial Rabies Vaccine(10 Dose/Vial),etc. under P.R.No. 1408-2020-Office of the City Veterinarian-2nd Bidding Total ABC: Php 1,595,798.00 For representative/s of interested bidders who wish to attend the Pre-Bidding Conference, ple</t>
  </si>
  <si>
    <t xml:space="preserve"> Republic of the Philippines PROVINCE OF NUEVA VIZCAYA Invitation to Bid for the  CONSTRUCTION OF BALONG CIS Located at Labang, Ambaguio, Nueva Vizcaya  1.	The Provincial Government of Nueva Vizcaya, through the 2020 20% Development Fund intends to apply t</t>
  </si>
  <si>
    <t xml:space="preserve"> 530 pcs - Smart prepiad cards, 300s 93 pcs - TNT prepaid cards, 300 65 pcs - GLOBE prepaid cards, 300s 32 pcs - TM prepaid cards, 300s</t>
  </si>
  <si>
    <t xml:space="preserve"> Republic of the Philippines PROVINCE OF NUEVA VIZCAYA Invitation to Bid for the  CONSTRUCTION/IMPROVEMENT OF KAKIDUGUEN FTMR Located at Kasibu, Nueva Vizcaya  1.	The Provincial Government of Nueva Vizcaya, through the 2020 20% Development Fund intends to </t>
  </si>
  <si>
    <t xml:space="preserve"> Completion of Multi-Purpose Building</t>
  </si>
  <si>
    <t xml:space="preserve"> General Requirements, Occupational Safety and Health Program, Site Clearing and Layout, Excavation and Backfilling, Embankment, Reinforcing Steel (Grade 40), Structural Concrete (21Mpa), Masonry Works, Plastering Works, Stainless Railings, Roofing and roo</t>
  </si>
  <si>
    <t xml:space="preserve"> Republic of the Philippines PROVINCE OF NUEVA VIZCAYA Invitation to Bid for the  CONSTRUCTION OF VISTAHILL CIS Located at Bayombong, Nueva Vizcaya  1.	The Provincial Government of Nueva Vizcaya, through the 2020 20% Development Fund intends to apply the s</t>
  </si>
  <si>
    <t xml:space="preserve"> Completion of 2 Storey MPB with Common Toilet and Pantry</t>
  </si>
  <si>
    <t xml:space="preserve"> Rain Water Collector 	 			 	 Cost of Bidding Documents: Php 5,000.00					 Source of Funds: SR2020-03-0039459 The significant times and deadlines of procurement activities are shown below: 1. Issuance of Bidding Documents	Deadline: June 8 – June 24, 2020, </t>
  </si>
  <si>
    <t xml:space="preserve"> Republic of the Philippines PROVINCE OF NUEVA VIZCAYA Invitation to Bid for the  CONSTRUCTION OF LANTAP-BAKIR CIS Located at Bagabag, Nueva Vizcaya  1.	The Provincial Government of Nueva Vizcaya, through the 2020 20% Development Fund intends to apply the </t>
  </si>
  <si>
    <t xml:space="preserve"> Construction of Concrete Road:  Length= 5,280.00m; Width= 5.00m; Thickness= 0.23m; Area= 28,230.424 sq.m. Double Barrel: 3x3x12, Single Barrel: 3x3x10</t>
  </si>
  <si>
    <t xml:space="preserve"> Republic of the Philippines PROVINCE OF NUEVA VIZCAYA Invitation to Bid for the  CONSTRUCTION OF HUKHUKYONG PIS Located at Labang, Ambaguio, Nueva Vizcaya  1.	The Provincial Government of Nueva Vizcaya, through the 2020 20% Development Fund intends to app</t>
  </si>
  <si>
    <t xml:space="preserve"> Republic of the Philippines                                                     PROVINCE OF SAMAR                                                         INVITATION TO BID                                                       Supply of Fishing Gears 1) Th</t>
  </si>
  <si>
    <t xml:space="preserve"> CONSTRACTION OF WATER SYSTEM</t>
  </si>
  <si>
    <t xml:space="preserve"> vaccination of 150 women and children</t>
  </si>
  <si>
    <t xml:space="preserve"> Republic of the Philippines                                                     PROVINCE OF SAMAR                                                        2nd INVITATION TO BID                                               Supply of Electrical Equipment 1) </t>
  </si>
  <si>
    <t xml:space="preserve"> Republic of the Philippines CENTRAL BICOL STATE UNIVERSITY OF AGRICULTURE-SIPOCOT 	Impig, Sipocot, Camarines Sur INVITATION TO BID FOR SUPPLY AND DELIVERY OF ONE (1) UNIT PASSENGER VAN 1.	The CENTRAL BICOL STATE UNIVERSITY OF AGRICULTURE (CBSUA) - SIPOCOT</t>
  </si>
  <si>
    <t xml:space="preserve"> Republic of the Philippines				 Province of Lanao del Norte				 Municipality of Lala				 Office of the Municipal General Services	 			                                                                                      _______________ 				               </t>
  </si>
  <si>
    <t xml:space="preserve"> 1   Unit   CARGO TRUCK                 *(6 Wheeler Dump Truck) – 5.5 – 6 Cu.m. Capacity - Diesel, four strike direct injection engine - Maximum Output: 120 HP – 160 HP - Rotation Speed: 2500 RPM – 2800 RPM - Euro II Emission Standard - 4 Cylinders with wa</t>
  </si>
  <si>
    <t xml:space="preserve"> Description   Republic of the Philippines Province of Quezon Municipality of San Francisco BIDS &amp; AWARDS COMMITTEE INVITATION TO APPLY FOR ELIGIBILITY AND TO BID The Municipality of San Francisco through 20% Development  Fund intends to apply the sum of O</t>
  </si>
  <si>
    <t xml:space="preserve"> INVITATION TO BID June 4, 2020 The Eastern Visayas Regional Medical Center, through its Bids and Awards Committee (BAC A) invites suppliers/manufacturers/distributors to bid for the hereunder project:  Item/Description	Approved Budget for the Contract (AB</t>
  </si>
  <si>
    <t xml:space="preserve"> INVITATION TO RE-BID FOR THE  SUPPLY AND DELIVERY OF COMPUTER NOTEBOOK PR Nos. 27619-001 to 27619-003 1.	The Metropolitan Cebu Water District, through the Corporate Budget of 2020 intends to apply the sum of: PR No.	Description	Qty.	Unit Price	Approved Bu</t>
  </si>
  <si>
    <t xml:space="preserve"> Republic of the Philippines Province of Negros Occidental CITY OF TALISAY INVITATION TO BID  FOR THE Purchase of Eight (8) units of Assault Rifle   For the use of Talisay PNP of the   City of Talisay 1.	The City of Talisay, through the PNP Capital Outlay </t>
  </si>
  <si>
    <t xml:space="preserve"> Republic of the Philippines Province of Camarines Sur MUNICIPALITY OF PAMPLONA BIDS AND AWARDS COMMITTEE Poblacion, Pamplona, Camarines Sur 4416 Invitation to Bid for Construction of Bleachers and Multi-Purpose Hall (TESDA, Senior Citizen Building and oth</t>
  </si>
  <si>
    <t xml:space="preserve"> INVITATION TO RE-BID FOR THE  SUPPLY, DELIVERY, AND INSTALLATION OF FIRE SUPRESSION SYSTEM PR No. 27388-001 1.	The Metropolitan Cebu Water District, through the Corporate Budget of 2020 intends to apply the sum of: PR No.	Description	Qty.	Unit Price	Appro</t>
  </si>
  <si>
    <t xml:space="preserve"> Construction of Concrete Road Length= 2,882.838m, Width= variable, Thickness= 0.23m, Area= 4,800.271 sq.m. Approach Bridge: Length= 496.479m, Width= 6.7m, Thickness= 0.28m, Area= 3,326.409 sq.m.</t>
  </si>
  <si>
    <t xml:space="preserve"> INVITATION TO RE-BID FOR THE  SUPPLY AND DELIVERY OF GIS DESKTOP SOFTWARE PR No. 27611-001  1.	The Metropolitan Cebu Water District, through the Corporate Budget of 2020 intends to apply the sum of: PR No.	Description	Qty.	Unit Price	Approved Budget  for </t>
  </si>
  <si>
    <t xml:space="preserve"> Concreting of Road: Width= 5m, thickness= 0.23m, total length= 1.580 Km/3.160 Lane-Km Construction of Box Culvert, Drainage and Provision of Hazard Markers and Reflectorized Pavement Markings</t>
  </si>
  <si>
    <t xml:space="preserve"> INVITATION TO RE-BID FOR THE  SUPPLY, DELIVERY, AND INSTALLATION OF LOCAL AREA NETWORK (LAN) STRUCTURED CABLING IN THE NEW MSSD BUILDING, TALAMBAN, CEBU CITY PR No. 27608-001 1.	The Metropolitan Cebu Water District, through the Corporate Budget of 2020 in</t>
  </si>
  <si>
    <t xml:space="preserve"> Materials for the Improvement of Manpower Development Center ( Sports Center) Pob. Ilaud, Zarraga, Iloilo</t>
  </si>
  <si>
    <t xml:space="preserve"> Republic of the Philippines				 Province of Lanao del Norte				 Municipality of Lala				 Office of the Municipal General Services				 				_________________________ 				Date CANVASS				 				 				 	Sir/Madam:			 		Please quote your lowest price for the foll</t>
  </si>
  <si>
    <t xml:space="preserve"> Item Description                     Quantity                Unit of Use Printer Multi-Function Inkjet         2                            Unit Laptop: X409UA HT731T, Core     4                            Unit i3/4GB/1TB HDD,NO OS/14"</t>
  </si>
  <si>
    <t xml:space="preserve"> Tablet Specs. -WiFi Ready -3G or 4G -7" Display Screen (1024 x 600) -Camera -GPS Chip (not assisted GPS through the Net) -at least Dual Core Processor or Higher -Android 4.1 or Higher -USB (to connect with the computer) -Li-ion 4000 Mah Battery (1200 hrs.</t>
  </si>
  <si>
    <t xml:space="preserve"> Acquisition of IT Equipments for Department of Education Items: 1. 5 units Desktop Computers     Specifications:        Core i3        8GB DDR4        1 TB HDD SATA        Casing/Power Supply 650 watts        USB Keyboard &amp; Mouse        18.5 LED Monitor  </t>
  </si>
  <si>
    <t xml:space="preserve"> Construction of road</t>
  </si>
  <si>
    <t xml:space="preserve"> Construction of Concrete Road Length= 5,689.80m, Width= variable, Thickness= 0.23m, Area= 19,117.45 sq.m. (including flare) Drainage (Culvert Pipes 60" dia &amp; 36" dia) Length= 9.00 ln.m. &amp; 24.00 ln.m.</t>
  </si>
  <si>
    <t xml:space="preserve"> ITEMS OF WORK INCLUDES: - MANUAL HAULING OF MATERIALS FROM ROADSIDE TO JOBSITE - SITE PREPARATION, CLEARING, &amp; LEVELING - EXCAVATION - REINFORCING STEEL BAR - FORMWORKS - STRUCTURAL CONCRETE - 4" THICK CHB WITH REBARS - PLASTERING WORKS - PLUMBING WORKS -</t>
  </si>
  <si>
    <t xml:space="preserve"> (LOT.) Project Informative Billboard and Temporary Facilities (LOT.) Heavy Equipment Mobilization and Demobilization (SQ.M.) Clearing and Grubbing (with Stripping) (CU.M.) Roadway Excavation (CU.M.) Embankment (SQ.U.) Sub-grade Preparation (CU.M.) Aggrega</t>
  </si>
  <si>
    <t xml:space="preserve"> PLEASE SEE ATTACHED FILE/S.</t>
  </si>
  <si>
    <t xml:space="preserve"> (LOT.) Project Informative Billboard and Temporary Facilities (LOT.) Heavy Equipment Mobilization and Demobilization (SQ.M.) Clearing and Grubbing (with Stripping) (CU.M) Roadway Excavation (CU.M.) Embankment (SQ.M.) Sub-grade Preparation (CU.M.) Aggregat</t>
  </si>
  <si>
    <t xml:space="preserve"> The BAC is conducting the public bidding for this Contract pursuant to GPPB Circular 06-2019 dated July 17, 2019 (Guidelines on the Implementation of Early Procurement Activities) in relation to the provisions of the Republic Act 9184 and its Implementing</t>
  </si>
  <si>
    <t xml:space="preserve"> INVITATION TO APPLY FOR ELIGIBILITY TO BID The Local Government Unit of Matag-ob, through its Bids and Awards Committee (BAC), invites Suppliers /Manufacturers/Distributors/ Contractors to apply for eligibility and to bid for the hereunder projects. Name </t>
  </si>
  <si>
    <t xml:space="preserve"> Construction of Concrete Road: Length= 3,323.529m, Width= Variable, Thickness= 0.23m, Area= 13,404.97 sq.m. Drainage (CHB 4" Line Canal) Length= 345.93m, Width= Variable, Height= 1.00m</t>
  </si>
  <si>
    <t xml:space="preserve"> SUPPLY, DELIVERY AND INSTALLATION OF FURNITURE AND FIXTURES FOR THE CITY CIVIL REGISTRATION OFFICE - Order of payment for Bid Docs will be available at GSD-Head Office @ 10th Floor Makati City Hall Bldg. 2.  Look for Mr. Reden Villanueva. - A  complete se</t>
  </si>
  <si>
    <t xml:space="preserve"> SUPPLY AND DELIVERY OF MEDICAL, DENTAL AND LABORATORY SUPPLIES FOR VARIOUS DEPARTMENTS/OFFICES OF THE CITY GOVERNMENT OF MAKATI - Order of payment for Bid Docs will be available at GSD-Head Office @ 10th Floor Makati City Hall Bldg. 2.  Look for Mr. Reden</t>
  </si>
  <si>
    <t xml:space="preserve"> 1 UNIT LAPTOP  1 UNIT PROJECTOR WITH SCREEN 1 SALA SET</t>
  </si>
  <si>
    <t xml:space="preserve"> SUPPLY AND DELIVERY OF STENOGRAPH MACHINES - Order of payment for Bid Docs will be available at GSD-Head Office @ 10th Floor Makati City Hall Bldg. 2.  Look for Mr. Reden Villanueva. - A  complete set of Bidding Documents will be available from day of pos</t>
  </si>
  <si>
    <t xml:space="preserve"> REPAIR OF VARIOUS MEDICAL EQUIPMENT (2 LOTS) LOT 1: REPAIR OF MEDICAL EQUIPMENT (ULTRASOUND MACHINE – HITACHI F37) LOT 2: REPAIR OF MEDICAL EQUIPMENT (INFANT INCUBATOR – WEYER VITA) - Order of payment for Bid Docs will be available at GSD-Head Office @ 10</t>
  </si>
  <si>
    <t xml:space="preserve"> SUPPLY AND DELIVERY OF FABRICATED RECYCLABLE BINS - Order of payment for Bid Docs will be available at GSD-Head Office @ 10th Floor Makati City Hall Bldg. 2.  Look for Mr. Reden Villanueva. - A  complete set of Bidding Documents will be available from day</t>
  </si>
  <si>
    <t xml:space="preserve"> SUPPLY, DELIVERY AND INSTALLATION OF LABORATORY INFORMATION SYSTEM (LIS) FOR OSPITAL NG MAKATI  - Order of payment for Bid Docs will be available at GSD-Head Office @ 10th Floor Makati City Hall Bldg. 2.  Look for Mr. Reden Villanueva. - A  complete set o</t>
  </si>
  <si>
    <t xml:space="preserve"> SUPPLY AND DELIVERY OF MEDICAL EQUIPMENT ACCESSORIES FOR INFUSION PUMPS (JMS AND TERUMO BATTERIES) - Order of payment for Bid Docs will be available at GSD-Head Office @ 10th Floor Makati City Hall Bldg. 2.  Look for Mr. Reden Villanueva. - A  complete se</t>
  </si>
  <si>
    <t xml:space="preserve"> SUPPLY AND DELIVERY OF CRAWLER EXCAVATOR - Order of payment for Bid Docs will be available at GSD-Head Office @ 10th Floor Makati City Hall Bldg. 2.  Look for Mr. Reden Villanueva. - A  complete set of Bidding Documents will be available from day of posti</t>
  </si>
  <si>
    <t xml:space="preserve"> (SET) RAM PUMP AND PRE-FABRICATED MATERIALS (SET) IMPOUNDING TANK (4M X 1M X 0.80M) (SET)  DIVERSION PIPELINE AND BYPASS (50M AND 60M) (SETS) CATCHMENT TANK (1.20M X 1.2M X 1M) (SET) DRIVE PIPE AND SUPPORT STAND (SETS) RAM PUMP FOUNDATION AND SAFETY COVER</t>
  </si>
  <si>
    <t xml:space="preserve"> INVITATION TO BID The LOCAL GOVERNMENT UNIT OF SANTO TOMAS,  through its Bids and Awards Committee (BAC), invites suppliers/ manufacturers/distributors/ contractors to apply for eligibility and to bid for the hereunder projects to be undertaken on  June 2</t>
  </si>
  <si>
    <t xml:space="preserve"> 5 UNIT OF GARBAGE BIN USE FOR GARBAGE COLLECTION</t>
  </si>
  <si>
    <t xml:space="preserve"> 1	 1.00 	unit	Fabrication of Informative Signs, 3mm thk Aluminum Sheet rectangular shape, 450mm x 750mm incl. Printing w/ 3m Sticker Coated (Ormoc) 2	 3.00 	length	 1-1/2" x 1/4" THK Flat Bar, 6m long (Baybay) 3	 3.00 	length	2" dia. G.i Pipe , Schedule 4</t>
  </si>
  <si>
    <t xml:space="preserve"> Republic of the Philippines Province of Leyte MUNICIPALITY OF HILONGOS Invitation to Bid  1.	The  Local Government Unit of Hilongos  through its Bids and Awards Committee (BAC), hereby invites Domestic Contractors registered with and classified by the Phi</t>
  </si>
  <si>
    <t xml:space="preserve"> PRINTING OF MAKATI ANNUAL REPORTS 2019 WITH DOCUMENTARY ENVELOPE - Order of payment for Bid Docs will be available at GSD-Head Office @ 10th Floor Makati City Hall Bldg. 2.  Look for Mr. Reden Villanueva. - A  complete set of Bidding Documents will be ava</t>
  </si>
  <si>
    <t xml:space="preserve"> CONCRETE WORKS AND ELECTRICAL WORKS MATERIALS: QTY.  UNIT   PARTICULARS 20 SETS 8" AMGLOBE (HALF CLEAR) W/1-1/2 " ADAPTOR 2000 MTRS.  3.5 MM TW WIRE 20  PCS. ELECTRICAL TAPE 10 ROLLS RUBBER TAPE 10 PCS. 1 1/2" G.I. PIPE 20 LENGTHS 10MM RSB 20 PCS. 11W LED</t>
  </si>
  <si>
    <t xml:space="preserve"> Construction of 1.995 lane km. concrete road</t>
  </si>
  <si>
    <t xml:space="preserve"> PRINTING OF MATERIALS AND FORMS FOR VARIOUS DEPARTMENTS - Order of payment for Bid Docs will be available at GSD-Head Office @ 10th Floor Makati City Hall Bldg. 2.  Look for Mr. Reden Villanueva. - A  complete set of Bidding Documents will be available fr</t>
  </si>
  <si>
    <t xml:space="preserve"> Description 1. Name of Project: Procurement of 2 (Two) Units Motorcycle for Early Warning and Monitoring Location: Bugasong, Antique Brief Description: 2 Units Motor Cycle, LTO Registered in the name of Municipality of Bugasong Engine Type: 4 Stroke Singl</t>
  </si>
  <si>
    <t xml:space="preserve"> SUPPLY AND INSTALLATION OF CCTV CAMERA IN ADMIN AND ACADEMIC BUILDING - Order of payment for Bid Docs will be available at GSD-Head Office @ 10th Floor Makati City Hall Bldg. 2.  Look for Mr. Reden Villanueva. - A  complete set of Bidding Documents will b</t>
  </si>
  <si>
    <t xml:space="preserve"> 1 LOT Equipment and Facilities for the Rehabilitation of Old Engineering Building Item Description: ( Please see the Official Bidding Form for the full specification of each items) [2 UNITS] Wireless spectrometer with Fiber Optic Cable Accessory Concepts </t>
  </si>
  <si>
    <t xml:space="preserve"> PLEASE SEE ATTACHED FILES.</t>
  </si>
  <si>
    <t xml:space="preserve"> SUPPLY, DELIVERY AND INSTALLATION OF DESKTOP AND LAPTOP COMPUTERS FOR VARIOUS OFFICES/DEPARTMENTS OF CITY GOVERNMENT OF MAKATI - Order of payment for Bid Docs will be available at GSD-Head Office @ 10th Floor Makati City Hall Bldg. 2.  Look for Mr. Reden </t>
  </si>
  <si>
    <t xml:space="preserve"> 1.) 	 1 	 - Unit 	 - Motor Vehicle (Passenger Van) 			 			Engine: 2.80 Diesel Manual Transmission, 4 cylinders 			Displacement: 2.755cc 			Maximum Output: 176/3,400 			Fuel Tank Capacity: 70L 			Emission Standard: EURO 4 			Tires: 235/65 R16 			Seating Ca</t>
  </si>
  <si>
    <t xml:space="preserve"> SUPPLY AND DELIVERY OF MATERIALS, TOOLS AND PPES FOR VARIOUS PROJECTS OF EEMO,DEPW AND GSD - Order of payment for Bid Docs will be available at GSD-Head Office @ 10th Floor Makati City Hall Bldg. 2.  Look for Mr. Reden Villanueva. - A  complete set of Bid</t>
  </si>
  <si>
    <t xml:space="preserve"> Construction (Completion) of Multi-Purpose Building (360.00 sq.m.) includes repainting of existing structure, replacement of stage flooring, fence (front only), repair/replacement of damage roofing and gutter, construction of stage roofing</t>
  </si>
  <si>
    <t xml:space="preserve"> Office Supplies Expenses</t>
  </si>
  <si>
    <t xml:space="preserve"> Construction of Bridge: Length= 45.00m Road: Length= 207.00 ln.m., Width= 6.70 m., Area= 1,386.90 sq.m.</t>
  </si>
  <si>
    <t xml:space="preserve"> Republic of the Philippines DEPARTMENT OF PUBLIC WORKS AND HIGHWAYS BATANGAS II  DISTRICT ENGINEERING OFFICE REGIONAL OFFICE IV-A Kumintang Ilaya, Batangas City INVITATION TO BID For Repair and Maintenance of Road Safety Facilities 1.	The Department of Pu</t>
  </si>
  <si>
    <t xml:space="preserve"> SUPPLY AND DELIVERY OF COMMERCIAL RICE FOR MAKATI CITY JAIL - Order of payment for Bid Docs will be available at GSD-Head Office @ 10th Floor Makati City Hall Bldg. 2.  Look for Mr. Reden Villanueva. - A  complete set of Bidding Documents will be availabl</t>
  </si>
  <si>
    <t xml:space="preserve"> 100 REAMS BOND PAPER LONG 75 REAMS Bond paper short 125 pcs. folder long 100 pcs. folder short 100 pcs. colored folder long 50 pcs. expandered folder long hard bond 100 pcs. each envelope long and short 25 boxes fastener 100 pcs.ballpen black, 50 pcs. red</t>
  </si>
  <si>
    <t xml:space="preserve"> DESIGN, LAYOUT AND PRINTING OF MAKATI TOURIST MAPS - Order of payment for Bid Docs will be available at GSD-Head Office @ 10th Floor Makati City Hall Bldg. 2.  Look for Mr. Reden Villanueva. - A  complete set of Bidding Documents will be available from da</t>
  </si>
  <si>
    <t xml:space="preserve"> UNIVERSITY OF THE PHILIPPINES MANILA The Health Sciences Center 8/F PGH Central Block Bldg,  Taft Avenue, Manila INVITATION TO BID PROPOSED REHABILITATION AND RENOVATION OF  REMAINING BASIC SCIENCE LABORATORIES SALCEDO HALL, COLLEGE OF MEDICINE UNIVERSITY</t>
  </si>
  <si>
    <t xml:space="preserve"> Medical, Dental, &amp; Laboratory Supplies</t>
  </si>
  <si>
    <t xml:space="preserve"> Republic of the Philippines DEPARTMENT OF PUBLIC WORKS AND HIGHWAYS OFFICE OF THE REGIONAL DIRECTOR Region VII                                                                                                                        South Road Properties (SR</t>
  </si>
  <si>
    <t xml:space="preserve"> Department of Public Works and Highways (DPWH) Contract ID: 20G00098 Contract Name: Construction of Revetment at Sibalom Bridge (Abutment B Downstream and Upstream) Pangpang, Sibalom, Antique Location of the Contract: Sibalom, Antique --------------------</t>
  </si>
  <si>
    <t xml:space="preserve"> SUPPLY AND DELIVERY OF BIRTHDAY CAKES FOR THE CITY EMPLOYEES THROUGH ORDERING AGREEMENT - Order of payment for Bid Docs will be available at GSD-Head Office @ 10th Floor Makati City Hall Bldg. 2.  Look for Mr. Reden Villanueva. - A  complete set of Biddin</t>
  </si>
  <si>
    <t xml:space="preserve"> SUPPLY AND DELIVERY OF FOOD SUPPLIES FOR FOOD ASSISTANCE AND NUTRI-BATA PROJECTS (2 LOTS) LOT 1: SUPPLY AND DELIVERY OF COMMERCIAL RICE LOT 2: SUPPLY AND DELIVERY OF OTHER FOOD SUPPLIES (EGGS-MONGGO) - Order of payment for Bid Docs will be available at GS</t>
  </si>
  <si>
    <t xml:space="preserve"> PROPOSED CONSTRUCTION OF COLUMBARIUM COMPLEX LOCATED AT KALAYAAN AVENUE CORNER N. GARCIA STREET, BARANGAY VALENZUELA, MAKATI CITY - Order of payment for Bid Docs will be available at GSD-Head Office @ 10th Floor Makati City Hall Bldg. 2.  Look for Mr. Red</t>
  </si>
  <si>
    <t xml:space="preserve"> SUPPLY AND DELIVERY OF MEALS FOR ACTIVITIES OF VARIOUS DEPARTMENTS/OFFICES OF THE CITY GOVERNMENT OF MAKATI - Order of payment for Bid Docs will be available at GSD-Head Office @ 10th Floor Makati City Hall Bldg. 2.  Look for Mr. Reden Villanueva. - A  co</t>
  </si>
  <si>
    <t xml:space="preserve"> 1.	The LGU - CORELLA, BOHOL, through the budget approved by the Sanggunian per Municipal Ordinance No. 2019-15 under 20% development fund intends to apply the sum of PHP 1,658,802.91 being the Approved Budget for the Contract (ABC) to payments under the c</t>
  </si>
  <si>
    <t xml:space="preserve"> Medical, Dental &amp; Supplies</t>
  </si>
  <si>
    <t xml:space="preserve"> PURCHASE OF SUPPLIES AND MATERIALS FOR ACTIVITIES/PROGRAMS OF VARIOUS OFFICES/DEPARTMENTS OF THE CITY GOVERNMENT OF MAKATI - Order of payment for Bid Docs will be available at GSD-Head Office @ 10th Floor Makati City Hall Bldg. 2.  Look for Mr. Reden Vill</t>
  </si>
  <si>
    <t xml:space="preserve"> BATCH 1 Item 	Quantity	Unit of	Item Description	 No.		Issue		 1	480	bag	Bt Corn Seeds P3774YHR	 2	480	liter	Organic Foliar Fertilizer (11-3-4)	 3	960	bag	Complete Fertilizer (14-14-14)	 4	720	bag	Urea (46-0-0)	 5	300	liter	Glyphosate Herbicide	 BATCH 2 It</t>
  </si>
  <si>
    <t xml:space="preserve"> Republic of the Philippines LOCAL GOVERNMENT UNIT OF GINGOOG BIDS AND AWARDS COMMITTEE Gingoog City 	INVITATION TO BID	 PURCHASE OF DAIRY STOCKS UNDER P.R. NO. 50-20-05-042 (CHARGED TO: 20&amp; DF DAIRY PRODUCTION (DAIRY STOCKS, HF X JERSEY, PREGNANT)) 1.	The</t>
  </si>
  <si>
    <t xml:space="preserve"> INVITATION TO BID FOR CW-KALINGA-UCRIS-03-2020 1.	The National Irrigation Administration – Cordillera Administrative Region (NIA-CAR), through the General Appropriations Act (GAA) 2020 intends to apply the sum Sixteen Million Three Hundred  Thousand Nine </t>
  </si>
  <si>
    <t xml:space="preserve"> Invitation to Bid for the  CONSTRUCTION OF MULTI-PURPOSE HALL/EVACUATION CENTER-PHASE V AT BUGALLON PROPER, RAMON, ISABELA 1.	The LGU-RAMON, ISABELA, through the Budget for the contract approved by the Sanggunian intends to apply the sum of P15,000,000.00</t>
  </si>
  <si>
    <t xml:space="preserve"> INVITATION TO BID  Supply and Delivery of Poultry Feeds for use under Livestock and Poultry Program 	The Department of Agriculture Regional Field Office No. 5, through the General Appropriation Act   for CY 2020-Livestock intends to apply the sum of One M</t>
  </si>
  <si>
    <t xml:space="preserve"> Republic of the Philippines City of Iriga Main City Hall Building, Sta. Cruz Sur Telefax No. (054) 299-1933 OFFICE OF THE BIDS AND AWARDS COMMITTEE May 29, 2020 INVITATION TO BID The City of Iriga, through its Bids and Awards Committee (BAC) hereby invite</t>
  </si>
  <si>
    <t xml:space="preserve"> Installation of 4,000 liters Rainwater Collector</t>
  </si>
  <si>
    <t xml:space="preserve"> CONCRETING OF BARANGAY GACAB FMR Contract Location:                    Barangay Gacab, Malibcong, Abra Brief Description:                     Concreting of Roads using PCCP (Unreinforced, 0.20m thk.,) The DPWH-Abra District Engineering Office reserves the</t>
  </si>
  <si>
    <t xml:space="preserve"> Supply and Delivery: 27,660 Liters of Diesel</t>
  </si>
  <si>
    <t xml:space="preserve"> INVITATION TO BID  Supply and Delivery of (9,375) Nine Thousand Three Hundred Seventy-Five Heads Free Ranged Chicken and (1,768) One Thousand Seven Hundred Sixty-Eight Heads Ducks for use under Livestock and Poultry Program 	The Department of Agriculture </t>
  </si>
  <si>
    <t xml:space="preserve"> INVITATION TO BID FOR CW-APAYAO-LARIP-02-2020 1.	The National Irrigation Administration – Cordillera Administrative Region (NIA-CAR), through the General Appropriations Act (GAA) 2020 intends to apply the sum Fifty Five Million One Hundred Sixty Seven Tho</t>
  </si>
  <si>
    <t xml:space="preserve"> Supply and Delivery: 37,760 Liters of Diesel</t>
  </si>
  <si>
    <t xml:space="preserve"> Republic of the Philippines LOCAL GOVERNMENT UNIT OF GINGOOG BIDS AND AWARDS COMMITTEE Gingoog City 	INVITATION TO BID	 PURCHASE OF CONSTRUCTION MATERIALS AND SUPPLIES FOR FENCING @ BARANGAY LUNOTAN, GINGOOG CITY UNDER P.R. NO. 20-20-02-044 (CHARGED TO: 2</t>
  </si>
  <si>
    <t xml:space="preserve"> Acquisition of bills of materials for construction/fabrication of block tienda Fabrication and Installation of Block Tienda		 Rectangular Tube, 1.5mm x 2" x 3" (B.I)	343	pcs. Cement Fiber Board, 1/2" x 4' x 8' 	180	sheets Marine Plywood, 1/4" x 4' x 8'	24</t>
  </si>
  <si>
    <t xml:space="preserve"> RE-INVITATION TO BID  The Department of Public Works and Highways – Cordillera Administrative Region, through its Bids and Awards Committee (BAC) for Goods, invites suppliers to submit bids for the contract below: Contract ID No.:	20GP00033 Contract Name:</t>
  </si>
  <si>
    <t xml:space="preserve"> 1.	The Capiz Provincial Government, through the GOP CY-2020 intends to apply the total amount of Nine Million Eight Hundred Thousand Pesos (Php 9,800,000.00) being the Approved Budget for the Contract (ABC).  Bids received in excess of the ABC shall be au</t>
  </si>
  <si>
    <t xml:space="preserve"> NOTICE OF PROCUREMENT June 5, 2020 Notice is hereby given that the Department of Public Works and Highways (DPWH) Dinagat Islands District Engineering Office is undertaking the procurement of (20CSNE0001) CONSULTING SERVICES FOR THE CONDUCT OF SOIL EXPLOR</t>
  </si>
  <si>
    <t xml:space="preserve"> Supply of Security Services for 36 guards (12 hours) duty for 5 months to be rendered at Municipal Hall, Public Market and Old Mun. Bldg. Compound</t>
  </si>
  <si>
    <t xml:space="preserve"> CONCRETING OF BARANGAY PACQUED FMR Contract Location:                    Barangay Pacqued, Malibcong, Abra Brief Description:                     Concreting of Roads using PCCP (Unreinforced, 0.20m thk.,) The DPWH-Abra District Engineering Office reserves</t>
  </si>
  <si>
    <t xml:space="preserve"> DESCRIPTION LOCAL GOVERNMENT UNIT - MUNICIPALITY OF BACOLOR INVITATION TO APPLY FOR ELIGIBILITY AND TO BID The Local Government Unit - Municipality of Bacolor, Bacolor, Pampanga, through the Bids and Award Committee (BAC), invites contractors/suppliers to</t>
  </si>
  <si>
    <t xml:space="preserve"> Republic of the Philippines Province of Ilocos Norte Municipality of Burgos BARANGAY POBLACION INVITATION TO BID FOR  Purchase of Motor Vehicle 1.	The Barangay Government of Poblacion, Burgos, Ilocos Norte, through the CY, 2019 and 2018 Supplemental Budge</t>
  </si>
  <si>
    <t xml:space="preserve"> INVITATION TO BID FOR CW-APAYAO-LARIP-01-2020 1.	The National Irrigation Administration – Cordillera Administrative Region (NIA-CAR), through the General Appropriations Act (GAA) 2020 intends to apply the sum Fifty Million Two Hundred Ninety Five Thousand</t>
  </si>
  <si>
    <t xml:space="preserve"> Republic of the Philippines 	CITY OF SAN PEDRO Province of Laguna BIDS AND AWARDS COMMITTEE INVITATION TO APPLY FOR ELIGIBILITY AND TO BID PR NO. 0390 1.	The City Government of San Pedro, Laguna through the 2020 Budget Approved by the Sangguniang Panglung</t>
  </si>
  <si>
    <t xml:space="preserve"> Acquisition of Construction materials: Formworks			 Marine Plywood, 1/4" x 4' x 8'	2	sheets	 9pcs.-2" x 2" x 10' Mahogany Lumber	30	bd.ft.	  CWN #4	1	kg.	  CWN #2-1/2	1	kg.	   	 Concrete Works			 Portland Cement	18	pcs.	   Sand (Fine Sand)	1.5	pcs.	  Grav</t>
  </si>
  <si>
    <t xml:space="preserve"> Improvement of Multipurposed Building at Brgy, Antipolo, Rizal, Laguna</t>
  </si>
  <si>
    <t xml:space="preserve"> Contract ID: 20PK0066 Contract Name: Repair / Maintenance of DPWH Building, Area Parts and Component Building, P-6, Bulanao, Tabuk City, Kalinga   Contract Location: P-6, Bulanao, Tabuk City, Kalinga Brief Description: Repair and Maintenance of Building A</t>
  </si>
  <si>
    <t xml:space="preserve"> Photocopier, Heavy Duty 4 Sets • Print, copy, scan functions • Auto-duplex printing • Borderless printing up A5 to A3 • ADF Capability with reverting feeder • Scan to USB/ USB Printing • Ethernet (LAN) • Copy/Print Speed (A4): 23 ppm; Duplex: 17 ppm • Cop</t>
  </si>
  <si>
    <t xml:space="preserve"> Republic of the Philippines Province of Eastern Samar Municipality of Mercedes OFFICE OF THE BIDS AND AWARDS COMMITTEE (BAC) INVITATION TO BID FOR THE PROCUREMENT OF ASSORTED GOODS AS FOOD ASSISTANCE TO SENIOR CITIZENS INVITATION TO BID NO. GOODS-2020-06-</t>
  </si>
  <si>
    <t xml:space="preserve"> Republic of the Philippines 	CITY OF SAN PEDRO Province of Laguna BIDS AND AWARDS COMMITTEE INVITATION TO APPLY FOR ELIGIBILITY AND TO BID PR NO. 0406 1.	The City Government of San Pedro, Laguna through the 2020 Budget Approved by the Sangguniang Panglung</t>
  </si>
  <si>
    <t xml:space="preserve"> 1 - NETWORK VIDEO RECORDER 16CH 2 - HARD DRIVE 14 - IP BULLET CAMERA 10 - POE SWITCH PORTS 1 - LEC TV 32'' 1 - AVR 500W  1 - CIRCUIT BREAKER 1 - AC SURGE PROTECTOR 1 GROUND ROD 5/8'' X4 FEET 9 - METAL PULL BOX 6X8X8 50 - RJ45 CONNECTORS 25 - SERVICE DROP </t>
  </si>
  <si>
    <t xml:space="preserve"> Contract ID: 20PK0068 Contract Name: Repair/Maintenance of DPWH Building, Adiministrative/Main Building, P-6 Bulanao, Tabuk City, Kalinga   Contract Location: P-6, Bulanao, Tabuk City, Kalinga Brief Description: Repair and Maintenance of Building Approved</t>
  </si>
  <si>
    <t xml:space="preserve"> Lot 1  LCD Projector 5 Sets • 3LCD Technology, RGB liquid crystal shutter • White and Colour Brightness at 3,300lm • SVGA resolution, 800 x 600, 4:3 • High contrast ratio of 15,000:1 • Horizontal keystone slider • 10,000 hours lamp life in eco-mode • Opti</t>
  </si>
  <si>
    <t xml:space="preserve"> Republic of the Philippines DEPARTMENT OF PUBLIC WORKS AND HIGHWAYS ILOILO 1st  DISTRICT ENGINEERING OFFICE REGIONAL OFFICE VI Fort San Pedro, Iloilo City INVITATION TO BID  The Department of Public Works and Highways, Iloilo 1st District Engineering Offi</t>
  </si>
  <si>
    <t xml:space="preserve"> 2,220,000 pcs each</t>
  </si>
  <si>
    <t xml:space="preserve"> INVITATION TO BID 1.	The Bangko Sentral ng Pilipinas (BSP), through its Bids and Awards Committee-Security Plant Complex (BAC-SPC), invites Bidders to apply for eligibility and to bid for the hereunder requirement: Name of Requirement/Brief Description:	 </t>
  </si>
  <si>
    <t xml:space="preserve"> QUARTERLY PREVENTIVE MAINTENANCE OF 194 MOTORVEHICLES 1.	The Bureau of Fire Protection Region 8, through the General Appropriations Act CY 2020 intends to apply the sum of One Million Nine Hundred Forty Thousand Pesos (₱1,940,000.00) being the Approved Bu</t>
  </si>
  <si>
    <t xml:space="preserve"> NOTICE TO THE PUBLIC REQUEST FOR PROPOSAL Purchase Request No: PUR20-05-0433 The Philippine General Hospital hereby informs the public that it will be procuring the following item/s through Small Value Procurement:		 2,000 pcs Disposable Stretcher Cover  </t>
  </si>
  <si>
    <t xml:space="preserve"> Republic of the Philippines Department of Health Cagayan Valley Center for Health Development BATANES GENERAL HOSPITAL Basco, Batanes E-mail Address: bataneshospital@gmail.com INVITATION TO BID ITB NO. 2020-05 Procurement of Calibration Services 1.	The De</t>
  </si>
  <si>
    <t xml:space="preserve"> INVITATION TO BID FOR THE PROCUREMENT OF  11 UNITS LAPTOP 1.	The Municipal Government of Lal-lo, through the General Fund of 2020 intends to apply the sum of Five Hundred Seventy Thousand Pesos (Php 570,000.00) being the Approved Budget for the Contract (</t>
  </si>
  <si>
    <t xml:space="preserve"> INVITATION TO BID FOR THE PROCUREMENT OF  OFFICE AND JANITORIAL SUPPLIES  1.	The Municipal Government of Lal-lo, through the General Fund of 2020 intends to apply the sum of Seven Hundred Ninety Thousand Pesos (Php 790,000.00) being the Approved Budget fo</t>
  </si>
  <si>
    <t xml:space="preserve"> Republic of the Philippines   Province of Sarangani  Municipality of Alabel    Invitation to Bid for the Installation of 120 Watts Solar Lights within Poblacion Area 1.The Municipality of Alabel, through the SARO-OSEC-19-0024229[ In the case of National G</t>
  </si>
  <si>
    <t xml:space="preserve"> Item SPL-1: Mobilization/Demobilization Item SPL-2: Sign Board/Billboard Item 103: Structure excavation (mechanical) Item 104: Embankment Item 201: Aggregate Surface Item 311: Concrete works with steel Item 500: Pipe culverts dia (24"dia.) Item 505: Grout</t>
  </si>
  <si>
    <t xml:space="preserve"> REQUEST FOR QUOTATION PROCUREMENT OF THREE (3) UNITS WATER PURIFIER WITH SOLAR BATTERY  AND 100 PIECES FILTER (Negotiated Procurement-Two Failed Biddings) Reference No: 2020-06-008 Sir/Madam: The Municipal Government of Lal-lo through the Bids and Awards </t>
  </si>
  <si>
    <t xml:space="preserve"> Invitation to Bid for the Construction of Evacuation Center 1.	The Municipal Government of Lal-lo, through the Performance Challenge Fund (PCF) intends to apply the sum of Two Million Three Hundred Thousand Pesos (Php2,300,000.00) being the Approved Budge</t>
  </si>
  <si>
    <t xml:space="preserve"> Contract ID: 20PK0067 Contract Name: Repair/Maintenance of DPWH BUILDING, AES Office-Repair Bay and Planning Office, P-6 Bulanao, Tabuk City, Kalinga   Contract Location: P-6, Bulanao, Tabuk City, Kalinga Brief Description: Repair and Maintenance of Build</t>
  </si>
  <si>
    <t xml:space="preserve"> 5 LI</t>
  </si>
  <si>
    <t xml:space="preserve"> % of total             Unit            Quantity I. DECLOGGING                                                            51.59                cu.m.             318.00 II. WASTE DISPOSAL                                                    31.53             </t>
  </si>
  <si>
    <t xml:space="preserve"> Rebid: Supply and Delivery of Various Drugs and Medicines including Anti-rabies Vaccines for Community Hospital- 3rd Quarter (GAD-2020)</t>
  </si>
  <si>
    <t xml:space="preserve"> 50 UNITS REFILL OF FIRE EXTINGUISHER 20 UNITS PURCHASE OF HANDHELD RADIO</t>
  </si>
  <si>
    <t xml:space="preserve"> Contract ID: 20PF0066 Contract Name: Repair and Maintenance of Road Safety Facilities Brief Description: Traffic Engineering and Management System Approved Budget for the Contract (ABC): PhP 4,971,000.00 Source of Funds: FY 2020 GAA AMWP Contract Duration</t>
  </si>
  <si>
    <t xml:space="preserve"> Rebid: Supply and Delivery of Drugs and Medicines for City Health Office-3rd Quarter</t>
  </si>
  <si>
    <t xml:space="preserve"> Provide Labor, Materials and Equipment for the Construction of Feed Mill Facility Location: DARCES Manambulan, Tugbok District, Davao City Note: Plans and Designs could be downloaded at the DA Website at davao.da.gov.ph or see BAC Secretariat office. FOR </t>
  </si>
  <si>
    <t xml:space="preserve"> Concreting of Alley Road</t>
  </si>
  <si>
    <t xml:space="preserve"> Rebid: Supply and Delivery of Various Drugs and Medicines for Community Hospital- 3rd Quarter (GF-2020)</t>
  </si>
  <si>
    <t xml:space="preserve"> Supply and Delivery of Medical, Dental and Laboratory Supplies for City Health Office</t>
  </si>
  <si>
    <t xml:space="preserve"> Supply and Delivery of Medical and Laboratory Supplies for Community Hospital- GF 2020</t>
  </si>
  <si>
    <t xml:space="preserve"> Procurement Of Five (5) Units Brand New Hauling Truck Package 1:	Three (3) Units Brand New Hauling Truck (Six Wheeler Drop-Side Body Type) DELIVERY TERM: 60 Calendar days Package 2:	Two(2) Units Brand New Hauling Truck (4WD Double Cab) DELIVERY TERM: 60 C</t>
  </si>
  <si>
    <t xml:space="preserve"> Procurement of One (1) Unit 45 hp  4WD Farm Tractor With Disc Plow. DELIVERY TERM: 45 Calendar days FOR MORE DETAILS KINDLY DOWNLOAD ASSOCIATED COMPONENTS</t>
  </si>
  <si>
    <t xml:space="preserve"> Supply and Delivery of Medical and Laboratory Supplies for Community Hospital- GAD 2020</t>
  </si>
  <si>
    <t xml:space="preserve"> Republic of the Philippines Province of Ilocos Norte Municipality of Burgos BARANGAY POBLACION INVITATION TO BID FOR  PROCUREMENT OF HANDHELD RADIO 1.	The Barangay Government of Poblacion, Burgos, Ilocos Norte, through the CY 2018 and 2019, Supplemental B</t>
  </si>
  <si>
    <t xml:space="preserve"> Republic of the Philippines											 	Office of the Municipal Mayor											 	BIDS AND AWARDS COMMITTEE											 	Binmaley, Pangasinan											 												 	Invitation to Bid											 	 for 											 	Completion of Multi-Purpose/Evacuation Ce</t>
  </si>
  <si>
    <t xml:space="preserve"> Labor and Materials for the Concreting of Road (Bypass Road) at Brgy. Sta Rita - Brgy. San Francisco, Concepcion, Tarlac Approved Budget for the Contract : P 4,997,378.79 Source of Fund : 20% EDF 2020 The contract to be performed by the successful bidder </t>
  </si>
  <si>
    <t xml:space="preserve"> Republic of the Philippines DEPARTMENT OF SCIENCE AND TECHNOLOGY PHILIPPINE SCIENCE HIGH SCHOOL - SOCCSKSARGEN REGION CAMPUS Bids and Awards Committee INVITATION TO BID FOR THE PROCUREMENT OF 50 LAPTOP COMPUTERS 1.	The Philippine Science High School SOCCS</t>
  </si>
  <si>
    <t xml:space="preserve"> Purchase of Lot for Multi-purpose Activity Center in Barangay Manhanip, Malinao, Aklan</t>
  </si>
  <si>
    <t xml:space="preserve"> Republic of the Philippines BANGSAMORO AUTONOMOUS REGION IN MUSLIM MINDANAO Province  of  Lanao  del  Sur INVITATION TO BID  The Provincial Government of  Lanao del Sur through its  Bids and Awards Committee (BAC) invites accredited  suppliers  for the pr</t>
  </si>
  <si>
    <t xml:space="preserve"> INVITATION TO BID 2020-CS-01 The Department of Public Works and Highways QUEZON III DISTRICT ENGINEERING OFFICE, Catanauan, Quezon, through the FY2020 PDE FUND intends to apply the amount of ₱ ₱2,500,000.00  being the Approved Budget for the Contract (ABC</t>
  </si>
  <si>
    <t xml:space="preserve"> REQUEST FOR EXPRESSION OF INTEREST (REI) 1.	The Department of Public Works and Highways, Surigao del Sur 2nd District Engineering Office, Bislig City through PDE 2020, intends to apply the sum of Php 600,000.00 inclusive of 5% contingency being the Approv</t>
  </si>
  <si>
    <t xml:space="preserve"> Description: 1.Super Carry Van 2. Yr. Model 2018 3. 5 doors 4. Passenger capacity-9 including driver 5. Milleage Reaching-not to exceed 8,000 Kms. 6. Fully loaded- Pioneer car stereo and 4 speakers - Aricon front and rear - heavy tinted 7. Engine-0.8 Lite</t>
  </si>
  <si>
    <t xml:space="preserve"> Concreting of Alley RoadC</t>
  </si>
  <si>
    <t xml:space="preserve"> Republic of the Philippines DEPARTMENT OF PUBLIC WORKS AND HIGHWAYS OFFICE OF THE DISTRICT ENGINEER Aklan District Engineering Office Toting Reyes St., Kalibo, Aklan The Department of Public Works and Highways (DPWH), Aklan District Engineering Office, Ka</t>
  </si>
  <si>
    <t xml:space="preserve"> REQUEST FOR EXPRESSION OF INTEREST (REI) 1.	The Department of Public Works and Highways, Surigao del Sur 2nd District Engineering Office, Bislig City through PDE 2020, intends to apply the sum of Php 1,200,000.00 inclusive of 5% contingency being the Appr</t>
  </si>
  <si>
    <t xml:space="preserve"> 1.	The Department of Agrarian Reform, hereinafter called “Procuring Entity”, has received financing (hereinafter called “funds”) from the Government of the Philippines (GOP) through the General Appropriations Act of 2020 hereinafter called the “Funding So</t>
  </si>
  <si>
    <t xml:space="preserve"> INVITATION TO BID 2020-CS-02 The Department of Public Works and Highways QUEZON III DISTRICT ENGINEERING OFFICE, Catanauan, Quezon, through the FY2020 PDE FUND intends to apply the amount of ₱ ₱6,000,000.00  being the Approved Budget for the Contract (ABC</t>
  </si>
  <si>
    <t xml:space="preserve"> 1.	The Philippine Institute for Development Studies (PIDS), through the 2020 Corporate Operating Budget intends to apply the sum of Two Million Four Hundred Thousand Pesos &amp; 00/100 (PHP2,400,000.00), being the Approved Budget for the Contract (ABC) to pay</t>
  </si>
  <si>
    <t xml:space="preserve"> Republic of the Philippines Municipality of Palompon  Barangay Cambinoy BIDS AND AWARD COMMITTEE Palompon. Leyte INVITATION TO APPLY FOR ELIGIBILITY AND TO BID N0. 2020-2406-001                                                                              </t>
  </si>
  <si>
    <t xml:space="preserve"> Republic of the Philippines Municipality of Palompon  Barangay Cangmoya BIDS AND AWARD COMMITTEE Palompon. Leyte INVITATION TO APPLY FOR ELIGIBILITY AND TO BID N0. 2020-2406-001                                                                              </t>
  </si>
  <si>
    <t xml:space="preserve"> Supply, Delivery and Installation of Digital X-Ray Machine for Community Hospital</t>
  </si>
  <si>
    <t xml:space="preserve"> Republic of the Philippines Municipality of Palompon  Barangay Cruz BIDS AND AWARD COMMITTEE Palompon. Leyte INVITATION TO APPLY FOR ELIGIBILITY AND TO BID N0. 2020-2406-001                                                                                  </t>
  </si>
  <si>
    <t xml:space="preserve"> REPUBLIC OF THE PHILIPPINES PROVINCE OF CEBU MUNICIPALITY OF PINAMUNGAJAN Invitation to Bid for : BARANGAY  ROAD CONCRETING AT GUIMBAWIAN 						 1. The MUNICIPALITY OF PINAMUNGAJAN, through the GENERAL FUND  intends to apply the sum of ONE MILLION FIVE  H</t>
  </si>
  <si>
    <t xml:space="preserve"> REPUBLIC OF THE PHILIPPINES PROVINCE OF CEBU MUNICIPALITY OF PINAMUNGAJAN Invitation to Bid for : CONSTRUCTION OF DRAINAGE &amp; PROVISION OF COVER 					(at Brgy. Pandacan) 	 1. The MUNICIPALITY OF PINAMUNGAJAN, through the GENERAL FUND  intends to apply the </t>
  </si>
  <si>
    <t xml:space="preserve"> REPUBLIC OF THE PHILIPPINES PROVINCE OF CEBU MUNICIPALITY OF PINAMUNGAJAN Invitation to Bid for:  CONSTRUCTION OF PUBLIC CEMETERY 			      Purok Sambag, Pandacan, Pinamungajan, Cebu 1.	The MUNICIPALITY OF PINAMUNGAJAN, through the GENERAL FUND  intends to</t>
  </si>
  <si>
    <t xml:space="preserve"> Republic of the Philippines Province of Oriental Mindoro MUNICIPALITY OF NAUJAN BIDS &amp; AWARDS COMMITTEE INVITATION TO BID CONCRETING OF ROAD FROM SITIO MADAO, MOTODERAZO TO SAN AGUSTIN, NAUJAN, ORIENTAL MINDORO 1.	The Municipal Government of Naujan – Bids</t>
  </si>
  <si>
    <t xml:space="preserve"> Temporary Facility 1 LS Mobilization/Demobilization 1 LS Surplus common excavation 2,570.60 cu.m. Embankment 663.80 cu.m. Sub Grade Preparation 3,850.00 sq.m. Aggregate Sub-Base Course 412.5 cu.m. Portland Cement Concrete Pavement 2,750 sq.m.</t>
  </si>
  <si>
    <t xml:space="preserve"> 1.	The Provincial Government of Ilocos Norte, through the RA 7171 Fund  intends to apply the sum of Fifteen Million Pesos   (Php 15,000,000.00                ) being the Approved Budget for the Contract (ABC) to payments under the contract for Procurement</t>
  </si>
  <si>
    <t xml:space="preserve"> Improvement/Construction of Old Public Market Building (Fish &amp; Chicken Section 25 Stalls)</t>
  </si>
  <si>
    <t xml:space="preserve"> Procurement ID/Contract ID:	20PI0082 Contract Name:	Local Program - Local Roads and Bridges, Local Roads, Construction/ Rehabilitation/ Improvement of Local Road, Brgy. Ankileng, Sagada, Mountain Province Contract Location:	Sagada, Mountain Province Brief</t>
  </si>
  <si>
    <t xml:space="preserve"> REPUBLIKA NG PILIPINAS KALAKHANG MAYNILA LUNGSOD NG NAVOTAS Pamahaalaang Barangay ng Navotas West H. MONROY ST. NAVOTAS WEST, NAVOTAS CITY Invitation to Bid UPGRADING OF ALLEY WITH IMPROVEMENT OF DRAINAGE CANAL  Int. Davila St., (Near Totoy Bidang Res.) b</t>
  </si>
  <si>
    <t xml:space="preserve"> 1.	The Provincial Government of Ilocos Norte, through the RA 7171 Fund  intends to apply the sum of Ten Million Five Hundred Twenty Thousand Pesos                     (Php  10,520,000.00                    ) being the Approved Budget for the Contract (ABC</t>
  </si>
  <si>
    <t xml:space="preserve"> Procurement ID/Contract ID:	20PI0076 Contract Name:	Local Infrastructure Program - Water Management Facilities - Water Supply, Construction of Waterworks Phase I, Mainit and Guina-ang, Bontoc, Mountain Province Contract Location:	Bontoc, Mountain Province</t>
  </si>
  <si>
    <t xml:space="preserve"> The City Government of Naga, through the Other Supplies and Materials Account of various offices, intends to apply the sum of One Million Ninety Three Thousand Six Hundred  Eighty Four (P 1,093,684.00) Pesos being the Approved Budget for the Contract (ABC</t>
  </si>
  <si>
    <t xml:space="preserve"> Republic of the Philippines Municipality of Palompon  Barangay Mabini BIDS AND AWARD COMMITTEE Palompon. Leyte INVITATION TO APPLY FOR ELIGIBILITY AND TO BID N0. 2020-2406-001                                                                                </t>
  </si>
  <si>
    <t xml:space="preserve"> PLEASE SEE ATTACHED BID DOCUMENTS FOR COMPLETE DETAILS</t>
  </si>
  <si>
    <t xml:space="preserve"> REPAINTING OF SCHOOL GROUND AND OTHER FACILITY FOR SCHOOL MAINTAINANCE</t>
  </si>
  <si>
    <t xml:space="preserve"> 52 CS NOODLES 25 CS SARDINES 22 PACKS PLASTIC BAGS MEALS AND SNACKS CARGO TRUCK RENTALS</t>
  </si>
  <si>
    <t xml:space="preserve"> Procurement ID/Contract ID:	20PI0091 Contract Name:	Construction/Rehabilitation of Water Supply/Septage and Sewerage/Rain Water Collectors - Rain Water Collectors in Public Facilities: Rain Water Collectors in Public Facilities - CAR Contract Location:	1.</t>
  </si>
  <si>
    <t xml:space="preserve"> Procurement ID/Contract ID:	20PI0090 Contract Name:	Convergence and Special Support Program - Construction/ Improvement of Access Roads leading to Declared Tourism Destinations, Bontoc - Mainit - Sagada Road leading to Guina-ang Rice Terraces, Mainit Hots</t>
  </si>
  <si>
    <t xml:space="preserve"> Procurement ID/Contract ID:	20PI0087 Contract Name:	Replacement of Concrete Pavement along 1. Mt. Province - Ilocos via Tue Road, K0402+000 - K0417+000 (I.S.), 2. Mt. Province - Ilocos via Kayan Road, K0395+872 - K0395+926, K0397+200 - K0397+231.8 Contrac</t>
  </si>
  <si>
    <t xml:space="preserve"> Procurement ID/Contract ID:	20PI0089 Contract Name:	Maintenance, Repair and Rehabilitation of Infrastructure Facilities and Other Related Activities - Public Buildings: Repair/Maintenance of: 2. DPWH Building Caluttit, Bontoc, Mountain Province a. BOE Mai</t>
  </si>
  <si>
    <t xml:space="preserve"> 78 SACKS RICE 28.5 CS NOODLES 15 CS SARDINES 5 DOZEN MIKKI 2 KGS DRIED FISH 5.5 SACKS BROWN SUGAR 370 KGS FISH 44.5 KGS NATIVE COFFEE 1 SACK SALT 10 KGS COOKING OIL 3 DOZ HANDSOAP 6 BOT BLEACH 2 KGS ONIONS 22 PACKS PLASTIC BAGS MEALS AND SNACKS CARGO TRUC</t>
  </si>
  <si>
    <t xml:space="preserve"> Procurement ID/Contract ID:	20PI0088 Contract Name:	Maintenance, Repair and Rehabilitation of Infrastructure Facilities and Other Related Activities - Flood Control and Drainage Systems, Structures and Related Facilities: Repair/Maintenance of: 1. Drainag</t>
  </si>
  <si>
    <t xml:space="preserve"> Republic of the Philippines PROVINCE OF SOUTHERN LEYTE Municipality of San Juan BIDS AND AWARD COMMITTEE INVITATION TO BID FOR  Supply and Delivery of Medicines The Municipality of San Juan through the General Fund intends to apply the sum of Six Hundred </t>
  </si>
  <si>
    <t xml:space="preserve"> REPUBLIKA NG PILIPINAS KALAKHANG MAYNILA LUNGSOD NG NAVOTAS Pamahaalaang Barangay ng Navotas West H. MONROY ST. NAVOTAS WEST, NAVOTAS CITY Invitation to Bid UPGRADING OF ALLEY WITH IMPROVEMENT OF DRAINAGE CANAL  Int. Davila St. (Near Echol) Brgy. Navotas </t>
  </si>
  <si>
    <t xml:space="preserve"> 6 CS SARDINES 25 CS NOODLES 24 SACKS SALT 100 PACKS MSG 7 SACKS SUGAR MEALS AND SNACKS CARGO TRUCK RENTALS</t>
  </si>
  <si>
    <t xml:space="preserve"> CAGAYAN DE ORO CITY 1ST DISTRICT ENGINEERING OFFICE REGIONAL OFFICE X 	10th RES Compound, Bulua, Cagayan de Oro City 	 INVITATION TO BID The Department of Public Works and Highways – Cagayan de Oro City 1st District Engineering Office, through its Bids an</t>
  </si>
  <si>
    <t xml:space="preserve"> Name of Contract: Construction of Tanjay City Adolescent Friendly Health Service Center at Barangay Sta. Cruz Viejo IAC Classification: Small "B" for Buildings PCAB Category "D" Duration: 120 C.D. Approved Budget for the Contract: Php 1,118,704.62 xxxxxxx</t>
  </si>
  <si>
    <t xml:space="preserve"> 112 SACKS OF RICE</t>
  </si>
  <si>
    <t xml:space="preserve"> Republic of the Philippines Province of Negros Occidental Municipality of Pontevedra BIDS AND AWARDS COMMITTEE INVITATION TO BID  (infrastructure) 	The Municipality of Pontevedra, Negros Occidental through its Bids and Awards Committee (BAC), invites all </t>
  </si>
  <si>
    <t xml:space="preserve"> 60 SACKS RICE MEALS AND SNACKS HYGIENE KITS CARGO TRUCK RENTALS</t>
  </si>
  <si>
    <t xml:space="preserve"> INVITATION TO BID FOR SUPPLY AND DELIVERY OF VARIOUS WATER SERVICE CONNECTION MATERIALS FOR 2ND QUARTER PROCUREMENT OF CY 2020 1.	The METRO KALIBO WATER DISTRICT, through the Corporate Budget for the contract approved by the governing Boards for the year </t>
  </si>
  <si>
    <t xml:space="preserve"> ITEM	QTY	Unit of 	DESCRIPTION NO		Issue	 1	100	bxs	Amlodipine 10 mg tab 100' 2	288	bots	Ascorbic Acid syr 60 mL 3	300	bxs	Ascorbic Acid 500 mg tab 100' 4	201	bxs	B-Complex tab 100' 5	11	bxs	Celecoxib 200 mg cap 100' 6	144	bots	Lagundi syrup 60 mL 7	100	bx</t>
  </si>
  <si>
    <t xml:space="preserve"> SUBSCRIPTION OF INTERNET CONNECTIVITY FOR THE PERIOD  JUNE TO DECEMBER 2020 Item Description INTERNET SUBSCRIPTION Connection Type: Fiber Optics             Must be leased-line, enterprise or corporate Bandwidth: can reach up to 300mbps CIR (guaranteed sp</t>
  </si>
  <si>
    <t xml:space="preserve"> Republic of the Philippines National Kidney and Transplant Institute Bids and Awards Committee East Avenue, Quezon City 1100 981-0300 / 981-0400 local 1157 http://www.nkti.gov.ph/          NOTICE OF PROCUREMENT OPPORTUNITY       (SMALL VALUE PROCUREMENT) </t>
  </si>
  <si>
    <t xml:space="preserve"> Republic of the Philippines Department of Public Works and Highways OFFICE OF THE DISTRICT ENGINEER 		Camarines Sur 4th  District Engineering Office (Formerly; Camarines Sur 3rd DEO) Caraycayon, Tigaon, Camarines Sur Tel. #(054)881-01-07 INVITATION TO BID</t>
  </si>
  <si>
    <t xml:space="preserve"> VEHICLE REPAIR</t>
  </si>
  <si>
    <t xml:space="preserve"> 20 SACKS RICE 400 HYGIENE KITS AND FOOD PACKS</t>
  </si>
  <si>
    <t xml:space="preserve"> INVITATION TO BID FOR THE SUPPLY, DELIVERY, INSTALLATION AND COMMISSIONING OF ONE (1) UNIT FULLY AUTOMATED SYSTEM FOR COAGULATION 1.	The Eversley Childs Sanitarium and General Hospital, through HFEP 2020 GAA, intends to apply the sum of Seven Million Five</t>
  </si>
  <si>
    <t xml:space="preserve"> Republic of the Philippines	 Department of Science and Technology PHILIPPINE SCIENCE HIGH SCHOOL – ZAMBOANGA PENINSULA REGION CAMPUS Cogon, Dipolog City INVITATION TO BID FOR THE CONSTRUCTION OF DORMITORY BUILDING III (MALE) REBID Design and Build  APPROV</t>
  </si>
  <si>
    <t xml:space="preserve"> Construction of Climate Resilient Flood control project Continuing 2018 Conrazon, Bansud Oriental Mindoro</t>
  </si>
  <si>
    <t xml:space="preserve"> 1.	The MUNICIPALITY OF GUINAYANGAN, QUEZON, through  the  Special Education Fund (SEF) intends to apply the sum of  Fifty Two Thousand Pesos (P 52,000.00) being the Approved Budget for the Contract (ABC) to payments under the contract for Supply and Deliv</t>
  </si>
  <si>
    <t xml:space="preserve"> Republic of the Philippines Province of Eastern Samar  Municipality of Llorente Invitation to Bid for Supply and Delivery of Assorted Medicines 1.	The Local Government of Llorente, through the Budget Approved by the Respective Sanggunian intends to apply </t>
  </si>
  <si>
    <t xml:space="preserve"> Item No.	Item Description 	Quantity	Unit PROJECT BILLBOARD ITEM B.5:	Project Billboard / Signboard	          1.00 	pc Occupational Safety and Health Program ITEM B.7:	Occupational Safety and Health Program	          1.00 	L.S.  Check Dam A (Rubble Masonry</t>
  </si>
  <si>
    <t xml:space="preserve"> l.	The MUNICIPALITY OF GUINAYANGAN, QUEZON, through  the  2020 C.O.  intends to apply the sum of  Forty One Thousand Three Hundred Sixty Two  Pesos  (P 41,362.00) being the Approved Budget for the Contract (ABC) to payments under the contract for Supply a</t>
  </si>
  <si>
    <t xml:space="preserve"> Republic of the Philippines Province of Eastern Samar  Municipality of Llorente Invitation to Bid for Supply and Delivery of Assorted Other Supplies and Materials 1.	The Local Government of Llorente, through the Budget Approved by the Respective Sanggunia</t>
  </si>
  <si>
    <t xml:space="preserve"> ITEM NO.	DESCRIPTION	QUANTITY	UNIT 			 PROJECT BILLBOARD  ITEM B.5:	Project Billboard / Signboard	          1.00 	pc Occupational Safety and Health Program ITEM B.7:	Occupational 	          1.00 	L.S. Check Dam A (Rubble Masonry) ITEM 100 (1):	Clearing an</t>
  </si>
  <si>
    <t xml:space="preserve"> 1.	The OCCIDENTAL MINDORO STATE COLLEGE (OMSC), through the Special Trust Fund intend to apply the sum of Two Million Three Hundred Eighty-Three Thousand Six Hundred Seventy Seven Pesos Only (Php2,383,677.00) being the Approved Budget for the Contract (AB</t>
  </si>
  <si>
    <t xml:space="preserve"> 1.	The MUNICIPALITY OF GUINAYANGAN, QUEZON, through  the  2020 MOOE  intends to apply the sum of  Seventy Five Thousand Six Hundred  Pesos (P 75,600.00) being the Approved Budget for the Contract (ABC) to payments under the contract for Supply and Deliver</t>
  </si>
  <si>
    <t xml:space="preserve"> INVITATION TO BID 1.	The Cabagan Water District (CWD) has an approved Program of Work amounting to P 3,904,104.00 from the CWD Corporate Operating Budget Approved by the Board of Directors for the Drilling of Two(2) Production Wells. 2.	The CABAGAN WATER </t>
  </si>
  <si>
    <t xml:space="preserve"> Republic of the Philippines DEPARTMENT OF PUBLIC WORKS AND HIGHWAYS OFFICE OF THE DISTRICT ENGINEER TARLAC 2ND DISTRICT ENGINEERING OFFICE San Francisco, Concepcion, Tarlac Tel. No. (045) 925-5665	 INVITATION TO BID The Department of Public Works and High</t>
  </si>
  <si>
    <t xml:space="preserve"> Republic of the Philippines Department of Health Center for Health Development-Bicol BICOL REGION GENERAL HOSPITAL AND GERIATRIC MEDICAL CENTER                                             Cabusao, Camarines Sur INVITATION TO BID  PROCUREMENT OF DRUGS AND </t>
  </si>
  <si>
    <t xml:space="preserve"> ITEM NO.	ITEM DESCRIPTION	QUANTITY	UNIT PROJECT BILLBOARD			 ITEM B.5:	Project Billboard / Signboard	1.00	pc Occupational Safety and Health Program ITEM B.7:	Occupational Safety and Health Program	1.00	L.S. Check Dam A (Rubble Masonry)		 ITEM 100 (1):	Cle</t>
  </si>
  <si>
    <t xml:space="preserve"> Waterworks Materials for the construction of Shallow Well Pump</t>
  </si>
  <si>
    <t xml:space="preserve"> Item No.	Item Description	Quantity	Unit PROJECT BILLBOARD ITEM B.5:	Project Billboard / Signboard	        1.00 	pc Occupational Safety and Health Program ITEM B.7:	Occupational Safety and Health Program	        1.00 	L.S. INTAKE TANK (1.0m x 1.0m x 1.0 m </t>
  </si>
  <si>
    <t xml:space="preserve"> ITEM NO.	DESCRIPTION	QUANTITY	UNIT 			  PROJECT BILLBOARD   ITEM B.5:	Project Billboard / Signboard	          1.00 	pc Occupational Safety and Health Program ITEM B.7:	Occupational Safety and Health Program	          1.00 	L.S. Check Dam A (Rubble Masonry</t>
  </si>
  <si>
    <t xml:space="preserve"> Gentlemen : Please furnish us with your quotation on or before June 8, 2020 for the supply and delivery of the following item/s: 	 15 units	TIRE (185-14-8) Specifications: •Diameter - 185 •Rim - 14 •Ply - 8 “Including wheel alignment” End Users: SSS Dilim</t>
  </si>
  <si>
    <t xml:space="preserve"> 1.	The MUNICIPALITY OF GUINAYANGAN, QUEZON, through its Bids and Awards Committee (BAC), will undertake a Negotiated Procurement – Two Failed Bidding for the Supply and Delivery of Food Processing Tools &amp; Equipment for use by the Municipal Agriculture Off</t>
  </si>
  <si>
    <t xml:space="preserve"> 150 set of 150watts integrated white  Solar Street lights</t>
  </si>
  <si>
    <t xml:space="preserve"> Republic of the Philippines DEPARTMENT OF PUBLIC WORKS AND HIGHWAYS NUEVA VIZCAYA 2ND DISTRICT ENGINEERING OFFICE REGIONAL OFFICE II Dupaxdel Norte, Nueva Vizcaya INVITATION TO BID The Department of Public Works and Highways – Nueva Vizcaya Second Distric</t>
  </si>
  <si>
    <t xml:space="preserve"> Bids received in excess of the ABC shall be automatically rejected during the bid opening. The bidders should have completed, within two (2) years from the date of submission and receipt of bids, at least one contract that is similar to the Project. The d</t>
  </si>
  <si>
    <t xml:space="preserve"> Republic of the Philippines Province of Compostela Valley Municipality of Monkayo -o0o- INVITATION TO BID FOR THE PROCUREMENT OF RICE FOR PEACE &amp; ORDER OPERATION  The Municipality of Monkayo, through the GENERL FUND intends to apply the sum of EIGHT HUNDR</t>
  </si>
  <si>
    <t xml:space="preserve"> 5 units</t>
  </si>
  <si>
    <t xml:space="preserve"> 1	LABOR AND MATERIALS FOR THE CONSTRUCTION		 	OF CONCRETE PERIMETER FENCE		 	AT VALLEHERMOSO HIGH SCHOOL		 	VALLEHERMOSO, CARMEN, BOHOL		 	SCOPE OF WORKS:		 	Item I: Earth Works		 	           Manual Excavation		 	           Footing (7 units) &amp; Zocalo		 	I</t>
  </si>
  <si>
    <t xml:space="preserve"> 1.	The MUNICIPALITY OF GUINAYANGAN, QUEZON, through its Bids and Awards Committee (BAC), will undertake a Negotiated Procurement – Two Failed Biddings for the Supply and Delivery of Food Processing Tools &amp; Equipment for use by the Municipal Agriculture Of</t>
  </si>
  <si>
    <t xml:space="preserve"> 1.	The MUNICIPALITY OF GUINAYANGAN, QUEZON, through  the  2020 MOOE  intends to apply the sum of  One Hundred Ninety Two Thousand Four Hundred Forty  Pesos                 (P 192,440.00) being the Approved Budget for the Contract (ABC) to payments under t</t>
  </si>
  <si>
    <t xml:space="preserve"> INVITATION TO BID FOR CIVIL WORKS June 03, 2020 1.	The Department of Public Works and Highways (DPWH), Bukidnon Second District Engineering Office, Pinamaloy, Don Carlos, Bukidnon through its Bids and Awards Committee BAC, invites contractors to submit bi</t>
  </si>
  <si>
    <t xml:space="preserve"> 1	1,700	PCS	            CHB #4		          25.00	42,500.00 2	120	        PCS	            10MM DIA RSB		250.00	30,000.00 3	40	        PCS	            9MM DIA RSB		200.00	8,000.00 4	16	        CU.M	            SAND		1,800.00	28,800.00 5	4	        CU.M	GRAVEL</t>
  </si>
  <si>
    <t xml:space="preserve"> CONSTRUCTION OF WATER SUPPLY</t>
  </si>
  <si>
    <t xml:space="preserve"> Extension of Multi-Purpose Hall : See Attached Drawings for Details</t>
  </si>
  <si>
    <t xml:space="preserve"> ITEM NO.	DESCRIPTION	QUANTITY	UNIT 			 PROJECT BILLBOARD  ITEM B.5:	Project Billboard / Signboard	          1.00 	pc Occupational Safety and Health Program ITEM B.7:	Occupational Safety and Health Program	          1.00 	L.S. INTAKE TANK (1.0m x 1.0m x 1.</t>
  </si>
  <si>
    <t xml:space="preserve"> See Attach  Associete Documents</t>
  </si>
  <si>
    <t xml:space="preserve"> Purchase of Supplies to be officially used in connection with the Alternative Home School Program of the Municipality of Guimbal, Iloilo</t>
  </si>
  <si>
    <t xml:space="preserve"> Republic of the Philippines Province of Agusan del Norte  CITY OF CABADBARAN     BIDS AND AWARDS COMMITTEE                	 BIDS AND AWARDS COMMITTEE INVITATION TO BID CONSTRUCTION OF DAY CARE CENTER AT BARANGAY SITE (PERPETUAL SUCCOR) 1.	The Local Govern</t>
  </si>
  <si>
    <t xml:space="preserve"> Hauling Vehicle Air-conditioning System,Dual Sun Visor, Power Window,Adjustable Seats Engine Type: Four Cylinder,In-line, Water  Cooling,Gasoline Engine - Euro 4 Displacement 1,498cc/ 1.5L Fuel Tank Capacity : 50 Liters Transmission Gear / Drive Train 5-S</t>
  </si>
  <si>
    <t xml:space="preserve"> See Attach Associete Document</t>
  </si>
  <si>
    <t xml:space="preserve"> Procurement of Supplies use for MSWDO/Disable</t>
  </si>
  <si>
    <t xml:space="preserve"> MEDICINE SUPPLIES</t>
  </si>
  <si>
    <t xml:space="preserve"> Construction Projects-Concreting of Access Road to Evacuation Center Phase 1, Brgy. Awasian, Tandag City</t>
  </si>
  <si>
    <t xml:space="preserve"> Republic of the Philippines Province of Misamis Oriental Municipality of Initao Invitation to Bid  CONCRETING OF FARM-TO-MARKET ROAD (TUBIGAN) 1.	The Municipal Government of Initao, Misamis Oriental, through its General Fund 2019, intends to apply the sum</t>
  </si>
  <si>
    <t xml:space="preserve"> 2,100 PCS 4" CHB 36 PCS 9MM RSB 50 PCS 10MM RSB 98 BAGS PORTLAND CEMENT 8 KLS TIE WIRE 4 CU.M RIVER SAND 8 CU.M MIXED AGGREGATES</t>
  </si>
  <si>
    <t xml:space="preserve"> Description Republic of the Philippines PROVINCE OF ZAMBONAGA DEL NORTE Barangay Tiniguiban Municipality of Leon B. Postigo INVITATION TO BID (003)  June 05, 2020   Municipality of Leon B. Postigo, Zamboanga del Norte invites qualified bidders to apply fo</t>
  </si>
  <si>
    <t xml:space="preserve"> Invitation to Bid for the Procurement of Various Live Animals   The Agricultural Training Institute (ATI). through the 2017 General Appropriations Act intends to apply the sum of Two Million Seven Hundred Twenty Thousand Pesos (PhP 2,720,000.00) being the</t>
  </si>
  <si>
    <t xml:space="preserve"> The Municipality of Bay, Laguna through the GOP/General Fund intends to apply the sum of Three Hundred Eighty Nine Thousand Nine Hundred Thirty Pesos Only (Php, 389,930.00) being the Approved Budget for the Contract (ABC) to payments under the contract fo</t>
  </si>
  <si>
    <t xml:space="preserve"> Republic of the Philippines DEPARTMENT OF PUBLIC WORKS AND HIGHWAYS CAGAYAN THIRD DISTRICT ENGINEERING OFFICE REGION II Tuguegarao City The DPWH-CAGAYAN THIRD DISTRICT ENGINEERING OFFICE, through the GAA FY-2020 (DA) intends to apply the sum of P11,940,00</t>
  </si>
  <si>
    <t xml:space="preserve"> 1 Unit Brand New 12 seater Van Vehicle Specification: - Model Type: 2.5 L. 4 in line DOHC 16 valves - Variable Turbo Charged ( VGS) - Diesel (YD5DDTI) - Bore X Stroke / Displacement / Compression - Ratio: 89mmx100mm / 2488cc /151 - Maximum Torque: 356 1/1</t>
  </si>
  <si>
    <t xml:space="preserve"> Republic of the Philippines Province of Oriental Mindoro MUNICIPALITY OF NAUJAN 	 BIDS &amp; AWARDS COMMITTEE INVITATION TO BID CONCRETING OF ROADS IN DIFFERENT BARANGAYS, NAUJAN, ORIENTAL MINDORO 1.	The Municipal Government of Naujan – Bids and Awards Commit</t>
  </si>
  <si>
    <t xml:space="preserve"> 41 SACKS RICE 20 CS NOODLES 50 PACKS PLASTIC BAGS MEALS AND SNACKS CARGO TRUCK RENTALS</t>
  </si>
  <si>
    <t xml:space="preserve"> Reinforcing Steel (12mm O x 6m) Reinforcing Steel (10mm O x 6m) Choker (Selected Aggregates) Glass Beads Chlorinated Rubber Ref. Traffic Paint (White) Thermoplastic Paint White Thermoplastic Paint Yellow Lumber Thermoplastic Epoxy Primer LPG (50 kg) LPG (</t>
  </si>
  <si>
    <t xml:space="preserve"> ITEM I	PROVISION OF PROJECT BILLBOARD			 	20	Bd.ft	5 – 2’ x 3” x 8’ Good Lumber		55.00	1,100.00 	0.5	Kg	CWN #3		95.00	47.50 	32	Sq.ft	4ft x 8ft Tarpaulin		25.00	800.00 ITEM II	CONCRETE PAVEMENT			 	65	Cu.m	Gravel		1,500.00	97,500.00 	46	Cu.m	Sand		1,800.0</t>
  </si>
  <si>
    <t xml:space="preserve"> Procurement of Supplies use for MSWDO</t>
  </si>
  <si>
    <t xml:space="preserve"> 40 SACKS RICE MEALS AND SNACKS CARGO TRUCK RENTALS HYGIENE KITS</t>
  </si>
  <si>
    <t xml:space="preserve"> Description Republic of the Philippines PROVINCE OF ZAMBONAGA DEL NORTE Municipality of Leon B. Postigo INVITATION TO BID (2020-05-065)  June 04, 2020   Municipality of Leon B. Postigo, Zamboanga del Norte invites qualified bidders to apply for prequalifi</t>
  </si>
  <si>
    <t xml:space="preserve"> 1	12	pc	Rescue Uniform- Tactical Pants	 	       1,850.00 	     22,200.00  2	12	pc	Rescue Uniform- T- Shirt w/ Color	 	           850.00 	     10,200.00  3	1	pc	Chain Block 5 tons	 	     21,500.00 	     21,500.00  4	12	pc	Rescue Uniform-Jacket	 	       2,1</t>
  </si>
  <si>
    <t xml:space="preserve"> The Municipality of Bay, through the GOP – 20% Economic Development Fund (EDF) intends to apply the sum of Two Million Two Hundred Thirty Six Eight Hundred Eighty Two Pesos and Sixty Centavos (PHP 2,236,882.62) being the Approved Budget for the Contract (</t>
  </si>
  <si>
    <t xml:space="preserve"> Republic of the Philippines DEPARTMENT OF PUBLIC WORKS AND HIGHWAYS CAGAYAN THIRD DISTRICT ENGINEERING OFFICE REGION II Tuguegarao City The DPWH-CAGAYAN THIRD DISTRICT ENGINEERING OFFICE, through the GAA FY-2020 (DA) intends to apply the sum of P35,820,00</t>
  </si>
  <si>
    <t xml:space="preserve"> Procurement of Supplies use for MSWDO/Senior Citizen</t>
  </si>
  <si>
    <t xml:space="preserve"> Construction of Line Canal Mabilbila, Santa, Ilocos Su</t>
  </si>
  <si>
    <t xml:space="preserve"> Republic of the Philippines DEPARTMENT OF PUBLIC WORKS AND HIGHWAYS CAGAYAN THIRD DISTRICT ENGINEERING OFFICE REGION II Tuguegarao City The DPWH-CAGAYAN THIRD DISTRICT ENGINEERING OFFICE, through the GAA FY-2020 intends to apply the sum of P2,969,999.99 b</t>
  </si>
  <si>
    <t xml:space="preserve"> Republic of the Philippines DEPARTMENT OF PUBLIC WORKS AND HIGHWAYS CAGAYAN THIRD DISTRICT ENGINEERING OFFICE REGION II Tuguegarao City The DPWH-CAGAYAN THIRD DISTRICT ENGINEERING OFFICE, through the GAA FY-2020 intends to apply the sum of P9,950,000.00 b</t>
  </si>
  <si>
    <t xml:space="preserve"> ITEM I.	TILE INSTALLATION 	 	 	 	   	IA. LOBBY	 	 	 	 	   	170	pcs	TILES .60 X .60	 	       250.00 	    42,500.00   	5	cu.m	FINISHING SAND	 	   2,500.00 	    12,500.00   	60	bags	PORTLAND CEMENT	 	       300.00 	    18,000.00   	10	kgs	TILE GROUT	 	      </t>
  </si>
  <si>
    <t xml:space="preserve"> ITEM III.	COLUMN AND FOOTING	 	 	   	24	PCS	12mm Dia RSB	 	              350.00 	          8,400.00   	18	PCS	10mm Dia RSB	 	              250.00 	          4,500.00   	5	KGS	Tie Wire	 	                 90.00 	              450.00   	3	CU.M	Sand	 	       </t>
  </si>
  <si>
    <t xml:space="preserve"> Republic of the Philippines Department of Public Works and Highways AGUSAN DEL NORTE DISTRICT ENGINEERING OFFICE  REGIONAL OFFICE XIII  J. P. Rosales Avenue, Butuan City    INVITATION TO BID    The Department of Public Works and Highways Agusan del Norte </t>
  </si>
  <si>
    <t xml:space="preserve"> 1	751	bags	Portland Cement	 	320.00	240,320.00 2	41.6	cu.m.	Sand	 	1,800.00	74,880.00 3	83.2	cu.m.	Gravel	 	1,800.00	149,760.00 4	45,000	Gallons	Water	 	0.50	22,500.00 5	20	cu.m.	Base Preparation	 	1,700.00	34,000.00 6	50	I.m.	Formworks	 	300.00	15,000.00</t>
  </si>
  <si>
    <t xml:space="preserve"> The DPWH, Negros Occidental 3rd District Engineering Office, Kabankalan City, Negros Occidental, through its Bids and Awards Committee (BAC), invites contractors to submit bids for the following contract: 1. Contract ID		:	20GM0077 Contract Name	:	Concret</t>
  </si>
  <si>
    <t xml:space="preserve"> Republic of the Philippines DEPARTMENT OF PUBLIC WORKS AND HIGHWAYS CAGAYAN THIRD DISTRICT ENGINEERING OFFICE REGION II Tuguegarao City The DPWH-CAGAYAN THIRD DISTRICT ENGINEERING OFFICE, through the GAA FY-2020 (MOOE) intends to apply the sum of P500,000</t>
  </si>
  <si>
    <t xml:space="preserve"> Improvement/ Rehabilitation of Public Market Santa, Ilocos Sur</t>
  </si>
  <si>
    <t xml:space="preserve"> Republic of the Philippines DEPARTMENT OF PUBLIC WORKS AND HIGHWAYS CAGAYAN THIRD DISTRICT ENGINEERING OFFICE REGION II Tuguegarao City The DPWH-CAGAYAN THIRD DISTRICT ENGINEERING OFFICE, through the GAA FY-2020 (MOOE) intends to apply the sum of P1,000,0</t>
  </si>
  <si>
    <t xml:space="preserve"> 1	240	PCS	10MM DIA RSB		250.00	60,000.00 2	80	PCS	12MM DIA RSB (VERTICALS)		350.00	28,000.00 3	100	BAGS	PORTLAND CEMENT		300.00	30,000.00 4	10	CU.M	SAND		1,800.00	18,000.00 5	13	CU.M	GRAVEL CHOKER		1,500.00	19,500.00 6	20	SHTS	MARINE PLYWOOD ½”		1,250.00	</t>
  </si>
  <si>
    <t xml:space="preserve"> Republic of the Philippines DEPARTMENT OF PUBLIC WORKS AND HIGHWAYS CAGAYAN THIRD DISTRICT ENGINEERING OFFICE REGION II Tuguegarao City The DPWH-CAGAYAN THIRD DISTRICT ENGINEERING OFFICE, through the GAA FY-2020 (AMWP) intends to apply the sum of P1,000,0</t>
  </si>
  <si>
    <t xml:space="preserve"> ITEM	ITEM  DESCRIPTION	QTY	UNIT NO.			 1	Partition with 1 set -Glass 115" x 215" clear glass with 1 3/4" x 3" Aluminum frame (Analok) Fix, Slide/ Slide, Fix w/ transom	1	set</t>
  </si>
  <si>
    <t xml:space="preserve"> Opening of Farm to Market Road Barangay Rizal, Santa, Ilocos Sur</t>
  </si>
  <si>
    <t xml:space="preserve"> INVITATION TO BID FOR  “Supply and Delivery of Five (5) sets High Availability Firewall Appliance (2 paired units)” 1.	The Philippine Institute of Volcanology and Seismology, through the GAA 2020 intends to apply the sum of One Million Seven Hundred Fifty</t>
  </si>
  <si>
    <t xml:space="preserve"> Brief Description: Farm to Market Road SPECS: Length of FTMR : 108.00 mts.  width: 3.00 mts. thickness: 20 cm. The significant times and deadlines of procurement activities are shown below:  Activities	Schedule 1. Receipt of LOIs from Prospective Bidders	</t>
  </si>
  <si>
    <t xml:space="preserve"> Republic of the Philippines Province of Sorsogon                                            Municipality of Irosin                                        BIDS &amp; AWARDS COMMITTEE CONSTRUCTION OF SLOPE PROTECTION-SAN JULIAN  TABLE OF CONTENTS SECTION I. INV</t>
  </si>
  <si>
    <t xml:space="preserve"> Republic of the Philippines DEPARTMENT OF PUBLIC WORKS AND HIGHWAYS CAGAYAN THIRD DISTRICT ENGINEERING OFFICE REGION II Tuguegarao City The DPWH-CAGAYAN THIRD DISTRICT ENGINEERING OFFICE, through the GAA FY-2020 (MOOE) intends to apply the sum of P400,000</t>
  </si>
  <si>
    <t xml:space="preserve"> ITEM I.	WALLING	 	 	   	900	PCS	CHB #4	 	             25.00 	       22,500.00   	40	PCS	10mm Dia RSB	 	           200.00 	         8,000.00   	6	CU.M	Sand (Approved Source)	 	       1,500.00 	         9,000.00   	4	KGS	Tie Wire	 	             90.00 	     </t>
  </si>
  <si>
    <t xml:space="preserve"> The DPWH, Negros Occidental 3rd District Engineering Office, Kabankalan City, Negros Occidental, through its Bids and Awards Committee (BAC), invites contractors to submit bids for the following contract: 1. Contract ID		:	20GM0073 Contract Name	:	Concret</t>
  </si>
  <si>
    <t xml:space="preserve"> INVITATION TO BID The MUNICIPALITY OF BANI, through its Bids and Awards Committee (BAC), invites suppliers/contractors to bid for the following: Name of Project	:Procurement of Farm Equipment	 Project Location	:Bani, Pangasinan Project Description :	100 u</t>
  </si>
  <si>
    <t xml:space="preserve"> The Works consist of 1. Project Billboard 2. Demolition and Clearing 3. Excavation 4. Installation of Pipe Culvert 5. Backfilling works 6. Masonry works 7. Concreting works</t>
  </si>
  <si>
    <t xml:space="preserve"> The DPWH, Negros Occidental 3rd District Engineering Office, Kabankalan City, Negros Occidental, through its Bids and Awards Committee (BAC), invites contractors to submit bids for the following contract: 1. Contract ID		:	20GM0078 Contract Name	:	Concret</t>
  </si>
  <si>
    <t xml:space="preserve"> Republic of the Philippines DEPARTMENT OF PUBLIC WORKS AND HIGHWAYS CAGAYAN THIRD DISTRICT ENGINEERING OFFICE REGION II Tuguegarao City The DPWH-CAGAYAN THIRD DISTRICT ENGINEERING OFFICE, through the GAA FY-2020 (MOOE) intends to apply the sum of P250,000</t>
  </si>
  <si>
    <t xml:space="preserve"> Republic of the Philippines MUNICIPALITY OF PANIQUI Province of Tarlac 	Solicitation No.: I-2020-013 Name of the Project      : Construction of New Public Market (Site Development – Embankment) Location of the Project : Burgos St., Brgy. Tablang, Paniqui,</t>
  </si>
  <si>
    <t xml:space="preserve"> INVITATION TO BID The City Government of Ozamiz, through its Bids and Awards Committee (BAC), invites contractors registered with and classified by the Philippine Contractors Accreditation Board (PCAB) to apply for eligibility and to bid for the hereunder</t>
  </si>
  <si>
    <t xml:space="preserve"> Republic of the Philippines MUNICIPALITY OF PANIQUI Province of Tarlac 	Solicitation No.: I-2020-014 Name of the Project      : Construction of New Public Market (Main Building 1) Location of the Project : Burgos St., Brgy. Tablang, Paniqui, Tarlac INVITA</t>
  </si>
  <si>
    <t xml:space="preserve"> Republic of the Philippines DEPARTMENT OF PUBLIC WORKS AND HIGHWAYS CAGAYAN THIRD DISTRICT ENGINEERING OFFICE REGION II Tuguegarao City The DPWH-CAGAYAN THIRD DISTRICT ENGINEERING OFFICE, through the GAA FY-2020 (MOOE) intends to apply the sum of P300,000</t>
  </si>
  <si>
    <t xml:space="preserve"> The DPWH, Negros Occidental 3rd District Engineering Office, Kabankalan City, Negros Occidental, through its Bids and Awards Committee (BAC), invites contractors to submit bids for the following contract: 1. Contract ID		:	20GM0079 Contract Name	:	Concret</t>
  </si>
  <si>
    <t xml:space="preserve"> The Works consist of 1. Project Billboard 2. Manual Excavation and Backfilling 3. Installation of light post Lot 1. Installation of Street Lighting at Barangay Son-ok II, Pintuyan, Southern Leyte (Php200,000.00) Lot 2. Installation of Street Lighting at P</t>
  </si>
  <si>
    <t xml:space="preserve"> Republic of the Philippines MUNICIPALITY OF PANIQUI Province of Tarlac 	Solicitation No.: I-2020-012 Name of the Project      : Construction of New Public Market (Site Development – Drainage System) Location of the Project : Burgos St., Brgy. Tablang, Pan</t>
  </si>
  <si>
    <t xml:space="preserve"> INVITATION TO BID The Surigao del Sur 1st District Engineering Office, Tandag City, through its Bids and Awards Committee (BAC), invites contractors to submit bids for the following Contract: CONTRACT ID	:	20NH0081 (RE-AD) CONTRACT NAME	:	Rehabilitation o</t>
  </si>
  <si>
    <t xml:space="preserve"> The Works consist of 1. Project Billboard 2. Excavation 3. Concrete Line Canal 4. Grouted Riprap</t>
  </si>
  <si>
    <t xml:space="preserve"> Description Republic of the Philippines PROVINCE OF ZAMBONAGA DEL NORTE Municipality of Leon B. Postigo INVITATION TO BID (2020-05-066)  June 04, 2020   Municipality of Leon B. Postigo, Zamboanga del Norte invites qualified bidders to apply for prequalifi</t>
  </si>
  <si>
    <t xml:space="preserve"> INVITATION TO BID FOR  “Supply and Delivery of Twenty (20) units Solar Charge Controllers/Regulators” 1.	The Philippine Institute of Volcanology and Seismology, through the GAA 2020 intends to apply the sum of Six Hundred Twenty Thousand Pesos Only (₱620,</t>
  </si>
  <si>
    <t xml:space="preserve"> I	PROVISION OF 1 UNIT BILLBOARD (2.4M X 2.4M)	 	 	   	12	bd.ft.	2" x 3" x 12ft Good Lumber	1	           50.00 	                    600.00   	12	bd.ft.	2" x 3" x 8ft Good Lumber	1	           50.00 	                    600.00   	2	pcs 	Marine Plywood 1/4"	1</t>
  </si>
  <si>
    <t xml:space="preserve"> Provision of the following variety of hybrid rice seeds: 1. 120 bags @3 kilos of pioneer 2. 120 bags @3 kilos of longping 3. 120 bags @3 kilos of advanta Suppliers with good standing shall only be entertained and preferably within locality. May you send y</t>
  </si>
  <si>
    <t xml:space="preserve"> Supply of labor, materials and rental of equipment</t>
  </si>
  <si>
    <t xml:space="preserve"> Procurement of Supplies use for MTCO/ Tourism</t>
  </si>
  <si>
    <t xml:space="preserve"> PLEASE SEE ATTACHED BIDDING DOCUMENTS</t>
  </si>
  <si>
    <t xml:space="preserve"> INVITATION FOR NEGOTIATED PROCUREMENT BAC-NP NO. 2020-05 	The Research Institute for Tropical Medicine (RITM) through its Bids and Awards Committee (BAC) invites technically, legally and financially capable PHILGEPS-registered suppliers/manufacturers to a</t>
  </si>
  <si>
    <t xml:space="preserve"> ITEM II.	MASONRY/REINFORCEMENT/PLASTERING	 	 	   	720	pcs	CHB #4	 	              25.00 	         18,000.00   	6	cu.m	FINISHING SAND	 	        2,500.00 	         15,000.00   	60	bags	PORTLAND CEMENT	 	           295.00 	         17,700.00   	100	pcs	10MM Ø</t>
  </si>
  <si>
    <t xml:space="preserve"> STRUCTURE EXCAVATION FORMWORKS &amp; SCAFFOLDINGS REINFORCED CONCRETE REINFORCING STEEL BARS MASONRY WORKS STEEL WORKS CARPENTRY WORKS ROOFING ELECTRICAL WORKS</t>
  </si>
  <si>
    <t xml:space="preserve"> The DPWH, Negros Occidental 3rd District Engineering Office, Kabankalan City, Negros Occidental, through its Bids and Awards Committee (BAC), invites contractors to submit bids for the following contract: 1. Contract ID		:	20GM0074 Contract Name	:	Concret</t>
  </si>
  <si>
    <t xml:space="preserve"> The DPWH, Negros Occidental 3rd District Engineering Office, Kabankalan City, Negros Occidental, through its Bids and Awards Committee (BAC), invites contractors to submit bids for the following contract: 1. Contract ID		:	20GM0075 Contract Name	:	Concret</t>
  </si>
  <si>
    <t xml:space="preserve"> 1	134	feet	Well Drilling of 6"Ø bore hole	 	    1,000.00 	   134,000.00      2      1      unit    Submersible pump, model                    72,500.00        72,500.00                           18GS10412, 1HP, 230 Volts                          Single Ph</t>
  </si>
  <si>
    <t xml:space="preserve"> The DPWH, Negros Occidental 3rd District Engineering Office, Kabankalan City, Negros Occidental, through its Bids and Awards Committee (BAC), invites contractors to submit bids for the following contract: 1. Contract ID		:	20GM0076 Contract Name	:	Concret</t>
  </si>
  <si>
    <t xml:space="preserve"> Medical Supplies for CVAC Operation LGU Cabagan Cabagan, Isabela</t>
  </si>
  <si>
    <t xml:space="preserve"> ITEM III	COLUMN/FOOTING			 	III - A	COLUMN 1, 4.0m x .40m x .40m (2)			 	1.50	Cu.m	Gravel		1,500.00	2,250.00 	12	Bags	Portland Cement		300.00	3,600.00 	1	Cu.m	Sand		1,800.00	1,800.00 	16	Length	20mm Ø RSB		600.00	9,600.00 	16	Length	10mm Ø RSB		300.00	4,8</t>
  </si>
  <si>
    <t xml:space="preserve"> Ethyl Alcohol, 70%, gallon, 30bottles Disposable Nitrile/Latex gloves, powder free, medium size, 100/box, 80boxes Disposable Nitrile/Latex gloves, powder free, small size, 100/box, 10boxes Disposable Nitrile/Latex gloves, powder free, large size, 100/box,</t>
  </si>
  <si>
    <t xml:space="preserve"> INVITATION TO BID CATERING SERVICES FOR COMMUNITY-BASED ORIENTATION PROGRAM 1.	The Local Government Unit of Cabadbaran City through the DRRMF intends to apply the sum of ONE HUNDRED NINETY-EIGHT THOUSAND THREE HUNDRED SIXTY PESOS ONLY (P 198,360.00) being</t>
  </si>
  <si>
    <t xml:space="preserve"> Republic of the Philippines PROVINCE OF SURIGAO DEL NORTE MUNICIPALITY OF DEL CARMEN INVITATION TO BID The Local Government Unit of the Municipality of Del Carmen, Province of Surigao del Norte, through its Bids and Awards Committee (BAC), invites contrac</t>
  </si>
  <si>
    <t xml:space="preserve"> Invitation to Bid for the Procurement of Various Animal Feeds   The Agricultural Training Institute (ATI), through the 2020 General Appropriations Act intends to apply the sum of One Million Thirty-Two Thousand Nine Hundred Pesos (PhP 1,032,900.00) being </t>
  </si>
  <si>
    <t xml:space="preserve"> Republic of the Philippines PROVINCE OF SAMAR Catbalogan -o0o- REQUEST FOR EXPRESSION OF INTEREST FOR THE PROCUREMENT OF INDEPENDENT CONSULTANT FOR THE CONSULTANCY SERVICES FOR SAMAR URBAN DEVELOPMENT PLAN, CATBALOGAN, CITY 1.	The Provincial Government of</t>
  </si>
  <si>
    <t xml:space="preserve"> INVITATION TO BID SUPPLY AND DELIVERY OF CUSTOMIZED UNIFORM (POLO SHIRT W/ PRINT) FOR CVOS 1.	The Local Government Unit of Cabadbaran City through the PEACE &amp; ORDER FUND intends to apply the sum of TWO HUNDRED SEVENTY-SEVEN THOUSAND SEVEN HUNDRED FIFTY PE</t>
  </si>
  <si>
    <t xml:space="preserve"> Construction Project of Establishment of Breastfeeding Cubicle</t>
  </si>
  <si>
    <t xml:space="preserve"> Procurement of Security Services	2 12 months contract starting	 July 2020-June 2021	 	 Includes the following:	 Compliant to Technical Specification stated on Section VII of the Bidding Document	 Compliant to requirements stated on Section VI of the Biddi</t>
  </si>
  <si>
    <t xml:space="preserve"> Republic of the Philippines PROVINCE OF CAMARINES SUR BIDS AND AWARDS COMMITTEE 									    	                      ITB No.032-06-2020 INVITATION TO BID 	The Provincial Government of Camarines Sur (PGCS) through its Bids and Awards Committee (BAC) invites</t>
  </si>
  <si>
    <t xml:space="preserve"> INVITATION TO BID CATERING SERVICES FOR RESPONSE OPERATION 1.	The Local Government Unit of Cabadbaran City through the PEACE &amp; ORDER FUND intends to apply the sum of FOUR HUNDRED NINETY-EIGHT THOUSAND EIGHT HUNDRED PESOS ONLY (P 498,800.00) being the Appr</t>
  </si>
  <si>
    <t xml:space="preserve"> INVITATION TO BID CATERING SERVICES FOR HEALTH EMERGENCY MONITORING 1.	The Local Government Unit of Cabadbaran City through the PEACE &amp; ORDER FUND intends to apply the sum of ONE HUNDRED NINETY-EIGHT THOUSAND THREE HUNDRED PESOS ONLY (P 198,360.00) being </t>
  </si>
  <si>
    <t xml:space="preserve"> Laboratory Supplies for RHU LGU Cabagan Cabagan, Isabela</t>
  </si>
  <si>
    <t xml:space="preserve"> INVITATION TO BID CATERING SERVICES FOR POST DISASTER INTERVENTION PROGRAM 1.	The Local Government Unit of Cabadbaran City through the PEACE &amp; ORDER FUND intends to apply the sum of TWO HUNDRED NINETY-NINE THOUSAND TWO HUNDRED EIGHTY PESOS ONLY (P 299,280</t>
  </si>
  <si>
    <t xml:space="preserve"> INSTALLATION OF CCTV CAMERAS FOR “ BALIK PROBINSYA BAGONG PAG -ASA PROGRAM” AT  BRGY TACUB, KAUSWAGAN, LANAO DEL NORTE</t>
  </si>
  <si>
    <t xml:space="preserve"> Republic of the Philippines  Province of Nueva Ecija City Government of Palayan INVITATION TO BID FOR THE CONSTRUCTION OF 5 UNITS MULTI-PURPOSE BUILDINGS 1.	The City Government of Palayan, through the General Fund intends to apply the sum of (Php25,000,00</t>
  </si>
  <si>
    <t xml:space="preserve"> 1.	The OCCIDENTAL MINDORO STATE COLLEGE (OMSC), through the Special Trust Fund intend to apply the sum of Three Million One Hundred Fifty-Three Thousand Nine Hundred Thirty Two Pesos Only (Php3,153,932.00) being the Approved Budget for the Contract (ABC) </t>
  </si>
  <si>
    <t xml:space="preserve"> Procurement of Supplies use for MSWDO/LCPC</t>
  </si>
  <si>
    <t xml:space="preserve"> Procurement of Cell cards use for MSWDO</t>
  </si>
  <si>
    <t xml:space="preserve"> FUND SOURCE: 20% PDF 2020 `TYPES OF WORK TO BE DONE: Project billboard/ signboard/ occupational safety and health program/ reinforcing steel bars/ structural concrete (class A)/ formworks and falseworks/ masonry works (100mm thk CHB)/ steel window casemen</t>
  </si>
  <si>
    <t xml:space="preserve"> Republic of the Philippines City Government of Cotabato BIDS AND AWARDS COMMITTEE Cotabato City INVITATION FOR NEGOTIATED PROCUREMENT Projects: 	I. Provisions of Barangay Health Station at Barangay RH-2, Cotabato City II. Provisions of Lying-Inns for Stra</t>
  </si>
  <si>
    <t xml:space="preserve"> Fund Source: 20% PDF 2020` Types of Work to be done: project billboard/ signboard/ occupational safety and health program/ roadway excavation (unclassified)/ structure excavation (soft rock)/ overhaul/ grouted riprap (class A)</t>
  </si>
  <si>
    <t xml:space="preserve"> Piglets Hog Starter Hog Grower Hog Finisher Dewormer (Injectable Ivermection, 10 ml/bottle -3 ml/cycle for 2 heads (.3 bottle/cycle Vitamin B. Complaex (Injectable BEXAN SP20 ml/bottle)-8 ml/cycle for 2 heads (08 bottle/cycle)</t>
  </si>
  <si>
    <t xml:space="preserve"> Fund Source: 20% PDF 2020 Types of Work to be Done: project billboard/ signboard/ occupational safety and health program/ removal of structures and obstruction/ structure excavation (manual excavation common soil)/ structure concrete/ structure concrete (</t>
  </si>
  <si>
    <t xml:space="preserve"> Procurement of Office Supplies use for COA office</t>
  </si>
  <si>
    <t xml:space="preserve"> 20 W Solar Panel 5w LED Buld 10A Solar Charge Controller, Weatherproof, Dush Till Dawn 16ah Solar Battery  2"Post with Padestal 6" AMCO Globe</t>
  </si>
  <si>
    <t xml:space="preserve"> Republic of the Philippines Office of the Barangay Chairman BIDS AND AWARDS COMMITTEE Baquioen, Sual, Pangasinan INVITATION TO BID FOR THE PROCUREMENT OF OFFICE EQUIPMENT   1.	The Barangay Baquioen through its Bids and Awards Committee, intends to apply t</t>
  </si>
  <si>
    <t xml:space="preserve"> Republic of the Philippines Province of Bohol Municipality of Maribojoc Barangay Pagnitoan BIDS AND AWARDS COMMITTEE INVITATION TO BID  (Re-bidding) The Barangay Pagnitoan of the Municipality of Maribojoc, Bohol invites duly interested Suppliers /Contract</t>
  </si>
  <si>
    <t xml:space="preserve"> item no, unit qty description 1.   11 roll 2" diax60m PE Pipe sdr 11 2.  10 pcs 2"dia PE Pipe Connector 3.  1 pc 2" dia PE Female Connector 4.  1 pc 2" dia PE elbow 5.  25 roll tapelone tape big</t>
  </si>
  <si>
    <t xml:space="preserve"> REPUBLIC OF THE PHILIPPINES DEPARTMENT OF PUBLIC WORKS AND HIGHWAYS OFFICE OF THE DISTRICT ENGINEER CAVITE 1ST DISTRICT ENGINEERING OFFICE BRGY. DE OCAMPO, TRECE MARTIRES CITY, CAVITE INVITATION TO BID FOR PURCHASING OF THERMOPLASTIC PAINT MATERIALS FOR T</t>
  </si>
  <si>
    <t xml:space="preserve"> MAINTENANCE OF CORE LOCAL ROADS AT ATOK CIS SERVICE ROAD ATOK, FLORA, APAYAO</t>
  </si>
  <si>
    <t xml:space="preserve"> Brief Description: covered box drainage Drainage Length: 41.00 mts. width: 1.00 mt The significant times and deadlines of procurement activities are shown below:  Activities	Schedule 1. Receipt of LOIs from Prospective Bidders	June 05-11, 2020 2. Issuance</t>
  </si>
  <si>
    <t xml:space="preserve"> Provision of 1 Unit Four Wheeled Farm Tractor for the Municipal Agriculturist Office, Municipality of Bongabong, Oriental Mindoro.</t>
  </si>
  <si>
    <t xml:space="preserve"> SEE ATTACHED BIDDING DOCS, PLANS AND CHECKLIST</t>
  </si>
  <si>
    <t xml:space="preserve"> Invitation to Bid CONSTRUCTION OF GUITABAYAG BRIDGE (Gomez to Villaflor) Solicitation No. Infra-2020-05 The Municipality of San Isidro, Isabela, through the Trust Fund for FY 2020, intends to apply the sum of Four Million Nine Hundred Forty-Seven Thousand</t>
  </si>
  <si>
    <t xml:space="preserve"> Republic of the Philippines Province of Nueva Vizcaya Municipality of Solano -o0o- INVITATION TO BID FOR Supply &amp; Delivery of Laboratory Reagents for Hematology Analyzer   (SOLANO 056-2020) 1.	The Local Government Unit of Solano, Nueva Vizcaya through the</t>
  </si>
  <si>
    <t xml:space="preserve"> 1 unit - Mini-Dump Truck, Brand New &amp; Branded and not a discountinued model</t>
  </si>
  <si>
    <t xml:space="preserve"> Procurement of Rice Duck Production (SAAD Project</t>
  </si>
  <si>
    <t xml:space="preserve"> Concreting/Improvement of Roxas Barangay Road Municipality of Mainit, Surigao del Norte Brief Description:	The project will involve the Concreting/Improvement of Roxas Barangay Road with the following scope of works: General Requirements, Clearing, Surplu</t>
  </si>
  <si>
    <t xml:space="preserve"> PROCUREMENT OF 1,225 HEADS OF LIVE NATIVE CHICKEN (HEN) &amp; 245 HEADS OF LIVE COCKEREL (MALE CHICKEN)</t>
  </si>
  <si>
    <t xml:space="preserve"> REPUBLIC OF THE PHILIPPINES DEPARTMENT OF PUBLIC WORKS AND HIGHWAYS OFFICE OF THE DISTRICT ENGINEER CAVITE 1ST DISTRICT ENGINEERING OFFICE BRGY. DE OCAMPO, TRECE MARTIRES CITY, CAVITE INVITATION TO BID FOR PURCHASING OF CONSTRUCTION MATERIALS FOR THE ASPH</t>
  </si>
  <si>
    <t xml:space="preserve"> PROCUREMENT OF 14 HEADS OF LIVE CARABAO/COW</t>
  </si>
  <si>
    <t xml:space="preserve"> Supply &amp; Delivery of Vegetable Seeds for the Community Based Vegetable Gardening of the Municipal Agriculturist's Office, Municipality of  Bongabong, Oriental Mindoro.</t>
  </si>
  <si>
    <t xml:space="preserve"> PROCUREMENT OF 205 HEADS OF LIVE DOE &amp; 7 HEADS OF LIVE BUCK</t>
  </si>
  <si>
    <t xml:space="preserve"> Stock	ITEM DESCRIPTION	QTY	UNIT No.			 1	HOUSEHOLD-LEVEL DATA MANAGEMENT SYSTEM	1	system 	Project Components and Detailed Requirements:		 	1. Cloud Service		 	- Highly secured infrastructure, at least Level 1 PCI DSS		 	- SSL compliant for data encryption</t>
  </si>
  <si>
    <t xml:space="preserve"> Medical and Lab Supplies LGU Cabagan Cabagan, Isabela</t>
  </si>
  <si>
    <t xml:space="preserve"> Other General Requirements, Earthworks, Plain and Reinforced Concrete Works, Finishing and Other Civil Works</t>
  </si>
  <si>
    <t xml:space="preserve"> Scope of Works: -	Construction of 1 unit – 1 storey open Multipurpose Building with a dimension of 9.0m x 10.0m and construction of 34.92 ln.m. concrete lined canal with fabricated removable steel cover. BILL OF QUANTITIES I             Layout and Excavat</t>
  </si>
  <si>
    <t xml:space="preserve"> Acquisition of multifilament net &amp; accessories for Agriculture Office Items: 1.  18 bundles - Multifilament net 210/2x25kx200md 2.  6 rolls        - P.e. Rope (3 mm) 3.  6 kls.         - lead sinker no. 2 4.  2 packs      - rubber floats 5.  18 spool     </t>
  </si>
  <si>
    <t xml:space="preserve"> Invitation to Bid CONSTRUCTION OF GUITABAYAG BRIDGE (Gomez to Nagbukel) Solicitation No. Infra-2020-06 The Municipality of San Isidro, Isabela, through the Trust Fund for FY 2020, intends to apply the sum of Four Million Nine Hundred Forty-Five Thousand T</t>
  </si>
  <si>
    <t xml:space="preserve"> FUND SOURCE: 20% PDF 2020 TYPES OF WORK TO BE DONE: Project billboard/ signboard/ occupational safety and health program/ clearing and grubbing/ reinforcing steel bar/ structural concrete class A (minor structure)/ structure excavation (unclassified)/ 65m</t>
  </si>
  <si>
    <t xml:space="preserve"> Supply &amp; Delivery of 1 Unit of Payloader for the MENRO, Municipality of Bongabong, Oriental Mindoro</t>
  </si>
  <si>
    <t xml:space="preserve"> Waterworks Materials for the Improvement of Water System (14 Barangays)</t>
  </si>
  <si>
    <t xml:space="preserve"> INVITATION TO BID FOR THE SUPPLY, DELIVERY, INSTALLATION AND COMMISSIONING OF PERIPHERAL MAGNETIC STIMULATOR 1.  The Cagayan Valley Medical Center (CVMC), intends to apply the sum Three Million Pesos (Php   3,000,000.00 ) being the Approved Budget for the</t>
  </si>
  <si>
    <t xml:space="preserve"> Supply and Delivery of Fitting &amp; Valves (Lot #1), Fuel &amp; Diesel (Lot #2), Chlorine Granules (Lot #3) and Chlorine Test Kit (Lot #4) for the use of Brooke’s Point Water System Office, Brooke’s Point, Palawan Lot #1 Fitting &amp; Valves: 1,711,781.00 Lot #2 Fue</t>
  </si>
  <si>
    <t xml:space="preserve"> Supply and delivery of Materials (Lot #1), Good Lumber (Lot #2), Fuel (Lot #3) Drainage Structure (Lot #4) and Labor (Lot #5) for Proposed Road Concreting from National Highway sta. 00+350 to Sta. 00+760m leading to Kilala Elementary School, Barangay Mali</t>
  </si>
  <si>
    <t xml:space="preserve"> REPUBLIC OF THE PHILIPPINES DEPARTMENT OF PUBLIC WORKS AND HIGHWAYS OFFICE OF THE DISTRICT ENGINEER CAVITE 1ST DISTRICT ENGINEERING OFFICE BRGY. DE OCAMPO, TRECE MARTIRES CITY, CAVITE INVITATION TO BID FOR PURCHASING OF CONSTRUCTION MATERIALS FOR THE REPA</t>
  </si>
  <si>
    <t xml:space="preserve"> Specifications: Type: 2.4 liter Diesel, 4 cylinder, 16 valves; Transmission Category: 6 Speed Manual w/ easy select 4wd; Displacement: 2.442 cc; Maximum Output: 179 hp@ 3.500 rpm; Max Torque (nm): 430 Nm@ 2.500 rpm; Fuel Type: Diesel with 75 L capacity; W</t>
  </si>
  <si>
    <t xml:space="preserve"> Long Sleeve w/ DPWH Logo (Burda) 2 Color Caps Neon Orange/Blue w/ DPWH Working Gloves Rain Coat Rubber Boots Bolo Knife Face Masks</t>
  </si>
  <si>
    <t xml:space="preserve"> Invitation to Bid for the           REHABILITATION/ IMPROVEMENT OF ISULAN     INTEGRATED PUBLIC TERMINAL The MUNICIPALITY OF ISULAN, through the 20% Development Fund 2020  intends to apply the sum of  ONE MILLION SIX HUNDRED THIRTY-THREE THOUSAND FIVE HUN</t>
  </si>
  <si>
    <t xml:space="preserve"> Supply and Delivery of Materials (Lot #1), Good Lumber (Lot #2) Fuel (Lot #3) and Labor (Lot #4) for Proposed Road Concreting from National Highway Sta. 00+400 to Sta. 00+990m leading to Tagpirara Elementary School, Barangay Saraza, Brooke’s Point, Palawa</t>
  </si>
  <si>
    <t xml:space="preserve"> Specifications: 2 pcs. Plain sheet #16.3 (4x8); 3 pcs. Plain sheet #14; 5 pcs. Steel Plate #2.5 mm; 2 length Channel Bolt # 3x16x3x20; 4 length Channel Bar #3/14x4x20; 2 length Angle Bar #3/16x20; 1 length Square Bar #1/2; 2 length Flat Bar # (5mm) 2x20; </t>
  </si>
  <si>
    <t xml:space="preserve"> REPUBLIKA NG PILIPINAS KALAKHANG MAYNILA LUNGSOD NG NAVOTAS Pamahaalaang Barangay ng Navotas West H. MONROY ST. NAVOTAS WEST, NAVOTAS CITY Invitation to Bid PROCUREMENT OF MEDICAL EQUIPMENT 1. The Brgy. Government of Navotas West, through the 2020 Annual </t>
  </si>
  <si>
    <t xml:space="preserve"> INVITATION TO BID FOR THE PURCHASE OF TWENTY (20) UNITS BRAND NEW SINGLE MOTORCYCLE The Municipality of Isulan, through the GENERAL FUND 2020  intends to apply the sum of ONE MILLION ONE HUNDRED FORTY THOUSAND PESOS (P 1,140,000.00) being the Approved Bud</t>
  </si>
  <si>
    <t xml:space="preserve"> RIPRAPPING OF LESSEB BARANGAY ROAD (LAWLAWITAN SECTION) FUND SOURCE: 20% PDF 2020 TYPES OF WORK TO BE DONE: Project billboard/ signboard/ occupational safety and health program/ structure excavation (common soil)/ grouted riprap (class A) IMPROVEMENT OF B</t>
  </si>
  <si>
    <t xml:space="preserve"> Construction of Slope Protection along Magsaysay-Paco Road Municipality of Mainit, Surigao del Norte Brief Description:	The project will involve the following scope of works: Grouted Riprap, Structural Concrete, Stone Masonry and Metal Guardrails with Con</t>
  </si>
  <si>
    <t xml:space="preserve"> SEE ATTACHED BIDDING DOCS PLANS AND CHECKLIST</t>
  </si>
  <si>
    <t xml:space="preserve"> Supply And Delivery of Materials (Lot #1), Good Lumber (Lot #2), Fuel (Lot #3) Drainage Structure (Lot #4) and Labor (Lot #5) for Proposed Road Concreting from National Highway Sta. 00+015 to Sta. 00+246m leading to Maasin Nat’l. Highway, Barangay Maasin,</t>
  </si>
  <si>
    <t xml:space="preserve"> REPUBLIKA NG PILIPINAS KALAKHANG MAYNILA LUNGSOD NG NAVOTAS Pamahaalaang Barangay ng Navotas West H. MONROY ST. NAVOTAS WEST, NAVOTAS CITY Invitation to Bid PROCUREMENT OF COASTAL CLEAN UP DRIVE SUPPLIES. 1. The Brgy. Government of Navotas West, through t</t>
  </si>
  <si>
    <t xml:space="preserve"> Diesel Fuel Gasoline (Extra) Fuel Engine Oil SAE No 10W-30 Grease Synthetic Oil SAE 10 Oil SAE 140</t>
  </si>
  <si>
    <t xml:space="preserve"> Republic of the Philippines	 PROVINCE OF IFUGAO	 Municipality of Asipulo	 BIDS AND AWARDS COMMITTEE	 INVITATION TO BID	 	 GOODS	 	 The Municipal Government of Asipulo, through the Mun. General Fund intends	  to apply the sum indicated in the table below, </t>
  </si>
  <si>
    <t xml:space="preserve"> REPAIR AND MAINTENANCE OF ROAD</t>
  </si>
  <si>
    <t xml:space="preserve"> REHABILITATION OF MAIN ELECTRIC LINE OF MUNICIPAL HALL BUILDING FLORA, APAYAO</t>
  </si>
  <si>
    <t xml:space="preserve"> LOCAL GOVERNMENT UNIT OF NAGUILIAN, ISABELA Invitation to Bid for the COMPLETION OF NAGUILIAN COMMUNITY CENTER 1.	The Local Government Unit of Naguilian, Isabela, through the Provincial Government of Isabela  intends to apply the sum of Five Million Pesos</t>
  </si>
  <si>
    <t xml:space="preserve"> REPUBLIC OF THE PHILIPPINES DEPARTMENT OF PUBLIC WORKS AND HIGHWAYS OFFICE OF THE DISTRICT ENGINEER CAVITE 1ST DISTRICT ENGINEERING OFFICE BRGY. DE OCAMPO, TRECE MARTIRES CITY, CAVITE INVITATION TO BID FOR PURCHASING OF HEAVY EQUIPMENT FOR THE USE OF THE </t>
  </si>
  <si>
    <t xml:space="preserve"> SUPPLY &amp; DELIVERY OF THE FOLLOWING: Lot 1	2 Units Printer and 1 Unit Laptop/Notebook Computer for the Municipal Budget Office  Lot 2 2 Units Printer, 2 Units Desktop Computer  and 1 Unit Tablet for the (BPLO)</t>
  </si>
  <si>
    <t xml:space="preserve"> Supply &amp; Delivery of Drugs &amp; Medicines for Municipal Health Office (1st Semester), Municipality of Bongabong, Oriental Mindoro.</t>
  </si>
  <si>
    <t xml:space="preserve"> REPUBLIKA NG PILIPINAS KALAKHANG MAYNILA LUNGSOD NG NAVOTAS Pamahaalaang Barangay ng Navotas West H. MONROY ST. NAVOTAS WEST, NAVOTAS CITY Invitation to Bid PROCUREMENT OF BABY KITS FOR NEW BORN BABIES. 1. The Brgy. Government of Navotas West, through the</t>
  </si>
  <si>
    <t xml:space="preserve"> Republic of the Philippines  Province of Nueva Ecija City Government of Palayan INVITATION TO BID FOR THE SUPPLY, DELIVERY AND INSTALLATION OF STREET LIGHTS 1.	The City Government of Palayan, through the TRUST FUND intends to apply the sum of (Php3,500,00</t>
  </si>
  <si>
    <t xml:space="preserve"> Other General Requirements, Civil, Mechanical, Electrical and Sanitary/Plumbing Works</t>
  </si>
  <si>
    <t xml:space="preserve"> Office Supplies for barangay Use</t>
  </si>
  <si>
    <t xml:space="preserve"> SELECTIVE REPLACEMENT OF CONCRETE PAVEMENT</t>
  </si>
  <si>
    <t xml:space="preserve"> I 1.00 SQ.M Railings and Trellis II 7.00 CU.M Floor Finish III 12.00 CU.M Excavation Works IV 25.00 CU.M Stone Masonry Works V 1.00 UNIT Historical Marker</t>
  </si>
  <si>
    <t xml:space="preserve"> ITEM I CONCRETE &amp; MASONRY WORKS ITEM II DOORS &amp; WINDOWS ITEM III FINISHING &amp; PAINTING WORKS ITEM IV CARPENTRY &amp; JOINERY WORKS (CEILING WORKS)</t>
  </si>
  <si>
    <t xml:space="preserve"> INVITATION TO BID FOR THE SUPPLY AND DELIVERY OF LAPAROSCOPIC/VATS HAND INSTRUMENTS 1.  The Cagayan Valley Medical Center (CVMC), intends to apply the sum Four Million Pesos (Php   4,000,000.00 ) being the Approved Budget for the Contract (ABC) to payment</t>
  </si>
  <si>
    <t xml:space="preserve"> Republic of the Philippines     Province  of Surigao del Sur   TAGBINA, SURIGAO DEL SUR    BIDS AND AWARDS COMMITTEE INVITATION TO BID FOR THE  Construction of Market Tiendas LOCATION:  Brgy.  Poblacion, Tagbina, Surigao del Sur The municipality of Tagbin</t>
  </si>
  <si>
    <t xml:space="preserve"> CONSTRUCTION OF MRF, POBLACION EAST, FLORA, APAYAO</t>
  </si>
  <si>
    <t xml:space="preserve"> 2 units Diesel Engine 3 units Power spray set 4 unit pump accessory set 22 rolls 1 1/2" 0 Irrigation hose 20 rolls 1 1/4" 0 Irrigation  Hose 8 rolls 3/4" 0 pressurized garden hose 6 units Depolinator 6 units Grass cutter 2       bags electric knapsack spr</t>
  </si>
  <si>
    <t xml:space="preserve"> IMPROVEMENT OF SUMEY-ANG- SADSADAN ROAD, BAUKO FUND SOURCE; 20% PDF 2020 TYPES OF WORK TO BE DONE: Project billboard/ signboard/ occupational safety and health program/ structure excavation (common soil)/ aggregate base course/ PCCP/ grouted riprap (class</t>
  </si>
  <si>
    <t xml:space="preserve"> REPUBLIKA NG PILIPINAS KALAKHANG MAYNILA LUNGSOD NG NAVOTAS Pamahaalaang Barangay ng Navotas West H. MONROY ST. NAVOTAS WEST, NAVOTAS CITY Invitation to Bid PROCUREMENT OF STOCK PILE 1. The Brgy. Government of Navotas West, through the 2020 Annual Budget </t>
  </si>
  <si>
    <t xml:space="preserve"> Invitation to Bid The National Housing Authority (NHA), through the Corporate Budget approved by the NHA Board for CY 2020 intends to apply the sum of the Approved Budget for the Contract (ABC) to payments for the following contract: Ref. No. 2020-S001	 P</t>
  </si>
  <si>
    <t xml:space="preserve"> Provision of the following fertilizers: 1. 40 bags Complete fertilizer 2. 40 bags Urea Suppliers with good standing shall only be entertained and preferably within locality. May you send your quotation to this e-mail address (ati7.philgeps@gmail.com) or s</t>
  </si>
  <si>
    <t xml:space="preserve"> Republic of the Philippines										 Province of Bohol										 Municipality of Buenavista										 										 Barangay Anonang										 INVITATION TO APPLY FOR ELIGIBILITY AND TO BID										 										 The Barangay Local Government Unit of  Eastern</t>
  </si>
  <si>
    <t xml:space="preserve"> Invitation to Bid The National Housing Authority (NHA), through the Corporate Budget approved by the NHA Board for CY 2020 intends to apply the sum of the Approved Budget for the Contract (ABC) to payments for the following contract: Ref. No. 2020-S002	 P</t>
  </si>
  <si>
    <t xml:space="preserve"> Supply &amp; Delivery of Medical Supplies for Municipal Health Office (1st Semester), Municipality of Bongabong, Oriental Mindoro.</t>
  </si>
  <si>
    <t xml:space="preserve"> National Power Corporation INVITATION TO BID PUBLIC BIDDING 2020-0098 1.	The NATIONAL POWER CORPORATION (NPC), through       its        approved       Corporate Budget of CY 2020 intends to apply   the   sum   of (Please see schedule below) being the Appr</t>
  </si>
  <si>
    <t xml:space="preserve"> Supply &amp; Delivery of Construction Materials for the Improvement of School Workshop (BBCS) at BBII, Bongabong, Oriental Mindoro.</t>
  </si>
  <si>
    <t xml:space="preserve"> Republic of the Philippines Department of Health SOUTHERN ISABELA MEDICAL CENTER Hospital Bids and Awards Committee  Brgy. Rosario, Santiago City Philippines ITB NO. 2020-06-010 INVITATION TO BID  FOR THE SUPPLY AND DELIVERY OF VARIOUS MEDICAL SUPPLIES 1.</t>
  </si>
  <si>
    <t xml:space="preserve"> Sukol River Night Lights at Poblacion, Bongabong, Oriental Mindoro</t>
  </si>
  <si>
    <t xml:space="preserve"> INVITATION TO BID 2020-GS-02 The Department of Public Works and Highways QUEZON III DISTRICT ENGINEERING OFFICE, Catanauan, Quezon, through the FY2020 EAO Fund intends to apply the amount of ₱ 1,766,064.60 being the Approved Budget for the Contract (ABC) </t>
  </si>
  <si>
    <t xml:space="preserve"> CONSTRUCTION OF PLAZA DRAINAGE, LESEB, BAUKO FUND SOURCE: 20% PDF 2020 TYPES OF WORK TO BE DONE: Project billboard/ signboard/ occupational safety and health program/ structure excavation/ concrete (gutter and pathway)/ metal frames and grating/ reinforci</t>
  </si>
  <si>
    <t xml:space="preserve"> Republic of the Philippines Province of Surigao del Sur MUNICIPALITY OF TAGBINA BARANGAY TAGONGON BIDS AND AWARDS COMMITTEE (BAC) INVITATION TO BID SUPPLY AND DELIVERY OF HARDWARE MATERIALS FOR THE CONSTRUCTION OF PUBLIC COMFORT ROOM, TAGONGON, TAGBINA, S</t>
  </si>
  <si>
    <t xml:space="preserve"> Republic of the Philippines 	Province of Agusan del Sur	 MUNICIPALITY OF SAN FRANCISCO OFFICE OF THE BIDS AND AWARDS COMMITTEE (BAC) INVITATION TO BID MUNICIPAL ROAD CONCRETING ALONG LADGADAN ROAD, BARANGAY LADGADAN, SFADS The Municipal Government of San </t>
  </si>
  <si>
    <t xml:space="preserve"> Supply &amp; Delivery of Construction Materials for the Holding Pen Extension (Slaughterhouse), Bongabong, Oriental Mindoro.</t>
  </si>
  <si>
    <t xml:space="preserve"> Pre-bid Conference @ BAC Conference Room, GSO, 1st floor, New Capitol Blg, Pigcarangan, Tubod,LDN on June 18, 2020 @ 10:00 AM Deadline for Submission of Eligibility requirements and bidding documents for bid opening (all bids must be placed in a sealed en</t>
  </si>
  <si>
    <t xml:space="preserve"> Republic of the Philippines 	Province of Agusan del Sur	 MUNICIPALITY OF SAN FRANCISCO OFFICE OF THE BIDS AND AWARDS COMMITTEE (BAC) INVITATION TO BID SUPPLY AND DELIVERY OF TWO (2) UNITS MOTOR VEHICLE (PATROL CAR), PNP, SFADS The Municipal Government of </t>
  </si>
  <si>
    <t xml:space="preserve"> Republic of the Philippines 	Province of Agusan del Sur	 MUNICIPALITY OF SAN FRANCISCO OFFICE OF THE BIDS AND AWARDS COMMITTEE (BAC) INVITATION TO BID CONSTRUCTION OF SOLID WASTE SEGREGATION FACILITY AT DUMPSITE , SITIO DAMILAG, BARANGAY PISAAN, SFADS The</t>
  </si>
  <si>
    <t xml:space="preserve"> 16-20-0  : 4,300 bags 10-18-24 : 1,700 bags</t>
  </si>
  <si>
    <t xml:space="preserve"> 1.	The Barangay Council of Baragay Buntun, through the 20% Development Fund for Calendar Year 2020, intends to apply the sum of Seven Hundred Thirty Four Thousand One Hundred Thirty Six Pesos and Eighty Four Centavos (PhP 734,136.84), being the Approved B</t>
  </si>
  <si>
    <t xml:space="preserve"> Republic of the Philippines Department of Health SOUTHERN ISABELA MEDICAL CENTER Hospital Bids and Awards Committee Brgy. Rosario, Santiago City Philippines ITB NO. 2020-06-011 INVITATION TO BID  FOR THE SUPPLY AND DELIVERY OF VARIOUS DRUGS AND MEDICINES </t>
  </si>
  <si>
    <t xml:space="preserve"> 1.	The Barangay Council of Baragay Buntun, through the 20% Development Fund for Calendar Year 2020, intends to apply the sum of  One Hundred Eighty Three Thousand Five Hundred Thirty Three Pesos and Ninety Six Centavos (PhP183,533.96), being the Approved </t>
  </si>
  <si>
    <t xml:space="preserve"> Republic of the Philippines Province of Davao Oriental BIDS &amp; AWARDS COMMITTEE City of Mati INVITATION TO BID  Contract No.: CW20-19 The Provincial Government of Davao Oriental through its Bids and Awards Committee (BAC), invites licensed contractors to b</t>
  </si>
  <si>
    <t xml:space="preserve"> BUILDING CONSTRUCTION (SINGLE STOREY BIRTHING FACILITY)</t>
  </si>
  <si>
    <t xml:space="preserve"> I.	MOB./DEMOB. II.	GENERAL REQUIREMENTS     A. Sign Board        B. Temporary Facility III.	DIVERSION WORKS IV.	CANALIZATION V.	CANAL STRUCTURES</t>
  </si>
  <si>
    <t xml:space="preserve"> I.	GENERAL REQUIREMENTS     A. Sign Board        B. Temporary Facility II.	DIVERSION WORKS III.	CANALIZATION IV.	CANAL STRUCTURES</t>
  </si>
  <si>
    <t xml:space="preserve"> Republic of the Philippines Province of Davao Oriental City of Mati BIDS &amp; AWARDS COMMITTEE INVITATION TO BID LOT Procurement of SPAREPARTS for the Use of Light and Heavy Equipment SOURCE OF FUND: 20% LGDF [8000A-300-1-07-03-010-17-12] 1.	The Provincial G</t>
  </si>
  <si>
    <t xml:space="preserve"> INVITATION TO APPLY FOR ELIGIBILITY AND TO  BID The Municipality of Mutia through its Bids and  Awards Committee Invites  contractors to apply for eligibility and to bid for the project reflected hereunder; NAME OF PROJECT	:  Improvement of Municipal Plaz</t>
  </si>
  <si>
    <t xml:space="preserve"> TO CONSTRUCT STONE MASONRY SLOPE PROTECTION AND PCCP</t>
  </si>
  <si>
    <t xml:space="preserve"> I.	General Requirements     A. Sign Board        B. Temporary Facility II.	Canalization</t>
  </si>
  <si>
    <t xml:space="preserve"> INVITATION TO APPLY FOR ELIGIBILITY AND TO  BID The Municipality of Mutia through its Bids and  Awards Committee Invites  contractors to apply for eligibility and to bid for the project reflected hereunder; NAME OF PROJECT	:  Procurement of Furniture &amp; Fi</t>
  </si>
  <si>
    <t xml:space="preserve"> Department of Public Works and Highways (DPWH) Contract ID: 20MB0153 Contract Name:  Construction/Rehabilitation of Water Supply/Septage and Sewerage/Rain Water Collectors Contract Location: a)	Blagan Elementary School, Brgy. San Jose, General Santos City</t>
  </si>
  <si>
    <t xml:space="preserve"> ITEM NO.	DESCRIPTION	   Qty	Statement of Compliance 	Assorted Lowland  Vegetable Seeds		 1	Hybrid Ampalaya @ 50g/can	800 cans	 2	Hybrid Squash @ 50g/can	800 cans	 3	Hybrid Cucumber @ 50g/can	800 cans	 4	OP Upo @ 50g/can	750 cans	 5	Hybrid Eggplant @ 50g/c</t>
  </si>
  <si>
    <t xml:space="preserve"> DESCRIPTION Item No.	PROCUREMENT AND DELIVERY OF VARIOUS LABORATORY SUPPLIES FOR THE 2nd  QUARTER OF CY 2020 UNDER ILD 	QTY (unit) 1	L-tryptophan, AR, 25g/bot.	2 bots. 2	Ammonium Acetate, AR, 500g/bot.	2 bots. 3	Acetonitrile, HPLC Grade, 4L/bot.	2 bots. 4</t>
  </si>
  <si>
    <t xml:space="preserve"> TO CONSTRUCT STONE MASONRY SLOPE PROTECTION CONCRETE CANAL AND PCCP</t>
  </si>
  <si>
    <t xml:space="preserve"> The Government of the Philippines (GOP) has received a Loan from the World Bank towards the cost of Philippine Rural Development Project and intends to apply part of the proceeds of this loan to payments under the contract for the Construction of Chocolat</t>
  </si>
  <si>
    <t xml:space="preserve"> INVITATION TO BID The Department of Public Works and Highways (DPWH), Cavite 3rd District Engineering Office, Carmona, Cavite through its Bids and Awards Committee (BAC), invites contractors to submit bids for the following Contract: 4. Contract I.D. No.:</t>
  </si>
  <si>
    <t xml:space="preserve"> The National Food Authority (NFA) Southern Tagalog Region intends to apply the sum of Ninety Three Million Nine Hundred Sixty Nine Thousand Eight Hunded Seventy Five Pesos (P93,969,875.00) inclusive of VAT from its Corporate Operating Budget as the Approv</t>
  </si>
  <si>
    <t xml:space="preserve"> ITEM NO.	DESCRIPTION	 Qty 	Statement of Compliance 	Procurement and delivery of Mungbean, Peanut and Watermelon seeds under  HVCDP 2020		 1	Mungbean	250 bags	 Bidders must state here either “Comply” or “Not Comply” against each of the individual parameter</t>
  </si>
  <si>
    <t xml:space="preserve"> The Local Government Unit of Tangcal, Lanao del Norte invites contractors to submit bids for the Rehabilitation of Road from Poblacion to Bubong for 90 Calendar Days. NOTE: Download attached document(s) for more details</t>
  </si>
  <si>
    <t xml:space="preserve"> The Local Government Unit of Tangcal, Lanao del Norte invites contractors to submit bids for the Rehabilitation of Box Culvert for 60 Calendar Days. NOTE: Download attached document(s) for more details</t>
  </si>
  <si>
    <t xml:space="preserve"> Republic of the Philippines Province of Camarines Sur MUNICIPALITY OF MINALABAC -o0o- Invitation to Bid for PURCHASE OF 2 UNITS STAINLESS WATER LORRY TRUCK 1. LGU-Minalabac, Camarines Sur, through its 5% DRRM Fund, CY 2020 intends to apply the sum of Five</t>
  </si>
  <si>
    <t xml:space="preserve"> Republic of the Philippines DEPARTMENT OF PUBLIC WORKS AND HIGHWAYS CAMARINES NORTE  DISTRICT ENGINEERING OFFICE REGIONAL OFFICE V Daet, Camarines Norte INVITATION TO BID (Re-Advertisement) The Department of Public Works and Highways, Camarines Norte Dist</t>
  </si>
  <si>
    <t xml:space="preserve"> Republic of the Philippines DEPARTMENT OF PUBLIC WORKS AND HIGHWAYS SULTAN KUDARAT 2ND DISTRICT ENGINEERING OFFICE REGION XII Lebak, Sultan Kudarat INVITATION TO BID FOR SUPPLY/DELIVERY OF ROAD SAFETY FACILITIES FOR THE MAINTENANCE/IMPROVEMENT OF NATIONAL</t>
  </si>
  <si>
    <t xml:space="preserve"> Contract Period: The contract shall commence on the date stipulated in the Notice to Proceed to be issued by the Administrative Services Department (ASD), to end 31 December 2020. Please see attachment in the Associated Components for the complete set of </t>
  </si>
  <si>
    <t xml:space="preserve"> 1.	The Municipality of Consolacion, through the Financial Assistance from the Municipality and from the Provincial Capitol intends to apply the sum of Four Hundred Eighty Thousand Pesos (P 480,000.00) being the Approved Budget for the Contract (ABC) to pa</t>
  </si>
  <si>
    <t xml:space="preserve"> Republic of the Philippines DEPARTMENT OF PUBLIC WORKS AND HIGHWAYS SULTAN KUDARAT 2ND DISTRICT ENGINEERING OFFICE REGION XII Lebak, Sultan Kudarat INVITATION TO BID FOR SUPPLY/DELIVERY OF  ROAD SIGN FOR THE MAINTENANCE/IMPROVEMENT OF NATIONAL ROAD, SULTA</t>
  </si>
  <si>
    <t xml:space="preserve"> Republic of the Philippines DEPARTMENT OF PUBLIC WORKS AND HIGHWAYS SULTAN KUDARAT 2ND DISTRICT ENGINEERING OFFICE REGION XII Lebak, Sultan Kudarat INVITATION TO BID FOR SUPPLY/DELIVERY OF THERMOPLASTIC PAINTS FOR THE REPAIR/MAINTENANCE OF NATIONAL ROAD &amp;</t>
  </si>
  <si>
    <t xml:space="preserve"> Republic of the Philippines DEPARTMENT OF PUBLIC WORKS AND HIGHWAYS SULTAN KUDARAT 2ND DISTRICT ENGINEERING OFFICE REGION XII Lebak, Sultan Kudarat INVITATION TO BID FOR SUPPLY/DELIVERY OF  ASPHALT COLD MIX FOR THE REPAIR/MAINTENANCE OF NATIONAL ROADS &amp; B</t>
  </si>
  <si>
    <t xml:space="preserve"> 1.	The Municipality of Consolacion, through the General Fund intends to apply the sum of Three Hundred Twenty-One Thousand Thirty Pesos (P 321,030.00) being the Approved Budget for the Contract (ABC) to payments under the contract for Procurement of Medic</t>
  </si>
  <si>
    <t xml:space="preserve"> OFFICE OF THE BIDS AND AWARDS COMMITTEE (BAC) INVITATION TO BID FOR THE 20-05-399 Construction of Water System at Maracabac, Guiling, Alamada, Cotabato 1.	The Local Government Unit of Alamada, through the Supplemental Budget No. 1 CY 2020 CO (1-07-03-040)</t>
  </si>
  <si>
    <t xml:space="preserve"> TO PROVIDE FLU VACCINE TO 160 individual person</t>
  </si>
  <si>
    <t xml:space="preserve"> Student ID SHS FOR STUDENTS</t>
  </si>
  <si>
    <t xml:space="preserve"> Contract ID:	20LG0113 (Readvertise) Contract Name:			Repair/Maintenance of Mati Flood Control, Brgy Central, City of Mati, Davao Oriental Contract Location:	Brgy Central, City of Mati, Davao Oriental Brief Description:	Repair/ Maintenance of Flood Control</t>
  </si>
  <si>
    <t xml:space="preserve"> Invitation to Bid for  LOWER SIBUGUEY II RIS EXTENSION PROJECT PACKAGE 2 CY 2017 REMAINING WORKS Imelda, Zamboanga Sibugay 1.	The National Irrigation Administration – Zamboanga Sibugay Irrigation Management Office, Region 9, through the LINEPROGRAMS-EXTEN</t>
  </si>
  <si>
    <t xml:space="preserve"> Student ID JHS FOR STUDENTS</t>
  </si>
  <si>
    <t xml:space="preserve"> (see bidding documents associated component for further project details)</t>
  </si>
  <si>
    <t xml:space="preserve"> Department of Agriculture		 BUREAU OF PLANT INDUSTRY 692 San Andres Street Malate, Manila, Philippines E-mail Address: bpibac@yahoo.com Tel. No.: (02) 8526-7859, (02) 8691-0736 | Website: bpi.da.gov.ph SOLICITATION NO.: ITB PR NO. 0697-20BAC  INVITATION T</t>
  </si>
  <si>
    <t xml:space="preserve"> Department of Agriculture		 BUREAU OF PLANT INDUSTRY 692 San Andres Street Malate, Manila, Philippines E-mail Address: bpibac@yahoo.com Tel. No.: (02) 8526-7859, (02) 8691-0736 | Website: bpi.da.gov.ph SOLICITATION NO.: ITB PR NO. 0698-20BAC  INVITATION T</t>
  </si>
  <si>
    <t xml:space="preserve"> Department of Agriculture		 BUREAU OF PLANT INDUSTRY 692 San Andres Street Malate, Manila, Philippines E-mail Address: bpibac@yahoo.com Tel. No.: (02) 8526-7859, (02) 8691-0736 | Website: bpi.da.gov.ph SOLICITATION NO.: ITB PR NO. 0694-20BAC  INVITATION T</t>
  </si>
  <si>
    <t xml:space="preserve"> SOLICITATION NO.: ITB PR NO. 0177-20BAC  INVITATION TO BID FOR THE PROCUREMENT FOR THE SUPPLY AND DELIVERY OF MYCOTOXIN SUPPLIES FOR USE IN LABORATORIES OF PLANT PRODUCT SAFETY SERVICES DIVISION (PPSSD) 1.	The Bureau of Plant Industry (BPI), through the Q</t>
  </si>
  <si>
    <t xml:space="preserve"> Department of Agriculture		 BUREAU OF PLANT INDUSTRY 692 San Andres Street Malate, Manila, Philippines E-mail Address: bpibac@yahoo.com Tel. No.: (02) 8526-7859, (02) 8691-0736 | Website: bpi.da.gov.ph SOLICITATION NO.: ITB PR NO. 0691-20BAC  INVITATION T</t>
  </si>
  <si>
    <t xml:space="preserve"> ADDITIONAL SCHOOL AND OFFICE SUPPLIES FOR STUDENTS</t>
  </si>
  <si>
    <t xml:space="preserve"> Department of Agriculture		 BUREAU OF PLANT INDUSTRY 692 San Andres Street Malate, Manila, Philippines E-mail Address: bpibac@yahoo.com Tel. No.: (02) 8526-7859, (02) 8691-0736 | Website: bpi.da.gov.ph SOLICITATION NO.: ITB PR NO. 0499-20BAC  INVITATION T</t>
  </si>
  <si>
    <t xml:space="preserve"> Department of Agriculture		 BUREAU OF PLANT INDUSTRY 692 San Andres Street Malate, Manila, Philippines E-mail Address: bpibac@yahoo.com Tel. No.: (02) 8526-7859, (02) 8691-0736 | Website: bpi.da.gov.ph SOLICITATION NO.: ITB PR NO. 0604-20BAC  INVITATION T</t>
  </si>
  <si>
    <t xml:space="preserve"> Department of Agriculture		 BUREAU OF PLANT INDUSTRY 692 San Andres Street Malate, Manila, Philippines E-mail Address: bpibac@yahoo.com Tel. No.: (02) 8526-7859, (02) 8691-0736 | Website: bpi.da.gov.ph SOLICITATION NO.: ITB PR NO. 0772-20BAC  INVITATION T</t>
  </si>
  <si>
    <t xml:space="preserve"> Department of Agriculture		 BUREAU OF PLANT INDUSTRY 692 San Andres Street Malate, Manila, Philippines E-mail Address: bpibac@yahoo.com Tel. No.: (02) 8526-7859, (02) 8691-0736 | Website: bpi.da.gov.ph SOLICITATION NO.: ITB PR NO. 0952-20BAC  INVITATION T</t>
  </si>
  <si>
    <t xml:space="preserve"> Department of Agriculture		 BUREAU OF PLANT INDUSTRY 692 San Andres Street Malate, Manila, Philippines E-mail Address: bpibac@yahoo.com Tel. No.: (02) 8526-7859, (02) 8691-0736 | Website: bpi.da.gov.ph SOLICITATION NO.: ITB PR NO. 0774-20BAC  INVITATION T</t>
  </si>
  <si>
    <t xml:space="preserve"> Republic of the Philippines Province of Ilocos Sur Municipality of Quirino, Ilocos Sur Invitation to Bid for the Continuation/Improvement of Kendongay FMR, Poblacion, Quirino, Ilocos Sur 1.	The Municipality of Quirino, Ilocos Sur, through the RA 7171 FY 2</t>
  </si>
  <si>
    <t xml:space="preserve"> SOLICITATION NO.: ITB PR NO. 0204-20BAC  INVITATION TO BID FOR THE PROCUREMENT FOR THE SUPPLY AND DELIVERY OF LC, HPLC CONSUMABLES FOR USE IN LABORATORIES OF PLANT PRODUCT SAFETY SERVICES DIVISION (PPSSD) 1.	The Bureau of Plant Industry (BPI), through the</t>
  </si>
  <si>
    <t xml:space="preserve"> OFFICE OF THE BIDS AND AWARDS COMMITTEE (BAC) INVITATION TO BID FOR: 20-06-443 Purchase of 8 in 1 Assorted Vegetables Seeds for Sustainable Integrated Natural Garden (SUSING) Livelihood Program-Livelihood Seeds Distribution for Alamada Constituents 1.	The</t>
  </si>
  <si>
    <t xml:space="preserve"> Department of Agriculture		 BUREAU OF PLANT INDUSTRY 692 San Andres Street Malate, Manila, Philippines E-mail Address: bpibac@yahoo.com Tel. No.: (02) 8526-7859, (02) 8691-0736 | Website: bpi.da.gov.ph SOLICITATION NO.: ITB PR NO. 3310-19BAC  INVITATION T</t>
  </si>
  <si>
    <t xml:space="preserve"> INSTALLATION OF CR SHS FOR WINS</t>
  </si>
  <si>
    <t xml:space="preserve"> Invitation to Bid for  LOWER SIBUGUEY I RIS EXTENSION PROJECT PACKAGE 3 CY 2016 REMAINING WORKS Diplahan, Zamboanga Sibugay 1.	The National Irrigation Administration – Zamboanga Sibugay Irrigation Management Office, Region 9, through the LINEPROGRAMS-EXTE</t>
  </si>
  <si>
    <t xml:space="preserve"> MATERIALS FOR INTRAMURALS FOR EVENTS USED</t>
  </si>
  <si>
    <t xml:space="preserve"> REPAIR OF DOORS FOR SHS FOR SCHOOL MAINTAINACE</t>
  </si>
  <si>
    <t xml:space="preserve"> Republic of the Philippines DEPARTMENT OF PUBLIC WORKS AND HIGHWAYS OFFICE OF THE REGIONAL DIRECTOR Regional Office No. IV-A EDSA, Quezon City June 03, 2020 SUBJECT : NOTICE OF SHORT LIST AND REQUEST FOR PROPOSALS (RFP) FoR CONTRACT ID NO. 20CSD001: CONSU</t>
  </si>
  <si>
    <t xml:space="preserve"> REQUEST FOR EXPRESSION OF INTEREST (REI) FOR THE CONSULTING SERVICES FOR THE PREPARATION OF FEASIBILITY STUDIES OF NATIONAL SEPTAGE AND SEWERAGE MANAGEMENT PROGRAM  (OLONGAPO CITY AND ILIGAN CITY) 1.	The Department of Public Works and Highways, through th</t>
  </si>
  <si>
    <t xml:space="preserve"> Section I. Invitation to Bid   INVITATION TO BID FOR  Supply and Delivery of Robotics (LSB) 1.	The Local Government Unit of Lambayong, through the SEF Expenses Fund intends to apply the sum of Two Million Five Hundred Thousand Pesos (PhP2,500,000.00) bein</t>
  </si>
  <si>
    <t xml:space="preserve"> Department of Agriculture		 BUREAU OF PLANT INDUSTRY 692 San Andres Street Malate, Manila, Philippines E-mail Address: bpibac@yahoo.com Tel. No.: (02) 8526-7859, (02) 8691-0736 | Website: bpi.da.gov.ph SOLICITATION NO.: ITB PR NO. 0605-20BAC  INVITATION T</t>
  </si>
  <si>
    <t xml:space="preserve"> Description Republic of the Philippines PROVINCE OF ZAMBONAGA DEL NORTE Municipality of Leon B. Postigo INVITATION TO BID (2020-05-063) June 04, 2020   Municipality of Leon B. Postigo, Zamboanga del Norte invites qualified bidders to apply for prequalific</t>
  </si>
  <si>
    <t xml:space="preserve"> Description Republic of the Philippines PROVINCE OF ZAMBONAGA DEL NORTE Municipality of Leon B. Postigo INVITATION TO BID (2020-05-061) June 04, 2020   Municipality of Leon B. Postigo, Zamboanga del Norte invites qualified bidders to apply for prequalific</t>
  </si>
  <si>
    <t xml:space="preserve"> Description Republic of the Philippines PROVINCE OF ZAMBONAGA DEL NORTE Municipality of Leon B. Postigo INVITATION TO BID (2020-05-065) June 04, 2020   Municipality of Leon B. Postigo, Zamboanga del Norte invites qualified bidders to apply for prequalific</t>
  </si>
  <si>
    <t xml:space="preserve"> Description Republic of the Philippines PROVINCE OF ZAMBONAGA DEL NORTE Municipality of Leon B. Postigo INVITATION TO BID (2020-05-066) June 04, 2020   Municipality of Leon B. Postigo, Zamboanga del Norte invites qualified bidders to apply for prequalific</t>
  </si>
  <si>
    <t xml:space="preserve"> Description Republic of the Philippines PROVINCE OF ZAMBONAGA DEL NORTE Municipality of Leon B. Postigo INVITATION TO BID (2020-05-068) June 04, 2020   Municipality of Leon B. Postigo, Zamboanga del Norte invites qualified bidders to apply for prequalific</t>
  </si>
  <si>
    <t xml:space="preserve"> Invitation to Bid for the supply &amp; delivery of One unit Corn Harvester w/trailer &amp; One unit Tractor for use of the City Veterinary &amp; Agricultural Services Office, Batangas City</t>
  </si>
  <si>
    <t xml:space="preserve"> Description Republic of the Philippines PROVINCE OF ZAMBONAGA DEL NORTE Municipality of Leon B. Postigo INVITATION TO BID (2020-05-064) June 04, 2020   Municipality of Leon B. Postigo, Zamboanga del Norte invites qualified bidders to apply for prequalific</t>
  </si>
  <si>
    <t xml:space="preserve"> Invitation to Bid for the supply, delivery &amp; installation of various airconditioning units for use of different offices of Batangas City Government</t>
  </si>
  <si>
    <t xml:space="preserve"> Description Republic of the Philippines PROVINCE OF ZAMBONAGA DEL NORTE Municipality of Leon B. Postigo INVITATION TO BID (2020-05-069) June 04, 2020   Municipality of Leon B. Postigo, Zamboanga del Norte invites qualified bidders to apply for prequalific</t>
  </si>
  <si>
    <t xml:space="preserve"> Description Republic of the Philippines PROVINCE OF ZAMBONAGA DEL NORTE Municipality of Leon B. Postigo INVITATION TO BID (2020-05-074) June 04, 2020   Municipality of Leon B. Postigo, Zamboanga del Norte invites qualified bidders to apply for prequalific</t>
  </si>
  <si>
    <t xml:space="preserve"> Invitation to Bid for the supply &amp; delivery of Various School Supplies for use of Dep. Ed., Division of Batangas City</t>
  </si>
  <si>
    <t xml:space="preserve"> Invitation to Bid for the supply, delivery &amp; installation of various materials for the restoration of Wireless Antennas and additional CCTV Surveillance Cameras at different Barangay of Batangas City</t>
  </si>
  <si>
    <t xml:space="preserve"> Republic of the Philippines PROVINCE OF PAMPANGA City of San Fernando INVITATION TO BID NO. 2020-16 IG - BAC INVITATION TO BID FOR PURCHASE REQUEST NO. 20-0554 and 20-0620 The Provincial Government of Pampanga (“Province”) intends to apply the following s</t>
  </si>
  <si>
    <t xml:space="preserve"> Description Republic of the Philippines PROVINCE OF ZAMBONAGA DEL NORTE Municipality of Leon B. Postigo INVITATION TO BID (2020-05-073) June 04, 2020   Municipality of Leon B. Postigo, Zamboanga del Norte invites qualified bidders to apply for prequalific</t>
  </si>
  <si>
    <t xml:space="preserve"> Description Republic of the Philippines PROVINCE OF ZAMBONAGA DEL NORTE Municipality of Leon B. Postigo INVITATION TO BID (2020-05-070) June 04, 2020   Municipality of Leon B. Postigo, Zamboanga del Norte invites qualified bidders to apply for prequalific</t>
  </si>
  <si>
    <t xml:space="preserve"> Description Republic of the Philippines PROVINCE OF ZAMBONAGA DEL NORTE Municipality of Leon B. Postigo INVITATION TO BID (2020-05-072) June 04, 2020   Municipality of Leon B. Postigo, Zamboanga del Norte invites qualified bidders to apply for prequalific</t>
  </si>
  <si>
    <t xml:space="preserve"> Description Republic of the Philippines PROVINCE OF ZAMBONAGA DEL NORTE Municipality of Leon B. Postigo INVITATION TO BID (2020-05-075) June 04, 2020   Municipality of Leon B. Postigo, Zamboanga del Norte invites qualified bidders to apply for prequalific</t>
  </si>
  <si>
    <t xml:space="preserve"> Description Republic of the Philippines PROVINCE OF ZAMBONAGA DEL NORTE Municipality of Leon B. Postigo INVITATION TO BID (2020-05-071) June 04, 2020   Municipality of Leon B. Postigo, Zamboanga del Norte invites qualified bidders to apply for prequalific</t>
  </si>
  <si>
    <t xml:space="preserve"> Description Republic of the Philippines PROVINCE OF ZAMBONAGA DEL NORTE Municipality of Leon B. Postigo INVITATION TO BID (2020-05-082) June 04, 2020   Municipality of Leon B. Postigo, Zamboanga del Norte invites qualified bidders to apply for prequalific</t>
  </si>
  <si>
    <t xml:space="preserve"> Description Republic of the Philippines PROVINCE OF ZAMBONAGA DEL NORTE Municipality of Leon B. Postigo INVITATION TO BID (2020-05-078) June 04, 2020   Municipality of Leon B. Postigo, Zamboanga del Norte invites qualified bidders to apply for prequalific</t>
  </si>
  <si>
    <t xml:space="preserve"> Description Republic of the Philippines PROVINCE OF ZAMBONAGA DEL NORTE Municipality of Leon B. Postigo INVITATION TO BID (2020-05-080) June 04, 2020   Municipality of Leon B. Postigo, Zamboanga del Norte invites qualified bidders to apply for prequalific</t>
  </si>
  <si>
    <t xml:space="preserve"> Description Republic of the Philippines PROVINCE OF ZAMBONAGA DEL NORTE Municipality of Leon B. Postigo INVITATION TO BID (2020-05-076) June 04, 2020   Municipality of Leon B. Postigo, Zamboanga del Norte invites qualified bidders to apply for prequalific</t>
  </si>
  <si>
    <t xml:space="preserve"> Description Republic of the Philippines PROVINCE OF ZAMBONAGA DEL NORTE Municipality of Leon B. Postigo INVITATION TO BID (2020-05-081) June 04, 2020   Municipality of Leon B. Postigo, Zamboanga del Norte invites qualified bidders to apply for prequalific</t>
  </si>
  <si>
    <t xml:space="preserve"> Description Republic of the Philippines PROVINCE OF ZAMBONAGA DEL NORTE Municipality of Leon B. Postigo INVITATION TO BID (2020-05-067) June 04, 2020   Municipality of Leon B. Postigo, Zamboanga del Norte invites qualified bidders to apply for prequalific</t>
  </si>
  <si>
    <t xml:space="preserve"> Description Republic of the Philippines PROVINCE OF ZAMBONAGA DEL NORTE Municipality of Leon B. Postigo INVITATION TO BID (2020-05-077) June 04, 2020   Municipality of Leon B. Postigo, Zamboanga del Norte invites qualified bidders to apply for prequalific</t>
  </si>
  <si>
    <t xml:space="preserve"> INVITATION TO BID FOR  ESTABLISHMENT OF THREE (3) UNITS OF SMALL WATER IMPOUNDING SYSTEM (SWIS) AT BRGY. SAN ROQUE, BULALACAO, ORIENTAL MINDORO 1.	The DENR PENRO – Oriental Mindoro, through the RA 11465, GAA 2020 intends to apply the sum of Three Million </t>
  </si>
  <si>
    <t xml:space="preserve"> Description Republic of the Philippines PROVINCE OF ZAMBONAGA DEL NORTE Municipality of Leon B. Postigo INVITATION TO BID (2020-05-099) June 04, 2020   Municipality of Leon B. Postigo, Zamboanga del Norte invites qualified bidders to apply for prequalific</t>
  </si>
  <si>
    <t xml:space="preserve"> Description Republic of the Philippines PROVINCE OF ZAMBONAGA DEL NORTE Municipality of Leon B. Postigo INVITATION TO BID (2020-05-083) June 04, 2020   Municipality of Leon B. Postigo, Zamboanga del Norte invites qualified bidders to apply for prequalific</t>
  </si>
  <si>
    <t xml:space="preserve"> 102 Roadway Excavation  104 Embankment  201 Aggregate Base Course  311 Portland Cement Concrete Pavement</t>
  </si>
  <si>
    <t xml:space="preserve"> Description Republic of the Philippines PROVINCE OF ZAMBONAGA DEL NORTE Municipality of Leon B. Postigo INVITATION TO BID (2020-05-097) June 04, 2020   Municipality of Leon B. Postigo, Zamboanga del Norte invites qualified bidders to apply for prequalific</t>
  </si>
  <si>
    <t xml:space="preserve"> Description Republic of the Philippines PROVINCE OF ZAMBONAGA DEL NORTE Municipality of Leon B. Postigo INVITATION TO BID (2020-03-036)  May 06, 2020   Municipality of Leon B. Postigo, Zamboanga del Norte invites qualified bidders to apply for prequalific</t>
  </si>
  <si>
    <t xml:space="preserve"> Description Republic of the Philippines PROVINCE OF ZAMBONAGA DEL NORTE Municipality of Leon B. Postigo INVITATION TO BID (2020-05-098) June 04, 2020   Municipality of Leon B. Postigo, Zamboanga del Norte invites qualified bidders to apply for prequalific</t>
  </si>
  <si>
    <t xml:space="preserve"> Description Republic of the Philippines PROVINCE OF ZAMBONAGA DEL NORTE Municipality of Leon B. Postigo INVITATION TO BID (2020-05-093)  May 06, 2020   Municipality of Leon B. Postigo, Zamboanga del Norte invites qualified bidders to apply for prequalific</t>
  </si>
  <si>
    <t xml:space="preserve"> Description Republic of the Philippines PROVINCE OF ZAMBONAGA DEL NORTE Municipality of Leon B. Postigo INVITATION TO BID (2020-05-079) June 04, 2020   Municipality of Leon B. Postigo, Zamboanga del Norte invites qualified bidders to apply for prequalific</t>
  </si>
  <si>
    <t xml:space="preserve"> Improvement of Day Care Centerr, Brgy. Balabago, Alimodian Iloil;o</t>
  </si>
  <si>
    <t xml:space="preserve"> Description Republic of the Philippines PROVINCE OF ZAMBONAGA DEL NORTE Municipality of Leon B. Postigo INVITATION TO BID (2020-05-060) June 04, 2020   Municipality of Leon B. Postigo, Zamboanga del Norte invites qualified bidders to apply for prequalific</t>
  </si>
  <si>
    <t xml:space="preserve"> Improvement of Multi-Purpose Pavement at Brgy. Ulay-Bugang, Alimodian Iloilo</t>
  </si>
  <si>
    <t xml:space="preserve"> Republic of the Philippines Province of Sarangani Municipality of Malapatan INVITATION TO BID  	 2020-B2-02 ESTABLISHMENT OF MULTI-COMMODITY DRYING PAVEMENT AT SITIO KITULAG, BRGY. KINAM &amp; SITIO BOLOLKALON, BRGY. LUN PADIDU, MALAPATAN SARANGANI PROVINCE  </t>
  </si>
  <si>
    <t xml:space="preserve"> Description Republic of the Philippines PROVINCE OF ZAMBONAGA DEL NORTE Municipality of Leon B. Postigo INVITATION TO BID (2020-05-115)  June 04, 2020   Municipality of Leon B. Postigo, Zamboanga del Norte invites qualified bidders to apply for prequalifi</t>
  </si>
  <si>
    <t xml:space="preserve"> Description Republic of the Philippines PROVINCE OF ZAMBONAGA DEL NORTE Municipality of Leon B. Postigo INVITATION TO BID (2020-05-133)  May 06, 2020   Municipality of Leon B. Postigo, Zamboanga del Norte invites qualified bidders to apply for prequalific</t>
  </si>
  <si>
    <t xml:space="preserve"> Description Republic of the Philippines PROVINCE OF ZAMBONAGA DEL NORTE Municipality of Leon B. Postigo INVITATION TO BID (2020-05-095) June 04, 2020   Municipality of Leon B. Postigo, Zamboanga del Norte invites qualified bidders to apply for prequalific</t>
  </si>
  <si>
    <t xml:space="preserve"> Republic of the Philippines Province of Sarangani Municipality of Malapatan INVITATION TO BID  	 2020-B1-04-010        PROCUREMENT OF HYBRID WHITE CORN SEEDS, MALAPATAN SARANGANI PROVINCE   1.	The Local Government Unit of Malapatan, through the GENERAL FU</t>
  </si>
  <si>
    <t xml:space="preserve"> Description Republic of the Philippines PROVINCE OF ZAMBONAGA DEL NORTE Municipality of Leon B. Postigo INVITATION TO BID (2020-05-105)  May 06, 2020   Municipality of Leon B. Postigo, Zamboanga del Norte invites qualified bidders to apply for prequalific</t>
  </si>
  <si>
    <t xml:space="preserve"> Description Republic of the Philippines PROVINCE OF ZAMBONAGA DEL NORTE Municipality of Leon B. Postigo INVITATION TO BID (2020-05-116)  May 06, 2020   Municipality of Leon B. Postigo, Zamboanga del Norte invites qualified bidders to apply for prequalific</t>
  </si>
  <si>
    <t xml:space="preserve"> INVITATION TO BID FOR THE SUPPLY, DELIVERY, INSTALLATION AND COMMISSIONING OF ONE (1) UNIT FULLY AUTOMATED CLINICAL CHEMISTRY ANALYZER 1.	The Eversley Childs Sanitarium and General Hospital, through HFEP 2020 GAA, intends to apply the sum of Five Million </t>
  </si>
  <si>
    <t xml:space="preserve"> Description Republic of the Philippines PROVINCE OF ZAMBONAGA DEL NORTE Municipality of Leon B. Postigo INVITATION TO BID (2020-05-094) June 04, 2020   Municipality of Leon B. Postigo, Zamboanga del Norte invites qualified bidders to apply for prequalific</t>
  </si>
  <si>
    <t xml:space="preserve"> Description Republic of the Philippines PROVINCE OF ZAMBONAGA DEL NORTE Municipality of Leon B. Postigo INVITATION TO BID (2020-05-092)  May 06, 2020   Municipality of Leon B. Postigo, Zamboanga del Norte invites qualified bidders to apply for prequalific</t>
  </si>
  <si>
    <t xml:space="preserve"> Description Republic of the Philippines PROVINCE OF ZAMBONAGA DEL NORTE Municipality of Leon B. Postigo INVITATION TO BID (2020-04-051)  May 06, 2020   Municipality of Leon B. Postigo, Zamboanga del Norte invites qualified bidders to apply for prequalific</t>
  </si>
  <si>
    <t xml:space="preserve"> Description Republic of the Philippines PROVINCE OF ZAMBONAGA DEL NORTE Municipality of Leon B. Postigo INVITATION TO BID (2020-05-106)  May 06, 2020   Municipality of Leon B. Postigo, Zamboanga del Norte invites qualified bidders to apply for prequalific</t>
  </si>
  <si>
    <t xml:space="preserve"> Description Republic of the Philippines PROVINCE OF ZAMBONAGA DEL NORTE Municipality of Leon B. Postigo INVITATION TO BID (2020-05-096) June 04, 2020   Municipality of Leon B. Postigo, Zamboanga del Norte invites qualified bidders to apply for prequalific</t>
  </si>
  <si>
    <t xml:space="preserve"> Description Republic of the Philippines PROVINCE OF ZAMBONAGA DEL NORTE Municipality of Leon B. Postigo INVITATION TO BID (2020-05-131)  June 04, 2020   Municipality of Leon B. Postigo, Zamboanga del Norte invites qualified bidders to apply for prequalifi</t>
  </si>
  <si>
    <t xml:space="preserve"> Description Republic of the Philippines PROVINCE OF ZAMBONAGA DEL NORTE Municipality of Leon B. Postigo INVITATION TO BID (2020-05-114)  June 04, 2020   Municipality of Leon B. Postigo, Zamboanga del Norte invites qualified bidders to apply for prequalifi</t>
  </si>
  <si>
    <t xml:space="preserve"> Scope of Work 510.00 sq.m Lay-out &amp; Stacking 195.00 cu,m. Earthworks 48.00 cu.m Concrete and Masonry Works 2.00 unit BasketBall Stand and Ring</t>
  </si>
  <si>
    <t xml:space="preserve"> Procurement of BHS Package</t>
  </si>
  <si>
    <t xml:space="preserve"> STACK EMISSION TESTING SCOPE OF WORKS: 1. TESTING OF IN-STACK CONCENTRATIONS OF SULFUR DIOXIDE (SO2),NITROGEN DIOXIDE(NO2) AND CARBON MONOXIDE(CO)      OF 1 UNIT 270K W AND ONE (1) UNIT 250K W GEENRATOR SET FOR THREE (3) RUNS PER UNIT. 2. TESTING OF IN-ST</t>
  </si>
  <si>
    <t xml:space="preserve"> Description Republic of the Philippines PROVINCE OF ZAMBONAGA DEL NORTE Municipality of Leon B. Postigo INVITATION TO BID (2020-05-119)  June 04, 2020   Municipality of Leon B. Postigo, Zamboanga del Norte invites qualified bidders to apply for prequalifi</t>
  </si>
  <si>
    <t xml:space="preserve"> Procurement of ER Lights Ceiling Mounted</t>
  </si>
  <si>
    <t xml:space="preserve"> Procurement of Digital X-Ray with CR System</t>
  </si>
  <si>
    <t xml:space="preserve"> Procurement of Stethoscope, Adult</t>
  </si>
  <si>
    <t xml:space="preserve"> Description Republic of the Philippines PROVINCE OF ZAMBONAGA DEL NORTE Municipality of Leon B. Postigo INVITATION TO BID (2020-05-088)  June 04, 2020   Municipality of Leon B. Postigo, Zamboanga del Norte invites qualified bidders to apply for prequalifi</t>
  </si>
  <si>
    <t xml:space="preserve"> Procurement of Compressor Upgrade for Mechanical Ventilator</t>
  </si>
  <si>
    <t xml:space="preserve"> Description Republic of the Philippines PROVINCE OF ZAMBONAGA DEL NORTE Municipality of Leon B. Postigo INVITATION TO BID (2020-05-120)  June 04, 2020   Municipality of Leon B. Postigo, Zamboanga del Norte invites qualified bidders to apply for prequalifi</t>
  </si>
  <si>
    <t xml:space="preserve"> Description Republic of the Philippines PROVINCE OF ZAMBONAGA DEL NORTE Municipality of Leon B. Postigo INVITATION TO BID (2020-05-117)  June 04, 2020   Municipality of Leon B. Postigo, Zamboanga del Norte invites qualified bidders to apply for prequalifi</t>
  </si>
  <si>
    <t xml:space="preserve"> Procurement of Fetal Doppler</t>
  </si>
  <si>
    <t xml:space="preserve"> Description Republic of the Philippines PROVINCE OF ZAMBONAGA DEL NORTE Municipality of Leon B. Postigo INVITATION TO BID (2020-05-125)  June 04, 2020   Municipality of Leon B. Postigo, Zamboanga del Norte invites qualified bidders to apply for prequalifi</t>
  </si>
  <si>
    <t xml:space="preserve"> Description Republic of the Philippines PROVINCE OF ZAMBONAGA DEL NORTE Municipality of Leon B. Postigo INVITATION TO BID (2020-05-132)  June 04, 2020   Municipality of Leon B. Postigo, Zamboanga del Norte invites qualified bidders to apply for prequalifi</t>
  </si>
  <si>
    <t xml:space="preserve"> IA. Name of Project:   Riprapping of Sitio Sala River (Php1,500,000.00)       Location	     	:   Sitio Sala, Brgy. San Antonio, Kalayaan, Laguna       Brief Description	:   I.Temporary Facilities;                                     II. Site Preparation/E</t>
  </si>
  <si>
    <t xml:space="preserve"> Description Republic of the Philippines PROVINCE OF ZAMBONAGA DEL NORTE Municipality of Leon B. Postigo INVITATION TO BID (2020-05-123)  June 04, 2020   Municipality of Leon B. Postigo, Zamboanga del Norte invites qualified bidders to apply for prequalifi</t>
  </si>
  <si>
    <t xml:space="preserve"> Procurement of Hematology Analyzer (3 Differential Parts)</t>
  </si>
  <si>
    <t xml:space="preserve"> Description Republic of the Philippines PROVINCE OF ZAMBONAGA DEL NORTE Municipality of Leon B. Postigo INVITATION TO BID (2020-05-104)  June 04, 2020   Municipality of Leon B. Postigo, Zamboanga del Norte invites qualified bidders to apply for prequalifi</t>
  </si>
  <si>
    <t xml:space="preserve"> Procurement of Medical Equipment Lot 1</t>
  </si>
  <si>
    <t xml:space="preserve"> Description Republic of the Philippines PROVINCE OF ZAMBONAGA DEL NORTE Municipality of Leon B. Postigo INVITATION TO BID (2020-05-062  June 04, 2020   Municipality of Leon B. Postigo, Zamboanga del Norte invites qualified bidders to apply for prequalific</t>
  </si>
  <si>
    <t xml:space="preserve"> Description Republic of the Philippines PROVINCE OF ZAMBONAGA DEL NORTE Municipality of Leon B. Postigo INVITATION TO BID (2020-05-100)  June 04, 2020   Municipality of Leon B. Postigo, Zamboanga del Norte invites qualified bidders to apply for prequalifi</t>
  </si>
  <si>
    <t xml:space="preserve"> Description Republic of the Philippines PROVINCE OF ZAMBONAGA DEL NORTE Municipality of Leon B. Postigo INVITATION TO BID (2020-05-127)  June 04, 2020   Municipality of Leon B. Postigo, Zamboanga del Norte invites qualified bidders to apply for prequalifi</t>
  </si>
  <si>
    <t xml:space="preserve"> MOTORCYCLEXR150 3 units Spec:EngineTransmission5-Speed,StasterKick/electric,enginedisplacement(cc) 149,2 enginepower(kW/rpm)9,4/7.750,max torque(Nm/rpm)13/6.500,engine(cylinder)1 ignitionCDIbattery,system(volt)12,enginetypeOHRaircooled,strokecycle4 Compre</t>
  </si>
  <si>
    <t xml:space="preserve"> Description Republic of the Philippines PROVINCE OF ZAMBONAGA DEL NORTE Municipality of Leon B. Postigo INVITATION TO BID (2020-05-103)  June 04, 2020   Municipality of Leon B. Postigo, Zamboanga del Norte invites qualified bidders to apply for prequalifi</t>
  </si>
  <si>
    <t xml:space="preserve"> Program of Work 78.00 cu.m Excavation 50.16 cu.m Grouted Riprap 13.68 cu.m Concrete</t>
  </si>
  <si>
    <t xml:space="preserve"> Procurement of Medical Equipment Lot 2</t>
  </si>
  <si>
    <t xml:space="preserve"> Description Republic of the Philippines PROVINCE OF ZAMBONAGA DEL NORTE Municipality of Leon B. Postigo INVITATION TO BID (2020-05-084)  June 04, 2020   Municipality of Leon B. Postigo, Zamboanga del Norte invites qualified bidders to apply for prequalifi</t>
  </si>
  <si>
    <t xml:space="preserve"> I.Site Preparation/Removal and Disposal of PCCP; II. Aggregate Base Course (0.10m thk);  III.Portland Cement Concrete Pavement (0.15m thk)</t>
  </si>
  <si>
    <t xml:space="preserve"> Description Republic of the Philippines PROVINCE OF ZAMBONAGA DEL NORTE Municipality of Leon B. Postigo INVITATION TO BID (2020-05-091)  June 04, 2020   Municipality of Leon B. Postigo, Zamboanga del Norte invites qualified bidders to apply for prequalifi</t>
  </si>
  <si>
    <t xml:space="preserve"> Description Republic of the Philippines PROVINCE OF ZAMBONAGA DEL NORTE Municipality of Leon B. Postigo INVITATION TO BID (2020-05-130)  June 04, 2020   Municipality of Leon B. Postigo, Zamboanga del Norte invites qualified bidders to apply for prequalifi</t>
  </si>
  <si>
    <t xml:space="preserve"> Description Republic of the Philippines PROVINCE OF ZAMBONAGA DEL NORTE Municipality of Leon B. Postigo INVITATION TO BID (2020-05-102)  June 04, 2020   Municipality of Leon B. Postigo, Zamboanga del Norte invites qualified bidders to apply for prequalifi</t>
  </si>
  <si>
    <t xml:space="preserve"> Description Republic of the Philippines PROVINCE OF ZAMBONAGA DEL NORTE Municipality of Leon B. Postigo INVITATION TO BID (2020-05-128)  June 04, 2020   Municipality of Leon B. Postigo, Zamboanga del Norte invites qualified bidders to apply for prequalifi</t>
  </si>
  <si>
    <t xml:space="preserve"> Description Republic of the Philippines PROVINCE OF ZAMBONAGA DEL NORTE Municipality of Leon B. Postigo INVITATION TO BID (2020-05-109)  June 04, 2020   Municipality of Leon B. Postigo, Zamboanga del Norte invites qualified bidders to apply for prequalifi</t>
  </si>
  <si>
    <t xml:space="preserve"> Republic of the Philippines Province of Sarangani Municipality of Malapatan INVITATION TO BID  	 2020-B2-05-013 CONSTRUCTION OF MNHS SITE-B DRAINAGE SYSTEM AT MNHS SITE-B SCHOOL SITE, BRGY. POBLACION, MALAPATAN SARANGANI PROVINCE  1.	The Local Government </t>
  </si>
  <si>
    <t xml:space="preserve"> Description Republic of the Philippines PROVINCE OF ZAMBONAGA DEL NORTE Municipality of Leon B. Postigo INVITATION TO BID (2020-05-101)  June 04, 2020   Municipality of Leon B. Postigo, Zamboanga del Norte invites qualified bidders to apply for prequalifi</t>
  </si>
  <si>
    <t xml:space="preserve"> Purchase of IT &amp; Office Equipment (For Planning &amp; Design Section- five (5) sets Desktop Computer (For Designer), four (4) units Laptop Computer       two (2) units (For Administrative Use) &amp; two (2) units (For Designer), three (3)     units UPS, twelve In</t>
  </si>
  <si>
    <t xml:space="preserve"> Description Republic of the Philippines PROVINCE OF ZAMBONAGA DEL NORTE Municipality of Leon B. Postigo INVITATION TO BID (2020-05-112)  June 04, 2020   Municipality of Leon B. Postigo, Zamboanga del Norte invites qualified bidders to apply for prequalifi</t>
  </si>
  <si>
    <t xml:space="preserve"> Description Republic of the Philippines PROVINCE OF ZAMBONAGA DEL NORTE Municipality of Leon B. Postigo INVITATION TO BID (2020-05-124)  June 04, 2020   Municipality of Leon B. Postigo, Zamboanga del Norte invites qualified bidders to apply for prequalifi</t>
  </si>
  <si>
    <t xml:space="preserve"> Description Republic of the Philippines PROVINCE OF ZAMBONAGA DEL NORTE Municipality of Leon B. Postigo INVITATION TO BID (2020-05-121)  June 04, 2020   Municipality of Leon B. Postigo, Zamboanga del Norte invites qualified bidders to apply for prequalifi</t>
  </si>
  <si>
    <t xml:space="preserve"> Republic of the Philippines Province of Surigao del Sur Municipality of Tago Barangay Umbay ---ooo0ooo--- Invitation to Bid Purchase of Various Construction Materials Project ID No. UMB-TAG-SDS-01-2020 The Local Government Unit of Brgy. Umbay, Tago, Surig</t>
  </si>
  <si>
    <t xml:space="preserve"> Description Republic of the Philippines PROVINCE OF ZAMBONAGA DEL NORTE Municipality of Leon B. Postigo INVITATION TO BID (2020-05-087)  June 04, 2020   Municipality of Leon B. Postigo, Zamboanga del Norte invites qualified bidders to apply for prequalifi</t>
  </si>
  <si>
    <t xml:space="preserve"> Republic of the Philippines Province of Sarangani Municipality of Malapatan INVITATION TO BID  	 2020-B1-04-011        PROCUREMENT OF UREA AND TRIPLE 14 (14-14-14) FERTILIZERS, MALAPATAN SARANGANI PROVINCE   1.	The Local Government Unit of Malapatan, thro</t>
  </si>
  <si>
    <t xml:space="preserve"> Procurement of Medical Equipment Lot 3</t>
  </si>
  <si>
    <t xml:space="preserve"> Description Republic of the Philippines PROVINCE OF ZAMBONAGA DEL NORTE Municipality of Leon B. Postigo INVITATION TO BID (2020-05-089)  June 04, 2020   Municipality of Leon B. Postigo, Zamboanga del Norte invites qualified bidders to apply for prequalifi</t>
  </si>
  <si>
    <t xml:space="preserve"> Procurement of Physical Therapy Equipment Set</t>
  </si>
  <si>
    <t xml:space="preserve"> Procurement of Reagent Refrigerator for Pharmaceutical Use</t>
  </si>
  <si>
    <t xml:space="preserve"> Invitation to Bid for the supply &amp; delivery of Various Maintenance Materials for use of different Barangay of Batangas City</t>
  </si>
  <si>
    <t xml:space="preserve"> Procurement of Oxygen Concentrators (6lpm)</t>
  </si>
  <si>
    <t xml:space="preserve"> Republic of the Philippines Province of Sarangani Municipality of Malapatan INVITATION TO BID  	 2020-B1-03-007        PROCUREMENT OF ONE (1) UNIT FIRETRUCK FORWARD FTR SINGLE CAB FOR BUREAU OF FIRE PROTECTION, MALAPATAN, SARANGANI PROVINCE 1.	The Local G</t>
  </si>
  <si>
    <t xml:space="preserve"> Procurement of Newborn Screening Hearing Test</t>
  </si>
  <si>
    <t xml:space="preserve"> Republic of the Philippines DEPARTMENT OF PUBLIC WORKS AND HIGHWAYS SARANGANI  DISTRICT ENGINEERING OFFICE REGIONAL OFFICE XII Alabel, Sarangani Province INVITATION TO BID  for The DPWH-Sarangani District Engineering Office, Alabel Sarangani Province, thr</t>
  </si>
  <si>
    <t xml:space="preserve"> Description Republic of the Philippines PROVINCE OF ZAMBONAGA DEL NORTE Municipality of Leon B. Postigo INVITATION TO BID (2020-05-086)  June 04, 2020   Municipality of Leon B. Postigo, Zamboanga del Norte invites qualified bidders to apply for prequalifi</t>
  </si>
  <si>
    <t xml:space="preserve"> Procurement of Microscope Binocular</t>
  </si>
  <si>
    <t xml:space="preserve"> Invitation to Bid  For the Rehabilitation/Construction of Roads at Brgy. San Juan, Molo, Iloilo City 1.	The City of Iloilo, through the 20% Development Fund, CY2019 intends to apply the sum of One Million Pesos (Php 1,000,000.00) being the Approved Budget</t>
  </si>
  <si>
    <t xml:space="preserve"> Republic of the Philippines Province of Sarangani Municipality of Malapatan INVITATION TO BID  	 2020-B1-05-012        PROCUREMENT OF MULTI-PURPOSE VEHICLE OF MUNICIPAL MAYOR’S OFFICE, MALAPATAN SARANGANI PROVINCE   1.	The Local Government Unit of Malapat</t>
  </si>
  <si>
    <t xml:space="preserve"> Description Republic of the Philippines PROVINCE OF ZAMBONAGA DEL NORTE Municipality of Leon B. Postigo INVITATION TO BID (2020-05-108)  June 04, 2020   Municipality of Leon B. Postigo, Zamboanga del Norte invites qualified bidders to apply for prequalifi</t>
  </si>
  <si>
    <t xml:space="preserve"> Description Republic of the Philippines PROVINCE OF ZAMBONAGA DEL NORTE Municipality of Leon B. Postigo INVITATION TO BID (2020-05-111)  June 04, 2020   Municipality of Leon B. Postigo, Zamboanga del Norte invites qualified bidders to apply for prequalifi</t>
  </si>
  <si>
    <t xml:space="preserve"> Description Republic of the Philippines PROVINCE OF ZAMBONAGA DEL NORTE Municipality of Leon B. Postigo INVITATION TO BID (2020-05-110)  June 04, 2020   Municipality of Leon B. Postigo, Zamboanga del Norte invites qualified bidders to apply for prequalifi</t>
  </si>
  <si>
    <t xml:space="preserve"> Procurement of Medical Equipment Lot 4</t>
  </si>
  <si>
    <t xml:space="preserve"> PB NO. 2020-030		 			 1.	1	lot	Proposed Asphalt overlay at Brgy. San Juan, San Pablo City. 			By: Contract 			 	Deadline for Submission of Bids: June 25, 2020 1:00 pm</t>
  </si>
  <si>
    <t xml:space="preserve"> 56		sets		LED SOLAR STREET LIGHT, 120W with Automatic Switch  						(Supply and Installation) 					 					Specification: 	 					Solar Panel: 150W (monocrystalline) 					 					Luminous Flux: 12,000 lumens 					Battery: Lithium Battery 					Visual Angle: 120</t>
  </si>
  <si>
    <t xml:space="preserve"> PB NO. 2020-029		 			 1.	1	lot	Proposed Installation of Streetlights (30 units Solar) at Brgy. San Cristobal, San Pablo City. 			By: Contract 			 	Deadline for Submission of Bids: June 25, 2020 10:00 am</t>
  </si>
  <si>
    <t xml:space="preserve"> 1	Fittings Pullbox with Bus Bar: 20x40x80 cm with cable terminal 3-250 mm2, 3-50mm2 and 3-14 mm2 Thhn Cu. Wire 2	Cable Cutter Heavy Duty 3	CHB 4" 4	Common Wire Nails (#3) 5	Concrete Nail #1 6	Cutting Disc Masonry 7	CW Nail 2" 8	Electrical liquidated Metal</t>
  </si>
  <si>
    <t xml:space="preserve"> please download bidding documents</t>
  </si>
  <si>
    <t xml:space="preserve"> Description Republic of the Philippines PROVINCE OF ZAMBONAGA DEL NORTE Municipality of Leon B. Postigo INVITATION TO BID (2020-05-122)  June 04, 2020   Municipality of Leon B. Postigo, Zamboanga del Norte invites qualified bidders to apply for prequalifi</t>
  </si>
  <si>
    <t xml:space="preserve"> Republic of the Philippines City of Cagayan de Oro BIDS AND AWARDS COMMITTEE  INVITATION TO BID  FOR  Supply and Delivery of One (1) Unit Basic Life Support (BLS) Ambulance Vehicle; PR No. 20-1182 dated 24 January 2020; SN 124 - 2020 1.	The City Governmen</t>
  </si>
  <si>
    <t xml:space="preserve"> Invitation to Bid  For the Construction/Rehabilitation of Existing Drainage System at Brgy. San Vicente, Jaro, Iloilo City 1.	The City of Iloilo, through the 20% Development Fund, CY2019 intends to apply the sum of Three Million Pesos (Php 3,000,000.00) b</t>
  </si>
  <si>
    <t xml:space="preserve"> INVITATION TO BID FOR THE SUPPLY AND DELIVERY OF MEDICAL DEVICES AND SUPPLIES   1.	The City of Iloilo, through the Trust Fund intends to apply the sum of One Million Eight Hundred Fifty-Nine Thousand Two Hundred Sixty-Five Pesos (P1,859,265.00) being the </t>
  </si>
  <si>
    <t xml:space="preserve"> Republic of the Philippines City of Cagayan de Oro BIDS AND AWARDS COMMITTEE  	 INVITATION TO BID  FOR  Supply and Delivery of Circuit Breakers and Other Items; PR No. 20-1244 dated 04 May 2020; SN 121 - 2020 1.	The City Government of Cagayan de Oro, thro</t>
  </si>
  <si>
    <t xml:space="preserve"> Republic of the Philippines City of Cagayan de Oro BIDS AND AWARDS COMMITTEE Invitation to Bid  for Construction and Operation of Sanitary Landfill (Pagalungan); SN 125 - 2020 ` 1.	The City Government of Cagayan de Oro, through the Current Appropriation, </t>
  </si>
  <si>
    <t xml:space="preserve"> ILOCOS NORTE IST DISTRICT ENGINEERING OFFICE Airport Ave. Brgy. Cavit, Laoag City, Ilocos Norte INVITATION TO BID The DPWH-Ilocos Norte 1st District Engineering Office, through its Bids and Awards Committee (BAC), invites contractors to submit bids for th</t>
  </si>
  <si>
    <t xml:space="preserve"> Invitation to Bid  For the Construction of Two (2) Storey Two (2) Classroom Building at Jaro I Elementary School, Jaro, Iloilo City 1.	The City of Iloilo, through the SEF CY2019 intends to apply the sum of Five Million Pesos (Php 5,000,000.00) being the A</t>
  </si>
  <si>
    <t xml:space="preserve"> Republic of the Philippines City of Cagayan de Oro BIDS AND AWARDS COMMITTEE  INVITATION TO BID  FOR  Supply and Delivery of Various Medical, Dental and Laboratory Supplies (Lot No. 1 and Lot No. 9); PR No. 20-0946 dated 30 March 2020; SN 96a - 2020 1.	Th</t>
  </si>
  <si>
    <t xml:space="preserve"> Invitation to Bid  For the Rehabilitation/Construction of Roads at Brgy. Calaparan, Arevalo, Iloilo City 1.	The City of Iloilo, through the 20% Development Fund, CY2019 intends to apply the sum of Two Million Pesos (Php 2,000,000.00) being the Approved Bu</t>
  </si>
  <si>
    <t xml:space="preserve"> Description Republic of the Philippines PROVINCE OF ZAMBONAGA DEL NORTE Municipality of Leon B. Postigo INVITATION TO BID (2020-05-085)  June 04, 2020   Municipality of Leon B. Postigo, Zamboanga del Norte invites qualified bidders to apply for prequalifi</t>
  </si>
  <si>
    <t xml:space="preserve"> Description Republic of the Philippines PROVINCE OF ZAMBONAGA DEL NORTE Municipality of Leon B. Postigo INVITATION TO BID (2020-05-107)  June 04, 2020   Municipality of Leon B. Postigo, Zamboanga del Norte invites qualified bidders to apply for prequalifi</t>
  </si>
  <si>
    <t xml:space="preserve"> Description Republic of the Philippines PROVINCE OF ZAMBONAGA DEL NORTE Municipality of Leon B. Postigo INVITATION TO BID (2020-05-126)  June 04, 2020   Municipality of Leon B. Postigo, Zamboanga del Norte invites qualified bidders to apply for prequalifi</t>
  </si>
  <si>
    <t xml:space="preserve"> Invitation to Bid  For the Construction of Learning Resource Center for Classes at Jaro II Elementary School, Jaro, Iloilo City 1.	The City of Iloilo, through the SEF, CY2019 intends to apply the sum of Five Million Pesos (Php 5,000,000.00) being the Appr</t>
  </si>
  <si>
    <t xml:space="preserve"> Description Republic of the Philippines PROVINCE OF ZAMBONAGA DEL NORTE Municipality of Leon B. Postigo INVITATION TO BID (2020-05-129)  June 04, 2020   Municipality of Leon B. Postigo, Zamboanga del Norte invites qualified bidders to apply for prequalifi</t>
  </si>
  <si>
    <t xml:space="preserve"> Invitation to Bid  For the Construction/Rehabilitation of Existing Drainage System at Brgy. Tacas, Jaro, Iloilo City 1.	The City of Iloilo, through the 20% Development Fund, CY2019 intends to apply the sum of One Million Five Hundred Thousand Pesos (Php 1</t>
  </si>
  <si>
    <t xml:space="preserve"> Invitation to Bid  For the Rehabilitation/Construction of Roads at Brgy. Dulonan, Arevalo, Iloilo City 1.	The City of Iloilo, through the 20% Development Fund, CY2019 intends to apply the sum of Two Million Pesos (Php 2,000,000.00) being the Approved Budg</t>
  </si>
  <si>
    <t xml:space="preserve"> Invitation to Bid  For the Completion of Classroom at Esteban Juntado Sr. Memorial Elementary School, Calumpang, Molo, Iloilo City 1.	The City of Iloilo, through the Capital Outlay SEF, CY2018 intends to apply the sum of Two Million Pesos (Php 2,000,000.0</t>
  </si>
  <si>
    <t xml:space="preserve"> Republic of the Philippines Province of Sarangani Municipality of Malapatan INVITATION TO BID  	 2020-B1-04 PROCUREMENT OF MATERIALS FOR PROPOSED EXPANSION OF WATER SYSTEM AT SITIO ASPANG- MALYANG, BRGY. POBLACION, MALAPATAN, SARANGANI PROVINCE 1.	The Loc</t>
  </si>
  <si>
    <t xml:space="preserve"> Republic of the Philippines City of Cagayan de Oro BIDS AND AWARDS COMMITTEE  INVITATION TO BID  FOR  Supply and Delivery of Various Medical, Dental and Laboratory Supplies (Lot No. 1 to Lot No. 5); PR No. 20-1165 dated 06 April 2020; SN 122-2020 1.	The C</t>
  </si>
  <si>
    <t xml:space="preserve"> Description Republic of the Philippines PROVINCE OF ZAMBONAGA DEL NORTE Municipality of Leon B. Postigo INVITATION TO BID (2020-05-090)  June 04, 2020   Municipality of Leon B. Postigo, Zamboanga del Norte invites qualified bidders to apply for prequalifi</t>
  </si>
  <si>
    <t xml:space="preserve"> PROCUREMENT OF LABOR AND MATERIALS FOR INSTALLATION AND REHABILITATION OF TRANSMISSION AND DISTRIBUTION LINES IN VARIOUS LOCATIONS (4 LOTS) ***Kindly see attached Bidding Documents and Bill of Quantities for the Technical Specifications and Conditions of </t>
  </si>
  <si>
    <t xml:space="preserve"> a. CONTRACT ID: RIZAL-23JUNE2020-6 b. NAME OF PROJECT: Construction/Provision of Wash Facilities (Water, Sanitation &amp; Hygiene) at Lunsad Elem.School, Brgy. Lunsad, Binangonan, Rizal c. LOCATION: Brgy. Lunsad, Binangonan, Rizal d. BRIEF DESCRIPTION: Wash F</t>
  </si>
  <si>
    <t xml:space="preserve"> Contract ID:      20HL0109 Contract Name: Repair/Maintenance of DPWH Building, Office Building Contract Location:  Malabuhan,  Siaton, Negros Oriental Scope of Works:  Repair/Maintenance of DPWH Building Source of Fund and year:  FY 2020 GAA, RA 11465 App</t>
  </si>
  <si>
    <t xml:space="preserve"> a. CONTRACT ID: RIZAL-23JUNE2020-3 b. NAME OF PROJECT: Improvement/Repair of Ynares Multi-Purpose Covered Court, Brgy. Tabon, Binangonan, Rizal c. LOCATION: Brgy. Tabon, Binangonan, Rizal d. BRIEF DESCRIPTION: Improvement of Ynares Multi-Purpose Covered C</t>
  </si>
  <si>
    <t xml:space="preserve"> a. CONTRACT ID: RIZAL-23JUNE2020-7 b. NAME OF PROJECT: Construction of 2-storey, 6-rooms Ynares School Building at Ithan Elem. School, Brgy. Ithan, Binangonan, Rizal c. LOCATION: Brgy. Ithan, Binangonan, Rizal d. BRIEF DESCRIPTION: Construction of Ynares </t>
  </si>
  <si>
    <t xml:space="preserve"> a. CONTRACT ID: RIZAL-23JUNE2020-1 b. NAME OF PROJECT: Asphalt Overlaying of Roads at Angono &amp; Cardona, Rizal a)  Asphalt Overlaying of E. Dela Paz Street, Brgy. San Pedro, Angono b)  Asphalt Overlaying of Ampucao Road (portion), Brgy. Iglesia, Cardona c.</t>
  </si>
  <si>
    <t xml:space="preserve"> a. CONTRACT ID: RIZAL-23JUNE2020-5 b. NAME OF PROJECT: Improvement/Repair of Ynares Multi-Purpose Covered Court at Mahabang Parang National High School, San Juan Heights, Brgy. Mahabang Parang, Binangonan, Rizal c. LOCATION: Brgy. Mahabang Parang, Binango</t>
  </si>
  <si>
    <t xml:space="preserve"> a. CONTRACT ID: RIZAL-23JUNE2020-4 b. NAME OF PROJECT: Repair/Improvement of Stage &amp; Construction of School Signage at Brgy. Janosa, Binangonan, Rizal a)  Repair/Improvement of Stage at Brgy. Janosa b)  Construction of School Signage at Janosa Elementary </t>
  </si>
  <si>
    <t xml:space="preserve"> Description Republic of the Philippines PROVINCE OF ZAMBONAGA DEL NORTE Municipality of Leon B. Postigo INVITATION TO BID (2020-05-118)  June 04, 2020   Municipality of Leon B. Postigo, Zamboanga del Norte invites qualified bidders to apply for prequalifi</t>
  </si>
  <si>
    <t xml:space="preserve"> a. CONTRACT ID: RIZAL-23JUNE2020-2 b. NAME OF PROJECT: Repair/Repainting/Improvement of Ynares Multi-Purpose Covered Court / Stage / Multi-Purpose Buildings &amp; Movable Bleacher at Angono &amp; Binangonan, Rizal              a)  Repair/Repainting/Improvement of</t>
  </si>
  <si>
    <t xml:space="preserve"> Republic of the Philippines Province of Palawan Municipality of Busuanga INVITATION TO BID FOR SUPPLY &amp; DELIVERY OF EQUIPMENT'S 1.	The Municipal Government of Busuanga, through the General Fund &amp; Capital Outlay intends to apply the sum of Seven Hundred Fo</t>
  </si>
  <si>
    <t xml:space="preserve"> Republic of the Philippines Province of Sarangani Municipality of Malapatan INVITATION TO BID  	 2020-B1-03-009 PROCUREMENT OF RESCUE/ EXTRICATION EQUIPMENT OF MDRRMO, MALAPATAN, SARANGANI PROVINCE 1.	The Local Government Unit of Malapatan, through the MD</t>
  </si>
  <si>
    <t xml:space="preserve"> a. CONTRACT ID: RIZAL-23JUNE2020-8 b. NAME OF PROJECT: Construction/Provision of Wash Facilities (Water, Sanitation &amp; Hygiene) at Libid Elem.School, Brgy. Libid, Binangonan, Rizal c. LOCATION: Brgy. Libid, Binangonan, Rizal d. BRIEF DESCRIPTION: Wash Faci</t>
  </si>
  <si>
    <t xml:space="preserve"> a. CONTRACT ID: RIZAL-23JUNE2020-9 b. NAME OF PROJECT: Construction of 2-storey, 6-rooms Ynares School Building at Kalinawan Elem. School, Brgy. Kalinawan, Binangonan, Rizal c. LOCATION: Brgy. Kalinawan, Binangonan, Rizal d. BRIEF DESCRIPTION: Constructio</t>
  </si>
  <si>
    <t xml:space="preserve"> a. CONTRACT ID: RIZAL-23JUNE2020-13 b. NAME OF PROJECT: Repair/Repainting of Ynares School Buildings &amp; Improvement of Ynares Multi-Purpose Covered Court at Evangelista Elem. School, Brgy. Evangelista, Baras, Rizal c. LOCATION: Brgy. Evangelista, Baras, Ri</t>
  </si>
  <si>
    <t xml:space="preserve"> a. CONTRACT ID: RIZAL-23JUNE2020-14 b. NAME OF PROJECT: Repair of Roofing / Ceiling of Brgy.Hall Main and Repair of Flooring of Ynares Multi-Purpose Covered Court at Sitio Cinco, Brgy. Pinugay, Baras, Rizal c. LOCATION: Brgy. Pinugay, Baras, Rizal d. BRIE</t>
  </si>
  <si>
    <t xml:space="preserve"> a. CONTRACT ID: RIZAL-23JUNE2020-12 b. NAME OF PROJECT: Asphalt Overlaying of C. Cruz St., Brgy. Sto. Niňo, Cainta, Rizal c. LOCATION: Brgy. Sto. Niňo, Cainta, Rizal d. BRIEF DESCRIPTION: Road improvement. e. MAJOR ITEM OF WORK: Bituminous Concrete Surfac</t>
  </si>
  <si>
    <t xml:space="preserve"> a. CONTRACT ID: RIZAL-23JUNE2020-10 b. NAME OF PROJECT: Concreting of Road at Saint Pancratius Street, Park Place Village, Brgy. San Isidro, Cainta, Rizal c. LOCATION: Brgy. San Isidro, Cainta, Rizal  d. BRIEF DESCRIPTION:  Road improvement. e. MAJOR ITEM</t>
  </si>
  <si>
    <t xml:space="preserve"> a. CONTRACT ID: RIZAL-23JUNE2020-18 b. NAME OF PROJECT: Asphalt Overlaying/Concrete Reblocking (portion) of Segundo Pillas St., Brgy. Punta, Jalajala, Rizal c. LOCATION: Brgy. Punta, Jalajala, Rizal d. BRIEF DESCRIPTION: Road improvement. e. MAJOR ITEM OF</t>
  </si>
  <si>
    <t xml:space="preserve"> a. CONTRACT ID: RIZAL-23JUNE2020-26 b. NAME OF PROJECT: Construction/Provision of Wash Facilities (Water, Sanitation &amp; Hygiene) at Eastwood Residences, Brgy. San Isidro, Rodriguez, Rizal a)  Construction/Provision of Wash Facilities (Water, Sanitation &amp; H</t>
  </si>
  <si>
    <t xml:space="preserve"> a. CONTRACT ID: RIZAL-23JUNE2020-17 b. NAME OF PROJECT: Construction of 2-storey, 4-rooms Ynares School Building at Mariano C. San Juan Elem. School, Brgy. San Roque, Cardona, Rizal c. LOCATION: Brgy. San Roque, Cardona, Rizal d. BRIEF DESCRIPTION: Constr</t>
  </si>
  <si>
    <t xml:space="preserve"> a. CONTRACT ID: RIZAL-23JUNE2020-25 b. NAME OF PROJECT: Improvement of School Fence/Construction of School Arc &amp; Repair of Gate &amp; Artesian Well at Brgy. Bagumbayan &amp; Brgy. Hulo, Pililla, Rizal a)  Improvement of School Fence at Matagbak Elem. School, Brgy</t>
  </si>
  <si>
    <t xml:space="preserve"> a. CONTRACT ID: RIZAL-23JUNE2020-27 b. NAME OF PROJECT: Construction of Ynares Stage &amp; Improvement of Ynares Multi-Prpose Covered Court at Southville 8C Phase 1K, Kasiglahan Village, Brgy. San Jose, Rodriguez, Rizal c. LOCATION: Brgy. San Jose, Rodriguez,</t>
  </si>
  <si>
    <t xml:space="preserve"> a. CONTRACT ID: RIZAL-23JUNE2020-19 b. NAME OF PROJECT: Improvement / Rehabiltation of E. Pillas Street (portion), Brgy. Punta, Jalajala, Rizal c. LOCATION: Brgy. Punta, Jalajala, Rizal d. BRIEF DESCRIPTION: Road improvement. e. MAJOR ITEM OF WORK: PCC Pa</t>
  </si>
  <si>
    <t xml:space="preserve"> a. CONTRACT ID: RIZAL-23JUNE2020-23 b. NAME OF PROJECT: Aspahlt Overlaying of San Antonio Road, Brgy. Quisao, Pililla, Rizal c. LOCATION: Brgy. Quisao, Pililla, Rizal d. BRIEF DESCRIPTION: Road improvement. e. MAJOR ITEM OF WORK: Bituminous Concrete Surfa</t>
  </si>
  <si>
    <t xml:space="preserve"> a. CONTRACT ID: RIZAL-23JUNE2020-22 b. NAME OF PROJECT: Asphalt Overlaying and Concrete Reblocking (portion) of A. Luna St., Brgy. Quisao, Pililla, Rizal c. LOCATION: Brgy. Quisao, Pililla, Rizal d. BRIEF DESCRIPTION: Road improvement. e. MAJOR ITEM OF WO</t>
  </si>
  <si>
    <t xml:space="preserve"> a. CONTRACT ID: RIZAL-23JUNE2020-16 b. NAME OF PROJECT: Repair/Improvement of Ynares Multi-Purpose Building &amp; Installation of Electrical Lighting System of Ynares Multi-Purpose Covered Court at Brgy. Balibago &amp; Brgy. Looc, Cardona, Rizal a)  Repair/Improv</t>
  </si>
  <si>
    <t xml:space="preserve"> a. CONTRACT ID: RIZAL-23JUNE2020-24 b. NAME OF PROJECT: Repair/Repainting 2-Units 1-Storey Multi-Purpose Building (Health Center / Day Care Center), Brgy. Imatong, Pililla, Rizal c. LOCATION: Brgy. Imatong, Pililla, Rizal d. BRIEF DESCRIPTION: Improvement</t>
  </si>
  <si>
    <t xml:space="preserve"> a. CONTRACT ID: RIZAL-23JUNE2020-20 b. NAME OF PROJECT: Rehabilitation of Feeder Road at Sitio Calasiao, Brgy. Bagumbayan, Pililla, Rizal c. LOCATION: Brgy. Bagumbayan, Pililla, Rizal d. BRIEF DESCRIPTION: Road improvement. e. MAJOR ITEM OF WORK: Bitumino</t>
  </si>
  <si>
    <t xml:space="preserve"> a. CONTRACT ID: RIZAL-23JUNE2020-15 b. NAME OF PROJECT: Construction of Drainage Canal at I.D. Julian Street, Brgy. Iglesia, Cardona, Rizal c. LOCATION: Brgy. Iglesia, Cardona, Rizal d. BRIEF DESCRIPTION: Construction of Drainage Canal. e. MAJOR ITEM OF W</t>
  </si>
  <si>
    <t xml:space="preserve"> a. CONTRACT ID: RIZAL-23JUNE2020-30 b. NAME OF PROJECT: Construction/Provision of Wash Facilities (Water, Sanitation &amp; Hygiene) at Bagumbayan Elem.School, Brgy. Bagumbayan, Teresa, Rizal c. LOCATION: d. BRIEF DESCRIPTION: Wash Facilities e. MAJOR ITEM OF </t>
  </si>
  <si>
    <t xml:space="preserve"> a. CONTRACT ID: RIZAL-23JUNE2020-28 b. NAME OF PROJECT: Construction of 2-storey, 8-rooms Ynares School Building at Patiis Elem. School, Brgy. Malanday, San Mateo, Rizal c. LOCATION: Brgy. Malanday, San Mateo, Rizal d. BRIEF DESCRIPTION: Construction of Y</t>
  </si>
  <si>
    <t xml:space="preserve"> a. CONTRACT ID: RIZAL-23JUNE2020-29 b. NAME OF PROJECT: Construction of 4-storey, 8-rooms Ynares School Building at Wawa Elem. School, Brgy. Wawa, Tanay, Rizal c. LOCATION: Brgy. Wawa, Tanay, Rizal d. BRIEF DESCRIPTION: Construction of Ynares School Build</t>
  </si>
  <si>
    <t xml:space="preserve"> a. CONTRACT ID: RIZAL-23JUNE2020-21 b. NAME OF PROJECT: Concreting (portion) of Rambo Feeder Road, Brgy. Halayhayin, Pililla, Rizal c. LOCATION: Brgy. Halayhayin, Pililla, Rizal d. BRIEF DESCRIPTION: Road improvement. e. MAJOR ITEM OF WORK: PCC Pavement (</t>
  </si>
  <si>
    <t xml:space="preserve"> 1.	The Department of Public Works and Highways Regional Office XI, Davao City, through its Bids and Awards Committee (BAC), invites bidders to submit bids for the Infra projects funded under GAA FY 2020, to wit: Contract ID 	:	20L00028 Contract Name/Locat</t>
  </si>
  <si>
    <t xml:space="preserve"> a. CONTRACT ID: RIZAL-23JUNE2020-31 b. NAME OF PROJECT: Asphalt Overlaying of L. Cerrero St., Brgy. Macamot, Binangonan, Rizal		 c. LOCATION: Brgy. Macamot, Binangonan, Rizal d. BRIEF DESCRIPTION: Road improvement. e. MAJOR ITEM OF WORK: Bituminous Concre</t>
  </si>
  <si>
    <t xml:space="preserve"> Republic of the Philippines DEPARTMENT OF PUBLIC WORKS AND HIGHWAYS  MINDORO OCCIDENTAL DISTRICT ENGINEERING OFFICE Regional Office IV-B Mamburao, Occidental Mindoro NOTICE OF ELIGIBILITY May 27, 2020 MS. ROWENA SARREAL SANTOS TERMS CONCRETE TESTING # 19 </t>
  </si>
  <si>
    <t xml:space="preserve"> 1.	The Department of Public Works and Highways Regional Office XI, Davao City, through its Bids and Awards Committee (BAC), invites bidders to submit bids for the Infra projects funded under GAA FY 2020, to wit: Contract ID 	:	20L00152 Contract Name/Locat</t>
  </si>
  <si>
    <t xml:space="preserve"> 1.	The Department of Public Works and Highways Regional Office XI, Davao City, through its Bids and Awards Committee (BAC), invites bidders to submit bids for the Infra projects funded under GAA FY 2020, to wit: Contract ID 	:	20L00151 Contract Name/Locat</t>
  </si>
  <si>
    <t xml:space="preserve"> Republic of the Philippines Province of South Cotabato BIDS AND AWARDS COMMITTEE City of Koronadal  INF-ITB 20-024 INVITATION TO BID  1.	The Provincial Government of South Cotabato, through the PEO-8751 20% LDF (8.1.4) intends to apply the sum of         </t>
  </si>
  <si>
    <t xml:space="preserve"> Republic of the Philippines Department of Public Works and Highways Cotabato 1st District Engineering Office Region XII Villarica, Midsayap, Cotabato INVITATION TO BID The DPWH-Cotabato 1st District Engineering Office through its Bids and Awards Committee</t>
  </si>
  <si>
    <t xml:space="preserve"> 1.	The Department of Public Works and Highways Regional Office XI, Davao City, through its Bids and Awards Committee (BAC), invites bidders to submit bids for the Infra projects funded under GAA FY 2020, to wit: Contract ID 	:	20L00150 Contract Name/Locat</t>
  </si>
  <si>
    <t xml:space="preserve"> HYDRAULIC OIL	 	 	 HYDRAULIC OIL HYPLUS	 HYDRAULIC OIL, TURBINE OIL T68	 	 HIGH QUALITY ANTI WEAR HYDRAULIC OIL FORTIFIES WITH AN EFFECTIVE ADDITIVE PACKAGE FOR HYDRAULIC SYSTEMS OPERATING UNDER A WIDE RANGE OF TEMPERATURE	 OPERATIONS. COMPATBLE WITH THE </t>
  </si>
  <si>
    <t xml:space="preserve"> Procurement ID/Contract I.D.: 20CN0142 Contract Name: Construction/Rehabilitation of Water Supply/Septage and Sewerage/Rain Water Collector Systems Brief Description: Civil, Mechanical, Electrical and Sanitary/Plumbing Works; Earthworks, Plain and Reinfor</t>
  </si>
  <si>
    <t xml:space="preserve"> 1		un		Brand New Vehicle, Van type 15 pax capacity, Diesel Engine, 					4v cylinder with no less than 2,950cc displacement, Maximum 					output at least 135PS at 3,400 RPM, Common Rail, Turbo 					charge Intercooler, with tank capacity of no less than 70 </t>
  </si>
  <si>
    <t xml:space="preserve"> Republic of the Philippines Province of Pangasinan Municipality of Infanta Barangay Bayambang BIDS AND AWARDS COMMITTEE INVITATION TO BID FOR: PURCHASE OF ONE (1) UNIT MOTOR VEHICLE, BRGY. BAYAMBANG, INFANTA, PANGASINAN 1.	The Bayambang Barangay Council, </t>
  </si>
  <si>
    <t xml:space="preserve"> Republic of the Philippines Province of South Cotabato BIDS AND AWARDS COMMITTEE City of Koronadal  INF-ITB 20-027 INVITATION TO BID  1.	The Provincial Government of South Cotabato, through the PEO-8751 P/P-CMGP-5-02-13-030  intends to apply the sum of ₱ </t>
  </si>
  <si>
    <t xml:space="preserve"> Republic of the Philippines Province of South Cotabato BIDS AND AWARDS COMMITTEE City of Koronadal  INF-ITB 20-025 INVITATION TO BID  1.	The Provincial Government of South Cotabato, through the PEO-8751 20% LDF (8.3.1) intends to apply the sum of         </t>
  </si>
  <si>
    <t xml:space="preserve"> LABOR AND MATERIALS FOR THE EVACUATION CENTER AND DISASTER RISK REDUCTION-RELATED EQUIPMENT AT POBLACION,BADIAN,CEBU FOR DETAILS PLS. CONTACT: MA.LUISA L. QUILESTINO BAC SECRETARIAT TEL.NO.(032) 475-9118</t>
  </si>
  <si>
    <t xml:space="preserve"> a. CONTRACT ID: RIZAL-23JUNE2020-11 b. NAME OF PROJECT: Asphalt Overlaying/Concrete Reblocking (portion) of A. Mabini St., Brgy. Sto. Niňo, Cainta, Rizal c. LOCATION: Brgy. Sto. Niňo, Cainta, Rizal d. BRIEF DESCRIPTION: Road improvement. e. MAJOR ITEM OF </t>
  </si>
  <si>
    <t xml:space="preserve"> 1.	The Department of Education – Division of Southern Leyte, through the General Appropriations Act (GAA) CY 2020 intends to apply the sum of One Million Seven Hundred Twenty-seven Thousand Five Hundred Twenty-two Pesos and Fifty-four Centavos Only (Php 1</t>
  </si>
  <si>
    <t xml:space="preserve"> Republic of the Philippines Department of Public Works and Highways Cotabato 1st District Engineering Office Region XII Villarica, Midsayap, Cotabato INVITATION TO BID The DPWH-Cotabato 1ST District Engineering Office through its Bids and Awards Committee</t>
  </si>
  <si>
    <t xml:space="preserve"> 1.	The Department of Public Works and Highways Regional Office XI, Davao City, through its Bids and Awards Committee (BAC), invites bidders to submit bids for the Infra projects funded under GAA FY 2020, to wit: Contract ID 	:	20L00154 Contract Name/Locat</t>
  </si>
  <si>
    <t xml:space="preserve"> Republic of the Philippines Province of South Cotabato BIDS AND AWARDS COMMITTEE City of Koronadal  INF-ITB 20-026 INVITATION TO BID  1.	The Provincial Government of South Cotabato, through the PEMO-8731 CA-2020-70-GF intends to apply the sum of          </t>
  </si>
  <si>
    <t xml:space="preserve"> Republic of the Philippines PROVINCE OF PAMPANGA City of San Fernando INVITATION TO BID NO. 2020-16 IG-BAC INVITATION TO BID FOR PURCHASE REQUEST NO. 20-1204, 20-0842, 20-0910, 20-0906, 20-0905 and 20-0904 The Provincial Government of Pampanga (“Province”</t>
  </si>
  <si>
    <t xml:space="preserve"> Supply and delivery of various laboratory and radiology supplies and materials</t>
  </si>
  <si>
    <t xml:space="preserve"> Laptop  Desktop Printer External Hard drives</t>
  </si>
  <si>
    <t xml:space="preserve"> Republic of the Philippines Province of Agusan del Norte Municipality of Magallanes BIDS AND AWARDS COMMITTEE INVITATION TO BID The Barangay Guiasan, Municipality of Magallanes through its Bids and Awards Committee (BAC), invites potential and interested </t>
  </si>
  <si>
    <t xml:space="preserve"> Supply and delivery of various drugs and medicines and, laboratory and dental supplies and materials for Rural Health Units of Capas, Tarlac</t>
  </si>
  <si>
    <t xml:space="preserve"> Furniture's and Fixtures   to be used  in different offices in LGU Bansud</t>
  </si>
  <si>
    <t xml:space="preserve"> VILLAPAGASA, BANSUD NATIONAL HIGH SCHOOL</t>
  </si>
  <si>
    <t xml:space="preserve"> Supply and Delivery of Airconditioning Unit</t>
  </si>
  <si>
    <t xml:space="preserve"> PROCUREMENT OF GROCERY ITEMS, VIAND AND VEGETABLES, MNAO OF LGU-MAPANAS, NORTHERN SAMAR</t>
  </si>
  <si>
    <t xml:space="preserve"> Supply and delivery of various laboratory and radiology supplies and materials for Ospital Ning Capas</t>
  </si>
  <si>
    <t xml:space="preserve"> 1.	  12	-box	- 2.0mm2 THHN/TWHN-2 copper lead free Wire (150m/box, black color)	  - 3,500.00 2.	 4	-box	- 2.0mm2THHN/TWHN-2 copper Lead free Wire (150m/box, blue/white color)- 3,500.00 3.	 4	-box	- 2.0mm2THHN/TWHN-2 copper lead free Wire (150m/box,green/y</t>
  </si>
  <si>
    <t xml:space="preserve"> I. GENERAL REQUIREMENTS II SITE PREPARATION/EXCAVATION WORKS III. FOUNDATION EXCAVATION  IV. CONCRETE WORKS A. FOUNDATION B COLUMN C ZOCALO D CONCRETE FLOORING V MASONRY WORKS VI STEEL ROOF BEAM FABRICATION/INSTALLATION VII. STEEL WORKS /ROOF FRAMING VIII</t>
  </si>
  <si>
    <t xml:space="preserve"> Republic of the Philippines Province of Ilocos Norte Municipality of Paoay BIDS AND AWARDS COMMITTEE INVITATION TO BID 2020-012 Invitation to Bid for the Purchase of commonly used medical, dental and laboratory supplies to be use at the Rural Health Unit </t>
  </si>
  <si>
    <t xml:space="preserve"> 38 pcs Tablet, 8.0 Pie, 4-core, 32GB, 5100mAh 38 pcs Power Bank 10050mAh Lithium 2.4A/2 USB Output Powerbank 2 pcs Laptop Core i7 Core i7-9750H (2.6GHZ), 8GB, 1TB+128 M.2 SSD, 15.6FHD IPS, 4GB NO OOD, Win 10 Wifi, Cam, BT w/Trial Operating System and Anti</t>
  </si>
  <si>
    <t xml:space="preserve"> Republic of the Philippines DEPARTMENT OF PUBLIC WORKS AND HIGHWAYS ANTIQUE  DISTRICT ENGINEERING OFFICE REGIONAL OFFICE VI San Jose, Antique INVITATION TO BID  The Department of Public Works and Highways, Antique District Engineering Office, San Jose, An</t>
  </si>
  <si>
    <t xml:space="preserve"> I. Reservoir Structure Excavation Concrete Works Rebar Works Fomworks &amp; Scaffoldings II. Deep Well Structure Excavation RCPC Fittings III. Pipe &amp; Fittings Clearing &amp; Grubbing Structure Excavation Backfilling &amp; Tamping Pipe Lay-out IV. Tapstand Solar Pump </t>
  </si>
  <si>
    <t xml:space="preserve"> Procurement of Construction Materials for the Fabrication of Cadaver Niches Php 329,475.00</t>
  </si>
  <si>
    <t xml:space="preserve"> 10 SACKS SUGAR 30 CASES NOODLES 10 CASES SARDINES 150 KGS NATIVE COFFEE 20 PACKS PLASTIC BAGS MEALS AND SNACKS CAR RENTALS 500 PCS HANDSOAP</t>
  </si>
  <si>
    <t xml:space="preserve"> Republic of the Philippines Province of zamboanga Sibugay Municipality of Olutanga 7014 JUNE 3, 2020 NOTICE TO THE PUBLIC INVITIATION TO APPLY FOR ELIGIBILITY AND TO BID All interested bidders are invited to Pre-qualify and participate in sealed bidding f</t>
  </si>
  <si>
    <t xml:space="preserve"> 24 SACKS RICE 15 CASES NOODLES 20 PACKS PLASTIC BAGS MEALS AND SNACKS CAR RENTALS</t>
  </si>
  <si>
    <t xml:space="preserve"> 1.   2  - units  - Slightly Used 4x2 Toyota Hi-Lux               - 1,500,000.00                         Model: 2017 0r 2018</t>
  </si>
  <si>
    <t xml:space="preserve"> 120 SACKS RICE 20 CASES NOODLES 50 SETS HYGIENE KIT MEALS ANCAR RENTALS CAR RENTALS</t>
  </si>
  <si>
    <t xml:space="preserve"> Republic of the Philippines  City of Canlaon Office of the Bids and Awards Committee  INVITATION TO BID FOR the Procurement of one unit Motorcycle The Local Government of Canlaon City, through Resolution No. 148, Ordinance  51, s. 2019- Continuing Appropr</t>
  </si>
  <si>
    <t xml:space="preserve"> DESCRIPTION: Republic of the Philippines Province of Cebu MUNICIPALITY OF MEDELLIN  DRAFT TERMS OF REFERENCE (TOR) FOR THE PROPOSED CONSULTANCY SERVICES FOR CLUP &amp; CDP FORMULATION   I.	RATIONALE/BACKGROUND Medellin is a 2nd class municipality in the Provi</t>
  </si>
  <si>
    <t xml:space="preserve"> CITY MAYOR'S OFFICE -- 1 Lot Supply, deliver and installation of Testing and Server -- Terms and Conditions: 1. The supplier shall supply, deliver, install, test and make operational the Server Infrastructure and related accessories/equipment within 60 ca</t>
  </si>
  <si>
    <t xml:space="preserve"> The ZAMBOANGA CITY STATE POLYTECHNIC COLLEGE through its Bids and Awards Committee (BAC) is inviting PHILGEPS registered suppliers to apply for eligibility and to submit bids for the items listed below: 1.	Cement, Portland, 40kgs./bag (1800 bags) 2.	Sand,</t>
  </si>
  <si>
    <t xml:space="preserve"> PROVINCIAL GOVERNMENT OF ISABELA Invitation to Bid for  Construction  of Nanaguan Bridge, Brgy. Nanaguan, City of Ilagan, Isabela  1.	The Provincial Government of Isabela, through the EDF-2019 Re-programing intends to apply the sum of Five Million Eight H</t>
  </si>
  <si>
    <t xml:space="preserve"> All items and descriptions are specified in the attached PR and RFQ, and posted in the associated component of ITB in the PhilGEPS Website.</t>
  </si>
  <si>
    <t xml:space="preserve"> PROJECT DESCRIPTION I- Earthwork - 311.73cu.m. II- Formworks and Scaffolds - 3,000.00 bd.ft. III- Reinforced Concrete Works - 54.74 cu.m. IV - MAsonry Works (includes septic tank)- 104.00 sq.m. V - Roofing works - 196.00 sq.m. VI- Doors and Windows - 7.27</t>
  </si>
  <si>
    <t xml:space="preserve"> INVITATION TO BID FOR THE SUPPLY AND DELIVERY OF MUSICAL INSTRUMENTS   1.	The City of Iloilo, through the Capital Outlay intends to apply the sum of Two Million Ninety-Nine Thousand Pesos (P2,099,000.00) being the Approved Budget for the Contract (ABC) to</t>
  </si>
  <si>
    <t xml:space="preserve"> Construction Of Multi-Purpose Building ,Covered Court - 18.00mm x 10.00; 2-5.00m per span; with Floor Area - 180.00m2; Removed and Replace existing slab; 0.40m elevation from NGL; with PWD Ramp and Railings (Painted Finish); Painted Plaster Finish at colu</t>
  </si>
  <si>
    <t xml:space="preserve"> PROVINCIAL GOVERNMENT OF ISABELA Invitation to Bid for  Construction  of Slope Protection at KM 8+945 to KM 8+969, Ilagan &amp; Divilacan, Isabela  1.	The Provincial Government of Isabela, through the EDF-AB-2020 intends to apply the sum of Four Million Nine </t>
  </si>
  <si>
    <t xml:space="preserve"> Republic of the Philippines            Province of Isabela          MUNICIPALITY OF AURORA              -o0o-      INVITATION TO BID FOR THE CONSTRUCTION OF OPEN DRAINAGE AT KALABAZA, SAN PEDRO-SAN PABLO, SAN ANDRES, BAGONG TANZA, SAN RAFAEL AND STA. RITA</t>
  </si>
  <si>
    <t xml:space="preserve"> LOCATED AT POBLACION, BANSUD OR. MDO BY CONTRACT (LABOR, MATERIALS, EQUIPMENT)</t>
  </si>
  <si>
    <t xml:space="preserve"> PROVINCIAL GOVERNMENT OF ISABELA Invitation to Bid for  Construction  of Rattan Processing Center Facility, Phase 1, Cabisera 10, City of Ilagan, Isabela  1.	The Provincial Government of Isabela, through the 2019-Re-programming intends to apply the sum of</t>
  </si>
  <si>
    <t xml:space="preserve"> Republic of the Philippines Province of Ilocos Norte Municipality of Paoay BIDS AND AWARDS COMMITTEE INVITATION TO BID 2020-013 Invitation to Bid for the Purchase of commonly used drugs and medicines to be use at the Rural Health Unit 1.	The Municipal Gov</t>
  </si>
  <si>
    <t xml:space="preserve"> CITY MAYOR'S OFFICE  1 1 Lot Plastic Tables and Chairs for various barangays and City Offices 3010 Piece/s  Monoblock, Original Plastic Chair, White, heavy duty, good quality      3 Months Warranty  515 Piece/s    Monoblock, Original Plastic Table, 32x32,</t>
  </si>
  <si>
    <t xml:space="preserve"> METRO SIQUIJOR WATER DISTRICT BIDS &amp; AWARDS COMMITTEE Siquijor, Siquijor The Metro Siquijor Water District (MSWD) through the Bids &amp; Awards Committee (BAC) will be undertaking the here procurement of the hereunder project: Name of Project: Procurement of </t>
  </si>
  <si>
    <t xml:space="preserve"> CTTMO  Traffic Uniform General Office Attire (GOA) Made to Order (see attached design)   Please see attached file/document on associated components or BAC website www.davaocityportal.com (BAC posting) for the complete descriptions, terms of conditions and</t>
  </si>
  <si>
    <t xml:space="preserve"> 1.	272 	- bags		- Portland Cement			- 285.00 2.	 36 		- lenghts	- 20mmØx 6.0 DSB			- 630.00 3.	142		- lenghts	-16mmØx 6.0 DSB			- 410.00 4.	331		- lengths	- 12mmØx6.0 DSB			- 218.00 5.	 57		- lengths	- 10mmØx6.0 DSB			- 155.00 6.	  9		-  pcs.	- Hacksaw Bl</t>
  </si>
  <si>
    <t xml:space="preserve"> *  CMO/CENTRAL 911 1 2 Unit/s RESCUE UTILITY TRAILER  Specifications: Dimensions:     Overall Length: 520 cm     Overall Width: 210 cm     Overall Height: 240 cm Chassis: Customized Steel C Channel Bar Frame, A Frame, Hor. Members Body Frame: Square Tube </t>
  </si>
  <si>
    <t xml:space="preserve"> I. Mobilization II. CSHP III. Project Billboard IV. Masonry Works V. Roof Framing VI. Plumbing Works VII. Carpentry Works VIII. Forms and Scaffolding IX. Electrical X. Windows XI. Painting Works Labor</t>
  </si>
  <si>
    <t xml:space="preserve"> Concrete of Drainage System Concrete box culvert=107 L.m RCPC= 200L.m. w/manhole</t>
  </si>
  <si>
    <t xml:space="preserve"> MUSEO DABAWENYO  1 1 Unit/s Vehicles, Brand new, 4 x 2, manual Transmission with Aircon, Four Wheels, Three (3) Doors, Single cab, Pick-up, Hilux 2.4L, 4 x 2 FX-HSPU MT w/ REAR AC Type at least 2.4L Diesel, 4-cylinder, 16 valve DOHC Variable Nozzle Turbo </t>
  </si>
  <si>
    <t xml:space="preserve"> PROVINCIAL GOVERNMENT OF ISABELA Invitation to Bid for  Construction  of Slope Protection at KM 10+860 to KM 10+990, Ilagan &amp; Divilacan, Isabela  1.	The Provincial Government of Isabela, through the EDF-AB-2020 intends to apply the sum of Nine Hundred Fiv</t>
  </si>
  <si>
    <t xml:space="preserve"> 8 CS SARDINES 8 CS NOODLES 5 CS DETERGENT BAR 2 SACKS SUGAR 10 KGS COFFEE 1 CS TOOTHPASTE 10 PACKS PLASTIC BAGS MEALS AND SNACKS CAR RENTALS</t>
  </si>
  <si>
    <t xml:space="preserve"> Republic of the Philippines            Province of Isabela          MUNICIPALITY OF AURORA              -o0o-      INVITATION TO BID FOR THE CONSTRUCTION OF FLOOD CONTROL STONE MASONRY AT BANNAGAO, AURORA, ISABELA 1.	The Local Government Unit of Aurora, t</t>
  </si>
  <si>
    <t xml:space="preserve"> Republic of the Philippines Province of Misamis Oriental Local Government Unit of Claveria Invitation to Bid for  Procurement for the  construction of  multi-purpose  building at Sitio Daruca, Poblacion The Local Government Unit of Claveria, through the b</t>
  </si>
  <si>
    <t xml:space="preserve"> Water Source (Drilling); Installation of Water Pumping System 1- (Pumping Station 1.6m x 1.6m); Installation of Ground Tank Concrete Reservoir – (3.0x3.0x3.5)M, Installation of 1 – electrical post with accessories; Installation of Pipes and Fittings</t>
  </si>
  <si>
    <t xml:space="preserve"> Republic of the Philippines                                                              Municipality of Tagoloan                                                      PROVINCE OF MISAMIS ORIENTAL                                                            </t>
  </si>
  <si>
    <t xml:space="preserve"> The Bids and Awards Committee (BAC) of the BARANGAY BUENAVISTA Castilla, Sorsogon invites qualified contractor’s to bid for the project: The Procurement process of the afore-mentioned projects will be conducted by this Bids and Awards Committee (BAC) in a</t>
  </si>
  <si>
    <t xml:space="preserve"> CITY HEALTH OFFICE  1 6 Unit/s Bed, steel frame with mattress, Bed size: single, Mattress Size: 36" x 75", durable, good quality  2 60 Unit/s Bench, individual seater, made of fiber/steel, 4-seater, durable, good quality  3 10 Unit/s Dining Set, 6-seater,</t>
  </si>
  <si>
    <t xml:space="preserve"> Excavation Gravel Fill Structural Concrete Masonry Roofing Plumbing Doors And Windows Tiles Painting Hardware Materials</t>
  </si>
  <si>
    <t xml:space="preserve"> The Municipality of San Mariano, Isabela invite bidders to participate in this procurement, Supply and Delivery of Agroforestry Approved Budget: Php 200,000.00 Bids must be duly received on or before June 22, 2020 at 10:30 AM. Late bids shall not be accep</t>
  </si>
  <si>
    <t xml:space="preserve"> CEO/MOTORPOOL DIVISION &gt;&gt;   Please see attached file/document on associated components or BAC website www.davaocityportal.com (BAC posting) for the complete descriptions, terms of conditions and terms of references.   Bidding will be conducted through ope</t>
  </si>
  <si>
    <t xml:space="preserve"> CMO/PSSCC  1 2 Units Airconditioner (split type) floor mounted inverter 5TR with 20ft. Pipe run installation with platform/bracket, circuit breaker, PVC drain hose, power connection with 1 year warranty of all parts and services, 5 years warranty on compr</t>
  </si>
  <si>
    <t xml:space="preserve"> CITY ENGINEER'S OFFICE &gt;&gt;&gt;   Please see attached file/document on associated components or BAC website www.davaocityportal.com (BAC posting) for the complete descriptions, terms of conditions and terms of references.   Bidding will be conducted through op</t>
  </si>
  <si>
    <t xml:space="preserve"> Located at Villa Pag-asa, Bansud Oriental Mindoro Construction and Rehabilitation of Climate Resilient Roads and Bridges</t>
  </si>
  <si>
    <t xml:space="preserve"> Barangay  Conrazon, Bansud Oriental Mindoro Concreting of 70L.m Road,width=4m,thickness=200mm (8 inch) installation of RCPC, Road shoulder Slope Protection woth 1m road shoulder bothsides</t>
  </si>
  <si>
    <t xml:space="preserve"> Invitation to Bid for ROAD CONCRETING AT POBLACION, PASACAO, CAM. SUR 1.	The Local Government Unit of Pasacao, through the Twenty Percent (20%) Local Development Fund CY 2020  intends to apply the sum of One million Four Hundred Ninety Nine Thousand Nine </t>
  </si>
  <si>
    <t xml:space="preserve"> Department of Education Region VI-Western Visayas Division of Cadiz City Mabini National High School INVITATION TO BID FOR THE PROCUREMENT OF MATERIALS FOR OFFICE SUPPLIES OF MNHS-SHS 2020 1.	The Mabini National High School  of Cadiz City, through the Sch</t>
  </si>
  <si>
    <t xml:space="preserve"> 1	LOT	Supply, Delivery and Installation of Furniture and Fixtures for the Completion of 2-Storey Academic Building 2 at BPSU Abucay Campus					 		[14 UNITS] Faculty Workstations with Mobile Pedestal					 		Full fabric partition 1200mm height aluminum in p</t>
  </si>
  <si>
    <t xml:space="preserve"> Water Source (Drilling); Installation of Water Pumping System 1- (Submersible Pump) Installation of Steel Tank – 4000 Liter Capacity; Installation of Pipes and Fittings</t>
  </si>
  <si>
    <t xml:space="preserve"> 2nd INVITATION TO APPLY FOR ELIGIBILITY AND TO BID (IAEB)   The Municipality of Molave, Zamboanga del Sur, through its Bids and Awards Committee, invites suppliers/distributors to apply for eligibility and to bid for the rebidding of the hereunder project</t>
  </si>
  <si>
    <t xml:space="preserve"> Water Source (Drilling); Installation of Water Pumping System 1- (Pumping Station 1.6m x 1.6m) Well drilling 90m depth; Installation of Overhead Tank (Concrete) (2.5x2.5x2.5)M – 8MHT, Installation of 1 – Transformer w/complete accessories; Installation of</t>
  </si>
  <si>
    <t xml:space="preserve"> DEPARTMENT OF PUBLIC WORKS AND HIGHWAYS Contract ID:	20CSGB01 Contract Name:	CONDUCT OF GEOTECHNICAL INVESTIGATION FOR FY 2021 INFRASTRUCTURE PROJECTS  Contract Location: PROVINCE OF ANTIQUE ________________________________________ ANTIQUE DISTRICT ENGINE</t>
  </si>
  <si>
    <t xml:space="preserve"> CSSDO  1 2516 Piece/s Gift check Certificate worth P 1,000.00 (High School Students)  2 224 Piece/s Gift check Certificate worth P 700.00 (Elementary Students) * To purchase school supplies and school uniforms   Please see attached file/document on associ</t>
  </si>
  <si>
    <t xml:space="preserve"> 900 SACKS OF RICE 70 CS NOODLES 35 CS SARDINES 85 PACKS SANDO BAG MEALS AND SNACK CARGO TRUCK RENTALS 15 GALS DISINFECTANTS</t>
  </si>
  <si>
    <t xml:space="preserve"> CENRO-GEN ADMIN &gt;&gt;&gt;&gt;   Please see attached file/document on associated components or BAC website www.davaocityportal.com (BAC posting) for the complete descriptions, terms of conditions and terms of references.   Bidding will be conducted through open com</t>
  </si>
  <si>
    <t xml:space="preserve"> Republic of the Philippines                                                              Municipality of Tagoloan                                                        PROVINCE OF MISAMIS ORIENTAL                                                          </t>
  </si>
  <si>
    <t xml:space="preserve"> Republic of the Philippines PROVINCE OF QUIRINO Cabarroguis -oOo- BIDS AND AWARDS COMMITTEE INVITATION TO BID FOR  Rehabilitation of Maria Clara-San Isidro Road Contract No. PB-CW-2020-016 							June 4, 2020 1.	The Bids and Awards Committee (BAC) of the </t>
  </si>
  <si>
    <t xml:space="preserve"> INVITATION TO BID PROCUREMENT OF CONSTRUCTION MATERIALS FOR CONCREING OF MUNICIPAL ROAD AT NGILEB, ALFONSO LISTA, IFUGAO 1.	The Local Government Unit Alfonso Lista, Ifugao through the 20% Development Fund 2020 intends to apply the sum of One Million Three</t>
  </si>
  <si>
    <t xml:space="preserve"> 1.	 20	- Bots.		- Ambroxol 15mg/5ml, syrup 60ml		- 27.00 2.	 20	- bots		- Ambroxol 30mg/5ml, syrup 60ml		- 27.00 3.	 50	- bots		- Amoxicillin 100/ml,10ml			- 22.00 4.	200	- vial		- Ampicillin 500mg tab 100’s			- 30.00 5.	1,000	- tab		- Ascorbic Acid 500mg</t>
  </si>
  <si>
    <t xml:space="preserve"> Davao City Treatment &amp; Rehabilitation Center &gt;&gt;&gt;   Please see attached file/document on associated components or BAC website www.davaocityportal.com (BAC posting) for the complete descriptions, terms of conditions and terms of references.   Bidding will b</t>
  </si>
  <si>
    <t xml:space="preserve"> Completion of 2 storey Academic Building. This includes, Painting works, Network Cabling, Generator Sets and Power House, Air-condition Units, Firehose Cabinets, Fire Extinguisher, Concrete Cladding and Accent Wall and Electrical Wall</t>
  </si>
  <si>
    <t xml:space="preserve"> Republic of the Philippines PROVINCE OF QUIRINO Cabarroguis -oOo- BIDS AND AWARDS COMMITTEE INVITATION TO BID FOR  Rehabilitation of Diffun – Liwayway - Sitio Pallutan Road Contract No. PB-CW-2020-018 							June 4, 2020 1.	The Bids and Awards Committee (</t>
  </si>
  <si>
    <t xml:space="preserve"> Republic of the Philippines PROVINCE OF QUIRINO Cabarroguis -oOo- BIDS AND AWARDS COMMITTEE INVITATION TO BID FOR  Rehabilitation of Rizal – Villa Pascua Road Contract No. PB-CW-2020-017 							June 4, 2020 1.	The Bids and Awards Committee (BAC) of the Pr</t>
  </si>
  <si>
    <t xml:space="preserve"> Installation of Water Pumping System 1- (Pumping Station 1.6mx1.6m) Well Drilling 8”Ø 90m depth; 1-15KVA Transformer, 1-Electrical post with accessories; 1-3HP submersible pump w/accessories</t>
  </si>
  <si>
    <t xml:space="preserve"> Republic of the Philippines                                                  PROVINCE OF MISAMIS ORIENTAL                                                         Municipality of Tagoloan                                                           INVITATION</t>
  </si>
  <si>
    <t xml:space="preserve"> Water Source (Drilling); Installation of Water Pumping System 1- (Pumping Station 1.6m x 1.6m); Installation of Overhead Tank (Concrete) (2.5x2.5x2.5)M – 8MHT, Installation of 1 – Transformer w/complete accessories; Installation of Pipes and Fittings</t>
  </si>
  <si>
    <t xml:space="preserve"> Asphalt Overlay (width = 6.70m., thk. = 50mm) Application of Reflectorized Thermoplastic Pavement Markings Installation of Pavement Stud Markers</t>
  </si>
  <si>
    <t xml:space="preserve"> INVITATION TO BID  for  Supply and Delivery of One (1) unit Brand New 6 x 4 x 10-Wheeler, 32 ft. Truck Chassis Mounted with 32 x 8 x 8 footer Wing Van Body, with 33,000kgs. G.V.M. Rating, 420 PS, Diesel Turbo Charged Intercooled, 4 Cycle Vertical, 6 Cylin</t>
  </si>
  <si>
    <t xml:space="preserve"> Opening with graveling (width = 6.00m., thk. = 200mm) Roadway Excavation - Common Surplus Excavation - Surplus Rock Excavation (Soft) Construction of Minor Drainage Structures</t>
  </si>
  <si>
    <t xml:space="preserve"> SANGGUNIANG PANLUNGSOD &gt;&gt;&gt;&gt;   Please see attached file/document on associated components or BAC website www.davaocityportal.com (BAC posting) for the complete descriptions, terms of conditions and terms of references.   Bidding will be conducted through o</t>
  </si>
  <si>
    <t xml:space="preserve"> Republic of the Philippines PROVINCE OF QUIRINO Cabarroguis -oOo- BIDS AND AWARDS COMMITTEE INVITATION TO BID FOR  Improvement of Processing Center of Quirino Banana Enterprise Contract No. PB-CW-2020-019 							June 4, 2020 1.	The Bids and Awards Committ</t>
  </si>
  <si>
    <t xml:space="preserve"> Republic of the Philippines Province of Cagayan Municipality of Piat -o0o- OFFICE OF THE BIDS AND AWARDS COMMITTEE (BAC) “INVITATION TO BID FOR CONSTRUCTION OF REITAINING WALL AT BAUNG, PIAT, CAGAYAN” The Local Government Unit of Piat through the CY2020 M</t>
  </si>
  <si>
    <t xml:space="preserve"> Construction of covered court, three 3 bay only. Thus includes floor Slab (16m x 30m) and painting works (on steel, masonry and concrete)</t>
  </si>
  <si>
    <t xml:space="preserve"> Contract ID			:	20EG0091					 Contract Name  			:	Repair and Maintenance of Road Safety Facilities along National Roads					 Contract Location			:	K0000+000 - K0000+579.20, Puerto Princesa South Road (S00040PW) and K0000+017.50-					 				K0000+162, Puerto</t>
  </si>
  <si>
    <t xml:space="preserve"> Concreting of Additional 2 lanes (2 into 4 lanes, 280mm thk.) – existing width 6.70, with additional 2 lanes total width 13.40 Roadway Excavation - Common Surplus Excavation Construction of Slope Protection (Grouted Riprap) Construction of Concrete Lined </t>
  </si>
  <si>
    <t xml:space="preserve"> Procurement of Office Supplies use for PMTO office.</t>
  </si>
  <si>
    <t xml:space="preserve"> Asphalt Overlay (width = 13.40m., thk. = 50mm) Application of Reflectorized Thermoplastic Pavement Markings Installation of Pavement Stud Markers</t>
  </si>
  <si>
    <t xml:space="preserve"> Construction of Stone Masonry Retaining Wall Roadway Excavation - Common Surplus Excavation - Surplus Rock Excavation (Soft) Construction of Concrete Lined Canal</t>
  </si>
  <si>
    <t xml:space="preserve"> Republic of the Philippines PROVINCE OF QUIRINO Cabarroguis -oOo- BIDS AND AWARDS COMMITTEE INVITATION TO BID FOR  Improvement of Processing Center of Quirino Coffee Enterprise Contract No. PB-CW-2020-020 							June 4, 2020 1.	The Bids and Awards Committ</t>
  </si>
  <si>
    <t xml:space="preserve"> 1	LOT	Lecture Rooms Equipment (see attached bidding form for items included in the lot) 1	LOT	Agricultural and Biosystems Engineering Processing Equipment and Instruments (see attached bidding form for items included in the lot) 1	LOT	Agricultural and Bio</t>
  </si>
  <si>
    <t xml:space="preserve"> Reblocking</t>
  </si>
  <si>
    <t xml:space="preserve"> SANGGUNIANG PANLUNGSOD 1 31,127 Liter/s Diesel 5 2 24,070 Liter/s Gasoline Period of Delivery: Third (3rd) Quarter 2020 Terms and Condition: * Gasoline Station must be along Monteverde Ave. and Ramon Magsaysay Street., Davao City All quoted prices shall b</t>
  </si>
  <si>
    <t xml:space="preserve"> Scope of Work		:	This project covers the Asphalt Overlay along intermittent  					sections of Mactan Circumferential Road</t>
  </si>
  <si>
    <t xml:space="preserve"> SANGGUNIANG PANLUNGSOD  1 28,454 Liter/s Diesel  2 18,207 Liter/s Gasoline Period of Delivery: Third (3rd) Quarter 2020 Terms and Condition: Gasoline Station must be along Mc Arthur Highway Matina, Davao City and not more than 2.0 kilometers from City Hal</t>
  </si>
  <si>
    <t xml:space="preserve"> 400 PACKS RELIEF GOODS</t>
  </si>
  <si>
    <t xml:space="preserve"> Concreting (width = 6.10m., thk. = 230mm) Roadway Excavation - Embankment from Borrow (Common Soil) Construction of Slope Protection (Grouted Riprap) Construction of Concrete Lined Canal and Other Minor Drainage Structures Application of Reflectorized The</t>
  </si>
  <si>
    <t xml:space="preserve"> Sangguniang Panlungsod  1 8818 Liters Diesel  2 9749 Liters Gasoline  Period of Delivery: Third (3rd) Quarter 2020 TERMS and CONDITION Gasoline Station must be along Mintal National Highway   Please see attached file/document on associated components or B</t>
  </si>
  <si>
    <t xml:space="preserve"> VICE MAYOR  1 20,000 Liter/s Diesel  2 9,446 Liter/s Gasoline Period of Delivery: Third (3rd) Quarter 2020 Terms and Condition: Gasoline Station must be along Mc Arthur Highway Matina, Davao City and not more than 2.0 kilometers from City Hall and SP Buil</t>
  </si>
  <si>
    <t xml:space="preserve"> Republic of the Philippines Province of Eastern Samar Municipality of Mercedes BARANGAY SUNG-AN OFFICE OF THE BIDS AND AWARDS COMMITTEE (BAC) INVITATION TO BID # 2020-002  Invitation to Bid for the Proposed Continuing Construction of Cultural Stage 1.	The</t>
  </si>
  <si>
    <t xml:space="preserve"> Construction of Multi-Purpose Building., (Municipal Gym) 3rd Phase, Including Structural Steel Works, Roofing Works, Masonry Works, Reinforced Concrete Works, Plumbing Works with Septic Vault and Electrical Works</t>
  </si>
  <si>
    <t xml:space="preserve"> Installation of Gabions and mattresses</t>
  </si>
  <si>
    <t xml:space="preserve"> Scope of Work		:	This project covers epoxy coating on cracks and protection at bridge columns</t>
  </si>
  <si>
    <t xml:space="preserve"> Improvement NNCHS Gym with cement plaster finish, painting works, court wood tiles, construction of rooms w/doors and windows, waterlines, electrical works, repair of fascia frame and roof w/ reflective insulation and transformer</t>
  </si>
  <si>
    <t xml:space="preserve"> Construction of complete Mini Gym including electrical &amp; painting works</t>
  </si>
  <si>
    <t xml:space="preserve"> 80 SACKS RICE MEALS AND SNACKS CARGO TRUCK RENTALS REAGENTS/HYGIENE KITS</t>
  </si>
  <si>
    <t xml:space="preserve"> Republic of the Philippines Province of Misamis Occidental MUNICIPALITY OF CALAMBA INVITATION TO BID FOR PROCUREMENT OF MATERIALS FOR TEMPORARY HOLDING FACILITY  	June 4, 2020 1.	The Municipality of Calamba, Misamis Occidental, through the BGCM  intends t</t>
  </si>
  <si>
    <t xml:space="preserve"> INVITATION TO BID (CW-06-2020-017) The Department of Public Works and Highways (DPWH)-Batangas IV District Engineering Office, Marawoy, Lipa City, Batangas, through its Bids and Awards Committee (BAC), invites contractors to bid for the contract listed be</t>
  </si>
  <si>
    <t xml:space="preserve"> Construction of complete covered court with court slab, painting works (on steel, masonry and concrete), electrical works, movable type basketball goal w/fiber glass board and rubberized basketball court (use exterior pain)</t>
  </si>
  <si>
    <t xml:space="preserve"> Construction of complete MPB (Barangay Health Station). Including plumbing works w/fixtures, tile works, painting works, railings and electrical works</t>
  </si>
  <si>
    <t xml:space="preserve"> INVITATION TO BID FOR  SUPPLY &amp; DELIVERY OF VARIOUS CONSTRUCTION MATERIALS FOR THE CONST. OF MULTI-PURPOSE HALL (RENOVATION OF BRGY. HEALTH CENTER)  BRGY. CAPULAAN, VILLASIS, PANGASINAN 1.	The Local Government of Villasis, Pangasinan, thru 20% dev’t fund,</t>
  </si>
  <si>
    <t xml:space="preserve"> Construction of 2 Storey Building (Health Center) and Completion of Nutrition Center</t>
  </si>
  <si>
    <t xml:space="preserve"> Construction of covered court with stage and dressing room. This includes painting works on stage, electrical works on stage and covered court</t>
  </si>
  <si>
    <t xml:space="preserve"> 1. FB BODY VAN W/ DUAL AIRCON	……………………………………………………. 5 units Performance &amp; Safety:  	  Dimensions:				 Overall Length: 4260mm				 Overall Width: 1695mm				 Overall Height: 1895mm				 Wheelbase:2350mm				 Tread Front/Rear: 1440/1380mm				 Ground Clearance: </t>
  </si>
  <si>
    <t xml:space="preserve"> Construction of Multi-Purpose Building (Stage and Bleacher (1-3.2m x 12m) with reinforced concrete, cement plaster finish, finishing hardware, painting masonry and electrical works</t>
  </si>
  <si>
    <t xml:space="preserve"> 35 SACKS RICE 50 KGS DRIED FISH 20 CS NOODLES MEALS AND SNACKS CARGO TRUCK RENTALS</t>
  </si>
  <si>
    <t xml:space="preserve"> School Forms SHS for teachers use</t>
  </si>
  <si>
    <t xml:space="preserve"> Completion of Multi-Purpose Building (Stage) with reinforced concrete, cement plaster finish, finishing hardware, painting masonry, structural steel (roofing), and electrical works.</t>
  </si>
  <si>
    <t xml:space="preserve"> Republic of the Philippines Province of South Cotabato BIDS AND AWARDS COMMITTEE Salada Street, Poblacion Tupi, South Cotabato Tel. Fax No.: (083) 226-1045 INVITATION TO BID FOR THE SUPPLY AND DELIVERY OF ONE (1) UNIT AMBULANCE WITH COMPLETE ACCESSORIES (</t>
  </si>
  <si>
    <t xml:space="preserve"> Construction of complete two (2) storey multi-purpose building (Legislative Building)</t>
  </si>
  <si>
    <t xml:space="preserve"> Construction of MPB (Health Center) Including earthworks, reinforced concrete works, masonry works, roofing works, tile works, doors and windows, plumbing works w/septic vault and electrical works. No painting works</t>
  </si>
  <si>
    <t xml:space="preserve"> PURCHASE OF BRGY. AMBULANCE VEHICLE</t>
  </si>
  <si>
    <t xml:space="preserve"> Improvement of Multi-Purpose Pavement,Brgy. Ban-ag, Alimodian Iloilo</t>
  </si>
  <si>
    <t xml:space="preserve"> Rehabilitation of Multi-Purpose Building: plumbing fixtures, ddors, glass and glazing, toilet tiles (floor and wall), including railings and ceiling works, and complete painting works (interior and exterior) and electrical works</t>
  </si>
  <si>
    <t xml:space="preserve"> PHILIPPINE BIDDING DOCUMENTS (As Harmonized with Development Partners) Procurement for  CONSTRUCTION OF LOCAL ACCESS ROAD TO SANITARY LANDFILL BRGY. KALYAAT LUCBAN, QUEZON BIDDING Government of the Republic of the Philippines Fourth Edition   Preface Thes</t>
  </si>
  <si>
    <t xml:space="preserve"> Republic of the Philippines PROVINCE OF SIQUIJOR Capitol, Bldg., Pulangyuta, Siquijor, Siquijor INVITATION TO BID FOR Supply and Delivery of Various Medical Supplies 1.	The Province of Siquijor, through the IPHO Non-Office Bayanihan Grant to Prov. 200-502</t>
  </si>
  <si>
    <t xml:space="preserve"> Republic of the Philippines Province of Eastern Samar Municipality of Mercedes BARANGAY SUNG-AN OFFICE OF THE BIDS AND AWARDS COMMITTEE (BAC) INVITATION TO BID # 2020-001  Invitation to Bid for the Proposed Water Pipe Expansion 1.	The BLGU – SUNG-AN, MERC</t>
  </si>
  <si>
    <t xml:space="preserve"> INVITATION TO BID FOR  SUPPLY &amp; DELIVERY OF VARIOUS CONSTRUCTION MATERIALS FOR THE CONSTRUCTION OF MULTI-PURPOSE HALL (PHASE I)  POBLACION ZONE III, VILLASIS, PANGASINAN 1.	The Local Government of Villasis, Pangasinan, thru 20% dev’t fund, intends to appl</t>
  </si>
  <si>
    <t xml:space="preserve"> INVITATION TO BID FOR  SUPPLY &amp; DELIVERY OF VARIOUS CONSTRUCTION MATERIALS FOR THE DEVELOPMENT OF VILLASIS ECO PARK RESORT AND EVACUATION CENTER COMPLEX CONSTRUCTION OF STEEL FENCE  BRGY. UNZAD, VILLASIS, PANGASINAN 1.	The Local Government of Villasis, Pa</t>
  </si>
  <si>
    <t xml:space="preserve"> Student ID SHS for students use</t>
  </si>
  <si>
    <t xml:space="preserve"> Concreting of Brgy. Hall,Brgy. Coline-Alimodian Iloilo</t>
  </si>
  <si>
    <t xml:space="preserve"> INVITATION TO BID FOR  SUPPLY &amp; DELIVERY OF VARIOUS CONSTRUCTION MATERIALS FOR THE CONCRETING OF FARM TO MARKET ROAD CONNECTING LIBTONG ROAD 1&amp;2  BRGY. CARAMUTAN, VILLASIS, PANGASINAN 1.	The Local Government of Villasis, Pangasinan, thru TET 2016, intends</t>
  </si>
  <si>
    <t xml:space="preserve"> INVITATION TO BID FOR  SUPPLY &amp; DELIVERY OF VARIOUS CONSTRUCTION MATERIALS FOR THE CONSTRUCTION OF DRAINAGE SYSTEM   BRGY. CARAMUTAN, VILLASIS, PANGASINAN 1.	The Local Government of Villasis, Pangasinan, thru 20% devt Fund, intends to apply the sum of Thr</t>
  </si>
  <si>
    <t xml:space="preserve"> Construction of covered court two (2) bay only, painting works (on steel, masonry and concrete), electrical works and construction and stage (6m x 12m) w/electrical and painting works (On steel Masonry and Concrete)</t>
  </si>
  <si>
    <t xml:space="preserve"> Improvement of Multi-Purpose Building (Stage and Bleacher) with reinforced concrete, cement plaster finish, finishing hardware, painting masonry and electrical works</t>
  </si>
  <si>
    <t xml:space="preserve"> Improvement of MPB (Brgy. Hall) with painting works (including Site Development)</t>
  </si>
  <si>
    <t xml:space="preserve"> Construction of Mini Gym,Brgy. Tugaslon,Alimodian Iloilo</t>
  </si>
  <si>
    <t xml:space="preserve"> INVITATION TO BID FOR  SUPPLY &amp; DELIVERY OF VARIOUS CONST. MATERIALS FOR THE DEVELOPMENT OF VILLASIS ECO PARK RESORT &amp; EVACUATION CENTER COMPLEX CONST. OF CHB FENCE, ACCESS ROAD TO RHU, RETAINING WALL, DRAINAGE SYSTEM  BRGY. UNZAD, VILLASIS, PANGASINAN 1.</t>
  </si>
  <si>
    <t xml:space="preserve"> Concreting of Molave St. (from Lawaan St. - Kawayan St.)</t>
  </si>
  <si>
    <t xml:space="preserve"> Concreting of Kawayan St. (from Sampaguita Ave. - Gumamela St.)</t>
  </si>
  <si>
    <t xml:space="preserve"> 1. The Municipal Government of Sta. Cruz, through its General Fund intends to apply the sum of One Million Nine Hundred Ninety Nine Thousand Nine Hundred Seventy-Nine Pesos and 56/100 (P1,999,979.56) being the Approved Budget for the Contract (ABC) to pay</t>
  </si>
  <si>
    <t xml:space="preserve"> INVITATION TO BID FOR THE REBIDDING ON THE PROVISION OF LABOR, MATERIALS, EQUIPMENT AND OTHER INCIDENTALS NEEDED FOR THE IMPROVEMENT OF TAGUIPORO GRANDE DIVERSION DAM (DD) AT BRGY. TAGUIPORO GRANDE, BANGUI, ILOCOS NORTE 1.	The Department of Agriculture Re</t>
  </si>
  <si>
    <t xml:space="preserve"> Republic of the Philippines PROVINCE OF NORTHERN SAMAR BIDS AND AWARDS COMMITTEE Catarman Contracting of Security Services (Blue Guards) for Twelve Months Province of Northern Samar NS-06-04-20 1.	The Provincial Government of Northern Samar, through the S</t>
  </si>
  <si>
    <t xml:space="preserve"> Construction of Structural Concretes, Roof Framing and Roofing</t>
  </si>
  <si>
    <t xml:space="preserve"> Concreting (width = 5.00m., thk. = 230mm) Roadway Excavation - Common Surplus Excavation - Embankment from Borrow (Common Soil) Construction of Single Barrel Box Culvert Construction of Minor Drainage Structures</t>
  </si>
  <si>
    <t xml:space="preserve"> INVITATION TO BID FOR  SUPPLY &amp; DELIVERY OF VARIOUS CONSTRUCTION MATERIALS FOR THE CONCRETING OF FARM TO MARKET ROAD LIBTONG ROAD 1  BRGY. CARAMUTAN, VILLASIS, PANGASINAN 1.	The Local Government of Villasis, Pangasinan, thru TET 2016, intends to apply the</t>
  </si>
  <si>
    <t xml:space="preserve"> Concreting (width = 6.10m., thk. = 280mm) Concreting (width = 5.00m., thk. = 230mm) Roadway Excavation - Common Surplus Excavation Construction and Removal of Minor Drainage Structures</t>
  </si>
  <si>
    <t xml:space="preserve"> 16-20-0	2,650	bags 		 Insecticides (100ml)	1,500	bottles 		 Fungicides (500 g)	943	packs</t>
  </si>
  <si>
    <t xml:space="preserve"> 1. 30,000 pack - Powdered Milk Drink (300 grams) (Fortified Filled Milk, With Vitamins, A, C, D, Iron and Zinc)</t>
  </si>
  <si>
    <t xml:space="preserve"> Contract ID		:	20GM0072 Contract Name	:	Concreting of Sitio Banman, Brgy. Locotan FMR, Brgy. Locotan, Kabankalan City, Negros Occidental Location of the Contract:    	Brgy. Locotan, Kabankalan City, Negros Occidental ______________________________________</t>
  </si>
  <si>
    <t xml:space="preserve"> Concreting (width = 5.00m., thk. = 230mm) Roadway Excavation - Common Surplus Excavation Construction of Minor Drainage Structures</t>
  </si>
  <si>
    <t xml:space="preserve"> Rehabilitation of 7.0m x 24.0m senior citizen with concrete works, roofing sheets &amp; accessories, painting &amp; plastering and steel works</t>
  </si>
  <si>
    <t xml:space="preserve"> Contract ID		:	20GM0071 Contract Name	:	Concreting of Sitio Batbat to Sitio Tis-an, Brgy. Isio FMR, Brgy. Isio, Cauayan, Negros Occidental Location of the Contract:    	Brgy. Isio Cauayan, Negros Occidental ________________________________________________</t>
  </si>
  <si>
    <t xml:space="preserve"> Republic of the Philippines Region XII Province of Cotabato Municipality of Aleosan  INVITATION TO BID FOR THE Supply and Delivery of Construction Materials for the Construction of 3 units Solar Dryer June 4, 2020 1.	The Local Government Unit of Aleosan t</t>
  </si>
  <si>
    <t xml:space="preserve"> CONSTRUCTION OF SLOPE PROTECTION OF CAMATAGAN PUBLIC TOILET, SABANGAN FUND SOURCE: 20% PDF 2020 TYPES OF WORK TO BE DONE: Project billboard/ signboard/ occupational safety and health program/ structure excavation (common soil)/ grouted riprap (class A) CO</t>
  </si>
  <si>
    <t xml:space="preserve"> INVITATION TO BID FOR THE REBIDDING ON THE PROVISION OF LABOR, MATERIALS, EQUIPMENT AND OTHER INCIDENTALS NEEDED FOR THE IMPROVEMENT OF BARCELONA DIVERSION DAM INTAKE STRUCTURE AND CANAL LINING AT BRGY. BARCELONA, SOLSONA, ILOCOS NORTE 1.	The Department o</t>
  </si>
  <si>
    <t xml:space="preserve"> PROCUREMENT OF SERVICES FOR THE ONE (1) LOT – EVENT ORGANIZING</t>
  </si>
  <si>
    <t xml:space="preserve"> CID No. 20IC0063:  Const. of Hospital Building, Schistosomiasis Control and Research Institute, Palo, Leyte;  ABC: P16,660,000.00; 164 CD ACTIVITY	TIME	PLACE 1.  Issuance/Downloading of       Bidding Documents	June 3 – 23, 2020	Hard copies at BAC Secretar</t>
  </si>
  <si>
    <t xml:space="preserve"> Republic of the Philippines DEPARTMENT OF AGRICULTURE Regional Field Office IX Zamboanga Peninsula 		 INVITATION TO BID  ITB NO. 05-0013-20 SUPPLY AND DELIVERY OF HAULING TRUCK LOT 1: TWO (2) UNITS HAULING TRUCK (ALUMINUM VAN TYPE) LOT 2: ONE (1) UNIT HAU</t>
  </si>
  <si>
    <t xml:space="preserve"> Consultancy Services for the Geotechnical Investigation for Bridge &amp; Flood Control Projects</t>
  </si>
  <si>
    <t xml:space="preserve"> Printer Consumables and I.T. Supplies/ Equipments</t>
  </si>
  <si>
    <t xml:space="preserve"> INVITATION TO BID FOR THE REBIDDING ON THE PROVISION OF LABOR, MATERIALS, EQUIPMENT AND OTHER INCIDENTALS NEEDED FOR THE REHABILITATION OF SAN CRISTOBAL SMALL WATER IMPOUNDING PROJECT (SWIP) CANAL LINING AT BRGY. SAN CRISTOBAL, SARRAT, ILOCOS NORTE 1.	The</t>
  </si>
  <si>
    <t xml:space="preserve"> RENTAL OF TRANSPORT SERVICES FOR THE HAULING OF DILAPIDATED VEHICLES FROM MAKATI CITY TO CALAMBA, LAGUNA - Order of payment for Bid Docs will be available at GSD-Head Office @ 10th Floor Makati City Hall Bldg. 2.  Look for Mr. Reden Villanueva. - A  compl</t>
  </si>
  <si>
    <t xml:space="preserve"> Supply of Materials for REHABILITATION OF WATER SYSTEM (CONS. OF RESERVOIR) 1.	The Barangay Can-angay  Inopacan Leyte  through the CY 2020 20% DEVELOPMENT FUND  intends to apply the sum  TWO HUNDRED TWENTY SEVEN THOUSAND  SEVEN HUNDRED FORTY FIVE PESOS . </t>
  </si>
  <si>
    <t xml:space="preserve"> LAUNDRY SERVICES 7830 KILOS JULY - DECEMBER 2020 -------------------------------------------------------------------------------------------------------------------------- Bids received in excess of the ABC shall be automatically rejected during the bid o</t>
  </si>
  <si>
    <t xml:space="preserve"> Item No.	Unit	DESCRIPTION				Qty 						 1	Unit	Brand New Garbage Compactor				1 		6 Cylinder Diesel Engine				 		Euro 4				 		180/190 Hp				 		4x2 Manual Transmission				 		Power Steering				 		All Drum Type Hydraulic Break System				 		Front &amp; Rear Multi</t>
  </si>
  <si>
    <t xml:space="preserve"> Republic of the Philippines Province of Bataan MUNICIPALITY OF ORION Bids and Awards Committee 20ITB-INF-02-00032 Invitation to Bid for Labor and Materials for the Perimeter Fence of the New Rural Health Unit at Sitio Pag-asa, Brgy. Wawa, Orion, Bataan 1.</t>
  </si>
  <si>
    <t xml:space="preserve"> Clearing and Grubbing Structure Excavation  Embankment (from Borrow) Structural Concrete  Reinforcing Steel Formworks and Falseworks Plumbing Works 6mm Plywood on Metal Frame Ceiling  Cement Plaster Finish  Painting Works (Masonry Painting) Painting Works</t>
  </si>
  <si>
    <t xml:space="preserve"> INVITATION TO BID FOR THE REBIDDING ON THE PROVISION OF LABOR, MATERIALS, EQUIPMENT AND OTHER INCIDENTALS NEEDED FOR THE REHABILITATION OF IRRIGATION CANAL OF SALBANG DIVERSION DAM (DD) AT BRGY. SALBANG, PAOAY, ILOCOS NORTE 1.	The Department of Agricultur</t>
  </si>
  <si>
    <t xml:space="preserve"> VARIOUS MEDICINES AND LABORATORY SUPPLIES</t>
  </si>
  <si>
    <t xml:space="preserve"> INVITATION TO BID FOR THE REBIDDING ON THE PROVISION OF LABOR, MATERIALS, EQUIPMENT AND OTHER INCIDENTALS NEEDED FOR THE REHABILITATION OF IRRIGATION CANAL OF SAN AGUSTIN DIVERSION DAM (DD) AT BRGY. SAN AGUSTIN, PAOAY, ILOCOS NORTE 1.	The Department of Ag</t>
  </si>
  <si>
    <t xml:space="preserve"> Rabies Vaccine</t>
  </si>
  <si>
    <t xml:space="preserve"> Invitation to Rebid for the Construction of Multi-Purpose Hall 1.	The Municipal Government of Puerto Galera, through the LGU – Gender and Development (GAD) Fund Continuing Appropriation intends to apply the sum of One Million Four Hundred Ninety-Nine Thou</t>
  </si>
  <si>
    <t xml:space="preserve"> Consultancy Services for the Geotechnical Investigation for the Construction of Multi-Purpose Building</t>
  </si>
  <si>
    <t xml:space="preserve"> ALBAY 3RD DISTRICT ENGINEERING OFFICE																											 Paulog, Ligao City																											 																											 INVITATION TO BID																											 																											 The DPWH - Albay 3rd District Engineering O</t>
  </si>
  <si>
    <t xml:space="preserve"> Invitation to Rebid for the Supply &amp; Delivery of Materials for the  Rehabilitation of Drainage Canal 1.	The Municipal Government of Puerto Galera, through the LGU - Gender &amp; Development (GAD) Fund Continuing Appropriation intends to apply the sum of Six H</t>
  </si>
  <si>
    <t xml:space="preserve"> Invitation to Rebid for the Supply &amp; Delivery of Materials for the  Rehabilitation &amp; Improvement of Children’s Youth Park 1.	The Municipal Government of Puerto Galera, through the LGU - Gender &amp; Development (GAD) Fund Continuing Appropriation intends to a</t>
  </si>
  <si>
    <t xml:space="preserve"> Republic of the Philippines Cordillera Administrative Region Provincial Local Government Unit of Ifugao BIDS AND AWARDS COMMITTEE 2nd Floor COA Bldg., Capitol Compound Lagawe, Ifugao Email Ad.: bacgoodsifugao13@gmail.com INVITATION TO BID COMMON OFFICE SU</t>
  </si>
  <si>
    <t xml:space="preserve"> Concreting (width = 4.00m., thk. = 230mm) Roadway Excavation - Common Surplus Excavation Construction of Concrete Lined Canal and Other Minor Drainage Structures Installation of Metal Guardrails Including Concrete Post</t>
  </si>
  <si>
    <t xml:space="preserve"> SUPPLY AND DELIVERY OF SCHOOL SHOES (LEATHER) FOR DISTRIBUTION TO ALL PUBLIC ELEMENTARY AND SECONDARY SCHOOLS IN MAKATI CITY - Order of payment for Bid Docs will be available at GSD-Head Office @ 10th Floor Makati City Hall Bldg. 2.  Look for Mr. Reden Vi</t>
  </si>
  <si>
    <t xml:space="preserve"> Republic of the Philippines DEPARTMENT OF PUBLIC WORKS AND HIGHWAYS ZAMBOANGA DEL NORTE  1ST DISTRICT ENGINEERING OFFICE REGIONAL OFFICE IX Sta. Isabel, Dipolog City INVITATION TO BID The  DPWH ZN 1st District Engineering Office , through its Bids and Awa</t>
  </si>
  <si>
    <t xml:space="preserve"> INVITATION TO BID FOR THE REBIDDING ON THE PROVISION OF LABOR, MATERIALS, EQUIPMENT AND OTHER INCIDENTALS NEEDED FOR THE IMPROVEMENT OF MANUGOS SMALL SCALE IRRIGATION SYSTEM AT BRGY. PATIACAN, QUIRINO, ILOCOS SUR 1.	The Department of Agriculture Regional </t>
  </si>
  <si>
    <t xml:space="preserve"> Procurement of supply and delivery of tires 4	pcs	Exterior tires 265/70 R 16 (plain) 4	pcs	Exterior tires 265/60 R 18 (efficient crip) PR# 2020-901</t>
  </si>
  <si>
    <t xml:space="preserve"> Opening with gravelling (width = 6.00m., thk. = 200mm) Roadway Excavation - Common Surplus Excavation Construction of Minor Drainage Structures</t>
  </si>
  <si>
    <t xml:space="preserve"> Fuel (Diesel)</t>
  </si>
  <si>
    <t xml:space="preserve"> The Department of Public Works and Highways – Cordillera Administrative Region, through its Bids and Awards Committee (BAC) for Goods, invites suppliers to submit bids for the contract below: Contract ID No.:	20GP00062 Contract Name:	Purchase of Heavy Equ</t>
  </si>
  <si>
    <t xml:space="preserve"> I N V I T A T I O N  T O  B I D The Manila International Airport Authority, through its Bids and Awards Committee (BAC), invites interested parties to apply for eligibility and to bid for the hereunder service contract: 	 Name of Contract       :  	Replac</t>
  </si>
  <si>
    <t xml:space="preserve"> BOHOL ISLAND STATE UNIVERSITY Main Campus, Tagbilaran City INVITATION TO BID FOR PR NO. 2020-02-0267-MAIN-SUPPLY AND DELIVERY OF COSMETOLOGY EQUIPMENT FOR THE COSMETOLOGY TECHNOLOGY LABORATORY OF CTAS 1.	The Bohol Island State University – Main Campus, Ta</t>
  </si>
  <si>
    <t xml:space="preserve"> INVITATION TO BID FOR THE CONSTRUCTION OF DRAINAGE SYSTEM AT DON JUAN BAYVIEW SUBDIVISION, BRGY. SUCAT, MUNTINLUPA CITY (*RE-POSTED) 1.	The City Government of Muntinlupa, through its duly-approved Supplemental Budget for 2019 intends to apply the sum of T</t>
  </si>
  <si>
    <t xml:space="preserve"> CID No. 20IC00731:  1. Repair/Maint. of DPWH Bldg, Field Office &amp; Lab. Bldg, Leyte 1 DEO, Pawing, Palo, Leyte;  2. Repair/Maint. of DENR Bldg, LRA, Gov. Center, Palo, Leyte; Total ABC: P2,940,000.00; 144 CD ACTIVITY	TIME	PLACE 1.  Issuance/Downloading of </t>
  </si>
  <si>
    <t xml:space="preserve"> DIETARY SERVICES 460 PAX JULY TO DECEMBER 2020 ---------------------------------------------------------------------------------------------------------------------------- Bids received in excess of the ABC shall be automatically rejected during the bid o</t>
  </si>
  <si>
    <t xml:space="preserve"> INVITATION TO BID FOR Procurement of FUEL for LGU use (2nd quarter 2020) 1.	The Local Government Unit of Jimenez, Misamis Occidental  through the General Fund intends to apply the sum of Seven Hundred Fifteen Thousand Four Hundred Thirty One Pesos Only ( </t>
  </si>
  <si>
    <t xml:space="preserve"> INVITATION TO BID The DPWH Isabela 4th District Engineering Office through its Bids and Awards Committee (BAC), invites contractors to submit bids for the following Contract: Procurement ID / Contract ID			: 20BH0135 Contract Name/                        </t>
  </si>
  <si>
    <t xml:space="preserve"> Construction of Water Collector System</t>
  </si>
  <si>
    <t xml:space="preserve"> Laptop Computer 7 unit • Processor: AMD Ryzen 5 3500U • Memory: 8 GB DDR4 • Storage: 256 GB PCIe SSD + 1 TB HDD • OS: Windows 10 Pro 64 bit • Display: 15.6 inches • Weight: Not heavier than 1.63Kg • Connectivity: Wi-Fi: IEEE 802.11a/b/g/n/ac, 2.4 GHz and </t>
  </si>
  <si>
    <t xml:space="preserve"> CID No. 20IC0075:  Repair/Maint. of Cavite East Drainage System, Palo, Leyte;  ABC: P4,900,000.00; 93 CD ACTIVITY	TIME	PLACE 1.  Issuance/Downloading of       Bidding Documents	June 3 – 23, 2020	Hard copies at BAC Secretariat; DPWH, Leyte 1st District Eng</t>
  </si>
  <si>
    <t xml:space="preserve"> JANITORIAL SERVICES 48 PAX JULY TO DECEMBER 2020 -------------------------------------------------------------------------------------------------------------------------- Bids received in excess of the ABC shall be automatically rejected during the bid o</t>
  </si>
  <si>
    <t xml:space="preserve"> The Local Government Unit of Aglipay through 20% Municipal Development Fund (MDF) CY 2020  intends to apply the sum of One Million Five Hundred Forty Seven Thousand One Hundred Sixty Seven Pesos and 68/100 (Php 1, 547,167.68) being the Approved Budget for</t>
  </si>
  <si>
    <t xml:space="preserve"> Items of works to be done includes: -Site preparation, clearing &amp; leveling -Excavation -Reinforcing steel -Formworks -Structural concrete (includes widening block &amp; canal) -Fabrication and installation of G.I. pipe handrails -Backfill/ embankment -Grouted</t>
  </si>
  <si>
    <t xml:space="preserve"> The Metro Kalibo Water District, through the Bids and Awards Committee (BAC), will undertake Negotiated Procurement (Small Value Procurement) for the SUPPLY AND DELIVERY OF VARIOUS WATER SERVICE CONNECTION MATERIALS FOR REALIGNMENT OF 250MMØ HDPE TRANSMIS</t>
  </si>
  <si>
    <t xml:space="preserve"> SURIGAO STATE COLLEGE OF TECHNOLOGY Surigao City INVITATION TO BID FOR PRINTING OF COLLEGE YEARBOOK SY 2019-2020 INCLUDING PHOTOGRAPHY  1.	The Surigao State College of Technology, through the Corporate Budget for the Contract Approved by the Governing Boa</t>
  </si>
  <si>
    <t xml:space="preserve"> CID No. 20IC0074:  Repair/Maint. of Paran Creek, Flood Control, Brgy. District III, Babatngon, Leyte;  ABC: P3,920,000.00; 66 CD ACTIVITY	TIME	PLACE 1.  Issuance/Downloading of       Bidding Documents	June 3 – 23, 2020	Hard copies at BAC Secretariat; DPWH</t>
  </si>
  <si>
    <t xml:space="preserve"> Republic of the Philippines BIDS AND AWARDS COMMITTEE Cadiz City      BID DOCUMENTS for the CONSTRUCTION OF POWERHOUSE @ CDRRMC, BRGY. ZONE 3, CADIZ CITY (1) BIDS AND AWARDS COMMITTEE  Cadiz City   INVITATION TO BID/REQUEST FOR EXPRESSION OF INTEREST The </t>
  </si>
  <si>
    <t xml:space="preserve"> Republic of the Philippines City of Manila OFFICE OF THE CITY MAYOR BIDS AND AWARDS COMMITTEE INVITATION TO BID  The City Government of Manila, through the Capital Outlay FY 2019 - Continuing Appropriations, intends to apply the following amount for the f</t>
  </si>
  <si>
    <t xml:space="preserve"> Facilities for Engineer, Other General Requirements, Civil, Mechanical, Electrical and Sanitary/Plumbing Works, Earthwork, Plain and Reinforced Concrete Work, Finishing and Other Civil Works</t>
  </si>
  <si>
    <t xml:space="preserve"> 1.	The OFFICE OF CIVIL DEFENSE, through the OCD CY 2019 – Capital Outlay (Continuing Approprations), intends to apply the sum of Two Million Five Hundred Forty-Five Thousand, Nine Hundred Twenty Pesos (PHP 2,545,920.00) being the Approved Budget for the C</t>
  </si>
  <si>
    <t xml:space="preserve"> SUPPLIES/DELIVERIES FOR THE PROCUREMENT OF DIESEL FUEL AND SPECIAL GASOLINE TO BE USED IN THE OPERATION OF HRAS, QAS, PDS AND MS FOR THE 1ST AND 2ND QUARTER OF YEAR 2020, DINAGAT ISLANDS DISTRICT ENGINEERING OFFICE 1.	The Department of Public Works and Hi</t>
  </si>
  <si>
    <t xml:space="preserve"> 1.	The OFFICE OF CIVIL DEFENSE, through the OCD CY 2019 – Capital Outlay (Continuing Approprations), intends to apply the sum of Twelve Million, One Hundred Forty Six Thousand, Nine Hundred Sixty Seven and 54/100 Pesos (PHP12,146,967.54) being the Approve</t>
  </si>
  <si>
    <t xml:space="preserve"> The Metro Kalibo Water District, through the Bids and Awards Committee (BAC), will undertake Alternative Mode of Procurement (Shopping b) for the SUPPLY &amp; DELIVERY OF VARIOUS INK/TONER FOR OFFICE USE – 2ND QUARTER PROCUREMENT in accordance with Section 52</t>
  </si>
  <si>
    <t xml:space="preserve"> A seminar for the volunteers about disaster risk reduction and management that would train and equip them with knowledge and skills about Basic Life Support and fast emergency response through the use of the bike.</t>
  </si>
  <si>
    <t xml:space="preserve"> 1.	The Development Bank of the Philippines, through the Corporate Budget approved by the Board for CY 2020 intends to apply the sum of Two Million Three Hundred Fifty-Two Thousand Pesos &amp; 00/100 (Php2,352,000.00) (for 3 years) (at Php56,000.00 per license</t>
  </si>
  <si>
    <t xml:space="preserve"> Procurement of Food Packs for assistance to BPAs and other similar facilities serving CICL due to Coid-19 Threat 		Food Packs:					Note: Please provide the brand you offer for each items, if applicable							 5,000	pack/sachet	Powdered Chocolate Energy Dr</t>
  </si>
  <si>
    <t xml:space="preserve"> INVITATION TO BID FOR  COLLECTION, HAULING, TRANSPORT AND DISPOSAL OF WASTE OF CITY OF TRECE MARTIRES FOR THE MONTH OF JULY 1,2020 TO AUGUST 15,2020 1.	The City Government of Trece Martires, through the  GENERAL FUND Devt. ( 2020) approved by the Sangguni</t>
  </si>
  <si>
    <t xml:space="preserve"> Republic of the Philippines DEPARTMENT OF PUBLIC WORKS AND HIGHWAYS BATANGAS II  DISTRICT ENGINEERING OFFICE REGIONAL OFFICE IV-A Kumintang Ilaya, Batangas City INVITATION TO BID For Repair/Maintenance of DOJ Building, NBI Office Building, Kumintang Ibaba</t>
  </si>
  <si>
    <t xml:space="preserve"> INVITATION TO BID FOR  CONSTRUCTION OF CREMATORIUM AT TRECE MARTIRES CITY MEMORIAL PARK AT BRGY. AGUADO, TMC 1.	The City Government of Trece Martires, through the Re-allignment  20% Devt. Fund ( 2020) approved by the Sangguniang Panlungsod intends to appl</t>
  </si>
  <si>
    <t xml:space="preserve"> Bids received in excess of the ABC shall be automatically rejected at bid opening. The bidders should have completed within ten (10) years from the date of submission and receipt of bids, a contract similar to the project. The description of an eligible b</t>
  </si>
  <si>
    <t xml:space="preserve"> 1.	4		unit		Tent	 2.	1		set		CCTV camera	 					- CCTV Camera	 					- CCTV Connector	 					- CCTV Cable Wire</t>
  </si>
  <si>
    <t xml:space="preserve"> SUPPLIES/DELIVERIES FOR THE PROCUREMENT OF VARIOUS SPARE PARTS FOR THE PREVENTIVE MAINTENANCE OF THE OFFICIAL VEHICLES OF DPWH-DIDEO, DPWH – COMPOUND, BRGY. CUARINTA, SAN JOSE, DINAGAT ISLANDS FOR THE 2ND QUARTER OF C.Y. 2020 1.	The Department of Public W</t>
  </si>
  <si>
    <t xml:space="preserve"> INVITATION TO BID IB-2020-083-INFRA        Improvement/Deepening of Makati-Pateros River, District II, Makati City 1.	The Metropolitan Manila Development Authority, through the 2020 General Appropriations Act (GAA) intends to apply the sum of Nineteen Mil</t>
  </si>
  <si>
    <t xml:space="preserve"> Republic of the Philippines DEPARTMENT OF PUBLIC WORKS AND HIGHWAYS CAMARINES SUR 5TH  DISTRICT ENGINEERING OFFICE REGIONAL OFFICE V Sta. Teresita, Baao, Camarines Sur INVITATION TO BID The Department of Public Works and Highways (DPWH) Camarines Sur 5th,</t>
  </si>
  <si>
    <t xml:space="preserve"> Procurement of Semi-Expendable Items for Assistance to BPAs and other Similar Facilities Serving CICL due to COVID-19 Threat.  7	pc	Single Bed Linen/Bed Sheet (99 x 190 + 38CM (39 x 75+15")				 7	pc	Bath Tower				 7	pc	Standard Pillow Case (20" x 26")				</t>
  </si>
  <si>
    <t xml:space="preserve"> 1.)	  40 	 - rolls	 - Gill Net (.25 x 7 x 50 matas) 1000 meters 2.)	  40 	 - rolls	 - Gill Net (.25 x 8 x 50 matas) 1000 meters 3.)	  200  - kgs	 - Lead Sinker - Diameter: 15mm x 8mm 4.)	  40 	 - rolls	 - PE Rope #5 5.)	  6,000 	-  pcs	 - Floaters - Diame</t>
  </si>
  <si>
    <t xml:space="preserve"> Procurement ID/Contract ID		: 	20CL0041 Contract Name	: 	Widening of Permanent Bridges, Alusiis Br. (B01392LZ) along Olongapo- Bugallon Road, San Narciso, Zambales Contract Location	: 	San Narciso, Zambales Brief Description	: 	Widening of Permanent Bridg</t>
  </si>
  <si>
    <t xml:space="preserve"> INVITATION TO BID FOR  CONSTRUCTION OF PERIMETER FENCING OF SUNSHINEVILLE, ELEMENTARY SCHOOL, BRGY. CABUCO, TMC 1.	The City Government of Trece Martires, through the SPECIAL EDUCATION Fund ( 2020) approved by the Sangguniang Panlungsod intends to apply th</t>
  </si>
  <si>
    <t xml:space="preserve"> Republic of the Philippines DEPARTMENT OF PUBLIC WORKS AND HIGHWAYS BATANGAS II  DISTRICT ENGINEERING OFFICE REGIONAL OFFICE IV-A Kumintang Ilaya, Batangas City INVITATION TO BID For Supply and Delivery of Joint Sealant for the various Roads of Batangas I</t>
  </si>
  <si>
    <t xml:space="preserve"> INVITATION TO BID FOR  SUPPLY AND DELIVERY OF RICE AND SANDO BAG 1.	The City Government of Trece Martires, through the TRUST  Fund intends to apply the sum of One Million Four hundred ninety nine thousand nine hundred eighty pesos only  ( Php 1,499,980.00</t>
  </si>
  <si>
    <t xml:space="preserve"> Republic of the Philippines	 Department of Science and Technology PHILIPPINE SCIENCE HIGH SCHOOL – ZAMBOANGA PENINSULA REGION CAMPUS Cogon, Dipolog City INVITATION TO BID FOR THE PROCUREMENT OF SITE DEVELOPMENT (PHASE V) Design and Build APPROVED BUDGET F</t>
  </si>
  <si>
    <t xml:space="preserve"> INVITATION TO BID FOR  CONSTRUCTION OF BARANGAY HEALTH STATION ( BHS) AT BARANGAY CONCHU, TMC 1.	The City Government of Trece Martires, through the TRUST FUND Fund ( 2020) approved by the Sangguniang Panlungsod intends to apply the sum of ONE MILLION FOUR</t>
  </si>
  <si>
    <t xml:space="preserve"> Procurement ID/Contract ID		: 	20CL0001 Contract Name	: 	Rehabilitation/Reconstruction/Upgrading of Damaged Paved Roads-  Secondary Road Olongapo-Bugallon Road K0 181 + 000 - K0181+124.70 Contract Location	: 	Cabangan, Zambales Brief Description	: 	Recons</t>
  </si>
  <si>
    <t xml:space="preserve"> Republic of the Philippines PROVINCE OF BUKDINON Malaybalay City OFFICE OF THE PROVINCIAL GOVERNOR Bids and Awards Committee INVITATION TO BID FOR THE “PROCUREMENT AND INSTALLATION OF OFFICE CUBICLES FOR PROVINCIAL AND NATIONAL EXTENSION OFFICE” ITB No. 2</t>
  </si>
  <si>
    <t xml:space="preserve"> Supply of Road Maintenance Materials</t>
  </si>
  <si>
    <t xml:space="preserve"> Republic of the Philippines DEPARTMENT OF PUBLIC WORKS and HIGHWAYS SULTAN KUDARAT 2ND DISTRICT ENGINEERING OFFICE REGION XII Lebak, Sultan Kudarat Contract ID No. : Contract Name : Contract Location : Brief Description of Goods to be procured: Quantity U</t>
  </si>
  <si>
    <t xml:space="preserve"> INVITATION TO BID FOR  IMPROVEMENT / UPGRADING OF ELECTRICAL FACILITIES OF LUIS AGUADO NATIONAL HIGH SCHOOL, BRGY. AGUADO, TRECE MARTIRES CITY 1.	The City Government of Trece Martires, through the Special Education Fund ( 2020) approved by the Sangguniang</t>
  </si>
  <si>
    <t xml:space="preserve"> Republic of the Philippines BIDS AND AWARD COMMITTEE Province of Batangas INVITATION TO BID The Provincial Government of Batangas, through its Bids and Awards Committee (BAC) invites all accredited suppliers, distributors and manufacturers to bid on the f</t>
  </si>
  <si>
    <t xml:space="preserve"> The Department of Agriculture-RFO 3, invites interested suppliers/ bidders to submit bid proposal(s) for the hereunder requirement, to wit: LIVE ANIMALS	 	 115 head UPGRADED EWE	 - 6 to 8 months old	 - not less than 18 kg	 - with Certification from Vet on</t>
  </si>
  <si>
    <t xml:space="preserve"> construction of covered court</t>
  </si>
  <si>
    <t xml:space="preserve"> RRepublic of the Philippines Province of Ilocos Norte MUNICIPALITY OF PINILI RE-INVITATION TO BID FOR “PROVISION OF POTABLE WATER (PHASE II) AT BARANGAY PUZOL”  1.	The Municipality of Pinili, Ilocos Norte through the MDF 2020 intends to apply the sum TWO </t>
  </si>
  <si>
    <t xml:space="preserve"> CID No. 20IC0059 (2nd re-advertisement): Const. of San Miguel Integrated Transport Terminal, San Miguel, Leyte; ABC: P14,700,000.00; 186 CD ACTIVITY	TIME	PLACE 1.  Issuance/Downloading of       Bidding Documents	June 3 – 23, 2020	Hard copies at BAC Secret</t>
  </si>
  <si>
    <t xml:space="preserve"> Republic of the Philippines     DEPARTMENT OF PUBLIC WORKS AND HIGHWAYS   BUKIDNON 3RD  DISTRICT ENGINEERING OFFICE REGION X Dicklum, Manolo Fortich, Bukidnon ------------------------------------------------------------------------------------------------</t>
  </si>
  <si>
    <t xml:space="preserve"> Please see attached ITB and RFQ in Associated Component Section for Specifications</t>
  </si>
  <si>
    <t xml:space="preserve"> Republic of the Philippines Province of Ilocos Norte MUNICIPALITY OF PINILI INVITATION TO BID FOR  “SUPPLY OF VARIOUS OFFICE SUPPLIES” 1.	The Municipality of Pinili, Ilocos Norte through the General Fund  intends to apply the sum FIVE HUNDRED FORTY TWO TH</t>
  </si>
  <si>
    <t xml:space="preserve"> Republic of the Philippines Province of Batanes MUNICIPALITY OF SABTANG -oOo- BIDS AND AWARDS COMMITTEE INVITATION TO APPLY FOR ELIGIBILITY AND TO BID The LGU-Sabtang has allocated funds from 20% Development Fund - PLGU which is intended for the payment o</t>
  </si>
  <si>
    <t xml:space="preserve"> Republic of the Philippines Province of Batanes MUNICIPALITY OF SABTANG -oOo- BIDS AND AWARDS COMMITTEE INVITATION TO APPLY FOR ELIGIBILITY AND TO BID The LGU-Sabtang has allocated funds from BUB - DA which is intended for the payment of the contract; Con</t>
  </si>
  <si>
    <t xml:space="preserve"> The DPWH Nueva Ecija 1st DEO, through its Bids and Awards Committee (BAC), invites contractors to submit bids for the following contract:			 				 	20CE0207: Widening of Permanent Bridges Manicla Br. (B01968LZ) along Daang Maharlika (LZ)			 				 				 	CONT</t>
  </si>
  <si>
    <t xml:space="preserve"> Republic of the Philippines Province of Batanes MUNICIPALITY OF SABTANG -oOo- BIDS AND AWARDS COMMITTEE INVITATION TO APPLY FOR ELIGIBILITY AND TO BID The LGU-Sabtang has allocated funds from DOH-HFEP 2012 which is intended for the payment of the contract</t>
  </si>
  <si>
    <t xml:space="preserve"> Republic of the Philippines Province of Batanes MUNICIPALITY OF SABTANG -oOo- BIDS AND AWARDS COMMITTEE INVITATION TO APPLY FOR ELIGIBILITY AND TO BID The LGU-Sabtang has allocated funds from 20% Development Fund-PLGU which is intended for the payment of </t>
  </si>
  <si>
    <t xml:space="preserve"> Repair of Existing Concrete Revetment</t>
  </si>
  <si>
    <t xml:space="preserve"> Republic of the Philippines Province of Batanes MUNICIPALITY OF SABTANG -oOo- BIDS AND AWARDS COMMITTEE INVITATION TO APPLY FOR ELIGIBILITY AND TO BID The LGU-Sabtang has allocated funds from 20% Development Fund (MLGU-FY2020) which is intended for the pa</t>
  </si>
  <si>
    <t xml:space="preserve"> INVITATION TO BID FOR THE  PROCUREMENT OF 1 UNIT RISOGRAPH MACHINE RHU, STA. FE, LEYTE (REBID) (BDG-2020-01R) 1.	 The Local Government Unit of Sta. Fe, Leyte, through the TRUST Fund CY 2019 intends to apply the sum of One Hundred Forty Pesos Only (Phpq140</t>
  </si>
  <si>
    <t xml:space="preserve"> 1.	Supply and Delivery of 2,085 bags Hybrid Yellow Corn Seeds Total ABC: Php9,382,500.00 Line Item No. 1: Supply and Delivery of 495 bags NSIC 2005 GMCn11 ABC: Php2,227,500.00 Specifications: -	Glyphosate Tolerant -	Packed at 9 kg/bag -	Germination rate: </t>
  </si>
  <si>
    <t xml:space="preserve"> 1.	Supply and Delivery of 2 units Hauling Trucks ABC: Php4,000,000.00 Specifications: -	Brand New -	Displacement :2,900cc to 4,500cc -	Emission Standard; Euro IV Compliant -	Engine System: Commonrail Direct Injection Type,      4 cylinder -	Payload Capaci</t>
  </si>
  <si>
    <t xml:space="preserve"> Republic of the Philippines Province of Batanes MUNICIPALITY OF SABTANG -oOo- BIDS AND AWARDS COMMITTEE INVITATION TO APPLY FOR ELIGIBILITY AND TO BID The LGU-Sabtang has allocated funds from 20% Development Fund – 2018 PGB which is intended for the payme</t>
  </si>
  <si>
    <t xml:space="preserve"> INVITATION TO BID IB-2020-085-INFRA Dredging / Deepening of Buwaya Creek and its Vicinities, (Inside Camp Aguinaldo) District III, Quezon City 1.	The Metropolitan Manila Development Authority, through the 2020 General Appropriations Act (GAA)intends to ap</t>
  </si>
  <si>
    <t xml:space="preserve"> Republic of the Philippines Province of Batanes MUNICIPALITY OF SABTANG -oOo- BIDS AND AWARDS COMMITTEE INVITATION TO APPLY FOR ELIGIBILITY AND TO BID The LGU-Sabtang has allocated funds from 20% Development Fund (MLGU) which is intended for the payment o</t>
  </si>
  <si>
    <t xml:space="preserve"> The DPWH Nueva Ecija 1st DEO, through its Bids and Awards Committee (BAC), invites contractors to submit bids for the following contract:			 				 	20CE0208: Replacement of Permanent Weak Bridges Amawinan Br. (B01981LZ) along Daang Maharlika (LZ)			 				 	</t>
  </si>
  <si>
    <t xml:space="preserve"> INVITATION TO BID IB-2020-084-INFRA Improvement of Saranai Creek (Phase II) District I, Caloocan City 1.	The Metropolitan Manila Development Authority, through the 2020 General Appropriations Act (GAA)intends to apply the sum of FourteenMillion, NineHundr</t>
  </si>
  <si>
    <t xml:space="preserve"> 1.	Construction of 4 units Organic Fertilizer Production Facility Prototype C ABC: Php2,000,000.00 Scope of Works: -	Item 802 Excavation Works				: 19.10 cu.m -	Item 900 (1) Reinforced Concrete			: 14.26 cu.m -	Item 901-414 (2) Masonry Works			: 71.80 sq.</t>
  </si>
  <si>
    <t xml:space="preserve"> INVITATION TO BID FOR THE  PROCUREMENT OF 2 UNITS FOGGING MACHINE,  STA. FE, LEYTE (BDG-2020-02) 1.	 The Local Government Unit of Sta. Fe, Leyte, through the GENERAL Fund CY 2020 intends to apply the sum of Three Hundred Sixty Thousand Pesos Only (Phpq360</t>
  </si>
  <si>
    <t xml:space="preserve"> An on-wheel library that will bring educational materials to the streets that will be used  for the improvement learning of KK members.</t>
  </si>
  <si>
    <t xml:space="preserve"> INVITATION TO BID FOR THE FURNISHING OF LABOR AND MATERIALS FOR THE RIP RAPPING OF BARANGAY DANAO, TIGBAUAN, ILOILO</t>
  </si>
  <si>
    <t xml:space="preserve"> INVITATION TO BID IB-2020-086-INFRA Improvement / Maintenance of Blumentritt Interceptor and Vicinities, Sampaloc, District IV, Manila 1.	The Metropolitan Manila Development Authority, through the 2020 General Appropriations Act (GAA)intends to apply the </t>
  </si>
  <si>
    <t xml:space="preserve"> To improve awareness and identity, develop talents and potential, build human capital and facilitate employability.</t>
  </si>
  <si>
    <t xml:space="preserve"> INVITATION TO BID IB-2020-090-INFRA Desilting / Cleaning of Pacheco Drainage Main, Tondo, District I, Manila 1.	The Metropolitan Manila Development Authority, through the 2020 General Appropriations Act (GAA)intends to apply the sum of SixteenMillion, Nin</t>
  </si>
  <si>
    <t xml:space="preserve"> INVITATION TO BID IB-2020-088-INFRA Rehabilitation / Bank Improvement of Estero De Magdalena Tondo, District II, Manila 1.	The Metropolitan Manila Development Authority, through the 2020 General Appropriations Act (GAA)intends to apply the sum of Twenty-T</t>
  </si>
  <si>
    <t xml:space="preserve"> INVITATION TO BID IB-2020-089-INFRA Improvement of Casili Creek, District II, Caloocan City 1.	The Metropolitan Manila Development Authority, through the 2020 General Appropriations Act (GAA)intends to apply the sum of NineMillion, NineHundredEighty-NineT</t>
  </si>
  <si>
    <t xml:space="preserve"> Municipality of Looc Invitation to Bid for Construction of Covered Court in Tabao-Ambil 1.	The Municipality of Looc, through the OM/CO Supple 2 intends to apply the sum of Php 6,500,000.00 being the Approved Budget for the Contract (ABC) to payments under</t>
  </si>
  <si>
    <t xml:space="preserve"> 1.The Local Government Unit of San Andres, Quezon through its 20% Development Fund intends to apply the sum of One Million Pesos (Php 1,000,000.00) only being the Approved Budget for the Contract (ABC) to payments under the contract for Construction of Ma</t>
  </si>
  <si>
    <t xml:space="preserve"> Contract ID:	20LG0119 Contract Name:			Construction of Rain Water Collector System (RWCS), Davao Oriental 2nd District Engineering Office Contract Location:	Davao Oriental Brief Description:	Construction of Rain Water Collector System Approved Budget for </t>
  </si>
  <si>
    <t xml:space="preserve"> 1.The Local Government Unit of San Andres, Quezon through its 20% Development Fund intends to apply the sum of One Million Pesos (Php 1,000,000.00) only being the Approved Budget for the Contract (ABC) to payments under the contract for Construction of RH</t>
  </si>
  <si>
    <t xml:space="preserve"> INVITATION TO BID IB-2020-087-INFRA Improvement of Catmon-Niugan Creek, Malabon City 1.	The Metropolitan Manila Development Authority, through the 2020 General Appropriations Act (GAA)intends to apply the sum of Two Million, ThreeHundredNinety-FiveThousan</t>
  </si>
  <si>
    <t xml:space="preserve"> 1.The Local Government Unit of San Andres, Quezon through its 20% Development Fund intends to apply the sum of Two Hundred Fifty Thousand Pesos (Php 250,000.00) only being the Approved Budget for the Contract (ABC) to payments under the contract for Rehab</t>
  </si>
  <si>
    <t xml:space="preserve"> 1.The Local Government Unit of San Andres, Quezon through its 20% Development Fund intends to apply the sum of One Million Pesos (Php 1,000,000.00) only being the Approved Budget for the Contract (ABC) to payments under the contract for Construction of Ba</t>
  </si>
  <si>
    <t xml:space="preserve"> Republic of the Philippines DEPARTMENT OF PUBLIC WORKS AND HIGHWAYS BATANGAS III DISTRICT ENGINEERING OFFICE REGIONAL OFFICE IV-A J. Gonzales St., Barangay 4, Tanauan City RE-INVITATION TO BID (CW-2020-033) The DPWH–Batangas III District Engineering Offic</t>
  </si>
  <si>
    <t xml:space="preserve"> The Department of Agriculture-RFO 3, invites interested suppliers/ bidders to submit bid proposal(s) for the hereunder requirement, to wit: Range Feeds, 50 kg/bag	1090 bags   - Not less than 13% Crude Protein 	  Rice Bran D1, 50 kg/bag	310 bags Corn Meal,</t>
  </si>
  <si>
    <t xml:space="preserve"> The Department of Agriculture-RFO 3, invites interested suppliers/ bidders to submit bid proposal(s) for the hereunder requirement, to wit: 50,683 BAGS FERTILIZER  UREA (46-0-0) / GRANULAR  @ 50 KGS/BAG	 Note: 1.	Fertilizer will be delivered to the identi</t>
  </si>
  <si>
    <t xml:space="preserve"> INVITATION TO BID FOR THE SUPPLY OF THERMOPLASTIC PAINT MATERIALS The Department of Public Works and Highways Cebu 6th District Engineering Office, through its Bids and Awards Committee (BAC) for Goods, invites suppliers to submit bids for the following C</t>
  </si>
  <si>
    <t xml:space="preserve"> CID No. 20IC0067 (2nd re-advertisement):  Const. of Two (2) Storey School Building, EVSU, Tanauan Campus, Tanauan, Leyte;  ABC: P8,820,000.00; 140 CD ACTIVITY	TIME	PLACE 1.  Issuance/Downloading of       Bidding Documents	June 3 – 23, 2020	Hard copies at </t>
  </si>
  <si>
    <t xml:space="preserve"> CID No. 20IC0068 (2nd re-advertisement):  Const. of Ground Water Tank with PE Liner, San Miguel, Leyte;  ABC: P8,820,000.00; 216 CD ACTIVITY	TIME	PLACE 1.  Issuance/Downloading of       Bidding Documents	June 3 – 23, 2020	Hard copies at BAC Secretariat; D</t>
  </si>
  <si>
    <t xml:space="preserve"> CID No. 20IC0065 (2nd re-advertisement):  Const. of San Miguel Waterworks System Level III, Cabac-an Watershed, Brgy. Bahay, San Miguel, Leyte;  ABC: P14,700,000.00; 279 CD ACTIVITY	TIME	PLACE 1.  Issuance/Downloading of       Bidding Documents	June 3 – 2</t>
  </si>
  <si>
    <t xml:space="preserve"> ITEM       PARTICULAR                  QTY.             UNIT I.            LAY-OUT                        3.30            SQ.M. II.           FORM WORKS               12.56            LOT III.          MASONRY WORKS         41.38           CU.M. IV.      </t>
  </si>
  <si>
    <t xml:space="preserve"> The Department of Agriculture-RFO 3, invites interested suppliers/ bidders to submit bid proposal(s) for the hereunder requirement, to wit: 2 units Hauling Truck Specification: Maximum Output Power: 163.0 Horsepower @ 3,400 rpm Engine Displacement: 3,200 </t>
  </si>
  <si>
    <t xml:space="preserve"> CID No. 20IC0066 (2nd re-advertisement):  Rd Rehab. &amp; Drainage Line Const. of Brgy. Rd from Maharlika Hwy to Police RO 8 Gate 2, Camp Kangleon, Campetic, Palo, Leyte;  ABC: P13,720,000.00; 105 CD ACTIVITY	TIME	PLACE 1.  Issuance/Downloading of       Biddi</t>
  </si>
  <si>
    <t xml:space="preserve"> CID No. 20IC0064 (2nd re-advertisement):  Const. of San Miguel Waterworks System III, Catambag Watershed, Brgy. Caraycaray, San Miguel, Leyte;  ABC: P14,700,000.00; 279 CD ACTIVITY	TIME	PLACE 1.  Issuance/Downloading of       Bidding Documents	June 3 – 23</t>
  </si>
  <si>
    <t xml:space="preserve"> Contract ID: 20PF0065 Contract Name: Construction/Rehabilitation of Water Supply/Septage and Sewerage/Rain Water Collector Systems CY 2020 Brief Description: Water Supply (Level 1): Construction Approved Budget for the Contract (ABC): PhP 4,086,775.00 Sou</t>
  </si>
  <si>
    <t xml:space="preserve"> CID No. 20IC0069 (2nd re-advertisement):  Reconst. of Tolosa Public Market, Brgy. Telegrafo, Tolosa, Leyte;  ABC: P4,975,000.00; 120 CD ACTIVITY	TIME	PLACE 1.  Issuance/Downloading of       Bidding Documents	June 3 – 23, 2020	Hard copies at BAC Secretaria</t>
  </si>
  <si>
    <t xml:space="preserve"> Contract ID: 20PF0064 Contract Name: Rehabilitation / Restoration of Road Slip along Gov. Bado Dangwa National Road, K0347+490 - K0347+545, Pulag, Gambang, Bakun, Benguet Brief Description: Roads: Construction - Slope Protection using Structural Measures </t>
  </si>
  <si>
    <t xml:space="preserve"> CID No. 20IC0070 (2nd re-advertisement):  Const. of Covered Court, Brgy. Quilao, Tolosa, Leyte;  ABC: P2,970,000.00; 55 CD ACTIVITY	TIME	PLACE 1.  Issuance/Downloading of       Bidding Documents	June 3 – 23, 2020	Hard copies at BAC Secretariat; DPWH, Leyt</t>
  </si>
  <si>
    <t xml:space="preserve"> Lot 1 - Pump and VFD Control 1 lot Vertical In-Line Centrifugal Pump and Variable Frequency Drive (VFD) Lot 2 – CI Fittings 5	pcs C.I. Sleeve Coupling 4" PVC/PVC 3	pcs C.I. Sleeve Coupling 6" PVC/PVC 1	pc C.I. Sleeve Coupling 3" PVC/PVC 1	pc C.I. Sleeve C</t>
  </si>
  <si>
    <t xml:space="preserve"> Republic of the Philippines Province of Nueva Vizcaya Municipality of Bambang -oOo- INVITATION TO BID The Local Government Unit of Bambang, through the General Fund, intends to apply the sum of ONE MILLION TWO HUNDRED FORTY SIX THOUSAND SIX HUNDRED SEVENT</t>
  </si>
  <si>
    <t xml:space="preserve"> 20F00122 - OO1: Ensure Safe and Reliable National Road System – Bridge Program – Widening of Permanent Bridges – Magsaysay Br. (B00474LZ) along MT Villanueva Ave-Magsaysay Road, Naga City, Camarines Sur 3rd Legislative District</t>
  </si>
  <si>
    <t xml:space="preserve"> 20F00113 - Local Program – Construction/Repair/Rehabilitation/Improvement of Various Infrastructure including Local Projects – Local Roads and Bridges – Local Roads – Construction of Pasacao-Balatan Coastal Road, Brgy. Pinamasagan, San Fernando, Camarines</t>
  </si>
  <si>
    <t xml:space="preserve"> 20F00110 - Local Program – Construction/Repair/Rehabilitation/Improvement of Various Infrastructure including Local Projects – Local Roads and Bridges – Local Roads – Construction of Pasacao-Balatan Coastal Road, Brgy. Cotmo, San Fernando, Camarines Sur (</t>
  </si>
  <si>
    <t xml:space="preserve"> 20F00059 - OO1: Ensure Safe and Reliable National Road System – Network Development Program – Road Widening – Secondary Roads, Masbate-Cataingan-Placer Road, Cataingan, Masbate (3rd Legislative District)</t>
  </si>
  <si>
    <t xml:space="preserve"> 20F00123 - OO1: Ensure Safe and Reliable National Road System – Bridge Program – Widening of Permanent Bridges – Pili Airport Br. (B00418LZ) along Pili Airport Road, Pili, Camarines Sur 3rd Legislative District</t>
  </si>
  <si>
    <t xml:space="preserve"> 10 bags Corn Seeds (OPV), White														 5 bags Corn Seeds (Hybrid), Yellow														 10 bags Rice Seeds (Certified)														 10 bags Rice Seeds (Hybrid)														 15 bags Ammonium Sulfate														 15 bags Urea														 25 bags</t>
  </si>
  <si>
    <t xml:space="preserve"> 20F00108 - Convergence and Special Support Program – Construction/Improvement of Access Roads Leading to Declared Tourism Destinations – Pasacao-Balatan Tourism Coastal Highway Leading to Pasacao Port to White Sand Beaches (Pasacao Section), Pasacao, Cama</t>
  </si>
  <si>
    <t xml:space="preserve"> Republic of the Philippines Department of Health WESTERN VISAYAS SANITARIUM Santa Barbara, Iloilo INVITATION TO BID FOR Procurement of Various Office Supplies,  Customized Logbooks &amp; Forms and ICT Consumables IB No. 2020-06-010-G The Western Visayas Sanit</t>
  </si>
  <si>
    <t xml:space="preserve"> 20F00075 - OO1: Ensure Safe and Reliable National Road System – Network Development Program – Construction of By-Pass and Diversion Roads – Naga-Jct. Magarao-Canaman-Libmanan Jct. PPH Road (Skybridge), Camarines Sur, Libmanan, Camarines Sur 2nd Legislativ</t>
  </si>
  <si>
    <t xml:space="preserve"> PB NO. 2020-028		 			 1.	1	lot	Proposed Installation Motorized Roll Ups Door at San Pablo City Shopping Mall and Public Market, San Pablo City. 			By: Contract 			 	Deadline for Submission of Bids: June 24, 2020 1:00 pm</t>
  </si>
  <si>
    <t xml:space="preserve"> Project billboard 1.00 lot Reinforce Concrete canal Lining: Structure Excavation 270.02 cu.m Reinforced Concrete Class A w/o Forms 35.86 cu.m. Reinforced Concrete Class A w/ forms 50.63 cu.m.</t>
  </si>
  <si>
    <t xml:space="preserve"> The Zamboanga State College of Marine Sciences and Technology (ZSCMST), through its Bids and Awards Committee, is inviting PhilGeps registered suppliers to apply for eligibility and to submit bids for the items mentioned hereunder: B-015-2020 SUPPLY AND D</t>
  </si>
  <si>
    <t xml:space="preserve"> 12 LITER FOLIAR FERTILIZER (LIQUID) 6 BAGS COMPLETE (14-14-14) 6 BAGS UREA (46-0-0) 6 BAGS MURIATE OF POTASH (0-0-60) 60 BAGS VERMICAST 6 CAN EGGPLANT - 25g/CAN 6 CAN TOMATO - 25g/CAN 6 KG POLE SITAO 6 KG OKRA 30 SACHETS HOT PEPPER 30 SACHETS KALABASA 6 K</t>
  </si>
  <si>
    <t xml:space="preserve"> Conference Table of Sangguniang Barangay Officials</t>
  </si>
  <si>
    <t xml:space="preserve"> Republic of the Philippines Province of Bohol Municipality of Loon OFFICE OF THE BIDS AND AWARDS COMMITTEE Request for Expression of Interest CONSULTING SERVICES FOR SONAR SURVEY Contract No.: CS2020-01 1.	The Local Government Unit of Loon, Bohol, through</t>
  </si>
  <si>
    <t xml:space="preserve"> Item I	-11.064 cu.m. Excavation works Item II	-87 cu.m. Embankment  Item III	-10.87 cu.m. Concrete works Item IV	-182.28 sq.m. Masonry works Item V	-97.2 sq.m. Trusses and roofing Item VI	-29.8 l.m Railings Item VII	-LS Formworks Item VIII	-128.26 sq.m. P</t>
  </si>
  <si>
    <t xml:space="preserve"> The Zamboanga State College of Marine Sciences and Technology (ZSCMST), through its Bids and Awards Committee, is inviting PhilGeps registered suppliers to apply for eligibility and to submit bids for the items mentioned hereunder: B-014-2020 SUPPLY AND D</t>
  </si>
  <si>
    <t xml:space="preserve"> Location : Daraga, Albay Scope of Work : Construction of Barangay Health Station (6m x 8m), works includes Earthworks, Plain and Reinforced Concrete, Masonry Works, Doors and Windows, Roof Framing, Roofing and Tinsmithry, Plastering Works, Painting for St</t>
  </si>
  <si>
    <t xml:space="preserve"> The Zamboanga State College of Marine Sciences and Technology (ZSCMST), through its Bids and Awards Committee, is inviting PhilGeps registered suppliers to apply for eligibility and to submit bids for the items mentioned hereunder: B-010-2020-A SUPPLY AND</t>
  </si>
  <si>
    <t xml:space="preserve"> May 28, 2020 INVITATION TO BID  The Department of Public Works and Highways, Mindoro Occidental District Engineering Office, Mamburao, Occidental Mindoro, through its Bids and Award Committee (BAC), invites contractors to submit bids for the following Con</t>
  </si>
  <si>
    <t xml:space="preserve"> PB NO. 2020-027		 			 1.	1	lot	Proposed Construction of Stockroom for CTO / CGSO at Brgy. San Gabriel, San Pablo City. 			By: Contract 			 	Deadline for Submission of Bids: June 24, 2020 10:00 am</t>
  </si>
  <si>
    <t xml:space="preserve"> May 28, 2020 RE-INVITATION TO BID  The Department of Public Works and Highways, Mindoro Occidental District Engineering Office, Mamburao, Occidental Mindoro, through its Bids and Award Committee (BAC), invites contractors to submit bids for the following </t>
  </si>
  <si>
    <t xml:space="preserve"> The Zamboanga State College of Marine Sciences and Technology (ZSCMST), through its Bids and Awards Committee, is inviting PhilGeps registered suppliers to apply for eligibility and to submit bids for the items mentioned hereunder: B-031-2020 SUPPLY AND D</t>
  </si>
  <si>
    <t xml:space="preserve"> Location : Legazpi City, Albay Scope of Work : Construction of Barangay Health Station (6m x 8m), works includes Earthworks, Plain and Reinforced Concrete, Masonry Works, Doors and Windows, Roof Framing, Roofing and Tinsmithry, Plastering Works, Painting </t>
  </si>
  <si>
    <t xml:space="preserve"> Republic of the Philippines DEPARTMENT OF PUBLIC WORKS AND HIGHWAYS CAMARINES SUR 1st DISTRICT ENGINEERING OFFICE REGIONAL OFFICE V Baras, Canaman, Camarines Sur INVITATION TO BID The      DPWH -Camarines Sur 1st DEO, through its Bids and Awards Committee</t>
  </si>
  <si>
    <t xml:space="preserve"> The Zamboanga State College of Marine Sciences and Technology (ZSCMST), through its Bids and Awards Committee, is inviting PhilGeps registered suppliers to apply for eligibility and to submit bids for the items mentioned hereunder: B-030-2020 SUPPLY AND D</t>
  </si>
  <si>
    <t xml:space="preserve"> The DPWH Neg. Occ. 4th District Engineering Office, Bago City, Neg. Occ., through its Bids and Awards Committee (BAC), invites contractors to submit bids for the following Contracts: 1.	Contract ID No.:       	20GN0090 	Contract Name:  	Constructions/Reha</t>
  </si>
  <si>
    <t xml:space="preserve"> Republic of the Philippines Province of Iloilo BIDS AND AWARDS COMMITTEE INVITATION TO BID Purchase of Agricultural Machinery and Equipment Bid No. AGR-20-0478-B 1. The Iloilo Provincial Government, through the    General Fund 2020 intends to apply the su</t>
  </si>
  <si>
    <t xml:space="preserve"> INVITATION TO BID  for  Supply and Delivery of Various Spare Parts at General Services Office, Lingayen, Pangasinan (for use of 25 units Isuzu Dumptrucks) Solicitation No. PANG-2020-757 1.	The Provincial Government of Pangasinan, through the Spare Parts F</t>
  </si>
  <si>
    <t xml:space="preserve"> INVITATION TO BID  for  Supply and Delivery of Spare Parts at General Services Office, Lingayen, Pangasinan (for use of Backhoe Hitachi No. 2010-04) Solicitation No. PANG-2020-758 1.	The Provincial Government of Pangasinan, through the Spare Parts Fund (P</t>
  </si>
  <si>
    <t xml:space="preserve"> INVITATION TO BID  for  Supply and Delivery of Various Medical Supplies at Bayambang District Hospital, Bayambang, Pangasinan  Solicitation No. PANG-2020-0756 1.	The Provincial Government of Pangasinan, through the Trust Fund (PR#2020-03-3014) intends to </t>
  </si>
  <si>
    <t xml:space="preserve"> Supply and Delivery of various materials for the proposed Barangay Quadrangle Stage, Brgy. Cabugao Viejo, San Enrique, Iloilo Approved Budget for the Contract P 345, 000.00 Source of Fund : 20% Development Fund</t>
  </si>
  <si>
    <t xml:space="preserve"> INVITATION TO BID  for  Supply and Delivery of Drugs and Medicines at Pangasinan Provincial Hospital, San Carlos City, Pangasinan  Solicitation No. PANG-2020-755 1.	The Provincial Government of Pangasinan, through the Trust Fund (PR#2020-03-3209) intends </t>
  </si>
  <si>
    <t xml:space="preserve"> INVITATION TO BID  for  Supply and Delivery of One (1) unit Genset, 75 KVA, Open Type with Complete Accessories and Battery at GSO, Lingayen, Pangasinan (for use at Emergency Operation Center, PDRRMO Building, LDH Compound, Lingayen, Pangasinan) Solicitat</t>
  </si>
  <si>
    <t xml:space="preserve"> 1.	The City Government of Sipalay, Province of Negros Occidental, thru the 2020 Budget Appropriation approved by the Sangguniang Panlungsod intends to apply the amount of One Million Two Hundred Eighty Thousand Pesos (P1,280,000.00) only being the Approve</t>
  </si>
  <si>
    <t xml:space="preserve"> Republic of the Philippines Province of Iloilo BIDS AND AWARDS COMMITTEE INVITATION TO BID Purchase of Agricultural Machinery  Bid No. AGR-20-0479-B 1. The Iloilo Provincial Government, through the    General Fund 2020 intends to apply the sum of TWO HUND</t>
  </si>
  <si>
    <t xml:space="preserve"> Republic of the Philippines Province of Bukidnon MUNICIPALITY OF PANGANTUCAN TIN 099-000-631-170 OFFICE OF THE MUNICIPAL MAYOR Bids and Awards Committee (BAC) Cell # 09261024636  Email us: munpangantucanbukidnon@yahoo.com  or visit www.philgeps.net INVITA</t>
  </si>
  <si>
    <t xml:space="preserve"> Procurement ID/Contract ID		:  20 IK 0093     Contract Name				:  Repair/Maintenance of Drainage Canal Along Wright-Taft-Borongan Road     Contract Location			:  Brgy. Campo 1, Paranas Samar, K0845+400-K0845+455     Brief Description	:  Drainage Canal    </t>
  </si>
  <si>
    <t xml:space="preserve"> INVITATION TO BID  for  Reconstruction of One (1) unit, Three (3) Classroom School Building at Bued East E/S, Calasiao, Pangasinan Solicitation No. PANG-2020-0750 1.	The Provincial Government of Pangasinan, through the School Board (PR#2020-02-1850) inten</t>
  </si>
  <si>
    <t xml:space="preserve"> INVITATION TO BID  for  Pavement Markings at Binalonan – San Manuel Road, Binalonan &amp; San Manuel, Pangasinan Solicitation No. PANG-2020-0753 1.	The Provincial Government of Pangasinan, through the Construction, Repair &amp; Maintenance of Various Roads and Br</t>
  </si>
  <si>
    <t xml:space="preserve"> Republic of the Philippines								 Department Of Public Works and Highways								 Negros Oriental 2nd District Engineering Office								 REGIONAL OFFFICE VII								 Cangmating, Sibulan, Negros Oriental								 (035)522 0635								 								 INVITATION</t>
  </si>
  <si>
    <t xml:space="preserve"> INVITATION TO BID  for  Repair of Four (4) School Buildings at Pasibi-Bituag E/S, Urbiztondo, Pangasinan Solicitation No. PANG-2020-0752 1.	The Provincial Government of Pangasinan, through the School Board (PR#2020-02-1848) intends to apply the sum of One</t>
  </si>
  <si>
    <t xml:space="preserve"> INVITATION TO BID  for  Construction of Standard One (1) unit, Two (2) Classroom School Building at Siaosio E/S, Sual, Pangasinan Solicitation No. PANG-2020-0751 1.	The Provincial Government of Pangasinan, through the School Board (PR#2020-02-1861) intend</t>
  </si>
  <si>
    <t xml:space="preserve"> INVITATION TO BID  for  Repair/Rehabilitation of Covered Court Gymnasium at Brgy. Malico, E/S Compound, San Nicolas, Pangasinan Solicitation No. PANG-2020-0754 1.	The Provincial Government of Pangasinan, through the School Board (PR#2020-01-0778) intends </t>
  </si>
  <si>
    <t xml:space="preserve"> INVITATION TO BID  for  Construction of One (1) unit, Two (2) Classroom Second Floor at Ambonao E/S, Calasiao, Pangasinan Solicitation No. PANG-2020-0749 1.	The Provincial Government of Pangasinan, through the School Board (PR#2020-02-1852) intends to app</t>
  </si>
  <si>
    <t xml:space="preserve"> FURNISHING OF LABOR, MATERIALS AND EQUIPMENT RENTALS FOR THE CONTINUING IMPROVEMENT OF MUNICIPAL RURAL HEALTH CENTER AND BIRTHING CENTER LOCATED AT BRGY. 5, POBLACION, TIGBAUAN, ILOILO.</t>
  </si>
  <si>
    <t xml:space="preserve"> See attached documents, print Bid Notice Abstract and download ITB No. GOODS-20-101.</t>
  </si>
  <si>
    <t xml:space="preserve"> Procurement ID/Contract ID		:  20 IK 0094	     Contract Name				:  Repair/Maintenance of Drainage Canal Along Wright-Taft-Borongan Road     Contract Location			:  Brgy. San Isidro, Paranas Samar, K0845+995-K0846+050     Brief Description	:  Drainage Canal</t>
  </si>
  <si>
    <t xml:space="preserve"> See attached documents, print Bid Notice Abstract and download ITB No. GOODS-20-102.</t>
  </si>
  <si>
    <t xml:space="preserve"> Invitation to Bid All prospective bidders are invited to bid on the above items. The Municipality of Boac reserves the right to accept or reject any bid, to annul the bidding process, and to reject all bids at any time prior to contract award, without the</t>
  </si>
  <si>
    <t xml:space="preserve"> Republic of the Philippines                   Department of Health	       CENTRAL OFFICE BIDS AND AWARDS COMMITTEE  INVITATION TO BID FOR THE  PROCUREMENT OF FULL COLOR PRODUCTION PRINTER IB NO. 2020-207 1.	The Department of Health (DOH), through the Gene</t>
  </si>
  <si>
    <t xml:space="preserve"> INVITATION TO BID  for  Supply and Delivery of Various Spare Parts at General Services Office, Lingayen, Pangasinan (for use of Backhoe EX120, 2012-07) Solicitation No. PANG-2020-0759 1.	The Provincial Government of Pangasinan, through the Spare Parts Fun</t>
  </si>
  <si>
    <t xml:space="preserve"> INVITATION TO BID No. NNP-2020-VI-22-01F The Municipality of Sibalom through its Bids &amp; Awards Committee (BAC), invites bidders/contractors to apply for eligibility and to bid for the hereunder project: Project           	 		:	Tires, Battery &amp; Spareparts </t>
  </si>
  <si>
    <t xml:space="preserve"> Procurement ID/Contract ID		:  20 IK 0096	     Contract Name				:  Repair/Maintenance of DPWH Building BOE Area Equipment Section II-    Main Repair Shop (Mezzanine) Building     Contract Location			:  Brgy. Maulong, Catbalogan city, Samar     Brief Descr</t>
  </si>
  <si>
    <t xml:space="preserve"> Please quote your lowest price on the item/s listed below: 1. VEHICLE HIRE 4x2				 ACTIVITY: QUADRANGLE GEOLOGIC MAPPING				 LOCATION: DANGCAGAN/DON CARLOS/KALILANGAN/MARAMAG/PANGANTUCAN, BUKIDNON				 PERIOD: 2020. JUNE 15-20				 PASSENGERS: 6				 2. VEHI</t>
  </si>
  <si>
    <t xml:space="preserve"> Procurement ID/Contract ID		:  20 IK 0097	     Contract Name				:  Installation of Road Safety Facilities Along National Roads within the    Jurisdiction of DPWH Samar 2nd DEO, Catbaloagn City      Contract Location			:  Various Location     Brief Descrip</t>
  </si>
  <si>
    <t xml:space="preserve"> The DPWH – Bulacan First District Engineering Office, through its Bids and Awards Committee (BAC), invites contractors to submit bids for the following Contract: Contract ID: 20CC0236 Contract Name: Concreting of Brgy. Cupang-Bagong Barrio FMR Contract Lo</t>
  </si>
  <si>
    <t xml:space="preserve"> Republic of the Philippines Province of Iloilo BIDS AND AWARDS COMMITTEE INVITATION TO BID Purchase of Agricultural Machinery  Bid No. AGR-20-0476-B 1. The Iloilo Provincial Government, through the    General Fund 2020 intends to apply the sum of TWO HUND</t>
  </si>
  <si>
    <t xml:space="preserve"> Republic of the Philippines Province of Quezon Municipality of Macalelon Invitation to Bid for the  REHABILITATION/IMPROVEMENT OF ECOLOGICAL ACCESS ROAD Reference No. 2020-05-286-ME 										June 3, 2020 1.	The LGU-Macalelon, Quezon intends to apply the </t>
  </si>
  <si>
    <t xml:space="preserve"> The DPWH – Bulacan First District Engineering Office, through its Bids and Awards Committee (BAC), invites contractors to submit bids for the following Contract: Contract ID: 20CC0235 Contract Name: Concreting of Brgy. Sto. Nino FMR Contract Location: Brg</t>
  </si>
  <si>
    <t xml:space="preserve"> Republic of the Philippines Province of Southern Leyte Municipality of San Juan BIDS AND AWARDS COMMITTEE INVITATION TO BID 								Date:	June 2, 2020						                Contract no:    MSJ-2020-13 The LGU of the Municipality of San Juan, Southern Leyte</t>
  </si>
  <si>
    <t xml:space="preserve"> Procurement ID/Contract ID		:  20 IK 0095	     Contract Name				:  Repair/Maintenance of Drainage Canal Along Daang Maharlika     Contract Location			:  Brgy. Maulong, Catbalogan City, Samar, K0799+799-K0799+919(BS)     Brief Description	:  Drainage Canal</t>
  </si>
  <si>
    <t xml:space="preserve"> The DPWH – Bulacan First District Engineering Office, through its Bids and Awards Committee (BAC), invites contractors to submit bids for the following Contract: Contract ID: 20CC0240 Contract Name: Repair/Maintenance of Flood Control Structures along Ang</t>
  </si>
  <si>
    <t xml:space="preserve"> PROCUREMENT OF 1-UNIT, 4 WHEELERS, 11 FOOTER 3.0 LIT DROPSIDE BODY (BRAND NEW) VEHICLE FOR THE USE OF MENRO, TIGBAUAN, ILOILO.(Re-Bid)</t>
  </si>
  <si>
    <t xml:space="preserve"> INVITATION TO RE-BID The Provincial Government of Occidental Mindoro through its Bids and Awards Committee (BAC) invites all interested contractors to apply for eligibility and to bid for the following projects: Reference No.	Name of Project	Location	Brie</t>
  </si>
  <si>
    <t xml:space="preserve"> The DPWH – Bulacan First District Engineering Office, through its Bids and Awards Committee (BAC), invites contractors to submit bids for the following Contract: Contract ID: 20CC0242 Contract Name: Repair/Maintenance of DPWH Building Warehouse &amp; Repair B</t>
  </si>
  <si>
    <t xml:space="preserve"> The DPWH – Bulacan First District Engineering Office, through its Bids and Awards Committee (BAC), invites contractors to submit bids for the following Contract: Contract ID: 20CC0234 Contract Name: Concreting of Purok Gitna, Brgy. Manatal FMR Contract Lo</t>
  </si>
  <si>
    <t xml:space="preserve"> The DPWH – Bulacan First District Engineering Office, through its Bids and Awards Committee (BAC), invites contractors to submit bids for the following Contract: Contract ID: 20CC0241 Contract Name: Repair/Maintenance of Flood Control Structures along Ang</t>
  </si>
  <si>
    <t xml:space="preserve"> The DPWH – Bulacan First District Engineering Office, through its Bids and Awards Committee (BAC), invites contractors to submit bids for the following Contract: Contract ID: 20CC0239 Contract Name: Repair/Maintenance of DPWH Building DE’s Office &amp; variou</t>
  </si>
  <si>
    <t xml:space="preserve"> The DPWH – Bulacan First District Engineering Office, through its Bids and Awards Committee (BAC), invites contractors to submit bids for the following Contract: Contract ID: 20CC0238 Contract Name: Concreting of Purok 5, Camaling, brgy. Pungo FMR Contrac</t>
  </si>
  <si>
    <t xml:space="preserve"> The DPWH – Bulacan First District Engineering Office, through its Bids and Awards Committee (BAC), invites contractors to submit bids for the following Contract: Contract ID: 20CC0237 Contract Name: Concreting of Purok 2 to Purok 7, brgy. Gugo FMR Contrac</t>
  </si>
  <si>
    <t xml:space="preserve"> Republic of the Philippines Province of Samar Municipality of San Jose de Buan INVITATION TO BID FOR THE PURCHASE OF 1-UNIT MOBILE CLINIC 1.	The Municipal Local Government Unit of San Jose de Buan, Samar, through the LDRRMF of 2020 intends to apply the su</t>
  </si>
  <si>
    <t xml:space="preserve"> The DPWH – Bulacan First District Engineering Office, through its Bids and Awards Committee (BAC), invites contractors to submit bids for the following Contract: Contract ID: 20CC0243 Contract Name: Repair/Maintenance of DILG Building PNP Station Building</t>
  </si>
  <si>
    <t xml:space="preserve"> ENGINE SPECIFICATIONS: NUMBER OF CYLINDER: 6 FUEL: DIESEL FUEL TANK CAPACITY: 200 LITERS (STEEL TANK) EMISSION COMPLIANT: EURO IV ENGINE POWER: 200-240 HP (650-720 N.M) OPERATIONAL: DRIVE FORM: 4X4 (6 WHEELERS) CYCLE TIME FOR GARBAGE LOADING: 20s-30s CYCL</t>
  </si>
  <si>
    <t xml:space="preserve"> FUSO CANTER DOUBLE CAB DROPSIDE  4M40 ENGINE  6 WHEELER  94 HORSEPOWER  2,835 CC CAPACITY  6FT BODY LENGHT DROPSIDE</t>
  </si>
  <si>
    <t xml:space="preserve"> Purchase and Delivery of Three (3) Units Brand New Van, Dingle, Iloilo</t>
  </si>
  <si>
    <t xml:space="preserve"> Republic of the Philippines Province of Leyte BRGY. CULASIAN, CAPOOCAN, LEYTE -oOo- BIDS AND AWARD COMMITTEE INVITATION TO BID  FOR THE PROCUREMENT OF RESCUE VEHICLE 1.	The Brgy. Culasian Capoocan, Leyte, through the Brgy. 5% DRRM Funds for 2020 intends t</t>
  </si>
  <si>
    <t xml:space="preserve"> Project Description:		 			Canal Length: 190 l.m.   Width bottom: 0.50 m		 			Depth: 0.70m                         Top: 0.70 m.		 			Type:  Reinforced 4” CHB		 					 			CONTRACT COST:		 1.	L.M.	190	STAKING, LAYOUT, EXCAVATION AND DESPOSAL OF WASTE		180,437</t>
  </si>
  <si>
    <t xml:space="preserve"> INVITATION TO BID FOR 20GAA0062: PROCUREMENT OF ONE (1) UNIT CORS REFERENCE STATION AND ONE (1) UNIT GNSS RTK ROVER WITH CONTROLLER FOR USE AT PLANNING &amp; DESIGN SECTION, DPWH-INFDEO, LAOAG CITY The Department of Public Works and Highways Ilocos Norte 1stD</t>
  </si>
  <si>
    <t xml:space="preserve"> 1 consultant</t>
  </si>
  <si>
    <t xml:space="preserve"> REPUBLIC OF THE PHILIPPINES CITY GOVERNMENT OF OROQUIETA BIDS AND AWARD COMMITTEE City Hall, Oroquieta City                                                                                                                       June 02, 2020                </t>
  </si>
  <si>
    <t xml:space="preserve"> Republic of the Philippines BOHOL ISLAND STATE UNIVERSITY Main Campus, Tagbilaran City INVITATION TO BID FOR SUPPLY AND DELIVERY OF MULTIMEDIA PROJECTORS (PR NO. 2020-02-0185, 2020-02-0299, 2020-02-0152, 2020-02-0339, 2020-02-0270, 2020-02-0299, 2020-02-0</t>
  </si>
  <si>
    <t xml:space="preserve"> 1.	The Municipality of Baliguian, now invites bids for the Civil works for the Concreting of 200meter Farm to Market Road at Sitio Tumbaga, Barangay Nonoyan, Baliguian, Zamboanga del Norte.  2.	Bidding will be conducted in accordance with relevant procedu</t>
  </si>
  <si>
    <t xml:space="preserve"> INVITATION TO BID  THE BARANGAY LEPAGA , MLANG, COTABATO THROUGH ITS BIDS AND AWARDS COMMITTEE (BAC) INVITES PHILGEPS REGISTERED SUPPLIERS TO APPLY TO BID FOR THE SUPPLY AND DELIVERY OF VARIOUS MATERIALS FOR ROAD GRAVELLING OF BARANGAY LEPAGA. 200 AGGREGA</t>
  </si>
  <si>
    <t xml:space="preserve"> Materials : 284 bags  Cement 17 cu.m. Sand 35 cu.m. Gravel 3/4 39 cu.m. Filling materials 24 pcs Coco lumber 2x6x12 5 kgs CWN #4 12 kgs Tie wire #16 10 pcs 16mm,rsb 4 pcs 16mm, plain round bar</t>
  </si>
  <si>
    <t xml:space="preserve"> Republic of the Philippines BOHOL ISLAND STATE UNIVERSITY Main Campus, Tagbilaran City INVITATION TO BID FOR SUPPLY AND DELIVERY OF PHOTOCOPIERS (PR NO. 2020-02-0415, 2020-02-0242) 1.	The Bohol Island State University – Main Campus, Tagbilaran City, throu</t>
  </si>
  <si>
    <t xml:space="preserve"> The Local Government Unit of Science City of Muñoz, through the 2020 Development Fund, intends to apply the sum of Four Million Pesos (Php 4,000,000.00) being the Approved Budget for the Contract (ABC) to payments under the contract for Concreting of City</t>
  </si>
  <si>
    <t xml:space="preserve"> 1. The Mindanao State University – Tawi-Tawi College of Technology and Oceanography (MSU-TCTO), through 2020 General Appropriations Act (GAA) Budget, intends to apply the sum of One Million Six Hundred Pesos and 00/100 (PhP 1,600,000.00) being the Approve</t>
  </si>
  <si>
    <t xml:space="preserve"> The Local Government Unit of Science City of Muñoz, through the 2020 Development Fund, intends to apply the sum of Five Million Five Hundred Thousand Pesos (Php 5,500,000.00) being the Approved Budget for the Contract (ABC) to payments under the contract </t>
  </si>
  <si>
    <t xml:space="preserve"> Republic of the Philippines BOHOL ISLAND STATE UNIVERSITY Main Campus, Tagbilaran City INVITATION TO BID FOR SUPPLY AND DELIVERY OF OFFICE EQUIPMENT (PR NO. 2020-02-0311, 2020-02-0380, 2020-02-0273, 2020-01-0141) 1.	The Bohol Island State University – Mai</t>
  </si>
  <si>
    <t xml:space="preserve"> Location: PSU Goa campus Bidding Fee: P 7,000.00 (Non-refundable) Schedule of activities: 1. Issuance and availability of Bid Documents: June 3, 2020 until 12:00 noon of June 23, 2020  (except week-ends &amp; Holidays at the BAC Secretariat Office, PSU-Goa ca</t>
  </si>
  <si>
    <t xml:space="preserve"> INVITATION TO BID THE BARANGAY LEPAGA THROUGH ITS BIDS AND AWARDS COMMITTEE (BAC) INVITES PHILGEPS REGISTERED SUPPLIERS TO APPLY TO BID FOR THE SUPPLY AND DELIVERY OF VARIOUS MATERIALS FOR COMPLETION OF EVACUATION CENTER. I. CONCRETE WORKS II. STEEL WORKS</t>
  </si>
  <si>
    <t xml:space="preserve"> Republic of the Philippines Province of Misamis Occidental MUNICIPALITY OF PANAON INVITATION TO BID FOR  PROCUREMENT OF MATERIALS &amp; LABOR FOR THE PROJECT INSTALLATION OF SOLAR STREET LIGHTS (Procurement of Goods) 									June 2, 2020 1.	The Municipality </t>
  </si>
  <si>
    <t xml:space="preserve"> Concreting of 3.00x85.00x0.15m. Pathway</t>
  </si>
  <si>
    <t xml:space="preserve"> Bid-Opening-June 25, 2020 at 2:00 pm. at Municipal Conference Room</t>
  </si>
  <si>
    <t xml:space="preserve"> The Department of Public Works and Highways-Regional Office I, through its Bids and Awards Committee (BAC) for Goods, invites suppliers to submit bids for the following Contract: Contract ID: 20GA00001 Contract Name: Supply and Delivery of Ground Penetrat</t>
  </si>
  <si>
    <t xml:space="preserve"> RE - INVITATION TO BID FOR CIVIL WORKS June 01, 2020 1.	The Department of Public Works and Highways (DPWH), Bukidnon Second District Engineering Office, Pinamaloy, Don Carlos, Bukidnon through its Bids and Awards Committee BAC, invites contractors to subm</t>
  </si>
  <si>
    <t xml:space="preserve"> INVITATION TO BID FOR CIVIL WORKS June 01, 2020 1.	The Department of Public Works and Highways (DPWH), Bukidnon Second District Engineering Office, Pinamaloy, Don Carlos, Bukidnon through its Bids and Awards Committee BAC, invites contractors to submit bi</t>
  </si>
  <si>
    <t xml:space="preserve"> BId-Opening-June 25, 2020 at 2:00 p.m. at Municipal Conference Room</t>
  </si>
  <si>
    <t xml:space="preserve"> MUNICIPALITY OF HINABANGAN Hinabangan, Samar Invitation to Bid for  Construction of Water Supply System Level 3 Phase 2 (Cansolabao Sitio Arizona) 1.	The Municipal Government of Hinabangan, through the 20% Development Fund CY 2020 intends to apply the sum</t>
  </si>
  <si>
    <t xml:space="preserve"> see attached Invitation to Bid &amp; Bid Documents</t>
  </si>
  <si>
    <t xml:space="preserve"> The Local Government Unit of Science City of Muñoz, through the 2020 Development Fund, intends to apply the sum of Eight Million Pesos (Php 8,000,000.00) being the Approved Budget for the Contract (ABC) to payments under the contract for Construction of M</t>
  </si>
  <si>
    <t xml:space="preserve"> Invitation to Bid for  Improvement and Concreting of FMR (Binubucalan to Canano) Phase 2 1.	The Municipal Government of Hinabangan, through the 20% Development Fund CY 2020 intends to apply the sum of NINE MILLION SEVEN HUNDRED EIGHT THOUSAND EIGHT HUNDRE</t>
  </si>
  <si>
    <t xml:space="preserve"> Bid-Opening-June 25, 2020 at 2:00 p.m. at Municipal Conference Room</t>
  </si>
  <si>
    <t xml:space="preserve"> INVITATION TO BID FOR Procurement of Office Supplies for Reproduction of Modules &amp; Other Learning Materials for the First Semester S.Y 2020- 2021 use at ESSU Main Campus (PR# 2020-OSPM-177) 1.	The EASTERN SAMAR STATE UNIVERSITY, through the FY 2020 GAA, R</t>
  </si>
  <si>
    <t xml:space="preserve"> 1.	The Municipality of Baliguian, now invites bids for the Civil works for the Concreting of 240meter Farm to Market Road at Diangas to Guimotan Section, Baliguian, Zamboanga del Norte.  2.	Bidding will be conducted in accordance with relevant procedures </t>
  </si>
  <si>
    <t xml:space="preserve"> The Local Government Unit of Science City of Muñoz, through the 2020 Development Fund, intends to apply the sum of Eight Million Pesos (Php 8,000,000.00) being the Approved Budget for the Contract (ABC) to payments under the contract for Rehabilitation of</t>
  </si>
  <si>
    <t xml:space="preserve"> 1. The Provincial Government of Davao Del Norte, through SB #4 CY 2019, 20% DF CY 2020, SB #1 CY 2020 and 20% AB CY 2019, intends to apply the sum of Eleven Million One Hundred Thirty Four Thousand Two Hundred Eighty Three and 93/100 Pesos (Php 11,134,283</t>
  </si>
  <si>
    <t xml:space="preserve"> Invitation to Bid for the Supply and Delivery of Road Safety Signages and Thermoplastic Materials for Installation along SDCR, Aras-asan Diversion Road and Payasan-Los Arcos Road (Intermittent Sections) K1296+200-K1297+200, K1283+800-K1284+800, K1302+600-</t>
  </si>
  <si>
    <t xml:space="preserve"> LENGTH= 28.0 M., WIDTH= 5.0 M.,  THICKNESS= 0.20 M.</t>
  </si>
  <si>
    <t xml:space="preserve"> INVITATION TO BID FOR    Rehabilitation of Flood Control  Poblacion, Almagro, Samar 1.	The LGU-Almagro, through Annual Budget CY 2020  intends to apply the sum of  Nine Hundred Eighty Five Thousand Pesos ( Php 985,000,000.00) being the Approved Budget for</t>
  </si>
  <si>
    <t xml:space="preserve"> Republic of the Philippines Province of Bohol MUNICIPALITY OF GETAFE BIDS AND AWARDS COMMITTEE ________________________________________ INVITATION TO BID  ( 2nd Public Bidding ) FOR PURCHASE OF  60 HEADS  FEMALE CARABAO FOR THE USED OF INTEGRATED CARABAO </t>
  </si>
  <si>
    <t xml:space="preserve"> Issuance of Bid Documents Starts: June 3, 2020 Cost of Bid Document: Php 1,000.00 Venue of Dropping and Opening Bids: BAC Conference Room, Leyte SMED Center, Provincial Capitol Grounds, Tacloban City</t>
  </si>
  <si>
    <t xml:space="preserve"> Structure Excavation, Subgrade Preparation, Aggregate Sub-base Course Concrete Class ‘A’, Reinforcing Steel Bar, Embankment, Forms &amp; Scaffoldings</t>
  </si>
  <si>
    <t xml:space="preserve"> Equipment for Fish and Cacao processing project</t>
  </si>
  <si>
    <t xml:space="preserve"> Specifications can be viewed online by clicking the "Associated Components" section on this ITB. The Local Government Unit-Municipality of Malinao, Aklan through the Bids and Awards Committee, intends to apply the sum of Three Hundred Thirty Nine Thousand</t>
  </si>
  <si>
    <t xml:space="preserve"> INVITATION TO BID FOR    Cluster 13 Infrastructure Projects Guin-ansan and Mabuhay, Almagro, Samar Item No.	Project Name/Location	ABC	Duration 1.	Rehabilitation of Concrete Pathway at Brgy. Guin-ansan	492,500.00	60 2.	Rehabilitation of Water Transmission </t>
  </si>
  <si>
    <t xml:space="preserve"> UNIT	  DESCRIPTION		QUANTITY	UNIT COST 	I. FINISHING WORKS:			 mtrs	#12 THHN WIRE 3.5mm		16	   pc (s)	10mm x 6.0 Corrugated Round Bar		180	   box (es)	#12 THHN WIRE 3.5mm2		2	   pc (s)	16mm x 6.0 Corrugated Round Bar		20	  set (s)	1 Gang Switch		9	   set </t>
  </si>
  <si>
    <t xml:space="preserve"> Invitation to Bid for Construction of Gender Appropriate Toilet – at Poblacion, Josefina, Zambaonga del Sur 1.	The LGU-Municipality of Josefina, through the LGSF-AM 2019 intends to apply the sum of TWO MILLION TWO HUNDRED TEN THOUSAND PESOS (Php 2,210,000</t>
  </si>
  <si>
    <t xml:space="preserve"> INVITATION TO BID FOR SUPPLY AND DELIVERY OF VARIOUS SUPPLIES FOR VARIOUS OFFICES 1.	The Bids and Awards Committee of the Local Government Unit of Santiago City through the General Fund intends to apply the sum of Fourteen Million One Hundred Eighty Four </t>
  </si>
  <si>
    <t xml:space="preserve"> Trench Excavation 2,751.00 cu.m. Distribution Line 11,460.00 L.m. Blow off assembly 13.00 set Backfill and Compaction 211.00 cu.m.</t>
  </si>
  <si>
    <t xml:space="preserve"> INVITATION TO BID FOR   Cluster 12 Infrastructure Projects  Kerikite, Almagro, Samar Item No.	Project Name	ABC	Duration 1.	Construction of Drainage Canal	788,000.00	90 CD 2.	Construction of Multi-Purpose Hall (Stage)	394,000.00	60 CD 1.	The LGU-Almagro, t</t>
  </si>
  <si>
    <t xml:space="preserve"> The Municipal Government of Pilar, through the General Fund intends to apply the sum of Two Million (P/2,000,000.00) Pesos being the Approved Budget for the Contract (ABC) to payment under the contract for the Construction of Riprap at Paniquian Irrigatio</t>
  </si>
  <si>
    <t xml:space="preserve"> INVITATION TO BID No. NNP-2020-VI-22-02F The Municipality of Sibalom through its Bids &amp; Awards Committee (BAC), invites bidders/contractors to apply for eligibility and to bid for the hereunder project: Project           	 		:	Brandnew Van Location			:	Si</t>
  </si>
  <si>
    <t xml:space="preserve"> Location: PSU Goa campus Bidding Fee: P 3,000.00 (Non-refundable) Schedule of activities: 1. Issuance and availability of Bid Documents: June 3, 2020 until 12:00 noon of June 23, 2020  (except week-ends &amp; Holidays at the BAC Secretariat Office, PSU-Goa ca</t>
  </si>
  <si>
    <t xml:space="preserve"> Invitation to Bid for Widening of Eballe Street with Canal– at Eballe St., Josefina, Zambaonga del Sur 1.	The LGU-Municipality of Josefina, through the 20% EDF CY 2020 intends to apply the sum of TWO MILLION THREE HUNDRED SIXTY ONE THOUSAND FIVE HUNDRED S</t>
  </si>
  <si>
    <t xml:space="preserve"> Drugged Out Hull&amp; Frames (Kasko) 18"x24' Rough Lumber 1/4"x4x8' Marine Plywood 3/8"x4x8' marine Plywood Nylon Twine #100 Pamalong 10' Bamboo Floater 0.15 O Bamboo Floater Frame 0.08 O Propelier (Stainless) Paddle Wheel  Ehe 3/4" O x8' Stainless Bolt 3 3/8</t>
  </si>
  <si>
    <t xml:space="preserve"> I. Mobilzation II. CSHP III. Road Preparation     A. Equipment     B. Materials IV Portland Cement Concrete Pavement V. Equipment</t>
  </si>
  <si>
    <t xml:space="preserve"> PROCUREMENT OF RANDOM ACCESS MEMORY AND VARIOUS DATA STORAGE DEVICES</t>
  </si>
  <si>
    <t xml:space="preserve"> Earthworks, Excavation for Structure, Gravel Blanket, Structural Back fill, Concrete Class ‘A’, Reinforcing Steel Bar, Form works, Masonry</t>
  </si>
  <si>
    <t xml:space="preserve"> 1.	The Municipality of Baliguian, now invites bids for the Civil works for the Concreting of 120 meter Farm to Market Road at Barangay San Jose, Baliguian, Zamboanga del Norte.  2.	Bidding will be conducted in accordance with relevant procedures for open </t>
  </si>
  <si>
    <t xml:space="preserve"> INVITATION TO BID FOR  CY 2020 ENHANCED NATIONAL GREENING PROGRAM-HARDENING –OFF ACTIVITIES UNDER MECHANIZED AND MODERNIZED FOREST NURSERY AT BANAO, GUINOBATAN, ALBAY DENR-ENGP-MMFN-HARDENING-OFF-2020-001 1.	The Department of Environment and Natural Resou</t>
  </si>
  <si>
    <t xml:space="preserve"> INVITATION TO BID FOR SUPPLY AND DELIVERY OF VARIOUS GROCERY ITEMS FOR DISASTER PREPAREDNESS STOCKPILE 1.	The Bids and Awards Committee of the Local Government Unit of Santiago City through the General Fund intends to apply the sum of Five Million Two Hun</t>
  </si>
  <si>
    <t xml:space="preserve"> INVITATION TO BID FOR SUPPLY AND DELIVERY OF VARIOUS SUPPLIES FOR CITY VICE MAYOR'S OFFICE 1.	The Bids and Awards Committee of the Local Government Unit of Santiago City through the General Fund intends to apply the sum of Five Million Six Thousand Four H</t>
  </si>
  <si>
    <t xml:space="preserve"> Clearing, Excavation &amp; Backfilling Works, Filling Works, Concrete Works, Reinforcing Steel Bars, Masonry Works, Plastering Works, Floor Topping, Steel Works, Forms &amp; Scaffolds, Painting  Works, Water Proofing Works, Electrical Works</t>
  </si>
  <si>
    <t xml:space="preserve"> Republic of the Philippines PROVINCE OF LANAO DEL NORTE MUNICIPALITY OF LALA Office of the Municipal General Services                                                                                                   _____________________                  </t>
  </si>
  <si>
    <t xml:space="preserve"> INVITATION TO BID FOR  CY 2020 ENHANCED NATIONAL GREENING PROGRAM-HARDENING –OFF ACTIVITIES UNDER MECHANIZED AND MODERNIZED FOREST NURSERY AT SOOC, LUPI, CAMARINES SUR DENR-ENGP-MMFN-HARDENING-OFF-2020-002 1.	The Department of Environment and Natural Reso</t>
  </si>
  <si>
    <t xml:space="preserve"> Specifications can be viewed online by clicking the "Associated Components" section on this ITB. The Local Government Unit-Municipality of Malinao, Aklan through the Bids and Awards Committee, intends to apply the sum of Four Hundred Fourteen Thousand One</t>
  </si>
  <si>
    <t xml:space="preserve"> Republic of the Philippines PROVINCE OF MARINDUQUE Capitol Boac, Marinduque OFFICE OF BIDS AND AWARDS COMMITTEE Invitation to Bid  Furnishing labor, materials and equipment rental for the Rehab./Improvement of  Waterworks System, Brgy. Bagong Silang, Sta.</t>
  </si>
  <si>
    <t xml:space="preserve"> Republic of the Philippines DEPARTMENT OF HEALTH DR. JOSE RIZAL MEMORIAL HOSPITAL Lawaan, Dapitan City Telefax; (065) 213-6421 Website: www.djrmh.doh.gov.ph Email: dohdjrmh@gmail.com BIDS AND AWARDS COMMITTEE INVITATION TO BID PROCUREMENT OF MOTOR VEHICLE</t>
  </si>
  <si>
    <t xml:space="preserve"> Republic of the Philippines PROVINCE OF MARINDUQUE Capitol Boac, Marinduque OFFICE OF BIDS AND AWARDS COMMITTEE Invitation to Bid  Furnishing labor, materials and equipment rental for the Rehabilitation/Improvement of  Brgy. Waterworks System at Balanacan</t>
  </si>
  <si>
    <t xml:space="preserve"> UNIT	  DESCRIPTION		QUANTITY	 				 	Length = 240 m			 	Volume of Concrete  = 196.8  cu.m 			 bag	Cement		1772	 260.00  cu.m	Sand		98.4	   cu.m	Gravel		196.8	   pc (s)	16mm Diameter Bars		1100	   kg (s)	Tie Wire #16		148	   pc (s)	CocoLumber 2"x3"x12'		30	</t>
  </si>
  <si>
    <t xml:space="preserve"> INVITATION TO BID FOR    Rehabilitation of Flood Control  Panjobjoban - 1, Almagro, Samar 1.	The LGU-Almagro, through Annual Budget  CY 2020  intends to apply the sum of  One Million Four Hundred Seventy Seven Thousand Five Hundred  Pesos ( Php 1,477,500.</t>
  </si>
  <si>
    <t xml:space="preserve"> Republic of the Philippines PROVINCE OF MARINDUQUE Capitol Boac, Marinduque OFFICE OF BIDS AND AWARDS COMMITTEE Invitation to Bid  Furnishing labor, materials and equipment for the Improvement of Brgy. Waterworks System at Brgy. Pili, Boac, Marinduque  Th</t>
  </si>
  <si>
    <t xml:space="preserve"> INVITATION TO BID FOR SUPPLY AND DELIVERY OF VARIOUS MEDICINES AND MEDICAL SUPPLIES FOR DISASTER PREPAREDNESS STOCKPILE 1.	The Bids and Awards Committee of the Local Government Unit of Santiago City through the General Fund intends to apply the sum of Eig</t>
  </si>
  <si>
    <t xml:space="preserve"> Invitation to Bid for Landscaping/Development Municipal Hall Plaza– at Municipal Hall Plaza, Josefina, Zambaonga del Sur 1.	The LGU-Municipality of Josefina, through the 20% EDF CY 2020 intends to apply the sum of SIX HUNDRED THOUSAND PESOS (Php 600,000.0</t>
  </si>
  <si>
    <t xml:space="preserve"> INVITATION TO BID FOR    New Construction of Level II Potable Water Supply System  Brgy. San Isidro &amp; Marasbaras, Almagro, Samar 1.	The LGU-Almagro, through AM 2019 Fund and LGU counterpart  intends to apply the sum of  Three Million Six Hundred Seventy T</t>
  </si>
  <si>
    <t xml:space="preserve"> ITEM I CANOPY &amp; STRUT (2 SLIDES) ITEM II HANGING BOARD (2 UNITS) ITEM III FINISHING &amp; PAINTING WORKS</t>
  </si>
  <si>
    <t xml:space="preserve"> 1.	The Technological University of the Philippines Manila Campus, through Fund 164 Non Fiduciary Fund per BOR Approved Income for Utilization CY 2019 intends to apply the sum of One Million Seven Hundred Twenty Thousand Pesos (Php 1,720,000.00) being the </t>
  </si>
  <si>
    <t xml:space="preserve"> UNIT	  DESCRIPTION		QUANTITY 900	REINFORCED CONCRETE		 	QTY: - 13.48 cu.m		 			 	I- Materials		 bags	Portland Cement		122 cu.m	Sand		8 cu.m	Gravel 3/4		14 pcs	20mmØ x 6.0m RSB		100 kgs	G.I Tie Wire #16		25 pcs	1/4" Ordinary Plywood		10 bd.ft	2" x 3" x 12'</t>
  </si>
  <si>
    <t xml:space="preserve"> Republic of the Philippines PROVINCE OF MARINDUQUE Capitol Boac, Marinduque OFFICE OF BIDS AND AWARDS COMMITTEE Invitation to Bid  Furnishing labor, materials and equipment for the Construction of Multi-Purpose Hall (Completion of roofing of Gasan Tennis </t>
  </si>
  <si>
    <t xml:space="preserve"> MUNICIPALITY OF BONTOC Bontoc, Mountain Province Invitation to Bid for Improvement of Bontoc Ili Local Access Road INFRA 2020-10/7022459 1.	The Municipal Local Government Unit of Bontoc through the DILG-PC Fund 2019 intends to apply the sum of Two Million</t>
  </si>
  <si>
    <t xml:space="preserve"> INVITATION TO BID FOR PROCUREMENT OF OFFICE SUPPLIES 1.	The Local Government Unit of Josefina, through the MOOE 2020 intends to apply the sum of THREE HUNDRED NINETY FOUR THOUSAND THREE HUNDRED SEVENTY SEVEN PESOS (394,377.00) being the Approved Budget fo</t>
  </si>
  <si>
    <t xml:space="preserve"> Cadiz City SF-GOOD-60 Standard Form Title: Request for Quotation 										_______________ 									             ______________________ ______________________ 	Please quote your lowest price on the items listed below, subject to the General Conditions on </t>
  </si>
  <si>
    <t xml:space="preserve"> MUNICIPALITY OF BONTOC Bontoc, Mountain Province Invitation to Bid for Cluster 07-2020 (1. Improvement of Municipal Capitol Building 2. Restoration/Relocation of Chongliyan Water System 3. Completion of Chakalan Bontoc Ili Animal Bite Center 4. Fabricatio</t>
  </si>
  <si>
    <t xml:space="preserve"> Republic of the Philippines PROVINCE OF MARINDUQUE Capitol Boac, Marinduque OFFICE OF BIDS AND AWARDS COMMITTEE Invitation to Bid  Furnishing labor, materials and equipment rental for the Construction of Waterworks System Phase 1, Brgy. Mongpong, Sta. Cru</t>
  </si>
  <si>
    <t xml:space="preserve"> INVITATION TO BID FOR SUPPLY AND DELIVERY OF TRIWHEELER FOR OFFICE USE 1.	The Bids and Awards Committee of the Local Government Unit of Santiago City through the General Fund intends to apply the sum of One Million Six Hundred Fifty Thousand Pesos (Php 1,</t>
  </si>
  <si>
    <t xml:space="preserve"> 1.	The Bureau of Jail Management and Penology Regional Office CALABARZON (BJMPRO-CALABARZON) through the GAA2020   intends to apply the sum of Six  Million Nine Hundred Thousand Pesos (Php 6,900,000.00) being the Approved Budget for the Contract (ABC) to </t>
  </si>
  <si>
    <t xml:space="preserve"> INVITATION TO BID FOR PROCUREMENT OF ICT OFFICE EQUIPMENT 1.	The Local Government Unit of Josefina, through the CAPITAL OUTLAY 2020 intends to apply the sum of FIVE HUNDRED ELEVEN THOUSAND FOUR HUNDRED TEN PESOS (Php 511,410.00) being the Approved Budget </t>
  </si>
  <si>
    <t xml:space="preserve"> Portland Cement Sand Gravel 10mmoRSB Tie Wire #16 Direct Couple 7.5 Hz Power Engine Water Pump HDPE Black Pipe 1"o Foot Valve PVC 2"o Swing Valve Pipe 2"o Ball Valve Pipe 1" o Ball Valve Pipe 1" o HDPE Coupling 1"o PVC Solvent  PVC Pipe 2" o PVC Elbow 2" </t>
  </si>
  <si>
    <t xml:space="preserve"> MUNICIPALITY OF BONTOC Bontoc, Mountain Province Invitation to Bid for Cluster 06-2020 (1. Site Development of Municipal Slaughter House 2. Repair of Pakkil Stairway with Railings 3. Improvement of Baang Pathway 4. Improvement of Liwen-Navarangnan hanging</t>
  </si>
  <si>
    <t xml:space="preserve"> The Bureau of Fisheries and Aquatic Resources 6, through the FY 2020 General Appropriations Act 11465 intends to apply for the Procurement of Various IT Supplies/ Equipment, Janitorial and Electrical Supplies and Office Supplies of BFAR6 for CY 2020 with </t>
  </si>
  <si>
    <t xml:space="preserve"> Republic of the Philippines PROVINCE OF MARINDUQUE Capitol Boac, Marinduque OFFICE OF BIDS AND AWARDS COMMITTEE Invitation to Bid  Furnishing labor, materials and equipment for the Improvement of Brgy. Waterworks System, Brgy. Lupac, Boac, Marinduque  The</t>
  </si>
  <si>
    <t xml:space="preserve"> Republic of the Philippines PROVINCE OF ZAMBOANGA SIBUGAY Municipality of Buug BIDS AND AWARDS COMMITTEE INVITATION TO BID, for the  Rehabilitation of Barangay  Road  ITB no. 02-06-2020 The local Government Unit of Buug, Zamboanga Sibugay intends to apply</t>
  </si>
  <si>
    <t xml:space="preserve"> Purchase of Diesel, Gasoline, Kerosene and 2T</t>
  </si>
  <si>
    <t xml:space="preserve"> INVITATION TO BID The City Vigan, through its Bids and Awards Committee (BAC), invites suppliers/manufacturers/distributors/contractors to apply for eligibility and to bid for the hereunder project: Name of Project:	Proposed Site Development and Building </t>
  </si>
  <si>
    <t xml:space="preserve"> Construction of Classroom</t>
  </si>
  <si>
    <t xml:space="preserve"> 8.5m x 6.5m</t>
  </si>
  <si>
    <t xml:space="preserve"> INVITATION TO BID The City Vigan, through its Bids and Awards Committee (BAC), invites suppliers/manufacturers/distributors/contractors to apply for eligibility and to bid for the hereunder project: Name of Project:	Electrical Power Supply Installation fo</t>
  </si>
  <si>
    <t xml:space="preserve"> LGU-ALLEN, NORTHERN SAMAR                                       MUNICIPAL BIDS AND AWARDS COMMITTEE                                                         INVITATION TO BID 	The Municipal Government of Allen Northern Samar through its Bids and Awards Com</t>
  </si>
  <si>
    <t xml:space="preserve"> INVITATION TO BID FOR Other Property, Plant and Equipment  (Name of Project)    1.	The CITY GOVERNMENT OF ZAMBOANGA, through the AB FY 2020 intends to apply the sum of FOUR MILLION FIVE HUNDRED THOUSAND PESOS (P4,500,000.00) ONLY being the Approved Budget</t>
  </si>
  <si>
    <t xml:space="preserve"> Brief Description: Construction of Causeway which involves project billboard/signage, safety &amp; health, temporary facility, layout and excavation, reinforcing steel bars, structural concrete, pile driving, coral rocks with coral voids filler, coral bed and</t>
  </si>
  <si>
    <t xml:space="preserve"> INVITATION TO BID FOR Motor Vehicle  (Name of Project)    1.	The CITY GOVERNMENT OF ZAMBOANGA, through the SB# 01 FY 2019 intends to apply for the sum of TWO MILLION ONE HUNDRED THOUSAND PESOS (P2,100,000.00) ONLY being the Approved Budget for the Contrac</t>
  </si>
  <si>
    <t xml:space="preserve"> INVITATION TO BID FOR Other Transportation Equipment  (Name of Project)    1.	The CITY GOVERNMENT OF ZAMBOANGA, through the AB FY 2020 intends to apply the sum of FIVE MILLION FIVE HUNDRED THOUSAND PESOS (P5,500,000.00) ONLY being the Approved Budget for </t>
  </si>
  <si>
    <t xml:space="preserve"> Brief Description: Concreting of Road which involves project billboard/signage, temporary facility, safety &amp; health, mobilization and demobilization, barricades, subgrade preparation, aggregate subbase course (compacted volume), portland cement concrete p</t>
  </si>
  <si>
    <t xml:space="preserve"> Republic of the Philippines Municipality of Bontoc Mountain Province Bids and Awards Committee INVITATION TO BID FOR SUPPLY AND DELIVERY OF OFFICE SUPPLIES, MATERIALS AND EQUIPMENT PB GOODS 2020-04/7022607 1.	The Municipal Government of Bontoc,Mountain Pr</t>
  </si>
  <si>
    <t xml:space="preserve"> INVITATION TO BID FOR Food Supplies  (Name of Project)    1.	The CITY GOVERNMENT OF ZAMBOANGA, through the General Fund intends to apply the sum of ONE MILLION NINETY TWO THOUSAND THREE HUNDRED SIXTY PESOS (P1,092,360.00) ONLY being the Approved Budget fo</t>
  </si>
  <si>
    <t xml:space="preserve"> Brief Description: Construction of Fence  which involves project billboard/signage, safety &amp; health, temporary facility, A . Const of Fence;layout and excavation, reinforcing steel bar, structural concrete, masonry works, grille works and painting works A</t>
  </si>
  <si>
    <t xml:space="preserve"> Brief Description: Improvement of Road which involves portland cement concrete pavement, project billboard/signage, safety &amp; health, temporary facility. Amount of Bidding Documents: P2,270.00 (Sgd.) ERWIN E. BERNARDO BAC Chairperson</t>
  </si>
  <si>
    <t xml:space="preserve"> INVITATION TO BID FOR Fuel, Oil and Lubricants Expenses  (Name of Project)    1.	The CITY GOVERNMENT OF ZAMBOANGA, through the General Fund intends to apply the sum of ONE MILLION TWO HUNDRED FORTY SEVEN THOUSAND EIGHT PESOS (P1,247,008.00) ONLY being the</t>
  </si>
  <si>
    <t xml:space="preserve"> Brief Description: Construction of Drainage System which involves removal of portion existing old non-functioning drainage system, portion of existing road pavement and entrance pavement, structure excavation, reinforcing steel bars, structural concrete, </t>
  </si>
  <si>
    <t xml:space="preserve"> Brief Description: Construction/Rehabilitation of Drainage System which involves excavation, reinforcing steel, structural concrete, excavation and demolition of existing drainage, embankment, aggregate sub-base course,portland cement concrete pavement, p</t>
  </si>
  <si>
    <t xml:space="preserve"> INVITATION TO BID FOR Other Machinery and Equipment  (Name of Project)    1.	The CITY GOVERNMENT OF ZAMBOANGA, through the AB FY 2020 intends to apply the sum of ONE MILLION SIX HUNDRED THOUSAND PESOS (P1,600,000.00) ONLY being the Approved Budget for the</t>
  </si>
  <si>
    <t xml:space="preserve"> Spareparts and Oil Lubricants</t>
  </si>
  <si>
    <t xml:space="preserve"> Invitation to Bid for the  UPGRADING OF LOCAL ACCESS ROAD AT P5 GENERAL AGUINALDO, RAMON, ISABELA 1.	The LGU-RAMON, ISABELA, through the Budget for the contract approved by the Sanggunian intends to apply the sum of Php5,000,000.00 being the Approved Budg</t>
  </si>
  <si>
    <t xml:space="preserve"> INVITATION TO BID FOR Electrical Supplies  (Name of Project)    1.	The CITY GOVERNMENT OF ZAMBOANGA, through the General Fund intends to apply the sum of TWO MILLION ONE HUNDRED THIRTY EIGHT THOUSAND NINE HUNDRED SIXTY NINE PESOS (P2,138,969.00) ONLY bein</t>
  </si>
  <si>
    <t xml:space="preserve"> ITEM OF WORK TO BE DONE 1. OCCUPATIONAL SAFETY AND HEALTH PROGRAM 2. STRUCTURE EXCAVATION 3. EMBANKMENT 4. STONE MASONRY 5. PROJECT BILLBOARDS/SIGNAGES</t>
  </si>
  <si>
    <t xml:space="preserve"> 20M00079- Construction/Improvement of Various Infrastructure in Support of National Security – Construction of SK Pendatun Municipal Police Station Building, Gen. Salipada SK Pendatun, Maguindanao</t>
  </si>
  <si>
    <t xml:space="preserve"> Brief Description: Construction of Slope Protection with Cross Drain (Box Culvert Type) a. Box Culvert Structure; excavation and removal of obstruction, reinforcing steel bar, structural concrete, B. Slope Protection at Box Culvert Structure; excavation, </t>
  </si>
  <si>
    <t xml:space="preserve"> 20M00078- Construciton/Rehabilitation of Water Supply/Septage and Sewerage/Rain Water Collectors in Facilities; Koronadal City (5 Units), General Santos City (3 Units), Tacurong City (1 unit), Esperanza (1 Unit), Midsayap (1 Unit), Makilala (1 Unit), Mala</t>
  </si>
  <si>
    <t xml:space="preserve"> Brief Description: Construction of Slope Protection which involves temporary facility, safety &amp; health, project billboard/signage, excavation, reinforcing steel bar, structural concrete, rubble concrete and concrete piles (cast-in-place). Amount of Biddin</t>
  </si>
  <si>
    <t xml:space="preserve"> Department of Education Region VI-Western Visayas Division of Cadiz City Mabini National High School INVITATION TO BID FOR THE PROCUREMENT OF WATER DISPENSERS  1.	Mabini National High School, Division of Cadiz City, through the Schools MOOE and HRTD Fund </t>
  </si>
  <si>
    <t xml:space="preserve"> Brief Description: Concreting of Road which involves A. Slope Protection; excavation for slope protection, reinforcing steel bar, structural concrete, rubble concrete, B. Cross Drain; excavation for cross drain, embankment, reinforcing steel bars, structu</t>
  </si>
  <si>
    <t xml:space="preserve"> Continuation of Barangay Hall rehab at P-2 Camote, Brgy. Maon, Butuan City.  Labor: By Admin</t>
  </si>
  <si>
    <t xml:space="preserve"> Brief Description: Construction/Rehabilitation/Improvement of Electrification, Power and Energy Structures which involves Electrical Works, Construction of Power House; layout and excavation, reinforcing steel bar, structural concrete, masonry works, stee</t>
  </si>
  <si>
    <t xml:space="preserve"> Republic of the Philippines Province of Agusan del Norte BIDS AND AWARDS COMMITTEE Capitol, Butuan City Invitation to Bid for Renovation/Improvement of Boys Scout of the Philippines Building  and Facilities, Butuan City The Provincial Government of Agusan</t>
  </si>
  <si>
    <t xml:space="preserve"> Date: June 02, 2020 IB NO.: G-096-20C Description: Supply/Delivery of Drugs and Medicines End User: PHO (PR# 0591-CB-20) &amp; PHO (PR# 0617-CB-20) ABC: Lot 1: P130,025.00 Lot 2: P1,175,160.00 Sub-Total: P1,305,185.00 Lot 1: P1,200,000.00 Grand Total: P2,505,</t>
  </si>
  <si>
    <t xml:space="preserve"> INVITATION TO BID FOR  Procurement of Goods [Supply and Installation of Close Circuit Television Security] The   City Government of Tagbilaran,   through the Appropriation Ordinance No. 19-05 for FY 2020, intends to apply the sum of Nine Hundred Eighty Th</t>
  </si>
  <si>
    <t xml:space="preserve"> INVITATION TO BID FOR  Procurement of Goods [Rabies Vaccine and Others] The   City Government of Tagbilaran,   through the Appropriation Ordinance No. 19-05 for FY 2020, intends to apply the sum of Two Million Seven Hundred Eighty Five Thousand Two Hundre</t>
  </si>
  <si>
    <t xml:space="preserve"> Republic of the Philippines  Province of Cebu Municipality of Boljoon INVITATION TO BID FOR the purchase of Tires and batteries 1.	The Municipality of Boljoon, through the Maintenance of Vehicle 2020  in the amount of Three hundred  Fourteen  thousand Fiv</t>
  </si>
  <si>
    <t xml:space="preserve"> Construction Materials for the Rehabilitation/Improvement of Bairan Water System</t>
  </si>
  <si>
    <t xml:space="preserve"> Brief Description: Construction of Multi-Purpose Hall/Center which involves safety &amp; health, temporary facility, project billboard/sinage, A. Covered Court; layout and excavation, embankment/backfilling works, reinforcing steel, formworks and scaffolding,</t>
  </si>
  <si>
    <t xml:space="preserve"> ITB No. 2020-09-EFS June 03, 2020 Republic of the Philippines Province of Davao Oriental CITY OF MATI INVITATION TO BID DESIGN AND BUILD PROCUREMENT FOR THE REHABILITATION (RETROFITTING – CATEGORY 3) OF EXISTING SANITARY LANDFILL FACILITY AND WASTEWATER T</t>
  </si>
  <si>
    <t xml:space="preserve"> Invitation to Bid For One (1) Lot Supply, Delivery and Installation of Systems Furniture for LANDBANK Malolos Highway Office Building 1.	The LAND BANK OF THE PHILIPPINES (LANDBANK), through its Corporate Budget for the contract approved by the Board of Di</t>
  </si>
  <si>
    <t xml:space="preserve"> LABOR &amp; MATERIALS</t>
  </si>
  <si>
    <t xml:space="preserve"> LABOR &amp; MATERIALS COMPLETE CONSTRUCTION OF BUILDING INCLUDES MASONRY/PLASTERING WORKS, INSTALLATION OF DOORS &amp; WINDOWS, TILE WORKS, ELECTRICAL, SANITARY AND PLUMBING WORKS</t>
  </si>
  <si>
    <t xml:space="preserve"> Please refer to the attached RFQ and Technical Specifications.</t>
  </si>
  <si>
    <t xml:space="preserve"> Republic of the Philippines Province of Iloilo Municipality of Lemery Invitation to Bid 1.	The Barangay  Almenana,  Lemery, Iloilo, through  20% Development Fund 2017, 2018 &amp; 2019 intends to apply the sum of  Five Hundred  Twenty Six Thousand  Eight Pesos</t>
  </si>
  <si>
    <t xml:space="preserve"> Purchase of 130 pcs Orange Sweatshirt, long sleeve w/ DPWH Logo, 130 pcs Caps Orange, Embroidered w/ DPWH Logo, 150 pcs Rain Coat with Hood and DPWH Logo, w/ Reflective Lining, 150 pcs Reflectorized Vest Orange w/ Yellow Green Reflector, 120 pairs Work Gl</t>
  </si>
  <si>
    <t xml:space="preserve"> FUND SOURCE: 20% PDF 2020 TYPES OF WORK TO BE DONE: Project billboard/ signboard/ occupational safety and health program/ roadway excavation (unclassified)/ reinforcing steel bars/ structural concrete/ grouted riprap (class A)/ concrete gutter (cast in pl</t>
  </si>
  <si>
    <t xml:space="preserve"> Republic of the Philippines Province of zamboanga Sibugay Municipality of Olutanga 7014 JUNE 2, 2020 NOTICE TO THE PUBLIC INVITIATION TO APPLY FOR ELIGIBILITY AND TO BID All interested bidders are invited to Pre-qualify and participate in sealed bidding f</t>
  </si>
  <si>
    <t xml:space="preserve"> The detailed Bill of Materials is attached to the Bid Form.</t>
  </si>
  <si>
    <t xml:space="preserve"> Purchase of 1 unit Desktop Computer, 3 units Laptop, 13 units Cellphone w/ Geotag, 8 units Bluetooth Laser Measure (165 feet), 15 units Memory Card 64GB (Micro SD), 10 pcs USB-OTG 64 GB, 10 pcs Power Bank (30,000 mah), 5 units UPS, 1200VA, Power Surge, 8-</t>
  </si>
  <si>
    <t xml:space="preserve"> SCOPE OF WORK 1. COMMON EARTH EXCAVATION  2. GROUTED RIPRAP 3. CLASS A REINFORCED CONCRETE</t>
  </si>
  <si>
    <t xml:space="preserve"> Invitation to Bid for  INFRA 2K20-43 RENOVATION AND IMPROVEMENT OF 2- STOREY PSWD BUILDING Capitol Compound, Pagadian City June 03, 2020 1.	The Provincial Government of Zamboanga del Sur, through the Capital Outlay CY 2020 / SB No.3 CY 2020 intends to app</t>
  </si>
  <si>
    <t xml:space="preserve"> Electrical Works</t>
  </si>
  <si>
    <t xml:space="preserve"> Benguet First District Engineering Office La Trinidad, Benguet June 1, 2020 INVITATION TO BID The Benguet First District Engineering Office, through its Bids and Awards Committee (BAC), invites contractors to submit bids for the following Contract: Contra</t>
  </si>
  <si>
    <t xml:space="preserve"> Name of Project:  	PROCUREMENT OF TENT Location of the Project:  Nunungan, Lanao del  Norte BAC ACTIVITIES	SCHEDULE 1	Advertisement/Posting of IB	June 2, 2020 – June 9, 2020 2	Issuance of Bidding Documents	June 2 – June 22, 2020 8:00 A.M. – 4:00 P.M (base</t>
  </si>
  <si>
    <t xml:space="preserve"> Contract ID:	20FH0095 Contract Name:	REPAIR/REHABILITATION/RECONSTRUCTION OF SALVACION FLOOD CONTROL, SALVACION, VIGA, CATANDUANES Contract Location:	SALVACION, VIGA, CATANDUANES Scope of Work:	REPAIR/REHABILITATION/RECONSTRUCTION OF 39 L.M. FLOOD CONTROL</t>
  </si>
  <si>
    <t xml:space="preserve"> Republic of the Philippines DEPARTMENT OF PUBLIC WORKS AND HIGHWAYS CAGAYAN 2ND DISTRICT ENGINEERING OFFICE Regional Office II Abulug, Cagayan June 1, 2020 INVITATION TO BID  The Cagayan 2nd District Engineering Office, Abulug, Cagayan, through its Bids a</t>
  </si>
  <si>
    <t xml:space="preserve"> Annual Calibration and Preventive Maintenance of Medical Equipment C.Y. 2020</t>
  </si>
  <si>
    <t xml:space="preserve"> Invitation to Bid for  INFRA 2K20-42 CONST. OF CAPABILITY DEVELOPMENT CENTER FOR LAW ENFORCERS &amp; DISASTER RISK REDUCTION MANAGEMENT OFFICES (RENOV./IMPROV’T. OF FORMERLY ZAMBOANGA DEL SUR SPORTS ACADEMY FOR THE PROPOSED PDRRMO) PGC, Dao, Pagadian City, Za</t>
  </si>
  <si>
    <t xml:space="preserve"> The Municipal Government of Tagana-an, through the 20% Development Fund CY 2020, intends to apply the sum of P1,000,000.00, being the Approved Budget for the Contract (ABC) to payments under the contract for Construction of Seawall at Brgy.Cawilan, Tagana</t>
  </si>
  <si>
    <t xml:space="preserve"> Location : Legazpi City, Albay Scope of Work : Asphalt Overlay of 5.249 Lane Km. Road with Reflectorized Thermoplastic Pavement Markings including Reblocking of PCCP on Intermittent Section and Construction of 1,100.00 l.m. Line Canal</t>
  </si>
  <si>
    <t xml:space="preserve"> Earthworks, Sub-base Course, Surface Course, Drainage &amp; Slope Protection Structure, Miscellaneous</t>
  </si>
  <si>
    <t xml:space="preserve"> FUND SOURCE: 20% PDF 2020 TYPES OF WORK TO BE DONE: Project billboard/ signboard/ occupational safety and health program/ structure excavation (common soil)/ reinforcing steel  of reinforced concrete structures/ structural concrete class A/ grouted riprap</t>
  </si>
  <si>
    <t xml:space="preserve"> Section I. Invitation to Bid Republic of the Philippines Province of Davao Oriental Municipality of Boston Bids and Awards Committee Invitation to Bid  for the  Procurement of One (1) Unit Six Wheelers Truck Vehicle (Reconditioned) 1.	The Municipality of </t>
  </si>
  <si>
    <t xml:space="preserve"> The Municipal Government of Tagana-an, through the utilization of Share from National Wealth Fund CY 2020, intends to apply the sum of P1,000,000.00, being the Approved Budget for the Contract (ABC) to payments under the contract for Construction of Drain</t>
  </si>
  <si>
    <t xml:space="preserve"> various hardware materials - 402,760.00</t>
  </si>
  <si>
    <t xml:space="preserve"> Contract ID:	20FH0094 Contract Name:	CONSTRUCTION/REHABILITATION OF WATER SUPPLY/SEPTAGE AND SEWERAGE/RAIN WATER COLLECTORS – RAIN WATER COLLECTORS IN PUBLIC FACILITIES AT 21 SITES, PROVINCE OF CATANDUANES a.	SALVACION ELEMENTARY SCHOOL, BARAS, CATANDUANE</t>
  </si>
  <si>
    <t xml:space="preserve"> Republic of the Philippines Province of Eastern Samar City of Borongan -0- BIDS AND AWARDS COMMITTEE ------------------------------------------------------------------------------------------ Invitation to Bid for CONSTRUCTION OF DISASTER/EVACUATION CENTE</t>
  </si>
  <si>
    <t xml:space="preserve"> FUND SOURCE: 20% PDF 2020 TYPES OF WORK TO BE DONE: Project billboard/ signboard/ occupational safety and health program/ roadway excavation (surplus soft rock)/ structure excavation (solid rock)/ reinforcing steel bars, grade 40 (minor tools)/ structural</t>
  </si>
  <si>
    <t xml:space="preserve"> Republic of the Philippines Province of Agusan del Norte BIDS AND AWARDS COMMITTEE Capitol, Butuan City Invitation to Bid for Construction and Installation of Elevator, Provincial Health  Office, Brgy. Libertad, Butuan City (REBID) The Provincial Governme</t>
  </si>
  <si>
    <t xml:space="preserve"> INVITATION TO BID 1.	The Department of Public Works and Highways, Tarlac 1st District Engineering Office, Parsolingan, Gerona, Tarlac intends to apply the following sum to payments of the corresponding procurement listed hereunder. Bids received in excess</t>
  </si>
  <si>
    <t xml:space="preserve"> FUND SOURCE: 20% PDF 2020 TYPES OF WORK TO BE DONE: Project billboard/ signboard/ occupational safety and health program/ removal of structures and obstruction/ roadway excavation (unsuitable)/ structure excavation (soft rock)/subgrade preparation/ aggreg</t>
  </si>
  <si>
    <t xml:space="preserve"> a. Contract ID No:	20P00040     Contract Name:	Construction / Rehabilitation of Water Supply / Septage and Sewerage / Rain Water Collector Systems – Rain Water Collectors in Public Facilities - CAR     Approved Budget for the Contract:	Php 4,086,756.90   </t>
  </si>
  <si>
    <t xml:space="preserve"> A 286.83 LN.M LOCAL ACCESS ROAD SITUATED AT STO. TOMAS - STA. LUCIA MAGARAO CAMARINES SUR</t>
  </si>
  <si>
    <t xml:space="preserve"> The Municipal Government of Tagana-an, through the utilization of Share from National Wealth Fund CY 2019, intends to apply the sum of P1,000,000.00, being the Approved Budget for the Contract (ABC) to payments under the contract for Construction of Multi</t>
  </si>
  <si>
    <t xml:space="preserve"> Invitation to Bid for  INFRA 2K20-44 REPAIR/IMPROVEMENT OF COMMON BUILDING AND FACILITIES (BUILDING B) FOR RTC AND ZDSMC WARD Prov’l. Gov’t. Complex, Dao, Pagadian City, Zamboanga del Sur June 02, 2020 1.	The Provincial Government of Zamboanga del Sur, th</t>
  </si>
  <si>
    <t xml:space="preserve"> I N V I T A T I O N   T O   B I D 2020 - 091 June 3, 2020 1.	The Provincial Government of Tarlac through the 20% DF '20 - Infrastructure Projects intends to apply the sum of Three Million Pesos Only (PhP 3,000,000.00) being the Approved Budget for the Con</t>
  </si>
  <si>
    <t xml:space="preserve"> Republic of the Philippines          City of Dumaguete Bids and Awards Committee INVITATION TO BID FOR THE PURCHASE OF 2 UNITS BRAND NEW THREE-WHEELED MOTORCYCLE, PICK UP TYPE AND OTHER ITEMS 	The City of Dumaguete thru its BIDS AND AWARDS COMMITTEE (BAC)</t>
  </si>
  <si>
    <t xml:space="preserve"> Supply and delivery of construction materials and Aggregates Sub-base Course</t>
  </si>
  <si>
    <t xml:space="preserve"> The Municipal Government of Tagana-an, through the 20% Development Fund CY 2020, intends to apply the sum of P2,000,000.00, being the Approved Budget for the Contract (ABC) to payments under the contract for Rehabilitation of Seawall Phase II at Brgy.Fabi</t>
  </si>
  <si>
    <t xml:space="preserve"> ITEM NO.	DESCRIPTION	QUANTITY	UNIT 			 PART A	FACILITIES FOR THE ENGINEER	 	  A.1.1 (1)	Construction of Field Office including provision of furniture for the Engineer,40 sq.m.	40.00	sq.m.  	TOTAL OF PART A	 	  PART B	OTHER GENERAL REQUIREMENTS	 	  B.4 (8)</t>
  </si>
  <si>
    <t xml:space="preserve"> Republic of the Philippines          City of Dumaguete Bids and Awards Committee INVITATION TO BID FOR THE JOB ORDER: INSTALLATION AND SUPPLY OF BRAND NEW STANDBY GENERATOR SET 	The City of Dumaguete thru its BIDS AND AWARDS COMMITTEE (BAC), invites all i</t>
  </si>
  <si>
    <t xml:space="preserve"> Republic of the Philippines  Province of Cebu Municipality of Boljoon INVITATION TO BID FOR the purchase of IT equipment 1.	The Municipality of Boljoon, through the Annual Budget 2020-Accounting IT Equipment  in the amount of One hundred thousand  pesos (</t>
  </si>
  <si>
    <t xml:space="preserve"> Republic of the Philippines Province of Nueva Vizcaya BIDS AND AWARDS COMMITTEE (BAC-Goods) BAC OFFICE, Provincial Capitol, Bayombong, Nueva Vizcaya Tel. No. 078-392-2062 	 INVITATION TO BID FOR THE SUPPLY AND DELIVERY OF PLASTIC PRODUCTS  FOR THE  PROVIN</t>
  </si>
  <si>
    <t xml:space="preserve"> Republic of the Philippines Province of Nueva Vizcaya BIDS AND AWARDS COMMITTEE (BAC-Goods) BAC OFFICE, Provincial Capitol, Bayombong, Nueva Vizcaya Tel. No. 078-392-2062 	 INVITATION TO BID FOR THE SUPPLY AND DELIVERY OF AGRICULTURAL MACHINERY AND SUPPLI</t>
  </si>
  <si>
    <t xml:space="preserve"> INVITATION TO BID FOR  Procurement of Goods [Security Services] (REBID) The   City Government of Tagbilaran,   through the Special Education Fund (SEF) for FY 2020, intends to apply the sum of Twelve Million Eight Hundred Fifty Two Thousand Six Hundred Se</t>
  </si>
  <si>
    <t xml:space="preserve"> INVITATION TO BID PROCUREMENT OF POSTNATAL KIT WITH BABY BOX FOR MOTHERS FOR THE USE OF GENDER &amp; DEVELOPMENT FOCAL POINT SYSTEM – CHO (SECOND BIDDING) 	 The City Government of Navotas, through its Bids and Awards Committee, will hold a Public Bidding for </t>
  </si>
  <si>
    <t xml:space="preserve"> The Municipal Government of Tagana-an, through the utilization of Share from National Wealth Fund CY 2019, intends to apply the sum of P1,500,000.00, being the Approved Budget for the Contract (ABC) to payments under the contract for Construction of Kitch</t>
  </si>
  <si>
    <t xml:space="preserve"> Republic of the Philippines          City of Dumaguete Bids and Awards Committee INVITATION TO BID FOR THE PURCHASE OF 2 UNITS FULLY RECONDITIONED PASSENGER TYPE MULTICAB AND OTHER ITEMS 	The City of Dumaguete thru its BIDS AND AWARDS COMMITTEE (BAC), inv</t>
  </si>
  <si>
    <t xml:space="preserve"> I. Excavation for Structure II. Embankment III. Reinforcing Steel IV. Structural Concrete Class A V. Form Works VI. Cement Plaster Finish VII. Masonry Units VIII. Structural Steel IX. Pre-painted Metal Sheets X. Conduits, Boxes &amp; Fittings XI. Wires and Fi</t>
  </si>
  <si>
    <t xml:space="preserve"> INVITATION TO BID  PROCUREMENT OF CIVIL WORKS  OF VARIOUS FACILITIES  1.	The LOCAL WATER UTILITIES ADMINISTRATION has received a Loan from the Asian Development Bank toward the cost of the Water District Development Sector Project (WDDSP), and it intends </t>
  </si>
  <si>
    <t xml:space="preserve"> INVITATION TO BID PROCUREMENT OF DUMP TRUCKS FOR THE USE OF CITY ENVIRONMENT AND NATURAL RESOURCES OFFICE (SECOND BIDDING) 	 The City Government of Navotas, through its Bids and Awards Committee, will hold a Public Bidding for the PROCUREMENT OF DUMP TRUC</t>
  </si>
  <si>
    <t xml:space="preserve"> Republic of the Philippines Province of Sultan Kudarat Municipality of Sen. Ninoy Aquino BIDS AND AWARDS COMMITTEE INVITATION TO BID FOR Acquisition of One (1) Unit 4x4 Brand New Rescue Vehicle 1. The Municipal Government of Senator Ninoy Aquino, through </t>
  </si>
  <si>
    <t xml:space="preserve"> Republic of the Philippines Province of Oriental Mindoro  MUNICIPALITY OF NAUJAN BIDS AND AWARDS COMMITTEE INVITATION TO BID SUPPLY AND DELIVERY OF 1 UNIT BRAND NEW GARBAGE DUMP TRUCK TO BE USED IN ENVIRONMENTAL MANAGEMENT PROGRAM, NAUJAN, ORIENTAL MINDOR</t>
  </si>
  <si>
    <t xml:space="preserve"> INVITATION TO BID IB-2020-060 The Philippine Children’s Medical Center, through PCMC Corporate Fund for CY 2020 intends to apply the sum of Sixteen Million Seven Hundred Twenty-Three Thousand One Hundred One Pesos and 12/100 (Php 16,723,101.12) being the </t>
  </si>
  <si>
    <t xml:space="preserve"> Other General Requirements, Civil, Mechanical, Electrical and Sanitary/Plumbing Works, Finishing and Other Civil Works</t>
  </si>
  <si>
    <t xml:space="preserve"> Other General Requirements, Earthworks, Plain and Reinforced Concrete, Finishing and Other Civil Works, Electrical, Mechanical</t>
  </si>
  <si>
    <t xml:space="preserve"> Republic of the Philippines Province of Nueva Vizcaya BIDS AND AWARDS COMMITTEE (BAC-Goods) BAC OFFICE, Provincial Capitol, Bayombong, Nueva Vizcaya Tel. No. 078-392-2062 	 2ND INVITATION TO BID FOR THE SUPPLY AND DELIVERY OF 1 UNIT MOTORCYCLE FOR THE  PR</t>
  </si>
  <si>
    <t xml:space="preserve"> INVITATION TO BID FOR  Procurement of Goods [Fuel and Lubricants] The   City Government of Tagbilaran,   through the Appropriation Ordinance No. 19-05 for FY 2020, intends to apply the sum of Two Million Pesos only (Php2,000,000.00)being the  Approved Bud</t>
  </si>
  <si>
    <t xml:space="preserve"> Republic of the Philippines Province of Palawan Municipality of Busuanga INVITATION TO BID FOR SUPPLY &amp; DELIVERY OF TWO(2) UNITS 6-WHEELER DUMP TRUCK (BRAND NEW) INTENDED FOR RESIDUAL CONTAINMENT AREA(RCA) IN RELATION TO COVID-19 1.	The Municipal Governme</t>
  </si>
  <si>
    <t xml:space="preserve"> Description	Quantity A12 300Mbps Repeater Range Extender	7 pcs Uninterruptible power supply (UPS)	7 pcs Smart TV 32"	4 pcs Printer Scan legal paper, Refill Tank System, Wifi, Mobile-Print, ADF Print, Scan and Copy with Built-in Wireless Borderless Printin</t>
  </si>
  <si>
    <t xml:space="preserve"> REPUBLIC OF THE PHILIPPINES DEPARTMENT OF FINANCE BUREAU OF INTERNAL REVENUE National Office, Diliman, Quezon City             May 29, 2020 INVITATION TO BID 1.	The   Bureau   of   Internal     Revenue – National Office (BIR-NO), through the General Appro</t>
  </si>
  <si>
    <t xml:space="preserve"> Republic of the Philippines Province of Nueva Vizcaya BIDS AND AWARDS COMMITTEE (BAC-Goods) BAC OFFICE, Provincial Capitol, Bayombong, Nueva Vizcaya Tel. No. 078-392-2062 	 2ND INVITATION TO BID FOR THE SUPPLY AND DELIVERY OF AGRICULTURAL PRODUCTS  AND MA</t>
  </si>
  <si>
    <t xml:space="preserve"> REQUEST FOR EXPRESSION OF INTEREST FOR  SUBDIVISION SURVEY OF NEW LANDS (RA 3844) 1. The DEPARTMENT OF AGRARIAN REFORM, through the GOVERNMENT APPROPRIATIONS ACT 2020 intends to apply the sum of TWO MILLION ONE HUNDRED EIGTHY EIGHT THOUSAND PESOS (Php. 2,</t>
  </si>
  <si>
    <t xml:space="preserve"> I. Stone Masonry II. Cement Facing</t>
  </si>
  <si>
    <t xml:space="preserve"> Republic of the Philippines Province of Cotabato Municipality of Mlang BIDS AND AWARDS COMMITTEE INVITATION TO BID            The Municipal Government of M’LANG intends to apply the sum of  ONE MILLION PESOS ONLY (P1,000,000.00) being the Approved Budget </t>
  </si>
  <si>
    <t xml:space="preserve"> I N V I T A T I O N   T O   B I D 2020 - 092 June 3, 2020 1.	The Provincial Government of Tarlac through the 20% DF - Infra Projects intends to apply the sum of Two Million Five Hundred Thousand Pesos Only (PhP 2,500,000.00) being the Approved Budget for </t>
  </si>
  <si>
    <t xml:space="preserve"> Furnishing of Labor, Materials and Equipment for the Construction of 1-Classroom School Building with Toilet at Candungaw High School, Candungaw, San Isidro, Bohol ABC: P1,641,302.12 Cost of Bid Documents: P5,000.00 Advertisement Period: June 2 - June 24,</t>
  </si>
  <si>
    <t xml:space="preserve"> Project: CONSTRUCTION OF SANITARY TOILET WITH HYGIENE FACILITIES FOR PUBLIC PLACES IN BRGY. AS-IS	Description: L=12.75m W=7.55m	 Location: Barangay As-is, Laurel, Batangas ABC:PHP1,272,903.95  Project: LOCAL ACCESS ROAD IN BRGY. BALAKILONG TO MOLINETE Des</t>
  </si>
  <si>
    <t xml:space="preserve"> PROPOSED INSTALLATION OF FIVE UNITS STREETLIGHTS AT BRGY. STA. VERONICA, SAN PABLO CITY</t>
  </si>
  <si>
    <t xml:space="preserve"> 1 Lot DRESSING ROOM TILE WORKS 1 Lot DOORS AND LOCKSETS 1 Lot CEILING WORKS 1 Lot INSTALLATION OF CEILING CORNICE 1 Lot PAINTING WORKS (CEILING/WALLING OF DRESSING ROOM) 1 Lot INSTALLATION OF MIRROR (DRESSING ROOM) 1 Lot INSTALLATION OF AIRCON (DRESSING R</t>
  </si>
  <si>
    <t xml:space="preserve"> BIDS AND AWARDS COMMITTEE INVITATION TO BID 	The City Government of Valenzuela, through its Bids and Award Committee (BAC), invites interested suppliers, to apply for eligibility and to bid for the hereunder listed project to wit:      Project Reference N</t>
  </si>
  <si>
    <t xml:space="preserve"> Republic of the Philippines Province of Quezon MUNICIPALITY OF PANUKULAN * * * Invitation to Bid for CONSTRUCTION OF MULTI-PURPOSE BUILDING (MPB) PHASE II 1.	The Local Government Unit of Panukulan, Quezon  through the  20%  MDF 2019 intends to apply the s</t>
  </si>
  <si>
    <t xml:space="preserve"> FUND SOURCE: CAPITAL OUTLAY 2020 TYPES OF WORK TO BE DONE: Project billboard/ signboard/ occupational safety and health program/ mobilization and demobilization/ clearing and grubbing/ surplus common excavation/ structure excavation/ embankment from roadw</t>
  </si>
  <si>
    <t xml:space="preserve"> Other General Requirements, Earthworks, Plain and Reinforced Concrete Works, Formworks and Falseworks</t>
  </si>
  <si>
    <t xml:space="preserve"> General Requirements, Demolition Works, Earthworks, Structural Works, Architectural Works</t>
  </si>
  <si>
    <t xml:space="preserve"> I. DEMOLITION AND EARTHWORKS II. CARPENTRY WORKS III. WELDING WORKS IV. CONCRETE WORKS V. MASONRY WORKS VI. PAINTING WORKS VII. ELECTRICAL WORKS VIII. PLUMBING WORKS IX. MISCELLANEOUS</t>
  </si>
  <si>
    <t xml:space="preserve"> Republic of the Philippines Province of Quezon MUNICIPALITY OF PANUKULAN * * * Invitation to Bid for IMPROVEMENT OF CANAL AND DRAINAGE CROSSING 1.	The Local Government Unit of Panukulan, Quezon  through the  20%  MDF 2020 intends to apply the sum of One M</t>
  </si>
  <si>
    <t xml:space="preserve"> CONSTRUCTION OF MULTI-PURPOSE HALL (PHASE II) SITIO DAPI, BARANGAY CAGBALETE I, MAUBAN, QUEZON. 1.	The Local Government Unit of Mauban  through the 20% DEVELOPMENT FUND-8751/1-07-10-030, 2020 intends to apply the sum of One Million Four Hundred Ninety Nin</t>
  </si>
  <si>
    <t xml:space="preserve"> Republic of the Philippines Department of the Interior and Local Government Bureau of Jail Management and Penology National Capital Region BJMP -NCRO,5th Floor, Seneca Bldg E Rodriguez, New Manila Quezon City INVITATION TO BID   PROCUREMENT OF  1 LOT VARI</t>
  </si>
  <si>
    <t xml:space="preserve"> Other General Requirements, Earthworks, Surface Courses, Bridge Construction, Drainage and Slope Protection Structures</t>
  </si>
  <si>
    <t xml:space="preserve"> INVITATION TO BID The Guimaras District Engineering Office, through its Bids and Awards Committee (BAC), invites contractors to submit bids for the following Contract: Contract ID:	20GE0104 Contract Name: Construction (Completion) of Multi-Purpose Buildin</t>
  </si>
  <si>
    <t xml:space="preserve"> Other General Requirements, Finishing and Other Civil Works</t>
  </si>
  <si>
    <t xml:space="preserve"> INVITATION TO BID The Guimaras District Engineering Office, through its Bids and Awards Committee (BAC), invites contractors to submit bids for the following Contract: Contract ID: 20GE0103 Contract Name: Construction of Road Slope Protection Structure – </t>
  </si>
  <si>
    <t xml:space="preserve"> Adding Machine tape,Ballpen Black,binder 2 ring, calculator, carbon paper long,..etc(1lot)</t>
  </si>
  <si>
    <t xml:space="preserve"> CONSTRUCTION OF BALANGAO PATHWAY, NATONIN FUND SOURCE; 20% pdf 2020 TYPES OF WORK TO BE DONE: Project billboard/ signboard/ occupational safety and health program/ site preparation/ forms and falseworks/ concrete pathway IMPROVEMENT OF STA. ISABEL PATHWAY</t>
  </si>
  <si>
    <t xml:space="preserve"> Invitation to Bid for the  CONCRETING OF FARM TO MARKET ROAD AT BARANGAY SITE, PUROK 2, COGON BACACA  Kiblawan, Davao del Sur 1.The Local Government Unit of Kiblawan, through the 20% Local Government Development Fund 2020[ In the case of National Governme</t>
  </si>
  <si>
    <t xml:space="preserve"> Air Freshner,alcohol, bleach,broom,cleanser powder..etc..(1lot)</t>
  </si>
  <si>
    <t xml:space="preserve"> I N V I T A T I O N   T O   B I D 2020 - 093 June 3, 2020 1.	The Provincial Government of Tarlac through the 20% DF - Infra Projects intends to apply the sum of Two Million Two Hundred Fifty Thousand Pesos Only (PhP 2,250,000.00) being the Approved Budget</t>
  </si>
  <si>
    <t xml:space="preserve"> Furnishing of Labor, Materials and Equipment for the Construction of 2-Classrooms School Building with PWD Toilets at Caimbang Elementary School, Caimbang, San Isidro, Bohol ABC: P2,809,057.62 Cost of Bid Documents: P5,000.00 Advertisement Period: June 2 </t>
  </si>
  <si>
    <t xml:space="preserve"> Invitation to Bid for  INFRA 2K20-40 CONSTRUCTION OF 14 LN.M. HANGING BRIDGE June 02, 2020 1.	The Provincial Government of Zamboanga del Sur, through the Capital Outlay CY 2020 / SB No.3 CY 2020 intends to apply the sum of TWO MILLION THREE HUNDRED EIGHTY</t>
  </si>
  <si>
    <t xml:space="preserve"> June 2, 2020 1.	The Provincial Government of Davao del Sur, through its Special Bids and Awards Committee (SBAC), invites all potential bidders/contractors to apply to bid for the following project. Bids submitted in excess of the ABC shall be automatical</t>
  </si>
  <si>
    <t xml:space="preserve"> Republic of the Philippines MUNICIPALITY OF BUENAVISTA INVITATION TO BID FOR SUPPLY AND DELIVERY OF MATERIALS FOR INSTALLATION OF SOLAR STREET LIGHTING SYSTEM 1.	The Local Government Unit of Buenavista, Marinduque through the fund from the 20% Development</t>
  </si>
  <si>
    <t xml:space="preserve"> Furnishing of Labor, Materials and Equipment for the Construction of 2-Classroom School Building with PWD Toilets at Danao Technological  School, Danao, Bohol ABC: P2,754,730.83 Cost of Bid Documents: P5,000.00 Advertisement Period: June 2 - June 24, 2020</t>
  </si>
  <si>
    <t xml:space="preserve"> Lot 1 UPGRADED GOAT (BUCK) - 2 HEADS Minimum of 12 months old Minimum bodyweight not less than 20gs upon delivery Must not possess any physical defects or undesirable  characteristics Masculine in appearance and apparently healthy Pre-delivery Requirement</t>
  </si>
  <si>
    <t xml:space="preserve"> INVITATION TO BID Bid No. B-75-2020  1.	The Provincial Government of Negros Oriental through Responsibility Center: 8751-01(20) / Account Code: 50203090, intends to apply the sum of Four Million One Hundred Eighty-Five Thousand Nine Hundred Ninety-Nine Pe</t>
  </si>
  <si>
    <t xml:space="preserve"> INVITATION TO BID Bid No. B-76-2020  1.	The Provincial Government of Negros Oriental through Responsibility Center: 8919-06(19), intends to apply the sum of Three Million Pesos (Php 3,000,000.00) to payment under the contract “Purchase of One (1) unit Bra</t>
  </si>
  <si>
    <t xml:space="preserve"> INVITATION TO BID SUPPLY, DELIVERY AND TESTING OF ONE (1) LOT HIGH POWERED FIREARMS (CALIBER 5.56) Bid Ref. No. 2020-07 1.	The Philippine Drug Enforcement Agency (PDEA), thru its Bids and Awards Committee (BAC), intends to apply the following sum being th</t>
  </si>
  <si>
    <t xml:space="preserve"> INVITATION TO BID Bid No. B-77-2020  1.	The Provincial Government of Negros Oriental through Responsibility Center: 8919-04(19), intends to apply the sum of Five Million Pesos (Php 5,000,000.00) to payment under the contract “Purchase of Two (2) units Bra</t>
  </si>
  <si>
    <t xml:space="preserve"> Project Description Width= 3.00 mtr. Lenght= 4.00 mtr. Height= 2.40 mtr. and other scope of work</t>
  </si>
  <si>
    <t xml:space="preserve"> SUPPLY AND DELIVERY OF DRUGS AND MEDICINES FOR INDIGENT PATIENT OF MAUBAN. The Local Government Unit of Mauban through the GENERal FUND-4411/5-02-03-070, 2020 intends to apply the sum of Nine Hundred Ninety Nine Thousand Nine Hundred Seventy Pesos (Php 99</t>
  </si>
  <si>
    <t xml:space="preserve"> Republic of the Philippines Province of Davao Oriental City of Mati BIDS &amp; AWARDS COMMITTEE INVITATION TO BID Procurement BY LOT of DISTRIBUTION TRANSFORMER, ELECTRIC GENERATOR SET and AUTOMATIC TRANSFER SWITCH for the Use of the Provincial DRRM Council C</t>
  </si>
  <si>
    <t xml:space="preserve"> Republic of the Philippines			 DEPARTMENT OF SCIENCE AND TECHNOLOGY			 Regional Office No. 13, Caraga			 CSU Campus, Ampayon, Butuan City			 Telephone #: (085) 342-5345, 341-9551, Fax #: 342-5684			 			 Supply, Delivery, and Installation of 1 unit Large F</t>
  </si>
  <si>
    <t xml:space="preserve"> UNIVERSITY OF THE PHILIPPINES MANILA The Health Sciences Center 8/F PGH Central Block Bldg,  Taft Avenue, Manila INVITATION TO BID PROPOSED RE-ROOFING OF E.R. BUILDING AND REPAINTING OF ROOFING OF LEFT REAR WING QUADRANT BUILDING PHILIPPINE GENERAL HOSPIT</t>
  </si>
  <si>
    <t xml:space="preserve"> 1.	Supply and Delivery of Various Pesticides ABC: Php918,750.00 Specifications: A.	250 bottles Cypermethrine 2.5 EC 1li/bottle B.	250 bags Carbufuran 3G (16.7kg/bag) C.	250 boxes Pre-Emergence Herbicide, Wettable Powder (1kg/box) D.	250 bottles Early-Late</t>
  </si>
  <si>
    <t xml:space="preserve"> INVITATION TO BID SUPPLY AND DELIVERY OF PROTECTIVE EQUIPMENT (MODULAR VEST) (CI) Bid Ref. No. 2020-08 1.	The Philippine Drug Enforcement Agency (PDEA), thru its Bids and Awards Committee (BAC), intends to apply the following sum being the Approved Budget</t>
  </si>
  <si>
    <t xml:space="preserve"> Lot 2 IMPROVED/FREE-RANGE/NATIVE CHICKEN (ROOSTER) - 200 HEADS Age: not less than 18 weeks Minimum bodyweight of 1-1.5kgs upon delivery Must not possess physical defects or undesirable characteristics Pre-delivery Requirement: (Inter-island shipment) Test</t>
  </si>
  <si>
    <t xml:space="preserve"> PARTICULARS	DATE Pre-bid Conference @ BAC Conference Room, GSO, 1st floor, New Capitol Blg, Pigcarangan, Tubod,LDN.	June 11,  2020 @ 10:00 AM Deadline for Submission of Eligibility requirements and bidding documents for  bid opening (all bids must be plac</t>
  </si>
  <si>
    <t xml:space="preserve"> INVITATION TO BID FOR  Supply and Delivery of Agricultural and Forestry Equipment for Community Based Processing Facility Establishment  1.	The Department of Agriculture Regional Field Office No. 5, through the General Appropriation Act (GAA) for CY 2020-</t>
  </si>
  <si>
    <t xml:space="preserve"> 1.	Supply and Delivery of Various ICT Equipment Total ABC: Php1,290,000.00 Line Item No. 1: Supply and Delivery of 33 units Network Printer ABC: Php990,000.00 A.	33 units Network Printer Specs: -	Processor: 1,200 MHz -	Memory: minimum 256 MB -	Display: 2-</t>
  </si>
  <si>
    <t xml:space="preserve"> Tent</t>
  </si>
  <si>
    <t xml:space="preserve"> 1.	Supply and Delivery of Various Chemicals for Mango ABC: Php2,870,630.00 Specifications: A.	Plant Growth Regulator: -	92 bottles Paclobutrazol, 1 liter/bottle B.	Insecticides: -	46 bottles Buprofezin, 1 liter/bottle -	184 bottles Deltamethrin, 1 liter/b</t>
  </si>
  <si>
    <t xml:space="preserve"> Republic of the Philippines MUNICIPALITY OF BUENAVISTA INVITATION TO BID FOR SUPPLY AND DELIVERY OF MATERIALS FOR INSTALLATION OF SOLAR POWERED HOME LIGHTING SYSTEM 1.	The Local Government Unit of Buenavista, Marinduque through the fund from the 20% Devel</t>
  </si>
  <si>
    <t xml:space="preserve"> CONSTRUCTION OF DISTRIBUTION TANK, INSTALLATION OF PIPES &amp; TRANSHIPMENT</t>
  </si>
  <si>
    <t xml:space="preserve"> Republic of the Philippines Province of Cagayan Municipality of Baggao INVITATION TO BID FOR THE PROCUREMENT OF GOODS The LOCAL GOVERNMENT UNIT OF BAGGAO, CAGAYAN, through the 01-011-5-02-03-070 &amp; 01-011-5-02-03-080 intends to apply the sum of Eight Hundr</t>
  </si>
  <si>
    <t xml:space="preserve"> Invitation to Bid for the REPAIR/REHABILITATION OF CANALS AND CONSTRUCTION OF SIPHON OF TUBING-GABI CIS (REBID), BALENO, MASBATE 1.	The National Irrigation Administration Sorsogon-Masbate IMO, Sorsogon City, through the GAA/RREIS CY 2020 intends to apply </t>
  </si>
  <si>
    <t xml:space="preserve"> PEO-2020-0166 PR2020-0399 INVITATION TO BID FOR THE PROCUREMENT OF LABOR, MATERIALS, AND EQUIPMENT FOR THE CONSTRUCTION OF 1-CLASSROOM SCHOOL BUILDING WITH PWD TOILETS AT UPPER DELA PAZ PRIMA AT DELA PAZ, CORTES, BOHOL ABC: P 1,655,580.05 COST OF BID DOCU</t>
  </si>
  <si>
    <t xml:space="preserve"> Republic of the Philippines  Office of the Municipal Mayor BIDS AND AWARDS COMMITTEE Sual, Pangasinan Invitation to Bid for PROCUREMENT OF ONE UNIT PICK-UP VEHICLE Sual, Pangasinan 1.	The Municipal Government of Sual, Pangasinan, through the Local Fund - </t>
  </si>
  <si>
    <t xml:space="preserve"> Invitation to Bid for the REPAIR/REHABILITATION OF CANALS AND CANAL STRUCTURES OF SAGAWSAWAN CIS (REBID), MOBO, MASBATE 1.	The National Irrigation Administration Sorsogon-Masbate IMO, Sorsogon City, through the GAA/RREIS CY 2020 intends to apply the sum o</t>
  </si>
  <si>
    <t xml:space="preserve"> DPWH – La Union First District Engineering Office Lingsat, San Fernando City, La Union INVITATION TO BID The DPWH – La Union First District Engineering Office, through its Bids and Awards Committee (BAC), invites contractors to submit bids for the followi</t>
  </si>
  <si>
    <t xml:space="preserve"> I N V I T A T I O N   T O   B I D 2020 - 094 June 3, 2020 1.	The Provincial Government of Tarlac through the 20% DF - Infra Projects intends to apply the sum of Two Million Pesos Only (PhP 2,000,000.00) being the Approved Budget for the Contract (ABC) to </t>
  </si>
  <si>
    <t xml:space="preserve"> INVITATION TO BID SUPPLY, DELIVERY AND TESTING OF SURVEILLANCE EQUIPMENT (BODY CAMERAS) Bid Ref. No. 2020-09 1.	The Philippine Drug Enforcement Agency (PDEA), thru its Bids and Awards Committee (BAC), intends to apply the following sum being the Approved </t>
  </si>
  <si>
    <t xml:space="preserve"> INVITATION TO BID FOR  Supply and Delivery of Furniture and Fixtures for Community Based Processing Facility Establishment  1.	The Department of Agriculture Regional Field Office No. 5, through the General Appropriation Act (GAA) for CY 2020-HVCDP intends</t>
  </si>
  <si>
    <t xml:space="preserve"> Lot 3 Animal Feed Chick Grower Crumble (50kgs/bag) - 160 BAGS Delivered on site:  1. Puerto Princesa City, Palawan 2. Narra, Palawan 3. Roxas, Palawan Please see attached RFQ # 20-996-3 Submit your Sign and Sealed Quotation together with your UPDATED ELIG</t>
  </si>
  <si>
    <t xml:space="preserve"> INVITATION TO BID SUPPLY, DELIVERY AND TESTING OF ONE (1) LOT RAMAN SPECTROMETER Bid Ref. No. 2020-10 1.	The Philippine Drug Enforcement Agency (PDEA), thru its Bids and Awards Committee (BAC), intends to apply the following sum being the Approved Budget </t>
  </si>
  <si>
    <t xml:space="preserve"> 3 pc. Accession Book 176 pcs. Ballpen (black) Fine Point (0.5) 20 pcs. Ballpen (blue) Fine Point (0.5) 15 pcs. Ballpen (red) Fine Point (0.5) 63 ream Bond Paper Short (8.5 x 11)sub.20 87 ream Bond Paper long (8.5 x 13) sub.20 61 ream Bond Paper A4,sub.20 </t>
  </si>
  <si>
    <t xml:space="preserve"> Contract ID: 20PL0108 Contract Name: Construction/Rehabilitation of Water Supply/Septage and Sewerage/Rain Water Collectors in Public Facilities Contract Location: Various School Sites/Barangay/Military Camp (Rizal, Tabuk City and Pinukpuk, Kalinga) Brief</t>
  </si>
  <si>
    <t xml:space="preserve"> I N V I T A T I O N   T O   B I D  The Visayas State University (VSU) through its Bids and Awards Committee (BAC) invites contractors to bid for the hereunder project: Name of Project 	:  Completion of Covered Court of VSU Alangalang (INFRA-20-04) Locatio</t>
  </si>
  <si>
    <t xml:space="preserve"> Invitation to Bid for the CONSTRUCTION OF SLOPE PROTECTION WORKS OF UMAWAS-GAID CIS (REBID)  DIMASALANG, MASBATE 1.	The National Irrigation Administration Sorsogon-Masbate IMO, Sorsogon City, through the GAA/RREIS CY 2020 intends to apply the sum of P 1,5</t>
  </si>
  <si>
    <t xml:space="preserve"> Republic of the Philippines Province of Leyte BRGY. POBLACION ZONE 1, CAPOOCAN, LEYTE Invitation to Bid for  Construction of Tanod Outpost 1.	The Brgy. Poblacion Zone , Capoocan, Leyte  through the 20% Development Fund of 2019 and 2020, intends to apply t</t>
  </si>
  <si>
    <t xml:space="preserve"> INVITATION TO BID FOR SUPPLY/ DELIVERY OF CONSTRUCTION MATERIALS for SAN RAMON – SAN FRANCISCO RIS (REBID)  BULAN, SORSOGON 1.	The National Irrigation Administration Sorsogon-Masbate IMO, Sorsogon City, through the GAA/RRENIS CY 2020 intends to apply the </t>
  </si>
  <si>
    <t xml:space="preserve"> INVITATION TO BID SUPPLY, DELIVERY AND TESTING OF ONE (1) LOT AMMUNITION Bid Ref. No. 2020-11 1.	The Philippine Drug Enforcement Agency (PDEA), thru its Bids and Awards Committee (BAC), intends to apply the following sum being the Approved Budget for the </t>
  </si>
  <si>
    <t xml:space="preserve"> (see attached bidding documents in the associated component for further details)</t>
  </si>
  <si>
    <t xml:space="preserve"> Invitation to Bid for the REPAIR OF EXISTING CANALS OF MATANG-TUBIG CIS (REBID)  MONREAL, MASBATE 1.	The National Irrigation Administration Sorsogon-Masbate IMO, Sorsogon City, through the GAA/RREIS CY 2020 intends to apply the sum of P 1,500,485.48 being</t>
  </si>
  <si>
    <t xml:space="preserve"> 1500 pcs. RFID Card 13.56 MHG 7 box pannel Color Ribbon (YMCKKOK)</t>
  </si>
  <si>
    <t xml:space="preserve"> INVITATION TO BID  Supply and Delivery of Lot 1- 1-unit Light Cargo Truck, 6 wheelers &amp; Lot 2- 1-unit Light Cargo Truck 4 or 6 Wheelers for the Implementation 1.	The Department of Agriculture Regional Field Office No. 5, through the General Appropriation </t>
  </si>
  <si>
    <t xml:space="preserve"> Republic of the Philippines							 DEPARTMENT OF PUBLIC WORKS AND HIGHWAYS							 PANGASINAN IV							 DISTRICT ENGINEERING OFFICE							 REGIONAL OFFICE I							 Tuliao, Sta. Barbara, Pangasinan							 Name of Procuring Entity: PANGASINAN IV DISTRICT ENG</t>
  </si>
  <si>
    <t xml:space="preserve"> 8 rolls Haspi/Arlen Paper 20 gal. White glue(3.75L) 1 pcs. Gun Tucker (Heavy Duty) 2 cans Rugby (3.75L) 55 pcs. Chipboard/Binding Board 100 pcs. Binding Clip (1 inch) 3 pcs. Heavy Duty Cutter 2 pcs. Cuttng Mat (12"Wx18"L)</t>
  </si>
  <si>
    <t xml:space="preserve"> Republic of the Philippines  Office of the Municipal Mayor BIDS AND AWARDS COMMITTEE Sual, Pangasinan Invitation to Bid for PROCUREMENT OF ONE UNIT BUS Sual, Pangasinan 1.	The Municipal Government of Sual, Pangasinan, through the Local Fund - 2020 intends</t>
  </si>
  <si>
    <t xml:space="preserve"> INVITATION TO BID Procurement of Foodstuff of H.E. and N.T.S.B. for 2nd Semester 2020 1.	The DSWD Field Office IV-A (CALABARZON), through the Direct Release Fund 2020 intends to apply the sum of Fourteen Million Forty-Seven Thousand Three Hundred Twenty-F</t>
  </si>
  <si>
    <t xml:space="preserve"> INVITATION TO BID SUPPLY, DELIVERY AND TESTING OF ONE (1) LOT SHORT FIREARMS  (CALIBER .45) (REGULAR GAA) Bid Ref. No. 2020-16 1.	The Philippine Drug Enforcement Agency (PDEA), thru its Bids and Awards Committee (BAC), intends to apply the following sum b</t>
  </si>
  <si>
    <t xml:space="preserve"> Lot 1 500 reams Bondpaper,long 81/2 x 13 subs. 20 50 reams Bondpaper,short 81/2 x 11 subs. 20 35 pcks Specialty Paper (mix color), long 8 1/2 x 13 30 pcks. Photopaper (Glossy) A4 5 rolls Satin Ribbon (Royal Blue) #16 50mm 15 pcks Laminating Film,long 8 1/</t>
  </si>
  <si>
    <t xml:space="preserve"> INVITATION TO BID SUPPLY AND DELIVERY OF PROTECTIVE EQUIPMENT (MODULAR VEST) (REGULAR GAA) Bid Ref. No. 2020-17 1.	The Philippine Drug Enforcement Agency (PDEA), thru its Bids and Awards Committee (BAC), intends to apply the following sum being the Approv</t>
  </si>
  <si>
    <t xml:space="preserve"> LOT 1 SUBSCRIPTION OF PROFESSIONAL MAGAZINES AND JOURNALS Post Paid Subscription: COMPUTER AND OFFICE SYSTEM MANAGEMENT 2 isuue Philippine Information Technology Journal 7 isuue Office Pro 2 isuue Phil. Computing Journal HRST 12 isuue Asian Hotel and Cate</t>
  </si>
  <si>
    <t xml:space="preserve"> INVITATION TO BID SUPPLY AND DELIVERY OF ONE (1) LOT VARIOUS INKS Bid Ref. No. 2020-14 1.	The Philippine Drug Enforcement Agency (PDEA), thru its Bids and Awards Committee (BAC), intends to apply the following sum being the Approved Budget for the Contrac</t>
  </si>
  <si>
    <t xml:space="preserve"> Contract ID: 20PL0110 Contract Name: Repair and Maintenance of Road Safety Facilities Contract Location: Bulanao-Paracelis Road, Tabuk City, Kalinga Brief Description: Construction of 388 m Concrete Barrier Approved Budget for the Contract (ABC): PhP 3,95</t>
  </si>
  <si>
    <t xml:space="preserve"> Contract ID: 20PL0111 Contract Name: Concreting of Brgy. Lower Taloctoc FMR, Brgy. Lower Taloctoc, Tanudan, Kalinga Contract Location: Tanudan, Kalinga Brief Description: Construction of 900m x 5.0m x 0.20m thk PCCP Approved Budget for the Contract (ABC):</t>
  </si>
  <si>
    <t xml:space="preserve"> Contract ID: 20PL0109 Contract Name: Package 1 - A.) Repair/Maintenance of DPWH Building, ADE's Building, Lower Kalinga DEO, Tabuk City, Kalinga, B.) Repair/Maintenance of DPWH Building, Rank and File Building, Lower Kalinga DEO, Tabuk City, Kalinga, C.) </t>
  </si>
  <si>
    <t xml:space="preserve"> INVITATION TO BID FOR 20GM0007 – PROCUREMENT OF FUEL FOR THE USE OF DPWH CUTTER SUCTION DREDGE SDS 18- 1 (XD450) FOR THE DREDGING OF RIO GRANDE DE MINDANAO, BUCANA, BRGY. MOTHER KALANGANAN, COTABATO CITY 1. The Department of Public Works and Highways Regi</t>
  </si>
  <si>
    <t xml:space="preserve"> INVITATION TO BID SUPPLY, DELIVERY AND INSTALLATION OF ONE (1) LOT AIRCONDITIONING UNITS Bid Ref. No. 2020-12 1.	The Philippine Drug Enforcement Agency (PDEA), thru its Bids and Awards Committee (BAC), intends to apply the following sum being the Approved</t>
  </si>
  <si>
    <t xml:space="preserve"> Main Document</t>
  </si>
  <si>
    <t xml:space="preserve"> Improvement of Janiuay Public Market (Construction of Comfort Room Building), Janiuay Public Market, Janiuay, Iloilo Item No.	DESCRIPTION	Qty.	Unit I	Project Billboard	1	Lot II	Lay-Out, Staking and Enclosure	1	Lot III	Earthworks (Excavation &amp; Filling)	33.</t>
  </si>
  <si>
    <t xml:space="preserve"> INVITATION FOR NEGOTIATED PROCUREMENT BAC-NP NO. 2020-04 	The Research Institute for Tropical Medicine (RITM) through its Bids and Awards Committee (BAC) invites technically, legally and financially capable PHILGEPS-registered suppliers/manufacturers to a</t>
  </si>
  <si>
    <t xml:space="preserve"> LPG 11KGS., 10 TANKS. TO BE DELIVERED EVERY 20 DAYS.</t>
  </si>
  <si>
    <t xml:space="preserve"> Republic of the Philippines NATIONAL FOOD AUTHORITY Eastern Visayas Regional Office Pawing, Palo, Leyte INVITATION TO BID    PROCUREMENT OF I.T. EQUIPMENT (BRAND NEW AND NOT CLONED)  FOR NFA EASTERN VISAYAS REGIONAL OFFICE (REGION VIII) Project Reference </t>
  </si>
  <si>
    <t xml:space="preserve"> Republic of the Philippines DEPARTMENT OF PUBLIC WORKS AND HIGHWAYS LA UNION SECOND DISTRICT ENGINEERING OFFICE REGIONAL OFFICE I Natividad, Naguilian, La Union INVITATION TO BID The Department of Public Works and Highways LA UNION SECOND DISTRICT ENGINEE</t>
  </si>
  <si>
    <t xml:space="preserve"> I N V I T A T I O N   T O   B I D 2020 - 095 June 3, 2020 1.	The Provincial Government of Tarlac through the 20% DF - Infra Projects intends to apply the sum of One Million Five Hundred Thousand Pesos Only (PhP 1,500,000.00) being the Approved Budget for </t>
  </si>
  <si>
    <t xml:space="preserve"> I N V I T A T I O N   T O   B I D 2020 - 096 June 3, 2020 1.	The Provincial Government of Tarlac through the 20% DF - Infra Projects intends to apply the sum of One Million Five Hundred Thousand Pesos Only (PhP 1,500,000.00) being the Approved Budget for </t>
  </si>
  <si>
    <t xml:space="preserve"> INVITATION TO BID FOR  Supply and Delivery of Various Agricultural Equipment 1.	The Department of Agriculture Regional Field Office No. 5, through the General Appropriation Act (GAA) for CY 2020-Corn Program intends to apply the sum of Twenty Million Eigh</t>
  </si>
  <si>
    <t xml:space="preserve"> I N V I T A T I O N   T O   B I D 2020 - 098 June 3, 2020 1.	The Provincial Government of Tarlac through the SEF-D. Construction/Improvement Kusina ng Kalinga (Centralized Kitchen) intends to apply the sum of One Million Eight Hundred Eighty-Nine Thousand</t>
  </si>
  <si>
    <t xml:space="preserve"> INVITATION TO BID The Municipal Government of La Trinidad through the Bids and Awards Committee (BAC) invites contractors to bid for the hereunder project: Contract Reference No.: POW - 8751 - 2020 - BNG - 02 Name of Project: Completion of Multi-purpose B</t>
  </si>
  <si>
    <t xml:space="preserve"> I N V I T A T I O N   T O   B I D 2020 - 097 June 3, 2020 1.	The Provincial Government of Tarlac through the SEF-D. Construction/Improvement Kusina ng Kalinga (Centralized Kitchen) intends to apply the sum of One Million Nine Hundred Sixty Thousand Four H</t>
  </si>
  <si>
    <t xml:space="preserve"> Contract ID:	20LG0117 Contract Name:			Repair/Maintenance of DENR Building PENRO Nursery House, Dahican, Mati, Davao Oriental Contract Location:	Mati, Davao Oriental Brief Description:	Repair/ Maintenance of Public Building Approved Budget for the Contrac</t>
  </si>
  <si>
    <t xml:space="preserve"> Municipality of Looc Invitation to Bid for Construction of One Classroom in Brgy. Tabao-Ambil 1.	The Municipality of Looc, through the CCO intends to apply the sum of Php 1,150,000.00 being the Approved Budget for the Contract (ABC) to payments under the </t>
  </si>
  <si>
    <t xml:space="preserve"> INVITATION TO BID The Department of Public Works and Highways, Iloilo 2nd District Engineering Office through its Bids and Awards Committee (BAC), invites contractors to submit bids for the following Contracts: Procurement ID/Contract ID No.:   20GG0175 C</t>
  </si>
  <si>
    <t xml:space="preserve"> 0.17 month Construction Safety and Health Program 1 lot removal of structures and obstructions 9 cu.m. structural excavation 11.85 cu.m. concrete class A 247363 kgs reinforcing steel 1 ls formworks and falseworks 9.96 sq.m. doors and windows 58.32 sq.m. m</t>
  </si>
  <si>
    <t xml:space="preserve"> INVITATION TO BID FOR    Supply and Delivery of Tablet Pro for IQAO  (BulSU-BAC-G-2020-22) The BULACAN STATE UNIVERSITY (BulSU), through its Bids and Awards Committee (BAC) for Goods, Supplies, and Services, invites suppliers/manufacturers/distributors to</t>
  </si>
  <si>
    <t xml:space="preserve"> Contract ID:	20LG0116 Contract Name:			Repair/Maintenance of DPWH Building BOE-Bilawan Building, Mati, Davao Oriental Contract Location:	Mati, Davao Oriental Brief Description:	Repair/ Maintenance of Public Building Approved Budget for the Contract (ABC):</t>
  </si>
  <si>
    <t xml:space="preserve"> Republic of the Philippines Province of Nueva Vizcaya BIDS AND AWARDS COMMITTEE (BAC-GOODS) BAC OFFICE, Provincial Capitol, Bayombong, Nueva Vizcaya Tel. No. (078) 392-2650 	 2ND INVITATION TO BID FOR THE SUPPLY AND DELIVERY OF ONE (1) UNIT PHARMACY BIOME</t>
  </si>
  <si>
    <t xml:space="preserve"> I N V I T A T I O N   T O   B I D 2020 - 099 June 3, 2020 1.	The Provincial Government of Tarlac through the SEF - D. Construction/Improvement Kusina ng Kalinga (Centralized Kitchen) intends to apply the sum of One Million Eight Hundred Seventy-Nine Thous</t>
  </si>
  <si>
    <t xml:space="preserve"> Contract ID:	20LG0118 Contract Name:			Repair/Maintenance of DPWH Building Engineer's Quarter, Brgy. Matiao, Mati, Davao Oriental Contract Location:	Mati, Davao Oriental Brief Description:	Repair/ Maintenance of Public Building Approved Budget for the Con</t>
  </si>
  <si>
    <t xml:space="preserve"> 0.30 month Construction Safety and Health Program 1 lot removal of structures and obstructions 32 cu.m. structural excavation 29.13 cu.m. concrete class A 4,139.43 kgs reinforcing steel 1 ls formworks and falseworks 14 sq.m. doors and windows 342.88 sq.m.</t>
  </si>
  <si>
    <t xml:space="preserve"> 0.83 month Construction Safety and Health Program 24 sq.m. clearing and grubbing 580.85 cu.m. excavation 90 cu.m. backfill 2.40 sq.m. aggregate base course 97 cu.m. stone masonry 21.47 cu.m. concrete cl;ass a 811.49 kgs reinforcing steel 6 sets dugwell 6 </t>
  </si>
  <si>
    <t xml:space="preserve"> I N V I T A T I O N   T O   B I D 2020 - 101 June 3, 2020 1.	The Provincial Government of Tarlac through the PGO - Other Land Improvements intends to apply the sum of One Million Two Hundred Ninety-Seven Thousand Thirty-Four Pesos and 97/100 (PhP 1,297,03</t>
  </si>
  <si>
    <t xml:space="preserve"> Republic of the Philippines Region XII Province of Cotabato BIDS AND AWARDS COMMITTEE Amas, Kidapawan City INVITATION TO BID FOR Supply &amp; Delivery of Goats for distribution to qualified beneficiaries provincewide. (PB-20-276) 1.	The Provincial Government </t>
  </si>
  <si>
    <t xml:space="preserve"> Republic of the Philippines MINDANAO STATE UNIVERSITY General Santos City INVITATION TO BID FOR THE PROCUREMENT OF MICROBIOLOGY ANALYTICAL LAB/DA-ACEF EQUIPMENT 1.	The Mindanao State University – General Santos City (MSU-GSC), through the Special Trust Fu</t>
  </si>
  <si>
    <t xml:space="preserve"> Republic of the Philippines Province of Nueva Vizcaya BIDS AND AWARDS COMMITTEE (BAC-Goods) BAC OFFICE, Provincial Capitol, Bayombong, Nueva Vizcaya Tel. No. 078-392-2062 	 2ND INVITATION TO BID FOR THE 1,429 PAX MEALS &amp; SNACKS, ETC. FOR THE  SANGGUNIANG </t>
  </si>
  <si>
    <t xml:space="preserve"> Twelve (12) Security Guard Personnel: To secure, protect, and safeguard assets, properties, premises, and personnel of BFAR-NMC, Panabo City for the period July 1, 2020 to December 31, 2020. Terms and Conditions: I. That the Agency shall provide licensed </t>
  </si>
  <si>
    <t xml:space="preserve"> Republic of the Philippines Province of Nueva Vizcaya Municipality of Bambang -oOo- INVITATION TO BID The Local Government Unit of Bambang, through the Barangay IRA and Barangay Development Assistance Fund, intends to apply the sum of NINE HUNDRED SIXTY T</t>
  </si>
  <si>
    <t xml:space="preserve"> Republic of the Philippines Province of Nueva Vizcaya BIDS AND AWARDS COMMITTEE (BAC-Goods) BAC OFFICE, Provincial Capitol, Bayombong, Nueva Vizcaya Tel. No. 078-392-2062 	 INVITATION TO BID FOR THE SUPPLY AND DELIVERY OF 4 UNITS BIOMETRIC MACHINE FOR THE</t>
  </si>
  <si>
    <t xml:space="preserve"> Republic of the Philippines Province of Nueva Vizcaya BIDS AND AWARDS COMMITTEE (BAC-Goods) BAC OFFICE, Provincial Capitol, Bayombong, Nueva Vizcaya Tel. No. 078-392-2062 	 INVITATION TO BID FOR THE SUPPLY AND DELIVERY OF GROCERY ITEMS FOR STOCKPILE (SARD</t>
  </si>
  <si>
    <t xml:space="preserve"> Contract ID: 20GPF0008 Contract Name: Supply and Delivery of Asphalt and Aggregates for Use of Maintenance Section of DPWH- Benguet 2nd DEO in Patching, Crack and Joint Sealing of Concrete Pavement along National Roads Contract Location: DPWH-BSDEO, Natub</t>
  </si>
  <si>
    <t xml:space="preserve"> Republic of the Philippines Province of Nueva Vizcaya BIDS AND AWARDS COMMITTEE (BAC-Goods) BAC OFFICE, Provincial Capitol, Bayombong, Nueva Vizcaya Tel. No. 078-392-2062 	 INVITATION TO BID FOR THE SUPPLY AND DELIVERY OF 2 UNITS AIR-CONDITIONER (FLOOR MO</t>
  </si>
  <si>
    <t xml:space="preserve"> Republic of the Philippines Region XII Province of Cotabato BIDS AND AWARDS COMMITTEE Amas, Kidapawan City INVITATION TO BID FOR Supply &amp; Delivery of Livestock (Large Ruminants) for distribution to qualified beneficiaries provincewide. (PB-20-277) 1.	The </t>
  </si>
  <si>
    <t xml:space="preserve"> Republic of the Philippines Region XII Province of Cotabato BIDS AND AWARDS COMMITTEE Amas, Kidapawan City INVITATION TO BID FOR Supply &amp; Delivery of Cacao &amp; Coffee Seedlings for distribution to farmers provincewide. (PB-20-159) The Provincial Government </t>
  </si>
  <si>
    <t xml:space="preserve"> I N V I T A T I O N   T O   B I D 2020 - 102 June 3, 2020 1.	The Provincial Government of Tarlac through the 20% DF - Purchase of Garbage Compactor Truck for the transport of treated infectious wastes of TPH and 4 District Hospitals; PGO - Other Transport</t>
  </si>
  <si>
    <t xml:space="preserve"> Republic of the Philippines Province of Nueva Vizcaya Municipality of Bambang -oOo- INVITATION TO BID The Local Government Unit of Bambang, through the 20% Development Fund 2017-2020, intends to apply the sum of ONE MILLION THREE HUNDRED FIFTY THOUSAND PE</t>
  </si>
  <si>
    <t xml:space="preserve"> Republic of the Philippines Region XII Province of Cotabato BIDS AND AWARDS COMMITTEE Amas, Kidapawan City INVITATION TO BID FOR Supply of Diesel Fuel for various equipment/vehicle use to transport relief goods related to COVID-19 mitigation to different </t>
  </si>
  <si>
    <t xml:space="preserve"> I N V I T A T I O N   T O   B I D 2020 - 100 June 3, 2020 1.	The Provincial Government of Tarlac through the PGO - Capital Outlay - Other Structures intends to apply the sum of Two Million Five Hundred Seventy-Two Thousand Two Hundred Ninety Pesos and 63/</t>
  </si>
  <si>
    <t xml:space="preserve"> Republic of the Philippines Region XII Province of Cotabato BIDS AND AWARDS COMMITTEE Amas, Kidapawan City INVITATION TO BID FOR Supply &amp; Delivery of Oil Palm Seedlings for distribution to farmers provincewide. (PB-20-160) 1.	The Provincial Government of </t>
  </si>
  <si>
    <t xml:space="preserve"> Republic of the Philippines Province of Nueva Vizcaya BIDS AND AWARDS COMMITTEE (BAC-Goods) BAC OFFICE, Provincial Capitol, Bayombong, Nueva Vizcaya Tel. No. 078-392-2062 	 INVITATION TO BID FOR THE SUPPLY AND DELIVERY OF VETERINARY MEDICAL SUPPLIES (VACU</t>
  </si>
  <si>
    <t xml:space="preserve"> Republic of the Philippines Province of Nueva Vizcaya BIDS AND AWARDS COMMITTEE (BAC-GOODS) BAC OFFICE, Provincial Capitol, Bayombong, Nueva Vizcaya Tel. No. (078) 392-2650 	 2ND INVITATION TO BID FOR THE SUPPLY AND DELIVERY OF ONE (1) UNIT CAUTERY MACHIN</t>
  </si>
  <si>
    <t xml:space="preserve"> Republic of the Philippines Region XII Province of Cotabato BIDS AND AWARDS COMMITTEE Amas, Kidapawan City INVITATION TO BID FOR Supply &amp; Delivery of Food Processing Equipment to be given to Coffee and Cacao qualified planters in the Province of Cotabato.</t>
  </si>
  <si>
    <t xml:space="preserve"> INVITATION TO BID FOR THE Supply and Delivery of  Diorite (PR-2020-8751-0099) 1.	The City Government of Mandaue, through the Annual Budget of 2020 – General Fund – 875150213030 Approved by the Sanggunian intends to apply the sum of Two Million Sixty-One T</t>
  </si>
  <si>
    <t xml:space="preserve"> The Bids and Awards Committee								 Province of Iloilo								 								      In connection with your Invitation to Bid No. PEO-20-0543 B  scheduled on June 26, 2020, I/we proposed to furnish and deliver in conformity with the terms and conditions, and s</t>
  </si>
  <si>
    <t xml:space="preserve"> The Bids and Awards Committee								 Province of Iloilo								 								      In connection with your Invitation to Bid No. PEO-20-0547-B scheduled on June 26, 2020, I/we proposed to furnish and deliver in conformity with the terms and conditions, and sp</t>
  </si>
  <si>
    <t xml:space="preserve"> The Bids and Awards Committee								 Province of Iloilo								 								      In connection with your Invitation to Bid No. PEO-20-0545 B scheduled on June 26, 2020, I/we proposed to furnish and deliver in conformity with the terms and conditions, and sp</t>
  </si>
  <si>
    <t xml:space="preserve"> The Bids and Awards Committee								 Province of Iloilo								 								      In connection with your Invitation to Bid No. PEO-20-0501 B  scheduled on June 26, 2020, I/we proposed to furnish and deliver in conformity with the terms and conditions, and s</t>
  </si>
  <si>
    <t xml:space="preserve"> The Bids and Awards Committee								 Province of Iloilo								 								      In connection with your Invitation to Bid No. PEO-20-0597-B scheduled on June 26, 2020, I/we proposed to furnish and deliver in conformity with the terms and conditions, and sp</t>
  </si>
  <si>
    <t xml:space="preserve"> Republic of the Philippines City of Gapan Province of Nueva Ecija -------------------------------------------------------------------------- Invitation to Bid for the Construction of Farm to Market Road 1.	The City Government of Gapan, through the 20% Dev</t>
  </si>
  <si>
    <t xml:space="preserve"> L-300 VAN			 2.2L 4-INLINE 16 VALVE DOHC INTERCOOLED TURBO CHARGE	---------------		   1 UNIT (VGT) DI-DIESEL (EURO 4 (4N14)			 POWER 99.25/3500RPM			 FUEL SYSTEM ELECTRONIC COMMON RAIL DIRECT INJECTION			 PERFORMANCE 5 SPEED MANUAL			 MAXGROSS VEHICLE WEI</t>
  </si>
  <si>
    <t xml:space="preserve"> INVITATION TO BID (for the Procurement of Goods)           1.	The City Government of Puerto Princesa (CGPP), through its General Appropriations Ordinance No. 1-2019 (General Fund FY 2020) intends to apply the sum, corresponds as the Approved Budget for th</t>
  </si>
  <si>
    <t xml:space="preserve"> 1. Ceiling mounted speaker 6W/100V COM Black 6w - Red 3w-White.................................................185 pcs. 2. horn speaker 30w/100v COM Black 15w - Green 30w................................................................31 pcs. 3. Amplifier </t>
  </si>
  <si>
    <t xml:space="preserve"> Procurement of &amp; Installation of Canopy for sixteen (16) Service Vehicles (PR No. 20-02-059 dated 2/28/2020), EMD, DPWH, Region V, Legazpi City</t>
  </si>
  <si>
    <t xml:space="preserve"> INVITATION TO APPLY FOR ELIGIBILITY AND TO BID The local Government Unit of Taft, through is Bid and Awards Committee (BAC). Invites suppliers to apply for eligibility, to bid for the hereunder contract: Name of Contract: REDEVELOPMENT OF JUAN SULSE MEMOR</t>
  </si>
  <si>
    <t xml:space="preserve"> Republic of the Philippines Province of Quezon Municipality of Pagbilao BIDS AND AWARDS COMMITTEE Invitation to Bid for CONSTRUCTION OF ADDITIONAL CEMETERY VAULT 1.	The Municipal Government of Pagbilao, through the Supplemental Budget No. 1- CY 2020 inten</t>
  </si>
  <si>
    <t xml:space="preserve"> Republic of the Philippines DEPARTMENT OF AGRICULTURE Regional Field Office IX Zamboanga Peninsula 		 INVITATION TO BID  ITB NO. 05-0011-20 INSTALLATION OF SOLAR POWERED IRRIGATION SYSTEM 1.	 The Department of Agriculture, Region IX, through the General A</t>
  </si>
  <si>
    <t xml:space="preserve"> SEE ATTACH FILE</t>
  </si>
  <si>
    <t xml:space="preserve"> Invitation to Bid for the Improvement of Maluko Public Market 1.	The Local Government Unit of Manolo Fortich, through the 20% Local Development Fund intends to apply the sum of THREE MILLION PESOS (PhP 3,000,000.00) being the Approved Budget for the Contr</t>
  </si>
  <si>
    <t xml:space="preserve"> Republic of the Philippines Region XII Province of Cotabato BIDS AND AWARDS COMMITTEE Amas, Kidapawan City INVITATION TO BID FOR Supply &amp; Delivery of Rubber Seedlings for distribution to farmers provincewide. (PB-20-077) 1.	The Provincial Government of Co</t>
  </si>
  <si>
    <t xml:space="preserve"> Republic of the Philippines Province of Quezon Municipality of Pagbilao BIDS AND AWARDS COMMITTEE Invitation to Bid for INSTALLATION OF TWENTY TWO (22) UNITS SOLAR LIGHTS 1.	The Municipal Government of Pagbilao, through the 20% MDF Supplemental Budge No. </t>
  </si>
  <si>
    <t xml:space="preserve"> Republic of the Philippines Province of Quezon Municipality of Pagbilao BIDS AND AWARDS COMMITTEE Invitation to Bid for CONCRETING OF ROAD 1.	The Municipal Government of Pagbilao, through the 20% MDF Supplemental Budge No. 1- CY 2020 intends to apply the </t>
  </si>
  <si>
    <t xml:space="preserve"> INVITATION TO BID FOR THE Procurement of 20 units of Laptop  1. The Department of Agriculture-Regional Field Office 7, through the GAA 2020 intends to apply the sum of Nine Hundred Ninety Thousand Pesos (₱ 990,000.00) being the Approved Budget for the Con</t>
  </si>
  <si>
    <t xml:space="preserve"> Procurement of Nine (9) sets Materials Testing, Thirty three (33) pcs. Clerical Mesh Chair, Mobile Pedestal, etc. for use in the QAHD, Laboratory Office (PR No. 20-03-072 dated 3/9/2020), QAHD, DPWH, Region V, Legazpi City</t>
  </si>
  <si>
    <t xml:space="preserve"> INVITATION TO BID FOR THE Procurement of 6 units of Branded Desktop Computer (with complete accessories) 1. The Department of Agriculture-Regional Field Office 7, through the GAA 2020 intends to apply the sum of Five Hundred Ten Thousand Pesos (₱ 510,000.</t>
  </si>
  <si>
    <t xml:space="preserve"> Republic of the Philippines Province of Quezon Municipality of Pagbilao BIDS AND AWARDS COMMITTEE Invitation to Bid for CONSTRUCTION OF PUBLIC / GOVERNMENT INFRASTRUCTURES ( CONSTRUCTION OF THIRD LAGOON) 1.	The Municipal Government of Pagbilao, through th</t>
  </si>
  <si>
    <t xml:space="preserve"> 600 reams Bond Paper, long, subs. 20														 350 reams Bond Paper, short, subs. 20														 30 reams Mimeo Paper, long, subs. 20														 20 box Gel Pen, black														 5 box Gel Pen, blue														 14 box Gel Pen Ink Refill, blac</t>
  </si>
  <si>
    <t xml:space="preserve"> Republic of the Philippines Province of Batangas MUNICIPALITY OF LOBO Invitation to Bid for the SUPPLY OF MATERIALS, LABOR AND EQUIPMENT FOR THE CONSTRUCTION OF ADDITIONAL STRUCTURES OF NEW PUBLIC MARKET SITE (SITE FOR STP AND PARKING AREA) AT BARANGAY PO</t>
  </si>
  <si>
    <t xml:space="preserve"> Republic of the Philippines Province of Batangas MUNICIPALITY OF LOBO Invitation to Bid for the SUPPLY OF MATERIALS, LABOR AND EQUIPMENT FOR LOBO PUBLIC MARKET SEWAGE TREATMENT PLANT AND FACILITY AT BARANGAY POBLACION, LOBO, BATANGAS Contract ID No. 20-MD</t>
  </si>
  <si>
    <t xml:space="preserve"> Republic of the Philippines Province of Quezon Municipality of Pagbilao BIDS AND AWARDS COMMITTEE Invitation to Bid for REHABILITATION/IMPROVEMENT OF SOLAR LIGHTS 1.	The Municipal Government of Pagbilao, through the Supplemental Budget No. 1- CY 2020 inte</t>
  </si>
  <si>
    <t xml:space="preserve"> Republic of the Philippines Province of Batangas MUNICIPALITY OF LOBO Invitation to Bid for the SUPPLY OF MATERIALS, LABOR AND EQUIPMENT FOR THE CONSTRUCTION OF LOBO PUBLIC MARKET FENCE AT BARANGAY POBLACION, LOBO, BATANGAS Contract ID No. 20-MDF-004 1.Th</t>
  </si>
  <si>
    <t xml:space="preserve"> Republic of the Philippines Province of Batangas MUNICIPALITY OF LOBO Invitation to Bid for the SUPPLY OF MATERIALS, LABOR AND EQUIPMENT FOR THE INSTALLATION OF STREET LIGHTING SYSTEM (SOLAR) AT MARKET SITE, BARANGAY POBLACION, LOBO, BATANGAS Contract ID </t>
  </si>
  <si>
    <t xml:space="preserve"> Republic of the Philippines Province of Quezon Municipality of Pagbilao BIDS AND AWARDS COMMITTEE Invitation to Bid for CONSTRUCTION OF FLOOD CONTROL ( RIP-RAPPING ) 1.	The Municipal Government of Pagbilao, through the 20% MDF Supplemental Budge No. 1- CY</t>
  </si>
  <si>
    <t xml:space="preserve"> PROCUREMENT OF OFFICE AND JANITORIAL SUPPLIES FOR THE 1ST AND 2ND QUARTERS OF CY 2020 1.	The OCCIDENTAL MINDORO STATE COLLEGE (OMSC), through the General Fund/Special Trust Fund intends to apply the sum of One Million Six Hundred Twenty-One Thousand Eight</t>
  </si>
  <si>
    <t xml:space="preserve"> Republic of the Philippines Province of Pangasinan Municipality of Bugallon OFFICE OF THE BIDS AND AWARDS COMMITTEE INVITATION TO BID The Municipality of Bugallon, Pangasinan, through its Bids and Awards Committee (BAC), invites contractors to bid for her</t>
  </si>
  <si>
    <t xml:space="preserve"> INVITATION TO BID FOR THE Construction of Maguing Municipal Fire Station PB-Infra 2020-06-001 1. The Bureau of Fire Protection-BARMM, through the Special Account Government Fund intends to apply the sum of Seven Million Three Hundred Twenty Thousand Nine </t>
  </si>
  <si>
    <t xml:space="preserve"> Republic of the Philippines Province of Cebu Municipality of Cordova BIDS AND AWARDS COMMITTEE (BAC) (032-236-6171) INVITATION TO BID  The Municipality of Cordova, through its Bids and Awards Committee (BAC) intends to apply  the sum of One Million Pesos </t>
  </si>
  <si>
    <t xml:space="preserve"> Republic of the Philippines Province of Cebu Municipality of Cordova BIDS AND AWARDS COMMITTEE (BAC) (032-236-6171) INVITATION TO BID  The Municipality of Cordova, through its Bids and Awards Committee (BAC) intends to apply  the sum of Two Million Pesos </t>
  </si>
  <si>
    <t xml:space="preserve"> Prospective bidders should possess a valid PCAB license applicable to the contract, have completed a similar contract with a value of at least 50% of the ABC. The BAC will use non-discretionary pass/fail criteria in the eligibility check/screening as well</t>
  </si>
  <si>
    <t xml:space="preserve"> INVITATION TO BID FOR THE Construction of Kabuntalan Municipal Fire Station PB-Infra 2020-06-002 1. The Bureau of Fire Protection-BARMM, through the Special Account Government Fund intends to apply the sum of Seven Million Three Hundred Twenty Thousand Ni</t>
  </si>
  <si>
    <t xml:space="preserve"> Bicol Regional Training &amp; Teaching Hospital Legazpi City INVITATION TO BID FOR  PROVISION OF SECURITY SERVICES (IB NO. 05-2020) 1.	The Bicol Regional Training and Teaching Hospital (BRTTH), through the  2020 Hospital Income intends to apply the sum of Fou</t>
  </si>
  <si>
    <t xml:space="preserve"> INVITATION TO BID May 29, 2020 1. The DPWH–Biliran District Engineering Office, through its Bids and Awards Committee (BAC), invites contractors to submit bids for the following Contract: 1.	Procurement ID/Contract ID	:  20IA0089							 Contract Name    	</t>
  </si>
  <si>
    <t xml:space="preserve"> INVITATION TO BID FOR THE SUPPLY, DELIVERY, INSTALLATION AND COMMISSIONING OF ONE (1) UNIT FULLY AUTOMATED BLOOD CULTURE SYSTEM 1.	The Eversley Childs Sanitarium and General Hospital, through HFEP 2020 GAA, intends to apply the sum of Four Million Five Hu</t>
  </si>
  <si>
    <t xml:space="preserve"> Republic of the Philippines Province of Iloilo  Municipality of Pototan BIDS AND AWARDS COMMITTEE INVITATION TO BID 1.	The Municipality of Pototan, through the Gen Fund‘‘ intends to apply the sum of (4,000,000.00) being the Approved Budget for the Contrac</t>
  </si>
  <si>
    <t xml:space="preserve"> PB NO. 2020-025		 			 1.	1	lot	Proposed Concreting of Road at Brgy. San Joaquin, San Pablo City. 			By: Contract 			 	Deadline for Submission of Bids: June 23, 2020 10:00 am</t>
  </si>
  <si>
    <t xml:space="preserve"> INVITATION TO BID FOR THE SUPPLY, DELIVERY, INSTALLATION AND COMMISSIONING OF ONE (1) UNIT FULLY AUTOMATED SYSTEM FOR BACTERIAL IDENTIFICATION AND ANTIMICROBIAL SUSCEPTIBILITY TESTING 1.	The Eversley Childs Sanitarium and General Hospital, through HFEP 20</t>
  </si>
  <si>
    <t xml:space="preserve"> I. PORTLAND CEMENT CONCRETE PAVEMENT                -     20.025   CU.M.</t>
  </si>
  <si>
    <t xml:space="preserve"> INVITATION TO BID The DPWH Bukidnon 1st District Engineering Office, Malaybalay City, through its Bids and Awards Committee (BAC), invites contractors to submit bids for the following Contracts:   			 8	Contract ID 	:	20KA0142 	Contract Name 	:	Constructi</t>
  </si>
  <si>
    <t xml:space="preserve"> PB NO. 2020-026		 			 1.	1	lot	Proposed Construction of Fence at Cresencia Drusila Senior High School, Brgy. San Roque, San Pablo City. 			By: Contract 			 	Deadline for Submission of Bids: June 23, 2020 1:00 pm</t>
  </si>
  <si>
    <t xml:space="preserve"> (DOWNLOAD ATTACHMENT) Prospective bidders should have completed a similar contract with a value of at least 50% of the ABC. The BAC will use non-discretionary pass/fail criteria in the eligibility check/screening as well as the preliminary examination of </t>
  </si>
  <si>
    <t xml:space="preserve"> Supply and delivery of various materials for the Proposed Improvement of Brgy. Hall, Brgy. Imbang Pequeno, San Enrique, Iloilo. Approved Budget for the Contract: Php. 80,900.00 Source of Fund: 20% Development Fund</t>
  </si>
  <si>
    <t xml:space="preserve"> VEHICLE (Ambulance)		 Engine Specification:		  model 1GD-FTV- 2.8 Diesel M/T		 Engine tech 4 cylinders, in line type		 Type 16 valve DOHC		 Displacement 2,755 cc		 Maximum output 176/3400		 Maximum tourque 420/1400-2600		 Bore and stroke 92.0 x 103.6		 Co</t>
  </si>
  <si>
    <t xml:space="preserve"> Republic of the Philippines DEPARTMENT OF PUBLIC WORKS AND HIGHWAYS BATANGAS III DISTRICT ENGINEERING OFFICE REGIONAL OFFICE IV-A J. Gonzales St., Barangay 4, Tanauan City INVITATION TO BID (CW-2020-031) The DPWH–Batangas III District Engineering Office, </t>
  </si>
  <si>
    <t xml:space="preserve"> Republic of the Philippines Province of Quezon Municipality of Pagbilao BIDS AND AWARDS COMMITTEE Invitation to Bid for IMPROVEMENT OF MUNICIPAL COVERED COURT 1.	The Municipal Government of Pagbilao, through the Supplemental Budget No. 1  CY- 2020 intends</t>
  </si>
  <si>
    <t xml:space="preserve"> Republic of the Philippines PROVINCE OF SOUTHERN LEYTE Maasin City Invitation to Bid for the Procurement of Catering Services, Office Supplies and PPE    Contract ID # 2020-06-23-310PG 1.	The Provincial Government of Southern Leyte through the PAGSO Other</t>
  </si>
  <si>
    <t xml:space="preserve"> Republic of the Philippines PROVINCE OF SOUTHERN LEYTE Maasin City Invitation to Bid for the Procurement of Hauling Services  Contract ID # 2020-06-23-304PG 1.	The Provincial Government of Southern Leyte through the PGO Rent Expenses intend to apply for a</t>
  </si>
  <si>
    <t xml:space="preserve"> Republic of the Philippines DEPARTMENT OF PUBLIC WORKS AND HIGHWAYS  MINDORO OCCIDENTAL DISTRICT ENGINEERING OFFICE Regional Office IV-B Mamburao, Occidental Mindoro NOTICE OF ELIGIBILITY May 21, 2020 MS. ROWENA SARREAL SANTOS TERMS CONCRETE TESTING # 19 </t>
  </si>
  <si>
    <t xml:space="preserve"> Republic of the Philippines PROVINCE OF SOUTHERN LEYTE Maasin City Invitation to Bid for the Procurement of Furniture &amp; Fixture  Contract ID # 2020-06-23-302PG 1.	The Provincial Government of Southern Leyte through the PASSO Furniture &amp; Fixture Expenses i</t>
  </si>
  <si>
    <t xml:space="preserve"> Department of Public Works and Highways Contract ID : 20MH0101 Contract Name : Application of Pavement Markings of National Roads along Isulan- Jct. Dukay-Bagumbayan-Sen. Ninoy Aquino-Kalamansig Road, K1824+270 - K1825+900, K1830+600 -K1831+650, K1837+000</t>
  </si>
  <si>
    <t xml:space="preserve"> Republic of the Philippines Province of Quezon Municipality of Pagbilao BIDS AND AWARDS COMMITTEE Invitation to Bid for CONSTRUCTION OF COVERED LINE CANAL 1.	The Municipal Government of Pagbilao, through the Supplemental Budget No. 1  CY- 2020 intends to </t>
  </si>
  <si>
    <t xml:space="preserve"> INVITATION TO BID FOR PROCUREMENT OF DPWH SECURITY SERVICES OF TWENTY FOUR (24) SECURITY PERSONNEL FOR DEPLOYMENT AT DPWH REGIONAL OFFICE IX (15 SECURITY GUARDS), ISABELA CITY DEO (3 SECURITY GUARDS), ZAMBOANGA DEL SUR 1ST DEO (3 SECURITY GUARDS) AND ZAMB</t>
  </si>
  <si>
    <t xml:space="preserve"> Republic of the Philippines DEPARTMENT OF AGRICULTURE Regional Field Office IX Zamboanga Peninsula 		 INVITATION TO BID  ITB NO. 05-0012-20 INSTALLATION OF SOLAR POWERED IRRIGATION SYSTEM 1.	 The Department of Agriculture, Region IX, through the General A</t>
  </si>
  <si>
    <t xml:space="preserve"> Republic of the Philippines Province of Quezon Municipality of Pagbilao BIDS AND AWARDS COMMITTEE Invitation to Bid for CONSTRUCTION OF WATER SYSTEM 1.	The Municipal Government of Pagbilao, through the Supplemental Budget No. 1  CY- 2020 intends to apply </t>
  </si>
  <si>
    <t xml:space="preserve"> Republic of the Philippines Province of Quezon Municipality of Pagbilao BIDS AND AWARDS COMMITTEE Invitation to Bid for CONSTRUCTION OF WATER IMPOUNDING FACILITIES 1.	The Municipal Government of Pagbilao, through the 20 % MDF Supplemental Budget No. 1  CY</t>
  </si>
  <si>
    <t xml:space="preserve"> Republic of the Philippines Province of Quezon Municipality of Pagbilao BIDS AND AWARDS COMMITTEE Invitation to Bid for IMPROVEMENT OF WATER SYSTEM 1.	The Municipal Government of Pagbilao, through the Supplemental Budget No. 1  CY- 2020 intends to apply t</t>
  </si>
  <si>
    <t xml:space="preserve"> Department of Public Works and Highways Contract ID : 20MH0102 Contract Name : Application of Pavement Markings of National Roads along Awang- Upi-Lebak-Kalamansig-Palimbang Road, K2007+000 - K2009+000, K2012+000 -K2013+500, K2028+800 -K2030+800, K2042+80</t>
  </si>
  <si>
    <t xml:space="preserve"> Republic of the Philippines PROVINCE OF SOUTHERN LEYTE Maasin City Invitation to Bid for the Procurement of Various Housekeeping, UPS and Visitor’s Chairs    Contract ID # 2020-06-23-315PG 1.	The Provincial Government of Southern Leyte through the PTO Oth</t>
  </si>
  <si>
    <t xml:space="preserve"> Republic of the Philippines PROVINCE OF SOUTHERN LEYTE Maasin City Invitation to Bid for the Procurement of Various Medical Equipment   Contract ID # 2020-06-23-312PG 1.	The Provincial Government of Southern Leyte through the PDH Other Maintenance and Ope</t>
  </si>
  <si>
    <t xml:space="preserve"> Republic of the Philippines PROVINCE OF SOUTHERN LEYTE Maasin City Invitation to Bid for the Procurement of Various Medical Supplies  Contract ID # 2020-06-23-311PG 1.	The Provincial Government of Southern Leyte through the PBCH Other Maintenance and Oper</t>
  </si>
  <si>
    <t xml:space="preserve"> Republic of the Philippines Office of the Municipal Mayor BIDS AND AWARDS COMMITTEE Sual, Pangasinan Invitation to Bid for PROCUREMENT OF TRAINING SUPPLIES AND EQUIPMENT (Sual, Pangasinan) 1.	The Municipal Government of Sual, Pangasinan, through the 2020 </t>
  </si>
  <si>
    <t xml:space="preserve"> Republic of the Philippines PROVINCE OF SOUTHERN LEYTE Maasin City Invitation to Bid for the Procurement of Poultry Nets and Nylon   Contract ID # 2020-06-23-318PG 1.	The Provincial Government of Southern Leyte through the PVET Other Supplies and Material</t>
  </si>
  <si>
    <t xml:space="preserve"> Republic of the Philippines PROVINCE OF SOUTHERN LEYTE Maasin City Invitation to Bid for the Procurement of Tires  Contract ID # 2020-06-23-154PG 1.	The Provincial Government of Southern Leyte through the ADH– Repair and Maintenance- Transportation Equipm</t>
  </si>
  <si>
    <t xml:space="preserve"> Republic of the Philippines PROVINCE OF SOUTHERN LEYTE Maasin City Invitation to Bid for the Procurement of Various IT Supplies  Contract ID # 2020-06-23-325PG 1.	The Provincial Government of Southern Leyte through the PEO ADMIN – Other Supplies and Mater</t>
  </si>
  <si>
    <t xml:space="preserve"> Republic of the Philippines PROVINCE OF SOUTHERN LEYTE Maasin City Invitation to Bid for the Procurement of Various Vegetable Seeds  Contract ID # 2020-06-23-322PG 1.	The Provincial Government of Southern Leyte through the PAGSO– Agricultural and Marine S</t>
  </si>
  <si>
    <t xml:space="preserve"> Republic of the Philippines Office of the Municipal Mayor BIDS AND AWARDS COMMITTEE Sual, Pangasinan Invitation to Bid for PROCUREMENT OF SMART TV &amp; DESKTOP (Sual National High School) 1.	The Municipal Government of Sual, Pangasinan, through the Special E</t>
  </si>
  <si>
    <t xml:space="preserve"> Republic of the Philippines PROVINCE OF SOUTHERN LEYTE Maasin City Invitation to Bid for the Procurement of Polybags  Contract ID # 2020-06-23-323PG 1.	The Provincial Government of Southern Leyte through the PAGSO– Agricultural and Marine Supplies Expense</t>
  </si>
  <si>
    <t xml:space="preserve"> Republic of the Philippines PROVINCE OF SOUTHERN LEYTE Maasin City Invitation to Bid for the Procurement of Tubeless Tire  Contract ID # 2020-06-23-321PG 1.	The Provincial Government of Southern Leyte through the HCH– Repair and Maintenance- Transportatio</t>
  </si>
  <si>
    <t xml:space="preserve"> Republic of the Philippines Department of Science and Technology PHILIPPINE SCIENCE HIGH SCHOOL – ZAMBOANGA PENINSULA REGION CAMPUS Cogon, Dipolog City       INVITATION TO BID FOR THE PROCUREMENT OF ICT EQUIPMENT APPROVED BUDGET FOR THE CONTRACT: ₱ 4,000,</t>
  </si>
  <si>
    <t xml:space="preserve"> Republic of the Philippines PROVINCE OF SOUTHERN LEYTE Maasin City Invitation to Bid for the Procurement of Artificial Insemination Materials and Supplies   Contract ID # 2020-06-23-316PG 1.	The Provincial Government of Southern Leyte through the PVET Oth</t>
  </si>
  <si>
    <t xml:space="preserve"> Republic of the Philippines Department of Science and Technology PHILIPPINE SCIENCE HIGH SCHOOL – ZAMBOANGA PENINSULA REGION CAMPUS Cogon, Dipolog City INVITATION TO BID FOR THE PROCUREMENT OF TECHNICAL AND SCIENTIFIC EQUIPMENT (Supply, Delivery and Insta</t>
  </si>
  <si>
    <t xml:space="preserve"> Republic of the Philippines PROVINCE OF SOUTHERN LEYTE Maasin City Invitation to Bid for the Procurement of Various Veterinary Drugs and Biologics   Contract ID # 2020-06-23-319PG 1.	The Provincial Government of Southern Leyte through the PVET Other Suppl</t>
  </si>
  <si>
    <t xml:space="preserve"> CONSTRUCTION OF 4X120X0.15 ACCESS ROAD</t>
  </si>
  <si>
    <t xml:space="preserve"> CONSTRUCTION OF 140 LN.M. FLOOD CONTROL</t>
  </si>
  <si>
    <t xml:space="preserve"> Section I. Invitation to Bid INVITATION TO BID  DA8-Goods-2020-36 (PR No. CORN 20-05-20-0161) 1.	The Department of Agriculture-Regional Field Office No. 8, through the CORN 2020 intends to apply the sum of Three Million Eight Hundred Ninety-Five Thousand </t>
  </si>
  <si>
    <t xml:space="preserve"> CONSTRUCTION OF 90 LN.M. SLOPE PROTECTION ALONG RIVER BANKS</t>
  </si>
  <si>
    <t xml:space="preserve"> Republic of the Philippines PROVINCE OF SOUTHERN LEYTE Maasin City Invitation to Bid for the Procurement of Various Laboratory Reagent Supplies  Contract ID # 2020-06-23-320PG 1.	The Provincial Government of Southern Leyte through the SDH Medical, Dental </t>
  </si>
  <si>
    <t xml:space="preserve"> Section I. Invitation to Bid INVITATION TO BID  DA8-Goods-2020-39 (PR No. RICE 20-04-16-0660) 1.	The Department of Agriculture-Regional Field Office No. 8, through the RICE 2020-C.O intends to apply the sum of One Million One Hundred Thousand Pesos Only (</t>
  </si>
  <si>
    <t xml:space="preserve"> Section I. Invitation to Bid INVITATION TO BID  DA8-Goods-2020-38 (PR No.QRF URSULA 20-05-08-0006) 1.	The Department of Agriculture-Regional Field Office No. 8, through the QRF URSULA ASA 2020 intends to apply the sum of Four Million Six Hundred Twenty Th</t>
  </si>
  <si>
    <t xml:space="preserve"> Republic of the Philippines DEPARTMENT OF PUBLIC WORKS AND HIGHWAYS BATANGAS III DISTRICT ENGINEERING OFFICE REGIONAL OFFICE IV-A J. Gonzales St., Barangay 4, Tanauan City RE-INVITATION TO BID (CW-2020-032) The DPWH–Batangas III District Engineering Offic</t>
  </si>
  <si>
    <t xml:space="preserve"> CONSTRUCTION OF 3X155 LN.M. ROAD</t>
  </si>
  <si>
    <t xml:space="preserve"> Earthworks	39.30	cu.m. Reinforcing Steel Bar	5,844.85	kgs. Structural Concrete	48.00	cu.m. Metal/Steel Works	1.00	lot Masonry Works w/ Plaster	205.80	sq.m. Doors &amp; Windows	18.84	sq.m. Ceiling (Interior 2nd Floor)	98.00	sq.m. Electrical Works	1.00	lot Plum</t>
  </si>
  <si>
    <t xml:space="preserve"> Section I. Invitation to Bid INVITATION TO BID  DA8-Goods-2020-37 (PR No. CORN 20-02-14-0126) 1.	The Department of Agriculture-Regional Field Office No. 8, through the CORN 2020 intends to apply the sum of Six Million Four Hundred Sixty-Two Thousand Five </t>
  </si>
  <si>
    <t xml:space="preserve"> Republic of the Philippines PROVINCE OF SOUTHERN LEYTE Maasin City Invitation to Bid for the Procurement of Other Supplies and Materials   Contract ID # 2020-06-23-317PG 1.	The Provincial Government of Southern Leyte through the PVET Other Supplies and Ma</t>
  </si>
  <si>
    <t xml:space="preserve"> INVITATION TO BID The Provincial Government of Bulacan (PGB), through its Bids and Awards Committee (BAC), invites contractors to apply for eligibility and to bid for hereunder projects: NO.	PROJECT TITLE	ABC	CONTRACT DURATION	SOURCE OF FUND GOODS-061820-</t>
  </si>
  <si>
    <t xml:space="preserve"> Department of Public Works and Highways (DPWH) Contract ID: 20G00097 Contract Name: Construction of Revetment Wall along Cangaranan River at Cangaranan Bridge (Abutment A), Bugasong, Antique Location of the Contract: Bugasong, Antique --------------------</t>
  </si>
  <si>
    <t xml:space="preserve"> IMPROVEMENT OF DAY CARE CENTER Barangay Lower Dimorok Molave, Zamboanga del Sur 1.32 cu.m. - Construction of Roof Beam 496.71 kgs - Steel Trusses 58.94 sq.m. - Installation of Roof 9.00 units - Installation of 8 units Jalousie Windows and 1 unit Door 43.5</t>
  </si>
  <si>
    <t xml:space="preserve"> REHABILITATION OF BARANGAY ROAD Brgy. Lower Dimorok Molave, Zamboanga del Sur Graveling and Reshaping of Road 404.00 cu.m - Hauling of Material and Reshaping</t>
  </si>
  <si>
    <t xml:space="preserve"> QTY     UNIT       SIZE              DESCRIPTION 20       ROLLS     75MM X 60     SDR 13.5 22       ROLLS     63MM X 60     SDR 13.5 25       ROLLS     50MM X 60     SDR 13.5</t>
  </si>
  <si>
    <t xml:space="preserve"> PROJECT NAME: Fencing of Bangao National High School PROJECT LOCATION:  Bangao, Buguias, Benguet DURATION:  45 CD (Including mobilization and Curing) PROJECT Cost:  PHP 500,000.00 SOURCE OF FUND: SEF CY 2020 ITEM NO.	DESCRIPTION							 QTY  	   	UNIT 102	</t>
  </si>
  <si>
    <t xml:space="preserve"> PROJECT NAME: Improvement along JFMR LLPB – Lanas – Pusong Road PROJECT LOCATION:  Loo, Buguias, Benguet DURATION:  42 CD (Including mobilization and Curing) PROJECT Cost:  PHP 200,000.00 SOURCE OF FUND: 20% MDF CY 2020 ITEM NO.	DESCRIPTION							 QTY  	 </t>
  </si>
  <si>
    <t xml:space="preserve"> Please see attached documents.</t>
  </si>
  <si>
    <t xml:space="preserve"> Republic of the Philippines Province of Surigao del Sur Municipality of Tago ----oo0oo---- Invitation to Bid Supply and Delivery of Floor Mounted Air conditioner (Including Installation) Project ID No. TAG-SDS-052-2020 The Local Government Unit of Tago, S</t>
  </si>
  <si>
    <t xml:space="preserve"> Republic of the Philippines PROVINCE OF ZAMBOANGA SIBUGAY Municipality of Mabuhay OFFICE OF THE BAC CHAIRMAN                         INVITATION TO BID FOR THE COMPLETION OF SERGIO OSMEÑA ST. (GOING MABUHAY CENTRAL ELEMENTARY SCHOOL) Identification No. LGU</t>
  </si>
  <si>
    <t xml:space="preserve"> Republic of the Philippines Province of Eastern Samar City of Borongan -0- BIDS AND AWARDS COMMITTEE ------------------------------------------------------------------------------------------ Invitation to Bid for ROAD OPENING (SAN GREGORIO – BANUYO PHASE</t>
  </si>
  <si>
    <t xml:space="preserve"> Republic of the Philippines Province of Eastern Samar City of Borongan -0- BIDS AND AWARDS COMMITTEE ------------------------------------------------------------------------------------------ Invitation to Bid for ROAD CONCRETING AT BARANGAY AMANTACOP, BO</t>
  </si>
  <si>
    <t xml:space="preserve"> Clearing &amp; Grubbing	1.00	lot Removal of Existing Concrete Pavement	250.00	sq.m. Roadway Excavation	364.00	cu.m. Excavation for Structure	90.36	cu.m. Sub-Grade Preparation	516.80	sq.m. Aggregate Base Course	51.68	cu.m. PCCP (T=0.20m)	516.80	sq.m. Stone Mas</t>
  </si>
  <si>
    <t xml:space="preserve"> PR No. 2020-02-001 Procurement of Security Services for Day and Night Shift of DPWH-Ifugao Second District Engineering Office Main Office,Potia Sub-Office &amp; Banaue Satellite Office/Resthouse for 9 months</t>
  </si>
  <si>
    <t xml:space="preserve"> Republic of the Philippines Province of Quezon Municipality of Pagbilao COMMITTEE ON BIDS AND AWARDS INVITATION TO BID FOR SUPPLY AND DELIVERY OF MEALS &amp; SNACKS  1.	The Local Government Unit of Pagbilao, through the Approved Budget by the Sanggunian – GOP</t>
  </si>
  <si>
    <t xml:space="preserve"> Republic of the Philippines Province of Quezon Municipality of Pagbilao COMMITTEE ON BIDS AND AWARDS INVITATION TO BID FOR SUPPLY AND DELIVERY OF DISASTER KIT &amp; FIRST AID BAG 1.	The Local Government Unit of Pagbilao, through the Approved Budget by the San</t>
  </si>
  <si>
    <t xml:space="preserve"> Republic of the Philippines  Province of Quezon Municipality of Polillo BARANGAY POBLACION INVITATION TO BID FOR: CONSTRUCTION OF BARANGAY STAGE – POBLACION BARANGAY POBLACION, POLILLO, QUEZON 1.	The Barangay Poblacion, through the Approved Budget (Annual</t>
  </si>
  <si>
    <t xml:space="preserve"> INVITATION TO BID FOR THE  CONSTRUCTION OF PROPOSED HALFWAY HOUSE FOR FORMER REBEL &amp; MILITIA NG BAYAN (BGY. IRAWAN, PUERTO PRINCESA CITY) 1.	The Provincial Government of Palawan, through its Trust Fund (Fund Code B2 TF-Due to Ngas-DILG-Halfway House) acco</t>
  </si>
  <si>
    <t xml:space="preserve"> Completion of Structural Concrete from ground to second floor level w/ metal deck; Provision of 2 unit cistern; Provision of roof framing and roofing; Provision of exterior and interior CHB walling and partitions; Provision for Acoustical Ceiling; Provisi</t>
  </si>
  <si>
    <t xml:space="preserve"> Republic of the Philippines PROVINCE OF BILIRAN Municipality of Naval – 6560 Project Reference Number: ITB No. 20-25           INVITATION TO BID FOR THE SUPPLY AND DELIVERY OF ONE (1) UNIT AMBULANCE 	1.	The Provincial Government of Biliran under General F</t>
  </si>
  <si>
    <t xml:space="preserve"> Construction of complete mini gym including electrical and painting works and Construction of complete 1 STY – 1CL type 1 with CR including plumbing fixtures, plumbing works, electrical works, painting works &amp; blackboard</t>
  </si>
  <si>
    <t xml:space="preserve"> Completion of Mawab Public Market (Wet Section) Phase 2; Construction of Mawab Public Market (Dry Section) Phase 1</t>
  </si>
  <si>
    <t xml:space="preserve"> Improvement of Multi-Purpose Building with cement plaster finish, painting works, court wood tiles, construction of rooms w/ doors and window, waterlines, electrical works, repair of fascia frame and roof w/reflective insulation and transformer</t>
  </si>
  <si>
    <t xml:space="preserve"> Completion of Structural Concrete; Provision of interior masonry works; Completion of Steel roof framing and roofing; Plastering of exterior and interior walls; Provision of glass doors, windows and wall partition; Provision for acoustical ceiling; Provis</t>
  </si>
  <si>
    <t xml:space="preserve"> Purchase of Medical, dental and laboratory supplies for Rural Health Unit and Annual Circumcision</t>
  </si>
  <si>
    <t xml:space="preserve"> The Department of Public Works and Highways Ilocos Norte Second District Engineering Office , through its Bids and Awards Committee (BAC) for Goods, invites suppliers to submit bids for the following Contract: Contract ID: 20GAB0004 Contract Name/Location</t>
  </si>
  <si>
    <t xml:space="preserve"> Rehabilitation of MPB (GYM), with ceiling (acoustical), painting, concrete and masonry works</t>
  </si>
  <si>
    <t xml:space="preserve"> Improvement of Council of Women Building including extension of Multi-Purpose Hall. Painting works, electrical works, tile works and plumbing works</t>
  </si>
  <si>
    <t xml:space="preserve"> Construction of complete 13.5m x 12.0m 2 storey brgy. Hall with concrete works, aluminum doors and window, ceiling (acoustical and Spandrel type), painting works, plumbing works, tilework’s, roofing works, metal railings, steelworks, electrical works, air</t>
  </si>
  <si>
    <t xml:space="preserve"> Concreting (with = 6.10m., thk. = 230mm) Roadway Excavation - Common Surplus Excavation</t>
  </si>
  <si>
    <t xml:space="preserve"> Construction of Three bay mini gym with roofing , painting works, concrete slab, and electrical</t>
  </si>
  <si>
    <t xml:space="preserve"> Construction of ten (10) bay bleacher, with softscape and movable hanger goal</t>
  </si>
  <si>
    <t xml:space="preserve"> FUND SOURCE: 20%q PDF 2018 TYPES OF WORK TO BE DONE: Project billboard/ signboard/ occupational safety and health program/ removal of slide/ roadway excavation (unclassified)/ structural excavation (manual excavation common soil)/ reinforcing steel bars (</t>
  </si>
  <si>
    <t xml:space="preserve"> INVITATION TO BID The Provincial Government of Bulacan (PGB), through its Bids and Awards Committee (BAC), invites contractors to apply for eligibility and to bid for hereunder projects: NO.	PROJECT TITLE	ABC	CONTRACT DURATION	SOURCE OF FUND GOODS-062220-</t>
  </si>
  <si>
    <t xml:space="preserve"> Republic of the Philippines Province of Quezon Municipality of Pagbilao COMMITTEE ON BIDS AND AWARDS INVITATION TO BID FOR SUPPLY AND DELIVERY OF TEMPORARY SHELTER 1.	The Local Government Unit of Pagbilao, through the Approved Budget by the Sanggunian – G</t>
  </si>
  <si>
    <t xml:space="preserve"> Construction of covered court w/court slab and construction of 7 bay standard bleacher, including electrical works, movable basketball goal w/fiber glass board and thermoplastic paint on covered court</t>
  </si>
  <si>
    <t xml:space="preserve"> Construction of Stage and Bleacher. Including painting works, tile works (on stage, ceiling works (on stage), electrical works (on stage), and movable basketball goal w/fiber glass board</t>
  </si>
  <si>
    <t xml:space="preserve"> Construction of complete Mini Gym including electrical and painting works</t>
  </si>
  <si>
    <t xml:space="preserve"> Concreting (width = 6.10m., thk. = 230mm) Roadway Excavation - Common Surplus Excavation Application of Reflectorized Thermoplastic Pavement Markings</t>
  </si>
  <si>
    <t xml:space="preserve"> Edge Lines Markings; Center Lines Markings; Sub-Center Lines Markings</t>
  </si>
  <si>
    <t xml:space="preserve"> Concreting (with = 6.10m., thk. = 230mm) Roadway Excavation - Common Surplus Excavation - Surplus Soft Rock Excavation Construction of Concrete Lined Canal and Other Minor Drainage Structures Application of Reflectorized Thermoplastic Pavement Markings</t>
  </si>
  <si>
    <t xml:space="preserve"> Edge Lines Markings; Center Lines Markings (W); Center Lined Markings (Y); Sub-Center Lines Markings</t>
  </si>
  <si>
    <t xml:space="preserve"> Concreting (with = 6.10m., thk. = 230mm) Roadway Excavation - Common Surplus Excavation Construction of Minor Drainage Structures Application of Reflectorized Thermoplastic Pavement Markings</t>
  </si>
  <si>
    <t xml:space="preserve"> Concreting (with = 6.10m., thk. = 230mm) Roadway Excavation - Common Surplus Excavation Application of Reflectorized Thermoplastic Pavement Markings</t>
  </si>
  <si>
    <t xml:space="preserve"> Supply and delivery of various office and janitorial supplies and materials (2nd Qtr)</t>
  </si>
  <si>
    <t xml:space="preserve"> The Local Government Unit of Tangcal, Lanao del Norte invites contractors to submit bids for the Supply and Delivery of 2-Units Brand New Emergency Rescue Vehicle to be delivered within 30 Calendar Days from the effective date stated in the Notice to Proc</t>
  </si>
  <si>
    <t xml:space="preserve"> B.9	Mobilization/Demobiliazation	Lot	all	10,576.00 103(1)a	Structure Excavation (Common Soil)	12	cu.m.	3,564.00 105(1)	Subgrade Preparation (Common Material)	800	sq.m.	14,800.00 201	Aggregate Base Coarse (100mm thk.)	85	cu.m.	119,595.00 311(1)a	PVC Paveme</t>
  </si>
  <si>
    <t xml:space="preserve"> Project Reference Number: 20-012 Name of Project: Bidding of Supply and Delivery of Office Supplies for the use of PANTAWID Staff for 2020 Location of the Project: Region XII and Marawi City    INVITATION TO APPLY FOR ELIGIBILITY AND TO BID The Department</t>
  </si>
  <si>
    <t xml:space="preserve"> Concreting (with = 6.10m., thk. = 230mm) Roadway Excavation - Common Surplus Excavation Construction of Concrete Lined Canal and Other Minor Drainage Structures Application of Reflectorized Thermoplastic Pavement Markings Installation of Metal Guardrails </t>
  </si>
  <si>
    <t xml:space="preserve"> INVITATION TO BID June 02, 2020 The DPWH Tacloban City District Engineering Office, New Bus Terminal, Brgy. Abucay, Tacloban City, through its Bids and Awards Committee (BAC), invites contractors to submit bids for the following Contract: I.    Contract I</t>
  </si>
  <si>
    <t xml:space="preserve"> 1.	The Municipality of Guinayangan, Quezon through the 2020 C.O. (Supplemental) intends to apply the sum of Four Million Seven Hundred Fifty Thousand Pesos                  (P 4,750,000.00) being the Approved Budget for the Contract (ABC) to payments unde</t>
  </si>
  <si>
    <t xml:space="preserve"> Construction of complete Social Hall (14x30) including plumbing works, painting works and electrical works with site development of the project location</t>
  </si>
  <si>
    <t xml:space="preserve"> -o0o- Invitation to Bid The LGU Alangalang, through its Bids and Awards Committee (BAC), invites prospective bidders to apply for eligibility and to bid for the hereunder project: Name of Project   	: CONSTRUCTION OF FARM TO MARKET ROAD AT BRGY. SAN ISISD</t>
  </si>
  <si>
    <t xml:space="preserve"> The Local Government Unit of Tangcal, Lanao del Norte invites contractors to submit bids for the Construction of Poblacion Multi-Purpose Building for 96 Calendar Days. NOTE: Download attached document(s) for more details</t>
  </si>
  <si>
    <t xml:space="preserve"> Concreting (with = 6.10m., thk. = 230mm) Roadway Excavation - Embankment from Borrow (Common Soil) Construction of Grouted Riprap Slope Protection Construction of Minor Drainage Structures Application of Reflectorized Thermoplastic Pavement Markings</t>
  </si>
  <si>
    <t xml:space="preserve"> CONCRETING OF BARANGAY ROAD</t>
  </si>
  <si>
    <t xml:space="preserve"> Republic of the Philippines Province of Masbate MUNICIPALITY OF CATAINGAN BARANGAY OSMENA   			                                                                                                 JUNE 2, 2020 INVITATION TO APPLY FOR ELIGIBILITY AND TO BID The</t>
  </si>
  <si>
    <t xml:space="preserve"> Construction of Mechanized Building (6.0m x 17.0m) with Embankment, Site Development, Painting, Railings, Finishing and Electrical Works</t>
  </si>
  <si>
    <t xml:space="preserve"> Republic of the Philippines Province of Bohol MUNICIPALITY OF TUBIGON INVITATION TO BID FOR Rental of Equipment for the Road Opening of Bunacan Road Sitio Tawid  (Buenos to Bunacan)   1. The Local Government Unit of Tubigon, Bohol, through the General Fun</t>
  </si>
  <si>
    <t xml:space="preserve"> Graveling (width=6.00m., thk. = 200mm) Roadway Excavation - Surplus Common Excavation - Surplus Rock Excavation (Soft) - Surplus Rock Excavation (Hard) Construction of Minor Drainage Structures</t>
  </si>
  <si>
    <t xml:space="preserve"> Republic of the Philippines Province of Quezon Municipality of Pagbilao COMMITTEE ON BIDS AND AWARDS INVITATION TO BID FOR SUPPLY AND DELIVERY OF SUPPLIES &amp; MATERIALS  1.	The Local Government Unit of Pagbilao, through the Approved Budget by the Sanggunian</t>
  </si>
  <si>
    <t xml:space="preserve"> Supply of gasoline and diesel fuel, additives and lubricants 2nd Qtr</t>
  </si>
  <si>
    <t xml:space="preserve"> Concreting (width=6.10m., thk. = 230mm) Roadway Excavation - Common Surplus Excavation Construction of Concrete Lined Canal and Other Minor Drainage Structures Application of Reflectorized Thermoplastic Pavement Markings</t>
  </si>
  <si>
    <t xml:space="preserve"> Concreting (width=6.10m., thk. = 230mm) Roadway Excavation - Common Surplus Excavation Removal and Relocation of Utilities (Electric Post) Construction of Double Barrel Box Culvert Construction of Minor Drainage Structures Application of Reflectorized The</t>
  </si>
  <si>
    <t xml:space="preserve"> Located at Poblacion, Anini-y, Antique</t>
  </si>
  <si>
    <t xml:space="preserve"> Construction of Two (2) Storey Multi-Purpose Building (15.15m x 16.60m) with Site Development (Softscape), Fire Protection System including the installation of Air-conditioning System, Railings (Ramp), Painting and Finishing Works</t>
  </si>
  <si>
    <t xml:space="preserve"> Please see attached PR for Description</t>
  </si>
  <si>
    <t xml:space="preserve"> Concreting (width=6.10m., thk. = 230mm) Roadway Excavation - Common Surplus Excavation Construction of Minor Drainage Structures Application of Reflectorized Thermoplastic Pavement Markings</t>
  </si>
  <si>
    <t xml:space="preserve"> INVITATION TO BID  Purchase &amp; Delivery of Drugs &amp; Medicines for GMCH  June 2, 2020 1.	The Provincial Government of Sarangani, through the Trust Fund Philhealth Collection intends to apply the sum of Two Million Forty Nine Thousand Five Hundred Thee Pesos </t>
  </si>
  <si>
    <t xml:space="preserve"> Concreting of 101M x 4m Road at Purok 1, Brgy. Matacong</t>
  </si>
  <si>
    <t xml:space="preserve"> Concreting of 73.5M x 4M  Access Road at Brgy. Mampurog</t>
  </si>
  <si>
    <t xml:space="preserve"> Construction of Public Market and Terminal Complex, Brgy. Kingking (Poblacion), Pantukan, Twelve (12) F1/C1 and Seven (7) F2/C1</t>
  </si>
  <si>
    <t xml:space="preserve"> Concreting (width=6.10m., thk. = 230mm) Roadway Excavation - Surplus Common Excavation - Surplus Rock Excavation Construction of Concrete Line Canal Application of Reflectorized Thermoplastic Pavement Markings</t>
  </si>
  <si>
    <t xml:space="preserve"> Installation of Automatic Fire System, Addressable Fire Detection and Alarm System, Intercom System, Cable Television and Telephone Data System at Municipal Hospital (ONC) at Municipal Compound, Brgy. Sto. Domingo II, Capas, Tarlac</t>
  </si>
  <si>
    <t xml:space="preserve"> Located at Anini-y RHU, Poblacion, Anini-y, Antique</t>
  </si>
  <si>
    <t xml:space="preserve"> INVITATION FOR NEGOTIATED PROCUREMENT  Petroleum, Oil and Lubricants 1.	In view of two (2) failed public biddings, the Department of Budget and Management-Bids and Awards Committee (DBM-BAC) invites interested bidders to participate in the negotiation for</t>
  </si>
  <si>
    <t xml:space="preserve"> Concreting of 42.3M X 4M Road at Purok 1, Brgy. Matacong</t>
  </si>
  <si>
    <t xml:space="preserve"> Concreting of 100M X 4M Farm to Market Road</t>
  </si>
  <si>
    <t xml:space="preserve"> Republic of the Philippines PROVINCE OF LEYTE Municipality of Alangalang -o0o- Invitation to Bid The LGU Alangalang, through its Bids and Awards Committee (BAC), invites prospective bidders to apply for eligibility and to bid for the hereunder project: Na</t>
  </si>
  <si>
    <t xml:space="preserve"> MAIN DOCUMENT ;SEE ATTACH FILE</t>
  </si>
  <si>
    <t xml:space="preserve"> Newspaper Publication of Ordinances Enacted by Sangguniang Bayan</t>
  </si>
  <si>
    <t xml:space="preserve"> Removal of Existing Concrete Pavement	786.00 Excavation for Structure	23.13 Sub-Grade Preparation	1,310.00 Aggregate Base Course	131.00 PCCP (T=0.20m)	1,310.00 Reinforcing Steel Bar	1,068.20 Structural Concrete	7.52 Stone Masonry	60.45 Construction Safety</t>
  </si>
  <si>
    <t xml:space="preserve"> 20HN0113 -Construction/Rehabilitation of Water Supply/Septage and  Sewerage/Rain Water Collectors - Rain Water Collectors in Public Facilities namely: (a) Opao ES; (b) Casili ES; (c) Leonard Wood ES; (d) Maguikay HS; (e) Subangdaku Tech Voc. HS, Mandaue C</t>
  </si>
  <si>
    <t xml:space="preserve"> 1	Extra Gasoline	ltrs	 3,500.00  			 2	Regular Gasoline	ltrs	 5,800.00  			 3	Diesel Fuel	ltrs	 97,000.00  			 4	2T Oil	ltrs	 88.00  			 5	Brake Fluid	ltrs	 66.00  			 6	Motor Oil	ltrs	 196.00  			 7	Engine Oil #40	ltrs	 52.00  			 8	Coolant	ltrs	 41.00  </t>
  </si>
  <si>
    <t xml:space="preserve"> B.9	Mobilization/Demobiliazation	lot	all	19,012.15 102(2)b	Roadway Excavation(Surplus Common)	31.05	cu.m.	5,433.75 105(1)	Subgrade Preparation (Common Material)	778.00	sq.m.	14,004.00 201	Aggregate Base Coarse (100mm thk.)	77.80	cu.m.	146,030.60 311(1)a	P</t>
  </si>
  <si>
    <t xml:space="preserve"> Scope of Work		:	Repair of Flood Control Structure</t>
  </si>
  <si>
    <t xml:space="preserve"> GOODS Thermoplastic Marking (white)     700/bags Thermoplastic Marking (yellow)    200/bags Glass Beads                                  50/bags Primer (16ltrs. per pail)                 30/pails</t>
  </si>
  <si>
    <t xml:space="preserve"> Republic of the Philippines PROVINCE OF SOUTHERN LEYTE Maasin City Invitation to Bid for the Procurement of It Equipment, Appliances, Office Equipment, Furniture and Fixture and Medical Training Equipment    Contract ID # 2020-06-23-327PG 1.	The Provincia</t>
  </si>
  <si>
    <t xml:space="preserve"> INVITATION TO BID The DPWH Zamboanga del Sur 2nd District Engineering Office, Poblacion, Guipos, Zamboanga del Sur, through its Bids and Awards Committee (BAC), invites contractors to submit bids for the following Contract: Contract ID	:	20JG0074 Contract</t>
  </si>
  <si>
    <t xml:space="preserve"> Republic of the Philippines Province of Quezon Municipality of Pagbilao COMMITTEE ON BIDS AND AWARDS INVITATION TO BID FOR SUPPLY AND DELIVERY OF CONTAINER VAN 1.	The Local Government Unit of Pagbilao, through the Approved Budget by the Sanggunian – GOP, </t>
  </si>
  <si>
    <t xml:space="preserve"> IMPROVEMENT OF CASSAG, BACARRI ROAD, PARACELIS FUND SOURCE: 20% PDF 2020 TYPES OF WORK TO BE DONE: Project billboard/ signboard/ occupational safety and health program/ structure excavation/ subgrade preparation/ aggregate subbase course/ PCC pavement (pl</t>
  </si>
  <si>
    <t xml:space="preserve"> FUND SOURCE: 20% PDF 2020 TYPES OF WORK TO BE DONE: Project billboard/ signboard/ occupational safety and health program/ metal structure</t>
  </si>
  <si>
    <t xml:space="preserve"> Republic of the Philippines Province of Davao Oriental City of Mati BIDS &amp; AWARDS COMMITTEE INVITATION TO BID (REBID) Procurement of One (1) Unit BRAND NEW 4x4 SUV Vehicle for the Use of the Provincial Government of Davao Oriental SOURCE OF FUND: GENERAL </t>
  </si>
  <si>
    <t xml:space="preserve"> Scope of Work		:	Rehabilitation of Multi-Purpose Building</t>
  </si>
  <si>
    <t xml:space="preserve"> Concreting of pathway &amp; construction of canal w/ cover</t>
  </si>
  <si>
    <t xml:space="preserve"> Concreting of road with CHB canal</t>
  </si>
  <si>
    <t xml:space="preserve"> Republic of the Philippines PROVINCE OF SOUTHERN LEYTE Maasin City Invitation to Bid for the Procurement of One (1) Unit Photocopier and Air Conditioning Unit    Contract ID # 2020-06-23-326PG 1.	The Provincial Government of Southern Leyte through the PAS</t>
  </si>
  <si>
    <t xml:space="preserve"> Republic of the Philippines Province of Davao Oriental City of Mati BIDS &amp; AWARDS COMMITTEE INVITATION TO BID (REBID) Procurement of One (1) Unit BRAND NEW 4x2 SUV Vehicle for the Use of the Provincial Government of Davao Oriental SOURCE OF FUND: OLF [199</t>
  </si>
  <si>
    <t xml:space="preserve"> Concreting of road</t>
  </si>
  <si>
    <t xml:space="preserve"> Concreting of road w/ CHB sidings and CHB canal w/ concrete cover</t>
  </si>
  <si>
    <t xml:space="preserve"> Republic of the Philippines Province of Quezon Municipality of Pagbilao COMMITTEE ON BIDS AND AWARDS INVITATION TO BID FOR SUPPLY AND DELIVERY OF MOTOR CYCLE  1.	The Local Government Unit of Pagbilao, through the Approved Budget by the Sanggunian – GOP, S</t>
  </si>
  <si>
    <t xml:space="preserve"> Republic of the Philippines DEPARTMENT OF PUBLIC WORKS AND HIGHWAYS DAVAO DEL NORTE DISTRICT ENGINEERING OFFICE Region XI Tagum City TERMS OF REFERENCE CONSULTANCY SERVICES FOR GEOTECHNICAL,  GEOLOGICAL SURVEYS/ INVESTIGATIONS &amp; STRUCTURAL ANALYSIS &amp; DESI</t>
  </si>
  <si>
    <t xml:space="preserve"> Republic of the Philippines Province of Agusan del Sur Municipality of Trento BIDS &amp; AWARDS COMMITTEE INVITATION TO BID  FOR THE ESTABLISHMENT OF ORGANIC TRADING POST 1.	The Municipality of Trento, through the PLGU Fund intends to apply the sum of One Mil</t>
  </si>
  <si>
    <t xml:space="preserve"> Please see attached Bid Docs for details</t>
  </si>
  <si>
    <t xml:space="preserve"> Republic of the Philippines Province of Agusan del Sur Municipality of Trento BIDS &amp; AWARDS COMMITTEE INVITATION TO BID FOR  Supplying of Fuel, Oil and Gasoline for Heavy Equipment and Various Vehicle 1.	The Local Government Unit of Trento through the Gen</t>
  </si>
  <si>
    <t xml:space="preserve"> Concreting of road &amp; construction of CHB canal</t>
  </si>
  <si>
    <t xml:space="preserve"> Republic of the Philippines Province of Davao de Oro MUNICIPALITY OF MONTEVISTA BIDS AND AWARDS COMMITTEE 		 Reference No:  CB-2020-015 INVITATION TO BID FOR DRUGS AND MEDICINES 1. 	The Municipality of  Montevista, Compostela Valley Province, through its </t>
  </si>
  <si>
    <t xml:space="preserve"> Cluster V -1. Supply and Delivery of Oil and Lubricants for use of Heavy Equipment, Service Vehicles, Grass Cutter and Chainsaw assigned at DPWH Palawan 2nd District Engineering Office 2. Supply and Delivery of Diesel Fuel and Unleaded for use of Heavy Eq</t>
  </si>
  <si>
    <t xml:space="preserve"> Concreting of road with CHB canal w/concrete cover</t>
  </si>
  <si>
    <t xml:space="preserve"> INVITATION TO BID  PROCUREMENT OF PPSC FY2020 PUBLICATIONS                                                                                                                                              PPSC BAC IB NO.004 (G) 2020 1.	The Philippine Public Sa</t>
  </si>
  <si>
    <t xml:space="preserve"> CONSTRUCTION OF TAPPO FOOTPATH, BANAWEL, NATONIN FUND SOURCE: 20% PDF 2020 TYPES OF WORK TO BE DONE: Project billboard/ signboard/ occupational safety and health program/ site preparation/ forms and falseworks/ concrete pathway 100mm thick CONSTRUCTION OF</t>
  </si>
  <si>
    <t xml:space="preserve"> Activities					      Schedule 1. Issuance of Bid Document				June 01 – June 15, 2020 2. Pre-bid Conference						June 17, 2020 (10:00 a.m.) 3. Opening of Bids.						June 22, 2020 (2:00 p.m.) 4. Bid Evaluation						June 25, 2020 5. Post-qualification						J</t>
  </si>
  <si>
    <t xml:space="preserve"> Roadway Excavation	1,140.00	cu.m. Excavation for Structure	111.00	cu.m. Sub-Grade Preparation	2,000.00	sq.m. Aggregate Base Course	200.00	cu.m. PCCP (T=0.15m)	2,000.00	sq.m. Stone Masonry	245.00	cu.m. Construction Safety &amp; Health	3.00	mos. Project Billboa</t>
  </si>
  <si>
    <t xml:space="preserve"> ITB No. 2020 – 70 June 2, 2020 Republic of the Philippines Province of Davao Oriental CITY OF MATI INVITATION TO BID PROCUREMENT OF DIESEL (Land Development of Balai Maganahay at Brgy. Dawan) Name of Project 1.	The City Government of Mati, through the 20%</t>
  </si>
  <si>
    <t xml:space="preserve"> Republic of the Philippines Province of Quezon MUNICIPALITY OF POLILLO ***** INVITATION TO BID FOR  SUPPLY, DELIVERY AND INSTALLATION OF BRAND NEW GENERATING SET WITH WIRING AND ACCESSORIES  1.	The Municipality of Polillo, through the Continuing Fund 2019</t>
  </si>
  <si>
    <t xml:space="preserve"> Republic of the Philippines Province of Pangasinan MUNICIPALITY OF MANAOAG -o0o- INVITATION TO BID The LGU Manaoag, Pangasinan, through its Bids and Awards Committee (BAC), invites all interested Phil-GEPS registered suppliers/manufacturers/distributors/c</t>
  </si>
  <si>
    <t xml:space="preserve"> Concreting of road construction of slope protection (grouted riprap)&amp; construction of canal w/ cover</t>
  </si>
  <si>
    <t xml:space="preserve"> Invitation to Bid for the Procurement of Various Equipment, Instruments and Furnitures for TANJAY WATER DISTRICT</t>
  </si>
  <si>
    <t xml:space="preserve"> Backfilling, riprapping and perimeter fence</t>
  </si>
  <si>
    <t xml:space="preserve"> Construction of canal w/ concrete cover</t>
  </si>
  <si>
    <t xml:space="preserve"> Installation and Rectification of Road Sign</t>
  </si>
  <si>
    <t xml:space="preserve"> I. Mobilization; II. General Requirements; III. Project Enclosure; IV. Repainting Marikina Sport Center Logo; V. Surface Preparation; VI. Scaffolding; VII. Painting Works</t>
  </si>
  <si>
    <t xml:space="preserve"> Republic of the Philippines	 PROVINCE OF IFUGAO	 Municipality of Asipulo	 BIDS AND AWARDS COMMITTEE	 INVITATION TO BID	 	 INFRASTRUCTURE PROJECTS	 	 The Municipal Government of Asipulo, through the Municipal Development Fund/ Mun. Cal. Fund of 2020 intend</t>
  </si>
  <si>
    <t xml:space="preserve"> INVITATION TO BID FOR THE PROCUREMENT OF VARIOUS IT EQUIPMENT AND ACCESSORIES FOR BUSINESS ONE-STOP SHOP CENTER (BOSS CENTER),  CITY OF ALAMINOS, PANGASINAN 1.	The CITY GOVERNMENT OF ALAMINOS, PANGASINAN, through its Special Purpose Appropriation intends </t>
  </si>
  <si>
    <t xml:space="preserve"> Invitation to Bid The LGU Alangalang, through its Bids and Awards Committee (BAC), invites prospective bidders to apply for eligibility and to bid for the hereunder project: Name of Project   	:  ROAD OPENING TO  SITIO  CALBAYUGAY BRGY. CABADSAN, ALANGALA</t>
  </si>
  <si>
    <t xml:space="preserve"> I. Mobilization; II. General Requirements; III. Surface Preparation; IV. Application of Trup-Flex (1 Tennis/2 Volleyball/2 Basketball Court)</t>
  </si>
  <si>
    <t xml:space="preserve"> Republic of the Philippines Province of Quezon Municipality of Pagbilao COMMITTEE ON BIDS AND AWARDS INVITATION TO BID FOR SUPPLY AND DELIVERY OF FERTILIZER, VEGETABLE SEEDS AND OTHER SUPPLIES &amp; MATERIALS  1.	The Local Government Unit of Pagbilao, through</t>
  </si>
  <si>
    <t xml:space="preserve"> Construction of riprap &amp; laying of RCCP &amp; road embankment</t>
  </si>
  <si>
    <t xml:space="preserve"> INVITATION TO BID # 20-06-10 Supply and Delivery of Foodstuff Requirements of Residential Care Facilities (RCFs) of the Department of Social Welfare and Development – National Capital Region (DSWD-NCR) for the period of August 1, 2020 to December 31, 2020</t>
  </si>
  <si>
    <t xml:space="preserve"> INVITATION TO BID FOR  Purchase of Mini Fire Truck 1.	The Municipal Government of Hinabangan, through the General Fund CY 2016 (Continuing Appropriation 2016) intends to apply the sum of FOUR MILLION PESOS ONLY (PhP4,000,000.00) being the Approved Budget </t>
  </si>
  <si>
    <t xml:space="preserve"> Riprapping, concreting of road &amp; construction of stair</t>
  </si>
  <si>
    <t xml:space="preserve"> Construction of Waiting Shed and Concrete Benches,</t>
  </si>
  <si>
    <t xml:space="preserve"> Construction of Waiting Shed &amp; Concrete Benches</t>
  </si>
  <si>
    <t xml:space="preserve"> 1.	The Local Government Unit (LGU) of the Municipality of Caluya, Antique, through the Supplemental Budget No.5, S.2019, intends to apply the sum of Three Million Forty Four Thousand Three Hundred Forty Three Pesos and 75/100 (Php 3,044,343.75) only being</t>
  </si>
  <si>
    <t xml:space="preserve"> INVITATION TO BID FOR THE CONSTRUCTION OF SLOPE PROTECTION, CROSS DRAINAGE, RAIL GUARD AND CONCRETE SLAB AT NARRA ST., BRGY. SAN JOSE, CITY OF ALAMINOS, PANGASINAN 1.	The CITY GOVERNMENT OF ALAMINOS, PANGASINAN through its Development Fund (DF) intends to</t>
  </si>
  <si>
    <t xml:space="preserve"> Concreting of road w/ cover &amp; construction of canal w/ concrete cover</t>
  </si>
  <si>
    <t xml:space="preserve"> UNIT	  DESCRIPTION		QUANTITY 105	Subgrade Preparation		 	A = 537.8m x 4m		 	Qty.= 2796.6 sq.m		 I- Equipment Rental:			 	 Road Grader  for 10 hours		1 	 Road Roller   for 10 hours		1 			 II- Labor:			 	 Foreman  for 1.25 day(s)		1 	 Laborers  for 1.25 day</t>
  </si>
  <si>
    <t xml:space="preserve"> Construction of Two storey building (extension)</t>
  </si>
  <si>
    <t xml:space="preserve"> INVITATION TO BID FOR  Purchase of Rescue Ambulance 1.	The Municipal Government of Hinabangan, through the DRRM Fund CY 2020 intends to apply the sum of TWO MILLION THREE HUNDRED THOUSAND PESOS ONLY (PhP2,300,000.00) being the Approved Budget for the Cont</t>
  </si>
  <si>
    <t xml:space="preserve"> Replacement of door and window &amp; plumbing fixture, installation of tiles &amp; repainting</t>
  </si>
  <si>
    <t xml:space="preserve"> Republic of the Philippines Province of Quezon Municipality of Pagbilao COMMITTEE ON BIDS AND AWARDS INVITATION TO BID FOR PARCELLARY SURVEY OF BUKAL-ANTIPOLO-TUKALAN ROAD 1.	The Local Government Unit of Pagbilao, through the Approved Budget by the Sanggu</t>
  </si>
  <si>
    <t xml:space="preserve"> Scope of Work		:	Conduct of Appraisal Services</t>
  </si>
  <si>
    <t xml:space="preserve"> Republic of the Philippines Province of Apayao PROVINCIAL GOVERNMENT CENTER San Isidro Sur, Luna, Apayao INVITATION TO BID FOR THE SUPPLY AND DELIVERY OF ONE(1) UNIT SERVICE VEHICLE 1.	The Provincial Government of Apayao, through the General/Supplemental </t>
  </si>
  <si>
    <t xml:space="preserve"> Republic of the Philippines Province of zamboanga Sibugay Municipality of Olutanga 7014 JUNE 1, 2020 NOTICE TO THE PUBLIC INVITIATION TO APPLY FOR ELIGIBILITY AND TO BID All interested bidders are invited to Pre-qualify and participate in sealed bidding f</t>
  </si>
  <si>
    <t xml:space="preserve"> IITEM NO.	QTY	UNIT	ARTICLES	UNIT	TOTAL 				PRICE	 PR NO. 20-05-550			 1	1	UNIT	Electric Mixer, 220 volts, heavy duty, stainless steel bowl, with hook &amp; paddle mixer, 1 year warranty parts and services	20,111.93	20,111.93 PR NO. 20-05-551			 1	1	UNIT	Chest</t>
  </si>
  <si>
    <t xml:space="preserve"> Construction of Covered Court</t>
  </si>
  <si>
    <t xml:space="preserve"> INVITATION TO BID FOR THE PROVISION OF LABOR, MATERIALS, EQUIPMENT RENTALS AND OTHER INCIDENTALS NEEDED FOR THE RECONSTRUCTION/ENHANCEMENT OF PIGGERY FENCE AT DA-PREC, SUAL, PANGASINAN 1.	The Department of Agriculture Regional Field Office 1 (DA RFO-1), t</t>
  </si>
  <si>
    <t xml:space="preserve"> INVITATION TO APPLY FOR ELIGIBILITY AND TO BID The local Government Unit of Taft, through is Bid and Awards Committee (BAC). Invites suppliers to apply for eligibility, to bid for the hereunder contract: Name of Contract: Construction of 2nd Floor of RHU </t>
  </si>
  <si>
    <t xml:space="preserve"> Removal of Existing Concrete Subgrade and Base Course Preperation Portland Cement Concrete Pavement - PCCP Project Signage</t>
  </si>
  <si>
    <t xml:space="preserve"> 1.	The LOCAL WATER UTILITIES ADMINISTRATIONhas receiveda Loan from the Asian Development Banktoward the cost of the Water District Development Sector Project, and it intends to apply part of the proceeds of this loan to payments under the contract for the</t>
  </si>
  <si>
    <t xml:space="preserve"> Demolition of structure, construction of steel fence &amp; laying of tiles</t>
  </si>
  <si>
    <t xml:space="preserve"> Republic of the Philippines PROVINCE OF CAMARINES SUR BIDS AND AWARDS COMMITTEE ITB No. 030-06-2020 INVITATION TO BID  	The Provincial Government of Camarines Sur (PGCS) through its Bids and Awards Committee (BAC) invites suppliers/manufacturers/distribut</t>
  </si>
  <si>
    <t xml:space="preserve"> CONSTRUCTION OF MALUMA SITIO SANGAYAN - ALVANIZ HANGING BRIDGE (PHASE II) , BARANGAY CUYAPIAO , PATNONGON, ANTIQUE</t>
  </si>
  <si>
    <t xml:space="preserve"> Installation of Streetlights</t>
  </si>
  <si>
    <t xml:space="preserve"> Construction of riprap &amp; plastering concreting of creek flooring &amp; const. of steel railing</t>
  </si>
  <si>
    <t xml:space="preserve"> Construction of grouted riprap</t>
  </si>
  <si>
    <t xml:space="preserve"> 1	Brass Water Meter ½”	700	pcs. 2	Brass Water Meter ¾”	100	pcs. 3	Brass Water Meter 1”	50	pcs.</t>
  </si>
  <si>
    <t xml:space="preserve"> Installation of Streetlights,</t>
  </si>
  <si>
    <t xml:space="preserve"> Construction of riprap, concreting of pathway &amp; stair, construction of railing &amp; installation of light</t>
  </si>
  <si>
    <t xml:space="preserve"> INVITATION TO BID FOR THE PROVISION OF LABOR, MATERIALS, EQUIPMENT RENTALS AND OTHER INCIDENTALS NEEDED FOR THE REHABILITATION AND ENHANCEMENT OF DUPLEX ROOFING AT DA-INREC, DINGRAS, ILOCOS NORTE 1.	The Department of Agriculture Regional Field Office 1 (D</t>
  </si>
  <si>
    <t xml:space="preserve"> Republic of the Philippines Province of Quezon Municipality of Pagbilao COMMITTEE ON BIDS AND AWARDS INVITATION TO BID FOR SUPPLY AND DELIVERY OF PERSONAL PROTECTIVE GEAR 1.	The Local Government Unit of Pagbilao, through the Approved Budget by the Sanggun</t>
  </si>
  <si>
    <t xml:space="preserve"> BY CONTRACT I.	GENERAL REQUIREMENTS II.	EARTHWORKS III.	CONCRETING WORKS  IV.	FORMWORKS V.	REINFORCING STEEL BARS VI.	MASONRY WORKS VII.	DOORS AND WINDOW VIII.	STEEL WORKS IX.	ROOFING WORKS X.	CARPENTRY XI.	TILE WORKS XII.	ELECTRICAL WORKS XIII.	PLUMBING </t>
  </si>
  <si>
    <t xml:space="preserve"> Site Works Concrete Works Formworks Scaffolding &amp; Staging Works Roof Framing Roofing Works</t>
  </si>
  <si>
    <t xml:space="preserve"> MUNICIPALITY OF HINABANGAN Hinabangan, Samar INVITATION TO BID FOR  Purchase of Rescue Vehicle 1.	The Municipal Government of Hinabangan, through the DRRM Fund CY 2019 intends to apply the sum of TWO MILLION PESOS ONLY (PhP2,000,000.00) being the Approved</t>
  </si>
  <si>
    <t xml:space="preserve"> Borehole drilling</t>
  </si>
  <si>
    <t xml:space="preserve"> Excavation Concrete &amp; Masonry Works, Reinforcing Steel Bars Formworks &amp; Scaffolding Deep Well Distribution Line Doors &amp; Windows (Steel) Electrical Works</t>
  </si>
  <si>
    <t xml:space="preserve"> INVITATION TO BID June 2, 2020 CHINA STATE CONSTRUCTION ENGINEERING CORPORATION LIMITED / CHINA GEO ENGINEERING CORPORATION (JV) 12F Petron Megaplaza, 358 Gil Puyat Avenue, Makati City  Email address: liuwei@chinaconstruction.com SUBJECT	:	Contract Packag</t>
  </si>
  <si>
    <t xml:space="preserve"> Republic of the Philippines DEPARTMENT OF PUBLIC WORKS AND HIGHWAYS OFFICE OF THE REGIONAL DIRECTOR                                                                       Region VII                                                                           </t>
  </si>
  <si>
    <t xml:space="preserve"> INVITATION TO BID FOR THE PROVISION OF LABOR, MATERIALS, EQUIPMENT RENTALS AND OTHER INCIDENTALS NEEDED FOR THE RECONSTRUCTION OF GARLIC STORAGE FACILITY AT DA-INREC, BATAC CITY, ILOCOS NORTE 1.	The Department of Agriculture Regional Field Office 1 (DA RF</t>
  </si>
  <si>
    <t xml:space="preserve"> Bid Evaluation - June 25, 2020 Post Qualification - June 29, 2020 Notice of Award - June 30, 2020 Notice to Proceed - July 1, 2020</t>
  </si>
  <si>
    <t xml:space="preserve"> SITE WORKS CONCRETE WORKS REINFORCING STEEL BARS FORMWORKS &amp; SCAFFOLDING: TWO (2) USE MASONRY WORKS STEEL WORKS ROOFING WORKS CEILING WORKS (INTERIOR &amp; EXTERIOR) DOORS AND WINDOWS PLUMBING WORKS TILE WORKS ELECTRICAL WORKS PAINTING WORKS PROJECT SIGNAGE</t>
  </si>
  <si>
    <t xml:space="preserve"> 1	Brass Ball Valve ¾” with lockwing, std.	100	pcs. 2	Brass Ball Valve 1” with lockwing, std.	50	pcs. 3	Brass Check Valve ¾”	100	pcs. 4	Brass Check Valve 1”	50	pcs. 5	Brass Straight Coupling ¾” w/o PJ nuts std.	200	pcs. 6	Brass Straight Coupling 1” w/o PJ </t>
  </si>
  <si>
    <t xml:space="preserve"> Fuel Engine: DIESEL No. of Cylinders: 4 Engine Size: 2,488 Maximum Power (PS): 129 Maximum Torque (NM): 356 Engine Type: INLINE 4 CYLINDER, DOCH, 16 VALVES, VARIABLE Transmission: 5 SPEED MANUAL</t>
  </si>
  <si>
    <t xml:space="preserve"> Invitation to Bid Drilling and Construction of One (1) Test/Production Well (Rotary Method) for Pontevedra Water District, Pontevedra,Capiz 1.	The Pontevedra Water District (PWD) intends to apply the sum of One Million Nine Hundred Nineteen Thousand Eight</t>
  </si>
  <si>
    <t xml:space="preserve"> INVITATION TO APPLY FOR ELIGIBILITY AND TO BID 	The local Government Unit of Can-avid, through is Bid and Awards Committee (BAC). Invites suppliers to apply for eligibility, to bid for the hereunder contract: Name of Contract:      PURCHASE AND DELIVERY O</t>
  </si>
  <si>
    <t xml:space="preserve"> Republic of the Philippines PROVINCE OF SOUTHERN LEYTE Municipality of San Juan BIDS AND AWARD COMMITTEE INVITATION TO BID FOR  Supply and Delivery of Medical, Dental and  Laboratory Supplies The Municipality of San Juan through the General Fund intends t</t>
  </si>
  <si>
    <t xml:space="preserve"> Republic of the Philippines Province of Compostela Valley Municipality of Monkayo -o0o- INVITATION TO BID FOR THE PROCUREMENT OF LABOR &amp; MATERIALS FOR ESTABLISHMENT OF TOURISM INFORMATION CENTER LOCATED AT POBLACION MONKAYO DAVAO DE ORO The Municipality o</t>
  </si>
  <si>
    <t xml:space="preserve"> Republic of the Philippines Cordillera Administrative Region PROVINCIAL GOVERNMENT OF ABRA Bangued Invitation to Bid for  CONSTRUCTION OF SAN ANTONIO BRIDGE APPROACHES 1.	The Provincial Government of Abra, through the Budget for the Contract Approved by t</t>
  </si>
  <si>
    <t xml:space="preserve"> Republika ng Pilipinas PAMAHALAANG LUNGSOD NG TACLOBAN (City Government of Tacloban) Kanhuraw Hill, Tacloban City 6500 BIDS AND AWARDS COMMITTEE INVITATION TO BID  REF #038-06-2020 (JUNE 02, 2020) PR# 2020-621 DATED 05-21-2020 7020651 The Procuring Entity</t>
  </si>
  <si>
    <t xml:space="preserve"> INVITATION TO BID FOR THE PROVISION OF LABOR, MATERIALS, EQUIPMENT RENTALS AND OTHER INCIDENTALS NEEDED FOR THE RECONSTRUCTION OF BUFFER SEED BODEGA AT DA-INREC, BATAC CITY, ILOCOS NORTE 1.	The Department of Agriculture Regional Field Office 1 (DA RFO-1),</t>
  </si>
  <si>
    <t xml:space="preserve"> Please refer to the attached RFQ and description/picture of the furnitures.</t>
  </si>
  <si>
    <t xml:space="preserve"> Repair/Maintenance of DPWH Building, Maintenance Building National Highway, Brgy. Antipuluan, Narra, Palawan Earthworks, Plain and Reinforced Concrete Works, Finishing and other Civil Works, Electrical Works, Mechanical Works</t>
  </si>
  <si>
    <t xml:space="preserve"> INVITATION TO BID FOR THE REBIDDING OF SUPPLY AND DELIVERY OF EIGHTEEN THOUSAND TWO HUNDRED FIFTY (18,250) HEADS IMPROVED CHICKEN  1.	The Department of Agriculture Regional Field Office 1 (DA RFO-1), through the GAA FY 2019 intends to apply the sum of Sev</t>
  </si>
  <si>
    <t xml:space="preserve"> PARTICULARS/DESCRIPTIONS	Unit Cost  (PhP) 1) One (1) Unit Printer (A3, laser/ colored) 	Print Technology Color Laser 	Resolution (black) Up to 600 x 600 dpi 	Resolution (color) Up to 600 x 600 dpi 	First page out (ready) black As fast as 16 sec 	Firs</t>
  </si>
  <si>
    <t xml:space="preserve"> Republika ng Pilipinas PAMAHALAANG LUNGSOD NG TACLOBAN (City Government of Tacloban) Kanhuraw Hill, Tacloban City 6500 BIDS AND AWARDS COMMITTEE INVITATION TO BID  REF #033(1)-04-2020 (JUNE 02, 2020) PR# 2020-504 DATED 04-20-2020 7020799 The Procuring Ent</t>
  </si>
  <si>
    <t xml:space="preserve"> For further details, please see attached Program of Work in the associated components.</t>
  </si>
  <si>
    <t xml:space="preserve"> BIDS AND AWARDS COMMITTEE (BAC) Email address: bacregion2@yahoo.com Telefax No.: (078) 304-0560 CP Nos.: 09173190220 INVITATION TO BID ITB No.: 2020-06-19 The Department of Agriculture – Regional Field Office No. 02 (DA-RFO 02) through its Bids and Awards</t>
  </si>
  <si>
    <t xml:space="preserve"> PREVENTIVE MAINTENANCE -PRIMARY ROAD, -4.921KM.10.156 LANE KM</t>
  </si>
  <si>
    <t xml:space="preserve"> INVITATION TO BID for   REPLACEMENT OF BELT CONVEYOR ROLLERS (2nd Public Bidding) Laguindingan Airport 1.	The CIVIL AVIATION AUTHORITY OF THE PHILIPPINES, through the CAAP Corporate Budget CY 2020 under the approved Annual Procurement Plan of   CY 2020 in</t>
  </si>
  <si>
    <t xml:space="preserve"> UNIT	  DESCRIPTION		QUANTITY 105	Subgrade Preparation		 	A = 200m x 4m		 	Qty.= 1040 sq.m		 I- Equipment Rental:			 	Road Grader  for 4 hours		1 	Road Roller    for 4 hours		1 			 II- Labor:			 	Foreman  for 0.5 day(s)		1 	Laborers  for 0.5 day(s)		2 			 </t>
  </si>
  <si>
    <t xml:space="preserve"> Technical Assistance in the Formulation of Comprehensive Land Use Plan (CLUP) &amp; Zoning Ordinance  (ZO).</t>
  </si>
  <si>
    <t xml:space="preserve"> INVITATION TO BID The municipal government of Romblon through its Bids and Awards Committee (BAC) invites  PhilGEPS registered suppliers to apply to bid for the New Construction of Level-II Potable water System at Sitio Luway, Brgy. Cajimos, Romblon, Romb</t>
  </si>
  <si>
    <t xml:space="preserve"> INVITATION TO BID IB-2020-058 The Philippine Children’s Medical Center, through PCMC Corporate Fund for CY 2020 intends to apply the sum of Twenty-Six Million Two Hundred Thousand Pesos (Php 26,200,000.00) being the Approved Budget for the Contract (ABC) </t>
  </si>
  <si>
    <t xml:space="preserve"> Invitation to Bid For   One (1) Year Courier Services for LANDBANK Credit Cards, Statement of Accounts and Other Credit Card Related Parcels 1.	The LAND BANK OF THE PHILIPPINES (LANDBANK), through its Corporate Budget for the contract approved by the Boar</t>
  </si>
  <si>
    <t xml:space="preserve"> INVITATION TO SUBMIT QUOTATION  FOR CATERING SERVICES WITH VENUE AND ACCOMMODATION  DURING THE 2020 CENSUS OF POPULATION AND HOUSING (2020 CPH)  SECOND LEVEL TRAINING ON JULY 20-JULY 25, 2020  AT TUGUEGARAO CITY, CAGAYAN 1.	The Philippine Statistics Autho</t>
  </si>
  <si>
    <t xml:space="preserve"> 1.	Contract ID: 20EI0177 Contract Name: Repair/Maintenance of DILG Building-BJMP Multi-Purpose Hall,  Contract Location: Roxas, Oriental Mindoro Brief Description: Repair of roofing, columns, walls, doors and windows. Approved Budget for the Contract (ABC</t>
  </si>
  <si>
    <t xml:space="preserve"> Invitation to Bid For Supply and Delivery of 250 Units Gigabit Ethernet Switch 1.	The LAND BANK OF THE PHILIPPINES (LANDBANK), through its Corporate Budget for the contract approved by the Board of Directors for 2020 intends to apply the total sum of One </t>
  </si>
  <si>
    <t xml:space="preserve"> Location: Banilad, Cebu City, Cebu Contract No.: BCSIMOCO-GOODS-21-2K20 Approved Budget for the Contract: One Million Four Hundred Sixty Thousand Pesos (P 1,460,000.00) Fund Source: Capital Outlay 2019</t>
  </si>
  <si>
    <t xml:space="preserve"> 245 Bags Complete Fertilizer Specification: -14% nitrogen phosphorus, potassium - Fertilizer offered must be FPA registered -Packing (50kgs) Conditions: -Pack in a high quality sack with plastic inside and printed with LGU Quezon Logo and “not for sale” -</t>
  </si>
  <si>
    <t xml:space="preserve"> Republic of the Philippines Province of Cotabato Municipality of Mlang BIDS AND AWARDS COMMITTEE INVITATION TO BID           The Municipal Government of M’LANG intends to apply the sum of THREE MILLION TWO HUNDRED THOUSAND PESOS ONLY (P 3,200,000.00) bein</t>
  </si>
  <si>
    <t xml:space="preserve"> Location: Barili, Cebu Contract No.: BCSIMOCO-GOODS-18A-2K20 Approved Budget for the Contract: Two Million Two Hundred Seven Thousand Thirty Four Pesos and Thirty Eight Centavos (P 2,207,034.38) Fund Source: Establishment of Groundwater Pump Irrigation Pr</t>
  </si>
  <si>
    <t xml:space="preserve"> 100 bags Urea Plus Zinc Fertilizer   Specification: -46% Nitrogen, 0.2% zinc - Fertilizer offered must be FPA registered -Packing (50kgs) Conditions: -Pack in a high quality sack with plastic inside and printed with LGU Quezon Logo and “not for sale” - pr</t>
  </si>
  <si>
    <t xml:space="preserve"> 2.	Contract ID: 20EI0178 Contract Name: Construction/Rehabilitation of Water Supply/Septage and Sewerage/Rainwater Collectors,  Contract Location: Pinamalayan - Bulalacao, Oriental Mindoro Brief Description: Construction of Concrete Water Tank Approved Bu</t>
  </si>
  <si>
    <t xml:space="preserve"> Please refer to the attached documents</t>
  </si>
  <si>
    <t xml:space="preserve"> Invitation to Bid for the  CONCRETING OF FARM TO MARKET ROAD AT BARANGAY SITE OF BARANGAY SAN JOSE  Kiblawan, Davao del Sur 1.The Local Government Unit of Kiblawan, through the 20% Local Government Development Fund 2020[ In the case of National Government</t>
  </si>
  <si>
    <t xml:space="preserve"> I N V I T A T I O N   T O   B I D  The Visayas State University (VSU) through its Bids and Awards Committee (BAC) invites contractors to bid for the hereunder project: Name of Project 	:  Rehabilitation and Expansion of NARC Tissue Culture Laboratory     </t>
  </si>
  <si>
    <t xml:space="preserve"> Invitation to Bid for the supply &amp; delivery of Various Maintenance Materials for use of different offices of Batangas City Government</t>
  </si>
  <si>
    <t xml:space="preserve"> REPUBLIC OF THE PHILIPPINES PROVINCE OF RIZAL MUNICIPALITY OF ANGONO Invitation to Bid for  CONSTRUCTION OF NEW ROAD WITH DRAINAGE SYSTEM The Municipality of Angono, through the Trust Fund – Local Government Support Fund-Assistance to Municipalities (LGSF</t>
  </si>
  <si>
    <t xml:space="preserve"> ITEM: Preliminaries/General Requirements 1.00  Lot	Mobilization/Demobilization 1.00 	 Lot	Construction of Temporary Facility and Utilities 1.00  Lot	Installation of Project Signboard 1.00   Lot	Occupational Health &amp; Safety 1.00   Lot	Water &amp; Electricity G</t>
  </si>
  <si>
    <t xml:space="preserve"> Invitation to Bid For Supply, Delivery, Installation and Configuration of Privileged Access Management (PAM) Solution  with Hardware Appliance with Three (3) Years Warranty  1.	The LAND BANK OF THE PHILIPPINES (LANDBANK), through its Corporate Budget for </t>
  </si>
  <si>
    <t xml:space="preserve"> Invitation to Bid for the Enhancement &amp; Upgrading of Business Permit and License System as requested by the Business Permit &amp; Licensing Office, Batangas City</t>
  </si>
  <si>
    <t xml:space="preserve"> The Philippine Statistics Authority – Regional Statistical Services Office XIII (PSA-RSSO XIII), through the 2020 General Appropriations Act (General Fund) intends to apply the sum of SEVEN MILLION SEVEN HUNDRED SIXTY-SIX THOUSAND FIVE HUNDRED PESOS ONLY </t>
  </si>
  <si>
    <t xml:space="preserve"> Repair/Maintenance of Isumbo Bridge (Partial Deck Slab Replacement) along Puerto Princesa Road, K0131+479 Sofronio Española, Palawan</t>
  </si>
  <si>
    <t xml:space="preserve"> Contract ID: 20PK0065 Contract Name: Capital Outlay - Construction/Rehabilitation of Water Supply/Septage and Sewerage/Rain Water Collector Systems - Rain Water Collectors in Public Facilities - CAR   Contract Location: Various Location (Balbalan, Lubuaga</t>
  </si>
  <si>
    <t xml:space="preserve"> Republic of the Philippines Province of Compostela Valley Municipality of Monkayo -o0o- INVITATION TO BID FOR THE PROCUREMENT OF LABOR &amp; MATERIALS FOR RENOVATION OF DRY MARKET LOCATED AT BLOCK 2, MARKET SITE, BARANGAY POBLACION, MONKAYO DAVAO DE ORO The M</t>
  </si>
  <si>
    <t xml:space="preserve"> RE-INVITATION TO BID The Department of Public Works and Highways - Pampanga 1st District Engineering Office, through its Bids and Awards Committee (BAC), invites contractors to submit bids for the following Contract: 1.	 Procurement ID/Contract ID	:	20CG0</t>
  </si>
  <si>
    <t xml:space="preserve"> Republic of the Philippines Province of Quezon Municipality of Pagbilao COMMITTEE ON BIDS AND AWARDS INVITATION TO BID FOR SUPPLY AND DELIVERY OF IT EQUIPMENT 1.	The Local Government Unit of Pagbilao, through the Approved Budget by the Sanggunian – GOP, G</t>
  </si>
  <si>
    <t xml:space="preserve"> Republic of the Philippines Cordillera Administrative Region Provincial Local Government Unit of Ifugao BIDS AND AWARDS COMMITTEE - INFRA 3rd Floor PEO Bldg., Capitol Compound Lagawe, Ifugao Email Ad.: bacifugao@gmail.com INVITATION TO BID  NCB Publicatio</t>
  </si>
  <si>
    <t xml:space="preserve"> Repair/Maintenance of DPWH Bldg. (Main Building) Palawan II DEO National Highway Brgy. Antipuluan, Narra, Palawan Finishing, Plumbing/Sanitary Works</t>
  </si>
  <si>
    <t xml:space="preserve"> Invitation to Bid for the supply &amp; delivery of Ammunitions for use of the Batangas City PNP</t>
  </si>
  <si>
    <t xml:space="preserve"> - PUBLIC MARKET BUILDING - PHASE 3</t>
  </si>
  <si>
    <t xml:space="preserve"> Republic of the Philippines DEPARTMENT OF PUBLIC WORKS AND HIGHWAYS PANGASINAN IV DISTRICT ENGINEERING OFFICE REGIONAL OFFICE I Tuliao, Sta. Barbara, Pangasinan    INVITATION TO BID   The Department of Public Works and Highways DPWH – Pangasinan IV Distri</t>
  </si>
  <si>
    <t xml:space="preserve"> X X X X X X X STRAIGHT CONTRACT X X X X X X X X</t>
  </si>
  <si>
    <t xml:space="preserve"> Repair/Maintenance of DPWH Building BAC Building (Motorpool) National Highway, Brgy. Antipuluan, Narra, Palawan Earthworks, Plain and Reinforced Concrete Works, Finishing and other Civil Works, Electrical Works</t>
  </si>
  <si>
    <t xml:space="preserve"> ITB No. 2020-72 June 2, 2020 Republic of the Philippines Province of Davao Oriental CITY OF MATI INVITATION TO BID CONSTRUCTION OF WATER SYSTEM AT UPPER KALAPARAN Name of Project 1.	The City Government of Mati, through the 20% Local Development Fund inten</t>
  </si>
  <si>
    <t xml:space="preserve"> Concreting of road &amp; construction of road protection</t>
  </si>
  <si>
    <t xml:space="preserve"> INVITATION TO BID REFERENCE NO. 2020-05-005 1.The Department of Social Welfare and Development FO VIII, through the General Appropriations Act of CY 2020 intends to apply the sum Three Million, Five Hundred Sixty-Seven Thousand Pesos (Php3,567,000.00) onl</t>
  </si>
  <si>
    <t xml:space="preserve"> Repair/Maintenance of DPWH Building MQC Building National Highway, Brgy. Antipuluan, Narra, Palawan Earthworks, Plain and Reinforced Concrete Works, Finishing and other Civil Works, Electrical Works</t>
  </si>
  <si>
    <t xml:space="preserve"> Republic of the Philippines					 Department of Health					 Regional Health Field Office No. VII					 DON EMILIO DEL VALLE MEMORIAL HOSPITAL					 Bood, Ubay, Bohol					  (038) 518-8301; (038) 518-8027; Fax No. (038) 518-8309; email Ad: devmh_ubay@yahoo.com</t>
  </si>
  <si>
    <t xml:space="preserve"> Republic of the Philippines PROVINCE OF SOUTHERN LEYTE Maasin City Invitation to Bid for the Procurement of One (1) Unit Distribution Transformer   Contract ID # 2020-06-23-329PG 1.	The Provincial Government of Southern Leyte through the SOYMPH Other Prop</t>
  </si>
  <si>
    <t xml:space="preserve"> Gravel surfacing and construction of canal and slope protection</t>
  </si>
  <si>
    <t xml:space="preserve"> Installation of water pipeline</t>
  </si>
  <si>
    <t xml:space="preserve"> Section I. Invitation to Bid SUPPLY OF MATERIALS, LABOR AND EQUIPMENT FOR THE CONSTRUCTION OF PUMP HOUSE AND PERIMETER FENCE AND SITE DEVELOPMENT OF LINAO NORTE PUMPING STATION 02, LINAO NORTE, TUGUEGARAO CITY 1. The Metropolitan Tuguegarao Water District</t>
  </si>
  <si>
    <t xml:space="preserve"> Republic of the Philippines Province of Oriental Mindoro MUNICIPALITY OF VICTORIA INVITATION TO BID Supply and Delivery of Foliar Fertilizers for High Value Crops Upgrading and Development Program in the Municipality of Victoria, Oriental Mindoro 1.The Mu</t>
  </si>
  <si>
    <t xml:space="preserve"> Republic of the Philippines Province of Oriental Mindoro MUNICIPALITY OF VICTORIA INVITATION TO BID Supply and Delivery of One (1) unit Brand New Backhoe (Hydraulic Excavator) in the Municipality of Victoria, Oriental Mindoro 1.The Municipal Government of</t>
  </si>
  <si>
    <t xml:space="preserve"> Republic of the Philippines PROVINCE OF SOUTHERN LEYTE Maasin City Invitation to Bid for the Procurement of One (1) Unit Service Vehicle  Contract ID # 2020-06-23-328PG 1.	The Provincial Government of Southern Leyte through the PTO Motor Vehicle Expenses </t>
  </si>
  <si>
    <t xml:space="preserve"> INVITATION TO BID 1)	The DPWH- Davao City District Engineering Office through its Bids and Awards Committee (BAC), invites contractors to submit bids for the following contract; 1. Procurement ID /          Contract ID No.	:	20LB0156     Contract Name	:	C</t>
  </si>
  <si>
    <t xml:space="preserve"> SCOPE OF WORKS: B.5	Project Billboard &amp; Signboard	2.00	each	 101(4)a	Removal of Structures/Obstructions, 457 mm dia. RCPC	6.00	cu.m. 103(1)a	Structure Excavation (Common Soil, RCPC)	105.89	cu.m. 104(1)a	Embankment from Roadway Excavation	824.96	cu.m. 104(</t>
  </si>
  <si>
    <t xml:space="preserve"> REPUBLIC OF THE PHILIPPINES PROVINCE OF LA UNION MUNICIPALITY OF CABA BIDS AND AWARDS COMMITTEE INVITATION TO BID FOR THE PROCUREMENT OF INFRASTRUCTURE PROJECT OF THE MUNICIPALITY The Local Government Unit of Caba, La Union, through the DILG 2019-Performa</t>
  </si>
  <si>
    <t xml:space="preserve"> SCOPE OF WORKS: B.5	Project Billboard &amp; Signboard	2.00	each	 101(2)	Removal of Concrete Canal Structures	6.00	cu.m. 103(1)a	Structure Excavation (Common Soil, RCPC)	4.13	cu.m. 104(1)a	Embankment from Roadway Excavation	368.05	cu.m. 104(2)	Embankment from </t>
  </si>
  <si>
    <t xml:space="preserve"> PROCUREMENT OF DRUGS &amp; MEDICINES FOR FY 2020</t>
  </si>
  <si>
    <t xml:space="preserve"> SCOPE OF WORKS: B.5	Project Billboard &amp; Signboard	2.00	each		 101(3)b	Removal of Existing Asphalt Pavement (100 mm thk.)	1,500.00	cu.m. 103(1)a	Structure Excavation (Common Soil, RCPC)	3.82	cu.m. 104(1)a	Embankment from Roadway Excavation	268.06	cu.m. 104</t>
  </si>
  <si>
    <t xml:space="preserve"> INVITATION TO BID SIMIMBAAN SWIP 1.	The National Irrigation Administration – Bulacan-Aurora-Nueva Ecija Irrigation Management Office, Tambubong, San Rafael, Bulacan, through GAA 2020 intends to apply the sum of Nine Million Two Hundred Eighty-One Thousand</t>
  </si>
  <si>
    <t xml:space="preserve"> INVITATION TO BID PAITAN SWIP 1.	The National Irrigation Administration – Bulacan-Aurora-Nueva Ecija Irrigation Management Office, Tambubong, San Rafael, Bulacan, through GAA 2020 intends to apply the sum of Nine Million Two Hundred Twenty-Four Thousand F</t>
  </si>
  <si>
    <t xml:space="preserve"> SCOPE OF WORKS: B.5    	Project Billboard &amp; Signboard	2.00	each	 104(1)a	Embankment from Roadway Excavation	463.96	cu.m. 104(2)a	Embankment from Borrow	103.36	cu.m. 105(1)a	Subgrade Preparation (Common Materials)	3,816.00	sq.m.	 200(1)	Aggregate Subbase C</t>
  </si>
  <si>
    <t xml:space="preserve"> INVITATION TO BID FOR Procurement of TONER CARTRIDGES FOR PHOTOCOPIER CY 2020 1.	The Quirino Memorial Medical Center, through the INCOME FUND-MOOE intends to apply the sum of ONE MILLION FOUR HUNDRED FIFTY FIVE THOUSAND NINE HUNDRED SEVENTY FIVE PESOS ONL</t>
  </si>
  <si>
    <t xml:space="preserve"> Purchase of 300 pail Asphalt Instant Cold Mix, 90 drum Emulsified Asphalt and 129 cu. m. Sand</t>
  </si>
  <si>
    <t xml:space="preserve"> Republic of the Philippines DEPATMENT OF PUBLIC WORKS AND HIGHWAYS SULTAN KUDARAT 1ST DISTRICT EINGINEERING OFFICE 		REGIONAL OFFICE XII Isulan, Sultan Kudarat                                                                           INVITATION TO BID The</t>
  </si>
  <si>
    <t xml:space="preserve"> Republic of the Philippines Province of Quezon CITY GOVERNMENT OF TAYABAS INVITATION TO BID FOR PROJECT # 20-041 - PROCUREMENT OF FURNITURES AND FIXTURES FOR SCHOOL LIBRARIES- CITY SCHOOL DIVISION OFFICE The City Government of Tayabas, through the Special</t>
  </si>
  <si>
    <t xml:space="preserve"> INVITATION TO BID FOR Procurement of  Linen Supplies (Rebid) 1.	The Quirino Memorial Medical Center, through the Income Fund-MOOE intends to apply the sum of Seven Million Five Hundred Eighty Five Thousand Six Hundred Pesos Only (PHP 7,585,600.00) being t</t>
  </si>
  <si>
    <t xml:space="preserve"> Project Billboard/Signboard, Occupational Safety and Health Program, Road Works Safety and Traffic Management, Mobilization/Demobilization, Removal of Actual Structures/Obstruction, Subgrade Preparation, Existing Pavement, Aggregate Subbase Course, PCC Pa</t>
  </si>
  <si>
    <t xml:space="preserve"> INVITATION TO BID FOR Procurement of Drugs and Medicines CY 2020 REBID The Quirino Memorial Medical Center, through the REVOLVING FUND-MOOE intends to apply the sum of NINETY NINE MILLION THREE HUNDRED SEVENTY FOUR THOUSAND FIVE HUNDRED FIVE PESOS AND 17/</t>
  </si>
  <si>
    <t xml:space="preserve"> INVITATION TO BID   (Public Bidding) The BFAR 08, through its Bids and Awards Committee (BAC), invites eligible suppliers to bid for the hereunder contract:	 NAME OF CONTRACT: 20-05-0580 SUPPLY AND DELIVERY OF MATERIALS FOR THE SEMI-INTENSIVE TILAPIA CULT</t>
  </si>
  <si>
    <t xml:space="preserve"> Project Billboard/Signboard, Occupational Safety and Health Program, Road Works Safety and Traffic Management, Mobilization/Demobilization, Reflectorized Thermoplastic Pavement Markings (White), Reflectorized Thermoplastic Pavement Markings (Yellow), Chev</t>
  </si>
  <si>
    <t xml:space="preserve"> Procurement of emergency supplies or item in response to COVID measures to prevent the spread of virus.</t>
  </si>
  <si>
    <t xml:space="preserve"> INVITATION TO BID FOR TONER TIE-UP CY 2020 REBID The Quirino Memorial Medical Center, through theIncome Fund–MOOE intends to apply the sum of TWO MILLION EIGHT HUNDRED FOURTY NINE THOUSAND TWO HUNDRED TWENTY PESOS ONLY (PHP 2,849,220.00) being the Approve</t>
  </si>
  <si>
    <t xml:space="preserve"> 1.	The Department of Trade &amp; Industry Regional Office 12, through the General Apropriation Act of 2020, intends to apply the sum of Two Million Pesos Only (Php2,000,000.00) being the Approved Budget for the Contract (ABC) for the Supply and Delivery of 20</t>
  </si>
  <si>
    <t xml:space="preserve"> INVITATION TO BID The DPWH-Bataan 2nd District Engineering Office, through its Bids and Awards Committee (BAC) for Goods, invites suppliers to submit bids for the following Contract: Contract ID	:	20GCB0004 Contract Name	:	Procurement/Supply of Road Marki</t>
  </si>
  <si>
    <t xml:space="preserve"> The Municipal Government of Atok, Benguet now invites bids for MDRRMF CLUSTER 2-2020 PROJECTS AT PASDONG AND NAGUEY, ATOK, BENGUET with the following Cluster of Projects: 1.	REHABILITATION OF PASDONG PROPER – INUMAN ROAD AT PASDONG WITH AN ABC OF P350,000</t>
  </si>
  <si>
    <t xml:space="preserve"> INVITATION TO BID FOR Procurement of Dietary Foodstuffs and Supplies CY 2020 REBID 1.	The Quirino Memorial Medical Center, through the Income Fund - MOOE intends to apply the sum of FOUR MILLION EIGHT HUNDRED TWENTY TWO THOUSAND TWO HUNDRED FIFTY THREE PE</t>
  </si>
  <si>
    <t xml:space="preserve"> Republic of the Philippines Cordillera Administrative Region PROVINCIAL GOVERNMENT OF ABRA Bangued Invitation to Bid for  IMPROVEMENT OF PALPALITPIT-CAYAPA FMR 1.	The Provincial Government of Abra, through the Budget for the Contract Approved by the Sangg</t>
  </si>
  <si>
    <t xml:space="preserve"> INVITATION TO BID FOR  1.	The Municipal Government of Coron, Palawan, through the 2020 Annual Municipal Budget intends to apply the sum of One Million Pesos (PhP1,000,000.00) being the Approved Budget for the Contract (ABC) to payments under the contract </t>
  </si>
  <si>
    <t xml:space="preserve"> The Municipal Government of Atok, Benguet now invites bids for MDF CLUSTER 2-2020 PROJECTS AT CALIKING, ATOK, BENGUET with the following Cluster of Projects: 1.	CONSTRUCTION OF CONCRETE PAVEMENT ALONG CAMP 30-CALIKING ROAD (CALIKING PROPER SECTION) AT CAL</t>
  </si>
  <si>
    <t xml:space="preserve"> Procurement of additional office supplies as supplement in reproduction of modules for each learner.</t>
  </si>
  <si>
    <t xml:space="preserve"> The Bids and Awards Committee								 Province of Iloilo								 								      In connection with your Invitation to Bid No. PEO-20-0163 B scheduled on June 24, 2020, I/we proposed to furnish and deliver in conformity with the terms and conditions, and sp</t>
  </si>
  <si>
    <t xml:space="preserve"> CONCRETE AND STEEL</t>
  </si>
  <si>
    <t xml:space="preserve"> The Bids and Awards Committee								 Province of Iloilo								 								      In connection with your Invitation to Bid No. PEO-19-1449-B (Rebid-2) scheduled on June 24, 2020, I/we proposed to furnish and deliver in conformity with the terms and conditio</t>
  </si>
  <si>
    <t xml:space="preserve"> INVITATION TO BID FOR PROCUREMENT OF NON- ACCOUNTABLE FORMS CY2020 REBID 1.	The Quirino Memorial Medical Center, through the INCOME FUND-MOOE intends to apply the sum of ONE MILLION ONE HUNDRED SEVENTY NINE THOUSAND AND ONE HUNDRED EIGHTEEN PESOS ONLY (Ph</t>
  </si>
  <si>
    <t xml:space="preserve"> Republic of the Philippines Cordillera Administrative Region PROVINCIAL GOVERNMENT OF ABRA Bangued Invitation to Bid for  IMPROVEMENT OF SITIO CAMPONG SAGURISIR FMR 1.	The Provincial Government of Abra, through the Budget for the Contract Approved by the </t>
  </si>
  <si>
    <t xml:space="preserve"> Construction of Hanging Steel Bridge at Sitio Tagbon, Panipiason, Madalag, Aklan  See Program of Work, Plans and Drawings, Bill of Quantities upon purchase of bidding documents.</t>
  </si>
  <si>
    <t xml:space="preserve"> Republic of the Philippines Cordillera Administrative Region PROVINCIAL GOVERNMENT OF ABRA Bangued Invitation to Bid for  REPAIR OF MANABO IRRIGATION MAIN CANAL, AYYENG MANABO 1.	The Provincial Government of Abra, through the Budget for the Contract Appro</t>
  </si>
  <si>
    <t xml:space="preserve"> I      EARTHFILL       600 cu. m.</t>
  </si>
  <si>
    <t xml:space="preserve"> The Bids and Awards Committee								 Province of Iloilo								 								      In connection with your Invitation to Bid No. PEO-20-0160-B scheduled on June 24, 2020, I/we proposed to furnish and deliver in conformity with the terms and conditions, and sp</t>
  </si>
  <si>
    <t xml:space="preserve"> I    CONCRETE FINISHING     63 sq. m. II   DOORS III MASONRY WORKS             3.74 sq. m. IV  CEILING                          41.40 sq. m. V   PAINTING                         601.80 sq. m.</t>
  </si>
  <si>
    <t xml:space="preserve"> INVITATION TO BID June 2, 2020 CHINA GEZHOUBA GROUP CORPORATION LIMITED / CHINA GEZHOUBA GROUP MUNICIPAL ENGINEERING CORPORATION LIMITED (JV) Unit 916, High Street South Corporate Plaza Tower1, 26th Street corner 9th Ave., Bonifacio Global City, Taguig Ci</t>
  </si>
  <si>
    <t xml:space="preserve"> The Municipal Government of Atok, Benguet now invites bids for MDF CLUSTER 10-2020 PROJECT: CONSTRUCTION OF CONCRETE PAVEMENT WITH BOX CULVERT ALONG PEY-AS TO DAMAYAN FMR AT POBLACION, ATOK, BENGUET with the following Scope of Works: SPL. 1.	INSTALLATION </t>
  </si>
  <si>
    <t xml:space="preserve"> JUNE 1, 2020 FER2020-012 1.	The LOCAL GOVERNMENT UNIT OF FERROL, ROMBLON, through the SOCIO-CIVIC PROJECT FUND CY 2020 intends to apply the sum of THREE MILLION PESOS (PHP 3,000,000.00) being the Approved Budget for the Contract (ABC) to payments under th</t>
  </si>
  <si>
    <t xml:space="preserve"> Items of Work consists of  Subgrade Preparation, Aggregate Base Course, Portland Cement and Concrete Pavement (PCCP),Billboard Installation, Monuments and Markers  The BAC will conduct the procurement process in accordance with the revised IRR of R.A. 918</t>
  </si>
  <si>
    <t xml:space="preserve"> Items of Work consists of Subgrade Preparation, Aggregate Base Course, Portland Cement and Concrete Pavement (PCCP), Monuments and Markers, Billboard Installation The BAC will conduct the procurement process in accordance with the revised IRR of R.A. 9184</t>
  </si>
  <si>
    <t xml:space="preserve"> The Municipal Government of Atok, Benguet now invites bids for MDF CLUSTER 9-2020 PROJECTS AT POBLACION, ATOK, BENGUET with the following Scope of Works: 1.	CONSTRUCTION OF CONCRETE PAVEMENT ALONG CABAYO FMR WITH AN ABC OF P1,150,000.00; AND 2.	CONSTRUCTI</t>
  </si>
  <si>
    <t xml:space="preserve"> The Municipal Government of Atok, Benguet now invites bids for MDF CLUSTER 8-2020 PROJECT: CONSTRUCTION OF PAVEMENT AT TAMOCMOC ROAD AT TOPDAC, ATOK, BENGUET with the following Scope of Works: 102.		EXCAVATION 105.		SUBGRADE PREPARATION 311.		PCCP 600.		C</t>
  </si>
  <si>
    <t xml:space="preserve"> Items of Work consists of Clearing and Grubbing, Subgrade Preparation, Aggregate Base Course, Portland Cement and Concrete Pavement (PCCP),Grouted Riprap, Billboard Installation, Monuments and Markers  	 The BAC will conduct the procurement process in acc</t>
  </si>
  <si>
    <t xml:space="preserve"> Republic of the Philippines Province of Masbate MUNICIPALITY OF CATAINGAN BIDS AND AWARD COMMITTEE INVITATION TO APPLY FOR ELIGIBILITY AND TO BID JUNE 1, 2020                                                                                                 </t>
  </si>
  <si>
    <t xml:space="preserve"> The Municipal Government of Atok, Benguet now invites bids for MDF CLUSTER 6-2020 PROJECT: CONSTRUCTION OF PAVEMENT ALONG BETAC-KISKIS ROAD AT ABIANG, ATOK, BENGUET with the following Scope of Works: 102.		EXCAVATION 104.		SUBGRADE PREPARATION 311.		PCCP </t>
  </si>
  <si>
    <t xml:space="preserve"> Name of Project/Title of Project: Procurement of Drugs and Medicines for BJMP 12 PDL for the Third Quarter of 2020 Place of Delivery: BJMPRO-XII, Regional Center, Carpenter Hill, Koronadal City, South Cotabato Brief Description of Project: Supply and Deli</t>
  </si>
  <si>
    <t xml:space="preserve"> INVITATION TO BID FOR THE SUPPLY, DELIVERY, INSTALLATION AND COMMISSIONING OF ONE (1) UNIT HEALTHCARE WASTE TREATMENT MACHINE 1.	The Eversley Childs Sanitarium and General Hospital, through HFEP 2020 GAA, intends to apply the sum of Fifteen Million Pesos </t>
  </si>
  <si>
    <t xml:space="preserve"> Republic of the Philippines CITY OF PANABO Province of Davao del Norte BIDS AND AWARDS COMMITTEE -o0o- INVITATION TO BID  SUPPLY OF 1 UNIT BRAND NEW RESCUE TRUCK 1.	The City of Panabo, through CDRRMC/ TRUST FUND -03/ CALAMITY FUND 2019 intends to apply th</t>
  </si>
  <si>
    <t xml:space="preserve"> Republic of the Philippines CITY OF PANABO Province of Davao del Norte BIDS AND AWARDS COMMITTEE -o0o- INVITATION TO BID  SUPPLY OF 1 UNIT BRAND NEW MULTI-PURPOSE VEHICLE 1.	The City of Panabo, through CDRRMC/ TRUST FUND -03/ CALAMITY FUND 2019 intends to</t>
  </si>
  <si>
    <t xml:space="preserve"> Item No.	Description					Unit of	Quantity 						Measure	 1	Hen					heads	200 2	Rooster					heads	40 3	Cracked Corn					kgs.	1500 4	Pellets					kgs.	1500 5	Nylon Net/Screen					meters	300 	x-x-x-x-x</t>
  </si>
  <si>
    <t xml:space="preserve"> Name of Project/Title of Project: Procurement of Office Supplies for BJMPRO-XII for the Third Quarter of 2020 Location of Project: BJMPRO-XII, Regional Center, Carpenter Hill, Koronadal City, South Cotabato Brief Description of Project: Procurement of Ass</t>
  </si>
  <si>
    <t xml:space="preserve"> Name of Project/Title of Project: Procurement of Assorted Rehabilitation Supplies for BJMP Region 12 PDL for the Third Quarter of 2020 Location of Project: BJMPRO-XII, Regional Center, Carpenter Hill, Koronadal City, South Cotabato Brief Description of Pr</t>
  </si>
  <si>
    <t xml:space="preserve"> Name of Project/Title of Project: Procurement of Petroleum, Oil and Lubricants for BJMPRO-XII for the Third Quarter of 2020 Location of Project: BJMPRO-XII, Regional Center, Carpenter Hill, Koronadal City, South Cotabato Brief Description of Project: Proc</t>
  </si>
  <si>
    <t xml:space="preserve"> INVITATION TO BID 01 June 2020 The municipality of Sampaloc through its Bids and Awards Committee (BAC) invites suppliers/manufacturers/distributors/contractors to apply for eligibility to bid for the hereunder project: Name of Project	:	RELOCATION SURVEY</t>
  </si>
  <si>
    <t xml:space="preserve"> Republic of the Philippines CITY OF PANABO Province of Davao del Norte BIDS AND AWARDS COMMITTEE -o0o- INVITATION TO BID  SUPPLY OF MATERIALS FOR TRANSFORMER INSTALLATION (REBID) 1.	The City of Panabo, through CEO-SB#5-2019/CONTINUING CY 2019/OTHER INFRAS</t>
  </si>
  <si>
    <t xml:space="preserve"> The Municipality of Catubig, N. Samar, through the Resolution No. 89-s-2019 intends to apply the sum of One Million Six Hundred Thousand Pesos (P 1,600,000.00) being the Approved Budget for the Contract (ABC) to payments under the contract for Repair/Main</t>
  </si>
  <si>
    <t xml:space="preserve"> Republic of the Philippines Cordillera Administrative Region PROVINCIAL GOVERNMENT OF ABRA Bangued Invitation to Bid for  CONCRETING OF COSILI EAST – MACARCARMAY ROAD  1.	The Provincial Government of Abra, through the Budget for the Contract Approved by t</t>
  </si>
  <si>
    <t xml:space="preserve"> Republic of the Philippines CITY OF PANABO Province of Davao del Norte BIDS AND AWARDS COMMITTEE -o0o- INVITATION TO BID  SUPPLY OF 1 UNIT BRAND NEW CREW TRUCK 1.	The City of Panabo, through CDRRMC/ TRUST FUND -03/ CALAMITY FUND 2019 intends to apply the </t>
  </si>
  <si>
    <t xml:space="preserve"> Republic of the Philippines Province of Cagayan LOCAL GOVERNMENT UNIT-MUNICIPALITY SOLANA, 3503 BIDS AND AWARDS COMMITTEE (BAC) Invitation to Bid for  Rehabilitation of Public Market Building (10 stalls) 1.	The Municipal Government of Solana, through Gene</t>
  </si>
  <si>
    <t xml:space="preserve"> Improvement of Nueva Fuerza Water System at Sitio Nueva Fuerza Fuerza, Brgy. Cabaruyan, Libungan, Cotabato Rehabilitation of 54 Meters Dept Well</t>
  </si>
  <si>
    <t xml:space="preserve"> PB NO. 2020-024		 			 1.	2	unit	Commuter Van (Converted to Ambulance) 			 		Exterior	 			Blue and red blinkers w/PA System Multi tone  			Medium tint black front Frosted tint rear 			Mirror Ambulance Sticker front 9 inch height  			Rear and side ambulance</t>
  </si>
  <si>
    <t xml:space="preserve"> 1. The LGU-Bauko through its Annual Budget CY 2020 intends to apply the amount of One Million One Hundred Eighty Four Thousand Two Hundred Sixteen Pesos &amp; 20/100 (P 1,184,216.20) being the Approved Budget for the Contract (ABC) to payment for the contract</t>
  </si>
  <si>
    <t xml:space="preserve"> Republic of the Philippines Province of Siquijor Municipality of Maria   Invitation to Bid for Reposting  Provision of Potable Water Supply–Pisong-A Maria, Siquijor/PIA -0002I-2020 1.	The Barangay Local Government Unit of Pisong-A,Maria, through the 20% D</t>
  </si>
  <si>
    <t xml:space="preserve"> Republic of the Philippines DEPARTMENT OF HEALTH ZAMBOANGA PENINSULA - CENTER FOR HEALTH DEVELOPMENT Upper Calarian, Zamboanga City 7000 Phone : (062) 983-0314, (062) 983-0146, Fax : (062)  991-3380 Email : dohchdzp@yahoo.com, Web : www.doh.gov.ph INVITAT</t>
  </si>
  <si>
    <t xml:space="preserve"> INVITATION TO BID KB-GOODS-2020-05 I.	The Municipality of Kitaotao, intends to apply the sum of Two Million Pesos Only (P2,000,000.00) for the Supply and Delivery of Brand New Utility Vehicle (pick-up). Bids received more than the ABC shall be automatical</t>
  </si>
  <si>
    <t xml:space="preserve"> - The Municipality of Baliguian, request for quotation for the Procurement of customized ambulance with complete and standard medical accessories and emergency medical kits. - The Estimated Budget Cost is One Million Nine Hundred Thousand Pesos (Php1,900,</t>
  </si>
  <si>
    <t xml:space="preserve"> Republic of the Philippines Province of Cagayan LOCAL GOVERNMENT UNIT-MUNICIPALITY SOLANA, 3503 BIDS AND AWARDS COMMITTEE (BAC) Invitation to Bid for  Construction/installation of concrete &amp; stainless tables 1.	The Municipal Government of Solana, through </t>
  </si>
  <si>
    <t xml:space="preserve"> Republic of the Philippines                   Department of Health	       CENTRAL OFFICE BIDS AND AWARDS COMMITTEE  INVITATION TO BID FOR THE  PROCUREMENT OF BIFENTHRIN  IB NO. 2020-212 1.	The Department of Health (DOH), through the General Appropriations</t>
  </si>
  <si>
    <t xml:space="preserve"> Republic of the Philippines Province of Cagayan LOCAL GOVERNMENT UNIT-MUNICIPALITY SOLANA, 3503 BIDS AND AWARDS COMMITTEE (BAC) Invitation to Bid for  Concreting of Farm to Market Road 1.	The Municipal Government of Solana, through Trust Fund  intends to </t>
  </si>
  <si>
    <t xml:space="preserve"> 1.	The Municipality of Baliguian, now invites bids for the Civil works for the Construction of 150 Ln.m. River Control at Barangay Tamao, Baliguian, Zamboanga del Norte.  2.	Bidding will be conducted in accordance with relevant procedures for open competi</t>
  </si>
  <si>
    <t xml:space="preserve"> Republic of the Philippines                   Department of Health	       CENTRAL OFFICE BIDS AND AWARDS COMMITTEE  INVITATION TO BID FOR THE  PROCUREMENT OF DELTAMETHRIN – REBID  IB NO. 2020-172-A 1.	The Department of Health (DOH), through the General Ap</t>
  </si>
  <si>
    <t xml:space="preserve"> The MUNICIPALITY OF BANI, through its Bids and Awards Committee (BAC), invites suppliers/contractors to bid for the following: Name of Project	:SMALL WATER IMPOUNDING PROJECT Project Location	:San Miguel, San Vicente, Banog Norte,Dacap Norte, Ranao, Dacap</t>
  </si>
  <si>
    <t xml:space="preserve"> INVITATION TO BID KB-GOODS-2020-05 I.	The Municipality of Kitaotao, intends to apply the sum of One Million Nine Hundred Thousand Pesos Only (P1,900,000.00) for the Supply and Delivery of Brand New 4x4 Manual Transmission Pick-up. Bids received more than </t>
  </si>
  <si>
    <t xml:space="preserve"> INVITATION TO BID Purchase and Delivery of Plastic Granulator ITB 2020-05-028(GOODS) 1. 	The Municipality of Tuba, through the Budget for the contract approved by the Sangguniang Bayan for CY 2020 intends to apply the sum of Three Hundred Seventy Four Tho</t>
  </si>
  <si>
    <t xml:space="preserve"> The Zamboanga del Norte 3rd District Engineering Office, through its Bids and Awards Committee (BAC), invites contractors to submit bids for the Contract:												 												 Contract ID:				20JD0101								 Contract Name:				Rehabilitation/Reconstru</t>
  </si>
  <si>
    <t xml:space="preserve"> The Zamboanga del Norte 3rd District Engineering Office, through its Bids and Awards Committee (BAC), invites contractors to submit bids for the Contract:												 												 Contract ID:				20JD0102								 Contract Name:				Rehabilitation/Reconstru</t>
  </si>
  <si>
    <t xml:space="preserve"> The Zamboanga del Norte 3rd District Engineering Office, through its Bids and Awards Committee (BAC), invites contractors to submit bids for the Contract:												 												 Contract ID:				20JD0103								 Contract Name:				Retrofitting/Strenghteni</t>
  </si>
  <si>
    <t xml:space="preserve"> The Zamboanga del Norte 3rd District Engineering Office, through its Bids and Awards Committee (BAC), invites contractors to submit bids for the Contract:												 												 Contract ID:				20JD0106								 Contract Name:				Construction of Multi-Pu</t>
  </si>
  <si>
    <t xml:space="preserve"> The Zamboanga del Norte 3rd District Engineering Office, through its Bids and Awards Committee (BAC), invites contractors to submit bids for the Contract:												 												 Contract ID:				20JD0107								 Contract Name:				Construction (Completion</t>
  </si>
  <si>
    <t xml:space="preserve"> INVITATION TO RE-BID Purchase and Delivery of Electric Compressor ITB 2020-05-029(GOODS) 1. 	The Municipality of Tuba, through the Budget for the contract approved by the Sangguniang Bayan for CY 2020 intends to apply the sum of Two Hundred Seventy Thousa</t>
  </si>
  <si>
    <t xml:space="preserve"> The Zamboanga del Norte 3rd District Engineering Office, through its Bids and Awards Committee (BAC), invites contractors to submit bids for the Contract:												 												 Contract ID:				20JD0105								 Contract Name:				Construction of Multi-Pu</t>
  </si>
  <si>
    <t xml:space="preserve"> Republic of the Philippines                   Department of Health	       CENTRAL OFFICE BIDS AND AWARDS COMMITTEE  INVITATION TO BID FOR THE  PROCUREMENT OF TERMITE TREATMENT AND GENERAL PEST CONTROL MAINTENANCE IB NO. 2020-215 1.	The Department of Healt</t>
  </si>
  <si>
    <t xml:space="preserve"> The Zamboanga del Norte 3rd District Engineering Office, through its Bids and Awards Committee (BAC), invites contractors to submit bids for the Contract:												 												 Contract ID:				20JD0104								 Contract Name:				Widening of Permanent Br</t>
  </si>
  <si>
    <t xml:space="preserve"> The Zamboanga del Norte 3rd District Engineering Office, through its Bids and Awards Committee (BAC), invites contractors to submit bids for the Contract:												 												 Contract ID:				20JD0108								 Contract Name:				Construction (Completion</t>
  </si>
  <si>
    <t xml:space="preserve"> INVITATION TO RE-BID Purchase and Delivery of Hydraulic Press Packing Machine ITB 2020-05-030(GOODS) 1. 	The Municipality of Tuba, through the Budget for the contract approved by the Sangguniang Bayan for CY 2020 intends to apply the sum of Five Hundred T</t>
  </si>
  <si>
    <t xml:space="preserve"> INVITATION TO BID The City of Bayawan, through its Bids and Awards Committee (BAC), invites suppliers/manufacturers/distributors/contractors to bid for the hereunder projects: 	Lot No. I		To provide materials, labor, fuel and equipment for Establishment o</t>
  </si>
  <si>
    <t xml:space="preserve"> THE NATIONAL IRRIGATION ADMINISTRATION-SCIMO, THROUGH THE FUND 501 CY2020 INTENDS TO APPLY THE SUM OF TWO MILLION FOUR HUNDRED FIFTY-FOUR THOUSAND PESOS ONLY (₱ 2,454,000.00) BEING THE APPROVED BUDGET FOR THE CONTRACT (ABC) TO PAYMENTS UNDER THE CONTRACT </t>
  </si>
  <si>
    <t xml:space="preserve"> Republic of the Philippines Province of Iloilo Municipality of Ajuy Barangay of Tubogan BIDS AND AWARD COMMITTEE INVITATION TO BID 	The Barangay of Tubogan, Ajuy, Iloilo invites Accredited Supplier to apply for eligibility and to bid for the Concreting of</t>
  </si>
  <si>
    <t xml:space="preserve"> Item 201 - Base Course  Item 311 - Portland Cement Concrete Pavement  Item 405 - Structural Concrete Class A (with Demolition of Affected Structure)  Item 508 - Hardly Rock Embankment (Alignment and Filling of Armour Rock at End)</t>
  </si>
  <si>
    <t xml:space="preserve"> various construction materials</t>
  </si>
  <si>
    <t xml:space="preserve"> INVITATION TO BID The __DPWH-Lanao del Norte 1st District Engineering Office, through its Bids and Awards Committee (BAC), invites contractors to submit bids for the project funded under SR2020-04-004709 AMWP/PB CY 2020: 1.	Contract ID: 20KG0093 Contract </t>
  </si>
  <si>
    <t xml:space="preserve"> I N V I T A T I O N   T O   B I D 2020 - 080 June 1, 2020 1.	The Provincial Government of Tarlac through the Agriculture - PPAs - Provision of Certified Seeds (Full Subsidy) (Donations) intends to apply the sum of One Million Nine Hundred Ninety-Nine Thou</t>
  </si>
  <si>
    <t xml:space="preserve"> Purchase of various equipment supplies and materials</t>
  </si>
  <si>
    <t xml:space="preserve"> I N V I T A T I O N   T O   B I D 2020 - 078 June 1, 2020 1.	The Provincial Government of Tarlac through the Jail - Food Supplies Expense intends to apply the sum of One Million Eight Hundred Seventy-Two Thousand Pesos Only (PhP 1,872,000.00) being the Ap</t>
  </si>
  <si>
    <t xml:space="preserve"> Purchase of various medicines for the Rural Health Unit of San Luis, Aurora</t>
  </si>
  <si>
    <t xml:space="preserve"> I N V I T A T I O N   T O   B I D 2020 - 079 June 1, 2020 1.	The Provincial Government of Tarlac through the Agriculture - PPAs - Provision of Production Input Support to Corn Program (Donations) intends to apply the sum of Three Million Seven Hundred For</t>
  </si>
  <si>
    <t xml:space="preserve"> I N V I T A T I O N   T O   B I D 2020 - 077 June 1, 2020 1.	The Provincial Government of Tarlac through the Jail - Food Supplies Expense intends to apply the sum of Four Million Four Hundred Sixteen Thousand Pesos Only (PhP 4,416,000.00) being the Approv</t>
  </si>
  <si>
    <t xml:space="preserve"> BIDS AND AWARDS COMMITTEE INVITATION TO BID No. 023-2020 The METRO ROXAS WATER DISTRICT (MRWD), through its Bids and Awards Committee (BAC), invites Manufacturers/Suppliers/Distributors to apply for eligibility and to bid for the hereunder project: Name o</t>
  </si>
  <si>
    <t xml:space="preserve"> Purchase of 1 unit solar powered interactive multimedia audio visual aids technology</t>
  </si>
  <si>
    <t xml:space="preserve"> I N V I T A T I O N   T O   B I D 2020 - 081 June 1, 2020 1.	The Provincial Government of Tarlac through the Agriculture - PPAs - Provision of Hybrid Rice (Donations) intends to apply the sum of One Million Nine Hundred Ninety-Nine Thousand Two Hundred Pe</t>
  </si>
  <si>
    <t xml:space="preserve"> Purchase of various medical and dental supplies for the Rural Health Unit of San Luis, Aurora</t>
  </si>
  <si>
    <t xml:space="preserve"> Please Download Attachments: Lot A, Lot B, Lot C, Lot D, Lot E and Lot F (6 Lots) 1.  Schedule of BAC Activities for the Project 2.  Bidding Documents (Instructions to Bidders) 3.  Invitation to Bid (ITB - Bid Form)</t>
  </si>
  <si>
    <t xml:space="preserve"> TECHNICAL SPECIFICATIONS Item	Specification	Statement of Compliance Bidders must state here either “Comply” or “Not Comply” against each of the individual parameters of each Specification stating the corresponding performance parameter of the equipment of</t>
  </si>
  <si>
    <t xml:space="preserve"> 60 PCS.   4" THK CHB 12 BAGS PORTLAND CEMENT 1.5 CUM. RIVER WASHED SAND 1 KG. #16 GI TIE WIRE 1 SET PAIL FLUSH TOILET BOWL W/ COVER 1 MTR. SAND SIEVE SCREEN 10 LNGHT   1' X 3" X 8' CORNER MOULDING 24 SHTS 1/4 X 4 X 8 MARINE PLYWOOD 2 KGS. #3 CONCRETE NAIL</t>
  </si>
  <si>
    <t xml:space="preserve"> I N V I T A T I O N   T O   B I D 2020 - 082 June 1, 2020 1.	The Provincial Government of Tarlac through the Agriculture - PPAs - Enhancement of the Provincial Plant Nursery intends to apply the sum of One Million Pesos Only (PhP 1,000,000.00) being the A</t>
  </si>
  <si>
    <t xml:space="preserve"> Layout  Removal of Structure and Obstruction with Disposal  Concrete Works  (Column Footing, Column, Beam, Wall Footing, Slab, Stairs, Concrete Ledge, Reinforcing Steel Bars, Metal Deck Panel, Forms and Scaffolding, Masonry Works, Cement Plaster Finish, T</t>
  </si>
  <si>
    <t xml:space="preserve"> Please see attached ITB. ABC: 2,195,400.00</t>
  </si>
  <si>
    <t xml:space="preserve"> INVITATION TO BID FOR THE PROCUREMENT OF SUPPLY &amp; DELIVERY OF VARIOUS FERTILIZERS      1.	The Department of Agriculture Regional Field Office 6 through the General Appropriations Act (GAA) of 2020 intends to apply the sum of Eight Million Nine Hundred Thi</t>
  </si>
  <si>
    <t xml:space="preserve"> INVITATION TO BID FOR THE PROCUREMENT OF SUPPLY &amp; DELIVERY OF VARIOUS FARM TOOLS &amp; MATERIALS      1.	The Department of Agriculture Regional Field Office 6 through the General Appropriations Act (GAA) of 2020 intends to apply the sum of Four Million Eight </t>
  </si>
  <si>
    <t xml:space="preserve"> Republic of the Philippines Province of South Cotabato City of Koronadal BIDS AND AWARDS COMMITTEE INVITATION TO BID FOR THE  Procurement for the Supply and Delivery of Educational School Supplies for Public Elementary School Students of the City of Koron</t>
  </si>
  <si>
    <t xml:space="preserve"> Republic of the Philippines PROVINCE OF NUEVA VIZCAYA Municipality of Alfonso Castañeda  BIDS &amp; AWARDS COMMITTEE FOR GOODS &amp; SERVICES Invitation to Bid for  Supply &amp; Delivery of I.T. Equipment 1.	The Local Government of Alfonso Castañeda, through the Ge</t>
  </si>
  <si>
    <t xml:space="preserve"> Republic of the Philippines Province of Negros Occidental CITY OF VICTORIAS BIDS AND AWARDS COMMITTEE Reference No: Vict-eps20-028 INVITATION TO BID  CONSTRUCTION OF DRAINAGE  ( RUBBLE CONCRETE RIPRAP OPEN LINED CANAL ) AT LOPEZ SUBD., BRGY VI, VICTORIAS </t>
  </si>
  <si>
    <t xml:space="preserve"> INVITATION TO BID RE-BID Purchase and Delivery of One (1) Unit Emergency Rescue Vehicle 4 x 4 Manual ITB 2020-05-031(GOODS) 1. 	The Municipality of Tuba, through the Budget for the contract approved by the Sangguniang Bayan for CY 2020 intends to apply th</t>
  </si>
  <si>
    <t xml:space="preserve"> Layout Structural Excavation  Concrete Works  (Column Footing, Column, Beam, Slab, Reinforcing Steel Bars, Metal Deck Panel, Forms and Scaffolding, Masonry Works, Cement Plaster Finish, Tile Works, Window, Door, Plumbing Works, Septic Tank, Painting Works</t>
  </si>
  <si>
    <t xml:space="preserve"> THE NATIONAL IRRIGATION ADMINISTRATION-SCIMO, THROUGH THE FUND 501 CY2020 INTENDS TO APPLY THE SUM OF  FOUR MILLION ONE HUNDRED EIGHT THOUSAND SIX HUNDRED THIRTY PESOS ONLY (₱ 4,108,630.00) BEING THE APPROVED BUDGET FOR THE CONTRACT (ABC) TO PAYMENTS UNDE</t>
  </si>
  <si>
    <t xml:space="preserve"> Contract ID			:	20EG0085					 Contract Name  			:	Repair/Maintenance of Mandaragat River Revetment 1 &amp; 2					 Contract Location			:	K0002+(-275.00), Malvar Road, Puerto Princesa City					 Brief Description			:	Repair/Maintenance of River Revetment					 Ap</t>
  </si>
  <si>
    <t xml:space="preserve"> Contract ID			:	20EG0084					 Contract Name  			:	Construction of Rainwater Collectors					 Contract Location			:	Morzon P/S, Culandanum NHS, Tina E/S, Bubusawin E/S, Santo Niño E/S, Aborlan,					 				Kandes E/S, Maranat E/S, Bacungan Barangay Hall, Bacun</t>
  </si>
  <si>
    <t xml:space="preserve"> 1. DEMOLITION 2. MASONRY WORKS 3. STAIRCASE 4. ROOFING WORKS 5. CEILING WORKS 6. PLASTERING WORKS 7. TILES WORKS 8. DOORS AND WINDOWS</t>
  </si>
  <si>
    <t xml:space="preserve"> I N V I T A T I O N   T O   B I D 2020 - 083 June 1, 2020 1.	The Provincial Government of Tarlac through the Trust Fund intends to apply the sum of Two Million One Hundred Fifteen Thousand Two Hundred Sixteen Pesos Only (PhP 2,115,216.00) being the Approv</t>
  </si>
  <si>
    <t xml:space="preserve"> Republic of the Philippines Province of South Cotabato City of Koronadal BIDS AND AWARDS COMMITTEE INVITATION TO BID FOR THE  Procurement for the Supply, Delivery &amp; Installation of One (1) Unit Earthquake Recording Instrumentation Equipment - REBID 1.	The</t>
  </si>
  <si>
    <t xml:space="preserve"> Contract ID			:	20EG0087					 Contract Name  			:	 Repair /Maintenance of DPWH Building, Administrative Building					 Contract Location			:	Brgy. Sta. Monica, Puerto Princesa City					 Brief Description			:	Repair/Maintenance of Public Buildings					 Appr</t>
  </si>
  <si>
    <t xml:space="preserve"> I N V I T A T I O N   T O   B I D 2020 - 089 June 1, 2020 1.	The Provincial Government of Tarlac through the Trust Fund intends to apply the sum of Two Million Nine Hundred Twenty-Three Thousand Eight Hundred Seventy-Two Pesos Only (PhP 2,923,872.00) bein</t>
  </si>
  <si>
    <t xml:space="preserve"> Republic of the Philippines Province of South Cotabato City of Koronadal BIDS AND AWARDS COMMITTEE INVITATION TO BID FOR THE  Procurement for the Supply and Delivery of Materials for the Graveling of Road @ China Town (Satellite Market), Brgy. GPS (Lot 1)</t>
  </si>
  <si>
    <t xml:space="preserve"> Contract ID			:	20EG0086					 Contract Name  			:	Repair/Maintenance of DPWH Building, AES - Utility Building,					 Contract Location			:	Brgy. Sta. Monica, Puerto Princesa City					 Brief Description			:	Repair/Maintenance of Public Buildings					 Approv</t>
  </si>
  <si>
    <t xml:space="preserve"> Republic of the Philippines Province of South Cotabato City of Koronadal BIDS AND AWARDS COMMITTEE Invitation to Bid for the Completion of Provincial Road Gap @ Upper Ladol, Brgy. Assumption, City of Koronadal 1.	The City Government of Koronadal, through </t>
  </si>
  <si>
    <t xml:space="preserve"> I N V I T A T I O N   T O   B I D 2020 - 088 June 1, 2020 1.	The Provincial Government of Tarlac, intends to apply the sum tabulated herein being the Approved Budget for the Contract (ABC) to payments under the contract of Procurement of Drugs and Medicin</t>
  </si>
  <si>
    <t xml:space="preserve"> Construction of Housing Units at Sta. Catalina Homes, Samal, Bataan Construction of Thirty Housing Units Item No.	Description			Qty	Unit  I	Earthworks			30	 units  II	Formworks &amp; Scaffoldings			30	 units  III	Gravel Fill			30	 units  IV	Steel Works			30	 </t>
  </si>
  <si>
    <t xml:space="preserve"> I N V I T A T I O N   T O   B I D 2020 - 087 June 1, 2020 1.	The Provincial Government of Tarlac through the PEPO - Repair and Maintenance - Machinery and Equipment intends to apply the sum of One Million Seven Hundred Seventy-Six Thousand Nine Hundred Si</t>
  </si>
  <si>
    <t xml:space="preserve"> Improvement of Existing Evac. Center.</t>
  </si>
  <si>
    <t xml:space="preserve"> REQUEST FOR QUOTATION											 											 RFQ No.		NP/PB 20-0633				Date				May 29, 2020	 PR Reference		100-20-02-015				Implementing Office				City Vice-Mayor	 Closing Date and Time						 June 18, 2020, 5:00p.m.					 Designated Places of Submission (B</t>
  </si>
  <si>
    <t xml:space="preserve"> I N V I T A T I O N   T O   B I D 2020 - 090 June 1, 2020 1.	The Provincial Government of Tarlac through the Non Office - Other Supplies and Materials Expenses; PGO - Capital Outlay - Office Equipment; PGO - Capital Outlay - Furniture and Fixtures; PGO - </t>
  </si>
  <si>
    <t xml:space="preserve"> Acquisition of Two (2) units mini dump truck (reconditioned) at Samal, Bataan Elf Minidump High Side 6-wheeler Japan Fully Reconditioned Truck with new battery 2SM, new upholstery Brand New Tires with brand new spare tire Technical Specifications:  Engine</t>
  </si>
  <si>
    <t xml:space="preserve"> THE NATIONAL IRRIGATION ADMINISTRATION-SCIMO, THROUGH THE FUND 501 CY2020 INTENDS TO APPLY THE SUM OF  ONE MILLION ONE HUNDRED SIXTY THOUSAND SEVEN HUNDRED THIRTY PESOS ONLY (₱1,160,730.00) BEING THE APPROVED BUDGET FOR THE CONTRACT (ABC) TO PAYMENTS UNDE</t>
  </si>
  <si>
    <t xml:space="preserve"> INVITATION TO BID  IB NO. 2020 – 051/DFD SUPPLY AND DELIVERY OF  VARIOUS INFORMATION TECHNOLOGY  SUPPLIES  1.	The Department of Agriculture – Regional Field Office 10, through the Various Program Funds CY 2020 intends to apply the sum of Php1,032,650.00 b</t>
  </si>
  <si>
    <t xml:space="preserve"> Acquisition of One (1) unit dump truck (reconditioned) at Samal, Bataan 6-wheeler Japan Fully Reconditioned Truck with new battery 2SM, new upholstery Brand New Tires with brand new spare tire Technical Specifications:  Engine Displacement: Diesel, 6 cyli</t>
  </si>
  <si>
    <t xml:space="preserve"> I N V I T A T I O N   T O   B I D 2020 - 085 June 1, 2020 1.	The Provincial Government of Tarlac through the TPH - Drugs and Medicines Expenses intends to apply the sum of One Million Five Hundred Fifty Thousand One Hundred Forty-Five Pesos Only (PhP 1,55</t>
  </si>
  <si>
    <t xml:space="preserve"> I N V I T A T I O N   T O   B I D 2020 - 086 June 1, 2020 1.	The Provincial Government of Tarlac through the PEPO - Fuel, Oil and Lubricants Expenses intends to apply the sum of Two Million Twelve Thousand Six Hundred Fifty-Three Pesos and 68/100 (PhP 2,0</t>
  </si>
  <si>
    <t xml:space="preserve"> Contract ID			:	20EG0088					 Contract Name  			:	CP-01- Repair/Maintenance of DPWH Building DPWH Resthouse Sitio Tacduan,					 				Brgy. Luzviminda and  Repair/Maintenance of DPWH Building DPWH Resthouse ,					 				Brgy. San Rafael 					 Contract Locatio</t>
  </si>
  <si>
    <t xml:space="preserve"> I N V I T A T I O N   T O   B I D 2020 - 084 June 1, 2020 1.	The Provincial Government of Tarlac through the Trust Fund intends to apply the sum of One Million Eight Hundred Forty-One Thousand Seven Hundred Forty-Six Pesos and 50/100 (PhP 1,841,746.50) be</t>
  </si>
  <si>
    <t xml:space="preserve"> Acquisition of One (1) unit garbage compactor (reconditioned) at Samal Bataan 6-wheeler Japan Fully Reconditioned Truck with new battery 2SM, new upholstery with car stereo Brand New Tires 6 wheeler  with Brand New Spare Tire front &amp; rear Accessories: jac</t>
  </si>
  <si>
    <t xml:space="preserve"> Republic of the Philippines                                                           PROVINCE OF ISABELA                                                          Municipality of Dinapigue                                      INVITATION TO APPLY FOR ELIGI</t>
  </si>
  <si>
    <t xml:space="preserve"> Various oil and lubricants.</t>
  </si>
  <si>
    <t xml:space="preserve"> Various construction materials</t>
  </si>
  <si>
    <t xml:space="preserve"> INVITATION TO BID The DPWH – Bataan 2nd District Engineering Office, through its Bids and Awards Committee (BAC), invites contractors to submit bids for the following Contract: Contract ID	:	20CB0063 Contract Name	:	Repair/Maintenance of Paniquian River C</t>
  </si>
  <si>
    <t xml:space="preserve"> IINVITATION TO BID SUPPLY AND DELIVERY OF TONERS, IMAGING AND PHOTOCONDUCTOR KIT FOR MULTIFUNCTION (COPIER, SCANNER, PRINTER) MACHINE AND LASER PRINTERS OF BIR-RR NO. 9B LAQUEMAR, SAN PABLO CITY 1. The Bureau of Internal Revenue (BIR), Revenue Region No. </t>
  </si>
  <si>
    <t xml:space="preserve"> Republic of the Philippines                                                            PROVINCE OF ISABELA                                                           Municipality of Dinapigue                                         INVITATION TO APPLY FOR </t>
  </si>
  <si>
    <t xml:space="preserve"> INVITATION TO BID The DPWH – Bataan 2nd District Engineering Office, through its Bids and Awards Committee (BAC), invites contractors to submit bids for the following Contract: 		 Contract ID	:	20CB0064 Contract Name	:	Construction/Rehabilitation of Water</t>
  </si>
  <si>
    <t xml:space="preserve"> Contract ID			:	20EG0089					 Contract Name  			:	CP-02- Repair/Maintenance of PCOO Building DWMR Radio Pilipinas (Gov't.					 				Radyo Station), Brgy. Sta. Monica, Repair/Maintenance of DA Building PRES- Integrated Offices,					 				Brgy. Tiniguiban and</t>
  </si>
  <si>
    <t xml:space="preserve"> Section I. Invitation to Bid Republic of the Philippines PROVINCE OF ZAMBOANGA SIBUGAY Capitol Building, Ipil Heights, Ipil, Zamboanga Sibugay INVITATION TO BID FOR  Industrial Ceiling Fan with Electrical Accessories and Installation 1.	The Province of Za</t>
  </si>
  <si>
    <t xml:space="preserve"> REPUBLIC OF THE PHILIPPINES Province Samar CATBALOGAN CITY -o0o- INVITATION FOR NEGOTIATED PROCUREMENT (Two Failed Bidding) SUPPLY AND DELIVERY OF 4,719 pcs. TUMBLER 500ML. POLYPROPYLENE PLASTIC WITH HANDLE &amp; BRANDED The CITY GOVERNMENT OF CATBALOGAN, int</t>
  </si>
  <si>
    <t xml:space="preserve"> Section I. Invitation to Bid Republic of the Philippines PROVINCE OF ZAMBOANGA SIBUGAY Capitol Building, Ipil Heights, Ipil, Zamboanga Sibugay INVITATION TO BID (REBID) FOR  2 Units Utility Vehicle (Brandnew) 1.	The Province of Zamboanga Sibugay, through </t>
  </si>
  <si>
    <t xml:space="preserve"> The MUNICIPALITY OF BANI, through its Bids and Awards Committee (BAC), invites suppliers/contractors to bid for the following: Name of Project	:Procurement of Solid Waste Management Equipment Project Location	:Bani, Pangasinan	 Project Description :	Compo</t>
  </si>
  <si>
    <t xml:space="preserve"> Contract ID			:	20EG0090					 Contract Name  			:	Construction of Multi-Purpose Building (Puerto Princesa Elementary School)					 Contract Location			:	Barangay Kalipay, Puerto Princesa City					 Brief Description			:	Construction of Multi-Purpose Buildin</t>
  </si>
  <si>
    <t xml:space="preserve"> INVITATION TO BID FOR THE DELIVERY OF MATERIALS FOR SEA URCHIN CAGE    1. The Bureau of Fisheries and Aquatic Resources-Regional Fisheries Office I (BFAR RFO I), through the General Appropriations Act of 2020 (GAA 2020) intends to apply the sum of Two Mil</t>
  </si>
  <si>
    <t xml:space="preserve"> Republic of the Philippines Province of Samar MUNICIPALITY OF MARABUT INVITATION to BID for  PROCUREMENT OF ONE (01) UNIT BRAND NEW AMBULANCE 1.	The Municipal Government of Marabut, through its General Fund intends to apply the sum of Two Million Six Hund</t>
  </si>
  <si>
    <t xml:space="preserve"> 4 sets 8.25x16 Tires</t>
  </si>
  <si>
    <t xml:space="preserve"> Republic of the Philippines Province of Samar MUNICIPALITY OF MARABUT INVITATION to BID for  PROCUREMENT OF ONE (01) UNIT BRAND NEW MOTOR VEHICLE 1.	The Municipal Government of Marabut, through its General Fund intends to apply the sum of Two Million Five</t>
  </si>
  <si>
    <t xml:space="preserve"> Construction of (1) lot Isolation Facility</t>
  </si>
  <si>
    <t xml:space="preserve"> Rehab. of 1 lot Evacuation Center</t>
  </si>
  <si>
    <t xml:space="preserve"> INVITATION TO BID  PROCUREMENT OF GENERAL MERCHANDISE ( UMBRELLA,  CAPS, VARIOUS SCHOOL SUPPLIES &amp; SCHOOL BAGS ) FOR PRE-KINDER STUDENTS UNDER ECCD PROGRAM GS 2020-05-014 1.	The City Government of Sorsogon     intends to apply the sum of  One  Million  Ei</t>
  </si>
  <si>
    <t xml:space="preserve"> Invitation to Bid for The Construction of Community Activity Center (Re-Bid) Brgy. Tinindugan, Libertad, Antique The Local Government of Libertad, Antique, through the MDF 2018 intends to apply the sum of Two Million Two Hundred Thousand Pesos (PhP 2,200,</t>
  </si>
  <si>
    <t xml:space="preserve"> Republic of the Philippines Province of Northern Samar MUNICIPALITY OF LOPE DE VEGA Lope De Vega, Northern Samar Invitation to Bid CONSTRUCTION OF MRF Barangay Bonifacio, Lope De Vega, Northern Samar  The Local Government Unit – Lope De Vega, Northern Sam</t>
  </si>
  <si>
    <t xml:space="preserve"> Concreting of Matampay to Taporug Local Access Road</t>
  </si>
  <si>
    <t xml:space="preserve"> 1.	The Department of Agriculture (DA) – Central Office, through the GAA CY2019 Continuing Appropriations intends to apply the sum of Three Million Four Hundred Thousand Pesos (PhP2,397,000.00) being the Approved Budget for the Contract (ABC) to payments u</t>
  </si>
  <si>
    <t xml:space="preserve"> Republic of the Philippines MUNICIPALITY OF MULANAY Province of Quezon INVITATION TO BID FOR  Supply and Delivery of Construction Materials and Supplies for the Improvement of Mulanay Town Plaza Concrete Pavement and Installation of Movable Stage Plaza 1.</t>
  </si>
  <si>
    <t xml:space="preserve"> Republic of the Philippines Province of Northern Samar MUNICIPALITY OF LOPE DE VEGA Lope De Vega, Northern Samar Invitation to Bid REHABILITATION OF WATER SYSTEM Barangay Bonifacio, Lope De Vega, Northern Samar  The Local Government Unit – Lope De Vega, N</t>
  </si>
  <si>
    <t xml:space="preserve"> 1.	The Department of Agriculture (DA) – Central Office, through the GAA CY2019 Continuing Appropriations intends to apply the sum of Five Million One Hundred Seventy-Five Thousand Seven Hundred Sixty Pesos (PhP5,175,760.00) being the Approved Budget for t</t>
  </si>
  <si>
    <t xml:space="preserve"> Republic of the Philippines Province of Samar Catbalogan City INVITATION TO BID FOR GOODS 2020-014 SUPPLY AND DELIVERY OF VARIOUS MEDICINES 1.	The City Government of Catbalogan, through the CY 2020 City Health Office fund intends to apply the sum of Two M</t>
  </si>
  <si>
    <t xml:space="preserve"> Republic of the Philippines Province of Northern Samar MUNICIPALITY OF LOPE DE VEGA Lope De Vega, Northern Samar Invitation to Bid CONSTRUCTION OF 26 UNITS SANITARY LATRINE Barangay Bonifacio, Lope De Vega, Northern Samar  The Local Government Unit – Lope</t>
  </si>
  <si>
    <t xml:space="preserve"> 1.	The Department of Agriculture (DA) – Central Office, through the GAA CY2019 Continuing Appropriations intends to apply the sum of Four Million Two Hundred Thirty Thousand Pesos (PhP4,230,000.00) being the Approved Budget for the Contract (ABC) to payme</t>
  </si>
  <si>
    <t xml:space="preserve"> INVITATION TO BID  SUPPLY AND DELIVERY OF 3-SETS OF SCHOOL  SUPPLIES  FOR  YES TO CHILDREN ASSISTANCE PROGRAM - YCAP GS 2020-05-013 1.	The City Government of Sorsogon     intends to apply the sum of   Six  Million  Four  Hundred Thousand   Pesos (P 6,400,</t>
  </si>
  <si>
    <t xml:space="preserve"> 1.	The Department of Agriculture (DA) – Central Office, through the GAA CY2019 Continuing Appropriations intends to apply the sum of Six Million Five Hundred Thirteen Thousand Pesos (PhP6,513,000.00) being the Approved Budget for the Contract (ABC) to pay</t>
  </si>
  <si>
    <t xml:space="preserve"> INVITATION TO BID: PROCUREMENT OF PROVISION OF SECURITY &amp; PROTECTION SERVICES FOR BFAR RFO I FOR CY 2020   1. The Bureau of Fisheries &amp; Aquatic Resources Regional Fisheries Office No. I (BFAR RFO I), through the General Appropriations Act / BFAR RFO I Reg</t>
  </si>
  <si>
    <t xml:space="preserve"> Republic of the Philippines Province of Bukidnon MUNICIPALITY OF LIBONA Barangay Kili-og INVITATION TO BID 	The Barangay Government Unit of Kili-og, through its Bids and Awards Committee (BAC) invites Suppliers/manufacturers/distributors/contractors with </t>
  </si>
  <si>
    <t xml:space="preserve"> QTY.     UNIT         DESCRIPTION 6          PCS           TIRE (9.0 X 20) for DT 9 18        PCS           TIRE (10.0 X 20) for DT 6 &amp; 8 8          PCS           TIRE (9.0 X 20), 14 PLY for Self-loading Truck 4          PCS           TIRE 14X24, 16 PLY f</t>
  </si>
  <si>
    <t xml:space="preserve"> The MUNICIPALITY OF BANI, through its Bids and Awards Committee (BAC), invites suppliers/contractors to bid for the following: Name of Project:Construction of Slaughterhouse Phase I 	 Project Location	:Arwas Bani, Pangasinan Project Description :Construct</t>
  </si>
  <si>
    <t xml:space="preserve"> INVITATION TO APPLY FOR ELIGIBILITY AND TO BID The City of San Juan, Metro Manila, through its Bids and Awards Committee (BAC), invites interested parties to apply for an Eligibility and if found eligible to bid for the – Name of Project Security Services</t>
  </si>
  <si>
    <t xml:space="preserve"> Republic of the Philippines Region XII Province of Cotabato BIDS AND AWARDS COMMITTEE Amas, Kidapawan City INVITATION TO BID FOR Supply &amp; Installation of Airconditions for new hospital building of Mlang District Hospital, Mlang, Cotabato. (PB-20-291) 1.	T</t>
  </si>
  <si>
    <t xml:space="preserve"> Republic of the Philippines Region XII Province of Cotabato BIDS AND AWARDS COMMITTEE Amas, Kidapawan City INVITATION TO BID FOR Supply &amp; Delivery of Inorganic Fertilizer for distribution to qualified farmers of District I, Province of Cotabato . (PB-20-2</t>
  </si>
  <si>
    <t xml:space="preserve"> Republic of the Philippines Region XII Province of Cotabato BIDS AND AWARDS COMMITTEE Amas, Kidapawan City INVITATION TO BID FOR Supply &amp; Delivery of Tires for Heavy Equipment of Provincial Engineer’s Office, Amas, Kidapawan City. (PB-20-256) 1.	The Provi</t>
  </si>
  <si>
    <t xml:space="preserve"> Concreting of 125 mtrs. Farm to Market Road</t>
  </si>
  <si>
    <t xml:space="preserve"> Republic of the Philippines DEPARTMENT OF PUBLIC WORKS AND HIGHWAYS CAMARINES SUR 2ND DISTRICT ENGINEERING OFFICE Regional Office V Baras, Canaman, Camarines Sur INVITATION TO BID FOR  20FE0122 – LP: LOCAL ROADS AND BRIDGES - LOCAL ROADS - CONSTRUCTION/ R</t>
  </si>
  <si>
    <t xml:space="preserve"> INVITATION TO BID FOR THE  PROCUREMENT OF TRANSFUSION TRANSMISSIBLE INFECTION (TTIS) REAGENTS WITH MACHINE TIE-UP  IB NO. 2020-214 1.	The Department of Health (DOH), through the General Appropriations Act of 2020 intends to apply the sum of Fourteen Milli</t>
  </si>
  <si>
    <t xml:space="preserve"> INVITATION TO BID FOR THE  PROCUREMENT OF MODULAR ENZYME IMMUNO ASSAY (EIA) FOR TRANSFUSION TRANSMISSIBLE INFECTIONS (TTIS) WITH MACHINE TIE UP-RE-BID IB NO. 2020-150-A 1.	The Department of Health (DOH), through the General Appropriations Act of 2020 inte</t>
  </si>
  <si>
    <t xml:space="preserve"> Republic of the Philippines DEPARTMENT OF PUBLIC WORKS AND HIGHWAYS CAMARINES SUR 2ND DISTRICT ENGINEERING OFFICE Regional Office V Baras, Canaman, Camarines Sur INVITATION TO BID FOR  20FE0123 – LP: LOCAL ROADS AND BRIDGES - LOCAL ROADS - CONSTRUCTION/ R</t>
  </si>
  <si>
    <t xml:space="preserve"> Description     Approved Budget Contract: Php 1,527,100.00 Delivery of Information Technology Parts &amp; Accessories No.      Quantity         Unit                           Item Description 1             16               units                      Laptop Co</t>
  </si>
  <si>
    <t xml:space="preserve"> Reinforcing  Concrete Pipe Culvert - 41 l.m Drainage Canal - 39 meters</t>
  </si>
  <si>
    <t xml:space="preserve"> The Local Government Unit of Quinapondan, Eastern Samar through the Department of Agriculture under the YRRP funds has received an amount toward the cost of the Supply and Delivery of Agricultural Equipment's and facilities - Cassava Dryer (Support Servic</t>
  </si>
  <si>
    <t xml:space="preserve"> INVITATION TO BID IB NO. CW 2020 – 080 Installation of Box Culvert at the Boundary of Barangay Balingayan and Malamig, Calapan City, Or. Mindoro 1.  The Provincial Government of Oriental Mindoro (PGOM) through the 20% Development Fund CA 2019 intends to a</t>
  </si>
  <si>
    <t xml:space="preserve"> Squash Seeds - 1500 packs Ampalaya Seeds - 1500 packs Eggplant Seeds - 1500 packs Pole Sitao Seeds - 1500 packs Okra Seeds - 1500 packs Tomato Seeds - 1500 packs Pechay Seeds - 1500 packs Bell Pepper Seeds - 1500 packs Kangkong Seeds - 1500 packs Patola S</t>
  </si>
  <si>
    <t xml:space="preserve"> INVITATION TO BID IB NO. CW 2020 – 077 Construction of Covered Court at Juan Morente Pilot School, Pinamalayan, Or. Mindoro 1.  The Provincial Government of Oriental Mindoro (PGOM) through the Special Eduction Fund FY 2019 intends to apply the sum of Four</t>
  </si>
  <si>
    <t xml:space="preserve"> INVITATION TO BID IB NO. CW 2020 – 079 Repair/Rehabilitation of Drainage Canal at Casimiro St. Sitio Centro, Brgy. Poblacion II, Victoria, Or. Mindoro 1.  The Provincial Government of Oriental Mindoro (PGOM) through the 20% Development Fund CA 2019 intend</t>
  </si>
  <si>
    <t xml:space="preserve"> INVITATION TO BID IB NO. CW 2020 – 010-A   Repair/Rehabilitation of Bridge Approach at Brgy. Putican Cabulo, Baco, Oriental Mindoro 1.  The Provincial Government of Oriental Mindoro (PGOM) through the 20% DF CA 2019 intends to apply the sum of Nine Millio</t>
  </si>
  <si>
    <t xml:space="preserve"> INVITATION TO BID IB NO. CW 2020 – 076 Construction of Evacuation Center at Sta. Maria, Naujan, Oriental Mindoro 1.  The Provincial Government of Oriental Mindoro (PGOM) through the 20% Development Fund CA 2019 intends to apply the sum of One Million Four</t>
  </si>
  <si>
    <t xml:space="preserve"> INVITATION TO BID IB NO. CW 2020 – 072 Concreting of Road Section at Brgy. Tagumpay, Dulangan I, Baco, Oriental Mindoro 1.  The Provincial Government of Oriental Mindoro (PGOM) through the 20% Development Fund CA 2019 intends to apply the sum of Five Mill</t>
  </si>
  <si>
    <t xml:space="preserve"> INVITATION TO BID IB NO. CW 2020 – 074   Rechanneling and Desilting of Miaje Creek at Brgy. Ipil, Bongabong, Oriental Mindoro 1.  The Provincial Government of Oriental Mindoro (PGOM) through the 20% Development Fund CA 2018 intends to apply the sum of Two</t>
  </si>
  <si>
    <t xml:space="preserve"> INVITATION TO BID IB NO. CW 2020 – 075 Concreting of Road Leading to Provincial Police Office and Cacawan HS at Brgy. Cacawan, Pinamalayan, Or. Mindoro 1.  The Provincial Government of Oriental Mindoro (PGOM) through the 20% Development Fund CA 2019 inten</t>
  </si>
  <si>
    <t xml:space="preserve"> INVITATION TO BID IB NO. CW 2020 – 073 Construction of 24/7 Oriental Mindoro Rescue Center 1.  The Provincial Government of Oriental Mindoro (PGOM) through the 5% Local Disaster Risk Reduction Management Fund for FY 2019 intends to apply the sum of Seven </t>
  </si>
  <si>
    <t xml:space="preserve"> INVITATION TO BID IB NO. CW 2020 – 078 Construction of Multi-Purpose Hall at San Mariano, Roxas, Oriental Mindoro 1.  The Provincial Government of Oriental Mindoro (PGOM) through the 20% Development Fund CA 2019 intends to apply the sum of One Million Fou</t>
  </si>
  <si>
    <t xml:space="preserve"> Project Reference No.: 7010540 Solicitation No.:  ITB-112-2020 Contract No  INVITATION TO BID FOR THE SUPPLY AND DELIVERY OF 3,685 BOTTLES IONIC COPPER CONCENTRATE FUNGICIDE/BACTERICIDE FOR DISTRIBUTION TO CALABARZON FARMERS UNDER RICE PROGRAM CY 2020    </t>
  </si>
  <si>
    <t xml:space="preserve"> LOT 1 4 channel CCTV camera cloud application w/ 2 mega pixel camera bullet type Fire alarm control panel optimum 4 zones Smoke detector device, 12VDC Heat detector device 12VDC Alarm bell 8”, 22V Fire alarm switches (signage break the glass in case of em</t>
  </si>
  <si>
    <t xml:space="preserve"> Province of Cagayan BARANGAY UGAC NORTE Tuguegarao City INVITATION TO BID NAME OF PROJECT:  REPAIR AND MAINTENANCE OF INFRASTRUCTURE ASSETS (DRAINAGE STRUCTURE)  along Bassig and Iringan Streets REFERENCE NO.: PB-INF-20-001 DATE OF POSTING: May 31. 2020 1</t>
  </si>
  <si>
    <t xml:space="preserve"> Construction of 544.44 lm road</t>
  </si>
  <si>
    <t xml:space="preserve"> "Ceramic Floor Tiles -  Inkjet printing • Grafito yellow • 40 x 40cm" Cement Wash Sand Tile Grout - (light brown) or any color that looks the same as the tiles Industrial Diamond Cutting Blade 100mm Venyl Tiles 6"x36" Hardwood s4s 2"x2"x10feet Lumber (Gem</t>
  </si>
  <si>
    <t xml:space="preserve"> Construction of 619.70 l.m. river control.</t>
  </si>
  <si>
    <t xml:space="preserve"> Concrete Pavement</t>
  </si>
  <si>
    <t xml:space="preserve"> Bamboo Stumps (go-od)  Stone boulders  Portland Cement Type 1 River Sand Crushed Gravel #1" Deformed Bar 8mm dia. X 6.00m Deformed Bar 10mm dia. X 6.00m G.I. Tie Wire # 16 CW Nails #2 CW Nails #2 1/2 CW Nails #3 CW Nails #4 CW Nails #5 Concrete Nails #2 C</t>
  </si>
  <si>
    <t xml:space="preserve"> Completion of Building</t>
  </si>
  <si>
    <t xml:space="preserve"> Office Table Color: Black Material: Wood Dimension: 3 ½ x 2 ½ ft.                    with 4 drawers Wooden Filing Cabinet Height 6ft x Width 3 ft, 4- layers, 2 columns, with glass sliding door on the first 3 layers and wooden door 4th layer Plastic Armles</t>
  </si>
  <si>
    <t xml:space="preserve"> INVITATION TO BID IB NO. CW 2020 – 041-A Construction of Multi-Purpose Building (2nd Floor) at San Pedro, Naujan, Or. Mindoro 1.  The Provincial Government of Oriental Mindoro (PGOM) through the 20% Development Fund CA 2019 intends to apply the sum of One</t>
  </si>
  <si>
    <t xml:space="preserve"> Invitation to Bid for Foreign-Assisted Projects INVITATION TO BID FOR SUPPLY, DELIVERY AND INSTALLATION OF INREMP-SSF NO. 08-INTEGRATED ABACA STRIPPING MACHINE AND HANDLOOM WEAVING FOR BPK-GUIHEAN(2020-05-008) 1.	The Government of the Philippines (GOP) ha</t>
  </si>
  <si>
    <t xml:space="preserve"> 4 channel Digital Video Recorder (DVR, Cloud Application) and Colored Camera (bullet camera 2 megapixel) Siamese Cable BMC Plug DC plug 21 Flat Television 18’ 220v AC input Power Supply 4 channel 12vDC output, 220V input Small Clip for Siamese Cable/Cable</t>
  </si>
  <si>
    <t xml:space="preserve"> INVITATION TO BID IB NO. CW 2020 – 042-A Construction of Multi-Purpose Building (2nd Floor) at Dao, Naujan, Or. Mindoro 1.  The Provincial Government of Oriental Mindoro (PGOM) through the 20% Development Fund CA 2019 intends to apply the sum of One Milli</t>
  </si>
  <si>
    <t xml:space="preserve"> Netbook GM-81J100BKPH Cel-N4000, 4gb,500gb,11.6,W10H9,BLACK Laptop   i5,4GB,512GB M.2, NVD1505, 3gb, 15.6 W10H,OFC19HS Desktop Computer Set Processor: i5 8th gen RAM: 4 GB, DDR4 or higher  HDD: 1TB or higher Optical Drive : CD/DVDR Monitor: 19in VGA/DVI S</t>
  </si>
  <si>
    <t xml:space="preserve"> Invitation to Bid for Foreign-Assisted Projects INVITATION TO BID FOR SUPPLY, DELIVERY AND INSTALLATION OF INREMP-SSF NO. 09-UPGRADING OF COFFEE PROCESSING FACILITY FOR BMMPC(2020-05-009) 1.	The Government of the Philippines (GOP) has received a Loan from</t>
  </si>
  <si>
    <t xml:space="preserve"> 1 HP Window type Air- conditioning unit, inverter type Window type Air- condition 2.5HP, 220 volts, cooling capacity: 22,000 kj/hr Supply and Install of Air-  conditioning unit 3TR, 240V, 1 phase, 60 Hz Floor Standing Inverter type</t>
  </si>
  <si>
    <t xml:space="preserve"> Supply and Delivery of Forest Trees Seedlings under Municipal Greening Program of MENRO - Laak, Davao De Oro with an ABC of Php. 450,000.00.</t>
  </si>
  <si>
    <t xml:space="preserve"> The SANGGUNIANG BARANGAY OF BARANGAY PANTAY BATA, TANAUAN CITY, BATANGAS, through the Barangay Operating Budget 2020 intends to apply the sum of Fifty Thousand  Pesos Only (Php 50,000.00) being the Approved Budget of the Contract (ABC) to payment under th</t>
  </si>
  <si>
    <t xml:space="preserve"> Contract Labor and Materials for the Expansion of Potable Water System Level III at Prk. 4 &amp; 5, Poblacion Laak, Davao De Oro with an ABC of Php. 863,434.90.</t>
  </si>
  <si>
    <t xml:space="preserve"> Requested by: J T. Ditona/CED - Motorpool Division</t>
  </si>
  <si>
    <t xml:space="preserve"> REQUEST FOR PROPOSAL</t>
  </si>
  <si>
    <t xml:space="preserve"> I.     PEDESTAL                              -      1.53      CU.M. II.    STAND                                   -      1.00       L.S. III.   TANK MOTOR AND FITTING    -      6.00   UNITS</t>
  </si>
  <si>
    <t xml:space="preserve"> Republic of the Philippines Province of Northern Samar MUNICIPALITY OF PAMBUJAN BIDS AND AWARDS COMMITTEE INVITATION TO BID  FOR THE  SUPPLY AND DELIVERY OF TIRES AND SPARE PARTS NEEDED FOR THE MAINTENANCE OF 4WD TRACTOR OF MUN. AGRICULTURE OFFICE The Loc</t>
  </si>
  <si>
    <t xml:space="preserve"> I. Procurement ID/Contract ID		:  20 IK 0092	     Contract Name				:  Construction of  13-units Rain Water Collection System (RWCS),      Contract Location			:  on various location within the Municipalities of Samar 					   (Calapi NHS, Motiong; Old San A</t>
  </si>
  <si>
    <t xml:space="preserve"> Contract Labor and Materials for the Expansion of Potable Water System Level III - Brgy. Poblacion (Prk. 13), Laak, Davao De Oro with an ABC of 921,055.00.</t>
  </si>
  <si>
    <t xml:space="preserve"> I.        CONCRETE WORKS                        -     1.00    L.S. II.       FORMS                                           -     1.00    L.S. III.     ROOFING WORKS                           -   42.00    SQ.M.</t>
  </si>
  <si>
    <t xml:space="preserve"> Republic of the Philippines Province of Northern Samar MUNICIPALITY OF PAMBUJAN BIDS AND AWARDS COMMITTEE INVITATION TO BID  FOR THE  SUPPLY AND DELIVERY OF VARIOUS MATERIALS NEEDED FOR  THE CONSTRUCTION OF RIVER LANDING G.I. STAIRS WITH RAILINGS   The Lo</t>
  </si>
  <si>
    <t xml:space="preserve"> INVITATION TO BID Additional Disaster and Recovery (DR) Site Infrastructure for Non-SAP Systems 1.	The Government Service Insurance System (GSIS), through the GSIS Corporate Operating Budget for CY 2019, intends to apply the sum of Twenty Six Million Four</t>
  </si>
  <si>
    <t xml:space="preserve"> Republic of the Philippines Province of Northern Samar MUNICIPALITY OF PAMBUJAN BIDS AND AWARDS COMMITTEE INVITATION TO BID  FOR THE SUPPLY AND DELIVERY OF OFFICE EQUIPMENT  The Local Government Unit of Pambujan, Province of Northern Samar through the Cap</t>
  </si>
  <si>
    <t xml:space="preserve"> Republic of the Philippines Province of Northern Samar MUNICIPALITY OF PAMBUJAN BIDS AND AWARDS COMMITTEE INVITATION TO BID  FOR THE  PROCUREMENT OF ONE UNIT BRAND NEW 4.4C MINI DUMP TRUCK NOT AVAILABLE IN DBM-PS The Local Government Unit of Pambujan, Pro</t>
  </si>
  <si>
    <t xml:space="preserve"> Contract Labor and Materials for the Expansion of Potable Water System Level III at Prk. 15 &amp; 16, Poblacion Laak, Davao De Oro with an ABC of Php. 914,730.45.</t>
  </si>
  <si>
    <t xml:space="preserve"> SUPPLY AND DELIVERY OF WHEEL CHAIR ADULT FOR USE BY THE MUNICIPAL SOCIAL WELFARE AND DEVELOPMENT OFFICE LGU JAVIER, LEYTE ( For PWD's )	 	 TERMS AND CONDITIONS : 1.  Deliver with corresponding specification 2.  Items must be deliver with in 15 calendar da</t>
  </si>
  <si>
    <t xml:space="preserve"> REPUBLIC OF THE PHILIPPINES PROVINCE OF RIZAL MUNICIPALITY OF ANGONO Invitation to Bid for  DREDGING/DESILTATION OF ANGONO RIVER (SI) The Municipality of Angono, through the 20% Development Fund intends to apply the sum of One million, five hundred fifty-</t>
  </si>
  <si>
    <t xml:space="preserve"> Republic of the Philippines Department of Education Division of LEYTE Government Center, Candahug, Palo, Leyte INVITATION TO BID CY 2020 QUICK RESPONSE FUND_Lot 14 1. The Department of Education (DepEd) Division of Leyte, through the CY 2020 QUICK RESPONS</t>
  </si>
  <si>
    <t xml:space="preserve"> Republic of the Philippines Department of Education Division of LEYTE Government Center, Candahug, Palo, Leyte INVITATION TO BID CY 2020 QUICK RESPONSE FUND_Lot 13 1. The Department of Education (DepEd) Division of Leyte, through the CY 2020 QUICK RESPONS</t>
  </si>
  <si>
    <t xml:space="preserve"> Republic of the Philippines Province of Northern Samar MUNICIPALITY OF PAMBUJAN BIDS AND AWARDS COMMITTEE INVITATION TO BID  FOR THE  SUPPLY AND DELIVERY OF VARIOUS MATERIALS NEEDED FOR  THE REHABILITATION/IMPROVEMENT OF PUBLIC MARKET  The Local Governmen</t>
  </si>
  <si>
    <t xml:space="preserve"> Republic of the Philippines Department of Education Division of LEYTE Government Center, Candahug, Palo, Leyte INVITATION TO BID CY 2020 QUICK RESPONSE FUND_Lot 16 1. The Department of Education (DepEd) Division of Leyte, through the CY 2020 QUICK RESPONS</t>
  </si>
  <si>
    <t xml:space="preserve"> Republic of the Philippines Department of Education Division of LEYTE Government Center, Candahug, Palo, Leyte INVITATION TO BID CY 2020 QUICK RESPONSE FUND_Lot 10 1. The Department of Education (DepEd) Division of Leyte, through the CY 2020 QUICK RESPONS</t>
  </si>
  <si>
    <t xml:space="preserve"> Republic of the Philippines Province of Northern Samar MUNICIPALITY OF PAMBUJAN BIDS AND AWARDS COMMITTEE INVITATION TO BID  FOR THE  SUPPLY AND DELIVERY OF FUEL FOR GOVERNMENT VEHICLES  The Local Government Unit of Pambujan, Province of Northern Samar th</t>
  </si>
  <si>
    <t xml:space="preserve"> Republic of the Philippines Department of Education Division of LEYTE Government Center, Candahug, Palo, Leyte INVITATION TO BID CY 2020 QUICK RESPONSE FUND_Lot 12 1. The Department of Education (DepEd) Division of Leyte, through the CY 2020 QUICK RESPONS</t>
  </si>
  <si>
    <t xml:space="preserve"> Republic of the Philippines Department of Education Division of LEYTE Government Center, Candahug, Palo, Leyte INVITATION TO BID CY 2020 QUICK RESPONSE FUND_Lot 8 1. The Department of Education (DepEd) Division of Leyte, through the CY 2020 QUICK RESPONSE</t>
  </si>
  <si>
    <t xml:space="preserve"> Republic of the Philippines Department of Education Division of LEYTE Government Center, Candahug, Palo, Leyte INVITATION TO BID CY 2020 QUICK RESPONSE FUND_Lot 15 1. The Department of Education (DepEd) Division of Leyte, through the CY 2020 QUICK RESPONS</t>
  </si>
  <si>
    <t xml:space="preserve"> Republic of the Philippines Department of Education Division of LEYTE Government Center, Candahug, Palo, Leyte INVITATION TO BID CY 2020 QUICK RESPONSE FUND_Lot 7 1. The Department of Education (DepEd) Division of Leyte, through the CY 2020 QUICK RESPONSE</t>
  </si>
  <si>
    <t xml:space="preserve"> Republic of the Philippines Province of Northern Samar MUNICIPALITY OF PAMBUJAN BIDS AND AWARDS COMMITTEE INVITATION TO BID  FOR THE  SUPPLY AND DELIVERY OF VARIOUS MATERIALS NEEDED FOR  THE IMPROVEMENT OF SB OFFICE  The Local Government Unit of Pambujan,</t>
  </si>
  <si>
    <t xml:space="preserve"> Republic of the Philippines Department of Education Division of LEYTE Government Center, Candahug, Palo, Leyte INVITATION TO BID CY 2020 QUICK RESPONSE FUND_Lot 9 1. The Department of Education (DepEd) Division of Leyte, through the CY 2020 QUICK RESPONSE</t>
  </si>
  <si>
    <t xml:space="preserve"> Republic of the Philippines Department of Education Division of LEYTE Government Center, Candahug, Palo, Leyte INVITATION TO BID CY 2020 QUICK RESPONSE FUND_Lot 5 1. The Department of Education (DepEd) Division of Leyte, through the CY 2020 QUICK RESPONSE</t>
  </si>
  <si>
    <t xml:space="preserve"> Republic of the Philippines Department of Education Division of LEYTE Government Center, Candahug, Palo, Leyte INVITATION TO BID CY 2020 QUICK RESPONSE FUND_Lot 6 1. The Department of Education (DepEd) Division of Leyte, through the CY 2020 QUICK RESPONSE</t>
  </si>
  <si>
    <t xml:space="preserve"> Contract Labor and Materials for the Expansion of Potable Water System Level III at Prk. 17 &amp; 18, Poblacion Laak, Davao De Oro with an ABC of Php. 920,783.00.</t>
  </si>
  <si>
    <t xml:space="preserve"> Republic of the Philippines Department of Education Division of LEYTE Government Center, Candahug, Palo, Leyte INVITATION TO BID CY 2020 QUICK RESPONSE FUND_Lot 4 1. The Department of Education (DepEd) Division of Leyte, through the CY 2020 QUICK RESPONSE</t>
  </si>
  <si>
    <t xml:space="preserve"> Republic of the Philippines Department of Education Division of LEYTE Government Center, Candahug, Palo, Leyte INVITATION TO BID CY 2020 QUICK RESPONSE FUND_Lot 11 1. The Department of Education (DepEd) Division of Leyte, through the CY 2020 QUICK RESPONS</t>
  </si>
  <si>
    <t xml:space="preserve"> INVITATION TO BID FOR CIVIL WORKS May 28, 2020 1.	The Department of Public Works and Highways (DPWH), Bukidnon Second District Engineering Office, Pinamaloy, Don Carlos, Bukidnon through its Bids and Awards Committee BAC, invites contractors to submit bid</t>
  </si>
  <si>
    <t xml:space="preserve"> Item No.	Description of Articles	Qty.	Unit I. GENERAL REQUIREMENTS	 1.1	Project Billboard	1	LOT 1.2	Occupational Safety and Health Program	1	LOT 1.3	Temporary Facilities / Mobilization / Demobilization	11	LOT II.	Base Preparation	910	SQ.M III.	Portland Ce</t>
  </si>
  <si>
    <t xml:space="preserve"> 1 "Unit(s)" "Motor Vehicle - FB Body 4x2 with Aircon (Euro 4) - Brand  New -" "Specification : * Engine Type : 4-cylinder, turbo-intercooler, common rail direct injection system (CDRi) Diesel Engine * Transmission : Getrag 5 speed manual * Brake : Hydraul</t>
  </si>
  <si>
    <t xml:space="preserve"> INVITATION TO BID  PR NO. 2020-05-58 – PURCHASE OF ICT EQUIPMENT FOR OFFICIAL USE OF DENR-CAR, PENRO MOUNTAIN PROVINCE  The Department of Environment and Natural Resources- PENRO Mountain Province, through its Bids and Awards Committee (BAC) for Goods, in</t>
  </si>
  <si>
    <t xml:space="preserve"> Republic of the Philippines Department of Education Division of LEYTE Government Center, Candahug, Palo, Leyte INVITATION TO BID CY 2020 QUICK RESPONSE FUND_Lot 3 1. The Department of Education (DepEd) Division of Leyte, through the CY 2020 QUICK RESPONSE</t>
  </si>
  <si>
    <t xml:space="preserve"> 20GAE0006: Furnishing and Delivery of Materials for the Repair and Maintenance of Capitol Site Road, K0269+(-597) to K0269+065 The Department of Public Works and Highways-La Union First District Engineering Office, through its Bids and Awards Committee (B</t>
  </si>
  <si>
    <t xml:space="preserve"> 6 "Unit(s)" "8CH Embedded 4K (8MP) Network Video Recorder -" "Third-party network camera supported Up to 8 Megapixels resolution recording Support 1-ch HDMI, 1-ch VGA, HMDI at up to 4k (3840 x2160) resolution 8-ch network cameras with 80M incoming bandwid</t>
  </si>
  <si>
    <t xml:space="preserve"> Issuance of Bid Documents Starts: June 1, 2020 Cost of Bid Document: Php 5,000.00 Venue of Dropping and Opening Bids: BAC Conference Room, Leyte SMED Center, Provincial Capitol Grounds, Tacloban City</t>
  </si>
  <si>
    <t xml:space="preserve"> Contract Labor and Materials for the Expansion of Potable Water System Level III at Brgy. El Katipunan, Laak, Davao De Oro with an ABC of Php. 908,437.75.</t>
  </si>
  <si>
    <t xml:space="preserve"> 1.	The Provincial Government of Davao del Norte, through General Fund Annual Budget CY 2020 hereby invites all interested PhilGEPS registered suppliers to submit bids for the procurement of goods. Bids received in excess of the ABC shall be automatically </t>
  </si>
  <si>
    <t xml:space="preserve"> PLANETARY GEAR</t>
  </si>
  <si>
    <t xml:space="preserve"> Technical Specifications Bidders must state either “Comply” or any equivalent term in the column “Statement of Compliance” against each of the individual parameters of each “Technical Specification”. One (1) unit brand new motor vehicle with an engine dis</t>
  </si>
  <si>
    <t xml:space="preserve"> Brief Description: Perimeter Fence SPECS: Length: 110.0 mts.             Height: 3.00 mts. The significant times and deadlines of procurement activities are shown below:  Activities	Schedule 1. Receipt of LOIs from Prospective Bidders	May 30-June 06, 2020</t>
  </si>
  <si>
    <t xml:space="preserve"> Republic of the Philippines CITY OF SAN PEDRO Province of Laguna BIDS AND AWARDS COMMITTEE INVITATION TO BID The City Government of San Pedro Laguna through the 2020 Budget Approved by Sangguniang Panglungsod intends to apply the sum of Php 4,000,000.00 b</t>
  </si>
  <si>
    <t xml:space="preserve"> Rehabilitation/Expansion of Commercial Building</t>
  </si>
  <si>
    <t xml:space="preserve"> 1. EXCAVATION 2. GROUTED RIPRAP</t>
  </si>
  <si>
    <t xml:space="preserve"> Republic of the Philippines										 Cordillera Administrative Region										 Provincial Government of Kalinga										 										 BIDS AND AWARDS COMMITTEE										 										 Invitation to Bid										 										 1.	The Provincial Government of KA</t>
  </si>
  <si>
    <t xml:space="preserve"> 1. EXCAVATION 2. STONE MASONRY 3. PCCP</t>
  </si>
  <si>
    <t xml:space="preserve"> Section I. Invitation to Bid                                             	Republic of the Philippines                                             Municipality of Kalayaan                                             Province of Palawan 	Bids and Awards Com</t>
  </si>
  <si>
    <t xml:space="preserve"> EGGPLANT 100g 20pcs AMPALAYA 100g 20pcs MUSTARD 1kg 10pcs Okra 1kg 20pcs Pechay 1kg 10pcs Squash 100g 34cans Pepper Finger 50g 10pcs Cabbage 25g 31cans Cucumber 25g 50pcs Tomato 25g 50cans</t>
  </si>
  <si>
    <t xml:space="preserve"> Republic of the Philippines CITY OF SAN PEDRO Province of Laguna BIDS AND AWARDS COMMITTEE INVITATION TO BID The City Government of San Pedro Laguna through the 2020 CDC Budget Approved by Sangguniang Panglungsod intends to apply the sum of Php 2,698,167.</t>
  </si>
  <si>
    <t xml:space="preserve"> Issuance of Bid Documents Starts: June 1, 2020 Cost of Bid Document: Php 3,500.00 Venue of Dropping and Opening Bids: BAC Conference Room, Leyte SMED Center, Provincial Capitol Grounds, Tacloban City</t>
  </si>
  <si>
    <t xml:space="preserve"> Issuance of Bid Documents Starts: June 1, 2020 Cost of Bid Document: Php 3,000.00 Venue of Dropping and Opening Bids: BAC Conference Room, Leyte SMED Center, Provincial Capitol Grounds, Tacloban City</t>
  </si>
  <si>
    <t xml:space="preserve"> Republic of the Philippines Province of South Cotabato BIDS AND AWARDS COMMITTEE Salada Street, Poblacion Tupi, South Cotabato Tel. Fax No.: (083) 226-1045 INVITATION TO BID FOR THE SUPPLY AND DELIVERY OF ONE (1) UNIT ASIAN UTILITY VEHICLE (AUV) 1.	The Mu</t>
  </si>
  <si>
    <t xml:space="preserve"> 1.	The Municipal Government of El Nido, through the Continuing Appropriation 2018 - 70% CF intends to apply the sum of Three Million Three Hundred Thousand Pesos (P 3,300,000.00) being the Approved Budget for the Contract (ABC) to payments for the Constru</t>
  </si>
  <si>
    <t xml:space="preserve"> Republic of the Philippines City of Dapitan BIDS AND AWARDS COMMITTEE INVITATION TO BID May 29, 2020 	 The City Government of Dapitan, through its Bids and Awards Committee (BAC), invites interested parties to apply for eligibility and, if found eligible,</t>
  </si>
  <si>
    <t xml:space="preserve"> OSPITAL NG PALAWAN Invitation to Bid for Construction of Various Infrastructure Projects and Building Maintenance (Repainting) – Rebid  1	The OSPITAL NG PALAWAN was allocated with funds under the Trust Fund Capital Outlay intends to apply the sum of Eight</t>
  </si>
  <si>
    <t xml:space="preserve"> Issuance of Bid Documents Starts: June 1, 2020 Cost of Bid Document: Php 4,500.00 Venue of Dropping and Opening Bids: BAC Conference Room, Leyte SMED Center, Provincial Capitol Grounds, Tacloban City</t>
  </si>
  <si>
    <t xml:space="preserve"> Construction of Mini Gym at Brgy. Tarug, Alimodian Iloilo</t>
  </si>
  <si>
    <t xml:space="preserve"> SULTAN KUDARAT STATE UNIVERSITY 2nd Floor, Bids and Awards Committee Office  ACCESS, E.J.C. Montilla, Tacurong City INVITATION TO BID FOR SUPPLY / DELIVERY OF IN-SITU WATER QUALITY MONITORING CABLES AND WATER QUALITY PARAMETER SENSOR FOR RESEARCH PROJECT </t>
  </si>
  <si>
    <t xml:space="preserve"> 1.	The Municipal Government of El Nido, through the General Fund intends to apply the sum of One Million Five Hundred Thousand Pesos (₱ 1,500,000.00) being the Approved Budget for the Contract (ABC) to payments for the here under Procurement and Delivery </t>
  </si>
  <si>
    <t xml:space="preserve"> Republic of the Philippines PROVINCE OF CAMARINES SUR BIDS AND AWARDS COMMITTEE ITB No. 029-06-2020 INVITATION TO BID  	The Provincial Government of Camarines Sur (PGCS) through its Bids and Awards Committee (BAC) invites suppliers/manufacturers/distribut</t>
  </si>
  <si>
    <t xml:space="preserve"> 1 "Unit(s)" "Motor Vehicles - Pick- Up, 4x2  Specification : Transmission Type : Manual Engine Size : 2.4 L Displacement : 2,393 cc Number of Cylinders : 4 Number of Valves : 16 Transmission Category : 6-speed manual transmission Power Train : 4x2 Max out</t>
  </si>
  <si>
    <t xml:space="preserve"> Republic of the Philippines Province of Negros Occidental CITY OF TALISAY INVITATION TO BID  Road Concreting located at Purok Talong Barangay                  Dos Hermanas  1.	The City of Talisay, through the 20% CDF 2020 intends to apply the sum of Two M</t>
  </si>
  <si>
    <t xml:space="preserve"> The Local Government Unit – Quinapondan, Eastern Samar, through its Bids &amp; Awards Committee (BAC ), intends to apply the sum of One Million Pesos (Php. 1,000,000.00) under Annual Budget Appropriation Ordinance, series of 2020, being the Approved Budget fo</t>
  </si>
  <si>
    <t xml:space="preserve"> 1.	The Municipal Government of El Nido, through the Continuing Appropriation 2017 - 20% DF Resolution # 20-061 intends to apply the sum of One Million Pesos (P 1,000,000.00) being the Approved Budget for the Contract (ABC) to payments for the Construction</t>
  </si>
  <si>
    <t xml:space="preserve"> INVITATION TO BID FOR THE PROCUREMENT AND DELIVERY OF TWO (2) UNITS SEWER TRUCK  1.	The Municipal Government of El Nido, through the Water and Septage Fund Supplemental # 1 2020 intends to apply the sum of Twelve Million Two Hundred Thousand Pesos (₱ 12,2</t>
  </si>
  <si>
    <t xml:space="preserve"> Installation of Traffic Signs, Speed Limit and Warning Signs</t>
  </si>
  <si>
    <t xml:space="preserve"> 1. EXCAVATION 2. STONE MASONRY</t>
  </si>
  <si>
    <t xml:space="preserve"> 1. ROAD EXCAVATION(WIDENING) 2. SUBGRADE PREPARATION 3. AGGREGATE BASE COURSE 4.PCCP 150 MM THK. 5. STONE MASONRY  6.BILLBOARD</t>
  </si>
  <si>
    <t xml:space="preserve"> Republic of the Philippines										 	Office of the Municipal Mayor										 	BIDS AND AWARDS COMMITTEE										 	Binmaley, Pangasinan										 											 	Invitation to Bid										 	 for 										 	Concreting of Barangay Road in  Nagpalangan					</t>
  </si>
  <si>
    <t xml:space="preserve"> INVITATION TO BID The Department of Public Works and Highways (DPWH) of Cotabato City District Engineering Office (CCDEO), 008 Ramon Rabago Sr. Street, Cotabato City, through its Bids and Awards Committee (BAC), invites contractors to apply to bid for the</t>
  </si>
  <si>
    <t xml:space="preserve"> 1. EXCAVATION 2. GRAVEL BEDDING 3. CONCRETING 4. STEEL WORKS 5. LAYING OF CHB 6. PLASTERING 7. BACKFILL 8. TRANSHIPMENT OF MATERIALS</t>
  </si>
  <si>
    <t xml:space="preserve"> Issuance of Bid Documents Starts: June 1, 2020 Cost of Bid Document: Php 2,500.00 Venue of Dropping and Opening Bids: BAC Conference Room, Leyte SMED Center, Provincial Capitol Grounds, Tacloban City</t>
  </si>
  <si>
    <t xml:space="preserve"> The Department of Environment and Natural Resources (DENR) XII PENRO Cotabato, Kidapawan City, through its Bids and Awards Committee (BAC), invites all prospective bidders to apply for eligibility and subsequently bid for: 1. Name of Project: SUPPLY OF IC</t>
  </si>
  <si>
    <t xml:space="preserve"> Issuance of Bid Documents Starts: June 1, 2020 Cost of Bid Document: Php 2,000.00 Venue of Dropping and Opening Bids: BAC Conference Room, Leyte SMED Center, Provincial Capitol Grounds, Tacloban City</t>
  </si>
  <si>
    <t xml:space="preserve"> Republic of the Philippines Province of Negros Occidental CITY OF TALISAY INVITATION TO BID  Road Concreting located at Existing PCCP of Julio Mapa-Lanotan Ledesma - Dos Hermanas to Hacienda Pilar, Barangay Katilingban 1.	The City of Talisay, through the </t>
  </si>
  <si>
    <t xml:space="preserve"> Contract Labor and Materials for the Expansion of Potable Water System Level III at Brgy. Concepcion, Laak, Davao De Oro with an ABC of Php. 998,939.65.</t>
  </si>
  <si>
    <t xml:space="preserve"> Republic of the Philippines Department of Education Division of LEYTE Government Center, Candahug, Palo, Leyte INVITATION TO BID CY 2020 QUICK RESPONSE FUND_Lot 2 1. The Department of Education (DepEd) Division of Leyte, through the CY 2020 QUICK RESPONSE</t>
  </si>
  <si>
    <t xml:space="preserve"> Republic of the Philippines 	DEPARTMENT OF PUBLIC WORKS AND HIGHWAYS 	ILOILO 3RD 	DISTRICT ENGINEERING OFFICE 	REGIONAL OFFICE VI 	Barotac Viejo, Iloilo INVITATION TO BID The DPWH Iloilo 3rd District Engineering Office, through its Bids and Awards Committ</t>
  </si>
  <si>
    <t xml:space="preserve"> REPUBLIC OF THE PHILIPPINES PROVINCE OF RIZAL MUNICIPALITY OF ANGONO Invitation to Bid for  DREDGING/DESILTATION OF ANGONO RIVER (SN-SV) The Municipality of Angono, through the 20% Development Fund intends to apply the sum of One million, nine hundred for</t>
  </si>
  <si>
    <t xml:space="preserve"> Bid-Opening-June 23, 2020 at 2:00 P.m. at Municipal Conference Room</t>
  </si>
  <si>
    <t xml:space="preserve"> Contract Labor and Materials for the Expansion of Potable water System Level III at Brgy. Kiokmay, Laak, Davao De Oro with an ABC of Php. 900,924.75.</t>
  </si>
  <si>
    <t xml:space="preserve"> Contract Labor and Materials for the Expansion of Potable Water System Level III at Prk. 14, Poblacion Laak, Davao De Oro with an ABC of Php. 902,018.45.</t>
  </si>
  <si>
    <t xml:space="preserve"> Security Services</t>
  </si>
  <si>
    <t xml:space="preserve"> Contract Labor and Materials for the Expansion of Potable Water System at Prk. 6, 7, 8 &amp; 9, Poblacion Laak, Davao De Oro with an ABC of Php. 2,084,918.90.</t>
  </si>
  <si>
    <t xml:space="preserve"> Republic of the Philippines Department of Health SOUTHERN ISABELA MEDICAL CENTER Hospital Bids and Awards Committee Brgy. Rosario, Santiago City Philippines ITB NO. 2020-05-008 INVITATION TO BID FOR THE  PROJECT: SUPPLY AND DELIVERY OF DERMATOLOGY EQUIPME</t>
  </si>
  <si>
    <t xml:space="preserve"> Republic of the Philippines Province of Ilocos Norte MUNICIPALITY OF CURRIMAO INVITATION TO BID FOR  MATERIALS FOR BACKFILLING AT FISH MARKET 1.	The Municipality of Currimao  intends to apply the sum of [One Hundred Seventy Three Thousand One Hundred Sixt</t>
  </si>
  <si>
    <t xml:space="preserve"> Invitation to Bid for the Refurbishment/Upgrading of Old and Existing Buildings (FM &amp; Water Refilling Station) 1.	The DEBESMSCAT through the GAA 2020 - CO  intends to apply the sum of Three Million Four Hundred Thirty Thousand Seven Hundred Five Pesos and</t>
  </si>
  <si>
    <t xml:space="preserve"> Republic of the Philippines Department of Education Division of LEYTE Government Center, Candahug, Palo, Leyte INVITATION TO BID CY 2020 QUICK RESPONSE FUND_Lot 1 1. The Department of Education (DepEd) Division of Leyte, through the CY 2020 QUICK RESPONSE</t>
  </si>
  <si>
    <t xml:space="preserve"> Invitation to Bid for the Refurbishment/Upgrading of Old and Existing Buildings (Hostel to be Converted to Clinic Infirmary) 1.	The DEBESMSCAT through the GAA 2020 - CO  intends to apply the sum of Nine Million Five Hundred Thirty-Seven Thousand Fifty-Sev</t>
  </si>
  <si>
    <t xml:space="preserve"> INVITATION TO BID FOR  SUPPLY &amp; DELIVERY OF OTHER EQUIPMENTS, DEVICES, TOOLS, FURNITURE &amp; FIXTURES, BOOKS AND OTHER PPE FOR FY2020</t>
  </si>
  <si>
    <t xml:space="preserve"> Issuance of Bid Documents Starts: June 1, 2020 Cost of Bid Document: Php 1,500.00 Venue of Dropping and Opening Bids: BAC Conference Room, Leyte SMED Center, Provincial Capitol Grounds, Tacloban City</t>
  </si>
  <si>
    <t xml:space="preserve"> Specifications:  Fuel Type: Diesel  No.Cylinder: 4  Engine Size/Displacement: 2,488  Max. Power (Ps): 129  Engine Type (VGS): 3  Transmission Type: 5-speed Manual</t>
  </si>
  <si>
    <t xml:space="preserve"> Republic of the Philippines PROVINCE OF CAGAYAN MUNICIPALITY OF CLAVERIA INVITATION TO BID  									May 28, 2020 	The Local Government Unit of Claveria, Cagayan through the General Fund would like to apply the sum of One Million Five Hundred Ninety Two T</t>
  </si>
  <si>
    <t xml:space="preserve"> Republic of the Philippines Department of Health SOUTHERN ISABELA MEDICAL CENTER Hospital Bids and Awards Committee Brgy. Rosario, Santiago City Philippines ITB NO. 2020-05-009 INVITATION TO BID FOR THE  PROJECT: SUPPLY AND DELIVERY OF OBSTETRICS/GYNECOLO</t>
  </si>
  <si>
    <t xml:space="preserve"> Project Reference No.: 7009986 Solicitation No.:  ITB-111-2020 Contract No  INVITATION TO BID FOR THE SUPPLY AND DELIVERY OF 2,877 BAGS VERMICAST FOR DISTRIBUTION TO  CALABARZON FARMERS UNDER RICE PROGRAM CY 2020   1.	The Department of Agriculture Regiona</t>
  </si>
  <si>
    <t xml:space="preserve"> 1 UNIT SUV Specifications: Engine Type: 4 Cylinder In-line type DOHC, 16-Valve Displacement: 2755 cc Maximum Output: 176Hp/3400 RPM Maximum Torque: 450Nm/ 1,600 ~ 2,400 RPM Fuel System: Common-rail Type fuel Transmission: 6 Speed Automatic Emission: Euro </t>
  </si>
  <si>
    <t xml:space="preserve"> Issuance of Bid Documents Starts: June 1, 2020 Cost of Bid Document: Php 25,000.00 Venue of Dropping and Opening Bids: BAC Conference Room, Leyte SMED Center, Provincial Capitol Grounds, Tacloban City</t>
  </si>
  <si>
    <t xml:space="preserve"> Issuance of Bid Documents Starts: June 1, 2020 Cost of Bid Document: Php 1,000.00 Venue of Dropping and Opening Bids: BAC Conference Room, Leyte SMED Center, Provincial Capitol Grounds, Tacloban City</t>
  </si>
  <si>
    <t xml:space="preserve"> Construction of pathway with diamention of 90m x1m x 100mm thick</t>
  </si>
  <si>
    <t xml:space="preserve"> INVITATION TO BID The Department of Public Works and Highways (DPWH), Laguna III District Engineering Office San Pablo City Region IV-A, through its Bids and Awards Committee (BAC), invites Contractors to submit bids for the following Contract: Contract I</t>
  </si>
  <si>
    <t xml:space="preserve"> INVITATION TO BID The DPWH Bukidnon 1st District Engineering Office, Malaybalay City, through its Bids and Awards Committee (BAC), invites contractors to submit bids for the following Contracts:   			 7	Contract ID 	:	20KA0141 	Contract Name 	:	Paving of </t>
  </si>
  <si>
    <t xml:space="preserve"> 16 "Pail(s)" "Engine Oil SAE 15W40 (20 LTRS/PAILS) -" "" 16 "Piece(s)" "Lubricating Oil Filter # T64101001 -" "" 8 "Piece(s)" "Secondary Fuel Filter #T64101003 -" "" 8 "Piece(s)" "Primary Fuel Filter #T6410200ZA -" "" 6 "Piece(s)" "Lubricating Oil Filter </t>
  </si>
  <si>
    <t xml:space="preserve"> INVITATION TO BID FOR Supply and Delivery of Global Navigation Satellite System (GNSS) Equipment for use in the Pre-Detailed Engineering Activities of Personnel Under Planning and Design Section, DPWH-LU 1st DEO, Lingsat, City of San Fernando, La Union Th</t>
  </si>
  <si>
    <t xml:space="preserve"> INVITATION TO BID The DPWH Bukidnon 1st District Engineering Office, Malaybalay City, through its Bids and Awards Committee (BAC), invites contractors to submit bids for the following Contracts:   			 4	Contract ID 	:	20KA0138 	Contract Name 	:	Constructi</t>
  </si>
  <si>
    <t xml:space="preserve"> INVITATION TO BID The DPWH Bukidnon 1st District Engineering Office, Malaybalay City, through its Bids and Awards Committee (BAC), invites contractors to submit bids for the following Contracts:   			 5	Contract ID 	:	20KA0139 	Contract Name 	:	Road Widen</t>
  </si>
  <si>
    <t xml:space="preserve"> INVITATION TO BID The DPWH Bukidnon 1st District Engineering Office, Malaybalay City, through its Bids and Awards Committee (BAC), invites contractors to submit bids for the following Contracts:   			 2	Contract ID 	:	20KA0136 	Contract Name 	:	Paving of </t>
  </si>
  <si>
    <t xml:space="preserve"> INVITATION TO BID The DPWH Bukidnon 1st District Engineering Office, Malaybalay City, through its Bids and Awards Committee (BAC), invites contractors to submit bids for the following Contracts:   			 6	Contract ID 	:	20KA0140 	Contract Name 	:	Paving of </t>
  </si>
  <si>
    <t xml:space="preserve"> The Local Government Unit of Quinapondan, Eastern Samar through the Department of Agriculture under the YRRP funds has received an amount toward the cost of the Supply and Delivery of Fertilizers in support to the Corn and Corn-Based Farming System/YRRP F</t>
  </si>
  <si>
    <t xml:space="preserve"> INVITATION TO BID The DPWH Bukidnon 1st District Engineering Office, Malaybalay City, through its Bids and Awards Committee (BAC), invites contractors to submit bids for the following Contracts:   			 3	Contract ID 	:	20KA0137 	Contract Name 	:	Paving of </t>
  </si>
  <si>
    <t xml:space="preserve"> INVITATION TO BID FOR Supply, Delivery and Installation of Design Software for use in the Pre-Detailed Engineering (PDE) Activities of Personnel under Planning and Design Section, DPWH-LU 1st DEO, Lingsat, City of San Fernando, La Union The Department of </t>
  </si>
  <si>
    <t xml:space="preserve"> INVITATION TO BID The DPWH Bukidnon 1st District Engineering Office, Malaybalay City, through its Bids and Awards Committee (BAC), invites contractors to submit bids for the following Contracts:   1	Contract ID 	:	20KA0135 	Contract Name 	:	Road Widening </t>
  </si>
  <si>
    <t xml:space="preserve"> ITEM NO.	UNIT		QTY		DESCRIPTION		 							 1	 unit 		1		Wheel Loader		 					Engine		 					 Power:92kw 		 					Number of Cylinder:6		 					 Displacement:6.49L 		 					 Transmission 		 					 Type:Counter shaft,constant Mesh, Power shift 		 					 Torque conve</t>
  </si>
  <si>
    <t xml:space="preserve"> Extension of Warranty for three (3) years for the following devices Master switch – Core Function Cisco Catalyst 3850 24 ports Data IP Services with redundant power supply 2X10GE Network Module, 	1 unit	Model: Cisco WS-C3850-24T-E SN: FOC1830U0U2 Distribu</t>
  </si>
  <si>
    <t xml:space="preserve"> CONCRETING OF SITIO MINUWA BARANGAY POBLACION FMR Contract Location:                    Barangay Poblacion Licuan-Baay, Abra Brief Description:                     Concreting of Road using PCCP (Unreinforced, 0.20m thk.,) The DPWH-Abra District Engineerin</t>
  </si>
  <si>
    <t xml:space="preserve"> INVITATION TO BID PROCUREMENT OF VARIOUS MEDICAL EQUIPMENT (PROCUREMENT OF ELECTRIC OPERATING ROOM TABLE) IB NO. 2020-12(2) The Schistosomiasis Hospital through the Bids and Awards Committee (BAC) invites suppliers to bid for the hereunder project: SN	Pro</t>
  </si>
  <si>
    <t xml:space="preserve"> Republic of the Philippines Province of Misamis Oriental  Municipality of Sugbongcogon Invitation to Apply for Eligibility and to Bid for the Supply and Delivery of Materials for Water Source Development of Sugbongcogon Water System  ITB NO. 2020-05-002 1</t>
  </si>
  <si>
    <t xml:space="preserve"> CONVERGENCE AND SPECIAL SUPPORT PROGRAM-CONSTRUCTION/IMPROVEMENT OF ACCESS ROADS LEADING TO DECLARED TOURISM DESTINATIONS, QUIRSODAN-BAQUERO TO PANACLISAN RIVER AND ROCK FORMATION Contract Location:          Licuan-Baay, Abra Brief Description:           </t>
  </si>
  <si>
    <t xml:space="preserve"> ITEM UNIT DESCRIPTION QNTY</t>
  </si>
  <si>
    <t xml:space="preserve"> Republic of the Philippines Office of the Municipal Mayor BIDS AND AWARDS COMMITTEE Binmaley, Pangasinan 						 Invitation to Bid  for  Completion of Multi-Purpose Building at Binmaley Central School  Binmaley, Pangasinan 						 1.	The  Municipal  Governm</t>
  </si>
  <si>
    <t xml:space="preserve"> To All Eligible Bidders; Please quote your lowest price on the items listed below, subject to the General Condition stated herein and submit the same to the Office of the BAC-Secretariat on or before June 10, 2020 at 10:00 o'clock in the morning. (SGD.) W</t>
  </si>
  <si>
    <t xml:space="preserve"> INVITATION TO BID PROCUREMENT OF VARIOUS MEDICAL EQUIPMENT (PROCUREMENT OF 4D ULTRASOUND MACHINE) IB NO. 2020-12 (1) The Schistosomiasis Hospital through the Bids and Awards Committee (BAC) invites suppliers to bid for the hereunder project: SN	Project Ti</t>
  </si>
  <si>
    <t xml:space="preserve"> Paving of Unpaved Road ( Construction of 280mm thk PCCP)</t>
  </si>
  <si>
    <t xml:space="preserve"> pipeline installation, transmission line, mains, and sub mains, and other works covers 17914 lm in barangays Mabini, Apoc-apoc and Magsaysay</t>
  </si>
  <si>
    <t xml:space="preserve"> 1. 6 PCS WOODEN LEGISLATIVE TABLE(L-2.40M;W-0.30M;H-0.75M;PAINTED) 2. 12 PCS EXECUTIVE CHAIR 3. 9 PCS WOODEN OFFICE TABLE WITH THREE(3) DRAWER COMPARTMENTS(L-0.90M;H-0.75M;W-0.75M) 4. 2 PCS WOODEN DIVIDER CABINET WITH 12 COMPARTMENTS (L-2.40M;H-1.20M;W-0.</t>
  </si>
  <si>
    <t xml:space="preserve"> CONCRETING OF BARANGAY BUNEG FMR, BARANGAY BUNEG, LACUB, ABRA Contract Location:                     Barangay Buneg, Lacub, Abra Brief Description:                      Concreting of Road using PCCP (Unreinforced, 0.20m thk.,) The DPWH-Abra District Engin</t>
  </si>
  <si>
    <t xml:space="preserve"> This project is for the improvement of the barangay road located at Barangay Dawa, Josefina, Zamboanga del Sur.</t>
  </si>
  <si>
    <t xml:space="preserve"> INVITATION TO BID FOR SUPPLY, DELIVERY AND INSTALLATION OF INREMP-SSF NO. 05-ESTABLISHMENT OF POST-HARVEST FACILITY FOR NEW EDEN COOPERATIVE(2020-05-005) 1.	The Government of the Philippines (GOP) has received a Loan from the Asian Development Bank toward</t>
  </si>
  <si>
    <t xml:space="preserve"> Invitation to Bid for Foreign-Assisted Projects INVITATION TO BID FOR SUPPLY, DELIVERY AND INSTALLATION OF INREMP-SSF NO. 02- SUPPLY, DELIVERY AND INSTALLATION OF INREMP-SSF NO. 02-CACAO ALL-WEATHER SOLAR TUNNEL DRYER W/ FERMENTATION BOXES (CAWSTD) FOR BA</t>
  </si>
  <si>
    <t xml:space="preserve"> Republic of the Philippines PROVINCE OF CAGAYAN MUNICIPALITY OF CLAVERIA INVITATION TO BID  									May 28, 2020 	The Local Government Unit of Claveria, Cagayan from the CY 2020 Mayor’s Office Capital Outlay of the Municipality of Claveria, Cagayan, woul</t>
  </si>
  <si>
    <t xml:space="preserve"> Invitation to Bid for Foreign-Assisted Projects INVITATION TO BID FOR SUPPLY, DELIVERY AND INSTALLATION OF INREMP-SSF NO. 04-ESTABLISHMENT OF SOLAR DRYERS FOR KAUSWAGAN UTAH SAN VICENTE SINASAAN FARMERS ASSOCIATION (KUSSFARMA)(2020-05-004) 1.	The Governme</t>
  </si>
  <si>
    <t xml:space="preserve"> The Sangguniang Barangay of Buhatan intends to apply the sum of One Million One Hundred six Thousand Five Hundred Eighty Three Pesos Only (Php1,106,583.00) being the Approved Budget for the Contract (ABC) to payments for the. 1.	Use under Contract No. PGS</t>
  </si>
  <si>
    <t xml:space="preserve"> Republic of the Philippines Province of Leyte Municipality of Kananga BARANGAY LIM-AO BIDS AND AWARDS COMMITTEE Invitation to Bid for Construction of Multi-Purpose Environment Protection Building for Socio-Economic and Health Enhancement Activity @ Brgy.L</t>
  </si>
  <si>
    <t xml:space="preserve"> Invitation to Bid for  Construction of Cabugnayan Dike, San Juan, La Union 1.	The Provincial Government of La Union, through the RA7171 intends to apply the sum of ₱4,387,500.00 being the Approved Budget for the Contract (ABC) to payments under the contra</t>
  </si>
  <si>
    <t xml:space="preserve"> Invitation to Bid for  Construction of Sanitary Landfill Cell, Sto. Tomas, La Union 1.	The Provincial Government of La Union, through the RA7171 intends to apply the sum of ₱8,000,000.00 being the Approved Budget for the Contract (ABC) to payments under t</t>
  </si>
  <si>
    <t xml:space="preserve"> installation of 465 solar streetlights</t>
  </si>
  <si>
    <t xml:space="preserve"> Please download ITB and Checklist in the Associated Components.</t>
  </si>
  <si>
    <t xml:space="preserve"> Invitation to Bid for Foreign-Assisted Projects INVITATION TO BID FOR SUPPLY, DELIVERY AND INSTALLATION OF INREMP-SSF NO. 06-PROVISION OF COFFEE ALL-WEATHER SOLAR DRYER WITH BUILT IN DEHUMIDIFIERS AND MOISTURE METER FOR THE MILALITTRA FARMERS’S AGRICULTUR</t>
  </si>
  <si>
    <t xml:space="preserve"> Invitation to Bid for  Construction of  Farmers Multi-Purpose Center, Las-ud, Caba, La Union 1.	The Provincial Government of La Union, through the RA7171 intends to apply the sum of ₱3,900,000.00 being the Approved Budget for the Contract (ABC) to payment</t>
  </si>
  <si>
    <t xml:space="preserve"> Invitation to Bid for Foreign-Assisted Projects INVITATION TO BID FOR SUPPLY, DELIVERY AND INSTALLATION OF INREMP-SSF NO. 03-CACAO ALL-WEATHER SOLAR TUNNEL DRYER W/ FERMENTATION BOXES (CAWSTD) FOR BUYOT UPLAND FARMERS ASSOCIATION, INC.(BUFA)(2020-05-003) </t>
  </si>
  <si>
    <t xml:space="preserve"> Invitation to Bid for  Completion of Catbangen Central School Covered Court, San Fernando City, La Union 1.	The Provincial Government of La Union, through the RA7171 intends to apply the sum of ₱1,500,000.00 being the Approved Budget for the Contract (ABC</t>
  </si>
  <si>
    <t xml:space="preserve"> Invitation to Bid for Foreign-Assisted Projects INVITATION TO BID FOR SUPPLY, DELIVERY AND INSTALLATION OF INREMP-SSF NO. 07-ESTABLISHMENT OF COFFEE POST HARVEST FACILITY FOR PORTULIN TALAANDIG TRIBAL ASSOCIATION, INC. (PTTAI) (2020-05-007) 1.	The Governm</t>
  </si>
  <si>
    <t xml:space="preserve"> Invitation to Bid for  Construction of Farmers Multi-Purpose Center, Santiago Sur, Caba, La Union 1.	The Provincial Government of La Union, through the RA7171 intends to apply the sum of ₱3,900,000.00 being the Approved Budget for the Contract (ABC) to pa</t>
  </si>
  <si>
    <t xml:space="preserve"> Republic of the Philippines Province of Misamis Oriental MUNICIPALITY OF BINUANGAN OFFICE OF THE BIDS AND AWARDS COMMITTEE (BAC) 9008 POBLACION, BINUANGAN, MISAMIS ORIENTAL INVITATION TO BID The Local Government Unit (LGU) of Binuangan, through its Bids a</t>
  </si>
  <si>
    <t xml:space="preserve"> Republic of the Philippines PROVINCE OF NORTHERN SAMAR BIDS AND AWARDS COMMITTEE Catarman Invitation to Bid NS-05-29-20-01 Repair/Restoration of Portion of Old Capitol Building to be Used as Temporary Stock Room of PGSO Warehouse Brgy. Dalakit, Catarman, </t>
  </si>
  <si>
    <t xml:space="preserve"> Republic of the Philippines Province of Davao Occidental MUNICIPALITY OF SARANGANI Invitation to Bid CONSTRUCTION OF BOX CULVERT CREEK 3 TORANG, CAMALIG, (8000-2-2-10), SARANGANI, DAVAO OCCIDENTAL. The Municipality of Sarangani, through 20% Devt.  Fund fo</t>
  </si>
  <si>
    <t xml:space="preserve"> Republic of the Philippines PROVINCE OF SIQUIJOR Capitol, Bldg., Pulangyuta, Siquijor, Siquijor INVITATION TO BID FOR Supply and Delivery of Hospital Bed, 2 Cranks with IV Pole with Mattress 1.	The Province of Siquijor, through the IPHO Medical Equipment,</t>
  </si>
  <si>
    <t xml:space="preserve"> Republic of the Philippines Province of Davao Occidental MUNICIPALITY OF SARANGANI Invitation to Bid ROAD CONCRETING (DOUBLE LANE) BULAWAN ST., MABILA, (8000-2-2-14), SARANGANI, DAVAO OCCIDENTAL. The Municipality of Sarangani, through 20% Devt.  Fund for </t>
  </si>
  <si>
    <t xml:space="preserve"> Republic of the Philippines Province of Davao Occidental MUNICIPALITY OF SARANGANI Invitation to Bid CONSTRUCTION OF BOX CULVERT CREEK 2 TORANG, CAMALIG, (8000-2-2-9), SARANGANI, DAVAO OCCIDENTAL. The Municipality of Sarangani, through 20% Devt.  Fund for</t>
  </si>
  <si>
    <t xml:space="preserve"> 1.	The Department of Social Welfare and Development – Field Office Caraga, through the General Appropriations Act 2020 – Capital Outlay intends to apply the sum of One Million Seven Hundred Seventy Seven Thousand Nine Hundred Nine Pesos Only (PhP1,777,909</t>
  </si>
  <si>
    <t xml:space="preserve"> Republic of the Philippines  DEPARTMENT OF PUBLIC WORKS AND HIGHWAYS MISAMIS ORIENTAL 2nd DISTRICT ENGINEERING OFFICE Region X Balase Street, El Salvador City      INVITATION TO BID    The Misamis Oriental 2 nd District Engineering Office , through its Bi</t>
  </si>
  <si>
    <t xml:space="preserve"> INVITATION TO BID FOR THE    CONTRACT ID: 20-05-083  Contract Name: PROCUREMENT OF FAMILY PLANNING COMMODITIES  Approved Budget for the Contract (ABC) : Php      4,696,400.00    1. The DOH-Zamboanga Peninsula - Center for Health Development , through the </t>
  </si>
  <si>
    <t xml:space="preserve"> IMPROVEMENT OF AKADCHANG WATER SYSTEM</t>
  </si>
  <si>
    <t xml:space="preserve"> 2 units - Hemodialysis Machine, 4008-S Conventional Hemodialysis Inclusions per Unit      1 unit AVR      1 pc. Filter (Diasafe) with 1 Medical Recliner</t>
  </si>
  <si>
    <t xml:space="preserve"> Republic of the Philippines Province of Misamis Oriental MUNICIPALITY OF BINUANGAN OFFICE OF THE BIDS AND AWARDS COMMITTEE (BAC) 9008 POBLACION, BINUANGAN, MISAMIS ORIENTAL  INVITATION TO BID The Local Government Unit (LGU) of Binuangan, through its Bids </t>
  </si>
  <si>
    <t xml:space="preserve"> Republic of the Philippines Province of Davao Occidental MUNICIPALITY OF SARANGANI Invitation to Bid CATERING SERVICES (Meals &amp; Snacks) Formulation of Comprehensive Development Plan (CDP), Comprehensive Land Use Plan (CLUP) Plan, Municipal Disaster Risk R</t>
  </si>
  <si>
    <t xml:space="preserve"> Republic of the Philippines Bangsamoro Autonomous Region in Muslim Mindanao MUNICIPALITY OF BULDON Province of Maguindanao INVITATION TO BID FOR SUPPLIES AND MATERIALS FOR THE CONSTRUCTION OF MUNICIPAL TOURISM BUILDING 1.	The Municipal Government of Buldo</t>
  </si>
  <si>
    <t xml:space="preserve"> 40,000 liters - Diesel</t>
  </si>
  <si>
    <t xml:space="preserve"> INVITATION TO BID The DPWH-Bataan 2nd District Engineering Office, through its Bids and Awards Committee (BAC) for Goods, invites suppliers to submit bids for the following Contract: Contract ID	:	20GCB0002 Contract Name	:	Procurement of Materials (Pen. A</t>
  </si>
  <si>
    <t xml:space="preserve"> 1.	The Department of Social Welfare and Development – Field Office Caraga, through the General Appropriations Act 2020 – Capital Outlay intends to apply the sum of One Million Eight Hundred Twenty Thousand Nine Hundred Fourteen Pesos Only (PhP1,820,914.00</t>
  </si>
  <si>
    <t xml:space="preserve"> INVITATION TO BID The DPWH-Bataan 2nd District Engineering Office, through its Bids and Awards Committee (BAC) for Goods, invites suppliers to submit bids for the following Contract: Contract ID	:	20GCB0001 Contract Name	:	Procurement of Emulsified Asphal</t>
  </si>
  <si>
    <t xml:space="preserve"> Republic of the Philippines	 	Office of the Municipal Mayor	 	BIDS AND AWARDS COMMITTEE	 	Binmaley, Pangasinan	 												 	Invitation to Bid	 	 for 	 	CONSTRUCTION OF SANITARY TOILET WITH HYGIENE FACILITIES FOR	 	PUBLIC PLACES IN SALAPINGAO	 										</t>
  </si>
  <si>
    <t xml:space="preserve"> Republic of the Philippines Province of Batangas Municipality of San Nicolas Invitation to Bid for the Local Access Road at  Brgy. Bancoro, San Nicolas, Batangas 1.	The MUNICIPALITY OF SAN NICOLAS, through the LGSF – AM 2019 intends to apply the sum of  S</t>
  </si>
  <si>
    <t xml:space="preserve"> REPAIR/MAINTENANCE OF PUBLIC BUILDINGS</t>
  </si>
  <si>
    <t xml:space="preserve"> CONSTRUCTION OF FILANG FOOTBRIDGE</t>
  </si>
  <si>
    <t xml:space="preserve"> Republic of the Philippines Province of Davao Occidental MUNICIPALITY OF SARANGANI Invitation to Bid PROCUREMENT OF LAPTOP, DRONE &amp; GPS DEVICE  Formulation of Comprehensive Development Plan (CDP), Comprehensive Land Use Plan (CLUP) Plan, Municipal Disaste</t>
  </si>
  <si>
    <t xml:space="preserve"> BRAND NEW 4 WHEELER DOUBLE CAB    LIGHT TRUCK , DROP SIDE WITH HARD TOP     CANOPY AND AIRCON   Engine Type:    4 cylinder,Turbo-Intercooler, Common Rail Direct   Injection System, Diesel Engine   Displacement:2771 cc   Emission : Euro IV   Max Torque (Nm</t>
  </si>
  <si>
    <t xml:space="preserve"> INVITATION TO BID FOR SUPPLY AND DELIVERY OF DESKTOP AND LAPTOP COMPUTERS  1.	The DENR PENRO – Oriental Mindoro, through the RA 11465, GAA 20201 intends to apply the sum of One Million One Hundred Twenty Thousand Pesos (₱1,120,000.00) being the Approved B</t>
  </si>
  <si>
    <t xml:space="preserve"> INVITATION TO BID FOR THE PROCUREMENT OF ELECTRICAL SUPPLIES 1. The Municipality of Nabas, Aklan through its local budget approved by the Sanggunian, intends to apply the sum of Four Hundred Ninety Two Thousand Nine Hundred Thirty Four and 72/100 only (P </t>
  </si>
  <si>
    <t xml:space="preserve"> Toyota Tamaraw FX SCN-381						 1	Tire, 6.5 x 14 8PR-4 sets 	Toyota Hi-Lux A7-B650						 2	Tire, 6.5 x 14 8PR-8 sets 	Liugong Payloader						 3	Tire, 18,4 x 24 16 PR-4 sets 	2 Units Mitsubishi Grader MG#330						 4	Tire, 13.00 x 24 12 PR with interior (in</t>
  </si>
  <si>
    <t xml:space="preserve"> Gazebo</t>
  </si>
  <si>
    <t xml:space="preserve"> Self Loading Truck						 	Engine Mdl: 10 PB1-Isuzu						 1	Air Filter (Primary)-2 pcs 2	Air Filter (Secondary)- 2 pcs 3	Oil Filter-4 pcs 4	By Pass-2 pcs 5	Torque Rod Bushing-12 pcs 6	Brake Lining with Revit-12	pcs 7	Starter Assy-1 pc 	Roller Compactor				</t>
  </si>
  <si>
    <t xml:space="preserve"> Construction of complete Senior Citizen Building. Including painting works, ceiling works and tile (at office slab and toilet), and electrical works</t>
  </si>
  <si>
    <t xml:space="preserve"> Republic of the Philippines MUNICIPALITY OF LEYTE LEYTE -oOo- INVITATION TO BID PURCHASE OF OFFICE EQUIPMENT, FURNITURE AND FIXTURES P.R No: LL-20-20 The Municipality of Leyte, through its Bids and Awards Committee intends to apply the sum of One Million </t>
  </si>
  <si>
    <t xml:space="preserve"> Improvement  of MPB including installation of wood tiles with rubber mat, installation of mechanical goal w/light fixtures, installation of mechanical goal w/light fixtures, installation of digital score board including game clock and shot clock, installa</t>
  </si>
  <si>
    <t xml:space="preserve"> REHABILITATION OF FINAN-NANG TO TARANGCHUY PATHWAY</t>
  </si>
  <si>
    <t xml:space="preserve"> Construction of concrete pile cap driven by steel sheet pile; Rechanneling of river</t>
  </si>
  <si>
    <t xml:space="preserve"> INVITATION TO BID The DPWH-Bataan 2nd District Engineering Office, through its Bids and Awards Committee (BAC) for Goods, invites suppliers to submit bids for the following Contract: Contract ID	:	20GCB0003 Contract Name	:	Replacement of Damage In-Ground </t>
  </si>
  <si>
    <t xml:space="preserve"> Republic of the Philippines PROVINCE OF NORTHERN SAMAR BIDS AND AWARDS COMMITTEE Catarman Invitation to Bid NS-05-29-20-02 Improvement of CLIP Halfway House Halfway House Building, Brgy. Dalakit, Catarman, Northern Samar 1.	The Provincial Government of No</t>
  </si>
  <si>
    <t xml:space="preserve"> Republic of the Philippines CITY OF SAN PEDRO Province of Laguna BIDS AND AWARDS COMMITTEE INVITATION TO APPLY FOR ELIGIBILITY AND TO BID PR NO. 0400 1. The City Government of San Pedro, Laguna through the 2020 Budget Approved by the Sangguniang Panglungs</t>
  </si>
  <si>
    <t xml:space="preserve"> 1. The Department of Public Works and Highways Regional Office XI, Davao City, through its Bids and Awards Committee (BAC), invites bidders to submit bids for the Infra projects funded under GAA FY 2020, to wit: Contract ID 	:	20L00145 Contract Name/Locat</t>
  </si>
  <si>
    <t xml:space="preserve"> Improvement of municipal gym with only plumbing works, ceiling works, doors &amp; windows, cladding, insulator, stone works, railings, painting works (including rubberized flooring), electrical (includes movable basketball goal &amp; demolition of building)</t>
  </si>
  <si>
    <t xml:space="preserve"> INVITATION TO BID May 29, 2020 The DPWH Tacloban City District Engineering Office, New Bus Terminal, Brgy. Abucay, Tacloban City, through its Bids and Awards Committee (BAC), invites contractors to submit bids for the following Contract: I.    Contract ID</t>
  </si>
  <si>
    <t xml:space="preserve"> Construction of complete Admin Bldg. with only ceiling works (acoustical), painting works, plumbing works, railings, electrical works &amp; air conditioning unit</t>
  </si>
  <si>
    <t xml:space="preserve"> 1. The Department of Public Works and Highways Regional Office XI, Davao City, through its Bids and Awards Committee (BAC), invites bidders to submit bids for the Infra projects funded under GAA FY 2020, to wit: Contract ID 	:	20L00153 Contract Name/Locat</t>
  </si>
  <si>
    <t xml:space="preserve"> 1. The Department of Public Works and Highways Regional Office XI, Davao City, through its Bids and Awards Committee (BAC), invites bidders to submit bids for the Infra projects funded under GAA FY 2020, to wit: Contract ID 	:	20L00141 Contract Name/Locat</t>
  </si>
  <si>
    <t xml:space="preserve"> 1.	The Department of Public Works and Highways Regional Office XI, Davao City, through its Bids and Awards Committee (BAC), invites bidders to submit bids for the Infra projects funded under GAA FY 2020, to wit: Contract ID 	:	20L00170 Contract Name/Locat</t>
  </si>
  <si>
    <t xml:space="preserve"> 1 1700 SERV. LIGHT MEAL - MEAL-B1-150 GRMS. STEAMED RICE,AMPALAYA W/ EGG,CHORIZO,COFFEE,BANANA/MELON - MEAL-B2- 150 GRMS. STEAMED RICE,1 BOILED EGG,1 HOTDOG,CORNED BEEF,COFFEE,BANANA/MELON - MEAL-B3-150 GRMS. STEAMED RICE, 100 GRMS. PAKSIW FISH,SCRAMBLE E</t>
  </si>
  <si>
    <t xml:space="preserve"> Armchairs	450 pcs  			 		Technical Specifications:	 		                                    Dimensions	 		Seat:	 		Width                                                                 450mm	 		 Length                                                        </t>
  </si>
  <si>
    <t xml:space="preserve"> Republic of the Philippines Province of Davao Occidental MUNICIPALITY OF SARANGANI Invitation to Bid CONSTRUCTION OF BOX CULVERT CREEK 1 TORANG, CAMALIG, (8000-2-2-12), 000000000SARANGANI, DAVAO OCCIDENTAL. The Municipality of Sarangani, through 20% Devt.</t>
  </si>
  <si>
    <t xml:space="preserve"> 1. The Department of Public Works and Highways Regional Office XI, Davao City, through its Bids and Awards Committee (BAC), invites bidders to submit bids for the Infra projects funded under GAA FY 2020, to wit: Contract ID 	:	20L00030 Contract Name/Locat</t>
  </si>
  <si>
    <t xml:space="preserve"> Invitation to Bid for  Rehabilitation of Parian Farm to Market Road, San Fernando City, La Union 1.	The Provincial Government of La Union, through the RA7171 intends to apply the sum of ₱3,900,000.00 being the Approved Budget for the Contract (ABC) to pay</t>
  </si>
  <si>
    <t xml:space="preserve"> Paving of Unpaved Road ( Construction of 230mm thk. PCCP)</t>
  </si>
  <si>
    <t xml:space="preserve"> May 28, 2020 		 	INVITATION TO BID			 				 	The City Government of Pasig through Ordinance No. 21 Series 2019 dated November 7, 2019 duly approved by the Sanggunian Panglungsod and through Special Education Fund CY 2020 duly approved by the Local School B</t>
  </si>
  <si>
    <t xml:space="preserve"> Fabrication and Installation of Solar Street Lights</t>
  </si>
  <si>
    <t xml:space="preserve"> Republic of the Philippines CITY OF SAN PEDRO Province of Laguna BIDS AND AWARDS COMMITTEE INVITATION TO APPLY FOR ELIGIBILITY AND TO BID PR NO. 0393 1. The City Government of San Pedro, Laguna through the Philhealth Fund intends to apply the sum of Php 1</t>
  </si>
  <si>
    <t xml:space="preserve"> Construction of 8.0m x 12.0m two storey multi-purpose building Phase 2 (to include tiling, painting, construction of plantbox, installation of 2 PVC door, steel railing @ first floor of the building)</t>
  </si>
  <si>
    <t xml:space="preserve"> 50 pcs CPR Dummies (mannequin) 4 sets Automated External Defibrillator (AED) specs: with graphical cover includes LCD screen showing voice prompt messages, with real CPR Help technology, includes chain of survival protocol prompt. Rectilinear bi-phasic wa</t>
  </si>
  <si>
    <t xml:space="preserve"> HDPE Cage Frame: 10m x 10m w/Four Compartments, Mooring System and 6 Net Cage 4m x 4m x 4m for Nursery and Board Stock Development HDPE Circular Cage: Frame 15m Diameter w/ complete Moorings and Concrete Weights (Circular Net Cage 15m Diameter, Plastic Bu</t>
  </si>
  <si>
    <t xml:space="preserve"> Republic of the Philippines								 Province of Negros Occidental								 Municipality of La Castellana								 Bids and Awards Committee								 								 INVITATION TO APPLY FOR ELIGIBILITY AND TO BID								 								 Name of Project: 		PURCHASE OF AMBUL</t>
  </si>
  <si>
    <t xml:space="preserve"> Republic of the Philippines Province of Surigao del Sur MUNICIPALITY OF TAGBINA BARANGAY STA. FE BIDS AND AWARDS COMMITTEE (BAC) INVITATION TO BID SUPPLY AND DELIVERY OF HARDWARE MATERIALS FOR THE CONSTRUCTION OF STREET LIGHT The barangay government of St</t>
  </si>
  <si>
    <t xml:space="preserve"> INVITATION TO BID PROCREMENT OF VARIOUS DRUGS AND MEDICINES (PROCUREMENT OF DRUGS AND MEDICINES (RE-BIDDING) ITB NO. 2020-13 The Schistosomiasis Hospital through the Bids and Awards Committee (BAC) invites suppliers to bid for the hereunder project: SN	Pr</t>
  </si>
  <si>
    <t xml:space="preserve"> Construction of complete one (1) unit, one (1) storey one (1) classroom (1-7.0m x 9.0m) w/toilet attached. This includes carpentry and joinery works (black board), plumbing works, electrical works, painting works and tile works (on toilet only). Type 1 de</t>
  </si>
  <si>
    <t xml:space="preserve"> Construction of complete stage with electrical works, painting works, tile works on dressing room smooth finish on flat form of stage, construction of concrete bleacher with complete finish and fifteen (15) set steel bleacher.</t>
  </si>
  <si>
    <t xml:space="preserve"> Completion of brgy. Hall with only doors &amp; windows, ceiling (acoustical), plumbing fixtures, painting, lights, tiles, cladding, air-conditioning unit, &amp; water system,</t>
  </si>
  <si>
    <t xml:space="preserve"> Construction of complete covered court, extension of court slab on every side, painting works (on steel, masonry and concrete), electrical works and movable basketball goal, gutter and downspout on one side of the gym near at mosque</t>
  </si>
  <si>
    <t xml:space="preserve"> Description Various Fittings 1.	600 pcs. ½” Brass Ball Valve with Lockwing ISO 2.	150 pcs. ¾” Brass Ball Valve with Lockwing ISO 3.	150 pcs. 1” Brass Ball Valve with Lockwing ISO 4.	600 pcs. ½” Brass Magnetic Ball Valve w/ Chrome Lock ISO 5.	400 pcs. ½” B</t>
  </si>
  <si>
    <t xml:space="preserve"> Construction of complete covered court 16.0m x 30.0m with concrete slab, electrical works and painting including basketball goal</t>
  </si>
  <si>
    <t xml:space="preserve"> Construction of five (5) bay bleacher (one side)</t>
  </si>
  <si>
    <t xml:space="preserve"> 1 unit - SERVICE VEHICLE Specifications: Model: 2019 4x4 Pick-up Engine Type: 2.4 Liter Diesel, 4-Cylinder, 16-Valve    Displacement: 2,393cc Brakes: Front: Ventilated Disc/Rear: Leading - Trailing Drums Tires/Wheels: 225/70 R17-Steel Interior Features: S</t>
  </si>
  <si>
    <t xml:space="preserve"> Republic of the Philippines CITY OF SAN PEDRO Province of Laguna BIDS AND AWARDS COMMITTEE INVITATION TO APPLY FOR ELIGIBILITY AND TO BID PR NO. 0398 1. The City Government of San Pedro, Laguna through the 2020 Budget Approved by the Sangguniang Panglungs</t>
  </si>
  <si>
    <t xml:space="preserve"> Republic of the Philippines Province of Pangasinan Bids and Awards Committee Municipality of Calasiao INVITATION TO BID  REPAIR/MAINTENANCE OF SERVICE VEHICLES OF CALASIAO, PANGASINAN 1.	The Municipality of Calasiao, through the Annual Budget 2020(20% Dev</t>
  </si>
  <si>
    <t xml:space="preserve"> Construction of complete one (1) unit one (1) storey brgy. Hall (6m x 11.4m) including painting, electrical, plumbing and tilework’s</t>
  </si>
  <si>
    <t xml:space="preserve"> Republic of the Philippines                   Department of Health	       CENTRAL OFFICE BIDS AND AWARDS COMMITTEE  INVITATION TO BID FOR THE  PROCUREMENT OF NUCLEIC ACID AMPLIFICATION TESTING REAGENTS  IB NO. 2020-213 1.	The Department of Health (DOH), t</t>
  </si>
  <si>
    <t xml:space="preserve"> Construction of complete covered court 16.0m x 30.0m with concrete slab, electrical works and painting</t>
  </si>
  <si>
    <t xml:space="preserve"> Removal of Trees, Clearing &amp; Grubbing, Excavation, Embankment, Aggregate Sub-base Course, Earth Berm, Rubble Concrete</t>
  </si>
  <si>
    <t xml:space="preserve"> Construction of one (1) bay bleacher (9.2m x 3.2m) and improvement of gym, gutter and downspout at the side of the bleachers, gates, electrical and paint works, pediment and with additional floor slab 0.1 elev.</t>
  </si>
  <si>
    <t xml:space="preserve"> Construction of Bridge 2 Lanes Total Length = 15.000lm, Span RCDG Bridge Total Length = 385.000lm, Gravelling</t>
  </si>
  <si>
    <t xml:space="preserve"> Improvement of Multi-Purpose Building (Stage and 1-3.2m x 30m bleacher) with reinforced concrete, cement plaster finish, finishing hardware, painting masonry and electrical works</t>
  </si>
  <si>
    <t xml:space="preserve"> Removal of Trees, Clearing &amp; Grubbing, Excavation, Embankment, Aggregate Sub-base Course, Filter Cloth, Gabions</t>
  </si>
  <si>
    <t xml:space="preserve"> Request for Quotation The Bureau of Fisheries and Aquatic Resources, Regional Office No. 5, Fabrica, Bula, Camarines Sur is requesting from prospective suppliers to submit quotation for the Supply and Delivery of Tilapia Feeds.   Quantity	Unit	Item Descri</t>
  </si>
  <si>
    <t xml:space="preserve"> Republic of the Philippines								 Province of Negros Occidental								 Municipality of La Castellana								 Bids and Awards Committee								 								 INVITATION TO APPLY FOR ELIGIBILITY AND TO BID								 								 Name of Project: 		IMPROVEMENT &amp; CON</t>
  </si>
  <si>
    <t xml:space="preserve"> Construction of officer &amp; personnel quarter MIB with pain and reinforced concrete works, finishing works including painting, plaster, windows, cabinets, plumbing works, electrical works including pole transformer and mechanical works (overhead tank)</t>
  </si>
  <si>
    <t xml:space="preserve"> Republic of the Philippines									 Province of Negros Occidental									 Municipality of La Castellana									 Bids and Awards Committee									 									 INVITATION TO APPLY FOR ELIGIBILITY AND TO BID									 									 Name of Project: 		IMPROVEMEN</t>
  </si>
  <si>
    <t xml:space="preserve"> Construction of Multi-Purpose Building (1-3.20m x 30m bleachers &amp; 11m x 8.50m stage) with reinforced concrete, cement plaster finish, painting works with railings, finishing works and electrical works</t>
  </si>
  <si>
    <t xml:space="preserve"> Project Billboard Occupational Safety and Health Programs Mobilization/Demobilization Demolition Works (Existing Roofings, Trusses, Ceiling &amp; Wall) Roof and Roof Framing Works Electrical Works Ceiling Works Carpentry Works (Administrative Office)(Cubicles</t>
  </si>
  <si>
    <t xml:space="preserve"> Republic of the Philippines							 Province of Negros Occidental							 Municipality of La Castellana							 Bids and Awards Committee							 							 INVITATION TO APPLY FOR ELIGIBILITY AND TO BID							 							 Name of Project: 		DEVELOPMENT OF WATER SYS</t>
  </si>
  <si>
    <t xml:space="preserve"> Construction of complete daycare center. This includes plumbing works, electrical works, tile works, window grilles, demolition of the existing building and 4 units wall fan</t>
  </si>
  <si>
    <t xml:space="preserve"> Construction of covered court excluding electrical works and construction of 5 bay standard bleacher</t>
  </si>
  <si>
    <t xml:space="preserve"> INVITATION TO BID SUPPLY AND DELIVERY OF ONE (1) UNIT 4X4 PICK-UP FOR THE CITY SECURITY AND TRAFFIC MANAGEMENT TASKFORCE OFFICE 1.	The Local Government Unit of Cabadbaran City through the PEACE &amp; ORDER FUND intends to apply the sum of ONE MILLION SEVEN HU</t>
  </si>
  <si>
    <t xml:space="preserve"> Project Billboard Occupational Safety &amp; Health Requirements Mobilization/Demobilization Demolition Works Masonry Works (Plaster for Window Opening) Windows False Works &amp; Scaffolding (Rental Basis)</t>
  </si>
  <si>
    <t xml:space="preserve"> INVITATION TO APPLY FOR ELIGIBILITY AND TO BID The City of San Juan, Metro Manila, through its Bids and Awards Committee (BAC), invites interested parties to apply for an Eligibility and if found eligible to bid for the – Name of Project Laundry Services </t>
  </si>
  <si>
    <t xml:space="preserve"> Provision of Field Office for Engineer (Rental Basis) Project Billboard Occupational Safety &amp; Health Requirements Mobilization/Demobilization Structure Excavation Embankment Reinforcing bars Structural Concrete</t>
  </si>
  <si>
    <t xml:space="preserve"> 1. In view of Resolution No. 16 series of 2019 entitled “A Resolution Declaring a Failure of Bidding for Negotiated Procurement for the remaining five (5) items of Various Furniture, Fixtures and Equipment under Annual Equipment Procurement Program (AEPP)</t>
  </si>
  <si>
    <t xml:space="preserve"> Repair/Maintenance of Bank Protection</t>
  </si>
  <si>
    <t xml:space="preserve"> Construction of day care center. Excluding painting works (on masonry, concrete and wood), catch basin and down spout, tile works, gutter and window grilles</t>
  </si>
  <si>
    <t xml:space="preserve"> LAPU-LAPU SOURCE DEVELOPMENT PROJECT [INFRA-2020-001]   1.	The Government of the Philippines through the Puerto Princesa City Water District intends to apply the sum of Seventy-One Million One Hundred Six Thousand Six Hundred Thirty-One Pesos &amp; 33/100 (71</t>
  </si>
  <si>
    <t xml:space="preserve"> Construction of complete covered court w/court slab, painting works (on steel, masonry and concrete), electrical works, movable basketball goal w/fiber glass board and rubberized basketball court (use exterior pain)</t>
  </si>
  <si>
    <t xml:space="preserve"> SPECIFICATIONS: 1. 6.0 Cu.m capacity 2. 3000mm (L), x 2000mm (W), x 940mm (H) 3. 5.1 engine displacement, 4-cylinder, turbo intercooler, DOHC, Commonrail direct injection, bluepower diesel, multi leaf spring front and rear suspension</t>
  </si>
  <si>
    <t xml:space="preserve"> CONSTRUCTION OF FLOOD CONTROL</t>
  </si>
  <si>
    <t xml:space="preserve"> Excavation, Embankment, Aggregate Sub-base Course, PCCP (0.28m thk.), Pavement Markings</t>
  </si>
  <si>
    <t xml:space="preserve"> Rehabilitation of Multi-Purpose Building (Stage and 1-3.2m x 30m bleacher) with reinforced concrete, cement plaster finish, finishing hardware, painting masonry and electrical works</t>
  </si>
  <si>
    <t xml:space="preserve"> Construction of Multi-Purpose Building (1-3.20m x 30m bleachers &amp; 11m x 8.50m stage) with reinforced concrete, cement plaster finish, painting works with railings, finishing works, movable basketball goal and electrical works</t>
  </si>
  <si>
    <t xml:space="preserve"> LOT 1 - MEALS AND SNACKS VENUE: SAN JOSE, OCCIDENTAL MINDORO BRGY. SITES: 30 PAX - CAMBURAY - AUGUST 3, 2020 30 PAX - BATASAN - AUGUST 4, 2020 30 PAX - MONTE CLARO - AUGUST 5, 2020 30 PAX - BATASAN - AUGUST 6, 2020 30 PAX - MURTHA - AUGUST 7, 2020 PURPOSE</t>
  </si>
  <si>
    <t xml:space="preserve"> CONSTRUCTION/IMPROVEMENT OF ACCESS ROADS</t>
  </si>
  <si>
    <t xml:space="preserve"> IMPROVEMENT OF TABBAKAN WAITING SHED (NEAR FLORANTE ASTUDILLO’S RESIDENCE) FUND SOURCE: 20% PDF 2020 TYPE OF WORK TO BE DONE: Provision of billboard/ occupational safety and health program/ structural concrete/ reinforcing steel of reinforced concrete str</t>
  </si>
  <si>
    <t xml:space="preserve"> Note: Please download associated component regarding BAC Health and Safety Protocols before proceeding to USTP-Claveria. University of Science and Technology of Southern Philippines      Alubijid |Cagayan de Oro|Claveria|Jasaan|Oroquieta|Panaon       Clav</t>
  </si>
  <si>
    <t xml:space="preserve"> Republic of the Philippines   Province of Samar   Municipality of Villareal      INVITATION TO BID      CONSTRUCTION OF CIVIC CENTER (PHASE 2)   BARANGAY SAN RAFAEL, VILLAREAL, SAMAR     	  	  	  	  	  	  	  	  	     	May 28, 2020     	  	  	  	  	  	  	 </t>
  </si>
  <si>
    <t xml:space="preserve"> Republic of the Philippines Province of Surigao del Sur MUNICIPALITY OF TAGBINA BARANGAY STA. FE BIDS AND AWARDS COMMITTEE   (BAC) INVITATION TO BID PROCUREMENT OF  ONE UNIT  6 WHEELER SERVICE VEHICLE  (DOUBLE CAB)  The barangay of Sta. Fe, municipality o</t>
  </si>
  <si>
    <t xml:space="preserve"> 1.	The Municipality of Tayug, Pangasinan  through the Bids and Awards Committee intends to apply the sum of Two Million Five Hundred Thousand Pesos (Php2,500,000.00) being the Approved Budget for the Contract (ABC)  to payments under the conract for the C</t>
  </si>
  <si>
    <t xml:space="preserve"> Meals and Snacks for the Barangay official information dissimination on the submission of barangay budgets and its supporting documents and also on the guidlines for inter agency task force COVID 19 and other purposes</t>
  </si>
  <si>
    <t xml:space="preserve"> •	Concreting (width = 6.10m., thk. = 230mm) •	Roadway Excavation - Common Surplus Excavation •	Construction of Minor Drainage Structures •	Application of Reflectorized Thermoplastic Pavement Markings</t>
  </si>
  <si>
    <t xml:space="preserve"> 1 unit Heavy Duty Hydraulic RAM 1st stage push force=51,500 lbs=229KN 2nd stage push force=18,500 lbs=82.3KN Exetended Lenght 32.75 in Closed lenght 16.75 in width 4.50 inc height 8.50 in weight 400 lbs 1 unit 3HP Hydraulic pump (gasoline) max working pre</t>
  </si>
  <si>
    <t xml:space="preserve"> CONSTRUCTION OF BANSA DRAINAGE, BAUKO FUND SOURCE; 20% PDF 2020 TYPES OF WORK TO BE DONE: Project billboard/ signboard/ occupational safety and health program/ structural excavation/ forms and falsework/ reinforcing steel bar/ structural concrete IMPROVEM</t>
  </si>
  <si>
    <t xml:space="preserve"> REPAIR MAINTENANCE OF BANK PROTECTION</t>
  </si>
  <si>
    <t xml:space="preserve"> Repair/ Maintenance Of Building</t>
  </si>
  <si>
    <t xml:space="preserve"> Republic of the Philippines Zamboanga Peninsula Department of Health Basilan General Hospital Isabela City, Basilan 7300 INVITATION TO BID FOR  Procurement of Hospital Medical Supplies IB# 2020-05-0321/2020-05-0322           The BASILAN GENERAL HOSPITAL (</t>
  </si>
  <si>
    <t xml:space="preserve"> Republic of the Philippines Province of Bohol Municipality of Ubay INVITATION TO BID FOR PURCHASE OF MEAT VAN VEHICLE 1.	The Municipality of Ubay, through the Annual Budget C.Y. 2020 (Capital Outlay) intends to apply the sum of ONE MILLION FIVE HUNDRED PE</t>
  </si>
  <si>
    <t xml:space="preserve"> REPAIR MAINTENANCE OF ANULID-POPONTO RIGHTDIKE</t>
  </si>
  <si>
    <t xml:space="preserve"> Republic of the Philippines CITY OF PANABO Province of Davao del Norte BIDS AND AWARDS COMMITTEE -o0o- INVITATION TO BID 													May 29, 2020 1.	The City Government of Panabo, through the source of fund as indicated below intends to apply the sum as </t>
  </si>
  <si>
    <t xml:space="preserve"> INVITATION TO BID (CW-05-2020-016) The Department of Public Works and Highways (DPWH)-Batangas IV District Engineering Office, Marawoy, Lipa City, Batangas, through its Bids and Awards Committee (BAC), invites contractors to bid for the contract listed be</t>
  </si>
  <si>
    <t xml:space="preserve"> Repair/Maintenance of DILG Philippine National Police Building, Sta. Maria, Pangasinan</t>
  </si>
  <si>
    <t xml:space="preserve"> Invitation to Bid for  IMPROVEMENT OF LIGA  BUILDING/ HALL (Phase I) The LGU- Palapag, Northern Samar,  through the 2020 Budget for the  contract approved by the  Sanggunian  intends to apply the sum of   Nine Hundred Ninety Nine Thousand Nine Hundred Nin</t>
  </si>
  <si>
    <t xml:space="preserve"> Republic of the Philippines MUNICIPALITY OF ECHAGUE Province of Isabela INVITATION TO BID FOR  EXPENSES   ON  UGNAYAN SA BARANGAY; SPECIAL LAW MEDICAL AND DENTAL MISSION, TRAINING SEMINAR  OF BARANGAY TANOD,MONTHLY MEETING OF ADAC/MADAC/BARANGAY VISITATIO</t>
  </si>
  <si>
    <t xml:space="preserve"> New Construction 62.40 cu.m. Intake and Rehabilitation of Existing Tank Re schedule of bidding  due to COVID</t>
  </si>
  <si>
    <t xml:space="preserve"> Rated Power/ Speed - 97 kw (2200 r/ min) Overall dimension (standard) - 	8,015 x 2,380 x 3,050 Total weight (standard) - 11,000 kgs. Tire specification - 13.00-24 Blade Width - 3,660 mm</t>
  </si>
  <si>
    <t xml:space="preserve"> Body Type: Van Tran mission Type: Manual Engine Size: 2.80 L Engine Displacement: 2,755 cc No. of Cylinder: 4 No. of Valves: 16</t>
  </si>
  <si>
    <t xml:space="preserve"> Agno River Basin Flood Control Project – Repair/Maintenance of Bank Protection at Brgy. Magtaking, Bugallon, Pangasinan Sta. 00+060.00 to Sta. 00+494.00</t>
  </si>
  <si>
    <t xml:space="preserve"> Concreting of Roads</t>
  </si>
  <si>
    <t xml:space="preserve"> Repair/Maintenance of DOJ Building Bureau of Jail Management and Penology BJMP Compound Perimeter Fence Urdaneta City, Pangasinan</t>
  </si>
  <si>
    <t xml:space="preserve"> Republic of the Philippines PROVINCE OF CAMIGUIN Mambajao, Camiguin -ooOoo- BIDS AND AWARDS COMMITTEE (BAC) INVITATION TO BID  The Provincial Government of Camiguin through its Bids and Awards Committee (BAC) invites all interested and qualified bidders/s</t>
  </si>
  <si>
    <t xml:space="preserve"> 1.	The Provincial Government of Ilocos Norte, through the General Fund  intends to apply the sum of Three Million Eight Hundred Seventy Four Thousand Five Hundred One Pesos and Eighty Six Centavos   (Php  3,874,501.86              ) being the Approved Bud</t>
  </si>
  <si>
    <t xml:space="preserve"> Repair/Maintenance of DOJ Regional Trial Court Building, Tayug, Pangasinan</t>
  </si>
  <si>
    <t xml:space="preserve"> 1. breakfast with juice: Php 65/meal     &gt; meat &amp; vegetable with rice 2. Lunch with water/juice: Php 65/meal     &gt; meat &amp; vegetable with rice 3. Dinner with water/juice: Php 65/meal     &gt; meat &amp; vegetable with rice</t>
  </si>
  <si>
    <t xml:space="preserve"> Republic of the Philippines Province of Bohol Municipality of Ubay INVITATION TO BID FOR PURCHASE OF EMERGENCY RESCUE VEHICLE 1.	The Municipality of Ubay, through the Annual Budget C.Y. 2020 (5% MDRRM FUND) intends to apply the sum of ONE MILLION FIVE HUN</t>
  </si>
  <si>
    <t xml:space="preserve"> H E A D Q U A R T E R S P H I L I P P I N E  A R M Y OFFICE OF THE PA BIDS AND AWARDS COMMITTEE-2 Fort Andres Bonifacio, Metro Manila 								28 May 2020 INVITATION TO BID The Armed Forces of the Philippines, through the Philippine Army Bids and Awards Co</t>
  </si>
  <si>
    <t xml:space="preserve"> 5.46 HAS. ESTABLISHMNET OF AGROFORESTRY PROJECT THRU LABOR PAKYAW</t>
  </si>
  <si>
    <t xml:space="preserve"> The National Food Authority (NFA),  Southern Tagalog Regional Office (Region IV), through the NFA Corporate Operating Budget for 2020, intends to apply the sum of One Million Eight Hundred Eighteen Thousand Four Hundred Twenty-Four Pesos (P1,818,424.00) b</t>
  </si>
  <si>
    <t xml:space="preserve"> Republic of the Philippines DEPARTMENT OF PUBLIC WORKS AND HIGHWAYS PANGASINAN IV DISTRICT ENGINEERING OFFICE REGIONAL OFFICE I Tuliao, Sta. Barbara, Pangasinan Invitation to Bid for  Repair/Maintenance of River Bank Protection along San Juan River, Brgy.</t>
  </si>
  <si>
    <t xml:space="preserve"> INVITATION TO BID FOR SUPPLY AND DELIVERY OF ICT EQUIPMENTS AND SUPPLIES FOR FY 2020</t>
  </si>
  <si>
    <t xml:space="preserve"> PARTICULARS	QTY	UOM	ABC Animal/Zoological supplies			 Duck pre-starter crumble,  50kg/bag; content: Crude Protien: 19% NLT, Crude Fat: 3%NLT, Crude Fiber: 4% NMT, Moisture: 12%NMT, Calcium: 0.90-1.10%, Phosphorus: 0.70% NLT, Aflatoxin max. level: 50PPB 	5</t>
  </si>
  <si>
    <t xml:space="preserve"> Republic of the Philippines DEPARTMENT OF PUBLIC WORKS AND HIGHWAYS PANGASINAN IV DISTRICT ENGINEERING OFFICE REGIONAL OFFICE I Tuliao, Sta. Barbara, Pangasinan Invitation to Bid for  Repair/Maintenance of DPWH Building Repair Bay Building - Electrical an</t>
  </si>
  <si>
    <t xml:space="preserve"> SEE ATTACHED INVITATION TO BID, BIDDING DOCUMENTS, STANDARD BIDDING FORMS, CHECKLISTS AND PLANS</t>
  </si>
  <si>
    <t xml:space="preserve"> Republic of the Philippines DEPARTMENT OF PUBLIC WORKS AND HIGHWAYS PANGASINAN IV DISTRICT ENGINEERING OFFICE REGIONAL OFFICE I Tuliao, Sta. Barbara, Pangasinan Invitation to Bid for  Repair/Maintenance of River Bank Protection along Rio Laguna De Vega Cr</t>
  </si>
  <si>
    <t xml:space="preserve"> Other General Requirements, Civil, Mechanical, Electrical and Sanitary/Plumbing Fixtures, Earthworks, Plain and Reinforced Concrete Works, Finishing and Other Civil Works</t>
  </si>
  <si>
    <t xml:space="preserve"> Republic of the Philippines Department of Environment and Natural Resources OFFICE OF THE REGIONAL EXECUTIVE DIRECTOR Region XII, Aurora Quezon Street City of Koronadal, 9506 Philippines Tel No. (083) 228-6226 Telefax No. (083) 228-6225 Email address: red</t>
  </si>
  <si>
    <t xml:space="preserve"> Department of Agriculture		 BUREAU OF PLANT INDUSTRY 692 San Andres Street Malate, Manila, Philippines E-mail Address: bpibac@yahoo.com Tel. No.: (02) 8526-7859, (02) 8691-0736 | Website: bpi.da.gov.ph SOLICITATION NO.: ITB PR NOS. 0347, 0348-20BAC  INVIT</t>
  </si>
  <si>
    <t xml:space="preserve"> Republic of the Philippines DEPARTMENT OF PUBLIC WORKS AND HIGHWAYS SULTAN KUDARAT 2ND DISTRICT ENGINEERING OFFICE REGION XII Lebak, Sultan Kudarat INVITATION TO BID FOR SUPPLY/DELIVERY OF  HARD ASPHALT FOR THE REPAIR/MAINTENANCE OF NATIONAL ROADS &amp; BRIDG</t>
  </si>
  <si>
    <t xml:space="preserve"> Republic of the Philippines DEPARTMENT OF PUBLIC WORKS AND HIGHWAYS SULTAN KUDARAT 2ND DISTRICT ENGINEERING OFFICE REGION XII Lebak, Sultan Kudarat INVITATION TO BID FOR SUPPLY/DELIVERY OF  LATEX PAINTS FOR THE REPAIR/MAINTENANCE OF NATIONAL ROADS &amp; BRIDG</t>
  </si>
  <si>
    <t xml:space="preserve"> Other General Requirements, Civil, Mechanical, Electrical &amp; Sanitary/Plumbing Works, Earthworks, Plain and Reinforced Concrete Work, Finishing and Other Civil Works, Electrical</t>
  </si>
  <si>
    <t xml:space="preserve"> Republic of the Philippines DEPARTMENT OF PUBLIC WORKS AND HIGHWAYS SULTAN KUDARAT 2ND DISTRICT ENGINEERING OFFICE REGION XII Lebak, Sultan Kudarat INVITATION TO BID FOR SUPPLY/DELIVERY OF  FUEL &amp; OIL LUBRICANTS FOR USE OF VARIOUS VEHICLE, CHAINSAW, AND G</t>
  </si>
  <si>
    <t xml:space="preserve"> INVITATION TO BID FOR THE PROCUREMENT OF ONE (1) UNIT MULTIBAND NETWORK SCANNING RECEIVER AND POST PROCESSING TOOL FOR NTC REGIONAL OFFICE NO. IX The National Telecommunications Commission, Regional Office No. IX (NTC-IX), through its Bids and Awards Comm</t>
  </si>
  <si>
    <t xml:space="preserve"> Department of Agriculture				 BUREAU OF PLANT INDUSTRY 692 San Andres Street Malate, Manila, Philippines E-mail Address: bpibac@yahoo.com Tel. No.: (02) 8526-7859, (02) 8691-0736 | Website: bpi.da.gov.ph SOLICITATION NO.: ITB PR NO. 0376-20BAC  INVITATION</t>
  </si>
  <si>
    <t xml:space="preserve"> RE -BID INVITATION TO BID 	 The Department of Public Works and Highways-Cebu 4th District Engineering Office, through its Bids and Awards Committee (BAC), invites contractors to submit bids for the Contract: 1.	Contract ID 		:	20HG0154 Contract Name      </t>
  </si>
  <si>
    <t xml:space="preserve"> RE -BID INVITATION TO BID 	 The Department of Public Works and Highways-Cebu 4th District Engineering Office, through its Bids and Awards Committee (BAC), invites contractors to submit bids for the Contract: 1.	Contract ID 		:	20HG0161 Contract Name      </t>
  </si>
  <si>
    <t xml:space="preserve"> 1. Procurement ID/Contract ID:	20GD0107 Contract Name:	CONSTRUCTION/REHABILITATION OF WATER SUPPLY/SEPTAGE AND SEWERAGE/RAIN WATER COLLECTORS 	Location                                                            1.	Pawa NationaL Hiqh School,Panay, Capiz 2.</t>
  </si>
  <si>
    <t xml:space="preserve"> Other General Requirements, Civil, Mechanical, Electrical and Sanitary/Plumbing Works, Earthworks, Plain and Reinforced Concrete Work, Finishing and Other Civil Works</t>
  </si>
  <si>
    <t xml:space="preserve"> The Municipality of Bay, through the GOP – 20% Economic Development Fund (EDF) intends to apply the sum of Nine Hundred Ninety Nine Thousand Five Hundred Fifty Four Pesos and Twenty Eight Centavos (PHP 999,554.28) being the Approved Budget for the Contrac</t>
  </si>
  <si>
    <t xml:space="preserve"> RE -BID INVITATION TO BID 	 The Department of Public Works and Highways-Cebu 4th District Engineering Office, through its Bids and Awards Committee (BAC), invites contractors to submit bids for the Contract: 1.	Contract ID 		:	20HG0162 Contract Name      </t>
  </si>
  <si>
    <t xml:space="preserve"> Republic of the Philippines NATIONAL FOOD AUTHORITY REGIONAL OFFICE VII Cebu City Tel No 032-2321939/ Fax No.032-233-6095 Website Address:www.nfa.gov.ph/E-mail Address:  nfarbacr07@yahoo.com INVITATION TO BID  PROCUREMENT OF WAREHOUSE HANDLING (AND ALLIED</t>
  </si>
  <si>
    <t xml:space="preserve"> MOTOR VEHICLE (MULTI-PURPOSE VEHICLE) Gas 2.0 E M/T Body Type: MPV Transmission Type: Manual Engine Size: 2.0 L Displacement: 1,998 cc Number of Cylinders: 4 Number of Valves: 16 Transmission Category: 5-Speed Manual Transmission Power Train Rear Wheel Dr</t>
  </si>
  <si>
    <t xml:space="preserve"> OFFICE OF THE BIDS AND AWARDS COMMITTEE (BAC) INVITATION TO BID FOR THE 20-02-088 Concreting of Arturo Buenavista Road with Box Culvert @ Barangay Kitacubong, Alamada, Cotabato 1.	The Local Government Unit of Alamada, through the 20% EDF CY 2020 (1-07-03-</t>
  </si>
  <si>
    <t xml:space="preserve"> CONSTRUCTION OF SLOPE PROTECTION AT PINAGBAYANAN INHS</t>
  </si>
  <si>
    <t xml:space="preserve"> STANDARD FORMAT Benguet First District Engineering Office Wangal, La Trinidad, Benguet May 27, 2020 RE – INVITATION TO BID The Benguet First District Engineering Office through its Bids and Awards Committee (BAC), invites contractors to submit bids for th</t>
  </si>
  <si>
    <t xml:space="preserve"> ANTI-RABIES VACCINE FOR HUMAN  With lyophilized powder and solvent solution for injection, 2.5 I.U./ml, 1ml vial, Purified Chick Embryo Cells (PCEC), can benefit 4-5 patients per vial (WHO Pre-Qualified)  Terms of Reference:  1. Supplier must present copy</t>
  </si>
  <si>
    <t xml:space="preserve"> Section I. Invitation to Bid  COMMERCIAL PRINTING OF LEAFLET/BROCHURE (PB 20-02-05) 1.	The Philippine Rice Research Institute, through the 2020 RCEP Fund Budget intends to apply the sum of ONE MILLION EIGHTY THOUSAND PESOS AND 00/100 ONLY (PhP 1,080,000.0</t>
  </si>
  <si>
    <t xml:space="preserve"> Republic of the Philippines DEPARTMENT OF PUBLIC WORKS AND HIGHWAYS BATANGAS II  DISTRICT ENGINEERING OFFICE REGIONAL OFFICE IV-A Kumintang Ilaya, Batangas City INVITATION TO BID For Construction/Repair/Rehabilitation/Improvement of Various Infrastructure</t>
  </si>
  <si>
    <t xml:space="preserve"> Department of Agriculture		 BUREAU OF PLANT INDUSTRY 692 San Andres Street Malate, Manila, Philippines E-mail Address: bpibac@yahoo.com Tel. No.: (02) 8526-7859, (02) 8691-0736 | Website: bpi.da.gov.ph SOLICITATION NO.: ITB PR NO. 0374-20BAC  INVITATION T</t>
  </si>
  <si>
    <t xml:space="preserve"> Department of Public Works and Highways Contract ID	:	20MH0081 Contract Name	:	Rehabilitation of Maligaya - Road Side, Barangay Sagasa, Esperanza, Sultan Kudarat Contract Location	:	Esperanza, Sultan Kudarat Department of Public Works and Highways Sultan </t>
  </si>
  <si>
    <t xml:space="preserve"> Department of Public Works and Highways Contract ID	:	20MH0082 Contract Name	:	Concreting of Sitio Dinagaan to Upper Alas-as Road, Brgy. Masiag, Bagumbayan, Sultan Kudarat Contract Location	:	Bagumbayan, Sultan Kudarat Department of Public Works and Highw</t>
  </si>
  <si>
    <t xml:space="preserve"> Republic of the Philippines DEPARTMENT OF PUBLIC WORKS AND HIGHWAYS BATANGAS III DISTRICT ENGINEERING OFFICE REGIONAL OFFICE IV-A J. Gonzales St., Barangay 4, Tanauan City INVITATION TO BID (GS-2020-004) The Department of Public Works and Highways (DPWH),</t>
  </si>
  <si>
    <t xml:space="preserve"> Department of Public Works and Highways Contract ID	:	20MH0100 Contract Name	:	Concreting Local Road, Purok Kawayan, Sultan Kudarat Contract Location	:	Bagumbayan, Sultan Kudarat Department of Public Works and Highways Sultan Kudarat 2ndDistrict Engineeri</t>
  </si>
  <si>
    <t xml:space="preserve"> Department of Public Works and Highways Contract ID	:	20MH0083 Contract Name	:	Concreting of Sitio Masagana, Barangay Sangay, Kalamansig, Sultan Kudarat Contract Location	:	Kalamansig, Sultan Kudarat Department of Public Works and Highways Sultan Kudarat </t>
  </si>
  <si>
    <t xml:space="preserve"> Department of Public Works and Highways Contract ID	:	20MH0080 Contract Name	:	Concreting of Local Road, Sitio Dinagaan to Upper Alas-as, Bagumbayan, Sultan Kudarat Contract Location	:	Bagumbayan, Sultan Kudarat Department of Public Works and Highways Sul</t>
  </si>
  <si>
    <t xml:space="preserve"> Republic of the Philippines DEPARTMENT OF PUBLIC WORKS AND HIGHWAYS BATANGAS II  DISTRICT ENGINEERING OFFICE REGIONAL OFFICE IV-A Kumintang Ilaya, Batangas City INVITATION TO BID For Local Infrastructure Program – Construction of Multi-Purpose Covered Cou</t>
  </si>
  <si>
    <t xml:space="preserve"> Republic of the Philippines DEPARTMENT OF PUBLIC WORKS AND HIGHWAYS BATANGAS II  DISTRICT ENGINEERING OFFICE REGIONAL OFFICE IV-A Kumintang Ilaya, Batangas City INVITATION TO BID For Local Infrastructure Program – Construction of Multi-Purpose Building, S</t>
  </si>
  <si>
    <t xml:space="preserve"> pls see attached</t>
  </si>
  <si>
    <t xml:space="preserve"> Department of Public Works and Highways Contract ID	:	20MH0084 Contract Name	:	Concreting of Upper Balayan to Kidanao, Barangay Basak, Lebak, Sultan Kudarat Contract Location	:	Lebak, Sultan Kudarat Department of Public Works and Highways Sultan Kudarat 2</t>
  </si>
  <si>
    <t xml:space="preserve"> Republic of the Philippines DEPARTMENT OF PUBLIC WORKS AND HIGHWAYS BATANGAS II  DISTRICT ENGINEERING OFFICE REGIONAL OFFICE IV-A Kumintang Ilaya, Batangas City INVITATION TO BID For Local Infrastructure Program – Construction/Rehabilitation of Multi-Purp</t>
  </si>
  <si>
    <t xml:space="preserve"> Republic of the Philippines DEPARTMENT OF PUBLIC WORKS AND HIGHWAYS BATANGAS II  DISTRICT ENGINEERING OFFICE REGIONAL OFFICE IV-A Kumintang Ilaya, Batangas City INVITATION TO BID For Local Infrastructure Program – Construction of Batangas Access Zone - We</t>
  </si>
  <si>
    <t xml:space="preserve"> Republic of the Philippines DEPARTMENT OF PUBLIC WORKS AND HIGHWAYS BATANGAS II  DISTRICT ENGINEERING OFFICE REGIONAL OFFICE IV-A Kumintang Ilaya, Batangas City INVITATION TO BID For Local Infrastructure Program – Rehabilitation of Road along San Isidro -</t>
  </si>
  <si>
    <t xml:space="preserve"> KADTACAN SLAB BRIDGE</t>
  </si>
  <si>
    <t xml:space="preserve"> Republic of the Philippines DEPARTMENT OF PUBLIC WORKS AND HIGHWAYS BATANGAS II  DISTRICT ENGINEERING OFFICE REGIONAL OFFICE IV-A Kumintang Ilaya, Batangas City INVITATION TO BID For Local Infrastructure Program – Construction of Multi-Purpose Building (P</t>
  </si>
  <si>
    <t xml:space="preserve"> CONTINUATION OF PUCHU-CHURSO PATHWAY</t>
  </si>
  <si>
    <t xml:space="preserve"> The Municipality of Sta. Cruz through its Bids and Awards Committee (BAC), invites suppliers to apply for eligibility and if found eligible, to bid for the hereunder contract: 	Name of Project	: Improvement and Concreting of Farm to Market Road, Quinsoria</t>
  </si>
  <si>
    <t xml:space="preserve"> Republic of the Philippines Province of Pangasinan Municipality of Bugallon OFFICE OF THE BIDS AND AWARDS COMMITTEE INVITATION TO BID The Barangay Poblacion of the Municipality of Bugallon, Pangasinan, through its Bids and Awards Committee (BAC), invites </t>
  </si>
  <si>
    <t xml:space="preserve"> The Municipality of Sta. Cruz through its Bids and Awards Committee (BAC), invites suppliers to apply for eligibility and if found eligible, to bid for the hereunder contract: 	Name of Project	: Improvement of Local Access Road, Sitio Kintayum, Calaoaan	 </t>
  </si>
  <si>
    <t xml:space="preserve"> Republic of the Philippines Region XII Province of Cotabato CITY OF KIDAPAWAN BIDS AND AWARDS COMMITTEE Invitation to Bid 						  		           Date: May 28, 2020 1.	The City Government of Kidapawan, through the LDRRMF CY 2020   intends to apply the sum of</t>
  </si>
  <si>
    <t xml:space="preserve"> Republic of the Philippines Province of Iloilo Lemery Iloilo Invitation to Bid for Purchase of Facilities and Equipment  of Teen Center 1.	The Municipality of Lemery, Iloilo, through the Provincial Aid  intends to apply the sum of  Two Hundred Thousand  P</t>
  </si>
  <si>
    <t xml:space="preserve"> Republic of the Philippines Region XII Province of Cotabato CITY OF KIDAPAWAN BIDS AND AWARDS COMMITTEE Invitation to Bid 						  		          Date: May 28, 2020 1.	The City Government of Kidapawan, through the 20% Economic Development Fund CY 2020/AO No. </t>
  </si>
  <si>
    <t xml:space="preserve"> Republic of the Philippines Region XII Province of Cotabato City of Kidapawan OFFICE OF THE BIDS AND AWARD COMMITTEE May 28, 2020 INVITATION TO BID FOR  SUPPLY OF FUEL FOR THE USE OF THE RP VEHICLE OF THE DIFFERENT SECTIONS (ANTI-DRUG, PNP, TMU, BFP, BJMP</t>
  </si>
  <si>
    <t xml:space="preserve"> PROCUREMENT OF ONE (1) UNIT DIGITAL COMMUNICATION BOARD OF THE MUNICIPALITY OF SANTO DOMINGO, ILOCOS SUR. SPECIFICATION/DESCRIPTION P5.9 Outdoor LED Display, Wall Mounted 3 meters (h) x 4 meters (w) or 12 sq.m others: a. Laptop with LED Software b. Power </t>
  </si>
  <si>
    <t xml:space="preserve"> Republic of the Philippines Region XII Province of Cotabato CITY OF KIDAPAWAN BIDS AND AWARDS COMMITTEE Invitation to Bid 						  		             Date: May 28, 2020 1.	The City Government of Kidapawan, through the 20% EDF CY 2020   intends to apply the sum</t>
  </si>
  <si>
    <t xml:space="preserve"> Republic of the Philippines Region XII Province of Cotabato City of Kidapawan OFFICE OF THE BIDS AND AWARD COMMITTEE May 28, 2020 INVITATION TO BID FOR  SUPPLY OF FUEL FOR THE USE OF THE RP VEHICLES OF THE CITY MAYOR’S OFFICE, KIDAPAWAN CITY The CITY GOVE</t>
  </si>
  <si>
    <t xml:space="preserve"> Republic of the Philippines Province of Iloilo Municipality of Lemery 	 Invitation to Bid 1.	The Municipality of  Lemery, Iloilo, through  the  1% LCPC Fund   intends to apply the sum of  Two Hundred Fifty Thousand Pesos (250,000.00) being the Approved  B</t>
  </si>
  <si>
    <t xml:space="preserve"> Invitation to Bid for SUPPLY AND DELIVERY OF MATERIALS FOR PROVISION OF THREE PHASE POWER SUPPLY SYSTEM AT LOOC PUBLIC MARKET, FISH LANDING AND PROCESSING CENTER The Municipal Government of Looc, Romblon, through the Appropriation Ordinance No. 010-2018 i</t>
  </si>
  <si>
    <t xml:space="preserve"> Republic of the Philippines Region XII Province of Cotabato CITY OF KIDAPAWAN BIDS AND AWARDS COMMITTEE Invitation to Bid 						  		           Date: May 28, 2020 1.	The City Government of Kidapawan, through the Trust Fund CY 2020 LGSF-AC   intends to appl</t>
  </si>
  <si>
    <t xml:space="preserve"> Invitation to Bid for SUPPLY AND DELIVERY OF VARIOUS OFFICE EQUIPMENT  FOR MDRRM OFFICE The Municipal Government of Looc, Romblon, through the AO-NO. 018-2019 Regular intends to apply the sum of Eighty Thousand Pesos Only (P 80,000.00) being the Approved </t>
  </si>
  <si>
    <t xml:space="preserve"> Republic of the Philippines Region XII Province of Cotabato CITY OF KIDAPAWAN BIDS AND AWARDS COMMITTEE Invitation to Bid 				  		            Date: May 28, 2020 1.	The City Government of Kidapawan, through the Office of the City Mayor Infra Support Progra</t>
  </si>
  <si>
    <t xml:space="preserve"> CAMERA DLSR 20 MP MIN. W/MOVIE MAKER; AT LEAST 24.3 MP3 FOR MORE DETAILS KINDLY SEND EMAIL SO THAT WE CAN EMAIL COMPLETE SPECS.</t>
  </si>
  <si>
    <t xml:space="preserve"> 302 cu.m Aggregate Base Course (2" Crush Stone) 1,260 liters Diesoline 2  pails Oil 68(Hydraulic Oil) 1 pail Oil 40 (Gear Oil) 2 gals OIl 40 (Diesel Oil) 2 liters Brake Fluid</t>
  </si>
  <si>
    <t xml:space="preserve"> Contract Name: 20GKF0028-Purchase of Various Oil and Lubricants for use in Corrective Maintenance of Service Vehicle assigned in Construction Section Contract Location: Iligan City Brief Description of Goods to be Procured: various oils and lubricants (se</t>
  </si>
  <si>
    <t xml:space="preserve"> Potable Water System Materials &amp; Fittings</t>
  </si>
  <si>
    <t xml:space="preserve"> LUBRICANT, WIRE ROPE	 	 	 SPECIFICATIONS:	 SEMI FLUID WIRE ROPE DRESSING FOR EASY APPLICATION AND ROPE PENETRATION WHICH RESIST FLING-OFF AND WATER WASH-OUT. CONTAINS NO SOLVENT DILUENT. WIRE ROPE	 DRESSING WILL PENETRATE RIGHT INTO THE CORE OF THE ROPE, </t>
  </si>
  <si>
    <t xml:space="preserve"> REMOVAL OF WATERLILIES &amp; OTHER DEBRIS AT THE APPROACH CHANNEL OF AGUS 6 POWER INTAKE REMOVAL OF WATERLILIES &amp; OTHER DEBRIS AT AGUS 6 DAM FURNISHING OF LABOR, TOOL AND MATERIALS FOR THE REMOVAL AND CLEARING OF WATERLILIES AND OTHER DEBRIS AT THE APPROACH C</t>
  </si>
  <si>
    <t xml:space="preserve"> Hole=2x2m, t=0.25m with apron, 11m lenght approach,head and wingwalls, Class "AA" Mixture</t>
  </si>
  <si>
    <t xml:space="preserve"> The Municipality of Sta. Cruz through its Bids and Awards Committee (BAC), invites suppliers to apply for eligibility and if found eligible, to bid for the hereunder contract: 	Name of Project	: Improvement and Concreting of Farm to Market Road, Villa Her</t>
  </si>
  <si>
    <t xml:space="preserve"> A=1,968 sq.m, w=4 m, t=0.15m, Shoulder= 0.50m</t>
  </si>
  <si>
    <t xml:space="preserve"> Class"AA" Concrete Mixture, A=120 sq.m</t>
  </si>
  <si>
    <t xml:space="preserve"> 3 sets Desktop Computer w/ accessories Processor: Intel Corei5-9400 (9M Cache, up to 4.10 GHz) OS: Windows 10 Pro 64 bit Video Card: NVIDIA GeForce GTX 1650 4GB GDDR5 Memory: 8GB HyperXFury DDR4 2666Mhz Hard Drive: 250 GB M.2 PCle NVMe Solid State Drive+1</t>
  </si>
  <si>
    <t xml:space="preserve"> Supply and delivery of the following items: 1. 75 boxes Amoxicillin 500mg caps., 100's/box 2. 288 bottles Ascorbic acid 100mg/5ml x 60ml/bot 3. 144 bottles Ascorbic acid 100mg/ml x 15ml/bot 4. 74 boxes Ascorbic acid 500mg, 100's/box 5. 50 boxes Cefuroxime</t>
  </si>
  <si>
    <t xml:space="preserve"> Republic of the Philippines                                                               Province of Leyte                                                              Municipality of Jaro                                                               Bar</t>
  </si>
  <si>
    <t xml:space="preserve"> Window Roller Blinds - 2 pieces (70cm-length &amp; 55cm-height) - 2 pieces (72cm-length &amp; 55cm-height) - With Pleats 4 pieces</t>
  </si>
  <si>
    <t xml:space="preserve"> Republic of the Philippines Province of Surigao del Sur MUNICIPALITY OF LANUZA REQUEST FOR EXPRESSION OF INTEREST FOR THE FORMULATION OF CLUP WITH ZONING ORDINANCE OF THE MUNICIPALITY OF LANUZA The Municipality of Lanuza, through the Local Funds intends t</t>
  </si>
  <si>
    <t xml:space="preserve"> Class "AA" Concrete Mixture, A=2072 sq.m</t>
  </si>
  <si>
    <t xml:space="preserve"> A concrete Mixture, A=1000.00 sq.m L=500.00m w= 2m.0m, t=0.15m</t>
  </si>
  <si>
    <t xml:space="preserve"> Construction of Concrete Bridge; L=24m/228.960 sq.m</t>
  </si>
  <si>
    <t xml:space="preserve"> INVITATION TO BID FOR THE  PURCHASE OF IT EQUIPMENT – SPO 1.	The City Government of Bacoor, Cavite, through the General Fund Year 2020 intends to apply the sum of TWO MILLION THIRTY SIX THOUSAND PESOS AND ZERO CENTAVO (PhP2,036,000.00) being the Approved </t>
  </si>
  <si>
    <t xml:space="preserve"> Class"AA" Concrete Mixture Area=276 sq.m,t=0.15m</t>
  </si>
  <si>
    <t xml:space="preserve"> TEWS-Alerting Siren Components Set includes: 1. DOST-ASTI arQ Data Logger 2. One set production and assembly of controller box with manual trigger    a. 1  enclosure box with customized interface holes    b. 1 pc of fabrication of TEWS trigger switch boar</t>
  </si>
  <si>
    <t xml:space="preserve"> INVITATION TO BID FOR THE  PURCHASE OF DISINFECTANT SOLUTION FOR PREVENTIVE MEASURES COVID-19 – CITY SCHOOLS DIVISION 1.	The City Government of Bacoor, Cavite, through the General Fund Year 2020 intends to apply the sum of ONE MILLION TWO HUNDRED FORTY ON</t>
  </si>
  <si>
    <t xml:space="preserve"> 1.	The Local Government Unit of Tubigon, Bohol, through the General Appropriations Act (FY 2019 Performance Challenge Fund) intends to apply the sum of Two Million Three Hundred Thousand Pesos (PhP2,300,000.00) being the Approved Budget for the Contract (</t>
  </si>
  <si>
    <t xml:space="preserve"> INVITATION TO BID FOR THE  PURCHASE OF OFFICE SUPPLIES FOR 2ND QUARTER – GSO 1.	The City Government of Bacoor, Cavite, through the General Fund Year 2020 intends to apply the sum of FOUR MILLION SEVEN HUNDRED THIRTY SEVEN THOUSAND TWENTY FIVE PESOS AND ZE</t>
  </si>
  <si>
    <t xml:space="preserve"> Republic of the Philippines Province of Camarines Norte Municipality of Mercedes BIDS AND AWARDS COMMITTEE Municipal Engineer’s Office, LGU - Mercedes, Camarines Norte INVITATION TO BID FOR THE SUPPLY OF TWO (2) UNITS FIBERGLASS FERRY BOAT (ENGINE NOT INC</t>
  </si>
  <si>
    <t xml:space="preserve"> Republic of the Philippines Province of Surigao del Sur MUNICIPALITY OF LANUZA REQUEST FOR EXPRESSION OF INTEREST FOR Implementation of the PSF Funded Projects The Municipality of Lanuza, through the People’s Survival Fund intends to apply the sum of Two </t>
  </si>
  <si>
    <t xml:space="preserve"> INVITATION TO BID FOR THE  PURCHASE OF FLU VACCINES FOR THE CITY EMPLOYEES - CHO 1.	The City Government of Bacoor, Cavite, through the General Fund Year 2020 intends to apply the sum of ONE MILLION PESOS AND ZERO CENTAVO (PhP1,000,000.00) being the Approv</t>
  </si>
  <si>
    <t xml:space="preserve"> see attached for details</t>
  </si>
  <si>
    <t xml:space="preserve"> Republic of the Philippines PROVINCE OF NORTHERN SAMAR BIDS AND AWARDS COMMITTEE Catarman Purchase of 50 units Hand Tractor Office of the Provincial Agriculture Province of Northern Samar  NS-05-28-20-02 1.	The Provincial Government of Northern Samar, thr</t>
  </si>
  <si>
    <t xml:space="preserve"> CONSTRUCTION OF SCHOOL BUILDING CUM EVACUATION CENTER AT TIGBINAN NATIONAL HIGHSCHOOL Brgy. Tigbinan, Labo, Cams. Norte</t>
  </si>
  <si>
    <t xml:space="preserve"> INVITATION TO BID FOR THE  PURCHASE OF DRUGS AND MEDICINES FOR 2ND QUARTER - CHO 1.	The City Government of Bacoor, Cavite, through the General Fund Year 2020 intends to apply the sum of ONE MILLION SEVEN HUNDRED FIFTY THOUSAND PESOS AND ZERO CENTAVO (PhP1</t>
  </si>
  <si>
    <t xml:space="preserve"> CONSTRUCTION OF BRGY. ROAD AT TIGBINAN Brgy. Tigbinan, Labo, Cams. Norte</t>
  </si>
  <si>
    <t xml:space="preserve"> B.5 - Project Billboard                one                  each B.7 - Safety and Health              one                  month B.9 - Mobilization/ Demobilization                 one                  lumpsum   B.10 - Progress Photograph                  </t>
  </si>
  <si>
    <t xml:space="preserve"> CONSTRUCTION OF LIBRARY HUB AT DAGUIT NATIONAL HIGHSCHOOL Brgy. Daguit, Labo, Cams. Norte</t>
  </si>
  <si>
    <t xml:space="preserve"> CONCRETING OF FMR-BRGY. GUISICAN Purok 7, Brgy. Guisican, Labo, Cams. Norte</t>
  </si>
  <si>
    <t xml:space="preserve"> INVITATION TO BID FOR THE  PURCHASE OF SUPPLIES FOR FAMILY PLANNING – 2ND QUARTER - CHO 1.	The City Government of Bacoor, Cavite, through the General Fund Year 2020 intends to apply the sum of ONE MILLION PESOS AND ZERO CENTAVO (PhP1,000,000.00) being the</t>
  </si>
  <si>
    <t xml:space="preserve"> CONCRETING OF FMR-BRGY. LUGUI Purok 2, Brgy. Lugui, Labo, Cams. Norte</t>
  </si>
  <si>
    <t xml:space="preserve"> Supply and Delivery of 1-Unit Backhoe (Truck Pad Type)  (Spec: Engine displacement: 3.9 ;Engine power: 86/2,200-104/2,200 kw/rpm; Operating Weight: 14,000-15,000kg ;Bucket Capacity: 0.56-0.58 cu.m Bucket digging force: 85-95kn;Swing device driving type: h</t>
  </si>
  <si>
    <t xml:space="preserve"> Republic of the Philippines PROVINCE OF NORTHERN SAMAR BIDS AND AWARDS COMMITTEE Catarman Purchase of Various Supplies and Medicines for Assistance to 4,902 Families Province of Northern Samar NS-05-28-20-01 1.	The Provincial Government of Northern Samar,</t>
  </si>
  <si>
    <t xml:space="preserve"> CONSTRUCTION OF DRAINAGE Brgy. Anahaw, Labo, Cams. Norte</t>
  </si>
  <si>
    <t xml:space="preserve"> Invitation to Bid for Improvement of Day Care Building and Premises at Bahayang Pag-Asa, Molino V 1.	The City Government of Bacoor, Cavite, through the 20% Dev't Fund 2020 intends to apply the sum of ONE MILLION FIVE HUNDRED THOUSAND PESOS AND ZERO CENT(P</t>
  </si>
  <si>
    <t xml:space="preserve"> This project is from Barangay Ebarle, Josefina, Zamboanga del Sur, from Purok Hill Top to Masapak Falls. They have to open a road for the improvement of their soon to be tourists spot.</t>
  </si>
  <si>
    <t xml:space="preserve"> ITEM: I- EARTH WORKS II- CONCRETE WORKS III- CARPENTRY WORKS IV- TINSMITHRY WORKS</t>
  </si>
  <si>
    <t xml:space="preserve"> H E A D Q U A R T E R S P H I L I P P I N E   A R M Y OFFICE OF THE PHILIPPINE ARMY BIDS AND AWARDS COMMITTEE 1 Fort Andres Bonifacio, Metro Manila Invitation to Bid The Armed Forces of the Philippines, through the Philippine Army Bids and Awards Committe</t>
  </si>
  <si>
    <t xml:space="preserve"> Republic of the Philippines PROVINCE OF BUKIDNON Municipality of Sumilao INVITATION TO BID ITB NO. GS-2020-23 PURCHASE OF MOTOR VEHICLE 				 May 28, 2020 1.	The Local Government Unit of  Sumilao, intends to apply the sum of One Million Two Hundred Thousan</t>
  </si>
  <si>
    <t xml:space="preserve"> Invitation to Bid for Installation of Solar Energy Powered Streetlights at Molino Public Cemetery Molino II 1.	The City Government of Bacoor, Cavite, through the 20% Dev't Fund 2020 intends to apply the sum of ONE MILLION FORTY TWO PESOS AND ZERO CENT(PhP</t>
  </si>
  <si>
    <t xml:space="preserve"> Invitation to Bid for Renovation of Day Care Center at Molino VI 1.	The City Government of Bacoor, Cavite, through the 20% Dev't Fund 2020 intends to apply the sum of ONE MILLION PESOS AND ZERO CENT(PhP1,000,000.00) being the Approved Budget for the Contr</t>
  </si>
  <si>
    <t xml:space="preserve"> INVITATION TO BID FOR THE  PURCHASE OF SUPPLIES FOR CLEAN AND GREEN PROJECT – CENRO 1.	The City Government of Bacoor, Cavite, through the General Fund Year 2020 intends to apply the sum of ONE MILLION FIVE HUNDRED THOUSAND PESOS AND ZERO CENTAVO (PhP1,500</t>
  </si>
  <si>
    <t xml:space="preserve"> Republic of the Philippines Province of South Cotabato BIDS AND AWARDS COMMITTEE Capitol Compound Alunan Avenue, Koronadal City Tel. Fax No.: (083) 228-9951/228-8570 INVITATION TO BID FOR THE SUPPLY AND DELIVERY OF VARIOUS MEDICAL &amp; LABORATORY SUPPLIES 1.</t>
  </si>
  <si>
    <t xml:space="preserve"> STANDARD FORMAT Benguet First District Engineering Office Wangal, La Trinidad, Benguet May 27, 2020 INVITATION TO BID The Benguet First District Engineering Office through its Bids and Awards Committee (BAC), invites contractors to submit bids for the fol</t>
  </si>
  <si>
    <t xml:space="preserve"> Invitation to Bid for Construction of Multi-Purpose Hall - Greentown Villas at Mambog III 1.	The City Government of Bacoor, Cavite, through the 20% Dev't Fund 2020 intends to apply the sum of FOUR MILLION SIX HUNDRED THOUSAND PESOS AND ZERO CENT(PhP4,600,</t>
  </si>
  <si>
    <t xml:space="preserve"> Invitation to Bid for Rehabilitation of Pathway and Drainage Canal (Doña Alicia Ext.) at Ligas I 1.	The City Government of Bacoor, Cavite, through the 20% Dev't Fund 2020 intends to apply the sum of ONE MILLION FIVE HUNDRED THOUSAND PESOS AND ZERO CENT(Ph</t>
  </si>
  <si>
    <t xml:space="preserve"> Republic of the Philippines Province of Davao Oriental City of Mati BIDS &amp; AWARDS COMMITTEE INVITATION TO BID Procurement of DIESEL FUEL for Use in the Construction/Rehab/Improvement of Provincial Road at NHJ ZARAGOSA-MACATODTOD Road Section at Manay, Dav</t>
  </si>
  <si>
    <t xml:space="preserve"> Republic of the Philippines Province of Davao Oriental City of Mati BIDS &amp; AWARDS COMMITTEE INVITATION TO BID Procurement of DIESEL FUEL for Use in the Construction/Rehab/Improvement of Provincial Road at Don Salvador Lopez-Don Martin Marundan Road Sectio</t>
  </si>
  <si>
    <t xml:space="preserve"> 20GPG0001 - Supply and Delivery of Thermoplastic Pavement Markings Within the District; Nueva Vizcaya-Ifugao-Mt. Province Boundary Road, K0291+(-505) – K0334+667, Int. Sections, Kiangan-Tinoc-Buguias Road, K0315+(-147) – K0369+667, Intermittent Sections, </t>
  </si>
  <si>
    <t xml:space="preserve"> Invitation to Bid for Improvement of Multipurpose Building (People's Center) at Bayanan 1.	The City Government of Bacoor, Cavite, through the 20% Dev't Fund 2020 intends to apply the sum of TWO MILLION PESOS AND ZERO CENT(PhP2,000,000.00) being the Approv</t>
  </si>
  <si>
    <t xml:space="preserve"> Republic of the Philippines Province of Davao Oriental City of Mati BIDS &amp; AWARDS COMMITTEE INVITATION TO BID Procurement of DIESEL FUEL for Use in the Construction/Rehab/Improvement of Provincial Road at Brgy. Lapulapu, San Isidro, Davao Oriental SOURCE </t>
  </si>
  <si>
    <t xml:space="preserve"> Republic of the Philippines Province of Davao Oriental City of Mati BIDS &amp; AWARDS COMMITTEE INVITATION TO BID LOT Procurement of MATERIALS for Use in the Completion of Multi-Purpose Building – Food Court and Perimeter Fence at Capitol Hill, City of Mati, </t>
  </si>
  <si>
    <t xml:space="preserve"> Upgarading of Tuguegarao City Peoples General Hospital Luna Street., Corner Rizal Street., Centro 6, Tuguegarao City</t>
  </si>
  <si>
    <t xml:space="preserve"> 5	case	Vacuum Filter/Storage Bottle System, 1000 mL  0.22 µm Pore 54.5cm² Polyethersulfone (PES)                  Membrane, Sterile, Case of 12s 4	pack	Plastic Disposable Transfer Pipets, Non-sterile, 3mL, PE (Polyethylene), Pack of 500 6	pack	Transfer Pi</t>
  </si>
  <si>
    <t xml:space="preserve"> The Local Government Unit of Aglipay through 20% Barangay Development Fund 2019  intends to apply the sum of Two Hundred Forty Four Thousand Two Hundred Thirty Six Pesos and 86/100 (244,236.86 ) being the Approved Budget for the Contract (ABC) to payments</t>
  </si>
  <si>
    <t xml:space="preserve"> Republic of the Philippines Province of Davao Oriental City of Mati BIDS &amp; AWARDS COMMITTEE INVITATION TO BID LOT Procurement of MATERIALS for Use in the Completion of Multi-Purpose Building – Fitness Gym at Capitol Hill, Brgy. Central, City of Mati, Dava</t>
  </si>
  <si>
    <t xml:space="preserve"> Republic of the Philippines Province of Davao Oriental City of Mati BIDS &amp; AWARDS COMMITTEE INVITATION TO BID LOT Procurement of MATERIALS for Use in the Construction of Multi-Purpose Building with Perimeter Fence of Davao Oriental Police Provincial Offic</t>
  </si>
  <si>
    <t xml:space="preserve"> Municipality of Looc Invitation to Bid for Construction of Seawall (between Guitna and Bonbon) P-I 1.	The Municipality of Looc, through the Trust Fund-DRRMF intends to apply the sum of Php 2,670,000.00 being the Approved Budget for the Contract (ABC) to p</t>
  </si>
  <si>
    <t xml:space="preserve"> The Roxas City Government, through the GOP-2020 intends to apply the total amount of Six Hundred Fifty Two Thousand Four Hundred Eighty Two Pesos and 80/100 (PhP 652,482.80) being the Approved Budget for the Contract (ABC) to payments under the contract f</t>
  </si>
  <si>
    <t xml:space="preserve"> Completion of Two (2) Classroom, 2nd Floor School Building Cataggaman National High School Tuguegarao City</t>
  </si>
  <si>
    <t xml:space="preserve"> Invitation to Bid for  May-it SIP May-it SIP-WS-02-2020 Basey, Samar 1.	The National Irrigation Administration, Interim Eastern-Western Samar Irrigation Management Office, Catbalogan City, through the General Appropriation Act of CY 2020 intends to apply </t>
  </si>
  <si>
    <t xml:space="preserve"> Republic of the Philippines Province of Iloilo Lemery Iloilo Invitation to Bid for Purchase of Drugs and Medicines 1.	The Municipality of Lemery, Iloilo, through the General Fund   intends to apply the sum of  Three Hundred Fifty Five Thousand Four Hundre</t>
  </si>
  <si>
    <t xml:space="preserve"> Republic of the Philippines DEPARTMENT OF PUBLIC WORKS AND HIGHWAYS CENTRAL OFFICE Manila  INVITATION TO BID  	 For ORGANIZATIONAL OUTCOME 1: Ensure Safe and Reliable National Road System - Network Development Program, Construction of Missing Links/New Ro</t>
  </si>
  <si>
    <t xml:space="preserve"> The Agricultural Training Institute-Regional Training Center VI (ATI-RTC VI) through its Bids and Awards Committee (BAC) intends to apply the sum of Seven Hundred Fifty-three Thousand Three Hundred Pesos Only (₱ 753,300.00). Being the Approved Budget for </t>
  </si>
  <si>
    <t xml:space="preserve"> Invitation to Bid for Construction of School Building Ligas II Elementary School at Ligas I 1.	The City Government of Bacoor, Cavite, through the 20% Dev't Fund 2020 intends to apply the sum of SIXTEEN MILLION AND ZERO CENT(PhP16,000,000.00) being the App</t>
  </si>
  <si>
    <t xml:space="preserve"> Class "AA" Concrete Mixture A= 7x4m = 28 sg.m, with concrete approach L=8m, w= 5.80m</t>
  </si>
  <si>
    <t xml:space="preserve"> Republic of the Philippines CITY GOVERNMENT OF SAN FERNANDO Barangay Poro INVITATION TO BID FOR  Repair and Construction of Drainage Canal Purok Tawi-Tawi, Barangay Poro, City of San Fernando 1.	The Barangay Poro, through the Barangay Fund intends to appl</t>
  </si>
  <si>
    <t xml:space="preserve"> Invitation to Bid for the Supply and Delivery of 106 Units  Pump and Engine Sets with Accessories for Various CY 2020 Projects in the Province of Capiz  NIAR6-EGPIP-PUMP-CAPIZ-GS02-20 1.	The National Irrigation Administration Regional Office VI, Iloilo Ci</t>
  </si>
  <si>
    <t xml:space="preserve"> Republic of the Philippines DEPARTMENT OF PUBLIC WORKS AND HIGHWAYS CENTRAL OFFICE Manila  INVITATION TO BID  	 For ORGANIZATIONAL OUTCOME 1: Ensure Safe and Reliable National Road System - Network Development Program, Construction of Missing Links/Roads </t>
  </si>
  <si>
    <t xml:space="preserve"> Republic of the Philippines DEPARTMENT OF PUBLIC WORKS AND HIGHWAYS CENTRAL OFFICE Manila  INVITATION TO BID  	 For ORGANIZATIONAL OUTCOME 1: Ensure Safe and Reliable National Road System - Network Development Program - Construction of Missing Links/New R</t>
  </si>
  <si>
    <t xml:space="preserve"> 222 Cu.M.    Item 201</t>
  </si>
  <si>
    <t xml:space="preserve"> Two units of Computer laptop and one unit computer desktop with printer</t>
  </si>
  <si>
    <t xml:space="preserve"> Handheld Radios</t>
  </si>
  <si>
    <t xml:space="preserve"> Republic of the Philippines							 Province of Negros Occidental							 Municipality of La Castellana							 Bids and Awards Committee							 							 INVITATION TO APPLY FOR ELIGIBILITY AND TO BID							 							 Name of Project: 		IMPROVEMENT OF PANAAD BO</t>
  </si>
  <si>
    <t xml:space="preserve"> Procurement of Various Drugs and Medicines for the 3rd Quarter 2020 for the provision of PDL.</t>
  </si>
  <si>
    <t xml:space="preserve"> Republic of the Philippines Province of Aurora MUNICIPALITY OF MARIA AURORA Bids and Awards Committee INVITATION TO BID First Posting The Local Government Unit of Maria Aurora, through the Bid and Awards Committee (BAC), invites suppliers/interested party</t>
  </si>
  <si>
    <t xml:space="preserve"> Republic of the Philippines Province of Iloilo Municipality of Lemery Invitation to Bid for Purchase of Medical Laboratory and Dental Supplies 1.	The Municipality of Lemery, Iloilo, through the General Fund   intends to apply the sum of  Two Hundred Twent</t>
  </si>
  <si>
    <t xml:space="preserve"> Republic of the Philippines								 Province of Negros Occidental								 Municipality of La Castellana								 Bids and Awards Committee								 								 INVITATION TO APPLY FOR ELIGIBILITY AND TO BID								 								 Name of Project: 		CONSTRUCTION OF 4</t>
  </si>
  <si>
    <t xml:space="preserve"> Barangay Government Unit										 Imelda, Zamboanga Sibugay										 										 INVITATION TO APPLY FOR ELIGIBILITY AND TO BID										 										 The Barangay Government Unit  of Imelda, Zamboanga Sibugay , through its Bids and  Awards Committee (BAC)</t>
  </si>
  <si>
    <t xml:space="preserve"> Section I. Invitation to Bid Republic of the Philippines Province of Bukidnon MUNICIPALITY OF TALAKAG Invitation to Bid for Procurement of Food Stuff (For Dietary Supplement for Underweight &amp; Wasted PS Children) 1.	The Municipality of Talakag through the </t>
  </si>
  <si>
    <t xml:space="preserve"> MG-ADM20-001..INST. OF LIGHTNING PROTECTION OF MINGEN HEADQUARTERS BUILDING ABC  : P 1,690,000.00 PLACE OF DELIVERY : MINGEN CENTRAL WAREHOUSE DITUCALAN, ILIGAN CITY AMOUNT OF BID DOCUMENTS : P 3,000.00</t>
  </si>
  <si>
    <t xml:space="preserve"> Barangay Cabid-an, East District		Project Reference Number: 2020-004 Sorsogon City			Name of the Project: PURCHASE OF SUZUKI PICK UP WITH CANOPY Location of the Project		:	 BrgyCabid-an, East District, Sor. City 					Source of Funds:  5% CALAMITY FUND Sta</t>
  </si>
  <si>
    <t xml:space="preserve"> SUPPLY, DELIVERY, INSTALLATION, TESTING AND COMMISSIONING OF SUBMERSIBLE PUMP AND MOTOR ASSEMBLY, DUAL MOTOR CONTROL, AND FLAT CABLE (GOODS-2020-012) 1.	The Government of the Philippines, through the Puerto Princesa City Water District intends to apply th</t>
  </si>
  <si>
    <t xml:space="preserve"> MG-A5M20-019..AG4 INST. OF TUNNEL WALL STRENGTHENING COMPOSITE &amp; ANTI PEELING, PHASE 2 ABC  : P 9,000,000.00 PLACE OF DELIVERY : AGUS 4 HEP WAREHOUSE BALOI, LANAO DEL NORTE AMOUNT OF BID DOCUMENTS : P 10,000.00</t>
  </si>
  <si>
    <t xml:space="preserve"> Republic of the Philippines Province of Surigao del Sur Municipality of Tago ---ooo0ooo--- Invitation to Bid Supply and Delivery of Various Water System Facilities Project ID No. TAG-SDS-039-2020 The Local Government Unit of Tago, Surigao del Sur invites </t>
  </si>
  <si>
    <t xml:space="preserve"> Republic of the Philippines CITY OF BAIS BIDS AND AWARDS COMMITTEE INVITATION TO APPLY FOR ELIGIBILITY AND TO BID 	The City Government of Bais invites interested bidders to apply for eligibility and to bid to be used for Incident Command System (ICS) oper</t>
  </si>
  <si>
    <t xml:space="preserve"> INVITATION TO BID IB No. GS-2020 – 058 Construction Materials and Supplies for use in the Construction of Water System at Brgy. Burbuli, Baco, Oriental Mindoro/ Brgy. Poblacion Baco, Oriental Mindoro/ Brgy. Panggalaan, Calapan City/ Brgy. Pambisan Malaki,</t>
  </si>
  <si>
    <t xml:space="preserve"> INVITATION TO BID IB No. GS-2020 – 059 Construction Materials and Supplies for use in the Construction of SSG Office at San Teodro NHS, San Teodoro, Oriental Mindoro/ Completion of Gymnasium at Ma. Estrella E/S, Tawiran, Calapan City, Oriental Mindoro/ Co</t>
  </si>
  <si>
    <t xml:space="preserve"> FOR BARANGAY SOLID WASTE MANAGEMENT</t>
  </si>
  <si>
    <t xml:space="preserve"> INVITATION TO BID A.	The DPWH, Negros Oriental 1st District Engineering Office, Tinaogan, Bindoy, Negros Oriental now invites contractors to apply to bid for the contract(s); Contract ID # 		20HJ0115 Contract Name 	Concreting of Sitio Manghiluntud-Sitio I</t>
  </si>
  <si>
    <t xml:space="preserve"> Section I. Invitation to Bid Republic of the Philippines Province of Bukidnon MUNICIPALITY OF TALAKAG Invitation to Bid for  Construction of Multi-Purpose Building  San Miguel 1.	The Municipality of Talakag, through the 0-90-000, CY2020, 8-90-000, CY2019,</t>
  </si>
  <si>
    <t xml:space="preserve"> INVITATION TO BID IB No. GS-2020 – 060 Construction Materials and Supplies for use in the Improvement of Barangay Hall at Brgy. Bagumbayan, Roxas, Oriental Mindoro/ Repair of Kinder and Grade 1 Classroom at San Juan E/S, Brgy. Cantil Roxas, Oriental Mindo</t>
  </si>
  <si>
    <t xml:space="preserve"> INVITATION TO BID  SUPPLY AND DELIVERY  OF CORRUGATED   GI SHEET FOR THE IDENTIFIED PARTIALLY DAMAGED OF TYPHOON TISOY IN THE CITY OF SORSOGON  GS 2020 -005-016 1.	The City Government of Sorsogon    intends to apply the sum of   Three  Million   Eight Hun</t>
  </si>
  <si>
    <t xml:space="preserve"> 2  unit  PTZ Camera /2.8” 2 Megapixel             Starvis CMOS ,Powerful 25 x optical zoom            Starlight Technology ,Max 25/30 fps @ 1080P            IR distance up to 100m,IP66 1 unit  NVR4K Series DVR,8 MP Preview,80 Mbps Bandwidth 1 pcs  1 TB Su</t>
  </si>
  <si>
    <t xml:space="preserve"> 1 unit  Desktop Computer(Digital Age,AMD powerful A8 Quad,Crore processor 1  unit Epson L565 All in One Ink Tank Printer 1 unit Epson LCD Projector (Digi serv Solution Epson S41/EB S31 1 unit HP core i5 Laptop 15..6 inches (LED screen RAM 8gd ,HDD 2 TB) 1</t>
  </si>
  <si>
    <t xml:space="preserve"> 1.	The Local Government Unit of Las Nieves, through the Budget for the Contract approved by the Sanggunian (20% DF) intends to apply the sum of one million and five hundred thousand pesos (Php 1,500,000.00) being the Approved Budget for the Contract (ABC)</t>
  </si>
  <si>
    <t xml:space="preserve"> INVITATION TO BID The __DPWH-2nd District Engineering Office, Labason, Zamboanga del Norte  , through its Bids and Awards Committee (BAC), invites contractors to submit bids for the following Contract:      Contract ID: 20JC0087       Contract Name: Repai</t>
  </si>
  <si>
    <t xml:space="preserve"> REPUBLIC OF THE PHILIPPINES DEPARTMENT OF PUBLIC WORKS AND HIGHWAYS CAMARINES SUR 3RD DISTRICT ENGINEERING OFFICE REGIONAL OFFICE V BARAS, CANAMAN INVITATION TO BID The DPWH – CAMARINES SUR 3RD District Engineering Office, through its Bids and Awards Comm</t>
  </si>
  <si>
    <t xml:space="preserve"> Republic of the Philippines Province of Cagayan Municipality of Baggao INVITATION TO BID FOR THE PROCUREMENT OF GOODS The LOCAL GOVERNMENT UNIT OF BAGGAO, CAGAYAN, through the GF 2020-01-011-5-02-03-70 intends to apply the sum of Two Hundred Eighty-Eight </t>
  </si>
  <si>
    <t xml:space="preserve"> Invitation to Bid for Construction of Balikatan Pumping Station (Civil Works) 1. The Tanay Water District, through the Corporate Budget for the contract approved by the governing Board intends to apply the sum of Two Million Eight Hundred Twenty Three Tho</t>
  </si>
  <si>
    <t xml:space="preserve"> Title:Procurement of 400 Set Family Kit,etc. under P.R.No. 1735-2020-5% City Disaster Risk Reduction and Management Fund Total ABC: Php 4,985,300.00 For representative/s of interested bidders who wish to attend the Pre-Bidding Conference, please bring the</t>
  </si>
  <si>
    <t xml:space="preserve"> Invitation for Negotiated Procurement Drilling of One (1) Production Well at Kat-Bayani Pumping Station  1. In view of the two (2) failed competitive public biddings, the Tanay Water District, through its Bids and Awards Committee (BAC), invites intereste</t>
  </si>
  <si>
    <t xml:space="preserve"> Republic of the Philippines Province of Cagayan Municipality of Baggao INVITATION TO BID FOR THE PROCUREMENT OF CIVIL WORKS The LOCAL GOVERNMENT UNIT OF BAGGAO, CAGAYAN, through SHORT OF AWARD intends to apply the sum of Nineteen Million Five Hundred Seve</t>
  </si>
  <si>
    <t xml:space="preserve"> INVITATION TO BID FOR 3 UNITS BRAND NEW SOUND PROOF 100KVA GENERATOR SET 1. The Tanay Water District, through the Corporate Budget for the contract approved by the governing Boards intends to apply the sum of One Million Nine Hundred Fifty Thousand Pesos </t>
  </si>
  <si>
    <t xml:space="preserve"> Republic of the Philippines Province of Cagayan Municipality of Baggao INVITATION TO BID FOR THE PROCUREMENT OF GOODS The LOCAL GOVERNMENT UNIT OF BAGGAO, CAGAYAN, through the Various Office 5-02-03-010 to apply the sum of Nine Hundred Ninety-Eight Thousa</t>
  </si>
  <si>
    <t xml:space="preserve"> Please see attached RFQ # 20-786 Submit your Sign and Sealed Quotation together with your UPDATED ELIGIBILITY Requirements at 3/F ATI Building Department of Agriculture Region IV-MiMaRoPa, Property&amp;Supply Unit/BAC Secretariat Elliptical Road, Diliman, Que</t>
  </si>
  <si>
    <t xml:space="preserve"> INVITATION TO BID IB No. GS-2020 – 069 Chemicals and Chemical Products for use of the OMPH patients/2nd quarter 2020 1. The  Provincial  Government  of  Oriental  Mindoro  (PGOM)  through  the  Trust Fund intends  to  apply  the  sum  of  Two Million One </t>
  </si>
  <si>
    <t xml:space="preserve"> Republic of the Philippines Province of Cagayan Municipality of Baggao INVITATION TO BID FOR THE PROCUREMENT OF GOODS The LOCAL GOVERNMENT UNIT OF BAGGAO, CAGAYAN, through the 5-06-04-030-01(20% MDF 2018) to apply the sum of Six Hundred Fifty Thousand Thr</t>
  </si>
  <si>
    <t xml:space="preserve"> Republic of the Philippines Province of Cebu MUNICIPALITY OF DAANBANTAYAN Bids and Awards Committee E-mail address: bac.daanbantayan@gmail.com |Contact no.: (032) 437-8144 ITB No.: PB-2020-05-37 Invitation to Bid for the Supply and Delivery of Materials f</t>
  </si>
  <si>
    <t xml:space="preserve"> Invitation to Bid for the  IMPROVEMENT OF HINAKE - CAMANDAGAN FMR  (Labor, Materials, Fuel &amp; Equipment) CONTRACT NUMBER.:  ITB No. 20-065 (PR No. 100-20-05-042) 1.	The Local Government Unit of Bayawan City, through the Land Bank of the Philippines (LBP) L</t>
  </si>
  <si>
    <t xml:space="preserve"> SPL MOBILIZATION/DEMOBILIZATION 1 LOT 102 SURPLUS COMMON EXCAVATION 800 CU.M 103 STRUCTURE EXCAVATION 150 CU.M 104 EMBANKMENT, FROM EXCAVATED SUITABLE MATERIAL 900 CU.M 105 SUBGRADE PREPARATION 6000 SQ.M 200 AGGREGATES SUB-BASE COARSE 1610 SQ.M 300 AGGREG</t>
  </si>
  <si>
    <t xml:space="preserve"> INVITATION TO BID FOR THE SUPPLY AND DELIVERY OF BRASS REPLACEMENT PIECE 1. The Metropolitan Tuguegarao Water District through the Corporate Budget for the Year 20201 intends to apply the sum of Four Million Seven Hundred Sixty-Three Thousand One Hundred </t>
  </si>
  <si>
    <t xml:space="preserve"> Replacement of Roofing System</t>
  </si>
  <si>
    <t xml:space="preserve"> INVITATION TO BID IB No. GS-2020 – 068 Chemicals and Chemical Products for use of the OMPH patients/2nd quarter 2020 1. The  Provincial  Government  of  Oriental  Mindoro  (PGOM)  through  the  Trust Fund intends  to  apply  the  sum  of  One Million Five</t>
  </si>
  <si>
    <t xml:space="preserve"> Republic of the Philippines Province of Ilocos Norte MUNICIPALITY OF CURRIMAO INVITATION TO BID FOR THE  PURCHASE OF RESCUE VEHICLE – DRR EQUIPMENT 1.	The [MUNICIPALITY OF CURRIMAO], through the CY 2019 AM and LGU Fund  intends to apply the sum of Two Mil</t>
  </si>
  <si>
    <t xml:space="preserve"> Republic of the Philippines Province of South Cotabato BIDS AND AWARDS COMMITTEE Capitol Compound Alunan Avenue, Koronadal City Tel. Fax No.: (083) 228-9951/228-8570 INVITATION TO BID FOR THE SUPPLY AND DELIVERY OF 99 KITS ENGLISH READING KIT LEVEL I (ERK</t>
  </si>
  <si>
    <t xml:space="preserve"> Republic of the Philippines DEPARTMENT OF PUBLIC WORKS AND HIGHWAYS MASBATE 1st  DISTRICT ENGINEERING OFFICE REGIONAL OFFICE V San Fernando, Masbate Control No. 2020-05-001 								May 22, 2020 REQUEST FOR EXPERESSION OF INTEREST FOR THE: Contract ID:				</t>
  </si>
  <si>
    <t xml:space="preserve"> Republic of the Philippines Province of South Cotabato BIDS AND AWARDS COMMITTEE Capitol Compound Alunan Avenue, Koronadal City Tel. Fax No.: (083) 228-9951/228-8570 INVITATION TO BID FOR THE SUPPLY AND DELIVERY OF 10 UNITS DIALYSIS MACHINE 1.  The PROVIN</t>
  </si>
  <si>
    <t xml:space="preserve"> The Roxas City Government, through the GOP-2020 intends to apply the Aggregate amount of Two Hundred Seventy Four Thousand Seven Hundred Fifty Pesos (PhP 274,750.00) being the Aggregate Approved Budget for the Contract (ABC) to payments under the contract</t>
  </si>
  <si>
    <t xml:space="preserve"> Installation Of Street Lights Pattaui - Pallua Road Tuguegarao City</t>
  </si>
  <si>
    <t xml:space="preserve"> Republic of the Philippines Province of South Cotabato BIDS AND AWARDS COMMITTEE Capitol Compound Alunan Avenue, Koronadal City Tel. Fax No.: (083) 228-9951/228-8570 INVITATION TO BID FOR THE SUPPLY AND DELIVERY OF VARIOUS LABORATORY &amp; MEDICAL SUPPLIES 1.</t>
  </si>
  <si>
    <t xml:space="preserve"> INVITATION TO BID FOR SUPPLY AND DELIVERY OF TWO THOUSAND THREE HUNDRED NINETY (2,390) SETS CHLORINE DIOXIDE (BUG BUST 4322 &amp; 4324) FOR WATER TREATMENT AND MAINTENANCE USE- 2ND QUARTER OF CY 2020  1.	The METRO KALIBO WATER DISTRICT, through the Corporate </t>
  </si>
  <si>
    <t xml:space="preserve"> REQUEST FOR QUOTATION Supply and Delivery of Psychological Test Materials for CvSU Silang Campus 1. The Cavite State University (CvSU) invites interested firms/suppliers to submit quotation for the project “Supply and Delivery of Psychological Test Materi</t>
  </si>
  <si>
    <t xml:space="preserve"> Invitation to Bid for  May-it SIP May-it SIP-WS-01-2020 Basey, Samar 1.	The National Irrigation Administration, Interim Eastern-Western Samar Irrigation Management Office, Catbalogan City, through the General Appropriation Act of CY 2020 intends to apply </t>
  </si>
  <si>
    <t xml:space="preserve"> INVITATION TO BID Bid No. B-73-2020  1.	The Provincial Government of Negros Oriental through Source of Fund: SP Res. # 846-2018, GF Proper, AIP 2019, intends to apply the sum of One Million Seven Hundred Ten Thousand Four Hundred Twenty-Two Pesos (Php 1,7</t>
  </si>
  <si>
    <t xml:space="preserve"> Standard Form Number: SF-GOOD-05 Revised on: July 28, 2004        INVITATION TO APPLY FOR ELIGIBILITY AND TO BID The LGU-GARCHITORENA, through its Bids and Awards Committee (BAC), invites suppliers/ manufacturers/distributors/contractors to apply for elig</t>
  </si>
  <si>
    <t xml:space="preserve"> Contract ID: 20-DO-0079 Contract Name: LOCAL PROGRAM - Local Infrastructure Program - Building and Other Structures - Multipurpose/Facilities - Construction of Multi-Purpose Building and Facilities, San Francisco St., Brgy. Patunhay, Cardona, Rizal Contra</t>
  </si>
  <si>
    <t xml:space="preserve"> 1.	The Department of Trade and Industry, through the INREMP-LES 2 under ADB Funding intends to apply the sum of Eight Hundred Seventy Thousand Pesos Only (Php 870,000.00) being the Approved Budget for the Contract (ABC) for the contract for Heirloom Rice </t>
  </si>
  <si>
    <t xml:space="preserve"> CONSTRUCTIONOF ONE (1) UNIT GPG-TYPE SCHOOL BUILDING</t>
  </si>
  <si>
    <t xml:space="preserve"> 1.	The Department of Trade and Industry, through the 2019 General Appropriations Act Continuing Appropriations intends to apply the sum of Three Hundred Sixty Two Thousand Five Hundred Ninety Five Pesos (Php 362,595.00) being the Approved Budget for the C</t>
  </si>
  <si>
    <t xml:space="preserve"> REPUBLIC OF THE PHILIPPINES MUNICIPALITY OF BINMALEY PROVINCE OF PANGASINAN INVITATION TO BID FOR SUPPLY AND DELIVERY OF 225 UNITS OF DISASTER TENT 1.	The Municipal Government of Binmaley, through Trust Fund (DILG-AM CY 2019) intends to apply the sum of P</t>
  </si>
  <si>
    <t xml:space="preserve"> Republic of the Philippines DEPARTMENT OF PUBLIC WORKS &amp; HIGHWAYS OFFICE OF THE REGIONAL DIRECTOR Region III Sindalan, City of San Fernando, Pampanga INVITATION TO BID The DPWH-Regional Office No. III,  through  its  Bids  and  Awards  Committee  (BAC),  </t>
  </si>
  <si>
    <t xml:space="preserve"> 1.	The Department of Trade and Industry, through the Integrated Natural Resources and Environmental Management Project – Livelihood Enhancement Support 2 (INREMP-LES 2) under Asian Development Bank (ADB) Funding intends to apply the sum of Five Hundred Fi</t>
  </si>
  <si>
    <t xml:space="preserve"> One job furnishing labor and materials for the CONSTRUCTION OF STORM SURGE PROTECTION, BULARAN, BANATE, ILOILO</t>
  </si>
  <si>
    <t xml:space="preserve"> The Municipality of Gen. Mariano Alvarez, Cavite, through its Bids and Awards Committee (BAC), invites suppliers / manufacturers /distributors /contractors to apply for eligibility and to bid for the hereunder project:									 									 									 Name of</t>
  </si>
  <si>
    <t xml:space="preserve"> 1.	The Department of Trade and Industry, through the INREMP-LES 2 under ADB Funding intends to apply the sum of Four Hundred Seventy-Two Thousand Five Hundred Fifty Pesos Only (Php 472,550.00) being the Approved Budget for the Contract (ABC) for the contr</t>
  </si>
  <si>
    <t xml:space="preserve"> 1.	The Department of Trade and Industry, through the INREMP LES 2 under ADB Funding intends to apply the sum of Seven Hundred Sixty Seven Thousand Pesos Only (Php767,000.00) being the Approved Budget for the Contract (ABC) for the contract for ENHANCING T</t>
  </si>
  <si>
    <t xml:space="preserve"> 1.	The Department of Trade and Industry, through the Integrated Natural Resources and Environmental Management Project – Livelihood Enhancement Support 2 (INREMP-LES 2) under Asian Development Bank (ADB) Funding intends to apply the sum of One Hundred Two</t>
  </si>
  <si>
    <t xml:space="preserve"> 1.	The Department of Trade and Industry, through the INREMP LES 2 under ADB Funding intends to apply the sum of One Million Three Hundred Fifty Three Thousand Pesos Only (Php1,353,000.00) being the Approved Budget for the Contract (ABC) for the contract f</t>
  </si>
  <si>
    <t xml:space="preserve"> Furnishing of tools, labor equipment and other necessary documents necessary for the completion  of the above project. The work consist of: 103 EMBANKMENT 404 REINFORCING STEEL 405 STRUCTURAL CONCRETE 505 GROUTED RIPRAP SPL A BILLBOARD/TARPAULIN Invitatio</t>
  </si>
  <si>
    <t xml:space="preserve"> Interested suppliers/dealers are invited to a sealed bidding to open in the presence of bidders at the Office of the Municipal Engineer, Municipal Hall, Catmon, Cebu for the supply of goods. (See attached advertisement of bids). Name of Project(s): Purcha</t>
  </si>
  <si>
    <t xml:space="preserve"> 1.	The Department of Trade and Industry, through the INREMP LES 2 under ADB Funding intends to apply the sum of One Million Eighty Thousand Pesos Only (Php1,080,000.00) being the Approved Budget for the Contract (ABC) for the contract for SUSTAINING THE L</t>
  </si>
  <si>
    <t xml:space="preserve"> Furnishing of tools, labor, equipment and other necessary document for the completion of the above project. SPL 1 PROJECT BILLBOARD I. HAULING OF MATERIALS II. FOOTBRIDGE III. GROUTED RIPRAP Invitation to Bid for the COMPLETION OF LOWER SABANGAN FOOTBRIDG</t>
  </si>
  <si>
    <t xml:space="preserve"> Furnishing of tools, labor, equipment and other necessary documents for the completion of the above project. The Works consist of: SPL A MOBILIZATION AND DEMOBILIZATION 100 CLEARING AND GRUBBING 102-A EXCAVATION (UNCLASSIFIED MATERIALS) 102-B EXCAVATION (</t>
  </si>
  <si>
    <t xml:space="preserve"> Department of Public Works and Highways Contract ID	:	20MH0075 Contract Name	:	Concreting of Road connecting Purok Narra, Brgy. Numo, Esperanza, Sultan Kudarat Contract Location	:	Esperanza, Sultan Kudarat Department of Public Works and Highways Sultan Ku</t>
  </si>
  <si>
    <t xml:space="preserve"> Supply and delivery of various vegetable seeds to be distributed as training kits to the recipients of the Training on Vegetable Production in Region I 200	packs	Tomato F1 @ 3g/packet					  	 	Germination Rate: 80%; Potential Yield: 36 mt/ha; Maturity: 55</t>
  </si>
  <si>
    <t xml:space="preserve"> 1.	The Department of Trade and Industry, through the  INREMP LES 2 under ADB funding intends to apply the sum of  Seven Hundred Five Thousand Pesos (Php 705,000.00) being the Approved Budget for the Contract (ABC) for the contract for  White Corn Processi</t>
  </si>
  <si>
    <t xml:space="preserve"> The Local Government Unit of CONNER, through the 2020 20% DF intends to apply the sum of Two Hundred Ninety One Thousand Six Hundred Eighty Seven Pesos and 41/100 Centavos Only (₱ 291,687.41) being the Approved Budget for the Contract (ABC) to payments un</t>
  </si>
  <si>
    <t xml:space="preserve"> The Local Government Unit of CONNER, through the 2020 20% DF intends to apply the sum of Two Hundred Eighty Seven Thousand Seven Hundred Seventy Four Pesos and 05/100 Centavos Only (₱ 287,774.05) being the Approved Budget for the Contract (ABC) to payment</t>
  </si>
  <si>
    <t xml:space="preserve"> Furnishing of tools, labor, equipment and other necessary documents for the completion of the above project. The Works consist of: I. CLEARING AND GRUBBING II. REMOVAL OF EXISTING PCC PAVEMENT, 0.15M THK. III. EXCAVATION (UNCLASSIFIED MATERIALS) IV. EXCAV</t>
  </si>
  <si>
    <t xml:space="preserve"> Section I. Invitation to Bid Republic of the Philippines Province of Bukidnon MUNICIPALITY OF TALAKAG Invitation to Bid for Procurement of Ambulance (For Rural Health Unit) 1.	The Municipality of Talakag through the Trust Fund, intends to apply the sum of</t>
  </si>
  <si>
    <t xml:space="preserve"> 1.	The Department of Transportation (DOTr) through the CY 2019 Continuing Appropriations, intends to apply the sum of One Million Eight Hundred Forty Thousand Four Hundred Sixty-Six Pesos and Twenty-Five Centavos (Php1,840,466.25) (VAT Inclusive) being th</t>
  </si>
  <si>
    <t xml:space="preserve"> Please see attached RFQ # 20-994 Submit your Sign and Sealed Quotation together with your UPDATED ELIGIBILITY Requirements at 3/F ATI Building Department of Agriculture Region IV-MiMaRoPa, Property&amp;Supply Unit/BAC Secretariat Elliptical Road, Diliman, Que</t>
  </si>
  <si>
    <t xml:space="preserve"> INVITATION TO BID A.	The DPWH, Negros Oriental 1st District Engineering Office, Tinaogan, Bindoy, Negros Oriental now invites contractors to apply to bid for the contract(s); Contract ID # 		20HJ0118 Contract Name 	Installation of Solar Pavement Studs alo</t>
  </si>
  <si>
    <t xml:space="preserve"> Department of Health Central Luzon Center for Health Development MARIVELES MENTAL WELLNESS AND GENERAL HOSPITAL Mariveles, Bataan BAC Office, BAC Secretariat (047) 633-4992 procurement@mmh.gov.ph INVITATION TO BID  RE-BIDDING OF UTILITY VEHICLE 2020 2020-</t>
  </si>
  <si>
    <t xml:space="preserve"> Standard Form Number: SF-INFR-05 Revised on: July 29, 2004        	 INVITATION TO APPLY FOR ELIGIBILITY AND TO BID The Municipality of Garchitorena through its Bids and Awards Committee (BAC), invites contractors registered with and classified by the Phil</t>
  </si>
  <si>
    <t xml:space="preserve"> 1.	The Local Government Unit of CONNER, through the 2018 20% DF intends to apply the sum of Four Hundred Seventy-Three Thousand Forty-One Pesos and 18/100 Centavos Only (₱ 473,041.18) being the Approved Budget for the Contract (ABC) to payments under the </t>
  </si>
  <si>
    <t xml:space="preserve"> 1.	The Department of Trade and Industry, through the INREMP LES 2 under ADB Funding intends to apply the sum of Four Hundred Twenty Eight Thousand Five Hundred Pesos Only (Php428,500.00) being the Approved Budget for the Contract (ABC) for the contract fo</t>
  </si>
  <si>
    <t xml:space="preserve"> 1.	The Department of Trade and Industry, through the INREMP LES 2 under ADB Funding intends to apply the sum of One Million Three Hundred Fifty Three Thousand  Pesos Only (Php1,353,000.00) being the Approved Budget for the Contract (ABC) for the contract </t>
  </si>
  <si>
    <t xml:space="preserve"> Request for Expression of Interest Consulting Service for the Support and Maintenance of the Business Name Registration System Next Generation (BNRSNextGEN) 1.	The Department of Trade and Industry, through the CY 2020 General Appropriations Act and/or con</t>
  </si>
  <si>
    <t xml:space="preserve"> The Local Government Unit of CONNER, through the 2020 20% DF intends to apply the sum of Four Hundred Seventy SevenThousand Seven Hundred Ninety Five Pesos and 56/100 Centavos Only (₱ 477,795.56) being the Approved Budget for the Contract (ABC) to payment</t>
  </si>
  <si>
    <t xml:space="preserve"> The Municipal Government Unit of CONNER, through the 20% Development Fund 2020 intends to apply the sum of Five hundred ninety two thousand three hundred nine pesos and 60/100 only (₱ 592,309.60) being the Approved Budget for the Contract (ABC) to payment</t>
  </si>
  <si>
    <t xml:space="preserve"> Republic of the Philippines Province of Iloilo Municipality of Lemery 	 Invitation to Bid 1.	The Municipality of  Lemery, Iloilo, through  the  GAA Fund  intends to apply the sum of  Ten Million Pesos (10,000,000.00) being the Approved  Budget  for  the C</t>
  </si>
  <si>
    <t xml:space="preserve"> Construction of One(1) Building</t>
  </si>
  <si>
    <t xml:space="preserve"> Repair/Rehabilitation of Flood Control</t>
  </si>
  <si>
    <t xml:space="preserve"> Procurement ID/ Contract ID:	20FJ0026 Contract Name:	Repair/Maintenance of Sawang Flood Control, Sawang, Uson, Masbate, Sta. 0+000 - Sta. 0+060 (Upstream, R/S) Contract Location:	Sawang, Uson, Masbate Brief Description:	Repair/Maintenance of Flood Control</t>
  </si>
  <si>
    <t xml:space="preserve"> 1.	The Department of Trade and Industry, through the INREMP LES 2 under ADB Funding intends to apply the sum of Six Hundred Seventy One Thousand Five Hundred Pesos Only (Php671,500.00) being the Approved Budget for the Contract (ABC) for the contract for </t>
  </si>
  <si>
    <t xml:space="preserve"> 1.	The Department of Trade and Industry, through the INREMP-LES 2 under ADB Funding intends to apply the sum of Five Hundred Two Thousand Six Hundred Eighty Pesos Only (Php 502,680.00) being the Approved Budget for the Contract (ABC) for the contract for </t>
  </si>
  <si>
    <t xml:space="preserve"> 2     Pcs.     Submersible Pump 6" Specs: Rated to deliver 79.2 gpm x 230 m TDH &amp; a minimu of 35 gpm  @ 285 m TDH.  Complete w/ cable guard &amp; built-in	 check valve, 3 " discharge pipe connection.  All stainless steel construction for	 6" dia. or larger we</t>
  </si>
  <si>
    <t xml:space="preserve"> NOTICE TO THE PUBLIC REQUEST FOR PROPOSAL Purchase Request No: PUR19-03-0301/PUR20-02-0163 The Philippine General Hospital hereby informs the public that it will be procuring the following item/s through Small Value Procurement: Item Qty.-Unit Description</t>
  </si>
  <si>
    <t xml:space="preserve"> CONSTRUCTION OR REHABILITATION OF BARANGAY ROADS LOCATION: BARANGAYS OF REINA MERCEDES 1. BANQUERO: 650 METERS - P500,000 2. BINARSANG: 650 METERS - P500,000 3. CUTOG GRANDE: 650 METERS - P500,000 4. MALLALATANG GRANDE: 650 METERS - P500,000 5. MALLALATAN</t>
  </si>
  <si>
    <t xml:space="preserve"> Invitation to Bid for the  SUPPLY AND DELIVERY OF IT EQUIPMENT 1.	The Metropolitan Tuguegarao Water District through the Corporate Budget for the Year 2020 intends to apply the sum of Two Million Four Hundred Thousand Pesos (P 2,400,000.00) being the Appr</t>
  </si>
  <si>
    <t xml:space="preserve"> FURNISHING OF CONSTRUCTION MATERIALS FOR THE CONSTRUCTION OF BOX CULVERT LOCATION: BARANGAY DANGAN, REINA MERCEDES, ISABELA CONTRACT COST: P500,000 SOURCE OF FUND: 20% DEVELOPMENT FUND PHYSICAL TARGET: 12 METERS COST OF DOCUMENTS: P1,000 DURATION: 30 CD's</t>
  </si>
  <si>
    <t xml:space="preserve"> Invitation for Negotiated Procurement KAWAKAYAN SIP CY 2020 PACKAGE 1: CONSTRUCTION OF DIVERSION WORKS Invitation to Negotiate No. R4B-20-05-05 1.	    The NIA MIMAROPA Regional Office, through the FY 2020 National Expenditure Program or the General Approp</t>
  </si>
  <si>
    <t xml:space="preserve"> 1ST  BIDDING       The Local Government Unit of  Paracale, through its Bids and  Awards  Committee (BAC) invites  a contractor registered with and  classified by the  Philippine Contractors  Accreditation Board ( PCAB ) to apply for  eligibility and to bi</t>
  </si>
  <si>
    <t xml:space="preserve"> CONSTRUCTION OR REHABILITATION OF LOCAL GOVERNMENT OWNED POTABLE WATER SUPPLY SYSTEM LOCATION: BARANGAYS OF REINA MERCEDES, ISABELA 1. BANQUERO: LEVEL II- P200,000 2. DANGAN: LEVEL I- P400,000 3. NAPPACCU PEQUENO: LEVEL I (DEEPWELL)- P300,000 4. SANTOR: L</t>
  </si>
  <si>
    <t xml:space="preserve"> REQUEST FOR QUOTATION Supply and Delivery of Medical Supplies and Equipment for CvSU Silang Campus 1. The Cavite State University (CvSU) invites interested firms/suppliers to submit quotation for the project “Supply and Delivery of Medical Supplies and Eq</t>
  </si>
  <si>
    <t xml:space="preserve"> REPUBLIC OF THE PHILIPPINES MANOLO FORTICH WATER DISTRICT A.Ditona Street, Tankulan, Manolo Fortich, Bukidnon Tel. No. 09176771080   email add – mfwd_buk@yahoo.com Water is Life. Conserve Water. Preserve Life INVITATION TO BID  CONSTRUCTION OF SPRING INTA</t>
  </si>
  <si>
    <t xml:space="preserve"> REPUBLIC OF THE PHILIPPINES MANOLO FORTICH WATER DISTRICT A.Ditona Street, Tankulan, Manolo Fortich, Bukidnon Tel. No. 09176771080, Email Add.: mfwd_buk@yahoo.com Water is Life. Conserve Water. Preserve Life INVITATION TO BID FOR THE PROCUREMENT OF  TWO (</t>
  </si>
  <si>
    <t xml:space="preserve"> Section I. Invitation to Bid Republic of the Philippines Province of Bukidnon MUNICIPALITY OF TALAKAG Invitation to Bid for Installation and Fabrication of Amenities  (For Proposed Slaughter House, Sto. Niño) 1.	The Municipality of Talakag through the 20%</t>
  </si>
  <si>
    <t xml:space="preserve"> INVITATION TO BID INSTALLATION OF STREET LIGHTS ALONG PUROK 6 TO CALAMBA PROPER IN BARANGAY CALAMBA, CABADBARAN CITY 1.	The Local Government Unit of Cabadbaran City through the PEACE &amp; ORDER FUND (EO 70 ELCAC IMPLEMENTATION) intends to apply the sum of ON</t>
  </si>
  <si>
    <t xml:space="preserve"> Republic of the Philippines DEPARTMENT OF PUBLIC WORKS AND HIGHWAYS CENTRAL OFFICE Manila Roads Management Cluster 1 (Bilateral), Unified Project Management Office 2nd Street, Port Area, Manila -------------------------------------------------------------</t>
  </si>
  <si>
    <t xml:space="preserve"> The Philippine Carabao Center at USM through its Bids and Awards Committee (BAC) invites PhilGEPS registered suppliers to apply to bid for the Supply and Delivery of Food Processing Equipment.</t>
  </si>
  <si>
    <t xml:space="preserve"> Republic of the Philippines DEPARTMENT OF PUBLIC WORKS AND HIGHWAYS Region VI – Western Visayas ILOILO 1st DISTRICT ENGINEERING OFFICE Office of the District Engineer Fort San Pedro Road, Iloilo City REQUEST FOR EXPRESSION OF INTEREST (REOI) (RE-BIDDING) </t>
  </si>
  <si>
    <t xml:space="preserve"> Concreting of Roads including paving of shoulder, minor drainage structures and guardrails</t>
  </si>
  <si>
    <t xml:space="preserve"> INVITATION TO BID The Department of Public Works and Highways - Pampanga 1st District Engineering Office, through its Bids and Awards Committee (BAC), invites contractors to submit bids for the following Contract: 1.	 Procurement ID/Contract ID	:	20CG0130</t>
  </si>
  <si>
    <t xml:space="preserve"> INVITATION TO BID FOR Provision of Amphitheater at Nursing Arts Laboratory-Reposting                The CAMARINES SUR POLYTECHNIC COLLEGES, through the General Appropriation Act (GAA 2019 Savings) intends to apply the sum of Eight Hundred Thousand Pesos (</t>
  </si>
  <si>
    <t xml:space="preserve"> Request for Quotation The Bureau of Fisheries and Aquatic Resources, Regional Office No. 5, Fabrica, Bula, Camarines Sur is requesting from prospective suppliers to submit quotation for the Supply and Delivery of Commercial Feeds for Bangus (Sinking Type)</t>
  </si>
  <si>
    <t xml:space="preserve"> National Museum of the Philippines Old Congress Building, Padre Burgos Street, Manila  INVITATION TO BID The NATIONAL MUSEUM OF THE PHILIPPINES, through the Government of the Philippines (GOP), intends to apply the sum of Ten Million Pesos (Php 10,000,000</t>
  </si>
  <si>
    <t xml:space="preserve"> Purchase of 2,600 Bags of Syntethic Fertilizers to be distributed to the farmers of Porac, Pampanga</t>
  </si>
  <si>
    <t xml:space="preserve"> 50	PC	 Frying Pan   • 26 cm diameter by 5 cm height • teflon • non-stick • riveted handle • 3-4mm thickness" 50	PC	 Mixing Bowl  • Stainless steel  • 30 cm diameter • 5 quart capacity 50	PC	 Chef's Knife  • 8" Stainless steel blade • Black polymer riveted</t>
  </si>
  <si>
    <t xml:space="preserve"> The Local Government Unit of Science City of Muñoz, through the Performance Challenge Fund (PCF) of Department of Interior and Local Government intends to apply the sum of Three Million Five Hundred Thousand Pesos (Php 3,500,000.00) being the Approved Bud</t>
  </si>
  <si>
    <t xml:space="preserve"> Republic of the Philippines Province of Ilocos Sur Municipality of San Juan Barangay Sabangan OFFICE OF THE BIDS AND AWARDS COMMITTEE INVITATION TO APPLY FOR ELIGIBILITY AND TO BID The Barangay Sabangan,San Juan,Ilocos Sur through the Bids and Awards Comm</t>
  </si>
  <si>
    <t xml:space="preserve"> Please see attached documents. Thanks!</t>
  </si>
  <si>
    <t xml:space="preserve"> Specifications: Displacement: 2,755cc Engine Size: 2.8L Number of valves: 16 Number of Cylinders: 4 Transmission Category: 6-Speed Manual (Dash-Mounted) Fuel Type: Diesel Fuel Capacity: 70 liters Power Train: Real-Wheel Drive Length: 5,265 mm Width: 1950 </t>
  </si>
  <si>
    <t xml:space="preserve"> Procurement of supply and delivery of other materials 42	bags	Portland cement, ASTM Type 1 3.5	Cu.m.	Fine agg, washed sand, max size ¼” ø 7	Cu.m.	Coarse agg., screened, max size ¾” ø 10.5	kgs	Tie wire, gauge #16 x 53m/kg 378	m	Chicken hexagonal wire mesh,</t>
  </si>
  <si>
    <t xml:space="preserve"> Displacement: 2,800cc Euro Standard: Euro IV Max Torque: 225 N-m/1,800-2,000rpm Transmission: 5-speed Manual+1 Reverse Brake System: FRONT:ABS-EBD Front Disk Brake Seating Capacity:3 Tires/Wheels:4+1/195 R15 Overall Dimension (LxWxH):5,320 x 1695 x 2240 m</t>
  </si>
  <si>
    <t xml:space="preserve"> Procurement of supply and delivery of other materials 20	bags	Portland cement, ASTM Type 1 2	Cu.m.	Fine agg, washed sand, max size ¼” ø 4	Cu.m.	Coarse agg., screened, max size ¾” ø 4	pcs	Deformed steel bars, 12mm ø x 6m, grade 33 66	pcs	Deformed steel bar</t>
  </si>
  <si>
    <t xml:space="preserve"> Lot 1: One (1) Unit Motor Vehicle for BSP Bacolod Branch, as per attached specifications Lot 2: One (1) Unit Motor Vehicle for BSP Dumaguete Branch, as per attached specifications Lot 3: One (1) Unit Motor Vehicle for BSP Iloilo Branch, as per attached sp</t>
  </si>
  <si>
    <t xml:space="preserve"> For Service Vehicle: Toyota Hi-Lux, w/ temporary plate no.0801197695  8   pcs.   Tubeless Tire (265/65R17) Specifications: * Branded * Tire Width - 265mm * Load Index Rating - 112 * Speed Rating - 180 km/hr w-w-w-w-w-w-w-w-w-w-w</t>
  </si>
  <si>
    <t xml:space="preserve"> Procurement of supply and delivery of other materials 147	bags	Portland cement, ASTM Type 1 10.5	Cu.m.	Fine agg, washed sand, max size ¼” ø 17.5	Cu.m.	Coarse agg., screened, max size ¾” ø 630	pcs	CHB, 4” thick 21	m	Cyclone wire gausge 10, 2” x 2” x 4ft x </t>
  </si>
  <si>
    <t xml:space="preserve"> see associated component</t>
  </si>
  <si>
    <t xml:space="preserve"> Republic of the Philippines Philippine Rural Development Project Province of Negros Occidental Invitation to Bid for the Construction of Building of the Muscovado Production and Marketing Enterprise Identification No.: PRDP-IR-R006-NOC-008-000-000-2017-R3</t>
  </si>
  <si>
    <t xml:space="preserve"> Lot 1: One (1) Lot Application of Polyurethane Foam on all BSP Buildings of BSP Cebu RO (see attached Scope of Work and Specifications)                                                                Lot 2: One (1) Lot Application of Polyurethane Foam Insu</t>
  </si>
  <si>
    <t xml:space="preserve"> see attached bid docs</t>
  </si>
  <si>
    <t xml:space="preserve"> Procurement of Printing Services 3,300	Sq. ft	Printing of tarpaulin with the following specifications: Assorted sizes of tarpaulins Heavy duty with borders and eyelets For DA-WV programs, projects, promotions and activities PR# 2020-771</t>
  </si>
  <si>
    <t xml:space="preserve"> SPECIFICATIONS: Dimensions (mm): 6,990 Wheel Base: Overall Height:2,600 Overall Width: 2.035 Weight:Seat Capacity: 30 Engine: 16-Valve OHV,Gear Drive, Diesel Number of Cylinder: 4 in-line Max. Power/Torque (ps/kg.m): 353Nm/1600rmm Displacement: 4009 Trans</t>
  </si>
  <si>
    <t xml:space="preserve"> The DPWH Neg. Occ. 4th District Engineering Office, Bago City, Neg. Occ., through its Bids and Awards Committee (BAC), is inviting interested Consultants to apply for eligibility and shortlisting and, if found eligible and shortlisted to bid for the hereu</t>
  </si>
  <si>
    <t xml:space="preserve"> INVITATION TO BID A.	The DPWH, Negros Oriental 1st District Engineering Office, Tinaogan, Bindoy, Negros Oriental now invites contractors to apply to bid for the contract(s); Contract ID # 		20HJ0117 Contract Name 	Repair/Maintenance of DPWH Building Quar</t>
  </si>
  <si>
    <t xml:space="preserve"> Photocopier Machine</t>
  </si>
  <si>
    <t xml:space="preserve"> For the use of Guba Community Hospital.</t>
  </si>
  <si>
    <t xml:space="preserve"> INVITATION TO BID NO. 2020-05-0011 PROCUREMENT OF LABORATORY EQUIPMENT OF CAPSU RDE-CSRDC 1.	The Capiz State University, through the Trust Fund - 2020 intends to apply the sum of Four Million Two Hundred Thousand Pesos (Php4,200,000.00) being the Approved</t>
  </si>
  <si>
    <t xml:space="preserve"> A. General 1. Scope of Bid 1.1 The Procuring Entity, as defined in the BDS, invites bids for the construction of the Works under the proposed Contract, as described in the BDS. The name and ID of the Contract are stated in the BDS. 1.2 The winning bidder </t>
  </si>
  <si>
    <t xml:space="preserve"> INVITATION TO BID  PROCUREMENT OF SERVICES AND MATERIALS FOR THREE (3) EXPLORATORY/PRODUCTION WELLS AND RELATED PUMPING AND STORAGE FACILITIES 1.	The LOCAL WATER UTILITIES ADMINISTRATION has received a Loan from the Asian Development Bank toward the cost </t>
  </si>
  <si>
    <t xml:space="preserve"> Swimming Pool ( Inner Walls and Floor) 525	sq.m	Pool Area(Including surface preparation) 480	sq.m	Deck Area (Including surface preparation) 51	gals	Liquid Tiles Primer 32	gals	Liquid Tiles Reducer 80	gals	Liquid Tiles paint w/reducer 15	gals	Paint Remover</t>
  </si>
  <si>
    <t xml:space="preserve"> INVITATION TO BID FOR HIRING OF SERVICE PROVIDER FOR CUSTOMS BROKERAGE AND CARGO HAULING SERVICES FOR FY 2020 — ITB NO. GOP/20-DSWD-032 — (PR NO. 2019121832) 1.	The Department of Social Welfare and Development (DSWD) – National Resource and Logistics Mana</t>
  </si>
  <si>
    <t xml:space="preserve"> INVITATION TO BID FOR PROVISION OF MULTI-YEAR CONTRACT FOR THE HIRING OF COURIER/FORWARDING SERVICE PROVIDER                                  FOR CY 2020-2022 —  ITB NO. GOP/20-DSWD-030— (PR NO. 01-20001-PR-2020-04-00044 &amp; 2020036113) 1.	The Department of</t>
  </si>
  <si>
    <t xml:space="preserve"> WIDENING OF ACUTE ANGLE, W=MORE OR LESS 4M EARTH FILL WIDE</t>
  </si>
  <si>
    <t xml:space="preserve"> Procurement of supply and delivery of farm chemicals 2	Bottle	Ethylene diamine tetra acetic acid (Na2EDTA.2H20) 3	Bottle	Potassium nitrate, 1kg/bot, AR 4	Bottle	Ammonium nitrate, 1kg/bot, AR 3	Bottle	Calcium chloride dehydrate, 500g/bot,AR 3	Bottle	Magnes</t>
  </si>
  <si>
    <t xml:space="preserve"> PNOC Exploration Corporation (PNOC EC), through its Bids and Awards Committee (BAC), invites bidders to apply for eligibility and to bid for the hereunder project:                                    Project Name : Supply and Delivery of Materials, Labor, </t>
  </si>
  <si>
    <t xml:space="preserve"> Request for Proposal  The Bureau of Fisheries and Aquatic Resources Regional Office No. 5 (BFAR RO 5), Fabrica, Bula, Camarines Sur is requesting from prospective suppliers to submit written proposal for the Supply and Delivery of Seaweed Propagules/Seedl</t>
  </si>
  <si>
    <t xml:space="preserve"> 1	The DPWH, ZN 3rd Engineering District, Segabe, Piñan, Zamboanga del Norte, through the CY 2020 PDE Funds intends to apply the sum of FOUR HUNDRED TWENTY FOUR THOUSAND SEVEN HUNDRED SIXTY NINE PESOS AND THIRTY NINE CENTAVOS (Php 424,769.39) being the App</t>
  </si>
  <si>
    <t xml:space="preserve"> 1.00 drum   Rapid Primer Compound (200 liter / drum) 400  sacks   Cold Mix Asphalt w-w-w-w-w-w-w-w-w-w-w-w-w-w-w-w-w-w-w-w-w-w</t>
  </si>
  <si>
    <t xml:space="preserve"> INVITATION TO BID 1)	The DPWH- Davao City District Engineering Office through its Bids and Awards Committee (BAC), invites contractors to submit bids for the following contract; 1. Procurement ID /          Contract ID No.	:	20LB0222     Contract Name	:	C</t>
  </si>
  <si>
    <t xml:space="preserve"> INVITATION TO BID 1)	The DPWH- Davao City District Engineering Office through its Bids and Awards Committee (BAC), invites contractors to submit bids for the following contract; 1. Procurement ID /          Contract ID No.	:	20LB0155     Contract Name	:	C</t>
  </si>
  <si>
    <t xml:space="preserve"> 1.	The NATIONAL FOOD AUTHORITY (NFA) Central Luzon Regional Office intends to apply the sum of ONE HUNDRED SEVENTEEN MILLION ONE HUNDRED FORTY ONE THOUSAND EIGHTY SIX PESOS and 95/10 (P117,141,086.95) inclusive of VAT and Social Benefits, (Pag-ibig, PHILH</t>
  </si>
  <si>
    <t xml:space="preserve"> Procurement of supply and delivery farm supplies 100	sacks	Vermicast, 50kgs/sack 10	packs	Fungicide w/ anti-bacterial effect (500gms/pack) 10	bottle	Lambdacyhalothrin, 1 liter/bottle 100	packs	Carbaryl, 50g/pack 6	bottles	Foliar Fertlizer, 1 litter/bottle</t>
  </si>
  <si>
    <t xml:space="preserve"> 1	The DPWH, ZN 3rd Engineering District, Segabe, Piñan, Zamboanga del Norte, through the CY 2020 PDE Funds intends to apply the sum of ONE MILLION ONE HUNDRED NINETY NINE THOUSAND SEVEN HUNDRED NINETY TWO PESOS AND SEVENTY SEVEN CENTAVOS (Php 1,199,792.77</t>
  </si>
  <si>
    <t xml:space="preserve"> Wash Gravel Wash sand Portland cement 4”x8”x16 CHB  Hack saw blade 16mm0x6.00m RSB 12mm dia.x6.0m RSB Double Swing Door Aluminium Frame with glass 70mx2.10cm PVC Flash Door Yale Door Knob 3x3 Hinges Sliding Window Rough Lumber 2”x6”x10 Rough Lumber 2”x3”8</t>
  </si>
  <si>
    <t xml:space="preserve"> The DPWH – Bulacan First District Engineering Office, through its Bids and Awards Committee (BAC), invites contractors to submit bids for the following Contract: Contract ID: 20CC0214 Contract Name: Construction of Bridge, Brgy. Bonga Menor Contract Locat</t>
  </si>
  <si>
    <t xml:space="preserve"> Repair/Rehabilitation of the Municipal Hall</t>
  </si>
  <si>
    <t xml:space="preserve"> Sample Description</t>
  </si>
  <si>
    <t xml:space="preserve"> Concreting/Widening of Pavement</t>
  </si>
  <si>
    <t xml:space="preserve"> Request for Quotation The Bureau of Fisheries and Aquatic Resources, Regional Office No. 5, Fabrica, Bula, Camarines Sur is requesting from prospective suppliers to submit quotation for the Supply and Delivery of Fiberglass Reinforce Plastic Boat Material</t>
  </si>
  <si>
    <t xml:space="preserve"> 34 rolls of 2"Ø P.E. PIPES SDR-11 for improvement of water system @ Brgy. Baculanad, Sta. Fe, Leyte. w-w-w-w-w-w-w-w-w-w-w-w-w-w-w-w-w-w-w-w-w-w-w-w-w-w-w</t>
  </si>
  <si>
    <t xml:space="preserve"> Request for Quotation The Bureau of Fisheries and Aquatic Resources, Regional Office No. 5, Fabrica, Bula, Camarines Sur is requesting from prospective suppliers to submit quotation for the Supply and Delivery of Tools for the Repair and Maintenance of al</t>
  </si>
  <si>
    <t xml:space="preserve"> SUPPLY AND DELIVERY/PURCHASE OF TOILET BOWL</t>
  </si>
  <si>
    <t xml:space="preserve"> Request for Quotation The Bureau of Fisheries and Aquatic Resources, Regional Office No. 5, Fabrica, Bula, Camarines Sur is requesting from prospective suppliers to submit quotation for the Supply and Delivery of FRP Materials, Underwater Fittings and Mar</t>
  </si>
  <si>
    <t xml:space="preserve"> Republic of the Philippines Department of Health	 CENTRAL OFFICE BIDS AND AWARDS COMMITTEE  INVITATION TO BID  PROCUREMENT OF HEALTH COMMUNICATION SOLUTIONS  IB NO. 2020-203 1.	The Department of Health (DOH), through the General Appropriation Act (GAA) of</t>
  </si>
  <si>
    <t xml:space="preserve"> The Municipal Government Unit of CONNER, through the 20% Development Fund 2020 intends to apply the sum of One Million three hundred thirty five thousand eight hundred ninety two pesos and 50/100 only (₱ 1,335,892.50) being the Approved Budget for the Con</t>
  </si>
  <si>
    <t xml:space="preserve"> REFURBISHING OF 5 UNITS CR @ A6 SCOPE OF WORKS 1.MOBILIZATION OF MATERIALS AND SITE PREPARATION. 2. CLEARING THE UNNECESSARY OBJECTS OF THE SITE. 3. INSTALLATION OF FINISHING MATERIALS (CEILINGS,FLOORS,WALLS,DOORS,EXHAUST FAN, HANGING CABINETS, FAUCETS, H</t>
  </si>
  <si>
    <t xml:space="preserve"> The Local Government Unit – Quinapondan, Eastern Samar, through its Bids &amp; Awards Committee (BAC ), intends to apply the sum of Six Hundred Fifty Seven Thousand, Six Hundred Forty Six Pesos and 83/100 (Php657,646.83) under the 20% EDF, Annual Budget Appro</t>
  </si>
  <si>
    <t xml:space="preserve"> Republic of the Philippines Department of Health	 CENTRAL OFFICE BIDS AND AWARDS COMMITTEE  INVITATION TO BID   PROCUREMENT OF STRUCTURED LOCAL AREA NETWORKING (LAN) CABLING FOR TREATMENT REHABILITATION CENTER (TRC) PHASE 2 IB NO. 2020-202 1.	The Departme</t>
  </si>
  <si>
    <t xml:space="preserve"> Invitation for Negotiated Procurement  KAWAKAYAN SIP CY 2020 PACKAGE 2: CONSTRUCTION OF CANAL LINING AND CANAL STRUCTURES Invitation to Negotiate No. R4B-20-05-06 1.	The NIA MIMAROPA Regional Office, through the FY 2020 National Expenditure Program or the</t>
  </si>
  <si>
    <t xml:space="preserve"> ITEM NO.	QTY	UNIT	ARTICLES	UNIT	TOTAL 				PRICE	 PR NO. 20-05-516			 1	7	BUNDLE	Plastic/Trash Bags, XL Polyethlene, Color; Yellow for Infectious Wastes  (1000 pcs per bundle)	4,915.33	34.407.31 2	3	BUNDLE	Plastic/Trash Bags, XL Polyethlene, Color; Black f</t>
  </si>
  <si>
    <t xml:space="preserve"> Department of Public Works and Highways OFFICE OF THE REGIONAL DIRECTOR DPWH Regional Office VII South Road Properties, Cebu City  Request for Expression of Interest for the Procurement of  Consultancy Services for the Detailed Engineering Design (DED) Ac</t>
  </si>
  <si>
    <t xml:space="preserve"> Please see attached ITB</t>
  </si>
  <si>
    <t xml:space="preserve"> 1. Pre-procurement	May 7, 2020 2. Advertisement/Posting of IBEI	May 8-14, 2020 3.  Eligibility Check	May 15-16, 2020 4. Issuance and availability of Bidding Documents	May 18-June 1, 2020 5. Pre-Bid Conference 	May 19, 2020 6. Submission and Opening of Bid</t>
  </si>
  <si>
    <t xml:space="preserve"> INVITATION TO BID The DPWH-Regional Office No. III,  through  its  Bids  and  Awards  Committee  (BAC),  invites contractors to submit bids for the following Contracts below:   Procurement ID/Contract ID:    20C00042 Contract Name:      Local Program-Cons</t>
  </si>
  <si>
    <t xml:space="preserve"> Department of Public Works and Highways OFFICE OF THE REGIONAL DIRECTOR DPWH Regional Office VII South Road Properties, Cebu City  Request for Expression of Interest for the Procurement of Consultancy Services for the Detailed Engineering Design (DED) Act</t>
  </si>
  <si>
    <t xml:space="preserve"> The Local Government Unit of CONNER, through the 2020 20% DF intends to apply the sum of Four Hundred Seventy Thousand Six Hundred Three Pesos and 00/100 Centavos Only (₱ 470,603.00) being the Approved Budget for the Contract (ABC) to payments under the c</t>
  </si>
  <si>
    <t xml:space="preserve"> 1.	The Department of Trade and Industry, through the INREMP LES 2 under ADB funding intends to apply the sum of Nine Hundred Fifty Five Thousand Pesos (Php 955,000.00) being the Approved Budget for the Contract (ABC) for the contract for Enhancing the Liv</t>
  </si>
  <si>
    <t xml:space="preserve"> 1.	The Department of Trade and Industry, through the INREMP LES 2 under ADB Funding intends to apply the sum of Four Hundred Eighty Three Thousand Nine Hundred Pesos Only (Php483,900.00) being the Approved Budget for the Contract (ABC) for the contract fo</t>
  </si>
  <si>
    <t xml:space="preserve"> Department of Public Works and Highways Contract ID	:	20MH0074 Contract Name	:	Concreting of Purok Kawayan Road, Brgy. Poblacion, Bagumbayan, Sultan Kudarat Contract Location	:	Bagumbayan, Sultan Kudarat Department of Public Works and Highways Sultan Kuda</t>
  </si>
  <si>
    <t xml:space="preserve"> CONSTRUCTION OF WATER TANK WITH AN AREA OF 3MX3M AND SUPPLY AND DELIVERY OF CONST. MATERIALS</t>
  </si>
  <si>
    <t xml:space="preserve"> The Department of Tourism - Region VIII (Eastern Visayas) seeks to procure marketing consultancy firm services to produce Regional Tourism Marketing Collaterals highlighting the sustainable community-based ecotourism sites, cultural and culinary product o</t>
  </si>
  <si>
    <t xml:space="preserve"> Republic of the Philippines DEPARTMENT OF PUBLIC WORKS AND HIGHWAYS PANGASINAN IV DISTRICT ENGINEERING OFFICE REGIONAL OFFICE I Tuliao, Sta. Barbara, Pangasinan Invitation to Bid for  Repair/Maintenance of DPWH Old Building Supply/Store Room, Pangasinan I</t>
  </si>
  <si>
    <t xml:space="preserve"> REQUEST FOR EXPRESSION OF INTEREST FOR FEASIBILITY STUDY OF  BOSIGON  IRRIGATION PROJECT LABO, VINZONS &amp; PARACALE, CAMARINES NORTE 1.	 The National Irrigation Administration RO V, Naga City, through the GAA/FSDE CY 2018  intends to apply the sum of P 11,2</t>
  </si>
  <si>
    <t xml:space="preserve"> HEALTH CARD green and blue cards, for food and non-food, back to back, non-blot printing, size: 3 inches x 4 inches, Bristol 120, full-colored pre-numbered, 2 sides SANITARY PERMIT Linen paper, 90 gsm, non-blot printing, size: A4, off white color, with QC</t>
  </si>
  <si>
    <t xml:space="preserve"> INVITATION TO BID FOR THE  SUPPLY AND DELIVERY OF MATERIALS, RETROFITTING AND INSTALLATION OF  TELESCOPIC BOOM ASSEMBLY FOR FUSO FIGHTER TRUCK 1.	The Metropolitan Tuguegarao Water District through the Corporate Budget for the Year 2020  intends to apply t</t>
  </si>
  <si>
    <t xml:space="preserve"> Invitation to Bid for Project No.: ITB 2020-Infra-003 1.	The Department of Education (DepEd) Division of Calamba City, intends to apply the sum of Two million three hundred forty thousand eight hundred one pesos &amp; 68/100 only (Php.2,340,801.68) being the </t>
  </si>
  <si>
    <t xml:space="preserve"> Invitation to Bid for Project No.: ITB 2020-Infra-001 1.	The Department of Education (DepEd) Division of Calamba City, intends to apply the sum of Three million twenty-five thousand six hundred fifty-seven pesos &amp; 63/100 only (Php.3,025,657.63) being the </t>
  </si>
  <si>
    <t xml:space="preserve"> INVITATION TO BID The __DEPARTMENT OF PUBLIC WORKS AND HIGHWAYS - DISTRICT ENGINEER’S OFFICE ZAMBOANGA CITY__, through its Bids and Awards Committee (BAC), invites contractors to submit bids for the following Contract: Contract ID: 20JA0075 Contract Name:</t>
  </si>
  <si>
    <t xml:space="preserve"> Invitation to Bid for Project No.: ITB 2020-Infra-007 1.	The Department of Education (DepEd) Division of Calamba City, intends to apply the sum of One million one hundred eighty-seven thousand eight hundred forty-nine pesos &amp; 29/100 only (Php.1,187,849.29</t>
  </si>
  <si>
    <t xml:space="preserve"> Invitation to Bid for Project No.: ITB 2020-Infra-004 1.	The Department of Education (DepEd) Division of Calamba City, intends to apply the sum of One million one hundred fourteen thousand seven hundred ninety-three pesos &amp; 99/100 only (Php.1,114,793.99) </t>
  </si>
  <si>
    <t xml:space="preserve"> Republic of the Philippines Department of Health WESTERN VISAYAS SANITARIUM Santa Barbara, Iloilo INVITATION TO BID FOR Procurement of Various Hospital Equipment IB No. 2020-04-009-G The Western Visayas Sanitarium, through its Bids and Awards Committee (B</t>
  </si>
  <si>
    <t xml:space="preserve"> Invitation to Bid for Project No.: ITB 2020-Infra-006 1.	The Department of Education (DepEd) Division of Calamba City, intends to apply the sum of Two million seven hundred eighty-seven thousand seven hundred fifty-six pesos &amp; 08/100 only (Php.2,787,756.0</t>
  </si>
  <si>
    <t xml:space="preserve"> Invitation to Bid for Project No.: ITB 2020-Infra-005 1.	The Department of Education (DepEd) Division of Calamba City, intends to apply the sum of One million three hundred twenty-nine thousand four hundred twenty-eight pesos &amp; 01/100 only (Php.1,329,428.</t>
  </si>
  <si>
    <t xml:space="preserve"> INVITATION TO BID: BID REF. NO.: 2020-07-A (Re-bidding) “SUPPLY AND DELIVERY OF FLEET FUEL CARDS FOR DIESEL, GASOLINE, OIL, LUBRICANTS AND OTHER SERVICES FOR BFAR CENTRAL OFFICE AND NATIONAL CENTERS.” 1.	The Bureau of Fisheries and Aquatic Resources (BFAR</t>
  </si>
  <si>
    <t xml:space="preserve"> Invitation to Bid for Project No.: ITB 2020-Infra-002 1.	The Department of Education (DepEd) Division of Calamba City, intends to apply the sum of Two million six hundred six thousand nine hundred fifty-one pesos &amp; 31/100 only (Php.2,606,951.31) being the</t>
  </si>
  <si>
    <t xml:space="preserve"> ANTI –RABIES VACCINE FOR HUMAN, -PVRV, (WHO-PREQUALIFIED)  Inactivated and purified, freeze-dried rabies vaccine produced in VERO cell line 1 immunizing dose, it also contains maltose up to 1 immunizing dose, human plasma albumin up to 1 immunizing dose a</t>
  </si>
  <si>
    <t xml:space="preserve"> Republic of the Philippines PROVINCE OF AGUSAN DEL SUR Municipality of San Luis Invitation to Bid ============================================ Supply and Delivery of One (1) Set RTK Receiver and Reflectorless Total Station w/ Complete Accessories (3rd Pos</t>
  </si>
  <si>
    <t xml:space="preserve"> Offices Renovation of Academic Building 1				 I. Demolition and Restoration Works				 Demolition of existing concrete and dry wall				90 sq.m Restoration Works				65 lm Relocation of Excisting air conditioning Unit				7 units II. Carpentry Works				 II.1 </t>
  </si>
  <si>
    <t xml:space="preserve"> 8 HAS. ESTABLISHMENT OF ON-FARM AGROFORESTRY AT BRGY. TALBEC THRU PAKYAW LABOR</t>
  </si>
  <si>
    <t xml:space="preserve"> 1.	The Philippine Health Insurance Corporation, through the Corporate Operating Budget of CY 2020 intends to apply the sum of Fourteen Million Four Hundred Fifty Eight Pesos Three Hundred Thirty Three Pesos and Fifty Centavos (PhP14,458,333.50) for the fi</t>
  </si>
  <si>
    <t xml:space="preserve"> Request for Quotation The Bureau of Fisheries and Aquatic Resources, Regional Office No. 5, Fabrica, Bula, Camarines Sur is requesting from prospective suppliers to submit quotation for the Supply and Delivery of Six (6) Units of Cellphone.   Quantity	Uni</t>
  </si>
  <si>
    <t xml:space="preserve"> INVITATION TO BID 1)	The DPWH- Davao City District Engineering Office through its Bids and Awards Committee (BAC), invites contractors to submit bids for the following contract; 1. Procurement ID /          Contract ID No.	:	20LB0237     Contract Name	:	C</t>
  </si>
  <si>
    <t xml:space="preserve"> Location : Legazpi, Albay Scope of Work : Asphalt Overlay of 0.30 Km. Road with Reflectorized Thermoplastic Pavement Markings including Reblocking of PCCP on Intermittent Section</t>
  </si>
  <si>
    <t xml:space="preserve"> Location : Legazpi City, Albay Scope of Work : Asphalt Overlay of 0.45 Km Road with Reflectorized Thermoplastic Pavement Markings including Reblocking of PCCP on Intermittent Section</t>
  </si>
  <si>
    <t xml:space="preserve"> INVITATION TO BID 1)	The DPWH- Davao City District Engineering Office through its Bids and Awards Committee (BAC), invites contractors to submit bids for the following contract; 1. Procurement ID /          Contract ID No.	:	20LB0160     Contract Name	:	C</t>
  </si>
  <si>
    <t xml:space="preserve"> Request for Proposal  The Bureau of Fisheries and Aquatic Resources Regional Office No. 5 (BFAR RO 5), Fabrica, Bula, Camarines Sur is requesting from prospective suppliers to submit written proposal for the Supply and Delivery of Bangus Fry at BFAR-MAP, </t>
  </si>
  <si>
    <t xml:space="preserve"> 1 lot : Offices Renovation of Academic Building 2 	 Detailed:  			 I. Demolition and Restoration Works				 Demolition of existing concrete and dry wall	  1 lot Restoration Works				          1 lot Relocation of Excisting air conditioning Unit	  9 units II</t>
  </si>
  <si>
    <t xml:space="preserve"> Request for Quotation The Bureau of Fisheries and Aquatic Resources, Regional Office No. 5, Fabrica, Bula, Camarines Sur is requesting from prospective suppliers to submit quotation for the Supply and Delivery of Common-Use Office Supplies.   Quantity	Uni</t>
  </si>
  <si>
    <t xml:space="preserve"> Other General Requirements, Earthworks, Plain and Reinforced Concrete Work, Finishing and Other Civil Works</t>
  </si>
  <si>
    <t xml:space="preserve"> Request for Quotation The Bureau of Fisheries and Aquatic Resources, Regional Office No. 5, Fabrica, Bula, Camarines Sur is requesting from prospective suppliers to submit quotation for the Supply and Delivery of Office Supplies intended for printing and </t>
  </si>
  <si>
    <t xml:space="preserve"> Request for Quotation The Bureau of Fisheries and Aquatic Resources, Regional Office No. 5, Fabrica, Bula, Camarines Sur is requesting from prospective suppliers to submit quotation for the Supply and Delivery of Hardware Materials intended for the Operat</t>
  </si>
  <si>
    <t xml:space="preserve"> Request for Proposal  The Bureau of Fisheries and Aquatic Resources Regional Office No. 5 (BFAR RO 5), Fabrica, Bula, Camarines Sur is requesting from prospective suppliers to submit written proposal for the Upgrading of Desktop Computer and Supply and De</t>
  </si>
  <si>
    <t xml:space="preserve"> Request for Quotation The Bureau of Fisheries and Aquatic Resources, Regional Office No. 5, Fabrica, Bula, Camarines Sur is requesting from prospective suppliers to submit quotation for the Supply and Delivery of FSP Common Audio-Visual Equipment. Quantit</t>
  </si>
  <si>
    <t xml:space="preserve"> Provision of Farm Inputs        = Php 164,000.00 Provision of Farm Machineries = PHP 280,000.00                                               ---------------------                                 Total    =  Php 444,000.00</t>
  </si>
  <si>
    <t xml:space="preserve"> Request for Quotation The Bureau of Fisheries and Aquatic Resources, Regional Office No. 5, Fabrica, Bula, Camarines Sur is requesting from prospective suppliers to submit quotation for the Supply and Delivery of Office Supplies.   Quantity	Unit	Item Desc</t>
  </si>
  <si>
    <t xml:space="preserve"> Request for Quotation The Bureau of Fisheries and Aquatic Resources, Regional Office No. 5, Fabrica, Bula, Camarines Sur is requesting from prospective suppliers to submit quotation for the Supply and Delivery of Office Equipment.   Quantity	Unit	Item Des</t>
  </si>
  <si>
    <t xml:space="preserve"> Invitation to Bid For One (1) Lot Supply, Delivery, Installation, Testing and Commissioning of Variable Refrigerant Flow (VRF) Air-Conditioning Units at LANDBANK Sta. Cruz Office Building 1.	The LAND BANK OF THE PHILIPPINES (LANDBANK), through its Corpora</t>
  </si>
  <si>
    <t xml:space="preserve"> Construction of Multi-Purpose Building includes Civil, Mechanical, Electrical, and Sanitary/Plumbing Works; Earthwork; Plain and Reinforced Concrete Work; and Finishings and Other Civil Works; Electrical; Mechanical</t>
  </si>
  <si>
    <t xml:space="preserve"> Procurement of supply and delivery of various NSIC approve hybrid rice seeds Private Hybrid @18kg/bag 40	bag	NSIC Rc 314H 40	bag	NSIC Rc 322H 20	bag	NSIC Rc 410H PR# 2020-811</t>
  </si>
  <si>
    <t xml:space="preserve"> ITEM NO.	DESCRIPTION	UNIT	QUANTITY A.1.1(10)	PROVISION OF LIVING QUARTER FOR THE ENGINEER (RENTAL BASIS)	MO.	2.27 B.4(1)	CONSTRUCTION SURVEY AND STAKING	KM.	0.36 B.5	PROJECT BILLBOARD	EACH	4.00 B.7(2)	OCCUPATIONAL SAFETY AND HEALTH PROGRAM	L.S.	1.00 B.8(1</t>
  </si>
  <si>
    <t xml:space="preserve"> Invitation to Bid For One (1) Lot Supply and Delivery of 65,500 pcs. EMV VISA Debit Card with Personalization 1.	The LAND BANK OF THE PHILIPPINES (LANDBANK), through its Corporate Budget for the contract approved by the Board of Directors for 2020 intends</t>
  </si>
  <si>
    <t xml:space="preserve"> Request for Quotation The Bureau of Fisheries and Aquatic Resources, Regional Office No. 5, Fabrica, Bula, Camarines Sur is requesting from prospective suppliers to submit quotation for the Supply and Delivery of FSP Computer Equipment.   Quantity	Unit	It</t>
  </si>
  <si>
    <t xml:space="preserve"> One (1) unit 3D Handheld Laser Scanner (compliant with specifications attached) and one (1) unit Unmanned Aircraft Vehicle (compliant with specifications attached)</t>
  </si>
  <si>
    <t xml:space="preserve"> Invitation to Bid For   Supply and Delivery of 4,300 pieces Ribbon for EPSON Printer FX2190 and 440 pieces  Genuine Burroughs Black Multiline Print Inkjet Cartridge 1.	The LAND BANK OF THE PHILIPPINES (LANDBANK), through its Corporate Budget for the contr</t>
  </si>
  <si>
    <t xml:space="preserve"> Request for Proposal  The Bureau of Fisheries and Aquatic Resources Regional Office No. 5 (BFAR RO 5), Fabrica, Bula, Camarines Sur is requesting from prospective suppliers to submit written proposal for the Upgrading of Desktop Computer. Quantity	Unit	It</t>
  </si>
  <si>
    <t xml:space="preserve"> SUPPLY/DELIVERY AND INSTALLATION OF COMPUTER DESKTOP</t>
  </si>
  <si>
    <t xml:space="preserve"> Republic of the Philippines Province of Misamis Occidental Municipality of Aloran INVITATION TO BID FOR THE PURCHASE OF ONE (1) UNIT MULTI-PURPOSE VEHICLE FOR MUNICIPAL DISASTER RISK REDUCTION MANAGEMENT OFFICE 				MAY 28, 2020 1.	The Local Government Uni</t>
  </si>
  <si>
    <t xml:space="preserve"> The Department of Agriculture-RFO 3, invites interested suppliers/ bidders to submit bid proposal(s) for the hereunder requirement, to wit: Lot 1  1 UNIT Generator Set CLIARC Hillyland, Zambales) ABC Php100,000.00 Generator’s Specifications Frequency: 60H</t>
  </si>
  <si>
    <t xml:space="preserve"> Republic of the Philippines DEPARTMENT OF PUBLIC WORKS AND HIGHWAYS REGIONAL OFFICE II Tuguegarao City, Cagayan  INVITATION TO BID The DPWH Regional Office No. 2 through the Bids and Awards Committee (BAC) invite contractors to bid for the project:  Contr</t>
  </si>
  <si>
    <t xml:space="preserve"> Procurement of supply and delivery of agricultural supplies 82	kg	Vermi worm 120	bag	Rice bran, 50kg/bag 120	bag	Chicken dung, decomposed, 40kg/bag 		Deliver schedule: 60 calendar days upon receipt of Purchase Order Drop-off Points: San Remigio, Antique P</t>
  </si>
  <si>
    <t xml:space="preserve"> Republic of the Philippines Province of Davao Oriental City of Mati BIDS &amp; AWARDS COMMITTEE INVITATION TO BID (REBID) Procurement of FUEL, OIL &amp; LUBRICANTS for Use in the Repair of Provincial Roads in Gov. Generoso and Cateel, Davao Oriental SOURCE OF FUN</t>
  </si>
  <si>
    <t xml:space="preserve"> Please see attached RFQ # 20-971 Submit your Sign and Sealed Quotation together with your UPDATED ELIGIBILITY Requirements For more details please call Admin &amp; Finance (8351-0370) or Email us at damimaropasvp@gmail.com Technical Requirements: 1. Valid Bus</t>
  </si>
  <si>
    <t xml:space="preserve"> Procurement of supply and delivery of various inorganic fertilizers  200	bag	Urea (46-0-0) with zinc 800	bag	Complete fertilizer (NPK) 		Delivery Schedule: 60 days upon receipt of Purchase Order Drop-off point: WESVIARC Hamungaya, Buntatala, Jaro, Iloilo </t>
  </si>
  <si>
    <t xml:space="preserve"> Invitation to Bid For Additional License for the Existing Solarwinds Servers, Networks, Database and Application Monitoring Tool 1.	The LAND BANK OF THE PHILIPPINES (LANDBANK), through its Corporate Budget for the contract approved by the Board of Directo</t>
  </si>
  <si>
    <t xml:space="preserve"> B.3 	PERMITS AND CLEARANCES 	L.S. 	1.00  B.5 	PROJECT BILLBOARD/SIGNBOARD 	EACH 	2.00  B.7(2) 	OCCUPATIONAL SAFETY AND HEALTH PROGRAM 	L.S. 	1.00  801(1) 	REMOVAL OF STRUCTURES AND OBSTRUCTION 	L.S. 	1.00  803(1)a 	STRUCTURE EXCAVATION (COMMON SOIL) 	CU.M</t>
  </si>
  <si>
    <t xml:space="preserve"> Invitation to Bid for Construction of 3 Storey City Hall Annex Building   City Hall Compound,  Brgy. Washington, Surigao City ITB No. 062-Infra-2020    1.	The City Government of Surigao, intends to apply the sum of   Seventy five Million Two Hundred Fifty</t>
  </si>
  <si>
    <t xml:space="preserve"> The DPWH-Ilocos Sur 1st District Engineering Office, through its Bids and Awards Committee (BAC), invites contractors to submit bids for the following Contract:   Contract ID: 20AC0087   Contract Name: Rehabilitation of Tamorong Road with Slope Protection</t>
  </si>
  <si>
    <t xml:space="preserve"> INVITATION TO BID FOR THE MCWD LAHUG BULK WATER SUPPLY PROJECT PR No. 27806-001 1.	The Metropolitan Cebu Water District, through the Corporate Budget of 2020 intends to apply the sum of: Approved Budget for  the Contract (ABC) [for three sixty five (365) </t>
  </si>
  <si>
    <t xml:space="preserve"> BIDS AND AWARDS COMMITTEE – SECURITY PLANT COMPLEX INVITATION TO BID 1.	The Bangko Sentral ng Pilipinas (BSP), through its Bids and Awards Committee-Security Plant Complex (BAC-SPC), invites Bidders to apply for eligibility and to bid for the hereunder re</t>
  </si>
  <si>
    <t xml:space="preserve"> Invitation to Bid For Supply and Delivery of 600 Units Passbook Printer 1.	The LAND BANK OF THE PHILIPPINES (LANDBANK), through its Corporate Budget for the contract approved by the Board of Directors for 2019 intends to apply the total sum of Nine Millio</t>
  </si>
  <si>
    <t xml:space="preserve"> 1.	The BUREAU OF SOILS AND WATER MANAGEMENT, through the GENERAL APPROPRIATION ACT FOR FY 2020 (REPUBLIC ACT NO. 11260) intends to apply the sum of TWO MILLION FIVE HUNDRED FOUR THOUSAND ONE HUNDRED FIFTY PESOS ONLY (PHP 2,504,150.00) being the Approved B</t>
  </si>
  <si>
    <t xml:space="preserve"> Procurement of supply and delivery of agricultural materials 20	unit	Wheel barrow, heavy duty, square type, shallow 20	unit	Shovel US Tempered with wooden handle 25	pc	Bolo, steel, at least 18 inches long and 2 inches, width with wooden handle, and case l</t>
  </si>
  <si>
    <t xml:space="preserve"> Construction of Convention Center</t>
  </si>
  <si>
    <t xml:space="preserve"> B.3 PERMITS AND CLEARANCES L.S. 1.00 B.5 PROJECT BILLBOARD/SIGNBOARD EACH 2.00 B.7(2) OCCUPATIONAL SAFETY AND HEALTH PROGRAM L.S. 1.00 800(2) CLEARING AND GRUBBING L.S. 1.00 803(1)a STRUCTURE EXCAVATION (COMMON SOIL) CU.M. 290.94 804(1)b EMBANKMENT FROM C</t>
  </si>
  <si>
    <t xml:space="preserve"> 1.	The Power Sector Assets and Liabilities Management (PSALM) Corporation, through the 2020 Corporate Operating Budget (for the portion of the Contract to be performed in 2020) and 2021 Corporate Operating Budget (for the portion of the Contract to be per</t>
  </si>
  <si>
    <t xml:space="preserve"> April 13, 2020 NOTICE TO THE PUBLIC SUBJECT:	POSTPONEMENT OF THE SUBMISSION AND OPENING OF BIDS FOR THE      	             INFRASTRUCTURE PROJECTS AND TRADITIONAL INSTRUMENTS                Pursuant to the Memorandum from the Executive Secretary, issued o</t>
  </si>
  <si>
    <t xml:space="preserve"> Construction of Multi-Purpose Building (1-2.9m x 30m bleachers &amp; 11m x 8.50m stage) with reinforced concrete, cement plaster finish, painting works with railings, finishing works, steel bleacher and electrical works</t>
  </si>
  <si>
    <t xml:space="preserve"> The DPWH-Ilocos Sur 1st District Engineering Office, through its Bids and Awards Committee (BAC), invites contractors to submit bids for the following Contract:   Contract ID: 20AC0088   Contract Name: Construction of Multi-Purpose Building, Brgy. Bungro,</t>
  </si>
  <si>
    <t xml:space="preserve"> INVITATION TO APPLY FOR ELIGIBILITY AND TO BID The City of San Juan, Metro Manila, through its Bids and Awards Committee (BAC), invites interested parties to apply for an Eligibility and if found eligible to bid for the – Name of Project Garbage Collectio</t>
  </si>
  <si>
    <t xml:space="preserve"> INVITATION TO APPLY FOR ELIGIBILITY AND TO BID The City of San Juan, Metro Manila, through its Bids and Awards Committee (BAC), invites interested parties to apply for an Eligibility and if found eligible to bid for the – Name of Project Janitorial Servic</t>
  </si>
  <si>
    <t xml:space="preserve"> B.3 	PERMITS AND CLEARANCES 	L.S. 	1.00  B.5 	PROJECT BILLBOARD/SIGNBOARD 	EACH 	2.00  B.7(2) 	OCCUPATIONAL SAFETY AND HEALTH PROGRAM 	L.S. 	1.00  800(2) 	CLEARING AND GRUBBING 	L.S. 	1.00  803(1)a 	STRUCTURE EXCAVATION (COMMON SOIL) 	CU.M. 	98.56  804(1)</t>
  </si>
  <si>
    <t xml:space="preserve"> Procurement of supply and delivery of agricultural materials 45	pc	Seedling tray (104 holes) 20	pc	Drum (plastic blue, 200L, with DA logo) 10	pc	Sprinkler, Plastic (8L capacity) 10	roll	Cyclone wire (6’high; 6m/roll) 5	roll	Shade net (black, 50% shade, th</t>
  </si>
  <si>
    <t xml:space="preserve"> Requested by: D L. Abrea/City Engineering Department - Bayanihan</t>
  </si>
  <si>
    <t xml:space="preserve"> The DPWH-Ilocos Sur 1st District Engineering Office, through its Bids and Awards Committee (BAC), invites contractors to submit bids for the following Contract:   Contract ID: 20AC0079   Contract Name: Construction of Don Dimas – Don Alejandro Road, Caoay</t>
  </si>
  <si>
    <t xml:space="preserve"> The DPWH-Ilocos Sur 1st District Engineering Office, through its Bids and Awards Committee (BAC), invites contractors to submit bids for the following Contract:   Contract ID: 20AC0081   Contract Name: Rehabilitation of Rivero Street, Including Constructi</t>
  </si>
  <si>
    <t xml:space="preserve"> The DPWH-Ilocos Sur 1st District Engineering Office, through its Bids and Awards Committee (BAC), invites contractors to submit bids for the following Contract:   Contract ID: 20AC0083   Contract Name: Construction of Flood Control Structure Along Mestizo</t>
  </si>
  <si>
    <t xml:space="preserve"> Republic of the Philippines Province of Romblon 		MUNICIPALITY OF LOOC ~o0o~ INVITATION TO BID FOR  Supply &amp; Delivery of Office &amp; Other Supplies The Municipal Government of Looc, Romblon, through the Annual Budget 2020  intends to apply the sum of Five Hu</t>
  </si>
  <si>
    <t xml:space="preserve"> The DPWH-Ilocos Sur 1st District Engineering Office, through its Bids and Awards Committee (BAC), invites contractors to submit bids for the following Contract:   Contract ID: 20AC0084   Contract Name: Construction of River Control Along Bical River, San </t>
  </si>
  <si>
    <t xml:space="preserve"> The DPWH-Ilocos Sur 1st District Engineering Office, through its Bids and Awards Committee (BAC), invites contractors to submit bids for the following Contract:   Contract ID: 20AC0082   Contract Name: Construction of Box Culvert and Improvement of Draina</t>
  </si>
  <si>
    <t xml:space="preserve"> ITEM NO.	DESCRIPTION	UNIT	QUANTITY B.3	PERMITS AND CLEARANCES	L.S.	1.00 B.5	PROJECT BILLBOARD/SIGNBOARD	EACH	2.00 B.7(2)	OCCUPATIONAL SAFETY AND HEALTH PROGRAM	L.S.	1.00 801(1)	REMOVAL OF STRUCTURES AND OBSTRUCTION	L.S.	1.00 803(1)a	STRUCTURE EXCAVATION (</t>
  </si>
  <si>
    <t xml:space="preserve"> ITEM NO.	DESCRIPTION	UNIT	QUANTITY B.3	PERMITS AND CLEARANCES	L.S.	1.00 B.5	PROJECT BILLBOARD/SIGNBOARD	EACH	2.00 B.7(2)	OCCUPATIONAL SAFETY AND HEALTH PROGRAM	L.S.	1.00 800(2)	CLEARING AND GRUBBING	L.S.	1.00 803(1)a	STRUCTURE EXCAVATION (COMMON SOIL)	CU.</t>
  </si>
  <si>
    <t xml:space="preserve"> INVITATION TO BID FOR THE    CONTRACT ID: 20-02-063 2ND REBID  Contract Name: PROCUREMENT OF FURNITURE AND FIXTURE Approved Budget for the Contract (ABC) : Php    2,029,000.00    1.  The Department of Health - Zamboanga Peninsula - Center for Health Devel</t>
  </si>
  <si>
    <t xml:space="preserve"> ITEM NO.	DESCRIPTION	UNIT	QUANTITY B.3	PERMITS AND CLEARANCES	L.S	1.00 B.5	PROJECT BILLBOARD/SIGNBOARD	EA	2.00 B.7	OCCUPATIONAL SAFETY AND HEALTH	L.S	1.00 801(1)	REMOVAL OF STRUCTURES AND OBSTRUCTION (REMOVAL OF ROOFING OF LEGISLATIVE BLDG.)	L.S.	1.00 803</t>
  </si>
  <si>
    <t xml:space="preserve"> Republic of the Philippines DEPARTMENT OF PUBLIC WORKS AND HIGHWAYS REGIONAL OFFICE II Tuguegarao City, Cagayan  INVITATION TO BID 1.	The DPWH Regional Office No. 2 through the General Appropriations Act (GAA) secured from the Department of Budget and Man</t>
  </si>
  <si>
    <t xml:space="preserve"> 20F00111 - Local Program – Construction/Repair/Rehabilitation/Improvement of Various Infrastructure Including Local Projects – Local Roads and Bridges – Local Roads – Construction of Pasacao-Balatan Coastal Road, Brgy. Gñaran, San Fernando, Camarines Sur </t>
  </si>
  <si>
    <t xml:space="preserve"> Pls. see attached documents</t>
  </si>
  <si>
    <t xml:space="preserve"> 20F00109 - Local Program – Construction/Repair/Rehabilitation/Improvement of Various Infrastructure Including Local Projects – Local Roads and Bridges – Local Roads – Construction of Pasacao-Balatan Coastal Road, Brgy. Balogo, Pasacao, Camarines Sur (2nd </t>
  </si>
  <si>
    <t xml:space="preserve"> Supply and delivery of Reflectorized Thermoplastic Pavement Markings and other various materials for use in DPWH Cebu 1st District Engineering Office</t>
  </si>
  <si>
    <t xml:space="preserve"> INVITATION TO BID 1)	The DPWH- Davao City District Engineering Office through its Bids and Awards Committee (BAC), invites contractors to submit bids for the following contract; 1. Procurement ID /          Contract ID No.	:	20LB0158     Contract Name	:	C</t>
  </si>
  <si>
    <t xml:space="preserve"> Contract ID: 20CSIO08 Contract Name: 	Consultancy Services for the Conduct of Feasibility Study of the Proposed Construction of Bypasses/Diversion Roads along Brgy. Kilim – Sitio Tipay Road Junction Ormoc – Baybay – Southern Leyte Bdry. Road to Buenavista</t>
  </si>
  <si>
    <t xml:space="preserve"> The DPWH-Ilocos Sur 1st District Engineering Office, through its Bids and Awards Committee (BAC), invites contractors to submit bids for the following Contract:   Contract ID: 20AC0080   Contract Name: Construction of Drainage Canal Along Sta. Elena Creek</t>
  </si>
  <si>
    <t xml:space="preserve"> Contract ID: 20CSIO13 Contract Name: Consultancy Services for the Feasibility Study of the Proposed Calbayog Coastal Diversion Road, Calbayog City, Western Samar	 Contract Location: Calbayog City, Samar Approved Budget for the Contract (ABC) = ₱ 19,578,99</t>
  </si>
  <si>
    <t xml:space="preserve"> 1.	The Department of Science and Technology Region VI (DOST VI), through the project “DOST Regional Offices Information System Harmonization Project and ICT Equipment under 2020 MITHI Program”  intends to apply the sum of Two Million Six Hundred Fifty Tho</t>
  </si>
  <si>
    <t xml:space="preserve"> Contract ID: 20CSIO09 Contract Name: Consultancy Services for the Conduct of Feasibility Study of the Proposed Construction of Tacloban – Palo Diversion Road (Brgy. 89 San Jose, Brgy. 82, Marasbaras and Brgy. Calanipawan/Caibaan, Tacloban City – Brgy. Can</t>
  </si>
  <si>
    <t xml:space="preserve"> Contract ID: 20CSIO10 Contract Name: Consultancy Services for the Conduct of Feasibility Study of the Proposed Road Opening/Construction of Junction Himay-angan – Silago – Abuyog Boundary Road (Bagacay – Tib-o), Abuyog, Leyte Contract Location: Abuyog, Le</t>
  </si>
  <si>
    <t xml:space="preserve"> Rehabilitation of Drainage</t>
  </si>
  <si>
    <t xml:space="preserve"> Invitation to Bid for CONSTRUCTION OF AREA DRAIN WITH INTERCEPTOR CANAL, DEPARTMENT OF MILITARY SCIENCE AND TACTICS, UPLB, COLLEGE, LAGUNA 1.	The U.P. LOS BAÑOS, through the GOP through UPLB-Reprogrammed Funds intends to apply the sum of ₱1,555,122.75 bei</t>
  </si>
  <si>
    <t xml:space="preserve"> The BAC shall draw up the short list of consultants from those who have submitted Expressions of Interest and Eligibility Documents and have been determined as eligible in accordance with the provisions of Republic Act (RA) No. 9184, otherwise known as th</t>
  </si>
  <si>
    <t xml:space="preserve"> Invitation to Bid for IMPROVEMENT OF SITE ORNAMENTAL CROPS NURSERY, LUZ ONATE ST., UPLB CAMPUS 1.	The U.P. LOS BAÑOS, through the GOP through UPLB-UGTFI (Trust Fund) intends to apply the sum of ₱9,149,048.61 being the Approved Budget for the Contract (ABC</t>
  </si>
  <si>
    <t xml:space="preserve"> INVITATION TO BID FOR THE PROCUREMENT ONE (1) LOT, THREE (3) YEARS JANITORIAL SERVICES FOR CF-DAVAO AND APO VIEW SATELLITE UNDER     ITB NO. PB20-03-003DAV The Philippine Amusement and Gaming Corporation (PAGCOR) is inviting all interested bidders in its </t>
  </si>
  <si>
    <t xml:space="preserve"> Contract ID: 20CSIO11 Contract Name: Consultancy Services for the Conduct of Feasibility study of the Proposed Tanauan Bypass Road, San Miguel – Santol – Tunga Road, Tolosa – San Victor – Tabontabon Road and Dapdap – Alangalang – Santa Cruz Road Contract </t>
  </si>
  <si>
    <t xml:space="preserve"> The DPWH-Ilocos Sur 1st District Engineering Office, through its Bids and Awards Committee (BAC), invites contractors to submit bids for the following Contract:   Contract ID: 20AC0076   Contract Name: Construction of Multi-Purpose Building (Covered Court</t>
  </si>
  <si>
    <t xml:space="preserve"> INVITATION TO BID ITB NO.: A4-2020 The East Avenue Medical Center through its Hospital Bids and Awards Committee (BAC) through the General Appropriations Act (GAA) 2020, invites suppliers / manufacturers / distributors for the bidding of the following pro</t>
  </si>
  <si>
    <t xml:space="preserve"> The Department of Public Works and Highways, Nueva Ecija 1st District Engineering Office thru its Bids and Awards Committee (BAC) hereby notifies the following contractors classified by and registered with the Philippine Contractors Accreditation Board (P</t>
  </si>
  <si>
    <t xml:space="preserve"> Contract ID: 20CSIO12 Contract Name: Consultancy Services for the Conduct of Feasibility Study of the Proposed Capoocan – Leyte, Leyte Coastal Road 	 Contract Location: Capoocan, Leyte Approved Budget for the Contract (ABC) = ₱ 15,911,970.00   Republic of</t>
  </si>
  <si>
    <t xml:space="preserve"> The San Francisco Water District through its Bids and Award committee will invites you to quote;</t>
  </si>
  <si>
    <t xml:space="preserve"> Republic of the Philippines				 				                   Office of the Municipal Mayor				 					       BIDS AND AWARDS COMMITTEE				 					            Sta. Barbara, Pangasinan				 									 					               Invitation to Bid 				 					                    </t>
  </si>
  <si>
    <t xml:space="preserve"> Invitation to Bid for Procurement of Gate Valves, Combi Flange w/ Sealing and STC w/Brass Tensile Ring 1.	The Norzagaray Water District (Nor-WD) through its Corporate Budget for the contract approved by the governing Boards intends to apply the sum of One</t>
  </si>
  <si>
    <t xml:space="preserve"> Republic of the Philippines DEPARTMENT OF PUBLIC WORKS AND HIGHWAYS OFFICE OF THE REGIONAL DIRECTOR Regional Office No. IV-A EDSA, Quezon City INVITATION TO BID The Department of Public Works and Highways (DPWH) Regional Office No. IV-A, through its Bids </t>
  </si>
  <si>
    <t xml:space="preserve"> INVITATION TO BID FOR the supply, delivery, installation and commissioning of 1-unit brand-new Generator Set complete with accessories and Powerhouse 1.	The Department of Labor and Employment Regional Office VIII thru its Bids and Awards Committee, throug</t>
  </si>
  <si>
    <t xml:space="preserve"> REQUEST FOR QUOTATION The Tourism Infrastructure and Enterprise Zone Authority (TIEZA) through its Bids and Awards Committee undertake a Small Value Procurement for the SUPPLY AND DELIVERY OF THIRTY (30) PIECES HIGH CHAIRS FOR THE USE OF TRAVEL TAX COUNTE</t>
  </si>
  <si>
    <t xml:space="preserve"> Republic of the Philippines DEPARTMENT OF HEALTH WESTERN VISAYAS Center for Health Development INVITATION TO BID FOR THE  Rebidding of Hospital Equipment,  IB No. SB-2020-001 1.	The Department of Health – WV CHD, through the HFEP CY 2020 fund  intends to </t>
  </si>
  <si>
    <t xml:space="preserve"> 1 	lot	Strong Motion Accelerograph	 		23 pcs Strong Motion Accelerograph	 		-1x Fully tested 3-axis MEMS accelerograph	 		circuit board	 		-1x Vertical Earth motion monitoring sensor	 		("geophone", 4.5 Hz)	 		-1x Raspberry Pi single-board computer	 		-1x</t>
  </si>
  <si>
    <t xml:space="preserve"> DESCRIPTION	UNIT	QUANTITY PART A	FACILITIES FOR THE ENGINEER		 A.1.1(10)	PROVISION OF LIVING QUARTER FOR THE ENGINEER (RENTAL BASIS)	MO.	2.87 PART B	OTHER GENERAL REQUIREMENTS		 B.4(1)	CONSTRUCTION SURVEY &amp; STAKING	KM.	1.006 B.5	PROJECT BILLBOARD	EACH	4.0</t>
  </si>
  <si>
    <t xml:space="preserve"> Invitation to Bid For   Three (3) Years ATM Cash Loading and First Level Maintenance (FLM) Services for  600 LANDBANK ATM Units 1.	The LAND BANK OF THE PHILIPPINES (LANDBANK), through its Corporate Budget for the contract approved by the Board of Director</t>
  </si>
  <si>
    <t xml:space="preserve"> Republic of the Philippines DEPARTMENT OF HEALTH WESTERN VISAYAS Center for Health Development INVITATION TO BID FOR THE  Procurement of Anti-Rabies Vaccines,  IB No. SB-2020-019 1.	The Department of Health – WV CHD, through the CONAP PHM 2019 and CONAP S</t>
  </si>
  <si>
    <t xml:space="preserve"> Republic of the Philippines DEPARTMENT OF HEALTH WESTERN VISAYAS Center for Health Development INVITATION TO BID FOR THE  Procurement of Medical Supplies and Materials,  IB No. SB-2020-017 1.	The Department of Health – WV CHD, through the PHM 2020 and SCE</t>
  </si>
  <si>
    <t xml:space="preserve"> Section I. Invitation to Bid FOR THE UPLB-RES-033-03-20  SUPPLY AND DELIVERY OF BRANDED AND BRAND NEW CHEMICALS AND CHEMICAL PRODUCTS  FOR IC (2) 1.	The UNIVERSITY OF THE PHILIPPINES LOS BAÑOS (UPLB), through the GOP (LB03040001-C0002390; N826123) intends</t>
  </si>
  <si>
    <t xml:space="preserve"> Section I. Invitation to Bid FOR THE UPLB-RES-034-03-20  SUPPLY AND DELIVERY OF BRANDED AND BRAND NEW FILAMENT EXTRUDER FOR CEAT – ES (3) 1.	       The UNIVERSITY OF THE PHILIPPINES LOS BAÑOS (UPLB), through the GOP (LB02015001; N9A8932) intends to apply </t>
  </si>
  <si>
    <t xml:space="preserve"> The DPWH-Ilocos Sur 1st District Engineering Office, through its Bids and Awards Committee (BAC), invites contractors to submit bids for the following Contract:   Contract ID: 20AC0072   Contract Name: Construction of Multi-Purpose Building (Covered Court</t>
  </si>
  <si>
    <t xml:space="preserve"> Republic of the Philippines DEPARTMENT OF HEALTH WESTERN VISAYAS Center for Health Development INVITATION TO BID FOR THE  Procurement of Drugs and Medicines,  IB No. SB-2020-018 1.	The Department of Health – WV CHD, through the CONAP 2019, NBS Trust Fund </t>
  </si>
  <si>
    <t xml:space="preserve"> BID TENDER The Bids and Awards Committee Province of Iloilo      In connection with your Invitation to Bid No. GSO-20-0202-B scheduled on April 3, 2020 I/we proposed to furnish and deliver in conformity with the terms and conditions, and specifications of</t>
  </si>
  <si>
    <t xml:space="preserve"> The DPWH-Ilocos Sur 1st District Engineering Office, through its Bids and Awards Committee (BAC), invites contractors to submit bids for the following Contract:   Contract ID: 20AC0071   Contract Name: Construction of Drainage Canal Along Barangay Road Go</t>
  </si>
  <si>
    <t xml:space="preserve"> Notice is given that the North Manila Engineering District Will Conduct an Alternative Method of Procurement Thru Small Value Procurement in accordance with Section 53.9 of the Revised Implementing Rules and Regulation of RA 9184. Contractors/Suppliers of</t>
  </si>
  <si>
    <t xml:space="preserve"> The DPWH-Ilocos Sur 1st District Engineering Office, through its Bids and Awards Committee (BAC), invites contractors to submit bids for the following Contract:   Contract ID: 20AC0078   Contract Name: Construction of Multi-Purpose Building (Covered Court</t>
  </si>
  <si>
    <t xml:space="preserve"> The DPWH-Ilocos Sur 1st District Engineering Office, through its Bids and Awards Committee (BAC), invites contractors to submit bids for the following Contract:   Contract ID: 20AC0073   Contract Name: Construction of Flood Control Structure Along Mestizo</t>
  </si>
  <si>
    <t xml:space="preserve"> Section I. Invitation to Bid FOR THE UPLB-RES-029-04-20  PROCUREMENT OF DIAGNOSTIC AND LABORATORY SERVICES FOR IPB AND IBS 1.	The UNIVERSITY OF THE PHILIPPINES LOS BAÑOS (UPLB), through the GOP (LB04011001-C0002421-N919721 AND LB03039001-C0002075- N9A5423</t>
  </si>
  <si>
    <t xml:space="preserve"> The DPWH-Ilocos Sur 1st District Engineering Office, through its Bids and Awards Committee (BAC), invites contractors to submit bids for the following Contract:   Contract ID: 20AC0077   Contract Name: Construction of Multi-Purpose Building (Covered Court</t>
  </si>
  <si>
    <t xml:space="preserve"> Section I. Invitation to Bid FOR THE UPLB-RES-027-04-20  SUPPLY AND DELIVERY OF BRANDED AND BRAND NEW INFORMATION TECHNOLOGY FOR ICS 1.	The UNIVERSITY OF THE PHILIPPINES LOS BAÑOS (UPLB), through the GOP (LB03041001-C0002467-N920123) intends to apply the </t>
  </si>
  <si>
    <t xml:space="preserve"> Cleaning &amp; Desilting of Main Waterways</t>
  </si>
  <si>
    <t xml:space="preserve"> Republic of the Philippines PROVINCE OF PAMPANGA City of San Fernando INVITATION TO BID NO. 2020-13 IG - BAC INVITATION TO BID FOR PURCHASE REQUEST NO. 20-0553, 20-0476, 20-0473, 20-0477, 20-0475, 20-0474,  20-0387, 20-0232, 19-3827,  20-0141, 20-0138, an</t>
  </si>
  <si>
    <t xml:space="preserve"> WORK ENVIRONMENT MEASUREMENT		 		 		 		 SCOPE OF WORKS:		 WORK ENVIRONMENT MEASUREMENT FOR THE FOLLOWING:		 PARAMETERS	NO. OF SAMPLING AREA/ STATION	 1.ILLUMINATION	15	 2.NOISE	15	 3.VENTILATION	15	 4.HEAT STRESS	15	 5.RELATIVE HUMIDITY &amp; AIR	15	 6. TOTAL</t>
  </si>
  <si>
    <t xml:space="preserve"> INVITATION TO BID FOR THE PROCUREMENT OF  15,000 REAMS OF BOOK PAPER  WITH AN ABC OF PHP 16,920,000.00 1.	The Philippine Charity Sweepstakes Office (PCSO), through the 2020 Corporate Operating Budget intends to apply the sum of Sixteen Million Nine Hundre</t>
  </si>
  <si>
    <t xml:space="preserve"> Contract ID: 20-DO-0075 Contract Name: LOCAL PROGRAM - Local Infrastructure Program - Building and Other Structures - Multipurpose/Facilities - Construction of Multi-Purpose Building at Gen. Luna St. Brgy. Dulong Bayan 1, San Mateo, Rizal Contract Locatio</t>
  </si>
  <si>
    <t xml:space="preserve"> Section I. Invitation to Bid FOR THE UPLB-RES-031-04-20  SUPPLY AND DELIVERY OF BRANDED AND BRAND NEW CHEMICALS AND CHEMICAL PRODUCTS FOR BIOTECH &amp; IPB 1.	The UNIVERSITY OF THE PHILIPPINES LOS BAÑOS (UPLB), through the GOP (LB03023001-C002482-N826947; and</t>
  </si>
  <si>
    <t xml:space="preserve"> The Zamboanga State College of Marine Sciences and Technology (ZSCMST), through its Bids and Awards Committee, is inviting PhilGeps registered suppliers to apply for eligibility and to submit bids for the items mentioned hereunder: B-026-2020 PROCUREMENT </t>
  </si>
  <si>
    <t xml:space="preserve"> The DPWH-Ilocos Sur 1st District Engineering Office, through its Bids and Awards Committee (BAC), invites contractors to submit bids for the following Contract:   Contract ID: 20AC0074   Contract Name: Construction of Multi-Purpose Building (Covered Court</t>
  </si>
  <si>
    <t xml:space="preserve"> The DPWH-Ilocos Sur 1st District Engineering Office, through its Bids and Awards Committee (BAC), invites contractors to submit bids for the following Contract:   Contract ID: 20AC0075   Contract Name: Construction of Multi-Purpose Building, Brgy. Fuerte,</t>
  </si>
  <si>
    <t xml:space="preserve"> INVITATION TO BID FOR THE SUPPLY, DELIVERY, INSTALLATION, TESTING AND COMMISSIONING OF FIRE SUPPRESSION SYSTEM, 5-KW AIRCON, UPS, DOOR ACCESS CONTROL, TEMPERATURE AND HUMIDITY MONITORING SYSTEM, SERVER RACK AND RETROFITTING OF SERVER ROOM UNDER ITB NO. PB</t>
  </si>
  <si>
    <t xml:space="preserve"> Invitation to Bid For One (1) Lot Supply, Delivery and Installation of 50 Units Thru-The-Wall Cash Deposit Machine with Four (4) – Year Maintenance Package and Spare Parts   1.	The LAND BANK OF THE PHILIPPINES (LANDBANK), through its Corporate Budget for </t>
  </si>
  <si>
    <t xml:space="preserve"> The DPWH-Ilocos Sur 1st District Engineering Office, through its Bids and Awards Committee (BAC), invites contractors to submit bids for the following Contract:   Contract ID: 20AC0067   Contract Name: Construction of Seawall, Brgy. Solot-solot, San Juan,</t>
  </si>
  <si>
    <t xml:space="preserve"> 1 Lot Establishment of Video Wall Project for Security Operation Center (Physical and Cybersecurity) and Network Operation Center Please email us at opbacsec@malacanang.gov.ph to view the Actual Bidding Documents. Thank you.</t>
  </si>
  <si>
    <t xml:space="preserve"> National Power Corporation INVITATION TO BID PUBLIC BIDDING 2020-0095 1.	The NATIONAL POWER CORPORATION (NPC), through       its        approved       Corporate Budget of CY 2020 intends to apply   the   sum   of (Please see schedule below) being the Appr</t>
  </si>
  <si>
    <t xml:space="preserve"> REQUEST FOR QUOTATION The Tourism Infrastructure and Enterprise Zone Authority (TIEZA) through its Bids and Awards Committee undertake a Small Value Procurement for CHECK UP TRANSMISSION AND REPAIR OF TOYOTA FORTUNER, in accordance with Section 53.9 of th</t>
  </si>
  <si>
    <t xml:space="preserve"> The Zamboanga State College of Marine Sciences and Technology (ZSCMST), through its Bids and Awards Committee, is inviting PhilGeps registered suppliers to apply for eligibility and to submit bids for the items mentioned hereunder: B-028-2020 SUPPLY AND D</t>
  </si>
  <si>
    <t xml:space="preserve"> The DPWH-Ilocos Sur 1st District Engineering Office, through its Bids and Awards Committee (BAC), invites contractors to submit bids for the following Contract:   Contract ID: 20AC0068   Contract Name: Construction of Flood Control of Catabeng Brook Along</t>
  </si>
  <si>
    <t xml:space="preserve"> The DPWH-Ilocos Sur 1st District Engineering Office, through its Bids and Awards Committee (BAC), invites contractors to submit bids for the following Contract:   Contract ID: 20AC0069   Contract Name: Construction of Multi-Purpose Building (Covered Court</t>
  </si>
  <si>
    <t xml:space="preserve"> One (1) lot Vehicle Rental for Various Official Engagements (Outside and Within Metro Manila) Please email us at opbacsec@malacanang.gov.ph to view the Actual Bidding Documents. Thank you.</t>
  </si>
  <si>
    <t xml:space="preserve"> Republic of the Philippines PROVINCE OF PAMPANGA City of San Fernando INVITATION TO BID NO. 2020-14 IG-BAC INVITATION TO BID FOR PURCHASE REQUEST NO. 20-0592, 20-0673 AND 19-3888 The Provincial Government of Pampanga (“Province”) intends to apply the foll</t>
  </si>
  <si>
    <t xml:space="preserve"> The Zamboanga State College of Marine Sciences and Technology (ZSCMST), through its Bids and Awards Committee, is inviting PhilGeps registered suppliers to apply for eligibility and to submit bids for the items mentioned hereunder: B-027-2020 SUPPLY AND D</t>
  </si>
  <si>
    <t xml:space="preserve"> Bicol Medical Center Concepcion Pequeña, Naga City, 4400 (0906 256 9238 / 0998 247 0239          E-mail Address: bmc.bacoffice@gmail.com INIVITATION TO BID PROCUREMENT OF SECURITY SERVICES FOR CY 2020 ITB No. 2020-10 1.	The BICOL MEDICAL CENTER, through G</t>
  </si>
  <si>
    <t xml:space="preserve"> The Zamboanga State College of Marine Sciences and Technology (ZSCMST), through its Bids and Awards Committee, is inviting PhilGeps registered suppliers to apply for eligibility and to submit bids for the items mentioned hereunder: B-011-2020 SUPPLY AND D</t>
  </si>
  <si>
    <t xml:space="preserve"> Section I. Invitation to Bid FOR THE UPLB-RES-030-04-20  SUPPLY AND DELIVERY OF BRANDED AND BRAND NEW LABORATORY AND SCIENTIFIC EQUIPMENT FOR BIOTECH AND IPB 1.	The UNIVERSITY OF THE PHILIPPINES LOS BAÑOS (UPLB), through the GOP (LB03023001-C0001921-N8193</t>
  </si>
  <si>
    <t xml:space="preserve"> The Zamboanga State College of Marine Sciences and Technology (ZSCMST), through its Bids and Awards Committee, is inviting PhilGeps registered suppliers to apply for eligibility and to submit bids for the items mentioned hereunder: B-010-2020-B SUPPLY AND</t>
  </si>
  <si>
    <t xml:space="preserve"> REQUEST FOR QUOTATION The Tourism Infrastructure and Enterprise Zone Authority (TIEZA) through its Bids and Awards Committee undertake a Small Value Procurement for SUPPLY AND DELIVERY OF VAULT FOR TRAVEL TAX DEPARTMENT, in accordance with Section 53.9 of</t>
  </si>
  <si>
    <t xml:space="preserve"> REQUEST FOR QUOTATION The Tourism Infrastructure and Enterprise Zone Authority (TIEZA) through its Bids and Awards Committee undertake a Small Value Procurement for SUPPLY AND DELIVERY OF PRINTER AND BARCODE SCANNER, in accordance with Section 53.9 of the</t>
  </si>
  <si>
    <t xml:space="preserve"> The DPWH-Ilocos Sur 1st District Engineering Office, through its Bids and Awards Committee (BAC), invites contractors to submit bids for the following Contract:   Contract ID: 20AC0066   Contract Name: Construction of Revetment Wall, Cadanglaan, Sinait, I</t>
  </si>
  <si>
    <t xml:space="preserve"> PROCUREMENT OF MANAGED SECURITY SERVICES 	 Project No.: 2020-CIMS(008)-PB-001 FUNDING SOURCE:  CIC CORPORATE BUDGET FOR F.Y. 2020 1.	The CREDIT INFORMATION CORPORATION (CIC) invites PhilGEPS registered providers to bid for the following: QTY	DESCRIPTION	A</t>
  </si>
  <si>
    <t xml:space="preserve"> The DPWH-Ilocos Sur 1st District Engineering Office, through its Bids and Awards Committee (BAC), invites contractors to submit bids for the following Contract:   Contract ID: 20AC0065   Contract Name: Construction of Flood Control Brgy. Nagsabaran Bical </t>
  </si>
  <si>
    <t xml:space="preserve"> INVITATION TO BID PROCUREMENT OF OTHER SUPPLIES AND MATERIALS (SUPPLIES AND TOOLS ON SHIELDED METAL ARTS &amp; WELDING) FOR SAN ROQUE NHS (UNDER SCHOOLS DIVISION OFFICE) 	 The City Government of Navotas, through its Bids and Awards Committee, will hold a Publ</t>
  </si>
  <si>
    <t xml:space="preserve"> Rehabilitation/Upgrading and Drainage Improvement</t>
  </si>
  <si>
    <t xml:space="preserve"> Republic of the Philippines										 BIDS AND AWARDS COMMITTEE										 Baguio City										 (074) 300-6537/ (074)442-8795										 BID FORM										 CP No. 2020-30 Re-Bidding									March 10, 2020	 Circular Proposal No.									Date Prepared	 					</t>
  </si>
  <si>
    <t xml:space="preserve"> Republic of the Philippines DEPARTMENT OF PUBLIC WORKS AND HIGHWAYS BATANGAS II  DISTRICT ENGINEERING OFFICE REGIONAL OFFICE IV-A Kumintang Ilaya, Batangas City INVITATION TO BID For Local Infrastructure Program – Rehab/Improvement/Asphalt Overlay Alitagt</t>
  </si>
  <si>
    <t xml:space="preserve"> Republic of the Philippines DEPARTMENT OF PUBLIC WORKS AND HIGHWAYS BATANGAS II  DISTRICT ENGINEERING OFFICE REGIONAL OFFICE IV-A Kumintang Ilaya, Batangas City INVITATION TO BID For Local Infrastructure Program – Construction/Improvement of Old Public Ma</t>
  </si>
  <si>
    <t xml:space="preserve"> Republic of the Philippines DEPARTMENT OF PUBLIC WORKS AND HIGHWAYS BATANGAS II  DISTRICT ENGINEERING OFFICE REGIONAL OFFICE IV-A Kumintang Ilaya, Batangas City INVITATION TO BID For Local Infrastructure Program – Construction of the Lobo Municipal Hall P</t>
  </si>
  <si>
    <t xml:space="preserve"> Republic of the Philippines										 BIDS AND AWARDS COMMITTEE										 Baguio City										 (074) 300-6537/ (074)442-8795										 BID FORM										 CP No. 2020-34 Bidding									March 10, 2020	 Circular Proposal No.									Date Prepared	 								</t>
  </si>
  <si>
    <t xml:space="preserve"> INVITATION TO BID FOR SUPPLY AND DELIVERY OF EIGHT (8) LOTS VARIOUS SPARE PARTS FOR THE REPAIR AND MAINTENANCE OF MOTOR VEHICLES UNDER ITB NO. PB20-00-008CORA-02 (REBIDDING) The Philippine Amusement and Gaming Corporation (PAGCOR) is inviting all interest</t>
  </si>
  <si>
    <t xml:space="preserve"> I. Construction Materials  for Bridges							 1		Sand			85 	cu.m			 2		Cement 			652 	bags			 3		Gravel 3/4"			100 	cu.m			 4		Gravel - G1			125 	cu.m			 5		DSB 10mm			2035 	kgs.			 6		DSB 12mm			2035 	kgs.			 7		DSB 16mm			2035 	kgs.			 8		Tie wire #16		</t>
  </si>
  <si>
    <t xml:space="preserve"> The DPWH-Ilocos Sur 1st District Engineering Office, through its Bids and Awards Committee (BAC), invites contractors to submit bids for the following Contract:   Contract ID: 20AC0064   Contract Name: Construction of River Control Along Parsua River, Mag</t>
  </si>
  <si>
    <t xml:space="preserve"> 1		Asphalt Sealant (60/70)			11 	drums		 		-x-x-x-x-x-x-x-x-x-x-x-x-x-x</t>
  </si>
  <si>
    <t xml:space="preserve"> The DPWH-Ilocos Sur 1st District Engineering Office, through its Bids and Awards Committee (BAC), invites contractors to submit bids for the following Contract:   Contract ID: 20AC0061   Contract Name: Construction of Seawall, Sitio Mindanao, Barangay Par</t>
  </si>
  <si>
    <t xml:space="preserve"> Improvement of Municipal  Slaughterhouse, Asingan, Pangasinan. Pre-Bid Conference: March 18, 2020 at 9:30 A.M. at the Conference Room Submission/Receipt/Opening of Bids :  March 30, 2020 at 9:30 AM at the Conference Room of the Municipal Hall of Asingan B</t>
  </si>
  <si>
    <t xml:space="preserve"> The Zamboanga State College of Marine Sciences and Technology (ZSCMST), through its Bids and Awards Committee, is inviting PhilGeps registered suppliers to apply for eligibility and to submit bids for the items mentioned hereunder: B-023-2020 SUPPLY AND D</t>
  </si>
  <si>
    <t xml:space="preserve"> 1		Asphalt Sealant (60/70)			6 	drums		 		-x-x-x-x-x-x-x-x-x-x-x-x-x-x</t>
  </si>
  <si>
    <t xml:space="preserve"> Construction of Farm to Market Road at Brgy. Domanpot, Asingan, Pangasinan. Pre-Bid Conference: March 18, 2020 at 9:30 A.M. at the Conference Room Submission/Receipt/Opening of Bids :  March 30, 2020 at 9:30 AM at the Conference Room of the Municipal Hall</t>
  </si>
  <si>
    <t xml:space="preserve"> The DPWH-Ilocos Sur 1st District Engineering Office, through its Bids and Awards Committee (BAC), invites contractors to submit bids for the following Contract:   Contract ID: 20AC0058   Contract Name: Construction of Seawall at Paratong Sitio Mindanao, S</t>
  </si>
  <si>
    <t xml:space="preserve"> I. Office Supplies						 1		Refillable Ink			150 	unit		 2		Toner Cartridge (OKI) ES7170MFP			15 	unit		 3		Logbook (300 sheets)			15 	pcs.		 4		Special Ring Binder (for Maintenance Report)			8 	pcs.		 5		Bond Paper (8.5"x13")			93 	reams		 6		Bond Paper </t>
  </si>
  <si>
    <t xml:space="preserve"> Concreting of Farm to Market Road at Brgy. Calepaan, Asingan, Pangasinan. Pre-Bid Conference: March 18, 2020 at 9:30 A.M. at the Conference Room Submission/Receipt/Opening of Bids :  March 30, 2020 at 9:30 AM at the Conference Room of the Municipal Hall o</t>
  </si>
  <si>
    <t xml:space="preserve"> The DPWH-Ilocos Sur 1st District Engineering Office, through its Bids and Awards Committee (BAC), invites contractors to submit bids for the following Contract:   Contract ID: 20AC0057   Contract Name: Construction of Seawal at Paratong, Sta. Catalina, Il</t>
  </si>
  <si>
    <t xml:space="preserve"> Concreting of Cross-Drainage at Brgy. San Vicente East, Asingan, Pangasinan. Pre-Bid Conference: March 18, 2020 at 9:30 A.M. at the Conference Room Submission/Receipt/Opening of Bids :  March 30, 2020 at 9:30 AM at the Conference Room of the Municipal Hal</t>
  </si>
  <si>
    <t xml:space="preserve"> The DPWH-Ilocos Sur 1st District Engineering Office, through its Bids and Awards Committee (BAC), invites contractors to submit bids for the following Contract:   Contract ID: 20AC0060   Contract Name: Construction of Seawall at Paratong-Subec, Sta. Catal</t>
  </si>
  <si>
    <t xml:space="preserve"> CITY GOVERNMENT OF PASIG INVITATION TO BID The City Government of Pasig thru the Bids and Awards Committee (BAC) invites interested suppliers / contractors to apply for eligibility screening and if subsequently found eligible to bid for the procurement of</t>
  </si>
  <si>
    <t xml:space="preserve"> INVITATION TO BID FOR THE SUPPLY AND DELIVERY OF TEN (10) LOTS CONSOLIDATED I.T. EQUIPMENT AND OTHER PERIPHERALS FOR CORPORATE AND SOG 4 UNDER ITB NO. PB20-03-032COR The Philippine Amusement and Gaming Corporation (PAGCOR) is inviting all interested bidde</t>
  </si>
  <si>
    <t xml:space="preserve"> 1		Asphalt Cold Mix			126 	pails			 		-x-x-x-x-x-x-x-x-x-x-x-x-x-x</t>
  </si>
  <si>
    <t xml:space="preserve"> 1		Item 302: Bituminous Tack Coat (Rapid Curing)			16 	drums		 		-x-x-x-x-x-x-x-x-x-x-x-x-x-x</t>
  </si>
  <si>
    <t xml:space="preserve"> INVITATION TO BID FOR THE SUPPLY AND DELIVERY OF TWO (2) LOTS JUMBO TISSUE ROLL AND PAPER TOWEL UNDER ITB NO. PB20-03-004MAL The Philippine Amusement and Gaming Corporation (PAGCOR) is inviting all interested bidders in its forthcoming Public Bidding for </t>
  </si>
  <si>
    <t xml:space="preserve"> The DPWH-Ilocos Sur 1st District Engineering Office, through its Bids and Awards Committee (BAC), invites contractors to submit bids for the following Contract:   Contract ID: 20AC0063   Contract Name: Concreting of Roads, Brgy. Baclig-Margaay-Salapasap, </t>
  </si>
  <si>
    <t xml:space="preserve"> REQUEST FOR QUOTATION The Tourism Infrastructure and Enterprise Zone Authority (TIEZA) through its Bids and Awards Committee undertake a Small Value Procurement for the THREE (3) UNITS MANAGED PRINT SERVICES FOR THE USE OF TRAVEL TAX DEPARTMENT-PAD, TEZ F</t>
  </si>
  <si>
    <t xml:space="preserve"> Republic of the Philippines         President Ramon Magsaysay State University (Formerly Ramon Magsaysay Technological University) Iba, Zambales, Philippines Tel/Fax No.: (047) 811-1683 INVITATION TO BID FOR  UPGRADING OF EQUIPMENT FOR PROCESSING LABORATO</t>
  </si>
  <si>
    <t xml:space="preserve"> The Zamboanga State College of Marine Sciences and Technology (ZSCMST), through its Bids and Awards Committee, is inviting PhilGeps registered suppliers to apply for eligibility and to submit bids for the items mentioned hereunder: B-025-2020 REPIPING OF </t>
  </si>
  <si>
    <t xml:space="preserve"> Republic of the Philippines Dagupan City BIDS AND AWARDS COMMITTEE INVITATION TO BID For the Procurement of One (1) Unit Brand New Ambulance Vehicle (PR no.: 2020-00594-051) 1.	The City Government of Dagupan, through the 2019 Continuing Appropriation inte</t>
  </si>
  <si>
    <t xml:space="preserve"> REQUEST FOR QUOTATION Supply and Delivery of Materials for Replacement of Doors at CCJ  1. The Cavite State University (CvSU) invites interested firms/suppliers to submit quotation for the project “Supply and Delivery of Materials for Replacement of Doors</t>
  </si>
  <si>
    <t xml:space="preserve"> The DPWH-Ilocos Sur 1st District Engineering Office, through its Bids and Awards Committee (BAC), invites contractors to submit bids for the following Contract:   Contract ID: 20AC0062   Contract Name: Construction of Multi-Purpose Building (Covered Court</t>
  </si>
  <si>
    <t xml:space="preserve"> The Zamboanga State College of Marine Sciences and Technology (ZSCMST), through its Bids and Awards Committee, is inviting PhilGeps registered suppliers to apply for eligibility and to submit bids for the items mentioned hereunder: B-024-2020 REPAIR AND M</t>
  </si>
  <si>
    <t xml:space="preserve"> REQUEST FOR QUOTATION Supply and Delivery of Various Semi-Expendable Equipment for OUSD  1. The Cavite State University (CvSU) invites interested firms/suppliers to submit quotation for the project “Supply and Delivery of Various Semi-Expendable Equipment</t>
  </si>
  <si>
    <t xml:space="preserve"> Republiuc of the Philippnes				 PROVINCE OF APAYAO	PROVINCE OF APAYAO			 Provincial Government Center	Provincial Government Center, San Isidro Sur			 San Isidro Sur, Luna, Apayao	LUNA, APAYAO			 				 PROVINCIAL BIDS AND AWARD COMMITTEE-INFRA				 				 INVI</t>
  </si>
  <si>
    <t xml:space="preserve"> REQUEST FOR QUOTATION	 Date	:	March 9, 2020 Project Title	:	Supply and Delivery  of  Raw Materials for Executive Meals ITB No.	:	SV20-03-001MAB Approved  Budget for the Contract (ABC)	:	 Eight Hundred Fifty-Four Thousand One Hundred Eighteen  Pesos &amp; 9/10</t>
  </si>
  <si>
    <t xml:space="preserve"> INVITATION TO BID for the ITB No. 20-047 Supply and Delivery of Two Hundred Fifty-Two Thousand (252,000) Heparin Sodium, 1000IU/mL 5mL, Vial  1.The National Kidney and Transplant Institute (NKTI) through its Corporate Operating Budget (COB) intends to app</t>
  </si>
  <si>
    <t xml:space="preserve"> INVITATION TO BID PROCUREMENT OF COMPUTERIZED HOSPITAL INFORMATION SYSTEM &amp; ELECTRONIC HEALTH RECORD FOR THE USE OF NAVOTAS CITY HOSPITAL &amp; 25 HEALTH CENTERS 	 The City Government of Navotas, through its Bids and Awards Committee, will hold a Public Biddi</t>
  </si>
  <si>
    <t xml:space="preserve"> Construction of Protection Wall/Seal Wall with Steel Sheet Pile</t>
  </si>
  <si>
    <t xml:space="preserve"> Contract Name: Construction and / or Repair / Rehabilitation of Multi – Purpose Building Brgy. 72, Zone 6, Tondo Manila       Contract Location: Tondo, Manila       Brief Description: Construction/ Repair/ Rehabilitation of Multi – Purpose Building       </t>
  </si>
  <si>
    <t xml:space="preserve"> REQUEST FOR EXPRESSION OF INTEREST (REOI) FOR CONSULTING SERVICES  19CSK00047 – Consulting Services for the Conduct of Feasibility Study for Region X Priority Road Infrastructure Projects-27 (REXPRIP-27) a.	PIA Bypass Road, Misamis Oriental 2nd Legislativ</t>
  </si>
  <si>
    <t xml:space="preserve"> Certified Rice Seeds 85 bags Urea (46-0-0) 85 bags Complete(14-14-14) 170 bags</t>
  </si>
  <si>
    <t xml:space="preserve"> Contract ID:			20GO0085 Contract Name: 		Construction of Multi-Purpose Building, Brgy. Banago, Bacolod  City, Negros Occidental Contract Location: 		Brgy. Banago, Bacolod City, Negros Occidental Brief Description: 	Construction of MPB which includes Permi</t>
  </si>
  <si>
    <t xml:space="preserve"> Construction of 272 sq.m. Public Market with roofdeck and with 2000 liters stainless water tank</t>
  </si>
  <si>
    <t xml:space="preserve"> Invitation to Bid Procurement of Technical and Scientific Equipment 		 1.	The Department of Environment and Natural Resources (DENR) Region IV-A (CALABARZON), through the General Appropriations Acts of 2020 intends to apply the sum of One Million One Hund</t>
  </si>
  <si>
    <t xml:space="preserve"> Republic of the Philippines         President Ramon Magsaysay State University (Formerly Ramon Magsaysay Technological University) Iba, Zambales, Philippines Tel/Fax No.: (047) 811-1683 INVITATION TO BID FOR  SUPPLY AND DELIVERY OF STUDY CHAIR            </t>
  </si>
  <si>
    <t xml:space="preserve"> Item 310 (FD) 				 1	Item 310: Bituminous Concrete Surface				1,999,197.00	232.60 	Coarse (FD)					 	-x-x-x-x-x-x-x-x-x-x-x-x-x-x					 			Grand Total:		1,999,197.00</t>
  </si>
  <si>
    <t xml:space="preserve"> HIRING OF GENERAL CONTRACTOR FOR THE RENOVATION OF DBP ZAMBOANGA BUILDING (INCL. RENOVATION OF ZAMBOANGA BRANCH &amp; BBG-WM; FIT-OUT OF ZAMBOANGA PENINSULA LENDING CENTER &amp; ZAMBOANGA CASH CENTER)  Approved Budget for the Contract (ABC)	Amount of Bid Document</t>
  </si>
  <si>
    <t xml:space="preserve"> Republic of the Philippines         President Ramon Magsaysay State University (Formerly Ramon Magsaysay Technological University) Iba, Zambales, Philippines Tel/Fax No.: (047) 811-1683 INVITATION TO BID FOR  UPGRADING OF MILKFISH AND TILAPIA PROCESSING F</t>
  </si>
  <si>
    <t xml:space="preserve"> REQUEST FOR QUOTATION Supply and Delivery of Various Supplies and Materials for Hostel Tropicana  1. The Cavite State University (CvSU) invites interested firms/suppliers to submit quotation for the project “Supply and Delivery of Various Supplies and Mat</t>
  </si>
  <si>
    <t xml:space="preserve"> Republic of the Philippines										 BIDS AND AWARDS COMMITTEE										 Baguio City										 (074) 300-6537/ (074)442-8795										 BID FORM										 CP No. 2020-32 Re- Bidding									March 10, 2020	 Circular Proposal No.									Date Prepared	 				</t>
  </si>
  <si>
    <t xml:space="preserve"> The SUPPLIER shall provide Garbage Hauling Services of 150 trips at Fiestamall Store and Integrated Warehouse for a period of one (1) year. SCOPE OF SERVICES: To haul three times a week the domestic garbage and other waste materials at designated garbage </t>
  </si>
  <si>
    <t xml:space="preserve"> INVITATION TO BID The City Government of Pasay, through its Bids and Awards Committee (BAC) invites suppliers/manufacturers/distributors/contractors to apply and submit sealed bids for the supply and delivery of the following: Proposed Renovation, Rehabil</t>
  </si>
  <si>
    <t xml:space="preserve"> 1 Unit Procurement of Works for the establishment of wood vinegar facility Location: Region VI Please see attached Program of Works and Detailed Estimate PR# 2020-76</t>
  </si>
  <si>
    <t xml:space="preserve"> Republic of the Philippines National Kidney and Transplant Institute Bids and Awards Committee East Avenue, Quezon City 1100 981-0300 / 981-0400 local 1157 http://www.nkti.gov.ph/	 INVITATION TO BID for the ITB No. 20-048 SUPPLY AND DELIVERY OF VARIOUS PA</t>
  </si>
  <si>
    <t xml:space="preserve"> The Zamboanga State College of Marine Sciences and Technology (ZSCMST), through its Bids and Awards Committee, is inviting PhilGEPS registered suppliers to apply for eligibility and to submit its quotation for the items mentioned hereunder: B-022-2020  PR</t>
  </si>
  <si>
    <t xml:space="preserve"> A Republic of the Philippines BIDS AND AWARDS COMMITTEE Dagupan City Invitation to Bid  for PROPOSED REPAIR OF REGISTRY OF DEEDS OFFICE AT CITY HALL COMPOUND, DAGUPAN CITY 1.	The City Government of Dagupan, through the CONTINUING APPROPRIATIONS OF 2019 in</t>
  </si>
  <si>
    <t xml:space="preserve"> Republic of the Philippines BIDS AND AWARDS COMMITTEE Province of Iloilo Invitation to Bid Purchase of Drugs and Medicines Bid No.ADH-20-063-B(REBID) 1. The Iloilo Provincial Government, through the 2020 GENERAL FUNDS intends to apply the sum of ONE MILLI</t>
  </si>
  <si>
    <t xml:space="preserve"> National Power Corporation NEGOTIATED PROCUREMENT NP 2020-003 1.	The NATIONAL POWER CORPORATION (NPC), through       its        approved       Corporate Budget of CY 2020 intends to apply   the   sum   of (Please see schedule below) being the Approved Bud</t>
  </si>
  <si>
    <t xml:space="preserve"> The DPWH-Ilocos Sur 1st District Engineering Office, through its Bids and Awards Committee (BAC), invites contractors to submit bids for the following Contract:   Contract ID: 20AC0059   Contract Name: Construction of Multi-Purpose Building, Bahet, San Il</t>
  </si>
  <si>
    <t xml:space="preserve"> Construction of Box Culvert</t>
  </si>
  <si>
    <t xml:space="preserve"> (PLEASE SEE ATTACHED FILE)</t>
  </si>
  <si>
    <t xml:space="preserve"> Contract Location: TIWI, ALBAY Brief Description: REHABILITATION/RECONSTRUCTION OF ROAD SLIPS Source of Funds: GAA 2020 DPWH INFRA  The BAC is conducting the public bidding for this Contract in accordance with RA 9184 and its Implementing Rules and Regula</t>
  </si>
  <si>
    <t xml:space="preserve"> National Power Corporation INVITATION TO BID PUBLIC BIDDING 2020-0085 1.	The NATIONAL POWER CORPORATION (NPC), through       its        approved       Corporate Budget of CY 2020 intends to apply   the   sum   of (Please see schedule below) being the Appr</t>
  </si>
  <si>
    <t xml:space="preserve"> Supply and Delivery of the following DRRM Rescue Vehicles: 1. 6 units DRRM Rescue Vehicle, pick-up body type, 4x4 Manual Transmission with the following specifications: Model 2020, colors Silver Metallic, Gray Metallic, Crimson Spark Red, Orange Metallic,</t>
  </si>
  <si>
    <t xml:space="preserve"> Standard Form Number: SF-GOODS-05 Revised on:  July 28, 2004 INVITATION TO BID The University of the Philippines Cebu, through its Bids and Awards Committee (BAC), invites bidders to bid for the hereunder project: Name of Projects       :  Pocurement of I</t>
  </si>
  <si>
    <t xml:space="preserve"> INVITATION TO BID The City Government of Pasay, through its Bids and Awards Committee (BAC) invites suppliers/manufacturers/distributors/contractors to apply and submit sealed bids for the supply and delivery of the following: Proposed Improvement of Drai</t>
  </si>
  <si>
    <t xml:space="preserve"> INVITATION TO BID The City Government of Pasay, through its Bids and Awards Committee (BAC) invites suppliers/manufacturers/distributors/contractors to apply and submit sealed bids for the supply and delivery of the following: Proposed FDLRC (Furnishing, </t>
  </si>
  <si>
    <t xml:space="preserve"> A Republic of the Philippines BIDS AND AWARDS COMMITTEE Dagupan City Invitation to Bid  for PROPOSED UPGRADING OF PCC PAVEMENT AND DRAINAGE SYSTEM AT SITIO ABALATEN, BARANGAY SALISAY, DAGUPAN CITY 1.	The City Government of Dagupan, through the CONTINUING </t>
  </si>
  <si>
    <t xml:space="preserve"> Contract Name: Construction of Retention Basin at Estero de Sampaloc, Manila City Contract Location: Sampaloc, Manila      Brief Description: Construction of Retention Basin at Estero de Calubcob      Approved Budget for the Contract (ABC):  Php 48,999,86</t>
  </si>
  <si>
    <t xml:space="preserve"> A Republic of the Philippines BIDS AND AWARDS COMMITTEE Dagupan City Invitation to Bid  for PROPOSED UPGRADING OF PCC PAVEMENT AND DRAINAGE SYSTEM AT RIVERSIDE, BARANGAY POGO CHICO, DAGUPAN CITY 1.	The City Government of Dagupan, through the CONTINUING AP</t>
  </si>
  <si>
    <t xml:space="preserve"> The Tagum Water District, through its Bids and Awards Committee (BAC), invites suppliers/manufacturer/distributors to apply for eligibility and to bid on the hereunder project: NAME OF CONTRACT : Procurement of 1 Lot Security Services Location : National </t>
  </si>
  <si>
    <t xml:space="preserve"> Demolition of Existing One Storey Annex Building. Construction of 447.77 sq.m. Two – Storey Bulan Public Market Annex Building</t>
  </si>
  <si>
    <t xml:space="preserve"> National Power Corporation INVITATION TO BID PUBLIC BIDDING 2020-0081 1.	The NATIONAL POWER CORPORATION (NPC), through       its        approved       Corporate Budget of CY 2020 intends to apply   the   sum   of (Please see schedule below) being the Appr</t>
  </si>
  <si>
    <t xml:space="preserve"> The ZAMBOANGA CITY STATE POLYTECHNIC COLLEGE through its Bids and Awards Committee (BAC) is inviting PHILGEPS registered suppliers to apply for eligibility and to submit bids for the items listed below: 1.	Battle rope w/ mall mount 1.5 handles x 9m rope (</t>
  </si>
  <si>
    <t xml:space="preserve"> 1.	The Government Service Insurance System (GSIS), through the GSIS Corporate Operating Budget for CY2020, intends to apply the sum of Two Million Two Hundred Thousand Pesos (Php2,200,000.00) being the Approved Budget for the Contract (ABC) for payment un</t>
  </si>
  <si>
    <t xml:space="preserve"> Standard Form Number: SF-GOODS-05 Revised on:  July 28, 2004 INVITATION TO BID The University of the Philippines Cebu, through its Bids and Awards Committee (BAC), invites bidders to bid for the hereunder project: Name of Projects       :  Supply and Deli</t>
  </si>
  <si>
    <t xml:space="preserve"> (Section I) Republic of the Philippines Department of Health CENTER FOR HEALTH DEVELOPMENT MIMAROPA Q.M.M.C. Compound, Project 4, Quezon City INVITATION FOR NEGOTIATED PROCUREMENT  DUE TO TWO – FAILED BIDDINGS PROCUREMENT FOR THE COMPLETION/REPAIR/RENOVAT</t>
  </si>
  <si>
    <t xml:space="preserve"> INVITATION TO BID FOR SUPPLY OF SECURITY PERSONNEL FOR NORZAGARAY WATER DISTRICT 1.	The Norzagaray Water District (NorWD) through its Corporate Budget for the contract approved by the governing Boards intends to apply the sum of One Million Two  Hundred  </t>
  </si>
  <si>
    <t xml:space="preserve"> Contract Name: Installation of Pumping Station (Mini Pump) at Barangay 598 Zone 59, Manila City       Contract Location: Manila City       Brief Description: Installation of Mini Pump       Approved Budget for the Contract (ABC):  Php 53,074,892.40       </t>
  </si>
  <si>
    <t xml:space="preserve"> INVITATION TO BID The City Government of Pasay, through its Bids and Awards Committee (BAC) invites suppliers/manufacturers/distributors/contractors to apply and submit sealed bids for the supply and delivery of the following: Supply and delivery of one (</t>
  </si>
  <si>
    <t xml:space="preserve"> The ZAMBOANGA CITY STATE POLYTECHNIC COLLEGE through its Bids and Awards Committee (BAC) is inviting PHILGEPS registered suppliers to apply for eligibility and to submit bids for the items listed below: 1.	Dental forcep #151, good quality, pref. Germany m</t>
  </si>
  <si>
    <t xml:space="preserve"> Construction of Flood Mitigation Structure</t>
  </si>
  <si>
    <t xml:space="preserve"> INVITATION TO BID FOR PROCUREMENT OF GENERATOR SET ITB NO. 2020-05 March 5, 2020 1.	The LGU-SAPAD, Province of Lanao del Norte, through the Municipal Disaster Risk Reduction Management Office  intends to apply the sum of FIVE HUNDRED NINETY FIVE PESOS (Ph</t>
  </si>
  <si>
    <t xml:space="preserve"> INVITATION TO BID The City Government of Pasay, through its Bids and Awards Committee (BAC) invites suppliers/manufacturers/distributors/contractors to apply and submit sealed bids for the supply and delivery of the following: Supply and delivery of 12,09</t>
  </si>
  <si>
    <t xml:space="preserve"> INVITATION TO BID The City Government of Pasay, through its Bids and Awards Committee (BAC) invites suppliers/manufacturers/distributors/contractors to apply and submit sealed bids for the supply and delivery of the following: ACCOMMODATION AND CONFERENCE</t>
  </si>
  <si>
    <t xml:space="preserve"> The DPWH-Ilocos Sur 1st District Engineering Office, through its Bids and Awards Committee (BAC), invites contractors to submit bids for the following Contract:   Contract ID: 20AC0090   Contract Name: Constructionof Multi-Purpose Building, Magsingal, Ilo</t>
  </si>
  <si>
    <t xml:space="preserve"> INVITATION TO BID The City Government of Pasay, through its Bids and Awards Committee (BAC) invites suppliers/manufacturers/distributors/contractors to apply and submit sealed bids for the supply and delivery of the following: Supply and delivery of LEARN</t>
  </si>
  <si>
    <t xml:space="preserve"> QTY.      UNIT     DESCRIPTION 1           unit       diagnose and trouble shooting hydraulic system with electronic hydraulic system 1           unit        shifting combination 1            pc.         repair park brake, vibrator and wiring 1           </t>
  </si>
  <si>
    <t xml:space="preserve"> The DPWH-Ilocos Sur 1st District Engineering Office, through its Bids and Awards Committee (BAC), invites contractors to submit bids for the following Contract:   Contract ID: 20AC0091   Contract Name: Construction of Multi-Purpose Building, Brgy. San Vic</t>
  </si>
  <si>
    <t xml:space="preserve"> Construction of MRF Annex Building at Samal Ecological Park at San Juan, Samal, Bataan Construction of MRF Annex Building with floor area of 142 sq.m. Item No.	Description			Qty	Unit  I	Earthworks			89	 cu.m.  II	Concrete &amp; Masonry Works			1	 lot  III	For</t>
  </si>
  <si>
    <t xml:space="preserve"> Construction/Rehabilitation of Various District Engineering Office including construction of Multi-Purpose Gym, Renovation of Old DPWH Office, Multipurpose Hall at roofdeck including CCTV, Paging System and Air-Conditioning</t>
  </si>
  <si>
    <t xml:space="preserve"> The DPWH-Ilocos Sur 1st District Engineering Office, through its Bids and Awards Committee (BAC), invites contractors to submit bids for the following Contract:   Contract ID: 20AC0089   Contract Name: Construction / Rehabilitation of Multi-Purpose Buildi</t>
  </si>
  <si>
    <t xml:space="preserve"> Republic of the Philippines PROVINCE OF PAMPANGA City of San Fernando INVITATION TO BID NO. 2020-12 IG - BAC INVITATION TO BID FOR PURCHASE REQUEST NO. 20-0621 The Provincial Government of Pampanga (“Province”) intends to apply the following sums from the</t>
  </si>
  <si>
    <t xml:space="preserve"> Acquisition of Two (2) Units 12 Seater Van (brand new) at Samal, Bataan Two (2) Units 12 Seater Van (brand new) with minimum specifications: Seating Capacity: 12 Engine Type: 4 Cylinder      in-line Type DOHC, 16 Valve Engine Displacement: Diesel, 2,755cc</t>
  </si>
  <si>
    <t xml:space="preserve"> PHILIPPINE DEPOSIT INSURANCE CORPORATION Makati City INVITATION TO BID PROCUREMENT OF SECURITY SERVICE PROVIDER FOR A PERIOD OF ONE (1) YEAR 1.	The Philippine Deposit Insurance Corporation, through its 2020 Corporate Operating Budget, intends to apply the</t>
  </si>
  <si>
    <t xml:space="preserve"> The DPWH-Ilocos Sur 1st District Engineering Office, through its Bids and Awards Committee (BAC), invites contractors to submit bids for the following Contract:   Contract ID: 20AC0054   Contract Name: Concreting of Roads, Brgy. Poblacion East, San Ildefo</t>
  </si>
  <si>
    <t xml:space="preserve"> National Power Corporation INVITATION TO BID PUBLIC BIDDING 2020-0079 1.	The NATIONAL POWER CORPORATION (NPC), through       its        approved       Corporate Budget of CY 2020 intends to apply   the   sum   of (Please see schedule below) being the Appr</t>
  </si>
  <si>
    <t xml:space="preserve"> Please see and use the RFQ Form in the "Associated Components"</t>
  </si>
  <si>
    <t xml:space="preserve"> 1. The Department of Foreign Affairs, through the authorized appropriations under the Multi-Year Contractual Authority (MYCA) MYCA No. MYCA-BMB-D-20-0000002, intends to apply the sum of One Billion Nine Hundred Forty-Seven Million Sixty-Two Thousand One H</t>
  </si>
  <si>
    <t xml:space="preserve"> Invitation to Bid For One (1) Lot Supply and Delivery of EMV VISA Debit Card and Paywave Debit Card for OFBANK  1.	The LAND BANK OF THE PHILIPPINES (LANDBANK), through its Corporate Budget for the contract approved by the Board of Directors for 2020 inten</t>
  </si>
  <si>
    <t xml:space="preserve"> Invitation to Bid For   Three (3) Years Managed Laser Print Services with Consumables 1.	The LAND BANK OF THE PHILIPPINES (LANDBANK), through its Corporate Budget for the contract approved by the Board of Directors for 2020 intends to apply the total sum </t>
  </si>
  <si>
    <t xml:space="preserve"> INVITATION TO BID The City Government of Pasay, through its Bids and Awards Committee (BAC) invites suppliers/manufacturers/distributors/contractors to apply and submit sealed bids for the supply and delivery of the following: Proposed Renovation of Roof </t>
  </si>
  <si>
    <t xml:space="preserve"> Contract Location: TABACO CITY, ALBAY Brief Description: REPLACEMENT/CONSTRUCTION OF BRIDGE Source of Funds: GAA CY 2020 DPWH INFRA The BAC is conducting the public bidding for this Contract in accordance with RA 9184 and its Implementing Rules and Regula</t>
  </si>
  <si>
    <t xml:space="preserve"> Invitation to Bid For   Supply and Delivery of 1,100 Units Desktop Computer 1.	The LAND BANK OF THE PHILIPPINES (LANDBANK), through its Corporate Budget for the contract approved by the Board of Directors for 2019 intends to apply the total sum of Forty S</t>
  </si>
  <si>
    <t xml:space="preserve"> INVITATION TO BID Provision of Security Services for Pag-IBIG Fund Central and Eastern Visayas Branches, Offices and Warehouses covering the period Y2020-2021 The Pag-IBIG Fund Technical and Administrative Support for Central and Eastern Visayas (TAS-CEV)</t>
  </si>
  <si>
    <t xml:space="preserve"> National Power Corporation INVITATION TO BID PUBLIC BIDDING 2020-0078 1.	The NATIONAL POWER CORPORATION (NPC), through       its        approved       Corporate Budget of CY 2020 intends to apply   the   sum   of (Please see schedule below) being the Appr</t>
  </si>
  <si>
    <t xml:space="preserve"> 1.	The Bureau of Fire Protection Region 8, through the General Appropriations Act CY 2020 intends to apply the sum of One Million Seven Hundred Forty-One Thousand Nine Hundred Thirty-Six Pesos and Forty-Three Centavos (₱1,741,936.43) being the Approved Bu</t>
  </si>
  <si>
    <t xml:space="preserve"> INVITATION TO BID FOR THE PROCUREMENT OF ONE (1) LOT, THREE (3) YEARS PRIVATE SECURITY AGENCY (PSA) SERVICES FOR CF-DAVAO AND APO VIEW SATELLITE UNDER ITB NO. PB20-03-002DAV The Philippine Amusement and Gaming Corporation (PAGCOR) is inviting all interest</t>
  </si>
  <si>
    <t xml:space="preserve"> Package 10 of 10: Supply and Delivery of 3,697 pcs. 19mm.Ø (3/4”) Plastic Female Elbow, Compression Type (for CTS Pipe)</t>
  </si>
  <si>
    <t xml:space="preserve"> Package 11 of 17: Supply and Delivery of 25 units Fire Hydrant Head 4"Ø (Angle Type) and 15 units Fire Hydrant Head 6"Ø (3-Way) (re-bidding)</t>
  </si>
  <si>
    <t xml:space="preserve"> Package 7 of 17: Supply and Delivery of 22 pcs. Red Lead Primed and Cement Line Steel Pipe, 200mm. diameter x 6 meters  and 15 pcs. Red Lead Primed and Cement Line Steel Pipe, 350mm. diameter x 6 meters (re-bidding)</t>
  </si>
  <si>
    <t xml:space="preserve"> 1.	The Civil Aviation Authority of the Philippines, through the Funds from DOTr Downloaded Projects intends to apply the sum of FIFTY-FOUR MILLION SIX HUNDRED EIGHTY-THREE THOUSAND ONE HUNDRED EIGHTY-NINE PESOS 82/100 (PhP 54,683,189.82) being the Approve</t>
  </si>
  <si>
    <t xml:space="preserve"> Package 9 of 17: Supply and Delivery of 6,930 pcs. 19mm.Ø (3/4”) Plastic Union Coupling, Compression Type (for CTS Pipe)</t>
  </si>
  <si>
    <t xml:space="preserve"> Package 6 of 17: Supply and Delivery of 15 lengths - Riser Pipe with Coupling, 10”Ø x 10 ft. (re-bidding)</t>
  </si>
  <si>
    <t xml:space="preserve"> Package 4 of 17: Supply of Labor and Materials for the Production and Delivery of 19 pcs. Yellow Gold Bracelet with I.D Bar (18k, 12 grams)</t>
  </si>
  <si>
    <t xml:space="preserve"> INVITATION TO BID FOR THE SUPPLY AND DELIVERY OF CARD PRINTER CONSUMABLES FOR PAGCOR’S EXISTING HITI CS200E CARD PRINTER UNDER ITB NO. PB20-02-031COR The Philippine Amusement and Gaming Corporation (PAGCOR) is inviting all interested bidders in its forthc</t>
  </si>
  <si>
    <t xml:space="preserve"> 1. The Bureau of Fire Protection Region 8, through the General Appropriations Act CY 2020 intends to apply the sum of Three Million One Hundred Seventy-Eight Thousand Nine Hundred Thirty-Eight Pesos and Thirteen Centavos (₱3,178,938.13) being the Approved</t>
  </si>
  <si>
    <t xml:space="preserve"> Package 3 of 17: Supply and Delivery of 305 pairs - Safety Shoes (various sizes)</t>
  </si>
  <si>
    <t xml:space="preserve"> Package 5 of 17: Supply of Labor and Materials for The Production and Delivery of 22 Pieces Yellow Gold Ring with 0.30k 3rd Class Diamond Stone (18k, 6 Grams)</t>
  </si>
  <si>
    <t xml:space="preserve"> Package 8 of 17: Supply and Delivery of 104 pcs. - 25mm.Ø Water Meter</t>
  </si>
  <si>
    <t xml:space="preserve"> National Power Corporation INVITATION TO BID PUBLIC BIDDING 2020-0076 1.	The NATIONAL POWER CORPORATION (NPC), through       its        approved       Corporate Budget of CY 2020 intends to apply   the   sum   of (Please see schedule below) being the Appr</t>
  </si>
  <si>
    <t xml:space="preserve"> Package 2 of 17: Supply and Delivery of 117 pcs.-  Respiratory Mask  (Full Face Gas Mask) with inclusion of two (2) Cartridges</t>
  </si>
  <si>
    <t xml:space="preserve"> The DPWH-Ilocos Sur 1st District Engineering Office, through its Bids and Awards Committee (BAC), invites contractors to submit bids for the following Contract:   Contract ID: 20AC0056   Contract Name: Construction of Revetment Wall, Barangay Quibit-quibi</t>
  </si>
  <si>
    <t xml:space="preserve"> SAFETY HARNESS, WHOLE BODY SUPPORT	 SAFETY HARNESS CONTAINING HARNESS, LANYARD AND RUCKSACK PER SET	 (A) HARNESS	    ONE DORSAL ATTACHMENT D-RING AND TEXTILE LOOPS IN FRONT FOR FALL ARREST	    ADJUSTABLE SHOULDER AND LEGS STRAPS	    SIT STRAP	    WEBBING </t>
  </si>
  <si>
    <t xml:space="preserve"> INVITATION TO BID FOR THE EXTENSION OF MULTI-PURPOSE BUILDING AT BRGY. MACATIW, CITY OF ALAMINOS, PANGASINAN 1.	The CITY GOVERNMENT OF ALAMINOS, PANGASINAN through its Special Purpose Appropriation (SPA) intends to apply an amount of Seven Hundred Seventy</t>
  </si>
  <si>
    <t xml:space="preserve"> WATER POTABILITY TESTING	  	  	 25 SAMPLING POINTS ( 3 -  PHYSICO-CHEMICAL AND 22 - MICROBIOLOGICAL TESTS)	 PARAMETERS FOR PHYSIO-CHEMICAL ARE ARSENIC, CADMIUM, LEAD NITRATES, COLOR, TURBIDITY, IRON, Ph, MANGANESE, CHLORIDE, SULFATE AND TOTAL	 DISSOLVED S</t>
  </si>
  <si>
    <t xml:space="preserve"> Package 13 of 17: Supply and Delivery of 33 pcs. – D.I. Gate  Valve  Flange Type, 200mm. (8”), Non-Rising Stem with Operating Nut</t>
  </si>
  <si>
    <t xml:space="preserve"> INVITATION TO BID FOR THE SUPPLY AND DELIVERY OF ASSORTED FOOD SUPPLIES, PAPER CUPS AND OTHER NON-FOOD SUPPLIES FOR VIP BAR  UNDER ITB NO. PB20-02-008ANG The Philippine Amusement and Gaming Corporation (PAGCOR) is inviting all interested bidders in its fo</t>
  </si>
  <si>
    <t xml:space="preserve"> INVITATION TO BID FOR THE CONSTRUCTION OF MULTI-PURPOSE BUILDING AT BRGY. TANGCARANG, CITY OF ALAMINOS, PANGASINAN 1.	The CITY GOVERNMENT OF ALAMINOS, PANGASINAN through its Special Purpose Appropriation (SPA) intends to apply an amount of Two Million Fiv</t>
  </si>
  <si>
    <t xml:space="preserve"> INVITATION TO BID FOR THE CONSTRUCTION OF WINGS OF MULTI-PURPOSE BUILDING AT BRGY. TELBANG, CITY OF ALAMINOS, PANGASINAN 1.	The CITY GOVERNMENT OF ALAMINOS, PANGASINAN through its Development Fund intends to apply an amount of One Million Seven Hundred Fo</t>
  </si>
  <si>
    <t xml:space="preserve"> 1 LOT SUPPLY AND DELIVERY OF VARIOUS CONSTRUCTION SUPPLIES 		 Breakdown:		 3	cans	Acrylic paint spray ,800 ml,red 3	cans	Acrylic paint spray,800 ml, yellow 4	pcs	Angle bar, 1/4 in x 1 1/2 in x 1 1/2 x 6 m  2	pcs	Angle bar, 1/4 in x 2 in x 2 in x 6 m 4	gal</t>
  </si>
  <si>
    <t xml:space="preserve"> INVITATION TO BID FOR THE REHABILITATION / UPGRADING OF FARM TO MARKET ROAD (SABANGAN PORTION) AT BRGY. SABANGAN, CITY OF ALAMINOS, PANGASINAN 1.	The CITY GOVERNMENT OF ALAMINOS, PANGASINAN through its Development Fund (DF) intends to apply an amount of E</t>
  </si>
  <si>
    <t xml:space="preserve"> Section I. Invitation to Bid FOR THE UPLB-S-042-03-20 (FORMERLY UPLB-S-120-12-19)  UPGRADE / REHABILITATION OF INTERNET CONNECTION OF BIOTECH 1.	The UNIVERSITY OF THE PHILIPPINES LOS BAÑOS (UPLB), through the GOP intends to apply the sum of NINE HUNDRED F</t>
  </si>
  <si>
    <t xml:space="preserve"> 1.	The DENR-Environmental Management Bureau Region 2, through the Air Quality Monitoring Fund (Fund 155) CY 2019 and Environmental Revolving Fund (ERF) CY 2020	intends to apply the sum of One Million Three Hundred Thousand Pesos (P1,300,000.00) the contra</t>
  </si>
  <si>
    <t xml:space="preserve"> Package 17 of 17: Supply and Delivery of 18,931 pcs. - G.I. Bushing, 19mm. x 12mm (Standard)</t>
  </si>
  <si>
    <t xml:space="preserve"> Side-by-side Refrigerator-Freezer,  Total Capacity: at least 20 cu. ft.,  No frost, Inverter technology for compressor/motor,  Temp Range: 2-8°C for refrigerator, at least -20°C for Freezer,  power and electrical specs compatible with Philippine standards</t>
  </si>
  <si>
    <t xml:space="preserve"> Package 14 of 17: Supply and Delivery of 328 pcs. D.I. Mechanical Sleeve Type Coupling, 100mm. (4”) Ø (Universal Type)</t>
  </si>
  <si>
    <t xml:space="preserve"> Package 16 of 17: Supply and Delivery of 3,656 pcs. - G.I. Cross Tee, 19mm.Ø  (Standard)</t>
  </si>
  <si>
    <t xml:space="preserve"> The DPWH-Ilocos Sur 1st District Engineering Office, through its Bids and Awards Committee (BAC), invites contractors to submit bids for the following Contract:   Contract ID: 20AC0051   Contract Name: Construction of Fuerte Road, Caoayan, Ilocos Sur    B</t>
  </si>
  <si>
    <t xml:space="preserve"> Package 15 of 17: Supply and Delivery of 650 pcs. – Valve Box Cover, 160mm. (Cast Iron or Ductile Iron)</t>
  </si>
  <si>
    <t xml:space="preserve"> INVITATION TO BID FOR THE SUPPLY, DELIVERY AND INSTALLATION OF ATTENDANCE CAPTURING MACHINES under ITB No. PB20-01-017COR The Philippine Amusement and Gaming Corporation (PAGCOR) is inviting all interested bidders in its forthcoming public bidding for the</t>
  </si>
  <si>
    <t xml:space="preserve"> REQUEST FOR EXPRESSION OF INTEREST (REOI) FOR CONSULTING SERVICES  19CSK00049 – Consultancy Services for the Conduct of Feasibility Study for Misamis Occidental Economic Zone Diversion Road (ReXPRIP-29), Misamis Occidental 1st and 2nd Legislative District</t>
  </si>
  <si>
    <t xml:space="preserve"> Bicol Medical Center Concepcion Pequeña, Naga City, 4400 0998 - 247 – 0239 / 0906 – 256 -9238          E-mail Address: bmc.bacoffice@gmail.com INIVITATION TO BID SUPPLY, DELIVERY, INSTALLATION, TESTING AND COMMISSIONING OF AIRCONDITIONING UNITS AT PSYCHIA</t>
  </si>
  <si>
    <t xml:space="preserve"> REQUEST FOR EXPRESSION OF INTEREST (REOI) FOR CONSULTING SERVICES  19CSK00048 – Consultancy Services for the Conduct of Feasibility Study for Tubod-Kapatagan Bypass Road, Sapad-Pualas Road, Kauswagan-Poona Piagapo-Marantao Road, Balo-i Bypass Road, (ReXPR</t>
  </si>
  <si>
    <t xml:space="preserve"> Cloud Subscription / Services for NEA BIT Project</t>
  </si>
  <si>
    <t xml:space="preserve"> Contract Location:  FIRST DISTRICT OF ALBAY Brief Description: CONSTRUCTION OF WATER SYSTEM Source of Funds: GAA 2020 DPWH INFRA  The BAC is conducting the public bidding for this Contract in accordance with RA 9184 and its Implementing Rules and Regulati</t>
  </si>
  <si>
    <t xml:space="preserve"> Contract ID: 			20GO0038 Contract 	Name: 			 Widening/Improvement/Upgrading of Honorata Manalo  (Buri Road), Brgy. Mandalagan, Bacolod City Contract 	Location: 		 Brgy. Mandalagan, Bacolod City, Negros Occidental Brief Description:                   Widen</t>
  </si>
  <si>
    <t xml:space="preserve"> B3	PERMITS AND CLEARANCES	L.S	1.00 B5	PROJECT BILLBOARD/SIGNBOARD	EA	2.00 B7(2)	OCCUPATIONAL SAFETY ANDHEALTH PROGRAM	L.S	1.00 803(1)a	STRUCTURE EXCAVATION (COMMON SOIL)	CU.M.	22.11 804(1)b	EMBANKMENT FROM COMMON BORROW	CU.M.	48.30 804(4)	GRAVEL BEDDING	C</t>
  </si>
  <si>
    <t xml:space="preserve"> Lot 1 (Lot 6 Rebid)  REPAIR OF CLASSROOMS AT LANAO DEL NORTE PROVINCIAL SCIENCE AND TECHNOLOGY HS,TUBOD,LDN	 ABC Php3,759,553.34	 Contract Days: 90 CD	 Cost of Bidding Documents: Php5,000.00 The bidding shall be governed by the Implementing Rules and Regu</t>
  </si>
  <si>
    <t xml:space="preserve"> Section I. Invitation to Bid FOR THE UPLB-S-044-03-20  SUPPLY, DELIVERY AND INSTALLATION OF BRANDED AND BRAND NEW VARIOUS LABORATORY EQUIPMENT 1.	The UNIVERSITY OF THE PHILIPPINES LOS BAÑOS (UPLB), through the GOP intends to apply the sum of TWO MILLION T</t>
  </si>
  <si>
    <t xml:space="preserve"> A.1.1(10)	PROVISSION OF LIVING QUARTER FOR THE ENGINEER (RENTAL BASIS)	MO.	5.83 B.4(1)	CONSTRUCTION SURVEY AND STAKING	KM.	0.20 B.5	PROJECT BILLBOARD	EACH	4.00 B.7 (2)	OCCUPATIONAL SAFETY AND HEALTH PROGRAM	L.S.	1.00 B.8(1)	TRAFFIC MANAGEMENT	MONTH	5.83 B</t>
  </si>
  <si>
    <t xml:space="preserve"> Contract Location:  BACACAY, STO. DOMINGO, MALINAO &amp; TABACO CITY, ALBAY Brief Description: WIDENING &amp; CONCRETING OF ROADS Source of Funds: GAA 2020 DPWH INFRA  The BAC is conducting the public bidding for this Contract in accordance with RA 9184 and its I</t>
  </si>
  <si>
    <t xml:space="preserve"> INVITATION TO BID The National Housing Authority (NHA) Region 4, through the Corporate Budget by the NHA Board for the year 2019 intends to apply the sum of the Approved Budget for the Contract (ABC) to payments for the following contracts: Ref No.	PROJEC</t>
  </si>
  <si>
    <t xml:space="preserve"> Section I. Invitation to Bid FOR THE UPLB-S-031-03-20  SUPPLY AND DELIVERY OF BRANDED AND BRAND NEW INFORMATION TECHNOLOGY PARTS, ACCESSORIES AND PERIPHERALS 1.	The UNIVERSITY OF THE PHILIPPINES LOS BAÑOS (UPLB), through the GOP intends to apply the sum o</t>
  </si>
  <si>
    <t xml:space="preserve"> National Power Corporation INVITATION TO BID PUBLIC BIDDING 2020-0073 1.	The NATIONAL POWER CORPORATION (NPC), through       its        approved       Corporate Budget of CY 2020 intends to apply   the   sum   of (Please see schedule below) being the Appr</t>
  </si>
  <si>
    <t xml:space="preserve"> The DPWH-Ilocos Sur 1st District Engineering Office, through its Bids and Awards Committee (BAC), invites contractors to submit bids for the following Contract:   Contract ID: 20AC0053   Contract Name: Construction of Tamurong Seawall, Brgy. Tamurong, Sta</t>
  </si>
  <si>
    <t xml:space="preserve"> The DPWH-Ilocos Sur 1st District Engineering Office, through its Bids and Awards Committee (BAC), invites contractors to submit bids for the following Contract:   Contract ID: 20AC0055   Contract Name: Construction of Road From Brgy. Cuta – Brgy. Tamag, V</t>
  </si>
  <si>
    <t xml:space="preserve"> pulvurizer, shredder ect...</t>
  </si>
  <si>
    <t xml:space="preserve"> Section I. Invitation to Bid FOR THE UPLB-RES-024-03-20  SUPPLY AND DELIVERY OF BRANDED AND BRAND NEW APPLIANCES FOR IHNF 1.	The UNIVERSITY OF THE PHILIPPINES LOS BAÑOS (UPLB), through the GOP (LB03071001-C0002504-N827831) intends to apply the sum of TWO </t>
  </si>
  <si>
    <t xml:space="preserve"> Republic of the Philippines										 BIDS AND AWARDS COMMITTEE										 Baguio City										 (074) 300-6537/ (074)442-8795										 BID FORM										 CP No. 2020-33 Bidding									February 26, 2020	 Circular Proposal No.									Date Prepared	 					</t>
  </si>
  <si>
    <t xml:space="preserve"> The DPWH-Ilocos Sur 1st District Engineering Office, through its Bids and Awards Committee (BAC), invites contractors to submit bids for the following Contract:   Contract ID: 20AC0052   Contract Name: Improvement of Vigan – Bantay Bypass Road, Nagsangala</t>
  </si>
  <si>
    <t xml:space="preserve"> Procurement and Delivery of ICT Equipment</t>
  </si>
  <si>
    <t xml:space="preserve"> A.1.1(10)	PROVISSION OF LIVING QUARTER FOR THE ENGINEER (RENTAL BASIS)	MO.	5.70 B.4(1)	CONSTRUCTION SURVEY AND STAKING	KM.	0.43 B.5	PROJECT BILLBOARD	EACH	4.00 B.7 (2)	OCCUPATIONAL SAFETY AND HEALTH PROGRAM	L.S.	1.00 B.8(1)	TRAFFIC MANAGEMENT	MONTH	5.70 B</t>
  </si>
  <si>
    <t xml:space="preserve"> INVITATION TO BID Febuary 21, 2020 The DPWH-Quirino District Engineering Office, through its Bids and Awards Committee (BAC), invites contractors to submit bids for the following Contract: Contract I.D.  	:	20BK0129 Name of Project	:	Water Distribution Sy</t>
  </si>
  <si>
    <t xml:space="preserve"> Republic of the Philippines BULACAN STATE UNIVERSITY City of Malolos, Bulacan ________________________________________ INVITATION TO BID FOR    Supply and Delivery of Fabrication Laboratory Equipment for Regional Development Center (BulSU-BAC-G-2020-04) T</t>
  </si>
  <si>
    <t xml:space="preserve"> REQUEST FOR QUOTATION Supply and Delivery of Various Equipment for OSAS – NSTP 1. The Cavite State University (CvSU) invites interested firms/suppliers to submit quotation for the project “Supply and Delivery of Various Equipment for OSAS – NSTP” with an </t>
  </si>
  <si>
    <t xml:space="preserve"> Package 12 of 17: Supply and Delivery of 100 pcs. – D.I. Gate  Valve  Flange Type 100mm. (4”), Non-Rising Stem with Operating Nut</t>
  </si>
  <si>
    <t xml:space="preserve"> INVITATION TO BID Febuary 21, 2020 The DPWH-Quirino District Engineering Office, through its Bids and Awards Committee (BAC), invites contractors to submit bids for the following Contract: Contract I.D.  	:	20BK0130 Name of Project	:	Water Distribution Sy</t>
  </si>
  <si>
    <t xml:space="preserve"> National Power Corporation INVITATION TO BID PUBLIC BIDDING 2020-0072 1.	The NATIONAL POWER CORPORATION (NPC), through       its        approved       Corporate Budget of CY 2020 intends to apply   the   sum   of (Please see schedule below) being the Appr</t>
  </si>
  <si>
    <t xml:space="preserve"> INVITATION TO BID FOR SUPPLY AND DELIVERY OF TWO (2) LOTS FOOD SUPPLIES FOR VIP BAR-COOKED, CANNED AND PROCESSED FOOD ITEMS UNDER ITB No. PB20-02-001MAB  The Philippine Amusement and Gaming Corporation (PAGCOR) is inviting all interested bidders in its fo</t>
  </si>
  <si>
    <t xml:space="preserve"> A.1.1(10)	PROVISSION OF LIVING QUARTER FOR THE ENGINEER (RENTAL BASIS)	MO.	5.70 B.4(1)	CONSTRUCTION SURVEY AND STAKING	KM.	0.11 B.5	PROJECT BILLBOARD	EACH	4.00 B.7 (2)	OCCUPATIONAL SAFETY AND HEALTH PROGRAM	L.S.	1.00 B.8(1)	TRAFFIC MANAGEMENT	MONTH	5.70 B</t>
  </si>
  <si>
    <t xml:space="preserve"> Republic of the Philippines  	BULACAN STATE UNIVERSITY City of Malolos, Bulacan ________________________________________ INVITATION TO APPLY AND TO BID  PROCUREMENT OF STUDENT PERSONAL ACCIDENT INSURANCE A.Y. 2020-2021 (BulSU-BAC-G-2020-17) The BULACAN ST</t>
  </si>
  <si>
    <t xml:space="preserve"> Please see attached RFQ # 20-663-1 Submit your Sign and Sealed Quotation together with your UPDATED ELIGIBILITY Requirements For more details please call BUB/Planning (426-0593) Technical Requirements: 1. Valid Business Permit / Mayor's Permit 2. Valid Ph</t>
  </si>
  <si>
    <t xml:space="preserve"> Republic of the Philippines PROVINCE OF PAMPANGA City of San Fernando INVITATION TO BID NO. 2020-10 IG-BAC INVITATION TO BID FOR PURCHASE REQUEST NO. 19-3492, 19-2645 and 19-3009 The Provincial Government of Pampanga (“Province”) intends to apply the foll</t>
  </si>
  <si>
    <t xml:space="preserve"> INVITATION TO BID FOR THE PROCUREMENT OF  DISASTER RECOVERY SITE (CLOUD) WITH AN ABC OF PHP5,000,000.00 1.	The Philippine Charity Sweepstakes Office (PCSO), through the 2020 Corporate Operating Budget intends to apply the sum of Five Million Pesos (Php5,0</t>
  </si>
  <si>
    <t xml:space="preserve"> INVITATION TO BID The National Development Company (NDC), through its Bids &amp; Awards Committee, invites bids for the public bidding of the project specified below: Name of Project          :	4th Public Bidding of the Site Development Works for the NDC Indu</t>
  </si>
  <si>
    <t xml:space="preserve"> see attached.</t>
  </si>
  <si>
    <t xml:space="preserve"> Contract ID: 20-DO-0067 Contract Name: LOCAL PROGRAM - Local Infrastructure Program – Buildings and Other Structures – Multipurpose/Facilities – Construction and/or Repair/ Rehabilitation of Multi-Purpose Building, Brgy. Rizal, Baras, Rizal Contract Locat</t>
  </si>
  <si>
    <t xml:space="preserve"> Request for Quotation for the Procurement of Various Animal Feeds  1.	The Department of Agriculture-Regional Field Office 7 (DA-RFO 7), through the General Appropriation Act for CY 2020 intends to apply the sum of Ninety Nine Thousand Seven Hundred Ninety</t>
  </si>
  <si>
    <t xml:space="preserve"> Section I. Invitation to Bid FOR THE UPLB-RES-026-03-20  PROCUREMENT OF DIAGNOSTIC AND LABORATORY SERVICES FOR BIOTECH  1.	The UNIVERSITY OF THE PHILIPPINES LOS BAÑOS (UPLB), through the GOP (LB03023001 – C0002400 - N9A8847) intends to apply the sum of TW</t>
  </si>
  <si>
    <t xml:space="preserve"> Section I. Invitation to Bid FOR THE UPLB-RES-025-03-20  SUPPLY AND DELIVERY OF BRANDED AND BRAND NEW LABORATORY AND SCIENTIFIC EQUIPMENT FOR IHNF 1.	The UNIVERSITY OF THE PHILIPPINES LOS BAÑOS (UPLB), through the GOP (LB03071001-C0002504-N827831) intends</t>
  </si>
  <si>
    <t xml:space="preserve"> Repair/Maintenance including Road Slips</t>
  </si>
  <si>
    <t xml:space="preserve"> DESCRIPTION	UNIT	QUANTITY PART A	FACILITIES FOR THE ENGINEER		 A.1.1(10)	PROVISION OF LIVING QUARTER FOR THE ENGINEER (RENTAL BASIS)	MO.	5.60 PART B	OTHER GENERAL REQUIREMENTS		 B.4(1)	CONSTRUCTION SURVEY AND STAKING	KM.	0.24 B.5	PROJECT BILLBOARD	EACH	4.</t>
  </si>
  <si>
    <t xml:space="preserve"> Republic of the Philippines COMMISSION ON ELECTIONS M a n i l a INVITATION TO BID Supply and Delivery of Microsoft Office Home and Business for Installation in the Computers with Installed Ubuntu Operating System in the Main and Field Offices of the Commi</t>
  </si>
  <si>
    <t xml:space="preserve"> INVITATION TO BID FOR THE SUPPLY AND DELIVERY OF 13,590 BOTTLES OF FIVE-(5) GALLON PURIFIED DRINKING WATER UNDER ITB NO. PB20-02-003MAL The Philippine Amusement and Gaming Corporation (PAGCOR) is inviting all interested bidders in its forthcoming Public B</t>
  </si>
  <si>
    <t xml:space="preserve"> Invitation to Bid for IMPROVEMENT OF ACCOUNTING OFFICE, A.G. SAMONTE HALL BUILDING, UPLB, COLLEGE, LAGUNA 1.	The U.P. LOS BAÑOS, through the GOP through UPLB Reprogrammed Funds intends to apply the sum of ₱9,694,545.45 being the Approved Budget for the Co</t>
  </si>
  <si>
    <t xml:space="preserve"> Section I. Invitation to Bid FOR THE UPLB-S-033-03-20  SUPPLY, DELIVERY AND INSTALLATION OF BRANDED AND BRAND NEW AUDIO VISUAL EQUIPMENT 1.	The UNIVERSITY OF THE PHILIPPINES LOS BAÑOS (UPLB), through the GOP intends to apply the sum of ONE MILLION SIX HUN</t>
  </si>
  <si>
    <t xml:space="preserve"> Republic of the Philippines National Kidney and Transplant Institute Bids and Awards Committee East Avenue, Quezon City 1100 981-0300 / 981-0400 local 1157 http://www.nkti.gov.ph/ INVITATION TO BID for the ITB No. 20-044 SUPPLY AND DELIVERY OF ASSORTED RI</t>
  </si>
  <si>
    <t xml:space="preserve"> Invitation to Bid No. 2020-02-03 PROCUREMENT OF VARIOUS LIBRARY BOOKS FOR ULRC AND COM (RE-BIDDING)  1.	The West Visayas State University, through the GAA 2020 intends to apply the sum of Six Hundred Thousand Pesos (PhP600,000.00) Only being the Approved </t>
  </si>
  <si>
    <t xml:space="preserve"> Contract ID: 20-DO-0068 Contract Name: LOCAL PROGRAM - Local Infrastructure Program – Buildings and Other Structures – Multipurpose/Facilities – Construction of Multi-Purpose Building (Barangay Health Center), Dela Costa Homes Barangay Burgos, Rodriguez, </t>
  </si>
  <si>
    <t xml:space="preserve"> 8 sets 11.00x20 Tires</t>
  </si>
  <si>
    <t xml:space="preserve"> INVITATION TO BID SUPPLY AND DELIVERY OF FIVE (5) UNITS SPORTS UTILITY VEHICLE (SUV) (REBIDDING)   The Pag-IBIG Fund Corporate Headquarters, through its Bids and Awards Committee – Goods and Services (BAC-GS) intends to apply the sum of Eight Million Five</t>
  </si>
  <si>
    <t xml:space="preserve"> INVITATION TO BID FOR SUPPLY AND DELIVERY OF SIX (6) LOTS CONSTRUCTION/HARDWARE, ELECTRICAL/LIGHTING, PLUMBING, LUMBER, PAINTING AND UPHOLSTERY MATERIALS FOR VARIOUS CORPORATE DEPARTMENTS AND SOG’S UNDER ITB No. PB20-02-030COR The Philippine Amusement and</t>
  </si>
  <si>
    <t xml:space="preserve"> Please see attached RFQ # 20-644 Submit your Sign and Sealed Quotation together with your UPDATED ELIGIBILITY Requirements For more details please call HVCDP Program (09777731211)  Technical Requirements: 1. Valid Business Permit / Mayor's Permit 2. Valid</t>
  </si>
  <si>
    <t xml:space="preserve"> REQUEST FOR EXPRESSION OF INTEREST FOR DETAILED ARCHITECTURAL AND ENGINEERING DESIGN (DAED) OF THE PROPOSED PILOT PLANT AND SCREENHOUSES FOR BIOFERTILIZERS, BIOSTIMULANTS AND BIOPESTICIDES AT BIOTECH-UPLB 1.	The UP Los Baños, through the GOP intends to ap</t>
  </si>
  <si>
    <t xml:space="preserve"> Section I. Invitation to Bid FOR THE UPLB-S-032-03-20  PROCUREMENT FOR REHABILITATION/UPGRADE OF INTERNET CONNECTION FOR VARIOUS OFFICES 1.	The UNIVERSITY OF THE PHILIPPINES LOS BAÑOS (UPLB), through the GOP intends to apply the sum of THREE MILLION EIGHT</t>
  </si>
  <si>
    <t xml:space="preserve"> National Power Corporation INVITATION TO BID PUBLIC BIDDING 2020-0065 1.	The NATIONAL POWER CORPORATION (NPC), through       its        approved       Corporate Budget of CY 2020 intends to apply   the   sum   of (Please see schedule below) being the Appr</t>
  </si>
  <si>
    <t xml:space="preserve"> Section I. Invitation to Bid FOR THE UPLB-S-034-03-20  SUPPLY AND DELIVERY OF BRANDED AND BRAND NEW VARIOUS OFFICE EQUIPMENT 1.	The UNIVERSITY OF THE PHILIPPINES LOS BAÑOS (UPLB), through the GOP intends to apply the sum of NINE HUNDRED FIFTY THOUSAND FIV</t>
  </si>
  <si>
    <t xml:space="preserve"> Section I. Invitation to Bid FOR THE UPLB-S-039-03-20  SUPPLY, DELIVERY AND INSTALLATION OF BRANDED AND BRAND NEW VARIOUS APPLIANCES 1.	The UNIVERSITY OF THE PHILIPPINES LOS BAÑOS (UPLB), through the GOP intends to apply the sum of ONE MILLION ONE HUNDRED</t>
  </si>
  <si>
    <t xml:space="preserve"> Invitation to Bid For   One (1) Lot Supply, Delivery and Installation of Signage, ATM Acrylic Frame Panels, Glass Panel Stickers, Rehabilitation of ATM Sunshade, Dismantling of Existing Signage and Removal of Existing Glass Panel Stickers at LANDBANK Alle</t>
  </si>
  <si>
    <t xml:space="preserve"> National Power Corporation INVITATION TO BID PUBLIC BIDDING 2020-0066 1.	The NATIONAL POWER CORPORATION (NPC), through       its        approved       Corporate Budget of CY 2020 intends to apply   the   sum   of (Please see schedule below) being the Appr</t>
  </si>
  <si>
    <t xml:space="preserve"> Section I. Invitation to Bid FOR THE UPLB-S-037-03-20  SUPPLY AND DELIVERY OF BRANDED AND BRAND NEW VARIOUS AGRICULTURAL MACHINERY AND EQUIPMENT 1.	The UNIVERSITY OF THE PHILIPPINES LOS BAÑOS (UPLB), through the GOP intends to apply the sum of TWO MILLION</t>
  </si>
  <si>
    <t xml:space="preserve"> The Tagum Water District, through its Bids and Awards Committee (BAC), invites suppliers/manufacturer/distributors to apply for eligibility and to bid on the hereunder project: NAME OF CONTRACT : Supply and Delivery of Water Meter Test Bench Location : Na</t>
  </si>
  <si>
    <t xml:space="preserve"> Republic of the Philippines DEPARTMENT OF HEALTH TALISAY DISTRICT HOSPITAL        (DR. JACINTO VELEZ SR. MEMORIAL HOSPITAL) San Isidro, Talisay City, Cebu (032)273-8785  (032) 273-8785 talisaydistricthospital@gmail.com http://www.tdh.doh.gov.ph INVITAT</t>
  </si>
  <si>
    <t xml:space="preserve"> Section I. Invitation to Bid FOR THE UPLB-S-038-03-20  SUPPLY AND DELIVERY OF BRANDED AND BRAND NEW VARIOUS WINDOW TYPE AIRCONDITIONING UNITS 1.	The UNIVERSITY OF THE PHILIPPINES LOS BAÑOS (UPLB), through the GOP intends to apply the sum of TWO MILLION SE</t>
  </si>
  <si>
    <t xml:space="preserve"> National Power Corporation INVITATION TO BID PUBLIC BIDDING 2020-0068 1.	The NATIONAL POWER CORPORATION (NPC), through       its        approved       Corporate Budget of CY 2020 intends to apply   the   sum   of (Please see schedule below) being the Appr</t>
  </si>
  <si>
    <t xml:space="preserve"> Republic of the Philippines DEPARTMENT OF HEALTH TALISAY DISTRICT HOSPITAL        (DR. JACINTO VELEZ SR. MEMORIAL HOSPITAL) San Isidro, Talisay City, Cebu (032)273-3226  (032) 273-3226 talisaydistricthospital@gmail.com http://www.tdh.doh.gov.ph INVITAT</t>
  </si>
  <si>
    <t xml:space="preserve"> Republic of the Philippines BULACAN STATE UNIVERSITY City of Malolos, Bulacan Tel nos.: (044) 919-7800 loc. 1053/ (044) 794-7755 BIDS AND AWARDS COMMITTEE FOR GOODS, SUPPLIES, AND SERVICES Project Reference No.: BulSU-BAC-G-2020-16                        </t>
  </si>
  <si>
    <t xml:space="preserve"> Republic of the Philippines COMMISSION ON ELECTIONS M a n i l a INVITATION TO BID Supply and Delivery of Printer Toner Cartridges for Replenishment of Stocks for 1st Quarter FY 2020 (BAC Ref No. 03-2020PTC) Approved Budget for the Contract:  Php35,596,000</t>
  </si>
  <si>
    <t xml:space="preserve"> INVITATION TO BID The City Government of Pasay, through its Bids and Awards Committee (BAC) invites suppliers/manufacturers/distributors/contractors to apply and submit sealed bids for the supply and delivery of the following: Supply and delivery of  10,0</t>
  </si>
  <si>
    <t xml:space="preserve"> National Power Corporation INVITATION TO BID PUBLIC BIDDING 2020-0059 1.	The NATIONAL POWER CORPORATION (NPC), through       its        approved       Corporate Budget of CY 2020 intends to apply   the   sum   of (Please see schedule below) being the Appr</t>
  </si>
  <si>
    <t xml:space="preserve"> REQUEST FOR EXPRESSION OF INTEREST FOR DETAILED ARCHITECTURAL AND ENGINEERING DESIGN (DAED) OF THE PROPOSED CONSTRUCTION OF THE ELECTRICAL ENGINEERING BUILDING PHASE 2 1.	The UP Los Baños, through the GOP intends to apply the sum of Three Million Five Hun</t>
  </si>
  <si>
    <t xml:space="preserve"> National Power Corporation INVITATION TO BID PUBLIC BIDDING 2020-0067 1.	The NATIONAL POWER CORPORATION (NPC), through       its        approved       Corporate Budget of CY 2020 intends to apply   the   sum   of (Please see schedule below) being the Appr</t>
  </si>
  <si>
    <t xml:space="preserve"> INVITATION TO BID The Department of Public Works and Highways - Pampanga 1st District Engineering Office, through its Bids and Awards Committee (BAC), invites contractors to submit bids for the following Contract: 1.	 Procurement ID/Contract ID	:	20CG0119</t>
  </si>
  <si>
    <t xml:space="preserve"> Republic of the Philippines COMMISSION ON ELECTIONS M a n i l a INVITATION TO BID Supply and Delivery of Sheet Fed Scanners for the Document Management System (DMS) Project of the Commission (BAC Ref No. 04-2020SFC) Approved Budget for the Contract:  Php2</t>
  </si>
  <si>
    <t xml:space="preserve"> 20HN0107 -LP: Construction/Repair/ Rehabilitation/Improvement of  Various Infrastructure including Local Projects - Local Roads  and Bridges - Local Roads - Construction of Skywalk,  Barangay Pusok, Lapu-Lapu City Scope of Work		:	Construction of Accessib</t>
  </si>
  <si>
    <t xml:space="preserve"> One (1) Lot – Upgrading of Gates of BSP Tacloban Branch Office, as per BSP Terms of Reference</t>
  </si>
  <si>
    <t xml:space="preserve"> 20HN0104 -LP: Local Infrastructure Program -Local Roads and Bridges – Local Bridges - Widening/Retrofitting of Opao Bridge, Mandaue City (Modified to: Widening of Opao Bridge, Mandaue City)</t>
  </si>
  <si>
    <t xml:space="preserve"> Section I. Invitation to Bid FOR THE UPLB-S-030-03-20  PROCUREMENT OF SIPHONING SERVICES OF SEPTIC TANKS FOR UPLB DORMITORIES (NEW DORMITORY, VETMED DORMITORY, FORESTRY RESIDENCE HALL, NEW FORESTRY RESIDENCE HALL) 1.	The UNIVERSITY OF THE PHILIPPINES LOS </t>
  </si>
  <si>
    <t xml:space="preserve"> 30 pieces of Anethesia Flex Mask, Adult 10 pieces of Anethesia Flex Mask, Child/Small Adult 10 pieces of Anethesia Flex Mask, Neonatal</t>
  </si>
  <si>
    <t xml:space="preserve"> Procurement of supply and delivery of services for equipment calibration 11	unit	Single Channel Pipettor 5	unit	Multi Channel Pipettor 5	unit	Incubator/Oven 2	unit	Refrigerator 		PAB Certified Calibrator PR# 2020-268</t>
  </si>
  <si>
    <t xml:space="preserve"> 25 pieces of Breathing Circuit, Modified Jackson Rees System</t>
  </si>
  <si>
    <t xml:space="preserve"> Invitation to Bid For   Supply, Delivery and Installation of Digital Corner Counter at Various LANDBANK Offices 1.	The LAND BANK OF THE PHILIPPINES (LANDBANK), through its Corporate Budget for the contract approved by the Board of Directors for 2019 inten</t>
  </si>
  <si>
    <t xml:space="preserve"> 30 pieces of Airway Oropharyngeal guide , Size 4</t>
  </si>
  <si>
    <t xml:space="preserve"> Invitation to Bid LANDBANK Marawi (Lanao del Sur) Building Construction 1.	The LAND BANK OF THE PHILIPPINES, through its Corporate Budget for the contract approved by the Board of Directors for 2020 intends to apply the sum of Nineteen Million Eight Hundr</t>
  </si>
  <si>
    <t xml:space="preserve"> Invitation to Bid LANDBANK Baguio Corporate Center Building Construction 1.	The LAND BANK OF THE PHILIPPINES, through its Corporate Budget for the contract approved by the Board of Directors for 2019 intends to apply the sum of Seventy Nine Million Nine H</t>
  </si>
  <si>
    <t xml:space="preserve"> The Zamboanga del Norte 3rd District Engineering Office, through its Bids and Awards Committee (BAC), invites contractors to submit bids for the Contract:												 												 Contract ID:				20JD0094								 Contract Name:				Construction of Water Sy</t>
  </si>
  <si>
    <t xml:space="preserve"> REQUEST FOR EXPRESSION OF INTEREST (REOI) FOR CONSULTING SERVICES  19CSK00044 – Soil Testing/ Exploration for Bridge Projects-Geotechnical Investigation for the Construction of By-Pass and Diversion Roads, Eastern Interior By-Pass Road (Gusa Puerto/ Jct. </t>
  </si>
  <si>
    <t xml:space="preserve"> The DPWH-North Manila District Engineering Office, through its Bids and Awards Committee (BAC) invites contractors to submit bids for the following Contract: 2.	 Contract I.D. No. 20OE0114 Contract Name: Rehabilitation of School Building at Gen. Licerio G</t>
  </si>
  <si>
    <t xml:space="preserve"> REQUEST FOR EXPRESSION OF INTEREST (REOI) FOR CONSULTING SERVICES  19CSK00043 – Soil Testing/ Exploration for Bridge Projects-Geotechnical Investigation for the Construction of By-Pass and Diversion Roads, CDO-New Western Diversion Road, (Canito-an-Cagaya</t>
  </si>
  <si>
    <t xml:space="preserve"> Procurement of supply and delivery of agricultural supplies 40	Bag	Organic fertilizer 50	Cu.m	Decompose rice hull 70	Piece	Plastic pots round 30cm. 50	Piece	Plastic pots round 20cm 10,000	Piece	Polyethylene bag (6x8inches) 0.003mm PR# 2020-118</t>
  </si>
  <si>
    <t xml:space="preserve"> The DPWH-North Manila District Engineering Office, through its Bids and Awards Committee (BAC) invites contractors to submit bids for the following Contract: 1.	Contract I.D. No. 20OE0108 Contract Name: Rehabilitation of School Building at P. Burgos Eleme</t>
  </si>
  <si>
    <t xml:space="preserve"> The Zamboanga del Norte 3rd District Engineering Office, through its Bids and Awards Committee (BAC), invites contractors to submit bids for the Contract:												 												 Contract ID:				20JD0100								 Contract Name:				Construction of Water Su</t>
  </si>
  <si>
    <t xml:space="preserve"> REQUEST FOR EXPRESSION OF INTEREST (REOI) FOR CONSULTING SERVICES  19CSK00042 – Soil Testing/ Exploration for Bridge Projects-Geotechnical Investigation of the Construction of By-Pass and Diversion Roads, Puerto-Claveria By-Pass Road, Package 5, Misamis O</t>
  </si>
  <si>
    <t xml:space="preserve"> The DPWH-Regional Office I, through its Bids and Awards Committee (BAC), invites contractors to submit bids for the following Contract: Contract ID: 20A00152 Contract Name: Construction/ Repair/ Rehabilitation/ Improvement of Various Infrastructure includ</t>
  </si>
  <si>
    <t xml:space="preserve"> Contract Name: Construction of Multi – Purpose Building at the Department of Social Welfare and Development – National Cpital Region, Manila Contract Location: Manila City      Brief Description: Construction of Multi – Purpose Building      Approved Budg</t>
  </si>
  <si>
    <t xml:space="preserve"> 30 pieces of Cast, Polyester, size 4"</t>
  </si>
  <si>
    <t xml:space="preserve"> A.1.1(10)	PROVISION OF LIVING QUARTER FOR THE ENGINEER (RENTAL BASIS)	MO.	5.70 B.4(1)	CONSTRUCTION SURVEY AND STAKING	KM.	0.18 B.5	PROJECT BILLBOARD	EACH	4.00 B.7(2)	OCCUPATIONAL SAFETY AND HEALTH PROGRAM	L.S.	1.00 B.8(1)	TRAFFIC MANAGEMENT	MONTH	5.70 B.9</t>
  </si>
  <si>
    <t xml:space="preserve"> A. Clearing. Layout and false works B. Excavation C. Concrete Line Canal with Concrete Cover and Concrete Shoulder D. Concrete Line Canal</t>
  </si>
  <si>
    <t xml:space="preserve"> Contract Name: Improvement of Multi – Purpose Facilities, Brgy. 617, Manila City Contract Location: Manila City      Brief Description: Improvement of Multi – Purpose Building      Approved Budget for the Contract (ABC):  Php 48,999,996.39      Source of </t>
  </si>
  <si>
    <t xml:space="preserve"> Contract Name: Construction of Multi – Purpose Buildings ( Daycare Centers), Manila City Contract Location: Manila City      Brief Description: Construction of Multi – Purpose Buildings      Approved Budget for the Contract (ABC):  Php 97,998,833.48      </t>
  </si>
  <si>
    <t xml:space="preserve"> Procurement of supply and delivery of ICT 5	unit	Laptop 		Specifications: Brandnew Processor: Core i7 At least 14inch LED Screen Memory: 8GB Storage: 1TB Supplied with Laptop Bag, Wireless Mouse with battery Preloaded Operating System: Windows 10 64BIT In</t>
  </si>
  <si>
    <t xml:space="preserve"> Contract Name: Continuation of Multi – Purpose Building, Brgy. 259, Tondo, Manila Contract Location: Manila City      Brief Description: Rehabilitation of Multi – Purpose Building      Approved Budget for the Contract (ABC):  Php 14,849,659.73      Source</t>
  </si>
  <si>
    <t xml:space="preserve"> Contract Name: Rehabilitation / Reconstruction / Improvement of Multi – Purpose Building, Patricia Paraiso Complex, Brgy. 177, Tondo, Manila Contract Location: Manila City      Brief Description: Rehabilitation / Reconstruction / Improvement of Multi – Pu</t>
  </si>
  <si>
    <t xml:space="preserve"> Contract Name: Preventive Maintenance – Secondary Roads – Plaza Sta. Cruz – (S02423LZ) (FLR) Chainage 000 – Chainage 104, Manila City Contract Location: Manila City      Brief Description: Asphalt Overlay      Approved Budget for the Contract (ABC):  Php </t>
  </si>
  <si>
    <t xml:space="preserve"> 20HN0097 -LP: Construction/Repair/ Rehabilitation/Improvement of Various Infrastructure including Local Projects - Local Roads and Bridges - Local Roads - Construction of Diversion Road, Brgy. Garing, Consolacion, Cebu (Modified to: Concreting/Improvement</t>
  </si>
  <si>
    <t xml:space="preserve"> Contract Name: Rehabilitation of Multi – Purpose Building (Bacood Health Center), Manila Contract Location: Manila City      Brief Description: Rehabilitation of Multi – Purpose Building       Approved Budget for the Contract (ABC):  Php 9,799,932.60     </t>
  </si>
  <si>
    <t xml:space="preserve"> DESCRIPTION	UNIT	QUANTITY PART A	FACILITIES FOR THE ENGINEER		 A.1.1(10)	PROVISION OF LIVING QUARTER FOR THE ENGINEER (RENTAL BASIS)	MOS	5.43 PART B	OTHER GENERAL REQUIREMENTS		 B.4(1)	CONSTRUCTION SURVEY STAKING	KM.	1.41 B.5	PROJECT BILLBOARD	EACH	4.00 B</t>
  </si>
  <si>
    <t xml:space="preserve"> Contract Name: Re – Development of Estero de Binondo, Dasmariñas St., Brgy. 282, Zone 26, District 3, Manila Contract Location: Manila City      Brief Description: Construction of Multi-Purpose Building      Approved Budget for the Contract (ABC):  Php 98</t>
  </si>
  <si>
    <t xml:space="preserve"> REQUEST FOR QUOTATION Supply and Delivery of Aircondition Units for CvSU Gentri Campus 1. The Cavite State University (CvSU) invites interested firms/supplier to submit quotation for the project “Supply and Delivery of Aircondition Units for CvSU Gentri C</t>
  </si>
  <si>
    <t xml:space="preserve"> Contract ID No. 20OH0121 Contract Name: 	Local Program - Local Infrastructure Program - Flood Control and Drainage - Drainage / Protection Works - Drainage and Protection Works at Estero Tripa de Gallina – Maricaban Creek, Pasay City Contract Location: Pa</t>
  </si>
  <si>
    <t xml:space="preserve"> The DPWH-Regional Office I, through its Bids and Awards Committee (BAC), invites contractors to submit bids for the following Contract: Contract ID: 20A00158 Contract Name: Local Infrastructure Program - Construction of Slope Protection Works along Pangas</t>
  </si>
  <si>
    <t xml:space="preserve"> Contract Name: Rehabilitation of Multi – Purpose Building, Brgy 636, Sta. Mesa, Manila Contract Location: Manila City      Brief Description: Rehabilitation of Multi – Purpose Building       Approved Budget for the Contract (ABC):  Php 9,899,596.36      S</t>
  </si>
  <si>
    <t xml:space="preserve"> 1.	The Davao del Norte State College through the Regular Agency Fund (FY 2020 GAA) intends to apply the sum of Forty Million Pesos Only (Php 40,000,000.00) being the Approved Budget for the Contract (ABC) to payment under the contract for the CONSTRUCTION</t>
  </si>
  <si>
    <t xml:space="preserve"> INVITATION FOR BIDS Date: 17 January 2020 Loan/Grant No. and Title:   ADB Loan No. 3631 – PHI: Improving Growth Corridors in Mindanao Road Sector Project (IGCMRSP) Contract No. and Title:        Contract No. 19Z00011, PR-01a, Gutalac-Baliguian Alternative</t>
  </si>
  <si>
    <t xml:space="preserve"> (Project Nr: GAA-VMMC-UVES-R-2019) 1.	The Department of National Defense (DND) - Veterans Memorial Medical Center (VMMC), through the 2019 General Appropriation Act of the Government of the Philippines (RA 10964) intend to apply the sum of ONE HUNDRED TWE</t>
  </si>
  <si>
    <t xml:space="preserve"> The DPWH – Bulacan First District Engineering Office, through its Bids and Awards Committee (BAC), invites contractors to submit bids for the following Contract: Contract ID: 20CC0116 Contract Name: Construction of two storey four classroom school buildin</t>
  </si>
  <si>
    <t xml:space="preserve"> Road widening (2-4 Lanes) including Slope Protection and Drainage</t>
  </si>
  <si>
    <t xml:space="preserve"> * 1 unit Cabinet, filing, four drawers, steel, plain * 2 units Cabinet, filing, lateral, 3 layers * 5 units Chair, executive, fabric * 1 unit Table, clerical, 28" x 48", with top glass * 1 unit Two-Way Mirror</t>
  </si>
  <si>
    <t xml:space="preserve"> Republic of the Philippines								 	Department of Science and Technology								 	PHILIPPINE SCIENCE HIGH SCHOOL - MAIN CAMPUS								 	Agham Road, Diliman, Quezon City								 									 	REQUEST FOR QUOTATION								 							NO:	20-01-031	 							DATE:	J</t>
  </si>
  <si>
    <t xml:space="preserve"> The DPWH-Regional Office I, through its Bids and Awards Committee (BAC), invites contractors to submit bids for the following Contract: Contract ID: 20A00157 Contract Name: Construction/ Repair/ Rehabilitation/ Improvement of Various Infrastructure includ</t>
  </si>
  <si>
    <t xml:space="preserve"> * 8 pcs Badminton Racket * 9 pcs Baseball Ball * 4 pcs Baseball Bat * 8 sets Baseball/Softball Gloves * 6 pcs Baseball/Softball Helmet * 4 pairs Boxing Gloves, 14" * 4 pcs Chess Clock * 4 pcs Chess Mat * 1 pc Discuss Throw, women, 3kg * 2 pcs Javelin Thro</t>
  </si>
  <si>
    <t xml:space="preserve"> * 8 sets Bouillion Cups and Saucers, 8-12 oz, set of 6 * 5 sets Cappucino Cups and Underliner, set of 12 * 8 sets Tea Cups and Saucers, 6 2/3 oz, set of 6 * 8 sets Cereal Plates, 5", set of 6 * 2 sets Cups and Saucers, 5-6 oz, set of 12 * 5 sets Demitasse</t>
  </si>
  <si>
    <t xml:space="preserve"> INVITATION TO BID The Department of Public Works and Highways - Pampanga 1st District Engineering Office, through its Bids and Awards Committee (BAC), invites contractors to submit bids for the following Contract: 1.	 Procurement ID/Contract ID	:	20CG0026</t>
  </si>
  <si>
    <t xml:space="preserve"> * 4 units External Hard Drive, 4TB * 2 units Printer; borderless; printing, copy, and scan features; USB connectivity; WiFi direct and wireless networking; easy wireless printing from mobile devices; CISS print up to 8,000 colour or 6,000 black pages * 1 </t>
  </si>
  <si>
    <t xml:space="preserve"> The DPWH-Regional Office I, through its Bids and Awards Committee (BAC), invites contractors to submit bids for the following Contract: Contract ID: 20A00156 Contract Name: Construction/ Repair/ Rehabilitation/ Improvement of Various Infrastructure includ</t>
  </si>
  <si>
    <t xml:space="preserve"> * 3 pcs Abnormal Psychology * 3 pcs Biopsychology * 3 pcs Clinical Psychology * 3 pcs Cognitive Psychology * 3 pcs Counselinh and Psychotheraphy * 3 pcs Diagnostic and Statistical Manual of Mental Disorders (DSM-5) * 3 pcs Educational Psychology * 3 pcs E</t>
  </si>
  <si>
    <t xml:space="preserve"> * 3 pcs Breakfast Bar Chair; Overall Height: 81 - 102cm, Adjustable; Base: 38.5cm; Seat Height: 56 - 76cm, Adjustable; Back Rest: 26cm; Seat: 35cm * 16 units Cabinet, filing, four drawers, steel, plain * 2 units Cabinet; stainless steel; 5-shelf wire; Hei</t>
  </si>
  <si>
    <t xml:space="preserve"> Construction of Gravel Road/ Construction of Concrete Road, ROW Acquisition</t>
  </si>
  <si>
    <t xml:space="preserve"> Source of Funds: 20% BARANGAY IRA MATERIAL COST   1 cu.m. River boulders 6"Ø   31 bags Portland Cement   1.6 m° Washed Sand   3.3 m° River Gravel 1"Ø   13 length 16mmØ Reinforcing Steel Bars   6 length 12mmØ Reinforcing Steel Bars   12 lenght 10mmØ Reinfo</t>
  </si>
  <si>
    <t xml:space="preserve"> Invitation to Bid  for the  Subic-Clark Railway Project Public Bidding No.  19-341-7 1.	The Government of the Philippines (GoP) intends to apply for a Loan from the People’s Republic of China toward the cost of the Subic-Clark Railway Project (SCRP), and </t>
  </si>
  <si>
    <t xml:space="preserve"> * 8 pcs Trash Bin, stainless, small * 2 units Soap Dispenser, for liquid handwash soap * 2 units Toilet Paper Dispenser, large * 4 sets Tornado Mop, with adjustable handle, heavy duty * 12 rolls Toilet Tissue * 10 liters Liquid Hand Soap * 2 units Electri</t>
  </si>
  <si>
    <t xml:space="preserve"> * 2 boxes Acetate (transparency film), A4 * 2 boxes Acetate (transparency film), long (8.5" x 13") * 360 pcs Ballpen, black * 110 pcs Ballpen, blue * 80 pcs Ballpen, green * 110 pcs Ballpen, red * 31 packs Battery, AA, 2 pieces per blister pack, HD * 27 p</t>
  </si>
  <si>
    <t xml:space="preserve"> * 1 unit Photocopying Machine - Multifunction Printer with Automatic Document Feeder - Memory: 1.5GB HDD 250GB - Copier: multi copy up to 999; 600dpi resolution: zoom from 25% to 400% - Scanner: maximum scan speed of 54 ipm;: 600dpi to 1,200dpi resolution</t>
  </si>
  <si>
    <t xml:space="preserve"> * 1 set L-Desk Workstation with Desk Mounted Panels, for 4 persons * 4 pcs Office Swivel Chair, mesh backrest, chrome base, fabric seat, black * 2 pcs Office Table, laminated wood, beech, 23.7" (L) x 15.75" (W) x 29.2" (H) * 1 set Sofa Set, leatherette fa</t>
  </si>
  <si>
    <t xml:space="preserve"> * 1 unit Camera, DSLR, 24MP, 32GB, clear image zoom, auto object framing, built-in WiFi, NFC and bluetooth connectivity, full HD, 1080p XAVC S video at 24/60fps recording, auto focus, fast hybrid AF system, up to 11fps shooting and ISO 25700, tru-finder 0</t>
  </si>
  <si>
    <t xml:space="preserve"> * 5 units Desktop Computer - Form Factor + 23" Monitor - Win 10 SL 65-bit - i7-7700 Processor - 8GB DDR4 - 1TB 3.5 inch 7200 RPM - 8x DVD-Writer, 9.0mm slim, tray load - NVIDIA GTX 1050 2GB DVI-D HDMI DP - Audion Integrated High Definition, 5.1 channel su</t>
  </si>
  <si>
    <t xml:space="preserve"> * 2 units Laptop Computer - Processor: i7 - Processor Speed: 2.7 GHz - CPU Cache: 8MB - TurboboostSpeed: 3.6 GHz - GPU Model: Radeon Pro 455 - RAM: 16GB - Memory Type: LPDD3 - Memory Speed: 2133MHz - Storage Type: SSD - SSD/eMMC: 512GB - Display Size: 15.</t>
  </si>
  <si>
    <t xml:space="preserve"> * 2 units Electrical Transient and Analysis Program (software program for electrical engineers)</t>
  </si>
  <si>
    <t xml:space="preserve"> * 1 pc King Size Bed, 76-78cm wide and 80-84cm long * 2 pcs Lampshade, transluscent or opaque, 12cm width and 11cm height * 2 pcs Pillows, 700gram filling, 45cm x 70cm * 1 pc Rain Shower * 1 pc Duvet, soft flag big filled with down feathers, wool or synth</t>
  </si>
  <si>
    <t xml:space="preserve"> * 25 bottles Air Freshner * 80 pcs Albatross, small * 80 pcs Albatross, big * 20 bottles Alcohol, 70% isopropyl, 500mL * 15 bottles Alcohol, 70% ethyl, 500mL * 4 dozens Bathroom Tissue, 2-ply * 10 pcs Broom, soft (tambo) * 10 pcs Broom, stick (tingting) *</t>
  </si>
  <si>
    <t xml:space="preserve"> Contract Name: Rehabilitation of Roads and Drainage at Cordillera St. and Ext., Manila Contract Location: Manila City      Brief Description: Rehabilitation of Roads and Drainage      Approved Budget for the Contract (ABC):  Php 9,899,900.44      Source o</t>
  </si>
  <si>
    <t xml:space="preserve"> I. Road Clearing II. Hauling of Surface Materials (GUIZO) III. Spreading of Surface Materials (GUIZO) IV. Installation of Pipe Culvert 1.20 w/ Riprap and grouted (4 station) EQUIPMENT REQUIRED: 1-UNIT GRADER 1-UNIT ROAD ROLLER 1-UNIT BACKHOE 1-UNIT DUMP T</t>
  </si>
  <si>
    <t xml:space="preserve"> * 2 units Aircondition Unit, floor mounted, inverter type, with installation (inclusive of all the necessary materials and accessories needed for the installation) * 20 pcs PVC Vertical Blinds, 7ft (L) x 6ft (W) Note: Site inspection is recommended</t>
  </si>
  <si>
    <t xml:space="preserve"> * 35 reams Copy Paper, long (8.5" x 13"), 80gsm * 4 bundles Daily Time Record, Form 48, white, 50's/bundle * 2 pads Note Pad, 3" x 3", 100 sheets per pad * 6 reams Parchment Paper, 8.5" x 11", s-20 * 15 packs Specialty Board, 10's/pack, 220gsm, cream, sho</t>
  </si>
  <si>
    <t xml:space="preserve"> * 2 units Wall Mounted Glass Display Cabinet - Constructed of heavy gauge satin anodize aluminum - Inside depth is 13-3/4" - Tackable back panels in Claridge Cork, Fabricork, Designer Fabric, Hook, Fab and Tan Nucork - 3/16" tempered glass sliding doors w</t>
  </si>
  <si>
    <t xml:space="preserve"> * 1 package Panukat ng pagkataong Pilipino by Carlota (Psychological Test) * 1 package Filipino Intelligence Test by Vicentita M. Cervera, Ed.D/Aurora R. Palacio, Ed.D (Psychological Test) * 1 package Basic Personality Inventory (Psychological Test) * 1 p</t>
  </si>
  <si>
    <t xml:space="preserve"> INVITATION TO BID The DPWH Bukidnon 1st District Engineering Office, Malaybalay City, through its Bids and Awards Committee (BAC), invites contractors to submit bids for the following Contracts:   			 Contract ID 	:	20KA0101(Readvertisement) Contract Name</t>
  </si>
  <si>
    <t xml:space="preserve"> * 10 units Emergency Light, 2 x 0.5watts LED bulb * 10 units Fire Extinguisher, portable, HCFC, 10lbs, green * 4 units Fire Exit Sign, 5.5" x 14", aluminum, with LED light * 4 units Exit Sign, 5.5" x 14", aluminum, with LED Light * 3 units Fire Alarm Bell</t>
  </si>
  <si>
    <t xml:space="preserve"> * 4 units Volleyball Pole, with umpire set * 1 pc Arnis Body Gear * 1 pc Arnis Head Gear * 1 pc Badminton Net * 4 pcs Badminton Racket * 1 pc Basketball Ball, Men * 1 pc Basketball Ball, Women * 2 pairs Boxing Gloves * 1 pc Boxing Head Gear, blue * 1 pc B</t>
  </si>
  <si>
    <t xml:space="preserve"> * 1 unit Drone - Aircraft: a. Max Ascent Speed: 9.8ft/s (3m/s) in Sport Mode without wind b. Max Descent Speed: 9.8ft/s (3m/s) in Auto Landing Mode c. Max Speed: 31mph (50kph) in Sport Mode without wind d. Max Service Ceiling Above Sea Level: 13,123 feet </t>
  </si>
  <si>
    <t xml:space="preserve"> * 15 pcs Alcohol Lamp, 150mL * 10 boxes Applicator Stick * 20 pcs Bacterial Cell Spreader * 20 pcs Beaker, 100mL * 20 pcs Beaker, 250mL * 20 pcs Beaker, 500mL * 5 pcs Beaker, low form, 250mL * 10 pcs Distilling Flask, 250mL * 10 boxes Glass Slide, 3 x 1, </t>
  </si>
  <si>
    <t xml:space="preserve"> * 4 pcs Spring Balance - With hooks or standard clips - Long-lasting balances with drag needle and weight range from 1N up to 500N * 5 pcs Micro Meter Caliper - Carbide measuring faces - Resolution: 0.01mm (metric); 0.0001" (inch) * 20 pcs Meter Stick - P</t>
  </si>
  <si>
    <t xml:space="preserve"> The Department of Public Works and Highways Regional Office XI, Davao City, through its Bids and Awards Committee (BAC), invites bidders to submit bids for the Infra projects funded under GAA FY 2020, to wit: Contract ID 	:	20L00108 Contract Name/Location</t>
  </si>
  <si>
    <t xml:space="preserve"> * 1 unit AVR - Input: 220V - Output: 110V/220V - Power: 1000W * 1 unit Computer Power Supply, 220V * 3 units External Harddrive, 6TB * 1 unit External Harddrive, 2TB * 10 units Keyboard, wireless * 4 unit Printer, laserjet * 1 pc Mouse, optical, USB * 1 u</t>
  </si>
  <si>
    <t xml:space="preserve"> * 1 unit Corkboard with plywood, 2' x 3' * 1 unit Storage File Box, 175lbs, brown, 12" x 16" * 1 unit Dry Seal (Cavite state University Logo) (OSAS) * 1 pc Measuring Tape, 30 meter * 2 units Aircooler, 210watts ppwer dor 40-48sqm, 3 sides cooling pad, 3 w</t>
  </si>
  <si>
    <t xml:space="preserve"> Contract Location: STO. DOMINGO, MALINAO AND MALILIPOT, ALBAY Brief Description: REHABILITATION/CONSTRUCTION/IMPROV’T OF FLOOD CONTROL Source of Funds: GAA 2020 DPWH INFRA  The BAC is conducting the public bidding for this Contract in accordance with RA 9</t>
  </si>
  <si>
    <t xml:space="preserve"> The DPWH-North Manila District Engineering Office, through its Bids and Awards Committee (BAC) invites contractors to submit bids for the following Contract: 13.	Contract I.D. No. 20OE0166 Contract Name: Construction of 3 Storey Multi – purpose Building, </t>
  </si>
  <si>
    <t xml:space="preserve"> * 18 units Electric Fan, metal stand fan, 20", heavy duty * 5 pcs Office Chair, adjustable back with backrest or lumbar support, die-cast aluminum frame and base, polyurethane foam arm pads, 2.5-inch standard nylon carpet casters * 1 unit Printer, multifu</t>
  </si>
  <si>
    <t xml:space="preserve"> The DPWH-North Manila District Engineering Office, through its Bids and Awards Committee (BAC) invites contractors to submit bids for the following Contract: 20.	Contract I.D. No. 20OE0173 Contract Name: Rehabilitation / Reconstruction / Improvement of Mu</t>
  </si>
  <si>
    <t xml:space="preserve"> Contract Name: Construction of Multi-Purpose Building (Rizal Covered Court), City of Manila Contract Location: Manila City      Brief Description: Construction of Covered Court      Approved Budget for the Contract (ABC):  Php 98,998,843.79      Source of</t>
  </si>
  <si>
    <t xml:space="preserve"> 500 pieces of Needle, Aspirating, G18 x at least 1" disposable, sterile 30 pieces of Blade, Dermatome, standard</t>
  </si>
  <si>
    <t xml:space="preserve"> * 30 pcs Monobloc Bistro Chairs * 4 pcs Canopy Tent, 12' x12'</t>
  </si>
  <si>
    <t xml:space="preserve"> 5 pieces of Cervical Collar, Rigid, Philadelphia, Adult, rigid, non-toxic hypo allergenic, latex-free foam 5 pieces of Cervical Collar, Rigid Philadelphia, Pedia, rigid, non-toxic hypo allergenic, latex-free foam</t>
  </si>
  <si>
    <t xml:space="preserve"> 25 pieces of Stylet, Pedia</t>
  </si>
  <si>
    <t xml:space="preserve"> REQUEST FOR QUOTATION Supply and Delivery of Pet Bottles for EBA – Water Refilling Station Unit 1. The Cavite State University (CvSU) invites interested firms/suppliers to submit quotation for the project “Supply and Delivery of Pet Bottles for EBA – Wate</t>
  </si>
  <si>
    <t xml:space="preserve"> Republic of the Philippines National Kidney and Transplant Institute Bids and Awards Committee East Avenue, Quezon City 1100 981-0300 / 981-0400 local 1157 http://www.nkti.gov.ph/	 INVITATION TO BID for the ITB No. 20-040 with P.R. Nos. 46607C Supply and </t>
  </si>
  <si>
    <t xml:space="preserve"> ALL INTERESTED BIDDERS ARE REQUIRED TO SUBMIT THEIR COMPLETE ELIGIBILITY REQUIREMENTS TO THE BAC FOR EVALUATION DURING THE PRE-BID CONFERENCE ON JUNE 24, 2020 9:00A.M. AT THE BAC SECRETARIAT OFFICE, 2ND FLOOR, CITY HALL OF DASMARIÑAS, CAVITE. BIDDERS WHO SHALL FAIL TO ATTEND THE PRE-BID SHALL NOT BE ALLOWED TO JOIN THE BIDDING FOR THE AFORESAID PROJECT. </t>
  </si>
  <si>
    <t xml:space="preserve"> BID TENDER							</t>
  </si>
  <si>
    <t xml:space="preserve"> N/A</t>
  </si>
  <si>
    <t xml:space="preserve"> NNC to provide materials.</t>
  </si>
  <si>
    <t xml:space="preserve"> NNC to provide materials</t>
  </si>
  <si>
    <t xml:space="preserve"> Bidding Date: </t>
  </si>
  <si>
    <t xml:space="preserve"> BID TENDER											</t>
  </si>
  <si>
    <t xml:space="preserve"> Pre-Bid Conference: June 24, 2020 @ 2:00 PM</t>
  </si>
  <si>
    <t xml:space="preserve"> Bidders must download the attached document in the associated components section.</t>
  </si>
  <si>
    <t xml:space="preserve"> Freon 22(22.7 Kg)	6	Tank</t>
  </si>
  <si>
    <t xml:space="preserve"> Contact Person: Jerry Donato</t>
  </si>
  <si>
    <t xml:space="preserve"> Please visit BAC office</t>
  </si>
  <si>
    <t xml:space="preserve"> Check associated components.</t>
  </si>
  <si>
    <t xml:space="preserve"> Please see the attached in the associated components</t>
  </si>
  <si>
    <t xml:space="preserve"> Stock	Unit	Item Description	Qty.</t>
  </si>
  <si>
    <t xml:space="preserve"> Please see file on associated component</t>
  </si>
  <si>
    <t xml:space="preserve"> Any requests for additional information concerning this bidding shall be directed to the following:</t>
  </si>
  <si>
    <t xml:space="preserve"> Installation of Communication System-Intercom	1.00	lot</t>
  </si>
  <si>
    <t xml:space="preserve"> SPL-1	Installation of Security Monitoring Devices (CCTV)	1.00	lot</t>
  </si>
  <si>
    <t xml:space="preserve"> Unit	Item Description	Qty.</t>
  </si>
  <si>
    <t xml:space="preserve"> To Our Supplier, Bid Documents are Available at BAC Secretariat</t>
  </si>
  <si>
    <t xml:space="preserve"> Bidders/Suppliers Must Download the Attached Document in the Associated Component Section </t>
  </si>
  <si>
    <t xml:space="preserve"> https://tinyurl.com/y95zkg8k</t>
  </si>
  <si>
    <t xml:space="preserve"> Only suppliers from Bacolod City will be short listed</t>
  </si>
  <si>
    <t xml:space="preserve"> 1.BIDDERS ARE ADVISED TO DOWNLOAD ALL ASSOCIATED COMPONENTS FOR GUIDANCE AND REFERENCE.</t>
  </si>
  <si>
    <t xml:space="preserve"> Interested Supplier must secure RFQ Form at BAC Office, NIA-MMIP 2, Villarica, Midsayap, Cot.</t>
  </si>
  <si>
    <t xml:space="preserve"> oOption to reserve the stock for the VMMC: seven (3) working days after the opening of this canvass</t>
  </si>
  <si>
    <t xml:space="preserve"> You may see the Municipal Engineer, Municipality of Caibiran</t>
  </si>
  <si>
    <t xml:space="preserve"> Also available at the DPWH Website.</t>
  </si>
  <si>
    <t xml:space="preserve"> please call to: 0998-247-0239  &amp; 0906-256-9238  for other details . . .</t>
  </si>
  <si>
    <t xml:space="preserve"> ***Please see attached Request for Quotation...</t>
  </si>
  <si>
    <t xml:space="preserve"> Preferably suppliers around Legazpi City.</t>
  </si>
  <si>
    <t xml:space="preserve"> The Local Government Unit of the Island Garden City of Samal reserves the right to reject any and all bids, declare a failure of bidding, or not award the contract at any time prior to contract award in accordance with Section 41 of RA 9184 and its IRR, without thereby incurring any liability to the affected bidder or bidders.</t>
  </si>
  <si>
    <t xml:space="preserve"> DOWNLOAD RFQ &amp; MEMO @ THE ASSOCIATED COMPONENTS. SUBMIT BOTH DOCUMENTS.</t>
  </si>
  <si>
    <t xml:space="preserve">  Option to reserve the stock for the VMMC: seven (7) working days after the opening of this canvass</t>
  </si>
  <si>
    <t xml:space="preserve"> ALL BIDDERS MUST BE FROM VISAYAS AND MINDANAO ONLY</t>
  </si>
  <si>
    <t xml:space="preserve"> call 09171447672 for inquiry</t>
  </si>
  <si>
    <t xml:space="preserve"> Please click the Associated Components for the Checklist of Requirements. Thank you.</t>
  </si>
  <si>
    <t xml:space="preserve"> RFQ# 109CO – 06 – 2020 – 090 is ready and available at 109th CO, AFPPS, Camp Elias Angeles, San Jose, Pili, Camarines Sur</t>
  </si>
  <si>
    <t xml:space="preserve"> External Fund</t>
  </si>
  <si>
    <t xml:space="preserve"> Please download P.B.D. in the associated components.</t>
  </si>
  <si>
    <t xml:space="preserve"> Other information</t>
  </si>
  <si>
    <t xml:space="preserve"> call for 09171447672 for inquiry</t>
  </si>
  <si>
    <t xml:space="preserve"> For Particular, inquire at BAC Secretariat of Brgy. Balugohin Atimonan, Quezon</t>
  </si>
  <si>
    <t xml:space="preserve"> External</t>
  </si>
  <si>
    <t xml:space="preserve"> DOWNLOAD RFQ &amp; MEMO @ THE ASSOCIATED COMPONENTS. SUBMIT BOTH DOCS</t>
  </si>
  <si>
    <t xml:space="preserve"> Please contact the Procurement Unit for your question and clarifications.</t>
  </si>
  <si>
    <t xml:space="preserve"> Deadline Submission of Price Quotation:   June 22 , 2020</t>
  </si>
  <si>
    <t xml:space="preserve"> Republic of the Philippines</t>
  </si>
  <si>
    <t xml:space="preserve"> ENGINE</t>
  </si>
  <si>
    <t xml:space="preserve"> Rebid.</t>
  </si>
  <si>
    <t xml:space="preserve"> DOWNLOAD RFQ &amp; MEMO @ THE ASSOCIATED COMPONENTS. SUBMIT BOTH DOCUMENTS</t>
  </si>
  <si>
    <t xml:space="preserve"> All particulars relative to Preliminary Examination of Bids, Bid Security, Performance Security, Evaluation of Bids, Post-Qualification and Award of Contract shall be governed by the pertinent provisions of R.A 9184 and its Revised Implementing Rules and Regulations (Revised IRR). Prospective bidders should have completed a similar contract within the last five (5) years with a value of at least 50% of the ABC. The BAC will use non-discretionary “pass/fail” criteria in the screening of Technical Proposal as well as the Preliminary Examination of Bids. The BAC will conduct post-qualification of the Lowest Calculated Bid.</t>
  </si>
  <si>
    <t xml:space="preserve"> call 09171447672 for other concerns and inquiry</t>
  </si>
  <si>
    <t xml:space="preserve"> BIDDERS MUST BE FROM VISAYAS AND MINDANAO</t>
  </si>
  <si>
    <t xml:space="preserve"> Rehabilitation of Bayanihan Water System</t>
  </si>
  <si>
    <t xml:space="preserve"> The deadline of Submission and opening of the RFQ are as follows:	</t>
  </si>
  <si>
    <t xml:space="preserve"> Qualified bidder/ supplier is required to attend the pre-bid conference as scheduled. Submit letter of intent and pre qualification documents on or before pre-bid conference. Location of bidder/ supplier is preferably within the Province of Capiz.</t>
  </si>
  <si>
    <t xml:space="preserve"> The deadline of submission is on or before July 7, 2020 at 1:30 in the afternoon, 2nd floor, BAC Office, Municipal Hall of Don Carlos, Don Carlos, Bukidnon.</t>
  </si>
  <si>
    <t xml:space="preserve"> Please look BAC Secretary/TWG for bidding documents/clarification,failure of submitting necessary documents will be subjected to disqualification.</t>
  </si>
  <si>
    <t xml:space="preserve"> Please contact the Procurement Unit for your questions and clarifications.</t>
  </si>
  <si>
    <t xml:space="preserve"> Other Information:</t>
  </si>
  <si>
    <t xml:space="preserve"> The deadline of submission is on or before July 7, 2020 at 1:30 in the afternoon, 2nd floor, BAC Office, Municipal Hall of Don Carlos, Don Carlos, Bukidnon</t>
  </si>
  <si>
    <t xml:space="preserve"> Please do  not forget to download associated component.</t>
  </si>
  <si>
    <t xml:space="preserve"> THIS POSTING IS DONE IN BEHALF OF BARANGAY FUENTES, PAAANTUKAN, DAVAO DE ORO</t>
  </si>
  <si>
    <t xml:space="preserve"> For other information and queries, visit us at Headquarters 113th Contracting Office, AFPPS, Camp O'Donnell, Brgy Sta Lucia, Capas Tarlac and look for Chief 113th CO, AFPPS. Submission of Request for Quotation must reach to this Office not later than 221000H June 2020 for the opening of Canvass at 113th CO conference room.</t>
  </si>
  <si>
    <t xml:space="preserve"> Please do not forget to download associated component.</t>
  </si>
  <si>
    <t xml:space="preserve"> The BAC shall issue bidding documents upon payment of Five Hundred Pesos Only (Php500.00) to the disbursing/collecting officer of the LGU.</t>
  </si>
  <si>
    <t xml:space="preserve"> THIS POSTING IS DONE IN BEHALF OF BARANGAY FUENTES, PANTUKAN</t>
  </si>
  <si>
    <t xml:space="preserve"> NOTE: To all Suppliers,</t>
  </si>
  <si>
    <t xml:space="preserve"> RFQ# 109CO – 06 – 2020 – 091 is ready and available at 109th CO, AFPPS, Camp Elias Angeles, San Jose, Pili, Camarines Sur</t>
  </si>
  <si>
    <t xml:space="preserve"> PLEASE cc:</t>
  </si>
  <si>
    <t xml:space="preserve"> THIS POSTING IS DONE IN BEHALF OF BARANGAY FUENTESS, PANTUKAN</t>
  </si>
  <si>
    <t xml:space="preserve"> Please send your quotations to jc.mudlong@philrice.gov.ph or jonathanmudlong@gmail.com</t>
  </si>
  <si>
    <t xml:space="preserve"> Visit BAC Office and Bring the following requirements when acquiring prescribe Quotation Form and other inquiries:</t>
  </si>
  <si>
    <t xml:space="preserve"> for more information, please download attached canvass quotation.</t>
  </si>
  <si>
    <t xml:space="preserve"> Emergency Purchase</t>
  </si>
  <si>
    <t xml:space="preserve"> specifications for designs is available upon request.</t>
  </si>
  <si>
    <t xml:space="preserve"> if you have any inquiries please contact the following person/s:</t>
  </si>
  <si>
    <t xml:space="preserve"> Please download bid document and ITB in the associated component</t>
  </si>
  <si>
    <t xml:space="preserve"> Please look Mr. FREDERICK VILLAS and Ms. Rowena Rodriguez for other information.</t>
  </si>
  <si>
    <t xml:space="preserve"> REQUIREMENTS:</t>
  </si>
  <si>
    <t xml:space="preserve"> see attached rfq</t>
  </si>
  <si>
    <t xml:space="preserve"> https://drive.google.com/file/d/1cemfxsAGbplPkPsEobeypofl4Sbn6khY/view?usp=drivesdk</t>
  </si>
  <si>
    <t xml:space="preserve"> You may see the Brgy. Chairman of Brgy. Maurang, Municipality of Caibiran</t>
  </si>
  <si>
    <t xml:space="preserve"> The BAC shall issue bidding documents upon payment of Five Thousand Pesos Only (Php5,000.00) to the disbursing/collecting officer of the LGU.</t>
  </si>
  <si>
    <t xml:space="preserve"> RFQ# 109CO – 06 – 2020 – 092 is ready and available at 109th CO, AFPPS, Camp Elias Angeles, San Jose, Pili, Camarines Sur</t>
  </si>
  <si>
    <t xml:space="preserve"> Publication - June 17-24, 2020</t>
  </si>
  <si>
    <t xml:space="preserve"> A complete set of Bidding Documents may be acquired by interested Bidders or his duly authorized representative from the BAC Secretariat for the period June 17-24, 2020 upon payment of a nonrefundable fee for the Bidding Documents,   pursuant to the latest Guidelines issued by the GPPB, in the amount stated above  to the Barangay Treasurer. The method of payment shall be in CASH.  Bidding documents shall be received personally by the prospective Bidder or his duly authorized representative.</t>
  </si>
  <si>
    <t xml:space="preserve"> Please see attached RFQ for more details.</t>
  </si>
  <si>
    <t xml:space="preserve"> Bidding  Doc.  are  available  at  the  Brgy. Treasurer  of  Tubigon,Maramag,Bukidnon.</t>
  </si>
  <si>
    <t xml:space="preserve"> 1	Diesoline	 30,260   Liters</t>
  </si>
  <si>
    <t xml:space="preserve"> BIDDERS MUST BE FROM VISAYAS AND MINDANAO ONLY.</t>
  </si>
  <si>
    <t xml:space="preserve"> 1	Portland cement	240	Bags</t>
  </si>
  <si>
    <t xml:space="preserve"> Please DOWNLOAD attached file/s for Specifications.</t>
  </si>
  <si>
    <t xml:space="preserve"> Tax, delivery and other incidental expenses must be included in the quotation.</t>
  </si>
  <si>
    <t xml:space="preserve"> NOTE: BUDGET AMOUNT IS INCLUSIVE OF VAT</t>
  </si>
  <si>
    <t xml:space="preserve"> You may see the PISO Manager. Municipality of Caibiran</t>
  </si>
  <si>
    <t xml:space="preserve"> For clarifications, just contact the BAC Secretariat of DOH CHD-NM (White House) at telephone # (088) 858-7123 local 227 in JV Seriña St., Carmen, Cagayan de Oro City from Monday until Friday (8:00 am to 5:00 pm). Just look for Ms. Marilou A. Gecosala, the Head of Procurement Unit</t>
  </si>
  <si>
    <t xml:space="preserve"> REMINDER:</t>
  </si>
  <si>
    <t xml:space="preserve"> quotation shall be submitted via email (lbphobac@mail.landbank.com) not later than June 24,2020, 3:00PM</t>
  </si>
  <si>
    <t xml:space="preserve"> Please submit the following documents:</t>
  </si>
  <si>
    <t xml:space="preserve"> This posting is done in behalf of unregistered PhilGEPS PE Barangay Las Arenas</t>
  </si>
  <si>
    <t xml:space="preserve"> See Associated Components</t>
  </si>
  <si>
    <t xml:space="preserve"> The DOH-Treatment Rehabilitation Center, Argao reserves the right to accept or reject any bid, to annul the bidding process, and to reject all bids at any time prior to any contract award, without thereby incurring any liability to the affected bidder or bidders.</t>
  </si>
  <si>
    <t xml:space="preserve"> Bidders must download the attached document in the associated component section and can also be downloaded at www.ilocossur.gov.ph.</t>
  </si>
  <si>
    <t xml:space="preserve"> To all interested supplier/s kindly address your quotation/s to Mr. CICERO D CLARO BAC Secretariat, HEAD and attach the documentary requirements. Supplier’s submission of incomplete requirements is automatically disqualified. Kindly submit in sealed quotation.</t>
  </si>
  <si>
    <t xml:space="preserve"> For further information please see attache RFQ or contact BAC Secretariat</t>
  </si>
  <si>
    <t xml:space="preserve"> Download Bidding Document at:</t>
  </si>
  <si>
    <t xml:space="preserve"> Project Description:</t>
  </si>
  <si>
    <t xml:space="preserve"> Annual Budget CY 2020</t>
  </si>
  <si>
    <t xml:space="preserve"> for inquiries, you may call us at tel. no. 8-364-8242 and look for Mr. Ramer C. Caranto</t>
  </si>
  <si>
    <t xml:space="preserve"> The LGU-IGaCoS reserves the right to accept or reject any bid, to annul the bidding process, and to reject all bids at any time prior to contract award, without thereby incurring any liability to the affected bidder or bidders. </t>
  </si>
  <si>
    <t xml:space="preserve"> Six(6) years warranty</t>
  </si>
  <si>
    <t xml:space="preserve"> Please download "associated components" in the link, fill-up completely, place in a sealed envelop and sent to BAC</t>
  </si>
  <si>
    <t xml:space="preserve"> BID DOCS PhP 5,000.00</t>
  </si>
  <si>
    <t xml:space="preserve"> https://tinyurl.com/y8vd553v</t>
  </si>
  <si>
    <t xml:space="preserve"> Please contact the BAC Secretariat at the Municipal Budget Office, 2nd floor Municipal Building, LGU-Talisay,Camarines Norte.</t>
  </si>
  <si>
    <t xml:space="preserve"> BIDDERS MUST BE FROM WITHIN PROVINCE OF ZAMBOANGA DEL NORTE ONLY.</t>
  </si>
  <si>
    <t xml:space="preserve"> For further information please see attached RFQ or contact BAC Secretariat</t>
  </si>
  <si>
    <t xml:space="preserve"> Date of Bidding: June 24, 2020</t>
  </si>
  <si>
    <t xml:space="preserve"> "                                                                     GENERAL CONDITIONS</t>
  </si>
  <si>
    <t xml:space="preserve"> RFQ# 109CO – 06 – 2020 – 093 is ready and available at 109th CO, AFPPS, Camp Elias Angeles, San Jose, Pili, Camarines Sur</t>
  </si>
  <si>
    <t xml:space="preserve"> Please submit your Proposal To Ms. Jade Ann Sanico At DENR CENRO Cebu</t>
  </si>
  <si>
    <t xml:space="preserve"> Please see attached associated components.</t>
  </si>
  <si>
    <t xml:space="preserve"> SEE TERMS OF REFERENCE AS WELL AS SCHEDULE OF ACTIVITIES</t>
  </si>
  <si>
    <t xml:space="preserve"> Since the Barangay has no PhilGEPS account the LGU PhilGEPS has been used with their consent.</t>
  </si>
  <si>
    <t xml:space="preserve"> Bid Openig Venue: BAC Office, 9:00AM</t>
  </si>
  <si>
    <t xml:space="preserve"> Reschedule of Original Bid Opening date due to PRESIDENTIAL PROCLAMATION NO. 929 declaring a STATE OF CALAMITY throughout the Philippines due to Corona Virus Disease 2019.</t>
  </si>
  <si>
    <t xml:space="preserve"> Fund:161</t>
  </si>
  <si>
    <t xml:space="preserve"> Terms and Conditions:</t>
  </si>
  <si>
    <t xml:space="preserve"> https://drive.google.com/file/d/1H8IjkLL_KkDrRvndDYhYatH2wyloX_VX/view?usp=drivesdk</t>
  </si>
  <si>
    <t xml:space="preserve"> https://drive.google.com/file/d/1JSPYiZDYF70sQ798yb7DMcmpdBn3ncz_/view?usp=drivesdk</t>
  </si>
  <si>
    <t xml:space="preserve"> Tuklas Lunas-External</t>
  </si>
  <si>
    <t xml:space="preserve"> Please refer to https://www.pnu.edu.ph/bidding-opportunities/ for the Drawings.</t>
  </si>
  <si>
    <t xml:space="preserve"> https://drive.google.com/file/d/1M6IadHoPvQXC7QFfZptV6v5wnW99TQa2/view?usp=drivesdk</t>
  </si>
  <si>
    <t xml:space="preserve"> All quotation must be submitted in a sealed envelope directly to LPGH&amp;STC, address to Ms. Cecille P. Manipon, BAC Chairman or email, together with the following requirements;</t>
  </si>
  <si>
    <t xml:space="preserve"> Fund:164</t>
  </si>
  <si>
    <t xml:space="preserve"> For other inquiries please call</t>
  </si>
  <si>
    <t xml:space="preserve"> June 17, 2020</t>
  </si>
  <si>
    <t xml:space="preserve"> Rescheduling of Bid opening from its original date due to the PRESIDENTIAL PROCLAMATION NO. 929 declaring a STATE OF CALAMITY throughout the Philippines due to Corona Virus Disease 2019.</t>
  </si>
  <si>
    <t xml:space="preserve"> 1	Bidders are required to read the instructions  and fill ALL the blanks in typewritten form or written legibly in permanent ink.						</t>
  </si>
  <si>
    <t xml:space="preserve"> WATER CONNECTION FITTINGS; Please submit canvass email add:talisayanwd864@gmail.com or                    </t>
  </si>
  <si>
    <t xml:space="preserve"> Other Information</t>
  </si>
  <si>
    <t xml:space="preserve"> SUPPLIER OR BIDDER MUST DOWNLOAD THE ATTACHED DOCUMENT IN THE ASSOCIATED COMPONENT SECTION.</t>
  </si>
  <si>
    <t xml:space="preserve"> Note:</t>
  </si>
  <si>
    <t xml:space="preserve"> For more information you may visit/call BAC Secretariat @ LGU POLANCO, Polanco, Z. N.</t>
  </si>
  <si>
    <t xml:space="preserve"> Pls. download bid documents @ https://drive.google.com/file/d/1v9vsnI7H5s6TrUpjGOct3NEA4pPsLpoj/view?usp=drivesdk</t>
  </si>
  <si>
    <t xml:space="preserve"> Please see attached file</t>
  </si>
  <si>
    <t xml:space="preserve"> BID DOCS </t>
  </si>
  <si>
    <t xml:space="preserve"> Downloadables are available in the Associated Component / Supplemental Page</t>
  </si>
  <si>
    <t xml:space="preserve"> Please use the official quotation attached and provide a copy of PhilGEPS Certificate (Platinum).</t>
  </si>
  <si>
    <t xml:space="preserve"> https://tinyurl.com/yb28nmux</t>
  </si>
  <si>
    <t xml:space="preserve"> kgd. DOMINGO E. MALLO         HAZEL A. VALENCIA         KGD. LOURDES. A. RODRIGUEZ</t>
  </si>
  <si>
    <t xml:space="preserve"> None</t>
  </si>
  <si>
    <t xml:space="preserve"> see attached BQ (specifications) for details</t>
  </si>
  <si>
    <t xml:space="preserve"> Must be delivered to Batuan Elementary School</t>
  </si>
  <si>
    <t xml:space="preserve"> Jane C. Pamfilon</t>
  </si>
  <si>
    <t xml:space="preserve"> RFQ# 109CO – 06 – 2020 – 094 is ready and available at 109th CO, AFPPS, Camp Elias Angeles, San Jose, Pili, Camarines Sur</t>
  </si>
  <si>
    <t xml:space="preserve"> Download Bidding Documents @ https://drive.google.com/file/d/1v9vsnI7H5s6TrUpjGOct3NEA4pPsLpoj/view?usp=drivesdk</t>
  </si>
  <si>
    <t xml:space="preserve"> To all interested supplier/s kindly address your quotation/s to Mr. CICERO DY CLARO BAC Secretariat, HEAD and attach the documentary requirements. Supplier’s submission of incomplete requirements is automatically disqualified.  Kindly submit in sealed quotation.</t>
  </si>
  <si>
    <t xml:space="preserve"> DONA D. SALMOS, RN, MAN </t>
  </si>
  <si>
    <t xml:space="preserve"> Please download the attached RFQ Form in the associated component.</t>
  </si>
  <si>
    <t xml:space="preserve"> contact 4354619</t>
  </si>
  <si>
    <t xml:space="preserve"> Interested Bidders may secure bidding documents at the Bids and Awards Committee, Dapitan City Water District or may call 065-213-6406.</t>
  </si>
  <si>
    <t xml:space="preserve"> check associated components</t>
  </si>
  <si>
    <t xml:space="preserve"> 20% EDF CY 2020</t>
  </si>
  <si>
    <t xml:space="preserve"> https://drive.google.com/file/d/1PDO-hLXA00iHFf4sgA03CA9xoiXZAm-k/view?usp=drivesd</t>
  </si>
  <si>
    <t xml:space="preserve"> BID OPENING: JULY 6 2020    1:00PM BAC OFFICE, MUNICIPAL HALL, STA. MARCELA, APAYAO</t>
  </si>
  <si>
    <t xml:space="preserve"> https://drive.google.com/file/d/1tARHVUtwEr4AHH7lmSLi1kdLwz7QEqDB/view?usp=drivesdk</t>
  </si>
  <si>
    <t xml:space="preserve"> 1.	All entries must be typewritten  or legibly written.</t>
  </si>
  <si>
    <t xml:space="preserve"> Refer to request for Quotation for more information.</t>
  </si>
  <si>
    <t xml:space="preserve"> Materials for the Proposed Access Route/Footpath going to </t>
  </si>
  <si>
    <t xml:space="preserve"> RFQ# 109CO – 06 – 2020 – 095 is ready and available at 109th CO, AFPPS, Camp Elias Angeles, San Jose, Pili, Camarines Sur</t>
  </si>
  <si>
    <t xml:space="preserve"> 1. 3 rolls 1/2" dia. P.E Pipe, 300 mtrs SDR 11, ISO</t>
  </si>
  <si>
    <t xml:space="preserve"> BID OPENING: JULY 6 2020    2:30PM   BAC OFFICE, MUNICIPAL HALL, STA. MARCELA, APAYAO</t>
  </si>
  <si>
    <t xml:space="preserve"> https://tinyurl.com/yb3fx9su</t>
  </si>
  <si>
    <t xml:space="preserve"> This is subject to the availability of supplies at the PS-DBM.</t>
  </si>
  <si>
    <t xml:space="preserve"> FOR INQUIRY PLEASE PROCEED TO BAC OFFICE</t>
  </si>
  <si>
    <t xml:space="preserve"> Submit LOI</t>
  </si>
  <si>
    <t xml:space="preserve"> https://drive.google.com/file/d/1zzD1x_Xn_MAlvKvMERXjLIWCHO8GGBme/view?usp=drivesdk</t>
  </si>
  <si>
    <t xml:space="preserve"> see attached Bill of Quantities for reference.</t>
  </si>
  <si>
    <t xml:space="preserve"> Reminder:</t>
  </si>
  <si>
    <t xml:space="preserve"> For inquiry, you may contact us at Telefax no. 527-9757 or email us at bacsecretariat@customs.gov.ph.</t>
  </si>
  <si>
    <t xml:space="preserve"> Contact Person 			FARHAN M. AMBIONG</t>
  </si>
  <si>
    <t xml:space="preserve"> RFQ# 109CO – 06 – 2020 – 096 is ready and available at 109th CO, AFPPS, Camp Elias Angeles, San Jose, Pili, Camarines Sur</t>
  </si>
  <si>
    <t xml:space="preserve"> Very Important Instruction:</t>
  </si>
  <si>
    <t xml:space="preserve"> AF 164</t>
  </si>
  <si>
    <t xml:space="preserve"> For inquiries, please call:</t>
  </si>
  <si>
    <t xml:space="preserve"> see Bill of Quantities for reference</t>
  </si>
  <si>
    <t xml:space="preserve"> Pre-Bid Conference </t>
  </si>
  <si>
    <t xml:space="preserve"> This is second posting at Philgeps...Interested bidder shall submit duly signed RFQ on or before June 22, 2020. 9AM</t>
  </si>
  <si>
    <t xml:space="preserve"> You may also send your quotation at psa.cavite @yahoo.com and call 046-686-5728 for inquiries.</t>
  </si>
  <si>
    <t xml:space="preserve"> contact BAC Secretariat for specs &amp; requirements</t>
  </si>
  <si>
    <t xml:space="preserve"> RFQ is available at the BAC Office during Office Hour.</t>
  </si>
  <si>
    <t xml:space="preserve"> For more details please coordinate or contact the Local BAC Secretariat at SSS Bacolod East Branch, East One Atrium Bldg., Burgos Ext., Brgy. Villamonte, Bacolod City, at Tel. No. (034) 441-6599 or at Visayas West 1 Division  at Tel. Nos. (034) 709-0880/709-0413-17 at local 208 and 210 and Administrative Section, SSS Bago branch at Tel. No. (034) 461-0910.</t>
  </si>
  <si>
    <t xml:space="preserve"> Kindly fill up the canvass form which is downloadable in the associated component portion with the following information:</t>
  </si>
  <si>
    <t xml:space="preserve"> kindly specify brand names on your sealed quotation</t>
  </si>
  <si>
    <t xml:space="preserve"> Please click link below to download Plan.</t>
  </si>
  <si>
    <t xml:space="preserve"> RFQ is available at the associated components page.</t>
  </si>
  <si>
    <t xml:space="preserve"> Instruction for Suppliers on how to View/Download the document just go to the link below:</t>
  </si>
  <si>
    <t xml:space="preserve"> KGD. FIDEL H. VILLAPANDO         ELSA P. GAYO            PB. ROBERT E. PALENCIA</t>
  </si>
  <si>
    <t xml:space="preserve"> Delivery at NEAP RO12, Quirino Avenue, General Santos City</t>
  </si>
  <si>
    <t xml:space="preserve"> For the Request for Price Quotation look for Ms. Flida at BAC Office.</t>
  </si>
  <si>
    <t xml:space="preserve"> For more information and clarification, please feel free to contact our BAC Secretariat.</t>
  </si>
  <si>
    <t xml:space="preserve"> Submission and Opening of Bids will be on July 7, 2020 @ 10:00 A.M.</t>
  </si>
  <si>
    <t xml:space="preserve"> KGD. FIDEL VILLAPANDO         ELSA P. GAYO             ROBERT E.PALENCIA</t>
  </si>
  <si>
    <t xml:space="preserve"> Opening of Request for Expression of Interest will be on June 22, 2020, 1:00 PM at the Conference Room, 2nd Floor of the Municipal Building.</t>
  </si>
  <si>
    <t xml:space="preserve"> All quotations must be in the prescribed canvass form and suppliers or its duly authorized representative shall personally submit the same to the City Procurement Office, City Government of Antipolo.</t>
  </si>
  <si>
    <t xml:space="preserve"> KGD. FIDEL VILLAPANDO       ELSA P. GAYO         ROBERT E. PALENCIA</t>
  </si>
  <si>
    <t xml:space="preserve"> FIRST ENVELOPE (ELIGIBILITY &amp; TECHNICAL COMPONENTS) </t>
  </si>
  <si>
    <t xml:space="preserve"> JESUS A. ZAMORAS</t>
  </si>
  <si>
    <t xml:space="preserve"> BAC Activities	Schedule</t>
  </si>
  <si>
    <t xml:space="preserve"> Opening of Request for Quotation will be on June 22, 2020, 1:00 PM at the Conference Room, 2nd Floor of the Municipal Building.</t>
  </si>
  <si>
    <t xml:space="preserve"> https://drive.google.com/file/d/1v-hpFtPzz90-tLOOncAyu0n9hvZ9h8hE/view?usp=drivesdk</t>
  </si>
  <si>
    <t xml:space="preserve"> https://tinyurl.com/y874pclj</t>
  </si>
  <si>
    <t xml:space="preserve"> For more information contact:</t>
  </si>
  <si>
    <t xml:space="preserve"> Also available in DPWH Website</t>
  </si>
  <si>
    <t xml:space="preserve"> 1.   A complete set of Bidding Documents may be purchased by interested Bidders from the address below starting on June 03, 2020 and upon payment of a nonrefundable fee for the Bidding Documents in the amount of Five Hundred Pesos (P500.00) at the Municipal Treasury Office, Amdalao, Guinaang, Pasil, Kalinga.   					</t>
  </si>
  <si>
    <t xml:space="preserve"> Please submit your quotation and legal documents until 22 JUNE 2020 thru email at christian_serrano@tpb.gov.ph or thru fax no. 02 8526-5971, subject to the Terms and Conditions attached herewith, stating the shortest time of delivery, duly signed by your representative to the Procurement and General Services Division, Administrative Department, 4th Floor, Legaspi Towers 300, Roxas Blvd., Manila.</t>
  </si>
  <si>
    <t xml:space="preserve"> https://tinyurl.com/y9vw25po</t>
  </si>
  <si>
    <t xml:space="preserve"> https://drive.google.com/file/d/1It5wZBHAMktqn4E2kZ6cb-V6d0oN3yYb/view?usp=drivesdk</t>
  </si>
  <si>
    <t xml:space="preserve"> https://drive.google.com/file/d/13Wz23TeTMpg6Cm2M9i58r-nUZaErcepp/view?usp=drivesdk</t>
  </si>
  <si>
    <t xml:space="preserve"> Please download RFQ in the Associated Components for Quotation.</t>
  </si>
  <si>
    <t xml:space="preserve"> https://drive.google.com/file/d/154Vu4trVTFT-ge6jCF-u9oKthOOz9523/view?usp=drivesdk</t>
  </si>
  <si>
    <t xml:space="preserve"> https://tinyurl.com/yboh5vfp</t>
  </si>
  <si>
    <t xml:space="preserve"> Availability of Bid Documents: June 17 – July 06, 2020; 8:00 AM-5:00 PM; Monday through Friday</t>
  </si>
  <si>
    <t xml:space="preserve"> Specs:</t>
  </si>
  <si>
    <t xml:space="preserve"> June 17, 2020 to July 6, 2020</t>
  </si>
  <si>
    <t xml:space="preserve"> https://drive.google.com/file/d/15w_xwnMIh0bgwD-WCVi0e_wJflBkxNJZ/view?usp=drivesdk</t>
  </si>
  <si>
    <t xml:space="preserve"> DPWH Laguna 2nd District Engineering Office Conference Room, Brgy. Bambang Los Baños, Laguna</t>
  </si>
  <si>
    <t xml:space="preserve"> Please download attached Request For Quotation (RFQ) for your reference.</t>
  </si>
  <si>
    <t xml:space="preserve"> https://drive.google.com/file/d/13L_cg_VRH00l-d0ij7S8USzuDljNeHcK/view?usp=drivesdk</t>
  </si>
  <si>
    <t xml:space="preserve"> PROSPER L. DAYO</t>
  </si>
  <si>
    <t xml:space="preserve"> DELIVER TO 10 LTO OFFICES (8 TABLES PER SITE)</t>
  </si>
  <si>
    <t xml:space="preserve"> https://drive.google.com/file/d/1FIn0ACYZUbS9ALWOaCSAiwCBev5EN6r1/view?usp=drivesdk</t>
  </si>
  <si>
    <t xml:space="preserve"> Schedule of Bidding Activities:</t>
  </si>
  <si>
    <t xml:space="preserve"> Deadline of submission is on or before the closing date.</t>
  </si>
  <si>
    <t xml:space="preserve"> https://drive.google.com/file/d/1CEgGGG1g56M3v64dfkA1YR5tDLOjCK1i/view?usp=drivesdk</t>
  </si>
  <si>
    <t xml:space="preserve"> Please email quotation to:</t>
  </si>
  <si>
    <t xml:space="preserve"> Project Title: Preventive Maintenance of Fire Protection System at PNOC Buildings 5 and 6 </t>
  </si>
  <si>
    <t xml:space="preserve"> For inquiry, my email add is DavidRR@bsp.gov.ph</t>
  </si>
  <si>
    <t xml:space="preserve"> Please refer to the attached Request for Quotation</t>
  </si>
  <si>
    <t xml:space="preserve"> repair and rehabilitation</t>
  </si>
  <si>
    <t xml:space="preserve"> SUPPLIER MUST SUBMIT LOCAL BUSINESS PERMIT AT ILIGAN CITY</t>
  </si>
  <si>
    <t xml:space="preserve"> • Similar Contracts: Supply, delivery, installation, configuration and testing of CPU Hyper-Converged Integrated System (HCIS) Server</t>
  </si>
  <si>
    <t xml:space="preserve"> • Similar Contracts: Provision, configuration and testing of messaging and collaboration platform for at least 2300 users</t>
  </si>
  <si>
    <t xml:space="preserve"> Deadline for the submission of bid is on June 25, 2020 at 2:00 PM and opening of bids to follow immediately.Please submit your sealed bid/quotation at BAC Office, New Civil Aviation Authority of the Philippines Bldg., Mactan-Cebu Int'l. Airport, Lapu-lapu City , Cebu and look for Hannah. </t>
  </si>
  <si>
    <t xml:space="preserve"> TECHNICAL SPECIFICATIONS</t>
  </si>
  <si>
    <t xml:space="preserve"> MIERBEN H. EUPENADO</t>
  </si>
  <si>
    <t xml:space="preserve"> PROGRAM OF WORKS</t>
  </si>
  <si>
    <t xml:space="preserve"> SOURCE OF FUNDS: LOCAL DISASTER 2019</t>
  </si>
  <si>
    <t xml:space="preserve"> Bidder must download the attached document in the associated component section</t>
  </si>
  <si>
    <t xml:space="preserve"> https://drive.google.com/file/d/1_uizNyXFOweEiQzKGj40-hZrloJSyHLB/view?usp=drivesdk</t>
  </si>
  <si>
    <t xml:space="preserve"> FOR MORE DETAILED INFORMATION, PLEASE CONTACT THE BIDS AND AWARDS COMMITTEE.</t>
  </si>
  <si>
    <t xml:space="preserve"> Please contact Julius Ruben A. Alipao III - School Head of Concepcion ES</t>
  </si>
  <si>
    <t xml:space="preserve"> https://drive.google.com/file/d/1RiXjHzxJPOJ_u3Db16IVzthK3_jB0skE/view?usp=drivesdk</t>
  </si>
  <si>
    <t xml:space="preserve"> 1. Can deliver and supply all items in advance the needed supplies</t>
  </si>
  <si>
    <t xml:space="preserve"> Please contact Marina G. Bihag - School Head of Evening Opportunity High School (CP# 0907 010 6709)</t>
  </si>
  <si>
    <t xml:space="preserve"> https://drive.google.com/file/d/1k_RRtwN-wnmSqpcCk5dNABPrLRNSzNlO/view?usp=drivesdk</t>
  </si>
  <si>
    <t xml:space="preserve"> Upgrading of BiPSU Electrical System Main Campus and Biliran Campus</t>
  </si>
  <si>
    <t xml:space="preserve"> NOTE: Please call ATI IV-A for more details</t>
  </si>
  <si>
    <t xml:space="preserve"> Please see attached Bidding Documents for more details.</t>
  </si>
  <si>
    <t xml:space="preserve"> Provision of Security Services for BARMM-MPW, Maguindanao 1st District Engineering Office, P.C. Hill, Cotabato City</t>
  </si>
  <si>
    <t xml:space="preserve"> For more info, please notify Mrs Rebecca Taboñiag, Barangay Secretary of Brgy Bogo Calabat, Josefina, Zamboanga del Sur with contact number 09514893412.</t>
  </si>
  <si>
    <t xml:space="preserve"> Include VAT and delivery charges</t>
  </si>
  <si>
    <t xml:space="preserve"> Please give us a call at 924-6101 local 1063/1067</t>
  </si>
  <si>
    <t xml:space="preserve"> https://drive.google.com/file/d/1YgPwD_L2G1JTBLN1equXfy0qg69Ednwr/view</t>
  </si>
  <si>
    <t xml:space="preserve"> Bid documents will be available to prospective bidders who  purchase the bidding documents  from the office of the Municipal Treasurer of the Local Government Unit of Mapet</t>
  </si>
  <si>
    <t xml:space="preserve"> Prospective Bidders should have experience in undertaking a similar project within the last 2 years with an amount of at least 50% of the proposed project for bidding. The Eligibility Check/Screening as well as the Preliminary Examination of Bids shall use non-discretionary  “pass/fail” criteria. Post-qualification of the lowest calculated bid shall be conducted.</t>
  </si>
  <si>
    <t xml:space="preserve"> BIDDERS MUST DOWNLOAD ELECTRONIC COPY OF BIDDING DOCUMENTS IN THE LINK BELOW:</t>
  </si>
  <si>
    <t xml:space="preserve"> Total Book  Titles= 123</t>
  </si>
  <si>
    <t xml:space="preserve"> Delivery of materials and other scope of the project.</t>
  </si>
  <si>
    <t xml:space="preserve"> For further information, please refer to:</t>
  </si>
  <si>
    <t xml:space="preserve"> https://tinyurl.com/y7torzad</t>
  </si>
  <si>
    <t xml:space="preserve"> https://tinyurl.com/y9kquwte</t>
  </si>
  <si>
    <t xml:space="preserve"> Requirements:</t>
  </si>
  <si>
    <t xml:space="preserve"> https://tinyurl.com/ycdp93dl</t>
  </si>
  <si>
    <t xml:space="preserve"> For Smoother and faster transaction, please look for the school property custodian</t>
  </si>
  <si>
    <t xml:space="preserve"> Please download ITB &amp; Biddocs in the Associated Components for reference.</t>
  </si>
  <si>
    <t xml:space="preserve"> Please download ITB  &amp; Biddocs in the Associated Components for reference.</t>
  </si>
  <si>
    <t xml:space="preserve"> Opening of Best Offers will be on June 29, 2020, 2:00PM at BWD Board Room National Highway Cogon, Balingasag Misamis Oriental.</t>
  </si>
  <si>
    <t xml:space="preserve"> https://tinyurl.com/y7jehjwk</t>
  </si>
  <si>
    <t xml:space="preserve"> NOTE: WEAR FACE MASK AND OBSERVED SOCIAL DISTANCING DURING THE OPENING OF BIDS.</t>
  </si>
  <si>
    <t xml:space="preserve"> NOTE: THIS IS A REBIDDING FOR ALL ITEMS UNDER LOTS 1-3 &amp; 7 ON THIS PURCHASE REQUEST..</t>
  </si>
  <si>
    <t xml:space="preserve"> https://tinyurl.com/y9vtyhgp</t>
  </si>
  <si>
    <t xml:space="preserve"> please look for the school property custodian in securing papers or documents</t>
  </si>
  <si>
    <t xml:space="preserve"> https://tinyurl.com/ya2v4zt2</t>
  </si>
  <si>
    <t xml:space="preserve"> https://tinyurl.com/ycfwyjuj</t>
  </si>
  <si>
    <t xml:space="preserve"> Warranty : 6 months from receipt of payment </t>
  </si>
  <si>
    <t xml:space="preserve"> https://tinyurl.com/y7lz84y5</t>
  </si>
  <si>
    <t xml:space="preserve"> https://tinyurl.com/yczckkom</t>
  </si>
  <si>
    <t xml:space="preserve"> https://tinyurl.com/yc5wbpqh</t>
  </si>
  <si>
    <t xml:space="preserve"> https://tinyurl.com/yabcpbbg</t>
  </si>
  <si>
    <t xml:space="preserve"> Medicine and Medical Supplies Rack, 1st bay double side, 7 levels, H1.8mx W 6.870m x L900mm, Wire Mesh racking, Beige Color, Powder Coated, 100Kg Load capacity per level	9	unit</t>
  </si>
  <si>
    <t xml:space="preserve"> https://tinyurl.com/y6unp4hn</t>
  </si>
  <si>
    <t xml:space="preserve"> https://tinyurl.com/y6vspqcx</t>
  </si>
  <si>
    <t xml:space="preserve"> https://tinyurl.com/yccc44kx</t>
  </si>
  <si>
    <t xml:space="preserve"> https://tinyurl.com/y77bob4w</t>
  </si>
  <si>
    <t xml:space="preserve"> https://tinyurl.com/yav4kvp7</t>
  </si>
  <si>
    <t xml:space="preserve"> INSTRUCTIONS/TERMS AND CONDITIONS:								</t>
  </si>
  <si>
    <t xml:space="preserve"> SOURCE OF FUND:   MOOE</t>
  </si>
  <si>
    <t xml:space="preserve"> 1. Submission of Letter of Intent (LOI) - June 17 - 18, 2020 @ 8:00am to 5:00pm</t>
  </si>
  <si>
    <t xml:space="preserve"> Glen L. Pardillo</t>
  </si>
  <si>
    <t xml:space="preserve"> 1.	Request for Quotation (RFQ) form can be obtained at 110th Contracting Office, AFPPS Canvass Contracting Committee Secretariat, 53rd Engineer Brigade, PA, Camp Lapulapu, Cebu City. Submission of Sealed price quotation will be at designated price quotation box located on same address and will be opened on date/time as indicated.</t>
  </si>
  <si>
    <t xml:space="preserve"> Submit your quotation together with your PhilGEPS Cert</t>
  </si>
  <si>
    <t xml:space="preserve"> COPY AND PASTE IN THE BROWSER THE LINK BELOW TO VIEW RFQ OR CANVASS: </t>
  </si>
  <si>
    <t xml:space="preserve"> Item No.	Description	Qty.	Unit</t>
  </si>
  <si>
    <t xml:space="preserve"> COPY AND PASTE IN THE BROWSER THE LINK BELOW TO VIEW THE BIDDING DOCUMENTS; </t>
  </si>
  <si>
    <t xml:space="preserve"> REMINDERS:</t>
  </si>
  <si>
    <t xml:space="preserve"> Deadline of submission is on or before June  24, 2020 @ 1:00pm</t>
  </si>
  <si>
    <t xml:space="preserve"> Note: Please see the uploaded file at associated components.</t>
  </si>
  <si>
    <t xml:space="preserve"> https://drive.google.com/file/d/1kWCy44emoOsRAXIMs7Ne_qbkbTLjLvZu/view?usp=drivesdk</t>
  </si>
  <si>
    <t xml:space="preserve"> Bidders must submit along with their quotations the certified true copies of the following documents:</t>
  </si>
  <si>
    <t xml:space="preserve"> COPY AND PASTE IN THE BROWSER THE LINK BELOW TO VIEW BIDDING DOCUMENTS; </t>
  </si>
  <si>
    <t xml:space="preserve"> BID DOCS PhP 500.00</t>
  </si>
  <si>
    <t xml:space="preserve"> KINDLY DOWNLOAD BID DOCUMENTS ON THE ASSOCIATED COMPONENT.</t>
  </si>
  <si>
    <t xml:space="preserve"> For further information, please contact Ms. JOCELYN A.</t>
  </si>
  <si>
    <t xml:space="preserve"> Kindly download bid documents on the associated component.</t>
  </si>
  <si>
    <t xml:space="preserve"> For more details please coordinate or contact the Local BAC Secretariat at SSS Bacolod East Branch, East One Atrium Bldg., Burgos Ext., Brgy. Villamonte, Bacolod City, at Tel. No. (034) 441-6599 or at Visayas West 1 Division at Tel. Nos. (034) 709-0880/709-0413-17 at local 208 and 210 and SSS Dumaguete Branch at Tel Nos. (035)225-6810; 225-4340</t>
  </si>
  <si>
    <t xml:space="preserve"> PLEASE SEE ATTACHED FILE</t>
  </si>
  <si>
    <t xml:space="preserve"> 1.  Submission of Letter of Intent and Application of Eligibility				June 16, 2020 - June 23, 2020		</t>
  </si>
  <si>
    <t xml:space="preserve"> Please download the Bid Document in the Associated Component.</t>
  </si>
  <si>
    <t xml:space="preserve"> 2.	A set of technical specifications for the above items are provided in Attachment/s # 1.  All items listed under the purchasers’ specifications must be complied on a pass-fail basis.  Failure to meet any one of the requirements may result to rejection.</t>
  </si>
  <si>
    <t xml:space="preserve"> For more details, please contact MSWDO Gudelia I. Castaños with her mobile number 09196390854.</t>
  </si>
  <si>
    <t xml:space="preserve"> Qualifications:</t>
  </si>
  <si>
    <t xml:space="preserve"> The National Forensic Science Training Institute (NFSTI) is a Constitutive Unit (CU) of the PPSC located in Camp Vicente Lim Brgy. Mayapa Canlubang Laguna.</t>
  </si>
  <si>
    <t xml:space="preserve"> Submission of proposals will be done through email.</t>
  </si>
  <si>
    <t xml:space="preserve"> https://drive.google.com/file/d/1ohktBYBTai9oJUKwWwBm3g56Iet9u4oa/view?usp=drivesdk</t>
  </si>
  <si>
    <t xml:space="preserve"> WASHABLE FACE MASK - 3,415</t>
  </si>
  <si>
    <t xml:space="preserve"> You may see the Vice Mayor, Municipality of Caibiran</t>
  </si>
  <si>
    <t xml:space="preserve"> NOTE: THIS IS A REBIDDING FOR THE SAID ITEM UNDER LOT 3 ONLY IN THIS PURCHASE REQUEST.</t>
  </si>
  <si>
    <t xml:space="preserve"> Qualification:</t>
  </si>
  <si>
    <t xml:space="preserve"> BID DOCUMENT IS AVAILABLE AT ENGINEERING OFFICE, BAC SECRETARIAT.</t>
  </si>
  <si>
    <t xml:space="preserve"> 1.		DIESOLINE		1	Lot</t>
  </si>
  <si>
    <t xml:space="preserve"> Mr. Wilbert Newton T. Pollisco</t>
  </si>
  <si>
    <t xml:space="preserve"> Area of Delivery: Quezon City</t>
  </si>
  <si>
    <t xml:space="preserve"> copy this link to gogle drive to download bidding documents:</t>
  </si>
  <si>
    <t xml:space="preserve"> BID DOCUMENT IS AVAILABLE AT ENGINEERING OFFICE, BAC SECRETARIAT</t>
  </si>
  <si>
    <t xml:space="preserve"> Suppliers are required to submit their quotation/written proposal with the following documents on or before JUNE 23, 2020 9:00 AM at BAC Office, this LGU, to wit:</t>
  </si>
  <si>
    <t xml:space="preserve"> Please download document in associate components</t>
  </si>
  <si>
    <t xml:space="preserve"> 1.	All interested bidders/suppliers may now submit Eligibility Documents and other documents.</t>
  </si>
  <si>
    <t xml:space="preserve"> Travelling Rice Mill</t>
  </si>
  <si>
    <t xml:space="preserve"> Please see attached file for quotation</t>
  </si>
  <si>
    <t xml:space="preserve"> 2020 20% DF</t>
  </si>
  <si>
    <t xml:space="preserve"> Place of Delivery:Sipalay City, Negros Occidental</t>
  </si>
  <si>
    <t xml:space="preserve"> https://drive.google.com/file/d/1dAjSpCezvEkmCXnpMcHYLKSt5-yDYjqe/view?usp=drivesdk</t>
  </si>
  <si>
    <t xml:space="preserve"> For Inquiry:</t>
  </si>
  <si>
    <t xml:space="preserve"> For the official use of PENRO-Quezon</t>
  </si>
  <si>
    <t xml:space="preserve"> Please refer to the attached Request for Quotation (RFQ) for complete and detailed specifications. For queries, please call at 317-1768 local 519/532/784 and look for Mr. Joemar D. Sajona.</t>
  </si>
  <si>
    <t xml:space="preserve"> INCLUDES INSTALLATION AND CABLING</t>
  </si>
  <si>
    <t xml:space="preserve"> https://drive.google.com/file/d/1ZpmEg1-w_OX2xGCe0KeseWNoFBg9bQmk/view?usp=drivesdk</t>
  </si>
  <si>
    <t xml:space="preserve"> https://drive.google.com/file/d/1rCAJX4EWRIg9GuEuoxhjxu7n5hgJV-4m/view?usp=drivesdk</t>
  </si>
  <si>
    <t xml:space="preserve"> 1. Issuance of Bidding Documents	:	June 16, 2020 to July 07, 2020</t>
  </si>
  <si>
    <t xml:space="preserve"> https://drive.google.com/file/d/19IxS2V13Afb_GQ_3ONVkajUc1ryw34X2/view?usp=drivesdk</t>
  </si>
  <si>
    <t xml:space="preserve"> Instruction for Suppliers on how to View/Download the document;</t>
  </si>
  <si>
    <t xml:space="preserve"> Schedule of BAC Activities:</t>
  </si>
  <si>
    <t xml:space="preserve"> Norman B. Casiple</t>
  </si>
  <si>
    <t xml:space="preserve"> https://drive.google.com/file/d/1ECC1x9E53mC3EuwZNpFyJGyj2dScAqnJ/view?usp=drivesdk</t>
  </si>
  <si>
    <t xml:space="preserve"> Norman B.Casiple</t>
  </si>
  <si>
    <t xml:space="preserve"> 1 	1	Lot	20 Units DIGTAL VHF Base Radio </t>
  </si>
  <si>
    <t xml:space="preserve"> INVITATION TO BID FOR  PURCHASE OF LAPTOP FOR SANGGUNIANG BAYAN OFFICE – Poblacion Occidental, Valencia, Bohol</t>
  </si>
  <si>
    <t xml:space="preserve"> Interested supplier's please submit certificate of philgeps registration, mayor's permit &amp; tax clearance</t>
  </si>
  <si>
    <t xml:space="preserve"> SEE ASSOCIATED COMPONENTS</t>
  </si>
  <si>
    <t xml:space="preserve"> Mail the following eligibility and requirements:</t>
  </si>
  <si>
    <t xml:space="preserve"> please call To: 0998-247-0239  &amp;  0906-256-9238  for other details</t>
  </si>
  <si>
    <t xml:space="preserve"> please call To: 0998-247-0239 &amp; 0906-256-9238 for other details . . .</t>
  </si>
  <si>
    <t xml:space="preserve"> MATERIALS</t>
  </si>
  <si>
    <t xml:space="preserve"> For more information, please see or contact the BAC Members of Brgy. Sta. Elena, Magallanes, Sorsogon.</t>
  </si>
  <si>
    <t xml:space="preserve"> https://drive.google.com/file/d/1Se4C4Dn_JWsx8kTY-PbAv7Fy41U_LC5l/view?usp=drivesdk</t>
  </si>
  <si>
    <t xml:space="preserve"> please call to: 0998-247-0239  &amp;  0906-256-9238  for other details . . .</t>
  </si>
  <si>
    <t xml:space="preserve"> ONLY SUPPLIERS FROM BACOLOD CITY WILL BE SHORT LISTED.</t>
  </si>
  <si>
    <t xml:space="preserve"> 9.	For further information, please refer to:</t>
  </si>
  <si>
    <t xml:space="preserve"> please call To: 0998-247-0239  &amp;  0906-256-9238  for other details . . . .</t>
  </si>
  <si>
    <t xml:space="preserve"> CONTACT 4354619</t>
  </si>
  <si>
    <t xml:space="preserve"> SUBMIT QUOTATION ON OR BEFORE JUNE 19, 2020 - 10:00AM AT BAC OFFICE</t>
  </si>
  <si>
    <t xml:space="preserve"> please call To 0998-247-0239 n &amp; 0906-256-9238  for other details . . . .</t>
  </si>
  <si>
    <t xml:space="preserve"> https://drive.google.com/file/d/1x7SOPF9QcpNCipvjqhH459nUGq6EkWsC/view?usp=drivesdk</t>
  </si>
  <si>
    <t xml:space="preserve"> INVITATION TO BID</t>
  </si>
  <si>
    <t xml:space="preserve"> Interested supplier's please submit certificate of philgeps registration, mayor's permit &amp; tax clearance.</t>
  </si>
  <si>
    <t xml:space="preserve"> Please see attached RFQ No. 20-0543 Shopping B for complete list of Items.</t>
  </si>
  <si>
    <t xml:space="preserve"> Negotiated.</t>
  </si>
  <si>
    <t xml:space="preserve"> ONLY SUPPLIERS FROM BACOLOD WILL BE SHORT LISTED.</t>
  </si>
  <si>
    <t xml:space="preserve"> Pre-bid Conference will be done through teleconference. Any interested bidder you could contact the Head BAC Secretariat or email us.</t>
  </si>
  <si>
    <t xml:space="preserve"> please call To:  0998-247-0239  &amp;  0906-256-9238  for other details . . .</t>
  </si>
  <si>
    <t xml:space="preserve"> Please see attached RFQ No. 20-0545 NP-SV for complete list of Items and Specifications/Description including Photo of the required Statue.</t>
  </si>
  <si>
    <t xml:space="preserve"> https://drive.google.com/file/d/1kQt4ro205WQ4i_pSQZQcgWFm0diL2N89/view?usp=drivesdk</t>
  </si>
  <si>
    <t xml:space="preserve"> Instruction for Suppliers on how to View/Download Documents:</t>
  </si>
  <si>
    <t xml:space="preserve"> please call To:  0998-247-0239  &amp; 0906-256-9238  for other details . . .</t>
  </si>
  <si>
    <t xml:space="preserve"> LCRB</t>
  </si>
  <si>
    <t xml:space="preserve"> please call To:  0998-247-0239  &amp;  0906-256-9238  for other details . . . .</t>
  </si>
  <si>
    <t xml:space="preserve"> For inquiries you may contact:</t>
  </si>
  <si>
    <t xml:space="preserve"> For more Information and details please contact the BAC Secretariat Mrs. Juna Carla Tabian at (033) 511-8790.</t>
  </si>
  <si>
    <t xml:space="preserve"> 1. BIDDERS ARE ADVISED TO DOWNLOAD ALL ASSOCIATED COMPONENTS</t>
  </si>
  <si>
    <t xml:space="preserve"> BID DOCS PhP 10,000.00</t>
  </si>
  <si>
    <t xml:space="preserve"> SUPPLIERS/ BIDDERS MUST DOWNLOAD THE ATTACHED DOCUMENT IN ASSOCIATED COMPONENT SECTION.</t>
  </si>
  <si>
    <t xml:space="preserve"> 1.Suppliers/Bidders must download the attached Document/RFQ in the associated component section.</t>
  </si>
  <si>
    <t xml:space="preserve"> INQUIRE AT BAC OFFICE, TAMBULIG, MUNICIPAL HALL, TAMBULIG, ZAMBOANGA DLE SUR</t>
  </si>
  <si>
    <t xml:space="preserve"> https://drive.google.com/file/d/1ES3gMDHG4BaII6JGhFiyH99HWH2VIU3C/view?usp=drivesdk</t>
  </si>
  <si>
    <t xml:space="preserve"> https://tinyurl.com/y924w9pf</t>
  </si>
  <si>
    <t xml:space="preserve"> Please contact et.malong@philrice.gov.ph/emilymalong95@gmail.com</t>
  </si>
  <si>
    <t xml:space="preserve"> BID DOCS PhP. 5,000.00</t>
  </si>
  <si>
    <t xml:space="preserve"> RFQ# 109CO – 06 – 2020 – 087 is ready and available at 109th CO, AFPPS, Camp Elias Angeles, San Jose, Pili, Camarines Sur</t>
  </si>
  <si>
    <t xml:space="preserve"> Source of Fund: Bayanihan Grant to Cities and Municipalities</t>
  </si>
  <si>
    <t xml:space="preserve"> copy this link to google drive to downlaod bidding documents:</t>
  </si>
  <si>
    <t xml:space="preserve"> Interested bidders may download attached documents located in the Associated Component Section.</t>
  </si>
  <si>
    <t xml:space="preserve"> For more Information and details pls. contact the BAC Secretariat at (033) 511-8790.</t>
  </si>
  <si>
    <t xml:space="preserve"> PLEASE SEE ATTACHED RFQ FOR MORE DETAILS.</t>
  </si>
  <si>
    <t xml:space="preserve"> RFQ# 109CO – 06 – 2020 – 088 is ready and available at 109th CO, AFPPS, Camp Elias Angeles, San Jose, Pili, Camarines Sur</t>
  </si>
  <si>
    <t xml:space="preserve"> please submit your quotations at the Department of Agrarian Reform Provincial Office, San Fermin, Cauayan City, Isabela on or before the closing date</t>
  </si>
  <si>
    <t xml:space="preserve"> For more information, please see or contact the BAC Members of Brgy. Binisitahan Norte, Magallanes, Sorsogon.</t>
  </si>
  <si>
    <t xml:space="preserve"> For information inquire at BAC Secretariat of Atimonan, Quezon.</t>
  </si>
  <si>
    <t xml:space="preserve"> Please copy the link below and print for a copy of Bidding Document.</t>
  </si>
  <si>
    <t xml:space="preserve"> For inquiries, please contact Mr. Allan de Vera, Procurement, GSD at tel no. 8293-3683.</t>
  </si>
  <si>
    <t xml:space="preserve"> Please download the document at the associated components.</t>
  </si>
  <si>
    <t xml:space="preserve"> Interested Bidders may download attached documents located in the Associated Components Section.</t>
  </si>
  <si>
    <t xml:space="preserve"> Interested suppliers must be willing to deliver in advance. Payment will be issued upon the release of allocated budget</t>
  </si>
  <si>
    <t xml:space="preserve"> 3.)	20	bxs	IV Cannula g-22</t>
  </si>
  <si>
    <t xml:space="preserve"> RFQ# 109CO – 06 – 2020 – 089 is ready and available at 109th CO, AFPPS, Camp Elias Angeles, San Jose, Pili, Camarines Sur</t>
  </si>
  <si>
    <t xml:space="preserve"> For the Request for Price Quotation look for Jen at BAC Office.</t>
  </si>
  <si>
    <t xml:space="preserve"> Please look for the school property custodian in securing such documents and informations</t>
  </si>
  <si>
    <t xml:space="preserve"> PR0033-20 – TOURISM ANNEX (Lights Enhancement Phase III)</t>
  </si>
  <si>
    <t xml:space="preserve"> Kindly download RFQ documents on the associated component.</t>
  </si>
  <si>
    <t xml:space="preserve"> &gt; 4 Pcs TIRES</t>
  </si>
  <si>
    <t xml:space="preserve"> 1.)	5	kits	Triglycerides 5x100ml</t>
  </si>
  <si>
    <t xml:space="preserve"> Please download the complete bidding documents using the link below:</t>
  </si>
  <si>
    <t xml:space="preserve"> Please see attached bidding documents for more details.</t>
  </si>
  <si>
    <t xml:space="preserve"> The Vicente Sotto Memorial Medical Center reserves the right to accept or reject any bid, to annul the bidding process, and to reject all bids at any time prior to contract award, without thereby incurring any liability to the affected bidder or bidders.									</t>
  </si>
  <si>
    <t xml:space="preserve"> Please download the complete Bidding Documents using the link below:</t>
  </si>
  <si>
    <t xml:space="preserve"> For the Request for Price Quotation Look for Jen at BAC Office.</t>
  </si>
  <si>
    <t xml:space="preserve"> VI. Please submit quotation before closing time"</t>
  </si>
  <si>
    <t xml:space="preserve"> &gt; 456 Bags NP COMPOUND (Multi-Functional Fertilizer)</t>
  </si>
  <si>
    <t xml:space="preserve"> I. CONSTRUCTION OF REINFORCED CONCRETE GROUND RESERVOIR (3x3x3)m CONCRETE WORKS</t>
  </si>
  <si>
    <t xml:space="preserve"> Please submit your quotations to the General Services Office of the Local Government Unit of Dupax del Norte.</t>
  </si>
  <si>
    <t xml:space="preserve"> Please download the complete bidding documents using he link below:</t>
  </si>
  <si>
    <t xml:space="preserve"> CONCRETE WORKS</t>
  </si>
  <si>
    <t xml:space="preserve"> https://drive.google.com/file/d/1x93sa1W8kByeJXmqtPS1qHBql1_J2v2I/view?usp=drivesdk</t>
  </si>
  <si>
    <t xml:space="preserve"> For more Information and details please contact the BAC Secretariat, LGU Tigbauan at (033) 511-8790</t>
  </si>
  <si>
    <t xml:space="preserve"> pls attached the following documents</t>
  </si>
  <si>
    <t xml:space="preserve"> https://drive.google.com/file/d/1Jw2ZuWkmwUF_SWnYQr43J12iboPh1IZ0/view?usp=drivesdk</t>
  </si>
  <si>
    <t xml:space="preserve"> https://drive.google.com/file/d/1GkLTa0K0iU2O6aoP1WuAqJahuVHrUKMq/view?usp=drivesdk</t>
  </si>
  <si>
    <t xml:space="preserve"> Please see attached RPQ and PR in the initiated components.</t>
  </si>
  <si>
    <t xml:space="preserve"> Availability of Bid Documents:  June 15 – June 18, 2020; 8:00AM-5:00PM; Monday Through Friday</t>
  </si>
  <si>
    <t xml:space="preserve"> INTERESTED PARTIES MAY COORDINATE WITH barillajc@sss.gov.ph ON OR BEFORE 6/19/2020</t>
  </si>
  <si>
    <t xml:space="preserve"> For the use of OG2, 2ID, PA</t>
  </si>
  <si>
    <t xml:space="preserve"> • Complete Project Title: Supply, Delivery, Installation, Test and Commissioning of Various Diesel Gensets and Associated Electrical Equipment and Balance of Plant for the Electrification of Seven (7) New Areas in Bohol under the Off-Grid Electrification Project</t>
  </si>
  <si>
    <t xml:space="preserve"> https://drive.google.com/file/d/11pOgrjSN9vx66UVLHeBCFgw14stR7TyS/view?usp=drivesdk</t>
  </si>
  <si>
    <t xml:space="preserve"> • Similar Contracts: On-site overhauling / rebuilding / repair works of diesel engines for diesel power plants</t>
  </si>
  <si>
    <t xml:space="preserve"> • Similar Contracts: Supply and delivery of various Personnel Protective Equipment (PPE) and/or any two (2) similar items under this contract</t>
  </si>
  <si>
    <t xml:space="preserve"> https://drive.google.com/file/d/1RfNwpgZ4nKhWLJ_7F-T1c_T5kgX7xDRQ/view?usp=drivesdk</t>
  </si>
  <si>
    <t xml:space="preserve"> Please refer to the attached RFQ and TOR for further details of the project</t>
  </si>
  <si>
    <t xml:space="preserve"> BID DOCUMENT IS AVAILABLE AT THE BAC OFFICE DURING OFFICE HOUR.</t>
  </si>
  <si>
    <t xml:space="preserve"> https://drive.google.com/file/d/1LpN7m14i915AqJLNSjx--RfwuCohZek3/view?usp=drivesdk</t>
  </si>
  <si>
    <t xml:space="preserve"> https://drive.google.com/file/d/1BQEfmd8lTG7H_tryADUuaWGI4n4iVOMQ/view?usp=drivesdk</t>
  </si>
  <si>
    <t xml:space="preserve"> https://drive.google.com/file/d/1Bxk0GmdiYY1lZOjG2wOrTR2W_FqKGWR4/view?usp=drivesdk</t>
  </si>
  <si>
    <t xml:space="preserve"> https://drive.google.com/file/d/1N8xk1GpL3fuS3teIClj2RFRLWaP7R_Hn/view?usp=drivesdk</t>
  </si>
  <si>
    <t xml:space="preserve"> https://drive.google.com/file/d/1kMLEozAXgkW1orBOSvNNjdbnKL_7mAPz/view?usp=drivesdk</t>
  </si>
  <si>
    <t xml:space="preserve"> For other inquiries/concerns about the term of reference (TOR) please contact end-user Ms. Ruby De Guzman / Mr. Ramon Jaurigue / Ms. Mercy Dio (REMB-BEMD) at Trunk Line 479-29-00. SUPPLIER/BIDDER is required to upon submission of offer in the SEALED ENVELOPE attach the following documents; Mayor’s/Business Permit, PhilGEPS Registration Number and Omnibus Sworn Statement. Please submit your quotation to the BAC-Secretariat Ms. Jaymee Deogracias (BAC-Office) 3rd Floor DOE Main Building, Energy Center, Rizal Drive, Bonifacio Global City, Taguig City trunk line 479-2900 loc. 383 or email to: antonio.bautista@doe.gov.ph</t>
  </si>
  <si>
    <t xml:space="preserve"> please submit your quotation addressed to the BAC Chairperson</t>
  </si>
  <si>
    <t xml:space="preserve"> Same date and venue.</t>
  </si>
  <si>
    <t xml:space="preserve"> Please inquire at the Office of the BAC Secretariat for more details</t>
  </si>
  <si>
    <t xml:space="preserve"> Project Title : CONSTRUCTION OF SEAWALL WITH DRAINAGE CANAL &amp; EMBANKMENT</t>
  </si>
  <si>
    <t xml:space="preserve"> Prospective supplier must be registered at the Philippine Government Electronic Procurement System (PhilGEPS). You may visit the PhilGEPS website at www.philgeps.gov.ph to register". The Request for Quotation Form can also be downloaded from www.fo4b.dswd.gov.ph</t>
  </si>
  <si>
    <t xml:space="preserve"> Project Title : ROAD CONCRETING (NEAR MALABOG CREEK, HAMORAON)</t>
  </si>
  <si>
    <t xml:space="preserve"> The original deadline of receipt of bid is still push through on June 16, 2020; 10:00 AM as scheduled. This was late advertised due to technical error. For the copy of ITB; please follow this link: https://drive.google.com/file/d/1-2iQIqdiAHzdWVc808GZtMKu8J2PLgG-/view?usp=drivesdk</t>
  </si>
  <si>
    <t xml:space="preserve"> ABC is Two Million Five Hundred Thousand Pesos Only (Php.2,500,000.00).</t>
  </si>
  <si>
    <t xml:space="preserve"> Please contact Jessica A. Cebrian- School Principal of NORCACES (0946-330-8617)</t>
  </si>
  <si>
    <t xml:space="preserve"> 1. All prospective suppliers must first submit photocopies of Class “A” Documents, and other</t>
  </si>
  <si>
    <t xml:space="preserve"> All interested bidders/suppliers must submit their request for quotation form (filled up) at the BAC Office 3rd floor Municipal Hall, Abatan, Buguias, Benguet starting June 16, 2020 from 9:00 PM- 4:00 PM.</t>
  </si>
  <si>
    <t xml:space="preserve"> Please submit your quotation and legal documents until 20 JUNE 2020 thru email at christian_serrano@tpb.gov.ph / bac_sec@tpb.gov.ph, subject to the Terms and Conditions attached herewith, stating the shortest time of delivery, duly signed by your representative to the Procurement and General Services Division, Administrative Department, 4th Floor, Legaspi Towers 300, Roxas Blvd., Manila.</t>
  </si>
  <si>
    <t xml:space="preserve"> All interested bidders must purchase bid document at Municipal Treasury Office together with the letter of intent before going to the BAC Office, 3rd floor, Municipal Bldg. Abatan, Buguias, Benguet from June 16, 2020 starting 2:00 PM - 4:00 PM.</t>
  </si>
  <si>
    <t xml:space="preserve"> Inquire at the Office of the Provincial Engineer for details.</t>
  </si>
  <si>
    <t xml:space="preserve"> You may download bidding documents using the link below:</t>
  </si>
  <si>
    <t xml:space="preserve"> https://drive.google.com/file/d/1Yp0QgKRraZJM2r81-Sj0ffMoCvfq5ys4/view?usp=drivesdk</t>
  </si>
  <si>
    <t xml:space="preserve"> 8o							</t>
  </si>
  <si>
    <t xml:space="preserve"> Activity	Date &amp; Time	Venue</t>
  </si>
  <si>
    <t xml:space="preserve"> 1. Submission of canvass on or before June 24, 2020 @ 2:00 P.M.</t>
  </si>
  <si>
    <t xml:space="preserve"> BID TENDER												</t>
  </si>
  <si>
    <t xml:space="preserve"> The Works consists of Installation of 30% Shade net (green) Cover for 37.50 ln.m x 7.0m wide Greenhouse.</t>
  </si>
  <si>
    <t xml:space="preserve"> The Works consists of Installation of Water Pipe line (1-1/2 2” øGi Pipe, s40) with 8 row distribution line (32mm ø x 65m HDPE Pipe, sdr 17) w/ drippers.</t>
  </si>
  <si>
    <t xml:space="preserve"> The Works consists of Installation of PV MODULE, POLYCRYSTALLINE, Submersible Multi-stage Centrifugal Solar Pump w/ casing including controller w/ data module, motor and pump and control units with cabling and accessories and water pumping system and drilling of 60m. dept. max (including 4” ø Gi pipe casing and 2” ø Discharge Pipe).</t>
  </si>
  <si>
    <t xml:space="preserve"> The Works consists of Construction of 196 ln.m  4” THK CHB 2 layers Canal lining with concrete column and stiffener spaced at every 5.0m.</t>
  </si>
  <si>
    <t xml:space="preserve"> The Works consists of Construction of 122.0ln.m (3 layer) 4” THK CHB Canal lining with concrete column and stiffener spaced at every 5.om.</t>
  </si>
  <si>
    <t xml:space="preserve"> Please print attached file for your quotation</t>
  </si>
  <si>
    <t xml:space="preserve"> The Works consists of Construction of 193.00 ln.m  4” THK (2 layers) CHB  Canal lining with concrete column and stiffener spaced at every 5.0m.</t>
  </si>
  <si>
    <t xml:space="preserve"> A business tax will be levied to the winning Supplier/Contractor based on the total contract cost pursuant to Chapter 2. Article I. Section 11 in relation to Chapter 2. Article 1. Section 7 (a) to (h) of the Revised Revenue Code of Nabunturan 2016.</t>
  </si>
  <si>
    <t xml:space="preserve"> The Works consists of Excavate the slope for the construction of stone masonry besides the temporary building at NVPH and construct Extension of Stone masonry for Slope Protection.</t>
  </si>
  <si>
    <t xml:space="preserve"> The Works consists of Construction of 1 unit elevated concrete water tank (L-22.5m x W-2.5 x H-2.0m) with water line (Pipes and fittings).</t>
  </si>
  <si>
    <t xml:space="preserve"> Purpose:  for use in various washing/cleaning of vehicle engine and equipment spareparts/repair works at TOEMD and this office. </t>
  </si>
  <si>
    <t xml:space="preserve"> 1.	All prospective suppliers must first submit photocopies of Class “A” Documents, and other Requirements together with the “Original’s” for the conduct of Business Inspection to determine their eligibility prior transacting business with PNPC. </t>
  </si>
  <si>
    <t xml:space="preserve"> Interested Bidder may purchase Bidding Documents in the amount of 500.00 pesos at the BAC Secretariat, Treasurer's Office, Municipal Hall Building.</t>
  </si>
  <si>
    <t xml:space="preserve"> For more information, please see or contact the BAC Members of LGU Magallanes, Sorsogon.</t>
  </si>
  <si>
    <t xml:space="preserve"> PLEASE DOWNLOAD BID DOCUMENTS</t>
  </si>
  <si>
    <t xml:space="preserve"> For More Info. Please Contact:</t>
  </si>
  <si>
    <t xml:space="preserve"> For More Info.Please Contact:</t>
  </si>
  <si>
    <t xml:space="preserve"> Purpose: to be used by the Water Service Connection Installation Section (WSCIS) of the Customer Service Division.</t>
  </si>
  <si>
    <t xml:space="preserve"> Last day of submission of quotation is on June 18, 2020 9:00am.</t>
  </si>
  <si>
    <t xml:space="preserve"> PLS SEE ATTACHED TOR (PR#S1-VDP20-010)</t>
  </si>
  <si>
    <t xml:space="preserve"> PLS SEE ATTACHED TOR (S1-CTL20-004)</t>
  </si>
  <si>
    <t xml:space="preserve"> PLS SEE ATTACHED TOR (PR#S1-MNR20-012)</t>
  </si>
  <si>
    <t xml:space="preserve"> PLS SEE ATTACHED TOR (S1-BIM20-011)</t>
  </si>
  <si>
    <t xml:space="preserve"> https://drive.google.com/file/d/1pTbpr-g-SQcqTRe7y7dej9R7cQk1nxiY/view?usp=drivesdk</t>
  </si>
  <si>
    <t xml:space="preserve"> PLS SEE ATTACHED TOR (PR#S1-PLB20-013)</t>
  </si>
  <si>
    <t xml:space="preserve"> Please see the details/ items on the attached file in associated components.</t>
  </si>
  <si>
    <t xml:space="preserve"> https://drive.google.com/file/d/1plAsgpaah__uSh-nVFAGz8ju6xKxcvXg/view?usp=drivesdk</t>
  </si>
  <si>
    <t xml:space="preserve"> https://drive.google.com/file/d/1K3RYiYKr_QQ8BMsDbIt9gMi0cNYl5uFr/view?usp=drivesdk</t>
  </si>
  <si>
    <t xml:space="preserve"> The Schedule of BAC Activities is as follows:</t>
  </si>
  <si>
    <t xml:space="preserve"> Activity	Date and Time	Venue</t>
  </si>
  <si>
    <t xml:space="preserve"> 1.	Interested supplier/bidder/services should submit their quotation in an official Request for Quotation Form. ( forms are available at Taysan NHS Property Officer)</t>
  </si>
  <si>
    <t xml:space="preserve"> Alexander G. Diez</t>
  </si>
  <si>
    <t xml:space="preserve"> You may see the LCE, Municipality of Caibiran, Biliran</t>
  </si>
  <si>
    <t xml:space="preserve"> none</t>
  </si>
  <si>
    <t xml:space="preserve"> Bidders must download documents in the associated components section.</t>
  </si>
  <si>
    <t xml:space="preserve"> Contact admin</t>
  </si>
  <si>
    <t xml:space="preserve"> PICK UP</t>
  </si>
  <si>
    <t xml:space="preserve"> GENERAL INSTRUCTIONS TO BIDDERS:							</t>
  </si>
  <si>
    <t xml:space="preserve"> Copy and paste the link below in the URL to download Bidding documents attached.</t>
  </si>
  <si>
    <t xml:space="preserve"> Please see attached PDF files for more information.</t>
  </si>
  <si>
    <t xml:space="preserve"> Please contact the school head of Mahaba ES - Mrs. Arlinda B. Dalogdog (09108792338)</t>
  </si>
  <si>
    <t xml:space="preserve"> Please see attached PDF for more information.</t>
  </si>
  <si>
    <t xml:space="preserve"> Kindly address your Quotation to Engr. Carmela Valencia (BAC Chairperson)</t>
  </si>
  <si>
    <t xml:space="preserve"> The Bidder must quote to all items</t>
  </si>
  <si>
    <t xml:space="preserve"> Date of posting- June 15-22, 2019</t>
  </si>
  <si>
    <t xml:space="preserve"> Date of posting - June 15-22, 2020</t>
  </si>
  <si>
    <t xml:space="preserve"> https://drive.google.com/file/d/1rhK8g2MEt1qyy6Sts6_EyhNdIddPw-Ze/view?usp=drivesdk</t>
  </si>
  <si>
    <t xml:space="preserve"> Please look for BAC Secretary/TWG for bidding documents/clarification, failure of submitting necessary documents will be subjected to disqualification.</t>
  </si>
  <si>
    <t xml:space="preserve"> The participating agency is preferably within Quezon Province</t>
  </si>
  <si>
    <t xml:space="preserve"> The participating Security Agency is preferably within the Province of Quezon</t>
  </si>
  <si>
    <t xml:space="preserve"> https://drive.google.com/file/d/12J50AeeXdmh3OVPCCZ2vRStPXZd0jw4B/view?usp=drivesdk</t>
  </si>
  <si>
    <t xml:space="preserve"> The National Irrigation Administration (NIA), Regional Irrigation Office No.7, through the Small Irrigation Project 2020 intends to apply the sum of One Million One Hundred Eighty-Three Thousand Eight Hundred Pesos &amp; 00/100 (P 1,183,800.00) being the Approved Budget for Contract (ABC) to payment under contract for FURNISHING OF CONSTRUCTION MATERIALS OF CAROL-AN DAGYANGAW SIP, Ayungon, Negros Oriental with Contract No. NOSO-Goods-SIP-04-2020. Bids received in excess of the ABC shall be automatically rejected at bid opening.</t>
  </si>
  <si>
    <t xml:space="preserve"> The National Irrigation Administration (NIA), Regional Irrigation Office No.7, through the Small Irrigation Project 2019 intends to apply the sum of One Million Four Hundred One Thousand Nine Hundred Pesos &amp; 00/100 (P 1,401,900.00) being the Approved Budget for Contract (ABC) to payment under contract for FURNISHING OF CONSTRUCTION MATERIALS OF CAROL-AN DAGYANGAW SIP (CY 2019), Ayungon, Negros Oriental with Contract No. NOSO-Goods-SIP-05-2020. Bids received in excess of the ABC shall be automatically rejected at bid opening.</t>
  </si>
  <si>
    <t xml:space="preserve"> https://drive.google.com/file/d/1tsIbxG-H9tmSxVV8L4uld-GilMxZb-Vk/view?usp=drivesdk</t>
  </si>
  <si>
    <t xml:space="preserve"> Instruction for Suppliers on how to View/Download the document:</t>
  </si>
  <si>
    <t xml:space="preserve"> please go to link https://drive.google.com/file/d/1NLo-qSzuKBpH9VMgq9x7Y-GJq5jHG9nY/view?usp=drivesdk for a copy of the Bidding Documents</t>
  </si>
  <si>
    <t xml:space="preserve"> Created By: Jomel Anatalio</t>
  </si>
  <si>
    <t xml:space="preserve"> 10. For further information, please refer to:</t>
  </si>
  <si>
    <t xml:space="preserve"> ttps://drive.google.com/file/d/1Hk98lTI3c7OfiiupxKhsnVQ5lG-MJQyL/view?usp=drivesdk</t>
  </si>
  <si>
    <t xml:space="preserve"> Please submit your quotation on or before June 17, 2020 at Procurement Office, Isabela State University Matusalem, Roxas, Isabela.</t>
  </si>
  <si>
    <t xml:space="preserve"> Annex “A”</t>
  </si>
  <si>
    <t xml:space="preserve"> https://drive.google.com/file/d/1NqpeKt5RU-Rt4thG993dsKfe3boMpL7m/view?usp=drivesdk</t>
  </si>
  <si>
    <t xml:space="preserve"> Inquire at the Office of the Provincial Agriculturist for details.</t>
  </si>
  <si>
    <t xml:space="preserve"> Criteria: Pass or Fail </t>
  </si>
  <si>
    <t xml:space="preserve"> Please submit your Quotation together with:</t>
  </si>
  <si>
    <t xml:space="preserve"> For further information, please contact</t>
  </si>
  <si>
    <t xml:space="preserve"> Section III. Bid Data Sheet</t>
  </si>
  <si>
    <t xml:space="preserve"> FOR INQUIRIES PLEASE CONTACT MS. ANABEL ALIS BASAS BAC SECRETTARIAT @09500981535</t>
  </si>
  <si>
    <t xml:space="preserve"> FOR INQUIRIES PLEASE CONTACT MS. ANABEL ALIS BASAS BAC SCERATARIAT@09500981535</t>
  </si>
  <si>
    <t xml:space="preserve"> https://drive.google.com/file/d/1EO_yu8YXQXYAXaPcECLPZIxmoiyKxY-5/view?usp=drivesdk</t>
  </si>
  <si>
    <t xml:space="preserve"> If unable to download associated components (RFQs, etc.), send email request to the above email address.</t>
  </si>
  <si>
    <t xml:space="preserve"> For inquiries please contact Ms. Anabel Alis Basas BAC Secretariat @09500981535</t>
  </si>
  <si>
    <t xml:space="preserve"> FOR INQUIRIES PLEASE CONTACT MS. ANABEL ALIS BASAS SCHOOL BAC SECRETARIAT@09500981535</t>
  </si>
  <si>
    <t xml:space="preserve"> for inquiries please contact Ms. Anabel Alis Basas School BAC Secretariat @09500981535</t>
  </si>
  <si>
    <t xml:space="preserve"> FOR INQUIRIES PLEASE CONTACT MS. ANABEL ALIS BASAS, BAC SECRETARIAT@09500981535</t>
  </si>
  <si>
    <t xml:space="preserve"> Procurement of Anti-flu vaccines for the Oplan Bantay-Kalusugan : Immunization Program 2020</t>
  </si>
  <si>
    <t xml:space="preserve"> Procurement of Office Equipment for Barangay Use :</t>
  </si>
  <si>
    <t xml:space="preserve"> Procurement of Supplies and Materials for Barangay Traffic Enforcers: </t>
  </si>
  <si>
    <t xml:space="preserve"> Procurement of Barangay ID Printer colored for Barangay Magallanes use :</t>
  </si>
  <si>
    <t xml:space="preserve"> Procurement of Janitorial Supplies for Barangay Magallanes use :</t>
  </si>
  <si>
    <t xml:space="preserve"> Procurement of Cooling fans for Barangay Magallanes use :</t>
  </si>
  <si>
    <t xml:space="preserve"> Procurement of Waste Segregation program para sa Barangay Magallanes :</t>
  </si>
  <si>
    <t xml:space="preserve"> Procurement of Medical Equipment for Barangay Clinic use :</t>
  </si>
  <si>
    <t xml:space="preserve"> Procurement of Motor vehicle for Barangay Peace and Order :</t>
  </si>
  <si>
    <t xml:space="preserve"> DENNIS S. BESA </t>
  </si>
  <si>
    <t xml:space="preserve"> https://drive.google.com/file/d/16S9zQkvbzpL6YDQSLmIHaZFS8GnQoIuK/view?usp=drivesdk</t>
  </si>
  <si>
    <t xml:space="preserve"> Checklist for Alternative Mode of Procurement</t>
  </si>
  <si>
    <t xml:space="preserve"> https://drive.google.com/file/d/1MEsNk8flqs8vDqk8GA2Eoft7mQjOh6sO/view?usp=drivesdk</t>
  </si>
  <si>
    <t xml:space="preserve"> https://drive.google.com/file/d/1SRD3l1GyzPDvn4dyC9vUxXWj_PIlueXw/view?usp=drivesdk</t>
  </si>
  <si>
    <t xml:space="preserve"> 1.	Quotation must be your single best offer.</t>
  </si>
  <si>
    <t xml:space="preserve"> https://drive.google.com/file/d/17C2ExZPmbGYQx3PmnKK-GMP3v3vDFR0F/view?usp=drivesd</t>
  </si>
  <si>
    <t xml:space="preserve"> https://drive.google.com/file/d/1FKr_18uFlfP0x51-_LmnnF4ETNrzKEIb/view?usp=drivesdk</t>
  </si>
  <si>
    <t xml:space="preserve"> https://drive.google.com/file/d/1xOAzBaSofinmytC1ZBrVN-42ks4Ut6ws/view?usp=drivesdk </t>
  </si>
  <si>
    <t xml:space="preserve"> https://drive.google.com/file/d/151M_JuA6ROuJUobYPJp3qqG_ypt1N54i/view?usp=drivesdk</t>
  </si>
  <si>
    <t xml:space="preserve"> Please see attached quotation sheet and Terms of Reference</t>
  </si>
  <si>
    <t xml:space="preserve"> Buyer: N.B. Camama</t>
  </si>
  <si>
    <t xml:space="preserve"> Buyer: J.S. Medina</t>
  </si>
  <si>
    <t xml:space="preserve"> Buyer: A.S. Dizon</t>
  </si>
  <si>
    <t xml:space="preserve"> Please see attach RFQ</t>
  </si>
  <si>
    <t xml:space="preserve"> Bidders are required to read the instructions:</t>
  </si>
  <si>
    <t xml:space="preserve"> OTHER INFORMATION</t>
  </si>
  <si>
    <t xml:space="preserve"> https://drive.google.com/file/d/1q9NOJh5yuy00xjRdnxbPMShONmv55_cJ/view?usp=drivesdk</t>
  </si>
  <si>
    <t xml:space="preserve"> 3 units split type aircondition with installation</t>
  </si>
  <si>
    <t xml:space="preserve"> For inquiries you may contact the BAC Secretariat at (082) 227-4073/2463 local 1142 or 0923-7216533/0917-3156929/0999-8878095(call only) local 1142</t>
  </si>
  <si>
    <t xml:space="preserve"> BIDDING DATE: JULY 6, 2020 @ 9:00 A.M.</t>
  </si>
  <si>
    <t xml:space="preserve"> https://drive.google.com/file/d/1ib9RS0GvD0NYftGCxgO1KQWDibnRWBY7/view?usp=drivesdk</t>
  </si>
  <si>
    <t xml:space="preserve"> https://drive.google.com/file/d/1Pq5d7vAi_EzFsPKs3HS4YhqajZAScNWm/view?usp=drivesdk</t>
  </si>
  <si>
    <t xml:space="preserve"> https://drive.google.com/file/d/1eJqRrgxhlI1if8_K-b_FwtO5ZuQK0mpS/view?usp=drivesdk</t>
  </si>
  <si>
    <t xml:space="preserve"> https://drive.google.com/file/d/1iHh2YA4ElsX1RNutOeTO76No7063l9UW/view?usp=drivesdk</t>
  </si>
  <si>
    <t xml:space="preserve"> Bidder's must download the attached document in the associated component section.</t>
  </si>
  <si>
    <t xml:space="preserve"> Please see the BAC for further information and clarification</t>
  </si>
  <si>
    <t xml:space="preserve"> Bidding document 500.00 Non-refundable</t>
  </si>
  <si>
    <t xml:space="preserve"> LOI - 06/19/2020</t>
  </si>
  <si>
    <t xml:space="preserve"> letter of intent - 06/19/2020</t>
  </si>
  <si>
    <t xml:space="preserve"> For more information contact Mr. Jaime C. Ogrimen  CP#09095464597. Items must be delivered to Lawaan National School of Craftsmanship and Home Industries (LNSCH), Lawaan, Eastern Samar</t>
  </si>
  <si>
    <t xml:space="preserve"> Deadline for submission of bids will be on JUNE 23, 2020, 10:00 A.M. at the Supply Office, Town Hall, Poblacion, Kibungan, Benguet.</t>
  </si>
  <si>
    <t xml:space="preserve"> Bid Opening Date: June 22, 2020</t>
  </si>
  <si>
    <t xml:space="preserve"> Note: Please bring any prof that your are safe in COVID-19 Pandamic.</t>
  </si>
  <si>
    <t xml:space="preserve"> https://drive.google.com/file/d/18VIttbt_AMpdOiU9AD8Bny4ewuYbeLVD/view?usp=drivesdk</t>
  </si>
  <si>
    <t xml:space="preserve"> There will be no pre-bid conference</t>
  </si>
  <si>
    <t xml:space="preserve"> Please be informed that the Bid Documents can’t be downloaded from the website. Prospective bidders are requested to acquire the documents directly and personally from the BAC Secretariat upon payment at the Municipal Treasury Office a corresponding fee of Php500.00 for the said project.</t>
  </si>
  <si>
    <t xml:space="preserve"> Pls. See Attached RFQ Files...</t>
  </si>
  <si>
    <t xml:space="preserve"> Suppliers/Bidders must download the attached supporting documents at the associated component section.</t>
  </si>
  <si>
    <t xml:space="preserve"> Please download BID DOCUMENT in the Associated Component</t>
  </si>
  <si>
    <t xml:space="preserve"> Please bring any prof that you are safe of COVID-19 Pandamic.</t>
  </si>
  <si>
    <t xml:space="preserve"> Bidding Activities	Schedule / Venue</t>
  </si>
  <si>
    <t xml:space="preserve"> A. Bill of materials: VAT included: (delivered @ Site)																		</t>
  </si>
  <si>
    <t xml:space="preserve"> Brand names of all items must be indicated in the bid</t>
  </si>
  <si>
    <t xml:space="preserve"> This Posting is done on behalf of unregistered procuring entity (Brgy. Napnapan)</t>
  </si>
  <si>
    <t xml:space="preserve"> Suppliers/bidders must download the attached documents in the associated component section.</t>
  </si>
  <si>
    <t xml:space="preserve"> The Municipal Government of Liliw, Laguna reserves the right to reject any or all bids, to declare the bidding a failure or waive any or all information and to award such bids to the supplier whose bid is considered most advantageous to the government.</t>
  </si>
  <si>
    <t xml:space="preserve"> Please see attached associated components,</t>
  </si>
  <si>
    <t xml:space="preserve"> 1.) 13 Units CACAO GRINDER</t>
  </si>
  <si>
    <t xml:space="preserve"> Brand names of all items must be indicated in the bid.</t>
  </si>
  <si>
    <t xml:space="preserve"> Bid documents shall be available for issuance at the PNOC-Procurement Division at the G/F of the PNOC Building from 9:00 AM – 3:00 PM.</t>
  </si>
  <si>
    <t xml:space="preserve"> Please download attached Request For Quotation (RFQ)  for your reference.</t>
  </si>
  <si>
    <t xml:space="preserve"> https://drive.google.com/file/d/13hztPT5VHfT3SGLd7q4KN5p2hpBMyCAN/view?usp=drivesdk</t>
  </si>
  <si>
    <t xml:space="preserve"> The schedule of opening of bid will be on June 29, 2020 at exactly 2 o'clock in the afternoon at the BAC Office c/o Budget Office LGU Dauis, Bohol.</t>
  </si>
  <si>
    <t xml:space="preserve"> https://drive.google.com/file/d/1PkaNyMy5EDTKNbSGscYObHDnuycUOAfg/view?usp=drivesdk</t>
  </si>
  <si>
    <t xml:space="preserve"> Pre-bid conference will be held on June 18, 2020 at Siniloan Water District Office, Bibiana Bldg., E. Castro St., Brgy. Bagumbarangay, Siniloan, Laguna</t>
  </si>
  <si>
    <t xml:space="preserve"> BIDDING DATE:  JULY 6, 2020 @ 9:00 A.M.</t>
  </si>
  <si>
    <t xml:space="preserve"> Interested bidders may obtain further information from Barangay Government of Barangay Tagpopongan through the Bids and Awards Committee Secretariat and inspect the Bidding Documents at the address given below during office hours.</t>
  </si>
  <si>
    <t xml:space="preserve"> BIDDERS MUST DOWNLOAD THE ATTACHED DOCUMENT IN THE ASSOCIATED COMPONENT SECTION</t>
  </si>
  <si>
    <t xml:space="preserve"> Deadline for submission of bids will be on June 23, 2020, 10:00 A.M. at the Supply Office, Town Hall, Poblacion, Kibungan, Benguet.</t>
  </si>
  <si>
    <t xml:space="preserve"> https://www.philgeps.gov.ph/GEPSNONPILOT/Tender/CreateNoticeStep2UI.aspx?RefID=7041741</t>
  </si>
  <si>
    <t xml:space="preserve"> Suppliers/Bidders must download the attached supporting documents at the associated component section</t>
  </si>
  <si>
    <t xml:space="preserve"> Bidding Documents may be purchased by the Interested Bidders on June 17-18, 2020 from 8:00 A.M to 5:00 P.M. and upon payment of non - refundable fee of Five Hundred Pesos (Php 500.00).</t>
  </si>
  <si>
    <t xml:space="preserve"> https://www.philgeps.gov.ph/GEPSNONPILOT/Tender/CreateNoticeStep2UI.aspx?RefID=7041752</t>
  </si>
  <si>
    <t xml:space="preserve"> The BAC is conducting the public bidding for this Contract in accordance with the 2016 Revised IRR of RA 9184.</t>
  </si>
  <si>
    <t xml:space="preserve"> Date of Advertisement:  June 12-19, 2020</t>
  </si>
  <si>
    <t xml:space="preserve"> https://www.philgeps.gov.ph/GEPSNONPILOT/Tender/CreateNoticeStep2UI.aspx?RefID=7041768</t>
  </si>
  <si>
    <t xml:space="preserve"> https://www.philgeps.gov.ph/GEPSNONPILOT/Tender/CreateNoticeStep2UI.aspx?RefID=7041774</t>
  </si>
  <si>
    <t xml:space="preserve"> https://www.philgeps.gov.ph/GEPSNONPILOT/Tender/CreateNoticeStep2UI.aspx?RefID=7041955</t>
  </si>
  <si>
    <t xml:space="preserve"> https://www.philgeps.gov.ph/GEPSNONPILOT/Tender/CreateNoticeStep2UI.aspx?RefID=7041962</t>
  </si>
  <si>
    <t xml:space="preserve"> https://www.philgeps.gov.ph/GEPSNONPILOT/Tender/CreateNoticeStep2UI.aspx?RefID=7041944</t>
  </si>
  <si>
    <t xml:space="preserve"> https://www.philgeps.gov.ph/GEPSNONPILOT/Tender/CreateNoticeStep2UI.aspx?RefID=7041983</t>
  </si>
  <si>
    <t xml:space="preserve"> https://www.philgeps.gov.ph/GEPSNONPILOT/Tender/CreateNoticeStep2UI.aspx?RefID=7041977</t>
  </si>
  <si>
    <t xml:space="preserve"> Fund 164</t>
  </si>
  <si>
    <t xml:space="preserve"> https://drive.google.com/file/d/1RJIdB07Yb0n-SJnluD8UILNFBh5BrS64/view?usp=drivesdk</t>
  </si>
  <si>
    <t xml:space="preserve"> https://www.philgeps.gov.ph/GEPSNONPILOT/Tender/CreateNoticeStep2UI.aspx?RefID=7041994</t>
  </si>
  <si>
    <t xml:space="preserve"> Fund 101</t>
  </si>
  <si>
    <t xml:space="preserve"> https://drive.google.com/file/d/1rtF9SIXSwzP0YsAaGEKkv1--lvEgWll3/view?usp=drivesdk</t>
  </si>
  <si>
    <t xml:space="preserve"> https://www.philgeps.gov.ph/GEPSNONPILOT/Tender/CreateNoticeStep2UI.aspx?RefID=7042018</t>
  </si>
  <si>
    <t xml:space="preserve"> https://www.philgeps.gov.ph/GEPSNONPILOT/Tender/CreateNoticeStep2UI.aspx?RefID=7042004</t>
  </si>
  <si>
    <t xml:space="preserve"> Fund:101</t>
  </si>
  <si>
    <t xml:space="preserve"> https://www.philgeps.gov.ph/GEPSNONPILOT/Tender/CreateNoticeStep2UI.aspx?RefID=7042029</t>
  </si>
  <si>
    <t xml:space="preserve"> https://www.philgeps.gov.ph/GEPSNONPILOT/Tender/CreateNoticeStep2UI.aspx?RefID=7042047</t>
  </si>
  <si>
    <t xml:space="preserve"> https://www.philgeps.gov.ph/GEPSNONPILOT/Tender/CreateNoticeStep2UI.aspx?RefID=7042059</t>
  </si>
  <si>
    <t xml:space="preserve"> https://www.philgeps.gov.ph/GEPSNONPILOT/Tender/CreateNoticeStep2UI.aspx?RefID=7042071</t>
  </si>
  <si>
    <t xml:space="preserve"> Alfredo M. Maduay</t>
  </si>
  <si>
    <t xml:space="preserve"> https://www.philgeps.gov.ph/GEPSNONPILOT/Tender/CreateNoticeStep2UI.aspx?RefID=7042093</t>
  </si>
  <si>
    <t xml:space="preserve"> https://www.philgeps.gov.ph/GEPSNONPILOT/Tender/CreateNoticeStep2UI.aspx?RefID=7042118</t>
  </si>
  <si>
    <t xml:space="preserve"> https://www.philgeps.gov.ph/GEPSNONPILOT/Tender/CreateNoticeStep2UI.aspx?RefID=7042106</t>
  </si>
  <si>
    <t xml:space="preserve"> Please download the attached Invitation to Bid, Bidding Documents, Terms of Reference and Eligibility Checklist in the associated component.</t>
  </si>
  <si>
    <t xml:space="preserve"> For more information kindly contact:</t>
  </si>
  <si>
    <t xml:space="preserve"> https://www.philgeps.gov.ph/GEPSNONPILOT/Tender/CreateNoticeStep2UI.aspx?RefID=7042131</t>
  </si>
  <si>
    <t xml:space="preserve"> https://www.philgeps.gov.ph/GEPSNONPILOT/Tender/CreateNoticeStep2UI.aspx?RefID=7042168</t>
  </si>
  <si>
    <t xml:space="preserve"> For further information please contact the BAC Secratariat</t>
  </si>
  <si>
    <t xml:space="preserve"> https://www.philgeps.gov.ph/GEPSNONPILOT/Tender/CreateNoticeStep2UI.aspx?RefID=7042152</t>
  </si>
  <si>
    <t xml:space="preserve"> https://www.philgeps.gov.ph/GEPSNONPILOT/Tender/CreateNoticeStep2UI.aspx?RefID=7042187</t>
  </si>
  <si>
    <t xml:space="preserve"> https://www.philgeps.gov.ph/GEPSNONPILOT/Tender/CreateNoticeStep2UI.aspx?RefID=7042289</t>
  </si>
  <si>
    <t xml:space="preserve"> https://www.philgeps.gov.ph/GEPSNONPILOT/Tender/CreateNoticeStep2UI.aspx?RefID=7042331</t>
  </si>
  <si>
    <t xml:space="preserve"> Please submit sealed quotation.</t>
  </si>
  <si>
    <t xml:space="preserve"> The office suggested to interested suppliers to come to office for any clarifications on the sizing of the acrylic dividers. Please look for Jose Urville Don Maliper for the assistance.</t>
  </si>
  <si>
    <t xml:space="preserve"> Also  available in DPWH Website</t>
  </si>
  <si>
    <t xml:space="preserve"> ITB</t>
  </si>
  <si>
    <t xml:space="preserve"> Quezon City</t>
  </si>
  <si>
    <t xml:space="preserve"> For further information please see attached bidding document or contact BAC Secretariat</t>
  </si>
  <si>
    <t xml:space="preserve"> https://drive.google.com/file/d/14aMNNxWyiBL7yy41pceB-BhXlNkoDzHy/view?usp=drivesdk</t>
  </si>
  <si>
    <t xml:space="preserve"> For further information please see attached bidding documents or contact BAC Secretariat</t>
  </si>
  <si>
    <t xml:space="preserve"> fax or email your quotation</t>
  </si>
  <si>
    <t xml:space="preserve"> https://drive.google.com/file/d/1A0X7XPnMovaaOtYBxCRIqMeHR8v1GKAX/view?usp=drivesdk</t>
  </si>
  <si>
    <t xml:space="preserve"> 3,000 liters deisel fuel</t>
  </si>
  <si>
    <t xml:space="preserve"> ITB </t>
  </si>
  <si>
    <t xml:space="preserve"> Please refer to the attached RFQ for other details and specifications</t>
  </si>
  <si>
    <t xml:space="preserve"> For further information, Please refer to:</t>
  </si>
  <si>
    <t xml:space="preserve"> Please download Bid documents online thru the associated component under the Bid Notice Abstract</t>
  </si>
  <si>
    <t xml:space="preserve"> Contact Person:</t>
  </si>
  <si>
    <t xml:space="preserve"> All quotations will be collated and checked a day after the 7 days posting. Note that all price quotation shall be ERROR-FREE and TAX INCLUSIVE. Please ensure that submitted quotation contains COMPLETE, CORRECT, AND SPECIFIC DESCRIPTION of items being requested/quoted and ATTACH AVAILABLE SPECIFICATIONS/BROCHURES/PAMPHLET for reference. FAILURE TO COMPLY ABOVEMENTIONED CONDITIONS WILL BE GROUNDS FOR DISQUALIFICATION. Please address your quotation to the BAC chairman, Roberto Estrella. If you cannot submit personally, you may send your quotation through email at bacsecretariat@baliwagwd.com</t>
  </si>
  <si>
    <t xml:space="preserve"> Please refer to the attached RFQ and TOR for other details and specifications</t>
  </si>
  <si>
    <t xml:space="preserve"> Please download complete Bid Documents for your reference.</t>
  </si>
  <si>
    <t xml:space="preserve"> 1.	Advertisement /Posting of Invitation to Bid/Request for Express of Interest-June 12- 22, 2020 - PhilGEPS, GSO</t>
  </si>
  <si>
    <t xml:space="preserve"> POTENTIAL SUPPLIER MUST BE WITHIN THE LOCALITIES OR NEARBY TOWNS ONLY.</t>
  </si>
  <si>
    <t xml:space="preserve"> I	EARTHWORKS		</t>
  </si>
  <si>
    <t xml:space="preserve"> Warranty : 6 months from receipt of materials</t>
  </si>
  <si>
    <t xml:space="preserve"> Interested bidders may obtain further information from Palawan 2nd District Engineering Office (BAC Secretariat) and inspect the Bidding Documents at the address given below during 8:00am to 5:00pm.</t>
  </si>
  <si>
    <t xml:space="preserve"> The BAC is conducting the public bidding for this contract in accordance with RA 9184 and its Implementing Rules and Regulations (IRR).</t>
  </si>
  <si>
    <t xml:space="preserve"> https://drive.google.com/file/d/10u_N8hIxX-lq9AUSPKVsv3Wiaahojg_b/view?usp=drivesdk</t>
  </si>
  <si>
    <t xml:space="preserve"> https://drive.google.com/file/d/1efI4v3IaBO2rCsXGz1pKEYfxwOwGfJcr/view?usp=drivesdk</t>
  </si>
  <si>
    <t xml:space="preserve"> Please see attached and download Request For Quotation # 20-1097-1.</t>
  </si>
  <si>
    <t xml:space="preserve"> Pre-Eligibility Conference : June 19, 2020 @ 9:00AM</t>
  </si>
  <si>
    <t xml:space="preserve"> https://www.philgeps.gov.ph/GEPSNONPILOT/Tender/CreateNoticeStep2UI.aspx?RefID=7043090</t>
  </si>
  <si>
    <t xml:space="preserve"> Pre-Eligibility Conference : June 22, 2020 @ 9:00AM</t>
  </si>
  <si>
    <t xml:space="preserve"> Also available at DPWH website.</t>
  </si>
  <si>
    <t xml:space="preserve"> https://www.philgeps.gov.ph/GEPSNONPILOT/Tender/CreateNoticeStep2UI.aspx?RefID=7043100</t>
  </si>
  <si>
    <t xml:space="preserve"> Special Condition:</t>
  </si>
  <si>
    <t xml:space="preserve"> https://www.philgeps.gov.ph/GEPSNONPILOT/Tender/CreateNoticeStep2UI.aspx?RefID=7043105</t>
  </si>
  <si>
    <t xml:space="preserve"> https://drive.google.com/file/d/1slXCfEJIO1uGVISJwq7JVMxJb2QPRwrr/view?usp=drivesdk</t>
  </si>
  <si>
    <t xml:space="preserve"> https://drive.google.com/file/d/1J5ayj-CJ4QxAxeZycKR5XBr7_TAlyeLW/view?usp=drivesdk</t>
  </si>
  <si>
    <t xml:space="preserve"> To download the bidding document, please visit this link - https://drive.google.com/file/d/10o__TqAyBh90YUFZd4LLTEcYomyYE-Vj/view?usp=drivesdk</t>
  </si>
  <si>
    <t xml:space="preserve"> ADDITIONAL INSTRUCTION TO BIDDERS:</t>
  </si>
  <si>
    <t xml:space="preserve"> Please download attached Request For Quotation (RFQ) for your reference</t>
  </si>
  <si>
    <t xml:space="preserve"> Prospective bidders may seek further information through BAC Office @ 469-9056.</t>
  </si>
  <si>
    <t xml:space="preserve"> Prospective bidder may seek further information through BAC Office @ 469-9056.</t>
  </si>
  <si>
    <t xml:space="preserve"> https://drive.google.com/file/d/1qweY_HTi67b9bNX8y0S33wJqFwwz_ney/view?usp=drivesdk</t>
  </si>
  <si>
    <t xml:space="preserve"> The BAC shall issue bidding documents upon payment of Five Thousand Pesos Only (Php5,000.00) to the disbursing/ collecting officer of the LGU.</t>
  </si>
  <si>
    <t xml:space="preserve"> 1. Issuance of Bidding Documents</t>
  </si>
  <si>
    <t xml:space="preserve"> .   For further information, please refer to:</t>
  </si>
  <si>
    <t xml:space="preserve"> Please contact to Mr. Reno C. Salazar the BAC Secretary with CP # 09459852914 or you may call to Ms. Ma. Teresa L. Minguyez the BAC Chairperson. Thanks and God Bless us all.</t>
  </si>
  <si>
    <t xml:space="preserve"> CONSTRUCTION SUPPLIES</t>
  </si>
  <si>
    <t xml:space="preserve"> Bid Opening shall be on June 26, 2020, 09:30 AM at the Conference Room, Office of the Mayor,  2/f Municipal Hall Building, Municipal Compound, Brgy. Poblacion, Calintaan, Occ. Mindoro.</t>
  </si>
  <si>
    <t xml:space="preserve"> To support COVID-19 related programs and projects</t>
  </si>
  <si>
    <t xml:space="preserve"> https://drive.google.com/file/d/1RLl-6TGTcRePDl8DTIIDDeiuTyOMYziY/view?usp=drivesdk 20CN0152 PLAN</t>
  </si>
  <si>
    <t xml:space="preserve"> Conduct of Community Service</t>
  </si>
  <si>
    <t xml:space="preserve"> https://drive.google.com/file/d/1TUwXkF-iQ-DLD50aXTfMz4Wussvrs3WV/view?usp=drivesdk 20CN0150 PLAN</t>
  </si>
  <si>
    <t xml:space="preserve"> Barangay Government Unit										</t>
  </si>
  <si>
    <t xml:space="preserve"> https://drive.google.com/file/d/1yWjzUO4QIi_2hG618xavU0cCjLxFOJUe/view?usp=drivesdk 20CN0151 PLAN PART 1</t>
  </si>
  <si>
    <t xml:space="preserve"> To support the Government in the Conduct of Check Point at National Highway and other related COVID-19 Activities</t>
  </si>
  <si>
    <t xml:space="preserve"> The Department of Public Works and Highways - Mountain Province First District Engineering Office, through the PRE-DETAILED ENGINEERING (PDE) intends to apply the sum of Php2,331,606.86, inclusive of 5% contingency being the Approved Budget for the Contract (ABC) to payments under the contract for the Geotechnical Investigation for Slope Protection Projects along Various Road Sections in Mountain Province for FY 2020  Bids received in excess of the ABC shall be automatically rejected at the opening of the Financial Proposals.</t>
  </si>
  <si>
    <t xml:space="preserve"> Cost of Bid Docs: Php 10,000.00</t>
  </si>
  <si>
    <t xml:space="preserve"> For use in the Office of the Municipal Accountant.</t>
  </si>
  <si>
    <t xml:space="preserve"> https://drive.google.com/file/d/1pBpBkqo1apwxQUeTkN2XYKcLyRuDvJBU/view?usp=drivesdk</t>
  </si>
  <si>
    <t xml:space="preserve"> BAC ACTIVITY DATES:</t>
  </si>
  <si>
    <t xml:space="preserve"> It may also be downloaded free of charge for the website of the Philippine Ports Authority at www.ppa.com.ph</t>
  </si>
  <si>
    <t xml:space="preserve"> Submission of Bids June 11, 2020 until July 8, 2020 @12noon</t>
  </si>
  <si>
    <t xml:space="preserve"> Venue: Barangay Hall, Capsay, Aroroy, Masbate</t>
  </si>
  <si>
    <t xml:space="preserve"> Submission of Bids June 11, 2020 until June 19, 2020 @ 12noon</t>
  </si>
  <si>
    <t xml:space="preserve"> Bid Opening shall be on June 19, 2020, 09:30 AM at the Conference Room, Office of the Mayor,  2/f Municipal Hall Building, Municipal Compound, Brgy. Poblacion, Calintaan, Occ. Mindoro.</t>
  </si>
  <si>
    <t xml:space="preserve"> Cost of Documents: Php 1,000.00</t>
  </si>
  <si>
    <t xml:space="preserve"> For more Details on the Procurement Please call Dr. Estela B. Tuse- Municipal Health Officer of Bindoy thru- 09177954200</t>
  </si>
  <si>
    <t xml:space="preserve"> Fund Source - 20% EDF Current</t>
  </si>
  <si>
    <t xml:space="preserve"> Submission of Quotation June 11, 2020 until June 19, 2020 @12noon</t>
  </si>
  <si>
    <t xml:space="preserve"> For copies of the bidding documents and technical specifications, kindly click the associated components.</t>
  </si>
  <si>
    <t xml:space="preserve"> CO - MAyor's Office</t>
  </si>
  <si>
    <t xml:space="preserve"> Please indicate if quotation includes installation service and warranty coverage.</t>
  </si>
  <si>
    <t xml:space="preserve"> 1.	Request for Proposal	:	June 11, 2020</t>
  </si>
  <si>
    <t xml:space="preserve"> FOR INQUIRY PROCEED TO BARANGAY HALL OF BACAO TAYSAN BATANGAS</t>
  </si>
  <si>
    <t xml:space="preserve"> Funding Source - 20% EDF Current</t>
  </si>
  <si>
    <t xml:space="preserve"> 1.	Request for Expression of Interest	:	June 11, 2020 to June 18, 2020</t>
  </si>
  <si>
    <t xml:space="preserve"> TECHNICAL SPECIFICATION</t>
  </si>
  <si>
    <t xml:space="preserve"> For more information, please see or contact the BAC Members of LGU-Magallanes, Sorsogon.</t>
  </si>
  <si>
    <t xml:space="preserve"> CO-Mayor's Office</t>
  </si>
  <si>
    <t xml:space="preserve"> Bidders must download the attached document in the associated component section.</t>
  </si>
  <si>
    <t xml:space="preserve"> Please contact the BAC Secretariat at the Municipal Budget Office, 2nd floor Municipal Building, LGU-Talisay Camarines Norte</t>
  </si>
  <si>
    <t xml:space="preserve"> BIDDING DOCUMENTS AVAILABLE AT ENGINEERING'S OFFICE, SAN AGUSTIN, SAN SIMON, PAMPANGA</t>
  </si>
  <si>
    <t xml:space="preserve"> FOR INQUIRY PLEAS PROCEED TO BRGY. MAPULO</t>
  </si>
  <si>
    <t xml:space="preserve"> Venue: Training &amp; Production Center, Lanang, Aroroy, Masbate</t>
  </si>
  <si>
    <t xml:space="preserve"> schedule of BAC Activities </t>
  </si>
  <si>
    <t xml:space="preserve"> for more information just contact barangay secretariat of Barangay 8 Poblacion Tigbauan, Iloilo</t>
  </si>
  <si>
    <t xml:space="preserve"> For more details you may call/visit BAC Secretariat @ LGU POLANCO, Polanco, Z. N.</t>
  </si>
  <si>
    <t xml:space="preserve"> 1. ISSUANCE OF BID DOCUMENTS - JUNE 10, 2020- JUNE 25, 2020</t>
  </si>
  <si>
    <t xml:space="preserve"> Bid Documents can also be downloaded at www.fo4b.dswd.gov.ph (Invitation to Bid)</t>
  </si>
  <si>
    <t xml:space="preserve"> The Department of Public Works and Highways - Mountain Province First District Engineering Office, through the PRE-DETAILED ENGINEERING (PDE) intends to apply the sum of Php3,682,655.14, inclusive of 5% contingency being the Approved Budget for the Contract (ABC) to payments under the contract for the Geotechnical Investigation for Slope Protection Projects along Various Road Sections in Mountain Province for FY 2020  Bids received in excess of the ABC shall be automatically rejected at the opening of the Financial Proposals.</t>
  </si>
  <si>
    <t xml:space="preserve"> for more information just contact barangay secretariat of Barangay Baguingin , Tigbauan, Iloilo</t>
  </si>
  <si>
    <t xml:space="preserve"> https://drive.google.com/file/d/1LR6_7q1qoe8mfgLpx1CLoa26Hx2xdew_/view?usp=drivesdk</t>
  </si>
  <si>
    <t xml:space="preserve"> BAC ACTIVITIES AND SCHEDULE</t>
  </si>
  <si>
    <t xml:space="preserve"> PLS SEE ATTACHED TOR (PR#S1-BRS20-013)</t>
  </si>
  <si>
    <t xml:space="preserve"> https://drive.google.com/file/d/1lc2mocFNnhy3ak3Sl9SStldVPW0nQp4d/view?usp=drivesdk</t>
  </si>
  <si>
    <t xml:space="preserve"> MOOE 2020</t>
  </si>
  <si>
    <t xml:space="preserve"> • Similar Contracts - Lease of Modular Diesel Generating Sets or Operation and Maintenance (O &amp; M) of Diesel Generating Sets</t>
  </si>
  <si>
    <t xml:space="preserve"> Issuance of bidding documents at BAC Office on June 11 to June 19, 2020 at 10:00 a.m.</t>
  </si>
  <si>
    <t xml:space="preserve"> Opening of BIDs is on June 30, 2020 at the Municipal Session Hall, Municipal Building, Pagsanghan, Samar</t>
  </si>
  <si>
    <t xml:space="preserve"> https://drive.google.com/file/d/1LbjJ49ooBfp0PmAYYGOwxB5SoqqP3hF2/view?usp=drivesdk</t>
  </si>
  <si>
    <t xml:space="preserve"> Annual Budget (LCPC) CY 2020</t>
  </si>
  <si>
    <t xml:space="preserve"> COPY AND PASTE IN THE BROWSER THE LINK BELOW TO VIEW RFQ OR CANVASS; </t>
  </si>
  <si>
    <t xml:space="preserve"> COPY AND PASTE IN BROWSER THE LINK BELOW TO VIEW RFQ OR CANVASS: </t>
  </si>
  <si>
    <t xml:space="preserve"> BIDDERS MUST DOWNLOAD THE ATTACHED DOCUMENTS IN THE ASSOCIATED COMPONENT SECTION</t>
  </si>
  <si>
    <t xml:space="preserve"> https://drive.google.com/file/d/1EdoGFeNBrsPxz8ItZl_FugaQPV7Yb1aL/view?usp=drivesdk</t>
  </si>
  <si>
    <t xml:space="preserve"> • Similar Contracts: Lease of Modular Diesel Generating Sets or Operation and Maintenance (O &amp; M) of Diesel Generating Sets </t>
  </si>
  <si>
    <t xml:space="preserve"> Bidder must have 3 years(minimum experience) in completing sub projects in the local government unit of Barbaza. All equipments to be utilized such as excavator, dump trucks, wheel loader and transit mixers are owned by the contractor.</t>
  </si>
  <si>
    <t xml:space="preserve"> COPY AND PASTE IN BROWSER THE LINK BELOW TO VIEW RFQ OR CANVASS:</t>
  </si>
  <si>
    <t xml:space="preserve"> For any inquiries for the Pre-Bid via Zoom Meeting Conference and availability of Bidding Documents, please contact the BAC Secretariat thru 09127876414.</t>
  </si>
  <si>
    <t xml:space="preserve"> Please contact:</t>
  </si>
  <si>
    <t xml:space="preserve"> https://drive.google.com/file/d/1BrsjpXY8GDHXHGAOZdrwyTR40K5wv_vR/view?usp=drivesdk</t>
  </si>
  <si>
    <t xml:space="preserve"> INQUIRE AT BAC OFFICE, MUNICIPAL HALL, TAMBULIG, ZAMBOANGA DEL SUR</t>
  </si>
  <si>
    <t xml:space="preserve"> TO BE EVALUATED PER LOT</t>
  </si>
  <si>
    <t xml:space="preserve"> The package will include complete accessories, fittings and installation.</t>
  </si>
  <si>
    <t xml:space="preserve"> TO BE EVALUATED PER LOT.</t>
  </si>
  <si>
    <t xml:space="preserve"> https://drive.google.com/file/d/1R6BSJ-S-plq9rXac-Sjg7jXc0yMkUbLI/view?usp=drivesdk</t>
  </si>
  <si>
    <t xml:space="preserve"> https://drive.google.com/file/d/1ZAseh7mEfcEXR1zYbve9zxJvF2MspaM0/view?usp=drivesdk</t>
  </si>
  <si>
    <t xml:space="preserve"> https://drive.google.com/file/d/1dMDtO5W452JrkiEPcPRwLQ16qI_SpWTK/view?usp=drivesdk</t>
  </si>
  <si>
    <t xml:space="preserve"> 20% LDF CY 2020</t>
  </si>
  <si>
    <t xml:space="preserve"> https://drive.google.com/file/d/19WOIURr1s2YQB2aL2GnZtntXEGwbre0S/view?usp=drivesdk</t>
  </si>
  <si>
    <t xml:space="preserve"> https://drive.google.com/file/d/1S6AMxFSt3QsXNHdNXda-dolkWuFZ3IkS/view?usp=drivesdk</t>
  </si>
  <si>
    <t xml:space="preserve"> DOWNLOAD RFQ &amp; MEMO @ THE ASSOCIATED COMPONENTS. BOTH DOCS SHALL BE SUBMITTED</t>
  </si>
  <si>
    <t xml:space="preserve"> https://drive.google.com/file/d/1DxYmysjvVmF2bRdJ-Mff4_KKzTU97TmU/view?usp=drivesdk</t>
  </si>
  <si>
    <t xml:space="preserve"> PLS SEE ATTACHED TOR (PR#S1-BAT20-010)</t>
  </si>
  <si>
    <t xml:space="preserve"> Please see attached files @ Other Information</t>
  </si>
  <si>
    <t xml:space="preserve"> The closing date shall be on the 3rd day after the date published in the Philgeps website</t>
  </si>
  <si>
    <t xml:space="preserve"> 1.  Issuance of Bid Documents	June 10, 2020	</t>
  </si>
  <si>
    <t xml:space="preserve"> by administration</t>
  </si>
  <si>
    <t xml:space="preserve"> https://drive.google.com/file/d/1nb6vK_XpIbFLjZ0sPR_RoHGLfwhqMLdZ/view?usp=drivesdk</t>
  </si>
  <si>
    <t xml:space="preserve"> Department of Public Works and Highways (DPWH)</t>
  </si>
  <si>
    <t xml:space="preserve"> Please see attached file @ Other Information</t>
  </si>
  <si>
    <t xml:space="preserve"> https://drive.google.com/file/d/1natSq5oHrkLRGY3nwxcoA52BFQu_sF4W/view?usp=drivesdk</t>
  </si>
  <si>
    <t xml:space="preserve"> Please see Associated Component attached.</t>
  </si>
  <si>
    <t xml:space="preserve"> Bidding Documents:</t>
  </si>
  <si>
    <t xml:space="preserve"> Bidding Documents:.</t>
  </si>
  <si>
    <t xml:space="preserve"> PERCY M. BORRO</t>
  </si>
  <si>
    <t xml:space="preserve"> PLS SEE ATTACHED TOR (PR#S1-CAT20-020)</t>
  </si>
  <si>
    <t xml:space="preserve"> LGSF-Assistance to the Municipalities</t>
  </si>
  <si>
    <t xml:space="preserve"> 1.) 2 Units 0.75HP AIR CONDITIONER</t>
  </si>
  <si>
    <t xml:space="preserve"> https://drive.google.com/file/d/1I2Sz3lqoO4q3NgExZ24uiwZ1ya-qd9JA/view?usp=drivesdk</t>
  </si>
  <si>
    <t xml:space="preserve"> 1.)	54	bags	Portland Cement</t>
  </si>
  <si>
    <t xml:space="preserve"> ACTIVITIES SCHEDULE:</t>
  </si>
  <si>
    <t xml:space="preserve"> 1.)	2	rolls	No. 60 Layout String (nylon)</t>
  </si>
  <si>
    <t xml:space="preserve"> Note:								</t>
  </si>
  <si>
    <t xml:space="preserve"> https://drive.google.com/file/d/1A-NqeEKFWLBKq_UAla1rxxRYt1fNA7Xg/view?usp=drivesdk</t>
  </si>
  <si>
    <t xml:space="preserve"> 1.)	74	bags	Portland Cement</t>
  </si>
  <si>
    <t xml:space="preserve"> 1.)	4	length	G.I Pipe 4”</t>
  </si>
  <si>
    <t xml:space="preserve"> copy this link to google drive to download bidding documents:</t>
  </si>
  <si>
    <t xml:space="preserve"> &gt; 200 Pcs Toilet Bowl (Ceramic)</t>
  </si>
  <si>
    <t xml:space="preserve"> &gt; 2,500 Pcs RED PEANUT WITH SHELL</t>
  </si>
  <si>
    <t xml:space="preserve"> copy this link to google drive to download bidding documetns:</t>
  </si>
  <si>
    <t xml:space="preserve"> Bidding Documents Alternative download link: https://drive.google.com/file/d/1Gam4Wf_ul6EYbrAY6_YAKr-23MnHAIBZ/view?usp=drivesdk</t>
  </si>
  <si>
    <t xml:space="preserve"> Bidding Documents Alternative download link: https://drive.google.com/file/d/1XsWua7wbTgiQ-sgsFQQhdLei4NtbT_sR/view?usp=drivesdk</t>
  </si>
  <si>
    <t xml:space="preserve"> Opening of Quotation shall be on June 18, 2020, 2:00 P.M. at the PPA Conference Room, PMO-Zamboanga del Norte, Port Area, Dapitan City.</t>
  </si>
  <si>
    <t xml:space="preserve"> https://drive.google.com/file/d/1R29bMEfT6IxSI5X66-X0ITwmFk-F9c11/view?usp=drivesdk</t>
  </si>
  <si>
    <t xml:space="preserve"> Bidding Documents Alternative download link: https://drive.google.com/file/d/1R1KsVkeRtLq43z7LHa3_xPdoGp6NAnL6/view?usp=drivesdk</t>
  </si>
  <si>
    <t xml:space="preserve"> Bidding Documents Alternative download link: https://drive.google.com/file/d/1_hyJZrAB5KiulXemQ_YiLwTU8-e21kWl/view?usp=drivesdk</t>
  </si>
  <si>
    <t xml:space="preserve"> https://drive.google.com/file/d/1-F5KnwELbvu9rXLWyfAUBmNS72XRa3H6/view?usp=drivesdk</t>
  </si>
  <si>
    <t xml:space="preserve"> https://drive.google.com/file/d/1YdvmE-V1ktAOilC8WI5n6JpK8fkdzW2C/view?usp=drivesdk</t>
  </si>
  <si>
    <t xml:space="preserve"> https://drive.google.com/file/d/1_9LA1RNjnIzxMu4dYVYyjyDsiykoEP-D/view?usp=drivesdk</t>
  </si>
  <si>
    <t xml:space="preserve"> https://drive.google.com/file/d/1iKMzCISt_k5OuQga6Url8TB5N8oxibHa/view?usp=drivesdk</t>
  </si>
  <si>
    <t xml:space="preserve"> https://drive.google.com/file/d/1jYQqoSxvzQSmNCf6TUzC_hBEb_AjQVee/view?usp=drivesdk</t>
  </si>
  <si>
    <t xml:space="preserve"> https://drive.google.com/file/d/1aI_Qbp3u0EZ4sYHemoe6lO3QAkrg6GHM/view?usp=drivesdk</t>
  </si>
  <si>
    <t xml:space="preserve"> https://drive.google.com/file/d/1dkDZzdF7-eHDn7NpenptZR__i0u5GBoz/view?usp=drivesdk</t>
  </si>
  <si>
    <t xml:space="preserve"> ITEM NO.	ITEM &amp; DESCRIPTION	UNIT	QTY</t>
  </si>
  <si>
    <t xml:space="preserve"> Interested bidders must download the bidding documents found in the associated components.</t>
  </si>
  <si>
    <t xml:space="preserve"> The Schedule of BAC activities is as follows:</t>
  </si>
  <si>
    <t xml:space="preserve"> • Complete Project Title: Supply, Delivery, Installation and Test of Split Type Metal Enclosure (STME) and Other Accessories Needed for the Reinforcement of the Buckle Anomaly and Damaged Flange Connection of Ilijan Natural Gas Pipeline</t>
  </si>
  <si>
    <t xml:space="preserve"> • Similar Contracts: Dry docking and Ship repair</t>
  </si>
  <si>
    <t xml:space="preserve"> BIDDERS MUST DOWNLOAD THE ATTACHED DOCUMENT IN THE ASSOCIATED COMPONENT</t>
  </si>
  <si>
    <t xml:space="preserve"> The Municipal Government of Rizal, Occidental Mindoro reserves the right to reject any and all bids, declare a failure of bidding, or not award the contract at any time prior to contract award in accordance with Section 41 of RA 9184 and its IRR, without thereby incurring any liability to the affected bidder or bidders.</t>
  </si>
  <si>
    <t xml:space="preserve"> The significant times and deadlines of procurement activities are shown below:</t>
  </si>
  <si>
    <t xml:space="preserve"> LABOR COST NOT INCLUDED</t>
  </si>
  <si>
    <t xml:space="preserve"> https://drive.google.com/file/d/1ZHHAbRTyg10HwBBhYLTCc7sTSK5VhI9O/view?usp=drivesdk</t>
  </si>
  <si>
    <t xml:space="preserve"> Improvement and Istallation of 2 pcs Culvert Purok 3, Nupolan, Josefina, ZDS</t>
  </si>
  <si>
    <t xml:space="preserve"> PHILIPPINE BIDDING DOCUMENT</t>
  </si>
  <si>
    <t xml:space="preserve"> https://drive.google.com/file/d/1J3S1xwpjJ2DndBVmJyKlKpzzdIg1UBX7/view?usp=drivesdk</t>
  </si>
  <si>
    <t xml:space="preserve"> Please send your Quotations thru sealed bid addressed to the Regional Bids and Awards Committee Area IV-B c/o RBAC Secretariat, Landbank San Pablo Branch (2nd floor), Colago Avenue Brgy. I-A San Pablo City, Laguna</t>
  </si>
  <si>
    <t xml:space="preserve"> 1.Suppliers/Bidders must download the attached Bid Document in the associated component section.</t>
  </si>
  <si>
    <t xml:space="preserve"> 049-501-6490-101</t>
  </si>
  <si>
    <t xml:space="preserve"> 0495016490101</t>
  </si>
  <si>
    <t xml:space="preserve"> Please inquire at the Office of the BAC Secretariat for more details...</t>
  </si>
  <si>
    <t xml:space="preserve"> Bidding Document Fee:     PhP5,000.00</t>
  </si>
  <si>
    <t xml:space="preserve"> You can also download the items and specifications at our official website: www.cebucity.gov.ph under For</t>
  </si>
  <si>
    <t xml:space="preserve"> Bid Document Fee:     PhP5,000.00</t>
  </si>
  <si>
    <t xml:space="preserve"> BID TENDER								</t>
  </si>
  <si>
    <t xml:space="preserve"> Bidder must download the attached document in Associated Components.</t>
  </si>
  <si>
    <t xml:space="preserve"> 1. 	Water Purification Tablets 17.5 g	20,000	Tablets	40,000.00	Within 30 Calendar Days from receipt of the NTP	DOH – WV CHD</t>
  </si>
  <si>
    <t xml:space="preserve"> Prospective Bidders should have experience in undertaking a similar project within the last 2 years with an amount of atleast 50% of the proposed project for bidding. The Eligibility Check/ Screening as well as the Preliminary Examination of Bids shall use non-discretionary "pass/fail" criteria. Post-qualification of the Lowest calculated bid shall be conducted.							</t>
  </si>
  <si>
    <t xml:space="preserve"> 1.	TB Kits in Children (HRZE)	1100	Kits	1,474,396.00	Within 30 Calendar Days from receipt of the NTP	DOH – WV CHD</t>
  </si>
  <si>
    <t xml:space="preserve"> 1              Earthworks:</t>
  </si>
  <si>
    <t xml:space="preserve"> 1	2	set	BIOSYSTEMS GLUCOSE REAGENT - A15	</t>
  </si>
  <si>
    <t xml:space="preserve"> Please see the attached in he associated components</t>
  </si>
  <si>
    <t xml:space="preserve"> I          Demolition                                                          1.00           L.S.</t>
  </si>
  <si>
    <t xml:space="preserve"> 1.	Cryovials, 2ml Graduated self standing tube with cap, sterile	50	Packs	55,000.00	Within 30 Calendar Days from receipt of the NTP	DOH – WV CHD</t>
  </si>
  <si>
    <t xml:space="preserve"> Item Lists:</t>
  </si>
  <si>
    <t xml:space="preserve"> You may see the Brgy. Chairman of Brgy. Palanay, Municipality of Caibiran</t>
  </si>
  <si>
    <t xml:space="preserve"> Province of Iloilo</t>
  </si>
  <si>
    <t xml:space="preserve"> For more information,please see or contact the BAC Members of Brgy. Salvacion, Magallanes, Sorsogon.</t>
  </si>
  <si>
    <t xml:space="preserve"> Deadline of submission is on or before June  19, 2020 @ 1:00 pm</t>
  </si>
  <si>
    <t xml:space="preserve"> https://drive.google.com/file/d/1Op9CkAkOnfzy89C13fTlKPO9NV_ZeUft/view?usp=drivesdk</t>
  </si>
  <si>
    <t xml:space="preserve"> https://drive.google.com/file/d/1quhMtRnAqfR3qqTMHVuidO5x2LUU_8bd/view?usp=drivesdk</t>
  </si>
  <si>
    <t xml:space="preserve"> https://drive.google.com/file/d/1FGR-ud2VF4o7uVSs2fh31Jm51bn38rhW/view?usp=drivesdk</t>
  </si>
  <si>
    <t xml:space="preserve"> Please see personally the head of the BAC secretariat for the availability of the bid document upon payment of the non-refundable amount of P 5,000.00 to the Cashier.</t>
  </si>
  <si>
    <t xml:space="preserve"> https://drive.google.com/file/d/1SvMGBAETTzEufjkL-ej7OpNVQkqfvl2C/view?usp=drivesdk</t>
  </si>
  <si>
    <t xml:space="preserve"> A complete set of Bidding Documents will be provided by PNBAC Secretariat to the interested Bidders upon payment of a non-refundable fee in the amount of TEN THOUSAND PESOS (P10,000.00) only at CRB, CPMU, Philippine Navy Finance Center (PNFC), Naval Station Jose Francisco, Fort Bonifacio, Taguig City.</t>
  </si>
  <si>
    <t xml:space="preserve"> https://drive.google.com/file/d/1GVO6X0sUJ3-83eE1dBiKZbHo6y6DFEKL/view?usp=drivesdk</t>
  </si>
  <si>
    <t xml:space="preserve"> For more information, please see or contact the BAC Members of Behia, magallanes, Sorsogon.</t>
  </si>
  <si>
    <t xml:space="preserve"> Bidding Date: July 1, 2020, 2:00PM at the Municipal Conference Hall, Galimuyod, Ilocos Sur</t>
  </si>
  <si>
    <t xml:space="preserve"> ALL INTERESTED BIDDERS ARE REQUIRED TO SUBMIT THEIR COMPLETE ELIGIBILITY REQUIREMENTS TO THE BAC FOR EVALUATION DURING THE PRE-BID CONFERENCE ON JUNE 17, 2020 9:00A.M. AT THE BAC SECRETARIAT OFFICE, 2ND FLOOR, CITY HALL OF DASMARIÑAS, CAVITE. BIDDERS WHO SHALL FAIL TO ATTEND THE PRE-BID SHALL NOT BE ALLOWED TO JOIN THE BIDDING FOR THE AFORESAID PROJECT. </t>
  </si>
  <si>
    <t xml:space="preserve"> A complete set of Bidding Documents will be provided by PNBAC Secretariat to the interested Bidders upon payment of a non-refundable fee in the amount of FIVE THOUSAND PESOS (P5,000.00) only at CRB, CPMU, Philippine Navy Finance Center (PNFC), Naval Station Jose Francisco, Fort Bonifacio, Taguig City.</t>
  </si>
  <si>
    <t xml:space="preserve"> June 11, 2020 - Issuance of Bidding Documents</t>
  </si>
  <si>
    <t xml:space="preserve"> 1	Mobile Corn Mill	1	unit</t>
  </si>
  <si>
    <t xml:space="preserve"> Bidding Docs Php500.00</t>
  </si>
  <si>
    <t xml:space="preserve"> 1	Mobile Rice Mill	1	unit</t>
  </si>
  <si>
    <t xml:space="preserve"> Bidders shall pay the BAC a non-refundable fee of Php5,000.00 for the Bidding Documents, upon securing hard copies of the Documents. Bidders that download the Documents from the DPWH/PhilGEPS website shall pay the fee upon submission of their bids. </t>
  </si>
  <si>
    <t xml:space="preserve"> Downloads available at the Associated Components/Bid Supplements pages.</t>
  </si>
  <si>
    <t xml:space="preserve"> Bid opening will be June 26, 2020, 10:30AM at DENR-PENRO Conference Hall, Bulanao, Tabuk City, Kalinga.</t>
  </si>
  <si>
    <t xml:space="preserve"> https://drive.google.com/file/d/14zbyzg3OaNugYfTyZh4gfUC2N0C1w-ls/view?usp=drivesdk</t>
  </si>
  <si>
    <t xml:space="preserve"> 1 1 lot Training Package (for 150 pax x 12 session)</t>
  </si>
  <si>
    <t xml:space="preserve"> 1 2 units Motorcycle (preferably YAMAHA AEROX 155)</t>
  </si>
  <si>
    <t xml:space="preserve"> 1. Issuance of Bid Documents June 10 to June 22, 2020 5:00 PM</t>
  </si>
  <si>
    <t xml:space="preserve"> 1          17         pcs        Whole bamboo, 4"- 6" dia. 40ft long</t>
  </si>
  <si>
    <t xml:space="preserve"> Bid opening will be on June 26, 2020, 10:30AM at DENR-PENRO Conference Hall, Bulanao, Tabuk City, Kalinga.</t>
  </si>
  <si>
    <t xml:space="preserve"> 1. Letter of Intent of Contractor must be signed original with PhilGEPS Certificate of Registration (Platinum Category) and Valid PCAB License and Registration.</t>
  </si>
  <si>
    <t xml:space="preserve"> This procurement is done by lot.</t>
  </si>
  <si>
    <t xml:space="preserve"> PLS SEE ATTACHED TOR (PR#S1-CDP20-009)</t>
  </si>
  <si>
    <t xml:space="preserve"> ELIGIBILITY CHECK REQUIREMENTS FOR THE PROCUREMENT OF INFRASTRUCTURE PROJECT</t>
  </si>
  <si>
    <t xml:space="preserve"> A complete set of Bidding Documents will be provided by PNBAC Secretariat to the interested Bidders upon payment of a non-refundable fee in the amount of  TEN THOUSAND PESOS (P10,000.00) only at CRB, CPMU, Philippine Navy Finance Center (PNFC), Naval Station Jose Francisco, Fort Bonifacio, Taguig City.</t>
  </si>
  <si>
    <t xml:space="preserve"> Opening of bids June 29, 2020 @ 2:00 PM at Dap-ay di Tubo Poblacion Tubo abra.</t>
  </si>
  <si>
    <t xml:space="preserve"> BID DOCS: https://drive.google.com/file/d/1sXVE5o4Zi-e_qKfkFgbbdJJU0q3j_A2Y/view?usp=drivesdk</t>
  </si>
  <si>
    <t xml:space="preserve"> Opening of bids June 29, 2020 @2:00 PM at Dap-ay di Tubo Poblacion Tubo Abra</t>
  </si>
  <si>
    <t xml:space="preserve"> PLS SEE ATTACHED TOR (PR#S1-MMG20-008)</t>
  </si>
  <si>
    <t xml:space="preserve"> COPY AND PASTE IN THE BROWSER THE LINK BELOW TO VIEW THE BIDDING DOCUMENTS: </t>
  </si>
  <si>
    <t xml:space="preserve"> Opening of bids June 29, 2020 @ 4:00 PM at Dap-ay di Tubo Poblacion, Tubo Abra.</t>
  </si>
  <si>
    <t xml:space="preserve"> 1. Date of First Publication: JUNE 10, 2020</t>
  </si>
  <si>
    <t xml:space="preserve"> 1.	Disinfectants (surfaces)	220	Bottles	319,000.00	Within 30 Calendar Days from receipt of the NTP	DOH – WV CHD</t>
  </si>
  <si>
    <t xml:space="preserve"> Please contact et.malong@philrice.gov.ph or emilymalong95@gmail.com</t>
  </si>
  <si>
    <t xml:space="preserve"> 1.	N95 Mask (20’s/Box)	180	Boxes	547,200.00	Within 30 Calendar Days from receipt of the NTP	DOH – WV CHD</t>
  </si>
  <si>
    <t xml:space="preserve"> https://drive.google.com/file/d/1fjI6SwKQAp5cnWbFQuD83AgleZJujMnS/view?usp=drivesdk</t>
  </si>
  <si>
    <t xml:space="preserve"> https://drive.google.com/file/d/18EYaZx4AkRMBmFKmaDGIQVRdnkX7uwBb/view?usp=drivesdk</t>
  </si>
  <si>
    <t xml:space="preserve"> https://drive.google.com/file/d/1seyLDLyFdWepxQJh0_nhdyQV9XPuaDnH/view?usp=drivesdk</t>
  </si>
  <si>
    <t xml:space="preserve"> PLS SEE ATTACHED TOR (PR#S1-BRS20-020)</t>
  </si>
  <si>
    <t xml:space="preserve"> https://drive.google.com/file/d/1yhLAza5HzFkH3346cyKJqGsY-pWdVOeF/view?usp=drivesdk</t>
  </si>
  <si>
    <t xml:space="preserve"> The Schedule of BAC activities are as follows:						</t>
  </si>
  <si>
    <t xml:space="preserve"> https://drive.google.com/file/d/1RVwUva7R4YzKwafK4FBrWzYR3xi9_j7A/view?usp=drivesdk</t>
  </si>
  <si>
    <t xml:space="preserve"> https://drive.google.com/file/d/1K3CqprhmqlPKmqcIIrrcpj3_HtGNyfPt/view?usp=drivesdk</t>
  </si>
  <si>
    <t xml:space="preserve"> Bidding will be conducted through open competitive bidding procedures using a non-discretionary “pass/fail” criterion as specified in the 2016 Revised Implementing Rules and Regulations (IRR) of Republic Act (RA) 9184, otherwise known as the “Government Procurement Reform Act”. Bidding is restricted to Filipino citizens/sole proprietorships, partnerships, or organizations with at least sixty percent (60%) interest or outstanding capital stock belonging to citizens of the Philippines, and to citizens or organizations of a country, the laws or regulations of which grant similar rights or privileges to Filipino citizens, pursuant to RA 5183.</t>
  </si>
  <si>
    <t xml:space="preserve"> https://drive.google.com/file/d/1MkJfAxZeCnFsKJn5A75b5pr7-UhTXJ9S/view?usp=drivesdk</t>
  </si>
  <si>
    <t xml:space="preserve"> Please contact the Procurement Unit for your terms and conditions.</t>
  </si>
  <si>
    <t xml:space="preserve"> Purpose: To upgrade the present ICT System Infrastructure of the College for  Web Applications, Relational Databases, Storage and Cloud Applications</t>
  </si>
  <si>
    <t xml:space="preserve"> PLS SEE ATTACHED TOR (PR#S1-CAT20-019)</t>
  </si>
  <si>
    <t xml:space="preserve"> https://drive.google.com/file/d/14IOK5E1NAtOk5fsbeBXBQXI6KM-YdADA/view?usp=drivesdk</t>
  </si>
  <si>
    <t xml:space="preserve"> Purpose: To upgrade, expand the College Network Infrastructure (Local Area Networks, Wifi Connectivity) to Gigabit Network.</t>
  </si>
  <si>
    <t xml:space="preserve"> PLS SEE ATTACHED TOR (PR#S1-MRN20-005)</t>
  </si>
  <si>
    <t xml:space="preserve"> ELIGIBILITY AND TECHNICAL COMPONENTS:</t>
  </si>
  <si>
    <t xml:space="preserve"> Deadline for submission of bids will be on JUNE 30, 2020, 10:00 A.M. at the Supply Office, Town Hall, Poblacion, Kibungan, Benguet.</t>
  </si>
  <si>
    <t xml:space="preserve"> Please check link below to download Plan.</t>
  </si>
  <si>
    <t xml:space="preserve"> https://tinyurl.com/ycknztec</t>
  </si>
  <si>
    <t xml:space="preserve"> Please check links below to download Plan.</t>
  </si>
  <si>
    <t xml:space="preserve"> https://tinyurl.com/yct3f77n</t>
  </si>
  <si>
    <t xml:space="preserve"> The Local Government Unit of Natividad through the 20% MDF CY 2020 intends to apply the sum of Five Hundred Thousand Pesos &amp; 00/100 Centavos Only (Php 500,000.00) being the Approved Budget for the Contract (ABC) to payments under the contract for the LAND DEVELOPMENT OF THE SOCIALIZED HOUSING PROJECT at Barangay San Maximo, Natividad, Pangasinan. Bids received in excess of the ABC shall be automatically rejected at bid opening.</t>
  </si>
  <si>
    <t xml:space="preserve"> Please Contact Jaren D. Ducay, BAC Secretariat at 09956498330</t>
  </si>
  <si>
    <t xml:space="preserve"> https://tinyurl.com/yct2njqh</t>
  </si>
  <si>
    <t xml:space="preserve"> 1.	The Municipal Government of Sabangan, through the 2018 Special Education Fund intends to apply the sum of One million four hundred ninety five thousand seven hundred two pesos and thirty one centavos (Php. 1,495,702.31) being the Approved Budget for the Contract (ABC) to payments under the contract for Construction of Capinitan Elementary School, Phase 1. Bids received in excess of the ABC shall be automatically rejected at bid opening.</t>
  </si>
  <si>
    <t xml:space="preserve"> Bidders must download the attached document in the associated component.</t>
  </si>
  <si>
    <t xml:space="preserve"> https://drive.google.com/file/d/1bBvAO53k7aa11RkleDDoaeBPRNG3nbjd/view?usp=drivesdk</t>
  </si>
  <si>
    <t xml:space="preserve"> 1.	The Municipal Government of Sabangan, through the 20% 2017, 2018, 2019 &amp; 2020 MDF, 2020 MDRRMF &amp; 2018 SEF intends to apply the sum of Two million nine hundred twenty-one thousand eight hundred seven pesos and sixty-five centavos (Php. 2,921,807.65) being the Approved Budget for the Contract (ABC) to payments under the contract for CLUSTER D31-2020 (1. Improvement of Cabogbogan pathway, Bun-ayan, 2. Improvement of Namatec drainage, 3. Improvement of Tambingan pathway near school, 4. Improvement of drainage, Data, 5. Construction of Balaan pathway, Busa, 6. Rehabilitation/Improvement of Namatec clinic, 7. Rehabilitation of Busa drainage, 8. Repair of Gayang health center, 9. Improvement of Camatagan-Gayang pathway, 10. Installation of railings Calalasan/Guinawang, Poblacion, 11. Improvement of Sabangan NHS ground, 12. Fencing of Tiging retaining wall, 13. Improvement of Losad footbridge, 14. Improvement of Dagdag footbridge pathway, Supang, 15. Completion of the Municipal youth center/residential care facility, 16. Rehab. of Malaslasa, Napua domestic water system, 17. Rehab. of Paliwak, Tambingan hanging bridge, 18. Covering of drainage, Poblacion, 19. Improvement of railings, Calalasan/Guinawang, Poblacion, 20. Improvement of Losad drainage, 21. Repair of Calalasan-Lalagim chico river canal, Poblacion, 22. Improvement of Calalasan Tribal Hall, 23. Rehab. of Lingabo, Gayang hanging bridge, 24. Improvement and construction of main Madepdepas pathway from up to down with railings on some parts, 25. Rehabilitation of Pitang pathway, Bao-angan, 26. Repair of drainage at Sitio Legleg, Bun-ayan, 27. Construction of pathway, Namatec, 28. Construction of pathway, Bao-angan, 29. Construction of Dontog drainage canal, Pingad, 30. Rehabilitation of BHS drainage canal, Data, 31. Rehabilitation of Pingad water works). Bids received in excess of the ABC shall be automatically rejected at bid opening.</t>
  </si>
  <si>
    <t xml:space="preserve"> Bidding will be conducted through open competitive bidding procedures using a nondiscretionary “pass/fail” criterion as specified in the 2016 Revised Implementing Rules and Regulations (IRR) of Republic Act (RA) 9184, otherwise known as the “Government Procurement Reform Act”. Bidding is restricted to Filipino citizens/sole proprietorships, partnerships, or organizations with at least sixty percent (60%) interest or outstanding capital stock belonging to citizens of the Philippines, and to citizens or organizations of a country, the laws or regulations of which grant similar rights or privileges to Filipino citizens, pursuant to RA 5183. </t>
  </si>
  <si>
    <t xml:space="preserve"> https://tinyurl.com/ybzv3x6r</t>
  </si>
  <si>
    <t xml:space="preserve"> 1.	The Municipal Government of Sabangan, through the 2020 MDF &amp; 2020 MDRRMF intends to apply the sum of Four million one hundred eighty-seven thousand eight hundred thirty-five pesos and fifteen centavos (Php. 4,187,835.15) being the Approved Budget for the Contract (ABC) to payments under the contract for CLUSTER B9-2020 (1. Water impounding system for fire hydrant, Busa, 2. Improvement of Capinitan Barangay Hall, 3. Construction of Bao-angan waiting shed, 4. Construction of Namatec Multi-Purpose Water Impounding System, Namatec, 5. Construction of Camatagan Multi-Purpose Water Impounding system, 6. Improvement of Tiguing Tourism Facilities-Camatagan, 7. Rehab. of Pingad-Camatagan pathway, 8. Construction of Bun-ayan multi-purpose water impounding system, 9. Construction of Ambango multi-purpose water impounding system, Data). Bids received in excess of the ABC shall be automatically rejected at bid opening.</t>
  </si>
  <si>
    <t xml:space="preserve"> 1.	The Municipal Government of Sabangan, through the 20% 2020 MDF &amp; 20% 2018 MDF intends to apply the sum of Two million one hundred fifteen thousand four hundred nineteen pesos and twenty-one centavos (Php. 2,115,419.21) being the Approved Budget for the Contract (ABC) to payments under the contract for CLUSTER C10-2020 (1. Improvement of Gayang school ground, 2. Continuation of Bisibisan water works, 3. Improvement of Supang elementary school drainage canal and improvement of Supang ES drainage canal, Supang, 4. Rehab. of Lagan flood control key wall, 5. Roofing of Lengey gym stage, 6. Repair of Bisibisan hanging bridge, Supang, 7. Completion of Legleg, Bun-ayan multi-purpose building, 8. Riprapping of washout barangay road at sitio Labbay, Bun-ayan, 9. Completion of Camatagan-Gayang waiting shed, 10. Completion of Supang senior citizens building). Bids received in excess of the ABC shall be automatically rejected at bid opening.</t>
  </si>
  <si>
    <t xml:space="preserve"> -All interested PCAB Licensed Contractors are advised to inquire at the Municipal Engineering Office for verification of plans, specifications, items of work and other matters pertaining to this procurement.</t>
  </si>
  <si>
    <t xml:space="preserve"> NO CRIMINAL RECORDS</t>
  </si>
  <si>
    <t xml:space="preserve"> MR. MOHAMADSUAIB  B. ESMAEL, BAC-B, Chairperson</t>
  </si>
  <si>
    <t xml:space="preserve"> https://drive.google.com/file/d/1s-dkgcEbx5vQWaD9RJPBPC-QiN2GAcFB/view?usp=drivesdk</t>
  </si>
  <si>
    <t xml:space="preserve"> Please inquire at the Office of the BAC Secretariat for more details.</t>
  </si>
  <si>
    <t xml:space="preserve"> All bidders must download the attached document in the associated component section.</t>
  </si>
  <si>
    <t xml:space="preserve"> The Municipality of San Jose reserves the right to accept or reject any bid, to annual biding process and to reject all bids at any time prior to the contract award, without hereby any liability to the affected bidder or bidders.</t>
  </si>
  <si>
    <t xml:space="preserve"> 20CE0209: Construction of Multi-Purpose Building, Brgy. Abar 1st, City of San Jose, Nueva Ecija; Invitation to Bid including Plans and other Supporting Docs</t>
  </si>
  <si>
    <t xml:space="preserve"> ITB, Bidding Documents and RFQ can be download in the Associated Components.</t>
  </si>
  <si>
    <t xml:space="preserve"> Source of Funds: CY-2020</t>
  </si>
  <si>
    <t xml:space="preserve"> https://drive.google.com/file/d/1DRRK_RQ99FSwXwZkG7v1vFak0S8G9-cL/view?usp=drivesdk</t>
  </si>
  <si>
    <t xml:space="preserve"> 1.) LETTER OF INTENT ADDRESS TO THE REGIONAL DIRECTOR, ALLAN L. POQUITA, Ph.D. AND ATTENTION TO THE BAC CHAIRPERSON, ATTY. KIM LAURIS M. LABASAN</t>
  </si>
  <si>
    <t xml:space="preserve"> CONTACT 09300410683</t>
  </si>
  <si>
    <t xml:space="preserve"> Pre-Bid Conference: June 17, 2020 @ 2:00 PM</t>
  </si>
  <si>
    <t xml:space="preserve"> https://drive.google.com/file/d/1WJT-6qPbAkn5JIs72S5Csorxnfy9LAUI/view?usp=drivesdk</t>
  </si>
  <si>
    <t xml:space="preserve"> https://drive.google.com/file/d/16JMlHxV2smZBGFTm65hJ_49lBdfxoQy7/view?usp=drivesdk</t>
  </si>
  <si>
    <t xml:space="preserve"> https://drive.google.com/file/d/1PHqgZ3FumEkCA_K3fjjrtNUR_Fcche1I/view?usp=drivesdk</t>
  </si>
  <si>
    <t xml:space="preserve"> https://drive.google.com/file/d/1iWq224rkR4SjxB0X2jjAExjz3CukkqwL/view?usp=drivesdk</t>
  </si>
  <si>
    <t xml:space="preserve"> https://drive.google.com/file/d/1SOnrWVKA26lr-RlvgFVVEZDEnnNcSx9o/view?usp=drivesdk</t>
  </si>
  <si>
    <t xml:space="preserve"> https://drive.google.com/file/d/1Rc2R5AxRKd5AbWQor_YWuy0NsH5XsfwG/view?usp=drivesdk</t>
  </si>
  <si>
    <t xml:space="preserve"> Please check similar information posted in the website of the procuring entity</t>
  </si>
  <si>
    <t xml:space="preserve"> Desktop Computer</t>
  </si>
  <si>
    <t xml:space="preserve"> Oxygen Tanks 2000 lbs	80	cylinder</t>
  </si>
  <si>
    <t xml:space="preserve"> ITB 2020-06-032 (GOODS)</t>
  </si>
  <si>
    <t xml:space="preserve"> PISTON STD	2	set</t>
  </si>
  <si>
    <t xml:space="preserve"> https://drive.google.com/file/d/1d-VUOP3uzvucMY6-Lsi62u2rHwSwuq2v/view?usp=drivesdk</t>
  </si>
  <si>
    <t xml:space="preserve"> Rescue Ropes for basic rope rescue skills is for the National Fire Training Institute (NFTI) a Constitutive Unit (CU) of the PPSC located in Camp Vicente Lim Canlubang Laguna.</t>
  </si>
  <si>
    <t xml:space="preserve"> https://drive.google.com/file/d/1xdHCgdjL-Tgp1FjS-kLFzGa_0xspkdZW/view?usp=drivesdk</t>
  </si>
  <si>
    <t xml:space="preserve"> FOR MORE INFORMATION PLEASE CONTACT ARLAINE DE VERA, BAC SECRETARIAT AT (075)-955-5862 OR EMAIL AT arlainemdevera@yahoo.com</t>
  </si>
  <si>
    <t xml:space="preserve"> https://drive.google.com/file/d/1vibp7emFBTd_F98h7OInThtcJgQ5ETVH/view?usp=drivesdk</t>
  </si>
  <si>
    <t xml:space="preserve"> Prospective Bidders should have experience in undertaking a similar project within the last 2 years with an amount of atleast 50% of the proposed project for bidding. The Eligibility Check/ Screening as well as the Preliminary Examination of Bids shall use non-discretionary "pass/fail" criteria. Post-qualification of the Lowest calculated bid shall be conducted.												</t>
  </si>
  <si>
    <t xml:space="preserve"> The BAC is conducting the public bidding for this Contract in accordance with Republic Act NO. 9184 and its implementing Rules and Regulations (IRR).</t>
  </si>
  <si>
    <t xml:space="preserve"> https://drive.google.com/file/d/177jImNvXjEfHSculFALszGJ7NwZDfL9t/view?usp=drivesdk</t>
  </si>
  <si>
    <t xml:space="preserve"> 1	Lanzones	4,000	pcs</t>
  </si>
  <si>
    <t xml:space="preserve"> Contact Person</t>
  </si>
  <si>
    <t xml:space="preserve"> Please see personally the head of the BAC secretariat for the availability of the bid document upon payment of the non-refundable amount of P 500.00 to the Treasurer.</t>
  </si>
  <si>
    <t xml:space="preserve"> https://drive.google.com/file/d/1AWH3Uhry6j9DQwxu96emcJIaRHGVcvyR/view?usp=drivesdk</t>
  </si>
  <si>
    <t xml:space="preserve"> Bid Documents will be available only to prospective bidders upon payment of a non-refundable amount of Five Hundred Pesos (PhP. 500.00) to the Office of the Barangay Treasurer Cashier.</t>
  </si>
  <si>
    <t xml:space="preserve"> 1. Please download ITB and bidding documents in the associated component</t>
  </si>
  <si>
    <t xml:space="preserve"> The complete schedule of activities is listed, as follows:</t>
  </si>
  <si>
    <t xml:space="preserve"> ITEM	QUANTITY 	UNIT	DESCRIPTION</t>
  </si>
  <si>
    <t xml:space="preserve"> FOR MORE INFO AND CLARIFICATION, PLEASE SEE BAC SECRETARIAT OF BRGY. BUNTAY COUNCIL AT BRGY. BUNTAY HALL, BRGY. BUNTAY, DULAG LEYTE FROM MONDAY TO FRIDAY (8:00 A.M. TO 5:00 P.M.)</t>
  </si>
  <si>
    <t xml:space="preserve"> Please Contact:</t>
  </si>
  <si>
    <t xml:space="preserve"> Please see attached files</t>
  </si>
  <si>
    <t xml:space="preserve"> ATTACHED POW</t>
  </si>
  <si>
    <t xml:space="preserve"> 1.Please download ITB and bidding documents in the associated component</t>
  </si>
  <si>
    <t xml:space="preserve"> Fund: External</t>
  </si>
  <si>
    <t xml:space="preserve"> contact BAC Secretariat for requirements</t>
  </si>
  <si>
    <t xml:space="preserve"> PLS. SEE ATTACHED PDF DOCUMENTS.</t>
  </si>
  <si>
    <t xml:space="preserve"> 1. Pre-bid Conference - June 16, 2020 @ 10:00AM at ASSCAT Conference Room</t>
  </si>
  <si>
    <t xml:space="preserve"> BAC Secretariat</t>
  </si>
  <si>
    <t xml:space="preserve"> 1	Complete Fertilizer	1,000	sacks</t>
  </si>
  <si>
    <t xml:space="preserve"> The lot(s) and reference is/are: Package 1</t>
  </si>
  <si>
    <t xml:space="preserve"> 1	unit	Solar Marine Brush Bottom Inflatable Rubber Boat 2-6 person 0.9mm PVC</t>
  </si>
  <si>
    <t xml:space="preserve"> Issuance of Bid Documents Starts: June 9, 2020</t>
  </si>
  <si>
    <t xml:space="preserve"> Allowed to attend during the Pre-bid:</t>
  </si>
  <si>
    <t xml:space="preserve"> The unit of measurement to be used is person.</t>
  </si>
  <si>
    <t xml:space="preserve"> https://drive.google.com/file/d/1McCM1t7c9npFpGFiIJm3ga8Du6bowvC3/view?usp=drivesdk</t>
  </si>
  <si>
    <t xml:space="preserve"> 4	units	Outdoor Hiking Rechargeable LED Worklight</t>
  </si>
  <si>
    <t xml:space="preserve"> OPENING OF BID WILL BE ON JULY 29, 2020 AT EXACTLY 10:00 A.M. LATE BID WILL NOT BE ACCEPTED</t>
  </si>
  <si>
    <t xml:space="preserve"> PR No. TF-LDRRMF S. 2019 20-016</t>
  </si>
  <si>
    <t xml:space="preserve"> Bid Docs Fee P/5,000.00</t>
  </si>
  <si>
    <t xml:space="preserve"> Bid Docs Fee P/1,000.00</t>
  </si>
  <si>
    <t xml:space="preserve"> A copy of your legal requirements (CPR, Mayor's/Business Permit, Platinum Philgeps Certificate, Business Tax/ITR, Sec, Tax Clearance and Omnibus Sworn Statement ) is also required to be submitted along with your quotation / proposal.</t>
  </si>
  <si>
    <t xml:space="preserve"> https://drive.google.com/file/d/1dQebZNQJXB98B3W1ASAWeXdSASDU8n2g/view?usp=drivesdk</t>
  </si>
  <si>
    <t xml:space="preserve"> PLEASE SEE FILE ON ASSOCIATED COMPONENT</t>
  </si>
  <si>
    <t xml:space="preserve"> For more details, please contact the Municipal Engineer Jopson D. Baones with his Mobile No. 09399029802.</t>
  </si>
  <si>
    <t xml:space="preserve"> Bidders shall pay the BAC a non-refundable fee of Php10,000.00 for the Bidding Documents, upon securing hard copies of the Documents. Bidders that download the Documents from the DPWH/PhilGEPS website shall pay the fee upon submission of their bids. </t>
  </si>
  <si>
    <t xml:space="preserve"> For more information, please notify Ms Rinafe Cajegas - Brgy Secretary of Lower Bag-ong Tudela, Josefina, Zamboanga del Sur thru 11 digit no. 09367364378.</t>
  </si>
  <si>
    <t xml:space="preserve"> Pleace click the Associated Components for the Checklist of Requirements. Thank you.</t>
  </si>
  <si>
    <t xml:space="preserve"> Bidding Documents</t>
  </si>
  <si>
    <t xml:space="preserve"> All interested bidders/suppliers must submit their request for quotation form (filled up) at the BAC Office 3rd floor Municipal Hall, Abatan, Buguias, Benguet starting June 16, 2020 from 2:00 PM- 5:00 PM.</t>
  </si>
  <si>
    <t xml:space="preserve"> https://drive.google.com/file/d/1xUfEQ6tOrc7Gg9_VAsGA8B8n0ueM48hO/view?usp=drivesdk</t>
  </si>
  <si>
    <t xml:space="preserve"> https://drive.google.com/file/d/1CmL8c3Q8kz_M62RUnsEmBG6yn-9_CZxo/view?usp=drivesdk</t>
  </si>
  <si>
    <t xml:space="preserve"> https://drive.google.com/file/d/1SgPposmKsPeRCCCnziEkOdmpVM77nUnt/view?usp=drivesdk</t>
  </si>
  <si>
    <t xml:space="preserve"> The Municipal Government of Kabayan, through its Bids and Awards Committee (BAC), invites registered suppliers/dealers/manufacturers/distributors/proprietors to submit their express of interest to supply for the supplies of the the above project.</t>
  </si>
  <si>
    <t xml:space="preserve"> https://drive.google.com/file/d/13hpph7h6NpmJRxkccu16dPcnB_Sp_goD/view?usp=drivesdk</t>
  </si>
  <si>
    <t xml:space="preserve"> Please see attached Notice of Negotiated Procurement for more details.</t>
  </si>
  <si>
    <t xml:space="preserve"> https://drive.google.com/file/d/1aMy22VyW9l76Qh244LBZrWa2LRgxTKvd/view?usp=drivesdk</t>
  </si>
  <si>
    <t xml:space="preserve"> https://drive.google.com/file/d/1IEXqIK6SkGwxbQHyzqNqncOTJAhmuGhH/view?usp=drivesdk</t>
  </si>
  <si>
    <t xml:space="preserve"> https://drive.google.com/file/d/1TYfBVuQ0-zcqt8Pgctifc2N4aWSJp6na/view?usp=drivesdk</t>
  </si>
  <si>
    <t xml:space="preserve"> https://drive.google.com/file/d/1IqynqVKDofCOaPIBUFg1MiPP3JXvS51h/view?usp=drivesdk</t>
  </si>
  <si>
    <t xml:space="preserve"> https://drive.google.com/file/d/1BbuZ1dY32IOl50aq0DO247OSqlhtCLIF/view?usp=drivesdk</t>
  </si>
  <si>
    <t xml:space="preserve"> https://drive.google.com/file/d/12Yi9PrWt1-S80m5Yc2hlxFzJigOPugil/view?usp=drivesdk</t>
  </si>
  <si>
    <t xml:space="preserve"> https://drive.google.com/file/d/1dmT-3P--7Grp-hCyNjr_KuJs67b8ouw5/view?usp=drivesdk</t>
  </si>
  <si>
    <t xml:space="preserve"> 1.	The Ilocos Sur Polytechnic State College, through the Corporate Budget for the contract approved by the Governing Board (GAA 2020) intends to apply the sum of Fifteen Million Pesos and 0/100 (Php 15,000,000.00) being the Approved Budget for the Contract (ABC) to payments under the contract for Repair and Renovation of Administration Building / 2020-03-INFR. Bids received in excess of the ABC shall be automatically rejected at bid opening.</t>
  </si>
  <si>
    <t xml:space="preserve"> Please be informed that the bid documents cannot be downloaded from the website. It is non – electronic. </t>
  </si>
  <si>
    <t xml:space="preserve"> INVITATION TO BID FOR PMMA MESS FOODSTUFFS </t>
  </si>
  <si>
    <t xml:space="preserve"> 1.	The Ilocos Sur Polytechnic State College, through the Corporate Budget for the contract approved by the Governing Board (GAA 2020) intends to apply the sum of Nine Million Nine Hundred Ninety-Nine Thousand Nine Hundred Ninety-Eight Pesos and 64/100 (Php 9,999,998.64) being the Approved Budget for the Contract (ABC) to payments under the contract for Continuation of the Repair and Renovation of Research Office / FTC (Phase II) / 2020-04-INFR. Bids received in excess of the ABC shall be automatically rejected at bid opening.</t>
  </si>
  <si>
    <t xml:space="preserve"> 1.	The Ilocos Sur Polytechnic State College, through the Corporate Budget for the contract approved by the Governing Board (GAA 2020) intends to apply the sum of Fourteen Million Nine Hundred Ninety-Nine Thousand Nine Hundred Ninety-Six Pesos and 21/100 (Php 14,999.996.21) being the Approved Budget for the Contract (ABC) to payments under the contract for Repair and Renovation of Administration Building / 2020-01-INFR. Bids received in excess of the ABC shall be automatically rejected at bid opening.</t>
  </si>
  <si>
    <t xml:space="preserve"> 1.	The Ilocos Sur Polytechnic State College, through the Corporate Budget for the contract approved by the Governing Board (GAA 2020) intends to apply the sum of Twenty-One Million Nine Hundred Ninety-Nine Thousand Nine Hundred Ninety-Six Pesos and 92/100 (Php 21,999,996.92) or by Lots as presented below being the Approved Budget for the Contract (ABC) to payments under the contract for Upgrading of Power System / 2020-02-INFR. Bids received in excess of the ABC shall be automatically rejected at bid opening.</t>
  </si>
  <si>
    <t xml:space="preserve"> BAC 2020-I01 PLANS PROJECT 1 PAGES 1 TO 50</t>
  </si>
  <si>
    <t xml:space="preserve"> INVITATION TO BID FOR THE ACQUISITION OF 55 UNITS LAPTOPS FOR CY 2020</t>
  </si>
  <si>
    <t xml:space="preserve"> BAC Schedule of Activities;</t>
  </si>
  <si>
    <t xml:space="preserve"> LGSF-SALINTUBIG</t>
  </si>
  <si>
    <t xml:space="preserve"> A complete set of Bidding Documents may be acquired by interested bidders on JUNE 8, 2020 to JUNE 29, 2020 from 8:00AM to 5:00PM at the Office of the Bids and Awards Committee, 3rd Floor, Provincial Capitol, Bontoc, Mountain Province upon payment of the applicable fee for the Bidding Documents, pursuant to the latest Guidelines issued by the GPPB, in the amount of Twenty Five Thousand Pesos Only (Php25,000.00) at the Cashier’s Office, Provincial Capitol, Bontoc, Mountain Province.</t>
  </si>
  <si>
    <t xml:space="preserve"> Diesel/Fuel		39,337.47	liters</t>
  </si>
  <si>
    <t xml:space="preserve"> please see file on associated component</t>
  </si>
  <si>
    <t xml:space="preserve"> VICKY R. DURANA, MPA</t>
  </si>
  <si>
    <t xml:space="preserve"> PROJECT LOCATION: MMTS OFFICE-KUMINTANG ST., MINTAL, TUGBOK DIST., DAVAO CITY</t>
  </si>
  <si>
    <t xml:space="preserve"> 1.   A complete set of Bidding Documents may be purchased by interested Bidders from the address below starting on June 08, 2020 and upon payment of a nonrefundable fee for the Bidding Documents in the amount of Five Hundred Pesos (P500.00) at the Municipal Treasury Office, Amdalao, Guinaang, Pasil, Kalinga.   					</t>
  </si>
  <si>
    <t xml:space="preserve"> Please similar information posted in the website of the procuring entity</t>
  </si>
  <si>
    <t xml:space="preserve"> 6. The National Irrigation Administration (NIA), Regional Irrigation Office No.7, will hold a Pre-Bid Conference on June 16, 2020, 2:00 PM at NIA Regional Office 7 Conference Room, Dao District, Tagbilaran City, which shall be open to prospective bidders.</t>
  </si>
  <si>
    <t xml:space="preserve"> Suppliers/Bidders must download attached documents in the associated components</t>
  </si>
  <si>
    <t xml:space="preserve"> Issuance of Bid Documents : 8:00AM - 5:00PM June 8, 2020 to 8:00AM - 10:00AM, July 1, 2020</t>
  </si>
  <si>
    <t xml:space="preserve"> COPY AND PASTE IN THE BROWSER THE LINK BELOW TO VIEW BIDDING DOCUMENTS: </t>
  </si>
  <si>
    <t xml:space="preserve"> ITB20-06-025</t>
  </si>
  <si>
    <t xml:space="preserve"> Also available at the DPWH Website</t>
  </si>
  <si>
    <t xml:space="preserve"> INQUIRE AT BAC OFFICE</t>
  </si>
  <si>
    <t xml:space="preserve"> INQUIRE AT BAC OFFICE,  MUNICIPAL HALL, TAMBULIG, ZAMBOANGA DEL SUR</t>
  </si>
  <si>
    <t xml:space="preserve"> Bidders must download the attached documents in the associated component section.</t>
  </si>
  <si>
    <t xml:space="preserve"> Please copy the link below and print for a copy of Bidding Document</t>
  </si>
  <si>
    <t xml:space="preserve"> See Attached ITB and BID Docs</t>
  </si>
  <si>
    <t xml:space="preserve"> https://drive.google.com/file/d/1ly1QOiTBUkLiSFtnpMt5vikObDPQZlRa/view?usp=drivesdk</t>
  </si>
  <si>
    <t xml:space="preserve"> All inquiries shall be directed to Dr. Rolando O. Borrinaga, Chairman, Bids and Awards Committee, UP Manila – School of Health Sciences, Palo, Leyte.</t>
  </si>
  <si>
    <t xml:space="preserve"> BID DOCS IS AVAILABLE AT TREASURES OFFICE AT PhP500.00 ONLY. AND IS AVAILABLE BEFORE THE BIDDING TIME. BIDDING DATE IS SEEN AT THE INFORMATION GIVEN</t>
  </si>
  <si>
    <t xml:space="preserve"> PLEASE CHECK SIMILAR INFORMATION POSTED IN THE PROCURING ENTITY'S WEBSITE</t>
  </si>
  <si>
    <t xml:space="preserve"> NA</t>
  </si>
  <si>
    <t xml:space="preserve"> Please see similar information posted at the website of the procuring entity</t>
  </si>
  <si>
    <t xml:space="preserve"> A complete set of Bidding Documents may be acquired by interested Bidders or his duly authorized representative from the BAC Secretariat for the period June 8, 2020 to June 17, 2020 upon payment of a nonrefundable fee for the Bidding Documents, pursuant to the latest Guidelines issued by the GPPB, in the amount stated above to the Barangay Treasurer. The method of payment shall be in CASH. Bidding documents shall be received personally by the prospective Bidder or his duly authorized representative.</t>
  </si>
  <si>
    <t xml:space="preserve"> PLEASE CHECK SIMILAR INFORMATION POSTED AT THE PROCURING ENTITY'S WEBSITE</t>
  </si>
  <si>
    <t xml:space="preserve"> Please check similar information posted at the website of the procuring entity</t>
  </si>
  <si>
    <t xml:space="preserve"> (i)   Allow full inspection by the Fund of all bid documentation and related records;  </t>
  </si>
  <si>
    <t xml:space="preserve"> Contact Person: Atty. JESSICA S. SAPALO</t>
  </si>
  <si>
    <t xml:space="preserve"> Inquire at the Office of Quezon Medical Center for details.</t>
  </si>
  <si>
    <t xml:space="preserve"> PROCUREMENT ACTIVITIES	DATE	TIME (BFAR8 Ground floor Biometric Clock)	VENUE</t>
  </si>
  <si>
    <t xml:space="preserve"> https://drive.google.com/file/d/1C1JbT2K_ZFfTyJAqzHe_AxZXYP6puhPq/view?usp=drivesdk</t>
  </si>
  <si>
    <t xml:space="preserve"> https://drive.google.com/file/d/1J4FomXtqMFpF3vmbdR0RB691HGAwGG-m/view?usp=drivesdk</t>
  </si>
  <si>
    <t xml:space="preserve"> https://drive.google.com/file/d/1DVZ_Hogoe_5t8VePEWyKCsIbEx3liPnS/view?usp=drivesdk</t>
  </si>
  <si>
    <t xml:space="preserve"> ITB20-06-024</t>
  </si>
  <si>
    <t xml:space="preserve"> Bidders must download attached main document in the associated component section.</t>
  </si>
  <si>
    <t xml:space="preserve"> The Works consists of Concreting of 262.00m long x 2.50m wide x 0.15m thick PCCP FTMR.</t>
  </si>
  <si>
    <t xml:space="preserve"> INVITATION TO APPLY FOR ELIGIBILITY AND TO BID</t>
  </si>
  <si>
    <t xml:space="preserve"> opening of bids June 29, 2020 @ 9:00 AM at Dap-ay di Tubo Poblacion, Tubo Abra.</t>
  </si>
  <si>
    <t xml:space="preserve"> The Works consists of Concreting of 337.00m long x 2.50m wide x 0.15m thick PCCP FTMR.</t>
  </si>
  <si>
    <t xml:space="preserve"> Bid Opening</t>
  </si>
  <si>
    <t xml:space="preserve"> The complete schedule of BAC activities is listed as follows:</t>
  </si>
  <si>
    <t xml:space="preserve"> The Works consists of Construction of 450.0 ln.m 4”THK CHB (4 layers and 2 layers) canal lining with concrete column and stiffener space at every 5.00m @ layers and 3.0m @4 layers.</t>
  </si>
  <si>
    <t xml:space="preserve"> The Works consists of Concreting of 301.00m long x 3.00m wide x 0.15m thick PCCP FTMR.</t>
  </si>
  <si>
    <t xml:space="preserve"> The Works consists of Construction of 210.00 ln.m. 4” THK CHB (3 layers and 2 layers) canal lining with concrete stiffener and column space at every 5.00m with 1 unit concrete crossing.</t>
  </si>
  <si>
    <t xml:space="preserve"> TERMS OF REFERENCE</t>
  </si>
  <si>
    <t xml:space="preserve"> The Works consists of Provision of 8 rolls 63mmøx100m HDPE Pipe, sdr 17 (800Ln.m) and 3 units Plastic Tank (2Cu.m. capacity) w/ 2x2 m concrete platform w/6 distribution line each tank using (32mmøx100m HDPE pipe, sdr 17).</t>
  </si>
  <si>
    <t xml:space="preserve"> Bid docs php 500.00</t>
  </si>
  <si>
    <t xml:space="preserve"> The Works consists of Concreting of 175.50ln.m. x 3.0m wide x 0.15m thick PCCP FTMR.</t>
  </si>
  <si>
    <t xml:space="preserve"> The Works consists of Construction of 175.5ln.m.(77.0cu.m.) Rubble Masonry Protection Wall bothsides and 6.0ln.m (17.10cu.m.) Rubble Masonry Dam with 6 units Baffle Board Construction of 6.0ln.m Concrete Topping and concreted cut of wall.</t>
  </si>
  <si>
    <t xml:space="preserve"> The Works consists of Construction of 380ln.m. 4” THK CHB 3 layers canal lining with concrete stiffener and column space at every 5.00m with 1 unit concrete crossing.</t>
  </si>
  <si>
    <t xml:space="preserve"> BRGY. BULAJO HALL CAVINTI, LAGUNA</t>
  </si>
  <si>
    <t xml:space="preserve"> FOR 2ND BIDDING</t>
  </si>
  <si>
    <t xml:space="preserve"> PHILIPPINE BIDDING DOCUMENTS</t>
  </si>
  <si>
    <t xml:space="preserve"> For inquiries proceed to BAC - Office LGU, Zarraga for more information</t>
  </si>
  <si>
    <t xml:space="preserve"> - All interested PCAB Licensed Contractors are advised to inquire at the Municipal Engineering Office for verification of plans, specifications, items of work and other matters pertaining to this procurement.</t>
  </si>
  <si>
    <t xml:space="preserve"> For any concern please contact Mrs. Mary Grace Y. Guay the BAC Member</t>
  </si>
  <si>
    <t xml:space="preserve"> 1ST POSTING...</t>
  </si>
  <si>
    <t xml:space="preserve"> docs are also uploaded in dpwh websute</t>
  </si>
  <si>
    <t xml:space="preserve"> docs are also uploaded in dpwh website</t>
  </si>
  <si>
    <t xml:space="preserve"> Pre-Bid will be on June 15, 2020 @ 10:00 A.M. @ Bids &amp; Awards Committee Office</t>
  </si>
  <si>
    <t xml:space="preserve"> LENGTH - 54.00M</t>
  </si>
  <si>
    <t xml:space="preserve"> During submission of Letter of Intent (LOI), kindly bring original copies of PCAB License, Mayor’s Business Permit and Department of Trade and Industry (DTI) Business Name Registration, authorization from the Authorized Managing Officer (AMO) is not allowed.</t>
  </si>
  <si>
    <t xml:space="preserve"> https://drive.google.com/file/d/1bZftxOkpgrzZQXcMlXdg38oM3eGru3b2/view?usp=drivesdk</t>
  </si>
  <si>
    <t xml:space="preserve"> Opening of Bids: June 29, 2020</t>
  </si>
  <si>
    <t xml:space="preserve"> The BAC is conducting the public bidding for this Contracts in accordance with RA 9184 and its Revised Implementing Rules and Regulations. Bids received in excess of the ABC of each lot shall be automatically rejected at bid opening. Awarding of Contract will be per Lot.</t>
  </si>
  <si>
    <t xml:space="preserve"> https://drive.google.com/file/d/1PLxuBx1YHE-1DUm0qpnWoyilqCwJRkSW/view?usp=drivesdk</t>
  </si>
  <si>
    <t xml:space="preserve"> https://drive.google.com/file/d/1vm3qQ9e4vStCh4Gq5lRhic2Qj5kDgoM1/view?usp=drivesdk</t>
  </si>
  <si>
    <t xml:space="preserve"> https://drive.google.com/file/d/17V9aM3xv7esb_1wMjFq3MA8XY7V9ewuA/view?usp=drivesdk</t>
  </si>
  <si>
    <t xml:space="preserve"> https://drive.google.com/file/d/1UKXrKbafgP2Wq23KqRGBnxSI52Z5uSSh/view?usp=drivesdk</t>
  </si>
  <si>
    <t xml:space="preserve"> https://drive.google.com/file/d/1hY2vDR2LS4154DCY7RvZru5gTWrCoBK5/view?usp=drivesdk</t>
  </si>
  <si>
    <t xml:space="preserve"> Bidders shall pay the BAC a non-refundable fee of Php1,000.00 for the Bidding Documents, upon securing hard copies of the Documents. Bidders that download the Documents from the DPWH/PhilGEPS website shall pay the fee upon submission of their bids. </t>
  </si>
  <si>
    <t xml:space="preserve"> https://drive.google.com/file/d/1oDtsXF5LnKTOKjM7e7yycEPvbPMECI_O/view?usp=drivesdk</t>
  </si>
  <si>
    <t xml:space="preserve"> https://drive.google.com/file/d/1B8I7dQGtetDtdeELgoCf3a5am0r1THut/view?usp=drivesdk</t>
  </si>
  <si>
    <t xml:space="preserve"> Concreting of Alley  Road</t>
  </si>
  <si>
    <t xml:space="preserve"> https://drive.google.com/file/d/1gyCECrRrgzBlu4iti6eS374Y1IUwp5Bx/view?usp=drivesdk</t>
  </si>
  <si>
    <t xml:space="preserve"> https://drive.google.com/file/d/1-hNAwTnEyxjQgFd6HOPfUKXQ9wODFoF3/view?usp=drivesdk</t>
  </si>
  <si>
    <t xml:space="preserve"> https://drive.google.com/file/d/1T-qL-cneGB9r50KuVHuCcPmdRSSwUd0J/view?usp=drivesdk</t>
  </si>
  <si>
    <t xml:space="preserve"> https://drive.google.com/file/d/1mOyIfM6g01hfp-ejTPt0g8RzgOaBxnI1/view?usp=drivesdk</t>
  </si>
  <si>
    <t xml:space="preserve"> https://drive.google.com/file/d/1sc7igchuTuKhWoBVT0IUSztifyuv5adb/view?usp=drivesdk</t>
  </si>
  <si>
    <t xml:space="preserve"> https://drive.google.com/file/d/1WntopyQeeN3PwJiDb7w29nzqlrD2AExj/view?usp=drivesdk</t>
  </si>
  <si>
    <t xml:space="preserve"> https://drive.google.com/file/d/1LjZYU4SvLoec5NzalJ8AtfUZnzEjOIYW/view?usp=drivesdk</t>
  </si>
  <si>
    <t xml:space="preserve"> https://drive.google.com/file/d/1O6flKjJoKvSKIinjczPINtfLaZjvhEMv/view?usp=drivesdk</t>
  </si>
  <si>
    <t xml:space="preserve"> LOT AWARD, </t>
  </si>
  <si>
    <t xml:space="preserve"> LOT AWARD</t>
  </si>
  <si>
    <t xml:space="preserve"> DELIVERY POINT: SPUG MOD WAREHOUSE, KUMINTANG ST., MINTAL, TUGBOK DIST., DAVAO CITY</t>
  </si>
  <si>
    <t xml:space="preserve"> ISSUANCE OF BIDDING DOCUMENTS: June 5, 2020- June 23, 2020</t>
  </si>
  <si>
    <t xml:space="preserve"> https://drive.google.com/file/d/1Hqs4cwxoeYCvEOgPEO5M0CngleA59stA/view?usp=drivesdk</t>
  </si>
  <si>
    <t xml:space="preserve"> Publication- June 5-15, 2020</t>
  </si>
  <si>
    <t xml:space="preserve"> Bidding will be conducted through open competitive bidding procedures using a non-discretionary “pass/fail” criterion as specified in the Implementing Rules and Regulations (IRR) of Republic Act (RA) 9184, otherwise known as the “Government Procurement Reform Act”.</t>
  </si>
  <si>
    <t xml:space="preserve"> No responsive bid received.</t>
  </si>
  <si>
    <t xml:space="preserve"> Special Conditions:</t>
  </si>
  <si>
    <t xml:space="preserve"> BID OPENING: JUNE 24,2020  @ 2:OO PM BAC OFFICE, MUNICIPAL HALL, STA.MARCELA, APAYAO.</t>
  </si>
  <si>
    <t xml:space="preserve"> The Schedule of the bidding Activities is as follows</t>
  </si>
  <si>
    <t xml:space="preserve"> A complete set of Bidding Documents may be acquired by interested bidders on JUNE 5, 2020 to JUNE 25, 2020 from 8:00AM to 5:00PM at the Office of the Bids and Awards Committee, 3rd Floor, Provincial Capitol, Bontoc, Mountain Province upon payment of the applicable fee for the Bidding Documents, pursuant to the latest Guidelines issued by the GPPB, in the amount of One Thousand Pesos Only (Php1,000.00) at the Cashier’s Office, Provincial Capitol, Bontoc, Mountain Province.</t>
  </si>
  <si>
    <t xml:space="preserve"> A complete set of Bidding Documents may be acquired by interested bidders on JUNE 5, 2020 to JUNE 29, 2020 from 8:00AM to 5:00PM at the Office of the Bids and Awards Committee, 3rd Floor, Provincial Capitol, Bontoc, Mountain Province upon payment of the applicable fee for the Bidding Documents, pursuant to the latest Guidelines issued by the GPPB, in the amount of Five Thousand Pesos Only (Php5,000.00) at the Cashier’s Office, Provincial Capitol, Bontoc, Mountain Province.</t>
  </si>
  <si>
    <t xml:space="preserve"> https://drive.google.com/file/d/1IMHwY_zEdh682r34f7Wa0jRfnebKtkrq/view?usp=drivesdk</t>
  </si>
  <si>
    <t xml:space="preserve"> Issuance of Bidding Documents:  June 5, 2020 until 1:30 p.m. of June 25, 2020</t>
  </si>
  <si>
    <t xml:space="preserve"> June 5 - 22, 2020</t>
  </si>
  <si>
    <t xml:space="preserve"> BAC Activity Schedule:</t>
  </si>
  <si>
    <t xml:space="preserve"> NONE</t>
  </si>
  <si>
    <t xml:space="preserve"> Availability of Bid Documents:  June 5–24, 2020; 8:00 AM-5:00 PM; Monday through Friday</t>
  </si>
  <si>
    <t xml:space="preserve"> 1.  Submission of Letter of Intent and Application of Eligibility			June 05, 2020	-	June 12, 2020</t>
  </si>
  <si>
    <t xml:space="preserve"> A complete set of Bidding Documents will be provided by PNBAC Secretariat to the interested Bidders upon payment of a non-refundable fee in the amount of TWENTY FIVE THOUSAND PESOS (P25,000.00) only at CRB, CPMU, Philippine Navy Finance Center (PNFC), Naval Station Jose Francisco, Fort Bonifacio, Taguig City.</t>
  </si>
  <si>
    <t xml:space="preserve"> Deadline for submission of bids will be on June 29, 2020, 10:00 A.M. at the Supply Office, Town Hall, Poblacion, Kibungan, Benguet.</t>
  </si>
  <si>
    <t xml:space="preserve"> FOR MITSUBISHI MG330 MOTOR GRADER (N1-51P)</t>
  </si>
  <si>
    <t xml:space="preserve"> https://drive.google.com/file/d/1IQ-q30-l9xWg1ZV23YWDN5pqUnKnRjZx/view?usp=drivesdk</t>
  </si>
  <si>
    <t xml:space="preserve"> https://drive.google.com/file/d/16pF-pV-vOMvDEVBWqjPMw6s9VMq3gvuU/view?usp=sharing</t>
  </si>
  <si>
    <t xml:space="preserve"> https://drive.google.com/file/d/1QvDFzoRIoLSNW_evBLpf0Uo-2Ey8oGk_/view?usp=sharing</t>
  </si>
  <si>
    <t xml:space="preserve"> https://drive.google.com/file/d/1oYf-DdCvVNjcXRdLVwd-arQVEmbVtcgt/view?usp=drivesdk</t>
  </si>
  <si>
    <t xml:space="preserve"> https://drive.google.com/file/d/1JogRaxv3PPjo1-bShiSsmZIEIZwYLxwi/view?usp=drivesdk</t>
  </si>
  <si>
    <t xml:space="preserve"> https://drive.google.com/file/d/12jy0DKSdEdB-v2Kh5aJk64TAJNTG9a76/view?usp=drivesdk</t>
  </si>
  <si>
    <t xml:space="preserve"> https://drive.google.com/file/d/1UhFhffARy4zZ532shPLm0V7kVRsSVHhO/view?usp=drivesdk</t>
  </si>
  <si>
    <t xml:space="preserve"> https://drive.google.com/file/d/1lgDq32L_EwLoYplI3b0L_-1INi1BnJ0g/view?usp=drivesdk</t>
  </si>
  <si>
    <t xml:space="preserve"> https://drive.google.com/file/d/1Z1g129X4mZx2HG9CyJnnYjjyu_hA1oII/view?usp=drivesdk</t>
  </si>
  <si>
    <t xml:space="preserve"> Bid Documents and TOR are also downloadable in the DPWH Website</t>
  </si>
  <si>
    <t xml:space="preserve"> For Shortlisted Bidder only</t>
  </si>
  <si>
    <t xml:space="preserve"> BAC Office, LGU-Leon B. Postigo, Z.N.</t>
  </si>
  <si>
    <t xml:space="preserve"> https://drive.google.com/file/d/1GmSLYxojsTfuWDYd7hu-9jLU9dNg3880/view?usp=drivesdk</t>
  </si>
  <si>
    <t xml:space="preserve"> https://drive.google.com/file/d/12T1BJOYTc0OaZXYg0qPwUkZxg4JlwAT6/view?usp=drivesdk</t>
  </si>
  <si>
    <t xml:space="preserve"> https://drive.google.com/file/d/1fnP6zgGnxyYgrmC-p2uHNMzpVEgQp_XU/view?usp=drivesdk</t>
  </si>
  <si>
    <t xml:space="preserve"> https://drive.google.com/file/d/1SjmqTHNnPxkNh3tY4XZ1za-8eokZ7ckw/view?usp=drivesdk</t>
  </si>
  <si>
    <t xml:space="preserve"> https://drive.google.com/file/d/16srS2I4GbvnRiAhyL4kwm32tFqCdfRql/view?usp=drivesdk</t>
  </si>
  <si>
    <t xml:space="preserve"> https://drive.google.com/file/d/1MlnZfVrGILARHCPPYYy0HT0BrX6tHg3E/view?usp=drivesdk</t>
  </si>
  <si>
    <t xml:space="preserve"> bidding date on June 24, 2020 at Brgy. Hall, Brgy. Balabago, Alimodian Iloilo at 10:00 am</t>
  </si>
  <si>
    <t xml:space="preserve"> https://drive.google.com/file/d/1GkX-2mvcxXeJMrW9zfrHkrMOFoYQSYQa/view?usp=drivesdk</t>
  </si>
  <si>
    <t xml:space="preserve"> bidding date on June 24, 2020,at Brgy hall, Brgy. Ulay-Bugang, Alimodian Iloilo at 10:00 am</t>
  </si>
  <si>
    <t xml:space="preserve"> Unit	           Item Description	                                                         Qty.</t>
  </si>
  <si>
    <t xml:space="preserve"> unit	Fire Truck Forward FTR Single Cab                         1</t>
  </si>
  <si>
    <t xml:space="preserve"> https://drive.google.com/file/d/1gKzLN6ARj4WtqAOzPvJh6VOQoQaL4ovE/view?usp=drivesdk</t>
  </si>
  <si>
    <t xml:space="preserve"> https://drive.google.com/file/d/1KdwAYfVlaogRw2BN7Waz9d2xqFP-sT_5/view?usp=drivesdk</t>
  </si>
  <si>
    <t xml:space="preserve"> Multi-purpose vehicle</t>
  </si>
  <si>
    <t xml:space="preserve"> https://drive.google.com/file/d/18cWmcgIFsM3VezwxaNwiqx_ouYujScx5/view?usp=drivesdk</t>
  </si>
  <si>
    <t xml:space="preserve"> https://drive.google.com/file/d/10Mi-9TLXscsTErj0fAVSXEltJcfVdFIo/view?usp=drivesdk</t>
  </si>
  <si>
    <t xml:space="preserve"> https://drive.google.com/file/d/1MdoGbLT8SXm9dp1wU-km4W2kwYcYVnPy/view?usp=drivesdk</t>
  </si>
  <si>
    <t xml:space="preserve"> https://drive.google.com/file/d/1HA65KZFMFtqAYAgUNBMBusdZPBmD-txE/view?usp=drivesdk</t>
  </si>
  <si>
    <t xml:space="preserve"> https://drive.google.com/file/d/1a8CATjit8vTW0uVvFV9a3vJQWFUaVGxs/view?usp=drivesdk</t>
  </si>
  <si>
    <t xml:space="preserve"> please click this link to download bidding documents</t>
  </si>
  <si>
    <t xml:space="preserve"> https://drive.google.com/file/d/1PPrp2Ax4iNIKmNrfCfNHd-CnsnKhTfLA/view?usp=drivesdk</t>
  </si>
  <si>
    <t xml:space="preserve"> please clickt this link to download bidding documents</t>
  </si>
  <si>
    <t xml:space="preserve"> https://drive.google.com/file/d/1gkF-npvBXtCFkeDuogIy1m3TtJvj39-T/view?usp=drivesdk</t>
  </si>
  <si>
    <t xml:space="preserve"> https://drive.google.com/file/d/1uLSno730_z6fs780MMv39iCUc0MTuvsx/view?usp=drivesdk</t>
  </si>
  <si>
    <t xml:space="preserve"> Unit	Item Description</t>
  </si>
  <si>
    <t xml:space="preserve"> Bidders must download the associated component/s.</t>
  </si>
  <si>
    <t xml:space="preserve"> Please copy the link below, save and print for a coy of Bidding document.</t>
  </si>
  <si>
    <t xml:space="preserve"> ISSUANCE OF BIDDING DOCUMENTS: June 4, 2020- June 23, 2020 </t>
  </si>
  <si>
    <t xml:space="preserve"> ISSUANCE OF BIDDING DOCUMENTS: June 4, 2020-June 23, 2020</t>
  </si>
  <si>
    <t xml:space="preserve"> ISSUANCE OF BIDDING DOCUMENTS: June 4, 2020- June 23, 2020</t>
  </si>
  <si>
    <t xml:space="preserve"> Please contact Mr. Reno C. Salazar the BAC Secrewtary with CP # 09459852914 or you may call Ms. Ma. Teresa L. Minguez the BAC Chairperson. Thanks and God Bless us all.</t>
  </si>
  <si>
    <t xml:space="preserve"> Cost of Documents: P1,000.00</t>
  </si>
  <si>
    <t xml:space="preserve"> BAC ACTIVITIES</t>
  </si>
  <si>
    <t xml:space="preserve"> https://drive.google.com/file/d/1mKvW1VeZ3BLOAMagdjY7jmbRTppHL_0j/view?usp=drivesdk</t>
  </si>
  <si>
    <t xml:space="preserve"> Bidding Documents may be purchased by the Interested Bidders on June 10-11, 2020 from 8:00 A.M to 5:00 P.M. and upon payment of non - refundable fee of Four Thousand Pesos (Php 4,000.00 ).</t>
  </si>
  <si>
    <t xml:space="preserve"> Bidding Documents may be purchased by the Interested Bidders on June 10-11, 2020 from 8:00 A.M to 5:00 P.M. and upon payment of non - refundable fee of Four Thousand Pesos (Php 4,000.00).</t>
  </si>
  <si>
    <t xml:space="preserve"> QTY/UNIT/ITEM DESCRIPTION</t>
  </si>
  <si>
    <t xml:space="preserve"> Bidding Documents may be purchased by the Interested Bidders on June 10-11, 2020 from 8:00 A.M to 5:00 P.M. and upon payment of non - refundable fee of Five Hundred Pesos (Php 500.00).</t>
  </si>
  <si>
    <t xml:space="preserve"> Bidding Documents may be purchased by the Interested Bidders on June 10-11, 2020 from 8:00 A.M to 5:00 P.M. and upon payment of non - refundable fee of One Thousand Pesos (Php 1,000.00).</t>
  </si>
  <si>
    <t xml:space="preserve"> Bidding Documents may be purchased by the Interested Bidders on June 10-11, 2020 from 8:00 A.M to 5:00 P.M. and upon payment of non - refundable fee of One Thousand Five Hundred Pesos (Php 1,500.00).</t>
  </si>
  <si>
    <t xml:space="preserve"> 1. Issuance of Bidding Documents	:	June 04, 2020 to June 23, 2020</t>
  </si>
  <si>
    <t xml:space="preserve"> 1. Submission of letter of Intent  June 4-11,2020</t>
  </si>
  <si>
    <t xml:space="preserve"> Bidding Documents may be purchased by the Interested Bidders on June 10-11, 2020 from 8:00 A.M to 5:00 P.M. and upon payment of non - refundable fee of Two Thousand Pesos (Php 2,000.00 ).</t>
  </si>
  <si>
    <t xml:space="preserve"> ALL INTERESTED BIDDERS ARE REQUIRED TO SUBMIT THEIR COMPLETE ELIGIBILITY REQUIREMENTS TO THE BAC FOR EVALUATION DURING THE PRE-BID CONFERENCE ON JUNE 11, 2020 8:00A.M. AT THE BAC SECRETARIAT OFFICE, 2ND FLOOR, CITY HALL OF DASMARIÑAS, CAVITE. BIDDERS WHO SHALL FAIL TO ATTEND THE PRE-BID SHALL NOT BE ALLOWED TO JOIN THE BIDDING FOR THE AFORESAID PROJECT. </t>
  </si>
  <si>
    <t xml:space="preserve"> bidding date on June 25, 2020 at Brgy. Hall,Brgy. Ban-ag.Alimodian Iloilo</t>
  </si>
  <si>
    <t xml:space="preserve"> 1. Issuance and Availability of Bid Documents - June 4, 2020	at ASSCAT Procurement Office</t>
  </si>
  <si>
    <t xml:space="preserve"> bidding date,June 25, 2020 at Brgy. Hall,Brgy. Coline-Alimodian Iloilo at 10am</t>
  </si>
  <si>
    <t xml:space="preserve"> bidding date will be on June 25, 2020,at 10am at Brgy. Hall,Brgy. Tugaslon,Alimodian Iloilo</t>
  </si>
  <si>
    <t xml:space="preserve"> https://www.philgeps.gov.ph/GEPSNONPILOT/Tender/CreateNoticeStep2UI.aspx?RefID=7025434</t>
  </si>
  <si>
    <t xml:space="preserve"> 1. Pre-Bid Conference: June 15, 2020, 2:00PM at the Municipal Conference Hall, Galimuyod, Ilocos Sur</t>
  </si>
  <si>
    <t xml:space="preserve"> https://www.philgeps.gov.ph/GEPSNONPILOT/Tender/CreateNoticeStep2UI.aspx?RefID=7025592</t>
  </si>
  <si>
    <t xml:space="preserve"> A complete set of Bidding Documents may be acquired by interested bidders on JUNE 4, 2020 to JUNE 23, 2020 from 8:00AM to 5:00PM at the Office of the Bids and Awards Committee, 3rd Floor, Provincial Capitol, Bontoc, Mountain Province upon payment of the applicable fee for the Bidding Documents, pursuant to the latest Guidelines issued by the GPPB, in the amount of Five Thousand Pesos Only (Php5,000.00) at the Cashier’s Office, Provincial Capitol, Bontoc, Mountain Province.</t>
  </si>
  <si>
    <t xml:space="preserve"> https://drive.google.com/file/d/1e8yAZDRTLAdrEGpPAc8FwF6dFDqZYhd1/view?usp=drivesdk</t>
  </si>
  <si>
    <t xml:space="preserve"> Issuance and Availability of Bid Documents - June 4, 2020 at ASSCAT Procurement Office</t>
  </si>
  <si>
    <t xml:space="preserve"> https://www.philgeps.gov.ph/GEPSNONPILOT/Tender/CreateNoticeStep2UI.aspx?RefID=7025613</t>
  </si>
  <si>
    <t xml:space="preserve"> Item No.	Description</t>
  </si>
  <si>
    <t xml:space="preserve"> Issuance of bidding documents at BAC Office on June 4 to June 19, 2020 at 10:00 a.m.</t>
  </si>
  <si>
    <t xml:space="preserve"> https://www.philgeps.gov.ph/GEPSNONPILOT/Tender/CreateNoticeStep2UI.aspx?RefID=7025779</t>
  </si>
  <si>
    <t xml:space="preserve"> https://drive.google.com/file/d/1J9ohZri2GjisVi7eEQ6w0SOuavvaTHym/view?usp=drivesdk </t>
  </si>
  <si>
    <t xml:space="preserve"> Please copy the LINK below for the PLAN</t>
  </si>
  <si>
    <t xml:space="preserve"> Bidders must download documents int associated component section</t>
  </si>
  <si>
    <t xml:space="preserve"> For further information on this project procurement, interested consultants may contact the Bids and Awards Committee Secretariat through Mr. Marl Philippe Y. Cachero at (02) 8921 0565 or you may send an email to marlcachero7@gmail.com</t>
  </si>
  <si>
    <t xml:space="preserve"> Project Description	: Completion</t>
  </si>
  <si>
    <t xml:space="preserve"> Project Description	: Construction</t>
  </si>
  <si>
    <t xml:space="preserve"> Project Description	: Rehabilitation/Reconstruction</t>
  </si>
  <si>
    <t xml:space="preserve"> Bidding will be on June 18, 2020 @ 10:00 A.M.</t>
  </si>
  <si>
    <t xml:space="preserve"> Project Description	: Concreting</t>
  </si>
  <si>
    <t xml:space="preserve"> Project Description	: Construction/Development</t>
  </si>
  <si>
    <t xml:space="preserve"> https://drive.google.com/file/d/1kP71C170dMayXCS4U5k2wa-hcoFm957t/view?usp=drivesdk</t>
  </si>
  <si>
    <t xml:space="preserve"> Technical Specification of Project Number 12:</t>
  </si>
  <si>
    <t xml:space="preserve"> Technical Specification of Project Number 9:</t>
  </si>
  <si>
    <t xml:space="preserve"> Please copy the link below and paste it on new tab:</t>
  </si>
  <si>
    <t xml:space="preserve"> Technical Specification of Project Number 10:</t>
  </si>
  <si>
    <t xml:space="preserve"> Project Description	: Construction/Establishment</t>
  </si>
  <si>
    <t xml:space="preserve"> https://drive.google.com/file/d/1pTemR_3CTZCmnATeCFA3meoKBRMIjvZ6/view?usp=drivesdk</t>
  </si>
  <si>
    <t xml:space="preserve"> Technical Specification of Project Number 11:</t>
  </si>
  <si>
    <t xml:space="preserve"> Project Description	: Rehabilitation</t>
  </si>
  <si>
    <t xml:space="preserve"> Technical Specification of Project Number 13:</t>
  </si>
  <si>
    <t xml:space="preserve"> Technical Specification of Project Number 14:</t>
  </si>
  <si>
    <t xml:space="preserve"> https://drive.google.com/file/d/1CvAlpMtZgzEv-bCWgUNZyPD8v76rJxUg/view?usp=drivesdk</t>
  </si>
  <si>
    <t xml:space="preserve"> Technical Specification of Project Number 15:</t>
  </si>
  <si>
    <t xml:space="preserve"> Technical Specification of Project Number 16:</t>
  </si>
  <si>
    <t xml:space="preserve"> a.	Construction/Establishment of Emergency Operation	   	  2,000,000.00</t>
  </si>
  <si>
    <t xml:space="preserve"> a.	Construction of Shoulder &amp; Concrete Line Canal at   		9,000,000.00</t>
  </si>
  <si>
    <t xml:space="preserve"> Technical Specification of Project Number 19:</t>
  </si>
  <si>
    <t xml:space="preserve"> Technical Specification of Project Number 18:</t>
  </si>
  <si>
    <t xml:space="preserve"> 20CE0207: Widening of Permanent Bridges Manicla Br. (B01968LZ) along Daang Maharlika (LZ); Invitation to Bid including Plans and other Supporting Docs</t>
  </si>
  <si>
    <t xml:space="preserve"> Technical Specification of Project Number 20:</t>
  </si>
  <si>
    <t xml:space="preserve"> a.	Rehabilitation of Municipal Main Drainage System	   	2,000,000.00</t>
  </si>
  <si>
    <t xml:space="preserve"> Technical Specification of Project Number 22:</t>
  </si>
  <si>
    <t xml:space="preserve"> Technical Specification of Project Number 17:</t>
  </si>
  <si>
    <t xml:space="preserve"> Technical Specification of Project Number 21:</t>
  </si>
  <si>
    <t xml:space="preserve"> Technical Specification of Project Number 24:</t>
  </si>
  <si>
    <t xml:space="preserve"> a.	Reblocking of Bolos-Guruyan Road	  		2,500,000.00</t>
  </si>
  <si>
    <t xml:space="preserve"> Technical Specification of Project Number 23:</t>
  </si>
  <si>
    <t xml:space="preserve"> Technical Specification of Project Number 26:</t>
  </si>
  <si>
    <t xml:space="preserve"> Technical Specification of Project Number 25:</t>
  </si>
  <si>
    <t xml:space="preserve"> Technical Specification of Project Number 27:</t>
  </si>
  <si>
    <t xml:space="preserve"> 20CE0208: Replacement of Permanent Weak Bridges Amawinan Br. (B01981LZ) along Daang Maharlika (LZ); Invitation to Bid including Plans and other Supporting Docs</t>
  </si>
  <si>
    <t xml:space="preserve"> a.	Development of Water Source and Construction	   	2,000,000.00</t>
  </si>
  <si>
    <t xml:space="preserve"> a.	Construction of Waste Water Treatment Facility at	   	2,000,000.00</t>
  </si>
  <si>
    <t xml:space="preserve"> for more information just contact barangay secretariat of Barangay Danao Tigbauan, Iloilo</t>
  </si>
  <si>
    <t xml:space="preserve"> a.	Concreting of Bical Farm to Market Road		   	 2,000,000.00</t>
  </si>
  <si>
    <t xml:space="preserve"> a.	Rehabilitation/Improvement of Salvador R. Encinas  	   	1,800,000.00</t>
  </si>
  <si>
    <t xml:space="preserve"> a.	Improvt. of Potable Water System at Brgy. Patag, Irosin  	   2,000,000.00</t>
  </si>
  <si>
    <t xml:space="preserve"> https://drive.google.com/file/d/1NbRmC4n6o7aI6w3PmKBOoB00XwU5t8Eq/view?usp=drivesdk</t>
  </si>
  <si>
    <t xml:space="preserve"> https://drive.google.com/file/d/1j-PPg2Vo1G4kOzmQndHzi2MW9dt03XZI/view?usp=drivesdk</t>
  </si>
  <si>
    <t xml:space="preserve"> SB - 7 UNITS LAPTOP</t>
  </si>
  <si>
    <t xml:space="preserve"> https://drive.google.com/file/d/1wYQhWmVsmfOlLRdGLuxM8QKYpH8fNs1K/view?usp=drivesdk</t>
  </si>
  <si>
    <t xml:space="preserve"> https://drive.google.com/file/d/1-XoZdxODBUV0mlTESOFfKRBRbAlieBGJ/view?usp=drivesdk</t>
  </si>
  <si>
    <t xml:space="preserve"> https://drive.google.com/file/d/175QWC9-nTEYDwoZpZuZXGH_2UgIAJ76v/view?usp=drivesdk</t>
  </si>
  <si>
    <t xml:space="preserve"> Prospective bidders are encouraged to attend the prebid conference as scheduled.</t>
  </si>
  <si>
    <t xml:space="preserve"> https://drive.google.com/file/d/1lSoMVnTGZ3Wr9-T_LnYDf-m0DYM_UM8J/view?usp=drivesdk</t>
  </si>
  <si>
    <t xml:space="preserve"> https://drive.google.com/file/d/1UgQtD5vlUjUAH6wKf27158WuFJAvQKdK/view?usp=drivesdk</t>
  </si>
  <si>
    <t xml:space="preserve"> Purpose: For Guidance and Counseling Office Use.</t>
  </si>
  <si>
    <t xml:space="preserve"> Purpose: (1) For the Office of the Board of of Secretary; (2) For stacking of inactive documents; (3) VPAF office filing; (4) For BAC Office Use</t>
  </si>
  <si>
    <t xml:space="preserve"> Cost of Bid Docs: Php 5,000.00</t>
  </si>
  <si>
    <t xml:space="preserve"> Purpose: For Equipment and Fixtures for the Research Workshop Room</t>
  </si>
  <si>
    <t xml:space="preserve"> https://drive.google.com/file/d/1k1O8GPGrszJ1klAejdPYMcDPYhgTX9Bd/view?usp=drivesdk</t>
  </si>
  <si>
    <t xml:space="preserve"> https://drive.google.com/file/d/1g4E1xRgbWEIJbzOl73SteU7W4UGfoJc9/view?usp=drivesdk</t>
  </si>
  <si>
    <t xml:space="preserve"> Purpose: For the Graduation S.Y. 2019-2020							</t>
  </si>
  <si>
    <t xml:space="preserve"> https://drive.google.com/file/d/11z4Qfb_ROYuE1oqJyvMTI1DQ7D-jBX4s/view?usp=drivesdk</t>
  </si>
  <si>
    <t xml:space="preserve"> Purpose: For ZPFIC use.</t>
  </si>
  <si>
    <t xml:space="preserve"> **Please see the DESCRIPTION about the complete CONTRACT LOCATION</t>
  </si>
  <si>
    <t xml:space="preserve"> https://drive.google.com/file/d/1YctlKqliOhW_8e6MwyUbqoN1y7rOovs0/view?usp=drivesdk</t>
  </si>
  <si>
    <t xml:space="preserve"> https://drive.google.com/file/d/1VL2PvzzGcW7Z0X-avdRVosYWfJg_VMNn/view?usp=drivesdk</t>
  </si>
  <si>
    <t xml:space="preserve"> https://drive.google.com/file/d/1gnWtNauqhgZ9dlm786PaWyepzy_OSVVP/view?usp=drivesdk</t>
  </si>
  <si>
    <t xml:space="preserve"> The Bid documents shall be available at the Bids and Awards Committee Office, LGU-Tigbauan, </t>
  </si>
  <si>
    <t xml:space="preserve"> Bidding Documents may be secured from the BAC Secretariat, Office of the Municipal Treasurer – Supply Section upon payment to the MTO Cashier of a non-refundable amount of ₱ 1,000.00. </t>
  </si>
  <si>
    <t xml:space="preserve"> https://drive.google.com/file/d/1_0e8zCvTibFecjqGdtw2SJ7lU0CR6cgY/view?usp=drivesdk</t>
  </si>
  <si>
    <t xml:space="preserve"> https://drive.google.com/file/d/1H4hLnYZh5KUFKTXWD4VU7K0MY0NqVyw_/view?usp=drivesdk</t>
  </si>
  <si>
    <t xml:space="preserve"> https://drive.google.com/file/d/13sFvC4znEQH2PRwM890GyorClrfrqiD1/view?usp=drivesdk</t>
  </si>
  <si>
    <t xml:space="preserve"> https://drive.google.com/file/d/1MofJagNSYZ3UTJ6s3lx25jDA9tDybINs/view?usp=drivesdk</t>
  </si>
  <si>
    <t xml:space="preserve"> https://drive.google.com/file/d/1QfowKbetXFe9Nuhb32Tk-n_Yv2oMgcYt/view?usp=drivesdk</t>
  </si>
  <si>
    <t xml:space="preserve"> https://drive.google.com/file/d/1RAh0RPwHKwhIOtpyQr-3_jvmILkO6cp0/view?usp=drivesdk</t>
  </si>
  <si>
    <t xml:space="preserve"> https://drive.google.com/file/d/1fdbmIt5_K9PQfH1SEgq-9B7xBI9Z78YC/view?usp=drivesdk</t>
  </si>
  <si>
    <t xml:space="preserve"> https://drive.google.com/file/d/1HTya46nw7KSxIaN5ySWnK9058rViMUKP/view?usp=drivesdk</t>
  </si>
  <si>
    <t xml:space="preserve"> https://drive.google.com/file/d/1feuGTdsY3Ugw_QR0cOIxhVg3vyM9ghKK/view?usp=drivesdk</t>
  </si>
  <si>
    <t xml:space="preserve"> https://drive.google.com/file/d/1yye37HbbRwECdDc1NfVbaCD6tUxY3rQ4/view?usp=drivesdk</t>
  </si>
  <si>
    <t xml:space="preserve"> BIDDERS ARE REQUIRED TO SUBMIT LETTER OF INTENT TO BAC SECRETARIAT UPON PURCHASE OF BID DOCUMENTS.</t>
  </si>
  <si>
    <t xml:space="preserve"> https://drive.google.com/file/d/1LOmFKcNv7nfNnfa-C9FwOnQqAEfY2Efl/view?usp=drivesdk</t>
  </si>
  <si>
    <t xml:space="preserve"> - other information may be discussed during pre-bid conference..</t>
  </si>
  <si>
    <t xml:space="preserve"> Pre- Bid : June 9,2020 - 10:00am</t>
  </si>
  <si>
    <t xml:space="preserve"> https://drive.google.com/file/d/1_twp0Xf5d_LbAnOH6F0EB7OeQBE8OrLT/view?usp=drivesdk</t>
  </si>
  <si>
    <t xml:space="preserve"> https://drive.google.com/file/d/1NKaOkBfgfFExHKqMOcDTNkyT14NBXpFf/view?usp=drivesdk</t>
  </si>
  <si>
    <t xml:space="preserve"> Please Download the Associated Components.</t>
  </si>
  <si>
    <t xml:space="preserve"> https://drive.google.com/file/d/1xw9E9qQYN4uAtACQJwIIYv1wm0B4lyKS/view?usp=drivesdk</t>
  </si>
  <si>
    <t xml:space="preserve"> - other information may be discussed during pre-bid conference.</t>
  </si>
  <si>
    <t xml:space="preserve"> Bid Documents must be secured from the BAC Secretariat, Leyte SMED Center, Provincial Capitol Grounds, Tacloban City</t>
  </si>
  <si>
    <t xml:space="preserve"> For further information please see attached bidding document or contact BAC Secretariat.</t>
  </si>
  <si>
    <t xml:space="preserve"> NOTE: Please copy the link below and paste to the web browser for the attached set of Bidding Documents.</t>
  </si>
  <si>
    <t xml:space="preserve"> https://drive.google.com/file/d/1dVPG--C_BkBaJjmxT4ZhVYTCAHHQDrbM/view?usp=drivesdk</t>
  </si>
  <si>
    <t xml:space="preserve"> DESCRIPTION - ROAD CONCRETING</t>
  </si>
  <si>
    <t xml:space="preserve"> for queries, you may email MS. KIM STO. TOMAS  at kimjoyangeles@yahoo.com</t>
  </si>
  <si>
    <t xml:space="preserve"> For inquiries, please contact Mr. Geomar R. Ogoy, Procurement at tel no. 8293-3683.</t>
  </si>
  <si>
    <t xml:space="preserve"> A complete set of Bidding Documents may be acquired by interested bidders on JUNE 3, 2020 to JUNE 23, 2020 from 8:00AM to 5:00PM at the Office of the Bids and Awards Committee, 3rd Floor, Provincial Capitol, Bontoc, Mountain Province upon payment of the applicable fee for the Bidding Documents, pursuant to the latest Guidelines issued by the GPPB, in the amount of One Thousand Pesos Only (Php1,000.00) at the Cashier’s Office, Provincial Capitol, Bontoc, Mountain Province.</t>
  </si>
  <si>
    <t xml:space="preserve"> Cost of Bid Docs: Php 50,000.00</t>
  </si>
  <si>
    <t xml:space="preserve"> A complete set of Bidding Documents may be acquired by interested bidders on JUNE 3, 2020 to JUNE 23, 2020 from 8:00AM to 5:00PM at the Office of the Bids and Awards Committee, 3rd Floor, Provincial Capitol, Bontoc, Mountain Province upon payment of the applicable fee for the Bidding Documents, pursuant to the latest Guidelines issued by the GPPB, in the amount of Five Thousand Pesos Only (Php5,000.00) at the Cashier’s Office, Provincial Capitol, Bontoc, Mountain Province.</t>
  </si>
  <si>
    <t xml:space="preserve"> The BAC is conducting the public bidding for this Contract in accordance with RA 9184 and its Implementing Rules and Regulations (IRR).</t>
  </si>
  <si>
    <t xml:space="preserve"> SALE/ISSUANCE OF BIDDING DOCUMENTS FROM JUNE 3, 2020-JUNE 18, 2020 UNTIL 5PM</t>
  </si>
  <si>
    <t xml:space="preserve"> INVITATION TO BID FOR </t>
  </si>
  <si>
    <t xml:space="preserve"> 1			FACILITIES FOR THE ENGINEERS:</t>
  </si>
  <si>
    <t xml:space="preserve"> 1. Issuance of Bidding Documents- June 3, 2020 - June 22, 2020</t>
  </si>
  <si>
    <t xml:space="preserve"> 1	70	box	Amlodipine 10mg/tab 100's 	</t>
  </si>
  <si>
    <t xml:space="preserve"> LOT I – DISTRIBUTION TRANSFORMER</t>
  </si>
  <si>
    <t xml:space="preserve"> https://drive.google.com/file/d/1ARYtNquux_DYRuQ8QnpNcVQeEgbGK7_M/view?usp=drivesdk</t>
  </si>
  <si>
    <t xml:space="preserve"> https://drive.google.com/file/d/1t-of3J9KeiS2x2z4DoPLWKcWOA0NeD4f/view?usp=drivesdk</t>
  </si>
  <si>
    <t xml:space="preserve"> https://drive.google.com/file/d/1PYq9pYfrYebDM3vOOvUSscJDUQT1dxjF/view?usp=drivesdk</t>
  </si>
  <si>
    <t xml:space="preserve"> https://drive.google.com/file/d/1Yy4XLObl2KJJV-qKReUHOW7HVZPLzZPq/view?usp=drivesdk</t>
  </si>
  <si>
    <t xml:space="preserve"> https://drive.google.com/file/d/1pwd3ZxU6BbnYo7DE-xDWJeJW-lZN8oyw/view?usp=drivesdk</t>
  </si>
  <si>
    <t xml:space="preserve"> Schedule of Bidding Activities: </t>
  </si>
  <si>
    <t xml:space="preserve"> https://drive.google.com/file/d/1IVHZrNqgbGiWBxAjbDZ18m1Ffx9GynfC/view?usp=sharing</t>
  </si>
  <si>
    <t xml:space="preserve"> A complete set of Bidding Documents will be provided by PNBAC Secretariat to the interested Bidders upon payment of a non-refundable fee in the amount of FIFTY THOUSAND PESOS (P50,000.00) only at CRB, CPMU, Philippine Navy Finance Center (PNFC), Naval Station Jose Francisco, Fort Bonifacio, Taguig City.</t>
  </si>
  <si>
    <t xml:space="preserve"> Make:Elf</t>
  </si>
  <si>
    <t xml:space="preserve"> https://drive.google.com/file/d/1n-kSkToFYU4f7620bUtyA5Oq0n7vSQgn/view?usp=sharing</t>
  </si>
  <si>
    <t xml:space="preserve"> 4.4C Mini Dumptruck (4cbm)</t>
  </si>
  <si>
    <t xml:space="preserve"> ALL INTERESTED BIDDERS ARE REQUIRED TO SUBMIT THEIR COMPLETE ELIGIBILITY REQUIREMENTS TO THE BAC FOR EVALUATION DURING THE PRE-BID CONFERENCE ON JUNE 9, 2020 8:00A.M. AT THE BAC SECRETARIAT OFFICE, 2ND FLOOR, CITY HALL OF DASMARIÑAS, CAVITE. BIDDERS WHO SHALL FAIL TO ATTEND THE PRE-BID SHALL NOT BE ALLOWED TO JOIN THE BIDDING FOR THE AFORESAID PROJECT. </t>
  </si>
  <si>
    <t xml:space="preserve"> Pre-Bid Conference - June 10, 2020 @ 2:00 PM</t>
  </si>
  <si>
    <t xml:space="preserve"> the contract duration and other matters related to this project will be taken up during the Pre-Bid Conference which </t>
  </si>
  <si>
    <t xml:space="preserve"> FOR MORE INFORMATION AND CLARIFICATION, PLEASE CONTACT BAC SECRETARIAT OF BRGY. CAMITOC COUNCIL LOCATED AT BRGY. CAMITOC HALL, BRGY. CAMITOC, DULAG LEYTE FROM MONDAY TO FRIDAY (8:00 A.M. TO 5:00 P.M.)</t>
  </si>
  <si>
    <t xml:space="preserve"> Cost of Bid Documents: Php5,000.00</t>
  </si>
  <si>
    <t xml:space="preserve"> Issuance of bid documents - June 2-22, 2020</t>
  </si>
  <si>
    <t xml:space="preserve"> https://drive.google.com/file/d/1CI_JTmpQHyvE2Nx3E91CPVElE7pA4hrr/view?usp=drivesdk</t>
  </si>
  <si>
    <t xml:space="preserve"> 1. Pre-Bid Conference: June 10, 2020, 2:00PM at the Municipal Conference Hall, Galimuyod, Ilocos Sur.</t>
  </si>
  <si>
    <t xml:space="preserve"> https://drive.google.com/file/d/1ghusHQ_gi0E7pvv8uEgaM6kHZhCecLFh/view?usp=drivesdk</t>
  </si>
  <si>
    <t xml:space="preserve"> https://drive.google.com/file/d/1w9a8VcnptlPW1HjNql6BZnenasXJ7IaD/view?usp=drivesdk</t>
  </si>
  <si>
    <t xml:space="preserve"> All interested bidders must purchase bid document at Municipal Treasury Office together with the letter of intent before going to the BAC Office, 3rd floor, Municipal Bldg. Abatan, Buguias, Benguet from June 9, 2020 starting 2:00 PM - 4:00 PM.</t>
  </si>
  <si>
    <t xml:space="preserve"> 1. Pre-Bid Conference: June 10, 2020, 2:00PM at the Municipal Conference Hall, Galimuyod, Ilocos Sur</t>
  </si>
  <si>
    <t xml:space="preserve"> You may also download Invitation to Bid and BOQ at the DPWH Website.</t>
  </si>
  <si>
    <t xml:space="preserve"> WATERCRAFTS</t>
  </si>
  <si>
    <t xml:space="preserve"> Motor Vehicle</t>
  </si>
  <si>
    <t xml:space="preserve"> A complete set of Bidding Documents may be acquired by interested bidders on JUNE 2, 2020 to JUNE 23, 2020 from 8:00AM to 5:00PM at the Office of the Bids and Awards Committee, 3rd Floor, Provincial Capitol, Bontoc, Mountain Province upon payment of the applicable fee for the Bidding Documents, pursuant to the latest Guidelines issued by the GPPB, in the amount of Five Thousand Pesos Only (Php5,000.00) at the Cashier’s Office, Provincial Capitol, Bontoc, Mountain Province.</t>
  </si>
  <si>
    <t xml:space="preserve"> Cost of Bid Documents: Php10,000.00</t>
  </si>
  <si>
    <t xml:space="preserve"> MOTOR VEHICLE</t>
  </si>
  <si>
    <t xml:space="preserve"> https://drive.google.com/file/d/1h_HRLZipij6GJJrY0wDAZw7puRi9On3K/view?usp=sharing</t>
  </si>
  <si>
    <t xml:space="preserve"> Please see attached ITB and Bid Documents</t>
  </si>
  <si>
    <t xml:space="preserve"> https://drive.google.com/file/d/185efU_WtGSuYRAgKDJLpbOIydfbvuy9a/view?usp=sharing</t>
  </si>
  <si>
    <t xml:space="preserve"> See Municipal Engineer's Office for details</t>
  </si>
  <si>
    <t xml:space="preserve"> Pls. see Municipal Engineer's Office for details.</t>
  </si>
  <si>
    <t xml:space="preserve"> 1. Pre-Bid Conference: January 10, 2020, 2:00PM at the Municipal Conference Hall, Galimuyod, Ilocos Sur</t>
  </si>
  <si>
    <t xml:space="preserve"> 1. Issuance of Bidding Documents	:	June 02, 2020 to June 22, 2020</t>
  </si>
  <si>
    <t xml:space="preserve"> Pre bid:  June 08, 2020 2:00 P.M.</t>
  </si>
  <si>
    <t xml:space="preserve"> BID DOCS: https://drive.google.com/file/d/1476Nuu3FLMgbnQhkCw4q9im_ZkWtT7sq/view?usp=drivesdk</t>
  </si>
  <si>
    <t xml:space="preserve"> &gt; 1 Unit BRAND NEW 4x4 SUV VEHICLE</t>
  </si>
  <si>
    <t xml:space="preserve"> BIDDER MUST BE DOWNLOAD THE ATTACHED DOCUMENT IN THE ASSOCIATED COMPONENT</t>
  </si>
  <si>
    <t xml:space="preserve"> &gt; 1 Unit BRAND NEW 4x2 SUV VEHICLE</t>
  </si>
  <si>
    <t xml:space="preserve"> https://drive.google.com/file/d/1kQEmBnc23z4A7vIzxefI4Y2xq1WSE9f_/view?usp=drivesdk</t>
  </si>
  <si>
    <t xml:space="preserve"> Delivery Point: SPUG-MOD Warehouse, Zamboanga City</t>
  </si>
  <si>
    <t xml:space="preserve"> Delivery Point: Plantsite / JOLO DPP, Sulu Province</t>
  </si>
  <si>
    <t xml:space="preserve"> Delivery Point: Plantsite / Sitangkai DPP, Tawi-Tawi</t>
  </si>
  <si>
    <t xml:space="preserve"> 1.	Request for Expression of Interest	:	June 02, 2020 to June 08, 2020</t>
  </si>
  <si>
    <t xml:space="preserve"> https://drive.google.com/file/d/1KnwiKo9JkHRbOW6LXTvG5YmEBxoEcTN-/view?usp=drivesdk</t>
  </si>
  <si>
    <t xml:space="preserve"> https://drive.google.com/file/d/1XNPNdZzc085usA9J34xI4mjPQAb70L2S/view?usp=drivesdk</t>
  </si>
  <si>
    <t xml:space="preserve"> For inquiries, please contact Mr. Geomar R. Ogoy, Procurement, GSD at tel no. 8293-3683.</t>
  </si>
  <si>
    <t xml:space="preserve"> Please be informed that the Bid Documents can't be downloaded from the website. Interested bidders are requested to acquire the documents directly and personally from the Mayor's Office upon payment of a corresponding fee of Php5,000.00 for the said project at the Municipal Treasury Office.</t>
  </si>
  <si>
    <t xml:space="preserve"> for queries, you may email Ms. Anj Emeterio at mqemeterio@gmail.com</t>
  </si>
  <si>
    <t xml:space="preserve"> 1.	https://drive.google.com/file/d/1CVvbXVyFuTdtgoqTmaBDDAPq-Z1Bb-Zi/view?usp=drivesdk</t>
  </si>
  <si>
    <t xml:space="preserve"> for queries, you may contact MS. LUBELLE LUMABAS AT TEL NO. 84057233 TO 34</t>
  </si>
  <si>
    <t xml:space="preserve"> 2. The National Irrigation Administration (NIA), Regional Irrigation Office No.7 now invites bids for Supply and Installation of Solar Power Inverter. Completion of the Works is required 90 calendar days. Bidders should have completed a contract similar to the project. The description of an eligible bidder is contained in the Bidding Documents, particularly, in Section II. Instruction to Bidders.</t>
  </si>
  <si>
    <t xml:space="preserve"> 2. The National Irrigation Administration (NIA), Regional Irrigation Office No.7 now invites bids for Supply and Installation of Solar Pump and Panels. Completion of the Works is required 180 calendar days. Bidders should have completed a contract similar to the project. The description of an eligible bidder is contained in the Bidding Documents, particularly, in Section II. Instruction to Bidders.</t>
  </si>
  <si>
    <t xml:space="preserve"> 2.	https://drive.google.com/file/d/1ZkHq7aMo60zcjHpeix0M0pTKJ-gANUv0/view?usp=drivesdk</t>
  </si>
  <si>
    <t xml:space="preserve"> Interested bidders may obtain further information and inspect the Bidding Documents during office hours at 8:00 AM to 5:00 PM on June 2 to 21, 2020 from the RBAC Secretariat, c/o Miriam D. Mapatac, Philippine Statistics Authority – Regional Statistical Services Office XIII, Freeman Building, J. C. Aquino Avenue, Butuan City with telephone numbers (085) 225-5219 or (085) 815-2878</t>
  </si>
  <si>
    <t xml:space="preserve"> Links to download the bid document and other attachments:</t>
  </si>
  <si>
    <t xml:space="preserve"> FOR BID DOCS:</t>
  </si>
  <si>
    <t xml:space="preserve"> Please download bid documents at:</t>
  </si>
  <si>
    <t xml:space="preserve"> Bidders/supplier must download the attached documents in the associated component</t>
  </si>
  <si>
    <t xml:space="preserve"> 2ND POSTING</t>
  </si>
  <si>
    <t xml:space="preserve"> 2nd POSTING</t>
  </si>
  <si>
    <t xml:space="preserve"> COST OF BIDDING DOCUMENT (NON-REFUNDABLE) PhP5,000.00</t>
  </si>
  <si>
    <t xml:space="preserve"> See attached files</t>
  </si>
  <si>
    <t xml:space="preserve"> Attached Documents:</t>
  </si>
  <si>
    <t xml:space="preserve"> Bidding Documents link &gt; https://drive.google.com/file/d/1ybvu5Flgfy4IJjusGwUKKtk07XJC7Dfh/view?usp=drivesdk</t>
  </si>
  <si>
    <t xml:space="preserve"> Note: If you are interested bidders to attend the Public Bidding. Please bring any proof that you are safe of COVID-19  Pandemic.</t>
  </si>
  <si>
    <t xml:space="preserve"> -other information may be discussed during pre-bid conference.</t>
  </si>
  <si>
    <t xml:space="preserve"> Prebid: June 9, 2020, 9:00 a.m.</t>
  </si>
  <si>
    <t xml:space="preserve"> https://drive.google.com/file/d/1-jw4GvgN1dgOkMvPayfvCazq9JgADgjt/view?usp=drivesdk</t>
  </si>
  <si>
    <t xml:space="preserve"> https://drive.google.com/file/d/1k5fIlF3XjU0gP9xi6HLlATMmL6guCCwq/view?usp=drivesdk</t>
  </si>
  <si>
    <t xml:space="preserve"> https://drive.google.com/file/d/1TJj2dkdocaXCxotE5rG-G-n84n335Jv6/view?usp=drivesdk</t>
  </si>
  <si>
    <t xml:space="preserve"> Pre-bid Conference: June 9, 2020, 9:00 a.m.</t>
  </si>
  <si>
    <t xml:space="preserve"> 1. Pre-bid Conference	- June 9, 2020 @ 10:00AM at ASSCAT Conference Room</t>
  </si>
  <si>
    <t xml:space="preserve"> https://drive.google.com/file/d/1r6NptYcOy0VM-xPMr424UCNOFNNsXf6Z/view?usp=drivesdk</t>
  </si>
  <si>
    <t xml:space="preserve"> Pre-bid Co nference: June 09, 2020 at 9:00 a.m.</t>
  </si>
  <si>
    <t xml:space="preserve"> CONTACT PERSON:</t>
  </si>
  <si>
    <t xml:space="preserve"> Advertisement - June 1, 2020 </t>
  </si>
  <si>
    <t xml:space="preserve"> Advertisement - June 1, 2020</t>
  </si>
  <si>
    <t xml:space="preserve"> THE DESCRIPTION:</t>
  </si>
  <si>
    <t xml:space="preserve"> 1. Pre-bid Conference	- June 9, 2020 @ 2:00PM at ASSCAT Conference Room</t>
  </si>
  <si>
    <t xml:space="preserve"> https://drive.google.com/file/d/1_GSXIuH_GUGQ4kAjN86pcjEOq734dxHs/view?usp=drivesdk</t>
  </si>
  <si>
    <t xml:space="preserve"> A complete set of Bidding Documents may be purchased by interested Bidders frim June 01 –June 23, 2020 from below and upon payment of a nonrefundable fee for the Bidding Documents in the amount of One Thousand Pesos </t>
  </si>
  <si>
    <t xml:space="preserve"> PRE-BID CONFERENCE: JUNE 9, 2020 at 9:00 A.M.</t>
  </si>
  <si>
    <t xml:space="preserve"> See attached associated component for the schedule of BAC activities.</t>
  </si>
  <si>
    <t xml:space="preserve"> Instruction for Suppliers on How to View/Download the document:</t>
  </si>
  <si>
    <t xml:space="preserve"> Pre-bid conference is not required for ABC is below 1M.</t>
  </si>
  <si>
    <t xml:space="preserve"> Pre-bid conference is not requird for ABC is below 1M</t>
  </si>
  <si>
    <t xml:space="preserve"> Please check similar information posted in the procuring entity's website</t>
  </si>
  <si>
    <t xml:space="preserve"> PLEASE CHECK SIMILAR INFORMATION IN THE PROCURING ENTITY'S WEBSITE</t>
  </si>
  <si>
    <t xml:space="preserve"> Bidders are required to submit Letter of Intent to the BAC Secretariat upon purchase of Bid Documents.</t>
  </si>
  <si>
    <t xml:space="preserve"> The BAC will use NON-DISCRETIONARY PASS/FAIL CRITERIA in the Eligibility Check/Screening as well as the Preliminary Examination of Bids.  The BAC will conduct post-qualification of the lowest calculated bid.</t>
  </si>
  <si>
    <t xml:space="preserve"> Interested bidders must download electronic copy of bidding documents and plans attached in the associated component section</t>
  </si>
  <si>
    <t xml:space="preserve"> associated components</t>
  </si>
  <si>
    <t xml:space="preserve"> FOR MORE INFO AND CLARIFICATION, PLEASE SEE BAC SECRETARIAT OF BRGY. BATUG COUNCIL AT BRGY. BATUG HALL, BRGY. BATUG, DULAG LEYTE FROM MONDAY TO FRIDAY (8:00 A.M. TO 5:00 P.M.)</t>
  </si>
  <si>
    <t xml:space="preserve"> FOR MORE INFO AND CLARIFICATION, PLEASE SEE FOR BAC SECRETARIAT OF BRGY. BATUG COUNCIL AT BRGY. BATUG HALL, BRGY. BATUG, DULAG LEYTE FROM MONDAY TO FRIDAY (8:00 A.M. TO 5:00 P.M.)</t>
  </si>
  <si>
    <t xml:space="preserve"> https://drive.google.com/file/d/1qoID1Ol6uQeTWHItEP0gSNzSSAcTb33v/view?usp=drivesdk</t>
  </si>
  <si>
    <t xml:space="preserve"> https://drive.google.com/file/d/1uxFcx00ppNPrzBDCPO-S61KoW58lRsrq/view?usp=drivesdk</t>
  </si>
  <si>
    <t xml:space="preserve"> https://drive.google.com/file/d/1k-BI_WdADYxjlD-ulc1tOve6-LDb3_gs/view?usp=drivesdk</t>
  </si>
  <si>
    <t xml:space="preserve"> https://drive.google.com/file/d/1SIMReyfhzL6i1Sd4vEDSm8pNXP-D74iA/view?usp=drivesdk</t>
  </si>
  <si>
    <t xml:space="preserve"> https://drive.google.com/file/d/1KrUeOTUw-n9iu2VNM3jqOhS4PD1G84d-/view?usp=drivesdk</t>
  </si>
  <si>
    <t xml:space="preserve"> https://drive.google.com/file/d/16i1rufSeNBbnILmyUtg-OKMcYR32vo8b/view?usp=drivesdk</t>
  </si>
  <si>
    <t xml:space="preserve"> https://drive.google.com/file/d/19keaWuDucCilwQQD0tll5Sp0DSgXCNAa/view?usp=drivesdk</t>
  </si>
  <si>
    <t xml:space="preserve"> https://drive.google.com/file/d/1KM-HpIW8a0X69V-hVGPR-ZuQ_29HwcjB/view?usp=drivesdk</t>
  </si>
  <si>
    <t xml:space="preserve"> https://drive.google.com/file/d/1ENmvcZ-2_rtJylLv0gCjZTYNYVzo2rpC/view?usp=drivesdk</t>
  </si>
  <si>
    <t xml:space="preserve"> https://drive.google.com/file/d/1NqoOddpb1AzcebMw42GBUeGhIQJbPU1-/view?usp=drivesdk</t>
  </si>
  <si>
    <t xml:space="preserve"> https://drive.google.com/file/d/1UY4ecCAlWRLbXHylEZV2y428MbvoabIX/view?usp=drivesdk</t>
  </si>
  <si>
    <t xml:space="preserve"> https://drive.google.com/file/d/1ebdyk3fqgExN9P0k44TEWTDBB2SNFe0v/view?usp=drivesdk</t>
  </si>
  <si>
    <t xml:space="preserve"> https://drive.google.com/file/d/1jM2Ci1rMV6yeD9qP5-CQskmULtGI5kfv/view?usp=drivesdk</t>
  </si>
  <si>
    <t xml:space="preserve"> https://drive.google.com/file/d/1l2QQVUe_adLkgZdV3l-0H_GAxQD5VwX-/view?usp=drivesdk</t>
  </si>
  <si>
    <t xml:space="preserve"> ELIGIBILITY CHECK REQUIREMENTS FOR THE PROCUREMENT OF GOODS</t>
  </si>
  <si>
    <t xml:space="preserve"> FOR FURTHER INFORMATION PLEASE INQUIRE AT MAGR OFFICE.</t>
  </si>
  <si>
    <t xml:space="preserve"> bidding date on June 19,2020 at Brgy. Tarug ,Brgy. Hall, Alimodian Iloilo at 10:00 am.</t>
  </si>
  <si>
    <t xml:space="preserve"> https://drive.google.com/file/d/1yv08Y0afQ3gao3rfZb_1-lfket45U-Av/view?usp=drivesdk</t>
  </si>
  <si>
    <t xml:space="preserve"> https://drive.google.com/file/d/14fhN7bROkejkqMsGlux0TbCl37IjwTvx/view?usp=drivesdk</t>
  </si>
  <si>
    <t xml:space="preserve"> https://drive.google.com/file/d/191WqVCihFjvKIlBuvahL9dx9jw_ZBEVL/view?usp=drivesdk</t>
  </si>
  <si>
    <t xml:space="preserve"> ELIGIBILITY REQUIREMENTS:</t>
  </si>
  <si>
    <t xml:space="preserve"> For more information please email procurement@ppp.gov.ph</t>
  </si>
  <si>
    <t xml:space="preserve"> https://drive.google.com/file/d/19MRHOCfSnGaFi3qnEBhoUbfQQN51-gPZ/view?usp=drivesdk</t>
  </si>
  <si>
    <t xml:space="preserve"> https://drive.google.com/file/d/1nsb53RqrF8-6qrui6vqcZz8SLSBor87v/view?usp=drivesdk</t>
  </si>
  <si>
    <t xml:space="preserve"> https://drive.google.com/file/d/14nucJ2CGBrDB_UNcDrMQBK2q3MkH-aoS/view?usp=drivesdk</t>
  </si>
  <si>
    <t xml:space="preserve"> SCHEDULE OF ACTIVITIES:</t>
  </si>
  <si>
    <t xml:space="preserve"> https://drive.google.com/file/d/1TrX6Clag_G5Dck6OeZai6W9iGgXU9j-3/view?usp=drivesdk</t>
  </si>
  <si>
    <t xml:space="preserve"> https://drive.google.com/file/d/1W7Bs-y_Z82h6lEdsEMXfhPe4GAxVuWwJ/view?usp=drivesdk</t>
  </si>
  <si>
    <t xml:space="preserve"> https://drive.google.com/file/d/1X2um6fmuw7z2PydnC4QOLzkU8RAUiAXZ/view?usp=drivesdk</t>
  </si>
  <si>
    <t xml:space="preserve"> https://drive.google.com/file/d/14EPVCwRcFpm5HhXvaGj3VykNGcWvWfPC/view?usp=drivesdk</t>
  </si>
  <si>
    <t xml:space="preserve"> Bid document can also be viewed/downloaded from DSWD Caraga website.</t>
  </si>
  <si>
    <t xml:space="preserve"> https://drive.google.com/file/d/1EuU6tyueUBTFwQlFvlbm09YiaYMmHn3Z/view?usp=drivesdk</t>
  </si>
  <si>
    <t xml:space="preserve"> June 1, 2020 - Issuance of Bidding Documents</t>
  </si>
  <si>
    <t xml:space="preserve"> Invitation To Bid is available in dpwh website</t>
  </si>
  <si>
    <t xml:space="preserve"> NOTE:</t>
  </si>
  <si>
    <t xml:space="preserve"> Please download bidding documents at the provided link, https://drive.google.com/file/d/1iJ0wpUJiCYi219A-FhME3Dm-017wch2G/view?usp=drivesdk</t>
  </si>
  <si>
    <t xml:space="preserve"> Invitation to Bid is available in dpwh website.</t>
  </si>
  <si>
    <t xml:space="preserve"> Please download bidding documents at the provided link, https://drive.google.com/file/d/1x1Q3Xq8TntWtbAnehKnfNpMI9V9tB5Il/view?usp=drivesdk</t>
  </si>
  <si>
    <t xml:space="preserve"> Please download bidding documents at the provided link, https://drive.google.com/file/d/1ApDhevMPSGPGbSIdbo-Pxe-t-ps_eBcv/view?usp=drivesdk</t>
  </si>
  <si>
    <t xml:space="preserve"> Invitation to Bid is available in dpwh website</t>
  </si>
  <si>
    <t xml:space="preserve"> Please download bidding documents at the provided link, https://drive.google.com/file/d/1Hd6hJhcdrCPGP4Otiu_mQFZo_tt0JA7K/view?usp=drivesdk</t>
  </si>
  <si>
    <t xml:space="preserve"> A complete set of Bidding Documents may be acquired by interested bidders on MAY 29, 2020 to JUNE 23, 2020 from 8:00AM to 5:00PM at the Office of the Bids and Awards Committee, 3rd Floor, Provincial Capitol, Bontoc, Mountain Province upon payment of the applicable fee for the Bidding Documents, pursuant to the latest Guidelines issued by the GPPB, in the amount of Five Thousand Pesos Only (Php5,000.00) at the Cashier’s Office, Provincial Capitol, Bontoc, Mountain Province.</t>
  </si>
  <si>
    <t xml:space="preserve"> https://drive.google.com/file/d/18uJKjI88hxfEUokFW8Oeu49ZQrW18OEP/view?usp=drivesdk</t>
  </si>
  <si>
    <t xml:space="preserve"> see attached invitation to bid</t>
  </si>
  <si>
    <t xml:space="preserve"> Please download bidding documents at the provided link, https://drive.google.com/file/d/1YJMyr3GcHK90CEsttoBgIdq9FwbfF8VR/view?usp=drivesdk</t>
  </si>
  <si>
    <t xml:space="preserve"> Site of Delivery:</t>
  </si>
  <si>
    <t xml:space="preserve"> BID DOCUMENT IS AVAILABLE AT MENR OFFICE, IMPLEMENTING OFFICE.</t>
  </si>
  <si>
    <t xml:space="preserve"> https://drive.google.com/file/d/1TN8Ow1Xl8kyd3kfuWKEcBKUSKwbofMSi/view?usp=drivesdk</t>
  </si>
  <si>
    <t xml:space="preserve"> https://drive.google.com/file/d/1udbV5AN1o0ieaQ2_QR7P-RFmY4an7tSo/view?usp=drivesdk</t>
  </si>
  <si>
    <t xml:space="preserve"> BID DOCUMENT IS AVAILABLE AT BAC SECRETARIAT, ENGINEERING OFFICE.</t>
  </si>
  <si>
    <t xml:space="preserve"> https://drive.google.com/file/d/19nH3s04u5yiRs5AQxT3ARy7n9dTKiYks/view?usp=drivesdk</t>
  </si>
  <si>
    <t xml:space="preserve"> https://drive.google.com/file/d/1GUCbdAOPipkb0p4oasJm8BTXZyyh7mYo/view?usp=drivesdk</t>
  </si>
  <si>
    <t xml:space="preserve"> https://drive.google.com/file/d/1ugzoJ7OYobr3nbw0cYc0Vy1bVkeLR_-q/view?usp=drivesdk</t>
  </si>
  <si>
    <t xml:space="preserve"> https://drive.google.com/file/d/1qb6LKEDmLSqDrosX3AZTK-9gzUDxeUdt/view?usp=drivesdk</t>
  </si>
  <si>
    <t xml:space="preserve"> https://drive.google.com/file/d/1JzuDEVFIrswL8eikhsX2Wc8TOJyC0IBN/view?usp=drivesdk</t>
  </si>
  <si>
    <t xml:space="preserve"> https://drive.google.com/file/d/1T3OrLFHUIQi3EL4Pn-3FFLuXSRW25GGP/view?usp=drivesdk</t>
  </si>
  <si>
    <t xml:space="preserve"> https://drive.google.com/file/d/1KZ2ycW5efDe28R3QzrkiXNtU-BJo2YoW/view?usp=drivesdk</t>
  </si>
  <si>
    <t xml:space="preserve"> https://drive.google.com/file/d/1094FOo4PPGF6PD3EPPPO9WbOuoVlFs3g/view?usp=drivesdk</t>
  </si>
  <si>
    <t xml:space="preserve"> https://drive.google.com/file/d/10SQltL3tBpTFdJkmz8cdEPVt5uWdeqYd/view?usp=drivesdk</t>
  </si>
  <si>
    <t xml:space="preserve"> Please see Project's plan and specification</t>
  </si>
  <si>
    <t xml:space="preserve"> Please see Project's Plan and specification</t>
  </si>
  <si>
    <t xml:space="preserve"> Project Reference no. - GS100-20-04-134</t>
  </si>
  <si>
    <t xml:space="preserve"> Barangay Hall, Barangay Olotan Jaro, Leyte</t>
  </si>
  <si>
    <t xml:space="preserve"> Please see Project's plan &amp; Specification</t>
  </si>
  <si>
    <t xml:space="preserve"> OPENING OF BIDS: June 18, 2020</t>
  </si>
  <si>
    <t xml:space="preserve"> &gt; 94,228 Liters DIESOLINE</t>
  </si>
  <si>
    <t xml:space="preserve"> &gt; 61,805 Liters DIESOLINE</t>
  </si>
  <si>
    <t xml:space="preserve"> Please see attached at other information</t>
  </si>
  <si>
    <t xml:space="preserve"> &gt; 59,378 Liters DIESOLINE</t>
  </si>
  <si>
    <t xml:space="preserve"> 1.)	105	bdft.	Coco Lumber</t>
  </si>
  <si>
    <t xml:space="preserve"> 1.)	2231	bd.ft.	507- 2"x2"X12' Ceiling Joist (Hard Lumber)</t>
  </si>
  <si>
    <t xml:space="preserve"> 1.)	1802	bd.ft	Coco stake</t>
  </si>
  <si>
    <t xml:space="preserve"> Kindly see the specification</t>
  </si>
  <si>
    <t xml:space="preserve"> Item Number	Description	Quantity	Unit</t>
  </si>
  <si>
    <t xml:space="preserve"> Pay Item No.	Description	Unit	Quantity</t>
  </si>
  <si>
    <t xml:space="preserve"> PLEASE CHECK SIMILAR INFORMATION POSTED AT THE WEBSITE OF THE PROCURING ENTITY</t>
  </si>
  <si>
    <t xml:space="preserve"> https://tinyurl.com/y9zta38j</t>
  </si>
  <si>
    <t xml:space="preserve"> Details and other information will be discuss during pre-bid conference.</t>
  </si>
  <si>
    <t xml:space="preserve"> https://drive.google.com/file/d/1w0OSxL1ylNwS7UJmM7QfeBOJvbf4ZTBB/view?usp=drivesdk</t>
  </si>
  <si>
    <t xml:space="preserve"> AS PER INVITATION TO BID</t>
  </si>
  <si>
    <t xml:space="preserve"> https://drive.google.com/file/d/1KgHRA1CgLn0h8QZo9dFR0kgGgD4506Np/view?usp=drivesdk</t>
  </si>
  <si>
    <t xml:space="preserve"> Link to the complete set of bidding documents</t>
  </si>
  <si>
    <t xml:space="preserve"> https://drive.google.com/file/d/1nRlSegarXjVOqcdvtrgyDga4nLPhjbaS/view?usp=drivesdk</t>
  </si>
  <si>
    <t xml:space="preserve"> BAC Activities	Schedule	</t>
  </si>
  <si>
    <t xml:space="preserve"> Item Number	Description	Quantity	Unit	Total	Delivered, Weeks/Months</t>
  </si>
  <si>
    <t xml:space="preserve"> RECEIPT OF LOI's FROM PROSPECTIVE BUYERS: DEADLINE-MAY 29-JUNE 1, 2020</t>
  </si>
  <si>
    <t xml:space="preserve"> RECEIPT OF LOI's FROM PROSPECTIVE BIDDERS: DEADLINE- MAY 29-JUNE 1, 2020</t>
  </si>
  <si>
    <t xml:space="preserve"> RECEIPT OF LOI's FROM PROSPECTIVE BIDDERS: DEADLINE- MAY 29 - JUNE 1, 2020 @ 5:00PM</t>
  </si>
  <si>
    <t xml:space="preserve"> For information only.</t>
  </si>
  <si>
    <t xml:space="preserve"> https://drive.google.com/file/d/13mprqhPHcXTrDe_QgsLo3t98kIkwUxU9/view?usp=drivesdk</t>
  </si>
  <si>
    <t xml:space="preserve"> REGIONAL BIDS AND AWARDS COMMITTEE – CEBU REGIONAL OFFICE</t>
  </si>
  <si>
    <t xml:space="preserve"> You can also download the items and specifications at our official website: www.cebucity.gov.ph under For </t>
  </si>
  <si>
    <t xml:space="preserve"> A complete set of Bidding Documents may be purchased by interested Bidders starting May 13, 2020 from the above address and upon payment of a nonrefundable fee for the Bidding Documents in the amount of Five Thousand Pesos (Php5,000.00). It may also be downloaded free of charge from the website of the Philippine Government Electronic Procurement System (www.philgeps.gov.ph) and PNOC EC’s website (www.pnoc-ec.com.ph), provided that Bidders shall pay the nonrefundable fee for the Bidding Documents not later than the submission of their bids. </t>
  </si>
  <si>
    <t xml:space="preserve"> https://drive.google.com/file/d/1OhJYfUKXKxIsmyTUju70sM5Tmpqf1WOY/view?usp=drivesdk</t>
  </si>
  <si>
    <t xml:space="preserve"> NOTE: (FOR JOB ORDER)</t>
  </si>
  <si>
    <t xml:space="preserve"> Cost of Bidding Documents:</t>
  </si>
  <si>
    <t xml:space="preserve"> https://drive.google.com/file/d/1ovyTsyCjDnH9I_xhDI_v9Xyjs2PP1OCN/view?usp=drivesdk</t>
  </si>
  <si>
    <t xml:space="preserve"> https://drive.google.com/file/d/1MeBZxZABIsjVNcNt2JjwT26rFCy8DW4B/view?usp=drivesdk</t>
  </si>
  <si>
    <t xml:space="preserve"> BID DOCUMENT IS AVAILABLE AT MENR OFFICE.</t>
  </si>
  <si>
    <t xml:space="preserve"> Please see attached Files @ Other Information</t>
  </si>
  <si>
    <t xml:space="preserve"> 1. PRE-BID CONFERENCE - APRIL 30, 2020 @ 10:00 A.M.</t>
  </si>
  <si>
    <t xml:space="preserve"> for queries, pls. contact MS. NADZ ILETO at tel no. 85512200 locals 2979, 2290, 2609; 8405-7233 to 34</t>
  </si>
  <si>
    <t xml:space="preserve"> Upon Purchase of Bidding Documents, please submit the following documents:</t>
  </si>
  <si>
    <t xml:space="preserve"> for queries, pls. contact MR. CHARM FLORIDO at tel nos. 85512200 locals 2452, 2453; 84057233 to 34</t>
  </si>
  <si>
    <t xml:space="preserve"> Please download bidding documents at the provided link, https://drive.google.com/file/d/1AG4pZFter9pn6v7Eid8Y7AmJl0sflTwb/view?usp=drivesdk</t>
  </si>
  <si>
    <t xml:space="preserve"> 1.)	19,150	Liters	DIESOLINE</t>
  </si>
  <si>
    <t xml:space="preserve"> https://drive.google.com/file/d/1fE8kGx1zfzrBVqMrHWopxeopdfB7BAWr/view?usp=drivesdk</t>
  </si>
  <si>
    <t xml:space="preserve"> https://drive.google.com/file/d/1mugT1cujxH8itcWNRyPG4upMU0z8giyF/view?usp=drivesdk</t>
  </si>
  <si>
    <t xml:space="preserve"> for inquiries, pls contact MS. ARVIE ESTRELLA at tel no. 8-405-7233 to 34, 8-5512200 locals 2452, 2453, 2731, 2609, 2979 &amp; 2290</t>
  </si>
  <si>
    <t xml:space="preserve"> https://drive.google.com/file/d/1qtI6uLuPTfupSLOWJrSFHjBUCF_nTlVh/view?usp=drivesdk</t>
  </si>
  <si>
    <t xml:space="preserve"> https://drive.google.com/file/d/1gq-uhuG35n6Wssp0-C5RqRWCOoT3qWhU/view?usp=drivesdk</t>
  </si>
  <si>
    <t xml:space="preserve"> https://drive.google.com/file/d/1eUByw-XoHpvQ80JBCnog_wv7rXdHOj7E/view?usp=drivesdk</t>
  </si>
  <si>
    <t xml:space="preserve"> https://drive.google.com/file/d/1g7IsOqGtcgzDR0H_oyBs18lfrT4AtrLv/view?usp=drivesdk</t>
  </si>
  <si>
    <t xml:space="preserve"> 1.	PRE-BID CONFERENCE – APRIL 08, 2020 @ 10:00 A.M.</t>
  </si>
  <si>
    <t xml:space="preserve"> https://drive.google.com/file/d/1iejDn2V003pl443bno7yLVpXoJyGtDvF/view?usp=drivesdk</t>
  </si>
  <si>
    <t xml:space="preserve"> SEE LINK FOR PLANS AND BID DOCS AT:</t>
  </si>
  <si>
    <t xml:space="preserve"> https://drive.google.com/file/d/13JyPRsYb9HqV-Hrsh5wARiERsePSPPTM/view?usp=drivesdk</t>
  </si>
  <si>
    <t xml:space="preserve"> Delivery within 30 calendar days upon receipt of Notice to Proceed</t>
  </si>
  <si>
    <t xml:space="preserve"> 20CE0206: Installation of New Traffic Counter/Classifier (ATC), Two (2) Lanes (Dual Piezo); Invitation to Bid including Plans and other Supporting Docs</t>
  </si>
  <si>
    <t xml:space="preserve"> Scope of Works:</t>
  </si>
  <si>
    <t xml:space="preserve"> 20CE0205: Installation of New Traffic Counter/Classifier (ATC), Two (2) Lanes (Dual Piezo); Invitation to Bid including Plans and other Supporting Docs</t>
  </si>
  <si>
    <t xml:space="preserve"> Bid Documents and Plans are also downloadable in the DPWH Website</t>
  </si>
  <si>
    <t xml:space="preserve"> Please download the Price Quotation Form and Omnibus Sworn Statement using the links below:</t>
  </si>
  <si>
    <t xml:space="preserve"> 1.	Anesthesia Machine with Ventilator and Patient Monitor with Capnograph	1	Unit	2,500,000.00	Within 60 Calendar Days from receipt of the NTP	Lorenzo D. Zayco District Hospital, Kabankalan, Negros Occidental</t>
  </si>
  <si>
    <t xml:space="preserve"> 1. PRE-BID CONFERENCE – MARCH 25, 2020 @ 10:00 A.M.</t>
  </si>
  <si>
    <t xml:space="preserve"> for queries, pls. contact MS. ANJ EMETERIO at vtel nos. 8-4057234, 8-4057233, 8-5512200 locals 2452, 2453, 2290, 2979</t>
  </si>
  <si>
    <t xml:space="preserve"> 1.		Serum, Anti-rabies (Equine) 200 IU/mL, 5 mL Vial	3,839	Vials	4,999,568.09	Within 20 to 30 Calendar Days from receipt of the NTP	DOH – WV CHD</t>
  </si>
  <si>
    <t xml:space="preserve"> Bid Documents and Plans are also downloadable in the Website</t>
  </si>
  <si>
    <t xml:space="preserve"> 1.	Cotton Balls, 150pcs/Box	30	Packs	1,522.50	Within 15 Calendar Days from receipt of the NTP	DOH – WV CHD</t>
  </si>
  <si>
    <t xml:space="preserve"> KINDLY DOWNLOAD THE ATTACHED PHILIPPINE BIDDING DOCUMENTS (PBD) WITH TECH SPECS AND PRICE AND CHEKLIST OF ELIGIBILITY REQUIREMENTS IN THE ASSOCIATED COMPONENTS.</t>
  </si>
  <si>
    <t xml:space="preserve"> KINDLY DOWNLOAD THE ATTACHED PHILIPPINE BIDDING DOCUMENS (PBD) WITH THE TECH SPECS AND PRICE AND CHECKLIST OF ELIGIBILITY REQUIREMENTS IN THE ASSOCIATED COMPONENTS.</t>
  </si>
  <si>
    <t xml:space="preserve"> 1.		Acetylcysteine 600 mg Effervescent Tablet	1,000	Tablets	24,200.00	Within 30 Calendar Days from receipt of the NTP	DOH – WV CHD</t>
  </si>
  <si>
    <t xml:space="preserve"> KINDLY DOWNLOAD THE ATTACHED PHILIPPINE BIDDING DOCUMENTS (PBD) WITH TECH SPECS AND PRICE AND CHECKLIST OF ELIGIBILITY REQUIREMENTS IN THE ASSOCIATED COMPONENTS.</t>
  </si>
  <si>
    <t xml:space="preserve"> Download the complete set of Bidding Documents at pcso.gov.ph</t>
  </si>
  <si>
    <t xml:space="preserve"> https://drive.google.com/file/d/1AaNPLShVUb8a0PaJwU9vo5R7eV2VoOAN/view?usp=drivesdk</t>
  </si>
  <si>
    <t xml:space="preserve"> Purpose: For Students and Employees ID Production (School Year 2020-2021).</t>
  </si>
  <si>
    <t xml:space="preserve"> for queries, pls. contact MS. JENKIN DY at tel no. 085512200 locals 2290, 2979, 4169, 2609</t>
  </si>
  <si>
    <t xml:space="preserve"> Please see Associated Components attached</t>
  </si>
  <si>
    <t xml:space="preserve"> • PCAB License: License Category of at least “Category D – General Building” and registration classification of at least “Small B – Building or Industrial Plant”</t>
  </si>
  <si>
    <t xml:space="preserve"> Please see Associated Components attached.</t>
  </si>
  <si>
    <t xml:space="preserve"> Purpose: Use for Guesthouse, hostel and laundry of linens</t>
  </si>
  <si>
    <t xml:space="preserve"> kindly download the attached bidding documents for details of requirements.</t>
  </si>
  <si>
    <t xml:space="preserve"> Purpose: To keep safe of the documents under the office of the Alumni Affairs.</t>
  </si>
  <si>
    <t xml:space="preserve"> View/Download for complete set of Bidding Documents thru this link&gt;&gt;</t>
  </si>
  <si>
    <t xml:space="preserve"> View/Download the complete set of Bidding Documents thru this link&gt;&gt;</t>
  </si>
  <si>
    <t xml:space="preserve"> View/Download the complete set of Bidding documents thru this link&gt;&gt;</t>
  </si>
  <si>
    <t xml:space="preserve"> Purpose: To be used for crushing/to powderized food and food product prototypes of the Zamboanga Penisula Food Innovation Center, To be used for the conduct of food experiments and development of food product prototypes of the Zamboanga Penisula Food Innovation Center, To be used for the conduct of food experimentation and production of food product prototypes of the Zamboanga Penisula Food Innovation Center</t>
  </si>
  <si>
    <t xml:space="preserve"> Please download the attached PBD in the associated components</t>
  </si>
  <si>
    <t xml:space="preserve"> Purpose: Repiping of Water Lines at Chemistry Laboratory</t>
  </si>
  <si>
    <t xml:space="preserve"> A complete set of Bidding Documents will be provided by PNBAC Secretariat to the interested Bidders upon payment of a non-refundable fee in the amount of  TWENTY FIVE THOUSAND PESOS (P25,000.00) only at CRB, CPMU, Philippine Navy Finance Center (PNFC), Naval Station Jose Francisco, Fort Bonifacio, Taguig City.</t>
  </si>
  <si>
    <t xml:space="preserve"> Purpose: Repair of HI-ACE Grandia GL with Plate No.: SJE-963, Repair of CHEVROLET TRAILBLAZER with Plate No.: SAA-4045</t>
  </si>
  <si>
    <t xml:space="preserve"> View/Download for complete set of Bidding Documents thru link&gt;&gt;</t>
  </si>
  <si>
    <t xml:space="preserve"> View/Download for complete set of Bidding Document thru this link&gt;&gt;</t>
  </si>
  <si>
    <t xml:space="preserve"> https://drive.google.com/file/d/1f6c0G2DigXsPZjyGWHlJtcC7kd83gIoV/view?usp=drivesdk</t>
  </si>
  <si>
    <t xml:space="preserve"> https://drive.google.com/file/d/12SlsQOZi3IGzUSumibP1k9hpU65VM66X/view?usp=drivesdk</t>
  </si>
  <si>
    <t xml:space="preserve"> ITB20-03-020B</t>
  </si>
  <si>
    <t xml:space="preserve"> Reference: PR No: 20-01-008</t>
  </si>
  <si>
    <t xml:space="preserve"> Bidders must download the document in the associated section.</t>
  </si>
  <si>
    <t xml:space="preserve"> • Complete Project Title: Supply, Delivery, Installation, Test and Commissioning of 1 x 200 kW and 1 x 100 kW Modular Diesel Gensets and Associated Electrical Equipment for Sarangani Diesel Power Plant, Sarangani, Davao Occidental</t>
  </si>
  <si>
    <t xml:space="preserve"> (PLEASE SEE ATTACHED FILES)</t>
  </si>
  <si>
    <t xml:space="preserve"> • Similar Contracts: Supply, delivery, installation, configuration and testing of Data Analytics License and/or enterprise application software</t>
  </si>
  <si>
    <t xml:space="preserve"> Project Reference No.: GS300-20-02-66</t>
  </si>
  <si>
    <t xml:space="preserve"> ITB20-03-020A</t>
  </si>
  <si>
    <t xml:space="preserve"> ITB20-03-021A</t>
  </si>
  <si>
    <t xml:space="preserve"> https://drive.google.com/file/d/1eCBCUBNmhRxv5N7MsRYNfgHeVsb9avSH/view?usp=drivesdk</t>
  </si>
  <si>
    <t xml:space="preserve"> https://drive.google.com/file/d/1YiLRbwAqCa3Xuxc12GY_CikWnlwvbDBl/view?usp=drivesdk</t>
  </si>
  <si>
    <t xml:space="preserve"> • Similar Contracts: Dry docking and ship repair</t>
  </si>
  <si>
    <t xml:space="preserve"> ITB20-03-023B</t>
  </si>
  <si>
    <t xml:space="preserve"> ITB20-03-022B</t>
  </si>
  <si>
    <t xml:space="preserve"> ITB20-03-022A</t>
  </si>
  <si>
    <t xml:space="preserve"> https://drive.google.com/file/d/1dmzxuYmLrG8QK6uqYaKA7mMD4H2iXBER/view?usp=drivesdk</t>
  </si>
  <si>
    <t xml:space="preserve"> ITB20-03-023A</t>
  </si>
  <si>
    <t xml:space="preserve"> ITB20-03-021B</t>
  </si>
  <si>
    <t xml:space="preserve"> https://drive.google.com/file/d/1gWaGYwA04wkzo1Y4WSBeJCctrIj3EJax/view?usp=drivesdk</t>
  </si>
  <si>
    <t xml:space="preserve"> https://drive.google.com/file/d/1vHUImqTUEA8sxppcI-jrA8Qu2iHXODms/view?usp=drivesdk</t>
  </si>
  <si>
    <t xml:space="preserve"> https://drive.google.com/file/d/1ljZoGjp_QS7oSlj15I1qdAiE4zF8WaWQ/view?usp=drivesdk</t>
  </si>
  <si>
    <t xml:space="preserve"> https://drive.google.com/file/d/1RudsiyBxVxkp9E7MxQo4Ounkryxs09d4/view?usp=drivesdk</t>
  </si>
  <si>
    <t xml:space="preserve"> • Complete Project Title: Supply, Delivery, Installation, Test &amp; Commissioning of 3 x 50 kW Modular Diesel Gensets, Associated Electrical Equipment and Balance of Plant for the Electrification of New Area in Sulu under Package 11A</t>
  </si>
  <si>
    <t xml:space="preserve"> For copies of the Drawings and Technical Specifications, kindly refer to the LINKS below.</t>
  </si>
  <si>
    <t xml:space="preserve"> For query,  pls. contact MS. NADZ ILETO at tel no. 8-5512200 locals 2290, 2979, 2609, 4169</t>
  </si>
  <si>
    <t xml:space="preserve"> For query,  pls. contact MS. ANJ EMETERIO at tel no. 8-4057234, 8-4057233, 8-5512200 LOCALS 2452, 2453, 2731</t>
  </si>
  <si>
    <t xml:space="preserve"> ITB20-03-019A</t>
  </si>
  <si>
    <t xml:space="preserve"> For query,  pls. contact MR. JENKIN DY at tel no. 8-5512200 locals 2290, 2979, 2609, 4169</t>
  </si>
  <si>
    <t xml:space="preserve"> • PCAB License: License Category of at least “Category D – General Engineering” and registration classification of at least “Small B – Road, Highway Pavement, Railways, Airport Horizontal Structures and Bridges”</t>
  </si>
  <si>
    <t xml:space="preserve"> Bidding Documents and Plans are also downloadable in the DPWH Website</t>
  </si>
  <si>
    <t xml:space="preserve"> • Similar Contracts: Supply, Delivery, Test and Commissioning of Diesel Power Generations Systems with aggregate output capacity of at least 5.0 MW e.</t>
  </si>
  <si>
    <t xml:space="preserve"> • PCAB License: License Category of at least “Category D – Electrical Works” and registration classification of at least “Small B – Electrical Works”</t>
  </si>
  <si>
    <t xml:space="preserve"> • Similar Contracts: Security Services</t>
  </si>
  <si>
    <t xml:space="preserve"> See attached bidding documents</t>
  </si>
  <si>
    <t xml:space="preserve"> Kindly download the attached bidding documents for details of specifications and other requirements.</t>
  </si>
  <si>
    <t xml:space="preserve"> https://drive.google.com/file/d/1lJ72-tquBSgOglIaxEdXrplFSBh74ANo/view?usp=drivesdk</t>
  </si>
  <si>
    <t xml:space="preserve"> please download associated documents</t>
  </si>
  <si>
    <t xml:space="preserve"> https://drive.google.com/file/d/1RYaGswne9zbDy43U7eEJuPuZ-Mbzuf9-/view?usp=drivesdk</t>
  </si>
  <si>
    <t xml:space="preserve"> • PCAB License: License Category of at least “Category B – General Building” and registration classification of at least “Medium A – Building or Industrial Plant”</t>
  </si>
  <si>
    <t xml:space="preserve"> • PCAB License: License Category of at least “Category D – General Building” and registration classification of at least “Small B – Building or Industrial Plant” or “Category D – General Engineering” and registration classification of at least “Small B – Road, Highways, Pavement, Railways, Airport, Horizontal Structure and Bridges” or “Small B – Irrigation or Flood Control” or “Small B – Port, Harbor or Offshore Engineering”</t>
  </si>
  <si>
    <t xml:space="preserve"> KINDLY DOWNLOAD THE PHILIPPINE BIDDING DOCUMENTS (PBD) WITH TECH SPECS AND PRICE AND CHECKLIST OF ELIGIBILITY REQUIREMENTS IN THE ASSOCIATED COMPONENTS.</t>
  </si>
  <si>
    <t xml:space="preserve"> https://drive.google.com/file/d/14YC6eoqAoU1G22fFGLhXq-tMh7Qo6QcD/view?usp=drivesdk</t>
  </si>
  <si>
    <t xml:space="preserve"> ITB20-02-017B</t>
  </si>
  <si>
    <t xml:space="preserve"> ITB20-02-017C</t>
  </si>
  <si>
    <t xml:space="preserve"> ITB20-02-017A</t>
  </si>
  <si>
    <t xml:space="preserve"> • Similar Contracts: Supply and Delivery of Electrical / Mechanical Spare Parts for Diesel Generating Sets</t>
  </si>
  <si>
    <t xml:space="preserve"> Download this link https://drive.google.com/file/d/1AW0eBjNYYFACxG1z2ghGATa47KMHzRTN/view?usp=drivesdk</t>
  </si>
  <si>
    <t xml:space="preserve"> https://drive.google.com/file/d/1ekn0ehcul9LlYuZ5Lx3aDO_CZdscPPHh/view?usp=drivesdk</t>
  </si>
  <si>
    <t xml:space="preserve"> Please download this link https://drive.google.com/file/d/1zGxEd2DcfLuu6LyUPlU0ZZW385CqjuV5/view?usp=drivesdk</t>
  </si>
  <si>
    <t xml:space="preserve"> Download the complete set of bidding documents at pcso.gov.ph Invitation to Bid</t>
  </si>
  <si>
    <t xml:space="preserve"> https://drive.google.com/file/d/1S99bbKF0ugZ3dTTl2KyFEW7qIxcz-GoC/view?usp=drivesdk</t>
  </si>
  <si>
    <t xml:space="preserve"> KINDLY DOWNLOAD THE ATTACHED PHILIPPINE BIDDING DOCUMENTS (PBD) WHICH INCLUDES THE TECH SPECS AND PRICE AND THE CHECKLIST OF ELIGIBILITY REQUIREMENTS IN THE ASSOCIATED COMPONENTS.</t>
  </si>
  <si>
    <t xml:space="preserve"> KINDLY DOWNLOAD THE ATTACHED PHILIPPINE BIDDING DOCUMENTS (PBD) WHICH INCLUDES TECH SPECS AND PRICE AND THE CHECKLIST OF ELIGIBILITY REQUIREMENTS IN THE ASSOCIATED COMPONENTS.</t>
  </si>
  <si>
    <t xml:space="preserve"> 1. PRE-BID CONFERENCE – MARCH 06, 2020 @ 10:00 A.M.</t>
  </si>
  <si>
    <t xml:space="preserve"> Pls download attached file</t>
  </si>
  <si>
    <t xml:space="preserve"> copy and paste link: https://drive.google.com/file/d/12Ls09gPVUpbQVxlAd1sE2G-4rzagBkoO/view?usp=drivesdk</t>
  </si>
  <si>
    <t xml:space="preserve"> https://drive.google.com/file/d/15dxq8qcQWGpyxnIZ83ZRyLP9JP8VGoiA/view?usp=drivesdk</t>
  </si>
  <si>
    <t xml:space="preserve"> Pre-bid coferece is not required for ABC is below 1M.</t>
  </si>
  <si>
    <t xml:space="preserve"> • Complete Project Title: Supply, Delivery, Installation, Test and Commissioning of Eight (8) Units of 50kW Modular Diesel Gensets, Associated Electrical Equipment and Balance of Plant for Dipla, Maytegued, Batas and Debangan DPP under the Electrification of New Areas in Palawan (Package 8)</t>
  </si>
  <si>
    <t xml:space="preserve"> for queries, pls. contact MR. RUEL MARCA at tel no. 85512200 locals 2979, 2290, 2609, 4169</t>
  </si>
  <si>
    <t xml:space="preserve"> PCAB License: License Category of at least “Category B – General Building” and registration classification of at least “Medium A – Port, Harbor or Offshore Engineering”</t>
  </si>
  <si>
    <t xml:space="preserve"> BIDDING DOCUMENTS:</t>
  </si>
  <si>
    <t xml:space="preserve"> ITB20-02-016D</t>
  </si>
  <si>
    <t xml:space="preserve"> • Complete Project Title: Supply, Delivery, Installation, Test and Commissioning of Eight (8) Units of Modular Diesel Generating Sets and Electrical Equipment for Panay and Agutaya SPUG Areas under Schedule IID</t>
  </si>
  <si>
    <t xml:space="preserve"> ITB20-02-016B</t>
  </si>
  <si>
    <t xml:space="preserve"> • Complete Project Title: Supply, Delivery, Installation, Test and Commissioning of Thirty-One (31) Units of Modular Diesel Generating Sets and Electrical Equipment for Samar SPUG Areas under Schedule IIA</t>
  </si>
  <si>
    <t xml:space="preserve"> • Complete Project Title: Supply, Delivery, Installation, Test &amp; Commissioning of Seven (7) Units of Modular Diesel Gensets and Associated Electrical Equipment for Three (3) Areas of Barangay Power Association (BAPA) in Palawan</t>
  </si>
  <si>
    <t xml:space="preserve"> • PCAB License: License Category of at least “Category D – General Building” and registration classification of at least “Small B – Building and Industrial Plant”</t>
  </si>
  <si>
    <t xml:space="preserve"> 1. Issuance of Bidding Documents	:	February 27 2020 to March 17, 2020</t>
  </si>
  <si>
    <t xml:space="preserve"> Scope of Work		:	Widening of Bridge</t>
  </si>
  <si>
    <t xml:space="preserve"> for queries, pls. contact MR. JENKIN DY at tel no. 85512200 locals 2290, 2979, 2609, 4169</t>
  </si>
  <si>
    <t xml:space="preserve"> https://drive.google.com/file/d/1GrlOFIyCPNun6HYU9OytofopFaLTVy2E/view?usp=drivesdk</t>
  </si>
  <si>
    <t xml:space="preserve"> https://drive.google.com/file/d/1BMLeAuDBi1I6Wh0Eu-m7NsEpJlmHVWRe/view?usp=drivesdk</t>
  </si>
  <si>
    <t xml:space="preserve"> https://drive.google.com/file/d/1_I3Prf-NLqnWM9_jMVIwUMInMYjd1HTJ/view?usp=drivesdk</t>
  </si>
  <si>
    <t xml:space="preserve"> 1. PRE-BID CONFERENCE - FEBRUARY 19, 2020 @ 10:00AM</t>
  </si>
  <si>
    <t xml:space="preserve"> 1. Issuance of Bidding Documents	:	February 14, 2020 to March 05, 2020</t>
  </si>
  <si>
    <t xml:space="preserve"> 1. PRE-BID CONFERENCE - JANUARY 16, 2020 @ 10:00 A.M.</t>
  </si>
  <si>
    <t xml:space="preserve"> Deadline for submission of quotations:</t>
  </si>
  <si>
    <t xml:space="preserve"> https://drive.google.com/file/d/1siT58uDgNfHC5Tpa9Jd87SC-SOvob289/view?usp=drivesdk</t>
  </si>
  <si>
    <t xml:space="preserve"> https://drive.google.com/file/d/14a9HE75Gx-oKeXB3SjnGfp5rozkChqqi/view?usp=drivesdk</t>
  </si>
  <si>
    <t xml:space="preserve"> https://drive.google.com/file/d/1GitmmZ8RWdPW2m6sBN4NPaUO62i_XILp/view?usp=drivesdk</t>
  </si>
  <si>
    <t xml:space="preserve"> https://drive.google.com/file/d/1wxlS1oSLk54a3cqpYqYwOJEjTvK4Hje1/view?usp=drivesdk</t>
  </si>
  <si>
    <t xml:space="preserve"> FOR MORE INFORMATION, PLEASE CONTACT BRGY. CHAIRMAN OR VISIT BARANGAY POTOL, DAPITAN CITY.</t>
  </si>
  <si>
    <t xml:space="preserve"> Deadline for submission of quotation:</t>
  </si>
  <si>
    <t xml:space="preserve"> Also available at DPWH Website.</t>
  </si>
  <si>
    <t>Reynante B. Quiros</t>
  </si>
  <si>
    <t>Joseph Cañas Hernani</t>
  </si>
  <si>
    <t>Eduardo D. Fernandez</t>
  </si>
  <si>
    <t>Angelino R. Bautista</t>
  </si>
  <si>
    <t>Marino E Martinquilla</t>
  </si>
  <si>
    <t>Abdul Rafi M. Lomondaya</t>
  </si>
  <si>
    <t>Roland Dayuno Morales</t>
  </si>
  <si>
    <t>Jennylyn Fernando Macapagal</t>
  </si>
  <si>
    <t>Mark J. Arceo</t>
  </si>
  <si>
    <t>ALODIA U MAPANAO</t>
  </si>
  <si>
    <t>VALERIE VERBO SAGIBO</t>
  </si>
  <si>
    <t>Jimmy Lamayra Gonzales</t>
  </si>
  <si>
    <t>Castor Gracilla Verdeblanco</t>
  </si>
  <si>
    <t>Perry Origenes Bague</t>
  </si>
  <si>
    <t>dipolog water bac</t>
  </si>
  <si>
    <t>Michael, Jr. N Quizon</t>
  </si>
  <si>
    <t>Marilou Seno Villanueva</t>
  </si>
  <si>
    <t>Maylen Asuncion</t>
  </si>
  <si>
    <t>Korina Sibulo Tronqued</t>
  </si>
  <si>
    <t>Fe P Sagre</t>
  </si>
  <si>
    <t>Riza Joy Barnizo Pele-in</t>
  </si>
  <si>
    <t>Roxanne C. Pimentel</t>
  </si>
  <si>
    <t>Nerichelle R Bobis</t>
  </si>
  <si>
    <t>Harold C. Duremdes</t>
  </si>
  <si>
    <t>John Carlo V Alegre</t>
  </si>
  <si>
    <t>Sherrymine C. Lazaga</t>
  </si>
  <si>
    <t>Lealoraine A. Gomez</t>
  </si>
  <si>
    <t>ANECITA A. SESPEÑE</t>
  </si>
  <si>
    <t>Roy C Gonzales</t>
  </si>
  <si>
    <t>JAZERA DINOPOL OYAO</t>
  </si>
  <si>
    <t>Aurelia Araoarao Bongcac</t>
  </si>
  <si>
    <t>Jesus Muaña Laureno</t>
  </si>
  <si>
    <t>Joseph R. Sermonia</t>
  </si>
  <si>
    <t>LORY MAHINAY GUANI</t>
  </si>
  <si>
    <t>Katherine V Veracruz</t>
  </si>
  <si>
    <t>Ronelio N Hernandez</t>
  </si>
  <si>
    <t>Zosimo B. Coloma</t>
  </si>
  <si>
    <t>Kelly Sajo</t>
  </si>
  <si>
    <t>Nathaniel G Echano</t>
  </si>
  <si>
    <t>Genevieve Nuñez</t>
  </si>
  <si>
    <t>Liza C Dorado</t>
  </si>
  <si>
    <t>Sheryll A Villanueva</t>
  </si>
  <si>
    <t>Patria Pailan Guizano</t>
  </si>
  <si>
    <t>Ramer B. Panes</t>
  </si>
  <si>
    <t>Ana Gutierrez Palenzuela</t>
  </si>
  <si>
    <t>ROMMEL G. GRAGASIN</t>
  </si>
  <si>
    <t>Rosevie Tallera Bartolome</t>
  </si>
  <si>
    <t>Marife Aglosolos</t>
  </si>
  <si>
    <t>MARLYN BARREZA SUMAYA</t>
  </si>
  <si>
    <t>Penarando Surquia</t>
  </si>
  <si>
    <t>Marlone Dagle Alejado</t>
  </si>
  <si>
    <t>Ellen M Reyes</t>
  </si>
  <si>
    <t>Edmundo Jr M Abueg</t>
  </si>
  <si>
    <t>Frenzel Ray Kitan Tomas</t>
  </si>
  <si>
    <t>ALLAN JAY DE LIMA NAPIZA</t>
  </si>
  <si>
    <t>Roderick D Domasig</t>
  </si>
  <si>
    <t>Daniel Apilado Suyat</t>
  </si>
  <si>
    <t>Axel R. Mangila</t>
  </si>
  <si>
    <t>Manuel Jesus Dufourt Roxas III</t>
  </si>
  <si>
    <t>Zandro A. Samarista</t>
  </si>
  <si>
    <t>Gemma Pugong Luglug</t>
  </si>
  <si>
    <t>Sheila Marie S Chua</t>
  </si>
  <si>
    <t>Nelzar Borres Arsenio</t>
  </si>
  <si>
    <t>Veronica CV Esguerra</t>
  </si>
  <si>
    <t>Erick Sombrio Dalumpines</t>
  </si>
  <si>
    <t>SALMA QUIBAYEN PADILLA</t>
  </si>
  <si>
    <t>Rodelio Jr. Abordo Vera</t>
  </si>
  <si>
    <t>Arthur Molenilla Balmadrid</t>
  </si>
  <si>
    <t>MARY ANNE C LADO</t>
  </si>
  <si>
    <t>Fatnuhalda Abarrondo Samparani</t>
  </si>
  <si>
    <t>Angelika A. Paladan</t>
  </si>
  <si>
    <t>M.A Cueva</t>
  </si>
  <si>
    <t>Jasmin Macaspag Dacaynos</t>
  </si>
  <si>
    <t>Dionesia B. Lagas</t>
  </si>
  <si>
    <t>RONALD S LANGBAN</t>
  </si>
  <si>
    <t>Meshele  Lecias  Cadangan</t>
  </si>
  <si>
    <t>RANDELYN MAGLASANG BISQUERA</t>
  </si>
  <si>
    <t>Irma Danganan Lugue</t>
  </si>
  <si>
    <t>Joel R Perez</t>
  </si>
  <si>
    <t>ANNE LORELIE DE LEON LAURETA</t>
  </si>
  <si>
    <t>Atila S. Barre</t>
  </si>
  <si>
    <t>Kristine Salve Estipona Hao</t>
  </si>
  <si>
    <t>Ireneo Lanterno</t>
  </si>
  <si>
    <t>Jed D Panes</t>
  </si>
  <si>
    <t>Ramon Jr. Paras Dela Cruz</t>
  </si>
  <si>
    <t>Jovellen G. Diaz</t>
  </si>
  <si>
    <t>Christel June Napoles</t>
  </si>
  <si>
    <t>Bernadette Baua</t>
  </si>
  <si>
    <t>Jenalyn Julaton Acosta</t>
  </si>
  <si>
    <t>Cayylord D. Niala</t>
  </si>
  <si>
    <t>Ryan Saguyod Apolonio</t>
  </si>
  <si>
    <t>Cyrene T Palparan</t>
  </si>
  <si>
    <t>Jomar Feliciano Doncillo</t>
  </si>
  <si>
    <t>Rommel T Reamico</t>
  </si>
  <si>
    <t>Michael Rey Villaluz Biado</t>
  </si>
  <si>
    <t>Christian Ian Caligagan Villarin</t>
  </si>
  <si>
    <t>Engimer A. Ludovice</t>
  </si>
  <si>
    <t>Glory Vi A. Mesina</t>
  </si>
  <si>
    <t>Bazil Nacman Cabria</t>
  </si>
  <si>
    <t>BIENVENIDA PAMAN DULCERO</t>
  </si>
  <si>
    <t>Rowena B. Quierez</t>
  </si>
  <si>
    <t>Rosario Fe Quizon Arevalo</t>
  </si>
  <si>
    <t>Rosine Salcedo Gonzalez</t>
  </si>
  <si>
    <t>Rosa Katherine J. Angeles</t>
  </si>
  <si>
    <t>ROEL B CADAGAT</t>
  </si>
  <si>
    <t>Mark Joseph Justimbaste Calinao</t>
  </si>
  <si>
    <t>Lydia Yumang Vinculado</t>
  </si>
  <si>
    <t>Sittie Aisah T. Balindong</t>
  </si>
  <si>
    <t>MUSLIMIN S. PAMIKIRIN</t>
  </si>
  <si>
    <t>Jose Marlowe Torrefranca Echem</t>
  </si>
  <si>
    <t>Michael Angelo J. Paras</t>
  </si>
  <si>
    <t>Olive V Ferreras</t>
  </si>
  <si>
    <t>Jevic Gadon Daguno</t>
  </si>
  <si>
    <t>Leonor F.  Santos</t>
  </si>
  <si>
    <t>Mariel De Vera Mohammad-Sali</t>
  </si>
  <si>
    <t>Lea Marie  P.  Gulloy</t>
  </si>
  <si>
    <t>Haydee Asparin Espinosa</t>
  </si>
  <si>
    <t>Generoso Jr. Projillo Maghopoy</t>
  </si>
  <si>
    <t>Luz S. Liloc</t>
  </si>
  <si>
    <t>German Dichoson Salanio</t>
  </si>
  <si>
    <t>John A Leonardo</t>
  </si>
  <si>
    <t>Kristine Alonzo Gealan</t>
  </si>
  <si>
    <t>Kristine Joy Fernandez Dacasin</t>
  </si>
  <si>
    <t>Elmera Zabate Ebrada</t>
  </si>
  <si>
    <t>REYSHA  T.  QUIMADO</t>
  </si>
  <si>
    <t>RAFAEL LACBAYO SANTIAGO</t>
  </si>
  <si>
    <t>13/02/2020</t>
  </si>
  <si>
    <t>24/03/2020</t>
  </si>
  <si>
    <t>19/08/2019</t>
  </si>
  <si>
    <t>17/05/2020</t>
  </si>
  <si>
    <t>04/05/2020</t>
  </si>
  <si>
    <t>20/04/2020</t>
  </si>
  <si>
    <t>04/04/2020</t>
  </si>
  <si>
    <t>29/03/2020</t>
  </si>
  <si>
    <t>15/03/2020</t>
  </si>
  <si>
    <t>01/03/2020</t>
  </si>
  <si>
    <t>23/02/2020</t>
  </si>
  <si>
    <t>18/02/2020</t>
  </si>
  <si>
    <t>17/02/2020</t>
  </si>
  <si>
    <t>10/02/2020</t>
  </si>
  <si>
    <t>07/01/2020</t>
  </si>
  <si>
    <t>17/01/2020</t>
  </si>
  <si>
    <t>27/01/2020</t>
  </si>
  <si>
    <t>23/01/2020</t>
  </si>
  <si>
    <t>10/01/2020</t>
  </si>
  <si>
    <t>20/01/2020</t>
  </si>
  <si>
    <t>22/10/2019</t>
  </si>
  <si>
    <t>15/09/2019</t>
  </si>
  <si>
    <t>28/10/2019</t>
  </si>
  <si>
    <t>06/10/2019</t>
  </si>
  <si>
    <t>08/12/2019</t>
  </si>
  <si>
    <t>19/09/2019</t>
  </si>
  <si>
    <t>27/11/2019</t>
  </si>
  <si>
    <t>06/11/2019</t>
  </si>
  <si>
    <t>19/12/2019</t>
  </si>
  <si>
    <t>15/12/2019</t>
  </si>
  <si>
    <t>03/12/2019</t>
  </si>
  <si>
    <t>10/11/2019</t>
  </si>
  <si>
    <t>01/12/2019</t>
  </si>
  <si>
    <t>13/10/2019</t>
  </si>
  <si>
    <t>02/01/2020</t>
  </si>
  <si>
    <t>19/08/2018</t>
  </si>
  <si>
    <t>02/01/2019</t>
  </si>
  <si>
    <t>07/02/2019</t>
  </si>
  <si>
    <t>11/09/2018</t>
  </si>
  <si>
    <t>25/03/2019</t>
  </si>
  <si>
    <t>05/05/2019</t>
  </si>
  <si>
    <t>04/07/2019</t>
  </si>
  <si>
    <t>17/06/2019</t>
  </si>
  <si>
    <t>10/07/2019</t>
  </si>
  <si>
    <t>19/07/2018</t>
  </si>
  <si>
    <t>01/07/2019</t>
  </si>
  <si>
    <t>24/06/2019</t>
  </si>
  <si>
    <t>14/08/2019</t>
  </si>
  <si>
    <t>05/02/2020</t>
  </si>
  <si>
    <t>30/09/2018</t>
  </si>
  <si>
    <t>22/10/2018</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</si>
</sst>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3660"/>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f>HYPERLINK("https://www.philgeps.gov.ph/GEPSNONPILOT/Tender/SplashBidNoticeAbstractUI.aspx?menuIndex=3&amp;refID=6904025&amp;Result=3","6904025")</f>
        <v>0</v>
      </c>
      <c r="B2" t="s">
        <v>24</v>
      </c>
      <c r="C2" t="s">
        <v>3089</v>
      </c>
      <c r="D2" t="s">
        <v>16187</v>
      </c>
      <c r="E2" t="s">
        <v>16295</v>
      </c>
      <c r="F2" t="s">
        <v>28198</v>
      </c>
      <c r="G2" t="s">
        <v>28205</v>
      </c>
      <c r="H2" t="s">
        <v>28214</v>
      </c>
      <c r="I2" t="s">
        <v>3797</v>
      </c>
      <c r="J2" t="s">
        <v>28345</v>
      </c>
      <c r="K2" t="s">
        <v>36687</v>
      </c>
      <c r="M2" t="s">
        <v>36993</v>
      </c>
      <c r="N2" t="s">
        <v>40436</v>
      </c>
      <c r="O2" t="s">
        <v>40437</v>
      </c>
      <c r="P2">
        <v>0</v>
      </c>
      <c r="Q2">
        <v>0</v>
      </c>
      <c r="R2" t="s">
        <v>40438</v>
      </c>
      <c r="S2" t="s">
        <v>40582</v>
      </c>
      <c r="T2" t="s">
        <v>42097</v>
      </c>
      <c r="U2" t="s">
        <v>42629</v>
      </c>
      <c r="W2" t="s">
        <v>36993</v>
      </c>
      <c r="X2" t="s">
        <v>40522</v>
      </c>
    </row>
    <row r="3" spans="1:24">
      <c r="A3">
        <f>HYPERLINK("https://www.philgeps.gov.ph/GEPSNONPILOT/Tender/SplashBidNoticeAbstractUI.aspx?menuIndex=3&amp;refID=6932035&amp;Result=3","6932035")</f>
        <v>0</v>
      </c>
      <c r="B3" t="s">
        <v>25</v>
      </c>
      <c r="C3" t="s">
        <v>3090</v>
      </c>
      <c r="D3" t="s">
        <v>16188</v>
      </c>
      <c r="E3" t="s">
        <v>16296</v>
      </c>
      <c r="F3" t="s">
        <v>28198</v>
      </c>
      <c r="G3" t="s">
        <v>28206</v>
      </c>
      <c r="H3" t="s">
        <v>28215</v>
      </c>
      <c r="I3" t="s">
        <v>5100</v>
      </c>
      <c r="J3" t="s">
        <v>28346</v>
      </c>
      <c r="K3" t="s">
        <v>36688</v>
      </c>
      <c r="M3" t="s">
        <v>36994</v>
      </c>
      <c r="N3" t="s">
        <v>40436</v>
      </c>
      <c r="O3" t="s">
        <v>40437</v>
      </c>
      <c r="P3">
        <v>0</v>
      </c>
      <c r="Q3">
        <v>0</v>
      </c>
      <c r="R3" t="s">
        <v>40438</v>
      </c>
      <c r="S3" t="s">
        <v>40582</v>
      </c>
      <c r="T3" t="s">
        <v>42098</v>
      </c>
      <c r="U3" t="s">
        <v>42630</v>
      </c>
      <c r="W3" t="s">
        <v>36994</v>
      </c>
      <c r="X3" t="s">
        <v>40514</v>
      </c>
    </row>
    <row r="4" spans="1:24">
      <c r="A4">
        <f>HYPERLINK("https://www.philgeps.gov.ph/GEPSNONPILOT/Tender/SplashBidNoticeAbstractUI.aspx?menuIndex=3&amp;refID=6931750&amp;Result=3","6931750")</f>
        <v>0</v>
      </c>
      <c r="B4" t="s">
        <v>26</v>
      </c>
      <c r="C4" t="s">
        <v>3091</v>
      </c>
      <c r="D4" t="s">
        <v>16189</v>
      </c>
      <c r="E4" t="s">
        <v>16297</v>
      </c>
      <c r="F4" t="s">
        <v>28198</v>
      </c>
      <c r="G4" t="s">
        <v>28205</v>
      </c>
      <c r="H4" t="s">
        <v>28214</v>
      </c>
      <c r="I4" t="s">
        <v>3797</v>
      </c>
      <c r="J4" t="s">
        <v>28347</v>
      </c>
      <c r="K4" t="s">
        <v>36689</v>
      </c>
      <c r="M4" t="s">
        <v>36995</v>
      </c>
      <c r="N4" t="s">
        <v>40436</v>
      </c>
      <c r="O4" t="s">
        <v>40437</v>
      </c>
      <c r="P4">
        <v>0</v>
      </c>
      <c r="Q4">
        <v>0</v>
      </c>
      <c r="R4" t="s">
        <v>40438</v>
      </c>
      <c r="S4" t="s">
        <v>40582</v>
      </c>
      <c r="T4" t="s">
        <v>42099</v>
      </c>
      <c r="U4" t="s">
        <v>42631</v>
      </c>
      <c r="W4" t="s">
        <v>36995</v>
      </c>
      <c r="X4" t="s">
        <v>40514</v>
      </c>
    </row>
    <row r="5" spans="1:24">
      <c r="A5">
        <f>HYPERLINK("https://www.philgeps.gov.ph/GEPSNONPILOT/Tender/SplashBidNoticeAbstractUI.aspx?menuIndex=3&amp;refID=7009671&amp;Result=3","7009671")</f>
        <v>0</v>
      </c>
      <c r="B5" t="s">
        <v>27</v>
      </c>
      <c r="C5" t="s">
        <v>3092</v>
      </c>
      <c r="D5" t="s">
        <v>16190</v>
      </c>
      <c r="E5" t="s">
        <v>16298</v>
      </c>
      <c r="F5" t="s">
        <v>28198</v>
      </c>
      <c r="G5" t="s">
        <v>28207</v>
      </c>
      <c r="H5" t="s">
        <v>28215</v>
      </c>
      <c r="I5" t="s">
        <v>28218</v>
      </c>
      <c r="J5" t="s">
        <v>28348</v>
      </c>
      <c r="K5" t="s">
        <v>36689</v>
      </c>
      <c r="M5" t="s">
        <v>36996</v>
      </c>
      <c r="N5" t="s">
        <v>40436</v>
      </c>
      <c r="O5" t="s">
        <v>40437</v>
      </c>
      <c r="P5">
        <v>0</v>
      </c>
      <c r="Q5">
        <v>0</v>
      </c>
      <c r="R5" t="s">
        <v>40438</v>
      </c>
      <c r="S5" t="s">
        <v>40582</v>
      </c>
      <c r="T5" t="s">
        <v>42100</v>
      </c>
      <c r="U5" t="s">
        <v>42632</v>
      </c>
      <c r="W5" t="s">
        <v>36996</v>
      </c>
      <c r="X5" t="s">
        <v>40461</v>
      </c>
    </row>
    <row r="6" spans="1:24">
      <c r="A6">
        <f>HYPERLINK("https://www.philgeps.gov.ph/GEPSNONPILOT/Tender/SplashBidNoticeAbstractUI.aspx?menuIndex=3&amp;refID=6985467&amp;Result=3","6985467")</f>
        <v>0</v>
      </c>
      <c r="B6" t="s">
        <v>28</v>
      </c>
      <c r="C6" t="s">
        <v>3093</v>
      </c>
      <c r="D6" t="s">
        <v>16191</v>
      </c>
      <c r="E6" t="s">
        <v>16299</v>
      </c>
      <c r="F6" t="s">
        <v>28198</v>
      </c>
      <c r="G6" t="s">
        <v>28205</v>
      </c>
      <c r="H6" t="s">
        <v>28214</v>
      </c>
      <c r="I6" t="s">
        <v>3797</v>
      </c>
      <c r="J6" t="s">
        <v>28349</v>
      </c>
      <c r="K6" t="s">
        <v>36690</v>
      </c>
      <c r="M6" t="s">
        <v>36997</v>
      </c>
      <c r="N6" t="s">
        <v>40436</v>
      </c>
      <c r="O6" t="s">
        <v>40437</v>
      </c>
      <c r="P6">
        <v>0</v>
      </c>
      <c r="Q6">
        <v>0</v>
      </c>
      <c r="R6" t="s">
        <v>40438</v>
      </c>
      <c r="S6" t="s">
        <v>40582</v>
      </c>
      <c r="T6" t="s">
        <v>42101</v>
      </c>
      <c r="U6" t="s">
        <v>42633</v>
      </c>
      <c r="V6" t="s">
        <v>53778</v>
      </c>
      <c r="W6" t="s">
        <v>36997</v>
      </c>
      <c r="X6" t="s">
        <v>40478</v>
      </c>
    </row>
    <row r="7" spans="1:24">
      <c r="A7">
        <f>HYPERLINK("https://www.philgeps.gov.ph/GEPSNONPILOT/Tender/SplashBidNoticeAbstractUI.aspx?menuIndex=3&amp;refID=6931724&amp;Result=3","6931724")</f>
        <v>0</v>
      </c>
      <c r="B7" t="s">
        <v>26</v>
      </c>
      <c r="C7" t="s">
        <v>3094</v>
      </c>
      <c r="D7" t="s">
        <v>16189</v>
      </c>
      <c r="E7" t="s">
        <v>16300</v>
      </c>
      <c r="F7" t="s">
        <v>28198</v>
      </c>
      <c r="G7" t="s">
        <v>28205</v>
      </c>
      <c r="H7" t="s">
        <v>28214</v>
      </c>
      <c r="I7" t="s">
        <v>3797</v>
      </c>
      <c r="J7" t="s">
        <v>28347</v>
      </c>
      <c r="K7" t="s">
        <v>36689</v>
      </c>
      <c r="M7" t="s">
        <v>36995</v>
      </c>
      <c r="N7" t="s">
        <v>40436</v>
      </c>
      <c r="O7" t="s">
        <v>40437</v>
      </c>
      <c r="P7">
        <v>0</v>
      </c>
      <c r="Q7">
        <v>0</v>
      </c>
      <c r="R7" t="s">
        <v>40438</v>
      </c>
      <c r="S7" t="s">
        <v>40582</v>
      </c>
      <c r="T7" t="s">
        <v>42099</v>
      </c>
      <c r="U7" t="s">
        <v>42634</v>
      </c>
      <c r="W7" t="s">
        <v>36995</v>
      </c>
      <c r="X7" t="s">
        <v>40514</v>
      </c>
    </row>
    <row r="8" spans="1:24">
      <c r="A8">
        <f>HYPERLINK("https://www.philgeps.gov.ph/GEPSNONPILOT/Tender/SplashBidNoticeAbstractUI.aspx?menuIndex=3&amp;refID=6996625&amp;Result=3","6996625")</f>
        <v>0</v>
      </c>
      <c r="B8" t="s">
        <v>29</v>
      </c>
      <c r="C8" t="s">
        <v>3095</v>
      </c>
      <c r="D8" t="s">
        <v>16192</v>
      </c>
      <c r="E8" t="s">
        <v>16301</v>
      </c>
      <c r="F8" t="s">
        <v>28198</v>
      </c>
      <c r="G8" t="s">
        <v>28206</v>
      </c>
      <c r="H8" t="s">
        <v>28215</v>
      </c>
      <c r="I8" t="s">
        <v>28219</v>
      </c>
      <c r="J8" t="s">
        <v>28350</v>
      </c>
      <c r="K8" t="s">
        <v>36689</v>
      </c>
      <c r="M8" t="s">
        <v>36998</v>
      </c>
      <c r="N8" t="s">
        <v>40436</v>
      </c>
      <c r="O8" t="s">
        <v>40437</v>
      </c>
      <c r="P8">
        <v>0</v>
      </c>
      <c r="Q8">
        <v>1</v>
      </c>
      <c r="R8" t="s">
        <v>40438</v>
      </c>
      <c r="S8" t="s">
        <v>40582</v>
      </c>
      <c r="T8" t="s">
        <v>42102</v>
      </c>
      <c r="U8" t="s">
        <v>42635</v>
      </c>
      <c r="W8" t="s">
        <v>36998</v>
      </c>
      <c r="X8" t="s">
        <v>40470</v>
      </c>
    </row>
    <row r="9" spans="1:24">
      <c r="A9">
        <f>HYPERLINK("https://www.philgeps.gov.ph/GEPSNONPILOT/Tender/SplashBidNoticeAbstractUI.aspx?menuIndex=3&amp;refID=6931668&amp;Result=3","6931668")</f>
        <v>0</v>
      </c>
      <c r="B9" t="s">
        <v>26</v>
      </c>
      <c r="C9" t="s">
        <v>3096</v>
      </c>
      <c r="D9" t="s">
        <v>16189</v>
      </c>
      <c r="E9" t="s">
        <v>16302</v>
      </c>
      <c r="F9" t="s">
        <v>28198</v>
      </c>
      <c r="G9" t="s">
        <v>28205</v>
      </c>
      <c r="H9" t="s">
        <v>28214</v>
      </c>
      <c r="I9" t="s">
        <v>3797</v>
      </c>
      <c r="J9" t="s">
        <v>28351</v>
      </c>
      <c r="K9" t="s">
        <v>36689</v>
      </c>
      <c r="M9" t="s">
        <v>36995</v>
      </c>
      <c r="N9" t="s">
        <v>40436</v>
      </c>
      <c r="O9" t="s">
        <v>40437</v>
      </c>
      <c r="P9">
        <v>0</v>
      </c>
      <c r="Q9">
        <v>0</v>
      </c>
      <c r="R9" t="s">
        <v>40438</v>
      </c>
      <c r="S9" t="s">
        <v>40582</v>
      </c>
      <c r="T9" t="s">
        <v>42099</v>
      </c>
      <c r="U9" t="s">
        <v>42636</v>
      </c>
      <c r="W9" t="s">
        <v>36995</v>
      </c>
      <c r="X9" t="s">
        <v>40514</v>
      </c>
    </row>
    <row r="10" spans="1:24">
      <c r="A10">
        <f>HYPERLINK("https://www.philgeps.gov.ph/GEPSNONPILOT/Tender/SplashBidNoticeAbstractUI.aspx?menuIndex=3&amp;refID=6931623&amp;Result=3","6931623")</f>
        <v>0</v>
      </c>
      <c r="B10" t="s">
        <v>26</v>
      </c>
      <c r="C10" t="s">
        <v>3097</v>
      </c>
      <c r="D10" t="s">
        <v>16189</v>
      </c>
      <c r="E10" t="s">
        <v>16303</v>
      </c>
      <c r="F10" t="s">
        <v>28198</v>
      </c>
      <c r="G10" t="s">
        <v>28205</v>
      </c>
      <c r="H10" t="s">
        <v>28214</v>
      </c>
      <c r="I10" t="s">
        <v>3797</v>
      </c>
      <c r="J10" t="s">
        <v>28347</v>
      </c>
      <c r="K10" t="s">
        <v>36689</v>
      </c>
      <c r="M10" t="s">
        <v>36995</v>
      </c>
      <c r="N10" t="s">
        <v>40436</v>
      </c>
      <c r="O10" t="s">
        <v>40437</v>
      </c>
      <c r="P10">
        <v>0</v>
      </c>
      <c r="Q10">
        <v>0</v>
      </c>
      <c r="R10" t="s">
        <v>40438</v>
      </c>
      <c r="S10" t="s">
        <v>40582</v>
      </c>
      <c r="T10" t="s">
        <v>42099</v>
      </c>
      <c r="U10" t="s">
        <v>42637</v>
      </c>
      <c r="W10" t="s">
        <v>36995</v>
      </c>
      <c r="X10" t="s">
        <v>40514</v>
      </c>
    </row>
    <row r="11" spans="1:24">
      <c r="A11">
        <f>HYPERLINK("https://www.philgeps.gov.ph/GEPSNONPILOT/Tender/SplashBidNoticeAbstractUI.aspx?menuIndex=3&amp;refID=7019462&amp;Result=3","7019462")</f>
        <v>0</v>
      </c>
      <c r="B11" t="s">
        <v>30</v>
      </c>
      <c r="C11" t="s">
        <v>3098</v>
      </c>
      <c r="D11" t="s">
        <v>16193</v>
      </c>
      <c r="E11" t="s">
        <v>16304</v>
      </c>
      <c r="F11" t="s">
        <v>28198</v>
      </c>
      <c r="G11" t="s">
        <v>28207</v>
      </c>
      <c r="H11" t="s">
        <v>28215</v>
      </c>
      <c r="I11" t="s">
        <v>5082</v>
      </c>
      <c r="J11" t="s">
        <v>28352</v>
      </c>
      <c r="K11" t="s">
        <v>36691</v>
      </c>
      <c r="M11" t="s">
        <v>36999</v>
      </c>
      <c r="N11" t="s">
        <v>40436</v>
      </c>
      <c r="O11" t="s">
        <v>40437</v>
      </c>
      <c r="P11">
        <v>0</v>
      </c>
      <c r="Q11">
        <v>2</v>
      </c>
      <c r="R11" t="s">
        <v>40438</v>
      </c>
      <c r="S11" t="s">
        <v>40582</v>
      </c>
      <c r="T11" t="s">
        <v>42103</v>
      </c>
      <c r="U11" t="s">
        <v>42638</v>
      </c>
      <c r="W11" t="s">
        <v>36999</v>
      </c>
      <c r="X11" t="s">
        <v>40454</v>
      </c>
    </row>
    <row r="12" spans="1:24">
      <c r="A12">
        <f>HYPERLINK("https://www.philgeps.gov.ph/GEPSNONPILOT/Tender/SplashBidNoticeAbstractUI.aspx?menuIndex=3&amp;refID=7023165-2&amp;Result=3","7023165-2")</f>
        <v>0</v>
      </c>
      <c r="B12" t="s">
        <v>31</v>
      </c>
      <c r="C12" t="s">
        <v>3099</v>
      </c>
      <c r="D12" t="s">
        <v>16193</v>
      </c>
      <c r="E12" t="s">
        <v>16305</v>
      </c>
      <c r="F12" t="s">
        <v>28198</v>
      </c>
      <c r="G12" t="s">
        <v>28205</v>
      </c>
      <c r="H12" t="s">
        <v>28216</v>
      </c>
      <c r="I12" t="s">
        <v>28216</v>
      </c>
      <c r="J12" t="s">
        <v>28353</v>
      </c>
      <c r="K12" t="s">
        <v>36692</v>
      </c>
      <c r="M12" t="s">
        <v>37000</v>
      </c>
      <c r="N12" t="s">
        <v>40436</v>
      </c>
      <c r="O12" t="s">
        <v>40437</v>
      </c>
      <c r="P12">
        <v>0</v>
      </c>
      <c r="Q12">
        <v>0</v>
      </c>
      <c r="R12" t="s">
        <v>40438</v>
      </c>
      <c r="S12" t="s">
        <v>40582</v>
      </c>
      <c r="T12" t="s">
        <v>42104</v>
      </c>
      <c r="U12" t="s">
        <v>42639</v>
      </c>
      <c r="W12" t="s">
        <v>37000</v>
      </c>
      <c r="X12" t="s">
        <v>40439</v>
      </c>
    </row>
    <row r="13" spans="1:24">
      <c r="A13">
        <f>HYPERLINK("https://www.philgeps.gov.ph/GEPSNONPILOT/Tender/SplashBidNoticeAbstractUI.aspx?menuIndex=3&amp;refID=7009712&amp;Result=3","7009712")</f>
        <v>0</v>
      </c>
      <c r="B13" t="s">
        <v>27</v>
      </c>
      <c r="C13" t="s">
        <v>3100</v>
      </c>
      <c r="D13" t="s">
        <v>16190</v>
      </c>
      <c r="E13" t="s">
        <v>16306</v>
      </c>
      <c r="F13" t="s">
        <v>28198</v>
      </c>
      <c r="G13" t="s">
        <v>28207</v>
      </c>
      <c r="H13" t="s">
        <v>28215</v>
      </c>
      <c r="I13" t="s">
        <v>4200</v>
      </c>
      <c r="J13" t="s">
        <v>28354</v>
      </c>
      <c r="K13" t="s">
        <v>36689</v>
      </c>
      <c r="M13" t="s">
        <v>36996</v>
      </c>
      <c r="N13" t="s">
        <v>40436</v>
      </c>
      <c r="O13" t="s">
        <v>40437</v>
      </c>
      <c r="P13">
        <v>0</v>
      </c>
      <c r="Q13">
        <v>0</v>
      </c>
      <c r="R13" t="s">
        <v>40438</v>
      </c>
      <c r="S13" t="s">
        <v>40582</v>
      </c>
      <c r="T13" t="s">
        <v>42105</v>
      </c>
      <c r="U13" t="s">
        <v>42640</v>
      </c>
      <c r="W13" t="s">
        <v>36996</v>
      </c>
      <c r="X13" t="s">
        <v>40461</v>
      </c>
    </row>
    <row r="14" spans="1:24">
      <c r="A14">
        <f>HYPERLINK("https://www.philgeps.gov.ph/GEPSNONPILOT/Tender/SplashBidNoticeAbstractUI.aspx?menuIndex=3&amp;refID=7020740&amp;Result=3","7020740")</f>
        <v>0</v>
      </c>
      <c r="B14" t="s">
        <v>32</v>
      </c>
      <c r="C14" t="s">
        <v>3101</v>
      </c>
      <c r="D14" t="s">
        <v>16194</v>
      </c>
      <c r="E14" t="s">
        <v>16307</v>
      </c>
      <c r="F14" t="s">
        <v>28199</v>
      </c>
      <c r="G14" t="s">
        <v>28207</v>
      </c>
      <c r="H14" t="s">
        <v>28215</v>
      </c>
      <c r="I14" t="s">
        <v>5103</v>
      </c>
      <c r="J14" t="s">
        <v>28355</v>
      </c>
      <c r="K14" t="s">
        <v>36693</v>
      </c>
      <c r="M14" t="s">
        <v>37001</v>
      </c>
      <c r="N14" t="s">
        <v>40436</v>
      </c>
      <c r="O14" t="s">
        <v>40437</v>
      </c>
      <c r="P14">
        <v>0</v>
      </c>
      <c r="Q14">
        <v>5</v>
      </c>
      <c r="R14" t="s">
        <v>40438</v>
      </c>
      <c r="S14" t="s">
        <v>40582</v>
      </c>
      <c r="T14" t="s">
        <v>42098</v>
      </c>
      <c r="U14" t="s">
        <v>42641</v>
      </c>
      <c r="W14" t="s">
        <v>37001</v>
      </c>
      <c r="X14" t="s">
        <v>40454</v>
      </c>
    </row>
    <row r="15" spans="1:24">
      <c r="A15">
        <f>HYPERLINK("https://www.philgeps.gov.ph/GEPSNONPILOT/Tender/SplashBidNoticeAbstractUI.aspx?menuIndex=3&amp;refID=7009454&amp;Result=3","7009454")</f>
        <v>0</v>
      </c>
      <c r="B15" t="s">
        <v>27</v>
      </c>
      <c r="C15" t="s">
        <v>3102</v>
      </c>
      <c r="D15" t="s">
        <v>16190</v>
      </c>
      <c r="E15" t="s">
        <v>16308</v>
      </c>
      <c r="F15" t="s">
        <v>28198</v>
      </c>
      <c r="G15" t="s">
        <v>28207</v>
      </c>
      <c r="H15" t="s">
        <v>28215</v>
      </c>
      <c r="I15" t="s">
        <v>28218</v>
      </c>
      <c r="J15" t="s">
        <v>28356</v>
      </c>
      <c r="K15" t="s">
        <v>36689</v>
      </c>
      <c r="M15" t="s">
        <v>36996</v>
      </c>
      <c r="N15" t="s">
        <v>40436</v>
      </c>
      <c r="O15" t="s">
        <v>40437</v>
      </c>
      <c r="P15">
        <v>0</v>
      </c>
      <c r="Q15">
        <v>0</v>
      </c>
      <c r="R15" t="s">
        <v>40438</v>
      </c>
      <c r="S15" t="s">
        <v>40582</v>
      </c>
      <c r="T15" t="s">
        <v>42100</v>
      </c>
      <c r="U15" t="s">
        <v>42642</v>
      </c>
      <c r="W15" t="s">
        <v>36996</v>
      </c>
      <c r="X15" t="s">
        <v>40461</v>
      </c>
    </row>
    <row r="16" spans="1:24">
      <c r="A16">
        <f>HYPERLINK("https://www.philgeps.gov.ph/GEPSNONPILOT/Tender/SplashBidNoticeAbstractUI.aspx?menuIndex=3&amp;refID=7021620-2&amp;Result=3","7021620-2")</f>
        <v>0</v>
      </c>
      <c r="B16" t="s">
        <v>33</v>
      </c>
      <c r="C16" t="s">
        <v>3103</v>
      </c>
      <c r="D16" t="s">
        <v>16189</v>
      </c>
      <c r="E16" t="s">
        <v>16309</v>
      </c>
      <c r="F16" t="s">
        <v>28198</v>
      </c>
      <c r="G16" t="s">
        <v>28205</v>
      </c>
      <c r="H16" t="s">
        <v>28216</v>
      </c>
      <c r="I16" t="s">
        <v>28216</v>
      </c>
      <c r="J16" t="s">
        <v>28357</v>
      </c>
      <c r="K16" t="s">
        <v>36694</v>
      </c>
      <c r="M16" t="s">
        <v>37002</v>
      </c>
      <c r="N16" t="s">
        <v>40436</v>
      </c>
      <c r="O16" t="s">
        <v>40437</v>
      </c>
      <c r="P16">
        <v>0</v>
      </c>
      <c r="Q16">
        <v>1</v>
      </c>
      <c r="R16" t="s">
        <v>40438</v>
      </c>
      <c r="S16" t="s">
        <v>40582</v>
      </c>
      <c r="T16" t="s">
        <v>42106</v>
      </c>
      <c r="U16" t="s">
        <v>42643</v>
      </c>
      <c r="W16" t="s">
        <v>37002</v>
      </c>
      <c r="X16" t="s">
        <v>40439</v>
      </c>
    </row>
    <row r="17" spans="1:24">
      <c r="A17">
        <f>HYPERLINK("https://www.philgeps.gov.ph/GEPSNONPILOT/Tender/SplashBidNoticeAbstractUI.aspx?menuIndex=3&amp;refID=7009693&amp;Result=3","7009693")</f>
        <v>0</v>
      </c>
      <c r="B17" t="s">
        <v>27</v>
      </c>
      <c r="C17" t="s">
        <v>3104</v>
      </c>
      <c r="D17" t="s">
        <v>16190</v>
      </c>
      <c r="E17" t="s">
        <v>16310</v>
      </c>
      <c r="F17" t="s">
        <v>28198</v>
      </c>
      <c r="G17" t="s">
        <v>28207</v>
      </c>
      <c r="H17" t="s">
        <v>28215</v>
      </c>
      <c r="I17" t="s">
        <v>28220</v>
      </c>
      <c r="J17" t="s">
        <v>28358</v>
      </c>
      <c r="K17" t="s">
        <v>36689</v>
      </c>
      <c r="M17" t="s">
        <v>36996</v>
      </c>
      <c r="N17" t="s">
        <v>40436</v>
      </c>
      <c r="O17" t="s">
        <v>40437</v>
      </c>
      <c r="P17">
        <v>0</v>
      </c>
      <c r="Q17">
        <v>1</v>
      </c>
      <c r="R17" t="s">
        <v>40438</v>
      </c>
      <c r="S17" t="s">
        <v>40582</v>
      </c>
      <c r="T17" t="s">
        <v>42100</v>
      </c>
      <c r="U17" t="s">
        <v>42644</v>
      </c>
      <c r="W17" t="s">
        <v>36996</v>
      </c>
      <c r="X17" t="s">
        <v>40461</v>
      </c>
    </row>
    <row r="18" spans="1:24">
      <c r="A18">
        <f>HYPERLINK("https://www.philgeps.gov.ph/GEPSNONPILOT/Tender/SplashBidNoticeAbstractUI.aspx?menuIndex=3&amp;refID=7028248&amp;Result=3","7028248")</f>
        <v>0</v>
      </c>
      <c r="B18" t="s">
        <v>34</v>
      </c>
      <c r="C18" t="s">
        <v>3105</v>
      </c>
      <c r="D18" t="s">
        <v>16195</v>
      </c>
      <c r="E18" t="s">
        <v>3105</v>
      </c>
      <c r="F18" t="s">
        <v>28198</v>
      </c>
      <c r="G18" t="s">
        <v>28205</v>
      </c>
      <c r="H18" t="s">
        <v>28215</v>
      </c>
      <c r="I18" t="s">
        <v>28221</v>
      </c>
      <c r="J18" t="s">
        <v>28345</v>
      </c>
      <c r="K18" t="s">
        <v>36688</v>
      </c>
      <c r="M18" t="s">
        <v>37003</v>
      </c>
      <c r="N18" t="s">
        <v>40436</v>
      </c>
      <c r="O18" t="s">
        <v>40437</v>
      </c>
      <c r="P18">
        <v>0</v>
      </c>
      <c r="Q18">
        <v>0</v>
      </c>
      <c r="R18" t="s">
        <v>40438</v>
      </c>
      <c r="S18" t="s">
        <v>40582</v>
      </c>
      <c r="T18" t="s">
        <v>42107</v>
      </c>
      <c r="U18" t="s">
        <v>42645</v>
      </c>
      <c r="V18" t="s">
        <v>53779</v>
      </c>
      <c r="W18" t="s">
        <v>37003</v>
      </c>
      <c r="X18" t="s">
        <v>40451</v>
      </c>
    </row>
    <row r="19" spans="1:24">
      <c r="A19">
        <f>HYPERLINK("https://www.philgeps.gov.ph/GEPSNONPILOT/Tender/SplashBidNoticeAbstractUI.aspx?menuIndex=3&amp;refID=7028170&amp;Result=3","7028170")</f>
        <v>0</v>
      </c>
      <c r="B19" t="s">
        <v>35</v>
      </c>
      <c r="C19" t="s">
        <v>3106</v>
      </c>
      <c r="E19" t="s">
        <v>16311</v>
      </c>
      <c r="F19" t="s">
        <v>28198</v>
      </c>
      <c r="G19" t="s">
        <v>28205</v>
      </c>
      <c r="H19" t="s">
        <v>28214</v>
      </c>
      <c r="I19" t="s">
        <v>3797</v>
      </c>
      <c r="J19" t="s">
        <v>28347</v>
      </c>
      <c r="K19" t="s">
        <v>36689</v>
      </c>
      <c r="M19" t="s">
        <v>37004</v>
      </c>
      <c r="N19" t="s">
        <v>40436</v>
      </c>
      <c r="O19" t="s">
        <v>40437</v>
      </c>
      <c r="P19">
        <v>0</v>
      </c>
      <c r="Q19">
        <v>0</v>
      </c>
      <c r="R19" t="s">
        <v>40438</v>
      </c>
      <c r="S19" t="s">
        <v>40582</v>
      </c>
      <c r="T19" t="s">
        <v>42108</v>
      </c>
      <c r="U19" t="s">
        <v>42646</v>
      </c>
      <c r="W19" t="s">
        <v>37004</v>
      </c>
      <c r="X19" t="s">
        <v>40451</v>
      </c>
    </row>
    <row r="20" spans="1:24">
      <c r="A20">
        <f>HYPERLINK("https://www.philgeps.gov.ph/GEPSNONPILOT/Tender/SplashBidNoticeAbstractUI.aspx?menuIndex=3&amp;refID=6931645&amp;Result=3","6931645")</f>
        <v>0</v>
      </c>
      <c r="B20" t="s">
        <v>26</v>
      </c>
      <c r="C20" t="s">
        <v>3107</v>
      </c>
      <c r="D20" t="s">
        <v>16189</v>
      </c>
      <c r="E20" t="s">
        <v>16312</v>
      </c>
      <c r="F20" t="s">
        <v>28198</v>
      </c>
      <c r="G20" t="s">
        <v>28205</v>
      </c>
      <c r="H20" t="s">
        <v>28214</v>
      </c>
      <c r="I20" t="s">
        <v>3797</v>
      </c>
      <c r="J20" t="s">
        <v>28351</v>
      </c>
      <c r="K20" t="s">
        <v>36689</v>
      </c>
      <c r="M20" t="s">
        <v>36995</v>
      </c>
      <c r="N20" t="s">
        <v>40436</v>
      </c>
      <c r="O20" t="s">
        <v>40437</v>
      </c>
      <c r="P20">
        <v>0</v>
      </c>
      <c r="Q20">
        <v>0</v>
      </c>
      <c r="R20" t="s">
        <v>40438</v>
      </c>
      <c r="S20" t="s">
        <v>40582</v>
      </c>
      <c r="T20" t="s">
        <v>42099</v>
      </c>
      <c r="U20" t="s">
        <v>42647</v>
      </c>
      <c r="W20" t="s">
        <v>36995</v>
      </c>
      <c r="X20" t="s">
        <v>40514</v>
      </c>
    </row>
    <row r="21" spans="1:24">
      <c r="A21">
        <f>HYPERLINK("https://www.philgeps.gov.ph/GEPSNONPILOT/Tender/SplashBidNoticeAbstractUI.aspx?menuIndex=3&amp;refID=7009439&amp;Result=3","7009439")</f>
        <v>0</v>
      </c>
      <c r="B21" t="s">
        <v>27</v>
      </c>
      <c r="C21" t="s">
        <v>3108</v>
      </c>
      <c r="D21" t="s">
        <v>16190</v>
      </c>
      <c r="E21" t="s">
        <v>16313</v>
      </c>
      <c r="F21" t="s">
        <v>28198</v>
      </c>
      <c r="G21" t="s">
        <v>28207</v>
      </c>
      <c r="H21" t="s">
        <v>28215</v>
      </c>
      <c r="I21" t="s">
        <v>3422</v>
      </c>
      <c r="J21" t="s">
        <v>28359</v>
      </c>
      <c r="K21" t="s">
        <v>36689</v>
      </c>
      <c r="M21" t="s">
        <v>36996</v>
      </c>
      <c r="N21" t="s">
        <v>40436</v>
      </c>
      <c r="O21" t="s">
        <v>40437</v>
      </c>
      <c r="P21">
        <v>0</v>
      </c>
      <c r="Q21">
        <v>0</v>
      </c>
      <c r="R21" t="s">
        <v>40438</v>
      </c>
      <c r="S21" t="s">
        <v>40582</v>
      </c>
      <c r="T21" t="s">
        <v>42100</v>
      </c>
      <c r="U21" t="s">
        <v>42648</v>
      </c>
      <c r="W21" t="s">
        <v>36996</v>
      </c>
      <c r="X21" t="s">
        <v>40461</v>
      </c>
    </row>
    <row r="22" spans="1:24">
      <c r="A22">
        <f>HYPERLINK("https://www.philgeps.gov.ph/GEPSNONPILOT/Tender/SplashBidNoticeAbstractUI.aspx?menuIndex=3&amp;refID=7032789&amp;Result=3","7032789")</f>
        <v>0</v>
      </c>
      <c r="B22" t="s">
        <v>34</v>
      </c>
      <c r="C22" t="s">
        <v>3109</v>
      </c>
      <c r="D22" t="s">
        <v>16195</v>
      </c>
      <c r="E22" t="s">
        <v>16314</v>
      </c>
      <c r="F22" t="s">
        <v>28198</v>
      </c>
      <c r="G22" t="s">
        <v>28205</v>
      </c>
      <c r="H22" t="s">
        <v>28215</v>
      </c>
      <c r="I22" t="s">
        <v>5100</v>
      </c>
      <c r="J22" t="s">
        <v>28360</v>
      </c>
      <c r="K22" t="s">
        <v>36688</v>
      </c>
      <c r="M22" t="s">
        <v>37003</v>
      </c>
      <c r="N22" t="s">
        <v>40436</v>
      </c>
      <c r="O22" t="s">
        <v>40437</v>
      </c>
      <c r="P22">
        <v>0</v>
      </c>
      <c r="Q22">
        <v>0</v>
      </c>
      <c r="R22" t="s">
        <v>40438</v>
      </c>
      <c r="S22" t="s">
        <v>40582</v>
      </c>
      <c r="T22" t="s">
        <v>42102</v>
      </c>
      <c r="U22" t="s">
        <v>42649</v>
      </c>
      <c r="V22" t="s">
        <v>53779</v>
      </c>
      <c r="W22" t="s">
        <v>37003</v>
      </c>
      <c r="X22" t="s">
        <v>40447</v>
      </c>
    </row>
    <row r="23" spans="1:24">
      <c r="A23">
        <f>HYPERLINK("https://www.philgeps.gov.ph/GEPSNONPILOT/Tender/SplashBidNoticeAbstractUI.aspx?menuIndex=3&amp;refID=7027809&amp;Result=3","7027809")</f>
        <v>0</v>
      </c>
      <c r="B23" t="s">
        <v>36</v>
      </c>
      <c r="C23" t="s">
        <v>3110</v>
      </c>
      <c r="D23" t="s">
        <v>16196</v>
      </c>
      <c r="E23" t="s">
        <v>16315</v>
      </c>
      <c r="F23" t="s">
        <v>28200</v>
      </c>
      <c r="G23" t="s">
        <v>28205</v>
      </c>
      <c r="H23" t="s">
        <v>28214</v>
      </c>
      <c r="I23" t="s">
        <v>3797</v>
      </c>
      <c r="J23" t="s">
        <v>28361</v>
      </c>
      <c r="K23" t="s">
        <v>36695</v>
      </c>
      <c r="M23" t="s">
        <v>37005</v>
      </c>
      <c r="N23" t="s">
        <v>40436</v>
      </c>
      <c r="O23" t="s">
        <v>40437</v>
      </c>
      <c r="P23">
        <v>0</v>
      </c>
      <c r="Q23">
        <v>2</v>
      </c>
      <c r="R23" t="s">
        <v>40438</v>
      </c>
      <c r="S23" t="s">
        <v>40582</v>
      </c>
      <c r="T23" t="s">
        <v>42109</v>
      </c>
      <c r="U23" t="s">
        <v>42650</v>
      </c>
      <c r="W23" t="s">
        <v>37005</v>
      </c>
      <c r="X23" t="s">
        <v>40451</v>
      </c>
    </row>
    <row r="24" spans="1:24">
      <c r="A24">
        <f>HYPERLINK("https://www.philgeps.gov.ph/GEPSNONPILOT/Tender/SplashBidNoticeAbstractUI.aspx?menuIndex=3&amp;refID=7027856&amp;Result=3","7027856")</f>
        <v>0</v>
      </c>
      <c r="B24" t="s">
        <v>36</v>
      </c>
      <c r="C24" t="s">
        <v>3111</v>
      </c>
      <c r="D24" t="s">
        <v>16196</v>
      </c>
      <c r="E24" t="s">
        <v>16316</v>
      </c>
      <c r="F24" t="s">
        <v>28200</v>
      </c>
      <c r="G24" t="s">
        <v>28205</v>
      </c>
      <c r="H24" t="s">
        <v>28214</v>
      </c>
      <c r="I24" t="s">
        <v>3797</v>
      </c>
      <c r="J24" t="s">
        <v>28362</v>
      </c>
      <c r="K24" t="s">
        <v>36696</v>
      </c>
      <c r="M24" t="s">
        <v>37005</v>
      </c>
      <c r="N24" t="s">
        <v>40436</v>
      </c>
      <c r="O24" t="s">
        <v>40437</v>
      </c>
      <c r="P24">
        <v>0</v>
      </c>
      <c r="Q24">
        <v>2</v>
      </c>
      <c r="R24" t="s">
        <v>40438</v>
      </c>
      <c r="S24" t="s">
        <v>40582</v>
      </c>
      <c r="T24" t="s">
        <v>42109</v>
      </c>
      <c r="U24" t="s">
        <v>42651</v>
      </c>
      <c r="W24" t="s">
        <v>37005</v>
      </c>
      <c r="X24" t="s">
        <v>40451</v>
      </c>
    </row>
    <row r="25" spans="1:24">
      <c r="A25">
        <f>HYPERLINK("https://www.philgeps.gov.ph/GEPSNONPILOT/Tender/SplashBidNoticeAbstractUI.aspx?menuIndex=3&amp;refID=7023492-2&amp;Result=3","7023492-2")</f>
        <v>0</v>
      </c>
      <c r="B25" t="s">
        <v>31</v>
      </c>
      <c r="C25" t="s">
        <v>3112</v>
      </c>
      <c r="D25" t="s">
        <v>16193</v>
      </c>
      <c r="E25" t="s">
        <v>16317</v>
      </c>
      <c r="F25" t="s">
        <v>28198</v>
      </c>
      <c r="G25" t="s">
        <v>28205</v>
      </c>
      <c r="H25" t="s">
        <v>28216</v>
      </c>
      <c r="I25" t="s">
        <v>28216</v>
      </c>
      <c r="J25" t="s">
        <v>28363</v>
      </c>
      <c r="K25" t="s">
        <v>36697</v>
      </c>
      <c r="M25" t="s">
        <v>37000</v>
      </c>
      <c r="N25" t="s">
        <v>40436</v>
      </c>
      <c r="O25" t="s">
        <v>40437</v>
      </c>
      <c r="P25">
        <v>0</v>
      </c>
      <c r="Q25">
        <v>0</v>
      </c>
      <c r="R25" t="s">
        <v>40438</v>
      </c>
      <c r="S25" t="s">
        <v>40582</v>
      </c>
      <c r="T25" t="s">
        <v>42104</v>
      </c>
      <c r="U25" t="s">
        <v>42652</v>
      </c>
      <c r="W25" t="s">
        <v>37000</v>
      </c>
      <c r="X25" t="s">
        <v>40439</v>
      </c>
    </row>
    <row r="26" spans="1:24">
      <c r="A26">
        <f>HYPERLINK("https://www.philgeps.gov.ph/GEPSNONPILOT/Tender/SplashBidNoticeAbstractUI.aspx?menuIndex=3&amp;refID=6931690&amp;Result=3","6931690")</f>
        <v>0</v>
      </c>
      <c r="B26" t="s">
        <v>26</v>
      </c>
      <c r="C26" t="s">
        <v>3113</v>
      </c>
      <c r="D26" t="s">
        <v>16189</v>
      </c>
      <c r="E26" t="s">
        <v>16318</v>
      </c>
      <c r="F26" t="s">
        <v>28198</v>
      </c>
      <c r="G26" t="s">
        <v>28205</v>
      </c>
      <c r="H26" t="s">
        <v>28214</v>
      </c>
      <c r="I26" t="s">
        <v>3797</v>
      </c>
      <c r="J26" t="s">
        <v>28351</v>
      </c>
      <c r="K26" t="s">
        <v>36689</v>
      </c>
      <c r="M26" t="s">
        <v>36995</v>
      </c>
      <c r="N26" t="s">
        <v>40436</v>
      </c>
      <c r="O26" t="s">
        <v>40437</v>
      </c>
      <c r="P26">
        <v>0</v>
      </c>
      <c r="Q26">
        <v>0</v>
      </c>
      <c r="R26" t="s">
        <v>40438</v>
      </c>
      <c r="S26" t="s">
        <v>40582</v>
      </c>
      <c r="T26" t="s">
        <v>42099</v>
      </c>
      <c r="U26" t="s">
        <v>42653</v>
      </c>
      <c r="W26" t="s">
        <v>36995</v>
      </c>
      <c r="X26" t="s">
        <v>40514</v>
      </c>
    </row>
    <row r="27" spans="1:24">
      <c r="A27">
        <f>HYPERLINK("https://www.philgeps.gov.ph/GEPSNONPILOT/Tender/SplashBidNoticeAbstractUI.aspx?menuIndex=3&amp;refID=7027897&amp;Result=3","7027897")</f>
        <v>0</v>
      </c>
      <c r="B27" t="s">
        <v>36</v>
      </c>
      <c r="C27" t="s">
        <v>3114</v>
      </c>
      <c r="D27" t="s">
        <v>16196</v>
      </c>
      <c r="E27" t="s">
        <v>16319</v>
      </c>
      <c r="F27" t="s">
        <v>28200</v>
      </c>
      <c r="G27" t="s">
        <v>28205</v>
      </c>
      <c r="H27" t="s">
        <v>28214</v>
      </c>
      <c r="I27" t="s">
        <v>3797</v>
      </c>
      <c r="J27" t="s">
        <v>28364</v>
      </c>
      <c r="K27" t="s">
        <v>36696</v>
      </c>
      <c r="M27" t="s">
        <v>37005</v>
      </c>
      <c r="N27" t="s">
        <v>40436</v>
      </c>
      <c r="O27" t="s">
        <v>40437</v>
      </c>
      <c r="P27">
        <v>0</v>
      </c>
      <c r="Q27">
        <v>2</v>
      </c>
      <c r="R27" t="s">
        <v>40438</v>
      </c>
      <c r="S27" t="s">
        <v>40582</v>
      </c>
      <c r="T27" t="s">
        <v>42109</v>
      </c>
      <c r="U27" t="s">
        <v>42654</v>
      </c>
      <c r="W27" t="s">
        <v>37005</v>
      </c>
      <c r="X27" t="s">
        <v>40451</v>
      </c>
    </row>
    <row r="28" spans="1:24">
      <c r="A28">
        <f>HYPERLINK("https://www.philgeps.gov.ph/GEPSNONPILOT/Tender/SplashBidNoticeAbstractUI.aspx?menuIndex=3&amp;refID=7020658&amp;Result=3","7020658")</f>
        <v>0</v>
      </c>
      <c r="B28" t="s">
        <v>32</v>
      </c>
      <c r="C28" t="s">
        <v>3115</v>
      </c>
      <c r="D28" t="s">
        <v>16194</v>
      </c>
      <c r="E28" t="s">
        <v>16307</v>
      </c>
      <c r="F28" t="s">
        <v>28199</v>
      </c>
      <c r="G28" t="s">
        <v>28207</v>
      </c>
      <c r="H28" t="s">
        <v>28215</v>
      </c>
      <c r="I28" t="s">
        <v>5103</v>
      </c>
      <c r="J28" t="s">
        <v>28365</v>
      </c>
      <c r="K28" t="s">
        <v>36693</v>
      </c>
      <c r="M28" t="s">
        <v>37006</v>
      </c>
      <c r="N28" t="s">
        <v>40436</v>
      </c>
      <c r="O28" t="s">
        <v>40437</v>
      </c>
      <c r="P28">
        <v>0</v>
      </c>
      <c r="Q28">
        <v>3</v>
      </c>
      <c r="R28" t="s">
        <v>40438</v>
      </c>
      <c r="S28" t="s">
        <v>40582</v>
      </c>
      <c r="T28" t="s">
        <v>42098</v>
      </c>
      <c r="U28" t="s">
        <v>42655</v>
      </c>
      <c r="V28" t="s">
        <v>53780</v>
      </c>
      <c r="W28" t="s">
        <v>37006</v>
      </c>
      <c r="X28" t="s">
        <v>40454</v>
      </c>
    </row>
    <row r="29" spans="1:24">
      <c r="A29">
        <f>HYPERLINK("https://www.philgeps.gov.ph/GEPSNONPILOT/Tender/SplashBidNoticeAbstractUI.aspx?menuIndex=3&amp;refID=7025866&amp;Result=3","7025866")</f>
        <v>0</v>
      </c>
      <c r="B29" t="s">
        <v>37</v>
      </c>
      <c r="C29" t="s">
        <v>3116</v>
      </c>
      <c r="D29" t="s">
        <v>16194</v>
      </c>
      <c r="E29" t="s">
        <v>16320</v>
      </c>
      <c r="F29" t="s">
        <v>28198</v>
      </c>
      <c r="G29" t="s">
        <v>28205</v>
      </c>
      <c r="H29" t="s">
        <v>28215</v>
      </c>
      <c r="I29" t="s">
        <v>28222</v>
      </c>
      <c r="J29" t="s">
        <v>28347</v>
      </c>
      <c r="K29" t="s">
        <v>36697</v>
      </c>
      <c r="M29" t="s">
        <v>37007</v>
      </c>
      <c r="N29" t="s">
        <v>40436</v>
      </c>
      <c r="O29" t="s">
        <v>40437</v>
      </c>
      <c r="P29">
        <v>0</v>
      </c>
      <c r="Q29">
        <v>8</v>
      </c>
      <c r="R29" t="s">
        <v>40438</v>
      </c>
      <c r="S29" t="s">
        <v>40582</v>
      </c>
      <c r="T29" t="s">
        <v>42110</v>
      </c>
      <c r="U29" t="s">
        <v>42656</v>
      </c>
      <c r="W29" t="s">
        <v>37007</v>
      </c>
      <c r="X29" t="s">
        <v>40452</v>
      </c>
    </row>
    <row r="30" spans="1:24">
      <c r="A30">
        <f>HYPERLINK("https://www.philgeps.gov.ph/GEPSNONPILOT/Tender/SplashBidNoticeAbstractUI.aspx?menuIndex=3&amp;refID=7035612&amp;Result=3","7035612")</f>
        <v>0</v>
      </c>
      <c r="B30" t="s">
        <v>38</v>
      </c>
      <c r="C30" t="s">
        <v>3117</v>
      </c>
      <c r="D30" t="s">
        <v>16197</v>
      </c>
      <c r="E30" t="s">
        <v>16321</v>
      </c>
      <c r="F30" t="s">
        <v>28198</v>
      </c>
      <c r="G30" t="s">
        <v>28207</v>
      </c>
      <c r="H30" t="s">
        <v>28215</v>
      </c>
      <c r="I30" t="s">
        <v>4219</v>
      </c>
      <c r="J30" t="s">
        <v>28366</v>
      </c>
      <c r="K30" t="s">
        <v>36691</v>
      </c>
      <c r="M30" t="s">
        <v>37008</v>
      </c>
      <c r="N30" t="s">
        <v>40436</v>
      </c>
      <c r="O30" t="s">
        <v>40437</v>
      </c>
      <c r="P30">
        <v>0</v>
      </c>
      <c r="Q30">
        <v>0</v>
      </c>
      <c r="R30" t="s">
        <v>40438</v>
      </c>
      <c r="S30" t="s">
        <v>40582</v>
      </c>
      <c r="T30" t="s">
        <v>42105</v>
      </c>
      <c r="U30" t="s">
        <v>42657</v>
      </c>
      <c r="W30" t="s">
        <v>37008</v>
      </c>
      <c r="X30" t="s">
        <v>40446</v>
      </c>
    </row>
    <row r="31" spans="1:24">
      <c r="A31">
        <f>HYPERLINK("https://www.philgeps.gov.ph/GEPSNONPILOT/Tender/SplashBidNoticeAbstractUI.aspx?menuIndex=3&amp;refID=7025632&amp;Result=3","7025632")</f>
        <v>0</v>
      </c>
      <c r="B31" t="s">
        <v>39</v>
      </c>
      <c r="C31" t="s">
        <v>3118</v>
      </c>
      <c r="D31" t="s">
        <v>16187</v>
      </c>
      <c r="E31" t="s">
        <v>16322</v>
      </c>
      <c r="F31" t="s">
        <v>28198</v>
      </c>
      <c r="G31" t="s">
        <v>28207</v>
      </c>
      <c r="H31" t="s">
        <v>28215</v>
      </c>
      <c r="I31" t="s">
        <v>5082</v>
      </c>
      <c r="J31" t="s">
        <v>28367</v>
      </c>
      <c r="K31" t="s">
        <v>36698</v>
      </c>
      <c r="M31" t="s">
        <v>37009</v>
      </c>
      <c r="N31" t="s">
        <v>40436</v>
      </c>
      <c r="O31" t="s">
        <v>40437</v>
      </c>
      <c r="P31">
        <v>0</v>
      </c>
      <c r="Q31">
        <v>1</v>
      </c>
      <c r="R31" t="s">
        <v>40438</v>
      </c>
      <c r="S31" t="s">
        <v>40582</v>
      </c>
      <c r="T31" t="s">
        <v>42111</v>
      </c>
      <c r="U31" t="s">
        <v>42658</v>
      </c>
      <c r="W31" t="s">
        <v>37009</v>
      </c>
      <c r="X31" t="s">
        <v>40452</v>
      </c>
    </row>
    <row r="32" spans="1:24">
      <c r="A32">
        <f>HYPERLINK("https://www.philgeps.gov.ph/GEPSNONPILOT/Tender/SplashBidNoticeAbstractUI.aspx?menuIndex=3&amp;refID=7033822&amp;Result=3","7033822")</f>
        <v>0</v>
      </c>
      <c r="B32" t="s">
        <v>40</v>
      </c>
      <c r="C32" t="s">
        <v>3119</v>
      </c>
      <c r="D32" t="s">
        <v>16198</v>
      </c>
      <c r="E32" t="s">
        <v>16323</v>
      </c>
      <c r="F32" t="s">
        <v>28198</v>
      </c>
      <c r="G32" t="s">
        <v>28205</v>
      </c>
      <c r="H32" t="s">
        <v>28214</v>
      </c>
      <c r="I32" t="s">
        <v>3797</v>
      </c>
      <c r="J32" t="s">
        <v>28368</v>
      </c>
      <c r="K32" t="s">
        <v>36699</v>
      </c>
      <c r="M32" t="s">
        <v>37010</v>
      </c>
      <c r="N32" t="s">
        <v>40436</v>
      </c>
      <c r="O32" t="s">
        <v>40437</v>
      </c>
      <c r="P32">
        <v>0</v>
      </c>
      <c r="Q32">
        <v>0</v>
      </c>
      <c r="R32" t="s">
        <v>40438</v>
      </c>
      <c r="S32" t="s">
        <v>40582</v>
      </c>
      <c r="T32" t="s">
        <v>42112</v>
      </c>
      <c r="U32" t="s">
        <v>42659</v>
      </c>
      <c r="W32" t="s">
        <v>37010</v>
      </c>
      <c r="X32" t="s">
        <v>40447</v>
      </c>
    </row>
    <row r="33" spans="1:24">
      <c r="A33">
        <f>HYPERLINK("https://www.philgeps.gov.ph/GEPSNONPILOT/Tender/SplashBidNoticeAbstractUI.aspx?menuIndex=3&amp;refID=7023974&amp;Result=3","7023974")</f>
        <v>0</v>
      </c>
      <c r="B33" t="s">
        <v>41</v>
      </c>
      <c r="C33" t="s">
        <v>3120</v>
      </c>
      <c r="D33" t="s">
        <v>16194</v>
      </c>
      <c r="E33" t="s">
        <v>16324</v>
      </c>
      <c r="F33" t="s">
        <v>28200</v>
      </c>
      <c r="G33" t="s">
        <v>28207</v>
      </c>
      <c r="H33" t="s">
        <v>28217</v>
      </c>
      <c r="I33" t="s">
        <v>28223</v>
      </c>
      <c r="J33" t="s">
        <v>28369</v>
      </c>
      <c r="K33" t="s">
        <v>36700</v>
      </c>
      <c r="M33" t="s">
        <v>37011</v>
      </c>
      <c r="N33" t="s">
        <v>40436</v>
      </c>
      <c r="O33" t="s">
        <v>40437</v>
      </c>
      <c r="P33">
        <v>0</v>
      </c>
      <c r="Q33">
        <v>1</v>
      </c>
      <c r="R33" t="s">
        <v>40438</v>
      </c>
      <c r="S33" t="s">
        <v>40582</v>
      </c>
      <c r="T33" t="s">
        <v>42113</v>
      </c>
      <c r="U33" t="s">
        <v>42660</v>
      </c>
      <c r="V33" t="s">
        <v>53781</v>
      </c>
      <c r="W33" t="s">
        <v>37011</v>
      </c>
      <c r="X33" t="s">
        <v>40453</v>
      </c>
    </row>
    <row r="34" spans="1:24">
      <c r="A34">
        <f>HYPERLINK("https://www.philgeps.gov.ph/GEPSNONPILOT/Tender/SplashBidNoticeAbstractUI.aspx?menuIndex=3&amp;refID=7024588&amp;Result=3","7024588")</f>
        <v>0</v>
      </c>
      <c r="B34" t="s">
        <v>42</v>
      </c>
      <c r="C34" t="s">
        <v>3121</v>
      </c>
      <c r="D34" t="s">
        <v>16190</v>
      </c>
      <c r="E34" t="s">
        <v>16325</v>
      </c>
      <c r="F34" t="s">
        <v>28198</v>
      </c>
      <c r="G34" t="s">
        <v>28205</v>
      </c>
      <c r="H34" t="s">
        <v>28215</v>
      </c>
      <c r="I34" t="s">
        <v>5100</v>
      </c>
      <c r="J34" t="s">
        <v>28370</v>
      </c>
      <c r="K34" t="s">
        <v>36687</v>
      </c>
      <c r="M34" t="s">
        <v>37012</v>
      </c>
      <c r="N34" t="s">
        <v>40436</v>
      </c>
      <c r="O34" t="s">
        <v>40437</v>
      </c>
      <c r="P34">
        <v>0</v>
      </c>
      <c r="Q34">
        <v>1</v>
      </c>
      <c r="R34" t="s">
        <v>40438</v>
      </c>
      <c r="S34" t="s">
        <v>40582</v>
      </c>
      <c r="T34" t="s">
        <v>42114</v>
      </c>
      <c r="U34" t="s">
        <v>42661</v>
      </c>
      <c r="W34" t="s">
        <v>37012</v>
      </c>
      <c r="X34" t="s">
        <v>40452</v>
      </c>
    </row>
    <row r="35" spans="1:24">
      <c r="A35">
        <f>HYPERLINK("https://www.philgeps.gov.ph/GEPSNONPILOT/Tender/SplashBidNoticeAbstractUI.aspx?menuIndex=3&amp;refID=7023535-2&amp;Result=3","7023535-2")</f>
        <v>0</v>
      </c>
      <c r="B35" t="s">
        <v>31</v>
      </c>
      <c r="C35" t="s">
        <v>3122</v>
      </c>
      <c r="D35" t="s">
        <v>16193</v>
      </c>
      <c r="E35" t="s">
        <v>16326</v>
      </c>
      <c r="F35" t="s">
        <v>28198</v>
      </c>
      <c r="G35" t="s">
        <v>28205</v>
      </c>
      <c r="H35" t="s">
        <v>28216</v>
      </c>
      <c r="I35" t="s">
        <v>28216</v>
      </c>
      <c r="J35" t="s">
        <v>28371</v>
      </c>
      <c r="K35" t="s">
        <v>36697</v>
      </c>
      <c r="M35" t="s">
        <v>37000</v>
      </c>
      <c r="N35" t="s">
        <v>40436</v>
      </c>
      <c r="O35" t="s">
        <v>40437</v>
      </c>
      <c r="P35">
        <v>0</v>
      </c>
      <c r="Q35">
        <v>0</v>
      </c>
      <c r="R35" t="s">
        <v>40438</v>
      </c>
      <c r="S35" t="s">
        <v>40582</v>
      </c>
      <c r="T35" t="s">
        <v>42104</v>
      </c>
      <c r="U35" t="s">
        <v>42662</v>
      </c>
      <c r="W35" t="s">
        <v>37000</v>
      </c>
      <c r="X35" t="s">
        <v>40439</v>
      </c>
    </row>
    <row r="36" spans="1:24">
      <c r="A36">
        <f>HYPERLINK("https://www.philgeps.gov.ph/GEPSNONPILOT/Tender/SplashBidNoticeAbstractUI.aspx?menuIndex=3&amp;refID=7024574&amp;Result=3","7024574")</f>
        <v>0</v>
      </c>
      <c r="B36" t="s">
        <v>42</v>
      </c>
      <c r="C36" t="s">
        <v>3123</v>
      </c>
      <c r="D36" t="s">
        <v>16190</v>
      </c>
      <c r="E36" t="s">
        <v>16327</v>
      </c>
      <c r="F36" t="s">
        <v>28198</v>
      </c>
      <c r="G36" t="s">
        <v>28205</v>
      </c>
      <c r="H36" t="s">
        <v>28215</v>
      </c>
      <c r="I36" t="s">
        <v>5100</v>
      </c>
      <c r="J36" t="s">
        <v>28372</v>
      </c>
      <c r="K36" t="s">
        <v>36687</v>
      </c>
      <c r="M36" t="s">
        <v>37012</v>
      </c>
      <c r="N36" t="s">
        <v>40436</v>
      </c>
      <c r="O36" t="s">
        <v>40437</v>
      </c>
      <c r="P36">
        <v>0</v>
      </c>
      <c r="Q36">
        <v>0</v>
      </c>
      <c r="R36" t="s">
        <v>40438</v>
      </c>
      <c r="S36" t="s">
        <v>40582</v>
      </c>
      <c r="T36" t="s">
        <v>42114</v>
      </c>
      <c r="U36" t="s">
        <v>42661</v>
      </c>
      <c r="W36" t="s">
        <v>37012</v>
      </c>
      <c r="X36" t="s">
        <v>40452</v>
      </c>
    </row>
    <row r="37" spans="1:24">
      <c r="A37">
        <f>HYPERLINK("https://www.philgeps.gov.ph/GEPSNONPILOT/Tender/SplashBidNoticeAbstractUI.aspx?menuIndex=3&amp;refID=7023976&amp;Result=3","7023976")</f>
        <v>0</v>
      </c>
      <c r="B37" t="s">
        <v>41</v>
      </c>
      <c r="C37" t="s">
        <v>3124</v>
      </c>
      <c r="D37" t="s">
        <v>16194</v>
      </c>
      <c r="E37" t="s">
        <v>16328</v>
      </c>
      <c r="F37" t="s">
        <v>28200</v>
      </c>
      <c r="G37" t="s">
        <v>28207</v>
      </c>
      <c r="H37" t="s">
        <v>28215</v>
      </c>
      <c r="I37" t="s">
        <v>28223</v>
      </c>
      <c r="J37" t="s">
        <v>28373</v>
      </c>
      <c r="K37" t="s">
        <v>36700</v>
      </c>
      <c r="M37" t="s">
        <v>37011</v>
      </c>
      <c r="N37" t="s">
        <v>40436</v>
      </c>
      <c r="O37" t="s">
        <v>40437</v>
      </c>
      <c r="P37">
        <v>0</v>
      </c>
      <c r="Q37">
        <v>1</v>
      </c>
      <c r="R37" t="s">
        <v>40438</v>
      </c>
      <c r="S37" t="s">
        <v>40582</v>
      </c>
      <c r="T37" t="s">
        <v>42113</v>
      </c>
      <c r="U37" t="s">
        <v>42663</v>
      </c>
      <c r="V37" t="s">
        <v>53782</v>
      </c>
      <c r="W37" t="s">
        <v>37011</v>
      </c>
      <c r="X37" t="s">
        <v>40453</v>
      </c>
    </row>
    <row r="38" spans="1:24">
      <c r="A38">
        <f>HYPERLINK("https://www.philgeps.gov.ph/GEPSNONPILOT/Tender/SplashBidNoticeAbstractUI.aspx?menuIndex=3&amp;refID=7035989&amp;Result=3","7035989")</f>
        <v>0</v>
      </c>
      <c r="B38" t="s">
        <v>43</v>
      </c>
      <c r="C38" t="s">
        <v>3125</v>
      </c>
      <c r="D38" t="s">
        <v>16199</v>
      </c>
      <c r="E38" t="s">
        <v>16329</v>
      </c>
      <c r="F38" t="s">
        <v>28198</v>
      </c>
      <c r="G38" t="s">
        <v>28205</v>
      </c>
      <c r="H38" t="s">
        <v>28215</v>
      </c>
      <c r="I38" t="s">
        <v>3797</v>
      </c>
      <c r="J38" t="s">
        <v>28351</v>
      </c>
      <c r="K38" t="s">
        <v>36692</v>
      </c>
      <c r="M38" t="s">
        <v>37013</v>
      </c>
      <c r="N38" t="s">
        <v>40436</v>
      </c>
      <c r="O38" t="s">
        <v>40437</v>
      </c>
      <c r="P38">
        <v>0</v>
      </c>
      <c r="Q38">
        <v>1</v>
      </c>
      <c r="R38" t="s">
        <v>40438</v>
      </c>
      <c r="S38" t="s">
        <v>40582</v>
      </c>
      <c r="T38" t="s">
        <v>42115</v>
      </c>
      <c r="U38" t="s">
        <v>42664</v>
      </c>
      <c r="V38" t="s">
        <v>53783</v>
      </c>
      <c r="W38" t="s">
        <v>55426</v>
      </c>
      <c r="X38" t="s">
        <v>40446</v>
      </c>
    </row>
    <row r="39" spans="1:24">
      <c r="A39">
        <f>HYPERLINK("https://www.philgeps.gov.ph/GEPSNONPILOT/Tender/SplashBidNoticeAbstractUI.aspx?menuIndex=3&amp;refID=7034144&amp;Result=3","7034144")</f>
        <v>0</v>
      </c>
      <c r="B39" t="s">
        <v>44</v>
      </c>
      <c r="C39" t="s">
        <v>3126</v>
      </c>
      <c r="D39" t="s">
        <v>16200</v>
      </c>
      <c r="E39" t="s">
        <v>16330</v>
      </c>
      <c r="F39" t="s">
        <v>28198</v>
      </c>
      <c r="G39" t="s">
        <v>28205</v>
      </c>
      <c r="H39" t="s">
        <v>28214</v>
      </c>
      <c r="I39" t="s">
        <v>3797</v>
      </c>
      <c r="J39" t="s">
        <v>28374</v>
      </c>
      <c r="K39" t="s">
        <v>36697</v>
      </c>
      <c r="M39" t="s">
        <v>37014</v>
      </c>
      <c r="N39" t="s">
        <v>40436</v>
      </c>
      <c r="O39" t="s">
        <v>40437</v>
      </c>
      <c r="P39">
        <v>0</v>
      </c>
      <c r="Q39">
        <v>0</v>
      </c>
      <c r="R39" t="s">
        <v>40438</v>
      </c>
      <c r="S39" t="s">
        <v>40582</v>
      </c>
      <c r="T39" t="s">
        <v>42108</v>
      </c>
      <c r="U39" t="s">
        <v>42665</v>
      </c>
      <c r="W39" t="s">
        <v>37014</v>
      </c>
      <c r="X39" t="s">
        <v>40447</v>
      </c>
    </row>
    <row r="40" spans="1:24">
      <c r="A40">
        <f>HYPERLINK("https://www.philgeps.gov.ph/GEPSNONPILOT/Tender/SplashBidNoticeAbstractUI.aspx?menuIndex=3&amp;refID=7041034&amp;Result=3","7041034")</f>
        <v>0</v>
      </c>
      <c r="B40" t="s">
        <v>26</v>
      </c>
      <c r="C40" t="s">
        <v>3127</v>
      </c>
      <c r="D40" t="s">
        <v>16189</v>
      </c>
      <c r="E40" t="s">
        <v>16331</v>
      </c>
      <c r="F40" t="s">
        <v>28198</v>
      </c>
      <c r="G40" t="s">
        <v>28205</v>
      </c>
      <c r="H40" t="s">
        <v>28214</v>
      </c>
      <c r="I40" t="s">
        <v>3797</v>
      </c>
      <c r="J40" t="s">
        <v>28351</v>
      </c>
      <c r="K40" t="s">
        <v>36689</v>
      </c>
      <c r="M40" t="s">
        <v>36995</v>
      </c>
      <c r="N40" t="s">
        <v>40436</v>
      </c>
      <c r="O40" t="s">
        <v>40437</v>
      </c>
      <c r="P40">
        <v>0</v>
      </c>
      <c r="Q40">
        <v>0</v>
      </c>
      <c r="R40" t="s">
        <v>40438</v>
      </c>
      <c r="S40" t="s">
        <v>40582</v>
      </c>
      <c r="T40" t="s">
        <v>42099</v>
      </c>
      <c r="U40" t="s">
        <v>42666</v>
      </c>
      <c r="W40" t="s">
        <v>36995</v>
      </c>
      <c r="X40" t="s">
        <v>40444</v>
      </c>
    </row>
    <row r="41" spans="1:24">
      <c r="A41">
        <f>HYPERLINK("https://www.philgeps.gov.ph/GEPSNONPILOT/Tender/SplashBidNoticeAbstractUI.aspx?menuIndex=3&amp;refID=7041375&amp;Result=3","7041375")</f>
        <v>0</v>
      </c>
      <c r="B41" t="s">
        <v>34</v>
      </c>
      <c r="C41" t="s">
        <v>3128</v>
      </c>
      <c r="D41" t="s">
        <v>16195</v>
      </c>
      <c r="E41" t="s">
        <v>16332</v>
      </c>
      <c r="F41" t="s">
        <v>28198</v>
      </c>
      <c r="G41" t="s">
        <v>28205</v>
      </c>
      <c r="H41" t="s">
        <v>28215</v>
      </c>
      <c r="I41" t="s">
        <v>8888</v>
      </c>
      <c r="J41" t="s">
        <v>28375</v>
      </c>
      <c r="K41" t="s">
        <v>36696</v>
      </c>
      <c r="M41" t="s">
        <v>37015</v>
      </c>
      <c r="N41" t="s">
        <v>40436</v>
      </c>
      <c r="O41" t="s">
        <v>40437</v>
      </c>
      <c r="P41">
        <v>0</v>
      </c>
      <c r="Q41">
        <v>4</v>
      </c>
      <c r="R41" t="s">
        <v>40438</v>
      </c>
      <c r="S41" t="s">
        <v>40582</v>
      </c>
      <c r="T41" t="s">
        <v>42107</v>
      </c>
      <c r="U41" t="s">
        <v>42667</v>
      </c>
      <c r="V41" t="s">
        <v>53784</v>
      </c>
      <c r="W41" t="s">
        <v>37015</v>
      </c>
      <c r="X41" t="s">
        <v>40444</v>
      </c>
    </row>
    <row r="42" spans="1:24">
      <c r="A42">
        <f>HYPERLINK("https://www.philgeps.gov.ph/GEPSNONPILOT/Tender/SplashBidNoticeAbstractUI.aspx?menuIndex=3&amp;refID=7041026&amp;Result=3","7041026")</f>
        <v>0</v>
      </c>
      <c r="B42" t="s">
        <v>26</v>
      </c>
      <c r="C42" t="s">
        <v>3129</v>
      </c>
      <c r="D42" t="s">
        <v>16189</v>
      </c>
      <c r="E42" t="s">
        <v>16333</v>
      </c>
      <c r="F42" t="s">
        <v>28198</v>
      </c>
      <c r="G42" t="s">
        <v>28205</v>
      </c>
      <c r="H42" t="s">
        <v>28214</v>
      </c>
      <c r="I42" t="s">
        <v>3797</v>
      </c>
      <c r="J42" t="s">
        <v>28351</v>
      </c>
      <c r="K42" t="s">
        <v>36689</v>
      </c>
      <c r="M42" t="s">
        <v>36995</v>
      </c>
      <c r="N42" t="s">
        <v>40436</v>
      </c>
      <c r="O42" t="s">
        <v>40437</v>
      </c>
      <c r="P42">
        <v>0</v>
      </c>
      <c r="Q42">
        <v>0</v>
      </c>
      <c r="R42" t="s">
        <v>40438</v>
      </c>
      <c r="S42" t="s">
        <v>40582</v>
      </c>
      <c r="T42" t="s">
        <v>42099</v>
      </c>
      <c r="U42" t="s">
        <v>42668</v>
      </c>
      <c r="W42" t="s">
        <v>36995</v>
      </c>
      <c r="X42" t="s">
        <v>40444</v>
      </c>
    </row>
    <row r="43" spans="1:24">
      <c r="A43">
        <f>HYPERLINK("https://www.philgeps.gov.ph/GEPSNONPILOT/Tender/SplashBidNoticeAbstractUI.aspx?menuIndex=3&amp;refID=7040114&amp;Result=3","7040114")</f>
        <v>0</v>
      </c>
      <c r="B43" t="s">
        <v>45</v>
      </c>
      <c r="C43" t="s">
        <v>3130</v>
      </c>
      <c r="D43" t="s">
        <v>16201</v>
      </c>
      <c r="E43" t="s">
        <v>16334</v>
      </c>
      <c r="F43" t="s">
        <v>28198</v>
      </c>
      <c r="G43" t="s">
        <v>28207</v>
      </c>
      <c r="H43" t="s">
        <v>28215</v>
      </c>
      <c r="I43" t="s">
        <v>4168</v>
      </c>
      <c r="J43" t="s">
        <v>28350</v>
      </c>
      <c r="K43" t="s">
        <v>36701</v>
      </c>
      <c r="M43" t="s">
        <v>37016</v>
      </c>
      <c r="N43" t="s">
        <v>40436</v>
      </c>
      <c r="O43" t="s">
        <v>40437</v>
      </c>
      <c r="P43">
        <v>0</v>
      </c>
      <c r="Q43">
        <v>0</v>
      </c>
      <c r="R43" t="s">
        <v>40438</v>
      </c>
      <c r="S43" t="s">
        <v>40582</v>
      </c>
      <c r="T43" t="s">
        <v>42116</v>
      </c>
      <c r="U43" t="s">
        <v>42669</v>
      </c>
      <c r="W43" t="s">
        <v>37016</v>
      </c>
      <c r="X43" t="s">
        <v>40445</v>
      </c>
    </row>
    <row r="44" spans="1:24">
      <c r="A44">
        <f>HYPERLINK("https://www.philgeps.gov.ph/GEPSNONPILOT/Tender/SplashBidNoticeAbstractUI.aspx?menuIndex=3&amp;refID=7041076&amp;Result=3","7041076")</f>
        <v>0</v>
      </c>
      <c r="B44" t="s">
        <v>46</v>
      </c>
      <c r="C44" t="s">
        <v>3131</v>
      </c>
      <c r="D44" t="s">
        <v>16202</v>
      </c>
      <c r="E44" t="s">
        <v>16335</v>
      </c>
      <c r="F44" t="s">
        <v>28198</v>
      </c>
      <c r="G44" t="s">
        <v>28208</v>
      </c>
      <c r="H44" t="s">
        <v>28216</v>
      </c>
      <c r="I44" t="s">
        <v>28216</v>
      </c>
      <c r="J44" t="s">
        <v>28376</v>
      </c>
      <c r="K44" t="s">
        <v>36689</v>
      </c>
      <c r="L44" t="s">
        <v>46</v>
      </c>
      <c r="M44" t="s">
        <v>37017</v>
      </c>
      <c r="N44" t="s">
        <v>40436</v>
      </c>
      <c r="O44" t="s">
        <v>40437</v>
      </c>
      <c r="P44">
        <v>0</v>
      </c>
      <c r="Q44">
        <v>5</v>
      </c>
      <c r="R44" t="s">
        <v>40438</v>
      </c>
      <c r="S44" t="s">
        <v>40582</v>
      </c>
      <c r="T44" t="s">
        <v>42117</v>
      </c>
      <c r="U44" t="s">
        <v>42670</v>
      </c>
      <c r="W44" t="s">
        <v>37017</v>
      </c>
      <c r="X44" t="s">
        <v>40444</v>
      </c>
    </row>
    <row r="45" spans="1:24">
      <c r="A45">
        <f>HYPERLINK("https://www.philgeps.gov.ph/GEPSNONPILOT/Tender/SplashBidNoticeAbstractUI.aspx?menuIndex=3&amp;refID=7033855&amp;Result=3","7033855")</f>
        <v>0</v>
      </c>
      <c r="B45" t="s">
        <v>40</v>
      </c>
      <c r="C45" t="s">
        <v>3119</v>
      </c>
      <c r="D45" t="s">
        <v>16198</v>
      </c>
      <c r="E45" t="s">
        <v>16336</v>
      </c>
      <c r="F45" t="s">
        <v>28198</v>
      </c>
      <c r="G45" t="s">
        <v>28205</v>
      </c>
      <c r="H45" t="s">
        <v>28214</v>
      </c>
      <c r="I45" t="s">
        <v>3797</v>
      </c>
      <c r="J45" t="s">
        <v>28377</v>
      </c>
      <c r="K45" t="s">
        <v>36702</v>
      </c>
      <c r="M45" t="s">
        <v>37010</v>
      </c>
      <c r="N45" t="s">
        <v>40436</v>
      </c>
      <c r="O45" t="s">
        <v>40437</v>
      </c>
      <c r="P45">
        <v>0</v>
      </c>
      <c r="Q45">
        <v>0</v>
      </c>
      <c r="R45" t="s">
        <v>40438</v>
      </c>
      <c r="S45" t="s">
        <v>40582</v>
      </c>
      <c r="T45" t="s">
        <v>42112</v>
      </c>
      <c r="U45" t="s">
        <v>42671</v>
      </c>
      <c r="W45" t="s">
        <v>37010</v>
      </c>
      <c r="X45" t="s">
        <v>40447</v>
      </c>
    </row>
    <row r="46" spans="1:24">
      <c r="A46">
        <f>HYPERLINK("https://www.philgeps.gov.ph/GEPSNONPILOT/Tender/SplashBidNoticeAbstractUI.aspx?menuIndex=3&amp;refID=7039022&amp;Result=3","7039022")</f>
        <v>0</v>
      </c>
      <c r="B46" t="s">
        <v>47</v>
      </c>
      <c r="C46" t="s">
        <v>3132</v>
      </c>
      <c r="D46" t="s">
        <v>16203</v>
      </c>
      <c r="E46" t="s">
        <v>16337</v>
      </c>
      <c r="F46" t="s">
        <v>28198</v>
      </c>
      <c r="G46" t="s">
        <v>28205</v>
      </c>
      <c r="H46" t="s">
        <v>28215</v>
      </c>
      <c r="I46" t="s">
        <v>28224</v>
      </c>
      <c r="J46" t="s">
        <v>28378</v>
      </c>
      <c r="K46" t="s">
        <v>36689</v>
      </c>
      <c r="M46" t="s">
        <v>37018</v>
      </c>
      <c r="N46" t="s">
        <v>40436</v>
      </c>
      <c r="O46" t="s">
        <v>40437</v>
      </c>
      <c r="P46">
        <v>0</v>
      </c>
      <c r="Q46">
        <v>0</v>
      </c>
      <c r="R46" t="s">
        <v>40438</v>
      </c>
      <c r="S46" t="s">
        <v>40582</v>
      </c>
      <c r="T46" t="s">
        <v>42118</v>
      </c>
      <c r="U46" t="s">
        <v>42672</v>
      </c>
      <c r="W46" t="s">
        <v>37018</v>
      </c>
      <c r="X46" t="s">
        <v>40445</v>
      </c>
    </row>
    <row r="47" spans="1:24">
      <c r="A47">
        <f>HYPERLINK("https://www.philgeps.gov.ph/GEPSNONPILOT/Tender/SplashBidNoticeAbstractUI.aspx?menuIndex=3&amp;refID=7039849&amp;Result=3","7039849")</f>
        <v>0</v>
      </c>
      <c r="B47" t="s">
        <v>48</v>
      </c>
      <c r="C47" t="s">
        <v>3133</v>
      </c>
      <c r="D47" t="s">
        <v>16204</v>
      </c>
      <c r="E47" t="s">
        <v>16338</v>
      </c>
      <c r="F47" t="s">
        <v>28198</v>
      </c>
      <c r="G47" t="s">
        <v>28208</v>
      </c>
      <c r="H47" t="s">
        <v>28215</v>
      </c>
      <c r="I47" t="s">
        <v>4168</v>
      </c>
      <c r="J47" t="s">
        <v>28379</v>
      </c>
      <c r="K47" t="s">
        <v>36701</v>
      </c>
      <c r="M47" t="s">
        <v>37019</v>
      </c>
      <c r="N47" t="s">
        <v>40436</v>
      </c>
      <c r="O47" t="s">
        <v>40437</v>
      </c>
      <c r="P47">
        <v>0</v>
      </c>
      <c r="Q47">
        <v>2</v>
      </c>
      <c r="R47" t="s">
        <v>40438</v>
      </c>
      <c r="S47" t="s">
        <v>40582</v>
      </c>
      <c r="T47" t="s">
        <v>42108</v>
      </c>
      <c r="U47" t="s">
        <v>42673</v>
      </c>
      <c r="V47" t="s">
        <v>53785</v>
      </c>
      <c r="W47" t="s">
        <v>37019</v>
      </c>
      <c r="X47" t="s">
        <v>40445</v>
      </c>
    </row>
    <row r="48" spans="1:24">
      <c r="A48">
        <f>HYPERLINK("https://www.philgeps.gov.ph/GEPSNONPILOT/Tender/SplashBidNoticeAbstractUI.aspx?menuIndex=3&amp;refID=7034269&amp;Result=3","7034269")</f>
        <v>0</v>
      </c>
      <c r="B48" t="s">
        <v>49</v>
      </c>
      <c r="C48" t="s">
        <v>3134</v>
      </c>
      <c r="D48" t="s">
        <v>16198</v>
      </c>
      <c r="E48" t="s">
        <v>16339</v>
      </c>
      <c r="F48" t="s">
        <v>28198</v>
      </c>
      <c r="G48" t="s">
        <v>28205</v>
      </c>
      <c r="H48" t="s">
        <v>28214</v>
      </c>
      <c r="I48" t="s">
        <v>3797</v>
      </c>
      <c r="J48" t="s">
        <v>28380</v>
      </c>
      <c r="K48" t="s">
        <v>36703</v>
      </c>
      <c r="M48" t="s">
        <v>37020</v>
      </c>
      <c r="N48" t="s">
        <v>40436</v>
      </c>
      <c r="O48" t="s">
        <v>40437</v>
      </c>
      <c r="P48">
        <v>0</v>
      </c>
      <c r="Q48">
        <v>0</v>
      </c>
      <c r="R48" t="s">
        <v>40438</v>
      </c>
      <c r="S48" t="s">
        <v>40582</v>
      </c>
      <c r="T48" t="s">
        <v>42112</v>
      </c>
      <c r="U48" t="s">
        <v>42674</v>
      </c>
      <c r="W48" t="s">
        <v>37020</v>
      </c>
      <c r="X48" t="s">
        <v>40447</v>
      </c>
    </row>
    <row r="49" spans="1:24">
      <c r="A49">
        <f>HYPERLINK("https://www.philgeps.gov.ph/GEPSNONPILOT/Tender/SplashBidNoticeAbstractUI.aspx?menuIndex=3&amp;refID=7034329&amp;Result=3","7034329")</f>
        <v>0</v>
      </c>
      <c r="B49" t="s">
        <v>50</v>
      </c>
      <c r="C49" t="s">
        <v>3134</v>
      </c>
      <c r="D49" t="s">
        <v>16198</v>
      </c>
      <c r="E49" t="s">
        <v>16340</v>
      </c>
      <c r="F49" t="s">
        <v>28198</v>
      </c>
      <c r="G49" t="s">
        <v>28205</v>
      </c>
      <c r="H49" t="s">
        <v>28214</v>
      </c>
      <c r="I49" t="s">
        <v>3797</v>
      </c>
      <c r="J49" t="s">
        <v>28381</v>
      </c>
      <c r="K49" t="s">
        <v>36704</v>
      </c>
      <c r="M49" t="s">
        <v>37021</v>
      </c>
      <c r="N49" t="s">
        <v>40436</v>
      </c>
      <c r="O49" t="s">
        <v>40437</v>
      </c>
      <c r="P49">
        <v>0</v>
      </c>
      <c r="Q49">
        <v>0</v>
      </c>
      <c r="R49" t="s">
        <v>40438</v>
      </c>
      <c r="S49" t="s">
        <v>40582</v>
      </c>
      <c r="T49" t="s">
        <v>42112</v>
      </c>
      <c r="U49" t="s">
        <v>42675</v>
      </c>
      <c r="W49" t="s">
        <v>37021</v>
      </c>
      <c r="X49" t="s">
        <v>40447</v>
      </c>
    </row>
    <row r="50" spans="1:24">
      <c r="A50">
        <f>HYPERLINK("https://www.philgeps.gov.ph/GEPSNONPILOT/Tender/SplashBidNoticeAbstractUI.aspx?menuIndex=3&amp;refID=7042150&amp;Result=3","7042150")</f>
        <v>0</v>
      </c>
      <c r="B50" t="s">
        <v>51</v>
      </c>
      <c r="C50" t="s">
        <v>3135</v>
      </c>
      <c r="D50" t="s">
        <v>16194</v>
      </c>
      <c r="E50" t="s">
        <v>16341</v>
      </c>
      <c r="F50" t="s">
        <v>28198</v>
      </c>
      <c r="G50" t="s">
        <v>28207</v>
      </c>
      <c r="H50" t="s">
        <v>28215</v>
      </c>
      <c r="I50" t="s">
        <v>28225</v>
      </c>
      <c r="J50" t="s">
        <v>28382</v>
      </c>
      <c r="K50" t="s">
        <v>36693</v>
      </c>
      <c r="M50" t="s">
        <v>37022</v>
      </c>
      <c r="N50" t="s">
        <v>40436</v>
      </c>
      <c r="O50" t="s">
        <v>40437</v>
      </c>
      <c r="P50">
        <v>0</v>
      </c>
      <c r="Q50">
        <v>12</v>
      </c>
      <c r="R50" t="s">
        <v>40438</v>
      </c>
      <c r="S50" t="s">
        <v>40582</v>
      </c>
      <c r="T50" t="s">
        <v>42103</v>
      </c>
      <c r="U50" t="s">
        <v>42676</v>
      </c>
      <c r="W50" t="s">
        <v>37022</v>
      </c>
      <c r="X50" t="s">
        <v>40444</v>
      </c>
    </row>
    <row r="51" spans="1:24">
      <c r="A51">
        <f>HYPERLINK("https://www.philgeps.gov.ph/GEPSNONPILOT/Tender/SplashBidNoticeAbstractUI.aspx?menuIndex=3&amp;refID=7042285&amp;Result=3","7042285")</f>
        <v>0</v>
      </c>
      <c r="B51" t="s">
        <v>52</v>
      </c>
      <c r="C51" t="s">
        <v>3136</v>
      </c>
      <c r="D51" t="s">
        <v>16200</v>
      </c>
      <c r="E51" t="s">
        <v>16342</v>
      </c>
      <c r="F51" t="s">
        <v>28198</v>
      </c>
      <c r="G51" t="s">
        <v>28205</v>
      </c>
      <c r="H51" t="s">
        <v>28215</v>
      </c>
      <c r="I51" t="s">
        <v>28226</v>
      </c>
      <c r="J51" t="s">
        <v>28383</v>
      </c>
      <c r="K51" t="s">
        <v>36701</v>
      </c>
      <c r="M51" t="s">
        <v>37023</v>
      </c>
      <c r="N51" t="s">
        <v>40436</v>
      </c>
      <c r="O51" t="s">
        <v>40437</v>
      </c>
      <c r="P51">
        <v>0</v>
      </c>
      <c r="Q51">
        <v>1</v>
      </c>
      <c r="R51" t="s">
        <v>40438</v>
      </c>
      <c r="S51" t="s">
        <v>40582</v>
      </c>
      <c r="T51" t="s">
        <v>42108</v>
      </c>
      <c r="U51" t="s">
        <v>42677</v>
      </c>
      <c r="W51" t="s">
        <v>55427</v>
      </c>
      <c r="X51" t="s">
        <v>40444</v>
      </c>
    </row>
    <row r="52" spans="1:24">
      <c r="A52">
        <f>HYPERLINK("https://www.philgeps.gov.ph/GEPSNONPILOT/Tender/SplashBidNoticeAbstractUI.aspx?menuIndex=3&amp;refID=7041956&amp;Result=3","7041956")</f>
        <v>0</v>
      </c>
      <c r="B52" t="s">
        <v>53</v>
      </c>
      <c r="C52" t="s">
        <v>3137</v>
      </c>
      <c r="D52" t="s">
        <v>16190</v>
      </c>
      <c r="E52" t="s">
        <v>16343</v>
      </c>
      <c r="F52" t="s">
        <v>28198</v>
      </c>
      <c r="G52" t="s">
        <v>28207</v>
      </c>
      <c r="H52" t="s">
        <v>28215</v>
      </c>
      <c r="I52" t="s">
        <v>28227</v>
      </c>
      <c r="J52" t="s">
        <v>28384</v>
      </c>
      <c r="K52" t="s">
        <v>36689</v>
      </c>
      <c r="M52" t="s">
        <v>37024</v>
      </c>
      <c r="N52" t="s">
        <v>40436</v>
      </c>
      <c r="O52" t="s">
        <v>40437</v>
      </c>
      <c r="P52">
        <v>0</v>
      </c>
      <c r="Q52">
        <v>0</v>
      </c>
      <c r="R52" t="s">
        <v>40438</v>
      </c>
      <c r="S52" t="s">
        <v>40582</v>
      </c>
      <c r="T52" t="s">
        <v>42111</v>
      </c>
      <c r="U52" t="s">
        <v>42678</v>
      </c>
      <c r="W52" t="s">
        <v>37024</v>
      </c>
      <c r="X52" t="s">
        <v>40444</v>
      </c>
    </row>
    <row r="53" spans="1:24">
      <c r="A53">
        <f>HYPERLINK("https://www.philgeps.gov.ph/GEPSNONPILOT/Tender/SplashBidNoticeAbstractUI.aspx?menuIndex=3&amp;refID=7038738&amp;Result=3","7038738")</f>
        <v>0</v>
      </c>
      <c r="B53" t="s">
        <v>54</v>
      </c>
      <c r="C53" t="s">
        <v>3138</v>
      </c>
      <c r="D53" t="s">
        <v>16205</v>
      </c>
      <c r="E53" t="s">
        <v>16344</v>
      </c>
      <c r="F53" t="s">
        <v>28198</v>
      </c>
      <c r="G53" t="s">
        <v>28209</v>
      </c>
      <c r="H53" t="s">
        <v>28215</v>
      </c>
      <c r="I53" t="s">
        <v>28228</v>
      </c>
      <c r="J53" t="s">
        <v>28385</v>
      </c>
      <c r="K53" t="s">
        <v>36689</v>
      </c>
      <c r="M53" t="s">
        <v>37025</v>
      </c>
      <c r="N53" t="s">
        <v>40436</v>
      </c>
      <c r="O53" t="s">
        <v>40437</v>
      </c>
      <c r="P53">
        <v>0</v>
      </c>
      <c r="Q53">
        <v>0</v>
      </c>
      <c r="R53" t="s">
        <v>40438</v>
      </c>
      <c r="S53" t="s">
        <v>40582</v>
      </c>
      <c r="T53" t="s">
        <v>42119</v>
      </c>
      <c r="U53" t="s">
        <v>42679</v>
      </c>
      <c r="W53" t="s">
        <v>37025</v>
      </c>
      <c r="X53" t="s">
        <v>40445</v>
      </c>
    </row>
    <row r="54" spans="1:24">
      <c r="A54">
        <f>HYPERLINK("https://www.philgeps.gov.ph/GEPSNONPILOT/Tender/SplashBidNoticeAbstractUI.aspx?menuIndex=3&amp;refID=7037572&amp;Result=3","7037572")</f>
        <v>0</v>
      </c>
      <c r="B54" t="s">
        <v>55</v>
      </c>
      <c r="C54" t="s">
        <v>3139</v>
      </c>
      <c r="D54" t="s">
        <v>16206</v>
      </c>
      <c r="E54" t="s">
        <v>16345</v>
      </c>
      <c r="F54" t="s">
        <v>28198</v>
      </c>
      <c r="G54" t="s">
        <v>28207</v>
      </c>
      <c r="H54" t="s">
        <v>28215</v>
      </c>
      <c r="I54" t="s">
        <v>28229</v>
      </c>
      <c r="J54" t="s">
        <v>28386</v>
      </c>
      <c r="K54" t="s">
        <v>36705</v>
      </c>
      <c r="M54" t="s">
        <v>37026</v>
      </c>
      <c r="N54" t="s">
        <v>40436</v>
      </c>
      <c r="O54" t="s">
        <v>40437</v>
      </c>
      <c r="P54">
        <v>0</v>
      </c>
      <c r="Q54">
        <v>3</v>
      </c>
      <c r="R54" t="s">
        <v>40438</v>
      </c>
      <c r="S54" t="s">
        <v>40582</v>
      </c>
      <c r="T54" t="s">
        <v>42111</v>
      </c>
      <c r="U54" t="s">
        <v>42680</v>
      </c>
      <c r="W54" t="s">
        <v>37026</v>
      </c>
      <c r="X54" t="s">
        <v>40446</v>
      </c>
    </row>
    <row r="55" spans="1:24">
      <c r="A55">
        <f>HYPERLINK("https://www.philgeps.gov.ph/GEPSNONPILOT/Tender/SplashBidNoticeAbstractUI.aspx?menuIndex=3&amp;refID=7041951&amp;Result=3","7041951")</f>
        <v>0</v>
      </c>
      <c r="B55" t="s">
        <v>56</v>
      </c>
      <c r="C55" t="s">
        <v>3140</v>
      </c>
      <c r="D55" t="s">
        <v>16200</v>
      </c>
      <c r="E55" t="s">
        <v>16346</v>
      </c>
      <c r="F55" t="s">
        <v>28198</v>
      </c>
      <c r="G55" t="s">
        <v>28207</v>
      </c>
      <c r="H55" t="s">
        <v>28215</v>
      </c>
      <c r="I55" t="s">
        <v>28230</v>
      </c>
      <c r="J55" t="s">
        <v>28387</v>
      </c>
      <c r="K55" t="s">
        <v>36693</v>
      </c>
      <c r="M55" t="s">
        <v>37027</v>
      </c>
      <c r="N55" t="s">
        <v>40436</v>
      </c>
      <c r="O55" t="s">
        <v>40437</v>
      </c>
      <c r="P55">
        <v>0</v>
      </c>
      <c r="Q55">
        <v>0</v>
      </c>
      <c r="R55" t="s">
        <v>40438</v>
      </c>
      <c r="S55" t="s">
        <v>40582</v>
      </c>
      <c r="T55" t="s">
        <v>42111</v>
      </c>
      <c r="U55" t="s">
        <v>42681</v>
      </c>
      <c r="W55" t="s">
        <v>37027</v>
      </c>
      <c r="X55" t="s">
        <v>40444</v>
      </c>
    </row>
    <row r="56" spans="1:24">
      <c r="A56">
        <f>HYPERLINK("https://www.philgeps.gov.ph/GEPSNONPILOT/Tender/SplashBidNoticeAbstractUI.aspx?menuIndex=3&amp;refID=7041911&amp;Result=3","7041911")</f>
        <v>0</v>
      </c>
      <c r="B56" t="s">
        <v>57</v>
      </c>
      <c r="C56" t="s">
        <v>3141</v>
      </c>
      <c r="D56" t="s">
        <v>16188</v>
      </c>
      <c r="E56" t="s">
        <v>16347</v>
      </c>
      <c r="F56" t="s">
        <v>28200</v>
      </c>
      <c r="G56" t="s">
        <v>28206</v>
      </c>
      <c r="H56" t="s">
        <v>28217</v>
      </c>
      <c r="I56" t="s">
        <v>28231</v>
      </c>
      <c r="J56" t="s">
        <v>28388</v>
      </c>
      <c r="K56" t="s">
        <v>36705</v>
      </c>
      <c r="M56" t="s">
        <v>37028</v>
      </c>
      <c r="N56" t="s">
        <v>40436</v>
      </c>
      <c r="O56" t="s">
        <v>40437</v>
      </c>
      <c r="P56">
        <v>0</v>
      </c>
      <c r="Q56">
        <v>0</v>
      </c>
      <c r="R56" t="s">
        <v>40438</v>
      </c>
      <c r="S56" t="s">
        <v>40582</v>
      </c>
      <c r="T56" t="s">
        <v>42120</v>
      </c>
      <c r="U56" t="s">
        <v>42682</v>
      </c>
      <c r="W56" t="s">
        <v>37028</v>
      </c>
      <c r="X56" t="s">
        <v>40444</v>
      </c>
    </row>
    <row r="57" spans="1:24">
      <c r="A57">
        <f>HYPERLINK("https://www.philgeps.gov.ph/GEPSNONPILOT/Tender/SplashBidNoticeAbstractUI.aspx?menuIndex=3&amp;refID=7036808&amp;Result=3","7036808")</f>
        <v>0</v>
      </c>
      <c r="B57" t="s">
        <v>58</v>
      </c>
      <c r="C57" t="s">
        <v>3142</v>
      </c>
      <c r="D57" t="s">
        <v>16190</v>
      </c>
      <c r="E57" t="s">
        <v>16348</v>
      </c>
      <c r="F57" t="s">
        <v>28198</v>
      </c>
      <c r="G57" t="s">
        <v>28207</v>
      </c>
      <c r="H57" t="s">
        <v>28215</v>
      </c>
      <c r="I57" t="s">
        <v>28232</v>
      </c>
      <c r="J57" t="s">
        <v>28389</v>
      </c>
      <c r="K57" t="s">
        <v>36706</v>
      </c>
      <c r="M57" t="s">
        <v>37029</v>
      </c>
      <c r="N57" t="s">
        <v>40436</v>
      </c>
      <c r="O57" t="s">
        <v>40437</v>
      </c>
      <c r="P57">
        <v>0</v>
      </c>
      <c r="Q57">
        <v>1</v>
      </c>
      <c r="R57" t="s">
        <v>40438</v>
      </c>
      <c r="S57" t="s">
        <v>40582</v>
      </c>
      <c r="T57" t="s">
        <v>42121</v>
      </c>
      <c r="U57" t="s">
        <v>42683</v>
      </c>
      <c r="W57" t="s">
        <v>37029</v>
      </c>
      <c r="X57" t="s">
        <v>40446</v>
      </c>
    </row>
    <row r="58" spans="1:24">
      <c r="A58">
        <f>HYPERLINK("https://www.philgeps.gov.ph/GEPSNONPILOT/Tender/SplashBidNoticeAbstractUI.aspx?menuIndex=3&amp;refID=7043197&amp;Result=3","7043197")</f>
        <v>0</v>
      </c>
      <c r="B58" t="s">
        <v>59</v>
      </c>
      <c r="C58" t="s">
        <v>3143</v>
      </c>
      <c r="D58" t="s">
        <v>16202</v>
      </c>
      <c r="E58" t="s">
        <v>16349</v>
      </c>
      <c r="F58" t="s">
        <v>28198</v>
      </c>
      <c r="G58" t="s">
        <v>28207</v>
      </c>
      <c r="H58" t="s">
        <v>28215</v>
      </c>
      <c r="I58" t="s">
        <v>4168</v>
      </c>
      <c r="J58" t="s">
        <v>28378</v>
      </c>
      <c r="K58" t="s">
        <v>36707</v>
      </c>
      <c r="M58" t="s">
        <v>37030</v>
      </c>
      <c r="N58" t="s">
        <v>40436</v>
      </c>
      <c r="O58" t="s">
        <v>40437</v>
      </c>
      <c r="P58">
        <v>0</v>
      </c>
      <c r="Q58">
        <v>2</v>
      </c>
      <c r="R58" t="s">
        <v>40438</v>
      </c>
      <c r="S58" t="s">
        <v>40582</v>
      </c>
      <c r="T58" t="s">
        <v>42115</v>
      </c>
      <c r="U58" t="s">
        <v>42684</v>
      </c>
      <c r="W58" t="s">
        <v>37030</v>
      </c>
      <c r="X58" t="s">
        <v>40444</v>
      </c>
    </row>
    <row r="59" spans="1:24">
      <c r="A59">
        <f>HYPERLINK("https://www.philgeps.gov.ph/GEPSNONPILOT/Tender/SplashBidNoticeAbstractUI.aspx?menuIndex=3&amp;refID=7036129&amp;Result=3","7036129")</f>
        <v>0</v>
      </c>
      <c r="B59" t="s">
        <v>60</v>
      </c>
      <c r="C59" t="s">
        <v>3144</v>
      </c>
      <c r="D59" t="s">
        <v>16207</v>
      </c>
      <c r="E59" t="s">
        <v>16350</v>
      </c>
      <c r="F59" t="s">
        <v>28198</v>
      </c>
      <c r="G59" t="s">
        <v>28205</v>
      </c>
      <c r="H59" t="s">
        <v>28215</v>
      </c>
      <c r="I59" t="s">
        <v>28233</v>
      </c>
      <c r="J59" t="s">
        <v>28390</v>
      </c>
      <c r="K59" t="s">
        <v>36692</v>
      </c>
      <c r="M59" t="s">
        <v>37031</v>
      </c>
      <c r="N59" t="s">
        <v>40436</v>
      </c>
      <c r="O59" t="s">
        <v>40437</v>
      </c>
      <c r="P59">
        <v>0</v>
      </c>
      <c r="Q59">
        <v>10</v>
      </c>
      <c r="R59" t="s">
        <v>40438</v>
      </c>
      <c r="S59" t="s">
        <v>40582</v>
      </c>
      <c r="T59" t="s">
        <v>42122</v>
      </c>
      <c r="U59" t="s">
        <v>42685</v>
      </c>
      <c r="W59" t="s">
        <v>37031</v>
      </c>
      <c r="X59" t="s">
        <v>40446</v>
      </c>
    </row>
    <row r="60" spans="1:24">
      <c r="A60">
        <f>HYPERLINK("https://www.philgeps.gov.ph/GEPSNONPILOT/Tender/SplashBidNoticeAbstractUI.aspx?menuIndex=3&amp;refID=7041399&amp;Result=3","7041399")</f>
        <v>0</v>
      </c>
      <c r="B60" t="s">
        <v>34</v>
      </c>
      <c r="C60" t="s">
        <v>3145</v>
      </c>
      <c r="D60" t="s">
        <v>16195</v>
      </c>
      <c r="E60" t="s">
        <v>16351</v>
      </c>
      <c r="F60" t="s">
        <v>28198</v>
      </c>
      <c r="G60" t="s">
        <v>28205</v>
      </c>
      <c r="H60" t="s">
        <v>28215</v>
      </c>
      <c r="I60" t="s">
        <v>8888</v>
      </c>
      <c r="J60" t="s">
        <v>28391</v>
      </c>
      <c r="K60" t="s">
        <v>36696</v>
      </c>
      <c r="M60" t="s">
        <v>37015</v>
      </c>
      <c r="N60" t="s">
        <v>40436</v>
      </c>
      <c r="O60" t="s">
        <v>40437</v>
      </c>
      <c r="P60">
        <v>0</v>
      </c>
      <c r="Q60">
        <v>6</v>
      </c>
      <c r="R60" t="s">
        <v>40438</v>
      </c>
      <c r="S60" t="s">
        <v>40582</v>
      </c>
      <c r="T60" t="s">
        <v>42107</v>
      </c>
      <c r="U60" t="s">
        <v>42686</v>
      </c>
      <c r="V60" t="s">
        <v>53784</v>
      </c>
      <c r="W60" t="s">
        <v>37015</v>
      </c>
      <c r="X60" t="s">
        <v>40444</v>
      </c>
    </row>
    <row r="61" spans="1:24">
      <c r="A61">
        <f>HYPERLINK("https://www.philgeps.gov.ph/GEPSNONPILOT/Tender/SplashBidNoticeAbstractUI.aspx?menuIndex=3&amp;refID=7041754&amp;Result=3","7041754")</f>
        <v>0</v>
      </c>
      <c r="B61" t="s">
        <v>61</v>
      </c>
      <c r="C61" t="s">
        <v>3146</v>
      </c>
      <c r="D61" t="s">
        <v>16195</v>
      </c>
      <c r="E61" t="s">
        <v>16352</v>
      </c>
      <c r="F61" t="s">
        <v>28198</v>
      </c>
      <c r="G61" t="s">
        <v>28205</v>
      </c>
      <c r="H61" t="s">
        <v>28215</v>
      </c>
      <c r="I61" t="s">
        <v>5100</v>
      </c>
      <c r="J61" t="s">
        <v>28392</v>
      </c>
      <c r="K61" t="s">
        <v>36707</v>
      </c>
      <c r="M61" t="s">
        <v>37032</v>
      </c>
      <c r="N61" t="s">
        <v>40436</v>
      </c>
      <c r="O61" t="s">
        <v>40437</v>
      </c>
      <c r="P61">
        <v>0</v>
      </c>
      <c r="Q61">
        <v>0</v>
      </c>
      <c r="R61" t="s">
        <v>40438</v>
      </c>
      <c r="S61" t="s">
        <v>40582</v>
      </c>
      <c r="T61" t="s">
        <v>42121</v>
      </c>
      <c r="U61" t="s">
        <v>42687</v>
      </c>
      <c r="W61" t="s">
        <v>37032</v>
      </c>
      <c r="X61" t="s">
        <v>40444</v>
      </c>
    </row>
    <row r="62" spans="1:24">
      <c r="A62">
        <f>HYPERLINK("https://www.philgeps.gov.ph/GEPSNONPILOT/Tender/SplashBidNoticeAbstractUI.aspx?menuIndex=3&amp;refID=7043178&amp;Result=3","7043178")</f>
        <v>0</v>
      </c>
      <c r="B62" t="s">
        <v>59</v>
      </c>
      <c r="C62" t="s">
        <v>3147</v>
      </c>
      <c r="D62" t="s">
        <v>16188</v>
      </c>
      <c r="E62" t="s">
        <v>16353</v>
      </c>
      <c r="F62" t="s">
        <v>28198</v>
      </c>
      <c r="G62" t="s">
        <v>28207</v>
      </c>
      <c r="H62" t="s">
        <v>28215</v>
      </c>
      <c r="I62" t="s">
        <v>4168</v>
      </c>
      <c r="J62" t="s">
        <v>28393</v>
      </c>
      <c r="K62" t="s">
        <v>36707</v>
      </c>
      <c r="M62" t="s">
        <v>37030</v>
      </c>
      <c r="N62" t="s">
        <v>40436</v>
      </c>
      <c r="O62" t="s">
        <v>40437</v>
      </c>
      <c r="P62">
        <v>0</v>
      </c>
      <c r="Q62">
        <v>3</v>
      </c>
      <c r="R62" t="s">
        <v>40438</v>
      </c>
      <c r="S62" t="s">
        <v>40582</v>
      </c>
      <c r="T62" t="s">
        <v>42115</v>
      </c>
      <c r="U62" t="s">
        <v>42684</v>
      </c>
      <c r="W62" t="s">
        <v>37030</v>
      </c>
      <c r="X62" t="s">
        <v>40444</v>
      </c>
    </row>
    <row r="63" spans="1:24">
      <c r="A63">
        <f>HYPERLINK("https://www.philgeps.gov.ph/GEPSNONPILOT/Tender/SplashBidNoticeAbstractUI.aspx?menuIndex=3&amp;refID=7043200&amp;Result=3","7043200")</f>
        <v>0</v>
      </c>
      <c r="B63" t="s">
        <v>59</v>
      </c>
      <c r="C63" t="s">
        <v>3148</v>
      </c>
      <c r="D63" t="s">
        <v>16208</v>
      </c>
      <c r="E63" t="s">
        <v>16354</v>
      </c>
      <c r="F63" t="s">
        <v>28198</v>
      </c>
      <c r="G63" t="s">
        <v>28207</v>
      </c>
      <c r="H63" t="s">
        <v>28215</v>
      </c>
      <c r="I63" t="s">
        <v>4168</v>
      </c>
      <c r="J63" t="s">
        <v>28378</v>
      </c>
      <c r="K63" t="s">
        <v>36707</v>
      </c>
      <c r="M63" t="s">
        <v>37030</v>
      </c>
      <c r="N63" t="s">
        <v>40436</v>
      </c>
      <c r="O63" t="s">
        <v>40437</v>
      </c>
      <c r="P63">
        <v>0</v>
      </c>
      <c r="Q63">
        <v>4</v>
      </c>
      <c r="R63" t="s">
        <v>40438</v>
      </c>
      <c r="S63" t="s">
        <v>40582</v>
      </c>
      <c r="T63" t="s">
        <v>42115</v>
      </c>
      <c r="U63" t="s">
        <v>42684</v>
      </c>
      <c r="W63" t="s">
        <v>37030</v>
      </c>
      <c r="X63" t="s">
        <v>40444</v>
      </c>
    </row>
    <row r="64" spans="1:24">
      <c r="A64">
        <f>HYPERLINK("https://www.philgeps.gov.ph/GEPSNONPILOT/Tender/SplashBidNoticeAbstractUI.aspx?menuIndex=3&amp;refID=7041881&amp;Result=3","7041881")</f>
        <v>0</v>
      </c>
      <c r="B64" t="s">
        <v>57</v>
      </c>
      <c r="C64" t="s">
        <v>3149</v>
      </c>
      <c r="D64" t="s">
        <v>16188</v>
      </c>
      <c r="E64" t="s">
        <v>16355</v>
      </c>
      <c r="F64" t="s">
        <v>28198</v>
      </c>
      <c r="G64" t="s">
        <v>28206</v>
      </c>
      <c r="H64" t="s">
        <v>28217</v>
      </c>
      <c r="I64" t="s">
        <v>6786</v>
      </c>
      <c r="J64" t="s">
        <v>28350</v>
      </c>
      <c r="K64" t="s">
        <v>36705</v>
      </c>
      <c r="M64" t="s">
        <v>37028</v>
      </c>
      <c r="N64" t="s">
        <v>40436</v>
      </c>
      <c r="O64" t="s">
        <v>40437</v>
      </c>
      <c r="P64">
        <v>0</v>
      </c>
      <c r="Q64">
        <v>0</v>
      </c>
      <c r="R64" t="s">
        <v>40438</v>
      </c>
      <c r="S64" t="s">
        <v>40582</v>
      </c>
      <c r="T64" t="s">
        <v>42111</v>
      </c>
      <c r="U64" t="s">
        <v>42688</v>
      </c>
      <c r="W64" t="s">
        <v>37028</v>
      </c>
      <c r="X64" t="s">
        <v>40444</v>
      </c>
    </row>
    <row r="65" spans="1:24">
      <c r="A65">
        <f>HYPERLINK("https://www.philgeps.gov.ph/GEPSNONPILOT/Tender/SplashBidNoticeAbstractUI.aspx?menuIndex=3&amp;refID=7043153&amp;Result=3","7043153")</f>
        <v>0</v>
      </c>
      <c r="B65" t="s">
        <v>59</v>
      </c>
      <c r="C65" t="s">
        <v>3150</v>
      </c>
      <c r="D65" t="s">
        <v>16209</v>
      </c>
      <c r="E65" t="s">
        <v>16356</v>
      </c>
      <c r="F65" t="s">
        <v>28198</v>
      </c>
      <c r="G65" t="s">
        <v>28207</v>
      </c>
      <c r="H65" t="s">
        <v>28215</v>
      </c>
      <c r="I65" t="s">
        <v>4168</v>
      </c>
      <c r="J65" t="s">
        <v>28378</v>
      </c>
      <c r="K65" t="s">
        <v>36707</v>
      </c>
      <c r="M65" t="s">
        <v>37030</v>
      </c>
      <c r="N65" t="s">
        <v>40436</v>
      </c>
      <c r="O65" t="s">
        <v>40437</v>
      </c>
      <c r="P65">
        <v>0</v>
      </c>
      <c r="Q65">
        <v>4</v>
      </c>
      <c r="R65" t="s">
        <v>40438</v>
      </c>
      <c r="S65" t="s">
        <v>40582</v>
      </c>
      <c r="T65" t="s">
        <v>42115</v>
      </c>
      <c r="U65" t="s">
        <v>42684</v>
      </c>
      <c r="W65" t="s">
        <v>37030</v>
      </c>
      <c r="X65" t="s">
        <v>40444</v>
      </c>
    </row>
    <row r="66" spans="1:24">
      <c r="A66">
        <f>HYPERLINK("https://www.philgeps.gov.ph/GEPSNONPILOT/Tender/SplashBidNoticeAbstractUI.aspx?menuIndex=3&amp;refID=7042332&amp;Result=3","7042332")</f>
        <v>0</v>
      </c>
      <c r="B66" t="s">
        <v>52</v>
      </c>
      <c r="C66" t="s">
        <v>3151</v>
      </c>
      <c r="D66" t="s">
        <v>16200</v>
      </c>
      <c r="E66" t="s">
        <v>16357</v>
      </c>
      <c r="F66" t="s">
        <v>28198</v>
      </c>
      <c r="G66" t="s">
        <v>28205</v>
      </c>
      <c r="H66" t="s">
        <v>28215</v>
      </c>
      <c r="I66" t="s">
        <v>28226</v>
      </c>
      <c r="J66" t="s">
        <v>28394</v>
      </c>
      <c r="K66" t="s">
        <v>36701</v>
      </c>
      <c r="M66" t="s">
        <v>37023</v>
      </c>
      <c r="N66" t="s">
        <v>40436</v>
      </c>
      <c r="O66" t="s">
        <v>40437</v>
      </c>
      <c r="P66">
        <v>0</v>
      </c>
      <c r="Q66">
        <v>1</v>
      </c>
      <c r="R66" t="s">
        <v>40438</v>
      </c>
      <c r="S66" t="s">
        <v>40582</v>
      </c>
      <c r="T66" t="s">
        <v>42108</v>
      </c>
      <c r="U66" t="s">
        <v>42689</v>
      </c>
      <c r="W66" t="s">
        <v>55427</v>
      </c>
      <c r="X66" t="s">
        <v>40444</v>
      </c>
    </row>
    <row r="67" spans="1:24">
      <c r="A67">
        <f>HYPERLINK("https://www.philgeps.gov.ph/GEPSNONPILOT/Tender/SplashBidNoticeAbstractUI.aspx?menuIndex=3&amp;refID=7043214&amp;Result=3","7043214")</f>
        <v>0</v>
      </c>
      <c r="B67" t="s">
        <v>59</v>
      </c>
      <c r="C67" t="s">
        <v>3152</v>
      </c>
      <c r="D67" t="s">
        <v>16210</v>
      </c>
      <c r="E67" t="s">
        <v>16358</v>
      </c>
      <c r="F67" t="s">
        <v>28198</v>
      </c>
      <c r="G67" t="s">
        <v>28207</v>
      </c>
      <c r="H67" t="s">
        <v>28215</v>
      </c>
      <c r="I67" t="s">
        <v>4168</v>
      </c>
      <c r="J67" t="s">
        <v>28395</v>
      </c>
      <c r="K67" t="s">
        <v>36707</v>
      </c>
      <c r="M67" t="s">
        <v>37030</v>
      </c>
      <c r="N67" t="s">
        <v>40436</v>
      </c>
      <c r="O67" t="s">
        <v>40437</v>
      </c>
      <c r="P67">
        <v>0</v>
      </c>
      <c r="Q67">
        <v>8</v>
      </c>
      <c r="R67" t="s">
        <v>40438</v>
      </c>
      <c r="S67" t="s">
        <v>40582</v>
      </c>
      <c r="T67" t="s">
        <v>42115</v>
      </c>
      <c r="U67" t="s">
        <v>42684</v>
      </c>
      <c r="W67" t="s">
        <v>37030</v>
      </c>
      <c r="X67" t="s">
        <v>40444</v>
      </c>
    </row>
    <row r="68" spans="1:24">
      <c r="A68">
        <f>HYPERLINK("https://www.philgeps.gov.ph/GEPSNONPILOT/Tender/SplashBidNoticeAbstractUI.aspx?menuIndex=3&amp;refID=7043147&amp;Result=3","7043147")</f>
        <v>0</v>
      </c>
      <c r="B68" t="s">
        <v>59</v>
      </c>
      <c r="C68" t="s">
        <v>3153</v>
      </c>
      <c r="D68" t="s">
        <v>16209</v>
      </c>
      <c r="E68" t="s">
        <v>16359</v>
      </c>
      <c r="F68" t="s">
        <v>28198</v>
      </c>
      <c r="G68" t="s">
        <v>28207</v>
      </c>
      <c r="H68" t="s">
        <v>28215</v>
      </c>
      <c r="I68" t="s">
        <v>4168</v>
      </c>
      <c r="J68" t="s">
        <v>28378</v>
      </c>
      <c r="K68" t="s">
        <v>36707</v>
      </c>
      <c r="M68" t="s">
        <v>37030</v>
      </c>
      <c r="N68" t="s">
        <v>40436</v>
      </c>
      <c r="O68" t="s">
        <v>40437</v>
      </c>
      <c r="P68">
        <v>0</v>
      </c>
      <c r="Q68">
        <v>4</v>
      </c>
      <c r="R68" t="s">
        <v>40438</v>
      </c>
      <c r="S68" t="s">
        <v>40582</v>
      </c>
      <c r="T68" t="s">
        <v>42115</v>
      </c>
      <c r="U68" t="s">
        <v>42690</v>
      </c>
      <c r="W68" t="s">
        <v>37030</v>
      </c>
      <c r="X68" t="s">
        <v>40444</v>
      </c>
    </row>
    <row r="69" spans="1:24">
      <c r="A69">
        <f>HYPERLINK("https://www.philgeps.gov.ph/GEPSNONPILOT/Tender/SplashBidNoticeAbstractUI.aspx?menuIndex=3&amp;refID=7042748&amp;Result=3","7042748")</f>
        <v>0</v>
      </c>
      <c r="B69" t="s">
        <v>62</v>
      </c>
      <c r="C69" t="s">
        <v>3154</v>
      </c>
      <c r="D69" t="s">
        <v>16211</v>
      </c>
      <c r="E69" t="s">
        <v>16360</v>
      </c>
      <c r="F69" t="s">
        <v>28198</v>
      </c>
      <c r="G69" t="s">
        <v>28205</v>
      </c>
      <c r="H69" t="s">
        <v>28214</v>
      </c>
      <c r="I69" t="s">
        <v>5100</v>
      </c>
      <c r="J69" t="s">
        <v>28396</v>
      </c>
      <c r="K69" t="s">
        <v>36692</v>
      </c>
      <c r="M69" t="s">
        <v>37033</v>
      </c>
      <c r="N69" t="s">
        <v>40436</v>
      </c>
      <c r="O69" t="s">
        <v>40437</v>
      </c>
      <c r="P69">
        <v>0</v>
      </c>
      <c r="Q69">
        <v>0</v>
      </c>
      <c r="R69" t="s">
        <v>40438</v>
      </c>
      <c r="S69" t="s">
        <v>40582</v>
      </c>
      <c r="T69" t="s">
        <v>42123</v>
      </c>
      <c r="U69" t="s">
        <v>42691</v>
      </c>
      <c r="W69" t="s">
        <v>37033</v>
      </c>
      <c r="X69" t="s">
        <v>40444</v>
      </c>
    </row>
    <row r="70" spans="1:24">
      <c r="A70">
        <f>HYPERLINK("https://www.philgeps.gov.ph/GEPSNONPILOT/Tender/SplashBidNoticeAbstractUI.aspx?menuIndex=3&amp;refID=7043116&amp;Result=3","7043116")</f>
        <v>0</v>
      </c>
      <c r="B70" t="s">
        <v>59</v>
      </c>
      <c r="C70" t="s">
        <v>3155</v>
      </c>
      <c r="D70" t="s">
        <v>16210</v>
      </c>
      <c r="E70" t="s">
        <v>16361</v>
      </c>
      <c r="F70" t="s">
        <v>28198</v>
      </c>
      <c r="G70" t="s">
        <v>28207</v>
      </c>
      <c r="H70" t="s">
        <v>28215</v>
      </c>
      <c r="I70" t="s">
        <v>28234</v>
      </c>
      <c r="J70" t="s">
        <v>28397</v>
      </c>
      <c r="K70" t="s">
        <v>36707</v>
      </c>
      <c r="M70" t="s">
        <v>37030</v>
      </c>
      <c r="N70" t="s">
        <v>40436</v>
      </c>
      <c r="O70" t="s">
        <v>40437</v>
      </c>
      <c r="P70">
        <v>0</v>
      </c>
      <c r="Q70">
        <v>13</v>
      </c>
      <c r="R70" t="s">
        <v>40438</v>
      </c>
      <c r="S70" t="s">
        <v>40582</v>
      </c>
      <c r="T70" t="s">
        <v>42124</v>
      </c>
      <c r="U70" t="s">
        <v>42692</v>
      </c>
      <c r="W70" t="s">
        <v>37030</v>
      </c>
      <c r="X70" t="s">
        <v>40444</v>
      </c>
    </row>
    <row r="71" spans="1:24">
      <c r="A71">
        <f>HYPERLINK("https://www.philgeps.gov.ph/GEPSNONPILOT/Tender/SplashBidNoticeAbstractUI.aspx?menuIndex=3&amp;refID=7043864&amp;Result=3","7043864")</f>
        <v>0</v>
      </c>
      <c r="B71" t="s">
        <v>63</v>
      </c>
      <c r="C71" t="s">
        <v>3156</v>
      </c>
      <c r="E71" t="s">
        <v>16362</v>
      </c>
      <c r="F71" t="s">
        <v>28198</v>
      </c>
      <c r="G71" t="s">
        <v>28205</v>
      </c>
      <c r="H71" t="s">
        <v>28214</v>
      </c>
      <c r="I71" t="s">
        <v>28235</v>
      </c>
      <c r="J71" t="s">
        <v>28363</v>
      </c>
      <c r="K71" t="s">
        <v>36694</v>
      </c>
      <c r="M71" t="s">
        <v>37034</v>
      </c>
      <c r="N71" t="s">
        <v>40436</v>
      </c>
      <c r="O71" t="s">
        <v>40437</v>
      </c>
      <c r="P71">
        <v>0</v>
      </c>
      <c r="Q71">
        <v>0</v>
      </c>
      <c r="R71" t="s">
        <v>40438</v>
      </c>
      <c r="S71" t="s">
        <v>40582</v>
      </c>
      <c r="T71" t="s">
        <v>42108</v>
      </c>
      <c r="U71" t="s">
        <v>42693</v>
      </c>
      <c r="W71" t="s">
        <v>37034</v>
      </c>
      <c r="X71" t="s">
        <v>40442</v>
      </c>
    </row>
    <row r="72" spans="1:24">
      <c r="A72">
        <f>HYPERLINK("https://www.philgeps.gov.ph/GEPSNONPILOT/Tender/SplashBidNoticeAbstractUI.aspx?menuIndex=3&amp;refID=7043120&amp;Result=3","7043120")</f>
        <v>0</v>
      </c>
      <c r="B72" t="s">
        <v>59</v>
      </c>
      <c r="C72" t="s">
        <v>3157</v>
      </c>
      <c r="D72" t="s">
        <v>16210</v>
      </c>
      <c r="E72" t="s">
        <v>16363</v>
      </c>
      <c r="F72" t="s">
        <v>28198</v>
      </c>
      <c r="G72" t="s">
        <v>28207</v>
      </c>
      <c r="H72" t="s">
        <v>28215</v>
      </c>
      <c r="I72" t="s">
        <v>28234</v>
      </c>
      <c r="J72" t="s">
        <v>28398</v>
      </c>
      <c r="K72" t="s">
        <v>36707</v>
      </c>
      <c r="M72" t="s">
        <v>37030</v>
      </c>
      <c r="N72" t="s">
        <v>40436</v>
      </c>
      <c r="O72" t="s">
        <v>40437</v>
      </c>
      <c r="P72">
        <v>0</v>
      </c>
      <c r="Q72">
        <v>5</v>
      </c>
      <c r="R72" t="s">
        <v>40438</v>
      </c>
      <c r="S72" t="s">
        <v>40582</v>
      </c>
      <c r="T72" t="s">
        <v>42124</v>
      </c>
      <c r="U72" t="s">
        <v>42692</v>
      </c>
      <c r="W72" t="s">
        <v>37030</v>
      </c>
      <c r="X72" t="s">
        <v>40444</v>
      </c>
    </row>
    <row r="73" spans="1:24">
      <c r="A73">
        <f>HYPERLINK("https://www.philgeps.gov.ph/GEPSNONPILOT/Tender/SplashBidNoticeAbstractUI.aspx?menuIndex=3&amp;refID=7043111&amp;Result=3","7043111")</f>
        <v>0</v>
      </c>
      <c r="B73" t="s">
        <v>59</v>
      </c>
      <c r="C73" t="s">
        <v>3158</v>
      </c>
      <c r="D73" t="s">
        <v>16210</v>
      </c>
      <c r="E73" t="s">
        <v>16364</v>
      </c>
      <c r="F73" t="s">
        <v>28198</v>
      </c>
      <c r="G73" t="s">
        <v>28207</v>
      </c>
      <c r="H73" t="s">
        <v>28215</v>
      </c>
      <c r="I73" t="s">
        <v>28234</v>
      </c>
      <c r="J73" t="s">
        <v>28397</v>
      </c>
      <c r="K73" t="s">
        <v>36707</v>
      </c>
      <c r="M73" t="s">
        <v>37030</v>
      </c>
      <c r="N73" t="s">
        <v>40436</v>
      </c>
      <c r="O73" t="s">
        <v>40437</v>
      </c>
      <c r="P73">
        <v>0</v>
      </c>
      <c r="Q73">
        <v>13</v>
      </c>
      <c r="R73" t="s">
        <v>40438</v>
      </c>
      <c r="S73" t="s">
        <v>40582</v>
      </c>
      <c r="T73" t="s">
        <v>42124</v>
      </c>
      <c r="U73" t="s">
        <v>42692</v>
      </c>
      <c r="W73" t="s">
        <v>37030</v>
      </c>
      <c r="X73" t="s">
        <v>40444</v>
      </c>
    </row>
    <row r="74" spans="1:24">
      <c r="A74">
        <f>HYPERLINK("https://www.philgeps.gov.ph/GEPSNONPILOT/Tender/SplashBidNoticeAbstractUI.aspx?menuIndex=3&amp;refID=7043937&amp;Result=3","7043937")</f>
        <v>0</v>
      </c>
      <c r="B74" t="s">
        <v>64</v>
      </c>
      <c r="C74" t="s">
        <v>3159</v>
      </c>
      <c r="D74" t="s">
        <v>16201</v>
      </c>
      <c r="E74" t="s">
        <v>16365</v>
      </c>
      <c r="F74" t="s">
        <v>28198</v>
      </c>
      <c r="G74" t="s">
        <v>28205</v>
      </c>
      <c r="H74" t="s">
        <v>28215</v>
      </c>
      <c r="I74" t="s">
        <v>9499</v>
      </c>
      <c r="J74" t="s">
        <v>28399</v>
      </c>
      <c r="K74" t="s">
        <v>36687</v>
      </c>
      <c r="M74" t="s">
        <v>37035</v>
      </c>
      <c r="N74" t="s">
        <v>40436</v>
      </c>
      <c r="O74" t="s">
        <v>40437</v>
      </c>
      <c r="P74">
        <v>0</v>
      </c>
      <c r="Q74">
        <v>5</v>
      </c>
      <c r="R74" t="s">
        <v>40438</v>
      </c>
      <c r="S74" t="s">
        <v>40582</v>
      </c>
      <c r="T74" t="s">
        <v>42118</v>
      </c>
      <c r="U74" t="s">
        <v>42694</v>
      </c>
      <c r="W74" t="s">
        <v>37035</v>
      </c>
      <c r="X74" t="s">
        <v>40441</v>
      </c>
    </row>
    <row r="75" spans="1:24">
      <c r="A75">
        <f>HYPERLINK("https://www.philgeps.gov.ph/GEPSNONPILOT/Tender/SplashBidNoticeAbstractUI.aspx?menuIndex=3&amp;refID=7043440&amp;Result=3","7043440")</f>
        <v>0</v>
      </c>
      <c r="B75" t="s">
        <v>65</v>
      </c>
      <c r="C75" t="s">
        <v>3160</v>
      </c>
      <c r="D75" t="s">
        <v>16210</v>
      </c>
      <c r="E75" t="s">
        <v>16366</v>
      </c>
      <c r="F75" t="s">
        <v>28198</v>
      </c>
      <c r="G75" t="s">
        <v>28205</v>
      </c>
      <c r="H75" t="s">
        <v>28215</v>
      </c>
      <c r="I75" t="s">
        <v>5791</v>
      </c>
      <c r="J75" t="s">
        <v>28400</v>
      </c>
      <c r="K75" t="s">
        <v>36689</v>
      </c>
      <c r="M75" t="s">
        <v>37036</v>
      </c>
      <c r="N75" t="s">
        <v>40436</v>
      </c>
      <c r="O75" t="s">
        <v>40437</v>
      </c>
      <c r="P75">
        <v>0</v>
      </c>
      <c r="Q75">
        <v>0</v>
      </c>
      <c r="R75" t="s">
        <v>40438</v>
      </c>
      <c r="S75" t="s">
        <v>40582</v>
      </c>
      <c r="T75" t="s">
        <v>42125</v>
      </c>
      <c r="U75" t="s">
        <v>42695</v>
      </c>
      <c r="V75" t="s">
        <v>53786</v>
      </c>
      <c r="W75" t="s">
        <v>37036</v>
      </c>
      <c r="X75" t="s">
        <v>40443</v>
      </c>
    </row>
    <row r="76" spans="1:24">
      <c r="A76">
        <f>HYPERLINK("https://www.philgeps.gov.ph/GEPSNONPILOT/Tender/SplashBidNoticeAbstractUI.aspx?menuIndex=3&amp;refID=7043127&amp;Result=3","7043127")</f>
        <v>0</v>
      </c>
      <c r="B76" t="s">
        <v>59</v>
      </c>
      <c r="C76" t="s">
        <v>3161</v>
      </c>
      <c r="D76" t="s">
        <v>16210</v>
      </c>
      <c r="E76" t="s">
        <v>16367</v>
      </c>
      <c r="F76" t="s">
        <v>28198</v>
      </c>
      <c r="G76" t="s">
        <v>28207</v>
      </c>
      <c r="H76" t="s">
        <v>28215</v>
      </c>
      <c r="I76" t="s">
        <v>4168</v>
      </c>
      <c r="J76" t="s">
        <v>28378</v>
      </c>
      <c r="K76" t="s">
        <v>36707</v>
      </c>
      <c r="M76" t="s">
        <v>37030</v>
      </c>
      <c r="N76" t="s">
        <v>40436</v>
      </c>
      <c r="O76" t="s">
        <v>40437</v>
      </c>
      <c r="P76">
        <v>0</v>
      </c>
      <c r="Q76">
        <v>7</v>
      </c>
      <c r="R76" t="s">
        <v>40438</v>
      </c>
      <c r="S76" t="s">
        <v>40582</v>
      </c>
      <c r="T76" t="s">
        <v>42115</v>
      </c>
      <c r="U76" t="s">
        <v>42696</v>
      </c>
      <c r="W76" t="s">
        <v>37030</v>
      </c>
      <c r="X76" t="s">
        <v>40444</v>
      </c>
    </row>
    <row r="77" spans="1:24">
      <c r="A77">
        <f>HYPERLINK("https://www.philgeps.gov.ph/GEPSNONPILOT/Tender/SplashBidNoticeAbstractUI.aspx?menuIndex=3&amp;refID=7043107&amp;Result=3","7043107")</f>
        <v>0</v>
      </c>
      <c r="B77" t="s">
        <v>59</v>
      </c>
      <c r="C77" t="s">
        <v>3162</v>
      </c>
      <c r="D77" t="s">
        <v>16210</v>
      </c>
      <c r="E77" t="s">
        <v>16368</v>
      </c>
      <c r="F77" t="s">
        <v>28198</v>
      </c>
      <c r="G77" t="s">
        <v>28207</v>
      </c>
      <c r="H77" t="s">
        <v>28215</v>
      </c>
      <c r="I77" t="s">
        <v>28234</v>
      </c>
      <c r="J77" t="s">
        <v>28401</v>
      </c>
      <c r="K77" t="s">
        <v>36707</v>
      </c>
      <c r="M77" t="s">
        <v>37030</v>
      </c>
      <c r="N77" t="s">
        <v>40436</v>
      </c>
      <c r="O77" t="s">
        <v>40437</v>
      </c>
      <c r="P77">
        <v>0</v>
      </c>
      <c r="Q77">
        <v>22</v>
      </c>
      <c r="R77" t="s">
        <v>40438</v>
      </c>
      <c r="S77" t="s">
        <v>40582</v>
      </c>
      <c r="T77" t="s">
        <v>42124</v>
      </c>
      <c r="U77" t="s">
        <v>42697</v>
      </c>
      <c r="W77" t="s">
        <v>37030</v>
      </c>
      <c r="X77" t="s">
        <v>40444</v>
      </c>
    </row>
    <row r="78" spans="1:24">
      <c r="A78">
        <f>HYPERLINK("https://www.philgeps.gov.ph/GEPSNONPILOT/Tender/SplashBidNoticeAbstractUI.aspx?menuIndex=3&amp;refID=7043165&amp;Result=3","7043165")</f>
        <v>0</v>
      </c>
      <c r="B78" t="s">
        <v>59</v>
      </c>
      <c r="C78" t="s">
        <v>3163</v>
      </c>
      <c r="D78" t="s">
        <v>16202</v>
      </c>
      <c r="E78" t="s">
        <v>16369</v>
      </c>
      <c r="F78" t="s">
        <v>28198</v>
      </c>
      <c r="G78" t="s">
        <v>28207</v>
      </c>
      <c r="H78" t="s">
        <v>28215</v>
      </c>
      <c r="I78" t="s">
        <v>4168</v>
      </c>
      <c r="J78" t="s">
        <v>28378</v>
      </c>
      <c r="K78" t="s">
        <v>36707</v>
      </c>
      <c r="M78" t="s">
        <v>37030</v>
      </c>
      <c r="N78" t="s">
        <v>40436</v>
      </c>
      <c r="O78" t="s">
        <v>40437</v>
      </c>
      <c r="P78">
        <v>0</v>
      </c>
      <c r="Q78">
        <v>3</v>
      </c>
      <c r="R78" t="s">
        <v>40438</v>
      </c>
      <c r="S78" t="s">
        <v>40582</v>
      </c>
      <c r="T78" t="s">
        <v>42115</v>
      </c>
      <c r="U78" t="s">
        <v>42698</v>
      </c>
      <c r="W78" t="s">
        <v>37030</v>
      </c>
      <c r="X78" t="s">
        <v>40444</v>
      </c>
    </row>
    <row r="79" spans="1:24">
      <c r="A79">
        <f>HYPERLINK("https://www.philgeps.gov.ph/GEPSNONPILOT/Tender/SplashBidNoticeAbstractUI.aspx?menuIndex=3&amp;refID=7044632&amp;Result=3","7044632")</f>
        <v>0</v>
      </c>
      <c r="B79" t="s">
        <v>66</v>
      </c>
      <c r="C79" t="s">
        <v>3164</v>
      </c>
      <c r="D79" t="s">
        <v>16212</v>
      </c>
      <c r="E79" t="s">
        <v>16370</v>
      </c>
      <c r="F79" t="s">
        <v>28198</v>
      </c>
      <c r="G79" t="s">
        <v>28205</v>
      </c>
      <c r="H79" t="s">
        <v>28215</v>
      </c>
      <c r="I79" t="s">
        <v>5082</v>
      </c>
      <c r="J79" t="s">
        <v>28402</v>
      </c>
      <c r="K79" t="s">
        <v>36706</v>
      </c>
      <c r="M79" t="s">
        <v>37037</v>
      </c>
      <c r="N79" t="s">
        <v>40436</v>
      </c>
      <c r="O79" t="s">
        <v>40437</v>
      </c>
      <c r="P79">
        <v>0</v>
      </c>
      <c r="Q79">
        <v>0</v>
      </c>
      <c r="R79" t="s">
        <v>40438</v>
      </c>
      <c r="S79" t="s">
        <v>40582</v>
      </c>
      <c r="T79" t="s">
        <v>42100</v>
      </c>
      <c r="U79" t="s">
        <v>42699</v>
      </c>
      <c r="W79" t="s">
        <v>37037</v>
      </c>
      <c r="X79" t="s">
        <v>40440</v>
      </c>
    </row>
    <row r="80" spans="1:24">
      <c r="A80">
        <f>HYPERLINK("https://www.philgeps.gov.ph/GEPSNONPILOT/Tender/SplashBidNoticeAbstractUI.aspx?menuIndex=3&amp;refID=7043281&amp;Result=3","7043281")</f>
        <v>0</v>
      </c>
      <c r="B80" t="s">
        <v>34</v>
      </c>
      <c r="C80" t="s">
        <v>3165</v>
      </c>
      <c r="D80" t="s">
        <v>16195</v>
      </c>
      <c r="E80" t="s">
        <v>16371</v>
      </c>
      <c r="F80" t="s">
        <v>28198</v>
      </c>
      <c r="G80" t="s">
        <v>28205</v>
      </c>
      <c r="H80" t="s">
        <v>28215</v>
      </c>
      <c r="I80" t="s">
        <v>28222</v>
      </c>
      <c r="J80" t="s">
        <v>28403</v>
      </c>
      <c r="K80" t="s">
        <v>36696</v>
      </c>
      <c r="M80" t="s">
        <v>37038</v>
      </c>
      <c r="N80" t="s">
        <v>40436</v>
      </c>
      <c r="O80" t="s">
        <v>40437</v>
      </c>
      <c r="P80">
        <v>0</v>
      </c>
      <c r="Q80">
        <v>7</v>
      </c>
      <c r="R80" t="s">
        <v>40438</v>
      </c>
      <c r="S80" t="s">
        <v>40582</v>
      </c>
      <c r="T80" t="s">
        <v>42107</v>
      </c>
      <c r="U80" t="s">
        <v>42700</v>
      </c>
      <c r="V80" t="s">
        <v>53779</v>
      </c>
      <c r="W80" t="s">
        <v>37038</v>
      </c>
      <c r="X80" t="s">
        <v>40444</v>
      </c>
    </row>
    <row r="81" spans="1:24">
      <c r="A81">
        <f>HYPERLINK("https://www.philgeps.gov.ph/GEPSNONPILOT/Tender/SplashBidNoticeAbstractUI.aspx?menuIndex=3&amp;refID=7042850&amp;Result=3","7042850")</f>
        <v>0</v>
      </c>
      <c r="B81" t="s">
        <v>67</v>
      </c>
      <c r="C81" t="s">
        <v>3166</v>
      </c>
      <c r="D81" t="s">
        <v>16192</v>
      </c>
      <c r="E81" t="s">
        <v>16372</v>
      </c>
      <c r="F81" t="s">
        <v>28198</v>
      </c>
      <c r="G81" t="s">
        <v>28205</v>
      </c>
      <c r="H81" t="s">
        <v>28215</v>
      </c>
      <c r="I81" t="s">
        <v>4200</v>
      </c>
      <c r="J81" t="s">
        <v>28404</v>
      </c>
      <c r="K81" t="s">
        <v>36688</v>
      </c>
      <c r="M81" t="s">
        <v>37039</v>
      </c>
      <c r="N81" t="s">
        <v>40436</v>
      </c>
      <c r="O81" t="s">
        <v>40437</v>
      </c>
      <c r="P81">
        <v>0</v>
      </c>
      <c r="Q81">
        <v>0</v>
      </c>
      <c r="R81" t="s">
        <v>40438</v>
      </c>
      <c r="S81" t="s">
        <v>40582</v>
      </c>
      <c r="T81" t="s">
        <v>42126</v>
      </c>
      <c r="U81" t="s">
        <v>42701</v>
      </c>
      <c r="V81" t="s">
        <v>53787</v>
      </c>
      <c r="W81" t="s">
        <v>37039</v>
      </c>
      <c r="X81" t="s">
        <v>40444</v>
      </c>
    </row>
    <row r="82" spans="1:24">
      <c r="A82">
        <f>HYPERLINK("https://www.philgeps.gov.ph/GEPSNONPILOT/Tender/SplashBidNoticeAbstractUI.aspx?menuIndex=3&amp;refID=7044621&amp;Result=3","7044621")</f>
        <v>0</v>
      </c>
      <c r="B82" t="s">
        <v>68</v>
      </c>
      <c r="C82" t="s">
        <v>3167</v>
      </c>
      <c r="E82" t="s">
        <v>16373</v>
      </c>
      <c r="F82" t="s">
        <v>28198</v>
      </c>
      <c r="G82" t="s">
        <v>28205</v>
      </c>
      <c r="H82" t="s">
        <v>28214</v>
      </c>
      <c r="I82" t="s">
        <v>3797</v>
      </c>
      <c r="J82" t="s">
        <v>28378</v>
      </c>
      <c r="K82" t="s">
        <v>36707</v>
      </c>
      <c r="M82" t="s">
        <v>37040</v>
      </c>
      <c r="N82" t="s">
        <v>40436</v>
      </c>
      <c r="O82" t="s">
        <v>40437</v>
      </c>
      <c r="P82">
        <v>0</v>
      </c>
      <c r="Q82">
        <v>0</v>
      </c>
      <c r="R82" t="s">
        <v>40438</v>
      </c>
      <c r="S82" t="s">
        <v>40582</v>
      </c>
      <c r="T82" t="s">
        <v>42127</v>
      </c>
      <c r="U82" t="s">
        <v>42702</v>
      </c>
      <c r="W82" t="s">
        <v>37040</v>
      </c>
      <c r="X82" t="s">
        <v>40440</v>
      </c>
    </row>
    <row r="83" spans="1:24">
      <c r="A83">
        <f>HYPERLINK("https://www.philgeps.gov.ph/GEPSNONPILOT/Tender/SplashBidNoticeAbstractUI.aspx?menuIndex=3&amp;refID=7044352&amp;Result=3","7044352")</f>
        <v>0</v>
      </c>
      <c r="B83" t="s">
        <v>69</v>
      </c>
      <c r="C83" t="s">
        <v>3168</v>
      </c>
      <c r="D83" t="s">
        <v>16213</v>
      </c>
      <c r="E83" t="s">
        <v>16374</v>
      </c>
      <c r="F83" t="s">
        <v>28198</v>
      </c>
      <c r="G83" t="s">
        <v>28205</v>
      </c>
      <c r="H83" t="s">
        <v>28214</v>
      </c>
      <c r="I83" t="s">
        <v>3797</v>
      </c>
      <c r="J83" t="s">
        <v>28405</v>
      </c>
      <c r="K83" t="s">
        <v>36707</v>
      </c>
      <c r="M83" t="s">
        <v>37041</v>
      </c>
      <c r="N83" t="s">
        <v>40436</v>
      </c>
      <c r="O83" t="s">
        <v>40437</v>
      </c>
      <c r="P83">
        <v>0</v>
      </c>
      <c r="Q83">
        <v>0</v>
      </c>
      <c r="R83" t="s">
        <v>40438</v>
      </c>
      <c r="S83" t="s">
        <v>40582</v>
      </c>
      <c r="T83" t="s">
        <v>42128</v>
      </c>
      <c r="U83" t="s">
        <v>42703</v>
      </c>
      <c r="W83" t="s">
        <v>55428</v>
      </c>
      <c r="X83" t="s">
        <v>40440</v>
      </c>
    </row>
    <row r="84" spans="1:24">
      <c r="A84">
        <f>HYPERLINK("https://www.philgeps.gov.ph/GEPSNONPILOT/Tender/SplashBidNoticeAbstractUI.aspx?menuIndex=3&amp;refID=7043101&amp;Result=3","7043101")</f>
        <v>0</v>
      </c>
      <c r="B84" t="s">
        <v>59</v>
      </c>
      <c r="C84" t="s">
        <v>3169</v>
      </c>
      <c r="D84" t="s">
        <v>16210</v>
      </c>
      <c r="E84" t="s">
        <v>16375</v>
      </c>
      <c r="F84" t="s">
        <v>28198</v>
      </c>
      <c r="G84" t="s">
        <v>28207</v>
      </c>
      <c r="H84" t="s">
        <v>28215</v>
      </c>
      <c r="I84" t="s">
        <v>28234</v>
      </c>
      <c r="J84" t="s">
        <v>28406</v>
      </c>
      <c r="K84" t="s">
        <v>36707</v>
      </c>
      <c r="M84" t="s">
        <v>37030</v>
      </c>
      <c r="N84" t="s">
        <v>40436</v>
      </c>
      <c r="O84" t="s">
        <v>40437</v>
      </c>
      <c r="P84">
        <v>0</v>
      </c>
      <c r="Q84">
        <v>8</v>
      </c>
      <c r="R84" t="s">
        <v>40438</v>
      </c>
      <c r="S84" t="s">
        <v>40582</v>
      </c>
      <c r="T84" t="s">
        <v>42124</v>
      </c>
      <c r="U84" t="s">
        <v>42692</v>
      </c>
      <c r="W84" t="s">
        <v>37030</v>
      </c>
      <c r="X84" t="s">
        <v>40444</v>
      </c>
    </row>
    <row r="85" spans="1:24">
      <c r="A85">
        <f>HYPERLINK("https://www.philgeps.gov.ph/GEPSNONPILOT/Tender/SplashBidNoticeAbstractUI.aspx?menuIndex=3&amp;refID=7043940&amp;Result=3","7043940")</f>
        <v>0</v>
      </c>
      <c r="B85" t="s">
        <v>64</v>
      </c>
      <c r="C85" t="s">
        <v>3170</v>
      </c>
      <c r="D85" t="s">
        <v>16201</v>
      </c>
      <c r="E85" t="s">
        <v>16376</v>
      </c>
      <c r="F85" t="s">
        <v>28198</v>
      </c>
      <c r="G85" t="s">
        <v>28205</v>
      </c>
      <c r="H85" t="s">
        <v>28215</v>
      </c>
      <c r="I85" t="s">
        <v>28236</v>
      </c>
      <c r="J85" t="s">
        <v>28407</v>
      </c>
      <c r="K85" t="s">
        <v>36687</v>
      </c>
      <c r="M85" t="s">
        <v>37035</v>
      </c>
      <c r="N85" t="s">
        <v>40436</v>
      </c>
      <c r="O85" t="s">
        <v>40437</v>
      </c>
      <c r="P85">
        <v>0</v>
      </c>
      <c r="Q85">
        <v>1</v>
      </c>
      <c r="R85" t="s">
        <v>40438</v>
      </c>
      <c r="S85" t="s">
        <v>40582</v>
      </c>
      <c r="T85" t="s">
        <v>42118</v>
      </c>
      <c r="U85" t="s">
        <v>42694</v>
      </c>
      <c r="W85" t="s">
        <v>37035</v>
      </c>
      <c r="X85" t="s">
        <v>40441</v>
      </c>
    </row>
    <row r="86" spans="1:24">
      <c r="A86">
        <f>HYPERLINK("https://www.philgeps.gov.ph/GEPSNONPILOT/Tender/SplashBidNoticeAbstractUI.aspx?menuIndex=3&amp;refID=7044536&amp;Result=3","7044536")</f>
        <v>0</v>
      </c>
      <c r="B86" t="s">
        <v>68</v>
      </c>
      <c r="C86" t="s">
        <v>3171</v>
      </c>
      <c r="D86" t="s">
        <v>16200</v>
      </c>
      <c r="E86" t="s">
        <v>16377</v>
      </c>
      <c r="F86" t="s">
        <v>28198</v>
      </c>
      <c r="G86" t="s">
        <v>28205</v>
      </c>
      <c r="H86" t="s">
        <v>28214</v>
      </c>
      <c r="I86" t="s">
        <v>3797</v>
      </c>
      <c r="J86" t="s">
        <v>28408</v>
      </c>
      <c r="K86" t="s">
        <v>36695</v>
      </c>
      <c r="M86" t="s">
        <v>37040</v>
      </c>
      <c r="N86" t="s">
        <v>40436</v>
      </c>
      <c r="O86" t="s">
        <v>40437</v>
      </c>
      <c r="P86">
        <v>0</v>
      </c>
      <c r="Q86">
        <v>0</v>
      </c>
      <c r="R86" t="s">
        <v>40438</v>
      </c>
      <c r="S86" t="s">
        <v>40582</v>
      </c>
      <c r="T86" t="s">
        <v>42110</v>
      </c>
      <c r="U86" t="s">
        <v>42704</v>
      </c>
      <c r="W86" t="s">
        <v>37040</v>
      </c>
      <c r="X86" t="s">
        <v>40440</v>
      </c>
    </row>
    <row r="87" spans="1:24">
      <c r="A87">
        <f>HYPERLINK("https://www.philgeps.gov.ph/GEPSNONPILOT/Tender/SplashBidNoticeAbstractUI.aspx?menuIndex=3&amp;refID=7044650&amp;Result=3","7044650")</f>
        <v>0</v>
      </c>
      <c r="B87" t="s">
        <v>70</v>
      </c>
      <c r="C87" t="s">
        <v>3172</v>
      </c>
      <c r="D87" t="s">
        <v>16214</v>
      </c>
      <c r="E87" t="s">
        <v>16378</v>
      </c>
      <c r="F87" t="s">
        <v>28198</v>
      </c>
      <c r="G87" t="s">
        <v>28205</v>
      </c>
      <c r="H87" t="s">
        <v>28214</v>
      </c>
      <c r="I87" t="s">
        <v>3797</v>
      </c>
      <c r="J87" t="s">
        <v>28409</v>
      </c>
      <c r="K87" t="s">
        <v>36697</v>
      </c>
      <c r="M87" t="s">
        <v>37042</v>
      </c>
      <c r="N87" t="s">
        <v>40436</v>
      </c>
      <c r="O87" t="s">
        <v>40437</v>
      </c>
      <c r="P87">
        <v>0</v>
      </c>
      <c r="Q87">
        <v>0</v>
      </c>
      <c r="R87" t="s">
        <v>40438</v>
      </c>
      <c r="S87" t="s">
        <v>40582</v>
      </c>
      <c r="T87" t="s">
        <v>42128</v>
      </c>
      <c r="U87" t="s">
        <v>42705</v>
      </c>
      <c r="W87" t="s">
        <v>37042</v>
      </c>
      <c r="X87" t="s">
        <v>40440</v>
      </c>
    </row>
    <row r="88" spans="1:24">
      <c r="A88">
        <f>HYPERLINK("https://www.philgeps.gov.ph/GEPSNONPILOT/Tender/SplashBidNoticeAbstractUI.aspx?menuIndex=3&amp;refID=7044108&amp;Result=3","7044108")</f>
        <v>0</v>
      </c>
      <c r="B88" t="s">
        <v>71</v>
      </c>
      <c r="C88" t="s">
        <v>3173</v>
      </c>
      <c r="D88" t="s">
        <v>16215</v>
      </c>
      <c r="E88" t="s">
        <v>16379</v>
      </c>
      <c r="F88" t="s">
        <v>28201</v>
      </c>
      <c r="G88" t="s">
        <v>28210</v>
      </c>
      <c r="H88" t="s">
        <v>28217</v>
      </c>
      <c r="I88" t="s">
        <v>4219</v>
      </c>
      <c r="J88" t="s">
        <v>28410</v>
      </c>
      <c r="K88" t="s">
        <v>36706</v>
      </c>
      <c r="M88" t="s">
        <v>37043</v>
      </c>
      <c r="N88" t="s">
        <v>40436</v>
      </c>
      <c r="O88" t="s">
        <v>40437</v>
      </c>
      <c r="P88">
        <v>0</v>
      </c>
      <c r="Q88">
        <v>0</v>
      </c>
      <c r="R88" t="s">
        <v>40438</v>
      </c>
      <c r="S88" t="s">
        <v>40582</v>
      </c>
      <c r="T88" t="s">
        <v>42097</v>
      </c>
      <c r="U88" t="s">
        <v>42706</v>
      </c>
      <c r="W88" t="s">
        <v>37043</v>
      </c>
      <c r="X88" t="s">
        <v>40441</v>
      </c>
    </row>
    <row r="89" spans="1:24">
      <c r="A89">
        <f>HYPERLINK("https://www.philgeps.gov.ph/GEPSNONPILOT/Tender/SplashBidNoticeAbstractUI.aspx?menuIndex=3&amp;refID=7044791&amp;Result=3","7044791")</f>
        <v>0</v>
      </c>
      <c r="B89" t="s">
        <v>72</v>
      </c>
      <c r="C89" t="s">
        <v>3174</v>
      </c>
      <c r="D89" t="s">
        <v>16216</v>
      </c>
      <c r="E89" t="s">
        <v>16380</v>
      </c>
      <c r="F89" t="s">
        <v>28198</v>
      </c>
      <c r="G89" t="s">
        <v>28207</v>
      </c>
      <c r="H89" t="s">
        <v>28215</v>
      </c>
      <c r="I89" t="s">
        <v>4200</v>
      </c>
      <c r="J89" t="s">
        <v>28411</v>
      </c>
      <c r="K89" t="s">
        <v>36708</v>
      </c>
      <c r="M89" t="s">
        <v>37044</v>
      </c>
      <c r="N89" t="s">
        <v>40436</v>
      </c>
      <c r="O89" t="s">
        <v>40437</v>
      </c>
      <c r="P89">
        <v>0</v>
      </c>
      <c r="Q89">
        <v>2</v>
      </c>
      <c r="R89" t="s">
        <v>40438</v>
      </c>
      <c r="S89" t="s">
        <v>40582</v>
      </c>
      <c r="T89" t="s">
        <v>42129</v>
      </c>
      <c r="U89" t="s">
        <v>42707</v>
      </c>
      <c r="W89" t="s">
        <v>37044</v>
      </c>
      <c r="X89" t="s">
        <v>40440</v>
      </c>
    </row>
    <row r="90" spans="1:24">
      <c r="A90">
        <f>HYPERLINK("https://www.philgeps.gov.ph/GEPSNONPILOT/Tender/SplashBidNoticeAbstractUI.aspx?menuIndex=3&amp;refID=7044733&amp;Result=3","7044733")</f>
        <v>0</v>
      </c>
      <c r="B90" t="s">
        <v>73</v>
      </c>
      <c r="C90" t="s">
        <v>3175</v>
      </c>
      <c r="D90" t="s">
        <v>16213</v>
      </c>
      <c r="E90" t="s">
        <v>16381</v>
      </c>
      <c r="F90" t="s">
        <v>28198</v>
      </c>
      <c r="G90" t="s">
        <v>28205</v>
      </c>
      <c r="H90" t="s">
        <v>28215</v>
      </c>
      <c r="I90" t="s">
        <v>5100</v>
      </c>
      <c r="J90" t="s">
        <v>28412</v>
      </c>
      <c r="K90" t="s">
        <v>36706</v>
      </c>
      <c r="M90" t="s">
        <v>37045</v>
      </c>
      <c r="N90" t="s">
        <v>40436</v>
      </c>
      <c r="O90" t="s">
        <v>40437</v>
      </c>
      <c r="P90">
        <v>0</v>
      </c>
      <c r="Q90">
        <v>0</v>
      </c>
      <c r="R90" t="s">
        <v>40438</v>
      </c>
      <c r="S90" t="s">
        <v>40582</v>
      </c>
      <c r="T90" t="s">
        <v>42107</v>
      </c>
      <c r="U90" t="s">
        <v>42708</v>
      </c>
      <c r="V90" t="s">
        <v>53788</v>
      </c>
      <c r="W90" t="s">
        <v>37045</v>
      </c>
      <c r="X90" t="s">
        <v>40440</v>
      </c>
    </row>
    <row r="91" spans="1:24">
      <c r="A91">
        <f>HYPERLINK("https://www.philgeps.gov.ph/GEPSNONPILOT/Tender/SplashBidNoticeAbstractUI.aspx?menuIndex=3&amp;refID=7044713&amp;Result=3","7044713")</f>
        <v>0</v>
      </c>
      <c r="B91" t="s">
        <v>70</v>
      </c>
      <c r="C91" t="s">
        <v>3176</v>
      </c>
      <c r="D91" t="s">
        <v>16214</v>
      </c>
      <c r="E91" t="s">
        <v>16382</v>
      </c>
      <c r="F91" t="s">
        <v>28198</v>
      </c>
      <c r="G91" t="s">
        <v>28205</v>
      </c>
      <c r="H91" t="s">
        <v>28214</v>
      </c>
      <c r="I91" t="s">
        <v>3797</v>
      </c>
      <c r="J91" t="s">
        <v>28413</v>
      </c>
      <c r="K91" t="s">
        <v>36701</v>
      </c>
      <c r="M91" t="s">
        <v>37042</v>
      </c>
      <c r="N91" t="s">
        <v>40436</v>
      </c>
      <c r="O91" t="s">
        <v>40437</v>
      </c>
      <c r="P91">
        <v>0</v>
      </c>
      <c r="Q91">
        <v>0</v>
      </c>
      <c r="R91" t="s">
        <v>40438</v>
      </c>
      <c r="S91" t="s">
        <v>40582</v>
      </c>
      <c r="T91" t="s">
        <v>42128</v>
      </c>
      <c r="U91" t="s">
        <v>42709</v>
      </c>
      <c r="W91" t="s">
        <v>37042</v>
      </c>
      <c r="X91" t="s">
        <v>40440</v>
      </c>
    </row>
    <row r="92" spans="1:24">
      <c r="A92">
        <f>HYPERLINK("https://www.philgeps.gov.ph/GEPSNONPILOT/Tender/SplashBidNoticeAbstractUI.aspx?menuIndex=3&amp;refID=7044392&amp;Result=3","7044392")</f>
        <v>0</v>
      </c>
      <c r="B92" t="s">
        <v>74</v>
      </c>
      <c r="C92" t="s">
        <v>3177</v>
      </c>
      <c r="D92" t="s">
        <v>16209</v>
      </c>
      <c r="E92" t="s">
        <v>16383</v>
      </c>
      <c r="F92" t="s">
        <v>28198</v>
      </c>
      <c r="G92" t="s">
        <v>28205</v>
      </c>
      <c r="H92" t="s">
        <v>28215</v>
      </c>
      <c r="I92" t="s">
        <v>28237</v>
      </c>
      <c r="J92" t="s">
        <v>28414</v>
      </c>
      <c r="K92" t="s">
        <v>36701</v>
      </c>
      <c r="M92" t="s">
        <v>37046</v>
      </c>
      <c r="N92" t="s">
        <v>40436</v>
      </c>
      <c r="O92" t="s">
        <v>40437</v>
      </c>
      <c r="P92">
        <v>0</v>
      </c>
      <c r="Q92">
        <v>1</v>
      </c>
      <c r="R92" t="s">
        <v>40438</v>
      </c>
      <c r="S92" t="s">
        <v>40582</v>
      </c>
      <c r="T92" t="s">
        <v>42130</v>
      </c>
      <c r="U92" t="s">
        <v>42710</v>
      </c>
      <c r="V92" t="s">
        <v>53789</v>
      </c>
      <c r="W92" t="s">
        <v>37046</v>
      </c>
      <c r="X92" t="s">
        <v>40440</v>
      </c>
    </row>
    <row r="93" spans="1:24">
      <c r="A93">
        <f>HYPERLINK("https://www.philgeps.gov.ph/GEPSNONPILOT/Tender/SplashBidNoticeAbstractUI.aspx?menuIndex=3&amp;refID=7044101&amp;Result=3","7044101")</f>
        <v>0</v>
      </c>
      <c r="B93" t="s">
        <v>71</v>
      </c>
      <c r="C93" t="s">
        <v>3178</v>
      </c>
      <c r="D93" t="s">
        <v>16215</v>
      </c>
      <c r="E93" t="s">
        <v>16384</v>
      </c>
      <c r="F93" t="s">
        <v>28201</v>
      </c>
      <c r="G93" t="s">
        <v>28209</v>
      </c>
      <c r="H93" t="s">
        <v>28215</v>
      </c>
      <c r="I93" t="s">
        <v>28238</v>
      </c>
      <c r="J93" t="s">
        <v>28354</v>
      </c>
      <c r="K93" t="s">
        <v>36706</v>
      </c>
      <c r="M93" t="s">
        <v>37043</v>
      </c>
      <c r="N93" t="s">
        <v>40436</v>
      </c>
      <c r="O93" t="s">
        <v>40437</v>
      </c>
      <c r="P93">
        <v>0</v>
      </c>
      <c r="Q93">
        <v>0</v>
      </c>
      <c r="R93" t="s">
        <v>40438</v>
      </c>
      <c r="S93" t="s">
        <v>40582</v>
      </c>
      <c r="T93" t="s">
        <v>42097</v>
      </c>
      <c r="U93" t="s">
        <v>42711</v>
      </c>
      <c r="W93" t="s">
        <v>37043</v>
      </c>
      <c r="X93" t="s">
        <v>40441</v>
      </c>
    </row>
    <row r="94" spans="1:24">
      <c r="A94">
        <f>HYPERLINK("https://www.philgeps.gov.ph/GEPSNONPILOT/Tender/SplashBidNoticeAbstractUI.aspx?menuIndex=3&amp;refID=7044676&amp;Result=3","7044676")</f>
        <v>0</v>
      </c>
      <c r="B94" t="s">
        <v>70</v>
      </c>
      <c r="C94" t="s">
        <v>3179</v>
      </c>
      <c r="D94" t="s">
        <v>16214</v>
      </c>
      <c r="E94" t="s">
        <v>16385</v>
      </c>
      <c r="F94" t="s">
        <v>28198</v>
      </c>
      <c r="G94" t="s">
        <v>28205</v>
      </c>
      <c r="H94" t="s">
        <v>28214</v>
      </c>
      <c r="I94" t="s">
        <v>3797</v>
      </c>
      <c r="J94" t="s">
        <v>28415</v>
      </c>
      <c r="K94" t="s">
        <v>36709</v>
      </c>
      <c r="M94" t="s">
        <v>37042</v>
      </c>
      <c r="N94" t="s">
        <v>40436</v>
      </c>
      <c r="O94" t="s">
        <v>40437</v>
      </c>
      <c r="P94">
        <v>0</v>
      </c>
      <c r="Q94">
        <v>0</v>
      </c>
      <c r="R94" t="s">
        <v>40438</v>
      </c>
      <c r="S94" t="s">
        <v>40582</v>
      </c>
      <c r="T94" t="s">
        <v>42128</v>
      </c>
      <c r="U94" t="s">
        <v>42712</v>
      </c>
      <c r="W94" t="s">
        <v>37042</v>
      </c>
      <c r="X94" t="s">
        <v>40440</v>
      </c>
    </row>
    <row r="95" spans="1:24">
      <c r="A95">
        <f>HYPERLINK("https://www.philgeps.gov.ph/GEPSNONPILOT/Tender/SplashBidNoticeAbstractUI.aspx?menuIndex=3&amp;refID=7044759&amp;Result=3","7044759")</f>
        <v>0</v>
      </c>
      <c r="B95" t="s">
        <v>75</v>
      </c>
      <c r="C95" t="s">
        <v>3180</v>
      </c>
      <c r="D95" t="s">
        <v>16210</v>
      </c>
      <c r="E95" t="s">
        <v>16386</v>
      </c>
      <c r="F95" t="s">
        <v>28198</v>
      </c>
      <c r="G95" t="s">
        <v>28206</v>
      </c>
      <c r="H95" t="s">
        <v>28215</v>
      </c>
      <c r="I95" t="s">
        <v>28239</v>
      </c>
      <c r="J95" t="s">
        <v>28345</v>
      </c>
      <c r="K95" t="s">
        <v>36691</v>
      </c>
      <c r="M95" t="s">
        <v>37047</v>
      </c>
      <c r="N95" t="s">
        <v>40436</v>
      </c>
      <c r="O95" t="s">
        <v>40437</v>
      </c>
      <c r="P95">
        <v>0</v>
      </c>
      <c r="Q95">
        <v>6</v>
      </c>
      <c r="R95" t="s">
        <v>40438</v>
      </c>
      <c r="S95" t="s">
        <v>40582</v>
      </c>
      <c r="T95" t="s">
        <v>42131</v>
      </c>
      <c r="U95" t="s">
        <v>42713</v>
      </c>
      <c r="W95" t="s">
        <v>37047</v>
      </c>
      <c r="X95" t="s">
        <v>40440</v>
      </c>
    </row>
    <row r="96" spans="1:24">
      <c r="A96">
        <f>HYPERLINK("https://www.philgeps.gov.ph/GEPSNONPILOT/Tender/SplashBidNoticeAbstractUI.aspx?menuIndex=3&amp;refID=7043944&amp;Result=3","7043944")</f>
        <v>0</v>
      </c>
      <c r="B96" t="s">
        <v>64</v>
      </c>
      <c r="C96" t="s">
        <v>3181</v>
      </c>
      <c r="D96" t="s">
        <v>16201</v>
      </c>
      <c r="E96" t="s">
        <v>16387</v>
      </c>
      <c r="F96" t="s">
        <v>28198</v>
      </c>
      <c r="G96" t="s">
        <v>28205</v>
      </c>
      <c r="H96" t="s">
        <v>28215</v>
      </c>
      <c r="I96" t="s">
        <v>28234</v>
      </c>
      <c r="J96" t="s">
        <v>28416</v>
      </c>
      <c r="K96" t="s">
        <v>36687</v>
      </c>
      <c r="M96" t="s">
        <v>37035</v>
      </c>
      <c r="N96" t="s">
        <v>40436</v>
      </c>
      <c r="O96" t="s">
        <v>40437</v>
      </c>
      <c r="P96">
        <v>0</v>
      </c>
      <c r="Q96">
        <v>1</v>
      </c>
      <c r="R96" t="s">
        <v>40438</v>
      </c>
      <c r="S96" t="s">
        <v>40582</v>
      </c>
      <c r="T96" t="s">
        <v>42118</v>
      </c>
      <c r="U96" t="s">
        <v>42694</v>
      </c>
      <c r="W96" t="s">
        <v>37035</v>
      </c>
      <c r="X96" t="s">
        <v>40441</v>
      </c>
    </row>
    <row r="97" spans="1:24">
      <c r="A97">
        <f>HYPERLINK("https://www.philgeps.gov.ph/GEPSNONPILOT/Tender/SplashBidNoticeAbstractUI.aspx?menuIndex=3&amp;refID=7044777&amp;Result=3","7044777")</f>
        <v>0</v>
      </c>
      <c r="B97" t="s">
        <v>76</v>
      </c>
      <c r="C97" t="s">
        <v>3182</v>
      </c>
      <c r="D97" t="s">
        <v>16197</v>
      </c>
      <c r="E97" t="s">
        <v>16388</v>
      </c>
      <c r="F97" t="s">
        <v>28198</v>
      </c>
      <c r="G97" t="s">
        <v>28209</v>
      </c>
      <c r="H97" t="s">
        <v>28215</v>
      </c>
      <c r="I97" t="s">
        <v>28225</v>
      </c>
      <c r="J97" t="s">
        <v>28417</v>
      </c>
      <c r="K97" t="s">
        <v>36706</v>
      </c>
      <c r="M97" t="s">
        <v>37048</v>
      </c>
      <c r="N97" t="s">
        <v>40436</v>
      </c>
      <c r="O97" t="s">
        <v>40437</v>
      </c>
      <c r="P97">
        <v>0</v>
      </c>
      <c r="Q97">
        <v>2</v>
      </c>
      <c r="R97" t="s">
        <v>40438</v>
      </c>
      <c r="S97" t="s">
        <v>40582</v>
      </c>
      <c r="T97" t="s">
        <v>42132</v>
      </c>
      <c r="U97" t="s">
        <v>42714</v>
      </c>
      <c r="V97" t="s">
        <v>53790</v>
      </c>
      <c r="W97" t="s">
        <v>37048</v>
      </c>
      <c r="X97" t="s">
        <v>40440</v>
      </c>
    </row>
    <row r="98" spans="1:24">
      <c r="A98">
        <f>HYPERLINK("https://www.philgeps.gov.ph/GEPSNONPILOT/Tender/SplashBidNoticeAbstractUI.aspx?menuIndex=3&amp;refID=7044798&amp;Result=3","7044798")</f>
        <v>0</v>
      </c>
      <c r="B98" t="s">
        <v>70</v>
      </c>
      <c r="C98" t="s">
        <v>3183</v>
      </c>
      <c r="D98" t="s">
        <v>16214</v>
      </c>
      <c r="E98" t="s">
        <v>16389</v>
      </c>
      <c r="F98" t="s">
        <v>28198</v>
      </c>
      <c r="G98" t="s">
        <v>28205</v>
      </c>
      <c r="H98" t="s">
        <v>28214</v>
      </c>
      <c r="I98" t="s">
        <v>3797</v>
      </c>
      <c r="J98" t="s">
        <v>28415</v>
      </c>
      <c r="K98" t="s">
        <v>36701</v>
      </c>
      <c r="M98" t="s">
        <v>37042</v>
      </c>
      <c r="N98" t="s">
        <v>40436</v>
      </c>
      <c r="O98" t="s">
        <v>40437</v>
      </c>
      <c r="P98">
        <v>0</v>
      </c>
      <c r="Q98">
        <v>0</v>
      </c>
      <c r="R98" t="s">
        <v>40438</v>
      </c>
      <c r="S98" t="s">
        <v>40582</v>
      </c>
      <c r="T98" t="s">
        <v>42128</v>
      </c>
      <c r="U98" t="s">
        <v>42715</v>
      </c>
      <c r="W98" t="s">
        <v>37042</v>
      </c>
      <c r="X98" t="s">
        <v>40440</v>
      </c>
    </row>
    <row r="99" spans="1:24">
      <c r="A99">
        <f>HYPERLINK("https://www.philgeps.gov.ph/GEPSNONPILOT/Tender/SplashBidNoticeAbstractUI.aspx?menuIndex=3&amp;refID=7043942&amp;Result=3","7043942")</f>
        <v>0</v>
      </c>
      <c r="B99" t="s">
        <v>64</v>
      </c>
      <c r="C99" t="s">
        <v>3184</v>
      </c>
      <c r="D99" t="s">
        <v>16201</v>
      </c>
      <c r="E99" t="s">
        <v>16390</v>
      </c>
      <c r="F99" t="s">
        <v>28198</v>
      </c>
      <c r="G99" t="s">
        <v>28205</v>
      </c>
      <c r="H99" t="s">
        <v>28215</v>
      </c>
      <c r="I99" t="s">
        <v>28234</v>
      </c>
      <c r="J99" t="s">
        <v>28418</v>
      </c>
      <c r="K99" t="s">
        <v>36687</v>
      </c>
      <c r="M99" t="s">
        <v>37035</v>
      </c>
      <c r="N99" t="s">
        <v>40436</v>
      </c>
      <c r="O99" t="s">
        <v>40437</v>
      </c>
      <c r="P99">
        <v>0</v>
      </c>
      <c r="Q99">
        <v>2</v>
      </c>
      <c r="R99" t="s">
        <v>40438</v>
      </c>
      <c r="S99" t="s">
        <v>40582</v>
      </c>
      <c r="T99" t="s">
        <v>42118</v>
      </c>
      <c r="U99" t="s">
        <v>42694</v>
      </c>
      <c r="W99" t="s">
        <v>37035</v>
      </c>
      <c r="X99" t="s">
        <v>40441</v>
      </c>
    </row>
    <row r="100" spans="1:24">
      <c r="A100">
        <f>HYPERLINK("https://www.philgeps.gov.ph/GEPSNONPILOT/Tender/SplashBidNoticeAbstractUI.aspx?menuIndex=3&amp;refID=7045186&amp;Result=3","7045186")</f>
        <v>0</v>
      </c>
      <c r="B100" t="s">
        <v>66</v>
      </c>
      <c r="C100" t="s">
        <v>3185</v>
      </c>
      <c r="D100" t="s">
        <v>16212</v>
      </c>
      <c r="E100" t="s">
        <v>16391</v>
      </c>
      <c r="F100" t="s">
        <v>28198</v>
      </c>
      <c r="G100" t="s">
        <v>28205</v>
      </c>
      <c r="H100" t="s">
        <v>28214</v>
      </c>
      <c r="I100" t="s">
        <v>3797</v>
      </c>
      <c r="J100" t="s">
        <v>28419</v>
      </c>
      <c r="K100" t="s">
        <v>36697</v>
      </c>
      <c r="M100" t="s">
        <v>37037</v>
      </c>
      <c r="N100" t="s">
        <v>40436</v>
      </c>
      <c r="O100" t="s">
        <v>40437</v>
      </c>
      <c r="P100">
        <v>0</v>
      </c>
      <c r="Q100">
        <v>0</v>
      </c>
      <c r="R100" t="s">
        <v>40438</v>
      </c>
      <c r="S100" t="s">
        <v>40582</v>
      </c>
      <c r="T100" t="s">
        <v>42100</v>
      </c>
      <c r="U100" t="s">
        <v>42716</v>
      </c>
      <c r="W100" t="s">
        <v>37037</v>
      </c>
      <c r="X100" t="s">
        <v>40440</v>
      </c>
    </row>
    <row r="101" spans="1:24">
      <c r="A101">
        <f>HYPERLINK("https://www.philgeps.gov.ph/GEPSNONPILOT/Tender/SplashBidNoticeAbstractUI.aspx?menuIndex=3&amp;refID=7043943&amp;Result=3","7043943")</f>
        <v>0</v>
      </c>
      <c r="B101" t="s">
        <v>64</v>
      </c>
      <c r="C101" t="s">
        <v>3186</v>
      </c>
      <c r="D101" t="s">
        <v>16201</v>
      </c>
      <c r="E101" t="s">
        <v>16392</v>
      </c>
      <c r="F101" t="s">
        <v>28198</v>
      </c>
      <c r="G101" t="s">
        <v>28205</v>
      </c>
      <c r="H101" t="s">
        <v>28215</v>
      </c>
      <c r="I101" t="s">
        <v>28240</v>
      </c>
      <c r="J101" t="s">
        <v>28420</v>
      </c>
      <c r="K101" t="s">
        <v>36687</v>
      </c>
      <c r="M101" t="s">
        <v>37035</v>
      </c>
      <c r="N101" t="s">
        <v>40436</v>
      </c>
      <c r="O101" t="s">
        <v>40437</v>
      </c>
      <c r="P101">
        <v>0</v>
      </c>
      <c r="Q101">
        <v>1</v>
      </c>
      <c r="R101" t="s">
        <v>40438</v>
      </c>
      <c r="S101" t="s">
        <v>40582</v>
      </c>
      <c r="T101" t="s">
        <v>42118</v>
      </c>
      <c r="U101" t="s">
        <v>42694</v>
      </c>
      <c r="W101" t="s">
        <v>37035</v>
      </c>
      <c r="X101" t="s">
        <v>40441</v>
      </c>
    </row>
    <row r="102" spans="1:24">
      <c r="A102">
        <f>HYPERLINK("https://www.philgeps.gov.ph/GEPSNONPILOT/Tender/SplashBidNoticeAbstractUI.aspx?menuIndex=3&amp;refID=7045102&amp;Result=3","7045102")</f>
        <v>0</v>
      </c>
      <c r="B102" t="s">
        <v>66</v>
      </c>
      <c r="C102" t="s">
        <v>3187</v>
      </c>
      <c r="D102" t="s">
        <v>16212</v>
      </c>
      <c r="E102" t="s">
        <v>16393</v>
      </c>
      <c r="F102" t="s">
        <v>28198</v>
      </c>
      <c r="G102" t="s">
        <v>28205</v>
      </c>
      <c r="H102" t="s">
        <v>28215</v>
      </c>
      <c r="I102" t="s">
        <v>28225</v>
      </c>
      <c r="J102" t="s">
        <v>28421</v>
      </c>
      <c r="K102" t="s">
        <v>36706</v>
      </c>
      <c r="M102" t="s">
        <v>37037</v>
      </c>
      <c r="N102" t="s">
        <v>40436</v>
      </c>
      <c r="O102" t="s">
        <v>40437</v>
      </c>
      <c r="P102">
        <v>0</v>
      </c>
      <c r="Q102">
        <v>3</v>
      </c>
      <c r="R102" t="s">
        <v>40438</v>
      </c>
      <c r="S102" t="s">
        <v>40582</v>
      </c>
      <c r="T102" t="s">
        <v>42100</v>
      </c>
      <c r="U102" t="s">
        <v>42717</v>
      </c>
      <c r="W102" t="s">
        <v>37037</v>
      </c>
      <c r="X102" t="s">
        <v>40440</v>
      </c>
    </row>
    <row r="103" spans="1:24">
      <c r="A103">
        <f>HYPERLINK("https://www.philgeps.gov.ph/GEPSNONPILOT/Tender/SplashBidNoticeAbstractUI.aspx?menuIndex=3&amp;refID=7045060&amp;Result=3","7045060")</f>
        <v>0</v>
      </c>
      <c r="B103" t="s">
        <v>77</v>
      </c>
      <c r="C103" t="s">
        <v>3188</v>
      </c>
      <c r="D103" t="s">
        <v>16192</v>
      </c>
      <c r="E103" t="s">
        <v>16394</v>
      </c>
      <c r="F103" t="s">
        <v>28198</v>
      </c>
      <c r="G103" t="s">
        <v>28206</v>
      </c>
      <c r="H103" t="s">
        <v>28215</v>
      </c>
      <c r="I103" t="s">
        <v>5631</v>
      </c>
      <c r="J103" t="s">
        <v>28364</v>
      </c>
      <c r="K103" t="s">
        <v>36701</v>
      </c>
      <c r="M103" t="s">
        <v>37049</v>
      </c>
      <c r="N103" t="s">
        <v>40436</v>
      </c>
      <c r="O103" t="s">
        <v>40437</v>
      </c>
      <c r="P103">
        <v>0</v>
      </c>
      <c r="Q103">
        <v>0</v>
      </c>
      <c r="R103" t="s">
        <v>40438</v>
      </c>
      <c r="S103" t="s">
        <v>40582</v>
      </c>
      <c r="T103" t="s">
        <v>42133</v>
      </c>
      <c r="U103" t="s">
        <v>42718</v>
      </c>
      <c r="W103" t="s">
        <v>55429</v>
      </c>
      <c r="X103" t="s">
        <v>40440</v>
      </c>
    </row>
    <row r="104" spans="1:24">
      <c r="A104">
        <f>HYPERLINK("https://www.philgeps.gov.ph/GEPSNONPILOT/Tender/SplashBidNoticeAbstractUI.aspx?menuIndex=3&amp;refID=7043976&amp;Result=3","7043976")</f>
        <v>0</v>
      </c>
      <c r="B104" t="s">
        <v>37</v>
      </c>
      <c r="C104" t="s">
        <v>3189</v>
      </c>
      <c r="D104" t="s">
        <v>16194</v>
      </c>
      <c r="E104" t="s">
        <v>16395</v>
      </c>
      <c r="F104" t="s">
        <v>28198</v>
      </c>
      <c r="G104" t="s">
        <v>28205</v>
      </c>
      <c r="H104" t="s">
        <v>28215</v>
      </c>
      <c r="I104" t="s">
        <v>28241</v>
      </c>
      <c r="J104" t="s">
        <v>28422</v>
      </c>
      <c r="K104" t="s">
        <v>36707</v>
      </c>
      <c r="M104" t="s">
        <v>37007</v>
      </c>
      <c r="N104" t="s">
        <v>40436</v>
      </c>
      <c r="O104" t="s">
        <v>40437</v>
      </c>
      <c r="P104">
        <v>0</v>
      </c>
      <c r="Q104">
        <v>5</v>
      </c>
      <c r="R104" t="s">
        <v>40438</v>
      </c>
      <c r="S104" t="s">
        <v>40582</v>
      </c>
      <c r="T104" t="s">
        <v>42127</v>
      </c>
      <c r="U104" t="s">
        <v>42719</v>
      </c>
      <c r="W104" t="s">
        <v>37007</v>
      </c>
      <c r="X104" t="s">
        <v>40441</v>
      </c>
    </row>
    <row r="105" spans="1:24">
      <c r="A105">
        <f>HYPERLINK("https://www.philgeps.gov.ph/GEPSNONPILOT/Tender/SplashBidNoticeAbstractUI.aspx?menuIndex=3&amp;refID=7045021&amp;Result=3","7045021")</f>
        <v>0</v>
      </c>
      <c r="B105" t="s">
        <v>78</v>
      </c>
      <c r="C105" t="s">
        <v>3190</v>
      </c>
      <c r="D105" t="s">
        <v>16217</v>
      </c>
      <c r="E105" t="s">
        <v>16396</v>
      </c>
      <c r="F105" t="s">
        <v>28198</v>
      </c>
      <c r="G105" t="s">
        <v>28210</v>
      </c>
      <c r="H105" t="s">
        <v>28215</v>
      </c>
      <c r="I105" t="s">
        <v>5082</v>
      </c>
      <c r="J105" t="s">
        <v>28423</v>
      </c>
      <c r="K105" t="s">
        <v>36706</v>
      </c>
      <c r="M105" t="s">
        <v>37050</v>
      </c>
      <c r="N105" t="s">
        <v>40436</v>
      </c>
      <c r="O105" t="s">
        <v>40437</v>
      </c>
      <c r="P105">
        <v>0</v>
      </c>
      <c r="Q105">
        <v>1</v>
      </c>
      <c r="R105" t="s">
        <v>40438</v>
      </c>
      <c r="S105" t="s">
        <v>40582</v>
      </c>
      <c r="T105" t="s">
        <v>42134</v>
      </c>
      <c r="U105" t="s">
        <v>42720</v>
      </c>
      <c r="V105" t="s">
        <v>53791</v>
      </c>
      <c r="W105" t="s">
        <v>37050</v>
      </c>
      <c r="X105" t="s">
        <v>40440</v>
      </c>
    </row>
    <row r="106" spans="1:24">
      <c r="A106">
        <f>HYPERLINK("https://www.philgeps.gov.ph/GEPSNONPILOT/Tender/SplashBidNoticeAbstractUI.aspx?menuIndex=3&amp;refID=7045065&amp;Result=3","7045065")</f>
        <v>0</v>
      </c>
      <c r="B106" t="s">
        <v>79</v>
      </c>
      <c r="C106" t="s">
        <v>3191</v>
      </c>
      <c r="D106" t="s">
        <v>16208</v>
      </c>
      <c r="E106" t="s">
        <v>16397</v>
      </c>
      <c r="F106" t="s">
        <v>28198</v>
      </c>
      <c r="G106" t="s">
        <v>28205</v>
      </c>
      <c r="H106" t="s">
        <v>28214</v>
      </c>
      <c r="I106" t="s">
        <v>3797</v>
      </c>
      <c r="J106" t="s">
        <v>28424</v>
      </c>
      <c r="K106" t="s">
        <v>36692</v>
      </c>
      <c r="M106" t="s">
        <v>37051</v>
      </c>
      <c r="N106" t="s">
        <v>40436</v>
      </c>
      <c r="O106" t="s">
        <v>40437</v>
      </c>
      <c r="P106">
        <v>0</v>
      </c>
      <c r="Q106">
        <v>0</v>
      </c>
      <c r="R106" t="s">
        <v>40438</v>
      </c>
      <c r="S106" t="s">
        <v>40582</v>
      </c>
      <c r="T106" t="s">
        <v>42135</v>
      </c>
      <c r="U106" t="s">
        <v>42721</v>
      </c>
      <c r="W106" t="s">
        <v>37051</v>
      </c>
      <c r="X106" t="s">
        <v>40440</v>
      </c>
    </row>
    <row r="107" spans="1:24">
      <c r="A107">
        <f>HYPERLINK("https://www.philgeps.gov.ph/GEPSNONPILOT/Tender/SplashBidNoticeAbstractUI.aspx?menuIndex=3&amp;refID=7045178&amp;Result=3","7045178")</f>
        <v>0</v>
      </c>
      <c r="B107" t="s">
        <v>80</v>
      </c>
      <c r="C107" t="s">
        <v>3192</v>
      </c>
      <c r="D107" t="s">
        <v>16218</v>
      </c>
      <c r="E107" t="s">
        <v>16322</v>
      </c>
      <c r="F107" t="s">
        <v>28198</v>
      </c>
      <c r="G107" t="s">
        <v>28206</v>
      </c>
      <c r="H107" t="s">
        <v>28215</v>
      </c>
      <c r="I107" t="s">
        <v>5100</v>
      </c>
      <c r="J107" t="s">
        <v>28425</v>
      </c>
      <c r="K107" t="s">
        <v>36698</v>
      </c>
      <c r="M107" t="s">
        <v>37052</v>
      </c>
      <c r="N107" t="s">
        <v>40436</v>
      </c>
      <c r="O107" t="s">
        <v>40437</v>
      </c>
      <c r="P107">
        <v>0</v>
      </c>
      <c r="Q107">
        <v>0</v>
      </c>
      <c r="R107" t="s">
        <v>40438</v>
      </c>
      <c r="S107" t="s">
        <v>40582</v>
      </c>
      <c r="T107" t="s">
        <v>42124</v>
      </c>
      <c r="U107" t="s">
        <v>42722</v>
      </c>
      <c r="W107" t="s">
        <v>37052</v>
      </c>
      <c r="X107" t="s">
        <v>40440</v>
      </c>
    </row>
    <row r="108" spans="1:24">
      <c r="A108">
        <f>HYPERLINK("https://www.philgeps.gov.ph/GEPSNONPILOT/Tender/SplashBidNoticeAbstractUI.aspx?menuIndex=3&amp;refID=7044992&amp;Result=3","7044992")</f>
        <v>0</v>
      </c>
      <c r="B108" t="s">
        <v>78</v>
      </c>
      <c r="C108" t="s">
        <v>3193</v>
      </c>
      <c r="D108" t="s">
        <v>16217</v>
      </c>
      <c r="E108" t="s">
        <v>16398</v>
      </c>
      <c r="F108" t="s">
        <v>28198</v>
      </c>
      <c r="G108" t="s">
        <v>28210</v>
      </c>
      <c r="H108" t="s">
        <v>28215</v>
      </c>
      <c r="I108" t="s">
        <v>5082</v>
      </c>
      <c r="J108" t="s">
        <v>28426</v>
      </c>
      <c r="K108" t="s">
        <v>36706</v>
      </c>
      <c r="M108" t="s">
        <v>37050</v>
      </c>
      <c r="N108" t="s">
        <v>40436</v>
      </c>
      <c r="O108" t="s">
        <v>40437</v>
      </c>
      <c r="P108">
        <v>0</v>
      </c>
      <c r="Q108">
        <v>2</v>
      </c>
      <c r="R108" t="s">
        <v>40438</v>
      </c>
      <c r="S108" t="s">
        <v>40582</v>
      </c>
      <c r="T108" t="s">
        <v>42134</v>
      </c>
      <c r="U108" t="s">
        <v>42723</v>
      </c>
      <c r="V108" t="s">
        <v>53791</v>
      </c>
      <c r="W108" t="s">
        <v>37050</v>
      </c>
      <c r="X108" t="s">
        <v>40440</v>
      </c>
    </row>
    <row r="109" spans="1:24">
      <c r="A109">
        <f>HYPERLINK("https://www.philgeps.gov.ph/GEPSNONPILOT/Tender/SplashBidNoticeAbstractUI.aspx?menuIndex=3&amp;refID=7043941&amp;Result=3","7043941")</f>
        <v>0</v>
      </c>
      <c r="B109" t="s">
        <v>64</v>
      </c>
      <c r="C109" t="s">
        <v>3194</v>
      </c>
      <c r="D109" t="s">
        <v>16201</v>
      </c>
      <c r="E109" t="s">
        <v>16399</v>
      </c>
      <c r="F109" t="s">
        <v>28198</v>
      </c>
      <c r="G109" t="s">
        <v>28205</v>
      </c>
      <c r="H109" t="s">
        <v>28215</v>
      </c>
      <c r="I109" t="s">
        <v>4219</v>
      </c>
      <c r="J109" t="s">
        <v>28427</v>
      </c>
      <c r="K109" t="s">
        <v>36687</v>
      </c>
      <c r="M109" t="s">
        <v>37035</v>
      </c>
      <c r="N109" t="s">
        <v>40436</v>
      </c>
      <c r="O109" t="s">
        <v>40437</v>
      </c>
      <c r="P109">
        <v>0</v>
      </c>
      <c r="Q109">
        <v>0</v>
      </c>
      <c r="R109" t="s">
        <v>40438</v>
      </c>
      <c r="S109" t="s">
        <v>40582</v>
      </c>
      <c r="T109" t="s">
        <v>42118</v>
      </c>
      <c r="U109" t="s">
        <v>42694</v>
      </c>
      <c r="W109" t="s">
        <v>37035</v>
      </c>
      <c r="X109" t="s">
        <v>40441</v>
      </c>
    </row>
    <row r="110" spans="1:24">
      <c r="A110">
        <f>HYPERLINK("https://www.philgeps.gov.ph/GEPSNONPILOT/Tender/SplashBidNoticeAbstractUI.aspx?menuIndex=3&amp;refID=7045508&amp;Result=3","7045508")</f>
        <v>0</v>
      </c>
      <c r="B110" t="s">
        <v>81</v>
      </c>
      <c r="C110" t="s">
        <v>3195</v>
      </c>
      <c r="D110" t="s">
        <v>16189</v>
      </c>
      <c r="E110" t="s">
        <v>16400</v>
      </c>
      <c r="F110" t="s">
        <v>28198</v>
      </c>
      <c r="G110" t="s">
        <v>28207</v>
      </c>
      <c r="H110" t="s">
        <v>28215</v>
      </c>
      <c r="I110" t="s">
        <v>28242</v>
      </c>
      <c r="J110" t="s">
        <v>28428</v>
      </c>
      <c r="K110" t="s">
        <v>36691</v>
      </c>
      <c r="M110" t="s">
        <v>37053</v>
      </c>
      <c r="N110" t="s">
        <v>40436</v>
      </c>
      <c r="O110" t="s">
        <v>40437</v>
      </c>
      <c r="P110">
        <v>0</v>
      </c>
      <c r="Q110">
        <v>0</v>
      </c>
      <c r="R110" t="s">
        <v>40438</v>
      </c>
      <c r="S110" t="s">
        <v>40582</v>
      </c>
      <c r="T110" t="s">
        <v>42136</v>
      </c>
      <c r="U110" t="s">
        <v>42630</v>
      </c>
      <c r="W110" t="s">
        <v>37053</v>
      </c>
      <c r="X110" t="s">
        <v>40440</v>
      </c>
    </row>
    <row r="111" spans="1:24">
      <c r="A111">
        <f>HYPERLINK("https://www.philgeps.gov.ph/GEPSNONPILOT/Tender/SplashBidNoticeAbstractUI.aspx?menuIndex=3&amp;refID=7044862&amp;Result=3","7044862")</f>
        <v>0</v>
      </c>
      <c r="B111" t="s">
        <v>82</v>
      </c>
      <c r="C111" t="s">
        <v>3196</v>
      </c>
      <c r="D111" t="s">
        <v>16219</v>
      </c>
      <c r="E111" t="s">
        <v>16401</v>
      </c>
      <c r="F111" t="s">
        <v>28198</v>
      </c>
      <c r="G111" t="s">
        <v>28206</v>
      </c>
      <c r="H111" t="s">
        <v>28215</v>
      </c>
      <c r="I111" t="s">
        <v>4321</v>
      </c>
      <c r="J111" t="s">
        <v>28429</v>
      </c>
      <c r="K111" t="s">
        <v>36687</v>
      </c>
      <c r="M111" t="s">
        <v>37054</v>
      </c>
      <c r="N111" t="s">
        <v>40436</v>
      </c>
      <c r="O111" t="s">
        <v>40437</v>
      </c>
      <c r="P111">
        <v>0</v>
      </c>
      <c r="Q111">
        <v>1</v>
      </c>
      <c r="R111" t="s">
        <v>40438</v>
      </c>
      <c r="S111" t="s">
        <v>40582</v>
      </c>
      <c r="T111" t="s">
        <v>42137</v>
      </c>
      <c r="U111" t="s">
        <v>42724</v>
      </c>
      <c r="W111" t="s">
        <v>37054</v>
      </c>
      <c r="X111" t="s">
        <v>40440</v>
      </c>
    </row>
    <row r="112" spans="1:24">
      <c r="A112">
        <f>HYPERLINK("https://www.philgeps.gov.ph/GEPSNONPILOT/Tender/SplashBidNoticeAbstractUI.aspx?menuIndex=3&amp;refID=7044818&amp;Result=3","7044818")</f>
        <v>0</v>
      </c>
      <c r="B112" t="s">
        <v>66</v>
      </c>
      <c r="C112" t="s">
        <v>3197</v>
      </c>
      <c r="D112" t="s">
        <v>16212</v>
      </c>
      <c r="E112" t="s">
        <v>16402</v>
      </c>
      <c r="F112" t="s">
        <v>28198</v>
      </c>
      <c r="G112" t="s">
        <v>28205</v>
      </c>
      <c r="H112" t="s">
        <v>28215</v>
      </c>
      <c r="I112" t="s">
        <v>28243</v>
      </c>
      <c r="J112" t="s">
        <v>28430</v>
      </c>
      <c r="K112" t="s">
        <v>36689</v>
      </c>
      <c r="M112" t="s">
        <v>37037</v>
      </c>
      <c r="N112" t="s">
        <v>40436</v>
      </c>
      <c r="O112" t="s">
        <v>40437</v>
      </c>
      <c r="P112">
        <v>0</v>
      </c>
      <c r="Q112">
        <v>0</v>
      </c>
      <c r="R112" t="s">
        <v>40438</v>
      </c>
      <c r="S112" t="s">
        <v>40582</v>
      </c>
      <c r="T112" t="s">
        <v>42100</v>
      </c>
      <c r="U112" t="s">
        <v>42725</v>
      </c>
      <c r="W112" t="s">
        <v>37037</v>
      </c>
      <c r="X112" t="s">
        <v>40440</v>
      </c>
    </row>
    <row r="113" spans="1:24">
      <c r="A113">
        <f>HYPERLINK("https://www.philgeps.gov.ph/GEPSNONPILOT/Tender/SplashBidNoticeAbstractUI.aspx?menuIndex=3&amp;refID=7045014&amp;Result=3","7045014")</f>
        <v>0</v>
      </c>
      <c r="B113" t="s">
        <v>83</v>
      </c>
      <c r="C113" t="s">
        <v>3198</v>
      </c>
      <c r="D113" t="s">
        <v>16220</v>
      </c>
      <c r="E113" t="s">
        <v>16403</v>
      </c>
      <c r="F113" t="s">
        <v>28198</v>
      </c>
      <c r="G113" t="s">
        <v>28205</v>
      </c>
      <c r="H113" t="s">
        <v>28215</v>
      </c>
      <c r="I113" t="s">
        <v>5082</v>
      </c>
      <c r="J113" t="s">
        <v>28431</v>
      </c>
      <c r="K113" t="s">
        <v>36701</v>
      </c>
      <c r="M113" t="s">
        <v>37055</v>
      </c>
      <c r="N113" t="s">
        <v>40436</v>
      </c>
      <c r="O113" t="s">
        <v>40437</v>
      </c>
      <c r="P113">
        <v>0</v>
      </c>
      <c r="Q113">
        <v>4</v>
      </c>
      <c r="R113" t="s">
        <v>40438</v>
      </c>
      <c r="S113" t="s">
        <v>40582</v>
      </c>
      <c r="T113" t="s">
        <v>42125</v>
      </c>
      <c r="U113" t="s">
        <v>42726</v>
      </c>
      <c r="V113" t="s">
        <v>53792</v>
      </c>
      <c r="W113" t="s">
        <v>37055</v>
      </c>
      <c r="X113" t="s">
        <v>40440</v>
      </c>
    </row>
    <row r="114" spans="1:24">
      <c r="A114">
        <f>HYPERLINK("https://www.philgeps.gov.ph/GEPSNONPILOT/Tender/SplashBidNoticeAbstractUI.aspx?menuIndex=3&amp;refID=7045530&amp;Result=3","7045530")</f>
        <v>0</v>
      </c>
      <c r="B114" t="s">
        <v>84</v>
      </c>
      <c r="C114" t="s">
        <v>3199</v>
      </c>
      <c r="D114" t="s">
        <v>16190</v>
      </c>
      <c r="E114" t="s">
        <v>16404</v>
      </c>
      <c r="F114" t="s">
        <v>28198</v>
      </c>
      <c r="G114" t="s">
        <v>28207</v>
      </c>
      <c r="H114" t="s">
        <v>28215</v>
      </c>
      <c r="I114" t="s">
        <v>28227</v>
      </c>
      <c r="J114" t="s">
        <v>28432</v>
      </c>
      <c r="K114" t="s">
        <v>36706</v>
      </c>
      <c r="M114" t="s">
        <v>37056</v>
      </c>
      <c r="N114" t="s">
        <v>40436</v>
      </c>
      <c r="O114" t="s">
        <v>40437</v>
      </c>
      <c r="P114">
        <v>0</v>
      </c>
      <c r="Q114">
        <v>0</v>
      </c>
      <c r="R114" t="s">
        <v>40438</v>
      </c>
      <c r="S114" t="s">
        <v>40582</v>
      </c>
      <c r="T114" t="s">
        <v>42103</v>
      </c>
      <c r="U114" t="s">
        <v>42727</v>
      </c>
      <c r="W114" t="s">
        <v>37056</v>
      </c>
      <c r="X114" t="s">
        <v>40440</v>
      </c>
    </row>
    <row r="115" spans="1:24">
      <c r="A115">
        <f>HYPERLINK("https://www.philgeps.gov.ph/GEPSNONPILOT/Tender/SplashBidNoticeAbstractUI.aspx?menuIndex=3&amp;refID=7045435&amp;Result=3","7045435")</f>
        <v>0</v>
      </c>
      <c r="B115" t="s">
        <v>79</v>
      </c>
      <c r="C115" t="s">
        <v>3200</v>
      </c>
      <c r="D115" t="s">
        <v>16208</v>
      </c>
      <c r="E115" t="s">
        <v>16405</v>
      </c>
      <c r="F115" t="s">
        <v>28198</v>
      </c>
      <c r="G115" t="s">
        <v>28205</v>
      </c>
      <c r="H115" t="s">
        <v>28214</v>
      </c>
      <c r="I115" t="s">
        <v>3797</v>
      </c>
      <c r="J115" t="s">
        <v>28433</v>
      </c>
      <c r="K115" t="s">
        <v>36710</v>
      </c>
      <c r="M115" t="s">
        <v>37051</v>
      </c>
      <c r="N115" t="s">
        <v>40436</v>
      </c>
      <c r="O115" t="s">
        <v>40437</v>
      </c>
      <c r="P115">
        <v>0</v>
      </c>
      <c r="Q115">
        <v>0</v>
      </c>
      <c r="R115" t="s">
        <v>40438</v>
      </c>
      <c r="S115" t="s">
        <v>40582</v>
      </c>
      <c r="T115" t="s">
        <v>42135</v>
      </c>
      <c r="U115" t="s">
        <v>42728</v>
      </c>
      <c r="W115" t="s">
        <v>37051</v>
      </c>
      <c r="X115" t="s">
        <v>40440</v>
      </c>
    </row>
    <row r="116" spans="1:24">
      <c r="A116">
        <f>HYPERLINK("https://www.philgeps.gov.ph/GEPSNONPILOT/Tender/SplashBidNoticeAbstractUI.aspx?menuIndex=3&amp;refID=7045316&amp;Result=3","7045316")</f>
        <v>0</v>
      </c>
      <c r="B116" t="s">
        <v>85</v>
      </c>
      <c r="C116" t="s">
        <v>3201</v>
      </c>
      <c r="D116" t="s">
        <v>16221</v>
      </c>
      <c r="E116" t="s">
        <v>16406</v>
      </c>
      <c r="F116" t="s">
        <v>28198</v>
      </c>
      <c r="G116" t="s">
        <v>28205</v>
      </c>
      <c r="H116" t="s">
        <v>28214</v>
      </c>
      <c r="I116" t="s">
        <v>3797</v>
      </c>
      <c r="J116" t="s">
        <v>28378</v>
      </c>
      <c r="K116" t="s">
        <v>36701</v>
      </c>
      <c r="M116" t="s">
        <v>37057</v>
      </c>
      <c r="N116" t="s">
        <v>40436</v>
      </c>
      <c r="O116" t="s">
        <v>40437</v>
      </c>
      <c r="P116">
        <v>0</v>
      </c>
      <c r="Q116">
        <v>0</v>
      </c>
      <c r="R116" t="s">
        <v>40438</v>
      </c>
      <c r="S116" t="s">
        <v>40582</v>
      </c>
      <c r="T116" t="s">
        <v>42138</v>
      </c>
      <c r="U116" t="s">
        <v>42729</v>
      </c>
      <c r="W116" t="s">
        <v>37057</v>
      </c>
      <c r="X116" t="s">
        <v>40440</v>
      </c>
    </row>
    <row r="117" spans="1:24">
      <c r="A117">
        <f>HYPERLINK("https://www.philgeps.gov.ph/GEPSNONPILOT/Tender/SplashBidNoticeAbstractUI.aspx?menuIndex=3&amp;refID=7044855&amp;Result=3","7044855")</f>
        <v>0</v>
      </c>
      <c r="B117" t="s">
        <v>86</v>
      </c>
      <c r="C117" t="s">
        <v>3202</v>
      </c>
      <c r="D117" t="s">
        <v>16197</v>
      </c>
      <c r="E117" t="s">
        <v>16407</v>
      </c>
      <c r="F117" t="s">
        <v>28198</v>
      </c>
      <c r="G117" t="s">
        <v>28205</v>
      </c>
      <c r="H117" t="s">
        <v>28214</v>
      </c>
      <c r="I117" t="s">
        <v>3797</v>
      </c>
      <c r="J117" t="s">
        <v>28434</v>
      </c>
      <c r="K117" t="s">
        <v>36697</v>
      </c>
      <c r="M117" t="s">
        <v>37058</v>
      </c>
      <c r="N117" t="s">
        <v>40436</v>
      </c>
      <c r="O117" t="s">
        <v>40437</v>
      </c>
      <c r="P117">
        <v>0</v>
      </c>
      <c r="Q117">
        <v>0</v>
      </c>
      <c r="R117" t="s">
        <v>40438</v>
      </c>
      <c r="S117" t="s">
        <v>40582</v>
      </c>
      <c r="T117" t="s">
        <v>42101</v>
      </c>
      <c r="U117" t="s">
        <v>42730</v>
      </c>
      <c r="V117" t="s">
        <v>53793</v>
      </c>
      <c r="W117" t="s">
        <v>37058</v>
      </c>
      <c r="X117" t="s">
        <v>40440</v>
      </c>
    </row>
    <row r="118" spans="1:24">
      <c r="A118">
        <f>HYPERLINK("https://www.philgeps.gov.ph/GEPSNONPILOT/Tender/SplashBidNoticeAbstractUI.aspx?menuIndex=3&amp;refID=7045409&amp;Result=3","7045409")</f>
        <v>0</v>
      </c>
      <c r="B118" t="s">
        <v>87</v>
      </c>
      <c r="C118" t="s">
        <v>3203</v>
      </c>
      <c r="D118" t="s">
        <v>16222</v>
      </c>
      <c r="E118" t="s">
        <v>16408</v>
      </c>
      <c r="F118" t="s">
        <v>28198</v>
      </c>
      <c r="G118" t="s">
        <v>28205</v>
      </c>
      <c r="H118" t="s">
        <v>28215</v>
      </c>
      <c r="I118" t="s">
        <v>28244</v>
      </c>
      <c r="J118" t="s">
        <v>28435</v>
      </c>
      <c r="K118" t="s">
        <v>36707</v>
      </c>
      <c r="M118" t="s">
        <v>37059</v>
      </c>
      <c r="N118" t="s">
        <v>40436</v>
      </c>
      <c r="O118" t="s">
        <v>40437</v>
      </c>
      <c r="P118">
        <v>0</v>
      </c>
      <c r="Q118">
        <v>2</v>
      </c>
      <c r="R118" t="s">
        <v>40438</v>
      </c>
      <c r="S118" t="s">
        <v>40582</v>
      </c>
      <c r="T118" t="s">
        <v>42139</v>
      </c>
      <c r="U118" t="s">
        <v>42731</v>
      </c>
      <c r="W118" t="s">
        <v>37059</v>
      </c>
      <c r="X118" t="s">
        <v>40440</v>
      </c>
    </row>
    <row r="119" spans="1:24">
      <c r="A119">
        <f>HYPERLINK("https://www.philgeps.gov.ph/GEPSNONPILOT/Tender/SplashBidNoticeAbstractUI.aspx?menuIndex=3&amp;refID=7044895&amp;Result=3","7044895")</f>
        <v>0</v>
      </c>
      <c r="B119" t="s">
        <v>66</v>
      </c>
      <c r="C119" t="s">
        <v>3204</v>
      </c>
      <c r="D119" t="s">
        <v>16212</v>
      </c>
      <c r="E119" t="s">
        <v>16409</v>
      </c>
      <c r="F119" t="s">
        <v>28198</v>
      </c>
      <c r="G119" t="s">
        <v>28205</v>
      </c>
      <c r="H119" t="s">
        <v>28215</v>
      </c>
      <c r="I119" t="s">
        <v>4200</v>
      </c>
      <c r="J119" t="s">
        <v>28436</v>
      </c>
      <c r="K119" t="s">
        <v>36706</v>
      </c>
      <c r="M119" t="s">
        <v>37037</v>
      </c>
      <c r="N119" t="s">
        <v>40436</v>
      </c>
      <c r="O119" t="s">
        <v>40437</v>
      </c>
      <c r="P119">
        <v>0</v>
      </c>
      <c r="Q119">
        <v>0</v>
      </c>
      <c r="R119" t="s">
        <v>40438</v>
      </c>
      <c r="S119" t="s">
        <v>40582</v>
      </c>
      <c r="T119" t="s">
        <v>42100</v>
      </c>
      <c r="U119" t="s">
        <v>42732</v>
      </c>
      <c r="W119" t="s">
        <v>37037</v>
      </c>
      <c r="X119" t="s">
        <v>40440</v>
      </c>
    </row>
    <row r="120" spans="1:24">
      <c r="A120">
        <f>HYPERLINK("https://www.philgeps.gov.ph/GEPSNONPILOT/Tender/SplashBidNoticeAbstractUI.aspx?menuIndex=3&amp;refID=7045373&amp;Result=3","7045373")</f>
        <v>0</v>
      </c>
      <c r="B120" t="s">
        <v>85</v>
      </c>
      <c r="C120" t="s">
        <v>3205</v>
      </c>
      <c r="D120" t="s">
        <v>16221</v>
      </c>
      <c r="E120" t="s">
        <v>16410</v>
      </c>
      <c r="F120" t="s">
        <v>28198</v>
      </c>
      <c r="G120" t="s">
        <v>28205</v>
      </c>
      <c r="H120" t="s">
        <v>28215</v>
      </c>
      <c r="I120" t="s">
        <v>4168</v>
      </c>
      <c r="J120" t="s">
        <v>28398</v>
      </c>
      <c r="K120" t="s">
        <v>36707</v>
      </c>
      <c r="M120" t="s">
        <v>37057</v>
      </c>
      <c r="N120" t="s">
        <v>40436</v>
      </c>
      <c r="O120" t="s">
        <v>40437</v>
      </c>
      <c r="P120">
        <v>0</v>
      </c>
      <c r="Q120">
        <v>7</v>
      </c>
      <c r="R120" t="s">
        <v>40438</v>
      </c>
      <c r="S120" t="s">
        <v>40582</v>
      </c>
      <c r="T120" t="s">
        <v>42138</v>
      </c>
      <c r="U120" t="s">
        <v>42733</v>
      </c>
      <c r="W120" t="s">
        <v>37057</v>
      </c>
      <c r="X120" t="s">
        <v>40440</v>
      </c>
    </row>
    <row r="121" spans="1:24">
      <c r="A121">
        <f>HYPERLINK("https://www.philgeps.gov.ph/GEPSNONPILOT/Tender/SplashBidNoticeAbstractUI.aspx?menuIndex=3&amp;refID=7045326&amp;Result=3","7045326")</f>
        <v>0</v>
      </c>
      <c r="B121" t="s">
        <v>85</v>
      </c>
      <c r="C121" t="s">
        <v>3206</v>
      </c>
      <c r="D121" t="s">
        <v>16221</v>
      </c>
      <c r="E121" t="s">
        <v>16411</v>
      </c>
      <c r="F121" t="s">
        <v>28198</v>
      </c>
      <c r="G121" t="s">
        <v>28205</v>
      </c>
      <c r="H121" t="s">
        <v>28214</v>
      </c>
      <c r="I121" t="s">
        <v>3797</v>
      </c>
      <c r="J121" t="s">
        <v>28378</v>
      </c>
      <c r="K121" t="s">
        <v>36701</v>
      </c>
      <c r="M121" t="s">
        <v>37057</v>
      </c>
      <c r="N121" t="s">
        <v>40436</v>
      </c>
      <c r="O121" t="s">
        <v>40437</v>
      </c>
      <c r="P121">
        <v>0</v>
      </c>
      <c r="Q121">
        <v>0</v>
      </c>
      <c r="R121" t="s">
        <v>40438</v>
      </c>
      <c r="S121" t="s">
        <v>40582</v>
      </c>
      <c r="T121" t="s">
        <v>42138</v>
      </c>
      <c r="U121" t="s">
        <v>42734</v>
      </c>
      <c r="W121" t="s">
        <v>37057</v>
      </c>
      <c r="X121" t="s">
        <v>40440</v>
      </c>
    </row>
    <row r="122" spans="1:24">
      <c r="A122">
        <f>HYPERLINK("https://www.philgeps.gov.ph/GEPSNONPILOT/Tender/SplashBidNoticeAbstractUI.aspx?menuIndex=3&amp;refID=7045549&amp;Result=3","7045549")</f>
        <v>0</v>
      </c>
      <c r="B122" t="s">
        <v>88</v>
      </c>
      <c r="C122" t="s">
        <v>3207</v>
      </c>
      <c r="E122" t="s">
        <v>16412</v>
      </c>
      <c r="F122" t="s">
        <v>28198</v>
      </c>
      <c r="G122" t="s">
        <v>28205</v>
      </c>
      <c r="H122" t="s">
        <v>28215</v>
      </c>
      <c r="I122" t="s">
        <v>4321</v>
      </c>
      <c r="J122" t="s">
        <v>28437</v>
      </c>
      <c r="K122" t="s">
        <v>36689</v>
      </c>
      <c r="M122" t="s">
        <v>37060</v>
      </c>
      <c r="N122" t="s">
        <v>40436</v>
      </c>
      <c r="O122" t="s">
        <v>40437</v>
      </c>
      <c r="P122">
        <v>0</v>
      </c>
      <c r="Q122">
        <v>2</v>
      </c>
      <c r="R122" t="s">
        <v>40438</v>
      </c>
      <c r="S122" t="s">
        <v>40582</v>
      </c>
      <c r="T122" t="s">
        <v>42106</v>
      </c>
      <c r="U122" t="s">
        <v>42735</v>
      </c>
      <c r="W122" t="s">
        <v>55430</v>
      </c>
      <c r="X122" t="s">
        <v>40440</v>
      </c>
    </row>
    <row r="123" spans="1:24">
      <c r="A123">
        <f>HYPERLINK("https://www.philgeps.gov.ph/GEPSNONPILOT/Tender/SplashBidNoticeAbstractUI.aspx?menuIndex=3&amp;refID=7045779&amp;Result=3","7045779")</f>
        <v>0</v>
      </c>
      <c r="B123" t="s">
        <v>89</v>
      </c>
      <c r="C123" t="s">
        <v>3208</v>
      </c>
      <c r="D123" t="s">
        <v>16215</v>
      </c>
      <c r="E123" t="s">
        <v>16413</v>
      </c>
      <c r="F123" t="s">
        <v>28198</v>
      </c>
      <c r="G123" t="s">
        <v>28207</v>
      </c>
      <c r="H123" t="s">
        <v>28216</v>
      </c>
      <c r="I123" t="s">
        <v>28234</v>
      </c>
      <c r="J123" t="s">
        <v>28438</v>
      </c>
      <c r="K123" t="s">
        <v>36701</v>
      </c>
      <c r="M123" t="s">
        <v>37061</v>
      </c>
      <c r="N123" t="s">
        <v>40436</v>
      </c>
      <c r="O123" t="s">
        <v>40437</v>
      </c>
      <c r="P123">
        <v>0</v>
      </c>
      <c r="Q123">
        <v>0</v>
      </c>
      <c r="R123" t="s">
        <v>40438</v>
      </c>
      <c r="S123" t="s">
        <v>40582</v>
      </c>
      <c r="T123" t="s">
        <v>42140</v>
      </c>
      <c r="U123" t="s">
        <v>42736</v>
      </c>
      <c r="W123" t="s">
        <v>37061</v>
      </c>
      <c r="X123" t="s">
        <v>40440</v>
      </c>
    </row>
    <row r="124" spans="1:24">
      <c r="A124">
        <f>HYPERLINK("https://www.philgeps.gov.ph/GEPSNONPILOT/Tender/SplashBidNoticeAbstractUI.aspx?menuIndex=3&amp;refID=7045721&amp;Result=3","7045721")</f>
        <v>0</v>
      </c>
      <c r="B124" t="s">
        <v>90</v>
      </c>
      <c r="C124" t="s">
        <v>3209</v>
      </c>
      <c r="D124" t="s">
        <v>16190</v>
      </c>
      <c r="E124" t="s">
        <v>16414</v>
      </c>
      <c r="F124" t="s">
        <v>28198</v>
      </c>
      <c r="G124" t="s">
        <v>28205</v>
      </c>
      <c r="H124" t="s">
        <v>28215</v>
      </c>
      <c r="I124" t="s">
        <v>6051</v>
      </c>
      <c r="J124" t="s">
        <v>28439</v>
      </c>
      <c r="K124" t="s">
        <v>36689</v>
      </c>
      <c r="M124" t="s">
        <v>37062</v>
      </c>
      <c r="N124" t="s">
        <v>40436</v>
      </c>
      <c r="O124" t="s">
        <v>40437</v>
      </c>
      <c r="P124">
        <v>0</v>
      </c>
      <c r="Q124">
        <v>1</v>
      </c>
      <c r="R124" t="s">
        <v>40438</v>
      </c>
      <c r="S124" t="s">
        <v>40582</v>
      </c>
      <c r="T124" t="s">
        <v>42100</v>
      </c>
      <c r="U124" t="s">
        <v>42737</v>
      </c>
      <c r="W124" t="s">
        <v>37062</v>
      </c>
      <c r="X124" t="s">
        <v>40440</v>
      </c>
    </row>
    <row r="125" spans="1:24">
      <c r="A125">
        <f>HYPERLINK("https://www.philgeps.gov.ph/GEPSNONPILOT/Tender/SplashBidNoticeAbstractUI.aspx?menuIndex=3&amp;refID=7045644&amp;Result=3","7045644")</f>
        <v>0</v>
      </c>
      <c r="B125" t="s">
        <v>91</v>
      </c>
      <c r="C125" t="s">
        <v>3210</v>
      </c>
      <c r="D125" t="s">
        <v>16192</v>
      </c>
      <c r="E125" t="s">
        <v>16415</v>
      </c>
      <c r="F125" t="s">
        <v>28198</v>
      </c>
      <c r="G125" t="s">
        <v>28206</v>
      </c>
      <c r="H125" t="s">
        <v>28215</v>
      </c>
      <c r="I125" t="s">
        <v>5082</v>
      </c>
      <c r="J125" t="s">
        <v>28440</v>
      </c>
      <c r="K125" t="s">
        <v>36687</v>
      </c>
      <c r="M125" t="s">
        <v>37063</v>
      </c>
      <c r="N125" t="s">
        <v>40436</v>
      </c>
      <c r="O125" t="s">
        <v>40437</v>
      </c>
      <c r="P125">
        <v>0</v>
      </c>
      <c r="Q125">
        <v>0</v>
      </c>
      <c r="R125" t="s">
        <v>40438</v>
      </c>
      <c r="S125" t="s">
        <v>40582</v>
      </c>
      <c r="T125" t="s">
        <v>42112</v>
      </c>
      <c r="U125" t="s">
        <v>42738</v>
      </c>
      <c r="V125" t="s">
        <v>53794</v>
      </c>
      <c r="W125" t="s">
        <v>37063</v>
      </c>
      <c r="X125" t="s">
        <v>40440</v>
      </c>
    </row>
    <row r="126" spans="1:24">
      <c r="A126">
        <f>HYPERLINK("https://www.philgeps.gov.ph/GEPSNONPILOT/Tender/SplashBidNoticeAbstractUI.aspx?menuIndex=3&amp;refID=7045691&amp;Result=3","7045691")</f>
        <v>0</v>
      </c>
      <c r="B126" t="s">
        <v>52</v>
      </c>
      <c r="C126" t="s">
        <v>3211</v>
      </c>
      <c r="D126" t="s">
        <v>16223</v>
      </c>
      <c r="E126" t="s">
        <v>16416</v>
      </c>
      <c r="F126" t="s">
        <v>28198</v>
      </c>
      <c r="G126" t="s">
        <v>28205</v>
      </c>
      <c r="H126" t="s">
        <v>28215</v>
      </c>
      <c r="I126" t="s">
        <v>6013</v>
      </c>
      <c r="J126" t="s">
        <v>28441</v>
      </c>
      <c r="K126" t="s">
        <v>36701</v>
      </c>
      <c r="M126" t="s">
        <v>37023</v>
      </c>
      <c r="N126" t="s">
        <v>40436</v>
      </c>
      <c r="O126" t="s">
        <v>40437</v>
      </c>
      <c r="P126">
        <v>0</v>
      </c>
      <c r="Q126">
        <v>0</v>
      </c>
      <c r="R126" t="s">
        <v>40438</v>
      </c>
      <c r="S126" t="s">
        <v>40582</v>
      </c>
      <c r="T126" t="s">
        <v>42108</v>
      </c>
      <c r="U126" t="s">
        <v>42739</v>
      </c>
      <c r="W126" t="s">
        <v>55427</v>
      </c>
      <c r="X126" t="s">
        <v>40440</v>
      </c>
    </row>
    <row r="127" spans="1:24">
      <c r="A127">
        <f>HYPERLINK("https://www.philgeps.gov.ph/GEPSNONPILOT/Tender/SplashBidNoticeAbstractUI.aspx?menuIndex=3&amp;refID=7045784&amp;Result=3","7045784")</f>
        <v>0</v>
      </c>
      <c r="B127" t="s">
        <v>52</v>
      </c>
      <c r="C127" t="s">
        <v>3212</v>
      </c>
      <c r="D127" t="s">
        <v>16223</v>
      </c>
      <c r="E127" t="s">
        <v>16417</v>
      </c>
      <c r="F127" t="s">
        <v>28198</v>
      </c>
      <c r="G127" t="s">
        <v>28205</v>
      </c>
      <c r="H127" t="s">
        <v>28215</v>
      </c>
      <c r="I127" t="s">
        <v>6013</v>
      </c>
      <c r="J127" t="s">
        <v>28442</v>
      </c>
      <c r="K127" t="s">
        <v>36701</v>
      </c>
      <c r="M127" t="s">
        <v>37023</v>
      </c>
      <c r="N127" t="s">
        <v>40436</v>
      </c>
      <c r="O127" t="s">
        <v>40437</v>
      </c>
      <c r="P127">
        <v>0</v>
      </c>
      <c r="Q127">
        <v>0</v>
      </c>
      <c r="R127" t="s">
        <v>40438</v>
      </c>
      <c r="S127" t="s">
        <v>40582</v>
      </c>
      <c r="T127" t="s">
        <v>42108</v>
      </c>
      <c r="U127" t="s">
        <v>42740</v>
      </c>
      <c r="W127" t="s">
        <v>55427</v>
      </c>
      <c r="X127" t="s">
        <v>40440</v>
      </c>
    </row>
    <row r="128" spans="1:24">
      <c r="A128">
        <f>HYPERLINK("https://www.philgeps.gov.ph/GEPSNONPILOT/Tender/SplashBidNoticeAbstractUI.aspx?menuIndex=3&amp;refID=7045609&amp;Result=3","7045609")</f>
        <v>0</v>
      </c>
      <c r="B128" t="s">
        <v>81</v>
      </c>
      <c r="C128" t="s">
        <v>3213</v>
      </c>
      <c r="D128" t="s">
        <v>16189</v>
      </c>
      <c r="E128" t="s">
        <v>16418</v>
      </c>
      <c r="F128" t="s">
        <v>28198</v>
      </c>
      <c r="G128" t="s">
        <v>28206</v>
      </c>
      <c r="H128" t="s">
        <v>28215</v>
      </c>
      <c r="I128" t="s">
        <v>28245</v>
      </c>
      <c r="J128" t="s">
        <v>28430</v>
      </c>
      <c r="K128" t="s">
        <v>36706</v>
      </c>
      <c r="M128" t="s">
        <v>37053</v>
      </c>
      <c r="N128" t="s">
        <v>40436</v>
      </c>
      <c r="O128" t="s">
        <v>40437</v>
      </c>
      <c r="P128">
        <v>0</v>
      </c>
      <c r="Q128">
        <v>8</v>
      </c>
      <c r="R128" t="s">
        <v>40438</v>
      </c>
      <c r="S128" t="s">
        <v>40582</v>
      </c>
      <c r="T128" t="s">
        <v>42141</v>
      </c>
      <c r="U128" t="s">
        <v>42630</v>
      </c>
      <c r="W128" t="s">
        <v>37053</v>
      </c>
      <c r="X128" t="s">
        <v>40440</v>
      </c>
    </row>
    <row r="129" spans="1:24">
      <c r="A129">
        <f>HYPERLINK("https://www.philgeps.gov.ph/GEPSNONPILOT/Tender/SplashBidNoticeAbstractUI.aspx?menuIndex=3&amp;refID=7045642&amp;Result=3","7045642")</f>
        <v>0</v>
      </c>
      <c r="B129" t="s">
        <v>52</v>
      </c>
      <c r="C129" t="s">
        <v>3214</v>
      </c>
      <c r="D129" t="s">
        <v>16200</v>
      </c>
      <c r="E129" t="s">
        <v>16419</v>
      </c>
      <c r="F129" t="s">
        <v>28198</v>
      </c>
      <c r="G129" t="s">
        <v>28205</v>
      </c>
      <c r="H129" t="s">
        <v>28215</v>
      </c>
      <c r="I129" t="s">
        <v>28226</v>
      </c>
      <c r="J129" t="s">
        <v>28443</v>
      </c>
      <c r="K129" t="s">
        <v>36701</v>
      </c>
      <c r="M129" t="s">
        <v>37023</v>
      </c>
      <c r="N129" t="s">
        <v>40436</v>
      </c>
      <c r="O129" t="s">
        <v>40437</v>
      </c>
      <c r="P129">
        <v>0</v>
      </c>
      <c r="Q129">
        <v>1</v>
      </c>
      <c r="R129" t="s">
        <v>40438</v>
      </c>
      <c r="S129" t="s">
        <v>40582</v>
      </c>
      <c r="T129" t="s">
        <v>42108</v>
      </c>
      <c r="U129" t="s">
        <v>42741</v>
      </c>
      <c r="W129" t="s">
        <v>55427</v>
      </c>
      <c r="X129" t="s">
        <v>40440</v>
      </c>
    </row>
    <row r="130" spans="1:24">
      <c r="A130">
        <f>HYPERLINK("https://www.philgeps.gov.ph/GEPSNONPILOT/Tender/SplashBidNoticeAbstractUI.aspx?menuIndex=3&amp;refID=7045592&amp;Result=3","7045592")</f>
        <v>0</v>
      </c>
      <c r="B130" t="s">
        <v>92</v>
      </c>
      <c r="C130" t="s">
        <v>3215</v>
      </c>
      <c r="D130" t="s">
        <v>16203</v>
      </c>
      <c r="E130" t="s">
        <v>16420</v>
      </c>
      <c r="F130" t="s">
        <v>28198</v>
      </c>
      <c r="G130" t="s">
        <v>28205</v>
      </c>
      <c r="H130" t="s">
        <v>28214</v>
      </c>
      <c r="I130" t="s">
        <v>3797</v>
      </c>
      <c r="J130" t="s">
        <v>28444</v>
      </c>
      <c r="K130" t="s">
        <v>36708</v>
      </c>
      <c r="M130" t="s">
        <v>37064</v>
      </c>
      <c r="N130" t="s">
        <v>40436</v>
      </c>
      <c r="O130" t="s">
        <v>40437</v>
      </c>
      <c r="P130">
        <v>0</v>
      </c>
      <c r="Q130">
        <v>0</v>
      </c>
      <c r="R130" t="s">
        <v>40438</v>
      </c>
      <c r="S130" t="s">
        <v>40582</v>
      </c>
      <c r="T130" t="s">
        <v>42108</v>
      </c>
      <c r="U130" t="s">
        <v>42742</v>
      </c>
      <c r="W130" t="s">
        <v>37064</v>
      </c>
      <c r="X130" t="s">
        <v>40440</v>
      </c>
    </row>
    <row r="131" spans="1:24">
      <c r="A131">
        <f>HYPERLINK("https://www.philgeps.gov.ph/GEPSNONPILOT/Tender/SplashBidNoticeAbstractUI.aspx?menuIndex=3&amp;refID=7045878&amp;Result=3","7045878")</f>
        <v>0</v>
      </c>
      <c r="B131" t="s">
        <v>88</v>
      </c>
      <c r="C131" t="s">
        <v>3216</v>
      </c>
      <c r="E131" t="s">
        <v>16421</v>
      </c>
      <c r="F131" t="s">
        <v>28198</v>
      </c>
      <c r="G131" t="s">
        <v>28205</v>
      </c>
      <c r="H131" t="s">
        <v>28215</v>
      </c>
      <c r="I131" t="s">
        <v>6051</v>
      </c>
      <c r="J131" t="s">
        <v>28445</v>
      </c>
      <c r="K131" t="s">
        <v>36689</v>
      </c>
      <c r="M131" t="s">
        <v>37060</v>
      </c>
      <c r="N131" t="s">
        <v>40436</v>
      </c>
      <c r="O131" t="s">
        <v>40437</v>
      </c>
      <c r="P131">
        <v>0</v>
      </c>
      <c r="Q131">
        <v>1</v>
      </c>
      <c r="R131" t="s">
        <v>40438</v>
      </c>
      <c r="S131" t="s">
        <v>40582</v>
      </c>
      <c r="T131" t="s">
        <v>42118</v>
      </c>
      <c r="U131" t="s">
        <v>42743</v>
      </c>
      <c r="W131" t="s">
        <v>55430</v>
      </c>
      <c r="X131" t="s">
        <v>40440</v>
      </c>
    </row>
    <row r="132" spans="1:24">
      <c r="A132">
        <f>HYPERLINK("https://www.philgeps.gov.ph/GEPSNONPILOT/Tender/SplashBidNoticeAbstractUI.aspx?menuIndex=3&amp;refID=7045863&amp;Result=3","7045863")</f>
        <v>0</v>
      </c>
      <c r="B132" t="s">
        <v>70</v>
      </c>
      <c r="C132" t="s">
        <v>3217</v>
      </c>
      <c r="D132" t="s">
        <v>16214</v>
      </c>
      <c r="E132" t="s">
        <v>16422</v>
      </c>
      <c r="F132" t="s">
        <v>28198</v>
      </c>
      <c r="G132" t="s">
        <v>28205</v>
      </c>
      <c r="H132" t="s">
        <v>28214</v>
      </c>
      <c r="I132" t="s">
        <v>3797</v>
      </c>
      <c r="J132" t="s">
        <v>28446</v>
      </c>
      <c r="K132" t="s">
        <v>36694</v>
      </c>
      <c r="M132" t="s">
        <v>37042</v>
      </c>
      <c r="N132" t="s">
        <v>40436</v>
      </c>
      <c r="O132" t="s">
        <v>40437</v>
      </c>
      <c r="P132">
        <v>0</v>
      </c>
      <c r="Q132">
        <v>0</v>
      </c>
      <c r="R132" t="s">
        <v>40438</v>
      </c>
      <c r="S132" t="s">
        <v>40582</v>
      </c>
      <c r="T132" t="s">
        <v>42128</v>
      </c>
      <c r="U132" t="s">
        <v>42744</v>
      </c>
      <c r="W132" t="s">
        <v>37042</v>
      </c>
      <c r="X132" t="s">
        <v>40440</v>
      </c>
    </row>
    <row r="133" spans="1:24">
      <c r="A133">
        <f>HYPERLINK("https://www.philgeps.gov.ph/GEPSNONPILOT/Tender/SplashBidNoticeAbstractUI.aspx?menuIndex=3&amp;refID=7045820&amp;Result=3","7045820")</f>
        <v>0</v>
      </c>
      <c r="B133" t="s">
        <v>52</v>
      </c>
      <c r="C133" t="s">
        <v>3218</v>
      </c>
      <c r="D133" t="s">
        <v>16223</v>
      </c>
      <c r="E133" t="s">
        <v>16423</v>
      </c>
      <c r="F133" t="s">
        <v>28198</v>
      </c>
      <c r="G133" t="s">
        <v>28205</v>
      </c>
      <c r="H133" t="s">
        <v>28215</v>
      </c>
      <c r="I133" t="s">
        <v>28246</v>
      </c>
      <c r="J133" t="s">
        <v>28447</v>
      </c>
      <c r="K133" t="s">
        <v>36697</v>
      </c>
      <c r="M133" t="s">
        <v>37023</v>
      </c>
      <c r="N133" t="s">
        <v>40436</v>
      </c>
      <c r="O133" t="s">
        <v>40437</v>
      </c>
      <c r="P133">
        <v>0</v>
      </c>
      <c r="Q133">
        <v>0</v>
      </c>
      <c r="R133" t="s">
        <v>40438</v>
      </c>
      <c r="S133" t="s">
        <v>40582</v>
      </c>
      <c r="T133" t="s">
        <v>42108</v>
      </c>
      <c r="U133" t="s">
        <v>42745</v>
      </c>
      <c r="W133" t="s">
        <v>55427</v>
      </c>
      <c r="X133" t="s">
        <v>40440</v>
      </c>
    </row>
    <row r="134" spans="1:24">
      <c r="A134">
        <f>HYPERLINK("https://www.philgeps.gov.ph/GEPSNONPILOT/Tender/SplashBidNoticeAbstractUI.aspx?menuIndex=3&amp;refID=7045851&amp;Result=3","7045851")</f>
        <v>0</v>
      </c>
      <c r="B134" t="s">
        <v>93</v>
      </c>
      <c r="C134" t="s">
        <v>3219</v>
      </c>
      <c r="D134" t="s">
        <v>16209</v>
      </c>
      <c r="E134" t="s">
        <v>16424</v>
      </c>
      <c r="F134" t="s">
        <v>28198</v>
      </c>
      <c r="G134" t="s">
        <v>28207</v>
      </c>
      <c r="H134" t="s">
        <v>28217</v>
      </c>
      <c r="I134" t="s">
        <v>4168</v>
      </c>
      <c r="J134" t="s">
        <v>28448</v>
      </c>
      <c r="K134" t="s">
        <v>36705</v>
      </c>
      <c r="M134" t="s">
        <v>37065</v>
      </c>
      <c r="N134" t="s">
        <v>40436</v>
      </c>
      <c r="O134" t="s">
        <v>40437</v>
      </c>
      <c r="P134">
        <v>0</v>
      </c>
      <c r="Q134">
        <v>6</v>
      </c>
      <c r="R134" t="s">
        <v>40438</v>
      </c>
      <c r="S134" t="s">
        <v>40582</v>
      </c>
      <c r="T134" t="s">
        <v>42142</v>
      </c>
      <c r="U134" t="s">
        <v>42746</v>
      </c>
      <c r="W134" t="s">
        <v>37065</v>
      </c>
      <c r="X134" t="s">
        <v>40440</v>
      </c>
    </row>
    <row r="135" spans="1:24">
      <c r="A135">
        <f>HYPERLINK("https://www.philgeps.gov.ph/GEPSNONPILOT/Tender/SplashBidNoticeAbstractUI.aspx?menuIndex=3&amp;refID=7045805&amp;Result=3","7045805")</f>
        <v>0</v>
      </c>
      <c r="B135" t="s">
        <v>94</v>
      </c>
      <c r="C135" t="s">
        <v>3220</v>
      </c>
      <c r="D135" t="s">
        <v>16224</v>
      </c>
      <c r="E135" t="s">
        <v>16425</v>
      </c>
      <c r="F135" t="s">
        <v>28198</v>
      </c>
      <c r="G135" t="s">
        <v>28207</v>
      </c>
      <c r="H135" t="s">
        <v>28215</v>
      </c>
      <c r="I135" t="s">
        <v>5082</v>
      </c>
      <c r="J135" t="s">
        <v>28449</v>
      </c>
      <c r="K135" t="s">
        <v>36707</v>
      </c>
      <c r="M135" t="s">
        <v>37066</v>
      </c>
      <c r="N135" t="s">
        <v>40436</v>
      </c>
      <c r="O135" t="s">
        <v>40437</v>
      </c>
      <c r="P135">
        <v>0</v>
      </c>
      <c r="Q135">
        <v>0</v>
      </c>
      <c r="R135" t="s">
        <v>40438</v>
      </c>
      <c r="S135" t="s">
        <v>40582</v>
      </c>
      <c r="T135" t="s">
        <v>42116</v>
      </c>
      <c r="U135" t="s">
        <v>42747</v>
      </c>
      <c r="W135" t="s">
        <v>37066</v>
      </c>
      <c r="X135" t="s">
        <v>40440</v>
      </c>
    </row>
    <row r="136" spans="1:24">
      <c r="A136">
        <f>HYPERLINK("https://www.philgeps.gov.ph/GEPSNONPILOT/Tender/SplashBidNoticeAbstractUI.aspx?menuIndex=3&amp;refID=7045934&amp;Result=3","7045934")</f>
        <v>0</v>
      </c>
      <c r="B136" t="s">
        <v>70</v>
      </c>
      <c r="C136" t="s">
        <v>3221</v>
      </c>
      <c r="D136" t="s">
        <v>16214</v>
      </c>
      <c r="E136" t="s">
        <v>16426</v>
      </c>
      <c r="F136" t="s">
        <v>28198</v>
      </c>
      <c r="G136" t="s">
        <v>28205</v>
      </c>
      <c r="H136" t="s">
        <v>28214</v>
      </c>
      <c r="I136" t="s">
        <v>3797</v>
      </c>
      <c r="J136" t="s">
        <v>28450</v>
      </c>
      <c r="K136" t="s">
        <v>36701</v>
      </c>
      <c r="M136" t="s">
        <v>37042</v>
      </c>
      <c r="N136" t="s">
        <v>40436</v>
      </c>
      <c r="O136" t="s">
        <v>40437</v>
      </c>
      <c r="P136">
        <v>0</v>
      </c>
      <c r="Q136">
        <v>0</v>
      </c>
      <c r="R136" t="s">
        <v>40438</v>
      </c>
      <c r="S136" t="s">
        <v>40582</v>
      </c>
      <c r="T136" t="s">
        <v>42128</v>
      </c>
      <c r="U136" t="s">
        <v>42748</v>
      </c>
      <c r="W136" t="s">
        <v>37042</v>
      </c>
      <c r="X136" t="s">
        <v>40440</v>
      </c>
    </row>
    <row r="137" spans="1:24">
      <c r="A137">
        <f>HYPERLINK("https://www.philgeps.gov.ph/GEPSNONPILOT/Tender/SplashBidNoticeAbstractUI.aspx?menuIndex=3&amp;refID=7045762&amp;Result=3","7045762")</f>
        <v>0</v>
      </c>
      <c r="B137" t="s">
        <v>90</v>
      </c>
      <c r="C137" t="s">
        <v>3222</v>
      </c>
      <c r="D137" t="s">
        <v>16190</v>
      </c>
      <c r="E137" t="s">
        <v>16427</v>
      </c>
      <c r="F137" t="s">
        <v>28198</v>
      </c>
      <c r="G137" t="s">
        <v>28205</v>
      </c>
      <c r="H137" t="s">
        <v>28214</v>
      </c>
      <c r="I137" t="s">
        <v>3797</v>
      </c>
      <c r="J137" t="s">
        <v>28451</v>
      </c>
      <c r="K137" t="s">
        <v>36689</v>
      </c>
      <c r="M137" t="s">
        <v>37062</v>
      </c>
      <c r="N137" t="s">
        <v>40436</v>
      </c>
      <c r="O137" t="s">
        <v>40437</v>
      </c>
      <c r="P137">
        <v>0</v>
      </c>
      <c r="Q137">
        <v>0</v>
      </c>
      <c r="R137" t="s">
        <v>40438</v>
      </c>
      <c r="S137" t="s">
        <v>40582</v>
      </c>
      <c r="T137" t="s">
        <v>42125</v>
      </c>
      <c r="U137" t="s">
        <v>42737</v>
      </c>
      <c r="W137" t="s">
        <v>37062</v>
      </c>
      <c r="X137" t="s">
        <v>40440</v>
      </c>
    </row>
    <row r="138" spans="1:24">
      <c r="A138">
        <f>HYPERLINK("https://www.philgeps.gov.ph/GEPSNONPILOT/Tender/SplashBidNoticeAbstractUI.aspx?menuIndex=3&amp;refID=7045752&amp;Result=3","7045752")</f>
        <v>0</v>
      </c>
      <c r="B138" t="s">
        <v>88</v>
      </c>
      <c r="C138" t="s">
        <v>3223</v>
      </c>
      <c r="E138" t="s">
        <v>16428</v>
      </c>
      <c r="F138" t="s">
        <v>28198</v>
      </c>
      <c r="G138" t="s">
        <v>28205</v>
      </c>
      <c r="H138" t="s">
        <v>28215</v>
      </c>
      <c r="I138" t="s">
        <v>6051</v>
      </c>
      <c r="J138" t="s">
        <v>28445</v>
      </c>
      <c r="K138" t="s">
        <v>36689</v>
      </c>
      <c r="M138" t="s">
        <v>37060</v>
      </c>
      <c r="N138" t="s">
        <v>40436</v>
      </c>
      <c r="O138" t="s">
        <v>40437</v>
      </c>
      <c r="P138">
        <v>0</v>
      </c>
      <c r="Q138">
        <v>3</v>
      </c>
      <c r="R138" t="s">
        <v>40438</v>
      </c>
      <c r="S138" t="s">
        <v>40582</v>
      </c>
      <c r="T138" t="s">
        <v>42106</v>
      </c>
      <c r="U138" t="s">
        <v>42743</v>
      </c>
      <c r="W138" t="s">
        <v>55430</v>
      </c>
      <c r="X138" t="s">
        <v>40440</v>
      </c>
    </row>
    <row r="139" spans="1:24">
      <c r="A139">
        <f>HYPERLINK("https://www.philgeps.gov.ph/GEPSNONPILOT/Tender/SplashBidNoticeAbstractUI.aspx?menuIndex=3&amp;refID=7045786&amp;Result=3","7045786")</f>
        <v>0</v>
      </c>
      <c r="B139" t="s">
        <v>70</v>
      </c>
      <c r="C139" t="s">
        <v>3224</v>
      </c>
      <c r="D139" t="s">
        <v>16214</v>
      </c>
      <c r="E139" t="s">
        <v>16429</v>
      </c>
      <c r="F139" t="s">
        <v>28198</v>
      </c>
      <c r="G139" t="s">
        <v>28205</v>
      </c>
      <c r="H139" t="s">
        <v>28214</v>
      </c>
      <c r="I139" t="s">
        <v>3797</v>
      </c>
      <c r="J139" t="s">
        <v>28452</v>
      </c>
      <c r="K139" t="s">
        <v>36711</v>
      </c>
      <c r="M139" t="s">
        <v>37042</v>
      </c>
      <c r="N139" t="s">
        <v>40436</v>
      </c>
      <c r="O139" t="s">
        <v>40437</v>
      </c>
      <c r="P139">
        <v>0</v>
      </c>
      <c r="Q139">
        <v>0</v>
      </c>
      <c r="R139" t="s">
        <v>40438</v>
      </c>
      <c r="S139" t="s">
        <v>40582</v>
      </c>
      <c r="T139" t="s">
        <v>42128</v>
      </c>
      <c r="U139" t="s">
        <v>42749</v>
      </c>
      <c r="W139" t="s">
        <v>37042</v>
      </c>
      <c r="X139" t="s">
        <v>40440</v>
      </c>
    </row>
    <row r="140" spans="1:24">
      <c r="A140">
        <f>HYPERLINK("https://www.philgeps.gov.ph/GEPSNONPILOT/Tender/SplashBidNoticeAbstractUI.aspx?menuIndex=3&amp;refID=7046153&amp;Result=3","7046153")</f>
        <v>0</v>
      </c>
      <c r="B140" t="s">
        <v>95</v>
      </c>
      <c r="C140" t="s">
        <v>3225</v>
      </c>
      <c r="D140" t="s">
        <v>16203</v>
      </c>
      <c r="E140" t="s">
        <v>16430</v>
      </c>
      <c r="F140" t="s">
        <v>28198</v>
      </c>
      <c r="G140" t="s">
        <v>28205</v>
      </c>
      <c r="H140" t="s">
        <v>28215</v>
      </c>
      <c r="I140" t="s">
        <v>28247</v>
      </c>
      <c r="J140" t="s">
        <v>28453</v>
      </c>
      <c r="K140" t="s">
        <v>36708</v>
      </c>
      <c r="M140" t="s">
        <v>37067</v>
      </c>
      <c r="N140" t="s">
        <v>40436</v>
      </c>
      <c r="O140" t="s">
        <v>40437</v>
      </c>
      <c r="P140">
        <v>0</v>
      </c>
      <c r="Q140">
        <v>7</v>
      </c>
      <c r="R140" t="s">
        <v>40438</v>
      </c>
      <c r="S140" t="s">
        <v>40582</v>
      </c>
      <c r="T140" t="s">
        <v>42143</v>
      </c>
      <c r="U140" t="s">
        <v>42750</v>
      </c>
      <c r="W140" t="s">
        <v>37067</v>
      </c>
      <c r="X140" t="s">
        <v>40440</v>
      </c>
    </row>
    <row r="141" spans="1:24">
      <c r="A141">
        <f>HYPERLINK("https://www.philgeps.gov.ph/GEPSNONPILOT/Tender/SplashBidNoticeAbstractUI.aspx?menuIndex=3&amp;refID=7045906&amp;Result=3","7045906")</f>
        <v>0</v>
      </c>
      <c r="B141" t="s">
        <v>88</v>
      </c>
      <c r="C141" t="s">
        <v>3226</v>
      </c>
      <c r="E141" t="s">
        <v>16431</v>
      </c>
      <c r="F141" t="s">
        <v>28198</v>
      </c>
      <c r="G141" t="s">
        <v>28205</v>
      </c>
      <c r="H141" t="s">
        <v>28215</v>
      </c>
      <c r="I141" t="s">
        <v>6051</v>
      </c>
      <c r="J141" t="s">
        <v>28445</v>
      </c>
      <c r="K141" t="s">
        <v>36689</v>
      </c>
      <c r="M141" t="s">
        <v>37060</v>
      </c>
      <c r="N141" t="s">
        <v>40436</v>
      </c>
      <c r="O141" t="s">
        <v>40437</v>
      </c>
      <c r="P141">
        <v>0</v>
      </c>
      <c r="Q141">
        <v>2</v>
      </c>
      <c r="R141" t="s">
        <v>40438</v>
      </c>
      <c r="S141" t="s">
        <v>40582</v>
      </c>
      <c r="T141" t="s">
        <v>42106</v>
      </c>
      <c r="U141" t="s">
        <v>42743</v>
      </c>
      <c r="W141" t="s">
        <v>55430</v>
      </c>
      <c r="X141" t="s">
        <v>40440</v>
      </c>
    </row>
    <row r="142" spans="1:24">
      <c r="A142">
        <f>HYPERLINK("https://www.philgeps.gov.ph/GEPSNONPILOT/Tender/SplashBidNoticeAbstractUI.aspx?menuIndex=3&amp;refID=7046136&amp;Result=3","7046136")</f>
        <v>0</v>
      </c>
      <c r="B142" t="s">
        <v>96</v>
      </c>
      <c r="C142" t="s">
        <v>3227</v>
      </c>
      <c r="D142" t="s">
        <v>16225</v>
      </c>
      <c r="E142" t="s">
        <v>16432</v>
      </c>
      <c r="F142" t="s">
        <v>28198</v>
      </c>
      <c r="G142" t="s">
        <v>28205</v>
      </c>
      <c r="H142" t="s">
        <v>28215</v>
      </c>
      <c r="I142" t="s">
        <v>5100</v>
      </c>
      <c r="J142" t="s">
        <v>28454</v>
      </c>
      <c r="K142" t="s">
        <v>36694</v>
      </c>
      <c r="M142" t="s">
        <v>37068</v>
      </c>
      <c r="N142" t="s">
        <v>40436</v>
      </c>
      <c r="O142" t="s">
        <v>40437</v>
      </c>
      <c r="P142">
        <v>0</v>
      </c>
      <c r="Q142">
        <v>0</v>
      </c>
      <c r="R142" t="s">
        <v>40438</v>
      </c>
      <c r="S142" t="s">
        <v>40582</v>
      </c>
      <c r="T142" t="s">
        <v>42144</v>
      </c>
      <c r="U142" t="s">
        <v>42751</v>
      </c>
      <c r="W142" t="s">
        <v>37068</v>
      </c>
      <c r="X142" t="s">
        <v>40440</v>
      </c>
    </row>
    <row r="143" spans="1:24">
      <c r="A143">
        <f>HYPERLINK("https://www.philgeps.gov.ph/GEPSNONPILOT/Tender/SplashBidNoticeAbstractUI.aspx?menuIndex=3&amp;refID=7045881&amp;Result=3","7045881")</f>
        <v>0</v>
      </c>
      <c r="B143" t="s">
        <v>96</v>
      </c>
      <c r="C143" t="s">
        <v>3228</v>
      </c>
      <c r="D143" t="s">
        <v>16225</v>
      </c>
      <c r="E143" t="s">
        <v>16433</v>
      </c>
      <c r="F143" t="s">
        <v>28198</v>
      </c>
      <c r="G143" t="s">
        <v>28205</v>
      </c>
      <c r="H143" t="s">
        <v>28215</v>
      </c>
      <c r="I143" t="s">
        <v>5100</v>
      </c>
      <c r="J143" t="s">
        <v>28455</v>
      </c>
      <c r="K143" t="s">
        <v>36694</v>
      </c>
      <c r="M143" t="s">
        <v>37068</v>
      </c>
      <c r="N143" t="s">
        <v>40436</v>
      </c>
      <c r="O143" t="s">
        <v>40437</v>
      </c>
      <c r="P143">
        <v>0</v>
      </c>
      <c r="Q143">
        <v>0</v>
      </c>
      <c r="R143" t="s">
        <v>40438</v>
      </c>
      <c r="S143" t="s">
        <v>40582</v>
      </c>
      <c r="T143" t="s">
        <v>42144</v>
      </c>
      <c r="U143" t="s">
        <v>42752</v>
      </c>
      <c r="W143" t="s">
        <v>37068</v>
      </c>
      <c r="X143" t="s">
        <v>40440</v>
      </c>
    </row>
    <row r="144" spans="1:24">
      <c r="A144">
        <f>HYPERLINK("https://www.philgeps.gov.ph/GEPSNONPILOT/Tender/SplashBidNoticeAbstractUI.aspx?menuIndex=3&amp;refID=7045750&amp;Result=3","7045750")</f>
        <v>0</v>
      </c>
      <c r="B144" t="s">
        <v>97</v>
      </c>
      <c r="C144" t="s">
        <v>3229</v>
      </c>
      <c r="D144" t="s">
        <v>16226</v>
      </c>
      <c r="E144" t="s">
        <v>16434</v>
      </c>
      <c r="F144" t="s">
        <v>28201</v>
      </c>
      <c r="G144" t="s">
        <v>28207</v>
      </c>
      <c r="H144" t="s">
        <v>28215</v>
      </c>
      <c r="I144" t="s">
        <v>4321</v>
      </c>
      <c r="J144" t="s">
        <v>28393</v>
      </c>
      <c r="K144" t="s">
        <v>36688</v>
      </c>
      <c r="M144" t="s">
        <v>37069</v>
      </c>
      <c r="N144" t="s">
        <v>40436</v>
      </c>
      <c r="O144" t="s">
        <v>40437</v>
      </c>
      <c r="P144">
        <v>0</v>
      </c>
      <c r="Q144">
        <v>2</v>
      </c>
      <c r="R144" t="s">
        <v>40438</v>
      </c>
      <c r="S144" t="s">
        <v>40582</v>
      </c>
      <c r="T144" t="s">
        <v>42115</v>
      </c>
      <c r="U144" t="s">
        <v>42753</v>
      </c>
      <c r="W144" t="s">
        <v>37069</v>
      </c>
      <c r="X144" t="s">
        <v>40440</v>
      </c>
    </row>
    <row r="145" spans="1:24">
      <c r="A145">
        <f>HYPERLINK("https://www.philgeps.gov.ph/GEPSNONPILOT/Tender/SplashBidNoticeAbstractUI.aspx?menuIndex=3&amp;refID=7046029&amp;Result=3","7046029")</f>
        <v>0</v>
      </c>
      <c r="B145" t="s">
        <v>96</v>
      </c>
      <c r="C145" t="s">
        <v>3230</v>
      </c>
      <c r="D145" t="s">
        <v>16225</v>
      </c>
      <c r="E145" t="s">
        <v>16435</v>
      </c>
      <c r="F145" t="s">
        <v>28198</v>
      </c>
      <c r="G145" t="s">
        <v>28205</v>
      </c>
      <c r="H145" t="s">
        <v>28215</v>
      </c>
      <c r="I145" t="s">
        <v>5100</v>
      </c>
      <c r="J145" t="s">
        <v>28456</v>
      </c>
      <c r="K145" t="s">
        <v>36697</v>
      </c>
      <c r="M145" t="s">
        <v>37068</v>
      </c>
      <c r="N145" t="s">
        <v>40436</v>
      </c>
      <c r="O145" t="s">
        <v>40437</v>
      </c>
      <c r="P145">
        <v>0</v>
      </c>
      <c r="Q145">
        <v>0</v>
      </c>
      <c r="R145" t="s">
        <v>40438</v>
      </c>
      <c r="S145" t="s">
        <v>40582</v>
      </c>
      <c r="T145" t="s">
        <v>42144</v>
      </c>
      <c r="U145" t="s">
        <v>42754</v>
      </c>
      <c r="W145" t="s">
        <v>37068</v>
      </c>
      <c r="X145" t="s">
        <v>40440</v>
      </c>
    </row>
    <row r="146" spans="1:24">
      <c r="A146">
        <f>HYPERLINK("https://www.philgeps.gov.ph/GEPSNONPILOT/Tender/SplashBidNoticeAbstractUI.aspx?menuIndex=3&amp;refID=7045783&amp;Result=3","7045783")</f>
        <v>0</v>
      </c>
      <c r="B146" t="s">
        <v>96</v>
      </c>
      <c r="C146" t="s">
        <v>3231</v>
      </c>
      <c r="D146" t="s">
        <v>16225</v>
      </c>
      <c r="E146" t="s">
        <v>16436</v>
      </c>
      <c r="F146" t="s">
        <v>28198</v>
      </c>
      <c r="G146" t="s">
        <v>28205</v>
      </c>
      <c r="H146" t="s">
        <v>28214</v>
      </c>
      <c r="I146" t="s">
        <v>3797</v>
      </c>
      <c r="J146" t="s">
        <v>28457</v>
      </c>
      <c r="K146" t="s">
        <v>36712</v>
      </c>
      <c r="M146" t="s">
        <v>37068</v>
      </c>
      <c r="N146" t="s">
        <v>40436</v>
      </c>
      <c r="O146" t="s">
        <v>40437</v>
      </c>
      <c r="P146">
        <v>0</v>
      </c>
      <c r="Q146">
        <v>0</v>
      </c>
      <c r="R146" t="s">
        <v>40438</v>
      </c>
      <c r="S146" t="s">
        <v>40582</v>
      </c>
      <c r="T146" t="s">
        <v>42145</v>
      </c>
      <c r="U146" t="s">
        <v>42755</v>
      </c>
      <c r="W146" t="s">
        <v>37068</v>
      </c>
      <c r="X146" t="s">
        <v>40440</v>
      </c>
    </row>
    <row r="147" spans="1:24">
      <c r="A147">
        <f>HYPERLINK("https://www.philgeps.gov.ph/GEPSNONPILOT/Tender/SplashBidNoticeAbstractUI.aspx?menuIndex=3&amp;refID=7046044&amp;Result=3","7046044")</f>
        <v>0</v>
      </c>
      <c r="B147" t="s">
        <v>67</v>
      </c>
      <c r="C147" t="s">
        <v>3232</v>
      </c>
      <c r="D147" t="s">
        <v>16192</v>
      </c>
      <c r="E147" t="s">
        <v>16437</v>
      </c>
      <c r="F147" t="s">
        <v>28198</v>
      </c>
      <c r="G147" t="s">
        <v>28209</v>
      </c>
      <c r="H147" t="s">
        <v>28214</v>
      </c>
      <c r="I147" t="s">
        <v>3797</v>
      </c>
      <c r="J147" t="s">
        <v>28458</v>
      </c>
      <c r="K147" t="s">
        <v>36713</v>
      </c>
      <c r="M147" t="s">
        <v>37039</v>
      </c>
      <c r="N147" t="s">
        <v>40436</v>
      </c>
      <c r="O147" t="s">
        <v>40437</v>
      </c>
      <c r="P147">
        <v>0</v>
      </c>
      <c r="Q147">
        <v>2</v>
      </c>
      <c r="R147" t="s">
        <v>40438</v>
      </c>
      <c r="S147" t="s">
        <v>40582</v>
      </c>
      <c r="T147" t="s">
        <v>42144</v>
      </c>
      <c r="U147" t="s">
        <v>42756</v>
      </c>
      <c r="V147" t="s">
        <v>53795</v>
      </c>
      <c r="W147" t="s">
        <v>37039</v>
      </c>
      <c r="X147" t="s">
        <v>40440</v>
      </c>
    </row>
    <row r="148" spans="1:24">
      <c r="A148">
        <f>HYPERLINK("https://www.philgeps.gov.ph/GEPSNONPILOT/Tender/SplashBidNoticeAbstractUI.aspx?menuIndex=3&amp;refID=7046130&amp;Result=3","7046130")</f>
        <v>0</v>
      </c>
      <c r="B148" t="s">
        <v>70</v>
      </c>
      <c r="C148" t="s">
        <v>3233</v>
      </c>
      <c r="D148" t="s">
        <v>16214</v>
      </c>
      <c r="E148" t="s">
        <v>16438</v>
      </c>
      <c r="F148" t="s">
        <v>28198</v>
      </c>
      <c r="G148" t="s">
        <v>28205</v>
      </c>
      <c r="H148" t="s">
        <v>28214</v>
      </c>
      <c r="I148" t="s">
        <v>3797</v>
      </c>
      <c r="J148" t="s">
        <v>28459</v>
      </c>
      <c r="K148" t="s">
        <v>36692</v>
      </c>
      <c r="M148" t="s">
        <v>37070</v>
      </c>
      <c r="N148" t="s">
        <v>40436</v>
      </c>
      <c r="O148" t="s">
        <v>40437</v>
      </c>
      <c r="P148">
        <v>0</v>
      </c>
      <c r="Q148">
        <v>0</v>
      </c>
      <c r="R148" t="s">
        <v>40438</v>
      </c>
      <c r="S148" t="s">
        <v>40582</v>
      </c>
      <c r="T148" t="s">
        <v>42110</v>
      </c>
      <c r="U148" t="s">
        <v>42757</v>
      </c>
      <c r="W148" t="s">
        <v>37042</v>
      </c>
      <c r="X148" t="s">
        <v>40440</v>
      </c>
    </row>
    <row r="149" spans="1:24">
      <c r="A149">
        <f>HYPERLINK("https://www.philgeps.gov.ph/GEPSNONPILOT/Tender/SplashBidNoticeAbstractUI.aspx?menuIndex=3&amp;refID=7046094&amp;Result=3","7046094")</f>
        <v>0</v>
      </c>
      <c r="B149" t="s">
        <v>70</v>
      </c>
      <c r="C149" t="s">
        <v>3234</v>
      </c>
      <c r="D149" t="s">
        <v>16214</v>
      </c>
      <c r="E149" t="s">
        <v>16439</v>
      </c>
      <c r="F149" t="s">
        <v>28198</v>
      </c>
      <c r="G149" t="s">
        <v>28205</v>
      </c>
      <c r="H149" t="s">
        <v>28214</v>
      </c>
      <c r="I149" t="s">
        <v>3797</v>
      </c>
      <c r="J149" t="s">
        <v>28460</v>
      </c>
      <c r="K149" t="s">
        <v>36714</v>
      </c>
      <c r="M149" t="s">
        <v>37070</v>
      </c>
      <c r="N149" t="s">
        <v>40436</v>
      </c>
      <c r="O149" t="s">
        <v>40437</v>
      </c>
      <c r="P149">
        <v>0</v>
      </c>
      <c r="Q149">
        <v>0</v>
      </c>
      <c r="R149" t="s">
        <v>40438</v>
      </c>
      <c r="S149" t="s">
        <v>40582</v>
      </c>
      <c r="T149" t="s">
        <v>42110</v>
      </c>
      <c r="U149" t="s">
        <v>42758</v>
      </c>
      <c r="W149" t="s">
        <v>37042</v>
      </c>
      <c r="X149" t="s">
        <v>40440</v>
      </c>
    </row>
    <row r="150" spans="1:24">
      <c r="A150">
        <f>HYPERLINK("https://www.philgeps.gov.ph/GEPSNONPILOT/Tender/SplashBidNoticeAbstractUI.aspx?menuIndex=3&amp;refID=7045778&amp;Result=3","7045778")</f>
        <v>0</v>
      </c>
      <c r="B150" t="s">
        <v>98</v>
      </c>
      <c r="C150" t="s">
        <v>3235</v>
      </c>
      <c r="D150" t="s">
        <v>16227</v>
      </c>
      <c r="E150" t="s">
        <v>16440</v>
      </c>
      <c r="F150" t="s">
        <v>28198</v>
      </c>
      <c r="G150" t="s">
        <v>28207</v>
      </c>
      <c r="H150" t="s">
        <v>28215</v>
      </c>
      <c r="I150" t="s">
        <v>28248</v>
      </c>
      <c r="J150" t="s">
        <v>28461</v>
      </c>
      <c r="K150" t="s">
        <v>36688</v>
      </c>
      <c r="M150" t="s">
        <v>37071</v>
      </c>
      <c r="N150" t="s">
        <v>40436</v>
      </c>
      <c r="O150" t="s">
        <v>40437</v>
      </c>
      <c r="P150">
        <v>0</v>
      </c>
      <c r="Q150">
        <v>7</v>
      </c>
      <c r="R150" t="s">
        <v>40438</v>
      </c>
      <c r="S150" t="s">
        <v>40582</v>
      </c>
      <c r="T150" t="s">
        <v>42146</v>
      </c>
      <c r="U150" t="s">
        <v>42759</v>
      </c>
      <c r="W150" t="s">
        <v>37071</v>
      </c>
      <c r="X150" t="s">
        <v>40440</v>
      </c>
    </row>
    <row r="151" spans="1:24">
      <c r="A151">
        <f>HYPERLINK("https://www.philgeps.gov.ph/GEPSNONPILOT/Tender/SplashBidNoticeAbstractUI.aspx?menuIndex=3&amp;refID=7046032&amp;Result=3","7046032")</f>
        <v>0</v>
      </c>
      <c r="B151" t="s">
        <v>83</v>
      </c>
      <c r="C151" t="s">
        <v>3236</v>
      </c>
      <c r="D151" t="s">
        <v>16220</v>
      </c>
      <c r="E151" t="s">
        <v>16441</v>
      </c>
      <c r="F151" t="s">
        <v>28198</v>
      </c>
      <c r="G151" t="s">
        <v>28205</v>
      </c>
      <c r="H151" t="s">
        <v>28215</v>
      </c>
      <c r="I151" t="s">
        <v>28238</v>
      </c>
      <c r="J151" t="s">
        <v>28378</v>
      </c>
      <c r="K151" t="s">
        <v>36701</v>
      </c>
      <c r="M151" t="s">
        <v>37055</v>
      </c>
      <c r="N151" t="s">
        <v>40436</v>
      </c>
      <c r="O151" t="s">
        <v>40437</v>
      </c>
      <c r="P151">
        <v>0</v>
      </c>
      <c r="Q151">
        <v>1</v>
      </c>
      <c r="R151" t="s">
        <v>40438</v>
      </c>
      <c r="S151" t="s">
        <v>40582</v>
      </c>
      <c r="T151" t="s">
        <v>42125</v>
      </c>
      <c r="U151" t="s">
        <v>42760</v>
      </c>
      <c r="V151" t="s">
        <v>53792</v>
      </c>
      <c r="W151" t="s">
        <v>37055</v>
      </c>
      <c r="X151" t="s">
        <v>40440</v>
      </c>
    </row>
    <row r="152" spans="1:24">
      <c r="A152">
        <f>HYPERLINK("https://www.philgeps.gov.ph/GEPSNONPILOT/Tender/SplashBidNoticeAbstractUI.aspx?menuIndex=3&amp;refID=7046191&amp;Result=3","7046191")</f>
        <v>0</v>
      </c>
      <c r="B152" t="s">
        <v>96</v>
      </c>
      <c r="C152" t="s">
        <v>3237</v>
      </c>
      <c r="D152" t="s">
        <v>16225</v>
      </c>
      <c r="E152" t="s">
        <v>16442</v>
      </c>
      <c r="F152" t="s">
        <v>28198</v>
      </c>
      <c r="G152" t="s">
        <v>28205</v>
      </c>
      <c r="H152" t="s">
        <v>28215</v>
      </c>
      <c r="I152" t="s">
        <v>5100</v>
      </c>
      <c r="J152" t="s">
        <v>28462</v>
      </c>
      <c r="K152" t="s">
        <v>36694</v>
      </c>
      <c r="M152" t="s">
        <v>37068</v>
      </c>
      <c r="N152" t="s">
        <v>40436</v>
      </c>
      <c r="O152" t="s">
        <v>40437</v>
      </c>
      <c r="P152">
        <v>0</v>
      </c>
      <c r="Q152">
        <v>0</v>
      </c>
      <c r="R152" t="s">
        <v>40438</v>
      </c>
      <c r="S152" t="s">
        <v>40582</v>
      </c>
      <c r="T152" t="s">
        <v>42144</v>
      </c>
      <c r="U152" t="s">
        <v>42761</v>
      </c>
      <c r="W152" t="s">
        <v>37068</v>
      </c>
      <c r="X152" t="s">
        <v>40440</v>
      </c>
    </row>
    <row r="153" spans="1:24">
      <c r="A153">
        <f>HYPERLINK("https://www.philgeps.gov.ph/GEPSNONPILOT/Tender/SplashBidNoticeAbstractUI.aspx?menuIndex=3&amp;refID=7046186&amp;Result=3","7046186")</f>
        <v>0</v>
      </c>
      <c r="B153" t="s">
        <v>95</v>
      </c>
      <c r="C153" t="s">
        <v>3238</v>
      </c>
      <c r="D153" t="s">
        <v>16203</v>
      </c>
      <c r="E153" t="s">
        <v>16443</v>
      </c>
      <c r="F153" t="s">
        <v>28198</v>
      </c>
      <c r="G153" t="s">
        <v>28205</v>
      </c>
      <c r="H153" t="s">
        <v>28215</v>
      </c>
      <c r="I153" t="s">
        <v>8888</v>
      </c>
      <c r="J153" t="s">
        <v>28463</v>
      </c>
      <c r="K153" t="s">
        <v>36708</v>
      </c>
      <c r="M153" t="s">
        <v>37067</v>
      </c>
      <c r="N153" t="s">
        <v>40436</v>
      </c>
      <c r="O153" t="s">
        <v>40437</v>
      </c>
      <c r="P153">
        <v>0</v>
      </c>
      <c r="Q153">
        <v>1</v>
      </c>
      <c r="R153" t="s">
        <v>40438</v>
      </c>
      <c r="S153" t="s">
        <v>40582</v>
      </c>
      <c r="T153" t="s">
        <v>42143</v>
      </c>
      <c r="U153" t="s">
        <v>42750</v>
      </c>
      <c r="W153" t="s">
        <v>37067</v>
      </c>
      <c r="X153" t="s">
        <v>40440</v>
      </c>
    </row>
    <row r="154" spans="1:24">
      <c r="A154">
        <f>HYPERLINK("https://www.philgeps.gov.ph/GEPSNONPILOT/Tender/SplashBidNoticeAbstractUI.aspx?menuIndex=3&amp;refID=7046017&amp;Result=3","7046017")</f>
        <v>0</v>
      </c>
      <c r="B154" t="s">
        <v>67</v>
      </c>
      <c r="C154" t="s">
        <v>3239</v>
      </c>
      <c r="D154" t="s">
        <v>16192</v>
      </c>
      <c r="E154" t="s">
        <v>16444</v>
      </c>
      <c r="F154" t="s">
        <v>28198</v>
      </c>
      <c r="G154" t="s">
        <v>28209</v>
      </c>
      <c r="H154" t="s">
        <v>28214</v>
      </c>
      <c r="I154" t="s">
        <v>3797</v>
      </c>
      <c r="J154" t="s">
        <v>28458</v>
      </c>
      <c r="K154" t="s">
        <v>36713</v>
      </c>
      <c r="M154" t="s">
        <v>37039</v>
      </c>
      <c r="N154" t="s">
        <v>40436</v>
      </c>
      <c r="O154" t="s">
        <v>40437</v>
      </c>
      <c r="P154">
        <v>0</v>
      </c>
      <c r="Q154">
        <v>2</v>
      </c>
      <c r="R154" t="s">
        <v>40438</v>
      </c>
      <c r="S154" t="s">
        <v>40582</v>
      </c>
      <c r="T154" t="s">
        <v>42144</v>
      </c>
      <c r="U154" t="s">
        <v>42762</v>
      </c>
      <c r="V154" t="s">
        <v>53796</v>
      </c>
      <c r="W154" t="s">
        <v>37039</v>
      </c>
      <c r="X154" t="s">
        <v>40440</v>
      </c>
    </row>
    <row r="155" spans="1:24">
      <c r="A155">
        <f>HYPERLINK("https://www.philgeps.gov.ph/GEPSNONPILOT/Tender/SplashBidNoticeAbstractUI.aspx?menuIndex=3&amp;refID=7046181&amp;Result=3","7046181")</f>
        <v>0</v>
      </c>
      <c r="B155" t="s">
        <v>70</v>
      </c>
      <c r="C155" t="s">
        <v>3240</v>
      </c>
      <c r="D155" t="s">
        <v>16214</v>
      </c>
      <c r="E155" t="s">
        <v>16445</v>
      </c>
      <c r="F155" t="s">
        <v>28198</v>
      </c>
      <c r="G155" t="s">
        <v>28205</v>
      </c>
      <c r="H155" t="s">
        <v>28214</v>
      </c>
      <c r="I155" t="s">
        <v>3797</v>
      </c>
      <c r="J155" t="s">
        <v>28459</v>
      </c>
      <c r="K155" t="s">
        <v>36692</v>
      </c>
      <c r="M155" t="s">
        <v>37070</v>
      </c>
      <c r="N155" t="s">
        <v>40436</v>
      </c>
      <c r="O155" t="s">
        <v>40437</v>
      </c>
      <c r="P155">
        <v>0</v>
      </c>
      <c r="Q155">
        <v>0</v>
      </c>
      <c r="R155" t="s">
        <v>40438</v>
      </c>
      <c r="S155" t="s">
        <v>40582</v>
      </c>
      <c r="T155" t="s">
        <v>42110</v>
      </c>
      <c r="U155" t="s">
        <v>42757</v>
      </c>
      <c r="W155" t="s">
        <v>37042</v>
      </c>
      <c r="X155" t="s">
        <v>40440</v>
      </c>
    </row>
    <row r="156" spans="1:24">
      <c r="A156">
        <f>HYPERLINK("https://www.philgeps.gov.ph/GEPSNONPILOT/Tender/SplashBidNoticeAbstractUI.aspx?menuIndex=3&amp;refID=7045949&amp;Result=3","7045949")</f>
        <v>0</v>
      </c>
      <c r="B156" t="s">
        <v>88</v>
      </c>
      <c r="C156" t="s">
        <v>3241</v>
      </c>
      <c r="E156" t="s">
        <v>16446</v>
      </c>
      <c r="F156" t="s">
        <v>28198</v>
      </c>
      <c r="G156" t="s">
        <v>28205</v>
      </c>
      <c r="H156" t="s">
        <v>28215</v>
      </c>
      <c r="I156" t="s">
        <v>6051</v>
      </c>
      <c r="J156" t="s">
        <v>28445</v>
      </c>
      <c r="K156" t="s">
        <v>36689</v>
      </c>
      <c r="M156" t="s">
        <v>37060</v>
      </c>
      <c r="N156" t="s">
        <v>40436</v>
      </c>
      <c r="O156" t="s">
        <v>40437</v>
      </c>
      <c r="P156">
        <v>0</v>
      </c>
      <c r="Q156">
        <v>2</v>
      </c>
      <c r="R156" t="s">
        <v>40438</v>
      </c>
      <c r="S156" t="s">
        <v>40582</v>
      </c>
      <c r="T156" t="s">
        <v>42106</v>
      </c>
      <c r="U156" t="s">
        <v>42743</v>
      </c>
      <c r="W156" t="s">
        <v>55430</v>
      </c>
      <c r="X156" t="s">
        <v>40440</v>
      </c>
    </row>
    <row r="157" spans="1:24">
      <c r="A157">
        <f>HYPERLINK("https://www.philgeps.gov.ph/GEPSNONPILOT/Tender/SplashBidNoticeAbstractUI.aspx?menuIndex=3&amp;refID=7046223&amp;Result=3","7046223")</f>
        <v>0</v>
      </c>
      <c r="B157" t="s">
        <v>95</v>
      </c>
      <c r="C157" t="s">
        <v>3242</v>
      </c>
      <c r="D157" t="s">
        <v>16203</v>
      </c>
      <c r="E157" t="s">
        <v>16447</v>
      </c>
      <c r="F157" t="s">
        <v>28198</v>
      </c>
      <c r="G157" t="s">
        <v>28205</v>
      </c>
      <c r="H157" t="s">
        <v>28215</v>
      </c>
      <c r="I157" t="s">
        <v>28222</v>
      </c>
      <c r="J157" t="s">
        <v>28464</v>
      </c>
      <c r="K157" t="s">
        <v>36715</v>
      </c>
      <c r="M157" t="s">
        <v>37067</v>
      </c>
      <c r="N157" t="s">
        <v>40436</v>
      </c>
      <c r="O157" t="s">
        <v>40437</v>
      </c>
      <c r="P157">
        <v>0</v>
      </c>
      <c r="Q157">
        <v>4</v>
      </c>
      <c r="R157" t="s">
        <v>40438</v>
      </c>
      <c r="S157" t="s">
        <v>40582</v>
      </c>
      <c r="T157" t="s">
        <v>42143</v>
      </c>
      <c r="U157" t="s">
        <v>42750</v>
      </c>
      <c r="W157" t="s">
        <v>37067</v>
      </c>
      <c r="X157" t="s">
        <v>40440</v>
      </c>
    </row>
    <row r="158" spans="1:24">
      <c r="A158">
        <f>HYPERLINK("https://www.philgeps.gov.ph/GEPSNONPILOT/Tender/SplashBidNoticeAbstractUI.aspx?menuIndex=3&amp;refID=7046011&amp;Result=3","7046011")</f>
        <v>0</v>
      </c>
      <c r="B158" t="s">
        <v>99</v>
      </c>
      <c r="C158" t="s">
        <v>3243</v>
      </c>
      <c r="D158" t="s">
        <v>16211</v>
      </c>
      <c r="E158" t="s">
        <v>16448</v>
      </c>
      <c r="F158" t="s">
        <v>28198</v>
      </c>
      <c r="G158" t="s">
        <v>28205</v>
      </c>
      <c r="H158" t="s">
        <v>28214</v>
      </c>
      <c r="I158" t="s">
        <v>3797</v>
      </c>
      <c r="J158" t="s">
        <v>28398</v>
      </c>
      <c r="K158" t="s">
        <v>36694</v>
      </c>
      <c r="M158" t="s">
        <v>37072</v>
      </c>
      <c r="N158" t="s">
        <v>40436</v>
      </c>
      <c r="O158" t="s">
        <v>40437</v>
      </c>
      <c r="P158">
        <v>0</v>
      </c>
      <c r="Q158">
        <v>0</v>
      </c>
      <c r="R158" t="s">
        <v>40438</v>
      </c>
      <c r="S158" t="s">
        <v>40582</v>
      </c>
      <c r="T158" t="s">
        <v>42147</v>
      </c>
      <c r="U158" t="s">
        <v>42763</v>
      </c>
      <c r="W158" t="s">
        <v>37072</v>
      </c>
      <c r="X158" t="s">
        <v>40440</v>
      </c>
    </row>
    <row r="159" spans="1:24">
      <c r="A159">
        <f>HYPERLINK("https://www.philgeps.gov.ph/GEPSNONPILOT/Tender/SplashBidNoticeAbstractUI.aspx?menuIndex=3&amp;refID=7046227&amp;Result=3","7046227")</f>
        <v>0</v>
      </c>
      <c r="B159" t="s">
        <v>70</v>
      </c>
      <c r="C159" t="s">
        <v>3244</v>
      </c>
      <c r="D159" t="s">
        <v>16214</v>
      </c>
      <c r="E159" t="s">
        <v>16449</v>
      </c>
      <c r="F159" t="s">
        <v>28198</v>
      </c>
      <c r="G159" t="s">
        <v>28205</v>
      </c>
      <c r="H159" t="s">
        <v>28214</v>
      </c>
      <c r="I159" t="s">
        <v>3797</v>
      </c>
      <c r="J159" t="s">
        <v>28465</v>
      </c>
      <c r="K159" t="s">
        <v>36714</v>
      </c>
      <c r="M159" t="s">
        <v>37070</v>
      </c>
      <c r="N159" t="s">
        <v>40436</v>
      </c>
      <c r="O159" t="s">
        <v>40437</v>
      </c>
      <c r="P159">
        <v>0</v>
      </c>
      <c r="Q159">
        <v>0</v>
      </c>
      <c r="R159" t="s">
        <v>40438</v>
      </c>
      <c r="S159" t="s">
        <v>40582</v>
      </c>
      <c r="T159" t="s">
        <v>42110</v>
      </c>
      <c r="U159" t="s">
        <v>42758</v>
      </c>
      <c r="W159" t="s">
        <v>37042</v>
      </c>
      <c r="X159" t="s">
        <v>40440</v>
      </c>
    </row>
    <row r="160" spans="1:24">
      <c r="A160">
        <f>HYPERLINK("https://www.philgeps.gov.ph/GEPSNONPILOT/Tender/SplashBidNoticeAbstractUI.aspx?menuIndex=3&amp;refID=7045952&amp;Result=3","7045952")</f>
        <v>0</v>
      </c>
      <c r="B160" t="s">
        <v>96</v>
      </c>
      <c r="C160" t="s">
        <v>3245</v>
      </c>
      <c r="D160" t="s">
        <v>16225</v>
      </c>
      <c r="E160" t="s">
        <v>16450</v>
      </c>
      <c r="F160" t="s">
        <v>28198</v>
      </c>
      <c r="G160" t="s">
        <v>28205</v>
      </c>
      <c r="H160" t="s">
        <v>28215</v>
      </c>
      <c r="I160" t="s">
        <v>5100</v>
      </c>
      <c r="J160" t="s">
        <v>28466</v>
      </c>
      <c r="K160" t="s">
        <v>36694</v>
      </c>
      <c r="M160" t="s">
        <v>37068</v>
      </c>
      <c r="N160" t="s">
        <v>40436</v>
      </c>
      <c r="O160" t="s">
        <v>40437</v>
      </c>
      <c r="P160">
        <v>0</v>
      </c>
      <c r="Q160">
        <v>0</v>
      </c>
      <c r="R160" t="s">
        <v>40438</v>
      </c>
      <c r="S160" t="s">
        <v>40582</v>
      </c>
      <c r="T160" t="s">
        <v>42144</v>
      </c>
      <c r="U160" t="s">
        <v>42764</v>
      </c>
      <c r="W160" t="s">
        <v>37068</v>
      </c>
      <c r="X160" t="s">
        <v>40440</v>
      </c>
    </row>
    <row r="161" spans="1:24">
      <c r="A161">
        <f>HYPERLINK("https://www.philgeps.gov.ph/GEPSNONPILOT/Tender/SplashBidNoticeAbstractUI.aspx?menuIndex=3&amp;refID=7046001&amp;Result=3","7046001")</f>
        <v>0</v>
      </c>
      <c r="B161" t="s">
        <v>70</v>
      </c>
      <c r="C161" t="s">
        <v>3246</v>
      </c>
      <c r="D161" t="s">
        <v>16214</v>
      </c>
      <c r="E161" t="s">
        <v>16451</v>
      </c>
      <c r="F161" t="s">
        <v>28198</v>
      </c>
      <c r="G161" t="s">
        <v>28205</v>
      </c>
      <c r="H161" t="s">
        <v>28214</v>
      </c>
      <c r="I161" t="s">
        <v>3797</v>
      </c>
      <c r="J161" t="s">
        <v>28467</v>
      </c>
      <c r="K161" t="s">
        <v>36690</v>
      </c>
      <c r="M161" t="s">
        <v>37070</v>
      </c>
      <c r="N161" t="s">
        <v>40436</v>
      </c>
      <c r="O161" t="s">
        <v>40437</v>
      </c>
      <c r="P161">
        <v>0</v>
      </c>
      <c r="Q161">
        <v>0</v>
      </c>
      <c r="R161" t="s">
        <v>40438</v>
      </c>
      <c r="S161" t="s">
        <v>40582</v>
      </c>
      <c r="T161" t="s">
        <v>42110</v>
      </c>
      <c r="U161" t="s">
        <v>42758</v>
      </c>
      <c r="W161" t="s">
        <v>37042</v>
      </c>
      <c r="X161" t="s">
        <v>40440</v>
      </c>
    </row>
    <row r="162" spans="1:24">
      <c r="A162">
        <f>HYPERLINK("https://www.philgeps.gov.ph/GEPSNONPILOT/Tender/SplashBidNoticeAbstractUI.aspx?menuIndex=3&amp;refID=7046260&amp;Result=3","7046260")</f>
        <v>0</v>
      </c>
      <c r="B162" t="s">
        <v>95</v>
      </c>
      <c r="C162" t="s">
        <v>3247</v>
      </c>
      <c r="D162" t="s">
        <v>16203</v>
      </c>
      <c r="E162" t="s">
        <v>16452</v>
      </c>
      <c r="F162" t="s">
        <v>28198</v>
      </c>
      <c r="G162" t="s">
        <v>28205</v>
      </c>
      <c r="H162" t="s">
        <v>28215</v>
      </c>
      <c r="I162" t="s">
        <v>28222</v>
      </c>
      <c r="J162" t="s">
        <v>28468</v>
      </c>
      <c r="K162" t="s">
        <v>36694</v>
      </c>
      <c r="M162" t="s">
        <v>37067</v>
      </c>
      <c r="N162" t="s">
        <v>40436</v>
      </c>
      <c r="O162" t="s">
        <v>40437</v>
      </c>
      <c r="P162">
        <v>0</v>
      </c>
      <c r="Q162">
        <v>6</v>
      </c>
      <c r="R162" t="s">
        <v>40438</v>
      </c>
      <c r="S162" t="s">
        <v>40582</v>
      </c>
      <c r="T162" t="s">
        <v>42143</v>
      </c>
      <c r="U162" t="s">
        <v>42750</v>
      </c>
      <c r="W162" t="s">
        <v>37067</v>
      </c>
      <c r="X162" t="s">
        <v>40440</v>
      </c>
    </row>
    <row r="163" spans="1:24">
      <c r="A163">
        <f>HYPERLINK("https://www.philgeps.gov.ph/GEPSNONPILOT/Tender/SplashBidNoticeAbstractUI.aspx?menuIndex=3&amp;refID=7046236&amp;Result=3","7046236")</f>
        <v>0</v>
      </c>
      <c r="B163" t="s">
        <v>83</v>
      </c>
      <c r="C163" t="s">
        <v>3248</v>
      </c>
      <c r="D163" t="s">
        <v>16220</v>
      </c>
      <c r="E163" t="s">
        <v>16453</v>
      </c>
      <c r="F163" t="s">
        <v>28198</v>
      </c>
      <c r="G163" t="s">
        <v>28209</v>
      </c>
      <c r="H163" t="s">
        <v>28215</v>
      </c>
      <c r="I163" t="s">
        <v>4168</v>
      </c>
      <c r="J163" t="s">
        <v>28398</v>
      </c>
      <c r="K163" t="s">
        <v>36701</v>
      </c>
      <c r="M163" t="s">
        <v>37055</v>
      </c>
      <c r="N163" t="s">
        <v>40436</v>
      </c>
      <c r="O163" t="s">
        <v>40437</v>
      </c>
      <c r="P163">
        <v>0</v>
      </c>
      <c r="Q163">
        <v>0</v>
      </c>
      <c r="R163" t="s">
        <v>40438</v>
      </c>
      <c r="S163" t="s">
        <v>40582</v>
      </c>
      <c r="T163" t="s">
        <v>42125</v>
      </c>
      <c r="U163" t="s">
        <v>42765</v>
      </c>
      <c r="V163" t="s">
        <v>53797</v>
      </c>
      <c r="W163" t="s">
        <v>37055</v>
      </c>
      <c r="X163" t="s">
        <v>40440</v>
      </c>
    </row>
    <row r="164" spans="1:24">
      <c r="A164">
        <f>HYPERLINK("https://www.philgeps.gov.ph/GEPSNONPILOT/Tender/SplashBidNoticeAbstractUI.aspx?menuIndex=3&amp;refID=7046271&amp;Result=3","7046271")</f>
        <v>0</v>
      </c>
      <c r="B164" t="s">
        <v>86</v>
      </c>
      <c r="C164" t="s">
        <v>3249</v>
      </c>
      <c r="D164" t="s">
        <v>16197</v>
      </c>
      <c r="E164" t="s">
        <v>16454</v>
      </c>
      <c r="F164" t="s">
        <v>28198</v>
      </c>
      <c r="G164" t="s">
        <v>28205</v>
      </c>
      <c r="H164" t="s">
        <v>28214</v>
      </c>
      <c r="I164" t="s">
        <v>3797</v>
      </c>
      <c r="J164" t="s">
        <v>28434</v>
      </c>
      <c r="K164" t="s">
        <v>36697</v>
      </c>
      <c r="M164" t="s">
        <v>37058</v>
      </c>
      <c r="N164" t="s">
        <v>40436</v>
      </c>
      <c r="O164" t="s">
        <v>40437</v>
      </c>
      <c r="P164">
        <v>0</v>
      </c>
      <c r="Q164">
        <v>0</v>
      </c>
      <c r="R164" t="s">
        <v>40438</v>
      </c>
      <c r="S164" t="s">
        <v>40582</v>
      </c>
      <c r="T164" t="s">
        <v>42101</v>
      </c>
      <c r="U164" t="s">
        <v>42766</v>
      </c>
      <c r="V164" t="s">
        <v>53793</v>
      </c>
      <c r="W164" t="s">
        <v>37058</v>
      </c>
      <c r="X164" t="s">
        <v>40440</v>
      </c>
    </row>
    <row r="165" spans="1:24">
      <c r="A165">
        <f>HYPERLINK("https://www.philgeps.gov.ph/GEPSNONPILOT/Tender/SplashBidNoticeAbstractUI.aspx?menuIndex=3&amp;refID=7046342&amp;Result=3","7046342")</f>
        <v>0</v>
      </c>
      <c r="B165" t="s">
        <v>100</v>
      </c>
      <c r="C165" t="s">
        <v>3250</v>
      </c>
      <c r="D165" t="s">
        <v>16228</v>
      </c>
      <c r="E165" t="s">
        <v>16455</v>
      </c>
      <c r="F165" t="s">
        <v>28198</v>
      </c>
      <c r="G165" t="s">
        <v>28205</v>
      </c>
      <c r="H165" t="s">
        <v>28215</v>
      </c>
      <c r="I165" t="s">
        <v>3774</v>
      </c>
      <c r="J165" t="s">
        <v>28469</v>
      </c>
      <c r="K165" t="s">
        <v>36701</v>
      </c>
      <c r="M165" t="s">
        <v>37073</v>
      </c>
      <c r="N165" t="s">
        <v>40436</v>
      </c>
      <c r="O165" t="s">
        <v>40437</v>
      </c>
      <c r="P165">
        <v>0</v>
      </c>
      <c r="Q165">
        <v>0</v>
      </c>
      <c r="R165" t="s">
        <v>40438</v>
      </c>
      <c r="S165" t="s">
        <v>40582</v>
      </c>
      <c r="T165" t="s">
        <v>42100</v>
      </c>
      <c r="U165" t="s">
        <v>42767</v>
      </c>
      <c r="V165" t="s">
        <v>53798</v>
      </c>
      <c r="W165" t="s">
        <v>37073</v>
      </c>
      <c r="X165" t="s">
        <v>40440</v>
      </c>
    </row>
    <row r="166" spans="1:24">
      <c r="A166">
        <f>HYPERLINK("https://www.philgeps.gov.ph/GEPSNONPILOT/Tender/SplashBidNoticeAbstractUI.aspx?menuIndex=3&amp;refID=7046252&amp;Result=3","7046252")</f>
        <v>0</v>
      </c>
      <c r="B166" t="s">
        <v>70</v>
      </c>
      <c r="C166" t="s">
        <v>3251</v>
      </c>
      <c r="D166" t="s">
        <v>16214</v>
      </c>
      <c r="E166" t="s">
        <v>16456</v>
      </c>
      <c r="F166" t="s">
        <v>28198</v>
      </c>
      <c r="G166" t="s">
        <v>28205</v>
      </c>
      <c r="H166" t="s">
        <v>28214</v>
      </c>
      <c r="I166" t="s">
        <v>3797</v>
      </c>
      <c r="J166" t="s">
        <v>28470</v>
      </c>
      <c r="K166" t="s">
        <v>36692</v>
      </c>
      <c r="M166" t="s">
        <v>37070</v>
      </c>
      <c r="N166" t="s">
        <v>40436</v>
      </c>
      <c r="O166" t="s">
        <v>40437</v>
      </c>
      <c r="P166">
        <v>0</v>
      </c>
      <c r="Q166">
        <v>0</v>
      </c>
      <c r="R166" t="s">
        <v>40438</v>
      </c>
      <c r="S166" t="s">
        <v>40582</v>
      </c>
      <c r="T166" t="s">
        <v>42110</v>
      </c>
      <c r="U166" t="s">
        <v>42757</v>
      </c>
      <c r="W166" t="s">
        <v>37042</v>
      </c>
      <c r="X166" t="s">
        <v>40440</v>
      </c>
    </row>
    <row r="167" spans="1:24">
      <c r="A167">
        <f>HYPERLINK("https://www.philgeps.gov.ph/GEPSNONPILOT/Tender/SplashBidNoticeAbstractUI.aspx?menuIndex=3&amp;refID=7046355&amp;Result=3","7046355")</f>
        <v>0</v>
      </c>
      <c r="B167" t="s">
        <v>95</v>
      </c>
      <c r="C167" t="s">
        <v>3252</v>
      </c>
      <c r="D167" t="s">
        <v>16203</v>
      </c>
      <c r="E167" t="s">
        <v>16457</v>
      </c>
      <c r="F167" t="s">
        <v>28198</v>
      </c>
      <c r="G167" t="s">
        <v>28205</v>
      </c>
      <c r="H167" t="s">
        <v>28214</v>
      </c>
      <c r="I167" t="s">
        <v>3797</v>
      </c>
      <c r="J167" t="s">
        <v>28471</v>
      </c>
      <c r="K167" t="s">
        <v>36716</v>
      </c>
      <c r="M167" t="s">
        <v>37074</v>
      </c>
      <c r="N167" t="s">
        <v>40436</v>
      </c>
      <c r="O167" t="s">
        <v>40437</v>
      </c>
      <c r="P167">
        <v>0</v>
      </c>
      <c r="Q167">
        <v>0</v>
      </c>
      <c r="R167" t="s">
        <v>40438</v>
      </c>
      <c r="S167" t="s">
        <v>40582</v>
      </c>
      <c r="T167" t="s">
        <v>42143</v>
      </c>
      <c r="U167" t="s">
        <v>42768</v>
      </c>
      <c r="W167" t="s">
        <v>37074</v>
      </c>
      <c r="X167" t="s">
        <v>40440</v>
      </c>
    </row>
    <row r="168" spans="1:24">
      <c r="A168">
        <f>HYPERLINK("https://www.philgeps.gov.ph/GEPSNONPILOT/Tender/SplashBidNoticeAbstractUI.aspx?menuIndex=3&amp;refID=7046297&amp;Result=3","7046297")</f>
        <v>0</v>
      </c>
      <c r="B168" t="s">
        <v>100</v>
      </c>
      <c r="C168" t="s">
        <v>3253</v>
      </c>
      <c r="D168" t="s">
        <v>16228</v>
      </c>
      <c r="E168" t="s">
        <v>16458</v>
      </c>
      <c r="F168" t="s">
        <v>28198</v>
      </c>
      <c r="G168" t="s">
        <v>28205</v>
      </c>
      <c r="H168" t="s">
        <v>28215</v>
      </c>
      <c r="I168" t="s">
        <v>28249</v>
      </c>
      <c r="J168" t="s">
        <v>28472</v>
      </c>
      <c r="K168" t="s">
        <v>36701</v>
      </c>
      <c r="M168" t="s">
        <v>37073</v>
      </c>
      <c r="N168" t="s">
        <v>40436</v>
      </c>
      <c r="O168" t="s">
        <v>40437</v>
      </c>
      <c r="P168">
        <v>0</v>
      </c>
      <c r="Q168">
        <v>0</v>
      </c>
      <c r="R168" t="s">
        <v>40438</v>
      </c>
      <c r="S168" t="s">
        <v>40582</v>
      </c>
      <c r="T168" t="s">
        <v>42100</v>
      </c>
      <c r="U168" t="s">
        <v>42767</v>
      </c>
      <c r="V168" t="s">
        <v>53798</v>
      </c>
      <c r="W168" t="s">
        <v>37073</v>
      </c>
      <c r="X168" t="s">
        <v>40440</v>
      </c>
    </row>
    <row r="169" spans="1:24">
      <c r="A169">
        <f>HYPERLINK("https://www.philgeps.gov.ph/GEPSNONPILOT/Tender/SplashBidNoticeAbstractUI.aspx?menuIndex=3&amp;refID=7046323&amp;Result=3","7046323")</f>
        <v>0</v>
      </c>
      <c r="B169" t="s">
        <v>70</v>
      </c>
      <c r="C169" t="s">
        <v>3254</v>
      </c>
      <c r="D169" t="s">
        <v>16214</v>
      </c>
      <c r="E169" t="s">
        <v>16459</v>
      </c>
      <c r="F169" t="s">
        <v>28198</v>
      </c>
      <c r="G169" t="s">
        <v>28205</v>
      </c>
      <c r="H169" t="s">
        <v>28214</v>
      </c>
      <c r="I169" t="s">
        <v>3797</v>
      </c>
      <c r="J169" t="s">
        <v>28351</v>
      </c>
      <c r="K169" t="s">
        <v>36692</v>
      </c>
      <c r="M169" t="s">
        <v>37042</v>
      </c>
      <c r="N169" t="s">
        <v>40436</v>
      </c>
      <c r="O169" t="s">
        <v>40437</v>
      </c>
      <c r="P169">
        <v>0</v>
      </c>
      <c r="Q169">
        <v>0</v>
      </c>
      <c r="R169" t="s">
        <v>40438</v>
      </c>
      <c r="S169" t="s">
        <v>40582</v>
      </c>
      <c r="T169" t="s">
        <v>42110</v>
      </c>
      <c r="U169" t="s">
        <v>42769</v>
      </c>
      <c r="W169" t="s">
        <v>37042</v>
      </c>
      <c r="X169" t="s">
        <v>40440</v>
      </c>
    </row>
    <row r="170" spans="1:24">
      <c r="A170">
        <f>HYPERLINK("https://www.philgeps.gov.ph/GEPSNONPILOT/Tender/SplashBidNoticeAbstractUI.aspx?menuIndex=3&amp;refID=7046422&amp;Result=3","7046422")</f>
        <v>0</v>
      </c>
      <c r="B170" t="s">
        <v>52</v>
      </c>
      <c r="C170" t="s">
        <v>3255</v>
      </c>
      <c r="D170" t="s">
        <v>16229</v>
      </c>
      <c r="E170" t="s">
        <v>16460</v>
      </c>
      <c r="F170" t="s">
        <v>28198</v>
      </c>
      <c r="G170" t="s">
        <v>28205</v>
      </c>
      <c r="H170" t="s">
        <v>28215</v>
      </c>
      <c r="I170" t="s">
        <v>28224</v>
      </c>
      <c r="J170" t="s">
        <v>28473</v>
      </c>
      <c r="K170" t="s">
        <v>36694</v>
      </c>
      <c r="M170" t="s">
        <v>37023</v>
      </c>
      <c r="N170" t="s">
        <v>40436</v>
      </c>
      <c r="O170" t="s">
        <v>40437</v>
      </c>
      <c r="P170">
        <v>0</v>
      </c>
      <c r="Q170">
        <v>0</v>
      </c>
      <c r="R170" t="s">
        <v>40438</v>
      </c>
      <c r="S170" t="s">
        <v>40582</v>
      </c>
      <c r="T170" t="s">
        <v>42108</v>
      </c>
      <c r="U170" t="s">
        <v>42770</v>
      </c>
      <c r="W170" t="s">
        <v>55427</v>
      </c>
      <c r="X170" t="s">
        <v>40440</v>
      </c>
    </row>
    <row r="171" spans="1:24">
      <c r="A171">
        <f>HYPERLINK("https://www.philgeps.gov.ph/GEPSNONPILOT/Tender/SplashBidNoticeAbstractUI.aspx?menuIndex=3&amp;refID=7046308&amp;Result=3","7046308")</f>
        <v>0</v>
      </c>
      <c r="B171" t="s">
        <v>100</v>
      </c>
      <c r="C171" t="s">
        <v>3256</v>
      </c>
      <c r="D171" t="s">
        <v>16228</v>
      </c>
      <c r="E171" t="s">
        <v>16461</v>
      </c>
      <c r="F171" t="s">
        <v>28198</v>
      </c>
      <c r="G171" t="s">
        <v>28205</v>
      </c>
      <c r="H171" t="s">
        <v>28215</v>
      </c>
      <c r="I171" t="s">
        <v>28250</v>
      </c>
      <c r="J171" t="s">
        <v>28474</v>
      </c>
      <c r="K171" t="s">
        <v>36701</v>
      </c>
      <c r="M171" t="s">
        <v>37073</v>
      </c>
      <c r="N171" t="s">
        <v>40436</v>
      </c>
      <c r="O171" t="s">
        <v>40437</v>
      </c>
      <c r="P171">
        <v>0</v>
      </c>
      <c r="Q171">
        <v>0</v>
      </c>
      <c r="R171" t="s">
        <v>40438</v>
      </c>
      <c r="S171" t="s">
        <v>40582</v>
      </c>
      <c r="T171" t="s">
        <v>42100</v>
      </c>
      <c r="U171" t="s">
        <v>42767</v>
      </c>
      <c r="V171" t="s">
        <v>53798</v>
      </c>
      <c r="W171" t="s">
        <v>37073</v>
      </c>
      <c r="X171" t="s">
        <v>40440</v>
      </c>
    </row>
    <row r="172" spans="1:24">
      <c r="A172">
        <f>HYPERLINK("https://www.philgeps.gov.ph/GEPSNONPILOT/Tender/SplashBidNoticeAbstractUI.aspx?menuIndex=3&amp;refID=7046405&amp;Result=3","7046405")</f>
        <v>0</v>
      </c>
      <c r="B172" t="s">
        <v>101</v>
      </c>
      <c r="C172" t="s">
        <v>3257</v>
      </c>
      <c r="D172" t="s">
        <v>16200</v>
      </c>
      <c r="E172" t="s">
        <v>16462</v>
      </c>
      <c r="F172" t="s">
        <v>28198</v>
      </c>
      <c r="G172" t="s">
        <v>28205</v>
      </c>
      <c r="H172" t="s">
        <v>28215</v>
      </c>
      <c r="I172" t="s">
        <v>28225</v>
      </c>
      <c r="J172" t="s">
        <v>28475</v>
      </c>
      <c r="K172" t="s">
        <v>36701</v>
      </c>
      <c r="M172" t="s">
        <v>37075</v>
      </c>
      <c r="N172" t="s">
        <v>40436</v>
      </c>
      <c r="O172" t="s">
        <v>40437</v>
      </c>
      <c r="P172">
        <v>0</v>
      </c>
      <c r="Q172">
        <v>3</v>
      </c>
      <c r="R172" t="s">
        <v>40438</v>
      </c>
      <c r="S172" t="s">
        <v>40582</v>
      </c>
      <c r="T172" t="s">
        <v>42135</v>
      </c>
      <c r="U172" t="s">
        <v>42771</v>
      </c>
      <c r="V172" t="s">
        <v>53799</v>
      </c>
      <c r="W172" t="s">
        <v>37075</v>
      </c>
      <c r="X172" t="s">
        <v>40440</v>
      </c>
    </row>
    <row r="173" spans="1:24">
      <c r="A173">
        <f>HYPERLINK("https://www.philgeps.gov.ph/GEPSNONPILOT/Tender/SplashBidNoticeAbstractUI.aspx?menuIndex=3&amp;refID=7046318&amp;Result=3","7046318")</f>
        <v>0</v>
      </c>
      <c r="B173" t="s">
        <v>100</v>
      </c>
      <c r="C173" t="s">
        <v>3258</v>
      </c>
      <c r="D173" t="s">
        <v>16228</v>
      </c>
      <c r="E173" t="s">
        <v>16463</v>
      </c>
      <c r="F173" t="s">
        <v>28198</v>
      </c>
      <c r="G173" t="s">
        <v>28205</v>
      </c>
      <c r="H173" t="s">
        <v>28215</v>
      </c>
      <c r="I173" t="s">
        <v>5071</v>
      </c>
      <c r="J173" t="s">
        <v>28476</v>
      </c>
      <c r="K173" t="s">
        <v>36701</v>
      </c>
      <c r="M173" t="s">
        <v>37073</v>
      </c>
      <c r="N173" t="s">
        <v>40436</v>
      </c>
      <c r="O173" t="s">
        <v>40437</v>
      </c>
      <c r="P173">
        <v>0</v>
      </c>
      <c r="Q173">
        <v>0</v>
      </c>
      <c r="R173" t="s">
        <v>40438</v>
      </c>
      <c r="S173" t="s">
        <v>40582</v>
      </c>
      <c r="T173" t="s">
        <v>42100</v>
      </c>
      <c r="U173" t="s">
        <v>42767</v>
      </c>
      <c r="V173" t="s">
        <v>53798</v>
      </c>
      <c r="W173" t="s">
        <v>37073</v>
      </c>
      <c r="X173" t="s">
        <v>40440</v>
      </c>
    </row>
    <row r="174" spans="1:24">
      <c r="A174">
        <f>HYPERLINK("https://www.philgeps.gov.ph/GEPSNONPILOT/Tender/SplashBidNoticeAbstractUI.aspx?menuIndex=3&amp;refID=7046302&amp;Result=3","7046302")</f>
        <v>0</v>
      </c>
      <c r="B174" t="s">
        <v>70</v>
      </c>
      <c r="C174" t="s">
        <v>3259</v>
      </c>
      <c r="D174" t="s">
        <v>16214</v>
      </c>
      <c r="E174" t="s">
        <v>16464</v>
      </c>
      <c r="F174" t="s">
        <v>28198</v>
      </c>
      <c r="G174" t="s">
        <v>28205</v>
      </c>
      <c r="H174" t="s">
        <v>28214</v>
      </c>
      <c r="I174" t="s">
        <v>3797</v>
      </c>
      <c r="J174" t="s">
        <v>28351</v>
      </c>
      <c r="K174" t="s">
        <v>36692</v>
      </c>
      <c r="M174" t="s">
        <v>37070</v>
      </c>
      <c r="N174" t="s">
        <v>40436</v>
      </c>
      <c r="O174" t="s">
        <v>40437</v>
      </c>
      <c r="P174">
        <v>0</v>
      </c>
      <c r="Q174">
        <v>0</v>
      </c>
      <c r="R174" t="s">
        <v>40438</v>
      </c>
      <c r="S174" t="s">
        <v>40582</v>
      </c>
      <c r="T174" t="s">
        <v>42110</v>
      </c>
      <c r="U174" t="s">
        <v>42769</v>
      </c>
      <c r="W174" t="s">
        <v>37042</v>
      </c>
      <c r="X174" t="s">
        <v>40440</v>
      </c>
    </row>
    <row r="175" spans="1:24">
      <c r="A175">
        <f>HYPERLINK("https://www.philgeps.gov.ph/GEPSNONPILOT/Tender/SplashBidNoticeAbstractUI.aspx?menuIndex=3&amp;refID=7046398&amp;Result=3","7046398")</f>
        <v>0</v>
      </c>
      <c r="B175" t="s">
        <v>70</v>
      </c>
      <c r="C175" t="s">
        <v>3260</v>
      </c>
      <c r="D175" t="s">
        <v>16214</v>
      </c>
      <c r="E175" t="s">
        <v>16465</v>
      </c>
      <c r="F175" t="s">
        <v>28198</v>
      </c>
      <c r="G175" t="s">
        <v>28205</v>
      </c>
      <c r="H175" t="s">
        <v>28214</v>
      </c>
      <c r="I175" t="s">
        <v>3797</v>
      </c>
      <c r="J175" t="s">
        <v>28477</v>
      </c>
      <c r="K175" t="s">
        <v>36717</v>
      </c>
      <c r="M175" t="s">
        <v>37070</v>
      </c>
      <c r="N175" t="s">
        <v>40436</v>
      </c>
      <c r="O175" t="s">
        <v>40437</v>
      </c>
      <c r="P175">
        <v>0</v>
      </c>
      <c r="Q175">
        <v>1</v>
      </c>
      <c r="R175" t="s">
        <v>40438</v>
      </c>
      <c r="S175" t="s">
        <v>40582</v>
      </c>
      <c r="T175" t="s">
        <v>42110</v>
      </c>
      <c r="U175" t="s">
        <v>42772</v>
      </c>
      <c r="W175" t="s">
        <v>37042</v>
      </c>
      <c r="X175" t="s">
        <v>40440</v>
      </c>
    </row>
    <row r="176" spans="1:24">
      <c r="A176">
        <f>HYPERLINK("https://www.philgeps.gov.ph/GEPSNONPILOT/Tender/SplashBidNoticeAbstractUI.aspx?menuIndex=3&amp;refID=7046394&amp;Result=3","7046394")</f>
        <v>0</v>
      </c>
      <c r="B176" t="s">
        <v>52</v>
      </c>
      <c r="C176" t="s">
        <v>3261</v>
      </c>
      <c r="D176" t="s">
        <v>16223</v>
      </c>
      <c r="E176" t="s">
        <v>16466</v>
      </c>
      <c r="F176" t="s">
        <v>28198</v>
      </c>
      <c r="G176" t="s">
        <v>28205</v>
      </c>
      <c r="H176" t="s">
        <v>28215</v>
      </c>
      <c r="I176" t="s">
        <v>28224</v>
      </c>
      <c r="J176" t="s">
        <v>28404</v>
      </c>
      <c r="K176" t="s">
        <v>36701</v>
      </c>
      <c r="M176" t="s">
        <v>37023</v>
      </c>
      <c r="N176" t="s">
        <v>40436</v>
      </c>
      <c r="O176" t="s">
        <v>40437</v>
      </c>
      <c r="P176">
        <v>0</v>
      </c>
      <c r="Q176">
        <v>0</v>
      </c>
      <c r="R176" t="s">
        <v>40438</v>
      </c>
      <c r="S176" t="s">
        <v>40582</v>
      </c>
      <c r="T176" t="s">
        <v>42108</v>
      </c>
      <c r="U176" t="s">
        <v>42773</v>
      </c>
      <c r="W176" t="s">
        <v>55427</v>
      </c>
      <c r="X176" t="s">
        <v>40440</v>
      </c>
    </row>
    <row r="177" spans="1:24">
      <c r="A177">
        <f>HYPERLINK("https://www.philgeps.gov.ph/GEPSNONPILOT/Tender/SplashBidNoticeAbstractUI.aspx?menuIndex=3&amp;refID=7046352&amp;Result=3","7046352")</f>
        <v>0</v>
      </c>
      <c r="B177" t="s">
        <v>100</v>
      </c>
      <c r="C177" t="s">
        <v>3262</v>
      </c>
      <c r="D177" t="s">
        <v>16228</v>
      </c>
      <c r="E177" t="s">
        <v>16467</v>
      </c>
      <c r="F177" t="s">
        <v>28198</v>
      </c>
      <c r="G177" t="s">
        <v>28205</v>
      </c>
      <c r="H177" t="s">
        <v>28215</v>
      </c>
      <c r="I177" t="s">
        <v>3774</v>
      </c>
      <c r="J177" t="s">
        <v>28478</v>
      </c>
      <c r="K177" t="s">
        <v>36701</v>
      </c>
      <c r="M177" t="s">
        <v>37073</v>
      </c>
      <c r="N177" t="s">
        <v>40436</v>
      </c>
      <c r="O177" t="s">
        <v>40437</v>
      </c>
      <c r="P177">
        <v>0</v>
      </c>
      <c r="Q177">
        <v>0</v>
      </c>
      <c r="R177" t="s">
        <v>40438</v>
      </c>
      <c r="S177" t="s">
        <v>40582</v>
      </c>
      <c r="T177" t="s">
        <v>42100</v>
      </c>
      <c r="U177" t="s">
        <v>42767</v>
      </c>
      <c r="V177" t="s">
        <v>53798</v>
      </c>
      <c r="W177" t="s">
        <v>37073</v>
      </c>
      <c r="X177" t="s">
        <v>40440</v>
      </c>
    </row>
    <row r="178" spans="1:24">
      <c r="A178">
        <f>HYPERLINK("https://www.philgeps.gov.ph/GEPSNONPILOT/Tender/SplashBidNoticeAbstractUI.aspx?menuIndex=3&amp;refID=7046364&amp;Result=3","7046364")</f>
        <v>0</v>
      </c>
      <c r="B178" t="s">
        <v>86</v>
      </c>
      <c r="C178" t="s">
        <v>3263</v>
      </c>
      <c r="D178" t="s">
        <v>16197</v>
      </c>
      <c r="E178" t="s">
        <v>16468</v>
      </c>
      <c r="F178" t="s">
        <v>28198</v>
      </c>
      <c r="G178" t="s">
        <v>28205</v>
      </c>
      <c r="H178" t="s">
        <v>28214</v>
      </c>
      <c r="I178" t="s">
        <v>3797</v>
      </c>
      <c r="J178" t="s">
        <v>28434</v>
      </c>
      <c r="K178" t="s">
        <v>36697</v>
      </c>
      <c r="M178" t="s">
        <v>37058</v>
      </c>
      <c r="N178" t="s">
        <v>40436</v>
      </c>
      <c r="O178" t="s">
        <v>40437</v>
      </c>
      <c r="P178">
        <v>0</v>
      </c>
      <c r="Q178">
        <v>0</v>
      </c>
      <c r="R178" t="s">
        <v>40438</v>
      </c>
      <c r="S178" t="s">
        <v>40582</v>
      </c>
      <c r="T178" t="s">
        <v>42101</v>
      </c>
      <c r="U178" t="s">
        <v>42774</v>
      </c>
      <c r="V178" t="s">
        <v>53793</v>
      </c>
      <c r="W178" t="s">
        <v>37058</v>
      </c>
      <c r="X178" t="s">
        <v>40440</v>
      </c>
    </row>
    <row r="179" spans="1:24">
      <c r="A179">
        <f>HYPERLINK("https://www.philgeps.gov.ph/GEPSNONPILOT/Tender/SplashBidNoticeAbstractUI.aspx?menuIndex=3&amp;refID=7046334&amp;Result=3","7046334")</f>
        <v>0</v>
      </c>
      <c r="B179" t="s">
        <v>100</v>
      </c>
      <c r="C179" t="s">
        <v>3264</v>
      </c>
      <c r="D179" t="s">
        <v>16228</v>
      </c>
      <c r="E179" t="s">
        <v>16469</v>
      </c>
      <c r="F179" t="s">
        <v>28198</v>
      </c>
      <c r="G179" t="s">
        <v>28205</v>
      </c>
      <c r="H179" t="s">
        <v>28215</v>
      </c>
      <c r="I179" t="s">
        <v>28221</v>
      </c>
      <c r="J179" t="s">
        <v>28479</v>
      </c>
      <c r="K179" t="s">
        <v>36701</v>
      </c>
      <c r="M179" t="s">
        <v>37073</v>
      </c>
      <c r="N179" t="s">
        <v>40436</v>
      </c>
      <c r="O179" t="s">
        <v>40437</v>
      </c>
      <c r="P179">
        <v>0</v>
      </c>
      <c r="Q179">
        <v>0</v>
      </c>
      <c r="R179" t="s">
        <v>40438</v>
      </c>
      <c r="S179" t="s">
        <v>40582</v>
      </c>
      <c r="T179" t="s">
        <v>42100</v>
      </c>
      <c r="U179" t="s">
        <v>42767</v>
      </c>
      <c r="V179" t="s">
        <v>53798</v>
      </c>
      <c r="W179" t="s">
        <v>37073</v>
      </c>
      <c r="X179" t="s">
        <v>40440</v>
      </c>
    </row>
    <row r="180" spans="1:24">
      <c r="A180">
        <f>HYPERLINK("https://www.philgeps.gov.ph/GEPSNONPILOT/Tender/SplashBidNoticeAbstractUI.aspx?menuIndex=3&amp;refID=7046370&amp;Result=3","7046370")</f>
        <v>0</v>
      </c>
      <c r="B180" t="s">
        <v>70</v>
      </c>
      <c r="C180" t="s">
        <v>3265</v>
      </c>
      <c r="D180" t="s">
        <v>16214</v>
      </c>
      <c r="E180" t="s">
        <v>16470</v>
      </c>
      <c r="F180" t="s">
        <v>28198</v>
      </c>
      <c r="G180" t="s">
        <v>28205</v>
      </c>
      <c r="H180" t="s">
        <v>28214</v>
      </c>
      <c r="I180" t="s">
        <v>3797</v>
      </c>
      <c r="J180" t="s">
        <v>28363</v>
      </c>
      <c r="K180" t="s">
        <v>36692</v>
      </c>
      <c r="M180" t="s">
        <v>37070</v>
      </c>
      <c r="N180" t="s">
        <v>40436</v>
      </c>
      <c r="O180" t="s">
        <v>40437</v>
      </c>
      <c r="P180">
        <v>0</v>
      </c>
      <c r="Q180">
        <v>0</v>
      </c>
      <c r="R180" t="s">
        <v>40438</v>
      </c>
      <c r="S180" t="s">
        <v>40582</v>
      </c>
      <c r="T180" t="s">
        <v>42110</v>
      </c>
      <c r="U180" t="s">
        <v>42775</v>
      </c>
      <c r="W180" t="s">
        <v>37042</v>
      </c>
      <c r="X180" t="s">
        <v>40440</v>
      </c>
    </row>
    <row r="181" spans="1:24">
      <c r="A181">
        <f>HYPERLINK("https://www.philgeps.gov.ph/GEPSNONPILOT/Tender/SplashBidNoticeAbstractUI.aspx?menuIndex=3&amp;refID=7046371&amp;Result=3","7046371")</f>
        <v>0</v>
      </c>
      <c r="B181" t="s">
        <v>100</v>
      </c>
      <c r="C181" t="s">
        <v>3266</v>
      </c>
      <c r="D181" t="s">
        <v>16228</v>
      </c>
      <c r="E181" t="s">
        <v>16471</v>
      </c>
      <c r="F181" t="s">
        <v>28198</v>
      </c>
      <c r="G181" t="s">
        <v>28205</v>
      </c>
      <c r="H181" t="s">
        <v>28215</v>
      </c>
      <c r="I181" t="s">
        <v>3774</v>
      </c>
      <c r="J181" t="s">
        <v>28480</v>
      </c>
      <c r="K181" t="s">
        <v>36701</v>
      </c>
      <c r="M181" t="s">
        <v>37073</v>
      </c>
      <c r="N181" t="s">
        <v>40436</v>
      </c>
      <c r="O181" t="s">
        <v>40437</v>
      </c>
      <c r="P181">
        <v>0</v>
      </c>
      <c r="Q181">
        <v>0</v>
      </c>
      <c r="R181" t="s">
        <v>40438</v>
      </c>
      <c r="S181" t="s">
        <v>40582</v>
      </c>
      <c r="T181" t="s">
        <v>42100</v>
      </c>
      <c r="U181" t="s">
        <v>42767</v>
      </c>
      <c r="V181" t="s">
        <v>53798</v>
      </c>
      <c r="W181" t="s">
        <v>37073</v>
      </c>
      <c r="X181" t="s">
        <v>40440</v>
      </c>
    </row>
    <row r="182" spans="1:24">
      <c r="A182">
        <f>HYPERLINK("https://www.philgeps.gov.ph/GEPSNONPILOT/Tender/SplashBidNoticeAbstractUI.aspx?menuIndex=3&amp;refID=7046444&amp;Result=3","7046444")</f>
        <v>0</v>
      </c>
      <c r="B182" t="s">
        <v>86</v>
      </c>
      <c r="C182" t="s">
        <v>3267</v>
      </c>
      <c r="D182" t="s">
        <v>16197</v>
      </c>
      <c r="E182" t="s">
        <v>16472</v>
      </c>
      <c r="F182" t="s">
        <v>28198</v>
      </c>
      <c r="G182" t="s">
        <v>28205</v>
      </c>
      <c r="H182" t="s">
        <v>28215</v>
      </c>
      <c r="I182" t="s">
        <v>3797</v>
      </c>
      <c r="J182" t="s">
        <v>28434</v>
      </c>
      <c r="K182" t="s">
        <v>36697</v>
      </c>
      <c r="M182" t="s">
        <v>37058</v>
      </c>
      <c r="N182" t="s">
        <v>40436</v>
      </c>
      <c r="O182" t="s">
        <v>40437</v>
      </c>
      <c r="P182">
        <v>0</v>
      </c>
      <c r="Q182">
        <v>0</v>
      </c>
      <c r="R182" t="s">
        <v>40438</v>
      </c>
      <c r="S182" t="s">
        <v>40582</v>
      </c>
      <c r="T182" t="s">
        <v>42101</v>
      </c>
      <c r="U182" t="s">
        <v>42776</v>
      </c>
      <c r="V182" t="s">
        <v>53793</v>
      </c>
      <c r="W182" t="s">
        <v>37058</v>
      </c>
      <c r="X182" t="s">
        <v>40440</v>
      </c>
    </row>
    <row r="183" spans="1:24">
      <c r="A183">
        <f>HYPERLINK("https://www.philgeps.gov.ph/GEPSNONPILOT/Tender/SplashBidNoticeAbstractUI.aspx?menuIndex=3&amp;refID=7046437&amp;Result=3","7046437")</f>
        <v>0</v>
      </c>
      <c r="B183" t="s">
        <v>102</v>
      </c>
      <c r="C183" t="s">
        <v>3268</v>
      </c>
      <c r="D183" t="s">
        <v>16200</v>
      </c>
      <c r="E183" t="s">
        <v>16473</v>
      </c>
      <c r="F183" t="s">
        <v>28198</v>
      </c>
      <c r="G183" t="s">
        <v>28205</v>
      </c>
      <c r="H183" t="s">
        <v>28215</v>
      </c>
      <c r="I183" t="s">
        <v>5100</v>
      </c>
      <c r="J183" t="s">
        <v>28481</v>
      </c>
      <c r="K183" t="s">
        <v>36701</v>
      </c>
      <c r="M183" t="s">
        <v>37076</v>
      </c>
      <c r="N183" t="s">
        <v>40436</v>
      </c>
      <c r="O183" t="s">
        <v>40437</v>
      </c>
      <c r="P183">
        <v>0</v>
      </c>
      <c r="Q183">
        <v>0</v>
      </c>
      <c r="R183" t="s">
        <v>40438</v>
      </c>
      <c r="S183" t="s">
        <v>40582</v>
      </c>
      <c r="T183" t="s">
        <v>42148</v>
      </c>
      <c r="U183" t="s">
        <v>42777</v>
      </c>
      <c r="W183" t="s">
        <v>37076</v>
      </c>
      <c r="X183" t="s">
        <v>40440</v>
      </c>
    </row>
    <row r="184" spans="1:24">
      <c r="A184">
        <f>HYPERLINK("https://www.philgeps.gov.ph/GEPSNONPILOT/Tender/SplashBidNoticeAbstractUI.aspx?menuIndex=3&amp;refID=7046448&amp;Result=3","7046448")</f>
        <v>0</v>
      </c>
      <c r="B184" t="s">
        <v>101</v>
      </c>
      <c r="C184" t="s">
        <v>3269</v>
      </c>
      <c r="D184" t="s">
        <v>16200</v>
      </c>
      <c r="E184" t="s">
        <v>16474</v>
      </c>
      <c r="F184" t="s">
        <v>28198</v>
      </c>
      <c r="G184" t="s">
        <v>28205</v>
      </c>
      <c r="H184" t="s">
        <v>28215</v>
      </c>
      <c r="I184" t="s">
        <v>8888</v>
      </c>
      <c r="J184" t="s">
        <v>28482</v>
      </c>
      <c r="K184" t="s">
        <v>36701</v>
      </c>
      <c r="M184" t="s">
        <v>37075</v>
      </c>
      <c r="N184" t="s">
        <v>40436</v>
      </c>
      <c r="O184" t="s">
        <v>40437</v>
      </c>
      <c r="P184">
        <v>0</v>
      </c>
      <c r="Q184">
        <v>0</v>
      </c>
      <c r="R184" t="s">
        <v>40438</v>
      </c>
      <c r="S184" t="s">
        <v>40582</v>
      </c>
      <c r="T184" t="s">
        <v>42135</v>
      </c>
      <c r="U184" t="s">
        <v>42778</v>
      </c>
      <c r="V184" t="s">
        <v>53799</v>
      </c>
      <c r="W184" t="s">
        <v>37075</v>
      </c>
      <c r="X184" t="s">
        <v>40440</v>
      </c>
    </row>
    <row r="185" spans="1:24">
      <c r="A185">
        <f>HYPERLINK("https://www.philgeps.gov.ph/GEPSNONPILOT/Tender/SplashBidNoticeAbstractUI.aspx?menuIndex=3&amp;refID=7046445&amp;Result=3","7046445")</f>
        <v>0</v>
      </c>
      <c r="B185" t="s">
        <v>103</v>
      </c>
      <c r="C185" t="s">
        <v>3270</v>
      </c>
      <c r="D185" t="s">
        <v>16230</v>
      </c>
      <c r="E185" t="s">
        <v>16475</v>
      </c>
      <c r="F185" t="s">
        <v>28198</v>
      </c>
      <c r="G185" t="s">
        <v>28206</v>
      </c>
      <c r="H185" t="s">
        <v>28215</v>
      </c>
      <c r="I185" t="s">
        <v>5082</v>
      </c>
      <c r="J185" t="s">
        <v>28483</v>
      </c>
      <c r="K185" t="s">
        <v>36706</v>
      </c>
      <c r="M185" t="s">
        <v>37077</v>
      </c>
      <c r="N185" t="s">
        <v>40436</v>
      </c>
      <c r="O185" t="s">
        <v>40437</v>
      </c>
      <c r="P185">
        <v>0</v>
      </c>
      <c r="Q185">
        <v>1</v>
      </c>
      <c r="R185" t="s">
        <v>40438</v>
      </c>
      <c r="S185" t="s">
        <v>40582</v>
      </c>
      <c r="T185" t="s">
        <v>42103</v>
      </c>
      <c r="U185" t="s">
        <v>42779</v>
      </c>
      <c r="V185" t="s">
        <v>53800</v>
      </c>
      <c r="W185" t="s">
        <v>37077</v>
      </c>
      <c r="X185" t="s">
        <v>40440</v>
      </c>
    </row>
    <row r="186" spans="1:24">
      <c r="A186">
        <f>HYPERLINK("https://www.philgeps.gov.ph/GEPSNONPILOT/Tender/SplashBidNoticeAbstractUI.aspx?menuIndex=3&amp;refID=7046572&amp;Result=3","7046572")</f>
        <v>0</v>
      </c>
      <c r="B186" t="s">
        <v>52</v>
      </c>
      <c r="C186" t="s">
        <v>3271</v>
      </c>
      <c r="D186" t="s">
        <v>16223</v>
      </c>
      <c r="E186" t="s">
        <v>16476</v>
      </c>
      <c r="F186" t="s">
        <v>28198</v>
      </c>
      <c r="G186" t="s">
        <v>28205</v>
      </c>
      <c r="H186" t="s">
        <v>28215</v>
      </c>
      <c r="I186" t="s">
        <v>6013</v>
      </c>
      <c r="J186" t="s">
        <v>28484</v>
      </c>
      <c r="K186" t="s">
        <v>36701</v>
      </c>
      <c r="M186" t="s">
        <v>37023</v>
      </c>
      <c r="N186" t="s">
        <v>40436</v>
      </c>
      <c r="O186" t="s">
        <v>40437</v>
      </c>
      <c r="P186">
        <v>0</v>
      </c>
      <c r="Q186">
        <v>0</v>
      </c>
      <c r="R186" t="s">
        <v>40438</v>
      </c>
      <c r="S186" t="s">
        <v>40582</v>
      </c>
      <c r="T186" t="s">
        <v>42108</v>
      </c>
      <c r="U186" t="s">
        <v>42780</v>
      </c>
      <c r="W186" t="s">
        <v>55427</v>
      </c>
      <c r="X186" t="s">
        <v>40440</v>
      </c>
    </row>
    <row r="187" spans="1:24">
      <c r="A187">
        <f>HYPERLINK("https://www.philgeps.gov.ph/GEPSNONPILOT/Tender/SplashBidNoticeAbstractUI.aspx?menuIndex=3&amp;refID=7046558&amp;Result=3","7046558")</f>
        <v>0</v>
      </c>
      <c r="B187" t="s">
        <v>104</v>
      </c>
      <c r="C187" t="s">
        <v>3272</v>
      </c>
      <c r="D187" t="s">
        <v>16220</v>
      </c>
      <c r="E187" t="s">
        <v>16477</v>
      </c>
      <c r="F187" t="s">
        <v>28198</v>
      </c>
      <c r="G187" t="s">
        <v>28207</v>
      </c>
      <c r="H187" t="s">
        <v>28215</v>
      </c>
      <c r="I187" t="s">
        <v>28251</v>
      </c>
      <c r="J187" t="s">
        <v>28352</v>
      </c>
      <c r="K187" t="s">
        <v>36696</v>
      </c>
      <c r="M187" t="s">
        <v>37078</v>
      </c>
      <c r="N187" t="s">
        <v>40436</v>
      </c>
      <c r="O187" t="s">
        <v>40437</v>
      </c>
      <c r="P187">
        <v>0</v>
      </c>
      <c r="Q187">
        <v>0</v>
      </c>
      <c r="R187" t="s">
        <v>40438</v>
      </c>
      <c r="S187" t="s">
        <v>40582</v>
      </c>
      <c r="T187" t="s">
        <v>42146</v>
      </c>
      <c r="U187" t="s">
        <v>42781</v>
      </c>
      <c r="W187" t="s">
        <v>37078</v>
      </c>
      <c r="X187" t="s">
        <v>40440</v>
      </c>
    </row>
    <row r="188" spans="1:24">
      <c r="A188">
        <f>HYPERLINK("https://www.philgeps.gov.ph/GEPSNONPILOT/Tender/SplashBidNoticeAbstractUI.aspx?menuIndex=3&amp;refID=7046773&amp;Result=3","7046773")</f>
        <v>0</v>
      </c>
      <c r="B188" t="s">
        <v>105</v>
      </c>
      <c r="C188" t="s">
        <v>3273</v>
      </c>
      <c r="D188" t="s">
        <v>16231</v>
      </c>
      <c r="E188" t="s">
        <v>16478</v>
      </c>
      <c r="F188" t="s">
        <v>28198</v>
      </c>
      <c r="G188" t="s">
        <v>28206</v>
      </c>
      <c r="H188" t="s">
        <v>28215</v>
      </c>
      <c r="I188" t="s">
        <v>28252</v>
      </c>
      <c r="J188" t="s">
        <v>28485</v>
      </c>
      <c r="K188" t="s">
        <v>36701</v>
      </c>
      <c r="M188" t="s">
        <v>37079</v>
      </c>
      <c r="N188" t="s">
        <v>40436</v>
      </c>
      <c r="O188" t="s">
        <v>40437</v>
      </c>
      <c r="P188">
        <v>0</v>
      </c>
      <c r="Q188">
        <v>1</v>
      </c>
      <c r="R188" t="s">
        <v>40438</v>
      </c>
      <c r="S188" t="s">
        <v>40582</v>
      </c>
      <c r="T188" t="s">
        <v>42149</v>
      </c>
      <c r="U188" t="s">
        <v>42782</v>
      </c>
      <c r="W188" t="s">
        <v>55431</v>
      </c>
      <c r="X188" t="s">
        <v>40440</v>
      </c>
    </row>
    <row r="189" spans="1:24">
      <c r="A189">
        <f>HYPERLINK("https://www.philgeps.gov.ph/GEPSNONPILOT/Tender/SplashBidNoticeAbstractUI.aspx?menuIndex=3&amp;refID=7046765&amp;Result=3","7046765")</f>
        <v>0</v>
      </c>
      <c r="B189" t="s">
        <v>105</v>
      </c>
      <c r="C189" t="s">
        <v>3274</v>
      </c>
      <c r="D189" t="s">
        <v>16231</v>
      </c>
      <c r="E189" t="s">
        <v>16479</v>
      </c>
      <c r="F189" t="s">
        <v>28198</v>
      </c>
      <c r="G189" t="s">
        <v>28206</v>
      </c>
      <c r="H189" t="s">
        <v>28215</v>
      </c>
      <c r="I189" t="s">
        <v>3774</v>
      </c>
      <c r="J189" t="s">
        <v>28486</v>
      </c>
      <c r="K189" t="s">
        <v>36701</v>
      </c>
      <c r="M189" t="s">
        <v>37079</v>
      </c>
      <c r="N189" t="s">
        <v>40436</v>
      </c>
      <c r="O189" t="s">
        <v>40437</v>
      </c>
      <c r="P189">
        <v>0</v>
      </c>
      <c r="Q189">
        <v>1</v>
      </c>
      <c r="R189" t="s">
        <v>40438</v>
      </c>
      <c r="S189" t="s">
        <v>40582</v>
      </c>
      <c r="T189" t="s">
        <v>42149</v>
      </c>
      <c r="U189" t="s">
        <v>42783</v>
      </c>
      <c r="W189" t="s">
        <v>55431</v>
      </c>
      <c r="X189" t="s">
        <v>40440</v>
      </c>
    </row>
    <row r="190" spans="1:24">
      <c r="A190">
        <f>HYPERLINK("https://www.philgeps.gov.ph/GEPSNONPILOT/Tender/SplashBidNoticeAbstractUI.aspx?menuIndex=3&amp;refID=7046780&amp;Result=3","7046780")</f>
        <v>0</v>
      </c>
      <c r="B190" t="s">
        <v>105</v>
      </c>
      <c r="C190" t="s">
        <v>3275</v>
      </c>
      <c r="D190" t="s">
        <v>16231</v>
      </c>
      <c r="E190" t="s">
        <v>16480</v>
      </c>
      <c r="F190" t="s">
        <v>28198</v>
      </c>
      <c r="G190" t="s">
        <v>28206</v>
      </c>
      <c r="H190" t="s">
        <v>28215</v>
      </c>
      <c r="I190" t="s">
        <v>28226</v>
      </c>
      <c r="J190" t="s">
        <v>28487</v>
      </c>
      <c r="K190" t="s">
        <v>36701</v>
      </c>
      <c r="M190" t="s">
        <v>37079</v>
      </c>
      <c r="N190" t="s">
        <v>40436</v>
      </c>
      <c r="O190" t="s">
        <v>40437</v>
      </c>
      <c r="P190">
        <v>0</v>
      </c>
      <c r="Q190">
        <v>2</v>
      </c>
      <c r="R190" t="s">
        <v>40438</v>
      </c>
      <c r="S190" t="s">
        <v>40582</v>
      </c>
      <c r="T190" t="s">
        <v>42149</v>
      </c>
      <c r="U190" t="s">
        <v>42782</v>
      </c>
      <c r="W190" t="s">
        <v>55431</v>
      </c>
      <c r="X190" t="s">
        <v>40440</v>
      </c>
    </row>
    <row r="191" spans="1:24">
      <c r="A191">
        <f>HYPERLINK("https://www.philgeps.gov.ph/GEPSNONPILOT/Tender/SplashBidNoticeAbstractUI.aspx?menuIndex=3&amp;refID=7046729&amp;Result=3","7046729")</f>
        <v>0</v>
      </c>
      <c r="B191" t="s">
        <v>105</v>
      </c>
      <c r="C191" t="s">
        <v>3276</v>
      </c>
      <c r="D191" t="s">
        <v>16231</v>
      </c>
      <c r="E191" t="s">
        <v>16481</v>
      </c>
      <c r="F191" t="s">
        <v>28198</v>
      </c>
      <c r="G191" t="s">
        <v>28206</v>
      </c>
      <c r="H191" t="s">
        <v>28215</v>
      </c>
      <c r="I191" t="s">
        <v>7310</v>
      </c>
      <c r="J191" t="s">
        <v>28361</v>
      </c>
      <c r="K191" t="s">
        <v>36697</v>
      </c>
      <c r="M191" t="s">
        <v>37079</v>
      </c>
      <c r="N191" t="s">
        <v>40436</v>
      </c>
      <c r="O191" t="s">
        <v>40437</v>
      </c>
      <c r="P191">
        <v>0</v>
      </c>
      <c r="Q191">
        <v>4</v>
      </c>
      <c r="R191" t="s">
        <v>40438</v>
      </c>
      <c r="S191" t="s">
        <v>40582</v>
      </c>
      <c r="T191" t="s">
        <v>42149</v>
      </c>
      <c r="U191" t="s">
        <v>42783</v>
      </c>
      <c r="W191" t="s">
        <v>55431</v>
      </c>
      <c r="X191" t="s">
        <v>40440</v>
      </c>
    </row>
    <row r="192" spans="1:24">
      <c r="A192">
        <f>HYPERLINK("https://www.philgeps.gov.ph/GEPSNONPILOT/Tender/SplashBidNoticeAbstractUI.aspx?menuIndex=3&amp;refID=7046721&amp;Result=3","7046721")</f>
        <v>0</v>
      </c>
      <c r="B192" t="s">
        <v>106</v>
      </c>
      <c r="C192" t="s">
        <v>3277</v>
      </c>
      <c r="D192" t="s">
        <v>16200</v>
      </c>
      <c r="E192" t="s">
        <v>16482</v>
      </c>
      <c r="F192" t="s">
        <v>28198</v>
      </c>
      <c r="G192" t="s">
        <v>28207</v>
      </c>
      <c r="H192" t="s">
        <v>28215</v>
      </c>
      <c r="I192" t="s">
        <v>3797</v>
      </c>
      <c r="J192" t="s">
        <v>28415</v>
      </c>
      <c r="K192" t="s">
        <v>36692</v>
      </c>
      <c r="M192" t="s">
        <v>37080</v>
      </c>
      <c r="N192" t="s">
        <v>40436</v>
      </c>
      <c r="O192" t="s">
        <v>40437</v>
      </c>
      <c r="P192">
        <v>0</v>
      </c>
      <c r="Q192">
        <v>1</v>
      </c>
      <c r="R192" t="s">
        <v>40438</v>
      </c>
      <c r="S192" t="s">
        <v>40582</v>
      </c>
      <c r="T192" t="s">
        <v>42103</v>
      </c>
      <c r="U192" t="s">
        <v>42784</v>
      </c>
      <c r="W192" t="s">
        <v>37080</v>
      </c>
      <c r="X192" t="s">
        <v>40440</v>
      </c>
    </row>
    <row r="193" spans="1:24">
      <c r="A193">
        <f>HYPERLINK("https://www.philgeps.gov.ph/GEPSNONPILOT/Tender/SplashBidNoticeAbstractUI.aspx?menuIndex=3&amp;refID=7046667&amp;Result=3","7046667")</f>
        <v>0</v>
      </c>
      <c r="B193" t="s">
        <v>107</v>
      </c>
      <c r="C193" t="s">
        <v>3278</v>
      </c>
      <c r="E193" t="s">
        <v>16483</v>
      </c>
      <c r="F193" t="s">
        <v>28198</v>
      </c>
      <c r="G193" t="s">
        <v>28205</v>
      </c>
      <c r="H193" t="s">
        <v>28215</v>
      </c>
      <c r="I193" t="s">
        <v>28246</v>
      </c>
      <c r="J193" t="s">
        <v>28379</v>
      </c>
      <c r="K193" t="s">
        <v>36707</v>
      </c>
      <c r="M193" t="s">
        <v>37081</v>
      </c>
      <c r="N193" t="s">
        <v>40436</v>
      </c>
      <c r="O193" t="s">
        <v>40437</v>
      </c>
      <c r="P193">
        <v>0</v>
      </c>
      <c r="Q193">
        <v>0</v>
      </c>
      <c r="R193" t="s">
        <v>40438</v>
      </c>
      <c r="S193" t="s">
        <v>40582</v>
      </c>
      <c r="T193" t="s">
        <v>42108</v>
      </c>
      <c r="U193" t="s">
        <v>42785</v>
      </c>
      <c r="W193" t="s">
        <v>37081</v>
      </c>
      <c r="X193" t="s">
        <v>40440</v>
      </c>
    </row>
    <row r="194" spans="1:24">
      <c r="A194">
        <f>HYPERLINK("https://www.philgeps.gov.ph/GEPSNONPILOT/Tender/SplashBidNoticeAbstractUI.aspx?menuIndex=3&amp;refID=7046791&amp;Result=3","7046791")</f>
        <v>0</v>
      </c>
      <c r="B194" t="s">
        <v>108</v>
      </c>
      <c r="C194" t="s">
        <v>3279</v>
      </c>
      <c r="D194" t="s">
        <v>16190</v>
      </c>
      <c r="E194" t="s">
        <v>16484</v>
      </c>
      <c r="F194" t="s">
        <v>28198</v>
      </c>
      <c r="G194" t="s">
        <v>28207</v>
      </c>
      <c r="H194" t="s">
        <v>28215</v>
      </c>
      <c r="I194" t="s">
        <v>5100</v>
      </c>
      <c r="J194" t="s">
        <v>28488</v>
      </c>
      <c r="K194" t="s">
        <v>36698</v>
      </c>
      <c r="M194" t="s">
        <v>37082</v>
      </c>
      <c r="N194" t="s">
        <v>40436</v>
      </c>
      <c r="O194" t="s">
        <v>40437</v>
      </c>
      <c r="P194">
        <v>0</v>
      </c>
      <c r="Q194">
        <v>0</v>
      </c>
      <c r="R194" t="s">
        <v>40438</v>
      </c>
      <c r="S194" t="s">
        <v>40582</v>
      </c>
      <c r="T194" t="s">
        <v>42119</v>
      </c>
      <c r="U194" t="s">
        <v>42786</v>
      </c>
      <c r="V194" t="s">
        <v>53801</v>
      </c>
      <c r="W194" t="s">
        <v>37082</v>
      </c>
      <c r="X194" t="s">
        <v>40440</v>
      </c>
    </row>
    <row r="195" spans="1:24">
      <c r="A195">
        <f>HYPERLINK("https://www.philgeps.gov.ph/GEPSNONPILOT/Tender/SplashBidNoticeAbstractUI.aspx?menuIndex=3&amp;refID=7046621&amp;Result=3","7046621")</f>
        <v>0</v>
      </c>
      <c r="B195" t="s">
        <v>109</v>
      </c>
      <c r="C195" t="s">
        <v>3280</v>
      </c>
      <c r="D195" t="s">
        <v>16188</v>
      </c>
      <c r="E195" t="s">
        <v>16485</v>
      </c>
      <c r="F195" t="s">
        <v>28198</v>
      </c>
      <c r="G195" t="s">
        <v>28205</v>
      </c>
      <c r="H195" t="s">
        <v>28214</v>
      </c>
      <c r="I195" t="s">
        <v>3797</v>
      </c>
      <c r="J195" t="s">
        <v>28351</v>
      </c>
      <c r="K195" t="s">
        <v>36697</v>
      </c>
      <c r="M195" t="s">
        <v>37083</v>
      </c>
      <c r="N195" t="s">
        <v>40436</v>
      </c>
      <c r="O195" t="s">
        <v>40437</v>
      </c>
      <c r="P195">
        <v>0</v>
      </c>
      <c r="Q195">
        <v>0</v>
      </c>
      <c r="R195" t="s">
        <v>40438</v>
      </c>
      <c r="S195" t="s">
        <v>40582</v>
      </c>
      <c r="T195" t="s">
        <v>42150</v>
      </c>
      <c r="U195" t="s">
        <v>42787</v>
      </c>
      <c r="V195" t="s">
        <v>53802</v>
      </c>
      <c r="W195" t="s">
        <v>37083</v>
      </c>
      <c r="X195" t="s">
        <v>40440</v>
      </c>
    </row>
    <row r="196" spans="1:24">
      <c r="A196">
        <f>HYPERLINK("https://www.philgeps.gov.ph/GEPSNONPILOT/Tender/SplashBidNoticeAbstractUI.aspx?menuIndex=3&amp;refID=7046628&amp;Result=3","7046628")</f>
        <v>0</v>
      </c>
      <c r="B196" t="s">
        <v>110</v>
      </c>
      <c r="C196" t="s">
        <v>3281</v>
      </c>
      <c r="D196" t="s">
        <v>16217</v>
      </c>
      <c r="E196" t="s">
        <v>16486</v>
      </c>
      <c r="F196" t="s">
        <v>28198</v>
      </c>
      <c r="G196" t="s">
        <v>28207</v>
      </c>
      <c r="H196" t="s">
        <v>28215</v>
      </c>
      <c r="I196" t="s">
        <v>5100</v>
      </c>
      <c r="J196" t="s">
        <v>28489</v>
      </c>
      <c r="K196" t="s">
        <v>36707</v>
      </c>
      <c r="M196" t="s">
        <v>37084</v>
      </c>
      <c r="N196" t="s">
        <v>40436</v>
      </c>
      <c r="O196" t="s">
        <v>40437</v>
      </c>
      <c r="P196">
        <v>0</v>
      </c>
      <c r="Q196">
        <v>0</v>
      </c>
      <c r="R196" t="s">
        <v>40438</v>
      </c>
      <c r="S196" t="s">
        <v>40582</v>
      </c>
      <c r="T196" t="s">
        <v>42111</v>
      </c>
      <c r="U196" t="s">
        <v>42788</v>
      </c>
      <c r="V196" t="s">
        <v>53803</v>
      </c>
      <c r="W196" t="s">
        <v>37084</v>
      </c>
      <c r="X196" t="s">
        <v>40440</v>
      </c>
    </row>
    <row r="197" spans="1:24">
      <c r="A197">
        <f>HYPERLINK("https://www.philgeps.gov.ph/GEPSNONPILOT/Tender/SplashBidNoticeAbstractUI.aspx?menuIndex=3&amp;refID=7046802&amp;Result=3","7046802")</f>
        <v>0</v>
      </c>
      <c r="B197" t="s">
        <v>105</v>
      </c>
      <c r="C197" t="s">
        <v>3282</v>
      </c>
      <c r="D197" t="s">
        <v>16231</v>
      </c>
      <c r="E197" t="s">
        <v>16487</v>
      </c>
      <c r="F197" t="s">
        <v>28198</v>
      </c>
      <c r="G197" t="s">
        <v>28206</v>
      </c>
      <c r="H197" t="s">
        <v>28215</v>
      </c>
      <c r="I197" t="s">
        <v>4321</v>
      </c>
      <c r="J197" t="s">
        <v>28490</v>
      </c>
      <c r="K197" t="s">
        <v>36715</v>
      </c>
      <c r="M197" t="s">
        <v>37079</v>
      </c>
      <c r="N197" t="s">
        <v>40436</v>
      </c>
      <c r="O197" t="s">
        <v>40437</v>
      </c>
      <c r="P197">
        <v>0</v>
      </c>
      <c r="Q197">
        <v>0</v>
      </c>
      <c r="R197" t="s">
        <v>40438</v>
      </c>
      <c r="S197" t="s">
        <v>40582</v>
      </c>
      <c r="T197" t="s">
        <v>42149</v>
      </c>
      <c r="U197" t="s">
        <v>42782</v>
      </c>
      <c r="W197" t="s">
        <v>55431</v>
      </c>
      <c r="X197" t="s">
        <v>40440</v>
      </c>
    </row>
    <row r="198" spans="1:24">
      <c r="A198">
        <f>HYPERLINK("https://www.philgeps.gov.ph/GEPSNONPILOT/Tender/SplashBidNoticeAbstractUI.aspx?menuIndex=3&amp;refID=7046592&amp;Result=3","7046592")</f>
        <v>0</v>
      </c>
      <c r="B198" t="s">
        <v>111</v>
      </c>
      <c r="C198" t="s">
        <v>3283</v>
      </c>
      <c r="D198" t="s">
        <v>16232</v>
      </c>
      <c r="E198" t="s">
        <v>16488</v>
      </c>
      <c r="F198" t="s">
        <v>28198</v>
      </c>
      <c r="G198" t="s">
        <v>28207</v>
      </c>
      <c r="H198" t="s">
        <v>28215</v>
      </c>
      <c r="I198" t="s">
        <v>6051</v>
      </c>
      <c r="J198" t="s">
        <v>28491</v>
      </c>
      <c r="K198" t="s">
        <v>36694</v>
      </c>
      <c r="M198" t="s">
        <v>37085</v>
      </c>
      <c r="N198" t="s">
        <v>40436</v>
      </c>
      <c r="O198" t="s">
        <v>40437</v>
      </c>
      <c r="P198">
        <v>0</v>
      </c>
      <c r="Q198">
        <v>3</v>
      </c>
      <c r="R198" t="s">
        <v>40438</v>
      </c>
      <c r="S198" t="s">
        <v>40582</v>
      </c>
      <c r="T198" t="s">
        <v>42111</v>
      </c>
      <c r="U198" t="s">
        <v>42789</v>
      </c>
      <c r="W198" t="s">
        <v>37085</v>
      </c>
      <c r="X198" t="s">
        <v>40440</v>
      </c>
    </row>
    <row r="199" spans="1:24">
      <c r="A199">
        <f>HYPERLINK("https://www.philgeps.gov.ph/GEPSNONPILOT/Tender/SplashBidNoticeAbstractUI.aspx?menuIndex=3&amp;refID=7046786&amp;Result=3","7046786")</f>
        <v>0</v>
      </c>
      <c r="B199" t="s">
        <v>105</v>
      </c>
      <c r="C199" t="s">
        <v>3284</v>
      </c>
      <c r="D199" t="s">
        <v>16231</v>
      </c>
      <c r="E199" t="s">
        <v>16489</v>
      </c>
      <c r="F199" t="s">
        <v>28198</v>
      </c>
      <c r="G199" t="s">
        <v>28206</v>
      </c>
      <c r="H199" t="s">
        <v>28215</v>
      </c>
      <c r="I199" t="s">
        <v>4321</v>
      </c>
      <c r="J199" t="s">
        <v>28492</v>
      </c>
      <c r="K199" t="s">
        <v>36701</v>
      </c>
      <c r="M199" t="s">
        <v>37079</v>
      </c>
      <c r="N199" t="s">
        <v>40436</v>
      </c>
      <c r="O199" t="s">
        <v>40437</v>
      </c>
      <c r="P199">
        <v>0</v>
      </c>
      <c r="Q199">
        <v>0</v>
      </c>
      <c r="R199" t="s">
        <v>40438</v>
      </c>
      <c r="S199" t="s">
        <v>40582</v>
      </c>
      <c r="T199" t="s">
        <v>42149</v>
      </c>
      <c r="U199" t="s">
        <v>42782</v>
      </c>
      <c r="W199" t="s">
        <v>55431</v>
      </c>
      <c r="X199" t="s">
        <v>40440</v>
      </c>
    </row>
    <row r="200" spans="1:24">
      <c r="A200">
        <f>HYPERLINK("https://www.philgeps.gov.ph/GEPSNONPILOT/Tender/SplashBidNoticeAbstractUI.aspx?menuIndex=3&amp;refID=7046809&amp;Result=3","7046809")</f>
        <v>0</v>
      </c>
      <c r="B200" t="s">
        <v>105</v>
      </c>
      <c r="C200" t="s">
        <v>3285</v>
      </c>
      <c r="D200" t="s">
        <v>16231</v>
      </c>
      <c r="E200" t="s">
        <v>16490</v>
      </c>
      <c r="F200" t="s">
        <v>28198</v>
      </c>
      <c r="G200" t="s">
        <v>28206</v>
      </c>
      <c r="H200" t="s">
        <v>28217</v>
      </c>
      <c r="I200" t="s">
        <v>5631</v>
      </c>
      <c r="J200" t="s">
        <v>28493</v>
      </c>
      <c r="K200" t="s">
        <v>36693</v>
      </c>
      <c r="M200" t="s">
        <v>37079</v>
      </c>
      <c r="N200" t="s">
        <v>40436</v>
      </c>
      <c r="O200" t="s">
        <v>40437</v>
      </c>
      <c r="P200">
        <v>0</v>
      </c>
      <c r="Q200">
        <v>0</v>
      </c>
      <c r="R200" t="s">
        <v>40438</v>
      </c>
      <c r="S200" t="s">
        <v>40582</v>
      </c>
      <c r="T200" t="s">
        <v>42149</v>
      </c>
      <c r="U200" t="s">
        <v>42782</v>
      </c>
      <c r="W200" t="s">
        <v>55431</v>
      </c>
      <c r="X200" t="s">
        <v>40440</v>
      </c>
    </row>
    <row r="201" spans="1:24">
      <c r="A201">
        <f>HYPERLINK("https://www.philgeps.gov.ph/GEPSNONPILOT/Tender/SplashBidNoticeAbstractUI.aspx?menuIndex=3&amp;refID=7046793&amp;Result=3","7046793")</f>
        <v>0</v>
      </c>
      <c r="B201" t="s">
        <v>105</v>
      </c>
      <c r="C201" t="s">
        <v>3286</v>
      </c>
      <c r="D201" t="s">
        <v>16231</v>
      </c>
      <c r="E201" t="s">
        <v>16491</v>
      </c>
      <c r="F201" t="s">
        <v>28198</v>
      </c>
      <c r="G201" t="s">
        <v>28206</v>
      </c>
      <c r="H201" t="s">
        <v>28215</v>
      </c>
      <c r="I201" t="s">
        <v>9499</v>
      </c>
      <c r="J201" t="s">
        <v>28494</v>
      </c>
      <c r="K201" t="s">
        <v>36701</v>
      </c>
      <c r="M201" t="s">
        <v>37079</v>
      </c>
      <c r="N201" t="s">
        <v>40436</v>
      </c>
      <c r="O201" t="s">
        <v>40437</v>
      </c>
      <c r="P201">
        <v>0</v>
      </c>
      <c r="Q201">
        <v>0</v>
      </c>
      <c r="R201" t="s">
        <v>40438</v>
      </c>
      <c r="S201" t="s">
        <v>40582</v>
      </c>
      <c r="T201" t="s">
        <v>42149</v>
      </c>
      <c r="U201" t="s">
        <v>42782</v>
      </c>
      <c r="W201" t="s">
        <v>55431</v>
      </c>
      <c r="X201" t="s">
        <v>40440</v>
      </c>
    </row>
    <row r="202" spans="1:24">
      <c r="A202">
        <f>HYPERLINK("https://www.philgeps.gov.ph/GEPSNONPILOT/Tender/SplashBidNoticeAbstractUI.aspx?menuIndex=3&amp;refID=7046551&amp;Result=3","7046551")</f>
        <v>0</v>
      </c>
      <c r="B202" t="s">
        <v>86</v>
      </c>
      <c r="C202" t="s">
        <v>3287</v>
      </c>
      <c r="D202" t="s">
        <v>16197</v>
      </c>
      <c r="E202" t="s">
        <v>16492</v>
      </c>
      <c r="F202" t="s">
        <v>28198</v>
      </c>
      <c r="G202" t="s">
        <v>28205</v>
      </c>
      <c r="H202" t="s">
        <v>28214</v>
      </c>
      <c r="I202" t="s">
        <v>3797</v>
      </c>
      <c r="J202" t="s">
        <v>28495</v>
      </c>
      <c r="K202" t="s">
        <v>36697</v>
      </c>
      <c r="M202" t="s">
        <v>37058</v>
      </c>
      <c r="N202" t="s">
        <v>40436</v>
      </c>
      <c r="O202" t="s">
        <v>40437</v>
      </c>
      <c r="P202">
        <v>0</v>
      </c>
      <c r="Q202">
        <v>0</v>
      </c>
      <c r="R202" t="s">
        <v>40438</v>
      </c>
      <c r="S202" t="s">
        <v>40582</v>
      </c>
      <c r="T202" t="s">
        <v>42101</v>
      </c>
      <c r="U202" t="s">
        <v>42790</v>
      </c>
      <c r="V202" t="s">
        <v>53793</v>
      </c>
      <c r="W202" t="s">
        <v>37058</v>
      </c>
      <c r="X202" t="s">
        <v>40440</v>
      </c>
    </row>
    <row r="203" spans="1:24">
      <c r="A203">
        <f>HYPERLINK("https://www.philgeps.gov.ph/GEPSNONPILOT/Tender/SplashBidNoticeAbstractUI.aspx?menuIndex=3&amp;refID=7046821&amp;Result=3","7046821")</f>
        <v>0</v>
      </c>
      <c r="B203" t="s">
        <v>105</v>
      </c>
      <c r="C203" t="s">
        <v>3288</v>
      </c>
      <c r="D203" t="s">
        <v>16231</v>
      </c>
      <c r="E203" t="s">
        <v>16493</v>
      </c>
      <c r="F203" t="s">
        <v>28198</v>
      </c>
      <c r="G203" t="s">
        <v>28206</v>
      </c>
      <c r="H203" t="s">
        <v>28215</v>
      </c>
      <c r="I203" t="s">
        <v>4200</v>
      </c>
      <c r="J203" t="s">
        <v>28397</v>
      </c>
      <c r="K203" t="s">
        <v>36701</v>
      </c>
      <c r="M203" t="s">
        <v>37079</v>
      </c>
      <c r="N203" t="s">
        <v>40436</v>
      </c>
      <c r="O203" t="s">
        <v>40437</v>
      </c>
      <c r="P203">
        <v>0</v>
      </c>
      <c r="Q203">
        <v>0</v>
      </c>
      <c r="R203" t="s">
        <v>40438</v>
      </c>
      <c r="S203" t="s">
        <v>40582</v>
      </c>
      <c r="T203" t="s">
        <v>42149</v>
      </c>
      <c r="U203" t="s">
        <v>42782</v>
      </c>
      <c r="W203" t="s">
        <v>55431</v>
      </c>
      <c r="X203" t="s">
        <v>40440</v>
      </c>
    </row>
    <row r="204" spans="1:24">
      <c r="A204">
        <f>HYPERLINK("https://www.philgeps.gov.ph/GEPSNONPILOT/Tender/SplashBidNoticeAbstractUI.aspx?menuIndex=3&amp;refID=7046884&amp;Result=3","7046884")</f>
        <v>0</v>
      </c>
      <c r="B204" t="s">
        <v>108</v>
      </c>
      <c r="C204" t="s">
        <v>3289</v>
      </c>
      <c r="D204" t="s">
        <v>16190</v>
      </c>
      <c r="E204" t="s">
        <v>16494</v>
      </c>
      <c r="F204" t="s">
        <v>28198</v>
      </c>
      <c r="G204" t="s">
        <v>28207</v>
      </c>
      <c r="H204" t="s">
        <v>28215</v>
      </c>
      <c r="I204" t="s">
        <v>8888</v>
      </c>
      <c r="J204" t="s">
        <v>28496</v>
      </c>
      <c r="K204" t="s">
        <v>36698</v>
      </c>
      <c r="M204" t="s">
        <v>37082</v>
      </c>
      <c r="N204" t="s">
        <v>40436</v>
      </c>
      <c r="O204" t="s">
        <v>40437</v>
      </c>
      <c r="P204">
        <v>0</v>
      </c>
      <c r="Q204">
        <v>0</v>
      </c>
      <c r="R204" t="s">
        <v>40438</v>
      </c>
      <c r="S204" t="s">
        <v>40582</v>
      </c>
      <c r="T204" t="s">
        <v>42119</v>
      </c>
      <c r="U204" t="s">
        <v>42791</v>
      </c>
      <c r="V204" t="s">
        <v>53801</v>
      </c>
      <c r="W204" t="s">
        <v>37082</v>
      </c>
      <c r="X204" t="s">
        <v>40440</v>
      </c>
    </row>
    <row r="205" spans="1:24">
      <c r="A205">
        <f>HYPERLINK("https://www.philgeps.gov.ph/GEPSNONPILOT/Tender/SplashBidNoticeAbstractUI.aspx?menuIndex=3&amp;refID=7046846&amp;Result=3","7046846")</f>
        <v>0</v>
      </c>
      <c r="B205" t="s">
        <v>108</v>
      </c>
      <c r="C205" t="s">
        <v>3290</v>
      </c>
      <c r="D205" t="s">
        <v>16190</v>
      </c>
      <c r="E205" t="s">
        <v>16495</v>
      </c>
      <c r="F205" t="s">
        <v>28198</v>
      </c>
      <c r="G205" t="s">
        <v>28207</v>
      </c>
      <c r="H205" t="s">
        <v>28215</v>
      </c>
      <c r="I205" t="s">
        <v>28234</v>
      </c>
      <c r="J205" t="s">
        <v>28497</v>
      </c>
      <c r="K205" t="s">
        <v>36698</v>
      </c>
      <c r="M205" t="s">
        <v>37082</v>
      </c>
      <c r="N205" t="s">
        <v>40436</v>
      </c>
      <c r="O205" t="s">
        <v>40437</v>
      </c>
      <c r="P205">
        <v>0</v>
      </c>
      <c r="Q205">
        <v>0</v>
      </c>
      <c r="R205" t="s">
        <v>40438</v>
      </c>
      <c r="S205" t="s">
        <v>40582</v>
      </c>
      <c r="T205" t="s">
        <v>42119</v>
      </c>
      <c r="U205" t="s">
        <v>42792</v>
      </c>
      <c r="V205" t="s">
        <v>53801</v>
      </c>
      <c r="W205" t="s">
        <v>37082</v>
      </c>
      <c r="X205" t="s">
        <v>40440</v>
      </c>
    </row>
    <row r="206" spans="1:24">
      <c r="A206">
        <f>HYPERLINK("https://www.philgeps.gov.ph/GEPSNONPILOT/Tender/SplashBidNoticeAbstractUI.aspx?menuIndex=3&amp;refID=7046810&amp;Result=3","7046810")</f>
        <v>0</v>
      </c>
      <c r="B206" t="s">
        <v>112</v>
      </c>
      <c r="C206" t="s">
        <v>3291</v>
      </c>
      <c r="D206" t="s">
        <v>16233</v>
      </c>
      <c r="E206" t="s">
        <v>16496</v>
      </c>
      <c r="F206" t="s">
        <v>28198</v>
      </c>
      <c r="G206" t="s">
        <v>28205</v>
      </c>
      <c r="H206" t="s">
        <v>28214</v>
      </c>
      <c r="I206" t="s">
        <v>3797</v>
      </c>
      <c r="J206" t="s">
        <v>28498</v>
      </c>
      <c r="K206" t="s">
        <v>36692</v>
      </c>
      <c r="M206" t="s">
        <v>37086</v>
      </c>
      <c r="N206" t="s">
        <v>40436</v>
      </c>
      <c r="O206" t="s">
        <v>40437</v>
      </c>
      <c r="P206">
        <v>0</v>
      </c>
      <c r="Q206">
        <v>0</v>
      </c>
      <c r="R206" t="s">
        <v>40438</v>
      </c>
      <c r="S206" t="s">
        <v>40582</v>
      </c>
      <c r="T206" t="s">
        <v>42099</v>
      </c>
      <c r="U206" t="s">
        <v>42793</v>
      </c>
      <c r="W206" t="s">
        <v>37086</v>
      </c>
      <c r="X206" t="s">
        <v>40440</v>
      </c>
    </row>
    <row r="207" spans="1:24">
      <c r="A207">
        <f>HYPERLINK("https://www.philgeps.gov.ph/GEPSNONPILOT/Tender/SplashBidNoticeAbstractUI.aspx?menuIndex=3&amp;refID=7046826&amp;Result=3","7046826")</f>
        <v>0</v>
      </c>
      <c r="B207" t="s">
        <v>108</v>
      </c>
      <c r="C207" t="s">
        <v>3292</v>
      </c>
      <c r="D207" t="s">
        <v>16190</v>
      </c>
      <c r="E207" t="s">
        <v>16497</v>
      </c>
      <c r="F207" t="s">
        <v>28198</v>
      </c>
      <c r="G207" t="s">
        <v>28207</v>
      </c>
      <c r="H207" t="s">
        <v>28215</v>
      </c>
      <c r="I207" t="s">
        <v>5082</v>
      </c>
      <c r="J207" t="s">
        <v>28499</v>
      </c>
      <c r="K207" t="s">
        <v>36698</v>
      </c>
      <c r="M207" t="s">
        <v>37082</v>
      </c>
      <c r="N207" t="s">
        <v>40436</v>
      </c>
      <c r="O207" t="s">
        <v>40437</v>
      </c>
      <c r="P207">
        <v>0</v>
      </c>
      <c r="Q207">
        <v>0</v>
      </c>
      <c r="R207" t="s">
        <v>40438</v>
      </c>
      <c r="S207" t="s">
        <v>40582</v>
      </c>
      <c r="T207" t="s">
        <v>42119</v>
      </c>
      <c r="U207" t="s">
        <v>42794</v>
      </c>
      <c r="V207" t="s">
        <v>53801</v>
      </c>
      <c r="W207" t="s">
        <v>37082</v>
      </c>
      <c r="X207" t="s">
        <v>40440</v>
      </c>
    </row>
    <row r="208" spans="1:24">
      <c r="A208">
        <f>HYPERLINK("https://www.philgeps.gov.ph/GEPSNONPILOT/Tender/SplashBidNoticeAbstractUI.aspx?menuIndex=3&amp;refID=7046872&amp;Result=3","7046872")</f>
        <v>0</v>
      </c>
      <c r="B208" t="s">
        <v>108</v>
      </c>
      <c r="C208" t="s">
        <v>3293</v>
      </c>
      <c r="D208" t="s">
        <v>16190</v>
      </c>
      <c r="E208" t="s">
        <v>16498</v>
      </c>
      <c r="F208" t="s">
        <v>28198</v>
      </c>
      <c r="G208" t="s">
        <v>28207</v>
      </c>
      <c r="H208" t="s">
        <v>28215</v>
      </c>
      <c r="I208" t="s">
        <v>4219</v>
      </c>
      <c r="J208" t="s">
        <v>28500</v>
      </c>
      <c r="K208" t="s">
        <v>36698</v>
      </c>
      <c r="M208" t="s">
        <v>37082</v>
      </c>
      <c r="N208" t="s">
        <v>40436</v>
      </c>
      <c r="O208" t="s">
        <v>40437</v>
      </c>
      <c r="P208">
        <v>0</v>
      </c>
      <c r="Q208">
        <v>0</v>
      </c>
      <c r="R208" t="s">
        <v>40438</v>
      </c>
      <c r="S208" t="s">
        <v>40582</v>
      </c>
      <c r="T208" t="s">
        <v>42119</v>
      </c>
      <c r="U208" t="s">
        <v>42795</v>
      </c>
      <c r="V208" t="s">
        <v>53801</v>
      </c>
      <c r="W208" t="s">
        <v>37082</v>
      </c>
      <c r="X208" t="s">
        <v>40440</v>
      </c>
    </row>
    <row r="209" spans="1:24">
      <c r="A209">
        <f>HYPERLINK("https://www.philgeps.gov.ph/GEPSNONPILOT/Tender/SplashBidNoticeAbstractUI.aspx?menuIndex=3&amp;refID=7046816&amp;Result=3","7046816")</f>
        <v>0</v>
      </c>
      <c r="B209" t="s">
        <v>105</v>
      </c>
      <c r="C209" t="s">
        <v>3294</v>
      </c>
      <c r="D209" t="s">
        <v>16231</v>
      </c>
      <c r="E209" t="s">
        <v>16499</v>
      </c>
      <c r="F209" t="s">
        <v>28198</v>
      </c>
      <c r="G209" t="s">
        <v>28206</v>
      </c>
      <c r="H209" t="s">
        <v>28217</v>
      </c>
      <c r="I209" t="s">
        <v>28235</v>
      </c>
      <c r="J209" t="s">
        <v>28501</v>
      </c>
      <c r="K209" t="s">
        <v>36701</v>
      </c>
      <c r="M209" t="s">
        <v>37079</v>
      </c>
      <c r="N209" t="s">
        <v>40436</v>
      </c>
      <c r="O209" t="s">
        <v>40437</v>
      </c>
      <c r="P209">
        <v>0</v>
      </c>
      <c r="Q209">
        <v>0</v>
      </c>
      <c r="R209" t="s">
        <v>40438</v>
      </c>
      <c r="S209" t="s">
        <v>40582</v>
      </c>
      <c r="T209" t="s">
        <v>42149</v>
      </c>
      <c r="U209" t="s">
        <v>42782</v>
      </c>
      <c r="W209" t="s">
        <v>55431</v>
      </c>
      <c r="X209" t="s">
        <v>40440</v>
      </c>
    </row>
    <row r="210" spans="1:24">
      <c r="A210">
        <f>HYPERLINK("https://www.philgeps.gov.ph/GEPSNONPILOT/Tender/SplashBidNoticeAbstractUI.aspx?menuIndex=3&amp;refID=7046814&amp;Result=3","7046814")</f>
        <v>0</v>
      </c>
      <c r="B210" t="s">
        <v>108</v>
      </c>
      <c r="C210" t="s">
        <v>3295</v>
      </c>
      <c r="D210" t="s">
        <v>16190</v>
      </c>
      <c r="E210" t="s">
        <v>16500</v>
      </c>
      <c r="F210" t="s">
        <v>28198</v>
      </c>
      <c r="G210" t="s">
        <v>28207</v>
      </c>
      <c r="H210" t="s">
        <v>28215</v>
      </c>
      <c r="I210" t="s">
        <v>28253</v>
      </c>
      <c r="J210" t="s">
        <v>28502</v>
      </c>
      <c r="K210" t="s">
        <v>36698</v>
      </c>
      <c r="M210" t="s">
        <v>37082</v>
      </c>
      <c r="N210" t="s">
        <v>40436</v>
      </c>
      <c r="O210" t="s">
        <v>40437</v>
      </c>
      <c r="P210">
        <v>0</v>
      </c>
      <c r="Q210">
        <v>0</v>
      </c>
      <c r="R210" t="s">
        <v>40438</v>
      </c>
      <c r="S210" t="s">
        <v>40582</v>
      </c>
      <c r="T210" t="s">
        <v>42119</v>
      </c>
      <c r="U210" t="s">
        <v>42796</v>
      </c>
      <c r="V210" t="s">
        <v>53801</v>
      </c>
      <c r="W210" t="s">
        <v>37082</v>
      </c>
      <c r="X210" t="s">
        <v>40440</v>
      </c>
    </row>
    <row r="211" spans="1:24">
      <c r="A211">
        <f>HYPERLINK("https://www.philgeps.gov.ph/GEPSNONPILOT/Tender/SplashBidNoticeAbstractUI.aspx?menuIndex=3&amp;refID=7046912&amp;Result=3","7046912")</f>
        <v>0</v>
      </c>
      <c r="B211" t="s">
        <v>108</v>
      </c>
      <c r="C211" t="s">
        <v>3296</v>
      </c>
      <c r="D211" t="s">
        <v>16190</v>
      </c>
      <c r="E211" t="s">
        <v>16501</v>
      </c>
      <c r="F211" t="s">
        <v>28198</v>
      </c>
      <c r="G211" t="s">
        <v>28207</v>
      </c>
      <c r="H211" t="s">
        <v>28215</v>
      </c>
      <c r="I211" t="s">
        <v>5100</v>
      </c>
      <c r="J211" t="s">
        <v>28503</v>
      </c>
      <c r="K211" t="s">
        <v>36698</v>
      </c>
      <c r="M211" t="s">
        <v>37082</v>
      </c>
      <c r="N211" t="s">
        <v>40436</v>
      </c>
      <c r="O211" t="s">
        <v>40437</v>
      </c>
      <c r="P211">
        <v>0</v>
      </c>
      <c r="Q211">
        <v>0</v>
      </c>
      <c r="R211" t="s">
        <v>40438</v>
      </c>
      <c r="S211" t="s">
        <v>40582</v>
      </c>
      <c r="T211" t="s">
        <v>42119</v>
      </c>
      <c r="U211" t="s">
        <v>42797</v>
      </c>
      <c r="V211" t="s">
        <v>53801</v>
      </c>
      <c r="W211" t="s">
        <v>37082</v>
      </c>
      <c r="X211" t="s">
        <v>40440</v>
      </c>
    </row>
    <row r="212" spans="1:24">
      <c r="A212">
        <f>HYPERLINK("https://www.philgeps.gov.ph/GEPSNONPILOT/Tender/SplashBidNoticeAbstractUI.aspx?menuIndex=3&amp;refID=7046881&amp;Result=3","7046881")</f>
        <v>0</v>
      </c>
      <c r="B212" t="s">
        <v>108</v>
      </c>
      <c r="C212" t="s">
        <v>3297</v>
      </c>
      <c r="D212" t="s">
        <v>16190</v>
      </c>
      <c r="E212" t="s">
        <v>16502</v>
      </c>
      <c r="F212" t="s">
        <v>28198</v>
      </c>
      <c r="G212" t="s">
        <v>28207</v>
      </c>
      <c r="H212" t="s">
        <v>28215</v>
      </c>
      <c r="I212" t="s">
        <v>28220</v>
      </c>
      <c r="J212" t="s">
        <v>28504</v>
      </c>
      <c r="K212" t="s">
        <v>36698</v>
      </c>
      <c r="M212" t="s">
        <v>37082</v>
      </c>
      <c r="N212" t="s">
        <v>40436</v>
      </c>
      <c r="O212" t="s">
        <v>40437</v>
      </c>
      <c r="P212">
        <v>0</v>
      </c>
      <c r="Q212">
        <v>2</v>
      </c>
      <c r="R212" t="s">
        <v>40438</v>
      </c>
      <c r="S212" t="s">
        <v>40582</v>
      </c>
      <c r="T212" t="s">
        <v>42119</v>
      </c>
      <c r="U212" t="s">
        <v>42798</v>
      </c>
      <c r="V212" t="s">
        <v>53801</v>
      </c>
      <c r="W212" t="s">
        <v>37082</v>
      </c>
      <c r="X212" t="s">
        <v>40440</v>
      </c>
    </row>
    <row r="213" spans="1:24">
      <c r="A213">
        <f>HYPERLINK("https://www.philgeps.gov.ph/GEPSNONPILOT/Tender/SplashBidNoticeAbstractUI.aspx?menuIndex=3&amp;refID=7046928&amp;Result=3","7046928")</f>
        <v>0</v>
      </c>
      <c r="B213" t="s">
        <v>108</v>
      </c>
      <c r="C213" t="s">
        <v>3298</v>
      </c>
      <c r="D213" t="s">
        <v>16190</v>
      </c>
      <c r="E213" t="s">
        <v>16503</v>
      </c>
      <c r="F213" t="s">
        <v>28198</v>
      </c>
      <c r="G213" t="s">
        <v>28207</v>
      </c>
      <c r="H213" t="s">
        <v>28215</v>
      </c>
      <c r="I213" t="s">
        <v>5100</v>
      </c>
      <c r="J213" t="s">
        <v>28505</v>
      </c>
      <c r="K213" t="s">
        <v>36698</v>
      </c>
      <c r="M213" t="s">
        <v>37082</v>
      </c>
      <c r="N213" t="s">
        <v>40436</v>
      </c>
      <c r="O213" t="s">
        <v>40437</v>
      </c>
      <c r="P213">
        <v>0</v>
      </c>
      <c r="Q213">
        <v>0</v>
      </c>
      <c r="R213" t="s">
        <v>40438</v>
      </c>
      <c r="S213" t="s">
        <v>40582</v>
      </c>
      <c r="T213" t="s">
        <v>42119</v>
      </c>
      <c r="U213" t="s">
        <v>42799</v>
      </c>
      <c r="V213" t="s">
        <v>53801</v>
      </c>
      <c r="W213" t="s">
        <v>37082</v>
      </c>
      <c r="X213" t="s">
        <v>40440</v>
      </c>
    </row>
    <row r="214" spans="1:24">
      <c r="A214">
        <f>HYPERLINK("https://www.philgeps.gov.ph/GEPSNONPILOT/Tender/SplashBidNoticeAbstractUI.aspx?menuIndex=3&amp;refID=7046876&amp;Result=3","7046876")</f>
        <v>0</v>
      </c>
      <c r="B214" t="s">
        <v>108</v>
      </c>
      <c r="C214" t="s">
        <v>3299</v>
      </c>
      <c r="D214" t="s">
        <v>16190</v>
      </c>
      <c r="E214" t="s">
        <v>16504</v>
      </c>
      <c r="F214" t="s">
        <v>28198</v>
      </c>
      <c r="G214" t="s">
        <v>28207</v>
      </c>
      <c r="H214" t="s">
        <v>28215</v>
      </c>
      <c r="I214" t="s">
        <v>28254</v>
      </c>
      <c r="J214" t="s">
        <v>28506</v>
      </c>
      <c r="K214" t="s">
        <v>36698</v>
      </c>
      <c r="M214" t="s">
        <v>37082</v>
      </c>
      <c r="N214" t="s">
        <v>40436</v>
      </c>
      <c r="O214" t="s">
        <v>40437</v>
      </c>
      <c r="P214">
        <v>0</v>
      </c>
      <c r="Q214">
        <v>0</v>
      </c>
      <c r="R214" t="s">
        <v>40438</v>
      </c>
      <c r="S214" t="s">
        <v>40582</v>
      </c>
      <c r="T214" t="s">
        <v>42119</v>
      </c>
      <c r="U214" t="s">
        <v>42800</v>
      </c>
      <c r="V214" t="s">
        <v>53801</v>
      </c>
      <c r="W214" t="s">
        <v>37082</v>
      </c>
      <c r="X214" t="s">
        <v>40440</v>
      </c>
    </row>
    <row r="215" spans="1:24">
      <c r="A215">
        <f>HYPERLINK("https://www.philgeps.gov.ph/GEPSNONPILOT/Tender/SplashBidNoticeAbstractUI.aspx?menuIndex=3&amp;refID=7046899&amp;Result=3","7046899")</f>
        <v>0</v>
      </c>
      <c r="B215" t="s">
        <v>108</v>
      </c>
      <c r="C215" t="s">
        <v>3300</v>
      </c>
      <c r="D215" t="s">
        <v>16190</v>
      </c>
      <c r="E215" t="s">
        <v>16505</v>
      </c>
      <c r="F215" t="s">
        <v>28198</v>
      </c>
      <c r="G215" t="s">
        <v>28207</v>
      </c>
      <c r="H215" t="s">
        <v>28215</v>
      </c>
      <c r="I215" t="s">
        <v>4200</v>
      </c>
      <c r="J215" t="s">
        <v>28507</v>
      </c>
      <c r="K215" t="s">
        <v>36698</v>
      </c>
      <c r="M215" t="s">
        <v>37082</v>
      </c>
      <c r="N215" t="s">
        <v>40436</v>
      </c>
      <c r="O215" t="s">
        <v>40437</v>
      </c>
      <c r="P215">
        <v>0</v>
      </c>
      <c r="Q215">
        <v>0</v>
      </c>
      <c r="R215" t="s">
        <v>40438</v>
      </c>
      <c r="S215" t="s">
        <v>40582</v>
      </c>
      <c r="T215" t="s">
        <v>42119</v>
      </c>
      <c r="U215" t="s">
        <v>42801</v>
      </c>
      <c r="V215" t="s">
        <v>53801</v>
      </c>
      <c r="W215" t="s">
        <v>37082</v>
      </c>
      <c r="X215" t="s">
        <v>40440</v>
      </c>
    </row>
    <row r="216" spans="1:24">
      <c r="A216">
        <f>HYPERLINK("https://www.philgeps.gov.ph/GEPSNONPILOT/Tender/SplashBidNoticeAbstractUI.aspx?menuIndex=3&amp;refID=7046890&amp;Result=3","7046890")</f>
        <v>0</v>
      </c>
      <c r="B216" t="s">
        <v>113</v>
      </c>
      <c r="C216" t="s">
        <v>3301</v>
      </c>
      <c r="D216" t="s">
        <v>16226</v>
      </c>
      <c r="E216" t="s">
        <v>16506</v>
      </c>
      <c r="F216" t="s">
        <v>28198</v>
      </c>
      <c r="G216" t="s">
        <v>28205</v>
      </c>
      <c r="H216" t="s">
        <v>28215</v>
      </c>
      <c r="I216" t="s">
        <v>4321</v>
      </c>
      <c r="J216" t="s">
        <v>28508</v>
      </c>
      <c r="K216" t="s">
        <v>36706</v>
      </c>
      <c r="M216" t="s">
        <v>37087</v>
      </c>
      <c r="N216" t="s">
        <v>40436</v>
      </c>
      <c r="O216" t="s">
        <v>40437</v>
      </c>
      <c r="P216">
        <v>0</v>
      </c>
      <c r="Q216">
        <v>0</v>
      </c>
      <c r="R216" t="s">
        <v>40438</v>
      </c>
      <c r="S216" t="s">
        <v>40582</v>
      </c>
      <c r="T216" t="s">
        <v>42098</v>
      </c>
      <c r="U216" t="s">
        <v>42802</v>
      </c>
      <c r="W216" t="s">
        <v>37087</v>
      </c>
      <c r="X216" t="s">
        <v>40440</v>
      </c>
    </row>
    <row r="217" spans="1:24">
      <c r="A217">
        <f>HYPERLINK("https://www.philgeps.gov.ph/GEPSNONPILOT/Tender/SplashBidNoticeAbstractUI.aspx?menuIndex=3&amp;refID=7046920&amp;Result=3","7046920")</f>
        <v>0</v>
      </c>
      <c r="B217" t="s">
        <v>108</v>
      </c>
      <c r="C217" t="s">
        <v>3302</v>
      </c>
      <c r="D217" t="s">
        <v>16190</v>
      </c>
      <c r="E217" t="s">
        <v>16507</v>
      </c>
      <c r="F217" t="s">
        <v>28198</v>
      </c>
      <c r="G217" t="s">
        <v>28207</v>
      </c>
      <c r="H217" t="s">
        <v>28215</v>
      </c>
      <c r="I217" t="s">
        <v>5100</v>
      </c>
      <c r="J217" t="s">
        <v>28509</v>
      </c>
      <c r="K217" t="s">
        <v>36698</v>
      </c>
      <c r="M217" t="s">
        <v>37082</v>
      </c>
      <c r="N217" t="s">
        <v>40436</v>
      </c>
      <c r="O217" t="s">
        <v>40437</v>
      </c>
      <c r="P217">
        <v>0</v>
      </c>
      <c r="Q217">
        <v>0</v>
      </c>
      <c r="R217" t="s">
        <v>40438</v>
      </c>
      <c r="S217" t="s">
        <v>40582</v>
      </c>
      <c r="T217" t="s">
        <v>42119</v>
      </c>
      <c r="U217" t="s">
        <v>42803</v>
      </c>
      <c r="V217" t="s">
        <v>53801</v>
      </c>
      <c r="W217" t="s">
        <v>37082</v>
      </c>
      <c r="X217" t="s">
        <v>40440</v>
      </c>
    </row>
    <row r="218" spans="1:24">
      <c r="A218">
        <f>HYPERLINK("https://www.philgeps.gov.ph/GEPSNONPILOT/Tender/SplashBidNoticeAbstractUI.aspx?menuIndex=3&amp;refID=7046887&amp;Result=3","7046887")</f>
        <v>0</v>
      </c>
      <c r="B218" t="s">
        <v>108</v>
      </c>
      <c r="C218" t="s">
        <v>3303</v>
      </c>
      <c r="D218" t="s">
        <v>16190</v>
      </c>
      <c r="E218" t="s">
        <v>16508</v>
      </c>
      <c r="F218" t="s">
        <v>28198</v>
      </c>
      <c r="G218" t="s">
        <v>28207</v>
      </c>
      <c r="H218" t="s">
        <v>28215</v>
      </c>
      <c r="I218" t="s">
        <v>5082</v>
      </c>
      <c r="J218" t="s">
        <v>28510</v>
      </c>
      <c r="K218" t="s">
        <v>36698</v>
      </c>
      <c r="M218" t="s">
        <v>37082</v>
      </c>
      <c r="N218" t="s">
        <v>40436</v>
      </c>
      <c r="O218" t="s">
        <v>40437</v>
      </c>
      <c r="P218">
        <v>0</v>
      </c>
      <c r="Q218">
        <v>0</v>
      </c>
      <c r="R218" t="s">
        <v>40438</v>
      </c>
      <c r="S218" t="s">
        <v>40582</v>
      </c>
      <c r="T218" t="s">
        <v>42119</v>
      </c>
      <c r="U218" t="s">
        <v>42804</v>
      </c>
      <c r="V218" t="s">
        <v>53801</v>
      </c>
      <c r="W218" t="s">
        <v>37082</v>
      </c>
      <c r="X218" t="s">
        <v>40440</v>
      </c>
    </row>
    <row r="219" spans="1:24">
      <c r="A219">
        <f>HYPERLINK("https://www.philgeps.gov.ph/GEPSNONPILOT/Tender/SplashBidNoticeAbstractUI.aspx?menuIndex=3&amp;refID=7046891&amp;Result=3","7046891")</f>
        <v>0</v>
      </c>
      <c r="B219" t="s">
        <v>114</v>
      </c>
      <c r="C219" t="s">
        <v>3304</v>
      </c>
      <c r="D219" t="s">
        <v>16210</v>
      </c>
      <c r="E219" t="s">
        <v>16509</v>
      </c>
      <c r="F219" t="s">
        <v>28200</v>
      </c>
      <c r="G219" t="s">
        <v>28205</v>
      </c>
      <c r="H219" t="s">
        <v>28215</v>
      </c>
      <c r="I219" t="s">
        <v>5656</v>
      </c>
      <c r="J219" t="s">
        <v>28511</v>
      </c>
      <c r="K219" t="s">
        <v>36718</v>
      </c>
      <c r="M219" t="s">
        <v>37088</v>
      </c>
      <c r="N219" t="s">
        <v>40436</v>
      </c>
      <c r="O219" t="s">
        <v>40437</v>
      </c>
      <c r="P219">
        <v>0</v>
      </c>
      <c r="Q219">
        <v>1</v>
      </c>
      <c r="R219" t="s">
        <v>40438</v>
      </c>
      <c r="S219" t="s">
        <v>40582</v>
      </c>
      <c r="T219" t="s">
        <v>42151</v>
      </c>
      <c r="U219" t="s">
        <v>42805</v>
      </c>
      <c r="W219" t="s">
        <v>37088</v>
      </c>
      <c r="X219" t="s">
        <v>40440</v>
      </c>
    </row>
    <row r="220" spans="1:24">
      <c r="A220">
        <f>HYPERLINK("https://www.philgeps.gov.ph/GEPSNONPILOT/Tender/SplashBidNoticeAbstractUI.aspx?menuIndex=3&amp;refID=7046931&amp;Result=3","7046931")</f>
        <v>0</v>
      </c>
      <c r="B220" t="s">
        <v>108</v>
      </c>
      <c r="C220" t="s">
        <v>3305</v>
      </c>
      <c r="D220" t="s">
        <v>16190</v>
      </c>
      <c r="E220" t="s">
        <v>16510</v>
      </c>
      <c r="F220" t="s">
        <v>28198</v>
      </c>
      <c r="G220" t="s">
        <v>28207</v>
      </c>
      <c r="H220" t="s">
        <v>28215</v>
      </c>
      <c r="I220" t="s">
        <v>5100</v>
      </c>
      <c r="J220" t="s">
        <v>28512</v>
      </c>
      <c r="K220" t="s">
        <v>36698</v>
      </c>
      <c r="M220" t="s">
        <v>37082</v>
      </c>
      <c r="N220" t="s">
        <v>40436</v>
      </c>
      <c r="O220" t="s">
        <v>40437</v>
      </c>
      <c r="P220">
        <v>0</v>
      </c>
      <c r="Q220">
        <v>0</v>
      </c>
      <c r="R220" t="s">
        <v>40438</v>
      </c>
      <c r="S220" t="s">
        <v>40582</v>
      </c>
      <c r="T220" t="s">
        <v>42119</v>
      </c>
      <c r="U220" t="s">
        <v>42806</v>
      </c>
      <c r="V220" t="s">
        <v>53801</v>
      </c>
      <c r="W220" t="s">
        <v>37082</v>
      </c>
      <c r="X220" t="s">
        <v>40440</v>
      </c>
    </row>
    <row r="221" spans="1:24">
      <c r="A221">
        <f>HYPERLINK("https://www.philgeps.gov.ph/GEPSNONPILOT/Tender/SplashBidNoticeAbstractUI.aspx?menuIndex=3&amp;refID=7046935&amp;Result=3","7046935")</f>
        <v>0</v>
      </c>
      <c r="B221" t="s">
        <v>108</v>
      </c>
      <c r="C221" t="s">
        <v>3306</v>
      </c>
      <c r="D221" t="s">
        <v>16190</v>
      </c>
      <c r="E221" t="s">
        <v>16511</v>
      </c>
      <c r="F221" t="s">
        <v>28198</v>
      </c>
      <c r="G221" t="s">
        <v>28207</v>
      </c>
      <c r="H221" t="s">
        <v>28215</v>
      </c>
      <c r="I221" t="s">
        <v>4321</v>
      </c>
      <c r="J221" t="s">
        <v>28513</v>
      </c>
      <c r="K221" t="s">
        <v>36698</v>
      </c>
      <c r="M221" t="s">
        <v>37082</v>
      </c>
      <c r="N221" t="s">
        <v>40436</v>
      </c>
      <c r="O221" t="s">
        <v>40437</v>
      </c>
      <c r="P221">
        <v>0</v>
      </c>
      <c r="Q221">
        <v>0</v>
      </c>
      <c r="R221" t="s">
        <v>40438</v>
      </c>
      <c r="S221" t="s">
        <v>40582</v>
      </c>
      <c r="T221" t="s">
        <v>42119</v>
      </c>
      <c r="U221" t="s">
        <v>42807</v>
      </c>
      <c r="V221" t="s">
        <v>53801</v>
      </c>
      <c r="W221" t="s">
        <v>37082</v>
      </c>
      <c r="X221" t="s">
        <v>40440</v>
      </c>
    </row>
    <row r="222" spans="1:24">
      <c r="A222">
        <f>HYPERLINK("https://www.philgeps.gov.ph/GEPSNONPILOT/Tender/SplashBidNoticeAbstractUI.aspx?menuIndex=3&amp;refID=7046951&amp;Result=3","7046951")</f>
        <v>0</v>
      </c>
      <c r="B222" t="s">
        <v>113</v>
      </c>
      <c r="C222" t="s">
        <v>3307</v>
      </c>
      <c r="D222" t="s">
        <v>16226</v>
      </c>
      <c r="E222" t="s">
        <v>16512</v>
      </c>
      <c r="F222" t="s">
        <v>28198</v>
      </c>
      <c r="G222" t="s">
        <v>28205</v>
      </c>
      <c r="H222" t="s">
        <v>28215</v>
      </c>
      <c r="I222" t="s">
        <v>5100</v>
      </c>
      <c r="J222" t="s">
        <v>28514</v>
      </c>
      <c r="K222" t="s">
        <v>36706</v>
      </c>
      <c r="M222" t="s">
        <v>37087</v>
      </c>
      <c r="N222" t="s">
        <v>40436</v>
      </c>
      <c r="O222" t="s">
        <v>40437</v>
      </c>
      <c r="P222">
        <v>0</v>
      </c>
      <c r="Q222">
        <v>1</v>
      </c>
      <c r="R222" t="s">
        <v>40438</v>
      </c>
      <c r="S222" t="s">
        <v>40582</v>
      </c>
      <c r="T222" t="s">
        <v>42098</v>
      </c>
      <c r="U222" t="s">
        <v>42808</v>
      </c>
      <c r="W222" t="s">
        <v>37087</v>
      </c>
      <c r="X222" t="s">
        <v>40440</v>
      </c>
    </row>
    <row r="223" spans="1:24">
      <c r="A223">
        <f>HYPERLINK("https://www.philgeps.gov.ph/GEPSNONPILOT/Tender/SplashBidNoticeAbstractUI.aspx?menuIndex=3&amp;refID=7047141&amp;Result=3","7047141")</f>
        <v>0</v>
      </c>
      <c r="B223" t="s">
        <v>115</v>
      </c>
      <c r="C223" t="s">
        <v>3308</v>
      </c>
      <c r="E223" t="s">
        <v>16513</v>
      </c>
      <c r="F223" t="s">
        <v>28198</v>
      </c>
      <c r="G223" t="s">
        <v>28210</v>
      </c>
      <c r="H223" t="s">
        <v>28215</v>
      </c>
      <c r="I223" t="s">
        <v>5082</v>
      </c>
      <c r="J223" t="s">
        <v>28515</v>
      </c>
      <c r="K223" t="s">
        <v>36689</v>
      </c>
      <c r="M223" t="s">
        <v>37089</v>
      </c>
      <c r="N223" t="s">
        <v>40436</v>
      </c>
      <c r="O223" t="s">
        <v>40437</v>
      </c>
      <c r="P223">
        <v>0</v>
      </c>
      <c r="Q223">
        <v>5</v>
      </c>
      <c r="R223" t="s">
        <v>40438</v>
      </c>
      <c r="S223" t="s">
        <v>40582</v>
      </c>
      <c r="T223" t="s">
        <v>42152</v>
      </c>
      <c r="U223" t="s">
        <v>42809</v>
      </c>
      <c r="W223" t="s">
        <v>37089</v>
      </c>
      <c r="X223" t="s">
        <v>40440</v>
      </c>
    </row>
    <row r="224" spans="1:24">
      <c r="A224">
        <f>HYPERLINK("https://www.philgeps.gov.ph/GEPSNONPILOT/Tender/SplashBidNoticeAbstractUI.aspx?menuIndex=3&amp;refID=7047042&amp;Result=3","7047042")</f>
        <v>0</v>
      </c>
      <c r="B224" t="s">
        <v>116</v>
      </c>
      <c r="C224" t="s">
        <v>3309</v>
      </c>
      <c r="D224" t="s">
        <v>16207</v>
      </c>
      <c r="E224" t="s">
        <v>16514</v>
      </c>
      <c r="F224" t="s">
        <v>28198</v>
      </c>
      <c r="G224" t="s">
        <v>28207</v>
      </c>
      <c r="H224" t="s">
        <v>28217</v>
      </c>
      <c r="I224" t="s">
        <v>5631</v>
      </c>
      <c r="J224" t="s">
        <v>28516</v>
      </c>
      <c r="K224" t="s">
        <v>36706</v>
      </c>
      <c r="M224" t="s">
        <v>37090</v>
      </c>
      <c r="N224" t="s">
        <v>40436</v>
      </c>
      <c r="O224" t="s">
        <v>40437</v>
      </c>
      <c r="P224">
        <v>0</v>
      </c>
      <c r="Q224">
        <v>0</v>
      </c>
      <c r="R224" t="s">
        <v>40438</v>
      </c>
      <c r="S224" t="s">
        <v>40582</v>
      </c>
      <c r="T224" t="s">
        <v>42103</v>
      </c>
      <c r="U224" t="s">
        <v>42810</v>
      </c>
      <c r="W224" t="s">
        <v>37090</v>
      </c>
      <c r="X224" t="s">
        <v>40440</v>
      </c>
    </row>
    <row r="225" spans="1:24">
      <c r="A225">
        <f>HYPERLINK("https://www.philgeps.gov.ph/GEPSNONPILOT/Tender/SplashBidNoticeAbstractUI.aspx?menuIndex=3&amp;refID=7047145&amp;Result=3","7047145")</f>
        <v>0</v>
      </c>
      <c r="B225" t="s">
        <v>117</v>
      </c>
      <c r="C225" t="s">
        <v>3310</v>
      </c>
      <c r="D225" t="s">
        <v>16210</v>
      </c>
      <c r="E225" t="s">
        <v>16515</v>
      </c>
      <c r="F225" t="s">
        <v>28198</v>
      </c>
      <c r="G225" t="s">
        <v>28207</v>
      </c>
      <c r="H225" t="s">
        <v>28214</v>
      </c>
      <c r="I225" t="s">
        <v>28255</v>
      </c>
      <c r="J225" t="s">
        <v>28517</v>
      </c>
      <c r="K225" t="s">
        <v>36719</v>
      </c>
      <c r="M225" t="s">
        <v>37091</v>
      </c>
      <c r="N225" t="s">
        <v>40436</v>
      </c>
      <c r="O225" t="s">
        <v>40437</v>
      </c>
      <c r="P225">
        <v>0</v>
      </c>
      <c r="Q225">
        <v>1</v>
      </c>
      <c r="R225" t="s">
        <v>40438</v>
      </c>
      <c r="S225" t="s">
        <v>40582</v>
      </c>
      <c r="T225" t="s">
        <v>42111</v>
      </c>
      <c r="U225" t="s">
        <v>42811</v>
      </c>
      <c r="W225" t="s">
        <v>37091</v>
      </c>
      <c r="X225" t="s">
        <v>40440</v>
      </c>
    </row>
    <row r="226" spans="1:24">
      <c r="A226">
        <f>HYPERLINK("https://www.philgeps.gov.ph/GEPSNONPILOT/Tender/SplashBidNoticeAbstractUI.aspx?menuIndex=3&amp;refID=7047018&amp;Result=3","7047018")</f>
        <v>0</v>
      </c>
      <c r="B226" t="s">
        <v>118</v>
      </c>
      <c r="C226" t="s">
        <v>3311</v>
      </c>
      <c r="D226" t="s">
        <v>16191</v>
      </c>
      <c r="E226" t="s">
        <v>3311</v>
      </c>
      <c r="F226" t="s">
        <v>28198</v>
      </c>
      <c r="G226" t="s">
        <v>28207</v>
      </c>
      <c r="H226" t="s">
        <v>28215</v>
      </c>
      <c r="I226" t="s">
        <v>4200</v>
      </c>
      <c r="J226" t="s">
        <v>28518</v>
      </c>
      <c r="K226" t="s">
        <v>36701</v>
      </c>
      <c r="M226" t="s">
        <v>37092</v>
      </c>
      <c r="N226" t="s">
        <v>40436</v>
      </c>
      <c r="O226" t="s">
        <v>40437</v>
      </c>
      <c r="P226">
        <v>0</v>
      </c>
      <c r="Q226">
        <v>1</v>
      </c>
      <c r="R226" t="s">
        <v>40438</v>
      </c>
      <c r="S226" t="s">
        <v>40582</v>
      </c>
      <c r="T226" t="s">
        <v>42119</v>
      </c>
      <c r="U226" t="s">
        <v>42812</v>
      </c>
      <c r="W226" t="s">
        <v>37092</v>
      </c>
      <c r="X226" t="s">
        <v>40440</v>
      </c>
    </row>
    <row r="227" spans="1:24">
      <c r="A227">
        <f>HYPERLINK("https://www.philgeps.gov.ph/GEPSNONPILOT/Tender/SplashBidNoticeAbstractUI.aspx?menuIndex=3&amp;refID=7047158&amp;Result=3","7047158")</f>
        <v>0</v>
      </c>
      <c r="B227" t="s">
        <v>119</v>
      </c>
      <c r="C227" t="s">
        <v>3312</v>
      </c>
      <c r="D227" t="s">
        <v>16216</v>
      </c>
      <c r="E227" t="s">
        <v>16516</v>
      </c>
      <c r="F227" t="s">
        <v>28198</v>
      </c>
      <c r="G227" t="s">
        <v>28207</v>
      </c>
      <c r="H227" t="s">
        <v>28215</v>
      </c>
      <c r="I227" t="s">
        <v>4200</v>
      </c>
      <c r="J227" t="s">
        <v>28519</v>
      </c>
      <c r="K227" t="s">
        <v>36688</v>
      </c>
      <c r="M227" t="s">
        <v>37093</v>
      </c>
      <c r="N227" t="s">
        <v>40436</v>
      </c>
      <c r="O227" t="s">
        <v>40437</v>
      </c>
      <c r="P227">
        <v>0</v>
      </c>
      <c r="Q227">
        <v>3</v>
      </c>
      <c r="R227" t="s">
        <v>40438</v>
      </c>
      <c r="S227" t="s">
        <v>40582</v>
      </c>
      <c r="T227" t="s">
        <v>42111</v>
      </c>
      <c r="U227" t="s">
        <v>42813</v>
      </c>
      <c r="W227" t="s">
        <v>37093</v>
      </c>
      <c r="X227" t="s">
        <v>40439</v>
      </c>
    </row>
    <row r="228" spans="1:24">
      <c r="A228">
        <f>HYPERLINK("https://www.philgeps.gov.ph/GEPSNONPILOT/Tender/SplashBidNoticeAbstractUI.aspx?menuIndex=3&amp;refID=7047138&amp;Result=3","7047138")</f>
        <v>0</v>
      </c>
      <c r="B228" t="s">
        <v>115</v>
      </c>
      <c r="C228" t="s">
        <v>3313</v>
      </c>
      <c r="E228" t="s">
        <v>16517</v>
      </c>
      <c r="F228" t="s">
        <v>28198</v>
      </c>
      <c r="G228" t="s">
        <v>28210</v>
      </c>
      <c r="H228" t="s">
        <v>28215</v>
      </c>
      <c r="I228" t="s">
        <v>5082</v>
      </c>
      <c r="J228" t="s">
        <v>28520</v>
      </c>
      <c r="K228" t="s">
        <v>36689</v>
      </c>
      <c r="M228" t="s">
        <v>37089</v>
      </c>
      <c r="N228" t="s">
        <v>40436</v>
      </c>
      <c r="O228" t="s">
        <v>40437</v>
      </c>
      <c r="P228">
        <v>0</v>
      </c>
      <c r="Q228">
        <v>12</v>
      </c>
      <c r="R228" t="s">
        <v>40438</v>
      </c>
      <c r="S228" t="s">
        <v>40582</v>
      </c>
      <c r="T228" t="s">
        <v>42152</v>
      </c>
      <c r="U228" t="s">
        <v>42814</v>
      </c>
      <c r="W228" t="s">
        <v>37089</v>
      </c>
      <c r="X228" t="s">
        <v>40440</v>
      </c>
    </row>
    <row r="229" spans="1:24">
      <c r="A229">
        <f>HYPERLINK("https://www.philgeps.gov.ph/GEPSNONPILOT/Tender/SplashBidNoticeAbstractUI.aspx?menuIndex=3&amp;refID=7046968&amp;Result=3","7046968")</f>
        <v>0</v>
      </c>
      <c r="B229" t="s">
        <v>113</v>
      </c>
      <c r="C229" t="s">
        <v>3314</v>
      </c>
      <c r="D229" t="s">
        <v>16226</v>
      </c>
      <c r="E229" t="s">
        <v>16518</v>
      </c>
      <c r="F229" t="s">
        <v>28198</v>
      </c>
      <c r="G229" t="s">
        <v>28205</v>
      </c>
      <c r="H229" t="s">
        <v>28215</v>
      </c>
      <c r="I229" t="s">
        <v>5100</v>
      </c>
      <c r="J229" t="s">
        <v>28521</v>
      </c>
      <c r="K229" t="s">
        <v>36706</v>
      </c>
      <c r="M229" t="s">
        <v>37087</v>
      </c>
      <c r="N229" t="s">
        <v>40436</v>
      </c>
      <c r="O229" t="s">
        <v>40437</v>
      </c>
      <c r="P229">
        <v>0</v>
      </c>
      <c r="Q229">
        <v>1</v>
      </c>
      <c r="R229" t="s">
        <v>40438</v>
      </c>
      <c r="S229" t="s">
        <v>40582</v>
      </c>
      <c r="T229" t="s">
        <v>42098</v>
      </c>
      <c r="U229" t="s">
        <v>42815</v>
      </c>
      <c r="W229" t="s">
        <v>37087</v>
      </c>
      <c r="X229" t="s">
        <v>40440</v>
      </c>
    </row>
    <row r="230" spans="1:24">
      <c r="A230">
        <f>HYPERLINK("https://www.philgeps.gov.ph/GEPSNONPILOT/Tender/SplashBidNoticeAbstractUI.aspx?menuIndex=3&amp;refID=7047157&amp;Result=3","7047157")</f>
        <v>0</v>
      </c>
      <c r="B230" t="s">
        <v>120</v>
      </c>
      <c r="C230" t="s">
        <v>3315</v>
      </c>
      <c r="D230" t="s">
        <v>16210</v>
      </c>
      <c r="E230" t="s">
        <v>16519</v>
      </c>
      <c r="F230" t="s">
        <v>28198</v>
      </c>
      <c r="G230" t="s">
        <v>28205</v>
      </c>
      <c r="H230" t="s">
        <v>28215</v>
      </c>
      <c r="I230" t="s">
        <v>4200</v>
      </c>
      <c r="J230" t="s">
        <v>28360</v>
      </c>
      <c r="K230" t="s">
        <v>36693</v>
      </c>
      <c r="M230" t="s">
        <v>37094</v>
      </c>
      <c r="N230" t="s">
        <v>40436</v>
      </c>
      <c r="O230" t="s">
        <v>40437</v>
      </c>
      <c r="P230">
        <v>0</v>
      </c>
      <c r="Q230">
        <v>1</v>
      </c>
      <c r="R230" t="s">
        <v>40438</v>
      </c>
      <c r="S230" t="s">
        <v>40582</v>
      </c>
      <c r="T230" t="s">
        <v>42153</v>
      </c>
      <c r="U230" t="s">
        <v>42816</v>
      </c>
      <c r="W230" t="s">
        <v>37094</v>
      </c>
      <c r="X230" t="s">
        <v>40439</v>
      </c>
    </row>
    <row r="231" spans="1:24">
      <c r="A231">
        <f>HYPERLINK("https://www.philgeps.gov.ph/GEPSNONPILOT/Tender/SplashBidNoticeAbstractUI.aspx?menuIndex=3&amp;refID=7046952&amp;Result=3","7046952")</f>
        <v>0</v>
      </c>
      <c r="B231" t="s">
        <v>121</v>
      </c>
      <c r="C231" t="s">
        <v>3316</v>
      </c>
      <c r="D231" t="s">
        <v>16207</v>
      </c>
      <c r="E231" t="s">
        <v>16520</v>
      </c>
      <c r="F231" t="s">
        <v>28198</v>
      </c>
      <c r="G231" t="s">
        <v>28205</v>
      </c>
      <c r="H231" t="s">
        <v>28214</v>
      </c>
      <c r="I231" t="s">
        <v>3797</v>
      </c>
      <c r="J231" t="s">
        <v>28522</v>
      </c>
      <c r="K231" t="s">
        <v>36715</v>
      </c>
      <c r="M231" t="s">
        <v>37095</v>
      </c>
      <c r="N231" t="s">
        <v>40436</v>
      </c>
      <c r="O231" t="s">
        <v>40437</v>
      </c>
      <c r="P231">
        <v>0</v>
      </c>
      <c r="Q231">
        <v>1</v>
      </c>
      <c r="R231" t="s">
        <v>40438</v>
      </c>
      <c r="S231" t="s">
        <v>40582</v>
      </c>
      <c r="T231" t="s">
        <v>42135</v>
      </c>
      <c r="U231" t="s">
        <v>42817</v>
      </c>
      <c r="W231" t="s">
        <v>37095</v>
      </c>
      <c r="X231" t="s">
        <v>40440</v>
      </c>
    </row>
    <row r="232" spans="1:24">
      <c r="A232">
        <f>HYPERLINK("https://www.philgeps.gov.ph/GEPSNONPILOT/Tender/SplashBidNoticeAbstractUI.aspx?menuIndex=3&amp;refID=7047078&amp;Result=3","7047078")</f>
        <v>0</v>
      </c>
      <c r="B232" t="s">
        <v>121</v>
      </c>
      <c r="C232" t="s">
        <v>3317</v>
      </c>
      <c r="D232" t="s">
        <v>16207</v>
      </c>
      <c r="E232" t="s">
        <v>16521</v>
      </c>
      <c r="F232" t="s">
        <v>28198</v>
      </c>
      <c r="G232" t="s">
        <v>28205</v>
      </c>
      <c r="H232" t="s">
        <v>28214</v>
      </c>
      <c r="I232" t="s">
        <v>3797</v>
      </c>
      <c r="J232" t="s">
        <v>28523</v>
      </c>
      <c r="K232" t="s">
        <v>36715</v>
      </c>
      <c r="M232" t="s">
        <v>37095</v>
      </c>
      <c r="N232" t="s">
        <v>40436</v>
      </c>
      <c r="O232" t="s">
        <v>40437</v>
      </c>
      <c r="P232">
        <v>0</v>
      </c>
      <c r="Q232">
        <v>1</v>
      </c>
      <c r="R232" t="s">
        <v>40438</v>
      </c>
      <c r="S232" t="s">
        <v>40582</v>
      </c>
      <c r="T232" t="s">
        <v>42135</v>
      </c>
      <c r="U232" t="s">
        <v>42818</v>
      </c>
      <c r="W232" t="s">
        <v>37095</v>
      </c>
      <c r="X232" t="s">
        <v>40440</v>
      </c>
    </row>
    <row r="233" spans="1:24">
      <c r="A233">
        <f>HYPERLINK("https://www.philgeps.gov.ph/GEPSNONPILOT/Tender/SplashBidNoticeAbstractUI.aspx?menuIndex=3&amp;refID=7047155&amp;Result=3","7047155")</f>
        <v>0</v>
      </c>
      <c r="B233" t="s">
        <v>119</v>
      </c>
      <c r="C233" t="s">
        <v>3318</v>
      </c>
      <c r="D233" t="s">
        <v>16213</v>
      </c>
      <c r="E233" t="s">
        <v>16522</v>
      </c>
      <c r="F233" t="s">
        <v>28198</v>
      </c>
      <c r="G233" t="s">
        <v>28207</v>
      </c>
      <c r="H233" t="s">
        <v>28215</v>
      </c>
      <c r="I233" t="s">
        <v>5100</v>
      </c>
      <c r="J233" t="s">
        <v>28524</v>
      </c>
      <c r="K233" t="s">
        <v>36688</v>
      </c>
      <c r="M233" t="s">
        <v>37093</v>
      </c>
      <c r="N233" t="s">
        <v>40436</v>
      </c>
      <c r="O233" t="s">
        <v>40437</v>
      </c>
      <c r="P233">
        <v>0</v>
      </c>
      <c r="Q233">
        <v>1</v>
      </c>
      <c r="R233" t="s">
        <v>40438</v>
      </c>
      <c r="S233" t="s">
        <v>40582</v>
      </c>
      <c r="T233" t="s">
        <v>42111</v>
      </c>
      <c r="U233" t="s">
        <v>42819</v>
      </c>
      <c r="W233" t="s">
        <v>37093</v>
      </c>
      <c r="X233" t="s">
        <v>40439</v>
      </c>
    </row>
    <row r="234" spans="1:24">
      <c r="A234">
        <f>HYPERLINK("https://www.philgeps.gov.ph/GEPSNONPILOT/Tender/SplashBidNoticeAbstractUI.aspx?menuIndex=3&amp;refID=7047153&amp;Result=3","7047153")</f>
        <v>0</v>
      </c>
      <c r="B234" t="s">
        <v>117</v>
      </c>
      <c r="C234" t="s">
        <v>3319</v>
      </c>
      <c r="D234" t="s">
        <v>16210</v>
      </c>
      <c r="E234" t="s">
        <v>16523</v>
      </c>
      <c r="F234" t="s">
        <v>28198</v>
      </c>
      <c r="G234" t="s">
        <v>28207</v>
      </c>
      <c r="H234" t="s">
        <v>28214</v>
      </c>
      <c r="I234" t="s">
        <v>28255</v>
      </c>
      <c r="J234" t="s">
        <v>28525</v>
      </c>
      <c r="K234" t="s">
        <v>36687</v>
      </c>
      <c r="M234" t="s">
        <v>37091</v>
      </c>
      <c r="N234" t="s">
        <v>40436</v>
      </c>
      <c r="O234" t="s">
        <v>40437</v>
      </c>
      <c r="P234">
        <v>0</v>
      </c>
      <c r="Q234">
        <v>1</v>
      </c>
      <c r="R234" t="s">
        <v>40438</v>
      </c>
      <c r="S234" t="s">
        <v>40582</v>
      </c>
      <c r="T234" t="s">
        <v>42111</v>
      </c>
      <c r="U234" t="s">
        <v>42820</v>
      </c>
      <c r="W234" t="s">
        <v>37091</v>
      </c>
      <c r="X234" t="s">
        <v>40439</v>
      </c>
    </row>
    <row r="235" spans="1:24">
      <c r="A235">
        <f>HYPERLINK("https://www.philgeps.gov.ph/GEPSNONPILOT/Tender/SplashBidNoticeAbstractUI.aspx?menuIndex=3&amp;refID=7047064&amp;Result=3","7047064")</f>
        <v>0</v>
      </c>
      <c r="B235" t="s">
        <v>118</v>
      </c>
      <c r="C235" t="s">
        <v>3320</v>
      </c>
      <c r="D235" t="s">
        <v>16191</v>
      </c>
      <c r="E235" t="s">
        <v>3320</v>
      </c>
      <c r="F235" t="s">
        <v>28198</v>
      </c>
      <c r="G235" t="s">
        <v>28207</v>
      </c>
      <c r="H235" t="s">
        <v>28215</v>
      </c>
      <c r="I235" t="s">
        <v>4200</v>
      </c>
      <c r="J235" t="s">
        <v>28526</v>
      </c>
      <c r="K235" t="s">
        <v>36701</v>
      </c>
      <c r="M235" t="s">
        <v>37092</v>
      </c>
      <c r="N235" t="s">
        <v>40436</v>
      </c>
      <c r="O235" t="s">
        <v>40437</v>
      </c>
      <c r="P235">
        <v>0</v>
      </c>
      <c r="Q235">
        <v>0</v>
      </c>
      <c r="R235" t="s">
        <v>40438</v>
      </c>
      <c r="S235" t="s">
        <v>40582</v>
      </c>
      <c r="T235" t="s">
        <v>42119</v>
      </c>
      <c r="U235" t="s">
        <v>42821</v>
      </c>
      <c r="W235" t="s">
        <v>37092</v>
      </c>
      <c r="X235" t="s">
        <v>40440</v>
      </c>
    </row>
    <row r="236" spans="1:24">
      <c r="A236">
        <f>HYPERLINK("https://www.philgeps.gov.ph/GEPSNONPILOT/Tender/SplashBidNoticeAbstractUI.aspx?menuIndex=3&amp;refID=7047159&amp;Result=3","7047159")</f>
        <v>0</v>
      </c>
      <c r="B236" t="s">
        <v>119</v>
      </c>
      <c r="C236" t="s">
        <v>3321</v>
      </c>
      <c r="D236" t="s">
        <v>16216</v>
      </c>
      <c r="E236" t="s">
        <v>16524</v>
      </c>
      <c r="F236" t="s">
        <v>28198</v>
      </c>
      <c r="G236" t="s">
        <v>28207</v>
      </c>
      <c r="H236" t="s">
        <v>28215</v>
      </c>
      <c r="I236" t="s">
        <v>4168</v>
      </c>
      <c r="J236" t="s">
        <v>28527</v>
      </c>
      <c r="K236" t="s">
        <v>36688</v>
      </c>
      <c r="M236" t="s">
        <v>37093</v>
      </c>
      <c r="N236" t="s">
        <v>40436</v>
      </c>
      <c r="O236" t="s">
        <v>40437</v>
      </c>
      <c r="P236">
        <v>0</v>
      </c>
      <c r="Q236">
        <v>1</v>
      </c>
      <c r="R236" t="s">
        <v>40438</v>
      </c>
      <c r="S236" t="s">
        <v>40582</v>
      </c>
      <c r="T236" t="s">
        <v>42111</v>
      </c>
      <c r="U236" t="s">
        <v>42822</v>
      </c>
      <c r="W236" t="s">
        <v>37093</v>
      </c>
      <c r="X236" t="s">
        <v>40439</v>
      </c>
    </row>
    <row r="237" spans="1:24">
      <c r="A237">
        <f>HYPERLINK("https://www.philgeps.gov.ph/GEPSNONPILOT/Tender/SplashBidNoticeAbstractUI.aspx?menuIndex=3&amp;refID=7047151&amp;Result=3","7047151")</f>
        <v>0</v>
      </c>
      <c r="B237" t="s">
        <v>117</v>
      </c>
      <c r="C237" t="s">
        <v>3322</v>
      </c>
      <c r="D237" t="s">
        <v>16210</v>
      </c>
      <c r="E237" t="s">
        <v>16525</v>
      </c>
      <c r="F237" t="s">
        <v>28198</v>
      </c>
      <c r="G237" t="s">
        <v>28207</v>
      </c>
      <c r="H237" t="s">
        <v>28214</v>
      </c>
      <c r="I237" t="s">
        <v>28255</v>
      </c>
      <c r="J237" t="s">
        <v>28528</v>
      </c>
      <c r="K237" t="s">
        <v>36687</v>
      </c>
      <c r="M237" t="s">
        <v>37091</v>
      </c>
      <c r="N237" t="s">
        <v>40436</v>
      </c>
      <c r="O237" t="s">
        <v>40437</v>
      </c>
      <c r="P237">
        <v>0</v>
      </c>
      <c r="Q237">
        <v>1</v>
      </c>
      <c r="R237" t="s">
        <v>40438</v>
      </c>
      <c r="S237" t="s">
        <v>40582</v>
      </c>
      <c r="T237" t="s">
        <v>42111</v>
      </c>
      <c r="U237" t="s">
        <v>42823</v>
      </c>
      <c r="W237" t="s">
        <v>37091</v>
      </c>
      <c r="X237" t="s">
        <v>40439</v>
      </c>
    </row>
    <row r="238" spans="1:24">
      <c r="A238">
        <f>HYPERLINK("https://www.philgeps.gov.ph/GEPSNONPILOT/Tender/SplashBidNoticeAbstractUI.aspx?menuIndex=3&amp;refID=7047150&amp;Result=3","7047150")</f>
        <v>0</v>
      </c>
      <c r="B238" t="s">
        <v>119</v>
      </c>
      <c r="C238" t="s">
        <v>3323</v>
      </c>
      <c r="D238" t="s">
        <v>16216</v>
      </c>
      <c r="E238" t="s">
        <v>16526</v>
      </c>
      <c r="F238" t="s">
        <v>28198</v>
      </c>
      <c r="G238" t="s">
        <v>28210</v>
      </c>
      <c r="H238" t="s">
        <v>28215</v>
      </c>
      <c r="I238" t="s">
        <v>5082</v>
      </c>
      <c r="J238" t="s">
        <v>28529</v>
      </c>
      <c r="K238" t="s">
        <v>36688</v>
      </c>
      <c r="M238" t="s">
        <v>37093</v>
      </c>
      <c r="N238" t="s">
        <v>40436</v>
      </c>
      <c r="O238" t="s">
        <v>40437</v>
      </c>
      <c r="P238">
        <v>0</v>
      </c>
      <c r="Q238">
        <v>3</v>
      </c>
      <c r="R238" t="s">
        <v>40438</v>
      </c>
      <c r="S238" t="s">
        <v>40582</v>
      </c>
      <c r="T238" t="s">
        <v>42111</v>
      </c>
      <c r="U238" t="s">
        <v>42824</v>
      </c>
      <c r="W238" t="s">
        <v>37093</v>
      </c>
      <c r="X238" t="s">
        <v>40439</v>
      </c>
    </row>
    <row r="239" spans="1:24">
      <c r="A239">
        <f>HYPERLINK("https://www.philgeps.gov.ph/GEPSNONPILOT/Tender/SplashBidNoticeAbstractUI.aspx?menuIndex=3&amp;refID=7047131&amp;Result=3","7047131")</f>
        <v>0</v>
      </c>
      <c r="B239" t="s">
        <v>122</v>
      </c>
      <c r="C239" t="s">
        <v>3324</v>
      </c>
      <c r="D239" t="s">
        <v>16194</v>
      </c>
      <c r="E239" t="s">
        <v>16527</v>
      </c>
      <c r="F239" t="s">
        <v>28198</v>
      </c>
      <c r="G239" t="s">
        <v>28206</v>
      </c>
      <c r="H239" t="s">
        <v>28215</v>
      </c>
      <c r="I239" t="s">
        <v>4200</v>
      </c>
      <c r="J239" t="s">
        <v>28530</v>
      </c>
      <c r="K239" t="s">
        <v>36689</v>
      </c>
      <c r="M239" t="s">
        <v>37096</v>
      </c>
      <c r="N239" t="s">
        <v>40436</v>
      </c>
      <c r="O239" t="s">
        <v>40437</v>
      </c>
      <c r="P239">
        <v>0</v>
      </c>
      <c r="Q239">
        <v>1</v>
      </c>
      <c r="R239" t="s">
        <v>40438</v>
      </c>
      <c r="S239" t="s">
        <v>40582</v>
      </c>
      <c r="T239" t="s">
        <v>42142</v>
      </c>
      <c r="U239" t="s">
        <v>42825</v>
      </c>
      <c r="W239" t="s">
        <v>37096</v>
      </c>
      <c r="X239" t="s">
        <v>40440</v>
      </c>
    </row>
    <row r="240" spans="1:24">
      <c r="A240">
        <f>HYPERLINK("https://www.philgeps.gov.ph/GEPSNONPILOT/Tender/SplashBidNoticeAbstractUI.aspx?menuIndex=3&amp;refID=7047161&amp;Result=3","7047161")</f>
        <v>0</v>
      </c>
      <c r="B240" t="s">
        <v>123</v>
      </c>
      <c r="C240" t="s">
        <v>3173</v>
      </c>
      <c r="D240" t="s">
        <v>16216</v>
      </c>
      <c r="E240" t="s">
        <v>16528</v>
      </c>
      <c r="F240" t="s">
        <v>28198</v>
      </c>
      <c r="G240" t="s">
        <v>28210</v>
      </c>
      <c r="H240" t="s">
        <v>28215</v>
      </c>
      <c r="I240" t="s">
        <v>5082</v>
      </c>
      <c r="J240" t="s">
        <v>28531</v>
      </c>
      <c r="K240" t="s">
        <v>36688</v>
      </c>
      <c r="M240" t="s">
        <v>37097</v>
      </c>
      <c r="N240" t="s">
        <v>40436</v>
      </c>
      <c r="O240" t="s">
        <v>40437</v>
      </c>
      <c r="P240">
        <v>0</v>
      </c>
      <c r="Q240">
        <v>2</v>
      </c>
      <c r="R240" t="s">
        <v>40438</v>
      </c>
      <c r="S240" t="s">
        <v>40582</v>
      </c>
      <c r="T240" t="s">
        <v>42111</v>
      </c>
      <c r="U240" t="s">
        <v>42826</v>
      </c>
      <c r="W240" t="s">
        <v>37097</v>
      </c>
      <c r="X240" t="s">
        <v>40439</v>
      </c>
    </row>
    <row r="241" spans="1:24">
      <c r="A241">
        <f>HYPERLINK("https://www.philgeps.gov.ph/GEPSNONPILOT/Tender/SplashBidNoticeAbstractUI.aspx?menuIndex=3&amp;refID=7047135&amp;Result=3","7047135")</f>
        <v>0</v>
      </c>
      <c r="B241" t="s">
        <v>115</v>
      </c>
      <c r="C241" t="s">
        <v>3325</v>
      </c>
      <c r="E241" t="s">
        <v>16529</v>
      </c>
      <c r="F241" t="s">
        <v>28198</v>
      </c>
      <c r="G241" t="s">
        <v>28210</v>
      </c>
      <c r="H241" t="s">
        <v>28215</v>
      </c>
      <c r="I241" t="s">
        <v>5071</v>
      </c>
      <c r="J241" t="s">
        <v>28532</v>
      </c>
      <c r="K241" t="s">
        <v>36689</v>
      </c>
      <c r="M241" t="s">
        <v>37089</v>
      </c>
      <c r="N241" t="s">
        <v>40436</v>
      </c>
      <c r="O241" t="s">
        <v>40437</v>
      </c>
      <c r="P241">
        <v>0</v>
      </c>
      <c r="Q241">
        <v>10</v>
      </c>
      <c r="R241" t="s">
        <v>40438</v>
      </c>
      <c r="S241" t="s">
        <v>40582</v>
      </c>
      <c r="T241" t="s">
        <v>42152</v>
      </c>
      <c r="U241" t="s">
        <v>42827</v>
      </c>
      <c r="W241" t="s">
        <v>37089</v>
      </c>
      <c r="X241" t="s">
        <v>40440</v>
      </c>
    </row>
    <row r="242" spans="1:24">
      <c r="A242">
        <f>HYPERLINK("https://www.philgeps.gov.ph/GEPSNONPILOT/Tender/SplashBidNoticeAbstractUI.aspx?menuIndex=3&amp;refID=7047162&amp;Result=3","7047162")</f>
        <v>0</v>
      </c>
      <c r="B242" t="s">
        <v>123</v>
      </c>
      <c r="C242" t="s">
        <v>3326</v>
      </c>
      <c r="D242" t="s">
        <v>16216</v>
      </c>
      <c r="E242" t="s">
        <v>16530</v>
      </c>
      <c r="F242" t="s">
        <v>28198</v>
      </c>
      <c r="G242" t="s">
        <v>28207</v>
      </c>
      <c r="H242" t="s">
        <v>28215</v>
      </c>
      <c r="I242" t="s">
        <v>28227</v>
      </c>
      <c r="J242" t="s">
        <v>28533</v>
      </c>
      <c r="K242" t="s">
        <v>36688</v>
      </c>
      <c r="M242" t="s">
        <v>37097</v>
      </c>
      <c r="N242" t="s">
        <v>40436</v>
      </c>
      <c r="O242" t="s">
        <v>40437</v>
      </c>
      <c r="P242">
        <v>0</v>
      </c>
      <c r="Q242">
        <v>1</v>
      </c>
      <c r="R242" t="s">
        <v>40438</v>
      </c>
      <c r="S242" t="s">
        <v>40582</v>
      </c>
      <c r="T242" t="s">
        <v>42111</v>
      </c>
      <c r="U242" t="s">
        <v>42828</v>
      </c>
      <c r="W242" t="s">
        <v>37097</v>
      </c>
      <c r="X242" t="s">
        <v>40439</v>
      </c>
    </row>
    <row r="243" spans="1:24">
      <c r="A243">
        <f>HYPERLINK("https://www.philgeps.gov.ph/GEPSNONPILOT/Tender/SplashBidNoticeAbstractUI.aspx?menuIndex=3&amp;refID=7047167&amp;Result=3","7047167")</f>
        <v>0</v>
      </c>
      <c r="B243" t="s">
        <v>124</v>
      </c>
      <c r="C243" t="s">
        <v>3327</v>
      </c>
      <c r="D243" t="s">
        <v>16234</v>
      </c>
      <c r="E243" t="s">
        <v>16531</v>
      </c>
      <c r="F243" t="s">
        <v>28198</v>
      </c>
      <c r="G243" t="s">
        <v>28207</v>
      </c>
      <c r="H243" t="s">
        <v>28215</v>
      </c>
      <c r="I243" t="s">
        <v>5100</v>
      </c>
      <c r="J243" t="s">
        <v>28534</v>
      </c>
      <c r="K243" t="s">
        <v>36691</v>
      </c>
      <c r="M243" t="s">
        <v>37098</v>
      </c>
      <c r="N243" t="s">
        <v>40436</v>
      </c>
      <c r="O243" t="s">
        <v>40437</v>
      </c>
      <c r="P243">
        <v>0</v>
      </c>
      <c r="Q243">
        <v>0</v>
      </c>
      <c r="R243" t="s">
        <v>40438</v>
      </c>
      <c r="S243" t="s">
        <v>40582</v>
      </c>
      <c r="T243" t="s">
        <v>42111</v>
      </c>
      <c r="U243" t="s">
        <v>42829</v>
      </c>
      <c r="W243" t="s">
        <v>37098</v>
      </c>
      <c r="X243" t="s">
        <v>40439</v>
      </c>
    </row>
    <row r="244" spans="1:24">
      <c r="A244">
        <f>HYPERLINK("https://www.philgeps.gov.ph/GEPSNONPILOT/Tender/SplashBidNoticeAbstractUI.aspx?menuIndex=3&amp;refID=7047163&amp;Result=3","7047163")</f>
        <v>0</v>
      </c>
      <c r="B244" t="s">
        <v>125</v>
      </c>
      <c r="C244" t="s">
        <v>3328</v>
      </c>
      <c r="D244" t="s">
        <v>16235</v>
      </c>
      <c r="E244" t="s">
        <v>16532</v>
      </c>
      <c r="F244" t="s">
        <v>28198</v>
      </c>
      <c r="G244" t="s">
        <v>28205</v>
      </c>
      <c r="H244" t="s">
        <v>28215</v>
      </c>
      <c r="I244" t="s">
        <v>5100</v>
      </c>
      <c r="J244" t="s">
        <v>28535</v>
      </c>
      <c r="K244" t="s">
        <v>36701</v>
      </c>
      <c r="M244" t="s">
        <v>37099</v>
      </c>
      <c r="N244" t="s">
        <v>40436</v>
      </c>
      <c r="O244" t="s">
        <v>40437</v>
      </c>
      <c r="P244">
        <v>0</v>
      </c>
      <c r="Q244">
        <v>0</v>
      </c>
      <c r="R244" t="s">
        <v>40438</v>
      </c>
      <c r="S244" t="s">
        <v>40582</v>
      </c>
      <c r="T244" t="s">
        <v>42115</v>
      </c>
      <c r="U244" t="s">
        <v>42830</v>
      </c>
      <c r="W244" t="s">
        <v>37099</v>
      </c>
      <c r="X244" t="s">
        <v>40439</v>
      </c>
    </row>
    <row r="245" spans="1:24">
      <c r="A245">
        <f>HYPERLINK("https://www.philgeps.gov.ph/GEPSNONPILOT/Tender/SplashBidNoticeAbstractUI.aspx?menuIndex=3&amp;refID=7047166&amp;Result=3","7047166")</f>
        <v>0</v>
      </c>
      <c r="B245" t="s">
        <v>125</v>
      </c>
      <c r="C245" t="s">
        <v>3329</v>
      </c>
      <c r="D245" t="s">
        <v>16235</v>
      </c>
      <c r="E245" t="s">
        <v>16533</v>
      </c>
      <c r="F245" t="s">
        <v>28198</v>
      </c>
      <c r="G245" t="s">
        <v>28205</v>
      </c>
      <c r="H245" t="s">
        <v>28215</v>
      </c>
      <c r="I245" t="s">
        <v>5100</v>
      </c>
      <c r="J245" t="s">
        <v>28536</v>
      </c>
      <c r="K245" t="s">
        <v>36701</v>
      </c>
      <c r="M245" t="s">
        <v>37099</v>
      </c>
      <c r="N245" t="s">
        <v>40436</v>
      </c>
      <c r="O245" t="s">
        <v>40437</v>
      </c>
      <c r="P245">
        <v>0</v>
      </c>
      <c r="Q245">
        <v>0</v>
      </c>
      <c r="R245" t="s">
        <v>40438</v>
      </c>
      <c r="S245" t="s">
        <v>40582</v>
      </c>
      <c r="T245" t="s">
        <v>42115</v>
      </c>
      <c r="U245" t="s">
        <v>42831</v>
      </c>
      <c r="W245" t="s">
        <v>37099</v>
      </c>
      <c r="X245" t="s">
        <v>40439</v>
      </c>
    </row>
    <row r="246" spans="1:24">
      <c r="A246">
        <f>HYPERLINK("https://www.philgeps.gov.ph/GEPSNONPILOT/Tender/SplashBidNoticeAbstractUI.aspx?menuIndex=3&amp;refID=7047172&amp;Result=3","7047172")</f>
        <v>0</v>
      </c>
      <c r="B246" t="s">
        <v>124</v>
      </c>
      <c r="C246" t="s">
        <v>3330</v>
      </c>
      <c r="D246" t="s">
        <v>16234</v>
      </c>
      <c r="E246" t="s">
        <v>16534</v>
      </c>
      <c r="F246" t="s">
        <v>28198</v>
      </c>
      <c r="G246" t="s">
        <v>28207</v>
      </c>
      <c r="H246" t="s">
        <v>28215</v>
      </c>
      <c r="I246" t="s">
        <v>4219</v>
      </c>
      <c r="J246" t="s">
        <v>28537</v>
      </c>
      <c r="K246" t="s">
        <v>36691</v>
      </c>
      <c r="M246" t="s">
        <v>37098</v>
      </c>
      <c r="N246" t="s">
        <v>40436</v>
      </c>
      <c r="O246" t="s">
        <v>40437</v>
      </c>
      <c r="P246">
        <v>0</v>
      </c>
      <c r="Q246">
        <v>0</v>
      </c>
      <c r="R246" t="s">
        <v>40438</v>
      </c>
      <c r="S246" t="s">
        <v>40582</v>
      </c>
      <c r="T246" t="s">
        <v>42111</v>
      </c>
      <c r="U246" t="s">
        <v>42829</v>
      </c>
      <c r="W246" t="s">
        <v>37098</v>
      </c>
      <c r="X246" t="s">
        <v>40439</v>
      </c>
    </row>
    <row r="247" spans="1:24">
      <c r="A247">
        <f>HYPERLINK("https://www.philgeps.gov.ph/GEPSNONPILOT/Tender/SplashBidNoticeAbstractUI.aspx?menuIndex=3&amp;refID=7047165&amp;Result=3","7047165")</f>
        <v>0</v>
      </c>
      <c r="B247" t="s">
        <v>124</v>
      </c>
      <c r="C247" t="s">
        <v>3331</v>
      </c>
      <c r="D247" t="s">
        <v>16234</v>
      </c>
      <c r="E247" t="s">
        <v>16535</v>
      </c>
      <c r="F247" t="s">
        <v>28198</v>
      </c>
      <c r="G247" t="s">
        <v>28210</v>
      </c>
      <c r="H247" t="s">
        <v>28215</v>
      </c>
      <c r="I247" t="s">
        <v>4168</v>
      </c>
      <c r="J247" t="s">
        <v>28538</v>
      </c>
      <c r="K247" t="s">
        <v>36691</v>
      </c>
      <c r="M247" t="s">
        <v>37098</v>
      </c>
      <c r="N247" t="s">
        <v>40436</v>
      </c>
      <c r="O247" t="s">
        <v>40437</v>
      </c>
      <c r="P247">
        <v>0</v>
      </c>
      <c r="Q247">
        <v>0</v>
      </c>
      <c r="R247" t="s">
        <v>40438</v>
      </c>
      <c r="S247" t="s">
        <v>40582</v>
      </c>
      <c r="T247" t="s">
        <v>42111</v>
      </c>
      <c r="U247" t="s">
        <v>42829</v>
      </c>
      <c r="W247" t="s">
        <v>37098</v>
      </c>
      <c r="X247" t="s">
        <v>40439</v>
      </c>
    </row>
    <row r="248" spans="1:24">
      <c r="A248">
        <f>HYPERLINK("https://www.philgeps.gov.ph/GEPSNONPILOT/Tender/SplashBidNoticeAbstractUI.aspx?menuIndex=3&amp;refID=7047164&amp;Result=3","7047164")</f>
        <v>0</v>
      </c>
      <c r="B248" t="s">
        <v>126</v>
      </c>
      <c r="C248" t="s">
        <v>3332</v>
      </c>
      <c r="D248" t="s">
        <v>16236</v>
      </c>
      <c r="E248" t="s">
        <v>16536</v>
      </c>
      <c r="F248" t="s">
        <v>28198</v>
      </c>
      <c r="G248" t="s">
        <v>28205</v>
      </c>
      <c r="H248" t="s">
        <v>28215</v>
      </c>
      <c r="I248" t="s">
        <v>28222</v>
      </c>
      <c r="J248" t="s">
        <v>28491</v>
      </c>
      <c r="K248" t="s">
        <v>36688</v>
      </c>
      <c r="M248" t="s">
        <v>37100</v>
      </c>
      <c r="N248" t="s">
        <v>40436</v>
      </c>
      <c r="O248" t="s">
        <v>40437</v>
      </c>
      <c r="P248">
        <v>0</v>
      </c>
      <c r="Q248">
        <v>2</v>
      </c>
      <c r="R248" t="s">
        <v>40438</v>
      </c>
      <c r="S248" t="s">
        <v>40582</v>
      </c>
      <c r="T248" t="s">
        <v>42112</v>
      </c>
      <c r="U248" t="s">
        <v>42832</v>
      </c>
      <c r="W248" t="s">
        <v>37100</v>
      </c>
      <c r="X248" t="s">
        <v>40439</v>
      </c>
    </row>
    <row r="249" spans="1:24">
      <c r="A249">
        <f>HYPERLINK("https://www.philgeps.gov.ph/GEPSNONPILOT/Tender/SplashBidNoticeAbstractUI.aspx?menuIndex=3&amp;refID=7047180&amp;Result=3","7047180")</f>
        <v>0</v>
      </c>
      <c r="B249" t="s">
        <v>127</v>
      </c>
      <c r="C249" t="s">
        <v>3173</v>
      </c>
      <c r="D249" t="s">
        <v>16216</v>
      </c>
      <c r="E249" t="s">
        <v>16537</v>
      </c>
      <c r="F249" t="s">
        <v>28198</v>
      </c>
      <c r="G249" t="s">
        <v>28210</v>
      </c>
      <c r="H249" t="s">
        <v>28215</v>
      </c>
      <c r="I249" t="s">
        <v>5082</v>
      </c>
      <c r="J249" t="s">
        <v>28539</v>
      </c>
      <c r="K249" t="s">
        <v>36688</v>
      </c>
      <c r="M249" t="s">
        <v>37101</v>
      </c>
      <c r="N249" t="s">
        <v>40436</v>
      </c>
      <c r="O249" t="s">
        <v>40437</v>
      </c>
      <c r="P249">
        <v>0</v>
      </c>
      <c r="Q249">
        <v>2</v>
      </c>
      <c r="R249" t="s">
        <v>40438</v>
      </c>
      <c r="S249" t="s">
        <v>40582</v>
      </c>
      <c r="T249" t="s">
        <v>42111</v>
      </c>
      <c r="U249" t="s">
        <v>42833</v>
      </c>
      <c r="W249" t="s">
        <v>37101</v>
      </c>
      <c r="X249" t="s">
        <v>40439</v>
      </c>
    </row>
    <row r="250" spans="1:24">
      <c r="A250">
        <f>HYPERLINK("https://www.philgeps.gov.ph/GEPSNONPILOT/Tender/SplashBidNoticeAbstractUI.aspx?menuIndex=3&amp;refID=7047169&amp;Result=3","7047169")</f>
        <v>0</v>
      </c>
      <c r="B250" t="s">
        <v>128</v>
      </c>
      <c r="C250" t="s">
        <v>3333</v>
      </c>
      <c r="D250" t="s">
        <v>16210</v>
      </c>
      <c r="E250" t="s">
        <v>16538</v>
      </c>
      <c r="F250" t="s">
        <v>28198</v>
      </c>
      <c r="G250" t="s">
        <v>28207</v>
      </c>
      <c r="H250" t="s">
        <v>28215</v>
      </c>
      <c r="I250" t="s">
        <v>28225</v>
      </c>
      <c r="J250" t="s">
        <v>28540</v>
      </c>
      <c r="K250" t="s">
        <v>36688</v>
      </c>
      <c r="M250" t="s">
        <v>37102</v>
      </c>
      <c r="N250" t="s">
        <v>40436</v>
      </c>
      <c r="O250" t="s">
        <v>40437</v>
      </c>
      <c r="P250">
        <v>0</v>
      </c>
      <c r="Q250">
        <v>3</v>
      </c>
      <c r="R250" t="s">
        <v>40438</v>
      </c>
      <c r="S250" t="s">
        <v>40582</v>
      </c>
      <c r="T250" t="s">
        <v>42103</v>
      </c>
      <c r="U250" t="s">
        <v>42834</v>
      </c>
      <c r="W250" t="s">
        <v>37102</v>
      </c>
      <c r="X250" t="s">
        <v>40439</v>
      </c>
    </row>
    <row r="251" spans="1:24">
      <c r="A251">
        <f>HYPERLINK("https://www.philgeps.gov.ph/GEPSNONPILOT/Tender/SplashBidNoticeAbstractUI.aspx?menuIndex=3&amp;refID=7047179&amp;Result=3","7047179")</f>
        <v>0</v>
      </c>
      <c r="B251" t="s">
        <v>129</v>
      </c>
      <c r="C251" t="s">
        <v>3334</v>
      </c>
      <c r="D251" t="s">
        <v>16210</v>
      </c>
      <c r="E251" t="s">
        <v>16539</v>
      </c>
      <c r="F251" t="s">
        <v>28198</v>
      </c>
      <c r="G251" t="s">
        <v>28207</v>
      </c>
      <c r="H251" t="s">
        <v>28215</v>
      </c>
      <c r="I251" t="s">
        <v>28256</v>
      </c>
      <c r="J251" t="s">
        <v>28541</v>
      </c>
      <c r="K251" t="s">
        <v>36706</v>
      </c>
      <c r="M251" t="s">
        <v>37103</v>
      </c>
      <c r="N251" t="s">
        <v>40436</v>
      </c>
      <c r="O251" t="s">
        <v>40437</v>
      </c>
      <c r="P251">
        <v>0</v>
      </c>
      <c r="Q251">
        <v>1</v>
      </c>
      <c r="R251" t="s">
        <v>40438</v>
      </c>
      <c r="S251" t="s">
        <v>40582</v>
      </c>
      <c r="T251" t="s">
        <v>42154</v>
      </c>
      <c r="U251" t="s">
        <v>42835</v>
      </c>
      <c r="V251" t="s">
        <v>53804</v>
      </c>
      <c r="W251" t="s">
        <v>37103</v>
      </c>
      <c r="X251" t="s">
        <v>40439</v>
      </c>
    </row>
    <row r="252" spans="1:24">
      <c r="A252">
        <f>HYPERLINK("https://www.philgeps.gov.ph/GEPSNONPILOT/Tender/SplashBidNoticeAbstractUI.aspx?menuIndex=3&amp;refID=7047178&amp;Result=3","7047178")</f>
        <v>0</v>
      </c>
      <c r="B252" t="s">
        <v>130</v>
      </c>
      <c r="C252" t="s">
        <v>3335</v>
      </c>
      <c r="D252" t="s">
        <v>16223</v>
      </c>
      <c r="E252" t="s">
        <v>16540</v>
      </c>
      <c r="F252" t="s">
        <v>28198</v>
      </c>
      <c r="G252" t="s">
        <v>28207</v>
      </c>
      <c r="H252" t="s">
        <v>28215</v>
      </c>
      <c r="I252" t="s">
        <v>28225</v>
      </c>
      <c r="J252" t="s">
        <v>28542</v>
      </c>
      <c r="K252" t="s">
        <v>36706</v>
      </c>
      <c r="M252" t="s">
        <v>37104</v>
      </c>
      <c r="N252" t="s">
        <v>40436</v>
      </c>
      <c r="O252" t="s">
        <v>40437</v>
      </c>
      <c r="P252">
        <v>0</v>
      </c>
      <c r="Q252">
        <v>1</v>
      </c>
      <c r="R252" t="s">
        <v>40438</v>
      </c>
      <c r="S252" t="s">
        <v>40582</v>
      </c>
      <c r="T252" t="s">
        <v>42111</v>
      </c>
      <c r="U252" t="s">
        <v>42836</v>
      </c>
      <c r="W252" t="s">
        <v>37104</v>
      </c>
      <c r="X252" t="s">
        <v>40439</v>
      </c>
    </row>
    <row r="253" spans="1:24">
      <c r="A253">
        <f>HYPERLINK("https://www.philgeps.gov.ph/GEPSNONPILOT/Tender/SplashBidNoticeAbstractUI.aspx?menuIndex=3&amp;refID=7047171&amp;Result=3","7047171")</f>
        <v>0</v>
      </c>
      <c r="B253" t="s">
        <v>131</v>
      </c>
      <c r="C253" t="s">
        <v>3336</v>
      </c>
      <c r="D253" t="s">
        <v>16237</v>
      </c>
      <c r="E253" t="s">
        <v>16541</v>
      </c>
      <c r="F253" t="s">
        <v>28198</v>
      </c>
      <c r="G253" t="s">
        <v>28205</v>
      </c>
      <c r="H253" t="s">
        <v>28215</v>
      </c>
      <c r="I253" t="s">
        <v>4168</v>
      </c>
      <c r="J253" t="s">
        <v>28543</v>
      </c>
      <c r="K253" t="s">
        <v>36687</v>
      </c>
      <c r="M253" t="s">
        <v>37105</v>
      </c>
      <c r="N253" t="s">
        <v>40436</v>
      </c>
      <c r="O253" t="s">
        <v>40437</v>
      </c>
      <c r="P253">
        <v>0</v>
      </c>
      <c r="Q253">
        <v>0</v>
      </c>
      <c r="R253" t="s">
        <v>40438</v>
      </c>
      <c r="S253" t="s">
        <v>40582</v>
      </c>
      <c r="T253" t="s">
        <v>42121</v>
      </c>
      <c r="U253" t="s">
        <v>42837</v>
      </c>
      <c r="V253" t="s">
        <v>53805</v>
      </c>
      <c r="W253" t="s">
        <v>37105</v>
      </c>
      <c r="X253" t="s">
        <v>40439</v>
      </c>
    </row>
    <row r="254" spans="1:24">
      <c r="A254">
        <f>HYPERLINK("https://www.philgeps.gov.ph/GEPSNONPILOT/Tender/SplashBidNoticeAbstractUI.aspx?menuIndex=3&amp;refID=7047176&amp;Result=3","7047176")</f>
        <v>0</v>
      </c>
      <c r="B254" t="s">
        <v>132</v>
      </c>
      <c r="C254" t="s">
        <v>3337</v>
      </c>
      <c r="D254" t="s">
        <v>16187</v>
      </c>
      <c r="E254" t="s">
        <v>16542</v>
      </c>
      <c r="F254" t="s">
        <v>28198</v>
      </c>
      <c r="G254" t="s">
        <v>28205</v>
      </c>
      <c r="H254" t="s">
        <v>28214</v>
      </c>
      <c r="I254" t="s">
        <v>3797</v>
      </c>
      <c r="J254" t="s">
        <v>28544</v>
      </c>
      <c r="K254" t="s">
        <v>36715</v>
      </c>
      <c r="M254" t="s">
        <v>37106</v>
      </c>
      <c r="N254" t="s">
        <v>40436</v>
      </c>
      <c r="O254" t="s">
        <v>40437</v>
      </c>
      <c r="P254">
        <v>0</v>
      </c>
      <c r="Q254">
        <v>0</v>
      </c>
      <c r="R254" t="s">
        <v>40438</v>
      </c>
      <c r="S254" t="s">
        <v>40582</v>
      </c>
      <c r="T254" t="s">
        <v>42097</v>
      </c>
      <c r="U254" t="s">
        <v>42838</v>
      </c>
      <c r="W254" t="s">
        <v>37106</v>
      </c>
      <c r="X254" t="s">
        <v>40439</v>
      </c>
    </row>
    <row r="255" spans="1:24">
      <c r="A255">
        <f>HYPERLINK("https://www.philgeps.gov.ph/GEPSNONPILOT/Tender/SplashBidNoticeAbstractUI.aspx?menuIndex=3&amp;refID=7047175&amp;Result=3","7047175")</f>
        <v>0</v>
      </c>
      <c r="B255" t="s">
        <v>133</v>
      </c>
      <c r="C255" t="s">
        <v>3338</v>
      </c>
      <c r="D255" t="s">
        <v>16187</v>
      </c>
      <c r="E255" t="s">
        <v>16543</v>
      </c>
      <c r="F255" t="s">
        <v>28198</v>
      </c>
      <c r="G255" t="s">
        <v>28205</v>
      </c>
      <c r="H255" t="s">
        <v>28214</v>
      </c>
      <c r="I255" t="s">
        <v>3797</v>
      </c>
      <c r="J255" t="s">
        <v>28545</v>
      </c>
      <c r="K255" t="s">
        <v>36706</v>
      </c>
      <c r="M255" t="s">
        <v>37107</v>
      </c>
      <c r="N255" t="s">
        <v>40436</v>
      </c>
      <c r="O255" t="s">
        <v>40437</v>
      </c>
      <c r="P255">
        <v>0</v>
      </c>
      <c r="Q255">
        <v>0</v>
      </c>
      <c r="R255" t="s">
        <v>40438</v>
      </c>
      <c r="S255" t="s">
        <v>40582</v>
      </c>
      <c r="T255" t="s">
        <v>42097</v>
      </c>
      <c r="U255" t="s">
        <v>42839</v>
      </c>
      <c r="W255" t="s">
        <v>37107</v>
      </c>
      <c r="X255" t="s">
        <v>40439</v>
      </c>
    </row>
    <row r="256" spans="1:24">
      <c r="A256">
        <f>HYPERLINK("https://www.philgeps.gov.ph/GEPSNONPILOT/Tender/SplashBidNoticeAbstractUI.aspx?menuIndex=3&amp;refID=7047181&amp;Result=3","7047181")</f>
        <v>0</v>
      </c>
      <c r="B256" t="s">
        <v>130</v>
      </c>
      <c r="C256" t="s">
        <v>3339</v>
      </c>
      <c r="D256" t="s">
        <v>16223</v>
      </c>
      <c r="E256" t="s">
        <v>16544</v>
      </c>
      <c r="F256" t="s">
        <v>28198</v>
      </c>
      <c r="G256" t="s">
        <v>28207</v>
      </c>
      <c r="H256" t="s">
        <v>28215</v>
      </c>
      <c r="I256" t="s">
        <v>28225</v>
      </c>
      <c r="J256" t="s">
        <v>28546</v>
      </c>
      <c r="K256" t="s">
        <v>36706</v>
      </c>
      <c r="M256" t="s">
        <v>37104</v>
      </c>
      <c r="N256" t="s">
        <v>40436</v>
      </c>
      <c r="O256" t="s">
        <v>40437</v>
      </c>
      <c r="P256">
        <v>0</v>
      </c>
      <c r="Q256">
        <v>1</v>
      </c>
      <c r="R256" t="s">
        <v>40438</v>
      </c>
      <c r="S256" t="s">
        <v>40582</v>
      </c>
      <c r="T256" t="s">
        <v>42111</v>
      </c>
      <c r="U256" t="s">
        <v>42840</v>
      </c>
      <c r="W256" t="s">
        <v>37104</v>
      </c>
      <c r="X256" t="s">
        <v>40439</v>
      </c>
    </row>
    <row r="257" spans="1:24">
      <c r="A257">
        <f>HYPERLINK("https://www.philgeps.gov.ph/GEPSNONPILOT/Tender/SplashBidNoticeAbstractUI.aspx?menuIndex=3&amp;refID=7047170&amp;Result=3","7047170")</f>
        <v>0</v>
      </c>
      <c r="B257" t="s">
        <v>124</v>
      </c>
      <c r="C257" t="s">
        <v>3340</v>
      </c>
      <c r="D257" t="s">
        <v>16234</v>
      </c>
      <c r="E257" t="s">
        <v>16545</v>
      </c>
      <c r="F257" t="s">
        <v>28198</v>
      </c>
      <c r="G257" t="s">
        <v>28207</v>
      </c>
      <c r="H257" t="s">
        <v>28217</v>
      </c>
      <c r="I257" t="s">
        <v>5100</v>
      </c>
      <c r="J257" t="s">
        <v>28547</v>
      </c>
      <c r="K257" t="s">
        <v>36691</v>
      </c>
      <c r="M257" t="s">
        <v>37098</v>
      </c>
      <c r="N257" t="s">
        <v>40436</v>
      </c>
      <c r="O257" t="s">
        <v>40437</v>
      </c>
      <c r="P257">
        <v>0</v>
      </c>
      <c r="Q257">
        <v>0</v>
      </c>
      <c r="R257" t="s">
        <v>40438</v>
      </c>
      <c r="S257" t="s">
        <v>40582</v>
      </c>
      <c r="T257" t="s">
        <v>42111</v>
      </c>
      <c r="U257" t="s">
        <v>42829</v>
      </c>
      <c r="W257" t="s">
        <v>37098</v>
      </c>
      <c r="X257" t="s">
        <v>40439</v>
      </c>
    </row>
    <row r="258" spans="1:24">
      <c r="A258">
        <f>HYPERLINK("https://www.philgeps.gov.ph/GEPSNONPILOT/Tender/SplashBidNoticeAbstractUI.aspx?menuIndex=3&amp;refID=7047177&amp;Result=3","7047177")</f>
        <v>0</v>
      </c>
      <c r="B258" t="s">
        <v>129</v>
      </c>
      <c r="C258" t="s">
        <v>3341</v>
      </c>
      <c r="D258" t="s">
        <v>16210</v>
      </c>
      <c r="E258" t="s">
        <v>16546</v>
      </c>
      <c r="F258" t="s">
        <v>28198</v>
      </c>
      <c r="G258" t="s">
        <v>28207</v>
      </c>
      <c r="H258" t="s">
        <v>28215</v>
      </c>
      <c r="I258" t="s">
        <v>28234</v>
      </c>
      <c r="J258" t="s">
        <v>28548</v>
      </c>
      <c r="K258" t="s">
        <v>36706</v>
      </c>
      <c r="M258" t="s">
        <v>37103</v>
      </c>
      <c r="N258" t="s">
        <v>40436</v>
      </c>
      <c r="O258" t="s">
        <v>40437</v>
      </c>
      <c r="P258">
        <v>0</v>
      </c>
      <c r="Q258">
        <v>7</v>
      </c>
      <c r="R258" t="s">
        <v>40438</v>
      </c>
      <c r="S258" t="s">
        <v>40582</v>
      </c>
      <c r="T258" t="s">
        <v>42154</v>
      </c>
      <c r="U258" t="s">
        <v>42841</v>
      </c>
      <c r="V258" t="s">
        <v>53804</v>
      </c>
      <c r="W258" t="s">
        <v>37103</v>
      </c>
      <c r="X258" t="s">
        <v>40439</v>
      </c>
    </row>
    <row r="259" spans="1:24">
      <c r="A259">
        <f>HYPERLINK("https://www.philgeps.gov.ph/GEPSNONPILOT/Tender/SplashBidNoticeAbstractUI.aspx?menuIndex=3&amp;refID=7047174&amp;Result=3","7047174")</f>
        <v>0</v>
      </c>
      <c r="B259" t="s">
        <v>134</v>
      </c>
      <c r="C259" t="s">
        <v>3342</v>
      </c>
      <c r="D259" t="s">
        <v>16236</v>
      </c>
      <c r="E259" t="s">
        <v>16547</v>
      </c>
      <c r="F259" t="s">
        <v>28198</v>
      </c>
      <c r="G259" t="s">
        <v>28207</v>
      </c>
      <c r="H259" t="s">
        <v>28215</v>
      </c>
      <c r="I259" t="s">
        <v>5631</v>
      </c>
      <c r="J259" t="s">
        <v>28549</v>
      </c>
      <c r="K259" t="s">
        <v>36720</v>
      </c>
      <c r="M259" t="s">
        <v>37108</v>
      </c>
      <c r="N259" t="s">
        <v>40436</v>
      </c>
      <c r="O259" t="s">
        <v>40437</v>
      </c>
      <c r="P259">
        <v>0</v>
      </c>
      <c r="Q259">
        <v>0</v>
      </c>
      <c r="R259" t="s">
        <v>40438</v>
      </c>
      <c r="S259" t="s">
        <v>40582</v>
      </c>
      <c r="T259" t="s">
        <v>42103</v>
      </c>
      <c r="U259" t="s">
        <v>42842</v>
      </c>
      <c r="W259" t="s">
        <v>37108</v>
      </c>
      <c r="X259" t="s">
        <v>40439</v>
      </c>
    </row>
    <row r="260" spans="1:24">
      <c r="A260">
        <f>HYPERLINK("https://www.philgeps.gov.ph/GEPSNONPILOT/Tender/SplashBidNoticeAbstractUI.aspx?menuIndex=3&amp;refID=7047173&amp;Result=3","7047173")</f>
        <v>0</v>
      </c>
      <c r="B260" t="s">
        <v>111</v>
      </c>
      <c r="C260" t="s">
        <v>3343</v>
      </c>
      <c r="D260" t="s">
        <v>16238</v>
      </c>
      <c r="E260" t="s">
        <v>16548</v>
      </c>
      <c r="F260" t="s">
        <v>28198</v>
      </c>
      <c r="G260" t="s">
        <v>28207</v>
      </c>
      <c r="H260" t="s">
        <v>28215</v>
      </c>
      <c r="I260" t="s">
        <v>6051</v>
      </c>
      <c r="J260" t="s">
        <v>28550</v>
      </c>
      <c r="K260" t="s">
        <v>36694</v>
      </c>
      <c r="M260" t="s">
        <v>37085</v>
      </c>
      <c r="N260" t="s">
        <v>40436</v>
      </c>
      <c r="O260" t="s">
        <v>40437</v>
      </c>
      <c r="P260">
        <v>0</v>
      </c>
      <c r="Q260">
        <v>1</v>
      </c>
      <c r="R260" t="s">
        <v>40438</v>
      </c>
      <c r="S260" t="s">
        <v>40582</v>
      </c>
      <c r="T260" t="s">
        <v>42111</v>
      </c>
      <c r="U260" t="s">
        <v>42843</v>
      </c>
      <c r="W260" t="s">
        <v>37085</v>
      </c>
      <c r="X260" t="s">
        <v>40439</v>
      </c>
    </row>
    <row r="261" spans="1:24">
      <c r="A261">
        <f>HYPERLINK("https://www.philgeps.gov.ph/GEPSNONPILOT/Tender/SplashBidNoticeAbstractUI.aspx?menuIndex=3&amp;refID=7047182&amp;Result=3","7047182")</f>
        <v>0</v>
      </c>
      <c r="B261" t="s">
        <v>129</v>
      </c>
      <c r="C261" t="s">
        <v>3344</v>
      </c>
      <c r="D261" t="s">
        <v>16210</v>
      </c>
      <c r="E261" t="s">
        <v>16549</v>
      </c>
      <c r="F261" t="s">
        <v>28198</v>
      </c>
      <c r="G261" t="s">
        <v>28207</v>
      </c>
      <c r="H261" t="s">
        <v>28215</v>
      </c>
      <c r="I261" t="s">
        <v>4168</v>
      </c>
      <c r="J261" t="s">
        <v>28414</v>
      </c>
      <c r="K261" t="s">
        <v>36706</v>
      </c>
      <c r="M261" t="s">
        <v>37103</v>
      </c>
      <c r="N261" t="s">
        <v>40436</v>
      </c>
      <c r="O261" t="s">
        <v>40437</v>
      </c>
      <c r="P261">
        <v>0</v>
      </c>
      <c r="Q261">
        <v>7</v>
      </c>
      <c r="R261" t="s">
        <v>40438</v>
      </c>
      <c r="S261" t="s">
        <v>40582</v>
      </c>
      <c r="T261" t="s">
        <v>42154</v>
      </c>
      <c r="U261" t="s">
        <v>42844</v>
      </c>
      <c r="V261" t="s">
        <v>53804</v>
      </c>
      <c r="W261" t="s">
        <v>37103</v>
      </c>
      <c r="X261" t="s">
        <v>40439</v>
      </c>
    </row>
    <row r="262" spans="1:24">
      <c r="A262">
        <f>HYPERLINK("https://www.philgeps.gov.ph/GEPSNONPILOT/Tender/SplashBidNoticeAbstractUI.aspx?menuIndex=3&amp;refID=7047168&amp;Result=3","7047168")</f>
        <v>0</v>
      </c>
      <c r="B262" t="s">
        <v>134</v>
      </c>
      <c r="C262" t="s">
        <v>3345</v>
      </c>
      <c r="D262" t="s">
        <v>16236</v>
      </c>
      <c r="E262" t="s">
        <v>16550</v>
      </c>
      <c r="F262" t="s">
        <v>28198</v>
      </c>
      <c r="G262" t="s">
        <v>28207</v>
      </c>
      <c r="H262" t="s">
        <v>28215</v>
      </c>
      <c r="I262" t="s">
        <v>28256</v>
      </c>
      <c r="J262" t="s">
        <v>28551</v>
      </c>
      <c r="K262" t="s">
        <v>36706</v>
      </c>
      <c r="M262" t="s">
        <v>37108</v>
      </c>
      <c r="N262" t="s">
        <v>40436</v>
      </c>
      <c r="O262" t="s">
        <v>40437</v>
      </c>
      <c r="P262">
        <v>0</v>
      </c>
      <c r="Q262">
        <v>3</v>
      </c>
      <c r="R262" t="s">
        <v>40438</v>
      </c>
      <c r="S262" t="s">
        <v>40582</v>
      </c>
      <c r="T262" t="s">
        <v>42103</v>
      </c>
      <c r="U262" t="s">
        <v>42845</v>
      </c>
      <c r="W262" t="s">
        <v>37108</v>
      </c>
      <c r="X262" t="s">
        <v>40439</v>
      </c>
    </row>
    <row r="263" spans="1:24">
      <c r="A263">
        <f>HYPERLINK("https://www.philgeps.gov.ph/GEPSNONPILOT/Tender/SplashBidNoticeAbstractUI.aspx?menuIndex=3&amp;refID=7047184&amp;Result=3","7047184")</f>
        <v>0</v>
      </c>
      <c r="B263" t="s">
        <v>130</v>
      </c>
      <c r="C263" t="s">
        <v>3346</v>
      </c>
      <c r="D263" t="s">
        <v>16223</v>
      </c>
      <c r="E263" t="s">
        <v>16551</v>
      </c>
      <c r="F263" t="s">
        <v>28198</v>
      </c>
      <c r="G263" t="s">
        <v>28207</v>
      </c>
      <c r="H263" t="s">
        <v>28215</v>
      </c>
      <c r="I263" t="s">
        <v>28225</v>
      </c>
      <c r="J263" t="s">
        <v>28552</v>
      </c>
      <c r="K263" t="s">
        <v>36706</v>
      </c>
      <c r="M263" t="s">
        <v>37104</v>
      </c>
      <c r="N263" t="s">
        <v>40436</v>
      </c>
      <c r="O263" t="s">
        <v>40437</v>
      </c>
      <c r="P263">
        <v>0</v>
      </c>
      <c r="Q263">
        <v>2</v>
      </c>
      <c r="R263" t="s">
        <v>40438</v>
      </c>
      <c r="S263" t="s">
        <v>40582</v>
      </c>
      <c r="T263" t="s">
        <v>42111</v>
      </c>
      <c r="U263" t="s">
        <v>42846</v>
      </c>
      <c r="W263" t="s">
        <v>37104</v>
      </c>
      <c r="X263" t="s">
        <v>40439</v>
      </c>
    </row>
    <row r="264" spans="1:24">
      <c r="A264">
        <f>HYPERLINK("https://www.philgeps.gov.ph/GEPSNONPILOT/Tender/SplashBidNoticeAbstractUI.aspx?menuIndex=3&amp;refID=7047204&amp;Result=3","7047204")</f>
        <v>0</v>
      </c>
      <c r="B264" t="s">
        <v>135</v>
      </c>
      <c r="C264" t="s">
        <v>3347</v>
      </c>
      <c r="D264" t="s">
        <v>16200</v>
      </c>
      <c r="E264" t="s">
        <v>16552</v>
      </c>
      <c r="F264" t="s">
        <v>28198</v>
      </c>
      <c r="G264" t="s">
        <v>28206</v>
      </c>
      <c r="H264" t="s">
        <v>28215</v>
      </c>
      <c r="I264" t="s">
        <v>3774</v>
      </c>
      <c r="J264" t="s">
        <v>28553</v>
      </c>
      <c r="K264" t="s">
        <v>36689</v>
      </c>
      <c r="M264" t="s">
        <v>37109</v>
      </c>
      <c r="N264" t="s">
        <v>40436</v>
      </c>
      <c r="O264" t="s">
        <v>40437</v>
      </c>
      <c r="P264">
        <v>0</v>
      </c>
      <c r="Q264">
        <v>2</v>
      </c>
      <c r="R264" t="s">
        <v>40438</v>
      </c>
      <c r="S264" t="s">
        <v>40582</v>
      </c>
      <c r="T264" t="s">
        <v>42129</v>
      </c>
      <c r="U264" t="s">
        <v>42847</v>
      </c>
      <c r="W264" t="s">
        <v>37109</v>
      </c>
      <c r="X264" t="s">
        <v>40439</v>
      </c>
    </row>
    <row r="265" spans="1:24">
      <c r="A265">
        <f>HYPERLINK("https://www.philgeps.gov.ph/GEPSNONPILOT/Tender/SplashBidNoticeAbstractUI.aspx?menuIndex=3&amp;refID=7047189&amp;Result=3","7047189")</f>
        <v>0</v>
      </c>
      <c r="B265" t="s">
        <v>136</v>
      </c>
      <c r="C265" t="s">
        <v>3348</v>
      </c>
      <c r="D265" t="s">
        <v>16188</v>
      </c>
      <c r="E265" t="s">
        <v>16553</v>
      </c>
      <c r="F265" t="s">
        <v>28198</v>
      </c>
      <c r="G265" t="s">
        <v>28205</v>
      </c>
      <c r="H265" t="s">
        <v>28214</v>
      </c>
      <c r="I265" t="s">
        <v>3797</v>
      </c>
      <c r="J265" t="s">
        <v>28554</v>
      </c>
      <c r="K265" t="s">
        <v>36721</v>
      </c>
      <c r="M265" t="s">
        <v>37110</v>
      </c>
      <c r="N265" t="s">
        <v>40436</v>
      </c>
      <c r="O265" t="s">
        <v>40437</v>
      </c>
      <c r="P265">
        <v>0</v>
      </c>
      <c r="Q265">
        <v>3</v>
      </c>
      <c r="R265" t="s">
        <v>40438</v>
      </c>
      <c r="S265" t="s">
        <v>40582</v>
      </c>
      <c r="T265" t="s">
        <v>42155</v>
      </c>
      <c r="U265" t="s">
        <v>42848</v>
      </c>
      <c r="V265" t="s">
        <v>53806</v>
      </c>
      <c r="W265" t="s">
        <v>55432</v>
      </c>
      <c r="X265" t="s">
        <v>40439</v>
      </c>
    </row>
    <row r="266" spans="1:24">
      <c r="A266">
        <f>HYPERLINK("https://www.philgeps.gov.ph/GEPSNONPILOT/Tender/SplashBidNoticeAbstractUI.aspx?menuIndex=3&amp;refID=7047201&amp;Result=3","7047201")</f>
        <v>0</v>
      </c>
      <c r="B266" t="s">
        <v>136</v>
      </c>
      <c r="C266" t="s">
        <v>3349</v>
      </c>
      <c r="D266" t="s">
        <v>16188</v>
      </c>
      <c r="E266" t="s">
        <v>16554</v>
      </c>
      <c r="F266" t="s">
        <v>28198</v>
      </c>
      <c r="G266" t="s">
        <v>28205</v>
      </c>
      <c r="H266" t="s">
        <v>28214</v>
      </c>
      <c r="I266" t="s">
        <v>3797</v>
      </c>
      <c r="J266" t="s">
        <v>28555</v>
      </c>
      <c r="K266" t="s">
        <v>36722</v>
      </c>
      <c r="M266" t="s">
        <v>37110</v>
      </c>
      <c r="N266" t="s">
        <v>40436</v>
      </c>
      <c r="O266" t="s">
        <v>40437</v>
      </c>
      <c r="P266">
        <v>0</v>
      </c>
      <c r="Q266">
        <v>3</v>
      </c>
      <c r="R266" t="s">
        <v>40438</v>
      </c>
      <c r="S266" t="s">
        <v>40582</v>
      </c>
      <c r="T266" t="s">
        <v>42155</v>
      </c>
      <c r="U266" t="s">
        <v>42849</v>
      </c>
      <c r="V266" t="s">
        <v>53806</v>
      </c>
      <c r="W266" t="s">
        <v>55432</v>
      </c>
      <c r="X266" t="s">
        <v>40439</v>
      </c>
    </row>
    <row r="267" spans="1:24">
      <c r="A267">
        <f>HYPERLINK("https://www.philgeps.gov.ph/GEPSNONPILOT/Tender/SplashBidNoticeAbstractUI.aspx?menuIndex=3&amp;refID=7047185&amp;Result=3","7047185")</f>
        <v>0</v>
      </c>
      <c r="B267" t="s">
        <v>129</v>
      </c>
      <c r="C267" t="s">
        <v>3350</v>
      </c>
      <c r="D267" t="s">
        <v>16210</v>
      </c>
      <c r="E267" t="s">
        <v>16555</v>
      </c>
      <c r="F267" t="s">
        <v>28198</v>
      </c>
      <c r="G267" t="s">
        <v>28207</v>
      </c>
      <c r="H267" t="s">
        <v>28215</v>
      </c>
      <c r="I267" t="s">
        <v>28234</v>
      </c>
      <c r="J267" t="s">
        <v>28486</v>
      </c>
      <c r="K267" t="s">
        <v>36706</v>
      </c>
      <c r="M267" t="s">
        <v>37103</v>
      </c>
      <c r="N267" t="s">
        <v>40436</v>
      </c>
      <c r="O267" t="s">
        <v>40437</v>
      </c>
      <c r="P267">
        <v>0</v>
      </c>
      <c r="Q267">
        <v>10</v>
      </c>
      <c r="R267" t="s">
        <v>40438</v>
      </c>
      <c r="S267" t="s">
        <v>40582</v>
      </c>
      <c r="T267" t="s">
        <v>42154</v>
      </c>
      <c r="U267" t="s">
        <v>42850</v>
      </c>
      <c r="V267" t="s">
        <v>53804</v>
      </c>
      <c r="W267" t="s">
        <v>37103</v>
      </c>
      <c r="X267" t="s">
        <v>40439</v>
      </c>
    </row>
    <row r="268" spans="1:24">
      <c r="A268">
        <f>HYPERLINK("https://www.philgeps.gov.ph/GEPSNONPILOT/Tender/SplashBidNoticeAbstractUI.aspx?menuIndex=3&amp;refID=7047190&amp;Result=3","7047190")</f>
        <v>0</v>
      </c>
      <c r="B268" t="s">
        <v>127</v>
      </c>
      <c r="C268" t="s">
        <v>3351</v>
      </c>
      <c r="D268" t="s">
        <v>16216</v>
      </c>
      <c r="E268" t="s">
        <v>16530</v>
      </c>
      <c r="F268" t="s">
        <v>28198</v>
      </c>
      <c r="G268" t="s">
        <v>28207</v>
      </c>
      <c r="H268" t="s">
        <v>28215</v>
      </c>
      <c r="I268" t="s">
        <v>28221</v>
      </c>
      <c r="J268" t="s">
        <v>28556</v>
      </c>
      <c r="K268" t="s">
        <v>36688</v>
      </c>
      <c r="M268" t="s">
        <v>37101</v>
      </c>
      <c r="N268" t="s">
        <v>40436</v>
      </c>
      <c r="O268" t="s">
        <v>40437</v>
      </c>
      <c r="P268">
        <v>0</v>
      </c>
      <c r="Q268">
        <v>0</v>
      </c>
      <c r="R268" t="s">
        <v>40438</v>
      </c>
      <c r="S268" t="s">
        <v>40582</v>
      </c>
      <c r="T268" t="s">
        <v>42111</v>
      </c>
      <c r="U268" t="s">
        <v>42851</v>
      </c>
      <c r="W268" t="s">
        <v>37101</v>
      </c>
      <c r="X268" t="s">
        <v>40439</v>
      </c>
    </row>
    <row r="269" spans="1:24">
      <c r="A269">
        <f>HYPERLINK("https://www.philgeps.gov.ph/GEPSNONPILOT/Tender/SplashBidNoticeAbstractUI.aspx?menuIndex=3&amp;refID=7047203&amp;Result=3","7047203")</f>
        <v>0</v>
      </c>
      <c r="B269" t="s">
        <v>129</v>
      </c>
      <c r="C269" t="s">
        <v>3352</v>
      </c>
      <c r="D269" t="s">
        <v>16210</v>
      </c>
      <c r="E269" t="s">
        <v>16556</v>
      </c>
      <c r="F269" t="s">
        <v>28198</v>
      </c>
      <c r="G269" t="s">
        <v>28206</v>
      </c>
      <c r="H269" t="s">
        <v>28215</v>
      </c>
      <c r="I269" t="s">
        <v>4219</v>
      </c>
      <c r="J269" t="s">
        <v>28557</v>
      </c>
      <c r="K269" t="s">
        <v>36706</v>
      </c>
      <c r="M269" t="s">
        <v>37103</v>
      </c>
      <c r="N269" t="s">
        <v>40436</v>
      </c>
      <c r="O269" t="s">
        <v>40437</v>
      </c>
      <c r="P269">
        <v>0</v>
      </c>
      <c r="Q269">
        <v>2</v>
      </c>
      <c r="R269" t="s">
        <v>40438</v>
      </c>
      <c r="S269" t="s">
        <v>40582</v>
      </c>
      <c r="T269" t="s">
        <v>42156</v>
      </c>
      <c r="U269" t="s">
        <v>42852</v>
      </c>
      <c r="V269" t="s">
        <v>53804</v>
      </c>
      <c r="W269" t="s">
        <v>37103</v>
      </c>
      <c r="X269" t="s">
        <v>40439</v>
      </c>
    </row>
    <row r="270" spans="1:24">
      <c r="A270">
        <f>HYPERLINK("https://www.philgeps.gov.ph/GEPSNONPILOT/Tender/SplashBidNoticeAbstractUI.aspx?menuIndex=3&amp;refID=7047183&amp;Result=3","7047183")</f>
        <v>0</v>
      </c>
      <c r="B270" t="s">
        <v>127</v>
      </c>
      <c r="C270" t="s">
        <v>3353</v>
      </c>
      <c r="D270" t="s">
        <v>16216</v>
      </c>
      <c r="E270" t="s">
        <v>16557</v>
      </c>
      <c r="F270" t="s">
        <v>28198</v>
      </c>
      <c r="G270" t="s">
        <v>28210</v>
      </c>
      <c r="H270" t="s">
        <v>28215</v>
      </c>
      <c r="I270" t="s">
        <v>4168</v>
      </c>
      <c r="J270" t="s">
        <v>28558</v>
      </c>
      <c r="K270" t="s">
        <v>36688</v>
      </c>
      <c r="M270" t="s">
        <v>37101</v>
      </c>
      <c r="N270" t="s">
        <v>40436</v>
      </c>
      <c r="O270" t="s">
        <v>40437</v>
      </c>
      <c r="P270">
        <v>0</v>
      </c>
      <c r="Q270">
        <v>2</v>
      </c>
      <c r="R270" t="s">
        <v>40438</v>
      </c>
      <c r="S270" t="s">
        <v>40582</v>
      </c>
      <c r="T270" t="s">
        <v>42111</v>
      </c>
      <c r="U270" t="s">
        <v>42853</v>
      </c>
      <c r="W270" t="s">
        <v>37101</v>
      </c>
      <c r="X270" t="s">
        <v>40439</v>
      </c>
    </row>
    <row r="271" spans="1:24">
      <c r="A271">
        <f>HYPERLINK("https://www.philgeps.gov.ph/GEPSNONPILOT/Tender/SplashBidNoticeAbstractUI.aspx?menuIndex=3&amp;refID=7047187&amp;Result=3","7047187")</f>
        <v>0</v>
      </c>
      <c r="B271" t="s">
        <v>129</v>
      </c>
      <c r="C271" t="s">
        <v>3354</v>
      </c>
      <c r="D271" t="s">
        <v>16210</v>
      </c>
      <c r="E271" t="s">
        <v>16558</v>
      </c>
      <c r="F271" t="s">
        <v>28198</v>
      </c>
      <c r="G271" t="s">
        <v>28207</v>
      </c>
      <c r="H271" t="s">
        <v>28215</v>
      </c>
      <c r="I271" t="s">
        <v>28256</v>
      </c>
      <c r="J271" t="s">
        <v>28559</v>
      </c>
      <c r="K271" t="s">
        <v>36706</v>
      </c>
      <c r="M271" t="s">
        <v>37103</v>
      </c>
      <c r="N271" t="s">
        <v>40436</v>
      </c>
      <c r="O271" t="s">
        <v>40437</v>
      </c>
      <c r="P271">
        <v>0</v>
      </c>
      <c r="Q271">
        <v>2</v>
      </c>
      <c r="R271" t="s">
        <v>40438</v>
      </c>
      <c r="S271" t="s">
        <v>40582</v>
      </c>
      <c r="T271" t="s">
        <v>42154</v>
      </c>
      <c r="U271" t="s">
        <v>42854</v>
      </c>
      <c r="V271" t="s">
        <v>53804</v>
      </c>
      <c r="W271" t="s">
        <v>37103</v>
      </c>
      <c r="X271" t="s">
        <v>40439</v>
      </c>
    </row>
    <row r="272" spans="1:24">
      <c r="A272">
        <f>HYPERLINK("https://www.philgeps.gov.ph/GEPSNONPILOT/Tender/SplashBidNoticeAbstractUI.aspx?menuIndex=3&amp;refID=7047202&amp;Result=3","7047202")</f>
        <v>0</v>
      </c>
      <c r="B272" t="s">
        <v>137</v>
      </c>
      <c r="C272" t="s">
        <v>3355</v>
      </c>
      <c r="D272" t="s">
        <v>16217</v>
      </c>
      <c r="E272" t="s">
        <v>16559</v>
      </c>
      <c r="F272" t="s">
        <v>28198</v>
      </c>
      <c r="G272" t="s">
        <v>28207</v>
      </c>
      <c r="H272" t="s">
        <v>28215</v>
      </c>
      <c r="I272" t="s">
        <v>5082</v>
      </c>
      <c r="J272" t="s">
        <v>28560</v>
      </c>
      <c r="K272" t="s">
        <v>36707</v>
      </c>
      <c r="M272" t="s">
        <v>37111</v>
      </c>
      <c r="N272" t="s">
        <v>40436</v>
      </c>
      <c r="O272" t="s">
        <v>40437</v>
      </c>
      <c r="P272">
        <v>0</v>
      </c>
      <c r="Q272">
        <v>0</v>
      </c>
      <c r="R272" t="s">
        <v>40438</v>
      </c>
      <c r="S272" t="s">
        <v>40582</v>
      </c>
      <c r="T272" t="s">
        <v>42103</v>
      </c>
      <c r="U272" t="s">
        <v>42855</v>
      </c>
      <c r="W272" t="s">
        <v>37111</v>
      </c>
      <c r="X272" t="s">
        <v>40439</v>
      </c>
    </row>
    <row r="273" spans="1:24">
      <c r="A273">
        <f>HYPERLINK("https://www.philgeps.gov.ph/GEPSNONPILOT/Tender/SplashBidNoticeAbstractUI.aspx?menuIndex=3&amp;refID=7047186&amp;Result=3","7047186")</f>
        <v>0</v>
      </c>
      <c r="B273" t="s">
        <v>138</v>
      </c>
      <c r="C273" t="s">
        <v>3356</v>
      </c>
      <c r="D273" t="s">
        <v>16188</v>
      </c>
      <c r="E273" t="s">
        <v>16560</v>
      </c>
      <c r="F273" t="s">
        <v>28198</v>
      </c>
      <c r="G273" t="s">
        <v>28207</v>
      </c>
      <c r="H273" t="s">
        <v>28215</v>
      </c>
      <c r="I273" t="s">
        <v>4200</v>
      </c>
      <c r="J273" t="s">
        <v>28350</v>
      </c>
      <c r="K273" t="s">
        <v>36707</v>
      </c>
      <c r="M273" t="s">
        <v>37112</v>
      </c>
      <c r="N273" t="s">
        <v>40436</v>
      </c>
      <c r="O273" t="s">
        <v>40437</v>
      </c>
      <c r="P273">
        <v>0</v>
      </c>
      <c r="Q273">
        <v>1</v>
      </c>
      <c r="R273" t="s">
        <v>40438</v>
      </c>
      <c r="S273" t="s">
        <v>40582</v>
      </c>
      <c r="T273" t="s">
        <v>42111</v>
      </c>
      <c r="U273" t="s">
        <v>42856</v>
      </c>
      <c r="W273" t="s">
        <v>37112</v>
      </c>
      <c r="X273" t="s">
        <v>40439</v>
      </c>
    </row>
    <row r="274" spans="1:24">
      <c r="A274">
        <f>HYPERLINK("https://www.philgeps.gov.ph/GEPSNONPILOT/Tender/SplashBidNoticeAbstractUI.aspx?menuIndex=3&amp;refID=7047199&amp;Result=3","7047199")</f>
        <v>0</v>
      </c>
      <c r="B274" t="s">
        <v>139</v>
      </c>
      <c r="C274" t="s">
        <v>3357</v>
      </c>
      <c r="E274" t="s">
        <v>16561</v>
      </c>
      <c r="F274" t="s">
        <v>28198</v>
      </c>
      <c r="G274" t="s">
        <v>28207</v>
      </c>
      <c r="H274" t="s">
        <v>28215</v>
      </c>
      <c r="I274" t="s">
        <v>5082</v>
      </c>
      <c r="J274" t="s">
        <v>28354</v>
      </c>
      <c r="K274" t="s">
        <v>36689</v>
      </c>
      <c r="M274" t="s">
        <v>37113</v>
      </c>
      <c r="N274" t="s">
        <v>40436</v>
      </c>
      <c r="O274" t="s">
        <v>40437</v>
      </c>
      <c r="P274">
        <v>0</v>
      </c>
      <c r="Q274">
        <v>1</v>
      </c>
      <c r="R274" t="s">
        <v>40438</v>
      </c>
      <c r="S274" t="s">
        <v>40582</v>
      </c>
      <c r="T274" t="s">
        <v>42111</v>
      </c>
      <c r="U274" t="s">
        <v>42857</v>
      </c>
      <c r="W274" t="s">
        <v>37113</v>
      </c>
      <c r="X274" t="s">
        <v>40439</v>
      </c>
    </row>
    <row r="275" spans="1:24">
      <c r="A275">
        <f>HYPERLINK("https://www.philgeps.gov.ph/GEPSNONPILOT/Tender/SplashBidNoticeAbstractUI.aspx?menuIndex=3&amp;refID=7047198&amp;Result=3","7047198")</f>
        <v>0</v>
      </c>
      <c r="B275" t="s">
        <v>140</v>
      </c>
      <c r="C275" t="s">
        <v>3358</v>
      </c>
      <c r="D275" t="s">
        <v>16196</v>
      </c>
      <c r="E275" t="s">
        <v>16562</v>
      </c>
      <c r="F275" t="s">
        <v>28198</v>
      </c>
      <c r="G275" t="s">
        <v>28207</v>
      </c>
      <c r="H275" t="s">
        <v>28215</v>
      </c>
      <c r="I275" t="s">
        <v>28247</v>
      </c>
      <c r="J275" t="s">
        <v>28561</v>
      </c>
      <c r="K275" t="s">
        <v>36689</v>
      </c>
      <c r="M275" t="s">
        <v>37114</v>
      </c>
      <c r="N275" t="s">
        <v>40436</v>
      </c>
      <c r="O275" t="s">
        <v>40437</v>
      </c>
      <c r="P275">
        <v>0</v>
      </c>
      <c r="Q275">
        <v>4</v>
      </c>
      <c r="R275" t="s">
        <v>40438</v>
      </c>
      <c r="S275" t="s">
        <v>40582</v>
      </c>
      <c r="T275" t="s">
        <v>42124</v>
      </c>
      <c r="U275" t="s">
        <v>42858</v>
      </c>
      <c r="V275" t="s">
        <v>53807</v>
      </c>
      <c r="W275" t="s">
        <v>37114</v>
      </c>
      <c r="X275" t="s">
        <v>40439</v>
      </c>
    </row>
    <row r="276" spans="1:24">
      <c r="A276">
        <f>HYPERLINK("https://www.philgeps.gov.ph/GEPSNONPILOT/Tender/SplashBidNoticeAbstractUI.aspx?menuIndex=3&amp;refID=7047196&amp;Result=3","7047196")</f>
        <v>0</v>
      </c>
      <c r="B276" t="s">
        <v>129</v>
      </c>
      <c r="C276" t="s">
        <v>3359</v>
      </c>
      <c r="D276" t="s">
        <v>16210</v>
      </c>
      <c r="E276" t="s">
        <v>16563</v>
      </c>
      <c r="F276" t="s">
        <v>28198</v>
      </c>
      <c r="G276" t="s">
        <v>28206</v>
      </c>
      <c r="H276" t="s">
        <v>28215</v>
      </c>
      <c r="I276" t="s">
        <v>28237</v>
      </c>
      <c r="J276" t="s">
        <v>28504</v>
      </c>
      <c r="K276" t="s">
        <v>36706</v>
      </c>
      <c r="M276" t="s">
        <v>37103</v>
      </c>
      <c r="N276" t="s">
        <v>40436</v>
      </c>
      <c r="O276" t="s">
        <v>40437</v>
      </c>
      <c r="P276">
        <v>0</v>
      </c>
      <c r="Q276">
        <v>1</v>
      </c>
      <c r="R276" t="s">
        <v>40438</v>
      </c>
      <c r="S276" t="s">
        <v>40582</v>
      </c>
      <c r="T276" t="s">
        <v>42156</v>
      </c>
      <c r="U276" t="s">
        <v>42859</v>
      </c>
      <c r="V276" t="s">
        <v>53804</v>
      </c>
      <c r="W276" t="s">
        <v>37103</v>
      </c>
      <c r="X276" t="s">
        <v>40439</v>
      </c>
    </row>
    <row r="277" spans="1:24">
      <c r="A277">
        <f>HYPERLINK("https://www.philgeps.gov.ph/GEPSNONPILOT/Tender/SplashBidNoticeAbstractUI.aspx?menuIndex=3&amp;refID=7047191&amp;Result=3","7047191")</f>
        <v>0</v>
      </c>
      <c r="B277" t="s">
        <v>129</v>
      </c>
      <c r="C277" t="s">
        <v>3360</v>
      </c>
      <c r="D277" t="s">
        <v>16210</v>
      </c>
      <c r="E277" t="s">
        <v>16564</v>
      </c>
      <c r="F277" t="s">
        <v>28198</v>
      </c>
      <c r="G277" t="s">
        <v>28207</v>
      </c>
      <c r="H277" t="s">
        <v>28215</v>
      </c>
      <c r="I277" t="s">
        <v>28256</v>
      </c>
      <c r="J277" t="s">
        <v>28393</v>
      </c>
      <c r="K277" t="s">
        <v>36706</v>
      </c>
      <c r="M277" t="s">
        <v>37103</v>
      </c>
      <c r="N277" t="s">
        <v>40436</v>
      </c>
      <c r="O277" t="s">
        <v>40437</v>
      </c>
      <c r="P277">
        <v>0</v>
      </c>
      <c r="Q277">
        <v>2</v>
      </c>
      <c r="R277" t="s">
        <v>40438</v>
      </c>
      <c r="S277" t="s">
        <v>40582</v>
      </c>
      <c r="T277" t="s">
        <v>42154</v>
      </c>
      <c r="U277" t="s">
        <v>42860</v>
      </c>
      <c r="V277" t="s">
        <v>53804</v>
      </c>
      <c r="W277" t="s">
        <v>37103</v>
      </c>
      <c r="X277" t="s">
        <v>40439</v>
      </c>
    </row>
    <row r="278" spans="1:24">
      <c r="A278">
        <f>HYPERLINK("https://www.philgeps.gov.ph/GEPSNONPILOT/Tender/SplashBidNoticeAbstractUI.aspx?menuIndex=3&amp;refID=7047200&amp;Result=3","7047200")</f>
        <v>0</v>
      </c>
      <c r="B278" t="s">
        <v>138</v>
      </c>
      <c r="C278" t="s">
        <v>3361</v>
      </c>
      <c r="D278" t="s">
        <v>16188</v>
      </c>
      <c r="E278" t="s">
        <v>16565</v>
      </c>
      <c r="F278" t="s">
        <v>28198</v>
      </c>
      <c r="G278" t="s">
        <v>28207</v>
      </c>
      <c r="H278" t="s">
        <v>28215</v>
      </c>
      <c r="I278" t="s">
        <v>4200</v>
      </c>
      <c r="J278" t="s">
        <v>28373</v>
      </c>
      <c r="K278" t="s">
        <v>36707</v>
      </c>
      <c r="M278" t="s">
        <v>37112</v>
      </c>
      <c r="N278" t="s">
        <v>40436</v>
      </c>
      <c r="O278" t="s">
        <v>40437</v>
      </c>
      <c r="P278">
        <v>0</v>
      </c>
      <c r="Q278">
        <v>3</v>
      </c>
      <c r="R278" t="s">
        <v>40438</v>
      </c>
      <c r="S278" t="s">
        <v>40582</v>
      </c>
      <c r="T278" t="s">
        <v>42111</v>
      </c>
      <c r="U278" t="s">
        <v>42861</v>
      </c>
      <c r="W278" t="s">
        <v>37112</v>
      </c>
      <c r="X278" t="s">
        <v>40439</v>
      </c>
    </row>
    <row r="279" spans="1:24">
      <c r="A279">
        <f>HYPERLINK("https://www.philgeps.gov.ph/GEPSNONPILOT/Tender/SplashBidNoticeAbstractUI.aspx?menuIndex=3&amp;refID=7047197&amp;Result=3","7047197")</f>
        <v>0</v>
      </c>
      <c r="B279" t="s">
        <v>129</v>
      </c>
      <c r="C279" t="s">
        <v>3362</v>
      </c>
      <c r="D279" t="s">
        <v>16210</v>
      </c>
      <c r="E279" t="s">
        <v>16566</v>
      </c>
      <c r="F279" t="s">
        <v>28198</v>
      </c>
      <c r="G279" t="s">
        <v>28206</v>
      </c>
      <c r="H279" t="s">
        <v>28215</v>
      </c>
      <c r="I279" t="s">
        <v>4219</v>
      </c>
      <c r="J279" t="s">
        <v>28531</v>
      </c>
      <c r="K279" t="s">
        <v>36706</v>
      </c>
      <c r="M279" t="s">
        <v>37103</v>
      </c>
      <c r="N279" t="s">
        <v>40436</v>
      </c>
      <c r="O279" t="s">
        <v>40437</v>
      </c>
      <c r="P279">
        <v>0</v>
      </c>
      <c r="Q279">
        <v>9</v>
      </c>
      <c r="R279" t="s">
        <v>40438</v>
      </c>
      <c r="S279" t="s">
        <v>40582</v>
      </c>
      <c r="T279" t="s">
        <v>42156</v>
      </c>
      <c r="U279" t="s">
        <v>42859</v>
      </c>
      <c r="V279" t="s">
        <v>53804</v>
      </c>
      <c r="W279" t="s">
        <v>37103</v>
      </c>
      <c r="X279" t="s">
        <v>40439</v>
      </c>
    </row>
    <row r="280" spans="1:24">
      <c r="A280">
        <f>HYPERLINK("https://www.philgeps.gov.ph/GEPSNONPILOT/Tender/SplashBidNoticeAbstractUI.aspx?menuIndex=3&amp;refID=7047205&amp;Result=3","7047205")</f>
        <v>0</v>
      </c>
      <c r="B280" t="s">
        <v>137</v>
      </c>
      <c r="C280" t="s">
        <v>3363</v>
      </c>
      <c r="D280" t="s">
        <v>16217</v>
      </c>
      <c r="E280" t="s">
        <v>16567</v>
      </c>
      <c r="F280" t="s">
        <v>28198</v>
      </c>
      <c r="G280" t="s">
        <v>28207</v>
      </c>
      <c r="H280" t="s">
        <v>28215</v>
      </c>
      <c r="I280" t="s">
        <v>5082</v>
      </c>
      <c r="J280" t="s">
        <v>28562</v>
      </c>
      <c r="K280" t="s">
        <v>36707</v>
      </c>
      <c r="M280" t="s">
        <v>37111</v>
      </c>
      <c r="N280" t="s">
        <v>40436</v>
      </c>
      <c r="O280" t="s">
        <v>40437</v>
      </c>
      <c r="P280">
        <v>0</v>
      </c>
      <c r="Q280">
        <v>0</v>
      </c>
      <c r="R280" t="s">
        <v>40438</v>
      </c>
      <c r="S280" t="s">
        <v>40582</v>
      </c>
      <c r="T280" t="s">
        <v>42103</v>
      </c>
      <c r="U280" t="s">
        <v>42862</v>
      </c>
      <c r="W280" t="s">
        <v>37111</v>
      </c>
      <c r="X280" t="s">
        <v>40439</v>
      </c>
    </row>
    <row r="281" spans="1:24">
      <c r="A281">
        <f>HYPERLINK("https://www.philgeps.gov.ph/GEPSNONPILOT/Tender/SplashBidNoticeAbstractUI.aspx?menuIndex=3&amp;refID=7047207&amp;Result=3","7047207")</f>
        <v>0</v>
      </c>
      <c r="B281" t="s">
        <v>141</v>
      </c>
      <c r="C281" t="s">
        <v>3364</v>
      </c>
      <c r="D281" t="s">
        <v>16210</v>
      </c>
      <c r="E281" t="s">
        <v>3364</v>
      </c>
      <c r="F281" t="s">
        <v>28198</v>
      </c>
      <c r="G281" t="s">
        <v>28206</v>
      </c>
      <c r="H281" t="s">
        <v>28215</v>
      </c>
      <c r="I281" t="s">
        <v>28234</v>
      </c>
      <c r="J281" t="s">
        <v>28563</v>
      </c>
      <c r="K281" t="s">
        <v>36689</v>
      </c>
      <c r="M281" t="s">
        <v>37115</v>
      </c>
      <c r="N281" t="s">
        <v>40436</v>
      </c>
      <c r="O281" t="s">
        <v>40437</v>
      </c>
      <c r="P281">
        <v>0</v>
      </c>
      <c r="Q281">
        <v>4</v>
      </c>
      <c r="R281" t="s">
        <v>40438</v>
      </c>
      <c r="S281" t="s">
        <v>40582</v>
      </c>
      <c r="T281" t="s">
        <v>42119</v>
      </c>
      <c r="U281" t="s">
        <v>42863</v>
      </c>
      <c r="W281" t="s">
        <v>37115</v>
      </c>
      <c r="X281" t="s">
        <v>40439</v>
      </c>
    </row>
    <row r="282" spans="1:24">
      <c r="A282">
        <f>HYPERLINK("https://www.philgeps.gov.ph/GEPSNONPILOT/Tender/SplashBidNoticeAbstractUI.aspx?menuIndex=3&amp;refID=7047192&amp;Result=3","7047192")</f>
        <v>0</v>
      </c>
      <c r="B282" t="s">
        <v>129</v>
      </c>
      <c r="C282" t="s">
        <v>3365</v>
      </c>
      <c r="D282" t="s">
        <v>16210</v>
      </c>
      <c r="E282" t="s">
        <v>16568</v>
      </c>
      <c r="F282" t="s">
        <v>28198</v>
      </c>
      <c r="G282" t="s">
        <v>28207</v>
      </c>
      <c r="H282" t="s">
        <v>28215</v>
      </c>
      <c r="I282" t="s">
        <v>28234</v>
      </c>
      <c r="J282" t="s">
        <v>28564</v>
      </c>
      <c r="K282" t="s">
        <v>36706</v>
      </c>
      <c r="M282" t="s">
        <v>37103</v>
      </c>
      <c r="N282" t="s">
        <v>40436</v>
      </c>
      <c r="O282" t="s">
        <v>40437</v>
      </c>
      <c r="P282">
        <v>0</v>
      </c>
      <c r="Q282">
        <v>4</v>
      </c>
      <c r="R282" t="s">
        <v>40438</v>
      </c>
      <c r="S282" t="s">
        <v>40582</v>
      </c>
      <c r="T282" t="s">
        <v>42154</v>
      </c>
      <c r="U282" t="s">
        <v>42841</v>
      </c>
      <c r="V282" t="s">
        <v>53804</v>
      </c>
      <c r="W282" t="s">
        <v>37103</v>
      </c>
      <c r="X282" t="s">
        <v>40439</v>
      </c>
    </row>
    <row r="283" spans="1:24">
      <c r="A283">
        <f>HYPERLINK("https://www.philgeps.gov.ph/GEPSNONPILOT/Tender/SplashBidNoticeAbstractUI.aspx?menuIndex=3&amp;refID=7047220&amp;Result=3","7047220")</f>
        <v>0</v>
      </c>
      <c r="B283" t="s">
        <v>142</v>
      </c>
      <c r="C283" t="s">
        <v>3366</v>
      </c>
      <c r="D283" t="s">
        <v>16218</v>
      </c>
      <c r="E283" t="s">
        <v>16569</v>
      </c>
      <c r="F283" t="s">
        <v>28198</v>
      </c>
      <c r="G283" t="s">
        <v>28206</v>
      </c>
      <c r="H283" t="s">
        <v>28215</v>
      </c>
      <c r="I283" t="s">
        <v>5631</v>
      </c>
      <c r="J283" t="s">
        <v>28565</v>
      </c>
      <c r="K283" t="s">
        <v>36701</v>
      </c>
      <c r="L283" t="s">
        <v>142</v>
      </c>
      <c r="M283" t="s">
        <v>37116</v>
      </c>
      <c r="N283" t="s">
        <v>40436</v>
      </c>
      <c r="O283" t="s">
        <v>40437</v>
      </c>
      <c r="P283">
        <v>0</v>
      </c>
      <c r="Q283">
        <v>0</v>
      </c>
      <c r="R283" t="s">
        <v>40438</v>
      </c>
      <c r="S283" t="s">
        <v>40582</v>
      </c>
      <c r="T283" t="s">
        <v>42157</v>
      </c>
      <c r="U283" t="s">
        <v>42864</v>
      </c>
      <c r="V283" t="s">
        <v>53808</v>
      </c>
      <c r="W283" t="s">
        <v>37116</v>
      </c>
      <c r="X283" t="s">
        <v>40439</v>
      </c>
    </row>
    <row r="284" spans="1:24">
      <c r="A284">
        <f>HYPERLINK("https://www.philgeps.gov.ph/GEPSNONPILOT/Tender/SplashBidNoticeAbstractUI.aspx?menuIndex=3&amp;refID=7047208&amp;Result=3","7047208")</f>
        <v>0</v>
      </c>
      <c r="B284" t="s">
        <v>143</v>
      </c>
      <c r="C284" t="s">
        <v>3367</v>
      </c>
      <c r="D284" t="s">
        <v>16239</v>
      </c>
      <c r="E284" t="s">
        <v>16570</v>
      </c>
      <c r="F284" t="s">
        <v>28200</v>
      </c>
      <c r="G284" t="s">
        <v>28206</v>
      </c>
      <c r="H284" t="s">
        <v>28215</v>
      </c>
      <c r="I284" t="s">
        <v>4200</v>
      </c>
      <c r="J284" t="s">
        <v>28566</v>
      </c>
      <c r="K284" t="s">
        <v>36691</v>
      </c>
      <c r="M284" t="s">
        <v>37117</v>
      </c>
      <c r="N284" t="s">
        <v>40436</v>
      </c>
      <c r="O284" t="s">
        <v>40437</v>
      </c>
      <c r="P284">
        <v>0</v>
      </c>
      <c r="Q284">
        <v>2</v>
      </c>
      <c r="R284" t="s">
        <v>40438</v>
      </c>
      <c r="S284" t="s">
        <v>40582</v>
      </c>
      <c r="T284" t="s">
        <v>42158</v>
      </c>
      <c r="U284" t="s">
        <v>42865</v>
      </c>
      <c r="V284" t="s">
        <v>42865</v>
      </c>
      <c r="W284" t="s">
        <v>37117</v>
      </c>
      <c r="X284" t="s">
        <v>40439</v>
      </c>
    </row>
    <row r="285" spans="1:24">
      <c r="A285">
        <f>HYPERLINK("https://www.philgeps.gov.ph/GEPSNONPILOT/Tender/SplashBidNoticeAbstractUI.aspx?menuIndex=3&amp;refID=7047195&amp;Result=3","7047195")</f>
        <v>0</v>
      </c>
      <c r="B285" t="s">
        <v>144</v>
      </c>
      <c r="C285" t="s">
        <v>3368</v>
      </c>
      <c r="D285" t="s">
        <v>16216</v>
      </c>
      <c r="E285" t="s">
        <v>16571</v>
      </c>
      <c r="F285" t="s">
        <v>28198</v>
      </c>
      <c r="G285" t="s">
        <v>28207</v>
      </c>
      <c r="H285" t="s">
        <v>28215</v>
      </c>
      <c r="I285" t="s">
        <v>5100</v>
      </c>
      <c r="J285" t="s">
        <v>28567</v>
      </c>
      <c r="K285" t="s">
        <v>36688</v>
      </c>
      <c r="M285" t="s">
        <v>37118</v>
      </c>
      <c r="N285" t="s">
        <v>40436</v>
      </c>
      <c r="O285" t="s">
        <v>40437</v>
      </c>
      <c r="P285">
        <v>0</v>
      </c>
      <c r="Q285">
        <v>0</v>
      </c>
      <c r="R285" t="s">
        <v>40438</v>
      </c>
      <c r="S285" t="s">
        <v>40582</v>
      </c>
      <c r="T285" t="s">
        <v>42111</v>
      </c>
      <c r="U285" t="s">
        <v>42866</v>
      </c>
      <c r="W285" t="s">
        <v>37118</v>
      </c>
      <c r="X285" t="s">
        <v>40439</v>
      </c>
    </row>
    <row r="286" spans="1:24">
      <c r="A286">
        <f>HYPERLINK("https://www.philgeps.gov.ph/GEPSNONPILOT/Tender/SplashBidNoticeAbstractUI.aspx?menuIndex=3&amp;refID=7047217&amp;Result=3","7047217")</f>
        <v>0</v>
      </c>
      <c r="B286" t="s">
        <v>145</v>
      </c>
      <c r="C286" t="s">
        <v>3369</v>
      </c>
      <c r="D286" t="s">
        <v>16221</v>
      </c>
      <c r="E286" t="s">
        <v>16473</v>
      </c>
      <c r="F286" t="s">
        <v>28198</v>
      </c>
      <c r="G286" t="s">
        <v>28205</v>
      </c>
      <c r="H286" t="s">
        <v>28215</v>
      </c>
      <c r="I286" t="s">
        <v>28239</v>
      </c>
      <c r="J286" t="s">
        <v>28398</v>
      </c>
      <c r="K286" t="s">
        <v>36723</v>
      </c>
      <c r="M286" t="s">
        <v>37119</v>
      </c>
      <c r="N286" t="s">
        <v>40436</v>
      </c>
      <c r="O286" t="s">
        <v>40437</v>
      </c>
      <c r="P286">
        <v>0</v>
      </c>
      <c r="Q286">
        <v>0</v>
      </c>
      <c r="R286" t="s">
        <v>40438</v>
      </c>
      <c r="S286" t="s">
        <v>40582</v>
      </c>
      <c r="T286" t="s">
        <v>42098</v>
      </c>
      <c r="U286" t="s">
        <v>42867</v>
      </c>
      <c r="W286" t="s">
        <v>37119</v>
      </c>
      <c r="X286" t="s">
        <v>40439</v>
      </c>
    </row>
    <row r="287" spans="1:24">
      <c r="A287">
        <f>HYPERLINK("https://www.philgeps.gov.ph/GEPSNONPILOT/Tender/SplashBidNoticeAbstractUI.aspx?menuIndex=3&amp;refID=7047212&amp;Result=3","7047212")</f>
        <v>0</v>
      </c>
      <c r="B287" t="s">
        <v>146</v>
      </c>
      <c r="C287" t="s">
        <v>3370</v>
      </c>
      <c r="D287" t="s">
        <v>16200</v>
      </c>
      <c r="E287" t="s">
        <v>16572</v>
      </c>
      <c r="F287" t="s">
        <v>28198</v>
      </c>
      <c r="G287" t="s">
        <v>28206</v>
      </c>
      <c r="H287" t="s">
        <v>28215</v>
      </c>
      <c r="I287" t="s">
        <v>28222</v>
      </c>
      <c r="J287" t="s">
        <v>28361</v>
      </c>
      <c r="K287" t="s">
        <v>36689</v>
      </c>
      <c r="M287" t="s">
        <v>37120</v>
      </c>
      <c r="N287" t="s">
        <v>40436</v>
      </c>
      <c r="O287" t="s">
        <v>40437</v>
      </c>
      <c r="P287">
        <v>0</v>
      </c>
      <c r="Q287">
        <v>1</v>
      </c>
      <c r="R287" t="s">
        <v>40438</v>
      </c>
      <c r="S287" t="s">
        <v>40582</v>
      </c>
      <c r="T287" t="s">
        <v>42129</v>
      </c>
      <c r="U287" t="s">
        <v>42868</v>
      </c>
      <c r="W287" t="s">
        <v>37120</v>
      </c>
      <c r="X287" t="s">
        <v>40439</v>
      </c>
    </row>
    <row r="288" spans="1:24">
      <c r="A288">
        <f>HYPERLINK("https://www.philgeps.gov.ph/GEPSNONPILOT/Tender/SplashBidNoticeAbstractUI.aspx?menuIndex=3&amp;refID=7047206&amp;Result=3","7047206")</f>
        <v>0</v>
      </c>
      <c r="B288" t="s">
        <v>135</v>
      </c>
      <c r="C288" t="s">
        <v>3371</v>
      </c>
      <c r="D288" t="s">
        <v>16200</v>
      </c>
      <c r="E288" t="s">
        <v>16573</v>
      </c>
      <c r="F288" t="s">
        <v>28198</v>
      </c>
      <c r="G288" t="s">
        <v>28206</v>
      </c>
      <c r="H288" t="s">
        <v>28215</v>
      </c>
      <c r="I288" t="s">
        <v>28257</v>
      </c>
      <c r="J288" t="s">
        <v>28568</v>
      </c>
      <c r="K288" t="s">
        <v>36689</v>
      </c>
      <c r="M288" t="s">
        <v>37109</v>
      </c>
      <c r="N288" t="s">
        <v>40436</v>
      </c>
      <c r="O288" t="s">
        <v>40437</v>
      </c>
      <c r="P288">
        <v>0</v>
      </c>
      <c r="Q288">
        <v>1</v>
      </c>
      <c r="R288" t="s">
        <v>40438</v>
      </c>
      <c r="S288" t="s">
        <v>40582</v>
      </c>
      <c r="T288" t="s">
        <v>42129</v>
      </c>
      <c r="U288" t="s">
        <v>42869</v>
      </c>
      <c r="W288" t="s">
        <v>37109</v>
      </c>
      <c r="X288" t="s">
        <v>40439</v>
      </c>
    </row>
    <row r="289" spans="1:24">
      <c r="A289">
        <f>HYPERLINK("https://www.philgeps.gov.ph/GEPSNONPILOT/Tender/SplashBidNoticeAbstractUI.aspx?menuIndex=3&amp;refID=7047210&amp;Result=3","7047210")</f>
        <v>0</v>
      </c>
      <c r="B289" t="s">
        <v>147</v>
      </c>
      <c r="C289" t="s">
        <v>3372</v>
      </c>
      <c r="D289" t="s">
        <v>16216</v>
      </c>
      <c r="E289" t="s">
        <v>16522</v>
      </c>
      <c r="F289" t="s">
        <v>28198</v>
      </c>
      <c r="G289" t="s">
        <v>28207</v>
      </c>
      <c r="H289" t="s">
        <v>28215</v>
      </c>
      <c r="I289" t="s">
        <v>28227</v>
      </c>
      <c r="J289" t="s">
        <v>28569</v>
      </c>
      <c r="K289" t="s">
        <v>36688</v>
      </c>
      <c r="M289" t="s">
        <v>37121</v>
      </c>
      <c r="N289" t="s">
        <v>40436</v>
      </c>
      <c r="O289" t="s">
        <v>40437</v>
      </c>
      <c r="P289">
        <v>0</v>
      </c>
      <c r="Q289">
        <v>1</v>
      </c>
      <c r="R289" t="s">
        <v>40438</v>
      </c>
      <c r="S289" t="s">
        <v>40582</v>
      </c>
      <c r="T289" t="s">
        <v>42111</v>
      </c>
      <c r="U289" t="s">
        <v>42870</v>
      </c>
      <c r="W289" t="s">
        <v>37121</v>
      </c>
      <c r="X289" t="s">
        <v>40439</v>
      </c>
    </row>
    <row r="290" spans="1:24">
      <c r="A290">
        <f>HYPERLINK("https://www.philgeps.gov.ph/GEPSNONPILOT/Tender/SplashBidNoticeAbstractUI.aspx?menuIndex=3&amp;refID=7047216&amp;Result=3","7047216")</f>
        <v>0</v>
      </c>
      <c r="B290" t="s">
        <v>148</v>
      </c>
      <c r="C290" t="s">
        <v>3373</v>
      </c>
      <c r="D290" t="s">
        <v>16199</v>
      </c>
      <c r="E290" t="s">
        <v>16574</v>
      </c>
      <c r="F290" t="s">
        <v>28198</v>
      </c>
      <c r="G290" t="s">
        <v>28205</v>
      </c>
      <c r="H290" t="s">
        <v>28214</v>
      </c>
      <c r="I290" t="s">
        <v>3797</v>
      </c>
      <c r="J290" t="s">
        <v>28395</v>
      </c>
      <c r="K290" t="s">
        <v>36715</v>
      </c>
      <c r="M290" t="s">
        <v>37122</v>
      </c>
      <c r="N290" t="s">
        <v>40436</v>
      </c>
      <c r="O290" t="s">
        <v>40437</v>
      </c>
      <c r="P290">
        <v>0</v>
      </c>
      <c r="Q290">
        <v>1</v>
      </c>
      <c r="R290" t="s">
        <v>40438</v>
      </c>
      <c r="S290" t="s">
        <v>40582</v>
      </c>
      <c r="T290" t="s">
        <v>42115</v>
      </c>
      <c r="U290" t="s">
        <v>42871</v>
      </c>
      <c r="W290" t="s">
        <v>37122</v>
      </c>
      <c r="X290" t="s">
        <v>40439</v>
      </c>
    </row>
    <row r="291" spans="1:24">
      <c r="A291">
        <f>HYPERLINK("https://www.philgeps.gov.ph/GEPSNONPILOT/Tender/SplashBidNoticeAbstractUI.aspx?menuIndex=3&amp;refID=7047213&amp;Result=3","7047213")</f>
        <v>0</v>
      </c>
      <c r="B291" t="s">
        <v>137</v>
      </c>
      <c r="C291" t="s">
        <v>3374</v>
      </c>
      <c r="D291" t="s">
        <v>16217</v>
      </c>
      <c r="E291" t="s">
        <v>16575</v>
      </c>
      <c r="F291" t="s">
        <v>28198</v>
      </c>
      <c r="G291" t="s">
        <v>28207</v>
      </c>
      <c r="H291" t="s">
        <v>28215</v>
      </c>
      <c r="I291" t="s">
        <v>4168</v>
      </c>
      <c r="J291" t="s">
        <v>28570</v>
      </c>
      <c r="K291" t="s">
        <v>36701</v>
      </c>
      <c r="M291" t="s">
        <v>37111</v>
      </c>
      <c r="N291" t="s">
        <v>40436</v>
      </c>
      <c r="O291" t="s">
        <v>40437</v>
      </c>
      <c r="P291">
        <v>0</v>
      </c>
      <c r="Q291">
        <v>0</v>
      </c>
      <c r="R291" t="s">
        <v>40438</v>
      </c>
      <c r="S291" t="s">
        <v>40582</v>
      </c>
      <c r="T291" t="s">
        <v>42111</v>
      </c>
      <c r="U291" t="s">
        <v>42872</v>
      </c>
      <c r="W291" t="s">
        <v>37111</v>
      </c>
      <c r="X291" t="s">
        <v>40439</v>
      </c>
    </row>
    <row r="292" spans="1:24">
      <c r="A292">
        <f>HYPERLINK("https://www.philgeps.gov.ph/GEPSNONPILOT/Tender/SplashBidNoticeAbstractUI.aspx?menuIndex=3&amp;refID=7047226&amp;Result=3","7047226")</f>
        <v>0</v>
      </c>
      <c r="B292" t="s">
        <v>149</v>
      </c>
      <c r="C292" t="s">
        <v>3375</v>
      </c>
      <c r="D292" t="s">
        <v>16240</v>
      </c>
      <c r="E292" t="s">
        <v>3375</v>
      </c>
      <c r="F292" t="s">
        <v>28198</v>
      </c>
      <c r="G292" t="s">
        <v>28207</v>
      </c>
      <c r="H292" t="s">
        <v>28215</v>
      </c>
      <c r="I292" t="s">
        <v>4200</v>
      </c>
      <c r="J292" t="s">
        <v>28571</v>
      </c>
      <c r="K292" t="s">
        <v>36707</v>
      </c>
      <c r="L292" t="s">
        <v>149</v>
      </c>
      <c r="M292" t="s">
        <v>37123</v>
      </c>
      <c r="N292" t="s">
        <v>40436</v>
      </c>
      <c r="O292" t="s">
        <v>40437</v>
      </c>
      <c r="P292">
        <v>0</v>
      </c>
      <c r="Q292">
        <v>0</v>
      </c>
      <c r="R292" t="s">
        <v>40438</v>
      </c>
      <c r="S292" t="s">
        <v>40582</v>
      </c>
      <c r="T292" t="s">
        <v>42111</v>
      </c>
      <c r="U292" t="s">
        <v>42873</v>
      </c>
      <c r="W292" t="s">
        <v>37123</v>
      </c>
      <c r="X292" t="s">
        <v>40439</v>
      </c>
    </row>
    <row r="293" spans="1:24">
      <c r="A293">
        <f>HYPERLINK("https://www.philgeps.gov.ph/GEPSNONPILOT/Tender/SplashBidNoticeAbstractUI.aspx?menuIndex=3&amp;refID=7047224&amp;Result=3","7047224")</f>
        <v>0</v>
      </c>
      <c r="B293" t="s">
        <v>150</v>
      </c>
      <c r="C293" t="s">
        <v>3376</v>
      </c>
      <c r="D293" t="s">
        <v>16194</v>
      </c>
      <c r="E293" t="s">
        <v>16576</v>
      </c>
      <c r="F293" t="s">
        <v>28198</v>
      </c>
      <c r="G293" t="s">
        <v>28207</v>
      </c>
      <c r="H293" t="s">
        <v>28215</v>
      </c>
      <c r="I293" t="s">
        <v>4219</v>
      </c>
      <c r="J293" t="s">
        <v>28572</v>
      </c>
      <c r="K293" t="s">
        <v>36701</v>
      </c>
      <c r="M293" t="s">
        <v>37124</v>
      </c>
      <c r="N293" t="s">
        <v>40436</v>
      </c>
      <c r="O293" t="s">
        <v>40437</v>
      </c>
      <c r="P293">
        <v>0</v>
      </c>
      <c r="Q293">
        <v>8</v>
      </c>
      <c r="R293" t="s">
        <v>40438</v>
      </c>
      <c r="S293" t="s">
        <v>40582</v>
      </c>
      <c r="T293" t="s">
        <v>42111</v>
      </c>
      <c r="U293" t="s">
        <v>42874</v>
      </c>
      <c r="W293" t="s">
        <v>37124</v>
      </c>
      <c r="X293" t="s">
        <v>40439</v>
      </c>
    </row>
    <row r="294" spans="1:24">
      <c r="A294">
        <f>HYPERLINK("https://www.philgeps.gov.ph/GEPSNONPILOT/Tender/SplashBidNoticeAbstractUI.aspx?menuIndex=3&amp;refID=7047223&amp;Result=3","7047223")</f>
        <v>0</v>
      </c>
      <c r="B294" t="s">
        <v>151</v>
      </c>
      <c r="C294" t="s">
        <v>3377</v>
      </c>
      <c r="D294" t="s">
        <v>16210</v>
      </c>
      <c r="E294" t="s">
        <v>16577</v>
      </c>
      <c r="F294" t="s">
        <v>28198</v>
      </c>
      <c r="G294" t="s">
        <v>28207</v>
      </c>
      <c r="H294" t="s">
        <v>28215</v>
      </c>
      <c r="I294" t="s">
        <v>5103</v>
      </c>
      <c r="J294" t="s">
        <v>28573</v>
      </c>
      <c r="K294" t="s">
        <v>36689</v>
      </c>
      <c r="M294" t="s">
        <v>37125</v>
      </c>
      <c r="N294" t="s">
        <v>40436</v>
      </c>
      <c r="O294" t="s">
        <v>40437</v>
      </c>
      <c r="P294">
        <v>0</v>
      </c>
      <c r="Q294">
        <v>17</v>
      </c>
      <c r="R294" t="s">
        <v>40438</v>
      </c>
      <c r="S294" t="s">
        <v>40582</v>
      </c>
      <c r="T294" t="s">
        <v>42136</v>
      </c>
      <c r="U294" t="s">
        <v>42875</v>
      </c>
      <c r="W294" t="s">
        <v>37125</v>
      </c>
      <c r="X294" t="s">
        <v>40439</v>
      </c>
    </row>
    <row r="295" spans="1:24">
      <c r="A295">
        <f>HYPERLINK("https://www.philgeps.gov.ph/GEPSNONPILOT/Tender/SplashBidNoticeAbstractUI.aspx?menuIndex=3&amp;refID=7047211&amp;Result=3","7047211")</f>
        <v>0</v>
      </c>
      <c r="B295" t="s">
        <v>152</v>
      </c>
      <c r="C295" t="s">
        <v>3378</v>
      </c>
      <c r="D295" t="s">
        <v>16210</v>
      </c>
      <c r="E295" t="s">
        <v>16578</v>
      </c>
      <c r="F295" t="s">
        <v>28198</v>
      </c>
      <c r="G295" t="s">
        <v>28207</v>
      </c>
      <c r="H295" t="s">
        <v>28215</v>
      </c>
      <c r="I295" t="s">
        <v>28247</v>
      </c>
      <c r="J295" t="s">
        <v>28414</v>
      </c>
      <c r="K295" t="s">
        <v>36701</v>
      </c>
      <c r="M295" t="s">
        <v>37126</v>
      </c>
      <c r="N295" t="s">
        <v>40436</v>
      </c>
      <c r="O295" t="s">
        <v>40437</v>
      </c>
      <c r="P295">
        <v>0</v>
      </c>
      <c r="Q295">
        <v>4</v>
      </c>
      <c r="R295" t="s">
        <v>40438</v>
      </c>
      <c r="S295" t="s">
        <v>40582</v>
      </c>
      <c r="T295" t="s">
        <v>42159</v>
      </c>
      <c r="U295" t="s">
        <v>42876</v>
      </c>
      <c r="W295" t="s">
        <v>37126</v>
      </c>
      <c r="X295" t="s">
        <v>40439</v>
      </c>
    </row>
    <row r="296" spans="1:24">
      <c r="A296">
        <f>HYPERLINK("https://www.philgeps.gov.ph/GEPSNONPILOT/Tender/SplashBidNoticeAbstractUI.aspx?menuIndex=3&amp;refID=7047225&amp;Result=3","7047225")</f>
        <v>0</v>
      </c>
      <c r="B296" t="s">
        <v>153</v>
      </c>
      <c r="C296" t="s">
        <v>3379</v>
      </c>
      <c r="D296" t="s">
        <v>16199</v>
      </c>
      <c r="E296" t="s">
        <v>16579</v>
      </c>
      <c r="F296" t="s">
        <v>28198</v>
      </c>
      <c r="G296" t="s">
        <v>28207</v>
      </c>
      <c r="H296" t="s">
        <v>28215</v>
      </c>
      <c r="I296" t="s">
        <v>28258</v>
      </c>
      <c r="J296" t="s">
        <v>28574</v>
      </c>
      <c r="K296" t="s">
        <v>36701</v>
      </c>
      <c r="M296" t="s">
        <v>37127</v>
      </c>
      <c r="N296" t="s">
        <v>40436</v>
      </c>
      <c r="O296" t="s">
        <v>40437</v>
      </c>
      <c r="P296">
        <v>0</v>
      </c>
      <c r="Q296">
        <v>4</v>
      </c>
      <c r="R296" t="s">
        <v>40438</v>
      </c>
      <c r="S296" t="s">
        <v>40582</v>
      </c>
      <c r="T296" t="s">
        <v>42160</v>
      </c>
      <c r="U296" t="s">
        <v>42877</v>
      </c>
      <c r="W296" t="s">
        <v>37127</v>
      </c>
      <c r="X296" t="s">
        <v>40439</v>
      </c>
    </row>
    <row r="297" spans="1:24">
      <c r="A297">
        <f>HYPERLINK("https://www.philgeps.gov.ph/GEPSNONPILOT/Tender/SplashBidNoticeAbstractUI.aspx?menuIndex=3&amp;refID=7047222&amp;Result=3","7047222")</f>
        <v>0</v>
      </c>
      <c r="B297" t="s">
        <v>154</v>
      </c>
      <c r="C297" t="s">
        <v>3380</v>
      </c>
      <c r="D297" t="s">
        <v>16210</v>
      </c>
      <c r="E297" t="s">
        <v>16580</v>
      </c>
      <c r="F297" t="s">
        <v>28198</v>
      </c>
      <c r="G297" t="s">
        <v>28207</v>
      </c>
      <c r="H297" t="s">
        <v>28215</v>
      </c>
      <c r="I297" t="s">
        <v>28259</v>
      </c>
      <c r="J297" t="s">
        <v>28575</v>
      </c>
      <c r="K297" t="s">
        <v>36688</v>
      </c>
      <c r="M297" t="s">
        <v>37128</v>
      </c>
      <c r="N297" t="s">
        <v>40436</v>
      </c>
      <c r="O297" t="s">
        <v>40437</v>
      </c>
      <c r="P297">
        <v>0</v>
      </c>
      <c r="Q297">
        <v>3</v>
      </c>
      <c r="R297" t="s">
        <v>40438</v>
      </c>
      <c r="S297" t="s">
        <v>40582</v>
      </c>
      <c r="T297" t="s">
        <v>42103</v>
      </c>
      <c r="U297" t="s">
        <v>42878</v>
      </c>
      <c r="W297" t="s">
        <v>37128</v>
      </c>
      <c r="X297" t="s">
        <v>40439</v>
      </c>
    </row>
    <row r="298" spans="1:24">
      <c r="A298">
        <f>HYPERLINK("https://www.philgeps.gov.ph/GEPSNONPILOT/Tender/SplashBidNoticeAbstractUI.aspx?menuIndex=3&amp;refID=7047221&amp;Result=3","7047221")</f>
        <v>0</v>
      </c>
      <c r="B298" t="s">
        <v>155</v>
      </c>
      <c r="C298" t="s">
        <v>3381</v>
      </c>
      <c r="D298" t="s">
        <v>16235</v>
      </c>
      <c r="E298" t="s">
        <v>16581</v>
      </c>
      <c r="F298" t="s">
        <v>28198</v>
      </c>
      <c r="G298" t="s">
        <v>28205</v>
      </c>
      <c r="H298" t="s">
        <v>28214</v>
      </c>
      <c r="I298" t="s">
        <v>3797</v>
      </c>
      <c r="J298" t="s">
        <v>28576</v>
      </c>
      <c r="K298" t="s">
        <v>36724</v>
      </c>
      <c r="M298" t="s">
        <v>37129</v>
      </c>
      <c r="N298" t="s">
        <v>40436</v>
      </c>
      <c r="O298" t="s">
        <v>40437</v>
      </c>
      <c r="P298">
        <v>0</v>
      </c>
      <c r="Q298">
        <v>0</v>
      </c>
      <c r="R298" t="s">
        <v>40438</v>
      </c>
      <c r="S298" t="s">
        <v>40582</v>
      </c>
      <c r="T298" t="s">
        <v>42106</v>
      </c>
      <c r="U298" t="s">
        <v>42879</v>
      </c>
      <c r="W298" t="s">
        <v>37129</v>
      </c>
      <c r="X298" t="s">
        <v>40439</v>
      </c>
    </row>
    <row r="299" spans="1:24">
      <c r="A299">
        <f>HYPERLINK("https://www.philgeps.gov.ph/GEPSNONPILOT/Tender/SplashBidNoticeAbstractUI.aspx?menuIndex=3&amp;refID=7047209&amp;Result=3","7047209")</f>
        <v>0</v>
      </c>
      <c r="B299" t="s">
        <v>137</v>
      </c>
      <c r="C299" t="s">
        <v>3382</v>
      </c>
      <c r="D299" t="s">
        <v>16217</v>
      </c>
      <c r="E299" t="s">
        <v>16582</v>
      </c>
      <c r="F299" t="s">
        <v>28198</v>
      </c>
      <c r="G299" t="s">
        <v>28207</v>
      </c>
      <c r="H299" t="s">
        <v>28215</v>
      </c>
      <c r="I299" t="s">
        <v>5082</v>
      </c>
      <c r="J299" t="s">
        <v>28577</v>
      </c>
      <c r="K299" t="s">
        <v>36707</v>
      </c>
      <c r="M299" t="s">
        <v>37111</v>
      </c>
      <c r="N299" t="s">
        <v>40436</v>
      </c>
      <c r="O299" t="s">
        <v>40437</v>
      </c>
      <c r="P299">
        <v>0</v>
      </c>
      <c r="Q299">
        <v>3</v>
      </c>
      <c r="R299" t="s">
        <v>40438</v>
      </c>
      <c r="S299" t="s">
        <v>40582</v>
      </c>
      <c r="T299" t="s">
        <v>42103</v>
      </c>
      <c r="U299" t="s">
        <v>42880</v>
      </c>
      <c r="W299" t="s">
        <v>37111</v>
      </c>
      <c r="X299" t="s">
        <v>40439</v>
      </c>
    </row>
    <row r="300" spans="1:24">
      <c r="A300">
        <f>HYPERLINK("https://www.philgeps.gov.ph/GEPSNONPILOT/Tender/SplashBidNoticeAbstractUI.aspx?menuIndex=3&amp;refID=7047230&amp;Result=3","7047230")</f>
        <v>0</v>
      </c>
      <c r="B300" t="s">
        <v>156</v>
      </c>
      <c r="C300" t="s">
        <v>3383</v>
      </c>
      <c r="D300" t="s">
        <v>16239</v>
      </c>
      <c r="E300" t="s">
        <v>16583</v>
      </c>
      <c r="F300" t="s">
        <v>28198</v>
      </c>
      <c r="G300" t="s">
        <v>28207</v>
      </c>
      <c r="H300" t="s">
        <v>28215</v>
      </c>
      <c r="I300" t="s">
        <v>28225</v>
      </c>
      <c r="J300" t="s">
        <v>28578</v>
      </c>
      <c r="K300" t="s">
        <v>36688</v>
      </c>
      <c r="M300" t="s">
        <v>37130</v>
      </c>
      <c r="N300" t="s">
        <v>40436</v>
      </c>
      <c r="O300" t="s">
        <v>40437</v>
      </c>
      <c r="P300">
        <v>0</v>
      </c>
      <c r="Q300">
        <v>0</v>
      </c>
      <c r="R300" t="s">
        <v>40438</v>
      </c>
      <c r="S300" t="s">
        <v>40582</v>
      </c>
      <c r="T300" t="s">
        <v>42103</v>
      </c>
      <c r="U300" t="s">
        <v>42881</v>
      </c>
      <c r="W300" t="s">
        <v>37130</v>
      </c>
      <c r="X300" t="s">
        <v>40439</v>
      </c>
    </row>
    <row r="301" spans="1:24">
      <c r="A301">
        <f>HYPERLINK("https://www.philgeps.gov.ph/GEPSNONPILOT/Tender/SplashBidNoticeAbstractUI.aspx?menuIndex=3&amp;refID=7047227&amp;Result=3","7047227")</f>
        <v>0</v>
      </c>
      <c r="B301" t="s">
        <v>157</v>
      </c>
      <c r="C301" t="s">
        <v>3384</v>
      </c>
      <c r="D301" t="s">
        <v>16204</v>
      </c>
      <c r="E301" t="s">
        <v>16584</v>
      </c>
      <c r="F301" t="s">
        <v>28198</v>
      </c>
      <c r="G301" t="s">
        <v>28207</v>
      </c>
      <c r="H301" t="s">
        <v>28215</v>
      </c>
      <c r="I301" t="s">
        <v>5100</v>
      </c>
      <c r="J301" t="s">
        <v>28579</v>
      </c>
      <c r="K301" t="s">
        <v>36688</v>
      </c>
      <c r="M301" t="s">
        <v>37131</v>
      </c>
      <c r="N301" t="s">
        <v>40436</v>
      </c>
      <c r="O301" t="s">
        <v>40437</v>
      </c>
      <c r="P301">
        <v>0</v>
      </c>
      <c r="Q301">
        <v>0</v>
      </c>
      <c r="R301" t="s">
        <v>40438</v>
      </c>
      <c r="S301" t="s">
        <v>40582</v>
      </c>
      <c r="T301" t="s">
        <v>42142</v>
      </c>
      <c r="U301" t="s">
        <v>42882</v>
      </c>
      <c r="V301" t="s">
        <v>53809</v>
      </c>
      <c r="W301" t="s">
        <v>37131</v>
      </c>
      <c r="X301" t="s">
        <v>40439</v>
      </c>
    </row>
    <row r="302" spans="1:24">
      <c r="A302">
        <f>HYPERLINK("https://www.philgeps.gov.ph/GEPSNONPILOT/Tender/SplashBidNoticeAbstractUI.aspx?menuIndex=3&amp;refID=7047214&amp;Result=3","7047214")</f>
        <v>0</v>
      </c>
      <c r="B302" t="s">
        <v>146</v>
      </c>
      <c r="C302" t="s">
        <v>3385</v>
      </c>
      <c r="D302" t="s">
        <v>16200</v>
      </c>
      <c r="E302" t="s">
        <v>16585</v>
      </c>
      <c r="F302" t="s">
        <v>28198</v>
      </c>
      <c r="G302" t="s">
        <v>28206</v>
      </c>
      <c r="H302" t="s">
        <v>28215</v>
      </c>
      <c r="I302" t="s">
        <v>28222</v>
      </c>
      <c r="J302" t="s">
        <v>28360</v>
      </c>
      <c r="K302" t="s">
        <v>36689</v>
      </c>
      <c r="M302" t="s">
        <v>37120</v>
      </c>
      <c r="N302" t="s">
        <v>40436</v>
      </c>
      <c r="O302" t="s">
        <v>40437</v>
      </c>
      <c r="P302">
        <v>0</v>
      </c>
      <c r="Q302">
        <v>0</v>
      </c>
      <c r="R302" t="s">
        <v>40438</v>
      </c>
      <c r="S302" t="s">
        <v>40582</v>
      </c>
      <c r="T302" t="s">
        <v>42129</v>
      </c>
      <c r="U302" t="s">
        <v>42883</v>
      </c>
      <c r="W302" t="s">
        <v>37120</v>
      </c>
      <c r="X302" t="s">
        <v>40439</v>
      </c>
    </row>
    <row r="303" spans="1:24">
      <c r="A303">
        <f>HYPERLINK("https://www.philgeps.gov.ph/GEPSNONPILOT/Tender/SplashBidNoticeAbstractUI.aspx?menuIndex=3&amp;refID=7047245&amp;Result=3","7047245")</f>
        <v>0</v>
      </c>
      <c r="B303" t="s">
        <v>158</v>
      </c>
      <c r="C303" t="s">
        <v>3386</v>
      </c>
      <c r="D303" t="s">
        <v>16195</v>
      </c>
      <c r="E303" t="s">
        <v>16586</v>
      </c>
      <c r="F303" t="s">
        <v>28198</v>
      </c>
      <c r="G303" t="s">
        <v>28206</v>
      </c>
      <c r="H303" t="s">
        <v>28215</v>
      </c>
      <c r="I303" t="s">
        <v>28237</v>
      </c>
      <c r="J303" t="s">
        <v>28345</v>
      </c>
      <c r="K303" t="s">
        <v>36689</v>
      </c>
      <c r="M303" t="s">
        <v>37132</v>
      </c>
      <c r="N303" t="s">
        <v>40436</v>
      </c>
      <c r="O303" t="s">
        <v>40437</v>
      </c>
      <c r="P303">
        <v>0</v>
      </c>
      <c r="Q303">
        <v>0</v>
      </c>
      <c r="R303" t="s">
        <v>40438</v>
      </c>
      <c r="S303" t="s">
        <v>40582</v>
      </c>
      <c r="T303" t="s">
        <v>42161</v>
      </c>
      <c r="U303" t="s">
        <v>42884</v>
      </c>
      <c r="W303" t="s">
        <v>37132</v>
      </c>
      <c r="X303" t="s">
        <v>40439</v>
      </c>
    </row>
    <row r="304" spans="1:24">
      <c r="A304">
        <f>HYPERLINK("https://www.philgeps.gov.ph/GEPSNONPILOT/Tender/SplashBidNoticeAbstractUI.aspx?menuIndex=3&amp;refID=7047239&amp;Result=3","7047239")</f>
        <v>0</v>
      </c>
      <c r="B304" t="s">
        <v>159</v>
      </c>
      <c r="C304" t="s">
        <v>3387</v>
      </c>
      <c r="D304" t="s">
        <v>16189</v>
      </c>
      <c r="E304" t="s">
        <v>16587</v>
      </c>
      <c r="F304" t="s">
        <v>28198</v>
      </c>
      <c r="G304" t="s">
        <v>28205</v>
      </c>
      <c r="H304" t="s">
        <v>28214</v>
      </c>
      <c r="I304" t="s">
        <v>28260</v>
      </c>
      <c r="J304" t="s">
        <v>28345</v>
      </c>
      <c r="K304" t="s">
        <v>36693</v>
      </c>
      <c r="M304" t="s">
        <v>37133</v>
      </c>
      <c r="N304" t="s">
        <v>40436</v>
      </c>
      <c r="O304" t="s">
        <v>40437</v>
      </c>
      <c r="P304">
        <v>0</v>
      </c>
      <c r="Q304">
        <v>0</v>
      </c>
      <c r="R304" t="s">
        <v>40438</v>
      </c>
      <c r="S304" t="s">
        <v>40582</v>
      </c>
      <c r="T304" t="s">
        <v>42162</v>
      </c>
      <c r="U304" t="s">
        <v>42885</v>
      </c>
      <c r="W304" t="s">
        <v>37133</v>
      </c>
      <c r="X304" t="s">
        <v>40439</v>
      </c>
    </row>
    <row r="305" spans="1:24">
      <c r="A305">
        <f>HYPERLINK("https://www.philgeps.gov.ph/GEPSNONPILOT/Tender/SplashBidNoticeAbstractUI.aspx?menuIndex=3&amp;refID=7047215&amp;Result=3","7047215")</f>
        <v>0</v>
      </c>
      <c r="B305" t="s">
        <v>160</v>
      </c>
      <c r="C305" t="s">
        <v>3173</v>
      </c>
      <c r="D305" t="s">
        <v>16216</v>
      </c>
      <c r="E305" t="s">
        <v>16588</v>
      </c>
      <c r="F305" t="s">
        <v>28198</v>
      </c>
      <c r="G305" t="s">
        <v>28210</v>
      </c>
      <c r="H305" t="s">
        <v>28215</v>
      </c>
      <c r="I305" t="s">
        <v>5082</v>
      </c>
      <c r="J305" t="s">
        <v>28580</v>
      </c>
      <c r="K305" t="s">
        <v>36688</v>
      </c>
      <c r="M305" t="s">
        <v>37134</v>
      </c>
      <c r="N305" t="s">
        <v>40436</v>
      </c>
      <c r="O305" t="s">
        <v>40437</v>
      </c>
      <c r="P305">
        <v>0</v>
      </c>
      <c r="Q305">
        <v>3</v>
      </c>
      <c r="R305" t="s">
        <v>40438</v>
      </c>
      <c r="S305" t="s">
        <v>40582</v>
      </c>
      <c r="T305" t="s">
        <v>42111</v>
      </c>
      <c r="U305" t="s">
        <v>42886</v>
      </c>
      <c r="W305" t="s">
        <v>37134</v>
      </c>
      <c r="X305" t="s">
        <v>40439</v>
      </c>
    </row>
    <row r="306" spans="1:24">
      <c r="A306">
        <f>HYPERLINK("https://www.philgeps.gov.ph/GEPSNONPILOT/Tender/SplashBidNoticeAbstractUI.aspx?menuIndex=3&amp;refID=7047247&amp;Result=3","7047247")</f>
        <v>0</v>
      </c>
      <c r="B306" t="s">
        <v>161</v>
      </c>
      <c r="C306" t="s">
        <v>3388</v>
      </c>
      <c r="D306" t="s">
        <v>16235</v>
      </c>
      <c r="E306" t="s">
        <v>16589</v>
      </c>
      <c r="F306" t="s">
        <v>28198</v>
      </c>
      <c r="G306" t="s">
        <v>28207</v>
      </c>
      <c r="H306" t="s">
        <v>28215</v>
      </c>
      <c r="I306" t="s">
        <v>5631</v>
      </c>
      <c r="J306" t="s">
        <v>28581</v>
      </c>
      <c r="K306" t="s">
        <v>36701</v>
      </c>
      <c r="M306" t="s">
        <v>37135</v>
      </c>
      <c r="N306" t="s">
        <v>40436</v>
      </c>
      <c r="O306" t="s">
        <v>40437</v>
      </c>
      <c r="P306">
        <v>0</v>
      </c>
      <c r="Q306">
        <v>0</v>
      </c>
      <c r="R306" t="s">
        <v>40438</v>
      </c>
      <c r="S306" t="s">
        <v>40582</v>
      </c>
      <c r="T306" t="s">
        <v>42103</v>
      </c>
      <c r="U306" t="s">
        <v>42887</v>
      </c>
      <c r="W306" t="s">
        <v>37135</v>
      </c>
      <c r="X306" t="s">
        <v>40439</v>
      </c>
    </row>
    <row r="307" spans="1:24">
      <c r="A307">
        <f>HYPERLINK("https://www.philgeps.gov.ph/GEPSNONPILOT/Tender/SplashBidNoticeAbstractUI.aspx?menuIndex=3&amp;refID=7047229&amp;Result=3","7047229")</f>
        <v>0</v>
      </c>
      <c r="B307" t="s">
        <v>155</v>
      </c>
      <c r="C307" t="s">
        <v>3389</v>
      </c>
      <c r="D307" t="s">
        <v>16235</v>
      </c>
      <c r="E307" t="s">
        <v>16590</v>
      </c>
      <c r="F307" t="s">
        <v>28198</v>
      </c>
      <c r="G307" t="s">
        <v>28205</v>
      </c>
      <c r="H307" t="s">
        <v>28214</v>
      </c>
      <c r="I307" t="s">
        <v>3797</v>
      </c>
      <c r="J307" t="s">
        <v>28393</v>
      </c>
      <c r="K307" t="s">
        <v>36715</v>
      </c>
      <c r="M307" t="s">
        <v>37129</v>
      </c>
      <c r="N307" t="s">
        <v>40436</v>
      </c>
      <c r="O307" t="s">
        <v>40437</v>
      </c>
      <c r="P307">
        <v>0</v>
      </c>
      <c r="Q307">
        <v>0</v>
      </c>
      <c r="R307" t="s">
        <v>40438</v>
      </c>
      <c r="S307" t="s">
        <v>40582</v>
      </c>
      <c r="T307" t="s">
        <v>42106</v>
      </c>
      <c r="U307" t="s">
        <v>42879</v>
      </c>
      <c r="W307" t="s">
        <v>37129</v>
      </c>
      <c r="X307" t="s">
        <v>40439</v>
      </c>
    </row>
    <row r="308" spans="1:24">
      <c r="A308">
        <f>HYPERLINK("https://www.philgeps.gov.ph/GEPSNONPILOT/Tender/SplashBidNoticeAbstractUI.aspx?menuIndex=3&amp;refID=7047237&amp;Result=3","7047237")</f>
        <v>0</v>
      </c>
      <c r="B308" t="s">
        <v>158</v>
      </c>
      <c r="C308" t="s">
        <v>3390</v>
      </c>
      <c r="D308" t="s">
        <v>16195</v>
      </c>
      <c r="E308" t="s">
        <v>16591</v>
      </c>
      <c r="F308" t="s">
        <v>28198</v>
      </c>
      <c r="G308" t="s">
        <v>28206</v>
      </c>
      <c r="H308" t="s">
        <v>28215</v>
      </c>
      <c r="I308" t="s">
        <v>4219</v>
      </c>
      <c r="J308" t="s">
        <v>28425</v>
      </c>
      <c r="K308" t="s">
        <v>36689</v>
      </c>
      <c r="M308" t="s">
        <v>37132</v>
      </c>
      <c r="N308" t="s">
        <v>40436</v>
      </c>
      <c r="O308" t="s">
        <v>40437</v>
      </c>
      <c r="P308">
        <v>0</v>
      </c>
      <c r="Q308">
        <v>0</v>
      </c>
      <c r="R308" t="s">
        <v>40438</v>
      </c>
      <c r="S308" t="s">
        <v>40582</v>
      </c>
      <c r="T308" t="s">
        <v>42161</v>
      </c>
      <c r="U308" t="s">
        <v>42888</v>
      </c>
      <c r="W308" t="s">
        <v>37132</v>
      </c>
      <c r="X308" t="s">
        <v>40439</v>
      </c>
    </row>
    <row r="309" spans="1:24">
      <c r="A309">
        <f>HYPERLINK("https://www.philgeps.gov.ph/GEPSNONPILOT/Tender/SplashBidNoticeAbstractUI.aspx?menuIndex=3&amp;refID=7047243&amp;Result=3","7047243")</f>
        <v>0</v>
      </c>
      <c r="B309" t="s">
        <v>162</v>
      </c>
      <c r="C309" t="s">
        <v>3391</v>
      </c>
      <c r="E309" t="s">
        <v>16592</v>
      </c>
      <c r="F309" t="s">
        <v>28198</v>
      </c>
      <c r="G309" t="s">
        <v>28207</v>
      </c>
      <c r="H309" t="s">
        <v>28215</v>
      </c>
      <c r="I309" t="s">
        <v>28238</v>
      </c>
      <c r="J309" t="s">
        <v>28582</v>
      </c>
      <c r="K309" t="s">
        <v>36689</v>
      </c>
      <c r="M309" t="s">
        <v>37136</v>
      </c>
      <c r="N309" t="s">
        <v>40436</v>
      </c>
      <c r="O309" t="s">
        <v>40437</v>
      </c>
      <c r="P309">
        <v>0</v>
      </c>
      <c r="Q309">
        <v>0</v>
      </c>
      <c r="R309" t="s">
        <v>40438</v>
      </c>
      <c r="S309" t="s">
        <v>40582</v>
      </c>
      <c r="T309" t="s">
        <v>42163</v>
      </c>
      <c r="U309" t="s">
        <v>42889</v>
      </c>
      <c r="V309" t="s">
        <v>53810</v>
      </c>
      <c r="W309" t="s">
        <v>37136</v>
      </c>
      <c r="X309" t="s">
        <v>40439</v>
      </c>
    </row>
    <row r="310" spans="1:24">
      <c r="A310">
        <f>HYPERLINK("https://www.philgeps.gov.ph/GEPSNONPILOT/Tender/SplashBidNoticeAbstractUI.aspx?menuIndex=3&amp;refID=7047232&amp;Result=3","7047232")</f>
        <v>0</v>
      </c>
      <c r="B310" t="s">
        <v>163</v>
      </c>
      <c r="C310" t="s">
        <v>3392</v>
      </c>
      <c r="D310" t="s">
        <v>16216</v>
      </c>
      <c r="E310" t="s">
        <v>16593</v>
      </c>
      <c r="F310" t="s">
        <v>28198</v>
      </c>
      <c r="G310" t="s">
        <v>28207</v>
      </c>
      <c r="H310" t="s">
        <v>28216</v>
      </c>
      <c r="I310" t="s">
        <v>28216</v>
      </c>
      <c r="J310" t="s">
        <v>28583</v>
      </c>
      <c r="K310" t="s">
        <v>36705</v>
      </c>
      <c r="M310" t="s">
        <v>37137</v>
      </c>
      <c r="N310" t="s">
        <v>40436</v>
      </c>
      <c r="O310" t="s">
        <v>40437</v>
      </c>
      <c r="P310">
        <v>0</v>
      </c>
      <c r="Q310">
        <v>0</v>
      </c>
      <c r="R310" t="s">
        <v>40438</v>
      </c>
      <c r="S310" t="s">
        <v>40582</v>
      </c>
      <c r="T310" t="s">
        <v>42112</v>
      </c>
      <c r="U310" t="s">
        <v>42890</v>
      </c>
      <c r="W310" t="s">
        <v>37137</v>
      </c>
      <c r="X310" t="s">
        <v>40439</v>
      </c>
    </row>
    <row r="311" spans="1:24">
      <c r="A311">
        <f>HYPERLINK("https://www.philgeps.gov.ph/GEPSNONPILOT/Tender/SplashBidNoticeAbstractUI.aspx?menuIndex=3&amp;refID=7047244&amp;Result=3","7047244")</f>
        <v>0</v>
      </c>
      <c r="B311" t="s">
        <v>164</v>
      </c>
      <c r="C311" t="s">
        <v>3393</v>
      </c>
      <c r="D311" t="s">
        <v>16213</v>
      </c>
      <c r="E311" t="s">
        <v>16594</v>
      </c>
      <c r="F311" t="s">
        <v>28198</v>
      </c>
      <c r="G311" t="s">
        <v>28205</v>
      </c>
      <c r="H311" t="s">
        <v>28215</v>
      </c>
      <c r="I311" t="s">
        <v>4505</v>
      </c>
      <c r="J311" t="s">
        <v>28584</v>
      </c>
      <c r="K311" t="s">
        <v>36687</v>
      </c>
      <c r="M311" t="s">
        <v>37138</v>
      </c>
      <c r="N311" t="s">
        <v>40436</v>
      </c>
      <c r="O311" t="s">
        <v>40437</v>
      </c>
      <c r="P311">
        <v>0</v>
      </c>
      <c r="Q311">
        <v>0</v>
      </c>
      <c r="R311" t="s">
        <v>40438</v>
      </c>
      <c r="S311" t="s">
        <v>40582</v>
      </c>
      <c r="T311" t="s">
        <v>42164</v>
      </c>
      <c r="U311" t="s">
        <v>42891</v>
      </c>
      <c r="W311" t="s">
        <v>37138</v>
      </c>
      <c r="X311" t="s">
        <v>40439</v>
      </c>
    </row>
    <row r="312" spans="1:24">
      <c r="A312">
        <f>HYPERLINK("https://www.philgeps.gov.ph/GEPSNONPILOT/Tender/SplashBidNoticeAbstractUI.aspx?menuIndex=3&amp;refID=7047254&amp;Result=3","7047254")</f>
        <v>0</v>
      </c>
      <c r="B312" t="s">
        <v>164</v>
      </c>
      <c r="C312" t="s">
        <v>3394</v>
      </c>
      <c r="D312" t="s">
        <v>16213</v>
      </c>
      <c r="E312" t="s">
        <v>16595</v>
      </c>
      <c r="F312" t="s">
        <v>28198</v>
      </c>
      <c r="G312" t="s">
        <v>28205</v>
      </c>
      <c r="H312" t="s">
        <v>28215</v>
      </c>
      <c r="I312" t="s">
        <v>28227</v>
      </c>
      <c r="J312" t="s">
        <v>28585</v>
      </c>
      <c r="K312" t="s">
        <v>36687</v>
      </c>
      <c r="M312" t="s">
        <v>37138</v>
      </c>
      <c r="N312" t="s">
        <v>40436</v>
      </c>
      <c r="O312" t="s">
        <v>40437</v>
      </c>
      <c r="P312">
        <v>0</v>
      </c>
      <c r="Q312">
        <v>0</v>
      </c>
      <c r="R312" t="s">
        <v>40438</v>
      </c>
      <c r="S312" t="s">
        <v>40582</v>
      </c>
      <c r="T312" t="s">
        <v>42164</v>
      </c>
      <c r="U312" t="s">
        <v>42891</v>
      </c>
      <c r="W312" t="s">
        <v>37138</v>
      </c>
      <c r="X312" t="s">
        <v>40439</v>
      </c>
    </row>
    <row r="313" spans="1:24">
      <c r="A313">
        <f>HYPERLINK("https://www.philgeps.gov.ph/GEPSNONPILOT/Tender/SplashBidNoticeAbstractUI.aspx?menuIndex=3&amp;refID=7047236&amp;Result=3","7047236")</f>
        <v>0</v>
      </c>
      <c r="B313" t="s">
        <v>165</v>
      </c>
      <c r="C313" t="s">
        <v>3395</v>
      </c>
      <c r="D313" t="s">
        <v>16241</v>
      </c>
      <c r="E313" t="s">
        <v>16596</v>
      </c>
      <c r="F313" t="s">
        <v>28198</v>
      </c>
      <c r="G313" t="s">
        <v>28207</v>
      </c>
      <c r="H313" t="s">
        <v>28215</v>
      </c>
      <c r="I313" t="s">
        <v>9499</v>
      </c>
      <c r="J313" t="s">
        <v>28586</v>
      </c>
      <c r="K313" t="s">
        <v>36707</v>
      </c>
      <c r="M313" t="s">
        <v>37139</v>
      </c>
      <c r="N313" t="s">
        <v>40436</v>
      </c>
      <c r="O313" t="s">
        <v>40437</v>
      </c>
      <c r="P313">
        <v>0</v>
      </c>
      <c r="Q313">
        <v>3</v>
      </c>
      <c r="R313" t="s">
        <v>40438</v>
      </c>
      <c r="S313" t="s">
        <v>40582</v>
      </c>
      <c r="T313" t="s">
        <v>42133</v>
      </c>
      <c r="U313" t="s">
        <v>42892</v>
      </c>
      <c r="W313" t="s">
        <v>55433</v>
      </c>
      <c r="X313" t="s">
        <v>40439</v>
      </c>
    </row>
    <row r="314" spans="1:24">
      <c r="A314">
        <f>HYPERLINK("https://www.philgeps.gov.ph/GEPSNONPILOT/Tender/SplashBidNoticeAbstractUI.aspx?menuIndex=3&amp;refID=7047234&amp;Result=3","7047234")</f>
        <v>0</v>
      </c>
      <c r="B314" t="s">
        <v>162</v>
      </c>
      <c r="C314" t="s">
        <v>3396</v>
      </c>
      <c r="E314" t="s">
        <v>16597</v>
      </c>
      <c r="F314" t="s">
        <v>28198</v>
      </c>
      <c r="G314" t="s">
        <v>28207</v>
      </c>
      <c r="H314" t="s">
        <v>28215</v>
      </c>
      <c r="I314" t="s">
        <v>28228</v>
      </c>
      <c r="J314" t="s">
        <v>28587</v>
      </c>
      <c r="K314" t="s">
        <v>36689</v>
      </c>
      <c r="M314" t="s">
        <v>37136</v>
      </c>
      <c r="N314" t="s">
        <v>40436</v>
      </c>
      <c r="O314" t="s">
        <v>40437</v>
      </c>
      <c r="P314">
        <v>0</v>
      </c>
      <c r="Q314">
        <v>0</v>
      </c>
      <c r="R314" t="s">
        <v>40438</v>
      </c>
      <c r="S314" t="s">
        <v>40582</v>
      </c>
      <c r="T314" t="s">
        <v>42163</v>
      </c>
      <c r="U314" t="s">
        <v>42893</v>
      </c>
      <c r="V314" t="s">
        <v>53810</v>
      </c>
      <c r="W314" t="s">
        <v>37136</v>
      </c>
      <c r="X314" t="s">
        <v>40439</v>
      </c>
    </row>
    <row r="315" spans="1:24">
      <c r="A315">
        <f>HYPERLINK("https://www.philgeps.gov.ph/GEPSNONPILOT/Tender/SplashBidNoticeAbstractUI.aspx?menuIndex=3&amp;refID=7047251&amp;Result=3","7047251")</f>
        <v>0</v>
      </c>
      <c r="B315" t="s">
        <v>158</v>
      </c>
      <c r="C315" t="s">
        <v>3397</v>
      </c>
      <c r="D315" t="s">
        <v>16195</v>
      </c>
      <c r="E315" t="s">
        <v>16598</v>
      </c>
      <c r="F315" t="s">
        <v>28198</v>
      </c>
      <c r="G315" t="s">
        <v>28206</v>
      </c>
      <c r="H315" t="s">
        <v>28215</v>
      </c>
      <c r="I315" t="s">
        <v>3774</v>
      </c>
      <c r="J315" t="s">
        <v>28588</v>
      </c>
      <c r="K315" t="s">
        <v>36689</v>
      </c>
      <c r="M315" t="s">
        <v>37132</v>
      </c>
      <c r="N315" t="s">
        <v>40436</v>
      </c>
      <c r="O315" t="s">
        <v>40437</v>
      </c>
      <c r="P315">
        <v>0</v>
      </c>
      <c r="Q315">
        <v>0</v>
      </c>
      <c r="R315" t="s">
        <v>40438</v>
      </c>
      <c r="S315" t="s">
        <v>40582</v>
      </c>
      <c r="T315" t="s">
        <v>42161</v>
      </c>
      <c r="U315" t="s">
        <v>42894</v>
      </c>
      <c r="W315" t="s">
        <v>37132</v>
      </c>
      <c r="X315" t="s">
        <v>40439</v>
      </c>
    </row>
    <row r="316" spans="1:24">
      <c r="A316">
        <f>HYPERLINK("https://www.philgeps.gov.ph/GEPSNONPILOT/Tender/SplashBidNoticeAbstractUI.aspx?menuIndex=3&amp;refID=7047252&amp;Result=3","7047252")</f>
        <v>0</v>
      </c>
      <c r="B316" t="s">
        <v>166</v>
      </c>
      <c r="C316" t="s">
        <v>3398</v>
      </c>
      <c r="D316" t="s">
        <v>16235</v>
      </c>
      <c r="E316" t="s">
        <v>16599</v>
      </c>
      <c r="F316" t="s">
        <v>28198</v>
      </c>
      <c r="G316" t="s">
        <v>28205</v>
      </c>
      <c r="H316" t="s">
        <v>28215</v>
      </c>
      <c r="I316" t="s">
        <v>4168</v>
      </c>
      <c r="J316" t="s">
        <v>28589</v>
      </c>
      <c r="K316" t="s">
        <v>36707</v>
      </c>
      <c r="M316" t="s">
        <v>37140</v>
      </c>
      <c r="N316" t="s">
        <v>40436</v>
      </c>
      <c r="O316" t="s">
        <v>40437</v>
      </c>
      <c r="P316">
        <v>0</v>
      </c>
      <c r="Q316">
        <v>0</v>
      </c>
      <c r="R316" t="s">
        <v>40438</v>
      </c>
      <c r="S316" t="s">
        <v>40582</v>
      </c>
      <c r="T316" t="s">
        <v>42165</v>
      </c>
      <c r="U316" t="s">
        <v>42895</v>
      </c>
      <c r="W316" t="s">
        <v>37140</v>
      </c>
      <c r="X316" t="s">
        <v>40439</v>
      </c>
    </row>
    <row r="317" spans="1:24">
      <c r="A317">
        <f>HYPERLINK("https://www.philgeps.gov.ph/GEPSNONPILOT/Tender/SplashBidNoticeAbstractUI.aspx?menuIndex=3&amp;refID=7047231&amp;Result=3","7047231")</f>
        <v>0</v>
      </c>
      <c r="B317" t="s">
        <v>167</v>
      </c>
      <c r="C317" t="s">
        <v>3399</v>
      </c>
      <c r="D317" t="s">
        <v>16242</v>
      </c>
      <c r="E317" t="s">
        <v>16600</v>
      </c>
      <c r="F317" t="s">
        <v>28198</v>
      </c>
      <c r="G317" t="s">
        <v>28205</v>
      </c>
      <c r="H317" t="s">
        <v>28214</v>
      </c>
      <c r="I317" t="s">
        <v>28260</v>
      </c>
      <c r="J317" t="s">
        <v>28590</v>
      </c>
      <c r="K317" t="s">
        <v>36689</v>
      </c>
      <c r="M317" t="s">
        <v>37141</v>
      </c>
      <c r="N317" t="s">
        <v>40436</v>
      </c>
      <c r="O317" t="s">
        <v>40437</v>
      </c>
      <c r="P317">
        <v>0</v>
      </c>
      <c r="Q317">
        <v>0</v>
      </c>
      <c r="R317" t="s">
        <v>40438</v>
      </c>
      <c r="S317" t="s">
        <v>40582</v>
      </c>
      <c r="T317" t="s">
        <v>42166</v>
      </c>
      <c r="U317" t="s">
        <v>42896</v>
      </c>
      <c r="W317" t="s">
        <v>37141</v>
      </c>
      <c r="X317" t="s">
        <v>40439</v>
      </c>
    </row>
    <row r="318" spans="1:24">
      <c r="A318">
        <f>HYPERLINK("https://www.philgeps.gov.ph/GEPSNONPILOT/Tender/SplashBidNoticeAbstractUI.aspx?menuIndex=3&amp;refID=7047256&amp;Result=3","7047256")</f>
        <v>0</v>
      </c>
      <c r="B318" t="s">
        <v>168</v>
      </c>
      <c r="C318" t="s">
        <v>3400</v>
      </c>
      <c r="D318" t="s">
        <v>16196</v>
      </c>
      <c r="E318" t="s">
        <v>16601</v>
      </c>
      <c r="F318" t="s">
        <v>28198</v>
      </c>
      <c r="G318" t="s">
        <v>28207</v>
      </c>
      <c r="H318" t="s">
        <v>28214</v>
      </c>
      <c r="I318" t="s">
        <v>3797</v>
      </c>
      <c r="J318" t="s">
        <v>28591</v>
      </c>
      <c r="K318" t="s">
        <v>36701</v>
      </c>
      <c r="M318" t="s">
        <v>37142</v>
      </c>
      <c r="N318" t="s">
        <v>40436</v>
      </c>
      <c r="O318" t="s">
        <v>40437</v>
      </c>
      <c r="P318">
        <v>0</v>
      </c>
      <c r="Q318">
        <v>6</v>
      </c>
      <c r="R318" t="s">
        <v>40438</v>
      </c>
      <c r="S318" t="s">
        <v>40582</v>
      </c>
      <c r="T318" t="s">
        <v>42146</v>
      </c>
      <c r="U318" t="s">
        <v>42897</v>
      </c>
      <c r="W318" t="s">
        <v>37142</v>
      </c>
      <c r="X318" t="s">
        <v>40439</v>
      </c>
    </row>
    <row r="319" spans="1:24">
      <c r="A319">
        <f>HYPERLINK("https://www.philgeps.gov.ph/GEPSNONPILOT/Tender/SplashBidNoticeAbstractUI.aspx?menuIndex=3&amp;refID=7047253&amp;Result=3","7047253")</f>
        <v>0</v>
      </c>
      <c r="B319" t="s">
        <v>169</v>
      </c>
      <c r="C319" t="s">
        <v>3401</v>
      </c>
      <c r="D319" t="s">
        <v>16243</v>
      </c>
      <c r="E319" t="s">
        <v>16602</v>
      </c>
      <c r="F319" t="s">
        <v>28198</v>
      </c>
      <c r="G319" t="s">
        <v>28205</v>
      </c>
      <c r="H319" t="s">
        <v>28214</v>
      </c>
      <c r="I319" t="s">
        <v>3797</v>
      </c>
      <c r="J319" t="s">
        <v>28592</v>
      </c>
      <c r="K319" t="s">
        <v>36725</v>
      </c>
      <c r="M319" t="s">
        <v>37143</v>
      </c>
      <c r="N319" t="s">
        <v>40436</v>
      </c>
      <c r="O319" t="s">
        <v>40437</v>
      </c>
      <c r="P319">
        <v>0</v>
      </c>
      <c r="Q319">
        <v>0</v>
      </c>
      <c r="R319" t="s">
        <v>40438</v>
      </c>
      <c r="S319" t="s">
        <v>40582</v>
      </c>
      <c r="T319" t="s">
        <v>42102</v>
      </c>
      <c r="U319" t="s">
        <v>42898</v>
      </c>
      <c r="W319" t="s">
        <v>37143</v>
      </c>
      <c r="X319" t="s">
        <v>40439</v>
      </c>
    </row>
    <row r="320" spans="1:24">
      <c r="A320">
        <f>HYPERLINK("https://www.philgeps.gov.ph/GEPSNONPILOT/Tender/SplashBidNoticeAbstractUI.aspx?menuIndex=3&amp;refID=7047248&amp;Result=3","7047248")</f>
        <v>0</v>
      </c>
      <c r="B320" t="s">
        <v>159</v>
      </c>
      <c r="C320" t="s">
        <v>3402</v>
      </c>
      <c r="D320" t="s">
        <v>16189</v>
      </c>
      <c r="E320" t="s">
        <v>16587</v>
      </c>
      <c r="F320" t="s">
        <v>28198</v>
      </c>
      <c r="G320" t="s">
        <v>28205</v>
      </c>
      <c r="H320" t="s">
        <v>28214</v>
      </c>
      <c r="I320" t="s">
        <v>28260</v>
      </c>
      <c r="J320" t="s">
        <v>28593</v>
      </c>
      <c r="K320" t="s">
        <v>36704</v>
      </c>
      <c r="M320" t="s">
        <v>37133</v>
      </c>
      <c r="N320" t="s">
        <v>40436</v>
      </c>
      <c r="O320" t="s">
        <v>40437</v>
      </c>
      <c r="P320">
        <v>0</v>
      </c>
      <c r="Q320">
        <v>0</v>
      </c>
      <c r="R320" t="s">
        <v>40438</v>
      </c>
      <c r="S320" t="s">
        <v>40582</v>
      </c>
      <c r="T320" t="s">
        <v>42098</v>
      </c>
      <c r="U320" t="s">
        <v>42899</v>
      </c>
      <c r="W320" t="s">
        <v>37133</v>
      </c>
      <c r="X320" t="s">
        <v>40439</v>
      </c>
    </row>
    <row r="321" spans="1:24">
      <c r="A321">
        <f>HYPERLINK("https://www.philgeps.gov.ph/GEPSNONPILOT/Tender/SplashBidNoticeAbstractUI.aspx?menuIndex=3&amp;refID=7047271&amp;Result=3","7047271")</f>
        <v>0</v>
      </c>
      <c r="B321" t="s">
        <v>170</v>
      </c>
      <c r="C321" t="s">
        <v>3403</v>
      </c>
      <c r="D321" t="s">
        <v>16187</v>
      </c>
      <c r="E321" t="s">
        <v>16603</v>
      </c>
      <c r="F321" t="s">
        <v>28198</v>
      </c>
      <c r="G321" t="s">
        <v>28207</v>
      </c>
      <c r="H321" t="s">
        <v>28215</v>
      </c>
      <c r="I321" t="s">
        <v>28261</v>
      </c>
      <c r="J321" t="s">
        <v>28594</v>
      </c>
      <c r="K321" t="s">
        <v>36707</v>
      </c>
      <c r="M321" t="s">
        <v>37144</v>
      </c>
      <c r="N321" t="s">
        <v>40436</v>
      </c>
      <c r="O321" t="s">
        <v>40437</v>
      </c>
      <c r="P321">
        <v>0</v>
      </c>
      <c r="Q321">
        <v>0</v>
      </c>
      <c r="R321" t="s">
        <v>40438</v>
      </c>
      <c r="S321" t="s">
        <v>40582</v>
      </c>
      <c r="T321" t="s">
        <v>42103</v>
      </c>
      <c r="U321" t="s">
        <v>42900</v>
      </c>
      <c r="W321" t="s">
        <v>37144</v>
      </c>
      <c r="X321" t="s">
        <v>40439</v>
      </c>
    </row>
    <row r="322" spans="1:24">
      <c r="A322">
        <f>HYPERLINK("https://www.philgeps.gov.ph/GEPSNONPILOT/Tender/SplashBidNoticeAbstractUI.aspx?menuIndex=3&amp;refID=7047268&amp;Result=3","7047268")</f>
        <v>0</v>
      </c>
      <c r="B322" t="s">
        <v>171</v>
      </c>
      <c r="C322" t="s">
        <v>3404</v>
      </c>
      <c r="E322" t="s">
        <v>16604</v>
      </c>
      <c r="F322" t="s">
        <v>28198</v>
      </c>
      <c r="G322" t="s">
        <v>28207</v>
      </c>
      <c r="H322" t="s">
        <v>28215</v>
      </c>
      <c r="I322" t="s">
        <v>28234</v>
      </c>
      <c r="J322" t="s">
        <v>28430</v>
      </c>
      <c r="K322" t="s">
        <v>36701</v>
      </c>
      <c r="M322" t="s">
        <v>37145</v>
      </c>
      <c r="N322" t="s">
        <v>40436</v>
      </c>
      <c r="O322" t="s">
        <v>40437</v>
      </c>
      <c r="P322">
        <v>0</v>
      </c>
      <c r="Q322">
        <v>2</v>
      </c>
      <c r="R322" t="s">
        <v>40438</v>
      </c>
      <c r="S322" t="s">
        <v>40582</v>
      </c>
      <c r="T322" t="s">
        <v>42167</v>
      </c>
      <c r="U322" t="s">
        <v>42901</v>
      </c>
      <c r="V322" t="s">
        <v>53811</v>
      </c>
      <c r="W322" t="s">
        <v>39085</v>
      </c>
      <c r="X322" t="s">
        <v>40439</v>
      </c>
    </row>
    <row r="323" spans="1:24">
      <c r="A323">
        <f>HYPERLINK("https://www.philgeps.gov.ph/GEPSNONPILOT/Tender/SplashBidNoticeAbstractUI.aspx?menuIndex=3&amp;refID=7047235&amp;Result=3","7047235")</f>
        <v>0</v>
      </c>
      <c r="B323" t="s">
        <v>172</v>
      </c>
      <c r="C323" t="s">
        <v>3405</v>
      </c>
      <c r="D323" t="s">
        <v>16210</v>
      </c>
      <c r="E323" t="s">
        <v>16605</v>
      </c>
      <c r="F323" t="s">
        <v>28198</v>
      </c>
      <c r="G323" t="s">
        <v>28207</v>
      </c>
      <c r="H323" t="s">
        <v>28214</v>
      </c>
      <c r="I323" t="s">
        <v>3797</v>
      </c>
      <c r="J323" t="s">
        <v>28595</v>
      </c>
      <c r="K323" t="s">
        <v>36701</v>
      </c>
      <c r="M323" t="s">
        <v>37146</v>
      </c>
      <c r="N323" t="s">
        <v>40436</v>
      </c>
      <c r="O323" t="s">
        <v>40437</v>
      </c>
      <c r="P323">
        <v>0</v>
      </c>
      <c r="Q323">
        <v>1</v>
      </c>
      <c r="R323" t="s">
        <v>40438</v>
      </c>
      <c r="S323" t="s">
        <v>40582</v>
      </c>
      <c r="T323" t="s">
        <v>42142</v>
      </c>
      <c r="U323" t="s">
        <v>42902</v>
      </c>
      <c r="W323" t="s">
        <v>37146</v>
      </c>
      <c r="X323" t="s">
        <v>40439</v>
      </c>
    </row>
    <row r="324" spans="1:24">
      <c r="A324">
        <f>HYPERLINK("https://www.philgeps.gov.ph/GEPSNONPILOT/Tender/SplashBidNoticeAbstractUI.aspx?menuIndex=3&amp;refID=7047272&amp;Result=3","7047272")</f>
        <v>0</v>
      </c>
      <c r="B324" t="s">
        <v>173</v>
      </c>
      <c r="C324" t="s">
        <v>3406</v>
      </c>
      <c r="D324" t="s">
        <v>16208</v>
      </c>
      <c r="E324" t="s">
        <v>16606</v>
      </c>
      <c r="F324" t="s">
        <v>28198</v>
      </c>
      <c r="G324" t="s">
        <v>28205</v>
      </c>
      <c r="H324" t="s">
        <v>28215</v>
      </c>
      <c r="I324" t="s">
        <v>28227</v>
      </c>
      <c r="J324" t="s">
        <v>28596</v>
      </c>
      <c r="K324" t="s">
        <v>36707</v>
      </c>
      <c r="M324" t="s">
        <v>37147</v>
      </c>
      <c r="N324" t="s">
        <v>40436</v>
      </c>
      <c r="O324" t="s">
        <v>40437</v>
      </c>
      <c r="P324">
        <v>0</v>
      </c>
      <c r="Q324">
        <v>0</v>
      </c>
      <c r="R324" t="s">
        <v>40438</v>
      </c>
      <c r="S324" t="s">
        <v>40582</v>
      </c>
      <c r="T324" t="s">
        <v>42168</v>
      </c>
      <c r="U324" t="s">
        <v>42903</v>
      </c>
      <c r="W324" t="s">
        <v>37147</v>
      </c>
      <c r="X324" t="s">
        <v>40439</v>
      </c>
    </row>
    <row r="325" spans="1:24">
      <c r="A325">
        <f>HYPERLINK("https://www.philgeps.gov.ph/GEPSNONPILOT/Tender/SplashBidNoticeAbstractUI.aspx?menuIndex=3&amp;refID=7047265&amp;Result=3","7047265")</f>
        <v>0</v>
      </c>
      <c r="B325" t="s">
        <v>174</v>
      </c>
      <c r="C325" t="s">
        <v>3407</v>
      </c>
      <c r="D325" t="s">
        <v>16238</v>
      </c>
      <c r="E325" t="s">
        <v>16607</v>
      </c>
      <c r="F325" t="s">
        <v>28198</v>
      </c>
      <c r="G325" t="s">
        <v>28206</v>
      </c>
      <c r="H325" t="s">
        <v>28215</v>
      </c>
      <c r="I325" t="s">
        <v>28247</v>
      </c>
      <c r="J325" t="s">
        <v>28597</v>
      </c>
      <c r="K325" t="s">
        <v>36701</v>
      </c>
      <c r="M325" t="s">
        <v>37148</v>
      </c>
      <c r="N325" t="s">
        <v>40436</v>
      </c>
      <c r="O325" t="s">
        <v>40437</v>
      </c>
      <c r="P325">
        <v>0</v>
      </c>
      <c r="Q325">
        <v>8</v>
      </c>
      <c r="R325" t="s">
        <v>40438</v>
      </c>
      <c r="S325" t="s">
        <v>40582</v>
      </c>
      <c r="T325" t="s">
        <v>42159</v>
      </c>
      <c r="U325" t="s">
        <v>42904</v>
      </c>
      <c r="W325" t="s">
        <v>37148</v>
      </c>
      <c r="X325" t="s">
        <v>40439</v>
      </c>
    </row>
    <row r="326" spans="1:24">
      <c r="A326">
        <f>HYPERLINK("https://www.philgeps.gov.ph/GEPSNONPILOT/Tender/SplashBidNoticeAbstractUI.aspx?menuIndex=3&amp;refID=7047257&amp;Result=3","7047257")</f>
        <v>0</v>
      </c>
      <c r="B326" t="s">
        <v>175</v>
      </c>
      <c r="C326" t="s">
        <v>3408</v>
      </c>
      <c r="D326" t="s">
        <v>16244</v>
      </c>
      <c r="E326" t="s">
        <v>16608</v>
      </c>
      <c r="F326" t="s">
        <v>28198</v>
      </c>
      <c r="G326" t="s">
        <v>28206</v>
      </c>
      <c r="H326" t="s">
        <v>28215</v>
      </c>
      <c r="I326" t="s">
        <v>4200</v>
      </c>
      <c r="J326" t="s">
        <v>28598</v>
      </c>
      <c r="K326" t="s">
        <v>36688</v>
      </c>
      <c r="M326" t="s">
        <v>37149</v>
      </c>
      <c r="N326" t="s">
        <v>40436</v>
      </c>
      <c r="O326" t="s">
        <v>40437</v>
      </c>
      <c r="P326">
        <v>0</v>
      </c>
      <c r="Q326">
        <v>0</v>
      </c>
      <c r="R326" t="s">
        <v>40438</v>
      </c>
      <c r="S326" t="s">
        <v>40582</v>
      </c>
      <c r="T326" t="s">
        <v>42169</v>
      </c>
      <c r="U326" t="s">
        <v>42905</v>
      </c>
      <c r="W326" t="s">
        <v>37149</v>
      </c>
      <c r="X326" t="s">
        <v>40439</v>
      </c>
    </row>
    <row r="327" spans="1:24">
      <c r="A327">
        <f>HYPERLINK("https://www.philgeps.gov.ph/GEPSNONPILOT/Tender/SplashBidNoticeAbstractUI.aspx?menuIndex=3&amp;refID=7047263&amp;Result=3","7047263")</f>
        <v>0</v>
      </c>
      <c r="B327" t="s">
        <v>168</v>
      </c>
      <c r="C327" t="s">
        <v>3409</v>
      </c>
      <c r="D327" t="s">
        <v>16196</v>
      </c>
      <c r="E327" t="s">
        <v>16609</v>
      </c>
      <c r="F327" t="s">
        <v>28198</v>
      </c>
      <c r="G327" t="s">
        <v>28207</v>
      </c>
      <c r="H327" t="s">
        <v>28214</v>
      </c>
      <c r="I327" t="s">
        <v>3797</v>
      </c>
      <c r="J327" t="s">
        <v>28599</v>
      </c>
      <c r="K327" t="s">
        <v>36701</v>
      </c>
      <c r="M327" t="s">
        <v>37142</v>
      </c>
      <c r="N327" t="s">
        <v>40436</v>
      </c>
      <c r="O327" t="s">
        <v>40437</v>
      </c>
      <c r="P327">
        <v>0</v>
      </c>
      <c r="Q327">
        <v>6</v>
      </c>
      <c r="R327" t="s">
        <v>40438</v>
      </c>
      <c r="S327" t="s">
        <v>40582</v>
      </c>
      <c r="T327" t="s">
        <v>42146</v>
      </c>
      <c r="U327" t="s">
        <v>42897</v>
      </c>
      <c r="W327" t="s">
        <v>37142</v>
      </c>
      <c r="X327" t="s">
        <v>40439</v>
      </c>
    </row>
    <row r="328" spans="1:24">
      <c r="A328">
        <f>HYPERLINK("https://www.philgeps.gov.ph/GEPSNONPILOT/Tender/SplashBidNoticeAbstractUI.aspx?menuIndex=3&amp;refID=7047255&amp;Result=3","7047255")</f>
        <v>0</v>
      </c>
      <c r="B328" t="s">
        <v>176</v>
      </c>
      <c r="C328" t="s">
        <v>3410</v>
      </c>
      <c r="D328" t="s">
        <v>16217</v>
      </c>
      <c r="E328" t="s">
        <v>16610</v>
      </c>
      <c r="F328" t="s">
        <v>28198</v>
      </c>
      <c r="G328" t="s">
        <v>28207</v>
      </c>
      <c r="H328" t="s">
        <v>28215</v>
      </c>
      <c r="I328" t="s">
        <v>28227</v>
      </c>
      <c r="J328" t="s">
        <v>28600</v>
      </c>
      <c r="K328" t="s">
        <v>36706</v>
      </c>
      <c r="M328" t="s">
        <v>37150</v>
      </c>
      <c r="N328" t="s">
        <v>40436</v>
      </c>
      <c r="O328" t="s">
        <v>40437</v>
      </c>
      <c r="P328">
        <v>0</v>
      </c>
      <c r="Q328">
        <v>0</v>
      </c>
      <c r="R328" t="s">
        <v>40438</v>
      </c>
      <c r="S328" t="s">
        <v>40582</v>
      </c>
      <c r="T328" t="s">
        <v>42112</v>
      </c>
      <c r="U328" t="s">
        <v>42906</v>
      </c>
      <c r="W328" t="s">
        <v>37150</v>
      </c>
      <c r="X328" t="s">
        <v>40439</v>
      </c>
    </row>
    <row r="329" spans="1:24">
      <c r="A329">
        <f>HYPERLINK("https://www.philgeps.gov.ph/GEPSNONPILOT/Tender/SplashBidNoticeAbstractUI.aspx?menuIndex=3&amp;refID=7047241&amp;Result=3","7047241")</f>
        <v>0</v>
      </c>
      <c r="B329" t="s">
        <v>161</v>
      </c>
      <c r="C329" t="s">
        <v>3411</v>
      </c>
      <c r="D329" t="s">
        <v>16235</v>
      </c>
      <c r="E329" t="s">
        <v>16611</v>
      </c>
      <c r="F329" t="s">
        <v>28198</v>
      </c>
      <c r="G329" t="s">
        <v>28207</v>
      </c>
      <c r="H329" t="s">
        <v>28215</v>
      </c>
      <c r="I329" t="s">
        <v>3774</v>
      </c>
      <c r="J329" t="s">
        <v>28601</v>
      </c>
      <c r="K329" t="s">
        <v>36701</v>
      </c>
      <c r="M329" t="s">
        <v>37135</v>
      </c>
      <c r="N329" t="s">
        <v>40436</v>
      </c>
      <c r="O329" t="s">
        <v>40437</v>
      </c>
      <c r="P329">
        <v>0</v>
      </c>
      <c r="Q329">
        <v>2</v>
      </c>
      <c r="R329" t="s">
        <v>40438</v>
      </c>
      <c r="S329" t="s">
        <v>40582</v>
      </c>
      <c r="T329" t="s">
        <v>42103</v>
      </c>
      <c r="U329" t="s">
        <v>42887</v>
      </c>
      <c r="W329" t="s">
        <v>37135</v>
      </c>
      <c r="X329" t="s">
        <v>40439</v>
      </c>
    </row>
    <row r="330" spans="1:24">
      <c r="A330">
        <f>HYPERLINK("https://www.philgeps.gov.ph/GEPSNONPILOT/Tender/SplashBidNoticeAbstractUI.aspx?menuIndex=3&amp;refID=7047267&amp;Result=3","7047267")</f>
        <v>0</v>
      </c>
      <c r="B330" t="s">
        <v>168</v>
      </c>
      <c r="C330" t="s">
        <v>3412</v>
      </c>
      <c r="D330" t="s">
        <v>16196</v>
      </c>
      <c r="E330" t="s">
        <v>16612</v>
      </c>
      <c r="F330" t="s">
        <v>28198</v>
      </c>
      <c r="G330" t="s">
        <v>28207</v>
      </c>
      <c r="H330" t="s">
        <v>28214</v>
      </c>
      <c r="I330" t="s">
        <v>3797</v>
      </c>
      <c r="J330" t="s">
        <v>28602</v>
      </c>
      <c r="K330" t="s">
        <v>36715</v>
      </c>
      <c r="M330" t="s">
        <v>37142</v>
      </c>
      <c r="N330" t="s">
        <v>40436</v>
      </c>
      <c r="O330" t="s">
        <v>40437</v>
      </c>
      <c r="P330">
        <v>0</v>
      </c>
      <c r="Q330">
        <v>6</v>
      </c>
      <c r="R330" t="s">
        <v>40438</v>
      </c>
      <c r="S330" t="s">
        <v>40582</v>
      </c>
      <c r="T330" t="s">
        <v>42146</v>
      </c>
      <c r="U330" t="s">
        <v>42897</v>
      </c>
      <c r="W330" t="s">
        <v>37142</v>
      </c>
      <c r="X330" t="s">
        <v>40439</v>
      </c>
    </row>
    <row r="331" spans="1:24">
      <c r="A331">
        <f>HYPERLINK("https://www.philgeps.gov.ph/GEPSNONPILOT/Tender/SplashBidNoticeAbstractUI.aspx?menuIndex=3&amp;refID=7047270&amp;Result=3","7047270")</f>
        <v>0</v>
      </c>
      <c r="B331" t="s">
        <v>129</v>
      </c>
      <c r="C331" t="s">
        <v>3413</v>
      </c>
      <c r="D331" t="s">
        <v>16210</v>
      </c>
      <c r="E331" t="s">
        <v>16613</v>
      </c>
      <c r="F331" t="s">
        <v>28198</v>
      </c>
      <c r="G331" t="s">
        <v>28206</v>
      </c>
      <c r="H331" t="s">
        <v>28215</v>
      </c>
      <c r="I331" t="s">
        <v>28225</v>
      </c>
      <c r="J331" t="s">
        <v>28603</v>
      </c>
      <c r="K331" t="s">
        <v>36706</v>
      </c>
      <c r="M331" t="s">
        <v>37151</v>
      </c>
      <c r="N331" t="s">
        <v>40436</v>
      </c>
      <c r="O331" t="s">
        <v>40437</v>
      </c>
      <c r="P331">
        <v>0</v>
      </c>
      <c r="Q331">
        <v>2</v>
      </c>
      <c r="R331" t="s">
        <v>40438</v>
      </c>
      <c r="S331" t="s">
        <v>40582</v>
      </c>
      <c r="T331" t="s">
        <v>42156</v>
      </c>
      <c r="U331" t="s">
        <v>42907</v>
      </c>
      <c r="V331" t="s">
        <v>53812</v>
      </c>
      <c r="W331" t="s">
        <v>37151</v>
      </c>
      <c r="X331" t="s">
        <v>40439</v>
      </c>
    </row>
    <row r="332" spans="1:24">
      <c r="A332">
        <f>HYPERLINK("https://www.philgeps.gov.ph/GEPSNONPILOT/Tender/SplashBidNoticeAbstractUI.aspx?menuIndex=3&amp;refID=7047276&amp;Result=3","7047276")</f>
        <v>0</v>
      </c>
      <c r="B332" t="s">
        <v>177</v>
      </c>
      <c r="C332" t="s">
        <v>3414</v>
      </c>
      <c r="D332" t="s">
        <v>16228</v>
      </c>
      <c r="E332" t="s">
        <v>16614</v>
      </c>
      <c r="F332" t="s">
        <v>28198</v>
      </c>
      <c r="G332" t="s">
        <v>28205</v>
      </c>
      <c r="H332" t="s">
        <v>28217</v>
      </c>
      <c r="I332" t="s">
        <v>28222</v>
      </c>
      <c r="J332" t="s">
        <v>28604</v>
      </c>
      <c r="K332" t="s">
        <v>36697</v>
      </c>
      <c r="M332" t="s">
        <v>37152</v>
      </c>
      <c r="N332" t="s">
        <v>40436</v>
      </c>
      <c r="O332" t="s">
        <v>40437</v>
      </c>
      <c r="P332">
        <v>0</v>
      </c>
      <c r="Q332">
        <v>3</v>
      </c>
      <c r="R332" t="s">
        <v>40438</v>
      </c>
      <c r="S332" t="s">
        <v>40582</v>
      </c>
      <c r="T332" t="s">
        <v>42170</v>
      </c>
      <c r="U332" t="s">
        <v>42908</v>
      </c>
      <c r="V332" t="s">
        <v>53813</v>
      </c>
      <c r="W332" t="s">
        <v>37152</v>
      </c>
      <c r="X332" t="s">
        <v>40439</v>
      </c>
    </row>
    <row r="333" spans="1:24">
      <c r="A333">
        <f>HYPERLINK("https://www.philgeps.gov.ph/GEPSNONPILOT/Tender/SplashBidNoticeAbstractUI.aspx?menuIndex=3&amp;refID=7047266&amp;Result=3","7047266")</f>
        <v>0</v>
      </c>
      <c r="B333" t="s">
        <v>164</v>
      </c>
      <c r="C333" t="s">
        <v>3415</v>
      </c>
      <c r="D333" t="s">
        <v>16213</v>
      </c>
      <c r="E333" t="s">
        <v>16615</v>
      </c>
      <c r="F333" t="s">
        <v>28198</v>
      </c>
      <c r="G333" t="s">
        <v>28205</v>
      </c>
      <c r="H333" t="s">
        <v>28215</v>
      </c>
      <c r="I333" t="s">
        <v>28249</v>
      </c>
      <c r="J333" t="s">
        <v>28605</v>
      </c>
      <c r="K333" t="s">
        <v>36687</v>
      </c>
      <c r="M333" t="s">
        <v>37138</v>
      </c>
      <c r="N333" t="s">
        <v>40436</v>
      </c>
      <c r="O333" t="s">
        <v>40437</v>
      </c>
      <c r="P333">
        <v>0</v>
      </c>
      <c r="Q333">
        <v>0</v>
      </c>
      <c r="R333" t="s">
        <v>40438</v>
      </c>
      <c r="S333" t="s">
        <v>40582</v>
      </c>
      <c r="T333" t="s">
        <v>42171</v>
      </c>
      <c r="U333" t="s">
        <v>42909</v>
      </c>
      <c r="W333" t="s">
        <v>37138</v>
      </c>
      <c r="X333" t="s">
        <v>40439</v>
      </c>
    </row>
    <row r="334" spans="1:24">
      <c r="A334">
        <f>HYPERLINK("https://www.philgeps.gov.ph/GEPSNONPILOT/Tender/SplashBidNoticeAbstractUI.aspx?menuIndex=3&amp;refID=7047269&amp;Result=3","7047269")</f>
        <v>0</v>
      </c>
      <c r="B334" t="s">
        <v>178</v>
      </c>
      <c r="C334" t="s">
        <v>3416</v>
      </c>
      <c r="D334" t="s">
        <v>16220</v>
      </c>
      <c r="E334" t="s">
        <v>16616</v>
      </c>
      <c r="F334" t="s">
        <v>28198</v>
      </c>
      <c r="G334" t="s">
        <v>28205</v>
      </c>
      <c r="H334" t="s">
        <v>28215</v>
      </c>
      <c r="I334" t="s">
        <v>28234</v>
      </c>
      <c r="J334" t="s">
        <v>28589</v>
      </c>
      <c r="K334" t="s">
        <v>36701</v>
      </c>
      <c r="M334" t="s">
        <v>37153</v>
      </c>
      <c r="N334" t="s">
        <v>40436</v>
      </c>
      <c r="O334" t="s">
        <v>40437</v>
      </c>
      <c r="P334">
        <v>0</v>
      </c>
      <c r="Q334">
        <v>0</v>
      </c>
      <c r="R334" t="s">
        <v>40438</v>
      </c>
      <c r="S334" t="s">
        <v>40582</v>
      </c>
      <c r="T334" t="s">
        <v>42126</v>
      </c>
      <c r="U334" t="s">
        <v>42910</v>
      </c>
      <c r="W334" t="s">
        <v>37153</v>
      </c>
      <c r="X334" t="s">
        <v>40439</v>
      </c>
    </row>
    <row r="335" spans="1:24">
      <c r="A335">
        <f>HYPERLINK("https://www.philgeps.gov.ph/GEPSNONPILOT/Tender/SplashBidNoticeAbstractUI.aspx?menuIndex=3&amp;refID=7047273&amp;Result=3","7047273")</f>
        <v>0</v>
      </c>
      <c r="B335" t="s">
        <v>179</v>
      </c>
      <c r="C335" t="s">
        <v>3417</v>
      </c>
      <c r="D335" t="s">
        <v>16199</v>
      </c>
      <c r="E335" t="s">
        <v>16617</v>
      </c>
      <c r="F335" t="s">
        <v>28198</v>
      </c>
      <c r="G335" t="s">
        <v>28207</v>
      </c>
      <c r="H335" t="s">
        <v>28215</v>
      </c>
      <c r="I335" t="s">
        <v>4321</v>
      </c>
      <c r="J335" t="s">
        <v>28606</v>
      </c>
      <c r="K335" t="s">
        <v>36688</v>
      </c>
      <c r="M335" t="s">
        <v>37154</v>
      </c>
      <c r="N335" t="s">
        <v>40436</v>
      </c>
      <c r="O335" t="s">
        <v>40437</v>
      </c>
      <c r="P335">
        <v>0</v>
      </c>
      <c r="Q335">
        <v>1</v>
      </c>
      <c r="R335" t="s">
        <v>40438</v>
      </c>
      <c r="S335" t="s">
        <v>40582</v>
      </c>
      <c r="T335" t="s">
        <v>42103</v>
      </c>
      <c r="U335" t="s">
        <v>42911</v>
      </c>
      <c r="W335" t="s">
        <v>37154</v>
      </c>
      <c r="X335" t="s">
        <v>40439</v>
      </c>
    </row>
    <row r="336" spans="1:24">
      <c r="A336">
        <f>HYPERLINK("https://www.philgeps.gov.ph/GEPSNONPILOT/Tender/SplashBidNoticeAbstractUI.aspx?menuIndex=3&amp;refID=7047259&amp;Result=3","7047259")</f>
        <v>0</v>
      </c>
      <c r="B336" t="s">
        <v>167</v>
      </c>
      <c r="C336" t="s">
        <v>3418</v>
      </c>
      <c r="D336" t="s">
        <v>16242</v>
      </c>
      <c r="E336" t="s">
        <v>16618</v>
      </c>
      <c r="F336" t="s">
        <v>28198</v>
      </c>
      <c r="G336" t="s">
        <v>28205</v>
      </c>
      <c r="H336" t="s">
        <v>28215</v>
      </c>
      <c r="I336" t="s">
        <v>28262</v>
      </c>
      <c r="J336" t="s">
        <v>28607</v>
      </c>
      <c r="K336" t="s">
        <v>36689</v>
      </c>
      <c r="M336" t="s">
        <v>37141</v>
      </c>
      <c r="N336" t="s">
        <v>40436</v>
      </c>
      <c r="O336" t="s">
        <v>40437</v>
      </c>
      <c r="P336">
        <v>0</v>
      </c>
      <c r="Q336">
        <v>2</v>
      </c>
      <c r="R336" t="s">
        <v>40438</v>
      </c>
      <c r="S336" t="s">
        <v>40582</v>
      </c>
      <c r="T336" t="s">
        <v>42166</v>
      </c>
      <c r="U336" t="s">
        <v>42912</v>
      </c>
      <c r="W336" t="s">
        <v>37141</v>
      </c>
      <c r="X336" t="s">
        <v>40439</v>
      </c>
    </row>
    <row r="337" spans="1:24">
      <c r="A337">
        <f>HYPERLINK("https://www.philgeps.gov.ph/GEPSNONPILOT/Tender/SplashBidNoticeAbstractUI.aspx?menuIndex=3&amp;refID=7047279&amp;Result=3","7047279")</f>
        <v>0</v>
      </c>
      <c r="B337" t="s">
        <v>180</v>
      </c>
      <c r="C337" t="s">
        <v>3419</v>
      </c>
      <c r="D337" t="s">
        <v>16245</v>
      </c>
      <c r="E337" t="s">
        <v>16619</v>
      </c>
      <c r="F337" t="s">
        <v>28198</v>
      </c>
      <c r="G337" t="s">
        <v>28206</v>
      </c>
      <c r="H337" t="s">
        <v>28215</v>
      </c>
      <c r="I337" t="s">
        <v>5100</v>
      </c>
      <c r="J337" t="s">
        <v>28608</v>
      </c>
      <c r="K337" t="s">
        <v>36688</v>
      </c>
      <c r="M337" t="s">
        <v>37155</v>
      </c>
      <c r="N337" t="s">
        <v>40436</v>
      </c>
      <c r="O337" t="s">
        <v>40437</v>
      </c>
      <c r="P337">
        <v>0</v>
      </c>
      <c r="Q337">
        <v>0</v>
      </c>
      <c r="R337" t="s">
        <v>40438</v>
      </c>
      <c r="S337" t="s">
        <v>40582</v>
      </c>
      <c r="T337" t="s">
        <v>42172</v>
      </c>
      <c r="U337" t="s">
        <v>42913</v>
      </c>
      <c r="W337" t="s">
        <v>37155</v>
      </c>
      <c r="X337" t="s">
        <v>40439</v>
      </c>
    </row>
    <row r="338" spans="1:24">
      <c r="A338">
        <f>HYPERLINK("https://www.philgeps.gov.ph/GEPSNONPILOT/Tender/SplashBidNoticeAbstractUI.aspx?menuIndex=3&amp;refID=7047261&amp;Result=3","7047261")</f>
        <v>0</v>
      </c>
      <c r="B338" t="s">
        <v>158</v>
      </c>
      <c r="C338" t="s">
        <v>3420</v>
      </c>
      <c r="D338" t="s">
        <v>16195</v>
      </c>
      <c r="E338" t="s">
        <v>16620</v>
      </c>
      <c r="F338" t="s">
        <v>28198</v>
      </c>
      <c r="G338" t="s">
        <v>28207</v>
      </c>
      <c r="H338" t="s">
        <v>28215</v>
      </c>
      <c r="I338" t="s">
        <v>5100</v>
      </c>
      <c r="J338" t="s">
        <v>28609</v>
      </c>
      <c r="K338" t="s">
        <v>36689</v>
      </c>
      <c r="M338" t="s">
        <v>37132</v>
      </c>
      <c r="N338" t="s">
        <v>40436</v>
      </c>
      <c r="O338" t="s">
        <v>40437</v>
      </c>
      <c r="P338">
        <v>0</v>
      </c>
      <c r="Q338">
        <v>0</v>
      </c>
      <c r="R338" t="s">
        <v>40438</v>
      </c>
      <c r="S338" t="s">
        <v>40582</v>
      </c>
      <c r="T338" t="s">
        <v>42142</v>
      </c>
      <c r="U338" t="s">
        <v>42914</v>
      </c>
      <c r="W338" t="s">
        <v>37132</v>
      </c>
      <c r="X338" t="s">
        <v>40439</v>
      </c>
    </row>
    <row r="339" spans="1:24">
      <c r="A339">
        <f>HYPERLINK("https://www.philgeps.gov.ph/GEPSNONPILOT/Tender/SplashBidNoticeAbstractUI.aspx?menuIndex=3&amp;refID=7047278&amp;Result=3","7047278")</f>
        <v>0</v>
      </c>
      <c r="B339" t="s">
        <v>181</v>
      </c>
      <c r="C339" t="s">
        <v>3421</v>
      </c>
      <c r="D339" t="s">
        <v>16209</v>
      </c>
      <c r="E339" t="s">
        <v>16621</v>
      </c>
      <c r="F339" t="s">
        <v>28198</v>
      </c>
      <c r="G339" t="s">
        <v>28205</v>
      </c>
      <c r="H339" t="s">
        <v>28214</v>
      </c>
      <c r="I339" t="s">
        <v>3797</v>
      </c>
      <c r="J339" t="s">
        <v>28345</v>
      </c>
      <c r="K339" t="s">
        <v>36715</v>
      </c>
      <c r="M339" t="s">
        <v>37156</v>
      </c>
      <c r="N339" t="s">
        <v>40436</v>
      </c>
      <c r="O339" t="s">
        <v>40437</v>
      </c>
      <c r="P339">
        <v>0</v>
      </c>
      <c r="Q339">
        <v>0</v>
      </c>
      <c r="R339" t="s">
        <v>40438</v>
      </c>
      <c r="S339" t="s">
        <v>40582</v>
      </c>
      <c r="T339" t="s">
        <v>42173</v>
      </c>
      <c r="U339" t="s">
        <v>42915</v>
      </c>
      <c r="W339" t="s">
        <v>37156</v>
      </c>
      <c r="X339" t="s">
        <v>40439</v>
      </c>
    </row>
    <row r="340" spans="1:24">
      <c r="A340">
        <f>HYPERLINK("https://www.philgeps.gov.ph/GEPSNONPILOT/Tender/SplashBidNoticeAbstractUI.aspx?menuIndex=3&amp;refID=7047260&amp;Result=3","7047260")</f>
        <v>0</v>
      </c>
      <c r="B340" t="s">
        <v>182</v>
      </c>
      <c r="C340" t="s">
        <v>3422</v>
      </c>
      <c r="D340" t="s">
        <v>16246</v>
      </c>
      <c r="E340" t="s">
        <v>16622</v>
      </c>
      <c r="F340" t="s">
        <v>28198</v>
      </c>
      <c r="G340" t="s">
        <v>28206</v>
      </c>
      <c r="H340" t="s">
        <v>28215</v>
      </c>
      <c r="I340" t="s">
        <v>3422</v>
      </c>
      <c r="J340" t="s">
        <v>28350</v>
      </c>
      <c r="K340" t="s">
        <v>36688</v>
      </c>
      <c r="M340" t="s">
        <v>37157</v>
      </c>
      <c r="N340" t="s">
        <v>40436</v>
      </c>
      <c r="O340" t="s">
        <v>40437</v>
      </c>
      <c r="P340">
        <v>0</v>
      </c>
      <c r="Q340">
        <v>0</v>
      </c>
      <c r="R340" t="s">
        <v>40438</v>
      </c>
      <c r="S340" t="s">
        <v>40582</v>
      </c>
      <c r="T340" t="s">
        <v>42158</v>
      </c>
      <c r="U340" t="s">
        <v>42916</v>
      </c>
      <c r="W340" t="s">
        <v>37157</v>
      </c>
      <c r="X340" t="s">
        <v>40439</v>
      </c>
    </row>
    <row r="341" spans="1:24">
      <c r="A341">
        <f>HYPERLINK("https://www.philgeps.gov.ph/GEPSNONPILOT/Tender/SplashBidNoticeAbstractUI.aspx?menuIndex=3&amp;refID=7047277&amp;Result=3","7047277")</f>
        <v>0</v>
      </c>
      <c r="B341" t="s">
        <v>129</v>
      </c>
      <c r="C341" t="s">
        <v>3423</v>
      </c>
      <c r="D341" t="s">
        <v>16210</v>
      </c>
      <c r="E341" t="s">
        <v>16623</v>
      </c>
      <c r="F341" t="s">
        <v>28198</v>
      </c>
      <c r="G341" t="s">
        <v>28206</v>
      </c>
      <c r="H341" t="s">
        <v>28215</v>
      </c>
      <c r="I341" t="s">
        <v>8888</v>
      </c>
      <c r="J341" t="s">
        <v>28610</v>
      </c>
      <c r="K341" t="s">
        <v>36706</v>
      </c>
      <c r="M341" t="s">
        <v>37151</v>
      </c>
      <c r="N341" t="s">
        <v>40436</v>
      </c>
      <c r="O341" t="s">
        <v>40437</v>
      </c>
      <c r="P341">
        <v>0</v>
      </c>
      <c r="Q341">
        <v>3</v>
      </c>
      <c r="R341" t="s">
        <v>40438</v>
      </c>
      <c r="S341" t="s">
        <v>40582</v>
      </c>
      <c r="T341" t="s">
        <v>42156</v>
      </c>
      <c r="U341" t="s">
        <v>42917</v>
      </c>
      <c r="V341" t="s">
        <v>53812</v>
      </c>
      <c r="W341" t="s">
        <v>37151</v>
      </c>
      <c r="X341" t="s">
        <v>40439</v>
      </c>
    </row>
    <row r="342" spans="1:24">
      <c r="A342">
        <f>HYPERLINK("https://www.philgeps.gov.ph/GEPSNONPILOT/Tender/SplashBidNoticeAbstractUI.aspx?menuIndex=3&amp;refID=7047290&amp;Result=3","7047290")</f>
        <v>0</v>
      </c>
      <c r="B342" t="s">
        <v>129</v>
      </c>
      <c r="C342" t="s">
        <v>3424</v>
      </c>
      <c r="D342" t="s">
        <v>16210</v>
      </c>
      <c r="E342" t="s">
        <v>16624</v>
      </c>
      <c r="F342" t="s">
        <v>28198</v>
      </c>
      <c r="G342" t="s">
        <v>28206</v>
      </c>
      <c r="H342" t="s">
        <v>28215</v>
      </c>
      <c r="I342" t="s">
        <v>8888</v>
      </c>
      <c r="J342" t="s">
        <v>28364</v>
      </c>
      <c r="K342" t="s">
        <v>36706</v>
      </c>
      <c r="M342" t="s">
        <v>37151</v>
      </c>
      <c r="N342" t="s">
        <v>40436</v>
      </c>
      <c r="O342" t="s">
        <v>40437</v>
      </c>
      <c r="P342">
        <v>0</v>
      </c>
      <c r="Q342">
        <v>3</v>
      </c>
      <c r="R342" t="s">
        <v>40438</v>
      </c>
      <c r="S342" t="s">
        <v>40582</v>
      </c>
      <c r="T342" t="s">
        <v>42156</v>
      </c>
      <c r="U342" t="s">
        <v>42918</v>
      </c>
      <c r="V342" t="s">
        <v>53812</v>
      </c>
      <c r="W342" t="s">
        <v>37151</v>
      </c>
      <c r="X342" t="s">
        <v>40439</v>
      </c>
    </row>
    <row r="343" spans="1:24">
      <c r="A343">
        <f>HYPERLINK("https://www.philgeps.gov.ph/GEPSNONPILOT/Tender/SplashBidNoticeAbstractUI.aspx?menuIndex=3&amp;refID=7047262&amp;Result=3","7047262")</f>
        <v>0</v>
      </c>
      <c r="B343" t="s">
        <v>183</v>
      </c>
      <c r="C343" t="s">
        <v>3425</v>
      </c>
      <c r="D343" t="s">
        <v>16244</v>
      </c>
      <c r="E343" t="s">
        <v>16625</v>
      </c>
      <c r="F343" t="s">
        <v>28198</v>
      </c>
      <c r="G343" t="s">
        <v>28209</v>
      </c>
      <c r="H343" t="s">
        <v>28215</v>
      </c>
      <c r="I343" t="s">
        <v>28222</v>
      </c>
      <c r="J343" t="s">
        <v>28611</v>
      </c>
      <c r="K343" t="s">
        <v>36701</v>
      </c>
      <c r="M343" t="s">
        <v>37158</v>
      </c>
      <c r="N343" t="s">
        <v>40436</v>
      </c>
      <c r="O343" t="s">
        <v>40437</v>
      </c>
      <c r="P343">
        <v>0</v>
      </c>
      <c r="Q343">
        <v>2</v>
      </c>
      <c r="R343" t="s">
        <v>40438</v>
      </c>
      <c r="S343" t="s">
        <v>40582</v>
      </c>
      <c r="T343" t="s">
        <v>42152</v>
      </c>
      <c r="U343" t="s">
        <v>42919</v>
      </c>
      <c r="W343" t="s">
        <v>37158</v>
      </c>
      <c r="X343" t="s">
        <v>40439</v>
      </c>
    </row>
    <row r="344" spans="1:24">
      <c r="A344">
        <f>HYPERLINK("https://www.philgeps.gov.ph/GEPSNONPILOT/Tender/SplashBidNoticeAbstractUI.aspx?menuIndex=3&amp;refID=7047280&amp;Result=3","7047280")</f>
        <v>0</v>
      </c>
      <c r="B344" t="s">
        <v>184</v>
      </c>
      <c r="C344" t="s">
        <v>3426</v>
      </c>
      <c r="D344" t="s">
        <v>16247</v>
      </c>
      <c r="E344" t="s">
        <v>16626</v>
      </c>
      <c r="F344" t="s">
        <v>28198</v>
      </c>
      <c r="G344" t="s">
        <v>28205</v>
      </c>
      <c r="H344" t="s">
        <v>28214</v>
      </c>
      <c r="I344" t="s">
        <v>3797</v>
      </c>
      <c r="J344" t="s">
        <v>28612</v>
      </c>
      <c r="K344" t="s">
        <v>36689</v>
      </c>
      <c r="M344" t="s">
        <v>37159</v>
      </c>
      <c r="N344" t="s">
        <v>40436</v>
      </c>
      <c r="O344" t="s">
        <v>40437</v>
      </c>
      <c r="P344">
        <v>0</v>
      </c>
      <c r="Q344">
        <v>12</v>
      </c>
      <c r="R344" t="s">
        <v>40438</v>
      </c>
      <c r="S344" t="s">
        <v>40582</v>
      </c>
      <c r="T344" t="s">
        <v>42108</v>
      </c>
      <c r="U344" t="s">
        <v>42920</v>
      </c>
      <c r="W344" t="s">
        <v>37159</v>
      </c>
      <c r="X344" t="s">
        <v>40439</v>
      </c>
    </row>
    <row r="345" spans="1:24">
      <c r="A345">
        <f>HYPERLINK("https://www.philgeps.gov.ph/GEPSNONPILOT/Tender/SplashBidNoticeAbstractUI.aspx?menuIndex=3&amp;refID=7047289&amp;Result=3","7047289")</f>
        <v>0</v>
      </c>
      <c r="B345" t="s">
        <v>185</v>
      </c>
      <c r="C345" t="s">
        <v>3427</v>
      </c>
      <c r="E345" t="s">
        <v>16627</v>
      </c>
      <c r="F345" t="s">
        <v>28200</v>
      </c>
      <c r="G345" t="s">
        <v>28207</v>
      </c>
      <c r="H345" t="s">
        <v>28215</v>
      </c>
      <c r="I345" t="s">
        <v>28246</v>
      </c>
      <c r="J345" t="s">
        <v>28414</v>
      </c>
      <c r="K345" t="s">
        <v>36707</v>
      </c>
      <c r="M345" t="s">
        <v>37160</v>
      </c>
      <c r="N345" t="s">
        <v>40436</v>
      </c>
      <c r="O345" t="s">
        <v>40437</v>
      </c>
      <c r="P345">
        <v>0</v>
      </c>
      <c r="Q345">
        <v>0</v>
      </c>
      <c r="R345" t="s">
        <v>40438</v>
      </c>
      <c r="S345" t="s">
        <v>40582</v>
      </c>
      <c r="T345" t="s">
        <v>42098</v>
      </c>
      <c r="U345" t="s">
        <v>42921</v>
      </c>
      <c r="W345" t="s">
        <v>37160</v>
      </c>
      <c r="X345" t="s">
        <v>40439</v>
      </c>
    </row>
    <row r="346" spans="1:24">
      <c r="A346">
        <f>HYPERLINK("https://www.philgeps.gov.ph/GEPSNONPILOT/Tender/SplashBidNoticeAbstractUI.aspx?menuIndex=3&amp;refID=7047275&amp;Result=3","7047275")</f>
        <v>0</v>
      </c>
      <c r="B346" t="s">
        <v>186</v>
      </c>
      <c r="C346" t="s">
        <v>3428</v>
      </c>
      <c r="D346" t="s">
        <v>16248</v>
      </c>
      <c r="E346" t="s">
        <v>16628</v>
      </c>
      <c r="F346" t="s">
        <v>28198</v>
      </c>
      <c r="G346" t="s">
        <v>28206</v>
      </c>
      <c r="H346" t="s">
        <v>28215</v>
      </c>
      <c r="I346" t="s">
        <v>5082</v>
      </c>
      <c r="J346" t="s">
        <v>28613</v>
      </c>
      <c r="K346" t="s">
        <v>36707</v>
      </c>
      <c r="M346" t="s">
        <v>37161</v>
      </c>
      <c r="N346" t="s">
        <v>40436</v>
      </c>
      <c r="O346" t="s">
        <v>40437</v>
      </c>
      <c r="P346">
        <v>0</v>
      </c>
      <c r="Q346">
        <v>1</v>
      </c>
      <c r="R346" t="s">
        <v>40438</v>
      </c>
      <c r="S346" t="s">
        <v>40582</v>
      </c>
      <c r="T346" t="s">
        <v>42174</v>
      </c>
      <c r="U346" t="s">
        <v>42922</v>
      </c>
      <c r="W346" t="s">
        <v>37884</v>
      </c>
      <c r="X346" t="s">
        <v>40439</v>
      </c>
    </row>
    <row r="347" spans="1:24">
      <c r="A347">
        <f>HYPERLINK("https://www.philgeps.gov.ph/GEPSNONPILOT/Tender/SplashBidNoticeAbstractUI.aspx?menuIndex=3&amp;refID=7047274&amp;Result=3","7047274")</f>
        <v>0</v>
      </c>
      <c r="B347" t="s">
        <v>187</v>
      </c>
      <c r="C347" t="s">
        <v>3429</v>
      </c>
      <c r="D347" t="s">
        <v>16235</v>
      </c>
      <c r="E347" t="s">
        <v>16629</v>
      </c>
      <c r="F347" t="s">
        <v>28198</v>
      </c>
      <c r="G347" t="s">
        <v>28207</v>
      </c>
      <c r="H347" t="s">
        <v>28215</v>
      </c>
      <c r="I347" t="s">
        <v>28247</v>
      </c>
      <c r="J347" t="s">
        <v>28430</v>
      </c>
      <c r="K347" t="s">
        <v>36706</v>
      </c>
      <c r="M347" t="s">
        <v>37162</v>
      </c>
      <c r="N347" t="s">
        <v>40436</v>
      </c>
      <c r="O347" t="s">
        <v>40437</v>
      </c>
      <c r="P347">
        <v>0</v>
      </c>
      <c r="Q347">
        <v>7</v>
      </c>
      <c r="R347" t="s">
        <v>40438</v>
      </c>
      <c r="S347" t="s">
        <v>40582</v>
      </c>
      <c r="T347" t="s">
        <v>42111</v>
      </c>
      <c r="U347" t="s">
        <v>42923</v>
      </c>
      <c r="W347" t="s">
        <v>37162</v>
      </c>
      <c r="X347" t="s">
        <v>40439</v>
      </c>
    </row>
    <row r="348" spans="1:24">
      <c r="A348">
        <f>HYPERLINK("https://www.philgeps.gov.ph/GEPSNONPILOT/Tender/SplashBidNoticeAbstractUI.aspx?menuIndex=3&amp;refID=7047286&amp;Result=3","7047286")</f>
        <v>0</v>
      </c>
      <c r="B348" t="s">
        <v>188</v>
      </c>
      <c r="C348" t="s">
        <v>3430</v>
      </c>
      <c r="D348" t="s">
        <v>16241</v>
      </c>
      <c r="E348" t="s">
        <v>16630</v>
      </c>
      <c r="F348" t="s">
        <v>28198</v>
      </c>
      <c r="G348" t="s">
        <v>28207</v>
      </c>
      <c r="H348" t="s">
        <v>28215</v>
      </c>
      <c r="I348" t="s">
        <v>4321</v>
      </c>
      <c r="J348" t="s">
        <v>28614</v>
      </c>
      <c r="K348" t="s">
        <v>36701</v>
      </c>
      <c r="M348" t="s">
        <v>37163</v>
      </c>
      <c r="N348" t="s">
        <v>40436</v>
      </c>
      <c r="O348" t="s">
        <v>40437</v>
      </c>
      <c r="P348">
        <v>0</v>
      </c>
      <c r="Q348">
        <v>3</v>
      </c>
      <c r="R348" t="s">
        <v>40438</v>
      </c>
      <c r="S348" t="s">
        <v>40582</v>
      </c>
      <c r="T348" t="s">
        <v>42175</v>
      </c>
      <c r="U348" t="s">
        <v>42924</v>
      </c>
      <c r="V348" t="s">
        <v>53814</v>
      </c>
      <c r="W348" t="s">
        <v>37163</v>
      </c>
      <c r="X348" t="s">
        <v>40439</v>
      </c>
    </row>
    <row r="349" spans="1:24">
      <c r="A349">
        <f>HYPERLINK("https://www.philgeps.gov.ph/GEPSNONPILOT/Tender/SplashBidNoticeAbstractUI.aspx?menuIndex=3&amp;refID=7047284&amp;Result=3","7047284")</f>
        <v>0</v>
      </c>
      <c r="B349" t="s">
        <v>189</v>
      </c>
      <c r="C349" t="s">
        <v>3431</v>
      </c>
      <c r="E349" t="s">
        <v>16631</v>
      </c>
      <c r="F349" t="s">
        <v>28198</v>
      </c>
      <c r="G349" t="s">
        <v>28206</v>
      </c>
      <c r="H349" t="s">
        <v>28215</v>
      </c>
      <c r="I349" t="s">
        <v>28234</v>
      </c>
      <c r="J349" t="s">
        <v>28615</v>
      </c>
      <c r="K349" t="s">
        <v>36689</v>
      </c>
      <c r="M349" t="s">
        <v>37164</v>
      </c>
      <c r="N349" t="s">
        <v>40436</v>
      </c>
      <c r="O349" t="s">
        <v>40437</v>
      </c>
      <c r="P349">
        <v>0</v>
      </c>
      <c r="Q349">
        <v>2</v>
      </c>
      <c r="R349" t="s">
        <v>40438</v>
      </c>
      <c r="S349" t="s">
        <v>40582</v>
      </c>
      <c r="T349" t="s">
        <v>42169</v>
      </c>
      <c r="U349" t="s">
        <v>42925</v>
      </c>
      <c r="W349" t="s">
        <v>37164</v>
      </c>
      <c r="X349" t="s">
        <v>40439</v>
      </c>
    </row>
    <row r="350" spans="1:24">
      <c r="A350">
        <f>HYPERLINK("https://www.philgeps.gov.ph/GEPSNONPILOT/Tender/SplashBidNoticeAbstractUI.aspx?menuIndex=3&amp;refID=7047288&amp;Result=3","7047288")</f>
        <v>0</v>
      </c>
      <c r="B350" t="s">
        <v>190</v>
      </c>
      <c r="C350" t="s">
        <v>3432</v>
      </c>
      <c r="D350" t="s">
        <v>16187</v>
      </c>
      <c r="E350" t="s">
        <v>16632</v>
      </c>
      <c r="F350" t="s">
        <v>28198</v>
      </c>
      <c r="G350" t="s">
        <v>28207</v>
      </c>
      <c r="H350" t="s">
        <v>28215</v>
      </c>
      <c r="I350" t="s">
        <v>28238</v>
      </c>
      <c r="J350" t="s">
        <v>28616</v>
      </c>
      <c r="K350" t="s">
        <v>36701</v>
      </c>
      <c r="M350" t="s">
        <v>37165</v>
      </c>
      <c r="N350" t="s">
        <v>40436</v>
      </c>
      <c r="O350" t="s">
        <v>40437</v>
      </c>
      <c r="P350">
        <v>0</v>
      </c>
      <c r="Q350">
        <v>1</v>
      </c>
      <c r="R350" t="s">
        <v>40438</v>
      </c>
      <c r="S350" t="s">
        <v>40582</v>
      </c>
      <c r="T350" t="s">
        <v>42124</v>
      </c>
      <c r="U350" t="s">
        <v>42926</v>
      </c>
      <c r="W350" t="s">
        <v>37165</v>
      </c>
      <c r="X350" t="s">
        <v>40439</v>
      </c>
    </row>
    <row r="351" spans="1:24">
      <c r="A351">
        <f>HYPERLINK("https://www.philgeps.gov.ph/GEPSNONPILOT/Tender/SplashBidNoticeAbstractUI.aspx?menuIndex=3&amp;refID=7047287&amp;Result=3","7047287")</f>
        <v>0</v>
      </c>
      <c r="B351" t="s">
        <v>191</v>
      </c>
      <c r="C351" t="s">
        <v>3433</v>
      </c>
      <c r="D351" t="s">
        <v>16225</v>
      </c>
      <c r="E351" t="s">
        <v>16633</v>
      </c>
      <c r="F351" t="s">
        <v>28198</v>
      </c>
      <c r="G351" t="s">
        <v>28207</v>
      </c>
      <c r="H351" t="s">
        <v>28215</v>
      </c>
      <c r="I351" t="s">
        <v>28263</v>
      </c>
      <c r="J351" t="s">
        <v>28617</v>
      </c>
      <c r="K351" t="s">
        <v>36688</v>
      </c>
      <c r="M351" t="s">
        <v>37166</v>
      </c>
      <c r="N351" t="s">
        <v>40436</v>
      </c>
      <c r="O351" t="s">
        <v>40437</v>
      </c>
      <c r="P351">
        <v>0</v>
      </c>
      <c r="Q351">
        <v>0</v>
      </c>
      <c r="R351" t="s">
        <v>40438</v>
      </c>
      <c r="S351" t="s">
        <v>40582</v>
      </c>
      <c r="T351" t="s">
        <v>42176</v>
      </c>
      <c r="U351" t="s">
        <v>42927</v>
      </c>
      <c r="W351" t="s">
        <v>55434</v>
      </c>
      <c r="X351" t="s">
        <v>40439</v>
      </c>
    </row>
    <row r="352" spans="1:24">
      <c r="A352">
        <f>HYPERLINK("https://www.philgeps.gov.ph/GEPSNONPILOT/Tender/SplashBidNoticeAbstractUI.aspx?menuIndex=3&amp;refID=7047297&amp;Result=3","7047297")</f>
        <v>0</v>
      </c>
      <c r="B352" t="s">
        <v>174</v>
      </c>
      <c r="C352" t="s">
        <v>3434</v>
      </c>
      <c r="D352" t="s">
        <v>16238</v>
      </c>
      <c r="E352" t="s">
        <v>16634</v>
      </c>
      <c r="F352" t="s">
        <v>28198</v>
      </c>
      <c r="G352" t="s">
        <v>28206</v>
      </c>
      <c r="H352" t="s">
        <v>28215</v>
      </c>
      <c r="I352" t="s">
        <v>28247</v>
      </c>
      <c r="J352" t="s">
        <v>28618</v>
      </c>
      <c r="K352" t="s">
        <v>36701</v>
      </c>
      <c r="M352" t="s">
        <v>37148</v>
      </c>
      <c r="N352" t="s">
        <v>40436</v>
      </c>
      <c r="O352" t="s">
        <v>40437</v>
      </c>
      <c r="P352">
        <v>0</v>
      </c>
      <c r="Q352">
        <v>4</v>
      </c>
      <c r="R352" t="s">
        <v>40438</v>
      </c>
      <c r="S352" t="s">
        <v>40582</v>
      </c>
      <c r="T352" t="s">
        <v>42159</v>
      </c>
      <c r="U352" t="s">
        <v>42928</v>
      </c>
      <c r="W352" t="s">
        <v>37148</v>
      </c>
      <c r="X352" t="s">
        <v>40439</v>
      </c>
    </row>
    <row r="353" spans="1:24">
      <c r="A353">
        <f>HYPERLINK("https://www.philgeps.gov.ph/GEPSNONPILOT/Tender/SplashBidNoticeAbstractUI.aspx?menuIndex=3&amp;refID=7047296&amp;Result=3","7047296")</f>
        <v>0</v>
      </c>
      <c r="B353" t="s">
        <v>192</v>
      </c>
      <c r="C353" t="s">
        <v>3435</v>
      </c>
      <c r="D353" t="s">
        <v>16191</v>
      </c>
      <c r="E353" t="s">
        <v>16635</v>
      </c>
      <c r="F353" t="s">
        <v>28198</v>
      </c>
      <c r="G353" t="s">
        <v>28205</v>
      </c>
      <c r="H353" t="s">
        <v>28214</v>
      </c>
      <c r="I353" t="s">
        <v>3797</v>
      </c>
      <c r="J353" t="s">
        <v>28619</v>
      </c>
      <c r="K353" t="s">
        <v>36701</v>
      </c>
      <c r="M353" t="s">
        <v>37167</v>
      </c>
      <c r="N353" t="s">
        <v>40436</v>
      </c>
      <c r="O353" t="s">
        <v>40437</v>
      </c>
      <c r="P353">
        <v>0</v>
      </c>
      <c r="Q353">
        <v>2</v>
      </c>
      <c r="R353" t="s">
        <v>40438</v>
      </c>
      <c r="S353" t="s">
        <v>40582</v>
      </c>
      <c r="T353" t="s">
        <v>42108</v>
      </c>
      <c r="U353" t="s">
        <v>42929</v>
      </c>
      <c r="V353" t="s">
        <v>53815</v>
      </c>
      <c r="W353" t="s">
        <v>37167</v>
      </c>
      <c r="X353" t="s">
        <v>40439</v>
      </c>
    </row>
    <row r="354" spans="1:24">
      <c r="A354">
        <f>HYPERLINK("https://www.philgeps.gov.ph/GEPSNONPILOT/Tender/SplashBidNoticeAbstractUI.aspx?menuIndex=3&amp;refID=7047285&amp;Result=3","7047285")</f>
        <v>0</v>
      </c>
      <c r="B354" t="s">
        <v>193</v>
      </c>
      <c r="C354" t="s">
        <v>3436</v>
      </c>
      <c r="D354" t="s">
        <v>16210</v>
      </c>
      <c r="E354" t="s">
        <v>16636</v>
      </c>
      <c r="F354" t="s">
        <v>28198</v>
      </c>
      <c r="G354" t="s">
        <v>28206</v>
      </c>
      <c r="H354" t="s">
        <v>28215</v>
      </c>
      <c r="I354" t="s">
        <v>4200</v>
      </c>
      <c r="J354" t="s">
        <v>28397</v>
      </c>
      <c r="K354" t="s">
        <v>36688</v>
      </c>
      <c r="M354" t="s">
        <v>37168</v>
      </c>
      <c r="N354" t="s">
        <v>40436</v>
      </c>
      <c r="O354" t="s">
        <v>40437</v>
      </c>
      <c r="P354">
        <v>0</v>
      </c>
      <c r="Q354">
        <v>1</v>
      </c>
      <c r="R354" t="s">
        <v>40438</v>
      </c>
      <c r="S354" t="s">
        <v>40582</v>
      </c>
      <c r="T354" t="s">
        <v>42177</v>
      </c>
      <c r="U354" t="s">
        <v>42930</v>
      </c>
      <c r="W354" t="s">
        <v>37168</v>
      </c>
      <c r="X354" t="s">
        <v>40439</v>
      </c>
    </row>
    <row r="355" spans="1:24">
      <c r="A355">
        <f>HYPERLINK("https://www.philgeps.gov.ph/GEPSNONPILOT/Tender/SplashBidNoticeAbstractUI.aspx?menuIndex=3&amp;refID=7047295&amp;Result=3","7047295")</f>
        <v>0</v>
      </c>
      <c r="B355" t="s">
        <v>194</v>
      </c>
      <c r="C355" t="s">
        <v>3437</v>
      </c>
      <c r="D355" t="s">
        <v>16189</v>
      </c>
      <c r="E355" t="s">
        <v>16637</v>
      </c>
      <c r="F355" t="s">
        <v>28198</v>
      </c>
      <c r="G355" t="s">
        <v>28209</v>
      </c>
      <c r="H355" t="s">
        <v>28215</v>
      </c>
      <c r="I355" t="s">
        <v>8888</v>
      </c>
      <c r="J355" t="s">
        <v>28620</v>
      </c>
      <c r="K355" t="s">
        <v>36689</v>
      </c>
      <c r="M355" t="s">
        <v>37169</v>
      </c>
      <c r="N355" t="s">
        <v>40436</v>
      </c>
      <c r="O355" t="s">
        <v>40437</v>
      </c>
      <c r="P355">
        <v>0</v>
      </c>
      <c r="Q355">
        <v>19</v>
      </c>
      <c r="R355" t="s">
        <v>40438</v>
      </c>
      <c r="S355" t="s">
        <v>40582</v>
      </c>
      <c r="T355" t="s">
        <v>42125</v>
      </c>
      <c r="U355" t="s">
        <v>42931</v>
      </c>
      <c r="W355" t="s">
        <v>37169</v>
      </c>
      <c r="X355" t="s">
        <v>40439</v>
      </c>
    </row>
    <row r="356" spans="1:24">
      <c r="A356">
        <f>HYPERLINK("https://www.philgeps.gov.ph/GEPSNONPILOT/Tender/SplashBidNoticeAbstractUI.aspx?menuIndex=3&amp;refID=7047293&amp;Result=3","7047293")</f>
        <v>0</v>
      </c>
      <c r="B356" t="s">
        <v>96</v>
      </c>
      <c r="C356" t="s">
        <v>3438</v>
      </c>
      <c r="D356" t="s">
        <v>16225</v>
      </c>
      <c r="E356" t="s">
        <v>16638</v>
      </c>
      <c r="F356" t="s">
        <v>28198</v>
      </c>
      <c r="G356" t="s">
        <v>28205</v>
      </c>
      <c r="H356" t="s">
        <v>28215</v>
      </c>
      <c r="I356" t="s">
        <v>28227</v>
      </c>
      <c r="J356" t="s">
        <v>28621</v>
      </c>
      <c r="K356" t="s">
        <v>36694</v>
      </c>
      <c r="M356" t="s">
        <v>37068</v>
      </c>
      <c r="N356" t="s">
        <v>40436</v>
      </c>
      <c r="O356" t="s">
        <v>40437</v>
      </c>
      <c r="P356">
        <v>0</v>
      </c>
      <c r="Q356">
        <v>0</v>
      </c>
      <c r="R356" t="s">
        <v>40438</v>
      </c>
      <c r="S356" t="s">
        <v>40582</v>
      </c>
      <c r="T356" t="s">
        <v>42144</v>
      </c>
      <c r="U356" t="s">
        <v>42932</v>
      </c>
      <c r="W356" t="s">
        <v>37068</v>
      </c>
      <c r="X356" t="s">
        <v>40439</v>
      </c>
    </row>
    <row r="357" spans="1:24">
      <c r="A357">
        <f>HYPERLINK("https://www.philgeps.gov.ph/GEPSNONPILOT/Tender/SplashBidNoticeAbstractUI.aspx?menuIndex=3&amp;refID=7047283&amp;Result=3","7047283")</f>
        <v>0</v>
      </c>
      <c r="B357" t="s">
        <v>195</v>
      </c>
      <c r="C357" t="s">
        <v>3439</v>
      </c>
      <c r="D357" t="s">
        <v>16200</v>
      </c>
      <c r="E357" t="s">
        <v>16639</v>
      </c>
      <c r="F357" t="s">
        <v>28198</v>
      </c>
      <c r="G357" t="s">
        <v>28206</v>
      </c>
      <c r="H357" t="s">
        <v>28215</v>
      </c>
      <c r="I357" t="s">
        <v>4505</v>
      </c>
      <c r="J357" t="s">
        <v>28622</v>
      </c>
      <c r="K357" t="s">
        <v>36701</v>
      </c>
      <c r="M357" t="s">
        <v>37170</v>
      </c>
      <c r="N357" t="s">
        <v>40436</v>
      </c>
      <c r="O357" t="s">
        <v>40437</v>
      </c>
      <c r="P357">
        <v>0</v>
      </c>
      <c r="Q357">
        <v>1</v>
      </c>
      <c r="R357" t="s">
        <v>40438</v>
      </c>
      <c r="S357" t="s">
        <v>40582</v>
      </c>
      <c r="T357" t="s">
        <v>42112</v>
      </c>
      <c r="U357" t="s">
        <v>42933</v>
      </c>
      <c r="W357" t="s">
        <v>37170</v>
      </c>
      <c r="X357" t="s">
        <v>40439</v>
      </c>
    </row>
    <row r="358" spans="1:24">
      <c r="A358">
        <f>HYPERLINK("https://www.philgeps.gov.ph/GEPSNONPILOT/Tender/SplashBidNoticeAbstractUI.aspx?menuIndex=3&amp;refID=7047294&amp;Result=3","7047294")</f>
        <v>0</v>
      </c>
      <c r="B358" t="s">
        <v>196</v>
      </c>
      <c r="C358" t="s">
        <v>3440</v>
      </c>
      <c r="D358" t="s">
        <v>16227</v>
      </c>
      <c r="E358" t="s">
        <v>16640</v>
      </c>
      <c r="F358" t="s">
        <v>28198</v>
      </c>
      <c r="G358" t="s">
        <v>28207</v>
      </c>
      <c r="H358" t="s">
        <v>28215</v>
      </c>
      <c r="I358" t="s">
        <v>28264</v>
      </c>
      <c r="J358" t="s">
        <v>28623</v>
      </c>
      <c r="K358" t="s">
        <v>36706</v>
      </c>
      <c r="M358" t="s">
        <v>37171</v>
      </c>
      <c r="N358" t="s">
        <v>40436</v>
      </c>
      <c r="O358" t="s">
        <v>40437</v>
      </c>
      <c r="P358">
        <v>0</v>
      </c>
      <c r="Q358">
        <v>1</v>
      </c>
      <c r="R358" t="s">
        <v>40438</v>
      </c>
      <c r="S358" t="s">
        <v>40582</v>
      </c>
      <c r="T358" t="s">
        <v>42124</v>
      </c>
      <c r="U358" t="s">
        <v>42934</v>
      </c>
      <c r="W358" t="s">
        <v>37171</v>
      </c>
      <c r="X358" t="s">
        <v>40439</v>
      </c>
    </row>
    <row r="359" spans="1:24">
      <c r="A359">
        <f>HYPERLINK("https://www.philgeps.gov.ph/GEPSNONPILOT/Tender/SplashBidNoticeAbstractUI.aspx?menuIndex=3&amp;refID=7047291&amp;Result=3","7047291")</f>
        <v>0</v>
      </c>
      <c r="B359" t="s">
        <v>173</v>
      </c>
      <c r="C359" t="s">
        <v>3441</v>
      </c>
      <c r="D359" t="s">
        <v>16208</v>
      </c>
      <c r="E359" t="s">
        <v>16641</v>
      </c>
      <c r="F359" t="s">
        <v>28198</v>
      </c>
      <c r="G359" t="s">
        <v>28205</v>
      </c>
      <c r="H359" t="s">
        <v>28214</v>
      </c>
      <c r="I359" t="s">
        <v>28227</v>
      </c>
      <c r="J359" t="s">
        <v>28624</v>
      </c>
      <c r="K359" t="s">
        <v>36701</v>
      </c>
      <c r="M359" t="s">
        <v>37147</v>
      </c>
      <c r="N359" t="s">
        <v>40436</v>
      </c>
      <c r="O359" t="s">
        <v>40437</v>
      </c>
      <c r="P359">
        <v>0</v>
      </c>
      <c r="Q359">
        <v>0</v>
      </c>
      <c r="R359" t="s">
        <v>40438</v>
      </c>
      <c r="S359" t="s">
        <v>40582</v>
      </c>
      <c r="T359" t="s">
        <v>42168</v>
      </c>
      <c r="U359" t="s">
        <v>42903</v>
      </c>
      <c r="W359" t="s">
        <v>37147</v>
      </c>
      <c r="X359" t="s">
        <v>40439</v>
      </c>
    </row>
    <row r="360" spans="1:24">
      <c r="A360">
        <f>HYPERLINK("https://www.philgeps.gov.ph/GEPSNONPILOT/Tender/SplashBidNoticeAbstractUI.aspx?menuIndex=3&amp;refID=7047299&amp;Result=3","7047299")</f>
        <v>0</v>
      </c>
      <c r="B360" t="s">
        <v>197</v>
      </c>
      <c r="C360" t="s">
        <v>3442</v>
      </c>
      <c r="D360" t="s">
        <v>16196</v>
      </c>
      <c r="E360" t="s">
        <v>16642</v>
      </c>
      <c r="F360" t="s">
        <v>28198</v>
      </c>
      <c r="G360" t="s">
        <v>28210</v>
      </c>
      <c r="H360" t="s">
        <v>28215</v>
      </c>
      <c r="I360" t="s">
        <v>5082</v>
      </c>
      <c r="J360" t="s">
        <v>28387</v>
      </c>
      <c r="K360" t="s">
        <v>36688</v>
      </c>
      <c r="M360" t="s">
        <v>37172</v>
      </c>
      <c r="N360" t="s">
        <v>40436</v>
      </c>
      <c r="O360" t="s">
        <v>40437</v>
      </c>
      <c r="P360">
        <v>0</v>
      </c>
      <c r="Q360">
        <v>0</v>
      </c>
      <c r="R360" t="s">
        <v>40438</v>
      </c>
      <c r="S360" t="s">
        <v>40582</v>
      </c>
      <c r="T360" t="s">
        <v>42119</v>
      </c>
      <c r="U360" t="s">
        <v>42935</v>
      </c>
      <c r="V360" t="s">
        <v>53816</v>
      </c>
      <c r="W360" t="s">
        <v>37172</v>
      </c>
      <c r="X360" t="s">
        <v>40439</v>
      </c>
    </row>
    <row r="361" spans="1:24">
      <c r="A361">
        <f>HYPERLINK("https://www.philgeps.gov.ph/GEPSNONPILOT/Tender/SplashBidNoticeAbstractUI.aspx?menuIndex=3&amp;refID=7047301&amp;Result=3","7047301")</f>
        <v>0</v>
      </c>
      <c r="B361" t="s">
        <v>198</v>
      </c>
      <c r="C361" t="s">
        <v>3443</v>
      </c>
      <c r="D361" t="s">
        <v>16230</v>
      </c>
      <c r="E361" t="s">
        <v>16643</v>
      </c>
      <c r="F361" t="s">
        <v>28198</v>
      </c>
      <c r="G361" t="s">
        <v>28205</v>
      </c>
      <c r="H361" t="s">
        <v>28214</v>
      </c>
      <c r="I361" t="s">
        <v>3797</v>
      </c>
      <c r="J361" t="s">
        <v>28625</v>
      </c>
      <c r="K361" t="s">
        <v>36726</v>
      </c>
      <c r="M361" t="s">
        <v>37173</v>
      </c>
      <c r="N361" t="s">
        <v>40436</v>
      </c>
      <c r="O361" t="s">
        <v>40437</v>
      </c>
      <c r="P361">
        <v>0</v>
      </c>
      <c r="Q361">
        <v>0</v>
      </c>
      <c r="R361" t="s">
        <v>40438</v>
      </c>
      <c r="S361" t="s">
        <v>40582</v>
      </c>
      <c r="T361" t="s">
        <v>42178</v>
      </c>
      <c r="U361" t="s">
        <v>42936</v>
      </c>
      <c r="W361" t="s">
        <v>37173</v>
      </c>
      <c r="X361" t="s">
        <v>40439</v>
      </c>
    </row>
    <row r="362" spans="1:24">
      <c r="A362">
        <f>HYPERLINK("https://www.philgeps.gov.ph/GEPSNONPILOT/Tender/SplashBidNoticeAbstractUI.aspx?menuIndex=3&amp;refID=7047292&amp;Result=3","7047292")</f>
        <v>0</v>
      </c>
      <c r="B362" t="s">
        <v>149</v>
      </c>
      <c r="C362" t="s">
        <v>3444</v>
      </c>
      <c r="D362" t="s">
        <v>16240</v>
      </c>
      <c r="E362" t="s">
        <v>3444</v>
      </c>
      <c r="F362" t="s">
        <v>28198</v>
      </c>
      <c r="G362" t="s">
        <v>28207</v>
      </c>
      <c r="H362" t="s">
        <v>28215</v>
      </c>
      <c r="I362" t="s">
        <v>4200</v>
      </c>
      <c r="J362" t="s">
        <v>28626</v>
      </c>
      <c r="K362" t="s">
        <v>36707</v>
      </c>
      <c r="L362" t="s">
        <v>149</v>
      </c>
      <c r="M362" t="s">
        <v>37123</v>
      </c>
      <c r="N362" t="s">
        <v>40436</v>
      </c>
      <c r="O362" t="s">
        <v>40437</v>
      </c>
      <c r="P362">
        <v>0</v>
      </c>
      <c r="Q362">
        <v>0</v>
      </c>
      <c r="R362" t="s">
        <v>40438</v>
      </c>
      <c r="S362" t="s">
        <v>40582</v>
      </c>
      <c r="T362" t="s">
        <v>42111</v>
      </c>
      <c r="U362" t="s">
        <v>42873</v>
      </c>
      <c r="W362" t="s">
        <v>37123</v>
      </c>
      <c r="X362" t="s">
        <v>40439</v>
      </c>
    </row>
    <row r="363" spans="1:24">
      <c r="A363">
        <f>HYPERLINK("https://www.philgeps.gov.ph/GEPSNONPILOT/Tender/SplashBidNoticeAbstractUI.aspx?menuIndex=3&amp;refID=7047310&amp;Result=3","7047310")</f>
        <v>0</v>
      </c>
      <c r="B363" t="s">
        <v>199</v>
      </c>
      <c r="C363" t="s">
        <v>3445</v>
      </c>
      <c r="E363" t="s">
        <v>16644</v>
      </c>
      <c r="F363" t="s">
        <v>28198</v>
      </c>
      <c r="G363" t="s">
        <v>28210</v>
      </c>
      <c r="H363" t="s">
        <v>28215</v>
      </c>
      <c r="I363" t="s">
        <v>4219</v>
      </c>
      <c r="J363" t="s">
        <v>28627</v>
      </c>
      <c r="K363" t="s">
        <v>36689</v>
      </c>
      <c r="M363" t="s">
        <v>37174</v>
      </c>
      <c r="N363" t="s">
        <v>40436</v>
      </c>
      <c r="O363" t="s">
        <v>40437</v>
      </c>
      <c r="P363">
        <v>0</v>
      </c>
      <c r="Q363">
        <v>1</v>
      </c>
      <c r="R363" t="s">
        <v>40438</v>
      </c>
      <c r="S363" t="s">
        <v>40582</v>
      </c>
      <c r="T363" t="s">
        <v>42142</v>
      </c>
      <c r="U363" t="s">
        <v>42937</v>
      </c>
      <c r="W363" t="s">
        <v>37174</v>
      </c>
      <c r="X363" t="s">
        <v>40439</v>
      </c>
    </row>
    <row r="364" spans="1:24">
      <c r="A364">
        <f>HYPERLINK("https://www.philgeps.gov.ph/GEPSNONPILOT/Tender/SplashBidNoticeAbstractUI.aspx?menuIndex=3&amp;refID=7047281&amp;Result=3","7047281")</f>
        <v>0</v>
      </c>
      <c r="B364" t="s">
        <v>200</v>
      </c>
      <c r="C364" t="s">
        <v>3446</v>
      </c>
      <c r="D364" t="s">
        <v>16199</v>
      </c>
      <c r="E364" t="s">
        <v>16645</v>
      </c>
      <c r="F364" t="s">
        <v>28198</v>
      </c>
      <c r="G364" t="s">
        <v>28205</v>
      </c>
      <c r="H364" t="s">
        <v>28215</v>
      </c>
      <c r="I364" t="s">
        <v>8888</v>
      </c>
      <c r="J364" t="s">
        <v>28398</v>
      </c>
      <c r="K364" t="s">
        <v>36693</v>
      </c>
      <c r="M364" t="s">
        <v>37175</v>
      </c>
      <c r="N364" t="s">
        <v>40436</v>
      </c>
      <c r="O364" t="s">
        <v>40437</v>
      </c>
      <c r="P364">
        <v>0</v>
      </c>
      <c r="Q364">
        <v>3</v>
      </c>
      <c r="R364" t="s">
        <v>40438</v>
      </c>
      <c r="S364" t="s">
        <v>40582</v>
      </c>
      <c r="T364" t="s">
        <v>42179</v>
      </c>
      <c r="U364" t="s">
        <v>42938</v>
      </c>
      <c r="W364" t="s">
        <v>37175</v>
      </c>
      <c r="X364" t="s">
        <v>40439</v>
      </c>
    </row>
    <row r="365" spans="1:24">
      <c r="A365">
        <f>HYPERLINK("https://www.philgeps.gov.ph/GEPSNONPILOT/Tender/SplashBidNoticeAbstractUI.aspx?menuIndex=3&amp;refID=7047302&amp;Result=3","7047302")</f>
        <v>0</v>
      </c>
      <c r="B365" t="s">
        <v>201</v>
      </c>
      <c r="C365" t="s">
        <v>3447</v>
      </c>
      <c r="D365" t="s">
        <v>16249</v>
      </c>
      <c r="E365" t="s">
        <v>16646</v>
      </c>
      <c r="F365" t="s">
        <v>28198</v>
      </c>
      <c r="G365" t="s">
        <v>28207</v>
      </c>
      <c r="H365" t="s">
        <v>28215</v>
      </c>
      <c r="I365" t="s">
        <v>4168</v>
      </c>
      <c r="J365" t="s">
        <v>28628</v>
      </c>
      <c r="K365" t="s">
        <v>36707</v>
      </c>
      <c r="M365" t="s">
        <v>37176</v>
      </c>
      <c r="N365" t="s">
        <v>40436</v>
      </c>
      <c r="O365" t="s">
        <v>40437</v>
      </c>
      <c r="P365">
        <v>0</v>
      </c>
      <c r="Q365">
        <v>0</v>
      </c>
      <c r="R365" t="s">
        <v>40438</v>
      </c>
      <c r="S365" t="s">
        <v>40582</v>
      </c>
      <c r="T365" t="s">
        <v>42180</v>
      </c>
      <c r="U365" t="s">
        <v>42939</v>
      </c>
      <c r="W365" t="s">
        <v>37176</v>
      </c>
      <c r="X365" t="s">
        <v>40439</v>
      </c>
    </row>
    <row r="366" spans="1:24">
      <c r="A366">
        <f>HYPERLINK("https://www.philgeps.gov.ph/GEPSNONPILOT/Tender/SplashBidNoticeAbstractUI.aspx?menuIndex=3&amp;refID=7047309&amp;Result=3","7047309")</f>
        <v>0</v>
      </c>
      <c r="B366" t="s">
        <v>202</v>
      </c>
      <c r="C366" t="s">
        <v>3448</v>
      </c>
      <c r="D366" t="s">
        <v>16217</v>
      </c>
      <c r="E366" t="s">
        <v>16647</v>
      </c>
      <c r="F366" t="s">
        <v>28198</v>
      </c>
      <c r="G366" t="s">
        <v>28207</v>
      </c>
      <c r="H366" t="s">
        <v>28215</v>
      </c>
      <c r="I366" t="s">
        <v>28247</v>
      </c>
      <c r="J366" t="s">
        <v>28629</v>
      </c>
      <c r="K366" t="s">
        <v>36701</v>
      </c>
      <c r="M366" t="s">
        <v>37177</v>
      </c>
      <c r="N366" t="s">
        <v>40436</v>
      </c>
      <c r="O366" t="s">
        <v>40437</v>
      </c>
      <c r="P366">
        <v>0</v>
      </c>
      <c r="Q366">
        <v>12</v>
      </c>
      <c r="R366" t="s">
        <v>40438</v>
      </c>
      <c r="S366" t="s">
        <v>40582</v>
      </c>
      <c r="T366" t="s">
        <v>42103</v>
      </c>
      <c r="U366" t="s">
        <v>42940</v>
      </c>
      <c r="V366" t="s">
        <v>53817</v>
      </c>
      <c r="W366" t="s">
        <v>55435</v>
      </c>
      <c r="X366" t="s">
        <v>40439</v>
      </c>
    </row>
    <row r="367" spans="1:24">
      <c r="A367">
        <f>HYPERLINK("https://www.philgeps.gov.ph/GEPSNONPILOT/Tender/SplashBidNoticeAbstractUI.aspx?menuIndex=3&amp;refID=7047308&amp;Result=3","7047308")</f>
        <v>0</v>
      </c>
      <c r="B367" t="s">
        <v>26</v>
      </c>
      <c r="C367" t="s">
        <v>3449</v>
      </c>
      <c r="D367" t="s">
        <v>16189</v>
      </c>
      <c r="E367" t="s">
        <v>16648</v>
      </c>
      <c r="F367" t="s">
        <v>28198</v>
      </c>
      <c r="G367" t="s">
        <v>28205</v>
      </c>
      <c r="H367" t="s">
        <v>28215</v>
      </c>
      <c r="I367" t="s">
        <v>28265</v>
      </c>
      <c r="J367" t="s">
        <v>28630</v>
      </c>
      <c r="K367" t="s">
        <v>36695</v>
      </c>
      <c r="M367" t="s">
        <v>37178</v>
      </c>
      <c r="N367" t="s">
        <v>40436</v>
      </c>
      <c r="O367" t="s">
        <v>40437</v>
      </c>
      <c r="P367">
        <v>0</v>
      </c>
      <c r="Q367">
        <v>0</v>
      </c>
      <c r="R367" t="s">
        <v>40438</v>
      </c>
      <c r="S367" t="s">
        <v>40582</v>
      </c>
      <c r="T367" t="s">
        <v>42099</v>
      </c>
      <c r="U367" t="s">
        <v>42941</v>
      </c>
      <c r="W367" t="s">
        <v>55436</v>
      </c>
      <c r="X367" t="s">
        <v>40439</v>
      </c>
    </row>
    <row r="368" spans="1:24">
      <c r="A368">
        <f>HYPERLINK("https://www.philgeps.gov.ph/GEPSNONPILOT/Tender/SplashBidNoticeAbstractUI.aspx?menuIndex=3&amp;refID=7047312&amp;Result=3","7047312")</f>
        <v>0</v>
      </c>
      <c r="B368" t="s">
        <v>203</v>
      </c>
      <c r="C368" t="s">
        <v>3450</v>
      </c>
      <c r="D368" t="s">
        <v>16204</v>
      </c>
      <c r="E368" t="s">
        <v>16649</v>
      </c>
      <c r="F368" t="s">
        <v>28198</v>
      </c>
      <c r="G368" t="s">
        <v>28205</v>
      </c>
      <c r="H368" t="s">
        <v>28215</v>
      </c>
      <c r="I368" t="s">
        <v>5100</v>
      </c>
      <c r="J368" t="s">
        <v>28378</v>
      </c>
      <c r="K368" t="s">
        <v>36701</v>
      </c>
      <c r="L368" t="s">
        <v>203</v>
      </c>
      <c r="M368" t="s">
        <v>37179</v>
      </c>
      <c r="N368" t="s">
        <v>40436</v>
      </c>
      <c r="O368" t="s">
        <v>40437</v>
      </c>
      <c r="P368">
        <v>0</v>
      </c>
      <c r="Q368">
        <v>1</v>
      </c>
      <c r="R368" t="s">
        <v>40438</v>
      </c>
      <c r="S368" t="s">
        <v>40582</v>
      </c>
      <c r="T368" t="s">
        <v>42098</v>
      </c>
      <c r="U368" t="s">
        <v>42942</v>
      </c>
      <c r="W368" t="s">
        <v>37179</v>
      </c>
      <c r="X368" t="s">
        <v>40439</v>
      </c>
    </row>
    <row r="369" spans="1:24">
      <c r="A369">
        <f>HYPERLINK("https://www.philgeps.gov.ph/GEPSNONPILOT/Tender/SplashBidNoticeAbstractUI.aspx?menuIndex=3&amp;refID=7047300&amp;Result=3","7047300")</f>
        <v>0</v>
      </c>
      <c r="B369" t="s">
        <v>190</v>
      </c>
      <c r="C369" t="s">
        <v>3451</v>
      </c>
      <c r="D369" t="s">
        <v>16187</v>
      </c>
      <c r="E369" t="s">
        <v>16650</v>
      </c>
      <c r="F369" t="s">
        <v>28198</v>
      </c>
      <c r="G369" t="s">
        <v>28207</v>
      </c>
      <c r="H369" t="s">
        <v>28215</v>
      </c>
      <c r="I369" t="s">
        <v>28221</v>
      </c>
      <c r="J369" t="s">
        <v>28345</v>
      </c>
      <c r="K369" t="s">
        <v>36701</v>
      </c>
      <c r="M369" t="s">
        <v>37165</v>
      </c>
      <c r="N369" t="s">
        <v>40436</v>
      </c>
      <c r="O369" t="s">
        <v>40437</v>
      </c>
      <c r="P369">
        <v>0</v>
      </c>
      <c r="Q369">
        <v>0</v>
      </c>
      <c r="R369" t="s">
        <v>40438</v>
      </c>
      <c r="S369" t="s">
        <v>40582</v>
      </c>
      <c r="T369" t="s">
        <v>42124</v>
      </c>
      <c r="U369" t="s">
        <v>42943</v>
      </c>
      <c r="W369" t="s">
        <v>37165</v>
      </c>
      <c r="X369" t="s">
        <v>40439</v>
      </c>
    </row>
    <row r="370" spans="1:24">
      <c r="A370">
        <f>HYPERLINK("https://www.philgeps.gov.ph/GEPSNONPILOT/Tender/SplashBidNoticeAbstractUI.aspx?menuIndex=3&amp;refID=7047311&amp;Result=3","7047311")</f>
        <v>0</v>
      </c>
      <c r="B370" t="s">
        <v>204</v>
      </c>
      <c r="C370" t="s">
        <v>3452</v>
      </c>
      <c r="D370" t="s">
        <v>16187</v>
      </c>
      <c r="E370" t="s">
        <v>16651</v>
      </c>
      <c r="F370" t="s">
        <v>28198</v>
      </c>
      <c r="G370" t="s">
        <v>28207</v>
      </c>
      <c r="H370" t="s">
        <v>28215</v>
      </c>
      <c r="I370" t="s">
        <v>4200</v>
      </c>
      <c r="J370" t="s">
        <v>28631</v>
      </c>
      <c r="K370" t="s">
        <v>36694</v>
      </c>
      <c r="M370" t="s">
        <v>37180</v>
      </c>
      <c r="N370" t="s">
        <v>40436</v>
      </c>
      <c r="O370" t="s">
        <v>40437</v>
      </c>
      <c r="P370">
        <v>0</v>
      </c>
      <c r="Q370">
        <v>0</v>
      </c>
      <c r="R370" t="s">
        <v>40438</v>
      </c>
      <c r="S370" t="s">
        <v>40582</v>
      </c>
      <c r="T370" t="s">
        <v>42097</v>
      </c>
      <c r="U370" t="s">
        <v>42944</v>
      </c>
      <c r="W370" t="s">
        <v>37180</v>
      </c>
      <c r="X370" t="s">
        <v>40439</v>
      </c>
    </row>
    <row r="371" spans="1:24">
      <c r="A371">
        <f>HYPERLINK("https://www.philgeps.gov.ph/GEPSNONPILOT/Tender/SplashBidNoticeAbstractUI.aspx?menuIndex=3&amp;refID=7047307&amp;Result=3","7047307")</f>
        <v>0</v>
      </c>
      <c r="B371" t="s">
        <v>167</v>
      </c>
      <c r="C371" t="s">
        <v>3453</v>
      </c>
      <c r="D371" t="s">
        <v>16242</v>
      </c>
      <c r="E371" t="s">
        <v>16652</v>
      </c>
      <c r="F371" t="s">
        <v>28198</v>
      </c>
      <c r="G371" t="s">
        <v>28205</v>
      </c>
      <c r="H371" t="s">
        <v>28215</v>
      </c>
      <c r="I371" t="s">
        <v>5082</v>
      </c>
      <c r="J371" t="s">
        <v>28632</v>
      </c>
      <c r="K371" t="s">
        <v>36689</v>
      </c>
      <c r="M371" t="s">
        <v>37141</v>
      </c>
      <c r="N371" t="s">
        <v>40436</v>
      </c>
      <c r="O371" t="s">
        <v>40437</v>
      </c>
      <c r="P371">
        <v>0</v>
      </c>
      <c r="Q371">
        <v>1</v>
      </c>
      <c r="R371" t="s">
        <v>40438</v>
      </c>
      <c r="S371" t="s">
        <v>40582</v>
      </c>
      <c r="T371" t="s">
        <v>42166</v>
      </c>
      <c r="U371" t="s">
        <v>42945</v>
      </c>
      <c r="W371" t="s">
        <v>37141</v>
      </c>
      <c r="X371" t="s">
        <v>40439</v>
      </c>
    </row>
    <row r="372" spans="1:24">
      <c r="A372">
        <f>HYPERLINK("https://www.philgeps.gov.ph/GEPSNONPILOT/Tender/SplashBidNoticeAbstractUI.aspx?menuIndex=3&amp;refID=7047305&amp;Result=3","7047305")</f>
        <v>0</v>
      </c>
      <c r="B372" t="s">
        <v>129</v>
      </c>
      <c r="C372" t="s">
        <v>3454</v>
      </c>
      <c r="D372" t="s">
        <v>16210</v>
      </c>
      <c r="E372" t="s">
        <v>16653</v>
      </c>
      <c r="F372" t="s">
        <v>28198</v>
      </c>
      <c r="G372" t="s">
        <v>28206</v>
      </c>
      <c r="H372" t="s">
        <v>28215</v>
      </c>
      <c r="I372" t="s">
        <v>8888</v>
      </c>
      <c r="J372" t="s">
        <v>28633</v>
      </c>
      <c r="K372" t="s">
        <v>36706</v>
      </c>
      <c r="M372" t="s">
        <v>37151</v>
      </c>
      <c r="N372" t="s">
        <v>40436</v>
      </c>
      <c r="O372" t="s">
        <v>40437</v>
      </c>
      <c r="P372">
        <v>0</v>
      </c>
      <c r="Q372">
        <v>3</v>
      </c>
      <c r="R372" t="s">
        <v>40438</v>
      </c>
      <c r="S372" t="s">
        <v>40582</v>
      </c>
      <c r="T372" t="s">
        <v>42156</v>
      </c>
      <c r="U372" t="s">
        <v>42946</v>
      </c>
      <c r="V372" t="s">
        <v>53812</v>
      </c>
      <c r="W372" t="s">
        <v>37151</v>
      </c>
      <c r="X372" t="s">
        <v>40439</v>
      </c>
    </row>
    <row r="373" spans="1:24">
      <c r="A373">
        <f>HYPERLINK("https://www.philgeps.gov.ph/GEPSNONPILOT/Tender/SplashBidNoticeAbstractUI.aspx?menuIndex=3&amp;refID=7047314&amp;Result=3","7047314")</f>
        <v>0</v>
      </c>
      <c r="B373" t="s">
        <v>205</v>
      </c>
      <c r="C373" t="s">
        <v>3455</v>
      </c>
      <c r="D373" t="s">
        <v>16209</v>
      </c>
      <c r="E373" t="s">
        <v>16654</v>
      </c>
      <c r="F373" t="s">
        <v>28198</v>
      </c>
      <c r="G373" t="s">
        <v>28205</v>
      </c>
      <c r="H373" t="s">
        <v>28215</v>
      </c>
      <c r="I373" t="s">
        <v>3797</v>
      </c>
      <c r="J373" t="s">
        <v>28634</v>
      </c>
      <c r="K373" t="s">
        <v>36697</v>
      </c>
      <c r="M373" t="s">
        <v>37181</v>
      </c>
      <c r="N373" t="s">
        <v>40436</v>
      </c>
      <c r="O373" t="s">
        <v>40437</v>
      </c>
      <c r="P373">
        <v>0</v>
      </c>
      <c r="Q373">
        <v>0</v>
      </c>
      <c r="R373" t="s">
        <v>40438</v>
      </c>
      <c r="S373" t="s">
        <v>40582</v>
      </c>
      <c r="T373" t="s">
        <v>42181</v>
      </c>
      <c r="U373" t="s">
        <v>42947</v>
      </c>
      <c r="W373" t="s">
        <v>37181</v>
      </c>
      <c r="X373" t="s">
        <v>40439</v>
      </c>
    </row>
    <row r="374" spans="1:24">
      <c r="A374">
        <f>HYPERLINK("https://www.philgeps.gov.ph/GEPSNONPILOT/Tender/SplashBidNoticeAbstractUI.aspx?menuIndex=3&amp;refID=7047319&amp;Result=3","7047319")</f>
        <v>0</v>
      </c>
      <c r="B374" t="s">
        <v>206</v>
      </c>
      <c r="C374" t="s">
        <v>3456</v>
      </c>
      <c r="D374" t="s">
        <v>16250</v>
      </c>
      <c r="E374" t="s">
        <v>16655</v>
      </c>
      <c r="F374" t="s">
        <v>28198</v>
      </c>
      <c r="G374" t="s">
        <v>28205</v>
      </c>
      <c r="H374" t="s">
        <v>28215</v>
      </c>
      <c r="I374" t="s">
        <v>5100</v>
      </c>
      <c r="J374" t="s">
        <v>28635</v>
      </c>
      <c r="K374" t="s">
        <v>36706</v>
      </c>
      <c r="M374" t="s">
        <v>37182</v>
      </c>
      <c r="N374" t="s">
        <v>40436</v>
      </c>
      <c r="O374" t="s">
        <v>40437</v>
      </c>
      <c r="P374">
        <v>0</v>
      </c>
      <c r="Q374">
        <v>0</v>
      </c>
      <c r="R374" t="s">
        <v>40438</v>
      </c>
      <c r="S374" t="s">
        <v>40582</v>
      </c>
      <c r="T374" t="s">
        <v>42182</v>
      </c>
      <c r="U374" t="s">
        <v>42948</v>
      </c>
      <c r="V374" t="s">
        <v>53818</v>
      </c>
      <c r="W374" t="s">
        <v>37182</v>
      </c>
      <c r="X374" t="s">
        <v>40439</v>
      </c>
    </row>
    <row r="375" spans="1:24">
      <c r="A375">
        <f>HYPERLINK("https://www.philgeps.gov.ph/GEPSNONPILOT/Tender/SplashBidNoticeAbstractUI.aspx?menuIndex=3&amp;refID=7047316&amp;Result=3","7047316")</f>
        <v>0</v>
      </c>
      <c r="B375" t="s">
        <v>149</v>
      </c>
      <c r="C375" t="s">
        <v>3457</v>
      </c>
      <c r="D375" t="s">
        <v>16240</v>
      </c>
      <c r="E375" t="s">
        <v>16656</v>
      </c>
      <c r="F375" t="s">
        <v>28198</v>
      </c>
      <c r="G375" t="s">
        <v>28207</v>
      </c>
      <c r="H375" t="s">
        <v>28215</v>
      </c>
      <c r="I375" t="s">
        <v>28265</v>
      </c>
      <c r="J375" t="s">
        <v>28636</v>
      </c>
      <c r="K375" t="s">
        <v>36707</v>
      </c>
      <c r="L375" t="s">
        <v>149</v>
      </c>
      <c r="M375" t="s">
        <v>37123</v>
      </c>
      <c r="N375" t="s">
        <v>40436</v>
      </c>
      <c r="O375" t="s">
        <v>40437</v>
      </c>
      <c r="P375">
        <v>0</v>
      </c>
      <c r="Q375">
        <v>0</v>
      </c>
      <c r="R375" t="s">
        <v>40438</v>
      </c>
      <c r="S375" t="s">
        <v>40582</v>
      </c>
      <c r="T375" t="s">
        <v>42111</v>
      </c>
      <c r="U375" t="s">
        <v>42873</v>
      </c>
      <c r="W375" t="s">
        <v>37123</v>
      </c>
      <c r="X375" t="s">
        <v>40439</v>
      </c>
    </row>
    <row r="376" spans="1:24">
      <c r="A376">
        <f>HYPERLINK("https://www.philgeps.gov.ph/GEPSNONPILOT/Tender/SplashBidNoticeAbstractUI.aspx?menuIndex=3&amp;refID=7047317&amp;Result=3","7047317")</f>
        <v>0</v>
      </c>
      <c r="B376" t="s">
        <v>207</v>
      </c>
      <c r="C376" t="s">
        <v>3458</v>
      </c>
      <c r="D376" t="s">
        <v>16210</v>
      </c>
      <c r="E376" t="s">
        <v>16657</v>
      </c>
      <c r="F376" t="s">
        <v>28201</v>
      </c>
      <c r="G376" t="s">
        <v>28205</v>
      </c>
      <c r="H376" t="s">
        <v>28215</v>
      </c>
      <c r="I376" t="s">
        <v>5082</v>
      </c>
      <c r="J376" t="s">
        <v>28637</v>
      </c>
      <c r="K376" t="s">
        <v>36688</v>
      </c>
      <c r="M376" t="s">
        <v>37183</v>
      </c>
      <c r="N376" t="s">
        <v>40436</v>
      </c>
      <c r="O376" t="s">
        <v>40437</v>
      </c>
      <c r="P376">
        <v>0</v>
      </c>
      <c r="Q376">
        <v>0</v>
      </c>
      <c r="R376" t="s">
        <v>40438</v>
      </c>
      <c r="S376" t="s">
        <v>40582</v>
      </c>
      <c r="T376" t="s">
        <v>42109</v>
      </c>
      <c r="U376" t="s">
        <v>42949</v>
      </c>
      <c r="W376" t="s">
        <v>37183</v>
      </c>
      <c r="X376" t="s">
        <v>40439</v>
      </c>
    </row>
    <row r="377" spans="1:24">
      <c r="A377">
        <f>HYPERLINK("https://www.philgeps.gov.ph/GEPSNONPILOT/Tender/SplashBidNoticeAbstractUI.aspx?menuIndex=3&amp;refID=7047315&amp;Result=3","7047315")</f>
        <v>0</v>
      </c>
      <c r="B377" t="s">
        <v>208</v>
      </c>
      <c r="C377" t="s">
        <v>3459</v>
      </c>
      <c r="E377" t="s">
        <v>16658</v>
      </c>
      <c r="F377" t="s">
        <v>28198</v>
      </c>
      <c r="G377" t="s">
        <v>28207</v>
      </c>
      <c r="H377" t="s">
        <v>28215</v>
      </c>
      <c r="I377" t="s">
        <v>5082</v>
      </c>
      <c r="J377" t="s">
        <v>28638</v>
      </c>
      <c r="K377" t="s">
        <v>36689</v>
      </c>
      <c r="M377" t="s">
        <v>37184</v>
      </c>
      <c r="N377" t="s">
        <v>40436</v>
      </c>
      <c r="O377" t="s">
        <v>40437</v>
      </c>
      <c r="P377">
        <v>0</v>
      </c>
      <c r="Q377">
        <v>0</v>
      </c>
      <c r="R377" t="s">
        <v>40438</v>
      </c>
      <c r="S377" t="s">
        <v>40582</v>
      </c>
      <c r="T377" t="s">
        <v>42119</v>
      </c>
      <c r="U377" t="s">
        <v>42950</v>
      </c>
      <c r="W377" t="s">
        <v>37184</v>
      </c>
      <c r="X377" t="s">
        <v>40439</v>
      </c>
    </row>
    <row r="378" spans="1:24">
      <c r="A378">
        <f>HYPERLINK("https://www.philgeps.gov.ph/GEPSNONPILOT/Tender/SplashBidNoticeAbstractUI.aspx?menuIndex=3&amp;refID=7047313&amp;Result=3","7047313")</f>
        <v>0</v>
      </c>
      <c r="B378" t="s">
        <v>209</v>
      </c>
      <c r="C378" t="s">
        <v>3460</v>
      </c>
      <c r="D378" t="s">
        <v>16227</v>
      </c>
      <c r="E378" t="s">
        <v>16659</v>
      </c>
      <c r="F378" t="s">
        <v>28198</v>
      </c>
      <c r="G378" t="s">
        <v>28206</v>
      </c>
      <c r="H378" t="s">
        <v>28215</v>
      </c>
      <c r="I378" t="s">
        <v>28266</v>
      </c>
      <c r="J378" t="s">
        <v>28559</v>
      </c>
      <c r="K378" t="s">
        <v>36701</v>
      </c>
      <c r="M378" t="s">
        <v>37185</v>
      </c>
      <c r="N378" t="s">
        <v>40436</v>
      </c>
      <c r="O378" t="s">
        <v>40437</v>
      </c>
      <c r="P378">
        <v>0</v>
      </c>
      <c r="Q378">
        <v>2</v>
      </c>
      <c r="R378" t="s">
        <v>40438</v>
      </c>
      <c r="S378" t="s">
        <v>40582</v>
      </c>
      <c r="T378" t="s">
        <v>42121</v>
      </c>
      <c r="U378" t="s">
        <v>42951</v>
      </c>
      <c r="W378" t="s">
        <v>55437</v>
      </c>
      <c r="X378" t="s">
        <v>40439</v>
      </c>
    </row>
    <row r="379" spans="1:24">
      <c r="A379">
        <f>HYPERLINK("https://www.philgeps.gov.ph/GEPSNONPILOT/Tender/SplashBidNoticeAbstractUI.aspx?menuIndex=3&amp;refID=7047318&amp;Result=3","7047318")</f>
        <v>0</v>
      </c>
      <c r="B379" t="s">
        <v>210</v>
      </c>
      <c r="C379" t="s">
        <v>3461</v>
      </c>
      <c r="D379" t="s">
        <v>16203</v>
      </c>
      <c r="E379" t="s">
        <v>16660</v>
      </c>
      <c r="F379" t="s">
        <v>28198</v>
      </c>
      <c r="G379" t="s">
        <v>28206</v>
      </c>
      <c r="H379" t="s">
        <v>28215</v>
      </c>
      <c r="I379" t="s">
        <v>28267</v>
      </c>
      <c r="J379" t="s">
        <v>28639</v>
      </c>
      <c r="K379" t="s">
        <v>36707</v>
      </c>
      <c r="M379" t="s">
        <v>37186</v>
      </c>
      <c r="N379" t="s">
        <v>40436</v>
      </c>
      <c r="O379" t="s">
        <v>40437</v>
      </c>
      <c r="P379">
        <v>0</v>
      </c>
      <c r="Q379">
        <v>3</v>
      </c>
      <c r="R379" t="s">
        <v>40438</v>
      </c>
      <c r="S379" t="s">
        <v>40582</v>
      </c>
      <c r="T379" t="s">
        <v>42098</v>
      </c>
      <c r="U379" t="s">
        <v>42952</v>
      </c>
      <c r="W379" t="s">
        <v>37186</v>
      </c>
      <c r="X379" t="s">
        <v>40439</v>
      </c>
    </row>
    <row r="380" spans="1:24">
      <c r="A380">
        <f>HYPERLINK("https://www.philgeps.gov.ph/GEPSNONPILOT/Tender/SplashBidNoticeAbstractUI.aspx?menuIndex=3&amp;refID=7047303&amp;Result=3","7047303")</f>
        <v>0</v>
      </c>
      <c r="B380" t="s">
        <v>211</v>
      </c>
      <c r="C380" t="s">
        <v>3462</v>
      </c>
      <c r="D380" t="s">
        <v>16199</v>
      </c>
      <c r="E380" t="s">
        <v>16661</v>
      </c>
      <c r="F380" t="s">
        <v>28198</v>
      </c>
      <c r="G380" t="s">
        <v>28207</v>
      </c>
      <c r="H380" t="s">
        <v>28215</v>
      </c>
      <c r="I380" t="s">
        <v>5631</v>
      </c>
      <c r="J380" t="s">
        <v>28640</v>
      </c>
      <c r="K380" t="s">
        <v>36698</v>
      </c>
      <c r="M380" t="s">
        <v>37187</v>
      </c>
      <c r="N380" t="s">
        <v>40436</v>
      </c>
      <c r="O380" t="s">
        <v>40437</v>
      </c>
      <c r="P380">
        <v>0</v>
      </c>
      <c r="Q380">
        <v>0</v>
      </c>
      <c r="R380" t="s">
        <v>40438</v>
      </c>
      <c r="S380" t="s">
        <v>40582</v>
      </c>
      <c r="T380" t="s">
        <v>42111</v>
      </c>
      <c r="U380" t="s">
        <v>42953</v>
      </c>
      <c r="W380" t="s">
        <v>37187</v>
      </c>
      <c r="X380" t="s">
        <v>40439</v>
      </c>
    </row>
    <row r="381" spans="1:24">
      <c r="A381">
        <f>HYPERLINK("https://www.philgeps.gov.ph/GEPSNONPILOT/Tender/SplashBidNoticeAbstractUI.aspx?menuIndex=3&amp;refID=7047321&amp;Result=3","7047321")</f>
        <v>0</v>
      </c>
      <c r="B381" t="s">
        <v>212</v>
      </c>
      <c r="C381" t="s">
        <v>3463</v>
      </c>
      <c r="D381" t="s">
        <v>16207</v>
      </c>
      <c r="E381" t="s">
        <v>16662</v>
      </c>
      <c r="F381" t="s">
        <v>28198</v>
      </c>
      <c r="G381" t="s">
        <v>28205</v>
      </c>
      <c r="H381" t="s">
        <v>28214</v>
      </c>
      <c r="I381" t="s">
        <v>3797</v>
      </c>
      <c r="J381" t="s">
        <v>28641</v>
      </c>
      <c r="K381" t="s">
        <v>36697</v>
      </c>
      <c r="M381" t="s">
        <v>37188</v>
      </c>
      <c r="N381" t="s">
        <v>40436</v>
      </c>
      <c r="O381" t="s">
        <v>40437</v>
      </c>
      <c r="P381">
        <v>0</v>
      </c>
      <c r="Q381">
        <v>0</v>
      </c>
      <c r="R381" t="s">
        <v>40438</v>
      </c>
      <c r="S381" t="s">
        <v>40582</v>
      </c>
      <c r="T381" t="s">
        <v>42125</v>
      </c>
      <c r="U381" t="s">
        <v>42954</v>
      </c>
      <c r="W381" t="s">
        <v>37188</v>
      </c>
      <c r="X381" t="s">
        <v>40439</v>
      </c>
    </row>
    <row r="382" spans="1:24">
      <c r="A382">
        <f>HYPERLINK("https://www.philgeps.gov.ph/GEPSNONPILOT/Tender/SplashBidNoticeAbstractUI.aspx?menuIndex=3&amp;refID=7047328&amp;Result=3","7047328")</f>
        <v>0</v>
      </c>
      <c r="B382" t="s">
        <v>213</v>
      </c>
      <c r="C382" t="s">
        <v>3464</v>
      </c>
      <c r="D382" t="s">
        <v>16187</v>
      </c>
      <c r="E382" t="s">
        <v>16663</v>
      </c>
      <c r="F382" t="s">
        <v>28198</v>
      </c>
      <c r="G382" t="s">
        <v>28206</v>
      </c>
      <c r="H382" t="s">
        <v>28215</v>
      </c>
      <c r="I382" t="s">
        <v>28224</v>
      </c>
      <c r="J382" t="s">
        <v>28642</v>
      </c>
      <c r="K382" t="s">
        <v>36723</v>
      </c>
      <c r="M382" t="s">
        <v>37189</v>
      </c>
      <c r="N382" t="s">
        <v>40436</v>
      </c>
      <c r="O382" t="s">
        <v>40437</v>
      </c>
      <c r="P382">
        <v>0</v>
      </c>
      <c r="Q382">
        <v>0</v>
      </c>
      <c r="R382" t="s">
        <v>40438</v>
      </c>
      <c r="S382" t="s">
        <v>40582</v>
      </c>
      <c r="T382" t="s">
        <v>42146</v>
      </c>
      <c r="U382" t="s">
        <v>42955</v>
      </c>
      <c r="W382" t="s">
        <v>37189</v>
      </c>
      <c r="X382" t="s">
        <v>40439</v>
      </c>
    </row>
    <row r="383" spans="1:24">
      <c r="A383">
        <f>HYPERLINK("https://www.philgeps.gov.ph/GEPSNONPILOT/Tender/SplashBidNoticeAbstractUI.aspx?menuIndex=3&amp;refID=7047322&amp;Result=3","7047322")</f>
        <v>0</v>
      </c>
      <c r="B383" t="s">
        <v>178</v>
      </c>
      <c r="C383" t="s">
        <v>3465</v>
      </c>
      <c r="D383" t="s">
        <v>16220</v>
      </c>
      <c r="E383" t="s">
        <v>16664</v>
      </c>
      <c r="F383" t="s">
        <v>28198</v>
      </c>
      <c r="G383" t="s">
        <v>28205</v>
      </c>
      <c r="H383" t="s">
        <v>28215</v>
      </c>
      <c r="I383" t="s">
        <v>28234</v>
      </c>
      <c r="J383" t="s">
        <v>28352</v>
      </c>
      <c r="K383" t="s">
        <v>36701</v>
      </c>
      <c r="M383" t="s">
        <v>37153</v>
      </c>
      <c r="N383" t="s">
        <v>40436</v>
      </c>
      <c r="O383" t="s">
        <v>40437</v>
      </c>
      <c r="P383">
        <v>0</v>
      </c>
      <c r="Q383">
        <v>0</v>
      </c>
      <c r="R383" t="s">
        <v>40438</v>
      </c>
      <c r="S383" t="s">
        <v>40582</v>
      </c>
      <c r="T383" t="s">
        <v>42126</v>
      </c>
      <c r="U383" t="s">
        <v>42910</v>
      </c>
      <c r="W383" t="s">
        <v>37153</v>
      </c>
      <c r="X383" t="s">
        <v>40439</v>
      </c>
    </row>
    <row r="384" spans="1:24">
      <c r="A384">
        <f>HYPERLINK("https://www.philgeps.gov.ph/GEPSNONPILOT/Tender/SplashBidNoticeAbstractUI.aspx?menuIndex=3&amp;refID=7047324&amp;Result=3","7047324")</f>
        <v>0</v>
      </c>
      <c r="B384" t="s">
        <v>214</v>
      </c>
      <c r="C384" t="s">
        <v>3466</v>
      </c>
      <c r="D384" t="s">
        <v>16251</v>
      </c>
      <c r="E384" t="s">
        <v>16665</v>
      </c>
      <c r="F384" t="s">
        <v>28198</v>
      </c>
      <c r="G384" t="s">
        <v>28205</v>
      </c>
      <c r="H384" t="s">
        <v>28214</v>
      </c>
      <c r="I384" t="s">
        <v>3797</v>
      </c>
      <c r="J384" t="s">
        <v>28643</v>
      </c>
      <c r="K384" t="s">
        <v>36687</v>
      </c>
      <c r="M384" t="s">
        <v>37190</v>
      </c>
      <c r="N384" t="s">
        <v>40436</v>
      </c>
      <c r="O384" t="s">
        <v>40437</v>
      </c>
      <c r="P384">
        <v>0</v>
      </c>
      <c r="Q384">
        <v>0</v>
      </c>
      <c r="R384" t="s">
        <v>40438</v>
      </c>
      <c r="S384" t="s">
        <v>40582</v>
      </c>
      <c r="T384" t="s">
        <v>42183</v>
      </c>
      <c r="U384" t="s">
        <v>42956</v>
      </c>
      <c r="W384" t="s">
        <v>37190</v>
      </c>
      <c r="X384" t="s">
        <v>40439</v>
      </c>
    </row>
    <row r="385" spans="1:24">
      <c r="A385">
        <f>HYPERLINK("https://www.philgeps.gov.ph/GEPSNONPILOT/Tender/SplashBidNoticeAbstractUI.aspx?menuIndex=3&amp;refID=7047320&amp;Result=3","7047320")</f>
        <v>0</v>
      </c>
      <c r="B385" t="s">
        <v>215</v>
      </c>
      <c r="C385" t="s">
        <v>3467</v>
      </c>
      <c r="D385" t="s">
        <v>16218</v>
      </c>
      <c r="E385" t="s">
        <v>16666</v>
      </c>
      <c r="F385" t="s">
        <v>28198</v>
      </c>
      <c r="G385" t="s">
        <v>28207</v>
      </c>
      <c r="H385" t="s">
        <v>28215</v>
      </c>
      <c r="I385" t="s">
        <v>5631</v>
      </c>
      <c r="J385" t="s">
        <v>28644</v>
      </c>
      <c r="K385" t="s">
        <v>36688</v>
      </c>
      <c r="M385" t="s">
        <v>37191</v>
      </c>
      <c r="N385" t="s">
        <v>40436</v>
      </c>
      <c r="O385" t="s">
        <v>40437</v>
      </c>
      <c r="P385">
        <v>0</v>
      </c>
      <c r="Q385">
        <v>0</v>
      </c>
      <c r="R385" t="s">
        <v>40438</v>
      </c>
      <c r="S385" t="s">
        <v>40582</v>
      </c>
      <c r="T385" t="s">
        <v>42103</v>
      </c>
      <c r="U385" t="s">
        <v>42957</v>
      </c>
      <c r="W385" t="s">
        <v>37191</v>
      </c>
      <c r="X385" t="s">
        <v>40439</v>
      </c>
    </row>
    <row r="386" spans="1:24">
      <c r="A386">
        <f>HYPERLINK("https://www.philgeps.gov.ph/GEPSNONPILOT/Tender/SplashBidNoticeAbstractUI.aspx?menuIndex=3&amp;refID=7047326&amp;Result=3","7047326")</f>
        <v>0</v>
      </c>
      <c r="B386" t="s">
        <v>216</v>
      </c>
      <c r="C386" t="s">
        <v>3468</v>
      </c>
      <c r="D386" t="s">
        <v>16210</v>
      </c>
      <c r="E386" t="s">
        <v>16667</v>
      </c>
      <c r="F386" t="s">
        <v>28198</v>
      </c>
      <c r="G386" t="s">
        <v>28207</v>
      </c>
      <c r="H386" t="s">
        <v>28215</v>
      </c>
      <c r="I386" t="s">
        <v>28268</v>
      </c>
      <c r="J386" t="s">
        <v>28645</v>
      </c>
      <c r="K386" t="s">
        <v>36701</v>
      </c>
      <c r="M386" t="s">
        <v>37192</v>
      </c>
      <c r="N386" t="s">
        <v>40436</v>
      </c>
      <c r="O386" t="s">
        <v>40437</v>
      </c>
      <c r="P386">
        <v>0</v>
      </c>
      <c r="Q386">
        <v>0</v>
      </c>
      <c r="R386" t="s">
        <v>40438</v>
      </c>
      <c r="S386" t="s">
        <v>40582</v>
      </c>
      <c r="T386" t="s">
        <v>42142</v>
      </c>
      <c r="U386" t="s">
        <v>42958</v>
      </c>
      <c r="V386" t="s">
        <v>53819</v>
      </c>
      <c r="W386" t="s">
        <v>37192</v>
      </c>
      <c r="X386" t="s">
        <v>40439</v>
      </c>
    </row>
    <row r="387" spans="1:24">
      <c r="A387">
        <f>HYPERLINK("https://www.philgeps.gov.ph/GEPSNONPILOT/Tender/SplashBidNoticeAbstractUI.aspx?menuIndex=3&amp;refID=7047323&amp;Result=3","7047323")</f>
        <v>0</v>
      </c>
      <c r="B387" t="s">
        <v>188</v>
      </c>
      <c r="C387" t="s">
        <v>3469</v>
      </c>
      <c r="D387" t="s">
        <v>16241</v>
      </c>
      <c r="E387" t="s">
        <v>16668</v>
      </c>
      <c r="F387" t="s">
        <v>28198</v>
      </c>
      <c r="G387" t="s">
        <v>28207</v>
      </c>
      <c r="H387" t="s">
        <v>28215</v>
      </c>
      <c r="I387" t="s">
        <v>28244</v>
      </c>
      <c r="J387" t="s">
        <v>28388</v>
      </c>
      <c r="K387" t="s">
        <v>36701</v>
      </c>
      <c r="M387" t="s">
        <v>37163</v>
      </c>
      <c r="N387" t="s">
        <v>40436</v>
      </c>
      <c r="O387" t="s">
        <v>40437</v>
      </c>
      <c r="P387">
        <v>0</v>
      </c>
      <c r="Q387">
        <v>0</v>
      </c>
      <c r="R387" t="s">
        <v>40438</v>
      </c>
      <c r="S387" t="s">
        <v>40582</v>
      </c>
      <c r="T387" t="s">
        <v>42175</v>
      </c>
      <c r="U387" t="s">
        <v>42959</v>
      </c>
      <c r="V387" t="s">
        <v>53820</v>
      </c>
      <c r="W387" t="s">
        <v>37163</v>
      </c>
      <c r="X387" t="s">
        <v>40439</v>
      </c>
    </row>
    <row r="388" spans="1:24">
      <c r="A388">
        <f>HYPERLINK("https://www.philgeps.gov.ph/GEPSNONPILOT/Tender/SplashBidNoticeAbstractUI.aspx?menuIndex=3&amp;refID=7047342&amp;Result=3","7047342")</f>
        <v>0</v>
      </c>
      <c r="B388" t="s">
        <v>217</v>
      </c>
      <c r="C388" t="s">
        <v>3470</v>
      </c>
      <c r="D388" t="s">
        <v>16193</v>
      </c>
      <c r="E388" t="s">
        <v>16669</v>
      </c>
      <c r="F388" t="s">
        <v>28198</v>
      </c>
      <c r="G388" t="s">
        <v>28206</v>
      </c>
      <c r="H388" t="s">
        <v>28215</v>
      </c>
      <c r="I388" t="s">
        <v>8888</v>
      </c>
      <c r="J388" t="s">
        <v>28354</v>
      </c>
      <c r="K388" t="s">
        <v>36688</v>
      </c>
      <c r="M388" t="s">
        <v>37193</v>
      </c>
      <c r="N388" t="s">
        <v>40436</v>
      </c>
      <c r="O388" t="s">
        <v>40437</v>
      </c>
      <c r="P388">
        <v>0</v>
      </c>
      <c r="Q388">
        <v>1</v>
      </c>
      <c r="R388" t="s">
        <v>40438</v>
      </c>
      <c r="S388" t="s">
        <v>40582</v>
      </c>
      <c r="T388" t="s">
        <v>42184</v>
      </c>
      <c r="U388" t="s">
        <v>42960</v>
      </c>
      <c r="V388" t="s">
        <v>53821</v>
      </c>
      <c r="W388" t="s">
        <v>37193</v>
      </c>
      <c r="X388" t="s">
        <v>40439</v>
      </c>
    </row>
    <row r="389" spans="1:24">
      <c r="A389">
        <f>HYPERLINK("https://www.philgeps.gov.ph/GEPSNONPILOT/Tender/SplashBidNoticeAbstractUI.aspx?menuIndex=3&amp;refID=7047304&amp;Result=3","7047304")</f>
        <v>0</v>
      </c>
      <c r="B389" t="s">
        <v>218</v>
      </c>
      <c r="C389" t="s">
        <v>3471</v>
      </c>
      <c r="D389" t="s">
        <v>16226</v>
      </c>
      <c r="E389" t="s">
        <v>16670</v>
      </c>
      <c r="F389" t="s">
        <v>28198</v>
      </c>
      <c r="G389" t="s">
        <v>28206</v>
      </c>
      <c r="H389" t="s">
        <v>28215</v>
      </c>
      <c r="I389" t="s">
        <v>28269</v>
      </c>
      <c r="J389" t="s">
        <v>28646</v>
      </c>
      <c r="K389" t="s">
        <v>36688</v>
      </c>
      <c r="M389" t="s">
        <v>37194</v>
      </c>
      <c r="N389" t="s">
        <v>40436</v>
      </c>
      <c r="O389" t="s">
        <v>40437</v>
      </c>
      <c r="P389">
        <v>0</v>
      </c>
      <c r="Q389">
        <v>0</v>
      </c>
      <c r="R389" t="s">
        <v>40438</v>
      </c>
      <c r="S389" t="s">
        <v>40582</v>
      </c>
      <c r="T389" t="s">
        <v>42124</v>
      </c>
      <c r="U389" t="s">
        <v>42961</v>
      </c>
      <c r="W389" t="s">
        <v>37194</v>
      </c>
      <c r="X389" t="s">
        <v>40439</v>
      </c>
    </row>
    <row r="390" spans="1:24">
      <c r="A390">
        <f>HYPERLINK("https://www.philgeps.gov.ph/GEPSNONPILOT/Tender/SplashBidNoticeAbstractUI.aspx?menuIndex=3&amp;refID=7047325&amp;Result=3","7047325")</f>
        <v>0</v>
      </c>
      <c r="B390" t="s">
        <v>167</v>
      </c>
      <c r="C390" t="s">
        <v>3472</v>
      </c>
      <c r="D390" t="s">
        <v>16242</v>
      </c>
      <c r="E390" t="s">
        <v>16671</v>
      </c>
      <c r="F390" t="s">
        <v>28198</v>
      </c>
      <c r="G390" t="s">
        <v>28205</v>
      </c>
      <c r="H390" t="s">
        <v>28215</v>
      </c>
      <c r="I390" t="s">
        <v>4168</v>
      </c>
      <c r="J390" t="s">
        <v>28589</v>
      </c>
      <c r="K390" t="s">
        <v>36689</v>
      </c>
      <c r="M390" t="s">
        <v>37141</v>
      </c>
      <c r="N390" t="s">
        <v>40436</v>
      </c>
      <c r="O390" t="s">
        <v>40437</v>
      </c>
      <c r="P390">
        <v>0</v>
      </c>
      <c r="Q390">
        <v>0</v>
      </c>
      <c r="R390" t="s">
        <v>40438</v>
      </c>
      <c r="S390" t="s">
        <v>40582</v>
      </c>
      <c r="T390" t="s">
        <v>42166</v>
      </c>
      <c r="U390" t="s">
        <v>42962</v>
      </c>
      <c r="W390" t="s">
        <v>37141</v>
      </c>
      <c r="X390" t="s">
        <v>40439</v>
      </c>
    </row>
    <row r="391" spans="1:24">
      <c r="A391">
        <f>HYPERLINK("https://www.philgeps.gov.ph/GEPSNONPILOT/Tender/SplashBidNoticeAbstractUI.aspx?menuIndex=3&amp;refID=7047340&amp;Result=3","7047340")</f>
        <v>0</v>
      </c>
      <c r="B391" t="s">
        <v>219</v>
      </c>
      <c r="C391" t="s">
        <v>3473</v>
      </c>
      <c r="D391" t="s">
        <v>16199</v>
      </c>
      <c r="E391" t="s">
        <v>16672</v>
      </c>
      <c r="F391" t="s">
        <v>28198</v>
      </c>
      <c r="G391" t="s">
        <v>28206</v>
      </c>
      <c r="H391" t="s">
        <v>28215</v>
      </c>
      <c r="I391" t="s">
        <v>4219</v>
      </c>
      <c r="J391" t="s">
        <v>28647</v>
      </c>
      <c r="K391" t="s">
        <v>36698</v>
      </c>
      <c r="M391" t="s">
        <v>37195</v>
      </c>
      <c r="N391" t="s">
        <v>40436</v>
      </c>
      <c r="O391" t="s">
        <v>40437</v>
      </c>
      <c r="P391">
        <v>0</v>
      </c>
      <c r="Q391">
        <v>0</v>
      </c>
      <c r="R391" t="s">
        <v>40438</v>
      </c>
      <c r="S391" t="s">
        <v>40582</v>
      </c>
      <c r="T391" t="s">
        <v>42185</v>
      </c>
      <c r="U391" t="s">
        <v>42963</v>
      </c>
      <c r="W391" t="s">
        <v>37195</v>
      </c>
      <c r="X391" t="s">
        <v>40439</v>
      </c>
    </row>
    <row r="392" spans="1:24">
      <c r="A392">
        <f>HYPERLINK("https://www.philgeps.gov.ph/GEPSNONPILOT/Tender/SplashBidNoticeAbstractUI.aspx?menuIndex=3&amp;refID=7047329&amp;Result=3","7047329")</f>
        <v>0</v>
      </c>
      <c r="B392" t="s">
        <v>202</v>
      </c>
      <c r="C392" t="s">
        <v>3474</v>
      </c>
      <c r="D392" t="s">
        <v>16217</v>
      </c>
      <c r="E392" t="s">
        <v>16673</v>
      </c>
      <c r="F392" t="s">
        <v>28198</v>
      </c>
      <c r="G392" t="s">
        <v>28207</v>
      </c>
      <c r="H392" t="s">
        <v>28215</v>
      </c>
      <c r="I392" t="s">
        <v>28247</v>
      </c>
      <c r="J392" t="s">
        <v>28648</v>
      </c>
      <c r="K392" t="s">
        <v>36701</v>
      </c>
      <c r="M392" t="s">
        <v>37177</v>
      </c>
      <c r="N392" t="s">
        <v>40436</v>
      </c>
      <c r="O392" t="s">
        <v>40437</v>
      </c>
      <c r="P392">
        <v>0</v>
      </c>
      <c r="Q392">
        <v>17</v>
      </c>
      <c r="R392" t="s">
        <v>40438</v>
      </c>
      <c r="S392" t="s">
        <v>40582</v>
      </c>
      <c r="T392" t="s">
        <v>42103</v>
      </c>
      <c r="U392" t="s">
        <v>42964</v>
      </c>
      <c r="V392" t="s">
        <v>53822</v>
      </c>
      <c r="W392" t="s">
        <v>55435</v>
      </c>
      <c r="X392" t="s">
        <v>40439</v>
      </c>
    </row>
    <row r="393" spans="1:24">
      <c r="A393">
        <f>HYPERLINK("https://www.philgeps.gov.ph/GEPSNONPILOT/Tender/SplashBidNoticeAbstractUI.aspx?menuIndex=3&amp;refID=7047341&amp;Result=3","7047341")</f>
        <v>0</v>
      </c>
      <c r="B393" t="s">
        <v>220</v>
      </c>
      <c r="C393" t="s">
        <v>3475</v>
      </c>
      <c r="E393" t="s">
        <v>16674</v>
      </c>
      <c r="F393" t="s">
        <v>28198</v>
      </c>
      <c r="G393" t="s">
        <v>28206</v>
      </c>
      <c r="H393" t="s">
        <v>28215</v>
      </c>
      <c r="I393" t="s">
        <v>28247</v>
      </c>
      <c r="J393" t="s">
        <v>28649</v>
      </c>
      <c r="K393" t="s">
        <v>36689</v>
      </c>
      <c r="M393" t="s">
        <v>37196</v>
      </c>
      <c r="N393" t="s">
        <v>40436</v>
      </c>
      <c r="O393" t="s">
        <v>40437</v>
      </c>
      <c r="P393">
        <v>0</v>
      </c>
      <c r="Q393">
        <v>6</v>
      </c>
      <c r="R393" t="s">
        <v>40438</v>
      </c>
      <c r="S393" t="s">
        <v>40582</v>
      </c>
      <c r="T393" t="s">
        <v>42161</v>
      </c>
      <c r="U393" t="s">
        <v>42965</v>
      </c>
      <c r="W393" t="s">
        <v>37196</v>
      </c>
      <c r="X393" t="s">
        <v>40439</v>
      </c>
    </row>
    <row r="394" spans="1:24">
      <c r="A394">
        <f>HYPERLINK("https://www.philgeps.gov.ph/GEPSNONPILOT/Tender/SplashBidNoticeAbstractUI.aspx?menuIndex=3&amp;refID=7047336&amp;Result=3","7047336")</f>
        <v>0</v>
      </c>
      <c r="B394" t="s">
        <v>221</v>
      </c>
      <c r="C394" t="s">
        <v>3476</v>
      </c>
      <c r="D394" t="s">
        <v>16217</v>
      </c>
      <c r="E394" t="s">
        <v>16675</v>
      </c>
      <c r="F394" t="s">
        <v>28198</v>
      </c>
      <c r="G394" t="s">
        <v>28206</v>
      </c>
      <c r="H394" t="s">
        <v>28215</v>
      </c>
      <c r="I394" t="s">
        <v>28246</v>
      </c>
      <c r="J394" t="s">
        <v>28354</v>
      </c>
      <c r="K394" t="s">
        <v>36689</v>
      </c>
      <c r="M394" t="s">
        <v>37197</v>
      </c>
      <c r="N394" t="s">
        <v>40436</v>
      </c>
      <c r="O394" t="s">
        <v>40437</v>
      </c>
      <c r="P394">
        <v>0</v>
      </c>
      <c r="Q394">
        <v>0</v>
      </c>
      <c r="R394" t="s">
        <v>40438</v>
      </c>
      <c r="S394" t="s">
        <v>40582</v>
      </c>
      <c r="T394" t="s">
        <v>42142</v>
      </c>
      <c r="U394" t="s">
        <v>42966</v>
      </c>
      <c r="W394" t="s">
        <v>37197</v>
      </c>
      <c r="X394" t="s">
        <v>40439</v>
      </c>
    </row>
    <row r="395" spans="1:24">
      <c r="A395">
        <f>HYPERLINK("https://www.philgeps.gov.ph/GEPSNONPILOT/Tender/SplashBidNoticeAbstractUI.aspx?menuIndex=3&amp;refID=7047330&amp;Result=3","7047330")</f>
        <v>0</v>
      </c>
      <c r="B395" t="s">
        <v>222</v>
      </c>
      <c r="C395" t="s">
        <v>3477</v>
      </c>
      <c r="D395" t="s">
        <v>16213</v>
      </c>
      <c r="E395" t="s">
        <v>16676</v>
      </c>
      <c r="F395" t="s">
        <v>28198</v>
      </c>
      <c r="G395" t="s">
        <v>28207</v>
      </c>
      <c r="H395" t="s">
        <v>28215</v>
      </c>
      <c r="I395" t="s">
        <v>4168</v>
      </c>
      <c r="J395" t="s">
        <v>28593</v>
      </c>
      <c r="K395" t="s">
        <v>36707</v>
      </c>
      <c r="M395" t="s">
        <v>37198</v>
      </c>
      <c r="N395" t="s">
        <v>40436</v>
      </c>
      <c r="O395" t="s">
        <v>40437</v>
      </c>
      <c r="P395">
        <v>0</v>
      </c>
      <c r="Q395">
        <v>0</v>
      </c>
      <c r="R395" t="s">
        <v>40438</v>
      </c>
      <c r="S395" t="s">
        <v>40582</v>
      </c>
      <c r="T395" t="s">
        <v>42119</v>
      </c>
      <c r="U395" t="s">
        <v>42967</v>
      </c>
      <c r="W395" t="s">
        <v>37198</v>
      </c>
      <c r="X395" t="s">
        <v>40439</v>
      </c>
    </row>
    <row r="396" spans="1:24">
      <c r="A396">
        <f>HYPERLINK("https://www.philgeps.gov.ph/GEPSNONPILOT/Tender/SplashBidNoticeAbstractUI.aspx?menuIndex=3&amp;refID=7047333&amp;Result=3","7047333")</f>
        <v>0</v>
      </c>
      <c r="B396" t="s">
        <v>171</v>
      </c>
      <c r="C396" t="s">
        <v>3478</v>
      </c>
      <c r="E396" t="s">
        <v>16677</v>
      </c>
      <c r="F396" t="s">
        <v>28198</v>
      </c>
      <c r="G396" t="s">
        <v>28207</v>
      </c>
      <c r="H396" t="s">
        <v>28215</v>
      </c>
      <c r="I396" t="s">
        <v>4200</v>
      </c>
      <c r="J396" t="s">
        <v>28350</v>
      </c>
      <c r="K396" t="s">
        <v>36695</v>
      </c>
      <c r="M396" t="s">
        <v>37145</v>
      </c>
      <c r="N396" t="s">
        <v>40436</v>
      </c>
      <c r="O396" t="s">
        <v>40437</v>
      </c>
      <c r="P396">
        <v>0</v>
      </c>
      <c r="Q396">
        <v>1</v>
      </c>
      <c r="R396" t="s">
        <v>40438</v>
      </c>
      <c r="S396" t="s">
        <v>40582</v>
      </c>
      <c r="T396" t="s">
        <v>42167</v>
      </c>
      <c r="U396" t="s">
        <v>42968</v>
      </c>
      <c r="V396" t="s">
        <v>53823</v>
      </c>
      <c r="W396" t="s">
        <v>39085</v>
      </c>
      <c r="X396" t="s">
        <v>40439</v>
      </c>
    </row>
    <row r="397" spans="1:24">
      <c r="A397">
        <f>HYPERLINK("https://www.philgeps.gov.ph/GEPSNONPILOT/Tender/SplashBidNoticeAbstractUI.aspx?menuIndex=3&amp;refID=7047343&amp;Result=3","7047343")</f>
        <v>0</v>
      </c>
      <c r="B397" t="s">
        <v>26</v>
      </c>
      <c r="C397" t="s">
        <v>3479</v>
      </c>
      <c r="D397" t="s">
        <v>16189</v>
      </c>
      <c r="E397" t="s">
        <v>16678</v>
      </c>
      <c r="F397" t="s">
        <v>28198</v>
      </c>
      <c r="G397" t="s">
        <v>28205</v>
      </c>
      <c r="H397" t="s">
        <v>28215</v>
      </c>
      <c r="I397" t="s">
        <v>8888</v>
      </c>
      <c r="J397" t="s">
        <v>28650</v>
      </c>
      <c r="K397" t="s">
        <v>36695</v>
      </c>
      <c r="M397" t="s">
        <v>37178</v>
      </c>
      <c r="N397" t="s">
        <v>40436</v>
      </c>
      <c r="O397" t="s">
        <v>40437</v>
      </c>
      <c r="P397">
        <v>0</v>
      </c>
      <c r="Q397">
        <v>3</v>
      </c>
      <c r="R397" t="s">
        <v>40438</v>
      </c>
      <c r="S397" t="s">
        <v>40582</v>
      </c>
      <c r="T397" t="s">
        <v>42099</v>
      </c>
      <c r="U397" t="s">
        <v>42969</v>
      </c>
      <c r="W397" t="s">
        <v>55436</v>
      </c>
      <c r="X397" t="s">
        <v>40439</v>
      </c>
    </row>
    <row r="398" spans="1:24">
      <c r="A398">
        <f>HYPERLINK("https://www.philgeps.gov.ph/GEPSNONPILOT/Tender/SplashBidNoticeAbstractUI.aspx?menuIndex=3&amp;refID=7047335&amp;Result=3","7047335")</f>
        <v>0</v>
      </c>
      <c r="B398" t="s">
        <v>223</v>
      </c>
      <c r="C398" t="s">
        <v>3480</v>
      </c>
      <c r="D398" t="s">
        <v>16217</v>
      </c>
      <c r="E398" t="s">
        <v>16679</v>
      </c>
      <c r="F398" t="s">
        <v>28198</v>
      </c>
      <c r="G398" t="s">
        <v>28207</v>
      </c>
      <c r="H398" t="s">
        <v>28215</v>
      </c>
      <c r="I398" t="s">
        <v>28228</v>
      </c>
      <c r="J398" t="s">
        <v>28651</v>
      </c>
      <c r="K398" t="s">
        <v>36688</v>
      </c>
      <c r="M398" t="s">
        <v>37199</v>
      </c>
      <c r="N398" t="s">
        <v>40436</v>
      </c>
      <c r="O398" t="s">
        <v>40437</v>
      </c>
      <c r="P398">
        <v>0</v>
      </c>
      <c r="Q398">
        <v>0</v>
      </c>
      <c r="R398" t="s">
        <v>40438</v>
      </c>
      <c r="S398" t="s">
        <v>40582</v>
      </c>
      <c r="T398" t="s">
        <v>42119</v>
      </c>
      <c r="U398" t="s">
        <v>42970</v>
      </c>
      <c r="W398" t="s">
        <v>55438</v>
      </c>
      <c r="X398" t="s">
        <v>40439</v>
      </c>
    </row>
    <row r="399" spans="1:24">
      <c r="A399">
        <f>HYPERLINK("https://www.philgeps.gov.ph/GEPSNONPILOT/Tender/SplashBidNoticeAbstractUI.aspx?menuIndex=3&amp;refID=7047339&amp;Result=3","7047339")</f>
        <v>0</v>
      </c>
      <c r="B399" t="s">
        <v>224</v>
      </c>
      <c r="C399" t="s">
        <v>3481</v>
      </c>
      <c r="E399" t="s">
        <v>16680</v>
      </c>
      <c r="F399" t="s">
        <v>28198</v>
      </c>
      <c r="G399" t="s">
        <v>28207</v>
      </c>
      <c r="H399" t="s">
        <v>28215</v>
      </c>
      <c r="I399" t="s">
        <v>3422</v>
      </c>
      <c r="J399" t="s">
        <v>28652</v>
      </c>
      <c r="K399" t="s">
        <v>36689</v>
      </c>
      <c r="M399" t="s">
        <v>37200</v>
      </c>
      <c r="N399" t="s">
        <v>40436</v>
      </c>
      <c r="O399" t="s">
        <v>40437</v>
      </c>
      <c r="P399">
        <v>0</v>
      </c>
      <c r="Q399">
        <v>0</v>
      </c>
      <c r="R399" t="s">
        <v>40438</v>
      </c>
      <c r="S399" t="s">
        <v>40582</v>
      </c>
      <c r="T399" t="s">
        <v>42119</v>
      </c>
      <c r="U399" t="s">
        <v>42971</v>
      </c>
      <c r="W399" t="s">
        <v>37200</v>
      </c>
      <c r="X399" t="s">
        <v>40439</v>
      </c>
    </row>
    <row r="400" spans="1:24">
      <c r="A400">
        <f>HYPERLINK("https://www.philgeps.gov.ph/GEPSNONPILOT/Tender/SplashBidNoticeAbstractUI.aspx?menuIndex=3&amp;refID=7047357&amp;Result=3","7047357")</f>
        <v>0</v>
      </c>
      <c r="B400" t="s">
        <v>225</v>
      </c>
      <c r="C400" t="s">
        <v>3482</v>
      </c>
      <c r="E400" t="s">
        <v>16681</v>
      </c>
      <c r="F400" t="s">
        <v>28198</v>
      </c>
      <c r="G400" t="s">
        <v>28207</v>
      </c>
      <c r="H400" t="s">
        <v>28215</v>
      </c>
      <c r="I400" t="s">
        <v>4222</v>
      </c>
      <c r="J400" t="s">
        <v>28552</v>
      </c>
      <c r="K400" t="s">
        <v>36689</v>
      </c>
      <c r="M400" t="s">
        <v>37201</v>
      </c>
      <c r="N400" t="s">
        <v>40436</v>
      </c>
      <c r="O400" t="s">
        <v>40437</v>
      </c>
      <c r="P400">
        <v>0</v>
      </c>
      <c r="Q400">
        <v>0</v>
      </c>
      <c r="R400" t="s">
        <v>40438</v>
      </c>
      <c r="S400" t="s">
        <v>40582</v>
      </c>
      <c r="T400" t="s">
        <v>42119</v>
      </c>
      <c r="U400" t="s">
        <v>42972</v>
      </c>
      <c r="W400" t="s">
        <v>37201</v>
      </c>
      <c r="X400" t="s">
        <v>40439</v>
      </c>
    </row>
    <row r="401" spans="1:24">
      <c r="A401">
        <f>HYPERLINK("https://www.philgeps.gov.ph/GEPSNONPILOT/Tender/SplashBidNoticeAbstractUI.aspx?menuIndex=3&amp;refID=7047356&amp;Result=3","7047356")</f>
        <v>0</v>
      </c>
      <c r="B401" t="s">
        <v>182</v>
      </c>
      <c r="C401" t="s">
        <v>3483</v>
      </c>
      <c r="D401" t="s">
        <v>16246</v>
      </c>
      <c r="E401" t="s">
        <v>16682</v>
      </c>
      <c r="F401" t="s">
        <v>28198</v>
      </c>
      <c r="G401" t="s">
        <v>28206</v>
      </c>
      <c r="H401" t="s">
        <v>28215</v>
      </c>
      <c r="I401" t="s">
        <v>4200</v>
      </c>
      <c r="J401" t="s">
        <v>28653</v>
      </c>
      <c r="K401" t="s">
        <v>36688</v>
      </c>
      <c r="M401" t="s">
        <v>37157</v>
      </c>
      <c r="N401" t="s">
        <v>40436</v>
      </c>
      <c r="O401" t="s">
        <v>40437</v>
      </c>
      <c r="P401">
        <v>0</v>
      </c>
      <c r="Q401">
        <v>0</v>
      </c>
      <c r="R401" t="s">
        <v>40438</v>
      </c>
      <c r="S401" t="s">
        <v>40582</v>
      </c>
      <c r="T401" t="s">
        <v>42158</v>
      </c>
      <c r="U401" t="s">
        <v>42973</v>
      </c>
      <c r="W401" t="s">
        <v>37157</v>
      </c>
      <c r="X401" t="s">
        <v>40439</v>
      </c>
    </row>
    <row r="402" spans="1:24">
      <c r="A402">
        <f>HYPERLINK("https://www.philgeps.gov.ph/GEPSNONPILOT/Tender/SplashBidNoticeAbstractUI.aspx?menuIndex=3&amp;refID=7047332&amp;Result=3","7047332")</f>
        <v>0</v>
      </c>
      <c r="B402" t="s">
        <v>226</v>
      </c>
      <c r="C402" t="s">
        <v>3484</v>
      </c>
      <c r="D402" t="s">
        <v>16202</v>
      </c>
      <c r="E402" t="s">
        <v>16683</v>
      </c>
      <c r="F402" t="s">
        <v>28198</v>
      </c>
      <c r="G402" t="s">
        <v>28207</v>
      </c>
      <c r="H402" t="s">
        <v>28215</v>
      </c>
      <c r="I402" t="s">
        <v>28225</v>
      </c>
      <c r="J402" t="s">
        <v>28526</v>
      </c>
      <c r="K402" t="s">
        <v>36688</v>
      </c>
      <c r="M402" t="s">
        <v>37202</v>
      </c>
      <c r="N402" t="s">
        <v>40436</v>
      </c>
      <c r="O402" t="s">
        <v>40437</v>
      </c>
      <c r="P402">
        <v>0</v>
      </c>
      <c r="Q402">
        <v>1</v>
      </c>
      <c r="R402" t="s">
        <v>40438</v>
      </c>
      <c r="S402" t="s">
        <v>40582</v>
      </c>
      <c r="T402" t="s">
        <v>42177</v>
      </c>
      <c r="U402" t="s">
        <v>42974</v>
      </c>
      <c r="V402" t="s">
        <v>53824</v>
      </c>
      <c r="W402" t="s">
        <v>37202</v>
      </c>
      <c r="X402" t="s">
        <v>40439</v>
      </c>
    </row>
    <row r="403" spans="1:24">
      <c r="A403">
        <f>HYPERLINK("https://www.philgeps.gov.ph/GEPSNONPILOT/Tender/SplashBidNoticeAbstractUI.aspx?menuIndex=3&amp;refID=7047337&amp;Result=3","7047337")</f>
        <v>0</v>
      </c>
      <c r="B403" t="s">
        <v>227</v>
      </c>
      <c r="C403" t="s">
        <v>3485</v>
      </c>
      <c r="D403" t="s">
        <v>16193</v>
      </c>
      <c r="E403" t="s">
        <v>16684</v>
      </c>
      <c r="F403" t="s">
        <v>28198</v>
      </c>
      <c r="G403" t="s">
        <v>28205</v>
      </c>
      <c r="H403" t="s">
        <v>28215</v>
      </c>
      <c r="I403" t="s">
        <v>4200</v>
      </c>
      <c r="J403" t="s">
        <v>28397</v>
      </c>
      <c r="K403" t="s">
        <v>36688</v>
      </c>
      <c r="M403" t="s">
        <v>37203</v>
      </c>
      <c r="N403" t="s">
        <v>40436</v>
      </c>
      <c r="O403" t="s">
        <v>40437</v>
      </c>
      <c r="P403">
        <v>0</v>
      </c>
      <c r="Q403">
        <v>0</v>
      </c>
      <c r="R403" t="s">
        <v>40438</v>
      </c>
      <c r="S403" t="s">
        <v>40582</v>
      </c>
      <c r="T403" t="s">
        <v>42102</v>
      </c>
      <c r="U403" t="s">
        <v>42975</v>
      </c>
      <c r="W403" t="s">
        <v>37203</v>
      </c>
      <c r="X403" t="s">
        <v>40439</v>
      </c>
    </row>
    <row r="404" spans="1:24">
      <c r="A404">
        <f>HYPERLINK("https://www.philgeps.gov.ph/GEPSNONPILOT/Tender/SplashBidNoticeAbstractUI.aspx?menuIndex=3&amp;refID=7047350&amp;Result=3","7047350")</f>
        <v>0</v>
      </c>
      <c r="B404" t="s">
        <v>228</v>
      </c>
      <c r="C404" t="s">
        <v>3486</v>
      </c>
      <c r="D404" t="s">
        <v>16223</v>
      </c>
      <c r="E404" t="s">
        <v>16685</v>
      </c>
      <c r="F404" t="s">
        <v>28198</v>
      </c>
      <c r="G404" t="s">
        <v>28205</v>
      </c>
      <c r="H404" t="s">
        <v>28214</v>
      </c>
      <c r="I404" t="s">
        <v>3797</v>
      </c>
      <c r="J404" t="s">
        <v>28347</v>
      </c>
      <c r="K404" t="s">
        <v>36727</v>
      </c>
      <c r="M404" t="s">
        <v>37204</v>
      </c>
      <c r="N404" t="s">
        <v>40436</v>
      </c>
      <c r="O404" t="s">
        <v>40437</v>
      </c>
      <c r="P404">
        <v>0</v>
      </c>
      <c r="Q404">
        <v>0</v>
      </c>
      <c r="R404" t="s">
        <v>40438</v>
      </c>
      <c r="S404" t="s">
        <v>40582</v>
      </c>
      <c r="T404" t="s">
        <v>42122</v>
      </c>
      <c r="U404" t="s">
        <v>42976</v>
      </c>
      <c r="W404" t="s">
        <v>37204</v>
      </c>
      <c r="X404" t="s">
        <v>40439</v>
      </c>
    </row>
    <row r="405" spans="1:24">
      <c r="A405">
        <f>HYPERLINK("https://www.philgeps.gov.ph/GEPSNONPILOT/Tender/SplashBidNoticeAbstractUI.aspx?menuIndex=3&amp;refID=7047353&amp;Result=3","7047353")</f>
        <v>0</v>
      </c>
      <c r="B405" t="s">
        <v>229</v>
      </c>
      <c r="C405" t="s">
        <v>3487</v>
      </c>
      <c r="D405" t="s">
        <v>16252</v>
      </c>
      <c r="E405" t="s">
        <v>16686</v>
      </c>
      <c r="F405" t="s">
        <v>28199</v>
      </c>
      <c r="G405" t="s">
        <v>28205</v>
      </c>
      <c r="H405" t="s">
        <v>28215</v>
      </c>
      <c r="I405" t="s">
        <v>4505</v>
      </c>
      <c r="J405" t="s">
        <v>28559</v>
      </c>
      <c r="K405" t="s">
        <v>36707</v>
      </c>
      <c r="M405" t="s">
        <v>37205</v>
      </c>
      <c r="N405" t="s">
        <v>40436</v>
      </c>
      <c r="O405" t="s">
        <v>40437</v>
      </c>
      <c r="P405">
        <v>0</v>
      </c>
      <c r="Q405">
        <v>1</v>
      </c>
      <c r="R405" t="s">
        <v>40438</v>
      </c>
      <c r="S405" t="s">
        <v>40582</v>
      </c>
      <c r="T405" t="s">
        <v>42166</v>
      </c>
      <c r="U405" t="s">
        <v>42977</v>
      </c>
      <c r="W405" t="s">
        <v>37205</v>
      </c>
      <c r="X405" t="s">
        <v>40439</v>
      </c>
    </row>
    <row r="406" spans="1:24">
      <c r="A406">
        <f>HYPERLINK("https://www.philgeps.gov.ph/GEPSNONPILOT/Tender/SplashBidNoticeAbstractUI.aspx?menuIndex=3&amp;refID=7047338&amp;Result=3","7047338")</f>
        <v>0</v>
      </c>
      <c r="B406" t="s">
        <v>230</v>
      </c>
      <c r="C406" t="s">
        <v>3488</v>
      </c>
      <c r="D406" t="s">
        <v>16246</v>
      </c>
      <c r="E406" t="s">
        <v>16687</v>
      </c>
      <c r="F406" t="s">
        <v>28198</v>
      </c>
      <c r="G406" t="s">
        <v>28205</v>
      </c>
      <c r="H406" t="s">
        <v>28215</v>
      </c>
      <c r="I406" t="s">
        <v>28241</v>
      </c>
      <c r="J406" t="s">
        <v>28654</v>
      </c>
      <c r="K406" t="s">
        <v>36694</v>
      </c>
      <c r="M406" t="s">
        <v>37206</v>
      </c>
      <c r="N406" t="s">
        <v>40436</v>
      </c>
      <c r="O406" t="s">
        <v>40437</v>
      </c>
      <c r="P406">
        <v>0</v>
      </c>
      <c r="Q406">
        <v>0</v>
      </c>
      <c r="R406" t="s">
        <v>40438</v>
      </c>
      <c r="S406" t="s">
        <v>40582</v>
      </c>
      <c r="T406" t="s">
        <v>42186</v>
      </c>
      <c r="U406" t="s">
        <v>42978</v>
      </c>
      <c r="W406" t="s">
        <v>37206</v>
      </c>
      <c r="X406" t="s">
        <v>40439</v>
      </c>
    </row>
    <row r="407" spans="1:24">
      <c r="A407">
        <f>HYPERLINK("https://www.philgeps.gov.ph/GEPSNONPILOT/Tender/SplashBidNoticeAbstractUI.aspx?menuIndex=3&amp;refID=7047355&amp;Result=3","7047355")</f>
        <v>0</v>
      </c>
      <c r="B407" t="s">
        <v>231</v>
      </c>
      <c r="C407" t="s">
        <v>3489</v>
      </c>
      <c r="E407" t="s">
        <v>16688</v>
      </c>
      <c r="F407" t="s">
        <v>28198</v>
      </c>
      <c r="G407" t="s">
        <v>28207</v>
      </c>
      <c r="H407" t="s">
        <v>28215</v>
      </c>
      <c r="I407" t="s">
        <v>28222</v>
      </c>
      <c r="J407" t="s">
        <v>28415</v>
      </c>
      <c r="K407" t="s">
        <v>36689</v>
      </c>
      <c r="M407" t="s">
        <v>37207</v>
      </c>
      <c r="N407" t="s">
        <v>40436</v>
      </c>
      <c r="O407" t="s">
        <v>40437</v>
      </c>
      <c r="P407">
        <v>0</v>
      </c>
      <c r="Q407">
        <v>1</v>
      </c>
      <c r="R407" t="s">
        <v>40438</v>
      </c>
      <c r="S407" t="s">
        <v>40582</v>
      </c>
      <c r="T407" t="s">
        <v>42187</v>
      </c>
      <c r="U407" t="s">
        <v>42979</v>
      </c>
      <c r="W407" t="s">
        <v>37207</v>
      </c>
      <c r="X407" t="s">
        <v>40439</v>
      </c>
    </row>
    <row r="408" spans="1:24">
      <c r="A408">
        <f>HYPERLINK("https://www.philgeps.gov.ph/GEPSNONPILOT/Tender/SplashBidNoticeAbstractUI.aspx?menuIndex=3&amp;refID=7047347&amp;Result=3","7047347")</f>
        <v>0</v>
      </c>
      <c r="B408" t="s">
        <v>232</v>
      </c>
      <c r="C408" t="s">
        <v>3490</v>
      </c>
      <c r="D408" t="s">
        <v>16244</v>
      </c>
      <c r="E408" t="s">
        <v>16689</v>
      </c>
      <c r="F408" t="s">
        <v>28198</v>
      </c>
      <c r="G408" t="s">
        <v>28207</v>
      </c>
      <c r="H408" t="s">
        <v>28215</v>
      </c>
      <c r="I408" t="s">
        <v>4200</v>
      </c>
      <c r="J408" t="s">
        <v>28655</v>
      </c>
      <c r="K408" t="s">
        <v>36696</v>
      </c>
      <c r="M408" t="s">
        <v>37208</v>
      </c>
      <c r="N408" t="s">
        <v>40436</v>
      </c>
      <c r="O408" t="s">
        <v>40437</v>
      </c>
      <c r="P408">
        <v>0</v>
      </c>
      <c r="Q408">
        <v>0</v>
      </c>
      <c r="R408" t="s">
        <v>40438</v>
      </c>
      <c r="S408" t="s">
        <v>40582</v>
      </c>
      <c r="T408" t="s">
        <v>42119</v>
      </c>
      <c r="U408" t="s">
        <v>42980</v>
      </c>
      <c r="W408" t="s">
        <v>37208</v>
      </c>
      <c r="X408" t="s">
        <v>40439</v>
      </c>
    </row>
    <row r="409" spans="1:24">
      <c r="A409">
        <f>HYPERLINK("https://www.philgeps.gov.ph/GEPSNONPILOT/Tender/SplashBidNoticeAbstractUI.aspx?menuIndex=3&amp;refID=7047352&amp;Result=3","7047352")</f>
        <v>0</v>
      </c>
      <c r="B409" t="s">
        <v>233</v>
      </c>
      <c r="C409" t="s">
        <v>3491</v>
      </c>
      <c r="E409" t="s">
        <v>16690</v>
      </c>
      <c r="F409" t="s">
        <v>28198</v>
      </c>
      <c r="G409" t="s">
        <v>28207</v>
      </c>
      <c r="H409" t="s">
        <v>28215</v>
      </c>
      <c r="I409" t="s">
        <v>4219</v>
      </c>
      <c r="J409" t="s">
        <v>28656</v>
      </c>
      <c r="K409" t="s">
        <v>36688</v>
      </c>
      <c r="M409" t="s">
        <v>37209</v>
      </c>
      <c r="N409" t="s">
        <v>40436</v>
      </c>
      <c r="O409" t="s">
        <v>40437</v>
      </c>
      <c r="P409">
        <v>0</v>
      </c>
      <c r="Q409">
        <v>0</v>
      </c>
      <c r="R409" t="s">
        <v>40438</v>
      </c>
      <c r="S409" t="s">
        <v>40582</v>
      </c>
      <c r="T409" t="s">
        <v>42124</v>
      </c>
      <c r="U409" t="s">
        <v>42981</v>
      </c>
      <c r="W409" t="s">
        <v>37209</v>
      </c>
      <c r="X409" t="s">
        <v>40439</v>
      </c>
    </row>
    <row r="410" spans="1:24">
      <c r="A410">
        <f>HYPERLINK("https://www.philgeps.gov.ph/GEPSNONPILOT/Tender/SplashBidNoticeAbstractUI.aspx?menuIndex=3&amp;refID=7047366&amp;Result=3","7047366")</f>
        <v>0</v>
      </c>
      <c r="B410" t="s">
        <v>234</v>
      </c>
      <c r="C410" t="s">
        <v>3492</v>
      </c>
      <c r="D410" t="s">
        <v>16253</v>
      </c>
      <c r="E410" t="s">
        <v>16691</v>
      </c>
      <c r="F410" t="s">
        <v>28198</v>
      </c>
      <c r="G410" t="s">
        <v>28205</v>
      </c>
      <c r="H410" t="s">
        <v>28215</v>
      </c>
      <c r="I410" t="s">
        <v>4200</v>
      </c>
      <c r="J410" t="s">
        <v>28345</v>
      </c>
      <c r="K410" t="s">
        <v>36701</v>
      </c>
      <c r="M410" t="s">
        <v>37210</v>
      </c>
      <c r="N410" t="s">
        <v>40436</v>
      </c>
      <c r="O410" t="s">
        <v>40437</v>
      </c>
      <c r="P410">
        <v>0</v>
      </c>
      <c r="Q410">
        <v>0</v>
      </c>
      <c r="R410" t="s">
        <v>40438</v>
      </c>
      <c r="S410" t="s">
        <v>40582</v>
      </c>
      <c r="T410" t="s">
        <v>42102</v>
      </c>
      <c r="U410" t="s">
        <v>42982</v>
      </c>
      <c r="W410" t="s">
        <v>37210</v>
      </c>
      <c r="X410" t="s">
        <v>40439</v>
      </c>
    </row>
    <row r="411" spans="1:24">
      <c r="A411">
        <f>HYPERLINK("https://www.philgeps.gov.ph/GEPSNONPILOT/Tender/SplashBidNoticeAbstractUI.aspx?menuIndex=3&amp;refID=7047346&amp;Result=3","7047346")</f>
        <v>0</v>
      </c>
      <c r="B411" t="s">
        <v>235</v>
      </c>
      <c r="C411" t="s">
        <v>3493</v>
      </c>
      <c r="D411" t="s">
        <v>16253</v>
      </c>
      <c r="E411" t="s">
        <v>16692</v>
      </c>
      <c r="F411" t="s">
        <v>28198</v>
      </c>
      <c r="G411" t="s">
        <v>28207</v>
      </c>
      <c r="H411" t="s">
        <v>28215</v>
      </c>
      <c r="I411" t="s">
        <v>4321</v>
      </c>
      <c r="J411" t="s">
        <v>28657</v>
      </c>
      <c r="K411" t="s">
        <v>36701</v>
      </c>
      <c r="M411" t="s">
        <v>37211</v>
      </c>
      <c r="N411" t="s">
        <v>40436</v>
      </c>
      <c r="O411" t="s">
        <v>40437</v>
      </c>
      <c r="P411">
        <v>0</v>
      </c>
      <c r="Q411">
        <v>1</v>
      </c>
      <c r="R411" t="s">
        <v>40438</v>
      </c>
      <c r="S411" t="s">
        <v>40582</v>
      </c>
      <c r="T411" t="s">
        <v>42119</v>
      </c>
      <c r="U411" t="s">
        <v>42983</v>
      </c>
      <c r="V411" t="s">
        <v>53825</v>
      </c>
      <c r="W411" t="s">
        <v>37211</v>
      </c>
      <c r="X411" t="s">
        <v>40439</v>
      </c>
    </row>
    <row r="412" spans="1:24">
      <c r="A412">
        <f>HYPERLINK("https://www.philgeps.gov.ph/GEPSNONPILOT/Tender/SplashBidNoticeAbstractUI.aspx?menuIndex=3&amp;refID=7047365&amp;Result=3","7047365")</f>
        <v>0</v>
      </c>
      <c r="B412" t="s">
        <v>220</v>
      </c>
      <c r="C412" t="s">
        <v>3475</v>
      </c>
      <c r="E412" t="s">
        <v>16693</v>
      </c>
      <c r="F412" t="s">
        <v>28198</v>
      </c>
      <c r="G412" t="s">
        <v>28206</v>
      </c>
      <c r="H412" t="s">
        <v>28215</v>
      </c>
      <c r="I412" t="s">
        <v>28247</v>
      </c>
      <c r="J412" t="s">
        <v>28658</v>
      </c>
      <c r="K412" t="s">
        <v>36689</v>
      </c>
      <c r="M412" t="s">
        <v>37196</v>
      </c>
      <c r="N412" t="s">
        <v>40436</v>
      </c>
      <c r="O412" t="s">
        <v>40437</v>
      </c>
      <c r="P412">
        <v>0</v>
      </c>
      <c r="Q412">
        <v>4</v>
      </c>
      <c r="R412" t="s">
        <v>40438</v>
      </c>
      <c r="S412" t="s">
        <v>40582</v>
      </c>
      <c r="T412" t="s">
        <v>42161</v>
      </c>
      <c r="U412" t="s">
        <v>42984</v>
      </c>
      <c r="W412" t="s">
        <v>37196</v>
      </c>
      <c r="X412" t="s">
        <v>40439</v>
      </c>
    </row>
    <row r="413" spans="1:24">
      <c r="A413">
        <f>HYPERLINK("https://www.philgeps.gov.ph/GEPSNONPILOT/Tender/SplashBidNoticeAbstractUI.aspx?menuIndex=3&amp;refID=7047351&amp;Result=3","7047351")</f>
        <v>0</v>
      </c>
      <c r="B413" t="s">
        <v>236</v>
      </c>
      <c r="C413" t="s">
        <v>3494</v>
      </c>
      <c r="D413" t="s">
        <v>16200</v>
      </c>
      <c r="E413" t="s">
        <v>16694</v>
      </c>
      <c r="F413" t="s">
        <v>28198</v>
      </c>
      <c r="G413" t="s">
        <v>28207</v>
      </c>
      <c r="H413" t="s">
        <v>28215</v>
      </c>
      <c r="I413" t="s">
        <v>28270</v>
      </c>
      <c r="J413" t="s">
        <v>28659</v>
      </c>
      <c r="K413" t="s">
        <v>36691</v>
      </c>
      <c r="M413" t="s">
        <v>37212</v>
      </c>
      <c r="N413" t="s">
        <v>40436</v>
      </c>
      <c r="O413" t="s">
        <v>40437</v>
      </c>
      <c r="P413">
        <v>0</v>
      </c>
      <c r="Q413">
        <v>1</v>
      </c>
      <c r="R413" t="s">
        <v>40438</v>
      </c>
      <c r="S413" t="s">
        <v>40582</v>
      </c>
      <c r="T413" t="s">
        <v>42119</v>
      </c>
      <c r="U413" t="s">
        <v>42985</v>
      </c>
      <c r="W413" t="s">
        <v>37212</v>
      </c>
      <c r="X413" t="s">
        <v>40439</v>
      </c>
    </row>
    <row r="414" spans="1:24">
      <c r="A414">
        <f>HYPERLINK("https://www.philgeps.gov.ph/GEPSNONPILOT/Tender/SplashBidNoticeAbstractUI.aspx?menuIndex=3&amp;refID=7047363&amp;Result=3","7047363")</f>
        <v>0</v>
      </c>
      <c r="B414" t="s">
        <v>237</v>
      </c>
      <c r="C414" t="s">
        <v>3495</v>
      </c>
      <c r="D414" t="s">
        <v>16197</v>
      </c>
      <c r="E414" t="s">
        <v>16695</v>
      </c>
      <c r="F414" t="s">
        <v>28198</v>
      </c>
      <c r="G414" t="s">
        <v>28207</v>
      </c>
      <c r="H414" t="s">
        <v>28214</v>
      </c>
      <c r="I414" t="s">
        <v>28236</v>
      </c>
      <c r="J414" t="s">
        <v>28660</v>
      </c>
      <c r="K414" t="s">
        <v>36696</v>
      </c>
      <c r="M414" t="s">
        <v>37213</v>
      </c>
      <c r="N414" t="s">
        <v>40436</v>
      </c>
      <c r="O414" t="s">
        <v>40437</v>
      </c>
      <c r="P414">
        <v>0</v>
      </c>
      <c r="Q414">
        <v>0</v>
      </c>
      <c r="R414" t="s">
        <v>40438</v>
      </c>
      <c r="S414" t="s">
        <v>40582</v>
      </c>
      <c r="T414" t="s">
        <v>42144</v>
      </c>
      <c r="U414" t="s">
        <v>42986</v>
      </c>
      <c r="W414" t="s">
        <v>37213</v>
      </c>
      <c r="X414" t="s">
        <v>40439</v>
      </c>
    </row>
    <row r="415" spans="1:24">
      <c r="A415">
        <f>HYPERLINK("https://www.philgeps.gov.ph/GEPSNONPILOT/Tender/SplashBidNoticeAbstractUI.aspx?menuIndex=3&amp;refID=7047348&amp;Result=3","7047348")</f>
        <v>0</v>
      </c>
      <c r="B415" t="s">
        <v>238</v>
      </c>
      <c r="C415" t="s">
        <v>3496</v>
      </c>
      <c r="D415" t="s">
        <v>16235</v>
      </c>
      <c r="E415" t="s">
        <v>16696</v>
      </c>
      <c r="F415" t="s">
        <v>28198</v>
      </c>
      <c r="G415" t="s">
        <v>28205</v>
      </c>
      <c r="H415" t="s">
        <v>28215</v>
      </c>
      <c r="I415" t="s">
        <v>4168</v>
      </c>
      <c r="J415" t="s">
        <v>28661</v>
      </c>
      <c r="K415" t="s">
        <v>36689</v>
      </c>
      <c r="M415" t="s">
        <v>37214</v>
      </c>
      <c r="N415" t="s">
        <v>40436</v>
      </c>
      <c r="O415" t="s">
        <v>40437</v>
      </c>
      <c r="P415">
        <v>0</v>
      </c>
      <c r="Q415">
        <v>0</v>
      </c>
      <c r="R415" t="s">
        <v>40438</v>
      </c>
      <c r="S415" t="s">
        <v>40582</v>
      </c>
      <c r="T415" t="s">
        <v>42130</v>
      </c>
      <c r="U415" t="s">
        <v>42987</v>
      </c>
      <c r="V415" t="s">
        <v>53826</v>
      </c>
      <c r="W415" t="s">
        <v>37214</v>
      </c>
      <c r="X415" t="s">
        <v>40439</v>
      </c>
    </row>
    <row r="416" spans="1:24">
      <c r="A416">
        <f>HYPERLINK("https://www.philgeps.gov.ph/GEPSNONPILOT/Tender/SplashBidNoticeAbstractUI.aspx?menuIndex=3&amp;refID=7047344&amp;Result=3","7047344")</f>
        <v>0</v>
      </c>
      <c r="B416" t="s">
        <v>239</v>
      </c>
      <c r="C416" t="s">
        <v>3497</v>
      </c>
      <c r="D416" t="s">
        <v>16235</v>
      </c>
      <c r="E416" t="s">
        <v>16697</v>
      </c>
      <c r="F416" t="s">
        <v>28198</v>
      </c>
      <c r="G416" t="s">
        <v>28207</v>
      </c>
      <c r="H416" t="s">
        <v>28216</v>
      </c>
      <c r="I416" t="s">
        <v>28216</v>
      </c>
      <c r="J416" t="s">
        <v>28398</v>
      </c>
      <c r="K416" t="s">
        <v>36728</v>
      </c>
      <c r="M416" t="s">
        <v>37215</v>
      </c>
      <c r="N416" t="s">
        <v>40436</v>
      </c>
      <c r="O416" t="s">
        <v>40437</v>
      </c>
      <c r="P416">
        <v>0</v>
      </c>
      <c r="Q416">
        <v>0</v>
      </c>
      <c r="R416" t="s">
        <v>40438</v>
      </c>
      <c r="S416" t="s">
        <v>40582</v>
      </c>
      <c r="T416" t="s">
        <v>42142</v>
      </c>
      <c r="U416" t="s">
        <v>42988</v>
      </c>
      <c r="W416" t="s">
        <v>37215</v>
      </c>
      <c r="X416" t="s">
        <v>40439</v>
      </c>
    </row>
    <row r="417" spans="1:24">
      <c r="A417">
        <f>HYPERLINK("https://www.philgeps.gov.ph/GEPSNONPILOT/Tender/SplashBidNoticeAbstractUI.aspx?menuIndex=3&amp;refID=7047360&amp;Result=3","7047360")</f>
        <v>0</v>
      </c>
      <c r="B417" t="s">
        <v>240</v>
      </c>
      <c r="C417" t="s">
        <v>3498</v>
      </c>
      <c r="D417" t="s">
        <v>16249</v>
      </c>
      <c r="E417" t="s">
        <v>16698</v>
      </c>
      <c r="F417" t="s">
        <v>28198</v>
      </c>
      <c r="G417" t="s">
        <v>28205</v>
      </c>
      <c r="H417" t="s">
        <v>28215</v>
      </c>
      <c r="I417" t="s">
        <v>28271</v>
      </c>
      <c r="J417" t="s">
        <v>28629</v>
      </c>
      <c r="K417" t="s">
        <v>36688</v>
      </c>
      <c r="M417" t="s">
        <v>37216</v>
      </c>
      <c r="N417" t="s">
        <v>40436</v>
      </c>
      <c r="O417" t="s">
        <v>40437</v>
      </c>
      <c r="P417">
        <v>0</v>
      </c>
      <c r="Q417">
        <v>1</v>
      </c>
      <c r="R417" t="s">
        <v>40438</v>
      </c>
      <c r="S417" t="s">
        <v>40582</v>
      </c>
      <c r="T417" t="s">
        <v>42102</v>
      </c>
      <c r="U417" t="s">
        <v>42989</v>
      </c>
      <c r="W417" t="s">
        <v>37216</v>
      </c>
      <c r="X417" t="s">
        <v>40439</v>
      </c>
    </row>
    <row r="418" spans="1:24">
      <c r="A418">
        <f>HYPERLINK("https://www.philgeps.gov.ph/GEPSNONPILOT/Tender/SplashBidNoticeAbstractUI.aspx?menuIndex=3&amp;refID=7047364&amp;Result=3","7047364")</f>
        <v>0</v>
      </c>
      <c r="B418" t="s">
        <v>129</v>
      </c>
      <c r="C418" t="s">
        <v>3499</v>
      </c>
      <c r="D418" t="s">
        <v>16210</v>
      </c>
      <c r="E418" t="s">
        <v>16699</v>
      </c>
      <c r="F418" t="s">
        <v>28198</v>
      </c>
      <c r="G418" t="s">
        <v>28206</v>
      </c>
      <c r="H418" t="s">
        <v>28215</v>
      </c>
      <c r="I418" t="s">
        <v>8888</v>
      </c>
      <c r="J418" t="s">
        <v>28662</v>
      </c>
      <c r="K418" t="s">
        <v>36706</v>
      </c>
      <c r="M418" t="s">
        <v>37151</v>
      </c>
      <c r="N418" t="s">
        <v>40436</v>
      </c>
      <c r="O418" t="s">
        <v>40437</v>
      </c>
      <c r="P418">
        <v>0</v>
      </c>
      <c r="Q418">
        <v>4</v>
      </c>
      <c r="R418" t="s">
        <v>40438</v>
      </c>
      <c r="S418" t="s">
        <v>40582</v>
      </c>
      <c r="T418" t="s">
        <v>42156</v>
      </c>
      <c r="U418" t="s">
        <v>42990</v>
      </c>
      <c r="V418" t="s">
        <v>53812</v>
      </c>
      <c r="W418" t="s">
        <v>37151</v>
      </c>
      <c r="X418" t="s">
        <v>40439</v>
      </c>
    </row>
    <row r="419" spans="1:24">
      <c r="A419">
        <f>HYPERLINK("https://www.philgeps.gov.ph/GEPSNONPILOT/Tender/SplashBidNoticeAbstractUI.aspx?menuIndex=3&amp;refID=7047362&amp;Result=3","7047362")</f>
        <v>0</v>
      </c>
      <c r="B419" t="s">
        <v>216</v>
      </c>
      <c r="C419" t="s">
        <v>3500</v>
      </c>
      <c r="D419" t="s">
        <v>16210</v>
      </c>
      <c r="E419" t="s">
        <v>16700</v>
      </c>
      <c r="F419" t="s">
        <v>28198</v>
      </c>
      <c r="G419" t="s">
        <v>28207</v>
      </c>
      <c r="H419" t="s">
        <v>28215</v>
      </c>
      <c r="I419" t="s">
        <v>5100</v>
      </c>
      <c r="J419" t="s">
        <v>28395</v>
      </c>
      <c r="K419" t="s">
        <v>36707</v>
      </c>
      <c r="M419" t="s">
        <v>37192</v>
      </c>
      <c r="N419" t="s">
        <v>40436</v>
      </c>
      <c r="O419" t="s">
        <v>40437</v>
      </c>
      <c r="P419">
        <v>0</v>
      </c>
      <c r="Q419">
        <v>0</v>
      </c>
      <c r="R419" t="s">
        <v>40438</v>
      </c>
      <c r="S419" t="s">
        <v>40582</v>
      </c>
      <c r="T419" t="s">
        <v>42119</v>
      </c>
      <c r="U419" t="s">
        <v>42991</v>
      </c>
      <c r="V419" t="s">
        <v>53819</v>
      </c>
      <c r="W419" t="s">
        <v>37192</v>
      </c>
      <c r="X419" t="s">
        <v>40439</v>
      </c>
    </row>
    <row r="420" spans="1:24">
      <c r="A420">
        <f>HYPERLINK("https://www.philgeps.gov.ph/GEPSNONPILOT/Tender/SplashBidNoticeAbstractUI.aspx?menuIndex=3&amp;refID=7047367&amp;Result=3","7047367")</f>
        <v>0</v>
      </c>
      <c r="B420" t="s">
        <v>241</v>
      </c>
      <c r="C420" t="s">
        <v>3501</v>
      </c>
      <c r="D420" t="s">
        <v>16200</v>
      </c>
      <c r="E420" t="s">
        <v>16701</v>
      </c>
      <c r="F420" t="s">
        <v>28198</v>
      </c>
      <c r="G420" t="s">
        <v>28205</v>
      </c>
      <c r="H420" t="s">
        <v>28215</v>
      </c>
      <c r="I420" t="s">
        <v>28222</v>
      </c>
      <c r="J420" t="s">
        <v>28663</v>
      </c>
      <c r="K420" t="s">
        <v>36701</v>
      </c>
      <c r="M420" t="s">
        <v>37217</v>
      </c>
      <c r="N420" t="s">
        <v>40436</v>
      </c>
      <c r="O420" t="s">
        <v>40437</v>
      </c>
      <c r="P420">
        <v>0</v>
      </c>
      <c r="Q420">
        <v>4</v>
      </c>
      <c r="R420" t="s">
        <v>40438</v>
      </c>
      <c r="S420" t="s">
        <v>40582</v>
      </c>
      <c r="T420" t="s">
        <v>42115</v>
      </c>
      <c r="U420" t="s">
        <v>42992</v>
      </c>
      <c r="V420" t="s">
        <v>53827</v>
      </c>
      <c r="W420" t="s">
        <v>37217</v>
      </c>
      <c r="X420" t="s">
        <v>40439</v>
      </c>
    </row>
    <row r="421" spans="1:24">
      <c r="A421">
        <f>HYPERLINK("https://www.philgeps.gov.ph/GEPSNONPILOT/Tender/SplashBidNoticeAbstractUI.aspx?menuIndex=3&amp;refID=7047358&amp;Result=3","7047358")</f>
        <v>0</v>
      </c>
      <c r="B421" t="s">
        <v>242</v>
      </c>
      <c r="C421" t="s">
        <v>3502</v>
      </c>
      <c r="D421" t="s">
        <v>16254</v>
      </c>
      <c r="E421" t="s">
        <v>16702</v>
      </c>
      <c r="F421" t="s">
        <v>28198</v>
      </c>
      <c r="G421" t="s">
        <v>28207</v>
      </c>
      <c r="H421" t="s">
        <v>28215</v>
      </c>
      <c r="I421" t="s">
        <v>4168</v>
      </c>
      <c r="J421" t="s">
        <v>28664</v>
      </c>
      <c r="K421" t="s">
        <v>36707</v>
      </c>
      <c r="M421" t="s">
        <v>37218</v>
      </c>
      <c r="N421" t="s">
        <v>40436</v>
      </c>
      <c r="O421" t="s">
        <v>40437</v>
      </c>
      <c r="P421">
        <v>0</v>
      </c>
      <c r="Q421">
        <v>1</v>
      </c>
      <c r="R421" t="s">
        <v>40438</v>
      </c>
      <c r="S421" t="s">
        <v>40582</v>
      </c>
      <c r="T421" t="s">
        <v>42176</v>
      </c>
      <c r="U421" t="s">
        <v>42993</v>
      </c>
      <c r="V421" t="s">
        <v>53828</v>
      </c>
      <c r="W421" t="s">
        <v>37218</v>
      </c>
      <c r="X421" t="s">
        <v>40439</v>
      </c>
    </row>
    <row r="422" spans="1:24">
      <c r="A422">
        <f>HYPERLINK("https://www.philgeps.gov.ph/GEPSNONPILOT/Tender/SplashBidNoticeAbstractUI.aspx?menuIndex=3&amp;refID=7047345&amp;Result=3","7047345")</f>
        <v>0</v>
      </c>
      <c r="B422" t="s">
        <v>176</v>
      </c>
      <c r="C422" t="s">
        <v>3503</v>
      </c>
      <c r="D422" t="s">
        <v>16217</v>
      </c>
      <c r="E422" t="s">
        <v>16703</v>
      </c>
      <c r="F422" t="s">
        <v>28198</v>
      </c>
      <c r="G422" t="s">
        <v>28207</v>
      </c>
      <c r="H422" t="s">
        <v>28215</v>
      </c>
      <c r="I422" t="s">
        <v>28251</v>
      </c>
      <c r="J422" t="s">
        <v>28665</v>
      </c>
      <c r="K422" t="s">
        <v>36701</v>
      </c>
      <c r="M422" t="s">
        <v>37150</v>
      </c>
      <c r="N422" t="s">
        <v>40436</v>
      </c>
      <c r="O422" t="s">
        <v>40437</v>
      </c>
      <c r="P422">
        <v>0</v>
      </c>
      <c r="Q422">
        <v>0</v>
      </c>
      <c r="R422" t="s">
        <v>40438</v>
      </c>
      <c r="S422" t="s">
        <v>40582</v>
      </c>
      <c r="T422" t="s">
        <v>42112</v>
      </c>
      <c r="U422" t="s">
        <v>42994</v>
      </c>
      <c r="W422" t="s">
        <v>37150</v>
      </c>
      <c r="X422" t="s">
        <v>40439</v>
      </c>
    </row>
    <row r="423" spans="1:24">
      <c r="A423">
        <f>HYPERLINK("https://www.philgeps.gov.ph/GEPSNONPILOT/Tender/SplashBidNoticeAbstractUI.aspx?menuIndex=3&amp;refID=7047371&amp;Result=3","7047371")</f>
        <v>0</v>
      </c>
      <c r="B423" t="s">
        <v>171</v>
      </c>
      <c r="C423" t="s">
        <v>3504</v>
      </c>
      <c r="E423" t="s">
        <v>16704</v>
      </c>
      <c r="F423" t="s">
        <v>28198</v>
      </c>
      <c r="G423" t="s">
        <v>28207</v>
      </c>
      <c r="H423" t="s">
        <v>28215</v>
      </c>
      <c r="I423" t="s">
        <v>28234</v>
      </c>
      <c r="J423" t="s">
        <v>28414</v>
      </c>
      <c r="K423" t="s">
        <v>36701</v>
      </c>
      <c r="M423" t="s">
        <v>37145</v>
      </c>
      <c r="N423" t="s">
        <v>40436</v>
      </c>
      <c r="O423" t="s">
        <v>40437</v>
      </c>
      <c r="P423">
        <v>0</v>
      </c>
      <c r="Q423">
        <v>2</v>
      </c>
      <c r="R423" t="s">
        <v>40438</v>
      </c>
      <c r="S423" t="s">
        <v>40582</v>
      </c>
      <c r="T423" t="s">
        <v>42167</v>
      </c>
      <c r="U423" t="s">
        <v>42995</v>
      </c>
      <c r="V423" t="s">
        <v>53829</v>
      </c>
      <c r="W423" t="s">
        <v>39085</v>
      </c>
      <c r="X423" t="s">
        <v>40439</v>
      </c>
    </row>
    <row r="424" spans="1:24">
      <c r="A424">
        <f>HYPERLINK("https://www.philgeps.gov.ph/GEPSNONPILOT/Tender/SplashBidNoticeAbstractUI.aspx?menuIndex=3&amp;refID=7047375&amp;Result=3","7047375")</f>
        <v>0</v>
      </c>
      <c r="B424" t="s">
        <v>243</v>
      </c>
      <c r="C424" t="s">
        <v>3505</v>
      </c>
      <c r="D424" t="s">
        <v>16193</v>
      </c>
      <c r="E424" t="s">
        <v>16705</v>
      </c>
      <c r="F424" t="s">
        <v>28198</v>
      </c>
      <c r="G424" t="s">
        <v>28205</v>
      </c>
      <c r="H424" t="s">
        <v>28214</v>
      </c>
      <c r="I424" t="s">
        <v>3797</v>
      </c>
      <c r="J424" t="s">
        <v>28666</v>
      </c>
      <c r="K424" t="s">
        <v>36715</v>
      </c>
      <c r="M424" t="s">
        <v>37219</v>
      </c>
      <c r="N424" t="s">
        <v>40436</v>
      </c>
      <c r="O424" t="s">
        <v>40437</v>
      </c>
      <c r="P424">
        <v>0</v>
      </c>
      <c r="Q424">
        <v>0</v>
      </c>
      <c r="R424" t="s">
        <v>40438</v>
      </c>
      <c r="S424" t="s">
        <v>40582</v>
      </c>
      <c r="T424" t="s">
        <v>42188</v>
      </c>
      <c r="U424" t="s">
        <v>42996</v>
      </c>
      <c r="V424" t="s">
        <v>53830</v>
      </c>
      <c r="W424" t="s">
        <v>37219</v>
      </c>
      <c r="X424" t="s">
        <v>40439</v>
      </c>
    </row>
    <row r="425" spans="1:24">
      <c r="A425">
        <f>HYPERLINK("https://www.philgeps.gov.ph/GEPSNONPILOT/Tender/SplashBidNoticeAbstractUI.aspx?menuIndex=3&amp;refID=7047388&amp;Result=3","7047388")</f>
        <v>0</v>
      </c>
      <c r="B425" t="s">
        <v>188</v>
      </c>
      <c r="C425" t="s">
        <v>3506</v>
      </c>
      <c r="D425" t="s">
        <v>16241</v>
      </c>
      <c r="E425" t="s">
        <v>16706</v>
      </c>
      <c r="F425" t="s">
        <v>28198</v>
      </c>
      <c r="G425" t="s">
        <v>28207</v>
      </c>
      <c r="H425" t="s">
        <v>28215</v>
      </c>
      <c r="I425" t="s">
        <v>28270</v>
      </c>
      <c r="J425" t="s">
        <v>28667</v>
      </c>
      <c r="K425" t="s">
        <v>36701</v>
      </c>
      <c r="M425" t="s">
        <v>37163</v>
      </c>
      <c r="N425" t="s">
        <v>40436</v>
      </c>
      <c r="O425" t="s">
        <v>40437</v>
      </c>
      <c r="P425">
        <v>0</v>
      </c>
      <c r="Q425">
        <v>3</v>
      </c>
      <c r="R425" t="s">
        <v>40438</v>
      </c>
      <c r="S425" t="s">
        <v>40582</v>
      </c>
      <c r="T425" t="s">
        <v>42175</v>
      </c>
      <c r="U425" t="s">
        <v>42997</v>
      </c>
      <c r="V425" t="s">
        <v>53831</v>
      </c>
      <c r="W425" t="s">
        <v>37163</v>
      </c>
      <c r="X425" t="s">
        <v>40439</v>
      </c>
    </row>
    <row r="426" spans="1:24">
      <c r="A426">
        <f>HYPERLINK("https://www.philgeps.gov.ph/GEPSNONPILOT/Tender/SplashBidNoticeAbstractUI.aspx?menuIndex=3&amp;refID=7047370&amp;Result=3","7047370")</f>
        <v>0</v>
      </c>
      <c r="B426" t="s">
        <v>223</v>
      </c>
      <c r="C426" t="s">
        <v>3507</v>
      </c>
      <c r="D426" t="s">
        <v>16217</v>
      </c>
      <c r="E426" t="s">
        <v>16707</v>
      </c>
      <c r="F426" t="s">
        <v>28198</v>
      </c>
      <c r="G426" t="s">
        <v>28207</v>
      </c>
      <c r="H426" t="s">
        <v>28215</v>
      </c>
      <c r="I426" t="s">
        <v>3774</v>
      </c>
      <c r="J426" t="s">
        <v>28668</v>
      </c>
      <c r="K426" t="s">
        <v>36688</v>
      </c>
      <c r="M426" t="s">
        <v>37199</v>
      </c>
      <c r="N426" t="s">
        <v>40436</v>
      </c>
      <c r="O426" t="s">
        <v>40437</v>
      </c>
      <c r="P426">
        <v>0</v>
      </c>
      <c r="Q426">
        <v>0</v>
      </c>
      <c r="R426" t="s">
        <v>40438</v>
      </c>
      <c r="S426" t="s">
        <v>40582</v>
      </c>
      <c r="T426" t="s">
        <v>42119</v>
      </c>
      <c r="U426" t="s">
        <v>42970</v>
      </c>
      <c r="W426" t="s">
        <v>55438</v>
      </c>
      <c r="X426" t="s">
        <v>40439</v>
      </c>
    </row>
    <row r="427" spans="1:24">
      <c r="A427">
        <f>HYPERLINK("https://www.philgeps.gov.ph/GEPSNONPILOT/Tender/SplashBidNoticeAbstractUI.aspx?menuIndex=3&amp;refID=7047386&amp;Result=3","7047386")</f>
        <v>0</v>
      </c>
      <c r="B427" t="s">
        <v>244</v>
      </c>
      <c r="C427" t="s">
        <v>3508</v>
      </c>
      <c r="D427" t="s">
        <v>16199</v>
      </c>
      <c r="E427" t="s">
        <v>3508</v>
      </c>
      <c r="F427" t="s">
        <v>28198</v>
      </c>
      <c r="G427" t="s">
        <v>28209</v>
      </c>
      <c r="H427" t="s">
        <v>28214</v>
      </c>
      <c r="I427" t="s">
        <v>3797</v>
      </c>
      <c r="J427" t="s">
        <v>28669</v>
      </c>
      <c r="K427" t="s">
        <v>36691</v>
      </c>
      <c r="M427" t="s">
        <v>37220</v>
      </c>
      <c r="N427" t="s">
        <v>40436</v>
      </c>
      <c r="O427" t="s">
        <v>40437</v>
      </c>
      <c r="P427">
        <v>0</v>
      </c>
      <c r="Q427">
        <v>0</v>
      </c>
      <c r="R427" t="s">
        <v>40438</v>
      </c>
      <c r="S427" t="s">
        <v>40582</v>
      </c>
      <c r="T427" t="s">
        <v>42142</v>
      </c>
      <c r="U427" t="s">
        <v>42998</v>
      </c>
      <c r="W427" t="s">
        <v>37220</v>
      </c>
      <c r="X427" t="s">
        <v>40439</v>
      </c>
    </row>
    <row r="428" spans="1:24">
      <c r="A428">
        <f>HYPERLINK("https://www.philgeps.gov.ph/GEPSNONPILOT/Tender/SplashBidNoticeAbstractUI.aspx?menuIndex=3&amp;refID=7047387&amp;Result=3","7047387")</f>
        <v>0</v>
      </c>
      <c r="B428" t="s">
        <v>245</v>
      </c>
      <c r="C428" t="s">
        <v>3509</v>
      </c>
      <c r="D428" t="s">
        <v>16210</v>
      </c>
      <c r="E428" t="s">
        <v>16708</v>
      </c>
      <c r="F428" t="s">
        <v>28198</v>
      </c>
      <c r="G428" t="s">
        <v>28207</v>
      </c>
      <c r="H428" t="s">
        <v>28215</v>
      </c>
      <c r="I428" t="s">
        <v>5103</v>
      </c>
      <c r="J428" t="s">
        <v>28670</v>
      </c>
      <c r="K428" t="s">
        <v>36688</v>
      </c>
      <c r="M428" t="s">
        <v>37221</v>
      </c>
      <c r="N428" t="s">
        <v>40436</v>
      </c>
      <c r="O428" t="s">
        <v>40437</v>
      </c>
      <c r="P428">
        <v>0</v>
      </c>
      <c r="Q428">
        <v>2</v>
      </c>
      <c r="R428" t="s">
        <v>40438</v>
      </c>
      <c r="S428" t="s">
        <v>40582</v>
      </c>
      <c r="T428" t="s">
        <v>42103</v>
      </c>
      <c r="U428" t="s">
        <v>42999</v>
      </c>
      <c r="W428" t="s">
        <v>37221</v>
      </c>
      <c r="X428" t="s">
        <v>40439</v>
      </c>
    </row>
    <row r="429" spans="1:24">
      <c r="A429">
        <f>HYPERLINK("https://www.philgeps.gov.ph/GEPSNONPILOT/Tender/SplashBidNoticeAbstractUI.aspx?menuIndex=3&amp;refID=7047373&amp;Result=3","7047373")</f>
        <v>0</v>
      </c>
      <c r="B429" t="s">
        <v>246</v>
      </c>
      <c r="C429" t="s">
        <v>3510</v>
      </c>
      <c r="D429" t="s">
        <v>16228</v>
      </c>
      <c r="E429" t="s">
        <v>16709</v>
      </c>
      <c r="F429" t="s">
        <v>28198</v>
      </c>
      <c r="G429" t="s">
        <v>28206</v>
      </c>
      <c r="H429" t="s">
        <v>28215</v>
      </c>
      <c r="I429" t="s">
        <v>3422</v>
      </c>
      <c r="J429" t="s">
        <v>28671</v>
      </c>
      <c r="K429" t="s">
        <v>36691</v>
      </c>
      <c r="M429" t="s">
        <v>37222</v>
      </c>
      <c r="N429" t="s">
        <v>40436</v>
      </c>
      <c r="O429" t="s">
        <v>40437</v>
      </c>
      <c r="P429">
        <v>0</v>
      </c>
      <c r="Q429">
        <v>0</v>
      </c>
      <c r="R429" t="s">
        <v>40438</v>
      </c>
      <c r="S429" t="s">
        <v>40582</v>
      </c>
      <c r="T429" t="s">
        <v>42160</v>
      </c>
      <c r="U429" t="s">
        <v>43000</v>
      </c>
      <c r="W429" t="s">
        <v>37222</v>
      </c>
      <c r="X429" t="s">
        <v>40439</v>
      </c>
    </row>
    <row r="430" spans="1:24">
      <c r="A430">
        <f>HYPERLINK("https://www.philgeps.gov.ph/GEPSNONPILOT/Tender/SplashBidNoticeAbstractUI.aspx?menuIndex=3&amp;refID=7047385&amp;Result=3","7047385")</f>
        <v>0</v>
      </c>
      <c r="B430" t="s">
        <v>177</v>
      </c>
      <c r="C430" t="s">
        <v>3511</v>
      </c>
      <c r="D430" t="s">
        <v>16228</v>
      </c>
      <c r="E430" t="s">
        <v>16710</v>
      </c>
      <c r="F430" t="s">
        <v>28198</v>
      </c>
      <c r="G430" t="s">
        <v>28205</v>
      </c>
      <c r="H430" t="s">
        <v>28217</v>
      </c>
      <c r="I430" t="s">
        <v>28222</v>
      </c>
      <c r="J430" t="s">
        <v>28351</v>
      </c>
      <c r="K430" t="s">
        <v>36697</v>
      </c>
      <c r="M430" t="s">
        <v>37152</v>
      </c>
      <c r="N430" t="s">
        <v>40436</v>
      </c>
      <c r="O430" t="s">
        <v>40437</v>
      </c>
      <c r="P430">
        <v>0</v>
      </c>
      <c r="Q430">
        <v>4</v>
      </c>
      <c r="R430" t="s">
        <v>40438</v>
      </c>
      <c r="S430" t="s">
        <v>40582</v>
      </c>
      <c r="T430" t="s">
        <v>42170</v>
      </c>
      <c r="U430" t="s">
        <v>43001</v>
      </c>
      <c r="V430" t="s">
        <v>53832</v>
      </c>
      <c r="W430" t="s">
        <v>37152</v>
      </c>
      <c r="X430" t="s">
        <v>40439</v>
      </c>
    </row>
    <row r="431" spans="1:24">
      <c r="A431">
        <f>HYPERLINK("https://www.philgeps.gov.ph/GEPSNONPILOT/Tender/SplashBidNoticeAbstractUI.aspx?menuIndex=3&amp;refID=7047389&amp;Result=3","7047389")</f>
        <v>0</v>
      </c>
      <c r="B431" t="s">
        <v>243</v>
      </c>
      <c r="C431" t="s">
        <v>3512</v>
      </c>
      <c r="D431" t="s">
        <v>16193</v>
      </c>
      <c r="E431" t="s">
        <v>16711</v>
      </c>
      <c r="F431" t="s">
        <v>28198</v>
      </c>
      <c r="G431" t="s">
        <v>28205</v>
      </c>
      <c r="H431" t="s">
        <v>28214</v>
      </c>
      <c r="I431" t="s">
        <v>3797</v>
      </c>
      <c r="J431" t="s">
        <v>28672</v>
      </c>
      <c r="K431" t="s">
        <v>36701</v>
      </c>
      <c r="M431" t="s">
        <v>37219</v>
      </c>
      <c r="N431" t="s">
        <v>40436</v>
      </c>
      <c r="O431" t="s">
        <v>40437</v>
      </c>
      <c r="P431">
        <v>0</v>
      </c>
      <c r="Q431">
        <v>0</v>
      </c>
      <c r="R431" t="s">
        <v>40438</v>
      </c>
      <c r="S431" t="s">
        <v>40582</v>
      </c>
      <c r="T431" t="s">
        <v>42188</v>
      </c>
      <c r="U431" t="s">
        <v>43002</v>
      </c>
      <c r="V431" t="s">
        <v>53830</v>
      </c>
      <c r="W431" t="s">
        <v>37219</v>
      </c>
      <c r="X431" t="s">
        <v>40439</v>
      </c>
    </row>
    <row r="432" spans="1:24">
      <c r="A432">
        <f>HYPERLINK("https://www.philgeps.gov.ph/GEPSNONPILOT/Tender/SplashBidNoticeAbstractUI.aspx?menuIndex=3&amp;refID=7047368&amp;Result=3","7047368")</f>
        <v>0</v>
      </c>
      <c r="B432" t="s">
        <v>247</v>
      </c>
      <c r="C432" t="s">
        <v>3513</v>
      </c>
      <c r="D432" t="s">
        <v>16197</v>
      </c>
      <c r="E432" t="s">
        <v>16352</v>
      </c>
      <c r="F432" t="s">
        <v>28198</v>
      </c>
      <c r="G432" t="s">
        <v>28205</v>
      </c>
      <c r="H432" t="s">
        <v>28215</v>
      </c>
      <c r="I432" t="s">
        <v>5100</v>
      </c>
      <c r="J432" t="s">
        <v>28673</v>
      </c>
      <c r="K432" t="s">
        <v>36706</v>
      </c>
      <c r="M432" t="s">
        <v>37223</v>
      </c>
      <c r="N432" t="s">
        <v>40436</v>
      </c>
      <c r="O432" t="s">
        <v>40437</v>
      </c>
      <c r="P432">
        <v>0</v>
      </c>
      <c r="Q432">
        <v>0</v>
      </c>
      <c r="R432" t="s">
        <v>40438</v>
      </c>
      <c r="S432" t="s">
        <v>40582</v>
      </c>
      <c r="T432" t="s">
        <v>42112</v>
      </c>
      <c r="U432" t="s">
        <v>43003</v>
      </c>
      <c r="V432" t="s">
        <v>53833</v>
      </c>
      <c r="W432" t="s">
        <v>37223</v>
      </c>
      <c r="X432" t="s">
        <v>40439</v>
      </c>
    </row>
    <row r="433" spans="1:24">
      <c r="A433">
        <f>HYPERLINK("https://www.philgeps.gov.ph/GEPSNONPILOT/Tender/SplashBidNoticeAbstractUI.aspx?menuIndex=3&amp;refID=7047382&amp;Result=3","7047382")</f>
        <v>0</v>
      </c>
      <c r="B433" t="s">
        <v>26</v>
      </c>
      <c r="C433" t="s">
        <v>3514</v>
      </c>
      <c r="D433" t="s">
        <v>16189</v>
      </c>
      <c r="E433" t="s">
        <v>16712</v>
      </c>
      <c r="F433" t="s">
        <v>28198</v>
      </c>
      <c r="G433" t="s">
        <v>28205</v>
      </c>
      <c r="H433" t="s">
        <v>28215</v>
      </c>
      <c r="I433" t="s">
        <v>28225</v>
      </c>
      <c r="J433" t="s">
        <v>28674</v>
      </c>
      <c r="K433" t="s">
        <v>36695</v>
      </c>
      <c r="M433" t="s">
        <v>37178</v>
      </c>
      <c r="N433" t="s">
        <v>40436</v>
      </c>
      <c r="O433" t="s">
        <v>40437</v>
      </c>
      <c r="P433">
        <v>0</v>
      </c>
      <c r="Q433">
        <v>4</v>
      </c>
      <c r="R433" t="s">
        <v>40438</v>
      </c>
      <c r="S433" t="s">
        <v>40582</v>
      </c>
      <c r="T433" t="s">
        <v>42099</v>
      </c>
      <c r="U433" t="s">
        <v>43004</v>
      </c>
      <c r="W433" t="s">
        <v>55436</v>
      </c>
      <c r="X433" t="s">
        <v>40439</v>
      </c>
    </row>
    <row r="434" spans="1:24">
      <c r="A434">
        <f>HYPERLINK("https://www.philgeps.gov.ph/GEPSNONPILOT/Tender/SplashBidNoticeAbstractUI.aspx?menuIndex=3&amp;refID=7047384&amp;Result=3","7047384")</f>
        <v>0</v>
      </c>
      <c r="B434" t="s">
        <v>214</v>
      </c>
      <c r="C434" t="s">
        <v>3515</v>
      </c>
      <c r="D434" t="s">
        <v>16251</v>
      </c>
      <c r="E434" t="s">
        <v>16713</v>
      </c>
      <c r="F434" t="s">
        <v>28198</v>
      </c>
      <c r="G434" t="s">
        <v>28205</v>
      </c>
      <c r="H434" t="s">
        <v>28214</v>
      </c>
      <c r="I434" t="s">
        <v>3797</v>
      </c>
      <c r="J434" t="s">
        <v>28675</v>
      </c>
      <c r="K434" t="s">
        <v>36701</v>
      </c>
      <c r="M434" t="s">
        <v>37190</v>
      </c>
      <c r="N434" t="s">
        <v>40436</v>
      </c>
      <c r="O434" t="s">
        <v>40437</v>
      </c>
      <c r="P434">
        <v>0</v>
      </c>
      <c r="Q434">
        <v>0</v>
      </c>
      <c r="R434" t="s">
        <v>40438</v>
      </c>
      <c r="S434" t="s">
        <v>40582</v>
      </c>
      <c r="T434" t="s">
        <v>42183</v>
      </c>
      <c r="U434" t="s">
        <v>43005</v>
      </c>
      <c r="W434" t="s">
        <v>37190</v>
      </c>
      <c r="X434" t="s">
        <v>40439</v>
      </c>
    </row>
    <row r="435" spans="1:24">
      <c r="A435">
        <f>HYPERLINK("https://www.philgeps.gov.ph/GEPSNONPILOT/Tender/SplashBidNoticeAbstractUI.aspx?menuIndex=3&amp;refID=7047377&amp;Result=3","7047377")</f>
        <v>0</v>
      </c>
      <c r="B435" t="s">
        <v>248</v>
      </c>
      <c r="C435" t="s">
        <v>3516</v>
      </c>
      <c r="D435" t="s">
        <v>16221</v>
      </c>
      <c r="E435" t="s">
        <v>16714</v>
      </c>
      <c r="F435" t="s">
        <v>28198</v>
      </c>
      <c r="G435" t="s">
        <v>28205</v>
      </c>
      <c r="H435" t="s">
        <v>28215</v>
      </c>
      <c r="I435" t="s">
        <v>8888</v>
      </c>
      <c r="J435" t="s">
        <v>28393</v>
      </c>
      <c r="K435" t="s">
        <v>36688</v>
      </c>
      <c r="M435" t="s">
        <v>37224</v>
      </c>
      <c r="N435" t="s">
        <v>40436</v>
      </c>
      <c r="O435" t="s">
        <v>40437</v>
      </c>
      <c r="P435">
        <v>0</v>
      </c>
      <c r="Q435">
        <v>2</v>
      </c>
      <c r="R435" t="s">
        <v>40438</v>
      </c>
      <c r="S435" t="s">
        <v>40582</v>
      </c>
      <c r="T435" t="s">
        <v>42108</v>
      </c>
      <c r="U435" t="s">
        <v>43006</v>
      </c>
      <c r="W435" t="s">
        <v>37224</v>
      </c>
      <c r="X435" t="s">
        <v>40439</v>
      </c>
    </row>
    <row r="436" spans="1:24">
      <c r="A436">
        <f>HYPERLINK("https://www.philgeps.gov.ph/GEPSNONPILOT/Tender/SplashBidNoticeAbstractUI.aspx?menuIndex=3&amp;refID=7047383&amp;Result=3","7047383")</f>
        <v>0</v>
      </c>
      <c r="B436" t="s">
        <v>204</v>
      </c>
      <c r="C436" t="s">
        <v>3517</v>
      </c>
      <c r="D436" t="s">
        <v>16187</v>
      </c>
      <c r="E436" t="s">
        <v>16715</v>
      </c>
      <c r="F436" t="s">
        <v>28198</v>
      </c>
      <c r="G436" t="s">
        <v>28207</v>
      </c>
      <c r="H436" t="s">
        <v>28215</v>
      </c>
      <c r="I436" t="s">
        <v>28253</v>
      </c>
      <c r="J436" t="s">
        <v>28676</v>
      </c>
      <c r="K436" t="s">
        <v>36694</v>
      </c>
      <c r="M436" t="s">
        <v>37180</v>
      </c>
      <c r="N436" t="s">
        <v>40436</v>
      </c>
      <c r="O436" t="s">
        <v>40437</v>
      </c>
      <c r="P436">
        <v>0</v>
      </c>
      <c r="Q436">
        <v>1</v>
      </c>
      <c r="R436" t="s">
        <v>40438</v>
      </c>
      <c r="S436" t="s">
        <v>40582</v>
      </c>
      <c r="T436" t="s">
        <v>42097</v>
      </c>
      <c r="U436" t="s">
        <v>43007</v>
      </c>
      <c r="W436" t="s">
        <v>37180</v>
      </c>
      <c r="X436" t="s">
        <v>40439</v>
      </c>
    </row>
    <row r="437" spans="1:24">
      <c r="A437">
        <f>HYPERLINK("https://www.philgeps.gov.ph/GEPSNONPILOT/Tender/SplashBidNoticeAbstractUI.aspx?menuIndex=3&amp;refID=7047381&amp;Result=3","7047381")</f>
        <v>0</v>
      </c>
      <c r="B437" t="s">
        <v>249</v>
      </c>
      <c r="C437" t="s">
        <v>3518</v>
      </c>
      <c r="D437" t="s">
        <v>16254</v>
      </c>
      <c r="E437" t="s">
        <v>16716</v>
      </c>
      <c r="F437" t="s">
        <v>28198</v>
      </c>
      <c r="G437" t="s">
        <v>28206</v>
      </c>
      <c r="H437" t="s">
        <v>28215</v>
      </c>
      <c r="I437" t="s">
        <v>28265</v>
      </c>
      <c r="J437" t="s">
        <v>28677</v>
      </c>
      <c r="K437" t="s">
        <v>36688</v>
      </c>
      <c r="L437" t="s">
        <v>249</v>
      </c>
      <c r="M437" t="s">
        <v>37225</v>
      </c>
      <c r="N437" t="s">
        <v>40436</v>
      </c>
      <c r="O437" t="s">
        <v>40437</v>
      </c>
      <c r="P437">
        <v>0</v>
      </c>
      <c r="Q437">
        <v>0</v>
      </c>
      <c r="R437" t="s">
        <v>40438</v>
      </c>
      <c r="S437" t="s">
        <v>40582</v>
      </c>
      <c r="T437" t="s">
        <v>42163</v>
      </c>
      <c r="U437" t="s">
        <v>43008</v>
      </c>
      <c r="V437" t="s">
        <v>53834</v>
      </c>
      <c r="W437" t="s">
        <v>37225</v>
      </c>
      <c r="X437" t="s">
        <v>40439</v>
      </c>
    </row>
    <row r="438" spans="1:24">
      <c r="A438">
        <f>HYPERLINK("https://www.philgeps.gov.ph/GEPSNONPILOT/Tender/SplashBidNoticeAbstractUI.aspx?menuIndex=3&amp;refID=7047376&amp;Result=3","7047376")</f>
        <v>0</v>
      </c>
      <c r="B438" t="s">
        <v>250</v>
      </c>
      <c r="C438" t="s">
        <v>3519</v>
      </c>
      <c r="D438" t="s">
        <v>16190</v>
      </c>
      <c r="E438" t="s">
        <v>16717</v>
      </c>
      <c r="F438" t="s">
        <v>28198</v>
      </c>
      <c r="G438" t="s">
        <v>28205</v>
      </c>
      <c r="H438" t="s">
        <v>28214</v>
      </c>
      <c r="I438" t="s">
        <v>3797</v>
      </c>
      <c r="J438" t="s">
        <v>28678</v>
      </c>
      <c r="K438" t="s">
        <v>36729</v>
      </c>
      <c r="M438" t="s">
        <v>37226</v>
      </c>
      <c r="N438" t="s">
        <v>40436</v>
      </c>
      <c r="O438" t="s">
        <v>40437</v>
      </c>
      <c r="P438">
        <v>0</v>
      </c>
      <c r="Q438">
        <v>2</v>
      </c>
      <c r="R438" t="s">
        <v>40438</v>
      </c>
      <c r="S438" t="s">
        <v>40582</v>
      </c>
      <c r="T438" t="s">
        <v>42108</v>
      </c>
      <c r="U438" t="s">
        <v>43009</v>
      </c>
      <c r="W438" t="s">
        <v>37226</v>
      </c>
      <c r="X438" t="s">
        <v>40439</v>
      </c>
    </row>
    <row r="439" spans="1:24">
      <c r="A439">
        <f>HYPERLINK("https://www.philgeps.gov.ph/GEPSNONPILOT/Tender/SplashBidNoticeAbstractUI.aspx?menuIndex=3&amp;refID=7047391&amp;Result=3","7047391")</f>
        <v>0</v>
      </c>
      <c r="B439" t="s">
        <v>251</v>
      </c>
      <c r="C439" t="s">
        <v>3520</v>
      </c>
      <c r="D439" t="s">
        <v>16188</v>
      </c>
      <c r="E439" t="s">
        <v>16718</v>
      </c>
      <c r="F439" t="s">
        <v>28198</v>
      </c>
      <c r="G439" t="s">
        <v>28210</v>
      </c>
      <c r="H439" t="s">
        <v>28215</v>
      </c>
      <c r="I439" t="s">
        <v>4168</v>
      </c>
      <c r="J439" t="s">
        <v>28679</v>
      </c>
      <c r="K439" t="s">
        <v>36689</v>
      </c>
      <c r="M439" t="s">
        <v>37227</v>
      </c>
      <c r="N439" t="s">
        <v>40436</v>
      </c>
      <c r="O439" t="s">
        <v>40437</v>
      </c>
      <c r="P439">
        <v>0</v>
      </c>
      <c r="Q439">
        <v>0</v>
      </c>
      <c r="R439" t="s">
        <v>40438</v>
      </c>
      <c r="S439" t="s">
        <v>40582</v>
      </c>
      <c r="T439" t="s">
        <v>42111</v>
      </c>
      <c r="U439" t="s">
        <v>43010</v>
      </c>
      <c r="W439" t="s">
        <v>37227</v>
      </c>
      <c r="X439" t="s">
        <v>40439</v>
      </c>
    </row>
    <row r="440" spans="1:24">
      <c r="A440">
        <f>HYPERLINK("https://www.philgeps.gov.ph/GEPSNONPILOT/Tender/SplashBidNoticeAbstractUI.aspx?menuIndex=3&amp;refID=7047390&amp;Result=3","7047390")</f>
        <v>0</v>
      </c>
      <c r="B440" t="s">
        <v>252</v>
      </c>
      <c r="C440" t="s">
        <v>3521</v>
      </c>
      <c r="D440" t="s">
        <v>16218</v>
      </c>
      <c r="E440" t="s">
        <v>16719</v>
      </c>
      <c r="F440" t="s">
        <v>28198</v>
      </c>
      <c r="G440" t="s">
        <v>28207</v>
      </c>
      <c r="H440" t="s">
        <v>28215</v>
      </c>
      <c r="I440" t="s">
        <v>4168</v>
      </c>
      <c r="J440" t="s">
        <v>28680</v>
      </c>
      <c r="K440" t="s">
        <v>36701</v>
      </c>
      <c r="M440" t="s">
        <v>37228</v>
      </c>
      <c r="N440" t="s">
        <v>40436</v>
      </c>
      <c r="O440" t="s">
        <v>40437</v>
      </c>
      <c r="P440">
        <v>0</v>
      </c>
      <c r="Q440">
        <v>1</v>
      </c>
      <c r="R440" t="s">
        <v>40438</v>
      </c>
      <c r="S440" t="s">
        <v>40582</v>
      </c>
      <c r="T440" t="s">
        <v>42160</v>
      </c>
      <c r="U440" t="s">
        <v>43011</v>
      </c>
      <c r="W440" t="s">
        <v>37228</v>
      </c>
      <c r="X440" t="s">
        <v>40439</v>
      </c>
    </row>
    <row r="441" spans="1:24">
      <c r="A441">
        <f>HYPERLINK("https://www.philgeps.gov.ph/GEPSNONPILOT/Tender/SplashBidNoticeAbstractUI.aspx?menuIndex=3&amp;refID=7047392&amp;Result=3","7047392")</f>
        <v>0</v>
      </c>
      <c r="B441" t="s">
        <v>253</v>
      </c>
      <c r="C441" t="s">
        <v>3522</v>
      </c>
      <c r="D441" t="s">
        <v>16188</v>
      </c>
      <c r="E441" t="s">
        <v>16720</v>
      </c>
      <c r="F441" t="s">
        <v>28198</v>
      </c>
      <c r="G441" t="s">
        <v>28207</v>
      </c>
      <c r="H441" t="s">
        <v>28215</v>
      </c>
      <c r="I441" t="s">
        <v>28272</v>
      </c>
      <c r="J441" t="s">
        <v>28406</v>
      </c>
      <c r="K441" t="s">
        <v>36707</v>
      </c>
      <c r="M441" t="s">
        <v>37229</v>
      </c>
      <c r="N441" t="s">
        <v>40436</v>
      </c>
      <c r="O441" t="s">
        <v>40437</v>
      </c>
      <c r="P441">
        <v>0</v>
      </c>
      <c r="Q441">
        <v>2</v>
      </c>
      <c r="R441" t="s">
        <v>40438</v>
      </c>
      <c r="S441" t="s">
        <v>40582</v>
      </c>
      <c r="T441" t="s">
        <v>42119</v>
      </c>
      <c r="U441" t="s">
        <v>43012</v>
      </c>
      <c r="W441" t="s">
        <v>37229</v>
      </c>
      <c r="X441" t="s">
        <v>40439</v>
      </c>
    </row>
    <row r="442" spans="1:24">
      <c r="A442">
        <f>HYPERLINK("https://www.philgeps.gov.ph/GEPSNONPILOT/Tender/SplashBidNoticeAbstractUI.aspx?menuIndex=3&amp;refID=7047378&amp;Result=3","7047378")</f>
        <v>0</v>
      </c>
      <c r="B442" t="s">
        <v>96</v>
      </c>
      <c r="C442" t="s">
        <v>3523</v>
      </c>
      <c r="D442" t="s">
        <v>16225</v>
      </c>
      <c r="E442" t="s">
        <v>16721</v>
      </c>
      <c r="F442" t="s">
        <v>28198</v>
      </c>
      <c r="G442" t="s">
        <v>28205</v>
      </c>
      <c r="H442" t="s">
        <v>28215</v>
      </c>
      <c r="I442" t="s">
        <v>28220</v>
      </c>
      <c r="J442" t="s">
        <v>28406</v>
      </c>
      <c r="K442" t="s">
        <v>36694</v>
      </c>
      <c r="M442" t="s">
        <v>37068</v>
      </c>
      <c r="N442" t="s">
        <v>40436</v>
      </c>
      <c r="O442" t="s">
        <v>40437</v>
      </c>
      <c r="P442">
        <v>0</v>
      </c>
      <c r="Q442">
        <v>1</v>
      </c>
      <c r="R442" t="s">
        <v>40438</v>
      </c>
      <c r="S442" t="s">
        <v>40582</v>
      </c>
      <c r="T442" t="s">
        <v>42144</v>
      </c>
      <c r="U442" t="s">
        <v>43013</v>
      </c>
      <c r="W442" t="s">
        <v>37068</v>
      </c>
      <c r="X442" t="s">
        <v>40439</v>
      </c>
    </row>
    <row r="443" spans="1:24">
      <c r="A443">
        <f>HYPERLINK("https://www.philgeps.gov.ph/GEPSNONPILOT/Tender/SplashBidNoticeAbstractUI.aspx?menuIndex=3&amp;refID=7047394&amp;Result=3","7047394")</f>
        <v>0</v>
      </c>
      <c r="B443" t="s">
        <v>254</v>
      </c>
      <c r="C443" t="s">
        <v>3524</v>
      </c>
      <c r="D443" t="s">
        <v>16255</v>
      </c>
      <c r="E443" t="s">
        <v>16722</v>
      </c>
      <c r="F443" t="s">
        <v>28198</v>
      </c>
      <c r="G443" t="s">
        <v>28205</v>
      </c>
      <c r="H443" t="s">
        <v>28215</v>
      </c>
      <c r="I443" t="s">
        <v>5100</v>
      </c>
      <c r="J443" t="s">
        <v>28681</v>
      </c>
      <c r="K443" t="s">
        <v>36730</v>
      </c>
      <c r="L443" t="s">
        <v>254</v>
      </c>
      <c r="M443" t="s">
        <v>37230</v>
      </c>
      <c r="N443" t="s">
        <v>40436</v>
      </c>
      <c r="O443" t="s">
        <v>40437</v>
      </c>
      <c r="P443">
        <v>0</v>
      </c>
      <c r="Q443">
        <v>0</v>
      </c>
      <c r="R443" t="s">
        <v>40438</v>
      </c>
      <c r="S443" t="s">
        <v>40582</v>
      </c>
      <c r="T443" t="s">
        <v>42118</v>
      </c>
      <c r="U443" t="s">
        <v>43014</v>
      </c>
      <c r="V443" t="s">
        <v>53835</v>
      </c>
      <c r="W443" t="s">
        <v>37230</v>
      </c>
      <c r="X443" t="s">
        <v>40439</v>
      </c>
    </row>
    <row r="444" spans="1:24">
      <c r="A444">
        <f>HYPERLINK("https://www.philgeps.gov.ph/GEPSNONPILOT/Tender/SplashBidNoticeAbstractUI.aspx?menuIndex=3&amp;refID=7047404&amp;Result=3","7047404")</f>
        <v>0</v>
      </c>
      <c r="B444" t="s">
        <v>167</v>
      </c>
      <c r="C444" t="s">
        <v>3525</v>
      </c>
      <c r="D444" t="s">
        <v>16242</v>
      </c>
      <c r="E444" t="s">
        <v>16723</v>
      </c>
      <c r="F444" t="s">
        <v>28198</v>
      </c>
      <c r="G444" t="s">
        <v>28205</v>
      </c>
      <c r="H444" t="s">
        <v>28215</v>
      </c>
      <c r="I444" t="s">
        <v>5791</v>
      </c>
      <c r="J444" t="s">
        <v>28682</v>
      </c>
      <c r="K444" t="s">
        <v>36689</v>
      </c>
      <c r="M444" t="s">
        <v>37141</v>
      </c>
      <c r="N444" t="s">
        <v>40436</v>
      </c>
      <c r="O444" t="s">
        <v>40437</v>
      </c>
      <c r="P444">
        <v>0</v>
      </c>
      <c r="Q444">
        <v>0</v>
      </c>
      <c r="R444" t="s">
        <v>40438</v>
      </c>
      <c r="S444" t="s">
        <v>40582</v>
      </c>
      <c r="T444" t="s">
        <v>42166</v>
      </c>
      <c r="U444" t="s">
        <v>43015</v>
      </c>
      <c r="W444" t="s">
        <v>37141</v>
      </c>
      <c r="X444" t="s">
        <v>40439</v>
      </c>
    </row>
    <row r="445" spans="1:24">
      <c r="A445">
        <f>HYPERLINK("https://www.philgeps.gov.ph/GEPSNONPILOT/Tender/SplashBidNoticeAbstractUI.aspx?menuIndex=3&amp;refID=7047400&amp;Result=3","7047400")</f>
        <v>0</v>
      </c>
      <c r="B445" t="s">
        <v>166</v>
      </c>
      <c r="C445" t="s">
        <v>3526</v>
      </c>
      <c r="D445" t="s">
        <v>16235</v>
      </c>
      <c r="E445" t="s">
        <v>16724</v>
      </c>
      <c r="F445" t="s">
        <v>28198</v>
      </c>
      <c r="G445" t="s">
        <v>28205</v>
      </c>
      <c r="H445" t="s">
        <v>28215</v>
      </c>
      <c r="I445" t="s">
        <v>28238</v>
      </c>
      <c r="J445" t="s">
        <v>28589</v>
      </c>
      <c r="K445" t="s">
        <v>36707</v>
      </c>
      <c r="M445" t="s">
        <v>37140</v>
      </c>
      <c r="N445" t="s">
        <v>40436</v>
      </c>
      <c r="O445" t="s">
        <v>40437</v>
      </c>
      <c r="P445">
        <v>0</v>
      </c>
      <c r="Q445">
        <v>0</v>
      </c>
      <c r="R445" t="s">
        <v>40438</v>
      </c>
      <c r="S445" t="s">
        <v>40582</v>
      </c>
      <c r="T445" t="s">
        <v>42165</v>
      </c>
      <c r="U445" t="s">
        <v>43016</v>
      </c>
      <c r="W445" t="s">
        <v>37140</v>
      </c>
      <c r="X445" t="s">
        <v>40439</v>
      </c>
    </row>
    <row r="446" spans="1:24">
      <c r="A446">
        <f>HYPERLINK("https://www.philgeps.gov.ph/GEPSNONPILOT/Tender/SplashBidNoticeAbstractUI.aspx?menuIndex=3&amp;refID=7047408&amp;Result=3","7047408")</f>
        <v>0</v>
      </c>
      <c r="B446" t="s">
        <v>255</v>
      </c>
      <c r="C446" t="s">
        <v>3527</v>
      </c>
      <c r="D446" t="s">
        <v>16197</v>
      </c>
      <c r="E446" t="s">
        <v>16725</v>
      </c>
      <c r="F446" t="s">
        <v>28198</v>
      </c>
      <c r="G446" t="s">
        <v>28205</v>
      </c>
      <c r="H446" t="s">
        <v>28214</v>
      </c>
      <c r="I446" t="s">
        <v>5100</v>
      </c>
      <c r="J446" t="s">
        <v>28683</v>
      </c>
      <c r="K446" t="s">
        <v>36731</v>
      </c>
      <c r="M446" t="s">
        <v>37231</v>
      </c>
      <c r="N446" t="s">
        <v>40436</v>
      </c>
      <c r="O446" t="s">
        <v>40437</v>
      </c>
      <c r="P446">
        <v>0</v>
      </c>
      <c r="Q446">
        <v>2</v>
      </c>
      <c r="R446" t="s">
        <v>40438</v>
      </c>
      <c r="S446" t="s">
        <v>40582</v>
      </c>
      <c r="T446" t="s">
        <v>42189</v>
      </c>
      <c r="U446" t="s">
        <v>43017</v>
      </c>
      <c r="V446" t="s">
        <v>53836</v>
      </c>
      <c r="W446" t="s">
        <v>37231</v>
      </c>
      <c r="X446" t="s">
        <v>40439</v>
      </c>
    </row>
    <row r="447" spans="1:24">
      <c r="A447">
        <f>HYPERLINK("https://www.philgeps.gov.ph/GEPSNONPILOT/Tender/SplashBidNoticeAbstractUI.aspx?menuIndex=3&amp;refID=7047399&amp;Result=3","7047399")</f>
        <v>0</v>
      </c>
      <c r="B447" t="s">
        <v>256</v>
      </c>
      <c r="C447" t="s">
        <v>3528</v>
      </c>
      <c r="D447" t="s">
        <v>16206</v>
      </c>
      <c r="E447" t="s">
        <v>16726</v>
      </c>
      <c r="F447" t="s">
        <v>28198</v>
      </c>
      <c r="G447" t="s">
        <v>28205</v>
      </c>
      <c r="H447" t="s">
        <v>28215</v>
      </c>
      <c r="I447" t="s">
        <v>28231</v>
      </c>
      <c r="J447" t="s">
        <v>28684</v>
      </c>
      <c r="K447" t="s">
        <v>36732</v>
      </c>
      <c r="M447" t="s">
        <v>37232</v>
      </c>
      <c r="N447" t="s">
        <v>40436</v>
      </c>
      <c r="O447" t="s">
        <v>40437</v>
      </c>
      <c r="P447">
        <v>0</v>
      </c>
      <c r="Q447">
        <v>1</v>
      </c>
      <c r="R447" t="s">
        <v>40438</v>
      </c>
      <c r="S447" t="s">
        <v>40582</v>
      </c>
      <c r="T447" t="s">
        <v>42125</v>
      </c>
      <c r="U447" t="s">
        <v>43018</v>
      </c>
      <c r="W447" t="s">
        <v>37232</v>
      </c>
      <c r="X447" t="s">
        <v>40439</v>
      </c>
    </row>
    <row r="448" spans="1:24">
      <c r="A448">
        <f>HYPERLINK("https://www.philgeps.gov.ph/GEPSNONPILOT/Tender/SplashBidNoticeAbstractUI.aspx?menuIndex=3&amp;refID=7047402&amp;Result=3","7047402")</f>
        <v>0</v>
      </c>
      <c r="B448" t="s">
        <v>257</v>
      </c>
      <c r="C448" t="s">
        <v>3529</v>
      </c>
      <c r="D448" t="s">
        <v>16193</v>
      </c>
      <c r="E448" t="s">
        <v>16727</v>
      </c>
      <c r="F448" t="s">
        <v>28198</v>
      </c>
      <c r="G448" t="s">
        <v>28205</v>
      </c>
      <c r="H448" t="s">
        <v>28214</v>
      </c>
      <c r="I448" t="s">
        <v>3797</v>
      </c>
      <c r="J448" t="s">
        <v>28685</v>
      </c>
      <c r="K448" t="s">
        <v>36692</v>
      </c>
      <c r="M448" t="s">
        <v>37233</v>
      </c>
      <c r="N448" t="s">
        <v>40436</v>
      </c>
      <c r="O448" t="s">
        <v>40437</v>
      </c>
      <c r="P448">
        <v>0</v>
      </c>
      <c r="Q448">
        <v>0</v>
      </c>
      <c r="R448" t="s">
        <v>40438</v>
      </c>
      <c r="S448" t="s">
        <v>40582</v>
      </c>
      <c r="T448" t="s">
        <v>42118</v>
      </c>
      <c r="U448" t="s">
        <v>43019</v>
      </c>
      <c r="W448" t="s">
        <v>37233</v>
      </c>
      <c r="X448" t="s">
        <v>40439</v>
      </c>
    </row>
    <row r="449" spans="1:24">
      <c r="A449">
        <f>HYPERLINK("https://www.philgeps.gov.ph/GEPSNONPILOT/Tender/SplashBidNoticeAbstractUI.aspx?menuIndex=3&amp;refID=7047398&amp;Result=3","7047398")</f>
        <v>0</v>
      </c>
      <c r="B449" t="s">
        <v>258</v>
      </c>
      <c r="C449" t="s">
        <v>3530</v>
      </c>
      <c r="D449" t="s">
        <v>16256</v>
      </c>
      <c r="E449" t="s">
        <v>16728</v>
      </c>
      <c r="F449" t="s">
        <v>28198</v>
      </c>
      <c r="G449" t="s">
        <v>28205</v>
      </c>
      <c r="H449" t="s">
        <v>28214</v>
      </c>
      <c r="I449" t="s">
        <v>3797</v>
      </c>
      <c r="J449" t="s">
        <v>28686</v>
      </c>
      <c r="K449" t="s">
        <v>36733</v>
      </c>
      <c r="M449" t="s">
        <v>37234</v>
      </c>
      <c r="N449" t="s">
        <v>40436</v>
      </c>
      <c r="O449" t="s">
        <v>40437</v>
      </c>
      <c r="P449">
        <v>0</v>
      </c>
      <c r="Q449">
        <v>0</v>
      </c>
      <c r="R449" t="s">
        <v>40438</v>
      </c>
      <c r="S449" t="s">
        <v>40582</v>
      </c>
      <c r="T449" t="s">
        <v>42125</v>
      </c>
      <c r="U449" t="s">
        <v>43020</v>
      </c>
      <c r="W449" t="s">
        <v>37234</v>
      </c>
      <c r="X449" t="s">
        <v>40439</v>
      </c>
    </row>
    <row r="450" spans="1:24">
      <c r="A450">
        <f>HYPERLINK("https://www.philgeps.gov.ph/GEPSNONPILOT/Tender/SplashBidNoticeAbstractUI.aspx?menuIndex=3&amp;refID=7047403&amp;Result=3","7047403")</f>
        <v>0</v>
      </c>
      <c r="B450" t="s">
        <v>259</v>
      </c>
      <c r="C450" t="s">
        <v>3531</v>
      </c>
      <c r="D450" t="s">
        <v>16241</v>
      </c>
      <c r="E450" t="s">
        <v>16729</v>
      </c>
      <c r="F450" t="s">
        <v>28198</v>
      </c>
      <c r="G450" t="s">
        <v>28206</v>
      </c>
      <c r="H450" t="s">
        <v>28215</v>
      </c>
      <c r="I450" t="s">
        <v>4219</v>
      </c>
      <c r="J450" t="s">
        <v>28687</v>
      </c>
      <c r="K450" t="s">
        <v>36693</v>
      </c>
      <c r="M450" t="s">
        <v>37235</v>
      </c>
      <c r="N450" t="s">
        <v>40436</v>
      </c>
      <c r="O450" t="s">
        <v>40437</v>
      </c>
      <c r="P450">
        <v>0</v>
      </c>
      <c r="Q450">
        <v>0</v>
      </c>
      <c r="R450" t="s">
        <v>40438</v>
      </c>
      <c r="S450" t="s">
        <v>40582</v>
      </c>
      <c r="T450" t="s">
        <v>42160</v>
      </c>
      <c r="U450" t="s">
        <v>43021</v>
      </c>
      <c r="V450" t="s">
        <v>53837</v>
      </c>
      <c r="W450" t="s">
        <v>37235</v>
      </c>
      <c r="X450" t="s">
        <v>40439</v>
      </c>
    </row>
    <row r="451" spans="1:24">
      <c r="A451">
        <f>HYPERLINK("https://www.philgeps.gov.ph/GEPSNONPILOT/Tender/SplashBidNoticeAbstractUI.aspx?menuIndex=3&amp;refID=7047396&amp;Result=3","7047396")</f>
        <v>0</v>
      </c>
      <c r="B451" t="s">
        <v>260</v>
      </c>
      <c r="C451" t="s">
        <v>3532</v>
      </c>
      <c r="D451" t="s">
        <v>16192</v>
      </c>
      <c r="E451" t="s">
        <v>16730</v>
      </c>
      <c r="F451" t="s">
        <v>28198</v>
      </c>
      <c r="G451" t="s">
        <v>28206</v>
      </c>
      <c r="H451" t="s">
        <v>28215</v>
      </c>
      <c r="I451" t="s">
        <v>28228</v>
      </c>
      <c r="J451" t="s">
        <v>28436</v>
      </c>
      <c r="K451" t="s">
        <v>36707</v>
      </c>
      <c r="M451" t="s">
        <v>37236</v>
      </c>
      <c r="N451" t="s">
        <v>40436</v>
      </c>
      <c r="O451" t="s">
        <v>40437</v>
      </c>
      <c r="P451">
        <v>0</v>
      </c>
      <c r="Q451">
        <v>0</v>
      </c>
      <c r="R451" t="s">
        <v>40438</v>
      </c>
      <c r="S451" t="s">
        <v>40582</v>
      </c>
      <c r="T451" t="s">
        <v>42190</v>
      </c>
      <c r="U451" t="s">
        <v>43022</v>
      </c>
      <c r="W451" t="s">
        <v>37236</v>
      </c>
      <c r="X451" t="s">
        <v>40439</v>
      </c>
    </row>
    <row r="452" spans="1:24">
      <c r="A452">
        <f>HYPERLINK("https://www.philgeps.gov.ph/GEPSNONPILOT/Tender/SplashBidNoticeAbstractUI.aspx?menuIndex=3&amp;refID=7047397&amp;Result=3","7047397")</f>
        <v>0</v>
      </c>
      <c r="B452" t="s">
        <v>243</v>
      </c>
      <c r="C452" t="s">
        <v>3533</v>
      </c>
      <c r="D452" t="s">
        <v>16193</v>
      </c>
      <c r="E452" t="s">
        <v>16731</v>
      </c>
      <c r="F452" t="s">
        <v>28198</v>
      </c>
      <c r="G452" t="s">
        <v>28205</v>
      </c>
      <c r="H452" t="s">
        <v>28214</v>
      </c>
      <c r="I452" t="s">
        <v>3797</v>
      </c>
      <c r="J452" t="s">
        <v>28688</v>
      </c>
      <c r="K452" t="s">
        <v>36701</v>
      </c>
      <c r="M452" t="s">
        <v>37219</v>
      </c>
      <c r="N452" t="s">
        <v>40436</v>
      </c>
      <c r="O452" t="s">
        <v>40437</v>
      </c>
      <c r="P452">
        <v>0</v>
      </c>
      <c r="Q452">
        <v>0</v>
      </c>
      <c r="R452" t="s">
        <v>40438</v>
      </c>
      <c r="S452" t="s">
        <v>40582</v>
      </c>
      <c r="T452" t="s">
        <v>42188</v>
      </c>
      <c r="U452" t="s">
        <v>43023</v>
      </c>
      <c r="V452" t="s">
        <v>53830</v>
      </c>
      <c r="W452" t="s">
        <v>37219</v>
      </c>
      <c r="X452" t="s">
        <v>40439</v>
      </c>
    </row>
    <row r="453" spans="1:24">
      <c r="A453">
        <f>HYPERLINK("https://www.philgeps.gov.ph/GEPSNONPILOT/Tender/SplashBidNoticeAbstractUI.aspx?menuIndex=3&amp;refID=7047407&amp;Result=3","7047407")</f>
        <v>0</v>
      </c>
      <c r="B453" t="s">
        <v>185</v>
      </c>
      <c r="C453" t="s">
        <v>3534</v>
      </c>
      <c r="D453" t="s">
        <v>16196</v>
      </c>
      <c r="E453" t="s">
        <v>16732</v>
      </c>
      <c r="F453" t="s">
        <v>28200</v>
      </c>
      <c r="G453" t="s">
        <v>28207</v>
      </c>
      <c r="H453" t="s">
        <v>28215</v>
      </c>
      <c r="I453" t="s">
        <v>28224</v>
      </c>
      <c r="J453" t="s">
        <v>28597</v>
      </c>
      <c r="K453" t="s">
        <v>36693</v>
      </c>
      <c r="M453" t="s">
        <v>37160</v>
      </c>
      <c r="N453" t="s">
        <v>40436</v>
      </c>
      <c r="O453" t="s">
        <v>40437</v>
      </c>
      <c r="P453">
        <v>0</v>
      </c>
      <c r="Q453">
        <v>0</v>
      </c>
      <c r="R453" t="s">
        <v>40438</v>
      </c>
      <c r="S453" t="s">
        <v>40582</v>
      </c>
      <c r="T453" t="s">
        <v>42102</v>
      </c>
      <c r="U453" t="s">
        <v>43024</v>
      </c>
      <c r="W453" t="s">
        <v>37160</v>
      </c>
      <c r="X453" t="s">
        <v>40439</v>
      </c>
    </row>
    <row r="454" spans="1:24">
      <c r="A454">
        <f>HYPERLINK("https://www.philgeps.gov.ph/GEPSNONPILOT/Tender/SplashBidNoticeAbstractUI.aspx?menuIndex=3&amp;refID=7047412&amp;Result=3","7047412")</f>
        <v>0</v>
      </c>
      <c r="B454" t="s">
        <v>261</v>
      </c>
      <c r="C454" t="s">
        <v>3535</v>
      </c>
      <c r="D454" t="s">
        <v>16237</v>
      </c>
      <c r="E454" t="s">
        <v>16733</v>
      </c>
      <c r="F454" t="s">
        <v>28198</v>
      </c>
      <c r="G454" t="s">
        <v>28210</v>
      </c>
      <c r="H454" t="s">
        <v>28215</v>
      </c>
      <c r="I454" t="s">
        <v>5791</v>
      </c>
      <c r="J454" t="s">
        <v>28689</v>
      </c>
      <c r="K454" t="s">
        <v>36707</v>
      </c>
      <c r="M454" t="s">
        <v>37237</v>
      </c>
      <c r="N454" t="s">
        <v>40436</v>
      </c>
      <c r="O454" t="s">
        <v>40437</v>
      </c>
      <c r="P454">
        <v>0</v>
      </c>
      <c r="Q454">
        <v>0</v>
      </c>
      <c r="R454" t="s">
        <v>40438</v>
      </c>
      <c r="S454" t="s">
        <v>40582</v>
      </c>
      <c r="T454" t="s">
        <v>42103</v>
      </c>
      <c r="U454" t="s">
        <v>43025</v>
      </c>
      <c r="W454" t="s">
        <v>37237</v>
      </c>
      <c r="X454" t="s">
        <v>40439</v>
      </c>
    </row>
    <row r="455" spans="1:24">
      <c r="A455">
        <f>HYPERLINK("https://www.philgeps.gov.ph/GEPSNONPILOT/Tender/SplashBidNoticeAbstractUI.aspx?menuIndex=3&amp;refID=7047406&amp;Result=3","7047406")</f>
        <v>0</v>
      </c>
      <c r="B455" t="s">
        <v>262</v>
      </c>
      <c r="C455" t="s">
        <v>3536</v>
      </c>
      <c r="D455" t="s">
        <v>16245</v>
      </c>
      <c r="E455" t="s">
        <v>16734</v>
      </c>
      <c r="F455" t="s">
        <v>28198</v>
      </c>
      <c r="G455" t="s">
        <v>28207</v>
      </c>
      <c r="H455" t="s">
        <v>28215</v>
      </c>
      <c r="I455" t="s">
        <v>4168</v>
      </c>
      <c r="J455" t="s">
        <v>28690</v>
      </c>
      <c r="K455" t="s">
        <v>36694</v>
      </c>
      <c r="M455" t="s">
        <v>37238</v>
      </c>
      <c r="N455" t="s">
        <v>40436</v>
      </c>
      <c r="O455" t="s">
        <v>40437</v>
      </c>
      <c r="P455">
        <v>0</v>
      </c>
      <c r="Q455">
        <v>2</v>
      </c>
      <c r="R455" t="s">
        <v>40438</v>
      </c>
      <c r="S455" t="s">
        <v>40582</v>
      </c>
      <c r="T455" t="s">
        <v>42119</v>
      </c>
      <c r="U455" t="s">
        <v>43026</v>
      </c>
      <c r="W455" t="s">
        <v>37238</v>
      </c>
      <c r="X455" t="s">
        <v>40439</v>
      </c>
    </row>
    <row r="456" spans="1:24">
      <c r="A456">
        <f>HYPERLINK("https://www.philgeps.gov.ph/GEPSNONPILOT/Tender/SplashBidNoticeAbstractUI.aspx?menuIndex=3&amp;refID=7047405&amp;Result=3","7047405")</f>
        <v>0</v>
      </c>
      <c r="B456" t="s">
        <v>263</v>
      </c>
      <c r="C456" t="s">
        <v>3537</v>
      </c>
      <c r="E456" t="s">
        <v>16735</v>
      </c>
      <c r="F456" t="s">
        <v>28198</v>
      </c>
      <c r="G456" t="s">
        <v>28207</v>
      </c>
      <c r="H456" t="s">
        <v>28215</v>
      </c>
      <c r="I456" t="s">
        <v>28228</v>
      </c>
      <c r="J456" t="s">
        <v>28691</v>
      </c>
      <c r="K456" t="s">
        <v>36689</v>
      </c>
      <c r="M456" t="s">
        <v>37239</v>
      </c>
      <c r="N456" t="s">
        <v>40436</v>
      </c>
      <c r="O456" t="s">
        <v>40437</v>
      </c>
      <c r="P456">
        <v>0</v>
      </c>
      <c r="Q456">
        <v>0</v>
      </c>
      <c r="R456" t="s">
        <v>40438</v>
      </c>
      <c r="S456" t="s">
        <v>40582</v>
      </c>
      <c r="T456" t="s">
        <v>42191</v>
      </c>
      <c r="U456" t="s">
        <v>43027</v>
      </c>
      <c r="W456" t="s">
        <v>37239</v>
      </c>
      <c r="X456" t="s">
        <v>40439</v>
      </c>
    </row>
    <row r="457" spans="1:24">
      <c r="A457">
        <f>HYPERLINK("https://www.philgeps.gov.ph/GEPSNONPILOT/Tender/SplashBidNoticeAbstractUI.aspx?menuIndex=3&amp;refID=7047410&amp;Result=3","7047410")</f>
        <v>0</v>
      </c>
      <c r="B457" t="s">
        <v>257</v>
      </c>
      <c r="C457" t="s">
        <v>3538</v>
      </c>
      <c r="D457" t="s">
        <v>16193</v>
      </c>
      <c r="E457" t="s">
        <v>16736</v>
      </c>
      <c r="F457" t="s">
        <v>28198</v>
      </c>
      <c r="G457" t="s">
        <v>28205</v>
      </c>
      <c r="H457" t="s">
        <v>28214</v>
      </c>
      <c r="I457" t="s">
        <v>3797</v>
      </c>
      <c r="J457" t="s">
        <v>28692</v>
      </c>
      <c r="K457" t="s">
        <v>36694</v>
      </c>
      <c r="M457" t="s">
        <v>37233</v>
      </c>
      <c r="N457" t="s">
        <v>40436</v>
      </c>
      <c r="O457" t="s">
        <v>40437</v>
      </c>
      <c r="P457">
        <v>0</v>
      </c>
      <c r="Q457">
        <v>0</v>
      </c>
      <c r="R457" t="s">
        <v>40438</v>
      </c>
      <c r="S457" t="s">
        <v>40582</v>
      </c>
      <c r="T457" t="s">
        <v>42118</v>
      </c>
      <c r="U457" t="s">
        <v>43019</v>
      </c>
      <c r="W457" t="s">
        <v>37233</v>
      </c>
      <c r="X457" t="s">
        <v>40439</v>
      </c>
    </row>
    <row r="458" spans="1:24">
      <c r="A458">
        <f>HYPERLINK("https://www.philgeps.gov.ph/GEPSNONPILOT/Tender/SplashBidNoticeAbstractUI.aspx?menuIndex=3&amp;refID=7047395&amp;Result=3","7047395")</f>
        <v>0</v>
      </c>
      <c r="B458" t="s">
        <v>226</v>
      </c>
      <c r="C458" t="s">
        <v>3539</v>
      </c>
      <c r="D458" t="s">
        <v>16202</v>
      </c>
      <c r="E458" t="s">
        <v>16737</v>
      </c>
      <c r="F458" t="s">
        <v>28198</v>
      </c>
      <c r="G458" t="s">
        <v>28207</v>
      </c>
      <c r="H458" t="s">
        <v>28215</v>
      </c>
      <c r="I458" t="s">
        <v>28225</v>
      </c>
      <c r="J458" t="s">
        <v>28693</v>
      </c>
      <c r="K458" t="s">
        <v>36688</v>
      </c>
      <c r="M458" t="s">
        <v>37202</v>
      </c>
      <c r="N458" t="s">
        <v>40436</v>
      </c>
      <c r="O458" t="s">
        <v>40437</v>
      </c>
      <c r="P458">
        <v>0</v>
      </c>
      <c r="Q458">
        <v>0</v>
      </c>
      <c r="R458" t="s">
        <v>40438</v>
      </c>
      <c r="S458" t="s">
        <v>40582</v>
      </c>
      <c r="T458" t="s">
        <v>42177</v>
      </c>
      <c r="U458" t="s">
        <v>42974</v>
      </c>
      <c r="V458" t="s">
        <v>53838</v>
      </c>
      <c r="W458" t="s">
        <v>37202</v>
      </c>
      <c r="X458" t="s">
        <v>40439</v>
      </c>
    </row>
    <row r="459" spans="1:24">
      <c r="A459">
        <f>HYPERLINK("https://www.philgeps.gov.ph/GEPSNONPILOT/Tender/SplashBidNoticeAbstractUI.aspx?menuIndex=3&amp;refID=7047411&amp;Result=3","7047411")</f>
        <v>0</v>
      </c>
      <c r="B459" t="s">
        <v>222</v>
      </c>
      <c r="C459" t="s">
        <v>3540</v>
      </c>
      <c r="D459" t="s">
        <v>16213</v>
      </c>
      <c r="E459" t="s">
        <v>16738</v>
      </c>
      <c r="F459" t="s">
        <v>28198</v>
      </c>
      <c r="G459" t="s">
        <v>28207</v>
      </c>
      <c r="H459" t="s">
        <v>28215</v>
      </c>
      <c r="I459" t="s">
        <v>5100</v>
      </c>
      <c r="J459" t="s">
        <v>28694</v>
      </c>
      <c r="K459" t="s">
        <v>36701</v>
      </c>
      <c r="M459" t="s">
        <v>37198</v>
      </c>
      <c r="N459" t="s">
        <v>40436</v>
      </c>
      <c r="O459" t="s">
        <v>40437</v>
      </c>
      <c r="P459">
        <v>0</v>
      </c>
      <c r="Q459">
        <v>0</v>
      </c>
      <c r="R459" t="s">
        <v>40438</v>
      </c>
      <c r="S459" t="s">
        <v>40582</v>
      </c>
      <c r="T459" t="s">
        <v>42119</v>
      </c>
      <c r="U459" t="s">
        <v>43028</v>
      </c>
      <c r="W459" t="s">
        <v>37198</v>
      </c>
      <c r="X459" t="s">
        <v>40439</v>
      </c>
    </row>
    <row r="460" spans="1:24">
      <c r="A460">
        <f>HYPERLINK("https://www.philgeps.gov.ph/GEPSNONPILOT/Tender/SplashBidNoticeAbstractUI.aspx?menuIndex=3&amp;refID=7047415&amp;Result=3","7047415")</f>
        <v>0</v>
      </c>
      <c r="B460" t="s">
        <v>237</v>
      </c>
      <c r="C460" t="s">
        <v>3541</v>
      </c>
      <c r="D460" t="s">
        <v>16197</v>
      </c>
      <c r="E460" t="s">
        <v>16739</v>
      </c>
      <c r="F460" t="s">
        <v>28198</v>
      </c>
      <c r="G460" t="s">
        <v>28207</v>
      </c>
      <c r="H460" t="s">
        <v>28215</v>
      </c>
      <c r="I460" t="s">
        <v>28273</v>
      </c>
      <c r="J460" t="s">
        <v>28589</v>
      </c>
      <c r="K460" t="s">
        <v>36696</v>
      </c>
      <c r="M460" t="s">
        <v>37213</v>
      </c>
      <c r="N460" t="s">
        <v>40436</v>
      </c>
      <c r="O460" t="s">
        <v>40437</v>
      </c>
      <c r="P460">
        <v>0</v>
      </c>
      <c r="Q460">
        <v>0</v>
      </c>
      <c r="R460" t="s">
        <v>40438</v>
      </c>
      <c r="S460" t="s">
        <v>40582</v>
      </c>
      <c r="T460" t="s">
        <v>42144</v>
      </c>
      <c r="U460" t="s">
        <v>43029</v>
      </c>
      <c r="W460" t="s">
        <v>37213</v>
      </c>
      <c r="X460" t="s">
        <v>40439</v>
      </c>
    </row>
    <row r="461" spans="1:24">
      <c r="A461">
        <f>HYPERLINK("https://www.philgeps.gov.ph/GEPSNONPILOT/Tender/SplashBidNoticeAbstractUI.aspx?menuIndex=3&amp;refID=7047414&amp;Result=3","7047414")</f>
        <v>0</v>
      </c>
      <c r="B461" t="s">
        <v>257</v>
      </c>
      <c r="C461" t="s">
        <v>3542</v>
      </c>
      <c r="D461" t="s">
        <v>16193</v>
      </c>
      <c r="E461" t="s">
        <v>16740</v>
      </c>
      <c r="F461" t="s">
        <v>28198</v>
      </c>
      <c r="G461" t="s">
        <v>28205</v>
      </c>
      <c r="H461" t="s">
        <v>28214</v>
      </c>
      <c r="I461" t="s">
        <v>3797</v>
      </c>
      <c r="J461" t="s">
        <v>28695</v>
      </c>
      <c r="K461" t="s">
        <v>36694</v>
      </c>
      <c r="M461" t="s">
        <v>37233</v>
      </c>
      <c r="N461" t="s">
        <v>40436</v>
      </c>
      <c r="O461" t="s">
        <v>40437</v>
      </c>
      <c r="P461">
        <v>0</v>
      </c>
      <c r="Q461">
        <v>0</v>
      </c>
      <c r="R461" t="s">
        <v>40438</v>
      </c>
      <c r="S461" t="s">
        <v>40582</v>
      </c>
      <c r="T461" t="s">
        <v>42118</v>
      </c>
      <c r="U461" t="s">
        <v>43019</v>
      </c>
      <c r="W461" t="s">
        <v>37233</v>
      </c>
      <c r="X461" t="s">
        <v>40439</v>
      </c>
    </row>
    <row r="462" spans="1:24">
      <c r="A462">
        <f>HYPERLINK("https://www.philgeps.gov.ph/GEPSNONPILOT/Tender/SplashBidNoticeAbstractUI.aspx?menuIndex=3&amp;refID=7047393&amp;Result=3","7047393")</f>
        <v>0</v>
      </c>
      <c r="B462" t="s">
        <v>264</v>
      </c>
      <c r="C462" t="s">
        <v>3543</v>
      </c>
      <c r="D462" t="s">
        <v>16209</v>
      </c>
      <c r="E462" t="s">
        <v>16741</v>
      </c>
      <c r="F462" t="s">
        <v>28198</v>
      </c>
      <c r="G462" t="s">
        <v>28207</v>
      </c>
      <c r="H462" t="s">
        <v>28215</v>
      </c>
      <c r="I462" t="s">
        <v>3774</v>
      </c>
      <c r="J462" t="s">
        <v>28696</v>
      </c>
      <c r="K462" t="s">
        <v>36698</v>
      </c>
      <c r="L462" t="s">
        <v>264</v>
      </c>
      <c r="M462" t="s">
        <v>37240</v>
      </c>
      <c r="N462" t="s">
        <v>40436</v>
      </c>
      <c r="O462" t="s">
        <v>40437</v>
      </c>
      <c r="P462">
        <v>0</v>
      </c>
      <c r="Q462">
        <v>0</v>
      </c>
      <c r="R462" t="s">
        <v>40438</v>
      </c>
      <c r="S462" t="s">
        <v>40582</v>
      </c>
      <c r="T462" t="s">
        <v>42179</v>
      </c>
      <c r="U462" t="s">
        <v>43030</v>
      </c>
      <c r="W462" t="s">
        <v>37240</v>
      </c>
      <c r="X462" t="s">
        <v>40439</v>
      </c>
    </row>
    <row r="463" spans="1:24">
      <c r="A463">
        <f>HYPERLINK("https://www.philgeps.gov.ph/GEPSNONPILOT/Tender/SplashBidNoticeAbstractUI.aspx?menuIndex=3&amp;refID=7047409&amp;Result=3","7047409")</f>
        <v>0</v>
      </c>
      <c r="B463" t="s">
        <v>129</v>
      </c>
      <c r="C463" t="s">
        <v>3544</v>
      </c>
      <c r="D463" t="s">
        <v>16210</v>
      </c>
      <c r="E463" t="s">
        <v>16742</v>
      </c>
      <c r="F463" t="s">
        <v>28198</v>
      </c>
      <c r="G463" t="s">
        <v>28206</v>
      </c>
      <c r="H463" t="s">
        <v>28215</v>
      </c>
      <c r="I463" t="s">
        <v>8888</v>
      </c>
      <c r="J463" t="s">
        <v>28697</v>
      </c>
      <c r="K463" t="s">
        <v>36706</v>
      </c>
      <c r="M463" t="s">
        <v>37151</v>
      </c>
      <c r="N463" t="s">
        <v>40436</v>
      </c>
      <c r="O463" t="s">
        <v>40437</v>
      </c>
      <c r="P463">
        <v>0</v>
      </c>
      <c r="Q463">
        <v>4</v>
      </c>
      <c r="R463" t="s">
        <v>40438</v>
      </c>
      <c r="S463" t="s">
        <v>40582</v>
      </c>
      <c r="T463" t="s">
        <v>42156</v>
      </c>
      <c r="U463" t="s">
        <v>43031</v>
      </c>
      <c r="V463" t="s">
        <v>53812</v>
      </c>
      <c r="W463" t="s">
        <v>37151</v>
      </c>
      <c r="X463" t="s">
        <v>40439</v>
      </c>
    </row>
    <row r="464" spans="1:24">
      <c r="A464">
        <f>HYPERLINK("https://www.philgeps.gov.ph/GEPSNONPILOT/Tender/SplashBidNoticeAbstractUI.aspx?menuIndex=3&amp;refID=7047416&amp;Result=3","7047416")</f>
        <v>0</v>
      </c>
      <c r="B464" t="s">
        <v>265</v>
      </c>
      <c r="C464" t="s">
        <v>3545</v>
      </c>
      <c r="D464" t="s">
        <v>16191</v>
      </c>
      <c r="E464" t="s">
        <v>16743</v>
      </c>
      <c r="F464" t="s">
        <v>28198</v>
      </c>
      <c r="G464" t="s">
        <v>28205</v>
      </c>
      <c r="H464" t="s">
        <v>28215</v>
      </c>
      <c r="I464" t="s">
        <v>8888</v>
      </c>
      <c r="J464" t="s">
        <v>28415</v>
      </c>
      <c r="K464" t="s">
        <v>36723</v>
      </c>
      <c r="M464" t="s">
        <v>37241</v>
      </c>
      <c r="N464" t="s">
        <v>40436</v>
      </c>
      <c r="O464" t="s">
        <v>40437</v>
      </c>
      <c r="P464">
        <v>0</v>
      </c>
      <c r="Q464">
        <v>1</v>
      </c>
      <c r="R464" t="s">
        <v>40438</v>
      </c>
      <c r="S464" t="s">
        <v>40582</v>
      </c>
      <c r="T464" t="s">
        <v>42098</v>
      </c>
      <c r="U464" t="s">
        <v>43032</v>
      </c>
      <c r="W464" t="s">
        <v>37241</v>
      </c>
      <c r="X464" t="s">
        <v>40439</v>
      </c>
    </row>
    <row r="465" spans="1:24">
      <c r="A465">
        <f>HYPERLINK("https://www.philgeps.gov.ph/GEPSNONPILOT/Tender/SplashBidNoticeAbstractUI.aspx?menuIndex=3&amp;refID=7047430&amp;Result=3","7047430")</f>
        <v>0</v>
      </c>
      <c r="B465" t="s">
        <v>153</v>
      </c>
      <c r="C465" t="s">
        <v>3546</v>
      </c>
      <c r="D465" t="s">
        <v>16199</v>
      </c>
      <c r="E465" t="s">
        <v>16744</v>
      </c>
      <c r="F465" t="s">
        <v>28198</v>
      </c>
      <c r="G465" t="s">
        <v>28205</v>
      </c>
      <c r="H465" t="s">
        <v>28215</v>
      </c>
      <c r="I465" t="s">
        <v>4219</v>
      </c>
      <c r="J465" t="s">
        <v>28698</v>
      </c>
      <c r="K465" t="s">
        <v>36701</v>
      </c>
      <c r="M465" t="s">
        <v>37127</v>
      </c>
      <c r="N465" t="s">
        <v>40436</v>
      </c>
      <c r="O465" t="s">
        <v>40437</v>
      </c>
      <c r="P465">
        <v>0</v>
      </c>
      <c r="Q465">
        <v>0</v>
      </c>
      <c r="R465" t="s">
        <v>40438</v>
      </c>
      <c r="S465" t="s">
        <v>40582</v>
      </c>
      <c r="T465" t="s">
        <v>42097</v>
      </c>
      <c r="U465" t="s">
        <v>43033</v>
      </c>
      <c r="W465" t="s">
        <v>37127</v>
      </c>
      <c r="X465" t="s">
        <v>40439</v>
      </c>
    </row>
    <row r="466" spans="1:24">
      <c r="A466">
        <f>HYPERLINK("https://www.philgeps.gov.ph/GEPSNONPILOT/Tender/SplashBidNoticeAbstractUI.aspx?menuIndex=3&amp;refID=7047428&amp;Result=3","7047428")</f>
        <v>0</v>
      </c>
      <c r="B466" t="s">
        <v>266</v>
      </c>
      <c r="C466" t="s">
        <v>3547</v>
      </c>
      <c r="D466" t="s">
        <v>16257</v>
      </c>
      <c r="E466" t="s">
        <v>16745</v>
      </c>
      <c r="F466" t="s">
        <v>28200</v>
      </c>
      <c r="G466" t="s">
        <v>28205</v>
      </c>
      <c r="H466" t="s">
        <v>28214</v>
      </c>
      <c r="I466" t="s">
        <v>3797</v>
      </c>
      <c r="J466" t="s">
        <v>28699</v>
      </c>
      <c r="K466" t="s">
        <v>36689</v>
      </c>
      <c r="M466" t="s">
        <v>37242</v>
      </c>
      <c r="N466" t="s">
        <v>40436</v>
      </c>
      <c r="O466" t="s">
        <v>40437</v>
      </c>
      <c r="P466">
        <v>0</v>
      </c>
      <c r="Q466">
        <v>1</v>
      </c>
      <c r="R466" t="s">
        <v>40438</v>
      </c>
      <c r="S466" t="s">
        <v>40582</v>
      </c>
      <c r="T466" t="s">
        <v>42192</v>
      </c>
      <c r="U466" t="s">
        <v>43034</v>
      </c>
      <c r="W466" t="s">
        <v>37242</v>
      </c>
      <c r="X466" t="s">
        <v>40439</v>
      </c>
    </row>
    <row r="467" spans="1:24">
      <c r="A467">
        <f>HYPERLINK("https://www.philgeps.gov.ph/GEPSNONPILOT/Tender/SplashBidNoticeAbstractUI.aspx?menuIndex=3&amp;refID=7047432&amp;Result=3","7047432")</f>
        <v>0</v>
      </c>
      <c r="B467" t="s">
        <v>129</v>
      </c>
      <c r="C467" t="s">
        <v>3548</v>
      </c>
      <c r="D467" t="s">
        <v>16210</v>
      </c>
      <c r="E467" t="s">
        <v>16746</v>
      </c>
      <c r="F467" t="s">
        <v>28198</v>
      </c>
      <c r="G467" t="s">
        <v>28206</v>
      </c>
      <c r="H467" t="s">
        <v>28215</v>
      </c>
      <c r="I467" t="s">
        <v>8888</v>
      </c>
      <c r="J467" t="s">
        <v>28700</v>
      </c>
      <c r="K467" t="s">
        <v>36706</v>
      </c>
      <c r="M467" t="s">
        <v>37151</v>
      </c>
      <c r="N467" t="s">
        <v>40436</v>
      </c>
      <c r="O467" t="s">
        <v>40437</v>
      </c>
      <c r="P467">
        <v>0</v>
      </c>
      <c r="Q467">
        <v>3</v>
      </c>
      <c r="R467" t="s">
        <v>40438</v>
      </c>
      <c r="S467" t="s">
        <v>40582</v>
      </c>
      <c r="T467" t="s">
        <v>42156</v>
      </c>
      <c r="U467" t="s">
        <v>43035</v>
      </c>
      <c r="V467" t="s">
        <v>53812</v>
      </c>
      <c r="W467" t="s">
        <v>37151</v>
      </c>
      <c r="X467" t="s">
        <v>40439</v>
      </c>
    </row>
    <row r="468" spans="1:24">
      <c r="A468">
        <f>HYPERLINK("https://www.philgeps.gov.ph/GEPSNONPILOT/Tender/SplashBidNoticeAbstractUI.aspx?menuIndex=3&amp;refID=7047429&amp;Result=3","7047429")</f>
        <v>0</v>
      </c>
      <c r="B468" t="s">
        <v>267</v>
      </c>
      <c r="C468" t="s">
        <v>3549</v>
      </c>
      <c r="D468" t="s">
        <v>16253</v>
      </c>
      <c r="E468" t="s">
        <v>16747</v>
      </c>
      <c r="F468" t="s">
        <v>28198</v>
      </c>
      <c r="G468" t="s">
        <v>28206</v>
      </c>
      <c r="H468" t="s">
        <v>28215</v>
      </c>
      <c r="I468" t="s">
        <v>28232</v>
      </c>
      <c r="J468" t="s">
        <v>28701</v>
      </c>
      <c r="K468" t="s">
        <v>36701</v>
      </c>
      <c r="M468" t="s">
        <v>37243</v>
      </c>
      <c r="N468" t="s">
        <v>40436</v>
      </c>
      <c r="O468" t="s">
        <v>40437</v>
      </c>
      <c r="P468">
        <v>0</v>
      </c>
      <c r="Q468">
        <v>1</v>
      </c>
      <c r="R468" t="s">
        <v>40438</v>
      </c>
      <c r="S468" t="s">
        <v>40582</v>
      </c>
      <c r="T468" t="s">
        <v>42175</v>
      </c>
      <c r="U468" t="s">
        <v>43036</v>
      </c>
      <c r="W468" t="s">
        <v>37243</v>
      </c>
      <c r="X468" t="s">
        <v>40439</v>
      </c>
    </row>
    <row r="469" spans="1:24">
      <c r="A469">
        <f>HYPERLINK("https://www.philgeps.gov.ph/GEPSNONPILOT/Tender/SplashBidNoticeAbstractUI.aspx?menuIndex=3&amp;refID=7047421&amp;Result=3","7047421")</f>
        <v>0</v>
      </c>
      <c r="B469" t="s">
        <v>251</v>
      </c>
      <c r="C469" t="s">
        <v>3550</v>
      </c>
      <c r="D469" t="s">
        <v>16188</v>
      </c>
      <c r="E469" t="s">
        <v>16748</v>
      </c>
      <c r="F469" t="s">
        <v>28198</v>
      </c>
      <c r="G469" t="s">
        <v>28207</v>
      </c>
      <c r="H469" t="s">
        <v>28215</v>
      </c>
      <c r="I469" t="s">
        <v>28274</v>
      </c>
      <c r="J469" t="s">
        <v>28702</v>
      </c>
      <c r="K469" t="s">
        <v>36689</v>
      </c>
      <c r="M469" t="s">
        <v>37227</v>
      </c>
      <c r="N469" t="s">
        <v>40436</v>
      </c>
      <c r="O469" t="s">
        <v>40437</v>
      </c>
      <c r="P469">
        <v>0</v>
      </c>
      <c r="Q469">
        <v>0</v>
      </c>
      <c r="R469" t="s">
        <v>40438</v>
      </c>
      <c r="S469" t="s">
        <v>40582</v>
      </c>
      <c r="T469" t="s">
        <v>42111</v>
      </c>
      <c r="U469" t="s">
        <v>43037</v>
      </c>
      <c r="W469" t="s">
        <v>37227</v>
      </c>
      <c r="X469" t="s">
        <v>40439</v>
      </c>
    </row>
    <row r="470" spans="1:24">
      <c r="A470">
        <f>HYPERLINK("https://www.philgeps.gov.ph/GEPSNONPILOT/Tender/SplashBidNoticeAbstractUI.aspx?menuIndex=3&amp;refID=7047424&amp;Result=3","7047424")</f>
        <v>0</v>
      </c>
      <c r="B470" t="s">
        <v>268</v>
      </c>
      <c r="C470" t="s">
        <v>3551</v>
      </c>
      <c r="D470" t="s">
        <v>16209</v>
      </c>
      <c r="E470" t="s">
        <v>16749</v>
      </c>
      <c r="F470" t="s">
        <v>28198</v>
      </c>
      <c r="G470" t="s">
        <v>28206</v>
      </c>
      <c r="H470" t="s">
        <v>28215</v>
      </c>
      <c r="I470" t="s">
        <v>8888</v>
      </c>
      <c r="J470" t="s">
        <v>28703</v>
      </c>
      <c r="K470" t="s">
        <v>36689</v>
      </c>
      <c r="M470" t="s">
        <v>37244</v>
      </c>
      <c r="N470" t="s">
        <v>40436</v>
      </c>
      <c r="O470" t="s">
        <v>40437</v>
      </c>
      <c r="P470">
        <v>0</v>
      </c>
      <c r="Q470">
        <v>4</v>
      </c>
      <c r="R470" t="s">
        <v>40438</v>
      </c>
      <c r="S470" t="s">
        <v>40582</v>
      </c>
      <c r="T470" t="s">
        <v>42133</v>
      </c>
      <c r="U470" t="s">
        <v>43038</v>
      </c>
      <c r="W470" t="s">
        <v>37244</v>
      </c>
      <c r="X470" t="s">
        <v>40439</v>
      </c>
    </row>
    <row r="471" spans="1:24">
      <c r="A471">
        <f>HYPERLINK("https://www.philgeps.gov.ph/GEPSNONPILOT/Tender/SplashBidNoticeAbstractUI.aspx?menuIndex=3&amp;refID=7047420&amp;Result=3","7047420")</f>
        <v>0</v>
      </c>
      <c r="B471" t="s">
        <v>129</v>
      </c>
      <c r="C471" t="s">
        <v>3552</v>
      </c>
      <c r="D471" t="s">
        <v>16210</v>
      </c>
      <c r="E471" t="s">
        <v>16750</v>
      </c>
      <c r="F471" t="s">
        <v>28198</v>
      </c>
      <c r="G471" t="s">
        <v>28206</v>
      </c>
      <c r="H471" t="s">
        <v>28215</v>
      </c>
      <c r="I471" t="s">
        <v>4200</v>
      </c>
      <c r="J471" t="s">
        <v>28704</v>
      </c>
      <c r="K471" t="s">
        <v>36706</v>
      </c>
      <c r="M471" t="s">
        <v>37245</v>
      </c>
      <c r="N471" t="s">
        <v>40436</v>
      </c>
      <c r="O471" t="s">
        <v>40437</v>
      </c>
      <c r="P471">
        <v>0</v>
      </c>
      <c r="Q471">
        <v>3</v>
      </c>
      <c r="R471" t="s">
        <v>40438</v>
      </c>
      <c r="S471" t="s">
        <v>40582</v>
      </c>
      <c r="T471" t="s">
        <v>42156</v>
      </c>
      <c r="U471" t="s">
        <v>43039</v>
      </c>
      <c r="V471" t="s">
        <v>53839</v>
      </c>
      <c r="W471" t="s">
        <v>37245</v>
      </c>
      <c r="X471" t="s">
        <v>40439</v>
      </c>
    </row>
    <row r="472" spans="1:24">
      <c r="A472">
        <f>HYPERLINK("https://www.philgeps.gov.ph/GEPSNONPILOT/Tender/SplashBidNoticeAbstractUI.aspx?menuIndex=3&amp;refID=7047422&amp;Result=3","7047422")</f>
        <v>0</v>
      </c>
      <c r="B472" t="s">
        <v>190</v>
      </c>
      <c r="C472" t="s">
        <v>3553</v>
      </c>
      <c r="D472" t="s">
        <v>16187</v>
      </c>
      <c r="E472" t="s">
        <v>16751</v>
      </c>
      <c r="F472" t="s">
        <v>28198</v>
      </c>
      <c r="G472" t="s">
        <v>28207</v>
      </c>
      <c r="H472" t="s">
        <v>28215</v>
      </c>
      <c r="I472" t="s">
        <v>28274</v>
      </c>
      <c r="J472" t="s">
        <v>28705</v>
      </c>
      <c r="K472" t="s">
        <v>36715</v>
      </c>
      <c r="M472" t="s">
        <v>37165</v>
      </c>
      <c r="N472" t="s">
        <v>40436</v>
      </c>
      <c r="O472" t="s">
        <v>40437</v>
      </c>
      <c r="P472">
        <v>0</v>
      </c>
      <c r="Q472">
        <v>1</v>
      </c>
      <c r="R472" t="s">
        <v>40438</v>
      </c>
      <c r="S472" t="s">
        <v>40582</v>
      </c>
      <c r="T472" t="s">
        <v>42124</v>
      </c>
      <c r="U472" t="s">
        <v>43040</v>
      </c>
      <c r="W472" t="s">
        <v>37165</v>
      </c>
      <c r="X472" t="s">
        <v>40439</v>
      </c>
    </row>
    <row r="473" spans="1:24">
      <c r="A473">
        <f>HYPERLINK("https://www.philgeps.gov.ph/GEPSNONPILOT/Tender/SplashBidNoticeAbstractUI.aspx?menuIndex=3&amp;refID=7047423&amp;Result=3","7047423")</f>
        <v>0</v>
      </c>
      <c r="B473" t="s">
        <v>257</v>
      </c>
      <c r="C473" t="s">
        <v>3554</v>
      </c>
      <c r="D473" t="s">
        <v>16193</v>
      </c>
      <c r="E473" t="s">
        <v>16752</v>
      </c>
      <c r="F473" t="s">
        <v>28198</v>
      </c>
      <c r="G473" t="s">
        <v>28205</v>
      </c>
      <c r="H473" t="s">
        <v>28214</v>
      </c>
      <c r="I473" t="s">
        <v>3797</v>
      </c>
      <c r="J473" t="s">
        <v>28706</v>
      </c>
      <c r="K473" t="s">
        <v>36694</v>
      </c>
      <c r="M473" t="s">
        <v>37233</v>
      </c>
      <c r="N473" t="s">
        <v>40436</v>
      </c>
      <c r="O473" t="s">
        <v>40437</v>
      </c>
      <c r="P473">
        <v>0</v>
      </c>
      <c r="Q473">
        <v>0</v>
      </c>
      <c r="R473" t="s">
        <v>40438</v>
      </c>
      <c r="S473" t="s">
        <v>40582</v>
      </c>
      <c r="T473" t="s">
        <v>42118</v>
      </c>
      <c r="U473" t="s">
        <v>43019</v>
      </c>
      <c r="W473" t="s">
        <v>37233</v>
      </c>
      <c r="X473" t="s">
        <v>40439</v>
      </c>
    </row>
    <row r="474" spans="1:24">
      <c r="A474">
        <f>HYPERLINK("https://www.philgeps.gov.ph/GEPSNONPILOT/Tender/SplashBidNoticeAbstractUI.aspx?menuIndex=3&amp;refID=7047417&amp;Result=3","7047417")</f>
        <v>0</v>
      </c>
      <c r="B474" t="s">
        <v>260</v>
      </c>
      <c r="C474" t="s">
        <v>3555</v>
      </c>
      <c r="D474" t="s">
        <v>16192</v>
      </c>
      <c r="E474" t="s">
        <v>16753</v>
      </c>
      <c r="F474" t="s">
        <v>28198</v>
      </c>
      <c r="G474" t="s">
        <v>28206</v>
      </c>
      <c r="H474" t="s">
        <v>28215</v>
      </c>
      <c r="I474" t="s">
        <v>28228</v>
      </c>
      <c r="J474" t="s">
        <v>28694</v>
      </c>
      <c r="K474" t="s">
        <v>36707</v>
      </c>
      <c r="M474" t="s">
        <v>37236</v>
      </c>
      <c r="N474" t="s">
        <v>40436</v>
      </c>
      <c r="O474" t="s">
        <v>40437</v>
      </c>
      <c r="P474">
        <v>0</v>
      </c>
      <c r="Q474">
        <v>0</v>
      </c>
      <c r="R474" t="s">
        <v>40438</v>
      </c>
      <c r="S474" t="s">
        <v>40582</v>
      </c>
      <c r="T474" t="s">
        <v>42131</v>
      </c>
      <c r="U474" t="s">
        <v>43041</v>
      </c>
      <c r="W474" t="s">
        <v>37236</v>
      </c>
      <c r="X474" t="s">
        <v>40439</v>
      </c>
    </row>
    <row r="475" spans="1:24">
      <c r="A475">
        <f>HYPERLINK("https://www.philgeps.gov.ph/GEPSNONPILOT/Tender/SplashBidNoticeAbstractUI.aspx?menuIndex=3&amp;refID=7047435&amp;Result=3","7047435")</f>
        <v>0</v>
      </c>
      <c r="B475" t="s">
        <v>216</v>
      </c>
      <c r="C475" t="s">
        <v>3556</v>
      </c>
      <c r="D475" t="s">
        <v>16210</v>
      </c>
      <c r="E475" t="s">
        <v>16754</v>
      </c>
      <c r="F475" t="s">
        <v>28198</v>
      </c>
      <c r="G475" t="s">
        <v>28207</v>
      </c>
      <c r="H475" t="s">
        <v>28215</v>
      </c>
      <c r="I475" t="s">
        <v>4200</v>
      </c>
      <c r="J475" t="s">
        <v>28707</v>
      </c>
      <c r="K475" t="s">
        <v>36707</v>
      </c>
      <c r="M475" t="s">
        <v>37192</v>
      </c>
      <c r="N475" t="s">
        <v>40436</v>
      </c>
      <c r="O475" t="s">
        <v>40437</v>
      </c>
      <c r="P475">
        <v>0</v>
      </c>
      <c r="Q475">
        <v>3</v>
      </c>
      <c r="R475" t="s">
        <v>40438</v>
      </c>
      <c r="S475" t="s">
        <v>40582</v>
      </c>
      <c r="T475" t="s">
        <v>42119</v>
      </c>
      <c r="U475" t="s">
        <v>43042</v>
      </c>
      <c r="V475" t="s">
        <v>53819</v>
      </c>
      <c r="W475" t="s">
        <v>37192</v>
      </c>
      <c r="X475" t="s">
        <v>40439</v>
      </c>
    </row>
    <row r="476" spans="1:24">
      <c r="A476">
        <f>HYPERLINK("https://www.philgeps.gov.ph/GEPSNONPILOT/Tender/SplashBidNoticeAbstractUI.aspx?menuIndex=3&amp;refID=7047419&amp;Result=3","7047419")</f>
        <v>0</v>
      </c>
      <c r="B476" t="s">
        <v>269</v>
      </c>
      <c r="C476" t="s">
        <v>3557</v>
      </c>
      <c r="D476" t="s">
        <v>16202</v>
      </c>
      <c r="E476" t="s">
        <v>16755</v>
      </c>
      <c r="F476" t="s">
        <v>28198</v>
      </c>
      <c r="G476" t="s">
        <v>28207</v>
      </c>
      <c r="H476" t="s">
        <v>28215</v>
      </c>
      <c r="I476" t="s">
        <v>5082</v>
      </c>
      <c r="J476" t="s">
        <v>28708</v>
      </c>
      <c r="K476" t="s">
        <v>36689</v>
      </c>
      <c r="M476" t="s">
        <v>37246</v>
      </c>
      <c r="N476" t="s">
        <v>40436</v>
      </c>
      <c r="O476" t="s">
        <v>40437</v>
      </c>
      <c r="P476">
        <v>0</v>
      </c>
      <c r="Q476">
        <v>1</v>
      </c>
      <c r="R476" t="s">
        <v>40438</v>
      </c>
      <c r="S476" t="s">
        <v>40582</v>
      </c>
      <c r="T476" t="s">
        <v>42111</v>
      </c>
      <c r="U476" t="s">
        <v>43043</v>
      </c>
      <c r="W476" t="s">
        <v>37246</v>
      </c>
      <c r="X476" t="s">
        <v>40439</v>
      </c>
    </row>
    <row r="477" spans="1:24">
      <c r="A477">
        <f>HYPERLINK("https://www.philgeps.gov.ph/GEPSNONPILOT/Tender/SplashBidNoticeAbstractUI.aspx?menuIndex=3&amp;refID=7047439&amp;Result=3","7047439")</f>
        <v>0</v>
      </c>
      <c r="B477" t="s">
        <v>270</v>
      </c>
      <c r="C477" t="s">
        <v>3558</v>
      </c>
      <c r="D477" t="s">
        <v>16195</v>
      </c>
      <c r="E477" t="s">
        <v>3558</v>
      </c>
      <c r="F477" t="s">
        <v>28198</v>
      </c>
      <c r="G477" t="s">
        <v>28205</v>
      </c>
      <c r="H477" t="s">
        <v>28215</v>
      </c>
      <c r="I477" t="s">
        <v>5100</v>
      </c>
      <c r="J477" t="s">
        <v>28709</v>
      </c>
      <c r="K477" t="s">
        <v>36706</v>
      </c>
      <c r="M477" t="s">
        <v>37247</v>
      </c>
      <c r="N477" t="s">
        <v>40436</v>
      </c>
      <c r="O477" t="s">
        <v>40437</v>
      </c>
      <c r="P477">
        <v>0</v>
      </c>
      <c r="Q477">
        <v>0</v>
      </c>
      <c r="R477" t="s">
        <v>40438</v>
      </c>
      <c r="S477" t="s">
        <v>40582</v>
      </c>
      <c r="T477" t="s">
        <v>42098</v>
      </c>
      <c r="U477" t="s">
        <v>43044</v>
      </c>
      <c r="W477" t="s">
        <v>37247</v>
      </c>
      <c r="X477" t="s">
        <v>40439</v>
      </c>
    </row>
    <row r="478" spans="1:24">
      <c r="A478">
        <f>HYPERLINK("https://www.philgeps.gov.ph/GEPSNONPILOT/Tender/SplashBidNoticeAbstractUI.aspx?menuIndex=3&amp;refID=7047436&amp;Result=3","7047436")</f>
        <v>0</v>
      </c>
      <c r="B478" t="s">
        <v>249</v>
      </c>
      <c r="C478" t="s">
        <v>3559</v>
      </c>
      <c r="D478" t="s">
        <v>16254</v>
      </c>
      <c r="E478" t="s">
        <v>16756</v>
      </c>
      <c r="F478" t="s">
        <v>28198</v>
      </c>
      <c r="G478" t="s">
        <v>28206</v>
      </c>
      <c r="H478" t="s">
        <v>28215</v>
      </c>
      <c r="I478" t="s">
        <v>28275</v>
      </c>
      <c r="J478" t="s">
        <v>28710</v>
      </c>
      <c r="K478" t="s">
        <v>36688</v>
      </c>
      <c r="L478" t="s">
        <v>249</v>
      </c>
      <c r="M478" t="s">
        <v>37225</v>
      </c>
      <c r="N478" t="s">
        <v>40436</v>
      </c>
      <c r="O478" t="s">
        <v>40437</v>
      </c>
      <c r="P478">
        <v>0</v>
      </c>
      <c r="Q478">
        <v>2</v>
      </c>
      <c r="R478" t="s">
        <v>40438</v>
      </c>
      <c r="S478" t="s">
        <v>40582</v>
      </c>
      <c r="T478" t="s">
        <v>42163</v>
      </c>
      <c r="U478" t="s">
        <v>43045</v>
      </c>
      <c r="V478" t="s">
        <v>53834</v>
      </c>
      <c r="W478" t="s">
        <v>37225</v>
      </c>
      <c r="X478" t="s">
        <v>40439</v>
      </c>
    </row>
    <row r="479" spans="1:24">
      <c r="A479">
        <f>HYPERLINK("https://www.philgeps.gov.ph/GEPSNONPILOT/Tender/SplashBidNoticeAbstractUI.aspx?menuIndex=3&amp;refID=7047437&amp;Result=3","7047437")</f>
        <v>0</v>
      </c>
      <c r="B479" t="s">
        <v>190</v>
      </c>
      <c r="C479" t="s">
        <v>3560</v>
      </c>
      <c r="D479" t="s">
        <v>16187</v>
      </c>
      <c r="E479" t="s">
        <v>16757</v>
      </c>
      <c r="F479" t="s">
        <v>28198</v>
      </c>
      <c r="G479" t="s">
        <v>28207</v>
      </c>
      <c r="H479" t="s">
        <v>28215</v>
      </c>
      <c r="I479" t="s">
        <v>28274</v>
      </c>
      <c r="J479" t="s">
        <v>28711</v>
      </c>
      <c r="K479" t="s">
        <v>36694</v>
      </c>
      <c r="M479" t="s">
        <v>37165</v>
      </c>
      <c r="N479" t="s">
        <v>40436</v>
      </c>
      <c r="O479" t="s">
        <v>40437</v>
      </c>
      <c r="P479">
        <v>0</v>
      </c>
      <c r="Q479">
        <v>0</v>
      </c>
      <c r="R479" t="s">
        <v>40438</v>
      </c>
      <c r="S479" t="s">
        <v>40582</v>
      </c>
      <c r="T479" t="s">
        <v>42124</v>
      </c>
      <c r="U479" t="s">
        <v>43046</v>
      </c>
      <c r="W479" t="s">
        <v>37165</v>
      </c>
      <c r="X479" t="s">
        <v>40439</v>
      </c>
    </row>
    <row r="480" spans="1:24">
      <c r="A480">
        <f>HYPERLINK("https://www.philgeps.gov.ph/GEPSNONPILOT/Tender/SplashBidNoticeAbstractUI.aspx?menuIndex=3&amp;refID=7047438&amp;Result=3","7047438")</f>
        <v>0</v>
      </c>
      <c r="B480" t="s">
        <v>271</v>
      </c>
      <c r="C480" t="s">
        <v>3561</v>
      </c>
      <c r="D480" t="s">
        <v>16187</v>
      </c>
      <c r="E480" t="s">
        <v>16758</v>
      </c>
      <c r="F480" t="s">
        <v>28198</v>
      </c>
      <c r="G480" t="s">
        <v>28205</v>
      </c>
      <c r="H480" t="s">
        <v>28214</v>
      </c>
      <c r="I480" t="s">
        <v>3797</v>
      </c>
      <c r="J480" t="s">
        <v>28378</v>
      </c>
      <c r="K480" t="s">
        <v>36715</v>
      </c>
      <c r="M480" t="s">
        <v>37248</v>
      </c>
      <c r="N480" t="s">
        <v>40436</v>
      </c>
      <c r="O480" t="s">
        <v>40437</v>
      </c>
      <c r="P480">
        <v>0</v>
      </c>
      <c r="Q480">
        <v>0</v>
      </c>
      <c r="R480" t="s">
        <v>40438</v>
      </c>
      <c r="S480" t="s">
        <v>40582</v>
      </c>
      <c r="T480" t="s">
        <v>42193</v>
      </c>
      <c r="U480" t="s">
        <v>43047</v>
      </c>
      <c r="W480" t="s">
        <v>37248</v>
      </c>
      <c r="X480" t="s">
        <v>40439</v>
      </c>
    </row>
    <row r="481" spans="1:24">
      <c r="A481">
        <f>HYPERLINK("https://www.philgeps.gov.ph/GEPSNONPILOT/Tender/SplashBidNoticeAbstractUI.aspx?menuIndex=3&amp;refID=7047440&amp;Result=3","7047440")</f>
        <v>0</v>
      </c>
      <c r="B481" t="s">
        <v>272</v>
      </c>
      <c r="C481" t="s">
        <v>3562</v>
      </c>
      <c r="D481" t="s">
        <v>16202</v>
      </c>
      <c r="E481" t="s">
        <v>16759</v>
      </c>
      <c r="F481" t="s">
        <v>28198</v>
      </c>
      <c r="G481" t="s">
        <v>28207</v>
      </c>
      <c r="H481" t="s">
        <v>28215</v>
      </c>
      <c r="I481" t="s">
        <v>28234</v>
      </c>
      <c r="J481" t="s">
        <v>28373</v>
      </c>
      <c r="K481" t="s">
        <v>36688</v>
      </c>
      <c r="M481" t="s">
        <v>37249</v>
      </c>
      <c r="N481" t="s">
        <v>40436</v>
      </c>
      <c r="O481" t="s">
        <v>40437</v>
      </c>
      <c r="P481">
        <v>0</v>
      </c>
      <c r="Q481">
        <v>1</v>
      </c>
      <c r="R481" t="s">
        <v>40438</v>
      </c>
      <c r="S481" t="s">
        <v>40582</v>
      </c>
      <c r="T481" t="s">
        <v>42103</v>
      </c>
      <c r="U481" t="s">
        <v>43048</v>
      </c>
      <c r="W481" t="s">
        <v>37249</v>
      </c>
      <c r="X481" t="s">
        <v>40439</v>
      </c>
    </row>
    <row r="482" spans="1:24">
      <c r="A482">
        <f>HYPERLINK("https://www.philgeps.gov.ph/GEPSNONPILOT/Tender/SplashBidNoticeAbstractUI.aspx?menuIndex=3&amp;refID=7047441&amp;Result=3","7047441")</f>
        <v>0</v>
      </c>
      <c r="B482" t="s">
        <v>255</v>
      </c>
      <c r="C482" t="s">
        <v>3563</v>
      </c>
      <c r="D482" t="s">
        <v>16197</v>
      </c>
      <c r="E482" t="s">
        <v>16760</v>
      </c>
      <c r="F482" t="s">
        <v>28198</v>
      </c>
      <c r="G482" t="s">
        <v>28205</v>
      </c>
      <c r="H482" t="s">
        <v>28214</v>
      </c>
      <c r="I482" t="s">
        <v>5100</v>
      </c>
      <c r="J482" t="s">
        <v>28712</v>
      </c>
      <c r="K482" t="s">
        <v>36717</v>
      </c>
      <c r="M482" t="s">
        <v>37231</v>
      </c>
      <c r="N482" t="s">
        <v>40436</v>
      </c>
      <c r="O482" t="s">
        <v>40437</v>
      </c>
      <c r="P482">
        <v>0</v>
      </c>
      <c r="Q482">
        <v>1</v>
      </c>
      <c r="R482" t="s">
        <v>40438</v>
      </c>
      <c r="S482" t="s">
        <v>40582</v>
      </c>
      <c r="T482" t="s">
        <v>42189</v>
      </c>
      <c r="U482" t="s">
        <v>43049</v>
      </c>
      <c r="V482" t="s">
        <v>53840</v>
      </c>
      <c r="W482" t="s">
        <v>37231</v>
      </c>
      <c r="X482" t="s">
        <v>40439</v>
      </c>
    </row>
    <row r="483" spans="1:24">
      <c r="A483">
        <f>HYPERLINK("https://www.philgeps.gov.ph/GEPSNONPILOT/Tender/SplashBidNoticeAbstractUI.aspx?menuIndex=3&amp;refID=7047452&amp;Result=3","7047452")</f>
        <v>0</v>
      </c>
      <c r="B483" t="s">
        <v>167</v>
      </c>
      <c r="C483" t="s">
        <v>3564</v>
      </c>
      <c r="D483" t="s">
        <v>16242</v>
      </c>
      <c r="E483" t="s">
        <v>16761</v>
      </c>
      <c r="F483" t="s">
        <v>28198</v>
      </c>
      <c r="G483" t="s">
        <v>28206</v>
      </c>
      <c r="H483" t="s">
        <v>28215</v>
      </c>
      <c r="I483" t="s">
        <v>4168</v>
      </c>
      <c r="J483" t="s">
        <v>28713</v>
      </c>
      <c r="K483" t="s">
        <v>36689</v>
      </c>
      <c r="M483" t="s">
        <v>37141</v>
      </c>
      <c r="N483" t="s">
        <v>40436</v>
      </c>
      <c r="O483" t="s">
        <v>40437</v>
      </c>
      <c r="P483">
        <v>0</v>
      </c>
      <c r="Q483">
        <v>2</v>
      </c>
      <c r="R483" t="s">
        <v>40438</v>
      </c>
      <c r="S483" t="s">
        <v>40582</v>
      </c>
      <c r="T483" t="s">
        <v>42194</v>
      </c>
      <c r="U483" t="s">
        <v>43050</v>
      </c>
      <c r="W483" t="s">
        <v>37141</v>
      </c>
      <c r="X483" t="s">
        <v>40439</v>
      </c>
    </row>
    <row r="484" spans="1:24">
      <c r="A484">
        <f>HYPERLINK("https://www.philgeps.gov.ph/GEPSNONPILOT/Tender/SplashBidNoticeAbstractUI.aspx?menuIndex=3&amp;refID=7047444&amp;Result=3","7047444")</f>
        <v>0</v>
      </c>
      <c r="B484" t="s">
        <v>212</v>
      </c>
      <c r="C484" t="s">
        <v>3565</v>
      </c>
      <c r="D484" t="s">
        <v>16207</v>
      </c>
      <c r="E484" t="s">
        <v>16762</v>
      </c>
      <c r="F484" t="s">
        <v>28198</v>
      </c>
      <c r="G484" t="s">
        <v>28205</v>
      </c>
      <c r="H484" t="s">
        <v>28214</v>
      </c>
      <c r="I484" t="s">
        <v>3797</v>
      </c>
      <c r="J484" t="s">
        <v>28714</v>
      </c>
      <c r="K484" t="s">
        <v>36715</v>
      </c>
      <c r="M484" t="s">
        <v>37188</v>
      </c>
      <c r="N484" t="s">
        <v>40436</v>
      </c>
      <c r="O484" t="s">
        <v>40437</v>
      </c>
      <c r="P484">
        <v>0</v>
      </c>
      <c r="Q484">
        <v>0</v>
      </c>
      <c r="R484" t="s">
        <v>40438</v>
      </c>
      <c r="S484" t="s">
        <v>40582</v>
      </c>
      <c r="T484" t="s">
        <v>42188</v>
      </c>
      <c r="U484" t="s">
        <v>43051</v>
      </c>
      <c r="W484" t="s">
        <v>37188</v>
      </c>
      <c r="X484" t="s">
        <v>40439</v>
      </c>
    </row>
    <row r="485" spans="1:24">
      <c r="A485">
        <f>HYPERLINK("https://www.philgeps.gov.ph/GEPSNONPILOT/Tender/SplashBidNoticeAbstractUI.aspx?menuIndex=3&amp;refID=7047445&amp;Result=3","7047445")</f>
        <v>0</v>
      </c>
      <c r="B485" t="s">
        <v>273</v>
      </c>
      <c r="C485" t="s">
        <v>3566</v>
      </c>
      <c r="D485" t="s">
        <v>16193</v>
      </c>
      <c r="E485" t="s">
        <v>16763</v>
      </c>
      <c r="F485" t="s">
        <v>28198</v>
      </c>
      <c r="G485" t="s">
        <v>28205</v>
      </c>
      <c r="H485" t="s">
        <v>28214</v>
      </c>
      <c r="I485" t="s">
        <v>3797</v>
      </c>
      <c r="J485" t="s">
        <v>28715</v>
      </c>
      <c r="K485" t="s">
        <v>36715</v>
      </c>
      <c r="M485" t="s">
        <v>37250</v>
      </c>
      <c r="N485" t="s">
        <v>40436</v>
      </c>
      <c r="O485" t="s">
        <v>40437</v>
      </c>
      <c r="P485">
        <v>0</v>
      </c>
      <c r="Q485">
        <v>1</v>
      </c>
      <c r="R485" t="s">
        <v>40438</v>
      </c>
      <c r="S485" t="s">
        <v>40582</v>
      </c>
      <c r="T485" t="s">
        <v>42100</v>
      </c>
      <c r="U485" t="s">
        <v>43052</v>
      </c>
      <c r="W485" t="s">
        <v>55439</v>
      </c>
      <c r="X485" t="s">
        <v>40439</v>
      </c>
    </row>
    <row r="486" spans="1:24">
      <c r="A486">
        <f>HYPERLINK("https://www.philgeps.gov.ph/GEPSNONPILOT/Tender/SplashBidNoticeAbstractUI.aspx?menuIndex=3&amp;refID=7047443&amp;Result=3","7047443")</f>
        <v>0</v>
      </c>
      <c r="B486" t="s">
        <v>274</v>
      </c>
      <c r="C486" t="s">
        <v>3567</v>
      </c>
      <c r="D486" t="s">
        <v>16210</v>
      </c>
      <c r="E486" t="s">
        <v>16764</v>
      </c>
      <c r="F486" t="s">
        <v>28198</v>
      </c>
      <c r="G486" t="s">
        <v>28207</v>
      </c>
      <c r="H486" t="s">
        <v>28217</v>
      </c>
      <c r="I486" t="s">
        <v>28276</v>
      </c>
      <c r="J486" t="s">
        <v>28716</v>
      </c>
      <c r="K486" t="s">
        <v>36706</v>
      </c>
      <c r="M486" t="s">
        <v>37251</v>
      </c>
      <c r="N486" t="s">
        <v>40436</v>
      </c>
      <c r="O486" t="s">
        <v>40437</v>
      </c>
      <c r="P486">
        <v>0</v>
      </c>
      <c r="Q486">
        <v>2</v>
      </c>
      <c r="R486" t="s">
        <v>40438</v>
      </c>
      <c r="S486" t="s">
        <v>40582</v>
      </c>
      <c r="T486" t="s">
        <v>42159</v>
      </c>
      <c r="U486" t="s">
        <v>43053</v>
      </c>
      <c r="V486" t="s">
        <v>53841</v>
      </c>
      <c r="W486" t="s">
        <v>37251</v>
      </c>
      <c r="X486" t="s">
        <v>40439</v>
      </c>
    </row>
    <row r="487" spans="1:24">
      <c r="A487">
        <f>HYPERLINK("https://www.philgeps.gov.ph/GEPSNONPILOT/Tender/SplashBidNoticeAbstractUI.aspx?menuIndex=3&amp;refID=7047463&amp;Result=3","7047463")</f>
        <v>0</v>
      </c>
      <c r="B487" t="s">
        <v>275</v>
      </c>
      <c r="C487" t="s">
        <v>3568</v>
      </c>
      <c r="D487" t="s">
        <v>16258</v>
      </c>
      <c r="E487" t="s">
        <v>16765</v>
      </c>
      <c r="F487" t="s">
        <v>28198</v>
      </c>
      <c r="G487" t="s">
        <v>28205</v>
      </c>
      <c r="H487" t="s">
        <v>28215</v>
      </c>
      <c r="I487" t="s">
        <v>8870</v>
      </c>
      <c r="J487" t="s">
        <v>28378</v>
      </c>
      <c r="K487" t="s">
        <v>36715</v>
      </c>
      <c r="M487" t="s">
        <v>37252</v>
      </c>
      <c r="N487" t="s">
        <v>40436</v>
      </c>
      <c r="O487" t="s">
        <v>40437</v>
      </c>
      <c r="P487">
        <v>0</v>
      </c>
      <c r="Q487">
        <v>0</v>
      </c>
      <c r="R487" t="s">
        <v>40438</v>
      </c>
      <c r="S487" t="s">
        <v>40582</v>
      </c>
      <c r="T487" t="s">
        <v>42130</v>
      </c>
      <c r="U487" t="s">
        <v>43054</v>
      </c>
      <c r="V487" t="s">
        <v>53842</v>
      </c>
      <c r="W487" t="s">
        <v>37252</v>
      </c>
      <c r="X487" t="s">
        <v>40439</v>
      </c>
    </row>
    <row r="488" spans="1:24">
      <c r="A488">
        <f>HYPERLINK("https://www.philgeps.gov.ph/GEPSNONPILOT/Tender/SplashBidNoticeAbstractUI.aspx?menuIndex=3&amp;refID=7047442&amp;Result=3","7047442")</f>
        <v>0</v>
      </c>
      <c r="B488" t="s">
        <v>276</v>
      </c>
      <c r="C488" t="s">
        <v>3569</v>
      </c>
      <c r="D488" t="s">
        <v>16193</v>
      </c>
      <c r="E488" t="s">
        <v>16766</v>
      </c>
      <c r="F488" t="s">
        <v>28200</v>
      </c>
      <c r="G488" t="s">
        <v>28205</v>
      </c>
      <c r="H488" t="s">
        <v>28214</v>
      </c>
      <c r="I488" t="s">
        <v>3797</v>
      </c>
      <c r="J488" t="s">
        <v>28378</v>
      </c>
      <c r="K488" t="s">
        <v>36687</v>
      </c>
      <c r="M488" t="s">
        <v>37253</v>
      </c>
      <c r="N488" t="s">
        <v>40436</v>
      </c>
      <c r="O488" t="s">
        <v>40437</v>
      </c>
      <c r="P488">
        <v>0</v>
      </c>
      <c r="Q488">
        <v>1</v>
      </c>
      <c r="R488" t="s">
        <v>40438</v>
      </c>
      <c r="S488" t="s">
        <v>40582</v>
      </c>
      <c r="T488" t="s">
        <v>42145</v>
      </c>
      <c r="U488" t="s">
        <v>43055</v>
      </c>
      <c r="W488" t="s">
        <v>37253</v>
      </c>
      <c r="X488" t="s">
        <v>40439</v>
      </c>
    </row>
    <row r="489" spans="1:24">
      <c r="A489">
        <f>HYPERLINK("https://www.philgeps.gov.ph/GEPSNONPILOT/Tender/SplashBidNoticeAbstractUI.aspx?menuIndex=3&amp;refID=7047460&amp;Result=3","7047460")</f>
        <v>0</v>
      </c>
      <c r="B489" t="s">
        <v>129</v>
      </c>
      <c r="C489" t="s">
        <v>3570</v>
      </c>
      <c r="D489" t="s">
        <v>16210</v>
      </c>
      <c r="E489" t="s">
        <v>16767</v>
      </c>
      <c r="F489" t="s">
        <v>28198</v>
      </c>
      <c r="G489" t="s">
        <v>28206</v>
      </c>
      <c r="H489" t="s">
        <v>28215</v>
      </c>
      <c r="I489" t="s">
        <v>8888</v>
      </c>
      <c r="J489" t="s">
        <v>28717</v>
      </c>
      <c r="K489" t="s">
        <v>36706</v>
      </c>
      <c r="M489" t="s">
        <v>37151</v>
      </c>
      <c r="N489" t="s">
        <v>40436</v>
      </c>
      <c r="O489" t="s">
        <v>40437</v>
      </c>
      <c r="P489">
        <v>0</v>
      </c>
      <c r="Q489">
        <v>3</v>
      </c>
      <c r="R489" t="s">
        <v>40438</v>
      </c>
      <c r="S489" t="s">
        <v>40582</v>
      </c>
      <c r="T489" t="s">
        <v>42156</v>
      </c>
      <c r="U489" t="s">
        <v>43056</v>
      </c>
      <c r="V489" t="s">
        <v>53812</v>
      </c>
      <c r="W489" t="s">
        <v>37151</v>
      </c>
      <c r="X489" t="s">
        <v>40439</v>
      </c>
    </row>
    <row r="490" spans="1:24">
      <c r="A490">
        <f>HYPERLINK("https://www.philgeps.gov.ph/GEPSNONPILOT/Tender/SplashBidNoticeAbstractUI.aspx?menuIndex=3&amp;refID=7047459&amp;Result=3","7047459")</f>
        <v>0</v>
      </c>
      <c r="B490" t="s">
        <v>277</v>
      </c>
      <c r="C490" t="s">
        <v>3571</v>
      </c>
      <c r="D490" t="s">
        <v>16189</v>
      </c>
      <c r="E490" t="s">
        <v>16768</v>
      </c>
      <c r="F490" t="s">
        <v>28198</v>
      </c>
      <c r="G490" t="s">
        <v>28206</v>
      </c>
      <c r="H490" t="s">
        <v>28215</v>
      </c>
      <c r="I490" t="s">
        <v>28247</v>
      </c>
      <c r="J490" t="s">
        <v>28718</v>
      </c>
      <c r="K490" t="s">
        <v>36706</v>
      </c>
      <c r="M490" t="s">
        <v>37254</v>
      </c>
      <c r="N490" t="s">
        <v>40436</v>
      </c>
      <c r="O490" t="s">
        <v>40437</v>
      </c>
      <c r="P490">
        <v>0</v>
      </c>
      <c r="Q490">
        <v>4</v>
      </c>
      <c r="R490" t="s">
        <v>40438</v>
      </c>
      <c r="S490" t="s">
        <v>40582</v>
      </c>
      <c r="T490" t="s">
        <v>42175</v>
      </c>
      <c r="U490" t="s">
        <v>43057</v>
      </c>
      <c r="W490" t="s">
        <v>37254</v>
      </c>
      <c r="X490" t="s">
        <v>40439</v>
      </c>
    </row>
    <row r="491" spans="1:24">
      <c r="A491">
        <f>HYPERLINK("https://www.philgeps.gov.ph/GEPSNONPILOT/Tender/SplashBidNoticeAbstractUI.aspx?menuIndex=3&amp;refID=7047457&amp;Result=3","7047457")</f>
        <v>0</v>
      </c>
      <c r="B491" t="s">
        <v>278</v>
      </c>
      <c r="C491" t="s">
        <v>3572</v>
      </c>
      <c r="D491" t="s">
        <v>16203</v>
      </c>
      <c r="E491" t="s">
        <v>16769</v>
      </c>
      <c r="F491" t="s">
        <v>28198</v>
      </c>
      <c r="G491" t="s">
        <v>28207</v>
      </c>
      <c r="H491" t="s">
        <v>28215</v>
      </c>
      <c r="I491" t="s">
        <v>3422</v>
      </c>
      <c r="J491" t="s">
        <v>28665</v>
      </c>
      <c r="K491" t="s">
        <v>36688</v>
      </c>
      <c r="M491" t="s">
        <v>37255</v>
      </c>
      <c r="N491" t="s">
        <v>40436</v>
      </c>
      <c r="O491" t="s">
        <v>40437</v>
      </c>
      <c r="P491">
        <v>0</v>
      </c>
      <c r="Q491">
        <v>1</v>
      </c>
      <c r="R491" t="s">
        <v>40438</v>
      </c>
      <c r="S491" t="s">
        <v>40582</v>
      </c>
      <c r="T491" t="s">
        <v>42111</v>
      </c>
      <c r="U491" t="s">
        <v>43058</v>
      </c>
      <c r="W491" t="s">
        <v>37255</v>
      </c>
      <c r="X491" t="s">
        <v>40439</v>
      </c>
    </row>
    <row r="492" spans="1:24">
      <c r="A492">
        <f>HYPERLINK("https://www.philgeps.gov.ph/GEPSNONPILOT/Tender/SplashBidNoticeAbstractUI.aspx?menuIndex=3&amp;refID=7047458&amp;Result=3","7047458")</f>
        <v>0</v>
      </c>
      <c r="B492" t="s">
        <v>279</v>
      </c>
      <c r="C492" t="s">
        <v>3573</v>
      </c>
      <c r="D492" t="s">
        <v>16230</v>
      </c>
      <c r="E492" t="s">
        <v>16770</v>
      </c>
      <c r="F492" t="s">
        <v>28198</v>
      </c>
      <c r="G492" t="s">
        <v>28205</v>
      </c>
      <c r="H492" t="s">
        <v>28215</v>
      </c>
      <c r="I492" t="s">
        <v>28248</v>
      </c>
      <c r="J492" t="s">
        <v>28719</v>
      </c>
      <c r="K492" t="s">
        <v>36707</v>
      </c>
      <c r="M492" t="s">
        <v>37256</v>
      </c>
      <c r="N492" t="s">
        <v>40436</v>
      </c>
      <c r="O492" t="s">
        <v>40437</v>
      </c>
      <c r="P492">
        <v>0</v>
      </c>
      <c r="Q492">
        <v>0</v>
      </c>
      <c r="R492" t="s">
        <v>40438</v>
      </c>
      <c r="S492" t="s">
        <v>40582</v>
      </c>
      <c r="T492" t="s">
        <v>42110</v>
      </c>
      <c r="U492" t="s">
        <v>43059</v>
      </c>
      <c r="W492" t="s">
        <v>37256</v>
      </c>
      <c r="X492" t="s">
        <v>40439</v>
      </c>
    </row>
    <row r="493" spans="1:24">
      <c r="A493">
        <f>HYPERLINK("https://www.philgeps.gov.ph/GEPSNONPILOT/Tender/SplashBidNoticeAbstractUI.aspx?menuIndex=3&amp;refID=7047456&amp;Result=3","7047456")</f>
        <v>0</v>
      </c>
      <c r="B493" t="s">
        <v>96</v>
      </c>
      <c r="C493" t="s">
        <v>3574</v>
      </c>
      <c r="D493" t="s">
        <v>16225</v>
      </c>
      <c r="E493" t="s">
        <v>16771</v>
      </c>
      <c r="F493" t="s">
        <v>28198</v>
      </c>
      <c r="G493" t="s">
        <v>28205</v>
      </c>
      <c r="H493" t="s">
        <v>28215</v>
      </c>
      <c r="I493" t="s">
        <v>28224</v>
      </c>
      <c r="J493" t="s">
        <v>28720</v>
      </c>
      <c r="K493" t="s">
        <v>36694</v>
      </c>
      <c r="M493" t="s">
        <v>37068</v>
      </c>
      <c r="N493" t="s">
        <v>40436</v>
      </c>
      <c r="O493" t="s">
        <v>40437</v>
      </c>
      <c r="P493">
        <v>0</v>
      </c>
      <c r="Q493">
        <v>0</v>
      </c>
      <c r="R493" t="s">
        <v>40438</v>
      </c>
      <c r="S493" t="s">
        <v>40582</v>
      </c>
      <c r="T493" t="s">
        <v>42144</v>
      </c>
      <c r="U493" t="s">
        <v>43060</v>
      </c>
      <c r="W493" t="s">
        <v>37068</v>
      </c>
      <c r="X493" t="s">
        <v>40439</v>
      </c>
    </row>
    <row r="494" spans="1:24">
      <c r="A494">
        <f>HYPERLINK("https://www.philgeps.gov.ph/GEPSNONPILOT/Tender/SplashBidNoticeAbstractUI.aspx?menuIndex=3&amp;refID=7047465&amp;Result=3","7047465")</f>
        <v>0</v>
      </c>
      <c r="B494" t="s">
        <v>72</v>
      </c>
      <c r="C494" t="s">
        <v>3575</v>
      </c>
      <c r="D494" t="s">
        <v>16216</v>
      </c>
      <c r="E494" t="s">
        <v>16380</v>
      </c>
      <c r="F494" t="s">
        <v>28198</v>
      </c>
      <c r="G494" t="s">
        <v>28207</v>
      </c>
      <c r="H494" t="s">
        <v>28215</v>
      </c>
      <c r="I494" t="s">
        <v>28243</v>
      </c>
      <c r="J494" t="s">
        <v>28530</v>
      </c>
      <c r="K494" t="s">
        <v>36687</v>
      </c>
      <c r="M494" t="s">
        <v>37044</v>
      </c>
      <c r="N494" t="s">
        <v>40436</v>
      </c>
      <c r="O494" t="s">
        <v>40437</v>
      </c>
      <c r="P494">
        <v>0</v>
      </c>
      <c r="Q494">
        <v>5</v>
      </c>
      <c r="R494" t="s">
        <v>40438</v>
      </c>
      <c r="S494" t="s">
        <v>40582</v>
      </c>
      <c r="T494" t="s">
        <v>42129</v>
      </c>
      <c r="U494" t="s">
        <v>42707</v>
      </c>
      <c r="W494" t="s">
        <v>37044</v>
      </c>
      <c r="X494" t="s">
        <v>40439</v>
      </c>
    </row>
    <row r="495" spans="1:24">
      <c r="A495">
        <f>HYPERLINK("https://www.philgeps.gov.ph/GEPSNONPILOT/Tender/SplashBidNoticeAbstractUI.aspx?menuIndex=3&amp;refID=7047451&amp;Result=3","7047451")</f>
        <v>0</v>
      </c>
      <c r="B495" t="s">
        <v>280</v>
      </c>
      <c r="C495" t="s">
        <v>3576</v>
      </c>
      <c r="D495" t="s">
        <v>16254</v>
      </c>
      <c r="E495" t="s">
        <v>16772</v>
      </c>
      <c r="F495" t="s">
        <v>28198</v>
      </c>
      <c r="G495" t="s">
        <v>28205</v>
      </c>
      <c r="H495" t="s">
        <v>28214</v>
      </c>
      <c r="I495" t="s">
        <v>3797</v>
      </c>
      <c r="J495" t="s">
        <v>28422</v>
      </c>
      <c r="K495" t="s">
        <v>36734</v>
      </c>
      <c r="M495" t="s">
        <v>37257</v>
      </c>
      <c r="N495" t="s">
        <v>40436</v>
      </c>
      <c r="O495" t="s">
        <v>40437</v>
      </c>
      <c r="P495">
        <v>0</v>
      </c>
      <c r="Q495">
        <v>0</v>
      </c>
      <c r="R495" t="s">
        <v>40438</v>
      </c>
      <c r="S495" t="s">
        <v>40582</v>
      </c>
      <c r="T495" t="s">
        <v>42195</v>
      </c>
      <c r="U495" t="s">
        <v>43061</v>
      </c>
      <c r="W495" t="s">
        <v>37257</v>
      </c>
      <c r="X495" t="s">
        <v>40439</v>
      </c>
    </row>
    <row r="496" spans="1:24">
      <c r="A496">
        <f>HYPERLINK("https://www.philgeps.gov.ph/GEPSNONPILOT/Tender/SplashBidNoticeAbstractUI.aspx?menuIndex=3&amp;refID=7047455&amp;Result=3","7047455")</f>
        <v>0</v>
      </c>
      <c r="B496" t="s">
        <v>271</v>
      </c>
      <c r="C496" t="s">
        <v>3577</v>
      </c>
      <c r="D496" t="s">
        <v>16187</v>
      </c>
      <c r="E496" t="s">
        <v>16773</v>
      </c>
      <c r="F496" t="s">
        <v>28198</v>
      </c>
      <c r="G496" t="s">
        <v>28205</v>
      </c>
      <c r="H496" t="s">
        <v>28214</v>
      </c>
      <c r="I496" t="s">
        <v>3797</v>
      </c>
      <c r="J496" t="s">
        <v>28721</v>
      </c>
      <c r="K496" t="s">
        <v>36701</v>
      </c>
      <c r="M496" t="s">
        <v>37248</v>
      </c>
      <c r="N496" t="s">
        <v>40436</v>
      </c>
      <c r="O496" t="s">
        <v>40437</v>
      </c>
      <c r="P496">
        <v>0</v>
      </c>
      <c r="Q496">
        <v>0</v>
      </c>
      <c r="R496" t="s">
        <v>40438</v>
      </c>
      <c r="S496" t="s">
        <v>40582</v>
      </c>
      <c r="T496" t="s">
        <v>42193</v>
      </c>
      <c r="U496" t="s">
        <v>43047</v>
      </c>
      <c r="W496" t="s">
        <v>37248</v>
      </c>
      <c r="X496" t="s">
        <v>40439</v>
      </c>
    </row>
    <row r="497" spans="1:24">
      <c r="A497">
        <f>HYPERLINK("https://www.philgeps.gov.ph/GEPSNONPILOT/Tender/SplashBidNoticeAbstractUI.aspx?menuIndex=3&amp;refID=7047464&amp;Result=3","7047464")</f>
        <v>0</v>
      </c>
      <c r="B497" t="s">
        <v>280</v>
      </c>
      <c r="C497" t="s">
        <v>3578</v>
      </c>
      <c r="D497" t="s">
        <v>16254</v>
      </c>
      <c r="E497" t="s">
        <v>16774</v>
      </c>
      <c r="F497" t="s">
        <v>28198</v>
      </c>
      <c r="G497" t="s">
        <v>28206</v>
      </c>
      <c r="H497" t="s">
        <v>28215</v>
      </c>
      <c r="I497" t="s">
        <v>28222</v>
      </c>
      <c r="J497" t="s">
        <v>28722</v>
      </c>
      <c r="K497" t="s">
        <v>36701</v>
      </c>
      <c r="M497" t="s">
        <v>37257</v>
      </c>
      <c r="N497" t="s">
        <v>40436</v>
      </c>
      <c r="O497" t="s">
        <v>40437</v>
      </c>
      <c r="P497">
        <v>0</v>
      </c>
      <c r="Q497">
        <v>1</v>
      </c>
      <c r="R497" t="s">
        <v>40438</v>
      </c>
      <c r="S497" t="s">
        <v>40582</v>
      </c>
      <c r="T497" t="s">
        <v>42128</v>
      </c>
      <c r="U497" t="s">
        <v>43062</v>
      </c>
      <c r="W497" t="s">
        <v>37257</v>
      </c>
      <c r="X497" t="s">
        <v>40439</v>
      </c>
    </row>
    <row r="498" spans="1:24">
      <c r="A498">
        <f>HYPERLINK("https://www.philgeps.gov.ph/GEPSNONPILOT/Tender/SplashBidNoticeAbstractUI.aspx?menuIndex=3&amp;refID=7047454&amp;Result=3","7047454")</f>
        <v>0</v>
      </c>
      <c r="B498" t="s">
        <v>281</v>
      </c>
      <c r="C498" t="s">
        <v>3579</v>
      </c>
      <c r="D498" t="s">
        <v>16218</v>
      </c>
      <c r="E498" t="s">
        <v>16775</v>
      </c>
      <c r="F498" t="s">
        <v>28198</v>
      </c>
      <c r="G498" t="s">
        <v>28207</v>
      </c>
      <c r="H498" t="s">
        <v>28215</v>
      </c>
      <c r="I498" t="s">
        <v>4168</v>
      </c>
      <c r="J498" t="s">
        <v>28723</v>
      </c>
      <c r="K498" t="s">
        <v>36706</v>
      </c>
      <c r="M498" t="s">
        <v>37258</v>
      </c>
      <c r="N498" t="s">
        <v>40436</v>
      </c>
      <c r="O498" t="s">
        <v>40437</v>
      </c>
      <c r="P498">
        <v>0</v>
      </c>
      <c r="Q498">
        <v>1</v>
      </c>
      <c r="R498" t="s">
        <v>40438</v>
      </c>
      <c r="S498" t="s">
        <v>40582</v>
      </c>
      <c r="T498" t="s">
        <v>42103</v>
      </c>
      <c r="U498" t="s">
        <v>43063</v>
      </c>
      <c r="W498" t="s">
        <v>37258</v>
      </c>
      <c r="X498" t="s">
        <v>40439</v>
      </c>
    </row>
    <row r="499" spans="1:24">
      <c r="A499">
        <f>HYPERLINK("https://www.philgeps.gov.ph/GEPSNONPILOT/Tender/SplashBidNoticeAbstractUI.aspx?menuIndex=3&amp;refID=7047466&amp;Result=3","7047466")</f>
        <v>0</v>
      </c>
      <c r="B499" t="s">
        <v>282</v>
      </c>
      <c r="C499" t="s">
        <v>3580</v>
      </c>
      <c r="D499" t="s">
        <v>16203</v>
      </c>
      <c r="E499" t="s">
        <v>16776</v>
      </c>
      <c r="F499" t="s">
        <v>28198</v>
      </c>
      <c r="G499" t="s">
        <v>28206</v>
      </c>
      <c r="H499" t="s">
        <v>28215</v>
      </c>
      <c r="I499" t="s">
        <v>4168</v>
      </c>
      <c r="J499" t="s">
        <v>28724</v>
      </c>
      <c r="K499" t="s">
        <v>36691</v>
      </c>
      <c r="M499" t="s">
        <v>37259</v>
      </c>
      <c r="N499" t="s">
        <v>40436</v>
      </c>
      <c r="O499" t="s">
        <v>40437</v>
      </c>
      <c r="P499">
        <v>0</v>
      </c>
      <c r="Q499">
        <v>1</v>
      </c>
      <c r="R499" t="s">
        <v>40438</v>
      </c>
      <c r="S499" t="s">
        <v>40582</v>
      </c>
      <c r="T499" t="s">
        <v>42131</v>
      </c>
      <c r="U499" t="s">
        <v>43064</v>
      </c>
      <c r="W499" t="s">
        <v>37259</v>
      </c>
      <c r="X499" t="s">
        <v>40439</v>
      </c>
    </row>
    <row r="500" spans="1:24">
      <c r="A500">
        <f>HYPERLINK("https://www.philgeps.gov.ph/GEPSNONPILOT/Tender/SplashBidNoticeAbstractUI.aspx?menuIndex=3&amp;refID=7047446&amp;Result=3","7047446")</f>
        <v>0</v>
      </c>
      <c r="B500" t="s">
        <v>283</v>
      </c>
      <c r="C500" t="s">
        <v>3581</v>
      </c>
      <c r="D500" t="s">
        <v>16204</v>
      </c>
      <c r="E500" t="s">
        <v>16777</v>
      </c>
      <c r="F500" t="s">
        <v>28198</v>
      </c>
      <c r="G500" t="s">
        <v>28205</v>
      </c>
      <c r="H500" t="s">
        <v>28215</v>
      </c>
      <c r="I500" t="s">
        <v>9499</v>
      </c>
      <c r="J500" t="s">
        <v>28725</v>
      </c>
      <c r="K500" t="s">
        <v>36707</v>
      </c>
      <c r="M500" t="s">
        <v>37260</v>
      </c>
      <c r="N500" t="s">
        <v>40436</v>
      </c>
      <c r="O500" t="s">
        <v>40437</v>
      </c>
      <c r="P500">
        <v>0</v>
      </c>
      <c r="Q500">
        <v>1</v>
      </c>
      <c r="R500" t="s">
        <v>40438</v>
      </c>
      <c r="S500" t="s">
        <v>40582</v>
      </c>
      <c r="T500" t="s">
        <v>42196</v>
      </c>
      <c r="U500" t="s">
        <v>43065</v>
      </c>
      <c r="W500" t="s">
        <v>37260</v>
      </c>
      <c r="X500" t="s">
        <v>40439</v>
      </c>
    </row>
    <row r="501" spans="1:24">
      <c r="A501">
        <f>HYPERLINK("https://www.philgeps.gov.ph/GEPSNONPILOT/Tender/SplashBidNoticeAbstractUI.aspx?menuIndex=3&amp;refID=7047478&amp;Result=3","7047478")</f>
        <v>0</v>
      </c>
      <c r="B501" t="s">
        <v>284</v>
      </c>
      <c r="C501" t="s">
        <v>3582</v>
      </c>
      <c r="D501" t="s">
        <v>16203</v>
      </c>
      <c r="E501" t="s">
        <v>16778</v>
      </c>
      <c r="F501" t="s">
        <v>28198</v>
      </c>
      <c r="G501" t="s">
        <v>28205</v>
      </c>
      <c r="H501" t="s">
        <v>28215</v>
      </c>
      <c r="I501" t="s">
        <v>28262</v>
      </c>
      <c r="J501" t="s">
        <v>28406</v>
      </c>
      <c r="K501" t="s">
        <v>36691</v>
      </c>
      <c r="M501" t="s">
        <v>37261</v>
      </c>
      <c r="N501" t="s">
        <v>40436</v>
      </c>
      <c r="O501" t="s">
        <v>40437</v>
      </c>
      <c r="P501">
        <v>0</v>
      </c>
      <c r="Q501">
        <v>0</v>
      </c>
      <c r="R501" t="s">
        <v>40438</v>
      </c>
      <c r="S501" t="s">
        <v>40582</v>
      </c>
      <c r="T501" t="s">
        <v>42102</v>
      </c>
      <c r="U501" t="s">
        <v>43066</v>
      </c>
      <c r="W501" t="s">
        <v>37261</v>
      </c>
      <c r="X501" t="s">
        <v>40439</v>
      </c>
    </row>
    <row r="502" spans="1:24">
      <c r="A502">
        <f>HYPERLINK("https://www.philgeps.gov.ph/GEPSNONPILOT/Tender/SplashBidNoticeAbstractUI.aspx?menuIndex=3&amp;refID=7047447&amp;Result=3","7047447")</f>
        <v>0</v>
      </c>
      <c r="B502" t="s">
        <v>258</v>
      </c>
      <c r="C502" t="s">
        <v>3583</v>
      </c>
      <c r="D502" t="s">
        <v>16256</v>
      </c>
      <c r="E502" t="s">
        <v>16779</v>
      </c>
      <c r="F502" t="s">
        <v>28198</v>
      </c>
      <c r="G502" t="s">
        <v>28205</v>
      </c>
      <c r="H502" t="s">
        <v>28214</v>
      </c>
      <c r="I502" t="s">
        <v>3797</v>
      </c>
      <c r="J502" t="s">
        <v>28726</v>
      </c>
      <c r="K502" t="s">
        <v>36690</v>
      </c>
      <c r="M502" t="s">
        <v>37234</v>
      </c>
      <c r="N502" t="s">
        <v>40436</v>
      </c>
      <c r="O502" t="s">
        <v>40437</v>
      </c>
      <c r="P502">
        <v>0</v>
      </c>
      <c r="Q502">
        <v>0</v>
      </c>
      <c r="R502" t="s">
        <v>40438</v>
      </c>
      <c r="S502" t="s">
        <v>40582</v>
      </c>
      <c r="T502" t="s">
        <v>42125</v>
      </c>
      <c r="U502" t="s">
        <v>43020</v>
      </c>
      <c r="W502" t="s">
        <v>37234</v>
      </c>
      <c r="X502" t="s">
        <v>40439</v>
      </c>
    </row>
    <row r="503" spans="1:24">
      <c r="A503">
        <f>HYPERLINK("https://www.philgeps.gov.ph/GEPSNONPILOT/Tender/SplashBidNoticeAbstractUI.aspx?menuIndex=3&amp;refID=7047469&amp;Result=3","7047469")</f>
        <v>0</v>
      </c>
      <c r="B503" t="s">
        <v>285</v>
      </c>
      <c r="C503" t="s">
        <v>3584</v>
      </c>
      <c r="E503" t="s">
        <v>16780</v>
      </c>
      <c r="F503" t="s">
        <v>28198</v>
      </c>
      <c r="G503" t="s">
        <v>28207</v>
      </c>
      <c r="H503" t="s">
        <v>28214</v>
      </c>
      <c r="I503" t="s">
        <v>28277</v>
      </c>
      <c r="J503" t="s">
        <v>28727</v>
      </c>
      <c r="K503" t="s">
        <v>36689</v>
      </c>
      <c r="M503" t="s">
        <v>37262</v>
      </c>
      <c r="N503" t="s">
        <v>40436</v>
      </c>
      <c r="O503" t="s">
        <v>40437</v>
      </c>
      <c r="P503">
        <v>0</v>
      </c>
      <c r="Q503">
        <v>0</v>
      </c>
      <c r="R503" t="s">
        <v>40438</v>
      </c>
      <c r="S503" t="s">
        <v>40582</v>
      </c>
      <c r="T503" t="s">
        <v>42102</v>
      </c>
      <c r="U503" t="s">
        <v>43067</v>
      </c>
      <c r="W503" t="s">
        <v>37262</v>
      </c>
      <c r="X503" t="s">
        <v>40439</v>
      </c>
    </row>
    <row r="504" spans="1:24">
      <c r="A504">
        <f>HYPERLINK("https://www.philgeps.gov.ph/GEPSNONPILOT/Tender/SplashBidNoticeAbstractUI.aspx?menuIndex=3&amp;refID=7047449&amp;Result=3","7047449")</f>
        <v>0</v>
      </c>
      <c r="B504" t="s">
        <v>111</v>
      </c>
      <c r="C504" t="s">
        <v>3585</v>
      </c>
      <c r="D504" t="s">
        <v>16238</v>
      </c>
      <c r="E504" t="s">
        <v>16781</v>
      </c>
      <c r="F504" t="s">
        <v>28198</v>
      </c>
      <c r="G504" t="s">
        <v>28207</v>
      </c>
      <c r="H504" t="s">
        <v>28215</v>
      </c>
      <c r="I504" t="s">
        <v>6051</v>
      </c>
      <c r="J504" t="s">
        <v>28728</v>
      </c>
      <c r="K504" t="s">
        <v>36694</v>
      </c>
      <c r="M504" t="s">
        <v>37085</v>
      </c>
      <c r="N504" t="s">
        <v>40436</v>
      </c>
      <c r="O504" t="s">
        <v>40437</v>
      </c>
      <c r="P504">
        <v>0</v>
      </c>
      <c r="Q504">
        <v>2</v>
      </c>
      <c r="R504" t="s">
        <v>40438</v>
      </c>
      <c r="S504" t="s">
        <v>40582</v>
      </c>
      <c r="T504" t="s">
        <v>42111</v>
      </c>
      <c r="U504" t="s">
        <v>43068</v>
      </c>
      <c r="W504" t="s">
        <v>37085</v>
      </c>
      <c r="X504" t="s">
        <v>40439</v>
      </c>
    </row>
    <row r="505" spans="1:24">
      <c r="A505">
        <f>HYPERLINK("https://www.philgeps.gov.ph/GEPSNONPILOT/Tender/SplashBidNoticeAbstractUI.aspx?menuIndex=3&amp;refID=7047472&amp;Result=3","7047472")</f>
        <v>0</v>
      </c>
      <c r="B505" t="s">
        <v>286</v>
      </c>
      <c r="C505" t="s">
        <v>3586</v>
      </c>
      <c r="E505" t="s">
        <v>16766</v>
      </c>
      <c r="F505" t="s">
        <v>28198</v>
      </c>
      <c r="G505" t="s">
        <v>28207</v>
      </c>
      <c r="H505" t="s">
        <v>28215</v>
      </c>
      <c r="I505" t="s">
        <v>28265</v>
      </c>
      <c r="J505" t="s">
        <v>28729</v>
      </c>
      <c r="K505" t="s">
        <v>36689</v>
      </c>
      <c r="M505" t="s">
        <v>37263</v>
      </c>
      <c r="N505" t="s">
        <v>40436</v>
      </c>
      <c r="O505" t="s">
        <v>40437</v>
      </c>
      <c r="P505">
        <v>0</v>
      </c>
      <c r="Q505">
        <v>2</v>
      </c>
      <c r="R505" t="s">
        <v>40438</v>
      </c>
      <c r="S505" t="s">
        <v>40582</v>
      </c>
      <c r="T505" t="s">
        <v>42115</v>
      </c>
      <c r="U505" t="s">
        <v>43069</v>
      </c>
      <c r="W505" t="s">
        <v>37263</v>
      </c>
      <c r="X505" t="s">
        <v>40439</v>
      </c>
    </row>
    <row r="506" spans="1:24">
      <c r="A506">
        <f>HYPERLINK("https://www.philgeps.gov.ph/GEPSNONPILOT/Tender/SplashBidNoticeAbstractUI.aspx?menuIndex=3&amp;refID=7047467&amp;Result=3","7047467")</f>
        <v>0</v>
      </c>
      <c r="B506" t="s">
        <v>287</v>
      </c>
      <c r="C506" t="s">
        <v>3587</v>
      </c>
      <c r="D506" t="s">
        <v>16219</v>
      </c>
      <c r="E506" t="s">
        <v>16782</v>
      </c>
      <c r="F506" t="s">
        <v>28198</v>
      </c>
      <c r="G506" t="s">
        <v>28205</v>
      </c>
      <c r="H506" t="s">
        <v>28215</v>
      </c>
      <c r="I506" t="s">
        <v>7310</v>
      </c>
      <c r="J506" t="s">
        <v>28730</v>
      </c>
      <c r="K506" t="s">
        <v>36689</v>
      </c>
      <c r="M506" t="s">
        <v>37264</v>
      </c>
      <c r="N506" t="s">
        <v>40436</v>
      </c>
      <c r="O506" t="s">
        <v>40437</v>
      </c>
      <c r="P506">
        <v>0</v>
      </c>
      <c r="Q506">
        <v>3</v>
      </c>
      <c r="R506" t="s">
        <v>40438</v>
      </c>
      <c r="S506" t="s">
        <v>40582</v>
      </c>
      <c r="T506" t="s">
        <v>42197</v>
      </c>
      <c r="U506" t="s">
        <v>43070</v>
      </c>
      <c r="W506" t="s">
        <v>37264</v>
      </c>
      <c r="X506" t="s">
        <v>40439</v>
      </c>
    </row>
    <row r="507" spans="1:24">
      <c r="A507">
        <f>HYPERLINK("https://www.philgeps.gov.ph/GEPSNONPILOT/Tender/SplashBidNoticeAbstractUI.aspx?menuIndex=3&amp;refID=7047471&amp;Result=3","7047471")</f>
        <v>0</v>
      </c>
      <c r="B507" t="s">
        <v>288</v>
      </c>
      <c r="C507" t="s">
        <v>3588</v>
      </c>
      <c r="D507" t="s">
        <v>16208</v>
      </c>
      <c r="E507" t="s">
        <v>16783</v>
      </c>
      <c r="F507" t="s">
        <v>28198</v>
      </c>
      <c r="G507" t="s">
        <v>28207</v>
      </c>
      <c r="H507" t="s">
        <v>28215</v>
      </c>
      <c r="I507" t="s">
        <v>28225</v>
      </c>
      <c r="J507" t="s">
        <v>28731</v>
      </c>
      <c r="K507" t="s">
        <v>36691</v>
      </c>
      <c r="M507" t="s">
        <v>37265</v>
      </c>
      <c r="N507" t="s">
        <v>40436</v>
      </c>
      <c r="O507" t="s">
        <v>40437</v>
      </c>
      <c r="P507">
        <v>0</v>
      </c>
      <c r="Q507">
        <v>1</v>
      </c>
      <c r="R507" t="s">
        <v>40438</v>
      </c>
      <c r="S507" t="s">
        <v>40582</v>
      </c>
      <c r="T507" t="s">
        <v>42119</v>
      </c>
      <c r="U507" t="s">
        <v>43071</v>
      </c>
      <c r="W507" t="s">
        <v>37265</v>
      </c>
      <c r="X507" t="s">
        <v>40439</v>
      </c>
    </row>
    <row r="508" spans="1:24">
      <c r="A508">
        <f>HYPERLINK("https://www.philgeps.gov.ph/GEPSNONPILOT/Tender/SplashBidNoticeAbstractUI.aspx?menuIndex=3&amp;refID=7047490&amp;Result=3","7047490")</f>
        <v>0</v>
      </c>
      <c r="B508" t="s">
        <v>129</v>
      </c>
      <c r="C508" t="s">
        <v>3589</v>
      </c>
      <c r="D508" t="s">
        <v>16210</v>
      </c>
      <c r="E508" t="s">
        <v>16784</v>
      </c>
      <c r="F508" t="s">
        <v>28198</v>
      </c>
      <c r="G508" t="s">
        <v>28206</v>
      </c>
      <c r="H508" t="s">
        <v>28215</v>
      </c>
      <c r="I508" t="s">
        <v>8888</v>
      </c>
      <c r="J508" t="s">
        <v>28732</v>
      </c>
      <c r="K508" t="s">
        <v>36706</v>
      </c>
      <c r="M508" t="s">
        <v>37151</v>
      </c>
      <c r="N508" t="s">
        <v>40436</v>
      </c>
      <c r="O508" t="s">
        <v>40437</v>
      </c>
      <c r="P508">
        <v>0</v>
      </c>
      <c r="Q508">
        <v>2</v>
      </c>
      <c r="R508" t="s">
        <v>40438</v>
      </c>
      <c r="S508" t="s">
        <v>40582</v>
      </c>
      <c r="T508" t="s">
        <v>42156</v>
      </c>
      <c r="U508" t="s">
        <v>43072</v>
      </c>
      <c r="V508" t="s">
        <v>53812</v>
      </c>
      <c r="W508" t="s">
        <v>37151</v>
      </c>
      <c r="X508" t="s">
        <v>40439</v>
      </c>
    </row>
    <row r="509" spans="1:24">
      <c r="A509">
        <f>HYPERLINK("https://www.philgeps.gov.ph/GEPSNONPILOT/Tender/SplashBidNoticeAbstractUI.aspx?menuIndex=3&amp;refID=7047468&amp;Result=3","7047468")</f>
        <v>0</v>
      </c>
      <c r="B509" t="s">
        <v>262</v>
      </c>
      <c r="C509" t="s">
        <v>3590</v>
      </c>
      <c r="D509" t="s">
        <v>16245</v>
      </c>
      <c r="E509" t="s">
        <v>16785</v>
      </c>
      <c r="F509" t="s">
        <v>28198</v>
      </c>
      <c r="G509" t="s">
        <v>28207</v>
      </c>
      <c r="H509" t="s">
        <v>28215</v>
      </c>
      <c r="I509" t="s">
        <v>5100</v>
      </c>
      <c r="J509" t="s">
        <v>28733</v>
      </c>
      <c r="K509" t="s">
        <v>36694</v>
      </c>
      <c r="M509" t="s">
        <v>37238</v>
      </c>
      <c r="N509" t="s">
        <v>40436</v>
      </c>
      <c r="O509" t="s">
        <v>40437</v>
      </c>
      <c r="P509">
        <v>0</v>
      </c>
      <c r="Q509">
        <v>0</v>
      </c>
      <c r="R509" t="s">
        <v>40438</v>
      </c>
      <c r="S509" t="s">
        <v>40582</v>
      </c>
      <c r="T509" t="s">
        <v>42119</v>
      </c>
      <c r="U509" t="s">
        <v>43073</v>
      </c>
      <c r="W509" t="s">
        <v>37238</v>
      </c>
      <c r="X509" t="s">
        <v>40439</v>
      </c>
    </row>
    <row r="510" spans="1:24">
      <c r="A510">
        <f>HYPERLINK("https://www.philgeps.gov.ph/GEPSNONPILOT/Tender/SplashBidNoticeAbstractUI.aspx?menuIndex=3&amp;refID=7047485&amp;Result=3","7047485")</f>
        <v>0</v>
      </c>
      <c r="B510" t="s">
        <v>289</v>
      </c>
      <c r="C510" t="s">
        <v>3591</v>
      </c>
      <c r="D510" t="s">
        <v>16207</v>
      </c>
      <c r="E510" t="s">
        <v>16786</v>
      </c>
      <c r="F510" t="s">
        <v>28198</v>
      </c>
      <c r="G510" t="s">
        <v>28207</v>
      </c>
      <c r="H510" t="s">
        <v>28215</v>
      </c>
      <c r="I510" t="s">
        <v>5100</v>
      </c>
      <c r="J510" t="s">
        <v>28734</v>
      </c>
      <c r="K510" t="s">
        <v>36707</v>
      </c>
      <c r="M510" t="s">
        <v>37266</v>
      </c>
      <c r="N510" t="s">
        <v>40436</v>
      </c>
      <c r="O510" t="s">
        <v>40437</v>
      </c>
      <c r="P510">
        <v>0</v>
      </c>
      <c r="Q510">
        <v>0</v>
      </c>
      <c r="R510" t="s">
        <v>40438</v>
      </c>
      <c r="S510" t="s">
        <v>40582</v>
      </c>
      <c r="T510" t="s">
        <v>42103</v>
      </c>
      <c r="U510" t="s">
        <v>43074</v>
      </c>
      <c r="V510" t="s">
        <v>53843</v>
      </c>
      <c r="W510" t="s">
        <v>37266</v>
      </c>
      <c r="X510" t="s">
        <v>40439</v>
      </c>
    </row>
    <row r="511" spans="1:24">
      <c r="A511">
        <f>HYPERLINK("https://www.philgeps.gov.ph/GEPSNONPILOT/Tender/SplashBidNoticeAbstractUI.aspx?menuIndex=3&amp;refID=7047483&amp;Result=3","7047483")</f>
        <v>0</v>
      </c>
      <c r="B511" t="s">
        <v>273</v>
      </c>
      <c r="C511" t="s">
        <v>3592</v>
      </c>
      <c r="D511" t="s">
        <v>16193</v>
      </c>
      <c r="E511" t="s">
        <v>16787</v>
      </c>
      <c r="F511" t="s">
        <v>28198</v>
      </c>
      <c r="G511" t="s">
        <v>28205</v>
      </c>
      <c r="H511" t="s">
        <v>28214</v>
      </c>
      <c r="I511" t="s">
        <v>3797</v>
      </c>
      <c r="J511" t="s">
        <v>28735</v>
      </c>
      <c r="K511" t="s">
        <v>36707</v>
      </c>
      <c r="M511" t="s">
        <v>37250</v>
      </c>
      <c r="N511" t="s">
        <v>40436</v>
      </c>
      <c r="O511" t="s">
        <v>40437</v>
      </c>
      <c r="P511">
        <v>0</v>
      </c>
      <c r="Q511">
        <v>0</v>
      </c>
      <c r="R511" t="s">
        <v>40438</v>
      </c>
      <c r="S511" t="s">
        <v>40582</v>
      </c>
      <c r="T511" t="s">
        <v>42100</v>
      </c>
      <c r="U511" t="s">
        <v>43052</v>
      </c>
      <c r="W511" t="s">
        <v>55439</v>
      </c>
      <c r="X511" t="s">
        <v>40439</v>
      </c>
    </row>
    <row r="512" spans="1:24">
      <c r="A512">
        <f>HYPERLINK("https://www.philgeps.gov.ph/GEPSNONPILOT/Tender/SplashBidNoticeAbstractUI.aspx?menuIndex=3&amp;refID=7047470&amp;Result=3","7047470")</f>
        <v>0</v>
      </c>
      <c r="B512" t="s">
        <v>129</v>
      </c>
      <c r="C512" t="s">
        <v>3593</v>
      </c>
      <c r="D512" t="s">
        <v>16210</v>
      </c>
      <c r="E512" t="s">
        <v>16788</v>
      </c>
      <c r="F512" t="s">
        <v>28198</v>
      </c>
      <c r="G512" t="s">
        <v>28206</v>
      </c>
      <c r="H512" t="s">
        <v>28215</v>
      </c>
      <c r="I512" t="s">
        <v>8888</v>
      </c>
      <c r="J512" t="s">
        <v>28736</v>
      </c>
      <c r="K512" t="s">
        <v>36706</v>
      </c>
      <c r="M512" t="s">
        <v>37151</v>
      </c>
      <c r="N512" t="s">
        <v>40436</v>
      </c>
      <c r="O512" t="s">
        <v>40437</v>
      </c>
      <c r="P512">
        <v>0</v>
      </c>
      <c r="Q512">
        <v>3</v>
      </c>
      <c r="R512" t="s">
        <v>40438</v>
      </c>
      <c r="S512" t="s">
        <v>40582</v>
      </c>
      <c r="T512" t="s">
        <v>42156</v>
      </c>
      <c r="U512" t="s">
        <v>43075</v>
      </c>
      <c r="V512" t="s">
        <v>53812</v>
      </c>
      <c r="W512" t="s">
        <v>37151</v>
      </c>
      <c r="X512" t="s">
        <v>40439</v>
      </c>
    </row>
    <row r="513" spans="1:24">
      <c r="A513">
        <f>HYPERLINK("https://www.philgeps.gov.ph/GEPSNONPILOT/Tender/SplashBidNoticeAbstractUI.aspx?menuIndex=3&amp;refID=7047489&amp;Result=3","7047489")</f>
        <v>0</v>
      </c>
      <c r="B513" t="s">
        <v>257</v>
      </c>
      <c r="C513" t="s">
        <v>3594</v>
      </c>
      <c r="D513" t="s">
        <v>16193</v>
      </c>
      <c r="E513" t="s">
        <v>16789</v>
      </c>
      <c r="F513" t="s">
        <v>28198</v>
      </c>
      <c r="G513" t="s">
        <v>28205</v>
      </c>
      <c r="H513" t="s">
        <v>28214</v>
      </c>
      <c r="I513" t="s">
        <v>3797</v>
      </c>
      <c r="J513" t="s">
        <v>28737</v>
      </c>
      <c r="K513" t="s">
        <v>36694</v>
      </c>
      <c r="M513" t="s">
        <v>37233</v>
      </c>
      <c r="N513" t="s">
        <v>40436</v>
      </c>
      <c r="O513" t="s">
        <v>40437</v>
      </c>
      <c r="P513">
        <v>0</v>
      </c>
      <c r="Q513">
        <v>0</v>
      </c>
      <c r="R513" t="s">
        <v>40438</v>
      </c>
      <c r="S513" t="s">
        <v>40582</v>
      </c>
      <c r="T513" t="s">
        <v>42179</v>
      </c>
      <c r="U513" t="s">
        <v>43019</v>
      </c>
      <c r="W513" t="s">
        <v>37233</v>
      </c>
      <c r="X513" t="s">
        <v>40439</v>
      </c>
    </row>
    <row r="514" spans="1:24">
      <c r="A514">
        <f>HYPERLINK("https://www.philgeps.gov.ph/GEPSNONPILOT/Tender/SplashBidNoticeAbstractUI.aspx?menuIndex=3&amp;refID=7047482&amp;Result=3","7047482")</f>
        <v>0</v>
      </c>
      <c r="B514" t="s">
        <v>272</v>
      </c>
      <c r="C514" t="s">
        <v>3595</v>
      </c>
      <c r="D514" t="s">
        <v>16202</v>
      </c>
      <c r="E514" t="s">
        <v>16790</v>
      </c>
      <c r="F514" t="s">
        <v>28198</v>
      </c>
      <c r="G514" t="s">
        <v>28207</v>
      </c>
      <c r="H514" t="s">
        <v>28215</v>
      </c>
      <c r="I514" t="s">
        <v>28278</v>
      </c>
      <c r="J514" t="s">
        <v>28738</v>
      </c>
      <c r="K514" t="s">
        <v>36688</v>
      </c>
      <c r="M514" t="s">
        <v>37249</v>
      </c>
      <c r="N514" t="s">
        <v>40436</v>
      </c>
      <c r="O514" t="s">
        <v>40437</v>
      </c>
      <c r="P514">
        <v>0</v>
      </c>
      <c r="Q514">
        <v>0</v>
      </c>
      <c r="R514" t="s">
        <v>40438</v>
      </c>
      <c r="S514" t="s">
        <v>40582</v>
      </c>
      <c r="T514" t="s">
        <v>42119</v>
      </c>
      <c r="U514" t="s">
        <v>43076</v>
      </c>
      <c r="W514" t="s">
        <v>37249</v>
      </c>
      <c r="X514" t="s">
        <v>40439</v>
      </c>
    </row>
    <row r="515" spans="1:24">
      <c r="A515">
        <f>HYPERLINK("https://www.philgeps.gov.ph/GEPSNONPILOT/Tender/SplashBidNoticeAbstractUI.aspx?menuIndex=3&amp;refID=7047484&amp;Result=3","7047484")</f>
        <v>0</v>
      </c>
      <c r="B515" t="s">
        <v>191</v>
      </c>
      <c r="C515" t="s">
        <v>3596</v>
      </c>
      <c r="D515" t="s">
        <v>16210</v>
      </c>
      <c r="E515" t="s">
        <v>16791</v>
      </c>
      <c r="F515" t="s">
        <v>28198</v>
      </c>
      <c r="G515" t="s">
        <v>28207</v>
      </c>
      <c r="H515" t="s">
        <v>28215</v>
      </c>
      <c r="I515" t="s">
        <v>5103</v>
      </c>
      <c r="J515" t="s">
        <v>28694</v>
      </c>
      <c r="K515" t="s">
        <v>36707</v>
      </c>
      <c r="M515" t="s">
        <v>37166</v>
      </c>
      <c r="N515" t="s">
        <v>40436</v>
      </c>
      <c r="O515" t="s">
        <v>40437</v>
      </c>
      <c r="P515">
        <v>0</v>
      </c>
      <c r="Q515">
        <v>13</v>
      </c>
      <c r="R515" t="s">
        <v>40438</v>
      </c>
      <c r="S515" t="s">
        <v>40582</v>
      </c>
      <c r="T515" t="s">
        <v>42144</v>
      </c>
      <c r="U515" t="s">
        <v>43077</v>
      </c>
      <c r="W515" t="s">
        <v>55434</v>
      </c>
      <c r="X515" t="s">
        <v>40439</v>
      </c>
    </row>
    <row r="516" spans="1:24">
      <c r="A516">
        <f>HYPERLINK("https://www.philgeps.gov.ph/GEPSNONPILOT/Tender/SplashBidNoticeAbstractUI.aspx?menuIndex=3&amp;refID=7047477&amp;Result=3","7047477")</f>
        <v>0</v>
      </c>
      <c r="B516" t="s">
        <v>216</v>
      </c>
      <c r="C516" t="s">
        <v>3597</v>
      </c>
      <c r="D516" t="s">
        <v>16210</v>
      </c>
      <c r="E516" t="s">
        <v>16792</v>
      </c>
      <c r="F516" t="s">
        <v>28198</v>
      </c>
      <c r="G516" t="s">
        <v>28207</v>
      </c>
      <c r="H516" t="s">
        <v>28215</v>
      </c>
      <c r="I516" t="s">
        <v>3422</v>
      </c>
      <c r="J516" t="s">
        <v>28739</v>
      </c>
      <c r="K516" t="s">
        <v>36701</v>
      </c>
      <c r="M516" t="s">
        <v>37192</v>
      </c>
      <c r="N516" t="s">
        <v>40436</v>
      </c>
      <c r="O516" t="s">
        <v>40437</v>
      </c>
      <c r="P516">
        <v>0</v>
      </c>
      <c r="Q516">
        <v>1</v>
      </c>
      <c r="R516" t="s">
        <v>40438</v>
      </c>
      <c r="S516" t="s">
        <v>40582</v>
      </c>
      <c r="T516" t="s">
        <v>42119</v>
      </c>
      <c r="U516" t="s">
        <v>43078</v>
      </c>
      <c r="V516" t="s">
        <v>53819</v>
      </c>
      <c r="W516" t="s">
        <v>37192</v>
      </c>
      <c r="X516" t="s">
        <v>40439</v>
      </c>
    </row>
    <row r="517" spans="1:24">
      <c r="A517">
        <f>HYPERLINK("https://www.philgeps.gov.ph/GEPSNONPILOT/Tender/SplashBidNoticeAbstractUI.aspx?menuIndex=3&amp;refID=7047481&amp;Result=3","7047481")</f>
        <v>0</v>
      </c>
      <c r="B517" t="s">
        <v>290</v>
      </c>
      <c r="C517" t="s">
        <v>3598</v>
      </c>
      <c r="D517" t="s">
        <v>16250</v>
      </c>
      <c r="E517" t="s">
        <v>16793</v>
      </c>
      <c r="F517" t="s">
        <v>28198</v>
      </c>
      <c r="G517" t="s">
        <v>28207</v>
      </c>
      <c r="H517" t="s">
        <v>28215</v>
      </c>
      <c r="I517" t="s">
        <v>5103</v>
      </c>
      <c r="J517" t="s">
        <v>28665</v>
      </c>
      <c r="K517" t="s">
        <v>36689</v>
      </c>
      <c r="M517" t="s">
        <v>37267</v>
      </c>
      <c r="N517" t="s">
        <v>40436</v>
      </c>
      <c r="O517" t="s">
        <v>40437</v>
      </c>
      <c r="P517">
        <v>0</v>
      </c>
      <c r="Q517">
        <v>3</v>
      </c>
      <c r="R517" t="s">
        <v>40438</v>
      </c>
      <c r="S517" t="s">
        <v>40582</v>
      </c>
      <c r="T517" t="s">
        <v>42119</v>
      </c>
      <c r="U517" t="s">
        <v>43079</v>
      </c>
      <c r="W517" t="s">
        <v>37267</v>
      </c>
      <c r="X517" t="s">
        <v>40439</v>
      </c>
    </row>
    <row r="518" spans="1:24">
      <c r="A518">
        <f>HYPERLINK("https://www.philgeps.gov.ph/GEPSNONPILOT/Tender/SplashBidNoticeAbstractUI.aspx?menuIndex=3&amp;refID=7047473&amp;Result=3","7047473")</f>
        <v>0</v>
      </c>
      <c r="B518" t="s">
        <v>255</v>
      </c>
      <c r="C518" t="s">
        <v>3599</v>
      </c>
      <c r="D518" t="s">
        <v>16197</v>
      </c>
      <c r="E518" t="s">
        <v>16794</v>
      </c>
      <c r="F518" t="s">
        <v>28198</v>
      </c>
      <c r="G518" t="s">
        <v>28205</v>
      </c>
      <c r="H518" t="s">
        <v>28214</v>
      </c>
      <c r="I518" t="s">
        <v>5100</v>
      </c>
      <c r="J518" t="s">
        <v>28740</v>
      </c>
      <c r="K518" t="s">
        <v>36717</v>
      </c>
      <c r="M518" t="s">
        <v>37231</v>
      </c>
      <c r="N518" t="s">
        <v>40436</v>
      </c>
      <c r="O518" t="s">
        <v>40437</v>
      </c>
      <c r="P518">
        <v>0</v>
      </c>
      <c r="Q518">
        <v>1</v>
      </c>
      <c r="R518" t="s">
        <v>40438</v>
      </c>
      <c r="S518" t="s">
        <v>40582</v>
      </c>
      <c r="T518" t="s">
        <v>42189</v>
      </c>
      <c r="U518" t="s">
        <v>43080</v>
      </c>
      <c r="V518" t="s">
        <v>53836</v>
      </c>
      <c r="W518" t="s">
        <v>37231</v>
      </c>
      <c r="X518" t="s">
        <v>40439</v>
      </c>
    </row>
    <row r="519" spans="1:24">
      <c r="A519">
        <f>HYPERLINK("https://www.philgeps.gov.ph/GEPSNONPILOT/Tender/SplashBidNoticeAbstractUI.aspx?menuIndex=3&amp;refID=7047480&amp;Result=3","7047480")</f>
        <v>0</v>
      </c>
      <c r="B519" t="s">
        <v>291</v>
      </c>
      <c r="C519" t="s">
        <v>3600</v>
      </c>
      <c r="E519" t="s">
        <v>16795</v>
      </c>
      <c r="F519" t="s">
        <v>28200</v>
      </c>
      <c r="G519" t="s">
        <v>28205</v>
      </c>
      <c r="H519" t="s">
        <v>28215</v>
      </c>
      <c r="I519" t="s">
        <v>5100</v>
      </c>
      <c r="J519" t="s">
        <v>28741</v>
      </c>
      <c r="K519" t="s">
        <v>36707</v>
      </c>
      <c r="M519" t="s">
        <v>37268</v>
      </c>
      <c r="N519" t="s">
        <v>40436</v>
      </c>
      <c r="O519" t="s">
        <v>40437</v>
      </c>
      <c r="P519">
        <v>0</v>
      </c>
      <c r="Q519">
        <v>0</v>
      </c>
      <c r="R519" t="s">
        <v>40438</v>
      </c>
      <c r="S519" t="s">
        <v>40582</v>
      </c>
      <c r="T519" t="s">
        <v>42145</v>
      </c>
      <c r="U519" t="s">
        <v>43081</v>
      </c>
      <c r="W519" t="s">
        <v>37268</v>
      </c>
      <c r="X519" t="s">
        <v>40439</v>
      </c>
    </row>
    <row r="520" spans="1:24">
      <c r="A520">
        <f>HYPERLINK("https://www.philgeps.gov.ph/GEPSNONPILOT/Tender/SplashBidNoticeAbstractUI.aspx?menuIndex=3&amp;refID=7047475&amp;Result=3","7047475")</f>
        <v>0</v>
      </c>
      <c r="B520" t="s">
        <v>257</v>
      </c>
      <c r="C520" t="s">
        <v>3601</v>
      </c>
      <c r="D520" t="s">
        <v>16193</v>
      </c>
      <c r="E520" t="s">
        <v>16796</v>
      </c>
      <c r="F520" t="s">
        <v>28198</v>
      </c>
      <c r="G520" t="s">
        <v>28205</v>
      </c>
      <c r="H520" t="s">
        <v>28214</v>
      </c>
      <c r="I520" t="s">
        <v>3797</v>
      </c>
      <c r="J520" t="s">
        <v>28742</v>
      </c>
      <c r="K520" t="s">
        <v>36694</v>
      </c>
      <c r="M520" t="s">
        <v>37233</v>
      </c>
      <c r="N520" t="s">
        <v>40436</v>
      </c>
      <c r="O520" t="s">
        <v>40437</v>
      </c>
      <c r="P520">
        <v>0</v>
      </c>
      <c r="Q520">
        <v>0</v>
      </c>
      <c r="R520" t="s">
        <v>40438</v>
      </c>
      <c r="S520" t="s">
        <v>40582</v>
      </c>
      <c r="T520" t="s">
        <v>42179</v>
      </c>
      <c r="U520" t="s">
        <v>43019</v>
      </c>
      <c r="W520" t="s">
        <v>37233</v>
      </c>
      <c r="X520" t="s">
        <v>40439</v>
      </c>
    </row>
    <row r="521" spans="1:24">
      <c r="A521">
        <f>HYPERLINK("https://www.philgeps.gov.ph/GEPSNONPILOT/Tender/SplashBidNoticeAbstractUI.aspx?menuIndex=3&amp;refID=7047500&amp;Result=3","7047500")</f>
        <v>0</v>
      </c>
      <c r="B521" t="s">
        <v>292</v>
      </c>
      <c r="C521" t="s">
        <v>3602</v>
      </c>
      <c r="D521" t="s">
        <v>16222</v>
      </c>
      <c r="E521" t="s">
        <v>16797</v>
      </c>
      <c r="F521" t="s">
        <v>28198</v>
      </c>
      <c r="G521" t="s">
        <v>28207</v>
      </c>
      <c r="H521" t="s">
        <v>28215</v>
      </c>
      <c r="I521" t="s">
        <v>5656</v>
      </c>
      <c r="J521" t="s">
        <v>28539</v>
      </c>
      <c r="K521" t="s">
        <v>36691</v>
      </c>
      <c r="M521" t="s">
        <v>37269</v>
      </c>
      <c r="N521" t="s">
        <v>40436</v>
      </c>
      <c r="O521" t="s">
        <v>40437</v>
      </c>
      <c r="P521">
        <v>0</v>
      </c>
      <c r="Q521">
        <v>0</v>
      </c>
      <c r="R521" t="s">
        <v>40438</v>
      </c>
      <c r="S521" t="s">
        <v>40582</v>
      </c>
      <c r="T521" t="s">
        <v>42103</v>
      </c>
      <c r="U521" t="s">
        <v>43082</v>
      </c>
      <c r="W521" t="s">
        <v>37269</v>
      </c>
      <c r="X521" t="s">
        <v>40439</v>
      </c>
    </row>
    <row r="522" spans="1:24">
      <c r="A522">
        <f>HYPERLINK("https://www.philgeps.gov.ph/GEPSNONPILOT/Tender/SplashBidNoticeAbstractUI.aspx?menuIndex=3&amp;refID=7047479&amp;Result=3","7047479")</f>
        <v>0</v>
      </c>
      <c r="B522" t="s">
        <v>258</v>
      </c>
      <c r="C522" t="s">
        <v>3603</v>
      </c>
      <c r="D522" t="s">
        <v>16256</v>
      </c>
      <c r="E522" t="s">
        <v>16798</v>
      </c>
      <c r="F522" t="s">
        <v>28198</v>
      </c>
      <c r="G522" t="s">
        <v>28205</v>
      </c>
      <c r="H522" t="s">
        <v>28214</v>
      </c>
      <c r="I522" t="s">
        <v>3797</v>
      </c>
      <c r="J522" t="s">
        <v>28743</v>
      </c>
      <c r="K522" t="s">
        <v>36717</v>
      </c>
      <c r="M522" t="s">
        <v>37234</v>
      </c>
      <c r="N522" t="s">
        <v>40436</v>
      </c>
      <c r="O522" t="s">
        <v>40437</v>
      </c>
      <c r="P522">
        <v>0</v>
      </c>
      <c r="Q522">
        <v>0</v>
      </c>
      <c r="R522" t="s">
        <v>40438</v>
      </c>
      <c r="S522" t="s">
        <v>40582</v>
      </c>
      <c r="T522" t="s">
        <v>42125</v>
      </c>
      <c r="U522" t="s">
        <v>43020</v>
      </c>
      <c r="W522" t="s">
        <v>37234</v>
      </c>
      <c r="X522" t="s">
        <v>40439</v>
      </c>
    </row>
    <row r="523" spans="1:24">
      <c r="A523">
        <f>HYPERLINK("https://www.philgeps.gov.ph/GEPSNONPILOT/Tender/SplashBidNoticeAbstractUI.aspx?menuIndex=3&amp;refID=7047496&amp;Result=3","7047496")</f>
        <v>0</v>
      </c>
      <c r="B523" t="s">
        <v>293</v>
      </c>
      <c r="C523" t="s">
        <v>3604</v>
      </c>
      <c r="D523" t="s">
        <v>16241</v>
      </c>
      <c r="E523" t="s">
        <v>16799</v>
      </c>
      <c r="F523" t="s">
        <v>28198</v>
      </c>
      <c r="G523" t="s">
        <v>28207</v>
      </c>
      <c r="H523" t="s">
        <v>28215</v>
      </c>
      <c r="I523" t="s">
        <v>4168</v>
      </c>
      <c r="J523" t="s">
        <v>28744</v>
      </c>
      <c r="K523" t="s">
        <v>36688</v>
      </c>
      <c r="M523" t="s">
        <v>37270</v>
      </c>
      <c r="N523" t="s">
        <v>40436</v>
      </c>
      <c r="O523" t="s">
        <v>40437</v>
      </c>
      <c r="P523">
        <v>0</v>
      </c>
      <c r="Q523">
        <v>0</v>
      </c>
      <c r="R523" t="s">
        <v>40438</v>
      </c>
      <c r="S523" t="s">
        <v>40582</v>
      </c>
      <c r="T523" t="s">
        <v>42129</v>
      </c>
      <c r="U523" t="s">
        <v>43083</v>
      </c>
      <c r="W523" t="s">
        <v>37270</v>
      </c>
      <c r="X523" t="s">
        <v>40439</v>
      </c>
    </row>
    <row r="524" spans="1:24">
      <c r="A524">
        <f>HYPERLINK("https://www.philgeps.gov.ph/GEPSNONPILOT/Tender/SplashBidNoticeAbstractUI.aspx?menuIndex=3&amp;refID=7047491&amp;Result=3","7047491")</f>
        <v>0</v>
      </c>
      <c r="B524" t="s">
        <v>294</v>
      </c>
      <c r="C524" t="s">
        <v>3605</v>
      </c>
      <c r="D524" t="s">
        <v>16213</v>
      </c>
      <c r="E524" t="s">
        <v>16516</v>
      </c>
      <c r="F524" t="s">
        <v>28198</v>
      </c>
      <c r="G524" t="s">
        <v>28207</v>
      </c>
      <c r="H524" t="s">
        <v>28215</v>
      </c>
      <c r="I524" t="s">
        <v>28247</v>
      </c>
      <c r="J524" t="s">
        <v>28745</v>
      </c>
      <c r="K524" t="s">
        <v>36688</v>
      </c>
      <c r="M524" t="s">
        <v>37271</v>
      </c>
      <c r="N524" t="s">
        <v>40436</v>
      </c>
      <c r="O524" t="s">
        <v>40437</v>
      </c>
      <c r="P524">
        <v>0</v>
      </c>
      <c r="Q524">
        <v>5</v>
      </c>
      <c r="R524" t="s">
        <v>40438</v>
      </c>
      <c r="S524" t="s">
        <v>40582</v>
      </c>
      <c r="T524" t="s">
        <v>42103</v>
      </c>
      <c r="U524" t="s">
        <v>43084</v>
      </c>
      <c r="W524" t="s">
        <v>37271</v>
      </c>
      <c r="X524" t="s">
        <v>40439</v>
      </c>
    </row>
    <row r="525" spans="1:24">
      <c r="A525">
        <f>HYPERLINK("https://www.philgeps.gov.ph/GEPSNONPILOT/Tender/SplashBidNoticeAbstractUI.aspx?menuIndex=3&amp;refID=7047497&amp;Result=3","7047497")</f>
        <v>0</v>
      </c>
      <c r="B525" t="s">
        <v>295</v>
      </c>
      <c r="C525" t="s">
        <v>3606</v>
      </c>
      <c r="D525" t="s">
        <v>16257</v>
      </c>
      <c r="E525" t="s">
        <v>16800</v>
      </c>
      <c r="F525" t="s">
        <v>28198</v>
      </c>
      <c r="G525" t="s">
        <v>28207</v>
      </c>
      <c r="H525" t="s">
        <v>28215</v>
      </c>
      <c r="I525" t="s">
        <v>28257</v>
      </c>
      <c r="J525" t="s">
        <v>28629</v>
      </c>
      <c r="K525" t="s">
        <v>36701</v>
      </c>
      <c r="M525" t="s">
        <v>37272</v>
      </c>
      <c r="N525" t="s">
        <v>40436</v>
      </c>
      <c r="O525" t="s">
        <v>40437</v>
      </c>
      <c r="P525">
        <v>0</v>
      </c>
      <c r="Q525">
        <v>0</v>
      </c>
      <c r="R525" t="s">
        <v>40438</v>
      </c>
      <c r="S525" t="s">
        <v>40582</v>
      </c>
      <c r="T525" t="s">
        <v>42144</v>
      </c>
      <c r="U525" t="s">
        <v>43085</v>
      </c>
      <c r="W525" t="s">
        <v>37272</v>
      </c>
      <c r="X525" t="s">
        <v>40439</v>
      </c>
    </row>
    <row r="526" spans="1:24">
      <c r="A526">
        <f>HYPERLINK("https://www.philgeps.gov.ph/GEPSNONPILOT/Tender/SplashBidNoticeAbstractUI.aspx?menuIndex=3&amp;refID=7047495&amp;Result=3","7047495")</f>
        <v>0</v>
      </c>
      <c r="B526" t="s">
        <v>214</v>
      </c>
      <c r="C526" t="s">
        <v>3607</v>
      </c>
      <c r="D526" t="s">
        <v>16251</v>
      </c>
      <c r="E526" t="s">
        <v>16801</v>
      </c>
      <c r="F526" t="s">
        <v>28198</v>
      </c>
      <c r="G526" t="s">
        <v>28205</v>
      </c>
      <c r="H526" t="s">
        <v>28214</v>
      </c>
      <c r="I526" t="s">
        <v>3797</v>
      </c>
      <c r="J526" t="s">
        <v>28746</v>
      </c>
      <c r="K526" t="s">
        <v>36707</v>
      </c>
      <c r="M526" t="s">
        <v>37190</v>
      </c>
      <c r="N526" t="s">
        <v>40436</v>
      </c>
      <c r="O526" t="s">
        <v>40437</v>
      </c>
      <c r="P526">
        <v>0</v>
      </c>
      <c r="Q526">
        <v>0</v>
      </c>
      <c r="R526" t="s">
        <v>40438</v>
      </c>
      <c r="S526" t="s">
        <v>40582</v>
      </c>
      <c r="T526" t="s">
        <v>42183</v>
      </c>
      <c r="U526" t="s">
        <v>43086</v>
      </c>
      <c r="W526" t="s">
        <v>37190</v>
      </c>
      <c r="X526" t="s">
        <v>40439</v>
      </c>
    </row>
    <row r="527" spans="1:24">
      <c r="A527">
        <f>HYPERLINK("https://www.philgeps.gov.ph/GEPSNONPILOT/Tender/SplashBidNoticeAbstractUI.aspx?menuIndex=3&amp;refID=7047501&amp;Result=3","7047501")</f>
        <v>0</v>
      </c>
      <c r="B527" t="s">
        <v>274</v>
      </c>
      <c r="C527" t="s">
        <v>3608</v>
      </c>
      <c r="D527" t="s">
        <v>16210</v>
      </c>
      <c r="E527" t="s">
        <v>16802</v>
      </c>
      <c r="F527" t="s">
        <v>28198</v>
      </c>
      <c r="G527" t="s">
        <v>28207</v>
      </c>
      <c r="H527" t="s">
        <v>28215</v>
      </c>
      <c r="I527" t="s">
        <v>5071</v>
      </c>
      <c r="J527" t="s">
        <v>28747</v>
      </c>
      <c r="K527" t="s">
        <v>36706</v>
      </c>
      <c r="M527" t="s">
        <v>37251</v>
      </c>
      <c r="N527" t="s">
        <v>40436</v>
      </c>
      <c r="O527" t="s">
        <v>40437</v>
      </c>
      <c r="P527">
        <v>0</v>
      </c>
      <c r="Q527">
        <v>5</v>
      </c>
      <c r="R527" t="s">
        <v>40438</v>
      </c>
      <c r="S527" t="s">
        <v>40582</v>
      </c>
      <c r="T527" t="s">
        <v>42159</v>
      </c>
      <c r="U527" t="s">
        <v>43087</v>
      </c>
      <c r="V527" t="s">
        <v>53844</v>
      </c>
      <c r="W527" t="s">
        <v>37251</v>
      </c>
      <c r="X527" t="s">
        <v>40439</v>
      </c>
    </row>
    <row r="528" spans="1:24">
      <c r="A528">
        <f>HYPERLINK("https://www.philgeps.gov.ph/GEPSNONPILOT/Tender/SplashBidNoticeAbstractUI.aspx?menuIndex=3&amp;refID=7047503&amp;Result=3","7047503")</f>
        <v>0</v>
      </c>
      <c r="B528" t="s">
        <v>272</v>
      </c>
      <c r="C528" t="s">
        <v>3595</v>
      </c>
      <c r="D528" t="s">
        <v>16202</v>
      </c>
      <c r="E528" t="s">
        <v>16803</v>
      </c>
      <c r="F528" t="s">
        <v>28198</v>
      </c>
      <c r="G528" t="s">
        <v>28207</v>
      </c>
      <c r="H528" t="s">
        <v>28215</v>
      </c>
      <c r="I528" t="s">
        <v>28247</v>
      </c>
      <c r="J528" t="s">
        <v>28748</v>
      </c>
      <c r="K528" t="s">
        <v>36688</v>
      </c>
      <c r="M528" t="s">
        <v>37249</v>
      </c>
      <c r="N528" t="s">
        <v>40436</v>
      </c>
      <c r="O528" t="s">
        <v>40437</v>
      </c>
      <c r="P528">
        <v>0</v>
      </c>
      <c r="Q528">
        <v>3</v>
      </c>
      <c r="R528" t="s">
        <v>40438</v>
      </c>
      <c r="S528" t="s">
        <v>40582</v>
      </c>
      <c r="T528" t="s">
        <v>42103</v>
      </c>
      <c r="U528" t="s">
        <v>43088</v>
      </c>
      <c r="W528" t="s">
        <v>37249</v>
      </c>
      <c r="X528" t="s">
        <v>40439</v>
      </c>
    </row>
    <row r="529" spans="1:24">
      <c r="A529">
        <f>HYPERLINK("https://www.philgeps.gov.ph/GEPSNONPILOT/Tender/SplashBidNoticeAbstractUI.aspx?menuIndex=3&amp;refID=7047502&amp;Result=3","7047502")</f>
        <v>0</v>
      </c>
      <c r="B529" t="s">
        <v>291</v>
      </c>
      <c r="C529" t="s">
        <v>3609</v>
      </c>
      <c r="D529" t="s">
        <v>16254</v>
      </c>
      <c r="E529" t="s">
        <v>16804</v>
      </c>
      <c r="F529" t="s">
        <v>28200</v>
      </c>
      <c r="G529" t="s">
        <v>28205</v>
      </c>
      <c r="H529" t="s">
        <v>28215</v>
      </c>
      <c r="I529" t="s">
        <v>5100</v>
      </c>
      <c r="J529" t="s">
        <v>28749</v>
      </c>
      <c r="K529" t="s">
        <v>36707</v>
      </c>
      <c r="M529" t="s">
        <v>37268</v>
      </c>
      <c r="N529" t="s">
        <v>40436</v>
      </c>
      <c r="O529" t="s">
        <v>40437</v>
      </c>
      <c r="P529">
        <v>0</v>
      </c>
      <c r="Q529">
        <v>0</v>
      </c>
      <c r="R529" t="s">
        <v>40438</v>
      </c>
      <c r="S529" t="s">
        <v>40582</v>
      </c>
      <c r="T529" t="s">
        <v>42145</v>
      </c>
      <c r="U529" t="s">
        <v>43081</v>
      </c>
      <c r="W529" t="s">
        <v>37268</v>
      </c>
      <c r="X529" t="s">
        <v>40439</v>
      </c>
    </row>
    <row r="530" spans="1:24">
      <c r="A530">
        <f>HYPERLINK("https://www.philgeps.gov.ph/GEPSNONPILOT/Tender/SplashBidNoticeAbstractUI.aspx?menuIndex=3&amp;refID=7047516&amp;Result=3","7047516")</f>
        <v>0</v>
      </c>
      <c r="B530" t="s">
        <v>293</v>
      </c>
      <c r="C530" t="s">
        <v>3610</v>
      </c>
      <c r="D530" t="s">
        <v>16241</v>
      </c>
      <c r="E530" t="s">
        <v>16805</v>
      </c>
      <c r="F530" t="s">
        <v>28198</v>
      </c>
      <c r="G530" t="s">
        <v>28207</v>
      </c>
      <c r="H530" t="s">
        <v>28215</v>
      </c>
      <c r="I530" t="s">
        <v>5631</v>
      </c>
      <c r="J530" t="s">
        <v>28750</v>
      </c>
      <c r="K530" t="s">
        <v>36688</v>
      </c>
      <c r="M530" t="s">
        <v>37270</v>
      </c>
      <c r="N530" t="s">
        <v>40436</v>
      </c>
      <c r="O530" t="s">
        <v>40437</v>
      </c>
      <c r="P530">
        <v>0</v>
      </c>
      <c r="Q530">
        <v>0</v>
      </c>
      <c r="R530" t="s">
        <v>40438</v>
      </c>
      <c r="S530" t="s">
        <v>40582</v>
      </c>
      <c r="T530" t="s">
        <v>42129</v>
      </c>
      <c r="U530" t="s">
        <v>43083</v>
      </c>
      <c r="W530" t="s">
        <v>37270</v>
      </c>
      <c r="X530" t="s">
        <v>40439</v>
      </c>
    </row>
    <row r="531" spans="1:24">
      <c r="A531">
        <f>HYPERLINK("https://www.philgeps.gov.ph/GEPSNONPILOT/Tender/SplashBidNoticeAbstractUI.aspx?menuIndex=3&amp;refID=7047513&amp;Result=3","7047513")</f>
        <v>0</v>
      </c>
      <c r="B531" t="s">
        <v>296</v>
      </c>
      <c r="C531" t="s">
        <v>3611</v>
      </c>
      <c r="D531" t="s">
        <v>16188</v>
      </c>
      <c r="E531" t="s">
        <v>16806</v>
      </c>
      <c r="F531" t="s">
        <v>28198</v>
      </c>
      <c r="G531" t="s">
        <v>28207</v>
      </c>
      <c r="H531" t="s">
        <v>28215</v>
      </c>
      <c r="I531" t="s">
        <v>4168</v>
      </c>
      <c r="J531" t="s">
        <v>28751</v>
      </c>
      <c r="K531" t="s">
        <v>36689</v>
      </c>
      <c r="M531" t="s">
        <v>37273</v>
      </c>
      <c r="N531" t="s">
        <v>40436</v>
      </c>
      <c r="O531" t="s">
        <v>40437</v>
      </c>
      <c r="P531">
        <v>0</v>
      </c>
      <c r="Q531">
        <v>0</v>
      </c>
      <c r="R531" t="s">
        <v>40438</v>
      </c>
      <c r="S531" t="s">
        <v>40582</v>
      </c>
      <c r="T531" t="s">
        <v>42198</v>
      </c>
      <c r="U531" t="s">
        <v>43089</v>
      </c>
      <c r="W531" t="s">
        <v>37273</v>
      </c>
      <c r="X531" t="s">
        <v>40439</v>
      </c>
    </row>
    <row r="532" spans="1:24">
      <c r="A532">
        <f>HYPERLINK("https://www.philgeps.gov.ph/GEPSNONPILOT/Tender/SplashBidNoticeAbstractUI.aspx?menuIndex=3&amp;refID=7047511&amp;Result=3","7047511")</f>
        <v>0</v>
      </c>
      <c r="B532" t="s">
        <v>297</v>
      </c>
      <c r="C532" t="s">
        <v>3612</v>
      </c>
      <c r="D532" t="s">
        <v>16199</v>
      </c>
      <c r="E532" t="s">
        <v>16807</v>
      </c>
      <c r="F532" t="s">
        <v>28198</v>
      </c>
      <c r="G532" t="s">
        <v>28205</v>
      </c>
      <c r="H532" t="s">
        <v>28215</v>
      </c>
      <c r="I532" t="s">
        <v>28259</v>
      </c>
      <c r="J532" t="s">
        <v>28752</v>
      </c>
      <c r="K532" t="s">
        <v>36693</v>
      </c>
      <c r="M532" t="s">
        <v>37274</v>
      </c>
      <c r="N532" t="s">
        <v>40436</v>
      </c>
      <c r="O532" t="s">
        <v>40437</v>
      </c>
      <c r="P532">
        <v>0</v>
      </c>
      <c r="Q532">
        <v>4</v>
      </c>
      <c r="R532" t="s">
        <v>40438</v>
      </c>
      <c r="S532" t="s">
        <v>40582</v>
      </c>
      <c r="T532" t="s">
        <v>42197</v>
      </c>
      <c r="U532" t="s">
        <v>43090</v>
      </c>
      <c r="W532" t="s">
        <v>37274</v>
      </c>
      <c r="X532" t="s">
        <v>40439</v>
      </c>
    </row>
    <row r="533" spans="1:24">
      <c r="A533">
        <f>HYPERLINK("https://www.philgeps.gov.ph/GEPSNONPILOT/Tender/SplashBidNoticeAbstractUI.aspx?menuIndex=3&amp;refID=7047510&amp;Result=3","7047510")</f>
        <v>0</v>
      </c>
      <c r="B533" t="s">
        <v>255</v>
      </c>
      <c r="C533" t="s">
        <v>3613</v>
      </c>
      <c r="D533" t="s">
        <v>16197</v>
      </c>
      <c r="E533" t="s">
        <v>16808</v>
      </c>
      <c r="F533" t="s">
        <v>28198</v>
      </c>
      <c r="G533" t="s">
        <v>28205</v>
      </c>
      <c r="H533" t="s">
        <v>28214</v>
      </c>
      <c r="I533" t="s">
        <v>5100</v>
      </c>
      <c r="J533" t="s">
        <v>28753</v>
      </c>
      <c r="K533" t="s">
        <v>36735</v>
      </c>
      <c r="M533" t="s">
        <v>37231</v>
      </c>
      <c r="N533" t="s">
        <v>40436</v>
      </c>
      <c r="O533" t="s">
        <v>40437</v>
      </c>
      <c r="P533">
        <v>0</v>
      </c>
      <c r="Q533">
        <v>0</v>
      </c>
      <c r="R533" t="s">
        <v>40438</v>
      </c>
      <c r="S533" t="s">
        <v>40582</v>
      </c>
      <c r="T533" t="s">
        <v>42189</v>
      </c>
      <c r="U533" t="s">
        <v>43091</v>
      </c>
      <c r="V533" t="s">
        <v>53836</v>
      </c>
      <c r="W533" t="s">
        <v>37231</v>
      </c>
      <c r="X533" t="s">
        <v>40439</v>
      </c>
    </row>
    <row r="534" spans="1:24">
      <c r="A534">
        <f>HYPERLINK("https://www.philgeps.gov.ph/GEPSNONPILOT/Tender/SplashBidNoticeAbstractUI.aspx?menuIndex=3&amp;refID=7047507&amp;Result=3","7047507")</f>
        <v>0</v>
      </c>
      <c r="B534" t="s">
        <v>298</v>
      </c>
      <c r="C534" t="s">
        <v>3614</v>
      </c>
      <c r="D534" t="s">
        <v>16235</v>
      </c>
      <c r="E534" t="s">
        <v>16809</v>
      </c>
      <c r="F534" t="s">
        <v>28198</v>
      </c>
      <c r="G534" t="s">
        <v>28207</v>
      </c>
      <c r="H534" t="s">
        <v>28215</v>
      </c>
      <c r="I534" t="s">
        <v>4200</v>
      </c>
      <c r="J534" t="s">
        <v>28754</v>
      </c>
      <c r="K534" t="s">
        <v>36707</v>
      </c>
      <c r="M534" t="s">
        <v>37275</v>
      </c>
      <c r="N534" t="s">
        <v>40436</v>
      </c>
      <c r="O534" t="s">
        <v>40437</v>
      </c>
      <c r="P534">
        <v>0</v>
      </c>
      <c r="Q534">
        <v>2</v>
      </c>
      <c r="R534" t="s">
        <v>40438</v>
      </c>
      <c r="S534" t="s">
        <v>40582</v>
      </c>
      <c r="T534" t="s">
        <v>42119</v>
      </c>
      <c r="U534" t="s">
        <v>43092</v>
      </c>
      <c r="W534" t="s">
        <v>37275</v>
      </c>
      <c r="X534" t="s">
        <v>40439</v>
      </c>
    </row>
    <row r="535" spans="1:24">
      <c r="A535">
        <f>HYPERLINK("https://www.philgeps.gov.ph/GEPSNONPILOT/Tender/SplashBidNoticeAbstractUI.aspx?menuIndex=3&amp;refID=7047514&amp;Result=3","7047514")</f>
        <v>0</v>
      </c>
      <c r="B535" t="s">
        <v>272</v>
      </c>
      <c r="C535" t="s">
        <v>3615</v>
      </c>
      <c r="D535" t="s">
        <v>16202</v>
      </c>
      <c r="E535" t="s">
        <v>16810</v>
      </c>
      <c r="F535" t="s">
        <v>28198</v>
      </c>
      <c r="G535" t="s">
        <v>28207</v>
      </c>
      <c r="H535" t="s">
        <v>28215</v>
      </c>
      <c r="I535" t="s">
        <v>28257</v>
      </c>
      <c r="J535" t="s">
        <v>28352</v>
      </c>
      <c r="K535" t="s">
        <v>36688</v>
      </c>
      <c r="M535" t="s">
        <v>37249</v>
      </c>
      <c r="N535" t="s">
        <v>40436</v>
      </c>
      <c r="O535" t="s">
        <v>40437</v>
      </c>
      <c r="P535">
        <v>0</v>
      </c>
      <c r="Q535">
        <v>0</v>
      </c>
      <c r="R535" t="s">
        <v>40438</v>
      </c>
      <c r="S535" t="s">
        <v>40582</v>
      </c>
      <c r="T535" t="s">
        <v>42103</v>
      </c>
      <c r="U535" t="s">
        <v>43093</v>
      </c>
      <c r="W535" t="s">
        <v>37249</v>
      </c>
      <c r="X535" t="s">
        <v>40439</v>
      </c>
    </row>
    <row r="536" spans="1:24">
      <c r="A536">
        <f>HYPERLINK("https://www.philgeps.gov.ph/GEPSNONPILOT/Tender/SplashBidNoticeAbstractUI.aspx?menuIndex=3&amp;refID=7047508&amp;Result=3","7047508")</f>
        <v>0</v>
      </c>
      <c r="B536" t="s">
        <v>299</v>
      </c>
      <c r="C536" t="s">
        <v>3616</v>
      </c>
      <c r="E536" t="s">
        <v>16811</v>
      </c>
      <c r="F536" t="s">
        <v>28198</v>
      </c>
      <c r="G536" t="s">
        <v>28207</v>
      </c>
      <c r="H536" t="s">
        <v>28215</v>
      </c>
      <c r="I536" t="s">
        <v>3774</v>
      </c>
      <c r="J536" t="s">
        <v>28694</v>
      </c>
      <c r="K536" t="s">
        <v>36689</v>
      </c>
      <c r="M536" t="s">
        <v>37276</v>
      </c>
      <c r="N536" t="s">
        <v>40436</v>
      </c>
      <c r="O536" t="s">
        <v>40437</v>
      </c>
      <c r="P536">
        <v>0</v>
      </c>
      <c r="Q536">
        <v>2</v>
      </c>
      <c r="R536" t="s">
        <v>40438</v>
      </c>
      <c r="S536" t="s">
        <v>40582</v>
      </c>
      <c r="T536" t="s">
        <v>42119</v>
      </c>
      <c r="U536" t="s">
        <v>43094</v>
      </c>
      <c r="W536" t="s">
        <v>37276</v>
      </c>
      <c r="X536" t="s">
        <v>40439</v>
      </c>
    </row>
    <row r="537" spans="1:24">
      <c r="A537">
        <f>HYPERLINK("https://www.philgeps.gov.ph/GEPSNONPILOT/Tender/SplashBidNoticeAbstractUI.aspx?menuIndex=3&amp;refID=7047492&amp;Result=3","7047492")</f>
        <v>0</v>
      </c>
      <c r="B537" t="s">
        <v>300</v>
      </c>
      <c r="C537" t="s">
        <v>3617</v>
      </c>
      <c r="D537" t="s">
        <v>16192</v>
      </c>
      <c r="E537" t="s">
        <v>16812</v>
      </c>
      <c r="F537" t="s">
        <v>28198</v>
      </c>
      <c r="G537" t="s">
        <v>28207</v>
      </c>
      <c r="H537" t="s">
        <v>28215</v>
      </c>
      <c r="I537" t="s">
        <v>4219</v>
      </c>
      <c r="J537" t="s">
        <v>28373</v>
      </c>
      <c r="K537" t="s">
        <v>36701</v>
      </c>
      <c r="M537" t="s">
        <v>37277</v>
      </c>
      <c r="N537" t="s">
        <v>40436</v>
      </c>
      <c r="O537" t="s">
        <v>40437</v>
      </c>
      <c r="P537">
        <v>0</v>
      </c>
      <c r="Q537">
        <v>0</v>
      </c>
      <c r="R537" t="s">
        <v>40438</v>
      </c>
      <c r="S537" t="s">
        <v>40582</v>
      </c>
      <c r="T537" t="s">
        <v>42119</v>
      </c>
      <c r="U537" t="s">
        <v>43095</v>
      </c>
      <c r="W537" t="s">
        <v>37277</v>
      </c>
      <c r="X537" t="s">
        <v>40439</v>
      </c>
    </row>
    <row r="538" spans="1:24">
      <c r="A538">
        <f>HYPERLINK("https://www.philgeps.gov.ph/GEPSNONPILOT/Tender/SplashBidNoticeAbstractUI.aspx?menuIndex=3&amp;refID=7047505&amp;Result=3","7047505")</f>
        <v>0</v>
      </c>
      <c r="B538" t="s">
        <v>129</v>
      </c>
      <c r="C538" t="s">
        <v>3618</v>
      </c>
      <c r="D538" t="s">
        <v>16210</v>
      </c>
      <c r="E538" t="s">
        <v>16813</v>
      </c>
      <c r="F538" t="s">
        <v>28198</v>
      </c>
      <c r="G538" t="s">
        <v>28206</v>
      </c>
      <c r="H538" t="s">
        <v>28215</v>
      </c>
      <c r="I538" t="s">
        <v>8888</v>
      </c>
      <c r="J538" t="s">
        <v>28755</v>
      </c>
      <c r="K538" t="s">
        <v>36706</v>
      </c>
      <c r="M538" t="s">
        <v>37151</v>
      </c>
      <c r="N538" t="s">
        <v>40436</v>
      </c>
      <c r="O538" t="s">
        <v>40437</v>
      </c>
      <c r="P538">
        <v>0</v>
      </c>
      <c r="Q538">
        <v>2</v>
      </c>
      <c r="R538" t="s">
        <v>40438</v>
      </c>
      <c r="S538" t="s">
        <v>40582</v>
      </c>
      <c r="T538" t="s">
        <v>42156</v>
      </c>
      <c r="U538" t="s">
        <v>43096</v>
      </c>
      <c r="V538" t="s">
        <v>53812</v>
      </c>
      <c r="W538" t="s">
        <v>37151</v>
      </c>
      <c r="X538" t="s">
        <v>40439</v>
      </c>
    </row>
    <row r="539" spans="1:24">
      <c r="A539">
        <f>HYPERLINK("https://www.philgeps.gov.ph/GEPSNONPILOT/Tender/SplashBidNoticeAbstractUI.aspx?menuIndex=3&amp;refID=7047524&amp;Result=3","7047524")</f>
        <v>0</v>
      </c>
      <c r="B539" t="s">
        <v>301</v>
      </c>
      <c r="C539" t="s">
        <v>3619</v>
      </c>
      <c r="D539" t="s">
        <v>16244</v>
      </c>
      <c r="E539" t="s">
        <v>16598</v>
      </c>
      <c r="F539" t="s">
        <v>28198</v>
      </c>
      <c r="G539" t="s">
        <v>28205</v>
      </c>
      <c r="H539" t="s">
        <v>28215</v>
      </c>
      <c r="I539" t="s">
        <v>28250</v>
      </c>
      <c r="J539" t="s">
        <v>28629</v>
      </c>
      <c r="K539" t="s">
        <v>36701</v>
      </c>
      <c r="M539" t="s">
        <v>37278</v>
      </c>
      <c r="N539" t="s">
        <v>40436</v>
      </c>
      <c r="O539" t="s">
        <v>40437</v>
      </c>
      <c r="P539">
        <v>0</v>
      </c>
      <c r="Q539">
        <v>0</v>
      </c>
      <c r="R539" t="s">
        <v>40438</v>
      </c>
      <c r="S539" t="s">
        <v>40582</v>
      </c>
      <c r="T539" t="s">
        <v>42125</v>
      </c>
      <c r="U539" t="s">
        <v>43097</v>
      </c>
      <c r="V539" t="s">
        <v>53845</v>
      </c>
      <c r="W539" t="s">
        <v>37278</v>
      </c>
      <c r="X539" t="s">
        <v>40439</v>
      </c>
    </row>
    <row r="540" spans="1:24">
      <c r="A540">
        <f>HYPERLINK("https://www.philgeps.gov.ph/GEPSNONPILOT/Tender/SplashBidNoticeAbstractUI.aspx?menuIndex=3&amp;refID=7047517&amp;Result=3","7047517")</f>
        <v>0</v>
      </c>
      <c r="B540" t="s">
        <v>300</v>
      </c>
      <c r="C540" t="s">
        <v>3620</v>
      </c>
      <c r="D540" t="s">
        <v>16192</v>
      </c>
      <c r="E540" t="s">
        <v>16814</v>
      </c>
      <c r="F540" t="s">
        <v>28198</v>
      </c>
      <c r="G540" t="s">
        <v>28207</v>
      </c>
      <c r="H540" t="s">
        <v>28215</v>
      </c>
      <c r="I540" t="s">
        <v>4200</v>
      </c>
      <c r="J540" t="s">
        <v>28756</v>
      </c>
      <c r="K540" t="s">
        <v>36701</v>
      </c>
      <c r="M540" t="s">
        <v>37277</v>
      </c>
      <c r="N540" t="s">
        <v>40436</v>
      </c>
      <c r="O540" t="s">
        <v>40437</v>
      </c>
      <c r="P540">
        <v>0</v>
      </c>
      <c r="Q540">
        <v>0</v>
      </c>
      <c r="R540" t="s">
        <v>40438</v>
      </c>
      <c r="S540" t="s">
        <v>40582</v>
      </c>
      <c r="T540" t="s">
        <v>42199</v>
      </c>
      <c r="U540" t="s">
        <v>43098</v>
      </c>
      <c r="W540" t="s">
        <v>37277</v>
      </c>
      <c r="X540" t="s">
        <v>40439</v>
      </c>
    </row>
    <row r="541" spans="1:24">
      <c r="A541">
        <f>HYPERLINK("https://www.philgeps.gov.ph/GEPSNONPILOT/Tender/SplashBidNoticeAbstractUI.aspx?menuIndex=3&amp;refID=7047493&amp;Result=3","7047493")</f>
        <v>0</v>
      </c>
      <c r="B541" t="s">
        <v>72</v>
      </c>
      <c r="C541" t="s">
        <v>3621</v>
      </c>
      <c r="D541" t="s">
        <v>16216</v>
      </c>
      <c r="E541" t="s">
        <v>16815</v>
      </c>
      <c r="F541" t="s">
        <v>28198</v>
      </c>
      <c r="G541" t="s">
        <v>28207</v>
      </c>
      <c r="H541" t="s">
        <v>28215</v>
      </c>
      <c r="I541" t="s">
        <v>28234</v>
      </c>
      <c r="J541" t="s">
        <v>28757</v>
      </c>
      <c r="K541" t="s">
        <v>36708</v>
      </c>
      <c r="M541" t="s">
        <v>37044</v>
      </c>
      <c r="N541" t="s">
        <v>40436</v>
      </c>
      <c r="O541" t="s">
        <v>40437</v>
      </c>
      <c r="P541">
        <v>0</v>
      </c>
      <c r="Q541">
        <v>2</v>
      </c>
      <c r="R541" t="s">
        <v>40438</v>
      </c>
      <c r="S541" t="s">
        <v>40582</v>
      </c>
      <c r="T541" t="s">
        <v>42129</v>
      </c>
      <c r="U541" t="s">
        <v>42707</v>
      </c>
      <c r="W541" t="s">
        <v>37044</v>
      </c>
      <c r="X541" t="s">
        <v>40439</v>
      </c>
    </row>
    <row r="542" spans="1:24">
      <c r="A542">
        <f>HYPERLINK("https://www.philgeps.gov.ph/GEPSNONPILOT/Tender/SplashBidNoticeAbstractUI.aspx?menuIndex=3&amp;refID=7047504&amp;Result=3","7047504")</f>
        <v>0</v>
      </c>
      <c r="B542" t="s">
        <v>302</v>
      </c>
      <c r="C542" t="s">
        <v>3622</v>
      </c>
      <c r="D542" t="s">
        <v>16196</v>
      </c>
      <c r="E542" t="s">
        <v>16816</v>
      </c>
      <c r="F542" t="s">
        <v>28198</v>
      </c>
      <c r="G542" t="s">
        <v>28206</v>
      </c>
      <c r="H542" t="s">
        <v>28215</v>
      </c>
      <c r="I542" t="s">
        <v>28225</v>
      </c>
      <c r="J542" t="s">
        <v>28758</v>
      </c>
      <c r="K542" t="s">
        <v>36707</v>
      </c>
      <c r="M542" t="s">
        <v>37279</v>
      </c>
      <c r="N542" t="s">
        <v>40436</v>
      </c>
      <c r="O542" t="s">
        <v>40437</v>
      </c>
      <c r="P542">
        <v>0</v>
      </c>
      <c r="Q542">
        <v>14</v>
      </c>
      <c r="R542" t="s">
        <v>40438</v>
      </c>
      <c r="S542" t="s">
        <v>40582</v>
      </c>
      <c r="T542" t="s">
        <v>42142</v>
      </c>
      <c r="U542" t="s">
        <v>43099</v>
      </c>
      <c r="W542" t="s">
        <v>37279</v>
      </c>
      <c r="X542" t="s">
        <v>40439</v>
      </c>
    </row>
    <row r="543" spans="1:24">
      <c r="A543">
        <f>HYPERLINK("https://www.philgeps.gov.ph/GEPSNONPILOT/Tender/SplashBidNoticeAbstractUI.aspx?menuIndex=3&amp;refID=7047525&amp;Result=3","7047525")</f>
        <v>0</v>
      </c>
      <c r="B543" t="s">
        <v>303</v>
      </c>
      <c r="C543" t="s">
        <v>3623</v>
      </c>
      <c r="D543" t="s">
        <v>16196</v>
      </c>
      <c r="E543" t="s">
        <v>16817</v>
      </c>
      <c r="F543" t="s">
        <v>28198</v>
      </c>
      <c r="G543" t="s">
        <v>28205</v>
      </c>
      <c r="H543" t="s">
        <v>28214</v>
      </c>
      <c r="I543" t="s">
        <v>3797</v>
      </c>
      <c r="J543" t="s">
        <v>28759</v>
      </c>
      <c r="K543" t="s">
        <v>36692</v>
      </c>
      <c r="M543" t="s">
        <v>37280</v>
      </c>
      <c r="N543" t="s">
        <v>40436</v>
      </c>
      <c r="O543" t="s">
        <v>40437</v>
      </c>
      <c r="P543">
        <v>0</v>
      </c>
      <c r="Q543">
        <v>4</v>
      </c>
      <c r="R543" t="s">
        <v>40438</v>
      </c>
      <c r="S543" t="s">
        <v>40582</v>
      </c>
      <c r="T543" t="s">
        <v>42108</v>
      </c>
      <c r="U543" t="s">
        <v>43100</v>
      </c>
      <c r="W543" t="s">
        <v>37280</v>
      </c>
      <c r="X543" t="s">
        <v>40439</v>
      </c>
    </row>
    <row r="544" spans="1:24">
      <c r="A544">
        <f>HYPERLINK("https://www.philgeps.gov.ph/GEPSNONPILOT/Tender/SplashBidNoticeAbstractUI.aspx?menuIndex=3&amp;refID=7047521&amp;Result=3","7047521")</f>
        <v>0</v>
      </c>
      <c r="B544" t="s">
        <v>304</v>
      </c>
      <c r="C544" t="s">
        <v>3624</v>
      </c>
      <c r="D544" t="s">
        <v>16202</v>
      </c>
      <c r="E544" t="s">
        <v>16818</v>
      </c>
      <c r="F544" t="s">
        <v>28198</v>
      </c>
      <c r="G544" t="s">
        <v>28209</v>
      </c>
      <c r="H544" t="s">
        <v>28215</v>
      </c>
      <c r="I544" t="s">
        <v>28223</v>
      </c>
      <c r="J544" t="s">
        <v>28632</v>
      </c>
      <c r="K544" t="s">
        <v>36689</v>
      </c>
      <c r="M544" t="s">
        <v>37281</v>
      </c>
      <c r="N544" t="s">
        <v>40436</v>
      </c>
      <c r="O544" t="s">
        <v>40437</v>
      </c>
      <c r="P544">
        <v>0</v>
      </c>
      <c r="Q544">
        <v>1</v>
      </c>
      <c r="R544" t="s">
        <v>40438</v>
      </c>
      <c r="S544" t="s">
        <v>40582</v>
      </c>
      <c r="T544" t="s">
        <v>42132</v>
      </c>
      <c r="U544" t="s">
        <v>43101</v>
      </c>
      <c r="W544" t="s">
        <v>37281</v>
      </c>
      <c r="X544" t="s">
        <v>40439</v>
      </c>
    </row>
    <row r="545" spans="1:24">
      <c r="A545">
        <f>HYPERLINK("https://www.philgeps.gov.ph/GEPSNONPILOT/Tender/SplashBidNoticeAbstractUI.aspx?menuIndex=3&amp;refID=7047494&amp;Result=3","7047494")</f>
        <v>0</v>
      </c>
      <c r="B545" t="s">
        <v>305</v>
      </c>
      <c r="C545" t="s">
        <v>3625</v>
      </c>
      <c r="D545" t="s">
        <v>16197</v>
      </c>
      <c r="E545" t="s">
        <v>16819</v>
      </c>
      <c r="F545" t="s">
        <v>28198</v>
      </c>
      <c r="G545" t="s">
        <v>28205</v>
      </c>
      <c r="H545" t="s">
        <v>28215</v>
      </c>
      <c r="I545" t="s">
        <v>4168</v>
      </c>
      <c r="J545" t="s">
        <v>28760</v>
      </c>
      <c r="K545" t="s">
        <v>36701</v>
      </c>
      <c r="M545" t="s">
        <v>37282</v>
      </c>
      <c r="N545" t="s">
        <v>40436</v>
      </c>
      <c r="O545" t="s">
        <v>40437</v>
      </c>
      <c r="P545">
        <v>0</v>
      </c>
      <c r="Q545">
        <v>13</v>
      </c>
      <c r="R545" t="s">
        <v>40438</v>
      </c>
      <c r="S545" t="s">
        <v>40582</v>
      </c>
      <c r="T545" t="s">
        <v>42108</v>
      </c>
      <c r="U545" t="s">
        <v>43102</v>
      </c>
      <c r="W545" t="s">
        <v>37282</v>
      </c>
      <c r="X545" t="s">
        <v>40439</v>
      </c>
    </row>
    <row r="546" spans="1:24">
      <c r="A546">
        <f>HYPERLINK("https://www.philgeps.gov.ph/GEPSNONPILOT/Tender/SplashBidNoticeAbstractUI.aspx?menuIndex=3&amp;refID=7047522&amp;Result=3","7047522")</f>
        <v>0</v>
      </c>
      <c r="B546" t="s">
        <v>306</v>
      </c>
      <c r="C546" t="s">
        <v>3626</v>
      </c>
      <c r="D546" t="s">
        <v>16221</v>
      </c>
      <c r="E546" t="s">
        <v>16352</v>
      </c>
      <c r="F546" t="s">
        <v>28198</v>
      </c>
      <c r="G546" t="s">
        <v>28205</v>
      </c>
      <c r="H546" t="s">
        <v>28215</v>
      </c>
      <c r="I546" t="s">
        <v>28238</v>
      </c>
      <c r="J546" t="s">
        <v>28761</v>
      </c>
      <c r="K546" t="s">
        <v>36701</v>
      </c>
      <c r="M546" t="s">
        <v>37283</v>
      </c>
      <c r="N546" t="s">
        <v>40436</v>
      </c>
      <c r="O546" t="s">
        <v>40437</v>
      </c>
      <c r="P546">
        <v>0</v>
      </c>
      <c r="Q546">
        <v>7</v>
      </c>
      <c r="R546" t="s">
        <v>40438</v>
      </c>
      <c r="S546" t="s">
        <v>40582</v>
      </c>
      <c r="T546" t="s">
        <v>42118</v>
      </c>
      <c r="U546" t="s">
        <v>43103</v>
      </c>
      <c r="W546" t="s">
        <v>37283</v>
      </c>
      <c r="X546" t="s">
        <v>40439</v>
      </c>
    </row>
    <row r="547" spans="1:24">
      <c r="A547">
        <f>HYPERLINK("https://www.philgeps.gov.ph/GEPSNONPILOT/Tender/SplashBidNoticeAbstractUI.aspx?menuIndex=3&amp;refID=7047518&amp;Result=3","7047518")</f>
        <v>0</v>
      </c>
      <c r="B547" t="s">
        <v>307</v>
      </c>
      <c r="C547" t="s">
        <v>3627</v>
      </c>
      <c r="D547" t="s">
        <v>16206</v>
      </c>
      <c r="E547" t="s">
        <v>16820</v>
      </c>
      <c r="F547" t="s">
        <v>28198</v>
      </c>
      <c r="G547" t="s">
        <v>28207</v>
      </c>
      <c r="H547" t="s">
        <v>28215</v>
      </c>
      <c r="I547" t="s">
        <v>5100</v>
      </c>
      <c r="J547" t="s">
        <v>28762</v>
      </c>
      <c r="K547" t="s">
        <v>36693</v>
      </c>
      <c r="M547" t="s">
        <v>37284</v>
      </c>
      <c r="N547" t="s">
        <v>40436</v>
      </c>
      <c r="O547" t="s">
        <v>40437</v>
      </c>
      <c r="P547">
        <v>0</v>
      </c>
      <c r="Q547">
        <v>0</v>
      </c>
      <c r="R547" t="s">
        <v>40438</v>
      </c>
      <c r="S547" t="s">
        <v>40582</v>
      </c>
      <c r="T547" t="s">
        <v>42163</v>
      </c>
      <c r="U547" t="s">
        <v>43104</v>
      </c>
      <c r="W547" t="s">
        <v>37284</v>
      </c>
      <c r="X547" t="s">
        <v>40439</v>
      </c>
    </row>
    <row r="548" spans="1:24">
      <c r="A548">
        <f>HYPERLINK("https://www.philgeps.gov.ph/GEPSNONPILOT/Tender/SplashBidNoticeAbstractUI.aspx?menuIndex=3&amp;refID=7047520&amp;Result=3","7047520")</f>
        <v>0</v>
      </c>
      <c r="B548" t="s">
        <v>242</v>
      </c>
      <c r="C548" t="s">
        <v>3628</v>
      </c>
      <c r="D548" t="s">
        <v>16254</v>
      </c>
      <c r="E548" t="s">
        <v>16821</v>
      </c>
      <c r="F548" t="s">
        <v>28198</v>
      </c>
      <c r="G548" t="s">
        <v>28207</v>
      </c>
      <c r="H548" t="s">
        <v>28215</v>
      </c>
      <c r="I548" t="s">
        <v>28262</v>
      </c>
      <c r="J548" t="s">
        <v>28763</v>
      </c>
      <c r="K548" t="s">
        <v>36707</v>
      </c>
      <c r="M548" t="s">
        <v>37218</v>
      </c>
      <c r="N548" t="s">
        <v>40436</v>
      </c>
      <c r="O548" t="s">
        <v>40437</v>
      </c>
      <c r="P548">
        <v>0</v>
      </c>
      <c r="Q548">
        <v>1</v>
      </c>
      <c r="R548" t="s">
        <v>40438</v>
      </c>
      <c r="S548" t="s">
        <v>40582</v>
      </c>
      <c r="T548" t="s">
        <v>42176</v>
      </c>
      <c r="U548" t="s">
        <v>43105</v>
      </c>
      <c r="W548" t="s">
        <v>37218</v>
      </c>
      <c r="X548" t="s">
        <v>40439</v>
      </c>
    </row>
    <row r="549" spans="1:24">
      <c r="A549">
        <f>HYPERLINK("https://www.philgeps.gov.ph/GEPSNONPILOT/Tender/SplashBidNoticeAbstractUI.aspx?menuIndex=3&amp;refID=7047523&amp;Result=3","7047523")</f>
        <v>0</v>
      </c>
      <c r="B549" t="s">
        <v>275</v>
      </c>
      <c r="C549" t="s">
        <v>3629</v>
      </c>
      <c r="D549" t="s">
        <v>16258</v>
      </c>
      <c r="E549" t="s">
        <v>16822</v>
      </c>
      <c r="F549" t="s">
        <v>28198</v>
      </c>
      <c r="G549" t="s">
        <v>28205</v>
      </c>
      <c r="H549" t="s">
        <v>28215</v>
      </c>
      <c r="I549" t="s">
        <v>5100</v>
      </c>
      <c r="J549" t="s">
        <v>28764</v>
      </c>
      <c r="K549" t="s">
        <v>36701</v>
      </c>
      <c r="M549" t="s">
        <v>37252</v>
      </c>
      <c r="N549" t="s">
        <v>40436</v>
      </c>
      <c r="O549" t="s">
        <v>40437</v>
      </c>
      <c r="P549">
        <v>0</v>
      </c>
      <c r="Q549">
        <v>0</v>
      </c>
      <c r="R549" t="s">
        <v>40438</v>
      </c>
      <c r="S549" t="s">
        <v>40582</v>
      </c>
      <c r="T549" t="s">
        <v>42130</v>
      </c>
      <c r="U549" t="s">
        <v>43106</v>
      </c>
      <c r="V549" t="s">
        <v>53846</v>
      </c>
      <c r="W549" t="s">
        <v>37252</v>
      </c>
      <c r="X549" t="s">
        <v>40439</v>
      </c>
    </row>
    <row r="550" spans="1:24">
      <c r="A550">
        <f>HYPERLINK("https://www.philgeps.gov.ph/GEPSNONPILOT/Tender/SplashBidNoticeAbstractUI.aspx?menuIndex=3&amp;refID=7047536&amp;Result=3","7047536")</f>
        <v>0</v>
      </c>
      <c r="B550" t="s">
        <v>257</v>
      </c>
      <c r="C550" t="s">
        <v>3630</v>
      </c>
      <c r="D550" t="s">
        <v>16193</v>
      </c>
      <c r="E550" t="s">
        <v>16823</v>
      </c>
      <c r="F550" t="s">
        <v>28198</v>
      </c>
      <c r="G550" t="s">
        <v>28205</v>
      </c>
      <c r="H550" t="s">
        <v>28214</v>
      </c>
      <c r="I550" t="s">
        <v>3797</v>
      </c>
      <c r="J550" t="s">
        <v>28765</v>
      </c>
      <c r="K550" t="s">
        <v>36701</v>
      </c>
      <c r="M550" t="s">
        <v>37233</v>
      </c>
      <c r="N550" t="s">
        <v>40436</v>
      </c>
      <c r="O550" t="s">
        <v>40437</v>
      </c>
      <c r="P550">
        <v>0</v>
      </c>
      <c r="Q550">
        <v>0</v>
      </c>
      <c r="R550" t="s">
        <v>40438</v>
      </c>
      <c r="S550" t="s">
        <v>40582</v>
      </c>
      <c r="T550" t="s">
        <v>42179</v>
      </c>
      <c r="U550" t="s">
        <v>43019</v>
      </c>
      <c r="W550" t="s">
        <v>37233</v>
      </c>
      <c r="X550" t="s">
        <v>40439</v>
      </c>
    </row>
    <row r="551" spans="1:24">
      <c r="A551">
        <f>HYPERLINK("https://www.philgeps.gov.ph/GEPSNONPILOT/Tender/SplashBidNoticeAbstractUI.aspx?menuIndex=3&amp;refID=7047519&amp;Result=3","7047519")</f>
        <v>0</v>
      </c>
      <c r="B551" t="s">
        <v>308</v>
      </c>
      <c r="C551" t="s">
        <v>3631</v>
      </c>
      <c r="D551" t="s">
        <v>16203</v>
      </c>
      <c r="E551" t="s">
        <v>16824</v>
      </c>
      <c r="F551" t="s">
        <v>28198</v>
      </c>
      <c r="G551" t="s">
        <v>28207</v>
      </c>
      <c r="H551" t="s">
        <v>28215</v>
      </c>
      <c r="I551" t="s">
        <v>5631</v>
      </c>
      <c r="J551" t="s">
        <v>28350</v>
      </c>
      <c r="K551" t="s">
        <v>36689</v>
      </c>
      <c r="M551" t="s">
        <v>37285</v>
      </c>
      <c r="N551" t="s">
        <v>40436</v>
      </c>
      <c r="O551" t="s">
        <v>40437</v>
      </c>
      <c r="P551">
        <v>0</v>
      </c>
      <c r="Q551">
        <v>0</v>
      </c>
      <c r="R551" t="s">
        <v>40438</v>
      </c>
      <c r="S551" t="s">
        <v>40582</v>
      </c>
      <c r="T551" t="s">
        <v>42103</v>
      </c>
      <c r="U551" t="s">
        <v>43107</v>
      </c>
      <c r="W551" t="s">
        <v>37285</v>
      </c>
      <c r="X551" t="s">
        <v>40439</v>
      </c>
    </row>
    <row r="552" spans="1:24">
      <c r="A552">
        <f>HYPERLINK("https://www.philgeps.gov.ph/GEPSNONPILOT/Tender/SplashBidNoticeAbstractUI.aspx?menuIndex=3&amp;refID=7047534&amp;Result=3","7047534")</f>
        <v>0</v>
      </c>
      <c r="B552" t="s">
        <v>272</v>
      </c>
      <c r="C552" t="s">
        <v>3632</v>
      </c>
      <c r="D552" t="s">
        <v>16202</v>
      </c>
      <c r="E552" t="s">
        <v>16825</v>
      </c>
      <c r="F552" t="s">
        <v>28198</v>
      </c>
      <c r="G552" t="s">
        <v>28207</v>
      </c>
      <c r="H552" t="s">
        <v>28215</v>
      </c>
      <c r="I552" t="s">
        <v>5100</v>
      </c>
      <c r="J552" t="s">
        <v>28766</v>
      </c>
      <c r="K552" t="s">
        <v>36688</v>
      </c>
      <c r="M552" t="s">
        <v>37249</v>
      </c>
      <c r="N552" t="s">
        <v>40436</v>
      </c>
      <c r="O552" t="s">
        <v>40437</v>
      </c>
      <c r="P552">
        <v>0</v>
      </c>
      <c r="Q552">
        <v>1</v>
      </c>
      <c r="R552" t="s">
        <v>40438</v>
      </c>
      <c r="S552" t="s">
        <v>40582</v>
      </c>
      <c r="T552" t="s">
        <v>42119</v>
      </c>
      <c r="U552" t="s">
        <v>43108</v>
      </c>
      <c r="W552" t="s">
        <v>37249</v>
      </c>
      <c r="X552" t="s">
        <v>40439</v>
      </c>
    </row>
    <row r="553" spans="1:24">
      <c r="A553">
        <f>HYPERLINK("https://www.philgeps.gov.ph/GEPSNONPILOT/Tender/SplashBidNoticeAbstractUI.aspx?menuIndex=3&amp;refID=7047533&amp;Result=3","7047533")</f>
        <v>0</v>
      </c>
      <c r="B553" t="s">
        <v>277</v>
      </c>
      <c r="C553" t="s">
        <v>3633</v>
      </c>
      <c r="D553" t="s">
        <v>16189</v>
      </c>
      <c r="E553" t="s">
        <v>16768</v>
      </c>
      <c r="F553" t="s">
        <v>28198</v>
      </c>
      <c r="G553" t="s">
        <v>28206</v>
      </c>
      <c r="H553" t="s">
        <v>28215</v>
      </c>
      <c r="I553" t="s">
        <v>28247</v>
      </c>
      <c r="J553" t="s">
        <v>28767</v>
      </c>
      <c r="K553" t="s">
        <v>36706</v>
      </c>
      <c r="M553" t="s">
        <v>37254</v>
      </c>
      <c r="N553" t="s">
        <v>40436</v>
      </c>
      <c r="O553" t="s">
        <v>40437</v>
      </c>
      <c r="P553">
        <v>0</v>
      </c>
      <c r="Q553">
        <v>6</v>
      </c>
      <c r="R553" t="s">
        <v>40438</v>
      </c>
      <c r="S553" t="s">
        <v>40582</v>
      </c>
      <c r="T553" t="s">
        <v>42134</v>
      </c>
      <c r="U553" t="s">
        <v>43109</v>
      </c>
      <c r="W553" t="s">
        <v>37254</v>
      </c>
      <c r="X553" t="s">
        <v>40439</v>
      </c>
    </row>
    <row r="554" spans="1:24">
      <c r="A554">
        <f>HYPERLINK("https://www.philgeps.gov.ph/GEPSNONPILOT/Tender/SplashBidNoticeAbstractUI.aspx?menuIndex=3&amp;refID=7047530&amp;Result=3","7047530")</f>
        <v>0</v>
      </c>
      <c r="B554" t="s">
        <v>294</v>
      </c>
      <c r="C554" t="s">
        <v>3634</v>
      </c>
      <c r="D554" t="s">
        <v>16213</v>
      </c>
      <c r="E554" t="s">
        <v>16524</v>
      </c>
      <c r="F554" t="s">
        <v>28198</v>
      </c>
      <c r="G554" t="s">
        <v>28207</v>
      </c>
      <c r="H554" t="s">
        <v>28215</v>
      </c>
      <c r="I554" t="s">
        <v>5656</v>
      </c>
      <c r="J554" t="s">
        <v>28768</v>
      </c>
      <c r="K554" t="s">
        <v>36688</v>
      </c>
      <c r="M554" t="s">
        <v>37271</v>
      </c>
      <c r="N554" t="s">
        <v>40436</v>
      </c>
      <c r="O554" t="s">
        <v>40437</v>
      </c>
      <c r="P554">
        <v>0</v>
      </c>
      <c r="Q554">
        <v>1</v>
      </c>
      <c r="R554" t="s">
        <v>40438</v>
      </c>
      <c r="S554" t="s">
        <v>40582</v>
      </c>
      <c r="T554" t="s">
        <v>42103</v>
      </c>
      <c r="U554" t="s">
        <v>43110</v>
      </c>
      <c r="W554" t="s">
        <v>37271</v>
      </c>
      <c r="X554" t="s">
        <v>40439</v>
      </c>
    </row>
    <row r="555" spans="1:24">
      <c r="A555">
        <f>HYPERLINK("https://www.philgeps.gov.ph/GEPSNONPILOT/Tender/SplashBidNoticeAbstractUI.aspx?menuIndex=3&amp;refID=7047535&amp;Result=3","7047535")</f>
        <v>0</v>
      </c>
      <c r="B555" t="s">
        <v>300</v>
      </c>
      <c r="C555" t="s">
        <v>3635</v>
      </c>
      <c r="D555" t="s">
        <v>16192</v>
      </c>
      <c r="E555" t="s">
        <v>16826</v>
      </c>
      <c r="F555" t="s">
        <v>28198</v>
      </c>
      <c r="G555" t="s">
        <v>28207</v>
      </c>
      <c r="H555" t="s">
        <v>28215</v>
      </c>
      <c r="I555" t="s">
        <v>5100</v>
      </c>
      <c r="J555" t="s">
        <v>28769</v>
      </c>
      <c r="K555" t="s">
        <v>36701</v>
      </c>
      <c r="M555" t="s">
        <v>37277</v>
      </c>
      <c r="N555" t="s">
        <v>40436</v>
      </c>
      <c r="O555" t="s">
        <v>40437</v>
      </c>
      <c r="P555">
        <v>0</v>
      </c>
      <c r="Q555">
        <v>2</v>
      </c>
      <c r="R555" t="s">
        <v>40438</v>
      </c>
      <c r="S555" t="s">
        <v>40582</v>
      </c>
      <c r="T555" t="s">
        <v>42103</v>
      </c>
      <c r="U555" t="s">
        <v>43111</v>
      </c>
      <c r="W555" t="s">
        <v>37277</v>
      </c>
      <c r="X555" t="s">
        <v>40439</v>
      </c>
    </row>
    <row r="556" spans="1:24">
      <c r="A556">
        <f>HYPERLINK("https://www.philgeps.gov.ph/GEPSNONPILOT/Tender/SplashBidNoticeAbstractUI.aspx?menuIndex=3&amp;refID=7047526&amp;Result=3","7047526")</f>
        <v>0</v>
      </c>
      <c r="B556" t="s">
        <v>257</v>
      </c>
      <c r="C556" t="s">
        <v>3636</v>
      </c>
      <c r="D556" t="s">
        <v>16193</v>
      </c>
      <c r="E556" t="s">
        <v>16827</v>
      </c>
      <c r="F556" t="s">
        <v>28198</v>
      </c>
      <c r="G556" t="s">
        <v>28205</v>
      </c>
      <c r="H556" t="s">
        <v>28214</v>
      </c>
      <c r="I556" t="s">
        <v>3797</v>
      </c>
      <c r="J556" t="s">
        <v>28770</v>
      </c>
      <c r="K556" t="s">
        <v>36715</v>
      </c>
      <c r="M556" t="s">
        <v>37233</v>
      </c>
      <c r="N556" t="s">
        <v>40436</v>
      </c>
      <c r="O556" t="s">
        <v>40437</v>
      </c>
      <c r="P556">
        <v>0</v>
      </c>
      <c r="Q556">
        <v>0</v>
      </c>
      <c r="R556" t="s">
        <v>40438</v>
      </c>
      <c r="S556" t="s">
        <v>40582</v>
      </c>
      <c r="T556" t="s">
        <v>42179</v>
      </c>
      <c r="U556" t="s">
        <v>43019</v>
      </c>
      <c r="W556" t="s">
        <v>37233</v>
      </c>
      <c r="X556" t="s">
        <v>40439</v>
      </c>
    </row>
    <row r="557" spans="1:24">
      <c r="A557">
        <f>HYPERLINK("https://www.philgeps.gov.ph/GEPSNONPILOT/Tender/SplashBidNoticeAbstractUI.aspx?menuIndex=3&amp;refID=7047532&amp;Result=3","7047532")</f>
        <v>0</v>
      </c>
      <c r="B557" t="s">
        <v>309</v>
      </c>
      <c r="C557" t="s">
        <v>3637</v>
      </c>
      <c r="D557" t="s">
        <v>16228</v>
      </c>
      <c r="E557" t="s">
        <v>16828</v>
      </c>
      <c r="F557" t="s">
        <v>28200</v>
      </c>
      <c r="G557" t="s">
        <v>28205</v>
      </c>
      <c r="H557" t="s">
        <v>28215</v>
      </c>
      <c r="I557" t="s">
        <v>4505</v>
      </c>
      <c r="J557" t="s">
        <v>28771</v>
      </c>
      <c r="K557" t="s">
        <v>36701</v>
      </c>
      <c r="M557" t="s">
        <v>37286</v>
      </c>
      <c r="N557" t="s">
        <v>40436</v>
      </c>
      <c r="O557" t="s">
        <v>40437</v>
      </c>
      <c r="P557">
        <v>0</v>
      </c>
      <c r="Q557">
        <v>1</v>
      </c>
      <c r="R557" t="s">
        <v>40438</v>
      </c>
      <c r="S557" t="s">
        <v>40582</v>
      </c>
      <c r="T557" t="s">
        <v>42145</v>
      </c>
      <c r="U557" t="s">
        <v>43112</v>
      </c>
      <c r="V557" t="s">
        <v>53847</v>
      </c>
      <c r="W557" t="s">
        <v>55440</v>
      </c>
      <c r="X557" t="s">
        <v>40439</v>
      </c>
    </row>
    <row r="558" spans="1:24">
      <c r="A558">
        <f>HYPERLINK("https://www.philgeps.gov.ph/GEPSNONPILOT/Tender/SplashBidNoticeAbstractUI.aspx?menuIndex=3&amp;refID=7047538&amp;Result=3","7047538")</f>
        <v>0</v>
      </c>
      <c r="B558" t="s">
        <v>176</v>
      </c>
      <c r="C558" t="s">
        <v>3638</v>
      </c>
      <c r="D558" t="s">
        <v>16217</v>
      </c>
      <c r="E558" t="s">
        <v>16829</v>
      </c>
      <c r="F558" t="s">
        <v>28198</v>
      </c>
      <c r="G558" t="s">
        <v>28207</v>
      </c>
      <c r="H558" t="s">
        <v>28215</v>
      </c>
      <c r="I558" t="s">
        <v>28256</v>
      </c>
      <c r="J558" t="s">
        <v>28772</v>
      </c>
      <c r="K558" t="s">
        <v>36701</v>
      </c>
      <c r="M558" t="s">
        <v>37287</v>
      </c>
      <c r="N558" t="s">
        <v>40436</v>
      </c>
      <c r="O558" t="s">
        <v>40437</v>
      </c>
      <c r="P558">
        <v>0</v>
      </c>
      <c r="Q558">
        <v>2</v>
      </c>
      <c r="R558" t="s">
        <v>40438</v>
      </c>
      <c r="S558" t="s">
        <v>40582</v>
      </c>
      <c r="T558" t="s">
        <v>42112</v>
      </c>
      <c r="U558" t="s">
        <v>43113</v>
      </c>
      <c r="W558" t="s">
        <v>37287</v>
      </c>
      <c r="X558" t="s">
        <v>40439</v>
      </c>
    </row>
    <row r="559" spans="1:24">
      <c r="A559">
        <f>HYPERLINK("https://www.philgeps.gov.ph/GEPSNONPILOT/Tender/SplashBidNoticeAbstractUI.aspx?menuIndex=3&amp;refID=7047528&amp;Result=3","7047528")</f>
        <v>0</v>
      </c>
      <c r="B559" t="s">
        <v>310</v>
      </c>
      <c r="C559" t="s">
        <v>3639</v>
      </c>
      <c r="D559" t="s">
        <v>16202</v>
      </c>
      <c r="E559" t="s">
        <v>16830</v>
      </c>
      <c r="F559" t="s">
        <v>28198</v>
      </c>
      <c r="G559" t="s">
        <v>28205</v>
      </c>
      <c r="H559" t="s">
        <v>28214</v>
      </c>
      <c r="I559" t="s">
        <v>3797</v>
      </c>
      <c r="J559" t="s">
        <v>28395</v>
      </c>
      <c r="K559" t="s">
        <v>36689</v>
      </c>
      <c r="L559" t="s">
        <v>310</v>
      </c>
      <c r="M559" t="s">
        <v>37288</v>
      </c>
      <c r="N559" t="s">
        <v>40436</v>
      </c>
      <c r="O559" t="s">
        <v>40437</v>
      </c>
      <c r="P559">
        <v>0</v>
      </c>
      <c r="Q559">
        <v>0</v>
      </c>
      <c r="R559" t="s">
        <v>40438</v>
      </c>
      <c r="S559" t="s">
        <v>40582</v>
      </c>
      <c r="T559" t="s">
        <v>42107</v>
      </c>
      <c r="U559" t="s">
        <v>43114</v>
      </c>
      <c r="W559" t="s">
        <v>37288</v>
      </c>
      <c r="X559" t="s">
        <v>40439</v>
      </c>
    </row>
    <row r="560" spans="1:24">
      <c r="A560">
        <f>HYPERLINK("https://www.philgeps.gov.ph/GEPSNONPILOT/Tender/SplashBidNoticeAbstractUI.aspx?menuIndex=3&amp;refID=7047529&amp;Result=3","7047529")</f>
        <v>0</v>
      </c>
      <c r="B560" t="s">
        <v>197</v>
      </c>
      <c r="C560" t="s">
        <v>3640</v>
      </c>
      <c r="D560" t="s">
        <v>16196</v>
      </c>
      <c r="E560" t="s">
        <v>16831</v>
      </c>
      <c r="F560" t="s">
        <v>28198</v>
      </c>
      <c r="G560" t="s">
        <v>28207</v>
      </c>
      <c r="H560" t="s">
        <v>28215</v>
      </c>
      <c r="I560" t="s">
        <v>28232</v>
      </c>
      <c r="J560" t="s">
        <v>28414</v>
      </c>
      <c r="K560" t="s">
        <v>36688</v>
      </c>
      <c r="M560" t="s">
        <v>37172</v>
      </c>
      <c r="N560" t="s">
        <v>40436</v>
      </c>
      <c r="O560" t="s">
        <v>40437</v>
      </c>
      <c r="P560">
        <v>0</v>
      </c>
      <c r="Q560">
        <v>0</v>
      </c>
      <c r="R560" t="s">
        <v>40438</v>
      </c>
      <c r="S560" t="s">
        <v>40582</v>
      </c>
      <c r="T560" t="s">
        <v>42199</v>
      </c>
      <c r="U560" t="s">
        <v>43115</v>
      </c>
      <c r="V560" t="s">
        <v>53848</v>
      </c>
      <c r="W560" t="s">
        <v>37172</v>
      </c>
      <c r="X560" t="s">
        <v>40439</v>
      </c>
    </row>
    <row r="561" spans="1:24">
      <c r="A561">
        <f>HYPERLINK("https://www.philgeps.gov.ph/GEPSNONPILOT/Tender/SplashBidNoticeAbstractUI.aspx?menuIndex=3&amp;refID=7047554&amp;Result=3","7047554")</f>
        <v>0</v>
      </c>
      <c r="B561" t="s">
        <v>72</v>
      </c>
      <c r="C561" t="s">
        <v>3641</v>
      </c>
      <c r="D561" t="s">
        <v>16216</v>
      </c>
      <c r="E561" t="s">
        <v>16832</v>
      </c>
      <c r="F561" t="s">
        <v>28198</v>
      </c>
      <c r="G561" t="s">
        <v>28207</v>
      </c>
      <c r="H561" t="s">
        <v>28215</v>
      </c>
      <c r="I561" t="s">
        <v>28279</v>
      </c>
      <c r="J561" t="s">
        <v>28773</v>
      </c>
      <c r="K561" t="s">
        <v>36701</v>
      </c>
      <c r="M561" t="s">
        <v>37044</v>
      </c>
      <c r="N561" t="s">
        <v>40436</v>
      </c>
      <c r="O561" t="s">
        <v>40437</v>
      </c>
      <c r="P561">
        <v>0</v>
      </c>
      <c r="Q561">
        <v>4</v>
      </c>
      <c r="R561" t="s">
        <v>40438</v>
      </c>
      <c r="S561" t="s">
        <v>40582</v>
      </c>
      <c r="T561" t="s">
        <v>42129</v>
      </c>
      <c r="U561" t="s">
        <v>42707</v>
      </c>
      <c r="W561" t="s">
        <v>37044</v>
      </c>
      <c r="X561" t="s">
        <v>40439</v>
      </c>
    </row>
    <row r="562" spans="1:24">
      <c r="A562">
        <f>HYPERLINK("https://www.philgeps.gov.ph/GEPSNONPILOT/Tender/SplashBidNoticeAbstractUI.aspx?menuIndex=3&amp;refID=7047555&amp;Result=3","7047555")</f>
        <v>0</v>
      </c>
      <c r="B562" t="s">
        <v>300</v>
      </c>
      <c r="C562" t="s">
        <v>3642</v>
      </c>
      <c r="D562" t="s">
        <v>16192</v>
      </c>
      <c r="E562" t="s">
        <v>16833</v>
      </c>
      <c r="F562" t="s">
        <v>28198</v>
      </c>
      <c r="G562" t="s">
        <v>28207</v>
      </c>
      <c r="H562" t="s">
        <v>28215</v>
      </c>
      <c r="I562" t="s">
        <v>5100</v>
      </c>
      <c r="J562" t="s">
        <v>28373</v>
      </c>
      <c r="K562" t="s">
        <v>36701</v>
      </c>
      <c r="M562" t="s">
        <v>37277</v>
      </c>
      <c r="N562" t="s">
        <v>40436</v>
      </c>
      <c r="O562" t="s">
        <v>40437</v>
      </c>
      <c r="P562">
        <v>0</v>
      </c>
      <c r="Q562">
        <v>2</v>
      </c>
      <c r="R562" t="s">
        <v>40438</v>
      </c>
      <c r="S562" t="s">
        <v>40582</v>
      </c>
      <c r="T562" t="s">
        <v>42200</v>
      </c>
      <c r="U562" t="s">
        <v>43116</v>
      </c>
      <c r="W562" t="s">
        <v>37277</v>
      </c>
      <c r="X562" t="s">
        <v>40439</v>
      </c>
    </row>
    <row r="563" spans="1:24">
      <c r="A563">
        <f>HYPERLINK("https://www.philgeps.gov.ph/GEPSNONPILOT/Tender/SplashBidNoticeAbstractUI.aspx?menuIndex=3&amp;refID=7047537&amp;Result=3","7047537")</f>
        <v>0</v>
      </c>
      <c r="B563" t="s">
        <v>311</v>
      </c>
      <c r="C563" t="s">
        <v>3643</v>
      </c>
      <c r="D563" t="s">
        <v>16230</v>
      </c>
      <c r="E563" t="s">
        <v>16834</v>
      </c>
      <c r="F563" t="s">
        <v>28198</v>
      </c>
      <c r="G563" t="s">
        <v>28207</v>
      </c>
      <c r="H563" t="s">
        <v>28215</v>
      </c>
      <c r="I563" t="s">
        <v>28266</v>
      </c>
      <c r="J563" t="s">
        <v>28345</v>
      </c>
      <c r="K563" t="s">
        <v>36701</v>
      </c>
      <c r="M563" t="s">
        <v>37289</v>
      </c>
      <c r="N563" t="s">
        <v>40436</v>
      </c>
      <c r="O563" t="s">
        <v>40437</v>
      </c>
      <c r="P563">
        <v>0</v>
      </c>
      <c r="Q563">
        <v>4</v>
      </c>
      <c r="R563" t="s">
        <v>40438</v>
      </c>
      <c r="S563" t="s">
        <v>40582</v>
      </c>
      <c r="T563" t="s">
        <v>42177</v>
      </c>
      <c r="U563" t="s">
        <v>43117</v>
      </c>
      <c r="W563" t="s">
        <v>37289</v>
      </c>
      <c r="X563" t="s">
        <v>40439</v>
      </c>
    </row>
    <row r="564" spans="1:24">
      <c r="A564">
        <f>HYPERLINK("https://www.philgeps.gov.ph/GEPSNONPILOT/Tender/SplashBidNoticeAbstractUI.aspx?menuIndex=3&amp;refID=7047557&amp;Result=3","7047557")</f>
        <v>0</v>
      </c>
      <c r="B564" t="s">
        <v>312</v>
      </c>
      <c r="C564" t="s">
        <v>3644</v>
      </c>
      <c r="D564" t="s">
        <v>16259</v>
      </c>
      <c r="E564" t="s">
        <v>16835</v>
      </c>
      <c r="F564" t="s">
        <v>28198</v>
      </c>
      <c r="G564" t="s">
        <v>28205</v>
      </c>
      <c r="H564" t="s">
        <v>28214</v>
      </c>
      <c r="I564" t="s">
        <v>3797</v>
      </c>
      <c r="J564" t="s">
        <v>28395</v>
      </c>
      <c r="K564" t="s">
        <v>36715</v>
      </c>
      <c r="M564" t="s">
        <v>37290</v>
      </c>
      <c r="N564" t="s">
        <v>40436</v>
      </c>
      <c r="O564" t="s">
        <v>40437</v>
      </c>
      <c r="P564">
        <v>0</v>
      </c>
      <c r="Q564">
        <v>0</v>
      </c>
      <c r="R564" t="s">
        <v>40438</v>
      </c>
      <c r="S564" t="s">
        <v>40582</v>
      </c>
      <c r="T564" t="s">
        <v>42125</v>
      </c>
      <c r="U564" t="s">
        <v>43118</v>
      </c>
      <c r="W564" t="s">
        <v>37290</v>
      </c>
      <c r="X564" t="s">
        <v>40439</v>
      </c>
    </row>
    <row r="565" spans="1:24">
      <c r="A565">
        <f>HYPERLINK("https://www.philgeps.gov.ph/GEPSNONPILOT/Tender/SplashBidNoticeAbstractUI.aspx?menuIndex=3&amp;refID=7047553&amp;Result=3","7047553")</f>
        <v>0</v>
      </c>
      <c r="B565" t="s">
        <v>313</v>
      </c>
      <c r="C565" t="s">
        <v>3645</v>
      </c>
      <c r="D565" t="s">
        <v>16210</v>
      </c>
      <c r="E565" t="s">
        <v>16836</v>
      </c>
      <c r="F565" t="s">
        <v>28198</v>
      </c>
      <c r="G565" t="s">
        <v>28207</v>
      </c>
      <c r="H565" t="s">
        <v>28215</v>
      </c>
      <c r="I565" t="s">
        <v>28234</v>
      </c>
      <c r="J565" t="s">
        <v>28774</v>
      </c>
      <c r="K565" t="s">
        <v>36688</v>
      </c>
      <c r="M565" t="s">
        <v>37291</v>
      </c>
      <c r="N565" t="s">
        <v>40436</v>
      </c>
      <c r="O565" t="s">
        <v>40437</v>
      </c>
      <c r="P565">
        <v>0</v>
      </c>
      <c r="Q565">
        <v>7</v>
      </c>
      <c r="R565" t="s">
        <v>40438</v>
      </c>
      <c r="S565" t="s">
        <v>40582</v>
      </c>
      <c r="T565" t="s">
        <v>42103</v>
      </c>
      <c r="U565" t="s">
        <v>43119</v>
      </c>
      <c r="V565" t="s">
        <v>53849</v>
      </c>
      <c r="W565" t="s">
        <v>37291</v>
      </c>
      <c r="X565" t="s">
        <v>40439</v>
      </c>
    </row>
    <row r="566" spans="1:24">
      <c r="A566">
        <f>HYPERLINK("https://www.philgeps.gov.ph/GEPSNONPILOT/Tender/SplashBidNoticeAbstractUI.aspx?menuIndex=3&amp;refID=7047556&amp;Result=3","7047556")</f>
        <v>0</v>
      </c>
      <c r="B566" t="s">
        <v>307</v>
      </c>
      <c r="C566" t="s">
        <v>3646</v>
      </c>
      <c r="D566" t="s">
        <v>16206</v>
      </c>
      <c r="E566" t="s">
        <v>16837</v>
      </c>
      <c r="F566" t="s">
        <v>28198</v>
      </c>
      <c r="G566" t="s">
        <v>28207</v>
      </c>
      <c r="H566" t="s">
        <v>28215</v>
      </c>
      <c r="I566" t="s">
        <v>28280</v>
      </c>
      <c r="J566" t="s">
        <v>28775</v>
      </c>
      <c r="K566" t="s">
        <v>36693</v>
      </c>
      <c r="M566" t="s">
        <v>37284</v>
      </c>
      <c r="N566" t="s">
        <v>40436</v>
      </c>
      <c r="O566" t="s">
        <v>40437</v>
      </c>
      <c r="P566">
        <v>0</v>
      </c>
      <c r="Q566">
        <v>0</v>
      </c>
      <c r="R566" t="s">
        <v>40438</v>
      </c>
      <c r="S566" t="s">
        <v>40582</v>
      </c>
      <c r="T566" t="s">
        <v>42201</v>
      </c>
      <c r="U566" t="s">
        <v>43120</v>
      </c>
      <c r="W566" t="s">
        <v>37284</v>
      </c>
      <c r="X566" t="s">
        <v>40439</v>
      </c>
    </row>
    <row r="567" spans="1:24">
      <c r="A567">
        <f>HYPERLINK("https://www.philgeps.gov.ph/GEPSNONPILOT/Tender/SplashBidNoticeAbstractUI.aspx?menuIndex=3&amp;refID=7047527&amp;Result=3","7047527")</f>
        <v>0</v>
      </c>
      <c r="B567" t="s">
        <v>235</v>
      </c>
      <c r="C567" t="s">
        <v>3647</v>
      </c>
      <c r="D567" t="s">
        <v>16253</v>
      </c>
      <c r="E567" t="s">
        <v>16838</v>
      </c>
      <c r="F567" t="s">
        <v>28198</v>
      </c>
      <c r="G567" t="s">
        <v>28207</v>
      </c>
      <c r="H567" t="s">
        <v>28215</v>
      </c>
      <c r="I567" t="s">
        <v>28228</v>
      </c>
      <c r="J567" t="s">
        <v>28776</v>
      </c>
      <c r="K567" t="s">
        <v>36701</v>
      </c>
      <c r="M567" t="s">
        <v>37211</v>
      </c>
      <c r="N567" t="s">
        <v>40436</v>
      </c>
      <c r="O567" t="s">
        <v>40437</v>
      </c>
      <c r="P567">
        <v>0</v>
      </c>
      <c r="Q567">
        <v>0</v>
      </c>
      <c r="R567" t="s">
        <v>40438</v>
      </c>
      <c r="S567" t="s">
        <v>40582</v>
      </c>
      <c r="T567" t="s">
        <v>42103</v>
      </c>
      <c r="U567" t="s">
        <v>43121</v>
      </c>
      <c r="V567" t="s">
        <v>53825</v>
      </c>
      <c r="W567" t="s">
        <v>37211</v>
      </c>
      <c r="X567" t="s">
        <v>40439</v>
      </c>
    </row>
    <row r="568" spans="1:24">
      <c r="A568">
        <f>HYPERLINK("https://www.philgeps.gov.ph/GEPSNONPILOT/Tender/SplashBidNoticeAbstractUI.aspx?menuIndex=3&amp;refID=7047552&amp;Result=3","7047552")</f>
        <v>0</v>
      </c>
      <c r="B568" t="s">
        <v>314</v>
      </c>
      <c r="C568" t="s">
        <v>3648</v>
      </c>
      <c r="D568" t="s">
        <v>16194</v>
      </c>
      <c r="E568" t="s">
        <v>16839</v>
      </c>
      <c r="F568" t="s">
        <v>28198</v>
      </c>
      <c r="G568" t="s">
        <v>28206</v>
      </c>
      <c r="H568" t="s">
        <v>28215</v>
      </c>
      <c r="I568" t="s">
        <v>5082</v>
      </c>
      <c r="J568" t="s">
        <v>28777</v>
      </c>
      <c r="K568" t="s">
        <v>36707</v>
      </c>
      <c r="M568" t="s">
        <v>37292</v>
      </c>
      <c r="N568" t="s">
        <v>40436</v>
      </c>
      <c r="O568" t="s">
        <v>40437</v>
      </c>
      <c r="P568">
        <v>0</v>
      </c>
      <c r="Q568">
        <v>1</v>
      </c>
      <c r="R568" t="s">
        <v>40438</v>
      </c>
      <c r="S568" t="s">
        <v>40582</v>
      </c>
      <c r="T568" t="s">
        <v>42103</v>
      </c>
      <c r="U568" t="s">
        <v>43122</v>
      </c>
      <c r="W568" t="s">
        <v>55441</v>
      </c>
      <c r="X568" t="s">
        <v>40439</v>
      </c>
    </row>
    <row r="569" spans="1:24">
      <c r="A569">
        <f>HYPERLINK("https://www.philgeps.gov.ph/GEPSNONPILOT/Tender/SplashBidNoticeAbstractUI.aspx?menuIndex=3&amp;refID=7047549&amp;Result=3","7047549")</f>
        <v>0</v>
      </c>
      <c r="B569" t="s">
        <v>315</v>
      </c>
      <c r="C569" t="s">
        <v>3649</v>
      </c>
      <c r="D569" t="s">
        <v>16191</v>
      </c>
      <c r="E569" t="s">
        <v>16840</v>
      </c>
      <c r="F569" t="s">
        <v>28198</v>
      </c>
      <c r="G569" t="s">
        <v>28207</v>
      </c>
      <c r="H569" t="s">
        <v>28215</v>
      </c>
      <c r="I569" t="s">
        <v>5100</v>
      </c>
      <c r="J569" t="s">
        <v>28529</v>
      </c>
      <c r="K569" t="s">
        <v>36698</v>
      </c>
      <c r="M569" t="s">
        <v>37293</v>
      </c>
      <c r="N569" t="s">
        <v>40436</v>
      </c>
      <c r="O569" t="s">
        <v>40437</v>
      </c>
      <c r="P569">
        <v>0</v>
      </c>
      <c r="Q569">
        <v>0</v>
      </c>
      <c r="R569" t="s">
        <v>40438</v>
      </c>
      <c r="S569" t="s">
        <v>40582</v>
      </c>
      <c r="T569" t="s">
        <v>42111</v>
      </c>
      <c r="U569" t="s">
        <v>43123</v>
      </c>
      <c r="W569" t="s">
        <v>37293</v>
      </c>
      <c r="X569" t="s">
        <v>40439</v>
      </c>
    </row>
    <row r="570" spans="1:24">
      <c r="A570">
        <f>HYPERLINK("https://www.philgeps.gov.ph/GEPSNONPILOT/Tender/SplashBidNoticeAbstractUI.aspx?menuIndex=3&amp;refID=7047548&amp;Result=3","7047548")</f>
        <v>0</v>
      </c>
      <c r="B570" t="s">
        <v>316</v>
      </c>
      <c r="C570" t="s">
        <v>3650</v>
      </c>
      <c r="D570" t="s">
        <v>16195</v>
      </c>
      <c r="E570" t="s">
        <v>16841</v>
      </c>
      <c r="F570" t="s">
        <v>28198</v>
      </c>
      <c r="G570" t="s">
        <v>28206</v>
      </c>
      <c r="H570" t="s">
        <v>28215</v>
      </c>
      <c r="I570" t="s">
        <v>4168</v>
      </c>
      <c r="J570" t="s">
        <v>28778</v>
      </c>
      <c r="K570" t="s">
        <v>36707</v>
      </c>
      <c r="M570" t="s">
        <v>37294</v>
      </c>
      <c r="N570" t="s">
        <v>40436</v>
      </c>
      <c r="O570" t="s">
        <v>40437</v>
      </c>
      <c r="P570">
        <v>0</v>
      </c>
      <c r="Q570">
        <v>4</v>
      </c>
      <c r="R570" t="s">
        <v>40438</v>
      </c>
      <c r="S570" t="s">
        <v>40582</v>
      </c>
      <c r="T570" t="s">
        <v>42103</v>
      </c>
      <c r="U570" t="s">
        <v>42746</v>
      </c>
      <c r="W570" t="s">
        <v>37294</v>
      </c>
      <c r="X570" t="s">
        <v>40439</v>
      </c>
    </row>
    <row r="571" spans="1:24">
      <c r="A571">
        <f>HYPERLINK("https://www.philgeps.gov.ph/GEPSNONPILOT/Tender/SplashBidNoticeAbstractUI.aspx?menuIndex=3&amp;refID=7047563&amp;Result=3","7047563")</f>
        <v>0</v>
      </c>
      <c r="B571" t="s">
        <v>302</v>
      </c>
      <c r="C571" t="s">
        <v>3651</v>
      </c>
      <c r="D571" t="s">
        <v>16196</v>
      </c>
      <c r="E571" t="s">
        <v>16842</v>
      </c>
      <c r="F571" t="s">
        <v>28198</v>
      </c>
      <c r="G571" t="s">
        <v>28206</v>
      </c>
      <c r="H571" t="s">
        <v>28215</v>
      </c>
      <c r="I571" t="s">
        <v>8888</v>
      </c>
      <c r="J571" t="s">
        <v>28398</v>
      </c>
      <c r="K571" t="s">
        <v>36707</v>
      </c>
      <c r="M571" t="s">
        <v>37279</v>
      </c>
      <c r="N571" t="s">
        <v>40436</v>
      </c>
      <c r="O571" t="s">
        <v>40437</v>
      </c>
      <c r="P571">
        <v>0</v>
      </c>
      <c r="Q571">
        <v>4</v>
      </c>
      <c r="R571" t="s">
        <v>40438</v>
      </c>
      <c r="S571" t="s">
        <v>40582</v>
      </c>
      <c r="T571" t="s">
        <v>42142</v>
      </c>
      <c r="U571" t="s">
        <v>43124</v>
      </c>
      <c r="W571" t="s">
        <v>37279</v>
      </c>
      <c r="X571" t="s">
        <v>40439</v>
      </c>
    </row>
    <row r="572" spans="1:24">
      <c r="A572">
        <f>HYPERLINK("https://www.philgeps.gov.ph/GEPSNONPILOT/Tender/SplashBidNoticeAbstractUI.aspx?menuIndex=3&amp;refID=7047550&amp;Result=3","7047550")</f>
        <v>0</v>
      </c>
      <c r="B572" t="s">
        <v>317</v>
      </c>
      <c r="C572" t="s">
        <v>3652</v>
      </c>
      <c r="D572" t="s">
        <v>16223</v>
      </c>
      <c r="E572" t="s">
        <v>16843</v>
      </c>
      <c r="F572" t="s">
        <v>28198</v>
      </c>
      <c r="G572" t="s">
        <v>28205</v>
      </c>
      <c r="H572" t="s">
        <v>28214</v>
      </c>
      <c r="I572" t="s">
        <v>5100</v>
      </c>
      <c r="J572" t="s">
        <v>28779</v>
      </c>
      <c r="K572" t="s">
        <v>36697</v>
      </c>
      <c r="M572" t="s">
        <v>37295</v>
      </c>
      <c r="N572" t="s">
        <v>40436</v>
      </c>
      <c r="O572" t="s">
        <v>40437</v>
      </c>
      <c r="P572">
        <v>0</v>
      </c>
      <c r="Q572">
        <v>0</v>
      </c>
      <c r="R572" t="s">
        <v>40438</v>
      </c>
      <c r="S572" t="s">
        <v>40582</v>
      </c>
      <c r="T572" t="s">
        <v>42202</v>
      </c>
      <c r="U572" t="s">
        <v>43125</v>
      </c>
      <c r="W572" t="s">
        <v>37295</v>
      </c>
      <c r="X572" t="s">
        <v>40439</v>
      </c>
    </row>
    <row r="573" spans="1:24">
      <c r="A573">
        <f>HYPERLINK("https://www.philgeps.gov.ph/GEPSNONPILOT/Tender/SplashBidNoticeAbstractUI.aspx?menuIndex=3&amp;refID=7047551&amp;Result=3","7047551")</f>
        <v>0</v>
      </c>
      <c r="B573" t="s">
        <v>275</v>
      </c>
      <c r="C573" t="s">
        <v>3653</v>
      </c>
      <c r="E573" t="s">
        <v>16844</v>
      </c>
      <c r="F573" t="s">
        <v>28198</v>
      </c>
      <c r="G573" t="s">
        <v>28205</v>
      </c>
      <c r="H573" t="s">
        <v>28215</v>
      </c>
      <c r="I573" t="s">
        <v>5100</v>
      </c>
      <c r="J573" t="s">
        <v>28780</v>
      </c>
      <c r="K573" t="s">
        <v>36701</v>
      </c>
      <c r="M573" t="s">
        <v>37252</v>
      </c>
      <c r="N573" t="s">
        <v>40436</v>
      </c>
      <c r="O573" t="s">
        <v>40437</v>
      </c>
      <c r="P573">
        <v>0</v>
      </c>
      <c r="Q573">
        <v>0</v>
      </c>
      <c r="R573" t="s">
        <v>40438</v>
      </c>
      <c r="S573" t="s">
        <v>40582</v>
      </c>
      <c r="T573" t="s">
        <v>42102</v>
      </c>
      <c r="U573" t="s">
        <v>43126</v>
      </c>
      <c r="V573" t="s">
        <v>53850</v>
      </c>
      <c r="W573" t="s">
        <v>37252</v>
      </c>
      <c r="X573" t="s">
        <v>40439</v>
      </c>
    </row>
    <row r="574" spans="1:24">
      <c r="A574">
        <f>HYPERLINK("https://www.philgeps.gov.ph/GEPSNONPILOT/Tender/SplashBidNoticeAbstractUI.aspx?menuIndex=3&amp;refID=7047545&amp;Result=3","7047545")</f>
        <v>0</v>
      </c>
      <c r="B574" t="s">
        <v>225</v>
      </c>
      <c r="C574" t="s">
        <v>3654</v>
      </c>
      <c r="E574" t="s">
        <v>16845</v>
      </c>
      <c r="F574" t="s">
        <v>28198</v>
      </c>
      <c r="G574" t="s">
        <v>28207</v>
      </c>
      <c r="H574" t="s">
        <v>28215</v>
      </c>
      <c r="I574" t="s">
        <v>8870</v>
      </c>
      <c r="J574" t="s">
        <v>28781</v>
      </c>
      <c r="K574" t="s">
        <v>36689</v>
      </c>
      <c r="M574" t="s">
        <v>37201</v>
      </c>
      <c r="N574" t="s">
        <v>40436</v>
      </c>
      <c r="O574" t="s">
        <v>40437</v>
      </c>
      <c r="P574">
        <v>0</v>
      </c>
      <c r="Q574">
        <v>1</v>
      </c>
      <c r="R574" t="s">
        <v>40438</v>
      </c>
      <c r="S574" t="s">
        <v>40582</v>
      </c>
      <c r="T574" t="s">
        <v>42119</v>
      </c>
      <c r="U574" t="s">
        <v>43127</v>
      </c>
      <c r="W574" t="s">
        <v>37201</v>
      </c>
      <c r="X574" t="s">
        <v>40439</v>
      </c>
    </row>
    <row r="575" spans="1:24">
      <c r="A575">
        <f>HYPERLINK("https://www.philgeps.gov.ph/GEPSNONPILOT/Tender/SplashBidNoticeAbstractUI.aspx?menuIndex=3&amp;refID=7047547&amp;Result=3","7047547")</f>
        <v>0</v>
      </c>
      <c r="B575" t="s">
        <v>129</v>
      </c>
      <c r="C575" t="s">
        <v>3655</v>
      </c>
      <c r="D575" t="s">
        <v>16210</v>
      </c>
      <c r="E575" t="s">
        <v>16846</v>
      </c>
      <c r="F575" t="s">
        <v>28198</v>
      </c>
      <c r="G575" t="s">
        <v>28206</v>
      </c>
      <c r="H575" t="s">
        <v>28215</v>
      </c>
      <c r="I575" t="s">
        <v>8888</v>
      </c>
      <c r="J575" t="s">
        <v>28782</v>
      </c>
      <c r="K575" t="s">
        <v>36706</v>
      </c>
      <c r="M575" t="s">
        <v>37151</v>
      </c>
      <c r="N575" t="s">
        <v>40436</v>
      </c>
      <c r="O575" t="s">
        <v>40437</v>
      </c>
      <c r="P575">
        <v>0</v>
      </c>
      <c r="Q575">
        <v>2</v>
      </c>
      <c r="R575" t="s">
        <v>40438</v>
      </c>
      <c r="S575" t="s">
        <v>40582</v>
      </c>
      <c r="T575" t="s">
        <v>42156</v>
      </c>
      <c r="U575" t="s">
        <v>43128</v>
      </c>
      <c r="V575" t="s">
        <v>53812</v>
      </c>
      <c r="W575" t="s">
        <v>37151</v>
      </c>
      <c r="X575" t="s">
        <v>40439</v>
      </c>
    </row>
    <row r="576" spans="1:24">
      <c r="A576">
        <f>HYPERLINK("https://www.philgeps.gov.ph/GEPSNONPILOT/Tender/SplashBidNoticeAbstractUI.aspx?menuIndex=3&amp;refID=7047559&amp;Result=3","7047559")</f>
        <v>0</v>
      </c>
      <c r="B576" t="s">
        <v>174</v>
      </c>
      <c r="C576" t="s">
        <v>3656</v>
      </c>
      <c r="D576" t="s">
        <v>16238</v>
      </c>
      <c r="E576" t="s">
        <v>16847</v>
      </c>
      <c r="F576" t="s">
        <v>28198</v>
      </c>
      <c r="G576" t="s">
        <v>28206</v>
      </c>
      <c r="H576" t="s">
        <v>28215</v>
      </c>
      <c r="I576" t="s">
        <v>28216</v>
      </c>
      <c r="J576" t="s">
        <v>28393</v>
      </c>
      <c r="K576" t="s">
        <v>36701</v>
      </c>
      <c r="M576" t="s">
        <v>37148</v>
      </c>
      <c r="N576" t="s">
        <v>40436</v>
      </c>
      <c r="O576" t="s">
        <v>40437</v>
      </c>
      <c r="P576">
        <v>0</v>
      </c>
      <c r="Q576">
        <v>2</v>
      </c>
      <c r="R576" t="s">
        <v>40438</v>
      </c>
      <c r="S576" t="s">
        <v>40582</v>
      </c>
      <c r="T576" t="s">
        <v>42203</v>
      </c>
      <c r="U576" t="s">
        <v>43129</v>
      </c>
      <c r="W576" t="s">
        <v>37148</v>
      </c>
      <c r="X576" t="s">
        <v>40439</v>
      </c>
    </row>
    <row r="577" spans="1:24">
      <c r="A577">
        <f>HYPERLINK("https://www.philgeps.gov.ph/GEPSNONPILOT/Tender/SplashBidNoticeAbstractUI.aspx?menuIndex=3&amp;refID=7047558&amp;Result=3","7047558")</f>
        <v>0</v>
      </c>
      <c r="B577" t="s">
        <v>297</v>
      </c>
      <c r="C577" t="s">
        <v>3657</v>
      </c>
      <c r="D577" t="s">
        <v>16199</v>
      </c>
      <c r="E577" t="s">
        <v>16848</v>
      </c>
      <c r="F577" t="s">
        <v>28198</v>
      </c>
      <c r="G577" t="s">
        <v>28205</v>
      </c>
      <c r="H577" t="s">
        <v>28215</v>
      </c>
      <c r="I577" t="s">
        <v>28259</v>
      </c>
      <c r="J577" t="s">
        <v>28783</v>
      </c>
      <c r="K577" t="s">
        <v>36693</v>
      </c>
      <c r="M577" t="s">
        <v>37274</v>
      </c>
      <c r="N577" t="s">
        <v>40436</v>
      </c>
      <c r="O577" t="s">
        <v>40437</v>
      </c>
      <c r="P577">
        <v>0</v>
      </c>
      <c r="Q577">
        <v>1</v>
      </c>
      <c r="R577" t="s">
        <v>40438</v>
      </c>
      <c r="S577" t="s">
        <v>40582</v>
      </c>
      <c r="T577" t="s">
        <v>42204</v>
      </c>
      <c r="U577" t="s">
        <v>43130</v>
      </c>
      <c r="W577" t="s">
        <v>37274</v>
      </c>
      <c r="X577" t="s">
        <v>40439</v>
      </c>
    </row>
    <row r="578" spans="1:24">
      <c r="A578">
        <f>HYPERLINK("https://www.philgeps.gov.ph/GEPSNONPILOT/Tender/SplashBidNoticeAbstractUI.aspx?menuIndex=3&amp;refID=7047579&amp;Result=3","7047579")</f>
        <v>0</v>
      </c>
      <c r="B578" t="s">
        <v>318</v>
      </c>
      <c r="C578" t="s">
        <v>3658</v>
      </c>
      <c r="D578" t="s">
        <v>16241</v>
      </c>
      <c r="E578" t="s">
        <v>16849</v>
      </c>
      <c r="F578" t="s">
        <v>28198</v>
      </c>
      <c r="G578" t="s">
        <v>28207</v>
      </c>
      <c r="H578" t="s">
        <v>28215</v>
      </c>
      <c r="I578" t="s">
        <v>28258</v>
      </c>
      <c r="J578" t="s">
        <v>28668</v>
      </c>
      <c r="K578" t="s">
        <v>36706</v>
      </c>
      <c r="M578" t="s">
        <v>37296</v>
      </c>
      <c r="N578" t="s">
        <v>40436</v>
      </c>
      <c r="O578" t="s">
        <v>40437</v>
      </c>
      <c r="P578">
        <v>0</v>
      </c>
      <c r="Q578">
        <v>6</v>
      </c>
      <c r="R578" t="s">
        <v>40438</v>
      </c>
      <c r="S578" t="s">
        <v>40582</v>
      </c>
      <c r="T578" t="s">
        <v>42142</v>
      </c>
      <c r="U578" t="s">
        <v>43131</v>
      </c>
      <c r="V578" t="s">
        <v>53851</v>
      </c>
      <c r="W578" t="s">
        <v>37296</v>
      </c>
      <c r="X578" t="s">
        <v>40439</v>
      </c>
    </row>
    <row r="579" spans="1:24">
      <c r="A579">
        <f>HYPERLINK("https://www.philgeps.gov.ph/GEPSNONPILOT/Tender/SplashBidNoticeAbstractUI.aspx?menuIndex=3&amp;refID=7047562&amp;Result=3","7047562")</f>
        <v>0</v>
      </c>
      <c r="B579" t="s">
        <v>273</v>
      </c>
      <c r="C579" t="s">
        <v>3659</v>
      </c>
      <c r="D579" t="s">
        <v>16193</v>
      </c>
      <c r="E579" t="s">
        <v>16850</v>
      </c>
      <c r="F579" t="s">
        <v>28198</v>
      </c>
      <c r="G579" t="s">
        <v>28207</v>
      </c>
      <c r="H579" t="s">
        <v>28215</v>
      </c>
      <c r="I579" t="s">
        <v>28225</v>
      </c>
      <c r="J579" t="s">
        <v>28784</v>
      </c>
      <c r="K579" t="s">
        <v>36708</v>
      </c>
      <c r="M579" t="s">
        <v>37250</v>
      </c>
      <c r="N579" t="s">
        <v>40436</v>
      </c>
      <c r="O579" t="s">
        <v>40437</v>
      </c>
      <c r="P579">
        <v>0</v>
      </c>
      <c r="Q579">
        <v>0</v>
      </c>
      <c r="R579" t="s">
        <v>40438</v>
      </c>
      <c r="S579" t="s">
        <v>40582</v>
      </c>
      <c r="T579" t="s">
        <v>42103</v>
      </c>
      <c r="U579" t="s">
        <v>43132</v>
      </c>
      <c r="W579" t="s">
        <v>55439</v>
      </c>
      <c r="X579" t="s">
        <v>40439</v>
      </c>
    </row>
    <row r="580" spans="1:24">
      <c r="A580">
        <f>HYPERLINK("https://www.philgeps.gov.ph/GEPSNONPILOT/Tender/SplashBidNoticeAbstractUI.aspx?menuIndex=3&amp;refID=7047564&amp;Result=3","7047564")</f>
        <v>0</v>
      </c>
      <c r="B580" t="s">
        <v>319</v>
      </c>
      <c r="C580" t="s">
        <v>3660</v>
      </c>
      <c r="E580" t="s">
        <v>16851</v>
      </c>
      <c r="F580" t="s">
        <v>28198</v>
      </c>
      <c r="G580" t="s">
        <v>28207</v>
      </c>
      <c r="H580" t="s">
        <v>28215</v>
      </c>
      <c r="I580" t="s">
        <v>4321</v>
      </c>
      <c r="J580" t="s">
        <v>28785</v>
      </c>
      <c r="K580" t="s">
        <v>36689</v>
      </c>
      <c r="M580" t="s">
        <v>37297</v>
      </c>
      <c r="N580" t="s">
        <v>40436</v>
      </c>
      <c r="O580" t="s">
        <v>40437</v>
      </c>
      <c r="P580">
        <v>0</v>
      </c>
      <c r="Q580">
        <v>0</v>
      </c>
      <c r="R580" t="s">
        <v>40438</v>
      </c>
      <c r="S580" t="s">
        <v>40582</v>
      </c>
      <c r="T580" t="s">
        <v>42103</v>
      </c>
      <c r="U580" t="s">
        <v>43133</v>
      </c>
      <c r="V580" t="s">
        <v>53852</v>
      </c>
      <c r="W580" t="s">
        <v>37297</v>
      </c>
      <c r="X580" t="s">
        <v>40439</v>
      </c>
    </row>
    <row r="581" spans="1:24">
      <c r="A581">
        <f>HYPERLINK("https://www.philgeps.gov.ph/GEPSNONPILOT/Tender/SplashBidNoticeAbstractUI.aspx?menuIndex=3&amp;refID=7047560&amp;Result=3","7047560")</f>
        <v>0</v>
      </c>
      <c r="B581" t="s">
        <v>83</v>
      </c>
      <c r="C581" t="s">
        <v>3661</v>
      </c>
      <c r="D581" t="s">
        <v>16220</v>
      </c>
      <c r="E581" t="s">
        <v>16852</v>
      </c>
      <c r="F581" t="s">
        <v>28198</v>
      </c>
      <c r="G581" t="s">
        <v>28207</v>
      </c>
      <c r="H581" t="s">
        <v>28215</v>
      </c>
      <c r="I581" t="s">
        <v>3422</v>
      </c>
      <c r="J581" t="s">
        <v>28786</v>
      </c>
      <c r="K581" t="s">
        <v>36707</v>
      </c>
      <c r="M581" t="s">
        <v>37055</v>
      </c>
      <c r="N581" t="s">
        <v>40436</v>
      </c>
      <c r="O581" t="s">
        <v>40437</v>
      </c>
      <c r="P581">
        <v>0</v>
      </c>
      <c r="Q581">
        <v>0</v>
      </c>
      <c r="R581" t="s">
        <v>40438</v>
      </c>
      <c r="S581" t="s">
        <v>40582</v>
      </c>
      <c r="T581" t="s">
        <v>42103</v>
      </c>
      <c r="U581" t="s">
        <v>43134</v>
      </c>
      <c r="W581" t="s">
        <v>37055</v>
      </c>
      <c r="X581" t="s">
        <v>40439</v>
      </c>
    </row>
    <row r="582" spans="1:24">
      <c r="A582">
        <f>HYPERLINK("https://www.philgeps.gov.ph/GEPSNONPILOT/Tender/SplashBidNoticeAbstractUI.aspx?menuIndex=3&amp;refID=7047540&amp;Result=3","7047540")</f>
        <v>0</v>
      </c>
      <c r="B582" t="s">
        <v>315</v>
      </c>
      <c r="C582" t="s">
        <v>3662</v>
      </c>
      <c r="D582" t="s">
        <v>16191</v>
      </c>
      <c r="E582" t="s">
        <v>16853</v>
      </c>
      <c r="F582" t="s">
        <v>28198</v>
      </c>
      <c r="G582" t="s">
        <v>28207</v>
      </c>
      <c r="H582" t="s">
        <v>28215</v>
      </c>
      <c r="I582" t="s">
        <v>28225</v>
      </c>
      <c r="J582" t="s">
        <v>28787</v>
      </c>
      <c r="K582" t="s">
        <v>36691</v>
      </c>
      <c r="M582" t="s">
        <v>37293</v>
      </c>
      <c r="N582" t="s">
        <v>40436</v>
      </c>
      <c r="O582" t="s">
        <v>40437</v>
      </c>
      <c r="P582">
        <v>0</v>
      </c>
      <c r="Q582">
        <v>5</v>
      </c>
      <c r="R582" t="s">
        <v>40438</v>
      </c>
      <c r="S582" t="s">
        <v>40582</v>
      </c>
      <c r="T582" t="s">
        <v>42111</v>
      </c>
      <c r="U582" t="s">
        <v>43123</v>
      </c>
      <c r="W582" t="s">
        <v>37293</v>
      </c>
      <c r="X582" t="s">
        <v>40439</v>
      </c>
    </row>
    <row r="583" spans="1:24">
      <c r="A583">
        <f>HYPERLINK("https://www.philgeps.gov.ph/GEPSNONPILOT/Tender/SplashBidNoticeAbstractUI.aspx?menuIndex=3&amp;refID=7047571&amp;Result=3","7047571")</f>
        <v>0</v>
      </c>
      <c r="B583" t="s">
        <v>320</v>
      </c>
      <c r="C583" t="s">
        <v>3663</v>
      </c>
      <c r="D583" t="s">
        <v>16199</v>
      </c>
      <c r="E583" t="s">
        <v>16835</v>
      </c>
      <c r="F583" t="s">
        <v>28198</v>
      </c>
      <c r="G583" t="s">
        <v>28207</v>
      </c>
      <c r="H583" t="s">
        <v>28215</v>
      </c>
      <c r="I583" t="s">
        <v>3797</v>
      </c>
      <c r="J583" t="s">
        <v>28788</v>
      </c>
      <c r="K583" t="s">
        <v>36689</v>
      </c>
      <c r="M583" t="s">
        <v>37298</v>
      </c>
      <c r="N583" t="s">
        <v>40436</v>
      </c>
      <c r="O583" t="s">
        <v>40437</v>
      </c>
      <c r="P583">
        <v>0</v>
      </c>
      <c r="Q583">
        <v>0</v>
      </c>
      <c r="R583" t="s">
        <v>40438</v>
      </c>
      <c r="S583" t="s">
        <v>40582</v>
      </c>
      <c r="T583" t="s">
        <v>42103</v>
      </c>
      <c r="U583" t="s">
        <v>43135</v>
      </c>
      <c r="W583" t="s">
        <v>37298</v>
      </c>
      <c r="X583" t="s">
        <v>40439</v>
      </c>
    </row>
    <row r="584" spans="1:24">
      <c r="A584">
        <f>HYPERLINK("https://www.philgeps.gov.ph/GEPSNONPILOT/Tender/SplashBidNoticeAbstractUI.aspx?menuIndex=3&amp;refID=7047544&amp;Result=3","7047544")</f>
        <v>0</v>
      </c>
      <c r="B584" t="s">
        <v>321</v>
      </c>
      <c r="C584" t="s">
        <v>3664</v>
      </c>
      <c r="D584" t="s">
        <v>16223</v>
      </c>
      <c r="E584" t="s">
        <v>16854</v>
      </c>
      <c r="F584" t="s">
        <v>28198</v>
      </c>
      <c r="G584" t="s">
        <v>28206</v>
      </c>
      <c r="H584" t="s">
        <v>28215</v>
      </c>
      <c r="I584" t="s">
        <v>28258</v>
      </c>
      <c r="J584" t="s">
        <v>28789</v>
      </c>
      <c r="K584" t="s">
        <v>36706</v>
      </c>
      <c r="M584" t="s">
        <v>37299</v>
      </c>
      <c r="N584" t="s">
        <v>40436</v>
      </c>
      <c r="O584" t="s">
        <v>40437</v>
      </c>
      <c r="P584">
        <v>0</v>
      </c>
      <c r="Q584">
        <v>2</v>
      </c>
      <c r="R584" t="s">
        <v>40438</v>
      </c>
      <c r="S584" t="s">
        <v>40582</v>
      </c>
      <c r="T584" t="s">
        <v>42111</v>
      </c>
      <c r="U584" t="s">
        <v>43136</v>
      </c>
      <c r="W584" t="s">
        <v>37299</v>
      </c>
      <c r="X584" t="s">
        <v>40439</v>
      </c>
    </row>
    <row r="585" spans="1:24">
      <c r="A585">
        <f>HYPERLINK("https://www.philgeps.gov.ph/GEPSNONPILOT/Tender/SplashBidNoticeAbstractUI.aspx?menuIndex=3&amp;refID=7047568&amp;Result=3","7047568")</f>
        <v>0</v>
      </c>
      <c r="B585" t="s">
        <v>322</v>
      </c>
      <c r="C585" t="s">
        <v>3665</v>
      </c>
      <c r="D585" t="s">
        <v>16244</v>
      </c>
      <c r="E585" t="s">
        <v>16855</v>
      </c>
      <c r="F585" t="s">
        <v>28198</v>
      </c>
      <c r="G585" t="s">
        <v>28207</v>
      </c>
      <c r="H585" t="s">
        <v>28215</v>
      </c>
      <c r="I585" t="s">
        <v>3422</v>
      </c>
      <c r="J585" t="s">
        <v>28790</v>
      </c>
      <c r="K585" t="s">
        <v>36723</v>
      </c>
      <c r="L585" t="s">
        <v>322</v>
      </c>
      <c r="M585" t="s">
        <v>37300</v>
      </c>
      <c r="N585" t="s">
        <v>40436</v>
      </c>
      <c r="O585" t="s">
        <v>40437</v>
      </c>
      <c r="P585">
        <v>0</v>
      </c>
      <c r="Q585">
        <v>0</v>
      </c>
      <c r="R585" t="s">
        <v>40438</v>
      </c>
      <c r="S585" t="s">
        <v>40582</v>
      </c>
      <c r="T585" t="s">
        <v>42142</v>
      </c>
      <c r="U585" t="s">
        <v>43137</v>
      </c>
      <c r="V585" t="s">
        <v>53853</v>
      </c>
      <c r="W585" t="s">
        <v>37300</v>
      </c>
      <c r="X585" t="s">
        <v>40439</v>
      </c>
    </row>
    <row r="586" spans="1:24">
      <c r="A586">
        <f>HYPERLINK("https://www.philgeps.gov.ph/GEPSNONPILOT/Tender/SplashBidNoticeAbstractUI.aspx?menuIndex=3&amp;refID=7047574&amp;Result=3","7047574")</f>
        <v>0</v>
      </c>
      <c r="B586" t="s">
        <v>242</v>
      </c>
      <c r="C586" t="s">
        <v>3666</v>
      </c>
      <c r="D586" t="s">
        <v>16254</v>
      </c>
      <c r="E586" t="s">
        <v>16856</v>
      </c>
      <c r="F586" t="s">
        <v>28198</v>
      </c>
      <c r="G586" t="s">
        <v>28207</v>
      </c>
      <c r="H586" t="s">
        <v>28215</v>
      </c>
      <c r="I586" t="s">
        <v>4168</v>
      </c>
      <c r="J586" t="s">
        <v>28791</v>
      </c>
      <c r="K586" t="s">
        <v>36707</v>
      </c>
      <c r="M586" t="s">
        <v>37218</v>
      </c>
      <c r="N586" t="s">
        <v>40436</v>
      </c>
      <c r="O586" t="s">
        <v>40437</v>
      </c>
      <c r="P586">
        <v>0</v>
      </c>
      <c r="Q586">
        <v>1</v>
      </c>
      <c r="R586" t="s">
        <v>40438</v>
      </c>
      <c r="S586" t="s">
        <v>40582</v>
      </c>
      <c r="T586" t="s">
        <v>42176</v>
      </c>
      <c r="U586" t="s">
        <v>43138</v>
      </c>
      <c r="W586" t="s">
        <v>37218</v>
      </c>
      <c r="X586" t="s">
        <v>40439</v>
      </c>
    </row>
    <row r="587" spans="1:24">
      <c r="A587">
        <f>HYPERLINK("https://www.philgeps.gov.ph/GEPSNONPILOT/Tender/SplashBidNoticeAbstractUI.aspx?menuIndex=3&amp;refID=7047566&amp;Result=3","7047566")</f>
        <v>0</v>
      </c>
      <c r="B587" t="s">
        <v>300</v>
      </c>
      <c r="C587" t="s">
        <v>3667</v>
      </c>
      <c r="D587" t="s">
        <v>16192</v>
      </c>
      <c r="E587" t="s">
        <v>16857</v>
      </c>
      <c r="F587" t="s">
        <v>28198</v>
      </c>
      <c r="G587" t="s">
        <v>28207</v>
      </c>
      <c r="H587" t="s">
        <v>28215</v>
      </c>
      <c r="I587" t="s">
        <v>5100</v>
      </c>
      <c r="J587" t="s">
        <v>28548</v>
      </c>
      <c r="K587" t="s">
        <v>36701</v>
      </c>
      <c r="M587" t="s">
        <v>37277</v>
      </c>
      <c r="N587" t="s">
        <v>40436</v>
      </c>
      <c r="O587" t="s">
        <v>40437</v>
      </c>
      <c r="P587">
        <v>0</v>
      </c>
      <c r="Q587">
        <v>2</v>
      </c>
      <c r="R587" t="s">
        <v>40438</v>
      </c>
      <c r="S587" t="s">
        <v>40582</v>
      </c>
      <c r="T587" t="s">
        <v>42136</v>
      </c>
      <c r="U587" t="s">
        <v>43139</v>
      </c>
      <c r="W587" t="s">
        <v>37277</v>
      </c>
      <c r="X587" t="s">
        <v>40439</v>
      </c>
    </row>
    <row r="588" spans="1:24">
      <c r="A588">
        <f>HYPERLINK("https://www.philgeps.gov.ph/GEPSNONPILOT/Tender/SplashBidNoticeAbstractUI.aspx?menuIndex=3&amp;refID=7047570&amp;Result=3","7047570")</f>
        <v>0</v>
      </c>
      <c r="B588" t="s">
        <v>257</v>
      </c>
      <c r="C588" t="s">
        <v>3668</v>
      </c>
      <c r="D588" t="s">
        <v>16193</v>
      </c>
      <c r="E588" t="s">
        <v>16858</v>
      </c>
      <c r="F588" t="s">
        <v>28198</v>
      </c>
      <c r="G588" t="s">
        <v>28207</v>
      </c>
      <c r="H588" t="s">
        <v>28214</v>
      </c>
      <c r="I588" t="s">
        <v>3797</v>
      </c>
      <c r="J588" t="s">
        <v>28792</v>
      </c>
      <c r="K588" t="s">
        <v>36701</v>
      </c>
      <c r="M588" t="s">
        <v>37233</v>
      </c>
      <c r="N588" t="s">
        <v>40436</v>
      </c>
      <c r="O588" t="s">
        <v>40437</v>
      </c>
      <c r="P588">
        <v>0</v>
      </c>
      <c r="Q588">
        <v>0</v>
      </c>
      <c r="R588" t="s">
        <v>40438</v>
      </c>
      <c r="S588" t="s">
        <v>40582</v>
      </c>
      <c r="T588" t="s">
        <v>42179</v>
      </c>
      <c r="U588" t="s">
        <v>43140</v>
      </c>
      <c r="W588" t="s">
        <v>37233</v>
      </c>
      <c r="X588" t="s">
        <v>40439</v>
      </c>
    </row>
    <row r="589" spans="1:24">
      <c r="A589">
        <f>HYPERLINK("https://www.philgeps.gov.ph/GEPSNONPILOT/Tender/SplashBidNoticeAbstractUI.aspx?menuIndex=3&amp;refID=7047588&amp;Result=3","7047588")</f>
        <v>0</v>
      </c>
      <c r="B589" t="s">
        <v>288</v>
      </c>
      <c r="C589" t="s">
        <v>3669</v>
      </c>
      <c r="D589" t="s">
        <v>16208</v>
      </c>
      <c r="E589" t="s">
        <v>16859</v>
      </c>
      <c r="F589" t="s">
        <v>28198</v>
      </c>
      <c r="G589" t="s">
        <v>28207</v>
      </c>
      <c r="H589" t="s">
        <v>28215</v>
      </c>
      <c r="I589" t="s">
        <v>5100</v>
      </c>
      <c r="J589" t="s">
        <v>28793</v>
      </c>
      <c r="K589" t="s">
        <v>36691</v>
      </c>
      <c r="M589" t="s">
        <v>37265</v>
      </c>
      <c r="N589" t="s">
        <v>40436</v>
      </c>
      <c r="O589" t="s">
        <v>40437</v>
      </c>
      <c r="P589">
        <v>0</v>
      </c>
      <c r="Q589">
        <v>0</v>
      </c>
      <c r="R589" t="s">
        <v>40438</v>
      </c>
      <c r="S589" t="s">
        <v>40582</v>
      </c>
      <c r="T589" t="s">
        <v>42119</v>
      </c>
      <c r="U589" t="s">
        <v>43141</v>
      </c>
      <c r="V589" t="s">
        <v>53854</v>
      </c>
      <c r="W589" t="s">
        <v>37265</v>
      </c>
      <c r="X589" t="s">
        <v>40439</v>
      </c>
    </row>
    <row r="590" spans="1:24">
      <c r="A590">
        <f>HYPERLINK("https://www.philgeps.gov.ph/GEPSNONPILOT/Tender/SplashBidNoticeAbstractUI.aspx?menuIndex=3&amp;refID=7047572&amp;Result=3","7047572")</f>
        <v>0</v>
      </c>
      <c r="B590" t="s">
        <v>311</v>
      </c>
      <c r="C590" t="s">
        <v>3670</v>
      </c>
      <c r="D590" t="s">
        <v>16230</v>
      </c>
      <c r="E590" t="s">
        <v>16860</v>
      </c>
      <c r="F590" t="s">
        <v>28198</v>
      </c>
      <c r="G590" t="s">
        <v>28207</v>
      </c>
      <c r="H590" t="s">
        <v>28215</v>
      </c>
      <c r="I590" t="s">
        <v>8870</v>
      </c>
      <c r="J590" t="s">
        <v>28794</v>
      </c>
      <c r="K590" t="s">
        <v>36701</v>
      </c>
      <c r="M590" t="s">
        <v>37289</v>
      </c>
      <c r="N590" t="s">
        <v>40436</v>
      </c>
      <c r="O590" t="s">
        <v>40437</v>
      </c>
      <c r="P590">
        <v>0</v>
      </c>
      <c r="Q590">
        <v>0</v>
      </c>
      <c r="R590" t="s">
        <v>40438</v>
      </c>
      <c r="S590" t="s">
        <v>40582</v>
      </c>
      <c r="T590" t="s">
        <v>42177</v>
      </c>
      <c r="U590" t="s">
        <v>43142</v>
      </c>
      <c r="W590" t="s">
        <v>37289</v>
      </c>
      <c r="X590" t="s">
        <v>40439</v>
      </c>
    </row>
    <row r="591" spans="1:24">
      <c r="A591">
        <f>HYPERLINK("https://www.philgeps.gov.ph/GEPSNONPILOT/Tender/SplashBidNoticeAbstractUI.aspx?menuIndex=3&amp;refID=7047586&amp;Result=3","7047586")</f>
        <v>0</v>
      </c>
      <c r="B591" t="s">
        <v>196</v>
      </c>
      <c r="C591" t="s">
        <v>3671</v>
      </c>
      <c r="D591" t="s">
        <v>16227</v>
      </c>
      <c r="E591" t="s">
        <v>16861</v>
      </c>
      <c r="F591" t="s">
        <v>28198</v>
      </c>
      <c r="G591" t="s">
        <v>28207</v>
      </c>
      <c r="H591" t="s">
        <v>28215</v>
      </c>
      <c r="I591" t="s">
        <v>5100</v>
      </c>
      <c r="J591" t="s">
        <v>28597</v>
      </c>
      <c r="K591" t="s">
        <v>36706</v>
      </c>
      <c r="M591" t="s">
        <v>37171</v>
      </c>
      <c r="N591" t="s">
        <v>40436</v>
      </c>
      <c r="O591" t="s">
        <v>40437</v>
      </c>
      <c r="P591">
        <v>0</v>
      </c>
      <c r="Q591">
        <v>0</v>
      </c>
      <c r="R591" t="s">
        <v>40438</v>
      </c>
      <c r="S591" t="s">
        <v>40582</v>
      </c>
      <c r="T591" t="s">
        <v>42124</v>
      </c>
      <c r="U591" t="s">
        <v>43143</v>
      </c>
      <c r="W591" t="s">
        <v>37171</v>
      </c>
      <c r="X591" t="s">
        <v>40439</v>
      </c>
    </row>
    <row r="592" spans="1:24">
      <c r="A592">
        <f>HYPERLINK("https://www.philgeps.gov.ph/GEPSNONPILOT/Tender/SplashBidNoticeAbstractUI.aspx?menuIndex=3&amp;refID=7047569&amp;Result=3","7047569")</f>
        <v>0</v>
      </c>
      <c r="B592" t="s">
        <v>323</v>
      </c>
      <c r="C592" t="s">
        <v>3672</v>
      </c>
      <c r="D592" t="s">
        <v>16238</v>
      </c>
      <c r="E592" t="s">
        <v>16862</v>
      </c>
      <c r="F592" t="s">
        <v>28198</v>
      </c>
      <c r="G592" t="s">
        <v>28205</v>
      </c>
      <c r="H592" t="s">
        <v>28215</v>
      </c>
      <c r="I592" t="s">
        <v>5100</v>
      </c>
      <c r="J592" t="s">
        <v>28795</v>
      </c>
      <c r="K592" t="s">
        <v>36689</v>
      </c>
      <c r="M592" t="s">
        <v>37301</v>
      </c>
      <c r="N592" t="s">
        <v>40436</v>
      </c>
      <c r="O592" t="s">
        <v>40437</v>
      </c>
      <c r="P592">
        <v>0</v>
      </c>
      <c r="Q592">
        <v>0</v>
      </c>
      <c r="R592" t="s">
        <v>40438</v>
      </c>
      <c r="S592" t="s">
        <v>40582</v>
      </c>
      <c r="T592" t="s">
        <v>42100</v>
      </c>
      <c r="U592" t="s">
        <v>43144</v>
      </c>
      <c r="W592" t="s">
        <v>55442</v>
      </c>
      <c r="X592" t="s">
        <v>40439</v>
      </c>
    </row>
    <row r="593" spans="1:24">
      <c r="A593">
        <f>HYPERLINK("https://www.philgeps.gov.ph/GEPSNONPILOT/Tender/SplashBidNoticeAbstractUI.aspx?menuIndex=3&amp;refID=7047573&amp;Result=3","7047573")</f>
        <v>0</v>
      </c>
      <c r="B593" t="s">
        <v>29</v>
      </c>
      <c r="C593" t="s">
        <v>3673</v>
      </c>
      <c r="D593" t="s">
        <v>16192</v>
      </c>
      <c r="E593" t="s">
        <v>16863</v>
      </c>
      <c r="F593" t="s">
        <v>28198</v>
      </c>
      <c r="G593" t="s">
        <v>28206</v>
      </c>
      <c r="H593" t="s">
        <v>28215</v>
      </c>
      <c r="I593" t="s">
        <v>28238</v>
      </c>
      <c r="J593" t="s">
        <v>28796</v>
      </c>
      <c r="K593" t="s">
        <v>36689</v>
      </c>
      <c r="M593" t="s">
        <v>36998</v>
      </c>
      <c r="N593" t="s">
        <v>40436</v>
      </c>
      <c r="O593" t="s">
        <v>40437</v>
      </c>
      <c r="P593">
        <v>0</v>
      </c>
      <c r="Q593">
        <v>2</v>
      </c>
      <c r="R593" t="s">
        <v>40438</v>
      </c>
      <c r="S593" t="s">
        <v>40582</v>
      </c>
      <c r="T593" t="s">
        <v>42112</v>
      </c>
      <c r="U593" t="s">
        <v>43145</v>
      </c>
      <c r="W593" t="s">
        <v>36998</v>
      </c>
      <c r="X593" t="s">
        <v>40439</v>
      </c>
    </row>
    <row r="594" spans="1:24">
      <c r="A594">
        <f>HYPERLINK("https://www.philgeps.gov.ph/GEPSNONPILOT/Tender/SplashBidNoticeAbstractUI.aspx?menuIndex=3&amp;refID=7047587&amp;Result=3","7047587")</f>
        <v>0</v>
      </c>
      <c r="B594" t="s">
        <v>324</v>
      </c>
      <c r="C594" t="s">
        <v>3674</v>
      </c>
      <c r="D594" t="s">
        <v>16238</v>
      </c>
      <c r="E594" t="s">
        <v>16864</v>
      </c>
      <c r="F594" t="s">
        <v>28198</v>
      </c>
      <c r="G594" t="s">
        <v>28207</v>
      </c>
      <c r="H594" t="s">
        <v>28215</v>
      </c>
      <c r="I594" t="s">
        <v>3774</v>
      </c>
      <c r="J594" t="s">
        <v>28797</v>
      </c>
      <c r="K594" t="s">
        <v>36715</v>
      </c>
      <c r="M594" t="s">
        <v>37302</v>
      </c>
      <c r="N594" t="s">
        <v>40436</v>
      </c>
      <c r="O594" t="s">
        <v>40437</v>
      </c>
      <c r="P594">
        <v>0</v>
      </c>
      <c r="Q594">
        <v>1</v>
      </c>
      <c r="R594" t="s">
        <v>40438</v>
      </c>
      <c r="S594" t="s">
        <v>40582</v>
      </c>
      <c r="T594" t="s">
        <v>42098</v>
      </c>
      <c r="U594" t="s">
        <v>43146</v>
      </c>
      <c r="W594" t="s">
        <v>37302</v>
      </c>
      <c r="X594" t="s">
        <v>40439</v>
      </c>
    </row>
    <row r="595" spans="1:24">
      <c r="A595">
        <f>HYPERLINK("https://www.philgeps.gov.ph/GEPSNONPILOT/Tender/SplashBidNoticeAbstractUI.aspx?menuIndex=3&amp;refID=7047585&amp;Result=3","7047585")</f>
        <v>0</v>
      </c>
      <c r="B595" t="s">
        <v>325</v>
      </c>
      <c r="C595" t="s">
        <v>3675</v>
      </c>
      <c r="D595" t="s">
        <v>16226</v>
      </c>
      <c r="E595" t="s">
        <v>16865</v>
      </c>
      <c r="F595" t="s">
        <v>28198</v>
      </c>
      <c r="G595" t="s">
        <v>28209</v>
      </c>
      <c r="H595" t="s">
        <v>28214</v>
      </c>
      <c r="I595" t="s">
        <v>3797</v>
      </c>
      <c r="J595" t="s">
        <v>28798</v>
      </c>
      <c r="K595" t="s">
        <v>36715</v>
      </c>
      <c r="M595" t="s">
        <v>37303</v>
      </c>
      <c r="N595" t="s">
        <v>40436</v>
      </c>
      <c r="O595" t="s">
        <v>40437</v>
      </c>
      <c r="P595">
        <v>0</v>
      </c>
      <c r="Q595">
        <v>0</v>
      </c>
      <c r="R595" t="s">
        <v>40438</v>
      </c>
      <c r="S595" t="s">
        <v>40582</v>
      </c>
      <c r="T595" t="s">
        <v>42112</v>
      </c>
      <c r="U595" t="s">
        <v>43147</v>
      </c>
      <c r="W595" t="s">
        <v>55443</v>
      </c>
      <c r="X595" t="s">
        <v>40439</v>
      </c>
    </row>
    <row r="596" spans="1:24">
      <c r="A596">
        <f>HYPERLINK("https://www.philgeps.gov.ph/GEPSNONPILOT/Tender/SplashBidNoticeAbstractUI.aspx?menuIndex=3&amp;refID=7047584&amp;Result=3","7047584")</f>
        <v>0</v>
      </c>
      <c r="B596" t="s">
        <v>326</v>
      </c>
      <c r="C596" t="s">
        <v>3676</v>
      </c>
      <c r="D596" t="s">
        <v>16209</v>
      </c>
      <c r="E596" t="s">
        <v>16866</v>
      </c>
      <c r="F596" t="s">
        <v>28198</v>
      </c>
      <c r="G596" t="s">
        <v>28207</v>
      </c>
      <c r="H596" t="s">
        <v>28215</v>
      </c>
      <c r="I596" t="s">
        <v>28281</v>
      </c>
      <c r="J596" t="s">
        <v>28799</v>
      </c>
      <c r="K596" t="s">
        <v>36701</v>
      </c>
      <c r="M596" t="s">
        <v>37304</v>
      </c>
      <c r="N596" t="s">
        <v>40436</v>
      </c>
      <c r="O596" t="s">
        <v>40437</v>
      </c>
      <c r="P596">
        <v>0</v>
      </c>
      <c r="Q596">
        <v>2</v>
      </c>
      <c r="R596" t="s">
        <v>40438</v>
      </c>
      <c r="S596" t="s">
        <v>40582</v>
      </c>
      <c r="T596" t="s">
        <v>42103</v>
      </c>
      <c r="U596" t="s">
        <v>43148</v>
      </c>
      <c r="V596" t="s">
        <v>53855</v>
      </c>
      <c r="W596" t="s">
        <v>37304</v>
      </c>
      <c r="X596" t="s">
        <v>40439</v>
      </c>
    </row>
    <row r="597" spans="1:24">
      <c r="A597">
        <f>HYPERLINK("https://www.philgeps.gov.ph/GEPSNONPILOT/Tender/SplashBidNoticeAbstractUI.aspx?menuIndex=3&amp;refID=7047578&amp;Result=3","7047578")</f>
        <v>0</v>
      </c>
      <c r="B597" t="s">
        <v>129</v>
      </c>
      <c r="C597" t="s">
        <v>3677</v>
      </c>
      <c r="D597" t="s">
        <v>16210</v>
      </c>
      <c r="E597" t="s">
        <v>16867</v>
      </c>
      <c r="F597" t="s">
        <v>28198</v>
      </c>
      <c r="G597" t="s">
        <v>28206</v>
      </c>
      <c r="H597" t="s">
        <v>28215</v>
      </c>
      <c r="I597" t="s">
        <v>8888</v>
      </c>
      <c r="J597" t="s">
        <v>28800</v>
      </c>
      <c r="K597" t="s">
        <v>36706</v>
      </c>
      <c r="M597" t="s">
        <v>37151</v>
      </c>
      <c r="N597" t="s">
        <v>40436</v>
      </c>
      <c r="O597" t="s">
        <v>40437</v>
      </c>
      <c r="P597">
        <v>0</v>
      </c>
      <c r="Q597">
        <v>3</v>
      </c>
      <c r="R597" t="s">
        <v>40438</v>
      </c>
      <c r="S597" t="s">
        <v>40582</v>
      </c>
      <c r="T597" t="s">
        <v>42156</v>
      </c>
      <c r="U597" t="s">
        <v>43149</v>
      </c>
      <c r="V597" t="s">
        <v>53812</v>
      </c>
      <c r="W597" t="s">
        <v>37151</v>
      </c>
      <c r="X597" t="s">
        <v>40439</v>
      </c>
    </row>
    <row r="598" spans="1:24">
      <c r="A598">
        <f>HYPERLINK("https://www.philgeps.gov.ph/GEPSNONPILOT/Tender/SplashBidNoticeAbstractUI.aspx?menuIndex=3&amp;refID=7047565&amp;Result=3","7047565")</f>
        <v>0</v>
      </c>
      <c r="B598" t="s">
        <v>214</v>
      </c>
      <c r="C598" t="s">
        <v>3678</v>
      </c>
      <c r="D598" t="s">
        <v>16251</v>
      </c>
      <c r="E598" t="s">
        <v>16868</v>
      </c>
      <c r="F598" t="s">
        <v>28198</v>
      </c>
      <c r="G598" t="s">
        <v>28205</v>
      </c>
      <c r="H598" t="s">
        <v>28214</v>
      </c>
      <c r="I598" t="s">
        <v>3797</v>
      </c>
      <c r="J598" t="s">
        <v>28801</v>
      </c>
      <c r="K598" t="s">
        <v>36715</v>
      </c>
      <c r="M598" t="s">
        <v>37190</v>
      </c>
      <c r="N598" t="s">
        <v>40436</v>
      </c>
      <c r="O598" t="s">
        <v>40437</v>
      </c>
      <c r="P598">
        <v>0</v>
      </c>
      <c r="Q598">
        <v>0</v>
      </c>
      <c r="R598" t="s">
        <v>40438</v>
      </c>
      <c r="S598" t="s">
        <v>40582</v>
      </c>
      <c r="T598" t="s">
        <v>42183</v>
      </c>
      <c r="U598" t="s">
        <v>43150</v>
      </c>
      <c r="W598" t="s">
        <v>37190</v>
      </c>
      <c r="X598" t="s">
        <v>40439</v>
      </c>
    </row>
    <row r="599" spans="1:24">
      <c r="A599">
        <f>HYPERLINK("https://www.philgeps.gov.ph/GEPSNONPILOT/Tender/SplashBidNoticeAbstractUI.aspx?menuIndex=3&amp;refID=7047576&amp;Result=3","7047576")</f>
        <v>0</v>
      </c>
      <c r="B599" t="s">
        <v>319</v>
      </c>
      <c r="C599" t="s">
        <v>3679</v>
      </c>
      <c r="E599" t="s">
        <v>16869</v>
      </c>
      <c r="F599" t="s">
        <v>28198</v>
      </c>
      <c r="G599" t="s">
        <v>28207</v>
      </c>
      <c r="H599" t="s">
        <v>28215</v>
      </c>
      <c r="I599" t="s">
        <v>28227</v>
      </c>
      <c r="J599" t="s">
        <v>28802</v>
      </c>
      <c r="K599" t="s">
        <v>36689</v>
      </c>
      <c r="M599" t="s">
        <v>37297</v>
      </c>
      <c r="N599" t="s">
        <v>40436</v>
      </c>
      <c r="O599" t="s">
        <v>40437</v>
      </c>
      <c r="P599">
        <v>0</v>
      </c>
      <c r="Q599">
        <v>0</v>
      </c>
      <c r="R599" t="s">
        <v>40438</v>
      </c>
      <c r="S599" t="s">
        <v>40582</v>
      </c>
      <c r="T599" t="s">
        <v>42103</v>
      </c>
      <c r="U599" t="s">
        <v>43151</v>
      </c>
      <c r="V599" t="s">
        <v>53852</v>
      </c>
      <c r="W599" t="s">
        <v>37297</v>
      </c>
      <c r="X599" t="s">
        <v>40439</v>
      </c>
    </row>
    <row r="600" spans="1:24">
      <c r="A600">
        <f>HYPERLINK("https://www.philgeps.gov.ph/GEPSNONPILOT/Tender/SplashBidNoticeAbstractUI.aspx?menuIndex=3&amp;refID=7047580&amp;Result=3","7047580")</f>
        <v>0</v>
      </c>
      <c r="B600" t="s">
        <v>327</v>
      </c>
      <c r="C600" t="s">
        <v>3680</v>
      </c>
      <c r="D600" t="s">
        <v>16187</v>
      </c>
      <c r="E600" t="s">
        <v>16870</v>
      </c>
      <c r="F600" t="s">
        <v>28198</v>
      </c>
      <c r="G600" t="s">
        <v>28206</v>
      </c>
      <c r="H600" t="s">
        <v>28215</v>
      </c>
      <c r="I600" t="s">
        <v>28238</v>
      </c>
      <c r="J600" t="s">
        <v>28803</v>
      </c>
      <c r="K600" t="s">
        <v>36689</v>
      </c>
      <c r="M600" t="s">
        <v>37305</v>
      </c>
      <c r="N600" t="s">
        <v>40436</v>
      </c>
      <c r="O600" t="s">
        <v>40437</v>
      </c>
      <c r="P600">
        <v>0</v>
      </c>
      <c r="Q600">
        <v>0</v>
      </c>
      <c r="R600" t="s">
        <v>40438</v>
      </c>
      <c r="S600" t="s">
        <v>40582</v>
      </c>
      <c r="T600" t="s">
        <v>42205</v>
      </c>
      <c r="U600" t="s">
        <v>43152</v>
      </c>
      <c r="W600" t="s">
        <v>37305</v>
      </c>
      <c r="X600" t="s">
        <v>40439</v>
      </c>
    </row>
    <row r="601" spans="1:24">
      <c r="A601">
        <f>HYPERLINK("https://www.philgeps.gov.ph/GEPSNONPILOT/Tender/SplashBidNoticeAbstractUI.aspx?menuIndex=3&amp;refID=7047595&amp;Result=3","7047595")</f>
        <v>0</v>
      </c>
      <c r="B601" t="s">
        <v>302</v>
      </c>
      <c r="C601" t="s">
        <v>3681</v>
      </c>
      <c r="D601" t="s">
        <v>16196</v>
      </c>
      <c r="E601" t="s">
        <v>16871</v>
      </c>
      <c r="F601" t="s">
        <v>28198</v>
      </c>
      <c r="G601" t="s">
        <v>28207</v>
      </c>
      <c r="H601" t="s">
        <v>28215</v>
      </c>
      <c r="I601" t="s">
        <v>4222</v>
      </c>
      <c r="J601" t="s">
        <v>28589</v>
      </c>
      <c r="K601" t="s">
        <v>36707</v>
      </c>
      <c r="M601" t="s">
        <v>37279</v>
      </c>
      <c r="N601" t="s">
        <v>40436</v>
      </c>
      <c r="O601" t="s">
        <v>40437</v>
      </c>
      <c r="P601">
        <v>0</v>
      </c>
      <c r="Q601">
        <v>1</v>
      </c>
      <c r="R601" t="s">
        <v>40438</v>
      </c>
      <c r="S601" t="s">
        <v>40582</v>
      </c>
      <c r="T601" t="s">
        <v>42142</v>
      </c>
      <c r="U601" t="s">
        <v>43153</v>
      </c>
      <c r="W601" t="s">
        <v>37279</v>
      </c>
      <c r="X601" t="s">
        <v>40439</v>
      </c>
    </row>
    <row r="602" spans="1:24">
      <c r="A602">
        <f>HYPERLINK("https://www.philgeps.gov.ph/GEPSNONPILOT/Tender/SplashBidNoticeAbstractUI.aspx?menuIndex=3&amp;refID=7047593&amp;Result=3","7047593")</f>
        <v>0</v>
      </c>
      <c r="B602" t="s">
        <v>185</v>
      </c>
      <c r="C602" t="s">
        <v>3682</v>
      </c>
      <c r="D602" t="s">
        <v>16196</v>
      </c>
      <c r="E602" t="s">
        <v>16872</v>
      </c>
      <c r="F602" t="s">
        <v>28200</v>
      </c>
      <c r="G602" t="s">
        <v>28207</v>
      </c>
      <c r="H602" t="s">
        <v>28215</v>
      </c>
      <c r="I602" t="s">
        <v>5100</v>
      </c>
      <c r="J602" t="s">
        <v>28804</v>
      </c>
      <c r="K602" t="s">
        <v>36693</v>
      </c>
      <c r="M602" t="s">
        <v>37160</v>
      </c>
      <c r="N602" t="s">
        <v>40436</v>
      </c>
      <c r="O602" t="s">
        <v>40437</v>
      </c>
      <c r="P602">
        <v>0</v>
      </c>
      <c r="Q602">
        <v>0</v>
      </c>
      <c r="R602" t="s">
        <v>40438</v>
      </c>
      <c r="S602" t="s">
        <v>40582</v>
      </c>
      <c r="T602" t="s">
        <v>42102</v>
      </c>
      <c r="U602" t="s">
        <v>43154</v>
      </c>
      <c r="W602" t="s">
        <v>37160</v>
      </c>
      <c r="X602" t="s">
        <v>40439</v>
      </c>
    </row>
    <row r="603" spans="1:24">
      <c r="A603">
        <f>HYPERLINK("https://www.philgeps.gov.ph/GEPSNONPILOT/Tender/SplashBidNoticeAbstractUI.aspx?menuIndex=3&amp;refID=7047616&amp;Result=3","7047616")</f>
        <v>0</v>
      </c>
      <c r="B603" t="s">
        <v>196</v>
      </c>
      <c r="C603" t="s">
        <v>3683</v>
      </c>
      <c r="D603" t="s">
        <v>16227</v>
      </c>
      <c r="E603" t="s">
        <v>16873</v>
      </c>
      <c r="F603" t="s">
        <v>28198</v>
      </c>
      <c r="G603" t="s">
        <v>28207</v>
      </c>
      <c r="H603" t="s">
        <v>28215</v>
      </c>
      <c r="I603" t="s">
        <v>28227</v>
      </c>
      <c r="J603" t="s">
        <v>28805</v>
      </c>
      <c r="K603" t="s">
        <v>36706</v>
      </c>
      <c r="M603" t="s">
        <v>37171</v>
      </c>
      <c r="N603" t="s">
        <v>40436</v>
      </c>
      <c r="O603" t="s">
        <v>40437</v>
      </c>
      <c r="P603">
        <v>0</v>
      </c>
      <c r="Q603">
        <v>0</v>
      </c>
      <c r="R603" t="s">
        <v>40438</v>
      </c>
      <c r="S603" t="s">
        <v>40582</v>
      </c>
      <c r="T603" t="s">
        <v>42124</v>
      </c>
      <c r="U603" t="s">
        <v>43155</v>
      </c>
      <c r="W603" t="s">
        <v>37171</v>
      </c>
      <c r="X603" t="s">
        <v>40439</v>
      </c>
    </row>
    <row r="604" spans="1:24">
      <c r="A604">
        <f>HYPERLINK("https://www.philgeps.gov.ph/GEPSNONPILOT/Tender/SplashBidNoticeAbstractUI.aspx?menuIndex=3&amp;refID=7047591&amp;Result=3","7047591")</f>
        <v>0</v>
      </c>
      <c r="B604" t="s">
        <v>312</v>
      </c>
      <c r="C604" t="s">
        <v>3684</v>
      </c>
      <c r="D604" t="s">
        <v>16259</v>
      </c>
      <c r="E604" t="s">
        <v>16874</v>
      </c>
      <c r="F604" t="s">
        <v>28198</v>
      </c>
      <c r="G604" t="s">
        <v>28205</v>
      </c>
      <c r="H604" t="s">
        <v>28214</v>
      </c>
      <c r="I604" t="s">
        <v>3797</v>
      </c>
      <c r="J604" t="s">
        <v>28379</v>
      </c>
      <c r="K604" t="s">
        <v>36736</v>
      </c>
      <c r="M604" t="s">
        <v>37290</v>
      </c>
      <c r="N604" t="s">
        <v>40436</v>
      </c>
      <c r="O604" t="s">
        <v>40437</v>
      </c>
      <c r="P604">
        <v>0</v>
      </c>
      <c r="Q604">
        <v>0</v>
      </c>
      <c r="R604" t="s">
        <v>40438</v>
      </c>
      <c r="S604" t="s">
        <v>40582</v>
      </c>
      <c r="T604" t="s">
        <v>42206</v>
      </c>
      <c r="U604" t="s">
        <v>43156</v>
      </c>
      <c r="W604" t="s">
        <v>37290</v>
      </c>
      <c r="X604" t="s">
        <v>40439</v>
      </c>
    </row>
    <row r="605" spans="1:24">
      <c r="A605">
        <f>HYPERLINK("https://www.philgeps.gov.ph/GEPSNONPILOT/Tender/SplashBidNoticeAbstractUI.aspx?menuIndex=3&amp;refID=7047614&amp;Result=3","7047614")</f>
        <v>0</v>
      </c>
      <c r="B605" t="s">
        <v>310</v>
      </c>
      <c r="C605" t="s">
        <v>3685</v>
      </c>
      <c r="D605" t="s">
        <v>16202</v>
      </c>
      <c r="E605" t="s">
        <v>16875</v>
      </c>
      <c r="F605" t="s">
        <v>28198</v>
      </c>
      <c r="G605" t="s">
        <v>28205</v>
      </c>
      <c r="H605" t="s">
        <v>28214</v>
      </c>
      <c r="I605" t="s">
        <v>3797</v>
      </c>
      <c r="J605" t="s">
        <v>28806</v>
      </c>
      <c r="K605" t="s">
        <v>36689</v>
      </c>
      <c r="L605" t="s">
        <v>310</v>
      </c>
      <c r="M605" t="s">
        <v>37288</v>
      </c>
      <c r="N605" t="s">
        <v>40436</v>
      </c>
      <c r="O605" t="s">
        <v>40437</v>
      </c>
      <c r="P605">
        <v>0</v>
      </c>
      <c r="Q605">
        <v>0</v>
      </c>
      <c r="R605" t="s">
        <v>40438</v>
      </c>
      <c r="S605" t="s">
        <v>40582</v>
      </c>
      <c r="T605" t="s">
        <v>42107</v>
      </c>
      <c r="U605" t="s">
        <v>43114</v>
      </c>
      <c r="W605" t="s">
        <v>37288</v>
      </c>
      <c r="X605" t="s">
        <v>40439</v>
      </c>
    </row>
    <row r="606" spans="1:24">
      <c r="A606">
        <f>HYPERLINK("https://www.philgeps.gov.ph/GEPSNONPILOT/Tender/SplashBidNoticeAbstractUI.aspx?menuIndex=3&amp;refID=7047610&amp;Result=3","7047610")</f>
        <v>0</v>
      </c>
      <c r="B606" t="s">
        <v>328</v>
      </c>
      <c r="C606" t="s">
        <v>3686</v>
      </c>
      <c r="D606" t="s">
        <v>16197</v>
      </c>
      <c r="E606" t="s">
        <v>16876</v>
      </c>
      <c r="F606" t="s">
        <v>28198</v>
      </c>
      <c r="G606" t="s">
        <v>28206</v>
      </c>
      <c r="H606" t="s">
        <v>28215</v>
      </c>
      <c r="I606" t="s">
        <v>5082</v>
      </c>
      <c r="J606" t="s">
        <v>28694</v>
      </c>
      <c r="K606" t="s">
        <v>36688</v>
      </c>
      <c r="M606" t="s">
        <v>37306</v>
      </c>
      <c r="N606" t="s">
        <v>40436</v>
      </c>
      <c r="O606" t="s">
        <v>40437</v>
      </c>
      <c r="P606">
        <v>0</v>
      </c>
      <c r="Q606">
        <v>0</v>
      </c>
      <c r="R606" t="s">
        <v>40438</v>
      </c>
      <c r="S606" t="s">
        <v>40582</v>
      </c>
      <c r="T606" t="s">
        <v>42111</v>
      </c>
      <c r="U606" t="s">
        <v>43157</v>
      </c>
      <c r="W606" t="s">
        <v>37306</v>
      </c>
      <c r="X606" t="s">
        <v>40439</v>
      </c>
    </row>
    <row r="607" spans="1:24">
      <c r="A607">
        <f>HYPERLINK("https://www.philgeps.gov.ph/GEPSNONPILOT/Tender/SplashBidNoticeAbstractUI.aspx?menuIndex=3&amp;refID=7047608&amp;Result=3","7047608")</f>
        <v>0</v>
      </c>
      <c r="B607" t="s">
        <v>329</v>
      </c>
      <c r="C607" t="s">
        <v>3687</v>
      </c>
      <c r="D607" t="s">
        <v>16225</v>
      </c>
      <c r="E607" t="s">
        <v>16877</v>
      </c>
      <c r="F607" t="s">
        <v>28198</v>
      </c>
      <c r="G607" t="s">
        <v>28207</v>
      </c>
      <c r="H607" t="s">
        <v>28215</v>
      </c>
      <c r="I607" t="s">
        <v>28227</v>
      </c>
      <c r="J607" t="s">
        <v>28807</v>
      </c>
      <c r="K607" t="s">
        <v>36691</v>
      </c>
      <c r="M607" t="s">
        <v>37307</v>
      </c>
      <c r="N607" t="s">
        <v>40436</v>
      </c>
      <c r="O607" t="s">
        <v>40437</v>
      </c>
      <c r="P607">
        <v>0</v>
      </c>
      <c r="Q607">
        <v>0</v>
      </c>
      <c r="R607" t="s">
        <v>40438</v>
      </c>
      <c r="S607" t="s">
        <v>40582</v>
      </c>
      <c r="T607" t="s">
        <v>42142</v>
      </c>
      <c r="U607" t="s">
        <v>43158</v>
      </c>
      <c r="W607" t="s">
        <v>37307</v>
      </c>
      <c r="X607" t="s">
        <v>40439</v>
      </c>
    </row>
    <row r="608" spans="1:24">
      <c r="A608">
        <f>HYPERLINK("https://www.philgeps.gov.ph/GEPSNONPILOT/Tender/SplashBidNoticeAbstractUI.aspx?menuIndex=3&amp;refID=7047592&amp;Result=3","7047592")</f>
        <v>0</v>
      </c>
      <c r="B608" t="s">
        <v>330</v>
      </c>
      <c r="C608" t="s">
        <v>3688</v>
      </c>
      <c r="D608" t="s">
        <v>16211</v>
      </c>
      <c r="E608" t="s">
        <v>16878</v>
      </c>
      <c r="F608" t="s">
        <v>28198</v>
      </c>
      <c r="G608" t="s">
        <v>28205</v>
      </c>
      <c r="H608" t="s">
        <v>28215</v>
      </c>
      <c r="I608" t="s">
        <v>5082</v>
      </c>
      <c r="J608" t="s">
        <v>28415</v>
      </c>
      <c r="K608" t="s">
        <v>36688</v>
      </c>
      <c r="M608" t="s">
        <v>37308</v>
      </c>
      <c r="N608" t="s">
        <v>40436</v>
      </c>
      <c r="O608" t="s">
        <v>40437</v>
      </c>
      <c r="P608">
        <v>0</v>
      </c>
      <c r="Q608">
        <v>2</v>
      </c>
      <c r="R608" t="s">
        <v>40438</v>
      </c>
      <c r="S608" t="s">
        <v>40582</v>
      </c>
      <c r="T608" t="s">
        <v>42098</v>
      </c>
      <c r="U608" t="s">
        <v>43159</v>
      </c>
      <c r="W608" t="s">
        <v>37308</v>
      </c>
      <c r="X608" t="s">
        <v>40439</v>
      </c>
    </row>
    <row r="609" spans="1:24">
      <c r="A609">
        <f>HYPERLINK("https://www.philgeps.gov.ph/GEPSNONPILOT/Tender/SplashBidNoticeAbstractUI.aspx?menuIndex=3&amp;refID=7047602&amp;Result=3","7047602")</f>
        <v>0</v>
      </c>
      <c r="B609" t="s">
        <v>331</v>
      </c>
      <c r="C609" t="s">
        <v>3689</v>
      </c>
      <c r="D609" t="s">
        <v>16260</v>
      </c>
      <c r="E609" t="s">
        <v>16879</v>
      </c>
      <c r="F609" t="s">
        <v>28198</v>
      </c>
      <c r="G609" t="s">
        <v>28206</v>
      </c>
      <c r="H609" t="s">
        <v>28215</v>
      </c>
      <c r="I609" t="s">
        <v>5100</v>
      </c>
      <c r="J609" t="s">
        <v>28808</v>
      </c>
      <c r="K609" t="s">
        <v>36688</v>
      </c>
      <c r="M609" t="s">
        <v>37309</v>
      </c>
      <c r="N609" t="s">
        <v>40436</v>
      </c>
      <c r="O609" t="s">
        <v>40437</v>
      </c>
      <c r="P609">
        <v>0</v>
      </c>
      <c r="Q609">
        <v>1</v>
      </c>
      <c r="R609" t="s">
        <v>40438</v>
      </c>
      <c r="S609" t="s">
        <v>40582</v>
      </c>
      <c r="T609" t="s">
        <v>42103</v>
      </c>
      <c r="U609" t="s">
        <v>43160</v>
      </c>
      <c r="W609" t="s">
        <v>37309</v>
      </c>
      <c r="X609" t="s">
        <v>40439</v>
      </c>
    </row>
    <row r="610" spans="1:24">
      <c r="A610">
        <f>HYPERLINK("https://www.philgeps.gov.ph/GEPSNONPILOT/Tender/SplashBidNoticeAbstractUI.aspx?menuIndex=3&amp;refID=7047611&amp;Result=3","7047611")</f>
        <v>0</v>
      </c>
      <c r="B610" t="s">
        <v>332</v>
      </c>
      <c r="C610" t="s">
        <v>3690</v>
      </c>
      <c r="E610" t="s">
        <v>16880</v>
      </c>
      <c r="F610" t="s">
        <v>28198</v>
      </c>
      <c r="G610" t="s">
        <v>28205</v>
      </c>
      <c r="H610" t="s">
        <v>28214</v>
      </c>
      <c r="I610" t="s">
        <v>3797</v>
      </c>
      <c r="J610" t="s">
        <v>28398</v>
      </c>
      <c r="K610" t="s">
        <v>36689</v>
      </c>
      <c r="M610" t="s">
        <v>37310</v>
      </c>
      <c r="N610" t="s">
        <v>40436</v>
      </c>
      <c r="O610" t="s">
        <v>40437</v>
      </c>
      <c r="P610">
        <v>0</v>
      </c>
      <c r="Q610">
        <v>0</v>
      </c>
      <c r="R610" t="s">
        <v>40438</v>
      </c>
      <c r="S610" t="s">
        <v>40582</v>
      </c>
      <c r="T610" t="s">
        <v>42110</v>
      </c>
      <c r="U610" t="s">
        <v>43161</v>
      </c>
      <c r="W610" t="s">
        <v>37310</v>
      </c>
      <c r="X610" t="s">
        <v>40439</v>
      </c>
    </row>
    <row r="611" spans="1:24">
      <c r="A611">
        <f>HYPERLINK("https://www.philgeps.gov.ph/GEPSNONPILOT/Tender/SplashBidNoticeAbstractUI.aspx?menuIndex=3&amp;refID=7047601&amp;Result=3","7047601")</f>
        <v>0</v>
      </c>
      <c r="B611" t="s">
        <v>323</v>
      </c>
      <c r="C611" t="s">
        <v>3691</v>
      </c>
      <c r="D611" t="s">
        <v>16238</v>
      </c>
      <c r="E611" t="s">
        <v>16881</v>
      </c>
      <c r="F611" t="s">
        <v>28198</v>
      </c>
      <c r="G611" t="s">
        <v>28205</v>
      </c>
      <c r="H611" t="s">
        <v>28215</v>
      </c>
      <c r="I611" t="s">
        <v>5100</v>
      </c>
      <c r="J611" t="s">
        <v>28809</v>
      </c>
      <c r="K611" t="s">
        <v>36689</v>
      </c>
      <c r="M611" t="s">
        <v>37301</v>
      </c>
      <c r="N611" t="s">
        <v>40436</v>
      </c>
      <c r="O611" t="s">
        <v>40437</v>
      </c>
      <c r="P611">
        <v>0</v>
      </c>
      <c r="Q611">
        <v>0</v>
      </c>
      <c r="R611" t="s">
        <v>40438</v>
      </c>
      <c r="S611" t="s">
        <v>40582</v>
      </c>
      <c r="T611" t="s">
        <v>42100</v>
      </c>
      <c r="U611" t="s">
        <v>43162</v>
      </c>
      <c r="W611" t="s">
        <v>55442</v>
      </c>
      <c r="X611" t="s">
        <v>40439</v>
      </c>
    </row>
    <row r="612" spans="1:24">
      <c r="A612">
        <f>HYPERLINK("https://www.philgeps.gov.ph/GEPSNONPILOT/Tender/SplashBidNoticeAbstractUI.aspx?menuIndex=3&amp;refID=7047594&amp;Result=3","7047594")</f>
        <v>0</v>
      </c>
      <c r="B612" t="s">
        <v>333</v>
      </c>
      <c r="C612" t="s">
        <v>3692</v>
      </c>
      <c r="D612" t="s">
        <v>16218</v>
      </c>
      <c r="E612" t="s">
        <v>16882</v>
      </c>
      <c r="F612" t="s">
        <v>28198</v>
      </c>
      <c r="G612" t="s">
        <v>28206</v>
      </c>
      <c r="H612" t="s">
        <v>28215</v>
      </c>
      <c r="I612" t="s">
        <v>28227</v>
      </c>
      <c r="J612" t="s">
        <v>28810</v>
      </c>
      <c r="K612" t="s">
        <v>36707</v>
      </c>
      <c r="M612" t="s">
        <v>37311</v>
      </c>
      <c r="N612" t="s">
        <v>40436</v>
      </c>
      <c r="O612" t="s">
        <v>40437</v>
      </c>
      <c r="P612">
        <v>0</v>
      </c>
      <c r="Q612">
        <v>0</v>
      </c>
      <c r="R612" t="s">
        <v>40438</v>
      </c>
      <c r="S612" t="s">
        <v>40582</v>
      </c>
      <c r="T612" t="s">
        <v>42102</v>
      </c>
      <c r="U612" t="s">
        <v>43163</v>
      </c>
      <c r="W612" t="s">
        <v>37311</v>
      </c>
      <c r="X612" t="s">
        <v>40439</v>
      </c>
    </row>
    <row r="613" spans="1:24">
      <c r="A613">
        <f>HYPERLINK("https://www.philgeps.gov.ph/GEPSNONPILOT/Tender/SplashBidNoticeAbstractUI.aspx?menuIndex=3&amp;refID=7047589&amp;Result=3","7047589")</f>
        <v>0</v>
      </c>
      <c r="B613" t="s">
        <v>334</v>
      </c>
      <c r="C613" t="s">
        <v>3693</v>
      </c>
      <c r="D613" t="s">
        <v>16226</v>
      </c>
      <c r="E613" t="s">
        <v>16883</v>
      </c>
      <c r="F613" t="s">
        <v>28198</v>
      </c>
      <c r="G613" t="s">
        <v>28205</v>
      </c>
      <c r="H613" t="s">
        <v>28214</v>
      </c>
      <c r="I613" t="s">
        <v>3797</v>
      </c>
      <c r="J613" t="s">
        <v>28406</v>
      </c>
      <c r="K613" t="s">
        <v>36689</v>
      </c>
      <c r="M613" t="s">
        <v>37312</v>
      </c>
      <c r="N613" t="s">
        <v>40436</v>
      </c>
      <c r="O613" t="s">
        <v>40437</v>
      </c>
      <c r="P613">
        <v>0</v>
      </c>
      <c r="Q613">
        <v>0</v>
      </c>
      <c r="R613" t="s">
        <v>40438</v>
      </c>
      <c r="S613" t="s">
        <v>40582</v>
      </c>
      <c r="T613" t="s">
        <v>42188</v>
      </c>
      <c r="U613" t="s">
        <v>43164</v>
      </c>
      <c r="V613" t="s">
        <v>53856</v>
      </c>
      <c r="W613" t="s">
        <v>37312</v>
      </c>
      <c r="X613" t="s">
        <v>40439</v>
      </c>
    </row>
    <row r="614" spans="1:24">
      <c r="A614">
        <f>HYPERLINK("https://www.philgeps.gov.ph/GEPSNONPILOT/Tender/SplashBidNoticeAbstractUI.aspx?menuIndex=3&amp;refID=7047603&amp;Result=3","7047603")</f>
        <v>0</v>
      </c>
      <c r="B614" t="s">
        <v>335</v>
      </c>
      <c r="C614" t="s">
        <v>3694</v>
      </c>
      <c r="D614" t="s">
        <v>16221</v>
      </c>
      <c r="E614" t="s">
        <v>16884</v>
      </c>
      <c r="F614" t="s">
        <v>28198</v>
      </c>
      <c r="G614" t="s">
        <v>28207</v>
      </c>
      <c r="H614" t="s">
        <v>28215</v>
      </c>
      <c r="I614" t="s">
        <v>4200</v>
      </c>
      <c r="J614" t="s">
        <v>28811</v>
      </c>
      <c r="K614" t="s">
        <v>36715</v>
      </c>
      <c r="M614" t="s">
        <v>37313</v>
      </c>
      <c r="N614" t="s">
        <v>40436</v>
      </c>
      <c r="O614" t="s">
        <v>40437</v>
      </c>
      <c r="P614">
        <v>0</v>
      </c>
      <c r="Q614">
        <v>1</v>
      </c>
      <c r="R614" t="s">
        <v>40438</v>
      </c>
      <c r="S614" t="s">
        <v>40582</v>
      </c>
      <c r="T614" t="s">
        <v>42124</v>
      </c>
      <c r="U614" t="s">
        <v>43165</v>
      </c>
      <c r="W614" t="s">
        <v>55444</v>
      </c>
      <c r="X614" t="s">
        <v>40439</v>
      </c>
    </row>
    <row r="615" spans="1:24">
      <c r="A615">
        <f>HYPERLINK("https://www.philgeps.gov.ph/GEPSNONPILOT/Tender/SplashBidNoticeAbstractUI.aspx?menuIndex=3&amp;refID=7047617&amp;Result=3","7047617")</f>
        <v>0</v>
      </c>
      <c r="B615" t="s">
        <v>336</v>
      </c>
      <c r="C615" t="s">
        <v>3695</v>
      </c>
      <c r="D615" t="s">
        <v>16197</v>
      </c>
      <c r="E615" t="s">
        <v>16684</v>
      </c>
      <c r="F615" t="s">
        <v>28198</v>
      </c>
      <c r="G615" t="s">
        <v>28205</v>
      </c>
      <c r="H615" t="s">
        <v>28215</v>
      </c>
      <c r="I615" t="s">
        <v>5100</v>
      </c>
      <c r="J615" t="s">
        <v>28812</v>
      </c>
      <c r="K615" t="s">
        <v>36706</v>
      </c>
      <c r="M615" t="s">
        <v>37314</v>
      </c>
      <c r="N615" t="s">
        <v>40436</v>
      </c>
      <c r="O615" t="s">
        <v>40437</v>
      </c>
      <c r="P615">
        <v>0</v>
      </c>
      <c r="Q615">
        <v>0</v>
      </c>
      <c r="R615" t="s">
        <v>40438</v>
      </c>
      <c r="S615" t="s">
        <v>40582</v>
      </c>
      <c r="T615" t="s">
        <v>42112</v>
      </c>
      <c r="U615" t="s">
        <v>43166</v>
      </c>
      <c r="V615" t="s">
        <v>53857</v>
      </c>
      <c r="W615" t="s">
        <v>37314</v>
      </c>
      <c r="X615" t="s">
        <v>40439</v>
      </c>
    </row>
    <row r="616" spans="1:24">
      <c r="A616">
        <f>HYPERLINK("https://www.philgeps.gov.ph/GEPSNONPILOT/Tender/SplashBidNoticeAbstractUI.aspx?menuIndex=3&amp;refID=7047582&amp;Result=3","7047582")</f>
        <v>0</v>
      </c>
      <c r="B616" t="s">
        <v>337</v>
      </c>
      <c r="C616" t="s">
        <v>3696</v>
      </c>
      <c r="D616" t="s">
        <v>16210</v>
      </c>
      <c r="E616" t="s">
        <v>16885</v>
      </c>
      <c r="F616" t="s">
        <v>28198</v>
      </c>
      <c r="G616" t="s">
        <v>28207</v>
      </c>
      <c r="H616" t="s">
        <v>28215</v>
      </c>
      <c r="I616" t="s">
        <v>28245</v>
      </c>
      <c r="J616" t="s">
        <v>28813</v>
      </c>
      <c r="K616" t="s">
        <v>36707</v>
      </c>
      <c r="M616" t="s">
        <v>37315</v>
      </c>
      <c r="N616" t="s">
        <v>40436</v>
      </c>
      <c r="O616" t="s">
        <v>40437</v>
      </c>
      <c r="P616">
        <v>0</v>
      </c>
      <c r="Q616">
        <v>0</v>
      </c>
      <c r="R616" t="s">
        <v>40438</v>
      </c>
      <c r="S616" t="s">
        <v>40582</v>
      </c>
      <c r="T616" t="s">
        <v>42112</v>
      </c>
      <c r="U616" t="s">
        <v>43167</v>
      </c>
      <c r="V616" t="s">
        <v>53858</v>
      </c>
      <c r="W616" t="s">
        <v>37315</v>
      </c>
      <c r="X616" t="s">
        <v>40439</v>
      </c>
    </row>
    <row r="617" spans="1:24">
      <c r="A617">
        <f>HYPERLINK("https://www.philgeps.gov.ph/GEPSNONPILOT/Tender/SplashBidNoticeAbstractUI.aspx?menuIndex=3&amp;refID=7047597&amp;Result=3","7047597")</f>
        <v>0</v>
      </c>
      <c r="B617" t="s">
        <v>338</v>
      </c>
      <c r="C617" t="s">
        <v>3697</v>
      </c>
      <c r="D617" t="s">
        <v>16187</v>
      </c>
      <c r="E617" t="s">
        <v>16886</v>
      </c>
      <c r="F617" t="s">
        <v>28198</v>
      </c>
      <c r="G617" t="s">
        <v>28207</v>
      </c>
      <c r="H617" t="s">
        <v>28214</v>
      </c>
      <c r="I617" t="s">
        <v>3797</v>
      </c>
      <c r="J617" t="s">
        <v>28814</v>
      </c>
      <c r="K617" t="s">
        <v>36693</v>
      </c>
      <c r="M617" t="s">
        <v>37316</v>
      </c>
      <c r="N617" t="s">
        <v>40436</v>
      </c>
      <c r="O617" t="s">
        <v>40437</v>
      </c>
      <c r="P617">
        <v>0</v>
      </c>
      <c r="Q617">
        <v>0</v>
      </c>
      <c r="R617" t="s">
        <v>40438</v>
      </c>
      <c r="S617" t="s">
        <v>40582</v>
      </c>
      <c r="T617" t="s">
        <v>42180</v>
      </c>
      <c r="U617" t="s">
        <v>43168</v>
      </c>
      <c r="W617" t="s">
        <v>37316</v>
      </c>
      <c r="X617" t="s">
        <v>40439</v>
      </c>
    </row>
    <row r="618" spans="1:24">
      <c r="A618">
        <f>HYPERLINK("https://www.philgeps.gov.ph/GEPSNONPILOT/Tender/SplashBidNoticeAbstractUI.aspx?menuIndex=3&amp;refID=7047615&amp;Result=3","7047615")</f>
        <v>0</v>
      </c>
      <c r="B618" t="s">
        <v>339</v>
      </c>
      <c r="C618" t="s">
        <v>3698</v>
      </c>
      <c r="D618" t="s">
        <v>16210</v>
      </c>
      <c r="E618" t="s">
        <v>16887</v>
      </c>
      <c r="F618" t="s">
        <v>28198</v>
      </c>
      <c r="G618" t="s">
        <v>28207</v>
      </c>
      <c r="H618" t="s">
        <v>28215</v>
      </c>
      <c r="I618" t="s">
        <v>8888</v>
      </c>
      <c r="J618" t="s">
        <v>28815</v>
      </c>
      <c r="K618" t="s">
        <v>36689</v>
      </c>
      <c r="M618" t="s">
        <v>37317</v>
      </c>
      <c r="N618" t="s">
        <v>40436</v>
      </c>
      <c r="O618" t="s">
        <v>40437</v>
      </c>
      <c r="P618">
        <v>0</v>
      </c>
      <c r="Q618">
        <v>2</v>
      </c>
      <c r="R618" t="s">
        <v>40438</v>
      </c>
      <c r="S618" t="s">
        <v>40582</v>
      </c>
      <c r="T618" t="s">
        <v>42124</v>
      </c>
      <c r="U618" t="s">
        <v>43169</v>
      </c>
      <c r="V618" t="s">
        <v>53859</v>
      </c>
      <c r="W618" t="s">
        <v>37317</v>
      </c>
      <c r="X618" t="s">
        <v>40439</v>
      </c>
    </row>
    <row r="619" spans="1:24">
      <c r="A619">
        <f>HYPERLINK("https://www.philgeps.gov.ph/GEPSNONPILOT/Tender/SplashBidNoticeAbstractUI.aspx?menuIndex=3&amp;refID=7047623&amp;Result=3","7047623")</f>
        <v>0</v>
      </c>
      <c r="B619" t="s">
        <v>340</v>
      </c>
      <c r="C619" t="s">
        <v>3699</v>
      </c>
      <c r="D619" t="s">
        <v>16195</v>
      </c>
      <c r="E619" t="s">
        <v>16888</v>
      </c>
      <c r="F619" t="s">
        <v>28198</v>
      </c>
      <c r="G619" t="s">
        <v>28207</v>
      </c>
      <c r="H619" t="s">
        <v>28215</v>
      </c>
      <c r="I619" t="s">
        <v>5103</v>
      </c>
      <c r="J619" t="s">
        <v>28816</v>
      </c>
      <c r="K619" t="s">
        <v>36689</v>
      </c>
      <c r="M619" t="s">
        <v>37318</v>
      </c>
      <c r="N619" t="s">
        <v>40436</v>
      </c>
      <c r="O619" t="s">
        <v>40437</v>
      </c>
      <c r="P619">
        <v>0</v>
      </c>
      <c r="Q619">
        <v>4</v>
      </c>
      <c r="R619" t="s">
        <v>40438</v>
      </c>
      <c r="S619" t="s">
        <v>40582</v>
      </c>
      <c r="T619" t="s">
        <v>42188</v>
      </c>
      <c r="U619" t="s">
        <v>43170</v>
      </c>
      <c r="W619" t="s">
        <v>37318</v>
      </c>
      <c r="X619" t="s">
        <v>40439</v>
      </c>
    </row>
    <row r="620" spans="1:24">
      <c r="A620">
        <f>HYPERLINK("https://www.philgeps.gov.ph/GEPSNONPILOT/Tender/SplashBidNoticeAbstractUI.aspx?menuIndex=3&amp;refID=7047600&amp;Result=3","7047600")</f>
        <v>0</v>
      </c>
      <c r="B620" t="s">
        <v>341</v>
      </c>
      <c r="C620" t="s">
        <v>3700</v>
      </c>
      <c r="D620" t="s">
        <v>16199</v>
      </c>
      <c r="E620" t="s">
        <v>16889</v>
      </c>
      <c r="F620" t="s">
        <v>28198</v>
      </c>
      <c r="G620" t="s">
        <v>28205</v>
      </c>
      <c r="H620" t="s">
        <v>28215</v>
      </c>
      <c r="I620" t="s">
        <v>28243</v>
      </c>
      <c r="J620" t="s">
        <v>28817</v>
      </c>
      <c r="K620" t="s">
        <v>36689</v>
      </c>
      <c r="M620" t="s">
        <v>37319</v>
      </c>
      <c r="N620" t="s">
        <v>40436</v>
      </c>
      <c r="O620" t="s">
        <v>40437</v>
      </c>
      <c r="P620">
        <v>0</v>
      </c>
      <c r="Q620">
        <v>2</v>
      </c>
      <c r="R620" t="s">
        <v>40438</v>
      </c>
      <c r="S620" t="s">
        <v>40582</v>
      </c>
      <c r="T620" t="s">
        <v>42155</v>
      </c>
      <c r="U620" t="s">
        <v>43171</v>
      </c>
      <c r="W620" t="s">
        <v>37319</v>
      </c>
      <c r="X620" t="s">
        <v>40439</v>
      </c>
    </row>
    <row r="621" spans="1:24">
      <c r="A621">
        <f>HYPERLINK("https://www.philgeps.gov.ph/GEPSNONPILOT/Tender/SplashBidNoticeAbstractUI.aspx?menuIndex=3&amp;refID=7047642&amp;Result=3","7047642")</f>
        <v>0</v>
      </c>
      <c r="B621" t="s">
        <v>257</v>
      </c>
      <c r="C621" t="s">
        <v>3701</v>
      </c>
      <c r="D621" t="s">
        <v>16193</v>
      </c>
      <c r="E621" t="s">
        <v>16890</v>
      </c>
      <c r="F621" t="s">
        <v>28198</v>
      </c>
      <c r="G621" t="s">
        <v>28205</v>
      </c>
      <c r="H621" t="s">
        <v>28215</v>
      </c>
      <c r="I621" t="s">
        <v>28222</v>
      </c>
      <c r="J621" t="s">
        <v>28818</v>
      </c>
      <c r="K621" t="s">
        <v>36707</v>
      </c>
      <c r="M621" t="s">
        <v>37233</v>
      </c>
      <c r="N621" t="s">
        <v>40436</v>
      </c>
      <c r="O621" t="s">
        <v>40437</v>
      </c>
      <c r="P621">
        <v>0</v>
      </c>
      <c r="Q621">
        <v>4</v>
      </c>
      <c r="R621" t="s">
        <v>40438</v>
      </c>
      <c r="S621" t="s">
        <v>40582</v>
      </c>
      <c r="T621" t="s">
        <v>42118</v>
      </c>
      <c r="U621" t="s">
        <v>43172</v>
      </c>
      <c r="W621" t="s">
        <v>37233</v>
      </c>
      <c r="X621" t="s">
        <v>40439</v>
      </c>
    </row>
    <row r="622" spans="1:24">
      <c r="A622">
        <f>HYPERLINK("https://www.philgeps.gov.ph/GEPSNONPILOT/Tender/SplashBidNoticeAbstractUI.aspx?menuIndex=3&amp;refID=7047640&amp;Result=3","7047640")</f>
        <v>0</v>
      </c>
      <c r="B622" t="s">
        <v>303</v>
      </c>
      <c r="C622" t="s">
        <v>3702</v>
      </c>
      <c r="D622" t="s">
        <v>16196</v>
      </c>
      <c r="E622" t="s">
        <v>16891</v>
      </c>
      <c r="F622" t="s">
        <v>28198</v>
      </c>
      <c r="G622" t="s">
        <v>28207</v>
      </c>
      <c r="H622" t="s">
        <v>28215</v>
      </c>
      <c r="I622" t="s">
        <v>28237</v>
      </c>
      <c r="J622" t="s">
        <v>28819</v>
      </c>
      <c r="K622" t="s">
        <v>36687</v>
      </c>
      <c r="M622" t="s">
        <v>37320</v>
      </c>
      <c r="N622" t="s">
        <v>40436</v>
      </c>
      <c r="O622" t="s">
        <v>40437</v>
      </c>
      <c r="P622">
        <v>0</v>
      </c>
      <c r="Q622">
        <v>0</v>
      </c>
      <c r="R622" t="s">
        <v>40438</v>
      </c>
      <c r="S622" t="s">
        <v>40582</v>
      </c>
      <c r="T622" t="s">
        <v>42134</v>
      </c>
      <c r="U622" t="s">
        <v>43173</v>
      </c>
      <c r="W622" t="s">
        <v>37320</v>
      </c>
      <c r="X622" t="s">
        <v>40439</v>
      </c>
    </row>
    <row r="623" spans="1:24">
      <c r="A623">
        <f>HYPERLINK("https://www.philgeps.gov.ph/GEPSNONPILOT/Tender/SplashBidNoticeAbstractUI.aspx?menuIndex=3&amp;refID=7047598&amp;Result=3","7047598")</f>
        <v>0</v>
      </c>
      <c r="B623" t="s">
        <v>83</v>
      </c>
      <c r="C623" t="s">
        <v>3703</v>
      </c>
      <c r="D623" t="s">
        <v>16220</v>
      </c>
      <c r="E623" t="s">
        <v>16892</v>
      </c>
      <c r="F623" t="s">
        <v>28198</v>
      </c>
      <c r="G623" t="s">
        <v>28207</v>
      </c>
      <c r="H623" t="s">
        <v>28215</v>
      </c>
      <c r="I623" t="s">
        <v>5791</v>
      </c>
      <c r="J623" t="s">
        <v>28350</v>
      </c>
      <c r="K623" t="s">
        <v>36707</v>
      </c>
      <c r="M623" t="s">
        <v>37055</v>
      </c>
      <c r="N623" t="s">
        <v>40436</v>
      </c>
      <c r="O623" t="s">
        <v>40437</v>
      </c>
      <c r="P623">
        <v>0</v>
      </c>
      <c r="Q623">
        <v>0</v>
      </c>
      <c r="R623" t="s">
        <v>40438</v>
      </c>
      <c r="S623" t="s">
        <v>40582</v>
      </c>
      <c r="T623" t="s">
        <v>42103</v>
      </c>
      <c r="U623" t="s">
        <v>43174</v>
      </c>
      <c r="W623" t="s">
        <v>37055</v>
      </c>
      <c r="X623" t="s">
        <v>40439</v>
      </c>
    </row>
    <row r="624" spans="1:24">
      <c r="A624">
        <f>HYPERLINK("https://www.philgeps.gov.ph/GEPSNONPILOT/Tender/SplashBidNoticeAbstractUI.aspx?menuIndex=3&amp;refID=7047621&amp;Result=3","7047621")</f>
        <v>0</v>
      </c>
      <c r="B624" t="s">
        <v>342</v>
      </c>
      <c r="C624" t="s">
        <v>3704</v>
      </c>
      <c r="D624" t="s">
        <v>16210</v>
      </c>
      <c r="E624" t="s">
        <v>16893</v>
      </c>
      <c r="F624" t="s">
        <v>28198</v>
      </c>
      <c r="G624" t="s">
        <v>28210</v>
      </c>
      <c r="H624" t="s">
        <v>28215</v>
      </c>
      <c r="I624" t="s">
        <v>4321</v>
      </c>
      <c r="J624" t="s">
        <v>28820</v>
      </c>
      <c r="K624" t="s">
        <v>36707</v>
      </c>
      <c r="M624" t="s">
        <v>37321</v>
      </c>
      <c r="N624" t="s">
        <v>40436</v>
      </c>
      <c r="O624" t="s">
        <v>40437</v>
      </c>
      <c r="P624">
        <v>0</v>
      </c>
      <c r="Q624">
        <v>11</v>
      </c>
      <c r="R624" t="s">
        <v>40438</v>
      </c>
      <c r="S624" t="s">
        <v>40582</v>
      </c>
      <c r="T624" t="s">
        <v>42103</v>
      </c>
      <c r="U624" t="s">
        <v>43175</v>
      </c>
      <c r="W624" t="s">
        <v>37321</v>
      </c>
      <c r="X624" t="s">
        <v>40439</v>
      </c>
    </row>
    <row r="625" spans="1:24">
      <c r="A625">
        <f>HYPERLINK("https://www.philgeps.gov.ph/GEPSNONPILOT/Tender/SplashBidNoticeAbstractUI.aspx?menuIndex=3&amp;refID=7047596&amp;Result=3","7047596")</f>
        <v>0</v>
      </c>
      <c r="B625" t="s">
        <v>343</v>
      </c>
      <c r="C625" t="s">
        <v>3705</v>
      </c>
      <c r="D625" t="s">
        <v>16235</v>
      </c>
      <c r="E625" t="s">
        <v>16894</v>
      </c>
      <c r="F625" t="s">
        <v>28198</v>
      </c>
      <c r="G625" t="s">
        <v>28207</v>
      </c>
      <c r="H625" t="s">
        <v>28215</v>
      </c>
      <c r="I625" t="s">
        <v>28262</v>
      </c>
      <c r="J625" t="s">
        <v>28593</v>
      </c>
      <c r="K625" t="s">
        <v>36707</v>
      </c>
      <c r="M625" t="s">
        <v>37322</v>
      </c>
      <c r="N625" t="s">
        <v>40436</v>
      </c>
      <c r="O625" t="s">
        <v>40437</v>
      </c>
      <c r="P625">
        <v>0</v>
      </c>
      <c r="Q625">
        <v>3</v>
      </c>
      <c r="R625" t="s">
        <v>40438</v>
      </c>
      <c r="S625" t="s">
        <v>40582</v>
      </c>
      <c r="T625" t="s">
        <v>42128</v>
      </c>
      <c r="U625" t="s">
        <v>43176</v>
      </c>
      <c r="W625" t="s">
        <v>37322</v>
      </c>
      <c r="X625" t="s">
        <v>40439</v>
      </c>
    </row>
    <row r="626" spans="1:24">
      <c r="A626">
        <f>HYPERLINK("https://www.philgeps.gov.ph/GEPSNONPILOT/Tender/SplashBidNoticeAbstractUI.aspx?menuIndex=3&amp;refID=7047638&amp;Result=3","7047638")</f>
        <v>0</v>
      </c>
      <c r="B626" t="s">
        <v>344</v>
      </c>
      <c r="C626" t="s">
        <v>3706</v>
      </c>
      <c r="D626" t="s">
        <v>16235</v>
      </c>
      <c r="E626" t="s">
        <v>16895</v>
      </c>
      <c r="F626" t="s">
        <v>28198</v>
      </c>
      <c r="G626" t="s">
        <v>28207</v>
      </c>
      <c r="H626" t="s">
        <v>28215</v>
      </c>
      <c r="I626" t="s">
        <v>28229</v>
      </c>
      <c r="J626" t="s">
        <v>28821</v>
      </c>
      <c r="K626" t="s">
        <v>36706</v>
      </c>
      <c r="M626" t="s">
        <v>37323</v>
      </c>
      <c r="N626" t="s">
        <v>40436</v>
      </c>
      <c r="O626" t="s">
        <v>40437</v>
      </c>
      <c r="P626">
        <v>0</v>
      </c>
      <c r="Q626">
        <v>1</v>
      </c>
      <c r="R626" t="s">
        <v>40438</v>
      </c>
      <c r="S626" t="s">
        <v>40582</v>
      </c>
      <c r="T626" t="s">
        <v>42142</v>
      </c>
      <c r="U626" t="s">
        <v>43177</v>
      </c>
      <c r="V626" t="s">
        <v>53860</v>
      </c>
      <c r="W626" t="s">
        <v>37323</v>
      </c>
      <c r="X626" t="s">
        <v>40439</v>
      </c>
    </row>
    <row r="627" spans="1:24">
      <c r="A627">
        <f>HYPERLINK("https://www.philgeps.gov.ph/GEPSNONPILOT/Tender/SplashBidNoticeAbstractUI.aspx?menuIndex=3&amp;refID=7047641&amp;Result=3","7047641")</f>
        <v>0</v>
      </c>
      <c r="B627" t="s">
        <v>296</v>
      </c>
      <c r="C627" t="s">
        <v>3707</v>
      </c>
      <c r="D627" t="s">
        <v>16188</v>
      </c>
      <c r="E627" t="s">
        <v>16896</v>
      </c>
      <c r="F627" t="s">
        <v>28198</v>
      </c>
      <c r="G627" t="s">
        <v>28207</v>
      </c>
      <c r="H627" t="s">
        <v>28215</v>
      </c>
      <c r="I627" t="s">
        <v>4219</v>
      </c>
      <c r="J627" t="s">
        <v>28822</v>
      </c>
      <c r="K627" t="s">
        <v>36689</v>
      </c>
      <c r="M627" t="s">
        <v>37273</v>
      </c>
      <c r="N627" t="s">
        <v>40436</v>
      </c>
      <c r="O627" t="s">
        <v>40437</v>
      </c>
      <c r="P627">
        <v>0</v>
      </c>
      <c r="Q627">
        <v>5</v>
      </c>
      <c r="R627" t="s">
        <v>40438</v>
      </c>
      <c r="S627" t="s">
        <v>40582</v>
      </c>
      <c r="T627" t="s">
        <v>42198</v>
      </c>
      <c r="U627" t="s">
        <v>43178</v>
      </c>
      <c r="W627" t="s">
        <v>37273</v>
      </c>
      <c r="X627" t="s">
        <v>40439</v>
      </c>
    </row>
    <row r="628" spans="1:24">
      <c r="A628">
        <f>HYPERLINK("https://www.philgeps.gov.ph/GEPSNONPILOT/Tender/SplashBidNoticeAbstractUI.aspx?menuIndex=3&amp;refID=7047619&amp;Result=3","7047619")</f>
        <v>0</v>
      </c>
      <c r="B628" t="s">
        <v>345</v>
      </c>
      <c r="C628" t="s">
        <v>3708</v>
      </c>
      <c r="D628" t="s">
        <v>16221</v>
      </c>
      <c r="E628" t="s">
        <v>16897</v>
      </c>
      <c r="F628" t="s">
        <v>28198</v>
      </c>
      <c r="G628" t="s">
        <v>28205</v>
      </c>
      <c r="H628" t="s">
        <v>28215</v>
      </c>
      <c r="I628" t="s">
        <v>8888</v>
      </c>
      <c r="J628" t="s">
        <v>28823</v>
      </c>
      <c r="K628" t="s">
        <v>36707</v>
      </c>
      <c r="M628" t="s">
        <v>37324</v>
      </c>
      <c r="N628" t="s">
        <v>40436</v>
      </c>
      <c r="O628" t="s">
        <v>40437</v>
      </c>
      <c r="P628">
        <v>0</v>
      </c>
      <c r="Q628">
        <v>1</v>
      </c>
      <c r="R628" t="s">
        <v>40438</v>
      </c>
      <c r="S628" t="s">
        <v>40582</v>
      </c>
      <c r="T628" t="s">
        <v>42112</v>
      </c>
      <c r="U628" t="s">
        <v>43179</v>
      </c>
      <c r="W628" t="s">
        <v>37324</v>
      </c>
      <c r="X628" t="s">
        <v>40439</v>
      </c>
    </row>
    <row r="629" spans="1:24">
      <c r="A629">
        <f>HYPERLINK("https://www.philgeps.gov.ph/GEPSNONPILOT/Tender/SplashBidNoticeAbstractUI.aspx?menuIndex=3&amp;refID=7047639&amp;Result=3","7047639")</f>
        <v>0</v>
      </c>
      <c r="B629" t="s">
        <v>302</v>
      </c>
      <c r="C629" t="s">
        <v>3709</v>
      </c>
      <c r="D629" t="s">
        <v>16196</v>
      </c>
      <c r="E629" t="s">
        <v>16898</v>
      </c>
      <c r="F629" t="s">
        <v>28198</v>
      </c>
      <c r="G629" t="s">
        <v>28207</v>
      </c>
      <c r="H629" t="s">
        <v>28215</v>
      </c>
      <c r="I629" t="s">
        <v>28265</v>
      </c>
      <c r="J629" t="s">
        <v>28530</v>
      </c>
      <c r="K629" t="s">
        <v>36707</v>
      </c>
      <c r="M629" t="s">
        <v>37279</v>
      </c>
      <c r="N629" t="s">
        <v>40436</v>
      </c>
      <c r="O629" t="s">
        <v>40437</v>
      </c>
      <c r="P629">
        <v>0</v>
      </c>
      <c r="Q629">
        <v>2</v>
      </c>
      <c r="R629" t="s">
        <v>40438</v>
      </c>
      <c r="S629" t="s">
        <v>40582</v>
      </c>
      <c r="T629" t="s">
        <v>42142</v>
      </c>
      <c r="U629" t="s">
        <v>43180</v>
      </c>
      <c r="W629" t="s">
        <v>37279</v>
      </c>
      <c r="X629" t="s">
        <v>40439</v>
      </c>
    </row>
    <row r="630" spans="1:24">
      <c r="A630">
        <f>HYPERLINK("https://www.philgeps.gov.ph/GEPSNONPILOT/Tender/SplashBidNoticeAbstractUI.aspx?menuIndex=3&amp;refID=7047633&amp;Result=3","7047633")</f>
        <v>0</v>
      </c>
      <c r="B630" t="s">
        <v>258</v>
      </c>
      <c r="C630" t="s">
        <v>3710</v>
      </c>
      <c r="D630" t="s">
        <v>16256</v>
      </c>
      <c r="E630" t="s">
        <v>16899</v>
      </c>
      <c r="F630" t="s">
        <v>28198</v>
      </c>
      <c r="G630" t="s">
        <v>28205</v>
      </c>
      <c r="H630" t="s">
        <v>28215</v>
      </c>
      <c r="I630" t="s">
        <v>6051</v>
      </c>
      <c r="J630" t="s">
        <v>28743</v>
      </c>
      <c r="K630" t="s">
        <v>36688</v>
      </c>
      <c r="M630" t="s">
        <v>37234</v>
      </c>
      <c r="N630" t="s">
        <v>40436</v>
      </c>
      <c r="O630" t="s">
        <v>40437</v>
      </c>
      <c r="P630">
        <v>0</v>
      </c>
      <c r="Q630">
        <v>1</v>
      </c>
      <c r="R630" t="s">
        <v>40438</v>
      </c>
      <c r="S630" t="s">
        <v>40582</v>
      </c>
      <c r="T630" t="s">
        <v>42125</v>
      </c>
      <c r="U630" t="s">
        <v>43181</v>
      </c>
      <c r="W630" t="s">
        <v>37234</v>
      </c>
      <c r="X630" t="s">
        <v>40439</v>
      </c>
    </row>
    <row r="631" spans="1:24">
      <c r="A631">
        <f>HYPERLINK("https://www.philgeps.gov.ph/GEPSNONPILOT/Tender/SplashBidNoticeAbstractUI.aspx?menuIndex=3&amp;refID=7047632&amp;Result=3","7047632")</f>
        <v>0</v>
      </c>
      <c r="B631" t="s">
        <v>346</v>
      </c>
      <c r="C631" t="s">
        <v>3711</v>
      </c>
      <c r="D631" t="s">
        <v>16217</v>
      </c>
      <c r="E631" t="s">
        <v>16900</v>
      </c>
      <c r="F631" t="s">
        <v>28198</v>
      </c>
      <c r="G631" t="s">
        <v>28205</v>
      </c>
      <c r="H631" t="s">
        <v>28214</v>
      </c>
      <c r="I631" t="s">
        <v>3797</v>
      </c>
      <c r="J631" t="s">
        <v>28379</v>
      </c>
      <c r="K631" t="s">
        <v>36737</v>
      </c>
      <c r="M631" t="s">
        <v>37325</v>
      </c>
      <c r="N631" t="s">
        <v>40436</v>
      </c>
      <c r="O631" t="s">
        <v>40437</v>
      </c>
      <c r="P631">
        <v>0</v>
      </c>
      <c r="Q631">
        <v>0</v>
      </c>
      <c r="R631" t="s">
        <v>40438</v>
      </c>
      <c r="S631" t="s">
        <v>40582</v>
      </c>
      <c r="T631" t="s">
        <v>42168</v>
      </c>
      <c r="U631" t="s">
        <v>43182</v>
      </c>
      <c r="V631" t="s">
        <v>53861</v>
      </c>
      <c r="W631" t="s">
        <v>37325</v>
      </c>
      <c r="X631" t="s">
        <v>40439</v>
      </c>
    </row>
    <row r="632" spans="1:24">
      <c r="A632">
        <f>HYPERLINK("https://www.philgeps.gov.ph/GEPSNONPILOT/Tender/SplashBidNoticeAbstractUI.aspx?menuIndex=3&amp;refID=7047634&amp;Result=3","7047634")</f>
        <v>0</v>
      </c>
      <c r="B632" t="s">
        <v>312</v>
      </c>
      <c r="C632" t="s">
        <v>3712</v>
      </c>
      <c r="D632" t="s">
        <v>16259</v>
      </c>
      <c r="E632" t="s">
        <v>16901</v>
      </c>
      <c r="F632" t="s">
        <v>28198</v>
      </c>
      <c r="G632" t="s">
        <v>28205</v>
      </c>
      <c r="H632" t="s">
        <v>28214</v>
      </c>
      <c r="I632" t="s">
        <v>3797</v>
      </c>
      <c r="J632" t="s">
        <v>28363</v>
      </c>
      <c r="K632" t="s">
        <v>36715</v>
      </c>
      <c r="M632" t="s">
        <v>37290</v>
      </c>
      <c r="N632" t="s">
        <v>40436</v>
      </c>
      <c r="O632" t="s">
        <v>40437</v>
      </c>
      <c r="P632">
        <v>0</v>
      </c>
      <c r="Q632">
        <v>0</v>
      </c>
      <c r="R632" t="s">
        <v>40438</v>
      </c>
      <c r="S632" t="s">
        <v>40582</v>
      </c>
      <c r="T632" t="s">
        <v>42125</v>
      </c>
      <c r="U632" t="s">
        <v>43183</v>
      </c>
      <c r="W632" t="s">
        <v>37290</v>
      </c>
      <c r="X632" t="s">
        <v>40439</v>
      </c>
    </row>
    <row r="633" spans="1:24">
      <c r="A633">
        <f>HYPERLINK("https://www.philgeps.gov.ph/GEPSNONPILOT/Tender/SplashBidNoticeAbstractUI.aspx?menuIndex=3&amp;refID=7047620&amp;Result=3","7047620")</f>
        <v>0</v>
      </c>
      <c r="B633" t="s">
        <v>325</v>
      </c>
      <c r="C633" t="s">
        <v>3713</v>
      </c>
      <c r="D633" t="s">
        <v>16226</v>
      </c>
      <c r="E633" t="s">
        <v>16902</v>
      </c>
      <c r="F633" t="s">
        <v>28198</v>
      </c>
      <c r="G633" t="s">
        <v>28209</v>
      </c>
      <c r="H633" t="s">
        <v>28214</v>
      </c>
      <c r="I633" t="s">
        <v>3797</v>
      </c>
      <c r="J633" t="s">
        <v>28824</v>
      </c>
      <c r="K633" t="s">
        <v>36687</v>
      </c>
      <c r="M633" t="s">
        <v>37303</v>
      </c>
      <c r="N633" t="s">
        <v>40436</v>
      </c>
      <c r="O633" t="s">
        <v>40437</v>
      </c>
      <c r="P633">
        <v>0</v>
      </c>
      <c r="Q633">
        <v>0</v>
      </c>
      <c r="R633" t="s">
        <v>40438</v>
      </c>
      <c r="S633" t="s">
        <v>40582</v>
      </c>
      <c r="T633" t="s">
        <v>42112</v>
      </c>
      <c r="U633" t="s">
        <v>43184</v>
      </c>
      <c r="W633" t="s">
        <v>55443</v>
      </c>
      <c r="X633" t="s">
        <v>40439</v>
      </c>
    </row>
    <row r="634" spans="1:24">
      <c r="A634">
        <f>HYPERLINK("https://www.philgeps.gov.ph/GEPSNONPILOT/Tender/SplashBidNoticeAbstractUI.aspx?menuIndex=3&amp;refID=7047631&amp;Result=3","7047631")</f>
        <v>0</v>
      </c>
      <c r="B634" t="s">
        <v>283</v>
      </c>
      <c r="C634" t="s">
        <v>3651</v>
      </c>
      <c r="D634" t="s">
        <v>16204</v>
      </c>
      <c r="E634" t="s">
        <v>16903</v>
      </c>
      <c r="F634" t="s">
        <v>28198</v>
      </c>
      <c r="G634" t="s">
        <v>28205</v>
      </c>
      <c r="H634" t="s">
        <v>28215</v>
      </c>
      <c r="I634" t="s">
        <v>8888</v>
      </c>
      <c r="J634" t="s">
        <v>28364</v>
      </c>
      <c r="K634" t="s">
        <v>36707</v>
      </c>
      <c r="M634" t="s">
        <v>37260</v>
      </c>
      <c r="N634" t="s">
        <v>40436</v>
      </c>
      <c r="O634" t="s">
        <v>40437</v>
      </c>
      <c r="P634">
        <v>0</v>
      </c>
      <c r="Q634">
        <v>1</v>
      </c>
      <c r="R634" t="s">
        <v>40438</v>
      </c>
      <c r="S634" t="s">
        <v>40582</v>
      </c>
      <c r="T634" t="s">
        <v>42196</v>
      </c>
      <c r="U634" t="s">
        <v>43185</v>
      </c>
      <c r="W634" t="s">
        <v>37260</v>
      </c>
      <c r="X634" t="s">
        <v>40439</v>
      </c>
    </row>
    <row r="635" spans="1:24">
      <c r="A635">
        <f>HYPERLINK("https://www.philgeps.gov.ph/GEPSNONPILOT/Tender/SplashBidNoticeAbstractUI.aspx?menuIndex=3&amp;refID=7047643&amp;Result=3","7047643")</f>
        <v>0</v>
      </c>
      <c r="B635" t="s">
        <v>343</v>
      </c>
      <c r="C635" t="s">
        <v>3714</v>
      </c>
      <c r="D635" t="s">
        <v>16235</v>
      </c>
      <c r="E635" t="s">
        <v>16904</v>
      </c>
      <c r="F635" t="s">
        <v>28198</v>
      </c>
      <c r="G635" t="s">
        <v>28207</v>
      </c>
      <c r="H635" t="s">
        <v>28215</v>
      </c>
      <c r="I635" t="s">
        <v>4168</v>
      </c>
      <c r="J635" t="s">
        <v>28825</v>
      </c>
      <c r="K635" t="s">
        <v>36701</v>
      </c>
      <c r="M635" t="s">
        <v>37322</v>
      </c>
      <c r="N635" t="s">
        <v>40436</v>
      </c>
      <c r="O635" t="s">
        <v>40437</v>
      </c>
      <c r="P635">
        <v>0</v>
      </c>
      <c r="Q635">
        <v>0</v>
      </c>
      <c r="R635" t="s">
        <v>40438</v>
      </c>
      <c r="S635" t="s">
        <v>40582</v>
      </c>
      <c r="T635" t="s">
        <v>42128</v>
      </c>
      <c r="U635" t="s">
        <v>43186</v>
      </c>
      <c r="W635" t="s">
        <v>37322</v>
      </c>
      <c r="X635" t="s">
        <v>40439</v>
      </c>
    </row>
    <row r="636" spans="1:24">
      <c r="A636">
        <f>HYPERLINK("https://www.philgeps.gov.ph/GEPSNONPILOT/Tender/SplashBidNoticeAbstractUI.aspx?menuIndex=3&amp;refID=7047624&amp;Result=3","7047624")</f>
        <v>0</v>
      </c>
      <c r="B636" t="s">
        <v>339</v>
      </c>
      <c r="C636" t="s">
        <v>3715</v>
      </c>
      <c r="D636" t="s">
        <v>16210</v>
      </c>
      <c r="E636" t="s">
        <v>16905</v>
      </c>
      <c r="F636" t="s">
        <v>28198</v>
      </c>
      <c r="G636" t="s">
        <v>28207</v>
      </c>
      <c r="H636" t="s">
        <v>28215</v>
      </c>
      <c r="I636" t="s">
        <v>8888</v>
      </c>
      <c r="J636" t="s">
        <v>28797</v>
      </c>
      <c r="K636" t="s">
        <v>36689</v>
      </c>
      <c r="M636" t="s">
        <v>37317</v>
      </c>
      <c r="N636" t="s">
        <v>40436</v>
      </c>
      <c r="O636" t="s">
        <v>40437</v>
      </c>
      <c r="P636">
        <v>0</v>
      </c>
      <c r="Q636">
        <v>2</v>
      </c>
      <c r="R636" t="s">
        <v>40438</v>
      </c>
      <c r="S636" t="s">
        <v>40582</v>
      </c>
      <c r="T636" t="s">
        <v>42207</v>
      </c>
      <c r="U636" t="s">
        <v>43169</v>
      </c>
      <c r="V636" t="s">
        <v>53859</v>
      </c>
      <c r="W636" t="s">
        <v>37317</v>
      </c>
      <c r="X636" t="s">
        <v>40439</v>
      </c>
    </row>
    <row r="637" spans="1:24">
      <c r="A637">
        <f>HYPERLINK("https://www.philgeps.gov.ph/GEPSNONPILOT/Tender/SplashBidNoticeAbstractUI.aspx?menuIndex=3&amp;refID=7047630&amp;Result=3","7047630")</f>
        <v>0</v>
      </c>
      <c r="B637" t="s">
        <v>269</v>
      </c>
      <c r="C637" t="s">
        <v>3716</v>
      </c>
      <c r="D637" t="s">
        <v>16197</v>
      </c>
      <c r="E637" t="s">
        <v>16906</v>
      </c>
      <c r="F637" t="s">
        <v>28198</v>
      </c>
      <c r="G637" t="s">
        <v>28207</v>
      </c>
      <c r="H637" t="s">
        <v>28215</v>
      </c>
      <c r="I637" t="s">
        <v>3422</v>
      </c>
      <c r="J637" t="s">
        <v>28826</v>
      </c>
      <c r="K637" t="s">
        <v>36689</v>
      </c>
      <c r="M637" t="s">
        <v>37246</v>
      </c>
      <c r="N637" t="s">
        <v>40436</v>
      </c>
      <c r="O637" t="s">
        <v>40437</v>
      </c>
      <c r="P637">
        <v>0</v>
      </c>
      <c r="Q637">
        <v>0</v>
      </c>
      <c r="R637" t="s">
        <v>40438</v>
      </c>
      <c r="S637" t="s">
        <v>40582</v>
      </c>
      <c r="T637" t="s">
        <v>42111</v>
      </c>
      <c r="U637" t="s">
        <v>43187</v>
      </c>
      <c r="W637" t="s">
        <v>37246</v>
      </c>
      <c r="X637" t="s">
        <v>40439</v>
      </c>
    </row>
    <row r="638" spans="1:24">
      <c r="A638">
        <f>HYPERLINK("https://www.philgeps.gov.ph/GEPSNONPILOT/Tender/SplashBidNoticeAbstractUI.aspx?menuIndex=3&amp;refID=7047645&amp;Result=3","7047645")</f>
        <v>0</v>
      </c>
      <c r="B638" t="s">
        <v>254</v>
      </c>
      <c r="C638" t="s">
        <v>3717</v>
      </c>
      <c r="D638" t="s">
        <v>16255</v>
      </c>
      <c r="E638" t="s">
        <v>16907</v>
      </c>
      <c r="F638" t="s">
        <v>28198</v>
      </c>
      <c r="G638" t="s">
        <v>28205</v>
      </c>
      <c r="H638" t="s">
        <v>28215</v>
      </c>
      <c r="I638" t="s">
        <v>5100</v>
      </c>
      <c r="J638" t="s">
        <v>28827</v>
      </c>
      <c r="K638" t="s">
        <v>36730</v>
      </c>
      <c r="L638" t="s">
        <v>254</v>
      </c>
      <c r="M638" t="s">
        <v>37230</v>
      </c>
      <c r="N638" t="s">
        <v>40436</v>
      </c>
      <c r="O638" t="s">
        <v>40437</v>
      </c>
      <c r="P638">
        <v>0</v>
      </c>
      <c r="Q638">
        <v>0</v>
      </c>
      <c r="R638" t="s">
        <v>40438</v>
      </c>
      <c r="S638" t="s">
        <v>40582</v>
      </c>
      <c r="T638" t="s">
        <v>42208</v>
      </c>
      <c r="U638" t="s">
        <v>43014</v>
      </c>
      <c r="V638" t="s">
        <v>53835</v>
      </c>
      <c r="W638" t="s">
        <v>37230</v>
      </c>
      <c r="X638" t="s">
        <v>40439</v>
      </c>
    </row>
    <row r="639" spans="1:24">
      <c r="A639">
        <f>HYPERLINK("https://www.philgeps.gov.ph/GEPSNONPILOT/Tender/SplashBidNoticeAbstractUI.aspx?menuIndex=3&amp;refID=7047629&amp;Result=3","7047629")</f>
        <v>0</v>
      </c>
      <c r="B639" t="s">
        <v>222</v>
      </c>
      <c r="C639" t="s">
        <v>3718</v>
      </c>
      <c r="D639" t="s">
        <v>16213</v>
      </c>
      <c r="E639" t="s">
        <v>16908</v>
      </c>
      <c r="F639" t="s">
        <v>28198</v>
      </c>
      <c r="G639" t="s">
        <v>28207</v>
      </c>
      <c r="H639" t="s">
        <v>28215</v>
      </c>
      <c r="I639" t="s">
        <v>28238</v>
      </c>
      <c r="J639" t="s">
        <v>28828</v>
      </c>
      <c r="K639" t="s">
        <v>36707</v>
      </c>
      <c r="M639" t="s">
        <v>37198</v>
      </c>
      <c r="N639" t="s">
        <v>40436</v>
      </c>
      <c r="O639" t="s">
        <v>40437</v>
      </c>
      <c r="P639">
        <v>0</v>
      </c>
      <c r="Q639">
        <v>0</v>
      </c>
      <c r="R639" t="s">
        <v>40438</v>
      </c>
      <c r="S639" t="s">
        <v>40582</v>
      </c>
      <c r="T639" t="s">
        <v>42119</v>
      </c>
      <c r="U639" t="s">
        <v>43188</v>
      </c>
      <c r="W639" t="s">
        <v>37198</v>
      </c>
      <c r="X639" t="s">
        <v>40439</v>
      </c>
    </row>
    <row r="640" spans="1:24">
      <c r="A640">
        <f>HYPERLINK("https://www.philgeps.gov.ph/GEPSNONPILOT/Tender/SplashBidNoticeAbstractUI.aspx?menuIndex=3&amp;refID=7047662&amp;Result=3","7047662")</f>
        <v>0</v>
      </c>
      <c r="B640" t="s">
        <v>347</v>
      </c>
      <c r="C640" t="s">
        <v>3719</v>
      </c>
      <c r="E640" t="s">
        <v>16909</v>
      </c>
      <c r="F640" t="s">
        <v>28198</v>
      </c>
      <c r="G640" t="s">
        <v>28205</v>
      </c>
      <c r="H640" t="s">
        <v>28214</v>
      </c>
      <c r="I640" t="s">
        <v>3797</v>
      </c>
      <c r="J640" t="s">
        <v>28829</v>
      </c>
      <c r="K640" t="s">
        <v>36702</v>
      </c>
      <c r="M640" t="s">
        <v>37326</v>
      </c>
      <c r="N640" t="s">
        <v>40436</v>
      </c>
      <c r="O640" t="s">
        <v>40437</v>
      </c>
      <c r="P640">
        <v>0</v>
      </c>
      <c r="Q640">
        <v>1</v>
      </c>
      <c r="R640" t="s">
        <v>40438</v>
      </c>
      <c r="S640" t="s">
        <v>40582</v>
      </c>
      <c r="T640" t="s">
        <v>42115</v>
      </c>
      <c r="U640" t="s">
        <v>43189</v>
      </c>
      <c r="W640" t="s">
        <v>37326</v>
      </c>
      <c r="X640" t="s">
        <v>40439</v>
      </c>
    </row>
    <row r="641" spans="1:24">
      <c r="A641">
        <f>HYPERLINK("https://www.philgeps.gov.ph/GEPSNONPILOT/Tender/SplashBidNoticeAbstractUI.aspx?menuIndex=3&amp;refID=7047656&amp;Result=3","7047656")</f>
        <v>0</v>
      </c>
      <c r="B641" t="s">
        <v>318</v>
      </c>
      <c r="C641" t="s">
        <v>3720</v>
      </c>
      <c r="D641" t="s">
        <v>16241</v>
      </c>
      <c r="E641" t="s">
        <v>16910</v>
      </c>
      <c r="F641" t="s">
        <v>28198</v>
      </c>
      <c r="G641" t="s">
        <v>28207</v>
      </c>
      <c r="H641" t="s">
        <v>28215</v>
      </c>
      <c r="I641" t="s">
        <v>28238</v>
      </c>
      <c r="J641" t="s">
        <v>28830</v>
      </c>
      <c r="K641" t="s">
        <v>36706</v>
      </c>
      <c r="M641" t="s">
        <v>37296</v>
      </c>
      <c r="N641" t="s">
        <v>40436</v>
      </c>
      <c r="O641" t="s">
        <v>40437</v>
      </c>
      <c r="P641">
        <v>0</v>
      </c>
      <c r="Q641">
        <v>1</v>
      </c>
      <c r="R641" t="s">
        <v>40438</v>
      </c>
      <c r="S641" t="s">
        <v>40582</v>
      </c>
      <c r="T641" t="s">
        <v>42142</v>
      </c>
      <c r="U641" t="s">
        <v>43190</v>
      </c>
      <c r="V641" t="s">
        <v>53851</v>
      </c>
      <c r="W641" t="s">
        <v>37296</v>
      </c>
      <c r="X641" t="s">
        <v>40439</v>
      </c>
    </row>
    <row r="642" spans="1:24">
      <c r="A642">
        <f>HYPERLINK("https://www.philgeps.gov.ph/GEPSNONPILOT/Tender/SplashBidNoticeAbstractUI.aspx?menuIndex=3&amp;refID=7047625&amp;Result=3","7047625")</f>
        <v>0</v>
      </c>
      <c r="B642" t="s">
        <v>257</v>
      </c>
      <c r="C642" t="s">
        <v>3721</v>
      </c>
      <c r="D642" t="s">
        <v>16193</v>
      </c>
      <c r="E642" t="s">
        <v>16911</v>
      </c>
      <c r="F642" t="s">
        <v>28198</v>
      </c>
      <c r="G642" t="s">
        <v>28205</v>
      </c>
      <c r="H642" t="s">
        <v>28215</v>
      </c>
      <c r="I642" t="s">
        <v>28254</v>
      </c>
      <c r="J642" t="s">
        <v>28818</v>
      </c>
      <c r="K642" t="s">
        <v>36709</v>
      </c>
      <c r="M642" t="s">
        <v>37233</v>
      </c>
      <c r="N642" t="s">
        <v>40436</v>
      </c>
      <c r="O642" t="s">
        <v>40437</v>
      </c>
      <c r="P642">
        <v>0</v>
      </c>
      <c r="Q642">
        <v>4</v>
      </c>
      <c r="R642" t="s">
        <v>40438</v>
      </c>
      <c r="S642" t="s">
        <v>40582</v>
      </c>
      <c r="T642" t="s">
        <v>42118</v>
      </c>
      <c r="U642" t="s">
        <v>43191</v>
      </c>
      <c r="W642" t="s">
        <v>37233</v>
      </c>
      <c r="X642" t="s">
        <v>40439</v>
      </c>
    </row>
    <row r="643" spans="1:24">
      <c r="A643">
        <f>HYPERLINK("https://www.philgeps.gov.ph/GEPSNONPILOT/Tender/SplashBidNoticeAbstractUI.aspx?menuIndex=3&amp;refID=7047659&amp;Result=3","7047659")</f>
        <v>0</v>
      </c>
      <c r="B643" t="s">
        <v>346</v>
      </c>
      <c r="C643" t="s">
        <v>3722</v>
      </c>
      <c r="D643" t="s">
        <v>16217</v>
      </c>
      <c r="E643" t="s">
        <v>16912</v>
      </c>
      <c r="F643" t="s">
        <v>28198</v>
      </c>
      <c r="G643" t="s">
        <v>28205</v>
      </c>
      <c r="H643" t="s">
        <v>28214</v>
      </c>
      <c r="I643" t="s">
        <v>3797</v>
      </c>
      <c r="J643" t="s">
        <v>28363</v>
      </c>
      <c r="K643" t="s">
        <v>36737</v>
      </c>
      <c r="M643" t="s">
        <v>37325</v>
      </c>
      <c r="N643" t="s">
        <v>40436</v>
      </c>
      <c r="O643" t="s">
        <v>40437</v>
      </c>
      <c r="P643">
        <v>0</v>
      </c>
      <c r="Q643">
        <v>0</v>
      </c>
      <c r="R643" t="s">
        <v>40438</v>
      </c>
      <c r="S643" t="s">
        <v>40582</v>
      </c>
      <c r="T643" t="s">
        <v>42168</v>
      </c>
      <c r="U643" t="s">
        <v>43192</v>
      </c>
      <c r="V643" t="s">
        <v>53861</v>
      </c>
      <c r="W643" t="s">
        <v>37325</v>
      </c>
      <c r="X643" t="s">
        <v>40439</v>
      </c>
    </row>
    <row r="644" spans="1:24">
      <c r="A644">
        <f>HYPERLINK("https://www.philgeps.gov.ph/GEPSNONPILOT/Tender/SplashBidNoticeAbstractUI.aspx?menuIndex=3&amp;refID=7047654&amp;Result=3","7047654")</f>
        <v>0</v>
      </c>
      <c r="B644" t="s">
        <v>131</v>
      </c>
      <c r="C644" t="s">
        <v>3723</v>
      </c>
      <c r="D644" t="s">
        <v>16237</v>
      </c>
      <c r="E644" t="s">
        <v>16913</v>
      </c>
      <c r="F644" t="s">
        <v>28198</v>
      </c>
      <c r="G644" t="s">
        <v>28205</v>
      </c>
      <c r="H644" t="s">
        <v>28214</v>
      </c>
      <c r="I644" t="s">
        <v>3797</v>
      </c>
      <c r="J644" t="s">
        <v>28345</v>
      </c>
      <c r="K644" t="s">
        <v>36701</v>
      </c>
      <c r="M644" t="s">
        <v>37105</v>
      </c>
      <c r="N644" t="s">
        <v>40436</v>
      </c>
      <c r="O644" t="s">
        <v>40437</v>
      </c>
      <c r="P644">
        <v>0</v>
      </c>
      <c r="Q644">
        <v>0</v>
      </c>
      <c r="R644" t="s">
        <v>40438</v>
      </c>
      <c r="S644" t="s">
        <v>40582</v>
      </c>
      <c r="T644" t="s">
        <v>42188</v>
      </c>
      <c r="U644" t="s">
        <v>43193</v>
      </c>
      <c r="V644" t="s">
        <v>53862</v>
      </c>
      <c r="W644" t="s">
        <v>37105</v>
      </c>
      <c r="X644" t="s">
        <v>40439</v>
      </c>
    </row>
    <row r="645" spans="1:24">
      <c r="A645">
        <f>HYPERLINK("https://www.philgeps.gov.ph/GEPSNONPILOT/Tender/SplashBidNoticeAbstractUI.aspx?menuIndex=3&amp;refID=7047655&amp;Result=3","7047655")</f>
        <v>0</v>
      </c>
      <c r="B645" t="s">
        <v>325</v>
      </c>
      <c r="C645" t="s">
        <v>3724</v>
      </c>
      <c r="D645" t="s">
        <v>16226</v>
      </c>
      <c r="E645" t="s">
        <v>16914</v>
      </c>
      <c r="F645" t="s">
        <v>28198</v>
      </c>
      <c r="G645" t="s">
        <v>28209</v>
      </c>
      <c r="H645" t="s">
        <v>28214</v>
      </c>
      <c r="I645" t="s">
        <v>3797</v>
      </c>
      <c r="J645" t="s">
        <v>28831</v>
      </c>
      <c r="K645" t="s">
        <v>36715</v>
      </c>
      <c r="M645" t="s">
        <v>37303</v>
      </c>
      <c r="N645" t="s">
        <v>40436</v>
      </c>
      <c r="O645" t="s">
        <v>40437</v>
      </c>
      <c r="P645">
        <v>0</v>
      </c>
      <c r="Q645">
        <v>0</v>
      </c>
      <c r="R645" t="s">
        <v>40438</v>
      </c>
      <c r="S645" t="s">
        <v>40582</v>
      </c>
      <c r="T645" t="s">
        <v>42112</v>
      </c>
      <c r="U645" t="s">
        <v>43194</v>
      </c>
      <c r="W645" t="s">
        <v>55443</v>
      </c>
      <c r="X645" t="s">
        <v>40439</v>
      </c>
    </row>
    <row r="646" spans="1:24">
      <c r="A646">
        <f>HYPERLINK("https://www.philgeps.gov.ph/GEPSNONPILOT/Tender/SplashBidNoticeAbstractUI.aspx?menuIndex=3&amp;refID=7047627&amp;Result=3","7047627")</f>
        <v>0</v>
      </c>
      <c r="B646" t="s">
        <v>348</v>
      </c>
      <c r="C646" t="s">
        <v>3725</v>
      </c>
      <c r="D646" t="s">
        <v>16227</v>
      </c>
      <c r="E646" t="s">
        <v>16915</v>
      </c>
      <c r="F646" t="s">
        <v>28198</v>
      </c>
      <c r="G646" t="s">
        <v>28205</v>
      </c>
      <c r="H646" t="s">
        <v>28215</v>
      </c>
      <c r="I646" t="s">
        <v>28222</v>
      </c>
      <c r="J646" t="s">
        <v>28771</v>
      </c>
      <c r="K646" t="s">
        <v>36694</v>
      </c>
      <c r="M646" t="s">
        <v>37327</v>
      </c>
      <c r="N646" t="s">
        <v>40436</v>
      </c>
      <c r="O646" t="s">
        <v>40437</v>
      </c>
      <c r="P646">
        <v>0</v>
      </c>
      <c r="Q646">
        <v>6</v>
      </c>
      <c r="R646" t="s">
        <v>40438</v>
      </c>
      <c r="S646" t="s">
        <v>40582</v>
      </c>
      <c r="T646" t="s">
        <v>42110</v>
      </c>
      <c r="U646" t="s">
        <v>43195</v>
      </c>
      <c r="W646" t="s">
        <v>55445</v>
      </c>
      <c r="X646" t="s">
        <v>40439</v>
      </c>
    </row>
    <row r="647" spans="1:24">
      <c r="A647">
        <f>HYPERLINK("https://www.philgeps.gov.ph/GEPSNONPILOT/Tender/SplashBidNoticeAbstractUI.aspx?menuIndex=3&amp;refID=7047658&amp;Result=3","7047658")</f>
        <v>0</v>
      </c>
      <c r="B647" t="s">
        <v>349</v>
      </c>
      <c r="C647" t="s">
        <v>3726</v>
      </c>
      <c r="D647" t="s">
        <v>16204</v>
      </c>
      <c r="E647" t="s">
        <v>16916</v>
      </c>
      <c r="F647" t="s">
        <v>28198</v>
      </c>
      <c r="G647" t="s">
        <v>28207</v>
      </c>
      <c r="H647" t="s">
        <v>28217</v>
      </c>
      <c r="I647" t="s">
        <v>5103</v>
      </c>
      <c r="J647" t="s">
        <v>28414</v>
      </c>
      <c r="K647" t="s">
        <v>36706</v>
      </c>
      <c r="M647" t="s">
        <v>37328</v>
      </c>
      <c r="N647" t="s">
        <v>40436</v>
      </c>
      <c r="O647" t="s">
        <v>40437</v>
      </c>
      <c r="P647">
        <v>0</v>
      </c>
      <c r="Q647">
        <v>1</v>
      </c>
      <c r="R647" t="s">
        <v>40438</v>
      </c>
      <c r="S647" t="s">
        <v>40582</v>
      </c>
      <c r="T647" t="s">
        <v>42111</v>
      </c>
      <c r="U647" t="s">
        <v>43196</v>
      </c>
      <c r="W647" t="s">
        <v>37328</v>
      </c>
      <c r="X647" t="s">
        <v>40439</v>
      </c>
    </row>
    <row r="648" spans="1:24">
      <c r="A648">
        <f>HYPERLINK("https://www.philgeps.gov.ph/GEPSNONPILOT/Tender/SplashBidNoticeAbstractUI.aspx?menuIndex=3&amp;refID=7047653&amp;Result=3","7047653")</f>
        <v>0</v>
      </c>
      <c r="B648" t="s">
        <v>339</v>
      </c>
      <c r="C648" t="s">
        <v>3698</v>
      </c>
      <c r="D648" t="s">
        <v>16210</v>
      </c>
      <c r="E648" t="s">
        <v>16917</v>
      </c>
      <c r="F648" t="s">
        <v>28198</v>
      </c>
      <c r="G648" t="s">
        <v>28207</v>
      </c>
      <c r="H648" t="s">
        <v>28215</v>
      </c>
      <c r="I648" t="s">
        <v>8888</v>
      </c>
      <c r="J648" t="s">
        <v>28832</v>
      </c>
      <c r="K648" t="s">
        <v>36689</v>
      </c>
      <c r="M648" t="s">
        <v>37317</v>
      </c>
      <c r="N648" t="s">
        <v>40436</v>
      </c>
      <c r="O648" t="s">
        <v>40437</v>
      </c>
      <c r="P648">
        <v>0</v>
      </c>
      <c r="Q648">
        <v>2</v>
      </c>
      <c r="R648" t="s">
        <v>40438</v>
      </c>
      <c r="S648" t="s">
        <v>40582</v>
      </c>
      <c r="T648" t="s">
        <v>42124</v>
      </c>
      <c r="U648" t="s">
        <v>43169</v>
      </c>
      <c r="V648" t="s">
        <v>53859</v>
      </c>
      <c r="W648" t="s">
        <v>37317</v>
      </c>
      <c r="X648" t="s">
        <v>40439</v>
      </c>
    </row>
    <row r="649" spans="1:24">
      <c r="A649">
        <f>HYPERLINK("https://www.philgeps.gov.ph/GEPSNONPILOT/Tender/SplashBidNoticeAbstractUI.aspx?menuIndex=3&amp;refID=7047648&amp;Result=3","7047648")</f>
        <v>0</v>
      </c>
      <c r="B649" t="s">
        <v>283</v>
      </c>
      <c r="C649" t="s">
        <v>3727</v>
      </c>
      <c r="D649" t="s">
        <v>16204</v>
      </c>
      <c r="E649" t="s">
        <v>16918</v>
      </c>
      <c r="F649" t="s">
        <v>28198</v>
      </c>
      <c r="G649" t="s">
        <v>28205</v>
      </c>
      <c r="H649" t="s">
        <v>28215</v>
      </c>
      <c r="I649" t="s">
        <v>5100</v>
      </c>
      <c r="J649" t="s">
        <v>28833</v>
      </c>
      <c r="K649" t="s">
        <v>36707</v>
      </c>
      <c r="M649" t="s">
        <v>37260</v>
      </c>
      <c r="N649" t="s">
        <v>40436</v>
      </c>
      <c r="O649" t="s">
        <v>40437</v>
      </c>
      <c r="P649">
        <v>0</v>
      </c>
      <c r="Q649">
        <v>0</v>
      </c>
      <c r="R649" t="s">
        <v>40438</v>
      </c>
      <c r="S649" t="s">
        <v>40582</v>
      </c>
      <c r="T649" t="s">
        <v>42196</v>
      </c>
      <c r="U649" t="s">
        <v>43197</v>
      </c>
      <c r="W649" t="s">
        <v>37260</v>
      </c>
      <c r="X649" t="s">
        <v>40439</v>
      </c>
    </row>
    <row r="650" spans="1:24">
      <c r="A650">
        <f>HYPERLINK("https://www.philgeps.gov.ph/GEPSNONPILOT/Tender/SplashBidNoticeAbstractUI.aspx?menuIndex=3&amp;refID=7047651&amp;Result=3","7047651")</f>
        <v>0</v>
      </c>
      <c r="B650" t="s">
        <v>350</v>
      </c>
      <c r="C650" t="s">
        <v>3728</v>
      </c>
      <c r="D650" t="s">
        <v>16223</v>
      </c>
      <c r="E650" t="s">
        <v>16919</v>
      </c>
      <c r="F650" t="s">
        <v>28198</v>
      </c>
      <c r="G650" t="s">
        <v>28205</v>
      </c>
      <c r="H650" t="s">
        <v>28214</v>
      </c>
      <c r="I650" t="s">
        <v>28242</v>
      </c>
      <c r="J650" t="s">
        <v>28834</v>
      </c>
      <c r="K650" t="s">
        <v>36701</v>
      </c>
      <c r="M650" t="s">
        <v>37329</v>
      </c>
      <c r="N650" t="s">
        <v>40436</v>
      </c>
      <c r="O650" t="s">
        <v>40437</v>
      </c>
      <c r="P650">
        <v>0</v>
      </c>
      <c r="Q650">
        <v>0</v>
      </c>
      <c r="R650" t="s">
        <v>40438</v>
      </c>
      <c r="S650" t="s">
        <v>40582</v>
      </c>
      <c r="T650" t="s">
        <v>42112</v>
      </c>
      <c r="U650" t="s">
        <v>43198</v>
      </c>
      <c r="W650" t="s">
        <v>37329</v>
      </c>
      <c r="X650" t="s">
        <v>40439</v>
      </c>
    </row>
    <row r="651" spans="1:24">
      <c r="A651">
        <f>HYPERLINK("https://www.philgeps.gov.ph/GEPSNONPILOT/Tender/SplashBidNoticeAbstractUI.aspx?menuIndex=3&amp;refID=7047670&amp;Result=3","7047670")</f>
        <v>0</v>
      </c>
      <c r="B651" t="s">
        <v>351</v>
      </c>
      <c r="C651" t="s">
        <v>3729</v>
      </c>
      <c r="D651" t="s">
        <v>16258</v>
      </c>
      <c r="E651" t="s">
        <v>16920</v>
      </c>
      <c r="F651" t="s">
        <v>28198</v>
      </c>
      <c r="G651" t="s">
        <v>28209</v>
      </c>
      <c r="H651" t="s">
        <v>28215</v>
      </c>
      <c r="I651" t="s">
        <v>5100</v>
      </c>
      <c r="J651" t="s">
        <v>28835</v>
      </c>
      <c r="K651" t="s">
        <v>36706</v>
      </c>
      <c r="M651" t="s">
        <v>37330</v>
      </c>
      <c r="N651" t="s">
        <v>40436</v>
      </c>
      <c r="O651" t="s">
        <v>40437</v>
      </c>
      <c r="P651">
        <v>0</v>
      </c>
      <c r="Q651">
        <v>0</v>
      </c>
      <c r="R651" t="s">
        <v>40438</v>
      </c>
      <c r="S651" t="s">
        <v>40582</v>
      </c>
      <c r="T651" t="s">
        <v>42142</v>
      </c>
      <c r="U651" t="s">
        <v>43199</v>
      </c>
      <c r="W651" t="s">
        <v>37330</v>
      </c>
      <c r="X651" t="s">
        <v>40439</v>
      </c>
    </row>
    <row r="652" spans="1:24">
      <c r="A652">
        <f>HYPERLINK("https://www.philgeps.gov.ph/GEPSNONPILOT/Tender/SplashBidNoticeAbstractUI.aspx?menuIndex=3&amp;refID=7047660&amp;Result=3","7047660")</f>
        <v>0</v>
      </c>
      <c r="B652" t="s">
        <v>339</v>
      </c>
      <c r="C652" t="s">
        <v>3730</v>
      </c>
      <c r="D652" t="s">
        <v>16210</v>
      </c>
      <c r="E652" t="s">
        <v>16921</v>
      </c>
      <c r="F652" t="s">
        <v>28198</v>
      </c>
      <c r="G652" t="s">
        <v>28207</v>
      </c>
      <c r="H652" t="s">
        <v>28215</v>
      </c>
      <c r="I652" t="s">
        <v>8888</v>
      </c>
      <c r="J652" t="s">
        <v>28616</v>
      </c>
      <c r="K652" t="s">
        <v>36689</v>
      </c>
      <c r="M652" t="s">
        <v>37317</v>
      </c>
      <c r="N652" t="s">
        <v>40436</v>
      </c>
      <c r="O652" t="s">
        <v>40437</v>
      </c>
      <c r="P652">
        <v>0</v>
      </c>
      <c r="Q652">
        <v>2</v>
      </c>
      <c r="R652" t="s">
        <v>40438</v>
      </c>
      <c r="S652" t="s">
        <v>40582</v>
      </c>
      <c r="T652" t="s">
        <v>42124</v>
      </c>
      <c r="U652" t="s">
        <v>43169</v>
      </c>
      <c r="V652" t="s">
        <v>53859</v>
      </c>
      <c r="W652" t="s">
        <v>37317</v>
      </c>
      <c r="X652" t="s">
        <v>40439</v>
      </c>
    </row>
    <row r="653" spans="1:24">
      <c r="A653">
        <f>HYPERLINK("https://www.philgeps.gov.ph/GEPSNONPILOT/Tender/SplashBidNoticeAbstractUI.aspx?menuIndex=3&amp;refID=7047649&amp;Result=3","7047649")</f>
        <v>0</v>
      </c>
      <c r="B653" t="s">
        <v>314</v>
      </c>
      <c r="C653" t="s">
        <v>3731</v>
      </c>
      <c r="D653" t="s">
        <v>16194</v>
      </c>
      <c r="E653" t="s">
        <v>16922</v>
      </c>
      <c r="F653" t="s">
        <v>28198</v>
      </c>
      <c r="G653" t="s">
        <v>28207</v>
      </c>
      <c r="H653" t="s">
        <v>28215</v>
      </c>
      <c r="I653" t="s">
        <v>28274</v>
      </c>
      <c r="J653" t="s">
        <v>28511</v>
      </c>
      <c r="K653" t="s">
        <v>36687</v>
      </c>
      <c r="M653" t="s">
        <v>37292</v>
      </c>
      <c r="N653" t="s">
        <v>40436</v>
      </c>
      <c r="O653" t="s">
        <v>40437</v>
      </c>
      <c r="P653">
        <v>0</v>
      </c>
      <c r="Q653">
        <v>0</v>
      </c>
      <c r="R653" t="s">
        <v>40438</v>
      </c>
      <c r="S653" t="s">
        <v>40582</v>
      </c>
      <c r="T653" t="s">
        <v>42103</v>
      </c>
      <c r="U653" t="s">
        <v>43122</v>
      </c>
      <c r="W653" t="s">
        <v>55441</v>
      </c>
      <c r="X653" t="s">
        <v>40439</v>
      </c>
    </row>
    <row r="654" spans="1:24">
      <c r="A654">
        <f>HYPERLINK("https://www.philgeps.gov.ph/GEPSNONPILOT/Tender/SplashBidNoticeAbstractUI.aspx?menuIndex=3&amp;refID=7047666&amp;Result=3","7047666")</f>
        <v>0</v>
      </c>
      <c r="B654" t="s">
        <v>301</v>
      </c>
      <c r="C654" t="s">
        <v>3732</v>
      </c>
      <c r="D654" t="s">
        <v>16244</v>
      </c>
      <c r="E654" t="s">
        <v>16620</v>
      </c>
      <c r="F654" t="s">
        <v>28198</v>
      </c>
      <c r="G654" t="s">
        <v>28205</v>
      </c>
      <c r="H654" t="s">
        <v>28215</v>
      </c>
      <c r="I654" t="s">
        <v>28243</v>
      </c>
      <c r="J654" t="s">
        <v>28836</v>
      </c>
      <c r="K654" t="s">
        <v>36694</v>
      </c>
      <c r="M654" t="s">
        <v>37278</v>
      </c>
      <c r="N654" t="s">
        <v>40436</v>
      </c>
      <c r="O654" t="s">
        <v>40437</v>
      </c>
      <c r="P654">
        <v>0</v>
      </c>
      <c r="Q654">
        <v>1</v>
      </c>
      <c r="R654" t="s">
        <v>40438</v>
      </c>
      <c r="S654" t="s">
        <v>40582</v>
      </c>
      <c r="T654" t="s">
        <v>42125</v>
      </c>
      <c r="U654" t="s">
        <v>43200</v>
      </c>
      <c r="V654" t="s">
        <v>53863</v>
      </c>
      <c r="W654" t="s">
        <v>37278</v>
      </c>
      <c r="X654" t="s">
        <v>40439</v>
      </c>
    </row>
    <row r="655" spans="1:24">
      <c r="A655">
        <f>HYPERLINK("https://www.philgeps.gov.ph/GEPSNONPILOT/Tender/SplashBidNoticeAbstractUI.aspx?menuIndex=3&amp;refID=7047668&amp;Result=3","7047668")</f>
        <v>0</v>
      </c>
      <c r="B655" t="s">
        <v>352</v>
      </c>
      <c r="C655" t="s">
        <v>3733</v>
      </c>
      <c r="D655" t="s">
        <v>16190</v>
      </c>
      <c r="E655" t="s">
        <v>16923</v>
      </c>
      <c r="F655" t="s">
        <v>28198</v>
      </c>
      <c r="G655" t="s">
        <v>28205</v>
      </c>
      <c r="H655" t="s">
        <v>28215</v>
      </c>
      <c r="I655" t="s">
        <v>4219</v>
      </c>
      <c r="J655" t="s">
        <v>28837</v>
      </c>
      <c r="K655" t="s">
        <v>36706</v>
      </c>
      <c r="L655" t="s">
        <v>352</v>
      </c>
      <c r="M655" t="s">
        <v>37331</v>
      </c>
      <c r="N655" t="s">
        <v>40436</v>
      </c>
      <c r="O655" t="s">
        <v>40437</v>
      </c>
      <c r="P655">
        <v>0</v>
      </c>
      <c r="Q655">
        <v>4</v>
      </c>
      <c r="R655" t="s">
        <v>40438</v>
      </c>
      <c r="S655" t="s">
        <v>40582</v>
      </c>
      <c r="T655" t="s">
        <v>42125</v>
      </c>
      <c r="U655" t="s">
        <v>43201</v>
      </c>
      <c r="W655" t="s">
        <v>37331</v>
      </c>
      <c r="X655" t="s">
        <v>40439</v>
      </c>
    </row>
    <row r="656" spans="1:24">
      <c r="A656">
        <f>HYPERLINK("https://www.philgeps.gov.ph/GEPSNONPILOT/Tender/SplashBidNoticeAbstractUI.aspx?menuIndex=3&amp;refID=7047644&amp;Result=3","7047644")</f>
        <v>0</v>
      </c>
      <c r="B656" t="s">
        <v>197</v>
      </c>
      <c r="C656" t="s">
        <v>3734</v>
      </c>
      <c r="D656" t="s">
        <v>16196</v>
      </c>
      <c r="E656" t="s">
        <v>16924</v>
      </c>
      <c r="F656" t="s">
        <v>28198</v>
      </c>
      <c r="G656" t="s">
        <v>28207</v>
      </c>
      <c r="H656" t="s">
        <v>28215</v>
      </c>
      <c r="I656" t="s">
        <v>5100</v>
      </c>
      <c r="J656" t="s">
        <v>28838</v>
      </c>
      <c r="K656" t="s">
        <v>36688</v>
      </c>
      <c r="M656" t="s">
        <v>37172</v>
      </c>
      <c r="N656" t="s">
        <v>40436</v>
      </c>
      <c r="O656" t="s">
        <v>40437</v>
      </c>
      <c r="P656">
        <v>0</v>
      </c>
      <c r="Q656">
        <v>0</v>
      </c>
      <c r="R656" t="s">
        <v>40438</v>
      </c>
      <c r="S656" t="s">
        <v>40582</v>
      </c>
      <c r="T656" t="s">
        <v>42103</v>
      </c>
      <c r="U656" t="s">
        <v>43202</v>
      </c>
      <c r="V656" t="s">
        <v>53864</v>
      </c>
      <c r="W656" t="s">
        <v>37172</v>
      </c>
      <c r="X656" t="s">
        <v>40439</v>
      </c>
    </row>
    <row r="657" spans="1:24">
      <c r="A657">
        <f>HYPERLINK("https://www.philgeps.gov.ph/GEPSNONPILOT/Tender/SplashBidNoticeAbstractUI.aspx?menuIndex=3&amp;refID=7047646&amp;Result=3","7047646")</f>
        <v>0</v>
      </c>
      <c r="B657" t="s">
        <v>83</v>
      </c>
      <c r="C657" t="s">
        <v>3735</v>
      </c>
      <c r="D657" t="s">
        <v>16220</v>
      </c>
      <c r="E657" t="s">
        <v>16925</v>
      </c>
      <c r="F657" t="s">
        <v>28198</v>
      </c>
      <c r="G657" t="s">
        <v>28207</v>
      </c>
      <c r="H657" t="s">
        <v>28215</v>
      </c>
      <c r="I657" t="s">
        <v>5100</v>
      </c>
      <c r="J657" t="s">
        <v>28839</v>
      </c>
      <c r="K657" t="s">
        <v>36707</v>
      </c>
      <c r="M657" t="s">
        <v>37055</v>
      </c>
      <c r="N657" t="s">
        <v>40436</v>
      </c>
      <c r="O657" t="s">
        <v>40437</v>
      </c>
      <c r="P657">
        <v>0</v>
      </c>
      <c r="Q657">
        <v>0</v>
      </c>
      <c r="R657" t="s">
        <v>40438</v>
      </c>
      <c r="S657" t="s">
        <v>40582</v>
      </c>
      <c r="T657" t="s">
        <v>42103</v>
      </c>
      <c r="U657" t="s">
        <v>43203</v>
      </c>
      <c r="W657" t="s">
        <v>37055</v>
      </c>
      <c r="X657" t="s">
        <v>40439</v>
      </c>
    </row>
    <row r="658" spans="1:24">
      <c r="A658">
        <f>HYPERLINK("https://www.philgeps.gov.ph/GEPSNONPILOT/Tender/SplashBidNoticeAbstractUI.aspx?menuIndex=3&amp;refID=7047669&amp;Result=3","7047669")</f>
        <v>0</v>
      </c>
      <c r="B658" t="s">
        <v>353</v>
      </c>
      <c r="C658" t="s">
        <v>3736</v>
      </c>
      <c r="D658" t="s">
        <v>16193</v>
      </c>
      <c r="E658" t="s">
        <v>16508</v>
      </c>
      <c r="F658" t="s">
        <v>28198</v>
      </c>
      <c r="G658" t="s">
        <v>28205</v>
      </c>
      <c r="H658" t="s">
        <v>28215</v>
      </c>
      <c r="I658" t="s">
        <v>4505</v>
      </c>
      <c r="J658" t="s">
        <v>28840</v>
      </c>
      <c r="K658" t="s">
        <v>36706</v>
      </c>
      <c r="L658" t="s">
        <v>353</v>
      </c>
      <c r="M658" t="s">
        <v>37332</v>
      </c>
      <c r="N658" t="s">
        <v>40436</v>
      </c>
      <c r="O658" t="s">
        <v>40437</v>
      </c>
      <c r="P658">
        <v>0</v>
      </c>
      <c r="Q658">
        <v>0</v>
      </c>
      <c r="R658" t="s">
        <v>40438</v>
      </c>
      <c r="S658" t="s">
        <v>40582</v>
      </c>
      <c r="T658" t="s">
        <v>42179</v>
      </c>
      <c r="U658" t="s">
        <v>43204</v>
      </c>
      <c r="W658" t="s">
        <v>37332</v>
      </c>
      <c r="X658" t="s">
        <v>40439</v>
      </c>
    </row>
    <row r="659" spans="1:24">
      <c r="A659">
        <f>HYPERLINK("https://www.philgeps.gov.ph/GEPSNONPILOT/Tender/SplashBidNoticeAbstractUI.aspx?menuIndex=3&amp;refID=7047647&amp;Result=3","7047647")</f>
        <v>0</v>
      </c>
      <c r="B659" t="s">
        <v>354</v>
      </c>
      <c r="C659" t="s">
        <v>3737</v>
      </c>
      <c r="D659" t="s">
        <v>16199</v>
      </c>
      <c r="E659" t="s">
        <v>16926</v>
      </c>
      <c r="F659" t="s">
        <v>28198</v>
      </c>
      <c r="G659" t="s">
        <v>28207</v>
      </c>
      <c r="H659" t="s">
        <v>28215</v>
      </c>
      <c r="I659" t="s">
        <v>3797</v>
      </c>
      <c r="J659" t="s">
        <v>28581</v>
      </c>
      <c r="K659" t="s">
        <v>36723</v>
      </c>
      <c r="M659" t="s">
        <v>37333</v>
      </c>
      <c r="N659" t="s">
        <v>40436</v>
      </c>
      <c r="O659" t="s">
        <v>40437</v>
      </c>
      <c r="P659">
        <v>0</v>
      </c>
      <c r="Q659">
        <v>1</v>
      </c>
      <c r="R659" t="s">
        <v>40438</v>
      </c>
      <c r="S659" t="s">
        <v>40582</v>
      </c>
      <c r="T659" t="s">
        <v>42103</v>
      </c>
      <c r="U659" t="s">
        <v>43205</v>
      </c>
      <c r="W659" t="s">
        <v>37333</v>
      </c>
      <c r="X659" t="s">
        <v>40439</v>
      </c>
    </row>
    <row r="660" spans="1:24">
      <c r="A660">
        <f>HYPERLINK("https://www.philgeps.gov.ph/GEPSNONPILOT/Tender/SplashBidNoticeAbstractUI.aspx?menuIndex=3&amp;refID=7047689&amp;Result=3","7047689")</f>
        <v>0</v>
      </c>
      <c r="B660" t="s">
        <v>351</v>
      </c>
      <c r="C660" t="s">
        <v>3738</v>
      </c>
      <c r="D660" t="s">
        <v>16258</v>
      </c>
      <c r="E660" t="s">
        <v>16927</v>
      </c>
      <c r="F660" t="s">
        <v>28198</v>
      </c>
      <c r="G660" t="s">
        <v>28209</v>
      </c>
      <c r="H660" t="s">
        <v>28215</v>
      </c>
      <c r="I660" t="s">
        <v>5100</v>
      </c>
      <c r="J660" t="s">
        <v>28841</v>
      </c>
      <c r="K660" t="s">
        <v>36706</v>
      </c>
      <c r="M660" t="s">
        <v>37330</v>
      </c>
      <c r="N660" t="s">
        <v>40436</v>
      </c>
      <c r="O660" t="s">
        <v>40437</v>
      </c>
      <c r="P660">
        <v>0</v>
      </c>
      <c r="Q660">
        <v>0</v>
      </c>
      <c r="R660" t="s">
        <v>40438</v>
      </c>
      <c r="S660" t="s">
        <v>40582</v>
      </c>
      <c r="T660" t="s">
        <v>42142</v>
      </c>
      <c r="U660" t="s">
        <v>43206</v>
      </c>
      <c r="W660" t="s">
        <v>37330</v>
      </c>
      <c r="X660" t="s">
        <v>40439</v>
      </c>
    </row>
    <row r="661" spans="1:24">
      <c r="A661">
        <f>HYPERLINK("https://www.philgeps.gov.ph/GEPSNONPILOT/Tender/SplashBidNoticeAbstractUI.aspx?menuIndex=3&amp;refID=7047687&amp;Result=3","7047687")</f>
        <v>0</v>
      </c>
      <c r="B661" t="s">
        <v>355</v>
      </c>
      <c r="C661" t="s">
        <v>3739</v>
      </c>
      <c r="D661" t="s">
        <v>16196</v>
      </c>
      <c r="E661" t="s">
        <v>16928</v>
      </c>
      <c r="F661" t="s">
        <v>28198</v>
      </c>
      <c r="G661" t="s">
        <v>28205</v>
      </c>
      <c r="H661" t="s">
        <v>28214</v>
      </c>
      <c r="I661" t="s">
        <v>3797</v>
      </c>
      <c r="J661" t="s">
        <v>28406</v>
      </c>
      <c r="K661" t="s">
        <v>36701</v>
      </c>
      <c r="M661" t="s">
        <v>37334</v>
      </c>
      <c r="N661" t="s">
        <v>40436</v>
      </c>
      <c r="O661" t="s">
        <v>40437</v>
      </c>
      <c r="P661">
        <v>0</v>
      </c>
      <c r="Q661">
        <v>0</v>
      </c>
      <c r="R661" t="s">
        <v>40438</v>
      </c>
      <c r="S661" t="s">
        <v>40582</v>
      </c>
      <c r="T661" t="s">
        <v>42098</v>
      </c>
      <c r="U661" t="s">
        <v>43207</v>
      </c>
      <c r="V661" t="s">
        <v>53865</v>
      </c>
      <c r="W661" t="s">
        <v>37334</v>
      </c>
      <c r="X661" t="s">
        <v>40439</v>
      </c>
    </row>
    <row r="662" spans="1:24">
      <c r="A662">
        <f>HYPERLINK("https://www.philgeps.gov.ph/GEPSNONPILOT/Tender/SplashBidNoticeAbstractUI.aspx?menuIndex=3&amp;refID=7047672&amp;Result=3","7047672")</f>
        <v>0</v>
      </c>
      <c r="B662" t="s">
        <v>356</v>
      </c>
      <c r="C662" t="s">
        <v>3740</v>
      </c>
      <c r="D662" t="s">
        <v>16197</v>
      </c>
      <c r="E662" t="s">
        <v>16929</v>
      </c>
      <c r="F662" t="s">
        <v>28198</v>
      </c>
      <c r="G662" t="s">
        <v>28205</v>
      </c>
      <c r="H662" t="s">
        <v>28215</v>
      </c>
      <c r="I662" t="s">
        <v>5100</v>
      </c>
      <c r="J662" t="s">
        <v>28842</v>
      </c>
      <c r="K662" t="s">
        <v>36707</v>
      </c>
      <c r="M662" t="s">
        <v>37335</v>
      </c>
      <c r="N662" t="s">
        <v>40436</v>
      </c>
      <c r="O662" t="s">
        <v>40437</v>
      </c>
      <c r="P662">
        <v>0</v>
      </c>
      <c r="Q662">
        <v>0</v>
      </c>
      <c r="R662" t="s">
        <v>40438</v>
      </c>
      <c r="S662" t="s">
        <v>40582</v>
      </c>
      <c r="T662" t="s">
        <v>42188</v>
      </c>
      <c r="U662" t="s">
        <v>43208</v>
      </c>
      <c r="V662" t="s">
        <v>53866</v>
      </c>
      <c r="W662" t="s">
        <v>37335</v>
      </c>
      <c r="X662" t="s">
        <v>40439</v>
      </c>
    </row>
    <row r="663" spans="1:24">
      <c r="A663">
        <f>HYPERLINK("https://www.philgeps.gov.ph/GEPSNONPILOT/Tender/SplashBidNoticeAbstractUI.aspx?menuIndex=3&amp;refID=7047667&amp;Result=3","7047667")</f>
        <v>0</v>
      </c>
      <c r="B663" t="s">
        <v>357</v>
      </c>
      <c r="C663" t="s">
        <v>3741</v>
      </c>
      <c r="D663" t="s">
        <v>16197</v>
      </c>
      <c r="E663" t="s">
        <v>16930</v>
      </c>
      <c r="F663" t="s">
        <v>28198</v>
      </c>
      <c r="G663" t="s">
        <v>28205</v>
      </c>
      <c r="H663" t="s">
        <v>28214</v>
      </c>
      <c r="I663" t="s">
        <v>3797</v>
      </c>
      <c r="J663" t="s">
        <v>28730</v>
      </c>
      <c r="K663" t="s">
        <v>36738</v>
      </c>
      <c r="M663" t="s">
        <v>37336</v>
      </c>
      <c r="N663" t="s">
        <v>40436</v>
      </c>
      <c r="O663" t="s">
        <v>40437</v>
      </c>
      <c r="P663">
        <v>0</v>
      </c>
      <c r="Q663">
        <v>0</v>
      </c>
      <c r="R663" t="s">
        <v>40438</v>
      </c>
      <c r="S663" t="s">
        <v>40582</v>
      </c>
      <c r="T663" t="s">
        <v>42110</v>
      </c>
      <c r="U663" t="s">
        <v>43209</v>
      </c>
      <c r="W663" t="s">
        <v>37336</v>
      </c>
      <c r="X663" t="s">
        <v>40439</v>
      </c>
    </row>
    <row r="664" spans="1:24">
      <c r="A664">
        <f>HYPERLINK("https://www.philgeps.gov.ph/GEPSNONPILOT/Tender/SplashBidNoticeAbstractUI.aspx?menuIndex=3&amp;refID=7047664&amp;Result=3","7047664")</f>
        <v>0</v>
      </c>
      <c r="B664" t="s">
        <v>358</v>
      </c>
      <c r="C664" t="s">
        <v>3742</v>
      </c>
      <c r="D664" t="s">
        <v>16243</v>
      </c>
      <c r="E664" t="s">
        <v>3742</v>
      </c>
      <c r="F664" t="s">
        <v>28198</v>
      </c>
      <c r="G664" t="s">
        <v>28207</v>
      </c>
      <c r="H664" t="s">
        <v>28215</v>
      </c>
      <c r="I664" t="s">
        <v>4200</v>
      </c>
      <c r="J664" t="s">
        <v>28843</v>
      </c>
      <c r="K664" t="s">
        <v>36706</v>
      </c>
      <c r="M664" t="s">
        <v>37337</v>
      </c>
      <c r="N664" t="s">
        <v>40436</v>
      </c>
      <c r="O664" t="s">
        <v>40437</v>
      </c>
      <c r="P664">
        <v>0</v>
      </c>
      <c r="Q664">
        <v>1</v>
      </c>
      <c r="R664" t="s">
        <v>40438</v>
      </c>
      <c r="S664" t="s">
        <v>40582</v>
      </c>
      <c r="T664" t="s">
        <v>42103</v>
      </c>
      <c r="U664" t="s">
        <v>43210</v>
      </c>
      <c r="W664" t="s">
        <v>37337</v>
      </c>
      <c r="X664" t="s">
        <v>40439</v>
      </c>
    </row>
    <row r="665" spans="1:24">
      <c r="A665">
        <f>HYPERLINK("https://www.philgeps.gov.ph/GEPSNONPILOT/Tender/SplashBidNoticeAbstractUI.aspx?menuIndex=3&amp;refID=7047688&amp;Result=3","7047688")</f>
        <v>0</v>
      </c>
      <c r="B665" t="s">
        <v>353</v>
      </c>
      <c r="C665" t="s">
        <v>3743</v>
      </c>
      <c r="D665" t="s">
        <v>16193</v>
      </c>
      <c r="E665" t="s">
        <v>16494</v>
      </c>
      <c r="F665" t="s">
        <v>28198</v>
      </c>
      <c r="G665" t="s">
        <v>28205</v>
      </c>
      <c r="H665" t="s">
        <v>28215</v>
      </c>
      <c r="I665" t="s">
        <v>5100</v>
      </c>
      <c r="J665" t="s">
        <v>28844</v>
      </c>
      <c r="K665" t="s">
        <v>36706</v>
      </c>
      <c r="M665" t="s">
        <v>37332</v>
      </c>
      <c r="N665" t="s">
        <v>40436</v>
      </c>
      <c r="O665" t="s">
        <v>40437</v>
      </c>
      <c r="P665">
        <v>0</v>
      </c>
      <c r="Q665">
        <v>0</v>
      </c>
      <c r="R665" t="s">
        <v>40438</v>
      </c>
      <c r="S665" t="s">
        <v>40582</v>
      </c>
      <c r="T665" t="s">
        <v>42179</v>
      </c>
      <c r="U665" t="s">
        <v>43204</v>
      </c>
      <c r="W665" t="s">
        <v>37332</v>
      </c>
      <c r="X665" t="s">
        <v>40439</v>
      </c>
    </row>
    <row r="666" spans="1:24">
      <c r="A666">
        <f>HYPERLINK("https://www.philgeps.gov.ph/GEPSNONPILOT/Tender/SplashBidNoticeAbstractUI.aspx?menuIndex=3&amp;refID=7047683&amp;Result=3","7047683")</f>
        <v>0</v>
      </c>
      <c r="B666" t="s">
        <v>211</v>
      </c>
      <c r="C666" t="s">
        <v>3744</v>
      </c>
      <c r="D666" t="s">
        <v>16199</v>
      </c>
      <c r="E666" t="s">
        <v>16931</v>
      </c>
      <c r="F666" t="s">
        <v>28198</v>
      </c>
      <c r="G666" t="s">
        <v>28207</v>
      </c>
      <c r="H666" t="s">
        <v>28215</v>
      </c>
      <c r="I666" t="s">
        <v>28225</v>
      </c>
      <c r="J666" t="s">
        <v>28845</v>
      </c>
      <c r="K666" t="s">
        <v>36698</v>
      </c>
      <c r="M666" t="s">
        <v>37187</v>
      </c>
      <c r="N666" t="s">
        <v>40436</v>
      </c>
      <c r="O666" t="s">
        <v>40437</v>
      </c>
      <c r="P666">
        <v>0</v>
      </c>
      <c r="Q666">
        <v>6</v>
      </c>
      <c r="R666" t="s">
        <v>40438</v>
      </c>
      <c r="S666" t="s">
        <v>40582</v>
      </c>
      <c r="T666" t="s">
        <v>42111</v>
      </c>
      <c r="U666" t="s">
        <v>43211</v>
      </c>
      <c r="W666" t="s">
        <v>37187</v>
      </c>
      <c r="X666" t="s">
        <v>40439</v>
      </c>
    </row>
    <row r="667" spans="1:24">
      <c r="A667">
        <f>HYPERLINK("https://www.philgeps.gov.ph/GEPSNONPILOT/Tender/SplashBidNoticeAbstractUI.aspx?menuIndex=3&amp;refID=7047686&amp;Result=3","7047686")</f>
        <v>0</v>
      </c>
      <c r="B667" t="s">
        <v>346</v>
      </c>
      <c r="C667" t="s">
        <v>3745</v>
      </c>
      <c r="D667" t="s">
        <v>16217</v>
      </c>
      <c r="E667" t="s">
        <v>16932</v>
      </c>
      <c r="F667" t="s">
        <v>28198</v>
      </c>
      <c r="G667" t="s">
        <v>28205</v>
      </c>
      <c r="H667" t="s">
        <v>28214</v>
      </c>
      <c r="I667" t="s">
        <v>3797</v>
      </c>
      <c r="J667" t="s">
        <v>28415</v>
      </c>
      <c r="K667" t="s">
        <v>36715</v>
      </c>
      <c r="M667" t="s">
        <v>37325</v>
      </c>
      <c r="N667" t="s">
        <v>40436</v>
      </c>
      <c r="O667" t="s">
        <v>40437</v>
      </c>
      <c r="P667">
        <v>0</v>
      </c>
      <c r="Q667">
        <v>0</v>
      </c>
      <c r="R667" t="s">
        <v>40438</v>
      </c>
      <c r="S667" t="s">
        <v>40582</v>
      </c>
      <c r="T667" t="s">
        <v>42168</v>
      </c>
      <c r="U667" t="s">
        <v>43212</v>
      </c>
      <c r="V667" t="s">
        <v>53861</v>
      </c>
      <c r="W667" t="s">
        <v>37325</v>
      </c>
      <c r="X667" t="s">
        <v>40439</v>
      </c>
    </row>
    <row r="668" spans="1:24">
      <c r="A668">
        <f>HYPERLINK("https://www.philgeps.gov.ph/GEPSNONPILOT/Tender/SplashBidNoticeAbstractUI.aspx?menuIndex=3&amp;refID=7047676&amp;Result=3","7047676")</f>
        <v>0</v>
      </c>
      <c r="B668" t="s">
        <v>283</v>
      </c>
      <c r="C668" t="s">
        <v>3746</v>
      </c>
      <c r="D668" t="s">
        <v>16204</v>
      </c>
      <c r="E668" t="s">
        <v>16933</v>
      </c>
      <c r="F668" t="s">
        <v>28198</v>
      </c>
      <c r="G668" t="s">
        <v>28205</v>
      </c>
      <c r="H668" t="s">
        <v>28215</v>
      </c>
      <c r="I668" t="s">
        <v>5100</v>
      </c>
      <c r="J668" t="s">
        <v>28846</v>
      </c>
      <c r="K668" t="s">
        <v>36707</v>
      </c>
      <c r="M668" t="s">
        <v>37260</v>
      </c>
      <c r="N668" t="s">
        <v>40436</v>
      </c>
      <c r="O668" t="s">
        <v>40437</v>
      </c>
      <c r="P668">
        <v>0</v>
      </c>
      <c r="Q668">
        <v>0</v>
      </c>
      <c r="R668" t="s">
        <v>40438</v>
      </c>
      <c r="S668" t="s">
        <v>40582</v>
      </c>
      <c r="T668" t="s">
        <v>42196</v>
      </c>
      <c r="U668" t="s">
        <v>43213</v>
      </c>
      <c r="W668" t="s">
        <v>37260</v>
      </c>
      <c r="X668" t="s">
        <v>40439</v>
      </c>
    </row>
    <row r="669" spans="1:24">
      <c r="A669">
        <f>HYPERLINK("https://www.philgeps.gov.ph/GEPSNONPILOT/Tender/SplashBidNoticeAbstractUI.aspx?menuIndex=3&amp;refID=7047682&amp;Result=3","7047682")</f>
        <v>0</v>
      </c>
      <c r="B669" t="s">
        <v>323</v>
      </c>
      <c r="C669" t="s">
        <v>3747</v>
      </c>
      <c r="D669" t="s">
        <v>16238</v>
      </c>
      <c r="E669" t="s">
        <v>16934</v>
      </c>
      <c r="F669" t="s">
        <v>28198</v>
      </c>
      <c r="G669" t="s">
        <v>28205</v>
      </c>
      <c r="H669" t="s">
        <v>28215</v>
      </c>
      <c r="I669" t="s">
        <v>5100</v>
      </c>
      <c r="J669" t="s">
        <v>28847</v>
      </c>
      <c r="K669" t="s">
        <v>36689</v>
      </c>
      <c r="M669" t="s">
        <v>37301</v>
      </c>
      <c r="N669" t="s">
        <v>40436</v>
      </c>
      <c r="O669" t="s">
        <v>40437</v>
      </c>
      <c r="P669">
        <v>0</v>
      </c>
      <c r="Q669">
        <v>0</v>
      </c>
      <c r="R669" t="s">
        <v>40438</v>
      </c>
      <c r="S669" t="s">
        <v>40582</v>
      </c>
      <c r="T669" t="s">
        <v>42100</v>
      </c>
      <c r="U669" t="s">
        <v>43214</v>
      </c>
      <c r="W669" t="s">
        <v>55442</v>
      </c>
      <c r="X669" t="s">
        <v>40439</v>
      </c>
    </row>
    <row r="670" spans="1:24">
      <c r="A670">
        <f>HYPERLINK("https://www.philgeps.gov.ph/GEPSNONPILOT/Tender/SplashBidNoticeAbstractUI.aspx?menuIndex=3&amp;refID=7047697&amp;Result=3","7047697")</f>
        <v>0</v>
      </c>
      <c r="B670" t="s">
        <v>257</v>
      </c>
      <c r="C670" t="s">
        <v>3748</v>
      </c>
      <c r="D670" t="s">
        <v>16193</v>
      </c>
      <c r="E670" t="s">
        <v>16935</v>
      </c>
      <c r="F670" t="s">
        <v>28198</v>
      </c>
      <c r="G670" t="s">
        <v>28205</v>
      </c>
      <c r="H670" t="s">
        <v>28215</v>
      </c>
      <c r="I670" t="s">
        <v>28234</v>
      </c>
      <c r="J670" t="s">
        <v>28548</v>
      </c>
      <c r="K670" t="s">
        <v>36701</v>
      </c>
      <c r="M670" t="s">
        <v>37233</v>
      </c>
      <c r="N670" t="s">
        <v>40436</v>
      </c>
      <c r="O670" t="s">
        <v>40437</v>
      </c>
      <c r="P670">
        <v>0</v>
      </c>
      <c r="Q670">
        <v>4</v>
      </c>
      <c r="R670" t="s">
        <v>40438</v>
      </c>
      <c r="S670" t="s">
        <v>40582</v>
      </c>
      <c r="T670" t="s">
        <v>42179</v>
      </c>
      <c r="U670" t="s">
        <v>42697</v>
      </c>
      <c r="W670" t="s">
        <v>37233</v>
      </c>
      <c r="X670" t="s">
        <v>40439</v>
      </c>
    </row>
    <row r="671" spans="1:24">
      <c r="A671">
        <f>HYPERLINK("https://www.philgeps.gov.ph/GEPSNONPILOT/Tender/SplashBidNoticeAbstractUI.aspx?menuIndex=3&amp;refID=7047679&amp;Result=3","7047679")</f>
        <v>0</v>
      </c>
      <c r="B671" t="s">
        <v>343</v>
      </c>
      <c r="C671" t="s">
        <v>3749</v>
      </c>
      <c r="D671" t="s">
        <v>16235</v>
      </c>
      <c r="E671" t="s">
        <v>16936</v>
      </c>
      <c r="F671" t="s">
        <v>28198</v>
      </c>
      <c r="G671" t="s">
        <v>28207</v>
      </c>
      <c r="H671" t="s">
        <v>28215</v>
      </c>
      <c r="I671" t="s">
        <v>28278</v>
      </c>
      <c r="J671" t="s">
        <v>28848</v>
      </c>
      <c r="K671" t="s">
        <v>36701</v>
      </c>
      <c r="M671" t="s">
        <v>37322</v>
      </c>
      <c r="N671" t="s">
        <v>40436</v>
      </c>
      <c r="O671" t="s">
        <v>40437</v>
      </c>
      <c r="P671">
        <v>0</v>
      </c>
      <c r="Q671">
        <v>0</v>
      </c>
      <c r="R671" t="s">
        <v>40438</v>
      </c>
      <c r="S671" t="s">
        <v>40582</v>
      </c>
      <c r="T671" t="s">
        <v>42128</v>
      </c>
      <c r="U671" t="s">
        <v>43215</v>
      </c>
      <c r="W671" t="s">
        <v>37322</v>
      </c>
      <c r="X671" t="s">
        <v>40439</v>
      </c>
    </row>
    <row r="672" spans="1:24">
      <c r="A672">
        <f>HYPERLINK("https://www.philgeps.gov.ph/GEPSNONPILOT/Tender/SplashBidNoticeAbstractUI.aspx?menuIndex=3&amp;refID=7047695&amp;Result=3","7047695")</f>
        <v>0</v>
      </c>
      <c r="B672" t="s">
        <v>359</v>
      </c>
      <c r="C672" t="s">
        <v>3750</v>
      </c>
      <c r="D672" t="s">
        <v>16206</v>
      </c>
      <c r="E672" t="s">
        <v>16937</v>
      </c>
      <c r="F672" t="s">
        <v>28198</v>
      </c>
      <c r="G672" t="s">
        <v>28205</v>
      </c>
      <c r="H672" t="s">
        <v>28214</v>
      </c>
      <c r="I672" t="s">
        <v>3797</v>
      </c>
      <c r="J672" t="s">
        <v>28849</v>
      </c>
      <c r="K672" t="s">
        <v>36739</v>
      </c>
      <c r="M672" t="s">
        <v>37338</v>
      </c>
      <c r="N672" t="s">
        <v>40436</v>
      </c>
      <c r="O672" t="s">
        <v>40437</v>
      </c>
      <c r="P672">
        <v>0</v>
      </c>
      <c r="Q672">
        <v>0</v>
      </c>
      <c r="R672" t="s">
        <v>40438</v>
      </c>
      <c r="S672" t="s">
        <v>40582</v>
      </c>
      <c r="T672" t="s">
        <v>42107</v>
      </c>
      <c r="U672" t="s">
        <v>43216</v>
      </c>
      <c r="W672" t="s">
        <v>37338</v>
      </c>
      <c r="X672" t="s">
        <v>40439</v>
      </c>
    </row>
    <row r="673" spans="1:24">
      <c r="A673">
        <f>HYPERLINK("https://www.philgeps.gov.ph/GEPSNONPILOT/Tender/SplashBidNoticeAbstractUI.aspx?menuIndex=3&amp;refID=7047694&amp;Result=3","7047694")</f>
        <v>0</v>
      </c>
      <c r="B673" t="s">
        <v>360</v>
      </c>
      <c r="C673" t="s">
        <v>3751</v>
      </c>
      <c r="D673" t="s">
        <v>16210</v>
      </c>
      <c r="E673" t="s">
        <v>16938</v>
      </c>
      <c r="F673" t="s">
        <v>28198</v>
      </c>
      <c r="G673" t="s">
        <v>28207</v>
      </c>
      <c r="H673" t="s">
        <v>28215</v>
      </c>
      <c r="I673" t="s">
        <v>28254</v>
      </c>
      <c r="J673" t="s">
        <v>28850</v>
      </c>
      <c r="K673" t="s">
        <v>36689</v>
      </c>
      <c r="M673" t="s">
        <v>37339</v>
      </c>
      <c r="N673" t="s">
        <v>40436</v>
      </c>
      <c r="O673" t="s">
        <v>40437</v>
      </c>
      <c r="P673">
        <v>0</v>
      </c>
      <c r="Q673">
        <v>7</v>
      </c>
      <c r="R673" t="s">
        <v>40438</v>
      </c>
      <c r="S673" t="s">
        <v>40582</v>
      </c>
      <c r="T673" t="s">
        <v>42121</v>
      </c>
      <c r="U673" t="s">
        <v>43217</v>
      </c>
      <c r="V673" t="s">
        <v>53867</v>
      </c>
      <c r="W673" t="s">
        <v>37339</v>
      </c>
      <c r="X673" t="s">
        <v>40439</v>
      </c>
    </row>
    <row r="674" spans="1:24">
      <c r="A674">
        <f>HYPERLINK("https://www.philgeps.gov.ph/GEPSNONPILOT/Tender/SplashBidNoticeAbstractUI.aspx?menuIndex=3&amp;refID=7047690&amp;Result=3","7047690")</f>
        <v>0</v>
      </c>
      <c r="B674" t="s">
        <v>361</v>
      </c>
      <c r="C674" t="s">
        <v>3752</v>
      </c>
      <c r="D674" t="s">
        <v>16236</v>
      </c>
      <c r="E674" t="s">
        <v>16939</v>
      </c>
      <c r="F674" t="s">
        <v>28198</v>
      </c>
      <c r="G674" t="s">
        <v>28209</v>
      </c>
      <c r="H674" t="s">
        <v>28215</v>
      </c>
      <c r="I674" t="s">
        <v>28234</v>
      </c>
      <c r="J674" t="s">
        <v>28361</v>
      </c>
      <c r="K674" t="s">
        <v>36707</v>
      </c>
      <c r="M674" t="s">
        <v>37340</v>
      </c>
      <c r="N674" t="s">
        <v>40436</v>
      </c>
      <c r="O674" t="s">
        <v>40437</v>
      </c>
      <c r="P674">
        <v>0</v>
      </c>
      <c r="Q674">
        <v>2</v>
      </c>
      <c r="R674" t="s">
        <v>40438</v>
      </c>
      <c r="S674" t="s">
        <v>40582</v>
      </c>
      <c r="T674" t="s">
        <v>42209</v>
      </c>
      <c r="U674" t="s">
        <v>43218</v>
      </c>
      <c r="V674" t="s">
        <v>53826</v>
      </c>
      <c r="W674" t="s">
        <v>37340</v>
      </c>
      <c r="X674" t="s">
        <v>40439</v>
      </c>
    </row>
    <row r="675" spans="1:24">
      <c r="A675">
        <f>HYPERLINK("https://www.philgeps.gov.ph/GEPSNONPILOT/Tender/SplashBidNoticeAbstractUI.aspx?menuIndex=3&amp;refID=7047696&amp;Result=3","7047696")</f>
        <v>0</v>
      </c>
      <c r="B675" t="s">
        <v>362</v>
      </c>
      <c r="C675" t="s">
        <v>3753</v>
      </c>
      <c r="D675" t="s">
        <v>16202</v>
      </c>
      <c r="E675" t="s">
        <v>16940</v>
      </c>
      <c r="F675" t="s">
        <v>28198</v>
      </c>
      <c r="G675" t="s">
        <v>28205</v>
      </c>
      <c r="H675" t="s">
        <v>28215</v>
      </c>
      <c r="I675" t="s">
        <v>4200</v>
      </c>
      <c r="J675" t="s">
        <v>28851</v>
      </c>
      <c r="K675" t="s">
        <v>36701</v>
      </c>
      <c r="M675" t="s">
        <v>37341</v>
      </c>
      <c r="N675" t="s">
        <v>40436</v>
      </c>
      <c r="O675" t="s">
        <v>40437</v>
      </c>
      <c r="P675">
        <v>0</v>
      </c>
      <c r="Q675">
        <v>0</v>
      </c>
      <c r="R675" t="s">
        <v>40438</v>
      </c>
      <c r="S675" t="s">
        <v>40582</v>
      </c>
      <c r="T675" t="s">
        <v>42210</v>
      </c>
      <c r="U675" t="s">
        <v>43219</v>
      </c>
      <c r="W675" t="s">
        <v>37341</v>
      </c>
      <c r="X675" t="s">
        <v>40439</v>
      </c>
    </row>
    <row r="676" spans="1:24">
      <c r="A676">
        <f>HYPERLINK("https://www.philgeps.gov.ph/GEPSNONPILOT/Tender/SplashBidNoticeAbstractUI.aspx?menuIndex=3&amp;refID=7047678&amp;Result=3","7047678")</f>
        <v>0</v>
      </c>
      <c r="B676" t="s">
        <v>363</v>
      </c>
      <c r="C676" t="s">
        <v>3754</v>
      </c>
      <c r="D676" t="s">
        <v>16190</v>
      </c>
      <c r="E676" t="s">
        <v>16941</v>
      </c>
      <c r="F676" t="s">
        <v>28198</v>
      </c>
      <c r="G676" t="s">
        <v>28207</v>
      </c>
      <c r="H676" t="s">
        <v>28215</v>
      </c>
      <c r="I676" t="s">
        <v>4219</v>
      </c>
      <c r="J676" t="s">
        <v>28852</v>
      </c>
      <c r="K676" t="s">
        <v>36698</v>
      </c>
      <c r="M676" t="s">
        <v>37342</v>
      </c>
      <c r="N676" t="s">
        <v>40436</v>
      </c>
      <c r="O676" t="s">
        <v>40437</v>
      </c>
      <c r="P676">
        <v>0</v>
      </c>
      <c r="Q676">
        <v>0</v>
      </c>
      <c r="R676" t="s">
        <v>40438</v>
      </c>
      <c r="S676" t="s">
        <v>40582</v>
      </c>
      <c r="T676" t="s">
        <v>42119</v>
      </c>
      <c r="U676" t="s">
        <v>43220</v>
      </c>
      <c r="W676" t="s">
        <v>37342</v>
      </c>
      <c r="X676" t="s">
        <v>40439</v>
      </c>
    </row>
    <row r="677" spans="1:24">
      <c r="A677">
        <f>HYPERLINK("https://www.philgeps.gov.ph/GEPSNONPILOT/Tender/SplashBidNoticeAbstractUI.aspx?menuIndex=3&amp;refID=7047693&amp;Result=3","7047693")</f>
        <v>0</v>
      </c>
      <c r="B677" t="s">
        <v>323</v>
      </c>
      <c r="C677" t="s">
        <v>3755</v>
      </c>
      <c r="D677" t="s">
        <v>16238</v>
      </c>
      <c r="E677" t="s">
        <v>16942</v>
      </c>
      <c r="F677" t="s">
        <v>28198</v>
      </c>
      <c r="G677" t="s">
        <v>28205</v>
      </c>
      <c r="H677" t="s">
        <v>28215</v>
      </c>
      <c r="I677" t="s">
        <v>5100</v>
      </c>
      <c r="J677" t="s">
        <v>28853</v>
      </c>
      <c r="K677" t="s">
        <v>36689</v>
      </c>
      <c r="M677" t="s">
        <v>37301</v>
      </c>
      <c r="N677" t="s">
        <v>40436</v>
      </c>
      <c r="O677" t="s">
        <v>40437</v>
      </c>
      <c r="P677">
        <v>0</v>
      </c>
      <c r="Q677">
        <v>0</v>
      </c>
      <c r="R677" t="s">
        <v>40438</v>
      </c>
      <c r="S677" t="s">
        <v>40582</v>
      </c>
      <c r="T677" t="s">
        <v>42100</v>
      </c>
      <c r="U677" t="s">
        <v>43221</v>
      </c>
      <c r="W677" t="s">
        <v>55442</v>
      </c>
      <c r="X677" t="s">
        <v>40439</v>
      </c>
    </row>
    <row r="678" spans="1:24">
      <c r="A678">
        <f>HYPERLINK("https://www.philgeps.gov.ph/GEPSNONPILOT/Tender/SplashBidNoticeAbstractUI.aspx?menuIndex=3&amp;refID=7047680&amp;Result=3","7047680")</f>
        <v>0</v>
      </c>
      <c r="B678" t="s">
        <v>364</v>
      </c>
      <c r="C678" t="s">
        <v>3756</v>
      </c>
      <c r="E678" t="s">
        <v>16943</v>
      </c>
      <c r="F678" t="s">
        <v>28198</v>
      </c>
      <c r="G678" t="s">
        <v>28205</v>
      </c>
      <c r="H678" t="s">
        <v>28215</v>
      </c>
      <c r="I678" t="s">
        <v>5100</v>
      </c>
      <c r="J678" t="s">
        <v>28854</v>
      </c>
      <c r="K678" t="s">
        <v>36693</v>
      </c>
      <c r="M678" t="s">
        <v>37343</v>
      </c>
      <c r="N678" t="s">
        <v>40436</v>
      </c>
      <c r="O678" t="s">
        <v>40437</v>
      </c>
      <c r="P678">
        <v>0</v>
      </c>
      <c r="Q678">
        <v>0</v>
      </c>
      <c r="R678" t="s">
        <v>40438</v>
      </c>
      <c r="S678" t="s">
        <v>40582</v>
      </c>
      <c r="T678" t="s">
        <v>42102</v>
      </c>
      <c r="U678" t="s">
        <v>43222</v>
      </c>
      <c r="W678" t="s">
        <v>37343</v>
      </c>
      <c r="X678" t="s">
        <v>40439</v>
      </c>
    </row>
    <row r="679" spans="1:24">
      <c r="A679">
        <f>HYPERLINK("https://www.philgeps.gov.ph/GEPSNONPILOT/Tender/SplashBidNoticeAbstractUI.aspx?menuIndex=3&amp;refID=7047674&amp;Result=3","7047674")</f>
        <v>0</v>
      </c>
      <c r="B679" t="s">
        <v>365</v>
      </c>
      <c r="C679" t="s">
        <v>3757</v>
      </c>
      <c r="D679" t="s">
        <v>16197</v>
      </c>
      <c r="E679" t="s">
        <v>16588</v>
      </c>
      <c r="F679" t="s">
        <v>28198</v>
      </c>
      <c r="G679" t="s">
        <v>28205</v>
      </c>
      <c r="H679" t="s">
        <v>28215</v>
      </c>
      <c r="I679" t="s">
        <v>28282</v>
      </c>
      <c r="J679" t="s">
        <v>28855</v>
      </c>
      <c r="K679" t="s">
        <v>36695</v>
      </c>
      <c r="M679" t="s">
        <v>37344</v>
      </c>
      <c r="N679" t="s">
        <v>40436</v>
      </c>
      <c r="O679" t="s">
        <v>40437</v>
      </c>
      <c r="P679">
        <v>0</v>
      </c>
      <c r="Q679">
        <v>0</v>
      </c>
      <c r="R679" t="s">
        <v>40438</v>
      </c>
      <c r="S679" t="s">
        <v>40582</v>
      </c>
      <c r="T679" t="s">
        <v>42102</v>
      </c>
      <c r="U679" t="s">
        <v>43223</v>
      </c>
      <c r="V679" t="s">
        <v>53868</v>
      </c>
      <c r="W679" t="s">
        <v>37344</v>
      </c>
      <c r="X679" t="s">
        <v>40439</v>
      </c>
    </row>
    <row r="680" spans="1:24">
      <c r="A680">
        <f>HYPERLINK("https://www.philgeps.gov.ph/GEPSNONPILOT/Tender/SplashBidNoticeAbstractUI.aspx?menuIndex=3&amp;refID=7047685&amp;Result=3","7047685")</f>
        <v>0</v>
      </c>
      <c r="B680" t="s">
        <v>302</v>
      </c>
      <c r="C680" t="s">
        <v>3758</v>
      </c>
      <c r="D680" t="s">
        <v>16196</v>
      </c>
      <c r="E680" t="s">
        <v>16944</v>
      </c>
      <c r="F680" t="s">
        <v>28198</v>
      </c>
      <c r="G680" t="s">
        <v>28206</v>
      </c>
      <c r="H680" t="s">
        <v>28215</v>
      </c>
      <c r="I680" t="s">
        <v>28225</v>
      </c>
      <c r="J680" t="s">
        <v>28593</v>
      </c>
      <c r="K680" t="s">
        <v>36707</v>
      </c>
      <c r="M680" t="s">
        <v>37279</v>
      </c>
      <c r="N680" t="s">
        <v>40436</v>
      </c>
      <c r="O680" t="s">
        <v>40437</v>
      </c>
      <c r="P680">
        <v>0</v>
      </c>
      <c r="Q680">
        <v>4</v>
      </c>
      <c r="R680" t="s">
        <v>40438</v>
      </c>
      <c r="S680" t="s">
        <v>40582</v>
      </c>
      <c r="T680" t="s">
        <v>42142</v>
      </c>
      <c r="U680" t="s">
        <v>43224</v>
      </c>
      <c r="W680" t="s">
        <v>37279</v>
      </c>
      <c r="X680" t="s">
        <v>40439</v>
      </c>
    </row>
    <row r="681" spans="1:24">
      <c r="A681">
        <f>HYPERLINK("https://www.philgeps.gov.ph/GEPSNONPILOT/Tender/SplashBidNoticeAbstractUI.aspx?menuIndex=3&amp;refID=7047710&amp;Result=3","7047710")</f>
        <v>0</v>
      </c>
      <c r="B681" t="s">
        <v>366</v>
      </c>
      <c r="C681" t="s">
        <v>3759</v>
      </c>
      <c r="D681" t="s">
        <v>16198</v>
      </c>
      <c r="E681" t="s">
        <v>16945</v>
      </c>
      <c r="F681" t="s">
        <v>28198</v>
      </c>
      <c r="G681" t="s">
        <v>28207</v>
      </c>
      <c r="H681" t="s">
        <v>28215</v>
      </c>
      <c r="I681" t="s">
        <v>3797</v>
      </c>
      <c r="J681" t="s">
        <v>28856</v>
      </c>
      <c r="K681" t="s">
        <v>36688</v>
      </c>
      <c r="M681" t="s">
        <v>37345</v>
      </c>
      <c r="N681" t="s">
        <v>40436</v>
      </c>
      <c r="O681" t="s">
        <v>40437</v>
      </c>
      <c r="P681">
        <v>0</v>
      </c>
      <c r="Q681">
        <v>0</v>
      </c>
      <c r="R681" t="s">
        <v>40438</v>
      </c>
      <c r="S681" t="s">
        <v>40582</v>
      </c>
      <c r="T681" t="s">
        <v>42129</v>
      </c>
      <c r="U681" t="s">
        <v>43225</v>
      </c>
      <c r="W681" t="s">
        <v>37345</v>
      </c>
      <c r="X681" t="s">
        <v>40439</v>
      </c>
    </row>
    <row r="682" spans="1:24">
      <c r="A682">
        <f>HYPERLINK("https://www.philgeps.gov.ph/GEPSNONPILOT/Tender/SplashBidNoticeAbstractUI.aspx?menuIndex=3&amp;refID=7047711&amp;Result=3","7047711")</f>
        <v>0</v>
      </c>
      <c r="B682" t="s">
        <v>346</v>
      </c>
      <c r="C682" t="s">
        <v>3760</v>
      </c>
      <c r="D682" t="s">
        <v>16217</v>
      </c>
      <c r="E682" t="s">
        <v>16946</v>
      </c>
      <c r="F682" t="s">
        <v>28198</v>
      </c>
      <c r="G682" t="s">
        <v>28205</v>
      </c>
      <c r="H682" t="s">
        <v>28214</v>
      </c>
      <c r="I682" t="s">
        <v>3797</v>
      </c>
      <c r="J682" t="s">
        <v>28398</v>
      </c>
      <c r="K682" t="s">
        <v>36737</v>
      </c>
      <c r="M682" t="s">
        <v>37325</v>
      </c>
      <c r="N682" t="s">
        <v>40436</v>
      </c>
      <c r="O682" t="s">
        <v>40437</v>
      </c>
      <c r="P682">
        <v>0</v>
      </c>
      <c r="Q682">
        <v>0</v>
      </c>
      <c r="R682" t="s">
        <v>40438</v>
      </c>
      <c r="S682" t="s">
        <v>40582</v>
      </c>
      <c r="T682" t="s">
        <v>42168</v>
      </c>
      <c r="U682" t="s">
        <v>43226</v>
      </c>
      <c r="V682" t="s">
        <v>53861</v>
      </c>
      <c r="W682" t="s">
        <v>37325</v>
      </c>
      <c r="X682" t="s">
        <v>40439</v>
      </c>
    </row>
    <row r="683" spans="1:24">
      <c r="A683">
        <f>HYPERLINK("https://www.philgeps.gov.ph/GEPSNONPILOT/Tender/SplashBidNoticeAbstractUI.aspx?menuIndex=3&amp;refID=7047712&amp;Result=3","7047712")</f>
        <v>0</v>
      </c>
      <c r="B683" t="s">
        <v>367</v>
      </c>
      <c r="C683" t="s">
        <v>3761</v>
      </c>
      <c r="D683" t="s">
        <v>16234</v>
      </c>
      <c r="E683" t="s">
        <v>16473</v>
      </c>
      <c r="F683" t="s">
        <v>28198</v>
      </c>
      <c r="G683" t="s">
        <v>28205</v>
      </c>
      <c r="H683" t="s">
        <v>28215</v>
      </c>
      <c r="I683" t="s">
        <v>4200</v>
      </c>
      <c r="J683" t="s">
        <v>28857</v>
      </c>
      <c r="K683" t="s">
        <v>36701</v>
      </c>
      <c r="M683" t="s">
        <v>37346</v>
      </c>
      <c r="N683" t="s">
        <v>40436</v>
      </c>
      <c r="O683" t="s">
        <v>40437</v>
      </c>
      <c r="P683">
        <v>0</v>
      </c>
      <c r="Q683">
        <v>0</v>
      </c>
      <c r="R683" t="s">
        <v>40438</v>
      </c>
      <c r="S683" t="s">
        <v>40582</v>
      </c>
      <c r="T683" t="s">
        <v>42102</v>
      </c>
      <c r="U683" t="s">
        <v>43227</v>
      </c>
      <c r="W683" t="s">
        <v>37346</v>
      </c>
      <c r="X683" t="s">
        <v>40439</v>
      </c>
    </row>
    <row r="684" spans="1:24">
      <c r="A684">
        <f>HYPERLINK("https://www.philgeps.gov.ph/GEPSNONPILOT/Tender/SplashBidNoticeAbstractUI.aspx?menuIndex=3&amp;refID=7047709&amp;Result=3","7047709")</f>
        <v>0</v>
      </c>
      <c r="B684" t="s">
        <v>236</v>
      </c>
      <c r="C684" t="s">
        <v>3762</v>
      </c>
      <c r="D684" t="s">
        <v>16200</v>
      </c>
      <c r="E684" t="s">
        <v>16947</v>
      </c>
      <c r="F684" t="s">
        <v>28198</v>
      </c>
      <c r="G684" t="s">
        <v>28207</v>
      </c>
      <c r="H684" t="s">
        <v>28215</v>
      </c>
      <c r="I684" t="s">
        <v>3422</v>
      </c>
      <c r="J684" t="s">
        <v>28858</v>
      </c>
      <c r="K684" t="s">
        <v>36707</v>
      </c>
      <c r="M684" t="s">
        <v>37212</v>
      </c>
      <c r="N684" t="s">
        <v>40436</v>
      </c>
      <c r="O684" t="s">
        <v>40437</v>
      </c>
      <c r="P684">
        <v>0</v>
      </c>
      <c r="Q684">
        <v>0</v>
      </c>
      <c r="R684" t="s">
        <v>40438</v>
      </c>
      <c r="S684" t="s">
        <v>40582</v>
      </c>
      <c r="T684" t="s">
        <v>42133</v>
      </c>
      <c r="U684" t="s">
        <v>43228</v>
      </c>
      <c r="W684" t="s">
        <v>37212</v>
      </c>
      <c r="X684" t="s">
        <v>40439</v>
      </c>
    </row>
    <row r="685" spans="1:24">
      <c r="A685">
        <f>HYPERLINK("https://www.philgeps.gov.ph/GEPSNONPILOT/Tender/SplashBidNoticeAbstractUI.aspx?menuIndex=3&amp;refID=7047700&amp;Result=3","7047700")</f>
        <v>0</v>
      </c>
      <c r="B685" t="s">
        <v>334</v>
      </c>
      <c r="C685" t="s">
        <v>3763</v>
      </c>
      <c r="D685" t="s">
        <v>16226</v>
      </c>
      <c r="E685" t="s">
        <v>16948</v>
      </c>
      <c r="F685" t="s">
        <v>28198</v>
      </c>
      <c r="G685" t="s">
        <v>28205</v>
      </c>
      <c r="H685" t="s">
        <v>28214</v>
      </c>
      <c r="I685" t="s">
        <v>3797</v>
      </c>
      <c r="J685" t="s">
        <v>28406</v>
      </c>
      <c r="K685" t="s">
        <v>36689</v>
      </c>
      <c r="M685" t="s">
        <v>37312</v>
      </c>
      <c r="N685" t="s">
        <v>40436</v>
      </c>
      <c r="O685" t="s">
        <v>40437</v>
      </c>
      <c r="P685">
        <v>0</v>
      </c>
      <c r="Q685">
        <v>0</v>
      </c>
      <c r="R685" t="s">
        <v>40438</v>
      </c>
      <c r="S685" t="s">
        <v>40582</v>
      </c>
      <c r="T685" t="s">
        <v>42188</v>
      </c>
      <c r="U685" t="s">
        <v>43229</v>
      </c>
      <c r="V685" t="s">
        <v>53856</v>
      </c>
      <c r="W685" t="s">
        <v>37312</v>
      </c>
      <c r="X685" t="s">
        <v>40439</v>
      </c>
    </row>
    <row r="686" spans="1:24">
      <c r="A686">
        <f>HYPERLINK("https://www.philgeps.gov.ph/GEPSNONPILOT/Tender/SplashBidNoticeAbstractUI.aspx?menuIndex=3&amp;refID=7047702&amp;Result=3","7047702")</f>
        <v>0</v>
      </c>
      <c r="B686" t="s">
        <v>83</v>
      </c>
      <c r="C686" t="s">
        <v>3764</v>
      </c>
      <c r="D686" t="s">
        <v>16220</v>
      </c>
      <c r="E686" t="s">
        <v>16949</v>
      </c>
      <c r="F686" t="s">
        <v>28198</v>
      </c>
      <c r="G686" t="s">
        <v>28205</v>
      </c>
      <c r="H686" t="s">
        <v>28215</v>
      </c>
      <c r="I686" t="s">
        <v>28222</v>
      </c>
      <c r="J686" t="s">
        <v>28859</v>
      </c>
      <c r="K686" t="s">
        <v>36701</v>
      </c>
      <c r="M686" t="s">
        <v>37055</v>
      </c>
      <c r="N686" t="s">
        <v>40436</v>
      </c>
      <c r="O686" t="s">
        <v>40437</v>
      </c>
      <c r="P686">
        <v>0</v>
      </c>
      <c r="Q686">
        <v>4</v>
      </c>
      <c r="R686" t="s">
        <v>40438</v>
      </c>
      <c r="S686" t="s">
        <v>40582</v>
      </c>
      <c r="T686" t="s">
        <v>42125</v>
      </c>
      <c r="U686" t="s">
        <v>43230</v>
      </c>
      <c r="V686" t="s">
        <v>53792</v>
      </c>
      <c r="W686" t="s">
        <v>37055</v>
      </c>
      <c r="X686" t="s">
        <v>40439</v>
      </c>
    </row>
    <row r="687" spans="1:24">
      <c r="A687">
        <f>HYPERLINK("https://www.philgeps.gov.ph/GEPSNONPILOT/Tender/SplashBidNoticeAbstractUI.aspx?menuIndex=3&amp;refID=7047708&amp;Result=3","7047708")</f>
        <v>0</v>
      </c>
      <c r="B687" t="s">
        <v>368</v>
      </c>
      <c r="C687" t="s">
        <v>3765</v>
      </c>
      <c r="D687" t="s">
        <v>16232</v>
      </c>
      <c r="E687" t="s">
        <v>16950</v>
      </c>
      <c r="F687" t="s">
        <v>28198</v>
      </c>
      <c r="G687" t="s">
        <v>28205</v>
      </c>
      <c r="H687" t="s">
        <v>28215</v>
      </c>
      <c r="I687" t="s">
        <v>28228</v>
      </c>
      <c r="J687" t="s">
        <v>28860</v>
      </c>
      <c r="K687" t="s">
        <v>36701</v>
      </c>
      <c r="M687" t="s">
        <v>37347</v>
      </c>
      <c r="N687" t="s">
        <v>40436</v>
      </c>
      <c r="O687" t="s">
        <v>40437</v>
      </c>
      <c r="P687">
        <v>0</v>
      </c>
      <c r="Q687">
        <v>0</v>
      </c>
      <c r="R687" t="s">
        <v>40438</v>
      </c>
      <c r="S687" t="s">
        <v>40582</v>
      </c>
      <c r="T687" t="s">
        <v>42143</v>
      </c>
      <c r="U687" t="s">
        <v>43231</v>
      </c>
      <c r="V687" t="s">
        <v>53869</v>
      </c>
      <c r="W687" t="s">
        <v>37347</v>
      </c>
      <c r="X687" t="s">
        <v>40439</v>
      </c>
    </row>
    <row r="688" spans="1:24">
      <c r="A688">
        <f>HYPERLINK("https://www.philgeps.gov.ph/GEPSNONPILOT/Tender/SplashBidNoticeAbstractUI.aspx?menuIndex=3&amp;refID=7047692&amp;Result=3","7047692")</f>
        <v>0</v>
      </c>
      <c r="B688" t="s">
        <v>156</v>
      </c>
      <c r="C688" t="s">
        <v>3766</v>
      </c>
      <c r="D688" t="s">
        <v>16239</v>
      </c>
      <c r="E688" t="s">
        <v>16951</v>
      </c>
      <c r="F688" t="s">
        <v>28198</v>
      </c>
      <c r="G688" t="s">
        <v>28207</v>
      </c>
      <c r="H688" t="s">
        <v>28215</v>
      </c>
      <c r="I688" t="s">
        <v>28281</v>
      </c>
      <c r="J688" t="s">
        <v>28861</v>
      </c>
      <c r="K688" t="s">
        <v>36688</v>
      </c>
      <c r="M688" t="s">
        <v>37348</v>
      </c>
      <c r="N688" t="s">
        <v>40436</v>
      </c>
      <c r="O688" t="s">
        <v>40437</v>
      </c>
      <c r="P688">
        <v>0</v>
      </c>
      <c r="Q688">
        <v>2</v>
      </c>
      <c r="R688" t="s">
        <v>40438</v>
      </c>
      <c r="S688" t="s">
        <v>40582</v>
      </c>
      <c r="T688" t="s">
        <v>42119</v>
      </c>
      <c r="U688" t="s">
        <v>43232</v>
      </c>
      <c r="W688" t="s">
        <v>37348</v>
      </c>
      <c r="X688" t="s">
        <v>40439</v>
      </c>
    </row>
    <row r="689" spans="1:24">
      <c r="A689">
        <f>HYPERLINK("https://www.philgeps.gov.ph/GEPSNONPILOT/Tender/SplashBidNoticeAbstractUI.aspx?menuIndex=3&amp;refID=7047705&amp;Result=3","7047705")</f>
        <v>0</v>
      </c>
      <c r="B689" t="s">
        <v>369</v>
      </c>
      <c r="C689" t="s">
        <v>3767</v>
      </c>
      <c r="D689" t="s">
        <v>16188</v>
      </c>
      <c r="E689" t="s">
        <v>16952</v>
      </c>
      <c r="F689" t="s">
        <v>28198</v>
      </c>
      <c r="G689" t="s">
        <v>28207</v>
      </c>
      <c r="H689" t="s">
        <v>28215</v>
      </c>
      <c r="I689" t="s">
        <v>3774</v>
      </c>
      <c r="J689" t="s">
        <v>28862</v>
      </c>
      <c r="K689" t="s">
        <v>36693</v>
      </c>
      <c r="M689" t="s">
        <v>37349</v>
      </c>
      <c r="N689" t="s">
        <v>40436</v>
      </c>
      <c r="O689" t="s">
        <v>40437</v>
      </c>
      <c r="P689">
        <v>0</v>
      </c>
      <c r="Q689">
        <v>0</v>
      </c>
      <c r="R689" t="s">
        <v>40438</v>
      </c>
      <c r="S689" t="s">
        <v>40582</v>
      </c>
      <c r="T689" t="s">
        <v>42119</v>
      </c>
      <c r="U689" t="s">
        <v>43233</v>
      </c>
      <c r="W689" t="s">
        <v>37349</v>
      </c>
      <c r="X689" t="s">
        <v>40439</v>
      </c>
    </row>
    <row r="690" spans="1:24">
      <c r="A690">
        <f>HYPERLINK("https://www.philgeps.gov.ph/GEPSNONPILOT/Tender/SplashBidNoticeAbstractUI.aspx?menuIndex=3&amp;refID=7047723&amp;Result=3","7047723")</f>
        <v>0</v>
      </c>
      <c r="B690" t="s">
        <v>213</v>
      </c>
      <c r="C690" t="s">
        <v>3768</v>
      </c>
      <c r="D690" t="s">
        <v>16187</v>
      </c>
      <c r="E690" t="s">
        <v>16953</v>
      </c>
      <c r="F690" t="s">
        <v>28198</v>
      </c>
      <c r="G690" t="s">
        <v>28206</v>
      </c>
      <c r="H690" t="s">
        <v>28215</v>
      </c>
      <c r="I690" t="s">
        <v>28283</v>
      </c>
      <c r="J690" t="s">
        <v>28414</v>
      </c>
      <c r="K690" t="s">
        <v>36693</v>
      </c>
      <c r="M690" t="s">
        <v>37189</v>
      </c>
      <c r="N690" t="s">
        <v>40436</v>
      </c>
      <c r="O690" t="s">
        <v>40437</v>
      </c>
      <c r="P690">
        <v>0</v>
      </c>
      <c r="Q690">
        <v>0</v>
      </c>
      <c r="R690" t="s">
        <v>40438</v>
      </c>
      <c r="S690" t="s">
        <v>40582</v>
      </c>
      <c r="T690" t="s">
        <v>42146</v>
      </c>
      <c r="U690" t="s">
        <v>43234</v>
      </c>
      <c r="W690" t="s">
        <v>37189</v>
      </c>
      <c r="X690" t="s">
        <v>40439</v>
      </c>
    </row>
    <row r="691" spans="1:24">
      <c r="A691">
        <f>HYPERLINK("https://www.philgeps.gov.ph/GEPSNONPILOT/Tender/SplashBidNoticeAbstractUI.aspx?menuIndex=3&amp;refID=7047721&amp;Result=3","7047721")</f>
        <v>0</v>
      </c>
      <c r="B691" t="s">
        <v>326</v>
      </c>
      <c r="C691" t="s">
        <v>3676</v>
      </c>
      <c r="D691" t="s">
        <v>16209</v>
      </c>
      <c r="E691" t="s">
        <v>16954</v>
      </c>
      <c r="F691" t="s">
        <v>28198</v>
      </c>
      <c r="G691" t="s">
        <v>28207</v>
      </c>
      <c r="H691" t="s">
        <v>28215</v>
      </c>
      <c r="I691" t="s">
        <v>4200</v>
      </c>
      <c r="J691" t="s">
        <v>28863</v>
      </c>
      <c r="K691" t="s">
        <v>36701</v>
      </c>
      <c r="M691" t="s">
        <v>37304</v>
      </c>
      <c r="N691" t="s">
        <v>40436</v>
      </c>
      <c r="O691" t="s">
        <v>40437</v>
      </c>
      <c r="P691">
        <v>0</v>
      </c>
      <c r="Q691">
        <v>0</v>
      </c>
      <c r="R691" t="s">
        <v>40438</v>
      </c>
      <c r="S691" t="s">
        <v>40582</v>
      </c>
      <c r="T691" t="s">
        <v>42111</v>
      </c>
      <c r="U691" t="s">
        <v>43235</v>
      </c>
      <c r="W691" t="s">
        <v>37304</v>
      </c>
      <c r="X691" t="s">
        <v>40439</v>
      </c>
    </row>
    <row r="692" spans="1:24">
      <c r="A692">
        <f>HYPERLINK("https://www.philgeps.gov.ph/GEPSNONPILOT/Tender/SplashBidNoticeAbstractUI.aspx?menuIndex=3&amp;refID=7047701&amp;Result=3","7047701")</f>
        <v>0</v>
      </c>
      <c r="B692" t="s">
        <v>370</v>
      </c>
      <c r="C692" t="s">
        <v>3769</v>
      </c>
      <c r="D692" t="s">
        <v>16199</v>
      </c>
      <c r="E692" t="s">
        <v>16955</v>
      </c>
      <c r="F692" t="s">
        <v>28198</v>
      </c>
      <c r="G692" t="s">
        <v>28205</v>
      </c>
      <c r="H692" t="s">
        <v>28215</v>
      </c>
      <c r="I692" t="s">
        <v>5100</v>
      </c>
      <c r="J692" t="s">
        <v>28864</v>
      </c>
      <c r="K692" t="s">
        <v>36706</v>
      </c>
      <c r="M692" t="s">
        <v>37350</v>
      </c>
      <c r="N692" t="s">
        <v>40436</v>
      </c>
      <c r="O692" t="s">
        <v>40437</v>
      </c>
      <c r="P692">
        <v>0</v>
      </c>
      <c r="Q692">
        <v>0</v>
      </c>
      <c r="R692" t="s">
        <v>40438</v>
      </c>
      <c r="S692" t="s">
        <v>40582</v>
      </c>
      <c r="T692" t="s">
        <v>42097</v>
      </c>
      <c r="U692" t="s">
        <v>43236</v>
      </c>
      <c r="W692" t="s">
        <v>37350</v>
      </c>
      <c r="X692" t="s">
        <v>40439</v>
      </c>
    </row>
    <row r="693" spans="1:24">
      <c r="A693">
        <f>HYPERLINK("https://www.philgeps.gov.ph/GEPSNONPILOT/Tender/SplashBidNoticeAbstractUI.aspx?menuIndex=3&amp;refID=7047720&amp;Result=3","7047720")</f>
        <v>0</v>
      </c>
      <c r="B693" t="s">
        <v>258</v>
      </c>
      <c r="C693" t="s">
        <v>3770</v>
      </c>
      <c r="D693" t="s">
        <v>16256</v>
      </c>
      <c r="E693" t="s">
        <v>16956</v>
      </c>
      <c r="F693" t="s">
        <v>28198</v>
      </c>
      <c r="G693" t="s">
        <v>28205</v>
      </c>
      <c r="H693" t="s">
        <v>28215</v>
      </c>
      <c r="I693" t="s">
        <v>3774</v>
      </c>
      <c r="J693" t="s">
        <v>28865</v>
      </c>
      <c r="K693" t="s">
        <v>36688</v>
      </c>
      <c r="M693" t="s">
        <v>37234</v>
      </c>
      <c r="N693" t="s">
        <v>40436</v>
      </c>
      <c r="O693" t="s">
        <v>40437</v>
      </c>
      <c r="P693">
        <v>0</v>
      </c>
      <c r="Q693">
        <v>1</v>
      </c>
      <c r="R693" t="s">
        <v>40438</v>
      </c>
      <c r="S693" t="s">
        <v>40582</v>
      </c>
      <c r="T693" t="s">
        <v>42125</v>
      </c>
      <c r="U693" t="s">
        <v>43181</v>
      </c>
      <c r="W693" t="s">
        <v>37234</v>
      </c>
      <c r="X693" t="s">
        <v>40439</v>
      </c>
    </row>
    <row r="694" spans="1:24">
      <c r="A694">
        <f>HYPERLINK("https://www.philgeps.gov.ph/GEPSNONPILOT/Tender/SplashBidNoticeAbstractUI.aspx?menuIndex=3&amp;refID=7047703&amp;Result=3","7047703")</f>
        <v>0</v>
      </c>
      <c r="B694" t="s">
        <v>371</v>
      </c>
      <c r="C694" t="s">
        <v>3771</v>
      </c>
      <c r="D694" t="s">
        <v>16189</v>
      </c>
      <c r="E694" t="s">
        <v>16957</v>
      </c>
      <c r="F694" t="s">
        <v>28198</v>
      </c>
      <c r="G694" t="s">
        <v>28207</v>
      </c>
      <c r="H694" t="s">
        <v>28215</v>
      </c>
      <c r="I694" t="s">
        <v>28238</v>
      </c>
      <c r="J694" t="s">
        <v>28866</v>
      </c>
      <c r="K694" t="s">
        <v>36688</v>
      </c>
      <c r="L694" t="s">
        <v>371</v>
      </c>
      <c r="M694" t="s">
        <v>37351</v>
      </c>
      <c r="N694" t="s">
        <v>40436</v>
      </c>
      <c r="O694" t="s">
        <v>40437</v>
      </c>
      <c r="P694">
        <v>0</v>
      </c>
      <c r="Q694">
        <v>3</v>
      </c>
      <c r="R694" t="s">
        <v>40438</v>
      </c>
      <c r="S694" t="s">
        <v>40582</v>
      </c>
      <c r="T694" t="s">
        <v>42146</v>
      </c>
      <c r="U694" t="s">
        <v>43237</v>
      </c>
      <c r="W694" t="s">
        <v>37351</v>
      </c>
      <c r="X694" t="s">
        <v>40439</v>
      </c>
    </row>
    <row r="695" spans="1:24">
      <c r="A695">
        <f>HYPERLINK("https://www.philgeps.gov.ph/GEPSNONPILOT/Tender/SplashBidNoticeAbstractUI.aspx?menuIndex=3&amp;refID=7047717&amp;Result=3","7047717")</f>
        <v>0</v>
      </c>
      <c r="B695" t="s">
        <v>371</v>
      </c>
      <c r="C695" t="s">
        <v>3772</v>
      </c>
      <c r="D695" t="s">
        <v>16189</v>
      </c>
      <c r="E695" t="s">
        <v>16958</v>
      </c>
      <c r="F695" t="s">
        <v>28198</v>
      </c>
      <c r="G695" t="s">
        <v>28207</v>
      </c>
      <c r="H695" t="s">
        <v>28215</v>
      </c>
      <c r="I695" t="s">
        <v>4219</v>
      </c>
      <c r="J695" t="s">
        <v>28867</v>
      </c>
      <c r="K695" t="s">
        <v>36688</v>
      </c>
      <c r="L695" t="s">
        <v>371</v>
      </c>
      <c r="M695" t="s">
        <v>37351</v>
      </c>
      <c r="N695" t="s">
        <v>40436</v>
      </c>
      <c r="O695" t="s">
        <v>40437</v>
      </c>
      <c r="P695">
        <v>0</v>
      </c>
      <c r="Q695">
        <v>0</v>
      </c>
      <c r="R695" t="s">
        <v>40438</v>
      </c>
      <c r="S695" t="s">
        <v>40582</v>
      </c>
      <c r="T695" t="s">
        <v>42146</v>
      </c>
      <c r="U695" t="s">
        <v>43237</v>
      </c>
      <c r="W695" t="s">
        <v>37351</v>
      </c>
      <c r="X695" t="s">
        <v>40439</v>
      </c>
    </row>
    <row r="696" spans="1:24">
      <c r="A696">
        <f>HYPERLINK("https://www.philgeps.gov.ph/GEPSNONPILOT/Tender/SplashBidNoticeAbstractUI.aspx?menuIndex=3&amp;refID=7047718&amp;Result=3","7047718")</f>
        <v>0</v>
      </c>
      <c r="B696" t="s">
        <v>177</v>
      </c>
      <c r="C696" t="s">
        <v>3773</v>
      </c>
      <c r="D696" t="s">
        <v>16228</v>
      </c>
      <c r="E696" t="s">
        <v>16959</v>
      </c>
      <c r="F696" t="s">
        <v>28198</v>
      </c>
      <c r="G696" t="s">
        <v>28205</v>
      </c>
      <c r="H696" t="s">
        <v>28217</v>
      </c>
      <c r="I696" t="s">
        <v>28222</v>
      </c>
      <c r="J696" t="s">
        <v>28379</v>
      </c>
      <c r="K696" t="s">
        <v>36697</v>
      </c>
      <c r="M696" t="s">
        <v>37152</v>
      </c>
      <c r="N696" t="s">
        <v>40436</v>
      </c>
      <c r="O696" t="s">
        <v>40437</v>
      </c>
      <c r="P696">
        <v>0</v>
      </c>
      <c r="Q696">
        <v>3</v>
      </c>
      <c r="R696" t="s">
        <v>40438</v>
      </c>
      <c r="S696" t="s">
        <v>40582</v>
      </c>
      <c r="T696" t="s">
        <v>42170</v>
      </c>
      <c r="U696" t="s">
        <v>43238</v>
      </c>
      <c r="V696" t="s">
        <v>53870</v>
      </c>
      <c r="W696" t="s">
        <v>37152</v>
      </c>
      <c r="X696" t="s">
        <v>40439</v>
      </c>
    </row>
    <row r="697" spans="1:24">
      <c r="A697">
        <f>HYPERLINK("https://www.philgeps.gov.ph/GEPSNONPILOT/Tender/SplashBidNoticeAbstractUI.aspx?menuIndex=3&amp;refID=7047713&amp;Result=3","7047713")</f>
        <v>0</v>
      </c>
      <c r="B697" t="s">
        <v>243</v>
      </c>
      <c r="C697" t="s">
        <v>3774</v>
      </c>
      <c r="D697" t="s">
        <v>16193</v>
      </c>
      <c r="E697" t="s">
        <v>16960</v>
      </c>
      <c r="F697" t="s">
        <v>28198</v>
      </c>
      <c r="G697" t="s">
        <v>28207</v>
      </c>
      <c r="H697" t="s">
        <v>28215</v>
      </c>
      <c r="I697" t="s">
        <v>3774</v>
      </c>
      <c r="J697" t="s">
        <v>28868</v>
      </c>
      <c r="K697" t="s">
        <v>36688</v>
      </c>
      <c r="M697" t="s">
        <v>37219</v>
      </c>
      <c r="N697" t="s">
        <v>40436</v>
      </c>
      <c r="O697" t="s">
        <v>40437</v>
      </c>
      <c r="P697">
        <v>0</v>
      </c>
      <c r="Q697">
        <v>0</v>
      </c>
      <c r="R697" t="s">
        <v>40438</v>
      </c>
      <c r="S697" t="s">
        <v>40582</v>
      </c>
      <c r="T697" t="s">
        <v>42103</v>
      </c>
      <c r="U697" t="s">
        <v>43239</v>
      </c>
      <c r="W697" t="s">
        <v>37219</v>
      </c>
      <c r="X697" t="s">
        <v>40439</v>
      </c>
    </row>
    <row r="698" spans="1:24">
      <c r="A698">
        <f>HYPERLINK("https://www.philgeps.gov.ph/GEPSNONPILOT/Tender/SplashBidNoticeAbstractUI.aspx?menuIndex=3&amp;refID=7047719&amp;Result=3","7047719")</f>
        <v>0</v>
      </c>
      <c r="B698" t="s">
        <v>341</v>
      </c>
      <c r="C698" t="s">
        <v>3775</v>
      </c>
      <c r="D698" t="s">
        <v>16199</v>
      </c>
      <c r="E698" t="s">
        <v>16961</v>
      </c>
      <c r="F698" t="s">
        <v>28198</v>
      </c>
      <c r="G698" t="s">
        <v>28205</v>
      </c>
      <c r="H698" t="s">
        <v>28215</v>
      </c>
      <c r="I698" t="s">
        <v>28224</v>
      </c>
      <c r="J698" t="s">
        <v>28869</v>
      </c>
      <c r="K698" t="s">
        <v>36689</v>
      </c>
      <c r="M698" t="s">
        <v>37319</v>
      </c>
      <c r="N698" t="s">
        <v>40436</v>
      </c>
      <c r="O698" t="s">
        <v>40437</v>
      </c>
      <c r="P698">
        <v>0</v>
      </c>
      <c r="Q698">
        <v>1</v>
      </c>
      <c r="R698" t="s">
        <v>40438</v>
      </c>
      <c r="S698" t="s">
        <v>40582</v>
      </c>
      <c r="T698" t="s">
        <v>42211</v>
      </c>
      <c r="U698" t="s">
        <v>43240</v>
      </c>
      <c r="W698" t="s">
        <v>37319</v>
      </c>
      <c r="X698" t="s">
        <v>40439</v>
      </c>
    </row>
    <row r="699" spans="1:24">
      <c r="A699">
        <f>HYPERLINK("https://www.philgeps.gov.ph/GEPSNONPILOT/Tender/SplashBidNoticeAbstractUI.aspx?menuIndex=3&amp;refID=7047714&amp;Result=3","7047714")</f>
        <v>0</v>
      </c>
      <c r="B699" t="s">
        <v>351</v>
      </c>
      <c r="C699" t="s">
        <v>3776</v>
      </c>
      <c r="D699" t="s">
        <v>16258</v>
      </c>
      <c r="E699" t="s">
        <v>16962</v>
      </c>
      <c r="F699" t="s">
        <v>28198</v>
      </c>
      <c r="G699" t="s">
        <v>28209</v>
      </c>
      <c r="H699" t="s">
        <v>28215</v>
      </c>
      <c r="I699" t="s">
        <v>5100</v>
      </c>
      <c r="J699" t="s">
        <v>28870</v>
      </c>
      <c r="K699" t="s">
        <v>36706</v>
      </c>
      <c r="M699" t="s">
        <v>37330</v>
      </c>
      <c r="N699" t="s">
        <v>40436</v>
      </c>
      <c r="O699" t="s">
        <v>40437</v>
      </c>
      <c r="P699">
        <v>0</v>
      </c>
      <c r="Q699">
        <v>0</v>
      </c>
      <c r="R699" t="s">
        <v>40438</v>
      </c>
      <c r="S699" t="s">
        <v>40582</v>
      </c>
      <c r="T699" t="s">
        <v>42142</v>
      </c>
      <c r="U699" t="s">
        <v>43241</v>
      </c>
      <c r="W699" t="s">
        <v>37330</v>
      </c>
      <c r="X699" t="s">
        <v>40439</v>
      </c>
    </row>
    <row r="700" spans="1:24">
      <c r="A700">
        <f>HYPERLINK("https://www.philgeps.gov.ph/GEPSNONPILOT/Tender/SplashBidNoticeAbstractUI.aspx?menuIndex=3&amp;refID=7047716&amp;Result=3","7047716")</f>
        <v>0</v>
      </c>
      <c r="B700" t="s">
        <v>372</v>
      </c>
      <c r="C700" t="s">
        <v>3777</v>
      </c>
      <c r="D700" t="s">
        <v>16226</v>
      </c>
      <c r="E700" t="s">
        <v>16570</v>
      </c>
      <c r="F700" t="s">
        <v>28198</v>
      </c>
      <c r="G700" t="s">
        <v>28209</v>
      </c>
      <c r="H700" t="s">
        <v>28215</v>
      </c>
      <c r="I700" t="s">
        <v>4505</v>
      </c>
      <c r="J700" t="s">
        <v>28871</v>
      </c>
      <c r="K700" t="s">
        <v>36707</v>
      </c>
      <c r="M700" t="s">
        <v>37352</v>
      </c>
      <c r="N700" t="s">
        <v>40436</v>
      </c>
      <c r="O700" t="s">
        <v>40437</v>
      </c>
      <c r="P700">
        <v>0</v>
      </c>
      <c r="Q700">
        <v>1</v>
      </c>
      <c r="R700" t="s">
        <v>40438</v>
      </c>
      <c r="S700" t="s">
        <v>40582</v>
      </c>
      <c r="T700" t="s">
        <v>42160</v>
      </c>
      <c r="U700" t="s">
        <v>43242</v>
      </c>
      <c r="W700" t="s">
        <v>37352</v>
      </c>
      <c r="X700" t="s">
        <v>40439</v>
      </c>
    </row>
    <row r="701" spans="1:24">
      <c r="A701">
        <f>HYPERLINK("https://www.philgeps.gov.ph/GEPSNONPILOT/Tender/SplashBidNoticeAbstractUI.aspx?menuIndex=3&amp;refID=7047724&amp;Result=3","7047724")</f>
        <v>0</v>
      </c>
      <c r="B701" t="s">
        <v>355</v>
      </c>
      <c r="C701" t="s">
        <v>3778</v>
      </c>
      <c r="D701" t="s">
        <v>16196</v>
      </c>
      <c r="E701" t="s">
        <v>16963</v>
      </c>
      <c r="F701" t="s">
        <v>28198</v>
      </c>
      <c r="G701" t="s">
        <v>28205</v>
      </c>
      <c r="H701" t="s">
        <v>28214</v>
      </c>
      <c r="I701" t="s">
        <v>3797</v>
      </c>
      <c r="J701" t="s">
        <v>28872</v>
      </c>
      <c r="K701" t="s">
        <v>36701</v>
      </c>
      <c r="M701" t="s">
        <v>37334</v>
      </c>
      <c r="N701" t="s">
        <v>40436</v>
      </c>
      <c r="O701" t="s">
        <v>40437</v>
      </c>
      <c r="P701">
        <v>0</v>
      </c>
      <c r="Q701">
        <v>0</v>
      </c>
      <c r="R701" t="s">
        <v>40438</v>
      </c>
      <c r="S701" t="s">
        <v>40582</v>
      </c>
      <c r="T701" t="s">
        <v>42098</v>
      </c>
      <c r="U701" t="s">
        <v>43243</v>
      </c>
      <c r="V701" t="s">
        <v>53865</v>
      </c>
      <c r="W701" t="s">
        <v>37334</v>
      </c>
      <c r="X701" t="s">
        <v>40439</v>
      </c>
    </row>
    <row r="702" spans="1:24">
      <c r="A702">
        <f>HYPERLINK("https://www.philgeps.gov.ph/GEPSNONPILOT/Tender/SplashBidNoticeAbstractUI.aspx?menuIndex=3&amp;refID=7047715&amp;Result=3","7047715")</f>
        <v>0</v>
      </c>
      <c r="B702" t="s">
        <v>254</v>
      </c>
      <c r="C702" t="s">
        <v>3779</v>
      </c>
      <c r="D702" t="s">
        <v>16255</v>
      </c>
      <c r="E702" t="s">
        <v>16964</v>
      </c>
      <c r="F702" t="s">
        <v>28198</v>
      </c>
      <c r="G702" t="s">
        <v>28205</v>
      </c>
      <c r="H702" t="s">
        <v>28215</v>
      </c>
      <c r="I702" t="s">
        <v>5100</v>
      </c>
      <c r="J702" t="s">
        <v>28873</v>
      </c>
      <c r="K702" t="s">
        <v>36730</v>
      </c>
      <c r="L702" t="s">
        <v>254</v>
      </c>
      <c r="M702" t="s">
        <v>37230</v>
      </c>
      <c r="N702" t="s">
        <v>40436</v>
      </c>
      <c r="O702" t="s">
        <v>40437</v>
      </c>
      <c r="P702">
        <v>0</v>
      </c>
      <c r="Q702">
        <v>0</v>
      </c>
      <c r="R702" t="s">
        <v>40438</v>
      </c>
      <c r="S702" t="s">
        <v>40582</v>
      </c>
      <c r="T702" t="s">
        <v>42212</v>
      </c>
      <c r="U702" t="s">
        <v>43014</v>
      </c>
      <c r="V702" t="s">
        <v>53835</v>
      </c>
      <c r="W702" t="s">
        <v>37230</v>
      </c>
      <c r="X702" t="s">
        <v>40439</v>
      </c>
    </row>
    <row r="703" spans="1:24">
      <c r="A703">
        <f>HYPERLINK("https://www.philgeps.gov.ph/GEPSNONPILOT/Tender/SplashBidNoticeAbstractUI.aspx?menuIndex=3&amp;refID=7047732&amp;Result=3","7047732")</f>
        <v>0</v>
      </c>
      <c r="B703" t="s">
        <v>371</v>
      </c>
      <c r="C703" t="s">
        <v>3780</v>
      </c>
      <c r="D703" t="s">
        <v>16189</v>
      </c>
      <c r="E703" t="s">
        <v>16965</v>
      </c>
      <c r="F703" t="s">
        <v>28198</v>
      </c>
      <c r="G703" t="s">
        <v>28207</v>
      </c>
      <c r="H703" t="s">
        <v>28214</v>
      </c>
      <c r="I703" t="s">
        <v>3797</v>
      </c>
      <c r="J703" t="s">
        <v>28874</v>
      </c>
      <c r="K703" t="s">
        <v>36701</v>
      </c>
      <c r="L703" t="s">
        <v>371</v>
      </c>
      <c r="M703" t="s">
        <v>37351</v>
      </c>
      <c r="N703" t="s">
        <v>40436</v>
      </c>
      <c r="O703" t="s">
        <v>40437</v>
      </c>
      <c r="P703">
        <v>0</v>
      </c>
      <c r="Q703">
        <v>1</v>
      </c>
      <c r="R703" t="s">
        <v>40438</v>
      </c>
      <c r="S703" t="s">
        <v>40582</v>
      </c>
      <c r="T703" t="s">
        <v>42146</v>
      </c>
      <c r="U703" t="s">
        <v>43244</v>
      </c>
      <c r="W703" t="s">
        <v>37351</v>
      </c>
      <c r="X703" t="s">
        <v>40439</v>
      </c>
    </row>
    <row r="704" spans="1:24">
      <c r="A704">
        <f>HYPERLINK("https://www.philgeps.gov.ph/GEPSNONPILOT/Tender/SplashBidNoticeAbstractUI.aspx?menuIndex=3&amp;refID=7047728&amp;Result=3","7047728")</f>
        <v>0</v>
      </c>
      <c r="B704" t="s">
        <v>243</v>
      </c>
      <c r="C704" t="s">
        <v>3781</v>
      </c>
      <c r="D704" t="s">
        <v>16193</v>
      </c>
      <c r="E704" t="s">
        <v>16966</v>
      </c>
      <c r="F704" t="s">
        <v>28198</v>
      </c>
      <c r="G704" t="s">
        <v>28207</v>
      </c>
      <c r="H704" t="s">
        <v>28215</v>
      </c>
      <c r="I704" t="s">
        <v>5103</v>
      </c>
      <c r="J704" t="s">
        <v>28875</v>
      </c>
      <c r="K704" t="s">
        <v>36688</v>
      </c>
      <c r="M704" t="s">
        <v>37219</v>
      </c>
      <c r="N704" t="s">
        <v>40436</v>
      </c>
      <c r="O704" t="s">
        <v>40437</v>
      </c>
      <c r="P704">
        <v>0</v>
      </c>
      <c r="Q704">
        <v>1</v>
      </c>
      <c r="R704" t="s">
        <v>40438</v>
      </c>
      <c r="S704" t="s">
        <v>40582</v>
      </c>
      <c r="T704" t="s">
        <v>42103</v>
      </c>
      <c r="U704" t="s">
        <v>43245</v>
      </c>
      <c r="W704" t="s">
        <v>37219</v>
      </c>
      <c r="X704" t="s">
        <v>40439</v>
      </c>
    </row>
    <row r="705" spans="1:24">
      <c r="A705">
        <f>HYPERLINK("https://www.philgeps.gov.ph/GEPSNONPILOT/Tender/SplashBidNoticeAbstractUI.aspx?menuIndex=3&amp;refID=7047735&amp;Result=3","7047735")</f>
        <v>0</v>
      </c>
      <c r="B705" t="s">
        <v>294</v>
      </c>
      <c r="C705" t="s">
        <v>3782</v>
      </c>
      <c r="D705" t="s">
        <v>16213</v>
      </c>
      <c r="E705" t="s">
        <v>16571</v>
      </c>
      <c r="F705" t="s">
        <v>28198</v>
      </c>
      <c r="G705" t="s">
        <v>28205</v>
      </c>
      <c r="H705" t="s">
        <v>28214</v>
      </c>
      <c r="I705" t="s">
        <v>3797</v>
      </c>
      <c r="J705" t="s">
        <v>28390</v>
      </c>
      <c r="K705" t="s">
        <v>36740</v>
      </c>
      <c r="M705" t="s">
        <v>37271</v>
      </c>
      <c r="N705" t="s">
        <v>40436</v>
      </c>
      <c r="O705" t="s">
        <v>40437</v>
      </c>
      <c r="P705">
        <v>0</v>
      </c>
      <c r="Q705">
        <v>1</v>
      </c>
      <c r="R705" t="s">
        <v>40438</v>
      </c>
      <c r="S705" t="s">
        <v>40582</v>
      </c>
      <c r="T705" t="s">
        <v>42108</v>
      </c>
      <c r="U705" t="s">
        <v>43246</v>
      </c>
      <c r="W705" t="s">
        <v>37271</v>
      </c>
      <c r="X705" t="s">
        <v>40439</v>
      </c>
    </row>
    <row r="706" spans="1:24">
      <c r="A706">
        <f>HYPERLINK("https://www.philgeps.gov.ph/GEPSNONPILOT/Tender/SplashBidNoticeAbstractUI.aspx?menuIndex=3&amp;refID=7047731&amp;Result=3","7047731")</f>
        <v>0</v>
      </c>
      <c r="B706" t="s">
        <v>373</v>
      </c>
      <c r="C706" t="s">
        <v>3783</v>
      </c>
      <c r="D706" t="s">
        <v>16210</v>
      </c>
      <c r="E706" t="s">
        <v>16625</v>
      </c>
      <c r="F706" t="s">
        <v>28200</v>
      </c>
      <c r="G706" t="s">
        <v>28207</v>
      </c>
      <c r="H706" t="s">
        <v>28215</v>
      </c>
      <c r="I706" t="s">
        <v>28260</v>
      </c>
      <c r="J706" t="s">
        <v>28876</v>
      </c>
      <c r="K706" t="s">
        <v>36687</v>
      </c>
      <c r="M706" t="s">
        <v>37353</v>
      </c>
      <c r="N706" t="s">
        <v>40436</v>
      </c>
      <c r="O706" t="s">
        <v>40437</v>
      </c>
      <c r="P706">
        <v>0</v>
      </c>
      <c r="Q706">
        <v>1</v>
      </c>
      <c r="R706" t="s">
        <v>40438</v>
      </c>
      <c r="S706" t="s">
        <v>40582</v>
      </c>
      <c r="T706" t="s">
        <v>42213</v>
      </c>
      <c r="U706" t="s">
        <v>43247</v>
      </c>
      <c r="W706" t="s">
        <v>37353</v>
      </c>
      <c r="X706" t="s">
        <v>40439</v>
      </c>
    </row>
    <row r="707" spans="1:24">
      <c r="A707">
        <f>HYPERLINK("https://www.philgeps.gov.ph/GEPSNONPILOT/Tender/SplashBidNoticeAbstractUI.aspx?menuIndex=3&amp;refID=7047741&amp;Result=3","7047741")</f>
        <v>0</v>
      </c>
      <c r="B707" t="s">
        <v>374</v>
      </c>
      <c r="C707" t="s">
        <v>3784</v>
      </c>
      <c r="D707" t="s">
        <v>16214</v>
      </c>
      <c r="E707" t="s">
        <v>16967</v>
      </c>
      <c r="F707" t="s">
        <v>28198</v>
      </c>
      <c r="G707" t="s">
        <v>28207</v>
      </c>
      <c r="H707" t="s">
        <v>28215</v>
      </c>
      <c r="I707" t="s">
        <v>5100</v>
      </c>
      <c r="J707" t="s">
        <v>28877</v>
      </c>
      <c r="K707" t="s">
        <v>36706</v>
      </c>
      <c r="M707" t="s">
        <v>37354</v>
      </c>
      <c r="N707" t="s">
        <v>40436</v>
      </c>
      <c r="O707" t="s">
        <v>40437</v>
      </c>
      <c r="P707">
        <v>0</v>
      </c>
      <c r="Q707">
        <v>0</v>
      </c>
      <c r="R707" t="s">
        <v>40438</v>
      </c>
      <c r="S707" t="s">
        <v>40582</v>
      </c>
      <c r="T707" t="s">
        <v>42113</v>
      </c>
      <c r="U707" t="s">
        <v>43248</v>
      </c>
      <c r="W707" t="s">
        <v>37354</v>
      </c>
      <c r="X707" t="s">
        <v>40439</v>
      </c>
    </row>
    <row r="708" spans="1:24">
      <c r="A708">
        <f>HYPERLINK("https://www.philgeps.gov.ph/GEPSNONPILOT/Tender/SplashBidNoticeAbstractUI.aspx?menuIndex=3&amp;refID=7047736&amp;Result=3","7047736")</f>
        <v>0</v>
      </c>
      <c r="B708" t="s">
        <v>375</v>
      </c>
      <c r="C708" t="s">
        <v>3785</v>
      </c>
      <c r="E708" t="s">
        <v>16968</v>
      </c>
      <c r="F708" t="s">
        <v>28198</v>
      </c>
      <c r="G708" t="s">
        <v>28205</v>
      </c>
      <c r="H708" t="s">
        <v>28214</v>
      </c>
      <c r="I708" t="s">
        <v>3797</v>
      </c>
      <c r="J708" t="s">
        <v>28406</v>
      </c>
      <c r="K708" t="s">
        <v>36689</v>
      </c>
      <c r="M708" t="s">
        <v>37355</v>
      </c>
      <c r="N708" t="s">
        <v>40436</v>
      </c>
      <c r="O708" t="s">
        <v>40437</v>
      </c>
      <c r="P708">
        <v>0</v>
      </c>
      <c r="Q708">
        <v>0</v>
      </c>
      <c r="R708" t="s">
        <v>40438</v>
      </c>
      <c r="S708" t="s">
        <v>40582</v>
      </c>
      <c r="T708" t="s">
        <v>42214</v>
      </c>
      <c r="U708" t="s">
        <v>43249</v>
      </c>
      <c r="W708" t="s">
        <v>37355</v>
      </c>
      <c r="X708" t="s">
        <v>40439</v>
      </c>
    </row>
    <row r="709" spans="1:24">
      <c r="A709">
        <f>HYPERLINK("https://www.philgeps.gov.ph/GEPSNONPILOT/Tender/SplashBidNoticeAbstractUI.aspx?menuIndex=3&amp;refID=7047729&amp;Result=3","7047729")</f>
        <v>0</v>
      </c>
      <c r="B709" t="s">
        <v>363</v>
      </c>
      <c r="C709" t="s">
        <v>3786</v>
      </c>
      <c r="D709" t="s">
        <v>16190</v>
      </c>
      <c r="E709" t="s">
        <v>16969</v>
      </c>
      <c r="F709" t="s">
        <v>28198</v>
      </c>
      <c r="G709" t="s">
        <v>28207</v>
      </c>
      <c r="H709" t="s">
        <v>28215</v>
      </c>
      <c r="I709" t="s">
        <v>28256</v>
      </c>
      <c r="J709" t="s">
        <v>28878</v>
      </c>
      <c r="K709" t="s">
        <v>36698</v>
      </c>
      <c r="M709" t="s">
        <v>37342</v>
      </c>
      <c r="N709" t="s">
        <v>40436</v>
      </c>
      <c r="O709" t="s">
        <v>40437</v>
      </c>
      <c r="P709">
        <v>0</v>
      </c>
      <c r="Q709">
        <v>3</v>
      </c>
      <c r="R709" t="s">
        <v>40438</v>
      </c>
      <c r="S709" t="s">
        <v>40582</v>
      </c>
      <c r="T709" t="s">
        <v>42119</v>
      </c>
      <c r="U709" t="s">
        <v>43250</v>
      </c>
      <c r="W709" t="s">
        <v>37342</v>
      </c>
      <c r="X709" t="s">
        <v>40439</v>
      </c>
    </row>
    <row r="710" spans="1:24">
      <c r="A710">
        <f>HYPERLINK("https://www.philgeps.gov.ph/GEPSNONPILOT/Tender/SplashBidNoticeAbstractUI.aspx?menuIndex=3&amp;refID=7047739&amp;Result=3","7047739")</f>
        <v>0</v>
      </c>
      <c r="B710" t="s">
        <v>367</v>
      </c>
      <c r="C710" t="s">
        <v>3787</v>
      </c>
      <c r="D710" t="s">
        <v>16234</v>
      </c>
      <c r="E710" t="s">
        <v>16473</v>
      </c>
      <c r="F710" t="s">
        <v>28198</v>
      </c>
      <c r="G710" t="s">
        <v>28205</v>
      </c>
      <c r="H710" t="s">
        <v>28215</v>
      </c>
      <c r="I710" t="s">
        <v>4200</v>
      </c>
      <c r="J710" t="s">
        <v>28879</v>
      </c>
      <c r="K710" t="s">
        <v>36701</v>
      </c>
      <c r="M710" t="s">
        <v>37346</v>
      </c>
      <c r="N710" t="s">
        <v>40436</v>
      </c>
      <c r="O710" t="s">
        <v>40437</v>
      </c>
      <c r="P710">
        <v>0</v>
      </c>
      <c r="Q710">
        <v>0</v>
      </c>
      <c r="R710" t="s">
        <v>40438</v>
      </c>
      <c r="S710" t="s">
        <v>40582</v>
      </c>
      <c r="T710" t="s">
        <v>42126</v>
      </c>
      <c r="U710" t="s">
        <v>43227</v>
      </c>
      <c r="W710" t="s">
        <v>37346</v>
      </c>
      <c r="X710" t="s">
        <v>40439</v>
      </c>
    </row>
    <row r="711" spans="1:24">
      <c r="A711">
        <f>HYPERLINK("https://www.philgeps.gov.ph/GEPSNONPILOT/Tender/SplashBidNoticeAbstractUI.aspx?menuIndex=3&amp;refID=7047740&amp;Result=3","7047740")</f>
        <v>0</v>
      </c>
      <c r="B711" t="s">
        <v>343</v>
      </c>
      <c r="C711" t="s">
        <v>3788</v>
      </c>
      <c r="D711" t="s">
        <v>16235</v>
      </c>
      <c r="E711" t="s">
        <v>16970</v>
      </c>
      <c r="F711" t="s">
        <v>28198</v>
      </c>
      <c r="G711" t="s">
        <v>28207</v>
      </c>
      <c r="H711" t="s">
        <v>28215</v>
      </c>
      <c r="I711" t="s">
        <v>28281</v>
      </c>
      <c r="J711" t="s">
        <v>28880</v>
      </c>
      <c r="K711" t="s">
        <v>36687</v>
      </c>
      <c r="M711" t="s">
        <v>37322</v>
      </c>
      <c r="N711" t="s">
        <v>40436</v>
      </c>
      <c r="O711" t="s">
        <v>40437</v>
      </c>
      <c r="P711">
        <v>0</v>
      </c>
      <c r="Q711">
        <v>1</v>
      </c>
      <c r="R711" t="s">
        <v>40438</v>
      </c>
      <c r="S711" t="s">
        <v>40582</v>
      </c>
      <c r="T711" t="s">
        <v>42128</v>
      </c>
      <c r="U711" t="s">
        <v>43251</v>
      </c>
      <c r="W711" t="s">
        <v>37322</v>
      </c>
      <c r="X711" t="s">
        <v>40439</v>
      </c>
    </row>
    <row r="712" spans="1:24">
      <c r="A712">
        <f>HYPERLINK("https://www.philgeps.gov.ph/GEPSNONPILOT/Tender/SplashBidNoticeAbstractUI.aspx?menuIndex=3&amp;refID=7047746&amp;Result=3","7047746")</f>
        <v>0</v>
      </c>
      <c r="B712" t="s">
        <v>363</v>
      </c>
      <c r="C712" t="s">
        <v>3789</v>
      </c>
      <c r="E712" t="s">
        <v>16971</v>
      </c>
      <c r="F712" t="s">
        <v>28198</v>
      </c>
      <c r="G712" t="s">
        <v>28207</v>
      </c>
      <c r="H712" t="s">
        <v>28215</v>
      </c>
      <c r="I712" t="s">
        <v>5100</v>
      </c>
      <c r="J712" t="s">
        <v>28881</v>
      </c>
      <c r="K712" t="s">
        <v>36698</v>
      </c>
      <c r="M712" t="s">
        <v>37342</v>
      </c>
      <c r="N712" t="s">
        <v>40436</v>
      </c>
      <c r="O712" t="s">
        <v>40437</v>
      </c>
      <c r="P712">
        <v>0</v>
      </c>
      <c r="Q712">
        <v>0</v>
      </c>
      <c r="R712" t="s">
        <v>40438</v>
      </c>
      <c r="S712" t="s">
        <v>40582</v>
      </c>
      <c r="T712" t="s">
        <v>42142</v>
      </c>
      <c r="U712" t="s">
        <v>43252</v>
      </c>
      <c r="W712" t="s">
        <v>37342</v>
      </c>
      <c r="X712" t="s">
        <v>40439</v>
      </c>
    </row>
    <row r="713" spans="1:24">
      <c r="A713">
        <f>HYPERLINK("https://www.philgeps.gov.ph/GEPSNONPILOT/Tender/SplashBidNoticeAbstractUI.aspx?menuIndex=3&amp;refID=7047727&amp;Result=3","7047727")</f>
        <v>0</v>
      </c>
      <c r="B713" t="s">
        <v>376</v>
      </c>
      <c r="C713" t="s">
        <v>3790</v>
      </c>
      <c r="D713" t="s">
        <v>16255</v>
      </c>
      <c r="E713" t="s">
        <v>16972</v>
      </c>
      <c r="F713" t="s">
        <v>28198</v>
      </c>
      <c r="G713" t="s">
        <v>28207</v>
      </c>
      <c r="H713" t="s">
        <v>28215</v>
      </c>
      <c r="I713" t="s">
        <v>28237</v>
      </c>
      <c r="J713" t="s">
        <v>28882</v>
      </c>
      <c r="K713" t="s">
        <v>36701</v>
      </c>
      <c r="M713" t="s">
        <v>37356</v>
      </c>
      <c r="N713" t="s">
        <v>40436</v>
      </c>
      <c r="O713" t="s">
        <v>40437</v>
      </c>
      <c r="P713">
        <v>0</v>
      </c>
      <c r="Q713">
        <v>0</v>
      </c>
      <c r="R713" t="s">
        <v>40438</v>
      </c>
      <c r="S713" t="s">
        <v>40582</v>
      </c>
      <c r="T713" t="s">
        <v>42103</v>
      </c>
      <c r="U713" t="s">
        <v>43253</v>
      </c>
      <c r="W713" t="s">
        <v>37356</v>
      </c>
      <c r="X713" t="s">
        <v>40439</v>
      </c>
    </row>
    <row r="714" spans="1:24">
      <c r="A714">
        <f>HYPERLINK("https://www.philgeps.gov.ph/GEPSNONPILOT/Tender/SplashBidNoticeAbstractUI.aspx?menuIndex=3&amp;refID=7047737&amp;Result=3","7047737")</f>
        <v>0</v>
      </c>
      <c r="B714" t="s">
        <v>377</v>
      </c>
      <c r="C714" t="s">
        <v>3791</v>
      </c>
      <c r="D714" t="s">
        <v>16204</v>
      </c>
      <c r="E714" t="s">
        <v>16973</v>
      </c>
      <c r="F714" t="s">
        <v>28198</v>
      </c>
      <c r="G714" t="s">
        <v>28207</v>
      </c>
      <c r="H714" t="s">
        <v>28215</v>
      </c>
      <c r="I714" t="s">
        <v>28224</v>
      </c>
      <c r="J714" t="s">
        <v>28680</v>
      </c>
      <c r="K714" t="s">
        <v>36689</v>
      </c>
      <c r="L714" t="s">
        <v>377</v>
      </c>
      <c r="M714" t="s">
        <v>37357</v>
      </c>
      <c r="N714" t="s">
        <v>40436</v>
      </c>
      <c r="O714" t="s">
        <v>40437</v>
      </c>
      <c r="P714">
        <v>0</v>
      </c>
      <c r="Q714">
        <v>1</v>
      </c>
      <c r="R714" t="s">
        <v>40438</v>
      </c>
      <c r="S714" t="s">
        <v>40582</v>
      </c>
      <c r="T714" t="s">
        <v>42124</v>
      </c>
      <c r="U714" t="s">
        <v>43254</v>
      </c>
      <c r="W714" t="s">
        <v>37357</v>
      </c>
      <c r="X714" t="s">
        <v>40439</v>
      </c>
    </row>
    <row r="715" spans="1:24">
      <c r="A715">
        <f>HYPERLINK("https://www.philgeps.gov.ph/GEPSNONPILOT/Tender/SplashBidNoticeAbstractUI.aspx?menuIndex=3&amp;refID=7047745&amp;Result=3","7047745")</f>
        <v>0</v>
      </c>
      <c r="B715" t="s">
        <v>334</v>
      </c>
      <c r="C715" t="s">
        <v>3792</v>
      </c>
      <c r="D715" t="s">
        <v>16226</v>
      </c>
      <c r="E715" t="s">
        <v>16974</v>
      </c>
      <c r="F715" t="s">
        <v>28198</v>
      </c>
      <c r="G715" t="s">
        <v>28205</v>
      </c>
      <c r="H715" t="s">
        <v>28214</v>
      </c>
      <c r="I715" t="s">
        <v>3797</v>
      </c>
      <c r="J715" t="s">
        <v>28378</v>
      </c>
      <c r="K715" t="s">
        <v>36689</v>
      </c>
      <c r="M715" t="s">
        <v>37312</v>
      </c>
      <c r="N715" t="s">
        <v>40436</v>
      </c>
      <c r="O715" t="s">
        <v>40437</v>
      </c>
      <c r="P715">
        <v>0</v>
      </c>
      <c r="Q715">
        <v>0</v>
      </c>
      <c r="R715" t="s">
        <v>40438</v>
      </c>
      <c r="S715" t="s">
        <v>40582</v>
      </c>
      <c r="T715" t="s">
        <v>42215</v>
      </c>
      <c r="U715" t="s">
        <v>43255</v>
      </c>
      <c r="V715" t="s">
        <v>53856</v>
      </c>
      <c r="W715" t="s">
        <v>37312</v>
      </c>
      <c r="X715" t="s">
        <v>40439</v>
      </c>
    </row>
    <row r="716" spans="1:24">
      <c r="A716">
        <f>HYPERLINK("https://www.philgeps.gov.ph/GEPSNONPILOT/Tender/SplashBidNoticeAbstractUI.aspx?menuIndex=3&amp;refID=7047726&amp;Result=3","7047726")</f>
        <v>0</v>
      </c>
      <c r="B716" t="s">
        <v>343</v>
      </c>
      <c r="C716" t="s">
        <v>3793</v>
      </c>
      <c r="D716" t="s">
        <v>16235</v>
      </c>
      <c r="E716" t="s">
        <v>16975</v>
      </c>
      <c r="F716" t="s">
        <v>28198</v>
      </c>
      <c r="G716" t="s">
        <v>28207</v>
      </c>
      <c r="H716" t="s">
        <v>28215</v>
      </c>
      <c r="I716" t="s">
        <v>4219</v>
      </c>
      <c r="J716" t="s">
        <v>28883</v>
      </c>
      <c r="K716" t="s">
        <v>36687</v>
      </c>
      <c r="M716" t="s">
        <v>37322</v>
      </c>
      <c r="N716" t="s">
        <v>40436</v>
      </c>
      <c r="O716" t="s">
        <v>40437</v>
      </c>
      <c r="P716">
        <v>0</v>
      </c>
      <c r="Q716">
        <v>1</v>
      </c>
      <c r="R716" t="s">
        <v>40438</v>
      </c>
      <c r="S716" t="s">
        <v>40582</v>
      </c>
      <c r="T716" t="s">
        <v>42176</v>
      </c>
      <c r="U716" t="s">
        <v>43256</v>
      </c>
      <c r="W716" t="s">
        <v>37322</v>
      </c>
      <c r="X716" t="s">
        <v>40439</v>
      </c>
    </row>
    <row r="717" spans="1:24">
      <c r="A717">
        <f>HYPERLINK("https://www.philgeps.gov.ph/GEPSNONPILOT/Tender/SplashBidNoticeAbstractUI.aspx?menuIndex=3&amp;refID=7047747&amp;Result=3","7047747")</f>
        <v>0</v>
      </c>
      <c r="B717" t="s">
        <v>378</v>
      </c>
      <c r="C717" t="s">
        <v>3794</v>
      </c>
      <c r="D717" t="s">
        <v>16187</v>
      </c>
      <c r="E717" t="s">
        <v>16976</v>
      </c>
      <c r="F717" t="s">
        <v>28198</v>
      </c>
      <c r="G717" t="s">
        <v>28207</v>
      </c>
      <c r="H717" t="s">
        <v>28215</v>
      </c>
      <c r="I717" t="s">
        <v>5631</v>
      </c>
      <c r="J717" t="s">
        <v>28884</v>
      </c>
      <c r="K717" t="s">
        <v>36689</v>
      </c>
      <c r="M717" t="s">
        <v>37358</v>
      </c>
      <c r="N717" t="s">
        <v>40436</v>
      </c>
      <c r="O717" t="s">
        <v>40437</v>
      </c>
      <c r="P717">
        <v>0</v>
      </c>
      <c r="Q717">
        <v>0</v>
      </c>
      <c r="R717" t="s">
        <v>40438</v>
      </c>
      <c r="S717" t="s">
        <v>40582</v>
      </c>
      <c r="T717" t="s">
        <v>42111</v>
      </c>
      <c r="U717" t="s">
        <v>43257</v>
      </c>
      <c r="W717" t="s">
        <v>37358</v>
      </c>
      <c r="X717" t="s">
        <v>40439</v>
      </c>
    </row>
    <row r="718" spans="1:24">
      <c r="A718">
        <f>HYPERLINK("https://www.philgeps.gov.ph/GEPSNONPILOT/Tender/SplashBidNoticeAbstractUI.aspx?menuIndex=3&amp;refID=7047743&amp;Result=3","7047743")</f>
        <v>0</v>
      </c>
      <c r="B718" t="s">
        <v>323</v>
      </c>
      <c r="C718" t="s">
        <v>3795</v>
      </c>
      <c r="D718" t="s">
        <v>16238</v>
      </c>
      <c r="E718" t="s">
        <v>16977</v>
      </c>
      <c r="F718" t="s">
        <v>28198</v>
      </c>
      <c r="G718" t="s">
        <v>28205</v>
      </c>
      <c r="H718" t="s">
        <v>28215</v>
      </c>
      <c r="I718" t="s">
        <v>5100</v>
      </c>
      <c r="J718" t="s">
        <v>28885</v>
      </c>
      <c r="K718" t="s">
        <v>36689</v>
      </c>
      <c r="M718" t="s">
        <v>37301</v>
      </c>
      <c r="N718" t="s">
        <v>40436</v>
      </c>
      <c r="O718" t="s">
        <v>40437</v>
      </c>
      <c r="P718">
        <v>0</v>
      </c>
      <c r="Q718">
        <v>0</v>
      </c>
      <c r="R718" t="s">
        <v>40438</v>
      </c>
      <c r="S718" t="s">
        <v>40582</v>
      </c>
      <c r="T718" t="s">
        <v>42100</v>
      </c>
      <c r="U718" t="s">
        <v>43258</v>
      </c>
      <c r="W718" t="s">
        <v>55442</v>
      </c>
      <c r="X718" t="s">
        <v>40439</v>
      </c>
    </row>
    <row r="719" spans="1:24">
      <c r="A719">
        <f>HYPERLINK("https://www.philgeps.gov.ph/GEPSNONPILOT/Tender/SplashBidNoticeAbstractUI.aspx?menuIndex=3&amp;refID=7047748&amp;Result=3","7047748")</f>
        <v>0</v>
      </c>
      <c r="B719" t="s">
        <v>379</v>
      </c>
      <c r="C719" t="s">
        <v>3796</v>
      </c>
      <c r="D719" t="s">
        <v>16222</v>
      </c>
      <c r="E719" t="s">
        <v>16978</v>
      </c>
      <c r="F719" t="s">
        <v>28198</v>
      </c>
      <c r="G719" t="s">
        <v>28207</v>
      </c>
      <c r="H719" t="s">
        <v>28215</v>
      </c>
      <c r="I719" t="s">
        <v>4200</v>
      </c>
      <c r="J719" t="s">
        <v>28671</v>
      </c>
      <c r="K719" t="s">
        <v>36691</v>
      </c>
      <c r="M719" t="s">
        <v>37359</v>
      </c>
      <c r="N719" t="s">
        <v>40436</v>
      </c>
      <c r="O719" t="s">
        <v>40437</v>
      </c>
      <c r="P719">
        <v>0</v>
      </c>
      <c r="Q719">
        <v>1</v>
      </c>
      <c r="R719" t="s">
        <v>40438</v>
      </c>
      <c r="S719" t="s">
        <v>40582</v>
      </c>
      <c r="T719" t="s">
        <v>42103</v>
      </c>
      <c r="U719" t="s">
        <v>43259</v>
      </c>
      <c r="W719" t="s">
        <v>37359</v>
      </c>
      <c r="X719" t="s">
        <v>40439</v>
      </c>
    </row>
    <row r="720" spans="1:24">
      <c r="A720">
        <f>HYPERLINK("https://www.philgeps.gov.ph/GEPSNONPILOT/Tender/SplashBidNoticeAbstractUI.aspx?menuIndex=3&amp;refID=7047742&amp;Result=3","7047742")</f>
        <v>0</v>
      </c>
      <c r="B720" t="s">
        <v>380</v>
      </c>
      <c r="C720" t="s">
        <v>3797</v>
      </c>
      <c r="D720" t="s">
        <v>16256</v>
      </c>
      <c r="E720" t="s">
        <v>16979</v>
      </c>
      <c r="F720" t="s">
        <v>28198</v>
      </c>
      <c r="G720" t="s">
        <v>28205</v>
      </c>
      <c r="H720" t="s">
        <v>28214</v>
      </c>
      <c r="I720" t="s">
        <v>3797</v>
      </c>
      <c r="J720" t="s">
        <v>28379</v>
      </c>
      <c r="K720" t="s">
        <v>36689</v>
      </c>
      <c r="M720" t="s">
        <v>37360</v>
      </c>
      <c r="N720" t="s">
        <v>40436</v>
      </c>
      <c r="O720" t="s">
        <v>40437</v>
      </c>
      <c r="P720">
        <v>0</v>
      </c>
      <c r="Q720">
        <v>0</v>
      </c>
      <c r="R720" t="s">
        <v>40438</v>
      </c>
      <c r="S720" t="s">
        <v>40582</v>
      </c>
      <c r="T720" t="s">
        <v>42115</v>
      </c>
      <c r="U720" t="s">
        <v>43260</v>
      </c>
      <c r="W720" t="s">
        <v>37360</v>
      </c>
      <c r="X720" t="s">
        <v>40439</v>
      </c>
    </row>
    <row r="721" spans="1:24">
      <c r="A721">
        <f>HYPERLINK("https://www.philgeps.gov.ph/GEPSNONPILOT/Tender/SplashBidNoticeAbstractUI.aspx?menuIndex=3&amp;refID=7047744&amp;Result=3","7047744")</f>
        <v>0</v>
      </c>
      <c r="B721" t="s">
        <v>55</v>
      </c>
      <c r="C721" t="s">
        <v>3798</v>
      </c>
      <c r="D721" t="s">
        <v>16206</v>
      </c>
      <c r="E721" t="s">
        <v>16980</v>
      </c>
      <c r="F721" t="s">
        <v>28198</v>
      </c>
      <c r="G721" t="s">
        <v>28207</v>
      </c>
      <c r="H721" t="s">
        <v>28215</v>
      </c>
      <c r="I721" t="s">
        <v>4219</v>
      </c>
      <c r="J721" t="s">
        <v>28430</v>
      </c>
      <c r="K721" t="s">
        <v>36706</v>
      </c>
      <c r="M721" t="s">
        <v>37026</v>
      </c>
      <c r="N721" t="s">
        <v>40436</v>
      </c>
      <c r="O721" t="s">
        <v>40437</v>
      </c>
      <c r="P721">
        <v>0</v>
      </c>
      <c r="Q721">
        <v>1</v>
      </c>
      <c r="R721" t="s">
        <v>40438</v>
      </c>
      <c r="S721" t="s">
        <v>40582</v>
      </c>
      <c r="T721" t="s">
        <v>42111</v>
      </c>
      <c r="U721" t="s">
        <v>43261</v>
      </c>
      <c r="W721" t="s">
        <v>37026</v>
      </c>
      <c r="X721" t="s">
        <v>40439</v>
      </c>
    </row>
    <row r="722" spans="1:24">
      <c r="A722">
        <f>HYPERLINK("https://www.philgeps.gov.ph/GEPSNONPILOT/Tender/SplashBidNoticeAbstractUI.aspx?menuIndex=3&amp;refID=7047749&amp;Result=3","7047749")</f>
        <v>0</v>
      </c>
      <c r="B722" t="s">
        <v>299</v>
      </c>
      <c r="C722" t="s">
        <v>3799</v>
      </c>
      <c r="E722" t="s">
        <v>16981</v>
      </c>
      <c r="F722" t="s">
        <v>28198</v>
      </c>
      <c r="G722" t="s">
        <v>28207</v>
      </c>
      <c r="H722" t="s">
        <v>28215</v>
      </c>
      <c r="I722" t="s">
        <v>5631</v>
      </c>
      <c r="J722" t="s">
        <v>28804</v>
      </c>
      <c r="K722" t="s">
        <v>36689</v>
      </c>
      <c r="M722" t="s">
        <v>37276</v>
      </c>
      <c r="N722" t="s">
        <v>40436</v>
      </c>
      <c r="O722" t="s">
        <v>40437</v>
      </c>
      <c r="P722">
        <v>0</v>
      </c>
      <c r="Q722">
        <v>0</v>
      </c>
      <c r="R722" t="s">
        <v>40438</v>
      </c>
      <c r="S722" t="s">
        <v>40582</v>
      </c>
      <c r="T722" t="s">
        <v>42119</v>
      </c>
      <c r="U722" t="s">
        <v>43262</v>
      </c>
      <c r="W722" t="s">
        <v>37276</v>
      </c>
      <c r="X722" t="s">
        <v>40439</v>
      </c>
    </row>
    <row r="723" spans="1:24">
      <c r="A723">
        <f>HYPERLINK("https://www.philgeps.gov.ph/GEPSNONPILOT/Tender/SplashBidNoticeAbstractUI.aspx?menuIndex=3&amp;refID=7047755&amp;Result=3","7047755")</f>
        <v>0</v>
      </c>
      <c r="B723" t="s">
        <v>381</v>
      </c>
      <c r="C723" t="s">
        <v>3800</v>
      </c>
      <c r="D723" t="s">
        <v>16203</v>
      </c>
      <c r="E723" t="s">
        <v>16982</v>
      </c>
      <c r="F723" t="s">
        <v>28198</v>
      </c>
      <c r="G723" t="s">
        <v>28207</v>
      </c>
      <c r="H723" t="s">
        <v>28215</v>
      </c>
      <c r="I723" t="s">
        <v>28234</v>
      </c>
      <c r="J723" t="s">
        <v>28886</v>
      </c>
      <c r="K723" t="s">
        <v>36687</v>
      </c>
      <c r="M723" t="s">
        <v>37361</v>
      </c>
      <c r="N723" t="s">
        <v>40436</v>
      </c>
      <c r="O723" t="s">
        <v>40437</v>
      </c>
      <c r="P723">
        <v>0</v>
      </c>
      <c r="Q723">
        <v>1</v>
      </c>
      <c r="R723" t="s">
        <v>40438</v>
      </c>
      <c r="S723" t="s">
        <v>40582</v>
      </c>
      <c r="T723" t="s">
        <v>42133</v>
      </c>
      <c r="U723" t="s">
        <v>43263</v>
      </c>
      <c r="W723" t="s">
        <v>37361</v>
      </c>
      <c r="X723" t="s">
        <v>40439</v>
      </c>
    </row>
    <row r="724" spans="1:24">
      <c r="A724">
        <f>HYPERLINK("https://www.philgeps.gov.ph/GEPSNONPILOT/Tender/SplashBidNoticeAbstractUI.aspx?menuIndex=3&amp;refID=7047752&amp;Result=3","7047752")</f>
        <v>0</v>
      </c>
      <c r="B724" t="s">
        <v>243</v>
      </c>
      <c r="C724" t="s">
        <v>3801</v>
      </c>
      <c r="D724" t="s">
        <v>16193</v>
      </c>
      <c r="E724" t="s">
        <v>16983</v>
      </c>
      <c r="F724" t="s">
        <v>28198</v>
      </c>
      <c r="G724" t="s">
        <v>28207</v>
      </c>
      <c r="H724" t="s">
        <v>28215</v>
      </c>
      <c r="I724" t="s">
        <v>5103</v>
      </c>
      <c r="J724" t="s">
        <v>28887</v>
      </c>
      <c r="K724" t="s">
        <v>36688</v>
      </c>
      <c r="M724" t="s">
        <v>37219</v>
      </c>
      <c r="N724" t="s">
        <v>40436</v>
      </c>
      <c r="O724" t="s">
        <v>40437</v>
      </c>
      <c r="P724">
        <v>0</v>
      </c>
      <c r="Q724">
        <v>1</v>
      </c>
      <c r="R724" t="s">
        <v>40438</v>
      </c>
      <c r="S724" t="s">
        <v>40582</v>
      </c>
      <c r="T724" t="s">
        <v>42103</v>
      </c>
      <c r="U724" t="s">
        <v>43264</v>
      </c>
      <c r="W724" t="s">
        <v>37219</v>
      </c>
      <c r="X724" t="s">
        <v>40439</v>
      </c>
    </row>
    <row r="725" spans="1:24">
      <c r="A725">
        <f>HYPERLINK("https://www.philgeps.gov.ph/GEPSNONPILOT/Tender/SplashBidNoticeAbstractUI.aspx?menuIndex=3&amp;refID=7047753&amp;Result=3","7047753")</f>
        <v>0</v>
      </c>
      <c r="B725" t="s">
        <v>382</v>
      </c>
      <c r="C725" t="s">
        <v>3536</v>
      </c>
      <c r="D725" t="s">
        <v>16214</v>
      </c>
      <c r="E725" t="s">
        <v>16984</v>
      </c>
      <c r="F725" t="s">
        <v>28198</v>
      </c>
      <c r="G725" t="s">
        <v>28206</v>
      </c>
      <c r="H725" t="s">
        <v>28215</v>
      </c>
      <c r="I725" t="s">
        <v>4168</v>
      </c>
      <c r="J725" t="s">
        <v>28888</v>
      </c>
      <c r="K725" t="s">
        <v>36688</v>
      </c>
      <c r="M725" t="s">
        <v>37362</v>
      </c>
      <c r="N725" t="s">
        <v>40436</v>
      </c>
      <c r="O725" t="s">
        <v>40437</v>
      </c>
      <c r="P725">
        <v>0</v>
      </c>
      <c r="Q725">
        <v>0</v>
      </c>
      <c r="R725" t="s">
        <v>40438</v>
      </c>
      <c r="S725" t="s">
        <v>40582</v>
      </c>
      <c r="T725" t="s">
        <v>42216</v>
      </c>
      <c r="U725" t="s">
        <v>43265</v>
      </c>
      <c r="W725" t="s">
        <v>37362</v>
      </c>
      <c r="X725" t="s">
        <v>40439</v>
      </c>
    </row>
    <row r="726" spans="1:24">
      <c r="A726">
        <f>HYPERLINK("https://www.philgeps.gov.ph/GEPSNONPILOT/Tender/SplashBidNoticeAbstractUI.aspx?menuIndex=3&amp;refID=7047751&amp;Result=3","7047751")</f>
        <v>0</v>
      </c>
      <c r="B726" t="s">
        <v>383</v>
      </c>
      <c r="C726" t="s">
        <v>3802</v>
      </c>
      <c r="D726" t="s">
        <v>16202</v>
      </c>
      <c r="E726" t="s">
        <v>16985</v>
      </c>
      <c r="F726" t="s">
        <v>28198</v>
      </c>
      <c r="G726" t="s">
        <v>28206</v>
      </c>
      <c r="H726" t="s">
        <v>28215</v>
      </c>
      <c r="I726" t="s">
        <v>4219</v>
      </c>
      <c r="J726" t="s">
        <v>28889</v>
      </c>
      <c r="K726" t="s">
        <v>36688</v>
      </c>
      <c r="M726" t="s">
        <v>37363</v>
      </c>
      <c r="N726" t="s">
        <v>40436</v>
      </c>
      <c r="O726" t="s">
        <v>40437</v>
      </c>
      <c r="P726">
        <v>0</v>
      </c>
      <c r="Q726">
        <v>6</v>
      </c>
      <c r="R726" t="s">
        <v>40438</v>
      </c>
      <c r="S726" t="s">
        <v>40582</v>
      </c>
      <c r="T726" t="s">
        <v>42131</v>
      </c>
      <c r="U726" t="s">
        <v>43266</v>
      </c>
      <c r="W726" t="s">
        <v>37363</v>
      </c>
      <c r="X726" t="s">
        <v>40439</v>
      </c>
    </row>
    <row r="727" spans="1:24">
      <c r="A727">
        <f>HYPERLINK("https://www.philgeps.gov.ph/GEPSNONPILOT/Tender/SplashBidNoticeAbstractUI.aspx?menuIndex=3&amp;refID=7047750&amp;Result=3","7047750")</f>
        <v>0</v>
      </c>
      <c r="B727" t="s">
        <v>384</v>
      </c>
      <c r="C727" t="s">
        <v>3803</v>
      </c>
      <c r="D727" t="s">
        <v>16203</v>
      </c>
      <c r="E727" t="s">
        <v>16986</v>
      </c>
      <c r="F727" t="s">
        <v>28198</v>
      </c>
      <c r="G727" t="s">
        <v>28207</v>
      </c>
      <c r="H727" t="s">
        <v>28215</v>
      </c>
      <c r="I727" t="s">
        <v>28234</v>
      </c>
      <c r="J727" t="s">
        <v>28890</v>
      </c>
      <c r="K727" t="s">
        <v>36701</v>
      </c>
      <c r="M727" t="s">
        <v>37364</v>
      </c>
      <c r="N727" t="s">
        <v>40436</v>
      </c>
      <c r="O727" t="s">
        <v>40437</v>
      </c>
      <c r="P727">
        <v>0</v>
      </c>
      <c r="Q727">
        <v>0</v>
      </c>
      <c r="R727" t="s">
        <v>40438</v>
      </c>
      <c r="S727" t="s">
        <v>40582</v>
      </c>
      <c r="T727" t="s">
        <v>42167</v>
      </c>
      <c r="U727" t="s">
        <v>43267</v>
      </c>
      <c r="W727" t="s">
        <v>37364</v>
      </c>
      <c r="X727" t="s">
        <v>40439</v>
      </c>
    </row>
    <row r="728" spans="1:24">
      <c r="A728">
        <f>HYPERLINK("https://www.philgeps.gov.ph/GEPSNONPILOT/Tender/SplashBidNoticeAbstractUI.aspx?menuIndex=3&amp;refID=7047768&amp;Result=3","7047768")</f>
        <v>0</v>
      </c>
      <c r="B728" t="s">
        <v>385</v>
      </c>
      <c r="C728" t="s">
        <v>3804</v>
      </c>
      <c r="D728" t="s">
        <v>16244</v>
      </c>
      <c r="E728" t="s">
        <v>16987</v>
      </c>
      <c r="F728" t="s">
        <v>28198</v>
      </c>
      <c r="G728" t="s">
        <v>28207</v>
      </c>
      <c r="H728" t="s">
        <v>28215</v>
      </c>
      <c r="I728" t="s">
        <v>5100</v>
      </c>
      <c r="J728" t="s">
        <v>28891</v>
      </c>
      <c r="K728" t="s">
        <v>36687</v>
      </c>
      <c r="M728" t="s">
        <v>37365</v>
      </c>
      <c r="N728" t="s">
        <v>40436</v>
      </c>
      <c r="O728" t="s">
        <v>40437</v>
      </c>
      <c r="P728">
        <v>0</v>
      </c>
      <c r="Q728">
        <v>0</v>
      </c>
      <c r="R728" t="s">
        <v>40438</v>
      </c>
      <c r="S728" t="s">
        <v>40582</v>
      </c>
      <c r="T728" t="s">
        <v>42124</v>
      </c>
      <c r="U728" t="s">
        <v>43268</v>
      </c>
      <c r="W728" t="s">
        <v>37365</v>
      </c>
      <c r="X728" t="s">
        <v>40439</v>
      </c>
    </row>
    <row r="729" spans="1:24">
      <c r="A729">
        <f>HYPERLINK("https://www.philgeps.gov.ph/GEPSNONPILOT/Tender/SplashBidNoticeAbstractUI.aspx?menuIndex=3&amp;refID=7047754&amp;Result=3","7047754")</f>
        <v>0</v>
      </c>
      <c r="B729" t="s">
        <v>368</v>
      </c>
      <c r="C729" t="s">
        <v>3805</v>
      </c>
      <c r="D729" t="s">
        <v>16232</v>
      </c>
      <c r="E729" t="s">
        <v>16988</v>
      </c>
      <c r="F729" t="s">
        <v>28198</v>
      </c>
      <c r="G729" t="s">
        <v>28205</v>
      </c>
      <c r="H729" t="s">
        <v>28215</v>
      </c>
      <c r="I729" t="s">
        <v>5100</v>
      </c>
      <c r="J729" t="s">
        <v>28892</v>
      </c>
      <c r="K729" t="s">
        <v>36701</v>
      </c>
      <c r="M729" t="s">
        <v>37347</v>
      </c>
      <c r="N729" t="s">
        <v>40436</v>
      </c>
      <c r="O729" t="s">
        <v>40437</v>
      </c>
      <c r="P729">
        <v>0</v>
      </c>
      <c r="Q729">
        <v>0</v>
      </c>
      <c r="R729" t="s">
        <v>40438</v>
      </c>
      <c r="S729" t="s">
        <v>40582</v>
      </c>
      <c r="T729" t="s">
        <v>42143</v>
      </c>
      <c r="U729" t="s">
        <v>43269</v>
      </c>
      <c r="V729" t="s">
        <v>53871</v>
      </c>
      <c r="W729" t="s">
        <v>37347</v>
      </c>
      <c r="X729" t="s">
        <v>40439</v>
      </c>
    </row>
    <row r="730" spans="1:24">
      <c r="A730">
        <f>HYPERLINK("https://www.philgeps.gov.ph/GEPSNONPILOT/Tender/SplashBidNoticeAbstractUI.aspx?menuIndex=3&amp;refID=7047767&amp;Result=3","7047767")</f>
        <v>0</v>
      </c>
      <c r="B730" t="s">
        <v>386</v>
      </c>
      <c r="C730" t="s">
        <v>3480</v>
      </c>
      <c r="D730" t="s">
        <v>16259</v>
      </c>
      <c r="E730" t="s">
        <v>16989</v>
      </c>
      <c r="F730" t="s">
        <v>28198</v>
      </c>
      <c r="G730" t="s">
        <v>28207</v>
      </c>
      <c r="H730" t="s">
        <v>28215</v>
      </c>
      <c r="I730" t="s">
        <v>28228</v>
      </c>
      <c r="J730" t="s">
        <v>28893</v>
      </c>
      <c r="K730" t="s">
        <v>36697</v>
      </c>
      <c r="M730" t="s">
        <v>37366</v>
      </c>
      <c r="N730" t="s">
        <v>40436</v>
      </c>
      <c r="O730" t="s">
        <v>40437</v>
      </c>
      <c r="P730">
        <v>0</v>
      </c>
      <c r="Q730">
        <v>1</v>
      </c>
      <c r="R730" t="s">
        <v>40438</v>
      </c>
      <c r="S730" t="s">
        <v>40582</v>
      </c>
      <c r="T730" t="s">
        <v>42112</v>
      </c>
      <c r="U730" t="s">
        <v>43270</v>
      </c>
      <c r="V730" t="s">
        <v>53872</v>
      </c>
      <c r="W730" t="s">
        <v>37366</v>
      </c>
      <c r="X730" t="s">
        <v>40439</v>
      </c>
    </row>
    <row r="731" spans="1:24">
      <c r="A731">
        <f>HYPERLINK("https://www.philgeps.gov.ph/GEPSNONPILOT/Tender/SplashBidNoticeAbstractUI.aspx?menuIndex=3&amp;refID=7047770&amp;Result=3","7047770")</f>
        <v>0</v>
      </c>
      <c r="B731" t="s">
        <v>363</v>
      </c>
      <c r="C731" t="s">
        <v>3806</v>
      </c>
      <c r="D731" t="s">
        <v>16190</v>
      </c>
      <c r="E731" t="s">
        <v>16990</v>
      </c>
      <c r="F731" t="s">
        <v>28198</v>
      </c>
      <c r="G731" t="s">
        <v>28207</v>
      </c>
      <c r="H731" t="s">
        <v>28215</v>
      </c>
      <c r="I731" t="s">
        <v>28256</v>
      </c>
      <c r="J731" t="s">
        <v>28878</v>
      </c>
      <c r="K731" t="s">
        <v>36698</v>
      </c>
      <c r="M731" t="s">
        <v>37342</v>
      </c>
      <c r="N731" t="s">
        <v>40436</v>
      </c>
      <c r="O731" t="s">
        <v>40437</v>
      </c>
      <c r="P731">
        <v>0</v>
      </c>
      <c r="Q731">
        <v>1</v>
      </c>
      <c r="R731" t="s">
        <v>40438</v>
      </c>
      <c r="S731" t="s">
        <v>40582</v>
      </c>
      <c r="T731" t="s">
        <v>42142</v>
      </c>
      <c r="U731" t="s">
        <v>43271</v>
      </c>
      <c r="W731" t="s">
        <v>37342</v>
      </c>
      <c r="X731" t="s">
        <v>40439</v>
      </c>
    </row>
    <row r="732" spans="1:24">
      <c r="A732">
        <f>HYPERLINK("https://www.philgeps.gov.ph/GEPSNONPILOT/Tender/SplashBidNoticeAbstractUI.aspx?menuIndex=3&amp;refID=7047756&amp;Result=3","7047756")</f>
        <v>0</v>
      </c>
      <c r="B732" t="s">
        <v>387</v>
      </c>
      <c r="C732" t="s">
        <v>3807</v>
      </c>
      <c r="D732" t="s">
        <v>16246</v>
      </c>
      <c r="E732" t="s">
        <v>3807</v>
      </c>
      <c r="F732" t="s">
        <v>28198</v>
      </c>
      <c r="G732" t="s">
        <v>28206</v>
      </c>
      <c r="H732" t="s">
        <v>28215</v>
      </c>
      <c r="I732" t="s">
        <v>5082</v>
      </c>
      <c r="J732" t="s">
        <v>28894</v>
      </c>
      <c r="K732" t="s">
        <v>36694</v>
      </c>
      <c r="M732" t="s">
        <v>37367</v>
      </c>
      <c r="N732" t="s">
        <v>40436</v>
      </c>
      <c r="O732" t="s">
        <v>40437</v>
      </c>
      <c r="P732">
        <v>0</v>
      </c>
      <c r="Q732">
        <v>1</v>
      </c>
      <c r="R732" t="s">
        <v>40438</v>
      </c>
      <c r="S732" t="s">
        <v>40582</v>
      </c>
      <c r="T732" t="s">
        <v>42217</v>
      </c>
      <c r="U732" t="s">
        <v>43272</v>
      </c>
      <c r="V732" t="s">
        <v>53873</v>
      </c>
      <c r="W732" t="s">
        <v>37367</v>
      </c>
      <c r="X732" t="s">
        <v>40439</v>
      </c>
    </row>
    <row r="733" spans="1:24">
      <c r="A733">
        <f>HYPERLINK("https://www.philgeps.gov.ph/GEPSNONPILOT/Tender/SplashBidNoticeAbstractUI.aspx?menuIndex=3&amp;refID=7047757&amp;Result=3","7047757")</f>
        <v>0</v>
      </c>
      <c r="B733" t="s">
        <v>355</v>
      </c>
      <c r="C733" t="s">
        <v>3778</v>
      </c>
      <c r="D733" t="s">
        <v>16196</v>
      </c>
      <c r="E733" t="s">
        <v>16991</v>
      </c>
      <c r="F733" t="s">
        <v>28198</v>
      </c>
      <c r="G733" t="s">
        <v>28205</v>
      </c>
      <c r="H733" t="s">
        <v>28214</v>
      </c>
      <c r="I733" t="s">
        <v>3797</v>
      </c>
      <c r="J733" t="s">
        <v>28345</v>
      </c>
      <c r="K733" t="s">
        <v>36701</v>
      </c>
      <c r="M733" t="s">
        <v>37334</v>
      </c>
      <c r="N733" t="s">
        <v>40436</v>
      </c>
      <c r="O733" t="s">
        <v>40437</v>
      </c>
      <c r="P733">
        <v>0</v>
      </c>
      <c r="Q733">
        <v>0</v>
      </c>
      <c r="R733" t="s">
        <v>40438</v>
      </c>
      <c r="S733" t="s">
        <v>40582</v>
      </c>
      <c r="T733" t="s">
        <v>42098</v>
      </c>
      <c r="U733" t="s">
        <v>43273</v>
      </c>
      <c r="V733" t="s">
        <v>53865</v>
      </c>
      <c r="W733" t="s">
        <v>37334</v>
      </c>
      <c r="X733" t="s">
        <v>40439</v>
      </c>
    </row>
    <row r="734" spans="1:24">
      <c r="A734">
        <f>HYPERLINK("https://www.philgeps.gov.ph/GEPSNONPILOT/Tender/SplashBidNoticeAbstractUI.aspx?menuIndex=3&amp;refID=7047764&amp;Result=3","7047764")</f>
        <v>0</v>
      </c>
      <c r="B734" t="s">
        <v>378</v>
      </c>
      <c r="C734" t="s">
        <v>3808</v>
      </c>
      <c r="D734" t="s">
        <v>16187</v>
      </c>
      <c r="E734" t="s">
        <v>16992</v>
      </c>
      <c r="F734" t="s">
        <v>28198</v>
      </c>
      <c r="G734" t="s">
        <v>28207</v>
      </c>
      <c r="H734" t="s">
        <v>28215</v>
      </c>
      <c r="I734" t="s">
        <v>5631</v>
      </c>
      <c r="J734" t="s">
        <v>28895</v>
      </c>
      <c r="K734" t="s">
        <v>36689</v>
      </c>
      <c r="M734" t="s">
        <v>37358</v>
      </c>
      <c r="N734" t="s">
        <v>40436</v>
      </c>
      <c r="O734" t="s">
        <v>40437</v>
      </c>
      <c r="P734">
        <v>0</v>
      </c>
      <c r="Q734">
        <v>0</v>
      </c>
      <c r="R734" t="s">
        <v>40438</v>
      </c>
      <c r="S734" t="s">
        <v>40582</v>
      </c>
      <c r="T734" t="s">
        <v>42111</v>
      </c>
      <c r="U734" t="s">
        <v>43274</v>
      </c>
      <c r="W734" t="s">
        <v>37358</v>
      </c>
      <c r="X734" t="s">
        <v>40439</v>
      </c>
    </row>
    <row r="735" spans="1:24">
      <c r="A735">
        <f>HYPERLINK("https://www.philgeps.gov.ph/GEPSNONPILOT/Tender/SplashBidNoticeAbstractUI.aspx?menuIndex=3&amp;refID=7047761&amp;Result=3","7047761")</f>
        <v>0</v>
      </c>
      <c r="B735" t="s">
        <v>388</v>
      </c>
      <c r="C735" t="s">
        <v>3809</v>
      </c>
      <c r="D735" t="s">
        <v>16197</v>
      </c>
      <c r="E735" t="s">
        <v>16993</v>
      </c>
      <c r="F735" t="s">
        <v>28198</v>
      </c>
      <c r="G735" t="s">
        <v>28207</v>
      </c>
      <c r="H735" t="s">
        <v>28215</v>
      </c>
      <c r="I735" t="s">
        <v>28284</v>
      </c>
      <c r="J735" t="s">
        <v>28369</v>
      </c>
      <c r="K735" t="s">
        <v>36701</v>
      </c>
      <c r="M735" t="s">
        <v>37368</v>
      </c>
      <c r="N735" t="s">
        <v>40436</v>
      </c>
      <c r="O735" t="s">
        <v>40437</v>
      </c>
      <c r="P735">
        <v>0</v>
      </c>
      <c r="Q735">
        <v>0</v>
      </c>
      <c r="R735" t="s">
        <v>40438</v>
      </c>
      <c r="S735" t="s">
        <v>40582</v>
      </c>
      <c r="T735" t="s">
        <v>42097</v>
      </c>
      <c r="U735" t="s">
        <v>43275</v>
      </c>
      <c r="V735" t="s">
        <v>53874</v>
      </c>
      <c r="W735" t="s">
        <v>37368</v>
      </c>
      <c r="X735" t="s">
        <v>40439</v>
      </c>
    </row>
    <row r="736" spans="1:24">
      <c r="A736">
        <f>HYPERLINK("https://www.philgeps.gov.ph/GEPSNONPILOT/Tender/SplashBidNoticeAbstractUI.aspx?menuIndex=3&amp;refID=7047762&amp;Result=3","7047762")</f>
        <v>0</v>
      </c>
      <c r="B736" t="s">
        <v>243</v>
      </c>
      <c r="C736" t="s">
        <v>3810</v>
      </c>
      <c r="D736" t="s">
        <v>16193</v>
      </c>
      <c r="E736" t="s">
        <v>16994</v>
      </c>
      <c r="F736" t="s">
        <v>28198</v>
      </c>
      <c r="G736" t="s">
        <v>28207</v>
      </c>
      <c r="H736" t="s">
        <v>28215</v>
      </c>
      <c r="I736" t="s">
        <v>5103</v>
      </c>
      <c r="J736" t="s">
        <v>28896</v>
      </c>
      <c r="K736" t="s">
        <v>36688</v>
      </c>
      <c r="M736" t="s">
        <v>37219</v>
      </c>
      <c r="N736" t="s">
        <v>40436</v>
      </c>
      <c r="O736" t="s">
        <v>40437</v>
      </c>
      <c r="P736">
        <v>0</v>
      </c>
      <c r="Q736">
        <v>2</v>
      </c>
      <c r="R736" t="s">
        <v>40438</v>
      </c>
      <c r="S736" t="s">
        <v>40582</v>
      </c>
      <c r="T736" t="s">
        <v>42103</v>
      </c>
      <c r="U736" t="s">
        <v>43276</v>
      </c>
      <c r="W736" t="s">
        <v>37219</v>
      </c>
      <c r="X736" t="s">
        <v>40439</v>
      </c>
    </row>
    <row r="737" spans="1:24">
      <c r="A737">
        <f>HYPERLINK("https://www.philgeps.gov.ph/GEPSNONPILOT/Tender/SplashBidNoticeAbstractUI.aspx?menuIndex=3&amp;refID=7047763&amp;Result=3","7047763")</f>
        <v>0</v>
      </c>
      <c r="B737" t="s">
        <v>275</v>
      </c>
      <c r="C737" t="s">
        <v>3811</v>
      </c>
      <c r="D737" t="s">
        <v>16258</v>
      </c>
      <c r="E737" t="s">
        <v>16995</v>
      </c>
      <c r="F737" t="s">
        <v>28198</v>
      </c>
      <c r="G737" t="s">
        <v>28209</v>
      </c>
      <c r="H737" t="s">
        <v>28215</v>
      </c>
      <c r="I737" t="s">
        <v>28274</v>
      </c>
      <c r="J737" t="s">
        <v>28897</v>
      </c>
      <c r="K737" t="s">
        <v>36689</v>
      </c>
      <c r="M737" t="s">
        <v>37252</v>
      </c>
      <c r="N737" t="s">
        <v>40436</v>
      </c>
      <c r="O737" t="s">
        <v>40437</v>
      </c>
      <c r="P737">
        <v>0</v>
      </c>
      <c r="Q737">
        <v>0</v>
      </c>
      <c r="R737" t="s">
        <v>40438</v>
      </c>
      <c r="S737" t="s">
        <v>40582</v>
      </c>
      <c r="T737" t="s">
        <v>42103</v>
      </c>
      <c r="U737" t="s">
        <v>43277</v>
      </c>
      <c r="W737" t="s">
        <v>37252</v>
      </c>
      <c r="X737" t="s">
        <v>40439</v>
      </c>
    </row>
    <row r="738" spans="1:24">
      <c r="A738">
        <f>HYPERLINK("https://www.philgeps.gov.ph/GEPSNONPILOT/Tender/SplashBidNoticeAbstractUI.aspx?menuIndex=3&amp;refID=7047787&amp;Result=3","7047787")</f>
        <v>0</v>
      </c>
      <c r="B738" t="s">
        <v>131</v>
      </c>
      <c r="C738" t="s">
        <v>3812</v>
      </c>
      <c r="D738" t="s">
        <v>16237</v>
      </c>
      <c r="E738" t="s">
        <v>16996</v>
      </c>
      <c r="F738" t="s">
        <v>28198</v>
      </c>
      <c r="G738" t="s">
        <v>28205</v>
      </c>
      <c r="H738" t="s">
        <v>28215</v>
      </c>
      <c r="I738" t="s">
        <v>28274</v>
      </c>
      <c r="J738" t="s">
        <v>28898</v>
      </c>
      <c r="K738" t="s">
        <v>36701</v>
      </c>
      <c r="M738" t="s">
        <v>37105</v>
      </c>
      <c r="N738" t="s">
        <v>40436</v>
      </c>
      <c r="O738" t="s">
        <v>40437</v>
      </c>
      <c r="P738">
        <v>0</v>
      </c>
      <c r="Q738">
        <v>0</v>
      </c>
      <c r="R738" t="s">
        <v>40438</v>
      </c>
      <c r="S738" t="s">
        <v>40582</v>
      </c>
      <c r="T738" t="s">
        <v>42110</v>
      </c>
      <c r="U738" t="s">
        <v>43278</v>
      </c>
      <c r="V738" t="s">
        <v>53875</v>
      </c>
      <c r="W738" t="s">
        <v>37105</v>
      </c>
      <c r="X738" t="s">
        <v>40439</v>
      </c>
    </row>
    <row r="739" spans="1:24">
      <c r="A739">
        <f>HYPERLINK("https://www.philgeps.gov.ph/GEPSNONPILOT/Tender/SplashBidNoticeAbstractUI.aspx?menuIndex=3&amp;refID=7047759&amp;Result=3","7047759")</f>
        <v>0</v>
      </c>
      <c r="B739" t="s">
        <v>389</v>
      </c>
      <c r="C739" t="s">
        <v>3813</v>
      </c>
      <c r="D739" t="s">
        <v>16253</v>
      </c>
      <c r="E739" t="s">
        <v>16997</v>
      </c>
      <c r="F739" t="s">
        <v>28198</v>
      </c>
      <c r="G739" t="s">
        <v>28205</v>
      </c>
      <c r="H739" t="s">
        <v>28214</v>
      </c>
      <c r="I739" t="s">
        <v>3797</v>
      </c>
      <c r="J739" t="s">
        <v>28899</v>
      </c>
      <c r="K739" t="s">
        <v>36690</v>
      </c>
      <c r="M739" t="s">
        <v>37369</v>
      </c>
      <c r="N739" t="s">
        <v>40436</v>
      </c>
      <c r="O739" t="s">
        <v>40437</v>
      </c>
      <c r="P739">
        <v>0</v>
      </c>
      <c r="Q739">
        <v>0</v>
      </c>
      <c r="R739" t="s">
        <v>40438</v>
      </c>
      <c r="S739" t="s">
        <v>40582</v>
      </c>
      <c r="T739" t="s">
        <v>42098</v>
      </c>
      <c r="U739" t="s">
        <v>43279</v>
      </c>
      <c r="W739" t="s">
        <v>37369</v>
      </c>
      <c r="X739" t="s">
        <v>40439</v>
      </c>
    </row>
    <row r="740" spans="1:24">
      <c r="A740">
        <f>HYPERLINK("https://www.philgeps.gov.ph/GEPSNONPILOT/Tender/SplashBidNoticeAbstractUI.aspx?menuIndex=3&amp;refID=7047786&amp;Result=3","7047786")</f>
        <v>0</v>
      </c>
      <c r="B740" t="s">
        <v>390</v>
      </c>
      <c r="C740" t="s">
        <v>3814</v>
      </c>
      <c r="D740" t="s">
        <v>16235</v>
      </c>
      <c r="E740" t="s">
        <v>16998</v>
      </c>
      <c r="F740" t="s">
        <v>28198</v>
      </c>
      <c r="G740" t="s">
        <v>28207</v>
      </c>
      <c r="H740" t="s">
        <v>28215</v>
      </c>
      <c r="I740" t="s">
        <v>3422</v>
      </c>
      <c r="J740" t="s">
        <v>28900</v>
      </c>
      <c r="K740" t="s">
        <v>36689</v>
      </c>
      <c r="M740" t="s">
        <v>37370</v>
      </c>
      <c r="N740" t="s">
        <v>40436</v>
      </c>
      <c r="O740" t="s">
        <v>40437</v>
      </c>
      <c r="P740">
        <v>0</v>
      </c>
      <c r="Q740">
        <v>0</v>
      </c>
      <c r="R740" t="s">
        <v>40438</v>
      </c>
      <c r="S740" t="s">
        <v>40582</v>
      </c>
      <c r="T740" t="s">
        <v>42124</v>
      </c>
      <c r="U740" t="s">
        <v>43280</v>
      </c>
      <c r="W740" t="s">
        <v>37370</v>
      </c>
      <c r="X740" t="s">
        <v>40439</v>
      </c>
    </row>
    <row r="741" spans="1:24">
      <c r="A741">
        <f>HYPERLINK("https://www.philgeps.gov.ph/GEPSNONPILOT/Tender/SplashBidNoticeAbstractUI.aspx?menuIndex=3&amp;refID=7047772&amp;Result=3","7047772")</f>
        <v>0</v>
      </c>
      <c r="B741" t="s">
        <v>391</v>
      </c>
      <c r="C741" t="s">
        <v>3815</v>
      </c>
      <c r="D741" t="s">
        <v>16202</v>
      </c>
      <c r="E741" t="s">
        <v>16999</v>
      </c>
      <c r="F741" t="s">
        <v>28198</v>
      </c>
      <c r="G741" t="s">
        <v>28207</v>
      </c>
      <c r="H741" t="s">
        <v>28215</v>
      </c>
      <c r="I741" t="s">
        <v>28285</v>
      </c>
      <c r="J741" t="s">
        <v>28901</v>
      </c>
      <c r="K741" t="s">
        <v>36689</v>
      </c>
      <c r="M741" t="s">
        <v>37371</v>
      </c>
      <c r="N741" t="s">
        <v>40436</v>
      </c>
      <c r="O741" t="s">
        <v>40437</v>
      </c>
      <c r="P741">
        <v>0</v>
      </c>
      <c r="Q741">
        <v>0</v>
      </c>
      <c r="R741" t="s">
        <v>40438</v>
      </c>
      <c r="S741" t="s">
        <v>40582</v>
      </c>
      <c r="T741" t="s">
        <v>42142</v>
      </c>
      <c r="U741" t="s">
        <v>43281</v>
      </c>
      <c r="V741" t="s">
        <v>53876</v>
      </c>
      <c r="W741" t="s">
        <v>37371</v>
      </c>
      <c r="X741" t="s">
        <v>40439</v>
      </c>
    </row>
    <row r="742" spans="1:24">
      <c r="A742">
        <f>HYPERLINK("https://www.philgeps.gov.ph/GEPSNONPILOT/Tender/SplashBidNoticeAbstractUI.aspx?menuIndex=3&amp;refID=7047760&amp;Result=3","7047760")</f>
        <v>0</v>
      </c>
      <c r="B742" t="s">
        <v>343</v>
      </c>
      <c r="C742" t="s">
        <v>3816</v>
      </c>
      <c r="D742" t="s">
        <v>16235</v>
      </c>
      <c r="E742" t="s">
        <v>17000</v>
      </c>
      <c r="F742" t="s">
        <v>28198</v>
      </c>
      <c r="G742" t="s">
        <v>28207</v>
      </c>
      <c r="H742" t="s">
        <v>28215</v>
      </c>
      <c r="I742" t="s">
        <v>28278</v>
      </c>
      <c r="J742" t="s">
        <v>28902</v>
      </c>
      <c r="K742" t="s">
        <v>36708</v>
      </c>
      <c r="M742" t="s">
        <v>37322</v>
      </c>
      <c r="N742" t="s">
        <v>40436</v>
      </c>
      <c r="O742" t="s">
        <v>40437</v>
      </c>
      <c r="P742">
        <v>0</v>
      </c>
      <c r="Q742">
        <v>0</v>
      </c>
      <c r="R742" t="s">
        <v>40438</v>
      </c>
      <c r="S742" t="s">
        <v>40582</v>
      </c>
      <c r="T742" t="s">
        <v>42176</v>
      </c>
      <c r="U742" t="s">
        <v>43282</v>
      </c>
      <c r="W742" t="s">
        <v>37322</v>
      </c>
      <c r="X742" t="s">
        <v>40439</v>
      </c>
    </row>
    <row r="743" spans="1:24">
      <c r="A743">
        <f>HYPERLINK("https://www.philgeps.gov.ph/GEPSNONPILOT/Tender/SplashBidNoticeAbstractUI.aspx?menuIndex=3&amp;refID=7047766&amp;Result=3","7047766")</f>
        <v>0</v>
      </c>
      <c r="B743" t="s">
        <v>392</v>
      </c>
      <c r="C743" t="s">
        <v>3817</v>
      </c>
      <c r="D743" t="s">
        <v>16260</v>
      </c>
      <c r="E743" t="s">
        <v>17001</v>
      </c>
      <c r="F743" t="s">
        <v>28201</v>
      </c>
      <c r="G743" t="s">
        <v>28206</v>
      </c>
      <c r="H743" t="s">
        <v>28215</v>
      </c>
      <c r="I743" t="s">
        <v>3422</v>
      </c>
      <c r="J743" t="s">
        <v>28903</v>
      </c>
      <c r="K743" t="s">
        <v>36693</v>
      </c>
      <c r="M743" t="s">
        <v>37372</v>
      </c>
      <c r="N743" t="s">
        <v>40436</v>
      </c>
      <c r="O743" t="s">
        <v>40437</v>
      </c>
      <c r="P743">
        <v>0</v>
      </c>
      <c r="Q743">
        <v>3</v>
      </c>
      <c r="R743" t="s">
        <v>40438</v>
      </c>
      <c r="S743" t="s">
        <v>40582</v>
      </c>
      <c r="T743" t="s">
        <v>42142</v>
      </c>
      <c r="U743" t="s">
        <v>43283</v>
      </c>
      <c r="V743" t="s">
        <v>53877</v>
      </c>
      <c r="W743" t="s">
        <v>37372</v>
      </c>
      <c r="X743" t="s">
        <v>40439</v>
      </c>
    </row>
    <row r="744" spans="1:24">
      <c r="A744">
        <f>HYPERLINK("https://www.philgeps.gov.ph/GEPSNONPILOT/Tender/SplashBidNoticeAbstractUI.aspx?menuIndex=3&amp;refID=7047799&amp;Result=3","7047799")</f>
        <v>0</v>
      </c>
      <c r="B744" t="s">
        <v>393</v>
      </c>
      <c r="C744" t="s">
        <v>3818</v>
      </c>
      <c r="D744" t="s">
        <v>16199</v>
      </c>
      <c r="E744" t="s">
        <v>17002</v>
      </c>
      <c r="F744" t="s">
        <v>28198</v>
      </c>
      <c r="G744" t="s">
        <v>28207</v>
      </c>
      <c r="H744" t="s">
        <v>28215</v>
      </c>
      <c r="I744" t="s">
        <v>5103</v>
      </c>
      <c r="J744" t="s">
        <v>28904</v>
      </c>
      <c r="K744" t="s">
        <v>36693</v>
      </c>
      <c r="M744" t="s">
        <v>37373</v>
      </c>
      <c r="N744" t="s">
        <v>40436</v>
      </c>
      <c r="O744" t="s">
        <v>40437</v>
      </c>
      <c r="P744">
        <v>0</v>
      </c>
      <c r="Q744">
        <v>5</v>
      </c>
      <c r="R744" t="s">
        <v>40438</v>
      </c>
      <c r="S744" t="s">
        <v>40582</v>
      </c>
      <c r="T744" t="s">
        <v>42136</v>
      </c>
      <c r="U744" t="s">
        <v>43284</v>
      </c>
      <c r="W744" t="s">
        <v>37373</v>
      </c>
      <c r="X744" t="s">
        <v>40439</v>
      </c>
    </row>
    <row r="745" spans="1:24">
      <c r="A745">
        <f>HYPERLINK("https://www.philgeps.gov.ph/GEPSNONPILOT/Tender/SplashBidNoticeAbstractUI.aspx?menuIndex=3&amp;refID=7047785&amp;Result=3","7047785")</f>
        <v>0</v>
      </c>
      <c r="B745" t="s">
        <v>323</v>
      </c>
      <c r="C745" t="s">
        <v>3819</v>
      </c>
      <c r="D745" t="s">
        <v>16238</v>
      </c>
      <c r="E745" t="s">
        <v>17003</v>
      </c>
      <c r="F745" t="s">
        <v>28198</v>
      </c>
      <c r="G745" t="s">
        <v>28205</v>
      </c>
      <c r="H745" t="s">
        <v>28215</v>
      </c>
      <c r="I745" t="s">
        <v>5100</v>
      </c>
      <c r="J745" t="s">
        <v>28905</v>
      </c>
      <c r="K745" t="s">
        <v>36689</v>
      </c>
      <c r="M745" t="s">
        <v>37301</v>
      </c>
      <c r="N745" t="s">
        <v>40436</v>
      </c>
      <c r="O745" t="s">
        <v>40437</v>
      </c>
      <c r="P745">
        <v>0</v>
      </c>
      <c r="Q745">
        <v>0</v>
      </c>
      <c r="R745" t="s">
        <v>40438</v>
      </c>
      <c r="S745" t="s">
        <v>40582</v>
      </c>
      <c r="T745" t="s">
        <v>42100</v>
      </c>
      <c r="U745" t="s">
        <v>43285</v>
      </c>
      <c r="W745" t="s">
        <v>55442</v>
      </c>
      <c r="X745" t="s">
        <v>40439</v>
      </c>
    </row>
    <row r="746" spans="1:24">
      <c r="A746">
        <f>HYPERLINK("https://www.philgeps.gov.ph/GEPSNONPILOT/Tender/SplashBidNoticeAbstractUI.aspx?menuIndex=3&amp;refID=7047783&amp;Result=3","7047783")</f>
        <v>0</v>
      </c>
      <c r="B746" t="s">
        <v>363</v>
      </c>
      <c r="C746" t="s">
        <v>3820</v>
      </c>
      <c r="D746" t="s">
        <v>16190</v>
      </c>
      <c r="E746" t="s">
        <v>17004</v>
      </c>
      <c r="F746" t="s">
        <v>28198</v>
      </c>
      <c r="G746" t="s">
        <v>28207</v>
      </c>
      <c r="H746" t="s">
        <v>28215</v>
      </c>
      <c r="I746" t="s">
        <v>4219</v>
      </c>
      <c r="J746" t="s">
        <v>28906</v>
      </c>
      <c r="K746" t="s">
        <v>36698</v>
      </c>
      <c r="M746" t="s">
        <v>37342</v>
      </c>
      <c r="N746" t="s">
        <v>40436</v>
      </c>
      <c r="O746" t="s">
        <v>40437</v>
      </c>
      <c r="P746">
        <v>0</v>
      </c>
      <c r="Q746">
        <v>0</v>
      </c>
      <c r="R746" t="s">
        <v>40438</v>
      </c>
      <c r="S746" t="s">
        <v>40582</v>
      </c>
      <c r="T746" t="s">
        <v>42119</v>
      </c>
      <c r="U746" t="s">
        <v>43286</v>
      </c>
      <c r="W746" t="s">
        <v>37342</v>
      </c>
      <c r="X746" t="s">
        <v>40439</v>
      </c>
    </row>
    <row r="747" spans="1:24">
      <c r="A747">
        <f>HYPERLINK("https://www.philgeps.gov.ph/GEPSNONPILOT/Tender/SplashBidNoticeAbstractUI.aspx?menuIndex=3&amp;refID=7047765&amp;Result=3","7047765")</f>
        <v>0</v>
      </c>
      <c r="B747" t="s">
        <v>323</v>
      </c>
      <c r="C747" t="s">
        <v>3821</v>
      </c>
      <c r="D747" t="s">
        <v>16238</v>
      </c>
      <c r="E747" t="s">
        <v>17005</v>
      </c>
      <c r="F747" t="s">
        <v>28198</v>
      </c>
      <c r="G747" t="s">
        <v>28209</v>
      </c>
      <c r="H747" t="s">
        <v>28215</v>
      </c>
      <c r="I747" t="s">
        <v>28228</v>
      </c>
      <c r="J747" t="s">
        <v>28907</v>
      </c>
      <c r="K747" t="s">
        <v>36689</v>
      </c>
      <c r="M747" t="s">
        <v>37301</v>
      </c>
      <c r="N747" t="s">
        <v>40436</v>
      </c>
      <c r="O747" t="s">
        <v>40437</v>
      </c>
      <c r="P747">
        <v>0</v>
      </c>
      <c r="Q747">
        <v>0</v>
      </c>
      <c r="R747" t="s">
        <v>40438</v>
      </c>
      <c r="S747" t="s">
        <v>40582</v>
      </c>
      <c r="T747" t="s">
        <v>42134</v>
      </c>
      <c r="U747" t="s">
        <v>43287</v>
      </c>
      <c r="W747" t="s">
        <v>55446</v>
      </c>
      <c r="X747" t="s">
        <v>40439</v>
      </c>
    </row>
    <row r="748" spans="1:24">
      <c r="A748">
        <f>HYPERLINK("https://www.philgeps.gov.ph/GEPSNONPILOT/Tender/SplashBidNoticeAbstractUI.aspx?menuIndex=3&amp;refID=7047796&amp;Result=3","7047796")</f>
        <v>0</v>
      </c>
      <c r="B748" t="s">
        <v>394</v>
      </c>
      <c r="C748" t="s">
        <v>3822</v>
      </c>
      <c r="D748" t="s">
        <v>16209</v>
      </c>
      <c r="E748" t="s">
        <v>17006</v>
      </c>
      <c r="F748" t="s">
        <v>28198</v>
      </c>
      <c r="G748" t="s">
        <v>28207</v>
      </c>
      <c r="H748" t="s">
        <v>28215</v>
      </c>
      <c r="I748" t="s">
        <v>5082</v>
      </c>
      <c r="J748" t="s">
        <v>28908</v>
      </c>
      <c r="K748" t="s">
        <v>36707</v>
      </c>
      <c r="M748" t="s">
        <v>37374</v>
      </c>
      <c r="N748" t="s">
        <v>40436</v>
      </c>
      <c r="O748" t="s">
        <v>40437</v>
      </c>
      <c r="P748">
        <v>0</v>
      </c>
      <c r="Q748">
        <v>1</v>
      </c>
      <c r="R748" t="s">
        <v>40438</v>
      </c>
      <c r="S748" t="s">
        <v>40582</v>
      </c>
      <c r="T748" t="s">
        <v>42133</v>
      </c>
      <c r="U748" t="s">
        <v>43288</v>
      </c>
      <c r="W748" t="s">
        <v>37374</v>
      </c>
      <c r="X748" t="s">
        <v>40439</v>
      </c>
    </row>
    <row r="749" spans="1:24">
      <c r="A749">
        <f>HYPERLINK("https://www.philgeps.gov.ph/GEPSNONPILOT/Tender/SplashBidNoticeAbstractUI.aspx?menuIndex=3&amp;refID=7047795&amp;Result=3","7047795")</f>
        <v>0</v>
      </c>
      <c r="B749" t="s">
        <v>395</v>
      </c>
      <c r="C749" t="s">
        <v>3823</v>
      </c>
      <c r="E749" t="s">
        <v>17007</v>
      </c>
      <c r="F749" t="s">
        <v>28198</v>
      </c>
      <c r="G749" t="s">
        <v>28207</v>
      </c>
      <c r="H749" t="s">
        <v>28215</v>
      </c>
      <c r="I749" t="s">
        <v>5082</v>
      </c>
      <c r="J749" t="s">
        <v>28756</v>
      </c>
      <c r="K749" t="s">
        <v>36689</v>
      </c>
      <c r="M749" t="s">
        <v>37375</v>
      </c>
      <c r="N749" t="s">
        <v>40436</v>
      </c>
      <c r="O749" t="s">
        <v>40437</v>
      </c>
      <c r="P749">
        <v>0</v>
      </c>
      <c r="Q749">
        <v>0</v>
      </c>
      <c r="R749" t="s">
        <v>40438</v>
      </c>
      <c r="S749" t="s">
        <v>40582</v>
      </c>
      <c r="T749" t="s">
        <v>42175</v>
      </c>
      <c r="U749" t="s">
        <v>43289</v>
      </c>
      <c r="W749" t="s">
        <v>37375</v>
      </c>
      <c r="X749" t="s">
        <v>40439</v>
      </c>
    </row>
    <row r="750" spans="1:24">
      <c r="A750">
        <f>HYPERLINK("https://www.philgeps.gov.ph/GEPSNONPILOT/Tender/SplashBidNoticeAbstractUI.aspx?menuIndex=3&amp;refID=7047794&amp;Result=3","7047794")</f>
        <v>0</v>
      </c>
      <c r="B750" t="s">
        <v>396</v>
      </c>
      <c r="C750" t="s">
        <v>3824</v>
      </c>
      <c r="D750" t="s">
        <v>16198</v>
      </c>
      <c r="E750" t="s">
        <v>17008</v>
      </c>
      <c r="F750" t="s">
        <v>28198</v>
      </c>
      <c r="G750" t="s">
        <v>28207</v>
      </c>
      <c r="H750" t="s">
        <v>28215</v>
      </c>
      <c r="I750" t="s">
        <v>5082</v>
      </c>
      <c r="J750" t="s">
        <v>28386</v>
      </c>
      <c r="K750" t="s">
        <v>36693</v>
      </c>
      <c r="M750" t="s">
        <v>37376</v>
      </c>
      <c r="N750" t="s">
        <v>40436</v>
      </c>
      <c r="O750" t="s">
        <v>40437</v>
      </c>
      <c r="P750">
        <v>0</v>
      </c>
      <c r="Q750">
        <v>0</v>
      </c>
      <c r="R750" t="s">
        <v>40438</v>
      </c>
      <c r="S750" t="s">
        <v>40582</v>
      </c>
      <c r="T750" t="s">
        <v>42111</v>
      </c>
      <c r="U750" t="s">
        <v>43290</v>
      </c>
      <c r="W750" t="s">
        <v>37376</v>
      </c>
      <c r="X750" t="s">
        <v>40439</v>
      </c>
    </row>
    <row r="751" spans="1:24">
      <c r="A751">
        <f>HYPERLINK("https://www.philgeps.gov.ph/GEPSNONPILOT/Tender/SplashBidNoticeAbstractUI.aspx?menuIndex=3&amp;refID=7047782&amp;Result=3","7047782")</f>
        <v>0</v>
      </c>
      <c r="B751" t="s">
        <v>397</v>
      </c>
      <c r="C751" t="s">
        <v>3825</v>
      </c>
      <c r="D751" t="s">
        <v>16204</v>
      </c>
      <c r="E751" t="s">
        <v>17009</v>
      </c>
      <c r="F751" t="s">
        <v>28198</v>
      </c>
      <c r="G751" t="s">
        <v>28205</v>
      </c>
      <c r="H751" t="s">
        <v>28215</v>
      </c>
      <c r="I751" t="s">
        <v>8888</v>
      </c>
      <c r="J751" t="s">
        <v>28909</v>
      </c>
      <c r="K751" t="s">
        <v>36689</v>
      </c>
      <c r="M751" t="s">
        <v>37377</v>
      </c>
      <c r="N751" t="s">
        <v>40436</v>
      </c>
      <c r="O751" t="s">
        <v>40437</v>
      </c>
      <c r="P751">
        <v>0</v>
      </c>
      <c r="Q751">
        <v>6</v>
      </c>
      <c r="R751" t="s">
        <v>40438</v>
      </c>
      <c r="S751" t="s">
        <v>40582</v>
      </c>
      <c r="T751" t="s">
        <v>42112</v>
      </c>
      <c r="U751" t="s">
        <v>43291</v>
      </c>
      <c r="W751" t="s">
        <v>37377</v>
      </c>
      <c r="X751" t="s">
        <v>40439</v>
      </c>
    </row>
    <row r="752" spans="1:24">
      <c r="A752">
        <f>HYPERLINK("https://www.philgeps.gov.ph/GEPSNONPILOT/Tender/SplashBidNoticeAbstractUI.aspx?menuIndex=3&amp;refID=7047793&amp;Result=3","7047793")</f>
        <v>0</v>
      </c>
      <c r="B752" t="s">
        <v>398</v>
      </c>
      <c r="C752" t="s">
        <v>3826</v>
      </c>
      <c r="D752" t="s">
        <v>16189</v>
      </c>
      <c r="E752" t="s">
        <v>17010</v>
      </c>
      <c r="F752" t="s">
        <v>28198</v>
      </c>
      <c r="G752" t="s">
        <v>28207</v>
      </c>
      <c r="H752" t="s">
        <v>28215</v>
      </c>
      <c r="I752" t="s">
        <v>8888</v>
      </c>
      <c r="J752" t="s">
        <v>28529</v>
      </c>
      <c r="K752" t="s">
        <v>36691</v>
      </c>
      <c r="M752" t="s">
        <v>37378</v>
      </c>
      <c r="N752" t="s">
        <v>40436</v>
      </c>
      <c r="O752" t="s">
        <v>40437</v>
      </c>
      <c r="P752">
        <v>0</v>
      </c>
      <c r="Q752">
        <v>2</v>
      </c>
      <c r="R752" t="s">
        <v>40438</v>
      </c>
      <c r="S752" t="s">
        <v>40582</v>
      </c>
      <c r="T752" t="s">
        <v>42175</v>
      </c>
      <c r="U752" t="s">
        <v>43292</v>
      </c>
      <c r="W752" t="s">
        <v>37378</v>
      </c>
      <c r="X752" t="s">
        <v>40439</v>
      </c>
    </row>
    <row r="753" spans="1:24">
      <c r="A753">
        <f>HYPERLINK("https://www.philgeps.gov.ph/GEPSNONPILOT/Tender/SplashBidNoticeAbstractUI.aspx?menuIndex=3&amp;refID=7047777&amp;Result=3","7047777")</f>
        <v>0</v>
      </c>
      <c r="B753" t="s">
        <v>317</v>
      </c>
      <c r="C753" t="s">
        <v>3827</v>
      </c>
      <c r="D753" t="s">
        <v>16223</v>
      </c>
      <c r="E753" t="s">
        <v>17011</v>
      </c>
      <c r="F753" t="s">
        <v>28198</v>
      </c>
      <c r="G753" t="s">
        <v>28205</v>
      </c>
      <c r="H753" t="s">
        <v>28215</v>
      </c>
      <c r="I753" t="s">
        <v>4168</v>
      </c>
      <c r="J753" t="s">
        <v>28910</v>
      </c>
      <c r="K753" t="s">
        <v>36694</v>
      </c>
      <c r="M753" t="s">
        <v>37295</v>
      </c>
      <c r="N753" t="s">
        <v>40436</v>
      </c>
      <c r="O753" t="s">
        <v>40437</v>
      </c>
      <c r="P753">
        <v>0</v>
      </c>
      <c r="Q753">
        <v>6</v>
      </c>
      <c r="R753" t="s">
        <v>40438</v>
      </c>
      <c r="S753" t="s">
        <v>40582</v>
      </c>
      <c r="T753" t="s">
        <v>42202</v>
      </c>
      <c r="U753" t="s">
        <v>43293</v>
      </c>
      <c r="W753" t="s">
        <v>37295</v>
      </c>
      <c r="X753" t="s">
        <v>40439</v>
      </c>
    </row>
    <row r="754" spans="1:24">
      <c r="A754">
        <f>HYPERLINK("https://www.philgeps.gov.ph/GEPSNONPILOT/Tender/SplashBidNoticeAbstractUI.aspx?menuIndex=3&amp;refID=7047779&amp;Result=3","7047779")</f>
        <v>0</v>
      </c>
      <c r="B754" t="s">
        <v>346</v>
      </c>
      <c r="C754" t="s">
        <v>3828</v>
      </c>
      <c r="D754" t="s">
        <v>16217</v>
      </c>
      <c r="E754" t="s">
        <v>17012</v>
      </c>
      <c r="F754" t="s">
        <v>28198</v>
      </c>
      <c r="G754" t="s">
        <v>28205</v>
      </c>
      <c r="H754" t="s">
        <v>28214</v>
      </c>
      <c r="I754" t="s">
        <v>3797</v>
      </c>
      <c r="J754" t="s">
        <v>28911</v>
      </c>
      <c r="K754" t="s">
        <v>36715</v>
      </c>
      <c r="M754" t="s">
        <v>37325</v>
      </c>
      <c r="N754" t="s">
        <v>40436</v>
      </c>
      <c r="O754" t="s">
        <v>40437</v>
      </c>
      <c r="P754">
        <v>0</v>
      </c>
      <c r="Q754">
        <v>0</v>
      </c>
      <c r="R754" t="s">
        <v>40438</v>
      </c>
      <c r="S754" t="s">
        <v>40582</v>
      </c>
      <c r="T754" t="s">
        <v>42168</v>
      </c>
      <c r="U754" t="s">
        <v>43294</v>
      </c>
      <c r="V754" t="s">
        <v>53861</v>
      </c>
      <c r="W754" t="s">
        <v>37325</v>
      </c>
      <c r="X754" t="s">
        <v>40439</v>
      </c>
    </row>
    <row r="755" spans="1:24">
      <c r="A755">
        <f>HYPERLINK("https://www.philgeps.gov.ph/GEPSNONPILOT/Tender/SplashBidNoticeAbstractUI.aspx?menuIndex=3&amp;refID=7047781&amp;Result=3","7047781")</f>
        <v>0</v>
      </c>
      <c r="B755" t="s">
        <v>399</v>
      </c>
      <c r="C755" t="s">
        <v>3829</v>
      </c>
      <c r="D755" t="s">
        <v>16260</v>
      </c>
      <c r="E755" t="s">
        <v>17013</v>
      </c>
      <c r="F755" t="s">
        <v>28198</v>
      </c>
      <c r="G755" t="s">
        <v>28207</v>
      </c>
      <c r="H755" t="s">
        <v>28215</v>
      </c>
      <c r="I755" t="s">
        <v>28219</v>
      </c>
      <c r="J755" t="s">
        <v>28912</v>
      </c>
      <c r="K755" t="s">
        <v>36688</v>
      </c>
      <c r="M755" t="s">
        <v>37379</v>
      </c>
      <c r="N755" t="s">
        <v>40436</v>
      </c>
      <c r="O755" t="s">
        <v>40437</v>
      </c>
      <c r="P755">
        <v>0</v>
      </c>
      <c r="Q755">
        <v>2</v>
      </c>
      <c r="R755" t="s">
        <v>40438</v>
      </c>
      <c r="S755" t="s">
        <v>40582</v>
      </c>
      <c r="T755" t="s">
        <v>42103</v>
      </c>
      <c r="U755" t="s">
        <v>43295</v>
      </c>
      <c r="W755" t="s">
        <v>37379</v>
      </c>
      <c r="X755" t="s">
        <v>40439</v>
      </c>
    </row>
    <row r="756" spans="1:24">
      <c r="A756">
        <f>HYPERLINK("https://www.philgeps.gov.ph/GEPSNONPILOT/Tender/SplashBidNoticeAbstractUI.aspx?menuIndex=3&amp;refID=7047778&amp;Result=3","7047778")</f>
        <v>0</v>
      </c>
      <c r="B756" t="s">
        <v>400</v>
      </c>
      <c r="C756" t="s">
        <v>3830</v>
      </c>
      <c r="D756" t="s">
        <v>16210</v>
      </c>
      <c r="E756" t="s">
        <v>17014</v>
      </c>
      <c r="F756" t="s">
        <v>28198</v>
      </c>
      <c r="G756" t="s">
        <v>28207</v>
      </c>
      <c r="H756" t="s">
        <v>28215</v>
      </c>
      <c r="I756" t="s">
        <v>28224</v>
      </c>
      <c r="J756" t="s">
        <v>28913</v>
      </c>
      <c r="K756" t="s">
        <v>36689</v>
      </c>
      <c r="M756" t="s">
        <v>37380</v>
      </c>
      <c r="N756" t="s">
        <v>40436</v>
      </c>
      <c r="O756" t="s">
        <v>40437</v>
      </c>
      <c r="P756">
        <v>0</v>
      </c>
      <c r="Q756">
        <v>2</v>
      </c>
      <c r="R756" t="s">
        <v>40438</v>
      </c>
      <c r="S756" t="s">
        <v>40582</v>
      </c>
      <c r="T756" t="s">
        <v>42160</v>
      </c>
      <c r="U756" t="s">
        <v>43296</v>
      </c>
      <c r="W756" t="s">
        <v>37380</v>
      </c>
      <c r="X756" t="s">
        <v>40439</v>
      </c>
    </row>
    <row r="757" spans="1:24">
      <c r="A757">
        <f>HYPERLINK("https://www.philgeps.gov.ph/GEPSNONPILOT/Tender/SplashBidNoticeAbstractUI.aspx?menuIndex=3&amp;refID=7047791&amp;Result=3","7047791")</f>
        <v>0</v>
      </c>
      <c r="B757" t="s">
        <v>382</v>
      </c>
      <c r="C757" t="s">
        <v>3831</v>
      </c>
      <c r="D757" t="s">
        <v>16214</v>
      </c>
      <c r="E757" t="s">
        <v>17015</v>
      </c>
      <c r="F757" t="s">
        <v>28198</v>
      </c>
      <c r="G757" t="s">
        <v>28206</v>
      </c>
      <c r="H757" t="s">
        <v>28215</v>
      </c>
      <c r="I757" t="s">
        <v>5082</v>
      </c>
      <c r="J757" t="s">
        <v>28914</v>
      </c>
      <c r="K757" t="s">
        <v>36688</v>
      </c>
      <c r="M757" t="s">
        <v>37381</v>
      </c>
      <c r="N757" t="s">
        <v>40436</v>
      </c>
      <c r="O757" t="s">
        <v>40437</v>
      </c>
      <c r="P757">
        <v>0</v>
      </c>
      <c r="Q757">
        <v>1</v>
      </c>
      <c r="R757" t="s">
        <v>40438</v>
      </c>
      <c r="S757" t="s">
        <v>40582</v>
      </c>
      <c r="T757" t="s">
        <v>42218</v>
      </c>
      <c r="U757" t="s">
        <v>43297</v>
      </c>
      <c r="W757" t="s">
        <v>37381</v>
      </c>
      <c r="X757" t="s">
        <v>40439</v>
      </c>
    </row>
    <row r="758" spans="1:24">
      <c r="A758">
        <f>HYPERLINK("https://www.philgeps.gov.ph/GEPSNONPILOT/Tender/SplashBidNoticeAbstractUI.aspx?menuIndex=3&amp;refID=7047800&amp;Result=3","7047800")</f>
        <v>0</v>
      </c>
      <c r="B758" t="s">
        <v>129</v>
      </c>
      <c r="C758" t="s">
        <v>3832</v>
      </c>
      <c r="D758" t="s">
        <v>16210</v>
      </c>
      <c r="E758" t="s">
        <v>17016</v>
      </c>
      <c r="F758" t="s">
        <v>28198</v>
      </c>
      <c r="G758" t="s">
        <v>28206</v>
      </c>
      <c r="H758" t="s">
        <v>28215</v>
      </c>
      <c r="I758" t="s">
        <v>8888</v>
      </c>
      <c r="J758" t="s">
        <v>28915</v>
      </c>
      <c r="K758" t="s">
        <v>36706</v>
      </c>
      <c r="M758" t="s">
        <v>37151</v>
      </c>
      <c r="N758" t="s">
        <v>40436</v>
      </c>
      <c r="O758" t="s">
        <v>40437</v>
      </c>
      <c r="P758">
        <v>0</v>
      </c>
      <c r="Q758">
        <v>2</v>
      </c>
      <c r="R758" t="s">
        <v>40438</v>
      </c>
      <c r="S758" t="s">
        <v>40582</v>
      </c>
      <c r="T758" t="s">
        <v>42156</v>
      </c>
      <c r="U758" t="s">
        <v>43298</v>
      </c>
      <c r="V758" t="s">
        <v>53812</v>
      </c>
      <c r="W758" t="s">
        <v>37151</v>
      </c>
      <c r="X758" t="s">
        <v>40439</v>
      </c>
    </row>
    <row r="759" spans="1:24">
      <c r="A759">
        <f>HYPERLINK("https://www.philgeps.gov.ph/GEPSNONPILOT/Tender/SplashBidNoticeAbstractUI.aspx?menuIndex=3&amp;refID=7047801&amp;Result=3","7047801")</f>
        <v>0</v>
      </c>
      <c r="B759" t="s">
        <v>323</v>
      </c>
      <c r="C759" t="s">
        <v>3833</v>
      </c>
      <c r="D759" t="s">
        <v>16238</v>
      </c>
      <c r="E759" t="s">
        <v>17017</v>
      </c>
      <c r="F759" t="s">
        <v>28198</v>
      </c>
      <c r="G759" t="s">
        <v>28205</v>
      </c>
      <c r="H759" t="s">
        <v>28215</v>
      </c>
      <c r="I759" t="s">
        <v>5100</v>
      </c>
      <c r="J759" t="s">
        <v>28916</v>
      </c>
      <c r="K759" t="s">
        <v>36689</v>
      </c>
      <c r="M759" t="s">
        <v>37301</v>
      </c>
      <c r="N759" t="s">
        <v>40436</v>
      </c>
      <c r="O759" t="s">
        <v>40437</v>
      </c>
      <c r="P759">
        <v>0</v>
      </c>
      <c r="Q759">
        <v>0</v>
      </c>
      <c r="R759" t="s">
        <v>40438</v>
      </c>
      <c r="S759" t="s">
        <v>40582</v>
      </c>
      <c r="T759" t="s">
        <v>42100</v>
      </c>
      <c r="U759" t="s">
        <v>43299</v>
      </c>
      <c r="W759" t="s">
        <v>55442</v>
      </c>
      <c r="X759" t="s">
        <v>40439</v>
      </c>
    </row>
    <row r="760" spans="1:24">
      <c r="A760">
        <f>HYPERLINK("https://www.philgeps.gov.ph/GEPSNONPILOT/Tender/SplashBidNoticeAbstractUI.aspx?menuIndex=3&amp;refID=7047780&amp;Result=3","7047780")</f>
        <v>0</v>
      </c>
      <c r="B760" t="s">
        <v>401</v>
      </c>
      <c r="C760" t="s">
        <v>3834</v>
      </c>
      <c r="D760" t="s">
        <v>16223</v>
      </c>
      <c r="E760" t="s">
        <v>17018</v>
      </c>
      <c r="F760" t="s">
        <v>28198</v>
      </c>
      <c r="G760" t="s">
        <v>28207</v>
      </c>
      <c r="H760" t="s">
        <v>28215</v>
      </c>
      <c r="I760" t="s">
        <v>5100</v>
      </c>
      <c r="J760" t="s">
        <v>28917</v>
      </c>
      <c r="K760" t="s">
        <v>36691</v>
      </c>
      <c r="M760" t="s">
        <v>37382</v>
      </c>
      <c r="N760" t="s">
        <v>40436</v>
      </c>
      <c r="O760" t="s">
        <v>40437</v>
      </c>
      <c r="P760">
        <v>0</v>
      </c>
      <c r="Q760">
        <v>0</v>
      </c>
      <c r="R760" t="s">
        <v>40438</v>
      </c>
      <c r="S760" t="s">
        <v>40582</v>
      </c>
      <c r="T760" t="s">
        <v>42103</v>
      </c>
      <c r="U760" t="s">
        <v>43300</v>
      </c>
      <c r="W760" t="s">
        <v>37382</v>
      </c>
      <c r="X760" t="s">
        <v>40439</v>
      </c>
    </row>
    <row r="761" spans="1:24">
      <c r="A761">
        <f>HYPERLINK("https://www.philgeps.gov.ph/GEPSNONPILOT/Tender/SplashBidNoticeAbstractUI.aspx?menuIndex=3&amp;refID=7047776&amp;Result=3","7047776")</f>
        <v>0</v>
      </c>
      <c r="B761" t="s">
        <v>402</v>
      </c>
      <c r="C761" t="s">
        <v>3835</v>
      </c>
      <c r="D761" t="s">
        <v>16217</v>
      </c>
      <c r="E761" t="s">
        <v>17019</v>
      </c>
      <c r="F761" t="s">
        <v>28198</v>
      </c>
      <c r="G761" t="s">
        <v>28205</v>
      </c>
      <c r="H761" t="s">
        <v>28214</v>
      </c>
      <c r="I761" t="s">
        <v>3797</v>
      </c>
      <c r="J761" t="s">
        <v>28918</v>
      </c>
      <c r="K761" t="s">
        <v>36697</v>
      </c>
      <c r="M761" t="s">
        <v>37383</v>
      </c>
      <c r="N761" t="s">
        <v>40436</v>
      </c>
      <c r="O761" t="s">
        <v>40437</v>
      </c>
      <c r="P761">
        <v>0</v>
      </c>
      <c r="Q761">
        <v>1</v>
      </c>
      <c r="R761" t="s">
        <v>40438</v>
      </c>
      <c r="S761" t="s">
        <v>40582</v>
      </c>
      <c r="T761" t="s">
        <v>42166</v>
      </c>
      <c r="U761" t="s">
        <v>43301</v>
      </c>
      <c r="W761" t="s">
        <v>37383</v>
      </c>
      <c r="X761" t="s">
        <v>40439</v>
      </c>
    </row>
    <row r="762" spans="1:24">
      <c r="A762">
        <f>HYPERLINK("https://www.philgeps.gov.ph/GEPSNONPILOT/Tender/SplashBidNoticeAbstractUI.aspx?menuIndex=3&amp;refID=7047813&amp;Result=3","7047813")</f>
        <v>0</v>
      </c>
      <c r="B762" t="s">
        <v>398</v>
      </c>
      <c r="C762" t="s">
        <v>3836</v>
      </c>
      <c r="D762" t="s">
        <v>16189</v>
      </c>
      <c r="E762" t="s">
        <v>17010</v>
      </c>
      <c r="F762" t="s">
        <v>28198</v>
      </c>
      <c r="G762" t="s">
        <v>28207</v>
      </c>
      <c r="H762" t="s">
        <v>28215</v>
      </c>
      <c r="I762" t="s">
        <v>28281</v>
      </c>
      <c r="J762" t="s">
        <v>28878</v>
      </c>
      <c r="K762" t="s">
        <v>36693</v>
      </c>
      <c r="M762" t="s">
        <v>37378</v>
      </c>
      <c r="N762" t="s">
        <v>40436</v>
      </c>
      <c r="O762" t="s">
        <v>40437</v>
      </c>
      <c r="P762">
        <v>0</v>
      </c>
      <c r="Q762">
        <v>2</v>
      </c>
      <c r="R762" t="s">
        <v>40438</v>
      </c>
      <c r="S762" t="s">
        <v>40582</v>
      </c>
      <c r="T762" t="s">
        <v>42175</v>
      </c>
      <c r="U762" t="s">
        <v>43302</v>
      </c>
      <c r="W762" t="s">
        <v>37378</v>
      </c>
      <c r="X762" t="s">
        <v>40439</v>
      </c>
    </row>
    <row r="763" spans="1:24">
      <c r="A763">
        <f>HYPERLINK("https://www.philgeps.gov.ph/GEPSNONPILOT/Tender/SplashBidNoticeAbstractUI.aspx?menuIndex=3&amp;refID=7047812&amp;Result=3","7047812")</f>
        <v>0</v>
      </c>
      <c r="B763" t="s">
        <v>294</v>
      </c>
      <c r="C763" t="s">
        <v>3837</v>
      </c>
      <c r="D763" t="s">
        <v>16213</v>
      </c>
      <c r="E763" t="s">
        <v>17020</v>
      </c>
      <c r="F763" t="s">
        <v>28198</v>
      </c>
      <c r="G763" t="s">
        <v>28205</v>
      </c>
      <c r="H763" t="s">
        <v>28214</v>
      </c>
      <c r="I763" t="s">
        <v>3797</v>
      </c>
      <c r="J763" t="s">
        <v>28390</v>
      </c>
      <c r="K763" t="s">
        <v>36741</v>
      </c>
      <c r="M763" t="s">
        <v>37271</v>
      </c>
      <c r="N763" t="s">
        <v>40436</v>
      </c>
      <c r="O763" t="s">
        <v>40437</v>
      </c>
      <c r="P763">
        <v>0</v>
      </c>
      <c r="Q763">
        <v>1</v>
      </c>
      <c r="R763" t="s">
        <v>40438</v>
      </c>
      <c r="S763" t="s">
        <v>40582</v>
      </c>
      <c r="T763" t="s">
        <v>42108</v>
      </c>
      <c r="U763" t="s">
        <v>43303</v>
      </c>
      <c r="W763" t="s">
        <v>37271</v>
      </c>
      <c r="X763" t="s">
        <v>40439</v>
      </c>
    </row>
    <row r="764" spans="1:24">
      <c r="A764">
        <f>HYPERLINK("https://www.philgeps.gov.ph/GEPSNONPILOT/Tender/SplashBidNoticeAbstractUI.aspx?menuIndex=3&amp;refID=7047815&amp;Result=3","7047815")</f>
        <v>0</v>
      </c>
      <c r="B764" t="s">
        <v>343</v>
      </c>
      <c r="C764" t="s">
        <v>3838</v>
      </c>
      <c r="D764" t="s">
        <v>16235</v>
      </c>
      <c r="E764" t="s">
        <v>17021</v>
      </c>
      <c r="F764" t="s">
        <v>28198</v>
      </c>
      <c r="G764" t="s">
        <v>28207</v>
      </c>
      <c r="H764" t="s">
        <v>28215</v>
      </c>
      <c r="I764" t="s">
        <v>4219</v>
      </c>
      <c r="J764" t="s">
        <v>28919</v>
      </c>
      <c r="K764" t="s">
        <v>36708</v>
      </c>
      <c r="M764" t="s">
        <v>37322</v>
      </c>
      <c r="N764" t="s">
        <v>40436</v>
      </c>
      <c r="O764" t="s">
        <v>40437</v>
      </c>
      <c r="P764">
        <v>0</v>
      </c>
      <c r="Q764">
        <v>0</v>
      </c>
      <c r="R764" t="s">
        <v>40438</v>
      </c>
      <c r="S764" t="s">
        <v>40582</v>
      </c>
      <c r="T764" t="s">
        <v>42176</v>
      </c>
      <c r="U764" t="s">
        <v>43304</v>
      </c>
      <c r="W764" t="s">
        <v>37322</v>
      </c>
      <c r="X764" t="s">
        <v>40439</v>
      </c>
    </row>
    <row r="765" spans="1:24">
      <c r="A765">
        <f>HYPERLINK("https://www.philgeps.gov.ph/GEPSNONPILOT/Tender/SplashBidNoticeAbstractUI.aspx?menuIndex=3&amp;refID=7047823&amp;Result=3","7047823")</f>
        <v>0</v>
      </c>
      <c r="B765" t="s">
        <v>403</v>
      </c>
      <c r="C765" t="s">
        <v>3839</v>
      </c>
      <c r="D765" t="s">
        <v>16188</v>
      </c>
      <c r="E765" t="s">
        <v>17022</v>
      </c>
      <c r="F765" t="s">
        <v>28198</v>
      </c>
      <c r="G765" t="s">
        <v>28205</v>
      </c>
      <c r="H765" t="s">
        <v>28215</v>
      </c>
      <c r="I765" t="s">
        <v>28232</v>
      </c>
      <c r="J765" t="s">
        <v>28378</v>
      </c>
      <c r="K765" t="s">
        <v>36701</v>
      </c>
      <c r="M765" t="s">
        <v>37384</v>
      </c>
      <c r="N765" t="s">
        <v>40436</v>
      </c>
      <c r="O765" t="s">
        <v>40437</v>
      </c>
      <c r="P765">
        <v>0</v>
      </c>
      <c r="Q765">
        <v>5</v>
      </c>
      <c r="R765" t="s">
        <v>40438</v>
      </c>
      <c r="S765" t="s">
        <v>40582</v>
      </c>
      <c r="T765" t="s">
        <v>42219</v>
      </c>
      <c r="U765" t="s">
        <v>43305</v>
      </c>
      <c r="W765" t="s">
        <v>37384</v>
      </c>
      <c r="X765" t="s">
        <v>40439</v>
      </c>
    </row>
    <row r="766" spans="1:24">
      <c r="A766">
        <f>HYPERLINK("https://www.philgeps.gov.ph/GEPSNONPILOT/Tender/SplashBidNoticeAbstractUI.aspx?menuIndex=3&amp;refID=7047820&amp;Result=3","7047820")</f>
        <v>0</v>
      </c>
      <c r="B766" t="s">
        <v>404</v>
      </c>
      <c r="C766" t="s">
        <v>3840</v>
      </c>
      <c r="E766" t="s">
        <v>17023</v>
      </c>
      <c r="F766" t="s">
        <v>28198</v>
      </c>
      <c r="G766" t="s">
        <v>28207</v>
      </c>
      <c r="H766" t="s">
        <v>28215</v>
      </c>
      <c r="I766" t="s">
        <v>4168</v>
      </c>
      <c r="J766" t="s">
        <v>28920</v>
      </c>
      <c r="K766" t="s">
        <v>36689</v>
      </c>
      <c r="M766" t="s">
        <v>37385</v>
      </c>
      <c r="N766" t="s">
        <v>40436</v>
      </c>
      <c r="O766" t="s">
        <v>40437</v>
      </c>
      <c r="P766">
        <v>0</v>
      </c>
      <c r="Q766">
        <v>8</v>
      </c>
      <c r="R766" t="s">
        <v>40438</v>
      </c>
      <c r="S766" t="s">
        <v>40582</v>
      </c>
      <c r="T766" t="s">
        <v>42193</v>
      </c>
      <c r="U766" t="s">
        <v>43306</v>
      </c>
      <c r="V766" t="s">
        <v>53878</v>
      </c>
      <c r="W766" t="s">
        <v>37385</v>
      </c>
      <c r="X766" t="s">
        <v>40439</v>
      </c>
    </row>
    <row r="767" spans="1:24">
      <c r="A767">
        <f>HYPERLINK("https://www.philgeps.gov.ph/GEPSNONPILOT/Tender/SplashBidNoticeAbstractUI.aspx?menuIndex=3&amp;refID=7047825&amp;Result=3","7047825")</f>
        <v>0</v>
      </c>
      <c r="B767" t="s">
        <v>405</v>
      </c>
      <c r="C767" t="s">
        <v>3841</v>
      </c>
      <c r="D767" t="s">
        <v>16191</v>
      </c>
      <c r="E767" t="s">
        <v>17024</v>
      </c>
      <c r="F767" t="s">
        <v>28198</v>
      </c>
      <c r="G767" t="s">
        <v>28207</v>
      </c>
      <c r="H767" t="s">
        <v>28215</v>
      </c>
      <c r="I767" t="s">
        <v>28251</v>
      </c>
      <c r="J767" t="s">
        <v>28393</v>
      </c>
      <c r="K767" t="s">
        <v>36688</v>
      </c>
      <c r="M767" t="s">
        <v>37386</v>
      </c>
      <c r="N767" t="s">
        <v>40436</v>
      </c>
      <c r="O767" t="s">
        <v>40437</v>
      </c>
      <c r="P767">
        <v>0</v>
      </c>
      <c r="Q767">
        <v>8</v>
      </c>
      <c r="R767" t="s">
        <v>40438</v>
      </c>
      <c r="S767" t="s">
        <v>40582</v>
      </c>
      <c r="T767" t="s">
        <v>42111</v>
      </c>
      <c r="U767" t="s">
        <v>43307</v>
      </c>
      <c r="W767" t="s">
        <v>37386</v>
      </c>
      <c r="X767" t="s">
        <v>40439</v>
      </c>
    </row>
    <row r="768" spans="1:24">
      <c r="A768">
        <f>HYPERLINK("https://www.philgeps.gov.ph/GEPSNONPILOT/Tender/SplashBidNoticeAbstractUI.aspx?menuIndex=3&amp;refID=7047806&amp;Result=3","7047806")</f>
        <v>0</v>
      </c>
      <c r="B768" t="s">
        <v>341</v>
      </c>
      <c r="C768" t="s">
        <v>3842</v>
      </c>
      <c r="D768" t="s">
        <v>16199</v>
      </c>
      <c r="E768" t="s">
        <v>17025</v>
      </c>
      <c r="F768" t="s">
        <v>28198</v>
      </c>
      <c r="G768" t="s">
        <v>28205</v>
      </c>
      <c r="H768" t="s">
        <v>28215</v>
      </c>
      <c r="I768" t="s">
        <v>28243</v>
      </c>
      <c r="J768" t="s">
        <v>28921</v>
      </c>
      <c r="K768" t="s">
        <v>36689</v>
      </c>
      <c r="M768" t="s">
        <v>37319</v>
      </c>
      <c r="N768" t="s">
        <v>40436</v>
      </c>
      <c r="O768" t="s">
        <v>40437</v>
      </c>
      <c r="P768">
        <v>0</v>
      </c>
      <c r="Q768">
        <v>1</v>
      </c>
      <c r="R768" t="s">
        <v>40438</v>
      </c>
      <c r="S768" t="s">
        <v>40582</v>
      </c>
      <c r="T768" t="s">
        <v>42155</v>
      </c>
      <c r="U768" t="s">
        <v>43308</v>
      </c>
      <c r="W768" t="s">
        <v>37319</v>
      </c>
      <c r="X768" t="s">
        <v>40439</v>
      </c>
    </row>
    <row r="769" spans="1:24">
      <c r="A769">
        <f>HYPERLINK("https://www.philgeps.gov.ph/GEPSNONPILOT/Tender/SplashBidNoticeAbstractUI.aspx?menuIndex=3&amp;refID=7047824&amp;Result=3","7047824")</f>
        <v>0</v>
      </c>
      <c r="B769" t="s">
        <v>382</v>
      </c>
      <c r="C769" t="s">
        <v>3843</v>
      </c>
      <c r="D769" t="s">
        <v>16214</v>
      </c>
      <c r="E769" t="s">
        <v>17026</v>
      </c>
      <c r="F769" t="s">
        <v>28198</v>
      </c>
      <c r="G769" t="s">
        <v>28206</v>
      </c>
      <c r="H769" t="s">
        <v>28215</v>
      </c>
      <c r="I769" t="s">
        <v>28284</v>
      </c>
      <c r="J769" t="s">
        <v>28922</v>
      </c>
      <c r="K769" t="s">
        <v>36688</v>
      </c>
      <c r="M769" t="s">
        <v>37362</v>
      </c>
      <c r="N769" t="s">
        <v>40436</v>
      </c>
      <c r="O769" t="s">
        <v>40437</v>
      </c>
      <c r="P769">
        <v>0</v>
      </c>
      <c r="Q769">
        <v>0</v>
      </c>
      <c r="R769" t="s">
        <v>40438</v>
      </c>
      <c r="S769" t="s">
        <v>40582</v>
      </c>
      <c r="T769" t="s">
        <v>42216</v>
      </c>
      <c r="U769" t="s">
        <v>43309</v>
      </c>
      <c r="W769" t="s">
        <v>37362</v>
      </c>
      <c r="X769" t="s">
        <v>40439</v>
      </c>
    </row>
    <row r="770" spans="1:24">
      <c r="A770">
        <f>HYPERLINK("https://www.philgeps.gov.ph/GEPSNONPILOT/Tender/SplashBidNoticeAbstractUI.aspx?menuIndex=3&amp;refID=7047822&amp;Result=3","7047822")</f>
        <v>0</v>
      </c>
      <c r="B770" t="s">
        <v>406</v>
      </c>
      <c r="C770" t="s">
        <v>3844</v>
      </c>
      <c r="D770" t="s">
        <v>16203</v>
      </c>
      <c r="E770" t="s">
        <v>17027</v>
      </c>
      <c r="F770" t="s">
        <v>28198</v>
      </c>
      <c r="G770" t="s">
        <v>28205</v>
      </c>
      <c r="H770" t="s">
        <v>28215</v>
      </c>
      <c r="I770" t="s">
        <v>5100</v>
      </c>
      <c r="J770" t="s">
        <v>28923</v>
      </c>
      <c r="K770" t="s">
        <v>36707</v>
      </c>
      <c r="M770" t="s">
        <v>37387</v>
      </c>
      <c r="N770" t="s">
        <v>40436</v>
      </c>
      <c r="O770" t="s">
        <v>40437</v>
      </c>
      <c r="P770">
        <v>0</v>
      </c>
      <c r="Q770">
        <v>0</v>
      </c>
      <c r="R770" t="s">
        <v>40438</v>
      </c>
      <c r="S770" t="s">
        <v>40582</v>
      </c>
      <c r="T770" t="s">
        <v>42220</v>
      </c>
      <c r="U770" t="s">
        <v>43310</v>
      </c>
      <c r="W770" t="s">
        <v>37387</v>
      </c>
      <c r="X770" t="s">
        <v>40439</v>
      </c>
    </row>
    <row r="771" spans="1:24">
      <c r="A771">
        <f>HYPERLINK("https://www.philgeps.gov.ph/GEPSNONPILOT/Tender/SplashBidNoticeAbstractUI.aspx?menuIndex=3&amp;refID=7047818&amp;Result=3","7047818")</f>
        <v>0</v>
      </c>
      <c r="B771" t="s">
        <v>323</v>
      </c>
      <c r="C771" t="s">
        <v>3845</v>
      </c>
      <c r="D771" t="s">
        <v>16238</v>
      </c>
      <c r="E771" t="s">
        <v>17028</v>
      </c>
      <c r="F771" t="s">
        <v>28198</v>
      </c>
      <c r="G771" t="s">
        <v>28205</v>
      </c>
      <c r="H771" t="s">
        <v>28215</v>
      </c>
      <c r="I771" t="s">
        <v>5100</v>
      </c>
      <c r="J771" t="s">
        <v>28924</v>
      </c>
      <c r="K771" t="s">
        <v>36689</v>
      </c>
      <c r="M771" t="s">
        <v>37301</v>
      </c>
      <c r="N771" t="s">
        <v>40436</v>
      </c>
      <c r="O771" t="s">
        <v>40437</v>
      </c>
      <c r="P771">
        <v>0</v>
      </c>
      <c r="Q771">
        <v>0</v>
      </c>
      <c r="R771" t="s">
        <v>40438</v>
      </c>
      <c r="S771" t="s">
        <v>40582</v>
      </c>
      <c r="T771" t="s">
        <v>42100</v>
      </c>
      <c r="U771" t="s">
        <v>43311</v>
      </c>
      <c r="W771" t="s">
        <v>55442</v>
      </c>
      <c r="X771" t="s">
        <v>40439</v>
      </c>
    </row>
    <row r="772" spans="1:24">
      <c r="A772">
        <f>HYPERLINK("https://www.philgeps.gov.ph/GEPSNONPILOT/Tender/SplashBidNoticeAbstractUI.aspx?menuIndex=3&amp;refID=7047807&amp;Result=3","7047807")</f>
        <v>0</v>
      </c>
      <c r="B772" t="s">
        <v>363</v>
      </c>
      <c r="C772" t="s">
        <v>3846</v>
      </c>
      <c r="D772" t="s">
        <v>16190</v>
      </c>
      <c r="E772" t="s">
        <v>17029</v>
      </c>
      <c r="F772" t="s">
        <v>28198</v>
      </c>
      <c r="G772" t="s">
        <v>28207</v>
      </c>
      <c r="H772" t="s">
        <v>28215</v>
      </c>
      <c r="I772" t="s">
        <v>5100</v>
      </c>
      <c r="J772" t="s">
        <v>28925</v>
      </c>
      <c r="K772" t="s">
        <v>36698</v>
      </c>
      <c r="M772" t="s">
        <v>37342</v>
      </c>
      <c r="N772" t="s">
        <v>40436</v>
      </c>
      <c r="O772" t="s">
        <v>40437</v>
      </c>
      <c r="P772">
        <v>0</v>
      </c>
      <c r="Q772">
        <v>0</v>
      </c>
      <c r="R772" t="s">
        <v>40438</v>
      </c>
      <c r="S772" t="s">
        <v>40582</v>
      </c>
      <c r="T772" t="s">
        <v>42111</v>
      </c>
      <c r="U772" t="s">
        <v>43312</v>
      </c>
      <c r="W772" t="s">
        <v>37342</v>
      </c>
      <c r="X772" t="s">
        <v>40439</v>
      </c>
    </row>
    <row r="773" spans="1:24">
      <c r="A773">
        <f>HYPERLINK("https://www.philgeps.gov.ph/GEPSNONPILOT/Tender/SplashBidNoticeAbstractUI.aspx?menuIndex=3&amp;refID=7047817&amp;Result=3","7047817")</f>
        <v>0</v>
      </c>
      <c r="B773" t="s">
        <v>116</v>
      </c>
      <c r="C773" t="s">
        <v>3847</v>
      </c>
      <c r="D773" t="s">
        <v>16207</v>
      </c>
      <c r="E773" t="s">
        <v>17030</v>
      </c>
      <c r="F773" t="s">
        <v>28198</v>
      </c>
      <c r="G773" t="s">
        <v>28207</v>
      </c>
      <c r="H773" t="s">
        <v>28217</v>
      </c>
      <c r="I773" t="s">
        <v>5631</v>
      </c>
      <c r="J773" t="s">
        <v>28926</v>
      </c>
      <c r="K773" t="s">
        <v>36706</v>
      </c>
      <c r="M773" t="s">
        <v>37090</v>
      </c>
      <c r="N773" t="s">
        <v>40436</v>
      </c>
      <c r="O773" t="s">
        <v>40437</v>
      </c>
      <c r="P773">
        <v>0</v>
      </c>
      <c r="Q773">
        <v>0</v>
      </c>
      <c r="R773" t="s">
        <v>40438</v>
      </c>
      <c r="S773" t="s">
        <v>40582</v>
      </c>
      <c r="T773" t="s">
        <v>42103</v>
      </c>
      <c r="U773" t="s">
        <v>43313</v>
      </c>
      <c r="W773" t="s">
        <v>37090</v>
      </c>
      <c r="X773" t="s">
        <v>40439</v>
      </c>
    </row>
    <row r="774" spans="1:24">
      <c r="A774">
        <f>HYPERLINK("https://www.philgeps.gov.ph/GEPSNONPILOT/Tender/SplashBidNoticeAbstractUI.aspx?menuIndex=3&amp;refID=7047775&amp;Result=3","7047775")</f>
        <v>0</v>
      </c>
      <c r="B774" t="s">
        <v>108</v>
      </c>
      <c r="C774" t="s">
        <v>3848</v>
      </c>
      <c r="D774" t="s">
        <v>16190</v>
      </c>
      <c r="E774" t="s">
        <v>17031</v>
      </c>
      <c r="F774" t="s">
        <v>28198</v>
      </c>
      <c r="G774" t="s">
        <v>28207</v>
      </c>
      <c r="H774" t="s">
        <v>28215</v>
      </c>
      <c r="I774" t="s">
        <v>5100</v>
      </c>
      <c r="J774" t="s">
        <v>28358</v>
      </c>
      <c r="K774" t="s">
        <v>36698</v>
      </c>
      <c r="M774" t="s">
        <v>37388</v>
      </c>
      <c r="N774" t="s">
        <v>40436</v>
      </c>
      <c r="O774" t="s">
        <v>40437</v>
      </c>
      <c r="P774">
        <v>0</v>
      </c>
      <c r="Q774">
        <v>0</v>
      </c>
      <c r="R774" t="s">
        <v>40438</v>
      </c>
      <c r="S774" t="s">
        <v>40582</v>
      </c>
      <c r="T774" t="s">
        <v>42119</v>
      </c>
      <c r="U774" t="s">
        <v>43314</v>
      </c>
      <c r="W774" t="s">
        <v>37388</v>
      </c>
      <c r="X774" t="s">
        <v>40439</v>
      </c>
    </row>
    <row r="775" spans="1:24">
      <c r="A775">
        <f>HYPERLINK("https://www.philgeps.gov.ph/GEPSNONPILOT/Tender/SplashBidNoticeAbstractUI.aspx?menuIndex=3&amp;refID=7047803&amp;Result=3","7047803")</f>
        <v>0</v>
      </c>
      <c r="B775" t="s">
        <v>407</v>
      </c>
      <c r="C775" t="s">
        <v>3849</v>
      </c>
      <c r="D775" t="s">
        <v>16195</v>
      </c>
      <c r="E775" t="s">
        <v>17032</v>
      </c>
      <c r="F775" t="s">
        <v>28198</v>
      </c>
      <c r="G775" t="s">
        <v>28209</v>
      </c>
      <c r="H775" t="s">
        <v>28215</v>
      </c>
      <c r="I775" t="s">
        <v>6051</v>
      </c>
      <c r="J775" t="s">
        <v>28927</v>
      </c>
      <c r="K775" t="s">
        <v>36697</v>
      </c>
      <c r="M775" t="s">
        <v>37389</v>
      </c>
      <c r="N775" t="s">
        <v>40436</v>
      </c>
      <c r="O775" t="s">
        <v>40437</v>
      </c>
      <c r="P775">
        <v>0</v>
      </c>
      <c r="Q775">
        <v>3</v>
      </c>
      <c r="R775" t="s">
        <v>40438</v>
      </c>
      <c r="S775" t="s">
        <v>40582</v>
      </c>
      <c r="T775" t="s">
        <v>42115</v>
      </c>
      <c r="U775" t="s">
        <v>43315</v>
      </c>
      <c r="W775" t="s">
        <v>37389</v>
      </c>
      <c r="X775" t="s">
        <v>40439</v>
      </c>
    </row>
    <row r="776" spans="1:24">
      <c r="A776">
        <f>HYPERLINK("https://www.philgeps.gov.ph/GEPSNONPILOT/Tender/SplashBidNoticeAbstractUI.aspx?menuIndex=3&amp;refID=7047810&amp;Result=3","7047810")</f>
        <v>0</v>
      </c>
      <c r="B776" t="s">
        <v>55</v>
      </c>
      <c r="C776" t="s">
        <v>3850</v>
      </c>
      <c r="D776" t="s">
        <v>16206</v>
      </c>
      <c r="E776" t="s">
        <v>17033</v>
      </c>
      <c r="F776" t="s">
        <v>28198</v>
      </c>
      <c r="G776" t="s">
        <v>28207</v>
      </c>
      <c r="H776" t="s">
        <v>28215</v>
      </c>
      <c r="I776" t="s">
        <v>5100</v>
      </c>
      <c r="J776" t="s">
        <v>28928</v>
      </c>
      <c r="K776" t="s">
        <v>36706</v>
      </c>
      <c r="M776" t="s">
        <v>37026</v>
      </c>
      <c r="N776" t="s">
        <v>40436</v>
      </c>
      <c r="O776" t="s">
        <v>40437</v>
      </c>
      <c r="P776">
        <v>0</v>
      </c>
      <c r="Q776">
        <v>1</v>
      </c>
      <c r="R776" t="s">
        <v>40438</v>
      </c>
      <c r="S776" t="s">
        <v>40582</v>
      </c>
      <c r="T776" t="s">
        <v>42111</v>
      </c>
      <c r="U776" t="s">
        <v>43316</v>
      </c>
      <c r="W776" t="s">
        <v>37026</v>
      </c>
      <c r="X776" t="s">
        <v>40439</v>
      </c>
    </row>
    <row r="777" spans="1:24">
      <c r="A777">
        <f>HYPERLINK("https://www.philgeps.gov.ph/GEPSNONPILOT/Tender/SplashBidNoticeAbstractUI.aspx?menuIndex=3&amp;refID=7047805&amp;Result=3","7047805")</f>
        <v>0</v>
      </c>
      <c r="B777" t="s">
        <v>408</v>
      </c>
      <c r="C777" t="s">
        <v>3851</v>
      </c>
      <c r="D777" t="s">
        <v>16222</v>
      </c>
      <c r="E777" t="s">
        <v>17034</v>
      </c>
      <c r="F777" t="s">
        <v>28198</v>
      </c>
      <c r="G777" t="s">
        <v>28205</v>
      </c>
      <c r="H777" t="s">
        <v>28215</v>
      </c>
      <c r="I777" t="s">
        <v>5100</v>
      </c>
      <c r="J777" t="s">
        <v>28929</v>
      </c>
      <c r="K777" t="s">
        <v>36707</v>
      </c>
      <c r="M777" t="s">
        <v>37390</v>
      </c>
      <c r="N777" t="s">
        <v>40436</v>
      </c>
      <c r="O777" t="s">
        <v>40437</v>
      </c>
      <c r="P777">
        <v>0</v>
      </c>
      <c r="Q777">
        <v>1</v>
      </c>
      <c r="R777" t="s">
        <v>40438</v>
      </c>
      <c r="S777" t="s">
        <v>40582</v>
      </c>
      <c r="T777" t="s">
        <v>42144</v>
      </c>
      <c r="U777" t="s">
        <v>43317</v>
      </c>
      <c r="W777" t="s">
        <v>37390</v>
      </c>
      <c r="X777" t="s">
        <v>40439</v>
      </c>
    </row>
    <row r="778" spans="1:24">
      <c r="A778">
        <f>HYPERLINK("https://www.philgeps.gov.ph/GEPSNONPILOT/Tender/SplashBidNoticeAbstractUI.aspx?menuIndex=3&amp;refID=7047804&amp;Result=3","7047804")</f>
        <v>0</v>
      </c>
      <c r="B778" t="s">
        <v>409</v>
      </c>
      <c r="C778" t="s">
        <v>3852</v>
      </c>
      <c r="D778" t="s">
        <v>16197</v>
      </c>
      <c r="E778" t="s">
        <v>17035</v>
      </c>
      <c r="F778" t="s">
        <v>28200</v>
      </c>
      <c r="G778" t="s">
        <v>28207</v>
      </c>
      <c r="H778" t="s">
        <v>28215</v>
      </c>
      <c r="I778" t="s">
        <v>5082</v>
      </c>
      <c r="J778" t="s">
        <v>28930</v>
      </c>
      <c r="K778" t="s">
        <v>36691</v>
      </c>
      <c r="L778" t="s">
        <v>409</v>
      </c>
      <c r="M778" t="s">
        <v>37391</v>
      </c>
      <c r="N778" t="s">
        <v>40436</v>
      </c>
      <c r="O778" t="s">
        <v>40437</v>
      </c>
      <c r="P778">
        <v>0</v>
      </c>
      <c r="Q778">
        <v>0</v>
      </c>
      <c r="R778" t="s">
        <v>40438</v>
      </c>
      <c r="S778" t="s">
        <v>40582</v>
      </c>
      <c r="T778" t="s">
        <v>42098</v>
      </c>
      <c r="U778" t="s">
        <v>43318</v>
      </c>
      <c r="W778" t="s">
        <v>37391</v>
      </c>
      <c r="X778" t="s">
        <v>40439</v>
      </c>
    </row>
    <row r="779" spans="1:24">
      <c r="A779">
        <f>HYPERLINK("https://www.philgeps.gov.ph/GEPSNONPILOT/Tender/SplashBidNoticeAbstractUI.aspx?menuIndex=3&amp;refID=7047816&amp;Result=3","7047816")</f>
        <v>0</v>
      </c>
      <c r="B779" t="s">
        <v>410</v>
      </c>
      <c r="C779" t="s">
        <v>3853</v>
      </c>
      <c r="D779" t="s">
        <v>16200</v>
      </c>
      <c r="E779" t="s">
        <v>17036</v>
      </c>
      <c r="F779" t="s">
        <v>28198</v>
      </c>
      <c r="G779" t="s">
        <v>28205</v>
      </c>
      <c r="H779" t="s">
        <v>28214</v>
      </c>
      <c r="I779" t="s">
        <v>3797</v>
      </c>
      <c r="J779" t="s">
        <v>28363</v>
      </c>
      <c r="K779" t="s">
        <v>36708</v>
      </c>
      <c r="L779" t="s">
        <v>410</v>
      </c>
      <c r="M779" t="s">
        <v>37392</v>
      </c>
      <c r="N779" t="s">
        <v>40436</v>
      </c>
      <c r="O779" t="s">
        <v>40437</v>
      </c>
      <c r="P779">
        <v>0</v>
      </c>
      <c r="Q779">
        <v>1</v>
      </c>
      <c r="R779" t="s">
        <v>40438</v>
      </c>
      <c r="S779" t="s">
        <v>40582</v>
      </c>
      <c r="T779" t="s">
        <v>42122</v>
      </c>
      <c r="U779" t="s">
        <v>43319</v>
      </c>
      <c r="W779" t="s">
        <v>37392</v>
      </c>
      <c r="X779" t="s">
        <v>40439</v>
      </c>
    </row>
    <row r="780" spans="1:24">
      <c r="A780">
        <f>HYPERLINK("https://www.philgeps.gov.ph/GEPSNONPILOT/Tender/SplashBidNoticeAbstractUI.aspx?menuIndex=3&amp;refID=7047819&amp;Result=3","7047819")</f>
        <v>0</v>
      </c>
      <c r="B780" t="s">
        <v>411</v>
      </c>
      <c r="C780" t="s">
        <v>3854</v>
      </c>
      <c r="D780" t="s">
        <v>16221</v>
      </c>
      <c r="E780" t="s">
        <v>17037</v>
      </c>
      <c r="F780" t="s">
        <v>28198</v>
      </c>
      <c r="G780" t="s">
        <v>28207</v>
      </c>
      <c r="H780" t="s">
        <v>28215</v>
      </c>
      <c r="I780" t="s">
        <v>4219</v>
      </c>
      <c r="J780" t="s">
        <v>28931</v>
      </c>
      <c r="K780" t="s">
        <v>36693</v>
      </c>
      <c r="M780" t="s">
        <v>37393</v>
      </c>
      <c r="N780" t="s">
        <v>40436</v>
      </c>
      <c r="O780" t="s">
        <v>40437</v>
      </c>
      <c r="P780">
        <v>0</v>
      </c>
      <c r="Q780">
        <v>0</v>
      </c>
      <c r="R780" t="s">
        <v>40438</v>
      </c>
      <c r="S780" t="s">
        <v>40582</v>
      </c>
      <c r="T780" t="s">
        <v>42111</v>
      </c>
      <c r="U780" t="s">
        <v>43320</v>
      </c>
      <c r="W780" t="s">
        <v>37393</v>
      </c>
      <c r="X780" t="s">
        <v>40439</v>
      </c>
    </row>
    <row r="781" spans="1:24">
      <c r="A781">
        <f>HYPERLINK("https://www.philgeps.gov.ph/GEPSNONPILOT/Tender/SplashBidNoticeAbstractUI.aspx?menuIndex=3&amp;refID=7047830&amp;Result=3","7047830")</f>
        <v>0</v>
      </c>
      <c r="B781" t="s">
        <v>412</v>
      </c>
      <c r="C781" t="s">
        <v>3855</v>
      </c>
      <c r="D781" t="s">
        <v>16261</v>
      </c>
      <c r="E781" t="s">
        <v>17038</v>
      </c>
      <c r="F781" t="s">
        <v>28198</v>
      </c>
      <c r="G781" t="s">
        <v>28206</v>
      </c>
      <c r="H781" t="s">
        <v>28215</v>
      </c>
      <c r="I781" t="s">
        <v>28221</v>
      </c>
      <c r="J781" t="s">
        <v>28932</v>
      </c>
      <c r="K781" t="s">
        <v>36707</v>
      </c>
      <c r="M781" t="s">
        <v>37394</v>
      </c>
      <c r="N781" t="s">
        <v>40436</v>
      </c>
      <c r="O781" t="s">
        <v>40437</v>
      </c>
      <c r="P781">
        <v>0</v>
      </c>
      <c r="Q781">
        <v>0</v>
      </c>
      <c r="R781" t="s">
        <v>40438</v>
      </c>
      <c r="S781" t="s">
        <v>40582</v>
      </c>
      <c r="T781" t="s">
        <v>42142</v>
      </c>
      <c r="U781" t="s">
        <v>43321</v>
      </c>
      <c r="W781" t="s">
        <v>37394</v>
      </c>
      <c r="X781" t="s">
        <v>40439</v>
      </c>
    </row>
    <row r="782" spans="1:24">
      <c r="A782">
        <f>HYPERLINK("https://www.philgeps.gov.ph/GEPSNONPILOT/Tender/SplashBidNoticeAbstractUI.aspx?menuIndex=3&amp;refID=7047802&amp;Result=3","7047802")</f>
        <v>0</v>
      </c>
      <c r="B782" t="s">
        <v>413</v>
      </c>
      <c r="C782" t="s">
        <v>3856</v>
      </c>
      <c r="D782" t="s">
        <v>16250</v>
      </c>
      <c r="E782" t="s">
        <v>17039</v>
      </c>
      <c r="F782" t="s">
        <v>28198</v>
      </c>
      <c r="G782" t="s">
        <v>28206</v>
      </c>
      <c r="H782" t="s">
        <v>28215</v>
      </c>
      <c r="I782" t="s">
        <v>5631</v>
      </c>
      <c r="J782" t="s">
        <v>28933</v>
      </c>
      <c r="K782" t="s">
        <v>36706</v>
      </c>
      <c r="M782" t="s">
        <v>37395</v>
      </c>
      <c r="N782" t="s">
        <v>40436</v>
      </c>
      <c r="O782" t="s">
        <v>40437</v>
      </c>
      <c r="P782">
        <v>0</v>
      </c>
      <c r="Q782">
        <v>0</v>
      </c>
      <c r="R782" t="s">
        <v>40438</v>
      </c>
      <c r="S782" t="s">
        <v>40582</v>
      </c>
      <c r="T782" t="s">
        <v>42103</v>
      </c>
      <c r="U782" t="s">
        <v>43322</v>
      </c>
      <c r="W782" t="s">
        <v>37395</v>
      </c>
      <c r="X782" t="s">
        <v>40439</v>
      </c>
    </row>
    <row r="783" spans="1:24">
      <c r="A783">
        <f>HYPERLINK("https://www.philgeps.gov.ph/GEPSNONPILOT/Tender/SplashBidNoticeAbstractUI.aspx?menuIndex=3&amp;refID=7047829&amp;Result=3","7047829")</f>
        <v>0</v>
      </c>
      <c r="B783" t="s">
        <v>414</v>
      </c>
      <c r="C783" t="s">
        <v>3857</v>
      </c>
      <c r="D783" t="s">
        <v>16207</v>
      </c>
      <c r="E783" t="s">
        <v>17040</v>
      </c>
      <c r="F783" t="s">
        <v>28198</v>
      </c>
      <c r="G783" t="s">
        <v>28207</v>
      </c>
      <c r="H783" t="s">
        <v>28215</v>
      </c>
      <c r="I783" t="s">
        <v>28225</v>
      </c>
      <c r="J783" t="s">
        <v>28934</v>
      </c>
      <c r="K783" t="s">
        <v>36701</v>
      </c>
      <c r="M783" t="s">
        <v>37396</v>
      </c>
      <c r="N783" t="s">
        <v>40436</v>
      </c>
      <c r="O783" t="s">
        <v>40437</v>
      </c>
      <c r="P783">
        <v>0</v>
      </c>
      <c r="Q783">
        <v>4</v>
      </c>
      <c r="R783" t="s">
        <v>40438</v>
      </c>
      <c r="S783" t="s">
        <v>40582</v>
      </c>
      <c r="T783" t="s">
        <v>42142</v>
      </c>
      <c r="U783" t="s">
        <v>43323</v>
      </c>
      <c r="W783" t="s">
        <v>37396</v>
      </c>
      <c r="X783" t="s">
        <v>40439</v>
      </c>
    </row>
    <row r="784" spans="1:24">
      <c r="A784">
        <f>HYPERLINK("https://www.philgeps.gov.ph/GEPSNONPILOT/Tender/SplashBidNoticeAbstractUI.aspx?menuIndex=3&amp;refID=7047845&amp;Result=3","7047845")</f>
        <v>0</v>
      </c>
      <c r="B784" t="s">
        <v>415</v>
      </c>
      <c r="C784" t="s">
        <v>3858</v>
      </c>
      <c r="D784" t="s">
        <v>16261</v>
      </c>
      <c r="E784" t="s">
        <v>17041</v>
      </c>
      <c r="F784" t="s">
        <v>28198</v>
      </c>
      <c r="G784" t="s">
        <v>28207</v>
      </c>
      <c r="H784" t="s">
        <v>28215</v>
      </c>
      <c r="I784" t="s">
        <v>5100</v>
      </c>
      <c r="J784" t="s">
        <v>28935</v>
      </c>
      <c r="K784" t="s">
        <v>36687</v>
      </c>
      <c r="M784" t="s">
        <v>37397</v>
      </c>
      <c r="N784" t="s">
        <v>40436</v>
      </c>
      <c r="O784" t="s">
        <v>40437</v>
      </c>
      <c r="P784">
        <v>0</v>
      </c>
      <c r="Q784">
        <v>0</v>
      </c>
      <c r="R784" t="s">
        <v>40438</v>
      </c>
      <c r="S784" t="s">
        <v>40582</v>
      </c>
      <c r="T784" t="s">
        <v>42111</v>
      </c>
      <c r="U784" t="s">
        <v>43324</v>
      </c>
      <c r="W784" t="s">
        <v>37397</v>
      </c>
      <c r="X784" t="s">
        <v>40439</v>
      </c>
    </row>
    <row r="785" spans="1:24">
      <c r="A785">
        <f>HYPERLINK("https://www.philgeps.gov.ph/GEPSNONPILOT/Tender/SplashBidNoticeAbstractUI.aspx?menuIndex=3&amp;refID=7047831&amp;Result=3","7047831")</f>
        <v>0</v>
      </c>
      <c r="B785" t="s">
        <v>246</v>
      </c>
      <c r="C785" t="s">
        <v>3859</v>
      </c>
      <c r="D785" t="s">
        <v>16228</v>
      </c>
      <c r="E785" t="s">
        <v>17042</v>
      </c>
      <c r="F785" t="s">
        <v>28198</v>
      </c>
      <c r="G785" t="s">
        <v>28206</v>
      </c>
      <c r="H785" t="s">
        <v>28215</v>
      </c>
      <c r="I785" t="s">
        <v>3422</v>
      </c>
      <c r="J785" t="s">
        <v>28936</v>
      </c>
      <c r="K785" t="s">
        <v>36691</v>
      </c>
      <c r="M785" t="s">
        <v>37222</v>
      </c>
      <c r="N785" t="s">
        <v>40436</v>
      </c>
      <c r="O785" t="s">
        <v>40437</v>
      </c>
      <c r="P785">
        <v>0</v>
      </c>
      <c r="Q785">
        <v>0</v>
      </c>
      <c r="R785" t="s">
        <v>40438</v>
      </c>
      <c r="S785" t="s">
        <v>40582</v>
      </c>
      <c r="T785" t="s">
        <v>42216</v>
      </c>
      <c r="U785" t="s">
        <v>43325</v>
      </c>
      <c r="W785" t="s">
        <v>37222</v>
      </c>
      <c r="X785" t="s">
        <v>40439</v>
      </c>
    </row>
    <row r="786" spans="1:24">
      <c r="A786">
        <f>HYPERLINK("https://www.philgeps.gov.ph/GEPSNONPILOT/Tender/SplashBidNoticeAbstractUI.aspx?menuIndex=3&amp;refID=7047847&amp;Result=3","7047847")</f>
        <v>0</v>
      </c>
      <c r="B786" t="s">
        <v>406</v>
      </c>
      <c r="C786" t="s">
        <v>3860</v>
      </c>
      <c r="D786" t="s">
        <v>16203</v>
      </c>
      <c r="E786" t="s">
        <v>17043</v>
      </c>
      <c r="F786" t="s">
        <v>28198</v>
      </c>
      <c r="G786" t="s">
        <v>28209</v>
      </c>
      <c r="H786" t="s">
        <v>28215</v>
      </c>
      <c r="I786" t="s">
        <v>28220</v>
      </c>
      <c r="J786" t="s">
        <v>28937</v>
      </c>
      <c r="K786" t="s">
        <v>36707</v>
      </c>
      <c r="M786" t="s">
        <v>37387</v>
      </c>
      <c r="N786" t="s">
        <v>40436</v>
      </c>
      <c r="O786" t="s">
        <v>40437</v>
      </c>
      <c r="P786">
        <v>0</v>
      </c>
      <c r="Q786">
        <v>9</v>
      </c>
      <c r="R786" t="s">
        <v>40438</v>
      </c>
      <c r="S786" t="s">
        <v>40582</v>
      </c>
      <c r="T786" t="s">
        <v>42221</v>
      </c>
      <c r="U786" t="s">
        <v>43310</v>
      </c>
      <c r="W786" t="s">
        <v>37387</v>
      </c>
      <c r="X786" t="s">
        <v>40439</v>
      </c>
    </row>
    <row r="787" spans="1:24">
      <c r="A787">
        <f>HYPERLINK("https://www.philgeps.gov.ph/GEPSNONPILOT/Tender/SplashBidNoticeAbstractUI.aspx?menuIndex=3&amp;refID=7047848&amp;Result=3","7047848")</f>
        <v>0</v>
      </c>
      <c r="B787" t="s">
        <v>348</v>
      </c>
      <c r="C787" t="s">
        <v>3861</v>
      </c>
      <c r="D787" t="s">
        <v>16227</v>
      </c>
      <c r="E787" t="s">
        <v>17044</v>
      </c>
      <c r="F787" t="s">
        <v>28198</v>
      </c>
      <c r="G787" t="s">
        <v>28205</v>
      </c>
      <c r="H787" t="s">
        <v>28215</v>
      </c>
      <c r="I787" t="s">
        <v>28236</v>
      </c>
      <c r="J787" t="s">
        <v>28921</v>
      </c>
      <c r="K787" t="s">
        <v>36701</v>
      </c>
      <c r="M787" t="s">
        <v>37327</v>
      </c>
      <c r="N787" t="s">
        <v>40436</v>
      </c>
      <c r="O787" t="s">
        <v>40437</v>
      </c>
      <c r="P787">
        <v>0</v>
      </c>
      <c r="Q787">
        <v>2</v>
      </c>
      <c r="R787" t="s">
        <v>40438</v>
      </c>
      <c r="S787" t="s">
        <v>40582</v>
      </c>
      <c r="T787" t="s">
        <v>42110</v>
      </c>
      <c r="U787" t="s">
        <v>43326</v>
      </c>
      <c r="W787" t="s">
        <v>55445</v>
      </c>
      <c r="X787" t="s">
        <v>40439</v>
      </c>
    </row>
    <row r="788" spans="1:24">
      <c r="A788">
        <f>HYPERLINK("https://www.philgeps.gov.ph/GEPSNONPILOT/Tender/SplashBidNoticeAbstractUI.aspx?menuIndex=3&amp;refID=7047827&amp;Result=3","7047827")</f>
        <v>0</v>
      </c>
      <c r="B788" t="s">
        <v>416</v>
      </c>
      <c r="C788" t="s">
        <v>3862</v>
      </c>
      <c r="D788" t="s">
        <v>16190</v>
      </c>
      <c r="E788" t="s">
        <v>17045</v>
      </c>
      <c r="F788" t="s">
        <v>28201</v>
      </c>
      <c r="G788" t="s">
        <v>28206</v>
      </c>
      <c r="H788" t="s">
        <v>28215</v>
      </c>
      <c r="I788" t="s">
        <v>5082</v>
      </c>
      <c r="J788" t="s">
        <v>28938</v>
      </c>
      <c r="K788" t="s">
        <v>36689</v>
      </c>
      <c r="M788" t="s">
        <v>37398</v>
      </c>
      <c r="N788" t="s">
        <v>40436</v>
      </c>
      <c r="O788" t="s">
        <v>40437</v>
      </c>
      <c r="P788">
        <v>0</v>
      </c>
      <c r="Q788">
        <v>0</v>
      </c>
      <c r="R788" t="s">
        <v>40438</v>
      </c>
      <c r="S788" t="s">
        <v>40582</v>
      </c>
      <c r="T788" t="s">
        <v>42216</v>
      </c>
      <c r="U788" t="s">
        <v>43327</v>
      </c>
      <c r="W788" t="s">
        <v>37398</v>
      </c>
      <c r="X788" t="s">
        <v>40439</v>
      </c>
    </row>
    <row r="789" spans="1:24">
      <c r="A789">
        <f>HYPERLINK("https://www.philgeps.gov.ph/GEPSNONPILOT/Tender/SplashBidNoticeAbstractUI.aspx?menuIndex=3&amp;refID=7047846&amp;Result=3","7047846")</f>
        <v>0</v>
      </c>
      <c r="B789" t="s">
        <v>417</v>
      </c>
      <c r="C789" t="s">
        <v>3863</v>
      </c>
      <c r="D789" t="s">
        <v>16187</v>
      </c>
      <c r="E789" t="s">
        <v>17046</v>
      </c>
      <c r="F789" t="s">
        <v>28198</v>
      </c>
      <c r="G789" t="s">
        <v>28205</v>
      </c>
      <c r="H789" t="s">
        <v>28214</v>
      </c>
      <c r="I789" t="s">
        <v>3797</v>
      </c>
      <c r="J789" t="s">
        <v>28363</v>
      </c>
      <c r="K789" t="s">
        <v>36697</v>
      </c>
      <c r="M789" t="s">
        <v>37399</v>
      </c>
      <c r="N789" t="s">
        <v>40436</v>
      </c>
      <c r="O789" t="s">
        <v>40437</v>
      </c>
      <c r="P789">
        <v>0</v>
      </c>
      <c r="Q789">
        <v>0</v>
      </c>
      <c r="R789" t="s">
        <v>40438</v>
      </c>
      <c r="S789" t="s">
        <v>40582</v>
      </c>
      <c r="T789" t="s">
        <v>42101</v>
      </c>
      <c r="U789" t="s">
        <v>43328</v>
      </c>
      <c r="W789" t="s">
        <v>37399</v>
      </c>
      <c r="X789" t="s">
        <v>40439</v>
      </c>
    </row>
    <row r="790" spans="1:24">
      <c r="A790">
        <f>HYPERLINK("https://www.philgeps.gov.ph/GEPSNONPILOT/Tender/SplashBidNoticeAbstractUI.aspx?menuIndex=3&amp;refID=7047849&amp;Result=3","7047849")</f>
        <v>0</v>
      </c>
      <c r="B790" t="s">
        <v>418</v>
      </c>
      <c r="C790" t="s">
        <v>3864</v>
      </c>
      <c r="D790" t="s">
        <v>16230</v>
      </c>
      <c r="E790" t="s">
        <v>17047</v>
      </c>
      <c r="F790" t="s">
        <v>28198</v>
      </c>
      <c r="G790" t="s">
        <v>28207</v>
      </c>
      <c r="H790" t="s">
        <v>28215</v>
      </c>
      <c r="I790" t="s">
        <v>28247</v>
      </c>
      <c r="J790" t="s">
        <v>28939</v>
      </c>
      <c r="K790" t="s">
        <v>36701</v>
      </c>
      <c r="M790" t="s">
        <v>37400</v>
      </c>
      <c r="N790" t="s">
        <v>40436</v>
      </c>
      <c r="O790" t="s">
        <v>40437</v>
      </c>
      <c r="P790">
        <v>0</v>
      </c>
      <c r="Q790">
        <v>10</v>
      </c>
      <c r="R790" t="s">
        <v>40438</v>
      </c>
      <c r="S790" t="s">
        <v>40582</v>
      </c>
      <c r="T790" t="s">
        <v>42124</v>
      </c>
      <c r="U790" t="s">
        <v>43329</v>
      </c>
      <c r="W790" t="s">
        <v>37400</v>
      </c>
      <c r="X790" t="s">
        <v>40439</v>
      </c>
    </row>
    <row r="791" spans="1:24">
      <c r="A791">
        <f>HYPERLINK("https://www.philgeps.gov.ph/GEPSNONPILOT/Tender/SplashBidNoticeAbstractUI.aspx?menuIndex=3&amp;refID=7047842&amp;Result=3","7047842")</f>
        <v>0</v>
      </c>
      <c r="B791" t="s">
        <v>419</v>
      </c>
      <c r="C791" t="s">
        <v>3865</v>
      </c>
      <c r="D791" t="s">
        <v>16202</v>
      </c>
      <c r="E791" t="s">
        <v>17048</v>
      </c>
      <c r="F791" t="s">
        <v>28198</v>
      </c>
      <c r="G791" t="s">
        <v>28206</v>
      </c>
      <c r="H791" t="s">
        <v>28215</v>
      </c>
      <c r="I791" t="s">
        <v>28259</v>
      </c>
      <c r="J791" t="s">
        <v>28388</v>
      </c>
      <c r="K791" t="s">
        <v>36694</v>
      </c>
      <c r="M791" t="s">
        <v>37401</v>
      </c>
      <c r="N791" t="s">
        <v>40436</v>
      </c>
      <c r="O791" t="s">
        <v>40437</v>
      </c>
      <c r="P791">
        <v>0</v>
      </c>
      <c r="Q791">
        <v>6</v>
      </c>
      <c r="R791" t="s">
        <v>40438</v>
      </c>
      <c r="S791" t="s">
        <v>40582</v>
      </c>
      <c r="T791" t="s">
        <v>42152</v>
      </c>
      <c r="U791" t="s">
        <v>43330</v>
      </c>
      <c r="W791" t="s">
        <v>37401</v>
      </c>
      <c r="X791" t="s">
        <v>40439</v>
      </c>
    </row>
    <row r="792" spans="1:24">
      <c r="A792">
        <f>HYPERLINK("https://www.philgeps.gov.ph/GEPSNONPILOT/Tender/SplashBidNoticeAbstractUI.aspx?menuIndex=3&amp;refID=7047840&amp;Result=3","7047840")</f>
        <v>0</v>
      </c>
      <c r="B792" t="s">
        <v>362</v>
      </c>
      <c r="C792" t="s">
        <v>3866</v>
      </c>
      <c r="D792" t="s">
        <v>16202</v>
      </c>
      <c r="E792" t="s">
        <v>17049</v>
      </c>
      <c r="F792" t="s">
        <v>28198</v>
      </c>
      <c r="G792" t="s">
        <v>28206</v>
      </c>
      <c r="H792" t="s">
        <v>28215</v>
      </c>
      <c r="I792" t="s">
        <v>3774</v>
      </c>
      <c r="J792" t="s">
        <v>28378</v>
      </c>
      <c r="K792" t="s">
        <v>36691</v>
      </c>
      <c r="M792" t="s">
        <v>37341</v>
      </c>
      <c r="N792" t="s">
        <v>40436</v>
      </c>
      <c r="O792" t="s">
        <v>40437</v>
      </c>
      <c r="P792">
        <v>0</v>
      </c>
      <c r="Q792">
        <v>0</v>
      </c>
      <c r="R792" t="s">
        <v>40438</v>
      </c>
      <c r="S792" t="s">
        <v>40582</v>
      </c>
      <c r="T792" t="s">
        <v>42169</v>
      </c>
      <c r="U792" t="s">
        <v>43331</v>
      </c>
      <c r="V792" t="s">
        <v>53879</v>
      </c>
      <c r="W792" t="s">
        <v>37341</v>
      </c>
      <c r="X792" t="s">
        <v>40439</v>
      </c>
    </row>
    <row r="793" spans="1:24">
      <c r="A793">
        <f>HYPERLINK("https://www.philgeps.gov.ph/GEPSNONPILOT/Tender/SplashBidNoticeAbstractUI.aspx?menuIndex=3&amp;refID=7047836&amp;Result=3","7047836")</f>
        <v>0</v>
      </c>
      <c r="B793" t="s">
        <v>391</v>
      </c>
      <c r="C793" t="s">
        <v>3867</v>
      </c>
      <c r="D793" t="s">
        <v>16202</v>
      </c>
      <c r="E793" t="s">
        <v>17050</v>
      </c>
      <c r="F793" t="s">
        <v>28198</v>
      </c>
      <c r="G793" t="s">
        <v>28207</v>
      </c>
      <c r="H793" t="s">
        <v>28215</v>
      </c>
      <c r="I793" t="s">
        <v>4200</v>
      </c>
      <c r="J793" t="s">
        <v>28940</v>
      </c>
      <c r="K793" t="s">
        <v>36706</v>
      </c>
      <c r="M793" t="s">
        <v>37371</v>
      </c>
      <c r="N793" t="s">
        <v>40436</v>
      </c>
      <c r="O793" t="s">
        <v>40437</v>
      </c>
      <c r="P793">
        <v>0</v>
      </c>
      <c r="Q793">
        <v>1</v>
      </c>
      <c r="R793" t="s">
        <v>40438</v>
      </c>
      <c r="S793" t="s">
        <v>40582</v>
      </c>
      <c r="T793" t="s">
        <v>42142</v>
      </c>
      <c r="U793" t="s">
        <v>43281</v>
      </c>
      <c r="V793" t="s">
        <v>53876</v>
      </c>
      <c r="W793" t="s">
        <v>37371</v>
      </c>
      <c r="X793" t="s">
        <v>40439</v>
      </c>
    </row>
    <row r="794" spans="1:24">
      <c r="A794">
        <f>HYPERLINK("https://www.philgeps.gov.ph/GEPSNONPILOT/Tender/SplashBidNoticeAbstractUI.aspx?menuIndex=3&amp;refID=7047851&amp;Result=3","7047851")</f>
        <v>0</v>
      </c>
      <c r="B794" t="s">
        <v>378</v>
      </c>
      <c r="C794" t="s">
        <v>3868</v>
      </c>
      <c r="D794" t="s">
        <v>16187</v>
      </c>
      <c r="E794" t="s">
        <v>17051</v>
      </c>
      <c r="F794" t="s">
        <v>28198</v>
      </c>
      <c r="G794" t="s">
        <v>28206</v>
      </c>
      <c r="H794" t="s">
        <v>28215</v>
      </c>
      <c r="I794" t="s">
        <v>4168</v>
      </c>
      <c r="J794" t="s">
        <v>28941</v>
      </c>
      <c r="K794" t="s">
        <v>36689</v>
      </c>
      <c r="M794" t="s">
        <v>37358</v>
      </c>
      <c r="N794" t="s">
        <v>40436</v>
      </c>
      <c r="O794" t="s">
        <v>40437</v>
      </c>
      <c r="P794">
        <v>0</v>
      </c>
      <c r="Q794">
        <v>0</v>
      </c>
      <c r="R794" t="s">
        <v>40438</v>
      </c>
      <c r="S794" t="s">
        <v>40582</v>
      </c>
      <c r="T794" t="s">
        <v>42111</v>
      </c>
      <c r="U794" t="s">
        <v>43332</v>
      </c>
      <c r="W794" t="s">
        <v>37358</v>
      </c>
      <c r="X794" t="s">
        <v>40439</v>
      </c>
    </row>
    <row r="795" spans="1:24">
      <c r="A795">
        <f>HYPERLINK("https://www.philgeps.gov.ph/GEPSNONPILOT/Tender/SplashBidNoticeAbstractUI.aspx?menuIndex=3&amp;refID=7047834&amp;Result=3","7047834")</f>
        <v>0</v>
      </c>
      <c r="B795" t="s">
        <v>420</v>
      </c>
      <c r="C795" t="s">
        <v>3869</v>
      </c>
      <c r="D795" t="s">
        <v>16222</v>
      </c>
      <c r="E795" t="s">
        <v>17052</v>
      </c>
      <c r="F795" t="s">
        <v>28198</v>
      </c>
      <c r="G795" t="s">
        <v>28206</v>
      </c>
      <c r="H795" t="s">
        <v>28215</v>
      </c>
      <c r="I795" t="s">
        <v>5100</v>
      </c>
      <c r="J795" t="s">
        <v>28942</v>
      </c>
      <c r="K795" t="s">
        <v>36707</v>
      </c>
      <c r="M795" t="s">
        <v>37402</v>
      </c>
      <c r="N795" t="s">
        <v>40436</v>
      </c>
      <c r="O795" t="s">
        <v>40437</v>
      </c>
      <c r="P795">
        <v>0</v>
      </c>
      <c r="Q795">
        <v>3</v>
      </c>
      <c r="R795" t="s">
        <v>40438</v>
      </c>
      <c r="S795" t="s">
        <v>40582</v>
      </c>
      <c r="T795" t="s">
        <v>42103</v>
      </c>
      <c r="U795" t="s">
        <v>43333</v>
      </c>
      <c r="W795" t="s">
        <v>37402</v>
      </c>
      <c r="X795" t="s">
        <v>40439</v>
      </c>
    </row>
    <row r="796" spans="1:24">
      <c r="A796">
        <f>HYPERLINK("https://www.philgeps.gov.ph/GEPSNONPILOT/Tender/SplashBidNoticeAbstractUI.aspx?menuIndex=3&amp;refID=7047852&amp;Result=3","7047852")</f>
        <v>0</v>
      </c>
      <c r="B796" t="s">
        <v>379</v>
      </c>
      <c r="C796" t="s">
        <v>3870</v>
      </c>
      <c r="D796" t="s">
        <v>16222</v>
      </c>
      <c r="E796" t="s">
        <v>17053</v>
      </c>
      <c r="F796" t="s">
        <v>28198</v>
      </c>
      <c r="G796" t="s">
        <v>28207</v>
      </c>
      <c r="H796" t="s">
        <v>28215</v>
      </c>
      <c r="I796" t="s">
        <v>4200</v>
      </c>
      <c r="J796" t="s">
        <v>28529</v>
      </c>
      <c r="K796" t="s">
        <v>36691</v>
      </c>
      <c r="M796" t="s">
        <v>37359</v>
      </c>
      <c r="N796" t="s">
        <v>40436</v>
      </c>
      <c r="O796" t="s">
        <v>40437</v>
      </c>
      <c r="P796">
        <v>0</v>
      </c>
      <c r="Q796">
        <v>0</v>
      </c>
      <c r="R796" t="s">
        <v>40438</v>
      </c>
      <c r="S796" t="s">
        <v>40582</v>
      </c>
      <c r="T796" t="s">
        <v>42103</v>
      </c>
      <c r="U796" t="s">
        <v>43334</v>
      </c>
      <c r="W796" t="s">
        <v>37359</v>
      </c>
      <c r="X796" t="s">
        <v>40439</v>
      </c>
    </row>
    <row r="797" spans="1:24">
      <c r="A797">
        <f>HYPERLINK("https://www.philgeps.gov.ph/GEPSNONPILOT/Tender/SplashBidNoticeAbstractUI.aspx?menuIndex=3&amp;refID=7047853&amp;Result=3","7047853")</f>
        <v>0</v>
      </c>
      <c r="B797" t="s">
        <v>275</v>
      </c>
      <c r="C797" t="s">
        <v>3871</v>
      </c>
      <c r="D797" t="s">
        <v>16258</v>
      </c>
      <c r="E797" t="s">
        <v>17054</v>
      </c>
      <c r="F797" t="s">
        <v>28198</v>
      </c>
      <c r="G797" t="s">
        <v>28205</v>
      </c>
      <c r="H797" t="s">
        <v>28215</v>
      </c>
      <c r="I797" t="s">
        <v>5100</v>
      </c>
      <c r="J797" t="s">
        <v>28943</v>
      </c>
      <c r="K797" t="s">
        <v>36689</v>
      </c>
      <c r="M797" t="s">
        <v>37252</v>
      </c>
      <c r="N797" t="s">
        <v>40436</v>
      </c>
      <c r="O797" t="s">
        <v>40437</v>
      </c>
      <c r="P797">
        <v>0</v>
      </c>
      <c r="Q797">
        <v>0</v>
      </c>
      <c r="R797" t="s">
        <v>40438</v>
      </c>
      <c r="S797" t="s">
        <v>40582</v>
      </c>
      <c r="T797" t="s">
        <v>42112</v>
      </c>
      <c r="U797" t="s">
        <v>43335</v>
      </c>
      <c r="V797" t="s">
        <v>53880</v>
      </c>
      <c r="W797" t="s">
        <v>37252</v>
      </c>
      <c r="X797" t="s">
        <v>40439</v>
      </c>
    </row>
    <row r="798" spans="1:24">
      <c r="A798">
        <f>HYPERLINK("https://www.philgeps.gov.ph/GEPSNONPILOT/Tender/SplashBidNoticeAbstractUI.aspx?menuIndex=3&amp;refID=7047833&amp;Result=3","7047833")</f>
        <v>0</v>
      </c>
      <c r="B798" t="s">
        <v>421</v>
      </c>
      <c r="C798" t="s">
        <v>3872</v>
      </c>
      <c r="D798" t="s">
        <v>16235</v>
      </c>
      <c r="E798" t="s">
        <v>16909</v>
      </c>
      <c r="F798" t="s">
        <v>28198</v>
      </c>
      <c r="G798" t="s">
        <v>28206</v>
      </c>
      <c r="H798" t="s">
        <v>28215</v>
      </c>
      <c r="I798" t="s">
        <v>5100</v>
      </c>
      <c r="J798" t="s">
        <v>28944</v>
      </c>
      <c r="K798" t="s">
        <v>36688</v>
      </c>
      <c r="M798" t="s">
        <v>37403</v>
      </c>
      <c r="N798" t="s">
        <v>40436</v>
      </c>
      <c r="O798" t="s">
        <v>40437</v>
      </c>
      <c r="P798">
        <v>0</v>
      </c>
      <c r="Q798">
        <v>0</v>
      </c>
      <c r="R798" t="s">
        <v>40438</v>
      </c>
      <c r="S798" t="s">
        <v>40582</v>
      </c>
      <c r="T798" t="s">
        <v>42184</v>
      </c>
      <c r="U798" t="s">
        <v>43336</v>
      </c>
      <c r="W798" t="s">
        <v>37403</v>
      </c>
      <c r="X798" t="s">
        <v>40439</v>
      </c>
    </row>
    <row r="799" spans="1:24">
      <c r="A799">
        <f>HYPERLINK("https://www.philgeps.gov.ph/GEPSNONPILOT/Tender/SplashBidNoticeAbstractUI.aspx?menuIndex=3&amp;refID=7047839&amp;Result=3","7047839")</f>
        <v>0</v>
      </c>
      <c r="B799" t="s">
        <v>262</v>
      </c>
      <c r="C799" t="s">
        <v>3873</v>
      </c>
      <c r="D799" t="s">
        <v>16245</v>
      </c>
      <c r="E799" t="s">
        <v>17055</v>
      </c>
      <c r="F799" t="s">
        <v>28198</v>
      </c>
      <c r="G799" t="s">
        <v>28207</v>
      </c>
      <c r="H799" t="s">
        <v>28215</v>
      </c>
      <c r="I799" t="s">
        <v>5100</v>
      </c>
      <c r="J799" t="s">
        <v>28945</v>
      </c>
      <c r="K799" t="s">
        <v>36694</v>
      </c>
      <c r="M799" t="s">
        <v>37238</v>
      </c>
      <c r="N799" t="s">
        <v>40436</v>
      </c>
      <c r="O799" t="s">
        <v>40437</v>
      </c>
      <c r="P799">
        <v>0</v>
      </c>
      <c r="Q799">
        <v>0</v>
      </c>
      <c r="R799" t="s">
        <v>40438</v>
      </c>
      <c r="S799" t="s">
        <v>40582</v>
      </c>
      <c r="T799" t="s">
        <v>42119</v>
      </c>
      <c r="U799" t="s">
        <v>43337</v>
      </c>
      <c r="W799" t="s">
        <v>37238</v>
      </c>
      <c r="X799" t="s">
        <v>40439</v>
      </c>
    </row>
    <row r="800" spans="1:24">
      <c r="A800">
        <f>HYPERLINK("https://www.philgeps.gov.ph/GEPSNONPILOT/Tender/SplashBidNoticeAbstractUI.aspx?menuIndex=3&amp;refID=7047860&amp;Result=3","7047860")</f>
        <v>0</v>
      </c>
      <c r="B800" t="s">
        <v>422</v>
      </c>
      <c r="C800" t="s">
        <v>3874</v>
      </c>
      <c r="D800" t="s">
        <v>16203</v>
      </c>
      <c r="E800" t="s">
        <v>17056</v>
      </c>
      <c r="F800" t="s">
        <v>28198</v>
      </c>
      <c r="G800" t="s">
        <v>28210</v>
      </c>
      <c r="H800" t="s">
        <v>28215</v>
      </c>
      <c r="I800" t="s">
        <v>5082</v>
      </c>
      <c r="J800" t="s">
        <v>28946</v>
      </c>
      <c r="K800" t="s">
        <v>36689</v>
      </c>
      <c r="M800" t="s">
        <v>37404</v>
      </c>
      <c r="N800" t="s">
        <v>40436</v>
      </c>
      <c r="O800" t="s">
        <v>40437</v>
      </c>
      <c r="P800">
        <v>0</v>
      </c>
      <c r="Q800">
        <v>3</v>
      </c>
      <c r="R800" t="s">
        <v>40438</v>
      </c>
      <c r="S800" t="s">
        <v>40582</v>
      </c>
      <c r="T800" t="s">
        <v>42111</v>
      </c>
      <c r="U800" t="s">
        <v>43338</v>
      </c>
      <c r="W800" t="s">
        <v>37404</v>
      </c>
      <c r="X800" t="s">
        <v>40439</v>
      </c>
    </row>
    <row r="801" spans="1:24">
      <c r="A801">
        <f>HYPERLINK("https://www.philgeps.gov.ph/GEPSNONPILOT/Tender/SplashBidNoticeAbstractUI.aspx?menuIndex=3&amp;refID=7047837&amp;Result=3","7047837")</f>
        <v>0</v>
      </c>
      <c r="B801" t="s">
        <v>423</v>
      </c>
      <c r="C801" t="s">
        <v>3875</v>
      </c>
      <c r="D801" t="s">
        <v>16188</v>
      </c>
      <c r="E801" t="s">
        <v>17057</v>
      </c>
      <c r="F801" t="s">
        <v>28198</v>
      </c>
      <c r="G801" t="s">
        <v>28205</v>
      </c>
      <c r="H801" t="s">
        <v>28214</v>
      </c>
      <c r="I801" t="s">
        <v>3797</v>
      </c>
      <c r="J801" t="s">
        <v>28379</v>
      </c>
      <c r="K801" t="s">
        <v>36701</v>
      </c>
      <c r="M801" t="s">
        <v>37405</v>
      </c>
      <c r="N801" t="s">
        <v>40436</v>
      </c>
      <c r="O801" t="s">
        <v>40437</v>
      </c>
      <c r="P801">
        <v>0</v>
      </c>
      <c r="Q801">
        <v>0</v>
      </c>
      <c r="R801" t="s">
        <v>40438</v>
      </c>
      <c r="S801" t="s">
        <v>40582</v>
      </c>
      <c r="T801" t="s">
        <v>42128</v>
      </c>
      <c r="U801" t="s">
        <v>43339</v>
      </c>
      <c r="W801" t="s">
        <v>37405</v>
      </c>
      <c r="X801" t="s">
        <v>40439</v>
      </c>
    </row>
    <row r="802" spans="1:24">
      <c r="A802">
        <f>HYPERLINK("https://www.philgeps.gov.ph/GEPSNONPILOT/Tender/SplashBidNoticeAbstractUI.aspx?menuIndex=3&amp;refID=7047859&amp;Result=3","7047859")</f>
        <v>0</v>
      </c>
      <c r="B802" t="s">
        <v>424</v>
      </c>
      <c r="C802" t="s">
        <v>3876</v>
      </c>
      <c r="D802" t="s">
        <v>16241</v>
      </c>
      <c r="E802" t="s">
        <v>17058</v>
      </c>
      <c r="F802" t="s">
        <v>28198</v>
      </c>
      <c r="G802" t="s">
        <v>28207</v>
      </c>
      <c r="H802" t="s">
        <v>28215</v>
      </c>
      <c r="I802" t="s">
        <v>28286</v>
      </c>
      <c r="J802" t="s">
        <v>28947</v>
      </c>
      <c r="K802" t="s">
        <v>36688</v>
      </c>
      <c r="M802" t="s">
        <v>37406</v>
      </c>
      <c r="N802" t="s">
        <v>40436</v>
      </c>
      <c r="O802" t="s">
        <v>40437</v>
      </c>
      <c r="P802">
        <v>0</v>
      </c>
      <c r="Q802">
        <v>0</v>
      </c>
      <c r="R802" t="s">
        <v>40438</v>
      </c>
      <c r="S802" t="s">
        <v>40582</v>
      </c>
      <c r="T802" t="s">
        <v>42124</v>
      </c>
      <c r="U802" t="s">
        <v>43340</v>
      </c>
      <c r="W802" t="s">
        <v>37406</v>
      </c>
      <c r="X802" t="s">
        <v>40439</v>
      </c>
    </row>
    <row r="803" spans="1:24">
      <c r="A803">
        <f>HYPERLINK("https://www.philgeps.gov.ph/GEPSNONPILOT/Tender/SplashBidNoticeAbstractUI.aspx?menuIndex=3&amp;refID=7047826&amp;Result=3","7047826")</f>
        <v>0</v>
      </c>
      <c r="B803" t="s">
        <v>425</v>
      </c>
      <c r="C803" t="s">
        <v>3877</v>
      </c>
      <c r="D803" t="s">
        <v>16197</v>
      </c>
      <c r="E803" t="s">
        <v>17059</v>
      </c>
      <c r="F803" t="s">
        <v>28198</v>
      </c>
      <c r="G803" t="s">
        <v>28205</v>
      </c>
      <c r="H803" t="s">
        <v>28215</v>
      </c>
      <c r="I803" t="s">
        <v>5100</v>
      </c>
      <c r="J803" t="s">
        <v>28948</v>
      </c>
      <c r="K803" t="s">
        <v>36689</v>
      </c>
      <c r="M803" t="s">
        <v>37407</v>
      </c>
      <c r="N803" t="s">
        <v>40436</v>
      </c>
      <c r="O803" t="s">
        <v>40437</v>
      </c>
      <c r="P803">
        <v>0</v>
      </c>
      <c r="Q803">
        <v>3</v>
      </c>
      <c r="R803" t="s">
        <v>40438</v>
      </c>
      <c r="S803" t="s">
        <v>40582</v>
      </c>
      <c r="T803" t="s">
        <v>42108</v>
      </c>
      <c r="U803" t="s">
        <v>43341</v>
      </c>
      <c r="V803" t="s">
        <v>53881</v>
      </c>
      <c r="W803" t="s">
        <v>37407</v>
      </c>
      <c r="X803" t="s">
        <v>40439</v>
      </c>
    </row>
    <row r="804" spans="1:24">
      <c r="A804">
        <f>HYPERLINK("https://www.philgeps.gov.ph/GEPSNONPILOT/Tender/SplashBidNoticeAbstractUI.aspx?menuIndex=3&amp;refID=7047850&amp;Result=3","7047850")</f>
        <v>0</v>
      </c>
      <c r="B804" t="s">
        <v>116</v>
      </c>
      <c r="C804" t="s">
        <v>3878</v>
      </c>
      <c r="D804" t="s">
        <v>16207</v>
      </c>
      <c r="E804" t="s">
        <v>17060</v>
      </c>
      <c r="F804" t="s">
        <v>28198</v>
      </c>
      <c r="G804" t="s">
        <v>28207</v>
      </c>
      <c r="H804" t="s">
        <v>28217</v>
      </c>
      <c r="I804" t="s">
        <v>5631</v>
      </c>
      <c r="J804" t="s">
        <v>28949</v>
      </c>
      <c r="K804" t="s">
        <v>36706</v>
      </c>
      <c r="M804" t="s">
        <v>37090</v>
      </c>
      <c r="N804" t="s">
        <v>40436</v>
      </c>
      <c r="O804" t="s">
        <v>40437</v>
      </c>
      <c r="P804">
        <v>0</v>
      </c>
      <c r="Q804">
        <v>0</v>
      </c>
      <c r="R804" t="s">
        <v>40438</v>
      </c>
      <c r="S804" t="s">
        <v>40582</v>
      </c>
      <c r="T804" t="s">
        <v>42103</v>
      </c>
      <c r="U804" t="s">
        <v>43342</v>
      </c>
      <c r="W804" t="s">
        <v>37090</v>
      </c>
      <c r="X804" t="s">
        <v>40439</v>
      </c>
    </row>
    <row r="805" spans="1:24">
      <c r="A805">
        <f>HYPERLINK("https://www.philgeps.gov.ph/GEPSNONPILOT/Tender/SplashBidNoticeAbstractUI.aspx?menuIndex=3&amp;refID=7047864&amp;Result=3","7047864")</f>
        <v>0</v>
      </c>
      <c r="B805" t="s">
        <v>426</v>
      </c>
      <c r="C805" t="s">
        <v>3879</v>
      </c>
      <c r="D805" t="s">
        <v>16189</v>
      </c>
      <c r="E805" t="s">
        <v>17010</v>
      </c>
      <c r="F805" t="s">
        <v>28198</v>
      </c>
      <c r="G805" t="s">
        <v>28207</v>
      </c>
      <c r="H805" t="s">
        <v>28214</v>
      </c>
      <c r="I805" t="s">
        <v>28260</v>
      </c>
      <c r="J805" t="s">
        <v>28352</v>
      </c>
      <c r="K805" t="s">
        <v>36693</v>
      </c>
      <c r="M805" t="s">
        <v>37408</v>
      </c>
      <c r="N805" t="s">
        <v>40436</v>
      </c>
      <c r="O805" t="s">
        <v>40437</v>
      </c>
      <c r="P805">
        <v>0</v>
      </c>
      <c r="Q805">
        <v>0</v>
      </c>
      <c r="R805" t="s">
        <v>40438</v>
      </c>
      <c r="S805" t="s">
        <v>40582</v>
      </c>
      <c r="T805" t="s">
        <v>42175</v>
      </c>
      <c r="U805" t="s">
        <v>43343</v>
      </c>
      <c r="W805" t="s">
        <v>37408</v>
      </c>
      <c r="X805" t="s">
        <v>40439</v>
      </c>
    </row>
    <row r="806" spans="1:24">
      <c r="A806">
        <f>HYPERLINK("https://www.philgeps.gov.ph/GEPSNONPILOT/Tender/SplashBidNoticeAbstractUI.aspx?menuIndex=3&amp;refID=7047858&amp;Result=3","7047858")</f>
        <v>0</v>
      </c>
      <c r="B806" t="s">
        <v>427</v>
      </c>
      <c r="C806" t="s">
        <v>3880</v>
      </c>
      <c r="D806" t="s">
        <v>16200</v>
      </c>
      <c r="E806" t="s">
        <v>17061</v>
      </c>
      <c r="F806" t="s">
        <v>28198</v>
      </c>
      <c r="G806" t="s">
        <v>28207</v>
      </c>
      <c r="H806" t="s">
        <v>28215</v>
      </c>
      <c r="I806" t="s">
        <v>5791</v>
      </c>
      <c r="J806" t="s">
        <v>28950</v>
      </c>
      <c r="K806" t="s">
        <v>36689</v>
      </c>
      <c r="M806" t="s">
        <v>37409</v>
      </c>
      <c r="N806" t="s">
        <v>40436</v>
      </c>
      <c r="O806" t="s">
        <v>40437</v>
      </c>
      <c r="P806">
        <v>0</v>
      </c>
      <c r="Q806">
        <v>0</v>
      </c>
      <c r="R806" t="s">
        <v>40438</v>
      </c>
      <c r="S806" t="s">
        <v>40582</v>
      </c>
      <c r="T806" t="s">
        <v>42160</v>
      </c>
      <c r="U806" t="s">
        <v>43344</v>
      </c>
      <c r="V806" t="s">
        <v>53882</v>
      </c>
      <c r="W806" t="s">
        <v>37409</v>
      </c>
      <c r="X806" t="s">
        <v>40439</v>
      </c>
    </row>
    <row r="807" spans="1:24">
      <c r="A807">
        <f>HYPERLINK("https://www.philgeps.gov.ph/GEPSNONPILOT/Tender/SplashBidNoticeAbstractUI.aspx?menuIndex=3&amp;refID=7047863&amp;Result=3","7047863")</f>
        <v>0</v>
      </c>
      <c r="B807" t="s">
        <v>427</v>
      </c>
      <c r="C807" t="s">
        <v>3881</v>
      </c>
      <c r="D807" t="s">
        <v>16191</v>
      </c>
      <c r="E807" t="s">
        <v>17062</v>
      </c>
      <c r="F807" t="s">
        <v>28198</v>
      </c>
      <c r="G807" t="s">
        <v>28207</v>
      </c>
      <c r="H807" t="s">
        <v>28215</v>
      </c>
      <c r="I807" t="s">
        <v>5100</v>
      </c>
      <c r="J807" t="s">
        <v>28951</v>
      </c>
      <c r="K807" t="s">
        <v>36688</v>
      </c>
      <c r="M807" t="s">
        <v>37410</v>
      </c>
      <c r="N807" t="s">
        <v>40436</v>
      </c>
      <c r="O807" t="s">
        <v>40437</v>
      </c>
      <c r="P807">
        <v>0</v>
      </c>
      <c r="Q807">
        <v>0</v>
      </c>
      <c r="R807" t="s">
        <v>40438</v>
      </c>
      <c r="S807" t="s">
        <v>40582</v>
      </c>
      <c r="T807" t="s">
        <v>42160</v>
      </c>
      <c r="U807" t="s">
        <v>43345</v>
      </c>
      <c r="W807" t="s">
        <v>37410</v>
      </c>
      <c r="X807" t="s">
        <v>40439</v>
      </c>
    </row>
    <row r="808" spans="1:24">
      <c r="A808">
        <f>HYPERLINK("https://www.philgeps.gov.ph/GEPSNONPILOT/Tender/SplashBidNoticeAbstractUI.aspx?menuIndex=3&amp;refID=7047854&amp;Result=3","7047854")</f>
        <v>0</v>
      </c>
      <c r="B808" t="s">
        <v>425</v>
      </c>
      <c r="C808" t="s">
        <v>3882</v>
      </c>
      <c r="D808" t="s">
        <v>16197</v>
      </c>
      <c r="E808" t="s">
        <v>17063</v>
      </c>
      <c r="F808" t="s">
        <v>28198</v>
      </c>
      <c r="G808" t="s">
        <v>28205</v>
      </c>
      <c r="H808" t="s">
        <v>28215</v>
      </c>
      <c r="I808" t="s">
        <v>28228</v>
      </c>
      <c r="J808" t="s">
        <v>28952</v>
      </c>
      <c r="K808" t="s">
        <v>36689</v>
      </c>
      <c r="M808" t="s">
        <v>37407</v>
      </c>
      <c r="N808" t="s">
        <v>40436</v>
      </c>
      <c r="O808" t="s">
        <v>40437</v>
      </c>
      <c r="P808">
        <v>0</v>
      </c>
      <c r="Q808">
        <v>0</v>
      </c>
      <c r="R808" t="s">
        <v>40438</v>
      </c>
      <c r="S808" t="s">
        <v>40582</v>
      </c>
      <c r="T808" t="s">
        <v>42108</v>
      </c>
      <c r="U808" t="s">
        <v>43346</v>
      </c>
      <c r="V808" t="s">
        <v>53881</v>
      </c>
      <c r="W808" t="s">
        <v>37407</v>
      </c>
      <c r="X808" t="s">
        <v>40439</v>
      </c>
    </row>
    <row r="809" spans="1:24">
      <c r="A809">
        <f>HYPERLINK("https://www.philgeps.gov.ph/GEPSNONPILOT/Tender/SplashBidNoticeAbstractUI.aspx?menuIndex=3&amp;refID=7047871&amp;Result=3","7047871")</f>
        <v>0</v>
      </c>
      <c r="B809" t="s">
        <v>428</v>
      </c>
      <c r="C809" t="s">
        <v>3883</v>
      </c>
      <c r="D809" t="s">
        <v>16219</v>
      </c>
      <c r="E809" t="s">
        <v>17064</v>
      </c>
      <c r="F809" t="s">
        <v>28200</v>
      </c>
      <c r="G809" t="s">
        <v>28209</v>
      </c>
      <c r="H809" t="s">
        <v>28215</v>
      </c>
      <c r="I809" t="s">
        <v>28257</v>
      </c>
      <c r="J809" t="s">
        <v>28953</v>
      </c>
      <c r="K809" t="s">
        <v>36687</v>
      </c>
      <c r="M809" t="s">
        <v>37411</v>
      </c>
      <c r="N809" t="s">
        <v>40436</v>
      </c>
      <c r="O809" t="s">
        <v>40437</v>
      </c>
      <c r="P809">
        <v>0</v>
      </c>
      <c r="Q809">
        <v>0</v>
      </c>
      <c r="R809" t="s">
        <v>40438</v>
      </c>
      <c r="S809" t="s">
        <v>40582</v>
      </c>
      <c r="T809" t="s">
        <v>42138</v>
      </c>
      <c r="U809" t="s">
        <v>43347</v>
      </c>
      <c r="W809" t="s">
        <v>37411</v>
      </c>
      <c r="X809" t="s">
        <v>40439</v>
      </c>
    </row>
    <row r="810" spans="1:24">
      <c r="A810">
        <f>HYPERLINK("https://www.philgeps.gov.ph/GEPSNONPILOT/Tender/SplashBidNoticeAbstractUI.aspx?menuIndex=3&amp;refID=7047857&amp;Result=3","7047857")</f>
        <v>0</v>
      </c>
      <c r="B810" t="s">
        <v>429</v>
      </c>
      <c r="C810" t="s">
        <v>3884</v>
      </c>
      <c r="D810" t="s">
        <v>16231</v>
      </c>
      <c r="E810" t="s">
        <v>17065</v>
      </c>
      <c r="F810" t="s">
        <v>28198</v>
      </c>
      <c r="G810" t="s">
        <v>28207</v>
      </c>
      <c r="H810" t="s">
        <v>28215</v>
      </c>
      <c r="I810" t="s">
        <v>28287</v>
      </c>
      <c r="J810" t="s">
        <v>28350</v>
      </c>
      <c r="K810" t="s">
        <v>36706</v>
      </c>
      <c r="M810" t="s">
        <v>37412</v>
      </c>
      <c r="N810" t="s">
        <v>40436</v>
      </c>
      <c r="O810" t="s">
        <v>40437</v>
      </c>
      <c r="P810">
        <v>0</v>
      </c>
      <c r="Q810">
        <v>1</v>
      </c>
      <c r="R810" t="s">
        <v>40438</v>
      </c>
      <c r="S810" t="s">
        <v>40582</v>
      </c>
      <c r="T810" t="s">
        <v>42098</v>
      </c>
      <c r="U810" t="s">
        <v>43348</v>
      </c>
      <c r="W810" t="s">
        <v>37412</v>
      </c>
      <c r="X810" t="s">
        <v>40439</v>
      </c>
    </row>
    <row r="811" spans="1:24">
      <c r="A811">
        <f>HYPERLINK("https://www.philgeps.gov.ph/GEPSNONPILOT/Tender/SplashBidNoticeAbstractUI.aspx?menuIndex=3&amp;refID=7047862&amp;Result=3","7047862")</f>
        <v>0</v>
      </c>
      <c r="B811" t="s">
        <v>430</v>
      </c>
      <c r="C811" t="s">
        <v>3885</v>
      </c>
      <c r="D811" t="s">
        <v>16255</v>
      </c>
      <c r="E811" t="s">
        <v>17066</v>
      </c>
      <c r="F811" t="s">
        <v>28198</v>
      </c>
      <c r="G811" t="s">
        <v>28205</v>
      </c>
      <c r="H811" t="s">
        <v>28215</v>
      </c>
      <c r="I811" t="s">
        <v>8870</v>
      </c>
      <c r="J811" t="s">
        <v>28954</v>
      </c>
      <c r="K811" t="s">
        <v>36701</v>
      </c>
      <c r="M811" t="s">
        <v>37413</v>
      </c>
      <c r="N811" t="s">
        <v>40436</v>
      </c>
      <c r="O811" t="s">
        <v>40437</v>
      </c>
      <c r="P811">
        <v>0</v>
      </c>
      <c r="Q811">
        <v>0</v>
      </c>
      <c r="R811" t="s">
        <v>40438</v>
      </c>
      <c r="S811" t="s">
        <v>40582</v>
      </c>
      <c r="T811" t="s">
        <v>42121</v>
      </c>
      <c r="U811" t="s">
        <v>43349</v>
      </c>
      <c r="W811" t="s">
        <v>37413</v>
      </c>
      <c r="X811" t="s">
        <v>40439</v>
      </c>
    </row>
    <row r="812" spans="1:24">
      <c r="A812">
        <f>HYPERLINK("https://www.philgeps.gov.ph/GEPSNONPILOT/Tender/SplashBidNoticeAbstractUI.aspx?menuIndex=3&amp;refID=7047869&amp;Result=3","7047869")</f>
        <v>0</v>
      </c>
      <c r="B812" t="s">
        <v>422</v>
      </c>
      <c r="C812" t="s">
        <v>3886</v>
      </c>
      <c r="D812" t="s">
        <v>16203</v>
      </c>
      <c r="E812" t="s">
        <v>17056</v>
      </c>
      <c r="F812" t="s">
        <v>28198</v>
      </c>
      <c r="G812" t="s">
        <v>28210</v>
      </c>
      <c r="H812" t="s">
        <v>28215</v>
      </c>
      <c r="I812" t="s">
        <v>5071</v>
      </c>
      <c r="J812" t="s">
        <v>28955</v>
      </c>
      <c r="K812" t="s">
        <v>36689</v>
      </c>
      <c r="M812" t="s">
        <v>37404</v>
      </c>
      <c r="N812" t="s">
        <v>40436</v>
      </c>
      <c r="O812" t="s">
        <v>40437</v>
      </c>
      <c r="P812">
        <v>0</v>
      </c>
      <c r="Q812">
        <v>2</v>
      </c>
      <c r="R812" t="s">
        <v>40438</v>
      </c>
      <c r="S812" t="s">
        <v>40582</v>
      </c>
      <c r="T812" t="s">
        <v>42111</v>
      </c>
      <c r="U812" t="s">
        <v>43338</v>
      </c>
      <c r="W812" t="s">
        <v>37404</v>
      </c>
      <c r="X812" t="s">
        <v>40439</v>
      </c>
    </row>
    <row r="813" spans="1:24">
      <c r="A813">
        <f>HYPERLINK("https://www.philgeps.gov.ph/GEPSNONPILOT/Tender/SplashBidNoticeAbstractUI.aspx?menuIndex=3&amp;refID=7047856&amp;Result=3","7047856")</f>
        <v>0</v>
      </c>
      <c r="B813" t="s">
        <v>431</v>
      </c>
      <c r="C813" t="s">
        <v>3887</v>
      </c>
      <c r="D813" t="s">
        <v>16213</v>
      </c>
      <c r="E813" t="s">
        <v>17067</v>
      </c>
      <c r="F813" t="s">
        <v>28198</v>
      </c>
      <c r="G813" t="s">
        <v>28205</v>
      </c>
      <c r="H813" t="s">
        <v>28215</v>
      </c>
      <c r="I813" t="s">
        <v>28256</v>
      </c>
      <c r="J813" t="s">
        <v>28956</v>
      </c>
      <c r="K813" t="s">
        <v>36701</v>
      </c>
      <c r="L813" t="s">
        <v>431</v>
      </c>
      <c r="M813" t="s">
        <v>37414</v>
      </c>
      <c r="N813" t="s">
        <v>40436</v>
      </c>
      <c r="O813" t="s">
        <v>40437</v>
      </c>
      <c r="P813">
        <v>0</v>
      </c>
      <c r="Q813">
        <v>18</v>
      </c>
      <c r="R813" t="s">
        <v>40438</v>
      </c>
      <c r="S813" t="s">
        <v>40582</v>
      </c>
      <c r="T813" t="s">
        <v>42118</v>
      </c>
      <c r="U813" t="s">
        <v>43350</v>
      </c>
      <c r="V813" t="s">
        <v>53883</v>
      </c>
      <c r="W813" t="s">
        <v>37414</v>
      </c>
      <c r="X813" t="s">
        <v>40439</v>
      </c>
    </row>
    <row r="814" spans="1:24">
      <c r="A814">
        <f>HYPERLINK("https://www.philgeps.gov.ph/GEPSNONPILOT/Tender/SplashBidNoticeAbstractUI.aspx?menuIndex=3&amp;refID=7047873&amp;Result=3","7047873")</f>
        <v>0</v>
      </c>
      <c r="B814" t="s">
        <v>432</v>
      </c>
      <c r="C814" t="s">
        <v>3888</v>
      </c>
      <c r="D814" t="s">
        <v>16262</v>
      </c>
      <c r="E814" t="s">
        <v>17068</v>
      </c>
      <c r="F814" t="s">
        <v>28198</v>
      </c>
      <c r="G814" t="s">
        <v>28207</v>
      </c>
      <c r="H814" t="s">
        <v>28215</v>
      </c>
      <c r="I814" t="s">
        <v>5100</v>
      </c>
      <c r="J814" t="s">
        <v>28957</v>
      </c>
      <c r="K814" t="s">
        <v>36707</v>
      </c>
      <c r="M814" t="s">
        <v>37415</v>
      </c>
      <c r="N814" t="s">
        <v>40436</v>
      </c>
      <c r="O814" t="s">
        <v>40437</v>
      </c>
      <c r="P814">
        <v>0</v>
      </c>
      <c r="Q814">
        <v>0</v>
      </c>
      <c r="R814" t="s">
        <v>40438</v>
      </c>
      <c r="S814" t="s">
        <v>40582</v>
      </c>
      <c r="T814" t="s">
        <v>42124</v>
      </c>
      <c r="U814" t="s">
        <v>43351</v>
      </c>
      <c r="W814" t="s">
        <v>37415</v>
      </c>
      <c r="X814" t="s">
        <v>40439</v>
      </c>
    </row>
    <row r="815" spans="1:24">
      <c r="A815">
        <f>HYPERLINK("https://www.philgeps.gov.ph/GEPSNONPILOT/Tender/SplashBidNoticeAbstractUI.aspx?menuIndex=3&amp;refID=7047861&amp;Result=3","7047861")</f>
        <v>0</v>
      </c>
      <c r="B815" t="s">
        <v>341</v>
      </c>
      <c r="C815" t="s">
        <v>3889</v>
      </c>
      <c r="D815" t="s">
        <v>16199</v>
      </c>
      <c r="E815" t="s">
        <v>17069</v>
      </c>
      <c r="F815" t="s">
        <v>28198</v>
      </c>
      <c r="G815" t="s">
        <v>28205</v>
      </c>
      <c r="H815" t="s">
        <v>28215</v>
      </c>
      <c r="I815" t="s">
        <v>28224</v>
      </c>
      <c r="J815" t="s">
        <v>28958</v>
      </c>
      <c r="K815" t="s">
        <v>36689</v>
      </c>
      <c r="M815" t="s">
        <v>37319</v>
      </c>
      <c r="N815" t="s">
        <v>40436</v>
      </c>
      <c r="O815" t="s">
        <v>40437</v>
      </c>
      <c r="P815">
        <v>0</v>
      </c>
      <c r="Q815">
        <v>2</v>
      </c>
      <c r="R815" t="s">
        <v>40438</v>
      </c>
      <c r="S815" t="s">
        <v>40582</v>
      </c>
      <c r="T815" t="s">
        <v>42155</v>
      </c>
      <c r="U815" t="s">
        <v>43352</v>
      </c>
      <c r="W815" t="s">
        <v>37319</v>
      </c>
      <c r="X815" t="s">
        <v>40439</v>
      </c>
    </row>
    <row r="816" spans="1:24">
      <c r="A816">
        <f>HYPERLINK("https://www.philgeps.gov.ph/GEPSNONPILOT/Tender/SplashBidNoticeAbstractUI.aspx?menuIndex=3&amp;refID=7047868&amp;Result=3","7047868")</f>
        <v>0</v>
      </c>
      <c r="B816" t="s">
        <v>433</v>
      </c>
      <c r="C816" t="s">
        <v>3890</v>
      </c>
      <c r="D816" t="s">
        <v>16210</v>
      </c>
      <c r="E816" t="s">
        <v>17070</v>
      </c>
      <c r="F816" t="s">
        <v>28200</v>
      </c>
      <c r="G816" t="s">
        <v>28206</v>
      </c>
      <c r="H816" t="s">
        <v>28215</v>
      </c>
      <c r="I816" t="s">
        <v>28258</v>
      </c>
      <c r="J816" t="s">
        <v>28430</v>
      </c>
      <c r="K816" t="s">
        <v>36689</v>
      </c>
      <c r="M816" t="s">
        <v>37416</v>
      </c>
      <c r="N816" t="s">
        <v>40436</v>
      </c>
      <c r="O816" t="s">
        <v>40437</v>
      </c>
      <c r="P816">
        <v>0</v>
      </c>
      <c r="Q816">
        <v>5</v>
      </c>
      <c r="R816" t="s">
        <v>40438</v>
      </c>
      <c r="S816" t="s">
        <v>40582</v>
      </c>
      <c r="T816" t="s">
        <v>42216</v>
      </c>
      <c r="U816" t="s">
        <v>43353</v>
      </c>
      <c r="V816" t="s">
        <v>53884</v>
      </c>
      <c r="W816" t="s">
        <v>37416</v>
      </c>
      <c r="X816" t="s">
        <v>40439</v>
      </c>
    </row>
    <row r="817" spans="1:24">
      <c r="A817">
        <f>HYPERLINK("https://www.philgeps.gov.ph/GEPSNONPILOT/Tender/SplashBidNoticeAbstractUI.aspx?menuIndex=3&amp;refID=7047870&amp;Result=3","7047870")</f>
        <v>0</v>
      </c>
      <c r="B817" t="s">
        <v>335</v>
      </c>
      <c r="C817" t="s">
        <v>3891</v>
      </c>
      <c r="D817" t="s">
        <v>16221</v>
      </c>
      <c r="E817" t="s">
        <v>17071</v>
      </c>
      <c r="F817" t="s">
        <v>28198</v>
      </c>
      <c r="G817" t="s">
        <v>28205</v>
      </c>
      <c r="H817" t="s">
        <v>28215</v>
      </c>
      <c r="I817" t="s">
        <v>8888</v>
      </c>
      <c r="J817" t="s">
        <v>28959</v>
      </c>
      <c r="K817" t="s">
        <v>36697</v>
      </c>
      <c r="M817" t="s">
        <v>37313</v>
      </c>
      <c r="N817" t="s">
        <v>40436</v>
      </c>
      <c r="O817" t="s">
        <v>40437</v>
      </c>
      <c r="P817">
        <v>0</v>
      </c>
      <c r="Q817">
        <v>2</v>
      </c>
      <c r="R817" t="s">
        <v>40438</v>
      </c>
      <c r="S817" t="s">
        <v>40582</v>
      </c>
      <c r="T817" t="s">
        <v>42108</v>
      </c>
      <c r="U817" t="s">
        <v>43354</v>
      </c>
      <c r="W817" t="s">
        <v>55444</v>
      </c>
      <c r="X817" t="s">
        <v>40439</v>
      </c>
    </row>
    <row r="818" spans="1:24">
      <c r="A818">
        <f>HYPERLINK("https://www.philgeps.gov.ph/GEPSNONPILOT/Tender/SplashBidNoticeAbstractUI.aspx?menuIndex=3&amp;refID=7047867&amp;Result=3","7047867")</f>
        <v>0</v>
      </c>
      <c r="B818" t="s">
        <v>434</v>
      </c>
      <c r="C818" t="s">
        <v>3892</v>
      </c>
      <c r="D818" t="s">
        <v>16218</v>
      </c>
      <c r="E818" t="s">
        <v>17072</v>
      </c>
      <c r="F818" t="s">
        <v>28198</v>
      </c>
      <c r="G818" t="s">
        <v>28207</v>
      </c>
      <c r="H818" t="s">
        <v>28215</v>
      </c>
      <c r="I818" t="s">
        <v>4200</v>
      </c>
      <c r="J818" t="s">
        <v>28960</v>
      </c>
      <c r="K818" t="s">
        <v>36688</v>
      </c>
      <c r="M818" t="s">
        <v>37417</v>
      </c>
      <c r="N818" t="s">
        <v>40436</v>
      </c>
      <c r="O818" t="s">
        <v>40437</v>
      </c>
      <c r="P818">
        <v>0</v>
      </c>
      <c r="Q818">
        <v>0</v>
      </c>
      <c r="R818" t="s">
        <v>40438</v>
      </c>
      <c r="S818" t="s">
        <v>40582</v>
      </c>
      <c r="T818" t="s">
        <v>42144</v>
      </c>
      <c r="U818" t="s">
        <v>43355</v>
      </c>
      <c r="W818" t="s">
        <v>37417</v>
      </c>
      <c r="X818" t="s">
        <v>40439</v>
      </c>
    </row>
    <row r="819" spans="1:24">
      <c r="A819">
        <f>HYPERLINK("https://www.philgeps.gov.ph/GEPSNONPILOT/Tender/SplashBidNoticeAbstractUI.aspx?menuIndex=3&amp;refID=7047866&amp;Result=3","7047866")</f>
        <v>0</v>
      </c>
      <c r="B819" t="s">
        <v>371</v>
      </c>
      <c r="C819" t="s">
        <v>3893</v>
      </c>
      <c r="D819" t="s">
        <v>16189</v>
      </c>
      <c r="E819" t="s">
        <v>17073</v>
      </c>
      <c r="F819" t="s">
        <v>28198</v>
      </c>
      <c r="G819" t="s">
        <v>28207</v>
      </c>
      <c r="H819" t="s">
        <v>28214</v>
      </c>
      <c r="I819" t="s">
        <v>3797</v>
      </c>
      <c r="J819" t="s">
        <v>28961</v>
      </c>
      <c r="K819" t="s">
        <v>36694</v>
      </c>
      <c r="L819" t="s">
        <v>371</v>
      </c>
      <c r="M819" t="s">
        <v>37351</v>
      </c>
      <c r="N819" t="s">
        <v>40436</v>
      </c>
      <c r="O819" t="s">
        <v>40437</v>
      </c>
      <c r="P819">
        <v>0</v>
      </c>
      <c r="Q819">
        <v>1</v>
      </c>
      <c r="R819" t="s">
        <v>40438</v>
      </c>
      <c r="S819" t="s">
        <v>40582</v>
      </c>
      <c r="T819" t="s">
        <v>42146</v>
      </c>
      <c r="U819" t="s">
        <v>43356</v>
      </c>
      <c r="W819" t="s">
        <v>37351</v>
      </c>
      <c r="X819" t="s">
        <v>40439</v>
      </c>
    </row>
    <row r="820" spans="1:24">
      <c r="A820">
        <f>HYPERLINK("https://www.philgeps.gov.ph/GEPSNONPILOT/Tender/SplashBidNoticeAbstractUI.aspx?menuIndex=3&amp;refID=7047877&amp;Result=3","7047877")</f>
        <v>0</v>
      </c>
      <c r="B820" t="s">
        <v>379</v>
      </c>
      <c r="C820" t="s">
        <v>3894</v>
      </c>
      <c r="D820" t="s">
        <v>16222</v>
      </c>
      <c r="E820" t="s">
        <v>17074</v>
      </c>
      <c r="F820" t="s">
        <v>28198</v>
      </c>
      <c r="G820" t="s">
        <v>28207</v>
      </c>
      <c r="H820" t="s">
        <v>28215</v>
      </c>
      <c r="I820" t="s">
        <v>4200</v>
      </c>
      <c r="J820" t="s">
        <v>28671</v>
      </c>
      <c r="K820" t="s">
        <v>36691</v>
      </c>
      <c r="M820" t="s">
        <v>37359</v>
      </c>
      <c r="N820" t="s">
        <v>40436</v>
      </c>
      <c r="O820" t="s">
        <v>40437</v>
      </c>
      <c r="P820">
        <v>0</v>
      </c>
      <c r="Q820">
        <v>0</v>
      </c>
      <c r="R820" t="s">
        <v>40438</v>
      </c>
      <c r="S820" t="s">
        <v>40582</v>
      </c>
      <c r="T820" t="s">
        <v>42103</v>
      </c>
      <c r="U820" t="s">
        <v>43357</v>
      </c>
      <c r="W820" t="s">
        <v>37359</v>
      </c>
      <c r="X820" t="s">
        <v>40439</v>
      </c>
    </row>
    <row r="821" spans="1:24">
      <c r="A821">
        <f>HYPERLINK("https://www.philgeps.gov.ph/GEPSNONPILOT/Tender/SplashBidNoticeAbstractUI.aspx?menuIndex=3&amp;refID=7047875&amp;Result=3","7047875")</f>
        <v>0</v>
      </c>
      <c r="B821" t="s">
        <v>435</v>
      </c>
      <c r="C821" t="s">
        <v>3895</v>
      </c>
      <c r="D821" t="s">
        <v>16254</v>
      </c>
      <c r="E821" t="s">
        <v>17075</v>
      </c>
      <c r="F821" t="s">
        <v>28198</v>
      </c>
      <c r="G821" t="s">
        <v>28206</v>
      </c>
      <c r="H821" t="s">
        <v>28215</v>
      </c>
      <c r="I821" t="s">
        <v>28243</v>
      </c>
      <c r="J821" t="s">
        <v>28962</v>
      </c>
      <c r="K821" t="s">
        <v>36689</v>
      </c>
      <c r="M821" t="s">
        <v>37418</v>
      </c>
      <c r="N821" t="s">
        <v>40436</v>
      </c>
      <c r="O821" t="s">
        <v>40437</v>
      </c>
      <c r="P821">
        <v>0</v>
      </c>
      <c r="Q821">
        <v>0</v>
      </c>
      <c r="R821" t="s">
        <v>40438</v>
      </c>
      <c r="S821" t="s">
        <v>40582</v>
      </c>
      <c r="T821" t="s">
        <v>42112</v>
      </c>
      <c r="U821" t="s">
        <v>43358</v>
      </c>
      <c r="W821" t="s">
        <v>55447</v>
      </c>
      <c r="X821" t="s">
        <v>40439</v>
      </c>
    </row>
    <row r="822" spans="1:24">
      <c r="A822">
        <f>HYPERLINK("https://www.philgeps.gov.ph/GEPSNONPILOT/Tender/SplashBidNoticeAbstractUI.aspx?menuIndex=3&amp;refID=7047879&amp;Result=3","7047879")</f>
        <v>0</v>
      </c>
      <c r="B822" t="s">
        <v>422</v>
      </c>
      <c r="C822" t="s">
        <v>3676</v>
      </c>
      <c r="D822" t="s">
        <v>16203</v>
      </c>
      <c r="E822" t="s">
        <v>17076</v>
      </c>
      <c r="F822" t="s">
        <v>28198</v>
      </c>
      <c r="G822" t="s">
        <v>28210</v>
      </c>
      <c r="H822" t="s">
        <v>28215</v>
      </c>
      <c r="I822" t="s">
        <v>4219</v>
      </c>
      <c r="J822" t="s">
        <v>28963</v>
      </c>
      <c r="K822" t="s">
        <v>36689</v>
      </c>
      <c r="M822" t="s">
        <v>37404</v>
      </c>
      <c r="N822" t="s">
        <v>40436</v>
      </c>
      <c r="O822" t="s">
        <v>40437</v>
      </c>
      <c r="P822">
        <v>0</v>
      </c>
      <c r="Q822">
        <v>7</v>
      </c>
      <c r="R822" t="s">
        <v>40438</v>
      </c>
      <c r="S822" t="s">
        <v>40582</v>
      </c>
      <c r="T822" t="s">
        <v>42111</v>
      </c>
      <c r="U822" t="s">
        <v>43338</v>
      </c>
      <c r="W822" t="s">
        <v>37404</v>
      </c>
      <c r="X822" t="s">
        <v>40439</v>
      </c>
    </row>
    <row r="823" spans="1:24">
      <c r="A823">
        <f>HYPERLINK("https://www.philgeps.gov.ph/GEPSNONPILOT/Tender/SplashBidNoticeAbstractUI.aspx?menuIndex=3&amp;refID=7047874&amp;Result=3","7047874")</f>
        <v>0</v>
      </c>
      <c r="B823" t="s">
        <v>129</v>
      </c>
      <c r="C823" t="s">
        <v>3896</v>
      </c>
      <c r="D823" t="s">
        <v>16210</v>
      </c>
      <c r="E823" t="s">
        <v>17077</v>
      </c>
      <c r="F823" t="s">
        <v>28198</v>
      </c>
      <c r="G823" t="s">
        <v>28206</v>
      </c>
      <c r="H823" t="s">
        <v>28215</v>
      </c>
      <c r="I823" t="s">
        <v>8888</v>
      </c>
      <c r="J823" t="s">
        <v>28964</v>
      </c>
      <c r="K823" t="s">
        <v>36706</v>
      </c>
      <c r="M823" t="s">
        <v>37151</v>
      </c>
      <c r="N823" t="s">
        <v>40436</v>
      </c>
      <c r="O823" t="s">
        <v>40437</v>
      </c>
      <c r="P823">
        <v>0</v>
      </c>
      <c r="Q823">
        <v>2</v>
      </c>
      <c r="R823" t="s">
        <v>40438</v>
      </c>
      <c r="S823" t="s">
        <v>40582</v>
      </c>
      <c r="T823" t="s">
        <v>42156</v>
      </c>
      <c r="U823" t="s">
        <v>43359</v>
      </c>
      <c r="V823" t="s">
        <v>53812</v>
      </c>
      <c r="W823" t="s">
        <v>37151</v>
      </c>
      <c r="X823" t="s">
        <v>40439</v>
      </c>
    </row>
    <row r="824" spans="1:24">
      <c r="A824">
        <f>HYPERLINK("https://www.philgeps.gov.ph/GEPSNONPILOT/Tender/SplashBidNoticeAbstractUI.aspx?menuIndex=3&amp;refID=7047891&amp;Result=3","7047891")</f>
        <v>0</v>
      </c>
      <c r="B824" t="s">
        <v>314</v>
      </c>
      <c r="C824" t="s">
        <v>3897</v>
      </c>
      <c r="D824" t="s">
        <v>16194</v>
      </c>
      <c r="E824" t="s">
        <v>17078</v>
      </c>
      <c r="F824" t="s">
        <v>28198</v>
      </c>
      <c r="G824" t="s">
        <v>28207</v>
      </c>
      <c r="H824" t="s">
        <v>28215</v>
      </c>
      <c r="I824" t="s">
        <v>5791</v>
      </c>
      <c r="J824" t="s">
        <v>28965</v>
      </c>
      <c r="K824" t="s">
        <v>36701</v>
      </c>
      <c r="M824" t="s">
        <v>37419</v>
      </c>
      <c r="N824" t="s">
        <v>40436</v>
      </c>
      <c r="O824" t="s">
        <v>40437</v>
      </c>
      <c r="P824">
        <v>0</v>
      </c>
      <c r="Q824">
        <v>0</v>
      </c>
      <c r="R824" t="s">
        <v>40438</v>
      </c>
      <c r="S824" t="s">
        <v>40582</v>
      </c>
      <c r="T824" t="s">
        <v>42103</v>
      </c>
      <c r="U824" t="s">
        <v>43122</v>
      </c>
      <c r="W824" t="s">
        <v>55441</v>
      </c>
      <c r="X824" t="s">
        <v>40439</v>
      </c>
    </row>
    <row r="825" spans="1:24">
      <c r="A825">
        <f>HYPERLINK("https://www.philgeps.gov.ph/GEPSNONPILOT/Tender/SplashBidNoticeAbstractUI.aspx?menuIndex=3&amp;refID=7047881&amp;Result=3","7047881")</f>
        <v>0</v>
      </c>
      <c r="B825" t="s">
        <v>436</v>
      </c>
      <c r="C825" t="s">
        <v>3898</v>
      </c>
      <c r="D825" t="s">
        <v>16247</v>
      </c>
      <c r="E825" t="s">
        <v>17079</v>
      </c>
      <c r="F825" t="s">
        <v>28198</v>
      </c>
      <c r="G825" t="s">
        <v>28207</v>
      </c>
      <c r="H825" t="s">
        <v>28214</v>
      </c>
      <c r="I825" t="s">
        <v>28255</v>
      </c>
      <c r="J825" t="s">
        <v>28966</v>
      </c>
      <c r="K825" t="s">
        <v>36715</v>
      </c>
      <c r="M825" t="s">
        <v>37420</v>
      </c>
      <c r="N825" t="s">
        <v>40436</v>
      </c>
      <c r="O825" t="s">
        <v>40437</v>
      </c>
      <c r="P825">
        <v>0</v>
      </c>
      <c r="Q825">
        <v>0</v>
      </c>
      <c r="R825" t="s">
        <v>40438</v>
      </c>
      <c r="S825" t="s">
        <v>40582</v>
      </c>
      <c r="T825" t="s">
        <v>42188</v>
      </c>
      <c r="U825" t="s">
        <v>43360</v>
      </c>
      <c r="W825" t="s">
        <v>37420</v>
      </c>
      <c r="X825" t="s">
        <v>40439</v>
      </c>
    </row>
    <row r="826" spans="1:24">
      <c r="A826">
        <f>HYPERLINK("https://www.philgeps.gov.ph/GEPSNONPILOT/Tender/SplashBidNoticeAbstractUI.aspx?menuIndex=3&amp;refID=7047897&amp;Result=3","7047897")</f>
        <v>0</v>
      </c>
      <c r="B826" t="s">
        <v>380</v>
      </c>
      <c r="C826" t="s">
        <v>3899</v>
      </c>
      <c r="D826" t="s">
        <v>16256</v>
      </c>
      <c r="E826" t="s">
        <v>17080</v>
      </c>
      <c r="F826" t="s">
        <v>28198</v>
      </c>
      <c r="G826" t="s">
        <v>28206</v>
      </c>
      <c r="H826" t="s">
        <v>28215</v>
      </c>
      <c r="I826" t="s">
        <v>28228</v>
      </c>
      <c r="J826" t="s">
        <v>28967</v>
      </c>
      <c r="K826" t="s">
        <v>36689</v>
      </c>
      <c r="M826" t="s">
        <v>37360</v>
      </c>
      <c r="N826" t="s">
        <v>40436</v>
      </c>
      <c r="O826" t="s">
        <v>40437</v>
      </c>
      <c r="P826">
        <v>0</v>
      </c>
      <c r="Q826">
        <v>0</v>
      </c>
      <c r="R826" t="s">
        <v>40438</v>
      </c>
      <c r="S826" t="s">
        <v>40582</v>
      </c>
      <c r="T826" t="s">
        <v>42169</v>
      </c>
      <c r="U826" t="s">
        <v>43361</v>
      </c>
      <c r="W826" t="s">
        <v>37360</v>
      </c>
      <c r="X826" t="s">
        <v>40439</v>
      </c>
    </row>
    <row r="827" spans="1:24">
      <c r="A827">
        <f>HYPERLINK("https://www.philgeps.gov.ph/GEPSNONPILOT/Tender/SplashBidNoticeAbstractUI.aspx?menuIndex=3&amp;refID=7047892&amp;Result=3","7047892")</f>
        <v>0</v>
      </c>
      <c r="B827" t="s">
        <v>437</v>
      </c>
      <c r="C827" t="s">
        <v>3900</v>
      </c>
      <c r="D827" t="s">
        <v>16209</v>
      </c>
      <c r="E827" t="s">
        <v>17081</v>
      </c>
      <c r="F827" t="s">
        <v>28198</v>
      </c>
      <c r="G827" t="s">
        <v>28209</v>
      </c>
      <c r="H827" t="s">
        <v>28215</v>
      </c>
      <c r="I827" t="s">
        <v>28228</v>
      </c>
      <c r="J827" t="s">
        <v>28968</v>
      </c>
      <c r="K827" t="s">
        <v>36701</v>
      </c>
      <c r="L827" t="s">
        <v>437</v>
      </c>
      <c r="M827" t="s">
        <v>37421</v>
      </c>
      <c r="N827" t="s">
        <v>40436</v>
      </c>
      <c r="O827" t="s">
        <v>40437</v>
      </c>
      <c r="P827">
        <v>0</v>
      </c>
      <c r="Q827">
        <v>0</v>
      </c>
      <c r="R827" t="s">
        <v>40438</v>
      </c>
      <c r="S827" t="s">
        <v>40582</v>
      </c>
      <c r="T827" t="s">
        <v>42136</v>
      </c>
      <c r="U827" t="s">
        <v>43362</v>
      </c>
      <c r="V827" t="s">
        <v>53885</v>
      </c>
      <c r="W827" t="s">
        <v>37421</v>
      </c>
      <c r="X827" t="s">
        <v>40439</v>
      </c>
    </row>
    <row r="828" spans="1:24">
      <c r="A828">
        <f>HYPERLINK("https://www.philgeps.gov.ph/GEPSNONPILOT/Tender/SplashBidNoticeAbstractUI.aspx?menuIndex=3&amp;refID=7047889&amp;Result=3","7047889")</f>
        <v>0</v>
      </c>
      <c r="B828" t="s">
        <v>422</v>
      </c>
      <c r="C828" t="s">
        <v>3676</v>
      </c>
      <c r="D828" t="s">
        <v>16203</v>
      </c>
      <c r="E828" t="s">
        <v>17082</v>
      </c>
      <c r="F828" t="s">
        <v>28198</v>
      </c>
      <c r="G828" t="s">
        <v>28210</v>
      </c>
      <c r="H828" t="s">
        <v>28215</v>
      </c>
      <c r="I828" t="s">
        <v>5082</v>
      </c>
      <c r="J828" t="s">
        <v>28969</v>
      </c>
      <c r="K828" t="s">
        <v>36689</v>
      </c>
      <c r="M828" t="s">
        <v>37404</v>
      </c>
      <c r="N828" t="s">
        <v>40436</v>
      </c>
      <c r="O828" t="s">
        <v>40437</v>
      </c>
      <c r="P828">
        <v>0</v>
      </c>
      <c r="Q828">
        <v>5</v>
      </c>
      <c r="R828" t="s">
        <v>40438</v>
      </c>
      <c r="S828" t="s">
        <v>40582</v>
      </c>
      <c r="T828" t="s">
        <v>42111</v>
      </c>
      <c r="U828" t="s">
        <v>43338</v>
      </c>
      <c r="W828" t="s">
        <v>37404</v>
      </c>
      <c r="X828" t="s">
        <v>40439</v>
      </c>
    </row>
    <row r="829" spans="1:24">
      <c r="A829">
        <f>HYPERLINK("https://www.philgeps.gov.ph/GEPSNONPILOT/Tender/SplashBidNoticeAbstractUI.aspx?menuIndex=3&amp;refID=7047880&amp;Result=3","7047880")</f>
        <v>0</v>
      </c>
      <c r="B829" t="s">
        <v>425</v>
      </c>
      <c r="C829" t="s">
        <v>3901</v>
      </c>
      <c r="D829" t="s">
        <v>16197</v>
      </c>
      <c r="E829" t="s">
        <v>17083</v>
      </c>
      <c r="F829" t="s">
        <v>28198</v>
      </c>
      <c r="G829" t="s">
        <v>28205</v>
      </c>
      <c r="H829" t="s">
        <v>28215</v>
      </c>
      <c r="I829" t="s">
        <v>5100</v>
      </c>
      <c r="J829" t="s">
        <v>28970</v>
      </c>
      <c r="K829" t="s">
        <v>36689</v>
      </c>
      <c r="M829" t="s">
        <v>37407</v>
      </c>
      <c r="N829" t="s">
        <v>40436</v>
      </c>
      <c r="O829" t="s">
        <v>40437</v>
      </c>
      <c r="P829">
        <v>0</v>
      </c>
      <c r="Q829">
        <v>1</v>
      </c>
      <c r="R829" t="s">
        <v>40438</v>
      </c>
      <c r="S829" t="s">
        <v>40582</v>
      </c>
      <c r="T829" t="s">
        <v>42108</v>
      </c>
      <c r="U829" t="s">
        <v>43363</v>
      </c>
      <c r="V829" t="s">
        <v>53881</v>
      </c>
      <c r="W829" t="s">
        <v>37407</v>
      </c>
      <c r="X829" t="s">
        <v>40439</v>
      </c>
    </row>
    <row r="830" spans="1:24">
      <c r="A830">
        <f>HYPERLINK("https://www.philgeps.gov.ph/GEPSNONPILOT/Tender/SplashBidNoticeAbstractUI.aspx?menuIndex=3&amp;refID=7047888&amp;Result=3","7047888")</f>
        <v>0</v>
      </c>
      <c r="B830" t="s">
        <v>438</v>
      </c>
      <c r="C830" t="s">
        <v>3902</v>
      </c>
      <c r="D830" t="s">
        <v>16208</v>
      </c>
      <c r="E830" t="s">
        <v>16639</v>
      </c>
      <c r="F830" t="s">
        <v>28198</v>
      </c>
      <c r="G830" t="s">
        <v>28206</v>
      </c>
      <c r="H830" t="s">
        <v>28215</v>
      </c>
      <c r="I830" t="s">
        <v>4219</v>
      </c>
      <c r="J830" t="s">
        <v>28971</v>
      </c>
      <c r="K830" t="s">
        <v>36691</v>
      </c>
      <c r="M830" t="s">
        <v>37422</v>
      </c>
      <c r="N830" t="s">
        <v>40436</v>
      </c>
      <c r="O830" t="s">
        <v>40437</v>
      </c>
      <c r="P830">
        <v>0</v>
      </c>
      <c r="Q830">
        <v>0</v>
      </c>
      <c r="R830" t="s">
        <v>40438</v>
      </c>
      <c r="S830" t="s">
        <v>40582</v>
      </c>
      <c r="T830" t="s">
        <v>42131</v>
      </c>
      <c r="U830" t="s">
        <v>43364</v>
      </c>
      <c r="W830" t="s">
        <v>37422</v>
      </c>
      <c r="X830" t="s">
        <v>40439</v>
      </c>
    </row>
    <row r="831" spans="1:24">
      <c r="A831">
        <f>HYPERLINK("https://www.philgeps.gov.ph/GEPSNONPILOT/Tender/SplashBidNoticeAbstractUI.aspx?menuIndex=3&amp;refID=7047890&amp;Result=3","7047890")</f>
        <v>0</v>
      </c>
      <c r="B831" t="s">
        <v>439</v>
      </c>
      <c r="C831" t="s">
        <v>3903</v>
      </c>
      <c r="D831" t="s">
        <v>16213</v>
      </c>
      <c r="E831" t="s">
        <v>17084</v>
      </c>
      <c r="F831" t="s">
        <v>28198</v>
      </c>
      <c r="G831" t="s">
        <v>28205</v>
      </c>
      <c r="H831" t="s">
        <v>28215</v>
      </c>
      <c r="I831" t="s">
        <v>28272</v>
      </c>
      <c r="J831" t="s">
        <v>28699</v>
      </c>
      <c r="K831" t="s">
        <v>36697</v>
      </c>
      <c r="M831" t="s">
        <v>37423</v>
      </c>
      <c r="N831" t="s">
        <v>40436</v>
      </c>
      <c r="O831" t="s">
        <v>40437</v>
      </c>
      <c r="P831">
        <v>0</v>
      </c>
      <c r="Q831">
        <v>2</v>
      </c>
      <c r="R831" t="s">
        <v>40438</v>
      </c>
      <c r="S831" t="s">
        <v>40582</v>
      </c>
      <c r="T831" t="s">
        <v>42125</v>
      </c>
      <c r="U831" t="s">
        <v>43365</v>
      </c>
      <c r="V831" t="s">
        <v>53886</v>
      </c>
      <c r="W831" t="s">
        <v>37423</v>
      </c>
      <c r="X831" t="s">
        <v>40439</v>
      </c>
    </row>
    <row r="832" spans="1:24">
      <c r="A832">
        <f>HYPERLINK("https://www.philgeps.gov.ph/GEPSNONPILOT/Tender/SplashBidNoticeAbstractUI.aspx?menuIndex=3&amp;refID=7047886&amp;Result=3","7047886")</f>
        <v>0</v>
      </c>
      <c r="B832" t="s">
        <v>434</v>
      </c>
      <c r="C832" t="s">
        <v>3904</v>
      </c>
      <c r="D832" t="s">
        <v>16218</v>
      </c>
      <c r="E832" t="s">
        <v>17085</v>
      </c>
      <c r="F832" t="s">
        <v>28198</v>
      </c>
      <c r="G832" t="s">
        <v>28207</v>
      </c>
      <c r="H832" t="s">
        <v>28215</v>
      </c>
      <c r="I832" t="s">
        <v>8888</v>
      </c>
      <c r="J832" t="s">
        <v>28972</v>
      </c>
      <c r="K832" t="s">
        <v>36688</v>
      </c>
      <c r="M832" t="s">
        <v>37417</v>
      </c>
      <c r="N832" t="s">
        <v>40436</v>
      </c>
      <c r="O832" t="s">
        <v>40437</v>
      </c>
      <c r="P832">
        <v>0</v>
      </c>
      <c r="Q832">
        <v>1</v>
      </c>
      <c r="R832" t="s">
        <v>40438</v>
      </c>
      <c r="S832" t="s">
        <v>40582</v>
      </c>
      <c r="T832" t="s">
        <v>42144</v>
      </c>
      <c r="U832" t="s">
        <v>43366</v>
      </c>
      <c r="W832" t="s">
        <v>37417</v>
      </c>
      <c r="X832" t="s">
        <v>40439</v>
      </c>
    </row>
    <row r="833" spans="1:24">
      <c r="A833">
        <f>HYPERLINK("https://www.philgeps.gov.ph/GEPSNONPILOT/Tender/SplashBidNoticeAbstractUI.aspx?menuIndex=3&amp;refID=7047882&amp;Result=3","7047882")</f>
        <v>0</v>
      </c>
      <c r="B833" t="s">
        <v>440</v>
      </c>
      <c r="C833" t="s">
        <v>3905</v>
      </c>
      <c r="D833" t="s">
        <v>16203</v>
      </c>
      <c r="E833" t="s">
        <v>17086</v>
      </c>
      <c r="F833" t="s">
        <v>28200</v>
      </c>
      <c r="G833" t="s">
        <v>28205</v>
      </c>
      <c r="H833" t="s">
        <v>28215</v>
      </c>
      <c r="I833" t="s">
        <v>5100</v>
      </c>
      <c r="J833" t="s">
        <v>28973</v>
      </c>
      <c r="K833" t="s">
        <v>36707</v>
      </c>
      <c r="M833" t="s">
        <v>37424</v>
      </c>
      <c r="N833" t="s">
        <v>40436</v>
      </c>
      <c r="O833" t="s">
        <v>40437</v>
      </c>
      <c r="P833">
        <v>0</v>
      </c>
      <c r="Q833">
        <v>0</v>
      </c>
      <c r="R833" t="s">
        <v>40438</v>
      </c>
      <c r="S833" t="s">
        <v>40582</v>
      </c>
      <c r="T833" t="s">
        <v>42108</v>
      </c>
      <c r="U833" t="s">
        <v>43367</v>
      </c>
      <c r="V833" t="s">
        <v>53887</v>
      </c>
      <c r="W833" t="s">
        <v>37424</v>
      </c>
      <c r="X833" t="s">
        <v>40439</v>
      </c>
    </row>
    <row r="834" spans="1:24">
      <c r="A834">
        <f>HYPERLINK("https://www.philgeps.gov.ph/GEPSNONPILOT/Tender/SplashBidNoticeAbstractUI.aspx?menuIndex=3&amp;refID=7047900&amp;Result=3","7047900")</f>
        <v>0</v>
      </c>
      <c r="B834" t="s">
        <v>422</v>
      </c>
      <c r="C834" t="s">
        <v>3676</v>
      </c>
      <c r="D834" t="s">
        <v>16203</v>
      </c>
      <c r="E834" t="s">
        <v>17087</v>
      </c>
      <c r="F834" t="s">
        <v>28198</v>
      </c>
      <c r="G834" t="s">
        <v>28210</v>
      </c>
      <c r="H834" t="s">
        <v>28215</v>
      </c>
      <c r="I834" t="s">
        <v>28227</v>
      </c>
      <c r="J834" t="s">
        <v>28974</v>
      </c>
      <c r="K834" t="s">
        <v>36689</v>
      </c>
      <c r="M834" t="s">
        <v>37404</v>
      </c>
      <c r="N834" t="s">
        <v>40436</v>
      </c>
      <c r="O834" t="s">
        <v>40437</v>
      </c>
      <c r="P834">
        <v>0</v>
      </c>
      <c r="Q834">
        <v>0</v>
      </c>
      <c r="R834" t="s">
        <v>40438</v>
      </c>
      <c r="S834" t="s">
        <v>40582</v>
      </c>
      <c r="T834" t="s">
        <v>42111</v>
      </c>
      <c r="U834" t="s">
        <v>43338</v>
      </c>
      <c r="W834" t="s">
        <v>37404</v>
      </c>
      <c r="X834" t="s">
        <v>40439</v>
      </c>
    </row>
    <row r="835" spans="1:24">
      <c r="A835">
        <f>HYPERLINK("https://www.philgeps.gov.ph/GEPSNONPILOT/Tender/SplashBidNoticeAbstractUI.aspx?menuIndex=3&amp;refID=7047885&amp;Result=3","7047885")</f>
        <v>0</v>
      </c>
      <c r="B835" t="s">
        <v>441</v>
      </c>
      <c r="C835" t="s">
        <v>3906</v>
      </c>
      <c r="D835" t="s">
        <v>16204</v>
      </c>
      <c r="E835" t="s">
        <v>17088</v>
      </c>
      <c r="F835" t="s">
        <v>28198</v>
      </c>
      <c r="G835" t="s">
        <v>28205</v>
      </c>
      <c r="H835" t="s">
        <v>28214</v>
      </c>
      <c r="I835" t="s">
        <v>3797</v>
      </c>
      <c r="J835" t="s">
        <v>28975</v>
      </c>
      <c r="K835" t="s">
        <v>36689</v>
      </c>
      <c r="M835" t="s">
        <v>37425</v>
      </c>
      <c r="N835" t="s">
        <v>40436</v>
      </c>
      <c r="O835" t="s">
        <v>40437</v>
      </c>
      <c r="P835">
        <v>0</v>
      </c>
      <c r="Q835">
        <v>0</v>
      </c>
      <c r="R835" t="s">
        <v>40438</v>
      </c>
      <c r="S835" t="s">
        <v>40582</v>
      </c>
      <c r="T835" t="s">
        <v>42115</v>
      </c>
      <c r="U835" t="s">
        <v>43368</v>
      </c>
      <c r="V835" t="s">
        <v>53888</v>
      </c>
      <c r="W835" t="s">
        <v>37425</v>
      </c>
      <c r="X835" t="s">
        <v>40439</v>
      </c>
    </row>
    <row r="836" spans="1:24">
      <c r="A836">
        <f>HYPERLINK("https://www.philgeps.gov.ph/GEPSNONPILOT/Tender/SplashBidNoticeAbstractUI.aspx?menuIndex=3&amp;refID=7047887&amp;Result=3","7047887")</f>
        <v>0</v>
      </c>
      <c r="B836" t="s">
        <v>442</v>
      </c>
      <c r="C836" t="s">
        <v>3907</v>
      </c>
      <c r="D836" t="s">
        <v>16221</v>
      </c>
      <c r="E836" t="s">
        <v>17089</v>
      </c>
      <c r="F836" t="s">
        <v>28198</v>
      </c>
      <c r="G836" t="s">
        <v>28206</v>
      </c>
      <c r="H836" t="s">
        <v>28215</v>
      </c>
      <c r="I836" t="s">
        <v>5082</v>
      </c>
      <c r="J836" t="s">
        <v>28976</v>
      </c>
      <c r="K836" t="s">
        <v>36723</v>
      </c>
      <c r="M836" t="s">
        <v>37426</v>
      </c>
      <c r="N836" t="s">
        <v>40436</v>
      </c>
      <c r="O836" t="s">
        <v>40437</v>
      </c>
      <c r="P836">
        <v>0</v>
      </c>
      <c r="Q836">
        <v>1</v>
      </c>
      <c r="R836" t="s">
        <v>40438</v>
      </c>
      <c r="S836" t="s">
        <v>40582</v>
      </c>
      <c r="T836" t="s">
        <v>42131</v>
      </c>
      <c r="U836" t="s">
        <v>43369</v>
      </c>
      <c r="W836" t="s">
        <v>37426</v>
      </c>
      <c r="X836" t="s">
        <v>40439</v>
      </c>
    </row>
    <row r="837" spans="1:24">
      <c r="A837">
        <f>HYPERLINK("https://www.philgeps.gov.ph/GEPSNONPILOT/Tender/SplashBidNoticeAbstractUI.aspx?menuIndex=3&amp;refID=7047896&amp;Result=3","7047896")</f>
        <v>0</v>
      </c>
      <c r="B837" t="s">
        <v>354</v>
      </c>
      <c r="C837" t="s">
        <v>3908</v>
      </c>
      <c r="D837" t="s">
        <v>16199</v>
      </c>
      <c r="E837" t="s">
        <v>17090</v>
      </c>
      <c r="F837" t="s">
        <v>28198</v>
      </c>
      <c r="G837" t="s">
        <v>28206</v>
      </c>
      <c r="H837" t="s">
        <v>28215</v>
      </c>
      <c r="I837" t="s">
        <v>5100</v>
      </c>
      <c r="J837" t="s">
        <v>28551</v>
      </c>
      <c r="K837" t="s">
        <v>36723</v>
      </c>
      <c r="M837" t="s">
        <v>37333</v>
      </c>
      <c r="N837" t="s">
        <v>40436</v>
      </c>
      <c r="O837" t="s">
        <v>40437</v>
      </c>
      <c r="P837">
        <v>0</v>
      </c>
      <c r="Q837">
        <v>1</v>
      </c>
      <c r="R837" t="s">
        <v>40438</v>
      </c>
      <c r="S837" t="s">
        <v>40582</v>
      </c>
      <c r="T837" t="s">
        <v>42158</v>
      </c>
      <c r="U837" t="s">
        <v>43370</v>
      </c>
      <c r="W837" t="s">
        <v>37333</v>
      </c>
      <c r="X837" t="s">
        <v>40439</v>
      </c>
    </row>
    <row r="838" spans="1:24">
      <c r="A838">
        <f>HYPERLINK("https://www.philgeps.gov.ph/GEPSNONPILOT/Tender/SplashBidNoticeAbstractUI.aspx?menuIndex=3&amp;refID=7047901&amp;Result=3","7047901")</f>
        <v>0</v>
      </c>
      <c r="B838" t="s">
        <v>386</v>
      </c>
      <c r="C838" t="s">
        <v>3909</v>
      </c>
      <c r="D838" t="s">
        <v>16259</v>
      </c>
      <c r="E838" t="s">
        <v>17091</v>
      </c>
      <c r="F838" t="s">
        <v>28198</v>
      </c>
      <c r="G838" t="s">
        <v>28205</v>
      </c>
      <c r="H838" t="s">
        <v>28215</v>
      </c>
      <c r="I838" t="s">
        <v>28227</v>
      </c>
      <c r="J838" t="s">
        <v>28977</v>
      </c>
      <c r="K838" t="s">
        <v>36701</v>
      </c>
      <c r="M838" t="s">
        <v>37366</v>
      </c>
      <c r="N838" t="s">
        <v>40436</v>
      </c>
      <c r="O838" t="s">
        <v>40437</v>
      </c>
      <c r="P838">
        <v>0</v>
      </c>
      <c r="Q838">
        <v>0</v>
      </c>
      <c r="R838" t="s">
        <v>40438</v>
      </c>
      <c r="S838" t="s">
        <v>40582</v>
      </c>
      <c r="T838" t="s">
        <v>42123</v>
      </c>
      <c r="U838" t="s">
        <v>43270</v>
      </c>
      <c r="V838" t="s">
        <v>53872</v>
      </c>
      <c r="W838" t="s">
        <v>37366</v>
      </c>
      <c r="X838" t="s">
        <v>40439</v>
      </c>
    </row>
    <row r="839" spans="1:24">
      <c r="A839">
        <f>HYPERLINK("https://www.philgeps.gov.ph/GEPSNONPILOT/Tender/SplashBidNoticeAbstractUI.aspx?menuIndex=3&amp;refID=7047884&amp;Result=3","7047884")</f>
        <v>0</v>
      </c>
      <c r="B839" t="s">
        <v>379</v>
      </c>
      <c r="C839" t="s">
        <v>3910</v>
      </c>
      <c r="D839" t="s">
        <v>16222</v>
      </c>
      <c r="E839" t="s">
        <v>17092</v>
      </c>
      <c r="F839" t="s">
        <v>28198</v>
      </c>
      <c r="G839" t="s">
        <v>28207</v>
      </c>
      <c r="H839" t="s">
        <v>28215</v>
      </c>
      <c r="I839" t="s">
        <v>4200</v>
      </c>
      <c r="J839" t="s">
        <v>28539</v>
      </c>
      <c r="K839" t="s">
        <v>36691</v>
      </c>
      <c r="M839" t="s">
        <v>37359</v>
      </c>
      <c r="N839" t="s">
        <v>40436</v>
      </c>
      <c r="O839" t="s">
        <v>40437</v>
      </c>
      <c r="P839">
        <v>0</v>
      </c>
      <c r="Q839">
        <v>0</v>
      </c>
      <c r="R839" t="s">
        <v>40438</v>
      </c>
      <c r="S839" t="s">
        <v>40582</v>
      </c>
      <c r="T839" t="s">
        <v>42103</v>
      </c>
      <c r="U839" t="s">
        <v>43371</v>
      </c>
      <c r="W839" t="s">
        <v>37359</v>
      </c>
      <c r="X839" t="s">
        <v>40439</v>
      </c>
    </row>
    <row r="840" spans="1:24">
      <c r="A840">
        <f>HYPERLINK("https://www.philgeps.gov.ph/GEPSNONPILOT/Tender/SplashBidNoticeAbstractUI.aspx?menuIndex=3&amp;refID=7047894&amp;Result=3","7047894")</f>
        <v>0</v>
      </c>
      <c r="B840" t="s">
        <v>430</v>
      </c>
      <c r="C840" t="s">
        <v>3911</v>
      </c>
      <c r="D840" t="s">
        <v>16255</v>
      </c>
      <c r="E840" t="s">
        <v>17093</v>
      </c>
      <c r="F840" t="s">
        <v>28198</v>
      </c>
      <c r="G840" t="s">
        <v>28205</v>
      </c>
      <c r="H840" t="s">
        <v>28215</v>
      </c>
      <c r="I840" t="s">
        <v>5100</v>
      </c>
      <c r="J840" t="s">
        <v>28978</v>
      </c>
      <c r="K840" t="s">
        <v>36701</v>
      </c>
      <c r="M840" t="s">
        <v>37413</v>
      </c>
      <c r="N840" t="s">
        <v>40436</v>
      </c>
      <c r="O840" t="s">
        <v>40437</v>
      </c>
      <c r="P840">
        <v>0</v>
      </c>
      <c r="Q840">
        <v>0</v>
      </c>
      <c r="R840" t="s">
        <v>40438</v>
      </c>
      <c r="S840" t="s">
        <v>40582</v>
      </c>
      <c r="T840" t="s">
        <v>42121</v>
      </c>
      <c r="U840" t="s">
        <v>43044</v>
      </c>
      <c r="W840" t="s">
        <v>37413</v>
      </c>
      <c r="X840" t="s">
        <v>40439</v>
      </c>
    </row>
    <row r="841" spans="1:24">
      <c r="A841">
        <f>HYPERLINK("https://www.philgeps.gov.ph/GEPSNONPILOT/Tender/SplashBidNoticeAbstractUI.aspx?menuIndex=3&amp;refID=7047899&amp;Result=3","7047899")</f>
        <v>0</v>
      </c>
      <c r="B841" t="s">
        <v>443</v>
      </c>
      <c r="C841" t="s">
        <v>3912</v>
      </c>
      <c r="D841" t="s">
        <v>16210</v>
      </c>
      <c r="E841" t="s">
        <v>17094</v>
      </c>
      <c r="F841" t="s">
        <v>28198</v>
      </c>
      <c r="G841" t="s">
        <v>28210</v>
      </c>
      <c r="H841" t="s">
        <v>28215</v>
      </c>
      <c r="I841" t="s">
        <v>5082</v>
      </c>
      <c r="J841" t="s">
        <v>28979</v>
      </c>
      <c r="K841" t="s">
        <v>36689</v>
      </c>
      <c r="M841" t="s">
        <v>37427</v>
      </c>
      <c r="N841" t="s">
        <v>40436</v>
      </c>
      <c r="O841" t="s">
        <v>40437</v>
      </c>
      <c r="P841">
        <v>0</v>
      </c>
      <c r="Q841">
        <v>4</v>
      </c>
      <c r="R841" t="s">
        <v>40438</v>
      </c>
      <c r="S841" t="s">
        <v>40582</v>
      </c>
      <c r="T841" t="s">
        <v>42159</v>
      </c>
      <c r="U841" t="s">
        <v>43372</v>
      </c>
      <c r="V841" t="s">
        <v>53889</v>
      </c>
      <c r="W841" t="s">
        <v>37427</v>
      </c>
      <c r="X841" t="s">
        <v>40439</v>
      </c>
    </row>
    <row r="842" spans="1:24">
      <c r="A842">
        <f>HYPERLINK("https://www.philgeps.gov.ph/GEPSNONPILOT/Tender/SplashBidNoticeAbstractUI.aspx?menuIndex=3&amp;refID=7047903&amp;Result=3","7047903")</f>
        <v>0</v>
      </c>
      <c r="B842" t="s">
        <v>323</v>
      </c>
      <c r="C842" t="s">
        <v>3913</v>
      </c>
      <c r="D842" t="s">
        <v>16238</v>
      </c>
      <c r="E842" t="s">
        <v>17095</v>
      </c>
      <c r="F842" t="s">
        <v>28198</v>
      </c>
      <c r="G842" t="s">
        <v>28209</v>
      </c>
      <c r="H842" t="s">
        <v>28215</v>
      </c>
      <c r="I842" t="s">
        <v>3422</v>
      </c>
      <c r="J842" t="s">
        <v>28980</v>
      </c>
      <c r="K842" t="s">
        <v>36689</v>
      </c>
      <c r="M842" t="s">
        <v>37301</v>
      </c>
      <c r="N842" t="s">
        <v>40436</v>
      </c>
      <c r="O842" t="s">
        <v>40437</v>
      </c>
      <c r="P842">
        <v>0</v>
      </c>
      <c r="Q842">
        <v>0</v>
      </c>
      <c r="R842" t="s">
        <v>40438</v>
      </c>
      <c r="S842" t="s">
        <v>40582</v>
      </c>
      <c r="T842" t="s">
        <v>42134</v>
      </c>
      <c r="U842" t="s">
        <v>43373</v>
      </c>
      <c r="W842" t="s">
        <v>55446</v>
      </c>
      <c r="X842" t="s">
        <v>40439</v>
      </c>
    </row>
    <row r="843" spans="1:24">
      <c r="A843">
        <f>HYPERLINK("https://www.philgeps.gov.ph/GEPSNONPILOT/Tender/SplashBidNoticeAbstractUI.aspx?menuIndex=3&amp;refID=7047909&amp;Result=3","7047909")</f>
        <v>0</v>
      </c>
      <c r="B843" t="s">
        <v>434</v>
      </c>
      <c r="C843" t="s">
        <v>3914</v>
      </c>
      <c r="D843" t="s">
        <v>16218</v>
      </c>
      <c r="E843" t="s">
        <v>17096</v>
      </c>
      <c r="F843" t="s">
        <v>28198</v>
      </c>
      <c r="G843" t="s">
        <v>28207</v>
      </c>
      <c r="H843" t="s">
        <v>28215</v>
      </c>
      <c r="I843" t="s">
        <v>4219</v>
      </c>
      <c r="J843" t="s">
        <v>28981</v>
      </c>
      <c r="K843" t="s">
        <v>36688</v>
      </c>
      <c r="M843" t="s">
        <v>37417</v>
      </c>
      <c r="N843" t="s">
        <v>40436</v>
      </c>
      <c r="O843" t="s">
        <v>40437</v>
      </c>
      <c r="P843">
        <v>0</v>
      </c>
      <c r="Q843">
        <v>2</v>
      </c>
      <c r="R843" t="s">
        <v>40438</v>
      </c>
      <c r="S843" t="s">
        <v>40582</v>
      </c>
      <c r="T843" t="s">
        <v>42144</v>
      </c>
      <c r="U843" t="s">
        <v>43374</v>
      </c>
      <c r="W843" t="s">
        <v>37417</v>
      </c>
      <c r="X843" t="s">
        <v>40439</v>
      </c>
    </row>
    <row r="844" spans="1:24">
      <c r="A844">
        <f>HYPERLINK("https://www.philgeps.gov.ph/GEPSNONPILOT/Tender/SplashBidNoticeAbstractUI.aspx?menuIndex=3&amp;refID=7047911&amp;Result=3","7047911")</f>
        <v>0</v>
      </c>
      <c r="B844" t="s">
        <v>444</v>
      </c>
      <c r="C844" t="s">
        <v>3915</v>
      </c>
      <c r="D844" t="s">
        <v>16196</v>
      </c>
      <c r="E844" t="s">
        <v>17097</v>
      </c>
      <c r="F844" t="s">
        <v>28198</v>
      </c>
      <c r="G844" t="s">
        <v>28207</v>
      </c>
      <c r="H844" t="s">
        <v>28214</v>
      </c>
      <c r="I844" t="s">
        <v>5100</v>
      </c>
      <c r="J844" t="s">
        <v>28982</v>
      </c>
      <c r="K844" t="s">
        <v>36707</v>
      </c>
      <c r="M844" t="s">
        <v>37428</v>
      </c>
      <c r="N844" t="s">
        <v>40436</v>
      </c>
      <c r="O844" t="s">
        <v>40437</v>
      </c>
      <c r="P844">
        <v>0</v>
      </c>
      <c r="Q844">
        <v>0</v>
      </c>
      <c r="R844" t="s">
        <v>40438</v>
      </c>
      <c r="S844" t="s">
        <v>40582</v>
      </c>
      <c r="T844" t="s">
        <v>42111</v>
      </c>
      <c r="U844" t="s">
        <v>43375</v>
      </c>
      <c r="W844" t="s">
        <v>37428</v>
      </c>
      <c r="X844" t="s">
        <v>40439</v>
      </c>
    </row>
    <row r="845" spans="1:24">
      <c r="A845">
        <f>HYPERLINK("https://www.philgeps.gov.ph/GEPSNONPILOT/Tender/SplashBidNoticeAbstractUI.aspx?menuIndex=3&amp;refID=7047905&amp;Result=3","7047905")</f>
        <v>0</v>
      </c>
      <c r="B845" t="s">
        <v>55</v>
      </c>
      <c r="C845" t="s">
        <v>3916</v>
      </c>
      <c r="D845" t="s">
        <v>16206</v>
      </c>
      <c r="E845" t="s">
        <v>17098</v>
      </c>
      <c r="F845" t="s">
        <v>28198</v>
      </c>
      <c r="G845" t="s">
        <v>28207</v>
      </c>
      <c r="H845" t="s">
        <v>28215</v>
      </c>
      <c r="I845" t="s">
        <v>4219</v>
      </c>
      <c r="J845" t="s">
        <v>28983</v>
      </c>
      <c r="K845" t="s">
        <v>36706</v>
      </c>
      <c r="M845" t="s">
        <v>37026</v>
      </c>
      <c r="N845" t="s">
        <v>40436</v>
      </c>
      <c r="O845" t="s">
        <v>40437</v>
      </c>
      <c r="P845">
        <v>0</v>
      </c>
      <c r="Q845">
        <v>0</v>
      </c>
      <c r="R845" t="s">
        <v>40438</v>
      </c>
      <c r="S845" t="s">
        <v>40582</v>
      </c>
      <c r="T845" t="s">
        <v>42111</v>
      </c>
      <c r="U845" t="s">
        <v>43376</v>
      </c>
      <c r="W845" t="s">
        <v>37026</v>
      </c>
      <c r="X845" t="s">
        <v>40439</v>
      </c>
    </row>
    <row r="846" spans="1:24">
      <c r="A846">
        <f>HYPERLINK("https://www.philgeps.gov.ph/GEPSNONPILOT/Tender/SplashBidNoticeAbstractUI.aspx?menuIndex=3&amp;refID=7047907&amp;Result=3","7047907")</f>
        <v>0</v>
      </c>
      <c r="B846" t="s">
        <v>116</v>
      </c>
      <c r="C846" t="s">
        <v>3917</v>
      </c>
      <c r="D846" t="s">
        <v>16207</v>
      </c>
      <c r="E846" t="s">
        <v>17099</v>
      </c>
      <c r="F846" t="s">
        <v>28198</v>
      </c>
      <c r="G846" t="s">
        <v>28207</v>
      </c>
      <c r="H846" t="s">
        <v>28217</v>
      </c>
      <c r="I846" t="s">
        <v>5631</v>
      </c>
      <c r="J846" t="s">
        <v>28984</v>
      </c>
      <c r="K846" t="s">
        <v>36706</v>
      </c>
      <c r="M846" t="s">
        <v>37090</v>
      </c>
      <c r="N846" t="s">
        <v>40436</v>
      </c>
      <c r="O846" t="s">
        <v>40437</v>
      </c>
      <c r="P846">
        <v>0</v>
      </c>
      <c r="Q846">
        <v>0</v>
      </c>
      <c r="R846" t="s">
        <v>40438</v>
      </c>
      <c r="S846" t="s">
        <v>40582</v>
      </c>
      <c r="T846" t="s">
        <v>42103</v>
      </c>
      <c r="U846" t="s">
        <v>43377</v>
      </c>
      <c r="W846" t="s">
        <v>37090</v>
      </c>
      <c r="X846" t="s">
        <v>40439</v>
      </c>
    </row>
    <row r="847" spans="1:24">
      <c r="A847">
        <f>HYPERLINK("https://www.philgeps.gov.ph/GEPSNONPILOT/Tender/SplashBidNoticeAbstractUI.aspx?menuIndex=3&amp;refID=7047910&amp;Result=3","7047910")</f>
        <v>0</v>
      </c>
      <c r="B847" t="s">
        <v>162</v>
      </c>
      <c r="C847" t="s">
        <v>3918</v>
      </c>
      <c r="E847" t="s">
        <v>17100</v>
      </c>
      <c r="F847" t="s">
        <v>28198</v>
      </c>
      <c r="G847" t="s">
        <v>28207</v>
      </c>
      <c r="H847" t="s">
        <v>28215</v>
      </c>
      <c r="I847" t="s">
        <v>28222</v>
      </c>
      <c r="J847" t="s">
        <v>28345</v>
      </c>
      <c r="K847" t="s">
        <v>36689</v>
      </c>
      <c r="M847" t="s">
        <v>37136</v>
      </c>
      <c r="N847" t="s">
        <v>40436</v>
      </c>
      <c r="O847" t="s">
        <v>40437</v>
      </c>
      <c r="P847">
        <v>0</v>
      </c>
      <c r="Q847">
        <v>1</v>
      </c>
      <c r="R847" t="s">
        <v>40438</v>
      </c>
      <c r="S847" t="s">
        <v>40582</v>
      </c>
      <c r="T847" t="s">
        <v>42111</v>
      </c>
      <c r="U847" t="s">
        <v>43378</v>
      </c>
      <c r="V847" t="s">
        <v>53890</v>
      </c>
      <c r="W847" t="s">
        <v>37136</v>
      </c>
      <c r="X847" t="s">
        <v>40439</v>
      </c>
    </row>
    <row r="848" spans="1:24">
      <c r="A848">
        <f>HYPERLINK("https://www.philgeps.gov.ph/GEPSNONPILOT/Tender/SplashBidNoticeAbstractUI.aspx?menuIndex=3&amp;refID=7047902&amp;Result=3","7047902")</f>
        <v>0</v>
      </c>
      <c r="B848" t="s">
        <v>445</v>
      </c>
      <c r="C848" t="s">
        <v>3919</v>
      </c>
      <c r="D848" t="s">
        <v>16202</v>
      </c>
      <c r="E848" t="s">
        <v>17101</v>
      </c>
      <c r="F848" t="s">
        <v>28198</v>
      </c>
      <c r="G848" t="s">
        <v>28207</v>
      </c>
      <c r="H848" t="s">
        <v>28215</v>
      </c>
      <c r="I848" t="s">
        <v>28247</v>
      </c>
      <c r="J848" t="s">
        <v>28985</v>
      </c>
      <c r="K848" t="s">
        <v>36688</v>
      </c>
      <c r="M848" t="s">
        <v>37429</v>
      </c>
      <c r="N848" t="s">
        <v>40436</v>
      </c>
      <c r="O848" t="s">
        <v>40437</v>
      </c>
      <c r="P848">
        <v>0</v>
      </c>
      <c r="Q848">
        <v>5</v>
      </c>
      <c r="R848" t="s">
        <v>40438</v>
      </c>
      <c r="S848" t="s">
        <v>40582</v>
      </c>
      <c r="T848" t="s">
        <v>42159</v>
      </c>
      <c r="U848" t="s">
        <v>43379</v>
      </c>
      <c r="W848" t="s">
        <v>37429</v>
      </c>
      <c r="X848" t="s">
        <v>40439</v>
      </c>
    </row>
    <row r="849" spans="1:24">
      <c r="A849">
        <f>HYPERLINK("https://www.philgeps.gov.ph/GEPSNONPILOT/Tender/SplashBidNoticeAbstractUI.aspx?menuIndex=3&amp;refID=7047908&amp;Result=3","7047908")</f>
        <v>0</v>
      </c>
      <c r="B849" t="s">
        <v>446</v>
      </c>
      <c r="C849" t="s">
        <v>3920</v>
      </c>
      <c r="D849" t="s">
        <v>16189</v>
      </c>
      <c r="E849" t="s">
        <v>17102</v>
      </c>
      <c r="F849" t="s">
        <v>28198</v>
      </c>
      <c r="G849" t="s">
        <v>28205</v>
      </c>
      <c r="H849" t="s">
        <v>28215</v>
      </c>
      <c r="I849" t="s">
        <v>8870</v>
      </c>
      <c r="J849" t="s">
        <v>28406</v>
      </c>
      <c r="K849" t="s">
        <v>36707</v>
      </c>
      <c r="M849" t="s">
        <v>37430</v>
      </c>
      <c r="N849" t="s">
        <v>40436</v>
      </c>
      <c r="O849" t="s">
        <v>40437</v>
      </c>
      <c r="Q849">
        <v>0</v>
      </c>
      <c r="R849" t="s">
        <v>40438</v>
      </c>
      <c r="S849" t="s">
        <v>40583</v>
      </c>
      <c r="T849" t="s">
        <v>42121</v>
      </c>
      <c r="U849" t="s">
        <v>43380</v>
      </c>
      <c r="V849" t="s">
        <v>53891</v>
      </c>
      <c r="W849" t="s">
        <v>37430</v>
      </c>
      <c r="X849" t="s">
        <v>40439</v>
      </c>
    </row>
    <row r="850" spans="1:24">
      <c r="A850">
        <f>HYPERLINK("https://www.philgeps.gov.ph/GEPSNONPILOT/Tender/SplashBidNoticeAbstractUI.aspx?menuIndex=3&amp;refID=7047922&amp;Result=3","7047922")</f>
        <v>0</v>
      </c>
      <c r="B850" t="s">
        <v>447</v>
      </c>
      <c r="C850" t="s">
        <v>3921</v>
      </c>
      <c r="D850" t="s">
        <v>16204</v>
      </c>
      <c r="E850" t="s">
        <v>17103</v>
      </c>
      <c r="F850" t="s">
        <v>28198</v>
      </c>
      <c r="G850" t="s">
        <v>28210</v>
      </c>
      <c r="H850" t="s">
        <v>28215</v>
      </c>
      <c r="I850" t="s">
        <v>4219</v>
      </c>
      <c r="J850" t="s">
        <v>28986</v>
      </c>
      <c r="K850" t="s">
        <v>36688</v>
      </c>
      <c r="M850" t="s">
        <v>37431</v>
      </c>
      <c r="N850" t="s">
        <v>40436</v>
      </c>
      <c r="O850" t="s">
        <v>40437</v>
      </c>
      <c r="P850">
        <v>0</v>
      </c>
      <c r="Q850">
        <v>1</v>
      </c>
      <c r="R850" t="s">
        <v>40438</v>
      </c>
      <c r="S850" t="s">
        <v>40582</v>
      </c>
      <c r="T850" t="s">
        <v>42142</v>
      </c>
      <c r="U850" t="s">
        <v>43381</v>
      </c>
      <c r="W850" t="s">
        <v>55448</v>
      </c>
      <c r="X850" t="s">
        <v>40439</v>
      </c>
    </row>
    <row r="851" spans="1:24">
      <c r="A851">
        <f>HYPERLINK("https://www.philgeps.gov.ph/GEPSNONPILOT/Tender/SplashBidNoticeAbstractUI.aspx?menuIndex=3&amp;refID=7047912&amp;Result=3","7047912")</f>
        <v>0</v>
      </c>
      <c r="B851" t="s">
        <v>448</v>
      </c>
      <c r="C851" t="s">
        <v>3922</v>
      </c>
      <c r="D851" t="s">
        <v>16195</v>
      </c>
      <c r="E851" t="s">
        <v>17104</v>
      </c>
      <c r="F851" t="s">
        <v>28198</v>
      </c>
      <c r="G851" t="s">
        <v>28207</v>
      </c>
      <c r="H851" t="s">
        <v>28214</v>
      </c>
      <c r="I851" t="s">
        <v>3797</v>
      </c>
      <c r="J851" t="s">
        <v>28406</v>
      </c>
      <c r="K851" t="s">
        <v>36689</v>
      </c>
      <c r="M851" t="s">
        <v>37432</v>
      </c>
      <c r="N851" t="s">
        <v>40436</v>
      </c>
      <c r="O851" t="s">
        <v>40437</v>
      </c>
      <c r="P851">
        <v>0</v>
      </c>
      <c r="Q851">
        <v>0</v>
      </c>
      <c r="R851" t="s">
        <v>40438</v>
      </c>
      <c r="S851" t="s">
        <v>40582</v>
      </c>
      <c r="T851" t="s">
        <v>42103</v>
      </c>
      <c r="U851" t="s">
        <v>43382</v>
      </c>
      <c r="W851" t="s">
        <v>37432</v>
      </c>
      <c r="X851" t="s">
        <v>40439</v>
      </c>
    </row>
    <row r="852" spans="1:24">
      <c r="A852">
        <f>HYPERLINK("https://www.philgeps.gov.ph/GEPSNONPILOT/Tender/SplashBidNoticeAbstractUI.aspx?menuIndex=3&amp;refID=7047920&amp;Result=3","7047920")</f>
        <v>0</v>
      </c>
      <c r="B852" t="s">
        <v>449</v>
      </c>
      <c r="C852" t="s">
        <v>3923</v>
      </c>
      <c r="D852" t="s">
        <v>16208</v>
      </c>
      <c r="E852" t="s">
        <v>17105</v>
      </c>
      <c r="F852" t="s">
        <v>28198</v>
      </c>
      <c r="G852" t="s">
        <v>28207</v>
      </c>
      <c r="H852" t="s">
        <v>28217</v>
      </c>
      <c r="I852" t="s">
        <v>28238</v>
      </c>
      <c r="J852" t="s">
        <v>28987</v>
      </c>
      <c r="K852" t="s">
        <v>36707</v>
      </c>
      <c r="M852" t="s">
        <v>37433</v>
      </c>
      <c r="N852" t="s">
        <v>40436</v>
      </c>
      <c r="O852" t="s">
        <v>40437</v>
      </c>
      <c r="P852">
        <v>0</v>
      </c>
      <c r="Q852">
        <v>1</v>
      </c>
      <c r="R852" t="s">
        <v>40438</v>
      </c>
      <c r="S852" t="s">
        <v>40582</v>
      </c>
      <c r="T852" t="s">
        <v>42111</v>
      </c>
      <c r="U852" t="s">
        <v>43383</v>
      </c>
      <c r="W852" t="s">
        <v>37433</v>
      </c>
      <c r="X852" t="s">
        <v>40439</v>
      </c>
    </row>
    <row r="853" spans="1:24">
      <c r="A853">
        <f>HYPERLINK("https://www.philgeps.gov.ph/GEPSNONPILOT/Tender/SplashBidNoticeAbstractUI.aspx?menuIndex=3&amp;refID=7047919&amp;Result=3","7047919")</f>
        <v>0</v>
      </c>
      <c r="B853" t="s">
        <v>111</v>
      </c>
      <c r="C853" t="s">
        <v>3924</v>
      </c>
      <c r="D853" t="s">
        <v>16220</v>
      </c>
      <c r="E853" t="s">
        <v>17106</v>
      </c>
      <c r="F853" t="s">
        <v>28198</v>
      </c>
      <c r="G853" t="s">
        <v>28207</v>
      </c>
      <c r="H853" t="s">
        <v>28215</v>
      </c>
      <c r="I853" t="s">
        <v>6051</v>
      </c>
      <c r="J853" t="s">
        <v>28988</v>
      </c>
      <c r="K853" t="s">
        <v>36694</v>
      </c>
      <c r="M853" t="s">
        <v>37085</v>
      </c>
      <c r="N853" t="s">
        <v>40436</v>
      </c>
      <c r="O853" t="s">
        <v>40437</v>
      </c>
      <c r="P853">
        <v>0</v>
      </c>
      <c r="Q853">
        <v>0</v>
      </c>
      <c r="R853" t="s">
        <v>40438</v>
      </c>
      <c r="S853" t="s">
        <v>40582</v>
      </c>
      <c r="T853" t="s">
        <v>42111</v>
      </c>
      <c r="U853" t="s">
        <v>43384</v>
      </c>
      <c r="W853" t="s">
        <v>37085</v>
      </c>
      <c r="X853" t="s">
        <v>40439</v>
      </c>
    </row>
    <row r="854" spans="1:24">
      <c r="A854">
        <f>HYPERLINK("https://www.philgeps.gov.ph/GEPSNONPILOT/Tender/SplashBidNoticeAbstractUI.aspx?menuIndex=3&amp;refID=7047906&amp;Result=3","7047906")</f>
        <v>0</v>
      </c>
      <c r="B854" t="s">
        <v>425</v>
      </c>
      <c r="C854" t="s">
        <v>3925</v>
      </c>
      <c r="D854" t="s">
        <v>16197</v>
      </c>
      <c r="E854" t="s">
        <v>17107</v>
      </c>
      <c r="F854" t="s">
        <v>28198</v>
      </c>
      <c r="G854" t="s">
        <v>28205</v>
      </c>
      <c r="H854" t="s">
        <v>28215</v>
      </c>
      <c r="I854" t="s">
        <v>5100</v>
      </c>
      <c r="J854" t="s">
        <v>28989</v>
      </c>
      <c r="K854" t="s">
        <v>36689</v>
      </c>
      <c r="M854" t="s">
        <v>37407</v>
      </c>
      <c r="N854" t="s">
        <v>40436</v>
      </c>
      <c r="O854" t="s">
        <v>40437</v>
      </c>
      <c r="P854">
        <v>0</v>
      </c>
      <c r="Q854">
        <v>1</v>
      </c>
      <c r="R854" t="s">
        <v>40438</v>
      </c>
      <c r="S854" t="s">
        <v>40582</v>
      </c>
      <c r="T854" t="s">
        <v>42108</v>
      </c>
      <c r="U854" t="s">
        <v>43385</v>
      </c>
      <c r="V854" t="s">
        <v>53881</v>
      </c>
      <c r="W854" t="s">
        <v>37407</v>
      </c>
      <c r="X854" t="s">
        <v>40439</v>
      </c>
    </row>
    <row r="855" spans="1:24">
      <c r="A855">
        <f>HYPERLINK("https://www.philgeps.gov.ph/GEPSNONPILOT/Tender/SplashBidNoticeAbstractUI.aspx?menuIndex=3&amp;refID=7047914&amp;Result=3","7047914")</f>
        <v>0</v>
      </c>
      <c r="B855" t="s">
        <v>450</v>
      </c>
      <c r="C855" t="s">
        <v>3926</v>
      </c>
      <c r="D855" t="s">
        <v>16203</v>
      </c>
      <c r="E855" t="s">
        <v>17108</v>
      </c>
      <c r="F855" t="s">
        <v>28198</v>
      </c>
      <c r="G855" t="s">
        <v>28205</v>
      </c>
      <c r="H855" t="s">
        <v>28214</v>
      </c>
      <c r="I855" t="s">
        <v>3797</v>
      </c>
      <c r="J855" t="s">
        <v>28398</v>
      </c>
      <c r="K855" t="s">
        <v>36689</v>
      </c>
      <c r="M855" t="s">
        <v>37434</v>
      </c>
      <c r="N855" t="s">
        <v>40436</v>
      </c>
      <c r="O855" t="s">
        <v>40437</v>
      </c>
      <c r="P855">
        <v>0</v>
      </c>
      <c r="Q855">
        <v>1</v>
      </c>
      <c r="R855" t="s">
        <v>40438</v>
      </c>
      <c r="S855" t="s">
        <v>40582</v>
      </c>
      <c r="T855" t="s">
        <v>42118</v>
      </c>
      <c r="U855" t="s">
        <v>43386</v>
      </c>
      <c r="W855" t="s">
        <v>37434</v>
      </c>
      <c r="X855" t="s">
        <v>40439</v>
      </c>
    </row>
    <row r="856" spans="1:24">
      <c r="A856">
        <f>HYPERLINK("https://www.philgeps.gov.ph/GEPSNONPILOT/Tender/SplashBidNoticeAbstractUI.aspx?menuIndex=3&amp;refID=7047923&amp;Result=3","7047923")</f>
        <v>0</v>
      </c>
      <c r="B856" t="s">
        <v>436</v>
      </c>
      <c r="C856" t="s">
        <v>3927</v>
      </c>
      <c r="D856" t="s">
        <v>16247</v>
      </c>
      <c r="E856" t="s">
        <v>17109</v>
      </c>
      <c r="F856" t="s">
        <v>28198</v>
      </c>
      <c r="G856" t="s">
        <v>28207</v>
      </c>
      <c r="H856" t="s">
        <v>28214</v>
      </c>
      <c r="I856" t="s">
        <v>28255</v>
      </c>
      <c r="J856" t="s">
        <v>28990</v>
      </c>
      <c r="K856" t="s">
        <v>36708</v>
      </c>
      <c r="M856" t="s">
        <v>37420</v>
      </c>
      <c r="N856" t="s">
        <v>40436</v>
      </c>
      <c r="O856" t="s">
        <v>40437</v>
      </c>
      <c r="P856">
        <v>0</v>
      </c>
      <c r="Q856">
        <v>0</v>
      </c>
      <c r="R856" t="s">
        <v>40438</v>
      </c>
      <c r="S856" t="s">
        <v>40582</v>
      </c>
      <c r="T856" t="s">
        <v>42188</v>
      </c>
      <c r="U856" t="s">
        <v>43387</v>
      </c>
      <c r="W856" t="s">
        <v>37420</v>
      </c>
      <c r="X856" t="s">
        <v>40439</v>
      </c>
    </row>
    <row r="857" spans="1:24">
      <c r="A857">
        <f>HYPERLINK("https://www.philgeps.gov.ph/GEPSNONPILOT/Tender/SplashBidNoticeAbstractUI.aspx?menuIndex=3&amp;refID=7047918&amp;Result=3","7047918")</f>
        <v>0</v>
      </c>
      <c r="B857" t="s">
        <v>431</v>
      </c>
      <c r="C857" t="s">
        <v>3928</v>
      </c>
      <c r="D857" t="s">
        <v>16213</v>
      </c>
      <c r="E857" t="s">
        <v>17110</v>
      </c>
      <c r="F857" t="s">
        <v>28198</v>
      </c>
      <c r="G857" t="s">
        <v>28205</v>
      </c>
      <c r="H857" t="s">
        <v>28215</v>
      </c>
      <c r="I857" t="s">
        <v>28256</v>
      </c>
      <c r="J857" t="s">
        <v>28991</v>
      </c>
      <c r="K857" t="s">
        <v>36701</v>
      </c>
      <c r="L857" t="s">
        <v>431</v>
      </c>
      <c r="M857" t="s">
        <v>37414</v>
      </c>
      <c r="N857" t="s">
        <v>40436</v>
      </c>
      <c r="O857" t="s">
        <v>40437</v>
      </c>
      <c r="P857">
        <v>0</v>
      </c>
      <c r="Q857">
        <v>16</v>
      </c>
      <c r="R857" t="s">
        <v>40438</v>
      </c>
      <c r="S857" t="s">
        <v>40582</v>
      </c>
      <c r="T857" t="s">
        <v>42118</v>
      </c>
      <c r="U857" t="s">
        <v>43388</v>
      </c>
      <c r="V857" t="s">
        <v>53883</v>
      </c>
      <c r="W857" t="s">
        <v>37414</v>
      </c>
      <c r="X857" t="s">
        <v>40439</v>
      </c>
    </row>
    <row r="858" spans="1:24">
      <c r="A858">
        <f>HYPERLINK("https://www.philgeps.gov.ph/GEPSNONPILOT/Tender/SplashBidNoticeAbstractUI.aspx?menuIndex=3&amp;refID=7047916&amp;Result=3","7047916")</f>
        <v>0</v>
      </c>
      <c r="B858" t="s">
        <v>362</v>
      </c>
      <c r="C858" t="s">
        <v>3929</v>
      </c>
      <c r="D858" t="s">
        <v>16202</v>
      </c>
      <c r="E858" t="s">
        <v>17111</v>
      </c>
      <c r="F858" t="s">
        <v>28198</v>
      </c>
      <c r="G858" t="s">
        <v>28206</v>
      </c>
      <c r="H858" t="s">
        <v>28215</v>
      </c>
      <c r="I858" t="s">
        <v>3774</v>
      </c>
      <c r="J858" t="s">
        <v>28364</v>
      </c>
      <c r="K858" t="s">
        <v>36691</v>
      </c>
      <c r="M858" t="s">
        <v>37341</v>
      </c>
      <c r="N858" t="s">
        <v>40436</v>
      </c>
      <c r="O858" t="s">
        <v>40437</v>
      </c>
      <c r="P858">
        <v>0</v>
      </c>
      <c r="Q858">
        <v>0</v>
      </c>
      <c r="R858" t="s">
        <v>40438</v>
      </c>
      <c r="S858" t="s">
        <v>40582</v>
      </c>
      <c r="T858" t="s">
        <v>42169</v>
      </c>
      <c r="U858" t="s">
        <v>43331</v>
      </c>
      <c r="W858" t="s">
        <v>37341</v>
      </c>
      <c r="X858" t="s">
        <v>40439</v>
      </c>
    </row>
    <row r="859" spans="1:24">
      <c r="A859">
        <f>HYPERLINK("https://www.philgeps.gov.ph/GEPSNONPILOT/Tender/SplashBidNoticeAbstractUI.aspx?menuIndex=3&amp;refID=7047904&amp;Result=3","7047904")</f>
        <v>0</v>
      </c>
      <c r="B859" t="s">
        <v>432</v>
      </c>
      <c r="C859" t="s">
        <v>3930</v>
      </c>
      <c r="D859" t="s">
        <v>16262</v>
      </c>
      <c r="E859" t="s">
        <v>17112</v>
      </c>
      <c r="F859" t="s">
        <v>28198</v>
      </c>
      <c r="G859" t="s">
        <v>28207</v>
      </c>
      <c r="H859" t="s">
        <v>28215</v>
      </c>
      <c r="I859" t="s">
        <v>5100</v>
      </c>
      <c r="J859" t="s">
        <v>28992</v>
      </c>
      <c r="K859" t="s">
        <v>36707</v>
      </c>
      <c r="M859" t="s">
        <v>37415</v>
      </c>
      <c r="N859" t="s">
        <v>40436</v>
      </c>
      <c r="O859" t="s">
        <v>40437</v>
      </c>
      <c r="P859">
        <v>0</v>
      </c>
      <c r="Q859">
        <v>0</v>
      </c>
      <c r="R859" t="s">
        <v>40438</v>
      </c>
      <c r="S859" t="s">
        <v>40582</v>
      </c>
      <c r="T859" t="s">
        <v>42124</v>
      </c>
      <c r="U859" t="s">
        <v>43389</v>
      </c>
      <c r="W859" t="s">
        <v>37415</v>
      </c>
      <c r="X859" t="s">
        <v>40439</v>
      </c>
    </row>
    <row r="860" spans="1:24">
      <c r="A860">
        <f>HYPERLINK("https://www.philgeps.gov.ph/GEPSNONPILOT/Tender/SplashBidNoticeAbstractUI.aspx?menuIndex=3&amp;refID=7047917&amp;Result=3","7047917")</f>
        <v>0</v>
      </c>
      <c r="B860" t="s">
        <v>451</v>
      </c>
      <c r="C860" t="s">
        <v>3931</v>
      </c>
      <c r="D860" t="s">
        <v>16210</v>
      </c>
      <c r="E860" t="s">
        <v>17113</v>
      </c>
      <c r="F860" t="s">
        <v>28198</v>
      </c>
      <c r="G860" t="s">
        <v>28206</v>
      </c>
      <c r="H860" t="s">
        <v>28215</v>
      </c>
      <c r="I860" t="s">
        <v>28283</v>
      </c>
      <c r="J860" t="s">
        <v>28993</v>
      </c>
      <c r="K860" t="s">
        <v>36707</v>
      </c>
      <c r="M860" t="s">
        <v>37435</v>
      </c>
      <c r="N860" t="s">
        <v>40436</v>
      </c>
      <c r="O860" t="s">
        <v>40437</v>
      </c>
      <c r="P860">
        <v>0</v>
      </c>
      <c r="Q860">
        <v>6</v>
      </c>
      <c r="R860" t="s">
        <v>40438</v>
      </c>
      <c r="S860" t="s">
        <v>40582</v>
      </c>
      <c r="T860" t="s">
        <v>42169</v>
      </c>
      <c r="U860" t="s">
        <v>43390</v>
      </c>
      <c r="W860" t="s">
        <v>37435</v>
      </c>
      <c r="X860" t="s">
        <v>40439</v>
      </c>
    </row>
    <row r="861" spans="1:24">
      <c r="A861">
        <f>HYPERLINK("https://www.philgeps.gov.ph/GEPSNONPILOT/Tender/SplashBidNoticeAbstractUI.aspx?menuIndex=3&amp;refID=7047927&amp;Result=3","7047927")</f>
        <v>0</v>
      </c>
      <c r="B861" t="s">
        <v>401</v>
      </c>
      <c r="C861" t="s">
        <v>3932</v>
      </c>
      <c r="D861" t="s">
        <v>16223</v>
      </c>
      <c r="E861" t="s">
        <v>17018</v>
      </c>
      <c r="F861" t="s">
        <v>28198</v>
      </c>
      <c r="G861" t="s">
        <v>28207</v>
      </c>
      <c r="H861" t="s">
        <v>28215</v>
      </c>
      <c r="I861" t="s">
        <v>5100</v>
      </c>
      <c r="J861" t="s">
        <v>28994</v>
      </c>
      <c r="K861" t="s">
        <v>36691</v>
      </c>
      <c r="M861" t="s">
        <v>37382</v>
      </c>
      <c r="N861" t="s">
        <v>40436</v>
      </c>
      <c r="O861" t="s">
        <v>40437</v>
      </c>
      <c r="P861">
        <v>0</v>
      </c>
      <c r="Q861">
        <v>0</v>
      </c>
      <c r="R861" t="s">
        <v>40438</v>
      </c>
      <c r="S861" t="s">
        <v>40582</v>
      </c>
      <c r="T861" t="s">
        <v>42103</v>
      </c>
      <c r="U861" t="s">
        <v>43391</v>
      </c>
      <c r="W861" t="s">
        <v>37382</v>
      </c>
      <c r="X861" t="s">
        <v>40439</v>
      </c>
    </row>
    <row r="862" spans="1:24">
      <c r="A862">
        <f>HYPERLINK("https://www.philgeps.gov.ph/GEPSNONPILOT/Tender/SplashBidNoticeAbstractUI.aspx?menuIndex=3&amp;refID=7047915&amp;Result=3","7047915")</f>
        <v>0</v>
      </c>
      <c r="B862" t="s">
        <v>452</v>
      </c>
      <c r="C862" t="s">
        <v>3933</v>
      </c>
      <c r="D862" t="s">
        <v>16203</v>
      </c>
      <c r="E862" t="s">
        <v>17114</v>
      </c>
      <c r="F862" t="s">
        <v>28198</v>
      </c>
      <c r="G862" t="s">
        <v>28207</v>
      </c>
      <c r="H862" t="s">
        <v>28215</v>
      </c>
      <c r="I862" t="s">
        <v>5100</v>
      </c>
      <c r="J862" t="s">
        <v>28995</v>
      </c>
      <c r="K862" t="s">
        <v>36691</v>
      </c>
      <c r="M862" t="s">
        <v>37436</v>
      </c>
      <c r="N862" t="s">
        <v>40436</v>
      </c>
      <c r="O862" t="s">
        <v>40437</v>
      </c>
      <c r="P862">
        <v>0</v>
      </c>
      <c r="Q862">
        <v>0</v>
      </c>
      <c r="R862" t="s">
        <v>40438</v>
      </c>
      <c r="S862" t="s">
        <v>40582</v>
      </c>
      <c r="T862" t="s">
        <v>42142</v>
      </c>
      <c r="U862" t="s">
        <v>43392</v>
      </c>
      <c r="V862" t="s">
        <v>53892</v>
      </c>
      <c r="W862" t="s">
        <v>37436</v>
      </c>
      <c r="X862" t="s">
        <v>40439</v>
      </c>
    </row>
    <row r="863" spans="1:24">
      <c r="A863">
        <f>HYPERLINK("https://www.philgeps.gov.ph/GEPSNONPILOT/Tender/SplashBidNoticeAbstractUI.aspx?menuIndex=3&amp;refID=7047939&amp;Result=3","7047939")</f>
        <v>0</v>
      </c>
      <c r="B863" t="s">
        <v>185</v>
      </c>
      <c r="C863" t="s">
        <v>3934</v>
      </c>
      <c r="D863" t="s">
        <v>16196</v>
      </c>
      <c r="E863" t="s">
        <v>17115</v>
      </c>
      <c r="F863" t="s">
        <v>28200</v>
      </c>
      <c r="G863" t="s">
        <v>28207</v>
      </c>
      <c r="H863" t="s">
        <v>28215</v>
      </c>
      <c r="I863" t="s">
        <v>5100</v>
      </c>
      <c r="J863" t="s">
        <v>28373</v>
      </c>
      <c r="K863" t="s">
        <v>36693</v>
      </c>
      <c r="M863" t="s">
        <v>37160</v>
      </c>
      <c r="N863" t="s">
        <v>40436</v>
      </c>
      <c r="O863" t="s">
        <v>40437</v>
      </c>
      <c r="P863">
        <v>0</v>
      </c>
      <c r="Q863">
        <v>0</v>
      </c>
      <c r="R863" t="s">
        <v>40438</v>
      </c>
      <c r="S863" t="s">
        <v>40582</v>
      </c>
      <c r="T863" t="s">
        <v>42098</v>
      </c>
      <c r="U863" t="s">
        <v>43393</v>
      </c>
      <c r="W863" t="s">
        <v>37160</v>
      </c>
      <c r="X863" t="s">
        <v>40439</v>
      </c>
    </row>
    <row r="864" spans="1:24">
      <c r="A864">
        <f>HYPERLINK("https://www.philgeps.gov.ph/GEPSNONPILOT/Tender/SplashBidNoticeAbstractUI.aspx?menuIndex=3&amp;refID=7047929&amp;Result=3","7047929")</f>
        <v>0</v>
      </c>
      <c r="B864" t="s">
        <v>453</v>
      </c>
      <c r="C864" t="s">
        <v>3935</v>
      </c>
      <c r="D864" t="s">
        <v>16214</v>
      </c>
      <c r="E864" t="s">
        <v>17116</v>
      </c>
      <c r="F864" t="s">
        <v>28198</v>
      </c>
      <c r="G864" t="s">
        <v>28205</v>
      </c>
      <c r="H864" t="s">
        <v>28215</v>
      </c>
      <c r="I864" t="s">
        <v>28245</v>
      </c>
      <c r="J864" t="s">
        <v>28996</v>
      </c>
      <c r="K864" t="s">
        <v>36689</v>
      </c>
      <c r="M864" t="s">
        <v>37437</v>
      </c>
      <c r="N864" t="s">
        <v>40436</v>
      </c>
      <c r="O864" t="s">
        <v>40437</v>
      </c>
      <c r="P864">
        <v>0</v>
      </c>
      <c r="Q864">
        <v>0</v>
      </c>
      <c r="R864" t="s">
        <v>40438</v>
      </c>
      <c r="S864" t="s">
        <v>40582</v>
      </c>
      <c r="T864" t="s">
        <v>42222</v>
      </c>
      <c r="U864" t="s">
        <v>43394</v>
      </c>
      <c r="W864" t="s">
        <v>37437</v>
      </c>
      <c r="X864" t="s">
        <v>40439</v>
      </c>
    </row>
    <row r="865" spans="1:24">
      <c r="A865">
        <f>HYPERLINK("https://www.philgeps.gov.ph/GEPSNONPILOT/Tender/SplashBidNoticeAbstractUI.aspx?menuIndex=3&amp;refID=7047935&amp;Result=3","7047935")</f>
        <v>0</v>
      </c>
      <c r="B865" t="s">
        <v>432</v>
      </c>
      <c r="C865" t="s">
        <v>3936</v>
      </c>
      <c r="D865" t="s">
        <v>16262</v>
      </c>
      <c r="E865" t="s">
        <v>17117</v>
      </c>
      <c r="F865" t="s">
        <v>28198</v>
      </c>
      <c r="G865" t="s">
        <v>28207</v>
      </c>
      <c r="H865" t="s">
        <v>28215</v>
      </c>
      <c r="I865" t="s">
        <v>5100</v>
      </c>
      <c r="J865" t="s">
        <v>28992</v>
      </c>
      <c r="K865" t="s">
        <v>36707</v>
      </c>
      <c r="M865" t="s">
        <v>37415</v>
      </c>
      <c r="N865" t="s">
        <v>40436</v>
      </c>
      <c r="O865" t="s">
        <v>40437</v>
      </c>
      <c r="P865">
        <v>0</v>
      </c>
      <c r="Q865">
        <v>0</v>
      </c>
      <c r="R865" t="s">
        <v>40438</v>
      </c>
      <c r="S865" t="s">
        <v>40582</v>
      </c>
      <c r="T865" t="s">
        <v>42124</v>
      </c>
      <c r="U865" t="s">
        <v>43395</v>
      </c>
      <c r="W865" t="s">
        <v>37415</v>
      </c>
      <c r="X865" t="s">
        <v>40439</v>
      </c>
    </row>
    <row r="866" spans="1:24">
      <c r="A866">
        <f>HYPERLINK("https://www.philgeps.gov.ph/GEPSNONPILOT/Tender/SplashBidNoticeAbstractUI.aspx?menuIndex=3&amp;refID=7047941&amp;Result=3","7047941")</f>
        <v>0</v>
      </c>
      <c r="B866" t="s">
        <v>454</v>
      </c>
      <c r="C866" t="s">
        <v>3937</v>
      </c>
      <c r="D866" t="s">
        <v>16211</v>
      </c>
      <c r="E866" t="s">
        <v>17118</v>
      </c>
      <c r="F866" t="s">
        <v>28198</v>
      </c>
      <c r="G866" t="s">
        <v>28205</v>
      </c>
      <c r="H866" t="s">
        <v>28215</v>
      </c>
      <c r="I866" t="s">
        <v>28228</v>
      </c>
      <c r="J866" t="s">
        <v>28997</v>
      </c>
      <c r="K866" t="s">
        <v>36701</v>
      </c>
      <c r="M866" t="s">
        <v>37438</v>
      </c>
      <c r="N866" t="s">
        <v>40436</v>
      </c>
      <c r="O866" t="s">
        <v>40437</v>
      </c>
      <c r="P866">
        <v>0</v>
      </c>
      <c r="Q866">
        <v>0</v>
      </c>
      <c r="R866" t="s">
        <v>40438</v>
      </c>
      <c r="S866" t="s">
        <v>40582</v>
      </c>
      <c r="T866" t="s">
        <v>42116</v>
      </c>
      <c r="U866" t="s">
        <v>43396</v>
      </c>
      <c r="W866" t="s">
        <v>55449</v>
      </c>
      <c r="X866" t="s">
        <v>40439</v>
      </c>
    </row>
    <row r="867" spans="1:24">
      <c r="A867">
        <f>HYPERLINK("https://www.philgeps.gov.ph/GEPSNONPILOT/Tender/SplashBidNoticeAbstractUI.aspx?menuIndex=3&amp;refID=7047938&amp;Result=3","7047938")</f>
        <v>0</v>
      </c>
      <c r="B867" t="s">
        <v>455</v>
      </c>
      <c r="C867" t="s">
        <v>3938</v>
      </c>
      <c r="D867" t="s">
        <v>16263</v>
      </c>
      <c r="E867" t="s">
        <v>17119</v>
      </c>
      <c r="F867" t="s">
        <v>28198</v>
      </c>
      <c r="G867" t="s">
        <v>28207</v>
      </c>
      <c r="H867" t="s">
        <v>28215</v>
      </c>
      <c r="I867" t="s">
        <v>5631</v>
      </c>
      <c r="J867" t="s">
        <v>28998</v>
      </c>
      <c r="K867" t="s">
        <v>36689</v>
      </c>
      <c r="M867" t="s">
        <v>37439</v>
      </c>
      <c r="N867" t="s">
        <v>40436</v>
      </c>
      <c r="O867" t="s">
        <v>40437</v>
      </c>
      <c r="P867">
        <v>0</v>
      </c>
      <c r="Q867">
        <v>0</v>
      </c>
      <c r="R867" t="s">
        <v>40438</v>
      </c>
      <c r="S867" t="s">
        <v>40582</v>
      </c>
      <c r="T867" t="s">
        <v>42159</v>
      </c>
      <c r="U867" t="s">
        <v>43397</v>
      </c>
      <c r="W867" t="s">
        <v>37439</v>
      </c>
      <c r="X867" t="s">
        <v>40439</v>
      </c>
    </row>
    <row r="868" spans="1:24">
      <c r="A868">
        <f>HYPERLINK("https://www.philgeps.gov.ph/GEPSNONPILOT/Tender/SplashBidNoticeAbstractUI.aspx?menuIndex=3&amp;refID=7047933&amp;Result=3","7047933")</f>
        <v>0</v>
      </c>
      <c r="B868" t="s">
        <v>456</v>
      </c>
      <c r="C868" t="s">
        <v>3939</v>
      </c>
      <c r="D868" t="s">
        <v>16261</v>
      </c>
      <c r="E868" t="s">
        <v>17120</v>
      </c>
      <c r="F868" t="s">
        <v>28198</v>
      </c>
      <c r="G868" t="s">
        <v>28207</v>
      </c>
      <c r="H868" t="s">
        <v>28217</v>
      </c>
      <c r="I868" t="s">
        <v>5100</v>
      </c>
      <c r="J868" t="s">
        <v>28999</v>
      </c>
      <c r="K868" t="s">
        <v>36688</v>
      </c>
      <c r="M868" t="s">
        <v>37440</v>
      </c>
      <c r="N868" t="s">
        <v>40436</v>
      </c>
      <c r="O868" t="s">
        <v>40437</v>
      </c>
      <c r="P868">
        <v>0</v>
      </c>
      <c r="Q868">
        <v>0</v>
      </c>
      <c r="R868" t="s">
        <v>40438</v>
      </c>
      <c r="S868" t="s">
        <v>40582</v>
      </c>
      <c r="T868" t="s">
        <v>42223</v>
      </c>
      <c r="U868" t="s">
        <v>43398</v>
      </c>
      <c r="W868" t="s">
        <v>37440</v>
      </c>
      <c r="X868" t="s">
        <v>40439</v>
      </c>
    </row>
    <row r="869" spans="1:24">
      <c r="A869">
        <f>HYPERLINK("https://www.philgeps.gov.ph/GEPSNONPILOT/Tender/SplashBidNoticeAbstractUI.aspx?menuIndex=3&amp;refID=7047936&amp;Result=3","7047936")</f>
        <v>0</v>
      </c>
      <c r="B869" t="s">
        <v>457</v>
      </c>
      <c r="C869" t="s">
        <v>3940</v>
      </c>
      <c r="D869" t="s">
        <v>16241</v>
      </c>
      <c r="E869" t="s">
        <v>17121</v>
      </c>
      <c r="F869" t="s">
        <v>28198</v>
      </c>
      <c r="G869" t="s">
        <v>28207</v>
      </c>
      <c r="H869" t="s">
        <v>28215</v>
      </c>
      <c r="I869" t="s">
        <v>6051</v>
      </c>
      <c r="J869" t="s">
        <v>29000</v>
      </c>
      <c r="K869" t="s">
        <v>36701</v>
      </c>
      <c r="M869" t="s">
        <v>37441</v>
      </c>
      <c r="N869" t="s">
        <v>40436</v>
      </c>
      <c r="O869" t="s">
        <v>40437</v>
      </c>
      <c r="P869">
        <v>0</v>
      </c>
      <c r="Q869">
        <v>0</v>
      </c>
      <c r="R869" t="s">
        <v>40438</v>
      </c>
      <c r="S869" t="s">
        <v>40582</v>
      </c>
      <c r="T869" t="s">
        <v>42160</v>
      </c>
      <c r="U869" t="s">
        <v>43399</v>
      </c>
      <c r="W869" t="s">
        <v>37441</v>
      </c>
      <c r="X869" t="s">
        <v>40439</v>
      </c>
    </row>
    <row r="870" spans="1:24">
      <c r="A870">
        <f>HYPERLINK("https://www.philgeps.gov.ph/GEPSNONPILOT/Tender/SplashBidNoticeAbstractUI.aspx?menuIndex=3&amp;refID=7047944&amp;Result=3","7047944")</f>
        <v>0</v>
      </c>
      <c r="B870" t="s">
        <v>412</v>
      </c>
      <c r="C870" t="s">
        <v>3941</v>
      </c>
      <c r="D870" t="s">
        <v>16261</v>
      </c>
      <c r="E870" t="s">
        <v>17122</v>
      </c>
      <c r="F870" t="s">
        <v>28198</v>
      </c>
      <c r="G870" t="s">
        <v>28206</v>
      </c>
      <c r="H870" t="s">
        <v>28215</v>
      </c>
      <c r="I870" t="s">
        <v>28237</v>
      </c>
      <c r="J870" t="s">
        <v>29001</v>
      </c>
      <c r="K870" t="s">
        <v>36707</v>
      </c>
      <c r="M870" t="s">
        <v>37394</v>
      </c>
      <c r="N870" t="s">
        <v>40436</v>
      </c>
      <c r="O870" t="s">
        <v>40437</v>
      </c>
      <c r="P870">
        <v>0</v>
      </c>
      <c r="Q870">
        <v>0</v>
      </c>
      <c r="R870" t="s">
        <v>40438</v>
      </c>
      <c r="S870" t="s">
        <v>40582</v>
      </c>
      <c r="T870" t="s">
        <v>42142</v>
      </c>
      <c r="U870" t="s">
        <v>43400</v>
      </c>
      <c r="W870" t="s">
        <v>37394</v>
      </c>
      <c r="X870" t="s">
        <v>40439</v>
      </c>
    </row>
    <row r="871" spans="1:24">
      <c r="A871">
        <f>HYPERLINK("https://www.philgeps.gov.ph/GEPSNONPILOT/Tender/SplashBidNoticeAbstractUI.aspx?menuIndex=3&amp;refID=7047934&amp;Result=3","7047934")</f>
        <v>0</v>
      </c>
      <c r="B871" t="s">
        <v>366</v>
      </c>
      <c r="C871" t="s">
        <v>3942</v>
      </c>
      <c r="D871" t="s">
        <v>16198</v>
      </c>
      <c r="E871" t="s">
        <v>17123</v>
      </c>
      <c r="F871" t="s">
        <v>28198</v>
      </c>
      <c r="G871" t="s">
        <v>28205</v>
      </c>
      <c r="H871" t="s">
        <v>28215</v>
      </c>
      <c r="I871" t="s">
        <v>28222</v>
      </c>
      <c r="J871" t="s">
        <v>29002</v>
      </c>
      <c r="K871" t="s">
        <v>36715</v>
      </c>
      <c r="M871" t="s">
        <v>37345</v>
      </c>
      <c r="N871" t="s">
        <v>40436</v>
      </c>
      <c r="O871" t="s">
        <v>40437</v>
      </c>
      <c r="P871">
        <v>0</v>
      </c>
      <c r="Q871">
        <v>4</v>
      </c>
      <c r="R871" t="s">
        <v>40438</v>
      </c>
      <c r="S871" t="s">
        <v>40582</v>
      </c>
      <c r="T871" t="s">
        <v>42110</v>
      </c>
      <c r="U871" t="s">
        <v>43401</v>
      </c>
      <c r="W871" t="s">
        <v>37345</v>
      </c>
      <c r="X871" t="s">
        <v>40439</v>
      </c>
    </row>
    <row r="872" spans="1:24">
      <c r="A872">
        <f>HYPERLINK("https://www.philgeps.gov.ph/GEPSNONPILOT/Tender/SplashBidNoticeAbstractUI.aspx?menuIndex=3&amp;refID=7047948&amp;Result=3","7047948")</f>
        <v>0</v>
      </c>
      <c r="B872" t="s">
        <v>277</v>
      </c>
      <c r="C872" t="s">
        <v>3943</v>
      </c>
      <c r="D872" t="s">
        <v>16189</v>
      </c>
      <c r="E872" t="s">
        <v>17124</v>
      </c>
      <c r="F872" t="s">
        <v>28198</v>
      </c>
      <c r="G872" t="s">
        <v>28209</v>
      </c>
      <c r="H872" t="s">
        <v>28215</v>
      </c>
      <c r="I872" t="s">
        <v>28225</v>
      </c>
      <c r="J872" t="s">
        <v>29003</v>
      </c>
      <c r="K872" t="s">
        <v>36706</v>
      </c>
      <c r="M872" t="s">
        <v>37254</v>
      </c>
      <c r="N872" t="s">
        <v>40436</v>
      </c>
      <c r="O872" t="s">
        <v>40437</v>
      </c>
      <c r="P872">
        <v>0</v>
      </c>
      <c r="Q872">
        <v>0</v>
      </c>
      <c r="R872" t="s">
        <v>40438</v>
      </c>
      <c r="S872" t="s">
        <v>40582</v>
      </c>
      <c r="T872" t="s">
        <v>42175</v>
      </c>
      <c r="U872" t="s">
        <v>43402</v>
      </c>
      <c r="W872" t="s">
        <v>37254</v>
      </c>
      <c r="X872" t="s">
        <v>40439</v>
      </c>
    </row>
    <row r="873" spans="1:24">
      <c r="A873">
        <f>HYPERLINK("https://www.philgeps.gov.ph/GEPSNONPILOT/Tender/SplashBidNoticeAbstractUI.aspx?menuIndex=3&amp;refID=7047940&amp;Result=3","7047940")</f>
        <v>0</v>
      </c>
      <c r="B873" t="s">
        <v>458</v>
      </c>
      <c r="C873" t="s">
        <v>3944</v>
      </c>
      <c r="D873" t="s">
        <v>16197</v>
      </c>
      <c r="E873" t="s">
        <v>17125</v>
      </c>
      <c r="F873" t="s">
        <v>28198</v>
      </c>
      <c r="G873" t="s">
        <v>28207</v>
      </c>
      <c r="H873" t="s">
        <v>28215</v>
      </c>
      <c r="I873" t="s">
        <v>4505</v>
      </c>
      <c r="J873" t="s">
        <v>29004</v>
      </c>
      <c r="K873" t="s">
        <v>36701</v>
      </c>
      <c r="M873" t="s">
        <v>37442</v>
      </c>
      <c r="N873" t="s">
        <v>40436</v>
      </c>
      <c r="O873" t="s">
        <v>40437</v>
      </c>
      <c r="P873">
        <v>0</v>
      </c>
      <c r="Q873">
        <v>7</v>
      </c>
      <c r="R873" t="s">
        <v>40438</v>
      </c>
      <c r="S873" t="s">
        <v>40582</v>
      </c>
      <c r="T873" t="s">
        <v>42124</v>
      </c>
      <c r="U873" t="s">
        <v>43403</v>
      </c>
      <c r="W873" t="s">
        <v>37442</v>
      </c>
      <c r="X873" t="s">
        <v>40439</v>
      </c>
    </row>
    <row r="874" spans="1:24">
      <c r="A874">
        <f>HYPERLINK("https://www.philgeps.gov.ph/GEPSNONPILOT/Tender/SplashBidNoticeAbstractUI.aspx?menuIndex=3&amp;refID=7047951&amp;Result=3","7047951")</f>
        <v>0</v>
      </c>
      <c r="B874" t="s">
        <v>459</v>
      </c>
      <c r="C874" t="s">
        <v>3945</v>
      </c>
      <c r="D874" t="s">
        <v>16217</v>
      </c>
      <c r="E874" t="s">
        <v>16909</v>
      </c>
      <c r="F874" t="s">
        <v>28198</v>
      </c>
      <c r="G874" t="s">
        <v>28205</v>
      </c>
      <c r="H874" t="s">
        <v>28215</v>
      </c>
      <c r="I874" t="s">
        <v>5100</v>
      </c>
      <c r="J874" t="s">
        <v>29005</v>
      </c>
      <c r="K874" t="s">
        <v>36701</v>
      </c>
      <c r="L874" t="s">
        <v>459</v>
      </c>
      <c r="M874" t="s">
        <v>37443</v>
      </c>
      <c r="N874" t="s">
        <v>40436</v>
      </c>
      <c r="O874" t="s">
        <v>40437</v>
      </c>
      <c r="P874">
        <v>0</v>
      </c>
      <c r="Q874">
        <v>0</v>
      </c>
      <c r="R874" t="s">
        <v>40438</v>
      </c>
      <c r="S874" t="s">
        <v>40582</v>
      </c>
      <c r="T874" t="s">
        <v>42187</v>
      </c>
      <c r="U874" t="s">
        <v>43404</v>
      </c>
      <c r="W874" t="s">
        <v>37443</v>
      </c>
      <c r="X874" t="s">
        <v>40439</v>
      </c>
    </row>
    <row r="875" spans="1:24">
      <c r="A875">
        <f>HYPERLINK("https://www.philgeps.gov.ph/GEPSNONPILOT/Tender/SplashBidNoticeAbstractUI.aspx?menuIndex=3&amp;refID=7047943&amp;Result=3","7047943")</f>
        <v>0</v>
      </c>
      <c r="B875" t="s">
        <v>460</v>
      </c>
      <c r="C875" t="s">
        <v>3946</v>
      </c>
      <c r="D875" t="s">
        <v>16217</v>
      </c>
      <c r="E875" t="s">
        <v>17126</v>
      </c>
      <c r="F875" t="s">
        <v>28198</v>
      </c>
      <c r="G875" t="s">
        <v>28210</v>
      </c>
      <c r="H875" t="s">
        <v>28215</v>
      </c>
      <c r="I875" t="s">
        <v>4168</v>
      </c>
      <c r="J875" t="s">
        <v>28864</v>
      </c>
      <c r="K875" t="s">
        <v>36707</v>
      </c>
      <c r="M875" t="s">
        <v>37444</v>
      </c>
      <c r="N875" t="s">
        <v>40436</v>
      </c>
      <c r="O875" t="s">
        <v>40437</v>
      </c>
      <c r="P875">
        <v>0</v>
      </c>
      <c r="Q875">
        <v>2</v>
      </c>
      <c r="R875" t="s">
        <v>40438</v>
      </c>
      <c r="S875" t="s">
        <v>40582</v>
      </c>
      <c r="T875" t="s">
        <v>42142</v>
      </c>
      <c r="U875" t="s">
        <v>43405</v>
      </c>
      <c r="W875" t="s">
        <v>37444</v>
      </c>
      <c r="X875" t="s">
        <v>40439</v>
      </c>
    </row>
    <row r="876" spans="1:24">
      <c r="A876">
        <f>HYPERLINK("https://www.philgeps.gov.ph/GEPSNONPILOT/Tender/SplashBidNoticeAbstractUI.aspx?menuIndex=3&amp;refID=7047950&amp;Result=3","7047950")</f>
        <v>0</v>
      </c>
      <c r="B876" t="s">
        <v>461</v>
      </c>
      <c r="C876" t="s">
        <v>3947</v>
      </c>
      <c r="D876" t="s">
        <v>16208</v>
      </c>
      <c r="E876" t="s">
        <v>17127</v>
      </c>
      <c r="F876" t="s">
        <v>28198</v>
      </c>
      <c r="G876" t="s">
        <v>28207</v>
      </c>
      <c r="H876" t="s">
        <v>28215</v>
      </c>
      <c r="I876" t="s">
        <v>4200</v>
      </c>
      <c r="J876" t="s">
        <v>29006</v>
      </c>
      <c r="K876" t="s">
        <v>36689</v>
      </c>
      <c r="M876" t="s">
        <v>37445</v>
      </c>
      <c r="N876" t="s">
        <v>40436</v>
      </c>
      <c r="O876" t="s">
        <v>40437</v>
      </c>
      <c r="P876">
        <v>0</v>
      </c>
      <c r="Q876">
        <v>0</v>
      </c>
      <c r="R876" t="s">
        <v>40438</v>
      </c>
      <c r="S876" t="s">
        <v>40582</v>
      </c>
      <c r="T876" t="s">
        <v>42119</v>
      </c>
      <c r="U876" t="s">
        <v>43406</v>
      </c>
      <c r="W876" t="s">
        <v>37445</v>
      </c>
      <c r="X876" t="s">
        <v>40439</v>
      </c>
    </row>
    <row r="877" spans="1:24">
      <c r="A877">
        <f>HYPERLINK("https://www.philgeps.gov.ph/GEPSNONPILOT/Tender/SplashBidNoticeAbstractUI.aspx?menuIndex=3&amp;refID=7047942&amp;Result=3","7047942")</f>
        <v>0</v>
      </c>
      <c r="B877" t="s">
        <v>462</v>
      </c>
      <c r="C877" t="s">
        <v>3948</v>
      </c>
      <c r="D877" t="s">
        <v>16199</v>
      </c>
      <c r="E877" t="s">
        <v>17128</v>
      </c>
      <c r="F877" t="s">
        <v>28198</v>
      </c>
      <c r="G877" t="s">
        <v>28207</v>
      </c>
      <c r="H877" t="s">
        <v>28215</v>
      </c>
      <c r="I877" t="s">
        <v>28227</v>
      </c>
      <c r="J877" t="s">
        <v>29007</v>
      </c>
      <c r="K877" t="s">
        <v>36701</v>
      </c>
      <c r="M877" t="s">
        <v>37446</v>
      </c>
      <c r="N877" t="s">
        <v>40436</v>
      </c>
      <c r="O877" t="s">
        <v>40437</v>
      </c>
      <c r="P877">
        <v>0</v>
      </c>
      <c r="Q877">
        <v>1</v>
      </c>
      <c r="R877" t="s">
        <v>40438</v>
      </c>
      <c r="S877" t="s">
        <v>40582</v>
      </c>
      <c r="T877" t="s">
        <v>42124</v>
      </c>
      <c r="U877" t="s">
        <v>43407</v>
      </c>
      <c r="W877" t="s">
        <v>37446</v>
      </c>
      <c r="X877" t="s">
        <v>40439</v>
      </c>
    </row>
    <row r="878" spans="1:24">
      <c r="A878">
        <f>HYPERLINK("https://www.philgeps.gov.ph/GEPSNONPILOT/Tender/SplashBidNoticeAbstractUI.aspx?menuIndex=3&amp;refID=7047937&amp;Result=3","7047937")</f>
        <v>0</v>
      </c>
      <c r="B878" t="s">
        <v>425</v>
      </c>
      <c r="C878" t="s">
        <v>3949</v>
      </c>
      <c r="D878" t="s">
        <v>16197</v>
      </c>
      <c r="E878" t="s">
        <v>17129</v>
      </c>
      <c r="F878" t="s">
        <v>28198</v>
      </c>
      <c r="G878" t="s">
        <v>28205</v>
      </c>
      <c r="H878" t="s">
        <v>28215</v>
      </c>
      <c r="I878" t="s">
        <v>5100</v>
      </c>
      <c r="J878" t="s">
        <v>29008</v>
      </c>
      <c r="K878" t="s">
        <v>36689</v>
      </c>
      <c r="M878" t="s">
        <v>37407</v>
      </c>
      <c r="N878" t="s">
        <v>40436</v>
      </c>
      <c r="O878" t="s">
        <v>40437</v>
      </c>
      <c r="P878">
        <v>0</v>
      </c>
      <c r="Q878">
        <v>1</v>
      </c>
      <c r="R878" t="s">
        <v>40438</v>
      </c>
      <c r="S878" t="s">
        <v>40582</v>
      </c>
      <c r="T878" t="s">
        <v>42108</v>
      </c>
      <c r="U878" t="s">
        <v>43408</v>
      </c>
      <c r="V878" t="s">
        <v>53881</v>
      </c>
      <c r="W878" t="s">
        <v>37407</v>
      </c>
      <c r="X878" t="s">
        <v>40439</v>
      </c>
    </row>
    <row r="879" spans="1:24">
      <c r="A879">
        <f>HYPERLINK("https://www.philgeps.gov.ph/GEPSNONPILOT/Tender/SplashBidNoticeAbstractUI.aspx?menuIndex=3&amp;refID=7047947&amp;Result=3","7047947")</f>
        <v>0</v>
      </c>
      <c r="B879" t="s">
        <v>431</v>
      </c>
      <c r="C879" t="s">
        <v>3950</v>
      </c>
      <c r="D879" t="s">
        <v>16213</v>
      </c>
      <c r="E879" t="s">
        <v>17130</v>
      </c>
      <c r="F879" t="s">
        <v>28198</v>
      </c>
      <c r="G879" t="s">
        <v>28205</v>
      </c>
      <c r="H879" t="s">
        <v>28215</v>
      </c>
      <c r="I879" t="s">
        <v>4200</v>
      </c>
      <c r="J879" t="s">
        <v>29009</v>
      </c>
      <c r="K879" t="s">
        <v>36701</v>
      </c>
      <c r="L879" t="s">
        <v>431</v>
      </c>
      <c r="M879" t="s">
        <v>37414</v>
      </c>
      <c r="N879" t="s">
        <v>40436</v>
      </c>
      <c r="O879" t="s">
        <v>40437</v>
      </c>
      <c r="P879">
        <v>0</v>
      </c>
      <c r="Q879">
        <v>2</v>
      </c>
      <c r="R879" t="s">
        <v>40438</v>
      </c>
      <c r="S879" t="s">
        <v>40582</v>
      </c>
      <c r="T879" t="s">
        <v>42118</v>
      </c>
      <c r="U879" t="s">
        <v>43409</v>
      </c>
      <c r="V879" t="s">
        <v>53883</v>
      </c>
      <c r="W879" t="s">
        <v>37414</v>
      </c>
      <c r="X879" t="s">
        <v>40439</v>
      </c>
    </row>
    <row r="880" spans="1:24">
      <c r="A880">
        <f>HYPERLINK("https://www.philgeps.gov.ph/GEPSNONPILOT/Tender/SplashBidNoticeAbstractUI.aspx?menuIndex=3&amp;refID=7047946&amp;Result=3","7047946")</f>
        <v>0</v>
      </c>
      <c r="B880" t="s">
        <v>445</v>
      </c>
      <c r="C880" t="s">
        <v>3951</v>
      </c>
      <c r="D880" t="s">
        <v>16202</v>
      </c>
      <c r="E880" t="s">
        <v>17131</v>
      </c>
      <c r="F880" t="s">
        <v>28198</v>
      </c>
      <c r="G880" t="s">
        <v>28207</v>
      </c>
      <c r="H880" t="s">
        <v>28215</v>
      </c>
      <c r="I880" t="s">
        <v>28247</v>
      </c>
      <c r="J880" t="s">
        <v>28551</v>
      </c>
      <c r="K880" t="s">
        <v>36688</v>
      </c>
      <c r="M880" t="s">
        <v>37429</v>
      </c>
      <c r="N880" t="s">
        <v>40436</v>
      </c>
      <c r="O880" t="s">
        <v>40437</v>
      </c>
      <c r="P880">
        <v>0</v>
      </c>
      <c r="Q880">
        <v>4</v>
      </c>
      <c r="R880" t="s">
        <v>40438</v>
      </c>
      <c r="S880" t="s">
        <v>40582</v>
      </c>
      <c r="T880" t="s">
        <v>42159</v>
      </c>
      <c r="U880" t="s">
        <v>43410</v>
      </c>
      <c r="W880" t="s">
        <v>37429</v>
      </c>
      <c r="X880" t="s">
        <v>40439</v>
      </c>
    </row>
    <row r="881" spans="1:24">
      <c r="A881">
        <f>HYPERLINK("https://www.philgeps.gov.ph/GEPSNONPILOT/Tender/SplashBidNoticeAbstractUI.aspx?menuIndex=3&amp;refID=7047952&amp;Result=3","7047952")</f>
        <v>0</v>
      </c>
      <c r="B881" t="s">
        <v>65</v>
      </c>
      <c r="C881" t="s">
        <v>3952</v>
      </c>
      <c r="D881" t="s">
        <v>16210</v>
      </c>
      <c r="E881" t="s">
        <v>17132</v>
      </c>
      <c r="F881" t="s">
        <v>28198</v>
      </c>
      <c r="G881" t="s">
        <v>28205</v>
      </c>
      <c r="H881" t="s">
        <v>28215</v>
      </c>
      <c r="I881" t="s">
        <v>28234</v>
      </c>
      <c r="J881" t="s">
        <v>29010</v>
      </c>
      <c r="K881" t="s">
        <v>36689</v>
      </c>
      <c r="M881" t="s">
        <v>37447</v>
      </c>
      <c r="N881" t="s">
        <v>40436</v>
      </c>
      <c r="O881" t="s">
        <v>40437</v>
      </c>
      <c r="P881">
        <v>0</v>
      </c>
      <c r="Q881">
        <v>18</v>
      </c>
      <c r="R881" t="s">
        <v>40438</v>
      </c>
      <c r="S881" t="s">
        <v>40582</v>
      </c>
      <c r="T881" t="s">
        <v>42224</v>
      </c>
      <c r="U881" t="s">
        <v>43411</v>
      </c>
      <c r="W881" t="s">
        <v>37447</v>
      </c>
      <c r="X881" t="s">
        <v>40439</v>
      </c>
    </row>
    <row r="882" spans="1:24">
      <c r="A882">
        <f>HYPERLINK("https://www.philgeps.gov.ph/GEPSNONPILOT/Tender/SplashBidNoticeAbstractUI.aspx?menuIndex=3&amp;refID=7047953&amp;Result=3","7047953")</f>
        <v>0</v>
      </c>
      <c r="B882" t="s">
        <v>463</v>
      </c>
      <c r="C882" t="s">
        <v>3953</v>
      </c>
      <c r="D882" t="s">
        <v>16203</v>
      </c>
      <c r="E882" t="s">
        <v>17133</v>
      </c>
      <c r="F882" t="s">
        <v>28198</v>
      </c>
      <c r="G882" t="s">
        <v>28205</v>
      </c>
      <c r="H882" t="s">
        <v>28214</v>
      </c>
      <c r="I882" t="s">
        <v>3797</v>
      </c>
      <c r="J882" t="s">
        <v>29011</v>
      </c>
      <c r="K882" t="s">
        <v>36697</v>
      </c>
      <c r="M882" t="s">
        <v>37448</v>
      </c>
      <c r="N882" t="s">
        <v>40436</v>
      </c>
      <c r="O882" t="s">
        <v>40437</v>
      </c>
      <c r="P882">
        <v>0</v>
      </c>
      <c r="Q882">
        <v>0</v>
      </c>
      <c r="R882" t="s">
        <v>40438</v>
      </c>
      <c r="S882" t="s">
        <v>40582</v>
      </c>
      <c r="T882" t="s">
        <v>42122</v>
      </c>
      <c r="U882" t="s">
        <v>43412</v>
      </c>
      <c r="V882" t="s">
        <v>53893</v>
      </c>
      <c r="W882" t="s">
        <v>37448</v>
      </c>
      <c r="X882" t="s">
        <v>40439</v>
      </c>
    </row>
    <row r="883" spans="1:24">
      <c r="A883">
        <f>HYPERLINK("https://www.philgeps.gov.ph/GEPSNONPILOT/Tender/SplashBidNoticeAbstractUI.aspx?menuIndex=3&amp;refID=7047962&amp;Result=3","7047962")</f>
        <v>0</v>
      </c>
      <c r="B883" t="s">
        <v>432</v>
      </c>
      <c r="C883" t="s">
        <v>3954</v>
      </c>
      <c r="D883" t="s">
        <v>16262</v>
      </c>
      <c r="E883" t="s">
        <v>17134</v>
      </c>
      <c r="F883" t="s">
        <v>28198</v>
      </c>
      <c r="G883" t="s">
        <v>28207</v>
      </c>
      <c r="H883" t="s">
        <v>28215</v>
      </c>
      <c r="I883" t="s">
        <v>5100</v>
      </c>
      <c r="J883" t="s">
        <v>28992</v>
      </c>
      <c r="K883" t="s">
        <v>36707</v>
      </c>
      <c r="M883" t="s">
        <v>37415</v>
      </c>
      <c r="N883" t="s">
        <v>40436</v>
      </c>
      <c r="O883" t="s">
        <v>40437</v>
      </c>
      <c r="P883">
        <v>0</v>
      </c>
      <c r="Q883">
        <v>0</v>
      </c>
      <c r="R883" t="s">
        <v>40438</v>
      </c>
      <c r="S883" t="s">
        <v>40582</v>
      </c>
      <c r="T883" t="s">
        <v>42124</v>
      </c>
      <c r="U883" t="s">
        <v>43395</v>
      </c>
      <c r="W883" t="s">
        <v>37415</v>
      </c>
      <c r="X883" t="s">
        <v>40439</v>
      </c>
    </row>
    <row r="884" spans="1:24">
      <c r="A884">
        <f>HYPERLINK("https://www.philgeps.gov.ph/GEPSNONPILOT/Tender/SplashBidNoticeAbstractUI.aspx?menuIndex=3&amp;refID=7047945&amp;Result=3","7047945")</f>
        <v>0</v>
      </c>
      <c r="B884" t="s">
        <v>262</v>
      </c>
      <c r="C884" t="s">
        <v>3955</v>
      </c>
      <c r="D884" t="s">
        <v>16245</v>
      </c>
      <c r="E884" t="s">
        <v>17135</v>
      </c>
      <c r="F884" t="s">
        <v>28198</v>
      </c>
      <c r="G884" t="s">
        <v>28207</v>
      </c>
      <c r="H884" t="s">
        <v>28215</v>
      </c>
      <c r="I884" t="s">
        <v>4168</v>
      </c>
      <c r="J884" t="s">
        <v>29012</v>
      </c>
      <c r="K884" t="s">
        <v>36694</v>
      </c>
      <c r="M884" t="s">
        <v>37238</v>
      </c>
      <c r="N884" t="s">
        <v>40436</v>
      </c>
      <c r="O884" t="s">
        <v>40437</v>
      </c>
      <c r="P884">
        <v>0</v>
      </c>
      <c r="Q884">
        <v>0</v>
      </c>
      <c r="R884" t="s">
        <v>40438</v>
      </c>
      <c r="S884" t="s">
        <v>40582</v>
      </c>
      <c r="T884" t="s">
        <v>42136</v>
      </c>
      <c r="U884" t="s">
        <v>43413</v>
      </c>
      <c r="W884" t="s">
        <v>37238</v>
      </c>
      <c r="X884" t="s">
        <v>40439</v>
      </c>
    </row>
    <row r="885" spans="1:24">
      <c r="A885">
        <f>HYPERLINK("https://www.philgeps.gov.ph/GEPSNONPILOT/Tender/SplashBidNoticeAbstractUI.aspx?menuIndex=3&amp;refID=7047975&amp;Result=3","7047975")</f>
        <v>0</v>
      </c>
      <c r="B885" t="s">
        <v>464</v>
      </c>
      <c r="C885" t="s">
        <v>3956</v>
      </c>
      <c r="D885" t="s">
        <v>16214</v>
      </c>
      <c r="E885" t="s">
        <v>17136</v>
      </c>
      <c r="F885" t="s">
        <v>28198</v>
      </c>
      <c r="G885" t="s">
        <v>28205</v>
      </c>
      <c r="H885" t="s">
        <v>28217</v>
      </c>
      <c r="I885" t="s">
        <v>28238</v>
      </c>
      <c r="J885" t="s">
        <v>29013</v>
      </c>
      <c r="K885" t="s">
        <v>36694</v>
      </c>
      <c r="M885" t="s">
        <v>37449</v>
      </c>
      <c r="N885" t="s">
        <v>40436</v>
      </c>
      <c r="O885" t="s">
        <v>40437</v>
      </c>
      <c r="P885">
        <v>0</v>
      </c>
      <c r="Q885">
        <v>1</v>
      </c>
      <c r="R885" t="s">
        <v>40438</v>
      </c>
      <c r="S885" t="s">
        <v>40582</v>
      </c>
      <c r="T885" t="s">
        <v>42183</v>
      </c>
      <c r="U885" t="s">
        <v>43414</v>
      </c>
      <c r="W885" t="s">
        <v>37449</v>
      </c>
      <c r="X885" t="s">
        <v>40439</v>
      </c>
    </row>
    <row r="886" spans="1:24">
      <c r="A886">
        <f>HYPERLINK("https://www.philgeps.gov.ph/GEPSNONPILOT/Tender/SplashBidNoticeAbstractUI.aspx?menuIndex=3&amp;refID=7047961&amp;Result=3","7047961")</f>
        <v>0</v>
      </c>
      <c r="B886" t="s">
        <v>426</v>
      </c>
      <c r="C886" t="s">
        <v>3173</v>
      </c>
      <c r="D886" t="s">
        <v>16189</v>
      </c>
      <c r="E886" t="s">
        <v>17010</v>
      </c>
      <c r="F886" t="s">
        <v>28198</v>
      </c>
      <c r="G886" t="s">
        <v>28206</v>
      </c>
      <c r="H886" t="s">
        <v>28215</v>
      </c>
      <c r="I886" t="s">
        <v>5082</v>
      </c>
      <c r="J886" t="s">
        <v>28671</v>
      </c>
      <c r="K886" t="s">
        <v>36691</v>
      </c>
      <c r="M886" t="s">
        <v>37408</v>
      </c>
      <c r="N886" t="s">
        <v>40436</v>
      </c>
      <c r="O886" t="s">
        <v>40437</v>
      </c>
      <c r="P886">
        <v>0</v>
      </c>
      <c r="Q886">
        <v>0</v>
      </c>
      <c r="R886" t="s">
        <v>40438</v>
      </c>
      <c r="S886" t="s">
        <v>40582</v>
      </c>
      <c r="T886" t="s">
        <v>42175</v>
      </c>
      <c r="U886" t="s">
        <v>43415</v>
      </c>
      <c r="W886" t="s">
        <v>37408</v>
      </c>
      <c r="X886" t="s">
        <v>40439</v>
      </c>
    </row>
    <row r="887" spans="1:24">
      <c r="A887">
        <f>HYPERLINK("https://www.philgeps.gov.ph/GEPSNONPILOT/Tender/SplashBidNoticeAbstractUI.aspx?menuIndex=3&amp;refID=7047974&amp;Result=3","7047974")</f>
        <v>0</v>
      </c>
      <c r="B887" t="s">
        <v>465</v>
      </c>
      <c r="C887" t="s">
        <v>3957</v>
      </c>
      <c r="D887" t="s">
        <v>16264</v>
      </c>
      <c r="E887" t="s">
        <v>17137</v>
      </c>
      <c r="F887" t="s">
        <v>28198</v>
      </c>
      <c r="G887" t="s">
        <v>28205</v>
      </c>
      <c r="H887" t="s">
        <v>28214</v>
      </c>
      <c r="I887" t="s">
        <v>3797</v>
      </c>
      <c r="J887" t="s">
        <v>29014</v>
      </c>
      <c r="K887" t="s">
        <v>36742</v>
      </c>
      <c r="M887" t="s">
        <v>37450</v>
      </c>
      <c r="N887" t="s">
        <v>40436</v>
      </c>
      <c r="O887" t="s">
        <v>40437</v>
      </c>
      <c r="P887">
        <v>0</v>
      </c>
      <c r="Q887">
        <v>2</v>
      </c>
      <c r="R887" t="s">
        <v>40438</v>
      </c>
      <c r="S887" t="s">
        <v>40582</v>
      </c>
      <c r="T887" t="s">
        <v>42115</v>
      </c>
      <c r="U887" t="s">
        <v>43416</v>
      </c>
      <c r="W887" t="s">
        <v>37450</v>
      </c>
      <c r="X887" t="s">
        <v>40439</v>
      </c>
    </row>
    <row r="888" spans="1:24">
      <c r="A888">
        <f>HYPERLINK("https://www.philgeps.gov.ph/GEPSNONPILOT/Tender/SplashBidNoticeAbstractUI.aspx?menuIndex=3&amp;refID=7047954&amp;Result=3","7047954")</f>
        <v>0</v>
      </c>
      <c r="B888" t="s">
        <v>296</v>
      </c>
      <c r="C888" t="s">
        <v>3958</v>
      </c>
      <c r="D888" t="s">
        <v>16188</v>
      </c>
      <c r="E888" t="s">
        <v>17138</v>
      </c>
      <c r="F888" t="s">
        <v>28198</v>
      </c>
      <c r="G888" t="s">
        <v>28207</v>
      </c>
      <c r="H888" t="s">
        <v>28215</v>
      </c>
      <c r="I888" t="s">
        <v>6013</v>
      </c>
      <c r="J888" t="s">
        <v>28378</v>
      </c>
      <c r="K888" t="s">
        <v>36689</v>
      </c>
      <c r="M888" t="s">
        <v>37273</v>
      </c>
      <c r="N888" t="s">
        <v>40436</v>
      </c>
      <c r="O888" t="s">
        <v>40437</v>
      </c>
      <c r="P888">
        <v>0</v>
      </c>
      <c r="Q888">
        <v>0</v>
      </c>
      <c r="R888" t="s">
        <v>40438</v>
      </c>
      <c r="S888" t="s">
        <v>40582</v>
      </c>
      <c r="T888" t="s">
        <v>42198</v>
      </c>
      <c r="U888" t="s">
        <v>43417</v>
      </c>
      <c r="W888" t="s">
        <v>37273</v>
      </c>
      <c r="X888" t="s">
        <v>40439</v>
      </c>
    </row>
    <row r="889" spans="1:24">
      <c r="A889">
        <f>HYPERLINK("https://www.philgeps.gov.ph/GEPSNONPILOT/Tender/SplashBidNoticeAbstractUI.aspx?menuIndex=3&amp;refID=7047973&amp;Result=3","7047973")</f>
        <v>0</v>
      </c>
      <c r="B889" t="s">
        <v>103</v>
      </c>
      <c r="C889" t="s">
        <v>3959</v>
      </c>
      <c r="D889" t="s">
        <v>16230</v>
      </c>
      <c r="E889" t="s">
        <v>17139</v>
      </c>
      <c r="F889" t="s">
        <v>28198</v>
      </c>
      <c r="G889" t="s">
        <v>28206</v>
      </c>
      <c r="H889" t="s">
        <v>28215</v>
      </c>
      <c r="I889" t="s">
        <v>28281</v>
      </c>
      <c r="J889" t="s">
        <v>29015</v>
      </c>
      <c r="K889" t="s">
        <v>36706</v>
      </c>
      <c r="M889" t="s">
        <v>37077</v>
      </c>
      <c r="N889" t="s">
        <v>40436</v>
      </c>
      <c r="O889" t="s">
        <v>40437</v>
      </c>
      <c r="P889">
        <v>0</v>
      </c>
      <c r="Q889">
        <v>2</v>
      </c>
      <c r="R889" t="s">
        <v>40438</v>
      </c>
      <c r="S889" t="s">
        <v>40582</v>
      </c>
      <c r="T889" t="s">
        <v>42103</v>
      </c>
      <c r="U889" t="s">
        <v>43418</v>
      </c>
      <c r="V889" t="s">
        <v>53894</v>
      </c>
      <c r="W889" t="s">
        <v>37077</v>
      </c>
      <c r="X889" t="s">
        <v>40439</v>
      </c>
    </row>
    <row r="890" spans="1:24">
      <c r="A890">
        <f>HYPERLINK("https://www.philgeps.gov.ph/GEPSNONPILOT/Tender/SplashBidNoticeAbstractUI.aspx?menuIndex=3&amp;refID=7047956&amp;Result=3","7047956")</f>
        <v>0</v>
      </c>
      <c r="B890" t="s">
        <v>466</v>
      </c>
      <c r="C890" t="s">
        <v>3960</v>
      </c>
      <c r="D890" t="s">
        <v>16210</v>
      </c>
      <c r="E890" t="s">
        <v>17140</v>
      </c>
      <c r="F890" t="s">
        <v>28198</v>
      </c>
      <c r="G890" t="s">
        <v>28206</v>
      </c>
      <c r="H890" t="s">
        <v>28217</v>
      </c>
      <c r="I890" t="s">
        <v>28216</v>
      </c>
      <c r="J890" t="s">
        <v>28345</v>
      </c>
      <c r="K890" t="s">
        <v>36696</v>
      </c>
      <c r="M890" t="s">
        <v>37451</v>
      </c>
      <c r="N890" t="s">
        <v>40436</v>
      </c>
      <c r="O890" t="s">
        <v>40437</v>
      </c>
      <c r="P890">
        <v>0</v>
      </c>
      <c r="Q890">
        <v>0</v>
      </c>
      <c r="R890" t="s">
        <v>40438</v>
      </c>
      <c r="S890" t="s">
        <v>40582</v>
      </c>
      <c r="T890" t="s">
        <v>42205</v>
      </c>
      <c r="U890" t="s">
        <v>43419</v>
      </c>
      <c r="W890" t="s">
        <v>37451</v>
      </c>
      <c r="X890" t="s">
        <v>40439</v>
      </c>
    </row>
    <row r="891" spans="1:24">
      <c r="A891">
        <f>HYPERLINK("https://www.philgeps.gov.ph/GEPSNONPILOT/Tender/SplashBidNoticeAbstractUI.aspx?menuIndex=3&amp;refID=7047957&amp;Result=3","7047957")</f>
        <v>0</v>
      </c>
      <c r="B891" t="s">
        <v>467</v>
      </c>
      <c r="C891" t="s">
        <v>3961</v>
      </c>
      <c r="D891" t="s">
        <v>16215</v>
      </c>
      <c r="E891" t="s">
        <v>17141</v>
      </c>
      <c r="F891" t="s">
        <v>28200</v>
      </c>
      <c r="G891" t="s">
        <v>28206</v>
      </c>
      <c r="H891" t="s">
        <v>28214</v>
      </c>
      <c r="I891" t="s">
        <v>3797</v>
      </c>
      <c r="J891" t="s">
        <v>29016</v>
      </c>
      <c r="K891" t="s">
        <v>36707</v>
      </c>
      <c r="M891" t="s">
        <v>37452</v>
      </c>
      <c r="N891" t="s">
        <v>40436</v>
      </c>
      <c r="O891" t="s">
        <v>40437</v>
      </c>
      <c r="P891">
        <v>0</v>
      </c>
      <c r="Q891">
        <v>0</v>
      </c>
      <c r="R891" t="s">
        <v>40438</v>
      </c>
      <c r="S891" t="s">
        <v>40582</v>
      </c>
      <c r="T891" t="s">
        <v>42098</v>
      </c>
      <c r="U891" t="s">
        <v>43420</v>
      </c>
      <c r="V891" t="s">
        <v>53895</v>
      </c>
      <c r="W891" t="s">
        <v>37452</v>
      </c>
      <c r="X891" t="s">
        <v>40439</v>
      </c>
    </row>
    <row r="892" spans="1:24">
      <c r="A892">
        <f>HYPERLINK("https://www.philgeps.gov.ph/GEPSNONPILOT/Tender/SplashBidNoticeAbstractUI.aspx?menuIndex=3&amp;refID=7047970&amp;Result=3","7047970")</f>
        <v>0</v>
      </c>
      <c r="B892" t="s">
        <v>152</v>
      </c>
      <c r="C892" t="s">
        <v>3962</v>
      </c>
      <c r="D892" t="s">
        <v>16210</v>
      </c>
      <c r="E892" t="s">
        <v>17142</v>
      </c>
      <c r="F892" t="s">
        <v>28198</v>
      </c>
      <c r="G892" t="s">
        <v>28207</v>
      </c>
      <c r="H892" t="s">
        <v>28215</v>
      </c>
      <c r="I892" t="s">
        <v>28247</v>
      </c>
      <c r="J892" t="s">
        <v>29017</v>
      </c>
      <c r="K892" t="s">
        <v>36701</v>
      </c>
      <c r="M892" t="s">
        <v>37126</v>
      </c>
      <c r="N892" t="s">
        <v>40436</v>
      </c>
      <c r="O892" t="s">
        <v>40437</v>
      </c>
      <c r="P892">
        <v>0</v>
      </c>
      <c r="Q892">
        <v>5</v>
      </c>
      <c r="R892" t="s">
        <v>40438</v>
      </c>
      <c r="S892" t="s">
        <v>40582</v>
      </c>
      <c r="T892" t="s">
        <v>42159</v>
      </c>
      <c r="U892" t="s">
        <v>43421</v>
      </c>
      <c r="W892" t="s">
        <v>37126</v>
      </c>
      <c r="X892" t="s">
        <v>40439</v>
      </c>
    </row>
    <row r="893" spans="1:24">
      <c r="A893">
        <f>HYPERLINK("https://www.philgeps.gov.ph/GEPSNONPILOT/Tender/SplashBidNoticeAbstractUI.aspx?menuIndex=3&amp;refID=7047972&amp;Result=3","7047972")</f>
        <v>0</v>
      </c>
      <c r="B893" t="s">
        <v>468</v>
      </c>
      <c r="C893" t="s">
        <v>3963</v>
      </c>
      <c r="D893" t="s">
        <v>16189</v>
      </c>
      <c r="E893" t="s">
        <v>17143</v>
      </c>
      <c r="F893" t="s">
        <v>28198</v>
      </c>
      <c r="G893" t="s">
        <v>28207</v>
      </c>
      <c r="H893" t="s">
        <v>28215</v>
      </c>
      <c r="I893" t="s">
        <v>28247</v>
      </c>
      <c r="J893" t="s">
        <v>28397</v>
      </c>
      <c r="K893" t="s">
        <v>36688</v>
      </c>
      <c r="M893" t="s">
        <v>37453</v>
      </c>
      <c r="N893" t="s">
        <v>40436</v>
      </c>
      <c r="O893" t="s">
        <v>40437</v>
      </c>
      <c r="P893">
        <v>0</v>
      </c>
      <c r="Q893">
        <v>13</v>
      </c>
      <c r="R893" t="s">
        <v>40438</v>
      </c>
      <c r="S893" t="s">
        <v>40582</v>
      </c>
      <c r="T893" t="s">
        <v>42119</v>
      </c>
      <c r="U893" t="s">
        <v>43422</v>
      </c>
      <c r="W893" t="s">
        <v>37453</v>
      </c>
      <c r="X893" t="s">
        <v>40439</v>
      </c>
    </row>
    <row r="894" spans="1:24">
      <c r="A894">
        <f>HYPERLINK("https://www.philgeps.gov.ph/GEPSNONPILOT/Tender/SplashBidNoticeAbstractUI.aspx?menuIndex=3&amp;refID=7047965&amp;Result=3","7047965")</f>
        <v>0</v>
      </c>
      <c r="B894" t="s">
        <v>469</v>
      </c>
      <c r="C894" t="s">
        <v>3964</v>
      </c>
      <c r="D894" t="s">
        <v>16235</v>
      </c>
      <c r="E894" t="s">
        <v>17144</v>
      </c>
      <c r="F894" t="s">
        <v>28198</v>
      </c>
      <c r="G894" t="s">
        <v>28207</v>
      </c>
      <c r="H894" t="s">
        <v>28215</v>
      </c>
      <c r="I894" t="s">
        <v>28281</v>
      </c>
      <c r="J894" t="s">
        <v>28571</v>
      </c>
      <c r="K894" t="s">
        <v>36706</v>
      </c>
      <c r="M894" t="s">
        <v>37454</v>
      </c>
      <c r="N894" t="s">
        <v>40436</v>
      </c>
      <c r="O894" t="s">
        <v>40437</v>
      </c>
      <c r="P894">
        <v>0</v>
      </c>
      <c r="Q894">
        <v>4</v>
      </c>
      <c r="R894" t="s">
        <v>40438</v>
      </c>
      <c r="S894" t="s">
        <v>40582</v>
      </c>
      <c r="T894" t="s">
        <v>42124</v>
      </c>
      <c r="U894" t="s">
        <v>43423</v>
      </c>
      <c r="W894" t="s">
        <v>37454</v>
      </c>
      <c r="X894" t="s">
        <v>40439</v>
      </c>
    </row>
    <row r="895" spans="1:24">
      <c r="A895">
        <f>HYPERLINK("https://www.philgeps.gov.ph/GEPSNONPILOT/Tender/SplashBidNoticeAbstractUI.aspx?menuIndex=3&amp;refID=7047969&amp;Result=3","7047969")</f>
        <v>0</v>
      </c>
      <c r="B895" t="s">
        <v>422</v>
      </c>
      <c r="C895" t="s">
        <v>3965</v>
      </c>
      <c r="D895" t="s">
        <v>16203</v>
      </c>
      <c r="E895" t="s">
        <v>17145</v>
      </c>
      <c r="F895" t="s">
        <v>28198</v>
      </c>
      <c r="G895" t="s">
        <v>28210</v>
      </c>
      <c r="H895" t="s">
        <v>28215</v>
      </c>
      <c r="I895" t="s">
        <v>28237</v>
      </c>
      <c r="J895" t="s">
        <v>29018</v>
      </c>
      <c r="K895" t="s">
        <v>36689</v>
      </c>
      <c r="M895" t="s">
        <v>37404</v>
      </c>
      <c r="N895" t="s">
        <v>40436</v>
      </c>
      <c r="O895" t="s">
        <v>40437</v>
      </c>
      <c r="P895">
        <v>0</v>
      </c>
      <c r="Q895">
        <v>4</v>
      </c>
      <c r="R895" t="s">
        <v>40438</v>
      </c>
      <c r="S895" t="s">
        <v>40582</v>
      </c>
      <c r="T895" t="s">
        <v>42111</v>
      </c>
      <c r="U895" t="s">
        <v>43338</v>
      </c>
      <c r="W895" t="s">
        <v>37404</v>
      </c>
      <c r="X895" t="s">
        <v>40439</v>
      </c>
    </row>
    <row r="896" spans="1:24">
      <c r="A896">
        <f>HYPERLINK("https://www.philgeps.gov.ph/GEPSNONPILOT/Tender/SplashBidNoticeAbstractUI.aspx?menuIndex=3&amp;refID=7047964&amp;Result=3","7047964")</f>
        <v>0</v>
      </c>
      <c r="B896" t="s">
        <v>457</v>
      </c>
      <c r="C896" t="s">
        <v>3966</v>
      </c>
      <c r="D896" t="s">
        <v>16241</v>
      </c>
      <c r="E896" t="s">
        <v>17146</v>
      </c>
      <c r="F896" t="s">
        <v>28198</v>
      </c>
      <c r="G896" t="s">
        <v>28207</v>
      </c>
      <c r="H896" t="s">
        <v>28215</v>
      </c>
      <c r="I896" t="s">
        <v>28228</v>
      </c>
      <c r="J896" t="s">
        <v>29019</v>
      </c>
      <c r="K896" t="s">
        <v>36701</v>
      </c>
      <c r="M896" t="s">
        <v>37441</v>
      </c>
      <c r="N896" t="s">
        <v>40436</v>
      </c>
      <c r="O896" t="s">
        <v>40437</v>
      </c>
      <c r="P896">
        <v>0</v>
      </c>
      <c r="Q896">
        <v>0</v>
      </c>
      <c r="R896" t="s">
        <v>40438</v>
      </c>
      <c r="S896" t="s">
        <v>40582</v>
      </c>
      <c r="T896" t="s">
        <v>42160</v>
      </c>
      <c r="U896" t="s">
        <v>43424</v>
      </c>
      <c r="W896" t="s">
        <v>37441</v>
      </c>
      <c r="X896" t="s">
        <v>40439</v>
      </c>
    </row>
    <row r="897" spans="1:24">
      <c r="A897">
        <f>HYPERLINK("https://www.philgeps.gov.ph/GEPSNONPILOT/Tender/SplashBidNoticeAbstractUI.aspx?menuIndex=3&amp;refID=7047963&amp;Result=3","7047963")</f>
        <v>0</v>
      </c>
      <c r="B897" t="s">
        <v>470</v>
      </c>
      <c r="C897" t="s">
        <v>3967</v>
      </c>
      <c r="E897" t="s">
        <v>17147</v>
      </c>
      <c r="F897" t="s">
        <v>28198</v>
      </c>
      <c r="G897" t="s">
        <v>28207</v>
      </c>
      <c r="H897" t="s">
        <v>28215</v>
      </c>
      <c r="I897" t="s">
        <v>28225</v>
      </c>
      <c r="J897" t="s">
        <v>29020</v>
      </c>
      <c r="K897" t="s">
        <v>36689</v>
      </c>
      <c r="M897" t="s">
        <v>37455</v>
      </c>
      <c r="N897" t="s">
        <v>40436</v>
      </c>
      <c r="O897" t="s">
        <v>40437</v>
      </c>
      <c r="P897">
        <v>0</v>
      </c>
      <c r="Q897">
        <v>5</v>
      </c>
      <c r="R897" t="s">
        <v>40438</v>
      </c>
      <c r="S897" t="s">
        <v>40582</v>
      </c>
      <c r="T897" t="s">
        <v>42103</v>
      </c>
      <c r="U897" t="s">
        <v>43425</v>
      </c>
      <c r="W897" t="s">
        <v>37455</v>
      </c>
      <c r="X897" t="s">
        <v>40439</v>
      </c>
    </row>
    <row r="898" spans="1:24">
      <c r="A898">
        <f>HYPERLINK("https://www.philgeps.gov.ph/GEPSNONPILOT/Tender/SplashBidNoticeAbstractUI.aspx?menuIndex=3&amp;refID=7047955&amp;Result=3","7047955")</f>
        <v>0</v>
      </c>
      <c r="B898" t="s">
        <v>335</v>
      </c>
      <c r="C898" t="s">
        <v>3968</v>
      </c>
      <c r="D898" t="s">
        <v>16221</v>
      </c>
      <c r="E898" t="s">
        <v>17148</v>
      </c>
      <c r="F898" t="s">
        <v>28198</v>
      </c>
      <c r="G898" t="s">
        <v>28205</v>
      </c>
      <c r="H898" t="s">
        <v>28214</v>
      </c>
      <c r="I898" t="s">
        <v>3797</v>
      </c>
      <c r="J898" t="s">
        <v>29021</v>
      </c>
      <c r="K898" t="s">
        <v>36697</v>
      </c>
      <c r="M898" t="s">
        <v>37313</v>
      </c>
      <c r="N898" t="s">
        <v>40436</v>
      </c>
      <c r="O898" t="s">
        <v>40437</v>
      </c>
      <c r="P898">
        <v>0</v>
      </c>
      <c r="Q898">
        <v>0</v>
      </c>
      <c r="R898" t="s">
        <v>40438</v>
      </c>
      <c r="S898" t="s">
        <v>40582</v>
      </c>
      <c r="T898" t="s">
        <v>42108</v>
      </c>
      <c r="U898" t="s">
        <v>43426</v>
      </c>
      <c r="W898" t="s">
        <v>55444</v>
      </c>
      <c r="X898" t="s">
        <v>40439</v>
      </c>
    </row>
    <row r="899" spans="1:24">
      <c r="A899">
        <f>HYPERLINK("https://www.philgeps.gov.ph/GEPSNONPILOT/Tender/SplashBidNoticeAbstractUI.aspx?menuIndex=3&amp;refID=7047958&amp;Result=3","7047958")</f>
        <v>0</v>
      </c>
      <c r="B899" t="s">
        <v>422</v>
      </c>
      <c r="C899" t="s">
        <v>3969</v>
      </c>
      <c r="D899" t="s">
        <v>16203</v>
      </c>
      <c r="E899" t="s">
        <v>17087</v>
      </c>
      <c r="F899" t="s">
        <v>28198</v>
      </c>
      <c r="G899" t="s">
        <v>28210</v>
      </c>
      <c r="H899" t="s">
        <v>28215</v>
      </c>
      <c r="I899" t="s">
        <v>4219</v>
      </c>
      <c r="J899" t="s">
        <v>29022</v>
      </c>
      <c r="K899" t="s">
        <v>36689</v>
      </c>
      <c r="M899" t="s">
        <v>37404</v>
      </c>
      <c r="N899" t="s">
        <v>40436</v>
      </c>
      <c r="O899" t="s">
        <v>40437</v>
      </c>
      <c r="P899">
        <v>0</v>
      </c>
      <c r="Q899">
        <v>7</v>
      </c>
      <c r="R899" t="s">
        <v>40438</v>
      </c>
      <c r="S899" t="s">
        <v>40582</v>
      </c>
      <c r="T899" t="s">
        <v>42111</v>
      </c>
      <c r="U899" t="s">
        <v>43338</v>
      </c>
      <c r="W899" t="s">
        <v>37404</v>
      </c>
      <c r="X899" t="s">
        <v>40439</v>
      </c>
    </row>
    <row r="900" spans="1:24">
      <c r="A900">
        <f>HYPERLINK("https://www.philgeps.gov.ph/GEPSNONPILOT/Tender/SplashBidNoticeAbstractUI.aspx?menuIndex=3&amp;refID=7047985&amp;Result=3","7047985")</f>
        <v>0</v>
      </c>
      <c r="B900" t="s">
        <v>471</v>
      </c>
      <c r="C900" t="s">
        <v>3970</v>
      </c>
      <c r="D900" t="s">
        <v>16188</v>
      </c>
      <c r="E900" t="s">
        <v>17149</v>
      </c>
      <c r="F900" t="s">
        <v>28198</v>
      </c>
      <c r="G900" t="s">
        <v>28207</v>
      </c>
      <c r="H900" t="s">
        <v>28215</v>
      </c>
      <c r="I900" t="s">
        <v>28247</v>
      </c>
      <c r="J900" t="s">
        <v>28993</v>
      </c>
      <c r="K900" t="s">
        <v>36694</v>
      </c>
      <c r="M900" t="s">
        <v>37456</v>
      </c>
      <c r="N900" t="s">
        <v>40436</v>
      </c>
      <c r="O900" t="s">
        <v>40437</v>
      </c>
      <c r="P900">
        <v>0</v>
      </c>
      <c r="Q900">
        <v>10</v>
      </c>
      <c r="R900" t="s">
        <v>40438</v>
      </c>
      <c r="S900" t="s">
        <v>40582</v>
      </c>
      <c r="T900" t="s">
        <v>42124</v>
      </c>
      <c r="U900" t="s">
        <v>43427</v>
      </c>
      <c r="W900" t="s">
        <v>37456</v>
      </c>
      <c r="X900" t="s">
        <v>40439</v>
      </c>
    </row>
    <row r="901" spans="1:24">
      <c r="A901">
        <f>HYPERLINK("https://www.philgeps.gov.ph/GEPSNONPILOT/Tender/SplashBidNoticeAbstractUI.aspx?menuIndex=3&amp;refID=7047967&amp;Result=3","7047967")</f>
        <v>0</v>
      </c>
      <c r="B901" t="s">
        <v>472</v>
      </c>
      <c r="C901" t="s">
        <v>3971</v>
      </c>
      <c r="D901" t="s">
        <v>16258</v>
      </c>
      <c r="E901" t="s">
        <v>17150</v>
      </c>
      <c r="F901" t="s">
        <v>28198</v>
      </c>
      <c r="G901" t="s">
        <v>28205</v>
      </c>
      <c r="H901" t="s">
        <v>28215</v>
      </c>
      <c r="I901" t="s">
        <v>4168</v>
      </c>
      <c r="J901" t="s">
        <v>29023</v>
      </c>
      <c r="K901" t="s">
        <v>36701</v>
      </c>
      <c r="M901" t="s">
        <v>37457</v>
      </c>
      <c r="N901" t="s">
        <v>40436</v>
      </c>
      <c r="O901" t="s">
        <v>40437</v>
      </c>
      <c r="P901">
        <v>0</v>
      </c>
      <c r="Q901">
        <v>0</v>
      </c>
      <c r="R901" t="s">
        <v>40438</v>
      </c>
      <c r="S901" t="s">
        <v>40582</v>
      </c>
      <c r="T901" t="s">
        <v>42225</v>
      </c>
      <c r="U901" t="s">
        <v>43428</v>
      </c>
      <c r="W901" t="s">
        <v>37457</v>
      </c>
      <c r="X901" t="s">
        <v>40439</v>
      </c>
    </row>
    <row r="902" spans="1:24">
      <c r="A902">
        <f>HYPERLINK("https://www.philgeps.gov.ph/GEPSNONPILOT/Tender/SplashBidNoticeAbstractUI.aspx?menuIndex=3&amp;refID=7047987&amp;Result=3","7047987")</f>
        <v>0</v>
      </c>
      <c r="B902" t="s">
        <v>177</v>
      </c>
      <c r="C902" t="s">
        <v>3972</v>
      </c>
      <c r="D902" t="s">
        <v>16228</v>
      </c>
      <c r="E902" t="s">
        <v>17151</v>
      </c>
      <c r="F902" t="s">
        <v>28198</v>
      </c>
      <c r="G902" t="s">
        <v>28205</v>
      </c>
      <c r="H902" t="s">
        <v>28217</v>
      </c>
      <c r="I902" t="s">
        <v>5631</v>
      </c>
      <c r="J902" t="s">
        <v>29024</v>
      </c>
      <c r="K902" t="s">
        <v>36701</v>
      </c>
      <c r="M902" t="s">
        <v>37152</v>
      </c>
      <c r="N902" t="s">
        <v>40436</v>
      </c>
      <c r="O902" t="s">
        <v>40437</v>
      </c>
      <c r="P902">
        <v>0</v>
      </c>
      <c r="Q902">
        <v>0</v>
      </c>
      <c r="R902" t="s">
        <v>40438</v>
      </c>
      <c r="S902" t="s">
        <v>40582</v>
      </c>
      <c r="T902" t="s">
        <v>42226</v>
      </c>
      <c r="U902" t="s">
        <v>43429</v>
      </c>
      <c r="V902" t="s">
        <v>53896</v>
      </c>
      <c r="W902" t="s">
        <v>37152</v>
      </c>
      <c r="X902" t="s">
        <v>40439</v>
      </c>
    </row>
    <row r="903" spans="1:24">
      <c r="A903">
        <f>HYPERLINK("https://www.philgeps.gov.ph/GEPSNONPILOT/Tender/SplashBidNoticeAbstractUI.aspx?menuIndex=3&amp;refID=7047983&amp;Result=3","7047983")</f>
        <v>0</v>
      </c>
      <c r="B903" t="s">
        <v>473</v>
      </c>
      <c r="C903" t="s">
        <v>3973</v>
      </c>
      <c r="D903" t="s">
        <v>16223</v>
      </c>
      <c r="E903" t="s">
        <v>17152</v>
      </c>
      <c r="F903" t="s">
        <v>28198</v>
      </c>
      <c r="G903" t="s">
        <v>28207</v>
      </c>
      <c r="H903" t="s">
        <v>28215</v>
      </c>
      <c r="I903" t="s">
        <v>28287</v>
      </c>
      <c r="J903" t="s">
        <v>28373</v>
      </c>
      <c r="K903" t="s">
        <v>36698</v>
      </c>
      <c r="M903" t="s">
        <v>37458</v>
      </c>
      <c r="N903" t="s">
        <v>40436</v>
      </c>
      <c r="O903" t="s">
        <v>40437</v>
      </c>
      <c r="P903">
        <v>0</v>
      </c>
      <c r="Q903">
        <v>0</v>
      </c>
      <c r="R903" t="s">
        <v>40438</v>
      </c>
      <c r="S903" t="s">
        <v>40582</v>
      </c>
      <c r="T903" t="s">
        <v>42124</v>
      </c>
      <c r="U903" t="s">
        <v>43430</v>
      </c>
      <c r="W903" t="s">
        <v>37458</v>
      </c>
      <c r="X903" t="s">
        <v>40439</v>
      </c>
    </row>
    <row r="904" spans="1:24">
      <c r="A904">
        <f>HYPERLINK("https://www.philgeps.gov.ph/GEPSNONPILOT/Tender/SplashBidNoticeAbstractUI.aspx?menuIndex=3&amp;refID=7047968&amp;Result=3","7047968")</f>
        <v>0</v>
      </c>
      <c r="B904" t="s">
        <v>269</v>
      </c>
      <c r="C904" t="s">
        <v>3716</v>
      </c>
      <c r="D904" t="s">
        <v>16233</v>
      </c>
      <c r="E904" t="s">
        <v>17153</v>
      </c>
      <c r="F904" t="s">
        <v>28198</v>
      </c>
      <c r="G904" t="s">
        <v>28207</v>
      </c>
      <c r="H904" t="s">
        <v>28215</v>
      </c>
      <c r="I904" t="s">
        <v>3422</v>
      </c>
      <c r="J904" t="s">
        <v>29025</v>
      </c>
      <c r="K904" t="s">
        <v>36689</v>
      </c>
      <c r="M904" t="s">
        <v>37246</v>
      </c>
      <c r="N904" t="s">
        <v>40436</v>
      </c>
      <c r="O904" t="s">
        <v>40437</v>
      </c>
      <c r="P904">
        <v>0</v>
      </c>
      <c r="Q904">
        <v>0</v>
      </c>
      <c r="R904" t="s">
        <v>40438</v>
      </c>
      <c r="S904" t="s">
        <v>40582</v>
      </c>
      <c r="T904" t="s">
        <v>42111</v>
      </c>
      <c r="U904" t="s">
        <v>43431</v>
      </c>
      <c r="W904" t="s">
        <v>37246</v>
      </c>
      <c r="X904" t="s">
        <v>40439</v>
      </c>
    </row>
    <row r="905" spans="1:24">
      <c r="A905">
        <f>HYPERLINK("https://www.philgeps.gov.ph/GEPSNONPILOT/Tender/SplashBidNoticeAbstractUI.aspx?menuIndex=3&amp;refID=7047976&amp;Result=3","7047976")</f>
        <v>0</v>
      </c>
      <c r="B905" t="s">
        <v>401</v>
      </c>
      <c r="C905" t="s">
        <v>3974</v>
      </c>
      <c r="D905" t="s">
        <v>16223</v>
      </c>
      <c r="E905" t="s">
        <v>17018</v>
      </c>
      <c r="F905" t="s">
        <v>28198</v>
      </c>
      <c r="G905" t="s">
        <v>28207</v>
      </c>
      <c r="H905" t="s">
        <v>28215</v>
      </c>
      <c r="I905" t="s">
        <v>28228</v>
      </c>
      <c r="J905" t="s">
        <v>29026</v>
      </c>
      <c r="K905" t="s">
        <v>36691</v>
      </c>
      <c r="M905" t="s">
        <v>37382</v>
      </c>
      <c r="N905" t="s">
        <v>40436</v>
      </c>
      <c r="O905" t="s">
        <v>40437</v>
      </c>
      <c r="P905">
        <v>0</v>
      </c>
      <c r="Q905">
        <v>0</v>
      </c>
      <c r="R905" t="s">
        <v>40438</v>
      </c>
      <c r="S905" t="s">
        <v>40582</v>
      </c>
      <c r="T905" t="s">
        <v>42103</v>
      </c>
      <c r="U905" t="s">
        <v>43432</v>
      </c>
      <c r="W905" t="s">
        <v>37382</v>
      </c>
      <c r="X905" t="s">
        <v>40439</v>
      </c>
    </row>
    <row r="906" spans="1:24">
      <c r="A906">
        <f>HYPERLINK("https://www.philgeps.gov.ph/GEPSNONPILOT/Tender/SplashBidNoticeAbstractUI.aspx?menuIndex=3&amp;refID=7047986&amp;Result=3","7047986")</f>
        <v>0</v>
      </c>
      <c r="B906" t="s">
        <v>422</v>
      </c>
      <c r="C906" t="s">
        <v>3975</v>
      </c>
      <c r="D906" t="s">
        <v>16203</v>
      </c>
      <c r="E906" t="s">
        <v>17154</v>
      </c>
      <c r="F906" t="s">
        <v>28198</v>
      </c>
      <c r="G906" t="s">
        <v>28207</v>
      </c>
      <c r="H906" t="s">
        <v>28215</v>
      </c>
      <c r="I906" t="s">
        <v>4168</v>
      </c>
      <c r="J906" t="s">
        <v>29027</v>
      </c>
      <c r="K906" t="s">
        <v>36689</v>
      </c>
      <c r="M906" t="s">
        <v>37404</v>
      </c>
      <c r="N906" t="s">
        <v>40436</v>
      </c>
      <c r="O906" t="s">
        <v>40437</v>
      </c>
      <c r="P906">
        <v>0</v>
      </c>
      <c r="Q906">
        <v>5</v>
      </c>
      <c r="R906" t="s">
        <v>40438</v>
      </c>
      <c r="S906" t="s">
        <v>40582</v>
      </c>
      <c r="T906" t="s">
        <v>42111</v>
      </c>
      <c r="U906" t="s">
        <v>43433</v>
      </c>
      <c r="W906" t="s">
        <v>37404</v>
      </c>
      <c r="X906" t="s">
        <v>40439</v>
      </c>
    </row>
    <row r="907" spans="1:24">
      <c r="A907">
        <f>HYPERLINK("https://www.philgeps.gov.ph/GEPSNONPILOT/Tender/SplashBidNoticeAbstractUI.aspx?menuIndex=3&amp;refID=7047980&amp;Result=3","7047980")</f>
        <v>0</v>
      </c>
      <c r="B907" t="s">
        <v>437</v>
      </c>
      <c r="C907" t="s">
        <v>3976</v>
      </c>
      <c r="D907" t="s">
        <v>16209</v>
      </c>
      <c r="E907" t="s">
        <v>17155</v>
      </c>
      <c r="F907" t="s">
        <v>28198</v>
      </c>
      <c r="G907" t="s">
        <v>28209</v>
      </c>
      <c r="H907" t="s">
        <v>28215</v>
      </c>
      <c r="I907" t="s">
        <v>4168</v>
      </c>
      <c r="J907" t="s">
        <v>29028</v>
      </c>
      <c r="K907" t="s">
        <v>36701</v>
      </c>
      <c r="L907" t="s">
        <v>437</v>
      </c>
      <c r="M907" t="s">
        <v>37421</v>
      </c>
      <c r="N907" t="s">
        <v>40436</v>
      </c>
      <c r="O907" t="s">
        <v>40437</v>
      </c>
      <c r="P907">
        <v>0</v>
      </c>
      <c r="Q907">
        <v>0</v>
      </c>
      <c r="R907" t="s">
        <v>40438</v>
      </c>
      <c r="S907" t="s">
        <v>40582</v>
      </c>
      <c r="T907" t="s">
        <v>42136</v>
      </c>
      <c r="U907" t="s">
        <v>43434</v>
      </c>
      <c r="V907" t="s">
        <v>53897</v>
      </c>
      <c r="W907" t="s">
        <v>37421</v>
      </c>
      <c r="X907" t="s">
        <v>40439</v>
      </c>
    </row>
    <row r="908" spans="1:24">
      <c r="A908">
        <f>HYPERLINK("https://www.philgeps.gov.ph/GEPSNONPILOT/Tender/SplashBidNoticeAbstractUI.aspx?menuIndex=3&amp;refID=7047984&amp;Result=3","7047984")</f>
        <v>0</v>
      </c>
      <c r="B908" t="s">
        <v>474</v>
      </c>
      <c r="C908" t="s">
        <v>3977</v>
      </c>
      <c r="D908" t="s">
        <v>16210</v>
      </c>
      <c r="E908" t="s">
        <v>17156</v>
      </c>
      <c r="F908" t="s">
        <v>28198</v>
      </c>
      <c r="G908" t="s">
        <v>28206</v>
      </c>
      <c r="H908" t="s">
        <v>28215</v>
      </c>
      <c r="I908" t="s">
        <v>28288</v>
      </c>
      <c r="J908" t="s">
        <v>29029</v>
      </c>
      <c r="K908" t="s">
        <v>36688</v>
      </c>
      <c r="M908" t="s">
        <v>37459</v>
      </c>
      <c r="N908" t="s">
        <v>40436</v>
      </c>
      <c r="O908" t="s">
        <v>40437</v>
      </c>
      <c r="P908">
        <v>0</v>
      </c>
      <c r="Q908">
        <v>1</v>
      </c>
      <c r="R908" t="s">
        <v>40438</v>
      </c>
      <c r="S908" t="s">
        <v>40582</v>
      </c>
      <c r="T908" t="s">
        <v>42124</v>
      </c>
      <c r="U908" t="s">
        <v>43435</v>
      </c>
      <c r="W908" t="s">
        <v>37459</v>
      </c>
      <c r="X908" t="s">
        <v>40439</v>
      </c>
    </row>
    <row r="909" spans="1:24">
      <c r="A909">
        <f>HYPERLINK("https://www.philgeps.gov.ph/GEPSNONPILOT/Tender/SplashBidNoticeAbstractUI.aspx?menuIndex=3&amp;refID=7047978&amp;Result=3","7047978")</f>
        <v>0</v>
      </c>
      <c r="B909" t="s">
        <v>475</v>
      </c>
      <c r="C909" t="s">
        <v>3978</v>
      </c>
      <c r="D909" t="s">
        <v>16216</v>
      </c>
      <c r="E909" t="s">
        <v>17157</v>
      </c>
      <c r="F909" t="s">
        <v>28198</v>
      </c>
      <c r="G909" t="s">
        <v>28207</v>
      </c>
      <c r="H909" t="s">
        <v>28215</v>
      </c>
      <c r="I909" t="s">
        <v>28258</v>
      </c>
      <c r="J909" t="s">
        <v>28652</v>
      </c>
      <c r="K909" t="s">
        <v>36706</v>
      </c>
      <c r="M909" t="s">
        <v>37460</v>
      </c>
      <c r="N909" t="s">
        <v>40436</v>
      </c>
      <c r="O909" t="s">
        <v>40437</v>
      </c>
      <c r="P909">
        <v>0</v>
      </c>
      <c r="Q909">
        <v>5</v>
      </c>
      <c r="R909" t="s">
        <v>40438</v>
      </c>
      <c r="S909" t="s">
        <v>40582</v>
      </c>
      <c r="T909" t="s">
        <v>42103</v>
      </c>
      <c r="U909" t="s">
        <v>43436</v>
      </c>
      <c r="W909" t="s">
        <v>37460</v>
      </c>
      <c r="X909" t="s">
        <v>40439</v>
      </c>
    </row>
    <row r="910" spans="1:24">
      <c r="A910">
        <f>HYPERLINK("https://www.philgeps.gov.ph/GEPSNONPILOT/Tender/SplashBidNoticeAbstractUI.aspx?menuIndex=3&amp;refID=7047979&amp;Result=3","7047979")</f>
        <v>0</v>
      </c>
      <c r="B910" t="s">
        <v>432</v>
      </c>
      <c r="C910" t="s">
        <v>3979</v>
      </c>
      <c r="D910" t="s">
        <v>16262</v>
      </c>
      <c r="E910" t="s">
        <v>17158</v>
      </c>
      <c r="F910" t="s">
        <v>28198</v>
      </c>
      <c r="G910" t="s">
        <v>28205</v>
      </c>
      <c r="H910" t="s">
        <v>28215</v>
      </c>
      <c r="I910" t="s">
        <v>5100</v>
      </c>
      <c r="J910" t="s">
        <v>29030</v>
      </c>
      <c r="K910" t="s">
        <v>36707</v>
      </c>
      <c r="M910" t="s">
        <v>37415</v>
      </c>
      <c r="N910" t="s">
        <v>40436</v>
      </c>
      <c r="O910" t="s">
        <v>40437</v>
      </c>
      <c r="P910">
        <v>0</v>
      </c>
      <c r="Q910">
        <v>0</v>
      </c>
      <c r="R910" t="s">
        <v>40438</v>
      </c>
      <c r="S910" t="s">
        <v>40582</v>
      </c>
      <c r="T910" t="s">
        <v>42115</v>
      </c>
      <c r="U910" t="s">
        <v>43437</v>
      </c>
      <c r="W910" t="s">
        <v>37415</v>
      </c>
      <c r="X910" t="s">
        <v>40439</v>
      </c>
    </row>
    <row r="911" spans="1:24">
      <c r="A911">
        <f>HYPERLINK("https://www.philgeps.gov.ph/GEPSNONPILOT/Tender/SplashBidNoticeAbstractUI.aspx?menuIndex=3&amp;refID=7047994&amp;Result=3","7047994")</f>
        <v>0</v>
      </c>
      <c r="B911" t="s">
        <v>475</v>
      </c>
      <c r="C911" t="s">
        <v>3980</v>
      </c>
      <c r="D911" t="s">
        <v>16216</v>
      </c>
      <c r="E911" t="s">
        <v>17159</v>
      </c>
      <c r="F911" t="s">
        <v>28198</v>
      </c>
      <c r="G911" t="s">
        <v>28207</v>
      </c>
      <c r="H911" t="s">
        <v>28215</v>
      </c>
      <c r="I911" t="s">
        <v>28234</v>
      </c>
      <c r="J911" t="s">
        <v>29031</v>
      </c>
      <c r="K911" t="s">
        <v>36693</v>
      </c>
      <c r="M911" t="s">
        <v>37460</v>
      </c>
      <c r="N911" t="s">
        <v>40436</v>
      </c>
      <c r="O911" t="s">
        <v>40437</v>
      </c>
      <c r="P911">
        <v>0</v>
      </c>
      <c r="Q911">
        <v>2</v>
      </c>
      <c r="R911" t="s">
        <v>40438</v>
      </c>
      <c r="S911" t="s">
        <v>40582</v>
      </c>
      <c r="T911" t="s">
        <v>42103</v>
      </c>
      <c r="U911" t="s">
        <v>43436</v>
      </c>
      <c r="W911" t="s">
        <v>37460</v>
      </c>
      <c r="X911" t="s">
        <v>40439</v>
      </c>
    </row>
    <row r="912" spans="1:24">
      <c r="A912">
        <f>HYPERLINK("https://www.philgeps.gov.ph/GEPSNONPILOT/Tender/SplashBidNoticeAbstractUI.aspx?menuIndex=3&amp;refID=7047993&amp;Result=3","7047993")</f>
        <v>0</v>
      </c>
      <c r="B912" t="s">
        <v>476</v>
      </c>
      <c r="C912" t="s">
        <v>3981</v>
      </c>
      <c r="D912" t="s">
        <v>16195</v>
      </c>
      <c r="E912" t="s">
        <v>17160</v>
      </c>
      <c r="F912" t="s">
        <v>28198</v>
      </c>
      <c r="G912" t="s">
        <v>28205</v>
      </c>
      <c r="H912" t="s">
        <v>28215</v>
      </c>
      <c r="I912" t="s">
        <v>5100</v>
      </c>
      <c r="J912" t="s">
        <v>29032</v>
      </c>
      <c r="K912" t="s">
        <v>36707</v>
      </c>
      <c r="M912" t="s">
        <v>37461</v>
      </c>
      <c r="N912" t="s">
        <v>40436</v>
      </c>
      <c r="O912" t="s">
        <v>40437</v>
      </c>
      <c r="P912">
        <v>0</v>
      </c>
      <c r="Q912">
        <v>0</v>
      </c>
      <c r="R912" t="s">
        <v>40438</v>
      </c>
      <c r="S912" t="s">
        <v>40582</v>
      </c>
      <c r="T912" t="s">
        <v>42098</v>
      </c>
      <c r="U912" t="s">
        <v>43438</v>
      </c>
      <c r="V912" t="s">
        <v>53898</v>
      </c>
      <c r="W912" t="s">
        <v>37461</v>
      </c>
      <c r="X912" t="s">
        <v>40439</v>
      </c>
    </row>
    <row r="913" spans="1:24">
      <c r="A913">
        <f>HYPERLINK("https://www.philgeps.gov.ph/GEPSNONPILOT/Tender/SplashBidNoticeAbstractUI.aspx?menuIndex=3&amp;refID=7047991&amp;Result=3","7047991")</f>
        <v>0</v>
      </c>
      <c r="B913" t="s">
        <v>275</v>
      </c>
      <c r="C913" t="s">
        <v>3982</v>
      </c>
      <c r="D913" t="s">
        <v>16258</v>
      </c>
      <c r="E913" t="s">
        <v>17161</v>
      </c>
      <c r="F913" t="s">
        <v>28198</v>
      </c>
      <c r="G913" t="s">
        <v>28205</v>
      </c>
      <c r="H913" t="s">
        <v>28215</v>
      </c>
      <c r="I913" t="s">
        <v>28274</v>
      </c>
      <c r="J913" t="s">
        <v>29033</v>
      </c>
      <c r="K913" t="s">
        <v>36689</v>
      </c>
      <c r="M913" t="s">
        <v>37252</v>
      </c>
      <c r="N913" t="s">
        <v>40436</v>
      </c>
      <c r="O913" t="s">
        <v>40437</v>
      </c>
      <c r="P913">
        <v>0</v>
      </c>
      <c r="Q913">
        <v>0</v>
      </c>
      <c r="R913" t="s">
        <v>40438</v>
      </c>
      <c r="S913" t="s">
        <v>40582</v>
      </c>
      <c r="T913" t="s">
        <v>42112</v>
      </c>
      <c r="U913" t="s">
        <v>43439</v>
      </c>
      <c r="V913" t="s">
        <v>53880</v>
      </c>
      <c r="W913" t="s">
        <v>37252</v>
      </c>
      <c r="X913" t="s">
        <v>40439</v>
      </c>
    </row>
    <row r="914" spans="1:24">
      <c r="A914">
        <f>HYPERLINK("https://www.philgeps.gov.ph/GEPSNONPILOT/Tender/SplashBidNoticeAbstractUI.aspx?menuIndex=3&amp;refID=7047982&amp;Result=3","7047982")</f>
        <v>0</v>
      </c>
      <c r="B914" t="s">
        <v>425</v>
      </c>
      <c r="C914" t="s">
        <v>3983</v>
      </c>
      <c r="D914" t="s">
        <v>16197</v>
      </c>
      <c r="E914" t="s">
        <v>17162</v>
      </c>
      <c r="F914" t="s">
        <v>28198</v>
      </c>
      <c r="G914" t="s">
        <v>28205</v>
      </c>
      <c r="H914" t="s">
        <v>28215</v>
      </c>
      <c r="I914" t="s">
        <v>5100</v>
      </c>
      <c r="J914" t="s">
        <v>29034</v>
      </c>
      <c r="K914" t="s">
        <v>36689</v>
      </c>
      <c r="M914" t="s">
        <v>37407</v>
      </c>
      <c r="N914" t="s">
        <v>40436</v>
      </c>
      <c r="O914" t="s">
        <v>40437</v>
      </c>
      <c r="P914">
        <v>0</v>
      </c>
      <c r="Q914">
        <v>1</v>
      </c>
      <c r="R914" t="s">
        <v>40438</v>
      </c>
      <c r="S914" t="s">
        <v>40582</v>
      </c>
      <c r="T914" t="s">
        <v>42227</v>
      </c>
      <c r="U914" t="s">
        <v>43440</v>
      </c>
      <c r="V914" t="s">
        <v>53881</v>
      </c>
      <c r="W914" t="s">
        <v>37407</v>
      </c>
      <c r="X914" t="s">
        <v>40439</v>
      </c>
    </row>
    <row r="915" spans="1:24">
      <c r="A915">
        <f>HYPERLINK("https://www.philgeps.gov.ph/GEPSNONPILOT/Tender/SplashBidNoticeAbstractUI.aspx?menuIndex=3&amp;refID=7047992&amp;Result=3","7047992")</f>
        <v>0</v>
      </c>
      <c r="B915" t="s">
        <v>422</v>
      </c>
      <c r="C915" t="s">
        <v>3984</v>
      </c>
      <c r="D915" t="s">
        <v>16203</v>
      </c>
      <c r="E915" t="s">
        <v>17163</v>
      </c>
      <c r="F915" t="s">
        <v>28198</v>
      </c>
      <c r="G915" t="s">
        <v>28210</v>
      </c>
      <c r="H915" t="s">
        <v>28215</v>
      </c>
      <c r="I915" t="s">
        <v>4219</v>
      </c>
      <c r="J915" t="s">
        <v>29035</v>
      </c>
      <c r="K915" t="s">
        <v>36689</v>
      </c>
      <c r="M915" t="s">
        <v>37404</v>
      </c>
      <c r="N915" t="s">
        <v>40436</v>
      </c>
      <c r="O915" t="s">
        <v>40437</v>
      </c>
      <c r="P915">
        <v>0</v>
      </c>
      <c r="Q915">
        <v>7</v>
      </c>
      <c r="R915" t="s">
        <v>40438</v>
      </c>
      <c r="S915" t="s">
        <v>40582</v>
      </c>
      <c r="T915" t="s">
        <v>42111</v>
      </c>
      <c r="U915" t="s">
        <v>43338</v>
      </c>
      <c r="W915" t="s">
        <v>37404</v>
      </c>
      <c r="X915" t="s">
        <v>40439</v>
      </c>
    </row>
    <row r="916" spans="1:24">
      <c r="A916">
        <f>HYPERLINK("https://www.philgeps.gov.ph/GEPSNONPILOT/Tender/SplashBidNoticeAbstractUI.aspx?menuIndex=3&amp;refID=7047988&amp;Result=3","7047988")</f>
        <v>0</v>
      </c>
      <c r="B916" t="s">
        <v>153</v>
      </c>
      <c r="C916" t="s">
        <v>3985</v>
      </c>
      <c r="D916" t="s">
        <v>16199</v>
      </c>
      <c r="E916" t="s">
        <v>16744</v>
      </c>
      <c r="F916" t="s">
        <v>28198</v>
      </c>
      <c r="G916" t="s">
        <v>28205</v>
      </c>
      <c r="H916" t="s">
        <v>28215</v>
      </c>
      <c r="I916" t="s">
        <v>8888</v>
      </c>
      <c r="J916" t="s">
        <v>28597</v>
      </c>
      <c r="K916" t="s">
        <v>36701</v>
      </c>
      <c r="M916" t="s">
        <v>37127</v>
      </c>
      <c r="N916" t="s">
        <v>40436</v>
      </c>
      <c r="O916" t="s">
        <v>40437</v>
      </c>
      <c r="P916">
        <v>0</v>
      </c>
      <c r="Q916">
        <v>0</v>
      </c>
      <c r="R916" t="s">
        <v>40438</v>
      </c>
      <c r="S916" t="s">
        <v>40582</v>
      </c>
      <c r="T916" t="s">
        <v>42097</v>
      </c>
      <c r="U916" t="s">
        <v>43441</v>
      </c>
      <c r="W916" t="s">
        <v>37127</v>
      </c>
      <c r="X916" t="s">
        <v>40439</v>
      </c>
    </row>
    <row r="917" spans="1:24">
      <c r="A917">
        <f>HYPERLINK("https://www.philgeps.gov.ph/GEPSNONPILOT/Tender/SplashBidNoticeAbstractUI.aspx?menuIndex=3&amp;refID=7047989&amp;Result=3","7047989")</f>
        <v>0</v>
      </c>
      <c r="B917" t="s">
        <v>475</v>
      </c>
      <c r="C917" t="s">
        <v>3986</v>
      </c>
      <c r="D917" t="s">
        <v>16216</v>
      </c>
      <c r="E917" t="s">
        <v>17164</v>
      </c>
      <c r="F917" t="s">
        <v>28198</v>
      </c>
      <c r="G917" t="s">
        <v>28207</v>
      </c>
      <c r="H917" t="s">
        <v>28215</v>
      </c>
      <c r="I917" t="s">
        <v>28258</v>
      </c>
      <c r="J917" t="s">
        <v>29036</v>
      </c>
      <c r="K917" t="s">
        <v>36706</v>
      </c>
      <c r="M917" t="s">
        <v>37460</v>
      </c>
      <c r="N917" t="s">
        <v>40436</v>
      </c>
      <c r="O917" t="s">
        <v>40437</v>
      </c>
      <c r="P917">
        <v>0</v>
      </c>
      <c r="Q917">
        <v>3</v>
      </c>
      <c r="R917" t="s">
        <v>40438</v>
      </c>
      <c r="S917" t="s">
        <v>40582</v>
      </c>
      <c r="T917" t="s">
        <v>42103</v>
      </c>
      <c r="U917" t="s">
        <v>43436</v>
      </c>
      <c r="W917" t="s">
        <v>37460</v>
      </c>
      <c r="X917" t="s">
        <v>40439</v>
      </c>
    </row>
    <row r="918" spans="1:24">
      <c r="A918">
        <f>HYPERLINK("https://www.philgeps.gov.ph/GEPSNONPILOT/Tender/SplashBidNoticeAbstractUI.aspx?menuIndex=3&amp;refID=7047977&amp;Result=3","7047977")</f>
        <v>0</v>
      </c>
      <c r="B918" t="s">
        <v>477</v>
      </c>
      <c r="C918" t="s">
        <v>3987</v>
      </c>
      <c r="D918" t="s">
        <v>16264</v>
      </c>
      <c r="E918" t="s">
        <v>17165</v>
      </c>
      <c r="F918" t="s">
        <v>28198</v>
      </c>
      <c r="G918" t="s">
        <v>28205</v>
      </c>
      <c r="H918" t="s">
        <v>28215</v>
      </c>
      <c r="I918" t="s">
        <v>28246</v>
      </c>
      <c r="J918" t="s">
        <v>28561</v>
      </c>
      <c r="K918" t="s">
        <v>36688</v>
      </c>
      <c r="M918" t="s">
        <v>37462</v>
      </c>
      <c r="N918" t="s">
        <v>40436</v>
      </c>
      <c r="O918" t="s">
        <v>40437</v>
      </c>
      <c r="P918">
        <v>0</v>
      </c>
      <c r="Q918">
        <v>1</v>
      </c>
      <c r="R918" t="s">
        <v>40438</v>
      </c>
      <c r="S918" t="s">
        <v>40582</v>
      </c>
      <c r="T918" t="s">
        <v>42100</v>
      </c>
      <c r="U918" t="s">
        <v>43442</v>
      </c>
      <c r="W918" t="s">
        <v>37462</v>
      </c>
      <c r="X918" t="s">
        <v>40439</v>
      </c>
    </row>
    <row r="919" spans="1:24">
      <c r="A919">
        <f>HYPERLINK("https://www.philgeps.gov.ph/GEPSNONPILOT/Tender/SplashBidNoticeAbstractUI.aspx?menuIndex=3&amp;refID=7048000&amp;Result=3","7048000")</f>
        <v>0</v>
      </c>
      <c r="B919" t="s">
        <v>412</v>
      </c>
      <c r="C919" t="s">
        <v>3988</v>
      </c>
      <c r="D919" t="s">
        <v>16261</v>
      </c>
      <c r="E919" t="s">
        <v>17166</v>
      </c>
      <c r="F919" t="s">
        <v>28198</v>
      </c>
      <c r="G919" t="s">
        <v>28206</v>
      </c>
      <c r="H919" t="s">
        <v>28215</v>
      </c>
      <c r="I919" t="s">
        <v>28238</v>
      </c>
      <c r="J919" t="s">
        <v>29037</v>
      </c>
      <c r="K919" t="s">
        <v>36707</v>
      </c>
      <c r="M919" t="s">
        <v>37394</v>
      </c>
      <c r="N919" t="s">
        <v>40436</v>
      </c>
      <c r="O919" t="s">
        <v>40437</v>
      </c>
      <c r="P919">
        <v>0</v>
      </c>
      <c r="Q919">
        <v>0</v>
      </c>
      <c r="R919" t="s">
        <v>40438</v>
      </c>
      <c r="S919" t="s">
        <v>40582</v>
      </c>
      <c r="T919" t="s">
        <v>42142</v>
      </c>
      <c r="U919" t="s">
        <v>43443</v>
      </c>
      <c r="W919" t="s">
        <v>37394</v>
      </c>
      <c r="X919" t="s">
        <v>40439</v>
      </c>
    </row>
    <row r="920" spans="1:24">
      <c r="A920">
        <f>HYPERLINK("https://www.philgeps.gov.ph/GEPSNONPILOT/Tender/SplashBidNoticeAbstractUI.aspx?menuIndex=3&amp;refID=7048002&amp;Result=3","7048002")</f>
        <v>0</v>
      </c>
      <c r="B920" t="s">
        <v>478</v>
      </c>
      <c r="C920" t="s">
        <v>3989</v>
      </c>
      <c r="D920" t="s">
        <v>16223</v>
      </c>
      <c r="E920" t="s">
        <v>16507</v>
      </c>
      <c r="F920" t="s">
        <v>28198</v>
      </c>
      <c r="G920" t="s">
        <v>28207</v>
      </c>
      <c r="H920" t="s">
        <v>28215</v>
      </c>
      <c r="I920" t="s">
        <v>3422</v>
      </c>
      <c r="J920" t="s">
        <v>28430</v>
      </c>
      <c r="K920" t="s">
        <v>36707</v>
      </c>
      <c r="M920" t="s">
        <v>37463</v>
      </c>
      <c r="N920" t="s">
        <v>40436</v>
      </c>
      <c r="O920" t="s">
        <v>40437</v>
      </c>
      <c r="P920">
        <v>0</v>
      </c>
      <c r="Q920">
        <v>0</v>
      </c>
      <c r="R920" t="s">
        <v>40438</v>
      </c>
      <c r="S920" t="s">
        <v>40582</v>
      </c>
      <c r="T920" t="s">
        <v>42228</v>
      </c>
      <c r="U920" t="s">
        <v>43444</v>
      </c>
      <c r="W920" t="s">
        <v>37463</v>
      </c>
      <c r="X920" t="s">
        <v>40439</v>
      </c>
    </row>
    <row r="921" spans="1:24">
      <c r="A921">
        <f>HYPERLINK("https://www.philgeps.gov.ph/GEPSNONPILOT/Tender/SplashBidNoticeAbstractUI.aspx?menuIndex=3&amp;refID=7047995&amp;Result=3","7047995")</f>
        <v>0</v>
      </c>
      <c r="B921" t="s">
        <v>431</v>
      </c>
      <c r="C921" t="s">
        <v>3990</v>
      </c>
      <c r="D921" t="s">
        <v>16213</v>
      </c>
      <c r="E921" t="s">
        <v>17167</v>
      </c>
      <c r="F921" t="s">
        <v>28198</v>
      </c>
      <c r="G921" t="s">
        <v>28206</v>
      </c>
      <c r="H921" t="s">
        <v>28215</v>
      </c>
      <c r="I921" t="s">
        <v>4200</v>
      </c>
      <c r="J921" t="s">
        <v>29038</v>
      </c>
      <c r="K921" t="s">
        <v>36689</v>
      </c>
      <c r="L921" t="s">
        <v>431</v>
      </c>
      <c r="M921" t="s">
        <v>37414</v>
      </c>
      <c r="N921" t="s">
        <v>40436</v>
      </c>
      <c r="O921" t="s">
        <v>40437</v>
      </c>
      <c r="P921">
        <v>0</v>
      </c>
      <c r="Q921">
        <v>1</v>
      </c>
      <c r="R921" t="s">
        <v>40438</v>
      </c>
      <c r="S921" t="s">
        <v>40582</v>
      </c>
      <c r="T921" t="s">
        <v>42134</v>
      </c>
      <c r="U921" t="s">
        <v>43445</v>
      </c>
      <c r="W921" t="s">
        <v>37414</v>
      </c>
      <c r="X921" t="s">
        <v>40439</v>
      </c>
    </row>
    <row r="922" spans="1:24">
      <c r="A922">
        <f>HYPERLINK("https://www.philgeps.gov.ph/GEPSNONPILOT/Tender/SplashBidNoticeAbstractUI.aspx?menuIndex=3&amp;refID=7047998&amp;Result=3","7047998")</f>
        <v>0</v>
      </c>
      <c r="B922" t="s">
        <v>422</v>
      </c>
      <c r="C922" t="s">
        <v>3991</v>
      </c>
      <c r="D922" t="s">
        <v>16203</v>
      </c>
      <c r="E922" t="s">
        <v>17168</v>
      </c>
      <c r="F922" t="s">
        <v>28198</v>
      </c>
      <c r="G922" t="s">
        <v>28207</v>
      </c>
      <c r="H922" t="s">
        <v>28215</v>
      </c>
      <c r="I922" t="s">
        <v>28244</v>
      </c>
      <c r="J922" t="s">
        <v>29039</v>
      </c>
      <c r="K922" t="s">
        <v>36689</v>
      </c>
      <c r="M922" t="s">
        <v>37404</v>
      </c>
      <c r="N922" t="s">
        <v>40436</v>
      </c>
      <c r="O922" t="s">
        <v>40437</v>
      </c>
      <c r="P922">
        <v>0</v>
      </c>
      <c r="Q922">
        <v>0</v>
      </c>
      <c r="R922" t="s">
        <v>40438</v>
      </c>
      <c r="S922" t="s">
        <v>40582</v>
      </c>
      <c r="T922" t="s">
        <v>42111</v>
      </c>
      <c r="U922" t="s">
        <v>43338</v>
      </c>
      <c r="W922" t="s">
        <v>37404</v>
      </c>
      <c r="X922" t="s">
        <v>40439</v>
      </c>
    </row>
    <row r="923" spans="1:24">
      <c r="A923">
        <f>HYPERLINK("https://www.philgeps.gov.ph/GEPSNONPILOT/Tender/SplashBidNoticeAbstractUI.aspx?menuIndex=3&amp;refID=7048014&amp;Result=3","7048014")</f>
        <v>0</v>
      </c>
      <c r="B923" t="s">
        <v>479</v>
      </c>
      <c r="C923" t="s">
        <v>3992</v>
      </c>
      <c r="D923" t="s">
        <v>16235</v>
      </c>
      <c r="E923" t="s">
        <v>17169</v>
      </c>
      <c r="F923" t="s">
        <v>28198</v>
      </c>
      <c r="G923" t="s">
        <v>28206</v>
      </c>
      <c r="H923" t="s">
        <v>28215</v>
      </c>
      <c r="I923" t="s">
        <v>5791</v>
      </c>
      <c r="J923" t="s">
        <v>29040</v>
      </c>
      <c r="K923" t="s">
        <v>36701</v>
      </c>
      <c r="M923" t="s">
        <v>37464</v>
      </c>
      <c r="N923" t="s">
        <v>40436</v>
      </c>
      <c r="O923" t="s">
        <v>40437</v>
      </c>
      <c r="P923">
        <v>0</v>
      </c>
      <c r="Q923">
        <v>1</v>
      </c>
      <c r="R923" t="s">
        <v>40438</v>
      </c>
      <c r="S923" t="s">
        <v>40582</v>
      </c>
      <c r="T923" t="s">
        <v>42131</v>
      </c>
      <c r="U923" t="s">
        <v>43446</v>
      </c>
      <c r="W923" t="s">
        <v>37464</v>
      </c>
      <c r="X923" t="s">
        <v>40439</v>
      </c>
    </row>
    <row r="924" spans="1:24">
      <c r="A924">
        <f>HYPERLINK("https://www.philgeps.gov.ph/GEPSNONPILOT/Tender/SplashBidNoticeAbstractUI.aspx?menuIndex=3&amp;refID=7048012&amp;Result=3","7048012")</f>
        <v>0</v>
      </c>
      <c r="B924" t="s">
        <v>480</v>
      </c>
      <c r="C924" t="s">
        <v>3993</v>
      </c>
      <c r="D924" t="s">
        <v>16234</v>
      </c>
      <c r="E924" t="s">
        <v>17170</v>
      </c>
      <c r="F924" t="s">
        <v>28198</v>
      </c>
      <c r="G924" t="s">
        <v>28205</v>
      </c>
      <c r="H924" t="s">
        <v>28215</v>
      </c>
      <c r="I924" t="s">
        <v>28247</v>
      </c>
      <c r="J924" t="s">
        <v>29041</v>
      </c>
      <c r="K924" t="s">
        <v>36689</v>
      </c>
      <c r="M924" t="s">
        <v>37465</v>
      </c>
      <c r="N924" t="s">
        <v>40436</v>
      </c>
      <c r="O924" t="s">
        <v>40437</v>
      </c>
      <c r="P924">
        <v>0</v>
      </c>
      <c r="Q924">
        <v>16</v>
      </c>
      <c r="R924" t="s">
        <v>40438</v>
      </c>
      <c r="S924" t="s">
        <v>40582</v>
      </c>
      <c r="T924" t="s">
        <v>42110</v>
      </c>
      <c r="U924" t="s">
        <v>43447</v>
      </c>
      <c r="W924" t="s">
        <v>37465</v>
      </c>
      <c r="X924" t="s">
        <v>40439</v>
      </c>
    </row>
    <row r="925" spans="1:24">
      <c r="A925">
        <f>HYPERLINK("https://www.philgeps.gov.ph/GEPSNONPILOT/Tender/SplashBidNoticeAbstractUI.aspx?menuIndex=3&amp;refID=7048003&amp;Result=3","7048003")</f>
        <v>0</v>
      </c>
      <c r="B925" t="s">
        <v>481</v>
      </c>
      <c r="C925" t="s">
        <v>3994</v>
      </c>
      <c r="D925" t="s">
        <v>16193</v>
      </c>
      <c r="E925" t="s">
        <v>16570</v>
      </c>
      <c r="F925" t="s">
        <v>28198</v>
      </c>
      <c r="G925" t="s">
        <v>28205</v>
      </c>
      <c r="H925" t="s">
        <v>28215</v>
      </c>
      <c r="I925" t="s">
        <v>5100</v>
      </c>
      <c r="J925" t="s">
        <v>29042</v>
      </c>
      <c r="K925" t="s">
        <v>36706</v>
      </c>
      <c r="M925" t="s">
        <v>37466</v>
      </c>
      <c r="N925" t="s">
        <v>40436</v>
      </c>
      <c r="O925" t="s">
        <v>40437</v>
      </c>
      <c r="P925">
        <v>0</v>
      </c>
      <c r="Q925">
        <v>0</v>
      </c>
      <c r="R925" t="s">
        <v>40438</v>
      </c>
      <c r="S925" t="s">
        <v>40582</v>
      </c>
      <c r="T925" t="s">
        <v>42229</v>
      </c>
      <c r="U925" t="s">
        <v>43448</v>
      </c>
      <c r="W925" t="s">
        <v>37466</v>
      </c>
      <c r="X925" t="s">
        <v>40439</v>
      </c>
    </row>
    <row r="926" spans="1:24">
      <c r="A926">
        <f>HYPERLINK("https://www.philgeps.gov.ph/GEPSNONPILOT/Tender/SplashBidNoticeAbstractUI.aspx?menuIndex=3&amp;refID=7048009&amp;Result=3","7048009")</f>
        <v>0</v>
      </c>
      <c r="B926" t="s">
        <v>416</v>
      </c>
      <c r="C926" t="s">
        <v>3995</v>
      </c>
      <c r="D926" t="s">
        <v>16190</v>
      </c>
      <c r="E926" t="s">
        <v>17045</v>
      </c>
      <c r="F926" t="s">
        <v>28198</v>
      </c>
      <c r="G926" t="s">
        <v>28206</v>
      </c>
      <c r="H926" t="s">
        <v>28215</v>
      </c>
      <c r="I926" t="s">
        <v>5656</v>
      </c>
      <c r="J926" t="s">
        <v>29043</v>
      </c>
      <c r="K926" t="s">
        <v>36689</v>
      </c>
      <c r="M926" t="s">
        <v>37398</v>
      </c>
      <c r="N926" t="s">
        <v>40436</v>
      </c>
      <c r="O926" t="s">
        <v>40437</v>
      </c>
      <c r="P926">
        <v>0</v>
      </c>
      <c r="Q926">
        <v>0</v>
      </c>
      <c r="R926" t="s">
        <v>40438</v>
      </c>
      <c r="S926" t="s">
        <v>40582</v>
      </c>
      <c r="T926" t="s">
        <v>42131</v>
      </c>
      <c r="U926" t="s">
        <v>43449</v>
      </c>
      <c r="W926" t="s">
        <v>37398</v>
      </c>
      <c r="X926" t="s">
        <v>40439</v>
      </c>
    </row>
    <row r="927" spans="1:24">
      <c r="A927">
        <f>HYPERLINK("https://www.philgeps.gov.ph/GEPSNONPILOT/Tender/SplashBidNoticeAbstractUI.aspx?menuIndex=3&amp;refID=7048024&amp;Result=3","7048024")</f>
        <v>0</v>
      </c>
      <c r="B927" t="s">
        <v>422</v>
      </c>
      <c r="C927" t="s">
        <v>3996</v>
      </c>
      <c r="D927" t="s">
        <v>16203</v>
      </c>
      <c r="E927" t="s">
        <v>17171</v>
      </c>
      <c r="F927" t="s">
        <v>28198</v>
      </c>
      <c r="G927" t="s">
        <v>28207</v>
      </c>
      <c r="H927" t="s">
        <v>28215</v>
      </c>
      <c r="I927" t="s">
        <v>28251</v>
      </c>
      <c r="J927" t="s">
        <v>29044</v>
      </c>
      <c r="K927" t="s">
        <v>36689</v>
      </c>
      <c r="M927" t="s">
        <v>37404</v>
      </c>
      <c r="N927" t="s">
        <v>40436</v>
      </c>
      <c r="O927" t="s">
        <v>40437</v>
      </c>
      <c r="P927">
        <v>0</v>
      </c>
      <c r="Q927">
        <v>3</v>
      </c>
      <c r="R927" t="s">
        <v>40438</v>
      </c>
      <c r="S927" t="s">
        <v>40582</v>
      </c>
      <c r="T927" t="s">
        <v>42111</v>
      </c>
      <c r="U927" t="s">
        <v>43338</v>
      </c>
      <c r="W927" t="s">
        <v>37404</v>
      </c>
      <c r="X927" t="s">
        <v>40439</v>
      </c>
    </row>
    <row r="928" spans="1:24">
      <c r="A928">
        <f>HYPERLINK("https://www.philgeps.gov.ph/GEPSNONPILOT/Tender/SplashBidNoticeAbstractUI.aspx?menuIndex=3&amp;refID=7048008&amp;Result=3","7048008")</f>
        <v>0</v>
      </c>
      <c r="B928" t="s">
        <v>482</v>
      </c>
      <c r="C928" t="s">
        <v>3997</v>
      </c>
      <c r="D928" t="s">
        <v>16215</v>
      </c>
      <c r="E928" t="s">
        <v>17172</v>
      </c>
      <c r="F928" t="s">
        <v>28198</v>
      </c>
      <c r="G928" t="s">
        <v>28207</v>
      </c>
      <c r="H928" t="s">
        <v>28215</v>
      </c>
      <c r="I928" t="s">
        <v>3774</v>
      </c>
      <c r="J928" t="s">
        <v>29045</v>
      </c>
      <c r="K928" t="s">
        <v>36688</v>
      </c>
      <c r="M928" t="s">
        <v>37467</v>
      </c>
      <c r="N928" t="s">
        <v>40436</v>
      </c>
      <c r="O928" t="s">
        <v>40437</v>
      </c>
      <c r="P928">
        <v>0</v>
      </c>
      <c r="Q928">
        <v>0</v>
      </c>
      <c r="R928" t="s">
        <v>40438</v>
      </c>
      <c r="S928" t="s">
        <v>40582</v>
      </c>
      <c r="T928" t="s">
        <v>42097</v>
      </c>
      <c r="U928" t="s">
        <v>43450</v>
      </c>
      <c r="W928" t="s">
        <v>37467</v>
      </c>
      <c r="X928" t="s">
        <v>40439</v>
      </c>
    </row>
    <row r="929" spans="1:24">
      <c r="A929">
        <f>HYPERLINK("https://www.philgeps.gov.ph/GEPSNONPILOT/Tender/SplashBidNoticeAbstractUI.aspx?menuIndex=3&amp;refID=7048005&amp;Result=3","7048005")</f>
        <v>0</v>
      </c>
      <c r="B929" t="s">
        <v>483</v>
      </c>
      <c r="C929" t="s">
        <v>3998</v>
      </c>
      <c r="D929" t="s">
        <v>16210</v>
      </c>
      <c r="E929" t="s">
        <v>17173</v>
      </c>
      <c r="F929" t="s">
        <v>28198</v>
      </c>
      <c r="G929" t="s">
        <v>28207</v>
      </c>
      <c r="H929" t="s">
        <v>28215</v>
      </c>
      <c r="I929" t="s">
        <v>4321</v>
      </c>
      <c r="J929" t="s">
        <v>29046</v>
      </c>
      <c r="K929" t="s">
        <v>36689</v>
      </c>
      <c r="M929" t="s">
        <v>37468</v>
      </c>
      <c r="N929" t="s">
        <v>40436</v>
      </c>
      <c r="O929" t="s">
        <v>40437</v>
      </c>
      <c r="P929">
        <v>0</v>
      </c>
      <c r="Q929">
        <v>3</v>
      </c>
      <c r="R929" t="s">
        <v>40438</v>
      </c>
      <c r="S929" t="s">
        <v>40582</v>
      </c>
      <c r="T929" t="s">
        <v>42191</v>
      </c>
      <c r="U929" t="s">
        <v>43451</v>
      </c>
      <c r="V929" t="s">
        <v>53899</v>
      </c>
      <c r="W929" t="s">
        <v>37468</v>
      </c>
      <c r="X929" t="s">
        <v>40439</v>
      </c>
    </row>
    <row r="930" spans="1:24">
      <c r="A930">
        <f>HYPERLINK("https://www.philgeps.gov.ph/GEPSNONPILOT/Tender/SplashBidNoticeAbstractUI.aspx?menuIndex=3&amp;refID=7048022&amp;Result=3","7048022")</f>
        <v>0</v>
      </c>
      <c r="B930" t="s">
        <v>482</v>
      </c>
      <c r="C930" t="s">
        <v>3999</v>
      </c>
      <c r="D930" t="s">
        <v>16215</v>
      </c>
      <c r="E930" t="s">
        <v>17174</v>
      </c>
      <c r="F930" t="s">
        <v>28198</v>
      </c>
      <c r="G930" t="s">
        <v>28207</v>
      </c>
      <c r="H930" t="s">
        <v>28215</v>
      </c>
      <c r="I930" t="s">
        <v>4200</v>
      </c>
      <c r="J930" t="s">
        <v>29047</v>
      </c>
      <c r="K930" t="s">
        <v>36688</v>
      </c>
      <c r="M930" t="s">
        <v>37467</v>
      </c>
      <c r="N930" t="s">
        <v>40436</v>
      </c>
      <c r="O930" t="s">
        <v>40437</v>
      </c>
      <c r="P930">
        <v>0</v>
      </c>
      <c r="Q930">
        <v>0</v>
      </c>
      <c r="R930" t="s">
        <v>40438</v>
      </c>
      <c r="S930" t="s">
        <v>40582</v>
      </c>
      <c r="T930" t="s">
        <v>42097</v>
      </c>
      <c r="U930" t="s">
        <v>43450</v>
      </c>
      <c r="W930" t="s">
        <v>37467</v>
      </c>
      <c r="X930" t="s">
        <v>40439</v>
      </c>
    </row>
    <row r="931" spans="1:24">
      <c r="A931">
        <f>HYPERLINK("https://www.philgeps.gov.ph/GEPSNONPILOT/Tender/SplashBidNoticeAbstractUI.aspx?menuIndex=3&amp;refID=7048010&amp;Result=3","7048010")</f>
        <v>0</v>
      </c>
      <c r="B931" t="s">
        <v>431</v>
      </c>
      <c r="C931" t="s">
        <v>4000</v>
      </c>
      <c r="D931" t="s">
        <v>16213</v>
      </c>
      <c r="E931" t="s">
        <v>17175</v>
      </c>
      <c r="F931" t="s">
        <v>28198</v>
      </c>
      <c r="G931" t="s">
        <v>28206</v>
      </c>
      <c r="H931" t="s">
        <v>28215</v>
      </c>
      <c r="I931" t="s">
        <v>4219</v>
      </c>
      <c r="J931" t="s">
        <v>29048</v>
      </c>
      <c r="K931" t="s">
        <v>36689</v>
      </c>
      <c r="L931" t="s">
        <v>431</v>
      </c>
      <c r="M931" t="s">
        <v>37414</v>
      </c>
      <c r="N931" t="s">
        <v>40436</v>
      </c>
      <c r="O931" t="s">
        <v>40437</v>
      </c>
      <c r="P931">
        <v>0</v>
      </c>
      <c r="Q931">
        <v>1</v>
      </c>
      <c r="R931" t="s">
        <v>40438</v>
      </c>
      <c r="S931" t="s">
        <v>40582</v>
      </c>
      <c r="T931" t="s">
        <v>42134</v>
      </c>
      <c r="U931" t="s">
        <v>43445</v>
      </c>
      <c r="W931" t="s">
        <v>37414</v>
      </c>
      <c r="X931" t="s">
        <v>40439</v>
      </c>
    </row>
    <row r="932" spans="1:24">
      <c r="A932">
        <f>HYPERLINK("https://www.philgeps.gov.ph/GEPSNONPILOT/Tender/SplashBidNoticeAbstractUI.aspx?menuIndex=3&amp;refID=7048007&amp;Result=3","7048007")</f>
        <v>0</v>
      </c>
      <c r="B932" t="s">
        <v>484</v>
      </c>
      <c r="C932" t="s">
        <v>4001</v>
      </c>
      <c r="D932" t="s">
        <v>16199</v>
      </c>
      <c r="F932" t="s">
        <v>28198</v>
      </c>
      <c r="G932" t="s">
        <v>28207</v>
      </c>
      <c r="H932" t="s">
        <v>28215</v>
      </c>
      <c r="I932" t="s">
        <v>5100</v>
      </c>
      <c r="J932" t="s">
        <v>29049</v>
      </c>
      <c r="K932" t="s">
        <v>36691</v>
      </c>
      <c r="M932" t="s">
        <v>37469</v>
      </c>
      <c r="N932" t="s">
        <v>40436</v>
      </c>
      <c r="O932" t="s">
        <v>40437</v>
      </c>
      <c r="P932">
        <v>0</v>
      </c>
      <c r="Q932">
        <v>1</v>
      </c>
      <c r="R932" t="s">
        <v>40438</v>
      </c>
      <c r="S932" t="s">
        <v>40582</v>
      </c>
      <c r="T932" t="s">
        <v>42142</v>
      </c>
      <c r="U932" t="s">
        <v>43452</v>
      </c>
      <c r="W932" t="s">
        <v>37469</v>
      </c>
      <c r="X932" t="s">
        <v>40439</v>
      </c>
    </row>
    <row r="933" spans="1:24">
      <c r="A933">
        <f>HYPERLINK("https://www.philgeps.gov.ph/GEPSNONPILOT/Tender/SplashBidNoticeAbstractUI.aspx?menuIndex=3&amp;refID=7048020&amp;Result=3","7048020")</f>
        <v>0</v>
      </c>
      <c r="B933" t="s">
        <v>485</v>
      </c>
      <c r="C933" t="s">
        <v>3173</v>
      </c>
      <c r="D933" t="s">
        <v>16222</v>
      </c>
      <c r="E933" t="s">
        <v>17176</v>
      </c>
      <c r="F933" t="s">
        <v>28198</v>
      </c>
      <c r="G933" t="s">
        <v>28207</v>
      </c>
      <c r="H933" t="s">
        <v>28215</v>
      </c>
      <c r="I933" t="s">
        <v>4219</v>
      </c>
      <c r="J933" t="s">
        <v>29050</v>
      </c>
      <c r="K933" t="s">
        <v>36691</v>
      </c>
      <c r="M933" t="s">
        <v>37470</v>
      </c>
      <c r="N933" t="s">
        <v>40436</v>
      </c>
      <c r="O933" t="s">
        <v>40437</v>
      </c>
      <c r="P933">
        <v>0</v>
      </c>
      <c r="Q933">
        <v>1</v>
      </c>
      <c r="R933" t="s">
        <v>40438</v>
      </c>
      <c r="S933" t="s">
        <v>40582</v>
      </c>
      <c r="T933" t="s">
        <v>42103</v>
      </c>
      <c r="U933" t="s">
        <v>43453</v>
      </c>
      <c r="W933" t="s">
        <v>37470</v>
      </c>
      <c r="X933" t="s">
        <v>40439</v>
      </c>
    </row>
    <row r="934" spans="1:24">
      <c r="A934">
        <f>HYPERLINK("https://www.philgeps.gov.ph/GEPSNONPILOT/Tender/SplashBidNoticeAbstractUI.aspx?menuIndex=3&amp;refID=7048021&amp;Result=3","7048021")</f>
        <v>0</v>
      </c>
      <c r="B934" t="s">
        <v>486</v>
      </c>
      <c r="C934" t="s">
        <v>4002</v>
      </c>
      <c r="D934" t="s">
        <v>16191</v>
      </c>
      <c r="E934" t="s">
        <v>16307</v>
      </c>
      <c r="F934" t="s">
        <v>28198</v>
      </c>
      <c r="G934" t="s">
        <v>28207</v>
      </c>
      <c r="H934" t="s">
        <v>28215</v>
      </c>
      <c r="I934" t="s">
        <v>4321</v>
      </c>
      <c r="J934" t="s">
        <v>29051</v>
      </c>
      <c r="K934" t="s">
        <v>36691</v>
      </c>
      <c r="M934" t="s">
        <v>37471</v>
      </c>
      <c r="N934" t="s">
        <v>40436</v>
      </c>
      <c r="O934" t="s">
        <v>40437</v>
      </c>
      <c r="P934">
        <v>0</v>
      </c>
      <c r="Q934">
        <v>1</v>
      </c>
      <c r="R934" t="s">
        <v>40438</v>
      </c>
      <c r="S934" t="s">
        <v>40582</v>
      </c>
      <c r="T934" t="s">
        <v>42142</v>
      </c>
      <c r="U934" t="s">
        <v>43454</v>
      </c>
      <c r="W934" t="s">
        <v>37471</v>
      </c>
      <c r="X934" t="s">
        <v>40439</v>
      </c>
    </row>
    <row r="935" spans="1:24">
      <c r="A935">
        <f>HYPERLINK("https://www.philgeps.gov.ph/GEPSNONPILOT/Tender/SplashBidNoticeAbstractUI.aspx?menuIndex=3&amp;refID=7048018&amp;Result=3","7048018")</f>
        <v>0</v>
      </c>
      <c r="B935" t="s">
        <v>487</v>
      </c>
      <c r="C935" t="s">
        <v>4003</v>
      </c>
      <c r="D935" t="s">
        <v>16245</v>
      </c>
      <c r="E935" t="s">
        <v>17177</v>
      </c>
      <c r="F935" t="s">
        <v>28198</v>
      </c>
      <c r="G935" t="s">
        <v>28205</v>
      </c>
      <c r="H935" t="s">
        <v>28215</v>
      </c>
      <c r="I935" t="s">
        <v>4200</v>
      </c>
      <c r="J935" t="s">
        <v>29052</v>
      </c>
      <c r="K935" t="s">
        <v>36689</v>
      </c>
      <c r="M935" t="s">
        <v>37472</v>
      </c>
      <c r="N935" t="s">
        <v>40436</v>
      </c>
      <c r="O935" t="s">
        <v>40437</v>
      </c>
      <c r="Q935">
        <v>0</v>
      </c>
      <c r="R935" t="s">
        <v>40438</v>
      </c>
      <c r="S935" t="s">
        <v>40584</v>
      </c>
      <c r="T935" t="s">
        <v>42230</v>
      </c>
      <c r="U935" t="s">
        <v>43455</v>
      </c>
      <c r="W935" t="s">
        <v>37472</v>
      </c>
      <c r="X935" t="s">
        <v>40439</v>
      </c>
    </row>
    <row r="936" spans="1:24">
      <c r="A936">
        <f>HYPERLINK("https://www.philgeps.gov.ph/GEPSNONPILOT/Tender/SplashBidNoticeAbstractUI.aspx?menuIndex=3&amp;refID=7048016&amp;Result=3","7048016")</f>
        <v>0</v>
      </c>
      <c r="B936" t="s">
        <v>483</v>
      </c>
      <c r="C936" t="s">
        <v>4004</v>
      </c>
      <c r="D936" t="s">
        <v>16210</v>
      </c>
      <c r="E936" t="s">
        <v>17178</v>
      </c>
      <c r="F936" t="s">
        <v>28198</v>
      </c>
      <c r="G936" t="s">
        <v>28207</v>
      </c>
      <c r="H936" t="s">
        <v>28215</v>
      </c>
      <c r="I936" t="s">
        <v>8870</v>
      </c>
      <c r="J936" t="s">
        <v>29053</v>
      </c>
      <c r="K936" t="s">
        <v>36689</v>
      </c>
      <c r="M936" t="s">
        <v>37468</v>
      </c>
      <c r="N936" t="s">
        <v>40436</v>
      </c>
      <c r="O936" t="s">
        <v>40437</v>
      </c>
      <c r="P936">
        <v>0</v>
      </c>
      <c r="Q936">
        <v>2</v>
      </c>
      <c r="R936" t="s">
        <v>40438</v>
      </c>
      <c r="S936" t="s">
        <v>40582</v>
      </c>
      <c r="T936" t="s">
        <v>42191</v>
      </c>
      <c r="U936" t="s">
        <v>43456</v>
      </c>
      <c r="V936" t="s">
        <v>53899</v>
      </c>
      <c r="W936" t="s">
        <v>37468</v>
      </c>
      <c r="X936" t="s">
        <v>40439</v>
      </c>
    </row>
    <row r="937" spans="1:24">
      <c r="A937">
        <f>HYPERLINK("https://www.philgeps.gov.ph/GEPSNONPILOT/Tender/SplashBidNoticeAbstractUI.aspx?menuIndex=3&amp;refID=7048017&amp;Result=3","7048017")</f>
        <v>0</v>
      </c>
      <c r="B937" t="s">
        <v>65</v>
      </c>
      <c r="C937" t="s">
        <v>4005</v>
      </c>
      <c r="D937" t="s">
        <v>16210</v>
      </c>
      <c r="E937" t="s">
        <v>17179</v>
      </c>
      <c r="F937" t="s">
        <v>28198</v>
      </c>
      <c r="G937" t="s">
        <v>28205</v>
      </c>
      <c r="H937" t="s">
        <v>28215</v>
      </c>
      <c r="I937" t="s">
        <v>28234</v>
      </c>
      <c r="J937" t="s">
        <v>29054</v>
      </c>
      <c r="K937" t="s">
        <v>36689</v>
      </c>
      <c r="M937" t="s">
        <v>37447</v>
      </c>
      <c r="N937" t="s">
        <v>40436</v>
      </c>
      <c r="O937" t="s">
        <v>40437</v>
      </c>
      <c r="P937">
        <v>0</v>
      </c>
      <c r="Q937">
        <v>16</v>
      </c>
      <c r="R937" t="s">
        <v>40438</v>
      </c>
      <c r="S937" t="s">
        <v>40582</v>
      </c>
      <c r="T937" t="s">
        <v>42231</v>
      </c>
      <c r="U937" t="s">
        <v>43457</v>
      </c>
      <c r="W937" t="s">
        <v>37447</v>
      </c>
      <c r="X937" t="s">
        <v>40439</v>
      </c>
    </row>
    <row r="938" spans="1:24">
      <c r="A938">
        <f>HYPERLINK("https://www.philgeps.gov.ph/GEPSNONPILOT/Tender/SplashBidNoticeAbstractUI.aspx?menuIndex=3&amp;refID=7048025&amp;Result=3","7048025")</f>
        <v>0</v>
      </c>
      <c r="B938" t="s">
        <v>116</v>
      </c>
      <c r="C938" t="s">
        <v>4006</v>
      </c>
      <c r="D938" t="s">
        <v>16207</v>
      </c>
      <c r="E938" t="s">
        <v>17180</v>
      </c>
      <c r="F938" t="s">
        <v>28198</v>
      </c>
      <c r="G938" t="s">
        <v>28207</v>
      </c>
      <c r="H938" t="s">
        <v>28217</v>
      </c>
      <c r="I938" t="s">
        <v>5631</v>
      </c>
      <c r="J938" t="s">
        <v>29055</v>
      </c>
      <c r="K938" t="s">
        <v>36706</v>
      </c>
      <c r="M938" t="s">
        <v>37090</v>
      </c>
      <c r="N938" t="s">
        <v>40436</v>
      </c>
      <c r="O938" t="s">
        <v>40437</v>
      </c>
      <c r="P938">
        <v>0</v>
      </c>
      <c r="Q938">
        <v>0</v>
      </c>
      <c r="R938" t="s">
        <v>40438</v>
      </c>
      <c r="S938" t="s">
        <v>40582</v>
      </c>
      <c r="T938" t="s">
        <v>42103</v>
      </c>
      <c r="U938" t="s">
        <v>43458</v>
      </c>
      <c r="W938" t="s">
        <v>37090</v>
      </c>
      <c r="X938" t="s">
        <v>40439</v>
      </c>
    </row>
    <row r="939" spans="1:24">
      <c r="A939">
        <f>HYPERLINK("https://www.philgeps.gov.ph/GEPSNONPILOT/Tender/SplashBidNoticeAbstractUI.aspx?menuIndex=3&amp;refID=7048019&amp;Result=3","7048019")</f>
        <v>0</v>
      </c>
      <c r="B939" t="s">
        <v>386</v>
      </c>
      <c r="C939" t="s">
        <v>4007</v>
      </c>
      <c r="D939" t="s">
        <v>16259</v>
      </c>
      <c r="E939" t="s">
        <v>17181</v>
      </c>
      <c r="F939" t="s">
        <v>28198</v>
      </c>
      <c r="G939" t="s">
        <v>28207</v>
      </c>
      <c r="H939" t="s">
        <v>28215</v>
      </c>
      <c r="I939" t="s">
        <v>28257</v>
      </c>
      <c r="J939" t="s">
        <v>28345</v>
      </c>
      <c r="K939" t="s">
        <v>36688</v>
      </c>
      <c r="M939" t="s">
        <v>37366</v>
      </c>
      <c r="N939" t="s">
        <v>40436</v>
      </c>
      <c r="O939" t="s">
        <v>40437</v>
      </c>
      <c r="P939">
        <v>0</v>
      </c>
      <c r="Q939">
        <v>2</v>
      </c>
      <c r="R939" t="s">
        <v>40438</v>
      </c>
      <c r="S939" t="s">
        <v>40582</v>
      </c>
      <c r="T939" t="s">
        <v>42112</v>
      </c>
      <c r="U939" t="s">
        <v>43270</v>
      </c>
      <c r="V939" t="s">
        <v>53872</v>
      </c>
      <c r="W939" t="s">
        <v>37366</v>
      </c>
      <c r="X939" t="s">
        <v>40439</v>
      </c>
    </row>
    <row r="940" spans="1:24">
      <c r="A940">
        <f>HYPERLINK("https://www.philgeps.gov.ph/GEPSNONPILOT/Tender/SplashBidNoticeAbstractUI.aspx?menuIndex=3&amp;refID=7048026&amp;Result=3","7048026")</f>
        <v>0</v>
      </c>
      <c r="B940" t="s">
        <v>488</v>
      </c>
      <c r="C940" t="s">
        <v>4008</v>
      </c>
      <c r="D940" t="s">
        <v>16193</v>
      </c>
      <c r="E940" t="s">
        <v>17182</v>
      </c>
      <c r="F940" t="s">
        <v>28198</v>
      </c>
      <c r="G940" t="s">
        <v>28207</v>
      </c>
      <c r="H940" t="s">
        <v>28215</v>
      </c>
      <c r="I940" t="s">
        <v>5631</v>
      </c>
      <c r="J940" t="s">
        <v>29056</v>
      </c>
      <c r="K940" t="s">
        <v>36689</v>
      </c>
      <c r="M940" t="s">
        <v>37473</v>
      </c>
      <c r="N940" t="s">
        <v>40436</v>
      </c>
      <c r="O940" t="s">
        <v>40437</v>
      </c>
      <c r="P940">
        <v>0</v>
      </c>
      <c r="Q940">
        <v>0</v>
      </c>
      <c r="R940" t="s">
        <v>40438</v>
      </c>
      <c r="S940" t="s">
        <v>40582</v>
      </c>
      <c r="T940" t="s">
        <v>42119</v>
      </c>
      <c r="U940" t="s">
        <v>43459</v>
      </c>
      <c r="W940" t="s">
        <v>37473</v>
      </c>
      <c r="X940" t="s">
        <v>40439</v>
      </c>
    </row>
    <row r="941" spans="1:24">
      <c r="A941">
        <f>HYPERLINK("https://www.philgeps.gov.ph/GEPSNONPILOT/Tender/SplashBidNoticeAbstractUI.aspx?menuIndex=3&amp;refID=7048015&amp;Result=3","7048015")</f>
        <v>0</v>
      </c>
      <c r="B941" t="s">
        <v>400</v>
      </c>
      <c r="C941" t="s">
        <v>4009</v>
      </c>
      <c r="D941" t="s">
        <v>16210</v>
      </c>
      <c r="E941" t="s">
        <v>17183</v>
      </c>
      <c r="F941" t="s">
        <v>28198</v>
      </c>
      <c r="G941" t="s">
        <v>28207</v>
      </c>
      <c r="H941" t="s">
        <v>28215</v>
      </c>
      <c r="I941" t="s">
        <v>28230</v>
      </c>
      <c r="J941" t="s">
        <v>28360</v>
      </c>
      <c r="K941" t="s">
        <v>36689</v>
      </c>
      <c r="M941" t="s">
        <v>37380</v>
      </c>
      <c r="N941" t="s">
        <v>40436</v>
      </c>
      <c r="O941" t="s">
        <v>40437</v>
      </c>
      <c r="P941">
        <v>0</v>
      </c>
      <c r="Q941">
        <v>3</v>
      </c>
      <c r="R941" t="s">
        <v>40438</v>
      </c>
      <c r="S941" t="s">
        <v>40582</v>
      </c>
      <c r="T941" t="s">
        <v>42160</v>
      </c>
      <c r="U941" t="s">
        <v>43296</v>
      </c>
      <c r="W941" t="s">
        <v>37380</v>
      </c>
      <c r="X941" t="s">
        <v>40439</v>
      </c>
    </row>
    <row r="942" spans="1:24">
      <c r="A942">
        <f>HYPERLINK("https://www.philgeps.gov.ph/GEPSNONPILOT/Tender/SplashBidNoticeAbstractUI.aspx?menuIndex=3&amp;refID=7048028&amp;Result=3","7048028")</f>
        <v>0</v>
      </c>
      <c r="B942" t="s">
        <v>277</v>
      </c>
      <c r="C942" t="s">
        <v>4010</v>
      </c>
      <c r="D942" t="s">
        <v>16189</v>
      </c>
      <c r="E942" t="s">
        <v>17184</v>
      </c>
      <c r="F942" t="s">
        <v>28198</v>
      </c>
      <c r="G942" t="s">
        <v>28206</v>
      </c>
      <c r="H942" t="s">
        <v>28215</v>
      </c>
      <c r="I942" t="s">
        <v>5100</v>
      </c>
      <c r="J942" t="s">
        <v>28896</v>
      </c>
      <c r="K942" t="s">
        <v>36693</v>
      </c>
      <c r="M942" t="s">
        <v>37254</v>
      </c>
      <c r="N942" t="s">
        <v>40436</v>
      </c>
      <c r="O942" t="s">
        <v>40437</v>
      </c>
      <c r="P942">
        <v>0</v>
      </c>
      <c r="Q942">
        <v>0</v>
      </c>
      <c r="R942" t="s">
        <v>40438</v>
      </c>
      <c r="S942" t="s">
        <v>40582</v>
      </c>
      <c r="T942" t="s">
        <v>42133</v>
      </c>
      <c r="U942" t="s">
        <v>43460</v>
      </c>
      <c r="W942" t="s">
        <v>37254</v>
      </c>
      <c r="X942" t="s">
        <v>40439</v>
      </c>
    </row>
    <row r="943" spans="1:24">
      <c r="A943">
        <f>HYPERLINK("https://www.philgeps.gov.ph/GEPSNONPILOT/Tender/SplashBidNoticeAbstractUI.aspx?menuIndex=3&amp;refID=7048029&amp;Result=3","7048029")</f>
        <v>0</v>
      </c>
      <c r="B943" t="s">
        <v>197</v>
      </c>
      <c r="C943" t="s">
        <v>4011</v>
      </c>
      <c r="D943" t="s">
        <v>16196</v>
      </c>
      <c r="E943" t="s">
        <v>17185</v>
      </c>
      <c r="F943" t="s">
        <v>28198</v>
      </c>
      <c r="G943" t="s">
        <v>28207</v>
      </c>
      <c r="H943" t="s">
        <v>28215</v>
      </c>
      <c r="I943" t="s">
        <v>5100</v>
      </c>
      <c r="J943" t="s">
        <v>29057</v>
      </c>
      <c r="K943" t="s">
        <v>36688</v>
      </c>
      <c r="M943" t="s">
        <v>37172</v>
      </c>
      <c r="N943" t="s">
        <v>40436</v>
      </c>
      <c r="O943" t="s">
        <v>40437</v>
      </c>
      <c r="P943">
        <v>0</v>
      </c>
      <c r="Q943">
        <v>0</v>
      </c>
      <c r="R943" t="s">
        <v>40438</v>
      </c>
      <c r="S943" t="s">
        <v>40582</v>
      </c>
      <c r="T943" t="s">
        <v>42200</v>
      </c>
      <c r="U943" t="s">
        <v>43461</v>
      </c>
      <c r="V943" t="s">
        <v>53900</v>
      </c>
      <c r="W943" t="s">
        <v>37172</v>
      </c>
      <c r="X943" t="s">
        <v>40439</v>
      </c>
    </row>
    <row r="944" spans="1:24">
      <c r="A944">
        <f>HYPERLINK("https://www.philgeps.gov.ph/GEPSNONPILOT/Tender/SplashBidNoticeAbstractUI.aspx?menuIndex=3&amp;refID=7048044&amp;Result=3","7048044")</f>
        <v>0</v>
      </c>
      <c r="B944" t="s">
        <v>489</v>
      </c>
      <c r="C944" t="s">
        <v>4012</v>
      </c>
      <c r="E944" t="s">
        <v>17186</v>
      </c>
      <c r="F944" t="s">
        <v>28198</v>
      </c>
      <c r="G944" t="s">
        <v>28206</v>
      </c>
      <c r="H944" t="s">
        <v>28215</v>
      </c>
      <c r="I944" t="s">
        <v>4168</v>
      </c>
      <c r="J944" t="s">
        <v>29058</v>
      </c>
      <c r="K944" t="s">
        <v>36689</v>
      </c>
      <c r="M944" t="s">
        <v>37474</v>
      </c>
      <c r="N944" t="s">
        <v>40436</v>
      </c>
      <c r="O944" t="s">
        <v>40437</v>
      </c>
      <c r="P944">
        <v>0</v>
      </c>
      <c r="Q944">
        <v>1</v>
      </c>
      <c r="R944" t="s">
        <v>40438</v>
      </c>
      <c r="S944" t="s">
        <v>40582</v>
      </c>
      <c r="T944" t="s">
        <v>42131</v>
      </c>
      <c r="U944" t="s">
        <v>43462</v>
      </c>
      <c r="W944" t="s">
        <v>37474</v>
      </c>
      <c r="X944" t="s">
        <v>40439</v>
      </c>
    </row>
    <row r="945" spans="1:24">
      <c r="A945">
        <f>HYPERLINK("https://www.philgeps.gov.ph/GEPSNONPILOT/Tender/SplashBidNoticeAbstractUI.aspx?menuIndex=3&amp;refID=7048039&amp;Result=3","7048039")</f>
        <v>0</v>
      </c>
      <c r="B945" t="s">
        <v>404</v>
      </c>
      <c r="C945" t="s">
        <v>4013</v>
      </c>
      <c r="E945" t="s">
        <v>17187</v>
      </c>
      <c r="F945" t="s">
        <v>28198</v>
      </c>
      <c r="G945" t="s">
        <v>28207</v>
      </c>
      <c r="H945" t="s">
        <v>28215</v>
      </c>
      <c r="I945" t="s">
        <v>28284</v>
      </c>
      <c r="J945" t="s">
        <v>29059</v>
      </c>
      <c r="K945" t="s">
        <v>36689</v>
      </c>
      <c r="M945" t="s">
        <v>37385</v>
      </c>
      <c r="N945" t="s">
        <v>40436</v>
      </c>
      <c r="O945" t="s">
        <v>40437</v>
      </c>
      <c r="P945">
        <v>0</v>
      </c>
      <c r="Q945">
        <v>5</v>
      </c>
      <c r="R945" t="s">
        <v>40438</v>
      </c>
      <c r="S945" t="s">
        <v>40582</v>
      </c>
      <c r="T945" t="s">
        <v>42193</v>
      </c>
      <c r="U945" t="s">
        <v>43463</v>
      </c>
      <c r="V945" t="s">
        <v>53878</v>
      </c>
      <c r="W945" t="s">
        <v>37385</v>
      </c>
      <c r="X945" t="s">
        <v>40439</v>
      </c>
    </row>
    <row r="946" spans="1:24">
      <c r="A946">
        <f>HYPERLINK("https://www.philgeps.gov.ph/GEPSNONPILOT/Tender/SplashBidNoticeAbstractUI.aspx?menuIndex=3&amp;refID=7048027&amp;Result=3","7048027")</f>
        <v>0</v>
      </c>
      <c r="B946" t="s">
        <v>412</v>
      </c>
      <c r="C946" t="s">
        <v>4014</v>
      </c>
      <c r="D946" t="s">
        <v>16261</v>
      </c>
      <c r="E946" t="s">
        <v>17188</v>
      </c>
      <c r="F946" t="s">
        <v>28198</v>
      </c>
      <c r="G946" t="s">
        <v>28206</v>
      </c>
      <c r="H946" t="s">
        <v>28215</v>
      </c>
      <c r="I946" t="s">
        <v>28234</v>
      </c>
      <c r="J946" t="s">
        <v>28386</v>
      </c>
      <c r="K946" t="s">
        <v>36707</v>
      </c>
      <c r="M946" t="s">
        <v>37394</v>
      </c>
      <c r="N946" t="s">
        <v>40436</v>
      </c>
      <c r="O946" t="s">
        <v>40437</v>
      </c>
      <c r="P946">
        <v>0</v>
      </c>
      <c r="Q946">
        <v>0</v>
      </c>
      <c r="R946" t="s">
        <v>40438</v>
      </c>
      <c r="S946" t="s">
        <v>40582</v>
      </c>
      <c r="T946" t="s">
        <v>42142</v>
      </c>
      <c r="U946" t="s">
        <v>43464</v>
      </c>
      <c r="W946" t="s">
        <v>37394</v>
      </c>
      <c r="X946" t="s">
        <v>40439</v>
      </c>
    </row>
    <row r="947" spans="1:24">
      <c r="A947">
        <f>HYPERLINK("https://www.philgeps.gov.ph/GEPSNONPILOT/Tender/SplashBidNoticeAbstractUI.aspx?menuIndex=3&amp;refID=7048045&amp;Result=3","7048045")</f>
        <v>0</v>
      </c>
      <c r="B947" t="s">
        <v>490</v>
      </c>
      <c r="C947" t="s">
        <v>4015</v>
      </c>
      <c r="D947" t="s">
        <v>16200</v>
      </c>
      <c r="E947" t="s">
        <v>17189</v>
      </c>
      <c r="F947" t="s">
        <v>28198</v>
      </c>
      <c r="G947" t="s">
        <v>28206</v>
      </c>
      <c r="H947" t="s">
        <v>28215</v>
      </c>
      <c r="I947" t="s">
        <v>5791</v>
      </c>
      <c r="J947" t="s">
        <v>28594</v>
      </c>
      <c r="K947" t="s">
        <v>36689</v>
      </c>
      <c r="M947" t="s">
        <v>37475</v>
      </c>
      <c r="N947" t="s">
        <v>40436</v>
      </c>
      <c r="O947" t="s">
        <v>40437</v>
      </c>
      <c r="P947">
        <v>0</v>
      </c>
      <c r="Q947">
        <v>0</v>
      </c>
      <c r="R947" t="s">
        <v>40438</v>
      </c>
      <c r="S947" t="s">
        <v>40582</v>
      </c>
      <c r="T947" t="s">
        <v>42142</v>
      </c>
      <c r="U947" t="s">
        <v>43465</v>
      </c>
      <c r="V947" t="s">
        <v>53901</v>
      </c>
      <c r="W947" t="s">
        <v>37475</v>
      </c>
      <c r="X947" t="s">
        <v>40439</v>
      </c>
    </row>
    <row r="948" spans="1:24">
      <c r="A948">
        <f>HYPERLINK("https://www.philgeps.gov.ph/GEPSNONPILOT/Tender/SplashBidNoticeAbstractUI.aspx?menuIndex=3&amp;refID=7048040&amp;Result=3","7048040")</f>
        <v>0</v>
      </c>
      <c r="B948" t="s">
        <v>491</v>
      </c>
      <c r="C948" t="s">
        <v>4016</v>
      </c>
      <c r="E948" t="s">
        <v>17190</v>
      </c>
      <c r="F948" t="s">
        <v>28198</v>
      </c>
      <c r="G948" t="s">
        <v>28207</v>
      </c>
      <c r="H948" t="s">
        <v>28215</v>
      </c>
      <c r="I948" t="s">
        <v>4219</v>
      </c>
      <c r="J948" t="s">
        <v>29060</v>
      </c>
      <c r="K948" t="s">
        <v>36689</v>
      </c>
      <c r="M948" t="s">
        <v>37476</v>
      </c>
      <c r="N948" t="s">
        <v>40436</v>
      </c>
      <c r="O948" t="s">
        <v>40437</v>
      </c>
      <c r="P948">
        <v>0</v>
      </c>
      <c r="Q948">
        <v>0</v>
      </c>
      <c r="R948" t="s">
        <v>40438</v>
      </c>
      <c r="S948" t="s">
        <v>40582</v>
      </c>
      <c r="T948" t="s">
        <v>42133</v>
      </c>
      <c r="U948" t="s">
        <v>43466</v>
      </c>
      <c r="W948" t="s">
        <v>37476</v>
      </c>
      <c r="X948" t="s">
        <v>40439</v>
      </c>
    </row>
    <row r="949" spans="1:24">
      <c r="A949">
        <f>HYPERLINK("https://www.philgeps.gov.ph/GEPSNONPILOT/Tender/SplashBidNoticeAbstractUI.aspx?menuIndex=3&amp;refID=7048031&amp;Result=3","7048031")</f>
        <v>0</v>
      </c>
      <c r="B949" t="s">
        <v>492</v>
      </c>
      <c r="C949" t="s">
        <v>4017</v>
      </c>
      <c r="D949" t="s">
        <v>16254</v>
      </c>
      <c r="E949" t="s">
        <v>16570</v>
      </c>
      <c r="F949" t="s">
        <v>28200</v>
      </c>
      <c r="G949" t="s">
        <v>28205</v>
      </c>
      <c r="H949" t="s">
        <v>28215</v>
      </c>
      <c r="I949" t="s">
        <v>5100</v>
      </c>
      <c r="J949" t="s">
        <v>29061</v>
      </c>
      <c r="K949" t="s">
        <v>36692</v>
      </c>
      <c r="M949" t="s">
        <v>37477</v>
      </c>
      <c r="N949" t="s">
        <v>40436</v>
      </c>
      <c r="O949" t="s">
        <v>40437</v>
      </c>
      <c r="P949">
        <v>0</v>
      </c>
      <c r="Q949">
        <v>0</v>
      </c>
      <c r="R949" t="s">
        <v>40438</v>
      </c>
      <c r="S949" t="s">
        <v>40582</v>
      </c>
      <c r="T949" t="s">
        <v>42232</v>
      </c>
      <c r="U949" t="s">
        <v>43467</v>
      </c>
      <c r="W949" t="s">
        <v>37477</v>
      </c>
      <c r="X949" t="s">
        <v>40439</v>
      </c>
    </row>
    <row r="950" spans="1:24">
      <c r="A950">
        <f>HYPERLINK("https://www.philgeps.gov.ph/GEPSNONPILOT/Tender/SplashBidNoticeAbstractUI.aspx?menuIndex=3&amp;refID=7048041&amp;Result=3","7048041")</f>
        <v>0</v>
      </c>
      <c r="B950" t="s">
        <v>413</v>
      </c>
      <c r="C950" t="s">
        <v>4018</v>
      </c>
      <c r="D950" t="s">
        <v>16250</v>
      </c>
      <c r="E950" t="s">
        <v>17191</v>
      </c>
      <c r="F950" t="s">
        <v>28198</v>
      </c>
      <c r="G950" t="s">
        <v>28206</v>
      </c>
      <c r="H950" t="s">
        <v>28215</v>
      </c>
      <c r="I950" t="s">
        <v>28289</v>
      </c>
      <c r="J950" t="s">
        <v>29062</v>
      </c>
      <c r="K950" t="s">
        <v>36706</v>
      </c>
      <c r="M950" t="s">
        <v>37395</v>
      </c>
      <c r="N950" t="s">
        <v>40436</v>
      </c>
      <c r="O950" t="s">
        <v>40437</v>
      </c>
      <c r="P950">
        <v>0</v>
      </c>
      <c r="Q950">
        <v>0</v>
      </c>
      <c r="R950" t="s">
        <v>40438</v>
      </c>
      <c r="S950" t="s">
        <v>40582</v>
      </c>
      <c r="T950" t="s">
        <v>42233</v>
      </c>
      <c r="U950" t="s">
        <v>43468</v>
      </c>
      <c r="V950" t="s">
        <v>53902</v>
      </c>
      <c r="W950" t="s">
        <v>37395</v>
      </c>
      <c r="X950" t="s">
        <v>40439</v>
      </c>
    </row>
    <row r="951" spans="1:24">
      <c r="A951">
        <f>HYPERLINK("https://www.philgeps.gov.ph/GEPSNONPILOT/Tender/SplashBidNoticeAbstractUI.aspx?menuIndex=3&amp;refID=7048034&amp;Result=3","7048034")</f>
        <v>0</v>
      </c>
      <c r="B951" t="s">
        <v>493</v>
      </c>
      <c r="C951" t="s">
        <v>4019</v>
      </c>
      <c r="D951" t="s">
        <v>16249</v>
      </c>
      <c r="E951" t="s">
        <v>17192</v>
      </c>
      <c r="F951" t="s">
        <v>28198</v>
      </c>
      <c r="G951" t="s">
        <v>28207</v>
      </c>
      <c r="H951" t="s">
        <v>28215</v>
      </c>
      <c r="I951" t="s">
        <v>5100</v>
      </c>
      <c r="J951" t="s">
        <v>28594</v>
      </c>
      <c r="K951" t="s">
        <v>36701</v>
      </c>
      <c r="M951" t="s">
        <v>37478</v>
      </c>
      <c r="N951" t="s">
        <v>40436</v>
      </c>
      <c r="O951" t="s">
        <v>40437</v>
      </c>
      <c r="P951">
        <v>0</v>
      </c>
      <c r="Q951">
        <v>0</v>
      </c>
      <c r="R951" t="s">
        <v>40438</v>
      </c>
      <c r="S951" t="s">
        <v>40582</v>
      </c>
      <c r="T951" t="s">
        <v>42142</v>
      </c>
      <c r="U951" t="s">
        <v>43469</v>
      </c>
      <c r="W951" t="s">
        <v>37478</v>
      </c>
      <c r="X951" t="s">
        <v>40439</v>
      </c>
    </row>
    <row r="952" spans="1:24">
      <c r="A952">
        <f>HYPERLINK("https://www.philgeps.gov.ph/GEPSNONPILOT/Tender/SplashBidNoticeAbstractUI.aspx?menuIndex=3&amp;refID=7048036&amp;Result=3","7048036")</f>
        <v>0</v>
      </c>
      <c r="B952" t="s">
        <v>418</v>
      </c>
      <c r="C952" t="s">
        <v>4020</v>
      </c>
      <c r="D952" t="s">
        <v>16230</v>
      </c>
      <c r="E952" t="s">
        <v>17193</v>
      </c>
      <c r="F952" t="s">
        <v>28198</v>
      </c>
      <c r="G952" t="s">
        <v>28207</v>
      </c>
      <c r="H952" t="s">
        <v>28215</v>
      </c>
      <c r="I952" t="s">
        <v>5103</v>
      </c>
      <c r="J952" t="s">
        <v>29063</v>
      </c>
      <c r="K952" t="s">
        <v>36701</v>
      </c>
      <c r="M952" t="s">
        <v>37400</v>
      </c>
      <c r="N952" t="s">
        <v>40436</v>
      </c>
      <c r="O952" t="s">
        <v>40437</v>
      </c>
      <c r="P952">
        <v>0</v>
      </c>
      <c r="Q952">
        <v>9</v>
      </c>
      <c r="R952" t="s">
        <v>40438</v>
      </c>
      <c r="S952" t="s">
        <v>40582</v>
      </c>
      <c r="T952" t="s">
        <v>42124</v>
      </c>
      <c r="U952" t="s">
        <v>43470</v>
      </c>
      <c r="W952" t="s">
        <v>37400</v>
      </c>
      <c r="X952" t="s">
        <v>40439</v>
      </c>
    </row>
    <row r="953" spans="1:24">
      <c r="A953">
        <f>HYPERLINK("https://www.philgeps.gov.ph/GEPSNONPILOT/Tender/SplashBidNoticeAbstractUI.aspx?menuIndex=3&amp;refID=7048042&amp;Result=3","7048042")</f>
        <v>0</v>
      </c>
      <c r="B953" t="s">
        <v>386</v>
      </c>
      <c r="C953" t="s">
        <v>4021</v>
      </c>
      <c r="D953" t="s">
        <v>16259</v>
      </c>
      <c r="E953" t="s">
        <v>17194</v>
      </c>
      <c r="F953" t="s">
        <v>28198</v>
      </c>
      <c r="G953" t="s">
        <v>28207</v>
      </c>
      <c r="H953" t="s">
        <v>28215</v>
      </c>
      <c r="I953" t="s">
        <v>28257</v>
      </c>
      <c r="J953" t="s">
        <v>28804</v>
      </c>
      <c r="K953" t="s">
        <v>36688</v>
      </c>
      <c r="M953" t="s">
        <v>37366</v>
      </c>
      <c r="N953" t="s">
        <v>40436</v>
      </c>
      <c r="O953" t="s">
        <v>40437</v>
      </c>
      <c r="P953">
        <v>0</v>
      </c>
      <c r="Q953">
        <v>0</v>
      </c>
      <c r="R953" t="s">
        <v>40438</v>
      </c>
      <c r="S953" t="s">
        <v>40582</v>
      </c>
      <c r="T953" t="s">
        <v>42112</v>
      </c>
      <c r="U953" t="s">
        <v>43270</v>
      </c>
      <c r="V953" t="s">
        <v>53872</v>
      </c>
      <c r="W953" t="s">
        <v>37366</v>
      </c>
      <c r="X953" t="s">
        <v>40439</v>
      </c>
    </row>
    <row r="954" spans="1:24">
      <c r="A954">
        <f>HYPERLINK("https://www.philgeps.gov.ph/GEPSNONPILOT/Tender/SplashBidNoticeAbstractUI.aspx?menuIndex=3&amp;refID=7048048&amp;Result=3","7048048")</f>
        <v>0</v>
      </c>
      <c r="B954" t="s">
        <v>456</v>
      </c>
      <c r="C954" t="s">
        <v>4022</v>
      </c>
      <c r="D954" t="s">
        <v>16190</v>
      </c>
      <c r="E954" t="s">
        <v>17195</v>
      </c>
      <c r="F954" t="s">
        <v>28198</v>
      </c>
      <c r="G954" t="s">
        <v>28207</v>
      </c>
      <c r="H954" t="s">
        <v>28215</v>
      </c>
      <c r="I954" t="s">
        <v>28284</v>
      </c>
      <c r="J954" t="s">
        <v>29064</v>
      </c>
      <c r="K954" t="s">
        <v>36688</v>
      </c>
      <c r="M954" t="s">
        <v>37440</v>
      </c>
      <c r="N954" t="s">
        <v>40436</v>
      </c>
      <c r="O954" t="s">
        <v>40437</v>
      </c>
      <c r="P954">
        <v>0</v>
      </c>
      <c r="Q954">
        <v>0</v>
      </c>
      <c r="R954" t="s">
        <v>40438</v>
      </c>
      <c r="S954" t="s">
        <v>40582</v>
      </c>
      <c r="T954" t="s">
        <v>42129</v>
      </c>
      <c r="U954" t="s">
        <v>43471</v>
      </c>
      <c r="W954" t="s">
        <v>37440</v>
      </c>
      <c r="X954" t="s">
        <v>40439</v>
      </c>
    </row>
    <row r="955" spans="1:24">
      <c r="A955">
        <f>HYPERLINK("https://www.philgeps.gov.ph/GEPSNONPILOT/Tender/SplashBidNoticeAbstractUI.aspx?menuIndex=3&amp;refID=7048033&amp;Result=3","7048033")</f>
        <v>0</v>
      </c>
      <c r="B955" t="s">
        <v>401</v>
      </c>
      <c r="C955" t="s">
        <v>4023</v>
      </c>
      <c r="D955" t="s">
        <v>16223</v>
      </c>
      <c r="E955" t="s">
        <v>17018</v>
      </c>
      <c r="F955" t="s">
        <v>28198</v>
      </c>
      <c r="G955" t="s">
        <v>28205</v>
      </c>
      <c r="H955" t="s">
        <v>28215</v>
      </c>
      <c r="I955" t="s">
        <v>4219</v>
      </c>
      <c r="J955" t="s">
        <v>29065</v>
      </c>
      <c r="K955" t="s">
        <v>36706</v>
      </c>
      <c r="L955" t="s">
        <v>401</v>
      </c>
      <c r="M955" t="s">
        <v>37382</v>
      </c>
      <c r="N955" t="s">
        <v>40436</v>
      </c>
      <c r="O955" t="s">
        <v>40437</v>
      </c>
      <c r="P955">
        <v>0</v>
      </c>
      <c r="Q955">
        <v>0</v>
      </c>
      <c r="R955" t="s">
        <v>40438</v>
      </c>
      <c r="S955" t="s">
        <v>40582</v>
      </c>
      <c r="T955" t="s">
        <v>42234</v>
      </c>
      <c r="U955" t="s">
        <v>43472</v>
      </c>
      <c r="W955" t="s">
        <v>37382</v>
      </c>
      <c r="X955" t="s">
        <v>40439</v>
      </c>
    </row>
    <row r="956" spans="1:24">
      <c r="A956">
        <f>HYPERLINK("https://www.philgeps.gov.ph/GEPSNONPILOT/Tender/SplashBidNoticeAbstractUI.aspx?menuIndex=3&amp;refID=7048047&amp;Result=3","7048047")</f>
        <v>0</v>
      </c>
      <c r="B956" t="s">
        <v>351</v>
      </c>
      <c r="C956" t="s">
        <v>4024</v>
      </c>
      <c r="D956" t="s">
        <v>16258</v>
      </c>
      <c r="E956" t="s">
        <v>17196</v>
      </c>
      <c r="F956" t="s">
        <v>28198</v>
      </c>
      <c r="G956" t="s">
        <v>28209</v>
      </c>
      <c r="H956" t="s">
        <v>28215</v>
      </c>
      <c r="I956" t="s">
        <v>5100</v>
      </c>
      <c r="J956" t="s">
        <v>29066</v>
      </c>
      <c r="K956" t="s">
        <v>36706</v>
      </c>
      <c r="M956" t="s">
        <v>37330</v>
      </c>
      <c r="N956" t="s">
        <v>40436</v>
      </c>
      <c r="O956" t="s">
        <v>40437</v>
      </c>
      <c r="P956">
        <v>0</v>
      </c>
      <c r="Q956">
        <v>0</v>
      </c>
      <c r="R956" t="s">
        <v>40438</v>
      </c>
      <c r="S956" t="s">
        <v>40582</v>
      </c>
      <c r="T956" t="s">
        <v>42136</v>
      </c>
      <c r="U956" t="s">
        <v>43473</v>
      </c>
      <c r="W956" t="s">
        <v>37330</v>
      </c>
      <c r="X956" t="s">
        <v>40439</v>
      </c>
    </row>
    <row r="957" spans="1:24">
      <c r="A957">
        <f>HYPERLINK("https://www.philgeps.gov.ph/GEPSNONPILOT/Tender/SplashBidNoticeAbstractUI.aspx?menuIndex=3&amp;refID=7048032&amp;Result=3","7048032")</f>
        <v>0</v>
      </c>
      <c r="B957" t="s">
        <v>482</v>
      </c>
      <c r="C957" t="s">
        <v>4025</v>
      </c>
      <c r="D957" t="s">
        <v>16215</v>
      </c>
      <c r="E957" t="s">
        <v>17197</v>
      </c>
      <c r="F957" t="s">
        <v>28198</v>
      </c>
      <c r="G957" t="s">
        <v>28207</v>
      </c>
      <c r="H957" t="s">
        <v>28215</v>
      </c>
      <c r="I957" t="s">
        <v>5082</v>
      </c>
      <c r="J957" t="s">
        <v>29067</v>
      </c>
      <c r="K957" t="s">
        <v>36688</v>
      </c>
      <c r="M957" t="s">
        <v>37467</v>
      </c>
      <c r="N957" t="s">
        <v>40436</v>
      </c>
      <c r="O957" t="s">
        <v>40437</v>
      </c>
      <c r="P957">
        <v>0</v>
      </c>
      <c r="Q957">
        <v>0</v>
      </c>
      <c r="R957" t="s">
        <v>40438</v>
      </c>
      <c r="S957" t="s">
        <v>40582</v>
      </c>
      <c r="T957" t="s">
        <v>42097</v>
      </c>
      <c r="U957" t="s">
        <v>43450</v>
      </c>
      <c r="W957" t="s">
        <v>37467</v>
      </c>
      <c r="X957" t="s">
        <v>40439</v>
      </c>
    </row>
    <row r="958" spans="1:24">
      <c r="A958">
        <f>HYPERLINK("https://www.philgeps.gov.ph/GEPSNONPILOT/Tender/SplashBidNoticeAbstractUI.aspx?menuIndex=3&amp;refID=7048046&amp;Result=3","7048046")</f>
        <v>0</v>
      </c>
      <c r="B958" t="s">
        <v>335</v>
      </c>
      <c r="C958" t="s">
        <v>4026</v>
      </c>
      <c r="D958" t="s">
        <v>16221</v>
      </c>
      <c r="E958" t="s">
        <v>17198</v>
      </c>
      <c r="F958" t="s">
        <v>28198</v>
      </c>
      <c r="G958" t="s">
        <v>28205</v>
      </c>
      <c r="H958" t="s">
        <v>28214</v>
      </c>
      <c r="I958" t="s">
        <v>3797</v>
      </c>
      <c r="J958" t="s">
        <v>28379</v>
      </c>
      <c r="K958" t="s">
        <v>36701</v>
      </c>
      <c r="M958" t="s">
        <v>37313</v>
      </c>
      <c r="N958" t="s">
        <v>40436</v>
      </c>
      <c r="O958" t="s">
        <v>40437</v>
      </c>
      <c r="P958">
        <v>0</v>
      </c>
      <c r="Q958">
        <v>0</v>
      </c>
      <c r="R958" t="s">
        <v>40438</v>
      </c>
      <c r="S958" t="s">
        <v>40582</v>
      </c>
      <c r="T958" t="s">
        <v>42108</v>
      </c>
      <c r="U958" t="s">
        <v>43474</v>
      </c>
      <c r="W958" t="s">
        <v>55444</v>
      </c>
      <c r="X958" t="s">
        <v>40439</v>
      </c>
    </row>
    <row r="959" spans="1:24">
      <c r="A959">
        <f>HYPERLINK("https://www.philgeps.gov.ph/GEPSNONPILOT/Tender/SplashBidNoticeAbstractUI.aspx?menuIndex=3&amp;refID=7048038&amp;Result=3","7048038")</f>
        <v>0</v>
      </c>
      <c r="B959" t="s">
        <v>494</v>
      </c>
      <c r="C959" t="s">
        <v>4027</v>
      </c>
      <c r="D959" t="s">
        <v>16193</v>
      </c>
      <c r="E959" t="s">
        <v>16424</v>
      </c>
      <c r="F959" t="s">
        <v>28198</v>
      </c>
      <c r="G959" t="s">
        <v>28205</v>
      </c>
      <c r="H959" t="s">
        <v>28215</v>
      </c>
      <c r="I959" t="s">
        <v>4168</v>
      </c>
      <c r="J959" t="s">
        <v>28486</v>
      </c>
      <c r="K959" t="s">
        <v>36687</v>
      </c>
      <c r="M959" t="s">
        <v>37479</v>
      </c>
      <c r="N959" t="s">
        <v>40436</v>
      </c>
      <c r="O959" t="s">
        <v>40437</v>
      </c>
      <c r="P959">
        <v>0</v>
      </c>
      <c r="Q959">
        <v>0</v>
      </c>
      <c r="R959" t="s">
        <v>40438</v>
      </c>
      <c r="S959" t="s">
        <v>40582</v>
      </c>
      <c r="T959" t="s">
        <v>42102</v>
      </c>
      <c r="U959" t="s">
        <v>43475</v>
      </c>
      <c r="W959" t="s">
        <v>37479</v>
      </c>
      <c r="X959" t="s">
        <v>40439</v>
      </c>
    </row>
    <row r="960" spans="1:24">
      <c r="A960">
        <f>HYPERLINK("https://www.philgeps.gov.ph/GEPSNONPILOT/Tender/SplashBidNoticeAbstractUI.aspx?menuIndex=3&amp;refID=7048035&amp;Result=3","7048035")</f>
        <v>0</v>
      </c>
      <c r="B960" t="s">
        <v>425</v>
      </c>
      <c r="C960" t="s">
        <v>4028</v>
      </c>
      <c r="D960" t="s">
        <v>16197</v>
      </c>
      <c r="E960" t="s">
        <v>17199</v>
      </c>
      <c r="F960" t="s">
        <v>28198</v>
      </c>
      <c r="G960" t="s">
        <v>28205</v>
      </c>
      <c r="H960" t="s">
        <v>28215</v>
      </c>
      <c r="I960" t="s">
        <v>5100</v>
      </c>
      <c r="J960" t="s">
        <v>29068</v>
      </c>
      <c r="K960" t="s">
        <v>36689</v>
      </c>
      <c r="M960" t="s">
        <v>37407</v>
      </c>
      <c r="N960" t="s">
        <v>40436</v>
      </c>
      <c r="O960" t="s">
        <v>40437</v>
      </c>
      <c r="P960">
        <v>0</v>
      </c>
      <c r="Q960">
        <v>1</v>
      </c>
      <c r="R960" t="s">
        <v>40438</v>
      </c>
      <c r="S960" t="s">
        <v>40582</v>
      </c>
      <c r="T960" t="s">
        <v>42108</v>
      </c>
      <c r="U960" t="s">
        <v>43476</v>
      </c>
      <c r="V960" t="s">
        <v>53881</v>
      </c>
      <c r="W960" t="s">
        <v>37407</v>
      </c>
      <c r="X960" t="s">
        <v>40439</v>
      </c>
    </row>
    <row r="961" spans="1:24">
      <c r="A961">
        <f>HYPERLINK("https://www.philgeps.gov.ph/GEPSNONPILOT/Tender/SplashBidNoticeAbstractUI.aspx?menuIndex=3&amp;refID=7048043&amp;Result=3","7048043")</f>
        <v>0</v>
      </c>
      <c r="B961" t="s">
        <v>480</v>
      </c>
      <c r="C961" t="s">
        <v>4029</v>
      </c>
      <c r="D961" t="s">
        <v>16234</v>
      </c>
      <c r="E961" t="s">
        <v>17200</v>
      </c>
      <c r="F961" t="s">
        <v>28198</v>
      </c>
      <c r="G961" t="s">
        <v>28205</v>
      </c>
      <c r="H961" t="s">
        <v>28215</v>
      </c>
      <c r="I961" t="s">
        <v>6013</v>
      </c>
      <c r="J961" t="s">
        <v>29069</v>
      </c>
      <c r="K961" t="s">
        <v>36689</v>
      </c>
      <c r="M961" t="s">
        <v>37465</v>
      </c>
      <c r="N961" t="s">
        <v>40436</v>
      </c>
      <c r="O961" t="s">
        <v>40437</v>
      </c>
      <c r="P961">
        <v>0</v>
      </c>
      <c r="Q961">
        <v>0</v>
      </c>
      <c r="R961" t="s">
        <v>40438</v>
      </c>
      <c r="S961" t="s">
        <v>40582</v>
      </c>
      <c r="T961" t="s">
        <v>42110</v>
      </c>
      <c r="U961" t="s">
        <v>43447</v>
      </c>
      <c r="W961" t="s">
        <v>37465</v>
      </c>
      <c r="X961" t="s">
        <v>40439</v>
      </c>
    </row>
    <row r="962" spans="1:24">
      <c r="A962">
        <f>HYPERLINK("https://www.philgeps.gov.ph/GEPSNONPILOT/Tender/SplashBidNoticeAbstractUI.aspx?menuIndex=3&amp;refID=7048051&amp;Result=3","7048051")</f>
        <v>0</v>
      </c>
      <c r="B962" t="s">
        <v>65</v>
      </c>
      <c r="C962" t="s">
        <v>4030</v>
      </c>
      <c r="D962" t="s">
        <v>16210</v>
      </c>
      <c r="E962" t="s">
        <v>17201</v>
      </c>
      <c r="F962" t="s">
        <v>28198</v>
      </c>
      <c r="G962" t="s">
        <v>28205</v>
      </c>
      <c r="H962" t="s">
        <v>28215</v>
      </c>
      <c r="I962" t="s">
        <v>28234</v>
      </c>
      <c r="J962" t="s">
        <v>29070</v>
      </c>
      <c r="K962" t="s">
        <v>36689</v>
      </c>
      <c r="M962" t="s">
        <v>37447</v>
      </c>
      <c r="N962" t="s">
        <v>40436</v>
      </c>
      <c r="O962" t="s">
        <v>40437</v>
      </c>
      <c r="P962">
        <v>0</v>
      </c>
      <c r="Q962">
        <v>9</v>
      </c>
      <c r="R962" t="s">
        <v>40438</v>
      </c>
      <c r="S962" t="s">
        <v>40582</v>
      </c>
      <c r="T962" t="s">
        <v>42235</v>
      </c>
      <c r="U962" t="s">
        <v>43477</v>
      </c>
      <c r="W962" t="s">
        <v>37447</v>
      </c>
      <c r="X962" t="s">
        <v>40439</v>
      </c>
    </row>
    <row r="963" spans="1:24">
      <c r="A963">
        <f>HYPERLINK("https://www.philgeps.gov.ph/GEPSNONPILOT/Tender/SplashBidNoticeAbstractUI.aspx?menuIndex=3&amp;refID=7048064&amp;Result=3","7048064")</f>
        <v>0</v>
      </c>
      <c r="B963" t="s">
        <v>495</v>
      </c>
      <c r="C963" t="s">
        <v>4031</v>
      </c>
      <c r="D963" t="s">
        <v>16219</v>
      </c>
      <c r="E963" t="s">
        <v>16950</v>
      </c>
      <c r="F963" t="s">
        <v>28198</v>
      </c>
      <c r="G963" t="s">
        <v>28207</v>
      </c>
      <c r="H963" t="s">
        <v>28215</v>
      </c>
      <c r="I963" t="s">
        <v>28238</v>
      </c>
      <c r="J963" t="s">
        <v>28416</v>
      </c>
      <c r="K963" t="s">
        <v>36687</v>
      </c>
      <c r="M963" t="s">
        <v>37480</v>
      </c>
      <c r="N963" t="s">
        <v>40436</v>
      </c>
      <c r="O963" t="s">
        <v>40437</v>
      </c>
      <c r="P963">
        <v>0</v>
      </c>
      <c r="Q963">
        <v>0</v>
      </c>
      <c r="R963" t="s">
        <v>40438</v>
      </c>
      <c r="S963" t="s">
        <v>40582</v>
      </c>
      <c r="T963" t="s">
        <v>42103</v>
      </c>
      <c r="U963" t="s">
        <v>43478</v>
      </c>
      <c r="W963" t="s">
        <v>37480</v>
      </c>
      <c r="X963" t="s">
        <v>40439</v>
      </c>
    </row>
    <row r="964" spans="1:24">
      <c r="A964">
        <f>HYPERLINK("https://www.philgeps.gov.ph/GEPSNONPILOT/Tender/SplashBidNoticeAbstractUI.aspx?menuIndex=3&amp;refID=7048060&amp;Result=3","7048060")</f>
        <v>0</v>
      </c>
      <c r="B964" t="s">
        <v>496</v>
      </c>
      <c r="C964" t="s">
        <v>4032</v>
      </c>
      <c r="D964" t="s">
        <v>16204</v>
      </c>
      <c r="E964" t="s">
        <v>17202</v>
      </c>
      <c r="F964" t="s">
        <v>28198</v>
      </c>
      <c r="G964" t="s">
        <v>28207</v>
      </c>
      <c r="H964" t="s">
        <v>28217</v>
      </c>
      <c r="I964" t="s">
        <v>28230</v>
      </c>
      <c r="J964" t="s">
        <v>28679</v>
      </c>
      <c r="K964" t="s">
        <v>36690</v>
      </c>
      <c r="M964" t="s">
        <v>37481</v>
      </c>
      <c r="N964" t="s">
        <v>40436</v>
      </c>
      <c r="O964" t="s">
        <v>40437</v>
      </c>
      <c r="P964">
        <v>0</v>
      </c>
      <c r="Q964">
        <v>0</v>
      </c>
      <c r="R964" t="s">
        <v>40438</v>
      </c>
      <c r="S964" t="s">
        <v>40582</v>
      </c>
      <c r="T964" t="s">
        <v>42175</v>
      </c>
      <c r="U964" t="s">
        <v>43479</v>
      </c>
      <c r="V964" t="s">
        <v>53903</v>
      </c>
      <c r="W964" t="s">
        <v>37481</v>
      </c>
      <c r="X964" t="s">
        <v>40439</v>
      </c>
    </row>
    <row r="965" spans="1:24">
      <c r="A965">
        <f>HYPERLINK("https://www.philgeps.gov.ph/GEPSNONPILOT/Tender/SplashBidNoticeAbstractUI.aspx?menuIndex=3&amp;refID=7048059&amp;Result=3","7048059")</f>
        <v>0</v>
      </c>
      <c r="B965" t="s">
        <v>277</v>
      </c>
      <c r="C965" t="s">
        <v>4033</v>
      </c>
      <c r="D965" t="s">
        <v>16189</v>
      </c>
      <c r="E965" t="s">
        <v>17203</v>
      </c>
      <c r="F965" t="s">
        <v>28198</v>
      </c>
      <c r="G965" t="s">
        <v>28205</v>
      </c>
      <c r="H965" t="s">
        <v>28215</v>
      </c>
      <c r="I965" t="s">
        <v>5100</v>
      </c>
      <c r="J965" t="s">
        <v>29071</v>
      </c>
      <c r="K965" t="s">
        <v>36706</v>
      </c>
      <c r="M965" t="s">
        <v>37254</v>
      </c>
      <c r="N965" t="s">
        <v>40436</v>
      </c>
      <c r="O965" t="s">
        <v>40437</v>
      </c>
      <c r="P965">
        <v>0</v>
      </c>
      <c r="Q965">
        <v>0</v>
      </c>
      <c r="R965" t="s">
        <v>40438</v>
      </c>
      <c r="S965" t="s">
        <v>40582</v>
      </c>
      <c r="T965" t="s">
        <v>42165</v>
      </c>
      <c r="U965" t="s">
        <v>43480</v>
      </c>
      <c r="W965" t="s">
        <v>37254</v>
      </c>
      <c r="X965" t="s">
        <v>40439</v>
      </c>
    </row>
    <row r="966" spans="1:24">
      <c r="A966">
        <f>HYPERLINK("https://www.philgeps.gov.ph/GEPSNONPILOT/Tender/SplashBidNoticeAbstractUI.aspx?menuIndex=3&amp;refID=7048068&amp;Result=3","7048068")</f>
        <v>0</v>
      </c>
      <c r="B966" t="s">
        <v>497</v>
      </c>
      <c r="C966" t="s">
        <v>4034</v>
      </c>
      <c r="D966" t="s">
        <v>16191</v>
      </c>
      <c r="E966" t="s">
        <v>17204</v>
      </c>
      <c r="F966" t="s">
        <v>28198</v>
      </c>
      <c r="G966" t="s">
        <v>28210</v>
      </c>
      <c r="H966" t="s">
        <v>28215</v>
      </c>
      <c r="I966" t="s">
        <v>28282</v>
      </c>
      <c r="J966" t="s">
        <v>29072</v>
      </c>
      <c r="K966" t="s">
        <v>36706</v>
      </c>
      <c r="M966" t="s">
        <v>37482</v>
      </c>
      <c r="N966" t="s">
        <v>40436</v>
      </c>
      <c r="O966" t="s">
        <v>40437</v>
      </c>
      <c r="P966">
        <v>0</v>
      </c>
      <c r="Q966">
        <v>1</v>
      </c>
      <c r="R966" t="s">
        <v>40438</v>
      </c>
      <c r="S966" t="s">
        <v>40582</v>
      </c>
      <c r="T966" t="s">
        <v>42152</v>
      </c>
      <c r="U966" t="s">
        <v>43481</v>
      </c>
      <c r="W966" t="s">
        <v>37482</v>
      </c>
      <c r="X966" t="s">
        <v>40439</v>
      </c>
    </row>
    <row r="967" spans="1:24">
      <c r="A967">
        <f>HYPERLINK("https://www.philgeps.gov.ph/GEPSNONPILOT/Tender/SplashBidNoticeAbstractUI.aspx?menuIndex=3&amp;refID=7048058&amp;Result=3","7048058")</f>
        <v>0</v>
      </c>
      <c r="B967" t="s">
        <v>404</v>
      </c>
      <c r="C967" t="s">
        <v>4035</v>
      </c>
      <c r="E967" t="s">
        <v>17205</v>
      </c>
      <c r="F967" t="s">
        <v>28198</v>
      </c>
      <c r="G967" t="s">
        <v>28207</v>
      </c>
      <c r="H967" t="s">
        <v>28215</v>
      </c>
      <c r="I967" t="s">
        <v>28272</v>
      </c>
      <c r="J967" t="s">
        <v>29073</v>
      </c>
      <c r="K967" t="s">
        <v>36689</v>
      </c>
      <c r="M967" t="s">
        <v>37385</v>
      </c>
      <c r="N967" t="s">
        <v>40436</v>
      </c>
      <c r="O967" t="s">
        <v>40437</v>
      </c>
      <c r="P967">
        <v>0</v>
      </c>
      <c r="Q967">
        <v>1</v>
      </c>
      <c r="R967" t="s">
        <v>40438</v>
      </c>
      <c r="S967" t="s">
        <v>40582</v>
      </c>
      <c r="T967" t="s">
        <v>42193</v>
      </c>
      <c r="U967" t="s">
        <v>43482</v>
      </c>
      <c r="V967" t="s">
        <v>53878</v>
      </c>
      <c r="W967" t="s">
        <v>37385</v>
      </c>
      <c r="X967" t="s">
        <v>40439</v>
      </c>
    </row>
    <row r="968" spans="1:24">
      <c r="A968">
        <f>HYPERLINK("https://www.philgeps.gov.ph/GEPSNONPILOT/Tender/SplashBidNoticeAbstractUI.aspx?menuIndex=3&amp;refID=7048070&amp;Result=3","7048070")</f>
        <v>0</v>
      </c>
      <c r="B968" t="s">
        <v>498</v>
      </c>
      <c r="C968" t="s">
        <v>4036</v>
      </c>
      <c r="D968" t="s">
        <v>16187</v>
      </c>
      <c r="E968" t="s">
        <v>17206</v>
      </c>
      <c r="F968" t="s">
        <v>28198</v>
      </c>
      <c r="G968" t="s">
        <v>28206</v>
      </c>
      <c r="H968" t="s">
        <v>28215</v>
      </c>
      <c r="I968" t="s">
        <v>28251</v>
      </c>
      <c r="J968" t="s">
        <v>28414</v>
      </c>
      <c r="K968" t="s">
        <v>36688</v>
      </c>
      <c r="M968" t="s">
        <v>37483</v>
      </c>
      <c r="N968" t="s">
        <v>40436</v>
      </c>
      <c r="O968" t="s">
        <v>40437</v>
      </c>
      <c r="P968">
        <v>0</v>
      </c>
      <c r="Q968">
        <v>1</v>
      </c>
      <c r="R968" t="s">
        <v>40438</v>
      </c>
      <c r="S968" t="s">
        <v>40582</v>
      </c>
      <c r="T968" t="s">
        <v>42175</v>
      </c>
      <c r="U968" t="s">
        <v>43483</v>
      </c>
      <c r="W968" t="s">
        <v>37483</v>
      </c>
      <c r="X968" t="s">
        <v>40439</v>
      </c>
    </row>
    <row r="969" spans="1:24">
      <c r="A969">
        <f>HYPERLINK("https://www.philgeps.gov.ph/GEPSNONPILOT/Tender/SplashBidNoticeAbstractUI.aspx?menuIndex=3&amp;refID=7048052&amp;Result=3","7048052")</f>
        <v>0</v>
      </c>
      <c r="B969" t="s">
        <v>499</v>
      </c>
      <c r="C969" t="s">
        <v>4037</v>
      </c>
      <c r="D969" t="s">
        <v>16193</v>
      </c>
      <c r="E969" t="s">
        <v>16692</v>
      </c>
      <c r="F969" t="s">
        <v>28198</v>
      </c>
      <c r="G969" t="s">
        <v>28207</v>
      </c>
      <c r="H969" t="s">
        <v>28215</v>
      </c>
      <c r="I969" t="s">
        <v>28228</v>
      </c>
      <c r="J969" t="s">
        <v>29074</v>
      </c>
      <c r="K969" t="s">
        <v>36701</v>
      </c>
      <c r="M969" t="s">
        <v>37484</v>
      </c>
      <c r="N969" t="s">
        <v>40436</v>
      </c>
      <c r="O969" t="s">
        <v>40437</v>
      </c>
      <c r="P969">
        <v>0</v>
      </c>
      <c r="Q969">
        <v>0</v>
      </c>
      <c r="R969" t="s">
        <v>40438</v>
      </c>
      <c r="S969" t="s">
        <v>40582</v>
      </c>
      <c r="T969" t="s">
        <v>42201</v>
      </c>
      <c r="U969" t="s">
        <v>43484</v>
      </c>
      <c r="W969" t="s">
        <v>37484</v>
      </c>
      <c r="X969" t="s">
        <v>40439</v>
      </c>
    </row>
    <row r="970" spans="1:24">
      <c r="A970">
        <f>HYPERLINK("https://www.philgeps.gov.ph/GEPSNONPILOT/Tender/SplashBidNoticeAbstractUI.aspx?menuIndex=3&amp;refID=7048054&amp;Result=3","7048054")</f>
        <v>0</v>
      </c>
      <c r="B970" t="s">
        <v>500</v>
      </c>
      <c r="C970" t="s">
        <v>4038</v>
      </c>
      <c r="D970" t="s">
        <v>16190</v>
      </c>
      <c r="E970" t="s">
        <v>17207</v>
      </c>
      <c r="F970" t="s">
        <v>28198</v>
      </c>
      <c r="G970" t="s">
        <v>28207</v>
      </c>
      <c r="H970" t="s">
        <v>28215</v>
      </c>
      <c r="I970" t="s">
        <v>28225</v>
      </c>
      <c r="J970" t="s">
        <v>29075</v>
      </c>
      <c r="K970" t="s">
        <v>36715</v>
      </c>
      <c r="M970" t="s">
        <v>37485</v>
      </c>
      <c r="N970" t="s">
        <v>40436</v>
      </c>
      <c r="O970" t="s">
        <v>40437</v>
      </c>
      <c r="P970">
        <v>0</v>
      </c>
      <c r="Q970">
        <v>4</v>
      </c>
      <c r="R970" t="s">
        <v>40438</v>
      </c>
      <c r="S970" t="s">
        <v>40582</v>
      </c>
      <c r="T970" t="s">
        <v>42103</v>
      </c>
      <c r="U970" t="s">
        <v>43485</v>
      </c>
      <c r="W970" t="s">
        <v>37485</v>
      </c>
      <c r="X970" t="s">
        <v>40439</v>
      </c>
    </row>
    <row r="971" spans="1:24">
      <c r="A971">
        <f>HYPERLINK("https://www.philgeps.gov.ph/GEPSNONPILOT/Tender/SplashBidNoticeAbstractUI.aspx?menuIndex=3&amp;refID=7048065&amp;Result=3","7048065")</f>
        <v>0</v>
      </c>
      <c r="B971" t="s">
        <v>501</v>
      </c>
      <c r="C971" t="s">
        <v>4039</v>
      </c>
      <c r="D971" t="s">
        <v>16210</v>
      </c>
      <c r="E971" t="s">
        <v>17208</v>
      </c>
      <c r="F971" t="s">
        <v>28198</v>
      </c>
      <c r="G971" t="s">
        <v>28207</v>
      </c>
      <c r="H971" t="s">
        <v>28215</v>
      </c>
      <c r="I971" t="s">
        <v>3797</v>
      </c>
      <c r="J971" t="s">
        <v>29076</v>
      </c>
      <c r="K971" t="s">
        <v>36707</v>
      </c>
      <c r="M971" t="s">
        <v>37486</v>
      </c>
      <c r="N971" t="s">
        <v>40436</v>
      </c>
      <c r="O971" t="s">
        <v>40437</v>
      </c>
      <c r="P971">
        <v>0</v>
      </c>
      <c r="Q971">
        <v>0</v>
      </c>
      <c r="R971" t="s">
        <v>40438</v>
      </c>
      <c r="S971" t="s">
        <v>40582</v>
      </c>
      <c r="T971" t="s">
        <v>42188</v>
      </c>
      <c r="U971" t="s">
        <v>43486</v>
      </c>
      <c r="W971" t="s">
        <v>37486</v>
      </c>
      <c r="X971" t="s">
        <v>40439</v>
      </c>
    </row>
    <row r="972" spans="1:24">
      <c r="A972">
        <f>HYPERLINK("https://www.philgeps.gov.ph/GEPSNONPILOT/Tender/SplashBidNoticeAbstractUI.aspx?menuIndex=3&amp;refID=7048056&amp;Result=3","7048056")</f>
        <v>0</v>
      </c>
      <c r="B972" t="s">
        <v>432</v>
      </c>
      <c r="C972" t="s">
        <v>4040</v>
      </c>
      <c r="D972" t="s">
        <v>16262</v>
      </c>
      <c r="E972" t="s">
        <v>17209</v>
      </c>
      <c r="F972" t="s">
        <v>28198</v>
      </c>
      <c r="G972" t="s">
        <v>28205</v>
      </c>
      <c r="H972" t="s">
        <v>28215</v>
      </c>
      <c r="I972" t="s">
        <v>5100</v>
      </c>
      <c r="J972" t="s">
        <v>29077</v>
      </c>
      <c r="K972" t="s">
        <v>36707</v>
      </c>
      <c r="M972" t="s">
        <v>37415</v>
      </c>
      <c r="N972" t="s">
        <v>40436</v>
      </c>
      <c r="O972" t="s">
        <v>40437</v>
      </c>
      <c r="P972">
        <v>0</v>
      </c>
      <c r="Q972">
        <v>0</v>
      </c>
      <c r="R972" t="s">
        <v>40438</v>
      </c>
      <c r="S972" t="s">
        <v>40582</v>
      </c>
      <c r="T972" t="s">
        <v>42115</v>
      </c>
      <c r="U972" t="s">
        <v>43437</v>
      </c>
      <c r="W972" t="s">
        <v>37415</v>
      </c>
      <c r="X972" t="s">
        <v>40439</v>
      </c>
    </row>
    <row r="973" spans="1:24">
      <c r="A973">
        <f>HYPERLINK("https://www.philgeps.gov.ph/GEPSNONPILOT/Tender/SplashBidNoticeAbstractUI.aspx?menuIndex=3&amp;refID=7048079&amp;Result=3","7048079")</f>
        <v>0</v>
      </c>
      <c r="B973" t="s">
        <v>502</v>
      </c>
      <c r="C973" t="s">
        <v>4041</v>
      </c>
      <c r="D973" t="s">
        <v>16196</v>
      </c>
      <c r="E973" t="s">
        <v>17210</v>
      </c>
      <c r="F973" t="s">
        <v>28198</v>
      </c>
      <c r="G973" t="s">
        <v>28206</v>
      </c>
      <c r="H973" t="s">
        <v>28215</v>
      </c>
      <c r="I973" t="s">
        <v>28290</v>
      </c>
      <c r="J973" t="s">
        <v>29078</v>
      </c>
      <c r="K973" t="s">
        <v>36701</v>
      </c>
      <c r="M973" t="s">
        <v>37487</v>
      </c>
      <c r="N973" t="s">
        <v>40436</v>
      </c>
      <c r="O973" t="s">
        <v>40437</v>
      </c>
      <c r="P973">
        <v>0</v>
      </c>
      <c r="Q973">
        <v>2</v>
      </c>
      <c r="R973" t="s">
        <v>40438</v>
      </c>
      <c r="S973" t="s">
        <v>40582</v>
      </c>
      <c r="T973" t="s">
        <v>42152</v>
      </c>
      <c r="U973" t="s">
        <v>43487</v>
      </c>
      <c r="W973" t="s">
        <v>37487</v>
      </c>
      <c r="X973" t="s">
        <v>40439</v>
      </c>
    </row>
    <row r="974" spans="1:24">
      <c r="A974">
        <f>HYPERLINK("https://www.philgeps.gov.ph/GEPSNONPILOT/Tender/SplashBidNoticeAbstractUI.aspx?menuIndex=3&amp;refID=7048069&amp;Result=3","7048069")</f>
        <v>0</v>
      </c>
      <c r="B974" t="s">
        <v>454</v>
      </c>
      <c r="C974" t="s">
        <v>4042</v>
      </c>
      <c r="D974" t="s">
        <v>16211</v>
      </c>
      <c r="E974" t="s">
        <v>17211</v>
      </c>
      <c r="F974" t="s">
        <v>28198</v>
      </c>
      <c r="G974" t="s">
        <v>28207</v>
      </c>
      <c r="H974" t="s">
        <v>28215</v>
      </c>
      <c r="I974" t="s">
        <v>5100</v>
      </c>
      <c r="J974" t="s">
        <v>29079</v>
      </c>
      <c r="K974" t="s">
        <v>36701</v>
      </c>
      <c r="M974" t="s">
        <v>37438</v>
      </c>
      <c r="N974" t="s">
        <v>40436</v>
      </c>
      <c r="O974" t="s">
        <v>40437</v>
      </c>
      <c r="P974">
        <v>0</v>
      </c>
      <c r="Q974">
        <v>0</v>
      </c>
      <c r="R974" t="s">
        <v>40438</v>
      </c>
      <c r="S974" t="s">
        <v>40582</v>
      </c>
      <c r="T974" t="s">
        <v>42203</v>
      </c>
      <c r="U974" t="s">
        <v>43488</v>
      </c>
      <c r="W974" t="s">
        <v>55449</v>
      </c>
      <c r="X974" t="s">
        <v>40439</v>
      </c>
    </row>
    <row r="975" spans="1:24">
      <c r="A975">
        <f>HYPERLINK("https://www.philgeps.gov.ph/GEPSNONPILOT/Tender/SplashBidNoticeAbstractUI.aspx?menuIndex=3&amp;refID=7048074&amp;Result=3","7048074")</f>
        <v>0</v>
      </c>
      <c r="B975" t="s">
        <v>416</v>
      </c>
      <c r="C975" t="s">
        <v>4043</v>
      </c>
      <c r="D975" t="s">
        <v>16190</v>
      </c>
      <c r="E975" t="s">
        <v>17045</v>
      </c>
      <c r="F975" t="s">
        <v>28198</v>
      </c>
      <c r="G975" t="s">
        <v>28206</v>
      </c>
      <c r="H975" t="s">
        <v>28215</v>
      </c>
      <c r="I975" t="s">
        <v>28291</v>
      </c>
      <c r="J975" t="s">
        <v>29080</v>
      </c>
      <c r="K975" t="s">
        <v>36689</v>
      </c>
      <c r="M975" t="s">
        <v>37398</v>
      </c>
      <c r="N975" t="s">
        <v>40436</v>
      </c>
      <c r="O975" t="s">
        <v>40437</v>
      </c>
      <c r="P975">
        <v>0</v>
      </c>
      <c r="Q975">
        <v>0</v>
      </c>
      <c r="R975" t="s">
        <v>40438</v>
      </c>
      <c r="S975" t="s">
        <v>40582</v>
      </c>
      <c r="T975" t="s">
        <v>42131</v>
      </c>
      <c r="U975" t="s">
        <v>43489</v>
      </c>
      <c r="W975" t="s">
        <v>37398</v>
      </c>
      <c r="X975" t="s">
        <v>40439</v>
      </c>
    </row>
    <row r="976" spans="1:24">
      <c r="A976">
        <f>HYPERLINK("https://www.philgeps.gov.ph/GEPSNONPILOT/Tender/SplashBidNoticeAbstractUI.aspx?menuIndex=3&amp;refID=7048066&amp;Result=3","7048066")</f>
        <v>0</v>
      </c>
      <c r="B976" t="s">
        <v>503</v>
      </c>
      <c r="C976" t="s">
        <v>4044</v>
      </c>
      <c r="D976" t="s">
        <v>16235</v>
      </c>
      <c r="E976" t="s">
        <v>16860</v>
      </c>
      <c r="F976" t="s">
        <v>28198</v>
      </c>
      <c r="G976" t="s">
        <v>28207</v>
      </c>
      <c r="H976" t="s">
        <v>28215</v>
      </c>
      <c r="I976" t="s">
        <v>3774</v>
      </c>
      <c r="J976" t="s">
        <v>29081</v>
      </c>
      <c r="K976" t="s">
        <v>36707</v>
      </c>
      <c r="M976" t="s">
        <v>37488</v>
      </c>
      <c r="N976" t="s">
        <v>40436</v>
      </c>
      <c r="O976" t="s">
        <v>40437</v>
      </c>
      <c r="P976">
        <v>0</v>
      </c>
      <c r="Q976">
        <v>0</v>
      </c>
      <c r="R976" t="s">
        <v>40438</v>
      </c>
      <c r="S976" t="s">
        <v>40582</v>
      </c>
      <c r="T976" t="s">
        <v>42142</v>
      </c>
      <c r="U976" t="s">
        <v>43490</v>
      </c>
      <c r="W976" t="s">
        <v>37488</v>
      </c>
      <c r="X976" t="s">
        <v>40439</v>
      </c>
    </row>
    <row r="977" spans="1:24">
      <c r="A977">
        <f>HYPERLINK("https://www.philgeps.gov.ph/GEPSNONPILOT/Tender/SplashBidNoticeAbstractUI.aspx?menuIndex=3&amp;refID=7048076&amp;Result=3","7048076")</f>
        <v>0</v>
      </c>
      <c r="B977" t="s">
        <v>504</v>
      </c>
      <c r="C977" t="s">
        <v>4045</v>
      </c>
      <c r="D977" t="s">
        <v>16258</v>
      </c>
      <c r="E977" t="s">
        <v>17212</v>
      </c>
      <c r="F977" t="s">
        <v>28198</v>
      </c>
      <c r="G977" t="s">
        <v>28205</v>
      </c>
      <c r="H977" t="s">
        <v>28215</v>
      </c>
      <c r="I977" t="s">
        <v>28228</v>
      </c>
      <c r="J977" t="s">
        <v>28393</v>
      </c>
      <c r="K977" t="s">
        <v>36706</v>
      </c>
      <c r="M977" t="s">
        <v>37489</v>
      </c>
      <c r="N977" t="s">
        <v>40436</v>
      </c>
      <c r="O977" t="s">
        <v>40437</v>
      </c>
      <c r="P977">
        <v>0</v>
      </c>
      <c r="Q977">
        <v>0</v>
      </c>
      <c r="R977" t="s">
        <v>40438</v>
      </c>
      <c r="S977" t="s">
        <v>40582</v>
      </c>
      <c r="T977" t="s">
        <v>42097</v>
      </c>
      <c r="U977" t="s">
        <v>43491</v>
      </c>
      <c r="W977" t="s">
        <v>37489</v>
      </c>
      <c r="X977" t="s">
        <v>40439</v>
      </c>
    </row>
    <row r="978" spans="1:24">
      <c r="A978">
        <f>HYPERLINK("https://www.philgeps.gov.ph/GEPSNONPILOT/Tender/SplashBidNoticeAbstractUI.aspx?menuIndex=3&amp;refID=7048080&amp;Result=3","7048080")</f>
        <v>0</v>
      </c>
      <c r="B978" t="s">
        <v>432</v>
      </c>
      <c r="C978" t="s">
        <v>4046</v>
      </c>
      <c r="D978" t="s">
        <v>16262</v>
      </c>
      <c r="E978" t="s">
        <v>17213</v>
      </c>
      <c r="F978" t="s">
        <v>28198</v>
      </c>
      <c r="G978" t="s">
        <v>28207</v>
      </c>
      <c r="H978" t="s">
        <v>28215</v>
      </c>
      <c r="I978" t="s">
        <v>5100</v>
      </c>
      <c r="J978" t="s">
        <v>29082</v>
      </c>
      <c r="K978" t="s">
        <v>36707</v>
      </c>
      <c r="M978" t="s">
        <v>37415</v>
      </c>
      <c r="N978" t="s">
        <v>40436</v>
      </c>
      <c r="O978" t="s">
        <v>40437</v>
      </c>
      <c r="P978">
        <v>0</v>
      </c>
      <c r="Q978">
        <v>0</v>
      </c>
      <c r="R978" t="s">
        <v>40438</v>
      </c>
      <c r="S978" t="s">
        <v>40582</v>
      </c>
      <c r="T978" t="s">
        <v>42124</v>
      </c>
      <c r="U978" t="s">
        <v>43395</v>
      </c>
      <c r="W978" t="s">
        <v>37415</v>
      </c>
      <c r="X978" t="s">
        <v>40439</v>
      </c>
    </row>
    <row r="979" spans="1:24">
      <c r="A979">
        <f>HYPERLINK("https://www.philgeps.gov.ph/GEPSNONPILOT/Tender/SplashBidNoticeAbstractUI.aspx?menuIndex=3&amp;refID=7048063&amp;Result=3","7048063")</f>
        <v>0</v>
      </c>
      <c r="B979" t="s">
        <v>505</v>
      </c>
      <c r="C979" t="s">
        <v>4047</v>
      </c>
      <c r="E979" t="s">
        <v>17214</v>
      </c>
      <c r="F979" t="s">
        <v>28198</v>
      </c>
      <c r="G979" t="s">
        <v>28207</v>
      </c>
      <c r="H979" t="s">
        <v>28215</v>
      </c>
      <c r="I979" t="s">
        <v>3774</v>
      </c>
      <c r="J979" t="s">
        <v>29023</v>
      </c>
      <c r="K979" t="s">
        <v>36689</v>
      </c>
      <c r="M979" t="s">
        <v>37490</v>
      </c>
      <c r="N979" t="s">
        <v>40436</v>
      </c>
      <c r="O979" t="s">
        <v>40437</v>
      </c>
      <c r="P979">
        <v>0</v>
      </c>
      <c r="Q979">
        <v>1</v>
      </c>
      <c r="R979" t="s">
        <v>40438</v>
      </c>
      <c r="S979" t="s">
        <v>40582</v>
      </c>
      <c r="T979" t="s">
        <v>42111</v>
      </c>
      <c r="U979" t="s">
        <v>43492</v>
      </c>
      <c r="W979" t="s">
        <v>37490</v>
      </c>
      <c r="X979" t="s">
        <v>40439</v>
      </c>
    </row>
    <row r="980" spans="1:24">
      <c r="A980">
        <f>HYPERLINK("https://www.philgeps.gov.ph/GEPSNONPILOT/Tender/SplashBidNoticeAbstractUI.aspx?menuIndex=3&amp;refID=7048073&amp;Result=3","7048073")</f>
        <v>0</v>
      </c>
      <c r="B980" t="s">
        <v>222</v>
      </c>
      <c r="C980" t="s">
        <v>4048</v>
      </c>
      <c r="D980" t="s">
        <v>16213</v>
      </c>
      <c r="E980" t="s">
        <v>17215</v>
      </c>
      <c r="F980" t="s">
        <v>28198</v>
      </c>
      <c r="G980" t="s">
        <v>28207</v>
      </c>
      <c r="H980" t="s">
        <v>28215</v>
      </c>
      <c r="I980" t="s">
        <v>4219</v>
      </c>
      <c r="J980" t="s">
        <v>29083</v>
      </c>
      <c r="K980" t="s">
        <v>36707</v>
      </c>
      <c r="M980" t="s">
        <v>37198</v>
      </c>
      <c r="N980" t="s">
        <v>40436</v>
      </c>
      <c r="O980" t="s">
        <v>40437</v>
      </c>
      <c r="P980">
        <v>0</v>
      </c>
      <c r="Q980">
        <v>0</v>
      </c>
      <c r="R980" t="s">
        <v>40438</v>
      </c>
      <c r="S980" t="s">
        <v>40582</v>
      </c>
      <c r="T980" t="s">
        <v>42119</v>
      </c>
      <c r="U980" t="s">
        <v>43493</v>
      </c>
      <c r="W980" t="s">
        <v>37198</v>
      </c>
      <c r="X980" t="s">
        <v>40439</v>
      </c>
    </row>
    <row r="981" spans="1:24">
      <c r="A981">
        <f>HYPERLINK("https://www.philgeps.gov.ph/GEPSNONPILOT/Tender/SplashBidNoticeAbstractUI.aspx?menuIndex=3&amp;refID=7048081&amp;Result=3","7048081")</f>
        <v>0</v>
      </c>
      <c r="B981" t="s">
        <v>404</v>
      </c>
      <c r="C981" t="s">
        <v>4049</v>
      </c>
      <c r="E981" t="s">
        <v>17216</v>
      </c>
      <c r="F981" t="s">
        <v>28198</v>
      </c>
      <c r="G981" t="s">
        <v>28207</v>
      </c>
      <c r="H981" t="s">
        <v>28215</v>
      </c>
      <c r="I981" t="s">
        <v>28292</v>
      </c>
      <c r="J981" t="s">
        <v>29084</v>
      </c>
      <c r="K981" t="s">
        <v>36689</v>
      </c>
      <c r="M981" t="s">
        <v>37385</v>
      </c>
      <c r="N981" t="s">
        <v>40436</v>
      </c>
      <c r="O981" t="s">
        <v>40437</v>
      </c>
      <c r="P981">
        <v>0</v>
      </c>
      <c r="Q981">
        <v>0</v>
      </c>
      <c r="R981" t="s">
        <v>40438</v>
      </c>
      <c r="S981" t="s">
        <v>40582</v>
      </c>
      <c r="T981" t="s">
        <v>42236</v>
      </c>
      <c r="U981" t="s">
        <v>43494</v>
      </c>
      <c r="V981" t="s">
        <v>53878</v>
      </c>
      <c r="W981" t="s">
        <v>37385</v>
      </c>
      <c r="X981" t="s">
        <v>40439</v>
      </c>
    </row>
    <row r="982" spans="1:24">
      <c r="A982">
        <f>HYPERLINK("https://www.philgeps.gov.ph/GEPSNONPILOT/Tender/SplashBidNoticeAbstractUI.aspx?menuIndex=3&amp;refID=7048084&amp;Result=3","7048084")</f>
        <v>0</v>
      </c>
      <c r="B982" t="s">
        <v>506</v>
      </c>
      <c r="C982" t="s">
        <v>4050</v>
      </c>
      <c r="D982" t="s">
        <v>16252</v>
      </c>
      <c r="E982" t="s">
        <v>17217</v>
      </c>
      <c r="F982" t="s">
        <v>28198</v>
      </c>
      <c r="G982" t="s">
        <v>28205</v>
      </c>
      <c r="H982" t="s">
        <v>28215</v>
      </c>
      <c r="I982" t="s">
        <v>28222</v>
      </c>
      <c r="J982" t="s">
        <v>28818</v>
      </c>
      <c r="K982" t="s">
        <v>36697</v>
      </c>
      <c r="M982" t="s">
        <v>37491</v>
      </c>
      <c r="N982" t="s">
        <v>40436</v>
      </c>
      <c r="O982" t="s">
        <v>40437</v>
      </c>
      <c r="P982">
        <v>0</v>
      </c>
      <c r="Q982">
        <v>2</v>
      </c>
      <c r="R982" t="s">
        <v>40438</v>
      </c>
      <c r="S982" t="s">
        <v>40582</v>
      </c>
      <c r="T982" t="s">
        <v>42101</v>
      </c>
      <c r="U982" t="s">
        <v>43495</v>
      </c>
      <c r="W982" t="s">
        <v>37491</v>
      </c>
      <c r="X982" t="s">
        <v>40439</v>
      </c>
    </row>
    <row r="983" spans="1:24">
      <c r="A983">
        <f>HYPERLINK("https://www.philgeps.gov.ph/GEPSNONPILOT/Tender/SplashBidNoticeAbstractUI.aspx?menuIndex=3&amp;refID=7048085&amp;Result=3","7048085")</f>
        <v>0</v>
      </c>
      <c r="B983" t="s">
        <v>507</v>
      </c>
      <c r="C983" t="s">
        <v>4051</v>
      </c>
      <c r="D983" t="s">
        <v>16190</v>
      </c>
      <c r="E983" t="s">
        <v>17218</v>
      </c>
      <c r="F983" t="s">
        <v>28198</v>
      </c>
      <c r="G983" t="s">
        <v>28205</v>
      </c>
      <c r="H983" t="s">
        <v>28215</v>
      </c>
      <c r="I983" t="s">
        <v>5082</v>
      </c>
      <c r="J983" t="s">
        <v>29085</v>
      </c>
      <c r="K983" t="s">
        <v>36693</v>
      </c>
      <c r="M983" t="s">
        <v>37492</v>
      </c>
      <c r="N983" t="s">
        <v>40436</v>
      </c>
      <c r="O983" t="s">
        <v>40437</v>
      </c>
      <c r="P983">
        <v>0</v>
      </c>
      <c r="Q983">
        <v>0</v>
      </c>
      <c r="R983" t="s">
        <v>40438</v>
      </c>
      <c r="S983" t="s">
        <v>40582</v>
      </c>
      <c r="T983" t="s">
        <v>42237</v>
      </c>
      <c r="U983" t="s">
        <v>43496</v>
      </c>
      <c r="W983" t="s">
        <v>37492</v>
      </c>
      <c r="X983" t="s">
        <v>40439</v>
      </c>
    </row>
    <row r="984" spans="1:24">
      <c r="A984">
        <f>HYPERLINK("https://www.philgeps.gov.ph/GEPSNONPILOT/Tender/SplashBidNoticeAbstractUI.aspx?menuIndex=3&amp;refID=7048082&amp;Result=3","7048082")</f>
        <v>0</v>
      </c>
      <c r="B984" t="s">
        <v>508</v>
      </c>
      <c r="C984" t="s">
        <v>4052</v>
      </c>
      <c r="E984" t="s">
        <v>17219</v>
      </c>
      <c r="F984" t="s">
        <v>28198</v>
      </c>
      <c r="G984" t="s">
        <v>28207</v>
      </c>
      <c r="H984" t="s">
        <v>28215</v>
      </c>
      <c r="I984" t="s">
        <v>5082</v>
      </c>
      <c r="J984" t="s">
        <v>28345</v>
      </c>
      <c r="K984" t="s">
        <v>36689</v>
      </c>
      <c r="M984" t="s">
        <v>37493</v>
      </c>
      <c r="N984" t="s">
        <v>40436</v>
      </c>
      <c r="O984" t="s">
        <v>40437</v>
      </c>
      <c r="P984">
        <v>0</v>
      </c>
      <c r="Q984">
        <v>4</v>
      </c>
      <c r="R984" t="s">
        <v>40438</v>
      </c>
      <c r="S984" t="s">
        <v>40582</v>
      </c>
      <c r="T984" t="s">
        <v>42124</v>
      </c>
      <c r="U984" t="s">
        <v>43497</v>
      </c>
      <c r="W984" t="s">
        <v>37493</v>
      </c>
      <c r="X984" t="s">
        <v>40439</v>
      </c>
    </row>
    <row r="985" spans="1:24">
      <c r="A985">
        <f>HYPERLINK("https://www.philgeps.gov.ph/GEPSNONPILOT/Tender/SplashBidNoticeAbstractUI.aspx?menuIndex=3&amp;refID=7048089&amp;Result=3","7048089")</f>
        <v>0</v>
      </c>
      <c r="B985" t="s">
        <v>425</v>
      </c>
      <c r="C985" t="s">
        <v>4053</v>
      </c>
      <c r="D985" t="s">
        <v>16197</v>
      </c>
      <c r="E985" t="s">
        <v>17220</v>
      </c>
      <c r="F985" t="s">
        <v>28198</v>
      </c>
      <c r="G985" t="s">
        <v>28205</v>
      </c>
      <c r="H985" t="s">
        <v>28215</v>
      </c>
      <c r="I985" t="s">
        <v>5100</v>
      </c>
      <c r="J985" t="s">
        <v>29086</v>
      </c>
      <c r="K985" t="s">
        <v>36689</v>
      </c>
      <c r="M985" t="s">
        <v>37407</v>
      </c>
      <c r="N985" t="s">
        <v>40436</v>
      </c>
      <c r="O985" t="s">
        <v>40437</v>
      </c>
      <c r="P985">
        <v>0</v>
      </c>
      <c r="Q985">
        <v>1</v>
      </c>
      <c r="R985" t="s">
        <v>40438</v>
      </c>
      <c r="S985" t="s">
        <v>40582</v>
      </c>
      <c r="T985" t="s">
        <v>42108</v>
      </c>
      <c r="U985" t="s">
        <v>43498</v>
      </c>
      <c r="V985" t="s">
        <v>53881</v>
      </c>
      <c r="W985" t="s">
        <v>37407</v>
      </c>
      <c r="X985" t="s">
        <v>40439</v>
      </c>
    </row>
    <row r="986" spans="1:24">
      <c r="A986">
        <f>HYPERLINK("https://www.philgeps.gov.ph/GEPSNONPILOT/Tender/SplashBidNoticeAbstractUI.aspx?menuIndex=3&amp;refID=7048086&amp;Result=3","7048086")</f>
        <v>0</v>
      </c>
      <c r="B986" t="s">
        <v>501</v>
      </c>
      <c r="C986" t="s">
        <v>4054</v>
      </c>
      <c r="D986" t="s">
        <v>16210</v>
      </c>
      <c r="E986" t="s">
        <v>17221</v>
      </c>
      <c r="F986" t="s">
        <v>28198</v>
      </c>
      <c r="G986" t="s">
        <v>28207</v>
      </c>
      <c r="H986" t="s">
        <v>28215</v>
      </c>
      <c r="I986" t="s">
        <v>4200</v>
      </c>
      <c r="J986" t="s">
        <v>29087</v>
      </c>
      <c r="K986" t="s">
        <v>36688</v>
      </c>
      <c r="M986" t="s">
        <v>37486</v>
      </c>
      <c r="N986" t="s">
        <v>40436</v>
      </c>
      <c r="O986" t="s">
        <v>40437</v>
      </c>
      <c r="P986">
        <v>0</v>
      </c>
      <c r="Q986">
        <v>0</v>
      </c>
      <c r="R986" t="s">
        <v>40438</v>
      </c>
      <c r="S986" t="s">
        <v>40582</v>
      </c>
      <c r="T986" t="s">
        <v>42188</v>
      </c>
      <c r="U986" t="s">
        <v>43499</v>
      </c>
      <c r="W986" t="s">
        <v>37486</v>
      </c>
      <c r="X986" t="s">
        <v>40439</v>
      </c>
    </row>
    <row r="987" spans="1:24">
      <c r="A987">
        <f>HYPERLINK("https://www.philgeps.gov.ph/GEPSNONPILOT/Tender/SplashBidNoticeAbstractUI.aspx?menuIndex=3&amp;refID=7048091&amp;Result=3","7048091")</f>
        <v>0</v>
      </c>
      <c r="B987" t="s">
        <v>432</v>
      </c>
      <c r="C987" t="s">
        <v>4055</v>
      </c>
      <c r="D987" t="s">
        <v>16262</v>
      </c>
      <c r="E987" t="s">
        <v>17222</v>
      </c>
      <c r="F987" t="s">
        <v>28198</v>
      </c>
      <c r="G987" t="s">
        <v>28207</v>
      </c>
      <c r="H987" t="s">
        <v>28215</v>
      </c>
      <c r="I987" t="s">
        <v>5100</v>
      </c>
      <c r="J987" t="s">
        <v>29088</v>
      </c>
      <c r="K987" t="s">
        <v>36707</v>
      </c>
      <c r="M987" t="s">
        <v>37415</v>
      </c>
      <c r="N987" t="s">
        <v>40436</v>
      </c>
      <c r="O987" t="s">
        <v>40437</v>
      </c>
      <c r="P987">
        <v>0</v>
      </c>
      <c r="Q987">
        <v>0</v>
      </c>
      <c r="R987" t="s">
        <v>40438</v>
      </c>
      <c r="S987" t="s">
        <v>40582</v>
      </c>
      <c r="T987" t="s">
        <v>42124</v>
      </c>
      <c r="U987" t="s">
        <v>43395</v>
      </c>
      <c r="W987" t="s">
        <v>37415</v>
      </c>
      <c r="X987" t="s">
        <v>40439</v>
      </c>
    </row>
    <row r="988" spans="1:24">
      <c r="A988">
        <f>HYPERLINK("https://www.philgeps.gov.ph/GEPSNONPILOT/Tender/SplashBidNoticeAbstractUI.aspx?menuIndex=3&amp;refID=7048071&amp;Result=3","7048071")</f>
        <v>0</v>
      </c>
      <c r="B988" t="s">
        <v>485</v>
      </c>
      <c r="C988" t="s">
        <v>4056</v>
      </c>
      <c r="D988" t="s">
        <v>16222</v>
      </c>
      <c r="E988" t="s">
        <v>17223</v>
      </c>
      <c r="F988" t="s">
        <v>28198</v>
      </c>
      <c r="G988" t="s">
        <v>28207</v>
      </c>
      <c r="H988" t="s">
        <v>28215</v>
      </c>
      <c r="I988" t="s">
        <v>4321</v>
      </c>
      <c r="J988" t="s">
        <v>28878</v>
      </c>
      <c r="K988" t="s">
        <v>36691</v>
      </c>
      <c r="M988" t="s">
        <v>37470</v>
      </c>
      <c r="N988" t="s">
        <v>40436</v>
      </c>
      <c r="O988" t="s">
        <v>40437</v>
      </c>
      <c r="P988">
        <v>0</v>
      </c>
      <c r="Q988">
        <v>0</v>
      </c>
      <c r="R988" t="s">
        <v>40438</v>
      </c>
      <c r="S988" t="s">
        <v>40582</v>
      </c>
      <c r="T988" t="s">
        <v>42103</v>
      </c>
      <c r="U988" t="s">
        <v>43500</v>
      </c>
      <c r="W988" t="s">
        <v>37470</v>
      </c>
      <c r="X988" t="s">
        <v>40439</v>
      </c>
    </row>
    <row r="989" spans="1:24">
      <c r="A989">
        <f>HYPERLINK("https://www.philgeps.gov.ph/GEPSNONPILOT/Tender/SplashBidNoticeAbstractUI.aspx?menuIndex=3&amp;refID=7048088&amp;Result=3","7048088")</f>
        <v>0</v>
      </c>
      <c r="B989" t="s">
        <v>509</v>
      </c>
      <c r="C989" t="s">
        <v>4057</v>
      </c>
      <c r="D989" t="s">
        <v>16239</v>
      </c>
      <c r="E989" t="s">
        <v>17224</v>
      </c>
      <c r="F989" t="s">
        <v>28198</v>
      </c>
      <c r="G989" t="s">
        <v>28206</v>
      </c>
      <c r="H989" t="s">
        <v>28215</v>
      </c>
      <c r="I989" t="s">
        <v>5082</v>
      </c>
      <c r="J989" t="s">
        <v>29089</v>
      </c>
      <c r="K989" t="s">
        <v>36688</v>
      </c>
      <c r="M989" t="s">
        <v>37494</v>
      </c>
      <c r="N989" t="s">
        <v>40436</v>
      </c>
      <c r="O989" t="s">
        <v>40437</v>
      </c>
      <c r="P989">
        <v>0</v>
      </c>
      <c r="Q989">
        <v>0</v>
      </c>
      <c r="R989" t="s">
        <v>40438</v>
      </c>
      <c r="S989" t="s">
        <v>40582</v>
      </c>
      <c r="T989" t="s">
        <v>42116</v>
      </c>
      <c r="U989" t="s">
        <v>43415</v>
      </c>
      <c r="W989" t="s">
        <v>37494</v>
      </c>
      <c r="X989" t="s">
        <v>40439</v>
      </c>
    </row>
    <row r="990" spans="1:24">
      <c r="A990">
        <f>HYPERLINK("https://www.philgeps.gov.ph/GEPSNONPILOT/Tender/SplashBidNoticeAbstractUI.aspx?menuIndex=3&amp;refID=7048078&amp;Result=3","7048078")</f>
        <v>0</v>
      </c>
      <c r="B990" t="s">
        <v>418</v>
      </c>
      <c r="C990" t="s">
        <v>4058</v>
      </c>
      <c r="D990" t="s">
        <v>16230</v>
      </c>
      <c r="E990" t="s">
        <v>17225</v>
      </c>
      <c r="F990" t="s">
        <v>28198</v>
      </c>
      <c r="G990" t="s">
        <v>28207</v>
      </c>
      <c r="H990" t="s">
        <v>28215</v>
      </c>
      <c r="I990" t="s">
        <v>28227</v>
      </c>
      <c r="J990" t="s">
        <v>29090</v>
      </c>
      <c r="K990" t="s">
        <v>36701</v>
      </c>
      <c r="M990" t="s">
        <v>37400</v>
      </c>
      <c r="N990" t="s">
        <v>40436</v>
      </c>
      <c r="O990" t="s">
        <v>40437</v>
      </c>
      <c r="P990">
        <v>0</v>
      </c>
      <c r="Q990">
        <v>0</v>
      </c>
      <c r="R990" t="s">
        <v>40438</v>
      </c>
      <c r="S990" t="s">
        <v>40582</v>
      </c>
      <c r="T990" t="s">
        <v>42124</v>
      </c>
      <c r="U990" t="s">
        <v>43501</v>
      </c>
      <c r="W990" t="s">
        <v>37400</v>
      </c>
      <c r="X990" t="s">
        <v>40439</v>
      </c>
    </row>
    <row r="991" spans="1:24">
      <c r="A991">
        <f>HYPERLINK("https://www.philgeps.gov.ph/GEPSNONPILOT/Tender/SplashBidNoticeAbstractUI.aspx?menuIndex=3&amp;refID=7048090&amp;Result=3","7048090")</f>
        <v>0</v>
      </c>
      <c r="B991" t="s">
        <v>482</v>
      </c>
      <c r="C991" t="s">
        <v>4059</v>
      </c>
      <c r="D991" t="s">
        <v>16215</v>
      </c>
      <c r="E991" t="s">
        <v>17226</v>
      </c>
      <c r="F991" t="s">
        <v>28198</v>
      </c>
      <c r="G991" t="s">
        <v>28207</v>
      </c>
      <c r="H991" t="s">
        <v>28215</v>
      </c>
      <c r="I991" t="s">
        <v>28281</v>
      </c>
      <c r="J991" t="s">
        <v>28878</v>
      </c>
      <c r="K991" t="s">
        <v>36688</v>
      </c>
      <c r="M991" t="s">
        <v>37467</v>
      </c>
      <c r="N991" t="s">
        <v>40436</v>
      </c>
      <c r="O991" t="s">
        <v>40437</v>
      </c>
      <c r="P991">
        <v>0</v>
      </c>
      <c r="Q991">
        <v>1</v>
      </c>
      <c r="R991" t="s">
        <v>40438</v>
      </c>
      <c r="S991" t="s">
        <v>40582</v>
      </c>
      <c r="T991" t="s">
        <v>42097</v>
      </c>
      <c r="U991" t="s">
        <v>43450</v>
      </c>
      <c r="W991" t="s">
        <v>37467</v>
      </c>
      <c r="X991" t="s">
        <v>40439</v>
      </c>
    </row>
    <row r="992" spans="1:24">
      <c r="A992">
        <f>HYPERLINK("https://www.philgeps.gov.ph/GEPSNONPILOT/Tender/SplashBidNoticeAbstractUI.aspx?menuIndex=3&amp;refID=7048101&amp;Result=3","7048101")</f>
        <v>0</v>
      </c>
      <c r="B992" t="s">
        <v>510</v>
      </c>
      <c r="C992" t="s">
        <v>4060</v>
      </c>
      <c r="D992" t="s">
        <v>16196</v>
      </c>
      <c r="E992" t="s">
        <v>17227</v>
      </c>
      <c r="F992" t="s">
        <v>28198</v>
      </c>
      <c r="G992" t="s">
        <v>28205</v>
      </c>
      <c r="H992" t="s">
        <v>28214</v>
      </c>
      <c r="I992" t="s">
        <v>3797</v>
      </c>
      <c r="J992" t="s">
        <v>28415</v>
      </c>
      <c r="K992" t="s">
        <v>36709</v>
      </c>
      <c r="M992" t="s">
        <v>37495</v>
      </c>
      <c r="N992" t="s">
        <v>40436</v>
      </c>
      <c r="O992" t="s">
        <v>40437</v>
      </c>
      <c r="P992">
        <v>0</v>
      </c>
      <c r="Q992">
        <v>0</v>
      </c>
      <c r="R992" t="s">
        <v>40438</v>
      </c>
      <c r="S992" t="s">
        <v>40582</v>
      </c>
      <c r="T992" t="s">
        <v>42130</v>
      </c>
      <c r="U992" t="s">
        <v>43502</v>
      </c>
      <c r="W992" t="s">
        <v>37495</v>
      </c>
      <c r="X992" t="s">
        <v>40439</v>
      </c>
    </row>
    <row r="993" spans="1:24">
      <c r="A993">
        <f>HYPERLINK("https://www.philgeps.gov.ph/GEPSNONPILOT/Tender/SplashBidNoticeAbstractUI.aspx?menuIndex=3&amp;refID=7048097&amp;Result=3","7048097")</f>
        <v>0</v>
      </c>
      <c r="B993" t="s">
        <v>415</v>
      </c>
      <c r="C993" t="s">
        <v>4061</v>
      </c>
      <c r="D993" t="s">
        <v>16261</v>
      </c>
      <c r="E993" t="s">
        <v>17041</v>
      </c>
      <c r="F993" t="s">
        <v>28198</v>
      </c>
      <c r="G993" t="s">
        <v>28207</v>
      </c>
      <c r="H993" t="s">
        <v>28215</v>
      </c>
      <c r="I993" t="s">
        <v>5100</v>
      </c>
      <c r="J993" t="s">
        <v>29091</v>
      </c>
      <c r="K993" t="s">
        <v>36687</v>
      </c>
      <c r="M993" t="s">
        <v>37397</v>
      </c>
      <c r="N993" t="s">
        <v>40436</v>
      </c>
      <c r="O993" t="s">
        <v>40437</v>
      </c>
      <c r="P993">
        <v>0</v>
      </c>
      <c r="Q993">
        <v>0</v>
      </c>
      <c r="R993" t="s">
        <v>40438</v>
      </c>
      <c r="S993" t="s">
        <v>40582</v>
      </c>
      <c r="T993" t="s">
        <v>42200</v>
      </c>
      <c r="U993" t="s">
        <v>43503</v>
      </c>
      <c r="W993" t="s">
        <v>37397</v>
      </c>
      <c r="X993" t="s">
        <v>40439</v>
      </c>
    </row>
    <row r="994" spans="1:24">
      <c r="A994">
        <f>HYPERLINK("https://www.philgeps.gov.ph/GEPSNONPILOT/Tender/SplashBidNoticeAbstractUI.aspx?menuIndex=3&amp;refID=7048103&amp;Result=3","7048103")</f>
        <v>0</v>
      </c>
      <c r="B994" t="s">
        <v>432</v>
      </c>
      <c r="C994" t="s">
        <v>4062</v>
      </c>
      <c r="D994" t="s">
        <v>16262</v>
      </c>
      <c r="E994" t="s">
        <v>17228</v>
      </c>
      <c r="F994" t="s">
        <v>28198</v>
      </c>
      <c r="G994" t="s">
        <v>28205</v>
      </c>
      <c r="H994" t="s">
        <v>28215</v>
      </c>
      <c r="I994" t="s">
        <v>5100</v>
      </c>
      <c r="J994" t="s">
        <v>29092</v>
      </c>
      <c r="K994" t="s">
        <v>36707</v>
      </c>
      <c r="M994" t="s">
        <v>37415</v>
      </c>
      <c r="N994" t="s">
        <v>40436</v>
      </c>
      <c r="O994" t="s">
        <v>40437</v>
      </c>
      <c r="P994">
        <v>0</v>
      </c>
      <c r="Q994">
        <v>0</v>
      </c>
      <c r="R994" t="s">
        <v>40438</v>
      </c>
      <c r="S994" t="s">
        <v>40582</v>
      </c>
      <c r="T994" t="s">
        <v>42115</v>
      </c>
      <c r="U994" t="s">
        <v>43437</v>
      </c>
      <c r="W994" t="s">
        <v>37415</v>
      </c>
      <c r="X994" t="s">
        <v>40439</v>
      </c>
    </row>
    <row r="995" spans="1:24">
      <c r="A995">
        <f>HYPERLINK("https://www.philgeps.gov.ph/GEPSNONPILOT/Tender/SplashBidNoticeAbstractUI.aspx?menuIndex=3&amp;refID=7048102&amp;Result=3","7048102")</f>
        <v>0</v>
      </c>
      <c r="B995" t="s">
        <v>509</v>
      </c>
      <c r="C995" t="s">
        <v>4063</v>
      </c>
      <c r="D995" t="s">
        <v>16239</v>
      </c>
      <c r="E995" t="s">
        <v>17229</v>
      </c>
      <c r="F995" t="s">
        <v>28198</v>
      </c>
      <c r="G995" t="s">
        <v>28206</v>
      </c>
      <c r="H995" t="s">
        <v>28215</v>
      </c>
      <c r="I995" t="s">
        <v>5082</v>
      </c>
      <c r="J995" t="s">
        <v>29093</v>
      </c>
      <c r="K995" t="s">
        <v>36688</v>
      </c>
      <c r="M995" t="s">
        <v>37494</v>
      </c>
      <c r="N995" t="s">
        <v>40436</v>
      </c>
      <c r="O995" t="s">
        <v>40437</v>
      </c>
      <c r="P995">
        <v>0</v>
      </c>
      <c r="Q995">
        <v>0</v>
      </c>
      <c r="R995" t="s">
        <v>40438</v>
      </c>
      <c r="S995" t="s">
        <v>40582</v>
      </c>
      <c r="T995" t="s">
        <v>42116</v>
      </c>
      <c r="U995" t="s">
        <v>43504</v>
      </c>
      <c r="W995" t="s">
        <v>37494</v>
      </c>
      <c r="X995" t="s">
        <v>40439</v>
      </c>
    </row>
    <row r="996" spans="1:24">
      <c r="A996">
        <f>HYPERLINK("https://www.philgeps.gov.ph/GEPSNONPILOT/Tender/SplashBidNoticeAbstractUI.aspx?menuIndex=3&amp;refID=7048098&amp;Result=3","7048098")</f>
        <v>0</v>
      </c>
      <c r="B996" t="s">
        <v>496</v>
      </c>
      <c r="C996" t="s">
        <v>4064</v>
      </c>
      <c r="D996" t="s">
        <v>16204</v>
      </c>
      <c r="E996" t="s">
        <v>17230</v>
      </c>
      <c r="F996" t="s">
        <v>28198</v>
      </c>
      <c r="G996" t="s">
        <v>28207</v>
      </c>
      <c r="H996" t="s">
        <v>28217</v>
      </c>
      <c r="I996" t="s">
        <v>28255</v>
      </c>
      <c r="J996" t="s">
        <v>28352</v>
      </c>
      <c r="K996" t="s">
        <v>36690</v>
      </c>
      <c r="M996" t="s">
        <v>37481</v>
      </c>
      <c r="N996" t="s">
        <v>40436</v>
      </c>
      <c r="O996" t="s">
        <v>40437</v>
      </c>
      <c r="P996">
        <v>0</v>
      </c>
      <c r="Q996">
        <v>0</v>
      </c>
      <c r="R996" t="s">
        <v>40438</v>
      </c>
      <c r="S996" t="s">
        <v>40582</v>
      </c>
      <c r="T996" t="s">
        <v>42133</v>
      </c>
      <c r="U996" t="s">
        <v>43505</v>
      </c>
      <c r="V996" t="s">
        <v>53903</v>
      </c>
      <c r="W996" t="s">
        <v>37481</v>
      </c>
      <c r="X996" t="s">
        <v>40439</v>
      </c>
    </row>
    <row r="997" spans="1:24">
      <c r="A997">
        <f>HYPERLINK("https://www.philgeps.gov.ph/GEPSNONPILOT/Tender/SplashBidNoticeAbstractUI.aspx?menuIndex=3&amp;refID=7048095&amp;Result=3","7048095")</f>
        <v>0</v>
      </c>
      <c r="B997" t="s">
        <v>511</v>
      </c>
      <c r="C997" t="s">
        <v>4065</v>
      </c>
      <c r="D997" t="s">
        <v>16258</v>
      </c>
      <c r="E997" t="s">
        <v>17231</v>
      </c>
      <c r="F997" t="s">
        <v>28198</v>
      </c>
      <c r="G997" t="s">
        <v>28207</v>
      </c>
      <c r="H997" t="s">
        <v>28215</v>
      </c>
      <c r="I997" t="s">
        <v>28234</v>
      </c>
      <c r="J997" t="s">
        <v>28373</v>
      </c>
      <c r="K997" t="s">
        <v>36689</v>
      </c>
      <c r="M997" t="s">
        <v>37496</v>
      </c>
      <c r="N997" t="s">
        <v>40436</v>
      </c>
      <c r="O997" t="s">
        <v>40437</v>
      </c>
      <c r="P997">
        <v>0</v>
      </c>
      <c r="Q997">
        <v>4</v>
      </c>
      <c r="R997" t="s">
        <v>40438</v>
      </c>
      <c r="S997" t="s">
        <v>40582</v>
      </c>
      <c r="T997" t="s">
        <v>42142</v>
      </c>
      <c r="U997" t="s">
        <v>43506</v>
      </c>
      <c r="W997" t="s">
        <v>37496</v>
      </c>
      <c r="X997" t="s">
        <v>40439</v>
      </c>
    </row>
    <row r="998" spans="1:24">
      <c r="A998">
        <f>HYPERLINK("https://www.philgeps.gov.ph/GEPSNONPILOT/Tender/SplashBidNoticeAbstractUI.aspx?menuIndex=3&amp;refID=7048096&amp;Result=3","7048096")</f>
        <v>0</v>
      </c>
      <c r="B998" t="s">
        <v>425</v>
      </c>
      <c r="C998" t="s">
        <v>4066</v>
      </c>
      <c r="D998" t="s">
        <v>16197</v>
      </c>
      <c r="E998" t="s">
        <v>17232</v>
      </c>
      <c r="F998" t="s">
        <v>28198</v>
      </c>
      <c r="G998" t="s">
        <v>28205</v>
      </c>
      <c r="H998" t="s">
        <v>28215</v>
      </c>
      <c r="I998" t="s">
        <v>5100</v>
      </c>
      <c r="J998" t="s">
        <v>29094</v>
      </c>
      <c r="K998" t="s">
        <v>36689</v>
      </c>
      <c r="M998" t="s">
        <v>37407</v>
      </c>
      <c r="N998" t="s">
        <v>40436</v>
      </c>
      <c r="O998" t="s">
        <v>40437</v>
      </c>
      <c r="P998">
        <v>0</v>
      </c>
      <c r="Q998">
        <v>1</v>
      </c>
      <c r="R998" t="s">
        <v>40438</v>
      </c>
      <c r="S998" t="s">
        <v>40582</v>
      </c>
      <c r="T998" t="s">
        <v>42108</v>
      </c>
      <c r="U998" t="s">
        <v>43507</v>
      </c>
      <c r="V998" t="s">
        <v>53881</v>
      </c>
      <c r="W998" t="s">
        <v>37407</v>
      </c>
      <c r="X998" t="s">
        <v>40439</v>
      </c>
    </row>
    <row r="999" spans="1:24">
      <c r="A999">
        <f>HYPERLINK("https://www.philgeps.gov.ph/GEPSNONPILOT/Tender/SplashBidNoticeAbstractUI.aspx?menuIndex=3&amp;refID=7048094&amp;Result=3","7048094")</f>
        <v>0</v>
      </c>
      <c r="B999" t="s">
        <v>129</v>
      </c>
      <c r="C999" t="s">
        <v>4067</v>
      </c>
      <c r="D999" t="s">
        <v>16210</v>
      </c>
      <c r="E999" t="s">
        <v>17233</v>
      </c>
      <c r="F999" t="s">
        <v>28198</v>
      </c>
      <c r="G999" t="s">
        <v>28206</v>
      </c>
      <c r="H999" t="s">
        <v>28215</v>
      </c>
      <c r="I999" t="s">
        <v>8888</v>
      </c>
      <c r="J999" t="s">
        <v>29095</v>
      </c>
      <c r="K999" t="s">
        <v>36706</v>
      </c>
      <c r="M999" t="s">
        <v>37151</v>
      </c>
      <c r="N999" t="s">
        <v>40436</v>
      </c>
      <c r="O999" t="s">
        <v>40437</v>
      </c>
      <c r="P999">
        <v>0</v>
      </c>
      <c r="Q999">
        <v>2</v>
      </c>
      <c r="R999" t="s">
        <v>40438</v>
      </c>
      <c r="S999" t="s">
        <v>40582</v>
      </c>
      <c r="T999" t="s">
        <v>42156</v>
      </c>
      <c r="U999" t="s">
        <v>43508</v>
      </c>
      <c r="V999" t="s">
        <v>53812</v>
      </c>
      <c r="W999" t="s">
        <v>37151</v>
      </c>
      <c r="X999" t="s">
        <v>40439</v>
      </c>
    </row>
    <row r="1000" spans="1:24">
      <c r="A1000">
        <f>HYPERLINK("https://www.philgeps.gov.ph/GEPSNONPILOT/Tender/SplashBidNoticeAbstractUI.aspx?menuIndex=3&amp;refID=7048100&amp;Result=3","7048100")</f>
        <v>0</v>
      </c>
      <c r="B1000" t="s">
        <v>512</v>
      </c>
      <c r="C1000" t="s">
        <v>4068</v>
      </c>
      <c r="D1000" t="s">
        <v>16200</v>
      </c>
      <c r="E1000" t="s">
        <v>17234</v>
      </c>
      <c r="F1000" t="s">
        <v>28198</v>
      </c>
      <c r="G1000" t="s">
        <v>28206</v>
      </c>
      <c r="H1000" t="s">
        <v>28215</v>
      </c>
      <c r="I1000" t="s">
        <v>5100</v>
      </c>
      <c r="J1000" t="s">
        <v>29096</v>
      </c>
      <c r="K1000" t="s">
        <v>36701</v>
      </c>
      <c r="M1000" t="s">
        <v>37497</v>
      </c>
      <c r="N1000" t="s">
        <v>40436</v>
      </c>
      <c r="O1000" t="s">
        <v>40437</v>
      </c>
      <c r="P1000">
        <v>0</v>
      </c>
      <c r="Q1000">
        <v>2</v>
      </c>
      <c r="R1000" t="s">
        <v>40438</v>
      </c>
      <c r="S1000" t="s">
        <v>40582</v>
      </c>
      <c r="T1000" t="s">
        <v>42175</v>
      </c>
      <c r="U1000" t="s">
        <v>43509</v>
      </c>
      <c r="W1000" t="s">
        <v>37497</v>
      </c>
      <c r="X1000" t="s">
        <v>40439</v>
      </c>
    </row>
    <row r="1001" spans="1:24">
      <c r="A1001">
        <f>HYPERLINK("https://www.philgeps.gov.ph/GEPSNONPILOT/Tender/SplashBidNoticeAbstractUI.aspx?menuIndex=3&amp;refID=7048104&amp;Result=3","7048104")</f>
        <v>0</v>
      </c>
      <c r="B1001" t="s">
        <v>504</v>
      </c>
      <c r="C1001" t="s">
        <v>4069</v>
      </c>
      <c r="D1001" t="s">
        <v>16258</v>
      </c>
      <c r="E1001" t="s">
        <v>17235</v>
      </c>
      <c r="F1001" t="s">
        <v>28198</v>
      </c>
      <c r="G1001" t="s">
        <v>28205</v>
      </c>
      <c r="H1001" t="s">
        <v>28215</v>
      </c>
      <c r="I1001" t="s">
        <v>5100</v>
      </c>
      <c r="J1001" t="s">
        <v>29097</v>
      </c>
      <c r="K1001" t="s">
        <v>36706</v>
      </c>
      <c r="M1001" t="s">
        <v>37489</v>
      </c>
      <c r="N1001" t="s">
        <v>40436</v>
      </c>
      <c r="O1001" t="s">
        <v>40437</v>
      </c>
      <c r="P1001">
        <v>0</v>
      </c>
      <c r="Q1001">
        <v>0</v>
      </c>
      <c r="R1001" t="s">
        <v>40438</v>
      </c>
      <c r="S1001" t="s">
        <v>40582</v>
      </c>
      <c r="T1001" t="s">
        <v>42097</v>
      </c>
      <c r="U1001" t="s">
        <v>43510</v>
      </c>
      <c r="W1001" t="s">
        <v>37489</v>
      </c>
      <c r="X1001" t="s">
        <v>40439</v>
      </c>
    </row>
    <row r="1002" spans="1:24">
      <c r="A1002">
        <f>HYPERLINK("https://www.philgeps.gov.ph/GEPSNONPILOT/Tender/SplashBidNoticeAbstractUI.aspx?menuIndex=3&amp;refID=7048099&amp;Result=3","7048099")</f>
        <v>0</v>
      </c>
      <c r="B1002" t="s">
        <v>513</v>
      </c>
      <c r="C1002" t="s">
        <v>4070</v>
      </c>
      <c r="D1002" t="s">
        <v>16189</v>
      </c>
      <c r="E1002" t="s">
        <v>17010</v>
      </c>
      <c r="F1002" t="s">
        <v>28198</v>
      </c>
      <c r="G1002" t="s">
        <v>28207</v>
      </c>
      <c r="H1002" t="s">
        <v>28215</v>
      </c>
      <c r="I1002" t="s">
        <v>28220</v>
      </c>
      <c r="J1002" t="s">
        <v>28878</v>
      </c>
      <c r="K1002" t="s">
        <v>36691</v>
      </c>
      <c r="M1002" t="s">
        <v>37498</v>
      </c>
      <c r="N1002" t="s">
        <v>40436</v>
      </c>
      <c r="O1002" t="s">
        <v>40437</v>
      </c>
      <c r="P1002">
        <v>0</v>
      </c>
      <c r="Q1002">
        <v>1</v>
      </c>
      <c r="R1002" t="s">
        <v>40438</v>
      </c>
      <c r="S1002" t="s">
        <v>40582</v>
      </c>
      <c r="T1002" t="s">
        <v>42175</v>
      </c>
      <c r="U1002" t="s">
        <v>43511</v>
      </c>
      <c r="W1002" t="s">
        <v>37498</v>
      </c>
      <c r="X1002" t="s">
        <v>40439</v>
      </c>
    </row>
    <row r="1003" spans="1:24">
      <c r="A1003">
        <f>HYPERLINK("https://www.philgeps.gov.ph/GEPSNONPILOT/Tender/SplashBidNoticeAbstractUI.aspx?menuIndex=3&amp;refID=7048112&amp;Result=3","7048112")</f>
        <v>0</v>
      </c>
      <c r="B1003" t="s">
        <v>425</v>
      </c>
      <c r="C1003" t="s">
        <v>4071</v>
      </c>
      <c r="D1003" t="s">
        <v>16197</v>
      </c>
      <c r="E1003" t="s">
        <v>17236</v>
      </c>
      <c r="F1003" t="s">
        <v>28198</v>
      </c>
      <c r="G1003" t="s">
        <v>28205</v>
      </c>
      <c r="H1003" t="s">
        <v>28215</v>
      </c>
      <c r="I1003" t="s">
        <v>5100</v>
      </c>
      <c r="J1003" t="s">
        <v>29098</v>
      </c>
      <c r="K1003" t="s">
        <v>36689</v>
      </c>
      <c r="M1003" t="s">
        <v>37407</v>
      </c>
      <c r="N1003" t="s">
        <v>40436</v>
      </c>
      <c r="O1003" t="s">
        <v>40437</v>
      </c>
      <c r="P1003">
        <v>0</v>
      </c>
      <c r="Q1003">
        <v>1</v>
      </c>
      <c r="R1003" t="s">
        <v>40438</v>
      </c>
      <c r="S1003" t="s">
        <v>40582</v>
      </c>
      <c r="T1003" t="s">
        <v>42108</v>
      </c>
      <c r="U1003" t="s">
        <v>43512</v>
      </c>
      <c r="V1003" t="s">
        <v>53881</v>
      </c>
      <c r="W1003" t="s">
        <v>37407</v>
      </c>
      <c r="X1003" t="s">
        <v>40439</v>
      </c>
    </row>
    <row r="1004" spans="1:24">
      <c r="A1004">
        <f>HYPERLINK("https://www.philgeps.gov.ph/GEPSNONPILOT/Tender/SplashBidNoticeAbstractUI.aspx?menuIndex=3&amp;refID=7048118&amp;Result=3","7048118")</f>
        <v>0</v>
      </c>
      <c r="B1004" t="s">
        <v>501</v>
      </c>
      <c r="C1004" t="s">
        <v>4072</v>
      </c>
      <c r="D1004" t="s">
        <v>16210</v>
      </c>
      <c r="E1004" t="s">
        <v>17237</v>
      </c>
      <c r="F1004" t="s">
        <v>28198</v>
      </c>
      <c r="G1004" t="s">
        <v>28207</v>
      </c>
      <c r="H1004" t="s">
        <v>28215</v>
      </c>
      <c r="I1004" t="s">
        <v>5791</v>
      </c>
      <c r="J1004" t="s">
        <v>29099</v>
      </c>
      <c r="K1004" t="s">
        <v>36688</v>
      </c>
      <c r="M1004" t="s">
        <v>37486</v>
      </c>
      <c r="N1004" t="s">
        <v>40436</v>
      </c>
      <c r="O1004" t="s">
        <v>40437</v>
      </c>
      <c r="P1004">
        <v>0</v>
      </c>
      <c r="Q1004">
        <v>0</v>
      </c>
      <c r="R1004" t="s">
        <v>40438</v>
      </c>
      <c r="S1004" t="s">
        <v>40582</v>
      </c>
      <c r="T1004" t="s">
        <v>42188</v>
      </c>
      <c r="U1004" t="s">
        <v>43513</v>
      </c>
      <c r="W1004" t="s">
        <v>37486</v>
      </c>
      <c r="X1004" t="s">
        <v>40439</v>
      </c>
    </row>
    <row r="1005" spans="1:24">
      <c r="A1005">
        <f>HYPERLINK("https://www.philgeps.gov.ph/GEPSNONPILOT/Tender/SplashBidNoticeAbstractUI.aspx?menuIndex=3&amp;refID=7048105&amp;Result=3","7048105")</f>
        <v>0</v>
      </c>
      <c r="B1005" t="s">
        <v>425</v>
      </c>
      <c r="C1005" t="s">
        <v>4073</v>
      </c>
      <c r="D1005" t="s">
        <v>16197</v>
      </c>
      <c r="E1005" t="s">
        <v>17238</v>
      </c>
      <c r="F1005" t="s">
        <v>28198</v>
      </c>
      <c r="G1005" t="s">
        <v>28205</v>
      </c>
      <c r="H1005" t="s">
        <v>28215</v>
      </c>
      <c r="I1005" t="s">
        <v>5100</v>
      </c>
      <c r="J1005" t="s">
        <v>29100</v>
      </c>
      <c r="K1005" t="s">
        <v>36689</v>
      </c>
      <c r="M1005" t="s">
        <v>37407</v>
      </c>
      <c r="N1005" t="s">
        <v>40436</v>
      </c>
      <c r="O1005" t="s">
        <v>40437</v>
      </c>
      <c r="P1005">
        <v>0</v>
      </c>
      <c r="Q1005">
        <v>1</v>
      </c>
      <c r="R1005" t="s">
        <v>40438</v>
      </c>
      <c r="S1005" t="s">
        <v>40582</v>
      </c>
      <c r="T1005" t="s">
        <v>42108</v>
      </c>
      <c r="U1005" t="s">
        <v>43514</v>
      </c>
      <c r="V1005" t="s">
        <v>53881</v>
      </c>
      <c r="W1005" t="s">
        <v>37407</v>
      </c>
      <c r="X1005" t="s">
        <v>40439</v>
      </c>
    </row>
    <row r="1006" spans="1:24">
      <c r="A1006">
        <f>HYPERLINK("https://www.philgeps.gov.ph/GEPSNONPILOT/Tender/SplashBidNoticeAbstractUI.aspx?menuIndex=3&amp;refID=7048110&amp;Result=3","7048110")</f>
        <v>0</v>
      </c>
      <c r="B1006" t="s">
        <v>335</v>
      </c>
      <c r="C1006" t="s">
        <v>4074</v>
      </c>
      <c r="D1006" t="s">
        <v>16221</v>
      </c>
      <c r="E1006" t="s">
        <v>17239</v>
      </c>
      <c r="F1006" t="s">
        <v>28198</v>
      </c>
      <c r="G1006" t="s">
        <v>28205</v>
      </c>
      <c r="H1006" t="s">
        <v>28214</v>
      </c>
      <c r="I1006" t="s">
        <v>3797</v>
      </c>
      <c r="J1006" t="s">
        <v>29101</v>
      </c>
      <c r="K1006" t="s">
        <v>36717</v>
      </c>
      <c r="M1006" t="s">
        <v>37313</v>
      </c>
      <c r="N1006" t="s">
        <v>40436</v>
      </c>
      <c r="O1006" t="s">
        <v>40437</v>
      </c>
      <c r="P1006">
        <v>0</v>
      </c>
      <c r="Q1006">
        <v>0</v>
      </c>
      <c r="R1006" t="s">
        <v>40438</v>
      </c>
      <c r="S1006" t="s">
        <v>40582</v>
      </c>
      <c r="T1006" t="s">
        <v>42108</v>
      </c>
      <c r="U1006" t="s">
        <v>43515</v>
      </c>
      <c r="W1006" t="s">
        <v>55444</v>
      </c>
      <c r="X1006" t="s">
        <v>40439</v>
      </c>
    </row>
    <row r="1007" spans="1:24">
      <c r="A1007">
        <f>HYPERLINK("https://www.philgeps.gov.ph/GEPSNONPILOT/Tender/SplashBidNoticeAbstractUI.aspx?menuIndex=3&amp;refID=7048115&amp;Result=3","7048115")</f>
        <v>0</v>
      </c>
      <c r="B1007" t="s">
        <v>272</v>
      </c>
      <c r="C1007" t="s">
        <v>3595</v>
      </c>
      <c r="D1007" t="s">
        <v>16202</v>
      </c>
      <c r="E1007" t="s">
        <v>17240</v>
      </c>
      <c r="F1007" t="s">
        <v>28198</v>
      </c>
      <c r="G1007" t="s">
        <v>28207</v>
      </c>
      <c r="H1007" t="s">
        <v>28215</v>
      </c>
      <c r="I1007" t="s">
        <v>28293</v>
      </c>
      <c r="J1007" t="s">
        <v>28352</v>
      </c>
      <c r="K1007" t="s">
        <v>36688</v>
      </c>
      <c r="M1007" t="s">
        <v>37249</v>
      </c>
      <c r="N1007" t="s">
        <v>40436</v>
      </c>
      <c r="O1007" t="s">
        <v>40437</v>
      </c>
      <c r="P1007">
        <v>0</v>
      </c>
      <c r="Q1007">
        <v>0</v>
      </c>
      <c r="R1007" t="s">
        <v>40438</v>
      </c>
      <c r="S1007" t="s">
        <v>40582</v>
      </c>
      <c r="T1007" t="s">
        <v>42119</v>
      </c>
      <c r="U1007" t="s">
        <v>43516</v>
      </c>
      <c r="W1007" t="s">
        <v>37249</v>
      </c>
      <c r="X1007" t="s">
        <v>40439</v>
      </c>
    </row>
    <row r="1008" spans="1:24">
      <c r="A1008">
        <f>HYPERLINK("https://www.philgeps.gov.ph/GEPSNONPILOT/Tender/SplashBidNoticeAbstractUI.aspx?menuIndex=3&amp;refID=7048106&amp;Result=3","7048106")</f>
        <v>0</v>
      </c>
      <c r="B1008" t="s">
        <v>482</v>
      </c>
      <c r="C1008" t="s">
        <v>4075</v>
      </c>
      <c r="D1008" t="s">
        <v>16215</v>
      </c>
      <c r="E1008" t="s">
        <v>17241</v>
      </c>
      <c r="F1008" t="s">
        <v>28198</v>
      </c>
      <c r="G1008" t="s">
        <v>28207</v>
      </c>
      <c r="H1008" t="s">
        <v>28215</v>
      </c>
      <c r="I1008" t="s">
        <v>4200</v>
      </c>
      <c r="J1008" t="s">
        <v>29102</v>
      </c>
      <c r="K1008" t="s">
        <v>36688</v>
      </c>
      <c r="M1008" t="s">
        <v>37467</v>
      </c>
      <c r="N1008" t="s">
        <v>40436</v>
      </c>
      <c r="O1008" t="s">
        <v>40437</v>
      </c>
      <c r="P1008">
        <v>0</v>
      </c>
      <c r="Q1008">
        <v>0</v>
      </c>
      <c r="R1008" t="s">
        <v>40438</v>
      </c>
      <c r="S1008" t="s">
        <v>40582</v>
      </c>
      <c r="T1008" t="s">
        <v>42097</v>
      </c>
      <c r="U1008" t="s">
        <v>43450</v>
      </c>
      <c r="W1008" t="s">
        <v>37467</v>
      </c>
      <c r="X1008" t="s">
        <v>40439</v>
      </c>
    </row>
    <row r="1009" spans="1:24">
      <c r="A1009">
        <f>HYPERLINK("https://www.philgeps.gov.ph/GEPSNONPILOT/Tender/SplashBidNoticeAbstractUI.aspx?menuIndex=3&amp;refID=7048113&amp;Result=3","7048113")</f>
        <v>0</v>
      </c>
      <c r="B1009" t="s">
        <v>512</v>
      </c>
      <c r="C1009" t="s">
        <v>4076</v>
      </c>
      <c r="D1009" t="s">
        <v>16200</v>
      </c>
      <c r="E1009" t="s">
        <v>17242</v>
      </c>
      <c r="F1009" t="s">
        <v>28198</v>
      </c>
      <c r="G1009" t="s">
        <v>28206</v>
      </c>
      <c r="H1009" t="s">
        <v>28215</v>
      </c>
      <c r="I1009" t="s">
        <v>5100</v>
      </c>
      <c r="J1009" t="s">
        <v>29103</v>
      </c>
      <c r="K1009" t="s">
        <v>36701</v>
      </c>
      <c r="M1009" t="s">
        <v>37497</v>
      </c>
      <c r="N1009" t="s">
        <v>40436</v>
      </c>
      <c r="O1009" t="s">
        <v>40437</v>
      </c>
      <c r="P1009">
        <v>0</v>
      </c>
      <c r="Q1009">
        <v>2</v>
      </c>
      <c r="R1009" t="s">
        <v>40438</v>
      </c>
      <c r="S1009" t="s">
        <v>40582</v>
      </c>
      <c r="T1009" t="s">
        <v>42175</v>
      </c>
      <c r="U1009" t="s">
        <v>43517</v>
      </c>
      <c r="W1009" t="s">
        <v>37497</v>
      </c>
      <c r="X1009" t="s">
        <v>40439</v>
      </c>
    </row>
    <row r="1010" spans="1:24">
      <c r="A1010">
        <f>HYPERLINK("https://www.philgeps.gov.ph/GEPSNONPILOT/Tender/SplashBidNoticeAbstractUI.aspx?menuIndex=3&amp;refID=7048117&amp;Result=3","7048117")</f>
        <v>0</v>
      </c>
      <c r="B1010" t="s">
        <v>482</v>
      </c>
      <c r="C1010" t="s">
        <v>4077</v>
      </c>
      <c r="D1010" t="s">
        <v>16215</v>
      </c>
      <c r="E1010" t="s">
        <v>17243</v>
      </c>
      <c r="F1010" t="s">
        <v>28198</v>
      </c>
      <c r="G1010" t="s">
        <v>28207</v>
      </c>
      <c r="H1010" t="s">
        <v>28215</v>
      </c>
      <c r="I1010" t="s">
        <v>28216</v>
      </c>
      <c r="J1010" t="s">
        <v>29104</v>
      </c>
      <c r="K1010" t="s">
        <v>36688</v>
      </c>
      <c r="M1010" t="s">
        <v>37467</v>
      </c>
      <c r="N1010" t="s">
        <v>40436</v>
      </c>
      <c r="O1010" t="s">
        <v>40437</v>
      </c>
      <c r="P1010">
        <v>0</v>
      </c>
      <c r="Q1010">
        <v>0</v>
      </c>
      <c r="R1010" t="s">
        <v>40438</v>
      </c>
      <c r="S1010" t="s">
        <v>40582</v>
      </c>
      <c r="T1010" t="s">
        <v>42097</v>
      </c>
      <c r="U1010" t="s">
        <v>43450</v>
      </c>
      <c r="W1010" t="s">
        <v>37467</v>
      </c>
      <c r="X1010" t="s">
        <v>40439</v>
      </c>
    </row>
    <row r="1011" spans="1:24">
      <c r="A1011">
        <f>HYPERLINK("https://www.philgeps.gov.ph/GEPSNONPILOT/Tender/SplashBidNoticeAbstractUI.aspx?menuIndex=3&amp;refID=7048127&amp;Result=3","7048127")</f>
        <v>0</v>
      </c>
      <c r="B1011" t="s">
        <v>503</v>
      </c>
      <c r="C1011" t="s">
        <v>4078</v>
      </c>
      <c r="D1011" t="s">
        <v>16235</v>
      </c>
      <c r="E1011" t="s">
        <v>17244</v>
      </c>
      <c r="F1011" t="s">
        <v>28198</v>
      </c>
      <c r="G1011" t="s">
        <v>28207</v>
      </c>
      <c r="H1011" t="s">
        <v>28215</v>
      </c>
      <c r="I1011" t="s">
        <v>28234</v>
      </c>
      <c r="J1011" t="s">
        <v>29105</v>
      </c>
      <c r="K1011" t="s">
        <v>36707</v>
      </c>
      <c r="M1011" t="s">
        <v>37488</v>
      </c>
      <c r="N1011" t="s">
        <v>40436</v>
      </c>
      <c r="O1011" t="s">
        <v>40437</v>
      </c>
      <c r="P1011">
        <v>0</v>
      </c>
      <c r="Q1011">
        <v>3</v>
      </c>
      <c r="R1011" t="s">
        <v>40438</v>
      </c>
      <c r="S1011" t="s">
        <v>40582</v>
      </c>
      <c r="T1011" t="s">
        <v>42124</v>
      </c>
      <c r="U1011" t="s">
        <v>43490</v>
      </c>
      <c r="W1011" t="s">
        <v>37488</v>
      </c>
      <c r="X1011" t="s">
        <v>40439</v>
      </c>
    </row>
    <row r="1012" spans="1:24">
      <c r="A1012">
        <f>HYPERLINK("https://www.philgeps.gov.ph/GEPSNONPILOT/Tender/SplashBidNoticeAbstractUI.aspx?menuIndex=3&amp;refID=7048126&amp;Result=3","7048126")</f>
        <v>0</v>
      </c>
      <c r="B1012" t="s">
        <v>482</v>
      </c>
      <c r="C1012" t="s">
        <v>4079</v>
      </c>
      <c r="D1012" t="s">
        <v>16215</v>
      </c>
      <c r="E1012" t="s">
        <v>17245</v>
      </c>
      <c r="F1012" t="s">
        <v>28198</v>
      </c>
      <c r="G1012" t="s">
        <v>28207</v>
      </c>
      <c r="H1012" t="s">
        <v>28215</v>
      </c>
      <c r="I1012" t="s">
        <v>4168</v>
      </c>
      <c r="J1012" t="s">
        <v>29106</v>
      </c>
      <c r="K1012" t="s">
        <v>36688</v>
      </c>
      <c r="M1012" t="s">
        <v>37467</v>
      </c>
      <c r="N1012" t="s">
        <v>40436</v>
      </c>
      <c r="O1012" t="s">
        <v>40437</v>
      </c>
      <c r="P1012">
        <v>0</v>
      </c>
      <c r="Q1012">
        <v>0</v>
      </c>
      <c r="R1012" t="s">
        <v>40438</v>
      </c>
      <c r="S1012" t="s">
        <v>40582</v>
      </c>
      <c r="T1012" t="s">
        <v>42097</v>
      </c>
      <c r="U1012" t="s">
        <v>43450</v>
      </c>
      <c r="W1012" t="s">
        <v>37467</v>
      </c>
      <c r="X1012" t="s">
        <v>40439</v>
      </c>
    </row>
    <row r="1013" spans="1:24">
      <c r="A1013">
        <f>HYPERLINK("https://www.philgeps.gov.ph/GEPSNONPILOT/Tender/SplashBidNoticeAbstractUI.aspx?menuIndex=3&amp;refID=7048116&amp;Result=3","7048116")</f>
        <v>0</v>
      </c>
      <c r="B1013" t="s">
        <v>415</v>
      </c>
      <c r="C1013" t="s">
        <v>4080</v>
      </c>
      <c r="D1013" t="s">
        <v>16261</v>
      </c>
      <c r="E1013" t="s">
        <v>17246</v>
      </c>
      <c r="F1013" t="s">
        <v>28198</v>
      </c>
      <c r="G1013" t="s">
        <v>28207</v>
      </c>
      <c r="H1013" t="s">
        <v>28215</v>
      </c>
      <c r="I1013" t="s">
        <v>28234</v>
      </c>
      <c r="J1013" t="s">
        <v>28566</v>
      </c>
      <c r="K1013" t="s">
        <v>36687</v>
      </c>
      <c r="M1013" t="s">
        <v>37397</v>
      </c>
      <c r="N1013" t="s">
        <v>40436</v>
      </c>
      <c r="O1013" t="s">
        <v>40437</v>
      </c>
      <c r="P1013">
        <v>0</v>
      </c>
      <c r="Q1013">
        <v>0</v>
      </c>
      <c r="R1013" t="s">
        <v>40438</v>
      </c>
      <c r="S1013" t="s">
        <v>40582</v>
      </c>
      <c r="T1013" t="s">
        <v>42200</v>
      </c>
      <c r="U1013" t="s">
        <v>43518</v>
      </c>
      <c r="W1013" t="s">
        <v>37397</v>
      </c>
      <c r="X1013" t="s">
        <v>40439</v>
      </c>
    </row>
    <row r="1014" spans="1:24">
      <c r="A1014">
        <f>HYPERLINK("https://www.philgeps.gov.ph/GEPSNONPILOT/Tender/SplashBidNoticeAbstractUI.aspx?menuIndex=3&amp;refID=7048109&amp;Result=3","7048109")</f>
        <v>0</v>
      </c>
      <c r="B1014" t="s">
        <v>514</v>
      </c>
      <c r="C1014" t="s">
        <v>4081</v>
      </c>
      <c r="D1014" t="s">
        <v>16203</v>
      </c>
      <c r="E1014" t="s">
        <v>17247</v>
      </c>
      <c r="F1014" t="s">
        <v>28200</v>
      </c>
      <c r="G1014" t="s">
        <v>28205</v>
      </c>
      <c r="H1014" t="s">
        <v>28215</v>
      </c>
      <c r="I1014" t="s">
        <v>5100</v>
      </c>
      <c r="J1014" t="s">
        <v>29107</v>
      </c>
      <c r="K1014" t="s">
        <v>36706</v>
      </c>
      <c r="M1014" t="s">
        <v>37499</v>
      </c>
      <c r="N1014" t="s">
        <v>40436</v>
      </c>
      <c r="O1014" t="s">
        <v>40437</v>
      </c>
      <c r="P1014">
        <v>0</v>
      </c>
      <c r="Q1014">
        <v>0</v>
      </c>
      <c r="R1014" t="s">
        <v>40438</v>
      </c>
      <c r="S1014" t="s">
        <v>40582</v>
      </c>
      <c r="T1014" t="s">
        <v>42165</v>
      </c>
      <c r="U1014" t="s">
        <v>43519</v>
      </c>
      <c r="V1014" t="s">
        <v>53904</v>
      </c>
      <c r="W1014" t="s">
        <v>37499</v>
      </c>
      <c r="X1014" t="s">
        <v>40439</v>
      </c>
    </row>
    <row r="1015" spans="1:24">
      <c r="A1015">
        <f>HYPERLINK("https://www.philgeps.gov.ph/GEPSNONPILOT/Tender/SplashBidNoticeAbstractUI.aspx?menuIndex=3&amp;refID=7048125&amp;Result=3","7048125")</f>
        <v>0</v>
      </c>
      <c r="B1015" t="s">
        <v>515</v>
      </c>
      <c r="C1015" t="s">
        <v>3098</v>
      </c>
      <c r="D1015" t="s">
        <v>16187</v>
      </c>
      <c r="E1015" t="s">
        <v>17248</v>
      </c>
      <c r="F1015" t="s">
        <v>28198</v>
      </c>
      <c r="G1015" t="s">
        <v>28206</v>
      </c>
      <c r="H1015" t="s">
        <v>28215</v>
      </c>
      <c r="I1015" t="s">
        <v>5082</v>
      </c>
      <c r="J1015" t="s">
        <v>28354</v>
      </c>
      <c r="K1015" t="s">
        <v>36743</v>
      </c>
      <c r="M1015" t="s">
        <v>37500</v>
      </c>
      <c r="N1015" t="s">
        <v>40436</v>
      </c>
      <c r="O1015" t="s">
        <v>40437</v>
      </c>
      <c r="P1015">
        <v>0</v>
      </c>
      <c r="Q1015">
        <v>0</v>
      </c>
      <c r="R1015" t="s">
        <v>40438</v>
      </c>
      <c r="S1015" t="s">
        <v>40582</v>
      </c>
      <c r="T1015" t="s">
        <v>42131</v>
      </c>
      <c r="U1015" t="s">
        <v>43520</v>
      </c>
      <c r="W1015" t="s">
        <v>37500</v>
      </c>
      <c r="X1015" t="s">
        <v>40439</v>
      </c>
    </row>
    <row r="1016" spans="1:24">
      <c r="A1016">
        <f>HYPERLINK("https://www.philgeps.gov.ph/GEPSNONPILOT/Tender/SplashBidNoticeAbstractUI.aspx?menuIndex=3&amp;refID=7048114&amp;Result=3","7048114")</f>
        <v>0</v>
      </c>
      <c r="B1016" t="s">
        <v>135</v>
      </c>
      <c r="C1016" t="s">
        <v>4082</v>
      </c>
      <c r="D1016" t="s">
        <v>16200</v>
      </c>
      <c r="E1016" t="s">
        <v>17249</v>
      </c>
      <c r="F1016" t="s">
        <v>28198</v>
      </c>
      <c r="G1016" t="s">
        <v>28206</v>
      </c>
      <c r="H1016" t="s">
        <v>28215</v>
      </c>
      <c r="I1016" t="s">
        <v>3774</v>
      </c>
      <c r="J1016" t="s">
        <v>29108</v>
      </c>
      <c r="K1016" t="s">
        <v>36689</v>
      </c>
      <c r="M1016" t="s">
        <v>37109</v>
      </c>
      <c r="N1016" t="s">
        <v>40436</v>
      </c>
      <c r="O1016" t="s">
        <v>40437</v>
      </c>
      <c r="P1016">
        <v>0</v>
      </c>
      <c r="Q1016">
        <v>0</v>
      </c>
      <c r="R1016" t="s">
        <v>40438</v>
      </c>
      <c r="S1016" t="s">
        <v>40582</v>
      </c>
      <c r="T1016" t="s">
        <v>42129</v>
      </c>
      <c r="U1016" t="s">
        <v>43521</v>
      </c>
      <c r="W1016" t="s">
        <v>37109</v>
      </c>
      <c r="X1016" t="s">
        <v>40439</v>
      </c>
    </row>
    <row r="1017" spans="1:24">
      <c r="A1017">
        <f>HYPERLINK("https://www.philgeps.gov.ph/GEPSNONPILOT/Tender/SplashBidNoticeAbstractUI.aspx?menuIndex=3&amp;refID=7048120&amp;Result=3","7048120")</f>
        <v>0</v>
      </c>
      <c r="B1017" t="s">
        <v>516</v>
      </c>
      <c r="C1017" t="s">
        <v>4083</v>
      </c>
      <c r="D1017" t="s">
        <v>16209</v>
      </c>
      <c r="E1017" t="s">
        <v>17250</v>
      </c>
      <c r="F1017" t="s">
        <v>28198</v>
      </c>
      <c r="G1017" t="s">
        <v>28207</v>
      </c>
      <c r="H1017" t="s">
        <v>28215</v>
      </c>
      <c r="I1017" t="s">
        <v>4219</v>
      </c>
      <c r="J1017" t="s">
        <v>29109</v>
      </c>
      <c r="K1017" t="s">
        <v>36688</v>
      </c>
      <c r="M1017" t="s">
        <v>37501</v>
      </c>
      <c r="N1017" t="s">
        <v>40436</v>
      </c>
      <c r="O1017" t="s">
        <v>40437</v>
      </c>
      <c r="P1017">
        <v>0</v>
      </c>
      <c r="Q1017">
        <v>0</v>
      </c>
      <c r="R1017" t="s">
        <v>40438</v>
      </c>
      <c r="S1017" t="s">
        <v>40582</v>
      </c>
      <c r="T1017" t="s">
        <v>42134</v>
      </c>
      <c r="U1017" t="s">
        <v>43522</v>
      </c>
      <c r="W1017" t="s">
        <v>37501</v>
      </c>
      <c r="X1017" t="s">
        <v>40439</v>
      </c>
    </row>
    <row r="1018" spans="1:24">
      <c r="A1018">
        <f>HYPERLINK("https://www.philgeps.gov.ph/GEPSNONPILOT/Tender/SplashBidNoticeAbstractUI.aspx?menuIndex=3&amp;refID=7048111&amp;Result=3","7048111")</f>
        <v>0</v>
      </c>
      <c r="B1018" t="s">
        <v>509</v>
      </c>
      <c r="C1018" t="s">
        <v>4084</v>
      </c>
      <c r="D1018" t="s">
        <v>16239</v>
      </c>
      <c r="E1018" t="s">
        <v>17251</v>
      </c>
      <c r="F1018" t="s">
        <v>28198</v>
      </c>
      <c r="G1018" t="s">
        <v>28206</v>
      </c>
      <c r="H1018" t="s">
        <v>28215</v>
      </c>
      <c r="I1018" t="s">
        <v>28281</v>
      </c>
      <c r="J1018" t="s">
        <v>28691</v>
      </c>
      <c r="K1018" t="s">
        <v>36688</v>
      </c>
      <c r="M1018" t="s">
        <v>37494</v>
      </c>
      <c r="N1018" t="s">
        <v>40436</v>
      </c>
      <c r="O1018" t="s">
        <v>40437</v>
      </c>
      <c r="P1018">
        <v>0</v>
      </c>
      <c r="Q1018">
        <v>5</v>
      </c>
      <c r="R1018" t="s">
        <v>40438</v>
      </c>
      <c r="S1018" t="s">
        <v>40582</v>
      </c>
      <c r="T1018" t="s">
        <v>42116</v>
      </c>
      <c r="U1018" t="s">
        <v>43523</v>
      </c>
      <c r="W1018" t="s">
        <v>37494</v>
      </c>
      <c r="X1018" t="s">
        <v>40439</v>
      </c>
    </row>
    <row r="1019" spans="1:24">
      <c r="A1019">
        <f>HYPERLINK("https://www.philgeps.gov.ph/GEPSNONPILOT/Tender/SplashBidNoticeAbstractUI.aspx?menuIndex=3&amp;refID=7048123&amp;Result=3","7048123")</f>
        <v>0</v>
      </c>
      <c r="B1019" t="s">
        <v>448</v>
      </c>
      <c r="C1019" t="s">
        <v>4085</v>
      </c>
      <c r="D1019" t="s">
        <v>16195</v>
      </c>
      <c r="E1019" t="s">
        <v>17252</v>
      </c>
      <c r="F1019" t="s">
        <v>28198</v>
      </c>
      <c r="G1019" t="s">
        <v>28207</v>
      </c>
      <c r="H1019" t="s">
        <v>28215</v>
      </c>
      <c r="I1019" t="s">
        <v>4168</v>
      </c>
      <c r="J1019" t="s">
        <v>29110</v>
      </c>
      <c r="K1019" t="s">
        <v>36689</v>
      </c>
      <c r="M1019" t="s">
        <v>37432</v>
      </c>
      <c r="N1019" t="s">
        <v>40436</v>
      </c>
      <c r="O1019" t="s">
        <v>40437</v>
      </c>
      <c r="P1019">
        <v>0</v>
      </c>
      <c r="Q1019">
        <v>0</v>
      </c>
      <c r="R1019" t="s">
        <v>40438</v>
      </c>
      <c r="S1019" t="s">
        <v>40582</v>
      </c>
      <c r="T1019" t="s">
        <v>42103</v>
      </c>
      <c r="U1019" t="s">
        <v>43524</v>
      </c>
      <c r="W1019" t="s">
        <v>37432</v>
      </c>
      <c r="X1019" t="s">
        <v>40439</v>
      </c>
    </row>
    <row r="1020" spans="1:24">
      <c r="A1020">
        <f>HYPERLINK("https://www.philgeps.gov.ph/GEPSNONPILOT/Tender/SplashBidNoticeAbstractUI.aspx?menuIndex=3&amp;refID=7048129&amp;Result=3","7048129")</f>
        <v>0</v>
      </c>
      <c r="B1020" t="s">
        <v>515</v>
      </c>
      <c r="C1020" t="s">
        <v>4086</v>
      </c>
      <c r="D1020" t="s">
        <v>16187</v>
      </c>
      <c r="E1020" t="s">
        <v>16588</v>
      </c>
      <c r="F1020" t="s">
        <v>28198</v>
      </c>
      <c r="G1020" t="s">
        <v>28206</v>
      </c>
      <c r="H1020" t="s">
        <v>28215</v>
      </c>
      <c r="I1020" t="s">
        <v>4321</v>
      </c>
      <c r="J1020" t="s">
        <v>28354</v>
      </c>
      <c r="K1020" t="s">
        <v>36743</v>
      </c>
      <c r="M1020" t="s">
        <v>37500</v>
      </c>
      <c r="N1020" t="s">
        <v>40436</v>
      </c>
      <c r="O1020" t="s">
        <v>40437</v>
      </c>
      <c r="P1020">
        <v>0</v>
      </c>
      <c r="Q1020">
        <v>0</v>
      </c>
      <c r="R1020" t="s">
        <v>40438</v>
      </c>
      <c r="S1020" t="s">
        <v>40582</v>
      </c>
      <c r="T1020" t="s">
        <v>42131</v>
      </c>
      <c r="U1020" t="s">
        <v>43525</v>
      </c>
      <c r="W1020" t="s">
        <v>37500</v>
      </c>
      <c r="X1020" t="s">
        <v>40439</v>
      </c>
    </row>
    <row r="1021" spans="1:24">
      <c r="A1021">
        <f>HYPERLINK("https://www.philgeps.gov.ph/GEPSNONPILOT/Tender/SplashBidNoticeAbstractUI.aspx?menuIndex=3&amp;refID=7048132&amp;Result=3","7048132")</f>
        <v>0</v>
      </c>
      <c r="B1021" t="s">
        <v>400</v>
      </c>
      <c r="C1021" t="s">
        <v>4087</v>
      </c>
      <c r="D1021" t="s">
        <v>16210</v>
      </c>
      <c r="E1021" t="s">
        <v>17253</v>
      </c>
      <c r="F1021" t="s">
        <v>28198</v>
      </c>
      <c r="G1021" t="s">
        <v>28207</v>
      </c>
      <c r="H1021" t="s">
        <v>28215</v>
      </c>
      <c r="I1021" t="s">
        <v>28294</v>
      </c>
      <c r="J1021" t="s">
        <v>29111</v>
      </c>
      <c r="K1021" t="s">
        <v>36689</v>
      </c>
      <c r="M1021" t="s">
        <v>37380</v>
      </c>
      <c r="N1021" t="s">
        <v>40436</v>
      </c>
      <c r="O1021" t="s">
        <v>40437</v>
      </c>
      <c r="P1021">
        <v>0</v>
      </c>
      <c r="Q1021">
        <v>0</v>
      </c>
      <c r="R1021" t="s">
        <v>40438</v>
      </c>
      <c r="S1021" t="s">
        <v>40582</v>
      </c>
      <c r="T1021" t="s">
        <v>42160</v>
      </c>
      <c r="U1021" t="s">
        <v>43296</v>
      </c>
      <c r="W1021" t="s">
        <v>37380</v>
      </c>
      <c r="X1021" t="s">
        <v>40439</v>
      </c>
    </row>
    <row r="1022" spans="1:24">
      <c r="A1022">
        <f>HYPERLINK("https://www.philgeps.gov.ph/GEPSNONPILOT/Tender/SplashBidNoticeAbstractUI.aspx?menuIndex=3&amp;refID=7048119&amp;Result=3","7048119")</f>
        <v>0</v>
      </c>
      <c r="B1022" t="s">
        <v>517</v>
      </c>
      <c r="C1022" t="s">
        <v>4088</v>
      </c>
      <c r="E1022" t="s">
        <v>17254</v>
      </c>
      <c r="F1022" t="s">
        <v>28198</v>
      </c>
      <c r="G1022" t="s">
        <v>28205</v>
      </c>
      <c r="H1022" t="s">
        <v>28215</v>
      </c>
      <c r="I1022" t="s">
        <v>28259</v>
      </c>
      <c r="J1022" t="s">
        <v>28378</v>
      </c>
      <c r="K1022" t="s">
        <v>36689</v>
      </c>
      <c r="M1022" t="s">
        <v>37502</v>
      </c>
      <c r="N1022" t="s">
        <v>40436</v>
      </c>
      <c r="O1022" t="s">
        <v>40437</v>
      </c>
      <c r="P1022">
        <v>0</v>
      </c>
      <c r="Q1022">
        <v>2</v>
      </c>
      <c r="R1022" t="s">
        <v>40438</v>
      </c>
      <c r="S1022" t="s">
        <v>40582</v>
      </c>
      <c r="T1022" t="s">
        <v>42098</v>
      </c>
      <c r="U1022" t="s">
        <v>43526</v>
      </c>
      <c r="W1022" t="s">
        <v>37502</v>
      </c>
      <c r="X1022" t="s">
        <v>40439</v>
      </c>
    </row>
    <row r="1023" spans="1:24">
      <c r="A1023">
        <f>HYPERLINK("https://www.philgeps.gov.ph/GEPSNONPILOT/Tender/SplashBidNoticeAbstractUI.aspx?menuIndex=3&amp;refID=7048145&amp;Result=3","7048145")</f>
        <v>0</v>
      </c>
      <c r="B1023" t="s">
        <v>518</v>
      </c>
      <c r="C1023" t="s">
        <v>4089</v>
      </c>
      <c r="D1023" t="s">
        <v>16246</v>
      </c>
      <c r="E1023" t="s">
        <v>17255</v>
      </c>
      <c r="F1023" t="s">
        <v>28198</v>
      </c>
      <c r="G1023" t="s">
        <v>28205</v>
      </c>
      <c r="H1023" t="s">
        <v>28214</v>
      </c>
      <c r="I1023" t="s">
        <v>5100</v>
      </c>
      <c r="J1023" t="s">
        <v>28406</v>
      </c>
      <c r="K1023" t="s">
        <v>36701</v>
      </c>
      <c r="M1023" t="s">
        <v>37503</v>
      </c>
      <c r="N1023" t="s">
        <v>40436</v>
      </c>
      <c r="O1023" t="s">
        <v>40437</v>
      </c>
      <c r="P1023">
        <v>0</v>
      </c>
      <c r="Q1023">
        <v>0</v>
      </c>
      <c r="R1023" t="s">
        <v>40438</v>
      </c>
      <c r="S1023" t="s">
        <v>40582</v>
      </c>
      <c r="T1023" t="s">
        <v>42112</v>
      </c>
      <c r="U1023" t="s">
        <v>43527</v>
      </c>
      <c r="W1023" t="s">
        <v>37503</v>
      </c>
      <c r="X1023" t="s">
        <v>40439</v>
      </c>
    </row>
    <row r="1024" spans="1:24">
      <c r="A1024">
        <f>HYPERLINK("https://www.philgeps.gov.ph/GEPSNONPILOT/Tender/SplashBidNoticeAbstractUI.aspx?menuIndex=3&amp;refID=7048141&amp;Result=3","7048141")</f>
        <v>0</v>
      </c>
      <c r="B1024" t="s">
        <v>519</v>
      </c>
      <c r="C1024" t="s">
        <v>4090</v>
      </c>
      <c r="D1024" t="s">
        <v>16190</v>
      </c>
      <c r="E1024" t="s">
        <v>16606</v>
      </c>
      <c r="F1024" t="s">
        <v>28198</v>
      </c>
      <c r="G1024" t="s">
        <v>28207</v>
      </c>
      <c r="H1024" t="s">
        <v>28215</v>
      </c>
      <c r="I1024" t="s">
        <v>4219</v>
      </c>
      <c r="J1024" t="s">
        <v>29112</v>
      </c>
      <c r="K1024" t="s">
        <v>36688</v>
      </c>
      <c r="M1024" t="s">
        <v>37504</v>
      </c>
      <c r="N1024" t="s">
        <v>40436</v>
      </c>
      <c r="O1024" t="s">
        <v>40437</v>
      </c>
      <c r="P1024">
        <v>0</v>
      </c>
      <c r="Q1024">
        <v>0</v>
      </c>
      <c r="R1024" t="s">
        <v>40438</v>
      </c>
      <c r="S1024" t="s">
        <v>40582</v>
      </c>
      <c r="T1024" t="s">
        <v>42103</v>
      </c>
      <c r="U1024" t="s">
        <v>43528</v>
      </c>
      <c r="W1024" t="s">
        <v>37504</v>
      </c>
      <c r="X1024" t="s">
        <v>40439</v>
      </c>
    </row>
    <row r="1025" spans="1:24">
      <c r="A1025">
        <f>HYPERLINK("https://www.philgeps.gov.ph/GEPSNONPILOT/Tender/SplashBidNoticeAbstractUI.aspx?menuIndex=3&amp;refID=7048122&amp;Result=3","7048122")</f>
        <v>0</v>
      </c>
      <c r="B1025" t="s">
        <v>272</v>
      </c>
      <c r="C1025" t="s">
        <v>4091</v>
      </c>
      <c r="D1025" t="s">
        <v>16202</v>
      </c>
      <c r="E1025" t="s">
        <v>17256</v>
      </c>
      <c r="F1025" t="s">
        <v>28198</v>
      </c>
      <c r="G1025" t="s">
        <v>28207</v>
      </c>
      <c r="H1025" t="s">
        <v>28215</v>
      </c>
      <c r="I1025" t="s">
        <v>28295</v>
      </c>
      <c r="J1025" t="s">
        <v>28352</v>
      </c>
      <c r="K1025" t="s">
        <v>36688</v>
      </c>
      <c r="M1025" t="s">
        <v>37249</v>
      </c>
      <c r="N1025" t="s">
        <v>40436</v>
      </c>
      <c r="O1025" t="s">
        <v>40437</v>
      </c>
      <c r="P1025">
        <v>0</v>
      </c>
      <c r="Q1025">
        <v>1</v>
      </c>
      <c r="R1025" t="s">
        <v>40438</v>
      </c>
      <c r="S1025" t="s">
        <v>40582</v>
      </c>
      <c r="T1025" t="s">
        <v>42119</v>
      </c>
      <c r="U1025" t="s">
        <v>43529</v>
      </c>
      <c r="W1025" t="s">
        <v>37249</v>
      </c>
      <c r="X1025" t="s">
        <v>40439</v>
      </c>
    </row>
    <row r="1026" spans="1:24">
      <c r="A1026">
        <f>HYPERLINK("https://www.philgeps.gov.ph/GEPSNONPILOT/Tender/SplashBidNoticeAbstractUI.aspx?menuIndex=3&amp;refID=7048144&amp;Result=3","7048144")</f>
        <v>0</v>
      </c>
      <c r="B1026" t="s">
        <v>116</v>
      </c>
      <c r="C1026" t="s">
        <v>4092</v>
      </c>
      <c r="D1026" t="s">
        <v>16207</v>
      </c>
      <c r="E1026" t="s">
        <v>17257</v>
      </c>
      <c r="F1026" t="s">
        <v>28198</v>
      </c>
      <c r="G1026" t="s">
        <v>28207</v>
      </c>
      <c r="H1026" t="s">
        <v>28215</v>
      </c>
      <c r="I1026" t="s">
        <v>4200</v>
      </c>
      <c r="J1026" t="s">
        <v>28393</v>
      </c>
      <c r="K1026" t="s">
        <v>36706</v>
      </c>
      <c r="M1026" t="s">
        <v>37090</v>
      </c>
      <c r="N1026" t="s">
        <v>40436</v>
      </c>
      <c r="O1026" t="s">
        <v>40437</v>
      </c>
      <c r="P1026">
        <v>0</v>
      </c>
      <c r="Q1026">
        <v>1</v>
      </c>
      <c r="R1026" t="s">
        <v>40438</v>
      </c>
      <c r="S1026" t="s">
        <v>40582</v>
      </c>
      <c r="T1026" t="s">
        <v>42103</v>
      </c>
      <c r="U1026" t="s">
        <v>43530</v>
      </c>
      <c r="W1026" t="s">
        <v>37090</v>
      </c>
      <c r="X1026" t="s">
        <v>40439</v>
      </c>
    </row>
    <row r="1027" spans="1:24">
      <c r="A1027">
        <f>HYPERLINK("https://www.philgeps.gov.ph/GEPSNONPILOT/Tender/SplashBidNoticeAbstractUI.aspx?menuIndex=3&amp;refID=7048140&amp;Result=3","7048140")</f>
        <v>0</v>
      </c>
      <c r="B1027" t="s">
        <v>520</v>
      </c>
      <c r="C1027" t="s">
        <v>4093</v>
      </c>
      <c r="D1027" t="s">
        <v>16247</v>
      </c>
      <c r="E1027" t="s">
        <v>17258</v>
      </c>
      <c r="F1027" t="s">
        <v>28198</v>
      </c>
      <c r="G1027" t="s">
        <v>28207</v>
      </c>
      <c r="H1027" t="s">
        <v>28215</v>
      </c>
      <c r="I1027" t="s">
        <v>4222</v>
      </c>
      <c r="J1027" t="s">
        <v>28345</v>
      </c>
      <c r="K1027" t="s">
        <v>36701</v>
      </c>
      <c r="M1027" t="s">
        <v>37505</v>
      </c>
      <c r="N1027" t="s">
        <v>40436</v>
      </c>
      <c r="O1027" t="s">
        <v>40437</v>
      </c>
      <c r="P1027">
        <v>0</v>
      </c>
      <c r="Q1027">
        <v>2</v>
      </c>
      <c r="R1027" t="s">
        <v>40438</v>
      </c>
      <c r="S1027" t="s">
        <v>40582</v>
      </c>
      <c r="T1027" t="s">
        <v>42203</v>
      </c>
      <c r="U1027" t="s">
        <v>43531</v>
      </c>
      <c r="W1027" t="s">
        <v>37505</v>
      </c>
      <c r="X1027" t="s">
        <v>40439</v>
      </c>
    </row>
    <row r="1028" spans="1:24">
      <c r="A1028">
        <f>HYPERLINK("https://www.philgeps.gov.ph/GEPSNONPILOT/Tender/SplashBidNoticeAbstractUI.aspx?menuIndex=3&amp;refID=7048138&amp;Result=3","7048138")</f>
        <v>0</v>
      </c>
      <c r="B1028" t="s">
        <v>521</v>
      </c>
      <c r="C1028" t="s">
        <v>4094</v>
      </c>
      <c r="D1028" t="s">
        <v>16254</v>
      </c>
      <c r="E1028" t="s">
        <v>17259</v>
      </c>
      <c r="F1028" t="s">
        <v>28198</v>
      </c>
      <c r="G1028" t="s">
        <v>28206</v>
      </c>
      <c r="H1028" t="s">
        <v>28215</v>
      </c>
      <c r="I1028" t="s">
        <v>28227</v>
      </c>
      <c r="J1028" t="s">
        <v>28352</v>
      </c>
      <c r="K1028" t="s">
        <v>36688</v>
      </c>
      <c r="M1028" t="s">
        <v>37506</v>
      </c>
      <c r="N1028" t="s">
        <v>40436</v>
      </c>
      <c r="O1028" t="s">
        <v>40437</v>
      </c>
      <c r="P1028">
        <v>0</v>
      </c>
      <c r="Q1028">
        <v>1</v>
      </c>
      <c r="R1028" t="s">
        <v>40438</v>
      </c>
      <c r="S1028" t="s">
        <v>40582</v>
      </c>
      <c r="T1028" t="s">
        <v>42134</v>
      </c>
      <c r="U1028" t="s">
        <v>43532</v>
      </c>
      <c r="V1028" t="s">
        <v>53905</v>
      </c>
      <c r="W1028" t="s">
        <v>37506</v>
      </c>
      <c r="X1028" t="s">
        <v>40439</v>
      </c>
    </row>
    <row r="1029" spans="1:24">
      <c r="A1029">
        <f>HYPERLINK("https://www.philgeps.gov.ph/GEPSNONPILOT/Tender/SplashBidNoticeAbstractUI.aspx?menuIndex=3&amp;refID=7048142&amp;Result=3","7048142")</f>
        <v>0</v>
      </c>
      <c r="B1029" t="s">
        <v>522</v>
      </c>
      <c r="C1029" t="s">
        <v>4095</v>
      </c>
      <c r="D1029" t="s">
        <v>16239</v>
      </c>
      <c r="E1029" t="s">
        <v>17260</v>
      </c>
      <c r="F1029" t="s">
        <v>28198</v>
      </c>
      <c r="G1029" t="s">
        <v>28209</v>
      </c>
      <c r="H1029" t="s">
        <v>28215</v>
      </c>
      <c r="I1029" t="s">
        <v>28222</v>
      </c>
      <c r="J1029" t="s">
        <v>29113</v>
      </c>
      <c r="K1029" t="s">
        <v>36701</v>
      </c>
      <c r="M1029" t="s">
        <v>37507</v>
      </c>
      <c r="N1029" t="s">
        <v>40436</v>
      </c>
      <c r="O1029" t="s">
        <v>40437</v>
      </c>
      <c r="P1029">
        <v>0</v>
      </c>
      <c r="Q1029">
        <v>1</v>
      </c>
      <c r="R1029" t="s">
        <v>40438</v>
      </c>
      <c r="S1029" t="s">
        <v>40582</v>
      </c>
      <c r="T1029" t="s">
        <v>42142</v>
      </c>
      <c r="U1029" t="s">
        <v>43533</v>
      </c>
      <c r="W1029" t="s">
        <v>37507</v>
      </c>
      <c r="X1029" t="s">
        <v>40439</v>
      </c>
    </row>
    <row r="1030" spans="1:24">
      <c r="A1030">
        <f>HYPERLINK("https://www.philgeps.gov.ph/GEPSNONPILOT/Tender/SplashBidNoticeAbstractUI.aspx?menuIndex=3&amp;refID=7048136&amp;Result=3","7048136")</f>
        <v>0</v>
      </c>
      <c r="B1030" t="s">
        <v>523</v>
      </c>
      <c r="C1030" t="s">
        <v>4096</v>
      </c>
      <c r="D1030" t="s">
        <v>16210</v>
      </c>
      <c r="E1030" t="s">
        <v>17261</v>
      </c>
      <c r="F1030" t="s">
        <v>28198</v>
      </c>
      <c r="G1030" t="s">
        <v>28207</v>
      </c>
      <c r="H1030" t="s">
        <v>28214</v>
      </c>
      <c r="I1030" t="s">
        <v>8870</v>
      </c>
      <c r="J1030" t="s">
        <v>28352</v>
      </c>
      <c r="K1030" t="s">
        <v>36707</v>
      </c>
      <c r="M1030" t="s">
        <v>37508</v>
      </c>
      <c r="N1030" t="s">
        <v>40436</v>
      </c>
      <c r="O1030" t="s">
        <v>40437</v>
      </c>
      <c r="P1030">
        <v>0</v>
      </c>
      <c r="Q1030">
        <v>3</v>
      </c>
      <c r="R1030" t="s">
        <v>40438</v>
      </c>
      <c r="S1030" t="s">
        <v>40582</v>
      </c>
      <c r="T1030" t="s">
        <v>42119</v>
      </c>
      <c r="U1030" t="s">
        <v>43534</v>
      </c>
      <c r="W1030" t="s">
        <v>55450</v>
      </c>
      <c r="X1030" t="s">
        <v>40439</v>
      </c>
    </row>
    <row r="1031" spans="1:24">
      <c r="A1031">
        <f>HYPERLINK("https://www.philgeps.gov.ph/GEPSNONPILOT/Tender/SplashBidNoticeAbstractUI.aspx?menuIndex=3&amp;refID=7048146&amp;Result=3","7048146")</f>
        <v>0</v>
      </c>
      <c r="B1031" t="s">
        <v>524</v>
      </c>
      <c r="C1031" t="s">
        <v>4097</v>
      </c>
      <c r="D1031" t="s">
        <v>16214</v>
      </c>
      <c r="E1031" t="s">
        <v>17262</v>
      </c>
      <c r="F1031" t="s">
        <v>28198</v>
      </c>
      <c r="G1031" t="s">
        <v>28205</v>
      </c>
      <c r="H1031" t="s">
        <v>28214</v>
      </c>
      <c r="I1031" t="s">
        <v>3797</v>
      </c>
      <c r="J1031" t="s">
        <v>29114</v>
      </c>
      <c r="K1031" t="s">
        <v>36737</v>
      </c>
      <c r="M1031" t="s">
        <v>37509</v>
      </c>
      <c r="N1031" t="s">
        <v>40436</v>
      </c>
      <c r="O1031" t="s">
        <v>40437</v>
      </c>
      <c r="P1031">
        <v>0</v>
      </c>
      <c r="Q1031">
        <v>0</v>
      </c>
      <c r="R1031" t="s">
        <v>40438</v>
      </c>
      <c r="S1031" t="s">
        <v>40582</v>
      </c>
      <c r="T1031" t="s">
        <v>42097</v>
      </c>
      <c r="U1031" t="s">
        <v>43535</v>
      </c>
      <c r="V1031" t="s">
        <v>53906</v>
      </c>
      <c r="W1031" t="s">
        <v>37509</v>
      </c>
      <c r="X1031" t="s">
        <v>40439</v>
      </c>
    </row>
    <row r="1032" spans="1:24">
      <c r="A1032">
        <f>HYPERLINK("https://www.philgeps.gov.ph/GEPSNONPILOT/Tender/SplashBidNoticeAbstractUI.aspx?menuIndex=3&amp;refID=7048137&amp;Result=3","7048137")</f>
        <v>0</v>
      </c>
      <c r="B1032" t="s">
        <v>430</v>
      </c>
      <c r="C1032" t="s">
        <v>4098</v>
      </c>
      <c r="D1032" t="s">
        <v>16255</v>
      </c>
      <c r="E1032" t="s">
        <v>17263</v>
      </c>
      <c r="F1032" t="s">
        <v>28198</v>
      </c>
      <c r="G1032" t="s">
        <v>28205</v>
      </c>
      <c r="H1032" t="s">
        <v>28215</v>
      </c>
      <c r="I1032" t="s">
        <v>8870</v>
      </c>
      <c r="J1032" t="s">
        <v>29115</v>
      </c>
      <c r="K1032" t="s">
        <v>36701</v>
      </c>
      <c r="M1032" t="s">
        <v>37413</v>
      </c>
      <c r="N1032" t="s">
        <v>40436</v>
      </c>
      <c r="O1032" t="s">
        <v>40437</v>
      </c>
      <c r="P1032">
        <v>0</v>
      </c>
      <c r="Q1032">
        <v>0</v>
      </c>
      <c r="R1032" t="s">
        <v>40438</v>
      </c>
      <c r="S1032" t="s">
        <v>40582</v>
      </c>
      <c r="T1032" t="s">
        <v>42121</v>
      </c>
      <c r="U1032" t="s">
        <v>43349</v>
      </c>
      <c r="W1032" t="s">
        <v>37413</v>
      </c>
      <c r="X1032" t="s">
        <v>40439</v>
      </c>
    </row>
    <row r="1033" spans="1:24">
      <c r="A1033">
        <f>HYPERLINK("https://www.philgeps.gov.ph/GEPSNONPILOT/Tender/SplashBidNoticeAbstractUI.aspx?menuIndex=3&amp;refID=7048152&amp;Result=3","7048152")</f>
        <v>0</v>
      </c>
      <c r="B1033" t="s">
        <v>525</v>
      </c>
      <c r="C1033" t="s">
        <v>4099</v>
      </c>
      <c r="D1033" t="s">
        <v>16221</v>
      </c>
      <c r="E1033" t="s">
        <v>17264</v>
      </c>
      <c r="F1033" t="s">
        <v>28198</v>
      </c>
      <c r="G1033" t="s">
        <v>28206</v>
      </c>
      <c r="H1033" t="s">
        <v>28215</v>
      </c>
      <c r="I1033" t="s">
        <v>6013</v>
      </c>
      <c r="J1033" t="s">
        <v>28350</v>
      </c>
      <c r="K1033" t="s">
        <v>36689</v>
      </c>
      <c r="M1033" t="s">
        <v>37510</v>
      </c>
      <c r="N1033" t="s">
        <v>40436</v>
      </c>
      <c r="O1033" t="s">
        <v>40437</v>
      </c>
      <c r="P1033">
        <v>0</v>
      </c>
      <c r="Q1033">
        <v>1</v>
      </c>
      <c r="R1033" t="s">
        <v>40438</v>
      </c>
      <c r="S1033" t="s">
        <v>40582</v>
      </c>
      <c r="T1033" t="s">
        <v>42238</v>
      </c>
      <c r="U1033" t="s">
        <v>43536</v>
      </c>
      <c r="W1033" t="s">
        <v>37510</v>
      </c>
      <c r="X1033" t="s">
        <v>40439</v>
      </c>
    </row>
    <row r="1034" spans="1:24">
      <c r="A1034">
        <f>HYPERLINK("https://www.philgeps.gov.ph/GEPSNONPILOT/Tender/SplashBidNoticeAbstractUI.aspx?menuIndex=3&amp;refID=7048154&amp;Result=3","7048154")</f>
        <v>0</v>
      </c>
      <c r="B1034" t="s">
        <v>519</v>
      </c>
      <c r="C1034" t="s">
        <v>4100</v>
      </c>
      <c r="D1034" t="s">
        <v>16190</v>
      </c>
      <c r="E1034" t="s">
        <v>16606</v>
      </c>
      <c r="F1034" t="s">
        <v>28198</v>
      </c>
      <c r="G1034" t="s">
        <v>28207</v>
      </c>
      <c r="H1034" t="s">
        <v>28217</v>
      </c>
      <c r="I1034" t="s">
        <v>28243</v>
      </c>
      <c r="J1034" t="s">
        <v>29116</v>
      </c>
      <c r="K1034" t="s">
        <v>36688</v>
      </c>
      <c r="M1034" t="s">
        <v>37504</v>
      </c>
      <c r="N1034" t="s">
        <v>40436</v>
      </c>
      <c r="O1034" t="s">
        <v>40437</v>
      </c>
      <c r="P1034">
        <v>0</v>
      </c>
      <c r="Q1034">
        <v>0</v>
      </c>
      <c r="R1034" t="s">
        <v>40438</v>
      </c>
      <c r="S1034" t="s">
        <v>40582</v>
      </c>
      <c r="T1034" t="s">
        <v>42103</v>
      </c>
      <c r="U1034" t="s">
        <v>43528</v>
      </c>
      <c r="W1034" t="s">
        <v>37504</v>
      </c>
      <c r="X1034" t="s">
        <v>40439</v>
      </c>
    </row>
    <row r="1035" spans="1:24">
      <c r="A1035">
        <f>HYPERLINK("https://www.philgeps.gov.ph/GEPSNONPILOT/Tender/SplashBidNoticeAbstractUI.aspx?menuIndex=3&amp;refID=7048147&amp;Result=3","7048147")</f>
        <v>0</v>
      </c>
      <c r="B1035" t="s">
        <v>504</v>
      </c>
      <c r="C1035" t="s">
        <v>4101</v>
      </c>
      <c r="D1035" t="s">
        <v>16258</v>
      </c>
      <c r="E1035" t="s">
        <v>17265</v>
      </c>
      <c r="F1035" t="s">
        <v>28198</v>
      </c>
      <c r="G1035" t="s">
        <v>28205</v>
      </c>
      <c r="H1035" t="s">
        <v>28215</v>
      </c>
      <c r="I1035" t="s">
        <v>5100</v>
      </c>
      <c r="J1035" t="s">
        <v>29117</v>
      </c>
      <c r="K1035" t="s">
        <v>36706</v>
      </c>
      <c r="M1035" t="s">
        <v>37489</v>
      </c>
      <c r="N1035" t="s">
        <v>40436</v>
      </c>
      <c r="O1035" t="s">
        <v>40437</v>
      </c>
      <c r="P1035">
        <v>0</v>
      </c>
      <c r="Q1035">
        <v>0</v>
      </c>
      <c r="R1035" t="s">
        <v>40438</v>
      </c>
      <c r="S1035" t="s">
        <v>40582</v>
      </c>
      <c r="T1035" t="s">
        <v>42097</v>
      </c>
      <c r="U1035" t="s">
        <v>43537</v>
      </c>
      <c r="W1035" t="s">
        <v>37489</v>
      </c>
      <c r="X1035" t="s">
        <v>40439</v>
      </c>
    </row>
    <row r="1036" spans="1:24">
      <c r="A1036">
        <f>HYPERLINK("https://www.philgeps.gov.ph/GEPSNONPILOT/Tender/SplashBidNoticeAbstractUI.aspx?menuIndex=3&amp;refID=7048153&amp;Result=3","7048153")</f>
        <v>0</v>
      </c>
      <c r="B1036" t="s">
        <v>526</v>
      </c>
      <c r="C1036" t="s">
        <v>4102</v>
      </c>
      <c r="D1036" t="s">
        <v>16210</v>
      </c>
      <c r="E1036" t="s">
        <v>17266</v>
      </c>
      <c r="F1036" t="s">
        <v>28198</v>
      </c>
      <c r="G1036" t="s">
        <v>28205</v>
      </c>
      <c r="H1036" t="s">
        <v>28215</v>
      </c>
      <c r="I1036" t="s">
        <v>28255</v>
      </c>
      <c r="J1036" t="s">
        <v>28350</v>
      </c>
      <c r="K1036" t="s">
        <v>36693</v>
      </c>
      <c r="M1036" t="s">
        <v>37511</v>
      </c>
      <c r="N1036" t="s">
        <v>40436</v>
      </c>
      <c r="O1036" t="s">
        <v>40437</v>
      </c>
      <c r="P1036">
        <v>0</v>
      </c>
      <c r="Q1036">
        <v>0</v>
      </c>
      <c r="R1036" t="s">
        <v>40438</v>
      </c>
      <c r="S1036" t="s">
        <v>40582</v>
      </c>
      <c r="T1036" t="s">
        <v>42112</v>
      </c>
      <c r="U1036" t="s">
        <v>43538</v>
      </c>
      <c r="W1036" t="s">
        <v>37511</v>
      </c>
      <c r="X1036" t="s">
        <v>40439</v>
      </c>
    </row>
    <row r="1037" spans="1:24">
      <c r="A1037">
        <f>HYPERLINK("https://www.philgeps.gov.ph/GEPSNONPILOT/Tender/SplashBidNoticeAbstractUI.aspx?menuIndex=3&amp;refID=7048151&amp;Result=3","7048151")</f>
        <v>0</v>
      </c>
      <c r="B1037" t="s">
        <v>527</v>
      </c>
      <c r="C1037" t="s">
        <v>3173</v>
      </c>
      <c r="D1037" t="s">
        <v>16199</v>
      </c>
      <c r="E1037" t="s">
        <v>17267</v>
      </c>
      <c r="F1037" t="s">
        <v>28198</v>
      </c>
      <c r="G1037" t="s">
        <v>28207</v>
      </c>
      <c r="H1037" t="s">
        <v>28215</v>
      </c>
      <c r="I1037" t="s">
        <v>5082</v>
      </c>
      <c r="J1037" t="s">
        <v>28449</v>
      </c>
      <c r="K1037" t="s">
        <v>36707</v>
      </c>
      <c r="M1037" t="s">
        <v>37512</v>
      </c>
      <c r="N1037" t="s">
        <v>40436</v>
      </c>
      <c r="O1037" t="s">
        <v>40437</v>
      </c>
      <c r="P1037">
        <v>0</v>
      </c>
      <c r="Q1037">
        <v>0</v>
      </c>
      <c r="R1037" t="s">
        <v>40438</v>
      </c>
      <c r="S1037" t="s">
        <v>40582</v>
      </c>
      <c r="T1037" t="s">
        <v>42142</v>
      </c>
      <c r="U1037" t="s">
        <v>43539</v>
      </c>
      <c r="W1037" t="s">
        <v>37512</v>
      </c>
      <c r="X1037" t="s">
        <v>40439</v>
      </c>
    </row>
    <row r="1038" spans="1:24">
      <c r="A1038">
        <f>HYPERLINK("https://www.philgeps.gov.ph/GEPSNONPILOT/Tender/SplashBidNoticeAbstractUI.aspx?menuIndex=3&amp;refID=7048150&amp;Result=3","7048150")</f>
        <v>0</v>
      </c>
      <c r="B1038" t="s">
        <v>528</v>
      </c>
      <c r="C1038" t="s">
        <v>4103</v>
      </c>
      <c r="D1038" t="s">
        <v>16191</v>
      </c>
      <c r="E1038" t="s">
        <v>17268</v>
      </c>
      <c r="F1038" t="s">
        <v>28198</v>
      </c>
      <c r="G1038" t="s">
        <v>28205</v>
      </c>
      <c r="H1038" t="s">
        <v>28215</v>
      </c>
      <c r="I1038" t="s">
        <v>4505</v>
      </c>
      <c r="J1038" t="s">
        <v>29118</v>
      </c>
      <c r="K1038" t="s">
        <v>36711</v>
      </c>
      <c r="M1038" t="s">
        <v>37513</v>
      </c>
      <c r="N1038" t="s">
        <v>40436</v>
      </c>
      <c r="O1038" t="s">
        <v>40437</v>
      </c>
      <c r="P1038">
        <v>0</v>
      </c>
      <c r="Q1038">
        <v>6</v>
      </c>
      <c r="R1038" t="s">
        <v>40438</v>
      </c>
      <c r="S1038" t="s">
        <v>40582</v>
      </c>
      <c r="T1038" t="s">
        <v>42239</v>
      </c>
      <c r="U1038" t="s">
        <v>43540</v>
      </c>
      <c r="W1038" t="s">
        <v>37513</v>
      </c>
      <c r="X1038" t="s">
        <v>40439</v>
      </c>
    </row>
    <row r="1039" spans="1:24">
      <c r="A1039">
        <f>HYPERLINK("https://www.philgeps.gov.ph/GEPSNONPILOT/Tender/SplashBidNoticeAbstractUI.aspx?menuIndex=3&amp;refID=7048148&amp;Result=3","7048148")</f>
        <v>0</v>
      </c>
      <c r="B1039" t="s">
        <v>529</v>
      </c>
      <c r="C1039" t="s">
        <v>4104</v>
      </c>
      <c r="E1039" t="s">
        <v>16473</v>
      </c>
      <c r="F1039" t="s">
        <v>28198</v>
      </c>
      <c r="G1039" t="s">
        <v>28205</v>
      </c>
      <c r="H1039" t="s">
        <v>28215</v>
      </c>
      <c r="I1039" t="s">
        <v>4219</v>
      </c>
      <c r="J1039" t="s">
        <v>28887</v>
      </c>
      <c r="K1039" t="s">
        <v>36689</v>
      </c>
      <c r="M1039" t="s">
        <v>37514</v>
      </c>
      <c r="N1039" t="s">
        <v>40436</v>
      </c>
      <c r="O1039" t="s">
        <v>40437</v>
      </c>
      <c r="P1039">
        <v>0</v>
      </c>
      <c r="Q1039">
        <v>0</v>
      </c>
      <c r="R1039" t="s">
        <v>40438</v>
      </c>
      <c r="S1039" t="s">
        <v>40582</v>
      </c>
      <c r="T1039" t="s">
        <v>42168</v>
      </c>
      <c r="U1039" t="s">
        <v>43541</v>
      </c>
      <c r="W1039" t="s">
        <v>37514</v>
      </c>
      <c r="X1039" t="s">
        <v>40439</v>
      </c>
    </row>
    <row r="1040" spans="1:24">
      <c r="A1040">
        <f>HYPERLINK("https://www.philgeps.gov.ph/GEPSNONPILOT/Tender/SplashBidNoticeAbstractUI.aspx?menuIndex=3&amp;refID=7048134&amp;Result=3","7048134")</f>
        <v>0</v>
      </c>
      <c r="B1040" t="s">
        <v>530</v>
      </c>
      <c r="C1040" t="s">
        <v>4105</v>
      </c>
      <c r="D1040" t="s">
        <v>16193</v>
      </c>
      <c r="E1040" t="s">
        <v>17269</v>
      </c>
      <c r="F1040" t="s">
        <v>28198</v>
      </c>
      <c r="G1040" t="s">
        <v>28207</v>
      </c>
      <c r="H1040" t="s">
        <v>28215</v>
      </c>
      <c r="I1040" t="s">
        <v>8888</v>
      </c>
      <c r="J1040" t="s">
        <v>28691</v>
      </c>
      <c r="K1040" t="s">
        <v>36689</v>
      </c>
      <c r="M1040" t="s">
        <v>37515</v>
      </c>
      <c r="N1040" t="s">
        <v>40436</v>
      </c>
      <c r="O1040" t="s">
        <v>40437</v>
      </c>
      <c r="P1040">
        <v>0</v>
      </c>
      <c r="Q1040">
        <v>0</v>
      </c>
      <c r="R1040" t="s">
        <v>40438</v>
      </c>
      <c r="S1040" t="s">
        <v>40582</v>
      </c>
      <c r="T1040" t="s">
        <v>42103</v>
      </c>
      <c r="U1040" t="s">
        <v>43542</v>
      </c>
      <c r="W1040" t="s">
        <v>37515</v>
      </c>
      <c r="X1040" t="s">
        <v>40439</v>
      </c>
    </row>
    <row r="1041" spans="1:24">
      <c r="A1041">
        <f>HYPERLINK("https://www.philgeps.gov.ph/GEPSNONPILOT/Tender/SplashBidNoticeAbstractUI.aspx?menuIndex=3&amp;refID=7048155&amp;Result=3","7048155")</f>
        <v>0</v>
      </c>
      <c r="B1041" t="s">
        <v>116</v>
      </c>
      <c r="C1041" t="s">
        <v>4106</v>
      </c>
      <c r="D1041" t="s">
        <v>16207</v>
      </c>
      <c r="E1041" t="s">
        <v>17270</v>
      </c>
      <c r="F1041" t="s">
        <v>28198</v>
      </c>
      <c r="G1041" t="s">
        <v>28207</v>
      </c>
      <c r="H1041" t="s">
        <v>28215</v>
      </c>
      <c r="I1041" t="s">
        <v>28234</v>
      </c>
      <c r="J1041" t="s">
        <v>28406</v>
      </c>
      <c r="K1041" t="s">
        <v>36706</v>
      </c>
      <c r="M1041" t="s">
        <v>37090</v>
      </c>
      <c r="N1041" t="s">
        <v>40436</v>
      </c>
      <c r="O1041" t="s">
        <v>40437</v>
      </c>
      <c r="P1041">
        <v>0</v>
      </c>
      <c r="Q1041">
        <v>3</v>
      </c>
      <c r="R1041" t="s">
        <v>40438</v>
      </c>
      <c r="S1041" t="s">
        <v>40582</v>
      </c>
      <c r="T1041" t="s">
        <v>42103</v>
      </c>
      <c r="U1041" t="s">
        <v>43543</v>
      </c>
      <c r="W1041" t="s">
        <v>37090</v>
      </c>
      <c r="X1041" t="s">
        <v>40439</v>
      </c>
    </row>
    <row r="1042" spans="1:24">
      <c r="A1042">
        <f>HYPERLINK("https://www.philgeps.gov.ph/GEPSNONPILOT/Tender/SplashBidNoticeAbstractUI.aspx?menuIndex=3&amp;refID=7048133&amp;Result=3","7048133")</f>
        <v>0</v>
      </c>
      <c r="B1042" t="s">
        <v>447</v>
      </c>
      <c r="C1042" t="s">
        <v>4107</v>
      </c>
      <c r="D1042" t="s">
        <v>16249</v>
      </c>
      <c r="E1042" t="s">
        <v>17271</v>
      </c>
      <c r="F1042" t="s">
        <v>28198</v>
      </c>
      <c r="G1042" t="s">
        <v>28210</v>
      </c>
      <c r="H1042" t="s">
        <v>28215</v>
      </c>
      <c r="I1042" t="s">
        <v>4200</v>
      </c>
      <c r="J1042" t="s">
        <v>29119</v>
      </c>
      <c r="K1042" t="s">
        <v>36688</v>
      </c>
      <c r="M1042" t="s">
        <v>37431</v>
      </c>
      <c r="N1042" t="s">
        <v>40436</v>
      </c>
      <c r="O1042" t="s">
        <v>40437</v>
      </c>
      <c r="P1042">
        <v>0</v>
      </c>
      <c r="Q1042">
        <v>2</v>
      </c>
      <c r="R1042" t="s">
        <v>40438</v>
      </c>
      <c r="S1042" t="s">
        <v>40582</v>
      </c>
      <c r="T1042" t="s">
        <v>42142</v>
      </c>
      <c r="U1042" t="s">
        <v>43544</v>
      </c>
      <c r="W1042" t="s">
        <v>55448</v>
      </c>
      <c r="X1042" t="s">
        <v>40439</v>
      </c>
    </row>
    <row r="1043" spans="1:24">
      <c r="A1043">
        <f>HYPERLINK("https://www.philgeps.gov.ph/GEPSNONPILOT/Tender/SplashBidNoticeAbstractUI.aspx?menuIndex=3&amp;refID=7048171&amp;Result=3","7048171")</f>
        <v>0</v>
      </c>
      <c r="B1043" t="s">
        <v>526</v>
      </c>
      <c r="C1043" t="s">
        <v>4108</v>
      </c>
      <c r="D1043" t="s">
        <v>16210</v>
      </c>
      <c r="E1043" t="s">
        <v>17272</v>
      </c>
      <c r="F1043" t="s">
        <v>28198</v>
      </c>
      <c r="G1043" t="s">
        <v>28205</v>
      </c>
      <c r="H1043" t="s">
        <v>28215</v>
      </c>
      <c r="I1043" t="s">
        <v>28236</v>
      </c>
      <c r="J1043" t="s">
        <v>29120</v>
      </c>
      <c r="K1043" t="s">
        <v>36693</v>
      </c>
      <c r="M1043" t="s">
        <v>37511</v>
      </c>
      <c r="N1043" t="s">
        <v>40436</v>
      </c>
      <c r="O1043" t="s">
        <v>40437</v>
      </c>
      <c r="P1043">
        <v>0</v>
      </c>
      <c r="Q1043">
        <v>0</v>
      </c>
      <c r="R1043" t="s">
        <v>40438</v>
      </c>
      <c r="S1043" t="s">
        <v>40582</v>
      </c>
      <c r="T1043" t="s">
        <v>42097</v>
      </c>
      <c r="U1043" t="s">
        <v>43545</v>
      </c>
      <c r="W1043" t="s">
        <v>37511</v>
      </c>
      <c r="X1043" t="s">
        <v>40439</v>
      </c>
    </row>
    <row r="1044" spans="1:24">
      <c r="A1044">
        <f>HYPERLINK("https://www.philgeps.gov.ph/GEPSNONPILOT/Tender/SplashBidNoticeAbstractUI.aspx?menuIndex=3&amp;refID=7048168&amp;Result=3","7048168")</f>
        <v>0</v>
      </c>
      <c r="B1044" t="s">
        <v>202</v>
      </c>
      <c r="C1044" t="s">
        <v>4109</v>
      </c>
      <c r="D1044" t="s">
        <v>16217</v>
      </c>
      <c r="E1044" t="s">
        <v>17273</v>
      </c>
      <c r="F1044" t="s">
        <v>28198</v>
      </c>
      <c r="G1044" t="s">
        <v>28205</v>
      </c>
      <c r="H1044" t="s">
        <v>28215</v>
      </c>
      <c r="I1044" t="s">
        <v>5082</v>
      </c>
      <c r="J1044" t="s">
        <v>29121</v>
      </c>
      <c r="K1044" t="s">
        <v>36701</v>
      </c>
      <c r="M1044" t="s">
        <v>37516</v>
      </c>
      <c r="N1044" t="s">
        <v>40436</v>
      </c>
      <c r="O1044" t="s">
        <v>40437</v>
      </c>
      <c r="P1044">
        <v>0</v>
      </c>
      <c r="Q1044">
        <v>4</v>
      </c>
      <c r="R1044" t="s">
        <v>40438</v>
      </c>
      <c r="S1044" t="s">
        <v>40582</v>
      </c>
      <c r="T1044" t="s">
        <v>42240</v>
      </c>
      <c r="U1044" t="s">
        <v>43546</v>
      </c>
      <c r="V1044" t="s">
        <v>53907</v>
      </c>
      <c r="W1044" t="s">
        <v>37516</v>
      </c>
      <c r="X1044" t="s">
        <v>40439</v>
      </c>
    </row>
    <row r="1045" spans="1:24">
      <c r="A1045">
        <f>HYPERLINK("https://www.philgeps.gov.ph/GEPSNONPILOT/Tender/SplashBidNoticeAbstractUI.aspx?menuIndex=3&amp;refID=7048164&amp;Result=3","7048164")</f>
        <v>0</v>
      </c>
      <c r="B1045" t="s">
        <v>391</v>
      </c>
      <c r="C1045" t="s">
        <v>4110</v>
      </c>
      <c r="D1045" t="s">
        <v>16202</v>
      </c>
      <c r="E1045" t="s">
        <v>17274</v>
      </c>
      <c r="F1045" t="s">
        <v>28198</v>
      </c>
      <c r="G1045" t="s">
        <v>28207</v>
      </c>
      <c r="H1045" t="s">
        <v>28215</v>
      </c>
      <c r="I1045" t="s">
        <v>28295</v>
      </c>
      <c r="J1045" t="s">
        <v>28597</v>
      </c>
      <c r="K1045" t="s">
        <v>36706</v>
      </c>
      <c r="M1045" t="s">
        <v>37371</v>
      </c>
      <c r="N1045" t="s">
        <v>40436</v>
      </c>
      <c r="O1045" t="s">
        <v>40437</v>
      </c>
      <c r="P1045">
        <v>0</v>
      </c>
      <c r="Q1045">
        <v>3</v>
      </c>
      <c r="R1045" t="s">
        <v>40438</v>
      </c>
      <c r="S1045" t="s">
        <v>40582</v>
      </c>
      <c r="T1045" t="s">
        <v>42142</v>
      </c>
      <c r="U1045" t="s">
        <v>43281</v>
      </c>
      <c r="V1045" t="s">
        <v>53876</v>
      </c>
      <c r="W1045" t="s">
        <v>37371</v>
      </c>
      <c r="X1045" t="s">
        <v>40439</v>
      </c>
    </row>
    <row r="1046" spans="1:24">
      <c r="A1046">
        <f>HYPERLINK("https://www.philgeps.gov.ph/GEPSNONPILOT/Tender/SplashBidNoticeAbstractUI.aspx?menuIndex=3&amp;refID=7048172&amp;Result=3","7048172")</f>
        <v>0</v>
      </c>
      <c r="B1046" t="s">
        <v>531</v>
      </c>
      <c r="C1046" t="s">
        <v>4111</v>
      </c>
      <c r="D1046" t="s">
        <v>16218</v>
      </c>
      <c r="E1046" t="s">
        <v>17275</v>
      </c>
      <c r="F1046" t="s">
        <v>28198</v>
      </c>
      <c r="G1046" t="s">
        <v>28207</v>
      </c>
      <c r="H1046" t="s">
        <v>28215</v>
      </c>
      <c r="I1046" t="s">
        <v>4200</v>
      </c>
      <c r="J1046" t="s">
        <v>29122</v>
      </c>
      <c r="K1046" t="s">
        <v>36688</v>
      </c>
      <c r="M1046" t="s">
        <v>37517</v>
      </c>
      <c r="N1046" t="s">
        <v>40436</v>
      </c>
      <c r="O1046" t="s">
        <v>40437</v>
      </c>
      <c r="P1046">
        <v>0</v>
      </c>
      <c r="Q1046">
        <v>1</v>
      </c>
      <c r="R1046" t="s">
        <v>40438</v>
      </c>
      <c r="S1046" t="s">
        <v>40582</v>
      </c>
      <c r="T1046" t="s">
        <v>42098</v>
      </c>
      <c r="U1046" t="s">
        <v>43547</v>
      </c>
      <c r="W1046" t="s">
        <v>37517</v>
      </c>
      <c r="X1046" t="s">
        <v>40439</v>
      </c>
    </row>
    <row r="1047" spans="1:24">
      <c r="A1047">
        <f>HYPERLINK("https://www.philgeps.gov.ph/GEPSNONPILOT/Tender/SplashBidNoticeAbstractUI.aspx?menuIndex=3&amp;refID=7048170&amp;Result=3","7048170")</f>
        <v>0</v>
      </c>
      <c r="B1047" t="s">
        <v>532</v>
      </c>
      <c r="C1047" t="s">
        <v>4112</v>
      </c>
      <c r="D1047" t="s">
        <v>16230</v>
      </c>
      <c r="E1047" t="s">
        <v>17276</v>
      </c>
      <c r="F1047" t="s">
        <v>28198</v>
      </c>
      <c r="G1047" t="s">
        <v>28206</v>
      </c>
      <c r="H1047" t="s">
        <v>28215</v>
      </c>
      <c r="I1047" t="s">
        <v>4168</v>
      </c>
      <c r="J1047" t="s">
        <v>28414</v>
      </c>
      <c r="K1047" t="s">
        <v>36701</v>
      </c>
      <c r="M1047" t="s">
        <v>37518</v>
      </c>
      <c r="N1047" t="s">
        <v>40436</v>
      </c>
      <c r="O1047" t="s">
        <v>40437</v>
      </c>
      <c r="P1047">
        <v>0</v>
      </c>
      <c r="Q1047">
        <v>5</v>
      </c>
      <c r="R1047" t="s">
        <v>40438</v>
      </c>
      <c r="S1047" t="s">
        <v>40582</v>
      </c>
      <c r="T1047" t="s">
        <v>42131</v>
      </c>
      <c r="U1047" t="s">
        <v>43548</v>
      </c>
      <c r="W1047" t="s">
        <v>37518</v>
      </c>
      <c r="X1047" t="s">
        <v>40439</v>
      </c>
    </row>
    <row r="1048" spans="1:24">
      <c r="A1048">
        <f>HYPERLINK("https://www.philgeps.gov.ph/GEPSNONPILOT/Tender/SplashBidNoticeAbstractUI.aspx?menuIndex=3&amp;refID=7048165&amp;Result=3","7048165")</f>
        <v>0</v>
      </c>
      <c r="B1048" t="s">
        <v>533</v>
      </c>
      <c r="C1048" t="s">
        <v>4113</v>
      </c>
      <c r="D1048" t="s">
        <v>16190</v>
      </c>
      <c r="E1048" t="s">
        <v>17277</v>
      </c>
      <c r="F1048" t="s">
        <v>28198</v>
      </c>
      <c r="G1048" t="s">
        <v>28207</v>
      </c>
      <c r="H1048" t="s">
        <v>28215</v>
      </c>
      <c r="I1048" t="s">
        <v>4219</v>
      </c>
      <c r="J1048" t="s">
        <v>29123</v>
      </c>
      <c r="K1048" t="s">
        <v>36688</v>
      </c>
      <c r="M1048" t="s">
        <v>37519</v>
      </c>
      <c r="N1048" t="s">
        <v>40436</v>
      </c>
      <c r="O1048" t="s">
        <v>40437</v>
      </c>
      <c r="P1048">
        <v>0</v>
      </c>
      <c r="Q1048">
        <v>0</v>
      </c>
      <c r="R1048" t="s">
        <v>40438</v>
      </c>
      <c r="S1048" t="s">
        <v>40582</v>
      </c>
      <c r="T1048" t="s">
        <v>42142</v>
      </c>
      <c r="U1048" t="s">
        <v>43549</v>
      </c>
      <c r="W1048" t="s">
        <v>37519</v>
      </c>
      <c r="X1048" t="s">
        <v>40439</v>
      </c>
    </row>
    <row r="1049" spans="1:24">
      <c r="A1049">
        <f>HYPERLINK("https://www.philgeps.gov.ph/GEPSNONPILOT/Tender/SplashBidNoticeAbstractUI.aspx?menuIndex=3&amp;refID=7048160&amp;Result=3","7048160")</f>
        <v>0</v>
      </c>
      <c r="B1049" t="s">
        <v>447</v>
      </c>
      <c r="C1049" t="s">
        <v>4114</v>
      </c>
      <c r="D1049" t="s">
        <v>16204</v>
      </c>
      <c r="E1049" t="s">
        <v>17278</v>
      </c>
      <c r="F1049" t="s">
        <v>28198</v>
      </c>
      <c r="G1049" t="s">
        <v>28210</v>
      </c>
      <c r="H1049" t="s">
        <v>28215</v>
      </c>
      <c r="I1049" t="s">
        <v>4200</v>
      </c>
      <c r="J1049" t="s">
        <v>28350</v>
      </c>
      <c r="K1049" t="s">
        <v>36688</v>
      </c>
      <c r="M1049" t="s">
        <v>37431</v>
      </c>
      <c r="N1049" t="s">
        <v>40436</v>
      </c>
      <c r="O1049" t="s">
        <v>40437</v>
      </c>
      <c r="P1049">
        <v>0</v>
      </c>
      <c r="Q1049">
        <v>1</v>
      </c>
      <c r="R1049" t="s">
        <v>40438</v>
      </c>
      <c r="S1049" t="s">
        <v>40582</v>
      </c>
      <c r="T1049" t="s">
        <v>42142</v>
      </c>
      <c r="U1049" t="s">
        <v>43550</v>
      </c>
      <c r="W1049" t="s">
        <v>55448</v>
      </c>
      <c r="X1049" t="s">
        <v>40439</v>
      </c>
    </row>
    <row r="1050" spans="1:24">
      <c r="A1050">
        <f>HYPERLINK("https://www.philgeps.gov.ph/GEPSNONPILOT/Tender/SplashBidNoticeAbstractUI.aspx?menuIndex=3&amp;refID=7048167&amp;Result=3","7048167")</f>
        <v>0</v>
      </c>
      <c r="B1050" t="s">
        <v>534</v>
      </c>
      <c r="C1050" t="s">
        <v>4115</v>
      </c>
      <c r="D1050" t="s">
        <v>16221</v>
      </c>
      <c r="E1050" t="s">
        <v>17279</v>
      </c>
      <c r="F1050" t="s">
        <v>28198</v>
      </c>
      <c r="G1050" t="s">
        <v>28207</v>
      </c>
      <c r="H1050" t="s">
        <v>28215</v>
      </c>
      <c r="I1050" t="s">
        <v>28226</v>
      </c>
      <c r="J1050" t="s">
        <v>28642</v>
      </c>
      <c r="K1050" t="s">
        <v>36723</v>
      </c>
      <c r="M1050" t="s">
        <v>37520</v>
      </c>
      <c r="N1050" t="s">
        <v>40436</v>
      </c>
      <c r="O1050" t="s">
        <v>40437</v>
      </c>
      <c r="P1050">
        <v>0</v>
      </c>
      <c r="Q1050">
        <v>1</v>
      </c>
      <c r="R1050" t="s">
        <v>40438</v>
      </c>
      <c r="S1050" t="s">
        <v>40582</v>
      </c>
      <c r="T1050" t="s">
        <v>42160</v>
      </c>
      <c r="U1050" t="s">
        <v>43551</v>
      </c>
      <c r="W1050" t="s">
        <v>37520</v>
      </c>
      <c r="X1050" t="s">
        <v>40439</v>
      </c>
    </row>
    <row r="1051" spans="1:24">
      <c r="A1051">
        <f>HYPERLINK("https://www.philgeps.gov.ph/GEPSNONPILOT/Tender/SplashBidNoticeAbstractUI.aspx?menuIndex=3&amp;refID=7048159&amp;Result=3","7048159")</f>
        <v>0</v>
      </c>
      <c r="B1051" t="s">
        <v>529</v>
      </c>
      <c r="C1051" t="s">
        <v>4116</v>
      </c>
      <c r="E1051" t="s">
        <v>17280</v>
      </c>
      <c r="F1051" t="s">
        <v>28198</v>
      </c>
      <c r="G1051" t="s">
        <v>28205</v>
      </c>
      <c r="H1051" t="s">
        <v>28215</v>
      </c>
      <c r="I1051" t="s">
        <v>28225</v>
      </c>
      <c r="J1051" t="s">
        <v>28354</v>
      </c>
      <c r="K1051" t="s">
        <v>36689</v>
      </c>
      <c r="M1051" t="s">
        <v>37514</v>
      </c>
      <c r="N1051" t="s">
        <v>40436</v>
      </c>
      <c r="O1051" t="s">
        <v>40437</v>
      </c>
      <c r="P1051">
        <v>0</v>
      </c>
      <c r="Q1051">
        <v>0</v>
      </c>
      <c r="R1051" t="s">
        <v>40438</v>
      </c>
      <c r="S1051" t="s">
        <v>40582</v>
      </c>
      <c r="T1051" t="s">
        <v>42168</v>
      </c>
      <c r="U1051" t="s">
        <v>43541</v>
      </c>
      <c r="W1051" t="s">
        <v>37514</v>
      </c>
      <c r="X1051" t="s">
        <v>40439</v>
      </c>
    </row>
    <row r="1052" spans="1:24">
      <c r="A1052">
        <f>HYPERLINK("https://www.philgeps.gov.ph/GEPSNONPILOT/Tender/SplashBidNoticeAbstractUI.aspx?menuIndex=3&amp;refID=7048162&amp;Result=3","7048162")</f>
        <v>0</v>
      </c>
      <c r="B1052" t="s">
        <v>461</v>
      </c>
      <c r="C1052" t="s">
        <v>4117</v>
      </c>
      <c r="D1052" t="s">
        <v>16208</v>
      </c>
      <c r="E1052" t="s">
        <v>17281</v>
      </c>
      <c r="F1052" t="s">
        <v>28198</v>
      </c>
      <c r="G1052" t="s">
        <v>28207</v>
      </c>
      <c r="H1052" t="s">
        <v>28215</v>
      </c>
      <c r="I1052" t="s">
        <v>28249</v>
      </c>
      <c r="J1052" t="s">
        <v>29124</v>
      </c>
      <c r="K1052" t="s">
        <v>36689</v>
      </c>
      <c r="M1052" t="s">
        <v>37445</v>
      </c>
      <c r="N1052" t="s">
        <v>40436</v>
      </c>
      <c r="O1052" t="s">
        <v>40437</v>
      </c>
      <c r="P1052">
        <v>0</v>
      </c>
      <c r="Q1052">
        <v>0</v>
      </c>
      <c r="R1052" t="s">
        <v>40438</v>
      </c>
      <c r="S1052" t="s">
        <v>40582</v>
      </c>
      <c r="T1052" t="s">
        <v>42119</v>
      </c>
      <c r="U1052" t="s">
        <v>43552</v>
      </c>
      <c r="W1052" t="s">
        <v>37445</v>
      </c>
      <c r="X1052" t="s">
        <v>40439</v>
      </c>
    </row>
    <row r="1053" spans="1:24">
      <c r="A1053">
        <f>HYPERLINK("https://www.philgeps.gov.ph/GEPSNONPILOT/Tender/SplashBidNoticeAbstractUI.aspx?menuIndex=3&amp;refID=7048179&amp;Result=3","7048179")</f>
        <v>0</v>
      </c>
      <c r="B1053" t="s">
        <v>535</v>
      </c>
      <c r="C1053" t="s">
        <v>4118</v>
      </c>
      <c r="D1053" t="s">
        <v>16210</v>
      </c>
      <c r="E1053" t="s">
        <v>17282</v>
      </c>
      <c r="F1053" t="s">
        <v>28198</v>
      </c>
      <c r="G1053" t="s">
        <v>28207</v>
      </c>
      <c r="H1053" t="s">
        <v>28215</v>
      </c>
      <c r="I1053" t="s">
        <v>28296</v>
      </c>
      <c r="J1053" t="s">
        <v>29125</v>
      </c>
      <c r="K1053" t="s">
        <v>36705</v>
      </c>
      <c r="M1053" t="s">
        <v>37521</v>
      </c>
      <c r="N1053" t="s">
        <v>40436</v>
      </c>
      <c r="O1053" t="s">
        <v>40437</v>
      </c>
      <c r="P1053">
        <v>0</v>
      </c>
      <c r="Q1053">
        <v>1</v>
      </c>
      <c r="R1053" t="s">
        <v>40438</v>
      </c>
      <c r="S1053" t="s">
        <v>40582</v>
      </c>
      <c r="T1053" t="s">
        <v>42124</v>
      </c>
      <c r="U1053" t="s">
        <v>43553</v>
      </c>
      <c r="V1053" t="s">
        <v>53908</v>
      </c>
      <c r="W1053" t="s">
        <v>37521</v>
      </c>
      <c r="X1053" t="s">
        <v>40439</v>
      </c>
    </row>
    <row r="1054" spans="1:24">
      <c r="A1054">
        <f>HYPERLINK("https://www.philgeps.gov.ph/GEPSNONPILOT/Tender/SplashBidNoticeAbstractUI.aspx?menuIndex=3&amp;refID=7048169&amp;Result=3","7048169")</f>
        <v>0</v>
      </c>
      <c r="B1054" t="s">
        <v>461</v>
      </c>
      <c r="C1054" t="s">
        <v>4119</v>
      </c>
      <c r="D1054" t="s">
        <v>16208</v>
      </c>
      <c r="E1054" t="s">
        <v>17283</v>
      </c>
      <c r="F1054" t="s">
        <v>28198</v>
      </c>
      <c r="G1054" t="s">
        <v>28207</v>
      </c>
      <c r="H1054" t="s">
        <v>28215</v>
      </c>
      <c r="I1054" t="s">
        <v>28227</v>
      </c>
      <c r="J1054" t="s">
        <v>29126</v>
      </c>
      <c r="K1054" t="s">
        <v>36689</v>
      </c>
      <c r="M1054" t="s">
        <v>37445</v>
      </c>
      <c r="N1054" t="s">
        <v>40436</v>
      </c>
      <c r="O1054" t="s">
        <v>40437</v>
      </c>
      <c r="P1054">
        <v>0</v>
      </c>
      <c r="Q1054">
        <v>1</v>
      </c>
      <c r="R1054" t="s">
        <v>40438</v>
      </c>
      <c r="S1054" t="s">
        <v>40582</v>
      </c>
      <c r="T1054" t="s">
        <v>42119</v>
      </c>
      <c r="U1054" t="s">
        <v>43554</v>
      </c>
      <c r="W1054" t="s">
        <v>37445</v>
      </c>
      <c r="X1054" t="s">
        <v>40439</v>
      </c>
    </row>
    <row r="1055" spans="1:24">
      <c r="A1055">
        <f>HYPERLINK("https://www.philgeps.gov.ph/GEPSNONPILOT/Tender/SplashBidNoticeAbstractUI.aspx?menuIndex=3&amp;refID=7048163&amp;Result=3","7048163")</f>
        <v>0</v>
      </c>
      <c r="B1055" t="s">
        <v>116</v>
      </c>
      <c r="C1055" t="s">
        <v>4120</v>
      </c>
      <c r="D1055" t="s">
        <v>16207</v>
      </c>
      <c r="E1055" t="s">
        <v>17284</v>
      </c>
      <c r="F1055" t="s">
        <v>28198</v>
      </c>
      <c r="G1055" t="s">
        <v>28207</v>
      </c>
      <c r="H1055" t="s">
        <v>28215</v>
      </c>
      <c r="I1055" t="s">
        <v>28234</v>
      </c>
      <c r="J1055" t="s">
        <v>29127</v>
      </c>
      <c r="K1055" t="s">
        <v>36706</v>
      </c>
      <c r="M1055" t="s">
        <v>37090</v>
      </c>
      <c r="N1055" t="s">
        <v>40436</v>
      </c>
      <c r="O1055" t="s">
        <v>40437</v>
      </c>
      <c r="P1055">
        <v>0</v>
      </c>
      <c r="Q1055">
        <v>2</v>
      </c>
      <c r="R1055" t="s">
        <v>40438</v>
      </c>
      <c r="S1055" t="s">
        <v>40582</v>
      </c>
      <c r="T1055" t="s">
        <v>42103</v>
      </c>
      <c r="U1055" t="s">
        <v>43555</v>
      </c>
      <c r="W1055" t="s">
        <v>37090</v>
      </c>
      <c r="X1055" t="s">
        <v>40439</v>
      </c>
    </row>
    <row r="1056" spans="1:24">
      <c r="A1056">
        <f>HYPERLINK("https://www.philgeps.gov.ph/GEPSNONPILOT/Tender/SplashBidNoticeAbstractUI.aspx?menuIndex=3&amp;refID=7048178&amp;Result=3","7048178")</f>
        <v>0</v>
      </c>
      <c r="B1056" t="s">
        <v>418</v>
      </c>
      <c r="C1056" t="s">
        <v>4121</v>
      </c>
      <c r="D1056" t="s">
        <v>16230</v>
      </c>
      <c r="E1056" t="s">
        <v>17285</v>
      </c>
      <c r="F1056" t="s">
        <v>28198</v>
      </c>
      <c r="G1056" t="s">
        <v>28207</v>
      </c>
      <c r="H1056" t="s">
        <v>28215</v>
      </c>
      <c r="I1056" t="s">
        <v>28238</v>
      </c>
      <c r="J1056" t="s">
        <v>29128</v>
      </c>
      <c r="K1056" t="s">
        <v>36701</v>
      </c>
      <c r="M1056" t="s">
        <v>37400</v>
      </c>
      <c r="N1056" t="s">
        <v>40436</v>
      </c>
      <c r="O1056" t="s">
        <v>40437</v>
      </c>
      <c r="P1056">
        <v>0</v>
      </c>
      <c r="Q1056">
        <v>1</v>
      </c>
      <c r="R1056" t="s">
        <v>40438</v>
      </c>
      <c r="S1056" t="s">
        <v>40582</v>
      </c>
      <c r="T1056" t="s">
        <v>42124</v>
      </c>
      <c r="U1056" t="s">
        <v>43556</v>
      </c>
      <c r="W1056" t="s">
        <v>37400</v>
      </c>
      <c r="X1056" t="s">
        <v>40439</v>
      </c>
    </row>
    <row r="1057" spans="1:24">
      <c r="A1057">
        <f>HYPERLINK("https://www.philgeps.gov.ph/GEPSNONPILOT/Tender/SplashBidNoticeAbstractUI.aspx?menuIndex=3&amp;refID=7048173&amp;Result=3","7048173")</f>
        <v>0</v>
      </c>
      <c r="B1057" t="s">
        <v>520</v>
      </c>
      <c r="C1057" t="s">
        <v>4122</v>
      </c>
      <c r="D1057" t="s">
        <v>16247</v>
      </c>
      <c r="E1057" t="s">
        <v>17286</v>
      </c>
      <c r="F1057" t="s">
        <v>28198</v>
      </c>
      <c r="G1057" t="s">
        <v>28207</v>
      </c>
      <c r="H1057" t="s">
        <v>28215</v>
      </c>
      <c r="I1057" t="s">
        <v>5082</v>
      </c>
      <c r="J1057" t="s">
        <v>29129</v>
      </c>
      <c r="K1057" t="s">
        <v>36701</v>
      </c>
      <c r="M1057" t="s">
        <v>37505</v>
      </c>
      <c r="N1057" t="s">
        <v>40436</v>
      </c>
      <c r="O1057" t="s">
        <v>40437</v>
      </c>
      <c r="P1057">
        <v>0</v>
      </c>
      <c r="Q1057">
        <v>3</v>
      </c>
      <c r="R1057" t="s">
        <v>40438</v>
      </c>
      <c r="S1057" t="s">
        <v>40582</v>
      </c>
      <c r="T1057" t="s">
        <v>42203</v>
      </c>
      <c r="U1057" t="s">
        <v>43531</v>
      </c>
      <c r="W1057" t="s">
        <v>37505</v>
      </c>
      <c r="X1057" t="s">
        <v>40439</v>
      </c>
    </row>
    <row r="1058" spans="1:24">
      <c r="A1058">
        <f>HYPERLINK("https://www.philgeps.gov.ph/GEPSNONPILOT/Tender/SplashBidNoticeAbstractUI.aspx?menuIndex=3&amp;refID=7048174&amp;Result=3","7048174")</f>
        <v>0</v>
      </c>
      <c r="B1058" t="s">
        <v>116</v>
      </c>
      <c r="C1058" t="s">
        <v>4123</v>
      </c>
      <c r="D1058" t="s">
        <v>16207</v>
      </c>
      <c r="E1058" t="s">
        <v>17287</v>
      </c>
      <c r="F1058" t="s">
        <v>28198</v>
      </c>
      <c r="G1058" t="s">
        <v>28207</v>
      </c>
      <c r="H1058" t="s">
        <v>28215</v>
      </c>
      <c r="I1058" t="s">
        <v>4200</v>
      </c>
      <c r="J1058" t="s">
        <v>29130</v>
      </c>
      <c r="K1058" t="s">
        <v>36706</v>
      </c>
      <c r="M1058" t="s">
        <v>37090</v>
      </c>
      <c r="N1058" t="s">
        <v>40436</v>
      </c>
      <c r="O1058" t="s">
        <v>40437</v>
      </c>
      <c r="P1058">
        <v>0</v>
      </c>
      <c r="Q1058">
        <v>0</v>
      </c>
      <c r="R1058" t="s">
        <v>40438</v>
      </c>
      <c r="S1058" t="s">
        <v>40582</v>
      </c>
      <c r="T1058" t="s">
        <v>42103</v>
      </c>
      <c r="U1058" t="s">
        <v>43557</v>
      </c>
      <c r="W1058" t="s">
        <v>37090</v>
      </c>
      <c r="X1058" t="s">
        <v>40439</v>
      </c>
    </row>
    <row r="1059" spans="1:24">
      <c r="A1059">
        <f>HYPERLINK("https://www.philgeps.gov.ph/GEPSNONPILOT/Tender/SplashBidNoticeAbstractUI.aspx?menuIndex=3&amp;refID=7048180&amp;Result=3","7048180")</f>
        <v>0</v>
      </c>
      <c r="B1059" t="s">
        <v>461</v>
      </c>
      <c r="C1059" t="s">
        <v>4124</v>
      </c>
      <c r="D1059" t="s">
        <v>16208</v>
      </c>
      <c r="E1059" t="s">
        <v>17288</v>
      </c>
      <c r="F1059" t="s">
        <v>28198</v>
      </c>
      <c r="G1059" t="s">
        <v>28207</v>
      </c>
      <c r="H1059" t="s">
        <v>28215</v>
      </c>
      <c r="I1059" t="s">
        <v>28249</v>
      </c>
      <c r="J1059" t="s">
        <v>28778</v>
      </c>
      <c r="K1059" t="s">
        <v>36689</v>
      </c>
      <c r="M1059" t="s">
        <v>37445</v>
      </c>
      <c r="N1059" t="s">
        <v>40436</v>
      </c>
      <c r="O1059" t="s">
        <v>40437</v>
      </c>
      <c r="P1059">
        <v>0</v>
      </c>
      <c r="Q1059">
        <v>0</v>
      </c>
      <c r="R1059" t="s">
        <v>40438</v>
      </c>
      <c r="S1059" t="s">
        <v>40582</v>
      </c>
      <c r="T1059" t="s">
        <v>42119</v>
      </c>
      <c r="U1059" t="s">
        <v>43558</v>
      </c>
      <c r="W1059" t="s">
        <v>37445</v>
      </c>
      <c r="X1059" t="s">
        <v>40439</v>
      </c>
    </row>
    <row r="1060" spans="1:24">
      <c r="A1060">
        <f>HYPERLINK("https://www.philgeps.gov.ph/GEPSNONPILOT/Tender/SplashBidNoticeAbstractUI.aspx?menuIndex=3&amp;refID=7048176&amp;Result=3","7048176")</f>
        <v>0</v>
      </c>
      <c r="B1060" t="s">
        <v>536</v>
      </c>
      <c r="C1060" t="s">
        <v>4125</v>
      </c>
      <c r="D1060" t="s">
        <v>16250</v>
      </c>
      <c r="E1060" t="s">
        <v>17289</v>
      </c>
      <c r="F1060" t="s">
        <v>28198</v>
      </c>
      <c r="G1060" t="s">
        <v>28205</v>
      </c>
      <c r="H1060" t="s">
        <v>28214</v>
      </c>
      <c r="I1060" t="s">
        <v>3797</v>
      </c>
      <c r="J1060" t="s">
        <v>28415</v>
      </c>
      <c r="K1060" t="s">
        <v>36707</v>
      </c>
      <c r="M1060" t="s">
        <v>37522</v>
      </c>
      <c r="N1060" t="s">
        <v>40436</v>
      </c>
      <c r="O1060" t="s">
        <v>40437</v>
      </c>
      <c r="P1060">
        <v>0</v>
      </c>
      <c r="Q1060">
        <v>0</v>
      </c>
      <c r="R1060" t="s">
        <v>40438</v>
      </c>
      <c r="S1060" t="s">
        <v>40582</v>
      </c>
      <c r="T1060" t="s">
        <v>42098</v>
      </c>
      <c r="U1060" t="s">
        <v>43559</v>
      </c>
      <c r="W1060" t="s">
        <v>37522</v>
      </c>
      <c r="X1060" t="s">
        <v>40439</v>
      </c>
    </row>
    <row r="1061" spans="1:24">
      <c r="A1061">
        <f>HYPERLINK("https://www.philgeps.gov.ph/GEPSNONPILOT/Tender/SplashBidNoticeAbstractUI.aspx?menuIndex=3&amp;refID=7048193&amp;Result=3","7048193")</f>
        <v>0</v>
      </c>
      <c r="B1061" t="s">
        <v>461</v>
      </c>
      <c r="C1061" t="s">
        <v>4126</v>
      </c>
      <c r="D1061" t="s">
        <v>16208</v>
      </c>
      <c r="E1061" t="s">
        <v>17290</v>
      </c>
      <c r="F1061" t="s">
        <v>28198</v>
      </c>
      <c r="G1061" t="s">
        <v>28207</v>
      </c>
      <c r="H1061" t="s">
        <v>28215</v>
      </c>
      <c r="I1061" t="s">
        <v>28249</v>
      </c>
      <c r="J1061" t="s">
        <v>29131</v>
      </c>
      <c r="K1061" t="s">
        <v>36689</v>
      </c>
      <c r="M1061" t="s">
        <v>37445</v>
      </c>
      <c r="N1061" t="s">
        <v>40436</v>
      </c>
      <c r="O1061" t="s">
        <v>40437</v>
      </c>
      <c r="P1061">
        <v>0</v>
      </c>
      <c r="Q1061">
        <v>0</v>
      </c>
      <c r="R1061" t="s">
        <v>40438</v>
      </c>
      <c r="S1061" t="s">
        <v>40582</v>
      </c>
      <c r="T1061" t="s">
        <v>42119</v>
      </c>
      <c r="U1061" t="s">
        <v>43560</v>
      </c>
      <c r="W1061" t="s">
        <v>37445</v>
      </c>
      <c r="X1061" t="s">
        <v>40439</v>
      </c>
    </row>
    <row r="1062" spans="1:24">
      <c r="A1062">
        <f>HYPERLINK("https://www.philgeps.gov.ph/GEPSNONPILOT/Tender/SplashBidNoticeAbstractUI.aspx?menuIndex=3&amp;refID=7048187&amp;Result=3","7048187")</f>
        <v>0</v>
      </c>
      <c r="B1062" t="s">
        <v>391</v>
      </c>
      <c r="C1062" t="s">
        <v>4127</v>
      </c>
      <c r="D1062" t="s">
        <v>16202</v>
      </c>
      <c r="E1062" t="s">
        <v>17291</v>
      </c>
      <c r="F1062" t="s">
        <v>28198</v>
      </c>
      <c r="G1062" t="s">
        <v>28207</v>
      </c>
      <c r="H1062" t="s">
        <v>28215</v>
      </c>
      <c r="I1062" t="s">
        <v>5082</v>
      </c>
      <c r="J1062" t="s">
        <v>29132</v>
      </c>
      <c r="K1062" t="s">
        <v>36706</v>
      </c>
      <c r="M1062" t="s">
        <v>37371</v>
      </c>
      <c r="N1062" t="s">
        <v>40436</v>
      </c>
      <c r="O1062" t="s">
        <v>40437</v>
      </c>
      <c r="P1062">
        <v>0</v>
      </c>
      <c r="Q1062">
        <v>1</v>
      </c>
      <c r="R1062" t="s">
        <v>40438</v>
      </c>
      <c r="S1062" t="s">
        <v>40582</v>
      </c>
      <c r="T1062" t="s">
        <v>42142</v>
      </c>
      <c r="U1062" t="s">
        <v>43281</v>
      </c>
      <c r="V1062" t="s">
        <v>53876</v>
      </c>
      <c r="W1062" t="s">
        <v>37371</v>
      </c>
      <c r="X1062" t="s">
        <v>40439</v>
      </c>
    </row>
    <row r="1063" spans="1:24">
      <c r="A1063">
        <f>HYPERLINK("https://www.philgeps.gov.ph/GEPSNONPILOT/Tender/SplashBidNoticeAbstractUI.aspx?menuIndex=3&amp;refID=7048185&amp;Result=3","7048185")</f>
        <v>0</v>
      </c>
      <c r="B1063" t="s">
        <v>520</v>
      </c>
      <c r="C1063" t="s">
        <v>4128</v>
      </c>
      <c r="D1063" t="s">
        <v>16247</v>
      </c>
      <c r="E1063" t="s">
        <v>17292</v>
      </c>
      <c r="F1063" t="s">
        <v>28198</v>
      </c>
      <c r="G1063" t="s">
        <v>28207</v>
      </c>
      <c r="H1063" t="s">
        <v>28215</v>
      </c>
      <c r="I1063" t="s">
        <v>28222</v>
      </c>
      <c r="J1063" t="s">
        <v>28406</v>
      </c>
      <c r="K1063" t="s">
        <v>36701</v>
      </c>
      <c r="M1063" t="s">
        <v>37505</v>
      </c>
      <c r="N1063" t="s">
        <v>40436</v>
      </c>
      <c r="O1063" t="s">
        <v>40437</v>
      </c>
      <c r="P1063">
        <v>0</v>
      </c>
      <c r="Q1063">
        <v>0</v>
      </c>
      <c r="R1063" t="s">
        <v>40438</v>
      </c>
      <c r="S1063" t="s">
        <v>40582</v>
      </c>
      <c r="T1063" t="s">
        <v>42203</v>
      </c>
      <c r="U1063" t="s">
        <v>43531</v>
      </c>
      <c r="W1063" t="s">
        <v>37505</v>
      </c>
      <c r="X1063" t="s">
        <v>40439</v>
      </c>
    </row>
    <row r="1064" spans="1:24">
      <c r="A1064">
        <f>HYPERLINK("https://www.philgeps.gov.ph/GEPSNONPILOT/Tender/SplashBidNoticeAbstractUI.aspx?menuIndex=3&amp;refID=7048158&amp;Result=3","7048158")</f>
        <v>0</v>
      </c>
      <c r="B1064" t="s">
        <v>537</v>
      </c>
      <c r="C1064" t="s">
        <v>4129</v>
      </c>
      <c r="E1064" t="s">
        <v>17293</v>
      </c>
      <c r="F1064" t="s">
        <v>28198</v>
      </c>
      <c r="G1064" t="s">
        <v>28205</v>
      </c>
      <c r="H1064" t="s">
        <v>28214</v>
      </c>
      <c r="I1064" t="s">
        <v>3797</v>
      </c>
      <c r="J1064" t="s">
        <v>29133</v>
      </c>
      <c r="K1064" t="s">
        <v>36689</v>
      </c>
      <c r="M1064" t="s">
        <v>37523</v>
      </c>
      <c r="N1064" t="s">
        <v>40436</v>
      </c>
      <c r="O1064" t="s">
        <v>40437</v>
      </c>
      <c r="P1064">
        <v>0</v>
      </c>
      <c r="Q1064">
        <v>0</v>
      </c>
      <c r="R1064" t="s">
        <v>40438</v>
      </c>
      <c r="S1064" t="s">
        <v>40582</v>
      </c>
      <c r="T1064" t="s">
        <v>42241</v>
      </c>
      <c r="U1064" t="s">
        <v>43561</v>
      </c>
      <c r="V1064" t="s">
        <v>53909</v>
      </c>
      <c r="W1064" t="s">
        <v>37523</v>
      </c>
      <c r="X1064" t="s">
        <v>40439</v>
      </c>
    </row>
    <row r="1065" spans="1:24">
      <c r="A1065">
        <f>HYPERLINK("https://www.philgeps.gov.ph/GEPSNONPILOT/Tender/SplashBidNoticeAbstractUI.aspx?menuIndex=3&amp;refID=7048182&amp;Result=3","7048182")</f>
        <v>0</v>
      </c>
      <c r="B1065" t="s">
        <v>538</v>
      </c>
      <c r="C1065" t="s">
        <v>4130</v>
      </c>
      <c r="E1065" t="s">
        <v>17294</v>
      </c>
      <c r="F1065" t="s">
        <v>28198</v>
      </c>
      <c r="G1065" t="s">
        <v>28207</v>
      </c>
      <c r="H1065" t="s">
        <v>28215</v>
      </c>
      <c r="I1065" t="s">
        <v>5100</v>
      </c>
      <c r="J1065" t="s">
        <v>29134</v>
      </c>
      <c r="K1065" t="s">
        <v>36689</v>
      </c>
      <c r="M1065" t="s">
        <v>37524</v>
      </c>
      <c r="N1065" t="s">
        <v>40436</v>
      </c>
      <c r="O1065" t="s">
        <v>40437</v>
      </c>
      <c r="P1065">
        <v>0</v>
      </c>
      <c r="Q1065">
        <v>3</v>
      </c>
      <c r="R1065" t="s">
        <v>40438</v>
      </c>
      <c r="S1065" t="s">
        <v>40582</v>
      </c>
      <c r="T1065" t="s">
        <v>42112</v>
      </c>
      <c r="U1065" t="s">
        <v>43562</v>
      </c>
      <c r="W1065" t="s">
        <v>37524</v>
      </c>
      <c r="X1065" t="s">
        <v>40439</v>
      </c>
    </row>
    <row r="1066" spans="1:24">
      <c r="A1066">
        <f>HYPERLINK("https://www.philgeps.gov.ph/GEPSNONPILOT/Tender/SplashBidNoticeAbstractUI.aspx?menuIndex=3&amp;refID=7048191&amp;Result=3","7048191")</f>
        <v>0</v>
      </c>
      <c r="B1066" t="s">
        <v>537</v>
      </c>
      <c r="C1066" t="s">
        <v>4131</v>
      </c>
      <c r="E1066" t="s">
        <v>17295</v>
      </c>
      <c r="F1066" t="s">
        <v>28198</v>
      </c>
      <c r="G1066" t="s">
        <v>28205</v>
      </c>
      <c r="H1066" t="s">
        <v>28214</v>
      </c>
      <c r="I1066" t="s">
        <v>3797</v>
      </c>
      <c r="J1066" t="s">
        <v>29135</v>
      </c>
      <c r="K1066" t="s">
        <v>36689</v>
      </c>
      <c r="M1066" t="s">
        <v>37523</v>
      </c>
      <c r="N1066" t="s">
        <v>40436</v>
      </c>
      <c r="O1066" t="s">
        <v>40437</v>
      </c>
      <c r="P1066">
        <v>0</v>
      </c>
      <c r="Q1066">
        <v>0</v>
      </c>
      <c r="R1066" t="s">
        <v>40438</v>
      </c>
      <c r="S1066" t="s">
        <v>40582</v>
      </c>
      <c r="T1066" t="s">
        <v>42241</v>
      </c>
      <c r="U1066" t="s">
        <v>43563</v>
      </c>
      <c r="V1066" t="s">
        <v>53910</v>
      </c>
      <c r="W1066" t="s">
        <v>37523</v>
      </c>
      <c r="X1066" t="s">
        <v>40439</v>
      </c>
    </row>
    <row r="1067" spans="1:24">
      <c r="A1067">
        <f>HYPERLINK("https://www.philgeps.gov.ph/GEPSNONPILOT/Tender/SplashBidNoticeAbstractUI.aspx?menuIndex=3&amp;refID=7048157&amp;Result=3","7048157")</f>
        <v>0</v>
      </c>
      <c r="B1067" t="s">
        <v>418</v>
      </c>
      <c r="C1067" t="s">
        <v>4132</v>
      </c>
      <c r="D1067" t="s">
        <v>16230</v>
      </c>
      <c r="E1067" t="s">
        <v>17225</v>
      </c>
      <c r="F1067" t="s">
        <v>28198</v>
      </c>
      <c r="G1067" t="s">
        <v>28207</v>
      </c>
      <c r="H1067" t="s">
        <v>28215</v>
      </c>
      <c r="I1067" t="s">
        <v>28258</v>
      </c>
      <c r="J1067" t="s">
        <v>29025</v>
      </c>
      <c r="K1067" t="s">
        <v>36701</v>
      </c>
      <c r="M1067" t="s">
        <v>37400</v>
      </c>
      <c r="N1067" t="s">
        <v>40436</v>
      </c>
      <c r="O1067" t="s">
        <v>40437</v>
      </c>
      <c r="P1067">
        <v>0</v>
      </c>
      <c r="Q1067">
        <v>1</v>
      </c>
      <c r="R1067" t="s">
        <v>40438</v>
      </c>
      <c r="S1067" t="s">
        <v>40582</v>
      </c>
      <c r="T1067" t="s">
        <v>42124</v>
      </c>
      <c r="U1067" t="s">
        <v>43564</v>
      </c>
      <c r="W1067" t="s">
        <v>37400</v>
      </c>
      <c r="X1067" t="s">
        <v>40439</v>
      </c>
    </row>
    <row r="1068" spans="1:24">
      <c r="A1068">
        <f>HYPERLINK("https://www.philgeps.gov.ph/GEPSNONPILOT/Tender/SplashBidNoticeAbstractUI.aspx?menuIndex=3&amp;refID=7048186&amp;Result=3","7048186")</f>
        <v>0</v>
      </c>
      <c r="B1068" t="s">
        <v>502</v>
      </c>
      <c r="C1068" t="s">
        <v>4133</v>
      </c>
      <c r="D1068" t="s">
        <v>16196</v>
      </c>
      <c r="E1068" t="s">
        <v>17296</v>
      </c>
      <c r="F1068" t="s">
        <v>28198</v>
      </c>
      <c r="G1068" t="s">
        <v>28206</v>
      </c>
      <c r="H1068" t="s">
        <v>28215</v>
      </c>
      <c r="I1068" t="s">
        <v>28290</v>
      </c>
      <c r="J1068" t="s">
        <v>29136</v>
      </c>
      <c r="K1068" t="s">
        <v>36701</v>
      </c>
      <c r="M1068" t="s">
        <v>37487</v>
      </c>
      <c r="N1068" t="s">
        <v>40436</v>
      </c>
      <c r="O1068" t="s">
        <v>40437</v>
      </c>
      <c r="P1068">
        <v>0</v>
      </c>
      <c r="Q1068">
        <v>1</v>
      </c>
      <c r="R1068" t="s">
        <v>40438</v>
      </c>
      <c r="S1068" t="s">
        <v>40582</v>
      </c>
      <c r="T1068" t="s">
        <v>42152</v>
      </c>
      <c r="U1068" t="s">
        <v>43565</v>
      </c>
      <c r="W1068" t="s">
        <v>37487</v>
      </c>
      <c r="X1068" t="s">
        <v>40439</v>
      </c>
    </row>
    <row r="1069" spans="1:24">
      <c r="A1069">
        <f>HYPERLINK("https://www.philgeps.gov.ph/GEPSNONPILOT/Tender/SplashBidNoticeAbstractUI.aspx?menuIndex=3&amp;refID=7048199&amp;Result=3","7048199")</f>
        <v>0</v>
      </c>
      <c r="B1069" t="s">
        <v>447</v>
      </c>
      <c r="C1069" t="s">
        <v>4134</v>
      </c>
      <c r="D1069" t="s">
        <v>16204</v>
      </c>
      <c r="E1069" t="s">
        <v>17297</v>
      </c>
      <c r="F1069" t="s">
        <v>28198</v>
      </c>
      <c r="G1069" t="s">
        <v>28210</v>
      </c>
      <c r="H1069" t="s">
        <v>28215</v>
      </c>
      <c r="I1069" t="s">
        <v>28238</v>
      </c>
      <c r="J1069" t="s">
        <v>29137</v>
      </c>
      <c r="K1069" t="s">
        <v>36688</v>
      </c>
      <c r="M1069" t="s">
        <v>37431</v>
      </c>
      <c r="N1069" t="s">
        <v>40436</v>
      </c>
      <c r="O1069" t="s">
        <v>40437</v>
      </c>
      <c r="P1069">
        <v>0</v>
      </c>
      <c r="Q1069">
        <v>0</v>
      </c>
      <c r="R1069" t="s">
        <v>40438</v>
      </c>
      <c r="S1069" t="s">
        <v>40582</v>
      </c>
      <c r="T1069" t="s">
        <v>42142</v>
      </c>
      <c r="U1069" t="s">
        <v>43566</v>
      </c>
      <c r="W1069" t="s">
        <v>55448</v>
      </c>
      <c r="X1069" t="s">
        <v>40439</v>
      </c>
    </row>
    <row r="1070" spans="1:24">
      <c r="A1070">
        <f>HYPERLINK("https://www.philgeps.gov.ph/GEPSNONPILOT/Tender/SplashBidNoticeAbstractUI.aspx?menuIndex=3&amp;refID=7048181&amp;Result=3","7048181")</f>
        <v>0</v>
      </c>
      <c r="B1070" t="s">
        <v>513</v>
      </c>
      <c r="C1070" t="s">
        <v>4135</v>
      </c>
      <c r="D1070" t="s">
        <v>16189</v>
      </c>
      <c r="E1070" t="s">
        <v>17010</v>
      </c>
      <c r="F1070" t="s">
        <v>28198</v>
      </c>
      <c r="G1070" t="s">
        <v>28207</v>
      </c>
      <c r="H1070" t="s">
        <v>28215</v>
      </c>
      <c r="I1070" t="s">
        <v>28220</v>
      </c>
      <c r="J1070" t="s">
        <v>28878</v>
      </c>
      <c r="K1070" t="s">
        <v>36691</v>
      </c>
      <c r="M1070" t="s">
        <v>37498</v>
      </c>
      <c r="N1070" t="s">
        <v>40436</v>
      </c>
      <c r="O1070" t="s">
        <v>40437</v>
      </c>
      <c r="P1070">
        <v>0</v>
      </c>
      <c r="Q1070">
        <v>0</v>
      </c>
      <c r="R1070" t="s">
        <v>40438</v>
      </c>
      <c r="S1070" t="s">
        <v>40582</v>
      </c>
      <c r="T1070" t="s">
        <v>42175</v>
      </c>
      <c r="U1070" t="s">
        <v>43567</v>
      </c>
      <c r="W1070" t="s">
        <v>37498</v>
      </c>
      <c r="X1070" t="s">
        <v>40439</v>
      </c>
    </row>
    <row r="1071" spans="1:24">
      <c r="A1071">
        <f>HYPERLINK("https://www.philgeps.gov.ph/GEPSNONPILOT/Tender/SplashBidNoticeAbstractUI.aspx?menuIndex=3&amp;refID=7048188&amp;Result=3","7048188")</f>
        <v>0</v>
      </c>
      <c r="B1071" t="s">
        <v>202</v>
      </c>
      <c r="C1071" t="s">
        <v>4136</v>
      </c>
      <c r="D1071" t="s">
        <v>16217</v>
      </c>
      <c r="E1071" t="s">
        <v>17298</v>
      </c>
      <c r="F1071" t="s">
        <v>28198</v>
      </c>
      <c r="G1071" t="s">
        <v>28205</v>
      </c>
      <c r="H1071" t="s">
        <v>28215</v>
      </c>
      <c r="I1071" t="s">
        <v>28247</v>
      </c>
      <c r="J1071" t="s">
        <v>29138</v>
      </c>
      <c r="K1071" t="s">
        <v>36715</v>
      </c>
      <c r="M1071" t="s">
        <v>37516</v>
      </c>
      <c r="N1071" t="s">
        <v>40436</v>
      </c>
      <c r="O1071" t="s">
        <v>40437</v>
      </c>
      <c r="P1071">
        <v>0</v>
      </c>
      <c r="Q1071">
        <v>19</v>
      </c>
      <c r="R1071" t="s">
        <v>40438</v>
      </c>
      <c r="S1071" t="s">
        <v>40582</v>
      </c>
      <c r="T1071" t="s">
        <v>42240</v>
      </c>
      <c r="U1071" t="s">
        <v>43546</v>
      </c>
      <c r="V1071" t="s">
        <v>53911</v>
      </c>
      <c r="W1071" t="s">
        <v>37516</v>
      </c>
      <c r="X1071" t="s">
        <v>40439</v>
      </c>
    </row>
    <row r="1072" spans="1:24">
      <c r="A1072">
        <f>HYPERLINK("https://www.philgeps.gov.ph/GEPSNONPILOT/Tender/SplashBidNoticeAbstractUI.aspx?menuIndex=3&amp;refID=7048184&amp;Result=3","7048184")</f>
        <v>0</v>
      </c>
      <c r="B1072" t="s">
        <v>539</v>
      </c>
      <c r="C1072" t="s">
        <v>4137</v>
      </c>
      <c r="D1072" t="s">
        <v>16210</v>
      </c>
      <c r="E1072" t="s">
        <v>17299</v>
      </c>
      <c r="F1072" t="s">
        <v>28198</v>
      </c>
      <c r="G1072" t="s">
        <v>28205</v>
      </c>
      <c r="H1072" t="s">
        <v>28214</v>
      </c>
      <c r="I1072" t="s">
        <v>3797</v>
      </c>
      <c r="J1072" t="s">
        <v>29139</v>
      </c>
      <c r="K1072" t="s">
        <v>36692</v>
      </c>
      <c r="M1072" t="s">
        <v>37525</v>
      </c>
      <c r="N1072" t="s">
        <v>40436</v>
      </c>
      <c r="O1072" t="s">
        <v>40437</v>
      </c>
      <c r="P1072">
        <v>0</v>
      </c>
      <c r="Q1072">
        <v>3</v>
      </c>
      <c r="R1072" t="s">
        <v>40438</v>
      </c>
      <c r="S1072" t="s">
        <v>40582</v>
      </c>
      <c r="T1072" t="s">
        <v>42143</v>
      </c>
      <c r="U1072" t="s">
        <v>43568</v>
      </c>
      <c r="V1072" t="s">
        <v>53912</v>
      </c>
      <c r="W1072" t="s">
        <v>37525</v>
      </c>
      <c r="X1072" t="s">
        <v>40439</v>
      </c>
    </row>
    <row r="1073" spans="1:24">
      <c r="A1073">
        <f>HYPERLINK("https://www.philgeps.gov.ph/GEPSNONPILOT/Tender/SplashBidNoticeAbstractUI.aspx?menuIndex=3&amp;refID=7048198&amp;Result=3","7048198")</f>
        <v>0</v>
      </c>
      <c r="B1073" t="s">
        <v>534</v>
      </c>
      <c r="C1073" t="s">
        <v>4138</v>
      </c>
      <c r="D1073" t="s">
        <v>16221</v>
      </c>
      <c r="E1073" t="s">
        <v>17300</v>
      </c>
      <c r="F1073" t="s">
        <v>28198</v>
      </c>
      <c r="G1073" t="s">
        <v>28207</v>
      </c>
      <c r="H1073" t="s">
        <v>28215</v>
      </c>
      <c r="I1073" t="s">
        <v>5100</v>
      </c>
      <c r="J1073" t="s">
        <v>29140</v>
      </c>
      <c r="K1073" t="s">
        <v>36691</v>
      </c>
      <c r="M1073" t="s">
        <v>37520</v>
      </c>
      <c r="N1073" t="s">
        <v>40436</v>
      </c>
      <c r="O1073" t="s">
        <v>40437</v>
      </c>
      <c r="P1073">
        <v>0</v>
      </c>
      <c r="Q1073">
        <v>0</v>
      </c>
      <c r="R1073" t="s">
        <v>40438</v>
      </c>
      <c r="S1073" t="s">
        <v>40582</v>
      </c>
      <c r="T1073" t="s">
        <v>42242</v>
      </c>
      <c r="U1073" t="s">
        <v>43569</v>
      </c>
      <c r="W1073" t="s">
        <v>37520</v>
      </c>
      <c r="X1073" t="s">
        <v>40439</v>
      </c>
    </row>
    <row r="1074" spans="1:24">
      <c r="A1074">
        <f>HYPERLINK("https://www.philgeps.gov.ph/GEPSNONPILOT/Tender/SplashBidNoticeAbstractUI.aspx?menuIndex=3&amp;refID=7048195&amp;Result=3","7048195")</f>
        <v>0</v>
      </c>
      <c r="B1074" t="s">
        <v>425</v>
      </c>
      <c r="C1074" t="s">
        <v>4139</v>
      </c>
      <c r="D1074" t="s">
        <v>16197</v>
      </c>
      <c r="E1074" t="s">
        <v>17301</v>
      </c>
      <c r="F1074" t="s">
        <v>28198</v>
      </c>
      <c r="G1074" t="s">
        <v>28205</v>
      </c>
      <c r="H1074" t="s">
        <v>28215</v>
      </c>
      <c r="I1074" t="s">
        <v>5100</v>
      </c>
      <c r="J1074" t="s">
        <v>29141</v>
      </c>
      <c r="K1074" t="s">
        <v>36689</v>
      </c>
      <c r="M1074" t="s">
        <v>37407</v>
      </c>
      <c r="N1074" t="s">
        <v>40436</v>
      </c>
      <c r="O1074" t="s">
        <v>40437</v>
      </c>
      <c r="P1074">
        <v>0</v>
      </c>
      <c r="Q1074">
        <v>1</v>
      </c>
      <c r="R1074" t="s">
        <v>40438</v>
      </c>
      <c r="S1074" t="s">
        <v>40582</v>
      </c>
      <c r="T1074" t="s">
        <v>42211</v>
      </c>
      <c r="U1074" t="s">
        <v>43570</v>
      </c>
      <c r="V1074" t="s">
        <v>53881</v>
      </c>
      <c r="W1074" t="s">
        <v>37407</v>
      </c>
      <c r="X1074" t="s">
        <v>40439</v>
      </c>
    </row>
    <row r="1075" spans="1:24">
      <c r="A1075">
        <f>HYPERLINK("https://www.philgeps.gov.ph/GEPSNONPILOT/Tender/SplashBidNoticeAbstractUI.aspx?menuIndex=3&amp;refID=7048203&amp;Result=3","7048203")</f>
        <v>0</v>
      </c>
      <c r="B1075" t="s">
        <v>537</v>
      </c>
      <c r="C1075" t="s">
        <v>4140</v>
      </c>
      <c r="E1075" t="s">
        <v>17302</v>
      </c>
      <c r="F1075" t="s">
        <v>28198</v>
      </c>
      <c r="G1075" t="s">
        <v>28205</v>
      </c>
      <c r="H1075" t="s">
        <v>28214</v>
      </c>
      <c r="I1075" t="s">
        <v>3797</v>
      </c>
      <c r="J1075" t="s">
        <v>29142</v>
      </c>
      <c r="K1075" t="s">
        <v>36689</v>
      </c>
      <c r="M1075" t="s">
        <v>37523</v>
      </c>
      <c r="N1075" t="s">
        <v>40436</v>
      </c>
      <c r="O1075" t="s">
        <v>40437</v>
      </c>
      <c r="P1075">
        <v>0</v>
      </c>
      <c r="Q1075">
        <v>0</v>
      </c>
      <c r="R1075" t="s">
        <v>40438</v>
      </c>
      <c r="S1075" t="s">
        <v>40582</v>
      </c>
      <c r="T1075" t="s">
        <v>42241</v>
      </c>
      <c r="U1075" t="s">
        <v>43571</v>
      </c>
      <c r="V1075" t="s">
        <v>53913</v>
      </c>
      <c r="W1075" t="s">
        <v>37523</v>
      </c>
      <c r="X1075" t="s">
        <v>40439</v>
      </c>
    </row>
    <row r="1076" spans="1:24">
      <c r="A1076">
        <f>HYPERLINK("https://www.philgeps.gov.ph/GEPSNONPILOT/Tender/SplashBidNoticeAbstractUI.aspx?menuIndex=3&amp;refID=7048196&amp;Result=3","7048196")</f>
        <v>0</v>
      </c>
      <c r="B1076" t="s">
        <v>540</v>
      </c>
      <c r="C1076" t="s">
        <v>4141</v>
      </c>
      <c r="D1076" t="s">
        <v>16210</v>
      </c>
      <c r="E1076" t="s">
        <v>17303</v>
      </c>
      <c r="F1076" t="s">
        <v>28198</v>
      </c>
      <c r="G1076" t="s">
        <v>28207</v>
      </c>
      <c r="H1076" t="s">
        <v>28215</v>
      </c>
      <c r="I1076" t="s">
        <v>28297</v>
      </c>
      <c r="J1076" t="s">
        <v>29143</v>
      </c>
      <c r="K1076" t="s">
        <v>36688</v>
      </c>
      <c r="M1076" t="s">
        <v>37526</v>
      </c>
      <c r="N1076" t="s">
        <v>40436</v>
      </c>
      <c r="O1076" t="s">
        <v>40437</v>
      </c>
      <c r="P1076">
        <v>0</v>
      </c>
      <c r="Q1076">
        <v>0</v>
      </c>
      <c r="R1076" t="s">
        <v>40438</v>
      </c>
      <c r="S1076" t="s">
        <v>40582</v>
      </c>
      <c r="T1076" t="s">
        <v>42098</v>
      </c>
      <c r="U1076" t="s">
        <v>43572</v>
      </c>
      <c r="V1076" t="s">
        <v>53914</v>
      </c>
      <c r="W1076" t="s">
        <v>37526</v>
      </c>
      <c r="X1076" t="s">
        <v>40439</v>
      </c>
    </row>
    <row r="1077" spans="1:24">
      <c r="A1077">
        <f>HYPERLINK("https://www.philgeps.gov.ph/GEPSNONPILOT/Tender/SplashBidNoticeAbstractUI.aspx?menuIndex=3&amp;refID=7048201&amp;Result=3","7048201")</f>
        <v>0</v>
      </c>
      <c r="B1077" t="s">
        <v>129</v>
      </c>
      <c r="C1077" t="s">
        <v>4142</v>
      </c>
      <c r="D1077" t="s">
        <v>16210</v>
      </c>
      <c r="E1077" t="s">
        <v>17304</v>
      </c>
      <c r="F1077" t="s">
        <v>28198</v>
      </c>
      <c r="G1077" t="s">
        <v>28206</v>
      </c>
      <c r="H1077" t="s">
        <v>28215</v>
      </c>
      <c r="I1077" t="s">
        <v>8888</v>
      </c>
      <c r="J1077" t="s">
        <v>29144</v>
      </c>
      <c r="K1077" t="s">
        <v>36706</v>
      </c>
      <c r="M1077" t="s">
        <v>37151</v>
      </c>
      <c r="N1077" t="s">
        <v>40436</v>
      </c>
      <c r="O1077" t="s">
        <v>40437</v>
      </c>
      <c r="P1077">
        <v>0</v>
      </c>
      <c r="Q1077">
        <v>2</v>
      </c>
      <c r="R1077" t="s">
        <v>40438</v>
      </c>
      <c r="S1077" t="s">
        <v>40582</v>
      </c>
      <c r="T1077" t="s">
        <v>42156</v>
      </c>
      <c r="U1077" t="s">
        <v>43573</v>
      </c>
      <c r="V1077" t="s">
        <v>53812</v>
      </c>
      <c r="W1077" t="s">
        <v>37151</v>
      </c>
      <c r="X1077" t="s">
        <v>40439</v>
      </c>
    </row>
    <row r="1078" spans="1:24">
      <c r="A1078">
        <f>HYPERLINK("https://www.philgeps.gov.ph/GEPSNONPILOT/Tender/SplashBidNoticeAbstractUI.aspx?menuIndex=3&amp;refID=7048194&amp;Result=3","7048194")</f>
        <v>0</v>
      </c>
      <c r="B1078" t="s">
        <v>513</v>
      </c>
      <c r="C1078" t="s">
        <v>4143</v>
      </c>
      <c r="D1078" t="s">
        <v>16189</v>
      </c>
      <c r="E1078" t="s">
        <v>17010</v>
      </c>
      <c r="F1078" t="s">
        <v>28198</v>
      </c>
      <c r="G1078" t="s">
        <v>28207</v>
      </c>
      <c r="H1078" t="s">
        <v>28215</v>
      </c>
      <c r="I1078" t="s">
        <v>4168</v>
      </c>
      <c r="J1078" t="s">
        <v>28529</v>
      </c>
      <c r="K1078" t="s">
        <v>36691</v>
      </c>
      <c r="M1078" t="s">
        <v>37498</v>
      </c>
      <c r="N1078" t="s">
        <v>40436</v>
      </c>
      <c r="O1078" t="s">
        <v>40437</v>
      </c>
      <c r="P1078">
        <v>0</v>
      </c>
      <c r="Q1078">
        <v>0</v>
      </c>
      <c r="R1078" t="s">
        <v>40438</v>
      </c>
      <c r="S1078" t="s">
        <v>40582</v>
      </c>
      <c r="T1078" t="s">
        <v>42175</v>
      </c>
      <c r="U1078" t="s">
        <v>43574</v>
      </c>
      <c r="W1078" t="s">
        <v>37498</v>
      </c>
      <c r="X1078" t="s">
        <v>40439</v>
      </c>
    </row>
    <row r="1079" spans="1:24">
      <c r="A1079">
        <f>HYPERLINK("https://www.philgeps.gov.ph/GEPSNONPILOT/Tender/SplashBidNoticeAbstractUI.aspx?menuIndex=3&amp;refID=7048197&amp;Result=3","7048197")</f>
        <v>0</v>
      </c>
      <c r="B1079" t="s">
        <v>541</v>
      </c>
      <c r="C1079" t="s">
        <v>4144</v>
      </c>
      <c r="D1079" t="s">
        <v>16195</v>
      </c>
      <c r="E1079" t="s">
        <v>17305</v>
      </c>
      <c r="F1079" t="s">
        <v>28198</v>
      </c>
      <c r="G1079" t="s">
        <v>28205</v>
      </c>
      <c r="H1079" t="s">
        <v>28215</v>
      </c>
      <c r="I1079" t="s">
        <v>28222</v>
      </c>
      <c r="J1079" t="s">
        <v>29002</v>
      </c>
      <c r="K1079" t="s">
        <v>36692</v>
      </c>
      <c r="M1079" t="s">
        <v>37527</v>
      </c>
      <c r="N1079" t="s">
        <v>40436</v>
      </c>
      <c r="O1079" t="s">
        <v>40437</v>
      </c>
      <c r="P1079">
        <v>0</v>
      </c>
      <c r="Q1079">
        <v>2</v>
      </c>
      <c r="R1079" t="s">
        <v>40438</v>
      </c>
      <c r="S1079" t="s">
        <v>40582</v>
      </c>
      <c r="T1079" t="s">
        <v>42122</v>
      </c>
      <c r="U1079" t="s">
        <v>43575</v>
      </c>
      <c r="W1079" t="s">
        <v>37527</v>
      </c>
      <c r="X1079" t="s">
        <v>40439</v>
      </c>
    </row>
    <row r="1080" spans="1:24">
      <c r="A1080">
        <f>HYPERLINK("https://www.philgeps.gov.ph/GEPSNONPILOT/Tender/SplashBidNoticeAbstractUI.aspx?menuIndex=3&amp;refID=7048202&amp;Result=3","7048202")</f>
        <v>0</v>
      </c>
      <c r="B1080" t="s">
        <v>538</v>
      </c>
      <c r="C1080" t="s">
        <v>4145</v>
      </c>
      <c r="E1080" t="s">
        <v>17306</v>
      </c>
      <c r="F1080" t="s">
        <v>28198</v>
      </c>
      <c r="G1080" t="s">
        <v>28206</v>
      </c>
      <c r="H1080" t="s">
        <v>28215</v>
      </c>
      <c r="I1080" t="s">
        <v>4219</v>
      </c>
      <c r="J1080" t="s">
        <v>29145</v>
      </c>
      <c r="K1080" t="s">
        <v>36689</v>
      </c>
      <c r="M1080" t="s">
        <v>37524</v>
      </c>
      <c r="N1080" t="s">
        <v>40436</v>
      </c>
      <c r="O1080" t="s">
        <v>40437</v>
      </c>
      <c r="P1080">
        <v>0</v>
      </c>
      <c r="Q1080">
        <v>1</v>
      </c>
      <c r="R1080" t="s">
        <v>40438</v>
      </c>
      <c r="S1080" t="s">
        <v>40582</v>
      </c>
      <c r="T1080" t="s">
        <v>42112</v>
      </c>
      <c r="U1080" t="s">
        <v>43562</v>
      </c>
      <c r="W1080" t="s">
        <v>37524</v>
      </c>
      <c r="X1080" t="s">
        <v>40439</v>
      </c>
    </row>
    <row r="1081" spans="1:24">
      <c r="A1081">
        <f>HYPERLINK("https://www.philgeps.gov.ph/GEPSNONPILOT/Tender/SplashBidNoticeAbstractUI.aspx?menuIndex=3&amp;refID=7048205&amp;Result=3","7048205")</f>
        <v>0</v>
      </c>
      <c r="B1081" t="s">
        <v>542</v>
      </c>
      <c r="C1081" t="s">
        <v>4146</v>
      </c>
      <c r="D1081" t="s">
        <v>16222</v>
      </c>
      <c r="E1081" t="s">
        <v>16473</v>
      </c>
      <c r="F1081" t="s">
        <v>28198</v>
      </c>
      <c r="G1081" t="s">
        <v>28205</v>
      </c>
      <c r="H1081" t="s">
        <v>28215</v>
      </c>
      <c r="I1081" t="s">
        <v>28228</v>
      </c>
      <c r="J1081" t="s">
        <v>29146</v>
      </c>
      <c r="K1081" t="s">
        <v>36707</v>
      </c>
      <c r="M1081" t="s">
        <v>37528</v>
      </c>
      <c r="N1081" t="s">
        <v>40436</v>
      </c>
      <c r="O1081" t="s">
        <v>40437</v>
      </c>
      <c r="P1081">
        <v>0</v>
      </c>
      <c r="Q1081">
        <v>0</v>
      </c>
      <c r="R1081" t="s">
        <v>40438</v>
      </c>
      <c r="S1081" t="s">
        <v>40582</v>
      </c>
      <c r="T1081" t="s">
        <v>42243</v>
      </c>
      <c r="U1081" t="s">
        <v>43576</v>
      </c>
      <c r="W1081" t="s">
        <v>37528</v>
      </c>
      <c r="X1081" t="s">
        <v>40439</v>
      </c>
    </row>
    <row r="1082" spans="1:24">
      <c r="A1082">
        <f>HYPERLINK("https://www.philgeps.gov.ph/GEPSNONPILOT/Tender/SplashBidNoticeAbstractUI.aspx?menuIndex=3&amp;refID=7048209&amp;Result=3","7048209")</f>
        <v>0</v>
      </c>
      <c r="B1082" t="s">
        <v>533</v>
      </c>
      <c r="C1082" t="s">
        <v>4147</v>
      </c>
      <c r="D1082" t="s">
        <v>16190</v>
      </c>
      <c r="E1082" t="s">
        <v>16495</v>
      </c>
      <c r="F1082" t="s">
        <v>28198</v>
      </c>
      <c r="G1082" t="s">
        <v>28207</v>
      </c>
      <c r="H1082" t="s">
        <v>28215</v>
      </c>
      <c r="I1082" t="s">
        <v>4219</v>
      </c>
      <c r="J1082" t="s">
        <v>29147</v>
      </c>
      <c r="K1082" t="s">
        <v>36688</v>
      </c>
      <c r="M1082" t="s">
        <v>37519</v>
      </c>
      <c r="N1082" t="s">
        <v>40436</v>
      </c>
      <c r="O1082" t="s">
        <v>40437</v>
      </c>
      <c r="P1082">
        <v>0</v>
      </c>
      <c r="Q1082">
        <v>0</v>
      </c>
      <c r="R1082" t="s">
        <v>40438</v>
      </c>
      <c r="S1082" t="s">
        <v>40582</v>
      </c>
      <c r="T1082" t="s">
        <v>42142</v>
      </c>
      <c r="U1082" t="s">
        <v>43577</v>
      </c>
      <c r="W1082" t="s">
        <v>37519</v>
      </c>
      <c r="X1082" t="s">
        <v>40439</v>
      </c>
    </row>
    <row r="1083" spans="1:24">
      <c r="A1083">
        <f>HYPERLINK("https://www.philgeps.gov.ph/GEPSNONPILOT/Tender/SplashBidNoticeAbstractUI.aspx?menuIndex=3&amp;refID=7048208&amp;Result=3","7048208")</f>
        <v>0</v>
      </c>
      <c r="B1083" t="s">
        <v>202</v>
      </c>
      <c r="C1083" t="s">
        <v>4148</v>
      </c>
      <c r="D1083" t="s">
        <v>16217</v>
      </c>
      <c r="E1083" t="s">
        <v>17307</v>
      </c>
      <c r="F1083" t="s">
        <v>28198</v>
      </c>
      <c r="G1083" t="s">
        <v>28205</v>
      </c>
      <c r="H1083" t="s">
        <v>28215</v>
      </c>
      <c r="I1083" t="s">
        <v>5100</v>
      </c>
      <c r="J1083" t="s">
        <v>29148</v>
      </c>
      <c r="K1083" t="s">
        <v>36701</v>
      </c>
      <c r="M1083" t="s">
        <v>37516</v>
      </c>
      <c r="N1083" t="s">
        <v>40436</v>
      </c>
      <c r="O1083" t="s">
        <v>40437</v>
      </c>
      <c r="P1083">
        <v>0</v>
      </c>
      <c r="Q1083">
        <v>0</v>
      </c>
      <c r="R1083" t="s">
        <v>40438</v>
      </c>
      <c r="S1083" t="s">
        <v>40582</v>
      </c>
      <c r="T1083" t="s">
        <v>42244</v>
      </c>
      <c r="U1083" t="s">
        <v>43578</v>
      </c>
      <c r="V1083" t="s">
        <v>53915</v>
      </c>
      <c r="W1083" t="s">
        <v>37516</v>
      </c>
      <c r="X1083" t="s">
        <v>40439</v>
      </c>
    </row>
    <row r="1084" spans="1:24">
      <c r="A1084">
        <f>HYPERLINK("https://www.philgeps.gov.ph/GEPSNONPILOT/Tender/SplashBidNoticeAbstractUI.aspx?menuIndex=3&amp;refID=7048219&amp;Result=3","7048219")</f>
        <v>0</v>
      </c>
      <c r="B1084" t="s">
        <v>543</v>
      </c>
      <c r="C1084" t="s">
        <v>4149</v>
      </c>
      <c r="D1084" t="s">
        <v>16210</v>
      </c>
      <c r="E1084" t="s">
        <v>17308</v>
      </c>
      <c r="F1084" t="s">
        <v>28198</v>
      </c>
      <c r="G1084" t="s">
        <v>28206</v>
      </c>
      <c r="H1084" t="s">
        <v>28215</v>
      </c>
      <c r="I1084" t="s">
        <v>5082</v>
      </c>
      <c r="J1084" t="s">
        <v>29149</v>
      </c>
      <c r="K1084" t="s">
        <v>36701</v>
      </c>
      <c r="M1084" t="s">
        <v>37529</v>
      </c>
      <c r="N1084" t="s">
        <v>40436</v>
      </c>
      <c r="O1084" t="s">
        <v>40437</v>
      </c>
      <c r="P1084">
        <v>0</v>
      </c>
      <c r="Q1084">
        <v>10</v>
      </c>
      <c r="R1084" t="s">
        <v>40438</v>
      </c>
      <c r="S1084" t="s">
        <v>40582</v>
      </c>
      <c r="T1084" t="s">
        <v>42169</v>
      </c>
      <c r="U1084" t="s">
        <v>43579</v>
      </c>
      <c r="V1084" t="s">
        <v>53916</v>
      </c>
      <c r="W1084" t="s">
        <v>37529</v>
      </c>
      <c r="X1084" t="s">
        <v>40439</v>
      </c>
    </row>
    <row r="1085" spans="1:24">
      <c r="A1085">
        <f>HYPERLINK("https://www.philgeps.gov.ph/GEPSNONPILOT/Tender/SplashBidNoticeAbstractUI.aspx?menuIndex=3&amp;refID=7048213&amp;Result=3","7048213")</f>
        <v>0</v>
      </c>
      <c r="B1085" t="s">
        <v>461</v>
      </c>
      <c r="C1085" t="s">
        <v>4150</v>
      </c>
      <c r="D1085" t="s">
        <v>16208</v>
      </c>
      <c r="E1085" t="s">
        <v>17309</v>
      </c>
      <c r="F1085" t="s">
        <v>28198</v>
      </c>
      <c r="G1085" t="s">
        <v>28206</v>
      </c>
      <c r="H1085" t="s">
        <v>28215</v>
      </c>
      <c r="I1085" t="s">
        <v>28243</v>
      </c>
      <c r="J1085" t="s">
        <v>29150</v>
      </c>
      <c r="K1085" t="s">
        <v>36689</v>
      </c>
      <c r="M1085" t="s">
        <v>37445</v>
      </c>
      <c r="N1085" t="s">
        <v>40436</v>
      </c>
      <c r="O1085" t="s">
        <v>40437</v>
      </c>
      <c r="P1085">
        <v>0</v>
      </c>
      <c r="Q1085">
        <v>0</v>
      </c>
      <c r="R1085" t="s">
        <v>40438</v>
      </c>
      <c r="S1085" t="s">
        <v>40582</v>
      </c>
      <c r="T1085" t="s">
        <v>42119</v>
      </c>
      <c r="U1085" t="s">
        <v>43580</v>
      </c>
      <c r="W1085" t="s">
        <v>37445</v>
      </c>
      <c r="X1085" t="s">
        <v>40439</v>
      </c>
    </row>
    <row r="1086" spans="1:24">
      <c r="A1086">
        <f>HYPERLINK("https://www.philgeps.gov.ph/GEPSNONPILOT/Tender/SplashBidNoticeAbstractUI.aspx?menuIndex=3&amp;refID=7048216&amp;Result=3","7048216")</f>
        <v>0</v>
      </c>
      <c r="B1086" t="s">
        <v>288</v>
      </c>
      <c r="C1086" t="s">
        <v>4151</v>
      </c>
      <c r="D1086" t="s">
        <v>16208</v>
      </c>
      <c r="E1086" t="s">
        <v>17310</v>
      </c>
      <c r="F1086" t="s">
        <v>28198</v>
      </c>
      <c r="G1086" t="s">
        <v>28207</v>
      </c>
      <c r="H1086" t="s">
        <v>28215</v>
      </c>
      <c r="I1086" t="s">
        <v>28228</v>
      </c>
      <c r="J1086" t="s">
        <v>29151</v>
      </c>
      <c r="K1086" t="s">
        <v>36691</v>
      </c>
      <c r="M1086" t="s">
        <v>37265</v>
      </c>
      <c r="N1086" t="s">
        <v>40436</v>
      </c>
      <c r="O1086" t="s">
        <v>40437</v>
      </c>
      <c r="P1086">
        <v>0</v>
      </c>
      <c r="Q1086">
        <v>0</v>
      </c>
      <c r="R1086" t="s">
        <v>40438</v>
      </c>
      <c r="S1086" t="s">
        <v>40582</v>
      </c>
      <c r="T1086" t="s">
        <v>42119</v>
      </c>
      <c r="U1086" t="s">
        <v>43581</v>
      </c>
      <c r="V1086" t="s">
        <v>53854</v>
      </c>
      <c r="W1086" t="s">
        <v>37265</v>
      </c>
      <c r="X1086" t="s">
        <v>40439</v>
      </c>
    </row>
    <row r="1087" spans="1:24">
      <c r="A1087">
        <f>HYPERLINK("https://www.philgeps.gov.ph/GEPSNONPILOT/Tender/SplashBidNoticeAbstractUI.aspx?menuIndex=3&amp;refID=7048211&amp;Result=3","7048211")</f>
        <v>0</v>
      </c>
      <c r="B1087" t="s">
        <v>544</v>
      </c>
      <c r="C1087" t="s">
        <v>4152</v>
      </c>
      <c r="D1087" t="s">
        <v>16265</v>
      </c>
      <c r="E1087" t="s">
        <v>16352</v>
      </c>
      <c r="F1087" t="s">
        <v>28198</v>
      </c>
      <c r="G1087" t="s">
        <v>28206</v>
      </c>
      <c r="H1087" t="s">
        <v>28215</v>
      </c>
      <c r="I1087" t="s">
        <v>4168</v>
      </c>
      <c r="J1087" t="s">
        <v>28529</v>
      </c>
      <c r="K1087" t="s">
        <v>36693</v>
      </c>
      <c r="M1087" t="s">
        <v>37530</v>
      </c>
      <c r="N1087" t="s">
        <v>40436</v>
      </c>
      <c r="O1087" t="s">
        <v>40437</v>
      </c>
      <c r="P1087">
        <v>0</v>
      </c>
      <c r="Q1087">
        <v>0</v>
      </c>
      <c r="R1087" t="s">
        <v>40438</v>
      </c>
      <c r="S1087" t="s">
        <v>40582</v>
      </c>
      <c r="T1087" t="s">
        <v>42119</v>
      </c>
      <c r="U1087" t="s">
        <v>43582</v>
      </c>
      <c r="W1087" t="s">
        <v>37530</v>
      </c>
      <c r="X1087" t="s">
        <v>40439</v>
      </c>
    </row>
    <row r="1088" spans="1:24">
      <c r="A1088">
        <f>HYPERLINK("https://www.philgeps.gov.ph/GEPSNONPILOT/Tender/SplashBidNoticeAbstractUI.aspx?menuIndex=3&amp;refID=7048214&amp;Result=3","7048214")</f>
        <v>0</v>
      </c>
      <c r="B1088" t="s">
        <v>323</v>
      </c>
      <c r="C1088" t="s">
        <v>4153</v>
      </c>
      <c r="D1088" t="s">
        <v>16238</v>
      </c>
      <c r="E1088" t="s">
        <v>17311</v>
      </c>
      <c r="F1088" t="s">
        <v>28198</v>
      </c>
      <c r="G1088" t="s">
        <v>28207</v>
      </c>
      <c r="H1088" t="s">
        <v>28215</v>
      </c>
      <c r="I1088" t="s">
        <v>28236</v>
      </c>
      <c r="J1088" t="s">
        <v>28593</v>
      </c>
      <c r="K1088" t="s">
        <v>36689</v>
      </c>
      <c r="M1088" t="s">
        <v>37301</v>
      </c>
      <c r="N1088" t="s">
        <v>40436</v>
      </c>
      <c r="O1088" t="s">
        <v>40437</v>
      </c>
      <c r="P1088">
        <v>0</v>
      </c>
      <c r="Q1088">
        <v>0</v>
      </c>
      <c r="R1088" t="s">
        <v>40438</v>
      </c>
      <c r="S1088" t="s">
        <v>40582</v>
      </c>
      <c r="T1088" t="s">
        <v>42134</v>
      </c>
      <c r="U1088" t="s">
        <v>43583</v>
      </c>
      <c r="W1088" t="s">
        <v>55446</v>
      </c>
      <c r="X1088" t="s">
        <v>40439</v>
      </c>
    </row>
    <row r="1089" spans="1:24">
      <c r="A1089">
        <f>HYPERLINK("https://www.philgeps.gov.ph/GEPSNONPILOT/Tender/SplashBidNoticeAbstractUI.aspx?menuIndex=3&amp;refID=7048218&amp;Result=3","7048218")</f>
        <v>0</v>
      </c>
      <c r="B1089" t="s">
        <v>545</v>
      </c>
      <c r="C1089" t="s">
        <v>4154</v>
      </c>
      <c r="D1089" t="s">
        <v>16224</v>
      </c>
      <c r="E1089" t="s">
        <v>17312</v>
      </c>
      <c r="F1089" t="s">
        <v>28198</v>
      </c>
      <c r="G1089" t="s">
        <v>28207</v>
      </c>
      <c r="H1089" t="s">
        <v>28215</v>
      </c>
      <c r="I1089" t="s">
        <v>28274</v>
      </c>
      <c r="J1089" t="s">
        <v>29152</v>
      </c>
      <c r="K1089" t="s">
        <v>36689</v>
      </c>
      <c r="M1089" t="s">
        <v>37531</v>
      </c>
      <c r="N1089" t="s">
        <v>40436</v>
      </c>
      <c r="O1089" t="s">
        <v>40437</v>
      </c>
      <c r="P1089">
        <v>0</v>
      </c>
      <c r="Q1089">
        <v>0</v>
      </c>
      <c r="R1089" t="s">
        <v>40438</v>
      </c>
      <c r="S1089" t="s">
        <v>40582</v>
      </c>
      <c r="T1089" t="s">
        <v>42124</v>
      </c>
      <c r="U1089" t="s">
        <v>43584</v>
      </c>
      <c r="V1089" t="s">
        <v>53917</v>
      </c>
      <c r="W1089" t="s">
        <v>37531</v>
      </c>
      <c r="X1089" t="s">
        <v>40439</v>
      </c>
    </row>
    <row r="1090" spans="1:24">
      <c r="A1090">
        <f>HYPERLINK("https://www.philgeps.gov.ph/GEPSNONPILOT/Tender/SplashBidNoticeAbstractUI.aspx?menuIndex=3&amp;refID=7048210&amp;Result=3","7048210")</f>
        <v>0</v>
      </c>
      <c r="B1090" t="s">
        <v>425</v>
      </c>
      <c r="C1090" t="s">
        <v>4155</v>
      </c>
      <c r="D1090" t="s">
        <v>16197</v>
      </c>
      <c r="E1090" t="s">
        <v>17313</v>
      </c>
      <c r="F1090" t="s">
        <v>28198</v>
      </c>
      <c r="G1090" t="s">
        <v>28205</v>
      </c>
      <c r="H1090" t="s">
        <v>28215</v>
      </c>
      <c r="I1090" t="s">
        <v>5100</v>
      </c>
      <c r="J1090" t="s">
        <v>29153</v>
      </c>
      <c r="K1090" t="s">
        <v>36689</v>
      </c>
      <c r="M1090" t="s">
        <v>37407</v>
      </c>
      <c r="N1090" t="s">
        <v>40436</v>
      </c>
      <c r="O1090" t="s">
        <v>40437</v>
      </c>
      <c r="P1090">
        <v>0</v>
      </c>
      <c r="Q1090">
        <v>0</v>
      </c>
      <c r="R1090" t="s">
        <v>40438</v>
      </c>
      <c r="S1090" t="s">
        <v>40582</v>
      </c>
      <c r="T1090" t="s">
        <v>42108</v>
      </c>
      <c r="U1090" t="s">
        <v>43585</v>
      </c>
      <c r="V1090" t="s">
        <v>53881</v>
      </c>
      <c r="W1090" t="s">
        <v>37407</v>
      </c>
      <c r="X1090" t="s">
        <v>40439</v>
      </c>
    </row>
    <row r="1091" spans="1:24">
      <c r="A1091">
        <f>HYPERLINK("https://www.philgeps.gov.ph/GEPSNONPILOT/Tender/SplashBidNoticeAbstractUI.aspx?menuIndex=3&amp;refID=7048215&amp;Result=3","7048215")</f>
        <v>0</v>
      </c>
      <c r="B1091" t="s">
        <v>285</v>
      </c>
      <c r="C1091" t="s">
        <v>4156</v>
      </c>
      <c r="E1091" t="s">
        <v>17314</v>
      </c>
      <c r="F1091" t="s">
        <v>28198</v>
      </c>
      <c r="G1091" t="s">
        <v>28207</v>
      </c>
      <c r="H1091" t="s">
        <v>28215</v>
      </c>
      <c r="I1091" t="s">
        <v>28224</v>
      </c>
      <c r="J1091" t="s">
        <v>29154</v>
      </c>
      <c r="K1091" t="s">
        <v>36689</v>
      </c>
      <c r="M1091" t="s">
        <v>37262</v>
      </c>
      <c r="N1091" t="s">
        <v>40436</v>
      </c>
      <c r="O1091" t="s">
        <v>40437</v>
      </c>
      <c r="P1091">
        <v>0</v>
      </c>
      <c r="Q1091">
        <v>1</v>
      </c>
      <c r="R1091" t="s">
        <v>40438</v>
      </c>
      <c r="S1091" t="s">
        <v>40582</v>
      </c>
      <c r="T1091" t="s">
        <v>42102</v>
      </c>
      <c r="U1091" t="s">
        <v>43586</v>
      </c>
      <c r="W1091" t="s">
        <v>37262</v>
      </c>
      <c r="X1091" t="s">
        <v>40439</v>
      </c>
    </row>
    <row r="1092" spans="1:24">
      <c r="A1092">
        <f>HYPERLINK("https://www.philgeps.gov.ph/GEPSNONPILOT/Tender/SplashBidNoticeAbstractUI.aspx?menuIndex=3&amp;refID=7048229&amp;Result=3","7048229")</f>
        <v>0</v>
      </c>
      <c r="B1092" t="s">
        <v>546</v>
      </c>
      <c r="C1092" t="s">
        <v>4157</v>
      </c>
      <c r="D1092" t="s">
        <v>16189</v>
      </c>
      <c r="E1092" t="s">
        <v>17010</v>
      </c>
      <c r="F1092" t="s">
        <v>28198</v>
      </c>
      <c r="G1092" t="s">
        <v>28207</v>
      </c>
      <c r="H1092" t="s">
        <v>28215</v>
      </c>
      <c r="I1092" t="s">
        <v>4200</v>
      </c>
      <c r="J1092" t="s">
        <v>28884</v>
      </c>
      <c r="K1092" t="s">
        <v>36743</v>
      </c>
      <c r="M1092" t="s">
        <v>37532</v>
      </c>
      <c r="N1092" t="s">
        <v>40436</v>
      </c>
      <c r="O1092" t="s">
        <v>40437</v>
      </c>
      <c r="P1092">
        <v>0</v>
      </c>
      <c r="Q1092">
        <v>1</v>
      </c>
      <c r="R1092" t="s">
        <v>40438</v>
      </c>
      <c r="S1092" t="s">
        <v>40582</v>
      </c>
      <c r="T1092" t="s">
        <v>42098</v>
      </c>
      <c r="U1092" t="s">
        <v>43587</v>
      </c>
      <c r="W1092" t="s">
        <v>37532</v>
      </c>
      <c r="X1092" t="s">
        <v>40439</v>
      </c>
    </row>
    <row r="1093" spans="1:24">
      <c r="A1093">
        <f>HYPERLINK("https://www.philgeps.gov.ph/GEPSNONPILOT/Tender/SplashBidNoticeAbstractUI.aspx?menuIndex=3&amp;refID=7048220&amp;Result=3","7048220")</f>
        <v>0</v>
      </c>
      <c r="B1093" t="s">
        <v>547</v>
      </c>
      <c r="C1093" t="s">
        <v>4158</v>
      </c>
      <c r="D1093" t="s">
        <v>16195</v>
      </c>
      <c r="E1093" t="s">
        <v>17315</v>
      </c>
      <c r="F1093" t="s">
        <v>28198</v>
      </c>
      <c r="G1093" t="s">
        <v>28207</v>
      </c>
      <c r="H1093" t="s">
        <v>28215</v>
      </c>
      <c r="I1093" t="s">
        <v>28231</v>
      </c>
      <c r="J1093" t="s">
        <v>29155</v>
      </c>
      <c r="K1093" t="s">
        <v>36688</v>
      </c>
      <c r="M1093" t="s">
        <v>37533</v>
      </c>
      <c r="N1093" t="s">
        <v>40436</v>
      </c>
      <c r="O1093" t="s">
        <v>40437</v>
      </c>
      <c r="P1093">
        <v>0</v>
      </c>
      <c r="Q1093">
        <v>0</v>
      </c>
      <c r="R1093" t="s">
        <v>40438</v>
      </c>
      <c r="S1093" t="s">
        <v>40582</v>
      </c>
      <c r="T1093" t="s">
        <v>42225</v>
      </c>
      <c r="U1093" t="s">
        <v>43588</v>
      </c>
      <c r="W1093" t="s">
        <v>37533</v>
      </c>
      <c r="X1093" t="s">
        <v>40439</v>
      </c>
    </row>
    <row r="1094" spans="1:24">
      <c r="A1094">
        <f>HYPERLINK("https://www.philgeps.gov.ph/GEPSNONPILOT/Tender/SplashBidNoticeAbstractUI.aspx?menuIndex=3&amp;refID=7048227&amp;Result=3","7048227")</f>
        <v>0</v>
      </c>
      <c r="B1094" t="s">
        <v>548</v>
      </c>
      <c r="C1094" t="s">
        <v>4159</v>
      </c>
      <c r="D1094" t="s">
        <v>16199</v>
      </c>
      <c r="E1094" t="s">
        <v>17316</v>
      </c>
      <c r="F1094" t="s">
        <v>28198</v>
      </c>
      <c r="G1094" t="s">
        <v>28207</v>
      </c>
      <c r="H1094" t="s">
        <v>28215</v>
      </c>
      <c r="I1094" t="s">
        <v>4505</v>
      </c>
      <c r="J1094" t="s">
        <v>28862</v>
      </c>
      <c r="K1094" t="s">
        <v>36693</v>
      </c>
      <c r="M1094" t="s">
        <v>37534</v>
      </c>
      <c r="N1094" t="s">
        <v>40436</v>
      </c>
      <c r="O1094" t="s">
        <v>40437</v>
      </c>
      <c r="P1094">
        <v>0</v>
      </c>
      <c r="Q1094">
        <v>6</v>
      </c>
      <c r="R1094" t="s">
        <v>40438</v>
      </c>
      <c r="S1094" t="s">
        <v>40582</v>
      </c>
      <c r="T1094" t="s">
        <v>42130</v>
      </c>
      <c r="U1094" t="s">
        <v>43589</v>
      </c>
      <c r="W1094" t="s">
        <v>37534</v>
      </c>
      <c r="X1094" t="s">
        <v>40439</v>
      </c>
    </row>
    <row r="1095" spans="1:24">
      <c r="A1095">
        <f>HYPERLINK("https://www.philgeps.gov.ph/GEPSNONPILOT/Tender/SplashBidNoticeAbstractUI.aspx?menuIndex=3&amp;refID=7048230&amp;Result=3","7048230")</f>
        <v>0</v>
      </c>
      <c r="B1095" t="s">
        <v>549</v>
      </c>
      <c r="C1095" t="s">
        <v>4160</v>
      </c>
      <c r="D1095" t="s">
        <v>16191</v>
      </c>
      <c r="E1095" t="s">
        <v>17317</v>
      </c>
      <c r="F1095" t="s">
        <v>28198</v>
      </c>
      <c r="G1095" t="s">
        <v>28206</v>
      </c>
      <c r="H1095" t="s">
        <v>28215</v>
      </c>
      <c r="I1095" t="s">
        <v>28226</v>
      </c>
      <c r="J1095" t="s">
        <v>29156</v>
      </c>
      <c r="K1095" t="s">
        <v>36688</v>
      </c>
      <c r="M1095" t="s">
        <v>37535</v>
      </c>
      <c r="N1095" t="s">
        <v>40436</v>
      </c>
      <c r="O1095" t="s">
        <v>40437</v>
      </c>
      <c r="P1095">
        <v>0</v>
      </c>
      <c r="Q1095">
        <v>6</v>
      </c>
      <c r="R1095" t="s">
        <v>40438</v>
      </c>
      <c r="S1095" t="s">
        <v>40582</v>
      </c>
      <c r="T1095" t="s">
        <v>42152</v>
      </c>
      <c r="U1095" t="s">
        <v>43590</v>
      </c>
      <c r="W1095" t="s">
        <v>37535</v>
      </c>
      <c r="X1095" t="s">
        <v>40439</v>
      </c>
    </row>
    <row r="1096" spans="1:24">
      <c r="A1096">
        <f>HYPERLINK("https://www.philgeps.gov.ph/GEPSNONPILOT/Tender/SplashBidNoticeAbstractUI.aspx?menuIndex=3&amp;refID=7048217&amp;Result=3","7048217")</f>
        <v>0</v>
      </c>
      <c r="B1096" t="s">
        <v>418</v>
      </c>
      <c r="C1096" t="s">
        <v>4161</v>
      </c>
      <c r="D1096" t="s">
        <v>16230</v>
      </c>
      <c r="E1096" t="s">
        <v>17318</v>
      </c>
      <c r="F1096" t="s">
        <v>28198</v>
      </c>
      <c r="G1096" t="s">
        <v>28207</v>
      </c>
      <c r="H1096" t="s">
        <v>28215</v>
      </c>
      <c r="I1096" t="s">
        <v>28257</v>
      </c>
      <c r="J1096" t="s">
        <v>29157</v>
      </c>
      <c r="K1096" t="s">
        <v>36701</v>
      </c>
      <c r="M1096" t="s">
        <v>37400</v>
      </c>
      <c r="N1096" t="s">
        <v>40436</v>
      </c>
      <c r="O1096" t="s">
        <v>40437</v>
      </c>
      <c r="P1096">
        <v>0</v>
      </c>
      <c r="Q1096">
        <v>0</v>
      </c>
      <c r="R1096" t="s">
        <v>40438</v>
      </c>
      <c r="S1096" t="s">
        <v>40582</v>
      </c>
      <c r="T1096" t="s">
        <v>42124</v>
      </c>
      <c r="U1096" t="s">
        <v>43591</v>
      </c>
      <c r="W1096" t="s">
        <v>37400</v>
      </c>
      <c r="X1096" t="s">
        <v>40439</v>
      </c>
    </row>
    <row r="1097" spans="1:24">
      <c r="A1097">
        <f>HYPERLINK("https://www.philgeps.gov.ph/GEPSNONPILOT/Tender/SplashBidNoticeAbstractUI.aspx?menuIndex=3&amp;refID=7048221&amp;Result=3","7048221")</f>
        <v>0</v>
      </c>
      <c r="B1097" t="s">
        <v>501</v>
      </c>
      <c r="C1097" t="s">
        <v>4162</v>
      </c>
      <c r="D1097" t="s">
        <v>16210</v>
      </c>
      <c r="E1097" t="s">
        <v>17319</v>
      </c>
      <c r="F1097" t="s">
        <v>28198</v>
      </c>
      <c r="G1097" t="s">
        <v>28207</v>
      </c>
      <c r="H1097" t="s">
        <v>28215</v>
      </c>
      <c r="I1097" t="s">
        <v>8888</v>
      </c>
      <c r="J1097" t="s">
        <v>29158</v>
      </c>
      <c r="K1097" t="s">
        <v>36688</v>
      </c>
      <c r="M1097" t="s">
        <v>37486</v>
      </c>
      <c r="N1097" t="s">
        <v>40436</v>
      </c>
      <c r="O1097" t="s">
        <v>40437</v>
      </c>
      <c r="P1097">
        <v>0</v>
      </c>
      <c r="Q1097">
        <v>2</v>
      </c>
      <c r="R1097" t="s">
        <v>40438</v>
      </c>
      <c r="S1097" t="s">
        <v>40582</v>
      </c>
      <c r="T1097" t="s">
        <v>42188</v>
      </c>
      <c r="U1097" t="s">
        <v>43592</v>
      </c>
      <c r="W1097" t="s">
        <v>37486</v>
      </c>
      <c r="X1097" t="s">
        <v>40439</v>
      </c>
    </row>
    <row r="1098" spans="1:24">
      <c r="A1098">
        <f>HYPERLINK("https://www.philgeps.gov.ph/GEPSNONPILOT/Tender/SplashBidNoticeAbstractUI.aspx?menuIndex=3&amp;refID=7048226&amp;Result=3","7048226")</f>
        <v>0</v>
      </c>
      <c r="B1098" t="s">
        <v>550</v>
      </c>
      <c r="C1098" t="s">
        <v>4163</v>
      </c>
      <c r="D1098" t="s">
        <v>16193</v>
      </c>
      <c r="E1098" t="s">
        <v>17320</v>
      </c>
      <c r="F1098" t="s">
        <v>28198</v>
      </c>
      <c r="G1098" t="s">
        <v>28205</v>
      </c>
      <c r="H1098" t="s">
        <v>28214</v>
      </c>
      <c r="I1098" t="s">
        <v>3797</v>
      </c>
      <c r="J1098" t="s">
        <v>29159</v>
      </c>
      <c r="K1098" t="s">
        <v>36689</v>
      </c>
      <c r="M1098" t="s">
        <v>37536</v>
      </c>
      <c r="N1098" t="s">
        <v>40436</v>
      </c>
      <c r="O1098" t="s">
        <v>40437</v>
      </c>
      <c r="P1098">
        <v>0</v>
      </c>
      <c r="Q1098">
        <v>1</v>
      </c>
      <c r="R1098" t="s">
        <v>40438</v>
      </c>
      <c r="S1098" t="s">
        <v>40582</v>
      </c>
      <c r="T1098" t="s">
        <v>42227</v>
      </c>
      <c r="U1098" t="s">
        <v>43593</v>
      </c>
      <c r="W1098" t="s">
        <v>37536</v>
      </c>
      <c r="X1098" t="s">
        <v>40439</v>
      </c>
    </row>
    <row r="1099" spans="1:24">
      <c r="A1099">
        <f>HYPERLINK("https://www.philgeps.gov.ph/GEPSNONPILOT/Tender/SplashBidNoticeAbstractUI.aspx?menuIndex=3&amp;refID=7048232&amp;Result=3","7048232")</f>
        <v>0</v>
      </c>
      <c r="B1099" t="s">
        <v>551</v>
      </c>
      <c r="C1099" t="s">
        <v>4164</v>
      </c>
      <c r="D1099" t="s">
        <v>16258</v>
      </c>
      <c r="E1099" t="s">
        <v>17321</v>
      </c>
      <c r="F1099" t="s">
        <v>28198</v>
      </c>
      <c r="G1099" t="s">
        <v>28207</v>
      </c>
      <c r="H1099" t="s">
        <v>28215</v>
      </c>
      <c r="I1099" t="s">
        <v>28298</v>
      </c>
      <c r="J1099" t="s">
        <v>29160</v>
      </c>
      <c r="K1099" t="s">
        <v>36707</v>
      </c>
      <c r="M1099" t="s">
        <v>37537</v>
      </c>
      <c r="N1099" t="s">
        <v>40436</v>
      </c>
      <c r="O1099" t="s">
        <v>40437</v>
      </c>
      <c r="P1099">
        <v>0</v>
      </c>
      <c r="Q1099">
        <v>6</v>
      </c>
      <c r="R1099" t="s">
        <v>40438</v>
      </c>
      <c r="S1099" t="s">
        <v>40582</v>
      </c>
      <c r="T1099" t="s">
        <v>42112</v>
      </c>
      <c r="U1099" t="s">
        <v>43594</v>
      </c>
      <c r="W1099" t="s">
        <v>37537</v>
      </c>
      <c r="X1099" t="s">
        <v>40439</v>
      </c>
    </row>
    <row r="1100" spans="1:24">
      <c r="A1100">
        <f>HYPERLINK("https://www.philgeps.gov.ph/GEPSNONPILOT/Tender/SplashBidNoticeAbstractUI.aspx?menuIndex=3&amp;refID=7048224&amp;Result=3","7048224")</f>
        <v>0</v>
      </c>
      <c r="B1100" t="s">
        <v>524</v>
      </c>
      <c r="C1100" t="s">
        <v>4165</v>
      </c>
      <c r="D1100" t="s">
        <v>16214</v>
      </c>
      <c r="E1100" t="s">
        <v>17322</v>
      </c>
      <c r="F1100" t="s">
        <v>28198</v>
      </c>
      <c r="G1100" t="s">
        <v>28205</v>
      </c>
      <c r="H1100" t="s">
        <v>28214</v>
      </c>
      <c r="I1100" t="s">
        <v>3797</v>
      </c>
      <c r="J1100" t="s">
        <v>28561</v>
      </c>
      <c r="K1100" t="s">
        <v>36694</v>
      </c>
      <c r="M1100" t="s">
        <v>37509</v>
      </c>
      <c r="N1100" t="s">
        <v>40436</v>
      </c>
      <c r="O1100" t="s">
        <v>40437</v>
      </c>
      <c r="P1100">
        <v>0</v>
      </c>
      <c r="Q1100">
        <v>0</v>
      </c>
      <c r="R1100" t="s">
        <v>40438</v>
      </c>
      <c r="S1100" t="s">
        <v>40582</v>
      </c>
      <c r="T1100" t="s">
        <v>42097</v>
      </c>
      <c r="U1100" t="s">
        <v>43595</v>
      </c>
      <c r="V1100" t="s">
        <v>53918</v>
      </c>
      <c r="W1100" t="s">
        <v>37509</v>
      </c>
      <c r="X1100" t="s">
        <v>40439</v>
      </c>
    </row>
    <row r="1101" spans="1:24">
      <c r="A1101">
        <f>HYPERLINK("https://www.philgeps.gov.ph/GEPSNONPILOT/Tender/SplashBidNoticeAbstractUI.aspx?menuIndex=3&amp;refID=7048222&amp;Result=3","7048222")</f>
        <v>0</v>
      </c>
      <c r="B1101" t="s">
        <v>552</v>
      </c>
      <c r="C1101" t="s">
        <v>4166</v>
      </c>
      <c r="E1101" t="s">
        <v>17323</v>
      </c>
      <c r="F1101" t="s">
        <v>28198</v>
      </c>
      <c r="G1101" t="s">
        <v>28205</v>
      </c>
      <c r="H1101" t="s">
        <v>28214</v>
      </c>
      <c r="I1101" t="s">
        <v>3797</v>
      </c>
      <c r="J1101" t="s">
        <v>29161</v>
      </c>
      <c r="K1101" t="s">
        <v>36690</v>
      </c>
      <c r="M1101" t="s">
        <v>37538</v>
      </c>
      <c r="N1101" t="s">
        <v>40436</v>
      </c>
      <c r="O1101" t="s">
        <v>40437</v>
      </c>
      <c r="P1101">
        <v>0</v>
      </c>
      <c r="Q1101">
        <v>0</v>
      </c>
      <c r="R1101" t="s">
        <v>40438</v>
      </c>
      <c r="S1101" t="s">
        <v>40582</v>
      </c>
      <c r="T1101" t="s">
        <v>42110</v>
      </c>
      <c r="U1101" t="s">
        <v>42743</v>
      </c>
      <c r="W1101" t="s">
        <v>37538</v>
      </c>
      <c r="X1101" t="s">
        <v>40439</v>
      </c>
    </row>
    <row r="1102" spans="1:24">
      <c r="A1102">
        <f>HYPERLINK("https://www.philgeps.gov.ph/GEPSNONPILOT/Tender/SplashBidNoticeAbstractUI.aspx?menuIndex=3&amp;refID=7048242&amp;Result=3","7048242")</f>
        <v>0</v>
      </c>
      <c r="B1102" t="s">
        <v>540</v>
      </c>
      <c r="C1102" t="s">
        <v>4167</v>
      </c>
      <c r="D1102" t="s">
        <v>16210</v>
      </c>
      <c r="E1102" t="s">
        <v>17324</v>
      </c>
      <c r="F1102" t="s">
        <v>28198</v>
      </c>
      <c r="G1102" t="s">
        <v>28207</v>
      </c>
      <c r="H1102" t="s">
        <v>28215</v>
      </c>
      <c r="I1102" t="s">
        <v>28297</v>
      </c>
      <c r="J1102" t="s">
        <v>28414</v>
      </c>
      <c r="K1102" t="s">
        <v>36688</v>
      </c>
      <c r="M1102" t="s">
        <v>37526</v>
      </c>
      <c r="N1102" t="s">
        <v>40436</v>
      </c>
      <c r="O1102" t="s">
        <v>40437</v>
      </c>
      <c r="P1102">
        <v>0</v>
      </c>
      <c r="Q1102">
        <v>1</v>
      </c>
      <c r="R1102" t="s">
        <v>40438</v>
      </c>
      <c r="S1102" t="s">
        <v>40582</v>
      </c>
      <c r="T1102" t="s">
        <v>42098</v>
      </c>
      <c r="U1102" t="s">
        <v>43596</v>
      </c>
      <c r="V1102" t="s">
        <v>53914</v>
      </c>
      <c r="W1102" t="s">
        <v>37526</v>
      </c>
      <c r="X1102" t="s">
        <v>40439</v>
      </c>
    </row>
    <row r="1103" spans="1:24">
      <c r="A1103">
        <f>HYPERLINK("https://www.philgeps.gov.ph/GEPSNONPILOT/Tender/SplashBidNoticeAbstractUI.aspx?menuIndex=3&amp;refID=7048238&amp;Result=3","7048238")</f>
        <v>0</v>
      </c>
      <c r="B1103" t="s">
        <v>553</v>
      </c>
      <c r="C1103" t="s">
        <v>4168</v>
      </c>
      <c r="E1103" t="s">
        <v>17325</v>
      </c>
      <c r="F1103" t="s">
        <v>28198</v>
      </c>
      <c r="G1103" t="s">
        <v>28209</v>
      </c>
      <c r="H1103" t="s">
        <v>28215</v>
      </c>
      <c r="I1103" t="s">
        <v>4168</v>
      </c>
      <c r="J1103" t="s">
        <v>29162</v>
      </c>
      <c r="K1103" t="s">
        <v>36689</v>
      </c>
      <c r="M1103" t="s">
        <v>37539</v>
      </c>
      <c r="N1103" t="s">
        <v>40436</v>
      </c>
      <c r="O1103" t="s">
        <v>40437</v>
      </c>
      <c r="P1103">
        <v>0</v>
      </c>
      <c r="Q1103">
        <v>0</v>
      </c>
      <c r="R1103" t="s">
        <v>40438</v>
      </c>
      <c r="S1103" t="s">
        <v>40582</v>
      </c>
      <c r="T1103" t="s">
        <v>42200</v>
      </c>
      <c r="U1103" t="s">
        <v>43597</v>
      </c>
      <c r="W1103" t="s">
        <v>37539</v>
      </c>
      <c r="X1103" t="s">
        <v>40439</v>
      </c>
    </row>
    <row r="1104" spans="1:24">
      <c r="A1104">
        <f>HYPERLINK("https://www.philgeps.gov.ph/GEPSNONPILOT/Tender/SplashBidNoticeAbstractUI.aspx?menuIndex=3&amp;refID=7048231&amp;Result=3","7048231")</f>
        <v>0</v>
      </c>
      <c r="B1104" t="s">
        <v>552</v>
      </c>
      <c r="C1104" t="s">
        <v>4169</v>
      </c>
      <c r="E1104" t="s">
        <v>17326</v>
      </c>
      <c r="F1104" t="s">
        <v>28198</v>
      </c>
      <c r="G1104" t="s">
        <v>28205</v>
      </c>
      <c r="H1104" t="s">
        <v>28214</v>
      </c>
      <c r="I1104" t="s">
        <v>3797</v>
      </c>
      <c r="J1104" t="s">
        <v>29163</v>
      </c>
      <c r="K1104" t="s">
        <v>36690</v>
      </c>
      <c r="M1104" t="s">
        <v>37538</v>
      </c>
      <c r="N1104" t="s">
        <v>40436</v>
      </c>
      <c r="O1104" t="s">
        <v>40437</v>
      </c>
      <c r="P1104">
        <v>0</v>
      </c>
      <c r="Q1104">
        <v>0</v>
      </c>
      <c r="R1104" t="s">
        <v>40438</v>
      </c>
      <c r="S1104" t="s">
        <v>40582</v>
      </c>
      <c r="T1104" t="s">
        <v>42110</v>
      </c>
      <c r="U1104" t="s">
        <v>42743</v>
      </c>
      <c r="W1104" t="s">
        <v>37538</v>
      </c>
      <c r="X1104" t="s">
        <v>40439</v>
      </c>
    </row>
    <row r="1105" spans="1:24">
      <c r="A1105">
        <f>HYPERLINK("https://www.philgeps.gov.ph/GEPSNONPILOT/Tender/SplashBidNoticeAbstractUI.aspx?menuIndex=3&amp;refID=7048236&amp;Result=3","7048236")</f>
        <v>0</v>
      </c>
      <c r="B1105" t="s">
        <v>554</v>
      </c>
      <c r="C1105" t="s">
        <v>4170</v>
      </c>
      <c r="D1105" t="s">
        <v>16266</v>
      </c>
      <c r="E1105" t="s">
        <v>17327</v>
      </c>
      <c r="F1105" t="s">
        <v>28198</v>
      </c>
      <c r="G1105" t="s">
        <v>28206</v>
      </c>
      <c r="H1105" t="s">
        <v>28215</v>
      </c>
      <c r="I1105" t="s">
        <v>28222</v>
      </c>
      <c r="J1105" t="s">
        <v>28406</v>
      </c>
      <c r="K1105" t="s">
        <v>36707</v>
      </c>
      <c r="M1105" t="s">
        <v>37540</v>
      </c>
      <c r="N1105" t="s">
        <v>40436</v>
      </c>
      <c r="O1105" t="s">
        <v>40437</v>
      </c>
      <c r="P1105">
        <v>0</v>
      </c>
      <c r="Q1105">
        <v>0</v>
      </c>
      <c r="R1105" t="s">
        <v>40438</v>
      </c>
      <c r="S1105" t="s">
        <v>40582</v>
      </c>
      <c r="T1105" t="s">
        <v>42105</v>
      </c>
      <c r="U1105" t="s">
        <v>43598</v>
      </c>
      <c r="W1105" t="s">
        <v>37540</v>
      </c>
      <c r="X1105" t="s">
        <v>40439</v>
      </c>
    </row>
    <row r="1106" spans="1:24">
      <c r="A1106">
        <f>HYPERLINK("https://www.philgeps.gov.ph/GEPSNONPILOT/Tender/SplashBidNoticeAbstractUI.aspx?menuIndex=3&amp;refID=7048240&amp;Result=3","7048240")</f>
        <v>0</v>
      </c>
      <c r="B1106" t="s">
        <v>534</v>
      </c>
      <c r="C1106" t="s">
        <v>4171</v>
      </c>
      <c r="D1106" t="s">
        <v>16221</v>
      </c>
      <c r="E1106" t="s">
        <v>17328</v>
      </c>
      <c r="F1106" t="s">
        <v>28198</v>
      </c>
      <c r="G1106" t="s">
        <v>28207</v>
      </c>
      <c r="H1106" t="s">
        <v>28215</v>
      </c>
      <c r="I1106" t="s">
        <v>4321</v>
      </c>
      <c r="J1106" t="s">
        <v>29164</v>
      </c>
      <c r="K1106" t="s">
        <v>36691</v>
      </c>
      <c r="M1106" t="s">
        <v>37520</v>
      </c>
      <c r="N1106" t="s">
        <v>40436</v>
      </c>
      <c r="O1106" t="s">
        <v>40437</v>
      </c>
      <c r="P1106">
        <v>0</v>
      </c>
      <c r="Q1106">
        <v>1</v>
      </c>
      <c r="R1106" t="s">
        <v>40438</v>
      </c>
      <c r="S1106" t="s">
        <v>40582</v>
      </c>
      <c r="T1106" t="s">
        <v>42160</v>
      </c>
      <c r="U1106" t="s">
        <v>43599</v>
      </c>
      <c r="W1106" t="s">
        <v>37520</v>
      </c>
      <c r="X1106" t="s">
        <v>40439</v>
      </c>
    </row>
    <row r="1107" spans="1:24">
      <c r="A1107">
        <f>HYPERLINK("https://www.philgeps.gov.ph/GEPSNONPILOT/Tender/SplashBidNoticeAbstractUI.aspx?menuIndex=3&amp;refID=7048241&amp;Result=3","7048241")</f>
        <v>0</v>
      </c>
      <c r="B1107" t="s">
        <v>555</v>
      </c>
      <c r="C1107" t="s">
        <v>4172</v>
      </c>
      <c r="D1107" t="s">
        <v>16247</v>
      </c>
      <c r="E1107" t="s">
        <v>17329</v>
      </c>
      <c r="F1107" t="s">
        <v>28198</v>
      </c>
      <c r="G1107" t="s">
        <v>28206</v>
      </c>
      <c r="H1107" t="s">
        <v>28215</v>
      </c>
      <c r="I1107" t="s">
        <v>5082</v>
      </c>
      <c r="J1107" t="s">
        <v>29165</v>
      </c>
      <c r="K1107" t="s">
        <v>36689</v>
      </c>
      <c r="M1107" t="s">
        <v>37541</v>
      </c>
      <c r="N1107" t="s">
        <v>40436</v>
      </c>
      <c r="O1107" t="s">
        <v>40437</v>
      </c>
      <c r="P1107">
        <v>0</v>
      </c>
      <c r="Q1107">
        <v>1</v>
      </c>
      <c r="R1107" t="s">
        <v>40438</v>
      </c>
      <c r="S1107" t="s">
        <v>40582</v>
      </c>
      <c r="T1107" t="s">
        <v>42169</v>
      </c>
      <c r="U1107" t="s">
        <v>43600</v>
      </c>
      <c r="W1107" t="s">
        <v>37541</v>
      </c>
      <c r="X1107" t="s">
        <v>40439</v>
      </c>
    </row>
    <row r="1108" spans="1:24">
      <c r="A1108">
        <f>HYPERLINK("https://www.philgeps.gov.ph/GEPSNONPILOT/Tender/SplashBidNoticeAbstractUI.aspx?menuIndex=3&amp;refID=7048233&amp;Result=3","7048233")</f>
        <v>0</v>
      </c>
      <c r="B1108" t="s">
        <v>556</v>
      </c>
      <c r="C1108" t="s">
        <v>4173</v>
      </c>
      <c r="E1108" t="s">
        <v>17330</v>
      </c>
      <c r="F1108" t="s">
        <v>28198</v>
      </c>
      <c r="G1108" t="s">
        <v>28207</v>
      </c>
      <c r="H1108" t="s">
        <v>28215</v>
      </c>
      <c r="I1108" t="s">
        <v>28266</v>
      </c>
      <c r="J1108" t="s">
        <v>29166</v>
      </c>
      <c r="K1108" t="s">
        <v>36707</v>
      </c>
      <c r="M1108" t="s">
        <v>37542</v>
      </c>
      <c r="N1108" t="s">
        <v>40436</v>
      </c>
      <c r="O1108" t="s">
        <v>40437</v>
      </c>
      <c r="P1108">
        <v>0</v>
      </c>
      <c r="Q1108">
        <v>2</v>
      </c>
      <c r="R1108" t="s">
        <v>40438</v>
      </c>
      <c r="S1108" t="s">
        <v>40582</v>
      </c>
      <c r="T1108" t="s">
        <v>42124</v>
      </c>
      <c r="U1108" t="s">
        <v>43601</v>
      </c>
      <c r="V1108" t="s">
        <v>53919</v>
      </c>
      <c r="W1108" t="s">
        <v>37542</v>
      </c>
      <c r="X1108" t="s">
        <v>40439</v>
      </c>
    </row>
    <row r="1109" spans="1:24">
      <c r="A1109">
        <f>HYPERLINK("https://www.philgeps.gov.ph/GEPSNONPILOT/Tender/SplashBidNoticeAbstractUI.aspx?menuIndex=3&amp;refID=7048237&amp;Result=3","7048237")</f>
        <v>0</v>
      </c>
      <c r="B1109" t="s">
        <v>485</v>
      </c>
      <c r="C1109" t="s">
        <v>4174</v>
      </c>
      <c r="D1109" t="s">
        <v>16222</v>
      </c>
      <c r="E1109" t="s">
        <v>17331</v>
      </c>
      <c r="F1109" t="s">
        <v>28198</v>
      </c>
      <c r="G1109" t="s">
        <v>28207</v>
      </c>
      <c r="H1109" t="s">
        <v>28215</v>
      </c>
      <c r="I1109" t="s">
        <v>28243</v>
      </c>
      <c r="J1109" t="s">
        <v>28884</v>
      </c>
      <c r="K1109" t="s">
        <v>36691</v>
      </c>
      <c r="M1109" t="s">
        <v>37470</v>
      </c>
      <c r="N1109" t="s">
        <v>40436</v>
      </c>
      <c r="O1109" t="s">
        <v>40437</v>
      </c>
      <c r="P1109">
        <v>0</v>
      </c>
      <c r="Q1109">
        <v>1</v>
      </c>
      <c r="R1109" t="s">
        <v>40438</v>
      </c>
      <c r="S1109" t="s">
        <v>40582</v>
      </c>
      <c r="T1109" t="s">
        <v>42103</v>
      </c>
      <c r="U1109" t="s">
        <v>43602</v>
      </c>
      <c r="W1109" t="s">
        <v>37470</v>
      </c>
      <c r="X1109" t="s">
        <v>40439</v>
      </c>
    </row>
    <row r="1110" spans="1:24">
      <c r="A1110">
        <f>HYPERLINK("https://www.philgeps.gov.ph/GEPSNONPILOT/Tender/SplashBidNoticeAbstractUI.aspx?menuIndex=3&amp;refID=7048251&amp;Result=3","7048251")</f>
        <v>0</v>
      </c>
      <c r="B1110" t="s">
        <v>555</v>
      </c>
      <c r="C1110" t="s">
        <v>4172</v>
      </c>
      <c r="D1110" t="s">
        <v>16247</v>
      </c>
      <c r="E1110" t="s">
        <v>17332</v>
      </c>
      <c r="F1110" t="s">
        <v>28198</v>
      </c>
      <c r="G1110" t="s">
        <v>28206</v>
      </c>
      <c r="H1110" t="s">
        <v>28215</v>
      </c>
      <c r="I1110" t="s">
        <v>5082</v>
      </c>
      <c r="J1110" t="s">
        <v>29167</v>
      </c>
      <c r="K1110" t="s">
        <v>36689</v>
      </c>
      <c r="M1110" t="s">
        <v>37541</v>
      </c>
      <c r="N1110" t="s">
        <v>40436</v>
      </c>
      <c r="O1110" t="s">
        <v>40437</v>
      </c>
      <c r="P1110">
        <v>0</v>
      </c>
      <c r="Q1110">
        <v>1</v>
      </c>
      <c r="R1110" t="s">
        <v>40438</v>
      </c>
      <c r="S1110" t="s">
        <v>40582</v>
      </c>
      <c r="T1110" t="s">
        <v>42169</v>
      </c>
      <c r="U1110" t="s">
        <v>43603</v>
      </c>
      <c r="W1110" t="s">
        <v>37541</v>
      </c>
      <c r="X1110" t="s">
        <v>40439</v>
      </c>
    </row>
    <row r="1111" spans="1:24">
      <c r="A1111">
        <f>HYPERLINK("https://www.philgeps.gov.ph/GEPSNONPILOT/Tender/SplashBidNoticeAbstractUI.aspx?menuIndex=3&amp;refID=7048247&amp;Result=3","7048247")</f>
        <v>0</v>
      </c>
      <c r="B1111" t="s">
        <v>557</v>
      </c>
      <c r="C1111" t="s">
        <v>4175</v>
      </c>
      <c r="D1111" t="s">
        <v>16223</v>
      </c>
      <c r="E1111" t="s">
        <v>17333</v>
      </c>
      <c r="F1111" t="s">
        <v>28198</v>
      </c>
      <c r="G1111" t="s">
        <v>28209</v>
      </c>
      <c r="H1111" t="s">
        <v>28215</v>
      </c>
      <c r="I1111" t="s">
        <v>8870</v>
      </c>
      <c r="J1111" t="s">
        <v>29168</v>
      </c>
      <c r="K1111" t="s">
        <v>36694</v>
      </c>
      <c r="M1111" t="s">
        <v>37543</v>
      </c>
      <c r="N1111" t="s">
        <v>40436</v>
      </c>
      <c r="O1111" t="s">
        <v>40437</v>
      </c>
      <c r="P1111">
        <v>0</v>
      </c>
      <c r="Q1111">
        <v>2</v>
      </c>
      <c r="R1111" t="s">
        <v>40438</v>
      </c>
      <c r="S1111" t="s">
        <v>40582</v>
      </c>
      <c r="T1111" t="s">
        <v>42176</v>
      </c>
      <c r="U1111" t="s">
        <v>43604</v>
      </c>
      <c r="W1111" t="s">
        <v>37543</v>
      </c>
      <c r="X1111" t="s">
        <v>40439</v>
      </c>
    </row>
    <row r="1112" spans="1:24">
      <c r="A1112">
        <f>HYPERLINK("https://www.philgeps.gov.ph/GEPSNONPILOT/Tender/SplashBidNoticeAbstractUI.aspx?menuIndex=3&amp;refID=7048252&amp;Result=3","7048252")</f>
        <v>0</v>
      </c>
      <c r="B1112" t="s">
        <v>541</v>
      </c>
      <c r="C1112" t="s">
        <v>4176</v>
      </c>
      <c r="D1112" t="s">
        <v>16195</v>
      </c>
      <c r="E1112" t="s">
        <v>17334</v>
      </c>
      <c r="F1112" t="s">
        <v>28198</v>
      </c>
      <c r="G1112" t="s">
        <v>28205</v>
      </c>
      <c r="H1112" t="s">
        <v>28215</v>
      </c>
      <c r="I1112" t="s">
        <v>5100</v>
      </c>
      <c r="J1112" t="s">
        <v>29169</v>
      </c>
      <c r="K1112" t="s">
        <v>36701</v>
      </c>
      <c r="M1112" t="s">
        <v>37527</v>
      </c>
      <c r="N1112" t="s">
        <v>40436</v>
      </c>
      <c r="O1112" t="s">
        <v>40437</v>
      </c>
      <c r="P1112">
        <v>0</v>
      </c>
      <c r="Q1112">
        <v>0</v>
      </c>
      <c r="R1112" t="s">
        <v>40438</v>
      </c>
      <c r="S1112" t="s">
        <v>40582</v>
      </c>
      <c r="T1112" t="s">
        <v>42122</v>
      </c>
      <c r="U1112" t="s">
        <v>43605</v>
      </c>
      <c r="W1112" t="s">
        <v>37527</v>
      </c>
      <c r="X1112" t="s">
        <v>40439</v>
      </c>
    </row>
    <row r="1113" spans="1:24">
      <c r="A1113">
        <f>HYPERLINK("https://www.philgeps.gov.ph/GEPSNONPILOT/Tender/SplashBidNoticeAbstractUI.aspx?menuIndex=3&amp;refID=7048249&amp;Result=3","7048249")</f>
        <v>0</v>
      </c>
      <c r="B1113" t="s">
        <v>558</v>
      </c>
      <c r="C1113" t="s">
        <v>4177</v>
      </c>
      <c r="D1113" t="s">
        <v>16228</v>
      </c>
      <c r="E1113" t="s">
        <v>17335</v>
      </c>
      <c r="F1113" t="s">
        <v>28198</v>
      </c>
      <c r="G1113" t="s">
        <v>28207</v>
      </c>
      <c r="H1113" t="s">
        <v>28215</v>
      </c>
      <c r="I1113" t="s">
        <v>5100</v>
      </c>
      <c r="J1113" t="s">
        <v>29170</v>
      </c>
      <c r="K1113" t="s">
        <v>36688</v>
      </c>
      <c r="M1113" t="s">
        <v>37544</v>
      </c>
      <c r="N1113" t="s">
        <v>40436</v>
      </c>
      <c r="O1113" t="s">
        <v>40437</v>
      </c>
      <c r="P1113">
        <v>0</v>
      </c>
      <c r="Q1113">
        <v>0</v>
      </c>
      <c r="R1113" t="s">
        <v>40438</v>
      </c>
      <c r="S1113" t="s">
        <v>40582</v>
      </c>
      <c r="T1113" t="s">
        <v>42115</v>
      </c>
      <c r="U1113" t="s">
        <v>43606</v>
      </c>
      <c r="W1113" t="s">
        <v>37544</v>
      </c>
      <c r="X1113" t="s">
        <v>40439</v>
      </c>
    </row>
    <row r="1114" spans="1:24">
      <c r="A1114">
        <f>HYPERLINK("https://www.philgeps.gov.ph/GEPSNONPILOT/Tender/SplashBidNoticeAbstractUI.aspx?menuIndex=3&amp;refID=7048234&amp;Result=3","7048234")</f>
        <v>0</v>
      </c>
      <c r="B1114" t="s">
        <v>129</v>
      </c>
      <c r="C1114" t="s">
        <v>4178</v>
      </c>
      <c r="D1114" t="s">
        <v>16210</v>
      </c>
      <c r="E1114" t="s">
        <v>17336</v>
      </c>
      <c r="F1114" t="s">
        <v>28198</v>
      </c>
      <c r="G1114" t="s">
        <v>28206</v>
      </c>
      <c r="H1114" t="s">
        <v>28215</v>
      </c>
      <c r="I1114" t="s">
        <v>8888</v>
      </c>
      <c r="J1114" t="s">
        <v>29171</v>
      </c>
      <c r="K1114" t="s">
        <v>36706</v>
      </c>
      <c r="M1114" t="s">
        <v>37151</v>
      </c>
      <c r="N1114" t="s">
        <v>40436</v>
      </c>
      <c r="O1114" t="s">
        <v>40437</v>
      </c>
      <c r="P1114">
        <v>0</v>
      </c>
      <c r="Q1114">
        <v>2</v>
      </c>
      <c r="R1114" t="s">
        <v>40438</v>
      </c>
      <c r="S1114" t="s">
        <v>40582</v>
      </c>
      <c r="T1114" t="s">
        <v>42156</v>
      </c>
      <c r="U1114" t="s">
        <v>43607</v>
      </c>
      <c r="V1114" t="s">
        <v>53812</v>
      </c>
      <c r="W1114" t="s">
        <v>37151</v>
      </c>
      <c r="X1114" t="s">
        <v>40439</v>
      </c>
    </row>
    <row r="1115" spans="1:24">
      <c r="A1115">
        <f>HYPERLINK("https://www.philgeps.gov.ph/GEPSNONPILOT/Tender/SplashBidNoticeAbstractUI.aspx?menuIndex=3&amp;refID=7048248&amp;Result=3","7048248")</f>
        <v>0</v>
      </c>
      <c r="B1115" t="s">
        <v>526</v>
      </c>
      <c r="C1115" t="s">
        <v>4179</v>
      </c>
      <c r="D1115" t="s">
        <v>16210</v>
      </c>
      <c r="E1115" t="s">
        <v>17337</v>
      </c>
      <c r="F1115" t="s">
        <v>28198</v>
      </c>
      <c r="G1115" t="s">
        <v>28207</v>
      </c>
      <c r="H1115" t="s">
        <v>28215</v>
      </c>
      <c r="I1115" t="s">
        <v>4200</v>
      </c>
      <c r="J1115" t="s">
        <v>29172</v>
      </c>
      <c r="K1115" t="s">
        <v>36688</v>
      </c>
      <c r="M1115" t="s">
        <v>37511</v>
      </c>
      <c r="N1115" t="s">
        <v>40436</v>
      </c>
      <c r="O1115" t="s">
        <v>40437</v>
      </c>
      <c r="P1115">
        <v>0</v>
      </c>
      <c r="Q1115">
        <v>0</v>
      </c>
      <c r="R1115" t="s">
        <v>40438</v>
      </c>
      <c r="S1115" t="s">
        <v>40582</v>
      </c>
      <c r="T1115" t="s">
        <v>42144</v>
      </c>
      <c r="U1115" t="s">
        <v>43608</v>
      </c>
      <c r="W1115" t="s">
        <v>37511</v>
      </c>
      <c r="X1115" t="s">
        <v>40439</v>
      </c>
    </row>
    <row r="1116" spans="1:24">
      <c r="A1116">
        <f>HYPERLINK("https://www.philgeps.gov.ph/GEPSNONPILOT/Tender/SplashBidNoticeAbstractUI.aspx?menuIndex=3&amp;refID=7048250&amp;Result=3","7048250")</f>
        <v>0</v>
      </c>
      <c r="B1116" t="s">
        <v>559</v>
      </c>
      <c r="C1116" t="s">
        <v>4180</v>
      </c>
      <c r="D1116" t="s">
        <v>16195</v>
      </c>
      <c r="E1116" t="s">
        <v>17338</v>
      </c>
      <c r="F1116" t="s">
        <v>28198</v>
      </c>
      <c r="G1116" t="s">
        <v>28206</v>
      </c>
      <c r="H1116" t="s">
        <v>28215</v>
      </c>
      <c r="I1116" t="s">
        <v>28227</v>
      </c>
      <c r="J1116" t="s">
        <v>29173</v>
      </c>
      <c r="K1116" t="s">
        <v>36691</v>
      </c>
      <c r="M1116" t="s">
        <v>37545</v>
      </c>
      <c r="N1116" t="s">
        <v>40436</v>
      </c>
      <c r="O1116" t="s">
        <v>40437</v>
      </c>
      <c r="P1116">
        <v>0</v>
      </c>
      <c r="Q1116">
        <v>0</v>
      </c>
      <c r="R1116" t="s">
        <v>40438</v>
      </c>
      <c r="S1116" t="s">
        <v>40582</v>
      </c>
      <c r="T1116" t="s">
        <v>42169</v>
      </c>
      <c r="U1116" t="s">
        <v>43609</v>
      </c>
      <c r="W1116" t="s">
        <v>37545</v>
      </c>
      <c r="X1116" t="s">
        <v>40439</v>
      </c>
    </row>
    <row r="1117" spans="1:24">
      <c r="A1117">
        <f>HYPERLINK("https://www.philgeps.gov.ph/GEPSNONPILOT/Tender/SplashBidNoticeAbstractUI.aspx?menuIndex=3&amp;refID=7048253&amp;Result=3","7048253")</f>
        <v>0</v>
      </c>
      <c r="B1117" t="s">
        <v>560</v>
      </c>
      <c r="C1117" t="s">
        <v>4181</v>
      </c>
      <c r="D1117" t="s">
        <v>16202</v>
      </c>
      <c r="E1117" t="s">
        <v>17339</v>
      </c>
      <c r="F1117" t="s">
        <v>28200</v>
      </c>
      <c r="G1117" t="s">
        <v>28206</v>
      </c>
      <c r="H1117" t="s">
        <v>28215</v>
      </c>
      <c r="I1117" t="s">
        <v>4505</v>
      </c>
      <c r="J1117" t="s">
        <v>28354</v>
      </c>
      <c r="K1117" t="s">
        <v>36687</v>
      </c>
      <c r="M1117" t="s">
        <v>37546</v>
      </c>
      <c r="N1117" t="s">
        <v>40436</v>
      </c>
      <c r="O1117" t="s">
        <v>40437</v>
      </c>
      <c r="P1117">
        <v>0</v>
      </c>
      <c r="Q1117">
        <v>6</v>
      </c>
      <c r="R1117" t="s">
        <v>40438</v>
      </c>
      <c r="S1117" t="s">
        <v>40582</v>
      </c>
      <c r="T1117" t="s">
        <v>42245</v>
      </c>
      <c r="U1117" t="s">
        <v>43610</v>
      </c>
      <c r="V1117" t="s">
        <v>53920</v>
      </c>
      <c r="W1117" t="s">
        <v>37546</v>
      </c>
      <c r="X1117" t="s">
        <v>40439</v>
      </c>
    </row>
    <row r="1118" spans="1:24">
      <c r="A1118">
        <f>HYPERLINK("https://www.philgeps.gov.ph/GEPSNONPILOT/Tender/SplashBidNoticeAbstractUI.aspx?menuIndex=3&amp;refID=7048235&amp;Result=3","7048235")</f>
        <v>0</v>
      </c>
      <c r="B1118" t="s">
        <v>552</v>
      </c>
      <c r="C1118" t="s">
        <v>4182</v>
      </c>
      <c r="E1118" t="s">
        <v>17340</v>
      </c>
      <c r="F1118" t="s">
        <v>28198</v>
      </c>
      <c r="G1118" t="s">
        <v>28205</v>
      </c>
      <c r="H1118" t="s">
        <v>28214</v>
      </c>
      <c r="I1118" t="s">
        <v>3797</v>
      </c>
      <c r="J1118" t="s">
        <v>29174</v>
      </c>
      <c r="K1118" t="s">
        <v>36690</v>
      </c>
      <c r="M1118" t="s">
        <v>37538</v>
      </c>
      <c r="N1118" t="s">
        <v>40436</v>
      </c>
      <c r="O1118" t="s">
        <v>40437</v>
      </c>
      <c r="P1118">
        <v>0</v>
      </c>
      <c r="Q1118">
        <v>0</v>
      </c>
      <c r="R1118" t="s">
        <v>40438</v>
      </c>
      <c r="S1118" t="s">
        <v>40582</v>
      </c>
      <c r="T1118" t="s">
        <v>42110</v>
      </c>
      <c r="U1118" t="s">
        <v>42743</v>
      </c>
      <c r="W1118" t="s">
        <v>37538</v>
      </c>
      <c r="X1118" t="s">
        <v>40439</v>
      </c>
    </row>
    <row r="1119" spans="1:24">
      <c r="A1119">
        <f>HYPERLINK("https://www.philgeps.gov.ph/GEPSNONPILOT/Tender/SplashBidNoticeAbstractUI.aspx?menuIndex=3&amp;refID=7048246&amp;Result=3","7048246")</f>
        <v>0</v>
      </c>
      <c r="B1119" t="s">
        <v>561</v>
      </c>
      <c r="C1119" t="s">
        <v>4183</v>
      </c>
      <c r="D1119" t="s">
        <v>16196</v>
      </c>
      <c r="E1119" t="s">
        <v>17341</v>
      </c>
      <c r="F1119" t="s">
        <v>28198</v>
      </c>
      <c r="G1119" t="s">
        <v>28205</v>
      </c>
      <c r="H1119" t="s">
        <v>28214</v>
      </c>
      <c r="I1119" t="s">
        <v>3797</v>
      </c>
      <c r="J1119" t="s">
        <v>28363</v>
      </c>
      <c r="K1119" t="s">
        <v>36736</v>
      </c>
      <c r="L1119" t="s">
        <v>561</v>
      </c>
      <c r="M1119" t="s">
        <v>37547</v>
      </c>
      <c r="N1119" t="s">
        <v>40436</v>
      </c>
      <c r="O1119" t="s">
        <v>40437</v>
      </c>
      <c r="P1119">
        <v>0</v>
      </c>
      <c r="Q1119">
        <v>30</v>
      </c>
      <c r="R1119" t="s">
        <v>40438</v>
      </c>
      <c r="S1119" t="s">
        <v>40582</v>
      </c>
      <c r="T1119" t="s">
        <v>42108</v>
      </c>
      <c r="U1119" t="s">
        <v>43611</v>
      </c>
      <c r="W1119" t="s">
        <v>37547</v>
      </c>
      <c r="X1119" t="s">
        <v>40439</v>
      </c>
    </row>
    <row r="1120" spans="1:24">
      <c r="A1120">
        <f>HYPERLINK("https://www.philgeps.gov.ph/GEPSNONPILOT/Tender/SplashBidNoticeAbstractUI.aspx?menuIndex=3&amp;refID=7048243&amp;Result=3","7048243")</f>
        <v>0</v>
      </c>
      <c r="B1120" t="s">
        <v>425</v>
      </c>
      <c r="C1120" t="s">
        <v>4184</v>
      </c>
      <c r="D1120" t="s">
        <v>16197</v>
      </c>
      <c r="E1120" t="s">
        <v>17342</v>
      </c>
      <c r="F1120" t="s">
        <v>28198</v>
      </c>
      <c r="G1120" t="s">
        <v>28205</v>
      </c>
      <c r="H1120" t="s">
        <v>28215</v>
      </c>
      <c r="I1120" t="s">
        <v>5100</v>
      </c>
      <c r="J1120" t="s">
        <v>29175</v>
      </c>
      <c r="K1120" t="s">
        <v>36689</v>
      </c>
      <c r="M1120" t="s">
        <v>37407</v>
      </c>
      <c r="N1120" t="s">
        <v>40436</v>
      </c>
      <c r="O1120" t="s">
        <v>40437</v>
      </c>
      <c r="P1120">
        <v>0</v>
      </c>
      <c r="Q1120">
        <v>0</v>
      </c>
      <c r="R1120" t="s">
        <v>40438</v>
      </c>
      <c r="S1120" t="s">
        <v>40582</v>
      </c>
      <c r="T1120" t="s">
        <v>42108</v>
      </c>
      <c r="U1120" t="s">
        <v>43612</v>
      </c>
      <c r="V1120" t="s">
        <v>53881</v>
      </c>
      <c r="W1120" t="s">
        <v>37407</v>
      </c>
      <c r="X1120" t="s">
        <v>40439</v>
      </c>
    </row>
    <row r="1121" spans="1:24">
      <c r="A1121">
        <f>HYPERLINK("https://www.philgeps.gov.ph/GEPSNONPILOT/Tender/SplashBidNoticeAbstractUI.aspx?menuIndex=3&amp;refID=7048255&amp;Result=3","7048255")</f>
        <v>0</v>
      </c>
      <c r="B1121" t="s">
        <v>562</v>
      </c>
      <c r="C1121" t="s">
        <v>3134</v>
      </c>
      <c r="D1121" t="s">
        <v>16198</v>
      </c>
      <c r="E1121" t="s">
        <v>17343</v>
      </c>
      <c r="F1121" t="s">
        <v>28198</v>
      </c>
      <c r="G1121" t="s">
        <v>28205</v>
      </c>
      <c r="H1121" t="s">
        <v>28214</v>
      </c>
      <c r="I1121" t="s">
        <v>3797</v>
      </c>
      <c r="J1121" t="s">
        <v>28430</v>
      </c>
      <c r="K1121" t="s">
        <v>36699</v>
      </c>
      <c r="M1121" t="s">
        <v>37548</v>
      </c>
      <c r="N1121" t="s">
        <v>40436</v>
      </c>
      <c r="O1121" t="s">
        <v>40437</v>
      </c>
      <c r="P1121">
        <v>0</v>
      </c>
      <c r="Q1121">
        <v>0</v>
      </c>
      <c r="R1121" t="s">
        <v>40438</v>
      </c>
      <c r="S1121" t="s">
        <v>40582</v>
      </c>
      <c r="T1121" t="s">
        <v>42112</v>
      </c>
      <c r="U1121" t="s">
        <v>43613</v>
      </c>
      <c r="W1121" t="s">
        <v>37548</v>
      </c>
      <c r="X1121" t="s">
        <v>40439</v>
      </c>
    </row>
    <row r="1122" spans="1:24">
      <c r="A1122">
        <f>HYPERLINK("https://www.philgeps.gov.ph/GEPSNONPILOT/Tender/SplashBidNoticeAbstractUI.aspx?menuIndex=3&amp;refID=7048259&amp;Result=3","7048259")</f>
        <v>0</v>
      </c>
      <c r="B1122" t="s">
        <v>501</v>
      </c>
      <c r="C1122" t="s">
        <v>4185</v>
      </c>
      <c r="D1122" t="s">
        <v>16210</v>
      </c>
      <c r="E1122" t="s">
        <v>17344</v>
      </c>
      <c r="F1122" t="s">
        <v>28198</v>
      </c>
      <c r="G1122" t="s">
        <v>28207</v>
      </c>
      <c r="H1122" t="s">
        <v>28215</v>
      </c>
      <c r="I1122" t="s">
        <v>4200</v>
      </c>
      <c r="J1122" t="s">
        <v>29176</v>
      </c>
      <c r="K1122" t="s">
        <v>36688</v>
      </c>
      <c r="M1122" t="s">
        <v>37486</v>
      </c>
      <c r="N1122" t="s">
        <v>40436</v>
      </c>
      <c r="O1122" t="s">
        <v>40437</v>
      </c>
      <c r="P1122">
        <v>0</v>
      </c>
      <c r="Q1122">
        <v>0</v>
      </c>
      <c r="R1122" t="s">
        <v>40438</v>
      </c>
      <c r="S1122" t="s">
        <v>40582</v>
      </c>
      <c r="T1122" t="s">
        <v>42188</v>
      </c>
      <c r="U1122" t="s">
        <v>43614</v>
      </c>
      <c r="W1122" t="s">
        <v>37486</v>
      </c>
      <c r="X1122" t="s">
        <v>40439</v>
      </c>
    </row>
    <row r="1123" spans="1:24">
      <c r="A1123">
        <f>HYPERLINK("https://www.philgeps.gov.ph/GEPSNONPILOT/Tender/SplashBidNoticeAbstractUI.aspx?menuIndex=3&amp;refID=7048258&amp;Result=3","7048258")</f>
        <v>0</v>
      </c>
      <c r="B1123" t="s">
        <v>479</v>
      </c>
      <c r="C1123" t="s">
        <v>4186</v>
      </c>
      <c r="D1123" t="s">
        <v>16235</v>
      </c>
      <c r="E1123" t="s">
        <v>17345</v>
      </c>
      <c r="F1123" t="s">
        <v>28198</v>
      </c>
      <c r="G1123" t="s">
        <v>28206</v>
      </c>
      <c r="H1123" t="s">
        <v>28215</v>
      </c>
      <c r="I1123" t="s">
        <v>3422</v>
      </c>
      <c r="J1123" t="s">
        <v>28900</v>
      </c>
      <c r="K1123" t="s">
        <v>36701</v>
      </c>
      <c r="M1123" t="s">
        <v>37464</v>
      </c>
      <c r="N1123" t="s">
        <v>40436</v>
      </c>
      <c r="O1123" t="s">
        <v>40437</v>
      </c>
      <c r="P1123">
        <v>0</v>
      </c>
      <c r="Q1123">
        <v>0</v>
      </c>
      <c r="R1123" t="s">
        <v>40438</v>
      </c>
      <c r="S1123" t="s">
        <v>40582</v>
      </c>
      <c r="T1123" t="s">
        <v>42111</v>
      </c>
      <c r="U1123" t="s">
        <v>43615</v>
      </c>
      <c r="W1123" t="s">
        <v>37464</v>
      </c>
      <c r="X1123" t="s">
        <v>40439</v>
      </c>
    </row>
    <row r="1124" spans="1:24">
      <c r="A1124">
        <f>HYPERLINK("https://www.philgeps.gov.ph/GEPSNONPILOT/Tender/SplashBidNoticeAbstractUI.aspx?menuIndex=3&amp;refID=7048273&amp;Result=3","7048273")</f>
        <v>0</v>
      </c>
      <c r="B1124" t="s">
        <v>563</v>
      </c>
      <c r="C1124" t="s">
        <v>4187</v>
      </c>
      <c r="D1124" t="s">
        <v>16241</v>
      </c>
      <c r="E1124" t="s">
        <v>17346</v>
      </c>
      <c r="F1124" t="s">
        <v>28198</v>
      </c>
      <c r="G1124" t="s">
        <v>28207</v>
      </c>
      <c r="H1124" t="s">
        <v>28215</v>
      </c>
      <c r="I1124" t="s">
        <v>5100</v>
      </c>
      <c r="J1124" t="s">
        <v>29177</v>
      </c>
      <c r="K1124" t="s">
        <v>36707</v>
      </c>
      <c r="M1124" t="s">
        <v>37549</v>
      </c>
      <c r="N1124" t="s">
        <v>40436</v>
      </c>
      <c r="O1124" t="s">
        <v>40437</v>
      </c>
      <c r="P1124">
        <v>0</v>
      </c>
      <c r="Q1124">
        <v>0</v>
      </c>
      <c r="R1124" t="s">
        <v>40438</v>
      </c>
      <c r="S1124" t="s">
        <v>40582</v>
      </c>
      <c r="T1124" t="s">
        <v>42111</v>
      </c>
      <c r="U1124" t="s">
        <v>43616</v>
      </c>
      <c r="W1124" t="s">
        <v>55451</v>
      </c>
      <c r="X1124" t="s">
        <v>40439</v>
      </c>
    </row>
    <row r="1125" spans="1:24">
      <c r="A1125">
        <f>HYPERLINK("https://www.philgeps.gov.ph/GEPSNONPILOT/Tender/SplashBidNoticeAbstractUI.aspx?menuIndex=3&amp;refID=7048271&amp;Result=3","7048271")</f>
        <v>0</v>
      </c>
      <c r="B1125" t="s">
        <v>461</v>
      </c>
      <c r="C1125" t="s">
        <v>4188</v>
      </c>
      <c r="D1125" t="s">
        <v>16208</v>
      </c>
      <c r="E1125" t="s">
        <v>17347</v>
      </c>
      <c r="F1125" t="s">
        <v>28198</v>
      </c>
      <c r="G1125" t="s">
        <v>28206</v>
      </c>
      <c r="H1125" t="s">
        <v>28215</v>
      </c>
      <c r="I1125" t="s">
        <v>28224</v>
      </c>
      <c r="J1125" t="s">
        <v>29178</v>
      </c>
      <c r="K1125" t="s">
        <v>36689</v>
      </c>
      <c r="M1125" t="s">
        <v>37445</v>
      </c>
      <c r="N1125" t="s">
        <v>40436</v>
      </c>
      <c r="O1125" t="s">
        <v>40437</v>
      </c>
      <c r="P1125">
        <v>0</v>
      </c>
      <c r="Q1125">
        <v>0</v>
      </c>
      <c r="R1125" t="s">
        <v>40438</v>
      </c>
      <c r="S1125" t="s">
        <v>40582</v>
      </c>
      <c r="T1125" t="s">
        <v>42119</v>
      </c>
      <c r="U1125" t="s">
        <v>43617</v>
      </c>
      <c r="W1125" t="s">
        <v>37445</v>
      </c>
      <c r="X1125" t="s">
        <v>40439</v>
      </c>
    </row>
    <row r="1126" spans="1:24">
      <c r="A1126">
        <f>HYPERLINK("https://www.philgeps.gov.ph/GEPSNONPILOT/Tender/SplashBidNoticeAbstractUI.aspx?menuIndex=3&amp;refID=7048275&amp;Result=3","7048275")</f>
        <v>0</v>
      </c>
      <c r="B1126" t="s">
        <v>550</v>
      </c>
      <c r="C1126" t="s">
        <v>4189</v>
      </c>
      <c r="E1126" t="s">
        <v>17348</v>
      </c>
      <c r="F1126" t="s">
        <v>28198</v>
      </c>
      <c r="G1126" t="s">
        <v>28205</v>
      </c>
      <c r="H1126" t="s">
        <v>28214</v>
      </c>
      <c r="I1126" t="s">
        <v>3797</v>
      </c>
      <c r="J1126" t="s">
        <v>28351</v>
      </c>
      <c r="K1126" t="s">
        <v>36689</v>
      </c>
      <c r="M1126" t="s">
        <v>37536</v>
      </c>
      <c r="N1126" t="s">
        <v>40436</v>
      </c>
      <c r="O1126" t="s">
        <v>40437</v>
      </c>
      <c r="P1126">
        <v>0</v>
      </c>
      <c r="Q1126">
        <v>1</v>
      </c>
      <c r="R1126" t="s">
        <v>40438</v>
      </c>
      <c r="S1126" t="s">
        <v>40582</v>
      </c>
      <c r="T1126" t="s">
        <v>42227</v>
      </c>
      <c r="U1126" t="s">
        <v>43593</v>
      </c>
      <c r="W1126" t="s">
        <v>37536</v>
      </c>
      <c r="X1126" t="s">
        <v>40439</v>
      </c>
    </row>
    <row r="1127" spans="1:24">
      <c r="A1127">
        <f>HYPERLINK("https://www.philgeps.gov.ph/GEPSNONPILOT/Tender/SplashBidNoticeAbstractUI.aspx?menuIndex=3&amp;refID=7048269&amp;Result=3","7048269")</f>
        <v>0</v>
      </c>
      <c r="B1127" t="s">
        <v>540</v>
      </c>
      <c r="C1127" t="s">
        <v>4190</v>
      </c>
      <c r="D1127" t="s">
        <v>16210</v>
      </c>
      <c r="E1127" t="s">
        <v>17349</v>
      </c>
      <c r="F1127" t="s">
        <v>28198</v>
      </c>
      <c r="G1127" t="s">
        <v>28207</v>
      </c>
      <c r="H1127" t="s">
        <v>28215</v>
      </c>
      <c r="I1127" t="s">
        <v>28297</v>
      </c>
      <c r="J1127" t="s">
        <v>28345</v>
      </c>
      <c r="K1127" t="s">
        <v>36688</v>
      </c>
      <c r="M1127" t="s">
        <v>37526</v>
      </c>
      <c r="N1127" t="s">
        <v>40436</v>
      </c>
      <c r="O1127" t="s">
        <v>40437</v>
      </c>
      <c r="P1127">
        <v>0</v>
      </c>
      <c r="Q1127">
        <v>1</v>
      </c>
      <c r="R1127" t="s">
        <v>40438</v>
      </c>
      <c r="S1127" t="s">
        <v>40582</v>
      </c>
      <c r="T1127" t="s">
        <v>42098</v>
      </c>
      <c r="U1127" t="s">
        <v>43618</v>
      </c>
      <c r="V1127" t="s">
        <v>53914</v>
      </c>
      <c r="W1127" t="s">
        <v>37526</v>
      </c>
      <c r="X1127" t="s">
        <v>40439</v>
      </c>
    </row>
    <row r="1128" spans="1:24">
      <c r="A1128">
        <f>HYPERLINK("https://www.philgeps.gov.ph/GEPSNONPILOT/Tender/SplashBidNoticeAbstractUI.aspx?menuIndex=3&amp;refID=7048268&amp;Result=3","7048268")</f>
        <v>0</v>
      </c>
      <c r="B1128" t="s">
        <v>34</v>
      </c>
      <c r="C1128" t="s">
        <v>4191</v>
      </c>
      <c r="D1128" t="s">
        <v>16195</v>
      </c>
      <c r="E1128" t="s">
        <v>17350</v>
      </c>
      <c r="F1128" t="s">
        <v>28198</v>
      </c>
      <c r="G1128" t="s">
        <v>28205</v>
      </c>
      <c r="H1128" t="s">
        <v>28215</v>
      </c>
      <c r="I1128" t="s">
        <v>3774</v>
      </c>
      <c r="J1128" t="s">
        <v>29179</v>
      </c>
      <c r="K1128" t="s">
        <v>36696</v>
      </c>
      <c r="M1128" t="s">
        <v>37550</v>
      </c>
      <c r="N1128" t="s">
        <v>40436</v>
      </c>
      <c r="O1128" t="s">
        <v>40437</v>
      </c>
      <c r="P1128">
        <v>0</v>
      </c>
      <c r="Q1128">
        <v>0</v>
      </c>
      <c r="R1128" t="s">
        <v>40438</v>
      </c>
      <c r="S1128" t="s">
        <v>40582</v>
      </c>
      <c r="T1128" t="s">
        <v>42102</v>
      </c>
      <c r="U1128" t="s">
        <v>43619</v>
      </c>
      <c r="V1128" t="s">
        <v>53826</v>
      </c>
      <c r="W1128" t="s">
        <v>37550</v>
      </c>
      <c r="X1128" t="s">
        <v>40439</v>
      </c>
    </row>
    <row r="1129" spans="1:24">
      <c r="A1129">
        <f>HYPERLINK("https://www.philgeps.gov.ph/GEPSNONPILOT/Tender/SplashBidNoticeAbstractUI.aspx?menuIndex=3&amp;refID=7048267&amp;Result=3","7048267")</f>
        <v>0</v>
      </c>
      <c r="B1129" t="s">
        <v>412</v>
      </c>
      <c r="C1129" t="s">
        <v>4192</v>
      </c>
      <c r="D1129" t="s">
        <v>16261</v>
      </c>
      <c r="E1129" t="s">
        <v>17351</v>
      </c>
      <c r="F1129" t="s">
        <v>28198</v>
      </c>
      <c r="G1129" t="s">
        <v>28206</v>
      </c>
      <c r="H1129" t="s">
        <v>28215</v>
      </c>
      <c r="I1129" t="s">
        <v>5100</v>
      </c>
      <c r="J1129" t="s">
        <v>29180</v>
      </c>
      <c r="K1129" t="s">
        <v>36706</v>
      </c>
      <c r="M1129" t="s">
        <v>37394</v>
      </c>
      <c r="N1129" t="s">
        <v>40436</v>
      </c>
      <c r="O1129" t="s">
        <v>40437</v>
      </c>
      <c r="P1129">
        <v>0</v>
      </c>
      <c r="Q1129">
        <v>0</v>
      </c>
      <c r="R1129" t="s">
        <v>40438</v>
      </c>
      <c r="S1129" t="s">
        <v>40582</v>
      </c>
      <c r="T1129" t="s">
        <v>42142</v>
      </c>
      <c r="U1129" t="s">
        <v>43620</v>
      </c>
      <c r="W1129" t="s">
        <v>37394</v>
      </c>
      <c r="X1129" t="s">
        <v>40439</v>
      </c>
    </row>
    <row r="1130" spans="1:24">
      <c r="A1130">
        <f>HYPERLINK("https://www.philgeps.gov.ph/GEPSNONPILOT/Tender/SplashBidNoticeAbstractUI.aspx?menuIndex=3&amp;refID=7048257&amp;Result=3","7048257")</f>
        <v>0</v>
      </c>
      <c r="B1130" t="s">
        <v>564</v>
      </c>
      <c r="C1130" t="s">
        <v>4193</v>
      </c>
      <c r="D1130" t="s">
        <v>16250</v>
      </c>
      <c r="E1130" t="s">
        <v>17352</v>
      </c>
      <c r="F1130" t="s">
        <v>28198</v>
      </c>
      <c r="G1130" t="s">
        <v>28206</v>
      </c>
      <c r="H1130" t="s">
        <v>28215</v>
      </c>
      <c r="I1130" t="s">
        <v>28296</v>
      </c>
      <c r="J1130" t="s">
        <v>29181</v>
      </c>
      <c r="K1130" t="s">
        <v>36695</v>
      </c>
      <c r="M1130" t="s">
        <v>37551</v>
      </c>
      <c r="N1130" t="s">
        <v>40436</v>
      </c>
      <c r="O1130" t="s">
        <v>40437</v>
      </c>
      <c r="P1130">
        <v>0</v>
      </c>
      <c r="Q1130">
        <v>0</v>
      </c>
      <c r="R1130" t="s">
        <v>40438</v>
      </c>
      <c r="S1130" t="s">
        <v>40582</v>
      </c>
      <c r="T1130" t="s">
        <v>42103</v>
      </c>
      <c r="U1130" t="s">
        <v>43621</v>
      </c>
      <c r="V1130" t="s">
        <v>53921</v>
      </c>
      <c r="W1130" t="s">
        <v>37551</v>
      </c>
      <c r="X1130" t="s">
        <v>40439</v>
      </c>
    </row>
    <row r="1131" spans="1:24">
      <c r="A1131">
        <f>HYPERLINK("https://www.philgeps.gov.ph/GEPSNONPILOT/Tender/SplashBidNoticeAbstractUI.aspx?menuIndex=3&amp;refID=7048266&amp;Result=3","7048266")</f>
        <v>0</v>
      </c>
      <c r="B1131" t="s">
        <v>561</v>
      </c>
      <c r="C1131" t="s">
        <v>4194</v>
      </c>
      <c r="D1131" t="s">
        <v>16196</v>
      </c>
      <c r="E1131" t="s">
        <v>17353</v>
      </c>
      <c r="F1131" t="s">
        <v>28198</v>
      </c>
      <c r="G1131" t="s">
        <v>28205</v>
      </c>
      <c r="H1131" t="s">
        <v>28214</v>
      </c>
      <c r="I1131" t="s">
        <v>3797</v>
      </c>
      <c r="J1131" t="s">
        <v>28363</v>
      </c>
      <c r="K1131" t="s">
        <v>36736</v>
      </c>
      <c r="L1131" t="s">
        <v>561</v>
      </c>
      <c r="M1131" t="s">
        <v>37547</v>
      </c>
      <c r="N1131" t="s">
        <v>40436</v>
      </c>
      <c r="O1131" t="s">
        <v>40437</v>
      </c>
      <c r="P1131">
        <v>0</v>
      </c>
      <c r="Q1131">
        <v>30</v>
      </c>
      <c r="R1131" t="s">
        <v>40438</v>
      </c>
      <c r="S1131" t="s">
        <v>40582</v>
      </c>
      <c r="T1131" t="s">
        <v>42246</v>
      </c>
      <c r="U1131" t="s">
        <v>43622</v>
      </c>
      <c r="W1131" t="s">
        <v>37547</v>
      </c>
      <c r="X1131" t="s">
        <v>40439</v>
      </c>
    </row>
    <row r="1132" spans="1:24">
      <c r="A1132">
        <f>HYPERLINK("https://www.philgeps.gov.ph/GEPSNONPILOT/Tender/SplashBidNoticeAbstractUI.aspx?menuIndex=3&amp;refID=7048265&amp;Result=3","7048265")</f>
        <v>0</v>
      </c>
      <c r="B1132" t="s">
        <v>548</v>
      </c>
      <c r="C1132" t="s">
        <v>4195</v>
      </c>
      <c r="D1132" t="s">
        <v>16199</v>
      </c>
      <c r="E1132" t="s">
        <v>17354</v>
      </c>
      <c r="F1132" t="s">
        <v>28198</v>
      </c>
      <c r="G1132" t="s">
        <v>28207</v>
      </c>
      <c r="H1132" t="s">
        <v>28214</v>
      </c>
      <c r="I1132" t="s">
        <v>3797</v>
      </c>
      <c r="J1132" t="s">
        <v>29182</v>
      </c>
      <c r="K1132" t="s">
        <v>36693</v>
      </c>
      <c r="M1132" t="s">
        <v>37534</v>
      </c>
      <c r="N1132" t="s">
        <v>40436</v>
      </c>
      <c r="O1132" t="s">
        <v>40437</v>
      </c>
      <c r="P1132">
        <v>0</v>
      </c>
      <c r="Q1132">
        <v>0</v>
      </c>
      <c r="R1132" t="s">
        <v>40438</v>
      </c>
      <c r="S1132" t="s">
        <v>40582</v>
      </c>
      <c r="T1132" t="s">
        <v>42175</v>
      </c>
      <c r="U1132" t="s">
        <v>43623</v>
      </c>
      <c r="W1132" t="s">
        <v>37534</v>
      </c>
      <c r="X1132" t="s">
        <v>40439</v>
      </c>
    </row>
    <row r="1133" spans="1:24">
      <c r="A1133">
        <f>HYPERLINK("https://www.philgeps.gov.ph/GEPSNONPILOT/Tender/SplashBidNoticeAbstractUI.aspx?menuIndex=3&amp;refID=7048261&amp;Result=3","7048261")</f>
        <v>0</v>
      </c>
      <c r="B1133" t="s">
        <v>454</v>
      </c>
      <c r="C1133" t="s">
        <v>4196</v>
      </c>
      <c r="D1133" t="s">
        <v>16211</v>
      </c>
      <c r="E1133" t="s">
        <v>17355</v>
      </c>
      <c r="F1133" t="s">
        <v>28198</v>
      </c>
      <c r="G1133" t="s">
        <v>28207</v>
      </c>
      <c r="H1133" t="s">
        <v>28215</v>
      </c>
      <c r="I1133" t="s">
        <v>5791</v>
      </c>
      <c r="J1133" t="s">
        <v>29183</v>
      </c>
      <c r="K1133" t="s">
        <v>36701</v>
      </c>
      <c r="M1133" t="s">
        <v>37438</v>
      </c>
      <c r="N1133" t="s">
        <v>40436</v>
      </c>
      <c r="O1133" t="s">
        <v>40437</v>
      </c>
      <c r="P1133">
        <v>0</v>
      </c>
      <c r="Q1133">
        <v>0</v>
      </c>
      <c r="R1133" t="s">
        <v>40438</v>
      </c>
      <c r="S1133" t="s">
        <v>40582</v>
      </c>
      <c r="T1133" t="s">
        <v>42159</v>
      </c>
      <c r="U1133" t="s">
        <v>43624</v>
      </c>
      <c r="W1133" t="s">
        <v>55449</v>
      </c>
      <c r="X1133" t="s">
        <v>40439</v>
      </c>
    </row>
    <row r="1134" spans="1:24">
      <c r="A1134">
        <f>HYPERLINK("https://www.philgeps.gov.ph/GEPSNONPILOT/Tender/SplashBidNoticeAbstractUI.aspx?menuIndex=3&amp;refID=7048283&amp;Result=3","7048283")</f>
        <v>0</v>
      </c>
      <c r="B1134" t="s">
        <v>565</v>
      </c>
      <c r="C1134" t="s">
        <v>4197</v>
      </c>
      <c r="D1134" t="s">
        <v>16222</v>
      </c>
      <c r="E1134" t="s">
        <v>17356</v>
      </c>
      <c r="F1134" t="s">
        <v>28198</v>
      </c>
      <c r="G1134" t="s">
        <v>28207</v>
      </c>
      <c r="H1134" t="s">
        <v>28215</v>
      </c>
      <c r="I1134" t="s">
        <v>5100</v>
      </c>
      <c r="J1134" t="s">
        <v>29184</v>
      </c>
      <c r="K1134" t="s">
        <v>36688</v>
      </c>
      <c r="M1134" t="s">
        <v>37552</v>
      </c>
      <c r="N1134" t="s">
        <v>40436</v>
      </c>
      <c r="O1134" t="s">
        <v>40437</v>
      </c>
      <c r="P1134">
        <v>0</v>
      </c>
      <c r="Q1134">
        <v>1</v>
      </c>
      <c r="R1134" t="s">
        <v>40438</v>
      </c>
      <c r="S1134" t="s">
        <v>40582</v>
      </c>
      <c r="T1134" t="s">
        <v>42176</v>
      </c>
      <c r="U1134" t="s">
        <v>43625</v>
      </c>
      <c r="W1134" t="s">
        <v>37552</v>
      </c>
      <c r="X1134" t="s">
        <v>40439</v>
      </c>
    </row>
    <row r="1135" spans="1:24">
      <c r="A1135">
        <f>HYPERLINK("https://www.philgeps.gov.ph/GEPSNONPILOT/Tender/SplashBidNoticeAbstractUI.aspx?menuIndex=3&amp;refID=7048281&amp;Result=3","7048281")</f>
        <v>0</v>
      </c>
      <c r="B1135" t="s">
        <v>314</v>
      </c>
      <c r="C1135" t="s">
        <v>4198</v>
      </c>
      <c r="D1135" t="s">
        <v>16194</v>
      </c>
      <c r="E1135" t="s">
        <v>17357</v>
      </c>
      <c r="F1135" t="s">
        <v>28198</v>
      </c>
      <c r="G1135" t="s">
        <v>28207</v>
      </c>
      <c r="H1135" t="s">
        <v>28215</v>
      </c>
      <c r="I1135" t="s">
        <v>28262</v>
      </c>
      <c r="J1135" t="s">
        <v>29185</v>
      </c>
      <c r="K1135" t="s">
        <v>36687</v>
      </c>
      <c r="M1135" t="s">
        <v>37553</v>
      </c>
      <c r="N1135" t="s">
        <v>40436</v>
      </c>
      <c r="O1135" t="s">
        <v>40437</v>
      </c>
      <c r="P1135">
        <v>0</v>
      </c>
      <c r="Q1135">
        <v>6</v>
      </c>
      <c r="R1135" t="s">
        <v>40438</v>
      </c>
      <c r="S1135" t="s">
        <v>40582</v>
      </c>
      <c r="T1135" t="s">
        <v>42103</v>
      </c>
      <c r="U1135" t="s">
        <v>43626</v>
      </c>
      <c r="V1135" t="s">
        <v>53922</v>
      </c>
      <c r="W1135" t="s">
        <v>55452</v>
      </c>
      <c r="X1135" t="s">
        <v>40439</v>
      </c>
    </row>
    <row r="1136" spans="1:24">
      <c r="A1136">
        <f>HYPERLINK("https://www.philgeps.gov.ph/GEPSNONPILOT/Tender/SplashBidNoticeAbstractUI.aspx?menuIndex=3&amp;refID=7048270&amp;Result=3","7048270")</f>
        <v>0</v>
      </c>
      <c r="B1136" t="s">
        <v>425</v>
      </c>
      <c r="C1136" t="s">
        <v>4199</v>
      </c>
      <c r="D1136" t="s">
        <v>16197</v>
      </c>
      <c r="E1136" t="s">
        <v>17358</v>
      </c>
      <c r="F1136" t="s">
        <v>28198</v>
      </c>
      <c r="G1136" t="s">
        <v>28205</v>
      </c>
      <c r="H1136" t="s">
        <v>28215</v>
      </c>
      <c r="I1136" t="s">
        <v>4219</v>
      </c>
      <c r="J1136" t="s">
        <v>29186</v>
      </c>
      <c r="K1136" t="s">
        <v>36689</v>
      </c>
      <c r="M1136" t="s">
        <v>37407</v>
      </c>
      <c r="N1136" t="s">
        <v>40436</v>
      </c>
      <c r="O1136" t="s">
        <v>40437</v>
      </c>
      <c r="P1136">
        <v>0</v>
      </c>
      <c r="Q1136">
        <v>2</v>
      </c>
      <c r="R1136" t="s">
        <v>40438</v>
      </c>
      <c r="S1136" t="s">
        <v>40582</v>
      </c>
      <c r="T1136" t="s">
        <v>42108</v>
      </c>
      <c r="U1136" t="s">
        <v>43627</v>
      </c>
      <c r="V1136" t="s">
        <v>53881</v>
      </c>
      <c r="W1136" t="s">
        <v>37407</v>
      </c>
      <c r="X1136" t="s">
        <v>40439</v>
      </c>
    </row>
    <row r="1137" spans="1:24">
      <c r="A1137">
        <f>HYPERLINK("https://www.philgeps.gov.ph/GEPSNONPILOT/Tender/SplashBidNoticeAbstractUI.aspx?menuIndex=3&amp;refID=7048263&amp;Result=3","7048263")</f>
        <v>0</v>
      </c>
      <c r="B1137" t="s">
        <v>566</v>
      </c>
      <c r="C1137" t="s">
        <v>4200</v>
      </c>
      <c r="D1137" t="s">
        <v>16230</v>
      </c>
      <c r="E1137" t="s">
        <v>17359</v>
      </c>
      <c r="F1137" t="s">
        <v>28198</v>
      </c>
      <c r="G1137" t="s">
        <v>28206</v>
      </c>
      <c r="H1137" t="s">
        <v>28215</v>
      </c>
      <c r="I1137" t="s">
        <v>4200</v>
      </c>
      <c r="J1137" t="s">
        <v>29187</v>
      </c>
      <c r="K1137" t="s">
        <v>36701</v>
      </c>
      <c r="M1137" t="s">
        <v>37554</v>
      </c>
      <c r="N1137" t="s">
        <v>40436</v>
      </c>
      <c r="O1137" t="s">
        <v>40437</v>
      </c>
      <c r="P1137">
        <v>0</v>
      </c>
      <c r="Q1137">
        <v>3</v>
      </c>
      <c r="R1137" t="s">
        <v>40438</v>
      </c>
      <c r="S1137" t="s">
        <v>40582</v>
      </c>
      <c r="T1137" t="s">
        <v>42157</v>
      </c>
      <c r="U1137" t="s">
        <v>43628</v>
      </c>
      <c r="W1137" t="s">
        <v>37554</v>
      </c>
      <c r="X1137" t="s">
        <v>40439</v>
      </c>
    </row>
    <row r="1138" spans="1:24">
      <c r="A1138">
        <f>HYPERLINK("https://www.philgeps.gov.ph/GEPSNONPILOT/Tender/SplashBidNoticeAbstractUI.aspx?menuIndex=3&amp;refID=7048277&amp;Result=3","7048277")</f>
        <v>0</v>
      </c>
      <c r="B1138" t="s">
        <v>129</v>
      </c>
      <c r="C1138" t="s">
        <v>4201</v>
      </c>
      <c r="D1138" t="s">
        <v>16210</v>
      </c>
      <c r="E1138" t="s">
        <v>17360</v>
      </c>
      <c r="F1138" t="s">
        <v>28198</v>
      </c>
      <c r="G1138" t="s">
        <v>28206</v>
      </c>
      <c r="H1138" t="s">
        <v>28215</v>
      </c>
      <c r="I1138" t="s">
        <v>8888</v>
      </c>
      <c r="J1138" t="s">
        <v>29188</v>
      </c>
      <c r="K1138" t="s">
        <v>36706</v>
      </c>
      <c r="M1138" t="s">
        <v>37151</v>
      </c>
      <c r="N1138" t="s">
        <v>40436</v>
      </c>
      <c r="O1138" t="s">
        <v>40437</v>
      </c>
      <c r="P1138">
        <v>0</v>
      </c>
      <c r="Q1138">
        <v>2</v>
      </c>
      <c r="R1138" t="s">
        <v>40438</v>
      </c>
      <c r="S1138" t="s">
        <v>40582</v>
      </c>
      <c r="T1138" t="s">
        <v>42156</v>
      </c>
      <c r="U1138" t="s">
        <v>43629</v>
      </c>
      <c r="V1138" t="s">
        <v>53812</v>
      </c>
      <c r="W1138" t="s">
        <v>37151</v>
      </c>
      <c r="X1138" t="s">
        <v>40439</v>
      </c>
    </row>
    <row r="1139" spans="1:24">
      <c r="A1139">
        <f>HYPERLINK("https://www.philgeps.gov.ph/GEPSNONPILOT/Tender/SplashBidNoticeAbstractUI.aspx?menuIndex=3&amp;refID=7048285&amp;Result=3","7048285")</f>
        <v>0</v>
      </c>
      <c r="B1139" t="s">
        <v>258</v>
      </c>
      <c r="C1139" t="s">
        <v>4202</v>
      </c>
      <c r="D1139" t="s">
        <v>16256</v>
      </c>
      <c r="E1139" t="s">
        <v>17361</v>
      </c>
      <c r="F1139" t="s">
        <v>28198</v>
      </c>
      <c r="G1139" t="s">
        <v>28205</v>
      </c>
      <c r="H1139" t="s">
        <v>28215</v>
      </c>
      <c r="I1139" t="s">
        <v>3774</v>
      </c>
      <c r="J1139" t="s">
        <v>29189</v>
      </c>
      <c r="K1139" t="s">
        <v>36688</v>
      </c>
      <c r="M1139" t="s">
        <v>37234</v>
      </c>
      <c r="N1139" t="s">
        <v>40436</v>
      </c>
      <c r="O1139" t="s">
        <v>40437</v>
      </c>
      <c r="P1139">
        <v>0</v>
      </c>
      <c r="Q1139">
        <v>1</v>
      </c>
      <c r="R1139" t="s">
        <v>40438</v>
      </c>
      <c r="S1139" t="s">
        <v>40582</v>
      </c>
      <c r="T1139" t="s">
        <v>42125</v>
      </c>
      <c r="U1139" t="s">
        <v>43181</v>
      </c>
      <c r="W1139" t="s">
        <v>37234</v>
      </c>
      <c r="X1139" t="s">
        <v>40439</v>
      </c>
    </row>
    <row r="1140" spans="1:24">
      <c r="A1140">
        <f>HYPERLINK("https://www.philgeps.gov.ph/GEPSNONPILOT/Tender/SplashBidNoticeAbstractUI.aspx?menuIndex=3&amp;refID=7048280&amp;Result=3","7048280")</f>
        <v>0</v>
      </c>
      <c r="B1140" t="s">
        <v>567</v>
      </c>
      <c r="C1140" t="s">
        <v>4203</v>
      </c>
      <c r="D1140" t="s">
        <v>16198</v>
      </c>
      <c r="E1140" t="s">
        <v>17362</v>
      </c>
      <c r="F1140" t="s">
        <v>28198</v>
      </c>
      <c r="G1140" t="s">
        <v>28205</v>
      </c>
      <c r="H1140" t="s">
        <v>28214</v>
      </c>
      <c r="I1140" t="s">
        <v>3797</v>
      </c>
      <c r="J1140" t="s">
        <v>29190</v>
      </c>
      <c r="K1140" t="s">
        <v>36692</v>
      </c>
      <c r="M1140" t="s">
        <v>37555</v>
      </c>
      <c r="N1140" t="s">
        <v>40436</v>
      </c>
      <c r="O1140" t="s">
        <v>40437</v>
      </c>
      <c r="P1140">
        <v>0</v>
      </c>
      <c r="Q1140">
        <v>1</v>
      </c>
      <c r="R1140" t="s">
        <v>40438</v>
      </c>
      <c r="S1140" t="s">
        <v>40582</v>
      </c>
      <c r="T1140" t="s">
        <v>42247</v>
      </c>
      <c r="U1140" t="s">
        <v>43630</v>
      </c>
      <c r="W1140" t="s">
        <v>37555</v>
      </c>
      <c r="X1140" t="s">
        <v>40439</v>
      </c>
    </row>
    <row r="1141" spans="1:24">
      <c r="A1141">
        <f>HYPERLINK("https://www.philgeps.gov.ph/GEPSNONPILOT/Tender/SplashBidNoticeAbstractUI.aspx?menuIndex=3&amp;refID=7048278&amp;Result=3","7048278")</f>
        <v>0</v>
      </c>
      <c r="B1141" t="s">
        <v>555</v>
      </c>
      <c r="C1141" t="s">
        <v>4204</v>
      </c>
      <c r="D1141" t="s">
        <v>16247</v>
      </c>
      <c r="E1141" t="s">
        <v>17363</v>
      </c>
      <c r="F1141" t="s">
        <v>28198</v>
      </c>
      <c r="G1141" t="s">
        <v>28207</v>
      </c>
      <c r="H1141" t="s">
        <v>28215</v>
      </c>
      <c r="I1141" t="s">
        <v>4200</v>
      </c>
      <c r="J1141" t="s">
        <v>29191</v>
      </c>
      <c r="K1141" t="s">
        <v>36689</v>
      </c>
      <c r="M1141" t="s">
        <v>37541</v>
      </c>
      <c r="N1141" t="s">
        <v>40436</v>
      </c>
      <c r="O1141" t="s">
        <v>40437</v>
      </c>
      <c r="P1141">
        <v>0</v>
      </c>
      <c r="Q1141">
        <v>1</v>
      </c>
      <c r="R1141" t="s">
        <v>40438</v>
      </c>
      <c r="S1141" t="s">
        <v>40582</v>
      </c>
      <c r="T1141" t="s">
        <v>42124</v>
      </c>
      <c r="U1141" t="s">
        <v>43631</v>
      </c>
      <c r="W1141" t="s">
        <v>37541</v>
      </c>
      <c r="X1141" t="s">
        <v>40439</v>
      </c>
    </row>
    <row r="1142" spans="1:24">
      <c r="A1142">
        <f>HYPERLINK("https://www.philgeps.gov.ph/GEPSNONPILOT/Tender/SplashBidNoticeAbstractUI.aspx?menuIndex=3&amp;refID=7048302&amp;Result=3","7048302")</f>
        <v>0</v>
      </c>
      <c r="B1142" t="s">
        <v>533</v>
      </c>
      <c r="C1142" t="s">
        <v>4205</v>
      </c>
      <c r="D1142" t="s">
        <v>16190</v>
      </c>
      <c r="E1142" t="s">
        <v>16498</v>
      </c>
      <c r="F1142" t="s">
        <v>28198</v>
      </c>
      <c r="G1142" t="s">
        <v>28207</v>
      </c>
      <c r="H1142" t="s">
        <v>28215</v>
      </c>
      <c r="I1142" t="s">
        <v>8888</v>
      </c>
      <c r="J1142" t="s">
        <v>29192</v>
      </c>
      <c r="K1142" t="s">
        <v>36688</v>
      </c>
      <c r="M1142" t="s">
        <v>37519</v>
      </c>
      <c r="N1142" t="s">
        <v>40436</v>
      </c>
      <c r="O1142" t="s">
        <v>40437</v>
      </c>
      <c r="P1142">
        <v>0</v>
      </c>
      <c r="Q1142">
        <v>0</v>
      </c>
      <c r="R1142" t="s">
        <v>40438</v>
      </c>
      <c r="S1142" t="s">
        <v>40582</v>
      </c>
      <c r="T1142" t="s">
        <v>42142</v>
      </c>
      <c r="U1142" t="s">
        <v>43632</v>
      </c>
      <c r="W1142" t="s">
        <v>37519</v>
      </c>
      <c r="X1142" t="s">
        <v>40439</v>
      </c>
    </row>
    <row r="1143" spans="1:24">
      <c r="A1143">
        <f>HYPERLINK("https://www.philgeps.gov.ph/GEPSNONPILOT/Tender/SplashBidNoticeAbstractUI.aspx?menuIndex=3&amp;refID=7048286&amp;Result=3","7048286")</f>
        <v>0</v>
      </c>
      <c r="B1143" t="s">
        <v>553</v>
      </c>
      <c r="C1143" t="s">
        <v>4206</v>
      </c>
      <c r="E1143" t="s">
        <v>17364</v>
      </c>
      <c r="F1143" t="s">
        <v>28198</v>
      </c>
      <c r="G1143" t="s">
        <v>28209</v>
      </c>
      <c r="H1143" t="s">
        <v>28215</v>
      </c>
      <c r="I1143" t="s">
        <v>6013</v>
      </c>
      <c r="J1143" t="s">
        <v>29193</v>
      </c>
      <c r="K1143" t="s">
        <v>36689</v>
      </c>
      <c r="M1143" t="s">
        <v>37539</v>
      </c>
      <c r="N1143" t="s">
        <v>40436</v>
      </c>
      <c r="O1143" t="s">
        <v>40437</v>
      </c>
      <c r="P1143">
        <v>0</v>
      </c>
      <c r="Q1143">
        <v>0</v>
      </c>
      <c r="R1143" t="s">
        <v>40438</v>
      </c>
      <c r="S1143" t="s">
        <v>40582</v>
      </c>
      <c r="T1143" t="s">
        <v>42200</v>
      </c>
      <c r="U1143" t="s">
        <v>43633</v>
      </c>
      <c r="W1143" t="s">
        <v>37539</v>
      </c>
      <c r="X1143" t="s">
        <v>40439</v>
      </c>
    </row>
    <row r="1144" spans="1:24">
      <c r="A1144">
        <f>HYPERLINK("https://www.philgeps.gov.ph/GEPSNONPILOT/Tender/SplashBidNoticeAbstractUI.aspx?menuIndex=3&amp;refID=7048274&amp;Result=3","7048274")</f>
        <v>0</v>
      </c>
      <c r="B1144" t="s">
        <v>568</v>
      </c>
      <c r="C1144" t="s">
        <v>4207</v>
      </c>
      <c r="D1144" t="s">
        <v>16200</v>
      </c>
      <c r="E1144" t="s">
        <v>17365</v>
      </c>
      <c r="F1144" t="s">
        <v>28198</v>
      </c>
      <c r="G1144" t="s">
        <v>28205</v>
      </c>
      <c r="H1144" t="s">
        <v>28215</v>
      </c>
      <c r="I1144" t="s">
        <v>5100</v>
      </c>
      <c r="J1144" t="s">
        <v>29194</v>
      </c>
      <c r="K1144" t="s">
        <v>36707</v>
      </c>
      <c r="M1144" t="s">
        <v>37556</v>
      </c>
      <c r="N1144" t="s">
        <v>40436</v>
      </c>
      <c r="O1144" t="s">
        <v>40437</v>
      </c>
      <c r="P1144">
        <v>0</v>
      </c>
      <c r="Q1144">
        <v>0</v>
      </c>
      <c r="R1144" t="s">
        <v>40438</v>
      </c>
      <c r="S1144" t="s">
        <v>40582</v>
      </c>
      <c r="T1144" t="s">
        <v>42248</v>
      </c>
      <c r="U1144" t="s">
        <v>43634</v>
      </c>
      <c r="W1144" t="s">
        <v>37556</v>
      </c>
      <c r="X1144" t="s">
        <v>40439</v>
      </c>
    </row>
    <row r="1145" spans="1:24">
      <c r="A1145">
        <f>HYPERLINK("https://www.philgeps.gov.ph/GEPSNONPILOT/Tender/SplashBidNoticeAbstractUI.aspx?menuIndex=3&amp;refID=7048300&amp;Result=3","7048300")</f>
        <v>0</v>
      </c>
      <c r="B1145" t="s">
        <v>461</v>
      </c>
      <c r="C1145" t="s">
        <v>4208</v>
      </c>
      <c r="D1145" t="s">
        <v>16208</v>
      </c>
      <c r="E1145" t="s">
        <v>17366</v>
      </c>
      <c r="F1145" t="s">
        <v>28198</v>
      </c>
      <c r="G1145" t="s">
        <v>28206</v>
      </c>
      <c r="H1145" t="s">
        <v>28215</v>
      </c>
      <c r="I1145" t="s">
        <v>28225</v>
      </c>
      <c r="J1145" t="s">
        <v>29195</v>
      </c>
      <c r="K1145" t="s">
        <v>36689</v>
      </c>
      <c r="M1145" t="s">
        <v>37445</v>
      </c>
      <c r="N1145" t="s">
        <v>40436</v>
      </c>
      <c r="O1145" t="s">
        <v>40437</v>
      </c>
      <c r="P1145">
        <v>0</v>
      </c>
      <c r="Q1145">
        <v>1</v>
      </c>
      <c r="R1145" t="s">
        <v>40438</v>
      </c>
      <c r="S1145" t="s">
        <v>40582</v>
      </c>
      <c r="T1145" t="s">
        <v>42119</v>
      </c>
      <c r="U1145" t="s">
        <v>43635</v>
      </c>
      <c r="W1145" t="s">
        <v>37445</v>
      </c>
      <c r="X1145" t="s">
        <v>40439</v>
      </c>
    </row>
    <row r="1146" spans="1:24">
      <c r="A1146">
        <f>HYPERLINK("https://www.philgeps.gov.ph/GEPSNONPILOT/Tender/SplashBidNoticeAbstractUI.aspx?menuIndex=3&amp;refID=7048284&amp;Result=3","7048284")</f>
        <v>0</v>
      </c>
      <c r="B1146" t="s">
        <v>569</v>
      </c>
      <c r="C1146" t="s">
        <v>4209</v>
      </c>
      <c r="D1146" t="s">
        <v>16209</v>
      </c>
      <c r="E1146" t="s">
        <v>17367</v>
      </c>
      <c r="F1146" t="s">
        <v>28198</v>
      </c>
      <c r="G1146" t="s">
        <v>28205</v>
      </c>
      <c r="H1146" t="s">
        <v>28215</v>
      </c>
      <c r="I1146" t="s">
        <v>28279</v>
      </c>
      <c r="J1146" t="s">
        <v>28418</v>
      </c>
      <c r="K1146" t="s">
        <v>36687</v>
      </c>
      <c r="M1146" t="s">
        <v>37557</v>
      </c>
      <c r="N1146" t="s">
        <v>40436</v>
      </c>
      <c r="O1146" t="s">
        <v>40437</v>
      </c>
      <c r="P1146">
        <v>0</v>
      </c>
      <c r="Q1146">
        <v>0</v>
      </c>
      <c r="R1146" t="s">
        <v>40438</v>
      </c>
      <c r="S1146" t="s">
        <v>40582</v>
      </c>
      <c r="T1146" t="s">
        <v>42108</v>
      </c>
      <c r="U1146" t="s">
        <v>43636</v>
      </c>
      <c r="V1146" t="s">
        <v>53923</v>
      </c>
      <c r="W1146" t="s">
        <v>37557</v>
      </c>
      <c r="X1146" t="s">
        <v>40439</v>
      </c>
    </row>
    <row r="1147" spans="1:24">
      <c r="A1147">
        <f>HYPERLINK("https://www.philgeps.gov.ph/GEPSNONPILOT/Tender/SplashBidNoticeAbstractUI.aspx?menuIndex=3&amp;refID=7048288&amp;Result=3","7048288")</f>
        <v>0</v>
      </c>
      <c r="B1147" t="s">
        <v>570</v>
      </c>
      <c r="C1147" t="s">
        <v>4210</v>
      </c>
      <c r="D1147" t="s">
        <v>16218</v>
      </c>
      <c r="E1147" t="s">
        <v>17368</v>
      </c>
      <c r="F1147" t="s">
        <v>28198</v>
      </c>
      <c r="G1147" t="s">
        <v>28207</v>
      </c>
      <c r="H1147" t="s">
        <v>28215</v>
      </c>
      <c r="I1147" t="s">
        <v>28233</v>
      </c>
      <c r="J1147" t="s">
        <v>29196</v>
      </c>
      <c r="K1147" t="s">
        <v>36707</v>
      </c>
      <c r="M1147" t="s">
        <v>37558</v>
      </c>
      <c r="N1147" t="s">
        <v>40436</v>
      </c>
      <c r="O1147" t="s">
        <v>40437</v>
      </c>
      <c r="P1147">
        <v>0</v>
      </c>
      <c r="Q1147">
        <v>3</v>
      </c>
      <c r="R1147" t="s">
        <v>40438</v>
      </c>
      <c r="S1147" t="s">
        <v>40582</v>
      </c>
      <c r="T1147" t="s">
        <v>42115</v>
      </c>
      <c r="U1147" t="s">
        <v>43637</v>
      </c>
      <c r="W1147" t="s">
        <v>37558</v>
      </c>
      <c r="X1147" t="s">
        <v>40439</v>
      </c>
    </row>
    <row r="1148" spans="1:24">
      <c r="A1148">
        <f>HYPERLINK("https://www.philgeps.gov.ph/GEPSNONPILOT/Tender/SplashBidNoticeAbstractUI.aspx?menuIndex=3&amp;refID=7048297&amp;Result=3","7048297")</f>
        <v>0</v>
      </c>
      <c r="B1148" t="s">
        <v>525</v>
      </c>
      <c r="C1148" t="s">
        <v>4211</v>
      </c>
      <c r="D1148" t="s">
        <v>16221</v>
      </c>
      <c r="E1148" t="s">
        <v>17369</v>
      </c>
      <c r="F1148" t="s">
        <v>28198</v>
      </c>
      <c r="G1148" t="s">
        <v>28206</v>
      </c>
      <c r="H1148" t="s">
        <v>28215</v>
      </c>
      <c r="I1148" t="s">
        <v>3422</v>
      </c>
      <c r="J1148" t="s">
        <v>29134</v>
      </c>
      <c r="K1148" t="s">
        <v>36689</v>
      </c>
      <c r="M1148" t="s">
        <v>37510</v>
      </c>
      <c r="N1148" t="s">
        <v>40436</v>
      </c>
      <c r="O1148" t="s">
        <v>40437</v>
      </c>
      <c r="P1148">
        <v>0</v>
      </c>
      <c r="Q1148">
        <v>1</v>
      </c>
      <c r="R1148" t="s">
        <v>40438</v>
      </c>
      <c r="S1148" t="s">
        <v>40582</v>
      </c>
      <c r="T1148" t="s">
        <v>42141</v>
      </c>
      <c r="U1148" t="s">
        <v>43638</v>
      </c>
      <c r="W1148" t="s">
        <v>37510</v>
      </c>
      <c r="X1148" t="s">
        <v>40439</v>
      </c>
    </row>
    <row r="1149" spans="1:24">
      <c r="A1149">
        <f>HYPERLINK("https://www.philgeps.gov.ph/GEPSNONPILOT/Tender/SplashBidNoticeAbstractUI.aspx?menuIndex=3&amp;refID=7048299&amp;Result=3","7048299")</f>
        <v>0</v>
      </c>
      <c r="B1149" t="s">
        <v>571</v>
      </c>
      <c r="C1149" t="s">
        <v>4212</v>
      </c>
      <c r="D1149" t="s">
        <v>16210</v>
      </c>
      <c r="E1149" t="s">
        <v>17370</v>
      </c>
      <c r="F1149" t="s">
        <v>28198</v>
      </c>
      <c r="G1149" t="s">
        <v>28207</v>
      </c>
      <c r="H1149" t="s">
        <v>28215</v>
      </c>
      <c r="I1149" t="s">
        <v>4200</v>
      </c>
      <c r="J1149" t="s">
        <v>28629</v>
      </c>
      <c r="K1149" t="s">
        <v>36732</v>
      </c>
      <c r="M1149" t="s">
        <v>37559</v>
      </c>
      <c r="N1149" t="s">
        <v>40436</v>
      </c>
      <c r="O1149" t="s">
        <v>40437</v>
      </c>
      <c r="P1149">
        <v>0</v>
      </c>
      <c r="Q1149">
        <v>2</v>
      </c>
      <c r="R1149" t="s">
        <v>40438</v>
      </c>
      <c r="S1149" t="s">
        <v>40582</v>
      </c>
      <c r="T1149" t="s">
        <v>42249</v>
      </c>
      <c r="U1149" t="s">
        <v>43639</v>
      </c>
      <c r="W1149" t="s">
        <v>37559</v>
      </c>
      <c r="X1149" t="s">
        <v>40439</v>
      </c>
    </row>
    <row r="1150" spans="1:24">
      <c r="A1150">
        <f>HYPERLINK("https://www.philgeps.gov.ph/GEPSNONPILOT/Tender/SplashBidNoticeAbstractUI.aspx?menuIndex=3&amp;refID=7048295&amp;Result=3","7048295")</f>
        <v>0</v>
      </c>
      <c r="B1150" t="s">
        <v>538</v>
      </c>
      <c r="C1150" t="s">
        <v>4213</v>
      </c>
      <c r="E1150" t="s">
        <v>17371</v>
      </c>
      <c r="F1150" t="s">
        <v>28198</v>
      </c>
      <c r="G1150" t="s">
        <v>28206</v>
      </c>
      <c r="H1150" t="s">
        <v>28215</v>
      </c>
      <c r="I1150" t="s">
        <v>4219</v>
      </c>
      <c r="J1150" t="s">
        <v>29197</v>
      </c>
      <c r="K1150" t="s">
        <v>36689</v>
      </c>
      <c r="M1150" t="s">
        <v>37524</v>
      </c>
      <c r="N1150" t="s">
        <v>40436</v>
      </c>
      <c r="O1150" t="s">
        <v>40437</v>
      </c>
      <c r="P1150">
        <v>0</v>
      </c>
      <c r="Q1150">
        <v>1</v>
      </c>
      <c r="R1150" t="s">
        <v>40438</v>
      </c>
      <c r="S1150" t="s">
        <v>40582</v>
      </c>
      <c r="T1150" t="s">
        <v>42112</v>
      </c>
      <c r="U1150" t="s">
        <v>43562</v>
      </c>
      <c r="W1150" t="s">
        <v>37524</v>
      </c>
      <c r="X1150" t="s">
        <v>40439</v>
      </c>
    </row>
    <row r="1151" spans="1:24">
      <c r="A1151">
        <f>HYPERLINK("https://www.philgeps.gov.ph/GEPSNONPILOT/Tender/SplashBidNoticeAbstractUI.aspx?menuIndex=3&amp;refID=7048304&amp;Result=3","7048304")</f>
        <v>0</v>
      </c>
      <c r="B1151" t="s">
        <v>572</v>
      </c>
      <c r="C1151" t="s">
        <v>4214</v>
      </c>
      <c r="D1151" t="s">
        <v>16192</v>
      </c>
      <c r="E1151" t="s">
        <v>17372</v>
      </c>
      <c r="F1151" t="s">
        <v>28198</v>
      </c>
      <c r="G1151" t="s">
        <v>28207</v>
      </c>
      <c r="H1151" t="s">
        <v>28215</v>
      </c>
      <c r="I1151" t="s">
        <v>28225</v>
      </c>
      <c r="J1151" t="s">
        <v>29198</v>
      </c>
      <c r="K1151" t="s">
        <v>36701</v>
      </c>
      <c r="M1151" t="s">
        <v>37560</v>
      </c>
      <c r="N1151" t="s">
        <v>40436</v>
      </c>
      <c r="O1151" t="s">
        <v>40437</v>
      </c>
      <c r="P1151">
        <v>0</v>
      </c>
      <c r="Q1151">
        <v>1</v>
      </c>
      <c r="R1151" t="s">
        <v>40438</v>
      </c>
      <c r="S1151" t="s">
        <v>40582</v>
      </c>
      <c r="T1151" t="s">
        <v>42119</v>
      </c>
      <c r="U1151" t="s">
        <v>43640</v>
      </c>
      <c r="W1151" t="s">
        <v>37560</v>
      </c>
      <c r="X1151" t="s">
        <v>40439</v>
      </c>
    </row>
    <row r="1152" spans="1:24">
      <c r="A1152">
        <f>HYPERLINK("https://www.philgeps.gov.ph/GEPSNONPILOT/Tender/SplashBidNoticeAbstractUI.aspx?menuIndex=3&amp;refID=7048298&amp;Result=3","7048298")</f>
        <v>0</v>
      </c>
      <c r="B1152" t="s">
        <v>573</v>
      </c>
      <c r="C1152" t="s">
        <v>4215</v>
      </c>
      <c r="D1152" t="s">
        <v>16222</v>
      </c>
      <c r="E1152" t="s">
        <v>17373</v>
      </c>
      <c r="F1152" t="s">
        <v>28198</v>
      </c>
      <c r="G1152" t="s">
        <v>28207</v>
      </c>
      <c r="H1152" t="s">
        <v>28215</v>
      </c>
      <c r="I1152" t="s">
        <v>28258</v>
      </c>
      <c r="J1152" t="s">
        <v>29199</v>
      </c>
      <c r="K1152" t="s">
        <v>36707</v>
      </c>
      <c r="M1152" t="s">
        <v>37561</v>
      </c>
      <c r="N1152" t="s">
        <v>40436</v>
      </c>
      <c r="O1152" t="s">
        <v>40437</v>
      </c>
      <c r="P1152">
        <v>0</v>
      </c>
      <c r="Q1152">
        <v>3</v>
      </c>
      <c r="R1152" t="s">
        <v>40438</v>
      </c>
      <c r="S1152" t="s">
        <v>40582</v>
      </c>
      <c r="T1152" t="s">
        <v>42102</v>
      </c>
      <c r="U1152" t="s">
        <v>43641</v>
      </c>
      <c r="W1152" t="s">
        <v>37561</v>
      </c>
      <c r="X1152" t="s">
        <v>40439</v>
      </c>
    </row>
    <row r="1153" spans="1:24">
      <c r="A1153">
        <f>HYPERLINK("https://www.philgeps.gov.ph/GEPSNONPILOT/Tender/SplashBidNoticeAbstractUI.aspx?menuIndex=3&amp;refID=7048293&amp;Result=3","7048293")</f>
        <v>0</v>
      </c>
      <c r="B1153" t="s">
        <v>561</v>
      </c>
      <c r="C1153" t="s">
        <v>4216</v>
      </c>
      <c r="D1153" t="s">
        <v>16196</v>
      </c>
      <c r="E1153" t="s">
        <v>17374</v>
      </c>
      <c r="F1153" t="s">
        <v>28198</v>
      </c>
      <c r="G1153" t="s">
        <v>28205</v>
      </c>
      <c r="H1153" t="s">
        <v>28214</v>
      </c>
      <c r="I1153" t="s">
        <v>3797</v>
      </c>
      <c r="J1153" t="s">
        <v>28398</v>
      </c>
      <c r="K1153" t="s">
        <v>36701</v>
      </c>
      <c r="L1153" t="s">
        <v>561</v>
      </c>
      <c r="M1153" t="s">
        <v>37547</v>
      </c>
      <c r="N1153" t="s">
        <v>40436</v>
      </c>
      <c r="O1153" t="s">
        <v>40437</v>
      </c>
      <c r="P1153">
        <v>0</v>
      </c>
      <c r="Q1153">
        <v>26</v>
      </c>
      <c r="R1153" t="s">
        <v>40438</v>
      </c>
      <c r="S1153" t="s">
        <v>40582</v>
      </c>
      <c r="T1153" t="s">
        <v>42112</v>
      </c>
      <c r="U1153" t="s">
        <v>43642</v>
      </c>
      <c r="W1153" t="s">
        <v>37547</v>
      </c>
      <c r="X1153" t="s">
        <v>40439</v>
      </c>
    </row>
    <row r="1154" spans="1:24">
      <c r="A1154">
        <f>HYPERLINK("https://www.philgeps.gov.ph/GEPSNONPILOT/Tender/SplashBidNoticeAbstractUI.aspx?menuIndex=3&amp;refID=7048294&amp;Result=3","7048294")</f>
        <v>0</v>
      </c>
      <c r="B1154" t="s">
        <v>574</v>
      </c>
      <c r="C1154" t="s">
        <v>4217</v>
      </c>
      <c r="D1154" t="s">
        <v>16210</v>
      </c>
      <c r="E1154" t="s">
        <v>17375</v>
      </c>
      <c r="F1154" t="s">
        <v>28198</v>
      </c>
      <c r="G1154" t="s">
        <v>28207</v>
      </c>
      <c r="H1154" t="s">
        <v>28215</v>
      </c>
      <c r="I1154" t="s">
        <v>28227</v>
      </c>
      <c r="J1154" t="s">
        <v>29200</v>
      </c>
      <c r="K1154" t="s">
        <v>36689</v>
      </c>
      <c r="M1154" t="s">
        <v>37562</v>
      </c>
      <c r="N1154" t="s">
        <v>40436</v>
      </c>
      <c r="O1154" t="s">
        <v>40437</v>
      </c>
      <c r="P1154">
        <v>0</v>
      </c>
      <c r="Q1154">
        <v>0</v>
      </c>
      <c r="R1154" t="s">
        <v>40438</v>
      </c>
      <c r="S1154" t="s">
        <v>40582</v>
      </c>
      <c r="T1154" t="s">
        <v>42098</v>
      </c>
      <c r="U1154" t="s">
        <v>43643</v>
      </c>
      <c r="W1154" t="s">
        <v>37562</v>
      </c>
      <c r="X1154" t="s">
        <v>40439</v>
      </c>
    </row>
    <row r="1155" spans="1:24">
      <c r="A1155">
        <f>HYPERLINK("https://www.philgeps.gov.ph/GEPSNONPILOT/Tender/SplashBidNoticeAbstractUI.aspx?menuIndex=3&amp;refID=7048296&amp;Result=3","7048296")</f>
        <v>0</v>
      </c>
      <c r="B1155" t="s">
        <v>575</v>
      </c>
      <c r="C1155" t="s">
        <v>4218</v>
      </c>
      <c r="D1155" t="s">
        <v>16223</v>
      </c>
      <c r="E1155" t="s">
        <v>17376</v>
      </c>
      <c r="F1155" t="s">
        <v>28198</v>
      </c>
      <c r="G1155" t="s">
        <v>28207</v>
      </c>
      <c r="H1155" t="s">
        <v>28215</v>
      </c>
      <c r="I1155" t="s">
        <v>4200</v>
      </c>
      <c r="J1155" t="s">
        <v>29201</v>
      </c>
      <c r="K1155" t="s">
        <v>36701</v>
      </c>
      <c r="M1155" t="s">
        <v>37563</v>
      </c>
      <c r="N1155" t="s">
        <v>40436</v>
      </c>
      <c r="O1155" t="s">
        <v>40437</v>
      </c>
      <c r="P1155">
        <v>0</v>
      </c>
      <c r="Q1155">
        <v>0</v>
      </c>
      <c r="R1155" t="s">
        <v>40438</v>
      </c>
      <c r="S1155" t="s">
        <v>40582</v>
      </c>
      <c r="T1155" t="s">
        <v>42115</v>
      </c>
      <c r="U1155" t="s">
        <v>43644</v>
      </c>
      <c r="W1155" t="s">
        <v>37563</v>
      </c>
      <c r="X1155" t="s">
        <v>40439</v>
      </c>
    </row>
    <row r="1156" spans="1:24">
      <c r="A1156">
        <f>HYPERLINK("https://www.philgeps.gov.ph/GEPSNONPILOT/Tender/SplashBidNoticeAbstractUI.aspx?menuIndex=3&amp;refID=7048303&amp;Result=3","7048303")</f>
        <v>0</v>
      </c>
      <c r="B1156" t="s">
        <v>553</v>
      </c>
      <c r="C1156" t="s">
        <v>3480</v>
      </c>
      <c r="E1156" t="s">
        <v>17377</v>
      </c>
      <c r="F1156" t="s">
        <v>28198</v>
      </c>
      <c r="G1156" t="s">
        <v>28209</v>
      </c>
      <c r="H1156" t="s">
        <v>28215</v>
      </c>
      <c r="I1156" t="s">
        <v>28228</v>
      </c>
      <c r="J1156" t="s">
        <v>29202</v>
      </c>
      <c r="K1156" t="s">
        <v>36689</v>
      </c>
      <c r="M1156" t="s">
        <v>37539</v>
      </c>
      <c r="N1156" t="s">
        <v>40436</v>
      </c>
      <c r="O1156" t="s">
        <v>40437</v>
      </c>
      <c r="P1156">
        <v>0</v>
      </c>
      <c r="Q1156">
        <v>0</v>
      </c>
      <c r="R1156" t="s">
        <v>40438</v>
      </c>
      <c r="S1156" t="s">
        <v>40582</v>
      </c>
      <c r="T1156" t="s">
        <v>42200</v>
      </c>
      <c r="U1156" t="s">
        <v>43645</v>
      </c>
      <c r="W1156" t="s">
        <v>37539</v>
      </c>
      <c r="X1156" t="s">
        <v>40439</v>
      </c>
    </row>
    <row r="1157" spans="1:24">
      <c r="A1157">
        <f>HYPERLINK("https://www.philgeps.gov.ph/GEPSNONPILOT/Tender/SplashBidNoticeAbstractUI.aspx?menuIndex=3&amp;refID=7048301&amp;Result=3","7048301")</f>
        <v>0</v>
      </c>
      <c r="B1157" t="s">
        <v>566</v>
      </c>
      <c r="C1157" t="s">
        <v>4219</v>
      </c>
      <c r="D1157" t="s">
        <v>16230</v>
      </c>
      <c r="E1157" t="s">
        <v>17378</v>
      </c>
      <c r="F1157" t="s">
        <v>28198</v>
      </c>
      <c r="G1157" t="s">
        <v>28206</v>
      </c>
      <c r="H1157" t="s">
        <v>28215</v>
      </c>
      <c r="I1157" t="s">
        <v>4219</v>
      </c>
      <c r="J1157" t="s">
        <v>29203</v>
      </c>
      <c r="K1157" t="s">
        <v>36701</v>
      </c>
      <c r="M1157" t="s">
        <v>37554</v>
      </c>
      <c r="N1157" t="s">
        <v>40436</v>
      </c>
      <c r="O1157" t="s">
        <v>40437</v>
      </c>
      <c r="P1157">
        <v>0</v>
      </c>
      <c r="Q1157">
        <v>5</v>
      </c>
      <c r="R1157" t="s">
        <v>40438</v>
      </c>
      <c r="S1157" t="s">
        <v>40582</v>
      </c>
      <c r="T1157" t="s">
        <v>42157</v>
      </c>
      <c r="U1157" t="s">
        <v>43646</v>
      </c>
      <c r="W1157" t="s">
        <v>37554</v>
      </c>
      <c r="X1157" t="s">
        <v>40439</v>
      </c>
    </row>
    <row r="1158" spans="1:24">
      <c r="A1158">
        <f>HYPERLINK("https://www.philgeps.gov.ph/GEPSNONPILOT/Tender/SplashBidNoticeAbstractUI.aspx?menuIndex=3&amp;refID=7048289&amp;Result=3","7048289")</f>
        <v>0</v>
      </c>
      <c r="B1158" t="s">
        <v>576</v>
      </c>
      <c r="C1158" t="s">
        <v>4220</v>
      </c>
      <c r="D1158" t="s">
        <v>16260</v>
      </c>
      <c r="E1158" t="s">
        <v>17379</v>
      </c>
      <c r="F1158" t="s">
        <v>28198</v>
      </c>
      <c r="G1158" t="s">
        <v>28206</v>
      </c>
      <c r="H1158" t="s">
        <v>28217</v>
      </c>
      <c r="I1158" t="s">
        <v>28231</v>
      </c>
      <c r="J1158" t="s">
        <v>29204</v>
      </c>
      <c r="K1158" t="s">
        <v>36705</v>
      </c>
      <c r="M1158" t="s">
        <v>37564</v>
      </c>
      <c r="N1158" t="s">
        <v>40436</v>
      </c>
      <c r="O1158" t="s">
        <v>40437</v>
      </c>
      <c r="P1158">
        <v>0</v>
      </c>
      <c r="Q1158">
        <v>1</v>
      </c>
      <c r="R1158" t="s">
        <v>40438</v>
      </c>
      <c r="S1158" t="s">
        <v>40582</v>
      </c>
      <c r="T1158" t="s">
        <v>42250</v>
      </c>
      <c r="U1158" t="s">
        <v>43647</v>
      </c>
      <c r="W1158" t="s">
        <v>37564</v>
      </c>
      <c r="X1158" t="s">
        <v>40439</v>
      </c>
    </row>
    <row r="1159" spans="1:24">
      <c r="A1159">
        <f>HYPERLINK("https://www.philgeps.gov.ph/GEPSNONPILOT/Tender/SplashBidNoticeAbstractUI.aspx?menuIndex=3&amp;refID=7048290&amp;Result=3","7048290")</f>
        <v>0</v>
      </c>
      <c r="B1159" t="s">
        <v>463</v>
      </c>
      <c r="C1159" t="s">
        <v>4221</v>
      </c>
      <c r="D1159" t="s">
        <v>16203</v>
      </c>
      <c r="E1159" t="s">
        <v>17380</v>
      </c>
      <c r="F1159" t="s">
        <v>28198</v>
      </c>
      <c r="G1159" t="s">
        <v>28210</v>
      </c>
      <c r="H1159" t="s">
        <v>28215</v>
      </c>
      <c r="I1159" t="s">
        <v>28234</v>
      </c>
      <c r="J1159" t="s">
        <v>28551</v>
      </c>
      <c r="K1159" t="s">
        <v>36693</v>
      </c>
      <c r="M1159" t="s">
        <v>37448</v>
      </c>
      <c r="N1159" t="s">
        <v>40436</v>
      </c>
      <c r="O1159" t="s">
        <v>40437</v>
      </c>
      <c r="P1159">
        <v>0</v>
      </c>
      <c r="Q1159">
        <v>0</v>
      </c>
      <c r="R1159" t="s">
        <v>40438</v>
      </c>
      <c r="S1159" t="s">
        <v>40582</v>
      </c>
      <c r="T1159" t="s">
        <v>42129</v>
      </c>
      <c r="U1159" t="s">
        <v>43648</v>
      </c>
      <c r="W1159" t="s">
        <v>37448</v>
      </c>
      <c r="X1159" t="s">
        <v>40439</v>
      </c>
    </row>
    <row r="1160" spans="1:24">
      <c r="A1160">
        <f>HYPERLINK("https://www.philgeps.gov.ph/GEPSNONPILOT/Tender/SplashBidNoticeAbstractUI.aspx?menuIndex=3&amp;refID=7048292&amp;Result=3","7048292")</f>
        <v>0</v>
      </c>
      <c r="B1160" t="s">
        <v>566</v>
      </c>
      <c r="C1160" t="s">
        <v>4222</v>
      </c>
      <c r="D1160" t="s">
        <v>16208</v>
      </c>
      <c r="E1160" t="s">
        <v>17381</v>
      </c>
      <c r="F1160" t="s">
        <v>28198</v>
      </c>
      <c r="G1160" t="s">
        <v>28206</v>
      </c>
      <c r="H1160" t="s">
        <v>28215</v>
      </c>
      <c r="I1160" t="s">
        <v>4222</v>
      </c>
      <c r="J1160" t="s">
        <v>29205</v>
      </c>
      <c r="K1160" t="s">
        <v>36701</v>
      </c>
      <c r="M1160" t="s">
        <v>37554</v>
      </c>
      <c r="N1160" t="s">
        <v>40436</v>
      </c>
      <c r="O1160" t="s">
        <v>40437</v>
      </c>
      <c r="P1160">
        <v>0</v>
      </c>
      <c r="Q1160">
        <v>1</v>
      </c>
      <c r="R1160" t="s">
        <v>40438</v>
      </c>
      <c r="S1160" t="s">
        <v>40582</v>
      </c>
      <c r="T1160" t="s">
        <v>42157</v>
      </c>
      <c r="U1160" t="s">
        <v>43649</v>
      </c>
      <c r="W1160" t="s">
        <v>37554</v>
      </c>
      <c r="X1160" t="s">
        <v>40439</v>
      </c>
    </row>
    <row r="1161" spans="1:24">
      <c r="A1161">
        <f>HYPERLINK("https://www.philgeps.gov.ph/GEPSNONPILOT/Tender/SplashBidNoticeAbstractUI.aspx?menuIndex=3&amp;refID=7048291&amp;Result=3","7048291")</f>
        <v>0</v>
      </c>
      <c r="B1161" t="s">
        <v>555</v>
      </c>
      <c r="C1161" t="s">
        <v>4223</v>
      </c>
      <c r="D1161" t="s">
        <v>16247</v>
      </c>
      <c r="E1161" t="s">
        <v>17382</v>
      </c>
      <c r="F1161" t="s">
        <v>28198</v>
      </c>
      <c r="G1161" t="s">
        <v>28207</v>
      </c>
      <c r="H1161" t="s">
        <v>28215</v>
      </c>
      <c r="I1161" t="s">
        <v>28225</v>
      </c>
      <c r="J1161" t="s">
        <v>29206</v>
      </c>
      <c r="K1161" t="s">
        <v>36689</v>
      </c>
      <c r="M1161" t="s">
        <v>37541</v>
      </c>
      <c r="N1161" t="s">
        <v>40436</v>
      </c>
      <c r="O1161" t="s">
        <v>40437</v>
      </c>
      <c r="P1161">
        <v>0</v>
      </c>
      <c r="Q1161">
        <v>1</v>
      </c>
      <c r="R1161" t="s">
        <v>40438</v>
      </c>
      <c r="S1161" t="s">
        <v>40582</v>
      </c>
      <c r="T1161" t="s">
        <v>42124</v>
      </c>
      <c r="U1161" t="s">
        <v>43650</v>
      </c>
      <c r="W1161" t="s">
        <v>37541</v>
      </c>
      <c r="X1161" t="s">
        <v>40439</v>
      </c>
    </row>
    <row r="1162" spans="1:24">
      <c r="A1162">
        <f>HYPERLINK("https://www.philgeps.gov.ph/GEPSNONPILOT/Tender/SplashBidNoticeAbstractUI.aspx?menuIndex=3&amp;refID=7048305&amp;Result=3","7048305")</f>
        <v>0</v>
      </c>
      <c r="B1162" t="s">
        <v>246</v>
      </c>
      <c r="C1162" t="s">
        <v>4224</v>
      </c>
      <c r="D1162" t="s">
        <v>16228</v>
      </c>
      <c r="E1162" t="s">
        <v>17383</v>
      </c>
      <c r="F1162" t="s">
        <v>28198</v>
      </c>
      <c r="G1162" t="s">
        <v>28205</v>
      </c>
      <c r="H1162" t="s">
        <v>28215</v>
      </c>
      <c r="I1162" t="s">
        <v>3797</v>
      </c>
      <c r="J1162" t="s">
        <v>29207</v>
      </c>
      <c r="K1162" t="s">
        <v>36694</v>
      </c>
      <c r="M1162" t="s">
        <v>37222</v>
      </c>
      <c r="N1162" t="s">
        <v>40436</v>
      </c>
      <c r="O1162" t="s">
        <v>40437</v>
      </c>
      <c r="P1162">
        <v>0</v>
      </c>
      <c r="Q1162">
        <v>0</v>
      </c>
      <c r="R1162" t="s">
        <v>40438</v>
      </c>
      <c r="S1162" t="s">
        <v>40582</v>
      </c>
      <c r="T1162" t="s">
        <v>42246</v>
      </c>
      <c r="U1162" t="s">
        <v>43651</v>
      </c>
      <c r="W1162" t="s">
        <v>37222</v>
      </c>
      <c r="X1162" t="s">
        <v>40439</v>
      </c>
    </row>
    <row r="1163" spans="1:24">
      <c r="A1163">
        <f>HYPERLINK("https://www.philgeps.gov.ph/GEPSNONPILOT/Tender/SplashBidNoticeAbstractUI.aspx?menuIndex=3&amp;refID=7048308&amp;Result=3","7048308")</f>
        <v>0</v>
      </c>
      <c r="B1163" t="s">
        <v>314</v>
      </c>
      <c r="C1163" t="s">
        <v>4225</v>
      </c>
      <c r="D1163" t="s">
        <v>16194</v>
      </c>
      <c r="E1163" t="s">
        <v>17384</v>
      </c>
      <c r="F1163" t="s">
        <v>28198</v>
      </c>
      <c r="G1163" t="s">
        <v>28207</v>
      </c>
      <c r="H1163" t="s">
        <v>28215</v>
      </c>
      <c r="I1163" t="s">
        <v>4200</v>
      </c>
      <c r="J1163" t="s">
        <v>29208</v>
      </c>
      <c r="K1163" t="s">
        <v>36687</v>
      </c>
      <c r="M1163" t="s">
        <v>37565</v>
      </c>
      <c r="N1163" t="s">
        <v>40436</v>
      </c>
      <c r="O1163" t="s">
        <v>40437</v>
      </c>
      <c r="P1163">
        <v>0</v>
      </c>
      <c r="Q1163">
        <v>0</v>
      </c>
      <c r="R1163" t="s">
        <v>40438</v>
      </c>
      <c r="S1163" t="s">
        <v>40582</v>
      </c>
      <c r="T1163" t="s">
        <v>42103</v>
      </c>
      <c r="U1163" t="s">
        <v>43626</v>
      </c>
      <c r="V1163" t="s">
        <v>53922</v>
      </c>
      <c r="W1163" t="s">
        <v>55452</v>
      </c>
      <c r="X1163" t="s">
        <v>40439</v>
      </c>
    </row>
    <row r="1164" spans="1:24">
      <c r="A1164">
        <f>HYPERLINK("https://www.philgeps.gov.ph/GEPSNONPILOT/Tender/SplashBidNoticeAbstractUI.aspx?menuIndex=3&amp;refID=7048325&amp;Result=3","7048325")</f>
        <v>0</v>
      </c>
      <c r="B1164" t="s">
        <v>569</v>
      </c>
      <c r="C1164" t="s">
        <v>4226</v>
      </c>
      <c r="D1164" t="s">
        <v>16209</v>
      </c>
      <c r="E1164" t="s">
        <v>17385</v>
      </c>
      <c r="F1164" t="s">
        <v>28198</v>
      </c>
      <c r="G1164" t="s">
        <v>28205</v>
      </c>
      <c r="H1164" t="s">
        <v>28215</v>
      </c>
      <c r="I1164" t="s">
        <v>5071</v>
      </c>
      <c r="J1164" t="s">
        <v>29209</v>
      </c>
      <c r="K1164" t="s">
        <v>36706</v>
      </c>
      <c r="M1164" t="s">
        <v>37557</v>
      </c>
      <c r="N1164" t="s">
        <v>40436</v>
      </c>
      <c r="O1164" t="s">
        <v>40437</v>
      </c>
      <c r="P1164">
        <v>0</v>
      </c>
      <c r="Q1164">
        <v>0</v>
      </c>
      <c r="R1164" t="s">
        <v>40438</v>
      </c>
      <c r="S1164" t="s">
        <v>40582</v>
      </c>
      <c r="T1164" t="s">
        <v>42108</v>
      </c>
      <c r="U1164" t="s">
        <v>43652</v>
      </c>
      <c r="V1164" t="s">
        <v>53923</v>
      </c>
      <c r="W1164" t="s">
        <v>37557</v>
      </c>
      <c r="X1164" t="s">
        <v>40439</v>
      </c>
    </row>
    <row r="1165" spans="1:24">
      <c r="A1165">
        <f>HYPERLINK("https://www.philgeps.gov.ph/GEPSNONPILOT/Tender/SplashBidNoticeAbstractUI.aspx?menuIndex=3&amp;refID=7048322&amp;Result=3","7048322")</f>
        <v>0</v>
      </c>
      <c r="B1165" t="s">
        <v>485</v>
      </c>
      <c r="C1165" t="s">
        <v>3870</v>
      </c>
      <c r="D1165" t="s">
        <v>16222</v>
      </c>
      <c r="E1165" t="s">
        <v>17386</v>
      </c>
      <c r="F1165" t="s">
        <v>28198</v>
      </c>
      <c r="G1165" t="s">
        <v>28207</v>
      </c>
      <c r="H1165" t="s">
        <v>28215</v>
      </c>
      <c r="I1165" t="s">
        <v>4200</v>
      </c>
      <c r="J1165" t="s">
        <v>28671</v>
      </c>
      <c r="K1165" t="s">
        <v>36691</v>
      </c>
      <c r="M1165" t="s">
        <v>37470</v>
      </c>
      <c r="N1165" t="s">
        <v>40436</v>
      </c>
      <c r="O1165" t="s">
        <v>40437</v>
      </c>
      <c r="P1165">
        <v>0</v>
      </c>
      <c r="Q1165">
        <v>0</v>
      </c>
      <c r="R1165" t="s">
        <v>40438</v>
      </c>
      <c r="S1165" t="s">
        <v>40582</v>
      </c>
      <c r="T1165" t="s">
        <v>42103</v>
      </c>
      <c r="U1165" t="s">
        <v>43653</v>
      </c>
      <c r="W1165" t="s">
        <v>37470</v>
      </c>
      <c r="X1165" t="s">
        <v>40439</v>
      </c>
    </row>
    <row r="1166" spans="1:24">
      <c r="A1166">
        <f>HYPERLINK("https://www.philgeps.gov.ph/GEPSNONPILOT/Tender/SplashBidNoticeAbstractUI.aspx?menuIndex=3&amp;refID=7048321&amp;Result=3","7048321")</f>
        <v>0</v>
      </c>
      <c r="B1166" t="s">
        <v>577</v>
      </c>
      <c r="C1166" t="s">
        <v>4227</v>
      </c>
      <c r="D1166" t="s">
        <v>16228</v>
      </c>
      <c r="E1166" t="s">
        <v>17387</v>
      </c>
      <c r="F1166" t="s">
        <v>28198</v>
      </c>
      <c r="G1166" t="s">
        <v>28205</v>
      </c>
      <c r="H1166" t="s">
        <v>28215</v>
      </c>
      <c r="I1166" t="s">
        <v>28228</v>
      </c>
      <c r="J1166" t="s">
        <v>29210</v>
      </c>
      <c r="K1166" t="s">
        <v>36697</v>
      </c>
      <c r="L1166" t="s">
        <v>577</v>
      </c>
      <c r="M1166" t="s">
        <v>37566</v>
      </c>
      <c r="N1166" t="s">
        <v>40436</v>
      </c>
      <c r="O1166" t="s">
        <v>40437</v>
      </c>
      <c r="P1166">
        <v>0</v>
      </c>
      <c r="Q1166">
        <v>0</v>
      </c>
      <c r="R1166" t="s">
        <v>40438</v>
      </c>
      <c r="S1166" t="s">
        <v>40582</v>
      </c>
      <c r="T1166" t="s">
        <v>42168</v>
      </c>
      <c r="U1166" t="s">
        <v>43654</v>
      </c>
      <c r="V1166" t="s">
        <v>53924</v>
      </c>
      <c r="W1166" t="s">
        <v>37566</v>
      </c>
      <c r="X1166" t="s">
        <v>40439</v>
      </c>
    </row>
    <row r="1167" spans="1:24">
      <c r="A1167">
        <f>HYPERLINK("https://www.philgeps.gov.ph/GEPSNONPILOT/Tender/SplashBidNoticeAbstractUI.aspx?menuIndex=3&amp;refID=7048313&amp;Result=3","7048313")</f>
        <v>0</v>
      </c>
      <c r="B1167" t="s">
        <v>480</v>
      </c>
      <c r="C1167" t="s">
        <v>4228</v>
      </c>
      <c r="D1167" t="s">
        <v>16234</v>
      </c>
      <c r="E1167" t="s">
        <v>17388</v>
      </c>
      <c r="F1167" t="s">
        <v>28198</v>
      </c>
      <c r="G1167" t="s">
        <v>28207</v>
      </c>
      <c r="H1167" t="s">
        <v>28215</v>
      </c>
      <c r="I1167" t="s">
        <v>5100</v>
      </c>
      <c r="J1167" t="s">
        <v>29211</v>
      </c>
      <c r="K1167" t="s">
        <v>36689</v>
      </c>
      <c r="M1167" t="s">
        <v>37465</v>
      </c>
      <c r="N1167" t="s">
        <v>40436</v>
      </c>
      <c r="O1167" t="s">
        <v>40437</v>
      </c>
      <c r="P1167">
        <v>0</v>
      </c>
      <c r="Q1167">
        <v>1</v>
      </c>
      <c r="R1167" t="s">
        <v>40438</v>
      </c>
      <c r="S1167" t="s">
        <v>40582</v>
      </c>
      <c r="T1167" t="s">
        <v>42129</v>
      </c>
      <c r="U1167" t="s">
        <v>43655</v>
      </c>
      <c r="W1167" t="s">
        <v>37465</v>
      </c>
      <c r="X1167" t="s">
        <v>40439</v>
      </c>
    </row>
    <row r="1168" spans="1:24">
      <c r="A1168">
        <f>HYPERLINK("https://www.philgeps.gov.ph/GEPSNONPILOT/Tender/SplashBidNoticeAbstractUI.aspx?menuIndex=3&amp;refID=7048320&amp;Result=3","7048320")</f>
        <v>0</v>
      </c>
      <c r="B1168" t="s">
        <v>511</v>
      </c>
      <c r="C1168" t="s">
        <v>4229</v>
      </c>
      <c r="D1168" t="s">
        <v>16258</v>
      </c>
      <c r="E1168" t="s">
        <v>17389</v>
      </c>
      <c r="F1168" t="s">
        <v>28198</v>
      </c>
      <c r="G1168" t="s">
        <v>28207</v>
      </c>
      <c r="H1168" t="s">
        <v>28215</v>
      </c>
      <c r="I1168" t="s">
        <v>28234</v>
      </c>
      <c r="J1168" t="s">
        <v>28414</v>
      </c>
      <c r="K1168" t="s">
        <v>36689</v>
      </c>
      <c r="M1168" t="s">
        <v>37496</v>
      </c>
      <c r="N1168" t="s">
        <v>40436</v>
      </c>
      <c r="O1168" t="s">
        <v>40437</v>
      </c>
      <c r="P1168">
        <v>0</v>
      </c>
      <c r="Q1168">
        <v>2</v>
      </c>
      <c r="R1168" t="s">
        <v>40438</v>
      </c>
      <c r="S1168" t="s">
        <v>40582</v>
      </c>
      <c r="T1168" t="s">
        <v>42142</v>
      </c>
      <c r="U1168" t="s">
        <v>43656</v>
      </c>
      <c r="W1168" t="s">
        <v>37496</v>
      </c>
      <c r="X1168" t="s">
        <v>40439</v>
      </c>
    </row>
    <row r="1169" spans="1:24">
      <c r="A1169">
        <f>HYPERLINK("https://www.philgeps.gov.ph/GEPSNONPILOT/Tender/SplashBidNoticeAbstractUI.aspx?menuIndex=3&amp;refID=7048324&amp;Result=3","7048324")</f>
        <v>0</v>
      </c>
      <c r="B1169" t="s">
        <v>578</v>
      </c>
      <c r="C1169" t="s">
        <v>4230</v>
      </c>
      <c r="D1169" t="s">
        <v>16187</v>
      </c>
      <c r="E1169" t="s">
        <v>17390</v>
      </c>
      <c r="F1169" t="s">
        <v>28198</v>
      </c>
      <c r="G1169" t="s">
        <v>28205</v>
      </c>
      <c r="H1169" t="s">
        <v>28215</v>
      </c>
      <c r="I1169" t="s">
        <v>5082</v>
      </c>
      <c r="J1169" t="s">
        <v>28694</v>
      </c>
      <c r="K1169" t="s">
        <v>36706</v>
      </c>
      <c r="M1169" t="s">
        <v>37567</v>
      </c>
      <c r="N1169" t="s">
        <v>40436</v>
      </c>
      <c r="O1169" t="s">
        <v>40437</v>
      </c>
      <c r="P1169">
        <v>0</v>
      </c>
      <c r="Q1169">
        <v>0</v>
      </c>
      <c r="R1169" t="s">
        <v>40438</v>
      </c>
      <c r="S1169" t="s">
        <v>40582</v>
      </c>
      <c r="T1169" t="s">
        <v>42251</v>
      </c>
      <c r="U1169" t="s">
        <v>43657</v>
      </c>
      <c r="W1169" t="s">
        <v>37567</v>
      </c>
      <c r="X1169" t="s">
        <v>40439</v>
      </c>
    </row>
    <row r="1170" spans="1:24">
      <c r="A1170">
        <f>HYPERLINK("https://www.philgeps.gov.ph/GEPSNONPILOT/Tender/SplashBidNoticeAbstractUI.aspx?menuIndex=3&amp;refID=7048318&amp;Result=3","7048318")</f>
        <v>0</v>
      </c>
      <c r="B1170" t="s">
        <v>579</v>
      </c>
      <c r="C1170" t="s">
        <v>4231</v>
      </c>
      <c r="D1170" t="s">
        <v>16224</v>
      </c>
      <c r="E1170" t="s">
        <v>17391</v>
      </c>
      <c r="F1170" t="s">
        <v>28198</v>
      </c>
      <c r="G1170" t="s">
        <v>28210</v>
      </c>
      <c r="H1170" t="s">
        <v>28215</v>
      </c>
      <c r="I1170" t="s">
        <v>4505</v>
      </c>
      <c r="J1170" t="s">
        <v>28691</v>
      </c>
      <c r="K1170" t="s">
        <v>36688</v>
      </c>
      <c r="M1170" t="s">
        <v>37568</v>
      </c>
      <c r="N1170" t="s">
        <v>40436</v>
      </c>
      <c r="O1170" t="s">
        <v>40437</v>
      </c>
      <c r="P1170">
        <v>0</v>
      </c>
      <c r="Q1170">
        <v>5</v>
      </c>
      <c r="R1170" t="s">
        <v>40438</v>
      </c>
      <c r="S1170" t="s">
        <v>40582</v>
      </c>
      <c r="T1170" t="s">
        <v>42133</v>
      </c>
      <c r="U1170" t="s">
        <v>43658</v>
      </c>
      <c r="W1170" t="s">
        <v>37568</v>
      </c>
      <c r="X1170" t="s">
        <v>40439</v>
      </c>
    </row>
    <row r="1171" spans="1:24">
      <c r="A1171">
        <f>HYPERLINK("https://www.philgeps.gov.ph/GEPSNONPILOT/Tender/SplashBidNoticeAbstractUI.aspx?menuIndex=3&amp;refID=7048319&amp;Result=3","7048319")</f>
        <v>0</v>
      </c>
      <c r="B1171" t="s">
        <v>285</v>
      </c>
      <c r="C1171" t="s">
        <v>4232</v>
      </c>
      <c r="D1171" t="s">
        <v>16203</v>
      </c>
      <c r="E1171" t="s">
        <v>17392</v>
      </c>
      <c r="F1171" t="s">
        <v>28198</v>
      </c>
      <c r="G1171" t="s">
        <v>28207</v>
      </c>
      <c r="H1171" t="s">
        <v>28215</v>
      </c>
      <c r="I1171" t="s">
        <v>28224</v>
      </c>
      <c r="J1171" t="s">
        <v>29212</v>
      </c>
      <c r="K1171" t="s">
        <v>36701</v>
      </c>
      <c r="M1171" t="s">
        <v>37569</v>
      </c>
      <c r="N1171" t="s">
        <v>40436</v>
      </c>
      <c r="O1171" t="s">
        <v>40437</v>
      </c>
      <c r="P1171">
        <v>0</v>
      </c>
      <c r="Q1171">
        <v>0</v>
      </c>
      <c r="R1171" t="s">
        <v>40438</v>
      </c>
      <c r="S1171" t="s">
        <v>40582</v>
      </c>
      <c r="T1171" t="s">
        <v>42102</v>
      </c>
      <c r="U1171" t="s">
        <v>43659</v>
      </c>
      <c r="W1171" t="s">
        <v>37569</v>
      </c>
      <c r="X1171" t="s">
        <v>40439</v>
      </c>
    </row>
    <row r="1172" spans="1:24">
      <c r="A1172">
        <f>HYPERLINK("https://www.philgeps.gov.ph/GEPSNONPILOT/Tender/SplashBidNoticeAbstractUI.aspx?menuIndex=3&amp;refID=7048314&amp;Result=3","7048314")</f>
        <v>0</v>
      </c>
      <c r="B1172" t="s">
        <v>569</v>
      </c>
      <c r="C1172" t="s">
        <v>4233</v>
      </c>
      <c r="D1172" t="s">
        <v>16209</v>
      </c>
      <c r="E1172" t="s">
        <v>17393</v>
      </c>
      <c r="F1172" t="s">
        <v>28198</v>
      </c>
      <c r="G1172" t="s">
        <v>28205</v>
      </c>
      <c r="H1172" t="s">
        <v>28215</v>
      </c>
      <c r="I1172" t="s">
        <v>4200</v>
      </c>
      <c r="J1172" t="s">
        <v>28379</v>
      </c>
      <c r="K1172" t="s">
        <v>36706</v>
      </c>
      <c r="M1172" t="s">
        <v>37557</v>
      </c>
      <c r="N1172" t="s">
        <v>40436</v>
      </c>
      <c r="O1172" t="s">
        <v>40437</v>
      </c>
      <c r="P1172">
        <v>0</v>
      </c>
      <c r="Q1172">
        <v>0</v>
      </c>
      <c r="R1172" t="s">
        <v>40438</v>
      </c>
      <c r="S1172" t="s">
        <v>40582</v>
      </c>
      <c r="T1172" t="s">
        <v>42108</v>
      </c>
      <c r="U1172" t="s">
        <v>43660</v>
      </c>
      <c r="V1172" t="s">
        <v>53923</v>
      </c>
      <c r="W1172" t="s">
        <v>37557</v>
      </c>
      <c r="X1172" t="s">
        <v>40439</v>
      </c>
    </row>
    <row r="1173" spans="1:24">
      <c r="A1173">
        <f>HYPERLINK("https://www.philgeps.gov.ph/GEPSNONPILOT/Tender/SplashBidNoticeAbstractUI.aspx?menuIndex=3&amp;refID=7048317&amp;Result=3","7048317")</f>
        <v>0</v>
      </c>
      <c r="B1173" t="s">
        <v>580</v>
      </c>
      <c r="C1173" t="s">
        <v>4234</v>
      </c>
      <c r="D1173" t="s">
        <v>16214</v>
      </c>
      <c r="E1173" t="s">
        <v>17394</v>
      </c>
      <c r="F1173" t="s">
        <v>28198</v>
      </c>
      <c r="G1173" t="s">
        <v>28205</v>
      </c>
      <c r="H1173" t="s">
        <v>28215</v>
      </c>
      <c r="I1173" t="s">
        <v>28222</v>
      </c>
      <c r="J1173" t="s">
        <v>28464</v>
      </c>
      <c r="K1173" t="s">
        <v>36701</v>
      </c>
      <c r="M1173" t="s">
        <v>37570</v>
      </c>
      <c r="N1173" t="s">
        <v>40436</v>
      </c>
      <c r="O1173" t="s">
        <v>40437</v>
      </c>
      <c r="P1173">
        <v>0</v>
      </c>
      <c r="Q1173">
        <v>4</v>
      </c>
      <c r="R1173" t="s">
        <v>40438</v>
      </c>
      <c r="S1173" t="s">
        <v>40582</v>
      </c>
      <c r="T1173" t="s">
        <v>42220</v>
      </c>
      <c r="U1173" t="s">
        <v>43661</v>
      </c>
      <c r="W1173" t="s">
        <v>37570</v>
      </c>
      <c r="X1173" t="s">
        <v>40439</v>
      </c>
    </row>
    <row r="1174" spans="1:24">
      <c r="A1174">
        <f>HYPERLINK("https://www.philgeps.gov.ph/GEPSNONPILOT/Tender/SplashBidNoticeAbstractUI.aspx?menuIndex=3&amp;refID=7048315&amp;Result=3","7048315")</f>
        <v>0</v>
      </c>
      <c r="B1174" t="s">
        <v>581</v>
      </c>
      <c r="C1174" t="s">
        <v>4235</v>
      </c>
      <c r="E1174" t="s">
        <v>17395</v>
      </c>
      <c r="F1174" t="s">
        <v>28198</v>
      </c>
      <c r="G1174" t="s">
        <v>28205</v>
      </c>
      <c r="H1174" t="s">
        <v>28217</v>
      </c>
      <c r="I1174" t="s">
        <v>28292</v>
      </c>
      <c r="J1174" t="s">
        <v>29213</v>
      </c>
      <c r="K1174" t="s">
        <v>36744</v>
      </c>
      <c r="M1174" t="s">
        <v>37571</v>
      </c>
      <c r="N1174" t="s">
        <v>40436</v>
      </c>
      <c r="O1174" t="s">
        <v>40437</v>
      </c>
      <c r="P1174">
        <v>0</v>
      </c>
      <c r="Q1174">
        <v>0</v>
      </c>
      <c r="R1174" t="s">
        <v>40438</v>
      </c>
      <c r="S1174" t="s">
        <v>40582</v>
      </c>
      <c r="T1174" t="s">
        <v>42108</v>
      </c>
      <c r="U1174" t="s">
        <v>43662</v>
      </c>
      <c r="V1174" t="s">
        <v>53925</v>
      </c>
      <c r="W1174" t="s">
        <v>37571</v>
      </c>
      <c r="X1174" t="s">
        <v>40439</v>
      </c>
    </row>
    <row r="1175" spans="1:24">
      <c r="A1175">
        <f>HYPERLINK("https://www.philgeps.gov.ph/GEPSNONPILOT/Tender/SplashBidNoticeAbstractUI.aspx?menuIndex=3&amp;refID=7048328&amp;Result=3","7048328")</f>
        <v>0</v>
      </c>
      <c r="B1175" t="s">
        <v>582</v>
      </c>
      <c r="C1175" t="s">
        <v>4236</v>
      </c>
      <c r="D1175" t="s">
        <v>16199</v>
      </c>
      <c r="E1175" t="s">
        <v>17396</v>
      </c>
      <c r="F1175" t="s">
        <v>28198</v>
      </c>
      <c r="G1175" t="s">
        <v>28206</v>
      </c>
      <c r="H1175" t="s">
        <v>28215</v>
      </c>
      <c r="I1175" t="s">
        <v>4168</v>
      </c>
      <c r="J1175" t="s">
        <v>28345</v>
      </c>
      <c r="K1175" t="s">
        <v>36707</v>
      </c>
      <c r="M1175" t="s">
        <v>37572</v>
      </c>
      <c r="N1175" t="s">
        <v>40436</v>
      </c>
      <c r="O1175" t="s">
        <v>40437</v>
      </c>
      <c r="P1175">
        <v>0</v>
      </c>
      <c r="Q1175">
        <v>0</v>
      </c>
      <c r="R1175" t="s">
        <v>40438</v>
      </c>
      <c r="S1175" t="s">
        <v>40582</v>
      </c>
      <c r="T1175" t="s">
        <v>42124</v>
      </c>
      <c r="U1175" t="s">
        <v>43663</v>
      </c>
      <c r="W1175" t="s">
        <v>37572</v>
      </c>
      <c r="X1175" t="s">
        <v>40439</v>
      </c>
    </row>
    <row r="1176" spans="1:24">
      <c r="A1176">
        <f>HYPERLINK("https://www.philgeps.gov.ph/GEPSNONPILOT/Tender/SplashBidNoticeAbstractUI.aspx?menuIndex=3&amp;refID=7048326&amp;Result=3","7048326")</f>
        <v>0</v>
      </c>
      <c r="B1176" t="s">
        <v>386</v>
      </c>
      <c r="C1176" t="s">
        <v>4237</v>
      </c>
      <c r="D1176" t="s">
        <v>16259</v>
      </c>
      <c r="E1176" t="s">
        <v>17397</v>
      </c>
      <c r="F1176" t="s">
        <v>28198</v>
      </c>
      <c r="G1176" t="s">
        <v>28205</v>
      </c>
      <c r="H1176" t="s">
        <v>28215</v>
      </c>
      <c r="I1176" t="s">
        <v>28227</v>
      </c>
      <c r="J1176" t="s">
        <v>29214</v>
      </c>
      <c r="K1176" t="s">
        <v>36688</v>
      </c>
      <c r="M1176" t="s">
        <v>37366</v>
      </c>
      <c r="N1176" t="s">
        <v>40436</v>
      </c>
      <c r="O1176" t="s">
        <v>40437</v>
      </c>
      <c r="P1176">
        <v>0</v>
      </c>
      <c r="Q1176">
        <v>0</v>
      </c>
      <c r="R1176" t="s">
        <v>40438</v>
      </c>
      <c r="S1176" t="s">
        <v>40582</v>
      </c>
      <c r="T1176" t="s">
        <v>42123</v>
      </c>
      <c r="U1176" t="s">
        <v>43270</v>
      </c>
      <c r="V1176" t="s">
        <v>53872</v>
      </c>
      <c r="W1176" t="s">
        <v>37366</v>
      </c>
      <c r="X1176" t="s">
        <v>40439</v>
      </c>
    </row>
    <row r="1177" spans="1:24">
      <c r="A1177">
        <f>HYPERLINK("https://www.philgeps.gov.ph/GEPSNONPILOT/Tender/SplashBidNoticeAbstractUI.aspx?menuIndex=3&amp;refID=7048307&amp;Result=3","7048307")</f>
        <v>0</v>
      </c>
      <c r="B1177" t="s">
        <v>501</v>
      </c>
      <c r="C1177" t="s">
        <v>4238</v>
      </c>
      <c r="D1177" t="s">
        <v>16210</v>
      </c>
      <c r="E1177" t="s">
        <v>17398</v>
      </c>
      <c r="F1177" t="s">
        <v>28198</v>
      </c>
      <c r="G1177" t="s">
        <v>28207</v>
      </c>
      <c r="H1177" t="s">
        <v>28215</v>
      </c>
      <c r="I1177" t="s">
        <v>4200</v>
      </c>
      <c r="J1177" t="s">
        <v>29215</v>
      </c>
      <c r="K1177" t="s">
        <v>36688</v>
      </c>
      <c r="M1177" t="s">
        <v>37486</v>
      </c>
      <c r="N1177" t="s">
        <v>40436</v>
      </c>
      <c r="O1177" t="s">
        <v>40437</v>
      </c>
      <c r="P1177">
        <v>0</v>
      </c>
      <c r="Q1177">
        <v>0</v>
      </c>
      <c r="R1177" t="s">
        <v>40438</v>
      </c>
      <c r="S1177" t="s">
        <v>40582</v>
      </c>
      <c r="T1177" t="s">
        <v>42188</v>
      </c>
      <c r="U1177" t="s">
        <v>43664</v>
      </c>
      <c r="W1177" t="s">
        <v>37486</v>
      </c>
      <c r="X1177" t="s">
        <v>40439</v>
      </c>
    </row>
    <row r="1178" spans="1:24">
      <c r="A1178">
        <f>HYPERLINK("https://www.philgeps.gov.ph/GEPSNONPILOT/Tender/SplashBidNoticeAbstractUI.aspx?menuIndex=3&amp;refID=7048311&amp;Result=3","7048311")</f>
        <v>0</v>
      </c>
      <c r="B1178" t="s">
        <v>583</v>
      </c>
      <c r="C1178" t="s">
        <v>4239</v>
      </c>
      <c r="D1178" t="s">
        <v>16235</v>
      </c>
      <c r="E1178" t="s">
        <v>17399</v>
      </c>
      <c r="F1178" t="s">
        <v>28198</v>
      </c>
      <c r="G1178" t="s">
        <v>28207</v>
      </c>
      <c r="H1178" t="s">
        <v>28215</v>
      </c>
      <c r="I1178" t="s">
        <v>28243</v>
      </c>
      <c r="J1178" t="s">
        <v>28829</v>
      </c>
      <c r="K1178" t="s">
        <v>36701</v>
      </c>
      <c r="M1178" t="s">
        <v>37573</v>
      </c>
      <c r="N1178" t="s">
        <v>40436</v>
      </c>
      <c r="O1178" t="s">
        <v>40437</v>
      </c>
      <c r="P1178">
        <v>0</v>
      </c>
      <c r="Q1178">
        <v>4</v>
      </c>
      <c r="R1178" t="s">
        <v>40438</v>
      </c>
      <c r="S1178" t="s">
        <v>40582</v>
      </c>
      <c r="T1178" t="s">
        <v>42160</v>
      </c>
      <c r="U1178" t="s">
        <v>43665</v>
      </c>
      <c r="V1178" t="s">
        <v>53926</v>
      </c>
      <c r="W1178" t="s">
        <v>37573</v>
      </c>
      <c r="X1178" t="s">
        <v>40439</v>
      </c>
    </row>
    <row r="1179" spans="1:24">
      <c r="A1179">
        <f>HYPERLINK("https://www.philgeps.gov.ph/GEPSNONPILOT/Tender/SplashBidNoticeAbstractUI.aspx?menuIndex=3&amp;refID=7048327&amp;Result=3","7048327")</f>
        <v>0</v>
      </c>
      <c r="B1179" t="s">
        <v>584</v>
      </c>
      <c r="C1179" t="s">
        <v>4240</v>
      </c>
      <c r="D1179" t="s">
        <v>16228</v>
      </c>
      <c r="E1179" t="s">
        <v>17400</v>
      </c>
      <c r="F1179" t="s">
        <v>28198</v>
      </c>
      <c r="G1179" t="s">
        <v>28207</v>
      </c>
      <c r="H1179" t="s">
        <v>28215</v>
      </c>
      <c r="I1179" t="s">
        <v>5100</v>
      </c>
      <c r="J1179" t="s">
        <v>29216</v>
      </c>
      <c r="K1179" t="s">
        <v>36691</v>
      </c>
      <c r="M1179" t="s">
        <v>37574</v>
      </c>
      <c r="N1179" t="s">
        <v>40436</v>
      </c>
      <c r="O1179" t="s">
        <v>40437</v>
      </c>
      <c r="P1179">
        <v>0</v>
      </c>
      <c r="Q1179">
        <v>0</v>
      </c>
      <c r="R1179" t="s">
        <v>40438</v>
      </c>
      <c r="S1179" t="s">
        <v>40582</v>
      </c>
      <c r="T1179" t="s">
        <v>42111</v>
      </c>
      <c r="U1179" t="s">
        <v>43666</v>
      </c>
      <c r="W1179" t="s">
        <v>37574</v>
      </c>
      <c r="X1179" t="s">
        <v>40439</v>
      </c>
    </row>
    <row r="1180" spans="1:24">
      <c r="A1180">
        <f>HYPERLINK("https://www.philgeps.gov.ph/GEPSNONPILOT/Tender/SplashBidNoticeAbstractUI.aspx?menuIndex=3&amp;refID=7048329&amp;Result=3","7048329")</f>
        <v>0</v>
      </c>
      <c r="B1180" t="s">
        <v>585</v>
      </c>
      <c r="C1180" t="s">
        <v>4241</v>
      </c>
      <c r="E1180" t="s">
        <v>17401</v>
      </c>
      <c r="F1180" t="s">
        <v>28198</v>
      </c>
      <c r="G1180" t="s">
        <v>28207</v>
      </c>
      <c r="H1180" t="s">
        <v>28214</v>
      </c>
      <c r="I1180" t="s">
        <v>5100</v>
      </c>
      <c r="J1180" t="s">
        <v>29172</v>
      </c>
      <c r="K1180" t="s">
        <v>36698</v>
      </c>
      <c r="N1180" t="s">
        <v>40436</v>
      </c>
      <c r="O1180" t="s">
        <v>40437</v>
      </c>
      <c r="P1180">
        <v>0</v>
      </c>
      <c r="Q1180">
        <v>0</v>
      </c>
      <c r="R1180" t="s">
        <v>40438</v>
      </c>
      <c r="S1180" t="s">
        <v>40582</v>
      </c>
      <c r="T1180" t="s">
        <v>42252</v>
      </c>
      <c r="U1180" t="s">
        <v>43667</v>
      </c>
      <c r="W1180" t="s">
        <v>37670</v>
      </c>
      <c r="X1180" t="s">
        <v>40439</v>
      </c>
    </row>
    <row r="1181" spans="1:24">
      <c r="A1181">
        <f>HYPERLINK("https://www.philgeps.gov.ph/GEPSNONPILOT/Tender/SplashBidNoticeAbstractUI.aspx?menuIndex=3&amp;refID=7048340&amp;Result=3","7048340")</f>
        <v>0</v>
      </c>
      <c r="B1181" t="s">
        <v>461</v>
      </c>
      <c r="C1181" t="s">
        <v>4242</v>
      </c>
      <c r="D1181" t="s">
        <v>16208</v>
      </c>
      <c r="E1181" t="s">
        <v>17402</v>
      </c>
      <c r="F1181" t="s">
        <v>28198</v>
      </c>
      <c r="G1181" t="s">
        <v>28206</v>
      </c>
      <c r="H1181" t="s">
        <v>28215</v>
      </c>
      <c r="I1181" t="s">
        <v>28224</v>
      </c>
      <c r="J1181" t="s">
        <v>28708</v>
      </c>
      <c r="K1181" t="s">
        <v>36689</v>
      </c>
      <c r="M1181" t="s">
        <v>37445</v>
      </c>
      <c r="N1181" t="s">
        <v>40436</v>
      </c>
      <c r="O1181" t="s">
        <v>40437</v>
      </c>
      <c r="P1181">
        <v>0</v>
      </c>
      <c r="Q1181">
        <v>0</v>
      </c>
      <c r="R1181" t="s">
        <v>40438</v>
      </c>
      <c r="S1181" t="s">
        <v>40582</v>
      </c>
      <c r="T1181" t="s">
        <v>42119</v>
      </c>
      <c r="U1181" t="s">
        <v>43668</v>
      </c>
      <c r="W1181" t="s">
        <v>37445</v>
      </c>
      <c r="X1181" t="s">
        <v>40439</v>
      </c>
    </row>
    <row r="1182" spans="1:24">
      <c r="A1182">
        <f>HYPERLINK("https://www.philgeps.gov.ph/GEPSNONPILOT/Tender/SplashBidNoticeAbstractUI.aspx?menuIndex=3&amp;refID=7048309&amp;Result=3","7048309")</f>
        <v>0</v>
      </c>
      <c r="B1182" t="s">
        <v>586</v>
      </c>
      <c r="C1182" t="s">
        <v>4243</v>
      </c>
      <c r="D1182" t="s">
        <v>16194</v>
      </c>
      <c r="E1182" t="s">
        <v>17403</v>
      </c>
      <c r="F1182" t="s">
        <v>28198</v>
      </c>
      <c r="G1182" t="s">
        <v>28207</v>
      </c>
      <c r="H1182" t="s">
        <v>28215</v>
      </c>
      <c r="I1182" t="s">
        <v>5100</v>
      </c>
      <c r="J1182" t="s">
        <v>29217</v>
      </c>
      <c r="K1182" t="s">
        <v>36701</v>
      </c>
      <c r="M1182" t="s">
        <v>37575</v>
      </c>
      <c r="N1182" t="s">
        <v>40436</v>
      </c>
      <c r="O1182" t="s">
        <v>40437</v>
      </c>
      <c r="P1182">
        <v>0</v>
      </c>
      <c r="Q1182">
        <v>2</v>
      </c>
      <c r="R1182" t="s">
        <v>40438</v>
      </c>
      <c r="S1182" t="s">
        <v>40582</v>
      </c>
      <c r="T1182" t="s">
        <v>42176</v>
      </c>
      <c r="U1182" t="s">
        <v>43669</v>
      </c>
      <c r="W1182" t="s">
        <v>37575</v>
      </c>
      <c r="X1182" t="s">
        <v>40439</v>
      </c>
    </row>
    <row r="1183" spans="1:24">
      <c r="A1183">
        <f>HYPERLINK("https://www.philgeps.gov.ph/GEPSNONPILOT/Tender/SplashBidNoticeAbstractUI.aspx?menuIndex=3&amp;refID=7048306&amp;Result=3","7048306")</f>
        <v>0</v>
      </c>
      <c r="B1183" t="s">
        <v>587</v>
      </c>
      <c r="C1183" t="s">
        <v>4244</v>
      </c>
      <c r="D1183" t="s">
        <v>16230</v>
      </c>
      <c r="E1183" t="s">
        <v>17404</v>
      </c>
      <c r="F1183" t="s">
        <v>28198</v>
      </c>
      <c r="G1183" t="s">
        <v>28205</v>
      </c>
      <c r="H1183" t="s">
        <v>28214</v>
      </c>
      <c r="I1183" t="s">
        <v>3797</v>
      </c>
      <c r="J1183" t="s">
        <v>29218</v>
      </c>
      <c r="K1183" t="s">
        <v>36745</v>
      </c>
      <c r="M1183" t="s">
        <v>37576</v>
      </c>
      <c r="N1183" t="s">
        <v>40436</v>
      </c>
      <c r="O1183" t="s">
        <v>40437</v>
      </c>
      <c r="P1183">
        <v>0</v>
      </c>
      <c r="Q1183">
        <v>0</v>
      </c>
      <c r="R1183" t="s">
        <v>40438</v>
      </c>
      <c r="S1183" t="s">
        <v>40582</v>
      </c>
      <c r="T1183" t="s">
        <v>42220</v>
      </c>
      <c r="U1183" t="s">
        <v>43670</v>
      </c>
      <c r="W1183" t="s">
        <v>37576</v>
      </c>
      <c r="X1183" t="s">
        <v>40439</v>
      </c>
    </row>
    <row r="1184" spans="1:24">
      <c r="A1184">
        <f>HYPERLINK("https://www.philgeps.gov.ph/GEPSNONPILOT/Tender/SplashBidNoticeAbstractUI.aspx?menuIndex=3&amp;refID=7048337&amp;Result=3","7048337")</f>
        <v>0</v>
      </c>
      <c r="B1184" t="s">
        <v>588</v>
      </c>
      <c r="C1184" t="s">
        <v>4245</v>
      </c>
      <c r="D1184" t="s">
        <v>16197</v>
      </c>
      <c r="E1184" t="s">
        <v>17405</v>
      </c>
      <c r="F1184" t="s">
        <v>28198</v>
      </c>
      <c r="G1184" t="s">
        <v>28205</v>
      </c>
      <c r="H1184" t="s">
        <v>28215</v>
      </c>
      <c r="I1184" t="s">
        <v>28262</v>
      </c>
      <c r="J1184" t="s">
        <v>28494</v>
      </c>
      <c r="K1184" t="s">
        <v>36707</v>
      </c>
      <c r="M1184" t="s">
        <v>37577</v>
      </c>
      <c r="N1184" t="s">
        <v>40436</v>
      </c>
      <c r="O1184" t="s">
        <v>40437</v>
      </c>
      <c r="P1184">
        <v>0</v>
      </c>
      <c r="Q1184">
        <v>0</v>
      </c>
      <c r="R1184" t="s">
        <v>40438</v>
      </c>
      <c r="S1184" t="s">
        <v>40582</v>
      </c>
      <c r="T1184" t="s">
        <v>42213</v>
      </c>
      <c r="U1184" t="s">
        <v>43671</v>
      </c>
      <c r="W1184" t="s">
        <v>37577</v>
      </c>
      <c r="X1184" t="s">
        <v>40439</v>
      </c>
    </row>
    <row r="1185" spans="1:24">
      <c r="A1185">
        <f>HYPERLINK("https://www.philgeps.gov.ph/GEPSNONPILOT/Tender/SplashBidNoticeAbstractUI.aspx?menuIndex=3&amp;refID=7048343&amp;Result=3","7048343")</f>
        <v>0</v>
      </c>
      <c r="B1185" t="s">
        <v>589</v>
      </c>
      <c r="C1185" t="s">
        <v>4246</v>
      </c>
      <c r="D1185" t="s">
        <v>16199</v>
      </c>
      <c r="E1185" t="s">
        <v>17406</v>
      </c>
      <c r="F1185" t="s">
        <v>28198</v>
      </c>
      <c r="G1185" t="s">
        <v>28205</v>
      </c>
      <c r="H1185" t="s">
        <v>28215</v>
      </c>
      <c r="I1185" t="s">
        <v>28225</v>
      </c>
      <c r="J1185" t="s">
        <v>28645</v>
      </c>
      <c r="K1185" t="s">
        <v>36701</v>
      </c>
      <c r="M1185" t="s">
        <v>37578</v>
      </c>
      <c r="N1185" t="s">
        <v>40436</v>
      </c>
      <c r="O1185" t="s">
        <v>40437</v>
      </c>
      <c r="P1185">
        <v>0</v>
      </c>
      <c r="Q1185">
        <v>0</v>
      </c>
      <c r="R1185" t="s">
        <v>40438</v>
      </c>
      <c r="S1185" t="s">
        <v>40582</v>
      </c>
      <c r="T1185" t="s">
        <v>42144</v>
      </c>
      <c r="U1185" t="s">
        <v>43672</v>
      </c>
      <c r="V1185" t="s">
        <v>53927</v>
      </c>
      <c r="W1185" t="s">
        <v>37578</v>
      </c>
      <c r="X1185" t="s">
        <v>40439</v>
      </c>
    </row>
    <row r="1186" spans="1:24">
      <c r="A1186">
        <f>HYPERLINK("https://www.philgeps.gov.ph/GEPSNONPILOT/Tender/SplashBidNoticeAbstractUI.aspx?menuIndex=3&amp;refID=7048334&amp;Result=3","7048334")</f>
        <v>0</v>
      </c>
      <c r="B1186" t="s">
        <v>590</v>
      </c>
      <c r="C1186" t="s">
        <v>4247</v>
      </c>
      <c r="E1186" t="s">
        <v>17407</v>
      </c>
      <c r="F1186" t="s">
        <v>28198</v>
      </c>
      <c r="G1186" t="s">
        <v>28207</v>
      </c>
      <c r="H1186" t="s">
        <v>28217</v>
      </c>
      <c r="I1186" t="s">
        <v>28274</v>
      </c>
      <c r="J1186" t="s">
        <v>29219</v>
      </c>
      <c r="K1186" t="s">
        <v>36715</v>
      </c>
      <c r="M1186" t="s">
        <v>37579</v>
      </c>
      <c r="N1186" t="s">
        <v>40436</v>
      </c>
      <c r="O1186" t="s">
        <v>40437</v>
      </c>
      <c r="P1186">
        <v>0</v>
      </c>
      <c r="Q1186">
        <v>1</v>
      </c>
      <c r="R1186" t="s">
        <v>40438</v>
      </c>
      <c r="S1186" t="s">
        <v>40582</v>
      </c>
      <c r="T1186" t="s">
        <v>42124</v>
      </c>
      <c r="U1186" t="s">
        <v>43673</v>
      </c>
      <c r="W1186" t="s">
        <v>37579</v>
      </c>
      <c r="X1186" t="s">
        <v>40439</v>
      </c>
    </row>
    <row r="1187" spans="1:24">
      <c r="A1187">
        <f>HYPERLINK("https://www.philgeps.gov.ph/GEPSNONPILOT/Tender/SplashBidNoticeAbstractUI.aspx?menuIndex=3&amp;refID=7048344&amp;Result=3","7048344")</f>
        <v>0</v>
      </c>
      <c r="B1187" t="s">
        <v>591</v>
      </c>
      <c r="C1187" t="s">
        <v>4248</v>
      </c>
      <c r="D1187" t="s">
        <v>16228</v>
      </c>
      <c r="E1187" t="s">
        <v>17408</v>
      </c>
      <c r="F1187" t="s">
        <v>28198</v>
      </c>
      <c r="G1187" t="s">
        <v>28207</v>
      </c>
      <c r="H1187" t="s">
        <v>28215</v>
      </c>
      <c r="I1187" t="s">
        <v>28258</v>
      </c>
      <c r="J1187" t="s">
        <v>29220</v>
      </c>
      <c r="K1187" t="s">
        <v>36689</v>
      </c>
      <c r="M1187" t="s">
        <v>37580</v>
      </c>
      <c r="N1187" t="s">
        <v>40436</v>
      </c>
      <c r="O1187" t="s">
        <v>40437</v>
      </c>
      <c r="P1187">
        <v>0</v>
      </c>
      <c r="Q1187">
        <v>3</v>
      </c>
      <c r="R1187" t="s">
        <v>40438</v>
      </c>
      <c r="S1187" t="s">
        <v>40582</v>
      </c>
      <c r="T1187" t="s">
        <v>42103</v>
      </c>
      <c r="U1187" t="s">
        <v>43674</v>
      </c>
      <c r="W1187" t="s">
        <v>37580</v>
      </c>
      <c r="X1187" t="s">
        <v>40439</v>
      </c>
    </row>
    <row r="1188" spans="1:24">
      <c r="A1188">
        <f>HYPERLINK("https://www.philgeps.gov.ph/GEPSNONPILOT/Tender/SplashBidNoticeAbstractUI.aspx?menuIndex=3&amp;refID=7048339&amp;Result=3","7048339")</f>
        <v>0</v>
      </c>
      <c r="B1188" t="s">
        <v>592</v>
      </c>
      <c r="C1188" t="s">
        <v>4249</v>
      </c>
      <c r="D1188" t="s">
        <v>16192</v>
      </c>
      <c r="E1188" t="s">
        <v>17409</v>
      </c>
      <c r="F1188" t="s">
        <v>28198</v>
      </c>
      <c r="G1188" t="s">
        <v>28207</v>
      </c>
      <c r="H1188" t="s">
        <v>28215</v>
      </c>
      <c r="I1188" t="s">
        <v>4168</v>
      </c>
      <c r="J1188" t="s">
        <v>28350</v>
      </c>
      <c r="K1188" t="s">
        <v>36707</v>
      </c>
      <c r="M1188" t="s">
        <v>37581</v>
      </c>
      <c r="N1188" t="s">
        <v>40436</v>
      </c>
      <c r="O1188" t="s">
        <v>40437</v>
      </c>
      <c r="P1188">
        <v>0</v>
      </c>
      <c r="Q1188">
        <v>0</v>
      </c>
      <c r="R1188" t="s">
        <v>40438</v>
      </c>
      <c r="S1188" t="s">
        <v>40582</v>
      </c>
      <c r="T1188" t="s">
        <v>42111</v>
      </c>
      <c r="U1188" t="s">
        <v>43675</v>
      </c>
      <c r="W1188" t="s">
        <v>37581</v>
      </c>
      <c r="X1188" t="s">
        <v>40439</v>
      </c>
    </row>
    <row r="1189" spans="1:24">
      <c r="A1189">
        <f>HYPERLINK("https://www.philgeps.gov.ph/GEPSNONPILOT/Tender/SplashBidNoticeAbstractUI.aspx?menuIndex=3&amp;refID=7048333&amp;Result=3","7048333")</f>
        <v>0</v>
      </c>
      <c r="B1189" t="s">
        <v>593</v>
      </c>
      <c r="C1189" t="s">
        <v>4250</v>
      </c>
      <c r="D1189" t="s">
        <v>16187</v>
      </c>
      <c r="E1189" t="s">
        <v>17410</v>
      </c>
      <c r="F1189" t="s">
        <v>28198</v>
      </c>
      <c r="G1189" t="s">
        <v>28205</v>
      </c>
      <c r="H1189" t="s">
        <v>28215</v>
      </c>
      <c r="I1189" t="s">
        <v>28284</v>
      </c>
      <c r="J1189" t="s">
        <v>29221</v>
      </c>
      <c r="K1189" t="s">
        <v>36701</v>
      </c>
      <c r="M1189" t="s">
        <v>37582</v>
      </c>
      <c r="N1189" t="s">
        <v>40436</v>
      </c>
      <c r="O1189" t="s">
        <v>40437</v>
      </c>
      <c r="P1189">
        <v>0</v>
      </c>
      <c r="Q1189">
        <v>2</v>
      </c>
      <c r="R1189" t="s">
        <v>40438</v>
      </c>
      <c r="S1189" t="s">
        <v>40582</v>
      </c>
      <c r="T1189" t="s">
        <v>42125</v>
      </c>
      <c r="U1189" t="s">
        <v>43676</v>
      </c>
      <c r="V1189" t="s">
        <v>53928</v>
      </c>
      <c r="W1189" t="s">
        <v>37582</v>
      </c>
      <c r="X1189" t="s">
        <v>40439</v>
      </c>
    </row>
    <row r="1190" spans="1:24">
      <c r="A1190">
        <f>HYPERLINK("https://www.philgeps.gov.ph/GEPSNONPILOT/Tender/SplashBidNoticeAbstractUI.aspx?menuIndex=3&amp;refID=7048341&amp;Result=3","7048341")</f>
        <v>0</v>
      </c>
      <c r="B1190" t="s">
        <v>594</v>
      </c>
      <c r="C1190" t="s">
        <v>4251</v>
      </c>
      <c r="D1190" t="s">
        <v>16195</v>
      </c>
      <c r="E1190" t="s">
        <v>17411</v>
      </c>
      <c r="F1190" t="s">
        <v>28198</v>
      </c>
      <c r="G1190" t="s">
        <v>28210</v>
      </c>
      <c r="H1190" t="s">
        <v>28215</v>
      </c>
      <c r="I1190" t="s">
        <v>4219</v>
      </c>
      <c r="J1190" t="s">
        <v>29222</v>
      </c>
      <c r="K1190" t="s">
        <v>36693</v>
      </c>
      <c r="M1190" t="s">
        <v>37583</v>
      </c>
      <c r="N1190" t="s">
        <v>40436</v>
      </c>
      <c r="O1190" t="s">
        <v>40437</v>
      </c>
      <c r="P1190">
        <v>0</v>
      </c>
      <c r="Q1190">
        <v>4</v>
      </c>
      <c r="R1190" t="s">
        <v>40438</v>
      </c>
      <c r="S1190" t="s">
        <v>40582</v>
      </c>
      <c r="T1190" t="s">
        <v>42124</v>
      </c>
      <c r="U1190" t="s">
        <v>43677</v>
      </c>
      <c r="W1190" t="s">
        <v>37583</v>
      </c>
      <c r="X1190" t="s">
        <v>40439</v>
      </c>
    </row>
    <row r="1191" spans="1:24">
      <c r="A1191">
        <f>HYPERLINK("https://www.philgeps.gov.ph/GEPSNONPILOT/Tender/SplashBidNoticeAbstractUI.aspx?menuIndex=3&amp;refID=7048335&amp;Result=3","7048335")</f>
        <v>0</v>
      </c>
      <c r="B1191" t="s">
        <v>502</v>
      </c>
      <c r="C1191" t="s">
        <v>4252</v>
      </c>
      <c r="D1191" t="s">
        <v>16196</v>
      </c>
      <c r="E1191" t="s">
        <v>17412</v>
      </c>
      <c r="F1191" t="s">
        <v>28198</v>
      </c>
      <c r="G1191" t="s">
        <v>28206</v>
      </c>
      <c r="H1191" t="s">
        <v>28215</v>
      </c>
      <c r="I1191" t="s">
        <v>3774</v>
      </c>
      <c r="J1191" t="s">
        <v>28430</v>
      </c>
      <c r="K1191" t="s">
        <v>36707</v>
      </c>
      <c r="M1191" t="s">
        <v>37487</v>
      </c>
      <c r="N1191" t="s">
        <v>40436</v>
      </c>
      <c r="O1191" t="s">
        <v>40437</v>
      </c>
      <c r="P1191">
        <v>0</v>
      </c>
      <c r="Q1191">
        <v>1</v>
      </c>
      <c r="R1191" t="s">
        <v>40438</v>
      </c>
      <c r="S1191" t="s">
        <v>40582</v>
      </c>
      <c r="T1191" t="s">
        <v>42152</v>
      </c>
      <c r="U1191" t="s">
        <v>43678</v>
      </c>
      <c r="W1191" t="s">
        <v>37487</v>
      </c>
      <c r="X1191" t="s">
        <v>40439</v>
      </c>
    </row>
    <row r="1192" spans="1:24">
      <c r="A1192">
        <f>HYPERLINK("https://www.philgeps.gov.ph/GEPSNONPILOT/Tender/SplashBidNoticeAbstractUI.aspx?menuIndex=3&amp;refID=7048336&amp;Result=3","7048336")</f>
        <v>0</v>
      </c>
      <c r="B1192" t="s">
        <v>595</v>
      </c>
      <c r="C1192" t="s">
        <v>4253</v>
      </c>
      <c r="D1192" t="s">
        <v>16190</v>
      </c>
      <c r="E1192" t="s">
        <v>17413</v>
      </c>
      <c r="F1192" t="s">
        <v>28198</v>
      </c>
      <c r="G1192" t="s">
        <v>28207</v>
      </c>
      <c r="H1192" t="s">
        <v>28215</v>
      </c>
      <c r="I1192" t="s">
        <v>4200</v>
      </c>
      <c r="J1192" t="s">
        <v>29223</v>
      </c>
      <c r="K1192" t="s">
        <v>36707</v>
      </c>
      <c r="M1192" t="s">
        <v>37584</v>
      </c>
      <c r="N1192" t="s">
        <v>40436</v>
      </c>
      <c r="O1192" t="s">
        <v>40437</v>
      </c>
      <c r="P1192">
        <v>0</v>
      </c>
      <c r="Q1192">
        <v>1</v>
      </c>
      <c r="R1192" t="s">
        <v>40438</v>
      </c>
      <c r="S1192" t="s">
        <v>40582</v>
      </c>
      <c r="T1192" t="s">
        <v>42116</v>
      </c>
      <c r="U1192" t="s">
        <v>43679</v>
      </c>
      <c r="W1192" t="s">
        <v>37584</v>
      </c>
      <c r="X1192" t="s">
        <v>40439</v>
      </c>
    </row>
    <row r="1193" spans="1:24">
      <c r="A1193">
        <f>HYPERLINK("https://www.philgeps.gov.ph/GEPSNONPILOT/Tender/SplashBidNoticeAbstractUI.aspx?menuIndex=3&amp;refID=7048332&amp;Result=3","7048332")</f>
        <v>0</v>
      </c>
      <c r="B1193" t="s">
        <v>596</v>
      </c>
      <c r="C1193" t="s">
        <v>4254</v>
      </c>
      <c r="D1193" t="s">
        <v>16223</v>
      </c>
      <c r="E1193" t="s">
        <v>17414</v>
      </c>
      <c r="F1193" t="s">
        <v>28198</v>
      </c>
      <c r="G1193" t="s">
        <v>28205</v>
      </c>
      <c r="H1193" t="s">
        <v>28214</v>
      </c>
      <c r="I1193" t="s">
        <v>3797</v>
      </c>
      <c r="J1193" t="s">
        <v>29224</v>
      </c>
      <c r="K1193" t="s">
        <v>36746</v>
      </c>
      <c r="M1193" t="s">
        <v>37585</v>
      </c>
      <c r="N1193" t="s">
        <v>40436</v>
      </c>
      <c r="O1193" t="s">
        <v>40437</v>
      </c>
      <c r="P1193">
        <v>0</v>
      </c>
      <c r="Q1193">
        <v>0</v>
      </c>
      <c r="R1193" t="s">
        <v>40438</v>
      </c>
      <c r="S1193" t="s">
        <v>40582</v>
      </c>
      <c r="T1193" t="s">
        <v>42248</v>
      </c>
      <c r="U1193" t="s">
        <v>43680</v>
      </c>
      <c r="W1193" t="s">
        <v>37585</v>
      </c>
      <c r="X1193" t="s">
        <v>40439</v>
      </c>
    </row>
    <row r="1194" spans="1:24">
      <c r="A1194">
        <f>HYPERLINK("https://www.philgeps.gov.ph/GEPSNONPILOT/Tender/SplashBidNoticeAbstractUI.aspx?menuIndex=3&amp;refID=7048350&amp;Result=3","7048350")</f>
        <v>0</v>
      </c>
      <c r="B1194" t="s">
        <v>597</v>
      </c>
      <c r="C1194" t="s">
        <v>4255</v>
      </c>
      <c r="D1194" t="s">
        <v>16238</v>
      </c>
      <c r="E1194" t="s">
        <v>17415</v>
      </c>
      <c r="F1194" t="s">
        <v>28198</v>
      </c>
      <c r="G1194" t="s">
        <v>28207</v>
      </c>
      <c r="H1194" t="s">
        <v>28215</v>
      </c>
      <c r="I1194" t="s">
        <v>28258</v>
      </c>
      <c r="J1194" t="s">
        <v>29225</v>
      </c>
      <c r="K1194" t="s">
        <v>36707</v>
      </c>
      <c r="M1194" t="s">
        <v>37586</v>
      </c>
      <c r="N1194" t="s">
        <v>40436</v>
      </c>
      <c r="O1194" t="s">
        <v>40437</v>
      </c>
      <c r="P1194">
        <v>0</v>
      </c>
      <c r="Q1194">
        <v>2</v>
      </c>
      <c r="R1194" t="s">
        <v>40438</v>
      </c>
      <c r="S1194" t="s">
        <v>40582</v>
      </c>
      <c r="T1194" t="s">
        <v>42103</v>
      </c>
      <c r="U1194" t="s">
        <v>43681</v>
      </c>
      <c r="V1194" t="s">
        <v>53929</v>
      </c>
      <c r="W1194" t="s">
        <v>37586</v>
      </c>
      <c r="X1194" t="s">
        <v>40439</v>
      </c>
    </row>
    <row r="1195" spans="1:24">
      <c r="A1195">
        <f>HYPERLINK("https://www.philgeps.gov.ph/GEPSNONPILOT/Tender/SplashBidNoticeAbstractUI.aspx?menuIndex=3&amp;refID=7048349&amp;Result=3","7048349")</f>
        <v>0</v>
      </c>
      <c r="B1195" t="s">
        <v>285</v>
      </c>
      <c r="C1195" t="s">
        <v>4256</v>
      </c>
      <c r="E1195" t="s">
        <v>17416</v>
      </c>
      <c r="F1195" t="s">
        <v>28198</v>
      </c>
      <c r="G1195" t="s">
        <v>28207</v>
      </c>
      <c r="H1195" t="s">
        <v>28215</v>
      </c>
      <c r="I1195" t="s">
        <v>3422</v>
      </c>
      <c r="J1195" t="s">
        <v>28708</v>
      </c>
      <c r="K1195" t="s">
        <v>36689</v>
      </c>
      <c r="M1195" t="s">
        <v>37262</v>
      </c>
      <c r="N1195" t="s">
        <v>40436</v>
      </c>
      <c r="O1195" t="s">
        <v>40437</v>
      </c>
      <c r="P1195">
        <v>0</v>
      </c>
      <c r="Q1195">
        <v>2</v>
      </c>
      <c r="R1195" t="s">
        <v>40438</v>
      </c>
      <c r="S1195" t="s">
        <v>40582</v>
      </c>
      <c r="T1195" t="s">
        <v>42102</v>
      </c>
      <c r="U1195" t="s">
        <v>43682</v>
      </c>
      <c r="W1195" t="s">
        <v>37262</v>
      </c>
      <c r="X1195" t="s">
        <v>40439</v>
      </c>
    </row>
    <row r="1196" spans="1:24">
      <c r="A1196">
        <f>HYPERLINK("https://www.philgeps.gov.ph/GEPSNONPILOT/Tender/SplashBidNoticeAbstractUI.aspx?menuIndex=3&amp;refID=7048346&amp;Result=3","7048346")</f>
        <v>0</v>
      </c>
      <c r="B1196" t="s">
        <v>598</v>
      </c>
      <c r="C1196" t="s">
        <v>4257</v>
      </c>
      <c r="D1196" t="s">
        <v>16196</v>
      </c>
      <c r="E1196" t="s">
        <v>17417</v>
      </c>
      <c r="F1196" t="s">
        <v>28198</v>
      </c>
      <c r="G1196" t="s">
        <v>28205</v>
      </c>
      <c r="H1196" t="s">
        <v>28215</v>
      </c>
      <c r="I1196" t="s">
        <v>28225</v>
      </c>
      <c r="J1196" t="s">
        <v>28430</v>
      </c>
      <c r="K1196" t="s">
        <v>36688</v>
      </c>
      <c r="M1196" t="s">
        <v>37587</v>
      </c>
      <c r="N1196" t="s">
        <v>40436</v>
      </c>
      <c r="O1196" t="s">
        <v>40437</v>
      </c>
      <c r="P1196">
        <v>0</v>
      </c>
      <c r="Q1196">
        <v>1</v>
      </c>
      <c r="R1196" t="s">
        <v>40438</v>
      </c>
      <c r="S1196" t="s">
        <v>40582</v>
      </c>
      <c r="T1196" t="s">
        <v>42130</v>
      </c>
      <c r="U1196" t="s">
        <v>43683</v>
      </c>
      <c r="W1196" t="s">
        <v>37587</v>
      </c>
      <c r="X1196" t="s">
        <v>40439</v>
      </c>
    </row>
    <row r="1197" spans="1:24">
      <c r="A1197">
        <f>HYPERLINK("https://www.philgeps.gov.ph/GEPSNONPILOT/Tender/SplashBidNoticeAbstractUI.aspx?menuIndex=3&amp;refID=7048331&amp;Result=3","7048331")</f>
        <v>0</v>
      </c>
      <c r="B1197" t="s">
        <v>599</v>
      </c>
      <c r="C1197" t="s">
        <v>4258</v>
      </c>
      <c r="D1197" t="s">
        <v>16260</v>
      </c>
      <c r="E1197" t="s">
        <v>17418</v>
      </c>
      <c r="F1197" t="s">
        <v>28198</v>
      </c>
      <c r="G1197" t="s">
        <v>28207</v>
      </c>
      <c r="H1197" t="s">
        <v>28215</v>
      </c>
      <c r="I1197" t="s">
        <v>28299</v>
      </c>
      <c r="J1197" t="s">
        <v>28430</v>
      </c>
      <c r="K1197" t="s">
        <v>36701</v>
      </c>
      <c r="M1197" t="s">
        <v>37588</v>
      </c>
      <c r="N1197" t="s">
        <v>40436</v>
      </c>
      <c r="O1197" t="s">
        <v>40437</v>
      </c>
      <c r="P1197">
        <v>0</v>
      </c>
      <c r="Q1197">
        <v>3</v>
      </c>
      <c r="R1197" t="s">
        <v>40438</v>
      </c>
      <c r="S1197" t="s">
        <v>40582</v>
      </c>
      <c r="T1197" t="s">
        <v>42115</v>
      </c>
      <c r="U1197" t="s">
        <v>43684</v>
      </c>
      <c r="W1197" t="s">
        <v>37588</v>
      </c>
      <c r="X1197" t="s">
        <v>40439</v>
      </c>
    </row>
    <row r="1198" spans="1:24">
      <c r="A1198">
        <f>HYPERLINK("https://www.philgeps.gov.ph/GEPSNONPILOT/Tender/SplashBidNoticeAbstractUI.aspx?menuIndex=3&amp;refID=7048345&amp;Result=3","7048345")</f>
        <v>0</v>
      </c>
      <c r="B1198" t="s">
        <v>52</v>
      </c>
      <c r="C1198" t="s">
        <v>4259</v>
      </c>
      <c r="E1198" t="s">
        <v>17419</v>
      </c>
      <c r="F1198" t="s">
        <v>28198</v>
      </c>
      <c r="G1198" t="s">
        <v>28207</v>
      </c>
      <c r="H1198" t="s">
        <v>28215</v>
      </c>
      <c r="I1198" t="s">
        <v>28255</v>
      </c>
      <c r="J1198" t="s">
        <v>28352</v>
      </c>
      <c r="K1198" t="s">
        <v>36689</v>
      </c>
      <c r="M1198" t="s">
        <v>37589</v>
      </c>
      <c r="N1198" t="s">
        <v>40436</v>
      </c>
      <c r="O1198" t="s">
        <v>40437</v>
      </c>
      <c r="P1198">
        <v>0</v>
      </c>
      <c r="Q1198">
        <v>2</v>
      </c>
      <c r="R1198" t="s">
        <v>40438</v>
      </c>
      <c r="S1198" t="s">
        <v>40582</v>
      </c>
      <c r="T1198" t="s">
        <v>42142</v>
      </c>
      <c r="U1198" t="s">
        <v>43685</v>
      </c>
      <c r="W1198" t="s">
        <v>55453</v>
      </c>
      <c r="X1198" t="s">
        <v>40439</v>
      </c>
    </row>
    <row r="1199" spans="1:24">
      <c r="A1199">
        <f>HYPERLINK("https://www.philgeps.gov.ph/GEPSNONPILOT/Tender/SplashBidNoticeAbstractUI.aspx?menuIndex=3&amp;refID=7048347&amp;Result=3","7048347")</f>
        <v>0</v>
      </c>
      <c r="B1199" t="s">
        <v>534</v>
      </c>
      <c r="C1199" t="s">
        <v>4260</v>
      </c>
      <c r="D1199" t="s">
        <v>16221</v>
      </c>
      <c r="E1199" t="s">
        <v>17420</v>
      </c>
      <c r="F1199" t="s">
        <v>28198</v>
      </c>
      <c r="G1199" t="s">
        <v>28207</v>
      </c>
      <c r="H1199" t="s">
        <v>28215</v>
      </c>
      <c r="I1199" t="s">
        <v>4505</v>
      </c>
      <c r="J1199" t="s">
        <v>29226</v>
      </c>
      <c r="K1199" t="s">
        <v>36691</v>
      </c>
      <c r="M1199" t="s">
        <v>37520</v>
      </c>
      <c r="N1199" t="s">
        <v>40436</v>
      </c>
      <c r="O1199" t="s">
        <v>40437</v>
      </c>
      <c r="P1199">
        <v>0</v>
      </c>
      <c r="Q1199">
        <v>0</v>
      </c>
      <c r="R1199" t="s">
        <v>40438</v>
      </c>
      <c r="S1199" t="s">
        <v>40582</v>
      </c>
      <c r="T1199" t="s">
        <v>42146</v>
      </c>
      <c r="U1199" t="s">
        <v>43686</v>
      </c>
      <c r="W1199" t="s">
        <v>37520</v>
      </c>
      <c r="X1199" t="s">
        <v>40439</v>
      </c>
    </row>
    <row r="1200" spans="1:24">
      <c r="A1200">
        <f>HYPERLINK("https://www.philgeps.gov.ph/GEPSNONPILOT/Tender/SplashBidNoticeAbstractUI.aspx?menuIndex=3&amp;refID=7048330&amp;Result=3","7048330")</f>
        <v>0</v>
      </c>
      <c r="B1200" t="s">
        <v>525</v>
      </c>
      <c r="C1200" t="s">
        <v>4261</v>
      </c>
      <c r="D1200" t="s">
        <v>16221</v>
      </c>
      <c r="E1200" t="s">
        <v>17421</v>
      </c>
      <c r="F1200" t="s">
        <v>28198</v>
      </c>
      <c r="G1200" t="s">
        <v>28206</v>
      </c>
      <c r="H1200" t="s">
        <v>28215</v>
      </c>
      <c r="I1200" t="s">
        <v>4200</v>
      </c>
      <c r="J1200" t="s">
        <v>29227</v>
      </c>
      <c r="K1200" t="s">
        <v>36689</v>
      </c>
      <c r="M1200" t="s">
        <v>37510</v>
      </c>
      <c r="N1200" t="s">
        <v>40436</v>
      </c>
      <c r="O1200" t="s">
        <v>40437</v>
      </c>
      <c r="P1200">
        <v>0</v>
      </c>
      <c r="Q1200">
        <v>2</v>
      </c>
      <c r="R1200" t="s">
        <v>40438</v>
      </c>
      <c r="S1200" t="s">
        <v>40582</v>
      </c>
      <c r="T1200" t="s">
        <v>42141</v>
      </c>
      <c r="U1200" t="s">
        <v>43687</v>
      </c>
      <c r="W1200" t="s">
        <v>37510</v>
      </c>
      <c r="X1200" t="s">
        <v>40439</v>
      </c>
    </row>
    <row r="1201" spans="1:24">
      <c r="A1201">
        <f>HYPERLINK("https://www.philgeps.gov.ph/GEPSNONPILOT/Tender/SplashBidNoticeAbstractUI.aspx?menuIndex=3&amp;refID=7048351&amp;Result=3","7048351")</f>
        <v>0</v>
      </c>
      <c r="B1201" t="s">
        <v>600</v>
      </c>
      <c r="C1201" t="s">
        <v>4262</v>
      </c>
      <c r="D1201" t="s">
        <v>16216</v>
      </c>
      <c r="E1201" t="s">
        <v>17422</v>
      </c>
      <c r="F1201" t="s">
        <v>28198</v>
      </c>
      <c r="G1201" t="s">
        <v>28207</v>
      </c>
      <c r="H1201" t="s">
        <v>28215</v>
      </c>
      <c r="I1201" t="s">
        <v>5100</v>
      </c>
      <c r="J1201" t="s">
        <v>29228</v>
      </c>
      <c r="K1201" t="s">
        <v>36707</v>
      </c>
      <c r="M1201" t="s">
        <v>37590</v>
      </c>
      <c r="N1201" t="s">
        <v>40436</v>
      </c>
      <c r="O1201" t="s">
        <v>40437</v>
      </c>
      <c r="P1201">
        <v>0</v>
      </c>
      <c r="Q1201">
        <v>0</v>
      </c>
      <c r="R1201" t="s">
        <v>40438</v>
      </c>
      <c r="S1201" t="s">
        <v>40582</v>
      </c>
      <c r="T1201" t="s">
        <v>42133</v>
      </c>
      <c r="U1201" t="s">
        <v>43688</v>
      </c>
      <c r="W1201" t="s">
        <v>37590</v>
      </c>
      <c r="X1201" t="s">
        <v>40439</v>
      </c>
    </row>
    <row r="1202" spans="1:24">
      <c r="A1202">
        <f>HYPERLINK("https://www.philgeps.gov.ph/GEPSNONPILOT/Tender/SplashBidNoticeAbstractUI.aspx?menuIndex=3&amp;refID=7048348&amp;Result=3","7048348")</f>
        <v>0</v>
      </c>
      <c r="B1202" t="s">
        <v>432</v>
      </c>
      <c r="C1202" t="s">
        <v>4263</v>
      </c>
      <c r="D1202" t="s">
        <v>16262</v>
      </c>
      <c r="E1202" t="s">
        <v>17423</v>
      </c>
      <c r="F1202" t="s">
        <v>28198</v>
      </c>
      <c r="G1202" t="s">
        <v>28205</v>
      </c>
      <c r="H1202" t="s">
        <v>28215</v>
      </c>
      <c r="I1202" t="s">
        <v>5100</v>
      </c>
      <c r="J1202" t="s">
        <v>29229</v>
      </c>
      <c r="K1202" t="s">
        <v>36707</v>
      </c>
      <c r="M1202" t="s">
        <v>37415</v>
      </c>
      <c r="N1202" t="s">
        <v>40436</v>
      </c>
      <c r="O1202" t="s">
        <v>40437</v>
      </c>
      <c r="P1202">
        <v>0</v>
      </c>
      <c r="Q1202">
        <v>0</v>
      </c>
      <c r="R1202" t="s">
        <v>40438</v>
      </c>
      <c r="S1202" t="s">
        <v>40582</v>
      </c>
      <c r="T1202" t="s">
        <v>42115</v>
      </c>
      <c r="U1202" t="s">
        <v>43437</v>
      </c>
      <c r="W1202" t="s">
        <v>37415</v>
      </c>
      <c r="X1202" t="s">
        <v>40439</v>
      </c>
    </row>
    <row r="1203" spans="1:24">
      <c r="A1203">
        <f>HYPERLINK("https://www.philgeps.gov.ph/GEPSNONPILOT/Tender/SplashBidNoticeAbstractUI.aspx?menuIndex=3&amp;refID=7048363&amp;Result=3","7048363")</f>
        <v>0</v>
      </c>
      <c r="B1203" t="s">
        <v>583</v>
      </c>
      <c r="C1203" t="s">
        <v>4264</v>
      </c>
      <c r="D1203" t="s">
        <v>16235</v>
      </c>
      <c r="E1203" t="s">
        <v>17424</v>
      </c>
      <c r="F1203" t="s">
        <v>28198</v>
      </c>
      <c r="G1203" t="s">
        <v>28207</v>
      </c>
      <c r="H1203" t="s">
        <v>28215</v>
      </c>
      <c r="I1203" t="s">
        <v>28243</v>
      </c>
      <c r="J1203" t="s">
        <v>29230</v>
      </c>
      <c r="K1203" t="s">
        <v>36701</v>
      </c>
      <c r="M1203" t="s">
        <v>37573</v>
      </c>
      <c r="N1203" t="s">
        <v>40436</v>
      </c>
      <c r="O1203" t="s">
        <v>40437</v>
      </c>
      <c r="P1203">
        <v>0</v>
      </c>
      <c r="Q1203">
        <v>2</v>
      </c>
      <c r="R1203" t="s">
        <v>40438</v>
      </c>
      <c r="S1203" t="s">
        <v>40582</v>
      </c>
      <c r="T1203" t="s">
        <v>42160</v>
      </c>
      <c r="U1203" t="s">
        <v>43689</v>
      </c>
      <c r="V1203" t="s">
        <v>53926</v>
      </c>
      <c r="W1203" t="s">
        <v>37573</v>
      </c>
      <c r="X1203" t="s">
        <v>40439</v>
      </c>
    </row>
    <row r="1204" spans="1:24">
      <c r="A1204">
        <f>HYPERLINK("https://www.philgeps.gov.ph/GEPSNONPILOT/Tender/SplashBidNoticeAbstractUI.aspx?menuIndex=3&amp;refID=7048360&amp;Result=3","7048360")</f>
        <v>0</v>
      </c>
      <c r="B1204" t="s">
        <v>461</v>
      </c>
      <c r="C1204" t="s">
        <v>4265</v>
      </c>
      <c r="D1204" t="s">
        <v>16208</v>
      </c>
      <c r="E1204" t="s">
        <v>17425</v>
      </c>
      <c r="F1204" t="s">
        <v>28198</v>
      </c>
      <c r="G1204" t="s">
        <v>28206</v>
      </c>
      <c r="H1204" t="s">
        <v>28215</v>
      </c>
      <c r="I1204" t="s">
        <v>28250</v>
      </c>
      <c r="J1204" t="s">
        <v>28862</v>
      </c>
      <c r="K1204" t="s">
        <v>36689</v>
      </c>
      <c r="M1204" t="s">
        <v>37445</v>
      </c>
      <c r="N1204" t="s">
        <v>40436</v>
      </c>
      <c r="O1204" t="s">
        <v>40437</v>
      </c>
      <c r="P1204">
        <v>0</v>
      </c>
      <c r="Q1204">
        <v>0</v>
      </c>
      <c r="R1204" t="s">
        <v>40438</v>
      </c>
      <c r="S1204" t="s">
        <v>40582</v>
      </c>
      <c r="T1204" t="s">
        <v>42119</v>
      </c>
      <c r="U1204" t="s">
        <v>43690</v>
      </c>
      <c r="W1204" t="s">
        <v>37445</v>
      </c>
      <c r="X1204" t="s">
        <v>40439</v>
      </c>
    </row>
    <row r="1205" spans="1:24">
      <c r="A1205">
        <f>HYPERLINK("https://www.philgeps.gov.ph/GEPSNONPILOT/Tender/SplashBidNoticeAbstractUI.aspx?menuIndex=3&amp;refID=7048359&amp;Result=3","7048359")</f>
        <v>0</v>
      </c>
      <c r="B1205" t="s">
        <v>457</v>
      </c>
      <c r="C1205" t="s">
        <v>4266</v>
      </c>
      <c r="D1205" t="s">
        <v>16241</v>
      </c>
      <c r="E1205" t="s">
        <v>17426</v>
      </c>
      <c r="F1205" t="s">
        <v>28198</v>
      </c>
      <c r="G1205" t="s">
        <v>28207</v>
      </c>
      <c r="H1205" t="s">
        <v>28215</v>
      </c>
      <c r="I1205" t="s">
        <v>28225</v>
      </c>
      <c r="J1205" t="s">
        <v>29231</v>
      </c>
      <c r="K1205" t="s">
        <v>36701</v>
      </c>
      <c r="M1205" t="s">
        <v>37591</v>
      </c>
      <c r="N1205" t="s">
        <v>40436</v>
      </c>
      <c r="O1205" t="s">
        <v>40437</v>
      </c>
      <c r="P1205">
        <v>0</v>
      </c>
      <c r="Q1205">
        <v>0</v>
      </c>
      <c r="R1205" t="s">
        <v>40438</v>
      </c>
      <c r="S1205" t="s">
        <v>40582</v>
      </c>
      <c r="T1205" t="s">
        <v>42160</v>
      </c>
      <c r="U1205" t="s">
        <v>43691</v>
      </c>
      <c r="W1205" t="s">
        <v>37591</v>
      </c>
      <c r="X1205" t="s">
        <v>40439</v>
      </c>
    </row>
    <row r="1206" spans="1:24">
      <c r="A1206">
        <f>HYPERLINK("https://www.philgeps.gov.ph/GEPSNONPILOT/Tender/SplashBidNoticeAbstractUI.aspx?menuIndex=3&amp;refID=7048356&amp;Result=3","7048356")</f>
        <v>0</v>
      </c>
      <c r="B1206" t="s">
        <v>601</v>
      </c>
      <c r="C1206" t="s">
        <v>4267</v>
      </c>
      <c r="D1206" t="s">
        <v>16204</v>
      </c>
      <c r="E1206" t="s">
        <v>17427</v>
      </c>
      <c r="F1206" t="s">
        <v>28198</v>
      </c>
      <c r="G1206" t="s">
        <v>28207</v>
      </c>
      <c r="H1206" t="s">
        <v>28215</v>
      </c>
      <c r="I1206" t="s">
        <v>5100</v>
      </c>
      <c r="J1206" t="s">
        <v>29232</v>
      </c>
      <c r="K1206" t="s">
        <v>36689</v>
      </c>
      <c r="M1206" t="s">
        <v>37592</v>
      </c>
      <c r="N1206" t="s">
        <v>40436</v>
      </c>
      <c r="O1206" t="s">
        <v>40437</v>
      </c>
      <c r="P1206">
        <v>0</v>
      </c>
      <c r="Q1206">
        <v>0</v>
      </c>
      <c r="R1206" t="s">
        <v>40438</v>
      </c>
      <c r="S1206" t="s">
        <v>40582</v>
      </c>
      <c r="T1206" t="s">
        <v>42119</v>
      </c>
      <c r="U1206" t="s">
        <v>43692</v>
      </c>
      <c r="W1206" t="s">
        <v>37592</v>
      </c>
      <c r="X1206" t="s">
        <v>40439</v>
      </c>
    </row>
    <row r="1207" spans="1:24">
      <c r="A1207">
        <f>HYPERLINK("https://www.philgeps.gov.ph/GEPSNONPILOT/Tender/SplashBidNoticeAbstractUI.aspx?menuIndex=3&amp;refID=7048354&amp;Result=3","7048354")</f>
        <v>0</v>
      </c>
      <c r="B1207" t="s">
        <v>103</v>
      </c>
      <c r="C1207" t="s">
        <v>4268</v>
      </c>
      <c r="D1207" t="s">
        <v>16230</v>
      </c>
      <c r="E1207" t="s">
        <v>17428</v>
      </c>
      <c r="F1207" t="s">
        <v>28198</v>
      </c>
      <c r="G1207" t="s">
        <v>28206</v>
      </c>
      <c r="H1207" t="s">
        <v>28215</v>
      </c>
      <c r="I1207" t="s">
        <v>4200</v>
      </c>
      <c r="J1207" t="s">
        <v>28878</v>
      </c>
      <c r="K1207" t="s">
        <v>36706</v>
      </c>
      <c r="M1207" t="s">
        <v>37077</v>
      </c>
      <c r="N1207" t="s">
        <v>40436</v>
      </c>
      <c r="O1207" t="s">
        <v>40437</v>
      </c>
      <c r="P1207">
        <v>0</v>
      </c>
      <c r="Q1207">
        <v>0</v>
      </c>
      <c r="R1207" t="s">
        <v>40438</v>
      </c>
      <c r="S1207" t="s">
        <v>40582</v>
      </c>
      <c r="T1207" t="s">
        <v>42103</v>
      </c>
      <c r="U1207" t="s">
        <v>43693</v>
      </c>
      <c r="V1207" t="s">
        <v>53930</v>
      </c>
      <c r="W1207" t="s">
        <v>37077</v>
      </c>
      <c r="X1207" t="s">
        <v>40439</v>
      </c>
    </row>
    <row r="1208" spans="1:24">
      <c r="A1208">
        <f>HYPERLINK("https://www.philgeps.gov.ph/GEPSNONPILOT/Tender/SplashBidNoticeAbstractUI.aspx?menuIndex=3&amp;refID=7048361&amp;Result=3","7048361")</f>
        <v>0</v>
      </c>
      <c r="B1208" t="s">
        <v>152</v>
      </c>
      <c r="C1208" t="s">
        <v>4269</v>
      </c>
      <c r="D1208" t="s">
        <v>16210</v>
      </c>
      <c r="E1208" t="s">
        <v>17429</v>
      </c>
      <c r="F1208" t="s">
        <v>28198</v>
      </c>
      <c r="G1208" t="s">
        <v>28207</v>
      </c>
      <c r="H1208" t="s">
        <v>28215</v>
      </c>
      <c r="I1208" t="s">
        <v>5071</v>
      </c>
      <c r="J1208" t="s">
        <v>29233</v>
      </c>
      <c r="K1208" t="s">
        <v>36701</v>
      </c>
      <c r="M1208" t="s">
        <v>37126</v>
      </c>
      <c r="N1208" t="s">
        <v>40436</v>
      </c>
      <c r="O1208" t="s">
        <v>40437</v>
      </c>
      <c r="P1208">
        <v>0</v>
      </c>
      <c r="Q1208">
        <v>2</v>
      </c>
      <c r="R1208" t="s">
        <v>40438</v>
      </c>
      <c r="S1208" t="s">
        <v>40582</v>
      </c>
      <c r="T1208" t="s">
        <v>42159</v>
      </c>
      <c r="U1208" t="s">
        <v>43694</v>
      </c>
      <c r="W1208" t="s">
        <v>37126</v>
      </c>
      <c r="X1208" t="s">
        <v>40439</v>
      </c>
    </row>
    <row r="1209" spans="1:24">
      <c r="A1209">
        <f>HYPERLINK("https://www.philgeps.gov.ph/GEPSNONPILOT/Tender/SplashBidNoticeAbstractUI.aspx?menuIndex=3&amp;refID=7048358&amp;Result=3","7048358")</f>
        <v>0</v>
      </c>
      <c r="B1209" t="s">
        <v>314</v>
      </c>
      <c r="C1209" t="s">
        <v>4270</v>
      </c>
      <c r="D1209" t="s">
        <v>16194</v>
      </c>
      <c r="E1209" t="s">
        <v>17430</v>
      </c>
      <c r="F1209" t="s">
        <v>28198</v>
      </c>
      <c r="G1209" t="s">
        <v>28207</v>
      </c>
      <c r="H1209" t="s">
        <v>28215</v>
      </c>
      <c r="I1209" t="s">
        <v>28253</v>
      </c>
      <c r="J1209" t="s">
        <v>28430</v>
      </c>
      <c r="K1209" t="s">
        <v>36707</v>
      </c>
      <c r="M1209" t="s">
        <v>37553</v>
      </c>
      <c r="N1209" t="s">
        <v>40436</v>
      </c>
      <c r="O1209" t="s">
        <v>40437</v>
      </c>
      <c r="P1209">
        <v>0</v>
      </c>
      <c r="Q1209">
        <v>2</v>
      </c>
      <c r="R1209" t="s">
        <v>40438</v>
      </c>
      <c r="S1209" t="s">
        <v>40582</v>
      </c>
      <c r="T1209" t="s">
        <v>42103</v>
      </c>
      <c r="U1209" t="s">
        <v>43626</v>
      </c>
      <c r="V1209" t="s">
        <v>53922</v>
      </c>
      <c r="W1209" t="s">
        <v>55454</v>
      </c>
      <c r="X1209" t="s">
        <v>40439</v>
      </c>
    </row>
    <row r="1210" spans="1:24">
      <c r="A1210">
        <f>HYPERLINK("https://www.philgeps.gov.ph/GEPSNONPILOT/Tender/SplashBidNoticeAbstractUI.aspx?menuIndex=3&amp;refID=7048357&amp;Result=3","7048357")</f>
        <v>0</v>
      </c>
      <c r="B1210" t="s">
        <v>602</v>
      </c>
      <c r="C1210" t="s">
        <v>4271</v>
      </c>
      <c r="D1210" t="s">
        <v>16203</v>
      </c>
      <c r="E1210" t="s">
        <v>17431</v>
      </c>
      <c r="F1210" t="s">
        <v>28198</v>
      </c>
      <c r="G1210" t="s">
        <v>28206</v>
      </c>
      <c r="H1210" t="s">
        <v>28215</v>
      </c>
      <c r="I1210" t="s">
        <v>28226</v>
      </c>
      <c r="J1210" t="s">
        <v>28406</v>
      </c>
      <c r="K1210" t="s">
        <v>36688</v>
      </c>
      <c r="M1210" t="s">
        <v>37593</v>
      </c>
      <c r="N1210" t="s">
        <v>40436</v>
      </c>
      <c r="O1210" t="s">
        <v>40437</v>
      </c>
      <c r="P1210">
        <v>0</v>
      </c>
      <c r="Q1210">
        <v>1</v>
      </c>
      <c r="R1210" t="s">
        <v>40438</v>
      </c>
      <c r="S1210" t="s">
        <v>40582</v>
      </c>
      <c r="T1210" t="s">
        <v>42103</v>
      </c>
      <c r="U1210" t="s">
        <v>43695</v>
      </c>
      <c r="W1210" t="s">
        <v>37593</v>
      </c>
      <c r="X1210" t="s">
        <v>40439</v>
      </c>
    </row>
    <row r="1211" spans="1:24">
      <c r="A1211">
        <f>HYPERLINK("https://www.philgeps.gov.ph/GEPSNONPILOT/Tender/SplashBidNoticeAbstractUI.aspx?menuIndex=3&amp;refID=7048352&amp;Result=3","7048352")</f>
        <v>0</v>
      </c>
      <c r="B1211" t="s">
        <v>565</v>
      </c>
      <c r="C1211" t="s">
        <v>4272</v>
      </c>
      <c r="D1211" t="s">
        <v>16222</v>
      </c>
      <c r="E1211" t="s">
        <v>17432</v>
      </c>
      <c r="F1211" t="s">
        <v>28198</v>
      </c>
      <c r="G1211" t="s">
        <v>28207</v>
      </c>
      <c r="H1211" t="s">
        <v>28215</v>
      </c>
      <c r="I1211" t="s">
        <v>5100</v>
      </c>
      <c r="J1211" t="s">
        <v>29234</v>
      </c>
      <c r="K1211" t="s">
        <v>36688</v>
      </c>
      <c r="M1211" t="s">
        <v>37552</v>
      </c>
      <c r="N1211" t="s">
        <v>40436</v>
      </c>
      <c r="O1211" t="s">
        <v>40437</v>
      </c>
      <c r="P1211">
        <v>0</v>
      </c>
      <c r="Q1211">
        <v>1</v>
      </c>
      <c r="R1211" t="s">
        <v>40438</v>
      </c>
      <c r="S1211" t="s">
        <v>40582</v>
      </c>
      <c r="T1211" t="s">
        <v>42176</v>
      </c>
      <c r="U1211" t="s">
        <v>43696</v>
      </c>
      <c r="W1211" t="s">
        <v>37552</v>
      </c>
      <c r="X1211" t="s">
        <v>40439</v>
      </c>
    </row>
    <row r="1212" spans="1:24">
      <c r="A1212">
        <f>HYPERLINK("https://www.philgeps.gov.ph/GEPSNONPILOT/Tender/SplashBidNoticeAbstractUI.aspx?menuIndex=3&amp;refID=7048371&amp;Result=3","7048371")</f>
        <v>0</v>
      </c>
      <c r="B1212" t="s">
        <v>558</v>
      </c>
      <c r="C1212" t="s">
        <v>4273</v>
      </c>
      <c r="D1212" t="s">
        <v>16228</v>
      </c>
      <c r="E1212" t="s">
        <v>17433</v>
      </c>
      <c r="F1212" t="s">
        <v>28198</v>
      </c>
      <c r="G1212" t="s">
        <v>28207</v>
      </c>
      <c r="H1212" t="s">
        <v>28215</v>
      </c>
      <c r="I1212" t="s">
        <v>28238</v>
      </c>
      <c r="J1212" t="s">
        <v>29235</v>
      </c>
      <c r="K1212" t="s">
        <v>36688</v>
      </c>
      <c r="M1212" t="s">
        <v>37544</v>
      </c>
      <c r="N1212" t="s">
        <v>40436</v>
      </c>
      <c r="O1212" t="s">
        <v>40437</v>
      </c>
      <c r="P1212">
        <v>0</v>
      </c>
      <c r="Q1212">
        <v>0</v>
      </c>
      <c r="R1212" t="s">
        <v>40438</v>
      </c>
      <c r="S1212" t="s">
        <v>40582</v>
      </c>
      <c r="T1212" t="s">
        <v>42115</v>
      </c>
      <c r="U1212" t="s">
        <v>43697</v>
      </c>
      <c r="W1212" t="s">
        <v>37544</v>
      </c>
      <c r="X1212" t="s">
        <v>40439</v>
      </c>
    </row>
    <row r="1213" spans="1:24">
      <c r="A1213">
        <f>HYPERLINK("https://www.philgeps.gov.ph/GEPSNONPILOT/Tender/SplashBidNoticeAbstractUI.aspx?menuIndex=3&amp;refID=7048370&amp;Result=3","7048370")</f>
        <v>0</v>
      </c>
      <c r="B1213" t="s">
        <v>553</v>
      </c>
      <c r="C1213" t="s">
        <v>3220</v>
      </c>
      <c r="E1213" t="s">
        <v>17434</v>
      </c>
      <c r="F1213" t="s">
        <v>28198</v>
      </c>
      <c r="G1213" t="s">
        <v>28206</v>
      </c>
      <c r="H1213" t="s">
        <v>28215</v>
      </c>
      <c r="I1213" t="s">
        <v>5082</v>
      </c>
      <c r="J1213" t="s">
        <v>29236</v>
      </c>
      <c r="K1213" t="s">
        <v>36689</v>
      </c>
      <c r="M1213" t="s">
        <v>37539</v>
      </c>
      <c r="N1213" t="s">
        <v>40436</v>
      </c>
      <c r="O1213" t="s">
        <v>40437</v>
      </c>
      <c r="P1213">
        <v>0</v>
      </c>
      <c r="Q1213">
        <v>0</v>
      </c>
      <c r="R1213" t="s">
        <v>40438</v>
      </c>
      <c r="S1213" t="s">
        <v>40582</v>
      </c>
      <c r="T1213" t="s">
        <v>42253</v>
      </c>
      <c r="U1213" t="s">
        <v>43698</v>
      </c>
      <c r="W1213" t="s">
        <v>37539</v>
      </c>
      <c r="X1213" t="s">
        <v>40439</v>
      </c>
    </row>
    <row r="1214" spans="1:24">
      <c r="A1214">
        <f>HYPERLINK("https://www.philgeps.gov.ph/GEPSNONPILOT/Tender/SplashBidNoticeAbstractUI.aspx?menuIndex=3&amp;refID=7048366&amp;Result=3","7048366")</f>
        <v>0</v>
      </c>
      <c r="B1214" t="s">
        <v>418</v>
      </c>
      <c r="C1214" t="s">
        <v>4274</v>
      </c>
      <c r="D1214" t="s">
        <v>16230</v>
      </c>
      <c r="E1214" t="s">
        <v>17435</v>
      </c>
      <c r="F1214" t="s">
        <v>28198</v>
      </c>
      <c r="G1214" t="s">
        <v>28207</v>
      </c>
      <c r="H1214" t="s">
        <v>28215</v>
      </c>
      <c r="I1214" t="s">
        <v>28247</v>
      </c>
      <c r="J1214" t="s">
        <v>28404</v>
      </c>
      <c r="K1214" t="s">
        <v>36701</v>
      </c>
      <c r="M1214" t="s">
        <v>37400</v>
      </c>
      <c r="N1214" t="s">
        <v>40436</v>
      </c>
      <c r="O1214" t="s">
        <v>40437</v>
      </c>
      <c r="P1214">
        <v>0</v>
      </c>
      <c r="Q1214">
        <v>12</v>
      </c>
      <c r="R1214" t="s">
        <v>40438</v>
      </c>
      <c r="S1214" t="s">
        <v>40582</v>
      </c>
      <c r="T1214" t="s">
        <v>42124</v>
      </c>
      <c r="U1214" t="s">
        <v>43699</v>
      </c>
      <c r="W1214" t="s">
        <v>37400</v>
      </c>
      <c r="X1214" t="s">
        <v>40439</v>
      </c>
    </row>
    <row r="1215" spans="1:24">
      <c r="A1215">
        <f>HYPERLINK("https://www.philgeps.gov.ph/GEPSNONPILOT/Tender/SplashBidNoticeAbstractUI.aspx?menuIndex=3&amp;refID=7048369&amp;Result=3","7048369")</f>
        <v>0</v>
      </c>
      <c r="B1215" t="s">
        <v>603</v>
      </c>
      <c r="C1215" t="s">
        <v>4275</v>
      </c>
      <c r="D1215" t="s">
        <v>16215</v>
      </c>
      <c r="E1215" t="s">
        <v>4275</v>
      </c>
      <c r="F1215" t="s">
        <v>28198</v>
      </c>
      <c r="G1215" t="s">
        <v>28207</v>
      </c>
      <c r="H1215" t="s">
        <v>28215</v>
      </c>
      <c r="I1215" t="s">
        <v>28254</v>
      </c>
      <c r="J1215" t="s">
        <v>29237</v>
      </c>
      <c r="K1215" t="s">
        <v>36701</v>
      </c>
      <c r="M1215" t="s">
        <v>37594</v>
      </c>
      <c r="N1215" t="s">
        <v>40436</v>
      </c>
      <c r="O1215" t="s">
        <v>40437</v>
      </c>
      <c r="P1215">
        <v>0</v>
      </c>
      <c r="Q1215">
        <v>2</v>
      </c>
      <c r="R1215" t="s">
        <v>40438</v>
      </c>
      <c r="S1215" t="s">
        <v>40582</v>
      </c>
      <c r="T1215" t="s">
        <v>42103</v>
      </c>
      <c r="U1215" t="s">
        <v>43700</v>
      </c>
      <c r="W1215" t="s">
        <v>37594</v>
      </c>
      <c r="X1215" t="s">
        <v>40439</v>
      </c>
    </row>
    <row r="1216" spans="1:24">
      <c r="A1216">
        <f>HYPERLINK("https://www.philgeps.gov.ph/GEPSNONPILOT/Tender/SplashBidNoticeAbstractUI.aspx?menuIndex=3&amp;refID=7048364&amp;Result=3","7048364")</f>
        <v>0</v>
      </c>
      <c r="B1216" t="s">
        <v>565</v>
      </c>
      <c r="C1216" t="s">
        <v>4276</v>
      </c>
      <c r="D1216" t="s">
        <v>16222</v>
      </c>
      <c r="E1216" t="s">
        <v>17436</v>
      </c>
      <c r="F1216" t="s">
        <v>28198</v>
      </c>
      <c r="G1216" t="s">
        <v>28207</v>
      </c>
      <c r="H1216" t="s">
        <v>28215</v>
      </c>
      <c r="I1216" t="s">
        <v>5100</v>
      </c>
      <c r="J1216" t="s">
        <v>29238</v>
      </c>
      <c r="K1216" t="s">
        <v>36688</v>
      </c>
      <c r="M1216" t="s">
        <v>37552</v>
      </c>
      <c r="N1216" t="s">
        <v>40436</v>
      </c>
      <c r="O1216" t="s">
        <v>40437</v>
      </c>
      <c r="P1216">
        <v>0</v>
      </c>
      <c r="Q1216">
        <v>1</v>
      </c>
      <c r="R1216" t="s">
        <v>40438</v>
      </c>
      <c r="S1216" t="s">
        <v>40582</v>
      </c>
      <c r="T1216" t="s">
        <v>42176</v>
      </c>
      <c r="U1216" t="s">
        <v>43701</v>
      </c>
      <c r="W1216" t="s">
        <v>37552</v>
      </c>
      <c r="X1216" t="s">
        <v>40439</v>
      </c>
    </row>
    <row r="1217" spans="1:24">
      <c r="A1217">
        <f>HYPERLINK("https://www.philgeps.gov.ph/GEPSNONPILOT/Tender/SplashBidNoticeAbstractUI.aspx?menuIndex=3&amp;refID=7048373&amp;Result=3","7048373")</f>
        <v>0</v>
      </c>
      <c r="B1217" t="s">
        <v>485</v>
      </c>
      <c r="C1217" t="s">
        <v>4277</v>
      </c>
      <c r="D1217" t="s">
        <v>16222</v>
      </c>
      <c r="E1217" t="s">
        <v>17437</v>
      </c>
      <c r="F1217" t="s">
        <v>28198</v>
      </c>
      <c r="G1217" t="s">
        <v>28207</v>
      </c>
      <c r="H1217" t="s">
        <v>28215</v>
      </c>
      <c r="I1217" t="s">
        <v>4200</v>
      </c>
      <c r="J1217" t="s">
        <v>28540</v>
      </c>
      <c r="K1217" t="s">
        <v>36691</v>
      </c>
      <c r="M1217" t="s">
        <v>37470</v>
      </c>
      <c r="N1217" t="s">
        <v>40436</v>
      </c>
      <c r="O1217" t="s">
        <v>40437</v>
      </c>
      <c r="P1217">
        <v>0</v>
      </c>
      <c r="Q1217">
        <v>0</v>
      </c>
      <c r="R1217" t="s">
        <v>40438</v>
      </c>
      <c r="S1217" t="s">
        <v>40582</v>
      </c>
      <c r="T1217" t="s">
        <v>42103</v>
      </c>
      <c r="U1217" t="s">
        <v>43702</v>
      </c>
      <c r="W1217" t="s">
        <v>37470</v>
      </c>
      <c r="X1217" t="s">
        <v>40439</v>
      </c>
    </row>
    <row r="1218" spans="1:24">
      <c r="A1218">
        <f>HYPERLINK("https://www.philgeps.gov.ph/GEPSNONPILOT/Tender/SplashBidNoticeAbstractUI.aspx?menuIndex=3&amp;refID=7048367&amp;Result=3","7048367")</f>
        <v>0</v>
      </c>
      <c r="B1218" t="s">
        <v>500</v>
      </c>
      <c r="C1218" t="s">
        <v>4278</v>
      </c>
      <c r="D1218" t="s">
        <v>16190</v>
      </c>
      <c r="E1218" t="s">
        <v>17438</v>
      </c>
      <c r="F1218" t="s">
        <v>28198</v>
      </c>
      <c r="G1218" t="s">
        <v>28207</v>
      </c>
      <c r="H1218" t="s">
        <v>28214</v>
      </c>
      <c r="I1218" t="s">
        <v>3797</v>
      </c>
      <c r="J1218" t="s">
        <v>29239</v>
      </c>
      <c r="K1218" t="s">
        <v>36707</v>
      </c>
      <c r="M1218" t="s">
        <v>37485</v>
      </c>
      <c r="N1218" t="s">
        <v>40436</v>
      </c>
      <c r="O1218" t="s">
        <v>40437</v>
      </c>
      <c r="P1218">
        <v>0</v>
      </c>
      <c r="Q1218">
        <v>0</v>
      </c>
      <c r="R1218" t="s">
        <v>40438</v>
      </c>
      <c r="S1218" t="s">
        <v>40582</v>
      </c>
      <c r="T1218" t="s">
        <v>42103</v>
      </c>
      <c r="U1218" t="s">
        <v>43703</v>
      </c>
      <c r="W1218" t="s">
        <v>37485</v>
      </c>
      <c r="X1218" t="s">
        <v>40439</v>
      </c>
    </row>
    <row r="1219" spans="1:24">
      <c r="A1219">
        <f>HYPERLINK("https://www.philgeps.gov.ph/GEPSNONPILOT/Tender/SplashBidNoticeAbstractUI.aspx?menuIndex=3&amp;refID=7048365&amp;Result=3","7048365")</f>
        <v>0</v>
      </c>
      <c r="B1219" t="s">
        <v>604</v>
      </c>
      <c r="C1219" t="s">
        <v>4279</v>
      </c>
      <c r="D1219" t="s">
        <v>16260</v>
      </c>
      <c r="E1219" t="s">
        <v>17439</v>
      </c>
      <c r="F1219" t="s">
        <v>28198</v>
      </c>
      <c r="G1219" t="s">
        <v>28207</v>
      </c>
      <c r="H1219" t="s">
        <v>28215</v>
      </c>
      <c r="I1219" t="s">
        <v>5082</v>
      </c>
      <c r="J1219" t="s">
        <v>29240</v>
      </c>
      <c r="K1219" t="s">
        <v>36688</v>
      </c>
      <c r="M1219" t="s">
        <v>37595</v>
      </c>
      <c r="N1219" t="s">
        <v>40436</v>
      </c>
      <c r="O1219" t="s">
        <v>40437</v>
      </c>
      <c r="P1219">
        <v>0</v>
      </c>
      <c r="Q1219">
        <v>2</v>
      </c>
      <c r="R1219" t="s">
        <v>40438</v>
      </c>
      <c r="S1219" t="s">
        <v>40582</v>
      </c>
      <c r="T1219" t="s">
        <v>42142</v>
      </c>
      <c r="U1219" t="s">
        <v>43119</v>
      </c>
      <c r="W1219" t="s">
        <v>37595</v>
      </c>
      <c r="X1219" t="s">
        <v>40439</v>
      </c>
    </row>
    <row r="1220" spans="1:24">
      <c r="A1220">
        <f>HYPERLINK("https://www.philgeps.gov.ph/GEPSNONPILOT/Tender/SplashBidNoticeAbstractUI.aspx?menuIndex=3&amp;refID=7048375&amp;Result=3","7048375")</f>
        <v>0</v>
      </c>
      <c r="B1220" t="s">
        <v>605</v>
      </c>
      <c r="C1220" t="s">
        <v>4280</v>
      </c>
      <c r="D1220" t="s">
        <v>16220</v>
      </c>
      <c r="E1220" t="s">
        <v>17440</v>
      </c>
      <c r="F1220" t="s">
        <v>28200</v>
      </c>
      <c r="G1220" t="s">
        <v>28207</v>
      </c>
      <c r="H1220" t="s">
        <v>28217</v>
      </c>
      <c r="I1220" t="s">
        <v>28274</v>
      </c>
      <c r="J1220" t="s">
        <v>28413</v>
      </c>
      <c r="K1220" t="s">
        <v>36688</v>
      </c>
      <c r="M1220" t="s">
        <v>37596</v>
      </c>
      <c r="N1220" t="s">
        <v>40436</v>
      </c>
      <c r="O1220" t="s">
        <v>40437</v>
      </c>
      <c r="P1220">
        <v>0</v>
      </c>
      <c r="Q1220">
        <v>0</v>
      </c>
      <c r="R1220" t="s">
        <v>40438</v>
      </c>
      <c r="S1220" t="s">
        <v>40582</v>
      </c>
      <c r="T1220" t="s">
        <v>42098</v>
      </c>
      <c r="U1220" t="s">
        <v>43704</v>
      </c>
      <c r="W1220" t="s">
        <v>37596</v>
      </c>
      <c r="X1220" t="s">
        <v>40439</v>
      </c>
    </row>
    <row r="1221" spans="1:24">
      <c r="A1221">
        <f>HYPERLINK("https://www.philgeps.gov.ph/GEPSNONPILOT/Tender/SplashBidNoticeAbstractUI.aspx?menuIndex=3&amp;refID=7048368&amp;Result=3","7048368")</f>
        <v>0</v>
      </c>
      <c r="B1221" t="s">
        <v>606</v>
      </c>
      <c r="C1221" t="s">
        <v>4281</v>
      </c>
      <c r="D1221" t="s">
        <v>16195</v>
      </c>
      <c r="E1221" t="s">
        <v>17441</v>
      </c>
      <c r="F1221" t="s">
        <v>28198</v>
      </c>
      <c r="G1221" t="s">
        <v>28206</v>
      </c>
      <c r="H1221" t="s">
        <v>28215</v>
      </c>
      <c r="I1221" t="s">
        <v>5100</v>
      </c>
      <c r="J1221" t="s">
        <v>29241</v>
      </c>
      <c r="K1221" t="s">
        <v>36688</v>
      </c>
      <c r="M1221" t="s">
        <v>37597</v>
      </c>
      <c r="N1221" t="s">
        <v>40436</v>
      </c>
      <c r="O1221" t="s">
        <v>40437</v>
      </c>
      <c r="P1221">
        <v>0</v>
      </c>
      <c r="Q1221">
        <v>0</v>
      </c>
      <c r="R1221" t="s">
        <v>40438</v>
      </c>
      <c r="S1221" t="s">
        <v>40582</v>
      </c>
      <c r="T1221" t="s">
        <v>42175</v>
      </c>
      <c r="U1221" t="s">
        <v>43705</v>
      </c>
      <c r="W1221" t="s">
        <v>37597</v>
      </c>
      <c r="X1221" t="s">
        <v>40439</v>
      </c>
    </row>
    <row r="1222" spans="1:24">
      <c r="A1222">
        <f>HYPERLINK("https://www.philgeps.gov.ph/GEPSNONPILOT/Tender/SplashBidNoticeAbstractUI.aspx?menuIndex=3&amp;refID=7048381&amp;Result=3","7048381")</f>
        <v>0</v>
      </c>
      <c r="B1222" t="s">
        <v>129</v>
      </c>
      <c r="C1222" t="s">
        <v>4282</v>
      </c>
      <c r="D1222" t="s">
        <v>16210</v>
      </c>
      <c r="E1222" t="s">
        <v>17442</v>
      </c>
      <c r="F1222" t="s">
        <v>28198</v>
      </c>
      <c r="G1222" t="s">
        <v>28206</v>
      </c>
      <c r="H1222" t="s">
        <v>28215</v>
      </c>
      <c r="I1222" t="s">
        <v>8888</v>
      </c>
      <c r="J1222" t="s">
        <v>29242</v>
      </c>
      <c r="K1222" t="s">
        <v>36706</v>
      </c>
      <c r="M1222" t="s">
        <v>37151</v>
      </c>
      <c r="N1222" t="s">
        <v>40436</v>
      </c>
      <c r="O1222" t="s">
        <v>40437</v>
      </c>
      <c r="P1222">
        <v>0</v>
      </c>
      <c r="Q1222">
        <v>3</v>
      </c>
      <c r="R1222" t="s">
        <v>40438</v>
      </c>
      <c r="S1222" t="s">
        <v>40582</v>
      </c>
      <c r="T1222" t="s">
        <v>42156</v>
      </c>
      <c r="U1222" t="s">
        <v>43706</v>
      </c>
      <c r="V1222" t="s">
        <v>53812</v>
      </c>
      <c r="W1222" t="s">
        <v>37151</v>
      </c>
      <c r="X1222" t="s">
        <v>40439</v>
      </c>
    </row>
    <row r="1223" spans="1:24">
      <c r="A1223">
        <f>HYPERLINK("https://www.philgeps.gov.ph/GEPSNONPILOT/Tender/SplashBidNoticeAbstractUI.aspx?menuIndex=3&amp;refID=7048374&amp;Result=3","7048374")</f>
        <v>0</v>
      </c>
      <c r="B1223" t="s">
        <v>607</v>
      </c>
      <c r="C1223" t="s">
        <v>4283</v>
      </c>
      <c r="D1223" t="s">
        <v>16232</v>
      </c>
      <c r="E1223" t="s">
        <v>17443</v>
      </c>
      <c r="F1223" t="s">
        <v>28198</v>
      </c>
      <c r="G1223" t="s">
        <v>28207</v>
      </c>
      <c r="H1223" t="s">
        <v>28215</v>
      </c>
      <c r="I1223" t="s">
        <v>4219</v>
      </c>
      <c r="J1223" t="s">
        <v>29243</v>
      </c>
      <c r="K1223" t="s">
        <v>36687</v>
      </c>
      <c r="M1223" t="s">
        <v>37598</v>
      </c>
      <c r="N1223" t="s">
        <v>40436</v>
      </c>
      <c r="O1223" t="s">
        <v>40437</v>
      </c>
      <c r="P1223">
        <v>0</v>
      </c>
      <c r="Q1223">
        <v>0</v>
      </c>
      <c r="R1223" t="s">
        <v>40438</v>
      </c>
      <c r="S1223" t="s">
        <v>40582</v>
      </c>
      <c r="T1223" t="s">
        <v>42129</v>
      </c>
      <c r="U1223" t="s">
        <v>43707</v>
      </c>
      <c r="W1223" t="s">
        <v>37598</v>
      </c>
      <c r="X1223" t="s">
        <v>40439</v>
      </c>
    </row>
    <row r="1224" spans="1:24">
      <c r="A1224">
        <f>HYPERLINK("https://www.philgeps.gov.ph/GEPSNONPILOT/Tender/SplashBidNoticeAbstractUI.aspx?menuIndex=3&amp;refID=7048396&amp;Result=3","7048396")</f>
        <v>0</v>
      </c>
      <c r="B1224" t="s">
        <v>608</v>
      </c>
      <c r="C1224" t="s">
        <v>4284</v>
      </c>
      <c r="D1224" t="s">
        <v>16234</v>
      </c>
      <c r="E1224" t="s">
        <v>16322</v>
      </c>
      <c r="F1224" t="s">
        <v>28198</v>
      </c>
      <c r="G1224" t="s">
        <v>28205</v>
      </c>
      <c r="H1224" t="s">
        <v>28215</v>
      </c>
      <c r="I1224" t="s">
        <v>4200</v>
      </c>
      <c r="J1224" t="s">
        <v>29244</v>
      </c>
      <c r="K1224" t="s">
        <v>36701</v>
      </c>
      <c r="M1224" t="s">
        <v>37599</v>
      </c>
      <c r="N1224" t="s">
        <v>40436</v>
      </c>
      <c r="O1224" t="s">
        <v>40437</v>
      </c>
      <c r="P1224">
        <v>0</v>
      </c>
      <c r="Q1224">
        <v>0</v>
      </c>
      <c r="R1224" t="s">
        <v>40438</v>
      </c>
      <c r="S1224" t="s">
        <v>40582</v>
      </c>
      <c r="T1224" t="s">
        <v>42254</v>
      </c>
      <c r="U1224" t="s">
        <v>43708</v>
      </c>
      <c r="W1224" t="s">
        <v>37599</v>
      </c>
      <c r="X1224" t="s">
        <v>40439</v>
      </c>
    </row>
    <row r="1225" spans="1:24">
      <c r="A1225">
        <f>HYPERLINK("https://www.philgeps.gov.ph/GEPSNONPILOT/Tender/SplashBidNoticeAbstractUI.aspx?menuIndex=3&amp;refID=7048395&amp;Result=3","7048395")</f>
        <v>0</v>
      </c>
      <c r="B1225" t="s">
        <v>361</v>
      </c>
      <c r="C1225" t="s">
        <v>4285</v>
      </c>
      <c r="D1225" t="s">
        <v>16236</v>
      </c>
      <c r="E1225" t="s">
        <v>17444</v>
      </c>
      <c r="F1225" t="s">
        <v>28198</v>
      </c>
      <c r="G1225" t="s">
        <v>28205</v>
      </c>
      <c r="H1225" t="s">
        <v>28215</v>
      </c>
      <c r="I1225" t="s">
        <v>3774</v>
      </c>
      <c r="J1225" t="s">
        <v>29245</v>
      </c>
      <c r="K1225" t="s">
        <v>36707</v>
      </c>
      <c r="M1225" t="s">
        <v>37600</v>
      </c>
      <c r="N1225" t="s">
        <v>40436</v>
      </c>
      <c r="O1225" t="s">
        <v>40437</v>
      </c>
      <c r="P1225">
        <v>0</v>
      </c>
      <c r="Q1225">
        <v>0</v>
      </c>
      <c r="R1225" t="s">
        <v>40438</v>
      </c>
      <c r="S1225" t="s">
        <v>40582</v>
      </c>
      <c r="T1225" t="s">
        <v>42255</v>
      </c>
      <c r="U1225" t="s">
        <v>43709</v>
      </c>
      <c r="W1225" t="s">
        <v>37600</v>
      </c>
      <c r="X1225" t="s">
        <v>40439</v>
      </c>
    </row>
    <row r="1226" spans="1:24">
      <c r="A1226">
        <f>HYPERLINK("https://www.philgeps.gov.ph/GEPSNONPILOT/Tender/SplashBidNoticeAbstractUI.aspx?menuIndex=3&amp;refID=7048377&amp;Result=3","7048377")</f>
        <v>0</v>
      </c>
      <c r="B1226" t="s">
        <v>609</v>
      </c>
      <c r="C1226" t="s">
        <v>4286</v>
      </c>
      <c r="D1226" t="s">
        <v>16202</v>
      </c>
      <c r="E1226" t="s">
        <v>17445</v>
      </c>
      <c r="F1226" t="s">
        <v>28198</v>
      </c>
      <c r="G1226" t="s">
        <v>28207</v>
      </c>
      <c r="H1226" t="s">
        <v>28215</v>
      </c>
      <c r="I1226" t="s">
        <v>7310</v>
      </c>
      <c r="J1226" t="s">
        <v>29246</v>
      </c>
      <c r="K1226" t="s">
        <v>36701</v>
      </c>
      <c r="M1226" t="s">
        <v>37601</v>
      </c>
      <c r="N1226" t="s">
        <v>40436</v>
      </c>
      <c r="O1226" t="s">
        <v>40437</v>
      </c>
      <c r="P1226">
        <v>0</v>
      </c>
      <c r="Q1226">
        <v>3</v>
      </c>
      <c r="R1226" t="s">
        <v>40438</v>
      </c>
      <c r="S1226" t="s">
        <v>40582</v>
      </c>
      <c r="T1226" t="s">
        <v>42111</v>
      </c>
      <c r="U1226" t="s">
        <v>43710</v>
      </c>
      <c r="W1226" t="s">
        <v>37601</v>
      </c>
      <c r="X1226" t="s">
        <v>40439</v>
      </c>
    </row>
    <row r="1227" spans="1:24">
      <c r="A1227">
        <f>HYPERLINK("https://www.philgeps.gov.ph/GEPSNONPILOT/Tender/SplashBidNoticeAbstractUI.aspx?menuIndex=3&amp;refID=7048392&amp;Result=3","7048392")</f>
        <v>0</v>
      </c>
      <c r="B1227" t="s">
        <v>553</v>
      </c>
      <c r="C1227" t="s">
        <v>3220</v>
      </c>
      <c r="E1227" t="s">
        <v>17446</v>
      </c>
      <c r="F1227" t="s">
        <v>28198</v>
      </c>
      <c r="G1227" t="s">
        <v>28206</v>
      </c>
      <c r="H1227" t="s">
        <v>28215</v>
      </c>
      <c r="I1227" t="s">
        <v>5082</v>
      </c>
      <c r="J1227" t="s">
        <v>28352</v>
      </c>
      <c r="K1227" t="s">
        <v>36689</v>
      </c>
      <c r="M1227" t="s">
        <v>37539</v>
      </c>
      <c r="N1227" t="s">
        <v>40436</v>
      </c>
      <c r="O1227" t="s">
        <v>40437</v>
      </c>
      <c r="P1227">
        <v>0</v>
      </c>
      <c r="Q1227">
        <v>0</v>
      </c>
      <c r="R1227" t="s">
        <v>40438</v>
      </c>
      <c r="S1227" t="s">
        <v>40582</v>
      </c>
      <c r="T1227" t="s">
        <v>42253</v>
      </c>
      <c r="U1227" t="s">
        <v>43698</v>
      </c>
      <c r="W1227" t="s">
        <v>37539</v>
      </c>
      <c r="X1227" t="s">
        <v>40439</v>
      </c>
    </row>
    <row r="1228" spans="1:24">
      <c r="A1228">
        <f>HYPERLINK("https://www.philgeps.gov.ph/GEPSNONPILOT/Tender/SplashBidNoticeAbstractUI.aspx?menuIndex=3&amp;refID=7048391&amp;Result=3","7048391")</f>
        <v>0</v>
      </c>
      <c r="B1228" t="s">
        <v>314</v>
      </c>
      <c r="C1228" t="s">
        <v>4287</v>
      </c>
      <c r="D1228" t="s">
        <v>16194</v>
      </c>
      <c r="E1228" t="s">
        <v>17447</v>
      </c>
      <c r="F1228" t="s">
        <v>28198</v>
      </c>
      <c r="G1228" t="s">
        <v>28207</v>
      </c>
      <c r="H1228" t="s">
        <v>28215</v>
      </c>
      <c r="I1228" t="s">
        <v>28234</v>
      </c>
      <c r="J1228" t="s">
        <v>28397</v>
      </c>
      <c r="K1228" t="s">
        <v>36687</v>
      </c>
      <c r="M1228" t="s">
        <v>37553</v>
      </c>
      <c r="N1228" t="s">
        <v>40436</v>
      </c>
      <c r="O1228" t="s">
        <v>40437</v>
      </c>
      <c r="P1228">
        <v>0</v>
      </c>
      <c r="Q1228">
        <v>5</v>
      </c>
      <c r="R1228" t="s">
        <v>40438</v>
      </c>
      <c r="S1228" t="s">
        <v>40582</v>
      </c>
      <c r="T1228" t="s">
        <v>42103</v>
      </c>
      <c r="U1228" t="s">
        <v>43626</v>
      </c>
      <c r="V1228" t="s">
        <v>53922</v>
      </c>
      <c r="W1228" t="s">
        <v>55454</v>
      </c>
      <c r="X1228" t="s">
        <v>40439</v>
      </c>
    </row>
    <row r="1229" spans="1:24">
      <c r="A1229">
        <f>HYPERLINK("https://www.philgeps.gov.ph/GEPSNONPILOT/Tender/SplashBidNoticeAbstractUI.aspx?menuIndex=3&amp;refID=7048397&amp;Result=3","7048397")</f>
        <v>0</v>
      </c>
      <c r="B1229" t="s">
        <v>604</v>
      </c>
      <c r="C1229" t="s">
        <v>4288</v>
      </c>
      <c r="D1229" t="s">
        <v>16260</v>
      </c>
      <c r="E1229" t="s">
        <v>17448</v>
      </c>
      <c r="F1229" t="s">
        <v>28198</v>
      </c>
      <c r="G1229" t="s">
        <v>28207</v>
      </c>
      <c r="H1229" t="s">
        <v>28214</v>
      </c>
      <c r="I1229" t="s">
        <v>3797</v>
      </c>
      <c r="J1229" t="s">
        <v>29247</v>
      </c>
      <c r="K1229" t="s">
        <v>36747</v>
      </c>
      <c r="M1229" t="s">
        <v>37595</v>
      </c>
      <c r="N1229" t="s">
        <v>40436</v>
      </c>
      <c r="O1229" t="s">
        <v>40437</v>
      </c>
      <c r="P1229">
        <v>0</v>
      </c>
      <c r="Q1229">
        <v>0</v>
      </c>
      <c r="R1229" t="s">
        <v>40438</v>
      </c>
      <c r="S1229" t="s">
        <v>40582</v>
      </c>
      <c r="T1229" t="s">
        <v>42142</v>
      </c>
      <c r="U1229" t="s">
        <v>43119</v>
      </c>
      <c r="W1229" t="s">
        <v>37595</v>
      </c>
      <c r="X1229" t="s">
        <v>40439</v>
      </c>
    </row>
    <row r="1230" spans="1:24">
      <c r="A1230">
        <f>HYPERLINK("https://www.philgeps.gov.ph/GEPSNONPILOT/Tender/SplashBidNoticeAbstractUI.aspx?menuIndex=3&amp;refID=7048390&amp;Result=3","7048390")</f>
        <v>0</v>
      </c>
      <c r="B1230" t="s">
        <v>610</v>
      </c>
      <c r="C1230" t="s">
        <v>4289</v>
      </c>
      <c r="D1230" t="s">
        <v>16215</v>
      </c>
      <c r="E1230" t="s">
        <v>17032</v>
      </c>
      <c r="F1230" t="s">
        <v>28198</v>
      </c>
      <c r="G1230" t="s">
        <v>28205</v>
      </c>
      <c r="H1230" t="s">
        <v>28214</v>
      </c>
      <c r="I1230" t="s">
        <v>5100</v>
      </c>
      <c r="J1230" t="s">
        <v>29248</v>
      </c>
      <c r="K1230" t="s">
        <v>36701</v>
      </c>
      <c r="M1230" t="s">
        <v>37602</v>
      </c>
      <c r="N1230" t="s">
        <v>40436</v>
      </c>
      <c r="O1230" t="s">
        <v>40437</v>
      </c>
      <c r="P1230">
        <v>0</v>
      </c>
      <c r="Q1230">
        <v>0</v>
      </c>
      <c r="R1230" t="s">
        <v>40438</v>
      </c>
      <c r="S1230" t="s">
        <v>40582</v>
      </c>
      <c r="T1230" t="s">
        <v>42112</v>
      </c>
      <c r="U1230" t="s">
        <v>43711</v>
      </c>
      <c r="V1230" t="s">
        <v>53931</v>
      </c>
      <c r="W1230" t="s">
        <v>37602</v>
      </c>
      <c r="X1230" t="s">
        <v>40439</v>
      </c>
    </row>
    <row r="1231" spans="1:24">
      <c r="A1231">
        <f>HYPERLINK("https://www.philgeps.gov.ph/GEPSNONPILOT/Tender/SplashBidNoticeAbstractUI.aspx?menuIndex=3&amp;refID=7048378&amp;Result=3","7048378")</f>
        <v>0</v>
      </c>
      <c r="B1231" t="s">
        <v>611</v>
      </c>
      <c r="C1231" t="s">
        <v>4290</v>
      </c>
      <c r="D1231" t="s">
        <v>16188</v>
      </c>
      <c r="E1231" t="s">
        <v>17449</v>
      </c>
      <c r="F1231" t="s">
        <v>28198</v>
      </c>
      <c r="G1231" t="s">
        <v>28207</v>
      </c>
      <c r="H1231" t="s">
        <v>28215</v>
      </c>
      <c r="I1231" t="s">
        <v>5100</v>
      </c>
      <c r="J1231" t="s">
        <v>29249</v>
      </c>
      <c r="K1231" t="s">
        <v>36688</v>
      </c>
      <c r="M1231" t="s">
        <v>37603</v>
      </c>
      <c r="N1231" t="s">
        <v>40436</v>
      </c>
      <c r="O1231" t="s">
        <v>40437</v>
      </c>
      <c r="P1231">
        <v>0</v>
      </c>
      <c r="Q1231">
        <v>0</v>
      </c>
      <c r="R1231" t="s">
        <v>40438</v>
      </c>
      <c r="S1231" t="s">
        <v>40582</v>
      </c>
      <c r="T1231" t="s">
        <v>42129</v>
      </c>
      <c r="U1231" t="s">
        <v>43712</v>
      </c>
      <c r="W1231" t="s">
        <v>37603</v>
      </c>
      <c r="X1231" t="s">
        <v>40439</v>
      </c>
    </row>
    <row r="1232" spans="1:24">
      <c r="A1232">
        <f>HYPERLINK("https://www.philgeps.gov.ph/GEPSNONPILOT/Tender/SplashBidNoticeAbstractUI.aspx?menuIndex=3&amp;refID=7048385&amp;Result=3","7048385")</f>
        <v>0</v>
      </c>
      <c r="B1232" t="s">
        <v>501</v>
      </c>
      <c r="C1232" t="s">
        <v>4291</v>
      </c>
      <c r="D1232" t="s">
        <v>16210</v>
      </c>
      <c r="E1232" t="s">
        <v>17450</v>
      </c>
      <c r="F1232" t="s">
        <v>28198</v>
      </c>
      <c r="G1232" t="s">
        <v>28207</v>
      </c>
      <c r="H1232" t="s">
        <v>28215</v>
      </c>
      <c r="I1232" t="s">
        <v>28275</v>
      </c>
      <c r="J1232" t="s">
        <v>29250</v>
      </c>
      <c r="K1232" t="s">
        <v>36688</v>
      </c>
      <c r="M1232" t="s">
        <v>37486</v>
      </c>
      <c r="N1232" t="s">
        <v>40436</v>
      </c>
      <c r="O1232" t="s">
        <v>40437</v>
      </c>
      <c r="P1232">
        <v>0</v>
      </c>
      <c r="Q1232">
        <v>0</v>
      </c>
      <c r="R1232" t="s">
        <v>40438</v>
      </c>
      <c r="S1232" t="s">
        <v>40582</v>
      </c>
      <c r="T1232" t="s">
        <v>42188</v>
      </c>
      <c r="U1232" t="s">
        <v>43713</v>
      </c>
      <c r="W1232" t="s">
        <v>37486</v>
      </c>
      <c r="X1232" t="s">
        <v>40439</v>
      </c>
    </row>
    <row r="1233" spans="1:24">
      <c r="A1233">
        <f>HYPERLINK("https://www.philgeps.gov.ph/GEPSNONPILOT/Tender/SplashBidNoticeAbstractUI.aspx?menuIndex=3&amp;refID=7048386&amp;Result=3","7048386")</f>
        <v>0</v>
      </c>
      <c r="B1233" t="s">
        <v>612</v>
      </c>
      <c r="C1233" t="s">
        <v>4292</v>
      </c>
      <c r="D1233" t="s">
        <v>16245</v>
      </c>
      <c r="E1233" t="s">
        <v>17451</v>
      </c>
      <c r="F1233" t="s">
        <v>28198</v>
      </c>
      <c r="G1233" t="s">
        <v>28207</v>
      </c>
      <c r="H1233" t="s">
        <v>28215</v>
      </c>
      <c r="I1233" t="s">
        <v>5100</v>
      </c>
      <c r="J1233" t="s">
        <v>29251</v>
      </c>
      <c r="K1233" t="s">
        <v>36688</v>
      </c>
      <c r="M1233" t="s">
        <v>37604</v>
      </c>
      <c r="N1233" t="s">
        <v>40436</v>
      </c>
      <c r="O1233" t="s">
        <v>40437</v>
      </c>
      <c r="P1233">
        <v>0</v>
      </c>
      <c r="Q1233">
        <v>0</v>
      </c>
      <c r="R1233" t="s">
        <v>40438</v>
      </c>
      <c r="S1233" t="s">
        <v>40582</v>
      </c>
      <c r="T1233" t="s">
        <v>42115</v>
      </c>
      <c r="U1233" t="s">
        <v>43714</v>
      </c>
      <c r="W1233" t="s">
        <v>37604</v>
      </c>
      <c r="X1233" t="s">
        <v>40439</v>
      </c>
    </row>
    <row r="1234" spans="1:24">
      <c r="A1234">
        <f>HYPERLINK("https://www.philgeps.gov.ph/GEPSNONPILOT/Tender/SplashBidNoticeAbstractUI.aspx?menuIndex=3&amp;refID=7048379&amp;Result=3","7048379")</f>
        <v>0</v>
      </c>
      <c r="B1234" t="s">
        <v>613</v>
      </c>
      <c r="C1234" t="s">
        <v>4293</v>
      </c>
      <c r="D1234" t="s">
        <v>16203</v>
      </c>
      <c r="E1234" t="s">
        <v>17452</v>
      </c>
      <c r="F1234" t="s">
        <v>28198</v>
      </c>
      <c r="G1234" t="s">
        <v>28205</v>
      </c>
      <c r="H1234" t="s">
        <v>28214</v>
      </c>
      <c r="I1234" t="s">
        <v>3797</v>
      </c>
      <c r="J1234" t="s">
        <v>28683</v>
      </c>
      <c r="K1234" t="s">
        <v>36690</v>
      </c>
      <c r="M1234" t="s">
        <v>37605</v>
      </c>
      <c r="N1234" t="s">
        <v>40436</v>
      </c>
      <c r="O1234" t="s">
        <v>40437</v>
      </c>
      <c r="P1234">
        <v>0</v>
      </c>
      <c r="Q1234">
        <v>0</v>
      </c>
      <c r="R1234" t="s">
        <v>40438</v>
      </c>
      <c r="S1234" t="s">
        <v>40582</v>
      </c>
      <c r="T1234" t="s">
        <v>42256</v>
      </c>
      <c r="U1234" t="s">
        <v>43715</v>
      </c>
      <c r="W1234" t="s">
        <v>37605</v>
      </c>
      <c r="X1234" t="s">
        <v>40439</v>
      </c>
    </row>
    <row r="1235" spans="1:24">
      <c r="A1235">
        <f>HYPERLINK("https://www.philgeps.gov.ph/GEPSNONPILOT/Tender/SplashBidNoticeAbstractUI.aspx?menuIndex=3&amp;refID=7048401&amp;Result=3","7048401")</f>
        <v>0</v>
      </c>
      <c r="B1235" t="s">
        <v>614</v>
      </c>
      <c r="C1235" t="s">
        <v>4294</v>
      </c>
      <c r="D1235" t="s">
        <v>16187</v>
      </c>
      <c r="E1235" t="s">
        <v>17453</v>
      </c>
      <c r="F1235" t="s">
        <v>28198</v>
      </c>
      <c r="G1235" t="s">
        <v>28205</v>
      </c>
      <c r="H1235" t="s">
        <v>28214</v>
      </c>
      <c r="I1235" t="s">
        <v>28242</v>
      </c>
      <c r="J1235" t="s">
        <v>28351</v>
      </c>
      <c r="K1235" t="s">
        <v>36694</v>
      </c>
      <c r="M1235" t="s">
        <v>37606</v>
      </c>
      <c r="N1235" t="s">
        <v>40436</v>
      </c>
      <c r="O1235" t="s">
        <v>40437</v>
      </c>
      <c r="P1235">
        <v>0</v>
      </c>
      <c r="Q1235">
        <v>1</v>
      </c>
      <c r="R1235" t="s">
        <v>40438</v>
      </c>
      <c r="S1235" t="s">
        <v>40582</v>
      </c>
      <c r="T1235" t="s">
        <v>42257</v>
      </c>
      <c r="U1235" t="s">
        <v>43716</v>
      </c>
      <c r="W1235" t="s">
        <v>37606</v>
      </c>
      <c r="X1235" t="s">
        <v>40439</v>
      </c>
    </row>
    <row r="1236" spans="1:24">
      <c r="A1236">
        <f>HYPERLINK("https://www.philgeps.gov.ph/GEPSNONPILOT/Tender/SplashBidNoticeAbstractUI.aspx?menuIndex=3&amp;refID=7048387&amp;Result=3","7048387")</f>
        <v>0</v>
      </c>
      <c r="B1236" t="s">
        <v>615</v>
      </c>
      <c r="C1236" t="s">
        <v>4295</v>
      </c>
      <c r="D1236" t="s">
        <v>16233</v>
      </c>
      <c r="E1236" t="s">
        <v>17454</v>
      </c>
      <c r="F1236" t="s">
        <v>28198</v>
      </c>
      <c r="G1236" t="s">
        <v>28206</v>
      </c>
      <c r="H1236" t="s">
        <v>28215</v>
      </c>
      <c r="I1236" t="s">
        <v>4505</v>
      </c>
      <c r="J1236" t="s">
        <v>28772</v>
      </c>
      <c r="K1236" t="s">
        <v>36688</v>
      </c>
      <c r="M1236" t="s">
        <v>37607</v>
      </c>
      <c r="N1236" t="s">
        <v>40436</v>
      </c>
      <c r="O1236" t="s">
        <v>40437</v>
      </c>
      <c r="P1236">
        <v>0</v>
      </c>
      <c r="Q1236">
        <v>3</v>
      </c>
      <c r="R1236" t="s">
        <v>40438</v>
      </c>
      <c r="S1236" t="s">
        <v>40582</v>
      </c>
      <c r="T1236" t="s">
        <v>42133</v>
      </c>
      <c r="U1236" t="s">
        <v>43717</v>
      </c>
      <c r="W1236" t="s">
        <v>37607</v>
      </c>
      <c r="X1236" t="s">
        <v>40439</v>
      </c>
    </row>
    <row r="1237" spans="1:24">
      <c r="A1237">
        <f>HYPERLINK("https://www.philgeps.gov.ph/GEPSNONPILOT/Tender/SplashBidNoticeAbstractUI.aspx?menuIndex=3&amp;refID=7048400&amp;Result=3","7048400")</f>
        <v>0</v>
      </c>
      <c r="B1237" t="s">
        <v>533</v>
      </c>
      <c r="C1237" t="s">
        <v>4296</v>
      </c>
      <c r="D1237" t="s">
        <v>16190</v>
      </c>
      <c r="E1237" t="s">
        <v>16504</v>
      </c>
      <c r="F1237" t="s">
        <v>28198</v>
      </c>
      <c r="G1237" t="s">
        <v>28207</v>
      </c>
      <c r="H1237" t="s">
        <v>28215</v>
      </c>
      <c r="I1237" t="s">
        <v>28227</v>
      </c>
      <c r="J1237" t="s">
        <v>29252</v>
      </c>
      <c r="K1237" t="s">
        <v>36688</v>
      </c>
      <c r="M1237" t="s">
        <v>37519</v>
      </c>
      <c r="N1237" t="s">
        <v>40436</v>
      </c>
      <c r="O1237" t="s">
        <v>40437</v>
      </c>
      <c r="P1237">
        <v>0</v>
      </c>
      <c r="Q1237">
        <v>0</v>
      </c>
      <c r="R1237" t="s">
        <v>40438</v>
      </c>
      <c r="S1237" t="s">
        <v>40582</v>
      </c>
      <c r="T1237" t="s">
        <v>42142</v>
      </c>
      <c r="U1237" t="s">
        <v>43718</v>
      </c>
      <c r="W1237" t="s">
        <v>37519</v>
      </c>
      <c r="X1237" t="s">
        <v>40439</v>
      </c>
    </row>
    <row r="1238" spans="1:24">
      <c r="A1238">
        <f>HYPERLINK("https://www.philgeps.gov.ph/GEPSNONPILOT/Tender/SplashBidNoticeAbstractUI.aspx?menuIndex=3&amp;refID=7048383&amp;Result=3","7048383")</f>
        <v>0</v>
      </c>
      <c r="B1238" t="s">
        <v>432</v>
      </c>
      <c r="C1238" t="s">
        <v>4297</v>
      </c>
      <c r="D1238" t="s">
        <v>16262</v>
      </c>
      <c r="E1238" t="s">
        <v>17455</v>
      </c>
      <c r="F1238" t="s">
        <v>28198</v>
      </c>
      <c r="G1238" t="s">
        <v>28205</v>
      </c>
      <c r="H1238" t="s">
        <v>28215</v>
      </c>
      <c r="I1238" t="s">
        <v>5100</v>
      </c>
      <c r="J1238" t="s">
        <v>29253</v>
      </c>
      <c r="K1238" t="s">
        <v>36707</v>
      </c>
      <c r="M1238" t="s">
        <v>37415</v>
      </c>
      <c r="N1238" t="s">
        <v>40436</v>
      </c>
      <c r="O1238" t="s">
        <v>40437</v>
      </c>
      <c r="P1238">
        <v>0</v>
      </c>
      <c r="Q1238">
        <v>0</v>
      </c>
      <c r="R1238" t="s">
        <v>40438</v>
      </c>
      <c r="S1238" t="s">
        <v>40582</v>
      </c>
      <c r="T1238" t="s">
        <v>42115</v>
      </c>
      <c r="U1238" t="s">
        <v>43437</v>
      </c>
      <c r="W1238" t="s">
        <v>37415</v>
      </c>
      <c r="X1238" t="s">
        <v>40439</v>
      </c>
    </row>
    <row r="1239" spans="1:24">
      <c r="A1239">
        <f>HYPERLINK("https://www.philgeps.gov.ph/GEPSNONPILOT/Tender/SplashBidNoticeAbstractUI.aspx?menuIndex=3&amp;refID=7048384&amp;Result=3","7048384")</f>
        <v>0</v>
      </c>
      <c r="B1239" t="s">
        <v>595</v>
      </c>
      <c r="C1239" t="s">
        <v>4298</v>
      </c>
      <c r="D1239" t="s">
        <v>16195</v>
      </c>
      <c r="E1239" t="s">
        <v>17456</v>
      </c>
      <c r="F1239" t="s">
        <v>28198</v>
      </c>
      <c r="G1239" t="s">
        <v>28207</v>
      </c>
      <c r="H1239" t="s">
        <v>28215</v>
      </c>
      <c r="I1239" t="s">
        <v>28246</v>
      </c>
      <c r="J1239" t="s">
        <v>29254</v>
      </c>
      <c r="K1239" t="s">
        <v>36697</v>
      </c>
      <c r="M1239" t="s">
        <v>37584</v>
      </c>
      <c r="N1239" t="s">
        <v>40436</v>
      </c>
      <c r="O1239" t="s">
        <v>40437</v>
      </c>
      <c r="P1239">
        <v>0</v>
      </c>
      <c r="Q1239">
        <v>1</v>
      </c>
      <c r="R1239" t="s">
        <v>40438</v>
      </c>
      <c r="S1239" t="s">
        <v>40582</v>
      </c>
      <c r="T1239" t="s">
        <v>42116</v>
      </c>
      <c r="U1239" t="s">
        <v>43719</v>
      </c>
      <c r="W1239" t="s">
        <v>37584</v>
      </c>
      <c r="X1239" t="s">
        <v>40439</v>
      </c>
    </row>
    <row r="1240" spans="1:24">
      <c r="A1240">
        <f>HYPERLINK("https://www.philgeps.gov.ph/GEPSNONPILOT/Tender/SplashBidNoticeAbstractUI.aspx?menuIndex=3&amp;refID=7048382&amp;Result=3","7048382")</f>
        <v>0</v>
      </c>
      <c r="B1240" t="s">
        <v>604</v>
      </c>
      <c r="C1240" t="s">
        <v>4299</v>
      </c>
      <c r="D1240" t="s">
        <v>16260</v>
      </c>
      <c r="E1240" t="s">
        <v>17457</v>
      </c>
      <c r="F1240" t="s">
        <v>28198</v>
      </c>
      <c r="G1240" t="s">
        <v>28207</v>
      </c>
      <c r="H1240" t="s">
        <v>28215</v>
      </c>
      <c r="I1240" t="s">
        <v>5082</v>
      </c>
      <c r="J1240" t="s">
        <v>29255</v>
      </c>
      <c r="K1240" t="s">
        <v>36688</v>
      </c>
      <c r="M1240" t="s">
        <v>37595</v>
      </c>
      <c r="N1240" t="s">
        <v>40436</v>
      </c>
      <c r="O1240" t="s">
        <v>40437</v>
      </c>
      <c r="P1240">
        <v>0</v>
      </c>
      <c r="Q1240">
        <v>5</v>
      </c>
      <c r="R1240" t="s">
        <v>40438</v>
      </c>
      <c r="S1240" t="s">
        <v>40582</v>
      </c>
      <c r="T1240" t="s">
        <v>42142</v>
      </c>
      <c r="U1240" t="s">
        <v>43119</v>
      </c>
      <c r="W1240" t="s">
        <v>37595</v>
      </c>
      <c r="X1240" t="s">
        <v>40439</v>
      </c>
    </row>
    <row r="1241" spans="1:24">
      <c r="A1241">
        <f>HYPERLINK("https://www.philgeps.gov.ph/GEPSNONPILOT/Tender/SplashBidNoticeAbstractUI.aspx?menuIndex=3&amp;refID=7048399&amp;Result=3","7048399")</f>
        <v>0</v>
      </c>
      <c r="B1241" t="s">
        <v>606</v>
      </c>
      <c r="C1241" t="s">
        <v>4300</v>
      </c>
      <c r="D1241" t="s">
        <v>16195</v>
      </c>
      <c r="E1241" t="s">
        <v>17458</v>
      </c>
      <c r="F1241" t="s">
        <v>28198</v>
      </c>
      <c r="G1241" t="s">
        <v>28206</v>
      </c>
      <c r="H1241" t="s">
        <v>28215</v>
      </c>
      <c r="I1241" t="s">
        <v>4219</v>
      </c>
      <c r="J1241" t="s">
        <v>29256</v>
      </c>
      <c r="K1241" t="s">
        <v>36688</v>
      </c>
      <c r="M1241" t="s">
        <v>37597</v>
      </c>
      <c r="N1241" t="s">
        <v>40436</v>
      </c>
      <c r="O1241" t="s">
        <v>40437</v>
      </c>
      <c r="P1241">
        <v>0</v>
      </c>
      <c r="Q1241">
        <v>0</v>
      </c>
      <c r="R1241" t="s">
        <v>40438</v>
      </c>
      <c r="S1241" t="s">
        <v>40582</v>
      </c>
      <c r="T1241" t="s">
        <v>42175</v>
      </c>
      <c r="U1241" t="s">
        <v>43720</v>
      </c>
      <c r="W1241" t="s">
        <v>37597</v>
      </c>
      <c r="X1241" t="s">
        <v>40439</v>
      </c>
    </row>
    <row r="1242" spans="1:24">
      <c r="A1242">
        <f>HYPERLINK("https://www.philgeps.gov.ph/GEPSNONPILOT/Tender/SplashBidNoticeAbstractUI.aspx?menuIndex=3&amp;refID=7048405&amp;Result=3","7048405")</f>
        <v>0</v>
      </c>
      <c r="B1242" t="s">
        <v>601</v>
      </c>
      <c r="C1242" t="s">
        <v>4301</v>
      </c>
      <c r="D1242" t="s">
        <v>16204</v>
      </c>
      <c r="E1242" t="s">
        <v>17459</v>
      </c>
      <c r="F1242" t="s">
        <v>28198</v>
      </c>
      <c r="G1242" t="s">
        <v>28210</v>
      </c>
      <c r="H1242" t="s">
        <v>28215</v>
      </c>
      <c r="I1242" t="s">
        <v>28258</v>
      </c>
      <c r="J1242" t="s">
        <v>29257</v>
      </c>
      <c r="K1242" t="s">
        <v>36689</v>
      </c>
      <c r="M1242" t="s">
        <v>37592</v>
      </c>
      <c r="N1242" t="s">
        <v>40436</v>
      </c>
      <c r="O1242" t="s">
        <v>40437</v>
      </c>
      <c r="P1242">
        <v>0</v>
      </c>
      <c r="Q1242">
        <v>2</v>
      </c>
      <c r="R1242" t="s">
        <v>40438</v>
      </c>
      <c r="S1242" t="s">
        <v>40582</v>
      </c>
      <c r="T1242" t="s">
        <v>42119</v>
      </c>
      <c r="U1242" t="s">
        <v>43721</v>
      </c>
      <c r="W1242" t="s">
        <v>37592</v>
      </c>
      <c r="X1242" t="s">
        <v>40439</v>
      </c>
    </row>
    <row r="1243" spans="1:24">
      <c r="A1243">
        <f>HYPERLINK("https://www.philgeps.gov.ph/GEPSNONPILOT/Tender/SplashBidNoticeAbstractUI.aspx?menuIndex=3&amp;refID=7048411&amp;Result=3","7048411")</f>
        <v>0</v>
      </c>
      <c r="B1243" t="s">
        <v>432</v>
      </c>
      <c r="C1243" t="s">
        <v>4302</v>
      </c>
      <c r="D1243" t="s">
        <v>16262</v>
      </c>
      <c r="E1243" t="s">
        <v>17460</v>
      </c>
      <c r="F1243" t="s">
        <v>28198</v>
      </c>
      <c r="G1243" t="s">
        <v>28205</v>
      </c>
      <c r="H1243" t="s">
        <v>28215</v>
      </c>
      <c r="I1243" t="s">
        <v>5100</v>
      </c>
      <c r="J1243" t="s">
        <v>29258</v>
      </c>
      <c r="K1243" t="s">
        <v>36707</v>
      </c>
      <c r="M1243" t="s">
        <v>37415</v>
      </c>
      <c r="N1243" t="s">
        <v>40436</v>
      </c>
      <c r="O1243" t="s">
        <v>40437</v>
      </c>
      <c r="P1243">
        <v>0</v>
      </c>
      <c r="Q1243">
        <v>0</v>
      </c>
      <c r="R1243" t="s">
        <v>40438</v>
      </c>
      <c r="S1243" t="s">
        <v>40582</v>
      </c>
      <c r="T1243" t="s">
        <v>42115</v>
      </c>
      <c r="U1243" t="s">
        <v>43437</v>
      </c>
      <c r="W1243" t="s">
        <v>37415</v>
      </c>
      <c r="X1243" t="s">
        <v>40439</v>
      </c>
    </row>
    <row r="1244" spans="1:24">
      <c r="A1244">
        <f>HYPERLINK("https://www.philgeps.gov.ph/GEPSNONPILOT/Tender/SplashBidNoticeAbstractUI.aspx?menuIndex=3&amp;refID=7048408&amp;Result=3","7048408")</f>
        <v>0</v>
      </c>
      <c r="B1244" t="s">
        <v>616</v>
      </c>
      <c r="C1244" t="s">
        <v>4303</v>
      </c>
      <c r="D1244" t="s">
        <v>16238</v>
      </c>
      <c r="E1244" t="s">
        <v>17461</v>
      </c>
      <c r="F1244" t="s">
        <v>28198</v>
      </c>
      <c r="G1244" t="s">
        <v>28206</v>
      </c>
      <c r="H1244" t="s">
        <v>28215</v>
      </c>
      <c r="I1244" t="s">
        <v>5100</v>
      </c>
      <c r="J1244" t="s">
        <v>28597</v>
      </c>
      <c r="K1244" t="s">
        <v>36706</v>
      </c>
      <c r="M1244" t="s">
        <v>37608</v>
      </c>
      <c r="N1244" t="s">
        <v>40436</v>
      </c>
      <c r="O1244" t="s">
        <v>40437</v>
      </c>
      <c r="P1244">
        <v>0</v>
      </c>
      <c r="Q1244">
        <v>0</v>
      </c>
      <c r="R1244" t="s">
        <v>40438</v>
      </c>
      <c r="S1244" t="s">
        <v>40582</v>
      </c>
      <c r="T1244" t="s">
        <v>42258</v>
      </c>
      <c r="U1244" t="s">
        <v>43722</v>
      </c>
      <c r="W1244" t="s">
        <v>37608</v>
      </c>
      <c r="X1244" t="s">
        <v>40439</v>
      </c>
    </row>
    <row r="1245" spans="1:24">
      <c r="A1245">
        <f>HYPERLINK("https://www.philgeps.gov.ph/GEPSNONPILOT/Tender/SplashBidNoticeAbstractUI.aspx?menuIndex=3&amp;refID=7048416&amp;Result=3","7048416")</f>
        <v>0</v>
      </c>
      <c r="B1245" t="s">
        <v>607</v>
      </c>
      <c r="C1245" t="s">
        <v>4304</v>
      </c>
      <c r="D1245" t="s">
        <v>16232</v>
      </c>
      <c r="E1245" t="s">
        <v>17462</v>
      </c>
      <c r="F1245" t="s">
        <v>28198</v>
      </c>
      <c r="G1245" t="s">
        <v>28207</v>
      </c>
      <c r="H1245" t="s">
        <v>28215</v>
      </c>
      <c r="I1245" t="s">
        <v>28300</v>
      </c>
      <c r="J1245" t="s">
        <v>28406</v>
      </c>
      <c r="K1245" t="s">
        <v>36687</v>
      </c>
      <c r="M1245" t="s">
        <v>37598</v>
      </c>
      <c r="N1245" t="s">
        <v>40436</v>
      </c>
      <c r="O1245" t="s">
        <v>40437</v>
      </c>
      <c r="P1245">
        <v>0</v>
      </c>
      <c r="Q1245">
        <v>0</v>
      </c>
      <c r="R1245" t="s">
        <v>40438</v>
      </c>
      <c r="S1245" t="s">
        <v>40582</v>
      </c>
      <c r="T1245" t="s">
        <v>42129</v>
      </c>
      <c r="U1245" t="s">
        <v>43723</v>
      </c>
      <c r="W1245" t="s">
        <v>37598</v>
      </c>
      <c r="X1245" t="s">
        <v>40439</v>
      </c>
    </row>
    <row r="1246" spans="1:24">
      <c r="A1246">
        <f>HYPERLINK("https://www.philgeps.gov.ph/GEPSNONPILOT/Tender/SplashBidNoticeAbstractUI.aspx?menuIndex=3&amp;refID=7048413&amp;Result=3","7048413")</f>
        <v>0</v>
      </c>
      <c r="B1246" t="s">
        <v>617</v>
      </c>
      <c r="C1246" t="s">
        <v>4305</v>
      </c>
      <c r="D1246" t="s">
        <v>16253</v>
      </c>
      <c r="E1246" t="s">
        <v>17463</v>
      </c>
      <c r="F1246" t="s">
        <v>28198</v>
      </c>
      <c r="G1246" t="s">
        <v>28207</v>
      </c>
      <c r="H1246" t="s">
        <v>28215</v>
      </c>
      <c r="I1246" t="s">
        <v>28225</v>
      </c>
      <c r="J1246" t="s">
        <v>29259</v>
      </c>
      <c r="K1246" t="s">
        <v>36701</v>
      </c>
      <c r="M1246" t="s">
        <v>37609</v>
      </c>
      <c r="N1246" t="s">
        <v>40436</v>
      </c>
      <c r="O1246" t="s">
        <v>40437</v>
      </c>
      <c r="P1246">
        <v>0</v>
      </c>
      <c r="Q1246">
        <v>2</v>
      </c>
      <c r="R1246" t="s">
        <v>40438</v>
      </c>
      <c r="S1246" t="s">
        <v>40582</v>
      </c>
      <c r="T1246" t="s">
        <v>42129</v>
      </c>
      <c r="U1246" t="s">
        <v>43724</v>
      </c>
      <c r="V1246" t="s">
        <v>53932</v>
      </c>
      <c r="W1246" t="s">
        <v>37609</v>
      </c>
      <c r="X1246" t="s">
        <v>40439</v>
      </c>
    </row>
    <row r="1247" spans="1:24">
      <c r="A1247">
        <f>HYPERLINK("https://www.philgeps.gov.ph/GEPSNONPILOT/Tender/SplashBidNoticeAbstractUI.aspx?menuIndex=3&amp;refID=7048407&amp;Result=3","7048407")</f>
        <v>0</v>
      </c>
      <c r="B1247" t="s">
        <v>618</v>
      </c>
      <c r="C1247" t="s">
        <v>4306</v>
      </c>
      <c r="D1247" t="s">
        <v>16241</v>
      </c>
      <c r="E1247" t="s">
        <v>17464</v>
      </c>
      <c r="F1247" t="s">
        <v>28198</v>
      </c>
      <c r="G1247" t="s">
        <v>28207</v>
      </c>
      <c r="H1247" t="s">
        <v>28215</v>
      </c>
      <c r="I1247" t="s">
        <v>28279</v>
      </c>
      <c r="J1247" t="s">
        <v>28430</v>
      </c>
      <c r="K1247" t="s">
        <v>36688</v>
      </c>
      <c r="M1247" t="s">
        <v>37610</v>
      </c>
      <c r="N1247" t="s">
        <v>40436</v>
      </c>
      <c r="O1247" t="s">
        <v>40437</v>
      </c>
      <c r="P1247">
        <v>0</v>
      </c>
      <c r="Q1247">
        <v>2</v>
      </c>
      <c r="R1247" t="s">
        <v>40438</v>
      </c>
      <c r="S1247" t="s">
        <v>40582</v>
      </c>
      <c r="T1247" t="s">
        <v>42103</v>
      </c>
      <c r="U1247" t="s">
        <v>43725</v>
      </c>
      <c r="W1247" t="s">
        <v>37610</v>
      </c>
      <c r="X1247" t="s">
        <v>40439</v>
      </c>
    </row>
    <row r="1248" spans="1:24">
      <c r="A1248">
        <f>HYPERLINK("https://www.philgeps.gov.ph/GEPSNONPILOT/Tender/SplashBidNoticeAbstractUI.aspx?menuIndex=3&amp;refID=7048414&amp;Result=3","7048414")</f>
        <v>0</v>
      </c>
      <c r="B1248" t="s">
        <v>619</v>
      </c>
      <c r="C1248" t="s">
        <v>4307</v>
      </c>
      <c r="D1248" t="s">
        <v>16190</v>
      </c>
      <c r="E1248" t="s">
        <v>17465</v>
      </c>
      <c r="F1248" t="s">
        <v>28199</v>
      </c>
      <c r="G1248" t="s">
        <v>28210</v>
      </c>
      <c r="H1248" t="s">
        <v>28215</v>
      </c>
      <c r="I1248" t="s">
        <v>28225</v>
      </c>
      <c r="J1248" t="s">
        <v>28878</v>
      </c>
      <c r="K1248" t="s">
        <v>36691</v>
      </c>
      <c r="M1248" t="s">
        <v>37611</v>
      </c>
      <c r="N1248" t="s">
        <v>40436</v>
      </c>
      <c r="O1248" t="s">
        <v>40437</v>
      </c>
      <c r="P1248">
        <v>0</v>
      </c>
      <c r="Q1248">
        <v>1</v>
      </c>
      <c r="R1248" t="s">
        <v>40438</v>
      </c>
      <c r="S1248" t="s">
        <v>40582</v>
      </c>
      <c r="T1248" t="s">
        <v>42098</v>
      </c>
      <c r="U1248" t="s">
        <v>43726</v>
      </c>
      <c r="W1248" t="s">
        <v>37611</v>
      </c>
      <c r="X1248" t="s">
        <v>40439</v>
      </c>
    </row>
    <row r="1249" spans="1:24">
      <c r="A1249">
        <f>HYPERLINK("https://www.philgeps.gov.ph/GEPSNONPILOT/Tender/SplashBidNoticeAbstractUI.aspx?menuIndex=3&amp;refID=7048426&amp;Result=3","7048426")</f>
        <v>0</v>
      </c>
      <c r="B1249" t="s">
        <v>620</v>
      </c>
      <c r="C1249" t="s">
        <v>4174</v>
      </c>
      <c r="D1249" t="s">
        <v>16222</v>
      </c>
      <c r="E1249" t="s">
        <v>17466</v>
      </c>
      <c r="F1249" t="s">
        <v>28198</v>
      </c>
      <c r="G1249" t="s">
        <v>28207</v>
      </c>
      <c r="H1249" t="s">
        <v>28215</v>
      </c>
      <c r="I1249" t="s">
        <v>28243</v>
      </c>
      <c r="J1249" t="s">
        <v>29260</v>
      </c>
      <c r="K1249" t="s">
        <v>36691</v>
      </c>
      <c r="M1249" t="s">
        <v>37612</v>
      </c>
      <c r="N1249" t="s">
        <v>40436</v>
      </c>
      <c r="O1249" t="s">
        <v>40437</v>
      </c>
      <c r="P1249">
        <v>0</v>
      </c>
      <c r="Q1249">
        <v>1</v>
      </c>
      <c r="R1249" t="s">
        <v>40438</v>
      </c>
      <c r="S1249" t="s">
        <v>40582</v>
      </c>
      <c r="T1249" t="s">
        <v>42103</v>
      </c>
      <c r="U1249" t="s">
        <v>43727</v>
      </c>
      <c r="W1249" t="s">
        <v>37612</v>
      </c>
      <c r="X1249" t="s">
        <v>40439</v>
      </c>
    </row>
    <row r="1250" spans="1:24">
      <c r="A1250">
        <f>HYPERLINK("https://www.philgeps.gov.ph/GEPSNONPILOT/Tender/SplashBidNoticeAbstractUI.aspx?menuIndex=3&amp;refID=7048410&amp;Result=3","7048410")</f>
        <v>0</v>
      </c>
      <c r="B1250" t="s">
        <v>579</v>
      </c>
      <c r="C1250" t="s">
        <v>4308</v>
      </c>
      <c r="D1250" t="s">
        <v>16224</v>
      </c>
      <c r="E1250" t="s">
        <v>17467</v>
      </c>
      <c r="F1250" t="s">
        <v>28198</v>
      </c>
      <c r="G1250" t="s">
        <v>28210</v>
      </c>
      <c r="H1250" t="s">
        <v>28215</v>
      </c>
      <c r="I1250" t="s">
        <v>4505</v>
      </c>
      <c r="J1250" t="s">
        <v>29261</v>
      </c>
      <c r="K1250" t="s">
        <v>36707</v>
      </c>
      <c r="M1250" t="s">
        <v>37568</v>
      </c>
      <c r="N1250" t="s">
        <v>40436</v>
      </c>
      <c r="O1250" t="s">
        <v>40437</v>
      </c>
      <c r="P1250">
        <v>0</v>
      </c>
      <c r="Q1250">
        <v>10</v>
      </c>
      <c r="R1250" t="s">
        <v>40438</v>
      </c>
      <c r="S1250" t="s">
        <v>40582</v>
      </c>
      <c r="T1250" t="s">
        <v>42133</v>
      </c>
      <c r="U1250" t="s">
        <v>43728</v>
      </c>
      <c r="W1250" t="s">
        <v>37568</v>
      </c>
      <c r="X1250" t="s">
        <v>40439</v>
      </c>
    </row>
    <row r="1251" spans="1:24">
      <c r="A1251">
        <f>HYPERLINK("https://www.philgeps.gov.ph/GEPSNONPILOT/Tender/SplashBidNoticeAbstractUI.aspx?menuIndex=3&amp;refID=7048415&amp;Result=3","7048415")</f>
        <v>0</v>
      </c>
      <c r="B1251" t="s">
        <v>621</v>
      </c>
      <c r="C1251" t="s">
        <v>4309</v>
      </c>
      <c r="E1251" t="s">
        <v>17468</v>
      </c>
      <c r="F1251" t="s">
        <v>28201</v>
      </c>
      <c r="G1251" t="s">
        <v>28205</v>
      </c>
      <c r="H1251" t="s">
        <v>28215</v>
      </c>
      <c r="I1251" t="s">
        <v>5100</v>
      </c>
      <c r="J1251" t="s">
        <v>29262</v>
      </c>
      <c r="K1251" t="s">
        <v>36689</v>
      </c>
      <c r="M1251" t="s">
        <v>37613</v>
      </c>
      <c r="N1251" t="s">
        <v>40436</v>
      </c>
      <c r="O1251" t="s">
        <v>40437</v>
      </c>
      <c r="P1251">
        <v>0</v>
      </c>
      <c r="Q1251">
        <v>0</v>
      </c>
      <c r="R1251" t="s">
        <v>40438</v>
      </c>
      <c r="S1251" t="s">
        <v>40582</v>
      </c>
      <c r="T1251" t="s">
        <v>42259</v>
      </c>
      <c r="U1251" t="s">
        <v>43729</v>
      </c>
      <c r="W1251" t="s">
        <v>37613</v>
      </c>
      <c r="X1251" t="s">
        <v>40439</v>
      </c>
    </row>
    <row r="1252" spans="1:24">
      <c r="A1252">
        <f>HYPERLINK("https://www.philgeps.gov.ph/GEPSNONPILOT/Tender/SplashBidNoticeAbstractUI.aspx?menuIndex=3&amp;refID=7048425&amp;Result=3","7048425")</f>
        <v>0</v>
      </c>
      <c r="B1252" t="s">
        <v>541</v>
      </c>
      <c r="C1252" t="s">
        <v>4310</v>
      </c>
      <c r="D1252" t="s">
        <v>16195</v>
      </c>
      <c r="E1252" t="s">
        <v>17469</v>
      </c>
      <c r="F1252" t="s">
        <v>28198</v>
      </c>
      <c r="G1252" t="s">
        <v>28205</v>
      </c>
      <c r="H1252" t="s">
        <v>28215</v>
      </c>
      <c r="I1252" t="s">
        <v>28243</v>
      </c>
      <c r="J1252" t="s">
        <v>28415</v>
      </c>
      <c r="K1252" t="s">
        <v>36715</v>
      </c>
      <c r="M1252" t="s">
        <v>37527</v>
      </c>
      <c r="N1252" t="s">
        <v>40436</v>
      </c>
      <c r="O1252" t="s">
        <v>40437</v>
      </c>
      <c r="P1252">
        <v>0</v>
      </c>
      <c r="Q1252">
        <v>1</v>
      </c>
      <c r="R1252" t="s">
        <v>40438</v>
      </c>
      <c r="S1252" t="s">
        <v>40582</v>
      </c>
      <c r="T1252" t="s">
        <v>42183</v>
      </c>
      <c r="U1252" t="s">
        <v>43730</v>
      </c>
      <c r="W1252" t="s">
        <v>37527</v>
      </c>
      <c r="X1252" t="s">
        <v>40439</v>
      </c>
    </row>
    <row r="1253" spans="1:24">
      <c r="A1253">
        <f>HYPERLINK("https://www.philgeps.gov.ph/GEPSNONPILOT/Tender/SplashBidNoticeAbstractUI.aspx?menuIndex=3&amp;refID=7048409&amp;Result=3","7048409")</f>
        <v>0</v>
      </c>
      <c r="B1253" t="s">
        <v>609</v>
      </c>
      <c r="C1253" t="s">
        <v>4311</v>
      </c>
      <c r="D1253" t="s">
        <v>16202</v>
      </c>
      <c r="E1253" t="s">
        <v>17470</v>
      </c>
      <c r="F1253" t="s">
        <v>28198</v>
      </c>
      <c r="G1253" t="s">
        <v>28207</v>
      </c>
      <c r="H1253" t="s">
        <v>28217</v>
      </c>
      <c r="I1253" t="s">
        <v>7310</v>
      </c>
      <c r="J1253" t="s">
        <v>28589</v>
      </c>
      <c r="K1253" t="s">
        <v>36701</v>
      </c>
      <c r="M1253" t="s">
        <v>37601</v>
      </c>
      <c r="N1253" t="s">
        <v>40436</v>
      </c>
      <c r="O1253" t="s">
        <v>40437</v>
      </c>
      <c r="P1253">
        <v>0</v>
      </c>
      <c r="Q1253">
        <v>0</v>
      </c>
      <c r="R1253" t="s">
        <v>40438</v>
      </c>
      <c r="S1253" t="s">
        <v>40582</v>
      </c>
      <c r="T1253" t="s">
        <v>42124</v>
      </c>
      <c r="U1253" t="s">
        <v>43710</v>
      </c>
      <c r="W1253" t="s">
        <v>37601</v>
      </c>
      <c r="X1253" t="s">
        <v>40439</v>
      </c>
    </row>
    <row r="1254" spans="1:24">
      <c r="A1254">
        <f>HYPERLINK("https://www.philgeps.gov.ph/GEPSNONPILOT/Tender/SplashBidNoticeAbstractUI.aspx?menuIndex=3&amp;refID=7048428&amp;Result=3","7048428")</f>
        <v>0</v>
      </c>
      <c r="B1254" t="s">
        <v>613</v>
      </c>
      <c r="C1254" t="s">
        <v>4312</v>
      </c>
      <c r="D1254" t="s">
        <v>16203</v>
      </c>
      <c r="E1254" t="s">
        <v>17471</v>
      </c>
      <c r="F1254" t="s">
        <v>28198</v>
      </c>
      <c r="G1254" t="s">
        <v>28205</v>
      </c>
      <c r="H1254" t="s">
        <v>28215</v>
      </c>
      <c r="I1254" t="s">
        <v>5100</v>
      </c>
      <c r="J1254" t="s">
        <v>29263</v>
      </c>
      <c r="K1254" t="s">
        <v>36707</v>
      </c>
      <c r="M1254" t="s">
        <v>37605</v>
      </c>
      <c r="N1254" t="s">
        <v>40436</v>
      </c>
      <c r="O1254" t="s">
        <v>40437</v>
      </c>
      <c r="P1254">
        <v>0</v>
      </c>
      <c r="Q1254">
        <v>0</v>
      </c>
      <c r="R1254" t="s">
        <v>40438</v>
      </c>
      <c r="S1254" t="s">
        <v>40582</v>
      </c>
      <c r="T1254" t="s">
        <v>42256</v>
      </c>
      <c r="U1254" t="s">
        <v>43715</v>
      </c>
      <c r="V1254" t="s">
        <v>53933</v>
      </c>
      <c r="W1254" t="s">
        <v>37605</v>
      </c>
      <c r="X1254" t="s">
        <v>40439</v>
      </c>
    </row>
    <row r="1255" spans="1:24">
      <c r="A1255">
        <f>HYPERLINK("https://www.philgeps.gov.ph/GEPSNONPILOT/Tender/SplashBidNoticeAbstractUI.aspx?menuIndex=3&amp;refID=7048422&amp;Result=3","7048422")</f>
        <v>0</v>
      </c>
      <c r="B1255" t="s">
        <v>432</v>
      </c>
      <c r="C1255" t="s">
        <v>4313</v>
      </c>
      <c r="D1255" t="s">
        <v>16262</v>
      </c>
      <c r="E1255" t="s">
        <v>17472</v>
      </c>
      <c r="F1255" t="s">
        <v>28198</v>
      </c>
      <c r="G1255" t="s">
        <v>28205</v>
      </c>
      <c r="H1255" t="s">
        <v>28215</v>
      </c>
      <c r="I1255" t="s">
        <v>5100</v>
      </c>
      <c r="J1255" t="s">
        <v>29264</v>
      </c>
      <c r="K1255" t="s">
        <v>36707</v>
      </c>
      <c r="M1255" t="s">
        <v>37415</v>
      </c>
      <c r="N1255" t="s">
        <v>40436</v>
      </c>
      <c r="O1255" t="s">
        <v>40437</v>
      </c>
      <c r="P1255">
        <v>0</v>
      </c>
      <c r="Q1255">
        <v>0</v>
      </c>
      <c r="R1255" t="s">
        <v>40438</v>
      </c>
      <c r="S1255" t="s">
        <v>40582</v>
      </c>
      <c r="T1255" t="s">
        <v>42115</v>
      </c>
      <c r="U1255" t="s">
        <v>43437</v>
      </c>
      <c r="W1255" t="s">
        <v>37415</v>
      </c>
      <c r="X1255" t="s">
        <v>40439</v>
      </c>
    </row>
    <row r="1256" spans="1:24">
      <c r="A1256">
        <f>HYPERLINK("https://www.philgeps.gov.ph/GEPSNONPILOT/Tender/SplashBidNoticeAbstractUI.aspx?menuIndex=3&amp;refID=7048421&amp;Result=3","7048421")</f>
        <v>0</v>
      </c>
      <c r="B1256" t="s">
        <v>461</v>
      </c>
      <c r="C1256" t="s">
        <v>4314</v>
      </c>
      <c r="D1256" t="s">
        <v>16208</v>
      </c>
      <c r="E1256" t="s">
        <v>17473</v>
      </c>
      <c r="F1256" t="s">
        <v>28198</v>
      </c>
      <c r="G1256" t="s">
        <v>28206</v>
      </c>
      <c r="H1256" t="s">
        <v>28215</v>
      </c>
      <c r="I1256" t="s">
        <v>28227</v>
      </c>
      <c r="J1256" t="s">
        <v>29265</v>
      </c>
      <c r="K1256" t="s">
        <v>36689</v>
      </c>
      <c r="M1256" t="s">
        <v>37445</v>
      </c>
      <c r="N1256" t="s">
        <v>40436</v>
      </c>
      <c r="O1256" t="s">
        <v>40437</v>
      </c>
      <c r="P1256">
        <v>0</v>
      </c>
      <c r="Q1256">
        <v>0</v>
      </c>
      <c r="R1256" t="s">
        <v>40438</v>
      </c>
      <c r="S1256" t="s">
        <v>40582</v>
      </c>
      <c r="T1256" t="s">
        <v>42244</v>
      </c>
      <c r="U1256" t="s">
        <v>43731</v>
      </c>
      <c r="W1256" t="s">
        <v>37445</v>
      </c>
      <c r="X1256" t="s">
        <v>40439</v>
      </c>
    </row>
    <row r="1257" spans="1:24">
      <c r="A1257">
        <f>HYPERLINK("https://www.philgeps.gov.ph/GEPSNONPILOT/Tender/SplashBidNoticeAbstractUI.aspx?menuIndex=3&amp;refID=7048427&amp;Result=3","7048427")</f>
        <v>0</v>
      </c>
      <c r="B1257" t="s">
        <v>314</v>
      </c>
      <c r="C1257" t="s">
        <v>4315</v>
      </c>
      <c r="D1257" t="s">
        <v>16194</v>
      </c>
      <c r="E1257" t="s">
        <v>17474</v>
      </c>
      <c r="F1257" t="s">
        <v>28198</v>
      </c>
      <c r="G1257" t="s">
        <v>28207</v>
      </c>
      <c r="H1257" t="s">
        <v>28215</v>
      </c>
      <c r="I1257" t="s">
        <v>4200</v>
      </c>
      <c r="J1257" t="s">
        <v>29266</v>
      </c>
      <c r="K1257" t="s">
        <v>36701</v>
      </c>
      <c r="M1257" t="s">
        <v>37553</v>
      </c>
      <c r="N1257" t="s">
        <v>40436</v>
      </c>
      <c r="O1257" t="s">
        <v>40437</v>
      </c>
      <c r="P1257">
        <v>0</v>
      </c>
      <c r="Q1257">
        <v>4</v>
      </c>
      <c r="R1257" t="s">
        <v>40438</v>
      </c>
      <c r="S1257" t="s">
        <v>40582</v>
      </c>
      <c r="T1257" t="s">
        <v>42103</v>
      </c>
      <c r="U1257" t="s">
        <v>43626</v>
      </c>
      <c r="V1257" t="s">
        <v>53922</v>
      </c>
      <c r="W1257" t="s">
        <v>55454</v>
      </c>
      <c r="X1257" t="s">
        <v>40439</v>
      </c>
    </row>
    <row r="1258" spans="1:24">
      <c r="A1258">
        <f>HYPERLINK("https://www.philgeps.gov.ph/GEPSNONPILOT/Tender/SplashBidNoticeAbstractUI.aspx?menuIndex=3&amp;refID=7048419&amp;Result=3","7048419")</f>
        <v>0</v>
      </c>
      <c r="B1258" t="s">
        <v>622</v>
      </c>
      <c r="C1258" t="s">
        <v>4316</v>
      </c>
      <c r="D1258" t="s">
        <v>16190</v>
      </c>
      <c r="E1258" t="s">
        <v>17475</v>
      </c>
      <c r="F1258" t="s">
        <v>28198</v>
      </c>
      <c r="G1258" t="s">
        <v>28206</v>
      </c>
      <c r="H1258" t="s">
        <v>28215</v>
      </c>
      <c r="I1258" t="s">
        <v>5100</v>
      </c>
      <c r="J1258" t="s">
        <v>29267</v>
      </c>
      <c r="K1258" t="s">
        <v>36688</v>
      </c>
      <c r="L1258" t="s">
        <v>622</v>
      </c>
      <c r="M1258" t="s">
        <v>37614</v>
      </c>
      <c r="N1258" t="s">
        <v>40436</v>
      </c>
      <c r="O1258" t="s">
        <v>40437</v>
      </c>
      <c r="P1258">
        <v>0</v>
      </c>
      <c r="Q1258">
        <v>0</v>
      </c>
      <c r="R1258" t="s">
        <v>40438</v>
      </c>
      <c r="S1258" t="s">
        <v>40582</v>
      </c>
      <c r="T1258" t="s">
        <v>42260</v>
      </c>
      <c r="U1258" t="s">
        <v>43732</v>
      </c>
      <c r="V1258" t="s">
        <v>53934</v>
      </c>
      <c r="W1258" t="s">
        <v>37614</v>
      </c>
      <c r="X1258" t="s">
        <v>40439</v>
      </c>
    </row>
    <row r="1259" spans="1:24">
      <c r="A1259">
        <f>HYPERLINK("https://www.philgeps.gov.ph/GEPSNONPILOT/Tender/SplashBidNoticeAbstractUI.aspx?menuIndex=3&amp;refID=7048424&amp;Result=3","7048424")</f>
        <v>0</v>
      </c>
      <c r="B1259" t="s">
        <v>623</v>
      </c>
      <c r="C1259" t="s">
        <v>4317</v>
      </c>
      <c r="D1259" t="s">
        <v>16193</v>
      </c>
      <c r="E1259" t="s">
        <v>17476</v>
      </c>
      <c r="F1259" t="s">
        <v>28198</v>
      </c>
      <c r="G1259" t="s">
        <v>28205</v>
      </c>
      <c r="H1259" t="s">
        <v>28215</v>
      </c>
      <c r="I1259" t="s">
        <v>28222</v>
      </c>
      <c r="J1259" t="s">
        <v>28398</v>
      </c>
      <c r="K1259" t="s">
        <v>36748</v>
      </c>
      <c r="M1259" t="s">
        <v>37615</v>
      </c>
      <c r="N1259" t="s">
        <v>40436</v>
      </c>
      <c r="O1259" t="s">
        <v>40437</v>
      </c>
      <c r="P1259">
        <v>0</v>
      </c>
      <c r="Q1259">
        <v>0</v>
      </c>
      <c r="R1259" t="s">
        <v>40438</v>
      </c>
      <c r="S1259" t="s">
        <v>40582</v>
      </c>
      <c r="T1259" t="s">
        <v>42097</v>
      </c>
      <c r="U1259" t="s">
        <v>43733</v>
      </c>
      <c r="V1259" t="s">
        <v>53935</v>
      </c>
      <c r="W1259" t="s">
        <v>37615</v>
      </c>
      <c r="X1259" t="s">
        <v>40439</v>
      </c>
    </row>
    <row r="1260" spans="1:24">
      <c r="A1260">
        <f>HYPERLINK("https://www.philgeps.gov.ph/GEPSNONPILOT/Tender/SplashBidNoticeAbstractUI.aspx?menuIndex=3&amp;refID=7048430&amp;Result=3","7048430")</f>
        <v>0</v>
      </c>
      <c r="B1260" t="s">
        <v>624</v>
      </c>
      <c r="C1260" t="s">
        <v>4318</v>
      </c>
      <c r="D1260" t="s">
        <v>16204</v>
      </c>
      <c r="E1260" t="s">
        <v>17477</v>
      </c>
      <c r="F1260" t="s">
        <v>28198</v>
      </c>
      <c r="G1260" t="s">
        <v>28209</v>
      </c>
      <c r="H1260" t="s">
        <v>28214</v>
      </c>
      <c r="I1260" t="s">
        <v>3797</v>
      </c>
      <c r="J1260" t="s">
        <v>29268</v>
      </c>
      <c r="K1260" t="s">
        <v>36689</v>
      </c>
      <c r="M1260" t="s">
        <v>37616</v>
      </c>
      <c r="N1260" t="s">
        <v>40436</v>
      </c>
      <c r="O1260" t="s">
        <v>40437</v>
      </c>
      <c r="P1260">
        <v>0</v>
      </c>
      <c r="Q1260">
        <v>0</v>
      </c>
      <c r="R1260" t="s">
        <v>40438</v>
      </c>
      <c r="S1260" t="s">
        <v>40582</v>
      </c>
      <c r="T1260" t="s">
        <v>42115</v>
      </c>
      <c r="U1260" t="s">
        <v>43734</v>
      </c>
      <c r="W1260" t="s">
        <v>37616</v>
      </c>
      <c r="X1260" t="s">
        <v>40439</v>
      </c>
    </row>
    <row r="1261" spans="1:24">
      <c r="A1261">
        <f>HYPERLINK("https://www.philgeps.gov.ph/GEPSNONPILOT/Tender/SplashBidNoticeAbstractUI.aspx?menuIndex=3&amp;refID=7048429&amp;Result=3","7048429")</f>
        <v>0</v>
      </c>
      <c r="B1261" t="s">
        <v>625</v>
      </c>
      <c r="C1261" t="s">
        <v>4319</v>
      </c>
      <c r="D1261" t="s">
        <v>16218</v>
      </c>
      <c r="E1261" t="s">
        <v>17478</v>
      </c>
      <c r="F1261" t="s">
        <v>28198</v>
      </c>
      <c r="G1261" t="s">
        <v>28206</v>
      </c>
      <c r="H1261" t="s">
        <v>28215</v>
      </c>
      <c r="I1261" t="s">
        <v>5071</v>
      </c>
      <c r="J1261" t="s">
        <v>29269</v>
      </c>
      <c r="K1261" t="s">
        <v>36715</v>
      </c>
      <c r="M1261" t="s">
        <v>37617</v>
      </c>
      <c r="N1261" t="s">
        <v>40436</v>
      </c>
      <c r="O1261" t="s">
        <v>40437</v>
      </c>
      <c r="P1261">
        <v>0</v>
      </c>
      <c r="Q1261">
        <v>1</v>
      </c>
      <c r="R1261" t="s">
        <v>40438</v>
      </c>
      <c r="S1261" t="s">
        <v>40582</v>
      </c>
      <c r="T1261" t="s">
        <v>42152</v>
      </c>
      <c r="U1261" t="s">
        <v>43735</v>
      </c>
      <c r="W1261" t="s">
        <v>37617</v>
      </c>
      <c r="X1261" t="s">
        <v>40439</v>
      </c>
    </row>
    <row r="1262" spans="1:24">
      <c r="A1262">
        <f>HYPERLINK("https://www.philgeps.gov.ph/GEPSNONPILOT/Tender/SplashBidNoticeAbstractUI.aspx?menuIndex=3&amp;refID=7048418&amp;Result=3","7048418")</f>
        <v>0</v>
      </c>
      <c r="B1262" t="s">
        <v>626</v>
      </c>
      <c r="C1262" t="s">
        <v>4320</v>
      </c>
      <c r="D1262" t="s">
        <v>16223</v>
      </c>
      <c r="E1262" t="s">
        <v>17479</v>
      </c>
      <c r="F1262" t="s">
        <v>28198</v>
      </c>
      <c r="G1262" t="s">
        <v>28207</v>
      </c>
      <c r="H1262" t="s">
        <v>28215</v>
      </c>
      <c r="I1262" t="s">
        <v>5082</v>
      </c>
      <c r="J1262" t="s">
        <v>28386</v>
      </c>
      <c r="K1262" t="s">
        <v>36706</v>
      </c>
      <c r="M1262" t="s">
        <v>37618</v>
      </c>
      <c r="N1262" t="s">
        <v>40436</v>
      </c>
      <c r="O1262" t="s">
        <v>40437</v>
      </c>
      <c r="P1262">
        <v>0</v>
      </c>
      <c r="Q1262">
        <v>2</v>
      </c>
      <c r="R1262" t="s">
        <v>40438</v>
      </c>
      <c r="S1262" t="s">
        <v>40582</v>
      </c>
      <c r="T1262" t="s">
        <v>42103</v>
      </c>
      <c r="U1262" t="s">
        <v>43736</v>
      </c>
      <c r="W1262" t="s">
        <v>37618</v>
      </c>
      <c r="X1262" t="s">
        <v>40439</v>
      </c>
    </row>
    <row r="1263" spans="1:24">
      <c r="A1263">
        <f>HYPERLINK("https://www.philgeps.gov.ph/GEPSNONPILOT/Tender/SplashBidNoticeAbstractUI.aspx?menuIndex=3&amp;refID=7048420&amp;Result=3","7048420")</f>
        <v>0</v>
      </c>
      <c r="B1263" t="s">
        <v>627</v>
      </c>
      <c r="C1263" t="s">
        <v>4321</v>
      </c>
      <c r="D1263" t="s">
        <v>16222</v>
      </c>
      <c r="E1263" t="s">
        <v>16352</v>
      </c>
      <c r="F1263" t="s">
        <v>28201</v>
      </c>
      <c r="G1263" t="s">
        <v>28205</v>
      </c>
      <c r="H1263" t="s">
        <v>28215</v>
      </c>
      <c r="I1263" t="s">
        <v>4321</v>
      </c>
      <c r="J1263" t="s">
        <v>28345</v>
      </c>
      <c r="K1263" t="s">
        <v>36688</v>
      </c>
      <c r="M1263" t="s">
        <v>37619</v>
      </c>
      <c r="N1263" t="s">
        <v>40436</v>
      </c>
      <c r="O1263" t="s">
        <v>40437</v>
      </c>
      <c r="P1263">
        <v>0</v>
      </c>
      <c r="Q1263">
        <v>1</v>
      </c>
      <c r="R1263" t="s">
        <v>40438</v>
      </c>
      <c r="S1263" t="s">
        <v>40582</v>
      </c>
      <c r="T1263" t="s">
        <v>42261</v>
      </c>
      <c r="U1263" t="s">
        <v>43737</v>
      </c>
      <c r="W1263" t="s">
        <v>37619</v>
      </c>
      <c r="X1263" t="s">
        <v>40439</v>
      </c>
    </row>
    <row r="1264" spans="1:24">
      <c r="A1264">
        <f>HYPERLINK("https://www.philgeps.gov.ph/GEPSNONPILOT/Tender/SplashBidNoticeAbstractUI.aspx?menuIndex=3&amp;refID=7048444&amp;Result=3","7048444")</f>
        <v>0</v>
      </c>
      <c r="B1264" t="s">
        <v>628</v>
      </c>
      <c r="C1264" t="s">
        <v>4322</v>
      </c>
      <c r="D1264" t="s">
        <v>16238</v>
      </c>
      <c r="E1264" t="s">
        <v>17480</v>
      </c>
      <c r="F1264" t="s">
        <v>28198</v>
      </c>
      <c r="G1264" t="s">
        <v>28205</v>
      </c>
      <c r="H1264" t="s">
        <v>28214</v>
      </c>
      <c r="I1264" t="s">
        <v>3797</v>
      </c>
      <c r="J1264" t="s">
        <v>29270</v>
      </c>
      <c r="K1264" t="s">
        <v>36694</v>
      </c>
      <c r="L1264" t="s">
        <v>628</v>
      </c>
      <c r="M1264" t="s">
        <v>37620</v>
      </c>
      <c r="N1264" t="s">
        <v>40436</v>
      </c>
      <c r="O1264" t="s">
        <v>40437</v>
      </c>
      <c r="P1264">
        <v>0</v>
      </c>
      <c r="Q1264">
        <v>0</v>
      </c>
      <c r="R1264" t="s">
        <v>40438</v>
      </c>
      <c r="S1264" t="s">
        <v>40582</v>
      </c>
      <c r="T1264" t="s">
        <v>42225</v>
      </c>
      <c r="U1264" t="s">
        <v>43738</v>
      </c>
      <c r="W1264" t="s">
        <v>37620</v>
      </c>
      <c r="X1264" t="s">
        <v>40439</v>
      </c>
    </row>
    <row r="1265" spans="1:24">
      <c r="A1265">
        <f>HYPERLINK("https://www.philgeps.gov.ph/GEPSNONPILOT/Tender/SplashBidNoticeAbstractUI.aspx?menuIndex=3&amp;refID=7048439&amp;Result=3","7048439")</f>
        <v>0</v>
      </c>
      <c r="B1265" t="s">
        <v>197</v>
      </c>
      <c r="C1265" t="s">
        <v>4323</v>
      </c>
      <c r="D1265" t="s">
        <v>16196</v>
      </c>
      <c r="E1265" t="s">
        <v>17185</v>
      </c>
      <c r="F1265" t="s">
        <v>28198</v>
      </c>
      <c r="G1265" t="s">
        <v>28210</v>
      </c>
      <c r="H1265" t="s">
        <v>28215</v>
      </c>
      <c r="I1265" t="s">
        <v>5082</v>
      </c>
      <c r="J1265" t="s">
        <v>29271</v>
      </c>
      <c r="K1265" t="s">
        <v>36688</v>
      </c>
      <c r="M1265" t="s">
        <v>37172</v>
      </c>
      <c r="N1265" t="s">
        <v>40436</v>
      </c>
      <c r="O1265" t="s">
        <v>40437</v>
      </c>
      <c r="P1265">
        <v>0</v>
      </c>
      <c r="Q1265">
        <v>0</v>
      </c>
      <c r="R1265" t="s">
        <v>40438</v>
      </c>
      <c r="S1265" t="s">
        <v>40582</v>
      </c>
      <c r="T1265" t="s">
        <v>42136</v>
      </c>
      <c r="U1265" t="s">
        <v>43739</v>
      </c>
      <c r="V1265" t="s">
        <v>53936</v>
      </c>
      <c r="W1265" t="s">
        <v>37172</v>
      </c>
      <c r="X1265" t="s">
        <v>40439</v>
      </c>
    </row>
    <row r="1266" spans="1:24">
      <c r="A1266">
        <f>HYPERLINK("https://www.philgeps.gov.ph/GEPSNONPILOT/Tender/SplashBidNoticeAbstractUI.aspx?menuIndex=3&amp;refID=7048437&amp;Result=3","7048437")</f>
        <v>0</v>
      </c>
      <c r="B1266" t="s">
        <v>581</v>
      </c>
      <c r="C1266" t="s">
        <v>4324</v>
      </c>
      <c r="E1266" t="s">
        <v>17395</v>
      </c>
      <c r="F1266" t="s">
        <v>28198</v>
      </c>
      <c r="G1266" t="s">
        <v>28205</v>
      </c>
      <c r="H1266" t="s">
        <v>28217</v>
      </c>
      <c r="I1266" t="s">
        <v>28292</v>
      </c>
      <c r="J1266" t="s">
        <v>29272</v>
      </c>
      <c r="K1266" t="s">
        <v>36744</v>
      </c>
      <c r="M1266" t="s">
        <v>37571</v>
      </c>
      <c r="N1266" t="s">
        <v>40436</v>
      </c>
      <c r="O1266" t="s">
        <v>40437</v>
      </c>
      <c r="P1266">
        <v>0</v>
      </c>
      <c r="Q1266">
        <v>0</v>
      </c>
      <c r="R1266" t="s">
        <v>40438</v>
      </c>
      <c r="S1266" t="s">
        <v>40582</v>
      </c>
      <c r="T1266" t="s">
        <v>42108</v>
      </c>
      <c r="U1266" t="s">
        <v>43662</v>
      </c>
      <c r="V1266" t="s">
        <v>53937</v>
      </c>
      <c r="W1266" t="s">
        <v>37571</v>
      </c>
      <c r="X1266" t="s">
        <v>40439</v>
      </c>
    </row>
    <row r="1267" spans="1:24">
      <c r="A1267">
        <f>HYPERLINK("https://www.philgeps.gov.ph/GEPSNONPILOT/Tender/SplashBidNoticeAbstractUI.aspx?menuIndex=3&amp;refID=7048434&amp;Result=3","7048434")</f>
        <v>0</v>
      </c>
      <c r="B1267" t="s">
        <v>629</v>
      </c>
      <c r="C1267" t="s">
        <v>4325</v>
      </c>
      <c r="D1267" t="s">
        <v>16199</v>
      </c>
      <c r="E1267" t="s">
        <v>17481</v>
      </c>
      <c r="F1267" t="s">
        <v>28198</v>
      </c>
      <c r="G1267" t="s">
        <v>28206</v>
      </c>
      <c r="H1267" t="s">
        <v>28215</v>
      </c>
      <c r="I1267" t="s">
        <v>28239</v>
      </c>
      <c r="J1267" t="s">
        <v>29273</v>
      </c>
      <c r="K1267" t="s">
        <v>36693</v>
      </c>
      <c r="M1267" t="s">
        <v>37621</v>
      </c>
      <c r="N1267" t="s">
        <v>40436</v>
      </c>
      <c r="O1267" t="s">
        <v>40437</v>
      </c>
      <c r="P1267">
        <v>0</v>
      </c>
      <c r="Q1267">
        <v>1</v>
      </c>
      <c r="R1267" t="s">
        <v>40438</v>
      </c>
      <c r="S1267" t="s">
        <v>40582</v>
      </c>
      <c r="T1267" t="s">
        <v>42262</v>
      </c>
      <c r="U1267" t="s">
        <v>43740</v>
      </c>
      <c r="W1267" t="s">
        <v>37621</v>
      </c>
      <c r="X1267" t="s">
        <v>40439</v>
      </c>
    </row>
    <row r="1268" spans="1:24">
      <c r="A1268">
        <f>HYPERLINK("https://www.philgeps.gov.ph/GEPSNONPILOT/Tender/SplashBidNoticeAbstractUI.aspx?menuIndex=3&amp;refID=7048440&amp;Result=3","7048440")</f>
        <v>0</v>
      </c>
      <c r="B1268" t="s">
        <v>601</v>
      </c>
      <c r="C1268" t="s">
        <v>4326</v>
      </c>
      <c r="D1268" t="s">
        <v>16204</v>
      </c>
      <c r="E1268" t="s">
        <v>17482</v>
      </c>
      <c r="F1268" t="s">
        <v>28198</v>
      </c>
      <c r="G1268" t="s">
        <v>28207</v>
      </c>
      <c r="H1268" t="s">
        <v>28215</v>
      </c>
      <c r="I1268" t="s">
        <v>5100</v>
      </c>
      <c r="J1268" t="s">
        <v>29274</v>
      </c>
      <c r="K1268" t="s">
        <v>36689</v>
      </c>
      <c r="M1268" t="s">
        <v>37592</v>
      </c>
      <c r="N1268" t="s">
        <v>40436</v>
      </c>
      <c r="O1268" t="s">
        <v>40437</v>
      </c>
      <c r="P1268">
        <v>0</v>
      </c>
      <c r="Q1268">
        <v>0</v>
      </c>
      <c r="R1268" t="s">
        <v>40438</v>
      </c>
      <c r="S1268" t="s">
        <v>40582</v>
      </c>
      <c r="T1268" t="s">
        <v>42119</v>
      </c>
      <c r="U1268" t="s">
        <v>43741</v>
      </c>
      <c r="W1268" t="s">
        <v>37592</v>
      </c>
      <c r="X1268" t="s">
        <v>40439</v>
      </c>
    </row>
    <row r="1269" spans="1:24">
      <c r="A1269">
        <f>HYPERLINK("https://www.philgeps.gov.ph/GEPSNONPILOT/Tender/SplashBidNoticeAbstractUI.aspx?menuIndex=3&amp;refID=7048436&amp;Result=3","7048436")</f>
        <v>0</v>
      </c>
      <c r="B1269" t="s">
        <v>595</v>
      </c>
      <c r="C1269" t="s">
        <v>4327</v>
      </c>
      <c r="D1269" t="s">
        <v>16190</v>
      </c>
      <c r="E1269" t="s">
        <v>17483</v>
      </c>
      <c r="F1269" t="s">
        <v>28198</v>
      </c>
      <c r="G1269" t="s">
        <v>28207</v>
      </c>
      <c r="H1269" t="s">
        <v>28215</v>
      </c>
      <c r="I1269" t="s">
        <v>3774</v>
      </c>
      <c r="J1269" t="s">
        <v>28430</v>
      </c>
      <c r="K1269" t="s">
        <v>36707</v>
      </c>
      <c r="M1269" t="s">
        <v>37584</v>
      </c>
      <c r="N1269" t="s">
        <v>40436</v>
      </c>
      <c r="O1269" t="s">
        <v>40437</v>
      </c>
      <c r="P1269">
        <v>0</v>
      </c>
      <c r="Q1269">
        <v>1</v>
      </c>
      <c r="R1269" t="s">
        <v>40438</v>
      </c>
      <c r="S1269" t="s">
        <v>40582</v>
      </c>
      <c r="T1269" t="s">
        <v>42116</v>
      </c>
      <c r="U1269" t="s">
        <v>43742</v>
      </c>
      <c r="W1269" t="s">
        <v>37584</v>
      </c>
      <c r="X1269" t="s">
        <v>40439</v>
      </c>
    </row>
    <row r="1270" spans="1:24">
      <c r="A1270">
        <f>HYPERLINK("https://www.philgeps.gov.ph/GEPSNONPILOT/Tender/SplashBidNoticeAbstractUI.aspx?menuIndex=3&amp;refID=7048433&amp;Result=3","7048433")</f>
        <v>0</v>
      </c>
      <c r="B1270" t="s">
        <v>433</v>
      </c>
      <c r="C1270" t="s">
        <v>4328</v>
      </c>
      <c r="D1270" t="s">
        <v>16210</v>
      </c>
      <c r="E1270" t="s">
        <v>17070</v>
      </c>
      <c r="F1270" t="s">
        <v>28200</v>
      </c>
      <c r="G1270" t="s">
        <v>28206</v>
      </c>
      <c r="H1270" t="s">
        <v>28215</v>
      </c>
      <c r="I1270" t="s">
        <v>28301</v>
      </c>
      <c r="J1270" t="s">
        <v>28345</v>
      </c>
      <c r="K1270" t="s">
        <v>36689</v>
      </c>
      <c r="M1270" t="s">
        <v>37416</v>
      </c>
      <c r="N1270" t="s">
        <v>40436</v>
      </c>
      <c r="O1270" t="s">
        <v>40437</v>
      </c>
      <c r="P1270">
        <v>0</v>
      </c>
      <c r="Q1270">
        <v>2</v>
      </c>
      <c r="R1270" t="s">
        <v>40438</v>
      </c>
      <c r="S1270" t="s">
        <v>40582</v>
      </c>
      <c r="T1270" t="s">
        <v>42216</v>
      </c>
      <c r="U1270" t="s">
        <v>43353</v>
      </c>
      <c r="V1270" t="s">
        <v>53938</v>
      </c>
      <c r="W1270" t="s">
        <v>37416</v>
      </c>
      <c r="X1270" t="s">
        <v>40439</v>
      </c>
    </row>
    <row r="1271" spans="1:24">
      <c r="A1271">
        <f>HYPERLINK("https://www.philgeps.gov.ph/GEPSNONPILOT/Tender/SplashBidNoticeAbstractUI.aspx?menuIndex=3&amp;refID=7048432&amp;Result=3","7048432")</f>
        <v>0</v>
      </c>
      <c r="B1271" t="s">
        <v>466</v>
      </c>
      <c r="C1271" t="s">
        <v>4329</v>
      </c>
      <c r="E1271" t="s">
        <v>17484</v>
      </c>
      <c r="F1271" t="s">
        <v>28198</v>
      </c>
      <c r="G1271" t="s">
        <v>28211</v>
      </c>
      <c r="H1271" t="s">
        <v>28216</v>
      </c>
      <c r="I1271" t="s">
        <v>28216</v>
      </c>
      <c r="J1271" t="s">
        <v>29275</v>
      </c>
      <c r="K1271" t="s">
        <v>36705</v>
      </c>
      <c r="M1271" t="s">
        <v>37622</v>
      </c>
      <c r="N1271" t="s">
        <v>40436</v>
      </c>
      <c r="O1271" t="s">
        <v>40437</v>
      </c>
      <c r="P1271">
        <v>0</v>
      </c>
      <c r="Q1271">
        <v>0</v>
      </c>
      <c r="R1271" t="s">
        <v>40438</v>
      </c>
      <c r="S1271" t="s">
        <v>40582</v>
      </c>
      <c r="T1271" t="s">
        <v>42098</v>
      </c>
      <c r="U1271" t="s">
        <v>43743</v>
      </c>
      <c r="W1271" t="s">
        <v>37622</v>
      </c>
      <c r="X1271" t="s">
        <v>40439</v>
      </c>
    </row>
    <row r="1272" spans="1:24">
      <c r="A1272">
        <f>HYPERLINK("https://www.philgeps.gov.ph/GEPSNONPILOT/Tender/SplashBidNoticeAbstractUI.aspx?menuIndex=3&amp;refID=7048443&amp;Result=3","7048443")</f>
        <v>0</v>
      </c>
      <c r="B1272" t="s">
        <v>630</v>
      </c>
      <c r="C1272" t="s">
        <v>4330</v>
      </c>
      <c r="D1272" t="s">
        <v>16200</v>
      </c>
      <c r="E1272" t="s">
        <v>17485</v>
      </c>
      <c r="F1272" t="s">
        <v>28198</v>
      </c>
      <c r="G1272" t="s">
        <v>28207</v>
      </c>
      <c r="H1272" t="s">
        <v>28215</v>
      </c>
      <c r="I1272" t="s">
        <v>28258</v>
      </c>
      <c r="J1272" t="s">
        <v>29276</v>
      </c>
      <c r="K1272" t="s">
        <v>36689</v>
      </c>
      <c r="M1272" t="s">
        <v>37623</v>
      </c>
      <c r="N1272" t="s">
        <v>40436</v>
      </c>
      <c r="O1272" t="s">
        <v>40437</v>
      </c>
      <c r="P1272">
        <v>0</v>
      </c>
      <c r="Q1272">
        <v>3</v>
      </c>
      <c r="R1272" t="s">
        <v>40438</v>
      </c>
      <c r="S1272" t="s">
        <v>40582</v>
      </c>
      <c r="T1272" t="s">
        <v>42111</v>
      </c>
      <c r="U1272" t="s">
        <v>43744</v>
      </c>
      <c r="W1272" t="s">
        <v>37623</v>
      </c>
      <c r="X1272" t="s">
        <v>40439</v>
      </c>
    </row>
    <row r="1273" spans="1:24">
      <c r="A1273">
        <f>HYPERLINK("https://www.philgeps.gov.ph/GEPSNONPILOT/Tender/SplashBidNoticeAbstractUI.aspx?menuIndex=3&amp;refID=7048435&amp;Result=3","7048435")</f>
        <v>0</v>
      </c>
      <c r="B1273" t="s">
        <v>388</v>
      </c>
      <c r="C1273" t="s">
        <v>4331</v>
      </c>
      <c r="D1273" t="s">
        <v>16197</v>
      </c>
      <c r="E1273" t="s">
        <v>17486</v>
      </c>
      <c r="F1273" t="s">
        <v>28198</v>
      </c>
      <c r="G1273" t="s">
        <v>28207</v>
      </c>
      <c r="H1273" t="s">
        <v>28215</v>
      </c>
      <c r="I1273" t="s">
        <v>28255</v>
      </c>
      <c r="J1273" t="s">
        <v>28361</v>
      </c>
      <c r="K1273" t="s">
        <v>36701</v>
      </c>
      <c r="M1273" t="s">
        <v>37368</v>
      </c>
      <c r="N1273" t="s">
        <v>40436</v>
      </c>
      <c r="O1273" t="s">
        <v>40437</v>
      </c>
      <c r="P1273">
        <v>0</v>
      </c>
      <c r="Q1273">
        <v>1</v>
      </c>
      <c r="R1273" t="s">
        <v>40438</v>
      </c>
      <c r="S1273" t="s">
        <v>40582</v>
      </c>
      <c r="T1273" t="s">
        <v>42097</v>
      </c>
      <c r="U1273" t="s">
        <v>43745</v>
      </c>
      <c r="V1273" t="s">
        <v>53874</v>
      </c>
      <c r="W1273" t="s">
        <v>37368</v>
      </c>
      <c r="X1273" t="s">
        <v>40439</v>
      </c>
    </row>
    <row r="1274" spans="1:24">
      <c r="A1274">
        <f>HYPERLINK("https://www.philgeps.gov.ph/GEPSNONPILOT/Tender/SplashBidNoticeAbstractUI.aspx?menuIndex=3&amp;refID=7048450&amp;Result=3","7048450")</f>
        <v>0</v>
      </c>
      <c r="B1274" t="s">
        <v>609</v>
      </c>
      <c r="C1274" t="s">
        <v>4332</v>
      </c>
      <c r="D1274" t="s">
        <v>16202</v>
      </c>
      <c r="E1274" t="s">
        <v>17487</v>
      </c>
      <c r="F1274" t="s">
        <v>28198</v>
      </c>
      <c r="G1274" t="s">
        <v>28207</v>
      </c>
      <c r="H1274" t="s">
        <v>28217</v>
      </c>
      <c r="I1274" t="s">
        <v>28255</v>
      </c>
      <c r="J1274" t="s">
        <v>29277</v>
      </c>
      <c r="K1274" t="s">
        <v>36701</v>
      </c>
      <c r="M1274" t="s">
        <v>37601</v>
      </c>
      <c r="N1274" t="s">
        <v>40436</v>
      </c>
      <c r="O1274" t="s">
        <v>40437</v>
      </c>
      <c r="P1274">
        <v>0</v>
      </c>
      <c r="Q1274">
        <v>0</v>
      </c>
      <c r="R1274" t="s">
        <v>40438</v>
      </c>
      <c r="S1274" t="s">
        <v>40582</v>
      </c>
      <c r="T1274" t="s">
        <v>42124</v>
      </c>
      <c r="U1274" t="s">
        <v>43710</v>
      </c>
      <c r="W1274" t="s">
        <v>37601</v>
      </c>
      <c r="X1274" t="s">
        <v>40439</v>
      </c>
    </row>
    <row r="1275" spans="1:24">
      <c r="A1275">
        <f>HYPERLINK("https://www.philgeps.gov.ph/GEPSNONPILOT/Tender/SplashBidNoticeAbstractUI.aspx?menuIndex=3&amp;refID=7048431&amp;Result=3","7048431")</f>
        <v>0</v>
      </c>
      <c r="B1275" t="s">
        <v>631</v>
      </c>
      <c r="C1275" t="s">
        <v>4333</v>
      </c>
      <c r="D1275" t="s">
        <v>16209</v>
      </c>
      <c r="E1275" t="s">
        <v>17488</v>
      </c>
      <c r="F1275" t="s">
        <v>28198</v>
      </c>
      <c r="G1275" t="s">
        <v>28207</v>
      </c>
      <c r="H1275" t="s">
        <v>28215</v>
      </c>
      <c r="I1275" t="s">
        <v>4219</v>
      </c>
      <c r="J1275" t="s">
        <v>29278</v>
      </c>
      <c r="K1275" t="s">
        <v>36707</v>
      </c>
      <c r="M1275" t="s">
        <v>37624</v>
      </c>
      <c r="N1275" t="s">
        <v>40436</v>
      </c>
      <c r="O1275" t="s">
        <v>40437</v>
      </c>
      <c r="P1275">
        <v>0</v>
      </c>
      <c r="Q1275">
        <v>1</v>
      </c>
      <c r="R1275" t="s">
        <v>40438</v>
      </c>
      <c r="S1275" t="s">
        <v>40582</v>
      </c>
      <c r="T1275" t="s">
        <v>42129</v>
      </c>
      <c r="U1275" t="s">
        <v>43746</v>
      </c>
      <c r="W1275" t="s">
        <v>55455</v>
      </c>
      <c r="X1275" t="s">
        <v>40439</v>
      </c>
    </row>
    <row r="1276" spans="1:24">
      <c r="A1276">
        <f>HYPERLINK("https://www.philgeps.gov.ph/GEPSNONPILOT/Tender/SplashBidNoticeAbstractUI.aspx?menuIndex=3&amp;refID=7048438&amp;Result=3","7048438")</f>
        <v>0</v>
      </c>
      <c r="B1276" t="s">
        <v>432</v>
      </c>
      <c r="C1276" t="s">
        <v>4334</v>
      </c>
      <c r="D1276" t="s">
        <v>16262</v>
      </c>
      <c r="E1276" t="s">
        <v>17489</v>
      </c>
      <c r="F1276" t="s">
        <v>28198</v>
      </c>
      <c r="G1276" t="s">
        <v>28207</v>
      </c>
      <c r="H1276" t="s">
        <v>28215</v>
      </c>
      <c r="I1276" t="s">
        <v>5100</v>
      </c>
      <c r="J1276" t="s">
        <v>29279</v>
      </c>
      <c r="K1276" t="s">
        <v>36707</v>
      </c>
      <c r="M1276" t="s">
        <v>37415</v>
      </c>
      <c r="N1276" t="s">
        <v>40436</v>
      </c>
      <c r="O1276" t="s">
        <v>40437</v>
      </c>
      <c r="P1276">
        <v>0</v>
      </c>
      <c r="Q1276">
        <v>0</v>
      </c>
      <c r="R1276" t="s">
        <v>40438</v>
      </c>
      <c r="S1276" t="s">
        <v>40582</v>
      </c>
      <c r="T1276" t="s">
        <v>42124</v>
      </c>
      <c r="U1276" t="s">
        <v>43395</v>
      </c>
      <c r="W1276" t="s">
        <v>37415</v>
      </c>
      <c r="X1276" t="s">
        <v>40439</v>
      </c>
    </row>
    <row r="1277" spans="1:24">
      <c r="A1277">
        <f>HYPERLINK("https://www.philgeps.gov.ph/GEPSNONPILOT/Tender/SplashBidNoticeAbstractUI.aspx?menuIndex=3&amp;refID=7048449&amp;Result=3","7048449")</f>
        <v>0</v>
      </c>
      <c r="B1277" t="s">
        <v>619</v>
      </c>
      <c r="C1277" t="s">
        <v>4335</v>
      </c>
      <c r="D1277" t="s">
        <v>16190</v>
      </c>
      <c r="E1277" t="s">
        <v>17490</v>
      </c>
      <c r="F1277" t="s">
        <v>28199</v>
      </c>
      <c r="G1277" t="s">
        <v>28210</v>
      </c>
      <c r="H1277" t="s">
        <v>28215</v>
      </c>
      <c r="I1277" t="s">
        <v>28225</v>
      </c>
      <c r="J1277" t="s">
        <v>28878</v>
      </c>
      <c r="K1277" t="s">
        <v>36691</v>
      </c>
      <c r="M1277" t="s">
        <v>37611</v>
      </c>
      <c r="N1277" t="s">
        <v>40436</v>
      </c>
      <c r="O1277" t="s">
        <v>40437</v>
      </c>
      <c r="P1277">
        <v>0</v>
      </c>
      <c r="Q1277">
        <v>0</v>
      </c>
      <c r="R1277" t="s">
        <v>40438</v>
      </c>
      <c r="S1277" t="s">
        <v>40582</v>
      </c>
      <c r="T1277" t="s">
        <v>42098</v>
      </c>
      <c r="U1277" t="s">
        <v>43747</v>
      </c>
      <c r="W1277" t="s">
        <v>37611</v>
      </c>
      <c r="X1277" t="s">
        <v>40439</v>
      </c>
    </row>
    <row r="1278" spans="1:24">
      <c r="A1278">
        <f>HYPERLINK("https://www.philgeps.gov.ph/GEPSNONPILOT/Tender/SplashBidNoticeAbstractUI.aspx?menuIndex=3&amp;refID=7048445&amp;Result=3","7048445")</f>
        <v>0</v>
      </c>
      <c r="B1278" t="s">
        <v>632</v>
      </c>
      <c r="C1278" t="s">
        <v>4336</v>
      </c>
      <c r="D1278" t="s">
        <v>16210</v>
      </c>
      <c r="E1278" t="s">
        <v>17491</v>
      </c>
      <c r="F1278" t="s">
        <v>28202</v>
      </c>
      <c r="G1278" t="s">
        <v>28207</v>
      </c>
      <c r="H1278" t="s">
        <v>28215</v>
      </c>
      <c r="I1278" t="s">
        <v>28227</v>
      </c>
      <c r="J1278" t="s">
        <v>29280</v>
      </c>
      <c r="K1278" t="s">
        <v>36688</v>
      </c>
      <c r="M1278" t="s">
        <v>37625</v>
      </c>
      <c r="N1278" t="s">
        <v>40436</v>
      </c>
      <c r="O1278" t="s">
        <v>40437</v>
      </c>
      <c r="P1278">
        <v>0</v>
      </c>
      <c r="Q1278">
        <v>1</v>
      </c>
      <c r="R1278" t="s">
        <v>40438</v>
      </c>
      <c r="S1278" t="s">
        <v>40582</v>
      </c>
      <c r="T1278" t="s">
        <v>42112</v>
      </c>
      <c r="U1278" t="s">
        <v>43748</v>
      </c>
      <c r="V1278" t="s">
        <v>53939</v>
      </c>
      <c r="W1278" t="s">
        <v>37625</v>
      </c>
      <c r="X1278" t="s">
        <v>40439</v>
      </c>
    </row>
    <row r="1279" spans="1:24">
      <c r="A1279">
        <f>HYPERLINK("https://www.philgeps.gov.ph/GEPSNONPILOT/Tender/SplashBidNoticeAbstractUI.aspx?menuIndex=3&amp;refID=7048447&amp;Result=3","7048447")</f>
        <v>0</v>
      </c>
      <c r="B1279" t="s">
        <v>461</v>
      </c>
      <c r="C1279" t="s">
        <v>4337</v>
      </c>
      <c r="D1279" t="s">
        <v>16208</v>
      </c>
      <c r="E1279" t="s">
        <v>17492</v>
      </c>
      <c r="F1279" t="s">
        <v>28198</v>
      </c>
      <c r="G1279" t="s">
        <v>28206</v>
      </c>
      <c r="H1279" t="s">
        <v>28215</v>
      </c>
      <c r="I1279" t="s">
        <v>28227</v>
      </c>
      <c r="J1279" t="s">
        <v>29281</v>
      </c>
      <c r="K1279" t="s">
        <v>36689</v>
      </c>
      <c r="M1279" t="s">
        <v>37445</v>
      </c>
      <c r="N1279" t="s">
        <v>40436</v>
      </c>
      <c r="O1279" t="s">
        <v>40437</v>
      </c>
      <c r="P1279">
        <v>0</v>
      </c>
      <c r="Q1279">
        <v>0</v>
      </c>
      <c r="R1279" t="s">
        <v>40438</v>
      </c>
      <c r="S1279" t="s">
        <v>40582</v>
      </c>
      <c r="T1279" t="s">
        <v>42119</v>
      </c>
      <c r="U1279" t="s">
        <v>43749</v>
      </c>
      <c r="W1279" t="s">
        <v>37445</v>
      </c>
      <c r="X1279" t="s">
        <v>40439</v>
      </c>
    </row>
    <row r="1280" spans="1:24">
      <c r="A1280">
        <f>HYPERLINK("https://www.philgeps.gov.ph/GEPSNONPILOT/Tender/SplashBidNoticeAbstractUI.aspx?menuIndex=3&amp;refID=7048446&amp;Result=3","7048446")</f>
        <v>0</v>
      </c>
      <c r="B1280" t="s">
        <v>561</v>
      </c>
      <c r="C1280" t="s">
        <v>4338</v>
      </c>
      <c r="D1280" t="s">
        <v>16196</v>
      </c>
      <c r="E1280" t="s">
        <v>17493</v>
      </c>
      <c r="F1280" t="s">
        <v>28198</v>
      </c>
      <c r="G1280" t="s">
        <v>28205</v>
      </c>
      <c r="H1280" t="s">
        <v>28214</v>
      </c>
      <c r="I1280" t="s">
        <v>3797</v>
      </c>
      <c r="J1280" t="s">
        <v>28363</v>
      </c>
      <c r="K1280" t="s">
        <v>36736</v>
      </c>
      <c r="L1280" t="s">
        <v>561</v>
      </c>
      <c r="M1280" t="s">
        <v>37547</v>
      </c>
      <c r="N1280" t="s">
        <v>40436</v>
      </c>
      <c r="O1280" t="s">
        <v>40437</v>
      </c>
      <c r="P1280">
        <v>0</v>
      </c>
      <c r="Q1280">
        <v>30</v>
      </c>
      <c r="R1280" t="s">
        <v>40438</v>
      </c>
      <c r="S1280" t="s">
        <v>40582</v>
      </c>
      <c r="T1280" t="s">
        <v>42125</v>
      </c>
      <c r="U1280" t="s">
        <v>43750</v>
      </c>
      <c r="W1280" t="s">
        <v>37547</v>
      </c>
      <c r="X1280" t="s">
        <v>40439</v>
      </c>
    </row>
    <row r="1281" spans="1:24">
      <c r="A1281">
        <f>HYPERLINK("https://www.philgeps.gov.ph/GEPSNONPILOT/Tender/SplashBidNoticeAbstractUI.aspx?menuIndex=3&amp;refID=7048456&amp;Result=3","7048456")</f>
        <v>0</v>
      </c>
      <c r="B1281" t="s">
        <v>633</v>
      </c>
      <c r="C1281" t="s">
        <v>4339</v>
      </c>
      <c r="E1281" t="s">
        <v>17468</v>
      </c>
      <c r="F1281" t="s">
        <v>28201</v>
      </c>
      <c r="G1281" t="s">
        <v>28205</v>
      </c>
      <c r="H1281" t="s">
        <v>28215</v>
      </c>
      <c r="I1281" t="s">
        <v>5100</v>
      </c>
      <c r="J1281" t="s">
        <v>29282</v>
      </c>
      <c r="K1281" t="s">
        <v>36689</v>
      </c>
      <c r="M1281" t="s">
        <v>37626</v>
      </c>
      <c r="N1281" t="s">
        <v>40436</v>
      </c>
      <c r="O1281" t="s">
        <v>40437</v>
      </c>
      <c r="P1281">
        <v>0</v>
      </c>
      <c r="Q1281">
        <v>0</v>
      </c>
      <c r="R1281" t="s">
        <v>40438</v>
      </c>
      <c r="S1281" t="s">
        <v>40582</v>
      </c>
      <c r="T1281" t="s">
        <v>42259</v>
      </c>
      <c r="U1281" t="s">
        <v>43729</v>
      </c>
      <c r="W1281" t="s">
        <v>37626</v>
      </c>
      <c r="X1281" t="s">
        <v>40439</v>
      </c>
    </row>
    <row r="1282" spans="1:24">
      <c r="A1282">
        <f>HYPERLINK("https://www.philgeps.gov.ph/GEPSNONPILOT/Tender/SplashBidNoticeAbstractUI.aspx?menuIndex=3&amp;refID=7048462&amp;Result=3","7048462")</f>
        <v>0</v>
      </c>
      <c r="B1282" t="s">
        <v>412</v>
      </c>
      <c r="C1282" t="s">
        <v>4340</v>
      </c>
      <c r="D1282" t="s">
        <v>16261</v>
      </c>
      <c r="E1282" t="s">
        <v>17494</v>
      </c>
      <c r="F1282" t="s">
        <v>28198</v>
      </c>
      <c r="G1282" t="s">
        <v>28206</v>
      </c>
      <c r="H1282" t="s">
        <v>28215</v>
      </c>
      <c r="I1282" t="s">
        <v>28238</v>
      </c>
      <c r="J1282" t="s">
        <v>29283</v>
      </c>
      <c r="K1282" t="s">
        <v>36706</v>
      </c>
      <c r="M1282" t="s">
        <v>37394</v>
      </c>
      <c r="N1282" t="s">
        <v>40436</v>
      </c>
      <c r="O1282" t="s">
        <v>40437</v>
      </c>
      <c r="P1282">
        <v>0</v>
      </c>
      <c r="Q1282">
        <v>2</v>
      </c>
      <c r="R1282" t="s">
        <v>40438</v>
      </c>
      <c r="S1282" t="s">
        <v>40582</v>
      </c>
      <c r="T1282" t="s">
        <v>42142</v>
      </c>
      <c r="U1282" t="s">
        <v>43751</v>
      </c>
      <c r="W1282" t="s">
        <v>37394</v>
      </c>
      <c r="X1282" t="s">
        <v>40439</v>
      </c>
    </row>
    <row r="1283" spans="1:24">
      <c r="A1283">
        <f>HYPERLINK("https://www.philgeps.gov.ph/GEPSNONPILOT/Tender/SplashBidNoticeAbstractUI.aspx?menuIndex=3&amp;refID=7048451&amp;Result=3","7048451")</f>
        <v>0</v>
      </c>
      <c r="B1283" t="s">
        <v>634</v>
      </c>
      <c r="C1283" t="s">
        <v>4341</v>
      </c>
      <c r="D1283" t="s">
        <v>16255</v>
      </c>
      <c r="E1283" t="s">
        <v>17495</v>
      </c>
      <c r="F1283" t="s">
        <v>28198</v>
      </c>
      <c r="G1283" t="s">
        <v>28205</v>
      </c>
      <c r="H1283" t="s">
        <v>28214</v>
      </c>
      <c r="I1283" t="s">
        <v>3797</v>
      </c>
      <c r="J1283" t="s">
        <v>28379</v>
      </c>
      <c r="K1283" t="s">
        <v>36690</v>
      </c>
      <c r="M1283" t="s">
        <v>37627</v>
      </c>
      <c r="N1283" t="s">
        <v>40436</v>
      </c>
      <c r="O1283" t="s">
        <v>40437</v>
      </c>
      <c r="P1283">
        <v>0</v>
      </c>
      <c r="Q1283">
        <v>1</v>
      </c>
      <c r="R1283" t="s">
        <v>40438</v>
      </c>
      <c r="S1283" t="s">
        <v>40582</v>
      </c>
      <c r="T1283" t="s">
        <v>42227</v>
      </c>
      <c r="U1283" t="s">
        <v>43752</v>
      </c>
      <c r="W1283" t="s">
        <v>37627</v>
      </c>
      <c r="X1283" t="s">
        <v>40439</v>
      </c>
    </row>
    <row r="1284" spans="1:24">
      <c r="A1284">
        <f>HYPERLINK("https://www.philgeps.gov.ph/GEPSNONPILOT/Tender/SplashBidNoticeAbstractUI.aspx?menuIndex=3&amp;refID=7048458&amp;Result=3","7048458")</f>
        <v>0</v>
      </c>
      <c r="B1284" t="s">
        <v>388</v>
      </c>
      <c r="C1284" t="s">
        <v>4342</v>
      </c>
      <c r="D1284" t="s">
        <v>16197</v>
      </c>
      <c r="E1284" t="s">
        <v>17496</v>
      </c>
      <c r="F1284" t="s">
        <v>28198</v>
      </c>
      <c r="G1284" t="s">
        <v>28207</v>
      </c>
      <c r="H1284" t="s">
        <v>28215</v>
      </c>
      <c r="I1284" t="s">
        <v>28255</v>
      </c>
      <c r="J1284" t="s">
        <v>28561</v>
      </c>
      <c r="K1284" t="s">
        <v>36701</v>
      </c>
      <c r="M1284" t="s">
        <v>37368</v>
      </c>
      <c r="N1284" t="s">
        <v>40436</v>
      </c>
      <c r="O1284" t="s">
        <v>40437</v>
      </c>
      <c r="P1284">
        <v>0</v>
      </c>
      <c r="Q1284">
        <v>0</v>
      </c>
      <c r="R1284" t="s">
        <v>40438</v>
      </c>
      <c r="S1284" t="s">
        <v>40582</v>
      </c>
      <c r="T1284" t="s">
        <v>42097</v>
      </c>
      <c r="U1284" t="s">
        <v>43753</v>
      </c>
      <c r="V1284" t="s">
        <v>53874</v>
      </c>
      <c r="W1284" t="s">
        <v>37368</v>
      </c>
      <c r="X1284" t="s">
        <v>40439</v>
      </c>
    </row>
    <row r="1285" spans="1:24">
      <c r="A1285">
        <f>HYPERLINK("https://www.philgeps.gov.ph/GEPSNONPILOT/Tender/SplashBidNoticeAbstractUI.aspx?menuIndex=3&amp;refID=7048452&amp;Result=3","7048452")</f>
        <v>0</v>
      </c>
      <c r="B1285" t="s">
        <v>635</v>
      </c>
      <c r="C1285" t="s">
        <v>4343</v>
      </c>
      <c r="D1285" t="s">
        <v>16245</v>
      </c>
      <c r="E1285" t="s">
        <v>16625</v>
      </c>
      <c r="F1285" t="s">
        <v>28198</v>
      </c>
      <c r="G1285" t="s">
        <v>28207</v>
      </c>
      <c r="H1285" t="s">
        <v>28215</v>
      </c>
      <c r="I1285" t="s">
        <v>5082</v>
      </c>
      <c r="J1285" t="s">
        <v>29284</v>
      </c>
      <c r="K1285" t="s">
        <v>36688</v>
      </c>
      <c r="M1285" t="s">
        <v>37628</v>
      </c>
      <c r="N1285" t="s">
        <v>40436</v>
      </c>
      <c r="O1285" t="s">
        <v>40437</v>
      </c>
      <c r="P1285">
        <v>0</v>
      </c>
      <c r="Q1285">
        <v>0</v>
      </c>
      <c r="R1285" t="s">
        <v>40438</v>
      </c>
      <c r="S1285" t="s">
        <v>40582</v>
      </c>
      <c r="T1285" t="s">
        <v>42103</v>
      </c>
      <c r="U1285" t="s">
        <v>43754</v>
      </c>
      <c r="W1285" t="s">
        <v>37628</v>
      </c>
      <c r="X1285" t="s">
        <v>40439</v>
      </c>
    </row>
    <row r="1286" spans="1:24">
      <c r="A1286">
        <f>HYPERLINK("https://www.philgeps.gov.ph/GEPSNONPILOT/Tender/SplashBidNoticeAbstractUI.aspx?menuIndex=3&amp;refID=7048472&amp;Result=3","7048472")</f>
        <v>0</v>
      </c>
      <c r="B1286" t="s">
        <v>480</v>
      </c>
      <c r="C1286" t="s">
        <v>4344</v>
      </c>
      <c r="D1286" t="s">
        <v>16234</v>
      </c>
      <c r="E1286" t="s">
        <v>17497</v>
      </c>
      <c r="F1286" t="s">
        <v>28198</v>
      </c>
      <c r="G1286" t="s">
        <v>28207</v>
      </c>
      <c r="H1286" t="s">
        <v>28215</v>
      </c>
      <c r="I1286" t="s">
        <v>28234</v>
      </c>
      <c r="J1286" t="s">
        <v>28694</v>
      </c>
      <c r="K1286" t="s">
        <v>36689</v>
      </c>
      <c r="M1286" t="s">
        <v>37465</v>
      </c>
      <c r="N1286" t="s">
        <v>40436</v>
      </c>
      <c r="O1286" t="s">
        <v>40437</v>
      </c>
      <c r="P1286">
        <v>0</v>
      </c>
      <c r="Q1286">
        <v>2</v>
      </c>
      <c r="R1286" t="s">
        <v>40438</v>
      </c>
      <c r="S1286" t="s">
        <v>40582</v>
      </c>
      <c r="T1286" t="s">
        <v>42129</v>
      </c>
      <c r="U1286" t="s">
        <v>43655</v>
      </c>
      <c r="W1286" t="s">
        <v>37465</v>
      </c>
      <c r="X1286" t="s">
        <v>40439</v>
      </c>
    </row>
    <row r="1287" spans="1:24">
      <c r="A1287">
        <f>HYPERLINK("https://www.philgeps.gov.ph/GEPSNONPILOT/Tender/SplashBidNoticeAbstractUI.aspx?menuIndex=3&amp;refID=7048471&amp;Result=3","7048471")</f>
        <v>0</v>
      </c>
      <c r="B1287" t="s">
        <v>636</v>
      </c>
      <c r="C1287" t="s">
        <v>4345</v>
      </c>
      <c r="D1287" t="s">
        <v>16223</v>
      </c>
      <c r="E1287" t="s">
        <v>17498</v>
      </c>
      <c r="F1287" t="s">
        <v>28198</v>
      </c>
      <c r="G1287" t="s">
        <v>28207</v>
      </c>
      <c r="H1287" t="s">
        <v>28215</v>
      </c>
      <c r="I1287" t="s">
        <v>28225</v>
      </c>
      <c r="J1287" t="s">
        <v>29285</v>
      </c>
      <c r="K1287" t="s">
        <v>36707</v>
      </c>
      <c r="M1287" t="s">
        <v>37629</v>
      </c>
      <c r="N1287" t="s">
        <v>40436</v>
      </c>
      <c r="O1287" t="s">
        <v>40437</v>
      </c>
      <c r="P1287">
        <v>0</v>
      </c>
      <c r="Q1287">
        <v>1</v>
      </c>
      <c r="R1287" t="s">
        <v>40438</v>
      </c>
      <c r="S1287" t="s">
        <v>40582</v>
      </c>
      <c r="T1287" t="s">
        <v>42103</v>
      </c>
      <c r="U1287" t="s">
        <v>43755</v>
      </c>
      <c r="W1287" t="s">
        <v>37629</v>
      </c>
      <c r="X1287" t="s">
        <v>40439</v>
      </c>
    </row>
    <row r="1288" spans="1:24">
      <c r="A1288">
        <f>HYPERLINK("https://www.philgeps.gov.ph/GEPSNONPILOT/Tender/SplashBidNoticeAbstractUI.aspx?menuIndex=3&amp;refID=7048454&amp;Result=3","7048454")</f>
        <v>0</v>
      </c>
      <c r="B1288" t="s">
        <v>617</v>
      </c>
      <c r="C1288" t="s">
        <v>4305</v>
      </c>
      <c r="D1288" t="s">
        <v>16253</v>
      </c>
      <c r="E1288" t="s">
        <v>17499</v>
      </c>
      <c r="F1288" t="s">
        <v>28198</v>
      </c>
      <c r="G1288" t="s">
        <v>28207</v>
      </c>
      <c r="H1288" t="s">
        <v>28215</v>
      </c>
      <c r="I1288" t="s">
        <v>28225</v>
      </c>
      <c r="J1288" t="s">
        <v>28694</v>
      </c>
      <c r="K1288" t="s">
        <v>36701</v>
      </c>
      <c r="M1288" t="s">
        <v>37609</v>
      </c>
      <c r="N1288" t="s">
        <v>40436</v>
      </c>
      <c r="O1288" t="s">
        <v>40437</v>
      </c>
      <c r="P1288">
        <v>0</v>
      </c>
      <c r="Q1288">
        <v>1</v>
      </c>
      <c r="R1288" t="s">
        <v>40438</v>
      </c>
      <c r="S1288" t="s">
        <v>40582</v>
      </c>
      <c r="T1288" t="s">
        <v>42129</v>
      </c>
      <c r="U1288" t="s">
        <v>43724</v>
      </c>
      <c r="V1288" t="s">
        <v>53932</v>
      </c>
      <c r="W1288" t="s">
        <v>37609</v>
      </c>
      <c r="X1288" t="s">
        <v>40439</v>
      </c>
    </row>
    <row r="1289" spans="1:24">
      <c r="A1289">
        <f>HYPERLINK("https://www.philgeps.gov.ph/GEPSNONPILOT/Tender/SplashBidNoticeAbstractUI.aspx?menuIndex=3&amp;refID=7048463&amp;Result=3","7048463")</f>
        <v>0</v>
      </c>
      <c r="B1289" t="s">
        <v>607</v>
      </c>
      <c r="C1289" t="s">
        <v>4346</v>
      </c>
      <c r="D1289" t="s">
        <v>16232</v>
      </c>
      <c r="E1289" t="s">
        <v>17057</v>
      </c>
      <c r="F1289" t="s">
        <v>28198</v>
      </c>
      <c r="G1289" t="s">
        <v>28207</v>
      </c>
      <c r="H1289" t="s">
        <v>28215</v>
      </c>
      <c r="I1289" t="s">
        <v>7310</v>
      </c>
      <c r="J1289" t="s">
        <v>28589</v>
      </c>
      <c r="K1289" t="s">
        <v>36687</v>
      </c>
      <c r="M1289" t="s">
        <v>37598</v>
      </c>
      <c r="N1289" t="s">
        <v>40436</v>
      </c>
      <c r="O1289" t="s">
        <v>40437</v>
      </c>
      <c r="P1289">
        <v>0</v>
      </c>
      <c r="Q1289">
        <v>1</v>
      </c>
      <c r="R1289" t="s">
        <v>40438</v>
      </c>
      <c r="S1289" t="s">
        <v>40582</v>
      </c>
      <c r="T1289" t="s">
        <v>42129</v>
      </c>
      <c r="U1289" t="s">
        <v>43756</v>
      </c>
      <c r="W1289" t="s">
        <v>37598</v>
      </c>
      <c r="X1289" t="s">
        <v>40439</v>
      </c>
    </row>
    <row r="1290" spans="1:24">
      <c r="A1290">
        <f>HYPERLINK("https://www.philgeps.gov.ph/GEPSNONPILOT/Tender/SplashBidNoticeAbstractUI.aspx?menuIndex=3&amp;refID=7048467&amp;Result=3","7048467")</f>
        <v>0</v>
      </c>
      <c r="B1290" t="s">
        <v>461</v>
      </c>
      <c r="C1290" t="s">
        <v>4347</v>
      </c>
      <c r="D1290" t="s">
        <v>16208</v>
      </c>
      <c r="E1290" t="s">
        <v>17500</v>
      </c>
      <c r="F1290" t="s">
        <v>28198</v>
      </c>
      <c r="G1290" t="s">
        <v>28206</v>
      </c>
      <c r="H1290" t="s">
        <v>28215</v>
      </c>
      <c r="I1290" t="s">
        <v>28227</v>
      </c>
      <c r="J1290" t="s">
        <v>29286</v>
      </c>
      <c r="K1290" t="s">
        <v>36689</v>
      </c>
      <c r="M1290" t="s">
        <v>37445</v>
      </c>
      <c r="N1290" t="s">
        <v>40436</v>
      </c>
      <c r="O1290" t="s">
        <v>40437</v>
      </c>
      <c r="P1290">
        <v>0</v>
      </c>
      <c r="Q1290">
        <v>0</v>
      </c>
      <c r="R1290" t="s">
        <v>40438</v>
      </c>
      <c r="S1290" t="s">
        <v>40582</v>
      </c>
      <c r="T1290" t="s">
        <v>42119</v>
      </c>
      <c r="U1290" t="s">
        <v>43757</v>
      </c>
      <c r="W1290" t="s">
        <v>37445</v>
      </c>
      <c r="X1290" t="s">
        <v>40439</v>
      </c>
    </row>
    <row r="1291" spans="1:24">
      <c r="A1291">
        <f>HYPERLINK("https://www.philgeps.gov.ph/GEPSNONPILOT/Tender/SplashBidNoticeAbstractUI.aspx?menuIndex=3&amp;refID=7048465&amp;Result=3","7048465")</f>
        <v>0</v>
      </c>
      <c r="B1291" t="s">
        <v>637</v>
      </c>
      <c r="C1291" t="s">
        <v>4348</v>
      </c>
      <c r="D1291" t="s">
        <v>16216</v>
      </c>
      <c r="E1291" t="s">
        <v>17501</v>
      </c>
      <c r="F1291" t="s">
        <v>28198</v>
      </c>
      <c r="G1291" t="s">
        <v>28207</v>
      </c>
      <c r="H1291" t="s">
        <v>28215</v>
      </c>
      <c r="I1291" t="s">
        <v>28258</v>
      </c>
      <c r="J1291" t="s">
        <v>28406</v>
      </c>
      <c r="K1291" t="s">
        <v>36688</v>
      </c>
      <c r="M1291" t="s">
        <v>37630</v>
      </c>
      <c r="N1291" t="s">
        <v>40436</v>
      </c>
      <c r="O1291" t="s">
        <v>40437</v>
      </c>
      <c r="P1291">
        <v>0</v>
      </c>
      <c r="Q1291">
        <v>2</v>
      </c>
      <c r="R1291" t="s">
        <v>40438</v>
      </c>
      <c r="S1291" t="s">
        <v>40582</v>
      </c>
      <c r="T1291" t="s">
        <v>42112</v>
      </c>
      <c r="U1291" t="s">
        <v>43758</v>
      </c>
      <c r="W1291" t="s">
        <v>37630</v>
      </c>
      <c r="X1291" t="s">
        <v>40439</v>
      </c>
    </row>
    <row r="1292" spans="1:24">
      <c r="A1292">
        <f>HYPERLINK("https://www.philgeps.gov.ph/GEPSNONPILOT/Tender/SplashBidNoticeAbstractUI.aspx?menuIndex=3&amp;refID=7048455&amp;Result=3","7048455")</f>
        <v>0</v>
      </c>
      <c r="B1292" t="s">
        <v>386</v>
      </c>
      <c r="C1292" t="s">
        <v>4349</v>
      </c>
      <c r="D1292" t="s">
        <v>16259</v>
      </c>
      <c r="E1292" t="s">
        <v>17502</v>
      </c>
      <c r="F1292" t="s">
        <v>28198</v>
      </c>
      <c r="G1292" t="s">
        <v>28205</v>
      </c>
      <c r="H1292" t="s">
        <v>28215</v>
      </c>
      <c r="I1292" t="s">
        <v>28224</v>
      </c>
      <c r="J1292" t="s">
        <v>29287</v>
      </c>
      <c r="K1292" t="s">
        <v>36688</v>
      </c>
      <c r="M1292" t="s">
        <v>37366</v>
      </c>
      <c r="N1292" t="s">
        <v>40436</v>
      </c>
      <c r="O1292" t="s">
        <v>40437</v>
      </c>
      <c r="P1292">
        <v>0</v>
      </c>
      <c r="Q1292">
        <v>0</v>
      </c>
      <c r="R1292" t="s">
        <v>40438</v>
      </c>
      <c r="S1292" t="s">
        <v>40582</v>
      </c>
      <c r="T1292" t="s">
        <v>42123</v>
      </c>
      <c r="U1292" t="s">
        <v>43270</v>
      </c>
      <c r="V1292" t="s">
        <v>53872</v>
      </c>
      <c r="W1292" t="s">
        <v>37366</v>
      </c>
      <c r="X1292" t="s">
        <v>40439</v>
      </c>
    </row>
    <row r="1293" spans="1:24">
      <c r="A1293">
        <f>HYPERLINK("https://www.philgeps.gov.ph/GEPSNONPILOT/Tender/SplashBidNoticeAbstractUI.aspx?menuIndex=3&amp;refID=7048473&amp;Result=3","7048473")</f>
        <v>0</v>
      </c>
      <c r="B1293" t="s">
        <v>466</v>
      </c>
      <c r="C1293" t="s">
        <v>4350</v>
      </c>
      <c r="E1293" t="s">
        <v>17503</v>
      </c>
      <c r="F1293" t="s">
        <v>28198</v>
      </c>
      <c r="G1293" t="s">
        <v>28211</v>
      </c>
      <c r="H1293" t="s">
        <v>28216</v>
      </c>
      <c r="I1293" t="s">
        <v>28216</v>
      </c>
      <c r="J1293" t="s">
        <v>28548</v>
      </c>
      <c r="K1293" t="s">
        <v>36705</v>
      </c>
      <c r="M1293" t="s">
        <v>37622</v>
      </c>
      <c r="N1293" t="s">
        <v>40436</v>
      </c>
      <c r="O1293" t="s">
        <v>40437</v>
      </c>
      <c r="P1293">
        <v>0</v>
      </c>
      <c r="Q1293">
        <v>0</v>
      </c>
      <c r="R1293" t="s">
        <v>40438</v>
      </c>
      <c r="S1293" t="s">
        <v>40582</v>
      </c>
      <c r="T1293" t="s">
        <v>42098</v>
      </c>
      <c r="U1293" t="s">
        <v>43759</v>
      </c>
      <c r="W1293" t="s">
        <v>37622</v>
      </c>
      <c r="X1293" t="s">
        <v>40439</v>
      </c>
    </row>
    <row r="1294" spans="1:24">
      <c r="A1294">
        <f>HYPERLINK("https://www.philgeps.gov.ph/GEPSNONPILOT/Tender/SplashBidNoticeAbstractUI.aspx?menuIndex=3&amp;refID=7048457&amp;Result=3","7048457")</f>
        <v>0</v>
      </c>
      <c r="B1294" t="s">
        <v>638</v>
      </c>
      <c r="C1294" t="s">
        <v>4351</v>
      </c>
      <c r="D1294" t="s">
        <v>16202</v>
      </c>
      <c r="E1294" t="s">
        <v>17504</v>
      </c>
      <c r="F1294" t="s">
        <v>28198</v>
      </c>
      <c r="G1294" t="s">
        <v>28207</v>
      </c>
      <c r="H1294" t="s">
        <v>28215</v>
      </c>
      <c r="I1294" t="s">
        <v>5082</v>
      </c>
      <c r="J1294" t="s">
        <v>28345</v>
      </c>
      <c r="K1294" t="s">
        <v>36691</v>
      </c>
      <c r="M1294" t="s">
        <v>37631</v>
      </c>
      <c r="N1294" t="s">
        <v>40436</v>
      </c>
      <c r="O1294" t="s">
        <v>40437</v>
      </c>
      <c r="P1294">
        <v>0</v>
      </c>
      <c r="Q1294">
        <v>0</v>
      </c>
      <c r="R1294" t="s">
        <v>40438</v>
      </c>
      <c r="S1294" t="s">
        <v>40582</v>
      </c>
      <c r="T1294" t="s">
        <v>42124</v>
      </c>
      <c r="U1294" t="s">
        <v>43760</v>
      </c>
      <c r="V1294" t="s">
        <v>53940</v>
      </c>
      <c r="W1294" t="s">
        <v>37631</v>
      </c>
      <c r="X1294" t="s">
        <v>40439</v>
      </c>
    </row>
    <row r="1295" spans="1:24">
      <c r="A1295">
        <f>HYPERLINK("https://www.philgeps.gov.ph/GEPSNONPILOT/Tender/SplashBidNoticeAbstractUI.aspx?menuIndex=3&amp;refID=7048466&amp;Result=3","7048466")</f>
        <v>0</v>
      </c>
      <c r="B1295" t="s">
        <v>639</v>
      </c>
      <c r="C1295" t="s">
        <v>4352</v>
      </c>
      <c r="D1295" t="s">
        <v>16190</v>
      </c>
      <c r="E1295" t="s">
        <v>17505</v>
      </c>
      <c r="F1295" t="s">
        <v>28198</v>
      </c>
      <c r="G1295" t="s">
        <v>28207</v>
      </c>
      <c r="H1295" t="s">
        <v>28215</v>
      </c>
      <c r="I1295" t="s">
        <v>28232</v>
      </c>
      <c r="J1295" t="s">
        <v>29288</v>
      </c>
      <c r="K1295" t="s">
        <v>36698</v>
      </c>
      <c r="M1295" t="s">
        <v>37632</v>
      </c>
      <c r="N1295" t="s">
        <v>40436</v>
      </c>
      <c r="O1295" t="s">
        <v>40437</v>
      </c>
      <c r="P1295">
        <v>0</v>
      </c>
      <c r="Q1295">
        <v>0</v>
      </c>
      <c r="R1295" t="s">
        <v>40438</v>
      </c>
      <c r="S1295" t="s">
        <v>40582</v>
      </c>
      <c r="T1295" t="s">
        <v>42134</v>
      </c>
      <c r="U1295" t="s">
        <v>43761</v>
      </c>
      <c r="V1295" t="s">
        <v>53941</v>
      </c>
      <c r="W1295" t="s">
        <v>37632</v>
      </c>
      <c r="X1295" t="s">
        <v>40439</v>
      </c>
    </row>
    <row r="1296" spans="1:24">
      <c r="A1296">
        <f>HYPERLINK("https://www.philgeps.gov.ph/GEPSNONPILOT/Tender/SplashBidNoticeAbstractUI.aspx?menuIndex=3&amp;refID=7048476&amp;Result=3","7048476")</f>
        <v>0</v>
      </c>
      <c r="B1296" t="s">
        <v>533</v>
      </c>
      <c r="C1296" t="s">
        <v>4353</v>
      </c>
      <c r="D1296" t="s">
        <v>16190</v>
      </c>
      <c r="E1296" t="s">
        <v>16502</v>
      </c>
      <c r="F1296" t="s">
        <v>28198</v>
      </c>
      <c r="G1296" t="s">
        <v>28207</v>
      </c>
      <c r="H1296" t="s">
        <v>28215</v>
      </c>
      <c r="I1296" t="s">
        <v>5082</v>
      </c>
      <c r="J1296" t="s">
        <v>28543</v>
      </c>
      <c r="K1296" t="s">
        <v>36688</v>
      </c>
      <c r="M1296" t="s">
        <v>37519</v>
      </c>
      <c r="N1296" t="s">
        <v>40436</v>
      </c>
      <c r="O1296" t="s">
        <v>40437</v>
      </c>
      <c r="P1296">
        <v>0</v>
      </c>
      <c r="Q1296">
        <v>1</v>
      </c>
      <c r="R1296" t="s">
        <v>40438</v>
      </c>
      <c r="S1296" t="s">
        <v>40582</v>
      </c>
      <c r="T1296" t="s">
        <v>42142</v>
      </c>
      <c r="U1296" t="s">
        <v>43762</v>
      </c>
      <c r="W1296" t="s">
        <v>37519</v>
      </c>
      <c r="X1296" t="s">
        <v>40439</v>
      </c>
    </row>
    <row r="1297" spans="1:24">
      <c r="A1297">
        <f>HYPERLINK("https://www.philgeps.gov.ph/GEPSNONPILOT/Tender/SplashBidNoticeAbstractUI.aspx?menuIndex=3&amp;refID=7048464&amp;Result=3","7048464")</f>
        <v>0</v>
      </c>
      <c r="B1297" t="s">
        <v>564</v>
      </c>
      <c r="C1297" t="s">
        <v>4354</v>
      </c>
      <c r="D1297" t="s">
        <v>16250</v>
      </c>
      <c r="E1297" t="s">
        <v>17506</v>
      </c>
      <c r="F1297" t="s">
        <v>28198</v>
      </c>
      <c r="G1297" t="s">
        <v>28206</v>
      </c>
      <c r="H1297" t="s">
        <v>28215</v>
      </c>
      <c r="I1297" t="s">
        <v>4505</v>
      </c>
      <c r="J1297" t="s">
        <v>29289</v>
      </c>
      <c r="K1297" t="s">
        <v>36695</v>
      </c>
      <c r="M1297" t="s">
        <v>37551</v>
      </c>
      <c r="N1297" t="s">
        <v>40436</v>
      </c>
      <c r="O1297" t="s">
        <v>40437</v>
      </c>
      <c r="P1297">
        <v>0</v>
      </c>
      <c r="Q1297">
        <v>2</v>
      </c>
      <c r="R1297" t="s">
        <v>40438</v>
      </c>
      <c r="S1297" t="s">
        <v>40582</v>
      </c>
      <c r="T1297" t="s">
        <v>42103</v>
      </c>
      <c r="U1297" t="s">
        <v>43621</v>
      </c>
      <c r="V1297" t="s">
        <v>53921</v>
      </c>
      <c r="W1297" t="s">
        <v>37551</v>
      </c>
      <c r="X1297" t="s">
        <v>40439</v>
      </c>
    </row>
    <row r="1298" spans="1:24">
      <c r="A1298">
        <f>HYPERLINK("https://www.philgeps.gov.ph/GEPSNONPILOT/Tender/SplashBidNoticeAbstractUI.aspx?menuIndex=3&amp;refID=7048459&amp;Result=3","7048459")</f>
        <v>0</v>
      </c>
      <c r="B1298" t="s">
        <v>152</v>
      </c>
      <c r="C1298" t="s">
        <v>4355</v>
      </c>
      <c r="D1298" t="s">
        <v>16210</v>
      </c>
      <c r="E1298" t="s">
        <v>17507</v>
      </c>
      <c r="F1298" t="s">
        <v>28198</v>
      </c>
      <c r="G1298" t="s">
        <v>28207</v>
      </c>
      <c r="H1298" t="s">
        <v>28215</v>
      </c>
      <c r="I1298" t="s">
        <v>28247</v>
      </c>
      <c r="J1298" t="s">
        <v>29290</v>
      </c>
      <c r="K1298" t="s">
        <v>36701</v>
      </c>
      <c r="M1298" t="s">
        <v>37126</v>
      </c>
      <c r="N1298" t="s">
        <v>40436</v>
      </c>
      <c r="O1298" t="s">
        <v>40437</v>
      </c>
      <c r="P1298">
        <v>0</v>
      </c>
      <c r="Q1298">
        <v>10</v>
      </c>
      <c r="R1298" t="s">
        <v>40438</v>
      </c>
      <c r="S1298" t="s">
        <v>40582</v>
      </c>
      <c r="T1298" t="s">
        <v>42160</v>
      </c>
      <c r="U1298" t="s">
        <v>43421</v>
      </c>
      <c r="W1298" t="s">
        <v>37126</v>
      </c>
      <c r="X1298" t="s">
        <v>40439</v>
      </c>
    </row>
    <row r="1299" spans="1:24">
      <c r="A1299">
        <f>HYPERLINK("https://www.philgeps.gov.ph/GEPSNONPILOT/Tender/SplashBidNoticeAbstractUI.aspx?menuIndex=3&amp;refID=7048469&amp;Result=3","7048469")</f>
        <v>0</v>
      </c>
      <c r="B1299" t="s">
        <v>640</v>
      </c>
      <c r="C1299" t="s">
        <v>4356</v>
      </c>
      <c r="D1299" t="s">
        <v>16218</v>
      </c>
      <c r="E1299" t="s">
        <v>17508</v>
      </c>
      <c r="F1299" t="s">
        <v>28198</v>
      </c>
      <c r="G1299" t="s">
        <v>28210</v>
      </c>
      <c r="H1299" t="s">
        <v>28215</v>
      </c>
      <c r="I1299" t="s">
        <v>5082</v>
      </c>
      <c r="J1299" t="s">
        <v>28345</v>
      </c>
      <c r="K1299" t="s">
        <v>36698</v>
      </c>
      <c r="M1299" t="s">
        <v>37633</v>
      </c>
      <c r="N1299" t="s">
        <v>40436</v>
      </c>
      <c r="O1299" t="s">
        <v>40437</v>
      </c>
      <c r="P1299">
        <v>0</v>
      </c>
      <c r="Q1299">
        <v>1</v>
      </c>
      <c r="R1299" t="s">
        <v>40438</v>
      </c>
      <c r="S1299" t="s">
        <v>40582</v>
      </c>
      <c r="T1299" t="s">
        <v>42103</v>
      </c>
      <c r="U1299" t="s">
        <v>43763</v>
      </c>
      <c r="W1299" t="s">
        <v>37633</v>
      </c>
      <c r="X1299" t="s">
        <v>40439</v>
      </c>
    </row>
    <row r="1300" spans="1:24">
      <c r="A1300">
        <f>HYPERLINK("https://www.philgeps.gov.ph/GEPSNONPILOT/Tender/SplashBidNoticeAbstractUI.aspx?menuIndex=3&amp;refID=7048474&amp;Result=3","7048474")</f>
        <v>0</v>
      </c>
      <c r="B1300" t="s">
        <v>561</v>
      </c>
      <c r="C1300" t="s">
        <v>4357</v>
      </c>
      <c r="D1300" t="s">
        <v>16196</v>
      </c>
      <c r="E1300" t="s">
        <v>17509</v>
      </c>
      <c r="F1300" t="s">
        <v>28198</v>
      </c>
      <c r="G1300" t="s">
        <v>28205</v>
      </c>
      <c r="H1300" t="s">
        <v>28214</v>
      </c>
      <c r="I1300" t="s">
        <v>3797</v>
      </c>
      <c r="J1300" t="s">
        <v>29120</v>
      </c>
      <c r="K1300" t="s">
        <v>36709</v>
      </c>
      <c r="L1300" t="s">
        <v>561</v>
      </c>
      <c r="M1300" t="s">
        <v>37547</v>
      </c>
      <c r="N1300" t="s">
        <v>40436</v>
      </c>
      <c r="O1300" t="s">
        <v>40437</v>
      </c>
      <c r="Q1300">
        <v>27</v>
      </c>
      <c r="R1300" t="s">
        <v>40438</v>
      </c>
      <c r="S1300" t="s">
        <v>40585</v>
      </c>
      <c r="T1300" t="s">
        <v>42128</v>
      </c>
      <c r="U1300" t="s">
        <v>43764</v>
      </c>
      <c r="W1300" t="s">
        <v>37547</v>
      </c>
      <c r="X1300" t="s">
        <v>40439</v>
      </c>
    </row>
    <row r="1301" spans="1:24">
      <c r="A1301">
        <f>HYPERLINK("https://www.philgeps.gov.ph/GEPSNONPILOT/Tender/SplashBidNoticeAbstractUI.aspx?menuIndex=3&amp;refID=7048475&amp;Result=3","7048475")</f>
        <v>0</v>
      </c>
      <c r="B1301" t="s">
        <v>266</v>
      </c>
      <c r="C1301" t="s">
        <v>4165</v>
      </c>
      <c r="D1301" t="s">
        <v>16257</v>
      </c>
      <c r="E1301" t="s">
        <v>17510</v>
      </c>
      <c r="F1301" t="s">
        <v>28200</v>
      </c>
      <c r="G1301" t="s">
        <v>28205</v>
      </c>
      <c r="H1301" t="s">
        <v>28214</v>
      </c>
      <c r="I1301" t="s">
        <v>3797</v>
      </c>
      <c r="J1301" t="s">
        <v>29291</v>
      </c>
      <c r="K1301" t="s">
        <v>36689</v>
      </c>
      <c r="M1301" t="s">
        <v>37242</v>
      </c>
      <c r="N1301" t="s">
        <v>40436</v>
      </c>
      <c r="O1301" t="s">
        <v>40437</v>
      </c>
      <c r="P1301">
        <v>0</v>
      </c>
      <c r="Q1301">
        <v>1</v>
      </c>
      <c r="R1301" t="s">
        <v>40438</v>
      </c>
      <c r="S1301" t="s">
        <v>40582</v>
      </c>
      <c r="T1301" t="s">
        <v>42192</v>
      </c>
      <c r="U1301" t="s">
        <v>43765</v>
      </c>
      <c r="W1301" t="s">
        <v>37242</v>
      </c>
      <c r="X1301" t="s">
        <v>40439</v>
      </c>
    </row>
    <row r="1302" spans="1:24">
      <c r="A1302">
        <f>HYPERLINK("https://www.philgeps.gov.ph/GEPSNONPILOT/Tender/SplashBidNoticeAbstractUI.aspx?menuIndex=3&amp;refID=7048477&amp;Result=3","7048477")</f>
        <v>0</v>
      </c>
      <c r="B1302" t="s">
        <v>641</v>
      </c>
      <c r="C1302" t="s">
        <v>4358</v>
      </c>
      <c r="D1302" t="s">
        <v>16228</v>
      </c>
      <c r="E1302" t="s">
        <v>17511</v>
      </c>
      <c r="F1302" t="s">
        <v>28198</v>
      </c>
      <c r="G1302" t="s">
        <v>28205</v>
      </c>
      <c r="H1302" t="s">
        <v>28215</v>
      </c>
      <c r="I1302" t="s">
        <v>28280</v>
      </c>
      <c r="J1302" t="s">
        <v>29292</v>
      </c>
      <c r="K1302" t="s">
        <v>36701</v>
      </c>
      <c r="M1302" t="s">
        <v>37634</v>
      </c>
      <c r="N1302" t="s">
        <v>40436</v>
      </c>
      <c r="O1302" t="s">
        <v>40437</v>
      </c>
      <c r="P1302">
        <v>0</v>
      </c>
      <c r="Q1302">
        <v>4</v>
      </c>
      <c r="R1302" t="s">
        <v>40438</v>
      </c>
      <c r="S1302" t="s">
        <v>40582</v>
      </c>
      <c r="T1302" t="s">
        <v>42263</v>
      </c>
      <c r="U1302" t="s">
        <v>43766</v>
      </c>
      <c r="V1302" t="s">
        <v>53942</v>
      </c>
      <c r="W1302" t="s">
        <v>37634</v>
      </c>
      <c r="X1302" t="s">
        <v>40439</v>
      </c>
    </row>
    <row r="1303" spans="1:24">
      <c r="A1303">
        <f>HYPERLINK("https://www.philgeps.gov.ph/GEPSNONPILOT/Tender/SplashBidNoticeAbstractUI.aspx?menuIndex=3&amp;refID=7048489&amp;Result=3","7048489")</f>
        <v>0</v>
      </c>
      <c r="B1303" t="s">
        <v>642</v>
      </c>
      <c r="C1303" t="s">
        <v>4359</v>
      </c>
      <c r="E1303" t="s">
        <v>17468</v>
      </c>
      <c r="F1303" t="s">
        <v>28201</v>
      </c>
      <c r="G1303" t="s">
        <v>28205</v>
      </c>
      <c r="H1303" t="s">
        <v>28215</v>
      </c>
      <c r="I1303" t="s">
        <v>5100</v>
      </c>
      <c r="J1303" t="s">
        <v>29293</v>
      </c>
      <c r="K1303" t="s">
        <v>36689</v>
      </c>
      <c r="M1303" t="s">
        <v>37635</v>
      </c>
      <c r="N1303" t="s">
        <v>40436</v>
      </c>
      <c r="O1303" t="s">
        <v>40437</v>
      </c>
      <c r="P1303">
        <v>0</v>
      </c>
      <c r="Q1303">
        <v>0</v>
      </c>
      <c r="R1303" t="s">
        <v>40438</v>
      </c>
      <c r="S1303" t="s">
        <v>40582</v>
      </c>
      <c r="T1303" t="s">
        <v>42259</v>
      </c>
      <c r="U1303" t="s">
        <v>43729</v>
      </c>
      <c r="W1303" t="s">
        <v>37635</v>
      </c>
      <c r="X1303" t="s">
        <v>40439</v>
      </c>
    </row>
    <row r="1304" spans="1:24">
      <c r="A1304">
        <f>HYPERLINK("https://www.philgeps.gov.ph/GEPSNONPILOT/Tender/SplashBidNoticeAbstractUI.aspx?menuIndex=3&amp;refID=7048504&amp;Result=3","7048504")</f>
        <v>0</v>
      </c>
      <c r="B1304" t="s">
        <v>611</v>
      </c>
      <c r="C1304" t="s">
        <v>4360</v>
      </c>
      <c r="D1304" t="s">
        <v>16188</v>
      </c>
      <c r="E1304" t="s">
        <v>17512</v>
      </c>
      <c r="F1304" t="s">
        <v>28198</v>
      </c>
      <c r="G1304" t="s">
        <v>28207</v>
      </c>
      <c r="H1304" t="s">
        <v>28215</v>
      </c>
      <c r="I1304" t="s">
        <v>28220</v>
      </c>
      <c r="J1304" t="s">
        <v>28775</v>
      </c>
      <c r="K1304" t="s">
        <v>36688</v>
      </c>
      <c r="M1304" t="s">
        <v>37603</v>
      </c>
      <c r="N1304" t="s">
        <v>40436</v>
      </c>
      <c r="O1304" t="s">
        <v>40437</v>
      </c>
      <c r="P1304">
        <v>0</v>
      </c>
      <c r="Q1304">
        <v>2</v>
      </c>
      <c r="R1304" t="s">
        <v>40438</v>
      </c>
      <c r="S1304" t="s">
        <v>40582</v>
      </c>
      <c r="T1304" t="s">
        <v>42129</v>
      </c>
      <c r="U1304" t="s">
        <v>43767</v>
      </c>
      <c r="W1304" t="s">
        <v>37603</v>
      </c>
      <c r="X1304" t="s">
        <v>40439</v>
      </c>
    </row>
    <row r="1305" spans="1:24">
      <c r="A1305">
        <f>HYPERLINK("https://www.philgeps.gov.ph/GEPSNONPILOT/Tender/SplashBidNoticeAbstractUI.aspx?menuIndex=3&amp;refID=7048505&amp;Result=3","7048505")</f>
        <v>0</v>
      </c>
      <c r="B1305" t="s">
        <v>390</v>
      </c>
      <c r="C1305" t="s">
        <v>4361</v>
      </c>
      <c r="D1305" t="s">
        <v>16235</v>
      </c>
      <c r="E1305" t="s">
        <v>17513</v>
      </c>
      <c r="F1305" t="s">
        <v>28198</v>
      </c>
      <c r="G1305" t="s">
        <v>28207</v>
      </c>
      <c r="H1305" t="s">
        <v>28215</v>
      </c>
      <c r="I1305" t="s">
        <v>3422</v>
      </c>
      <c r="J1305" t="s">
        <v>28665</v>
      </c>
      <c r="K1305" t="s">
        <v>36689</v>
      </c>
      <c r="M1305" t="s">
        <v>37370</v>
      </c>
      <c r="N1305" t="s">
        <v>40436</v>
      </c>
      <c r="O1305" t="s">
        <v>40437</v>
      </c>
      <c r="P1305">
        <v>0</v>
      </c>
      <c r="Q1305">
        <v>0</v>
      </c>
      <c r="R1305" t="s">
        <v>40438</v>
      </c>
      <c r="S1305" t="s">
        <v>40582</v>
      </c>
      <c r="T1305" t="s">
        <v>42124</v>
      </c>
      <c r="U1305" t="s">
        <v>43768</v>
      </c>
      <c r="W1305" t="s">
        <v>37370</v>
      </c>
      <c r="X1305" t="s">
        <v>40439</v>
      </c>
    </row>
    <row r="1306" spans="1:24">
      <c r="A1306">
        <f>HYPERLINK("https://www.philgeps.gov.ph/GEPSNONPILOT/Tender/SplashBidNoticeAbstractUI.aspx?menuIndex=3&amp;refID=7048490&amp;Result=3","7048490")</f>
        <v>0</v>
      </c>
      <c r="B1306" t="s">
        <v>609</v>
      </c>
      <c r="C1306" t="s">
        <v>4362</v>
      </c>
      <c r="D1306" t="s">
        <v>16202</v>
      </c>
      <c r="E1306" t="s">
        <v>17514</v>
      </c>
      <c r="F1306" t="s">
        <v>28198</v>
      </c>
      <c r="G1306" t="s">
        <v>28207</v>
      </c>
      <c r="H1306" t="s">
        <v>28215</v>
      </c>
      <c r="I1306" t="s">
        <v>5071</v>
      </c>
      <c r="J1306" t="s">
        <v>28406</v>
      </c>
      <c r="K1306" t="s">
        <v>36706</v>
      </c>
      <c r="M1306" t="s">
        <v>37601</v>
      </c>
      <c r="N1306" t="s">
        <v>40436</v>
      </c>
      <c r="O1306" t="s">
        <v>40437</v>
      </c>
      <c r="P1306">
        <v>0</v>
      </c>
      <c r="Q1306">
        <v>1</v>
      </c>
      <c r="R1306" t="s">
        <v>40438</v>
      </c>
      <c r="S1306" t="s">
        <v>40582</v>
      </c>
      <c r="T1306" t="s">
        <v>42124</v>
      </c>
      <c r="U1306" t="s">
        <v>43710</v>
      </c>
      <c r="W1306" t="s">
        <v>37601</v>
      </c>
      <c r="X1306" t="s">
        <v>40439</v>
      </c>
    </row>
    <row r="1307" spans="1:24">
      <c r="A1307">
        <f>HYPERLINK("https://www.philgeps.gov.ph/GEPSNONPILOT/Tender/SplashBidNoticeAbstractUI.aspx?menuIndex=3&amp;refID=7048479&amp;Result=3","7048479")</f>
        <v>0</v>
      </c>
      <c r="B1307" t="s">
        <v>643</v>
      </c>
      <c r="C1307" t="s">
        <v>4363</v>
      </c>
      <c r="D1307" t="s">
        <v>16267</v>
      </c>
      <c r="E1307" t="s">
        <v>17515</v>
      </c>
      <c r="F1307" t="s">
        <v>28198</v>
      </c>
      <c r="G1307" t="s">
        <v>28207</v>
      </c>
      <c r="H1307" t="s">
        <v>28215</v>
      </c>
      <c r="I1307" t="s">
        <v>5100</v>
      </c>
      <c r="J1307" t="s">
        <v>29294</v>
      </c>
      <c r="K1307" t="s">
        <v>36701</v>
      </c>
      <c r="M1307" t="s">
        <v>37636</v>
      </c>
      <c r="N1307" t="s">
        <v>40436</v>
      </c>
      <c r="O1307" t="s">
        <v>40437</v>
      </c>
      <c r="P1307">
        <v>0</v>
      </c>
      <c r="Q1307">
        <v>0</v>
      </c>
      <c r="R1307" t="s">
        <v>40438</v>
      </c>
      <c r="S1307" t="s">
        <v>40582</v>
      </c>
      <c r="T1307" t="s">
        <v>42179</v>
      </c>
      <c r="U1307" t="s">
        <v>43769</v>
      </c>
      <c r="W1307" t="s">
        <v>37636</v>
      </c>
      <c r="X1307" t="s">
        <v>40439</v>
      </c>
    </row>
    <row r="1308" spans="1:24">
      <c r="A1308">
        <f>HYPERLINK("https://www.philgeps.gov.ph/GEPSNONPILOT/Tender/SplashBidNoticeAbstractUI.aspx?menuIndex=3&amp;refID=7048498&amp;Result=3","7048498")</f>
        <v>0</v>
      </c>
      <c r="B1308" t="s">
        <v>644</v>
      </c>
      <c r="C1308" t="s">
        <v>4364</v>
      </c>
      <c r="D1308" t="s">
        <v>16221</v>
      </c>
      <c r="E1308" t="s">
        <v>17516</v>
      </c>
      <c r="F1308" t="s">
        <v>28198</v>
      </c>
      <c r="G1308" t="s">
        <v>28207</v>
      </c>
      <c r="H1308" t="s">
        <v>28215</v>
      </c>
      <c r="I1308" t="s">
        <v>28249</v>
      </c>
      <c r="J1308" t="s">
        <v>29295</v>
      </c>
      <c r="K1308" t="s">
        <v>36707</v>
      </c>
      <c r="M1308" t="s">
        <v>37637</v>
      </c>
      <c r="N1308" t="s">
        <v>40436</v>
      </c>
      <c r="O1308" t="s">
        <v>40437</v>
      </c>
      <c r="P1308">
        <v>0</v>
      </c>
      <c r="Q1308">
        <v>0</v>
      </c>
      <c r="R1308" t="s">
        <v>40438</v>
      </c>
      <c r="S1308" t="s">
        <v>40582</v>
      </c>
      <c r="T1308" t="s">
        <v>42111</v>
      </c>
      <c r="U1308" t="s">
        <v>43770</v>
      </c>
      <c r="W1308" t="s">
        <v>37637</v>
      </c>
      <c r="X1308" t="s">
        <v>40439</v>
      </c>
    </row>
    <row r="1309" spans="1:24">
      <c r="A1309">
        <f>HYPERLINK("https://www.philgeps.gov.ph/GEPSNONPILOT/Tender/SplashBidNoticeAbstractUI.aspx?menuIndex=3&amp;refID=7048499&amp;Result=3","7048499")</f>
        <v>0</v>
      </c>
      <c r="B1309" t="s">
        <v>129</v>
      </c>
      <c r="C1309" t="s">
        <v>4365</v>
      </c>
      <c r="D1309" t="s">
        <v>16210</v>
      </c>
      <c r="E1309" t="s">
        <v>17517</v>
      </c>
      <c r="F1309" t="s">
        <v>28198</v>
      </c>
      <c r="G1309" t="s">
        <v>28206</v>
      </c>
      <c r="H1309" t="s">
        <v>28215</v>
      </c>
      <c r="I1309" t="s">
        <v>8888</v>
      </c>
      <c r="J1309" t="s">
        <v>29296</v>
      </c>
      <c r="K1309" t="s">
        <v>36706</v>
      </c>
      <c r="M1309" t="s">
        <v>37151</v>
      </c>
      <c r="N1309" t="s">
        <v>40436</v>
      </c>
      <c r="O1309" t="s">
        <v>40437</v>
      </c>
      <c r="P1309">
        <v>0</v>
      </c>
      <c r="Q1309">
        <v>2</v>
      </c>
      <c r="R1309" t="s">
        <v>40438</v>
      </c>
      <c r="S1309" t="s">
        <v>40582</v>
      </c>
      <c r="T1309" t="s">
        <v>42156</v>
      </c>
      <c r="U1309" t="s">
        <v>43771</v>
      </c>
      <c r="V1309" t="s">
        <v>53812</v>
      </c>
      <c r="W1309" t="s">
        <v>37151</v>
      </c>
      <c r="X1309" t="s">
        <v>40439</v>
      </c>
    </row>
    <row r="1310" spans="1:24">
      <c r="A1310">
        <f>HYPERLINK("https://www.philgeps.gov.ph/GEPSNONPILOT/Tender/SplashBidNoticeAbstractUI.aspx?menuIndex=3&amp;refID=7048496&amp;Result=3","7048496")</f>
        <v>0</v>
      </c>
      <c r="B1310" t="s">
        <v>269</v>
      </c>
      <c r="C1310" t="s">
        <v>3716</v>
      </c>
      <c r="D1310" t="s">
        <v>16250</v>
      </c>
      <c r="E1310" t="s">
        <v>17518</v>
      </c>
      <c r="F1310" t="s">
        <v>28198</v>
      </c>
      <c r="G1310" t="s">
        <v>28207</v>
      </c>
      <c r="H1310" t="s">
        <v>28215</v>
      </c>
      <c r="I1310" t="s">
        <v>3422</v>
      </c>
      <c r="J1310" t="s">
        <v>29297</v>
      </c>
      <c r="K1310" t="s">
        <v>36689</v>
      </c>
      <c r="M1310" t="s">
        <v>37246</v>
      </c>
      <c r="N1310" t="s">
        <v>40436</v>
      </c>
      <c r="O1310" t="s">
        <v>40437</v>
      </c>
      <c r="P1310">
        <v>0</v>
      </c>
      <c r="Q1310">
        <v>0</v>
      </c>
      <c r="R1310" t="s">
        <v>40438</v>
      </c>
      <c r="S1310" t="s">
        <v>40582</v>
      </c>
      <c r="T1310" t="s">
        <v>42111</v>
      </c>
      <c r="U1310" t="s">
        <v>43772</v>
      </c>
      <c r="W1310" t="s">
        <v>37246</v>
      </c>
      <c r="X1310" t="s">
        <v>40439</v>
      </c>
    </row>
    <row r="1311" spans="1:24">
      <c r="A1311">
        <f>HYPERLINK("https://www.philgeps.gov.ph/GEPSNONPILOT/Tender/SplashBidNoticeAbstractUI.aspx?menuIndex=3&amp;refID=7048478&amp;Result=3","7048478")</f>
        <v>0</v>
      </c>
      <c r="B1311" t="s">
        <v>645</v>
      </c>
      <c r="C1311" t="s">
        <v>4366</v>
      </c>
      <c r="D1311" t="s">
        <v>16206</v>
      </c>
      <c r="E1311" t="s">
        <v>17465</v>
      </c>
      <c r="F1311" t="s">
        <v>28198</v>
      </c>
      <c r="G1311" t="s">
        <v>28207</v>
      </c>
      <c r="H1311" t="s">
        <v>28215</v>
      </c>
      <c r="I1311" t="s">
        <v>28296</v>
      </c>
      <c r="J1311" t="s">
        <v>28345</v>
      </c>
      <c r="K1311" t="s">
        <v>36688</v>
      </c>
      <c r="M1311" t="s">
        <v>37638</v>
      </c>
      <c r="N1311" t="s">
        <v>40436</v>
      </c>
      <c r="O1311" t="s">
        <v>40437</v>
      </c>
      <c r="P1311">
        <v>0</v>
      </c>
      <c r="Q1311">
        <v>0</v>
      </c>
      <c r="R1311" t="s">
        <v>40438</v>
      </c>
      <c r="S1311" t="s">
        <v>40582</v>
      </c>
      <c r="T1311" t="s">
        <v>42112</v>
      </c>
      <c r="U1311" t="s">
        <v>43773</v>
      </c>
      <c r="W1311" t="s">
        <v>37638</v>
      </c>
      <c r="X1311" t="s">
        <v>40439</v>
      </c>
    </row>
    <row r="1312" spans="1:24">
      <c r="A1312">
        <f>HYPERLINK("https://www.philgeps.gov.ph/GEPSNONPILOT/Tender/SplashBidNoticeAbstractUI.aspx?menuIndex=3&amp;refID=7048503&amp;Result=3","7048503")</f>
        <v>0</v>
      </c>
      <c r="B1312" t="s">
        <v>222</v>
      </c>
      <c r="C1312" t="s">
        <v>4367</v>
      </c>
      <c r="D1312" t="s">
        <v>16213</v>
      </c>
      <c r="E1312" t="s">
        <v>17519</v>
      </c>
      <c r="F1312" t="s">
        <v>28198</v>
      </c>
      <c r="G1312" t="s">
        <v>28207</v>
      </c>
      <c r="H1312" t="s">
        <v>28215</v>
      </c>
      <c r="I1312" t="s">
        <v>4168</v>
      </c>
      <c r="J1312" t="s">
        <v>29298</v>
      </c>
      <c r="K1312" t="s">
        <v>36708</v>
      </c>
      <c r="M1312" t="s">
        <v>37198</v>
      </c>
      <c r="N1312" t="s">
        <v>40436</v>
      </c>
      <c r="O1312" t="s">
        <v>40437</v>
      </c>
      <c r="P1312">
        <v>0</v>
      </c>
      <c r="Q1312">
        <v>0</v>
      </c>
      <c r="R1312" t="s">
        <v>40438</v>
      </c>
      <c r="S1312" t="s">
        <v>40582</v>
      </c>
      <c r="T1312" t="s">
        <v>42119</v>
      </c>
      <c r="U1312" t="s">
        <v>43774</v>
      </c>
      <c r="W1312" t="s">
        <v>37198</v>
      </c>
      <c r="X1312" t="s">
        <v>40439</v>
      </c>
    </row>
    <row r="1313" spans="1:24">
      <c r="A1313">
        <f>HYPERLINK("https://www.philgeps.gov.ph/GEPSNONPILOT/Tender/SplashBidNoticeAbstractUI.aspx?menuIndex=3&amp;refID=7048495&amp;Result=3","7048495")</f>
        <v>0</v>
      </c>
      <c r="B1313" t="s">
        <v>315</v>
      </c>
      <c r="C1313" t="s">
        <v>4368</v>
      </c>
      <c r="D1313" t="s">
        <v>16191</v>
      </c>
      <c r="E1313" t="s">
        <v>17520</v>
      </c>
      <c r="F1313" t="s">
        <v>28198</v>
      </c>
      <c r="G1313" t="s">
        <v>28206</v>
      </c>
      <c r="H1313" t="s">
        <v>28215</v>
      </c>
      <c r="I1313" t="s">
        <v>28225</v>
      </c>
      <c r="J1313" t="s">
        <v>29299</v>
      </c>
      <c r="K1313" t="s">
        <v>36688</v>
      </c>
      <c r="M1313" t="s">
        <v>37639</v>
      </c>
      <c r="N1313" t="s">
        <v>40436</v>
      </c>
      <c r="O1313" t="s">
        <v>40437</v>
      </c>
      <c r="P1313">
        <v>0</v>
      </c>
      <c r="Q1313">
        <v>0</v>
      </c>
      <c r="R1313" t="s">
        <v>40438</v>
      </c>
      <c r="S1313" t="s">
        <v>40582</v>
      </c>
      <c r="T1313" t="s">
        <v>42264</v>
      </c>
      <c r="U1313" t="s">
        <v>43775</v>
      </c>
      <c r="W1313" t="s">
        <v>37639</v>
      </c>
      <c r="X1313" t="s">
        <v>40439</v>
      </c>
    </row>
    <row r="1314" spans="1:24">
      <c r="A1314">
        <f>HYPERLINK("https://www.philgeps.gov.ph/GEPSNONPILOT/Tender/SplashBidNoticeAbstractUI.aspx?menuIndex=3&amp;refID=7048497&amp;Result=3","7048497")</f>
        <v>0</v>
      </c>
      <c r="B1314" t="s">
        <v>617</v>
      </c>
      <c r="C1314" t="s">
        <v>4369</v>
      </c>
      <c r="D1314" t="s">
        <v>16253</v>
      </c>
      <c r="E1314" t="s">
        <v>17521</v>
      </c>
      <c r="F1314" t="s">
        <v>28198</v>
      </c>
      <c r="G1314" t="s">
        <v>28207</v>
      </c>
      <c r="H1314" t="s">
        <v>28215</v>
      </c>
      <c r="I1314" t="s">
        <v>8888</v>
      </c>
      <c r="J1314" t="s">
        <v>29300</v>
      </c>
      <c r="K1314" t="s">
        <v>36701</v>
      </c>
      <c r="M1314" t="s">
        <v>37609</v>
      </c>
      <c r="N1314" t="s">
        <v>40436</v>
      </c>
      <c r="O1314" t="s">
        <v>40437</v>
      </c>
      <c r="P1314">
        <v>0</v>
      </c>
      <c r="Q1314">
        <v>1</v>
      </c>
      <c r="R1314" t="s">
        <v>40438</v>
      </c>
      <c r="S1314" t="s">
        <v>40582</v>
      </c>
      <c r="T1314" t="s">
        <v>42129</v>
      </c>
      <c r="U1314" t="s">
        <v>43776</v>
      </c>
      <c r="V1314" t="s">
        <v>53932</v>
      </c>
      <c r="W1314" t="s">
        <v>37609</v>
      </c>
      <c r="X1314" t="s">
        <v>40439</v>
      </c>
    </row>
    <row r="1315" spans="1:24">
      <c r="A1315">
        <f>HYPERLINK("https://www.philgeps.gov.ph/GEPSNONPILOT/Tender/SplashBidNoticeAbstractUI.aspx?menuIndex=3&amp;refID=7048482&amp;Result=3","7048482")</f>
        <v>0</v>
      </c>
      <c r="B1315" t="s">
        <v>625</v>
      </c>
      <c r="C1315" t="s">
        <v>3220</v>
      </c>
      <c r="D1315" t="s">
        <v>16218</v>
      </c>
      <c r="E1315" t="s">
        <v>17522</v>
      </c>
      <c r="F1315" t="s">
        <v>28198</v>
      </c>
      <c r="G1315" t="s">
        <v>28210</v>
      </c>
      <c r="H1315" t="s">
        <v>28215</v>
      </c>
      <c r="I1315" t="s">
        <v>5082</v>
      </c>
      <c r="J1315" t="s">
        <v>29301</v>
      </c>
      <c r="K1315" t="s">
        <v>36715</v>
      </c>
      <c r="M1315" t="s">
        <v>37617</v>
      </c>
      <c r="N1315" t="s">
        <v>40436</v>
      </c>
      <c r="O1315" t="s">
        <v>40437</v>
      </c>
      <c r="P1315">
        <v>0</v>
      </c>
      <c r="Q1315">
        <v>1</v>
      </c>
      <c r="R1315" t="s">
        <v>40438</v>
      </c>
      <c r="S1315" t="s">
        <v>40582</v>
      </c>
      <c r="T1315" t="s">
        <v>42152</v>
      </c>
      <c r="U1315" t="s">
        <v>43777</v>
      </c>
      <c r="W1315" t="s">
        <v>37617</v>
      </c>
      <c r="X1315" t="s">
        <v>40439</v>
      </c>
    </row>
    <row r="1316" spans="1:24">
      <c r="A1316">
        <f>HYPERLINK("https://www.philgeps.gov.ph/GEPSNONPILOT/Tender/SplashBidNoticeAbstractUI.aspx?menuIndex=3&amp;refID=7048502&amp;Result=3","7048502")</f>
        <v>0</v>
      </c>
      <c r="B1316" t="s">
        <v>646</v>
      </c>
      <c r="C1316" t="s">
        <v>4370</v>
      </c>
      <c r="D1316" t="s">
        <v>16235</v>
      </c>
      <c r="E1316" t="s">
        <v>17523</v>
      </c>
      <c r="F1316" t="s">
        <v>28198</v>
      </c>
      <c r="G1316" t="s">
        <v>28207</v>
      </c>
      <c r="H1316" t="s">
        <v>28215</v>
      </c>
      <c r="I1316" t="s">
        <v>28250</v>
      </c>
      <c r="J1316" t="s">
        <v>28398</v>
      </c>
      <c r="K1316" t="s">
        <v>36689</v>
      </c>
      <c r="M1316" t="s">
        <v>37640</v>
      </c>
      <c r="N1316" t="s">
        <v>40436</v>
      </c>
      <c r="O1316" t="s">
        <v>40437</v>
      </c>
      <c r="P1316">
        <v>0</v>
      </c>
      <c r="Q1316">
        <v>1</v>
      </c>
      <c r="R1316" t="s">
        <v>40438</v>
      </c>
      <c r="S1316" t="s">
        <v>40582</v>
      </c>
      <c r="T1316" t="s">
        <v>42103</v>
      </c>
      <c r="U1316" t="s">
        <v>43778</v>
      </c>
      <c r="W1316" t="s">
        <v>37640</v>
      </c>
      <c r="X1316" t="s">
        <v>40439</v>
      </c>
    </row>
    <row r="1317" spans="1:24">
      <c r="A1317">
        <f>HYPERLINK("https://www.philgeps.gov.ph/GEPSNONPILOT/Tender/SplashBidNoticeAbstractUI.aspx?menuIndex=3&amp;refID=7048492&amp;Result=3","7048492")</f>
        <v>0</v>
      </c>
      <c r="B1317" t="s">
        <v>173</v>
      </c>
      <c r="C1317" t="s">
        <v>4371</v>
      </c>
      <c r="D1317" t="s">
        <v>16208</v>
      </c>
      <c r="E1317" t="s">
        <v>17524</v>
      </c>
      <c r="F1317" t="s">
        <v>28198</v>
      </c>
      <c r="G1317" t="s">
        <v>28207</v>
      </c>
      <c r="H1317" t="s">
        <v>28215</v>
      </c>
      <c r="I1317" t="s">
        <v>3774</v>
      </c>
      <c r="J1317" t="s">
        <v>29302</v>
      </c>
      <c r="K1317" t="s">
        <v>36707</v>
      </c>
      <c r="M1317" t="s">
        <v>37147</v>
      </c>
      <c r="N1317" t="s">
        <v>40436</v>
      </c>
      <c r="O1317" t="s">
        <v>40437</v>
      </c>
      <c r="P1317">
        <v>0</v>
      </c>
      <c r="Q1317">
        <v>0</v>
      </c>
      <c r="R1317" t="s">
        <v>40438</v>
      </c>
      <c r="S1317" t="s">
        <v>40582</v>
      </c>
      <c r="T1317" t="s">
        <v>42119</v>
      </c>
      <c r="U1317" t="s">
        <v>43779</v>
      </c>
      <c r="W1317" t="s">
        <v>37147</v>
      </c>
      <c r="X1317" t="s">
        <v>40439</v>
      </c>
    </row>
    <row r="1318" spans="1:24">
      <c r="A1318">
        <f>HYPERLINK("https://www.philgeps.gov.ph/GEPSNONPILOT/Tender/SplashBidNoticeAbstractUI.aspx?menuIndex=3&amp;refID=7048480&amp;Result=3","7048480")</f>
        <v>0</v>
      </c>
      <c r="B1318" t="s">
        <v>619</v>
      </c>
      <c r="C1318" t="s">
        <v>4372</v>
      </c>
      <c r="D1318" t="s">
        <v>16190</v>
      </c>
      <c r="E1318" t="s">
        <v>17525</v>
      </c>
      <c r="F1318" t="s">
        <v>28199</v>
      </c>
      <c r="G1318" t="s">
        <v>28210</v>
      </c>
      <c r="H1318" t="s">
        <v>28215</v>
      </c>
      <c r="I1318" t="s">
        <v>28225</v>
      </c>
      <c r="J1318" t="s">
        <v>28539</v>
      </c>
      <c r="K1318" t="s">
        <v>36691</v>
      </c>
      <c r="M1318" t="s">
        <v>37611</v>
      </c>
      <c r="N1318" t="s">
        <v>40436</v>
      </c>
      <c r="O1318" t="s">
        <v>40437</v>
      </c>
      <c r="P1318">
        <v>0</v>
      </c>
      <c r="Q1318">
        <v>1</v>
      </c>
      <c r="R1318" t="s">
        <v>40438</v>
      </c>
      <c r="S1318" t="s">
        <v>40582</v>
      </c>
      <c r="T1318" t="s">
        <v>42098</v>
      </c>
      <c r="U1318" t="s">
        <v>43780</v>
      </c>
      <c r="W1318" t="s">
        <v>37611</v>
      </c>
      <c r="X1318" t="s">
        <v>40439</v>
      </c>
    </row>
    <row r="1319" spans="1:24">
      <c r="A1319">
        <f>HYPERLINK("https://www.philgeps.gov.ph/GEPSNONPILOT/Tender/SplashBidNoticeAbstractUI.aspx?menuIndex=3&amp;refID=7048491&amp;Result=3","7048491")</f>
        <v>0</v>
      </c>
      <c r="B1319" t="s">
        <v>632</v>
      </c>
      <c r="C1319" t="s">
        <v>4373</v>
      </c>
      <c r="D1319" t="s">
        <v>16210</v>
      </c>
      <c r="E1319" t="s">
        <v>17526</v>
      </c>
      <c r="F1319" t="s">
        <v>28198</v>
      </c>
      <c r="G1319" t="s">
        <v>28207</v>
      </c>
      <c r="H1319" t="s">
        <v>28215</v>
      </c>
      <c r="I1319" t="s">
        <v>4168</v>
      </c>
      <c r="J1319" t="s">
        <v>29303</v>
      </c>
      <c r="K1319" t="s">
        <v>36701</v>
      </c>
      <c r="M1319" t="s">
        <v>37625</v>
      </c>
      <c r="N1319" t="s">
        <v>40436</v>
      </c>
      <c r="O1319" t="s">
        <v>40437</v>
      </c>
      <c r="P1319">
        <v>0</v>
      </c>
      <c r="Q1319">
        <v>3</v>
      </c>
      <c r="R1319" t="s">
        <v>40438</v>
      </c>
      <c r="S1319" t="s">
        <v>40582</v>
      </c>
      <c r="T1319" t="s">
        <v>42112</v>
      </c>
      <c r="U1319" t="s">
        <v>43781</v>
      </c>
      <c r="V1319" t="s">
        <v>53939</v>
      </c>
      <c r="W1319" t="s">
        <v>37625</v>
      </c>
      <c r="X1319" t="s">
        <v>40439</v>
      </c>
    </row>
    <row r="1320" spans="1:24">
      <c r="A1320">
        <f>HYPERLINK("https://www.philgeps.gov.ph/GEPSNONPILOT/Tender/SplashBidNoticeAbstractUI.aspx?menuIndex=3&amp;refID=7048511&amp;Result=3","7048511")</f>
        <v>0</v>
      </c>
      <c r="B1320" t="s">
        <v>412</v>
      </c>
      <c r="C1320" t="s">
        <v>4374</v>
      </c>
      <c r="D1320" t="s">
        <v>16261</v>
      </c>
      <c r="E1320" t="s">
        <v>17527</v>
      </c>
      <c r="F1320" t="s">
        <v>28198</v>
      </c>
      <c r="G1320" t="s">
        <v>28206</v>
      </c>
      <c r="H1320" t="s">
        <v>28215</v>
      </c>
      <c r="I1320" t="s">
        <v>3774</v>
      </c>
      <c r="J1320" t="s">
        <v>29304</v>
      </c>
      <c r="K1320" t="s">
        <v>36707</v>
      </c>
      <c r="M1320" t="s">
        <v>37394</v>
      </c>
      <c r="N1320" t="s">
        <v>40436</v>
      </c>
      <c r="O1320" t="s">
        <v>40437</v>
      </c>
      <c r="P1320">
        <v>0</v>
      </c>
      <c r="Q1320">
        <v>0</v>
      </c>
      <c r="R1320" t="s">
        <v>40438</v>
      </c>
      <c r="S1320" t="s">
        <v>40582</v>
      </c>
      <c r="T1320" t="s">
        <v>42142</v>
      </c>
      <c r="U1320" t="s">
        <v>43782</v>
      </c>
      <c r="W1320" t="s">
        <v>37394</v>
      </c>
      <c r="X1320" t="s">
        <v>40439</v>
      </c>
    </row>
    <row r="1321" spans="1:24">
      <c r="A1321">
        <f>HYPERLINK("https://www.philgeps.gov.ph/GEPSNONPILOT/Tender/SplashBidNoticeAbstractUI.aspx?menuIndex=3&amp;refID=7048517&amp;Result=3","7048517")</f>
        <v>0</v>
      </c>
      <c r="B1321" t="s">
        <v>609</v>
      </c>
      <c r="C1321" t="s">
        <v>4375</v>
      </c>
      <c r="D1321" t="s">
        <v>16202</v>
      </c>
      <c r="E1321" t="s">
        <v>17528</v>
      </c>
      <c r="F1321" t="s">
        <v>28198</v>
      </c>
      <c r="G1321" t="s">
        <v>28207</v>
      </c>
      <c r="H1321" t="s">
        <v>28215</v>
      </c>
      <c r="I1321" t="s">
        <v>5071</v>
      </c>
      <c r="J1321" t="s">
        <v>29305</v>
      </c>
      <c r="K1321" t="s">
        <v>36707</v>
      </c>
      <c r="M1321" t="s">
        <v>37601</v>
      </c>
      <c r="N1321" t="s">
        <v>40436</v>
      </c>
      <c r="O1321" t="s">
        <v>40437</v>
      </c>
      <c r="P1321">
        <v>0</v>
      </c>
      <c r="Q1321">
        <v>1</v>
      </c>
      <c r="R1321" t="s">
        <v>40438</v>
      </c>
      <c r="S1321" t="s">
        <v>40582</v>
      </c>
      <c r="T1321" t="s">
        <v>42124</v>
      </c>
      <c r="U1321" t="s">
        <v>43710</v>
      </c>
      <c r="W1321" t="s">
        <v>37601</v>
      </c>
      <c r="X1321" t="s">
        <v>40439</v>
      </c>
    </row>
    <row r="1322" spans="1:24">
      <c r="A1322">
        <f>HYPERLINK("https://www.philgeps.gov.ph/GEPSNONPILOT/Tender/SplashBidNoticeAbstractUI.aspx?menuIndex=3&amp;refID=7048494&amp;Result=3","7048494")</f>
        <v>0</v>
      </c>
      <c r="B1322" t="s">
        <v>461</v>
      </c>
      <c r="C1322" t="s">
        <v>4376</v>
      </c>
      <c r="D1322" t="s">
        <v>16208</v>
      </c>
      <c r="E1322" t="s">
        <v>17529</v>
      </c>
      <c r="F1322" t="s">
        <v>28198</v>
      </c>
      <c r="G1322" t="s">
        <v>28206</v>
      </c>
      <c r="H1322" t="s">
        <v>28215</v>
      </c>
      <c r="I1322" t="s">
        <v>5631</v>
      </c>
      <c r="J1322" t="s">
        <v>29306</v>
      </c>
      <c r="K1322" t="s">
        <v>36689</v>
      </c>
      <c r="M1322" t="s">
        <v>37445</v>
      </c>
      <c r="N1322" t="s">
        <v>40436</v>
      </c>
      <c r="O1322" t="s">
        <v>40437</v>
      </c>
      <c r="P1322">
        <v>0</v>
      </c>
      <c r="Q1322">
        <v>1</v>
      </c>
      <c r="R1322" t="s">
        <v>40438</v>
      </c>
      <c r="S1322" t="s">
        <v>40582</v>
      </c>
      <c r="T1322" t="s">
        <v>42119</v>
      </c>
      <c r="U1322" t="s">
        <v>43783</v>
      </c>
      <c r="W1322" t="s">
        <v>37445</v>
      </c>
      <c r="X1322" t="s">
        <v>40439</v>
      </c>
    </row>
    <row r="1323" spans="1:24">
      <c r="A1323">
        <f>HYPERLINK("https://www.philgeps.gov.ph/GEPSNONPILOT/Tender/SplashBidNoticeAbstractUI.aspx?menuIndex=3&amp;refID=7048512&amp;Result=3","7048512")</f>
        <v>0</v>
      </c>
      <c r="B1323" t="s">
        <v>533</v>
      </c>
      <c r="C1323" t="s">
        <v>4377</v>
      </c>
      <c r="D1323" t="s">
        <v>16190</v>
      </c>
      <c r="E1323" t="s">
        <v>16494</v>
      </c>
      <c r="F1323" t="s">
        <v>28198</v>
      </c>
      <c r="G1323" t="s">
        <v>28207</v>
      </c>
      <c r="H1323" t="s">
        <v>28215</v>
      </c>
      <c r="I1323" t="s">
        <v>28225</v>
      </c>
      <c r="J1323" t="s">
        <v>29307</v>
      </c>
      <c r="K1323" t="s">
        <v>36688</v>
      </c>
      <c r="M1323" t="s">
        <v>37519</v>
      </c>
      <c r="N1323" t="s">
        <v>40436</v>
      </c>
      <c r="O1323" t="s">
        <v>40437</v>
      </c>
      <c r="P1323">
        <v>0</v>
      </c>
      <c r="Q1323">
        <v>4</v>
      </c>
      <c r="R1323" t="s">
        <v>40438</v>
      </c>
      <c r="S1323" t="s">
        <v>40582</v>
      </c>
      <c r="T1323" t="s">
        <v>42142</v>
      </c>
      <c r="U1323" t="s">
        <v>43784</v>
      </c>
      <c r="W1323" t="s">
        <v>37519</v>
      </c>
      <c r="X1323" t="s">
        <v>40439</v>
      </c>
    </row>
    <row r="1324" spans="1:24">
      <c r="A1324">
        <f>HYPERLINK("https://www.philgeps.gov.ph/GEPSNONPILOT/Tender/SplashBidNoticeAbstractUI.aspx?menuIndex=3&amp;refID=7048507&amp;Result=3","7048507")</f>
        <v>0</v>
      </c>
      <c r="B1324" t="s">
        <v>647</v>
      </c>
      <c r="C1324" t="s">
        <v>4378</v>
      </c>
      <c r="D1324" t="s">
        <v>16244</v>
      </c>
      <c r="E1324" t="s">
        <v>17530</v>
      </c>
      <c r="F1324" t="s">
        <v>28198</v>
      </c>
      <c r="G1324" t="s">
        <v>28206</v>
      </c>
      <c r="H1324" t="s">
        <v>28215</v>
      </c>
      <c r="I1324" t="s">
        <v>4505</v>
      </c>
      <c r="J1324" t="s">
        <v>29308</v>
      </c>
      <c r="K1324" t="s">
        <v>36688</v>
      </c>
      <c r="M1324" t="s">
        <v>37641</v>
      </c>
      <c r="N1324" t="s">
        <v>40436</v>
      </c>
      <c r="O1324" t="s">
        <v>40437</v>
      </c>
      <c r="P1324">
        <v>0</v>
      </c>
      <c r="Q1324">
        <v>3</v>
      </c>
      <c r="R1324" t="s">
        <v>40438</v>
      </c>
      <c r="S1324" t="s">
        <v>40582</v>
      </c>
      <c r="T1324" t="s">
        <v>42175</v>
      </c>
      <c r="U1324" t="s">
        <v>43785</v>
      </c>
      <c r="W1324" t="s">
        <v>37641</v>
      </c>
      <c r="X1324" t="s">
        <v>40439</v>
      </c>
    </row>
    <row r="1325" spans="1:24">
      <c r="A1325">
        <f>HYPERLINK("https://www.philgeps.gov.ph/GEPSNONPILOT/Tender/SplashBidNoticeAbstractUI.aspx?menuIndex=3&amp;refID=7048514&amp;Result=3","7048514")</f>
        <v>0</v>
      </c>
      <c r="B1325" t="s">
        <v>317</v>
      </c>
      <c r="C1325" t="s">
        <v>4379</v>
      </c>
      <c r="D1325" t="s">
        <v>16223</v>
      </c>
      <c r="E1325" t="s">
        <v>17531</v>
      </c>
      <c r="F1325" t="s">
        <v>28198</v>
      </c>
      <c r="G1325" t="s">
        <v>28205</v>
      </c>
      <c r="H1325" t="s">
        <v>28215</v>
      </c>
      <c r="I1325" t="s">
        <v>28234</v>
      </c>
      <c r="J1325" t="s">
        <v>29309</v>
      </c>
      <c r="K1325" t="s">
        <v>36698</v>
      </c>
      <c r="M1325" t="s">
        <v>37295</v>
      </c>
      <c r="N1325" t="s">
        <v>40436</v>
      </c>
      <c r="O1325" t="s">
        <v>40437</v>
      </c>
      <c r="P1325">
        <v>0</v>
      </c>
      <c r="Q1325">
        <v>3</v>
      </c>
      <c r="R1325" t="s">
        <v>40438</v>
      </c>
      <c r="S1325" t="s">
        <v>40582</v>
      </c>
      <c r="T1325" t="s">
        <v>42126</v>
      </c>
      <c r="U1325" t="s">
        <v>43786</v>
      </c>
      <c r="W1325" t="s">
        <v>37295</v>
      </c>
      <c r="X1325" t="s">
        <v>40439</v>
      </c>
    </row>
    <row r="1326" spans="1:24">
      <c r="A1326">
        <f>HYPERLINK("https://www.philgeps.gov.ph/GEPSNONPILOT/Tender/SplashBidNoticeAbstractUI.aspx?menuIndex=3&amp;refID=7048516&amp;Result=3","7048516")</f>
        <v>0</v>
      </c>
      <c r="B1326" t="s">
        <v>31</v>
      </c>
      <c r="C1326" t="s">
        <v>4380</v>
      </c>
      <c r="D1326" t="s">
        <v>16193</v>
      </c>
      <c r="E1326" t="s">
        <v>17532</v>
      </c>
      <c r="F1326" t="s">
        <v>28198</v>
      </c>
      <c r="G1326" t="s">
        <v>28205</v>
      </c>
      <c r="H1326" t="s">
        <v>28214</v>
      </c>
      <c r="I1326" t="s">
        <v>3797</v>
      </c>
      <c r="J1326" t="s">
        <v>29310</v>
      </c>
      <c r="K1326" t="s">
        <v>36692</v>
      </c>
      <c r="M1326" t="s">
        <v>37642</v>
      </c>
      <c r="N1326" t="s">
        <v>40436</v>
      </c>
      <c r="O1326" t="s">
        <v>40437</v>
      </c>
      <c r="P1326">
        <v>0</v>
      </c>
      <c r="Q1326">
        <v>0</v>
      </c>
      <c r="R1326" t="s">
        <v>40438</v>
      </c>
      <c r="S1326" t="s">
        <v>40582</v>
      </c>
      <c r="T1326" t="s">
        <v>42106</v>
      </c>
      <c r="U1326" t="s">
        <v>43787</v>
      </c>
      <c r="W1326" t="s">
        <v>37642</v>
      </c>
      <c r="X1326" t="s">
        <v>40439</v>
      </c>
    </row>
    <row r="1327" spans="1:24">
      <c r="A1327">
        <f>HYPERLINK("https://www.philgeps.gov.ph/GEPSNONPILOT/Tender/SplashBidNoticeAbstractUI.aspx?menuIndex=3&amp;refID=7048519&amp;Result=3","7048519")</f>
        <v>0</v>
      </c>
      <c r="B1327" t="s">
        <v>76</v>
      </c>
      <c r="C1327" t="s">
        <v>4381</v>
      </c>
      <c r="D1327" t="s">
        <v>16197</v>
      </c>
      <c r="E1327" t="s">
        <v>17533</v>
      </c>
      <c r="F1327" t="s">
        <v>28198</v>
      </c>
      <c r="G1327" t="s">
        <v>28207</v>
      </c>
      <c r="H1327" t="s">
        <v>28215</v>
      </c>
      <c r="I1327" t="s">
        <v>5631</v>
      </c>
      <c r="J1327" t="s">
        <v>29311</v>
      </c>
      <c r="K1327" t="s">
        <v>36706</v>
      </c>
      <c r="M1327" t="s">
        <v>37048</v>
      </c>
      <c r="N1327" t="s">
        <v>40436</v>
      </c>
      <c r="O1327" t="s">
        <v>40437</v>
      </c>
      <c r="P1327">
        <v>0</v>
      </c>
      <c r="Q1327">
        <v>0</v>
      </c>
      <c r="R1327" t="s">
        <v>40438</v>
      </c>
      <c r="S1327" t="s">
        <v>40582</v>
      </c>
      <c r="T1327" t="s">
        <v>42132</v>
      </c>
      <c r="U1327" t="s">
        <v>42714</v>
      </c>
      <c r="V1327" t="s">
        <v>53943</v>
      </c>
      <c r="W1327" t="s">
        <v>37048</v>
      </c>
      <c r="X1327" t="s">
        <v>40439</v>
      </c>
    </row>
    <row r="1328" spans="1:24">
      <c r="A1328">
        <f>HYPERLINK("https://www.philgeps.gov.ph/GEPSNONPILOT/Tender/SplashBidNoticeAbstractUI.aspx?menuIndex=3&amp;refID=7048509&amp;Result=3","7048509")</f>
        <v>0</v>
      </c>
      <c r="B1328" t="s">
        <v>648</v>
      </c>
      <c r="C1328" t="s">
        <v>4382</v>
      </c>
      <c r="D1328" t="s">
        <v>16268</v>
      </c>
      <c r="E1328" t="s">
        <v>17534</v>
      </c>
      <c r="F1328" t="s">
        <v>28198</v>
      </c>
      <c r="G1328" t="s">
        <v>28205</v>
      </c>
      <c r="H1328" t="s">
        <v>28214</v>
      </c>
      <c r="I1328" t="s">
        <v>3797</v>
      </c>
      <c r="J1328" t="s">
        <v>29312</v>
      </c>
      <c r="K1328" t="s">
        <v>36694</v>
      </c>
      <c r="M1328" t="s">
        <v>37643</v>
      </c>
      <c r="N1328" t="s">
        <v>40436</v>
      </c>
      <c r="O1328" t="s">
        <v>40437</v>
      </c>
      <c r="P1328">
        <v>0</v>
      </c>
      <c r="Q1328">
        <v>1</v>
      </c>
      <c r="R1328" t="s">
        <v>40438</v>
      </c>
      <c r="S1328" t="s">
        <v>40582</v>
      </c>
      <c r="T1328" t="s">
        <v>42135</v>
      </c>
      <c r="U1328" t="s">
        <v>43788</v>
      </c>
      <c r="W1328" t="s">
        <v>37643</v>
      </c>
      <c r="X1328" t="s">
        <v>40439</v>
      </c>
    </row>
    <row r="1329" spans="1:24">
      <c r="A1329">
        <f>HYPERLINK("https://www.philgeps.gov.ph/GEPSNONPILOT/Tender/SplashBidNoticeAbstractUI.aspx?menuIndex=3&amp;refID=7048520&amp;Result=3","7048520")</f>
        <v>0</v>
      </c>
      <c r="B1329" t="s">
        <v>649</v>
      </c>
      <c r="C1329" t="s">
        <v>4383</v>
      </c>
      <c r="E1329" t="s">
        <v>17468</v>
      </c>
      <c r="F1329" t="s">
        <v>28201</v>
      </c>
      <c r="G1329" t="s">
        <v>28205</v>
      </c>
      <c r="H1329" t="s">
        <v>28215</v>
      </c>
      <c r="I1329" t="s">
        <v>4200</v>
      </c>
      <c r="J1329" t="s">
        <v>28345</v>
      </c>
      <c r="K1329" t="s">
        <v>36689</v>
      </c>
      <c r="M1329" t="s">
        <v>37644</v>
      </c>
      <c r="N1329" t="s">
        <v>40436</v>
      </c>
      <c r="O1329" t="s">
        <v>40437</v>
      </c>
      <c r="P1329">
        <v>0</v>
      </c>
      <c r="Q1329">
        <v>0</v>
      </c>
      <c r="R1329" t="s">
        <v>40438</v>
      </c>
      <c r="S1329" t="s">
        <v>40582</v>
      </c>
      <c r="T1329" t="s">
        <v>42259</v>
      </c>
      <c r="U1329" t="s">
        <v>43729</v>
      </c>
      <c r="W1329" t="s">
        <v>37644</v>
      </c>
      <c r="X1329" t="s">
        <v>40439</v>
      </c>
    </row>
    <row r="1330" spans="1:24">
      <c r="A1330">
        <f>HYPERLINK("https://www.philgeps.gov.ph/GEPSNONPILOT/Tender/SplashBidNoticeAbstractUI.aspx?menuIndex=3&amp;refID=7048508&amp;Result=3","7048508")</f>
        <v>0</v>
      </c>
      <c r="B1330" t="s">
        <v>650</v>
      </c>
      <c r="C1330" t="s">
        <v>4384</v>
      </c>
      <c r="D1330" t="s">
        <v>16254</v>
      </c>
      <c r="E1330" t="s">
        <v>17535</v>
      </c>
      <c r="F1330" t="s">
        <v>28198</v>
      </c>
      <c r="G1330" t="s">
        <v>28205</v>
      </c>
      <c r="H1330" t="s">
        <v>28215</v>
      </c>
      <c r="I1330" t="s">
        <v>5100</v>
      </c>
      <c r="J1330" t="s">
        <v>29313</v>
      </c>
      <c r="K1330" t="s">
        <v>36707</v>
      </c>
      <c r="M1330" t="s">
        <v>37645</v>
      </c>
      <c r="N1330" t="s">
        <v>40436</v>
      </c>
      <c r="O1330" t="s">
        <v>40437</v>
      </c>
      <c r="P1330">
        <v>0</v>
      </c>
      <c r="Q1330">
        <v>0</v>
      </c>
      <c r="R1330" t="s">
        <v>40438</v>
      </c>
      <c r="S1330" t="s">
        <v>40582</v>
      </c>
      <c r="T1330" t="s">
        <v>42128</v>
      </c>
      <c r="U1330" t="s">
        <v>43789</v>
      </c>
      <c r="W1330" t="s">
        <v>37645</v>
      </c>
      <c r="X1330" t="s">
        <v>40439</v>
      </c>
    </row>
    <row r="1331" spans="1:24">
      <c r="A1331">
        <f>HYPERLINK("https://www.philgeps.gov.ph/GEPSNONPILOT/Tender/SplashBidNoticeAbstractUI.aspx?menuIndex=3&amp;refID=7048521&amp;Result=3","7048521")</f>
        <v>0</v>
      </c>
      <c r="B1331" t="s">
        <v>285</v>
      </c>
      <c r="C1331" t="s">
        <v>4385</v>
      </c>
      <c r="D1331" t="s">
        <v>16203</v>
      </c>
      <c r="E1331" t="s">
        <v>17536</v>
      </c>
      <c r="F1331" t="s">
        <v>28198</v>
      </c>
      <c r="G1331" t="s">
        <v>28207</v>
      </c>
      <c r="H1331" t="s">
        <v>28215</v>
      </c>
      <c r="I1331" t="s">
        <v>28224</v>
      </c>
      <c r="J1331" t="s">
        <v>29120</v>
      </c>
      <c r="K1331" t="s">
        <v>36689</v>
      </c>
      <c r="M1331" t="s">
        <v>37569</v>
      </c>
      <c r="N1331" t="s">
        <v>40436</v>
      </c>
      <c r="O1331" t="s">
        <v>40437</v>
      </c>
      <c r="P1331">
        <v>0</v>
      </c>
      <c r="Q1331">
        <v>0</v>
      </c>
      <c r="R1331" t="s">
        <v>40438</v>
      </c>
      <c r="S1331" t="s">
        <v>40582</v>
      </c>
      <c r="T1331" t="s">
        <v>42102</v>
      </c>
      <c r="U1331" t="s">
        <v>43790</v>
      </c>
      <c r="W1331" t="s">
        <v>37569</v>
      </c>
      <c r="X1331" t="s">
        <v>40439</v>
      </c>
    </row>
    <row r="1332" spans="1:24">
      <c r="A1332">
        <f>HYPERLINK("https://www.philgeps.gov.ph/GEPSNONPILOT/Tender/SplashBidNoticeAbstractUI.aspx?menuIndex=3&amp;refID=7048533&amp;Result=3","7048533")</f>
        <v>0</v>
      </c>
      <c r="B1332" t="s">
        <v>624</v>
      </c>
      <c r="C1332" t="s">
        <v>4386</v>
      </c>
      <c r="D1332" t="s">
        <v>16204</v>
      </c>
      <c r="E1332" t="s">
        <v>17537</v>
      </c>
      <c r="F1332" t="s">
        <v>28198</v>
      </c>
      <c r="G1332" t="s">
        <v>28205</v>
      </c>
      <c r="H1332" t="s">
        <v>28214</v>
      </c>
      <c r="I1332" t="s">
        <v>3797</v>
      </c>
      <c r="J1332" t="s">
        <v>28415</v>
      </c>
      <c r="K1332" t="s">
        <v>36689</v>
      </c>
      <c r="M1332" t="s">
        <v>37616</v>
      </c>
      <c r="N1332" t="s">
        <v>40436</v>
      </c>
      <c r="O1332" t="s">
        <v>40437</v>
      </c>
      <c r="P1332">
        <v>0</v>
      </c>
      <c r="Q1332">
        <v>0</v>
      </c>
      <c r="R1332" t="s">
        <v>40438</v>
      </c>
      <c r="S1332" t="s">
        <v>40582</v>
      </c>
      <c r="T1332" t="s">
        <v>42115</v>
      </c>
      <c r="U1332" t="s">
        <v>43791</v>
      </c>
      <c r="V1332" t="s">
        <v>53944</v>
      </c>
      <c r="W1332" t="s">
        <v>37616</v>
      </c>
      <c r="X1332" t="s">
        <v>40439</v>
      </c>
    </row>
    <row r="1333" spans="1:24">
      <c r="A1333">
        <f>HYPERLINK("https://www.philgeps.gov.ph/GEPSNONPILOT/Tender/SplashBidNoticeAbstractUI.aspx?menuIndex=3&amp;refID=7048530&amp;Result=3","7048530")</f>
        <v>0</v>
      </c>
      <c r="B1333" t="s">
        <v>315</v>
      </c>
      <c r="C1333" t="s">
        <v>3662</v>
      </c>
      <c r="D1333" t="s">
        <v>16191</v>
      </c>
      <c r="E1333" t="s">
        <v>17538</v>
      </c>
      <c r="F1333" t="s">
        <v>28198</v>
      </c>
      <c r="G1333" t="s">
        <v>28206</v>
      </c>
      <c r="H1333" t="s">
        <v>28215</v>
      </c>
      <c r="I1333" t="s">
        <v>28225</v>
      </c>
      <c r="J1333" t="s">
        <v>28878</v>
      </c>
      <c r="K1333" t="s">
        <v>36688</v>
      </c>
      <c r="M1333" t="s">
        <v>37639</v>
      </c>
      <c r="N1333" t="s">
        <v>40436</v>
      </c>
      <c r="O1333" t="s">
        <v>40437</v>
      </c>
      <c r="P1333">
        <v>0</v>
      </c>
      <c r="Q1333">
        <v>0</v>
      </c>
      <c r="R1333" t="s">
        <v>40438</v>
      </c>
      <c r="S1333" t="s">
        <v>40582</v>
      </c>
      <c r="T1333" t="s">
        <v>42158</v>
      </c>
      <c r="U1333" t="s">
        <v>43792</v>
      </c>
      <c r="W1333" t="s">
        <v>37639</v>
      </c>
      <c r="X1333" t="s">
        <v>40439</v>
      </c>
    </row>
    <row r="1334" spans="1:24">
      <c r="A1334">
        <f>HYPERLINK("https://www.philgeps.gov.ph/GEPSNONPILOT/Tender/SplashBidNoticeAbstractUI.aspx?menuIndex=3&amp;refID=7048522&amp;Result=3","7048522")</f>
        <v>0</v>
      </c>
      <c r="B1334" t="s">
        <v>461</v>
      </c>
      <c r="C1334" t="s">
        <v>4387</v>
      </c>
      <c r="D1334" t="s">
        <v>16208</v>
      </c>
      <c r="E1334" t="s">
        <v>17539</v>
      </c>
      <c r="F1334" t="s">
        <v>28198</v>
      </c>
      <c r="G1334" t="s">
        <v>28207</v>
      </c>
      <c r="H1334" t="s">
        <v>28215</v>
      </c>
      <c r="I1334" t="s">
        <v>28227</v>
      </c>
      <c r="J1334" t="s">
        <v>29314</v>
      </c>
      <c r="K1334" t="s">
        <v>36689</v>
      </c>
      <c r="M1334" t="s">
        <v>37445</v>
      </c>
      <c r="N1334" t="s">
        <v>40436</v>
      </c>
      <c r="O1334" t="s">
        <v>40437</v>
      </c>
      <c r="P1334">
        <v>0</v>
      </c>
      <c r="Q1334">
        <v>0</v>
      </c>
      <c r="R1334" t="s">
        <v>40438</v>
      </c>
      <c r="S1334" t="s">
        <v>40582</v>
      </c>
      <c r="T1334" t="s">
        <v>42119</v>
      </c>
      <c r="U1334" t="s">
        <v>43793</v>
      </c>
      <c r="W1334" t="s">
        <v>37445</v>
      </c>
      <c r="X1334" t="s">
        <v>40439</v>
      </c>
    </row>
    <row r="1335" spans="1:24">
      <c r="A1335">
        <f>HYPERLINK("https://www.philgeps.gov.ph/GEPSNONPILOT/Tender/SplashBidNoticeAbstractUI.aspx?menuIndex=3&amp;refID=7048527&amp;Result=3","7048527")</f>
        <v>0</v>
      </c>
      <c r="B1335" t="s">
        <v>541</v>
      </c>
      <c r="C1335" t="s">
        <v>4388</v>
      </c>
      <c r="D1335" t="s">
        <v>16195</v>
      </c>
      <c r="E1335" t="s">
        <v>17540</v>
      </c>
      <c r="F1335" t="s">
        <v>28198</v>
      </c>
      <c r="G1335" t="s">
        <v>28205</v>
      </c>
      <c r="H1335" t="s">
        <v>28214</v>
      </c>
      <c r="I1335" t="s">
        <v>3797</v>
      </c>
      <c r="J1335" t="s">
        <v>29315</v>
      </c>
      <c r="K1335" t="s">
        <v>36697</v>
      </c>
      <c r="M1335" t="s">
        <v>37527</v>
      </c>
      <c r="N1335" t="s">
        <v>40436</v>
      </c>
      <c r="O1335" t="s">
        <v>40437</v>
      </c>
      <c r="P1335">
        <v>0</v>
      </c>
      <c r="Q1335">
        <v>1</v>
      </c>
      <c r="R1335" t="s">
        <v>40438</v>
      </c>
      <c r="S1335" t="s">
        <v>40582</v>
      </c>
      <c r="T1335" t="s">
        <v>42183</v>
      </c>
      <c r="U1335" t="s">
        <v>43794</v>
      </c>
      <c r="W1335" t="s">
        <v>37527</v>
      </c>
      <c r="X1335" t="s">
        <v>40439</v>
      </c>
    </row>
    <row r="1336" spans="1:24">
      <c r="A1336">
        <f>HYPERLINK("https://www.philgeps.gov.ph/GEPSNONPILOT/Tender/SplashBidNoticeAbstractUI.aspx?menuIndex=3&amp;refID=7048531&amp;Result=3","7048531")</f>
        <v>0</v>
      </c>
      <c r="B1336" t="s">
        <v>200</v>
      </c>
      <c r="C1336" t="s">
        <v>4389</v>
      </c>
      <c r="D1336" t="s">
        <v>16199</v>
      </c>
      <c r="E1336" t="s">
        <v>17541</v>
      </c>
      <c r="F1336" t="s">
        <v>28198</v>
      </c>
      <c r="G1336" t="s">
        <v>28205</v>
      </c>
      <c r="H1336" t="s">
        <v>28215</v>
      </c>
      <c r="I1336" t="s">
        <v>28222</v>
      </c>
      <c r="J1336" t="s">
        <v>29316</v>
      </c>
      <c r="K1336" t="s">
        <v>36706</v>
      </c>
      <c r="M1336" t="s">
        <v>37175</v>
      </c>
      <c r="N1336" t="s">
        <v>40436</v>
      </c>
      <c r="O1336" t="s">
        <v>40437</v>
      </c>
      <c r="P1336">
        <v>0</v>
      </c>
      <c r="Q1336">
        <v>5</v>
      </c>
      <c r="R1336" t="s">
        <v>40438</v>
      </c>
      <c r="S1336" t="s">
        <v>40582</v>
      </c>
      <c r="T1336" t="s">
        <v>42168</v>
      </c>
      <c r="U1336" t="s">
        <v>43795</v>
      </c>
      <c r="W1336" t="s">
        <v>37175</v>
      </c>
      <c r="X1336" t="s">
        <v>40439</v>
      </c>
    </row>
    <row r="1337" spans="1:24">
      <c r="A1337">
        <f>HYPERLINK("https://www.philgeps.gov.ph/GEPSNONPILOT/Tender/SplashBidNoticeAbstractUI.aspx?menuIndex=3&amp;refID=7048528&amp;Result=3","7048528")</f>
        <v>0</v>
      </c>
      <c r="B1337" t="s">
        <v>651</v>
      </c>
      <c r="C1337" t="s">
        <v>4390</v>
      </c>
      <c r="D1337" t="s">
        <v>16245</v>
      </c>
      <c r="E1337" t="s">
        <v>17542</v>
      </c>
      <c r="F1337" t="s">
        <v>28198</v>
      </c>
      <c r="G1337" t="s">
        <v>28205</v>
      </c>
      <c r="H1337" t="s">
        <v>28214</v>
      </c>
      <c r="I1337" t="s">
        <v>3797</v>
      </c>
      <c r="J1337" t="s">
        <v>29317</v>
      </c>
      <c r="K1337" t="s">
        <v>36715</v>
      </c>
      <c r="M1337" t="s">
        <v>37646</v>
      </c>
      <c r="N1337" t="s">
        <v>40436</v>
      </c>
      <c r="O1337" t="s">
        <v>40437</v>
      </c>
      <c r="P1337">
        <v>0</v>
      </c>
      <c r="Q1337">
        <v>0</v>
      </c>
      <c r="R1337" t="s">
        <v>40438</v>
      </c>
      <c r="S1337" t="s">
        <v>40582</v>
      </c>
      <c r="T1337" t="s">
        <v>42108</v>
      </c>
      <c r="U1337" t="s">
        <v>43796</v>
      </c>
      <c r="W1337" t="s">
        <v>37646</v>
      </c>
      <c r="X1337" t="s">
        <v>40439</v>
      </c>
    </row>
    <row r="1338" spans="1:24">
      <c r="A1338">
        <f>HYPERLINK("https://www.philgeps.gov.ph/GEPSNONPILOT/Tender/SplashBidNoticeAbstractUI.aspx?menuIndex=3&amp;refID=7048525&amp;Result=3","7048525")</f>
        <v>0</v>
      </c>
      <c r="B1338" t="s">
        <v>627</v>
      </c>
      <c r="C1338" t="s">
        <v>3220</v>
      </c>
      <c r="D1338" t="s">
        <v>16222</v>
      </c>
      <c r="E1338" t="s">
        <v>16424</v>
      </c>
      <c r="F1338" t="s">
        <v>28201</v>
      </c>
      <c r="G1338" t="s">
        <v>28206</v>
      </c>
      <c r="H1338" t="s">
        <v>28215</v>
      </c>
      <c r="I1338" t="s">
        <v>5082</v>
      </c>
      <c r="J1338" t="s">
        <v>28556</v>
      </c>
      <c r="K1338" t="s">
        <v>36688</v>
      </c>
      <c r="M1338" t="s">
        <v>37619</v>
      </c>
      <c r="N1338" t="s">
        <v>40436</v>
      </c>
      <c r="O1338" t="s">
        <v>40437</v>
      </c>
      <c r="P1338">
        <v>0</v>
      </c>
      <c r="Q1338">
        <v>0</v>
      </c>
      <c r="R1338" t="s">
        <v>40438</v>
      </c>
      <c r="S1338" t="s">
        <v>40582</v>
      </c>
      <c r="T1338" t="s">
        <v>42261</v>
      </c>
      <c r="U1338" t="s">
        <v>43797</v>
      </c>
      <c r="W1338" t="s">
        <v>37619</v>
      </c>
      <c r="X1338" t="s">
        <v>40439</v>
      </c>
    </row>
    <row r="1339" spans="1:24">
      <c r="A1339">
        <f>HYPERLINK("https://www.philgeps.gov.ph/GEPSNONPILOT/Tender/SplashBidNoticeAbstractUI.aspx?menuIndex=3&amp;refID=7048529&amp;Result=3","7048529")</f>
        <v>0</v>
      </c>
      <c r="B1339" t="s">
        <v>588</v>
      </c>
      <c r="C1339" t="s">
        <v>4391</v>
      </c>
      <c r="D1339" t="s">
        <v>16197</v>
      </c>
      <c r="E1339" t="s">
        <v>17543</v>
      </c>
      <c r="F1339" t="s">
        <v>28198</v>
      </c>
      <c r="G1339" t="s">
        <v>28205</v>
      </c>
      <c r="H1339" t="s">
        <v>28215</v>
      </c>
      <c r="I1339" t="s">
        <v>28246</v>
      </c>
      <c r="J1339" t="s">
        <v>28345</v>
      </c>
      <c r="K1339" t="s">
        <v>36706</v>
      </c>
      <c r="M1339" t="s">
        <v>37577</v>
      </c>
      <c r="N1339" t="s">
        <v>40436</v>
      </c>
      <c r="O1339" t="s">
        <v>40437</v>
      </c>
      <c r="P1339">
        <v>0</v>
      </c>
      <c r="Q1339">
        <v>0</v>
      </c>
      <c r="R1339" t="s">
        <v>40438</v>
      </c>
      <c r="S1339" t="s">
        <v>40582</v>
      </c>
      <c r="T1339" t="s">
        <v>42213</v>
      </c>
      <c r="U1339" t="s">
        <v>43798</v>
      </c>
      <c r="W1339" t="s">
        <v>37577</v>
      </c>
      <c r="X1339" t="s">
        <v>40439</v>
      </c>
    </row>
    <row r="1340" spans="1:24">
      <c r="A1340">
        <f>HYPERLINK("https://www.philgeps.gov.ph/GEPSNONPILOT/Tender/SplashBidNoticeAbstractUI.aspx?menuIndex=3&amp;refID=7048524&amp;Result=3","7048524")</f>
        <v>0</v>
      </c>
      <c r="B1340" t="s">
        <v>652</v>
      </c>
      <c r="C1340" t="s">
        <v>4392</v>
      </c>
      <c r="D1340" t="s">
        <v>16210</v>
      </c>
      <c r="E1340" t="s">
        <v>17544</v>
      </c>
      <c r="F1340" t="s">
        <v>28198</v>
      </c>
      <c r="G1340" t="s">
        <v>28207</v>
      </c>
      <c r="H1340" t="s">
        <v>28215</v>
      </c>
      <c r="I1340" t="s">
        <v>5100</v>
      </c>
      <c r="J1340" t="s">
        <v>29318</v>
      </c>
      <c r="K1340" t="s">
        <v>36689</v>
      </c>
      <c r="M1340" t="s">
        <v>37647</v>
      </c>
      <c r="N1340" t="s">
        <v>40436</v>
      </c>
      <c r="O1340" t="s">
        <v>40437</v>
      </c>
      <c r="P1340">
        <v>0</v>
      </c>
      <c r="Q1340">
        <v>0</v>
      </c>
      <c r="R1340" t="s">
        <v>40438</v>
      </c>
      <c r="S1340" t="s">
        <v>40582</v>
      </c>
      <c r="T1340" t="s">
        <v>42124</v>
      </c>
      <c r="U1340" t="s">
        <v>43799</v>
      </c>
      <c r="W1340" t="s">
        <v>37647</v>
      </c>
      <c r="X1340" t="s">
        <v>40439</v>
      </c>
    </row>
    <row r="1341" spans="1:24">
      <c r="A1341">
        <f>HYPERLINK("https://www.philgeps.gov.ph/GEPSNONPILOT/Tender/SplashBidNoticeAbstractUI.aspx?menuIndex=3&amp;refID=7048537&amp;Result=3","7048537")</f>
        <v>0</v>
      </c>
      <c r="B1341" t="s">
        <v>653</v>
      </c>
      <c r="C1341" t="s">
        <v>4393</v>
      </c>
      <c r="D1341" t="s">
        <v>16246</v>
      </c>
      <c r="E1341" t="s">
        <v>17545</v>
      </c>
      <c r="F1341" t="s">
        <v>28198</v>
      </c>
      <c r="G1341" t="s">
        <v>28205</v>
      </c>
      <c r="H1341" t="s">
        <v>28215</v>
      </c>
      <c r="I1341" t="s">
        <v>4168</v>
      </c>
      <c r="J1341" t="s">
        <v>28708</v>
      </c>
      <c r="K1341" t="s">
        <v>36689</v>
      </c>
      <c r="M1341" t="s">
        <v>37648</v>
      </c>
      <c r="N1341" t="s">
        <v>40436</v>
      </c>
      <c r="O1341" t="s">
        <v>40437</v>
      </c>
      <c r="P1341">
        <v>0</v>
      </c>
      <c r="Q1341">
        <v>0</v>
      </c>
      <c r="R1341" t="s">
        <v>40438</v>
      </c>
      <c r="S1341" t="s">
        <v>40582</v>
      </c>
      <c r="T1341" t="s">
        <v>42130</v>
      </c>
      <c r="U1341" t="s">
        <v>43800</v>
      </c>
      <c r="W1341" t="s">
        <v>37648</v>
      </c>
      <c r="X1341" t="s">
        <v>40439</v>
      </c>
    </row>
    <row r="1342" spans="1:24">
      <c r="A1342">
        <f>HYPERLINK("https://www.philgeps.gov.ph/GEPSNONPILOT/Tender/SplashBidNoticeAbstractUI.aspx?menuIndex=3&amp;refID=7048523&amp;Result=3","7048523")</f>
        <v>0</v>
      </c>
      <c r="B1342" t="s">
        <v>575</v>
      </c>
      <c r="C1342" t="s">
        <v>4394</v>
      </c>
      <c r="D1342" t="s">
        <v>16223</v>
      </c>
      <c r="E1342" t="s">
        <v>17546</v>
      </c>
      <c r="F1342" t="s">
        <v>28198</v>
      </c>
      <c r="G1342" t="s">
        <v>28205</v>
      </c>
      <c r="H1342" t="s">
        <v>28215</v>
      </c>
      <c r="I1342" t="s">
        <v>4200</v>
      </c>
      <c r="J1342" t="s">
        <v>29319</v>
      </c>
      <c r="K1342" t="s">
        <v>36715</v>
      </c>
      <c r="M1342" t="s">
        <v>37563</v>
      </c>
      <c r="N1342" t="s">
        <v>40436</v>
      </c>
      <c r="O1342" t="s">
        <v>40437</v>
      </c>
      <c r="P1342">
        <v>0</v>
      </c>
      <c r="Q1342">
        <v>3</v>
      </c>
      <c r="R1342" t="s">
        <v>40438</v>
      </c>
      <c r="S1342" t="s">
        <v>40582</v>
      </c>
      <c r="T1342" t="s">
        <v>42195</v>
      </c>
      <c r="U1342" t="s">
        <v>43801</v>
      </c>
      <c r="W1342" t="s">
        <v>37563</v>
      </c>
      <c r="X1342" t="s">
        <v>40439</v>
      </c>
    </row>
    <row r="1343" spans="1:24">
      <c r="A1343">
        <f>HYPERLINK("https://www.philgeps.gov.ph/GEPSNONPILOT/Tender/SplashBidNoticeAbstractUI.aspx?menuIndex=3&amp;refID=7048543&amp;Result=3","7048543")</f>
        <v>0</v>
      </c>
      <c r="B1343" t="s">
        <v>654</v>
      </c>
      <c r="C1343" t="s">
        <v>4395</v>
      </c>
      <c r="E1343" t="s">
        <v>17468</v>
      </c>
      <c r="F1343" t="s">
        <v>28201</v>
      </c>
      <c r="G1343" t="s">
        <v>28205</v>
      </c>
      <c r="H1343" t="s">
        <v>28215</v>
      </c>
      <c r="I1343" t="s">
        <v>5100</v>
      </c>
      <c r="J1343" t="s">
        <v>28397</v>
      </c>
      <c r="K1343" t="s">
        <v>36689</v>
      </c>
      <c r="M1343" t="s">
        <v>37649</v>
      </c>
      <c r="N1343" t="s">
        <v>40436</v>
      </c>
      <c r="O1343" t="s">
        <v>40437</v>
      </c>
      <c r="P1343">
        <v>0</v>
      </c>
      <c r="Q1343">
        <v>0</v>
      </c>
      <c r="R1343" t="s">
        <v>40438</v>
      </c>
      <c r="S1343" t="s">
        <v>40582</v>
      </c>
      <c r="T1343" t="s">
        <v>42259</v>
      </c>
      <c r="U1343" t="s">
        <v>43729</v>
      </c>
      <c r="W1343" t="s">
        <v>37649</v>
      </c>
      <c r="X1343" t="s">
        <v>40439</v>
      </c>
    </row>
    <row r="1344" spans="1:24">
      <c r="A1344">
        <f>HYPERLINK("https://www.philgeps.gov.ph/GEPSNONPILOT/Tender/SplashBidNoticeAbstractUI.aspx?menuIndex=3&amp;refID=7048534&amp;Result=3","7048534")</f>
        <v>0</v>
      </c>
      <c r="B1344" t="s">
        <v>34</v>
      </c>
      <c r="C1344" t="s">
        <v>4396</v>
      </c>
      <c r="D1344" t="s">
        <v>16195</v>
      </c>
      <c r="E1344" t="s">
        <v>17547</v>
      </c>
      <c r="F1344" t="s">
        <v>28198</v>
      </c>
      <c r="G1344" t="s">
        <v>28207</v>
      </c>
      <c r="H1344" t="s">
        <v>28215</v>
      </c>
      <c r="I1344" t="s">
        <v>5082</v>
      </c>
      <c r="J1344" t="s">
        <v>29320</v>
      </c>
      <c r="K1344" t="s">
        <v>36696</v>
      </c>
      <c r="M1344" t="s">
        <v>37650</v>
      </c>
      <c r="N1344" t="s">
        <v>40436</v>
      </c>
      <c r="O1344" t="s">
        <v>40437</v>
      </c>
      <c r="P1344">
        <v>0</v>
      </c>
      <c r="Q1344">
        <v>0</v>
      </c>
      <c r="R1344" t="s">
        <v>40438</v>
      </c>
      <c r="S1344" t="s">
        <v>40582</v>
      </c>
      <c r="T1344" t="s">
        <v>42102</v>
      </c>
      <c r="U1344" t="s">
        <v>43802</v>
      </c>
      <c r="W1344" t="s">
        <v>37650</v>
      </c>
      <c r="X1344" t="s">
        <v>40439</v>
      </c>
    </row>
    <row r="1345" spans="1:24">
      <c r="A1345">
        <f>HYPERLINK("https://www.philgeps.gov.ph/GEPSNONPILOT/Tender/SplashBidNoticeAbstractUI.aspx?menuIndex=3&amp;refID=7048542&amp;Result=3","7048542")</f>
        <v>0</v>
      </c>
      <c r="B1345" t="s">
        <v>173</v>
      </c>
      <c r="C1345" t="s">
        <v>4397</v>
      </c>
      <c r="D1345" t="s">
        <v>16208</v>
      </c>
      <c r="E1345" t="s">
        <v>17548</v>
      </c>
      <c r="F1345" t="s">
        <v>28198</v>
      </c>
      <c r="G1345" t="s">
        <v>28207</v>
      </c>
      <c r="H1345" t="s">
        <v>28215</v>
      </c>
      <c r="I1345" t="s">
        <v>28222</v>
      </c>
      <c r="J1345" t="s">
        <v>29321</v>
      </c>
      <c r="K1345" t="s">
        <v>36707</v>
      </c>
      <c r="M1345" t="s">
        <v>37147</v>
      </c>
      <c r="N1345" t="s">
        <v>40436</v>
      </c>
      <c r="O1345" t="s">
        <v>40437</v>
      </c>
      <c r="P1345">
        <v>0</v>
      </c>
      <c r="Q1345">
        <v>0</v>
      </c>
      <c r="R1345" t="s">
        <v>40438</v>
      </c>
      <c r="S1345" t="s">
        <v>40582</v>
      </c>
      <c r="T1345" t="s">
        <v>42119</v>
      </c>
      <c r="U1345" t="s">
        <v>43803</v>
      </c>
      <c r="W1345" t="s">
        <v>37147</v>
      </c>
      <c r="X1345" t="s">
        <v>40439</v>
      </c>
    </row>
    <row r="1346" spans="1:24">
      <c r="A1346">
        <f>HYPERLINK("https://www.philgeps.gov.ph/GEPSNONPILOT/Tender/SplashBidNoticeAbstractUI.aspx?menuIndex=3&amp;refID=7048544&amp;Result=3","7048544")</f>
        <v>0</v>
      </c>
      <c r="B1346" t="s">
        <v>611</v>
      </c>
      <c r="C1346" t="s">
        <v>4398</v>
      </c>
      <c r="D1346" t="s">
        <v>16188</v>
      </c>
      <c r="E1346" t="s">
        <v>16835</v>
      </c>
      <c r="F1346" t="s">
        <v>28198</v>
      </c>
      <c r="G1346" t="s">
        <v>28207</v>
      </c>
      <c r="H1346" t="s">
        <v>28215</v>
      </c>
      <c r="I1346" t="s">
        <v>28232</v>
      </c>
      <c r="J1346" t="s">
        <v>29322</v>
      </c>
      <c r="K1346" t="s">
        <v>36688</v>
      </c>
      <c r="M1346" t="s">
        <v>37603</v>
      </c>
      <c r="N1346" t="s">
        <v>40436</v>
      </c>
      <c r="O1346" t="s">
        <v>40437</v>
      </c>
      <c r="P1346">
        <v>0</v>
      </c>
      <c r="Q1346">
        <v>1</v>
      </c>
      <c r="R1346" t="s">
        <v>40438</v>
      </c>
      <c r="S1346" t="s">
        <v>40582</v>
      </c>
      <c r="T1346" t="s">
        <v>42129</v>
      </c>
      <c r="U1346" t="s">
        <v>43804</v>
      </c>
      <c r="W1346" t="s">
        <v>37603</v>
      </c>
      <c r="X1346" t="s">
        <v>40439</v>
      </c>
    </row>
    <row r="1347" spans="1:24">
      <c r="A1347">
        <f>HYPERLINK("https://www.philgeps.gov.ph/GEPSNONPILOT/Tender/SplashBidNoticeAbstractUI.aspx?menuIndex=3&amp;refID=7048540&amp;Result=3","7048540")</f>
        <v>0</v>
      </c>
      <c r="B1347" t="s">
        <v>655</v>
      </c>
      <c r="C1347" t="s">
        <v>4399</v>
      </c>
      <c r="D1347" t="s">
        <v>16235</v>
      </c>
      <c r="E1347" t="s">
        <v>17549</v>
      </c>
      <c r="F1347" t="s">
        <v>28200</v>
      </c>
      <c r="G1347" t="s">
        <v>28205</v>
      </c>
      <c r="H1347" t="s">
        <v>28215</v>
      </c>
      <c r="I1347" t="s">
        <v>28222</v>
      </c>
      <c r="J1347" t="s">
        <v>29323</v>
      </c>
      <c r="K1347" t="s">
        <v>36701</v>
      </c>
      <c r="M1347" t="s">
        <v>37651</v>
      </c>
      <c r="N1347" t="s">
        <v>40436</v>
      </c>
      <c r="O1347" t="s">
        <v>40437</v>
      </c>
      <c r="P1347">
        <v>0</v>
      </c>
      <c r="Q1347">
        <v>3</v>
      </c>
      <c r="R1347" t="s">
        <v>40438</v>
      </c>
      <c r="S1347" t="s">
        <v>40582</v>
      </c>
      <c r="T1347" t="s">
        <v>42265</v>
      </c>
      <c r="U1347" t="s">
        <v>43805</v>
      </c>
      <c r="W1347" t="s">
        <v>37651</v>
      </c>
      <c r="X1347" t="s">
        <v>40439</v>
      </c>
    </row>
    <row r="1348" spans="1:24">
      <c r="A1348">
        <f>HYPERLINK("https://www.philgeps.gov.ph/GEPSNONPILOT/Tender/SplashBidNoticeAbstractUI.aspx?menuIndex=3&amp;refID=7048541&amp;Result=3","7048541")</f>
        <v>0</v>
      </c>
      <c r="B1348" t="s">
        <v>656</v>
      </c>
      <c r="C1348" t="s">
        <v>4400</v>
      </c>
      <c r="D1348" t="s">
        <v>16206</v>
      </c>
      <c r="E1348" t="s">
        <v>17550</v>
      </c>
      <c r="F1348" t="s">
        <v>28198</v>
      </c>
      <c r="G1348" t="s">
        <v>28210</v>
      </c>
      <c r="H1348" t="s">
        <v>28215</v>
      </c>
      <c r="I1348" t="s">
        <v>4168</v>
      </c>
      <c r="J1348" t="s">
        <v>29324</v>
      </c>
      <c r="K1348" t="s">
        <v>36707</v>
      </c>
      <c r="M1348" t="s">
        <v>37652</v>
      </c>
      <c r="N1348" t="s">
        <v>40436</v>
      </c>
      <c r="O1348" t="s">
        <v>40437</v>
      </c>
      <c r="P1348">
        <v>0</v>
      </c>
      <c r="Q1348">
        <v>0</v>
      </c>
      <c r="R1348" t="s">
        <v>40438</v>
      </c>
      <c r="S1348" t="s">
        <v>40582</v>
      </c>
      <c r="T1348" t="s">
        <v>42103</v>
      </c>
      <c r="U1348" t="s">
        <v>43806</v>
      </c>
      <c r="W1348" t="s">
        <v>37652</v>
      </c>
      <c r="X1348" t="s">
        <v>40439</v>
      </c>
    </row>
    <row r="1349" spans="1:24">
      <c r="A1349">
        <f>HYPERLINK("https://www.philgeps.gov.ph/GEPSNONPILOT/Tender/SplashBidNoticeAbstractUI.aspx?menuIndex=3&amp;refID=7048545&amp;Result=3","7048545")</f>
        <v>0</v>
      </c>
      <c r="B1349" t="s">
        <v>657</v>
      </c>
      <c r="C1349" t="s">
        <v>4401</v>
      </c>
      <c r="D1349" t="s">
        <v>16260</v>
      </c>
      <c r="E1349" t="s">
        <v>17551</v>
      </c>
      <c r="F1349" t="s">
        <v>28198</v>
      </c>
      <c r="G1349" t="s">
        <v>28205</v>
      </c>
      <c r="H1349" t="s">
        <v>28214</v>
      </c>
      <c r="I1349" t="s">
        <v>3797</v>
      </c>
      <c r="J1349" t="s">
        <v>29325</v>
      </c>
      <c r="K1349" t="s">
        <v>36692</v>
      </c>
      <c r="M1349" t="s">
        <v>37653</v>
      </c>
      <c r="N1349" t="s">
        <v>40436</v>
      </c>
      <c r="O1349" t="s">
        <v>40437</v>
      </c>
      <c r="P1349">
        <v>0</v>
      </c>
      <c r="Q1349">
        <v>0</v>
      </c>
      <c r="R1349" t="s">
        <v>40438</v>
      </c>
      <c r="S1349" t="s">
        <v>40582</v>
      </c>
      <c r="T1349" t="s">
        <v>42106</v>
      </c>
      <c r="U1349" t="s">
        <v>43807</v>
      </c>
      <c r="V1349" t="s">
        <v>53945</v>
      </c>
      <c r="W1349" t="s">
        <v>37653</v>
      </c>
      <c r="X1349" t="s">
        <v>40439</v>
      </c>
    </row>
    <row r="1350" spans="1:24">
      <c r="A1350">
        <f>HYPERLINK("https://www.philgeps.gov.ph/GEPSNONPILOT/Tender/SplashBidNoticeAbstractUI.aspx?menuIndex=3&amp;refID=7048556&amp;Result=3","7048556")</f>
        <v>0</v>
      </c>
      <c r="B1350" t="s">
        <v>658</v>
      </c>
      <c r="C1350" t="s">
        <v>4402</v>
      </c>
      <c r="D1350" t="s">
        <v>16264</v>
      </c>
      <c r="E1350" t="s">
        <v>17552</v>
      </c>
      <c r="F1350" t="s">
        <v>28198</v>
      </c>
      <c r="G1350" t="s">
        <v>28207</v>
      </c>
      <c r="H1350" t="s">
        <v>28215</v>
      </c>
      <c r="I1350" t="s">
        <v>5791</v>
      </c>
      <c r="J1350" t="s">
        <v>29326</v>
      </c>
      <c r="K1350" t="s">
        <v>36707</v>
      </c>
      <c r="M1350" t="s">
        <v>37654</v>
      </c>
      <c r="N1350" t="s">
        <v>40436</v>
      </c>
      <c r="O1350" t="s">
        <v>40437</v>
      </c>
      <c r="P1350">
        <v>0</v>
      </c>
      <c r="Q1350">
        <v>0</v>
      </c>
      <c r="R1350" t="s">
        <v>40438</v>
      </c>
      <c r="S1350" t="s">
        <v>40582</v>
      </c>
      <c r="T1350" t="s">
        <v>42266</v>
      </c>
      <c r="U1350" t="s">
        <v>43808</v>
      </c>
      <c r="W1350" t="s">
        <v>37654</v>
      </c>
      <c r="X1350" t="s">
        <v>40439</v>
      </c>
    </row>
    <row r="1351" spans="1:24">
      <c r="A1351">
        <f>HYPERLINK("https://www.philgeps.gov.ph/GEPSNONPILOT/Tender/SplashBidNoticeAbstractUI.aspx?menuIndex=3&amp;refID=7048558&amp;Result=3","7048558")</f>
        <v>0</v>
      </c>
      <c r="B1351" t="s">
        <v>647</v>
      </c>
      <c r="C1351" t="s">
        <v>4403</v>
      </c>
      <c r="D1351" t="s">
        <v>16244</v>
      </c>
      <c r="E1351" t="s">
        <v>17553</v>
      </c>
      <c r="F1351" t="s">
        <v>28198</v>
      </c>
      <c r="G1351" t="s">
        <v>28206</v>
      </c>
      <c r="H1351" t="s">
        <v>28215</v>
      </c>
      <c r="I1351" t="s">
        <v>4505</v>
      </c>
      <c r="J1351" t="s">
        <v>29327</v>
      </c>
      <c r="K1351" t="s">
        <v>36688</v>
      </c>
      <c r="M1351" t="s">
        <v>37641</v>
      </c>
      <c r="N1351" t="s">
        <v>40436</v>
      </c>
      <c r="O1351" t="s">
        <v>40437</v>
      </c>
      <c r="P1351">
        <v>0</v>
      </c>
      <c r="Q1351">
        <v>6</v>
      </c>
      <c r="R1351" t="s">
        <v>40438</v>
      </c>
      <c r="S1351" t="s">
        <v>40582</v>
      </c>
      <c r="T1351" t="s">
        <v>42176</v>
      </c>
      <c r="U1351" t="s">
        <v>43809</v>
      </c>
      <c r="W1351" t="s">
        <v>37641</v>
      </c>
      <c r="X1351" t="s">
        <v>40439</v>
      </c>
    </row>
    <row r="1352" spans="1:24">
      <c r="A1352">
        <f>HYPERLINK("https://www.philgeps.gov.ph/GEPSNONPILOT/Tender/SplashBidNoticeAbstractUI.aspx?menuIndex=3&amp;refID=7048552&amp;Result=3","7048552")</f>
        <v>0</v>
      </c>
      <c r="B1352" t="s">
        <v>659</v>
      </c>
      <c r="C1352" t="s">
        <v>4404</v>
      </c>
      <c r="D1352" t="s">
        <v>16235</v>
      </c>
      <c r="E1352" t="s">
        <v>17554</v>
      </c>
      <c r="F1352" t="s">
        <v>28198</v>
      </c>
      <c r="G1352" t="s">
        <v>28207</v>
      </c>
      <c r="H1352" t="s">
        <v>28215</v>
      </c>
      <c r="I1352" t="s">
        <v>5100</v>
      </c>
      <c r="J1352" t="s">
        <v>28362</v>
      </c>
      <c r="K1352" t="s">
        <v>36701</v>
      </c>
      <c r="M1352" t="s">
        <v>37655</v>
      </c>
      <c r="N1352" t="s">
        <v>40436</v>
      </c>
      <c r="O1352" t="s">
        <v>40437</v>
      </c>
      <c r="P1352">
        <v>0</v>
      </c>
      <c r="Q1352">
        <v>0</v>
      </c>
      <c r="R1352" t="s">
        <v>40438</v>
      </c>
      <c r="S1352" t="s">
        <v>40582</v>
      </c>
      <c r="T1352" t="s">
        <v>42124</v>
      </c>
      <c r="U1352" t="s">
        <v>43810</v>
      </c>
      <c r="W1352" t="s">
        <v>37655</v>
      </c>
      <c r="X1352" t="s">
        <v>40439</v>
      </c>
    </row>
    <row r="1353" spans="1:24">
      <c r="A1353">
        <f>HYPERLINK("https://www.philgeps.gov.ph/GEPSNONPILOT/Tender/SplashBidNoticeAbstractUI.aspx?menuIndex=3&amp;refID=7048536&amp;Result=3","7048536")</f>
        <v>0</v>
      </c>
      <c r="B1353" t="s">
        <v>660</v>
      </c>
      <c r="C1353" t="s">
        <v>4405</v>
      </c>
      <c r="D1353" t="s">
        <v>16188</v>
      </c>
      <c r="E1353" t="s">
        <v>17555</v>
      </c>
      <c r="F1353" t="s">
        <v>28198</v>
      </c>
      <c r="G1353" t="s">
        <v>28207</v>
      </c>
      <c r="H1353" t="s">
        <v>28215</v>
      </c>
      <c r="I1353" t="s">
        <v>28227</v>
      </c>
      <c r="J1353" t="s">
        <v>29328</v>
      </c>
      <c r="K1353" t="s">
        <v>36689</v>
      </c>
      <c r="M1353" t="s">
        <v>37656</v>
      </c>
      <c r="N1353" t="s">
        <v>40436</v>
      </c>
      <c r="O1353" t="s">
        <v>40437</v>
      </c>
      <c r="P1353">
        <v>0</v>
      </c>
      <c r="Q1353">
        <v>0</v>
      </c>
      <c r="R1353" t="s">
        <v>40438</v>
      </c>
      <c r="S1353" t="s">
        <v>40582</v>
      </c>
      <c r="T1353" t="s">
        <v>42267</v>
      </c>
      <c r="U1353" t="s">
        <v>43811</v>
      </c>
      <c r="W1353" t="s">
        <v>37656</v>
      </c>
      <c r="X1353" t="s">
        <v>40439</v>
      </c>
    </row>
    <row r="1354" spans="1:24">
      <c r="A1354">
        <f>HYPERLINK("https://www.philgeps.gov.ph/GEPSNONPILOT/Tender/SplashBidNoticeAbstractUI.aspx?menuIndex=3&amp;refID=7048539&amp;Result=3","7048539")</f>
        <v>0</v>
      </c>
      <c r="B1354" t="s">
        <v>661</v>
      </c>
      <c r="C1354" t="s">
        <v>4406</v>
      </c>
      <c r="D1354" t="s">
        <v>16199</v>
      </c>
      <c r="E1354" t="s">
        <v>17556</v>
      </c>
      <c r="F1354" t="s">
        <v>28198</v>
      </c>
      <c r="G1354" t="s">
        <v>28207</v>
      </c>
      <c r="H1354" t="s">
        <v>28215</v>
      </c>
      <c r="I1354" t="s">
        <v>28226</v>
      </c>
      <c r="J1354" t="s">
        <v>28345</v>
      </c>
      <c r="K1354" t="s">
        <v>36689</v>
      </c>
      <c r="M1354" t="s">
        <v>37657</v>
      </c>
      <c r="N1354" t="s">
        <v>40436</v>
      </c>
      <c r="O1354" t="s">
        <v>40437</v>
      </c>
      <c r="P1354">
        <v>0</v>
      </c>
      <c r="Q1354">
        <v>2</v>
      </c>
      <c r="R1354" t="s">
        <v>40438</v>
      </c>
      <c r="S1354" t="s">
        <v>40582</v>
      </c>
      <c r="T1354" t="s">
        <v>42111</v>
      </c>
      <c r="U1354" t="s">
        <v>43812</v>
      </c>
      <c r="W1354" t="s">
        <v>37657</v>
      </c>
      <c r="X1354" t="s">
        <v>40439</v>
      </c>
    </row>
    <row r="1355" spans="1:24">
      <c r="A1355">
        <f>HYPERLINK("https://www.philgeps.gov.ph/GEPSNONPILOT/Tender/SplashBidNoticeAbstractUI.aspx?menuIndex=3&amp;refID=7048557&amp;Result=3","7048557")</f>
        <v>0</v>
      </c>
      <c r="B1355" t="s">
        <v>662</v>
      </c>
      <c r="C1355" t="s">
        <v>4407</v>
      </c>
      <c r="D1355" t="s">
        <v>16203</v>
      </c>
      <c r="E1355" t="s">
        <v>17557</v>
      </c>
      <c r="F1355" t="s">
        <v>28198</v>
      </c>
      <c r="G1355" t="s">
        <v>28207</v>
      </c>
      <c r="H1355" t="s">
        <v>28215</v>
      </c>
      <c r="I1355" t="s">
        <v>4219</v>
      </c>
      <c r="J1355" t="s">
        <v>29269</v>
      </c>
      <c r="K1355" t="s">
        <v>36707</v>
      </c>
      <c r="M1355" t="s">
        <v>37658</v>
      </c>
      <c r="N1355" t="s">
        <v>40436</v>
      </c>
      <c r="O1355" t="s">
        <v>40437</v>
      </c>
      <c r="P1355">
        <v>0</v>
      </c>
      <c r="Q1355">
        <v>0</v>
      </c>
      <c r="R1355" t="s">
        <v>40438</v>
      </c>
      <c r="S1355" t="s">
        <v>40582</v>
      </c>
      <c r="T1355" t="s">
        <v>42103</v>
      </c>
      <c r="U1355" t="s">
        <v>43813</v>
      </c>
      <c r="W1355" t="s">
        <v>37658</v>
      </c>
      <c r="X1355" t="s">
        <v>40439</v>
      </c>
    </row>
    <row r="1356" spans="1:24">
      <c r="A1356">
        <f>HYPERLINK("https://www.philgeps.gov.ph/GEPSNONPILOT/Tender/SplashBidNoticeAbstractUI.aspx?menuIndex=3&amp;refID=7048549&amp;Result=3","7048549")</f>
        <v>0</v>
      </c>
      <c r="B1356" t="s">
        <v>663</v>
      </c>
      <c r="C1356" t="s">
        <v>4408</v>
      </c>
      <c r="D1356" t="s">
        <v>16210</v>
      </c>
      <c r="E1356" t="s">
        <v>17558</v>
      </c>
      <c r="F1356" t="s">
        <v>28198</v>
      </c>
      <c r="G1356" t="s">
        <v>28206</v>
      </c>
      <c r="H1356" t="s">
        <v>28215</v>
      </c>
      <c r="I1356" t="s">
        <v>28302</v>
      </c>
      <c r="J1356" t="s">
        <v>29329</v>
      </c>
      <c r="K1356" t="s">
        <v>36689</v>
      </c>
      <c r="M1356" t="s">
        <v>37659</v>
      </c>
      <c r="N1356" t="s">
        <v>40436</v>
      </c>
      <c r="O1356" t="s">
        <v>40437</v>
      </c>
      <c r="P1356">
        <v>0</v>
      </c>
      <c r="Q1356">
        <v>6</v>
      </c>
      <c r="R1356" t="s">
        <v>40438</v>
      </c>
      <c r="S1356" t="s">
        <v>40582</v>
      </c>
      <c r="T1356" t="s">
        <v>42131</v>
      </c>
      <c r="U1356" t="s">
        <v>43814</v>
      </c>
      <c r="W1356" t="s">
        <v>37659</v>
      </c>
      <c r="X1356" t="s">
        <v>40439</v>
      </c>
    </row>
    <row r="1357" spans="1:24">
      <c r="A1357">
        <f>HYPERLINK("https://www.philgeps.gov.ph/GEPSNONPILOT/Tender/SplashBidNoticeAbstractUI.aspx?menuIndex=3&amp;refID=7048550&amp;Result=3","7048550")</f>
        <v>0</v>
      </c>
      <c r="B1357" t="s">
        <v>648</v>
      </c>
      <c r="C1357" t="s">
        <v>4409</v>
      </c>
      <c r="D1357" t="s">
        <v>16268</v>
      </c>
      <c r="E1357" t="s">
        <v>17559</v>
      </c>
      <c r="F1357" t="s">
        <v>28198</v>
      </c>
      <c r="G1357" t="s">
        <v>28205</v>
      </c>
      <c r="H1357" t="s">
        <v>28215</v>
      </c>
      <c r="I1357" t="s">
        <v>4168</v>
      </c>
      <c r="J1357" t="s">
        <v>29330</v>
      </c>
      <c r="K1357" t="s">
        <v>36701</v>
      </c>
      <c r="M1357" t="s">
        <v>37643</v>
      </c>
      <c r="N1357" t="s">
        <v>40436</v>
      </c>
      <c r="O1357" t="s">
        <v>40437</v>
      </c>
      <c r="P1357">
        <v>0</v>
      </c>
      <c r="Q1357">
        <v>1</v>
      </c>
      <c r="R1357" t="s">
        <v>40438</v>
      </c>
      <c r="S1357" t="s">
        <v>40582</v>
      </c>
      <c r="T1357" t="s">
        <v>42135</v>
      </c>
      <c r="U1357" t="s">
        <v>43815</v>
      </c>
      <c r="W1357" t="s">
        <v>37643</v>
      </c>
      <c r="X1357" t="s">
        <v>40439</v>
      </c>
    </row>
    <row r="1358" spans="1:24">
      <c r="A1358">
        <f>HYPERLINK("https://www.philgeps.gov.ph/GEPSNONPILOT/Tender/SplashBidNoticeAbstractUI.aspx?menuIndex=3&amp;refID=7048548&amp;Result=3","7048548")</f>
        <v>0</v>
      </c>
      <c r="B1358" t="s">
        <v>575</v>
      </c>
      <c r="C1358" t="s">
        <v>4410</v>
      </c>
      <c r="D1358" t="s">
        <v>16223</v>
      </c>
      <c r="E1358" t="s">
        <v>17560</v>
      </c>
      <c r="F1358" t="s">
        <v>28198</v>
      </c>
      <c r="G1358" t="s">
        <v>28205</v>
      </c>
      <c r="H1358" t="s">
        <v>28215</v>
      </c>
      <c r="I1358" t="s">
        <v>4200</v>
      </c>
      <c r="J1358" t="s">
        <v>29331</v>
      </c>
      <c r="K1358" t="s">
        <v>36697</v>
      </c>
      <c r="M1358" t="s">
        <v>37563</v>
      </c>
      <c r="N1358" t="s">
        <v>40436</v>
      </c>
      <c r="O1358" t="s">
        <v>40437</v>
      </c>
      <c r="P1358">
        <v>0</v>
      </c>
      <c r="Q1358">
        <v>3</v>
      </c>
      <c r="R1358" t="s">
        <v>40438</v>
      </c>
      <c r="S1358" t="s">
        <v>40582</v>
      </c>
      <c r="T1358" t="s">
        <v>42195</v>
      </c>
      <c r="U1358" t="s">
        <v>43816</v>
      </c>
      <c r="W1358" t="s">
        <v>37563</v>
      </c>
      <c r="X1358" t="s">
        <v>40439</v>
      </c>
    </row>
    <row r="1359" spans="1:24">
      <c r="A1359">
        <f>HYPERLINK("https://www.philgeps.gov.ph/GEPSNONPILOT/Tender/SplashBidNoticeAbstractUI.aspx?menuIndex=3&amp;refID=7048555&amp;Result=3","7048555")</f>
        <v>0</v>
      </c>
      <c r="B1359" t="s">
        <v>664</v>
      </c>
      <c r="C1359" t="s">
        <v>4411</v>
      </c>
      <c r="D1359" t="s">
        <v>16260</v>
      </c>
      <c r="E1359" t="s">
        <v>17561</v>
      </c>
      <c r="F1359" t="s">
        <v>28198</v>
      </c>
      <c r="G1359" t="s">
        <v>28207</v>
      </c>
      <c r="H1359" t="s">
        <v>28215</v>
      </c>
      <c r="I1359" t="s">
        <v>5071</v>
      </c>
      <c r="J1359" t="s">
        <v>29332</v>
      </c>
      <c r="K1359" t="s">
        <v>36688</v>
      </c>
      <c r="M1359" t="s">
        <v>37660</v>
      </c>
      <c r="N1359" t="s">
        <v>40436</v>
      </c>
      <c r="O1359" t="s">
        <v>40437</v>
      </c>
      <c r="P1359">
        <v>0</v>
      </c>
      <c r="Q1359">
        <v>3</v>
      </c>
      <c r="R1359" t="s">
        <v>40438</v>
      </c>
      <c r="S1359" t="s">
        <v>40582</v>
      </c>
      <c r="T1359" t="s">
        <v>42129</v>
      </c>
      <c r="U1359" t="s">
        <v>42746</v>
      </c>
      <c r="W1359" t="s">
        <v>37660</v>
      </c>
      <c r="X1359" t="s">
        <v>40439</v>
      </c>
    </row>
    <row r="1360" spans="1:24">
      <c r="A1360">
        <f>HYPERLINK("https://www.philgeps.gov.ph/GEPSNONPILOT/Tender/SplashBidNoticeAbstractUI.aspx?menuIndex=3&amp;refID=7048546&amp;Result=3","7048546")</f>
        <v>0</v>
      </c>
      <c r="B1360" t="s">
        <v>80</v>
      </c>
      <c r="C1360" t="s">
        <v>4412</v>
      </c>
      <c r="D1360" t="s">
        <v>16218</v>
      </c>
      <c r="E1360" t="s">
        <v>16526</v>
      </c>
      <c r="F1360" t="s">
        <v>28198</v>
      </c>
      <c r="G1360" t="s">
        <v>28206</v>
      </c>
      <c r="H1360" t="s">
        <v>28215</v>
      </c>
      <c r="I1360" t="s">
        <v>5100</v>
      </c>
      <c r="J1360" t="s">
        <v>28701</v>
      </c>
      <c r="K1360" t="s">
        <v>36698</v>
      </c>
      <c r="M1360" t="s">
        <v>37052</v>
      </c>
      <c r="N1360" t="s">
        <v>40436</v>
      </c>
      <c r="O1360" t="s">
        <v>40437</v>
      </c>
      <c r="P1360">
        <v>0</v>
      </c>
      <c r="Q1360">
        <v>0</v>
      </c>
      <c r="R1360" t="s">
        <v>40438</v>
      </c>
      <c r="S1360" t="s">
        <v>40582</v>
      </c>
      <c r="T1360" t="s">
        <v>42207</v>
      </c>
      <c r="U1360" t="s">
        <v>43817</v>
      </c>
      <c r="W1360" t="s">
        <v>37052</v>
      </c>
      <c r="X1360" t="s">
        <v>40439</v>
      </c>
    </row>
    <row r="1361" spans="1:24">
      <c r="A1361">
        <f>HYPERLINK("https://www.philgeps.gov.ph/GEPSNONPILOT/Tender/SplashBidNoticeAbstractUI.aspx?menuIndex=3&amp;refID=7048559&amp;Result=3","7048559")</f>
        <v>0</v>
      </c>
      <c r="B1361" t="s">
        <v>665</v>
      </c>
      <c r="C1361" t="s">
        <v>4413</v>
      </c>
      <c r="D1361" t="s">
        <v>16195</v>
      </c>
      <c r="E1361" t="s">
        <v>17562</v>
      </c>
      <c r="F1361" t="s">
        <v>28198</v>
      </c>
      <c r="G1361" t="s">
        <v>28206</v>
      </c>
      <c r="H1361" t="s">
        <v>28215</v>
      </c>
      <c r="I1361" t="s">
        <v>5082</v>
      </c>
      <c r="J1361" t="s">
        <v>29333</v>
      </c>
      <c r="K1361" t="s">
        <v>36701</v>
      </c>
      <c r="M1361" t="s">
        <v>37661</v>
      </c>
      <c r="N1361" t="s">
        <v>40436</v>
      </c>
      <c r="O1361" t="s">
        <v>40437</v>
      </c>
      <c r="P1361">
        <v>0</v>
      </c>
      <c r="Q1361">
        <v>1</v>
      </c>
      <c r="R1361" t="s">
        <v>40438</v>
      </c>
      <c r="S1361" t="s">
        <v>40582</v>
      </c>
      <c r="T1361" t="s">
        <v>42142</v>
      </c>
      <c r="U1361" t="s">
        <v>43818</v>
      </c>
      <c r="W1361" t="s">
        <v>37661</v>
      </c>
      <c r="X1361" t="s">
        <v>40439</v>
      </c>
    </row>
    <row r="1362" spans="1:24">
      <c r="A1362">
        <f>HYPERLINK("https://www.philgeps.gov.ph/GEPSNONPILOT/Tender/SplashBidNoticeAbstractUI.aspx?menuIndex=3&amp;refID=7048562&amp;Result=3","7048562")</f>
        <v>0</v>
      </c>
      <c r="B1362" t="s">
        <v>533</v>
      </c>
      <c r="C1362" t="s">
        <v>4414</v>
      </c>
      <c r="D1362" t="s">
        <v>16190</v>
      </c>
      <c r="E1362" t="s">
        <v>16508</v>
      </c>
      <c r="F1362" t="s">
        <v>28198</v>
      </c>
      <c r="G1362" t="s">
        <v>28207</v>
      </c>
      <c r="H1362" t="s">
        <v>28215</v>
      </c>
      <c r="I1362" t="s">
        <v>28262</v>
      </c>
      <c r="J1362" t="s">
        <v>28519</v>
      </c>
      <c r="K1362" t="s">
        <v>36688</v>
      </c>
      <c r="M1362" t="s">
        <v>37519</v>
      </c>
      <c r="N1362" t="s">
        <v>40436</v>
      </c>
      <c r="O1362" t="s">
        <v>40437</v>
      </c>
      <c r="P1362">
        <v>0</v>
      </c>
      <c r="Q1362">
        <v>1</v>
      </c>
      <c r="R1362" t="s">
        <v>40438</v>
      </c>
      <c r="S1362" t="s">
        <v>40582</v>
      </c>
      <c r="T1362" t="s">
        <v>42142</v>
      </c>
      <c r="U1362" t="s">
        <v>43819</v>
      </c>
      <c r="W1362" t="s">
        <v>37519</v>
      </c>
      <c r="X1362" t="s">
        <v>40439</v>
      </c>
    </row>
    <row r="1363" spans="1:24">
      <c r="A1363">
        <f>HYPERLINK("https://www.philgeps.gov.ph/GEPSNONPILOT/Tender/SplashBidNoticeAbstractUI.aspx?menuIndex=3&amp;refID=7048547&amp;Result=3","7048547")</f>
        <v>0</v>
      </c>
      <c r="B1363" t="s">
        <v>666</v>
      </c>
      <c r="C1363" t="s">
        <v>4415</v>
      </c>
      <c r="D1363" t="s">
        <v>16265</v>
      </c>
      <c r="E1363" t="s">
        <v>17563</v>
      </c>
      <c r="F1363" t="s">
        <v>28198</v>
      </c>
      <c r="G1363" t="s">
        <v>28207</v>
      </c>
      <c r="H1363" t="s">
        <v>28215</v>
      </c>
      <c r="I1363" t="s">
        <v>5100</v>
      </c>
      <c r="J1363" t="s">
        <v>29334</v>
      </c>
      <c r="K1363" t="s">
        <v>36691</v>
      </c>
      <c r="M1363" t="s">
        <v>37662</v>
      </c>
      <c r="N1363" t="s">
        <v>40436</v>
      </c>
      <c r="O1363" t="s">
        <v>40437</v>
      </c>
      <c r="P1363">
        <v>0</v>
      </c>
      <c r="Q1363">
        <v>0</v>
      </c>
      <c r="R1363" t="s">
        <v>40438</v>
      </c>
      <c r="S1363" t="s">
        <v>40582</v>
      </c>
      <c r="T1363" t="s">
        <v>42268</v>
      </c>
      <c r="U1363" t="s">
        <v>43820</v>
      </c>
      <c r="W1363" t="s">
        <v>37662</v>
      </c>
      <c r="X1363" t="s">
        <v>40439</v>
      </c>
    </row>
    <row r="1364" spans="1:24">
      <c r="A1364">
        <f>HYPERLINK("https://www.philgeps.gov.ph/GEPSNONPILOT/Tender/SplashBidNoticeAbstractUI.aspx?menuIndex=3&amp;refID=7048560&amp;Result=3","7048560")</f>
        <v>0</v>
      </c>
      <c r="B1364" t="s">
        <v>667</v>
      </c>
      <c r="C1364" t="s">
        <v>4416</v>
      </c>
      <c r="D1364" t="s">
        <v>16210</v>
      </c>
      <c r="E1364" t="s">
        <v>17564</v>
      </c>
      <c r="F1364" t="s">
        <v>28198</v>
      </c>
      <c r="G1364" t="s">
        <v>28207</v>
      </c>
      <c r="H1364" t="s">
        <v>28214</v>
      </c>
      <c r="I1364" t="s">
        <v>3797</v>
      </c>
      <c r="J1364" t="s">
        <v>29335</v>
      </c>
      <c r="K1364" t="s">
        <v>36707</v>
      </c>
      <c r="M1364" t="s">
        <v>37663</v>
      </c>
      <c r="N1364" t="s">
        <v>40436</v>
      </c>
      <c r="O1364" t="s">
        <v>40437</v>
      </c>
      <c r="P1364">
        <v>0</v>
      </c>
      <c r="Q1364">
        <v>1</v>
      </c>
      <c r="R1364" t="s">
        <v>40438</v>
      </c>
      <c r="S1364" t="s">
        <v>40582</v>
      </c>
      <c r="T1364" t="s">
        <v>42146</v>
      </c>
      <c r="U1364" t="s">
        <v>43821</v>
      </c>
      <c r="W1364" t="s">
        <v>37663</v>
      </c>
      <c r="X1364" t="s">
        <v>40439</v>
      </c>
    </row>
    <row r="1365" spans="1:24">
      <c r="A1365">
        <f>HYPERLINK("https://www.philgeps.gov.ph/GEPSNONPILOT/Tender/SplashBidNoticeAbstractUI.aspx?menuIndex=3&amp;refID=7048586&amp;Result=3","7048586")</f>
        <v>0</v>
      </c>
      <c r="B1365" t="s">
        <v>668</v>
      </c>
      <c r="C1365" t="s">
        <v>4417</v>
      </c>
      <c r="D1365" t="s">
        <v>16223</v>
      </c>
      <c r="E1365" t="s">
        <v>17565</v>
      </c>
      <c r="F1365" t="s">
        <v>28198</v>
      </c>
      <c r="G1365" t="s">
        <v>28207</v>
      </c>
      <c r="H1365" t="s">
        <v>28215</v>
      </c>
      <c r="I1365" t="s">
        <v>4321</v>
      </c>
      <c r="J1365" t="s">
        <v>29172</v>
      </c>
      <c r="K1365" t="s">
        <v>36689</v>
      </c>
      <c r="M1365" t="s">
        <v>37664</v>
      </c>
      <c r="N1365" t="s">
        <v>40436</v>
      </c>
      <c r="O1365" t="s">
        <v>40437</v>
      </c>
      <c r="P1365">
        <v>0</v>
      </c>
      <c r="Q1365">
        <v>0</v>
      </c>
      <c r="R1365" t="s">
        <v>40438</v>
      </c>
      <c r="S1365" t="s">
        <v>40582</v>
      </c>
      <c r="T1365" t="s">
        <v>42103</v>
      </c>
      <c r="U1365" t="s">
        <v>43822</v>
      </c>
      <c r="W1365" t="s">
        <v>37664</v>
      </c>
      <c r="X1365" t="s">
        <v>40439</v>
      </c>
    </row>
    <row r="1366" spans="1:24">
      <c r="A1366">
        <f>HYPERLINK("https://www.philgeps.gov.ph/GEPSNONPILOT/Tender/SplashBidNoticeAbstractUI.aspx?menuIndex=3&amp;refID=7048566&amp;Result=3","7048566")</f>
        <v>0</v>
      </c>
      <c r="B1366" t="s">
        <v>650</v>
      </c>
      <c r="C1366" t="s">
        <v>4418</v>
      </c>
      <c r="D1366" t="s">
        <v>16254</v>
      </c>
      <c r="E1366" t="s">
        <v>17566</v>
      </c>
      <c r="F1366" t="s">
        <v>28198</v>
      </c>
      <c r="G1366" t="s">
        <v>28207</v>
      </c>
      <c r="H1366" t="s">
        <v>28215</v>
      </c>
      <c r="I1366" t="s">
        <v>28228</v>
      </c>
      <c r="J1366" t="s">
        <v>28573</v>
      </c>
      <c r="K1366" t="s">
        <v>36707</v>
      </c>
      <c r="M1366" t="s">
        <v>37645</v>
      </c>
      <c r="N1366" t="s">
        <v>40436</v>
      </c>
      <c r="O1366" t="s">
        <v>40437</v>
      </c>
      <c r="P1366">
        <v>0</v>
      </c>
      <c r="Q1366">
        <v>0</v>
      </c>
      <c r="R1366" t="s">
        <v>40438</v>
      </c>
      <c r="S1366" t="s">
        <v>40582</v>
      </c>
      <c r="T1366" t="s">
        <v>42128</v>
      </c>
      <c r="U1366" t="s">
        <v>43823</v>
      </c>
      <c r="W1366" t="s">
        <v>37645</v>
      </c>
      <c r="X1366" t="s">
        <v>40439</v>
      </c>
    </row>
    <row r="1367" spans="1:24">
      <c r="A1367">
        <f>HYPERLINK("https://www.philgeps.gov.ph/GEPSNONPILOT/Tender/SplashBidNoticeAbstractUI.aspx?menuIndex=3&amp;refID=7048563&amp;Result=3","7048563")</f>
        <v>0</v>
      </c>
      <c r="B1367" t="s">
        <v>669</v>
      </c>
      <c r="C1367" t="s">
        <v>4419</v>
      </c>
      <c r="D1367" t="s">
        <v>16243</v>
      </c>
      <c r="E1367" t="s">
        <v>17567</v>
      </c>
      <c r="F1367" t="s">
        <v>28198</v>
      </c>
      <c r="G1367" t="s">
        <v>28205</v>
      </c>
      <c r="H1367" t="s">
        <v>28214</v>
      </c>
      <c r="I1367" t="s">
        <v>3797</v>
      </c>
      <c r="J1367" t="s">
        <v>29336</v>
      </c>
      <c r="K1367" t="s">
        <v>36708</v>
      </c>
      <c r="M1367" t="s">
        <v>37665</v>
      </c>
      <c r="N1367" t="s">
        <v>40436</v>
      </c>
      <c r="O1367" t="s">
        <v>40437</v>
      </c>
      <c r="P1367">
        <v>0</v>
      </c>
      <c r="Q1367">
        <v>0</v>
      </c>
      <c r="R1367" t="s">
        <v>40438</v>
      </c>
      <c r="S1367" t="s">
        <v>40582</v>
      </c>
      <c r="T1367" t="s">
        <v>42269</v>
      </c>
      <c r="U1367" t="s">
        <v>43824</v>
      </c>
      <c r="V1367" t="s">
        <v>53946</v>
      </c>
      <c r="W1367" t="s">
        <v>37665</v>
      </c>
      <c r="X1367" t="s">
        <v>40439</v>
      </c>
    </row>
    <row r="1368" spans="1:24">
      <c r="A1368">
        <f>HYPERLINK("https://www.philgeps.gov.ph/GEPSNONPILOT/Tender/SplashBidNoticeAbstractUI.aspx?menuIndex=3&amp;refID=7048585&amp;Result=3","7048585")</f>
        <v>0</v>
      </c>
      <c r="B1368" t="s">
        <v>670</v>
      </c>
      <c r="C1368" t="s">
        <v>4420</v>
      </c>
      <c r="E1368" t="s">
        <v>17568</v>
      </c>
      <c r="F1368" t="s">
        <v>28198</v>
      </c>
      <c r="G1368" t="s">
        <v>28207</v>
      </c>
      <c r="H1368" t="s">
        <v>28215</v>
      </c>
      <c r="I1368" t="s">
        <v>28224</v>
      </c>
      <c r="J1368" t="s">
        <v>28361</v>
      </c>
      <c r="K1368" t="s">
        <v>36706</v>
      </c>
      <c r="M1368" t="s">
        <v>37666</v>
      </c>
      <c r="N1368" t="s">
        <v>40436</v>
      </c>
      <c r="O1368" t="s">
        <v>40437</v>
      </c>
      <c r="P1368">
        <v>0</v>
      </c>
      <c r="Q1368">
        <v>0</v>
      </c>
      <c r="R1368" t="s">
        <v>40438</v>
      </c>
      <c r="S1368" t="s">
        <v>40582</v>
      </c>
      <c r="T1368" t="s">
        <v>42160</v>
      </c>
      <c r="U1368" t="s">
        <v>43825</v>
      </c>
      <c r="W1368" t="s">
        <v>37666</v>
      </c>
      <c r="X1368" t="s">
        <v>40439</v>
      </c>
    </row>
    <row r="1369" spans="1:24">
      <c r="A1369">
        <f>HYPERLINK("https://www.philgeps.gov.ph/GEPSNONPILOT/Tender/SplashBidNoticeAbstractUI.aspx?menuIndex=3&amp;refID=7048584&amp;Result=3","7048584")</f>
        <v>0</v>
      </c>
      <c r="B1369" t="s">
        <v>671</v>
      </c>
      <c r="C1369" t="s">
        <v>4421</v>
      </c>
      <c r="E1369" t="s">
        <v>17569</v>
      </c>
      <c r="F1369" t="s">
        <v>28198</v>
      </c>
      <c r="G1369" t="s">
        <v>28207</v>
      </c>
      <c r="H1369" t="s">
        <v>28215</v>
      </c>
      <c r="I1369" t="s">
        <v>5100</v>
      </c>
      <c r="J1369" t="s">
        <v>29337</v>
      </c>
      <c r="K1369" t="s">
        <v>36701</v>
      </c>
      <c r="M1369" t="s">
        <v>37667</v>
      </c>
      <c r="N1369" t="s">
        <v>40436</v>
      </c>
      <c r="O1369" t="s">
        <v>40437</v>
      </c>
      <c r="P1369">
        <v>0</v>
      </c>
      <c r="Q1369">
        <v>0</v>
      </c>
      <c r="R1369" t="s">
        <v>40438</v>
      </c>
      <c r="S1369" t="s">
        <v>40582</v>
      </c>
      <c r="T1369" t="s">
        <v>42111</v>
      </c>
      <c r="U1369" t="s">
        <v>43826</v>
      </c>
      <c r="W1369" t="s">
        <v>37667</v>
      </c>
      <c r="X1369" t="s">
        <v>40439</v>
      </c>
    </row>
    <row r="1370" spans="1:24">
      <c r="A1370">
        <f>HYPERLINK("https://www.philgeps.gov.ph/GEPSNONPILOT/Tender/SplashBidNoticeAbstractUI.aspx?menuIndex=3&amp;refID=7048561&amp;Result=3","7048561")</f>
        <v>0</v>
      </c>
      <c r="B1370" t="s">
        <v>672</v>
      </c>
      <c r="C1370" t="s">
        <v>3422</v>
      </c>
      <c r="D1370" t="s">
        <v>16253</v>
      </c>
      <c r="E1370" t="s">
        <v>17570</v>
      </c>
      <c r="F1370" t="s">
        <v>28198</v>
      </c>
      <c r="G1370" t="s">
        <v>28207</v>
      </c>
      <c r="H1370" t="s">
        <v>28215</v>
      </c>
      <c r="I1370" t="s">
        <v>3422</v>
      </c>
      <c r="J1370" t="s">
        <v>28547</v>
      </c>
      <c r="K1370" t="s">
        <v>36698</v>
      </c>
      <c r="M1370" t="s">
        <v>37668</v>
      </c>
      <c r="N1370" t="s">
        <v>40436</v>
      </c>
      <c r="O1370" t="s">
        <v>40437</v>
      </c>
      <c r="P1370">
        <v>0</v>
      </c>
      <c r="Q1370">
        <v>0</v>
      </c>
      <c r="R1370" t="s">
        <v>40438</v>
      </c>
      <c r="S1370" t="s">
        <v>40582</v>
      </c>
      <c r="T1370" t="s">
        <v>42142</v>
      </c>
      <c r="U1370" t="s">
        <v>43827</v>
      </c>
      <c r="W1370" t="s">
        <v>37668</v>
      </c>
      <c r="X1370" t="s">
        <v>40439</v>
      </c>
    </row>
    <row r="1371" spans="1:24">
      <c r="A1371">
        <f>HYPERLINK("https://www.philgeps.gov.ph/GEPSNONPILOT/Tender/SplashBidNoticeAbstractUI.aspx?menuIndex=3&amp;refID=7048580&amp;Result=3","7048580")</f>
        <v>0</v>
      </c>
      <c r="B1371" t="s">
        <v>673</v>
      </c>
      <c r="C1371" t="s">
        <v>4422</v>
      </c>
      <c r="D1371" t="s">
        <v>16222</v>
      </c>
      <c r="E1371" t="s">
        <v>17571</v>
      </c>
      <c r="F1371" t="s">
        <v>28198</v>
      </c>
      <c r="G1371" t="s">
        <v>28207</v>
      </c>
      <c r="H1371" t="s">
        <v>28215</v>
      </c>
      <c r="I1371" t="s">
        <v>28234</v>
      </c>
      <c r="J1371" t="s">
        <v>29273</v>
      </c>
      <c r="K1371" t="s">
        <v>36707</v>
      </c>
      <c r="M1371" t="s">
        <v>37669</v>
      </c>
      <c r="N1371" t="s">
        <v>40436</v>
      </c>
      <c r="O1371" t="s">
        <v>40437</v>
      </c>
      <c r="P1371">
        <v>0</v>
      </c>
      <c r="Q1371">
        <v>2</v>
      </c>
      <c r="R1371" t="s">
        <v>40438</v>
      </c>
      <c r="S1371" t="s">
        <v>40582</v>
      </c>
      <c r="T1371" t="s">
        <v>42119</v>
      </c>
      <c r="U1371" t="s">
        <v>43828</v>
      </c>
      <c r="W1371" t="s">
        <v>37669</v>
      </c>
      <c r="X1371" t="s">
        <v>40439</v>
      </c>
    </row>
    <row r="1372" spans="1:24">
      <c r="A1372">
        <f>HYPERLINK("https://www.philgeps.gov.ph/GEPSNONPILOT/Tender/SplashBidNoticeAbstractUI.aspx?menuIndex=3&amp;refID=7048565&amp;Result=3","7048565")</f>
        <v>0</v>
      </c>
      <c r="B1372" t="s">
        <v>585</v>
      </c>
      <c r="C1372" t="s">
        <v>4423</v>
      </c>
      <c r="D1372" t="s">
        <v>16190</v>
      </c>
      <c r="E1372" t="s">
        <v>17572</v>
      </c>
      <c r="F1372" t="s">
        <v>28198</v>
      </c>
      <c r="G1372" t="s">
        <v>28207</v>
      </c>
      <c r="H1372" t="s">
        <v>28214</v>
      </c>
      <c r="I1372" t="s">
        <v>5100</v>
      </c>
      <c r="J1372" t="s">
        <v>28529</v>
      </c>
      <c r="K1372" t="s">
        <v>36698</v>
      </c>
      <c r="M1372" t="s">
        <v>37670</v>
      </c>
      <c r="N1372" t="s">
        <v>40436</v>
      </c>
      <c r="O1372" t="s">
        <v>40437</v>
      </c>
      <c r="P1372">
        <v>0</v>
      </c>
      <c r="Q1372">
        <v>0</v>
      </c>
      <c r="R1372" t="s">
        <v>40438</v>
      </c>
      <c r="S1372" t="s">
        <v>40582</v>
      </c>
      <c r="T1372" t="s">
        <v>42270</v>
      </c>
      <c r="U1372" t="s">
        <v>43829</v>
      </c>
      <c r="W1372" t="s">
        <v>37670</v>
      </c>
      <c r="X1372" t="s">
        <v>40439</v>
      </c>
    </row>
    <row r="1373" spans="1:24">
      <c r="A1373">
        <f>HYPERLINK("https://www.philgeps.gov.ph/GEPSNONPILOT/Tender/SplashBidNoticeAbstractUI.aspx?menuIndex=3&amp;refID=7048571&amp;Result=3","7048571")</f>
        <v>0</v>
      </c>
      <c r="B1373" t="s">
        <v>412</v>
      </c>
      <c r="C1373" t="s">
        <v>4424</v>
      </c>
      <c r="D1373" t="s">
        <v>16261</v>
      </c>
      <c r="E1373" t="s">
        <v>17573</v>
      </c>
      <c r="F1373" t="s">
        <v>28198</v>
      </c>
      <c r="G1373" t="s">
        <v>28206</v>
      </c>
      <c r="H1373" t="s">
        <v>28215</v>
      </c>
      <c r="I1373" t="s">
        <v>28221</v>
      </c>
      <c r="J1373" t="s">
        <v>29307</v>
      </c>
      <c r="K1373" t="s">
        <v>36706</v>
      </c>
      <c r="M1373" t="s">
        <v>37394</v>
      </c>
      <c r="N1373" t="s">
        <v>40436</v>
      </c>
      <c r="O1373" t="s">
        <v>40437</v>
      </c>
      <c r="P1373">
        <v>0</v>
      </c>
      <c r="Q1373">
        <v>0</v>
      </c>
      <c r="R1373" t="s">
        <v>40438</v>
      </c>
      <c r="S1373" t="s">
        <v>40582</v>
      </c>
      <c r="T1373" t="s">
        <v>42142</v>
      </c>
      <c r="U1373" t="s">
        <v>43830</v>
      </c>
      <c r="W1373" t="s">
        <v>37394</v>
      </c>
      <c r="X1373" t="s">
        <v>40439</v>
      </c>
    </row>
    <row r="1374" spans="1:24">
      <c r="A1374">
        <f>HYPERLINK("https://www.philgeps.gov.ph/GEPSNONPILOT/Tender/SplashBidNoticeAbstractUI.aspx?menuIndex=3&amp;refID=7048579&amp;Result=3","7048579")</f>
        <v>0</v>
      </c>
      <c r="B1374" t="s">
        <v>129</v>
      </c>
      <c r="C1374" t="s">
        <v>4425</v>
      </c>
      <c r="D1374" t="s">
        <v>16210</v>
      </c>
      <c r="E1374" t="s">
        <v>17574</v>
      </c>
      <c r="F1374" t="s">
        <v>28198</v>
      </c>
      <c r="G1374" t="s">
        <v>28206</v>
      </c>
      <c r="H1374" t="s">
        <v>28215</v>
      </c>
      <c r="I1374" t="s">
        <v>8888</v>
      </c>
      <c r="J1374" t="s">
        <v>29338</v>
      </c>
      <c r="K1374" t="s">
        <v>36706</v>
      </c>
      <c r="M1374" t="s">
        <v>37151</v>
      </c>
      <c r="N1374" t="s">
        <v>40436</v>
      </c>
      <c r="O1374" t="s">
        <v>40437</v>
      </c>
      <c r="P1374">
        <v>0</v>
      </c>
      <c r="Q1374">
        <v>2</v>
      </c>
      <c r="R1374" t="s">
        <v>40438</v>
      </c>
      <c r="S1374" t="s">
        <v>40582</v>
      </c>
      <c r="T1374" t="s">
        <v>42156</v>
      </c>
      <c r="U1374" t="s">
        <v>43831</v>
      </c>
      <c r="V1374" t="s">
        <v>53812</v>
      </c>
      <c r="W1374" t="s">
        <v>37151</v>
      </c>
      <c r="X1374" t="s">
        <v>40439</v>
      </c>
    </row>
    <row r="1375" spans="1:24">
      <c r="A1375">
        <f>HYPERLINK("https://www.philgeps.gov.ph/GEPSNONPILOT/Tender/SplashBidNoticeAbstractUI.aspx?menuIndex=3&amp;refID=7048570&amp;Result=3","7048570")</f>
        <v>0</v>
      </c>
      <c r="B1375" t="s">
        <v>435</v>
      </c>
      <c r="C1375" t="s">
        <v>4426</v>
      </c>
      <c r="D1375" t="s">
        <v>16254</v>
      </c>
      <c r="E1375" t="s">
        <v>17575</v>
      </c>
      <c r="F1375" t="s">
        <v>28198</v>
      </c>
      <c r="G1375" t="s">
        <v>28206</v>
      </c>
      <c r="H1375" t="s">
        <v>28215</v>
      </c>
      <c r="I1375" t="s">
        <v>3774</v>
      </c>
      <c r="J1375" t="s">
        <v>29339</v>
      </c>
      <c r="K1375" t="s">
        <v>36689</v>
      </c>
      <c r="M1375" t="s">
        <v>37418</v>
      </c>
      <c r="N1375" t="s">
        <v>40436</v>
      </c>
      <c r="O1375" t="s">
        <v>40437</v>
      </c>
      <c r="P1375">
        <v>0</v>
      </c>
      <c r="Q1375">
        <v>0</v>
      </c>
      <c r="R1375" t="s">
        <v>40438</v>
      </c>
      <c r="S1375" t="s">
        <v>40582</v>
      </c>
      <c r="T1375" t="s">
        <v>42112</v>
      </c>
      <c r="U1375" t="s">
        <v>43832</v>
      </c>
      <c r="W1375" t="s">
        <v>55447</v>
      </c>
      <c r="X1375" t="s">
        <v>40439</v>
      </c>
    </row>
    <row r="1376" spans="1:24">
      <c r="A1376">
        <f>HYPERLINK("https://www.philgeps.gov.ph/GEPSNONPILOT/Tender/SplashBidNoticeAbstractUI.aspx?menuIndex=3&amp;refID=7048575&amp;Result=3","7048575")</f>
        <v>0</v>
      </c>
      <c r="B1376" t="s">
        <v>480</v>
      </c>
      <c r="C1376" t="s">
        <v>4427</v>
      </c>
      <c r="D1376" t="s">
        <v>16234</v>
      </c>
      <c r="E1376" t="s">
        <v>17576</v>
      </c>
      <c r="F1376" t="s">
        <v>28198</v>
      </c>
      <c r="G1376" t="s">
        <v>28207</v>
      </c>
      <c r="H1376" t="s">
        <v>28215</v>
      </c>
      <c r="I1376" t="s">
        <v>5082</v>
      </c>
      <c r="J1376" t="s">
        <v>29340</v>
      </c>
      <c r="K1376" t="s">
        <v>36689</v>
      </c>
      <c r="M1376" t="s">
        <v>37465</v>
      </c>
      <c r="N1376" t="s">
        <v>40436</v>
      </c>
      <c r="O1376" t="s">
        <v>40437</v>
      </c>
      <c r="P1376">
        <v>0</v>
      </c>
      <c r="Q1376">
        <v>1</v>
      </c>
      <c r="R1376" t="s">
        <v>40438</v>
      </c>
      <c r="S1376" t="s">
        <v>40582</v>
      </c>
      <c r="T1376" t="s">
        <v>42129</v>
      </c>
      <c r="U1376" t="s">
        <v>43655</v>
      </c>
      <c r="W1376" t="s">
        <v>37465</v>
      </c>
      <c r="X1376" t="s">
        <v>40439</v>
      </c>
    </row>
    <row r="1377" spans="1:24">
      <c r="A1377">
        <f>HYPERLINK("https://www.philgeps.gov.ph/GEPSNONPILOT/Tender/SplashBidNoticeAbstractUI.aspx?menuIndex=3&amp;refID=7048572&amp;Result=3","7048572")</f>
        <v>0</v>
      </c>
      <c r="B1377" t="s">
        <v>317</v>
      </c>
      <c r="C1377" t="s">
        <v>4428</v>
      </c>
      <c r="D1377" t="s">
        <v>16223</v>
      </c>
      <c r="E1377" t="s">
        <v>17577</v>
      </c>
      <c r="F1377" t="s">
        <v>28198</v>
      </c>
      <c r="G1377" t="s">
        <v>28205</v>
      </c>
      <c r="H1377" t="s">
        <v>28215</v>
      </c>
      <c r="I1377" t="s">
        <v>28227</v>
      </c>
      <c r="J1377" t="s">
        <v>29341</v>
      </c>
      <c r="K1377" t="s">
        <v>36701</v>
      </c>
      <c r="M1377" t="s">
        <v>37295</v>
      </c>
      <c r="N1377" t="s">
        <v>40436</v>
      </c>
      <c r="O1377" t="s">
        <v>40437</v>
      </c>
      <c r="P1377">
        <v>0</v>
      </c>
      <c r="Q1377">
        <v>0</v>
      </c>
      <c r="R1377" t="s">
        <v>40438</v>
      </c>
      <c r="S1377" t="s">
        <v>40582</v>
      </c>
      <c r="T1377" t="s">
        <v>42126</v>
      </c>
      <c r="U1377" t="s">
        <v>43833</v>
      </c>
      <c r="W1377" t="s">
        <v>37295</v>
      </c>
      <c r="X1377" t="s">
        <v>40439</v>
      </c>
    </row>
    <row r="1378" spans="1:24">
      <c r="A1378">
        <f>HYPERLINK("https://www.philgeps.gov.ph/GEPSNONPILOT/Tender/SplashBidNoticeAbstractUI.aspx?menuIndex=3&amp;refID=7048569&amp;Result=3","7048569")</f>
        <v>0</v>
      </c>
      <c r="B1378" t="s">
        <v>674</v>
      </c>
      <c r="C1378" t="s">
        <v>4429</v>
      </c>
      <c r="D1378" t="s">
        <v>16218</v>
      </c>
      <c r="E1378" t="s">
        <v>17578</v>
      </c>
      <c r="F1378" t="s">
        <v>28198</v>
      </c>
      <c r="G1378" t="s">
        <v>28207</v>
      </c>
      <c r="H1378" t="s">
        <v>28215</v>
      </c>
      <c r="I1378" t="s">
        <v>28238</v>
      </c>
      <c r="J1378" t="s">
        <v>29342</v>
      </c>
      <c r="K1378" t="s">
        <v>36701</v>
      </c>
      <c r="M1378" t="s">
        <v>37671</v>
      </c>
      <c r="N1378" t="s">
        <v>40436</v>
      </c>
      <c r="O1378" t="s">
        <v>40437</v>
      </c>
      <c r="P1378">
        <v>0</v>
      </c>
      <c r="Q1378">
        <v>3</v>
      </c>
      <c r="R1378" t="s">
        <v>40438</v>
      </c>
      <c r="S1378" t="s">
        <v>40582</v>
      </c>
      <c r="T1378" t="s">
        <v>42271</v>
      </c>
      <c r="U1378" t="s">
        <v>43834</v>
      </c>
      <c r="W1378" t="s">
        <v>37671</v>
      </c>
      <c r="X1378" t="s">
        <v>40439</v>
      </c>
    </row>
    <row r="1379" spans="1:24">
      <c r="A1379">
        <f>HYPERLINK("https://www.philgeps.gov.ph/GEPSNONPILOT/Tender/SplashBidNoticeAbstractUI.aspx?menuIndex=3&amp;refID=7048578&amp;Result=3","7048578")</f>
        <v>0</v>
      </c>
      <c r="B1379" t="s">
        <v>619</v>
      </c>
      <c r="C1379" t="s">
        <v>4430</v>
      </c>
      <c r="D1379" t="s">
        <v>16190</v>
      </c>
      <c r="E1379" t="s">
        <v>17579</v>
      </c>
      <c r="F1379" t="s">
        <v>28199</v>
      </c>
      <c r="G1379" t="s">
        <v>28210</v>
      </c>
      <c r="H1379" t="s">
        <v>28215</v>
      </c>
      <c r="I1379" t="s">
        <v>28303</v>
      </c>
      <c r="J1379" t="s">
        <v>28352</v>
      </c>
      <c r="K1379" t="s">
        <v>36691</v>
      </c>
      <c r="M1379" t="s">
        <v>37611</v>
      </c>
      <c r="N1379" t="s">
        <v>40436</v>
      </c>
      <c r="O1379" t="s">
        <v>40437</v>
      </c>
      <c r="P1379">
        <v>0</v>
      </c>
      <c r="Q1379">
        <v>0</v>
      </c>
      <c r="R1379" t="s">
        <v>40438</v>
      </c>
      <c r="S1379" t="s">
        <v>40582</v>
      </c>
      <c r="T1379" t="s">
        <v>42098</v>
      </c>
      <c r="U1379" t="s">
        <v>43835</v>
      </c>
      <c r="W1379" t="s">
        <v>37611</v>
      </c>
      <c r="X1379" t="s">
        <v>40439</v>
      </c>
    </row>
    <row r="1380" spans="1:24">
      <c r="A1380">
        <f>HYPERLINK("https://www.philgeps.gov.ph/GEPSNONPILOT/Tender/SplashBidNoticeAbstractUI.aspx?menuIndex=3&amp;refID=7048567&amp;Result=3","7048567")</f>
        <v>0</v>
      </c>
      <c r="B1380" t="s">
        <v>501</v>
      </c>
      <c r="C1380" t="s">
        <v>4431</v>
      </c>
      <c r="D1380" t="s">
        <v>16210</v>
      </c>
      <c r="E1380" t="s">
        <v>17580</v>
      </c>
      <c r="F1380" t="s">
        <v>28198</v>
      </c>
      <c r="G1380" t="s">
        <v>28207</v>
      </c>
      <c r="H1380" t="s">
        <v>28215</v>
      </c>
      <c r="I1380" t="s">
        <v>28234</v>
      </c>
      <c r="J1380" t="s">
        <v>28573</v>
      </c>
      <c r="K1380" t="s">
        <v>36688</v>
      </c>
      <c r="M1380" t="s">
        <v>37486</v>
      </c>
      <c r="N1380" t="s">
        <v>40436</v>
      </c>
      <c r="O1380" t="s">
        <v>40437</v>
      </c>
      <c r="P1380">
        <v>0</v>
      </c>
      <c r="Q1380">
        <v>0</v>
      </c>
      <c r="R1380" t="s">
        <v>40438</v>
      </c>
      <c r="S1380" t="s">
        <v>40582</v>
      </c>
      <c r="T1380" t="s">
        <v>42188</v>
      </c>
      <c r="U1380" t="s">
        <v>43836</v>
      </c>
      <c r="W1380" t="s">
        <v>37486</v>
      </c>
      <c r="X1380" t="s">
        <v>40439</v>
      </c>
    </row>
    <row r="1381" spans="1:24">
      <c r="A1381">
        <f>HYPERLINK("https://www.philgeps.gov.ph/GEPSNONPILOT/Tender/SplashBidNoticeAbstractUI.aspx?menuIndex=3&amp;refID=7048587&amp;Result=3","7048587")</f>
        <v>0</v>
      </c>
      <c r="B1381" t="s">
        <v>657</v>
      </c>
      <c r="C1381" t="s">
        <v>4432</v>
      </c>
      <c r="D1381" t="s">
        <v>16260</v>
      </c>
      <c r="E1381" t="s">
        <v>17581</v>
      </c>
      <c r="F1381" t="s">
        <v>28198</v>
      </c>
      <c r="G1381" t="s">
        <v>28205</v>
      </c>
      <c r="H1381" t="s">
        <v>28214</v>
      </c>
      <c r="I1381" t="s">
        <v>3797</v>
      </c>
      <c r="J1381" t="s">
        <v>29224</v>
      </c>
      <c r="K1381" t="s">
        <v>36749</v>
      </c>
      <c r="M1381" t="s">
        <v>37653</v>
      </c>
      <c r="N1381" t="s">
        <v>40436</v>
      </c>
      <c r="O1381" t="s">
        <v>40437</v>
      </c>
      <c r="P1381">
        <v>0</v>
      </c>
      <c r="Q1381">
        <v>1</v>
      </c>
      <c r="R1381" t="s">
        <v>40438</v>
      </c>
      <c r="S1381" t="s">
        <v>40582</v>
      </c>
      <c r="T1381" t="s">
        <v>42106</v>
      </c>
      <c r="U1381" t="s">
        <v>43837</v>
      </c>
      <c r="V1381" t="s">
        <v>53947</v>
      </c>
      <c r="W1381" t="s">
        <v>37653</v>
      </c>
      <c r="X1381" t="s">
        <v>40439</v>
      </c>
    </row>
    <row r="1382" spans="1:24">
      <c r="A1382">
        <f>HYPERLINK("https://www.philgeps.gov.ph/GEPSNONPILOT/Tender/SplashBidNoticeAbstractUI.aspx?menuIndex=3&amp;refID=7048568&amp;Result=3","7048568")</f>
        <v>0</v>
      </c>
      <c r="B1382" t="s">
        <v>675</v>
      </c>
      <c r="C1382" t="s">
        <v>4433</v>
      </c>
      <c r="D1382" t="s">
        <v>16241</v>
      </c>
      <c r="E1382" t="s">
        <v>17582</v>
      </c>
      <c r="F1382" t="s">
        <v>28198</v>
      </c>
      <c r="G1382" t="s">
        <v>28205</v>
      </c>
      <c r="H1382" t="s">
        <v>28215</v>
      </c>
      <c r="I1382" t="s">
        <v>28225</v>
      </c>
      <c r="J1382" t="s">
        <v>29343</v>
      </c>
      <c r="K1382" t="s">
        <v>36701</v>
      </c>
      <c r="M1382" t="s">
        <v>37672</v>
      </c>
      <c r="N1382" t="s">
        <v>40436</v>
      </c>
      <c r="O1382" t="s">
        <v>40437</v>
      </c>
      <c r="P1382">
        <v>0</v>
      </c>
      <c r="Q1382">
        <v>0</v>
      </c>
      <c r="R1382" t="s">
        <v>40438</v>
      </c>
      <c r="S1382" t="s">
        <v>40582</v>
      </c>
      <c r="T1382" t="s">
        <v>42254</v>
      </c>
      <c r="U1382" t="s">
        <v>43838</v>
      </c>
      <c r="W1382" t="s">
        <v>37672</v>
      </c>
      <c r="X1382" t="s">
        <v>40439</v>
      </c>
    </row>
    <row r="1383" spans="1:24">
      <c r="A1383">
        <f>HYPERLINK("https://www.philgeps.gov.ph/GEPSNONPILOT/Tender/SplashBidNoticeAbstractUI.aspx?menuIndex=3&amp;refID=7048602&amp;Result=3","7048602")</f>
        <v>0</v>
      </c>
      <c r="B1383" t="s">
        <v>439</v>
      </c>
      <c r="C1383" t="s">
        <v>4434</v>
      </c>
      <c r="D1383" t="s">
        <v>16213</v>
      </c>
      <c r="E1383" t="s">
        <v>17583</v>
      </c>
      <c r="F1383" t="s">
        <v>28198</v>
      </c>
      <c r="G1383" t="s">
        <v>28207</v>
      </c>
      <c r="H1383" t="s">
        <v>28215</v>
      </c>
      <c r="I1383" t="s">
        <v>28304</v>
      </c>
      <c r="J1383" t="s">
        <v>29344</v>
      </c>
      <c r="K1383" t="s">
        <v>36707</v>
      </c>
      <c r="M1383" t="s">
        <v>37673</v>
      </c>
      <c r="N1383" t="s">
        <v>40436</v>
      </c>
      <c r="O1383" t="s">
        <v>40437</v>
      </c>
      <c r="P1383">
        <v>0</v>
      </c>
      <c r="Q1383">
        <v>3</v>
      </c>
      <c r="R1383" t="s">
        <v>40438</v>
      </c>
      <c r="S1383" t="s">
        <v>40582</v>
      </c>
      <c r="T1383" t="s">
        <v>42188</v>
      </c>
      <c r="U1383" t="s">
        <v>43839</v>
      </c>
      <c r="W1383" t="s">
        <v>37673</v>
      </c>
      <c r="X1383" t="s">
        <v>40439</v>
      </c>
    </row>
    <row r="1384" spans="1:24">
      <c r="A1384">
        <f>HYPERLINK("https://www.philgeps.gov.ph/GEPSNONPILOT/Tender/SplashBidNoticeAbstractUI.aspx?menuIndex=3&amp;refID=7048597&amp;Result=3","7048597")</f>
        <v>0</v>
      </c>
      <c r="B1384" t="s">
        <v>219</v>
      </c>
      <c r="C1384" t="s">
        <v>4435</v>
      </c>
      <c r="D1384" t="s">
        <v>16199</v>
      </c>
      <c r="E1384" t="s">
        <v>17584</v>
      </c>
      <c r="F1384" t="s">
        <v>28198</v>
      </c>
      <c r="G1384" t="s">
        <v>28205</v>
      </c>
      <c r="H1384" t="s">
        <v>28214</v>
      </c>
      <c r="I1384" t="s">
        <v>3797</v>
      </c>
      <c r="J1384" t="s">
        <v>29345</v>
      </c>
      <c r="K1384" t="s">
        <v>36750</v>
      </c>
      <c r="M1384" t="s">
        <v>37195</v>
      </c>
      <c r="N1384" t="s">
        <v>40436</v>
      </c>
      <c r="O1384" t="s">
        <v>40437</v>
      </c>
      <c r="P1384">
        <v>0</v>
      </c>
      <c r="Q1384">
        <v>0</v>
      </c>
      <c r="R1384" t="s">
        <v>40438</v>
      </c>
      <c r="S1384" t="s">
        <v>40582</v>
      </c>
      <c r="T1384" t="s">
        <v>42115</v>
      </c>
      <c r="U1384" t="s">
        <v>43840</v>
      </c>
      <c r="W1384" t="s">
        <v>37195</v>
      </c>
      <c r="X1384" t="s">
        <v>40439</v>
      </c>
    </row>
    <row r="1385" spans="1:24">
      <c r="A1385">
        <f>HYPERLINK("https://www.philgeps.gov.ph/GEPSNONPILOT/Tender/SplashBidNoticeAbstractUI.aspx?menuIndex=3&amp;refID=7048592&amp;Result=3","7048592")</f>
        <v>0</v>
      </c>
      <c r="B1385" t="s">
        <v>676</v>
      </c>
      <c r="C1385" t="s">
        <v>4436</v>
      </c>
      <c r="D1385" t="s">
        <v>16241</v>
      </c>
      <c r="E1385" t="s">
        <v>17585</v>
      </c>
      <c r="F1385" t="s">
        <v>28198</v>
      </c>
      <c r="G1385" t="s">
        <v>28207</v>
      </c>
      <c r="H1385" t="s">
        <v>28215</v>
      </c>
      <c r="I1385" t="s">
        <v>28224</v>
      </c>
      <c r="J1385" t="s">
        <v>28632</v>
      </c>
      <c r="K1385" t="s">
        <v>36707</v>
      </c>
      <c r="M1385" t="s">
        <v>37674</v>
      </c>
      <c r="N1385" t="s">
        <v>40436</v>
      </c>
      <c r="O1385" t="s">
        <v>40437</v>
      </c>
      <c r="P1385">
        <v>0</v>
      </c>
      <c r="Q1385">
        <v>1</v>
      </c>
      <c r="R1385" t="s">
        <v>40438</v>
      </c>
      <c r="S1385" t="s">
        <v>40582</v>
      </c>
      <c r="T1385" t="s">
        <v>42119</v>
      </c>
      <c r="U1385" t="s">
        <v>43841</v>
      </c>
      <c r="W1385" t="s">
        <v>37674</v>
      </c>
      <c r="X1385" t="s">
        <v>40439</v>
      </c>
    </row>
    <row r="1386" spans="1:24">
      <c r="A1386">
        <f>HYPERLINK("https://www.philgeps.gov.ph/GEPSNONPILOT/Tender/SplashBidNoticeAbstractUI.aspx?menuIndex=3&amp;refID=7048590&amp;Result=3","7048590")</f>
        <v>0</v>
      </c>
      <c r="B1386" t="s">
        <v>677</v>
      </c>
      <c r="C1386" t="s">
        <v>4437</v>
      </c>
      <c r="D1386" t="s">
        <v>16247</v>
      </c>
      <c r="E1386" t="s">
        <v>17586</v>
      </c>
      <c r="F1386" t="s">
        <v>28198</v>
      </c>
      <c r="G1386" t="s">
        <v>28207</v>
      </c>
      <c r="H1386" t="s">
        <v>28215</v>
      </c>
      <c r="I1386" t="s">
        <v>28245</v>
      </c>
      <c r="J1386" t="s">
        <v>28597</v>
      </c>
      <c r="K1386" t="s">
        <v>36688</v>
      </c>
      <c r="M1386" t="s">
        <v>37675</v>
      </c>
      <c r="N1386" t="s">
        <v>40436</v>
      </c>
      <c r="O1386" t="s">
        <v>40437</v>
      </c>
      <c r="P1386">
        <v>0</v>
      </c>
      <c r="Q1386">
        <v>1</v>
      </c>
      <c r="R1386" t="s">
        <v>40438</v>
      </c>
      <c r="S1386" t="s">
        <v>40582</v>
      </c>
      <c r="T1386" t="s">
        <v>42177</v>
      </c>
      <c r="U1386" t="s">
        <v>43842</v>
      </c>
      <c r="W1386" t="s">
        <v>37675</v>
      </c>
      <c r="X1386" t="s">
        <v>40439</v>
      </c>
    </row>
    <row r="1387" spans="1:24">
      <c r="A1387">
        <f>HYPERLINK("https://www.philgeps.gov.ph/GEPSNONPILOT/Tender/SplashBidNoticeAbstractUI.aspx?menuIndex=3&amp;refID=7048598&amp;Result=3","7048598")</f>
        <v>0</v>
      </c>
      <c r="B1387" t="s">
        <v>435</v>
      </c>
      <c r="C1387" t="s">
        <v>4438</v>
      </c>
      <c r="D1387" t="s">
        <v>16254</v>
      </c>
      <c r="E1387" t="s">
        <v>17587</v>
      </c>
      <c r="F1387" t="s">
        <v>28198</v>
      </c>
      <c r="G1387" t="s">
        <v>28206</v>
      </c>
      <c r="H1387" t="s">
        <v>28215</v>
      </c>
      <c r="I1387" t="s">
        <v>28234</v>
      </c>
      <c r="J1387" t="s">
        <v>29346</v>
      </c>
      <c r="K1387" t="s">
        <v>36689</v>
      </c>
      <c r="M1387" t="s">
        <v>37418</v>
      </c>
      <c r="N1387" t="s">
        <v>40436</v>
      </c>
      <c r="O1387" t="s">
        <v>40437</v>
      </c>
      <c r="P1387">
        <v>0</v>
      </c>
      <c r="Q1387">
        <v>2</v>
      </c>
      <c r="R1387" t="s">
        <v>40438</v>
      </c>
      <c r="S1387" t="s">
        <v>40582</v>
      </c>
      <c r="T1387" t="s">
        <v>42112</v>
      </c>
      <c r="U1387" t="s">
        <v>43843</v>
      </c>
      <c r="W1387" t="s">
        <v>55447</v>
      </c>
      <c r="X1387" t="s">
        <v>40439</v>
      </c>
    </row>
    <row r="1388" spans="1:24">
      <c r="A1388">
        <f>HYPERLINK("https://www.philgeps.gov.ph/GEPSNONPILOT/Tender/SplashBidNoticeAbstractUI.aspx?menuIndex=3&amp;refID=7048589&amp;Result=3","7048589")</f>
        <v>0</v>
      </c>
      <c r="B1388" t="s">
        <v>530</v>
      </c>
      <c r="C1388" t="s">
        <v>4439</v>
      </c>
      <c r="D1388" t="s">
        <v>16193</v>
      </c>
      <c r="E1388" t="s">
        <v>17588</v>
      </c>
      <c r="F1388" t="s">
        <v>28198</v>
      </c>
      <c r="G1388" t="s">
        <v>28207</v>
      </c>
      <c r="H1388" t="s">
        <v>28215</v>
      </c>
      <c r="I1388" t="s">
        <v>3774</v>
      </c>
      <c r="J1388" t="s">
        <v>29347</v>
      </c>
      <c r="K1388" t="s">
        <v>36689</v>
      </c>
      <c r="M1388" t="s">
        <v>37515</v>
      </c>
      <c r="N1388" t="s">
        <v>40436</v>
      </c>
      <c r="O1388" t="s">
        <v>40437</v>
      </c>
      <c r="P1388">
        <v>0</v>
      </c>
      <c r="Q1388">
        <v>1</v>
      </c>
      <c r="R1388" t="s">
        <v>40438</v>
      </c>
      <c r="S1388" t="s">
        <v>40582</v>
      </c>
      <c r="T1388" t="s">
        <v>42103</v>
      </c>
      <c r="U1388" t="s">
        <v>43844</v>
      </c>
      <c r="W1388" t="s">
        <v>37515</v>
      </c>
      <c r="X1388" t="s">
        <v>40439</v>
      </c>
    </row>
    <row r="1389" spans="1:24">
      <c r="A1389">
        <f>HYPERLINK("https://www.philgeps.gov.ph/GEPSNONPILOT/Tender/SplashBidNoticeAbstractUI.aspx?menuIndex=3&amp;refID=7048595&amp;Result=3","7048595")</f>
        <v>0</v>
      </c>
      <c r="B1389" t="s">
        <v>401</v>
      </c>
      <c r="C1389" t="s">
        <v>4440</v>
      </c>
      <c r="D1389" t="s">
        <v>16223</v>
      </c>
      <c r="E1389" t="s">
        <v>17018</v>
      </c>
      <c r="F1389" t="s">
        <v>28198</v>
      </c>
      <c r="G1389" t="s">
        <v>28205</v>
      </c>
      <c r="H1389" t="s">
        <v>28216</v>
      </c>
      <c r="I1389" t="s">
        <v>28216</v>
      </c>
      <c r="J1389" t="s">
        <v>29348</v>
      </c>
      <c r="K1389" t="s">
        <v>36689</v>
      </c>
      <c r="L1389" t="s">
        <v>401</v>
      </c>
      <c r="M1389" t="s">
        <v>37382</v>
      </c>
      <c r="N1389" t="s">
        <v>40436</v>
      </c>
      <c r="O1389" t="s">
        <v>40437</v>
      </c>
      <c r="P1389">
        <v>0</v>
      </c>
      <c r="Q1389">
        <v>4</v>
      </c>
      <c r="R1389" t="s">
        <v>40438</v>
      </c>
      <c r="S1389" t="s">
        <v>40582</v>
      </c>
      <c r="T1389" t="s">
        <v>42234</v>
      </c>
      <c r="U1389" t="s">
        <v>43845</v>
      </c>
      <c r="W1389" t="s">
        <v>37382</v>
      </c>
      <c r="X1389" t="s">
        <v>40439</v>
      </c>
    </row>
    <row r="1390" spans="1:24">
      <c r="A1390">
        <f>HYPERLINK("https://www.philgeps.gov.ph/GEPSNONPILOT/Tender/SplashBidNoticeAbstractUI.aspx?menuIndex=3&amp;refID=7048600&amp;Result=3","7048600")</f>
        <v>0</v>
      </c>
      <c r="B1390" t="s">
        <v>678</v>
      </c>
      <c r="C1390" t="s">
        <v>3173</v>
      </c>
      <c r="D1390" t="s">
        <v>16222</v>
      </c>
      <c r="E1390" t="s">
        <v>17176</v>
      </c>
      <c r="F1390" t="s">
        <v>28198</v>
      </c>
      <c r="G1390" t="s">
        <v>28207</v>
      </c>
      <c r="H1390" t="s">
        <v>28215</v>
      </c>
      <c r="I1390" t="s">
        <v>5082</v>
      </c>
      <c r="J1390" t="s">
        <v>28878</v>
      </c>
      <c r="K1390" t="s">
        <v>36691</v>
      </c>
      <c r="M1390" t="s">
        <v>37676</v>
      </c>
      <c r="N1390" t="s">
        <v>40436</v>
      </c>
      <c r="O1390" t="s">
        <v>40437</v>
      </c>
      <c r="P1390">
        <v>0</v>
      </c>
      <c r="Q1390">
        <v>0</v>
      </c>
      <c r="R1390" t="s">
        <v>40438</v>
      </c>
      <c r="S1390" t="s">
        <v>40582</v>
      </c>
      <c r="T1390" t="s">
        <v>42103</v>
      </c>
      <c r="U1390" t="s">
        <v>43846</v>
      </c>
      <c r="W1390" t="s">
        <v>37676</v>
      </c>
      <c r="X1390" t="s">
        <v>40439</v>
      </c>
    </row>
    <row r="1391" spans="1:24">
      <c r="A1391">
        <f>HYPERLINK("https://www.philgeps.gov.ph/GEPSNONPILOT/Tender/SplashBidNoticeAbstractUI.aspx?menuIndex=3&amp;refID=7048591&amp;Result=3","7048591")</f>
        <v>0</v>
      </c>
      <c r="B1391" t="s">
        <v>52</v>
      </c>
      <c r="C1391" t="s">
        <v>4441</v>
      </c>
      <c r="E1391" t="s">
        <v>17589</v>
      </c>
      <c r="F1391" t="s">
        <v>28198</v>
      </c>
      <c r="G1391" t="s">
        <v>28207</v>
      </c>
      <c r="H1391" t="s">
        <v>28215</v>
      </c>
      <c r="I1391" t="s">
        <v>28305</v>
      </c>
      <c r="J1391" t="s">
        <v>28406</v>
      </c>
      <c r="K1391" t="s">
        <v>36701</v>
      </c>
      <c r="M1391" t="s">
        <v>37589</v>
      </c>
      <c r="N1391" t="s">
        <v>40436</v>
      </c>
      <c r="O1391" t="s">
        <v>40437</v>
      </c>
      <c r="P1391">
        <v>0</v>
      </c>
      <c r="Q1391">
        <v>2</v>
      </c>
      <c r="R1391" t="s">
        <v>40438</v>
      </c>
      <c r="S1391" t="s">
        <v>40582</v>
      </c>
      <c r="T1391" t="s">
        <v>42254</v>
      </c>
      <c r="U1391" t="s">
        <v>43847</v>
      </c>
      <c r="W1391" t="s">
        <v>55453</v>
      </c>
      <c r="X1391" t="s">
        <v>40439</v>
      </c>
    </row>
    <row r="1392" spans="1:24">
      <c r="A1392">
        <f>HYPERLINK("https://www.philgeps.gov.ph/GEPSNONPILOT/Tender/SplashBidNoticeAbstractUI.aspx?menuIndex=3&amp;refID=7048588&amp;Result=3","7048588")</f>
        <v>0</v>
      </c>
      <c r="B1392" t="s">
        <v>412</v>
      </c>
      <c r="C1392" t="s">
        <v>4442</v>
      </c>
      <c r="D1392" t="s">
        <v>16261</v>
      </c>
      <c r="E1392" t="s">
        <v>17590</v>
      </c>
      <c r="F1392" t="s">
        <v>28198</v>
      </c>
      <c r="G1392" t="s">
        <v>28206</v>
      </c>
      <c r="H1392" t="s">
        <v>28215</v>
      </c>
      <c r="I1392" t="s">
        <v>28238</v>
      </c>
      <c r="J1392" t="s">
        <v>29349</v>
      </c>
      <c r="K1392" t="s">
        <v>36706</v>
      </c>
      <c r="M1392" t="s">
        <v>37394</v>
      </c>
      <c r="N1392" t="s">
        <v>40436</v>
      </c>
      <c r="O1392" t="s">
        <v>40437</v>
      </c>
      <c r="P1392">
        <v>0</v>
      </c>
      <c r="Q1392">
        <v>0</v>
      </c>
      <c r="R1392" t="s">
        <v>40438</v>
      </c>
      <c r="S1392" t="s">
        <v>40582</v>
      </c>
      <c r="T1392" t="s">
        <v>42142</v>
      </c>
      <c r="U1392" t="s">
        <v>43848</v>
      </c>
      <c r="W1392" t="s">
        <v>37394</v>
      </c>
      <c r="X1392" t="s">
        <v>40439</v>
      </c>
    </row>
    <row r="1393" spans="1:24">
      <c r="A1393">
        <f>HYPERLINK("https://www.philgeps.gov.ph/GEPSNONPILOT/Tender/SplashBidNoticeAbstractUI.aspx?menuIndex=3&amp;refID=7048606&amp;Result=3","7048606")</f>
        <v>0</v>
      </c>
      <c r="B1393" t="s">
        <v>679</v>
      </c>
      <c r="C1393" t="s">
        <v>4443</v>
      </c>
      <c r="D1393" t="s">
        <v>16204</v>
      </c>
      <c r="E1393" t="s">
        <v>17591</v>
      </c>
      <c r="F1393" t="s">
        <v>28198</v>
      </c>
      <c r="G1393" t="s">
        <v>28205</v>
      </c>
      <c r="H1393" t="s">
        <v>28214</v>
      </c>
      <c r="I1393" t="s">
        <v>3797</v>
      </c>
      <c r="J1393" t="s">
        <v>29350</v>
      </c>
      <c r="K1393" t="s">
        <v>36689</v>
      </c>
      <c r="M1393" t="s">
        <v>37677</v>
      </c>
      <c r="N1393" t="s">
        <v>40436</v>
      </c>
      <c r="O1393" t="s">
        <v>40437</v>
      </c>
      <c r="P1393">
        <v>0</v>
      </c>
      <c r="Q1393">
        <v>0</v>
      </c>
      <c r="R1393" t="s">
        <v>40438</v>
      </c>
      <c r="S1393" t="s">
        <v>40582</v>
      </c>
      <c r="T1393" t="s">
        <v>42115</v>
      </c>
      <c r="U1393" t="s">
        <v>43849</v>
      </c>
      <c r="V1393" t="s">
        <v>53944</v>
      </c>
      <c r="W1393" t="s">
        <v>37677</v>
      </c>
      <c r="X1393" t="s">
        <v>40439</v>
      </c>
    </row>
    <row r="1394" spans="1:24">
      <c r="A1394">
        <f>HYPERLINK("https://www.philgeps.gov.ph/GEPSNONPILOT/Tender/SplashBidNoticeAbstractUI.aspx?menuIndex=3&amp;refID=7048596&amp;Result=3","7048596")</f>
        <v>0</v>
      </c>
      <c r="B1394" t="s">
        <v>617</v>
      </c>
      <c r="C1394" t="s">
        <v>4369</v>
      </c>
      <c r="D1394" t="s">
        <v>16253</v>
      </c>
      <c r="E1394" t="s">
        <v>17592</v>
      </c>
      <c r="F1394" t="s">
        <v>28198</v>
      </c>
      <c r="G1394" t="s">
        <v>28207</v>
      </c>
      <c r="H1394" t="s">
        <v>28215</v>
      </c>
      <c r="I1394" t="s">
        <v>8888</v>
      </c>
      <c r="J1394" t="s">
        <v>29351</v>
      </c>
      <c r="K1394" t="s">
        <v>36701</v>
      </c>
      <c r="M1394" t="s">
        <v>37609</v>
      </c>
      <c r="N1394" t="s">
        <v>40436</v>
      </c>
      <c r="O1394" t="s">
        <v>40437</v>
      </c>
      <c r="P1394">
        <v>0</v>
      </c>
      <c r="Q1394">
        <v>2</v>
      </c>
      <c r="R1394" t="s">
        <v>40438</v>
      </c>
      <c r="S1394" t="s">
        <v>40582</v>
      </c>
      <c r="T1394" t="s">
        <v>42129</v>
      </c>
      <c r="U1394" t="s">
        <v>43776</v>
      </c>
      <c r="V1394" t="s">
        <v>53932</v>
      </c>
      <c r="W1394" t="s">
        <v>37609</v>
      </c>
      <c r="X1394" t="s">
        <v>40439</v>
      </c>
    </row>
    <row r="1395" spans="1:24">
      <c r="A1395">
        <f>HYPERLINK("https://www.philgeps.gov.ph/GEPSNONPILOT/Tender/SplashBidNoticeAbstractUI.aspx?menuIndex=3&amp;refID=7048605&amp;Result=3","7048605")</f>
        <v>0</v>
      </c>
      <c r="B1395" t="s">
        <v>650</v>
      </c>
      <c r="C1395" t="s">
        <v>4444</v>
      </c>
      <c r="D1395" t="s">
        <v>16254</v>
      </c>
      <c r="E1395" t="s">
        <v>17593</v>
      </c>
      <c r="F1395" t="s">
        <v>28198</v>
      </c>
      <c r="G1395" t="s">
        <v>28207</v>
      </c>
      <c r="H1395" t="s">
        <v>28215</v>
      </c>
      <c r="I1395" t="s">
        <v>28228</v>
      </c>
      <c r="J1395" t="s">
        <v>28373</v>
      </c>
      <c r="K1395" t="s">
        <v>36707</v>
      </c>
      <c r="M1395" t="s">
        <v>37645</v>
      </c>
      <c r="N1395" t="s">
        <v>40436</v>
      </c>
      <c r="O1395" t="s">
        <v>40437</v>
      </c>
      <c r="P1395">
        <v>0</v>
      </c>
      <c r="Q1395">
        <v>0</v>
      </c>
      <c r="R1395" t="s">
        <v>40438</v>
      </c>
      <c r="S1395" t="s">
        <v>40582</v>
      </c>
      <c r="T1395" t="s">
        <v>42128</v>
      </c>
      <c r="U1395" t="s">
        <v>43850</v>
      </c>
      <c r="W1395" t="s">
        <v>37645</v>
      </c>
      <c r="X1395" t="s">
        <v>40439</v>
      </c>
    </row>
    <row r="1396" spans="1:24">
      <c r="A1396">
        <f>HYPERLINK("https://www.philgeps.gov.ph/GEPSNONPILOT/Tender/SplashBidNoticeAbstractUI.aspx?menuIndex=3&amp;refID=7048599&amp;Result=3","7048599")</f>
        <v>0</v>
      </c>
      <c r="B1396" t="s">
        <v>680</v>
      </c>
      <c r="C1396" t="s">
        <v>4445</v>
      </c>
      <c r="D1396" t="s">
        <v>16223</v>
      </c>
      <c r="E1396" t="s">
        <v>17594</v>
      </c>
      <c r="F1396" t="s">
        <v>28198</v>
      </c>
      <c r="G1396" t="s">
        <v>28207</v>
      </c>
      <c r="H1396" t="s">
        <v>28215</v>
      </c>
      <c r="I1396" t="s">
        <v>28234</v>
      </c>
      <c r="J1396" t="s">
        <v>28589</v>
      </c>
      <c r="K1396" t="s">
        <v>36693</v>
      </c>
      <c r="M1396" t="s">
        <v>37678</v>
      </c>
      <c r="N1396" t="s">
        <v>40436</v>
      </c>
      <c r="O1396" t="s">
        <v>40437</v>
      </c>
      <c r="P1396">
        <v>0</v>
      </c>
      <c r="Q1396">
        <v>1</v>
      </c>
      <c r="R1396" t="s">
        <v>40438</v>
      </c>
      <c r="S1396" t="s">
        <v>40582</v>
      </c>
      <c r="T1396" t="s">
        <v>42103</v>
      </c>
      <c r="U1396" t="s">
        <v>43851</v>
      </c>
      <c r="V1396" t="s">
        <v>53948</v>
      </c>
      <c r="W1396" t="s">
        <v>55456</v>
      </c>
      <c r="X1396" t="s">
        <v>40439</v>
      </c>
    </row>
    <row r="1397" spans="1:24">
      <c r="A1397">
        <f>HYPERLINK("https://www.philgeps.gov.ph/GEPSNONPILOT/Tender/SplashBidNoticeAbstractUI.aspx?menuIndex=3&amp;refID=7048610&amp;Result=3","7048610")</f>
        <v>0</v>
      </c>
      <c r="B1397" t="s">
        <v>435</v>
      </c>
      <c r="C1397" t="s">
        <v>4446</v>
      </c>
      <c r="D1397" t="s">
        <v>16254</v>
      </c>
      <c r="E1397" t="s">
        <v>17595</v>
      </c>
      <c r="F1397" t="s">
        <v>28198</v>
      </c>
      <c r="G1397" t="s">
        <v>28206</v>
      </c>
      <c r="H1397" t="s">
        <v>28215</v>
      </c>
      <c r="I1397" t="s">
        <v>28262</v>
      </c>
      <c r="J1397" t="s">
        <v>28345</v>
      </c>
      <c r="K1397" t="s">
        <v>36689</v>
      </c>
      <c r="M1397" t="s">
        <v>37418</v>
      </c>
      <c r="N1397" t="s">
        <v>40436</v>
      </c>
      <c r="O1397" t="s">
        <v>40437</v>
      </c>
      <c r="P1397">
        <v>0</v>
      </c>
      <c r="Q1397">
        <v>2</v>
      </c>
      <c r="R1397" t="s">
        <v>40438</v>
      </c>
      <c r="S1397" t="s">
        <v>40582</v>
      </c>
      <c r="T1397" t="s">
        <v>42112</v>
      </c>
      <c r="U1397" t="s">
        <v>43852</v>
      </c>
      <c r="W1397" t="s">
        <v>55447</v>
      </c>
      <c r="X1397" t="s">
        <v>40439</v>
      </c>
    </row>
    <row r="1398" spans="1:24">
      <c r="A1398">
        <f>HYPERLINK("https://www.philgeps.gov.ph/GEPSNONPILOT/Tender/SplashBidNoticeAbstractUI.aspx?menuIndex=3&amp;refID=7048603&amp;Result=3","7048603")</f>
        <v>0</v>
      </c>
      <c r="B1398" t="s">
        <v>681</v>
      </c>
      <c r="C1398" t="s">
        <v>4447</v>
      </c>
      <c r="D1398" t="s">
        <v>16194</v>
      </c>
      <c r="E1398" t="s">
        <v>17596</v>
      </c>
      <c r="F1398" t="s">
        <v>28198</v>
      </c>
      <c r="G1398" t="s">
        <v>28206</v>
      </c>
      <c r="H1398" t="s">
        <v>28215</v>
      </c>
      <c r="I1398" t="s">
        <v>28232</v>
      </c>
      <c r="J1398" t="s">
        <v>29352</v>
      </c>
      <c r="K1398" t="s">
        <v>36708</v>
      </c>
      <c r="M1398" t="s">
        <v>37679</v>
      </c>
      <c r="N1398" t="s">
        <v>40436</v>
      </c>
      <c r="O1398" t="s">
        <v>40437</v>
      </c>
      <c r="P1398">
        <v>0</v>
      </c>
      <c r="Q1398">
        <v>1</v>
      </c>
      <c r="R1398" t="s">
        <v>40438</v>
      </c>
      <c r="S1398" t="s">
        <v>40582</v>
      </c>
      <c r="T1398" t="s">
        <v>42124</v>
      </c>
      <c r="U1398" t="s">
        <v>43853</v>
      </c>
      <c r="W1398" t="s">
        <v>37679</v>
      </c>
      <c r="X1398" t="s">
        <v>40439</v>
      </c>
    </row>
    <row r="1399" spans="1:24">
      <c r="A1399">
        <f>HYPERLINK("https://www.philgeps.gov.ph/GEPSNONPILOT/Tender/SplashBidNoticeAbstractUI.aspx?menuIndex=3&amp;refID=7048611&amp;Result=3","7048611")</f>
        <v>0</v>
      </c>
      <c r="B1399" t="s">
        <v>607</v>
      </c>
      <c r="C1399" t="s">
        <v>4448</v>
      </c>
      <c r="D1399" t="s">
        <v>16232</v>
      </c>
      <c r="E1399" t="s">
        <v>17597</v>
      </c>
      <c r="F1399" t="s">
        <v>28198</v>
      </c>
      <c r="G1399" t="s">
        <v>28207</v>
      </c>
      <c r="H1399" t="s">
        <v>28215</v>
      </c>
      <c r="I1399" t="s">
        <v>28238</v>
      </c>
      <c r="J1399" t="s">
        <v>29353</v>
      </c>
      <c r="K1399" t="s">
        <v>36687</v>
      </c>
      <c r="M1399" t="s">
        <v>37598</v>
      </c>
      <c r="N1399" t="s">
        <v>40436</v>
      </c>
      <c r="O1399" t="s">
        <v>40437</v>
      </c>
      <c r="P1399">
        <v>0</v>
      </c>
      <c r="Q1399">
        <v>0</v>
      </c>
      <c r="R1399" t="s">
        <v>40438</v>
      </c>
      <c r="S1399" t="s">
        <v>40582</v>
      </c>
      <c r="T1399" t="s">
        <v>42129</v>
      </c>
      <c r="U1399" t="s">
        <v>43854</v>
      </c>
      <c r="W1399" t="s">
        <v>37598</v>
      </c>
      <c r="X1399" t="s">
        <v>40439</v>
      </c>
    </row>
    <row r="1400" spans="1:24">
      <c r="A1400">
        <f>HYPERLINK("https://www.philgeps.gov.ph/GEPSNONPILOT/Tender/SplashBidNoticeAbstractUI.aspx?menuIndex=3&amp;refID=7048608&amp;Result=3","7048608")</f>
        <v>0</v>
      </c>
      <c r="B1400" t="s">
        <v>682</v>
      </c>
      <c r="C1400" t="s">
        <v>4449</v>
      </c>
      <c r="D1400" t="s">
        <v>16221</v>
      </c>
      <c r="E1400" t="s">
        <v>17598</v>
      </c>
      <c r="F1400" t="s">
        <v>28198</v>
      </c>
      <c r="G1400" t="s">
        <v>28206</v>
      </c>
      <c r="H1400" t="s">
        <v>28215</v>
      </c>
      <c r="I1400" t="s">
        <v>5082</v>
      </c>
      <c r="J1400" t="s">
        <v>28878</v>
      </c>
      <c r="K1400" t="s">
        <v>36698</v>
      </c>
      <c r="M1400" t="s">
        <v>37680</v>
      </c>
      <c r="N1400" t="s">
        <v>40436</v>
      </c>
      <c r="O1400" t="s">
        <v>40437</v>
      </c>
      <c r="P1400">
        <v>0</v>
      </c>
      <c r="Q1400">
        <v>0</v>
      </c>
      <c r="R1400" t="s">
        <v>40438</v>
      </c>
      <c r="S1400" t="s">
        <v>40582</v>
      </c>
      <c r="T1400" t="s">
        <v>42245</v>
      </c>
      <c r="U1400" t="s">
        <v>43855</v>
      </c>
      <c r="W1400" t="s">
        <v>37680</v>
      </c>
      <c r="X1400" t="s">
        <v>40439</v>
      </c>
    </row>
    <row r="1401" spans="1:24">
      <c r="A1401">
        <f>HYPERLINK("https://www.philgeps.gov.ph/GEPSNONPILOT/Tender/SplashBidNoticeAbstractUI.aspx?menuIndex=3&amp;refID=7048612&amp;Result=3","7048612")</f>
        <v>0</v>
      </c>
      <c r="B1401" t="s">
        <v>675</v>
      </c>
      <c r="C1401" t="s">
        <v>4450</v>
      </c>
      <c r="D1401" t="s">
        <v>16241</v>
      </c>
      <c r="E1401" t="s">
        <v>17599</v>
      </c>
      <c r="F1401" t="s">
        <v>28198</v>
      </c>
      <c r="G1401" t="s">
        <v>28205</v>
      </c>
      <c r="H1401" t="s">
        <v>28215</v>
      </c>
      <c r="I1401" t="s">
        <v>8888</v>
      </c>
      <c r="J1401" t="s">
        <v>29354</v>
      </c>
      <c r="K1401" t="s">
        <v>36701</v>
      </c>
      <c r="M1401" t="s">
        <v>37672</v>
      </c>
      <c r="N1401" t="s">
        <v>40436</v>
      </c>
      <c r="O1401" t="s">
        <v>40437</v>
      </c>
      <c r="P1401">
        <v>0</v>
      </c>
      <c r="Q1401">
        <v>2</v>
      </c>
      <c r="R1401" t="s">
        <v>40438</v>
      </c>
      <c r="S1401" t="s">
        <v>40582</v>
      </c>
      <c r="T1401" t="s">
        <v>42254</v>
      </c>
      <c r="U1401" t="s">
        <v>43856</v>
      </c>
      <c r="W1401" t="s">
        <v>37672</v>
      </c>
      <c r="X1401" t="s">
        <v>40439</v>
      </c>
    </row>
    <row r="1402" spans="1:24">
      <c r="A1402">
        <f>HYPERLINK("https://www.philgeps.gov.ph/GEPSNONPILOT/Tender/SplashBidNoticeAbstractUI.aspx?menuIndex=3&amp;refID=7048614&amp;Result=3","7048614")</f>
        <v>0</v>
      </c>
      <c r="B1402" t="s">
        <v>676</v>
      </c>
      <c r="C1402" t="s">
        <v>4451</v>
      </c>
      <c r="D1402" t="s">
        <v>16241</v>
      </c>
      <c r="E1402" t="s">
        <v>17600</v>
      </c>
      <c r="F1402" t="s">
        <v>28198</v>
      </c>
      <c r="G1402" t="s">
        <v>28207</v>
      </c>
      <c r="H1402" t="s">
        <v>28215</v>
      </c>
      <c r="I1402" t="s">
        <v>6013</v>
      </c>
      <c r="J1402" t="s">
        <v>29355</v>
      </c>
      <c r="K1402" t="s">
        <v>36705</v>
      </c>
      <c r="M1402" t="s">
        <v>37674</v>
      </c>
      <c r="N1402" t="s">
        <v>40436</v>
      </c>
      <c r="O1402" t="s">
        <v>40437</v>
      </c>
      <c r="P1402">
        <v>0</v>
      </c>
      <c r="Q1402">
        <v>0</v>
      </c>
      <c r="R1402" t="s">
        <v>40438</v>
      </c>
      <c r="S1402" t="s">
        <v>40582</v>
      </c>
      <c r="T1402" t="s">
        <v>42119</v>
      </c>
      <c r="U1402" t="s">
        <v>43841</v>
      </c>
      <c r="W1402" t="s">
        <v>37674</v>
      </c>
      <c r="X1402" t="s">
        <v>40439</v>
      </c>
    </row>
    <row r="1403" spans="1:24">
      <c r="A1403">
        <f>HYPERLINK("https://www.philgeps.gov.ph/GEPSNONPILOT/Tender/SplashBidNoticeAbstractUI.aspx?menuIndex=3&amp;refID=7048625&amp;Result=3","7048625")</f>
        <v>0</v>
      </c>
      <c r="B1403" t="s">
        <v>588</v>
      </c>
      <c r="C1403" t="s">
        <v>4452</v>
      </c>
      <c r="D1403" t="s">
        <v>16197</v>
      </c>
      <c r="E1403" t="s">
        <v>17543</v>
      </c>
      <c r="F1403" t="s">
        <v>28198</v>
      </c>
      <c r="G1403" t="s">
        <v>28205</v>
      </c>
      <c r="H1403" t="s">
        <v>28215</v>
      </c>
      <c r="I1403" t="s">
        <v>28224</v>
      </c>
      <c r="J1403" t="s">
        <v>29250</v>
      </c>
      <c r="K1403" t="s">
        <v>36706</v>
      </c>
      <c r="M1403" t="s">
        <v>37577</v>
      </c>
      <c r="N1403" t="s">
        <v>40436</v>
      </c>
      <c r="O1403" t="s">
        <v>40437</v>
      </c>
      <c r="P1403">
        <v>0</v>
      </c>
      <c r="Q1403">
        <v>0</v>
      </c>
      <c r="R1403" t="s">
        <v>40438</v>
      </c>
      <c r="S1403" t="s">
        <v>40582</v>
      </c>
      <c r="T1403" t="s">
        <v>42213</v>
      </c>
      <c r="U1403" t="s">
        <v>43857</v>
      </c>
      <c r="W1403" t="s">
        <v>37577</v>
      </c>
      <c r="X1403" t="s">
        <v>40439</v>
      </c>
    </row>
    <row r="1404" spans="1:24">
      <c r="A1404">
        <f>HYPERLINK("https://www.philgeps.gov.ph/GEPSNONPILOT/Tender/SplashBidNoticeAbstractUI.aspx?menuIndex=3&amp;refID=7048622&amp;Result=3","7048622")</f>
        <v>0</v>
      </c>
      <c r="B1404" t="s">
        <v>380</v>
      </c>
      <c r="C1404" t="s">
        <v>3797</v>
      </c>
      <c r="D1404" t="s">
        <v>16256</v>
      </c>
      <c r="E1404" t="s">
        <v>17601</v>
      </c>
      <c r="F1404" t="s">
        <v>28198</v>
      </c>
      <c r="G1404" t="s">
        <v>28205</v>
      </c>
      <c r="H1404" t="s">
        <v>28214</v>
      </c>
      <c r="I1404" t="s">
        <v>3797</v>
      </c>
      <c r="J1404" t="s">
        <v>29356</v>
      </c>
      <c r="K1404" t="s">
        <v>36689</v>
      </c>
      <c r="M1404" t="s">
        <v>37360</v>
      </c>
      <c r="N1404" t="s">
        <v>40436</v>
      </c>
      <c r="O1404" t="s">
        <v>40437</v>
      </c>
      <c r="P1404">
        <v>0</v>
      </c>
      <c r="Q1404">
        <v>0</v>
      </c>
      <c r="R1404" t="s">
        <v>40438</v>
      </c>
      <c r="S1404" t="s">
        <v>40582</v>
      </c>
      <c r="T1404" t="s">
        <v>42115</v>
      </c>
      <c r="U1404" t="s">
        <v>43858</v>
      </c>
      <c r="W1404" t="s">
        <v>37360</v>
      </c>
      <c r="X1404" t="s">
        <v>40439</v>
      </c>
    </row>
    <row r="1405" spans="1:24">
      <c r="A1405">
        <f>HYPERLINK("https://www.philgeps.gov.ph/GEPSNONPILOT/Tender/SplashBidNoticeAbstractUI.aspx?menuIndex=3&amp;refID=7048613&amp;Result=3","7048613")</f>
        <v>0</v>
      </c>
      <c r="B1405" t="s">
        <v>683</v>
      </c>
      <c r="C1405" t="s">
        <v>4453</v>
      </c>
      <c r="D1405" t="s">
        <v>16196</v>
      </c>
      <c r="E1405" t="s">
        <v>17602</v>
      </c>
      <c r="F1405" t="s">
        <v>28198</v>
      </c>
      <c r="G1405" t="s">
        <v>28205</v>
      </c>
      <c r="H1405" t="s">
        <v>28215</v>
      </c>
      <c r="I1405" t="s">
        <v>28259</v>
      </c>
      <c r="J1405" t="s">
        <v>29357</v>
      </c>
      <c r="K1405" t="s">
        <v>36701</v>
      </c>
      <c r="M1405" t="s">
        <v>37681</v>
      </c>
      <c r="N1405" t="s">
        <v>40436</v>
      </c>
      <c r="O1405" t="s">
        <v>40437</v>
      </c>
      <c r="P1405">
        <v>0</v>
      </c>
      <c r="Q1405">
        <v>1</v>
      </c>
      <c r="R1405" t="s">
        <v>40438</v>
      </c>
      <c r="S1405" t="s">
        <v>40582</v>
      </c>
      <c r="T1405" t="s">
        <v>42272</v>
      </c>
      <c r="U1405" t="s">
        <v>43859</v>
      </c>
      <c r="W1405" t="s">
        <v>37681</v>
      </c>
      <c r="X1405" t="s">
        <v>40439</v>
      </c>
    </row>
    <row r="1406" spans="1:24">
      <c r="A1406">
        <f>HYPERLINK("https://www.philgeps.gov.ph/GEPSNONPILOT/Tender/SplashBidNoticeAbstractUI.aspx?menuIndex=3&amp;refID=7048630&amp;Result=3","7048630")</f>
        <v>0</v>
      </c>
      <c r="B1406" t="s">
        <v>676</v>
      </c>
      <c r="C1406" t="s">
        <v>4454</v>
      </c>
      <c r="D1406" t="s">
        <v>16241</v>
      </c>
      <c r="E1406" t="s">
        <v>17603</v>
      </c>
      <c r="F1406" t="s">
        <v>28198</v>
      </c>
      <c r="G1406" t="s">
        <v>28207</v>
      </c>
      <c r="H1406" t="s">
        <v>28215</v>
      </c>
      <c r="I1406" t="s">
        <v>6013</v>
      </c>
      <c r="J1406" t="s">
        <v>29358</v>
      </c>
      <c r="K1406" t="s">
        <v>36701</v>
      </c>
      <c r="M1406" t="s">
        <v>37674</v>
      </c>
      <c r="N1406" t="s">
        <v>40436</v>
      </c>
      <c r="O1406" t="s">
        <v>40437</v>
      </c>
      <c r="P1406">
        <v>0</v>
      </c>
      <c r="Q1406">
        <v>0</v>
      </c>
      <c r="R1406" t="s">
        <v>40438</v>
      </c>
      <c r="S1406" t="s">
        <v>40582</v>
      </c>
      <c r="T1406" t="s">
        <v>42119</v>
      </c>
      <c r="U1406" t="s">
        <v>43841</v>
      </c>
      <c r="W1406" t="s">
        <v>37674</v>
      </c>
      <c r="X1406" t="s">
        <v>40439</v>
      </c>
    </row>
    <row r="1407" spans="1:24">
      <c r="A1407">
        <f>HYPERLINK("https://www.philgeps.gov.ph/GEPSNONPILOT/Tender/SplashBidNoticeAbstractUI.aspx?menuIndex=3&amp;refID=7048624&amp;Result=3","7048624")</f>
        <v>0</v>
      </c>
      <c r="B1407" t="s">
        <v>684</v>
      </c>
      <c r="C1407" t="s">
        <v>4455</v>
      </c>
      <c r="D1407" t="s">
        <v>16210</v>
      </c>
      <c r="E1407" t="s">
        <v>16646</v>
      </c>
      <c r="F1407" t="s">
        <v>28198</v>
      </c>
      <c r="G1407" t="s">
        <v>28207</v>
      </c>
      <c r="H1407" t="s">
        <v>28215</v>
      </c>
      <c r="I1407" t="s">
        <v>28234</v>
      </c>
      <c r="J1407" t="s">
        <v>29190</v>
      </c>
      <c r="K1407" t="s">
        <v>36689</v>
      </c>
      <c r="M1407" t="s">
        <v>37682</v>
      </c>
      <c r="N1407" t="s">
        <v>40436</v>
      </c>
      <c r="O1407" t="s">
        <v>40437</v>
      </c>
      <c r="P1407">
        <v>0</v>
      </c>
      <c r="Q1407">
        <v>11</v>
      </c>
      <c r="R1407" t="s">
        <v>40438</v>
      </c>
      <c r="S1407" t="s">
        <v>40582</v>
      </c>
      <c r="T1407" t="s">
        <v>42119</v>
      </c>
      <c r="U1407" t="s">
        <v>43860</v>
      </c>
      <c r="V1407" t="s">
        <v>53949</v>
      </c>
      <c r="W1407" t="s">
        <v>37682</v>
      </c>
      <c r="X1407" t="s">
        <v>40439</v>
      </c>
    </row>
    <row r="1408" spans="1:24">
      <c r="A1408">
        <f>HYPERLINK("https://www.philgeps.gov.ph/GEPSNONPILOT/Tender/SplashBidNoticeAbstractUI.aspx?menuIndex=3&amp;refID=7048620&amp;Result=3","7048620")</f>
        <v>0</v>
      </c>
      <c r="B1408" t="s">
        <v>378</v>
      </c>
      <c r="C1408" t="s">
        <v>4456</v>
      </c>
      <c r="D1408" t="s">
        <v>16187</v>
      </c>
      <c r="E1408" t="s">
        <v>17604</v>
      </c>
      <c r="F1408" t="s">
        <v>28198</v>
      </c>
      <c r="G1408" t="s">
        <v>28205</v>
      </c>
      <c r="H1408" t="s">
        <v>28215</v>
      </c>
      <c r="I1408" t="s">
        <v>28294</v>
      </c>
      <c r="J1408" t="s">
        <v>28347</v>
      </c>
      <c r="K1408" t="s">
        <v>36689</v>
      </c>
      <c r="M1408" t="s">
        <v>37683</v>
      </c>
      <c r="N1408" t="s">
        <v>40436</v>
      </c>
      <c r="O1408" t="s">
        <v>40437</v>
      </c>
      <c r="P1408">
        <v>0</v>
      </c>
      <c r="Q1408">
        <v>0</v>
      </c>
      <c r="R1408" t="s">
        <v>40438</v>
      </c>
      <c r="S1408" t="s">
        <v>40582</v>
      </c>
      <c r="T1408" t="s">
        <v>42098</v>
      </c>
      <c r="U1408" t="s">
        <v>43861</v>
      </c>
      <c r="W1408" t="s">
        <v>37683</v>
      </c>
      <c r="X1408" t="s">
        <v>40439</v>
      </c>
    </row>
    <row r="1409" spans="1:24">
      <c r="A1409">
        <f>HYPERLINK("https://www.philgeps.gov.ph/GEPSNONPILOT/Tender/SplashBidNoticeAbstractUI.aspx?menuIndex=3&amp;refID=7048609&amp;Result=3","7048609")</f>
        <v>0</v>
      </c>
      <c r="B1409" t="s">
        <v>685</v>
      </c>
      <c r="C1409" t="s">
        <v>4457</v>
      </c>
      <c r="D1409" t="s">
        <v>16199</v>
      </c>
      <c r="E1409" t="s">
        <v>17605</v>
      </c>
      <c r="F1409" t="s">
        <v>28198</v>
      </c>
      <c r="G1409" t="s">
        <v>28205</v>
      </c>
      <c r="H1409" t="s">
        <v>28215</v>
      </c>
      <c r="I1409" t="s">
        <v>3797</v>
      </c>
      <c r="J1409" t="s">
        <v>28378</v>
      </c>
      <c r="K1409" t="s">
        <v>36699</v>
      </c>
      <c r="M1409" t="s">
        <v>37684</v>
      </c>
      <c r="N1409" t="s">
        <v>40436</v>
      </c>
      <c r="O1409" t="s">
        <v>40437</v>
      </c>
      <c r="P1409">
        <v>0</v>
      </c>
      <c r="Q1409">
        <v>0</v>
      </c>
      <c r="R1409" t="s">
        <v>40438</v>
      </c>
      <c r="S1409" t="s">
        <v>40582</v>
      </c>
      <c r="T1409" t="s">
        <v>42188</v>
      </c>
      <c r="U1409" t="s">
        <v>43862</v>
      </c>
      <c r="W1409" t="s">
        <v>37684</v>
      </c>
      <c r="X1409" t="s">
        <v>40439</v>
      </c>
    </row>
    <row r="1410" spans="1:24">
      <c r="A1410">
        <f>HYPERLINK("https://www.philgeps.gov.ph/GEPSNONPILOT/Tender/SplashBidNoticeAbstractUI.aspx?menuIndex=3&amp;refID=7048621&amp;Result=3","7048621")</f>
        <v>0</v>
      </c>
      <c r="B1410" t="s">
        <v>686</v>
      </c>
      <c r="C1410" t="s">
        <v>4458</v>
      </c>
      <c r="D1410" t="s">
        <v>16195</v>
      </c>
      <c r="E1410" t="s">
        <v>17606</v>
      </c>
      <c r="F1410" t="s">
        <v>28198</v>
      </c>
      <c r="G1410" t="s">
        <v>28207</v>
      </c>
      <c r="H1410" t="s">
        <v>28215</v>
      </c>
      <c r="I1410" t="s">
        <v>5100</v>
      </c>
      <c r="J1410" t="s">
        <v>29359</v>
      </c>
      <c r="K1410" t="s">
        <v>36689</v>
      </c>
      <c r="M1410" t="s">
        <v>37685</v>
      </c>
      <c r="N1410" t="s">
        <v>40436</v>
      </c>
      <c r="O1410" t="s">
        <v>40437</v>
      </c>
      <c r="P1410">
        <v>0</v>
      </c>
      <c r="Q1410">
        <v>0</v>
      </c>
      <c r="R1410" t="s">
        <v>40438</v>
      </c>
      <c r="S1410" t="s">
        <v>40582</v>
      </c>
      <c r="T1410" t="s">
        <v>42142</v>
      </c>
      <c r="U1410" t="s">
        <v>43863</v>
      </c>
      <c r="V1410" t="s">
        <v>53950</v>
      </c>
      <c r="W1410" t="s">
        <v>37685</v>
      </c>
      <c r="X1410" t="s">
        <v>40439</v>
      </c>
    </row>
    <row r="1411" spans="1:24">
      <c r="A1411">
        <f>HYPERLINK("https://www.philgeps.gov.ph/GEPSNONPILOT/Tender/SplashBidNoticeAbstractUI.aspx?menuIndex=3&amp;refID=7048616&amp;Result=3","7048616")</f>
        <v>0</v>
      </c>
      <c r="B1411" t="s">
        <v>219</v>
      </c>
      <c r="C1411" t="s">
        <v>4459</v>
      </c>
      <c r="D1411" t="s">
        <v>16199</v>
      </c>
      <c r="E1411" t="s">
        <v>17607</v>
      </c>
      <c r="F1411" t="s">
        <v>28198</v>
      </c>
      <c r="G1411" t="s">
        <v>28205</v>
      </c>
      <c r="H1411" t="s">
        <v>28214</v>
      </c>
      <c r="I1411" t="s">
        <v>3797</v>
      </c>
      <c r="J1411" t="s">
        <v>29360</v>
      </c>
      <c r="K1411" t="s">
        <v>36751</v>
      </c>
      <c r="M1411" t="s">
        <v>37195</v>
      </c>
      <c r="N1411" t="s">
        <v>40436</v>
      </c>
      <c r="O1411" t="s">
        <v>40437</v>
      </c>
      <c r="P1411">
        <v>0</v>
      </c>
      <c r="Q1411">
        <v>0</v>
      </c>
      <c r="R1411" t="s">
        <v>40438</v>
      </c>
      <c r="S1411" t="s">
        <v>40582</v>
      </c>
      <c r="T1411" t="s">
        <v>42115</v>
      </c>
      <c r="U1411" t="s">
        <v>43864</v>
      </c>
      <c r="W1411" t="s">
        <v>37195</v>
      </c>
      <c r="X1411" t="s">
        <v>40439</v>
      </c>
    </row>
    <row r="1412" spans="1:24">
      <c r="A1412">
        <f>HYPERLINK("https://www.philgeps.gov.ph/GEPSNONPILOT/Tender/SplashBidNoticeAbstractUI.aspx?menuIndex=3&amp;refID=7048619&amp;Result=3","7048619")</f>
        <v>0</v>
      </c>
      <c r="B1412" t="s">
        <v>687</v>
      </c>
      <c r="C1412" t="s">
        <v>4460</v>
      </c>
      <c r="D1412" t="s">
        <v>16209</v>
      </c>
      <c r="E1412" t="s">
        <v>17608</v>
      </c>
      <c r="F1412" t="s">
        <v>28198</v>
      </c>
      <c r="G1412" t="s">
        <v>28207</v>
      </c>
      <c r="H1412" t="s">
        <v>28215</v>
      </c>
      <c r="I1412" t="s">
        <v>28262</v>
      </c>
      <c r="J1412" t="s">
        <v>28702</v>
      </c>
      <c r="K1412" t="s">
        <v>36689</v>
      </c>
      <c r="M1412" t="s">
        <v>37686</v>
      </c>
      <c r="N1412" t="s">
        <v>40436</v>
      </c>
      <c r="O1412" t="s">
        <v>40437</v>
      </c>
      <c r="P1412">
        <v>0</v>
      </c>
      <c r="Q1412">
        <v>0</v>
      </c>
      <c r="R1412" t="s">
        <v>40438</v>
      </c>
      <c r="S1412" t="s">
        <v>40582</v>
      </c>
      <c r="T1412" t="s">
        <v>42200</v>
      </c>
      <c r="U1412" t="s">
        <v>43865</v>
      </c>
      <c r="W1412" t="s">
        <v>37686</v>
      </c>
      <c r="X1412" t="s">
        <v>40439</v>
      </c>
    </row>
    <row r="1413" spans="1:24">
      <c r="A1413">
        <f>HYPERLINK("https://www.philgeps.gov.ph/GEPSNONPILOT/Tender/SplashBidNoticeAbstractUI.aspx?menuIndex=3&amp;refID=7048629&amp;Result=3","7048629")</f>
        <v>0</v>
      </c>
      <c r="B1413" t="s">
        <v>688</v>
      </c>
      <c r="C1413" t="s">
        <v>4461</v>
      </c>
      <c r="D1413" t="s">
        <v>16230</v>
      </c>
      <c r="E1413" t="s">
        <v>17609</v>
      </c>
      <c r="F1413" t="s">
        <v>28198</v>
      </c>
      <c r="G1413" t="s">
        <v>28206</v>
      </c>
      <c r="H1413" t="s">
        <v>28215</v>
      </c>
      <c r="I1413" t="s">
        <v>4219</v>
      </c>
      <c r="J1413" t="s">
        <v>29361</v>
      </c>
      <c r="K1413" t="s">
        <v>36707</v>
      </c>
      <c r="M1413" t="s">
        <v>37687</v>
      </c>
      <c r="N1413" t="s">
        <v>40436</v>
      </c>
      <c r="O1413" t="s">
        <v>40437</v>
      </c>
      <c r="P1413">
        <v>0</v>
      </c>
      <c r="Q1413">
        <v>0</v>
      </c>
      <c r="R1413" t="s">
        <v>40438</v>
      </c>
      <c r="S1413" t="s">
        <v>40582</v>
      </c>
      <c r="T1413" t="s">
        <v>42229</v>
      </c>
      <c r="U1413" t="s">
        <v>43866</v>
      </c>
      <c r="W1413" t="s">
        <v>37687</v>
      </c>
      <c r="X1413" t="s">
        <v>40439</v>
      </c>
    </row>
    <row r="1414" spans="1:24">
      <c r="A1414">
        <f>HYPERLINK("https://www.philgeps.gov.ph/GEPSNONPILOT/Tender/SplashBidNoticeAbstractUI.aspx?menuIndex=3&amp;refID=7048615&amp;Result=3","7048615")</f>
        <v>0</v>
      </c>
      <c r="B1414" t="s">
        <v>689</v>
      </c>
      <c r="C1414" t="s">
        <v>4462</v>
      </c>
      <c r="D1414" t="s">
        <v>16211</v>
      </c>
      <c r="E1414" t="s">
        <v>17610</v>
      </c>
      <c r="F1414" t="s">
        <v>28198</v>
      </c>
      <c r="G1414" t="s">
        <v>28207</v>
      </c>
      <c r="H1414" t="s">
        <v>28215</v>
      </c>
      <c r="I1414" t="s">
        <v>5100</v>
      </c>
      <c r="J1414" t="s">
        <v>29362</v>
      </c>
      <c r="K1414" t="s">
        <v>36689</v>
      </c>
      <c r="M1414" t="s">
        <v>37688</v>
      </c>
      <c r="N1414" t="s">
        <v>40436</v>
      </c>
      <c r="O1414" t="s">
        <v>40437</v>
      </c>
      <c r="P1414">
        <v>0</v>
      </c>
      <c r="Q1414">
        <v>0</v>
      </c>
      <c r="R1414" t="s">
        <v>40438</v>
      </c>
      <c r="S1414" t="s">
        <v>40582</v>
      </c>
      <c r="T1414" t="s">
        <v>42111</v>
      </c>
      <c r="U1414" t="s">
        <v>43867</v>
      </c>
      <c r="W1414" t="s">
        <v>37688</v>
      </c>
      <c r="X1414" t="s">
        <v>40439</v>
      </c>
    </row>
    <row r="1415" spans="1:24">
      <c r="A1415">
        <f>HYPERLINK("https://www.philgeps.gov.ph/GEPSNONPILOT/Tender/SplashBidNoticeAbstractUI.aspx?menuIndex=3&amp;refID=7048635&amp;Result=3","7048635")</f>
        <v>0</v>
      </c>
      <c r="B1415" t="s">
        <v>690</v>
      </c>
      <c r="C1415" t="s">
        <v>4463</v>
      </c>
      <c r="D1415" t="s">
        <v>16260</v>
      </c>
      <c r="E1415" t="s">
        <v>17611</v>
      </c>
      <c r="F1415" t="s">
        <v>28198</v>
      </c>
      <c r="G1415" t="s">
        <v>28210</v>
      </c>
      <c r="H1415" t="s">
        <v>28215</v>
      </c>
      <c r="I1415" t="s">
        <v>28234</v>
      </c>
      <c r="J1415" t="s">
        <v>28416</v>
      </c>
      <c r="K1415" t="s">
        <v>36701</v>
      </c>
      <c r="M1415" t="s">
        <v>37689</v>
      </c>
      <c r="N1415" t="s">
        <v>40436</v>
      </c>
      <c r="O1415" t="s">
        <v>40437</v>
      </c>
      <c r="P1415">
        <v>0</v>
      </c>
      <c r="Q1415">
        <v>0</v>
      </c>
      <c r="R1415" t="s">
        <v>40438</v>
      </c>
      <c r="S1415" t="s">
        <v>40582</v>
      </c>
      <c r="T1415" t="s">
        <v>42119</v>
      </c>
      <c r="U1415" t="s">
        <v>43868</v>
      </c>
      <c r="W1415" t="s">
        <v>37689</v>
      </c>
      <c r="X1415" t="s">
        <v>40439</v>
      </c>
    </row>
    <row r="1416" spans="1:24">
      <c r="A1416">
        <f>HYPERLINK("https://www.philgeps.gov.ph/GEPSNONPILOT/Tender/SplashBidNoticeAbstractUI.aspx?menuIndex=3&amp;refID=7048638&amp;Result=3","7048638")</f>
        <v>0</v>
      </c>
      <c r="B1416" t="s">
        <v>152</v>
      </c>
      <c r="C1416" t="s">
        <v>4464</v>
      </c>
      <c r="D1416" t="s">
        <v>16210</v>
      </c>
      <c r="E1416" t="s">
        <v>17612</v>
      </c>
      <c r="F1416" t="s">
        <v>28198</v>
      </c>
      <c r="G1416" t="s">
        <v>28207</v>
      </c>
      <c r="H1416" t="s">
        <v>28215</v>
      </c>
      <c r="I1416" t="s">
        <v>5071</v>
      </c>
      <c r="J1416" t="s">
        <v>29363</v>
      </c>
      <c r="K1416" t="s">
        <v>36701</v>
      </c>
      <c r="M1416" t="s">
        <v>37126</v>
      </c>
      <c r="N1416" t="s">
        <v>40436</v>
      </c>
      <c r="O1416" t="s">
        <v>40437</v>
      </c>
      <c r="P1416">
        <v>0</v>
      </c>
      <c r="Q1416">
        <v>4</v>
      </c>
      <c r="R1416" t="s">
        <v>40438</v>
      </c>
      <c r="S1416" t="s">
        <v>40582</v>
      </c>
      <c r="T1416" t="s">
        <v>42159</v>
      </c>
      <c r="U1416" t="s">
        <v>43869</v>
      </c>
      <c r="W1416" t="s">
        <v>37126</v>
      </c>
      <c r="X1416" t="s">
        <v>40439</v>
      </c>
    </row>
    <row r="1417" spans="1:24">
      <c r="A1417">
        <f>HYPERLINK("https://www.philgeps.gov.ph/GEPSNONPILOT/Tender/SplashBidNoticeAbstractUI.aspx?menuIndex=3&amp;refID=7048632&amp;Result=3","7048632")</f>
        <v>0</v>
      </c>
      <c r="B1417" t="s">
        <v>674</v>
      </c>
      <c r="C1417" t="s">
        <v>4465</v>
      </c>
      <c r="D1417" t="s">
        <v>16218</v>
      </c>
      <c r="E1417" t="s">
        <v>17613</v>
      </c>
      <c r="F1417" t="s">
        <v>28198</v>
      </c>
      <c r="G1417" t="s">
        <v>28207</v>
      </c>
      <c r="H1417" t="s">
        <v>28215</v>
      </c>
      <c r="I1417" t="s">
        <v>28238</v>
      </c>
      <c r="J1417" t="s">
        <v>29364</v>
      </c>
      <c r="K1417" t="s">
        <v>36701</v>
      </c>
      <c r="M1417" t="s">
        <v>37671</v>
      </c>
      <c r="N1417" t="s">
        <v>40436</v>
      </c>
      <c r="O1417" t="s">
        <v>40437</v>
      </c>
      <c r="P1417">
        <v>0</v>
      </c>
      <c r="Q1417">
        <v>2</v>
      </c>
      <c r="R1417" t="s">
        <v>40438</v>
      </c>
      <c r="S1417" t="s">
        <v>40582</v>
      </c>
      <c r="T1417" t="s">
        <v>42115</v>
      </c>
      <c r="U1417" t="s">
        <v>43834</v>
      </c>
      <c r="W1417" t="s">
        <v>37671</v>
      </c>
      <c r="X1417" t="s">
        <v>40439</v>
      </c>
    </row>
    <row r="1418" spans="1:24">
      <c r="A1418">
        <f>HYPERLINK("https://www.philgeps.gov.ph/GEPSNONPILOT/Tender/SplashBidNoticeAbstractUI.aspx?menuIndex=3&amp;refID=7048628&amp;Result=3","7048628")</f>
        <v>0</v>
      </c>
      <c r="B1418" t="s">
        <v>668</v>
      </c>
      <c r="C1418" t="s">
        <v>4466</v>
      </c>
      <c r="D1418" t="s">
        <v>16223</v>
      </c>
      <c r="E1418" t="s">
        <v>17614</v>
      </c>
      <c r="F1418" t="s">
        <v>28198</v>
      </c>
      <c r="G1418" t="s">
        <v>28207</v>
      </c>
      <c r="H1418" t="s">
        <v>28215</v>
      </c>
      <c r="I1418" t="s">
        <v>5071</v>
      </c>
      <c r="J1418" t="s">
        <v>28878</v>
      </c>
      <c r="K1418" t="s">
        <v>36689</v>
      </c>
      <c r="M1418" t="s">
        <v>37664</v>
      </c>
      <c r="N1418" t="s">
        <v>40436</v>
      </c>
      <c r="O1418" t="s">
        <v>40437</v>
      </c>
      <c r="P1418">
        <v>0</v>
      </c>
      <c r="Q1418">
        <v>0</v>
      </c>
      <c r="R1418" t="s">
        <v>40438</v>
      </c>
      <c r="S1418" t="s">
        <v>40582</v>
      </c>
      <c r="T1418" t="s">
        <v>42103</v>
      </c>
      <c r="U1418" t="s">
        <v>43870</v>
      </c>
      <c r="W1418" t="s">
        <v>37664</v>
      </c>
      <c r="X1418" t="s">
        <v>40439</v>
      </c>
    </row>
    <row r="1419" spans="1:24">
      <c r="A1419">
        <f>HYPERLINK("https://www.philgeps.gov.ph/GEPSNONPILOT/Tender/SplashBidNoticeAbstractUI.aspx?menuIndex=3&amp;refID=7048637&amp;Result=3","7048637")</f>
        <v>0</v>
      </c>
      <c r="B1419" t="s">
        <v>691</v>
      </c>
      <c r="C1419" t="s">
        <v>4467</v>
      </c>
      <c r="D1419" t="s">
        <v>16254</v>
      </c>
      <c r="E1419" t="s">
        <v>17615</v>
      </c>
      <c r="F1419" t="s">
        <v>28198</v>
      </c>
      <c r="G1419" t="s">
        <v>28207</v>
      </c>
      <c r="H1419" t="s">
        <v>28215</v>
      </c>
      <c r="I1419" t="s">
        <v>28238</v>
      </c>
      <c r="J1419" t="s">
        <v>29365</v>
      </c>
      <c r="K1419" t="s">
        <v>36707</v>
      </c>
      <c r="M1419" t="s">
        <v>37690</v>
      </c>
      <c r="N1419" t="s">
        <v>40436</v>
      </c>
      <c r="O1419" t="s">
        <v>40437</v>
      </c>
      <c r="P1419">
        <v>0</v>
      </c>
      <c r="Q1419">
        <v>2</v>
      </c>
      <c r="R1419" t="s">
        <v>40438</v>
      </c>
      <c r="S1419" t="s">
        <v>40582</v>
      </c>
      <c r="T1419" t="s">
        <v>42112</v>
      </c>
      <c r="U1419" t="s">
        <v>43871</v>
      </c>
      <c r="W1419" t="s">
        <v>37690</v>
      </c>
      <c r="X1419" t="s">
        <v>40439</v>
      </c>
    </row>
    <row r="1420" spans="1:24">
      <c r="A1420">
        <f>HYPERLINK("https://www.philgeps.gov.ph/GEPSNONPILOT/Tender/SplashBidNoticeAbstractUI.aspx?menuIndex=3&amp;refID=7048633&amp;Result=3","7048633")</f>
        <v>0</v>
      </c>
      <c r="B1420" t="s">
        <v>658</v>
      </c>
      <c r="C1420" t="s">
        <v>4468</v>
      </c>
      <c r="D1420" t="s">
        <v>16264</v>
      </c>
      <c r="E1420" t="s">
        <v>17616</v>
      </c>
      <c r="F1420" t="s">
        <v>28198</v>
      </c>
      <c r="G1420" t="s">
        <v>28207</v>
      </c>
      <c r="H1420" t="s">
        <v>28215</v>
      </c>
      <c r="I1420" t="s">
        <v>5791</v>
      </c>
      <c r="J1420" t="s">
        <v>29366</v>
      </c>
      <c r="K1420" t="s">
        <v>36707</v>
      </c>
      <c r="M1420" t="s">
        <v>37654</v>
      </c>
      <c r="N1420" t="s">
        <v>40436</v>
      </c>
      <c r="O1420" t="s">
        <v>40437</v>
      </c>
      <c r="P1420">
        <v>0</v>
      </c>
      <c r="Q1420">
        <v>0</v>
      </c>
      <c r="R1420" t="s">
        <v>40438</v>
      </c>
      <c r="S1420" t="s">
        <v>40582</v>
      </c>
      <c r="T1420" t="s">
        <v>42266</v>
      </c>
      <c r="U1420" t="s">
        <v>43872</v>
      </c>
      <c r="W1420" t="s">
        <v>37654</v>
      </c>
      <c r="X1420" t="s">
        <v>40439</v>
      </c>
    </row>
    <row r="1421" spans="1:24">
      <c r="A1421">
        <f>HYPERLINK("https://www.philgeps.gov.ph/GEPSNONPILOT/Tender/SplashBidNoticeAbstractUI.aspx?menuIndex=3&amp;refID=7048626&amp;Result=3","7048626")</f>
        <v>0</v>
      </c>
      <c r="B1421" t="s">
        <v>533</v>
      </c>
      <c r="C1421" t="s">
        <v>4469</v>
      </c>
      <c r="D1421" t="s">
        <v>16190</v>
      </c>
      <c r="E1421" t="s">
        <v>16505</v>
      </c>
      <c r="F1421" t="s">
        <v>28198</v>
      </c>
      <c r="G1421" t="s">
        <v>28207</v>
      </c>
      <c r="H1421" t="s">
        <v>28215</v>
      </c>
      <c r="I1421" t="s">
        <v>4505</v>
      </c>
      <c r="J1421" t="s">
        <v>29367</v>
      </c>
      <c r="K1421" t="s">
        <v>36688</v>
      </c>
      <c r="M1421" t="s">
        <v>37519</v>
      </c>
      <c r="N1421" t="s">
        <v>40436</v>
      </c>
      <c r="O1421" t="s">
        <v>40437</v>
      </c>
      <c r="P1421">
        <v>0</v>
      </c>
      <c r="Q1421">
        <v>0</v>
      </c>
      <c r="R1421" t="s">
        <v>40438</v>
      </c>
      <c r="S1421" t="s">
        <v>40582</v>
      </c>
      <c r="T1421" t="s">
        <v>42142</v>
      </c>
      <c r="U1421" t="s">
        <v>43873</v>
      </c>
      <c r="W1421" t="s">
        <v>37519</v>
      </c>
      <c r="X1421" t="s">
        <v>40439</v>
      </c>
    </row>
    <row r="1422" spans="1:24">
      <c r="A1422">
        <f>HYPERLINK("https://www.philgeps.gov.ph/GEPSNONPILOT/Tender/SplashBidNoticeAbstractUI.aspx?menuIndex=3&amp;refID=7048648&amp;Result=3","7048648")</f>
        <v>0</v>
      </c>
      <c r="B1422" t="s">
        <v>197</v>
      </c>
      <c r="C1422" t="s">
        <v>4470</v>
      </c>
      <c r="D1422" t="s">
        <v>16196</v>
      </c>
      <c r="E1422" t="s">
        <v>17617</v>
      </c>
      <c r="F1422" t="s">
        <v>28198</v>
      </c>
      <c r="G1422" t="s">
        <v>28207</v>
      </c>
      <c r="H1422" t="s">
        <v>28215</v>
      </c>
      <c r="I1422" t="s">
        <v>5100</v>
      </c>
      <c r="J1422" t="s">
        <v>28804</v>
      </c>
      <c r="K1422" t="s">
        <v>36688</v>
      </c>
      <c r="M1422" t="s">
        <v>37172</v>
      </c>
      <c r="N1422" t="s">
        <v>40436</v>
      </c>
      <c r="O1422" t="s">
        <v>40437</v>
      </c>
      <c r="P1422">
        <v>0</v>
      </c>
      <c r="Q1422">
        <v>0</v>
      </c>
      <c r="R1422" t="s">
        <v>40438</v>
      </c>
      <c r="S1422" t="s">
        <v>40582</v>
      </c>
      <c r="T1422" t="s">
        <v>42273</v>
      </c>
      <c r="U1422" t="s">
        <v>43874</v>
      </c>
      <c r="V1422" t="s">
        <v>53951</v>
      </c>
      <c r="W1422" t="s">
        <v>37172</v>
      </c>
      <c r="X1422" t="s">
        <v>40439</v>
      </c>
    </row>
    <row r="1423" spans="1:24">
      <c r="A1423">
        <f>HYPERLINK("https://www.philgeps.gov.ph/GEPSNONPILOT/Tender/SplashBidNoticeAbstractUI.aspx?menuIndex=3&amp;refID=7048640&amp;Result=3","7048640")</f>
        <v>0</v>
      </c>
      <c r="B1423" t="s">
        <v>692</v>
      </c>
      <c r="C1423" t="s">
        <v>4471</v>
      </c>
      <c r="D1423" t="s">
        <v>16200</v>
      </c>
      <c r="E1423" t="s">
        <v>17618</v>
      </c>
      <c r="F1423" t="s">
        <v>28198</v>
      </c>
      <c r="G1423" t="s">
        <v>28207</v>
      </c>
      <c r="H1423" t="s">
        <v>28215</v>
      </c>
      <c r="I1423" t="s">
        <v>28238</v>
      </c>
      <c r="J1423" t="s">
        <v>29368</v>
      </c>
      <c r="K1423" t="s">
        <v>36688</v>
      </c>
      <c r="M1423" t="s">
        <v>37691</v>
      </c>
      <c r="N1423" t="s">
        <v>40436</v>
      </c>
      <c r="O1423" t="s">
        <v>40437</v>
      </c>
      <c r="P1423">
        <v>0</v>
      </c>
      <c r="Q1423">
        <v>1</v>
      </c>
      <c r="R1423" t="s">
        <v>40438</v>
      </c>
      <c r="S1423" t="s">
        <v>40582</v>
      </c>
      <c r="T1423" t="s">
        <v>42115</v>
      </c>
      <c r="U1423" t="s">
        <v>43875</v>
      </c>
      <c r="W1423" t="s">
        <v>55457</v>
      </c>
      <c r="X1423" t="s">
        <v>40439</v>
      </c>
    </row>
    <row r="1424" spans="1:24">
      <c r="A1424">
        <f>HYPERLINK("https://www.philgeps.gov.ph/GEPSNONPILOT/Tender/SplashBidNoticeAbstractUI.aspx?menuIndex=3&amp;refID=7048643&amp;Result=3","7048643")</f>
        <v>0</v>
      </c>
      <c r="B1424" t="s">
        <v>412</v>
      </c>
      <c r="C1424" t="s">
        <v>4472</v>
      </c>
      <c r="D1424" t="s">
        <v>16261</v>
      </c>
      <c r="E1424" t="s">
        <v>17619</v>
      </c>
      <c r="F1424" t="s">
        <v>28198</v>
      </c>
      <c r="G1424" t="s">
        <v>28206</v>
      </c>
      <c r="H1424" t="s">
        <v>28215</v>
      </c>
      <c r="I1424" t="s">
        <v>28249</v>
      </c>
      <c r="J1424" t="s">
        <v>28671</v>
      </c>
      <c r="K1424" t="s">
        <v>36706</v>
      </c>
      <c r="M1424" t="s">
        <v>37394</v>
      </c>
      <c r="N1424" t="s">
        <v>40436</v>
      </c>
      <c r="O1424" t="s">
        <v>40437</v>
      </c>
      <c r="P1424">
        <v>0</v>
      </c>
      <c r="Q1424">
        <v>0</v>
      </c>
      <c r="R1424" t="s">
        <v>40438</v>
      </c>
      <c r="S1424" t="s">
        <v>40582</v>
      </c>
      <c r="T1424" t="s">
        <v>42142</v>
      </c>
      <c r="U1424" t="s">
        <v>43876</v>
      </c>
      <c r="W1424" t="s">
        <v>37394</v>
      </c>
      <c r="X1424" t="s">
        <v>40439</v>
      </c>
    </row>
    <row r="1425" spans="1:24">
      <c r="A1425">
        <f>HYPERLINK("https://www.philgeps.gov.ph/GEPSNONPILOT/Tender/SplashBidNoticeAbstractUI.aspx?menuIndex=3&amp;refID=7048644&amp;Result=3","7048644")</f>
        <v>0</v>
      </c>
      <c r="B1425" t="s">
        <v>351</v>
      </c>
      <c r="C1425" t="s">
        <v>4473</v>
      </c>
      <c r="D1425" t="s">
        <v>16258</v>
      </c>
      <c r="E1425" t="s">
        <v>17620</v>
      </c>
      <c r="F1425" t="s">
        <v>28198</v>
      </c>
      <c r="G1425" t="s">
        <v>28205</v>
      </c>
      <c r="H1425" t="s">
        <v>28215</v>
      </c>
      <c r="I1425" t="s">
        <v>28222</v>
      </c>
      <c r="J1425" t="s">
        <v>29369</v>
      </c>
      <c r="K1425" t="s">
        <v>36706</v>
      </c>
      <c r="M1425" t="s">
        <v>37330</v>
      </c>
      <c r="N1425" t="s">
        <v>40436</v>
      </c>
      <c r="O1425" t="s">
        <v>40437</v>
      </c>
      <c r="P1425">
        <v>0</v>
      </c>
      <c r="Q1425">
        <v>2</v>
      </c>
      <c r="R1425" t="s">
        <v>40438</v>
      </c>
      <c r="S1425" t="s">
        <v>40582</v>
      </c>
      <c r="T1425" t="s">
        <v>42274</v>
      </c>
      <c r="U1425" t="s">
        <v>43877</v>
      </c>
      <c r="W1425" t="s">
        <v>37330</v>
      </c>
      <c r="X1425" t="s">
        <v>40439</v>
      </c>
    </row>
    <row r="1426" spans="1:24">
      <c r="A1426">
        <f>HYPERLINK("https://www.philgeps.gov.ph/GEPSNONPILOT/Tender/SplashBidNoticeAbstractUI.aspx?menuIndex=3&amp;refID=7048641&amp;Result=3","7048641")</f>
        <v>0</v>
      </c>
      <c r="B1426" t="s">
        <v>461</v>
      </c>
      <c r="C1426" t="s">
        <v>4474</v>
      </c>
      <c r="D1426" t="s">
        <v>16208</v>
      </c>
      <c r="E1426" t="s">
        <v>17621</v>
      </c>
      <c r="F1426" t="s">
        <v>28198</v>
      </c>
      <c r="G1426" t="s">
        <v>28207</v>
      </c>
      <c r="H1426" t="s">
        <v>28215</v>
      </c>
      <c r="I1426" t="s">
        <v>28258</v>
      </c>
      <c r="J1426" t="s">
        <v>28369</v>
      </c>
      <c r="K1426" t="s">
        <v>36689</v>
      </c>
      <c r="M1426" t="s">
        <v>37445</v>
      </c>
      <c r="N1426" t="s">
        <v>40436</v>
      </c>
      <c r="O1426" t="s">
        <v>40437</v>
      </c>
      <c r="P1426">
        <v>0</v>
      </c>
      <c r="Q1426">
        <v>1</v>
      </c>
      <c r="R1426" t="s">
        <v>40438</v>
      </c>
      <c r="S1426" t="s">
        <v>40582</v>
      </c>
      <c r="T1426" t="s">
        <v>42119</v>
      </c>
      <c r="U1426" t="s">
        <v>43878</v>
      </c>
      <c r="W1426" t="s">
        <v>37445</v>
      </c>
      <c r="X1426" t="s">
        <v>40439</v>
      </c>
    </row>
    <row r="1427" spans="1:24">
      <c r="A1427">
        <f>HYPERLINK("https://www.philgeps.gov.ph/GEPSNONPILOT/Tender/SplashBidNoticeAbstractUI.aspx?menuIndex=3&amp;refID=7048650&amp;Result=3","7048650")</f>
        <v>0</v>
      </c>
      <c r="B1427" t="s">
        <v>219</v>
      </c>
      <c r="C1427" t="s">
        <v>4475</v>
      </c>
      <c r="D1427" t="s">
        <v>16199</v>
      </c>
      <c r="E1427" t="s">
        <v>17622</v>
      </c>
      <c r="F1427" t="s">
        <v>28198</v>
      </c>
      <c r="G1427" t="s">
        <v>28205</v>
      </c>
      <c r="H1427" t="s">
        <v>28214</v>
      </c>
      <c r="I1427" t="s">
        <v>3797</v>
      </c>
      <c r="J1427" t="s">
        <v>29370</v>
      </c>
      <c r="K1427" t="s">
        <v>36727</v>
      </c>
      <c r="M1427" t="s">
        <v>37195</v>
      </c>
      <c r="N1427" t="s">
        <v>40436</v>
      </c>
      <c r="O1427" t="s">
        <v>40437</v>
      </c>
      <c r="P1427">
        <v>0</v>
      </c>
      <c r="Q1427">
        <v>0</v>
      </c>
      <c r="R1427" t="s">
        <v>40438</v>
      </c>
      <c r="S1427" t="s">
        <v>40582</v>
      </c>
      <c r="T1427" t="s">
        <v>42115</v>
      </c>
      <c r="U1427" t="s">
        <v>43879</v>
      </c>
      <c r="W1427" t="s">
        <v>37195</v>
      </c>
      <c r="X1427" t="s">
        <v>40439</v>
      </c>
    </row>
    <row r="1428" spans="1:24">
      <c r="A1428">
        <f>HYPERLINK("https://www.philgeps.gov.ph/GEPSNONPILOT/Tender/SplashBidNoticeAbstractUI.aspx?menuIndex=3&amp;refID=7048649&amp;Result=3","7048649")</f>
        <v>0</v>
      </c>
      <c r="B1428" t="s">
        <v>483</v>
      </c>
      <c r="C1428" t="s">
        <v>4476</v>
      </c>
      <c r="D1428" t="s">
        <v>16210</v>
      </c>
      <c r="E1428" t="s">
        <v>17623</v>
      </c>
      <c r="F1428" t="s">
        <v>28198</v>
      </c>
      <c r="G1428" t="s">
        <v>28207</v>
      </c>
      <c r="H1428" t="s">
        <v>28214</v>
      </c>
      <c r="I1428" t="s">
        <v>28277</v>
      </c>
      <c r="J1428" t="s">
        <v>29371</v>
      </c>
      <c r="K1428" t="s">
        <v>36689</v>
      </c>
      <c r="M1428" t="s">
        <v>37468</v>
      </c>
      <c r="N1428" t="s">
        <v>40436</v>
      </c>
      <c r="O1428" t="s">
        <v>40437</v>
      </c>
      <c r="P1428">
        <v>0</v>
      </c>
      <c r="Q1428">
        <v>2</v>
      </c>
      <c r="R1428" t="s">
        <v>40438</v>
      </c>
      <c r="S1428" t="s">
        <v>40582</v>
      </c>
      <c r="T1428" t="s">
        <v>42191</v>
      </c>
      <c r="U1428" t="s">
        <v>43880</v>
      </c>
      <c r="V1428" t="s">
        <v>53899</v>
      </c>
      <c r="W1428" t="s">
        <v>37468</v>
      </c>
      <c r="X1428" t="s">
        <v>40439</v>
      </c>
    </row>
    <row r="1429" spans="1:24">
      <c r="A1429">
        <f>HYPERLINK("https://www.philgeps.gov.ph/GEPSNONPILOT/Tender/SplashBidNoticeAbstractUI.aspx?menuIndex=3&amp;refID=7048662&amp;Result=3","7048662")</f>
        <v>0</v>
      </c>
      <c r="B1429" t="s">
        <v>432</v>
      </c>
      <c r="C1429" t="s">
        <v>4477</v>
      </c>
      <c r="D1429" t="s">
        <v>16262</v>
      </c>
      <c r="E1429" t="s">
        <v>17624</v>
      </c>
      <c r="F1429" t="s">
        <v>28198</v>
      </c>
      <c r="G1429" t="s">
        <v>28205</v>
      </c>
      <c r="H1429" t="s">
        <v>28215</v>
      </c>
      <c r="I1429" t="s">
        <v>5100</v>
      </c>
      <c r="J1429" t="s">
        <v>29372</v>
      </c>
      <c r="K1429" t="s">
        <v>36707</v>
      </c>
      <c r="M1429" t="s">
        <v>37415</v>
      </c>
      <c r="N1429" t="s">
        <v>40436</v>
      </c>
      <c r="O1429" t="s">
        <v>40437</v>
      </c>
      <c r="P1429">
        <v>0</v>
      </c>
      <c r="Q1429">
        <v>0</v>
      </c>
      <c r="R1429" t="s">
        <v>40438</v>
      </c>
      <c r="S1429" t="s">
        <v>40582</v>
      </c>
      <c r="T1429" t="s">
        <v>42115</v>
      </c>
      <c r="U1429" t="s">
        <v>43437</v>
      </c>
      <c r="W1429" t="s">
        <v>37415</v>
      </c>
      <c r="X1429" t="s">
        <v>40439</v>
      </c>
    </row>
    <row r="1430" spans="1:24">
      <c r="A1430">
        <f>HYPERLINK("https://www.philgeps.gov.ph/GEPSNONPILOT/Tender/SplashBidNoticeAbstractUI.aspx?menuIndex=3&amp;refID=7048661&amp;Result=3","7048661")</f>
        <v>0</v>
      </c>
      <c r="B1430" t="s">
        <v>693</v>
      </c>
      <c r="C1430" t="s">
        <v>4478</v>
      </c>
      <c r="D1430" t="s">
        <v>16218</v>
      </c>
      <c r="E1430" t="s">
        <v>16322</v>
      </c>
      <c r="F1430" t="s">
        <v>28198</v>
      </c>
      <c r="G1430" t="s">
        <v>28205</v>
      </c>
      <c r="H1430" t="s">
        <v>28215</v>
      </c>
      <c r="I1430" t="s">
        <v>5100</v>
      </c>
      <c r="J1430" t="s">
        <v>29373</v>
      </c>
      <c r="K1430" t="s">
        <v>36706</v>
      </c>
      <c r="M1430" t="s">
        <v>37692</v>
      </c>
      <c r="N1430" t="s">
        <v>40436</v>
      </c>
      <c r="O1430" t="s">
        <v>40437</v>
      </c>
      <c r="P1430">
        <v>0</v>
      </c>
      <c r="Q1430">
        <v>0</v>
      </c>
      <c r="R1430" t="s">
        <v>40438</v>
      </c>
      <c r="S1430" t="s">
        <v>40582</v>
      </c>
      <c r="T1430" t="s">
        <v>42098</v>
      </c>
      <c r="U1430" t="s">
        <v>43881</v>
      </c>
      <c r="W1430" t="s">
        <v>37692</v>
      </c>
      <c r="X1430" t="s">
        <v>40439</v>
      </c>
    </row>
    <row r="1431" spans="1:24">
      <c r="A1431">
        <f>HYPERLINK("https://www.philgeps.gov.ph/GEPSNONPILOT/Tender/SplashBidNoticeAbstractUI.aspx?menuIndex=3&amp;refID=7048646&amp;Result=3","7048646")</f>
        <v>0</v>
      </c>
      <c r="B1431" t="s">
        <v>435</v>
      </c>
      <c r="C1431" t="s">
        <v>4479</v>
      </c>
      <c r="D1431" t="s">
        <v>16254</v>
      </c>
      <c r="E1431" t="s">
        <v>17625</v>
      </c>
      <c r="F1431" t="s">
        <v>28198</v>
      </c>
      <c r="G1431" t="s">
        <v>28206</v>
      </c>
      <c r="H1431" t="s">
        <v>28215</v>
      </c>
      <c r="I1431" t="s">
        <v>5082</v>
      </c>
      <c r="J1431" t="s">
        <v>29374</v>
      </c>
      <c r="K1431" t="s">
        <v>36689</v>
      </c>
      <c r="M1431" t="s">
        <v>37418</v>
      </c>
      <c r="N1431" t="s">
        <v>40436</v>
      </c>
      <c r="O1431" t="s">
        <v>40437</v>
      </c>
      <c r="P1431">
        <v>0</v>
      </c>
      <c r="Q1431">
        <v>2</v>
      </c>
      <c r="R1431" t="s">
        <v>40438</v>
      </c>
      <c r="S1431" t="s">
        <v>40582</v>
      </c>
      <c r="T1431" t="s">
        <v>42112</v>
      </c>
      <c r="U1431" t="s">
        <v>43882</v>
      </c>
      <c r="W1431" t="s">
        <v>55447</v>
      </c>
      <c r="X1431" t="s">
        <v>40439</v>
      </c>
    </row>
    <row r="1432" spans="1:24">
      <c r="A1432">
        <f>HYPERLINK("https://www.philgeps.gov.ph/GEPSNONPILOT/Tender/SplashBidNoticeAbstractUI.aspx?menuIndex=3&amp;refID=7048642&amp;Result=3","7048642")</f>
        <v>0</v>
      </c>
      <c r="B1432" t="s">
        <v>432</v>
      </c>
      <c r="C1432" t="s">
        <v>4480</v>
      </c>
      <c r="D1432" t="s">
        <v>16262</v>
      </c>
      <c r="E1432" t="s">
        <v>17626</v>
      </c>
      <c r="F1432" t="s">
        <v>28198</v>
      </c>
      <c r="G1432" t="s">
        <v>28207</v>
      </c>
      <c r="H1432" t="s">
        <v>28215</v>
      </c>
      <c r="I1432" t="s">
        <v>5100</v>
      </c>
      <c r="J1432" t="s">
        <v>29375</v>
      </c>
      <c r="K1432" t="s">
        <v>36707</v>
      </c>
      <c r="M1432" t="s">
        <v>37415</v>
      </c>
      <c r="N1432" t="s">
        <v>40436</v>
      </c>
      <c r="O1432" t="s">
        <v>40437</v>
      </c>
      <c r="P1432">
        <v>0</v>
      </c>
      <c r="Q1432">
        <v>0</v>
      </c>
      <c r="R1432" t="s">
        <v>40438</v>
      </c>
      <c r="S1432" t="s">
        <v>40582</v>
      </c>
      <c r="T1432" t="s">
        <v>42124</v>
      </c>
      <c r="U1432" t="s">
        <v>43395</v>
      </c>
      <c r="W1432" t="s">
        <v>37415</v>
      </c>
      <c r="X1432" t="s">
        <v>40439</v>
      </c>
    </row>
    <row r="1433" spans="1:24">
      <c r="A1433">
        <f>HYPERLINK("https://www.philgeps.gov.ph/GEPSNONPILOT/Tender/SplashBidNoticeAbstractUI.aspx?menuIndex=3&amp;refID=7048658&amp;Result=3","7048658")</f>
        <v>0</v>
      </c>
      <c r="B1433" t="s">
        <v>653</v>
      </c>
      <c r="C1433" t="s">
        <v>4481</v>
      </c>
      <c r="D1433" t="s">
        <v>16246</v>
      </c>
      <c r="E1433" t="s">
        <v>17627</v>
      </c>
      <c r="F1433" t="s">
        <v>28198</v>
      </c>
      <c r="G1433" t="s">
        <v>28205</v>
      </c>
      <c r="H1433" t="s">
        <v>28215</v>
      </c>
      <c r="I1433" t="s">
        <v>4168</v>
      </c>
      <c r="J1433" t="s">
        <v>28645</v>
      </c>
      <c r="K1433" t="s">
        <v>36689</v>
      </c>
      <c r="M1433" t="s">
        <v>37648</v>
      </c>
      <c r="N1433" t="s">
        <v>40436</v>
      </c>
      <c r="O1433" t="s">
        <v>40437</v>
      </c>
      <c r="P1433">
        <v>0</v>
      </c>
      <c r="Q1433">
        <v>0</v>
      </c>
      <c r="R1433" t="s">
        <v>40438</v>
      </c>
      <c r="S1433" t="s">
        <v>40582</v>
      </c>
      <c r="T1433" t="s">
        <v>42130</v>
      </c>
      <c r="U1433" t="s">
        <v>43883</v>
      </c>
      <c r="W1433" t="s">
        <v>37648</v>
      </c>
      <c r="X1433" t="s">
        <v>40439</v>
      </c>
    </row>
    <row r="1434" spans="1:24">
      <c r="A1434">
        <f>HYPERLINK("https://www.philgeps.gov.ph/GEPSNONPILOT/Tender/SplashBidNoticeAbstractUI.aspx?menuIndex=3&amp;refID=7048651&amp;Result=3","7048651")</f>
        <v>0</v>
      </c>
      <c r="B1434" t="s">
        <v>658</v>
      </c>
      <c r="C1434" t="s">
        <v>4482</v>
      </c>
      <c r="D1434" t="s">
        <v>16264</v>
      </c>
      <c r="E1434" t="s">
        <v>17628</v>
      </c>
      <c r="F1434" t="s">
        <v>28198</v>
      </c>
      <c r="G1434" t="s">
        <v>28207</v>
      </c>
      <c r="H1434" t="s">
        <v>28215</v>
      </c>
      <c r="I1434" t="s">
        <v>28225</v>
      </c>
      <c r="J1434" t="s">
        <v>29376</v>
      </c>
      <c r="K1434" t="s">
        <v>36707</v>
      </c>
      <c r="M1434" t="s">
        <v>37654</v>
      </c>
      <c r="N1434" t="s">
        <v>40436</v>
      </c>
      <c r="O1434" t="s">
        <v>40437</v>
      </c>
      <c r="P1434">
        <v>0</v>
      </c>
      <c r="Q1434">
        <v>1</v>
      </c>
      <c r="R1434" t="s">
        <v>40438</v>
      </c>
      <c r="S1434" t="s">
        <v>40582</v>
      </c>
      <c r="T1434" t="s">
        <v>42266</v>
      </c>
      <c r="U1434" t="s">
        <v>43884</v>
      </c>
      <c r="W1434" t="s">
        <v>37654</v>
      </c>
      <c r="X1434" t="s">
        <v>40439</v>
      </c>
    </row>
    <row r="1435" spans="1:24">
      <c r="A1435">
        <f>HYPERLINK("https://www.philgeps.gov.ph/GEPSNONPILOT/Tender/SplashBidNoticeAbstractUI.aspx?menuIndex=3&amp;refID=7048660&amp;Result=3","7048660")</f>
        <v>0</v>
      </c>
      <c r="B1435" t="s">
        <v>613</v>
      </c>
      <c r="C1435" t="s">
        <v>4483</v>
      </c>
      <c r="D1435" t="s">
        <v>16203</v>
      </c>
      <c r="E1435" t="s">
        <v>17057</v>
      </c>
      <c r="F1435" t="s">
        <v>28198</v>
      </c>
      <c r="G1435" t="s">
        <v>28205</v>
      </c>
      <c r="H1435" t="s">
        <v>28215</v>
      </c>
      <c r="I1435" t="s">
        <v>5100</v>
      </c>
      <c r="J1435" t="s">
        <v>28406</v>
      </c>
      <c r="K1435" t="s">
        <v>36707</v>
      </c>
      <c r="M1435" t="s">
        <v>37693</v>
      </c>
      <c r="N1435" t="s">
        <v>40436</v>
      </c>
      <c r="O1435" t="s">
        <v>40437</v>
      </c>
      <c r="P1435">
        <v>0</v>
      </c>
      <c r="Q1435">
        <v>0</v>
      </c>
      <c r="R1435" t="s">
        <v>40438</v>
      </c>
      <c r="S1435" t="s">
        <v>40582</v>
      </c>
      <c r="T1435" t="s">
        <v>42247</v>
      </c>
      <c r="U1435" t="s">
        <v>43885</v>
      </c>
      <c r="V1435" t="s">
        <v>53952</v>
      </c>
      <c r="W1435" t="s">
        <v>37693</v>
      </c>
      <c r="X1435" t="s">
        <v>40439</v>
      </c>
    </row>
    <row r="1436" spans="1:24">
      <c r="A1436">
        <f>HYPERLINK("https://www.philgeps.gov.ph/GEPSNONPILOT/Tender/SplashBidNoticeAbstractUI.aspx?menuIndex=3&amp;refID=7048659&amp;Result=3","7048659")</f>
        <v>0</v>
      </c>
      <c r="B1436" t="s">
        <v>675</v>
      </c>
      <c r="C1436" t="s">
        <v>4484</v>
      </c>
      <c r="D1436" t="s">
        <v>16241</v>
      </c>
      <c r="E1436" t="s">
        <v>17629</v>
      </c>
      <c r="F1436" t="s">
        <v>28198</v>
      </c>
      <c r="G1436" t="s">
        <v>28205</v>
      </c>
      <c r="H1436" t="s">
        <v>28214</v>
      </c>
      <c r="I1436" t="s">
        <v>3797</v>
      </c>
      <c r="J1436" t="s">
        <v>28921</v>
      </c>
      <c r="K1436" t="s">
        <v>36697</v>
      </c>
      <c r="M1436" t="s">
        <v>37672</v>
      </c>
      <c r="N1436" t="s">
        <v>40436</v>
      </c>
      <c r="O1436" t="s">
        <v>40437</v>
      </c>
      <c r="P1436">
        <v>0</v>
      </c>
      <c r="Q1436">
        <v>1</v>
      </c>
      <c r="R1436" t="s">
        <v>40438</v>
      </c>
      <c r="S1436" t="s">
        <v>40582</v>
      </c>
      <c r="T1436" t="s">
        <v>42275</v>
      </c>
      <c r="U1436" t="s">
        <v>43886</v>
      </c>
      <c r="W1436" t="s">
        <v>37672</v>
      </c>
      <c r="X1436" t="s">
        <v>40439</v>
      </c>
    </row>
    <row r="1437" spans="1:24">
      <c r="A1437">
        <f>HYPERLINK("https://www.philgeps.gov.ph/GEPSNONPILOT/Tender/SplashBidNoticeAbstractUI.aspx?menuIndex=3&amp;refID=7048657&amp;Result=3","7048657")</f>
        <v>0</v>
      </c>
      <c r="B1437" t="s">
        <v>234</v>
      </c>
      <c r="C1437" t="s">
        <v>4485</v>
      </c>
      <c r="D1437" t="s">
        <v>16253</v>
      </c>
      <c r="E1437" t="s">
        <v>17630</v>
      </c>
      <c r="F1437" t="s">
        <v>28198</v>
      </c>
      <c r="G1437" t="s">
        <v>28207</v>
      </c>
      <c r="H1437" t="s">
        <v>28215</v>
      </c>
      <c r="I1437" t="s">
        <v>4200</v>
      </c>
      <c r="J1437" t="s">
        <v>28671</v>
      </c>
      <c r="K1437" t="s">
        <v>36689</v>
      </c>
      <c r="M1437" t="s">
        <v>37210</v>
      </c>
      <c r="N1437" t="s">
        <v>40436</v>
      </c>
      <c r="O1437" t="s">
        <v>40437</v>
      </c>
      <c r="P1437">
        <v>0</v>
      </c>
      <c r="Q1437">
        <v>0</v>
      </c>
      <c r="R1437" t="s">
        <v>40438</v>
      </c>
      <c r="S1437" t="s">
        <v>40582</v>
      </c>
      <c r="T1437" t="s">
        <v>42103</v>
      </c>
      <c r="U1437" t="s">
        <v>43887</v>
      </c>
      <c r="W1437" t="s">
        <v>37210</v>
      </c>
      <c r="X1437" t="s">
        <v>40439</v>
      </c>
    </row>
    <row r="1438" spans="1:24">
      <c r="A1438">
        <f>HYPERLINK("https://www.philgeps.gov.ph/GEPSNONPILOT/Tender/SplashBidNoticeAbstractUI.aspx?menuIndex=3&amp;refID=7048656&amp;Result=3","7048656")</f>
        <v>0</v>
      </c>
      <c r="B1438" t="s">
        <v>315</v>
      </c>
      <c r="C1438" t="s">
        <v>4486</v>
      </c>
      <c r="D1438" t="s">
        <v>16191</v>
      </c>
      <c r="E1438" t="s">
        <v>17631</v>
      </c>
      <c r="F1438" t="s">
        <v>28198</v>
      </c>
      <c r="G1438" t="s">
        <v>28206</v>
      </c>
      <c r="H1438" t="s">
        <v>28215</v>
      </c>
      <c r="I1438" t="s">
        <v>4219</v>
      </c>
      <c r="J1438" t="s">
        <v>29172</v>
      </c>
      <c r="K1438" t="s">
        <v>36688</v>
      </c>
      <c r="M1438" t="s">
        <v>37639</v>
      </c>
      <c r="N1438" t="s">
        <v>40436</v>
      </c>
      <c r="O1438" t="s">
        <v>40437</v>
      </c>
      <c r="P1438">
        <v>0</v>
      </c>
      <c r="Q1438">
        <v>0</v>
      </c>
      <c r="R1438" t="s">
        <v>40438</v>
      </c>
      <c r="S1438" t="s">
        <v>40582</v>
      </c>
      <c r="T1438" t="s">
        <v>42158</v>
      </c>
      <c r="U1438" t="s">
        <v>43888</v>
      </c>
      <c r="W1438" t="s">
        <v>37639</v>
      </c>
      <c r="X1438" t="s">
        <v>40439</v>
      </c>
    </row>
    <row r="1439" spans="1:24">
      <c r="A1439">
        <f>HYPERLINK("https://www.philgeps.gov.ph/GEPSNONPILOT/Tender/SplashBidNoticeAbstractUI.aspx?menuIndex=3&amp;refID=7048652&amp;Result=3","7048652")</f>
        <v>0</v>
      </c>
      <c r="B1439" t="s">
        <v>694</v>
      </c>
      <c r="C1439" t="s">
        <v>4487</v>
      </c>
      <c r="D1439" t="s">
        <v>16219</v>
      </c>
      <c r="E1439" t="s">
        <v>17632</v>
      </c>
      <c r="F1439" t="s">
        <v>28198</v>
      </c>
      <c r="G1439" t="s">
        <v>28205</v>
      </c>
      <c r="H1439" t="s">
        <v>28214</v>
      </c>
      <c r="I1439" t="s">
        <v>3797</v>
      </c>
      <c r="J1439" t="s">
        <v>29377</v>
      </c>
      <c r="K1439" t="s">
        <v>36752</v>
      </c>
      <c r="L1439" t="s">
        <v>694</v>
      </c>
      <c r="M1439" t="s">
        <v>37694</v>
      </c>
      <c r="N1439" t="s">
        <v>40436</v>
      </c>
      <c r="O1439" t="s">
        <v>40437</v>
      </c>
      <c r="P1439">
        <v>0</v>
      </c>
      <c r="Q1439">
        <v>1</v>
      </c>
      <c r="R1439" t="s">
        <v>40438</v>
      </c>
      <c r="S1439" t="s">
        <v>40582</v>
      </c>
      <c r="T1439" t="s">
        <v>42106</v>
      </c>
      <c r="U1439" t="s">
        <v>43889</v>
      </c>
      <c r="W1439" t="s">
        <v>37694</v>
      </c>
      <c r="X1439" t="s">
        <v>40439</v>
      </c>
    </row>
    <row r="1440" spans="1:24">
      <c r="A1440">
        <f>HYPERLINK("https://www.philgeps.gov.ph/GEPSNONPILOT/Tender/SplashBidNoticeAbstractUI.aspx?menuIndex=3&amp;refID=7048655&amp;Result=3","7048655")</f>
        <v>0</v>
      </c>
      <c r="B1440" t="s">
        <v>667</v>
      </c>
      <c r="C1440" t="s">
        <v>4488</v>
      </c>
      <c r="D1440" t="s">
        <v>16210</v>
      </c>
      <c r="E1440" t="s">
        <v>17633</v>
      </c>
      <c r="F1440" t="s">
        <v>28198</v>
      </c>
      <c r="G1440" t="s">
        <v>28207</v>
      </c>
      <c r="H1440" t="s">
        <v>28214</v>
      </c>
      <c r="I1440" t="s">
        <v>3797</v>
      </c>
      <c r="J1440" t="s">
        <v>29378</v>
      </c>
      <c r="K1440" t="s">
        <v>36707</v>
      </c>
      <c r="M1440" t="s">
        <v>37663</v>
      </c>
      <c r="N1440" t="s">
        <v>40436</v>
      </c>
      <c r="O1440" t="s">
        <v>40437</v>
      </c>
      <c r="P1440">
        <v>0</v>
      </c>
      <c r="Q1440">
        <v>2</v>
      </c>
      <c r="R1440" t="s">
        <v>40438</v>
      </c>
      <c r="S1440" t="s">
        <v>40582</v>
      </c>
      <c r="T1440" t="s">
        <v>42146</v>
      </c>
      <c r="U1440" t="s">
        <v>43821</v>
      </c>
      <c r="W1440" t="s">
        <v>37663</v>
      </c>
      <c r="X1440" t="s">
        <v>40439</v>
      </c>
    </row>
    <row r="1441" spans="1:24">
      <c r="A1441">
        <f>HYPERLINK("https://www.philgeps.gov.ph/GEPSNONPILOT/Tender/SplashBidNoticeAbstractUI.aspx?menuIndex=3&amp;refID=7048665&amp;Result=3","7048665")</f>
        <v>0</v>
      </c>
      <c r="B1441" t="s">
        <v>669</v>
      </c>
      <c r="C1441" t="s">
        <v>4489</v>
      </c>
      <c r="D1441" t="s">
        <v>16243</v>
      </c>
      <c r="E1441" t="s">
        <v>17634</v>
      </c>
      <c r="F1441" t="s">
        <v>28198</v>
      </c>
      <c r="G1441" t="s">
        <v>28205</v>
      </c>
      <c r="H1441" t="s">
        <v>28215</v>
      </c>
      <c r="I1441" t="s">
        <v>4321</v>
      </c>
      <c r="J1441" t="s">
        <v>29379</v>
      </c>
      <c r="K1441" t="s">
        <v>36688</v>
      </c>
      <c r="M1441" t="s">
        <v>37665</v>
      </c>
      <c r="N1441" t="s">
        <v>40436</v>
      </c>
      <c r="O1441" t="s">
        <v>40437</v>
      </c>
      <c r="P1441">
        <v>0</v>
      </c>
      <c r="Q1441">
        <v>0</v>
      </c>
      <c r="R1441" t="s">
        <v>40438</v>
      </c>
      <c r="S1441" t="s">
        <v>40582</v>
      </c>
      <c r="T1441" t="s">
        <v>42276</v>
      </c>
      <c r="U1441" t="s">
        <v>43890</v>
      </c>
      <c r="V1441" t="s">
        <v>53953</v>
      </c>
      <c r="W1441" t="s">
        <v>37665</v>
      </c>
      <c r="X1441" t="s">
        <v>40439</v>
      </c>
    </row>
    <row r="1442" spans="1:24">
      <c r="A1442">
        <f>HYPERLINK("https://www.philgeps.gov.ph/GEPSNONPILOT/Tender/SplashBidNoticeAbstractUI.aspx?menuIndex=3&amp;refID=7048653&amp;Result=3","7048653")</f>
        <v>0</v>
      </c>
      <c r="B1442" t="s">
        <v>668</v>
      </c>
      <c r="C1442" t="s">
        <v>4490</v>
      </c>
      <c r="D1442" t="s">
        <v>16223</v>
      </c>
      <c r="E1442" t="s">
        <v>17635</v>
      </c>
      <c r="F1442" t="s">
        <v>28198</v>
      </c>
      <c r="G1442" t="s">
        <v>28207</v>
      </c>
      <c r="H1442" t="s">
        <v>28215</v>
      </c>
      <c r="I1442" t="s">
        <v>28224</v>
      </c>
      <c r="J1442" t="s">
        <v>28691</v>
      </c>
      <c r="K1442" t="s">
        <v>36689</v>
      </c>
      <c r="M1442" t="s">
        <v>37664</v>
      </c>
      <c r="N1442" t="s">
        <v>40436</v>
      </c>
      <c r="O1442" t="s">
        <v>40437</v>
      </c>
      <c r="P1442">
        <v>0</v>
      </c>
      <c r="Q1442">
        <v>0</v>
      </c>
      <c r="R1442" t="s">
        <v>40438</v>
      </c>
      <c r="S1442" t="s">
        <v>40582</v>
      </c>
      <c r="T1442" t="s">
        <v>42103</v>
      </c>
      <c r="U1442" t="s">
        <v>43891</v>
      </c>
      <c r="W1442" t="s">
        <v>37664</v>
      </c>
      <c r="X1442" t="s">
        <v>40439</v>
      </c>
    </row>
    <row r="1443" spans="1:24">
      <c r="A1443">
        <f>HYPERLINK("https://www.philgeps.gov.ph/GEPSNONPILOT/Tender/SplashBidNoticeAbstractUI.aspx?menuIndex=3&amp;refID=7048676&amp;Result=3","7048676")</f>
        <v>0</v>
      </c>
      <c r="B1443" t="s">
        <v>234</v>
      </c>
      <c r="C1443" t="s">
        <v>4491</v>
      </c>
      <c r="D1443" t="s">
        <v>16253</v>
      </c>
      <c r="E1443" t="s">
        <v>17636</v>
      </c>
      <c r="F1443" t="s">
        <v>28198</v>
      </c>
      <c r="G1443" t="s">
        <v>28207</v>
      </c>
      <c r="H1443" t="s">
        <v>28215</v>
      </c>
      <c r="I1443" t="s">
        <v>4200</v>
      </c>
      <c r="J1443" t="s">
        <v>29380</v>
      </c>
      <c r="K1443" t="s">
        <v>36689</v>
      </c>
      <c r="M1443" t="s">
        <v>37210</v>
      </c>
      <c r="N1443" t="s">
        <v>40436</v>
      </c>
      <c r="O1443" t="s">
        <v>40437</v>
      </c>
      <c r="P1443">
        <v>0</v>
      </c>
      <c r="Q1443">
        <v>0</v>
      </c>
      <c r="R1443" t="s">
        <v>40438</v>
      </c>
      <c r="S1443" t="s">
        <v>40582</v>
      </c>
      <c r="T1443" t="s">
        <v>42103</v>
      </c>
      <c r="U1443" t="s">
        <v>43892</v>
      </c>
      <c r="W1443" t="s">
        <v>37210</v>
      </c>
      <c r="X1443" t="s">
        <v>40439</v>
      </c>
    </row>
    <row r="1444" spans="1:24">
      <c r="A1444">
        <f>HYPERLINK("https://www.philgeps.gov.ph/GEPSNONPILOT/Tender/SplashBidNoticeAbstractUI.aspx?menuIndex=3&amp;refID=7048667&amp;Result=3","7048667")</f>
        <v>0</v>
      </c>
      <c r="B1444" t="s">
        <v>695</v>
      </c>
      <c r="C1444" t="s">
        <v>4492</v>
      </c>
      <c r="D1444" t="s">
        <v>16204</v>
      </c>
      <c r="E1444" t="s">
        <v>17637</v>
      </c>
      <c r="F1444" t="s">
        <v>28198</v>
      </c>
      <c r="G1444" t="s">
        <v>28206</v>
      </c>
      <c r="H1444" t="s">
        <v>28215</v>
      </c>
      <c r="I1444" t="s">
        <v>28225</v>
      </c>
      <c r="J1444" t="s">
        <v>29381</v>
      </c>
      <c r="K1444" t="s">
        <v>36689</v>
      </c>
      <c r="M1444" t="s">
        <v>37695</v>
      </c>
      <c r="N1444" t="s">
        <v>40436</v>
      </c>
      <c r="O1444" t="s">
        <v>40437</v>
      </c>
      <c r="P1444">
        <v>0</v>
      </c>
      <c r="Q1444">
        <v>0</v>
      </c>
      <c r="R1444" t="s">
        <v>40438</v>
      </c>
      <c r="S1444" t="s">
        <v>40582</v>
      </c>
      <c r="T1444" t="s">
        <v>42277</v>
      </c>
      <c r="U1444" t="s">
        <v>43893</v>
      </c>
      <c r="W1444" t="s">
        <v>37695</v>
      </c>
      <c r="X1444" t="s">
        <v>40439</v>
      </c>
    </row>
    <row r="1445" spans="1:24">
      <c r="A1445">
        <f>HYPERLINK("https://www.philgeps.gov.ph/GEPSNONPILOT/Tender/SplashBidNoticeAbstractUI.aspx?menuIndex=3&amp;refID=7048675&amp;Result=3","7048675")</f>
        <v>0</v>
      </c>
      <c r="B1445" t="s">
        <v>390</v>
      </c>
      <c r="C1445" t="s">
        <v>4493</v>
      </c>
      <c r="D1445" t="s">
        <v>16235</v>
      </c>
      <c r="E1445" t="s">
        <v>17638</v>
      </c>
      <c r="F1445" t="s">
        <v>28198</v>
      </c>
      <c r="G1445" t="s">
        <v>28207</v>
      </c>
      <c r="H1445" t="s">
        <v>28215</v>
      </c>
      <c r="I1445" t="s">
        <v>6013</v>
      </c>
      <c r="J1445" t="s">
        <v>28362</v>
      </c>
      <c r="K1445" t="s">
        <v>36689</v>
      </c>
      <c r="M1445" t="s">
        <v>37370</v>
      </c>
      <c r="N1445" t="s">
        <v>40436</v>
      </c>
      <c r="O1445" t="s">
        <v>40437</v>
      </c>
      <c r="P1445">
        <v>0</v>
      </c>
      <c r="Q1445">
        <v>0</v>
      </c>
      <c r="R1445" t="s">
        <v>40438</v>
      </c>
      <c r="S1445" t="s">
        <v>40582</v>
      </c>
      <c r="T1445" t="s">
        <v>42124</v>
      </c>
      <c r="U1445" t="s">
        <v>43768</v>
      </c>
      <c r="W1445" t="s">
        <v>37370</v>
      </c>
      <c r="X1445" t="s">
        <v>40439</v>
      </c>
    </row>
    <row r="1446" spans="1:24">
      <c r="A1446">
        <f>HYPERLINK("https://www.philgeps.gov.ph/GEPSNONPILOT/Tender/SplashBidNoticeAbstractUI.aspx?menuIndex=3&amp;refID=7048668&amp;Result=3","7048668")</f>
        <v>0</v>
      </c>
      <c r="B1446" t="s">
        <v>696</v>
      </c>
      <c r="C1446" t="s">
        <v>4494</v>
      </c>
      <c r="D1446" t="s">
        <v>16201</v>
      </c>
      <c r="E1446" t="s">
        <v>17639</v>
      </c>
      <c r="F1446" t="s">
        <v>28198</v>
      </c>
      <c r="G1446" t="s">
        <v>28206</v>
      </c>
      <c r="H1446" t="s">
        <v>28215</v>
      </c>
      <c r="I1446" t="s">
        <v>4200</v>
      </c>
      <c r="J1446" t="s">
        <v>29382</v>
      </c>
      <c r="K1446" t="s">
        <v>36689</v>
      </c>
      <c r="M1446" t="s">
        <v>37696</v>
      </c>
      <c r="N1446" t="s">
        <v>40436</v>
      </c>
      <c r="O1446" t="s">
        <v>40437</v>
      </c>
      <c r="P1446">
        <v>0</v>
      </c>
      <c r="Q1446">
        <v>0</v>
      </c>
      <c r="R1446" t="s">
        <v>40438</v>
      </c>
      <c r="S1446" t="s">
        <v>40582</v>
      </c>
      <c r="T1446" t="s">
        <v>42160</v>
      </c>
      <c r="U1446" t="s">
        <v>43894</v>
      </c>
      <c r="W1446" t="s">
        <v>37696</v>
      </c>
      <c r="X1446" t="s">
        <v>40439</v>
      </c>
    </row>
    <row r="1447" spans="1:24">
      <c r="A1447">
        <f>HYPERLINK("https://www.philgeps.gov.ph/GEPSNONPILOT/Tender/SplashBidNoticeAbstractUI.aspx?menuIndex=3&amp;refID=7048688&amp;Result=3","7048688")</f>
        <v>0</v>
      </c>
      <c r="B1447" t="s">
        <v>317</v>
      </c>
      <c r="C1447" t="s">
        <v>4495</v>
      </c>
      <c r="D1447" t="s">
        <v>16223</v>
      </c>
      <c r="E1447" t="s">
        <v>17640</v>
      </c>
      <c r="F1447" t="s">
        <v>28198</v>
      </c>
      <c r="G1447" t="s">
        <v>28205</v>
      </c>
      <c r="H1447" t="s">
        <v>28214</v>
      </c>
      <c r="I1447" t="s">
        <v>3797</v>
      </c>
      <c r="J1447" t="s">
        <v>29383</v>
      </c>
      <c r="K1447" t="s">
        <v>36694</v>
      </c>
      <c r="M1447" t="s">
        <v>37295</v>
      </c>
      <c r="N1447" t="s">
        <v>40436</v>
      </c>
      <c r="O1447" t="s">
        <v>40437</v>
      </c>
      <c r="P1447">
        <v>0</v>
      </c>
      <c r="Q1447">
        <v>0</v>
      </c>
      <c r="R1447" t="s">
        <v>40438</v>
      </c>
      <c r="S1447" t="s">
        <v>40582</v>
      </c>
      <c r="T1447" t="s">
        <v>42126</v>
      </c>
      <c r="U1447" t="s">
        <v>43895</v>
      </c>
      <c r="W1447" t="s">
        <v>37295</v>
      </c>
      <c r="X1447" t="s">
        <v>40439</v>
      </c>
    </row>
    <row r="1448" spans="1:24">
      <c r="A1448">
        <f>HYPERLINK("https://www.philgeps.gov.ph/GEPSNONPILOT/Tender/SplashBidNoticeAbstractUI.aspx?menuIndex=3&amp;refID=7048672&amp;Result=3","7048672")</f>
        <v>0</v>
      </c>
      <c r="B1448" t="s">
        <v>697</v>
      </c>
      <c r="C1448" t="s">
        <v>4496</v>
      </c>
      <c r="D1448" t="s">
        <v>16210</v>
      </c>
      <c r="E1448" t="s">
        <v>16570</v>
      </c>
      <c r="F1448" t="s">
        <v>28198</v>
      </c>
      <c r="G1448" t="s">
        <v>28207</v>
      </c>
      <c r="H1448" t="s">
        <v>28215</v>
      </c>
      <c r="I1448" t="s">
        <v>28225</v>
      </c>
      <c r="J1448" t="s">
        <v>29384</v>
      </c>
      <c r="K1448" t="s">
        <v>36701</v>
      </c>
      <c r="M1448" t="s">
        <v>37697</v>
      </c>
      <c r="N1448" t="s">
        <v>40436</v>
      </c>
      <c r="O1448" t="s">
        <v>40437</v>
      </c>
      <c r="P1448">
        <v>0</v>
      </c>
      <c r="Q1448">
        <v>4</v>
      </c>
      <c r="R1448" t="s">
        <v>40438</v>
      </c>
      <c r="S1448" t="s">
        <v>40582</v>
      </c>
      <c r="T1448" t="s">
        <v>42124</v>
      </c>
      <c r="U1448" t="s">
        <v>43896</v>
      </c>
      <c r="W1448" t="s">
        <v>37697</v>
      </c>
      <c r="X1448" t="s">
        <v>40439</v>
      </c>
    </row>
    <row r="1449" spans="1:24">
      <c r="A1449">
        <f>HYPERLINK("https://www.philgeps.gov.ph/GEPSNONPILOT/Tender/SplashBidNoticeAbstractUI.aspx?menuIndex=3&amp;refID=7048666&amp;Result=3","7048666")</f>
        <v>0</v>
      </c>
      <c r="B1449" t="s">
        <v>688</v>
      </c>
      <c r="C1449" t="s">
        <v>4497</v>
      </c>
      <c r="D1449" t="s">
        <v>16230</v>
      </c>
      <c r="E1449" t="s">
        <v>17641</v>
      </c>
      <c r="F1449" t="s">
        <v>28198</v>
      </c>
      <c r="G1449" t="s">
        <v>28206</v>
      </c>
      <c r="H1449" t="s">
        <v>28215</v>
      </c>
      <c r="I1449" t="s">
        <v>5100</v>
      </c>
      <c r="J1449" t="s">
        <v>29385</v>
      </c>
      <c r="K1449" t="s">
        <v>36707</v>
      </c>
      <c r="M1449" t="s">
        <v>37687</v>
      </c>
      <c r="N1449" t="s">
        <v>40436</v>
      </c>
      <c r="O1449" t="s">
        <v>40437</v>
      </c>
      <c r="P1449">
        <v>0</v>
      </c>
      <c r="Q1449">
        <v>0</v>
      </c>
      <c r="R1449" t="s">
        <v>40438</v>
      </c>
      <c r="S1449" t="s">
        <v>40582</v>
      </c>
      <c r="T1449" t="s">
        <v>42229</v>
      </c>
      <c r="U1449" t="s">
        <v>43866</v>
      </c>
      <c r="W1449" t="s">
        <v>37687</v>
      </c>
      <c r="X1449" t="s">
        <v>40439</v>
      </c>
    </row>
    <row r="1450" spans="1:24">
      <c r="A1450">
        <f>HYPERLINK("https://www.philgeps.gov.ph/GEPSNONPILOT/Tender/SplashBidNoticeAbstractUI.aspx?menuIndex=3&amp;refID=7048685&amp;Result=3","7048685")</f>
        <v>0</v>
      </c>
      <c r="B1450" t="s">
        <v>668</v>
      </c>
      <c r="C1450" t="s">
        <v>4498</v>
      </c>
      <c r="D1450" t="s">
        <v>16223</v>
      </c>
      <c r="E1450" t="s">
        <v>17642</v>
      </c>
      <c r="F1450" t="s">
        <v>28198</v>
      </c>
      <c r="G1450" t="s">
        <v>28207</v>
      </c>
      <c r="H1450" t="s">
        <v>28215</v>
      </c>
      <c r="I1450" t="s">
        <v>28224</v>
      </c>
      <c r="J1450" t="s">
        <v>28691</v>
      </c>
      <c r="K1450" t="s">
        <v>36689</v>
      </c>
      <c r="M1450" t="s">
        <v>37664</v>
      </c>
      <c r="N1450" t="s">
        <v>40436</v>
      </c>
      <c r="O1450" t="s">
        <v>40437</v>
      </c>
      <c r="P1450">
        <v>0</v>
      </c>
      <c r="Q1450">
        <v>0</v>
      </c>
      <c r="R1450" t="s">
        <v>40438</v>
      </c>
      <c r="S1450" t="s">
        <v>40582</v>
      </c>
      <c r="T1450" t="s">
        <v>42103</v>
      </c>
      <c r="U1450" t="s">
        <v>43897</v>
      </c>
      <c r="W1450" t="s">
        <v>37664</v>
      </c>
      <c r="X1450" t="s">
        <v>40439</v>
      </c>
    </row>
    <row r="1451" spans="1:24">
      <c r="A1451">
        <f>HYPERLINK("https://www.philgeps.gov.ph/GEPSNONPILOT/Tender/SplashBidNoticeAbstractUI.aspx?menuIndex=3&amp;refID=7048669&amp;Result=3","7048669")</f>
        <v>0</v>
      </c>
      <c r="B1451" t="s">
        <v>677</v>
      </c>
      <c r="C1451" t="s">
        <v>4499</v>
      </c>
      <c r="D1451" t="s">
        <v>16247</v>
      </c>
      <c r="E1451" t="s">
        <v>17643</v>
      </c>
      <c r="F1451" t="s">
        <v>28198</v>
      </c>
      <c r="G1451" t="s">
        <v>28207</v>
      </c>
      <c r="H1451" t="s">
        <v>28217</v>
      </c>
      <c r="I1451" t="s">
        <v>28242</v>
      </c>
      <c r="J1451" t="s">
        <v>28350</v>
      </c>
      <c r="K1451" t="s">
        <v>36688</v>
      </c>
      <c r="M1451" t="s">
        <v>37675</v>
      </c>
      <c r="N1451" t="s">
        <v>40436</v>
      </c>
      <c r="O1451" t="s">
        <v>40437</v>
      </c>
      <c r="P1451">
        <v>0</v>
      </c>
      <c r="Q1451">
        <v>0</v>
      </c>
      <c r="R1451" t="s">
        <v>40438</v>
      </c>
      <c r="S1451" t="s">
        <v>40582</v>
      </c>
      <c r="T1451" t="s">
        <v>42177</v>
      </c>
      <c r="U1451" t="s">
        <v>43898</v>
      </c>
      <c r="W1451" t="s">
        <v>37675</v>
      </c>
      <c r="X1451" t="s">
        <v>40439</v>
      </c>
    </row>
    <row r="1452" spans="1:24">
      <c r="A1452">
        <f>HYPERLINK("https://www.philgeps.gov.ph/GEPSNONPILOT/Tender/SplashBidNoticeAbstractUI.aspx?menuIndex=3&amp;refID=7048683&amp;Result=3","7048683")</f>
        <v>0</v>
      </c>
      <c r="B1452" t="s">
        <v>690</v>
      </c>
      <c r="C1452" t="s">
        <v>4500</v>
      </c>
      <c r="E1452" t="s">
        <v>17644</v>
      </c>
      <c r="F1452" t="s">
        <v>28198</v>
      </c>
      <c r="G1452" t="s">
        <v>28207</v>
      </c>
      <c r="H1452" t="s">
        <v>28215</v>
      </c>
      <c r="I1452" t="s">
        <v>5631</v>
      </c>
      <c r="J1452" t="s">
        <v>29386</v>
      </c>
      <c r="K1452" t="s">
        <v>36701</v>
      </c>
      <c r="M1452" t="s">
        <v>37689</v>
      </c>
      <c r="N1452" t="s">
        <v>40436</v>
      </c>
      <c r="O1452" t="s">
        <v>40437</v>
      </c>
      <c r="P1452">
        <v>0</v>
      </c>
      <c r="Q1452">
        <v>0</v>
      </c>
      <c r="R1452" t="s">
        <v>40438</v>
      </c>
      <c r="S1452" t="s">
        <v>40582</v>
      </c>
      <c r="T1452" t="s">
        <v>42119</v>
      </c>
      <c r="U1452" t="s">
        <v>43899</v>
      </c>
      <c r="W1452" t="s">
        <v>37689</v>
      </c>
      <c r="X1452" t="s">
        <v>40439</v>
      </c>
    </row>
    <row r="1453" spans="1:24">
      <c r="A1453">
        <f>HYPERLINK("https://www.philgeps.gov.ph/GEPSNONPILOT/Tender/SplashBidNoticeAbstractUI.aspx?menuIndex=3&amp;refID=7048684&amp;Result=3","7048684")</f>
        <v>0</v>
      </c>
      <c r="B1453" t="s">
        <v>351</v>
      </c>
      <c r="C1453" t="s">
        <v>4501</v>
      </c>
      <c r="D1453" t="s">
        <v>16258</v>
      </c>
      <c r="E1453" t="s">
        <v>17645</v>
      </c>
      <c r="F1453" t="s">
        <v>28198</v>
      </c>
      <c r="G1453" t="s">
        <v>28205</v>
      </c>
      <c r="H1453" t="s">
        <v>28215</v>
      </c>
      <c r="I1453" t="s">
        <v>5082</v>
      </c>
      <c r="J1453" t="s">
        <v>29387</v>
      </c>
      <c r="K1453" t="s">
        <v>36706</v>
      </c>
      <c r="M1453" t="s">
        <v>37330</v>
      </c>
      <c r="N1453" t="s">
        <v>40436</v>
      </c>
      <c r="O1453" t="s">
        <v>40437</v>
      </c>
      <c r="P1453">
        <v>0</v>
      </c>
      <c r="Q1453">
        <v>0</v>
      </c>
      <c r="R1453" t="s">
        <v>40438</v>
      </c>
      <c r="S1453" t="s">
        <v>40582</v>
      </c>
      <c r="T1453" t="s">
        <v>42274</v>
      </c>
      <c r="U1453" t="s">
        <v>43900</v>
      </c>
      <c r="W1453" t="s">
        <v>37330</v>
      </c>
      <c r="X1453" t="s">
        <v>40439</v>
      </c>
    </row>
    <row r="1454" spans="1:24">
      <c r="A1454">
        <f>HYPERLINK("https://www.philgeps.gov.ph/GEPSNONPILOT/Tender/SplashBidNoticeAbstractUI.aspx?menuIndex=3&amp;refID=7048674&amp;Result=3","7048674")</f>
        <v>0</v>
      </c>
      <c r="B1454" t="s">
        <v>617</v>
      </c>
      <c r="C1454" t="s">
        <v>4305</v>
      </c>
      <c r="D1454" t="s">
        <v>16253</v>
      </c>
      <c r="E1454" t="s">
        <v>17646</v>
      </c>
      <c r="F1454" t="s">
        <v>28198</v>
      </c>
      <c r="G1454" t="s">
        <v>28207</v>
      </c>
      <c r="H1454" t="s">
        <v>28215</v>
      </c>
      <c r="I1454" t="s">
        <v>28225</v>
      </c>
      <c r="J1454" t="s">
        <v>29388</v>
      </c>
      <c r="K1454" t="s">
        <v>36701</v>
      </c>
      <c r="M1454" t="s">
        <v>37609</v>
      </c>
      <c r="N1454" t="s">
        <v>40436</v>
      </c>
      <c r="O1454" t="s">
        <v>40437</v>
      </c>
      <c r="P1454">
        <v>0</v>
      </c>
      <c r="Q1454">
        <v>1</v>
      </c>
      <c r="R1454" t="s">
        <v>40438</v>
      </c>
      <c r="S1454" t="s">
        <v>40582</v>
      </c>
      <c r="T1454" t="s">
        <v>42129</v>
      </c>
      <c r="U1454" t="s">
        <v>43724</v>
      </c>
      <c r="V1454" t="s">
        <v>53932</v>
      </c>
      <c r="W1454" t="s">
        <v>37609</v>
      </c>
      <c r="X1454" t="s">
        <v>40439</v>
      </c>
    </row>
    <row r="1455" spans="1:24">
      <c r="A1455">
        <f>HYPERLINK("https://www.philgeps.gov.ph/GEPSNONPILOT/Tender/SplashBidNoticeAbstractUI.aspx?menuIndex=3&amp;refID=7048692&amp;Result=3","7048692")</f>
        <v>0</v>
      </c>
      <c r="B1455" t="s">
        <v>678</v>
      </c>
      <c r="C1455" t="s">
        <v>3870</v>
      </c>
      <c r="D1455" t="s">
        <v>16222</v>
      </c>
      <c r="E1455" t="s">
        <v>17223</v>
      </c>
      <c r="F1455" t="s">
        <v>28198</v>
      </c>
      <c r="G1455" t="s">
        <v>28207</v>
      </c>
      <c r="H1455" t="s">
        <v>28215</v>
      </c>
      <c r="I1455" t="s">
        <v>4200</v>
      </c>
      <c r="J1455" t="s">
        <v>28538</v>
      </c>
      <c r="K1455" t="s">
        <v>36691</v>
      </c>
      <c r="M1455" t="s">
        <v>37676</v>
      </c>
      <c r="N1455" t="s">
        <v>40436</v>
      </c>
      <c r="O1455" t="s">
        <v>40437</v>
      </c>
      <c r="P1455">
        <v>0</v>
      </c>
      <c r="Q1455">
        <v>0</v>
      </c>
      <c r="R1455" t="s">
        <v>40438</v>
      </c>
      <c r="S1455" t="s">
        <v>40582</v>
      </c>
      <c r="T1455" t="s">
        <v>42103</v>
      </c>
      <c r="U1455" t="s">
        <v>43901</v>
      </c>
      <c r="W1455" t="s">
        <v>37676</v>
      </c>
      <c r="X1455" t="s">
        <v>40439</v>
      </c>
    </row>
    <row r="1456" spans="1:24">
      <c r="A1456">
        <f>HYPERLINK("https://www.philgeps.gov.ph/GEPSNONPILOT/Tender/SplashBidNoticeAbstractUI.aspx?menuIndex=3&amp;refID=7048694&amp;Result=3","7048694")</f>
        <v>0</v>
      </c>
      <c r="B1456" t="s">
        <v>588</v>
      </c>
      <c r="C1456" t="s">
        <v>4502</v>
      </c>
      <c r="D1456" t="s">
        <v>16197</v>
      </c>
      <c r="E1456" t="s">
        <v>17543</v>
      </c>
      <c r="F1456" t="s">
        <v>28198</v>
      </c>
      <c r="G1456" t="s">
        <v>28205</v>
      </c>
      <c r="H1456" t="s">
        <v>28215</v>
      </c>
      <c r="I1456" t="s">
        <v>28237</v>
      </c>
      <c r="J1456" t="s">
        <v>28350</v>
      </c>
      <c r="K1456" t="s">
        <v>36706</v>
      </c>
      <c r="M1456" t="s">
        <v>37577</v>
      </c>
      <c r="N1456" t="s">
        <v>40436</v>
      </c>
      <c r="O1456" t="s">
        <v>40437</v>
      </c>
      <c r="P1456">
        <v>0</v>
      </c>
      <c r="Q1456">
        <v>1</v>
      </c>
      <c r="R1456" t="s">
        <v>40438</v>
      </c>
      <c r="S1456" t="s">
        <v>40582</v>
      </c>
      <c r="T1456" t="s">
        <v>42213</v>
      </c>
      <c r="U1456" t="s">
        <v>43902</v>
      </c>
      <c r="W1456" t="s">
        <v>37577</v>
      </c>
      <c r="X1456" t="s">
        <v>40439</v>
      </c>
    </row>
    <row r="1457" spans="1:24">
      <c r="A1457">
        <f>HYPERLINK("https://www.philgeps.gov.ph/GEPSNONPILOT/Tender/SplashBidNoticeAbstractUI.aspx?menuIndex=3&amp;refID=7048691&amp;Result=3","7048691")</f>
        <v>0</v>
      </c>
      <c r="B1457" t="s">
        <v>44</v>
      </c>
      <c r="C1457" t="s">
        <v>4503</v>
      </c>
      <c r="D1457" t="s">
        <v>16200</v>
      </c>
      <c r="E1457" t="s">
        <v>17647</v>
      </c>
      <c r="F1457" t="s">
        <v>28198</v>
      </c>
      <c r="G1457" t="s">
        <v>28205</v>
      </c>
      <c r="H1457" t="s">
        <v>28214</v>
      </c>
      <c r="I1457" t="s">
        <v>3797</v>
      </c>
      <c r="J1457" t="s">
        <v>29389</v>
      </c>
      <c r="K1457" t="s">
        <v>36697</v>
      </c>
      <c r="M1457" t="s">
        <v>37014</v>
      </c>
      <c r="N1457" t="s">
        <v>40436</v>
      </c>
      <c r="O1457" t="s">
        <v>40437</v>
      </c>
      <c r="P1457">
        <v>0</v>
      </c>
      <c r="Q1457">
        <v>1</v>
      </c>
      <c r="R1457" t="s">
        <v>40438</v>
      </c>
      <c r="S1457" t="s">
        <v>40582</v>
      </c>
      <c r="T1457" t="s">
        <v>42227</v>
      </c>
      <c r="U1457" t="s">
        <v>42665</v>
      </c>
      <c r="W1457" t="s">
        <v>37014</v>
      </c>
      <c r="X1457" t="s">
        <v>40439</v>
      </c>
    </row>
    <row r="1458" spans="1:24">
      <c r="A1458">
        <f>HYPERLINK("https://www.philgeps.gov.ph/GEPSNONPILOT/Tender/SplashBidNoticeAbstractUI.aspx?menuIndex=3&amp;refID=7048681&amp;Result=3","7048681")</f>
        <v>0</v>
      </c>
      <c r="B1458" t="s">
        <v>432</v>
      </c>
      <c r="C1458" t="s">
        <v>4504</v>
      </c>
      <c r="D1458" t="s">
        <v>16262</v>
      </c>
      <c r="E1458" t="s">
        <v>17648</v>
      </c>
      <c r="F1458" t="s">
        <v>28198</v>
      </c>
      <c r="G1458" t="s">
        <v>28207</v>
      </c>
      <c r="H1458" t="s">
        <v>28215</v>
      </c>
      <c r="I1458" t="s">
        <v>5100</v>
      </c>
      <c r="J1458" t="s">
        <v>29390</v>
      </c>
      <c r="K1458" t="s">
        <v>36707</v>
      </c>
      <c r="M1458" t="s">
        <v>37415</v>
      </c>
      <c r="N1458" t="s">
        <v>40436</v>
      </c>
      <c r="O1458" t="s">
        <v>40437</v>
      </c>
      <c r="P1458">
        <v>0</v>
      </c>
      <c r="Q1458">
        <v>0</v>
      </c>
      <c r="R1458" t="s">
        <v>40438</v>
      </c>
      <c r="S1458" t="s">
        <v>40582</v>
      </c>
      <c r="T1458" t="s">
        <v>42124</v>
      </c>
      <c r="U1458" t="s">
        <v>43395</v>
      </c>
      <c r="W1458" t="s">
        <v>37415</v>
      </c>
      <c r="X1458" t="s">
        <v>40439</v>
      </c>
    </row>
    <row r="1459" spans="1:24">
      <c r="A1459">
        <f>HYPERLINK("https://www.philgeps.gov.ph/GEPSNONPILOT/Tender/SplashBidNoticeAbstractUI.aspx?menuIndex=3&amp;refID=7048695&amp;Result=3","7048695")</f>
        <v>0</v>
      </c>
      <c r="B1459" t="s">
        <v>698</v>
      </c>
      <c r="C1459" t="s">
        <v>4505</v>
      </c>
      <c r="D1459" t="s">
        <v>16252</v>
      </c>
      <c r="E1459" t="s">
        <v>16660</v>
      </c>
      <c r="F1459" t="s">
        <v>28200</v>
      </c>
      <c r="G1459" t="s">
        <v>28207</v>
      </c>
      <c r="H1459" t="s">
        <v>28215</v>
      </c>
      <c r="I1459" t="s">
        <v>4505</v>
      </c>
      <c r="J1459" t="s">
        <v>29391</v>
      </c>
      <c r="K1459" t="s">
        <v>36707</v>
      </c>
      <c r="M1459" t="s">
        <v>37698</v>
      </c>
      <c r="N1459" t="s">
        <v>40436</v>
      </c>
      <c r="O1459" t="s">
        <v>40437</v>
      </c>
      <c r="P1459">
        <v>0</v>
      </c>
      <c r="Q1459">
        <v>9</v>
      </c>
      <c r="R1459" t="s">
        <v>40438</v>
      </c>
      <c r="S1459" t="s">
        <v>40582</v>
      </c>
      <c r="T1459" t="s">
        <v>42278</v>
      </c>
      <c r="U1459" t="s">
        <v>43903</v>
      </c>
      <c r="W1459" t="s">
        <v>37698</v>
      </c>
      <c r="X1459" t="s">
        <v>40439</v>
      </c>
    </row>
    <row r="1460" spans="1:24">
      <c r="A1460">
        <f>HYPERLINK("https://www.philgeps.gov.ph/GEPSNONPILOT/Tender/SplashBidNoticeAbstractUI.aspx?menuIndex=3&amp;refID=7048709&amp;Result=3","7048709")</f>
        <v>0</v>
      </c>
      <c r="B1460" t="s">
        <v>342</v>
      </c>
      <c r="C1460" t="s">
        <v>4506</v>
      </c>
      <c r="D1460" t="s">
        <v>16210</v>
      </c>
      <c r="E1460" t="s">
        <v>17649</v>
      </c>
      <c r="F1460" t="s">
        <v>28198</v>
      </c>
      <c r="G1460" t="s">
        <v>28207</v>
      </c>
      <c r="H1460" t="s">
        <v>28215</v>
      </c>
      <c r="I1460" t="s">
        <v>28219</v>
      </c>
      <c r="J1460" t="s">
        <v>29392</v>
      </c>
      <c r="K1460" t="s">
        <v>36707</v>
      </c>
      <c r="M1460" t="s">
        <v>37321</v>
      </c>
      <c r="N1460" t="s">
        <v>40436</v>
      </c>
      <c r="O1460" t="s">
        <v>40437</v>
      </c>
      <c r="P1460">
        <v>0</v>
      </c>
      <c r="Q1460">
        <v>2</v>
      </c>
      <c r="R1460" t="s">
        <v>40438</v>
      </c>
      <c r="S1460" t="s">
        <v>40582</v>
      </c>
      <c r="T1460" t="s">
        <v>42103</v>
      </c>
      <c r="U1460" t="s">
        <v>43904</v>
      </c>
      <c r="W1460" t="s">
        <v>37321</v>
      </c>
      <c r="X1460" t="s">
        <v>40439</v>
      </c>
    </row>
    <row r="1461" spans="1:24">
      <c r="A1461">
        <f>HYPERLINK("https://www.philgeps.gov.ph/GEPSNONPILOT/Tender/SplashBidNoticeAbstractUI.aspx?menuIndex=3&amp;refID=7048678&amp;Result=3","7048678")</f>
        <v>0</v>
      </c>
      <c r="B1461" t="s">
        <v>655</v>
      </c>
      <c r="C1461" t="s">
        <v>4507</v>
      </c>
      <c r="D1461" t="s">
        <v>16235</v>
      </c>
      <c r="E1461" t="s">
        <v>17650</v>
      </c>
      <c r="F1461" t="s">
        <v>28198</v>
      </c>
      <c r="G1461" t="s">
        <v>28208</v>
      </c>
      <c r="H1461" t="s">
        <v>28215</v>
      </c>
      <c r="I1461" t="s">
        <v>28222</v>
      </c>
      <c r="J1461" t="s">
        <v>29393</v>
      </c>
      <c r="K1461" t="s">
        <v>36701</v>
      </c>
      <c r="M1461" t="s">
        <v>37651</v>
      </c>
      <c r="N1461" t="s">
        <v>40436</v>
      </c>
      <c r="O1461" t="s">
        <v>40437</v>
      </c>
      <c r="P1461">
        <v>0</v>
      </c>
      <c r="Q1461">
        <v>1</v>
      </c>
      <c r="R1461" t="s">
        <v>40438</v>
      </c>
      <c r="S1461" t="s">
        <v>40582</v>
      </c>
      <c r="T1461" t="s">
        <v>42265</v>
      </c>
      <c r="U1461" t="s">
        <v>43905</v>
      </c>
      <c r="W1461" t="s">
        <v>37651</v>
      </c>
      <c r="X1461" t="s">
        <v>40439</v>
      </c>
    </row>
    <row r="1462" spans="1:24">
      <c r="A1462">
        <f>HYPERLINK("https://www.philgeps.gov.ph/GEPSNONPILOT/Tender/SplashBidNoticeAbstractUI.aspx?menuIndex=3&amp;refID=7048696&amp;Result=3","7048696")</f>
        <v>0</v>
      </c>
      <c r="B1462" t="s">
        <v>699</v>
      </c>
      <c r="C1462" t="s">
        <v>4508</v>
      </c>
      <c r="E1462" t="s">
        <v>17468</v>
      </c>
      <c r="F1462" t="s">
        <v>28201</v>
      </c>
      <c r="G1462" t="s">
        <v>28205</v>
      </c>
      <c r="H1462" t="s">
        <v>28215</v>
      </c>
      <c r="I1462" t="s">
        <v>5100</v>
      </c>
      <c r="J1462" t="s">
        <v>29394</v>
      </c>
      <c r="K1462" t="s">
        <v>36689</v>
      </c>
      <c r="M1462" t="s">
        <v>37699</v>
      </c>
      <c r="N1462" t="s">
        <v>40436</v>
      </c>
      <c r="O1462" t="s">
        <v>40437</v>
      </c>
      <c r="P1462">
        <v>0</v>
      </c>
      <c r="Q1462">
        <v>0</v>
      </c>
      <c r="R1462" t="s">
        <v>40438</v>
      </c>
      <c r="S1462" t="s">
        <v>40582</v>
      </c>
      <c r="T1462" t="s">
        <v>42259</v>
      </c>
      <c r="U1462" t="s">
        <v>43729</v>
      </c>
      <c r="W1462" t="s">
        <v>37699</v>
      </c>
      <c r="X1462" t="s">
        <v>40439</v>
      </c>
    </row>
    <row r="1463" spans="1:24">
      <c r="A1463">
        <f>HYPERLINK("https://www.philgeps.gov.ph/GEPSNONPILOT/Tender/SplashBidNoticeAbstractUI.aspx?menuIndex=3&amp;refID=7048693&amp;Result=3","7048693")</f>
        <v>0</v>
      </c>
      <c r="B1463" t="s">
        <v>688</v>
      </c>
      <c r="C1463" t="s">
        <v>4509</v>
      </c>
      <c r="D1463" t="s">
        <v>16230</v>
      </c>
      <c r="E1463" t="s">
        <v>17651</v>
      </c>
      <c r="F1463" t="s">
        <v>28198</v>
      </c>
      <c r="G1463" t="s">
        <v>28206</v>
      </c>
      <c r="H1463" t="s">
        <v>28215</v>
      </c>
      <c r="I1463" t="s">
        <v>5100</v>
      </c>
      <c r="J1463" t="s">
        <v>29395</v>
      </c>
      <c r="K1463" t="s">
        <v>36707</v>
      </c>
      <c r="M1463" t="s">
        <v>37687</v>
      </c>
      <c r="N1463" t="s">
        <v>40436</v>
      </c>
      <c r="O1463" t="s">
        <v>40437</v>
      </c>
      <c r="P1463">
        <v>0</v>
      </c>
      <c r="Q1463">
        <v>0</v>
      </c>
      <c r="R1463" t="s">
        <v>40438</v>
      </c>
      <c r="S1463" t="s">
        <v>40582</v>
      </c>
      <c r="T1463" t="s">
        <v>42229</v>
      </c>
      <c r="U1463" t="s">
        <v>43906</v>
      </c>
      <c r="W1463" t="s">
        <v>37687</v>
      </c>
      <c r="X1463" t="s">
        <v>40439</v>
      </c>
    </row>
    <row r="1464" spans="1:24">
      <c r="A1464">
        <f>HYPERLINK("https://www.philgeps.gov.ph/GEPSNONPILOT/Tender/SplashBidNoticeAbstractUI.aspx?menuIndex=3&amp;refID=7048708&amp;Result=3","7048708")</f>
        <v>0</v>
      </c>
      <c r="B1464" t="s">
        <v>315</v>
      </c>
      <c r="C1464" t="s">
        <v>4510</v>
      </c>
      <c r="D1464" t="s">
        <v>16191</v>
      </c>
      <c r="E1464" t="s">
        <v>17652</v>
      </c>
      <c r="F1464" t="s">
        <v>28198</v>
      </c>
      <c r="G1464" t="s">
        <v>28206</v>
      </c>
      <c r="H1464" t="s">
        <v>28215</v>
      </c>
      <c r="I1464" t="s">
        <v>5071</v>
      </c>
      <c r="J1464" t="s">
        <v>28529</v>
      </c>
      <c r="K1464" t="s">
        <v>36688</v>
      </c>
      <c r="M1464" t="s">
        <v>37639</v>
      </c>
      <c r="N1464" t="s">
        <v>40436</v>
      </c>
      <c r="O1464" t="s">
        <v>40437</v>
      </c>
      <c r="P1464">
        <v>0</v>
      </c>
      <c r="Q1464">
        <v>0</v>
      </c>
      <c r="R1464" t="s">
        <v>40438</v>
      </c>
      <c r="S1464" t="s">
        <v>40582</v>
      </c>
      <c r="T1464" t="s">
        <v>42158</v>
      </c>
      <c r="U1464" t="s">
        <v>43907</v>
      </c>
      <c r="W1464" t="s">
        <v>37639</v>
      </c>
      <c r="X1464" t="s">
        <v>40439</v>
      </c>
    </row>
    <row r="1465" spans="1:24">
      <c r="A1465">
        <f>HYPERLINK("https://www.philgeps.gov.ph/GEPSNONPILOT/Tender/SplashBidNoticeAbstractUI.aspx?menuIndex=3&amp;refID=7048704&amp;Result=3","7048704")</f>
        <v>0</v>
      </c>
      <c r="B1465" t="s">
        <v>317</v>
      </c>
      <c r="C1465" t="s">
        <v>4511</v>
      </c>
      <c r="D1465" t="s">
        <v>16223</v>
      </c>
      <c r="E1465" t="s">
        <v>17653</v>
      </c>
      <c r="F1465" t="s">
        <v>28198</v>
      </c>
      <c r="G1465" t="s">
        <v>28205</v>
      </c>
      <c r="H1465" t="s">
        <v>28215</v>
      </c>
      <c r="I1465" t="s">
        <v>4505</v>
      </c>
      <c r="J1465" t="s">
        <v>29396</v>
      </c>
      <c r="K1465" t="s">
        <v>36694</v>
      </c>
      <c r="M1465" t="s">
        <v>37295</v>
      </c>
      <c r="N1465" t="s">
        <v>40436</v>
      </c>
      <c r="O1465" t="s">
        <v>40437</v>
      </c>
      <c r="P1465">
        <v>0</v>
      </c>
      <c r="Q1465">
        <v>1</v>
      </c>
      <c r="R1465" t="s">
        <v>40438</v>
      </c>
      <c r="S1465" t="s">
        <v>40582</v>
      </c>
      <c r="T1465" t="s">
        <v>42126</v>
      </c>
      <c r="U1465" t="s">
        <v>43908</v>
      </c>
      <c r="W1465" t="s">
        <v>37295</v>
      </c>
      <c r="X1465" t="s">
        <v>40439</v>
      </c>
    </row>
    <row r="1466" spans="1:24">
      <c r="A1466">
        <f>HYPERLINK("https://www.philgeps.gov.ph/GEPSNONPILOT/Tender/SplashBidNoticeAbstractUI.aspx?menuIndex=3&amp;refID=7048706&amp;Result=3","7048706")</f>
        <v>0</v>
      </c>
      <c r="B1466" t="s">
        <v>432</v>
      </c>
      <c r="C1466" t="s">
        <v>4512</v>
      </c>
      <c r="D1466" t="s">
        <v>16262</v>
      </c>
      <c r="E1466" t="s">
        <v>17654</v>
      </c>
      <c r="F1466" t="s">
        <v>28198</v>
      </c>
      <c r="G1466" t="s">
        <v>28207</v>
      </c>
      <c r="H1466" t="s">
        <v>28215</v>
      </c>
      <c r="I1466" t="s">
        <v>5100</v>
      </c>
      <c r="J1466" t="s">
        <v>29397</v>
      </c>
      <c r="K1466" t="s">
        <v>36707</v>
      </c>
      <c r="M1466" t="s">
        <v>37415</v>
      </c>
      <c r="N1466" t="s">
        <v>40436</v>
      </c>
      <c r="O1466" t="s">
        <v>40437</v>
      </c>
      <c r="P1466">
        <v>0</v>
      </c>
      <c r="Q1466">
        <v>0</v>
      </c>
      <c r="R1466" t="s">
        <v>40438</v>
      </c>
      <c r="S1466" t="s">
        <v>40582</v>
      </c>
      <c r="T1466" t="s">
        <v>42124</v>
      </c>
      <c r="U1466" t="s">
        <v>43395</v>
      </c>
      <c r="W1466" t="s">
        <v>37415</v>
      </c>
      <c r="X1466" t="s">
        <v>40439</v>
      </c>
    </row>
    <row r="1467" spans="1:24">
      <c r="A1467">
        <f>HYPERLINK("https://www.philgeps.gov.ph/GEPSNONPILOT/Tender/SplashBidNoticeAbstractUI.aspx?menuIndex=3&amp;refID=7048703&amp;Result=3","7048703")</f>
        <v>0</v>
      </c>
      <c r="B1467" t="s">
        <v>390</v>
      </c>
      <c r="C1467" t="s">
        <v>4513</v>
      </c>
      <c r="D1467" t="s">
        <v>16235</v>
      </c>
      <c r="E1467" t="s">
        <v>17655</v>
      </c>
      <c r="F1467" t="s">
        <v>28198</v>
      </c>
      <c r="G1467" t="s">
        <v>28207</v>
      </c>
      <c r="H1467" t="s">
        <v>28215</v>
      </c>
      <c r="I1467" t="s">
        <v>5082</v>
      </c>
      <c r="J1467" t="s">
        <v>29358</v>
      </c>
      <c r="K1467" t="s">
        <v>36689</v>
      </c>
      <c r="M1467" t="s">
        <v>37370</v>
      </c>
      <c r="N1467" t="s">
        <v>40436</v>
      </c>
      <c r="O1467" t="s">
        <v>40437</v>
      </c>
      <c r="P1467">
        <v>0</v>
      </c>
      <c r="Q1467">
        <v>0</v>
      </c>
      <c r="R1467" t="s">
        <v>40438</v>
      </c>
      <c r="S1467" t="s">
        <v>40582</v>
      </c>
      <c r="T1467" t="s">
        <v>42124</v>
      </c>
      <c r="U1467" t="s">
        <v>43768</v>
      </c>
      <c r="W1467" t="s">
        <v>37370</v>
      </c>
      <c r="X1467" t="s">
        <v>40439</v>
      </c>
    </row>
    <row r="1468" spans="1:24">
      <c r="A1468">
        <f>HYPERLINK("https://www.philgeps.gov.ph/GEPSNONPILOT/Tender/SplashBidNoticeAbstractUI.aspx?menuIndex=3&amp;refID=7048705&amp;Result=3","7048705")</f>
        <v>0</v>
      </c>
      <c r="B1468" t="s">
        <v>668</v>
      </c>
      <c r="C1468" t="s">
        <v>4514</v>
      </c>
      <c r="D1468" t="s">
        <v>16223</v>
      </c>
      <c r="E1468" t="s">
        <v>17656</v>
      </c>
      <c r="F1468" t="s">
        <v>28198</v>
      </c>
      <c r="G1468" t="s">
        <v>28207</v>
      </c>
      <c r="H1468" t="s">
        <v>28215</v>
      </c>
      <c r="I1468" t="s">
        <v>4321</v>
      </c>
      <c r="J1468" t="s">
        <v>29398</v>
      </c>
      <c r="K1468" t="s">
        <v>36689</v>
      </c>
      <c r="M1468" t="s">
        <v>37664</v>
      </c>
      <c r="N1468" t="s">
        <v>40436</v>
      </c>
      <c r="O1468" t="s">
        <v>40437</v>
      </c>
      <c r="P1468">
        <v>0</v>
      </c>
      <c r="Q1468">
        <v>0</v>
      </c>
      <c r="R1468" t="s">
        <v>40438</v>
      </c>
      <c r="S1468" t="s">
        <v>40582</v>
      </c>
      <c r="T1468" t="s">
        <v>42103</v>
      </c>
      <c r="U1468" t="s">
        <v>43909</v>
      </c>
      <c r="W1468" t="s">
        <v>37664</v>
      </c>
      <c r="X1468" t="s">
        <v>40439</v>
      </c>
    </row>
    <row r="1469" spans="1:24">
      <c r="A1469">
        <f>HYPERLINK("https://www.philgeps.gov.ph/GEPSNONPILOT/Tender/SplashBidNoticeAbstractUI.aspx?menuIndex=3&amp;refID=7048697&amp;Result=3","7048697")</f>
        <v>0</v>
      </c>
      <c r="B1469" t="s">
        <v>700</v>
      </c>
      <c r="C1469" t="s">
        <v>4515</v>
      </c>
      <c r="D1469" t="s">
        <v>16242</v>
      </c>
      <c r="E1469" t="s">
        <v>16424</v>
      </c>
      <c r="F1469" t="s">
        <v>28198</v>
      </c>
      <c r="G1469" t="s">
        <v>28205</v>
      </c>
      <c r="H1469" t="s">
        <v>28215</v>
      </c>
      <c r="I1469" t="s">
        <v>28258</v>
      </c>
      <c r="J1469" t="s">
        <v>28804</v>
      </c>
      <c r="K1469" t="s">
        <v>36709</v>
      </c>
      <c r="M1469" t="s">
        <v>37700</v>
      </c>
      <c r="N1469" t="s">
        <v>40436</v>
      </c>
      <c r="O1469" t="s">
        <v>40437</v>
      </c>
      <c r="P1469">
        <v>0</v>
      </c>
      <c r="Q1469">
        <v>2</v>
      </c>
      <c r="R1469" t="s">
        <v>40438</v>
      </c>
      <c r="S1469" t="s">
        <v>40582</v>
      </c>
      <c r="T1469" t="s">
        <v>42112</v>
      </c>
      <c r="U1469" t="s">
        <v>43910</v>
      </c>
      <c r="W1469" t="s">
        <v>37700</v>
      </c>
      <c r="X1469" t="s">
        <v>40439</v>
      </c>
    </row>
    <row r="1470" spans="1:24">
      <c r="A1470">
        <f>HYPERLINK("https://www.philgeps.gov.ph/GEPSNONPILOT/Tender/SplashBidNoticeAbstractUI.aspx?menuIndex=3&amp;refID=7048682&amp;Result=3","7048682")</f>
        <v>0</v>
      </c>
      <c r="B1470" t="s">
        <v>701</v>
      </c>
      <c r="C1470" t="s">
        <v>4516</v>
      </c>
      <c r="D1470" t="s">
        <v>16254</v>
      </c>
      <c r="E1470" t="s">
        <v>17657</v>
      </c>
      <c r="F1470" t="s">
        <v>28198</v>
      </c>
      <c r="G1470" t="s">
        <v>28207</v>
      </c>
      <c r="H1470" t="s">
        <v>28215</v>
      </c>
      <c r="I1470" t="s">
        <v>5100</v>
      </c>
      <c r="J1470" t="s">
        <v>28395</v>
      </c>
      <c r="K1470" t="s">
        <v>36707</v>
      </c>
      <c r="M1470" t="s">
        <v>37701</v>
      </c>
      <c r="N1470" t="s">
        <v>40436</v>
      </c>
      <c r="O1470" t="s">
        <v>40437</v>
      </c>
      <c r="P1470">
        <v>0</v>
      </c>
      <c r="Q1470">
        <v>0</v>
      </c>
      <c r="R1470" t="s">
        <v>40438</v>
      </c>
      <c r="S1470" t="s">
        <v>40582</v>
      </c>
      <c r="T1470" t="s">
        <v>42196</v>
      </c>
      <c r="U1470" t="s">
        <v>43911</v>
      </c>
      <c r="W1470" t="s">
        <v>37701</v>
      </c>
      <c r="X1470" t="s">
        <v>40439</v>
      </c>
    </row>
    <row r="1471" spans="1:24">
      <c r="A1471">
        <f>HYPERLINK("https://www.philgeps.gov.ph/GEPSNONPILOT/Tender/SplashBidNoticeAbstractUI.aspx?menuIndex=3&amp;refID=7048699&amp;Result=3","7048699")</f>
        <v>0</v>
      </c>
      <c r="B1471" t="s">
        <v>103</v>
      </c>
      <c r="C1471" t="s">
        <v>4517</v>
      </c>
      <c r="D1471" t="s">
        <v>16230</v>
      </c>
      <c r="E1471" t="s">
        <v>17658</v>
      </c>
      <c r="F1471" t="s">
        <v>28198</v>
      </c>
      <c r="G1471" t="s">
        <v>28206</v>
      </c>
      <c r="H1471" t="s">
        <v>28215</v>
      </c>
      <c r="I1471" t="s">
        <v>5100</v>
      </c>
      <c r="J1471" t="s">
        <v>29399</v>
      </c>
      <c r="K1471" t="s">
        <v>36706</v>
      </c>
      <c r="M1471" t="s">
        <v>37077</v>
      </c>
      <c r="N1471" t="s">
        <v>40436</v>
      </c>
      <c r="O1471" t="s">
        <v>40437</v>
      </c>
      <c r="P1471">
        <v>0</v>
      </c>
      <c r="Q1471">
        <v>0</v>
      </c>
      <c r="R1471" t="s">
        <v>40438</v>
      </c>
      <c r="S1471" t="s">
        <v>40582</v>
      </c>
      <c r="T1471" t="s">
        <v>42103</v>
      </c>
      <c r="U1471" t="s">
        <v>43912</v>
      </c>
      <c r="V1471" t="s">
        <v>53954</v>
      </c>
      <c r="W1471" t="s">
        <v>37077</v>
      </c>
      <c r="X1471" t="s">
        <v>40439</v>
      </c>
    </row>
    <row r="1472" spans="1:24">
      <c r="A1472">
        <f>HYPERLINK("https://www.philgeps.gov.ph/GEPSNONPILOT/Tender/SplashBidNoticeAbstractUI.aspx?menuIndex=3&amp;refID=7048702&amp;Result=3","7048702")</f>
        <v>0</v>
      </c>
      <c r="B1472" t="s">
        <v>702</v>
      </c>
      <c r="C1472" t="s">
        <v>4518</v>
      </c>
      <c r="D1472" t="s">
        <v>16211</v>
      </c>
      <c r="E1472" t="s">
        <v>17659</v>
      </c>
      <c r="F1472" t="s">
        <v>28198</v>
      </c>
      <c r="G1472" t="s">
        <v>28207</v>
      </c>
      <c r="H1472" t="s">
        <v>28215</v>
      </c>
      <c r="I1472" t="s">
        <v>28237</v>
      </c>
      <c r="J1472" t="s">
        <v>28694</v>
      </c>
      <c r="K1472" t="s">
        <v>36706</v>
      </c>
      <c r="M1472" t="s">
        <v>37702</v>
      </c>
      <c r="N1472" t="s">
        <v>40436</v>
      </c>
      <c r="O1472" t="s">
        <v>40437</v>
      </c>
      <c r="P1472">
        <v>0</v>
      </c>
      <c r="Q1472">
        <v>0</v>
      </c>
      <c r="R1472" t="s">
        <v>40438</v>
      </c>
      <c r="S1472" t="s">
        <v>40582</v>
      </c>
      <c r="T1472" t="s">
        <v>42279</v>
      </c>
      <c r="U1472" t="s">
        <v>43913</v>
      </c>
      <c r="W1472" t="s">
        <v>37702</v>
      </c>
      <c r="X1472" t="s">
        <v>40439</v>
      </c>
    </row>
    <row r="1473" spans="1:24">
      <c r="A1473">
        <f>HYPERLINK("https://www.philgeps.gov.ph/GEPSNONPILOT/Tender/SplashBidNoticeAbstractUI.aspx?menuIndex=3&amp;refID=7048710&amp;Result=3","7048710")</f>
        <v>0</v>
      </c>
      <c r="B1473" t="s">
        <v>703</v>
      </c>
      <c r="C1473" t="s">
        <v>4519</v>
      </c>
      <c r="D1473" t="s">
        <v>16240</v>
      </c>
      <c r="E1473" t="s">
        <v>17660</v>
      </c>
      <c r="F1473" t="s">
        <v>28198</v>
      </c>
      <c r="G1473" t="s">
        <v>28210</v>
      </c>
      <c r="H1473" t="s">
        <v>28215</v>
      </c>
      <c r="I1473" t="s">
        <v>28238</v>
      </c>
      <c r="J1473" t="s">
        <v>28386</v>
      </c>
      <c r="K1473" t="s">
        <v>36691</v>
      </c>
      <c r="M1473" t="s">
        <v>37703</v>
      </c>
      <c r="N1473" t="s">
        <v>40436</v>
      </c>
      <c r="O1473" t="s">
        <v>40437</v>
      </c>
      <c r="P1473">
        <v>0</v>
      </c>
      <c r="Q1473">
        <v>0</v>
      </c>
      <c r="R1473" t="s">
        <v>40438</v>
      </c>
      <c r="S1473" t="s">
        <v>40582</v>
      </c>
      <c r="T1473" t="s">
        <v>42142</v>
      </c>
      <c r="U1473" t="s">
        <v>43914</v>
      </c>
      <c r="W1473" t="s">
        <v>37703</v>
      </c>
      <c r="X1473" t="s">
        <v>40439</v>
      </c>
    </row>
    <row r="1474" spans="1:24">
      <c r="A1474">
        <f>HYPERLINK("https://www.philgeps.gov.ph/GEPSNONPILOT/Tender/SplashBidNoticeAbstractUI.aspx?menuIndex=3&amp;refID=7048700&amp;Result=3","7048700")</f>
        <v>0</v>
      </c>
      <c r="B1474" t="s">
        <v>704</v>
      </c>
      <c r="C1474" t="s">
        <v>4520</v>
      </c>
      <c r="D1474" t="s">
        <v>16200</v>
      </c>
      <c r="E1474" t="s">
        <v>17661</v>
      </c>
      <c r="F1474" t="s">
        <v>28198</v>
      </c>
      <c r="G1474" t="s">
        <v>28210</v>
      </c>
      <c r="H1474" t="s">
        <v>28215</v>
      </c>
      <c r="I1474" t="s">
        <v>4219</v>
      </c>
      <c r="J1474" t="s">
        <v>28519</v>
      </c>
      <c r="K1474" t="s">
        <v>36688</v>
      </c>
      <c r="M1474" t="s">
        <v>37704</v>
      </c>
      <c r="N1474" t="s">
        <v>40436</v>
      </c>
      <c r="O1474" t="s">
        <v>40437</v>
      </c>
      <c r="P1474">
        <v>0</v>
      </c>
      <c r="Q1474">
        <v>3</v>
      </c>
      <c r="R1474" t="s">
        <v>40438</v>
      </c>
      <c r="S1474" t="s">
        <v>40582</v>
      </c>
      <c r="T1474" t="s">
        <v>42111</v>
      </c>
      <c r="U1474" t="s">
        <v>43915</v>
      </c>
      <c r="V1474" t="s">
        <v>53955</v>
      </c>
      <c r="W1474" t="s">
        <v>37704</v>
      </c>
      <c r="X1474" t="s">
        <v>40439</v>
      </c>
    </row>
    <row r="1475" spans="1:24">
      <c r="A1475">
        <f>HYPERLINK("https://www.philgeps.gov.ph/GEPSNONPILOT/Tender/SplashBidNoticeAbstractUI.aspx?menuIndex=3&amp;refID=7048711&amp;Result=3","7048711")</f>
        <v>0</v>
      </c>
      <c r="B1475" t="s">
        <v>683</v>
      </c>
      <c r="C1475" t="s">
        <v>4521</v>
      </c>
      <c r="D1475" t="s">
        <v>16196</v>
      </c>
      <c r="E1475" t="s">
        <v>17662</v>
      </c>
      <c r="F1475" t="s">
        <v>28198</v>
      </c>
      <c r="G1475" t="s">
        <v>28205</v>
      </c>
      <c r="H1475" t="s">
        <v>28215</v>
      </c>
      <c r="I1475" t="s">
        <v>28247</v>
      </c>
      <c r="J1475" t="s">
        <v>29400</v>
      </c>
      <c r="K1475" t="s">
        <v>36701</v>
      </c>
      <c r="M1475" t="s">
        <v>37681</v>
      </c>
      <c r="N1475" t="s">
        <v>40436</v>
      </c>
      <c r="O1475" t="s">
        <v>40437</v>
      </c>
      <c r="P1475">
        <v>0</v>
      </c>
      <c r="Q1475">
        <v>16</v>
      </c>
      <c r="R1475" t="s">
        <v>40438</v>
      </c>
      <c r="S1475" t="s">
        <v>40582</v>
      </c>
      <c r="T1475" t="s">
        <v>42272</v>
      </c>
      <c r="U1475" t="s">
        <v>43916</v>
      </c>
      <c r="W1475" t="s">
        <v>37681</v>
      </c>
      <c r="X1475" t="s">
        <v>40439</v>
      </c>
    </row>
    <row r="1476" spans="1:24">
      <c r="A1476">
        <f>HYPERLINK("https://www.philgeps.gov.ph/GEPSNONPILOT/Tender/SplashBidNoticeAbstractUI.aspx?menuIndex=3&amp;refID=7048716&amp;Result=3","7048716")</f>
        <v>0</v>
      </c>
      <c r="B1476" t="s">
        <v>493</v>
      </c>
      <c r="C1476" t="s">
        <v>4522</v>
      </c>
      <c r="D1476" t="s">
        <v>16249</v>
      </c>
      <c r="E1476" t="s">
        <v>17663</v>
      </c>
      <c r="F1476" t="s">
        <v>28198</v>
      </c>
      <c r="G1476" t="s">
        <v>28205</v>
      </c>
      <c r="H1476" t="s">
        <v>28215</v>
      </c>
      <c r="I1476" t="s">
        <v>4168</v>
      </c>
      <c r="J1476" t="s">
        <v>29401</v>
      </c>
      <c r="K1476" t="s">
        <v>36701</v>
      </c>
      <c r="M1476" t="s">
        <v>37478</v>
      </c>
      <c r="N1476" t="s">
        <v>40436</v>
      </c>
      <c r="O1476" t="s">
        <v>40437</v>
      </c>
      <c r="P1476">
        <v>0</v>
      </c>
      <c r="Q1476">
        <v>2</v>
      </c>
      <c r="R1476" t="s">
        <v>40438</v>
      </c>
      <c r="S1476" t="s">
        <v>40582</v>
      </c>
      <c r="T1476" t="s">
        <v>42102</v>
      </c>
      <c r="U1476" t="s">
        <v>43917</v>
      </c>
      <c r="W1476" t="s">
        <v>37478</v>
      </c>
      <c r="X1476" t="s">
        <v>40439</v>
      </c>
    </row>
    <row r="1477" spans="1:24">
      <c r="A1477">
        <f>HYPERLINK("https://www.philgeps.gov.ph/GEPSNONPILOT/Tender/SplashBidNoticeAbstractUI.aspx?menuIndex=3&amp;refID=7048713&amp;Result=3","7048713")</f>
        <v>0</v>
      </c>
      <c r="B1477" t="s">
        <v>643</v>
      </c>
      <c r="C1477" t="s">
        <v>4523</v>
      </c>
      <c r="D1477" t="s">
        <v>16267</v>
      </c>
      <c r="E1477" t="s">
        <v>17664</v>
      </c>
      <c r="F1477" t="s">
        <v>28198</v>
      </c>
      <c r="G1477" t="s">
        <v>28205</v>
      </c>
      <c r="H1477" t="s">
        <v>28214</v>
      </c>
      <c r="I1477" t="s">
        <v>3797</v>
      </c>
      <c r="J1477" t="s">
        <v>29402</v>
      </c>
      <c r="K1477" t="s">
        <v>36753</v>
      </c>
      <c r="M1477" t="s">
        <v>37636</v>
      </c>
      <c r="N1477" t="s">
        <v>40436</v>
      </c>
      <c r="O1477" t="s">
        <v>40437</v>
      </c>
      <c r="P1477">
        <v>0</v>
      </c>
      <c r="Q1477">
        <v>0</v>
      </c>
      <c r="R1477" t="s">
        <v>40438</v>
      </c>
      <c r="S1477" t="s">
        <v>40582</v>
      </c>
      <c r="T1477" t="s">
        <v>42171</v>
      </c>
      <c r="U1477" t="s">
        <v>43918</v>
      </c>
      <c r="W1477" t="s">
        <v>37636</v>
      </c>
      <c r="X1477" t="s">
        <v>40439</v>
      </c>
    </row>
    <row r="1478" spans="1:24">
      <c r="A1478">
        <f>HYPERLINK("https://www.philgeps.gov.ph/GEPSNONPILOT/Tender/SplashBidNoticeAbstractUI.aspx?menuIndex=3&amp;refID=7048714&amp;Result=3","7048714")</f>
        <v>0</v>
      </c>
      <c r="B1478" t="s">
        <v>679</v>
      </c>
      <c r="C1478" t="s">
        <v>4524</v>
      </c>
      <c r="D1478" t="s">
        <v>16204</v>
      </c>
      <c r="E1478" t="s">
        <v>17665</v>
      </c>
      <c r="F1478" t="s">
        <v>28198</v>
      </c>
      <c r="G1478" t="s">
        <v>28205</v>
      </c>
      <c r="H1478" t="s">
        <v>28214</v>
      </c>
      <c r="I1478" t="s">
        <v>3797</v>
      </c>
      <c r="J1478" t="s">
        <v>29350</v>
      </c>
      <c r="K1478" t="s">
        <v>36689</v>
      </c>
      <c r="M1478" t="s">
        <v>37677</v>
      </c>
      <c r="N1478" t="s">
        <v>40436</v>
      </c>
      <c r="O1478" t="s">
        <v>40437</v>
      </c>
      <c r="P1478">
        <v>0</v>
      </c>
      <c r="Q1478">
        <v>0</v>
      </c>
      <c r="R1478" t="s">
        <v>40438</v>
      </c>
      <c r="S1478" t="s">
        <v>40582</v>
      </c>
      <c r="T1478" t="s">
        <v>42115</v>
      </c>
      <c r="U1478" t="s">
        <v>43919</v>
      </c>
      <c r="V1478" t="s">
        <v>53944</v>
      </c>
      <c r="W1478" t="s">
        <v>37677</v>
      </c>
      <c r="X1478" t="s">
        <v>40439</v>
      </c>
    </row>
    <row r="1479" spans="1:24">
      <c r="A1479">
        <f>HYPERLINK("https://www.philgeps.gov.ph/GEPSNONPILOT/Tender/SplashBidNoticeAbstractUI.aspx?menuIndex=3&amp;refID=7048712&amp;Result=3","7048712")</f>
        <v>0</v>
      </c>
      <c r="B1479" t="s">
        <v>412</v>
      </c>
      <c r="C1479" t="s">
        <v>4525</v>
      </c>
      <c r="D1479" t="s">
        <v>16261</v>
      </c>
      <c r="E1479" t="s">
        <v>17666</v>
      </c>
      <c r="F1479" t="s">
        <v>28198</v>
      </c>
      <c r="G1479" t="s">
        <v>28206</v>
      </c>
      <c r="H1479" t="s">
        <v>28215</v>
      </c>
      <c r="I1479" t="s">
        <v>28306</v>
      </c>
      <c r="J1479" t="s">
        <v>29403</v>
      </c>
      <c r="K1479" t="s">
        <v>36706</v>
      </c>
      <c r="M1479" t="s">
        <v>37394</v>
      </c>
      <c r="N1479" t="s">
        <v>40436</v>
      </c>
      <c r="O1479" t="s">
        <v>40437</v>
      </c>
      <c r="P1479">
        <v>0</v>
      </c>
      <c r="Q1479">
        <v>1</v>
      </c>
      <c r="R1479" t="s">
        <v>40438</v>
      </c>
      <c r="S1479" t="s">
        <v>40582</v>
      </c>
      <c r="T1479" t="s">
        <v>42142</v>
      </c>
      <c r="U1479" t="s">
        <v>43920</v>
      </c>
      <c r="W1479" t="s">
        <v>37394</v>
      </c>
      <c r="X1479" t="s">
        <v>40439</v>
      </c>
    </row>
    <row r="1480" spans="1:24">
      <c r="A1480">
        <f>HYPERLINK("https://www.philgeps.gov.ph/GEPSNONPILOT/Tender/SplashBidNoticeAbstractUI.aspx?menuIndex=3&amp;refID=7048715&amp;Result=3","7048715")</f>
        <v>0</v>
      </c>
      <c r="B1480" t="s">
        <v>705</v>
      </c>
      <c r="C1480" t="s">
        <v>4526</v>
      </c>
      <c r="D1480" t="s">
        <v>16201</v>
      </c>
      <c r="E1480" t="s">
        <v>17667</v>
      </c>
      <c r="F1480" t="s">
        <v>28198</v>
      </c>
      <c r="G1480" t="s">
        <v>28206</v>
      </c>
      <c r="H1480" t="s">
        <v>28215</v>
      </c>
      <c r="I1480" t="s">
        <v>4505</v>
      </c>
      <c r="J1480" t="s">
        <v>29404</v>
      </c>
      <c r="K1480" t="s">
        <v>36701</v>
      </c>
      <c r="M1480" t="s">
        <v>37705</v>
      </c>
      <c r="N1480" t="s">
        <v>40436</v>
      </c>
      <c r="O1480" t="s">
        <v>40437</v>
      </c>
      <c r="P1480">
        <v>0</v>
      </c>
      <c r="Q1480">
        <v>12</v>
      </c>
      <c r="R1480" t="s">
        <v>40438</v>
      </c>
      <c r="S1480" t="s">
        <v>40582</v>
      </c>
      <c r="T1480" t="s">
        <v>42105</v>
      </c>
      <c r="U1480" t="s">
        <v>43921</v>
      </c>
      <c r="W1480" t="s">
        <v>37705</v>
      </c>
      <c r="X1480" t="s">
        <v>40439</v>
      </c>
    </row>
    <row r="1481" spans="1:24">
      <c r="A1481">
        <f>HYPERLINK("https://www.philgeps.gov.ph/GEPSNONPILOT/Tender/SplashBidNoticeAbstractUI.aspx?menuIndex=3&amp;refID=7048718&amp;Result=3","7048718")</f>
        <v>0</v>
      </c>
      <c r="B1481" t="s">
        <v>674</v>
      </c>
      <c r="C1481" t="s">
        <v>4527</v>
      </c>
      <c r="D1481" t="s">
        <v>16218</v>
      </c>
      <c r="E1481" t="s">
        <v>17668</v>
      </c>
      <c r="F1481" t="s">
        <v>28198</v>
      </c>
      <c r="G1481" t="s">
        <v>28207</v>
      </c>
      <c r="H1481" t="s">
        <v>28215</v>
      </c>
      <c r="I1481" t="s">
        <v>28238</v>
      </c>
      <c r="J1481" t="s">
        <v>29405</v>
      </c>
      <c r="K1481" t="s">
        <v>36701</v>
      </c>
      <c r="M1481" t="s">
        <v>37671</v>
      </c>
      <c r="N1481" t="s">
        <v>40436</v>
      </c>
      <c r="O1481" t="s">
        <v>40437</v>
      </c>
      <c r="P1481">
        <v>0</v>
      </c>
      <c r="Q1481">
        <v>1</v>
      </c>
      <c r="R1481" t="s">
        <v>40438</v>
      </c>
      <c r="S1481" t="s">
        <v>40582</v>
      </c>
      <c r="T1481" t="s">
        <v>42115</v>
      </c>
      <c r="U1481" t="s">
        <v>43834</v>
      </c>
      <c r="W1481" t="s">
        <v>37671</v>
      </c>
      <c r="X1481" t="s">
        <v>40439</v>
      </c>
    </row>
    <row r="1482" spans="1:24">
      <c r="A1482">
        <f>HYPERLINK("https://www.philgeps.gov.ph/GEPSNONPILOT/Tender/SplashBidNoticeAbstractUI.aspx?menuIndex=3&amp;refID=7048721&amp;Result=3","7048721")</f>
        <v>0</v>
      </c>
      <c r="B1482" t="s">
        <v>706</v>
      </c>
      <c r="C1482" t="s">
        <v>4528</v>
      </c>
      <c r="D1482" t="s">
        <v>16202</v>
      </c>
      <c r="E1482" t="s">
        <v>17669</v>
      </c>
      <c r="F1482" t="s">
        <v>28198</v>
      </c>
      <c r="G1482" t="s">
        <v>28207</v>
      </c>
      <c r="H1482" t="s">
        <v>28215</v>
      </c>
      <c r="I1482" t="s">
        <v>3422</v>
      </c>
      <c r="J1482" t="s">
        <v>28350</v>
      </c>
      <c r="K1482" t="s">
        <v>36698</v>
      </c>
      <c r="M1482" t="s">
        <v>37706</v>
      </c>
      <c r="N1482" t="s">
        <v>40436</v>
      </c>
      <c r="O1482" t="s">
        <v>40437</v>
      </c>
      <c r="P1482">
        <v>0</v>
      </c>
      <c r="Q1482">
        <v>0</v>
      </c>
      <c r="R1482" t="s">
        <v>40438</v>
      </c>
      <c r="S1482" t="s">
        <v>40582</v>
      </c>
      <c r="T1482" t="s">
        <v>42167</v>
      </c>
      <c r="U1482" t="s">
        <v>43922</v>
      </c>
      <c r="W1482" t="s">
        <v>37706</v>
      </c>
      <c r="X1482" t="s">
        <v>40439</v>
      </c>
    </row>
    <row r="1483" spans="1:24">
      <c r="A1483">
        <f>HYPERLINK("https://www.philgeps.gov.ph/GEPSNONPILOT/Tender/SplashBidNoticeAbstractUI.aspx?menuIndex=3&amp;refID=7048722&amp;Result=3","7048722")</f>
        <v>0</v>
      </c>
      <c r="B1483" t="s">
        <v>707</v>
      </c>
      <c r="C1483" t="s">
        <v>4529</v>
      </c>
      <c r="D1483" t="s">
        <v>16199</v>
      </c>
      <c r="E1483" t="s">
        <v>17670</v>
      </c>
      <c r="F1483" t="s">
        <v>28198</v>
      </c>
      <c r="G1483" t="s">
        <v>28207</v>
      </c>
      <c r="H1483" t="s">
        <v>28215</v>
      </c>
      <c r="I1483" t="s">
        <v>28257</v>
      </c>
      <c r="J1483" t="s">
        <v>29406</v>
      </c>
      <c r="K1483" t="s">
        <v>36706</v>
      </c>
      <c r="M1483" t="s">
        <v>37707</v>
      </c>
      <c r="N1483" t="s">
        <v>40436</v>
      </c>
      <c r="O1483" t="s">
        <v>40437</v>
      </c>
      <c r="P1483">
        <v>0</v>
      </c>
      <c r="Q1483">
        <v>0</v>
      </c>
      <c r="R1483" t="s">
        <v>40438</v>
      </c>
      <c r="S1483" t="s">
        <v>40582</v>
      </c>
      <c r="T1483" t="s">
        <v>42152</v>
      </c>
      <c r="U1483" t="s">
        <v>43923</v>
      </c>
      <c r="W1483" t="s">
        <v>37707</v>
      </c>
      <c r="X1483" t="s">
        <v>40439</v>
      </c>
    </row>
    <row r="1484" spans="1:24">
      <c r="A1484">
        <f>HYPERLINK("https://www.philgeps.gov.ph/GEPSNONPILOT/Tender/SplashBidNoticeAbstractUI.aspx?menuIndex=3&amp;refID=7048717&amp;Result=3","7048717")</f>
        <v>0</v>
      </c>
      <c r="B1484" t="s">
        <v>152</v>
      </c>
      <c r="C1484" t="s">
        <v>4530</v>
      </c>
      <c r="D1484" t="s">
        <v>16210</v>
      </c>
      <c r="E1484" t="s">
        <v>17671</v>
      </c>
      <c r="F1484" t="s">
        <v>28198</v>
      </c>
      <c r="G1484" t="s">
        <v>28207</v>
      </c>
      <c r="H1484" t="s">
        <v>28215</v>
      </c>
      <c r="I1484" t="s">
        <v>28225</v>
      </c>
      <c r="J1484" t="s">
        <v>29407</v>
      </c>
      <c r="K1484" t="s">
        <v>36701</v>
      </c>
      <c r="M1484" t="s">
        <v>37126</v>
      </c>
      <c r="N1484" t="s">
        <v>40436</v>
      </c>
      <c r="O1484" t="s">
        <v>40437</v>
      </c>
      <c r="P1484">
        <v>0</v>
      </c>
      <c r="Q1484">
        <v>3</v>
      </c>
      <c r="R1484" t="s">
        <v>40438</v>
      </c>
      <c r="S1484" t="s">
        <v>40582</v>
      </c>
      <c r="T1484" t="s">
        <v>42159</v>
      </c>
      <c r="U1484" t="s">
        <v>43924</v>
      </c>
      <c r="W1484" t="s">
        <v>37126</v>
      </c>
      <c r="X1484" t="s">
        <v>40439</v>
      </c>
    </row>
    <row r="1485" spans="1:24">
      <c r="A1485">
        <f>HYPERLINK("https://www.philgeps.gov.ph/GEPSNONPILOT/Tender/SplashBidNoticeAbstractUI.aspx?menuIndex=3&amp;refID=7048719&amp;Result=3","7048719")</f>
        <v>0</v>
      </c>
      <c r="B1485" t="s">
        <v>708</v>
      </c>
      <c r="C1485" t="s">
        <v>4531</v>
      </c>
      <c r="D1485" t="s">
        <v>16228</v>
      </c>
      <c r="E1485" t="s">
        <v>17672</v>
      </c>
      <c r="F1485" t="s">
        <v>28198</v>
      </c>
      <c r="G1485" t="s">
        <v>28205</v>
      </c>
      <c r="H1485" t="s">
        <v>28215</v>
      </c>
      <c r="I1485" t="s">
        <v>5100</v>
      </c>
      <c r="J1485" t="s">
        <v>29408</v>
      </c>
      <c r="K1485" t="s">
        <v>36706</v>
      </c>
      <c r="M1485" t="s">
        <v>37708</v>
      </c>
      <c r="N1485" t="s">
        <v>40436</v>
      </c>
      <c r="O1485" t="s">
        <v>40437</v>
      </c>
      <c r="P1485">
        <v>0</v>
      </c>
      <c r="Q1485">
        <v>0</v>
      </c>
      <c r="R1485" t="s">
        <v>40438</v>
      </c>
      <c r="S1485" t="s">
        <v>40582</v>
      </c>
      <c r="T1485" t="s">
        <v>42108</v>
      </c>
      <c r="U1485" t="s">
        <v>43925</v>
      </c>
      <c r="W1485" t="s">
        <v>37708</v>
      </c>
      <c r="X1485" t="s">
        <v>40439</v>
      </c>
    </row>
    <row r="1486" spans="1:24">
      <c r="A1486">
        <f>HYPERLINK("https://www.philgeps.gov.ph/GEPSNONPILOT/Tender/SplashBidNoticeAbstractUI.aspx?menuIndex=3&amp;refID=7048724&amp;Result=3","7048724")</f>
        <v>0</v>
      </c>
      <c r="B1486" t="s">
        <v>684</v>
      </c>
      <c r="C1486" t="s">
        <v>4532</v>
      </c>
      <c r="D1486" t="s">
        <v>16210</v>
      </c>
      <c r="E1486" t="s">
        <v>17673</v>
      </c>
      <c r="F1486" t="s">
        <v>28198</v>
      </c>
      <c r="G1486" t="s">
        <v>28207</v>
      </c>
      <c r="H1486" t="s">
        <v>28215</v>
      </c>
      <c r="I1486" t="s">
        <v>28234</v>
      </c>
      <c r="J1486" t="s">
        <v>28645</v>
      </c>
      <c r="K1486" t="s">
        <v>36689</v>
      </c>
      <c r="M1486" t="s">
        <v>37682</v>
      </c>
      <c r="N1486" t="s">
        <v>40436</v>
      </c>
      <c r="O1486" t="s">
        <v>40437</v>
      </c>
      <c r="P1486">
        <v>0</v>
      </c>
      <c r="Q1486">
        <v>8</v>
      </c>
      <c r="R1486" t="s">
        <v>40438</v>
      </c>
      <c r="S1486" t="s">
        <v>40582</v>
      </c>
      <c r="T1486" t="s">
        <v>42119</v>
      </c>
      <c r="U1486" t="s">
        <v>43860</v>
      </c>
      <c r="V1486" t="s">
        <v>53949</v>
      </c>
      <c r="W1486" t="s">
        <v>37682</v>
      </c>
      <c r="X1486" t="s">
        <v>40439</v>
      </c>
    </row>
    <row r="1487" spans="1:24">
      <c r="A1487">
        <f>HYPERLINK("https://www.philgeps.gov.ph/GEPSNONPILOT/Tender/SplashBidNoticeAbstractUI.aspx?menuIndex=3&amp;refID=7048735&amp;Result=3","7048735")</f>
        <v>0</v>
      </c>
      <c r="B1487" t="s">
        <v>709</v>
      </c>
      <c r="C1487" t="s">
        <v>4533</v>
      </c>
      <c r="D1487" t="s">
        <v>16194</v>
      </c>
      <c r="E1487" t="s">
        <v>17674</v>
      </c>
      <c r="F1487" t="s">
        <v>28198</v>
      </c>
      <c r="G1487" t="s">
        <v>28205</v>
      </c>
      <c r="H1487" t="s">
        <v>28214</v>
      </c>
      <c r="I1487" t="s">
        <v>3797</v>
      </c>
      <c r="J1487" t="s">
        <v>28363</v>
      </c>
      <c r="K1487" t="s">
        <v>36701</v>
      </c>
      <c r="M1487" t="s">
        <v>37709</v>
      </c>
      <c r="N1487" t="s">
        <v>40436</v>
      </c>
      <c r="O1487" t="s">
        <v>40437</v>
      </c>
      <c r="P1487">
        <v>0</v>
      </c>
      <c r="Q1487">
        <v>0</v>
      </c>
      <c r="R1487" t="s">
        <v>40438</v>
      </c>
      <c r="S1487" t="s">
        <v>40582</v>
      </c>
      <c r="T1487" t="s">
        <v>42213</v>
      </c>
      <c r="U1487" t="s">
        <v>43926</v>
      </c>
      <c r="W1487" t="s">
        <v>37709</v>
      </c>
      <c r="X1487" t="s">
        <v>40439</v>
      </c>
    </row>
    <row r="1488" spans="1:24">
      <c r="A1488">
        <f>HYPERLINK("https://www.philgeps.gov.ph/GEPSNONPILOT/Tender/SplashBidNoticeAbstractUI.aspx?menuIndex=3&amp;refID=7048720&amp;Result=3","7048720")</f>
        <v>0</v>
      </c>
      <c r="B1488" t="s">
        <v>317</v>
      </c>
      <c r="C1488" t="s">
        <v>4534</v>
      </c>
      <c r="D1488" t="s">
        <v>16223</v>
      </c>
      <c r="E1488" t="s">
        <v>17675</v>
      </c>
      <c r="F1488" t="s">
        <v>28198</v>
      </c>
      <c r="G1488" t="s">
        <v>28205</v>
      </c>
      <c r="H1488" t="s">
        <v>28215</v>
      </c>
      <c r="I1488" t="s">
        <v>5100</v>
      </c>
      <c r="J1488" t="s">
        <v>28561</v>
      </c>
      <c r="K1488" t="s">
        <v>36689</v>
      </c>
      <c r="M1488" t="s">
        <v>37295</v>
      </c>
      <c r="N1488" t="s">
        <v>40436</v>
      </c>
      <c r="O1488" t="s">
        <v>40437</v>
      </c>
      <c r="P1488">
        <v>0</v>
      </c>
      <c r="Q1488">
        <v>0</v>
      </c>
      <c r="R1488" t="s">
        <v>40438</v>
      </c>
      <c r="S1488" t="s">
        <v>40582</v>
      </c>
      <c r="T1488" t="s">
        <v>42126</v>
      </c>
      <c r="U1488" t="s">
        <v>43927</v>
      </c>
      <c r="W1488" t="s">
        <v>37295</v>
      </c>
      <c r="X1488" t="s">
        <v>40439</v>
      </c>
    </row>
    <row r="1489" spans="1:24">
      <c r="A1489">
        <f>HYPERLINK("https://www.philgeps.gov.ph/GEPSNONPILOT/Tender/SplashBidNoticeAbstractUI.aspx?menuIndex=3&amp;refID=7048729&amp;Result=3","7048729")</f>
        <v>0</v>
      </c>
      <c r="B1489" t="s">
        <v>710</v>
      </c>
      <c r="C1489" t="s">
        <v>4535</v>
      </c>
      <c r="D1489" t="s">
        <v>16199</v>
      </c>
      <c r="E1489" t="s">
        <v>17676</v>
      </c>
      <c r="F1489" t="s">
        <v>28198</v>
      </c>
      <c r="G1489" t="s">
        <v>28205</v>
      </c>
      <c r="H1489" t="s">
        <v>28214</v>
      </c>
      <c r="I1489" t="s">
        <v>3797</v>
      </c>
      <c r="J1489" t="s">
        <v>29409</v>
      </c>
      <c r="K1489" t="s">
        <v>36694</v>
      </c>
      <c r="M1489" t="s">
        <v>37710</v>
      </c>
      <c r="N1489" t="s">
        <v>40436</v>
      </c>
      <c r="O1489" t="s">
        <v>40437</v>
      </c>
      <c r="P1489">
        <v>0</v>
      </c>
      <c r="Q1489">
        <v>1</v>
      </c>
      <c r="R1489" t="s">
        <v>40438</v>
      </c>
      <c r="S1489" t="s">
        <v>40582</v>
      </c>
      <c r="T1489" t="s">
        <v>42193</v>
      </c>
      <c r="U1489" t="s">
        <v>43928</v>
      </c>
      <c r="W1489" t="s">
        <v>37710</v>
      </c>
      <c r="X1489" t="s">
        <v>40439</v>
      </c>
    </row>
    <row r="1490" spans="1:24">
      <c r="A1490">
        <f>HYPERLINK("https://www.philgeps.gov.ph/GEPSNONPILOT/Tender/SplashBidNoticeAbstractUI.aspx?menuIndex=3&amp;refID=7048737&amp;Result=3","7048737")</f>
        <v>0</v>
      </c>
      <c r="B1490" t="s">
        <v>667</v>
      </c>
      <c r="C1490" t="s">
        <v>4536</v>
      </c>
      <c r="D1490" t="s">
        <v>16210</v>
      </c>
      <c r="E1490" t="s">
        <v>17677</v>
      </c>
      <c r="F1490" t="s">
        <v>28198</v>
      </c>
      <c r="G1490" t="s">
        <v>28207</v>
      </c>
      <c r="H1490" t="s">
        <v>28214</v>
      </c>
      <c r="I1490" t="s">
        <v>3797</v>
      </c>
      <c r="J1490" t="s">
        <v>29410</v>
      </c>
      <c r="K1490" t="s">
        <v>36707</v>
      </c>
      <c r="M1490" t="s">
        <v>37663</v>
      </c>
      <c r="N1490" t="s">
        <v>40436</v>
      </c>
      <c r="O1490" t="s">
        <v>40437</v>
      </c>
      <c r="P1490">
        <v>0</v>
      </c>
      <c r="Q1490">
        <v>2</v>
      </c>
      <c r="R1490" t="s">
        <v>40438</v>
      </c>
      <c r="S1490" t="s">
        <v>40582</v>
      </c>
      <c r="T1490" t="s">
        <v>42146</v>
      </c>
      <c r="U1490" t="s">
        <v>43821</v>
      </c>
      <c r="W1490" t="s">
        <v>37663</v>
      </c>
      <c r="X1490" t="s">
        <v>40439</v>
      </c>
    </row>
    <row r="1491" spans="1:24">
      <c r="A1491">
        <f>HYPERLINK("https://www.philgeps.gov.ph/GEPSNONPILOT/Tender/SplashBidNoticeAbstractUI.aspx?menuIndex=3&amp;refID=7048733&amp;Result=3","7048733")</f>
        <v>0</v>
      </c>
      <c r="B1491" t="s">
        <v>317</v>
      </c>
      <c r="C1491" t="s">
        <v>4537</v>
      </c>
      <c r="D1491" t="s">
        <v>16223</v>
      </c>
      <c r="E1491" t="s">
        <v>17678</v>
      </c>
      <c r="F1491" t="s">
        <v>28198</v>
      </c>
      <c r="G1491" t="s">
        <v>28205</v>
      </c>
      <c r="H1491" t="s">
        <v>28215</v>
      </c>
      <c r="I1491" t="s">
        <v>5100</v>
      </c>
      <c r="J1491" t="s">
        <v>29190</v>
      </c>
      <c r="K1491" t="s">
        <v>36689</v>
      </c>
      <c r="M1491" t="s">
        <v>37295</v>
      </c>
      <c r="N1491" t="s">
        <v>40436</v>
      </c>
      <c r="O1491" t="s">
        <v>40437</v>
      </c>
      <c r="P1491">
        <v>0</v>
      </c>
      <c r="Q1491">
        <v>0</v>
      </c>
      <c r="R1491" t="s">
        <v>40438</v>
      </c>
      <c r="S1491" t="s">
        <v>40582</v>
      </c>
      <c r="T1491" t="s">
        <v>42126</v>
      </c>
      <c r="U1491" t="s">
        <v>43929</v>
      </c>
      <c r="W1491" t="s">
        <v>37295</v>
      </c>
      <c r="X1491" t="s">
        <v>40439</v>
      </c>
    </row>
    <row r="1492" spans="1:24">
      <c r="A1492">
        <f>HYPERLINK("https://www.philgeps.gov.ph/GEPSNONPILOT/Tender/SplashBidNoticeAbstractUI.aspx?menuIndex=3&amp;refID=7048744&amp;Result=3","7048744")</f>
        <v>0</v>
      </c>
      <c r="B1492" t="s">
        <v>705</v>
      </c>
      <c r="C1492" t="s">
        <v>4538</v>
      </c>
      <c r="D1492" t="s">
        <v>16218</v>
      </c>
      <c r="E1492" t="s">
        <v>17679</v>
      </c>
      <c r="F1492" t="s">
        <v>28198</v>
      </c>
      <c r="G1492" t="s">
        <v>28206</v>
      </c>
      <c r="H1492" t="s">
        <v>28215</v>
      </c>
      <c r="I1492" t="s">
        <v>28266</v>
      </c>
      <c r="J1492" t="s">
        <v>29203</v>
      </c>
      <c r="K1492" t="s">
        <v>36701</v>
      </c>
      <c r="M1492" t="s">
        <v>37705</v>
      </c>
      <c r="N1492" t="s">
        <v>40436</v>
      </c>
      <c r="O1492" t="s">
        <v>40437</v>
      </c>
      <c r="P1492">
        <v>0</v>
      </c>
      <c r="Q1492">
        <v>5</v>
      </c>
      <c r="R1492" t="s">
        <v>40438</v>
      </c>
      <c r="S1492" t="s">
        <v>40582</v>
      </c>
      <c r="T1492" t="s">
        <v>42105</v>
      </c>
      <c r="U1492" t="s">
        <v>43930</v>
      </c>
      <c r="W1492" t="s">
        <v>37705</v>
      </c>
      <c r="X1492" t="s">
        <v>40439</v>
      </c>
    </row>
    <row r="1493" spans="1:24">
      <c r="A1493">
        <f>HYPERLINK("https://www.philgeps.gov.ph/GEPSNONPILOT/Tender/SplashBidNoticeAbstractUI.aspx?menuIndex=3&amp;refID=7048736&amp;Result=3","7048736")</f>
        <v>0</v>
      </c>
      <c r="B1493" t="s">
        <v>678</v>
      </c>
      <c r="C1493" t="s">
        <v>4056</v>
      </c>
      <c r="D1493" t="s">
        <v>16222</v>
      </c>
      <c r="E1493" t="s">
        <v>17386</v>
      </c>
      <c r="F1493" t="s">
        <v>28198</v>
      </c>
      <c r="G1493" t="s">
        <v>28207</v>
      </c>
      <c r="H1493" t="s">
        <v>28215</v>
      </c>
      <c r="I1493" t="s">
        <v>5656</v>
      </c>
      <c r="J1493" t="s">
        <v>28878</v>
      </c>
      <c r="K1493" t="s">
        <v>36691</v>
      </c>
      <c r="M1493" t="s">
        <v>37676</v>
      </c>
      <c r="N1493" t="s">
        <v>40436</v>
      </c>
      <c r="O1493" t="s">
        <v>40437</v>
      </c>
      <c r="P1493">
        <v>0</v>
      </c>
      <c r="Q1493">
        <v>0</v>
      </c>
      <c r="R1493" t="s">
        <v>40438</v>
      </c>
      <c r="S1493" t="s">
        <v>40582</v>
      </c>
      <c r="T1493" t="s">
        <v>42103</v>
      </c>
      <c r="U1493" t="s">
        <v>43931</v>
      </c>
      <c r="W1493" t="s">
        <v>37676</v>
      </c>
      <c r="X1493" t="s">
        <v>40439</v>
      </c>
    </row>
    <row r="1494" spans="1:24">
      <c r="A1494">
        <f>HYPERLINK("https://www.philgeps.gov.ph/GEPSNONPILOT/Tender/SplashBidNoticeAbstractUI.aspx?menuIndex=3&amp;refID=7048743&amp;Result=3","7048743")</f>
        <v>0</v>
      </c>
      <c r="B1494" t="s">
        <v>351</v>
      </c>
      <c r="C1494" t="s">
        <v>4539</v>
      </c>
      <c r="D1494" t="s">
        <v>16258</v>
      </c>
      <c r="E1494" t="s">
        <v>17680</v>
      </c>
      <c r="F1494" t="s">
        <v>28198</v>
      </c>
      <c r="G1494" t="s">
        <v>28209</v>
      </c>
      <c r="H1494" t="s">
        <v>28215</v>
      </c>
      <c r="I1494" t="s">
        <v>5791</v>
      </c>
      <c r="J1494" t="s">
        <v>29411</v>
      </c>
      <c r="K1494" t="s">
        <v>36706</v>
      </c>
      <c r="M1494" t="s">
        <v>37330</v>
      </c>
      <c r="N1494" t="s">
        <v>40436</v>
      </c>
      <c r="O1494" t="s">
        <v>40437</v>
      </c>
      <c r="P1494">
        <v>0</v>
      </c>
      <c r="Q1494">
        <v>0</v>
      </c>
      <c r="R1494" t="s">
        <v>40438</v>
      </c>
      <c r="S1494" t="s">
        <v>40582</v>
      </c>
      <c r="T1494" t="s">
        <v>42136</v>
      </c>
      <c r="U1494" t="s">
        <v>43932</v>
      </c>
      <c r="W1494" t="s">
        <v>37330</v>
      </c>
      <c r="X1494" t="s">
        <v>40439</v>
      </c>
    </row>
    <row r="1495" spans="1:24">
      <c r="A1495">
        <f>HYPERLINK("https://www.philgeps.gov.ph/GEPSNONPILOT/Tender/SplashBidNoticeAbstractUI.aspx?menuIndex=3&amp;refID=7048727&amp;Result=3","7048727")</f>
        <v>0</v>
      </c>
      <c r="B1495" t="s">
        <v>696</v>
      </c>
      <c r="C1495" t="s">
        <v>4494</v>
      </c>
      <c r="D1495" t="s">
        <v>16201</v>
      </c>
      <c r="E1495" t="s">
        <v>17681</v>
      </c>
      <c r="F1495" t="s">
        <v>28198</v>
      </c>
      <c r="G1495" t="s">
        <v>28206</v>
      </c>
      <c r="H1495" t="s">
        <v>28215</v>
      </c>
      <c r="I1495" t="s">
        <v>4200</v>
      </c>
      <c r="J1495" t="s">
        <v>29143</v>
      </c>
      <c r="K1495" t="s">
        <v>36689</v>
      </c>
      <c r="M1495" t="s">
        <v>37696</v>
      </c>
      <c r="N1495" t="s">
        <v>40436</v>
      </c>
      <c r="O1495" t="s">
        <v>40437</v>
      </c>
      <c r="P1495">
        <v>0</v>
      </c>
      <c r="Q1495">
        <v>0</v>
      </c>
      <c r="R1495" t="s">
        <v>40438</v>
      </c>
      <c r="S1495" t="s">
        <v>40582</v>
      </c>
      <c r="T1495" t="s">
        <v>42160</v>
      </c>
      <c r="U1495" t="s">
        <v>43933</v>
      </c>
      <c r="W1495" t="s">
        <v>37696</v>
      </c>
      <c r="X1495" t="s">
        <v>40439</v>
      </c>
    </row>
    <row r="1496" spans="1:24">
      <c r="A1496">
        <f>HYPERLINK("https://www.philgeps.gov.ph/GEPSNONPILOT/Tender/SplashBidNoticeAbstractUI.aspx?menuIndex=3&amp;refID=7048740&amp;Result=3","7048740")</f>
        <v>0</v>
      </c>
      <c r="B1496" t="s">
        <v>52</v>
      </c>
      <c r="C1496" t="s">
        <v>4540</v>
      </c>
      <c r="E1496" t="s">
        <v>17682</v>
      </c>
      <c r="F1496" t="s">
        <v>28198</v>
      </c>
      <c r="G1496" t="s">
        <v>28207</v>
      </c>
      <c r="H1496" t="s">
        <v>28215</v>
      </c>
      <c r="I1496" t="s">
        <v>5082</v>
      </c>
      <c r="J1496" t="s">
        <v>29412</v>
      </c>
      <c r="K1496" t="s">
        <v>36701</v>
      </c>
      <c r="M1496" t="s">
        <v>37589</v>
      </c>
      <c r="N1496" t="s">
        <v>40436</v>
      </c>
      <c r="O1496" t="s">
        <v>40437</v>
      </c>
      <c r="P1496">
        <v>0</v>
      </c>
      <c r="Q1496">
        <v>0</v>
      </c>
      <c r="R1496" t="s">
        <v>40438</v>
      </c>
      <c r="S1496" t="s">
        <v>40582</v>
      </c>
      <c r="T1496" t="s">
        <v>42254</v>
      </c>
      <c r="U1496" t="s">
        <v>43934</v>
      </c>
      <c r="W1496" t="s">
        <v>55453</v>
      </c>
      <c r="X1496" t="s">
        <v>40439</v>
      </c>
    </row>
    <row r="1497" spans="1:24">
      <c r="A1497">
        <f>HYPERLINK("https://www.philgeps.gov.ph/GEPSNONPILOT/Tender/SplashBidNoticeAbstractUI.aspx?menuIndex=3&amp;refID=7048726&amp;Result=3","7048726")</f>
        <v>0</v>
      </c>
      <c r="B1497" t="s">
        <v>711</v>
      </c>
      <c r="C1497" t="s">
        <v>4541</v>
      </c>
      <c r="D1497" t="s">
        <v>16189</v>
      </c>
      <c r="E1497" t="s">
        <v>16322</v>
      </c>
      <c r="F1497" t="s">
        <v>28198</v>
      </c>
      <c r="G1497" t="s">
        <v>28207</v>
      </c>
      <c r="H1497" t="s">
        <v>28214</v>
      </c>
      <c r="I1497" t="s">
        <v>3797</v>
      </c>
      <c r="J1497" t="s">
        <v>29413</v>
      </c>
      <c r="K1497" t="s">
        <v>36707</v>
      </c>
      <c r="M1497" t="s">
        <v>37711</v>
      </c>
      <c r="N1497" t="s">
        <v>40436</v>
      </c>
      <c r="O1497" t="s">
        <v>40437</v>
      </c>
      <c r="P1497">
        <v>0</v>
      </c>
      <c r="Q1497">
        <v>1</v>
      </c>
      <c r="R1497" t="s">
        <v>40438</v>
      </c>
      <c r="S1497" t="s">
        <v>40582</v>
      </c>
      <c r="T1497" t="s">
        <v>42111</v>
      </c>
      <c r="U1497" t="s">
        <v>43935</v>
      </c>
      <c r="W1497" t="s">
        <v>37711</v>
      </c>
      <c r="X1497" t="s">
        <v>40439</v>
      </c>
    </row>
    <row r="1498" spans="1:24">
      <c r="A1498">
        <f>HYPERLINK("https://www.philgeps.gov.ph/GEPSNONPILOT/Tender/SplashBidNoticeAbstractUI.aspx?menuIndex=3&amp;refID=7048728&amp;Result=3","7048728")</f>
        <v>0</v>
      </c>
      <c r="B1498" t="s">
        <v>432</v>
      </c>
      <c r="C1498" t="s">
        <v>4542</v>
      </c>
      <c r="D1498" t="s">
        <v>16262</v>
      </c>
      <c r="E1498" t="s">
        <v>17683</v>
      </c>
      <c r="F1498" t="s">
        <v>28198</v>
      </c>
      <c r="G1498" t="s">
        <v>28207</v>
      </c>
      <c r="H1498" t="s">
        <v>28215</v>
      </c>
      <c r="I1498" t="s">
        <v>5100</v>
      </c>
      <c r="J1498" t="s">
        <v>29414</v>
      </c>
      <c r="K1498" t="s">
        <v>36707</v>
      </c>
      <c r="M1498" t="s">
        <v>37415</v>
      </c>
      <c r="N1498" t="s">
        <v>40436</v>
      </c>
      <c r="O1498" t="s">
        <v>40437</v>
      </c>
      <c r="P1498">
        <v>0</v>
      </c>
      <c r="Q1498">
        <v>0</v>
      </c>
      <c r="R1498" t="s">
        <v>40438</v>
      </c>
      <c r="S1498" t="s">
        <v>40582</v>
      </c>
      <c r="T1498" t="s">
        <v>42124</v>
      </c>
      <c r="U1498" t="s">
        <v>43395</v>
      </c>
      <c r="W1498" t="s">
        <v>37415</v>
      </c>
      <c r="X1498" t="s">
        <v>40439</v>
      </c>
    </row>
    <row r="1499" spans="1:24">
      <c r="A1499">
        <f>HYPERLINK("https://www.philgeps.gov.ph/GEPSNONPILOT/Tender/SplashBidNoticeAbstractUI.aspx?menuIndex=3&amp;refID=7048742&amp;Result=3","7048742")</f>
        <v>0</v>
      </c>
      <c r="B1499" t="s">
        <v>617</v>
      </c>
      <c r="C1499" t="s">
        <v>4369</v>
      </c>
      <c r="D1499" t="s">
        <v>16253</v>
      </c>
      <c r="E1499" t="s">
        <v>17684</v>
      </c>
      <c r="F1499" t="s">
        <v>28198</v>
      </c>
      <c r="G1499" t="s">
        <v>28207</v>
      </c>
      <c r="H1499" t="s">
        <v>28215</v>
      </c>
      <c r="I1499" t="s">
        <v>8888</v>
      </c>
      <c r="J1499" t="s">
        <v>29415</v>
      </c>
      <c r="K1499" t="s">
        <v>36701</v>
      </c>
      <c r="M1499" t="s">
        <v>37609</v>
      </c>
      <c r="N1499" t="s">
        <v>40436</v>
      </c>
      <c r="O1499" t="s">
        <v>40437</v>
      </c>
      <c r="P1499">
        <v>0</v>
      </c>
      <c r="Q1499">
        <v>1</v>
      </c>
      <c r="R1499" t="s">
        <v>40438</v>
      </c>
      <c r="S1499" t="s">
        <v>40582</v>
      </c>
      <c r="T1499" t="s">
        <v>42183</v>
      </c>
      <c r="U1499" t="s">
        <v>43776</v>
      </c>
      <c r="V1499" t="s">
        <v>53932</v>
      </c>
      <c r="W1499" t="s">
        <v>37609</v>
      </c>
      <c r="X1499" t="s">
        <v>40439</v>
      </c>
    </row>
    <row r="1500" spans="1:24">
      <c r="A1500">
        <f>HYPERLINK("https://www.philgeps.gov.ph/GEPSNONPILOT/Tender/SplashBidNoticeAbstractUI.aspx?menuIndex=3&amp;refID=7048739&amp;Result=3","7048739")</f>
        <v>0</v>
      </c>
      <c r="B1500" t="s">
        <v>607</v>
      </c>
      <c r="C1500" t="s">
        <v>4543</v>
      </c>
      <c r="D1500" t="s">
        <v>16232</v>
      </c>
      <c r="E1500" t="s">
        <v>17685</v>
      </c>
      <c r="F1500" t="s">
        <v>28198</v>
      </c>
      <c r="G1500" t="s">
        <v>28207</v>
      </c>
      <c r="H1500" t="s">
        <v>28215</v>
      </c>
      <c r="I1500" t="s">
        <v>3774</v>
      </c>
      <c r="J1500" t="s">
        <v>29416</v>
      </c>
      <c r="K1500" t="s">
        <v>36687</v>
      </c>
      <c r="M1500" t="s">
        <v>37598</v>
      </c>
      <c r="N1500" t="s">
        <v>40436</v>
      </c>
      <c r="O1500" t="s">
        <v>40437</v>
      </c>
      <c r="P1500">
        <v>0</v>
      </c>
      <c r="Q1500">
        <v>0</v>
      </c>
      <c r="R1500" t="s">
        <v>40438</v>
      </c>
      <c r="S1500" t="s">
        <v>40582</v>
      </c>
      <c r="T1500" t="s">
        <v>42129</v>
      </c>
      <c r="U1500" t="s">
        <v>43936</v>
      </c>
      <c r="W1500" t="s">
        <v>37598</v>
      </c>
      <c r="X1500" t="s">
        <v>40439</v>
      </c>
    </row>
    <row r="1501" spans="1:24">
      <c r="A1501">
        <f>HYPERLINK("https://www.philgeps.gov.ph/GEPSNONPILOT/Tender/SplashBidNoticeAbstractUI.aspx?menuIndex=3&amp;refID=7048745&amp;Result=3","7048745")</f>
        <v>0</v>
      </c>
      <c r="B1501" t="s">
        <v>635</v>
      </c>
      <c r="C1501" t="s">
        <v>4544</v>
      </c>
      <c r="D1501" t="s">
        <v>16245</v>
      </c>
      <c r="E1501" t="s">
        <v>16660</v>
      </c>
      <c r="F1501" t="s">
        <v>28198</v>
      </c>
      <c r="G1501" t="s">
        <v>28207</v>
      </c>
      <c r="H1501" t="s">
        <v>28215</v>
      </c>
      <c r="I1501" t="s">
        <v>5082</v>
      </c>
      <c r="J1501" t="s">
        <v>29417</v>
      </c>
      <c r="K1501" t="s">
        <v>36688</v>
      </c>
      <c r="M1501" t="s">
        <v>37628</v>
      </c>
      <c r="N1501" t="s">
        <v>40436</v>
      </c>
      <c r="O1501" t="s">
        <v>40437</v>
      </c>
      <c r="P1501">
        <v>0</v>
      </c>
      <c r="Q1501">
        <v>0</v>
      </c>
      <c r="R1501" t="s">
        <v>40438</v>
      </c>
      <c r="S1501" t="s">
        <v>40582</v>
      </c>
      <c r="T1501" t="s">
        <v>42103</v>
      </c>
      <c r="U1501" t="s">
        <v>43937</v>
      </c>
      <c r="W1501" t="s">
        <v>37628</v>
      </c>
      <c r="X1501" t="s">
        <v>40439</v>
      </c>
    </row>
    <row r="1502" spans="1:24">
      <c r="A1502">
        <f>HYPERLINK("https://www.philgeps.gov.ph/GEPSNONPILOT/Tender/SplashBidNoticeAbstractUI.aspx?menuIndex=3&amp;refID=7048730&amp;Result=3","7048730")</f>
        <v>0</v>
      </c>
      <c r="B1502" t="s">
        <v>712</v>
      </c>
      <c r="C1502" t="s">
        <v>4545</v>
      </c>
      <c r="D1502" t="s">
        <v>16247</v>
      </c>
      <c r="E1502" t="s">
        <v>17686</v>
      </c>
      <c r="F1502" t="s">
        <v>28201</v>
      </c>
      <c r="G1502" t="s">
        <v>28206</v>
      </c>
      <c r="H1502" t="s">
        <v>28215</v>
      </c>
      <c r="I1502" t="s">
        <v>28248</v>
      </c>
      <c r="J1502" t="s">
        <v>29418</v>
      </c>
      <c r="K1502" t="s">
        <v>36689</v>
      </c>
      <c r="M1502" t="s">
        <v>37712</v>
      </c>
      <c r="N1502" t="s">
        <v>40436</v>
      </c>
      <c r="O1502" t="s">
        <v>40437</v>
      </c>
      <c r="P1502">
        <v>0</v>
      </c>
      <c r="Q1502">
        <v>2</v>
      </c>
      <c r="R1502" t="s">
        <v>40438</v>
      </c>
      <c r="S1502" t="s">
        <v>40582</v>
      </c>
      <c r="T1502" t="s">
        <v>42111</v>
      </c>
      <c r="U1502" t="s">
        <v>43938</v>
      </c>
      <c r="W1502" t="s">
        <v>37712</v>
      </c>
      <c r="X1502" t="s">
        <v>40439</v>
      </c>
    </row>
    <row r="1503" spans="1:24">
      <c r="A1503">
        <f>HYPERLINK("https://www.philgeps.gov.ph/GEPSNONPILOT/Tender/SplashBidNoticeAbstractUI.aspx?menuIndex=3&amp;refID=7048746&amp;Result=3","7048746")</f>
        <v>0</v>
      </c>
      <c r="B1503" t="s">
        <v>694</v>
      </c>
      <c r="C1503" t="s">
        <v>4546</v>
      </c>
      <c r="D1503" t="s">
        <v>16223</v>
      </c>
      <c r="E1503" t="s">
        <v>17687</v>
      </c>
      <c r="F1503" t="s">
        <v>28198</v>
      </c>
      <c r="G1503" t="s">
        <v>28205</v>
      </c>
      <c r="H1503" t="s">
        <v>28214</v>
      </c>
      <c r="I1503" t="s">
        <v>3797</v>
      </c>
      <c r="J1503" t="s">
        <v>29377</v>
      </c>
      <c r="K1503" t="s">
        <v>36752</v>
      </c>
      <c r="L1503" t="s">
        <v>694</v>
      </c>
      <c r="M1503" t="s">
        <v>37694</v>
      </c>
      <c r="N1503" t="s">
        <v>40436</v>
      </c>
      <c r="O1503" t="s">
        <v>40437</v>
      </c>
      <c r="P1503">
        <v>0</v>
      </c>
      <c r="Q1503">
        <v>1</v>
      </c>
      <c r="R1503" t="s">
        <v>40438</v>
      </c>
      <c r="S1503" t="s">
        <v>40582</v>
      </c>
      <c r="T1503" t="s">
        <v>42106</v>
      </c>
      <c r="U1503" t="s">
        <v>43939</v>
      </c>
      <c r="W1503" t="s">
        <v>37694</v>
      </c>
      <c r="X1503" t="s">
        <v>40439</v>
      </c>
    </row>
    <row r="1504" spans="1:24">
      <c r="A1504">
        <f>HYPERLINK("https://www.philgeps.gov.ph/GEPSNONPILOT/Tender/SplashBidNoticeAbstractUI.aspx?menuIndex=3&amp;refID=7048753&amp;Result=3","7048753")</f>
        <v>0</v>
      </c>
      <c r="B1504" t="s">
        <v>595</v>
      </c>
      <c r="C1504" t="s">
        <v>4547</v>
      </c>
      <c r="D1504" t="s">
        <v>16269</v>
      </c>
      <c r="E1504" t="s">
        <v>17688</v>
      </c>
      <c r="F1504" t="s">
        <v>28198</v>
      </c>
      <c r="G1504" t="s">
        <v>28209</v>
      </c>
      <c r="H1504" t="s">
        <v>28215</v>
      </c>
      <c r="I1504" t="s">
        <v>28224</v>
      </c>
      <c r="J1504" t="s">
        <v>29419</v>
      </c>
      <c r="K1504" t="s">
        <v>36694</v>
      </c>
      <c r="M1504" t="s">
        <v>37713</v>
      </c>
      <c r="N1504" t="s">
        <v>40436</v>
      </c>
      <c r="O1504" t="s">
        <v>40437</v>
      </c>
      <c r="P1504">
        <v>0</v>
      </c>
      <c r="Q1504">
        <v>0</v>
      </c>
      <c r="R1504" t="s">
        <v>40438</v>
      </c>
      <c r="S1504" t="s">
        <v>40582</v>
      </c>
      <c r="T1504" t="s">
        <v>42148</v>
      </c>
      <c r="U1504" t="s">
        <v>43940</v>
      </c>
      <c r="W1504" t="s">
        <v>37713</v>
      </c>
      <c r="X1504" t="s">
        <v>40439</v>
      </c>
    </row>
    <row r="1505" spans="1:24">
      <c r="A1505">
        <f>HYPERLINK("https://www.philgeps.gov.ph/GEPSNONPILOT/Tender/SplashBidNoticeAbstractUI.aspx?menuIndex=3&amp;refID=7048749&amp;Result=3","7048749")</f>
        <v>0</v>
      </c>
      <c r="B1505" t="s">
        <v>315</v>
      </c>
      <c r="C1505" t="s">
        <v>4486</v>
      </c>
      <c r="D1505" t="s">
        <v>16191</v>
      </c>
      <c r="E1505" t="s">
        <v>17689</v>
      </c>
      <c r="F1505" t="s">
        <v>28198</v>
      </c>
      <c r="G1505" t="s">
        <v>28206</v>
      </c>
      <c r="H1505" t="s">
        <v>28215</v>
      </c>
      <c r="I1505" t="s">
        <v>4219</v>
      </c>
      <c r="J1505" t="s">
        <v>28878</v>
      </c>
      <c r="K1505" t="s">
        <v>36688</v>
      </c>
      <c r="M1505" t="s">
        <v>37639</v>
      </c>
      <c r="N1505" t="s">
        <v>40436</v>
      </c>
      <c r="O1505" t="s">
        <v>40437</v>
      </c>
      <c r="P1505">
        <v>0</v>
      </c>
      <c r="Q1505">
        <v>1</v>
      </c>
      <c r="R1505" t="s">
        <v>40438</v>
      </c>
      <c r="S1505" t="s">
        <v>40582</v>
      </c>
      <c r="T1505" t="s">
        <v>42158</v>
      </c>
      <c r="U1505" t="s">
        <v>43941</v>
      </c>
      <c r="W1505" t="s">
        <v>37639</v>
      </c>
      <c r="X1505" t="s">
        <v>40439</v>
      </c>
    </row>
    <row r="1506" spans="1:24">
      <c r="A1506">
        <f>HYPERLINK("https://www.philgeps.gov.ph/GEPSNONPILOT/Tender/SplashBidNoticeAbstractUI.aspx?menuIndex=3&amp;refID=7048747&amp;Result=3","7048747")</f>
        <v>0</v>
      </c>
      <c r="B1506" t="s">
        <v>713</v>
      </c>
      <c r="C1506" t="s">
        <v>4548</v>
      </c>
      <c r="D1506" t="s">
        <v>16236</v>
      </c>
      <c r="E1506" t="s">
        <v>17244</v>
      </c>
      <c r="F1506" t="s">
        <v>28198</v>
      </c>
      <c r="G1506" t="s">
        <v>28206</v>
      </c>
      <c r="H1506" t="s">
        <v>28215</v>
      </c>
      <c r="I1506" t="s">
        <v>5100</v>
      </c>
      <c r="J1506" t="s">
        <v>29420</v>
      </c>
      <c r="K1506" t="s">
        <v>36706</v>
      </c>
      <c r="M1506" t="s">
        <v>37714</v>
      </c>
      <c r="N1506" t="s">
        <v>40436</v>
      </c>
      <c r="O1506" t="s">
        <v>40437</v>
      </c>
      <c r="P1506">
        <v>0</v>
      </c>
      <c r="Q1506">
        <v>0</v>
      </c>
      <c r="R1506" t="s">
        <v>40438</v>
      </c>
      <c r="S1506" t="s">
        <v>40582</v>
      </c>
      <c r="T1506" t="s">
        <v>42169</v>
      </c>
      <c r="U1506" t="s">
        <v>43942</v>
      </c>
      <c r="W1506" t="s">
        <v>37714</v>
      </c>
      <c r="X1506" t="s">
        <v>40439</v>
      </c>
    </row>
    <row r="1507" spans="1:24">
      <c r="A1507">
        <f>HYPERLINK("https://www.philgeps.gov.ph/GEPSNONPILOT/Tender/SplashBidNoticeAbstractUI.aspx?menuIndex=3&amp;refID=7048764&amp;Result=3","7048764")</f>
        <v>0</v>
      </c>
      <c r="B1507" t="s">
        <v>694</v>
      </c>
      <c r="C1507" t="s">
        <v>4549</v>
      </c>
      <c r="D1507" t="s">
        <v>16219</v>
      </c>
      <c r="E1507" t="s">
        <v>17690</v>
      </c>
      <c r="F1507" t="s">
        <v>28198</v>
      </c>
      <c r="G1507" t="s">
        <v>28205</v>
      </c>
      <c r="H1507" t="s">
        <v>28214</v>
      </c>
      <c r="I1507" t="s">
        <v>3797</v>
      </c>
      <c r="J1507" t="s">
        <v>29377</v>
      </c>
      <c r="K1507" t="s">
        <v>36752</v>
      </c>
      <c r="L1507" t="s">
        <v>694</v>
      </c>
      <c r="M1507" t="s">
        <v>37694</v>
      </c>
      <c r="N1507" t="s">
        <v>40436</v>
      </c>
      <c r="O1507" t="s">
        <v>40437</v>
      </c>
      <c r="P1507">
        <v>0</v>
      </c>
      <c r="Q1507">
        <v>1</v>
      </c>
      <c r="R1507" t="s">
        <v>40438</v>
      </c>
      <c r="S1507" t="s">
        <v>40582</v>
      </c>
      <c r="T1507" t="s">
        <v>42106</v>
      </c>
      <c r="U1507" t="s">
        <v>43943</v>
      </c>
      <c r="W1507" t="s">
        <v>37694</v>
      </c>
      <c r="X1507" t="s">
        <v>40439</v>
      </c>
    </row>
    <row r="1508" spans="1:24">
      <c r="A1508">
        <f>HYPERLINK("https://www.philgeps.gov.ph/GEPSNONPILOT/Tender/SplashBidNoticeAbstractUI.aspx?menuIndex=3&amp;refID=7048748&amp;Result=3","7048748")</f>
        <v>0</v>
      </c>
      <c r="B1508" t="s">
        <v>432</v>
      </c>
      <c r="C1508" t="s">
        <v>4550</v>
      </c>
      <c r="D1508" t="s">
        <v>16262</v>
      </c>
      <c r="E1508" t="s">
        <v>17691</v>
      </c>
      <c r="F1508" t="s">
        <v>28198</v>
      </c>
      <c r="G1508" t="s">
        <v>28207</v>
      </c>
      <c r="H1508" t="s">
        <v>28215</v>
      </c>
      <c r="I1508" t="s">
        <v>5100</v>
      </c>
      <c r="J1508" t="s">
        <v>29421</v>
      </c>
      <c r="K1508" t="s">
        <v>36707</v>
      </c>
      <c r="M1508" t="s">
        <v>37415</v>
      </c>
      <c r="N1508" t="s">
        <v>40436</v>
      </c>
      <c r="O1508" t="s">
        <v>40437</v>
      </c>
      <c r="P1508">
        <v>0</v>
      </c>
      <c r="Q1508">
        <v>0</v>
      </c>
      <c r="R1508" t="s">
        <v>40438</v>
      </c>
      <c r="S1508" t="s">
        <v>40582</v>
      </c>
      <c r="T1508" t="s">
        <v>42124</v>
      </c>
      <c r="U1508" t="s">
        <v>43395</v>
      </c>
      <c r="W1508" t="s">
        <v>37415</v>
      </c>
      <c r="X1508" t="s">
        <v>40439</v>
      </c>
    </row>
    <row r="1509" spans="1:24">
      <c r="A1509">
        <f>HYPERLINK("https://www.philgeps.gov.ph/GEPSNONPILOT/Tender/SplashBidNoticeAbstractUI.aspx?menuIndex=3&amp;refID=7048759&amp;Result=3","7048759")</f>
        <v>0</v>
      </c>
      <c r="B1509" t="s">
        <v>714</v>
      </c>
      <c r="C1509" t="s">
        <v>4551</v>
      </c>
      <c r="D1509" t="s">
        <v>16213</v>
      </c>
      <c r="E1509" t="s">
        <v>17692</v>
      </c>
      <c r="F1509" t="s">
        <v>28198</v>
      </c>
      <c r="G1509" t="s">
        <v>28207</v>
      </c>
      <c r="H1509" t="s">
        <v>28215</v>
      </c>
      <c r="I1509" t="s">
        <v>28274</v>
      </c>
      <c r="J1509" t="s">
        <v>28778</v>
      </c>
      <c r="K1509" t="s">
        <v>36693</v>
      </c>
      <c r="M1509" t="s">
        <v>37715</v>
      </c>
      <c r="N1509" t="s">
        <v>40436</v>
      </c>
      <c r="O1509" t="s">
        <v>40437</v>
      </c>
      <c r="P1509">
        <v>0</v>
      </c>
      <c r="Q1509">
        <v>0</v>
      </c>
      <c r="R1509" t="s">
        <v>40438</v>
      </c>
      <c r="S1509" t="s">
        <v>40582</v>
      </c>
      <c r="T1509" t="s">
        <v>42160</v>
      </c>
      <c r="U1509" t="s">
        <v>43944</v>
      </c>
      <c r="W1509" t="s">
        <v>37715</v>
      </c>
      <c r="X1509" t="s">
        <v>40439</v>
      </c>
    </row>
    <row r="1510" spans="1:24">
      <c r="A1510">
        <f>HYPERLINK("https://www.philgeps.gov.ph/GEPSNONPILOT/Tender/SplashBidNoticeAbstractUI.aspx?menuIndex=3&amp;refID=7048762&amp;Result=3","7048762")</f>
        <v>0</v>
      </c>
      <c r="B1510" t="s">
        <v>715</v>
      </c>
      <c r="C1510" t="s">
        <v>4552</v>
      </c>
      <c r="D1510" t="s">
        <v>16241</v>
      </c>
      <c r="E1510" t="s">
        <v>17693</v>
      </c>
      <c r="F1510" t="s">
        <v>28198</v>
      </c>
      <c r="G1510" t="s">
        <v>28205</v>
      </c>
      <c r="H1510" t="s">
        <v>28215</v>
      </c>
      <c r="I1510" t="s">
        <v>28228</v>
      </c>
      <c r="J1510" t="s">
        <v>29422</v>
      </c>
      <c r="K1510" t="s">
        <v>36697</v>
      </c>
      <c r="M1510" t="s">
        <v>37716</v>
      </c>
      <c r="N1510" t="s">
        <v>40436</v>
      </c>
      <c r="O1510" t="s">
        <v>40437</v>
      </c>
      <c r="P1510">
        <v>0</v>
      </c>
      <c r="Q1510">
        <v>0</v>
      </c>
      <c r="R1510" t="s">
        <v>40438</v>
      </c>
      <c r="S1510" t="s">
        <v>40582</v>
      </c>
      <c r="T1510" t="s">
        <v>42106</v>
      </c>
      <c r="U1510" t="s">
        <v>43945</v>
      </c>
      <c r="W1510" t="s">
        <v>37716</v>
      </c>
      <c r="X1510" t="s">
        <v>40439</v>
      </c>
    </row>
    <row r="1511" spans="1:24">
      <c r="A1511">
        <f>HYPERLINK("https://www.philgeps.gov.ph/GEPSNONPILOT/Tender/SplashBidNoticeAbstractUI.aspx?menuIndex=3&amp;refID=7048765&amp;Result=3","7048765")</f>
        <v>0</v>
      </c>
      <c r="B1511" t="s">
        <v>432</v>
      </c>
      <c r="C1511" t="s">
        <v>4553</v>
      </c>
      <c r="D1511" t="s">
        <v>16262</v>
      </c>
      <c r="E1511" t="s">
        <v>17694</v>
      </c>
      <c r="F1511" t="s">
        <v>28198</v>
      </c>
      <c r="G1511" t="s">
        <v>28205</v>
      </c>
      <c r="H1511" t="s">
        <v>28215</v>
      </c>
      <c r="I1511" t="s">
        <v>5100</v>
      </c>
      <c r="J1511" t="s">
        <v>29423</v>
      </c>
      <c r="K1511" t="s">
        <v>36707</v>
      </c>
      <c r="M1511" t="s">
        <v>37415</v>
      </c>
      <c r="N1511" t="s">
        <v>40436</v>
      </c>
      <c r="O1511" t="s">
        <v>40437</v>
      </c>
      <c r="P1511">
        <v>0</v>
      </c>
      <c r="Q1511">
        <v>0</v>
      </c>
      <c r="R1511" t="s">
        <v>40438</v>
      </c>
      <c r="S1511" t="s">
        <v>40582</v>
      </c>
      <c r="T1511" t="s">
        <v>42115</v>
      </c>
      <c r="U1511" t="s">
        <v>43437</v>
      </c>
      <c r="W1511" t="s">
        <v>37415</v>
      </c>
      <c r="X1511" t="s">
        <v>40439</v>
      </c>
    </row>
    <row r="1512" spans="1:24">
      <c r="A1512">
        <f>HYPERLINK("https://www.philgeps.gov.ph/GEPSNONPILOT/Tender/SplashBidNoticeAbstractUI.aspx?menuIndex=3&amp;refID=7048758&amp;Result=3","7048758")</f>
        <v>0</v>
      </c>
      <c r="B1512" t="s">
        <v>351</v>
      </c>
      <c r="C1512" t="s">
        <v>4554</v>
      </c>
      <c r="D1512" t="s">
        <v>16258</v>
      </c>
      <c r="E1512" t="s">
        <v>17695</v>
      </c>
      <c r="F1512" t="s">
        <v>28198</v>
      </c>
      <c r="G1512" t="s">
        <v>28209</v>
      </c>
      <c r="H1512" t="s">
        <v>28215</v>
      </c>
      <c r="I1512" t="s">
        <v>28307</v>
      </c>
      <c r="J1512" t="s">
        <v>29424</v>
      </c>
      <c r="K1512" t="s">
        <v>36706</v>
      </c>
      <c r="M1512" t="s">
        <v>37330</v>
      </c>
      <c r="N1512" t="s">
        <v>40436</v>
      </c>
      <c r="O1512" t="s">
        <v>40437</v>
      </c>
      <c r="P1512">
        <v>0</v>
      </c>
      <c r="Q1512">
        <v>2</v>
      </c>
      <c r="R1512" t="s">
        <v>40438</v>
      </c>
      <c r="S1512" t="s">
        <v>40582</v>
      </c>
      <c r="T1512" t="s">
        <v>42136</v>
      </c>
      <c r="U1512" t="s">
        <v>43946</v>
      </c>
      <c r="W1512" t="s">
        <v>37330</v>
      </c>
      <c r="X1512" t="s">
        <v>40439</v>
      </c>
    </row>
    <row r="1513" spans="1:24">
      <c r="A1513">
        <f>HYPERLINK("https://www.philgeps.gov.ph/GEPSNONPILOT/Tender/SplashBidNoticeAbstractUI.aspx?menuIndex=3&amp;refID=7048768&amp;Result=3","7048768")</f>
        <v>0</v>
      </c>
      <c r="B1513" t="s">
        <v>716</v>
      </c>
      <c r="C1513" t="s">
        <v>4555</v>
      </c>
      <c r="D1513" t="s">
        <v>16259</v>
      </c>
      <c r="E1513" t="s">
        <v>17696</v>
      </c>
      <c r="F1513" t="s">
        <v>28198</v>
      </c>
      <c r="G1513" t="s">
        <v>28207</v>
      </c>
      <c r="H1513" t="s">
        <v>28215</v>
      </c>
      <c r="I1513" t="s">
        <v>5100</v>
      </c>
      <c r="J1513" t="s">
        <v>29425</v>
      </c>
      <c r="K1513" t="s">
        <v>36706</v>
      </c>
      <c r="M1513" t="s">
        <v>37717</v>
      </c>
      <c r="N1513" t="s">
        <v>40436</v>
      </c>
      <c r="O1513" t="s">
        <v>40437</v>
      </c>
      <c r="P1513">
        <v>0</v>
      </c>
      <c r="Q1513">
        <v>0</v>
      </c>
      <c r="R1513" t="s">
        <v>40438</v>
      </c>
      <c r="S1513" t="s">
        <v>40582</v>
      </c>
      <c r="T1513" t="s">
        <v>42119</v>
      </c>
      <c r="U1513" t="s">
        <v>43947</v>
      </c>
      <c r="W1513" t="s">
        <v>37717</v>
      </c>
      <c r="X1513" t="s">
        <v>40439</v>
      </c>
    </row>
    <row r="1514" spans="1:24">
      <c r="A1514">
        <f>HYPERLINK("https://www.philgeps.gov.ph/GEPSNONPILOT/Tender/SplashBidNoticeAbstractUI.aspx?menuIndex=3&amp;refID=7048767&amp;Result=3","7048767")</f>
        <v>0</v>
      </c>
      <c r="B1514" t="s">
        <v>717</v>
      </c>
      <c r="C1514" t="s">
        <v>4556</v>
      </c>
      <c r="D1514" t="s">
        <v>16195</v>
      </c>
      <c r="E1514" t="s">
        <v>16322</v>
      </c>
      <c r="F1514" t="s">
        <v>28198</v>
      </c>
      <c r="G1514" t="s">
        <v>28207</v>
      </c>
      <c r="H1514" t="s">
        <v>28214</v>
      </c>
      <c r="I1514" t="s">
        <v>28255</v>
      </c>
      <c r="J1514" t="s">
        <v>28668</v>
      </c>
      <c r="K1514" t="s">
        <v>36701</v>
      </c>
      <c r="M1514" t="s">
        <v>37718</v>
      </c>
      <c r="N1514" t="s">
        <v>40436</v>
      </c>
      <c r="O1514" t="s">
        <v>40437</v>
      </c>
      <c r="P1514">
        <v>0</v>
      </c>
      <c r="Q1514">
        <v>0</v>
      </c>
      <c r="R1514" t="s">
        <v>40438</v>
      </c>
      <c r="S1514" t="s">
        <v>40582</v>
      </c>
      <c r="T1514" t="s">
        <v>42191</v>
      </c>
      <c r="U1514" t="s">
        <v>43948</v>
      </c>
      <c r="W1514" t="s">
        <v>37718</v>
      </c>
      <c r="X1514" t="s">
        <v>40439</v>
      </c>
    </row>
    <row r="1515" spans="1:24">
      <c r="A1515">
        <f>HYPERLINK("https://www.philgeps.gov.ph/GEPSNONPILOT/Tender/SplashBidNoticeAbstractUI.aspx?menuIndex=3&amp;refID=7048757&amp;Result=3","7048757")</f>
        <v>0</v>
      </c>
      <c r="B1515" t="s">
        <v>675</v>
      </c>
      <c r="C1515" t="s">
        <v>4557</v>
      </c>
      <c r="D1515" t="s">
        <v>16241</v>
      </c>
      <c r="E1515" t="s">
        <v>17697</v>
      </c>
      <c r="F1515" t="s">
        <v>28198</v>
      </c>
      <c r="G1515" t="s">
        <v>28205</v>
      </c>
      <c r="H1515" t="s">
        <v>28214</v>
      </c>
      <c r="I1515" t="s">
        <v>3797</v>
      </c>
      <c r="J1515" t="s">
        <v>29426</v>
      </c>
      <c r="K1515" t="s">
        <v>36694</v>
      </c>
      <c r="M1515" t="s">
        <v>37672</v>
      </c>
      <c r="N1515" t="s">
        <v>40436</v>
      </c>
      <c r="O1515" t="s">
        <v>40437</v>
      </c>
      <c r="P1515">
        <v>0</v>
      </c>
      <c r="Q1515">
        <v>1</v>
      </c>
      <c r="R1515" t="s">
        <v>40438</v>
      </c>
      <c r="S1515" t="s">
        <v>40582</v>
      </c>
      <c r="T1515" t="s">
        <v>42254</v>
      </c>
      <c r="U1515" t="s">
        <v>43949</v>
      </c>
      <c r="W1515" t="s">
        <v>37672</v>
      </c>
      <c r="X1515" t="s">
        <v>40439</v>
      </c>
    </row>
    <row r="1516" spans="1:24">
      <c r="A1516">
        <f>HYPERLINK("https://www.philgeps.gov.ph/GEPSNONPILOT/Tender/SplashBidNoticeAbstractUI.aspx?menuIndex=3&amp;refID=7048763&amp;Result=3","7048763")</f>
        <v>0</v>
      </c>
      <c r="B1516" t="s">
        <v>707</v>
      </c>
      <c r="C1516" t="s">
        <v>4558</v>
      </c>
      <c r="D1516" t="s">
        <v>16199</v>
      </c>
      <c r="E1516" t="s">
        <v>17698</v>
      </c>
      <c r="F1516" t="s">
        <v>28198</v>
      </c>
      <c r="G1516" t="s">
        <v>28207</v>
      </c>
      <c r="H1516" t="s">
        <v>28217</v>
      </c>
      <c r="I1516" t="s">
        <v>28255</v>
      </c>
      <c r="J1516" t="s">
        <v>28694</v>
      </c>
      <c r="K1516" t="s">
        <v>36698</v>
      </c>
      <c r="M1516" t="s">
        <v>37707</v>
      </c>
      <c r="N1516" t="s">
        <v>40436</v>
      </c>
      <c r="O1516" t="s">
        <v>40437</v>
      </c>
      <c r="P1516">
        <v>0</v>
      </c>
      <c r="Q1516">
        <v>0</v>
      </c>
      <c r="R1516" t="s">
        <v>40438</v>
      </c>
      <c r="S1516" t="s">
        <v>40582</v>
      </c>
      <c r="T1516" t="s">
        <v>42152</v>
      </c>
      <c r="U1516" t="s">
        <v>43950</v>
      </c>
      <c r="W1516" t="s">
        <v>37707</v>
      </c>
      <c r="X1516" t="s">
        <v>40439</v>
      </c>
    </row>
    <row r="1517" spans="1:24">
      <c r="A1517">
        <f>HYPERLINK("https://www.philgeps.gov.ph/GEPSNONPILOT/Tender/SplashBidNoticeAbstractUI.aspx?menuIndex=3&amp;refID=7048761&amp;Result=3","7048761")</f>
        <v>0</v>
      </c>
      <c r="B1517" t="s">
        <v>617</v>
      </c>
      <c r="C1517" t="s">
        <v>4305</v>
      </c>
      <c r="D1517" t="s">
        <v>16253</v>
      </c>
      <c r="E1517" t="s">
        <v>17699</v>
      </c>
      <c r="F1517" t="s">
        <v>28198</v>
      </c>
      <c r="G1517" t="s">
        <v>28207</v>
      </c>
      <c r="H1517" t="s">
        <v>28215</v>
      </c>
      <c r="I1517" t="s">
        <v>28225</v>
      </c>
      <c r="J1517" t="s">
        <v>29427</v>
      </c>
      <c r="K1517" t="s">
        <v>36701</v>
      </c>
      <c r="M1517" t="s">
        <v>37609</v>
      </c>
      <c r="N1517" t="s">
        <v>40436</v>
      </c>
      <c r="O1517" t="s">
        <v>40437</v>
      </c>
      <c r="P1517">
        <v>0</v>
      </c>
      <c r="Q1517">
        <v>1</v>
      </c>
      <c r="R1517" t="s">
        <v>40438</v>
      </c>
      <c r="S1517" t="s">
        <v>40582</v>
      </c>
      <c r="T1517" t="s">
        <v>42129</v>
      </c>
      <c r="U1517" t="s">
        <v>43724</v>
      </c>
      <c r="V1517" t="s">
        <v>53932</v>
      </c>
      <c r="W1517" t="s">
        <v>37609</v>
      </c>
      <c r="X1517" t="s">
        <v>40439</v>
      </c>
    </row>
    <row r="1518" spans="1:24">
      <c r="A1518">
        <f>HYPERLINK("https://www.philgeps.gov.ph/GEPSNONPILOT/Tender/SplashBidNoticeAbstractUI.aspx?menuIndex=3&amp;refID=7048766&amp;Result=3","7048766")</f>
        <v>0</v>
      </c>
      <c r="B1518" t="s">
        <v>718</v>
      </c>
      <c r="C1518" t="s">
        <v>4559</v>
      </c>
      <c r="D1518" t="s">
        <v>16213</v>
      </c>
      <c r="E1518" t="s">
        <v>17700</v>
      </c>
      <c r="F1518" t="s">
        <v>28198</v>
      </c>
      <c r="G1518" t="s">
        <v>28205</v>
      </c>
      <c r="H1518" t="s">
        <v>28214</v>
      </c>
      <c r="I1518" t="s">
        <v>3797</v>
      </c>
      <c r="J1518" t="s">
        <v>29428</v>
      </c>
      <c r="K1518" t="s">
        <v>36754</v>
      </c>
      <c r="M1518" t="s">
        <v>37719</v>
      </c>
      <c r="N1518" t="s">
        <v>40436</v>
      </c>
      <c r="O1518" t="s">
        <v>40437</v>
      </c>
      <c r="P1518">
        <v>0</v>
      </c>
      <c r="Q1518">
        <v>0</v>
      </c>
      <c r="R1518" t="s">
        <v>40438</v>
      </c>
      <c r="S1518" t="s">
        <v>40582</v>
      </c>
      <c r="T1518" t="s">
        <v>42248</v>
      </c>
      <c r="U1518" t="s">
        <v>43951</v>
      </c>
      <c r="W1518" t="s">
        <v>37719</v>
      </c>
      <c r="X1518" t="s">
        <v>40439</v>
      </c>
    </row>
    <row r="1519" spans="1:24">
      <c r="A1519">
        <f>HYPERLINK("https://www.philgeps.gov.ph/GEPSNONPILOT/Tender/SplashBidNoticeAbstractUI.aspx?menuIndex=3&amp;refID=7048755&amp;Result=3","7048755")</f>
        <v>0</v>
      </c>
      <c r="B1519" t="s">
        <v>457</v>
      </c>
      <c r="C1519" t="s">
        <v>4560</v>
      </c>
      <c r="D1519" t="s">
        <v>16241</v>
      </c>
      <c r="E1519" t="s">
        <v>17701</v>
      </c>
      <c r="F1519" t="s">
        <v>28198</v>
      </c>
      <c r="G1519" t="s">
        <v>28207</v>
      </c>
      <c r="H1519" t="s">
        <v>28215</v>
      </c>
      <c r="I1519" t="s">
        <v>28273</v>
      </c>
      <c r="J1519" t="s">
        <v>28980</v>
      </c>
      <c r="K1519" t="s">
        <v>36701</v>
      </c>
      <c r="M1519" t="s">
        <v>37441</v>
      </c>
      <c r="N1519" t="s">
        <v>40436</v>
      </c>
      <c r="O1519" t="s">
        <v>40437</v>
      </c>
      <c r="P1519">
        <v>0</v>
      </c>
      <c r="Q1519">
        <v>8</v>
      </c>
      <c r="R1519" t="s">
        <v>40438</v>
      </c>
      <c r="S1519" t="s">
        <v>40582</v>
      </c>
      <c r="T1519" t="s">
        <v>42160</v>
      </c>
      <c r="U1519" t="s">
        <v>43952</v>
      </c>
      <c r="W1519" t="s">
        <v>37441</v>
      </c>
      <c r="X1519" t="s">
        <v>40439</v>
      </c>
    </row>
    <row r="1520" spans="1:24">
      <c r="A1520">
        <f>HYPERLINK("https://www.philgeps.gov.ph/GEPSNONPILOT/Tender/SplashBidNoticeAbstractUI.aspx?menuIndex=3&amp;refID=7048754&amp;Result=3","7048754")</f>
        <v>0</v>
      </c>
      <c r="B1520" t="s">
        <v>412</v>
      </c>
      <c r="C1520" t="s">
        <v>4561</v>
      </c>
      <c r="D1520" t="s">
        <v>16261</v>
      </c>
      <c r="E1520" t="s">
        <v>17702</v>
      </c>
      <c r="F1520" t="s">
        <v>28198</v>
      </c>
      <c r="G1520" t="s">
        <v>28206</v>
      </c>
      <c r="H1520" t="s">
        <v>28215</v>
      </c>
      <c r="I1520" t="s">
        <v>4219</v>
      </c>
      <c r="J1520" t="s">
        <v>28985</v>
      </c>
      <c r="K1520" t="s">
        <v>36707</v>
      </c>
      <c r="M1520" t="s">
        <v>37394</v>
      </c>
      <c r="N1520" t="s">
        <v>40436</v>
      </c>
      <c r="O1520" t="s">
        <v>40437</v>
      </c>
      <c r="P1520">
        <v>0</v>
      </c>
      <c r="Q1520">
        <v>1</v>
      </c>
      <c r="R1520" t="s">
        <v>40438</v>
      </c>
      <c r="S1520" t="s">
        <v>40582</v>
      </c>
      <c r="T1520" t="s">
        <v>42142</v>
      </c>
      <c r="U1520" t="s">
        <v>43953</v>
      </c>
      <c r="W1520" t="s">
        <v>37394</v>
      </c>
      <c r="X1520" t="s">
        <v>40439</v>
      </c>
    </row>
    <row r="1521" spans="1:24">
      <c r="A1521">
        <f>HYPERLINK("https://www.philgeps.gov.ph/GEPSNONPILOT/Tender/SplashBidNoticeAbstractUI.aspx?menuIndex=3&amp;refID=7048769&amp;Result=3","7048769")</f>
        <v>0</v>
      </c>
      <c r="B1521" t="s">
        <v>588</v>
      </c>
      <c r="C1521" t="s">
        <v>4562</v>
      </c>
      <c r="D1521" t="s">
        <v>16197</v>
      </c>
      <c r="E1521" t="s">
        <v>17543</v>
      </c>
      <c r="F1521" t="s">
        <v>28198</v>
      </c>
      <c r="G1521" t="s">
        <v>28205</v>
      </c>
      <c r="H1521" t="s">
        <v>28215</v>
      </c>
      <c r="I1521" t="s">
        <v>28237</v>
      </c>
      <c r="J1521" t="s">
        <v>28373</v>
      </c>
      <c r="K1521" t="s">
        <v>36706</v>
      </c>
      <c r="M1521" t="s">
        <v>37577</v>
      </c>
      <c r="N1521" t="s">
        <v>40436</v>
      </c>
      <c r="O1521" t="s">
        <v>40437</v>
      </c>
      <c r="P1521">
        <v>0</v>
      </c>
      <c r="Q1521">
        <v>1</v>
      </c>
      <c r="R1521" t="s">
        <v>40438</v>
      </c>
      <c r="S1521" t="s">
        <v>40582</v>
      </c>
      <c r="T1521" t="s">
        <v>42213</v>
      </c>
      <c r="U1521" t="s">
        <v>43954</v>
      </c>
      <c r="W1521" t="s">
        <v>37577</v>
      </c>
      <c r="X1521" t="s">
        <v>40439</v>
      </c>
    </row>
    <row r="1522" spans="1:24">
      <c r="A1522">
        <f>HYPERLINK("https://www.philgeps.gov.ph/GEPSNONPILOT/Tender/SplashBidNoticeAbstractUI.aspx?menuIndex=3&amp;refID=7048778&amp;Result=3","7048778")</f>
        <v>0</v>
      </c>
      <c r="B1522" t="s">
        <v>452</v>
      </c>
      <c r="C1522" t="s">
        <v>4563</v>
      </c>
      <c r="D1522" t="s">
        <v>16203</v>
      </c>
      <c r="E1522" t="s">
        <v>17703</v>
      </c>
      <c r="F1522" t="s">
        <v>28198</v>
      </c>
      <c r="G1522" t="s">
        <v>28207</v>
      </c>
      <c r="H1522" t="s">
        <v>28215</v>
      </c>
      <c r="I1522" t="s">
        <v>28256</v>
      </c>
      <c r="J1522" t="s">
        <v>28373</v>
      </c>
      <c r="K1522" t="s">
        <v>36707</v>
      </c>
      <c r="M1522" t="s">
        <v>37436</v>
      </c>
      <c r="N1522" t="s">
        <v>40436</v>
      </c>
      <c r="O1522" t="s">
        <v>40437</v>
      </c>
      <c r="P1522">
        <v>0</v>
      </c>
      <c r="Q1522">
        <v>2</v>
      </c>
      <c r="R1522" t="s">
        <v>40438</v>
      </c>
      <c r="S1522" t="s">
        <v>40582</v>
      </c>
      <c r="T1522" t="s">
        <v>42142</v>
      </c>
      <c r="U1522" t="s">
        <v>43955</v>
      </c>
      <c r="V1522" t="s">
        <v>53892</v>
      </c>
      <c r="W1522" t="s">
        <v>37436</v>
      </c>
      <c r="X1522" t="s">
        <v>40439</v>
      </c>
    </row>
    <row r="1523" spans="1:24">
      <c r="A1523">
        <f>HYPERLINK("https://www.philgeps.gov.ph/GEPSNONPILOT/Tender/SplashBidNoticeAbstractUI.aspx?menuIndex=3&amp;refID=7048776&amp;Result=3","7048776")</f>
        <v>0</v>
      </c>
      <c r="B1523" t="s">
        <v>719</v>
      </c>
      <c r="C1523" t="s">
        <v>4564</v>
      </c>
      <c r="D1523" t="s">
        <v>16201</v>
      </c>
      <c r="E1523" t="s">
        <v>17704</v>
      </c>
      <c r="F1523" t="s">
        <v>28198</v>
      </c>
      <c r="G1523" t="s">
        <v>28205</v>
      </c>
      <c r="H1523" t="s">
        <v>28214</v>
      </c>
      <c r="I1523" t="s">
        <v>3797</v>
      </c>
      <c r="J1523" t="s">
        <v>29429</v>
      </c>
      <c r="K1523" t="s">
        <v>36747</v>
      </c>
      <c r="M1523" t="s">
        <v>37720</v>
      </c>
      <c r="N1523" t="s">
        <v>40436</v>
      </c>
      <c r="O1523" t="s">
        <v>40437</v>
      </c>
      <c r="P1523">
        <v>0</v>
      </c>
      <c r="Q1523">
        <v>0</v>
      </c>
      <c r="R1523" t="s">
        <v>40438</v>
      </c>
      <c r="S1523" t="s">
        <v>40582</v>
      </c>
      <c r="T1523" t="s">
        <v>42106</v>
      </c>
      <c r="U1523" t="s">
        <v>43956</v>
      </c>
      <c r="W1523" t="s">
        <v>37720</v>
      </c>
      <c r="X1523" t="s">
        <v>40439</v>
      </c>
    </row>
    <row r="1524" spans="1:24">
      <c r="A1524">
        <f>HYPERLINK("https://www.philgeps.gov.ph/GEPSNONPILOT/Tender/SplashBidNoticeAbstractUI.aspx?menuIndex=3&amp;refID=7048771&amp;Result=3","7048771")</f>
        <v>0</v>
      </c>
      <c r="B1524" t="s">
        <v>720</v>
      </c>
      <c r="C1524" t="s">
        <v>4565</v>
      </c>
      <c r="D1524" t="s">
        <v>16187</v>
      </c>
      <c r="E1524" t="s">
        <v>17705</v>
      </c>
      <c r="F1524" t="s">
        <v>28198</v>
      </c>
      <c r="G1524" t="s">
        <v>28205</v>
      </c>
      <c r="H1524" t="s">
        <v>28215</v>
      </c>
      <c r="I1524" t="s">
        <v>9499</v>
      </c>
      <c r="J1524" t="s">
        <v>29430</v>
      </c>
      <c r="K1524" t="s">
        <v>36701</v>
      </c>
      <c r="M1524" t="s">
        <v>37721</v>
      </c>
      <c r="N1524" t="s">
        <v>40436</v>
      </c>
      <c r="O1524" t="s">
        <v>40437</v>
      </c>
      <c r="P1524">
        <v>0</v>
      </c>
      <c r="Q1524">
        <v>2</v>
      </c>
      <c r="R1524" t="s">
        <v>40438</v>
      </c>
      <c r="S1524" t="s">
        <v>40582</v>
      </c>
      <c r="T1524" t="s">
        <v>42112</v>
      </c>
      <c r="U1524" t="s">
        <v>43957</v>
      </c>
      <c r="V1524" t="s">
        <v>53956</v>
      </c>
      <c r="W1524" t="s">
        <v>37721</v>
      </c>
      <c r="X1524" t="s">
        <v>40439</v>
      </c>
    </row>
    <row r="1525" spans="1:24">
      <c r="A1525">
        <f>HYPERLINK("https://www.philgeps.gov.ph/GEPSNONPILOT/Tender/SplashBidNoticeAbstractUI.aspx?menuIndex=3&amp;refID=7048798&amp;Result=3","7048798")</f>
        <v>0</v>
      </c>
      <c r="B1525" t="s">
        <v>315</v>
      </c>
      <c r="C1525" t="s">
        <v>3662</v>
      </c>
      <c r="D1525" t="s">
        <v>16191</v>
      </c>
      <c r="E1525" t="s">
        <v>17706</v>
      </c>
      <c r="F1525" t="s">
        <v>28198</v>
      </c>
      <c r="G1525" t="s">
        <v>28206</v>
      </c>
      <c r="H1525" t="s">
        <v>28215</v>
      </c>
      <c r="I1525" t="s">
        <v>28220</v>
      </c>
      <c r="J1525" t="s">
        <v>28671</v>
      </c>
      <c r="K1525" t="s">
        <v>36688</v>
      </c>
      <c r="M1525" t="s">
        <v>37639</v>
      </c>
      <c r="N1525" t="s">
        <v>40436</v>
      </c>
      <c r="O1525" t="s">
        <v>40437</v>
      </c>
      <c r="P1525">
        <v>0</v>
      </c>
      <c r="Q1525">
        <v>3</v>
      </c>
      <c r="R1525" t="s">
        <v>40438</v>
      </c>
      <c r="S1525" t="s">
        <v>40582</v>
      </c>
      <c r="T1525" t="s">
        <v>42158</v>
      </c>
      <c r="U1525" t="s">
        <v>43958</v>
      </c>
      <c r="W1525" t="s">
        <v>37639</v>
      </c>
      <c r="X1525" t="s">
        <v>40439</v>
      </c>
    </row>
    <row r="1526" spans="1:24">
      <c r="A1526">
        <f>HYPERLINK("https://www.philgeps.gov.ph/GEPSNONPILOT/Tender/SplashBidNoticeAbstractUI.aspx?menuIndex=3&amp;refID=7048779&amp;Result=3","7048779")</f>
        <v>0</v>
      </c>
      <c r="B1526" t="s">
        <v>644</v>
      </c>
      <c r="C1526" t="s">
        <v>4566</v>
      </c>
      <c r="D1526" t="s">
        <v>16221</v>
      </c>
      <c r="E1526" t="s">
        <v>17707</v>
      </c>
      <c r="F1526" t="s">
        <v>28198</v>
      </c>
      <c r="G1526" t="s">
        <v>28207</v>
      </c>
      <c r="H1526" t="s">
        <v>28215</v>
      </c>
      <c r="I1526" t="s">
        <v>5103</v>
      </c>
      <c r="J1526" t="s">
        <v>29431</v>
      </c>
      <c r="K1526" t="s">
        <v>36707</v>
      </c>
      <c r="M1526" t="s">
        <v>37637</v>
      </c>
      <c r="N1526" t="s">
        <v>40436</v>
      </c>
      <c r="O1526" t="s">
        <v>40437</v>
      </c>
      <c r="P1526">
        <v>0</v>
      </c>
      <c r="Q1526">
        <v>6</v>
      </c>
      <c r="R1526" t="s">
        <v>40438</v>
      </c>
      <c r="S1526" t="s">
        <v>40582</v>
      </c>
      <c r="T1526" t="s">
        <v>42111</v>
      </c>
      <c r="U1526" t="s">
        <v>43959</v>
      </c>
      <c r="W1526" t="s">
        <v>37637</v>
      </c>
      <c r="X1526" t="s">
        <v>40439</v>
      </c>
    </row>
    <row r="1527" spans="1:24">
      <c r="A1527">
        <f>HYPERLINK("https://www.philgeps.gov.ph/GEPSNONPILOT/Tender/SplashBidNoticeAbstractUI.aspx?menuIndex=3&amp;refID=7048796&amp;Result=3","7048796")</f>
        <v>0</v>
      </c>
      <c r="B1527" t="s">
        <v>678</v>
      </c>
      <c r="C1527" t="s">
        <v>4567</v>
      </c>
      <c r="D1527" t="s">
        <v>16222</v>
      </c>
      <c r="E1527" t="s">
        <v>17331</v>
      </c>
      <c r="F1527" t="s">
        <v>28198</v>
      </c>
      <c r="G1527" t="s">
        <v>28207</v>
      </c>
      <c r="H1527" t="s">
        <v>28215</v>
      </c>
      <c r="I1527" t="s">
        <v>4200</v>
      </c>
      <c r="J1527" t="s">
        <v>28558</v>
      </c>
      <c r="K1527" t="s">
        <v>36691</v>
      </c>
      <c r="M1527" t="s">
        <v>37676</v>
      </c>
      <c r="N1527" t="s">
        <v>40436</v>
      </c>
      <c r="O1527" t="s">
        <v>40437</v>
      </c>
      <c r="P1527">
        <v>0</v>
      </c>
      <c r="Q1527">
        <v>0</v>
      </c>
      <c r="R1527" t="s">
        <v>40438</v>
      </c>
      <c r="S1527" t="s">
        <v>40582</v>
      </c>
      <c r="T1527" t="s">
        <v>42103</v>
      </c>
      <c r="U1527" t="s">
        <v>43960</v>
      </c>
      <c r="W1527" t="s">
        <v>37676</v>
      </c>
      <c r="X1527" t="s">
        <v>40439</v>
      </c>
    </row>
    <row r="1528" spans="1:24">
      <c r="A1528">
        <f>HYPERLINK("https://www.philgeps.gov.ph/GEPSNONPILOT/Tender/SplashBidNoticeAbstractUI.aspx?menuIndex=3&amp;refID=7048770&amp;Result=3","7048770")</f>
        <v>0</v>
      </c>
      <c r="B1528" t="s">
        <v>591</v>
      </c>
      <c r="C1528" t="s">
        <v>4568</v>
      </c>
      <c r="D1528" t="s">
        <v>16228</v>
      </c>
      <c r="E1528" t="s">
        <v>17708</v>
      </c>
      <c r="F1528" t="s">
        <v>28198</v>
      </c>
      <c r="G1528" t="s">
        <v>28207</v>
      </c>
      <c r="H1528" t="s">
        <v>28215</v>
      </c>
      <c r="I1528" t="s">
        <v>28258</v>
      </c>
      <c r="J1528" t="s">
        <v>29432</v>
      </c>
      <c r="K1528" t="s">
        <v>36689</v>
      </c>
      <c r="M1528" t="s">
        <v>37580</v>
      </c>
      <c r="N1528" t="s">
        <v>40436</v>
      </c>
      <c r="O1528" t="s">
        <v>40437</v>
      </c>
      <c r="P1528">
        <v>0</v>
      </c>
      <c r="Q1528">
        <v>1</v>
      </c>
      <c r="R1528" t="s">
        <v>40438</v>
      </c>
      <c r="S1528" t="s">
        <v>40582</v>
      </c>
      <c r="T1528" t="s">
        <v>42103</v>
      </c>
      <c r="U1528" t="s">
        <v>43961</v>
      </c>
      <c r="W1528" t="s">
        <v>37580</v>
      </c>
      <c r="X1528" t="s">
        <v>40439</v>
      </c>
    </row>
    <row r="1529" spans="1:24">
      <c r="A1529">
        <f>HYPERLINK("https://www.philgeps.gov.ph/GEPSNONPILOT/Tender/SplashBidNoticeAbstractUI.aspx?menuIndex=3&amp;refID=7048797&amp;Result=3","7048797")</f>
        <v>0</v>
      </c>
      <c r="B1529" t="s">
        <v>721</v>
      </c>
      <c r="C1529" t="s">
        <v>4569</v>
      </c>
      <c r="D1529" t="s">
        <v>16235</v>
      </c>
      <c r="E1529" t="s">
        <v>17709</v>
      </c>
      <c r="F1529" t="s">
        <v>28198</v>
      </c>
      <c r="G1529" t="s">
        <v>28205</v>
      </c>
      <c r="H1529" t="s">
        <v>28214</v>
      </c>
      <c r="I1529" t="s">
        <v>3797</v>
      </c>
      <c r="J1529" t="s">
        <v>28397</v>
      </c>
      <c r="K1529" t="s">
        <v>36715</v>
      </c>
      <c r="M1529" t="s">
        <v>37722</v>
      </c>
      <c r="N1529" t="s">
        <v>40436</v>
      </c>
      <c r="O1529" t="s">
        <v>40437</v>
      </c>
      <c r="P1529">
        <v>0</v>
      </c>
      <c r="Q1529">
        <v>0</v>
      </c>
      <c r="R1529" t="s">
        <v>40438</v>
      </c>
      <c r="S1529" t="s">
        <v>40582</v>
      </c>
      <c r="T1529" t="s">
        <v>42179</v>
      </c>
      <c r="U1529" t="s">
        <v>43962</v>
      </c>
      <c r="V1529" t="s">
        <v>53957</v>
      </c>
      <c r="W1529" t="s">
        <v>37722</v>
      </c>
      <c r="X1529" t="s">
        <v>40439</v>
      </c>
    </row>
    <row r="1530" spans="1:24">
      <c r="A1530">
        <f>HYPERLINK("https://www.philgeps.gov.ph/GEPSNONPILOT/Tender/SplashBidNoticeAbstractUI.aspx?menuIndex=3&amp;refID=7048794&amp;Result=3","7048794")</f>
        <v>0</v>
      </c>
      <c r="B1530" t="s">
        <v>269</v>
      </c>
      <c r="C1530" t="s">
        <v>3716</v>
      </c>
      <c r="D1530" t="s">
        <v>16202</v>
      </c>
      <c r="E1530" t="s">
        <v>17710</v>
      </c>
      <c r="F1530" t="s">
        <v>28198</v>
      </c>
      <c r="G1530" t="s">
        <v>28207</v>
      </c>
      <c r="H1530" t="s">
        <v>28215</v>
      </c>
      <c r="I1530" t="s">
        <v>3422</v>
      </c>
      <c r="J1530" t="s">
        <v>29433</v>
      </c>
      <c r="K1530" t="s">
        <v>36689</v>
      </c>
      <c r="M1530" t="s">
        <v>37246</v>
      </c>
      <c r="N1530" t="s">
        <v>40436</v>
      </c>
      <c r="O1530" t="s">
        <v>40437</v>
      </c>
      <c r="P1530">
        <v>0</v>
      </c>
      <c r="Q1530">
        <v>0</v>
      </c>
      <c r="R1530" t="s">
        <v>40438</v>
      </c>
      <c r="S1530" t="s">
        <v>40582</v>
      </c>
      <c r="T1530" t="s">
        <v>42111</v>
      </c>
      <c r="U1530" t="s">
        <v>43963</v>
      </c>
      <c r="W1530" t="s">
        <v>37246</v>
      </c>
      <c r="X1530" t="s">
        <v>40439</v>
      </c>
    </row>
    <row r="1531" spans="1:24">
      <c r="A1531">
        <f>HYPERLINK("https://www.philgeps.gov.ph/GEPSNONPILOT/Tender/SplashBidNoticeAbstractUI.aspx?menuIndex=3&amp;refID=7048774&amp;Result=3","7048774")</f>
        <v>0</v>
      </c>
      <c r="B1531" t="s">
        <v>722</v>
      </c>
      <c r="C1531" t="s">
        <v>4570</v>
      </c>
      <c r="D1531" t="s">
        <v>16235</v>
      </c>
      <c r="E1531" t="s">
        <v>17711</v>
      </c>
      <c r="F1531" t="s">
        <v>28198</v>
      </c>
      <c r="G1531" t="s">
        <v>28207</v>
      </c>
      <c r="H1531" t="s">
        <v>28214</v>
      </c>
      <c r="I1531" t="s">
        <v>4505</v>
      </c>
      <c r="J1531" t="s">
        <v>29156</v>
      </c>
      <c r="K1531" t="s">
        <v>36708</v>
      </c>
      <c r="M1531" t="s">
        <v>37723</v>
      </c>
      <c r="N1531" t="s">
        <v>40436</v>
      </c>
      <c r="O1531" t="s">
        <v>40437</v>
      </c>
      <c r="P1531">
        <v>0</v>
      </c>
      <c r="Q1531">
        <v>1</v>
      </c>
      <c r="R1531" t="s">
        <v>40438</v>
      </c>
      <c r="S1531" t="s">
        <v>40582</v>
      </c>
      <c r="T1531" t="s">
        <v>42280</v>
      </c>
      <c r="U1531" t="s">
        <v>43964</v>
      </c>
      <c r="W1531" t="s">
        <v>37723</v>
      </c>
      <c r="X1531" t="s">
        <v>40439</v>
      </c>
    </row>
    <row r="1532" spans="1:24">
      <c r="A1532">
        <f>HYPERLINK("https://www.philgeps.gov.ph/GEPSNONPILOT/Tender/SplashBidNoticeAbstractUI.aspx?menuIndex=3&amp;refID=7048795&amp;Result=3","7048795")</f>
        <v>0</v>
      </c>
      <c r="B1532" t="s">
        <v>461</v>
      </c>
      <c r="C1532" t="s">
        <v>4571</v>
      </c>
      <c r="E1532" t="s">
        <v>17712</v>
      </c>
      <c r="F1532" t="s">
        <v>28198</v>
      </c>
      <c r="G1532" t="s">
        <v>28206</v>
      </c>
      <c r="H1532" t="s">
        <v>28215</v>
      </c>
      <c r="I1532" t="s">
        <v>28258</v>
      </c>
      <c r="J1532" t="s">
        <v>28573</v>
      </c>
      <c r="K1532" t="s">
        <v>36689</v>
      </c>
      <c r="M1532" t="s">
        <v>37445</v>
      </c>
      <c r="N1532" t="s">
        <v>40436</v>
      </c>
      <c r="O1532" t="s">
        <v>40437</v>
      </c>
      <c r="P1532">
        <v>0</v>
      </c>
      <c r="Q1532">
        <v>2</v>
      </c>
      <c r="R1532" t="s">
        <v>40438</v>
      </c>
      <c r="S1532" t="s">
        <v>40582</v>
      </c>
      <c r="T1532" t="s">
        <v>42119</v>
      </c>
      <c r="U1532" t="s">
        <v>43965</v>
      </c>
      <c r="W1532" t="s">
        <v>37445</v>
      </c>
      <c r="X1532" t="s">
        <v>40439</v>
      </c>
    </row>
    <row r="1533" spans="1:24">
      <c r="A1533">
        <f>HYPERLINK("https://www.philgeps.gov.ph/GEPSNONPILOT/Tender/SplashBidNoticeAbstractUI.aspx?menuIndex=3&amp;refID=7048793&amp;Result=3","7048793")</f>
        <v>0</v>
      </c>
      <c r="B1533" t="s">
        <v>723</v>
      </c>
      <c r="C1533" t="s">
        <v>4572</v>
      </c>
      <c r="D1533" t="s">
        <v>16199</v>
      </c>
      <c r="E1533" t="s">
        <v>17713</v>
      </c>
      <c r="F1533" t="s">
        <v>28198</v>
      </c>
      <c r="G1533" t="s">
        <v>28207</v>
      </c>
      <c r="H1533" t="s">
        <v>28215</v>
      </c>
      <c r="I1533" t="s">
        <v>28219</v>
      </c>
      <c r="J1533" t="s">
        <v>29434</v>
      </c>
      <c r="K1533" t="s">
        <v>36688</v>
      </c>
      <c r="M1533" t="s">
        <v>37724</v>
      </c>
      <c r="N1533" t="s">
        <v>40436</v>
      </c>
      <c r="O1533" t="s">
        <v>40437</v>
      </c>
      <c r="P1533">
        <v>0</v>
      </c>
      <c r="Q1533">
        <v>2</v>
      </c>
      <c r="R1533" t="s">
        <v>40438</v>
      </c>
      <c r="S1533" t="s">
        <v>40582</v>
      </c>
      <c r="T1533" t="s">
        <v>42133</v>
      </c>
      <c r="U1533" t="s">
        <v>43966</v>
      </c>
      <c r="W1533" t="s">
        <v>37724</v>
      </c>
      <c r="X1533" t="s">
        <v>40439</v>
      </c>
    </row>
    <row r="1534" spans="1:24">
      <c r="A1534">
        <f>HYPERLINK("https://www.philgeps.gov.ph/GEPSNONPILOT/Tender/SplashBidNoticeAbstractUI.aspx?menuIndex=3&amp;refID=7048750&amp;Result=3","7048750")</f>
        <v>0</v>
      </c>
      <c r="B1534" t="s">
        <v>671</v>
      </c>
      <c r="C1534" t="s">
        <v>4573</v>
      </c>
      <c r="E1534" t="s">
        <v>17714</v>
      </c>
      <c r="F1534" t="s">
        <v>28198</v>
      </c>
      <c r="G1534" t="s">
        <v>28207</v>
      </c>
      <c r="H1534" t="s">
        <v>28215</v>
      </c>
      <c r="I1534" t="s">
        <v>5100</v>
      </c>
      <c r="J1534" t="s">
        <v>29435</v>
      </c>
      <c r="K1534" t="s">
        <v>36707</v>
      </c>
      <c r="M1534" t="s">
        <v>37667</v>
      </c>
      <c r="N1534" t="s">
        <v>40436</v>
      </c>
      <c r="O1534" t="s">
        <v>40437</v>
      </c>
      <c r="P1534">
        <v>0</v>
      </c>
      <c r="Q1534">
        <v>0</v>
      </c>
      <c r="R1534" t="s">
        <v>40438</v>
      </c>
      <c r="S1534" t="s">
        <v>40582</v>
      </c>
      <c r="T1534" t="s">
        <v>42111</v>
      </c>
      <c r="U1534" t="s">
        <v>43967</v>
      </c>
      <c r="W1534" t="s">
        <v>37667</v>
      </c>
      <c r="X1534" t="s">
        <v>40439</v>
      </c>
    </row>
    <row r="1535" spans="1:24">
      <c r="A1535">
        <f>HYPERLINK("https://www.philgeps.gov.ph/GEPSNONPILOT/Tender/SplashBidNoticeAbstractUI.aspx?menuIndex=3&amp;refID=7048780&amp;Result=3","7048780")</f>
        <v>0</v>
      </c>
      <c r="B1535" t="s">
        <v>724</v>
      </c>
      <c r="C1535" t="s">
        <v>4574</v>
      </c>
      <c r="D1535" t="s">
        <v>16238</v>
      </c>
      <c r="E1535" t="s">
        <v>17715</v>
      </c>
      <c r="F1535" t="s">
        <v>28198</v>
      </c>
      <c r="G1535" t="s">
        <v>28209</v>
      </c>
      <c r="H1535" t="s">
        <v>28215</v>
      </c>
      <c r="I1535" t="s">
        <v>28222</v>
      </c>
      <c r="J1535" t="s">
        <v>29002</v>
      </c>
      <c r="K1535" t="s">
        <v>36701</v>
      </c>
      <c r="M1535" t="s">
        <v>37725</v>
      </c>
      <c r="N1535" t="s">
        <v>40436</v>
      </c>
      <c r="O1535" t="s">
        <v>40437</v>
      </c>
      <c r="P1535">
        <v>0</v>
      </c>
      <c r="Q1535">
        <v>2</v>
      </c>
      <c r="R1535" t="s">
        <v>40438</v>
      </c>
      <c r="S1535" t="s">
        <v>40582</v>
      </c>
      <c r="T1535" t="s">
        <v>42159</v>
      </c>
      <c r="U1535" t="s">
        <v>43968</v>
      </c>
      <c r="V1535" t="s">
        <v>53958</v>
      </c>
      <c r="W1535" t="s">
        <v>37725</v>
      </c>
      <c r="X1535" t="s">
        <v>40439</v>
      </c>
    </row>
    <row r="1536" spans="1:24">
      <c r="A1536">
        <f>HYPERLINK("https://www.philgeps.gov.ph/GEPSNONPILOT/Tender/SplashBidNoticeAbstractUI.aspx?menuIndex=3&amp;refID=7048802&amp;Result=3","7048802")</f>
        <v>0</v>
      </c>
      <c r="B1536" t="s">
        <v>725</v>
      </c>
      <c r="C1536" t="s">
        <v>4575</v>
      </c>
      <c r="D1536" t="s">
        <v>16223</v>
      </c>
      <c r="E1536" t="s">
        <v>17716</v>
      </c>
      <c r="F1536" t="s">
        <v>28198</v>
      </c>
      <c r="G1536" t="s">
        <v>28205</v>
      </c>
      <c r="H1536" t="s">
        <v>28215</v>
      </c>
      <c r="I1536" t="s">
        <v>5100</v>
      </c>
      <c r="J1536" t="s">
        <v>29436</v>
      </c>
      <c r="K1536" t="s">
        <v>36708</v>
      </c>
      <c r="M1536" t="s">
        <v>37726</v>
      </c>
      <c r="N1536" t="s">
        <v>40436</v>
      </c>
      <c r="O1536" t="s">
        <v>40437</v>
      </c>
      <c r="P1536">
        <v>0</v>
      </c>
      <c r="Q1536">
        <v>0</v>
      </c>
      <c r="R1536" t="s">
        <v>40438</v>
      </c>
      <c r="S1536" t="s">
        <v>40582</v>
      </c>
      <c r="T1536" t="s">
        <v>42112</v>
      </c>
      <c r="U1536" t="s">
        <v>43969</v>
      </c>
      <c r="W1536" t="s">
        <v>37726</v>
      </c>
      <c r="X1536" t="s">
        <v>40439</v>
      </c>
    </row>
    <row r="1537" spans="1:24">
      <c r="A1537">
        <f>HYPERLINK("https://www.philgeps.gov.ph/GEPSNONPILOT/Tender/SplashBidNoticeAbstractUI.aspx?menuIndex=3&amp;refID=7048808&amp;Result=3","7048808")</f>
        <v>0</v>
      </c>
      <c r="B1537" t="s">
        <v>613</v>
      </c>
      <c r="C1537" t="s">
        <v>4576</v>
      </c>
      <c r="D1537" t="s">
        <v>16203</v>
      </c>
      <c r="E1537" t="s">
        <v>17597</v>
      </c>
      <c r="F1537" t="s">
        <v>28198</v>
      </c>
      <c r="G1537" t="s">
        <v>28205</v>
      </c>
      <c r="H1537" t="s">
        <v>28215</v>
      </c>
      <c r="I1537" t="s">
        <v>6051</v>
      </c>
      <c r="J1537" t="s">
        <v>28629</v>
      </c>
      <c r="K1537" t="s">
        <v>36707</v>
      </c>
      <c r="M1537" t="s">
        <v>37693</v>
      </c>
      <c r="N1537" t="s">
        <v>40436</v>
      </c>
      <c r="O1537" t="s">
        <v>40437</v>
      </c>
      <c r="P1537">
        <v>0</v>
      </c>
      <c r="Q1537">
        <v>1</v>
      </c>
      <c r="R1537" t="s">
        <v>40438</v>
      </c>
      <c r="S1537" t="s">
        <v>40582</v>
      </c>
      <c r="T1537" t="s">
        <v>42247</v>
      </c>
      <c r="U1537" t="s">
        <v>43885</v>
      </c>
      <c r="V1537" t="s">
        <v>53959</v>
      </c>
      <c r="W1537" t="s">
        <v>37693</v>
      </c>
      <c r="X1537" t="s">
        <v>40439</v>
      </c>
    </row>
    <row r="1538" spans="1:24">
      <c r="A1538">
        <f>HYPERLINK("https://www.philgeps.gov.ph/GEPSNONPILOT/Tender/SplashBidNoticeAbstractUI.aspx?menuIndex=3&amp;refID=7048783&amp;Result=3","7048783")</f>
        <v>0</v>
      </c>
      <c r="B1538" t="s">
        <v>335</v>
      </c>
      <c r="C1538" t="s">
        <v>4577</v>
      </c>
      <c r="D1538" t="s">
        <v>16221</v>
      </c>
      <c r="E1538" t="s">
        <v>17717</v>
      </c>
      <c r="F1538" t="s">
        <v>28198</v>
      </c>
      <c r="G1538" t="s">
        <v>28207</v>
      </c>
      <c r="H1538" t="s">
        <v>28215</v>
      </c>
      <c r="I1538" t="s">
        <v>4200</v>
      </c>
      <c r="J1538" t="s">
        <v>28811</v>
      </c>
      <c r="K1538" t="s">
        <v>36715</v>
      </c>
      <c r="M1538" t="s">
        <v>37313</v>
      </c>
      <c r="N1538" t="s">
        <v>40436</v>
      </c>
      <c r="O1538" t="s">
        <v>40437</v>
      </c>
      <c r="P1538">
        <v>0</v>
      </c>
      <c r="Q1538">
        <v>0</v>
      </c>
      <c r="R1538" t="s">
        <v>40438</v>
      </c>
      <c r="S1538" t="s">
        <v>40582</v>
      </c>
      <c r="T1538" t="s">
        <v>42124</v>
      </c>
      <c r="U1538" t="s">
        <v>43165</v>
      </c>
      <c r="W1538" t="s">
        <v>55444</v>
      </c>
      <c r="X1538" t="s">
        <v>40439</v>
      </c>
    </row>
    <row r="1539" spans="1:24">
      <c r="A1539">
        <f>HYPERLINK("https://www.philgeps.gov.ph/GEPSNONPILOT/Tender/SplashBidNoticeAbstractUI.aspx?menuIndex=3&amp;refID=7048788&amp;Result=3","7048788")</f>
        <v>0</v>
      </c>
      <c r="B1539" t="s">
        <v>406</v>
      </c>
      <c r="C1539" t="s">
        <v>4578</v>
      </c>
      <c r="D1539" t="s">
        <v>16203</v>
      </c>
      <c r="E1539" t="s">
        <v>17718</v>
      </c>
      <c r="F1539" t="s">
        <v>28198</v>
      </c>
      <c r="G1539" t="s">
        <v>28207</v>
      </c>
      <c r="H1539" t="s">
        <v>28215</v>
      </c>
      <c r="I1539" t="s">
        <v>28220</v>
      </c>
      <c r="J1539" t="s">
        <v>28601</v>
      </c>
      <c r="K1539" t="s">
        <v>36707</v>
      </c>
      <c r="M1539" t="s">
        <v>37387</v>
      </c>
      <c r="N1539" t="s">
        <v>40436</v>
      </c>
      <c r="O1539" t="s">
        <v>40437</v>
      </c>
      <c r="P1539">
        <v>0</v>
      </c>
      <c r="Q1539">
        <v>6</v>
      </c>
      <c r="R1539" t="s">
        <v>40438</v>
      </c>
      <c r="S1539" t="s">
        <v>40582</v>
      </c>
      <c r="T1539" t="s">
        <v>42103</v>
      </c>
      <c r="U1539" t="s">
        <v>43970</v>
      </c>
      <c r="W1539" t="s">
        <v>37387</v>
      </c>
      <c r="X1539" t="s">
        <v>40439</v>
      </c>
    </row>
    <row r="1540" spans="1:24">
      <c r="A1540">
        <f>HYPERLINK("https://www.philgeps.gov.ph/GEPSNONPILOT/Tender/SplashBidNoticeAbstractUI.aspx?menuIndex=3&amp;refID=7048806&amp;Result=3","7048806")</f>
        <v>0</v>
      </c>
      <c r="B1540" t="s">
        <v>595</v>
      </c>
      <c r="C1540" t="s">
        <v>4579</v>
      </c>
      <c r="D1540" t="s">
        <v>16270</v>
      </c>
      <c r="E1540" t="s">
        <v>17719</v>
      </c>
      <c r="F1540" t="s">
        <v>28198</v>
      </c>
      <c r="G1540" t="s">
        <v>28209</v>
      </c>
      <c r="H1540" t="s">
        <v>28215</v>
      </c>
      <c r="I1540" t="s">
        <v>28224</v>
      </c>
      <c r="J1540" t="s">
        <v>29437</v>
      </c>
      <c r="K1540" t="s">
        <v>36701</v>
      </c>
      <c r="M1540" t="s">
        <v>37713</v>
      </c>
      <c r="N1540" t="s">
        <v>40436</v>
      </c>
      <c r="O1540" t="s">
        <v>40437</v>
      </c>
      <c r="P1540">
        <v>0</v>
      </c>
      <c r="Q1540">
        <v>0</v>
      </c>
      <c r="R1540" t="s">
        <v>40438</v>
      </c>
      <c r="S1540" t="s">
        <v>40582</v>
      </c>
      <c r="T1540" t="s">
        <v>42148</v>
      </c>
      <c r="U1540" t="s">
        <v>43971</v>
      </c>
      <c r="W1540" t="s">
        <v>37713</v>
      </c>
      <c r="X1540" t="s">
        <v>40439</v>
      </c>
    </row>
    <row r="1541" spans="1:24">
      <c r="A1541">
        <f>HYPERLINK("https://www.philgeps.gov.ph/GEPSNONPILOT/Tender/SplashBidNoticeAbstractUI.aspx?menuIndex=3&amp;refID=7048782&amp;Result=3","7048782")</f>
        <v>0</v>
      </c>
      <c r="B1541" t="s">
        <v>726</v>
      </c>
      <c r="C1541" t="s">
        <v>4580</v>
      </c>
      <c r="D1541" t="s">
        <v>16210</v>
      </c>
      <c r="E1541" t="s">
        <v>17720</v>
      </c>
      <c r="F1541" t="s">
        <v>28198</v>
      </c>
      <c r="G1541" t="s">
        <v>28207</v>
      </c>
      <c r="H1541" t="s">
        <v>28215</v>
      </c>
      <c r="I1541" t="s">
        <v>28234</v>
      </c>
      <c r="J1541" t="s">
        <v>28414</v>
      </c>
      <c r="K1541" t="s">
        <v>36701</v>
      </c>
      <c r="M1541" t="s">
        <v>37727</v>
      </c>
      <c r="N1541" t="s">
        <v>40436</v>
      </c>
      <c r="O1541" t="s">
        <v>40437</v>
      </c>
      <c r="P1541">
        <v>0</v>
      </c>
      <c r="Q1541">
        <v>0</v>
      </c>
      <c r="R1541" t="s">
        <v>40438</v>
      </c>
      <c r="S1541" t="s">
        <v>40582</v>
      </c>
      <c r="T1541" t="s">
        <v>42124</v>
      </c>
      <c r="U1541" t="s">
        <v>43972</v>
      </c>
      <c r="V1541" t="s">
        <v>53960</v>
      </c>
      <c r="W1541" t="s">
        <v>37727</v>
      </c>
      <c r="X1541" t="s">
        <v>40439</v>
      </c>
    </row>
    <row r="1542" spans="1:24">
      <c r="A1542">
        <f>HYPERLINK("https://www.philgeps.gov.ph/GEPSNONPILOT/Tender/SplashBidNoticeAbstractUI.aspx?menuIndex=3&amp;refID=7048799&amp;Result=3","7048799")</f>
        <v>0</v>
      </c>
      <c r="B1542" t="s">
        <v>694</v>
      </c>
      <c r="C1542" t="s">
        <v>4581</v>
      </c>
      <c r="D1542" t="s">
        <v>16245</v>
      </c>
      <c r="E1542" t="s">
        <v>17721</v>
      </c>
      <c r="F1542" t="s">
        <v>28198</v>
      </c>
      <c r="G1542" t="s">
        <v>28205</v>
      </c>
      <c r="H1542" t="s">
        <v>28214</v>
      </c>
      <c r="I1542" t="s">
        <v>3797</v>
      </c>
      <c r="J1542" t="s">
        <v>29377</v>
      </c>
      <c r="K1542" t="s">
        <v>36752</v>
      </c>
      <c r="L1542" t="s">
        <v>694</v>
      </c>
      <c r="M1542" t="s">
        <v>37694</v>
      </c>
      <c r="N1542" t="s">
        <v>40436</v>
      </c>
      <c r="O1542" t="s">
        <v>40437</v>
      </c>
      <c r="P1542">
        <v>0</v>
      </c>
      <c r="Q1542">
        <v>1</v>
      </c>
      <c r="R1542" t="s">
        <v>40438</v>
      </c>
      <c r="S1542" t="s">
        <v>40582</v>
      </c>
      <c r="T1542" t="s">
        <v>42106</v>
      </c>
      <c r="U1542" t="s">
        <v>43973</v>
      </c>
      <c r="W1542" t="s">
        <v>37694</v>
      </c>
      <c r="X1542" t="s">
        <v>40439</v>
      </c>
    </row>
    <row r="1543" spans="1:24">
      <c r="A1543">
        <f>HYPERLINK("https://www.philgeps.gov.ph/GEPSNONPILOT/Tender/SplashBidNoticeAbstractUI.aspx?menuIndex=3&amp;refID=7048790&amp;Result=3","7048790")</f>
        <v>0</v>
      </c>
      <c r="B1543" t="s">
        <v>727</v>
      </c>
      <c r="C1543" t="s">
        <v>4582</v>
      </c>
      <c r="D1543" t="s">
        <v>16204</v>
      </c>
      <c r="E1543" t="s">
        <v>17722</v>
      </c>
      <c r="F1543" t="s">
        <v>28198</v>
      </c>
      <c r="G1543" t="s">
        <v>28206</v>
      </c>
      <c r="H1543" t="s">
        <v>28215</v>
      </c>
      <c r="I1543" t="s">
        <v>5100</v>
      </c>
      <c r="J1543" t="s">
        <v>29438</v>
      </c>
      <c r="K1543" t="s">
        <v>36707</v>
      </c>
      <c r="M1543" t="s">
        <v>37728</v>
      </c>
      <c r="N1543" t="s">
        <v>40436</v>
      </c>
      <c r="O1543" t="s">
        <v>40437</v>
      </c>
      <c r="P1543">
        <v>0</v>
      </c>
      <c r="Q1543">
        <v>0</v>
      </c>
      <c r="R1543" t="s">
        <v>40438</v>
      </c>
      <c r="S1543" t="s">
        <v>40582</v>
      </c>
      <c r="T1543" t="s">
        <v>42158</v>
      </c>
      <c r="U1543" t="s">
        <v>43974</v>
      </c>
      <c r="W1543" t="s">
        <v>37728</v>
      </c>
      <c r="X1543" t="s">
        <v>40439</v>
      </c>
    </row>
    <row r="1544" spans="1:24">
      <c r="A1544">
        <f>HYPERLINK("https://www.philgeps.gov.ph/GEPSNONPILOT/Tender/SplashBidNoticeAbstractUI.aspx?menuIndex=3&amp;refID=7048805&amp;Result=3","7048805")</f>
        <v>0</v>
      </c>
      <c r="B1544" t="s">
        <v>728</v>
      </c>
      <c r="C1544" t="s">
        <v>4583</v>
      </c>
      <c r="D1544" t="s">
        <v>16200</v>
      </c>
      <c r="E1544" t="s">
        <v>17723</v>
      </c>
      <c r="F1544" t="s">
        <v>28198</v>
      </c>
      <c r="G1544" t="s">
        <v>28205</v>
      </c>
      <c r="H1544" t="s">
        <v>28215</v>
      </c>
      <c r="I1544" t="s">
        <v>28280</v>
      </c>
      <c r="J1544" t="s">
        <v>29439</v>
      </c>
      <c r="K1544" t="s">
        <v>36697</v>
      </c>
      <c r="M1544" t="s">
        <v>37729</v>
      </c>
      <c r="N1544" t="s">
        <v>40436</v>
      </c>
      <c r="O1544" t="s">
        <v>40437</v>
      </c>
      <c r="P1544">
        <v>0</v>
      </c>
      <c r="Q1544">
        <v>4</v>
      </c>
      <c r="R1544" t="s">
        <v>40438</v>
      </c>
      <c r="S1544" t="s">
        <v>40582</v>
      </c>
      <c r="T1544" t="s">
        <v>42143</v>
      </c>
      <c r="U1544" t="s">
        <v>43975</v>
      </c>
      <c r="W1544" t="s">
        <v>37729</v>
      </c>
      <c r="X1544" t="s">
        <v>40439</v>
      </c>
    </row>
    <row r="1545" spans="1:24">
      <c r="A1545">
        <f>HYPERLINK("https://www.philgeps.gov.ph/GEPSNONPILOT/Tender/SplashBidNoticeAbstractUI.aspx?menuIndex=3&amp;refID=7048804&amp;Result=3","7048804")</f>
        <v>0</v>
      </c>
      <c r="B1545" t="s">
        <v>588</v>
      </c>
      <c r="C1545" t="s">
        <v>4584</v>
      </c>
      <c r="D1545" t="s">
        <v>16197</v>
      </c>
      <c r="E1545" t="s">
        <v>17543</v>
      </c>
      <c r="F1545" t="s">
        <v>28198</v>
      </c>
      <c r="G1545" t="s">
        <v>28205</v>
      </c>
      <c r="H1545" t="s">
        <v>28215</v>
      </c>
      <c r="I1545" t="s">
        <v>28237</v>
      </c>
      <c r="J1545" t="s">
        <v>28373</v>
      </c>
      <c r="K1545" t="s">
        <v>36706</v>
      </c>
      <c r="M1545" t="s">
        <v>37577</v>
      </c>
      <c r="N1545" t="s">
        <v>40436</v>
      </c>
      <c r="O1545" t="s">
        <v>40437</v>
      </c>
      <c r="P1545">
        <v>0</v>
      </c>
      <c r="Q1545">
        <v>0</v>
      </c>
      <c r="R1545" t="s">
        <v>40438</v>
      </c>
      <c r="S1545" t="s">
        <v>40582</v>
      </c>
      <c r="T1545" t="s">
        <v>42213</v>
      </c>
      <c r="U1545" t="s">
        <v>43976</v>
      </c>
      <c r="W1545" t="s">
        <v>37577</v>
      </c>
      <c r="X1545" t="s">
        <v>40439</v>
      </c>
    </row>
    <row r="1546" spans="1:24">
      <c r="A1546">
        <f>HYPERLINK("https://www.philgeps.gov.ph/GEPSNONPILOT/Tender/SplashBidNoticeAbstractUI.aspx?menuIndex=3&amp;refID=7048791&amp;Result=3","7048791")</f>
        <v>0</v>
      </c>
      <c r="B1546" t="s">
        <v>401</v>
      </c>
      <c r="C1546" t="s">
        <v>4585</v>
      </c>
      <c r="D1546" t="s">
        <v>16223</v>
      </c>
      <c r="E1546" t="s">
        <v>17018</v>
      </c>
      <c r="F1546" t="s">
        <v>28198</v>
      </c>
      <c r="G1546" t="s">
        <v>28207</v>
      </c>
      <c r="H1546" t="s">
        <v>28215</v>
      </c>
      <c r="I1546" t="s">
        <v>5631</v>
      </c>
      <c r="J1546" t="s">
        <v>28878</v>
      </c>
      <c r="K1546" t="s">
        <v>36691</v>
      </c>
      <c r="M1546" t="s">
        <v>37382</v>
      </c>
      <c r="N1546" t="s">
        <v>40436</v>
      </c>
      <c r="O1546" t="s">
        <v>40437</v>
      </c>
      <c r="P1546">
        <v>0</v>
      </c>
      <c r="Q1546">
        <v>0</v>
      </c>
      <c r="R1546" t="s">
        <v>40438</v>
      </c>
      <c r="S1546" t="s">
        <v>40582</v>
      </c>
      <c r="T1546" t="s">
        <v>42103</v>
      </c>
      <c r="U1546" t="s">
        <v>43977</v>
      </c>
      <c r="W1546" t="s">
        <v>37382</v>
      </c>
      <c r="X1546" t="s">
        <v>40439</v>
      </c>
    </row>
    <row r="1547" spans="1:24">
      <c r="A1547">
        <f>HYPERLINK("https://www.philgeps.gov.ph/GEPSNONPILOT/Tender/SplashBidNoticeAbstractUI.aspx?menuIndex=3&amp;refID=7048803&amp;Result=3","7048803")</f>
        <v>0</v>
      </c>
      <c r="B1547" t="s">
        <v>710</v>
      </c>
      <c r="C1547" t="s">
        <v>4027</v>
      </c>
      <c r="D1547" t="s">
        <v>16199</v>
      </c>
      <c r="E1547" t="s">
        <v>17724</v>
      </c>
      <c r="F1547" t="s">
        <v>28198</v>
      </c>
      <c r="G1547" t="s">
        <v>28209</v>
      </c>
      <c r="H1547" t="s">
        <v>28215</v>
      </c>
      <c r="I1547" t="s">
        <v>4168</v>
      </c>
      <c r="J1547" t="s">
        <v>29440</v>
      </c>
      <c r="K1547" t="s">
        <v>36691</v>
      </c>
      <c r="M1547" t="s">
        <v>37710</v>
      </c>
      <c r="N1547" t="s">
        <v>40436</v>
      </c>
      <c r="O1547" t="s">
        <v>40437</v>
      </c>
      <c r="P1547">
        <v>0</v>
      </c>
      <c r="Q1547">
        <v>0</v>
      </c>
      <c r="R1547" t="s">
        <v>40438</v>
      </c>
      <c r="S1547" t="s">
        <v>40582</v>
      </c>
      <c r="T1547" t="s">
        <v>42193</v>
      </c>
      <c r="U1547" t="s">
        <v>43978</v>
      </c>
      <c r="W1547" t="s">
        <v>37710</v>
      </c>
      <c r="X1547" t="s">
        <v>40439</v>
      </c>
    </row>
    <row r="1548" spans="1:24">
      <c r="A1548">
        <f>HYPERLINK("https://www.philgeps.gov.ph/GEPSNONPILOT/Tender/SplashBidNoticeAbstractUI.aspx?menuIndex=3&amp;refID=7048824&amp;Result=3","7048824")</f>
        <v>0</v>
      </c>
      <c r="B1548" t="s">
        <v>401</v>
      </c>
      <c r="C1548" t="s">
        <v>4586</v>
      </c>
      <c r="D1548" t="s">
        <v>16223</v>
      </c>
      <c r="E1548" t="s">
        <v>17018</v>
      </c>
      <c r="F1548" t="s">
        <v>28198</v>
      </c>
      <c r="G1548" t="s">
        <v>28207</v>
      </c>
      <c r="H1548" t="s">
        <v>28215</v>
      </c>
      <c r="I1548" t="s">
        <v>5631</v>
      </c>
      <c r="J1548" t="s">
        <v>28878</v>
      </c>
      <c r="K1548" t="s">
        <v>36691</v>
      </c>
      <c r="M1548" t="s">
        <v>37382</v>
      </c>
      <c r="N1548" t="s">
        <v>40436</v>
      </c>
      <c r="O1548" t="s">
        <v>40437</v>
      </c>
      <c r="P1548">
        <v>0</v>
      </c>
      <c r="Q1548">
        <v>0</v>
      </c>
      <c r="R1548" t="s">
        <v>40438</v>
      </c>
      <c r="S1548" t="s">
        <v>40582</v>
      </c>
      <c r="T1548" t="s">
        <v>42103</v>
      </c>
      <c r="U1548" t="s">
        <v>43979</v>
      </c>
      <c r="W1548" t="s">
        <v>37382</v>
      </c>
      <c r="X1548" t="s">
        <v>40439</v>
      </c>
    </row>
    <row r="1549" spans="1:24">
      <c r="A1549">
        <f>HYPERLINK("https://www.philgeps.gov.ph/GEPSNONPILOT/Tender/SplashBidNoticeAbstractUI.aspx?menuIndex=3&amp;refID=7048823&amp;Result=3","7048823")</f>
        <v>0</v>
      </c>
      <c r="B1549" t="s">
        <v>720</v>
      </c>
      <c r="C1549" t="s">
        <v>4587</v>
      </c>
      <c r="D1549" t="s">
        <v>16187</v>
      </c>
      <c r="E1549" t="s">
        <v>17725</v>
      </c>
      <c r="F1549" t="s">
        <v>28198</v>
      </c>
      <c r="G1549" t="s">
        <v>28205</v>
      </c>
      <c r="H1549" t="s">
        <v>28215</v>
      </c>
      <c r="I1549" t="s">
        <v>28303</v>
      </c>
      <c r="J1549" t="s">
        <v>28661</v>
      </c>
      <c r="K1549" t="s">
        <v>36707</v>
      </c>
      <c r="M1549" t="s">
        <v>37721</v>
      </c>
      <c r="N1549" t="s">
        <v>40436</v>
      </c>
      <c r="O1549" t="s">
        <v>40437</v>
      </c>
      <c r="P1549">
        <v>0</v>
      </c>
      <c r="Q1549">
        <v>1</v>
      </c>
      <c r="R1549" t="s">
        <v>40438</v>
      </c>
      <c r="S1549" t="s">
        <v>40582</v>
      </c>
      <c r="T1549" t="s">
        <v>42112</v>
      </c>
      <c r="U1549" t="s">
        <v>43980</v>
      </c>
      <c r="V1549" t="s">
        <v>53956</v>
      </c>
      <c r="W1549" t="s">
        <v>37721</v>
      </c>
      <c r="X1549" t="s">
        <v>40439</v>
      </c>
    </row>
    <row r="1550" spans="1:24">
      <c r="A1550">
        <f>HYPERLINK("https://www.philgeps.gov.ph/GEPSNONPILOT/Tender/SplashBidNoticeAbstractUI.aspx?menuIndex=3&amp;refID=7048818&amp;Result=3","7048818")</f>
        <v>0</v>
      </c>
      <c r="B1550" t="s">
        <v>643</v>
      </c>
      <c r="C1550" t="s">
        <v>4588</v>
      </c>
      <c r="D1550" t="s">
        <v>16267</v>
      </c>
      <c r="E1550" t="s">
        <v>17726</v>
      </c>
      <c r="F1550" t="s">
        <v>28198</v>
      </c>
      <c r="G1550" t="s">
        <v>28205</v>
      </c>
      <c r="H1550" t="s">
        <v>28215</v>
      </c>
      <c r="I1550" t="s">
        <v>28222</v>
      </c>
      <c r="J1550" t="s">
        <v>28351</v>
      </c>
      <c r="K1550" t="s">
        <v>36701</v>
      </c>
      <c r="M1550" t="s">
        <v>37636</v>
      </c>
      <c r="N1550" t="s">
        <v>40436</v>
      </c>
      <c r="O1550" t="s">
        <v>40437</v>
      </c>
      <c r="P1550">
        <v>0</v>
      </c>
      <c r="Q1550">
        <v>2</v>
      </c>
      <c r="R1550" t="s">
        <v>40438</v>
      </c>
      <c r="S1550" t="s">
        <v>40582</v>
      </c>
      <c r="T1550" t="s">
        <v>42281</v>
      </c>
      <c r="U1550" t="s">
        <v>43981</v>
      </c>
      <c r="W1550" t="s">
        <v>37636</v>
      </c>
      <c r="X1550" t="s">
        <v>40439</v>
      </c>
    </row>
    <row r="1551" spans="1:24">
      <c r="A1551">
        <f>HYPERLINK("https://www.philgeps.gov.ph/GEPSNONPILOT/Tender/SplashBidNoticeAbstractUI.aspx?menuIndex=3&amp;refID=7048819&amp;Result=3","7048819")</f>
        <v>0</v>
      </c>
      <c r="B1551" t="s">
        <v>729</v>
      </c>
      <c r="C1551" t="s">
        <v>4589</v>
      </c>
      <c r="D1551" t="s">
        <v>16252</v>
      </c>
      <c r="E1551" t="s">
        <v>17727</v>
      </c>
      <c r="F1551" t="s">
        <v>28198</v>
      </c>
      <c r="G1551" t="s">
        <v>28205</v>
      </c>
      <c r="H1551" t="s">
        <v>28215</v>
      </c>
      <c r="I1551" t="s">
        <v>3797</v>
      </c>
      <c r="J1551" t="s">
        <v>29441</v>
      </c>
      <c r="K1551" t="s">
        <v>36689</v>
      </c>
      <c r="M1551" t="s">
        <v>37730</v>
      </c>
      <c r="N1551" t="s">
        <v>40436</v>
      </c>
      <c r="O1551" t="s">
        <v>40437</v>
      </c>
      <c r="P1551">
        <v>0</v>
      </c>
      <c r="Q1551">
        <v>0</v>
      </c>
      <c r="R1551" t="s">
        <v>40438</v>
      </c>
      <c r="S1551" t="s">
        <v>40582</v>
      </c>
      <c r="T1551" t="s">
        <v>42102</v>
      </c>
      <c r="U1551" t="s">
        <v>43982</v>
      </c>
      <c r="W1551" t="s">
        <v>37730</v>
      </c>
      <c r="X1551" t="s">
        <v>40439</v>
      </c>
    </row>
    <row r="1552" spans="1:24">
      <c r="A1552">
        <f>HYPERLINK("https://www.philgeps.gov.ph/GEPSNONPILOT/Tender/SplashBidNoticeAbstractUI.aspx?menuIndex=3&amp;refID=7048816&amp;Result=3","7048816")</f>
        <v>0</v>
      </c>
      <c r="B1552" t="s">
        <v>572</v>
      </c>
      <c r="C1552" t="s">
        <v>4590</v>
      </c>
      <c r="D1552" t="s">
        <v>16192</v>
      </c>
      <c r="E1552" t="s">
        <v>17728</v>
      </c>
      <c r="F1552" t="s">
        <v>28198</v>
      </c>
      <c r="G1552" t="s">
        <v>28207</v>
      </c>
      <c r="H1552" t="s">
        <v>28215</v>
      </c>
      <c r="I1552" t="s">
        <v>28225</v>
      </c>
      <c r="J1552" t="s">
        <v>28597</v>
      </c>
      <c r="K1552" t="s">
        <v>36701</v>
      </c>
      <c r="M1552" t="s">
        <v>37560</v>
      </c>
      <c r="N1552" t="s">
        <v>40436</v>
      </c>
      <c r="O1552" t="s">
        <v>40437</v>
      </c>
      <c r="P1552">
        <v>0</v>
      </c>
      <c r="Q1552">
        <v>1</v>
      </c>
      <c r="R1552" t="s">
        <v>40438</v>
      </c>
      <c r="S1552" t="s">
        <v>40582</v>
      </c>
      <c r="T1552" t="s">
        <v>42119</v>
      </c>
      <c r="U1552" t="s">
        <v>43983</v>
      </c>
      <c r="W1552" t="s">
        <v>37560</v>
      </c>
      <c r="X1552" t="s">
        <v>40439</v>
      </c>
    </row>
    <row r="1553" spans="1:24">
      <c r="A1553">
        <f>HYPERLINK("https://www.philgeps.gov.ph/GEPSNONPILOT/Tender/SplashBidNoticeAbstractUI.aspx?menuIndex=3&amp;refID=7048812&amp;Result=3","7048812")</f>
        <v>0</v>
      </c>
      <c r="B1553" t="s">
        <v>317</v>
      </c>
      <c r="C1553" t="s">
        <v>4591</v>
      </c>
      <c r="D1553" t="s">
        <v>16223</v>
      </c>
      <c r="E1553" t="s">
        <v>17729</v>
      </c>
      <c r="F1553" t="s">
        <v>28198</v>
      </c>
      <c r="G1553" t="s">
        <v>28205</v>
      </c>
      <c r="H1553" t="s">
        <v>28215</v>
      </c>
      <c r="I1553" t="s">
        <v>28222</v>
      </c>
      <c r="J1553" t="s">
        <v>28468</v>
      </c>
      <c r="K1553" t="s">
        <v>36701</v>
      </c>
      <c r="M1553" t="s">
        <v>37295</v>
      </c>
      <c r="N1553" t="s">
        <v>40436</v>
      </c>
      <c r="O1553" t="s">
        <v>40437</v>
      </c>
      <c r="P1553">
        <v>0</v>
      </c>
      <c r="Q1553">
        <v>3</v>
      </c>
      <c r="R1553" t="s">
        <v>40438</v>
      </c>
      <c r="S1553" t="s">
        <v>40582</v>
      </c>
      <c r="T1553" t="s">
        <v>42202</v>
      </c>
      <c r="U1553" t="s">
        <v>43984</v>
      </c>
      <c r="W1553" t="s">
        <v>37295</v>
      </c>
      <c r="X1553" t="s">
        <v>40439</v>
      </c>
    </row>
    <row r="1554" spans="1:24">
      <c r="A1554">
        <f>HYPERLINK("https://www.philgeps.gov.ph/GEPSNONPILOT/Tender/SplashBidNoticeAbstractUI.aspx?menuIndex=3&amp;refID=7048789&amp;Result=3","7048789")</f>
        <v>0</v>
      </c>
      <c r="B1554" t="s">
        <v>617</v>
      </c>
      <c r="C1554" t="s">
        <v>4592</v>
      </c>
      <c r="D1554" t="s">
        <v>16253</v>
      </c>
      <c r="E1554" t="s">
        <v>17730</v>
      </c>
      <c r="F1554" t="s">
        <v>28198</v>
      </c>
      <c r="G1554" t="s">
        <v>28207</v>
      </c>
      <c r="H1554" t="s">
        <v>28215</v>
      </c>
      <c r="I1554" t="s">
        <v>3774</v>
      </c>
      <c r="J1554" t="s">
        <v>29442</v>
      </c>
      <c r="K1554" t="s">
        <v>36701</v>
      </c>
      <c r="M1554" t="s">
        <v>37609</v>
      </c>
      <c r="N1554" t="s">
        <v>40436</v>
      </c>
      <c r="O1554" t="s">
        <v>40437</v>
      </c>
      <c r="P1554">
        <v>0</v>
      </c>
      <c r="Q1554">
        <v>0</v>
      </c>
      <c r="R1554" t="s">
        <v>40438</v>
      </c>
      <c r="S1554" t="s">
        <v>40582</v>
      </c>
      <c r="T1554" t="s">
        <v>42129</v>
      </c>
      <c r="U1554" t="s">
        <v>43985</v>
      </c>
      <c r="V1554" t="s">
        <v>53932</v>
      </c>
      <c r="W1554" t="s">
        <v>37609</v>
      </c>
      <c r="X1554" t="s">
        <v>40439</v>
      </c>
    </row>
    <row r="1555" spans="1:24">
      <c r="A1555">
        <f>HYPERLINK("https://www.philgeps.gov.ph/GEPSNONPILOT/Tender/SplashBidNoticeAbstractUI.aspx?menuIndex=3&amp;refID=7048813&amp;Result=3","7048813")</f>
        <v>0</v>
      </c>
      <c r="B1555" t="s">
        <v>675</v>
      </c>
      <c r="C1555" t="s">
        <v>4593</v>
      </c>
      <c r="D1555" t="s">
        <v>16241</v>
      </c>
      <c r="E1555" t="s">
        <v>17731</v>
      </c>
      <c r="F1555" t="s">
        <v>28198</v>
      </c>
      <c r="G1555" t="s">
        <v>28205</v>
      </c>
      <c r="H1555" t="s">
        <v>28214</v>
      </c>
      <c r="I1555" t="s">
        <v>3797</v>
      </c>
      <c r="J1555" t="s">
        <v>29443</v>
      </c>
      <c r="K1555" t="s">
        <v>36755</v>
      </c>
      <c r="M1555" t="s">
        <v>37672</v>
      </c>
      <c r="N1555" t="s">
        <v>40436</v>
      </c>
      <c r="O1555" t="s">
        <v>40437</v>
      </c>
      <c r="P1555">
        <v>0</v>
      </c>
      <c r="Q1555">
        <v>1</v>
      </c>
      <c r="R1555" t="s">
        <v>40438</v>
      </c>
      <c r="S1555" t="s">
        <v>40582</v>
      </c>
      <c r="T1555" t="s">
        <v>42275</v>
      </c>
      <c r="U1555" t="s">
        <v>43986</v>
      </c>
      <c r="W1555" t="s">
        <v>37672</v>
      </c>
      <c r="X1555" t="s">
        <v>40439</v>
      </c>
    </row>
    <row r="1556" spans="1:24">
      <c r="A1556">
        <f>HYPERLINK("https://www.philgeps.gov.ph/GEPSNONPILOT/Tender/SplashBidNoticeAbstractUI.aspx?menuIndex=3&amp;refID=7048810&amp;Result=3","7048810")</f>
        <v>0</v>
      </c>
      <c r="B1556" t="s">
        <v>730</v>
      </c>
      <c r="C1556" t="s">
        <v>4594</v>
      </c>
      <c r="D1556" t="s">
        <v>16223</v>
      </c>
      <c r="E1556" t="s">
        <v>17732</v>
      </c>
      <c r="F1556" t="s">
        <v>28198</v>
      </c>
      <c r="G1556" t="s">
        <v>28207</v>
      </c>
      <c r="H1556" t="s">
        <v>28215</v>
      </c>
      <c r="I1556" t="s">
        <v>3774</v>
      </c>
      <c r="J1556" t="s">
        <v>29420</v>
      </c>
      <c r="K1556" t="s">
        <v>36706</v>
      </c>
      <c r="M1556" t="s">
        <v>37731</v>
      </c>
      <c r="N1556" t="s">
        <v>40436</v>
      </c>
      <c r="O1556" t="s">
        <v>40437</v>
      </c>
      <c r="P1556">
        <v>0</v>
      </c>
      <c r="Q1556">
        <v>0</v>
      </c>
      <c r="R1556" t="s">
        <v>40438</v>
      </c>
      <c r="S1556" t="s">
        <v>40582</v>
      </c>
      <c r="T1556" t="s">
        <v>42191</v>
      </c>
      <c r="U1556" t="s">
        <v>43987</v>
      </c>
      <c r="W1556" t="s">
        <v>37731</v>
      </c>
      <c r="X1556" t="s">
        <v>40439</v>
      </c>
    </row>
    <row r="1557" spans="1:24">
      <c r="A1557">
        <f>HYPERLINK("https://www.philgeps.gov.ph/GEPSNONPILOT/Tender/SplashBidNoticeAbstractUI.aspx?menuIndex=3&amp;refID=7048841&amp;Result=3","7048841")</f>
        <v>0</v>
      </c>
      <c r="B1557" t="s">
        <v>731</v>
      </c>
      <c r="C1557" t="s">
        <v>4595</v>
      </c>
      <c r="D1557" t="s">
        <v>16244</v>
      </c>
      <c r="E1557" t="s">
        <v>17733</v>
      </c>
      <c r="F1557" t="s">
        <v>28198</v>
      </c>
      <c r="G1557" t="s">
        <v>28205</v>
      </c>
      <c r="H1557" t="s">
        <v>28215</v>
      </c>
      <c r="I1557" t="s">
        <v>5100</v>
      </c>
      <c r="J1557" t="s">
        <v>29444</v>
      </c>
      <c r="K1557" t="s">
        <v>36707</v>
      </c>
      <c r="M1557" t="s">
        <v>37732</v>
      </c>
      <c r="N1557" t="s">
        <v>40436</v>
      </c>
      <c r="O1557" t="s">
        <v>40437</v>
      </c>
      <c r="P1557">
        <v>0</v>
      </c>
      <c r="Q1557">
        <v>0</v>
      </c>
      <c r="R1557" t="s">
        <v>40438</v>
      </c>
      <c r="S1557" t="s">
        <v>40582</v>
      </c>
      <c r="T1557" t="s">
        <v>42125</v>
      </c>
      <c r="U1557" t="s">
        <v>43988</v>
      </c>
      <c r="W1557" t="s">
        <v>37732</v>
      </c>
      <c r="X1557" t="s">
        <v>40439</v>
      </c>
    </row>
    <row r="1558" spans="1:24">
      <c r="A1558">
        <f>HYPERLINK("https://www.philgeps.gov.ph/GEPSNONPILOT/Tender/SplashBidNoticeAbstractUI.aspx?menuIndex=3&amp;refID=7048822&amp;Result=3","7048822")</f>
        <v>0</v>
      </c>
      <c r="B1558" t="s">
        <v>678</v>
      </c>
      <c r="C1558" t="s">
        <v>4596</v>
      </c>
      <c r="D1558" t="s">
        <v>16222</v>
      </c>
      <c r="E1558" t="s">
        <v>17437</v>
      </c>
      <c r="F1558" t="s">
        <v>28198</v>
      </c>
      <c r="G1558" t="s">
        <v>28207</v>
      </c>
      <c r="H1558" t="s">
        <v>28215</v>
      </c>
      <c r="I1558" t="s">
        <v>4200</v>
      </c>
      <c r="J1558" t="s">
        <v>29143</v>
      </c>
      <c r="K1558" t="s">
        <v>36691</v>
      </c>
      <c r="M1558" t="s">
        <v>37676</v>
      </c>
      <c r="N1558" t="s">
        <v>40436</v>
      </c>
      <c r="O1558" t="s">
        <v>40437</v>
      </c>
      <c r="P1558">
        <v>0</v>
      </c>
      <c r="Q1558">
        <v>0</v>
      </c>
      <c r="R1558" t="s">
        <v>40438</v>
      </c>
      <c r="S1558" t="s">
        <v>40582</v>
      </c>
      <c r="T1558" t="s">
        <v>42103</v>
      </c>
      <c r="U1558" t="s">
        <v>43989</v>
      </c>
      <c r="W1558" t="s">
        <v>37676</v>
      </c>
      <c r="X1558" t="s">
        <v>40439</v>
      </c>
    </row>
    <row r="1559" spans="1:24">
      <c r="A1559">
        <f>HYPERLINK("https://www.philgeps.gov.ph/GEPSNONPILOT/Tender/SplashBidNoticeAbstractUI.aspx?menuIndex=3&amp;refID=7048821&amp;Result=3","7048821")</f>
        <v>0</v>
      </c>
      <c r="B1559" t="s">
        <v>732</v>
      </c>
      <c r="C1559" t="s">
        <v>4597</v>
      </c>
      <c r="E1559" t="s">
        <v>17734</v>
      </c>
      <c r="F1559" t="s">
        <v>28198</v>
      </c>
      <c r="G1559" t="s">
        <v>28207</v>
      </c>
      <c r="H1559" t="s">
        <v>28215</v>
      </c>
      <c r="I1559" t="s">
        <v>28258</v>
      </c>
      <c r="J1559" t="s">
        <v>28530</v>
      </c>
      <c r="K1559" t="s">
        <v>36689</v>
      </c>
      <c r="M1559" t="s">
        <v>37733</v>
      </c>
      <c r="N1559" t="s">
        <v>40436</v>
      </c>
      <c r="O1559" t="s">
        <v>40437</v>
      </c>
      <c r="P1559">
        <v>0</v>
      </c>
      <c r="Q1559">
        <v>3</v>
      </c>
      <c r="R1559" t="s">
        <v>40438</v>
      </c>
      <c r="S1559" t="s">
        <v>40582</v>
      </c>
      <c r="T1559" t="s">
        <v>42103</v>
      </c>
      <c r="U1559" t="s">
        <v>43990</v>
      </c>
      <c r="V1559" t="s">
        <v>53961</v>
      </c>
      <c r="W1559" t="s">
        <v>37733</v>
      </c>
      <c r="X1559" t="s">
        <v>40439</v>
      </c>
    </row>
    <row r="1560" spans="1:24">
      <c r="A1560">
        <f>HYPERLINK("https://www.philgeps.gov.ph/GEPSNONPILOT/Tender/SplashBidNoticeAbstractUI.aspx?menuIndex=3&amp;refID=7048825&amp;Result=3","7048825")</f>
        <v>0</v>
      </c>
      <c r="B1560" t="s">
        <v>733</v>
      </c>
      <c r="C1560" t="s">
        <v>4598</v>
      </c>
      <c r="D1560" t="s">
        <v>16209</v>
      </c>
      <c r="E1560" t="s">
        <v>17735</v>
      </c>
      <c r="F1560" t="s">
        <v>28198</v>
      </c>
      <c r="G1560" t="s">
        <v>28206</v>
      </c>
      <c r="H1560" t="s">
        <v>28215</v>
      </c>
      <c r="I1560" t="s">
        <v>5656</v>
      </c>
      <c r="J1560" t="s">
        <v>29445</v>
      </c>
      <c r="K1560" t="s">
        <v>36693</v>
      </c>
      <c r="M1560" t="s">
        <v>37734</v>
      </c>
      <c r="N1560" t="s">
        <v>40436</v>
      </c>
      <c r="O1560" t="s">
        <v>40437</v>
      </c>
      <c r="P1560">
        <v>0</v>
      </c>
      <c r="Q1560">
        <v>0</v>
      </c>
      <c r="R1560" t="s">
        <v>40438</v>
      </c>
      <c r="S1560" t="s">
        <v>40582</v>
      </c>
      <c r="T1560" t="s">
        <v>42098</v>
      </c>
      <c r="U1560" t="s">
        <v>43991</v>
      </c>
      <c r="W1560" t="s">
        <v>37734</v>
      </c>
      <c r="X1560" t="s">
        <v>40439</v>
      </c>
    </row>
    <row r="1561" spans="1:24">
      <c r="A1561">
        <f>HYPERLINK("https://www.philgeps.gov.ph/GEPSNONPILOT/Tender/SplashBidNoticeAbstractUI.aspx?menuIndex=3&amp;refID=7048809&amp;Result=3","7048809")</f>
        <v>0</v>
      </c>
      <c r="B1561" t="s">
        <v>54</v>
      </c>
      <c r="C1561" t="s">
        <v>4599</v>
      </c>
      <c r="D1561" t="s">
        <v>16196</v>
      </c>
      <c r="E1561" t="s">
        <v>17736</v>
      </c>
      <c r="F1561" t="s">
        <v>28198</v>
      </c>
      <c r="G1561" t="s">
        <v>28207</v>
      </c>
      <c r="H1561" t="s">
        <v>28215</v>
      </c>
      <c r="I1561" t="s">
        <v>5082</v>
      </c>
      <c r="J1561" t="s">
        <v>29446</v>
      </c>
      <c r="K1561" t="s">
        <v>36715</v>
      </c>
      <c r="M1561" t="s">
        <v>37735</v>
      </c>
      <c r="N1561" t="s">
        <v>40436</v>
      </c>
      <c r="O1561" t="s">
        <v>40437</v>
      </c>
      <c r="P1561">
        <v>0</v>
      </c>
      <c r="Q1561">
        <v>2</v>
      </c>
      <c r="R1561" t="s">
        <v>40438</v>
      </c>
      <c r="S1561" t="s">
        <v>40582</v>
      </c>
      <c r="T1561" t="s">
        <v>42119</v>
      </c>
      <c r="U1561" t="s">
        <v>43992</v>
      </c>
      <c r="W1561" t="s">
        <v>37735</v>
      </c>
      <c r="X1561" t="s">
        <v>40439</v>
      </c>
    </row>
    <row r="1562" spans="1:24">
      <c r="A1562">
        <f>HYPERLINK("https://www.philgeps.gov.ph/GEPSNONPILOT/Tender/SplashBidNoticeAbstractUI.aspx?menuIndex=3&amp;refID=7048837&amp;Result=3","7048837")</f>
        <v>0</v>
      </c>
      <c r="B1562" t="s">
        <v>710</v>
      </c>
      <c r="C1562" t="s">
        <v>4027</v>
      </c>
      <c r="D1562" t="s">
        <v>16199</v>
      </c>
      <c r="E1562" t="s">
        <v>17737</v>
      </c>
      <c r="F1562" t="s">
        <v>28198</v>
      </c>
      <c r="G1562" t="s">
        <v>28207</v>
      </c>
      <c r="H1562" t="s">
        <v>28215</v>
      </c>
      <c r="I1562" t="s">
        <v>4168</v>
      </c>
      <c r="J1562" t="s">
        <v>29447</v>
      </c>
      <c r="K1562" t="s">
        <v>36691</v>
      </c>
      <c r="M1562" t="s">
        <v>37710</v>
      </c>
      <c r="N1562" t="s">
        <v>40436</v>
      </c>
      <c r="O1562" t="s">
        <v>40437</v>
      </c>
      <c r="P1562">
        <v>0</v>
      </c>
      <c r="Q1562">
        <v>0</v>
      </c>
      <c r="R1562" t="s">
        <v>40438</v>
      </c>
      <c r="S1562" t="s">
        <v>40582</v>
      </c>
      <c r="T1562" t="s">
        <v>42146</v>
      </c>
      <c r="U1562" t="s">
        <v>43993</v>
      </c>
      <c r="W1562" t="s">
        <v>37710</v>
      </c>
      <c r="X1562" t="s">
        <v>40439</v>
      </c>
    </row>
    <row r="1563" spans="1:24">
      <c r="A1563">
        <f>HYPERLINK("https://www.philgeps.gov.ph/GEPSNONPILOT/Tender/SplashBidNoticeAbstractUI.aspx?menuIndex=3&amp;refID=7048836&amp;Result=3","7048836")</f>
        <v>0</v>
      </c>
      <c r="B1563" t="s">
        <v>588</v>
      </c>
      <c r="C1563" t="s">
        <v>4600</v>
      </c>
      <c r="D1563" t="s">
        <v>16197</v>
      </c>
      <c r="E1563" t="s">
        <v>17543</v>
      </c>
      <c r="F1563" t="s">
        <v>28198</v>
      </c>
      <c r="G1563" t="s">
        <v>28205</v>
      </c>
      <c r="H1563" t="s">
        <v>28215</v>
      </c>
      <c r="I1563" t="s">
        <v>28237</v>
      </c>
      <c r="J1563" t="s">
        <v>29172</v>
      </c>
      <c r="K1563" t="s">
        <v>36706</v>
      </c>
      <c r="M1563" t="s">
        <v>37577</v>
      </c>
      <c r="N1563" t="s">
        <v>40436</v>
      </c>
      <c r="O1563" t="s">
        <v>40437</v>
      </c>
      <c r="P1563">
        <v>0</v>
      </c>
      <c r="Q1563">
        <v>0</v>
      </c>
      <c r="R1563" t="s">
        <v>40438</v>
      </c>
      <c r="S1563" t="s">
        <v>40582</v>
      </c>
      <c r="T1563" t="s">
        <v>42213</v>
      </c>
      <c r="U1563" t="s">
        <v>43994</v>
      </c>
      <c r="W1563" t="s">
        <v>37577</v>
      </c>
      <c r="X1563" t="s">
        <v>40439</v>
      </c>
    </row>
    <row r="1564" spans="1:24">
      <c r="A1564">
        <f>HYPERLINK("https://www.philgeps.gov.ph/GEPSNONPILOT/Tender/SplashBidNoticeAbstractUI.aspx?menuIndex=3&amp;refID=7048817&amp;Result=3","7048817")</f>
        <v>0</v>
      </c>
      <c r="B1564" t="s">
        <v>315</v>
      </c>
      <c r="C1564" t="s">
        <v>4601</v>
      </c>
      <c r="D1564" t="s">
        <v>16191</v>
      </c>
      <c r="E1564" t="s">
        <v>17738</v>
      </c>
      <c r="F1564" t="s">
        <v>28198</v>
      </c>
      <c r="G1564" t="s">
        <v>28206</v>
      </c>
      <c r="H1564" t="s">
        <v>28215</v>
      </c>
      <c r="I1564" t="s">
        <v>3797</v>
      </c>
      <c r="J1564" t="s">
        <v>28941</v>
      </c>
      <c r="K1564" t="s">
        <v>36689</v>
      </c>
      <c r="M1564" t="s">
        <v>37736</v>
      </c>
      <c r="N1564" t="s">
        <v>40436</v>
      </c>
      <c r="O1564" t="s">
        <v>40437</v>
      </c>
      <c r="P1564">
        <v>0</v>
      </c>
      <c r="Q1564">
        <v>0</v>
      </c>
      <c r="R1564" t="s">
        <v>40438</v>
      </c>
      <c r="S1564" t="s">
        <v>40582</v>
      </c>
      <c r="T1564" t="s">
        <v>42264</v>
      </c>
      <c r="U1564" t="s">
        <v>43995</v>
      </c>
      <c r="W1564" t="s">
        <v>37736</v>
      </c>
      <c r="X1564" t="s">
        <v>40439</v>
      </c>
    </row>
    <row r="1565" spans="1:24">
      <c r="A1565">
        <f>HYPERLINK("https://www.philgeps.gov.ph/GEPSNONPILOT/Tender/SplashBidNoticeAbstractUI.aspx?menuIndex=3&amp;refID=7048845&amp;Result=3","7048845")</f>
        <v>0</v>
      </c>
      <c r="B1565" t="s">
        <v>734</v>
      </c>
      <c r="C1565" t="s">
        <v>4602</v>
      </c>
      <c r="D1565" t="s">
        <v>16203</v>
      </c>
      <c r="E1565" t="s">
        <v>17739</v>
      </c>
      <c r="F1565" t="s">
        <v>28198</v>
      </c>
      <c r="G1565" t="s">
        <v>28205</v>
      </c>
      <c r="H1565" t="s">
        <v>28214</v>
      </c>
      <c r="I1565" t="s">
        <v>3797</v>
      </c>
      <c r="J1565" t="s">
        <v>29448</v>
      </c>
      <c r="K1565" t="s">
        <v>36697</v>
      </c>
      <c r="M1565" t="s">
        <v>37737</v>
      </c>
      <c r="N1565" t="s">
        <v>40436</v>
      </c>
      <c r="O1565" t="s">
        <v>40437</v>
      </c>
      <c r="P1565">
        <v>0</v>
      </c>
      <c r="Q1565">
        <v>0</v>
      </c>
      <c r="R1565" t="s">
        <v>40438</v>
      </c>
      <c r="S1565" t="s">
        <v>40582</v>
      </c>
      <c r="T1565" t="s">
        <v>42144</v>
      </c>
      <c r="U1565" t="s">
        <v>43996</v>
      </c>
      <c r="W1565" t="s">
        <v>37737</v>
      </c>
      <c r="X1565" t="s">
        <v>40439</v>
      </c>
    </row>
    <row r="1566" spans="1:24">
      <c r="A1566">
        <f>HYPERLINK("https://www.philgeps.gov.ph/GEPSNONPILOT/Tender/SplashBidNoticeAbstractUI.aspx?menuIndex=3&amp;refID=7048835&amp;Result=3","7048835")</f>
        <v>0</v>
      </c>
      <c r="B1566" t="s">
        <v>617</v>
      </c>
      <c r="C1566" t="s">
        <v>3313</v>
      </c>
      <c r="D1566" t="s">
        <v>16253</v>
      </c>
      <c r="E1566" t="s">
        <v>17740</v>
      </c>
      <c r="F1566" t="s">
        <v>28198</v>
      </c>
      <c r="G1566" t="s">
        <v>28207</v>
      </c>
      <c r="H1566" t="s">
        <v>28215</v>
      </c>
      <c r="I1566" t="s">
        <v>5082</v>
      </c>
      <c r="J1566" t="s">
        <v>29449</v>
      </c>
      <c r="K1566" t="s">
        <v>36701</v>
      </c>
      <c r="M1566" t="s">
        <v>37609</v>
      </c>
      <c r="N1566" t="s">
        <v>40436</v>
      </c>
      <c r="O1566" t="s">
        <v>40437</v>
      </c>
      <c r="P1566">
        <v>0</v>
      </c>
      <c r="Q1566">
        <v>0</v>
      </c>
      <c r="R1566" t="s">
        <v>40438</v>
      </c>
      <c r="S1566" t="s">
        <v>40582</v>
      </c>
      <c r="T1566" t="s">
        <v>42129</v>
      </c>
      <c r="U1566" t="s">
        <v>43698</v>
      </c>
      <c r="V1566" t="s">
        <v>53932</v>
      </c>
      <c r="W1566" t="s">
        <v>37609</v>
      </c>
      <c r="X1566" t="s">
        <v>40439</v>
      </c>
    </row>
    <row r="1567" spans="1:24">
      <c r="A1567">
        <f>HYPERLINK("https://www.philgeps.gov.ph/GEPSNONPILOT/Tender/SplashBidNoticeAbstractUI.aspx?menuIndex=3&amp;refID=7048829&amp;Result=3","7048829")</f>
        <v>0</v>
      </c>
      <c r="B1567" t="s">
        <v>735</v>
      </c>
      <c r="C1567" t="s">
        <v>4603</v>
      </c>
      <c r="D1567" t="s">
        <v>16227</v>
      </c>
      <c r="E1567" t="s">
        <v>17741</v>
      </c>
      <c r="F1567" t="s">
        <v>28198</v>
      </c>
      <c r="G1567" t="s">
        <v>28206</v>
      </c>
      <c r="H1567" t="s">
        <v>28215</v>
      </c>
      <c r="I1567" t="s">
        <v>5631</v>
      </c>
      <c r="J1567" t="s">
        <v>29450</v>
      </c>
      <c r="K1567" t="s">
        <v>36698</v>
      </c>
      <c r="M1567" t="s">
        <v>37738</v>
      </c>
      <c r="N1567" t="s">
        <v>40436</v>
      </c>
      <c r="O1567" t="s">
        <v>40437</v>
      </c>
      <c r="P1567">
        <v>0</v>
      </c>
      <c r="Q1567">
        <v>0</v>
      </c>
      <c r="R1567" t="s">
        <v>40438</v>
      </c>
      <c r="S1567" t="s">
        <v>40582</v>
      </c>
      <c r="T1567" t="s">
        <v>42158</v>
      </c>
      <c r="U1567" t="s">
        <v>43997</v>
      </c>
      <c r="W1567" t="s">
        <v>37738</v>
      </c>
      <c r="X1567" t="s">
        <v>40439</v>
      </c>
    </row>
    <row r="1568" spans="1:24">
      <c r="A1568">
        <f>HYPERLINK("https://www.philgeps.gov.ph/GEPSNONPILOT/Tender/SplashBidNoticeAbstractUI.aspx?menuIndex=3&amp;refID=7048840&amp;Result=3","7048840")</f>
        <v>0</v>
      </c>
      <c r="B1568" t="s">
        <v>736</v>
      </c>
      <c r="C1568" t="s">
        <v>4604</v>
      </c>
      <c r="D1568" t="s">
        <v>16210</v>
      </c>
      <c r="E1568" t="s">
        <v>17742</v>
      </c>
      <c r="F1568" t="s">
        <v>28198</v>
      </c>
      <c r="G1568" t="s">
        <v>28207</v>
      </c>
      <c r="H1568" t="s">
        <v>28215</v>
      </c>
      <c r="I1568" t="s">
        <v>28261</v>
      </c>
      <c r="J1568" t="s">
        <v>28708</v>
      </c>
      <c r="K1568" t="s">
        <v>36707</v>
      </c>
      <c r="M1568" t="s">
        <v>37739</v>
      </c>
      <c r="N1568" t="s">
        <v>40436</v>
      </c>
      <c r="O1568" t="s">
        <v>40437</v>
      </c>
      <c r="P1568">
        <v>0</v>
      </c>
      <c r="Q1568">
        <v>9</v>
      </c>
      <c r="R1568" t="s">
        <v>40438</v>
      </c>
      <c r="S1568" t="s">
        <v>40582</v>
      </c>
      <c r="T1568" t="s">
        <v>42119</v>
      </c>
      <c r="U1568" t="s">
        <v>43998</v>
      </c>
      <c r="W1568" t="s">
        <v>37739</v>
      </c>
      <c r="X1568" t="s">
        <v>40439</v>
      </c>
    </row>
    <row r="1569" spans="1:24">
      <c r="A1569">
        <f>HYPERLINK("https://www.philgeps.gov.ph/GEPSNONPILOT/Tender/SplashBidNoticeAbstractUI.aspx?menuIndex=3&amp;refID=7048834&amp;Result=3","7048834")</f>
        <v>0</v>
      </c>
      <c r="B1569" t="s">
        <v>737</v>
      </c>
      <c r="C1569" t="s">
        <v>4605</v>
      </c>
      <c r="D1569" t="s">
        <v>16210</v>
      </c>
      <c r="E1569" t="s">
        <v>17743</v>
      </c>
      <c r="F1569" t="s">
        <v>28198</v>
      </c>
      <c r="G1569" t="s">
        <v>28207</v>
      </c>
      <c r="H1569" t="s">
        <v>28215</v>
      </c>
      <c r="I1569" t="s">
        <v>28274</v>
      </c>
      <c r="J1569" t="s">
        <v>29451</v>
      </c>
      <c r="K1569" t="s">
        <v>36689</v>
      </c>
      <c r="M1569" t="s">
        <v>37740</v>
      </c>
      <c r="N1569" t="s">
        <v>40436</v>
      </c>
      <c r="O1569" t="s">
        <v>40437</v>
      </c>
      <c r="P1569">
        <v>0</v>
      </c>
      <c r="Q1569">
        <v>0</v>
      </c>
      <c r="R1569" t="s">
        <v>40438</v>
      </c>
      <c r="S1569" t="s">
        <v>40582</v>
      </c>
      <c r="T1569" t="s">
        <v>42146</v>
      </c>
      <c r="U1569" t="s">
        <v>43999</v>
      </c>
      <c r="V1569" t="s">
        <v>53962</v>
      </c>
      <c r="W1569" t="s">
        <v>37740</v>
      </c>
      <c r="X1569" t="s">
        <v>40439</v>
      </c>
    </row>
    <row r="1570" spans="1:24">
      <c r="A1570">
        <f>HYPERLINK("https://www.philgeps.gov.ph/GEPSNONPILOT/Tender/SplashBidNoticeAbstractUI.aspx?menuIndex=3&amp;refID=7048811&amp;Result=3","7048811")</f>
        <v>0</v>
      </c>
      <c r="B1570" t="s">
        <v>129</v>
      </c>
      <c r="C1570" t="s">
        <v>4606</v>
      </c>
      <c r="D1570" t="s">
        <v>16210</v>
      </c>
      <c r="E1570" t="s">
        <v>17744</v>
      </c>
      <c r="F1570" t="s">
        <v>28198</v>
      </c>
      <c r="G1570" t="s">
        <v>28206</v>
      </c>
      <c r="H1570" t="s">
        <v>28215</v>
      </c>
      <c r="I1570" t="s">
        <v>8888</v>
      </c>
      <c r="J1570" t="s">
        <v>29452</v>
      </c>
      <c r="K1570" t="s">
        <v>36706</v>
      </c>
      <c r="M1570" t="s">
        <v>37151</v>
      </c>
      <c r="N1570" t="s">
        <v>40436</v>
      </c>
      <c r="O1570" t="s">
        <v>40437</v>
      </c>
      <c r="P1570">
        <v>0</v>
      </c>
      <c r="Q1570">
        <v>2</v>
      </c>
      <c r="R1570" t="s">
        <v>40438</v>
      </c>
      <c r="S1570" t="s">
        <v>40582</v>
      </c>
      <c r="T1570" t="s">
        <v>42156</v>
      </c>
      <c r="U1570" t="s">
        <v>44000</v>
      </c>
      <c r="V1570" t="s">
        <v>53812</v>
      </c>
      <c r="W1570" t="s">
        <v>37151</v>
      </c>
      <c r="X1570" t="s">
        <v>40439</v>
      </c>
    </row>
    <row r="1571" spans="1:24">
      <c r="A1571">
        <f>HYPERLINK("https://www.philgeps.gov.ph/GEPSNONPILOT/Tender/SplashBidNoticeAbstractUI.aspx?menuIndex=3&amp;refID=7048846&amp;Result=3","7048846")</f>
        <v>0</v>
      </c>
      <c r="B1571" t="s">
        <v>677</v>
      </c>
      <c r="C1571" t="s">
        <v>4607</v>
      </c>
      <c r="D1571" t="s">
        <v>16247</v>
      </c>
      <c r="E1571" t="s">
        <v>17745</v>
      </c>
      <c r="F1571" t="s">
        <v>28198</v>
      </c>
      <c r="G1571" t="s">
        <v>28207</v>
      </c>
      <c r="H1571" t="s">
        <v>28215</v>
      </c>
      <c r="I1571" t="s">
        <v>4505</v>
      </c>
      <c r="J1571" t="s">
        <v>28597</v>
      </c>
      <c r="K1571" t="s">
        <v>36688</v>
      </c>
      <c r="M1571" t="s">
        <v>37675</v>
      </c>
      <c r="N1571" t="s">
        <v>40436</v>
      </c>
      <c r="O1571" t="s">
        <v>40437</v>
      </c>
      <c r="P1571">
        <v>0</v>
      </c>
      <c r="Q1571">
        <v>4</v>
      </c>
      <c r="R1571" t="s">
        <v>40438</v>
      </c>
      <c r="S1571" t="s">
        <v>40582</v>
      </c>
      <c r="T1571" t="s">
        <v>42177</v>
      </c>
      <c r="U1571" t="s">
        <v>44001</v>
      </c>
      <c r="W1571" t="s">
        <v>37675</v>
      </c>
      <c r="X1571" t="s">
        <v>40439</v>
      </c>
    </row>
    <row r="1572" spans="1:24">
      <c r="A1572">
        <f>HYPERLINK("https://www.philgeps.gov.ph/GEPSNONPILOT/Tender/SplashBidNoticeAbstractUI.aspx?menuIndex=3&amp;refID=7048833&amp;Result=3","7048833")</f>
        <v>0</v>
      </c>
      <c r="B1572" t="s">
        <v>717</v>
      </c>
      <c r="C1572" t="s">
        <v>4608</v>
      </c>
      <c r="D1572" t="s">
        <v>16195</v>
      </c>
      <c r="E1572" t="s">
        <v>16526</v>
      </c>
      <c r="F1572" t="s">
        <v>28198</v>
      </c>
      <c r="G1572" t="s">
        <v>28207</v>
      </c>
      <c r="H1572" t="s">
        <v>28215</v>
      </c>
      <c r="I1572" t="s">
        <v>5103</v>
      </c>
      <c r="J1572" t="s">
        <v>29453</v>
      </c>
      <c r="K1572" t="s">
        <v>36701</v>
      </c>
      <c r="M1572" t="s">
        <v>37718</v>
      </c>
      <c r="N1572" t="s">
        <v>40436</v>
      </c>
      <c r="O1572" t="s">
        <v>40437</v>
      </c>
      <c r="P1572">
        <v>0</v>
      </c>
      <c r="Q1572">
        <v>7</v>
      </c>
      <c r="R1572" t="s">
        <v>40438</v>
      </c>
      <c r="S1572" t="s">
        <v>40582</v>
      </c>
      <c r="T1572" t="s">
        <v>42191</v>
      </c>
      <c r="U1572" t="s">
        <v>44002</v>
      </c>
      <c r="W1572" t="s">
        <v>37718</v>
      </c>
      <c r="X1572" t="s">
        <v>40439</v>
      </c>
    </row>
    <row r="1573" spans="1:24">
      <c r="A1573">
        <f>HYPERLINK("https://www.philgeps.gov.ph/GEPSNONPILOT/Tender/SplashBidNoticeAbstractUI.aspx?menuIndex=3&amp;refID=7048843&amp;Result=3","7048843")</f>
        <v>0</v>
      </c>
      <c r="B1573" t="s">
        <v>538</v>
      </c>
      <c r="C1573" t="s">
        <v>4609</v>
      </c>
      <c r="E1573" t="s">
        <v>17746</v>
      </c>
      <c r="F1573" t="s">
        <v>28198</v>
      </c>
      <c r="G1573" t="s">
        <v>28207</v>
      </c>
      <c r="H1573" t="s">
        <v>28215</v>
      </c>
      <c r="I1573" t="s">
        <v>28228</v>
      </c>
      <c r="J1573" t="s">
        <v>29454</v>
      </c>
      <c r="K1573" t="s">
        <v>36689</v>
      </c>
      <c r="M1573" t="s">
        <v>37524</v>
      </c>
      <c r="N1573" t="s">
        <v>40436</v>
      </c>
      <c r="O1573" t="s">
        <v>40437</v>
      </c>
      <c r="P1573">
        <v>0</v>
      </c>
      <c r="Q1573">
        <v>1</v>
      </c>
      <c r="R1573" t="s">
        <v>40438</v>
      </c>
      <c r="S1573" t="s">
        <v>40582</v>
      </c>
      <c r="T1573" t="s">
        <v>42112</v>
      </c>
      <c r="U1573" t="s">
        <v>43562</v>
      </c>
      <c r="W1573" t="s">
        <v>37524</v>
      </c>
      <c r="X1573" t="s">
        <v>40439</v>
      </c>
    </row>
    <row r="1574" spans="1:24">
      <c r="A1574">
        <f>HYPERLINK("https://www.philgeps.gov.ph/GEPSNONPILOT/Tender/SplashBidNoticeAbstractUI.aspx?menuIndex=3&amp;refID=7048827&amp;Result=3","7048827")</f>
        <v>0</v>
      </c>
      <c r="B1574" t="s">
        <v>738</v>
      </c>
      <c r="C1574" t="s">
        <v>3797</v>
      </c>
      <c r="D1574" t="s">
        <v>16199</v>
      </c>
      <c r="E1574" t="s">
        <v>17747</v>
      </c>
      <c r="F1574" t="s">
        <v>28198</v>
      </c>
      <c r="G1574" t="s">
        <v>28206</v>
      </c>
      <c r="H1574" t="s">
        <v>28214</v>
      </c>
      <c r="I1574" t="s">
        <v>3797</v>
      </c>
      <c r="J1574" t="s">
        <v>28414</v>
      </c>
      <c r="K1574" t="s">
        <v>36688</v>
      </c>
      <c r="L1574" t="s">
        <v>738</v>
      </c>
      <c r="M1574" t="s">
        <v>37741</v>
      </c>
      <c r="N1574" t="s">
        <v>40436</v>
      </c>
      <c r="O1574" t="s">
        <v>40437</v>
      </c>
      <c r="P1574">
        <v>0</v>
      </c>
      <c r="Q1574">
        <v>1</v>
      </c>
      <c r="R1574" t="s">
        <v>40438</v>
      </c>
      <c r="S1574" t="s">
        <v>40582</v>
      </c>
      <c r="T1574" t="s">
        <v>42133</v>
      </c>
      <c r="U1574" t="s">
        <v>44003</v>
      </c>
      <c r="W1574" t="s">
        <v>37741</v>
      </c>
      <c r="X1574" t="s">
        <v>40439</v>
      </c>
    </row>
    <row r="1575" spans="1:24">
      <c r="A1575">
        <f>HYPERLINK("https://www.philgeps.gov.ph/GEPSNONPILOT/Tender/SplashBidNoticeAbstractUI.aspx?menuIndex=3&amp;refID=7048849&amp;Result=3","7048849")</f>
        <v>0</v>
      </c>
      <c r="B1575" t="s">
        <v>52</v>
      </c>
      <c r="C1575" t="s">
        <v>4610</v>
      </c>
      <c r="E1575" t="s">
        <v>17748</v>
      </c>
      <c r="F1575" t="s">
        <v>28198</v>
      </c>
      <c r="G1575" t="s">
        <v>28207</v>
      </c>
      <c r="H1575" t="s">
        <v>28215</v>
      </c>
      <c r="I1575" t="s">
        <v>28228</v>
      </c>
      <c r="J1575" t="s">
        <v>29455</v>
      </c>
      <c r="K1575" t="s">
        <v>36701</v>
      </c>
      <c r="M1575" t="s">
        <v>37589</v>
      </c>
      <c r="N1575" t="s">
        <v>40436</v>
      </c>
      <c r="O1575" t="s">
        <v>40437</v>
      </c>
      <c r="P1575">
        <v>0</v>
      </c>
      <c r="Q1575">
        <v>0</v>
      </c>
      <c r="R1575" t="s">
        <v>40438</v>
      </c>
      <c r="S1575" t="s">
        <v>40582</v>
      </c>
      <c r="T1575" t="s">
        <v>42254</v>
      </c>
      <c r="U1575" t="s">
        <v>44004</v>
      </c>
      <c r="W1575" t="s">
        <v>55453</v>
      </c>
      <c r="X1575" t="s">
        <v>40439</v>
      </c>
    </row>
    <row r="1576" spans="1:24">
      <c r="A1576">
        <f>HYPERLINK("https://www.philgeps.gov.ph/GEPSNONPILOT/Tender/SplashBidNoticeAbstractUI.aspx?menuIndex=3&amp;refID=7048844&amp;Result=3","7048844")</f>
        <v>0</v>
      </c>
      <c r="B1576" t="s">
        <v>694</v>
      </c>
      <c r="C1576" t="s">
        <v>4611</v>
      </c>
      <c r="D1576" t="s">
        <v>16200</v>
      </c>
      <c r="E1576" t="s">
        <v>17749</v>
      </c>
      <c r="F1576" t="s">
        <v>28198</v>
      </c>
      <c r="G1576" t="s">
        <v>28205</v>
      </c>
      <c r="H1576" t="s">
        <v>28214</v>
      </c>
      <c r="I1576" t="s">
        <v>3797</v>
      </c>
      <c r="J1576" t="s">
        <v>29377</v>
      </c>
      <c r="K1576" t="s">
        <v>36752</v>
      </c>
      <c r="L1576" t="s">
        <v>694</v>
      </c>
      <c r="M1576" t="s">
        <v>37694</v>
      </c>
      <c r="N1576" t="s">
        <v>40436</v>
      </c>
      <c r="O1576" t="s">
        <v>40437</v>
      </c>
      <c r="P1576">
        <v>0</v>
      </c>
      <c r="Q1576">
        <v>3</v>
      </c>
      <c r="R1576" t="s">
        <v>40438</v>
      </c>
      <c r="S1576" t="s">
        <v>40582</v>
      </c>
      <c r="T1576" t="s">
        <v>42106</v>
      </c>
      <c r="U1576" t="s">
        <v>44005</v>
      </c>
      <c r="W1576" t="s">
        <v>37694</v>
      </c>
      <c r="X1576" t="s">
        <v>40439</v>
      </c>
    </row>
    <row r="1577" spans="1:24">
      <c r="A1577">
        <f>HYPERLINK("https://www.philgeps.gov.ph/GEPSNONPILOT/Tender/SplashBidNoticeAbstractUI.aspx?menuIndex=3&amp;refID=7048826&amp;Result=3","7048826")</f>
        <v>0</v>
      </c>
      <c r="B1577" t="s">
        <v>710</v>
      </c>
      <c r="C1577" t="s">
        <v>4612</v>
      </c>
      <c r="D1577" t="s">
        <v>16199</v>
      </c>
      <c r="E1577" t="s">
        <v>17750</v>
      </c>
      <c r="F1577" t="s">
        <v>28198</v>
      </c>
      <c r="G1577" t="s">
        <v>28207</v>
      </c>
      <c r="H1577" t="s">
        <v>28215</v>
      </c>
      <c r="I1577" t="s">
        <v>5791</v>
      </c>
      <c r="J1577" t="s">
        <v>29012</v>
      </c>
      <c r="K1577" t="s">
        <v>36691</v>
      </c>
      <c r="M1577" t="s">
        <v>37710</v>
      </c>
      <c r="N1577" t="s">
        <v>40436</v>
      </c>
      <c r="O1577" t="s">
        <v>40437</v>
      </c>
      <c r="P1577">
        <v>0</v>
      </c>
      <c r="Q1577">
        <v>0</v>
      </c>
      <c r="R1577" t="s">
        <v>40438</v>
      </c>
      <c r="S1577" t="s">
        <v>40582</v>
      </c>
      <c r="T1577" t="s">
        <v>42146</v>
      </c>
      <c r="U1577" t="s">
        <v>44006</v>
      </c>
      <c r="W1577" t="s">
        <v>37710</v>
      </c>
      <c r="X1577" t="s">
        <v>40439</v>
      </c>
    </row>
    <row r="1578" spans="1:24">
      <c r="A1578">
        <f>HYPERLINK("https://www.philgeps.gov.ph/GEPSNONPILOT/Tender/SplashBidNoticeAbstractUI.aspx?menuIndex=3&amp;refID=7048830&amp;Result=3","7048830")</f>
        <v>0</v>
      </c>
      <c r="B1578" t="s">
        <v>727</v>
      </c>
      <c r="C1578" t="s">
        <v>4613</v>
      </c>
      <c r="D1578" t="s">
        <v>16204</v>
      </c>
      <c r="E1578" t="s">
        <v>17751</v>
      </c>
      <c r="F1578" t="s">
        <v>28198</v>
      </c>
      <c r="G1578" t="s">
        <v>28206</v>
      </c>
      <c r="H1578" t="s">
        <v>28215</v>
      </c>
      <c r="I1578" t="s">
        <v>5100</v>
      </c>
      <c r="J1578" t="s">
        <v>29456</v>
      </c>
      <c r="K1578" t="s">
        <v>36707</v>
      </c>
      <c r="M1578" t="s">
        <v>37728</v>
      </c>
      <c r="N1578" t="s">
        <v>40436</v>
      </c>
      <c r="O1578" t="s">
        <v>40437</v>
      </c>
      <c r="P1578">
        <v>0</v>
      </c>
      <c r="Q1578">
        <v>0</v>
      </c>
      <c r="R1578" t="s">
        <v>40438</v>
      </c>
      <c r="S1578" t="s">
        <v>40582</v>
      </c>
      <c r="T1578" t="s">
        <v>42158</v>
      </c>
      <c r="U1578" t="s">
        <v>44007</v>
      </c>
      <c r="W1578" t="s">
        <v>37728</v>
      </c>
      <c r="X1578" t="s">
        <v>40439</v>
      </c>
    </row>
    <row r="1579" spans="1:24">
      <c r="A1579">
        <f>HYPERLINK("https://www.philgeps.gov.ph/GEPSNONPILOT/Tender/SplashBidNoticeAbstractUI.aspx?menuIndex=3&amp;refID=7048828&amp;Result=3","7048828")</f>
        <v>0</v>
      </c>
      <c r="B1579" t="s">
        <v>54</v>
      </c>
      <c r="C1579" t="s">
        <v>4614</v>
      </c>
      <c r="D1579" t="s">
        <v>16204</v>
      </c>
      <c r="E1579" t="s">
        <v>17752</v>
      </c>
      <c r="F1579" t="s">
        <v>28198</v>
      </c>
      <c r="G1579" t="s">
        <v>28207</v>
      </c>
      <c r="H1579" t="s">
        <v>28215</v>
      </c>
      <c r="I1579" t="s">
        <v>28228</v>
      </c>
      <c r="J1579" t="s">
        <v>29250</v>
      </c>
      <c r="K1579" t="s">
        <v>36701</v>
      </c>
      <c r="M1579" t="s">
        <v>37735</v>
      </c>
      <c r="N1579" t="s">
        <v>40436</v>
      </c>
      <c r="O1579" t="s">
        <v>40437</v>
      </c>
      <c r="P1579">
        <v>0</v>
      </c>
      <c r="Q1579">
        <v>0</v>
      </c>
      <c r="R1579" t="s">
        <v>40438</v>
      </c>
      <c r="S1579" t="s">
        <v>40582</v>
      </c>
      <c r="T1579" t="s">
        <v>42119</v>
      </c>
      <c r="U1579" t="s">
        <v>44008</v>
      </c>
      <c r="W1579" t="s">
        <v>37735</v>
      </c>
      <c r="X1579" t="s">
        <v>40439</v>
      </c>
    </row>
    <row r="1580" spans="1:24">
      <c r="A1580">
        <f>HYPERLINK("https://www.philgeps.gov.ph/GEPSNONPILOT/Tender/SplashBidNoticeAbstractUI.aspx?menuIndex=3&amp;refID=7048855&amp;Result=3","7048855")</f>
        <v>0</v>
      </c>
      <c r="B1580" t="s">
        <v>710</v>
      </c>
      <c r="C1580" t="s">
        <v>4615</v>
      </c>
      <c r="D1580" t="s">
        <v>16199</v>
      </c>
      <c r="E1580" t="s">
        <v>17753</v>
      </c>
      <c r="F1580" t="s">
        <v>28198</v>
      </c>
      <c r="G1580" t="s">
        <v>28207</v>
      </c>
      <c r="H1580" t="s">
        <v>28215</v>
      </c>
      <c r="I1580" t="s">
        <v>28265</v>
      </c>
      <c r="J1580" t="s">
        <v>29457</v>
      </c>
      <c r="K1580" t="s">
        <v>36691</v>
      </c>
      <c r="M1580" t="s">
        <v>37710</v>
      </c>
      <c r="N1580" t="s">
        <v>40436</v>
      </c>
      <c r="O1580" t="s">
        <v>40437</v>
      </c>
      <c r="P1580">
        <v>0</v>
      </c>
      <c r="Q1580">
        <v>0</v>
      </c>
      <c r="R1580" t="s">
        <v>40438</v>
      </c>
      <c r="S1580" t="s">
        <v>40582</v>
      </c>
      <c r="T1580" t="s">
        <v>42146</v>
      </c>
      <c r="U1580" t="s">
        <v>44009</v>
      </c>
      <c r="W1580" t="s">
        <v>37710</v>
      </c>
      <c r="X1580" t="s">
        <v>40439</v>
      </c>
    </row>
    <row r="1581" spans="1:24">
      <c r="A1581">
        <f>HYPERLINK("https://www.philgeps.gov.ph/GEPSNONPILOT/Tender/SplashBidNoticeAbstractUI.aspx?menuIndex=3&amp;refID=7048852&amp;Result=3","7048852")</f>
        <v>0</v>
      </c>
      <c r="B1581" t="s">
        <v>652</v>
      </c>
      <c r="C1581" t="s">
        <v>4616</v>
      </c>
      <c r="D1581" t="s">
        <v>16210</v>
      </c>
      <c r="E1581" t="s">
        <v>17754</v>
      </c>
      <c r="F1581" t="s">
        <v>28198</v>
      </c>
      <c r="G1581" t="s">
        <v>28210</v>
      </c>
      <c r="H1581" t="s">
        <v>28215</v>
      </c>
      <c r="I1581" t="s">
        <v>28308</v>
      </c>
      <c r="J1581" t="s">
        <v>29458</v>
      </c>
      <c r="K1581" t="s">
        <v>36689</v>
      </c>
      <c r="M1581" t="s">
        <v>37647</v>
      </c>
      <c r="N1581" t="s">
        <v>40436</v>
      </c>
      <c r="O1581" t="s">
        <v>40437</v>
      </c>
      <c r="P1581">
        <v>0</v>
      </c>
      <c r="Q1581">
        <v>1</v>
      </c>
      <c r="R1581" t="s">
        <v>40438</v>
      </c>
      <c r="S1581" t="s">
        <v>40582</v>
      </c>
      <c r="T1581" t="s">
        <v>42124</v>
      </c>
      <c r="U1581" t="s">
        <v>43799</v>
      </c>
      <c r="W1581" t="s">
        <v>37647</v>
      </c>
      <c r="X1581" t="s">
        <v>40439</v>
      </c>
    </row>
    <row r="1582" spans="1:24">
      <c r="A1582">
        <f>HYPERLINK("https://www.philgeps.gov.ph/GEPSNONPILOT/Tender/SplashBidNoticeAbstractUI.aspx?menuIndex=3&amp;refID=7048851&amp;Result=3","7048851")</f>
        <v>0</v>
      </c>
      <c r="B1582" t="s">
        <v>739</v>
      </c>
      <c r="C1582" t="s">
        <v>4617</v>
      </c>
      <c r="D1582" t="s">
        <v>16187</v>
      </c>
      <c r="E1582" t="s">
        <v>17755</v>
      </c>
      <c r="F1582" t="s">
        <v>28198</v>
      </c>
      <c r="G1582" t="s">
        <v>28207</v>
      </c>
      <c r="H1582" t="s">
        <v>28215</v>
      </c>
      <c r="I1582" t="s">
        <v>28256</v>
      </c>
      <c r="J1582" t="s">
        <v>28385</v>
      </c>
      <c r="K1582" t="s">
        <v>36689</v>
      </c>
      <c r="M1582" t="s">
        <v>37742</v>
      </c>
      <c r="N1582" t="s">
        <v>40436</v>
      </c>
      <c r="O1582" t="s">
        <v>40437</v>
      </c>
      <c r="P1582">
        <v>0</v>
      </c>
      <c r="Q1582">
        <v>7</v>
      </c>
      <c r="R1582" t="s">
        <v>40438</v>
      </c>
      <c r="S1582" t="s">
        <v>40582</v>
      </c>
      <c r="T1582" t="s">
        <v>42159</v>
      </c>
      <c r="U1582" t="s">
        <v>44010</v>
      </c>
      <c r="W1582" t="s">
        <v>37742</v>
      </c>
      <c r="X1582" t="s">
        <v>40439</v>
      </c>
    </row>
    <row r="1583" spans="1:24">
      <c r="A1583">
        <f>HYPERLINK("https://www.philgeps.gov.ph/GEPSNONPILOT/Tender/SplashBidNoticeAbstractUI.aspx?menuIndex=3&amp;refID=7048850&amp;Result=3","7048850")</f>
        <v>0</v>
      </c>
      <c r="B1583" t="s">
        <v>714</v>
      </c>
      <c r="C1583" t="s">
        <v>4618</v>
      </c>
      <c r="D1583" t="s">
        <v>16213</v>
      </c>
      <c r="E1583" t="s">
        <v>17756</v>
      </c>
      <c r="F1583" t="s">
        <v>28198</v>
      </c>
      <c r="G1583" t="s">
        <v>28207</v>
      </c>
      <c r="H1583" t="s">
        <v>28215</v>
      </c>
      <c r="I1583" t="s">
        <v>28225</v>
      </c>
      <c r="J1583" t="s">
        <v>29459</v>
      </c>
      <c r="K1583" t="s">
        <v>36688</v>
      </c>
      <c r="M1583" t="s">
        <v>37715</v>
      </c>
      <c r="N1583" t="s">
        <v>40436</v>
      </c>
      <c r="O1583" t="s">
        <v>40437</v>
      </c>
      <c r="P1583">
        <v>0</v>
      </c>
      <c r="Q1583">
        <v>2</v>
      </c>
      <c r="R1583" t="s">
        <v>40438</v>
      </c>
      <c r="S1583" t="s">
        <v>40582</v>
      </c>
      <c r="T1583" t="s">
        <v>42160</v>
      </c>
      <c r="U1583" t="s">
        <v>44011</v>
      </c>
      <c r="W1583" t="s">
        <v>37715</v>
      </c>
      <c r="X1583" t="s">
        <v>40439</v>
      </c>
    </row>
    <row r="1584" spans="1:24">
      <c r="A1584">
        <f>HYPERLINK("https://www.philgeps.gov.ph/GEPSNONPILOT/Tender/SplashBidNoticeAbstractUI.aspx?menuIndex=3&amp;refID=7048870&amp;Result=3","7048870")</f>
        <v>0</v>
      </c>
      <c r="B1584" t="s">
        <v>740</v>
      </c>
      <c r="C1584" t="s">
        <v>4619</v>
      </c>
      <c r="D1584" t="s">
        <v>16189</v>
      </c>
      <c r="E1584" t="s">
        <v>17757</v>
      </c>
      <c r="F1584" t="s">
        <v>28198</v>
      </c>
      <c r="G1584" t="s">
        <v>28205</v>
      </c>
      <c r="H1584" t="s">
        <v>28215</v>
      </c>
      <c r="I1584" t="s">
        <v>28222</v>
      </c>
      <c r="J1584" t="s">
        <v>29460</v>
      </c>
      <c r="K1584" t="s">
        <v>36715</v>
      </c>
      <c r="M1584" t="s">
        <v>37743</v>
      </c>
      <c r="N1584" t="s">
        <v>40436</v>
      </c>
      <c r="O1584" t="s">
        <v>40437</v>
      </c>
      <c r="P1584">
        <v>0</v>
      </c>
      <c r="Q1584">
        <v>6</v>
      </c>
      <c r="R1584" t="s">
        <v>40438</v>
      </c>
      <c r="S1584" t="s">
        <v>40582</v>
      </c>
      <c r="T1584" t="s">
        <v>42246</v>
      </c>
      <c r="U1584" t="s">
        <v>44012</v>
      </c>
      <c r="W1584" t="s">
        <v>55458</v>
      </c>
      <c r="X1584" t="s">
        <v>40439</v>
      </c>
    </row>
    <row r="1585" spans="1:24">
      <c r="A1585">
        <f>HYPERLINK("https://www.philgeps.gov.ph/GEPSNONPILOT/Tender/SplashBidNoticeAbstractUI.aspx?menuIndex=3&amp;refID=7048868&amp;Result=3","7048868")</f>
        <v>0</v>
      </c>
      <c r="B1585" t="s">
        <v>320</v>
      </c>
      <c r="C1585" t="s">
        <v>4620</v>
      </c>
      <c r="D1585" t="s">
        <v>16199</v>
      </c>
      <c r="E1585" t="s">
        <v>16874</v>
      </c>
      <c r="F1585" t="s">
        <v>28198</v>
      </c>
      <c r="G1585" t="s">
        <v>28206</v>
      </c>
      <c r="H1585" t="s">
        <v>28215</v>
      </c>
      <c r="I1585" t="s">
        <v>28226</v>
      </c>
      <c r="J1585" t="s">
        <v>28606</v>
      </c>
      <c r="K1585" t="s">
        <v>36689</v>
      </c>
      <c r="M1585" t="s">
        <v>37298</v>
      </c>
      <c r="N1585" t="s">
        <v>40436</v>
      </c>
      <c r="O1585" t="s">
        <v>40437</v>
      </c>
      <c r="P1585">
        <v>0</v>
      </c>
      <c r="Q1585">
        <v>1</v>
      </c>
      <c r="R1585" t="s">
        <v>40438</v>
      </c>
      <c r="S1585" t="s">
        <v>40582</v>
      </c>
      <c r="T1585" t="s">
        <v>42103</v>
      </c>
      <c r="U1585" t="s">
        <v>44013</v>
      </c>
      <c r="W1585" t="s">
        <v>37298</v>
      </c>
      <c r="X1585" t="s">
        <v>40439</v>
      </c>
    </row>
    <row r="1586" spans="1:24">
      <c r="A1586">
        <f>HYPERLINK("https://www.philgeps.gov.ph/GEPSNONPILOT/Tender/SplashBidNoticeAbstractUI.aspx?menuIndex=3&amp;refID=7048853&amp;Result=3","7048853")</f>
        <v>0</v>
      </c>
      <c r="B1586" t="s">
        <v>726</v>
      </c>
      <c r="C1586" t="s">
        <v>4621</v>
      </c>
      <c r="D1586" t="s">
        <v>16210</v>
      </c>
      <c r="E1586" t="s">
        <v>17758</v>
      </c>
      <c r="F1586" t="s">
        <v>28198</v>
      </c>
      <c r="G1586" t="s">
        <v>28207</v>
      </c>
      <c r="H1586" t="s">
        <v>28215</v>
      </c>
      <c r="I1586" t="s">
        <v>28255</v>
      </c>
      <c r="J1586" t="s">
        <v>28415</v>
      </c>
      <c r="K1586" t="s">
        <v>36756</v>
      </c>
      <c r="M1586" t="s">
        <v>37727</v>
      </c>
      <c r="N1586" t="s">
        <v>40436</v>
      </c>
      <c r="O1586" t="s">
        <v>40437</v>
      </c>
      <c r="P1586">
        <v>0</v>
      </c>
      <c r="Q1586">
        <v>2</v>
      </c>
      <c r="R1586" t="s">
        <v>40438</v>
      </c>
      <c r="S1586" t="s">
        <v>40582</v>
      </c>
      <c r="T1586" t="s">
        <v>42124</v>
      </c>
      <c r="U1586" t="s">
        <v>44014</v>
      </c>
      <c r="V1586" t="s">
        <v>53960</v>
      </c>
      <c r="W1586" t="s">
        <v>37727</v>
      </c>
      <c r="X1586" t="s">
        <v>40439</v>
      </c>
    </row>
    <row r="1587" spans="1:24">
      <c r="A1587">
        <f>HYPERLINK("https://www.philgeps.gov.ph/GEPSNONPILOT/Tender/SplashBidNoticeAbstractUI.aspx?menuIndex=3&amp;refID=7048867&amp;Result=3","7048867")</f>
        <v>0</v>
      </c>
      <c r="B1587" t="s">
        <v>197</v>
      </c>
      <c r="C1587" t="s">
        <v>4622</v>
      </c>
      <c r="D1587" t="s">
        <v>16196</v>
      </c>
      <c r="E1587" t="s">
        <v>17759</v>
      </c>
      <c r="F1587" t="s">
        <v>28198</v>
      </c>
      <c r="G1587" t="s">
        <v>28207</v>
      </c>
      <c r="H1587" t="s">
        <v>28215</v>
      </c>
      <c r="I1587" t="s">
        <v>5100</v>
      </c>
      <c r="J1587" t="s">
        <v>28345</v>
      </c>
      <c r="K1587" t="s">
        <v>36688</v>
      </c>
      <c r="M1587" t="s">
        <v>37172</v>
      </c>
      <c r="N1587" t="s">
        <v>40436</v>
      </c>
      <c r="O1587" t="s">
        <v>40437</v>
      </c>
      <c r="P1587">
        <v>0</v>
      </c>
      <c r="Q1587">
        <v>0</v>
      </c>
      <c r="R1587" t="s">
        <v>40438</v>
      </c>
      <c r="S1587" t="s">
        <v>40582</v>
      </c>
      <c r="T1587" t="s">
        <v>42160</v>
      </c>
      <c r="U1587" t="s">
        <v>44015</v>
      </c>
      <c r="V1587" t="s">
        <v>53963</v>
      </c>
      <c r="W1587" t="s">
        <v>37172</v>
      </c>
      <c r="X1587" t="s">
        <v>40439</v>
      </c>
    </row>
    <row r="1588" spans="1:24">
      <c r="A1588">
        <f>HYPERLINK("https://www.philgeps.gov.ph/GEPSNONPILOT/Tender/SplashBidNoticeAbstractUI.aspx?menuIndex=3&amp;refID=7048869&amp;Result=3","7048869")</f>
        <v>0</v>
      </c>
      <c r="B1588" t="s">
        <v>741</v>
      </c>
      <c r="C1588" t="s">
        <v>3822</v>
      </c>
      <c r="D1588" t="s">
        <v>16214</v>
      </c>
      <c r="E1588" t="s">
        <v>16350</v>
      </c>
      <c r="F1588" t="s">
        <v>28198</v>
      </c>
      <c r="G1588" t="s">
        <v>28206</v>
      </c>
      <c r="H1588" t="s">
        <v>28215</v>
      </c>
      <c r="I1588" t="s">
        <v>4168</v>
      </c>
      <c r="J1588" t="s">
        <v>28361</v>
      </c>
      <c r="K1588" t="s">
        <v>36707</v>
      </c>
      <c r="M1588" t="s">
        <v>37744</v>
      </c>
      <c r="N1588" t="s">
        <v>40436</v>
      </c>
      <c r="O1588" t="s">
        <v>40437</v>
      </c>
      <c r="P1588">
        <v>0</v>
      </c>
      <c r="Q1588">
        <v>0</v>
      </c>
      <c r="R1588" t="s">
        <v>40438</v>
      </c>
      <c r="S1588" t="s">
        <v>40582</v>
      </c>
      <c r="T1588" t="s">
        <v>42133</v>
      </c>
      <c r="U1588" t="s">
        <v>44016</v>
      </c>
      <c r="W1588" t="s">
        <v>37744</v>
      </c>
      <c r="X1588" t="s">
        <v>40439</v>
      </c>
    </row>
    <row r="1589" spans="1:24">
      <c r="A1589">
        <f>HYPERLINK("https://www.philgeps.gov.ph/GEPSNONPILOT/Tender/SplashBidNoticeAbstractUI.aspx?menuIndex=3&amp;refID=7048862&amp;Result=3","7048862")</f>
        <v>0</v>
      </c>
      <c r="B1589" t="s">
        <v>742</v>
      </c>
      <c r="C1589" t="s">
        <v>4623</v>
      </c>
      <c r="D1589" t="s">
        <v>16268</v>
      </c>
      <c r="E1589" t="s">
        <v>17760</v>
      </c>
      <c r="F1589" t="s">
        <v>28198</v>
      </c>
      <c r="G1589" t="s">
        <v>28205</v>
      </c>
      <c r="H1589" t="s">
        <v>28215</v>
      </c>
      <c r="I1589" t="s">
        <v>4505</v>
      </c>
      <c r="J1589" t="s">
        <v>29461</v>
      </c>
      <c r="K1589" t="s">
        <v>36701</v>
      </c>
      <c r="M1589" t="s">
        <v>37745</v>
      </c>
      <c r="N1589" t="s">
        <v>40436</v>
      </c>
      <c r="O1589" t="s">
        <v>40437</v>
      </c>
      <c r="P1589">
        <v>0</v>
      </c>
      <c r="Q1589">
        <v>1</v>
      </c>
      <c r="R1589" t="s">
        <v>40438</v>
      </c>
      <c r="S1589" t="s">
        <v>40582</v>
      </c>
      <c r="T1589" t="s">
        <v>42153</v>
      </c>
      <c r="U1589" t="s">
        <v>44017</v>
      </c>
      <c r="W1589" t="s">
        <v>37745</v>
      </c>
      <c r="X1589" t="s">
        <v>40439</v>
      </c>
    </row>
    <row r="1590" spans="1:24">
      <c r="A1590">
        <f>HYPERLINK("https://www.philgeps.gov.ph/GEPSNONPILOT/Tender/SplashBidNoticeAbstractUI.aspx?menuIndex=3&amp;refID=7048866&amp;Result=3","7048866")</f>
        <v>0</v>
      </c>
      <c r="B1590" t="s">
        <v>738</v>
      </c>
      <c r="C1590" t="s">
        <v>4624</v>
      </c>
      <c r="D1590" t="s">
        <v>16199</v>
      </c>
      <c r="E1590" t="s">
        <v>17761</v>
      </c>
      <c r="F1590" t="s">
        <v>28198</v>
      </c>
      <c r="G1590" t="s">
        <v>28206</v>
      </c>
      <c r="H1590" t="s">
        <v>28214</v>
      </c>
      <c r="I1590" t="s">
        <v>3797</v>
      </c>
      <c r="J1590" t="s">
        <v>28373</v>
      </c>
      <c r="K1590" t="s">
        <v>36688</v>
      </c>
      <c r="L1590" t="s">
        <v>738</v>
      </c>
      <c r="M1590" t="s">
        <v>37741</v>
      </c>
      <c r="N1590" t="s">
        <v>40436</v>
      </c>
      <c r="O1590" t="s">
        <v>40437</v>
      </c>
      <c r="P1590">
        <v>0</v>
      </c>
      <c r="Q1590">
        <v>1</v>
      </c>
      <c r="R1590" t="s">
        <v>40438</v>
      </c>
      <c r="S1590" t="s">
        <v>40582</v>
      </c>
      <c r="T1590" t="s">
        <v>42134</v>
      </c>
      <c r="U1590" t="s">
        <v>44018</v>
      </c>
      <c r="W1590" t="s">
        <v>37741</v>
      </c>
      <c r="X1590" t="s">
        <v>40439</v>
      </c>
    </row>
    <row r="1591" spans="1:24">
      <c r="A1591">
        <f>HYPERLINK("https://www.philgeps.gov.ph/GEPSNONPILOT/Tender/SplashBidNoticeAbstractUI.aspx?menuIndex=3&amp;refID=7048858&amp;Result=3","7048858")</f>
        <v>0</v>
      </c>
      <c r="B1591" t="s">
        <v>129</v>
      </c>
      <c r="C1591" t="s">
        <v>4625</v>
      </c>
      <c r="D1591" t="s">
        <v>16210</v>
      </c>
      <c r="E1591" t="s">
        <v>17762</v>
      </c>
      <c r="F1591" t="s">
        <v>28198</v>
      </c>
      <c r="G1591" t="s">
        <v>28207</v>
      </c>
      <c r="H1591" t="s">
        <v>28215</v>
      </c>
      <c r="I1591" t="s">
        <v>28235</v>
      </c>
      <c r="J1591" t="s">
        <v>28385</v>
      </c>
      <c r="K1591" t="s">
        <v>36706</v>
      </c>
      <c r="M1591" t="s">
        <v>37245</v>
      </c>
      <c r="N1591" t="s">
        <v>40436</v>
      </c>
      <c r="O1591" t="s">
        <v>40437</v>
      </c>
      <c r="P1591">
        <v>0</v>
      </c>
      <c r="Q1591">
        <v>1</v>
      </c>
      <c r="R1591" t="s">
        <v>40438</v>
      </c>
      <c r="S1591" t="s">
        <v>40582</v>
      </c>
      <c r="T1591" t="s">
        <v>42154</v>
      </c>
      <c r="U1591" t="s">
        <v>44019</v>
      </c>
      <c r="V1591" t="s">
        <v>53839</v>
      </c>
      <c r="W1591" t="s">
        <v>37245</v>
      </c>
      <c r="X1591" t="s">
        <v>40439</v>
      </c>
    </row>
    <row r="1592" spans="1:24">
      <c r="A1592">
        <f>HYPERLINK("https://www.philgeps.gov.ph/GEPSNONPILOT/Tender/SplashBidNoticeAbstractUI.aspx?menuIndex=3&amp;refID=7048864&amp;Result=3","7048864")</f>
        <v>0</v>
      </c>
      <c r="B1592" t="s">
        <v>743</v>
      </c>
      <c r="C1592" t="s">
        <v>4626</v>
      </c>
      <c r="D1592" t="s">
        <v>16194</v>
      </c>
      <c r="E1592" t="s">
        <v>17763</v>
      </c>
      <c r="F1592" t="s">
        <v>28198</v>
      </c>
      <c r="G1592" t="s">
        <v>28206</v>
      </c>
      <c r="H1592" t="s">
        <v>28215</v>
      </c>
      <c r="I1592" t="s">
        <v>8888</v>
      </c>
      <c r="J1592" t="s">
        <v>29462</v>
      </c>
      <c r="K1592" t="s">
        <v>36691</v>
      </c>
      <c r="M1592" t="s">
        <v>37746</v>
      </c>
      <c r="N1592" t="s">
        <v>40436</v>
      </c>
      <c r="O1592" t="s">
        <v>40437</v>
      </c>
      <c r="P1592">
        <v>0</v>
      </c>
      <c r="Q1592">
        <v>3</v>
      </c>
      <c r="R1592" t="s">
        <v>40438</v>
      </c>
      <c r="S1592" t="s">
        <v>40582</v>
      </c>
      <c r="T1592" t="s">
        <v>42218</v>
      </c>
      <c r="U1592" t="s">
        <v>44020</v>
      </c>
      <c r="W1592" t="s">
        <v>37746</v>
      </c>
      <c r="X1592" t="s">
        <v>40439</v>
      </c>
    </row>
    <row r="1593" spans="1:24">
      <c r="A1593">
        <f>HYPERLINK("https://www.philgeps.gov.ph/GEPSNONPILOT/Tender/SplashBidNoticeAbstractUI.aspx?menuIndex=3&amp;refID=7048874&amp;Result=3","7048874")</f>
        <v>0</v>
      </c>
      <c r="B1593" t="s">
        <v>744</v>
      </c>
      <c r="C1593" t="s">
        <v>4627</v>
      </c>
      <c r="D1593" t="s">
        <v>16190</v>
      </c>
      <c r="E1593" t="s">
        <v>17764</v>
      </c>
      <c r="F1593" t="s">
        <v>28198</v>
      </c>
      <c r="G1593" t="s">
        <v>28211</v>
      </c>
      <c r="H1593" t="s">
        <v>28216</v>
      </c>
      <c r="I1593" t="s">
        <v>28216</v>
      </c>
      <c r="J1593" t="s">
        <v>29463</v>
      </c>
      <c r="K1593" t="s">
        <v>36689</v>
      </c>
      <c r="M1593" t="s">
        <v>37747</v>
      </c>
      <c r="N1593" t="s">
        <v>40436</v>
      </c>
      <c r="O1593" t="s">
        <v>40437</v>
      </c>
      <c r="P1593">
        <v>0</v>
      </c>
      <c r="Q1593">
        <v>0</v>
      </c>
      <c r="R1593" t="s">
        <v>40438</v>
      </c>
      <c r="S1593" t="s">
        <v>40582</v>
      </c>
      <c r="T1593" t="s">
        <v>42102</v>
      </c>
      <c r="U1593" t="s">
        <v>44021</v>
      </c>
      <c r="W1593" t="s">
        <v>55459</v>
      </c>
      <c r="X1593" t="s">
        <v>40439</v>
      </c>
    </row>
    <row r="1594" spans="1:24">
      <c r="A1594">
        <f>HYPERLINK("https://www.philgeps.gov.ph/GEPSNONPILOT/Tender/SplashBidNoticeAbstractUI.aspx?menuIndex=3&amp;refID=7048859&amp;Result=3","7048859")</f>
        <v>0</v>
      </c>
      <c r="B1594" t="s">
        <v>729</v>
      </c>
      <c r="C1594" t="s">
        <v>4628</v>
      </c>
      <c r="D1594" t="s">
        <v>16252</v>
      </c>
      <c r="E1594" t="s">
        <v>17765</v>
      </c>
      <c r="F1594" t="s">
        <v>28198</v>
      </c>
      <c r="G1594" t="s">
        <v>28205</v>
      </c>
      <c r="H1594" t="s">
        <v>28215</v>
      </c>
      <c r="I1594" t="s">
        <v>3797</v>
      </c>
      <c r="J1594" t="s">
        <v>29464</v>
      </c>
      <c r="K1594" t="s">
        <v>36689</v>
      </c>
      <c r="M1594" t="s">
        <v>37730</v>
      </c>
      <c r="N1594" t="s">
        <v>40436</v>
      </c>
      <c r="O1594" t="s">
        <v>40437</v>
      </c>
      <c r="P1594">
        <v>0</v>
      </c>
      <c r="Q1594">
        <v>0</v>
      </c>
      <c r="R1594" t="s">
        <v>40438</v>
      </c>
      <c r="S1594" t="s">
        <v>40582</v>
      </c>
      <c r="T1594" t="s">
        <v>42102</v>
      </c>
      <c r="U1594" t="s">
        <v>43982</v>
      </c>
      <c r="W1594" t="s">
        <v>37730</v>
      </c>
      <c r="X1594" t="s">
        <v>40439</v>
      </c>
    </row>
    <row r="1595" spans="1:24">
      <c r="A1595">
        <f>HYPERLINK("https://www.philgeps.gov.ph/GEPSNONPILOT/Tender/SplashBidNoticeAbstractUI.aspx?menuIndex=3&amp;refID=7048863&amp;Result=3","7048863")</f>
        <v>0</v>
      </c>
      <c r="B1595" t="s">
        <v>661</v>
      </c>
      <c r="C1595" t="s">
        <v>4629</v>
      </c>
      <c r="D1595" t="s">
        <v>16199</v>
      </c>
      <c r="E1595" t="s">
        <v>17766</v>
      </c>
      <c r="F1595" t="s">
        <v>28198</v>
      </c>
      <c r="G1595" t="s">
        <v>28207</v>
      </c>
      <c r="H1595" t="s">
        <v>28215</v>
      </c>
      <c r="I1595" t="s">
        <v>28281</v>
      </c>
      <c r="J1595" t="s">
        <v>29465</v>
      </c>
      <c r="K1595" t="s">
        <v>36689</v>
      </c>
      <c r="M1595" t="s">
        <v>37657</v>
      </c>
      <c r="N1595" t="s">
        <v>40436</v>
      </c>
      <c r="O1595" t="s">
        <v>40437</v>
      </c>
      <c r="P1595">
        <v>0</v>
      </c>
      <c r="Q1595">
        <v>4</v>
      </c>
      <c r="R1595" t="s">
        <v>40438</v>
      </c>
      <c r="S1595" t="s">
        <v>40582</v>
      </c>
      <c r="T1595" t="s">
        <v>42111</v>
      </c>
      <c r="U1595" t="s">
        <v>44022</v>
      </c>
      <c r="W1595" t="s">
        <v>37657</v>
      </c>
      <c r="X1595" t="s">
        <v>40439</v>
      </c>
    </row>
    <row r="1596" spans="1:24">
      <c r="A1596">
        <f>HYPERLINK("https://www.philgeps.gov.ph/GEPSNONPILOT/Tender/SplashBidNoticeAbstractUI.aspx?menuIndex=3&amp;refID=7048861&amp;Result=3","7048861")</f>
        <v>0</v>
      </c>
      <c r="B1596" t="s">
        <v>745</v>
      </c>
      <c r="C1596" t="s">
        <v>4630</v>
      </c>
      <c r="D1596" t="s">
        <v>16187</v>
      </c>
      <c r="E1596" t="s">
        <v>17767</v>
      </c>
      <c r="F1596" t="s">
        <v>28198</v>
      </c>
      <c r="G1596" t="s">
        <v>28206</v>
      </c>
      <c r="H1596" t="s">
        <v>28215</v>
      </c>
      <c r="I1596" t="s">
        <v>4505</v>
      </c>
      <c r="J1596" t="s">
        <v>28352</v>
      </c>
      <c r="K1596" t="s">
        <v>36688</v>
      </c>
      <c r="M1596" t="s">
        <v>37748</v>
      </c>
      <c r="N1596" t="s">
        <v>40436</v>
      </c>
      <c r="O1596" t="s">
        <v>40437</v>
      </c>
      <c r="P1596">
        <v>0</v>
      </c>
      <c r="Q1596">
        <v>0</v>
      </c>
      <c r="R1596" t="s">
        <v>40438</v>
      </c>
      <c r="S1596" t="s">
        <v>40582</v>
      </c>
      <c r="T1596" t="s">
        <v>42160</v>
      </c>
      <c r="U1596" t="s">
        <v>44023</v>
      </c>
      <c r="W1596" t="s">
        <v>37748</v>
      </c>
      <c r="X1596" t="s">
        <v>40439</v>
      </c>
    </row>
    <row r="1597" spans="1:24">
      <c r="A1597">
        <f>HYPERLINK("https://www.philgeps.gov.ph/GEPSNONPILOT/Tender/SplashBidNoticeAbstractUI.aspx?menuIndex=3&amp;refID=7048873&amp;Result=3","7048873")</f>
        <v>0</v>
      </c>
      <c r="B1597" t="s">
        <v>725</v>
      </c>
      <c r="C1597" t="s">
        <v>4631</v>
      </c>
      <c r="D1597" t="s">
        <v>16223</v>
      </c>
      <c r="E1597" t="s">
        <v>17768</v>
      </c>
      <c r="F1597" t="s">
        <v>28198</v>
      </c>
      <c r="G1597" t="s">
        <v>28206</v>
      </c>
      <c r="H1597" t="s">
        <v>28215</v>
      </c>
      <c r="I1597" t="s">
        <v>5100</v>
      </c>
      <c r="J1597" t="s">
        <v>29466</v>
      </c>
      <c r="K1597" t="s">
        <v>36706</v>
      </c>
      <c r="M1597" t="s">
        <v>37726</v>
      </c>
      <c r="N1597" t="s">
        <v>40436</v>
      </c>
      <c r="O1597" t="s">
        <v>40437</v>
      </c>
      <c r="P1597">
        <v>0</v>
      </c>
      <c r="Q1597">
        <v>0</v>
      </c>
      <c r="R1597" t="s">
        <v>40438</v>
      </c>
      <c r="S1597" t="s">
        <v>40582</v>
      </c>
      <c r="T1597" t="s">
        <v>42103</v>
      </c>
      <c r="U1597" t="s">
        <v>44024</v>
      </c>
      <c r="W1597" t="s">
        <v>37726</v>
      </c>
      <c r="X1597" t="s">
        <v>40439</v>
      </c>
    </row>
    <row r="1598" spans="1:24">
      <c r="A1598">
        <f>HYPERLINK("https://www.philgeps.gov.ph/GEPSNONPILOT/Tender/SplashBidNoticeAbstractUI.aspx?menuIndex=3&amp;refID=7048856&amp;Result=3","7048856")</f>
        <v>0</v>
      </c>
      <c r="B1598" t="s">
        <v>732</v>
      </c>
      <c r="C1598" t="s">
        <v>4632</v>
      </c>
      <c r="E1598" t="s">
        <v>17769</v>
      </c>
      <c r="F1598" t="s">
        <v>28198</v>
      </c>
      <c r="G1598" t="s">
        <v>28207</v>
      </c>
      <c r="H1598" t="s">
        <v>28215</v>
      </c>
      <c r="I1598" t="s">
        <v>28282</v>
      </c>
      <c r="J1598" t="s">
        <v>29467</v>
      </c>
      <c r="K1598" t="s">
        <v>36689</v>
      </c>
      <c r="M1598" t="s">
        <v>37733</v>
      </c>
      <c r="N1598" t="s">
        <v>40436</v>
      </c>
      <c r="O1598" t="s">
        <v>40437</v>
      </c>
      <c r="P1598">
        <v>0</v>
      </c>
      <c r="Q1598">
        <v>1</v>
      </c>
      <c r="R1598" t="s">
        <v>40438</v>
      </c>
      <c r="S1598" t="s">
        <v>40582</v>
      </c>
      <c r="T1598" t="s">
        <v>42103</v>
      </c>
      <c r="U1598" t="s">
        <v>44025</v>
      </c>
      <c r="V1598" t="s">
        <v>53961</v>
      </c>
      <c r="W1598" t="s">
        <v>37733</v>
      </c>
      <c r="X1598" t="s">
        <v>40439</v>
      </c>
    </row>
    <row r="1599" spans="1:24">
      <c r="A1599">
        <f>HYPERLINK("https://www.philgeps.gov.ph/GEPSNONPILOT/Tender/SplashBidNoticeAbstractUI.aspx?menuIndex=3&amp;refID=7048871&amp;Result=3","7048871")</f>
        <v>0</v>
      </c>
      <c r="B1599" t="s">
        <v>678</v>
      </c>
      <c r="C1599" t="s">
        <v>3910</v>
      </c>
      <c r="D1599" t="s">
        <v>16222</v>
      </c>
      <c r="E1599" t="s">
        <v>17770</v>
      </c>
      <c r="F1599" t="s">
        <v>28198</v>
      </c>
      <c r="G1599" t="s">
        <v>28207</v>
      </c>
      <c r="H1599" t="s">
        <v>28215</v>
      </c>
      <c r="I1599" t="s">
        <v>4200</v>
      </c>
      <c r="J1599" t="s">
        <v>29468</v>
      </c>
      <c r="K1599" t="s">
        <v>36691</v>
      </c>
      <c r="M1599" t="s">
        <v>37676</v>
      </c>
      <c r="N1599" t="s">
        <v>40436</v>
      </c>
      <c r="O1599" t="s">
        <v>40437</v>
      </c>
      <c r="P1599">
        <v>0</v>
      </c>
      <c r="Q1599">
        <v>0</v>
      </c>
      <c r="R1599" t="s">
        <v>40438</v>
      </c>
      <c r="S1599" t="s">
        <v>40582</v>
      </c>
      <c r="T1599" t="s">
        <v>42103</v>
      </c>
      <c r="U1599" t="s">
        <v>44026</v>
      </c>
      <c r="W1599" t="s">
        <v>37676</v>
      </c>
      <c r="X1599" t="s">
        <v>40439</v>
      </c>
    </row>
    <row r="1600" spans="1:24">
      <c r="A1600">
        <f>HYPERLINK("https://www.philgeps.gov.ph/GEPSNONPILOT/Tender/SplashBidNoticeAbstractUI.aspx?menuIndex=3&amp;refID=7048857&amp;Result=3","7048857")</f>
        <v>0</v>
      </c>
      <c r="B1600" t="s">
        <v>746</v>
      </c>
      <c r="C1600" t="s">
        <v>4633</v>
      </c>
      <c r="D1600" t="s">
        <v>16209</v>
      </c>
      <c r="E1600" t="s">
        <v>17771</v>
      </c>
      <c r="F1600" t="s">
        <v>28198</v>
      </c>
      <c r="G1600" t="s">
        <v>28207</v>
      </c>
      <c r="H1600" t="s">
        <v>28215</v>
      </c>
      <c r="I1600" t="s">
        <v>3422</v>
      </c>
      <c r="J1600" t="s">
        <v>28350</v>
      </c>
      <c r="K1600" t="s">
        <v>36688</v>
      </c>
      <c r="M1600" t="s">
        <v>37749</v>
      </c>
      <c r="N1600" t="s">
        <v>40436</v>
      </c>
      <c r="O1600" t="s">
        <v>40437</v>
      </c>
      <c r="P1600">
        <v>0</v>
      </c>
      <c r="Q1600">
        <v>0</v>
      </c>
      <c r="R1600" t="s">
        <v>40438</v>
      </c>
      <c r="S1600" t="s">
        <v>40582</v>
      </c>
      <c r="T1600" t="s">
        <v>42160</v>
      </c>
      <c r="U1600" t="s">
        <v>44027</v>
      </c>
      <c r="W1600" t="s">
        <v>37749</v>
      </c>
      <c r="X1600" t="s">
        <v>40439</v>
      </c>
    </row>
    <row r="1601" spans="1:24">
      <c r="A1601">
        <f>HYPERLINK("https://www.philgeps.gov.ph/GEPSNONPILOT/Tender/SplashBidNoticeAbstractUI.aspx?menuIndex=3&amp;refID=7048872&amp;Result=3","7048872")</f>
        <v>0</v>
      </c>
      <c r="B1601" t="s">
        <v>747</v>
      </c>
      <c r="C1601" t="s">
        <v>4634</v>
      </c>
      <c r="D1601" t="s">
        <v>16230</v>
      </c>
      <c r="E1601" t="s">
        <v>17772</v>
      </c>
      <c r="F1601" t="s">
        <v>28198</v>
      </c>
      <c r="G1601" t="s">
        <v>28207</v>
      </c>
      <c r="H1601" t="s">
        <v>28215</v>
      </c>
      <c r="I1601" t="s">
        <v>4200</v>
      </c>
      <c r="J1601" t="s">
        <v>28547</v>
      </c>
      <c r="K1601" t="s">
        <v>36701</v>
      </c>
      <c r="M1601" t="s">
        <v>37750</v>
      </c>
      <c r="N1601" t="s">
        <v>40436</v>
      </c>
      <c r="O1601" t="s">
        <v>40437</v>
      </c>
      <c r="P1601">
        <v>0</v>
      </c>
      <c r="Q1601">
        <v>0</v>
      </c>
      <c r="R1601" t="s">
        <v>40438</v>
      </c>
      <c r="S1601" t="s">
        <v>40582</v>
      </c>
      <c r="T1601" t="s">
        <v>42142</v>
      </c>
      <c r="U1601" t="s">
        <v>44028</v>
      </c>
      <c r="W1601" t="s">
        <v>37750</v>
      </c>
      <c r="X1601" t="s">
        <v>40439</v>
      </c>
    </row>
    <row r="1602" spans="1:24">
      <c r="A1602">
        <f>HYPERLINK("https://www.philgeps.gov.ph/GEPSNONPILOT/Tender/SplashBidNoticeAbstractUI.aspx?menuIndex=3&amp;refID=7048875&amp;Result=3","7048875")</f>
        <v>0</v>
      </c>
      <c r="B1602" t="s">
        <v>694</v>
      </c>
      <c r="C1602" t="s">
        <v>4635</v>
      </c>
      <c r="D1602" t="s">
        <v>16219</v>
      </c>
      <c r="E1602" t="s">
        <v>17773</v>
      </c>
      <c r="F1602" t="s">
        <v>28198</v>
      </c>
      <c r="G1602" t="s">
        <v>28205</v>
      </c>
      <c r="H1602" t="s">
        <v>28214</v>
      </c>
      <c r="I1602" t="s">
        <v>3797</v>
      </c>
      <c r="J1602" t="s">
        <v>29377</v>
      </c>
      <c r="K1602" t="s">
        <v>36752</v>
      </c>
      <c r="L1602" t="s">
        <v>694</v>
      </c>
      <c r="M1602" t="s">
        <v>37694</v>
      </c>
      <c r="N1602" t="s">
        <v>40436</v>
      </c>
      <c r="O1602" t="s">
        <v>40437</v>
      </c>
      <c r="P1602">
        <v>0</v>
      </c>
      <c r="Q1602">
        <v>1</v>
      </c>
      <c r="R1602" t="s">
        <v>40438</v>
      </c>
      <c r="S1602" t="s">
        <v>40582</v>
      </c>
      <c r="T1602" t="s">
        <v>42106</v>
      </c>
      <c r="U1602" t="s">
        <v>44029</v>
      </c>
      <c r="W1602" t="s">
        <v>37694</v>
      </c>
      <c r="X1602" t="s">
        <v>40439</v>
      </c>
    </row>
    <row r="1603" spans="1:24">
      <c r="A1603">
        <f>HYPERLINK("https://www.philgeps.gov.ph/GEPSNONPILOT/Tender/SplashBidNoticeAbstractUI.aspx?menuIndex=3&amp;refID=7048882&amp;Result=3","7048882")</f>
        <v>0</v>
      </c>
      <c r="B1603" t="s">
        <v>269</v>
      </c>
      <c r="C1603" t="s">
        <v>3716</v>
      </c>
      <c r="D1603" t="s">
        <v>16267</v>
      </c>
      <c r="E1603" t="s">
        <v>17774</v>
      </c>
      <c r="F1603" t="s">
        <v>28198</v>
      </c>
      <c r="G1603" t="s">
        <v>28207</v>
      </c>
      <c r="H1603" t="s">
        <v>28215</v>
      </c>
      <c r="I1603" t="s">
        <v>3422</v>
      </c>
      <c r="J1603" t="s">
        <v>29025</v>
      </c>
      <c r="K1603" t="s">
        <v>36689</v>
      </c>
      <c r="M1603" t="s">
        <v>37246</v>
      </c>
      <c r="N1603" t="s">
        <v>40436</v>
      </c>
      <c r="O1603" t="s">
        <v>40437</v>
      </c>
      <c r="P1603">
        <v>0</v>
      </c>
      <c r="Q1603">
        <v>0</v>
      </c>
      <c r="R1603" t="s">
        <v>40438</v>
      </c>
      <c r="S1603" t="s">
        <v>40582</v>
      </c>
      <c r="T1603" t="s">
        <v>42111</v>
      </c>
      <c r="U1603" t="s">
        <v>43431</v>
      </c>
      <c r="W1603" t="s">
        <v>37246</v>
      </c>
      <c r="X1603" t="s">
        <v>40439</v>
      </c>
    </row>
    <row r="1604" spans="1:24">
      <c r="A1604">
        <f>HYPERLINK("https://www.philgeps.gov.ph/GEPSNONPILOT/Tender/SplashBidNoticeAbstractUI.aspx?menuIndex=3&amp;refID=7048886&amp;Result=3","7048886")</f>
        <v>0</v>
      </c>
      <c r="B1604" t="s">
        <v>748</v>
      </c>
      <c r="C1604" t="s">
        <v>4636</v>
      </c>
      <c r="D1604" t="s">
        <v>16203</v>
      </c>
      <c r="E1604" t="s">
        <v>17775</v>
      </c>
      <c r="F1604" t="s">
        <v>28198</v>
      </c>
      <c r="G1604" t="s">
        <v>28205</v>
      </c>
      <c r="H1604" t="s">
        <v>28215</v>
      </c>
      <c r="I1604" t="s">
        <v>28247</v>
      </c>
      <c r="J1604" t="s">
        <v>29469</v>
      </c>
      <c r="K1604" t="s">
        <v>36697</v>
      </c>
      <c r="M1604" t="s">
        <v>37751</v>
      </c>
      <c r="N1604" t="s">
        <v>40436</v>
      </c>
      <c r="O1604" t="s">
        <v>40437</v>
      </c>
      <c r="P1604">
        <v>0</v>
      </c>
      <c r="Q1604">
        <v>30</v>
      </c>
      <c r="R1604" t="s">
        <v>40438</v>
      </c>
      <c r="S1604" t="s">
        <v>40582</v>
      </c>
      <c r="T1604" t="s">
        <v>42282</v>
      </c>
      <c r="U1604" t="s">
        <v>44030</v>
      </c>
      <c r="V1604" t="s">
        <v>53964</v>
      </c>
      <c r="W1604" t="s">
        <v>37751</v>
      </c>
      <c r="X1604" t="s">
        <v>40439</v>
      </c>
    </row>
    <row r="1605" spans="1:24">
      <c r="A1605">
        <f>HYPERLINK("https://www.philgeps.gov.ph/GEPSNONPILOT/Tender/SplashBidNoticeAbstractUI.aspx?menuIndex=3&amp;refID=7048881&amp;Result=3","7048881")</f>
        <v>0</v>
      </c>
      <c r="B1605" t="s">
        <v>749</v>
      </c>
      <c r="C1605" t="s">
        <v>4637</v>
      </c>
      <c r="D1605" t="s">
        <v>16195</v>
      </c>
      <c r="E1605" t="s">
        <v>17776</v>
      </c>
      <c r="F1605" t="s">
        <v>28198</v>
      </c>
      <c r="G1605" t="s">
        <v>28205</v>
      </c>
      <c r="H1605" t="s">
        <v>28215</v>
      </c>
      <c r="I1605" t="s">
        <v>28238</v>
      </c>
      <c r="J1605" t="s">
        <v>29470</v>
      </c>
      <c r="K1605" t="s">
        <v>36701</v>
      </c>
      <c r="M1605" t="s">
        <v>37752</v>
      </c>
      <c r="N1605" t="s">
        <v>40436</v>
      </c>
      <c r="O1605" t="s">
        <v>40437</v>
      </c>
      <c r="P1605">
        <v>0</v>
      </c>
      <c r="Q1605">
        <v>4</v>
      </c>
      <c r="R1605" t="s">
        <v>40438</v>
      </c>
      <c r="S1605" t="s">
        <v>40582</v>
      </c>
      <c r="T1605" t="s">
        <v>42202</v>
      </c>
      <c r="U1605" t="s">
        <v>44031</v>
      </c>
      <c r="W1605" t="s">
        <v>37752</v>
      </c>
      <c r="X1605" t="s">
        <v>40439</v>
      </c>
    </row>
    <row r="1606" spans="1:24">
      <c r="A1606">
        <f>HYPERLINK("https://www.philgeps.gov.ph/GEPSNONPILOT/Tender/SplashBidNoticeAbstractUI.aspx?menuIndex=3&amp;refID=7048887&amp;Result=3","7048887")</f>
        <v>0</v>
      </c>
      <c r="B1606" t="s">
        <v>202</v>
      </c>
      <c r="C1606" t="s">
        <v>4638</v>
      </c>
      <c r="D1606" t="s">
        <v>16217</v>
      </c>
      <c r="E1606" t="s">
        <v>17777</v>
      </c>
      <c r="F1606" t="s">
        <v>28198</v>
      </c>
      <c r="G1606" t="s">
        <v>28207</v>
      </c>
      <c r="H1606" t="s">
        <v>28215</v>
      </c>
      <c r="I1606" t="s">
        <v>5100</v>
      </c>
      <c r="J1606" t="s">
        <v>29471</v>
      </c>
      <c r="K1606" t="s">
        <v>36707</v>
      </c>
      <c r="M1606" t="s">
        <v>37177</v>
      </c>
      <c r="N1606" t="s">
        <v>40436</v>
      </c>
      <c r="O1606" t="s">
        <v>40437</v>
      </c>
      <c r="P1606">
        <v>0</v>
      </c>
      <c r="Q1606">
        <v>0</v>
      </c>
      <c r="R1606" t="s">
        <v>40438</v>
      </c>
      <c r="S1606" t="s">
        <v>40582</v>
      </c>
      <c r="T1606" t="s">
        <v>42103</v>
      </c>
      <c r="U1606" t="s">
        <v>44032</v>
      </c>
      <c r="V1606" t="s">
        <v>53965</v>
      </c>
      <c r="W1606" t="s">
        <v>55435</v>
      </c>
      <c r="X1606" t="s">
        <v>40439</v>
      </c>
    </row>
    <row r="1607" spans="1:24">
      <c r="A1607">
        <f>HYPERLINK("https://www.philgeps.gov.ph/GEPSNONPILOT/Tender/SplashBidNoticeAbstractUI.aspx?menuIndex=3&amp;refID=7048879&amp;Result=3","7048879")</f>
        <v>0</v>
      </c>
      <c r="B1607" t="s">
        <v>285</v>
      </c>
      <c r="C1607" t="s">
        <v>4639</v>
      </c>
      <c r="D1607" t="s">
        <v>16203</v>
      </c>
      <c r="E1607" t="s">
        <v>17778</v>
      </c>
      <c r="F1607" t="s">
        <v>28198</v>
      </c>
      <c r="G1607" t="s">
        <v>28207</v>
      </c>
      <c r="H1607" t="s">
        <v>28214</v>
      </c>
      <c r="I1607" t="s">
        <v>28255</v>
      </c>
      <c r="J1607" t="s">
        <v>28352</v>
      </c>
      <c r="K1607" t="s">
        <v>36702</v>
      </c>
      <c r="M1607" t="s">
        <v>37569</v>
      </c>
      <c r="N1607" t="s">
        <v>40436</v>
      </c>
      <c r="O1607" t="s">
        <v>40437</v>
      </c>
      <c r="P1607">
        <v>0</v>
      </c>
      <c r="Q1607">
        <v>0</v>
      </c>
      <c r="R1607" t="s">
        <v>40438</v>
      </c>
      <c r="S1607" t="s">
        <v>40582</v>
      </c>
      <c r="T1607" t="s">
        <v>42102</v>
      </c>
      <c r="U1607" t="s">
        <v>44033</v>
      </c>
      <c r="W1607" t="s">
        <v>37569</v>
      </c>
      <c r="X1607" t="s">
        <v>40439</v>
      </c>
    </row>
    <row r="1608" spans="1:24">
      <c r="A1608">
        <f>HYPERLINK("https://www.philgeps.gov.ph/GEPSNONPILOT/Tender/SplashBidNoticeAbstractUI.aspx?menuIndex=3&amp;refID=7048883&amp;Result=3","7048883")</f>
        <v>0</v>
      </c>
      <c r="B1608" t="s">
        <v>750</v>
      </c>
      <c r="C1608" t="s">
        <v>4640</v>
      </c>
      <c r="D1608" t="s">
        <v>16204</v>
      </c>
      <c r="E1608" t="s">
        <v>17779</v>
      </c>
      <c r="F1608" t="s">
        <v>28198</v>
      </c>
      <c r="G1608" t="s">
        <v>28205</v>
      </c>
      <c r="H1608" t="s">
        <v>28214</v>
      </c>
      <c r="I1608" t="s">
        <v>3797</v>
      </c>
      <c r="J1608" t="s">
        <v>29472</v>
      </c>
      <c r="K1608" t="s">
        <v>36689</v>
      </c>
      <c r="M1608" t="s">
        <v>37753</v>
      </c>
      <c r="N1608" t="s">
        <v>40436</v>
      </c>
      <c r="O1608" t="s">
        <v>40437</v>
      </c>
      <c r="P1608">
        <v>0</v>
      </c>
      <c r="Q1608">
        <v>0</v>
      </c>
      <c r="R1608" t="s">
        <v>40438</v>
      </c>
      <c r="S1608" t="s">
        <v>40582</v>
      </c>
      <c r="T1608" t="s">
        <v>42115</v>
      </c>
      <c r="U1608" t="s">
        <v>44034</v>
      </c>
      <c r="V1608" t="s">
        <v>53944</v>
      </c>
      <c r="W1608" t="s">
        <v>37753</v>
      </c>
      <c r="X1608" t="s">
        <v>40439</v>
      </c>
    </row>
    <row r="1609" spans="1:24">
      <c r="A1609">
        <f>HYPERLINK("https://www.philgeps.gov.ph/GEPSNONPILOT/Tender/SplashBidNoticeAbstractUI.aspx?menuIndex=3&amp;refID=7048877&amp;Result=3","7048877")</f>
        <v>0</v>
      </c>
      <c r="B1609" t="s">
        <v>735</v>
      </c>
      <c r="C1609" t="s">
        <v>4641</v>
      </c>
      <c r="D1609" t="s">
        <v>16227</v>
      </c>
      <c r="E1609" t="s">
        <v>17780</v>
      </c>
      <c r="F1609" t="s">
        <v>28198</v>
      </c>
      <c r="G1609" t="s">
        <v>28206</v>
      </c>
      <c r="H1609" t="s">
        <v>28215</v>
      </c>
      <c r="I1609" t="s">
        <v>28224</v>
      </c>
      <c r="J1609" t="s">
        <v>29473</v>
      </c>
      <c r="K1609" t="s">
        <v>36698</v>
      </c>
      <c r="M1609" t="s">
        <v>37738</v>
      </c>
      <c r="N1609" t="s">
        <v>40436</v>
      </c>
      <c r="O1609" t="s">
        <v>40437</v>
      </c>
      <c r="P1609">
        <v>0</v>
      </c>
      <c r="Q1609">
        <v>0</v>
      </c>
      <c r="R1609" t="s">
        <v>40438</v>
      </c>
      <c r="S1609" t="s">
        <v>40582</v>
      </c>
      <c r="T1609" t="s">
        <v>42158</v>
      </c>
      <c r="U1609" t="s">
        <v>44035</v>
      </c>
      <c r="W1609" t="s">
        <v>37738</v>
      </c>
      <c r="X1609" t="s">
        <v>40439</v>
      </c>
    </row>
    <row r="1610" spans="1:24">
      <c r="A1610">
        <f>HYPERLINK("https://www.philgeps.gov.ph/GEPSNONPILOT/Tender/SplashBidNoticeAbstractUI.aspx?menuIndex=3&amp;refID=7048890&amp;Result=3","7048890")</f>
        <v>0</v>
      </c>
      <c r="B1610" t="s">
        <v>664</v>
      </c>
      <c r="C1610" t="s">
        <v>4642</v>
      </c>
      <c r="D1610" t="s">
        <v>16260</v>
      </c>
      <c r="E1610" t="s">
        <v>17781</v>
      </c>
      <c r="F1610" t="s">
        <v>28198</v>
      </c>
      <c r="G1610" t="s">
        <v>28207</v>
      </c>
      <c r="H1610" t="s">
        <v>28215</v>
      </c>
      <c r="I1610" t="s">
        <v>5100</v>
      </c>
      <c r="J1610" t="s">
        <v>29474</v>
      </c>
      <c r="K1610" t="s">
        <v>36688</v>
      </c>
      <c r="M1610" t="s">
        <v>37660</v>
      </c>
      <c r="N1610" t="s">
        <v>40436</v>
      </c>
      <c r="O1610" t="s">
        <v>40437</v>
      </c>
      <c r="P1610">
        <v>0</v>
      </c>
      <c r="Q1610">
        <v>1</v>
      </c>
      <c r="R1610" t="s">
        <v>40438</v>
      </c>
      <c r="S1610" t="s">
        <v>40582</v>
      </c>
      <c r="T1610" t="s">
        <v>42129</v>
      </c>
      <c r="U1610" t="s">
        <v>42746</v>
      </c>
      <c r="W1610" t="s">
        <v>37660</v>
      </c>
      <c r="X1610" t="s">
        <v>40439</v>
      </c>
    </row>
    <row r="1611" spans="1:24">
      <c r="A1611">
        <f>HYPERLINK("https://www.philgeps.gov.ph/GEPSNONPILOT/Tender/SplashBidNoticeAbstractUI.aspx?menuIndex=3&amp;refID=7048876&amp;Result=3","7048876")</f>
        <v>0</v>
      </c>
      <c r="B1611" t="s">
        <v>287</v>
      </c>
      <c r="C1611" t="s">
        <v>4643</v>
      </c>
      <c r="D1611" t="s">
        <v>16219</v>
      </c>
      <c r="E1611" t="s">
        <v>17572</v>
      </c>
      <c r="F1611" t="s">
        <v>28198</v>
      </c>
      <c r="G1611" t="s">
        <v>28205</v>
      </c>
      <c r="H1611" t="s">
        <v>28215</v>
      </c>
      <c r="I1611" t="s">
        <v>4321</v>
      </c>
      <c r="J1611" t="s">
        <v>29475</v>
      </c>
      <c r="K1611" t="s">
        <v>36689</v>
      </c>
      <c r="M1611" t="s">
        <v>37264</v>
      </c>
      <c r="N1611" t="s">
        <v>40436</v>
      </c>
      <c r="O1611" t="s">
        <v>40437</v>
      </c>
      <c r="P1611">
        <v>0</v>
      </c>
      <c r="Q1611">
        <v>0</v>
      </c>
      <c r="R1611" t="s">
        <v>40438</v>
      </c>
      <c r="S1611" t="s">
        <v>40582</v>
      </c>
      <c r="T1611" t="s">
        <v>42102</v>
      </c>
      <c r="U1611" t="s">
        <v>43070</v>
      </c>
      <c r="W1611" t="s">
        <v>37264</v>
      </c>
      <c r="X1611" t="s">
        <v>40439</v>
      </c>
    </row>
    <row r="1612" spans="1:24">
      <c r="A1612">
        <f>HYPERLINK("https://www.philgeps.gov.ph/GEPSNONPILOT/Tender/SplashBidNoticeAbstractUI.aspx?menuIndex=3&amp;refID=7048878&amp;Result=3","7048878")</f>
        <v>0</v>
      </c>
      <c r="B1612" t="s">
        <v>743</v>
      </c>
      <c r="C1612" t="s">
        <v>4644</v>
      </c>
      <c r="D1612" t="s">
        <v>16194</v>
      </c>
      <c r="E1612" t="s">
        <v>17782</v>
      </c>
      <c r="F1612" t="s">
        <v>28198</v>
      </c>
      <c r="G1612" t="s">
        <v>28206</v>
      </c>
      <c r="H1612" t="s">
        <v>28215</v>
      </c>
      <c r="I1612" t="s">
        <v>8888</v>
      </c>
      <c r="J1612" t="s">
        <v>29476</v>
      </c>
      <c r="K1612" t="s">
        <v>36688</v>
      </c>
      <c r="M1612" t="s">
        <v>37746</v>
      </c>
      <c r="N1612" t="s">
        <v>40436</v>
      </c>
      <c r="O1612" t="s">
        <v>40437</v>
      </c>
      <c r="P1612">
        <v>0</v>
      </c>
      <c r="Q1612">
        <v>1</v>
      </c>
      <c r="R1612" t="s">
        <v>40438</v>
      </c>
      <c r="S1612" t="s">
        <v>40582</v>
      </c>
      <c r="T1612" t="s">
        <v>42128</v>
      </c>
      <c r="U1612" t="s">
        <v>44036</v>
      </c>
      <c r="W1612" t="s">
        <v>37746</v>
      </c>
      <c r="X1612" t="s">
        <v>40439</v>
      </c>
    </row>
    <row r="1613" spans="1:24">
      <c r="A1613">
        <f>HYPERLINK("https://www.philgeps.gov.ph/GEPSNONPILOT/Tender/SplashBidNoticeAbstractUI.aspx?menuIndex=3&amp;refID=7048895&amp;Result=3","7048895")</f>
        <v>0</v>
      </c>
      <c r="B1613" t="s">
        <v>751</v>
      </c>
      <c r="C1613" t="s">
        <v>4645</v>
      </c>
      <c r="D1613" t="s">
        <v>16187</v>
      </c>
      <c r="E1613" t="s">
        <v>4645</v>
      </c>
      <c r="F1613" t="s">
        <v>28198</v>
      </c>
      <c r="G1613" t="s">
        <v>28207</v>
      </c>
      <c r="H1613" t="s">
        <v>28215</v>
      </c>
      <c r="I1613" t="s">
        <v>28225</v>
      </c>
      <c r="J1613" t="s">
        <v>28352</v>
      </c>
      <c r="K1613" t="s">
        <v>36689</v>
      </c>
      <c r="M1613" t="s">
        <v>37754</v>
      </c>
      <c r="N1613" t="s">
        <v>40436</v>
      </c>
      <c r="O1613" t="s">
        <v>40437</v>
      </c>
      <c r="P1613">
        <v>0</v>
      </c>
      <c r="Q1613">
        <v>7</v>
      </c>
      <c r="R1613" t="s">
        <v>40438</v>
      </c>
      <c r="S1613" t="s">
        <v>40582</v>
      </c>
      <c r="T1613" t="s">
        <v>42111</v>
      </c>
      <c r="U1613" t="s">
        <v>44037</v>
      </c>
      <c r="W1613" t="s">
        <v>37754</v>
      </c>
      <c r="X1613" t="s">
        <v>40439</v>
      </c>
    </row>
    <row r="1614" spans="1:24">
      <c r="A1614">
        <f>HYPERLINK("https://www.philgeps.gov.ph/GEPSNONPILOT/Tender/SplashBidNoticeAbstractUI.aspx?menuIndex=3&amp;refID=7048891&amp;Result=3","7048891")</f>
        <v>0</v>
      </c>
      <c r="B1614" t="s">
        <v>710</v>
      </c>
      <c r="C1614" t="s">
        <v>4646</v>
      </c>
      <c r="D1614" t="s">
        <v>16199</v>
      </c>
      <c r="E1614" t="s">
        <v>17783</v>
      </c>
      <c r="F1614" t="s">
        <v>28198</v>
      </c>
      <c r="G1614" t="s">
        <v>28207</v>
      </c>
      <c r="H1614" t="s">
        <v>28215</v>
      </c>
      <c r="I1614" t="s">
        <v>28225</v>
      </c>
      <c r="J1614" t="s">
        <v>29477</v>
      </c>
      <c r="K1614" t="s">
        <v>36691</v>
      </c>
      <c r="M1614" t="s">
        <v>37710</v>
      </c>
      <c r="N1614" t="s">
        <v>40436</v>
      </c>
      <c r="O1614" t="s">
        <v>40437</v>
      </c>
      <c r="P1614">
        <v>0</v>
      </c>
      <c r="Q1614">
        <v>1</v>
      </c>
      <c r="R1614" t="s">
        <v>40438</v>
      </c>
      <c r="S1614" t="s">
        <v>40582</v>
      </c>
      <c r="T1614" t="s">
        <v>42146</v>
      </c>
      <c r="U1614" t="s">
        <v>44038</v>
      </c>
      <c r="W1614" t="s">
        <v>37710</v>
      </c>
      <c r="X1614" t="s">
        <v>40439</v>
      </c>
    </row>
    <row r="1615" spans="1:24">
      <c r="A1615">
        <f>HYPERLINK("https://www.philgeps.gov.ph/GEPSNONPILOT/Tender/SplashBidNoticeAbstractUI.aspx?menuIndex=3&amp;refID=7048898&amp;Result=3","7048898")</f>
        <v>0</v>
      </c>
      <c r="B1615" t="s">
        <v>695</v>
      </c>
      <c r="C1615" t="s">
        <v>4647</v>
      </c>
      <c r="D1615" t="s">
        <v>16204</v>
      </c>
      <c r="E1615" t="s">
        <v>17784</v>
      </c>
      <c r="F1615" t="s">
        <v>28198</v>
      </c>
      <c r="G1615" t="s">
        <v>28206</v>
      </c>
      <c r="H1615" t="s">
        <v>28215</v>
      </c>
      <c r="I1615" t="s">
        <v>4321</v>
      </c>
      <c r="J1615" t="s">
        <v>29478</v>
      </c>
      <c r="K1615" t="s">
        <v>36689</v>
      </c>
      <c r="M1615" t="s">
        <v>37695</v>
      </c>
      <c r="N1615" t="s">
        <v>40436</v>
      </c>
      <c r="O1615" t="s">
        <v>40437</v>
      </c>
      <c r="P1615">
        <v>0</v>
      </c>
      <c r="Q1615">
        <v>0</v>
      </c>
      <c r="R1615" t="s">
        <v>40438</v>
      </c>
      <c r="S1615" t="s">
        <v>40582</v>
      </c>
      <c r="T1615" t="s">
        <v>42277</v>
      </c>
      <c r="U1615" t="s">
        <v>44039</v>
      </c>
      <c r="W1615" t="s">
        <v>37695</v>
      </c>
      <c r="X1615" t="s">
        <v>40439</v>
      </c>
    </row>
    <row r="1616" spans="1:24">
      <c r="A1616">
        <f>HYPERLINK("https://www.philgeps.gov.ph/GEPSNONPILOT/Tender/SplashBidNoticeAbstractUI.aspx?menuIndex=3&amp;refID=7048893&amp;Result=3","7048893")</f>
        <v>0</v>
      </c>
      <c r="B1616" t="s">
        <v>752</v>
      </c>
      <c r="C1616" t="s">
        <v>4648</v>
      </c>
      <c r="D1616" t="s">
        <v>16216</v>
      </c>
      <c r="E1616" t="s">
        <v>17785</v>
      </c>
      <c r="F1616" t="s">
        <v>28198</v>
      </c>
      <c r="G1616" t="s">
        <v>28205</v>
      </c>
      <c r="H1616" t="s">
        <v>28215</v>
      </c>
      <c r="I1616" t="s">
        <v>28236</v>
      </c>
      <c r="J1616" t="s">
        <v>29479</v>
      </c>
      <c r="K1616" t="s">
        <v>36701</v>
      </c>
      <c r="M1616" t="s">
        <v>37755</v>
      </c>
      <c r="N1616" t="s">
        <v>40436</v>
      </c>
      <c r="O1616" t="s">
        <v>40437</v>
      </c>
      <c r="P1616">
        <v>0</v>
      </c>
      <c r="Q1616">
        <v>3</v>
      </c>
      <c r="R1616" t="s">
        <v>40438</v>
      </c>
      <c r="S1616" t="s">
        <v>40582</v>
      </c>
      <c r="T1616" t="s">
        <v>42099</v>
      </c>
      <c r="U1616" t="s">
        <v>44040</v>
      </c>
      <c r="W1616" t="s">
        <v>37755</v>
      </c>
      <c r="X1616" t="s">
        <v>40439</v>
      </c>
    </row>
    <row r="1617" spans="1:24">
      <c r="A1617">
        <f>HYPERLINK("https://www.philgeps.gov.ph/GEPSNONPILOT/Tender/SplashBidNoticeAbstractUI.aspx?menuIndex=3&amp;refID=7048884&amp;Result=3","7048884")</f>
        <v>0</v>
      </c>
      <c r="B1617" t="s">
        <v>753</v>
      </c>
      <c r="C1617" t="s">
        <v>4649</v>
      </c>
      <c r="D1617" t="s">
        <v>16235</v>
      </c>
      <c r="E1617" t="s">
        <v>17709</v>
      </c>
      <c r="F1617" t="s">
        <v>28198</v>
      </c>
      <c r="G1617" t="s">
        <v>28205</v>
      </c>
      <c r="H1617" t="s">
        <v>28214</v>
      </c>
      <c r="I1617" t="s">
        <v>3797</v>
      </c>
      <c r="J1617" t="s">
        <v>28345</v>
      </c>
      <c r="K1617" t="s">
        <v>36715</v>
      </c>
      <c r="M1617" t="s">
        <v>37756</v>
      </c>
      <c r="N1617" t="s">
        <v>40436</v>
      </c>
      <c r="O1617" t="s">
        <v>40437</v>
      </c>
      <c r="P1617">
        <v>0</v>
      </c>
      <c r="Q1617">
        <v>0</v>
      </c>
      <c r="R1617" t="s">
        <v>40438</v>
      </c>
      <c r="S1617" t="s">
        <v>40582</v>
      </c>
      <c r="T1617" t="s">
        <v>42179</v>
      </c>
      <c r="U1617" t="s">
        <v>44041</v>
      </c>
      <c r="V1617" t="s">
        <v>53957</v>
      </c>
      <c r="W1617" t="s">
        <v>37756</v>
      </c>
      <c r="X1617" t="s">
        <v>40439</v>
      </c>
    </row>
    <row r="1618" spans="1:24">
      <c r="A1618">
        <f>HYPERLINK("https://www.philgeps.gov.ph/GEPSNONPILOT/Tender/SplashBidNoticeAbstractUI.aspx?menuIndex=3&amp;refID=7048897&amp;Result=3","7048897")</f>
        <v>0</v>
      </c>
      <c r="B1618" t="s">
        <v>538</v>
      </c>
      <c r="C1618" t="s">
        <v>4650</v>
      </c>
      <c r="E1618" t="s">
        <v>17786</v>
      </c>
      <c r="F1618" t="s">
        <v>28198</v>
      </c>
      <c r="G1618" t="s">
        <v>28207</v>
      </c>
      <c r="H1618" t="s">
        <v>28215</v>
      </c>
      <c r="I1618" t="s">
        <v>28234</v>
      </c>
      <c r="J1618" t="s">
        <v>28422</v>
      </c>
      <c r="K1618" t="s">
        <v>36689</v>
      </c>
      <c r="M1618" t="s">
        <v>37524</v>
      </c>
      <c r="N1618" t="s">
        <v>40436</v>
      </c>
      <c r="O1618" t="s">
        <v>40437</v>
      </c>
      <c r="P1618">
        <v>0</v>
      </c>
      <c r="Q1618">
        <v>3</v>
      </c>
      <c r="R1618" t="s">
        <v>40438</v>
      </c>
      <c r="S1618" t="s">
        <v>40582</v>
      </c>
      <c r="T1618" t="s">
        <v>42112</v>
      </c>
      <c r="U1618" t="s">
        <v>43562</v>
      </c>
      <c r="W1618" t="s">
        <v>37524</v>
      </c>
      <c r="X1618" t="s">
        <v>40439</v>
      </c>
    </row>
    <row r="1619" spans="1:24">
      <c r="A1619">
        <f>HYPERLINK("https://www.philgeps.gov.ph/GEPSNONPILOT/Tender/SplashBidNoticeAbstractUI.aspx?menuIndex=3&amp;refID=7048880&amp;Result=3","7048880")</f>
        <v>0</v>
      </c>
      <c r="B1619" t="s">
        <v>754</v>
      </c>
      <c r="C1619" t="s">
        <v>4651</v>
      </c>
      <c r="D1619" t="s">
        <v>16266</v>
      </c>
      <c r="E1619" t="s">
        <v>17787</v>
      </c>
      <c r="F1619" t="s">
        <v>28198</v>
      </c>
      <c r="G1619" t="s">
        <v>28207</v>
      </c>
      <c r="H1619" t="s">
        <v>28215</v>
      </c>
      <c r="I1619" t="s">
        <v>28247</v>
      </c>
      <c r="J1619" t="s">
        <v>29480</v>
      </c>
      <c r="K1619" t="s">
        <v>36707</v>
      </c>
      <c r="M1619" t="s">
        <v>37757</v>
      </c>
      <c r="N1619" t="s">
        <v>40436</v>
      </c>
      <c r="O1619" t="s">
        <v>40437</v>
      </c>
      <c r="P1619">
        <v>0</v>
      </c>
      <c r="Q1619">
        <v>2</v>
      </c>
      <c r="R1619" t="s">
        <v>40438</v>
      </c>
      <c r="S1619" t="s">
        <v>40582</v>
      </c>
      <c r="T1619" t="s">
        <v>42103</v>
      </c>
      <c r="U1619" t="s">
        <v>44042</v>
      </c>
      <c r="W1619" t="s">
        <v>37757</v>
      </c>
      <c r="X1619" t="s">
        <v>40439</v>
      </c>
    </row>
    <row r="1620" spans="1:24">
      <c r="A1620">
        <f>HYPERLINK("https://www.philgeps.gov.ph/GEPSNONPILOT/Tender/SplashBidNoticeAbstractUI.aspx?menuIndex=3&amp;refID=7048899&amp;Result=3","7048899")</f>
        <v>0</v>
      </c>
      <c r="B1620" t="s">
        <v>755</v>
      </c>
      <c r="C1620" t="s">
        <v>4652</v>
      </c>
      <c r="D1620" t="s">
        <v>16200</v>
      </c>
      <c r="E1620" t="s">
        <v>17788</v>
      </c>
      <c r="F1620" t="s">
        <v>28198</v>
      </c>
      <c r="G1620" t="s">
        <v>28205</v>
      </c>
      <c r="H1620" t="s">
        <v>28214</v>
      </c>
      <c r="I1620" t="s">
        <v>3797</v>
      </c>
      <c r="J1620" t="s">
        <v>29481</v>
      </c>
      <c r="K1620" t="s">
        <v>36701</v>
      </c>
      <c r="M1620" t="s">
        <v>37758</v>
      </c>
      <c r="N1620" t="s">
        <v>40436</v>
      </c>
      <c r="O1620" t="s">
        <v>40437</v>
      </c>
      <c r="P1620">
        <v>0</v>
      </c>
      <c r="Q1620">
        <v>0</v>
      </c>
      <c r="R1620" t="s">
        <v>40438</v>
      </c>
      <c r="S1620" t="s">
        <v>40582</v>
      </c>
      <c r="T1620" t="s">
        <v>42128</v>
      </c>
      <c r="U1620" t="s">
        <v>44043</v>
      </c>
      <c r="W1620" t="s">
        <v>37758</v>
      </c>
      <c r="X1620" t="s">
        <v>40439</v>
      </c>
    </row>
    <row r="1621" spans="1:24">
      <c r="A1621">
        <f>HYPERLINK("https://www.philgeps.gov.ph/GEPSNONPILOT/Tender/SplashBidNoticeAbstractUI.aspx?menuIndex=3&amp;refID=7048889&amp;Result=3","7048889")</f>
        <v>0</v>
      </c>
      <c r="B1621" t="s">
        <v>756</v>
      </c>
      <c r="C1621" t="s">
        <v>4653</v>
      </c>
      <c r="D1621" t="s">
        <v>16218</v>
      </c>
      <c r="E1621" t="s">
        <v>17789</v>
      </c>
      <c r="F1621" t="s">
        <v>28198</v>
      </c>
      <c r="G1621" t="s">
        <v>28205</v>
      </c>
      <c r="H1621" t="s">
        <v>28215</v>
      </c>
      <c r="I1621" t="s">
        <v>28222</v>
      </c>
      <c r="J1621" t="s">
        <v>29482</v>
      </c>
      <c r="K1621" t="s">
        <v>36694</v>
      </c>
      <c r="M1621" t="s">
        <v>37759</v>
      </c>
      <c r="N1621" t="s">
        <v>40436</v>
      </c>
      <c r="O1621" t="s">
        <v>40437</v>
      </c>
      <c r="P1621">
        <v>0</v>
      </c>
      <c r="Q1621">
        <v>5</v>
      </c>
      <c r="R1621" t="s">
        <v>40438</v>
      </c>
      <c r="S1621" t="s">
        <v>40582</v>
      </c>
      <c r="T1621" t="s">
        <v>42108</v>
      </c>
      <c r="U1621" t="s">
        <v>44044</v>
      </c>
      <c r="W1621" t="s">
        <v>37759</v>
      </c>
      <c r="X1621" t="s">
        <v>40439</v>
      </c>
    </row>
    <row r="1622" spans="1:24">
      <c r="A1622">
        <f>HYPERLINK("https://www.philgeps.gov.ph/GEPSNONPILOT/Tender/SplashBidNoticeAbstractUI.aspx?menuIndex=3&amp;refID=7048903&amp;Result=3","7048903")</f>
        <v>0</v>
      </c>
      <c r="B1622" t="s">
        <v>746</v>
      </c>
      <c r="C1622" t="s">
        <v>4633</v>
      </c>
      <c r="D1622" t="s">
        <v>16209</v>
      </c>
      <c r="E1622" t="s">
        <v>17790</v>
      </c>
      <c r="F1622" t="s">
        <v>28198</v>
      </c>
      <c r="G1622" t="s">
        <v>28207</v>
      </c>
      <c r="H1622" t="s">
        <v>28215</v>
      </c>
      <c r="I1622" t="s">
        <v>3422</v>
      </c>
      <c r="J1622" t="s">
        <v>29483</v>
      </c>
      <c r="K1622" t="s">
        <v>36688</v>
      </c>
      <c r="M1622" t="s">
        <v>37749</v>
      </c>
      <c r="N1622" t="s">
        <v>40436</v>
      </c>
      <c r="O1622" t="s">
        <v>40437</v>
      </c>
      <c r="P1622">
        <v>0</v>
      </c>
      <c r="Q1622">
        <v>0</v>
      </c>
      <c r="R1622" t="s">
        <v>40438</v>
      </c>
      <c r="S1622" t="s">
        <v>40582</v>
      </c>
      <c r="T1622" t="s">
        <v>42283</v>
      </c>
      <c r="U1622" t="s">
        <v>44045</v>
      </c>
      <c r="W1622" t="s">
        <v>37749</v>
      </c>
      <c r="X1622" t="s">
        <v>40439</v>
      </c>
    </row>
    <row r="1623" spans="1:24">
      <c r="A1623">
        <f>HYPERLINK("https://www.philgeps.gov.ph/GEPSNONPILOT/Tender/SplashBidNoticeAbstractUI.aspx?menuIndex=3&amp;refID=7048914&amp;Result=3","7048914")</f>
        <v>0</v>
      </c>
      <c r="B1623" t="s">
        <v>757</v>
      </c>
      <c r="C1623" t="s">
        <v>4654</v>
      </c>
      <c r="E1623" t="s">
        <v>17791</v>
      </c>
      <c r="F1623" t="s">
        <v>28198</v>
      </c>
      <c r="G1623" t="s">
        <v>28209</v>
      </c>
      <c r="H1623" t="s">
        <v>28215</v>
      </c>
      <c r="I1623" t="s">
        <v>28222</v>
      </c>
      <c r="J1623" t="s">
        <v>28561</v>
      </c>
      <c r="K1623" t="s">
        <v>36689</v>
      </c>
      <c r="M1623" t="s">
        <v>37760</v>
      </c>
      <c r="N1623" t="s">
        <v>40436</v>
      </c>
      <c r="O1623" t="s">
        <v>40437</v>
      </c>
      <c r="P1623">
        <v>0</v>
      </c>
      <c r="Q1623">
        <v>1</v>
      </c>
      <c r="R1623" t="s">
        <v>40438</v>
      </c>
      <c r="S1623" t="s">
        <v>40582</v>
      </c>
      <c r="T1623" t="s">
        <v>42132</v>
      </c>
      <c r="U1623" t="s">
        <v>44046</v>
      </c>
      <c r="W1623" t="s">
        <v>55460</v>
      </c>
      <c r="X1623" t="s">
        <v>40439</v>
      </c>
    </row>
    <row r="1624" spans="1:24">
      <c r="A1624">
        <f>HYPERLINK("https://www.philgeps.gov.ph/GEPSNONPILOT/Tender/SplashBidNoticeAbstractUI.aspx?menuIndex=3&amp;refID=7048901&amp;Result=3","7048901")</f>
        <v>0</v>
      </c>
      <c r="B1624" t="s">
        <v>44</v>
      </c>
      <c r="C1624" t="s">
        <v>4655</v>
      </c>
      <c r="D1624" t="s">
        <v>16200</v>
      </c>
      <c r="E1624" t="s">
        <v>17792</v>
      </c>
      <c r="F1624" t="s">
        <v>28198</v>
      </c>
      <c r="G1624" t="s">
        <v>28207</v>
      </c>
      <c r="H1624" t="s">
        <v>28215</v>
      </c>
      <c r="I1624" t="s">
        <v>28279</v>
      </c>
      <c r="J1624" t="s">
        <v>28345</v>
      </c>
      <c r="K1624" t="s">
        <v>36701</v>
      </c>
      <c r="M1624" t="s">
        <v>37014</v>
      </c>
      <c r="N1624" t="s">
        <v>40436</v>
      </c>
      <c r="O1624" t="s">
        <v>40437</v>
      </c>
      <c r="P1624">
        <v>0</v>
      </c>
      <c r="Q1624">
        <v>3</v>
      </c>
      <c r="R1624" t="s">
        <v>40438</v>
      </c>
      <c r="S1624" t="s">
        <v>40582</v>
      </c>
      <c r="T1624" t="s">
        <v>42133</v>
      </c>
      <c r="U1624" t="s">
        <v>44047</v>
      </c>
      <c r="W1624" t="s">
        <v>37014</v>
      </c>
      <c r="X1624" t="s">
        <v>40439</v>
      </c>
    </row>
    <row r="1625" spans="1:24">
      <c r="A1625">
        <f>HYPERLINK("https://www.philgeps.gov.ph/GEPSNONPILOT/Tender/SplashBidNoticeAbstractUI.aspx?menuIndex=3&amp;refID=7048913&amp;Result=3","7048913")</f>
        <v>0</v>
      </c>
      <c r="B1625" t="s">
        <v>740</v>
      </c>
      <c r="C1625" t="s">
        <v>4656</v>
      </c>
      <c r="D1625" t="s">
        <v>16189</v>
      </c>
      <c r="E1625" t="s">
        <v>17793</v>
      </c>
      <c r="F1625" t="s">
        <v>28198</v>
      </c>
      <c r="G1625" t="s">
        <v>28205</v>
      </c>
      <c r="H1625" t="s">
        <v>28215</v>
      </c>
      <c r="I1625" t="s">
        <v>28274</v>
      </c>
      <c r="J1625" t="s">
        <v>29484</v>
      </c>
      <c r="K1625" t="s">
        <v>36715</v>
      </c>
      <c r="M1625" t="s">
        <v>37743</v>
      </c>
      <c r="N1625" t="s">
        <v>40436</v>
      </c>
      <c r="O1625" t="s">
        <v>40437</v>
      </c>
      <c r="P1625">
        <v>0</v>
      </c>
      <c r="Q1625">
        <v>1</v>
      </c>
      <c r="R1625" t="s">
        <v>40438</v>
      </c>
      <c r="S1625" t="s">
        <v>40582</v>
      </c>
      <c r="T1625" t="s">
        <v>42246</v>
      </c>
      <c r="U1625" t="s">
        <v>44048</v>
      </c>
      <c r="W1625" t="s">
        <v>55458</v>
      </c>
      <c r="X1625" t="s">
        <v>40439</v>
      </c>
    </row>
    <row r="1626" spans="1:24">
      <c r="A1626">
        <f>HYPERLINK("https://www.philgeps.gov.ph/GEPSNONPILOT/Tender/SplashBidNoticeAbstractUI.aspx?menuIndex=3&amp;refID=7048915&amp;Result=3","7048915")</f>
        <v>0</v>
      </c>
      <c r="B1626" t="s">
        <v>320</v>
      </c>
      <c r="C1626" t="s">
        <v>4657</v>
      </c>
      <c r="D1626" t="s">
        <v>16199</v>
      </c>
      <c r="E1626" t="s">
        <v>16901</v>
      </c>
      <c r="F1626" t="s">
        <v>28198</v>
      </c>
      <c r="G1626" t="s">
        <v>28207</v>
      </c>
      <c r="H1626" t="s">
        <v>28216</v>
      </c>
      <c r="I1626" t="s">
        <v>28274</v>
      </c>
      <c r="J1626" t="s">
        <v>29485</v>
      </c>
      <c r="K1626" t="s">
        <v>36689</v>
      </c>
      <c r="M1626" t="s">
        <v>37298</v>
      </c>
      <c r="N1626" t="s">
        <v>40436</v>
      </c>
      <c r="O1626" t="s">
        <v>40437</v>
      </c>
      <c r="P1626">
        <v>0</v>
      </c>
      <c r="Q1626">
        <v>0</v>
      </c>
      <c r="R1626" t="s">
        <v>40438</v>
      </c>
      <c r="S1626" t="s">
        <v>40582</v>
      </c>
      <c r="T1626" t="s">
        <v>42103</v>
      </c>
      <c r="U1626" t="s">
        <v>44049</v>
      </c>
      <c r="W1626" t="s">
        <v>37298</v>
      </c>
      <c r="X1626" t="s">
        <v>40439</v>
      </c>
    </row>
    <row r="1627" spans="1:24">
      <c r="A1627">
        <f>HYPERLINK("https://www.philgeps.gov.ph/GEPSNONPILOT/Tender/SplashBidNoticeAbstractUI.aspx?menuIndex=3&amp;refID=7048910&amp;Result=3","7048910")</f>
        <v>0</v>
      </c>
      <c r="B1627" t="s">
        <v>468</v>
      </c>
      <c r="C1627" t="s">
        <v>4658</v>
      </c>
      <c r="D1627" t="s">
        <v>16189</v>
      </c>
      <c r="E1627" t="s">
        <v>17794</v>
      </c>
      <c r="F1627" t="s">
        <v>28198</v>
      </c>
      <c r="G1627" t="s">
        <v>28207</v>
      </c>
      <c r="H1627" t="s">
        <v>28215</v>
      </c>
      <c r="I1627" t="s">
        <v>28247</v>
      </c>
      <c r="J1627" t="s">
        <v>28361</v>
      </c>
      <c r="K1627" t="s">
        <v>36688</v>
      </c>
      <c r="M1627" t="s">
        <v>37453</v>
      </c>
      <c r="N1627" t="s">
        <v>40436</v>
      </c>
      <c r="O1627" t="s">
        <v>40437</v>
      </c>
      <c r="P1627">
        <v>0</v>
      </c>
      <c r="Q1627">
        <v>5</v>
      </c>
      <c r="R1627" t="s">
        <v>40438</v>
      </c>
      <c r="S1627" t="s">
        <v>40582</v>
      </c>
      <c r="T1627" t="s">
        <v>42119</v>
      </c>
      <c r="U1627" t="s">
        <v>44050</v>
      </c>
      <c r="W1627" t="s">
        <v>37453</v>
      </c>
      <c r="X1627" t="s">
        <v>40439</v>
      </c>
    </row>
    <row r="1628" spans="1:24">
      <c r="A1628">
        <f>HYPERLINK("https://www.philgeps.gov.ph/GEPSNONPILOT/Tender/SplashBidNoticeAbstractUI.aspx?menuIndex=3&amp;refID=7048900&amp;Result=3","7048900")</f>
        <v>0</v>
      </c>
      <c r="B1628" t="s">
        <v>758</v>
      </c>
      <c r="C1628" t="s">
        <v>4659</v>
      </c>
      <c r="D1628" t="s">
        <v>16190</v>
      </c>
      <c r="E1628" t="s">
        <v>17795</v>
      </c>
      <c r="F1628" t="s">
        <v>28198</v>
      </c>
      <c r="G1628" t="s">
        <v>28206</v>
      </c>
      <c r="H1628" t="s">
        <v>28215</v>
      </c>
      <c r="I1628" t="s">
        <v>28225</v>
      </c>
      <c r="J1628" t="s">
        <v>29486</v>
      </c>
      <c r="K1628" t="s">
        <v>36688</v>
      </c>
      <c r="M1628" t="s">
        <v>37761</v>
      </c>
      <c r="N1628" t="s">
        <v>40436</v>
      </c>
      <c r="O1628" t="s">
        <v>40437</v>
      </c>
      <c r="P1628">
        <v>0</v>
      </c>
      <c r="Q1628">
        <v>1</v>
      </c>
      <c r="R1628" t="s">
        <v>40438</v>
      </c>
      <c r="S1628" t="s">
        <v>40582</v>
      </c>
      <c r="T1628" t="s">
        <v>42158</v>
      </c>
      <c r="U1628" t="s">
        <v>44051</v>
      </c>
      <c r="W1628" t="s">
        <v>37761</v>
      </c>
      <c r="X1628" t="s">
        <v>40439</v>
      </c>
    </row>
    <row r="1629" spans="1:24">
      <c r="A1629">
        <f>HYPERLINK("https://www.philgeps.gov.ph/GEPSNONPILOT/Tender/SplashBidNoticeAbstractUI.aspx?menuIndex=3&amp;refID=7048906&amp;Result=3","7048906")</f>
        <v>0</v>
      </c>
      <c r="B1629" t="s">
        <v>754</v>
      </c>
      <c r="C1629" t="s">
        <v>4660</v>
      </c>
      <c r="D1629" t="s">
        <v>16266</v>
      </c>
      <c r="E1629" t="s">
        <v>17796</v>
      </c>
      <c r="F1629" t="s">
        <v>28198</v>
      </c>
      <c r="G1629" t="s">
        <v>28207</v>
      </c>
      <c r="H1629" t="s">
        <v>28215</v>
      </c>
      <c r="I1629" t="s">
        <v>4168</v>
      </c>
      <c r="J1629" t="s">
        <v>28389</v>
      </c>
      <c r="K1629" t="s">
        <v>36707</v>
      </c>
      <c r="M1629" t="s">
        <v>37757</v>
      </c>
      <c r="N1629" t="s">
        <v>40436</v>
      </c>
      <c r="O1629" t="s">
        <v>40437</v>
      </c>
      <c r="P1629">
        <v>0</v>
      </c>
      <c r="Q1629">
        <v>0</v>
      </c>
      <c r="R1629" t="s">
        <v>40438</v>
      </c>
      <c r="S1629" t="s">
        <v>40582</v>
      </c>
      <c r="T1629" t="s">
        <v>42103</v>
      </c>
      <c r="U1629" t="s">
        <v>44052</v>
      </c>
      <c r="W1629" t="s">
        <v>37757</v>
      </c>
      <c r="X1629" t="s">
        <v>40439</v>
      </c>
    </row>
    <row r="1630" spans="1:24">
      <c r="A1630">
        <f>HYPERLINK("https://www.philgeps.gov.ph/GEPSNONPILOT/Tender/SplashBidNoticeAbstractUI.aspx?menuIndex=3&amp;refID=7048920&amp;Result=3","7048920")</f>
        <v>0</v>
      </c>
      <c r="B1630" t="s">
        <v>759</v>
      </c>
      <c r="C1630" t="s">
        <v>4661</v>
      </c>
      <c r="D1630" t="s">
        <v>16196</v>
      </c>
      <c r="E1630" t="s">
        <v>17797</v>
      </c>
      <c r="F1630" t="s">
        <v>28198</v>
      </c>
      <c r="G1630" t="s">
        <v>28207</v>
      </c>
      <c r="H1630" t="s">
        <v>28215</v>
      </c>
      <c r="I1630" t="s">
        <v>28257</v>
      </c>
      <c r="J1630" t="s">
        <v>28414</v>
      </c>
      <c r="K1630" t="s">
        <v>36689</v>
      </c>
      <c r="M1630" t="s">
        <v>37762</v>
      </c>
      <c r="N1630" t="s">
        <v>40436</v>
      </c>
      <c r="O1630" t="s">
        <v>40437</v>
      </c>
      <c r="P1630">
        <v>0</v>
      </c>
      <c r="Q1630">
        <v>0</v>
      </c>
      <c r="R1630" t="s">
        <v>40438</v>
      </c>
      <c r="S1630" t="s">
        <v>40582</v>
      </c>
      <c r="T1630" t="s">
        <v>42124</v>
      </c>
      <c r="U1630" t="s">
        <v>44053</v>
      </c>
      <c r="W1630" t="s">
        <v>37762</v>
      </c>
      <c r="X1630" t="s">
        <v>40439</v>
      </c>
    </row>
    <row r="1631" spans="1:24">
      <c r="A1631">
        <f>HYPERLINK("https://www.philgeps.gov.ph/GEPSNONPILOT/Tender/SplashBidNoticeAbstractUI.aspx?menuIndex=3&amp;refID=7048904&amp;Result=3","7048904")</f>
        <v>0</v>
      </c>
      <c r="B1631" t="s">
        <v>588</v>
      </c>
      <c r="C1631" t="s">
        <v>4662</v>
      </c>
      <c r="D1631" t="s">
        <v>16197</v>
      </c>
      <c r="E1631" t="s">
        <v>17543</v>
      </c>
      <c r="F1631" t="s">
        <v>28198</v>
      </c>
      <c r="G1631" t="s">
        <v>28205</v>
      </c>
      <c r="H1631" t="s">
        <v>28215</v>
      </c>
      <c r="I1631" t="s">
        <v>28237</v>
      </c>
      <c r="J1631" t="s">
        <v>28884</v>
      </c>
      <c r="K1631" t="s">
        <v>36706</v>
      </c>
      <c r="M1631" t="s">
        <v>37577</v>
      </c>
      <c r="N1631" t="s">
        <v>40436</v>
      </c>
      <c r="O1631" t="s">
        <v>40437</v>
      </c>
      <c r="P1631">
        <v>0</v>
      </c>
      <c r="Q1631">
        <v>0</v>
      </c>
      <c r="R1631" t="s">
        <v>40438</v>
      </c>
      <c r="S1631" t="s">
        <v>40582</v>
      </c>
      <c r="T1631" t="s">
        <v>42213</v>
      </c>
      <c r="U1631" t="s">
        <v>44054</v>
      </c>
      <c r="W1631" t="s">
        <v>37577</v>
      </c>
      <c r="X1631" t="s">
        <v>40439</v>
      </c>
    </row>
    <row r="1632" spans="1:24">
      <c r="A1632">
        <f>HYPERLINK("https://www.philgeps.gov.ph/GEPSNONPILOT/Tender/SplashBidNoticeAbstractUI.aspx?menuIndex=3&amp;refID=7048905&amp;Result=3","7048905")</f>
        <v>0</v>
      </c>
      <c r="B1632" t="s">
        <v>710</v>
      </c>
      <c r="C1632" t="s">
        <v>4663</v>
      </c>
      <c r="D1632" t="s">
        <v>16199</v>
      </c>
      <c r="E1632" t="s">
        <v>17798</v>
      </c>
      <c r="F1632" t="s">
        <v>28198</v>
      </c>
      <c r="G1632" t="s">
        <v>28207</v>
      </c>
      <c r="H1632" t="s">
        <v>28215</v>
      </c>
      <c r="I1632" t="s">
        <v>5100</v>
      </c>
      <c r="J1632" t="s">
        <v>29487</v>
      </c>
      <c r="K1632" t="s">
        <v>36691</v>
      </c>
      <c r="M1632" t="s">
        <v>37710</v>
      </c>
      <c r="N1632" t="s">
        <v>40436</v>
      </c>
      <c r="O1632" t="s">
        <v>40437</v>
      </c>
      <c r="P1632">
        <v>0</v>
      </c>
      <c r="Q1632">
        <v>0</v>
      </c>
      <c r="R1632" t="s">
        <v>40438</v>
      </c>
      <c r="S1632" t="s">
        <v>40582</v>
      </c>
      <c r="T1632" t="s">
        <v>42146</v>
      </c>
      <c r="U1632" t="s">
        <v>44055</v>
      </c>
      <c r="W1632" t="s">
        <v>37710</v>
      </c>
      <c r="X1632" t="s">
        <v>40439</v>
      </c>
    </row>
    <row r="1633" spans="1:24">
      <c r="A1633">
        <f>HYPERLINK("https://www.philgeps.gov.ph/GEPSNONPILOT/Tender/SplashBidNoticeAbstractUI.aspx?menuIndex=3&amp;refID=7048927&amp;Result=3","7048927")</f>
        <v>0</v>
      </c>
      <c r="B1633" t="s">
        <v>760</v>
      </c>
      <c r="C1633" t="s">
        <v>4664</v>
      </c>
      <c r="D1633" t="s">
        <v>16236</v>
      </c>
      <c r="E1633" t="s">
        <v>17799</v>
      </c>
      <c r="F1633" t="s">
        <v>28198</v>
      </c>
      <c r="G1633" t="s">
        <v>28207</v>
      </c>
      <c r="H1633" t="s">
        <v>28215</v>
      </c>
      <c r="I1633" t="s">
        <v>8888</v>
      </c>
      <c r="J1633" t="s">
        <v>29488</v>
      </c>
      <c r="K1633" t="s">
        <v>36706</v>
      </c>
      <c r="M1633" t="s">
        <v>37763</v>
      </c>
      <c r="N1633" t="s">
        <v>40436</v>
      </c>
      <c r="O1633" t="s">
        <v>40437</v>
      </c>
      <c r="P1633">
        <v>0</v>
      </c>
      <c r="Q1633">
        <v>1</v>
      </c>
      <c r="R1633" t="s">
        <v>40438</v>
      </c>
      <c r="S1633" t="s">
        <v>40582</v>
      </c>
      <c r="T1633" t="s">
        <v>42103</v>
      </c>
      <c r="U1633" t="s">
        <v>43119</v>
      </c>
      <c r="V1633" t="s">
        <v>53966</v>
      </c>
      <c r="W1633" t="s">
        <v>37763</v>
      </c>
      <c r="X1633" t="s">
        <v>40439</v>
      </c>
    </row>
    <row r="1634" spans="1:24">
      <c r="A1634">
        <f>HYPERLINK("https://www.philgeps.gov.ph/GEPSNONPILOT/Tender/SplashBidNoticeAbstractUI.aspx?menuIndex=3&amp;refID=7048919&amp;Result=3","7048919")</f>
        <v>0</v>
      </c>
      <c r="B1634" t="s">
        <v>664</v>
      </c>
      <c r="C1634" t="s">
        <v>4665</v>
      </c>
      <c r="D1634" t="s">
        <v>16260</v>
      </c>
      <c r="E1634" t="s">
        <v>17800</v>
      </c>
      <c r="F1634" t="s">
        <v>28198</v>
      </c>
      <c r="G1634" t="s">
        <v>28207</v>
      </c>
      <c r="H1634" t="s">
        <v>28215</v>
      </c>
      <c r="I1634" t="s">
        <v>4321</v>
      </c>
      <c r="J1634" t="s">
        <v>29489</v>
      </c>
      <c r="K1634" t="s">
        <v>36688</v>
      </c>
      <c r="M1634" t="s">
        <v>37660</v>
      </c>
      <c r="N1634" t="s">
        <v>40436</v>
      </c>
      <c r="O1634" t="s">
        <v>40437</v>
      </c>
      <c r="P1634">
        <v>0</v>
      </c>
      <c r="Q1634">
        <v>4</v>
      </c>
      <c r="R1634" t="s">
        <v>40438</v>
      </c>
      <c r="S1634" t="s">
        <v>40582</v>
      </c>
      <c r="T1634" t="s">
        <v>42129</v>
      </c>
      <c r="U1634" t="s">
        <v>42746</v>
      </c>
      <c r="W1634" t="s">
        <v>37660</v>
      </c>
      <c r="X1634" t="s">
        <v>40439</v>
      </c>
    </row>
    <row r="1635" spans="1:24">
      <c r="A1635">
        <f>HYPERLINK("https://www.philgeps.gov.ph/GEPSNONPILOT/Tender/SplashBidNoticeAbstractUI.aspx?menuIndex=3&amp;refID=7048912&amp;Result=3","7048912")</f>
        <v>0</v>
      </c>
      <c r="B1635" t="s">
        <v>735</v>
      </c>
      <c r="C1635" t="s">
        <v>4666</v>
      </c>
      <c r="D1635" t="s">
        <v>16227</v>
      </c>
      <c r="E1635" t="s">
        <v>17801</v>
      </c>
      <c r="F1635" t="s">
        <v>28198</v>
      </c>
      <c r="G1635" t="s">
        <v>28206</v>
      </c>
      <c r="H1635" t="s">
        <v>28215</v>
      </c>
      <c r="I1635" t="s">
        <v>28225</v>
      </c>
      <c r="J1635" t="s">
        <v>29490</v>
      </c>
      <c r="K1635" t="s">
        <v>36698</v>
      </c>
      <c r="M1635" t="s">
        <v>37738</v>
      </c>
      <c r="N1635" t="s">
        <v>40436</v>
      </c>
      <c r="O1635" t="s">
        <v>40437</v>
      </c>
      <c r="P1635">
        <v>0</v>
      </c>
      <c r="Q1635">
        <v>0</v>
      </c>
      <c r="R1635" t="s">
        <v>40438</v>
      </c>
      <c r="S1635" t="s">
        <v>40582</v>
      </c>
      <c r="T1635" t="s">
        <v>42158</v>
      </c>
      <c r="U1635" t="s">
        <v>44056</v>
      </c>
      <c r="W1635" t="s">
        <v>37738</v>
      </c>
      <c r="X1635" t="s">
        <v>40439</v>
      </c>
    </row>
    <row r="1636" spans="1:24">
      <c r="A1636">
        <f>HYPERLINK("https://www.philgeps.gov.ph/GEPSNONPILOT/Tender/SplashBidNoticeAbstractUI.aspx?menuIndex=3&amp;refID=7048926&amp;Result=3","7048926")</f>
        <v>0</v>
      </c>
      <c r="B1636" t="s">
        <v>761</v>
      </c>
      <c r="C1636" t="s">
        <v>4667</v>
      </c>
      <c r="D1636" t="s">
        <v>16208</v>
      </c>
      <c r="E1636" t="s">
        <v>17802</v>
      </c>
      <c r="F1636" t="s">
        <v>28198</v>
      </c>
      <c r="G1636" t="s">
        <v>28210</v>
      </c>
      <c r="H1636" t="s">
        <v>28215</v>
      </c>
      <c r="I1636" t="s">
        <v>4219</v>
      </c>
      <c r="J1636" t="s">
        <v>29250</v>
      </c>
      <c r="K1636" t="s">
        <v>36689</v>
      </c>
      <c r="M1636" t="s">
        <v>37764</v>
      </c>
      <c r="N1636" t="s">
        <v>40436</v>
      </c>
      <c r="O1636" t="s">
        <v>40437</v>
      </c>
      <c r="P1636">
        <v>0</v>
      </c>
      <c r="Q1636">
        <v>2</v>
      </c>
      <c r="R1636" t="s">
        <v>40438</v>
      </c>
      <c r="S1636" t="s">
        <v>40582</v>
      </c>
      <c r="T1636" t="s">
        <v>42146</v>
      </c>
      <c r="U1636" t="s">
        <v>44057</v>
      </c>
      <c r="W1636" t="s">
        <v>37764</v>
      </c>
      <c r="X1636" t="s">
        <v>40439</v>
      </c>
    </row>
    <row r="1637" spans="1:24">
      <c r="A1637">
        <f>HYPERLINK("https://www.philgeps.gov.ph/GEPSNONPILOT/Tender/SplashBidNoticeAbstractUI.aspx?menuIndex=3&amp;refID=7048922&amp;Result=3","7048922")</f>
        <v>0</v>
      </c>
      <c r="B1637" t="s">
        <v>752</v>
      </c>
      <c r="C1637" t="s">
        <v>4668</v>
      </c>
      <c r="D1637" t="s">
        <v>16216</v>
      </c>
      <c r="E1637" t="s">
        <v>17803</v>
      </c>
      <c r="F1637" t="s">
        <v>28198</v>
      </c>
      <c r="G1637" t="s">
        <v>28205</v>
      </c>
      <c r="H1637" t="s">
        <v>28215</v>
      </c>
      <c r="I1637" t="s">
        <v>5100</v>
      </c>
      <c r="J1637" t="s">
        <v>29491</v>
      </c>
      <c r="K1637" t="s">
        <v>36706</v>
      </c>
      <c r="M1637" t="s">
        <v>37755</v>
      </c>
      <c r="N1637" t="s">
        <v>40436</v>
      </c>
      <c r="O1637" t="s">
        <v>40437</v>
      </c>
      <c r="P1637">
        <v>0</v>
      </c>
      <c r="Q1637">
        <v>1</v>
      </c>
      <c r="R1637" t="s">
        <v>40438</v>
      </c>
      <c r="S1637" t="s">
        <v>40582</v>
      </c>
      <c r="T1637" t="s">
        <v>42099</v>
      </c>
      <c r="U1637" t="s">
        <v>44040</v>
      </c>
      <c r="W1637" t="s">
        <v>37755</v>
      </c>
      <c r="X1637" t="s">
        <v>40439</v>
      </c>
    </row>
    <row r="1638" spans="1:24">
      <c r="A1638">
        <f>HYPERLINK("https://www.philgeps.gov.ph/GEPSNONPILOT/Tender/SplashBidNoticeAbstractUI.aspx?menuIndex=3&amp;refID=7048917&amp;Result=3","7048917")</f>
        <v>0</v>
      </c>
      <c r="B1638" t="s">
        <v>762</v>
      </c>
      <c r="C1638" t="s">
        <v>4669</v>
      </c>
      <c r="D1638" t="s">
        <v>16252</v>
      </c>
      <c r="E1638" t="s">
        <v>17804</v>
      </c>
      <c r="F1638" t="s">
        <v>28198</v>
      </c>
      <c r="G1638" t="s">
        <v>28205</v>
      </c>
      <c r="H1638" t="s">
        <v>28215</v>
      </c>
      <c r="I1638" t="s">
        <v>28263</v>
      </c>
      <c r="J1638" t="s">
        <v>28373</v>
      </c>
      <c r="K1638" t="s">
        <v>36693</v>
      </c>
      <c r="M1638" t="s">
        <v>37765</v>
      </c>
      <c r="N1638" t="s">
        <v>40436</v>
      </c>
      <c r="O1638" t="s">
        <v>40437</v>
      </c>
      <c r="P1638">
        <v>0</v>
      </c>
      <c r="Q1638">
        <v>1</v>
      </c>
      <c r="R1638" t="s">
        <v>40438</v>
      </c>
      <c r="S1638" t="s">
        <v>40582</v>
      </c>
      <c r="T1638" t="s">
        <v>42112</v>
      </c>
      <c r="U1638" t="s">
        <v>44058</v>
      </c>
      <c r="W1638" t="s">
        <v>37765</v>
      </c>
      <c r="X1638" t="s">
        <v>40439</v>
      </c>
    </row>
    <row r="1639" spans="1:24">
      <c r="A1639">
        <f>HYPERLINK("https://www.philgeps.gov.ph/GEPSNONPILOT/Tender/SplashBidNoticeAbstractUI.aspx?menuIndex=3&amp;refID=7048925&amp;Result=3","7048925")</f>
        <v>0</v>
      </c>
      <c r="B1639" t="s">
        <v>753</v>
      </c>
      <c r="C1639" t="s">
        <v>4670</v>
      </c>
      <c r="D1639" t="s">
        <v>16235</v>
      </c>
      <c r="E1639" t="s">
        <v>17805</v>
      </c>
      <c r="F1639" t="s">
        <v>28198</v>
      </c>
      <c r="G1639" t="s">
        <v>28205</v>
      </c>
      <c r="H1639" t="s">
        <v>28214</v>
      </c>
      <c r="I1639" t="s">
        <v>3797</v>
      </c>
      <c r="J1639" t="s">
        <v>28415</v>
      </c>
      <c r="K1639" t="s">
        <v>36694</v>
      </c>
      <c r="M1639" t="s">
        <v>37756</v>
      </c>
      <c r="N1639" t="s">
        <v>40436</v>
      </c>
      <c r="O1639" t="s">
        <v>40437</v>
      </c>
      <c r="P1639">
        <v>0</v>
      </c>
      <c r="Q1639">
        <v>0</v>
      </c>
      <c r="R1639" t="s">
        <v>40438</v>
      </c>
      <c r="S1639" t="s">
        <v>40582</v>
      </c>
      <c r="T1639" t="s">
        <v>42179</v>
      </c>
      <c r="U1639" t="s">
        <v>44059</v>
      </c>
      <c r="V1639" t="s">
        <v>53957</v>
      </c>
      <c r="W1639" t="s">
        <v>37756</v>
      </c>
      <c r="X1639" t="s">
        <v>40439</v>
      </c>
    </row>
    <row r="1640" spans="1:24">
      <c r="A1640">
        <f>HYPERLINK("https://www.philgeps.gov.ph/GEPSNONPILOT/Tender/SplashBidNoticeAbstractUI.aspx?menuIndex=3&amp;refID=7048947&amp;Result=3","7048947")</f>
        <v>0</v>
      </c>
      <c r="B1640" t="s">
        <v>763</v>
      </c>
      <c r="C1640" t="s">
        <v>4671</v>
      </c>
      <c r="D1640" t="s">
        <v>16210</v>
      </c>
      <c r="E1640" t="s">
        <v>17806</v>
      </c>
      <c r="F1640" t="s">
        <v>28198</v>
      </c>
      <c r="G1640" t="s">
        <v>28207</v>
      </c>
      <c r="H1640" t="s">
        <v>28215</v>
      </c>
      <c r="I1640" t="s">
        <v>6051</v>
      </c>
      <c r="J1640" t="s">
        <v>29323</v>
      </c>
      <c r="K1640" t="s">
        <v>36689</v>
      </c>
      <c r="M1640" t="s">
        <v>37766</v>
      </c>
      <c r="N1640" t="s">
        <v>40436</v>
      </c>
      <c r="O1640" t="s">
        <v>40437</v>
      </c>
      <c r="P1640">
        <v>0</v>
      </c>
      <c r="Q1640">
        <v>1</v>
      </c>
      <c r="R1640" t="s">
        <v>40438</v>
      </c>
      <c r="S1640" t="s">
        <v>40582</v>
      </c>
      <c r="T1640" t="s">
        <v>42124</v>
      </c>
      <c r="U1640" t="s">
        <v>44060</v>
      </c>
      <c r="W1640" t="s">
        <v>37766</v>
      </c>
      <c r="X1640" t="s">
        <v>40439</v>
      </c>
    </row>
    <row r="1641" spans="1:24">
      <c r="A1641">
        <f>HYPERLINK("https://www.philgeps.gov.ph/GEPSNONPILOT/Tender/SplashBidNoticeAbstractUI.aspx?menuIndex=3&amp;refID=7048928&amp;Result=3","7048928")</f>
        <v>0</v>
      </c>
      <c r="B1641" t="s">
        <v>219</v>
      </c>
      <c r="C1641" t="s">
        <v>4672</v>
      </c>
      <c r="D1641" t="s">
        <v>16199</v>
      </c>
      <c r="E1641" t="s">
        <v>17807</v>
      </c>
      <c r="F1641" t="s">
        <v>28198</v>
      </c>
      <c r="G1641" t="s">
        <v>28206</v>
      </c>
      <c r="H1641" t="s">
        <v>28215</v>
      </c>
      <c r="I1641" t="s">
        <v>4219</v>
      </c>
      <c r="J1641" t="s">
        <v>28352</v>
      </c>
      <c r="K1641" t="s">
        <v>36688</v>
      </c>
      <c r="M1641" t="s">
        <v>37195</v>
      </c>
      <c r="N1641" t="s">
        <v>40436</v>
      </c>
      <c r="O1641" t="s">
        <v>40437</v>
      </c>
      <c r="P1641">
        <v>0</v>
      </c>
      <c r="Q1641">
        <v>0</v>
      </c>
      <c r="R1641" t="s">
        <v>40438</v>
      </c>
      <c r="S1641" t="s">
        <v>40582</v>
      </c>
      <c r="T1641" t="s">
        <v>42115</v>
      </c>
      <c r="U1641" t="s">
        <v>44061</v>
      </c>
      <c r="W1641" t="s">
        <v>37195</v>
      </c>
      <c r="X1641" t="s">
        <v>40439</v>
      </c>
    </row>
    <row r="1642" spans="1:24">
      <c r="A1642">
        <f>HYPERLINK("https://www.philgeps.gov.ph/GEPSNONPILOT/Tender/SplashBidNoticeAbstractUI.aspx?menuIndex=3&amp;refID=7048942&amp;Result=3","7048942")</f>
        <v>0</v>
      </c>
      <c r="B1642" t="s">
        <v>764</v>
      </c>
      <c r="C1642" t="s">
        <v>4673</v>
      </c>
      <c r="D1642" t="s">
        <v>16247</v>
      </c>
      <c r="E1642" t="s">
        <v>17808</v>
      </c>
      <c r="F1642" t="s">
        <v>28198</v>
      </c>
      <c r="G1642" t="s">
        <v>28207</v>
      </c>
      <c r="H1642" t="s">
        <v>28215</v>
      </c>
      <c r="I1642" t="s">
        <v>3774</v>
      </c>
      <c r="J1642" t="s">
        <v>29492</v>
      </c>
      <c r="K1642" t="s">
        <v>36701</v>
      </c>
      <c r="M1642" t="s">
        <v>37767</v>
      </c>
      <c r="N1642" t="s">
        <v>40436</v>
      </c>
      <c r="O1642" t="s">
        <v>40437</v>
      </c>
      <c r="P1642">
        <v>0</v>
      </c>
      <c r="Q1642">
        <v>1</v>
      </c>
      <c r="R1642" t="s">
        <v>40438</v>
      </c>
      <c r="S1642" t="s">
        <v>40582</v>
      </c>
      <c r="T1642" t="s">
        <v>42118</v>
      </c>
      <c r="U1642" t="s">
        <v>44062</v>
      </c>
      <c r="W1642" t="s">
        <v>37767</v>
      </c>
      <c r="X1642" t="s">
        <v>40439</v>
      </c>
    </row>
    <row r="1643" spans="1:24">
      <c r="A1643">
        <f>HYPERLINK("https://www.philgeps.gov.ph/GEPSNONPILOT/Tender/SplashBidNoticeAbstractUI.aspx?menuIndex=3&amp;refID=7048929&amp;Result=3","7048929")</f>
        <v>0</v>
      </c>
      <c r="B1643" t="s">
        <v>765</v>
      </c>
      <c r="C1643" t="s">
        <v>4674</v>
      </c>
      <c r="D1643" t="s">
        <v>16219</v>
      </c>
      <c r="E1643" t="s">
        <v>17809</v>
      </c>
      <c r="F1643" t="s">
        <v>28198</v>
      </c>
      <c r="G1643" t="s">
        <v>28210</v>
      </c>
      <c r="H1643" t="s">
        <v>28215</v>
      </c>
      <c r="I1643" t="s">
        <v>5100</v>
      </c>
      <c r="J1643" t="s">
        <v>29493</v>
      </c>
      <c r="K1643" t="s">
        <v>36688</v>
      </c>
      <c r="M1643" t="s">
        <v>37768</v>
      </c>
      <c r="N1643" t="s">
        <v>40436</v>
      </c>
      <c r="O1643" t="s">
        <v>40437</v>
      </c>
      <c r="P1643">
        <v>0</v>
      </c>
      <c r="Q1643">
        <v>0</v>
      </c>
      <c r="R1643" t="s">
        <v>40438</v>
      </c>
      <c r="S1643" t="s">
        <v>40582</v>
      </c>
      <c r="T1643" t="s">
        <v>42129</v>
      </c>
      <c r="U1643" t="s">
        <v>44063</v>
      </c>
      <c r="W1643" t="s">
        <v>37768</v>
      </c>
      <c r="X1643" t="s">
        <v>40439</v>
      </c>
    </row>
    <row r="1644" spans="1:24">
      <c r="A1644">
        <f>HYPERLINK("https://www.philgeps.gov.ph/GEPSNONPILOT/Tender/SplashBidNoticeAbstractUI.aspx?menuIndex=3&amp;refID=7048940&amp;Result=3","7048940")</f>
        <v>0</v>
      </c>
      <c r="B1644" t="s">
        <v>664</v>
      </c>
      <c r="C1644" t="s">
        <v>4675</v>
      </c>
      <c r="D1644" t="s">
        <v>16260</v>
      </c>
      <c r="E1644" t="s">
        <v>17810</v>
      </c>
      <c r="F1644" t="s">
        <v>28198</v>
      </c>
      <c r="G1644" t="s">
        <v>28207</v>
      </c>
      <c r="H1644" t="s">
        <v>28215</v>
      </c>
      <c r="I1644" t="s">
        <v>28227</v>
      </c>
      <c r="J1644" t="s">
        <v>29494</v>
      </c>
      <c r="K1644" t="s">
        <v>36688</v>
      </c>
      <c r="M1644" t="s">
        <v>37660</v>
      </c>
      <c r="N1644" t="s">
        <v>40436</v>
      </c>
      <c r="O1644" t="s">
        <v>40437</v>
      </c>
      <c r="P1644">
        <v>0</v>
      </c>
      <c r="Q1644">
        <v>5</v>
      </c>
      <c r="R1644" t="s">
        <v>40438</v>
      </c>
      <c r="S1644" t="s">
        <v>40582</v>
      </c>
      <c r="T1644" t="s">
        <v>42129</v>
      </c>
      <c r="U1644" t="s">
        <v>42746</v>
      </c>
      <c r="W1644" t="s">
        <v>37660</v>
      </c>
      <c r="X1644" t="s">
        <v>40439</v>
      </c>
    </row>
    <row r="1645" spans="1:24">
      <c r="A1645">
        <f>HYPERLINK("https://www.philgeps.gov.ph/GEPSNONPILOT/Tender/SplashBidNoticeAbstractUI.aspx?menuIndex=3&amp;refID=7048944&amp;Result=3","7048944")</f>
        <v>0</v>
      </c>
      <c r="B1645" t="s">
        <v>613</v>
      </c>
      <c r="C1645" t="s">
        <v>4676</v>
      </c>
      <c r="D1645" t="s">
        <v>16203</v>
      </c>
      <c r="E1645" t="s">
        <v>17685</v>
      </c>
      <c r="F1645" t="s">
        <v>28198</v>
      </c>
      <c r="G1645" t="s">
        <v>28205</v>
      </c>
      <c r="H1645" t="s">
        <v>28215</v>
      </c>
      <c r="I1645" t="s">
        <v>5100</v>
      </c>
      <c r="J1645" t="s">
        <v>29495</v>
      </c>
      <c r="K1645" t="s">
        <v>36707</v>
      </c>
      <c r="M1645" t="s">
        <v>37693</v>
      </c>
      <c r="N1645" t="s">
        <v>40436</v>
      </c>
      <c r="O1645" t="s">
        <v>40437</v>
      </c>
      <c r="P1645">
        <v>0</v>
      </c>
      <c r="Q1645">
        <v>0</v>
      </c>
      <c r="R1645" t="s">
        <v>40438</v>
      </c>
      <c r="S1645" t="s">
        <v>40582</v>
      </c>
      <c r="T1645" t="s">
        <v>42247</v>
      </c>
      <c r="U1645" t="s">
        <v>43885</v>
      </c>
      <c r="V1645" t="s">
        <v>53967</v>
      </c>
      <c r="W1645" t="s">
        <v>37693</v>
      </c>
      <c r="X1645" t="s">
        <v>40439</v>
      </c>
    </row>
    <row r="1646" spans="1:24">
      <c r="A1646">
        <f>HYPERLINK("https://www.philgeps.gov.ph/GEPSNONPILOT/Tender/SplashBidNoticeAbstractUI.aspx?menuIndex=3&amp;refID=7048934&amp;Result=3","7048934")</f>
        <v>0</v>
      </c>
      <c r="B1646" t="s">
        <v>766</v>
      </c>
      <c r="C1646" t="s">
        <v>4677</v>
      </c>
      <c r="D1646" t="s">
        <v>16219</v>
      </c>
      <c r="E1646" t="s">
        <v>17811</v>
      </c>
      <c r="F1646" t="s">
        <v>28198</v>
      </c>
      <c r="G1646" t="s">
        <v>28207</v>
      </c>
      <c r="H1646" t="s">
        <v>28215</v>
      </c>
      <c r="I1646" t="s">
        <v>3774</v>
      </c>
      <c r="J1646" t="s">
        <v>29496</v>
      </c>
      <c r="K1646" t="s">
        <v>36707</v>
      </c>
      <c r="M1646" t="s">
        <v>37769</v>
      </c>
      <c r="N1646" t="s">
        <v>40436</v>
      </c>
      <c r="O1646" t="s">
        <v>40437</v>
      </c>
      <c r="P1646">
        <v>0</v>
      </c>
      <c r="Q1646">
        <v>0</v>
      </c>
      <c r="R1646" t="s">
        <v>40438</v>
      </c>
      <c r="S1646" t="s">
        <v>40582</v>
      </c>
      <c r="T1646" t="s">
        <v>42115</v>
      </c>
      <c r="U1646" t="s">
        <v>44064</v>
      </c>
      <c r="W1646" t="s">
        <v>37769</v>
      </c>
      <c r="X1646" t="s">
        <v>40439</v>
      </c>
    </row>
    <row r="1647" spans="1:24">
      <c r="A1647">
        <f>HYPERLINK("https://www.philgeps.gov.ph/GEPSNONPILOT/Tender/SplashBidNoticeAbstractUI.aspx?menuIndex=3&amp;refID=7048932&amp;Result=3","7048932")</f>
        <v>0</v>
      </c>
      <c r="B1647" t="s">
        <v>710</v>
      </c>
      <c r="C1647" t="s">
        <v>4678</v>
      </c>
      <c r="D1647" t="s">
        <v>16199</v>
      </c>
      <c r="E1647" t="s">
        <v>17812</v>
      </c>
      <c r="F1647" t="s">
        <v>28198</v>
      </c>
      <c r="G1647" t="s">
        <v>28207</v>
      </c>
      <c r="H1647" t="s">
        <v>28215</v>
      </c>
      <c r="I1647" t="s">
        <v>3774</v>
      </c>
      <c r="J1647" t="s">
        <v>29497</v>
      </c>
      <c r="K1647" t="s">
        <v>36691</v>
      </c>
      <c r="M1647" t="s">
        <v>37710</v>
      </c>
      <c r="N1647" t="s">
        <v>40436</v>
      </c>
      <c r="O1647" t="s">
        <v>40437</v>
      </c>
      <c r="P1647">
        <v>0</v>
      </c>
      <c r="Q1647">
        <v>1</v>
      </c>
      <c r="R1647" t="s">
        <v>40438</v>
      </c>
      <c r="S1647" t="s">
        <v>40582</v>
      </c>
      <c r="T1647" t="s">
        <v>42146</v>
      </c>
      <c r="U1647" t="s">
        <v>44065</v>
      </c>
      <c r="W1647" t="s">
        <v>37710</v>
      </c>
      <c r="X1647" t="s">
        <v>40439</v>
      </c>
    </row>
    <row r="1648" spans="1:24">
      <c r="A1648">
        <f>HYPERLINK("https://www.philgeps.gov.ph/GEPSNONPILOT/Tender/SplashBidNoticeAbstractUI.aspx?menuIndex=3&amp;refID=7048939&amp;Result=3","7048939")</f>
        <v>0</v>
      </c>
      <c r="B1648" t="s">
        <v>767</v>
      </c>
      <c r="C1648" t="s">
        <v>4679</v>
      </c>
      <c r="E1648" t="s">
        <v>17813</v>
      </c>
      <c r="F1648" t="s">
        <v>28198</v>
      </c>
      <c r="G1648" t="s">
        <v>28207</v>
      </c>
      <c r="H1648" t="s">
        <v>28215</v>
      </c>
      <c r="I1648" t="s">
        <v>5100</v>
      </c>
      <c r="J1648" t="s">
        <v>29498</v>
      </c>
      <c r="K1648" t="s">
        <v>36689</v>
      </c>
      <c r="M1648" t="s">
        <v>37770</v>
      </c>
      <c r="N1648" t="s">
        <v>40436</v>
      </c>
      <c r="O1648" t="s">
        <v>40437</v>
      </c>
      <c r="P1648">
        <v>0</v>
      </c>
      <c r="Q1648">
        <v>0</v>
      </c>
      <c r="R1648" t="s">
        <v>40438</v>
      </c>
      <c r="S1648" t="s">
        <v>40582</v>
      </c>
      <c r="T1648" t="s">
        <v>42111</v>
      </c>
      <c r="U1648" t="s">
        <v>44066</v>
      </c>
      <c r="W1648" t="s">
        <v>37770</v>
      </c>
      <c r="X1648" t="s">
        <v>40439</v>
      </c>
    </row>
    <row r="1649" spans="1:24">
      <c r="A1649">
        <f>HYPERLINK("https://www.philgeps.gov.ph/GEPSNONPILOT/Tender/SplashBidNoticeAbstractUI.aspx?menuIndex=3&amp;refID=7048931&amp;Result=3","7048931")</f>
        <v>0</v>
      </c>
      <c r="B1649" t="s">
        <v>767</v>
      </c>
      <c r="C1649" t="s">
        <v>4679</v>
      </c>
      <c r="E1649" t="s">
        <v>17814</v>
      </c>
      <c r="F1649" t="s">
        <v>28198</v>
      </c>
      <c r="G1649" t="s">
        <v>28207</v>
      </c>
      <c r="H1649" t="s">
        <v>28215</v>
      </c>
      <c r="I1649" t="s">
        <v>5100</v>
      </c>
      <c r="J1649" t="s">
        <v>29499</v>
      </c>
      <c r="K1649" t="s">
        <v>36689</v>
      </c>
      <c r="M1649" t="s">
        <v>37770</v>
      </c>
      <c r="N1649" t="s">
        <v>40436</v>
      </c>
      <c r="O1649" t="s">
        <v>40437</v>
      </c>
      <c r="P1649">
        <v>0</v>
      </c>
      <c r="Q1649">
        <v>0</v>
      </c>
      <c r="R1649" t="s">
        <v>40438</v>
      </c>
      <c r="S1649" t="s">
        <v>40582</v>
      </c>
      <c r="T1649" t="s">
        <v>42111</v>
      </c>
      <c r="U1649" t="s">
        <v>44067</v>
      </c>
      <c r="W1649" t="s">
        <v>37770</v>
      </c>
      <c r="X1649" t="s">
        <v>40439</v>
      </c>
    </row>
    <row r="1650" spans="1:24">
      <c r="A1650">
        <f>HYPERLINK("https://www.philgeps.gov.ph/GEPSNONPILOT/Tender/SplashBidNoticeAbstractUI.aspx?menuIndex=3&amp;refID=7048948&amp;Result=3","7048948")</f>
        <v>0</v>
      </c>
      <c r="B1650" t="s">
        <v>767</v>
      </c>
      <c r="C1650" t="s">
        <v>4680</v>
      </c>
      <c r="E1650" t="s">
        <v>17815</v>
      </c>
      <c r="F1650" t="s">
        <v>28198</v>
      </c>
      <c r="G1650" t="s">
        <v>28207</v>
      </c>
      <c r="H1650" t="s">
        <v>28215</v>
      </c>
      <c r="I1650" t="s">
        <v>28234</v>
      </c>
      <c r="J1650" t="s">
        <v>28597</v>
      </c>
      <c r="K1650" t="s">
        <v>36689</v>
      </c>
      <c r="M1650" t="s">
        <v>37770</v>
      </c>
      <c r="N1650" t="s">
        <v>40436</v>
      </c>
      <c r="O1650" t="s">
        <v>40437</v>
      </c>
      <c r="P1650">
        <v>0</v>
      </c>
      <c r="Q1650">
        <v>2</v>
      </c>
      <c r="R1650" t="s">
        <v>40438</v>
      </c>
      <c r="S1650" t="s">
        <v>40582</v>
      </c>
      <c r="T1650" t="s">
        <v>42111</v>
      </c>
      <c r="U1650" t="s">
        <v>44068</v>
      </c>
      <c r="W1650" t="s">
        <v>37770</v>
      </c>
      <c r="X1650" t="s">
        <v>40439</v>
      </c>
    </row>
    <row r="1651" spans="1:24">
      <c r="A1651">
        <f>HYPERLINK("https://www.philgeps.gov.ph/GEPSNONPILOT/Tender/SplashBidNoticeAbstractUI.aspx?menuIndex=3&amp;refID=7048935&amp;Result=3","7048935")</f>
        <v>0</v>
      </c>
      <c r="B1651" t="s">
        <v>52</v>
      </c>
      <c r="C1651" t="s">
        <v>4681</v>
      </c>
      <c r="E1651" t="s">
        <v>17816</v>
      </c>
      <c r="F1651" t="s">
        <v>28198</v>
      </c>
      <c r="G1651" t="s">
        <v>28207</v>
      </c>
      <c r="H1651" t="s">
        <v>28215</v>
      </c>
      <c r="I1651" t="s">
        <v>28247</v>
      </c>
      <c r="J1651" t="s">
        <v>29500</v>
      </c>
      <c r="K1651" t="s">
        <v>36701</v>
      </c>
      <c r="M1651" t="s">
        <v>37589</v>
      </c>
      <c r="N1651" t="s">
        <v>40436</v>
      </c>
      <c r="O1651" t="s">
        <v>40437</v>
      </c>
      <c r="P1651">
        <v>0</v>
      </c>
      <c r="Q1651">
        <v>8</v>
      </c>
      <c r="R1651" t="s">
        <v>40438</v>
      </c>
      <c r="S1651" t="s">
        <v>40582</v>
      </c>
      <c r="T1651" t="s">
        <v>42254</v>
      </c>
      <c r="U1651" t="s">
        <v>44069</v>
      </c>
      <c r="W1651" t="s">
        <v>55453</v>
      </c>
      <c r="X1651" t="s">
        <v>40439</v>
      </c>
    </row>
    <row r="1652" spans="1:24">
      <c r="A1652">
        <f>HYPERLINK("https://www.philgeps.gov.ph/GEPSNONPILOT/Tender/SplashBidNoticeAbstractUI.aspx?menuIndex=3&amp;refID=7048951&amp;Result=3","7048951")</f>
        <v>0</v>
      </c>
      <c r="B1652" t="s">
        <v>735</v>
      </c>
      <c r="C1652" t="s">
        <v>4682</v>
      </c>
      <c r="D1652" t="s">
        <v>16227</v>
      </c>
      <c r="E1652" t="s">
        <v>17817</v>
      </c>
      <c r="F1652" t="s">
        <v>28198</v>
      </c>
      <c r="G1652" t="s">
        <v>28206</v>
      </c>
      <c r="H1652" t="s">
        <v>28215</v>
      </c>
      <c r="I1652" t="s">
        <v>28295</v>
      </c>
      <c r="J1652" t="s">
        <v>28352</v>
      </c>
      <c r="K1652" t="s">
        <v>36698</v>
      </c>
      <c r="M1652" t="s">
        <v>37738</v>
      </c>
      <c r="N1652" t="s">
        <v>40436</v>
      </c>
      <c r="O1652" t="s">
        <v>40437</v>
      </c>
      <c r="P1652">
        <v>0</v>
      </c>
      <c r="Q1652">
        <v>3</v>
      </c>
      <c r="R1652" t="s">
        <v>40438</v>
      </c>
      <c r="S1652" t="s">
        <v>40582</v>
      </c>
      <c r="T1652" t="s">
        <v>42158</v>
      </c>
      <c r="U1652" t="s">
        <v>44070</v>
      </c>
      <c r="W1652" t="s">
        <v>37738</v>
      </c>
      <c r="X1652" t="s">
        <v>40439</v>
      </c>
    </row>
    <row r="1653" spans="1:24">
      <c r="A1653">
        <f>HYPERLINK("https://www.philgeps.gov.ph/GEPSNONPILOT/Tender/SplashBidNoticeAbstractUI.aspx?menuIndex=3&amp;refID=7048950&amp;Result=3","7048950")</f>
        <v>0</v>
      </c>
      <c r="B1653" t="s">
        <v>768</v>
      </c>
      <c r="C1653" t="s">
        <v>4683</v>
      </c>
      <c r="D1653" t="s">
        <v>16196</v>
      </c>
      <c r="E1653" t="s">
        <v>17818</v>
      </c>
      <c r="F1653" t="s">
        <v>28198</v>
      </c>
      <c r="G1653" t="s">
        <v>28205</v>
      </c>
      <c r="H1653" t="s">
        <v>28214</v>
      </c>
      <c r="I1653" t="s">
        <v>3797</v>
      </c>
      <c r="J1653" t="s">
        <v>29501</v>
      </c>
      <c r="K1653" t="s">
        <v>36701</v>
      </c>
      <c r="M1653" t="s">
        <v>37771</v>
      </c>
      <c r="N1653" t="s">
        <v>40436</v>
      </c>
      <c r="O1653" t="s">
        <v>40437</v>
      </c>
      <c r="P1653">
        <v>0</v>
      </c>
      <c r="Q1653">
        <v>0</v>
      </c>
      <c r="R1653" t="s">
        <v>40438</v>
      </c>
      <c r="S1653" t="s">
        <v>40582</v>
      </c>
      <c r="T1653" t="s">
        <v>42149</v>
      </c>
      <c r="U1653" t="s">
        <v>44071</v>
      </c>
      <c r="W1653" t="s">
        <v>37771</v>
      </c>
      <c r="X1653" t="s">
        <v>40439</v>
      </c>
    </row>
    <row r="1654" spans="1:24">
      <c r="A1654">
        <f>HYPERLINK("https://www.philgeps.gov.ph/GEPSNONPILOT/Tender/SplashBidNoticeAbstractUI.aspx?menuIndex=3&amp;refID=7048954&amp;Result=3","7048954")</f>
        <v>0</v>
      </c>
      <c r="B1654" t="s">
        <v>710</v>
      </c>
      <c r="C1654" t="s">
        <v>4230</v>
      </c>
      <c r="D1654" t="s">
        <v>16199</v>
      </c>
      <c r="E1654" t="s">
        <v>17819</v>
      </c>
      <c r="F1654" t="s">
        <v>28198</v>
      </c>
      <c r="G1654" t="s">
        <v>28206</v>
      </c>
      <c r="H1654" t="s">
        <v>28215</v>
      </c>
      <c r="I1654" t="s">
        <v>4219</v>
      </c>
      <c r="J1654" t="s">
        <v>29502</v>
      </c>
      <c r="K1654" t="s">
        <v>36691</v>
      </c>
      <c r="M1654" t="s">
        <v>37710</v>
      </c>
      <c r="N1654" t="s">
        <v>40436</v>
      </c>
      <c r="O1654" t="s">
        <v>40437</v>
      </c>
      <c r="P1654">
        <v>0</v>
      </c>
      <c r="Q1654">
        <v>0</v>
      </c>
      <c r="R1654" t="s">
        <v>40438</v>
      </c>
      <c r="S1654" t="s">
        <v>40582</v>
      </c>
      <c r="T1654" t="s">
        <v>42146</v>
      </c>
      <c r="U1654" t="s">
        <v>44072</v>
      </c>
      <c r="W1654" t="s">
        <v>37710</v>
      </c>
      <c r="X1654" t="s">
        <v>40439</v>
      </c>
    </row>
    <row r="1655" spans="1:24">
      <c r="A1655">
        <f>HYPERLINK("https://www.philgeps.gov.ph/GEPSNONPILOT/Tender/SplashBidNoticeAbstractUI.aspx?menuIndex=3&amp;refID=7048943&amp;Result=3","7048943")</f>
        <v>0</v>
      </c>
      <c r="B1655" t="s">
        <v>769</v>
      </c>
      <c r="C1655" t="s">
        <v>4684</v>
      </c>
      <c r="D1655" t="s">
        <v>16228</v>
      </c>
      <c r="E1655" t="s">
        <v>17820</v>
      </c>
      <c r="F1655" t="s">
        <v>28198</v>
      </c>
      <c r="G1655" t="s">
        <v>28205</v>
      </c>
      <c r="H1655" t="s">
        <v>28215</v>
      </c>
      <c r="I1655" t="s">
        <v>28236</v>
      </c>
      <c r="J1655" t="s">
        <v>28352</v>
      </c>
      <c r="K1655" t="s">
        <v>36698</v>
      </c>
      <c r="M1655" t="s">
        <v>37772</v>
      </c>
      <c r="N1655" t="s">
        <v>40436</v>
      </c>
      <c r="O1655" t="s">
        <v>40437</v>
      </c>
      <c r="P1655">
        <v>0</v>
      </c>
      <c r="Q1655">
        <v>0</v>
      </c>
      <c r="R1655" t="s">
        <v>40438</v>
      </c>
      <c r="S1655" t="s">
        <v>40582</v>
      </c>
      <c r="T1655" t="s">
        <v>42187</v>
      </c>
      <c r="U1655" t="s">
        <v>44073</v>
      </c>
      <c r="W1655" t="s">
        <v>37772</v>
      </c>
      <c r="X1655" t="s">
        <v>40439</v>
      </c>
    </row>
    <row r="1656" spans="1:24">
      <c r="A1656">
        <f>HYPERLINK("https://www.philgeps.gov.ph/GEPSNONPILOT/Tender/SplashBidNoticeAbstractUI.aspx?menuIndex=3&amp;refID=7048953&amp;Result=3","7048953")</f>
        <v>0</v>
      </c>
      <c r="B1656" t="s">
        <v>538</v>
      </c>
      <c r="C1656" t="s">
        <v>4685</v>
      </c>
      <c r="E1656" t="s">
        <v>17821</v>
      </c>
      <c r="F1656" t="s">
        <v>28198</v>
      </c>
      <c r="G1656" t="s">
        <v>28207</v>
      </c>
      <c r="H1656" t="s">
        <v>28215</v>
      </c>
      <c r="I1656" t="s">
        <v>28234</v>
      </c>
      <c r="J1656" t="s">
        <v>29503</v>
      </c>
      <c r="K1656" t="s">
        <v>36689</v>
      </c>
      <c r="M1656" t="s">
        <v>37524</v>
      </c>
      <c r="N1656" t="s">
        <v>40436</v>
      </c>
      <c r="O1656" t="s">
        <v>40437</v>
      </c>
      <c r="P1656">
        <v>0</v>
      </c>
      <c r="Q1656">
        <v>3</v>
      </c>
      <c r="R1656" t="s">
        <v>40438</v>
      </c>
      <c r="S1656" t="s">
        <v>40582</v>
      </c>
      <c r="T1656" t="s">
        <v>42112</v>
      </c>
      <c r="U1656" t="s">
        <v>43562</v>
      </c>
      <c r="W1656" t="s">
        <v>37524</v>
      </c>
      <c r="X1656" t="s">
        <v>40439</v>
      </c>
    </row>
    <row r="1657" spans="1:24">
      <c r="A1657">
        <f>HYPERLINK("https://www.philgeps.gov.ph/GEPSNONPILOT/Tender/SplashBidNoticeAbstractUI.aspx?menuIndex=3&amp;refID=7048949&amp;Result=3","7048949")</f>
        <v>0</v>
      </c>
      <c r="B1657" t="s">
        <v>500</v>
      </c>
      <c r="C1657" t="s">
        <v>4686</v>
      </c>
      <c r="D1657" t="s">
        <v>16190</v>
      </c>
      <c r="E1657" t="s">
        <v>17822</v>
      </c>
      <c r="F1657" t="s">
        <v>28198</v>
      </c>
      <c r="G1657" t="s">
        <v>28207</v>
      </c>
      <c r="H1657" t="s">
        <v>28214</v>
      </c>
      <c r="I1657" t="s">
        <v>3797</v>
      </c>
      <c r="J1657" t="s">
        <v>29504</v>
      </c>
      <c r="K1657" t="s">
        <v>36694</v>
      </c>
      <c r="M1657" t="s">
        <v>37485</v>
      </c>
      <c r="N1657" t="s">
        <v>40436</v>
      </c>
      <c r="O1657" t="s">
        <v>40437</v>
      </c>
      <c r="P1657">
        <v>0</v>
      </c>
      <c r="Q1657">
        <v>0</v>
      </c>
      <c r="R1657" t="s">
        <v>40438</v>
      </c>
      <c r="S1657" t="s">
        <v>40582</v>
      </c>
      <c r="T1657" t="s">
        <v>42112</v>
      </c>
      <c r="U1657" t="s">
        <v>43703</v>
      </c>
      <c r="W1657" t="s">
        <v>37485</v>
      </c>
      <c r="X1657" t="s">
        <v>40439</v>
      </c>
    </row>
    <row r="1658" spans="1:24">
      <c r="A1658">
        <f>HYPERLINK("https://www.philgeps.gov.ph/GEPSNONPILOT/Tender/SplashBidNoticeAbstractUI.aspx?menuIndex=3&amp;refID=7048938&amp;Result=3","7048938")</f>
        <v>0</v>
      </c>
      <c r="B1658" t="s">
        <v>770</v>
      </c>
      <c r="C1658" t="s">
        <v>4687</v>
      </c>
      <c r="D1658" t="s">
        <v>16199</v>
      </c>
      <c r="E1658" t="s">
        <v>17823</v>
      </c>
      <c r="F1658" t="s">
        <v>28198</v>
      </c>
      <c r="G1658" t="s">
        <v>28205</v>
      </c>
      <c r="H1658" t="s">
        <v>28214</v>
      </c>
      <c r="I1658" t="s">
        <v>3797</v>
      </c>
      <c r="J1658" t="s">
        <v>28730</v>
      </c>
      <c r="K1658" t="s">
        <v>36757</v>
      </c>
      <c r="M1658" t="s">
        <v>37773</v>
      </c>
      <c r="N1658" t="s">
        <v>40436</v>
      </c>
      <c r="O1658" t="s">
        <v>40437</v>
      </c>
      <c r="P1658">
        <v>0</v>
      </c>
      <c r="Q1658">
        <v>0</v>
      </c>
      <c r="R1658" t="s">
        <v>40438</v>
      </c>
      <c r="S1658" t="s">
        <v>40582</v>
      </c>
      <c r="T1658" t="s">
        <v>42115</v>
      </c>
      <c r="U1658" t="s">
        <v>44074</v>
      </c>
      <c r="V1658" t="s">
        <v>53968</v>
      </c>
      <c r="W1658" t="s">
        <v>37773</v>
      </c>
      <c r="X1658" t="s">
        <v>40439</v>
      </c>
    </row>
    <row r="1659" spans="1:24">
      <c r="A1659">
        <f>HYPERLINK("https://www.philgeps.gov.ph/GEPSNONPILOT/Tender/SplashBidNoticeAbstractUI.aspx?menuIndex=3&amp;refID=7048975&amp;Result=3","7048975")</f>
        <v>0</v>
      </c>
      <c r="B1659" t="s">
        <v>588</v>
      </c>
      <c r="C1659" t="s">
        <v>4688</v>
      </c>
      <c r="D1659" t="s">
        <v>16197</v>
      </c>
      <c r="E1659" t="s">
        <v>17543</v>
      </c>
      <c r="F1659" t="s">
        <v>28198</v>
      </c>
      <c r="G1659" t="s">
        <v>28205</v>
      </c>
      <c r="H1659" t="s">
        <v>28215</v>
      </c>
      <c r="I1659" t="s">
        <v>28262</v>
      </c>
      <c r="J1659" t="s">
        <v>29172</v>
      </c>
      <c r="K1659" t="s">
        <v>36706</v>
      </c>
      <c r="M1659" t="s">
        <v>37577</v>
      </c>
      <c r="N1659" t="s">
        <v>40436</v>
      </c>
      <c r="O1659" t="s">
        <v>40437</v>
      </c>
      <c r="P1659">
        <v>0</v>
      </c>
      <c r="Q1659">
        <v>0</v>
      </c>
      <c r="R1659" t="s">
        <v>40438</v>
      </c>
      <c r="S1659" t="s">
        <v>40582</v>
      </c>
      <c r="T1659" t="s">
        <v>42213</v>
      </c>
      <c r="U1659" t="s">
        <v>44075</v>
      </c>
      <c r="W1659" t="s">
        <v>37577</v>
      </c>
      <c r="X1659" t="s">
        <v>40439</v>
      </c>
    </row>
    <row r="1660" spans="1:24">
      <c r="A1660">
        <f>HYPERLINK("https://www.philgeps.gov.ph/GEPSNONPILOT/Tender/SplashBidNoticeAbstractUI.aspx?menuIndex=3&amp;refID=7048974&amp;Result=3","7048974")</f>
        <v>0</v>
      </c>
      <c r="B1660" t="s">
        <v>299</v>
      </c>
      <c r="C1660" t="s">
        <v>4689</v>
      </c>
      <c r="E1660" t="s">
        <v>17824</v>
      </c>
      <c r="F1660" t="s">
        <v>28198</v>
      </c>
      <c r="G1660" t="s">
        <v>28207</v>
      </c>
      <c r="H1660" t="s">
        <v>28215</v>
      </c>
      <c r="I1660" t="s">
        <v>28230</v>
      </c>
      <c r="J1660" t="s">
        <v>29206</v>
      </c>
      <c r="K1660" t="s">
        <v>36689</v>
      </c>
      <c r="M1660" t="s">
        <v>37276</v>
      </c>
      <c r="N1660" t="s">
        <v>40436</v>
      </c>
      <c r="O1660" t="s">
        <v>40437</v>
      </c>
      <c r="P1660">
        <v>0</v>
      </c>
      <c r="Q1660">
        <v>0</v>
      </c>
      <c r="R1660" t="s">
        <v>40438</v>
      </c>
      <c r="S1660" t="s">
        <v>40582</v>
      </c>
      <c r="T1660" t="s">
        <v>42119</v>
      </c>
      <c r="U1660" t="s">
        <v>44076</v>
      </c>
      <c r="W1660" t="s">
        <v>37276</v>
      </c>
      <c r="X1660" t="s">
        <v>40439</v>
      </c>
    </row>
    <row r="1661" spans="1:24">
      <c r="A1661">
        <f>HYPERLINK("https://www.philgeps.gov.ph/GEPSNONPILOT/Tender/SplashBidNoticeAbstractUI.aspx?menuIndex=3&amp;refID=7048930&amp;Result=3","7048930")</f>
        <v>0</v>
      </c>
      <c r="B1661" t="s">
        <v>746</v>
      </c>
      <c r="C1661" t="s">
        <v>4690</v>
      </c>
      <c r="D1661" t="s">
        <v>16209</v>
      </c>
      <c r="E1661" t="s">
        <v>17825</v>
      </c>
      <c r="F1661" t="s">
        <v>28198</v>
      </c>
      <c r="G1661" t="s">
        <v>28207</v>
      </c>
      <c r="H1661" t="s">
        <v>28215</v>
      </c>
      <c r="I1661" t="s">
        <v>3422</v>
      </c>
      <c r="J1661" t="s">
        <v>29505</v>
      </c>
      <c r="K1661" t="s">
        <v>36688</v>
      </c>
      <c r="M1661" t="s">
        <v>37749</v>
      </c>
      <c r="N1661" t="s">
        <v>40436</v>
      </c>
      <c r="O1661" t="s">
        <v>40437</v>
      </c>
      <c r="P1661">
        <v>0</v>
      </c>
      <c r="Q1661">
        <v>0</v>
      </c>
      <c r="R1661" t="s">
        <v>40438</v>
      </c>
      <c r="S1661" t="s">
        <v>40582</v>
      </c>
      <c r="T1661" t="s">
        <v>42163</v>
      </c>
      <c r="U1661" t="s">
        <v>44077</v>
      </c>
      <c r="W1661" t="s">
        <v>37749</v>
      </c>
      <c r="X1661" t="s">
        <v>40439</v>
      </c>
    </row>
    <row r="1662" spans="1:24">
      <c r="A1662">
        <f>HYPERLINK("https://www.philgeps.gov.ph/GEPSNONPILOT/Tender/SplashBidNoticeAbstractUI.aspx?menuIndex=3&amp;refID=7048945&amp;Result=3","7048945")</f>
        <v>0</v>
      </c>
      <c r="B1662" t="s">
        <v>588</v>
      </c>
      <c r="C1662" t="s">
        <v>4691</v>
      </c>
      <c r="D1662" t="s">
        <v>16197</v>
      </c>
      <c r="E1662" t="s">
        <v>17543</v>
      </c>
      <c r="F1662" t="s">
        <v>28198</v>
      </c>
      <c r="G1662" t="s">
        <v>28205</v>
      </c>
      <c r="H1662" t="s">
        <v>28215</v>
      </c>
      <c r="I1662" t="s">
        <v>8888</v>
      </c>
      <c r="J1662" t="s">
        <v>29506</v>
      </c>
      <c r="K1662" t="s">
        <v>36706</v>
      </c>
      <c r="M1662" t="s">
        <v>37577</v>
      </c>
      <c r="N1662" t="s">
        <v>40436</v>
      </c>
      <c r="O1662" t="s">
        <v>40437</v>
      </c>
      <c r="P1662">
        <v>0</v>
      </c>
      <c r="Q1662">
        <v>0</v>
      </c>
      <c r="R1662" t="s">
        <v>40438</v>
      </c>
      <c r="S1662" t="s">
        <v>40582</v>
      </c>
      <c r="T1662" t="s">
        <v>42213</v>
      </c>
      <c r="U1662" t="s">
        <v>44078</v>
      </c>
      <c r="W1662" t="s">
        <v>37577</v>
      </c>
      <c r="X1662" t="s">
        <v>40439</v>
      </c>
    </row>
    <row r="1663" spans="1:24">
      <c r="A1663">
        <f>HYPERLINK("https://www.philgeps.gov.ph/GEPSNONPILOT/Tender/SplashBidNoticeAbstractUI.aspx?menuIndex=3&amp;refID=7048955&amp;Result=3","7048955")</f>
        <v>0</v>
      </c>
      <c r="B1663" t="s">
        <v>760</v>
      </c>
      <c r="C1663" t="s">
        <v>4692</v>
      </c>
      <c r="D1663" t="s">
        <v>16236</v>
      </c>
      <c r="E1663" t="s">
        <v>17826</v>
      </c>
      <c r="F1663" t="s">
        <v>28198</v>
      </c>
      <c r="G1663" t="s">
        <v>28207</v>
      </c>
      <c r="H1663" t="s">
        <v>28215</v>
      </c>
      <c r="I1663" t="s">
        <v>28225</v>
      </c>
      <c r="J1663" t="s">
        <v>28414</v>
      </c>
      <c r="K1663" t="s">
        <v>36706</v>
      </c>
      <c r="M1663" t="s">
        <v>37763</v>
      </c>
      <c r="N1663" t="s">
        <v>40436</v>
      </c>
      <c r="O1663" t="s">
        <v>40437</v>
      </c>
      <c r="P1663">
        <v>0</v>
      </c>
      <c r="Q1663">
        <v>0</v>
      </c>
      <c r="R1663" t="s">
        <v>40438</v>
      </c>
      <c r="S1663" t="s">
        <v>40582</v>
      </c>
      <c r="T1663" t="s">
        <v>42103</v>
      </c>
      <c r="U1663" t="s">
        <v>44079</v>
      </c>
      <c r="V1663" t="s">
        <v>53966</v>
      </c>
      <c r="W1663" t="s">
        <v>37763</v>
      </c>
      <c r="X1663" t="s">
        <v>40439</v>
      </c>
    </row>
    <row r="1664" spans="1:24">
      <c r="A1664">
        <f>HYPERLINK("https://www.philgeps.gov.ph/GEPSNONPILOT/Tender/SplashBidNoticeAbstractUI.aspx?menuIndex=3&amp;refID=7048973&amp;Result=3","7048973")</f>
        <v>0</v>
      </c>
      <c r="B1664" t="s">
        <v>219</v>
      </c>
      <c r="C1664" t="s">
        <v>4693</v>
      </c>
      <c r="D1664" t="s">
        <v>16199</v>
      </c>
      <c r="E1664" t="s">
        <v>17827</v>
      </c>
      <c r="F1664" t="s">
        <v>28198</v>
      </c>
      <c r="G1664" t="s">
        <v>28206</v>
      </c>
      <c r="H1664" t="s">
        <v>28215</v>
      </c>
      <c r="I1664" t="s">
        <v>28228</v>
      </c>
      <c r="J1664" t="s">
        <v>29507</v>
      </c>
      <c r="K1664" t="s">
        <v>36688</v>
      </c>
      <c r="M1664" t="s">
        <v>37195</v>
      </c>
      <c r="N1664" t="s">
        <v>40436</v>
      </c>
      <c r="O1664" t="s">
        <v>40437</v>
      </c>
      <c r="P1664">
        <v>0</v>
      </c>
      <c r="Q1664">
        <v>0</v>
      </c>
      <c r="R1664" t="s">
        <v>40438</v>
      </c>
      <c r="S1664" t="s">
        <v>40582</v>
      </c>
      <c r="T1664" t="s">
        <v>42115</v>
      </c>
      <c r="U1664" t="s">
        <v>44080</v>
      </c>
      <c r="W1664" t="s">
        <v>37195</v>
      </c>
      <c r="X1664" t="s">
        <v>40439</v>
      </c>
    </row>
    <row r="1665" spans="1:24">
      <c r="A1665">
        <f>HYPERLINK("https://www.philgeps.gov.ph/GEPSNONPILOT/Tender/SplashBidNoticeAbstractUI.aspx?menuIndex=3&amp;refID=7048918&amp;Result=3","7048918")</f>
        <v>0</v>
      </c>
      <c r="B1665" t="s">
        <v>480</v>
      </c>
      <c r="C1665" t="s">
        <v>4694</v>
      </c>
      <c r="D1665" t="s">
        <v>16234</v>
      </c>
      <c r="E1665" t="s">
        <v>17828</v>
      </c>
      <c r="F1665" t="s">
        <v>28198</v>
      </c>
      <c r="G1665" t="s">
        <v>28205</v>
      </c>
      <c r="H1665" t="s">
        <v>28215</v>
      </c>
      <c r="I1665" t="s">
        <v>5100</v>
      </c>
      <c r="J1665" t="s">
        <v>29508</v>
      </c>
      <c r="K1665" t="s">
        <v>36689</v>
      </c>
      <c r="M1665" t="s">
        <v>37465</v>
      </c>
      <c r="N1665" t="s">
        <v>40436</v>
      </c>
      <c r="O1665" t="s">
        <v>40437</v>
      </c>
      <c r="P1665">
        <v>0</v>
      </c>
      <c r="Q1665">
        <v>2</v>
      </c>
      <c r="R1665" t="s">
        <v>40438</v>
      </c>
      <c r="S1665" t="s">
        <v>40582</v>
      </c>
      <c r="T1665" t="s">
        <v>42195</v>
      </c>
      <c r="U1665" t="s">
        <v>44081</v>
      </c>
      <c r="W1665" t="s">
        <v>37465</v>
      </c>
      <c r="X1665" t="s">
        <v>40439</v>
      </c>
    </row>
    <row r="1666" spans="1:24">
      <c r="A1666">
        <f>HYPERLINK("https://www.philgeps.gov.ph/GEPSNONPILOT/Tender/SplashBidNoticeAbstractUI.aspx?menuIndex=3&amp;refID=7048969&amp;Result=3","7048969")</f>
        <v>0</v>
      </c>
      <c r="B1666" t="s">
        <v>771</v>
      </c>
      <c r="C1666" t="s">
        <v>4695</v>
      </c>
      <c r="D1666" t="s">
        <v>16203</v>
      </c>
      <c r="E1666" t="s">
        <v>17829</v>
      </c>
      <c r="F1666" t="s">
        <v>28198</v>
      </c>
      <c r="G1666" t="s">
        <v>28205</v>
      </c>
      <c r="H1666" t="s">
        <v>28215</v>
      </c>
      <c r="I1666" t="s">
        <v>28228</v>
      </c>
      <c r="J1666" t="s">
        <v>29509</v>
      </c>
      <c r="K1666" t="s">
        <v>36707</v>
      </c>
      <c r="M1666" t="s">
        <v>37774</v>
      </c>
      <c r="N1666" t="s">
        <v>40436</v>
      </c>
      <c r="O1666" t="s">
        <v>40437</v>
      </c>
      <c r="P1666">
        <v>0</v>
      </c>
      <c r="Q1666">
        <v>0</v>
      </c>
      <c r="R1666" t="s">
        <v>40438</v>
      </c>
      <c r="S1666" t="s">
        <v>40582</v>
      </c>
      <c r="T1666" t="s">
        <v>42115</v>
      </c>
      <c r="U1666" t="s">
        <v>44082</v>
      </c>
      <c r="W1666" t="s">
        <v>37774</v>
      </c>
      <c r="X1666" t="s">
        <v>40439</v>
      </c>
    </row>
    <row r="1667" spans="1:24">
      <c r="A1667">
        <f>HYPERLINK("https://www.philgeps.gov.ph/GEPSNONPILOT/Tender/SplashBidNoticeAbstractUI.aspx?menuIndex=3&amp;refID=7048964&amp;Result=3","7048964")</f>
        <v>0</v>
      </c>
      <c r="B1667" t="s">
        <v>765</v>
      </c>
      <c r="C1667" t="s">
        <v>4696</v>
      </c>
      <c r="D1667" t="s">
        <v>16219</v>
      </c>
      <c r="E1667" t="s">
        <v>17830</v>
      </c>
      <c r="F1667" t="s">
        <v>28198</v>
      </c>
      <c r="G1667" t="s">
        <v>28210</v>
      </c>
      <c r="H1667" t="s">
        <v>28215</v>
      </c>
      <c r="I1667" t="s">
        <v>3774</v>
      </c>
      <c r="J1667" t="s">
        <v>29510</v>
      </c>
      <c r="K1667" t="s">
        <v>36688</v>
      </c>
      <c r="M1667" t="s">
        <v>37768</v>
      </c>
      <c r="N1667" t="s">
        <v>40436</v>
      </c>
      <c r="O1667" t="s">
        <v>40437</v>
      </c>
      <c r="P1667">
        <v>0</v>
      </c>
      <c r="Q1667">
        <v>0</v>
      </c>
      <c r="R1667" t="s">
        <v>40438</v>
      </c>
      <c r="S1667" t="s">
        <v>40582</v>
      </c>
      <c r="T1667" t="s">
        <v>42129</v>
      </c>
      <c r="U1667" t="s">
        <v>44083</v>
      </c>
      <c r="W1667" t="s">
        <v>37768</v>
      </c>
      <c r="X1667" t="s">
        <v>40439</v>
      </c>
    </row>
    <row r="1668" spans="1:24">
      <c r="A1668">
        <f>HYPERLINK("https://www.philgeps.gov.ph/GEPSNONPILOT/Tender/SplashBidNoticeAbstractUI.aspx?menuIndex=3&amp;refID=7048967&amp;Result=3","7048967")</f>
        <v>0</v>
      </c>
      <c r="B1668" t="s">
        <v>202</v>
      </c>
      <c r="C1668" t="s">
        <v>4697</v>
      </c>
      <c r="D1668" t="s">
        <v>16217</v>
      </c>
      <c r="E1668" t="s">
        <v>17831</v>
      </c>
      <c r="F1668" t="s">
        <v>28198</v>
      </c>
      <c r="G1668" t="s">
        <v>28207</v>
      </c>
      <c r="H1668" t="s">
        <v>28215</v>
      </c>
      <c r="I1668" t="s">
        <v>5103</v>
      </c>
      <c r="J1668" t="s">
        <v>28345</v>
      </c>
      <c r="K1668" t="s">
        <v>36701</v>
      </c>
      <c r="M1668" t="s">
        <v>37177</v>
      </c>
      <c r="N1668" t="s">
        <v>40436</v>
      </c>
      <c r="O1668" t="s">
        <v>40437</v>
      </c>
      <c r="P1668">
        <v>0</v>
      </c>
      <c r="Q1668">
        <v>4</v>
      </c>
      <c r="R1668" t="s">
        <v>40438</v>
      </c>
      <c r="S1668" t="s">
        <v>40582</v>
      </c>
      <c r="T1668" t="s">
        <v>42103</v>
      </c>
      <c r="U1668" t="s">
        <v>44084</v>
      </c>
      <c r="W1668" t="s">
        <v>55435</v>
      </c>
      <c r="X1668" t="s">
        <v>40439</v>
      </c>
    </row>
    <row r="1669" spans="1:24">
      <c r="A1669">
        <f>HYPERLINK("https://www.philgeps.gov.ph/GEPSNONPILOT/Tender/SplashBidNoticeAbstractUI.aspx?menuIndex=3&amp;refID=7048985&amp;Result=3","7048985")</f>
        <v>0</v>
      </c>
      <c r="B1669" t="s">
        <v>772</v>
      </c>
      <c r="C1669" t="s">
        <v>4698</v>
      </c>
      <c r="D1669" t="s">
        <v>16238</v>
      </c>
      <c r="E1669" t="s">
        <v>17832</v>
      </c>
      <c r="F1669" t="s">
        <v>28198</v>
      </c>
      <c r="G1669" t="s">
        <v>28207</v>
      </c>
      <c r="H1669" t="s">
        <v>28215</v>
      </c>
      <c r="I1669" t="s">
        <v>28227</v>
      </c>
      <c r="J1669" t="s">
        <v>29511</v>
      </c>
      <c r="K1669" t="s">
        <v>36688</v>
      </c>
      <c r="M1669" t="s">
        <v>37775</v>
      </c>
      <c r="N1669" t="s">
        <v>40436</v>
      </c>
      <c r="O1669" t="s">
        <v>40437</v>
      </c>
      <c r="P1669">
        <v>0</v>
      </c>
      <c r="Q1669">
        <v>0</v>
      </c>
      <c r="R1669" t="s">
        <v>40438</v>
      </c>
      <c r="S1669" t="s">
        <v>40582</v>
      </c>
      <c r="T1669" t="s">
        <v>42159</v>
      </c>
      <c r="U1669" t="s">
        <v>44085</v>
      </c>
      <c r="V1669" t="s">
        <v>53921</v>
      </c>
      <c r="W1669" t="s">
        <v>37775</v>
      </c>
      <c r="X1669" t="s">
        <v>40439</v>
      </c>
    </row>
    <row r="1670" spans="1:24">
      <c r="A1670">
        <f>HYPERLINK("https://www.philgeps.gov.ph/GEPSNONPILOT/Tender/SplashBidNoticeAbstractUI.aspx?menuIndex=3&amp;refID=7048966&amp;Result=3","7048966")</f>
        <v>0</v>
      </c>
      <c r="B1670" t="s">
        <v>583</v>
      </c>
      <c r="C1670" t="s">
        <v>4699</v>
      </c>
      <c r="D1670" t="s">
        <v>16235</v>
      </c>
      <c r="E1670" t="s">
        <v>17833</v>
      </c>
      <c r="F1670" t="s">
        <v>28198</v>
      </c>
      <c r="G1670" t="s">
        <v>28210</v>
      </c>
      <c r="H1670" t="s">
        <v>28215</v>
      </c>
      <c r="I1670" t="s">
        <v>5082</v>
      </c>
      <c r="J1670" t="s">
        <v>28694</v>
      </c>
      <c r="K1670" t="s">
        <v>36701</v>
      </c>
      <c r="M1670" t="s">
        <v>37573</v>
      </c>
      <c r="N1670" t="s">
        <v>40436</v>
      </c>
      <c r="O1670" t="s">
        <v>40437</v>
      </c>
      <c r="P1670">
        <v>0</v>
      </c>
      <c r="Q1670">
        <v>1</v>
      </c>
      <c r="R1670" t="s">
        <v>40438</v>
      </c>
      <c r="S1670" t="s">
        <v>40582</v>
      </c>
      <c r="T1670" t="s">
        <v>42146</v>
      </c>
      <c r="U1670" t="s">
        <v>44086</v>
      </c>
      <c r="V1670" t="s">
        <v>53926</v>
      </c>
      <c r="W1670" t="s">
        <v>37573</v>
      </c>
      <c r="X1670" t="s">
        <v>40439</v>
      </c>
    </row>
    <row r="1671" spans="1:24">
      <c r="A1671">
        <f>HYPERLINK("https://www.philgeps.gov.ph/GEPSNONPILOT/Tender/SplashBidNoticeAbstractUI.aspx?menuIndex=3&amp;refID=7048972&amp;Result=3","7048972")</f>
        <v>0</v>
      </c>
      <c r="B1671" t="s">
        <v>773</v>
      </c>
      <c r="C1671" t="s">
        <v>4700</v>
      </c>
      <c r="D1671" t="s">
        <v>16219</v>
      </c>
      <c r="E1671" t="s">
        <v>17834</v>
      </c>
      <c r="F1671" t="s">
        <v>28198</v>
      </c>
      <c r="G1671" t="s">
        <v>28205</v>
      </c>
      <c r="H1671" t="s">
        <v>28215</v>
      </c>
      <c r="I1671" t="s">
        <v>28224</v>
      </c>
      <c r="J1671" t="s">
        <v>29512</v>
      </c>
      <c r="K1671" t="s">
        <v>36689</v>
      </c>
      <c r="M1671" t="s">
        <v>37776</v>
      </c>
      <c r="N1671" t="s">
        <v>40436</v>
      </c>
      <c r="O1671" t="s">
        <v>40437</v>
      </c>
      <c r="P1671">
        <v>0</v>
      </c>
      <c r="Q1671">
        <v>0</v>
      </c>
      <c r="R1671" t="s">
        <v>40438</v>
      </c>
      <c r="S1671" t="s">
        <v>40582</v>
      </c>
      <c r="T1671" t="s">
        <v>42108</v>
      </c>
      <c r="U1671" t="s">
        <v>44087</v>
      </c>
      <c r="W1671" t="s">
        <v>37776</v>
      </c>
      <c r="X1671" t="s">
        <v>40439</v>
      </c>
    </row>
    <row r="1672" spans="1:24">
      <c r="A1672">
        <f>HYPERLINK("https://www.philgeps.gov.ph/GEPSNONPILOT/Tender/SplashBidNoticeAbstractUI.aspx?menuIndex=3&amp;refID=7048976&amp;Result=3","7048976")</f>
        <v>0</v>
      </c>
      <c r="B1672" t="s">
        <v>728</v>
      </c>
      <c r="C1672" t="s">
        <v>4701</v>
      </c>
      <c r="D1672" t="s">
        <v>16200</v>
      </c>
      <c r="E1672" t="s">
        <v>17835</v>
      </c>
      <c r="F1672" t="s">
        <v>28198</v>
      </c>
      <c r="G1672" t="s">
        <v>28205</v>
      </c>
      <c r="H1672" t="s">
        <v>28215</v>
      </c>
      <c r="I1672" t="s">
        <v>28280</v>
      </c>
      <c r="J1672" t="s">
        <v>29513</v>
      </c>
      <c r="K1672" t="s">
        <v>36697</v>
      </c>
      <c r="M1672" t="s">
        <v>37777</v>
      </c>
      <c r="N1672" t="s">
        <v>40436</v>
      </c>
      <c r="O1672" t="s">
        <v>40437</v>
      </c>
      <c r="P1672">
        <v>0</v>
      </c>
      <c r="Q1672">
        <v>4</v>
      </c>
      <c r="R1672" t="s">
        <v>40438</v>
      </c>
      <c r="S1672" t="s">
        <v>40582</v>
      </c>
      <c r="T1672" t="s">
        <v>42143</v>
      </c>
      <c r="U1672" t="s">
        <v>44088</v>
      </c>
      <c r="W1672" t="s">
        <v>37777</v>
      </c>
      <c r="X1672" t="s">
        <v>40439</v>
      </c>
    </row>
    <row r="1673" spans="1:24">
      <c r="A1673">
        <f>HYPERLINK("https://www.philgeps.gov.ph/GEPSNONPILOT/Tender/SplashBidNoticeAbstractUI.aspx?menuIndex=3&amp;refID=7048968&amp;Result=3","7048968")</f>
        <v>0</v>
      </c>
      <c r="B1673" t="s">
        <v>774</v>
      </c>
      <c r="C1673" t="s">
        <v>4702</v>
      </c>
      <c r="D1673" t="s">
        <v>16197</v>
      </c>
      <c r="E1673" t="s">
        <v>17836</v>
      </c>
      <c r="F1673" t="s">
        <v>28198</v>
      </c>
      <c r="G1673" t="s">
        <v>28207</v>
      </c>
      <c r="H1673" t="s">
        <v>28215</v>
      </c>
      <c r="I1673" t="s">
        <v>4505</v>
      </c>
      <c r="J1673" t="s">
        <v>29514</v>
      </c>
      <c r="K1673" t="s">
        <v>36707</v>
      </c>
      <c r="M1673" t="s">
        <v>37778</v>
      </c>
      <c r="N1673" t="s">
        <v>40436</v>
      </c>
      <c r="O1673" t="s">
        <v>40437</v>
      </c>
      <c r="P1673">
        <v>0</v>
      </c>
      <c r="Q1673">
        <v>9</v>
      </c>
      <c r="R1673" t="s">
        <v>40438</v>
      </c>
      <c r="S1673" t="s">
        <v>40582</v>
      </c>
      <c r="T1673" t="s">
        <v>42124</v>
      </c>
      <c r="U1673" t="s">
        <v>44089</v>
      </c>
      <c r="W1673" t="s">
        <v>37778</v>
      </c>
      <c r="X1673" t="s">
        <v>40439</v>
      </c>
    </row>
    <row r="1674" spans="1:24">
      <c r="A1674">
        <f>HYPERLINK("https://www.philgeps.gov.ph/GEPSNONPILOT/Tender/SplashBidNoticeAbstractUI.aspx?menuIndex=3&amp;refID=7048979&amp;Result=3","7048979")</f>
        <v>0</v>
      </c>
      <c r="B1674" t="s">
        <v>775</v>
      </c>
      <c r="C1674" t="s">
        <v>4703</v>
      </c>
      <c r="D1674" t="s">
        <v>16206</v>
      </c>
      <c r="E1674" t="s">
        <v>17837</v>
      </c>
      <c r="F1674" t="s">
        <v>28198</v>
      </c>
      <c r="G1674" t="s">
        <v>28205</v>
      </c>
      <c r="H1674" t="s">
        <v>28214</v>
      </c>
      <c r="I1674" t="s">
        <v>3797</v>
      </c>
      <c r="J1674" t="s">
        <v>29515</v>
      </c>
      <c r="K1674" t="s">
        <v>36758</v>
      </c>
      <c r="M1674" t="s">
        <v>37779</v>
      </c>
      <c r="N1674" t="s">
        <v>40436</v>
      </c>
      <c r="O1674" t="s">
        <v>40437</v>
      </c>
      <c r="P1674">
        <v>0</v>
      </c>
      <c r="Q1674">
        <v>0</v>
      </c>
      <c r="R1674" t="s">
        <v>40438</v>
      </c>
      <c r="S1674" t="s">
        <v>40582</v>
      </c>
      <c r="T1674" t="s">
        <v>42135</v>
      </c>
      <c r="U1674" t="s">
        <v>44090</v>
      </c>
      <c r="W1674" t="s">
        <v>37779</v>
      </c>
      <c r="X1674" t="s">
        <v>40439</v>
      </c>
    </row>
    <row r="1675" spans="1:24">
      <c r="A1675">
        <f>HYPERLINK("https://www.philgeps.gov.ph/GEPSNONPILOT/Tender/SplashBidNoticeAbstractUI.aspx?menuIndex=3&amp;refID=7048970&amp;Result=3","7048970")</f>
        <v>0</v>
      </c>
      <c r="B1675" t="s">
        <v>617</v>
      </c>
      <c r="C1675" t="s">
        <v>4704</v>
      </c>
      <c r="D1675" t="s">
        <v>16253</v>
      </c>
      <c r="E1675" t="s">
        <v>17838</v>
      </c>
      <c r="F1675" t="s">
        <v>28198</v>
      </c>
      <c r="G1675" t="s">
        <v>28207</v>
      </c>
      <c r="H1675" t="s">
        <v>28215</v>
      </c>
      <c r="I1675" t="s">
        <v>28228</v>
      </c>
      <c r="J1675" t="s">
        <v>29516</v>
      </c>
      <c r="K1675" t="s">
        <v>36701</v>
      </c>
      <c r="M1675" t="s">
        <v>37609</v>
      </c>
      <c r="N1675" t="s">
        <v>40436</v>
      </c>
      <c r="O1675" t="s">
        <v>40437</v>
      </c>
      <c r="P1675">
        <v>0</v>
      </c>
      <c r="Q1675">
        <v>0</v>
      </c>
      <c r="R1675" t="s">
        <v>40438</v>
      </c>
      <c r="S1675" t="s">
        <v>40582</v>
      </c>
      <c r="T1675" t="s">
        <v>42129</v>
      </c>
      <c r="U1675" t="s">
        <v>44091</v>
      </c>
      <c r="V1675" t="s">
        <v>53932</v>
      </c>
      <c r="W1675" t="s">
        <v>37609</v>
      </c>
      <c r="X1675" t="s">
        <v>40439</v>
      </c>
    </row>
    <row r="1676" spans="1:24">
      <c r="A1676">
        <f>HYPERLINK("https://www.philgeps.gov.ph/GEPSNONPILOT/Tender/SplashBidNoticeAbstractUI.aspx?menuIndex=3&amp;refID=7048959&amp;Result=3","7048959")</f>
        <v>0</v>
      </c>
      <c r="B1676" t="s">
        <v>776</v>
      </c>
      <c r="C1676" t="s">
        <v>4705</v>
      </c>
      <c r="D1676" t="s">
        <v>16222</v>
      </c>
      <c r="E1676" t="s">
        <v>17053</v>
      </c>
      <c r="F1676" t="s">
        <v>28198</v>
      </c>
      <c r="G1676" t="s">
        <v>28207</v>
      </c>
      <c r="H1676" t="s">
        <v>28215</v>
      </c>
      <c r="I1676" t="s">
        <v>4200</v>
      </c>
      <c r="J1676" t="s">
        <v>29517</v>
      </c>
      <c r="K1676" t="s">
        <v>36691</v>
      </c>
      <c r="M1676" t="s">
        <v>37780</v>
      </c>
      <c r="N1676" t="s">
        <v>40436</v>
      </c>
      <c r="O1676" t="s">
        <v>40437</v>
      </c>
      <c r="P1676">
        <v>0</v>
      </c>
      <c r="Q1676">
        <v>0</v>
      </c>
      <c r="R1676" t="s">
        <v>40438</v>
      </c>
      <c r="S1676" t="s">
        <v>40582</v>
      </c>
      <c r="T1676" t="s">
        <v>42103</v>
      </c>
      <c r="U1676" t="s">
        <v>44092</v>
      </c>
      <c r="W1676" t="s">
        <v>37780</v>
      </c>
      <c r="X1676" t="s">
        <v>40439</v>
      </c>
    </row>
    <row r="1677" spans="1:24">
      <c r="A1677">
        <f>HYPERLINK("https://www.philgeps.gov.ph/GEPSNONPILOT/Tender/SplashBidNoticeAbstractUI.aspx?menuIndex=3&amp;refID=7048961&amp;Result=3","7048961")</f>
        <v>0</v>
      </c>
      <c r="B1677" t="s">
        <v>777</v>
      </c>
      <c r="C1677" t="s">
        <v>4706</v>
      </c>
      <c r="D1677" t="s">
        <v>16204</v>
      </c>
      <c r="E1677" t="s">
        <v>17839</v>
      </c>
      <c r="F1677" t="s">
        <v>28198</v>
      </c>
      <c r="G1677" t="s">
        <v>28205</v>
      </c>
      <c r="H1677" t="s">
        <v>28214</v>
      </c>
      <c r="I1677" t="s">
        <v>3797</v>
      </c>
      <c r="J1677" t="s">
        <v>28378</v>
      </c>
      <c r="K1677" t="s">
        <v>36689</v>
      </c>
      <c r="M1677" t="s">
        <v>37781</v>
      </c>
      <c r="N1677" t="s">
        <v>40436</v>
      </c>
      <c r="O1677" t="s">
        <v>40437</v>
      </c>
      <c r="P1677">
        <v>0</v>
      </c>
      <c r="Q1677">
        <v>0</v>
      </c>
      <c r="R1677" t="s">
        <v>40438</v>
      </c>
      <c r="S1677" t="s">
        <v>40582</v>
      </c>
      <c r="T1677" t="s">
        <v>42115</v>
      </c>
      <c r="U1677" t="s">
        <v>44093</v>
      </c>
      <c r="V1677" t="s">
        <v>53944</v>
      </c>
      <c r="W1677" t="s">
        <v>37781</v>
      </c>
      <c r="X1677" t="s">
        <v>40439</v>
      </c>
    </row>
    <row r="1678" spans="1:24">
      <c r="A1678">
        <f>HYPERLINK("https://www.philgeps.gov.ph/GEPSNONPILOT/Tender/SplashBidNoticeAbstractUI.aspx?menuIndex=3&amp;refID=7048990&amp;Result=3","7048990")</f>
        <v>0</v>
      </c>
      <c r="B1678" t="s">
        <v>726</v>
      </c>
      <c r="C1678" t="s">
        <v>4707</v>
      </c>
      <c r="D1678" t="s">
        <v>16210</v>
      </c>
      <c r="E1678" t="s">
        <v>17840</v>
      </c>
      <c r="F1678" t="s">
        <v>28198</v>
      </c>
      <c r="G1678" t="s">
        <v>28207</v>
      </c>
      <c r="H1678" t="s">
        <v>28215</v>
      </c>
      <c r="I1678" t="s">
        <v>28255</v>
      </c>
      <c r="J1678" t="s">
        <v>28361</v>
      </c>
      <c r="K1678" t="s">
        <v>36756</v>
      </c>
      <c r="M1678" t="s">
        <v>37727</v>
      </c>
      <c r="N1678" t="s">
        <v>40436</v>
      </c>
      <c r="O1678" t="s">
        <v>40437</v>
      </c>
      <c r="P1678">
        <v>0</v>
      </c>
      <c r="Q1678">
        <v>0</v>
      </c>
      <c r="R1678" t="s">
        <v>40438</v>
      </c>
      <c r="S1678" t="s">
        <v>40582</v>
      </c>
      <c r="T1678" t="s">
        <v>42124</v>
      </c>
      <c r="U1678" t="s">
        <v>44094</v>
      </c>
      <c r="V1678" t="s">
        <v>53960</v>
      </c>
      <c r="W1678" t="s">
        <v>37727</v>
      </c>
      <c r="X1678" t="s">
        <v>40439</v>
      </c>
    </row>
    <row r="1679" spans="1:24">
      <c r="A1679">
        <f>HYPERLINK("https://www.philgeps.gov.ph/GEPSNONPILOT/Tender/SplashBidNoticeAbstractUI.aspx?menuIndex=3&amp;refID=7048962&amp;Result=3","7048962")</f>
        <v>0</v>
      </c>
      <c r="B1679" t="s">
        <v>664</v>
      </c>
      <c r="C1679" t="s">
        <v>4708</v>
      </c>
      <c r="D1679" t="s">
        <v>16260</v>
      </c>
      <c r="E1679" t="s">
        <v>17841</v>
      </c>
      <c r="F1679" t="s">
        <v>28198</v>
      </c>
      <c r="G1679" t="s">
        <v>28207</v>
      </c>
      <c r="H1679" t="s">
        <v>28215</v>
      </c>
      <c r="I1679" t="s">
        <v>28279</v>
      </c>
      <c r="J1679" t="s">
        <v>28551</v>
      </c>
      <c r="K1679" t="s">
        <v>36688</v>
      </c>
      <c r="M1679" t="s">
        <v>37660</v>
      </c>
      <c r="N1679" t="s">
        <v>40436</v>
      </c>
      <c r="O1679" t="s">
        <v>40437</v>
      </c>
      <c r="P1679">
        <v>0</v>
      </c>
      <c r="Q1679">
        <v>1</v>
      </c>
      <c r="R1679" t="s">
        <v>40438</v>
      </c>
      <c r="S1679" t="s">
        <v>40582</v>
      </c>
      <c r="T1679" t="s">
        <v>42129</v>
      </c>
      <c r="U1679" t="s">
        <v>42746</v>
      </c>
      <c r="W1679" t="s">
        <v>37660</v>
      </c>
      <c r="X1679" t="s">
        <v>40439</v>
      </c>
    </row>
    <row r="1680" spans="1:24">
      <c r="A1680">
        <f>HYPERLINK("https://www.philgeps.gov.ph/GEPSNONPILOT/Tender/SplashBidNoticeAbstractUI.aspx?menuIndex=3&amp;refID=7048992&amp;Result=3","7048992")</f>
        <v>0</v>
      </c>
      <c r="B1680" t="s">
        <v>695</v>
      </c>
      <c r="C1680" t="s">
        <v>4709</v>
      </c>
      <c r="D1680" t="s">
        <v>16204</v>
      </c>
      <c r="E1680" t="s">
        <v>17842</v>
      </c>
      <c r="F1680" t="s">
        <v>28198</v>
      </c>
      <c r="G1680" t="s">
        <v>28206</v>
      </c>
      <c r="H1680" t="s">
        <v>28215</v>
      </c>
      <c r="I1680" t="s">
        <v>28226</v>
      </c>
      <c r="J1680" t="s">
        <v>29518</v>
      </c>
      <c r="K1680" t="s">
        <v>36689</v>
      </c>
      <c r="M1680" t="s">
        <v>37695</v>
      </c>
      <c r="N1680" t="s">
        <v>40436</v>
      </c>
      <c r="O1680" t="s">
        <v>40437</v>
      </c>
      <c r="P1680">
        <v>0</v>
      </c>
      <c r="Q1680">
        <v>4</v>
      </c>
      <c r="R1680" t="s">
        <v>40438</v>
      </c>
      <c r="S1680" t="s">
        <v>40582</v>
      </c>
      <c r="T1680" t="s">
        <v>42277</v>
      </c>
      <c r="U1680" t="s">
        <v>44095</v>
      </c>
      <c r="W1680" t="s">
        <v>37695</v>
      </c>
      <c r="X1680" t="s">
        <v>40439</v>
      </c>
    </row>
    <row r="1681" spans="1:24">
      <c r="A1681">
        <f>HYPERLINK("https://www.philgeps.gov.ph/GEPSNONPILOT/Tender/SplashBidNoticeAbstractUI.aspx?menuIndex=3&amp;refID=7048991&amp;Result=3","7048991")</f>
        <v>0</v>
      </c>
      <c r="B1681" t="s">
        <v>778</v>
      </c>
      <c r="C1681" t="s">
        <v>4710</v>
      </c>
      <c r="D1681" t="s">
        <v>16221</v>
      </c>
      <c r="E1681" t="s">
        <v>17843</v>
      </c>
      <c r="F1681" t="s">
        <v>28198</v>
      </c>
      <c r="G1681" t="s">
        <v>28207</v>
      </c>
      <c r="H1681" t="s">
        <v>28216</v>
      </c>
      <c r="I1681" t="s">
        <v>28263</v>
      </c>
      <c r="J1681" t="s">
        <v>28364</v>
      </c>
      <c r="K1681" t="s">
        <v>36697</v>
      </c>
      <c r="M1681" t="s">
        <v>37782</v>
      </c>
      <c r="N1681" t="s">
        <v>40436</v>
      </c>
      <c r="O1681" t="s">
        <v>40437</v>
      </c>
      <c r="P1681">
        <v>0</v>
      </c>
      <c r="Q1681">
        <v>0</v>
      </c>
      <c r="R1681" t="s">
        <v>40438</v>
      </c>
      <c r="S1681" t="s">
        <v>40582</v>
      </c>
      <c r="T1681" t="s">
        <v>42119</v>
      </c>
      <c r="U1681" t="s">
        <v>44096</v>
      </c>
      <c r="V1681" t="s">
        <v>53969</v>
      </c>
      <c r="W1681" t="s">
        <v>37782</v>
      </c>
      <c r="X1681" t="s">
        <v>40439</v>
      </c>
    </row>
    <row r="1682" spans="1:24">
      <c r="A1682">
        <f>HYPERLINK("https://www.philgeps.gov.ph/GEPSNONPILOT/Tender/SplashBidNoticeAbstractUI.aspx?menuIndex=3&amp;refID=7048977&amp;Result=3","7048977")</f>
        <v>0</v>
      </c>
      <c r="B1682" t="s">
        <v>237</v>
      </c>
      <c r="C1682" t="s">
        <v>4711</v>
      </c>
      <c r="D1682" t="s">
        <v>16197</v>
      </c>
      <c r="E1682" t="s">
        <v>17844</v>
      </c>
      <c r="F1682" t="s">
        <v>28198</v>
      </c>
      <c r="G1682" t="s">
        <v>28207</v>
      </c>
      <c r="H1682" t="s">
        <v>28217</v>
      </c>
      <c r="I1682" t="s">
        <v>5631</v>
      </c>
      <c r="J1682" t="s">
        <v>29519</v>
      </c>
      <c r="K1682" t="s">
        <v>36696</v>
      </c>
      <c r="M1682" t="s">
        <v>37213</v>
      </c>
      <c r="N1682" t="s">
        <v>40436</v>
      </c>
      <c r="O1682" t="s">
        <v>40437</v>
      </c>
      <c r="P1682">
        <v>0</v>
      </c>
      <c r="Q1682">
        <v>0</v>
      </c>
      <c r="R1682" t="s">
        <v>40438</v>
      </c>
      <c r="S1682" t="s">
        <v>40582</v>
      </c>
      <c r="T1682" t="s">
        <v>42144</v>
      </c>
      <c r="U1682" t="s">
        <v>44097</v>
      </c>
      <c r="W1682" t="s">
        <v>37213</v>
      </c>
      <c r="X1682" t="s">
        <v>40439</v>
      </c>
    </row>
    <row r="1683" spans="1:24">
      <c r="A1683">
        <f>HYPERLINK("https://www.philgeps.gov.ph/GEPSNONPILOT/Tender/SplashBidNoticeAbstractUI.aspx?menuIndex=3&amp;refID=7049006&amp;Result=3","7049006")</f>
        <v>0</v>
      </c>
      <c r="B1683" t="s">
        <v>771</v>
      </c>
      <c r="C1683" t="s">
        <v>4712</v>
      </c>
      <c r="D1683" t="s">
        <v>16203</v>
      </c>
      <c r="E1683" t="s">
        <v>17845</v>
      </c>
      <c r="F1683" t="s">
        <v>28198</v>
      </c>
      <c r="G1683" t="s">
        <v>28205</v>
      </c>
      <c r="H1683" t="s">
        <v>28215</v>
      </c>
      <c r="I1683" t="s">
        <v>28228</v>
      </c>
      <c r="J1683" t="s">
        <v>29520</v>
      </c>
      <c r="K1683" t="s">
        <v>36707</v>
      </c>
      <c r="M1683" t="s">
        <v>37774</v>
      </c>
      <c r="N1683" t="s">
        <v>40436</v>
      </c>
      <c r="O1683" t="s">
        <v>40437</v>
      </c>
      <c r="P1683">
        <v>0</v>
      </c>
      <c r="Q1683">
        <v>0</v>
      </c>
      <c r="R1683" t="s">
        <v>40438</v>
      </c>
      <c r="S1683" t="s">
        <v>40582</v>
      </c>
      <c r="T1683" t="s">
        <v>42115</v>
      </c>
      <c r="U1683" t="s">
        <v>44098</v>
      </c>
      <c r="W1683" t="s">
        <v>37774</v>
      </c>
      <c r="X1683" t="s">
        <v>40439</v>
      </c>
    </row>
    <row r="1684" spans="1:24">
      <c r="A1684">
        <f>HYPERLINK("https://www.philgeps.gov.ph/GEPSNONPILOT/Tender/SplashBidNoticeAbstractUI.aspx?menuIndex=3&amp;refID=7048986&amp;Result=3","7048986")</f>
        <v>0</v>
      </c>
      <c r="B1684" t="s">
        <v>710</v>
      </c>
      <c r="C1684" t="s">
        <v>4713</v>
      </c>
      <c r="D1684" t="s">
        <v>16199</v>
      </c>
      <c r="E1684" t="s">
        <v>17846</v>
      </c>
      <c r="F1684" t="s">
        <v>28198</v>
      </c>
      <c r="G1684" t="s">
        <v>28207</v>
      </c>
      <c r="H1684" t="s">
        <v>28214</v>
      </c>
      <c r="I1684" t="s">
        <v>3797</v>
      </c>
      <c r="J1684" t="s">
        <v>29521</v>
      </c>
      <c r="K1684" t="s">
        <v>36696</v>
      </c>
      <c r="M1684" t="s">
        <v>37710</v>
      </c>
      <c r="N1684" t="s">
        <v>40436</v>
      </c>
      <c r="O1684" t="s">
        <v>40437</v>
      </c>
      <c r="P1684">
        <v>0</v>
      </c>
      <c r="Q1684">
        <v>0</v>
      </c>
      <c r="R1684" t="s">
        <v>40438</v>
      </c>
      <c r="S1684" t="s">
        <v>40582</v>
      </c>
      <c r="T1684" t="s">
        <v>42146</v>
      </c>
      <c r="U1684" t="s">
        <v>44099</v>
      </c>
      <c r="W1684" t="s">
        <v>37710</v>
      </c>
      <c r="X1684" t="s">
        <v>40439</v>
      </c>
    </row>
    <row r="1685" spans="1:24">
      <c r="A1685">
        <f>HYPERLINK("https://www.philgeps.gov.ph/GEPSNONPILOT/Tender/SplashBidNoticeAbstractUI.aspx?menuIndex=3&amp;refID=7048982&amp;Result=3","7048982")</f>
        <v>0</v>
      </c>
      <c r="B1685" t="s">
        <v>770</v>
      </c>
      <c r="C1685" t="s">
        <v>4714</v>
      </c>
      <c r="D1685" t="s">
        <v>16199</v>
      </c>
      <c r="E1685" t="s">
        <v>17847</v>
      </c>
      <c r="F1685" t="s">
        <v>28198</v>
      </c>
      <c r="G1685" t="s">
        <v>28205</v>
      </c>
      <c r="H1685" t="s">
        <v>28214</v>
      </c>
      <c r="I1685" t="s">
        <v>3797</v>
      </c>
      <c r="J1685" t="s">
        <v>29522</v>
      </c>
      <c r="K1685" t="s">
        <v>36759</v>
      </c>
      <c r="M1685" t="s">
        <v>37773</v>
      </c>
      <c r="N1685" t="s">
        <v>40436</v>
      </c>
      <c r="O1685" t="s">
        <v>40437</v>
      </c>
      <c r="P1685">
        <v>0</v>
      </c>
      <c r="Q1685">
        <v>0</v>
      </c>
      <c r="R1685" t="s">
        <v>40438</v>
      </c>
      <c r="S1685" t="s">
        <v>40582</v>
      </c>
      <c r="T1685" t="s">
        <v>42115</v>
      </c>
      <c r="U1685" t="s">
        <v>44074</v>
      </c>
      <c r="V1685" t="s">
        <v>53968</v>
      </c>
      <c r="W1685" t="s">
        <v>37773</v>
      </c>
      <c r="X1685" t="s">
        <v>40439</v>
      </c>
    </row>
    <row r="1686" spans="1:24">
      <c r="A1686">
        <f>HYPERLINK("https://www.philgeps.gov.ph/GEPSNONPILOT/Tender/SplashBidNoticeAbstractUI.aspx?menuIndex=3&amp;refID=7049004&amp;Result=3","7049004")</f>
        <v>0</v>
      </c>
      <c r="B1686" t="s">
        <v>779</v>
      </c>
      <c r="C1686" t="s">
        <v>4715</v>
      </c>
      <c r="E1686" t="s">
        <v>17848</v>
      </c>
      <c r="F1686" t="s">
        <v>28198</v>
      </c>
      <c r="G1686" t="s">
        <v>28207</v>
      </c>
      <c r="H1686" t="s">
        <v>28215</v>
      </c>
      <c r="I1686" t="s">
        <v>4219</v>
      </c>
      <c r="J1686" t="s">
        <v>29523</v>
      </c>
      <c r="K1686" t="s">
        <v>36704</v>
      </c>
      <c r="M1686" t="s">
        <v>37783</v>
      </c>
      <c r="N1686" t="s">
        <v>40436</v>
      </c>
      <c r="O1686" t="s">
        <v>40437</v>
      </c>
      <c r="P1686">
        <v>0</v>
      </c>
      <c r="Q1686">
        <v>0</v>
      </c>
      <c r="R1686" t="s">
        <v>40438</v>
      </c>
      <c r="S1686" t="s">
        <v>40582</v>
      </c>
      <c r="T1686" t="s">
        <v>42103</v>
      </c>
      <c r="U1686" t="s">
        <v>44100</v>
      </c>
      <c r="W1686" t="s">
        <v>37783</v>
      </c>
      <c r="X1686" t="s">
        <v>40439</v>
      </c>
    </row>
    <row r="1687" spans="1:24">
      <c r="A1687">
        <f>HYPERLINK("https://www.philgeps.gov.ph/GEPSNONPILOT/Tender/SplashBidNoticeAbstractUI.aspx?menuIndex=3&amp;refID=7049007&amp;Result=3","7049007")</f>
        <v>0</v>
      </c>
      <c r="B1687" t="s">
        <v>391</v>
      </c>
      <c r="C1687" t="s">
        <v>4716</v>
      </c>
      <c r="D1687" t="s">
        <v>16202</v>
      </c>
      <c r="E1687" t="s">
        <v>17849</v>
      </c>
      <c r="F1687" t="s">
        <v>28198</v>
      </c>
      <c r="G1687" t="s">
        <v>28207</v>
      </c>
      <c r="H1687" t="s">
        <v>28215</v>
      </c>
      <c r="I1687" t="s">
        <v>28225</v>
      </c>
      <c r="J1687" t="s">
        <v>29524</v>
      </c>
      <c r="K1687" t="s">
        <v>36706</v>
      </c>
      <c r="M1687" t="s">
        <v>37371</v>
      </c>
      <c r="N1687" t="s">
        <v>40436</v>
      </c>
      <c r="O1687" t="s">
        <v>40437</v>
      </c>
      <c r="P1687">
        <v>0</v>
      </c>
      <c r="Q1687">
        <v>5</v>
      </c>
      <c r="R1687" t="s">
        <v>40438</v>
      </c>
      <c r="S1687" t="s">
        <v>40582</v>
      </c>
      <c r="T1687" t="s">
        <v>42142</v>
      </c>
      <c r="U1687" t="s">
        <v>43281</v>
      </c>
      <c r="V1687" t="s">
        <v>53876</v>
      </c>
      <c r="W1687" t="s">
        <v>37371</v>
      </c>
      <c r="X1687" t="s">
        <v>40439</v>
      </c>
    </row>
    <row r="1688" spans="1:24">
      <c r="A1688">
        <f>HYPERLINK("https://www.philgeps.gov.ph/GEPSNONPILOT/Tender/SplashBidNoticeAbstractUI.aspx?menuIndex=3&amp;refID=7048980&amp;Result=3","7048980")</f>
        <v>0</v>
      </c>
      <c r="B1688" t="s">
        <v>759</v>
      </c>
      <c r="C1688" t="s">
        <v>4717</v>
      </c>
      <c r="D1688" t="s">
        <v>16196</v>
      </c>
      <c r="E1688" t="s">
        <v>17850</v>
      </c>
      <c r="F1688" t="s">
        <v>28198</v>
      </c>
      <c r="G1688" t="s">
        <v>28207</v>
      </c>
      <c r="H1688" t="s">
        <v>28215</v>
      </c>
      <c r="I1688" t="s">
        <v>4168</v>
      </c>
      <c r="J1688" t="s">
        <v>29525</v>
      </c>
      <c r="K1688" t="s">
        <v>36689</v>
      </c>
      <c r="M1688" t="s">
        <v>37762</v>
      </c>
      <c r="N1688" t="s">
        <v>40436</v>
      </c>
      <c r="O1688" t="s">
        <v>40437</v>
      </c>
      <c r="P1688">
        <v>0</v>
      </c>
      <c r="Q1688">
        <v>0</v>
      </c>
      <c r="R1688" t="s">
        <v>40438</v>
      </c>
      <c r="S1688" t="s">
        <v>40582</v>
      </c>
      <c r="T1688" t="s">
        <v>42124</v>
      </c>
      <c r="U1688" t="s">
        <v>44101</v>
      </c>
      <c r="W1688" t="s">
        <v>37762</v>
      </c>
      <c r="X1688" t="s">
        <v>40439</v>
      </c>
    </row>
    <row r="1689" spans="1:24">
      <c r="A1689">
        <f>HYPERLINK("https://www.philgeps.gov.ph/GEPSNONPILOT/Tender/SplashBidNoticeAbstractUI.aspx?menuIndex=3&amp;refID=7049001&amp;Result=3","7049001")</f>
        <v>0</v>
      </c>
      <c r="B1689" t="s">
        <v>780</v>
      </c>
      <c r="C1689" t="s">
        <v>4718</v>
      </c>
      <c r="D1689" t="s">
        <v>16197</v>
      </c>
      <c r="E1689" t="s">
        <v>17851</v>
      </c>
      <c r="F1689" t="s">
        <v>28198</v>
      </c>
      <c r="G1689" t="s">
        <v>28205</v>
      </c>
      <c r="H1689" t="s">
        <v>28214</v>
      </c>
      <c r="I1689" t="s">
        <v>3797</v>
      </c>
      <c r="J1689" t="s">
        <v>29526</v>
      </c>
      <c r="K1689" t="s">
        <v>36760</v>
      </c>
      <c r="M1689" t="s">
        <v>37784</v>
      </c>
      <c r="N1689" t="s">
        <v>40436</v>
      </c>
      <c r="O1689" t="s">
        <v>40437</v>
      </c>
      <c r="P1689">
        <v>0</v>
      </c>
      <c r="Q1689">
        <v>2</v>
      </c>
      <c r="R1689" t="s">
        <v>40438</v>
      </c>
      <c r="S1689" t="s">
        <v>40582</v>
      </c>
      <c r="T1689" t="s">
        <v>42108</v>
      </c>
      <c r="U1689" t="s">
        <v>44102</v>
      </c>
      <c r="W1689" t="s">
        <v>37784</v>
      </c>
      <c r="X1689" t="s">
        <v>40439</v>
      </c>
    </row>
    <row r="1690" spans="1:24">
      <c r="A1690">
        <f>HYPERLINK("https://www.philgeps.gov.ph/GEPSNONPILOT/Tender/SplashBidNoticeAbstractUI.aspx?menuIndex=3&amp;refID=7049005&amp;Result=3","7049005")</f>
        <v>0</v>
      </c>
      <c r="B1690" t="s">
        <v>781</v>
      </c>
      <c r="C1690" t="s">
        <v>4719</v>
      </c>
      <c r="D1690" t="s">
        <v>16200</v>
      </c>
      <c r="E1690" t="s">
        <v>17852</v>
      </c>
      <c r="F1690" t="s">
        <v>28198</v>
      </c>
      <c r="G1690" t="s">
        <v>28206</v>
      </c>
      <c r="H1690" t="s">
        <v>28215</v>
      </c>
      <c r="I1690" t="s">
        <v>4168</v>
      </c>
      <c r="J1690" t="s">
        <v>29527</v>
      </c>
      <c r="K1690" t="s">
        <v>36689</v>
      </c>
      <c r="M1690" t="s">
        <v>37785</v>
      </c>
      <c r="N1690" t="s">
        <v>40436</v>
      </c>
      <c r="O1690" t="s">
        <v>40437</v>
      </c>
      <c r="P1690">
        <v>0</v>
      </c>
      <c r="Q1690">
        <v>0</v>
      </c>
      <c r="R1690" t="s">
        <v>40438</v>
      </c>
      <c r="S1690" t="s">
        <v>40582</v>
      </c>
      <c r="T1690" t="s">
        <v>42218</v>
      </c>
      <c r="U1690" t="s">
        <v>44103</v>
      </c>
      <c r="W1690" t="s">
        <v>37785</v>
      </c>
      <c r="X1690" t="s">
        <v>40439</v>
      </c>
    </row>
    <row r="1691" spans="1:24">
      <c r="A1691">
        <f>HYPERLINK("https://www.philgeps.gov.ph/GEPSNONPILOT/Tender/SplashBidNoticeAbstractUI.aspx?menuIndex=3&amp;refID=7049000&amp;Result=3","7049000")</f>
        <v>0</v>
      </c>
      <c r="B1691" t="s">
        <v>631</v>
      </c>
      <c r="C1691" t="s">
        <v>4720</v>
      </c>
      <c r="D1691" t="s">
        <v>16209</v>
      </c>
      <c r="E1691" t="s">
        <v>17853</v>
      </c>
      <c r="F1691" t="s">
        <v>28198</v>
      </c>
      <c r="G1691" t="s">
        <v>28207</v>
      </c>
      <c r="H1691" t="s">
        <v>28215</v>
      </c>
      <c r="I1691" t="s">
        <v>5631</v>
      </c>
      <c r="J1691" t="s">
        <v>29528</v>
      </c>
      <c r="K1691" t="s">
        <v>36707</v>
      </c>
      <c r="M1691" t="s">
        <v>37624</v>
      </c>
      <c r="N1691" t="s">
        <v>40436</v>
      </c>
      <c r="O1691" t="s">
        <v>40437</v>
      </c>
      <c r="P1691">
        <v>0</v>
      </c>
      <c r="Q1691">
        <v>0</v>
      </c>
      <c r="R1691" t="s">
        <v>40438</v>
      </c>
      <c r="S1691" t="s">
        <v>40582</v>
      </c>
      <c r="T1691" t="s">
        <v>42129</v>
      </c>
      <c r="U1691" t="s">
        <v>43746</v>
      </c>
      <c r="W1691" t="s">
        <v>55455</v>
      </c>
      <c r="X1691" t="s">
        <v>40439</v>
      </c>
    </row>
    <row r="1692" spans="1:24">
      <c r="A1692">
        <f>HYPERLINK("https://www.philgeps.gov.ph/GEPSNONPILOT/Tender/SplashBidNoticeAbstractUI.aspx?menuIndex=3&amp;refID=7049003&amp;Result=3","7049003")</f>
        <v>0</v>
      </c>
      <c r="B1692" t="s">
        <v>782</v>
      </c>
      <c r="C1692" t="s">
        <v>4721</v>
      </c>
      <c r="D1692" t="s">
        <v>16222</v>
      </c>
      <c r="E1692" t="s">
        <v>17854</v>
      </c>
      <c r="F1692" t="s">
        <v>28198</v>
      </c>
      <c r="G1692" t="s">
        <v>28207</v>
      </c>
      <c r="H1692" t="s">
        <v>28215</v>
      </c>
      <c r="I1692" t="s">
        <v>5656</v>
      </c>
      <c r="J1692" t="s">
        <v>29529</v>
      </c>
      <c r="K1692" t="s">
        <v>36691</v>
      </c>
      <c r="M1692" t="s">
        <v>37786</v>
      </c>
      <c r="N1692" t="s">
        <v>40436</v>
      </c>
      <c r="O1692" t="s">
        <v>40437</v>
      </c>
      <c r="P1692">
        <v>0</v>
      </c>
      <c r="Q1692">
        <v>0</v>
      </c>
      <c r="R1692" t="s">
        <v>40438</v>
      </c>
      <c r="S1692" t="s">
        <v>40582</v>
      </c>
      <c r="T1692" t="s">
        <v>42103</v>
      </c>
      <c r="U1692" t="s">
        <v>44104</v>
      </c>
      <c r="W1692" t="s">
        <v>37786</v>
      </c>
      <c r="X1692" t="s">
        <v>40439</v>
      </c>
    </row>
    <row r="1693" spans="1:24">
      <c r="A1693">
        <f>HYPERLINK("https://www.philgeps.gov.ph/GEPSNONPILOT/Tender/SplashBidNoticeAbstractUI.aspx?menuIndex=3&amp;refID=7048999&amp;Result=3","7048999")</f>
        <v>0</v>
      </c>
      <c r="B1693" t="s">
        <v>783</v>
      </c>
      <c r="C1693" t="s">
        <v>4722</v>
      </c>
      <c r="D1693" t="s">
        <v>16203</v>
      </c>
      <c r="E1693" t="s">
        <v>17855</v>
      </c>
      <c r="F1693" t="s">
        <v>28198</v>
      </c>
      <c r="G1693" t="s">
        <v>28206</v>
      </c>
      <c r="H1693" t="s">
        <v>28215</v>
      </c>
      <c r="I1693" t="s">
        <v>28224</v>
      </c>
      <c r="J1693" t="s">
        <v>29530</v>
      </c>
      <c r="K1693" t="s">
        <v>36701</v>
      </c>
      <c r="M1693" t="s">
        <v>37787</v>
      </c>
      <c r="N1693" t="s">
        <v>40436</v>
      </c>
      <c r="O1693" t="s">
        <v>40437</v>
      </c>
      <c r="P1693">
        <v>0</v>
      </c>
      <c r="Q1693">
        <v>1</v>
      </c>
      <c r="R1693" t="s">
        <v>40438</v>
      </c>
      <c r="S1693" t="s">
        <v>40582</v>
      </c>
      <c r="T1693" t="s">
        <v>42158</v>
      </c>
      <c r="U1693" t="s">
        <v>44105</v>
      </c>
      <c r="W1693" t="s">
        <v>37787</v>
      </c>
      <c r="X1693" t="s">
        <v>40439</v>
      </c>
    </row>
    <row r="1694" spans="1:24">
      <c r="A1694">
        <f>HYPERLINK("https://www.philgeps.gov.ph/GEPSNONPILOT/Tender/SplashBidNoticeAbstractUI.aspx?menuIndex=3&amp;refID=7048997&amp;Result=3","7048997")</f>
        <v>0</v>
      </c>
      <c r="B1694" t="s">
        <v>784</v>
      </c>
      <c r="C1694" t="s">
        <v>4723</v>
      </c>
      <c r="D1694" t="s">
        <v>16191</v>
      </c>
      <c r="E1694" t="s">
        <v>17856</v>
      </c>
      <c r="F1694" t="s">
        <v>28198</v>
      </c>
      <c r="G1694" t="s">
        <v>28207</v>
      </c>
      <c r="H1694" t="s">
        <v>28215</v>
      </c>
      <c r="I1694" t="s">
        <v>28285</v>
      </c>
      <c r="J1694" t="s">
        <v>29531</v>
      </c>
      <c r="K1694" t="s">
        <v>36704</v>
      </c>
      <c r="M1694" t="s">
        <v>37788</v>
      </c>
      <c r="N1694" t="s">
        <v>40436</v>
      </c>
      <c r="O1694" t="s">
        <v>40437</v>
      </c>
      <c r="P1694">
        <v>0</v>
      </c>
      <c r="Q1694">
        <v>0</v>
      </c>
      <c r="R1694" t="s">
        <v>40438</v>
      </c>
      <c r="S1694" t="s">
        <v>40582</v>
      </c>
      <c r="T1694" t="s">
        <v>42124</v>
      </c>
      <c r="U1694" t="s">
        <v>44106</v>
      </c>
      <c r="V1694" t="s">
        <v>53970</v>
      </c>
      <c r="W1694" t="s">
        <v>37788</v>
      </c>
      <c r="X1694" t="s">
        <v>40439</v>
      </c>
    </row>
    <row r="1695" spans="1:24">
      <c r="A1695">
        <f>HYPERLINK("https://www.philgeps.gov.ph/GEPSNONPILOT/Tender/SplashBidNoticeAbstractUI.aspx?menuIndex=3&amp;refID=7049010&amp;Result=3","7049010")</f>
        <v>0</v>
      </c>
      <c r="B1695" t="s">
        <v>65</v>
      </c>
      <c r="C1695" t="s">
        <v>4724</v>
      </c>
      <c r="D1695" t="s">
        <v>16210</v>
      </c>
      <c r="E1695" t="s">
        <v>16370</v>
      </c>
      <c r="F1695" t="s">
        <v>28198</v>
      </c>
      <c r="G1695" t="s">
        <v>28207</v>
      </c>
      <c r="H1695" t="s">
        <v>28215</v>
      </c>
      <c r="I1695" t="s">
        <v>3774</v>
      </c>
      <c r="J1695" t="s">
        <v>29532</v>
      </c>
      <c r="K1695" t="s">
        <v>36689</v>
      </c>
      <c r="M1695" t="s">
        <v>37789</v>
      </c>
      <c r="N1695" t="s">
        <v>40436</v>
      </c>
      <c r="O1695" t="s">
        <v>40437</v>
      </c>
      <c r="P1695">
        <v>0</v>
      </c>
      <c r="Q1695">
        <v>1</v>
      </c>
      <c r="R1695" t="s">
        <v>40438</v>
      </c>
      <c r="S1695" t="s">
        <v>40582</v>
      </c>
      <c r="T1695" t="s">
        <v>42100</v>
      </c>
      <c r="U1695" t="s">
        <v>44107</v>
      </c>
      <c r="W1695" t="s">
        <v>37789</v>
      </c>
      <c r="X1695" t="s">
        <v>40439</v>
      </c>
    </row>
    <row r="1696" spans="1:24">
      <c r="A1696">
        <f>HYPERLINK("https://www.philgeps.gov.ph/GEPSNONPILOT/Tender/SplashBidNoticeAbstractUI.aspx?menuIndex=3&amp;refID=7049009&amp;Result=3","7049009")</f>
        <v>0</v>
      </c>
      <c r="B1696" t="s">
        <v>785</v>
      </c>
      <c r="C1696" t="s">
        <v>4725</v>
      </c>
      <c r="E1696" t="s">
        <v>17857</v>
      </c>
      <c r="F1696" t="s">
        <v>28198</v>
      </c>
      <c r="G1696" t="s">
        <v>28205</v>
      </c>
      <c r="H1696" t="s">
        <v>28215</v>
      </c>
      <c r="I1696" t="s">
        <v>28220</v>
      </c>
      <c r="J1696" t="s">
        <v>28899</v>
      </c>
      <c r="K1696" t="s">
        <v>36689</v>
      </c>
      <c r="M1696" t="s">
        <v>37790</v>
      </c>
      <c r="N1696" t="s">
        <v>40436</v>
      </c>
      <c r="O1696" t="s">
        <v>40437</v>
      </c>
      <c r="P1696">
        <v>0</v>
      </c>
      <c r="Q1696">
        <v>13</v>
      </c>
      <c r="R1696" t="s">
        <v>40438</v>
      </c>
      <c r="S1696" t="s">
        <v>40582</v>
      </c>
      <c r="T1696" t="s">
        <v>42122</v>
      </c>
      <c r="U1696" t="s">
        <v>44108</v>
      </c>
      <c r="W1696" t="s">
        <v>37790</v>
      </c>
      <c r="X1696" t="s">
        <v>40439</v>
      </c>
    </row>
    <row r="1697" spans="1:24">
      <c r="A1697">
        <f>HYPERLINK("https://www.philgeps.gov.ph/GEPSNONPILOT/Tender/SplashBidNoticeAbstractUI.aspx?menuIndex=3&amp;refID=7049012&amp;Result=3","7049012")</f>
        <v>0</v>
      </c>
      <c r="B1697" t="s">
        <v>786</v>
      </c>
      <c r="C1697" t="s">
        <v>4726</v>
      </c>
      <c r="D1697" t="s">
        <v>16203</v>
      </c>
      <c r="E1697" t="s">
        <v>17858</v>
      </c>
      <c r="F1697" t="s">
        <v>28201</v>
      </c>
      <c r="G1697" t="s">
        <v>28207</v>
      </c>
      <c r="H1697" t="s">
        <v>28215</v>
      </c>
      <c r="I1697" t="s">
        <v>5082</v>
      </c>
      <c r="J1697" t="s">
        <v>28679</v>
      </c>
      <c r="K1697" t="s">
        <v>36688</v>
      </c>
      <c r="M1697" t="s">
        <v>37791</v>
      </c>
      <c r="N1697" t="s">
        <v>40436</v>
      </c>
      <c r="O1697" t="s">
        <v>40437</v>
      </c>
      <c r="P1697">
        <v>0</v>
      </c>
      <c r="Q1697">
        <v>0</v>
      </c>
      <c r="R1697" t="s">
        <v>40438</v>
      </c>
      <c r="S1697" t="s">
        <v>40582</v>
      </c>
      <c r="T1697" t="s">
        <v>42179</v>
      </c>
      <c r="U1697" t="s">
        <v>44109</v>
      </c>
      <c r="W1697" t="s">
        <v>37791</v>
      </c>
      <c r="X1697" t="s">
        <v>40439</v>
      </c>
    </row>
    <row r="1698" spans="1:24">
      <c r="A1698">
        <f>HYPERLINK("https://www.philgeps.gov.ph/GEPSNONPILOT/Tender/SplashBidNoticeAbstractUI.aspx?menuIndex=3&amp;refID=7048994&amp;Result=3","7048994")</f>
        <v>0</v>
      </c>
      <c r="B1698" t="s">
        <v>787</v>
      </c>
      <c r="C1698" t="s">
        <v>4727</v>
      </c>
      <c r="D1698" t="s">
        <v>16207</v>
      </c>
      <c r="E1698" t="s">
        <v>17859</v>
      </c>
      <c r="F1698" t="s">
        <v>28198</v>
      </c>
      <c r="G1698" t="s">
        <v>28205</v>
      </c>
      <c r="H1698" t="s">
        <v>28214</v>
      </c>
      <c r="I1698" t="s">
        <v>3797</v>
      </c>
      <c r="J1698" t="s">
        <v>29533</v>
      </c>
      <c r="K1698" t="s">
        <v>36737</v>
      </c>
      <c r="M1698" t="s">
        <v>37792</v>
      </c>
      <c r="N1698" t="s">
        <v>40436</v>
      </c>
      <c r="O1698" t="s">
        <v>40437</v>
      </c>
      <c r="P1698">
        <v>0</v>
      </c>
      <c r="Q1698">
        <v>0</v>
      </c>
      <c r="R1698" t="s">
        <v>40438</v>
      </c>
      <c r="S1698" t="s">
        <v>40582</v>
      </c>
      <c r="T1698" t="s">
        <v>42115</v>
      </c>
      <c r="U1698" t="s">
        <v>44110</v>
      </c>
      <c r="V1698" t="s">
        <v>53971</v>
      </c>
      <c r="W1698" t="s">
        <v>37792</v>
      </c>
      <c r="X1698" t="s">
        <v>40439</v>
      </c>
    </row>
    <row r="1699" spans="1:24">
      <c r="A1699">
        <f>HYPERLINK("https://www.philgeps.gov.ph/GEPSNONPILOT/Tender/SplashBidNoticeAbstractUI.aspx?menuIndex=3&amp;refID=7049013&amp;Result=3","7049013")</f>
        <v>0</v>
      </c>
      <c r="B1699" t="s">
        <v>788</v>
      </c>
      <c r="C1699" t="s">
        <v>4728</v>
      </c>
      <c r="D1699" t="s">
        <v>16262</v>
      </c>
      <c r="E1699" t="s">
        <v>17860</v>
      </c>
      <c r="F1699" t="s">
        <v>28198</v>
      </c>
      <c r="G1699" t="s">
        <v>28207</v>
      </c>
      <c r="H1699" t="s">
        <v>28215</v>
      </c>
      <c r="I1699" t="s">
        <v>28279</v>
      </c>
      <c r="J1699" t="s">
        <v>28352</v>
      </c>
      <c r="K1699" t="s">
        <v>36691</v>
      </c>
      <c r="M1699" t="s">
        <v>37793</v>
      </c>
      <c r="N1699" t="s">
        <v>40436</v>
      </c>
      <c r="O1699" t="s">
        <v>40437</v>
      </c>
      <c r="P1699">
        <v>0</v>
      </c>
      <c r="Q1699">
        <v>1</v>
      </c>
      <c r="R1699" t="s">
        <v>40438</v>
      </c>
      <c r="S1699" t="s">
        <v>40582</v>
      </c>
      <c r="T1699" t="s">
        <v>42119</v>
      </c>
      <c r="U1699" t="s">
        <v>44111</v>
      </c>
      <c r="V1699" t="s">
        <v>53972</v>
      </c>
      <c r="W1699" t="s">
        <v>37793</v>
      </c>
      <c r="X1699" t="s">
        <v>40439</v>
      </c>
    </row>
    <row r="1700" spans="1:24">
      <c r="A1700">
        <f>HYPERLINK("https://www.philgeps.gov.ph/GEPSNONPILOT/Tender/SplashBidNoticeAbstractUI.aspx?menuIndex=3&amp;refID=7049027&amp;Result=3","7049027")</f>
        <v>0</v>
      </c>
      <c r="B1700" t="s">
        <v>789</v>
      </c>
      <c r="C1700" t="s">
        <v>4729</v>
      </c>
      <c r="D1700" t="s">
        <v>16190</v>
      </c>
      <c r="E1700" t="s">
        <v>17861</v>
      </c>
      <c r="F1700" t="s">
        <v>28198</v>
      </c>
      <c r="G1700" t="s">
        <v>28207</v>
      </c>
      <c r="H1700" t="s">
        <v>28215</v>
      </c>
      <c r="I1700" t="s">
        <v>28228</v>
      </c>
      <c r="J1700" t="s">
        <v>29534</v>
      </c>
      <c r="K1700" t="s">
        <v>36705</v>
      </c>
      <c r="M1700" t="s">
        <v>37794</v>
      </c>
      <c r="N1700" t="s">
        <v>40436</v>
      </c>
      <c r="O1700" t="s">
        <v>40437</v>
      </c>
      <c r="P1700">
        <v>0</v>
      </c>
      <c r="Q1700">
        <v>0</v>
      </c>
      <c r="R1700" t="s">
        <v>40438</v>
      </c>
      <c r="S1700" t="s">
        <v>40582</v>
      </c>
      <c r="T1700" t="s">
        <v>42229</v>
      </c>
      <c r="U1700" t="s">
        <v>44112</v>
      </c>
      <c r="V1700" t="s">
        <v>53973</v>
      </c>
      <c r="W1700" t="s">
        <v>37794</v>
      </c>
      <c r="X1700" t="s">
        <v>40439</v>
      </c>
    </row>
    <row r="1701" spans="1:24">
      <c r="A1701">
        <f>HYPERLINK("https://www.philgeps.gov.ph/GEPSNONPILOT/Tender/SplashBidNoticeAbstractUI.aspx?menuIndex=3&amp;refID=7049022&amp;Result=3","7049022")</f>
        <v>0</v>
      </c>
      <c r="B1701" t="s">
        <v>42</v>
      </c>
      <c r="C1701" t="s">
        <v>4730</v>
      </c>
      <c r="D1701" t="s">
        <v>16190</v>
      </c>
      <c r="E1701" t="s">
        <v>17862</v>
      </c>
      <c r="F1701" t="s">
        <v>28198</v>
      </c>
      <c r="G1701" t="s">
        <v>28207</v>
      </c>
      <c r="H1701" t="s">
        <v>28215</v>
      </c>
      <c r="I1701" t="s">
        <v>5082</v>
      </c>
      <c r="J1701" t="s">
        <v>29535</v>
      </c>
      <c r="K1701" t="s">
        <v>36693</v>
      </c>
      <c r="M1701" t="s">
        <v>37012</v>
      </c>
      <c r="N1701" t="s">
        <v>40436</v>
      </c>
      <c r="O1701" t="s">
        <v>40437</v>
      </c>
      <c r="P1701">
        <v>0</v>
      </c>
      <c r="Q1701">
        <v>0</v>
      </c>
      <c r="R1701" t="s">
        <v>40438</v>
      </c>
      <c r="S1701" t="s">
        <v>40582</v>
      </c>
      <c r="T1701" t="s">
        <v>42284</v>
      </c>
      <c r="U1701" t="s">
        <v>44113</v>
      </c>
      <c r="W1701" t="s">
        <v>37012</v>
      </c>
      <c r="X1701" t="s">
        <v>40439</v>
      </c>
    </row>
    <row r="1702" spans="1:24">
      <c r="A1702">
        <f>HYPERLINK("https://www.philgeps.gov.ph/GEPSNONPILOT/Tender/SplashBidNoticeAbstractUI.aspx?menuIndex=3&amp;refID=7049008&amp;Result=3","7049008")</f>
        <v>0</v>
      </c>
      <c r="B1702" t="s">
        <v>285</v>
      </c>
      <c r="C1702" t="s">
        <v>4731</v>
      </c>
      <c r="D1702" t="s">
        <v>16203</v>
      </c>
      <c r="E1702" t="s">
        <v>17863</v>
      </c>
      <c r="F1702" t="s">
        <v>28198</v>
      </c>
      <c r="G1702" t="s">
        <v>28207</v>
      </c>
      <c r="H1702" t="s">
        <v>28215</v>
      </c>
      <c r="I1702" t="s">
        <v>4200</v>
      </c>
      <c r="J1702" t="s">
        <v>29536</v>
      </c>
      <c r="K1702" t="s">
        <v>36706</v>
      </c>
      <c r="M1702" t="s">
        <v>37569</v>
      </c>
      <c r="N1702" t="s">
        <v>40436</v>
      </c>
      <c r="O1702" t="s">
        <v>40437</v>
      </c>
      <c r="P1702">
        <v>0</v>
      </c>
      <c r="Q1702">
        <v>1</v>
      </c>
      <c r="R1702" t="s">
        <v>40438</v>
      </c>
      <c r="S1702" t="s">
        <v>40582</v>
      </c>
      <c r="T1702" t="s">
        <v>42102</v>
      </c>
      <c r="U1702" t="s">
        <v>44114</v>
      </c>
      <c r="W1702" t="s">
        <v>37569</v>
      </c>
      <c r="X1702" t="s">
        <v>40439</v>
      </c>
    </row>
    <row r="1703" spans="1:24">
      <c r="A1703">
        <f>HYPERLINK("https://www.philgeps.gov.ph/GEPSNONPILOT/Tender/SplashBidNoticeAbstractUI.aspx?menuIndex=3&amp;refID=7049024&amp;Result=3","7049024")</f>
        <v>0</v>
      </c>
      <c r="B1703" t="s">
        <v>728</v>
      </c>
      <c r="C1703" t="s">
        <v>4732</v>
      </c>
      <c r="D1703" t="s">
        <v>16200</v>
      </c>
      <c r="E1703" t="s">
        <v>17864</v>
      </c>
      <c r="F1703" t="s">
        <v>28198</v>
      </c>
      <c r="G1703" t="s">
        <v>28205</v>
      </c>
      <c r="H1703" t="s">
        <v>28215</v>
      </c>
      <c r="I1703" t="s">
        <v>28280</v>
      </c>
      <c r="J1703" t="s">
        <v>29537</v>
      </c>
      <c r="K1703" t="s">
        <v>36697</v>
      </c>
      <c r="M1703" t="s">
        <v>37729</v>
      </c>
      <c r="N1703" t="s">
        <v>40436</v>
      </c>
      <c r="O1703" t="s">
        <v>40437</v>
      </c>
      <c r="P1703">
        <v>0</v>
      </c>
      <c r="Q1703">
        <v>3</v>
      </c>
      <c r="R1703" t="s">
        <v>40438</v>
      </c>
      <c r="S1703" t="s">
        <v>40582</v>
      </c>
      <c r="T1703" t="s">
        <v>42143</v>
      </c>
      <c r="U1703" t="s">
        <v>43975</v>
      </c>
      <c r="W1703" t="s">
        <v>37729</v>
      </c>
      <c r="X1703" t="s">
        <v>40439</v>
      </c>
    </row>
    <row r="1704" spans="1:24">
      <c r="A1704">
        <f>HYPERLINK("https://www.philgeps.gov.ph/GEPSNONPILOT/Tender/SplashBidNoticeAbstractUI.aspx?menuIndex=3&amp;refID=7049019&amp;Result=3","7049019")</f>
        <v>0</v>
      </c>
      <c r="B1704" t="s">
        <v>215</v>
      </c>
      <c r="C1704" t="s">
        <v>4733</v>
      </c>
      <c r="D1704" t="s">
        <v>16218</v>
      </c>
      <c r="E1704" t="s">
        <v>17865</v>
      </c>
      <c r="F1704" t="s">
        <v>28198</v>
      </c>
      <c r="G1704" t="s">
        <v>28207</v>
      </c>
      <c r="H1704" t="s">
        <v>28215</v>
      </c>
      <c r="I1704" t="s">
        <v>5631</v>
      </c>
      <c r="J1704" t="s">
        <v>29538</v>
      </c>
      <c r="K1704" t="s">
        <v>36688</v>
      </c>
      <c r="M1704" t="s">
        <v>37795</v>
      </c>
      <c r="N1704" t="s">
        <v>40436</v>
      </c>
      <c r="O1704" t="s">
        <v>40437</v>
      </c>
      <c r="P1704">
        <v>0</v>
      </c>
      <c r="Q1704">
        <v>0</v>
      </c>
      <c r="R1704" t="s">
        <v>40438</v>
      </c>
      <c r="S1704" t="s">
        <v>40582</v>
      </c>
      <c r="T1704" t="s">
        <v>42103</v>
      </c>
      <c r="U1704" t="s">
        <v>42957</v>
      </c>
      <c r="W1704" t="s">
        <v>37795</v>
      </c>
      <c r="X1704" t="s">
        <v>40439</v>
      </c>
    </row>
    <row r="1705" spans="1:24">
      <c r="A1705">
        <f>HYPERLINK("https://www.philgeps.gov.ph/GEPSNONPILOT/Tender/SplashBidNoticeAbstractUI.aspx?menuIndex=3&amp;refID=7049026&amp;Result=3","7049026")</f>
        <v>0</v>
      </c>
      <c r="B1705" t="s">
        <v>790</v>
      </c>
      <c r="C1705" t="s">
        <v>4734</v>
      </c>
      <c r="D1705" t="s">
        <v>16221</v>
      </c>
      <c r="E1705" t="s">
        <v>16497</v>
      </c>
      <c r="F1705" t="s">
        <v>28198</v>
      </c>
      <c r="G1705" t="s">
        <v>28206</v>
      </c>
      <c r="H1705" t="s">
        <v>28215</v>
      </c>
      <c r="I1705" t="s">
        <v>28251</v>
      </c>
      <c r="J1705" t="s">
        <v>28352</v>
      </c>
      <c r="K1705" t="s">
        <v>36723</v>
      </c>
      <c r="L1705" t="s">
        <v>790</v>
      </c>
      <c r="M1705" t="s">
        <v>37796</v>
      </c>
      <c r="N1705" t="s">
        <v>40436</v>
      </c>
      <c r="O1705" t="s">
        <v>40437</v>
      </c>
      <c r="P1705">
        <v>0</v>
      </c>
      <c r="Q1705">
        <v>3</v>
      </c>
      <c r="R1705" t="s">
        <v>40438</v>
      </c>
      <c r="S1705" t="s">
        <v>40582</v>
      </c>
      <c r="T1705" t="s">
        <v>42131</v>
      </c>
      <c r="U1705" t="s">
        <v>44115</v>
      </c>
      <c r="W1705" t="s">
        <v>37796</v>
      </c>
      <c r="X1705" t="s">
        <v>40439</v>
      </c>
    </row>
    <row r="1706" spans="1:24">
      <c r="A1706">
        <f>HYPERLINK("https://www.philgeps.gov.ph/GEPSNONPILOT/Tender/SplashBidNoticeAbstractUI.aspx?menuIndex=3&amp;refID=7049021&amp;Result=3","7049021")</f>
        <v>0</v>
      </c>
      <c r="B1706" t="s">
        <v>791</v>
      </c>
      <c r="C1706" t="s">
        <v>4735</v>
      </c>
      <c r="D1706" t="s">
        <v>16203</v>
      </c>
      <c r="E1706" t="s">
        <v>17866</v>
      </c>
      <c r="F1706" t="s">
        <v>28198</v>
      </c>
      <c r="G1706" t="s">
        <v>28207</v>
      </c>
      <c r="H1706" t="s">
        <v>28215</v>
      </c>
      <c r="I1706" t="s">
        <v>28224</v>
      </c>
      <c r="J1706" t="s">
        <v>29539</v>
      </c>
      <c r="K1706" t="s">
        <v>36691</v>
      </c>
      <c r="M1706" t="s">
        <v>37797</v>
      </c>
      <c r="N1706" t="s">
        <v>40436</v>
      </c>
      <c r="O1706" t="s">
        <v>40437</v>
      </c>
      <c r="P1706">
        <v>0</v>
      </c>
      <c r="Q1706">
        <v>0</v>
      </c>
      <c r="R1706" t="s">
        <v>40438</v>
      </c>
      <c r="S1706" t="s">
        <v>40582</v>
      </c>
      <c r="T1706" t="s">
        <v>42124</v>
      </c>
      <c r="U1706" t="s">
        <v>44116</v>
      </c>
      <c r="W1706" t="s">
        <v>37797</v>
      </c>
      <c r="X1706" t="s">
        <v>40439</v>
      </c>
    </row>
    <row r="1707" spans="1:24">
      <c r="A1707">
        <f>HYPERLINK("https://www.philgeps.gov.ph/GEPSNONPILOT/Tender/SplashBidNoticeAbstractUI.aspx?menuIndex=3&amp;refID=7049018&amp;Result=3","7049018")</f>
        <v>0</v>
      </c>
      <c r="B1707" t="s">
        <v>572</v>
      </c>
      <c r="C1707" t="s">
        <v>4736</v>
      </c>
      <c r="D1707" t="s">
        <v>16192</v>
      </c>
      <c r="E1707" t="s">
        <v>17867</v>
      </c>
      <c r="F1707" t="s">
        <v>28198</v>
      </c>
      <c r="G1707" t="s">
        <v>28207</v>
      </c>
      <c r="H1707" t="s">
        <v>28215</v>
      </c>
      <c r="I1707" t="s">
        <v>28224</v>
      </c>
      <c r="J1707" t="s">
        <v>29105</v>
      </c>
      <c r="K1707" t="s">
        <v>36701</v>
      </c>
      <c r="M1707" t="s">
        <v>37560</v>
      </c>
      <c r="N1707" t="s">
        <v>40436</v>
      </c>
      <c r="O1707" t="s">
        <v>40437</v>
      </c>
      <c r="P1707">
        <v>0</v>
      </c>
      <c r="Q1707">
        <v>0</v>
      </c>
      <c r="R1707" t="s">
        <v>40438</v>
      </c>
      <c r="S1707" t="s">
        <v>40582</v>
      </c>
      <c r="T1707" t="s">
        <v>42119</v>
      </c>
      <c r="U1707" t="s">
        <v>44117</v>
      </c>
      <c r="W1707" t="s">
        <v>37560</v>
      </c>
      <c r="X1707" t="s">
        <v>40439</v>
      </c>
    </row>
    <row r="1708" spans="1:24">
      <c r="A1708">
        <f>HYPERLINK("https://www.philgeps.gov.ph/GEPSNONPILOT/Tender/SplashBidNoticeAbstractUI.aspx?menuIndex=3&amp;refID=7049017&amp;Result=3","7049017")</f>
        <v>0</v>
      </c>
      <c r="B1708" t="s">
        <v>762</v>
      </c>
      <c r="C1708" t="s">
        <v>4737</v>
      </c>
      <c r="D1708" t="s">
        <v>16252</v>
      </c>
      <c r="E1708" t="s">
        <v>17868</v>
      </c>
      <c r="F1708" t="s">
        <v>28198</v>
      </c>
      <c r="G1708" t="s">
        <v>28205</v>
      </c>
      <c r="H1708" t="s">
        <v>28215</v>
      </c>
      <c r="I1708" t="s">
        <v>28257</v>
      </c>
      <c r="J1708" t="s">
        <v>29540</v>
      </c>
      <c r="K1708" t="s">
        <v>36693</v>
      </c>
      <c r="M1708" t="s">
        <v>37765</v>
      </c>
      <c r="N1708" t="s">
        <v>40436</v>
      </c>
      <c r="O1708" t="s">
        <v>40437</v>
      </c>
      <c r="P1708">
        <v>0</v>
      </c>
      <c r="Q1708">
        <v>1</v>
      </c>
      <c r="R1708" t="s">
        <v>40438</v>
      </c>
      <c r="S1708" t="s">
        <v>40582</v>
      </c>
      <c r="T1708" t="s">
        <v>42112</v>
      </c>
      <c r="U1708" t="s">
        <v>44118</v>
      </c>
      <c r="W1708" t="s">
        <v>37765</v>
      </c>
      <c r="X1708" t="s">
        <v>40439</v>
      </c>
    </row>
    <row r="1709" spans="1:24">
      <c r="A1709">
        <f>HYPERLINK("https://www.philgeps.gov.ph/GEPSNONPILOT/Tender/SplashBidNoticeAbstractUI.aspx?menuIndex=3&amp;refID=7049025&amp;Result=3","7049025")</f>
        <v>0</v>
      </c>
      <c r="B1709" t="s">
        <v>361</v>
      </c>
      <c r="C1709" t="s">
        <v>4738</v>
      </c>
      <c r="D1709" t="s">
        <v>16236</v>
      </c>
      <c r="E1709" t="s">
        <v>17869</v>
      </c>
      <c r="F1709" t="s">
        <v>28198</v>
      </c>
      <c r="G1709" t="s">
        <v>28210</v>
      </c>
      <c r="H1709" t="s">
        <v>28215</v>
      </c>
      <c r="I1709" t="s">
        <v>4219</v>
      </c>
      <c r="J1709" t="s">
        <v>29541</v>
      </c>
      <c r="K1709" t="s">
        <v>36707</v>
      </c>
      <c r="M1709" t="s">
        <v>37600</v>
      </c>
      <c r="N1709" t="s">
        <v>40436</v>
      </c>
      <c r="O1709" t="s">
        <v>40437</v>
      </c>
      <c r="P1709">
        <v>0</v>
      </c>
      <c r="Q1709">
        <v>0</v>
      </c>
      <c r="R1709" t="s">
        <v>40438</v>
      </c>
      <c r="S1709" t="s">
        <v>40582</v>
      </c>
      <c r="T1709" t="s">
        <v>42167</v>
      </c>
      <c r="U1709" t="s">
        <v>44119</v>
      </c>
      <c r="W1709" t="s">
        <v>37600</v>
      </c>
      <c r="X1709" t="s">
        <v>40439</v>
      </c>
    </row>
    <row r="1710" spans="1:24">
      <c r="A1710">
        <f>HYPERLINK("https://www.philgeps.gov.ph/GEPSNONPILOT/Tender/SplashBidNoticeAbstractUI.aspx?menuIndex=3&amp;refID=7048998&amp;Result=3","7048998")</f>
        <v>0</v>
      </c>
      <c r="B1710" t="s">
        <v>792</v>
      </c>
      <c r="C1710" t="s">
        <v>4739</v>
      </c>
      <c r="D1710" t="s">
        <v>16221</v>
      </c>
      <c r="E1710" t="s">
        <v>17870</v>
      </c>
      <c r="F1710" t="s">
        <v>28198</v>
      </c>
      <c r="G1710" t="s">
        <v>28207</v>
      </c>
      <c r="H1710" t="s">
        <v>28215</v>
      </c>
      <c r="I1710" t="s">
        <v>5791</v>
      </c>
      <c r="J1710" t="s">
        <v>28529</v>
      </c>
      <c r="K1710" t="s">
        <v>36698</v>
      </c>
      <c r="M1710" t="s">
        <v>37798</v>
      </c>
      <c r="N1710" t="s">
        <v>40436</v>
      </c>
      <c r="O1710" t="s">
        <v>40437</v>
      </c>
      <c r="P1710">
        <v>0</v>
      </c>
      <c r="Q1710">
        <v>0</v>
      </c>
      <c r="R1710" t="s">
        <v>40438</v>
      </c>
      <c r="S1710" t="s">
        <v>40582</v>
      </c>
      <c r="T1710" t="s">
        <v>42285</v>
      </c>
      <c r="U1710" t="s">
        <v>44120</v>
      </c>
      <c r="W1710" t="s">
        <v>37798</v>
      </c>
      <c r="X1710" t="s">
        <v>40439</v>
      </c>
    </row>
    <row r="1711" spans="1:24">
      <c r="A1711">
        <f>HYPERLINK("https://www.philgeps.gov.ph/GEPSNONPILOT/Tender/SplashBidNoticeAbstractUI.aspx?menuIndex=3&amp;refID=7049016&amp;Result=3","7049016")</f>
        <v>0</v>
      </c>
      <c r="B1711" t="s">
        <v>695</v>
      </c>
      <c r="C1711" t="s">
        <v>4740</v>
      </c>
      <c r="D1711" t="s">
        <v>16204</v>
      </c>
      <c r="E1711" t="s">
        <v>17871</v>
      </c>
      <c r="F1711" t="s">
        <v>28198</v>
      </c>
      <c r="G1711" t="s">
        <v>28207</v>
      </c>
      <c r="H1711" t="s">
        <v>28215</v>
      </c>
      <c r="I1711" t="s">
        <v>28225</v>
      </c>
      <c r="J1711" t="s">
        <v>29542</v>
      </c>
      <c r="K1711" t="s">
        <v>36689</v>
      </c>
      <c r="M1711" t="s">
        <v>37695</v>
      </c>
      <c r="N1711" t="s">
        <v>40436</v>
      </c>
      <c r="O1711" t="s">
        <v>40437</v>
      </c>
      <c r="P1711">
        <v>0</v>
      </c>
      <c r="Q1711">
        <v>3</v>
      </c>
      <c r="R1711" t="s">
        <v>40438</v>
      </c>
      <c r="S1711" t="s">
        <v>40582</v>
      </c>
      <c r="T1711" t="s">
        <v>42111</v>
      </c>
      <c r="U1711" t="s">
        <v>44121</v>
      </c>
      <c r="W1711" t="s">
        <v>37695</v>
      </c>
      <c r="X1711" t="s">
        <v>40439</v>
      </c>
    </row>
    <row r="1712" spans="1:24">
      <c r="A1712">
        <f>HYPERLINK("https://www.philgeps.gov.ph/GEPSNONPILOT/Tender/SplashBidNoticeAbstractUI.aspx?menuIndex=3&amp;refID=7049035&amp;Result=3","7049035")</f>
        <v>0</v>
      </c>
      <c r="B1712" t="s">
        <v>791</v>
      </c>
      <c r="C1712" t="s">
        <v>4741</v>
      </c>
      <c r="D1712" t="s">
        <v>16203</v>
      </c>
      <c r="E1712" t="s">
        <v>17872</v>
      </c>
      <c r="F1712" t="s">
        <v>28198</v>
      </c>
      <c r="G1712" t="s">
        <v>28207</v>
      </c>
      <c r="H1712" t="s">
        <v>28215</v>
      </c>
      <c r="I1712" t="s">
        <v>5082</v>
      </c>
      <c r="J1712" t="s">
        <v>29543</v>
      </c>
      <c r="K1712" t="s">
        <v>36691</v>
      </c>
      <c r="M1712" t="s">
        <v>37797</v>
      </c>
      <c r="N1712" t="s">
        <v>40436</v>
      </c>
      <c r="O1712" t="s">
        <v>40437</v>
      </c>
      <c r="P1712">
        <v>0</v>
      </c>
      <c r="Q1712">
        <v>0</v>
      </c>
      <c r="R1712" t="s">
        <v>40438</v>
      </c>
      <c r="S1712" t="s">
        <v>40582</v>
      </c>
      <c r="T1712" t="s">
        <v>42124</v>
      </c>
      <c r="U1712" t="s">
        <v>44122</v>
      </c>
      <c r="W1712" t="s">
        <v>37797</v>
      </c>
      <c r="X1712" t="s">
        <v>40439</v>
      </c>
    </row>
    <row r="1713" spans="1:24">
      <c r="A1713">
        <f>HYPERLINK("https://www.philgeps.gov.ph/GEPSNONPILOT/Tender/SplashBidNoticeAbstractUI.aspx?menuIndex=3&amp;refID=7048995&amp;Result=3","7048995")</f>
        <v>0</v>
      </c>
      <c r="B1713" t="s">
        <v>793</v>
      </c>
      <c r="C1713" t="s">
        <v>4742</v>
      </c>
      <c r="D1713" t="s">
        <v>16268</v>
      </c>
      <c r="E1713" t="s">
        <v>17873</v>
      </c>
      <c r="F1713" t="s">
        <v>28198</v>
      </c>
      <c r="G1713" t="s">
        <v>28205</v>
      </c>
      <c r="H1713" t="s">
        <v>28215</v>
      </c>
      <c r="I1713" t="s">
        <v>28280</v>
      </c>
      <c r="J1713" t="s">
        <v>28589</v>
      </c>
      <c r="K1713" t="s">
        <v>36701</v>
      </c>
      <c r="M1713" t="s">
        <v>37799</v>
      </c>
      <c r="N1713" t="s">
        <v>40436</v>
      </c>
      <c r="O1713" t="s">
        <v>40437</v>
      </c>
      <c r="P1713">
        <v>0</v>
      </c>
      <c r="Q1713">
        <v>0</v>
      </c>
      <c r="R1713" t="s">
        <v>40438</v>
      </c>
      <c r="S1713" t="s">
        <v>40582</v>
      </c>
      <c r="T1713" t="s">
        <v>42153</v>
      </c>
      <c r="U1713" t="s">
        <v>44123</v>
      </c>
      <c r="W1713" t="s">
        <v>37799</v>
      </c>
      <c r="X1713" t="s">
        <v>40439</v>
      </c>
    </row>
    <row r="1714" spans="1:24">
      <c r="A1714">
        <f>HYPERLINK("https://www.philgeps.gov.ph/GEPSNONPILOT/Tender/SplashBidNoticeAbstractUI.aspx?menuIndex=3&amp;refID=7049030&amp;Result=3","7049030")</f>
        <v>0</v>
      </c>
      <c r="B1714" t="s">
        <v>794</v>
      </c>
      <c r="C1714" t="s">
        <v>4743</v>
      </c>
      <c r="D1714" t="s">
        <v>16235</v>
      </c>
      <c r="E1714" t="s">
        <v>17874</v>
      </c>
      <c r="F1714" t="s">
        <v>28198</v>
      </c>
      <c r="G1714" t="s">
        <v>28205</v>
      </c>
      <c r="H1714" t="s">
        <v>28215</v>
      </c>
      <c r="I1714" t="s">
        <v>28234</v>
      </c>
      <c r="J1714" t="s">
        <v>29544</v>
      </c>
      <c r="K1714" t="s">
        <v>36701</v>
      </c>
      <c r="M1714" t="s">
        <v>37800</v>
      </c>
      <c r="N1714" t="s">
        <v>40436</v>
      </c>
      <c r="O1714" t="s">
        <v>40437</v>
      </c>
      <c r="P1714">
        <v>0</v>
      </c>
      <c r="Q1714">
        <v>3</v>
      </c>
      <c r="R1714" t="s">
        <v>40438</v>
      </c>
      <c r="S1714" t="s">
        <v>40582</v>
      </c>
      <c r="T1714" t="s">
        <v>42108</v>
      </c>
      <c r="U1714" t="s">
        <v>44124</v>
      </c>
      <c r="W1714" t="s">
        <v>37800</v>
      </c>
      <c r="X1714" t="s">
        <v>40439</v>
      </c>
    </row>
    <row r="1715" spans="1:24">
      <c r="A1715">
        <f>HYPERLINK("https://www.philgeps.gov.ph/GEPSNONPILOT/Tender/SplashBidNoticeAbstractUI.aspx?menuIndex=3&amp;refID=7049032&amp;Result=3","7049032")</f>
        <v>0</v>
      </c>
      <c r="B1715" t="s">
        <v>795</v>
      </c>
      <c r="C1715" t="s">
        <v>4168</v>
      </c>
      <c r="D1715" t="s">
        <v>16204</v>
      </c>
      <c r="E1715" t="s">
        <v>17875</v>
      </c>
      <c r="F1715" t="s">
        <v>28198</v>
      </c>
      <c r="G1715" t="s">
        <v>28207</v>
      </c>
      <c r="H1715" t="s">
        <v>28215</v>
      </c>
      <c r="I1715" t="s">
        <v>4168</v>
      </c>
      <c r="J1715" t="s">
        <v>28589</v>
      </c>
      <c r="K1715" t="s">
        <v>36691</v>
      </c>
      <c r="M1715" t="s">
        <v>37801</v>
      </c>
      <c r="N1715" t="s">
        <v>40436</v>
      </c>
      <c r="O1715" t="s">
        <v>40437</v>
      </c>
      <c r="P1715">
        <v>0</v>
      </c>
      <c r="Q1715">
        <v>1</v>
      </c>
      <c r="R1715" t="s">
        <v>40438</v>
      </c>
      <c r="S1715" t="s">
        <v>40582</v>
      </c>
      <c r="T1715" t="s">
        <v>42124</v>
      </c>
      <c r="U1715" t="s">
        <v>44125</v>
      </c>
      <c r="W1715" t="s">
        <v>37801</v>
      </c>
      <c r="X1715" t="s">
        <v>40439</v>
      </c>
    </row>
    <row r="1716" spans="1:24">
      <c r="A1716">
        <f>HYPERLINK("https://www.philgeps.gov.ph/GEPSNONPILOT/Tender/SplashBidNoticeAbstractUI.aspx?menuIndex=3&amp;refID=7049014&amp;Result=3","7049014")</f>
        <v>0</v>
      </c>
      <c r="B1716" t="s">
        <v>773</v>
      </c>
      <c r="C1716" t="s">
        <v>4744</v>
      </c>
      <c r="D1716" t="s">
        <v>16219</v>
      </c>
      <c r="E1716" t="s">
        <v>17876</v>
      </c>
      <c r="F1716" t="s">
        <v>28198</v>
      </c>
      <c r="G1716" t="s">
        <v>28205</v>
      </c>
      <c r="H1716" t="s">
        <v>28215</v>
      </c>
      <c r="I1716" t="s">
        <v>28236</v>
      </c>
      <c r="J1716" t="s">
        <v>29545</v>
      </c>
      <c r="K1716" t="s">
        <v>36689</v>
      </c>
      <c r="M1716" t="s">
        <v>37776</v>
      </c>
      <c r="N1716" t="s">
        <v>40436</v>
      </c>
      <c r="O1716" t="s">
        <v>40437</v>
      </c>
      <c r="P1716">
        <v>0</v>
      </c>
      <c r="Q1716">
        <v>0</v>
      </c>
      <c r="R1716" t="s">
        <v>40438</v>
      </c>
      <c r="S1716" t="s">
        <v>40582</v>
      </c>
      <c r="T1716" t="s">
        <v>42108</v>
      </c>
      <c r="U1716" t="s">
        <v>44126</v>
      </c>
      <c r="W1716" t="s">
        <v>37776</v>
      </c>
      <c r="X1716" t="s">
        <v>40439</v>
      </c>
    </row>
    <row r="1717" spans="1:24">
      <c r="A1717">
        <f>HYPERLINK("https://www.philgeps.gov.ph/GEPSNONPILOT/Tender/SplashBidNoticeAbstractUI.aspx?menuIndex=3&amp;refID=7049029&amp;Result=3","7049029")</f>
        <v>0</v>
      </c>
      <c r="B1717" t="s">
        <v>780</v>
      </c>
      <c r="C1717" t="s">
        <v>4745</v>
      </c>
      <c r="D1717" t="s">
        <v>16197</v>
      </c>
      <c r="E1717" t="s">
        <v>17877</v>
      </c>
      <c r="F1717" t="s">
        <v>28198</v>
      </c>
      <c r="G1717" t="s">
        <v>28205</v>
      </c>
      <c r="H1717" t="s">
        <v>28214</v>
      </c>
      <c r="I1717" t="s">
        <v>3797</v>
      </c>
      <c r="J1717" t="s">
        <v>29546</v>
      </c>
      <c r="K1717" t="s">
        <v>36761</v>
      </c>
      <c r="M1717" t="s">
        <v>37784</v>
      </c>
      <c r="N1717" t="s">
        <v>40436</v>
      </c>
      <c r="O1717" t="s">
        <v>40437</v>
      </c>
      <c r="P1717">
        <v>0</v>
      </c>
      <c r="Q1717">
        <v>2</v>
      </c>
      <c r="R1717" t="s">
        <v>40438</v>
      </c>
      <c r="S1717" t="s">
        <v>40582</v>
      </c>
      <c r="T1717" t="s">
        <v>42108</v>
      </c>
      <c r="U1717" t="s">
        <v>44102</v>
      </c>
      <c r="W1717" t="s">
        <v>37784</v>
      </c>
      <c r="X1717" t="s">
        <v>40439</v>
      </c>
    </row>
    <row r="1718" spans="1:24">
      <c r="A1718">
        <f>HYPERLINK("https://www.philgeps.gov.ph/GEPSNONPILOT/Tender/SplashBidNoticeAbstractUI.aspx?menuIndex=3&amp;refID=7049031&amp;Result=3","7049031")</f>
        <v>0</v>
      </c>
      <c r="B1718" t="s">
        <v>617</v>
      </c>
      <c r="C1718" t="s">
        <v>4592</v>
      </c>
      <c r="D1718" t="s">
        <v>16253</v>
      </c>
      <c r="E1718" t="s">
        <v>17878</v>
      </c>
      <c r="F1718" t="s">
        <v>28198</v>
      </c>
      <c r="G1718" t="s">
        <v>28207</v>
      </c>
      <c r="H1718" t="s">
        <v>28215</v>
      </c>
      <c r="I1718" t="s">
        <v>3774</v>
      </c>
      <c r="J1718" t="s">
        <v>29547</v>
      </c>
      <c r="K1718" t="s">
        <v>36701</v>
      </c>
      <c r="M1718" t="s">
        <v>37609</v>
      </c>
      <c r="N1718" t="s">
        <v>40436</v>
      </c>
      <c r="O1718" t="s">
        <v>40437</v>
      </c>
      <c r="P1718">
        <v>0</v>
      </c>
      <c r="Q1718">
        <v>0</v>
      </c>
      <c r="R1718" t="s">
        <v>40438</v>
      </c>
      <c r="S1718" t="s">
        <v>40582</v>
      </c>
      <c r="T1718" t="s">
        <v>42129</v>
      </c>
      <c r="U1718" t="s">
        <v>43985</v>
      </c>
      <c r="V1718" t="s">
        <v>53932</v>
      </c>
      <c r="W1718" t="s">
        <v>37609</v>
      </c>
      <c r="X1718" t="s">
        <v>40439</v>
      </c>
    </row>
    <row r="1719" spans="1:24">
      <c r="A1719">
        <f>HYPERLINK("https://www.philgeps.gov.ph/GEPSNONPILOT/Tender/SplashBidNoticeAbstractUI.aspx?menuIndex=3&amp;refID=7049015&amp;Result=3","7049015")</f>
        <v>0</v>
      </c>
      <c r="B1719" t="s">
        <v>769</v>
      </c>
      <c r="C1719" t="s">
        <v>4746</v>
      </c>
      <c r="D1719" t="s">
        <v>16228</v>
      </c>
      <c r="E1719" t="s">
        <v>17001</v>
      </c>
      <c r="F1719" t="s">
        <v>28198</v>
      </c>
      <c r="G1719" t="s">
        <v>28206</v>
      </c>
      <c r="H1719" t="s">
        <v>28215</v>
      </c>
      <c r="I1719" t="s">
        <v>5100</v>
      </c>
      <c r="J1719" t="s">
        <v>28540</v>
      </c>
      <c r="K1719" t="s">
        <v>36698</v>
      </c>
      <c r="M1719" t="s">
        <v>37772</v>
      </c>
      <c r="N1719" t="s">
        <v>40436</v>
      </c>
      <c r="O1719" t="s">
        <v>40437</v>
      </c>
      <c r="P1719">
        <v>0</v>
      </c>
      <c r="Q1719">
        <v>0</v>
      </c>
      <c r="R1719" t="s">
        <v>40438</v>
      </c>
      <c r="S1719" t="s">
        <v>40582</v>
      </c>
      <c r="T1719" t="s">
        <v>42131</v>
      </c>
      <c r="U1719" t="s">
        <v>44127</v>
      </c>
      <c r="W1719" t="s">
        <v>37772</v>
      </c>
      <c r="X1719" t="s">
        <v>40439</v>
      </c>
    </row>
    <row r="1720" spans="1:24">
      <c r="A1720">
        <f>HYPERLINK("https://www.philgeps.gov.ph/GEPSNONPILOT/Tender/SplashBidNoticeAbstractUI.aspx?menuIndex=3&amp;refID=7049053&amp;Result=3","7049053")</f>
        <v>0</v>
      </c>
      <c r="B1720" t="s">
        <v>759</v>
      </c>
      <c r="C1720" t="s">
        <v>4747</v>
      </c>
      <c r="D1720" t="s">
        <v>16196</v>
      </c>
      <c r="E1720" t="s">
        <v>17879</v>
      </c>
      <c r="F1720" t="s">
        <v>28198</v>
      </c>
      <c r="G1720" t="s">
        <v>28207</v>
      </c>
      <c r="H1720" t="s">
        <v>28215</v>
      </c>
      <c r="I1720" t="s">
        <v>3774</v>
      </c>
      <c r="J1720" t="s">
        <v>29548</v>
      </c>
      <c r="K1720" t="s">
        <v>36689</v>
      </c>
      <c r="M1720" t="s">
        <v>37762</v>
      </c>
      <c r="N1720" t="s">
        <v>40436</v>
      </c>
      <c r="O1720" t="s">
        <v>40437</v>
      </c>
      <c r="P1720">
        <v>0</v>
      </c>
      <c r="Q1720">
        <v>0</v>
      </c>
      <c r="R1720" t="s">
        <v>40438</v>
      </c>
      <c r="S1720" t="s">
        <v>40582</v>
      </c>
      <c r="T1720" t="s">
        <v>42124</v>
      </c>
      <c r="U1720" t="s">
        <v>44128</v>
      </c>
      <c r="W1720" t="s">
        <v>37762</v>
      </c>
      <c r="X1720" t="s">
        <v>40439</v>
      </c>
    </row>
    <row r="1721" spans="1:24">
      <c r="A1721">
        <f>HYPERLINK("https://www.philgeps.gov.ph/GEPSNONPILOT/Tender/SplashBidNoticeAbstractUI.aspx?menuIndex=3&amp;refID=7049034&amp;Result=3","7049034")</f>
        <v>0</v>
      </c>
      <c r="B1721" t="s">
        <v>796</v>
      </c>
      <c r="C1721" t="s">
        <v>4748</v>
      </c>
      <c r="D1721" t="s">
        <v>16268</v>
      </c>
      <c r="E1721" t="s">
        <v>17880</v>
      </c>
      <c r="F1721" t="s">
        <v>28198</v>
      </c>
      <c r="G1721" t="s">
        <v>28205</v>
      </c>
      <c r="H1721" t="s">
        <v>28215</v>
      </c>
      <c r="I1721" t="s">
        <v>5100</v>
      </c>
      <c r="J1721" t="s">
        <v>29549</v>
      </c>
      <c r="K1721" t="s">
        <v>36701</v>
      </c>
      <c r="M1721" t="s">
        <v>37802</v>
      </c>
      <c r="N1721" t="s">
        <v>40436</v>
      </c>
      <c r="O1721" t="s">
        <v>40437</v>
      </c>
      <c r="P1721">
        <v>0</v>
      </c>
      <c r="Q1721">
        <v>0</v>
      </c>
      <c r="R1721" t="s">
        <v>40438</v>
      </c>
      <c r="S1721" t="s">
        <v>40582</v>
      </c>
      <c r="T1721" t="s">
        <v>42153</v>
      </c>
      <c r="U1721" t="s">
        <v>44129</v>
      </c>
      <c r="W1721" t="s">
        <v>37802</v>
      </c>
      <c r="X1721" t="s">
        <v>40439</v>
      </c>
    </row>
    <row r="1722" spans="1:24">
      <c r="A1722">
        <f>HYPERLINK("https://www.philgeps.gov.ph/GEPSNONPILOT/Tender/SplashBidNoticeAbstractUI.aspx?menuIndex=3&amp;refID=7049049&amp;Result=3","7049049")</f>
        <v>0</v>
      </c>
      <c r="B1722" t="s">
        <v>797</v>
      </c>
      <c r="C1722" t="s">
        <v>4749</v>
      </c>
      <c r="E1722" t="s">
        <v>17881</v>
      </c>
      <c r="F1722" t="s">
        <v>28198</v>
      </c>
      <c r="G1722" t="s">
        <v>28207</v>
      </c>
      <c r="H1722" t="s">
        <v>28215</v>
      </c>
      <c r="I1722" t="s">
        <v>4168</v>
      </c>
      <c r="J1722" t="s">
        <v>29550</v>
      </c>
      <c r="K1722" t="s">
        <v>36689</v>
      </c>
      <c r="M1722" t="s">
        <v>37803</v>
      </c>
      <c r="N1722" t="s">
        <v>40436</v>
      </c>
      <c r="O1722" t="s">
        <v>40437</v>
      </c>
      <c r="P1722">
        <v>0</v>
      </c>
      <c r="Q1722">
        <v>2</v>
      </c>
      <c r="R1722" t="s">
        <v>40438</v>
      </c>
      <c r="S1722" t="s">
        <v>40582</v>
      </c>
      <c r="T1722" t="s">
        <v>42111</v>
      </c>
      <c r="U1722" t="s">
        <v>44130</v>
      </c>
      <c r="W1722" t="s">
        <v>37803</v>
      </c>
      <c r="X1722" t="s">
        <v>40439</v>
      </c>
    </row>
    <row r="1723" spans="1:24">
      <c r="A1723">
        <f>HYPERLINK("https://www.philgeps.gov.ph/GEPSNONPILOT/Tender/SplashBidNoticeAbstractUI.aspx?menuIndex=3&amp;refID=7049055&amp;Result=3","7049055")</f>
        <v>0</v>
      </c>
      <c r="B1723" t="s">
        <v>798</v>
      </c>
      <c r="C1723" t="s">
        <v>3906</v>
      </c>
      <c r="D1723" t="s">
        <v>16204</v>
      </c>
      <c r="E1723" t="s">
        <v>17882</v>
      </c>
      <c r="F1723" t="s">
        <v>28198</v>
      </c>
      <c r="G1723" t="s">
        <v>28205</v>
      </c>
      <c r="H1723" t="s">
        <v>28214</v>
      </c>
      <c r="I1723" t="s">
        <v>3797</v>
      </c>
      <c r="J1723" t="s">
        <v>28415</v>
      </c>
      <c r="K1723" t="s">
        <v>36689</v>
      </c>
      <c r="M1723" t="s">
        <v>37804</v>
      </c>
      <c r="N1723" t="s">
        <v>40436</v>
      </c>
      <c r="O1723" t="s">
        <v>40437</v>
      </c>
      <c r="P1723">
        <v>0</v>
      </c>
      <c r="Q1723">
        <v>0</v>
      </c>
      <c r="R1723" t="s">
        <v>40438</v>
      </c>
      <c r="S1723" t="s">
        <v>40582</v>
      </c>
      <c r="T1723" t="s">
        <v>42115</v>
      </c>
      <c r="U1723" t="s">
        <v>44131</v>
      </c>
      <c r="V1723" t="s">
        <v>53944</v>
      </c>
      <c r="W1723" t="s">
        <v>37804</v>
      </c>
      <c r="X1723" t="s">
        <v>40439</v>
      </c>
    </row>
    <row r="1724" spans="1:24">
      <c r="A1724">
        <f>HYPERLINK("https://www.philgeps.gov.ph/GEPSNONPILOT/Tender/SplashBidNoticeAbstractUI.aspx?menuIndex=3&amp;refID=7049046&amp;Result=3","7049046")</f>
        <v>0</v>
      </c>
      <c r="B1724" t="s">
        <v>799</v>
      </c>
      <c r="C1724" t="s">
        <v>4750</v>
      </c>
      <c r="D1724" t="s">
        <v>16210</v>
      </c>
      <c r="E1724" t="s">
        <v>17883</v>
      </c>
      <c r="F1724" t="s">
        <v>28199</v>
      </c>
      <c r="G1724" t="s">
        <v>28206</v>
      </c>
      <c r="H1724" t="s">
        <v>28215</v>
      </c>
      <c r="I1724" t="s">
        <v>4200</v>
      </c>
      <c r="J1724" t="s">
        <v>29551</v>
      </c>
      <c r="K1724" t="s">
        <v>36689</v>
      </c>
      <c r="M1724" t="s">
        <v>37805</v>
      </c>
      <c r="N1724" t="s">
        <v>40436</v>
      </c>
      <c r="O1724" t="s">
        <v>40437</v>
      </c>
      <c r="P1724">
        <v>0</v>
      </c>
      <c r="Q1724">
        <v>2</v>
      </c>
      <c r="R1724" t="s">
        <v>40438</v>
      </c>
      <c r="S1724" t="s">
        <v>40582</v>
      </c>
      <c r="T1724" t="s">
        <v>42169</v>
      </c>
      <c r="U1724" t="s">
        <v>44132</v>
      </c>
      <c r="V1724" t="s">
        <v>53974</v>
      </c>
      <c r="W1724" t="s">
        <v>37805</v>
      </c>
      <c r="X1724" t="s">
        <v>40439</v>
      </c>
    </row>
    <row r="1725" spans="1:24">
      <c r="A1725">
        <f>HYPERLINK("https://www.philgeps.gov.ph/GEPSNONPILOT/Tender/SplashBidNoticeAbstractUI.aspx?menuIndex=3&amp;refID=7049054&amp;Result=3","7049054")</f>
        <v>0</v>
      </c>
      <c r="B1725" t="s">
        <v>780</v>
      </c>
      <c r="C1725" t="s">
        <v>4751</v>
      </c>
      <c r="D1725" t="s">
        <v>16197</v>
      </c>
      <c r="E1725" t="s">
        <v>17884</v>
      </c>
      <c r="F1725" t="s">
        <v>28198</v>
      </c>
      <c r="G1725" t="s">
        <v>28205</v>
      </c>
      <c r="H1725" t="s">
        <v>28214</v>
      </c>
      <c r="I1725" t="s">
        <v>3797</v>
      </c>
      <c r="J1725" t="s">
        <v>29552</v>
      </c>
      <c r="K1725" t="s">
        <v>36735</v>
      </c>
      <c r="M1725" t="s">
        <v>37784</v>
      </c>
      <c r="N1725" t="s">
        <v>40436</v>
      </c>
      <c r="O1725" t="s">
        <v>40437</v>
      </c>
      <c r="P1725">
        <v>0</v>
      </c>
      <c r="Q1725">
        <v>0</v>
      </c>
      <c r="R1725" t="s">
        <v>40438</v>
      </c>
      <c r="S1725" t="s">
        <v>40582</v>
      </c>
      <c r="T1725" t="s">
        <v>42108</v>
      </c>
      <c r="U1725" t="s">
        <v>44102</v>
      </c>
      <c r="W1725" t="s">
        <v>37784</v>
      </c>
      <c r="X1725" t="s">
        <v>40439</v>
      </c>
    </row>
    <row r="1726" spans="1:24">
      <c r="A1726">
        <f>HYPERLINK("https://www.philgeps.gov.ph/GEPSNONPILOT/Tender/SplashBidNoticeAbstractUI.aspx?menuIndex=3&amp;refID=7049048&amp;Result=3","7049048")</f>
        <v>0</v>
      </c>
      <c r="B1726" t="s">
        <v>410</v>
      </c>
      <c r="C1726" t="s">
        <v>4752</v>
      </c>
      <c r="D1726" t="s">
        <v>16200</v>
      </c>
      <c r="E1726" t="s">
        <v>17885</v>
      </c>
      <c r="F1726" t="s">
        <v>28198</v>
      </c>
      <c r="G1726" t="s">
        <v>28205</v>
      </c>
      <c r="H1726" t="s">
        <v>28214</v>
      </c>
      <c r="I1726" t="s">
        <v>3797</v>
      </c>
      <c r="J1726" t="s">
        <v>28379</v>
      </c>
      <c r="K1726" t="s">
        <v>36708</v>
      </c>
      <c r="L1726" t="s">
        <v>410</v>
      </c>
      <c r="M1726" t="s">
        <v>37392</v>
      </c>
      <c r="N1726" t="s">
        <v>40436</v>
      </c>
      <c r="O1726" t="s">
        <v>40437</v>
      </c>
      <c r="P1726">
        <v>0</v>
      </c>
      <c r="Q1726">
        <v>1</v>
      </c>
      <c r="R1726" t="s">
        <v>40438</v>
      </c>
      <c r="S1726" t="s">
        <v>40582</v>
      </c>
      <c r="T1726" t="s">
        <v>42122</v>
      </c>
      <c r="U1726" t="s">
        <v>44133</v>
      </c>
      <c r="W1726" t="s">
        <v>37392</v>
      </c>
      <c r="X1726" t="s">
        <v>40439</v>
      </c>
    </row>
    <row r="1727" spans="1:24">
      <c r="A1727">
        <f>HYPERLINK("https://www.philgeps.gov.ph/GEPSNONPILOT/Tender/SplashBidNoticeAbstractUI.aspx?menuIndex=3&amp;refID=7049047&amp;Result=3","7049047")</f>
        <v>0</v>
      </c>
      <c r="B1727" t="s">
        <v>800</v>
      </c>
      <c r="C1727" t="s">
        <v>4753</v>
      </c>
      <c r="D1727" t="s">
        <v>16203</v>
      </c>
      <c r="E1727" t="s">
        <v>17886</v>
      </c>
      <c r="F1727" t="s">
        <v>28198</v>
      </c>
      <c r="G1727" t="s">
        <v>28207</v>
      </c>
      <c r="H1727" t="s">
        <v>28215</v>
      </c>
      <c r="I1727" t="s">
        <v>28265</v>
      </c>
      <c r="J1727" t="s">
        <v>29553</v>
      </c>
      <c r="K1727" t="s">
        <v>36706</v>
      </c>
      <c r="M1727" t="s">
        <v>37806</v>
      </c>
      <c r="N1727" t="s">
        <v>40436</v>
      </c>
      <c r="O1727" t="s">
        <v>40437</v>
      </c>
      <c r="P1727">
        <v>0</v>
      </c>
      <c r="Q1727">
        <v>0</v>
      </c>
      <c r="R1727" t="s">
        <v>40438</v>
      </c>
      <c r="S1727" t="s">
        <v>40582</v>
      </c>
      <c r="T1727" t="s">
        <v>42129</v>
      </c>
      <c r="U1727" t="s">
        <v>44134</v>
      </c>
      <c r="W1727" t="s">
        <v>37806</v>
      </c>
      <c r="X1727" t="s">
        <v>40439</v>
      </c>
    </row>
    <row r="1728" spans="1:24">
      <c r="A1728">
        <f>HYPERLINK("https://www.philgeps.gov.ph/GEPSNONPILOT/Tender/SplashBidNoticeAbstractUI.aspx?menuIndex=3&amp;refID=7049051&amp;Result=3","7049051")</f>
        <v>0</v>
      </c>
      <c r="B1728" t="s">
        <v>772</v>
      </c>
      <c r="C1728" t="s">
        <v>4754</v>
      </c>
      <c r="D1728" t="s">
        <v>16238</v>
      </c>
      <c r="E1728" t="s">
        <v>17887</v>
      </c>
      <c r="F1728" t="s">
        <v>28198</v>
      </c>
      <c r="G1728" t="s">
        <v>28207</v>
      </c>
      <c r="H1728" t="s">
        <v>28215</v>
      </c>
      <c r="I1728" t="s">
        <v>5100</v>
      </c>
      <c r="J1728" t="s">
        <v>29554</v>
      </c>
      <c r="K1728" t="s">
        <v>36688</v>
      </c>
      <c r="M1728" t="s">
        <v>37775</v>
      </c>
      <c r="N1728" t="s">
        <v>40436</v>
      </c>
      <c r="O1728" t="s">
        <v>40437</v>
      </c>
      <c r="P1728">
        <v>0</v>
      </c>
      <c r="Q1728">
        <v>0</v>
      </c>
      <c r="R1728" t="s">
        <v>40438</v>
      </c>
      <c r="S1728" t="s">
        <v>40582</v>
      </c>
      <c r="T1728" t="s">
        <v>42159</v>
      </c>
      <c r="U1728" t="s">
        <v>44135</v>
      </c>
      <c r="V1728" t="s">
        <v>53921</v>
      </c>
      <c r="W1728" t="s">
        <v>37775</v>
      </c>
      <c r="X1728" t="s">
        <v>40439</v>
      </c>
    </row>
    <row r="1729" spans="1:24">
      <c r="A1729">
        <f>HYPERLINK("https://www.philgeps.gov.ph/GEPSNONPILOT/Tender/SplashBidNoticeAbstractUI.aspx?menuIndex=3&amp;refID=7049045&amp;Result=3","7049045")</f>
        <v>0</v>
      </c>
      <c r="B1729" t="s">
        <v>801</v>
      </c>
      <c r="C1729" t="s">
        <v>4755</v>
      </c>
      <c r="D1729" t="s">
        <v>16254</v>
      </c>
      <c r="E1729" t="s">
        <v>17888</v>
      </c>
      <c r="F1729" t="s">
        <v>28198</v>
      </c>
      <c r="G1729" t="s">
        <v>28206</v>
      </c>
      <c r="H1729" t="s">
        <v>28215</v>
      </c>
      <c r="I1729" t="s">
        <v>5100</v>
      </c>
      <c r="J1729" t="s">
        <v>29555</v>
      </c>
      <c r="K1729" t="s">
        <v>36689</v>
      </c>
      <c r="M1729" t="s">
        <v>37807</v>
      </c>
      <c r="N1729" t="s">
        <v>40436</v>
      </c>
      <c r="O1729" t="s">
        <v>40437</v>
      </c>
      <c r="P1729">
        <v>0</v>
      </c>
      <c r="Q1729">
        <v>0</v>
      </c>
      <c r="R1729" t="s">
        <v>40438</v>
      </c>
      <c r="S1729" t="s">
        <v>40582</v>
      </c>
      <c r="T1729" t="s">
        <v>42169</v>
      </c>
      <c r="U1729" t="s">
        <v>44136</v>
      </c>
      <c r="W1729" t="s">
        <v>37807</v>
      </c>
      <c r="X1729" t="s">
        <v>40439</v>
      </c>
    </row>
    <row r="1730" spans="1:24">
      <c r="A1730">
        <f>HYPERLINK("https://www.philgeps.gov.ph/GEPSNONPILOT/Tender/SplashBidNoticeAbstractUI.aspx?menuIndex=3&amp;refID=7049044&amp;Result=3","7049044")</f>
        <v>0</v>
      </c>
      <c r="B1730" t="s">
        <v>799</v>
      </c>
      <c r="C1730" t="s">
        <v>4756</v>
      </c>
      <c r="E1730" t="s">
        <v>17889</v>
      </c>
      <c r="F1730" t="s">
        <v>28198</v>
      </c>
      <c r="G1730" t="s">
        <v>28207</v>
      </c>
      <c r="H1730" t="s">
        <v>28215</v>
      </c>
      <c r="I1730" t="s">
        <v>4200</v>
      </c>
      <c r="J1730" t="s">
        <v>29556</v>
      </c>
      <c r="K1730" t="s">
        <v>36707</v>
      </c>
      <c r="M1730" t="s">
        <v>37808</v>
      </c>
      <c r="N1730" t="s">
        <v>40436</v>
      </c>
      <c r="O1730" t="s">
        <v>40437</v>
      </c>
      <c r="P1730">
        <v>0</v>
      </c>
      <c r="Q1730">
        <v>2</v>
      </c>
      <c r="R1730" t="s">
        <v>40438</v>
      </c>
      <c r="S1730" t="s">
        <v>40582</v>
      </c>
      <c r="T1730" t="s">
        <v>42124</v>
      </c>
      <c r="U1730" t="s">
        <v>44137</v>
      </c>
      <c r="V1730" t="s">
        <v>53975</v>
      </c>
      <c r="W1730" t="s">
        <v>37808</v>
      </c>
      <c r="X1730" t="s">
        <v>40439</v>
      </c>
    </row>
    <row r="1731" spans="1:24">
      <c r="A1731">
        <f>HYPERLINK("https://www.philgeps.gov.ph/GEPSNONPILOT/Tender/SplashBidNoticeAbstractUI.aspx?menuIndex=3&amp;refID=7049056&amp;Result=3","7049056")</f>
        <v>0</v>
      </c>
      <c r="B1731" t="s">
        <v>769</v>
      </c>
      <c r="C1731" t="s">
        <v>4757</v>
      </c>
      <c r="D1731" t="s">
        <v>16228</v>
      </c>
      <c r="E1731" t="s">
        <v>17890</v>
      </c>
      <c r="F1731" t="s">
        <v>28198</v>
      </c>
      <c r="G1731" t="s">
        <v>28206</v>
      </c>
      <c r="H1731" t="s">
        <v>28215</v>
      </c>
      <c r="I1731" t="s">
        <v>28220</v>
      </c>
      <c r="J1731" t="s">
        <v>28670</v>
      </c>
      <c r="K1731" t="s">
        <v>36698</v>
      </c>
      <c r="M1731" t="s">
        <v>37772</v>
      </c>
      <c r="N1731" t="s">
        <v>40436</v>
      </c>
      <c r="O1731" t="s">
        <v>40437</v>
      </c>
      <c r="P1731">
        <v>0</v>
      </c>
      <c r="Q1731">
        <v>2</v>
      </c>
      <c r="R1731" t="s">
        <v>40438</v>
      </c>
      <c r="S1731" t="s">
        <v>40582</v>
      </c>
      <c r="T1731" t="s">
        <v>42131</v>
      </c>
      <c r="U1731" t="s">
        <v>44138</v>
      </c>
      <c r="W1731" t="s">
        <v>37772</v>
      </c>
      <c r="X1731" t="s">
        <v>40439</v>
      </c>
    </row>
    <row r="1732" spans="1:24">
      <c r="A1732">
        <f>HYPERLINK("https://www.philgeps.gov.ph/GEPSNONPILOT/Tender/SplashBidNoticeAbstractUI.aspx?menuIndex=3&amp;refID=7049065&amp;Result=3","7049065")</f>
        <v>0</v>
      </c>
      <c r="B1732" t="s">
        <v>796</v>
      </c>
      <c r="C1732" t="s">
        <v>4758</v>
      </c>
      <c r="D1732" t="s">
        <v>16268</v>
      </c>
      <c r="E1732" t="s">
        <v>17873</v>
      </c>
      <c r="F1732" t="s">
        <v>28198</v>
      </c>
      <c r="G1732" t="s">
        <v>28205</v>
      </c>
      <c r="H1732" t="s">
        <v>28215</v>
      </c>
      <c r="I1732" t="s">
        <v>5100</v>
      </c>
      <c r="J1732" t="s">
        <v>29557</v>
      </c>
      <c r="K1732" t="s">
        <v>36701</v>
      </c>
      <c r="M1732" t="s">
        <v>37802</v>
      </c>
      <c r="N1732" t="s">
        <v>40436</v>
      </c>
      <c r="O1732" t="s">
        <v>40437</v>
      </c>
      <c r="P1732">
        <v>0</v>
      </c>
      <c r="Q1732">
        <v>0</v>
      </c>
      <c r="R1732" t="s">
        <v>40438</v>
      </c>
      <c r="S1732" t="s">
        <v>40582</v>
      </c>
      <c r="T1732" t="s">
        <v>42153</v>
      </c>
      <c r="U1732" t="s">
        <v>44139</v>
      </c>
      <c r="W1732" t="s">
        <v>37802</v>
      </c>
      <c r="X1732" t="s">
        <v>40439</v>
      </c>
    </row>
    <row r="1733" spans="1:24">
      <c r="A1733">
        <f>HYPERLINK("https://www.philgeps.gov.ph/GEPSNONPILOT/Tender/SplashBidNoticeAbstractUI.aspx?menuIndex=3&amp;refID=7049040&amp;Result=3","7049040")</f>
        <v>0</v>
      </c>
      <c r="B1733" t="s">
        <v>798</v>
      </c>
      <c r="C1733" t="s">
        <v>4759</v>
      </c>
      <c r="D1733" t="s">
        <v>16204</v>
      </c>
      <c r="E1733" t="s">
        <v>17891</v>
      </c>
      <c r="F1733" t="s">
        <v>28198</v>
      </c>
      <c r="G1733" t="s">
        <v>28205</v>
      </c>
      <c r="H1733" t="s">
        <v>28214</v>
      </c>
      <c r="I1733" t="s">
        <v>3797</v>
      </c>
      <c r="J1733" t="s">
        <v>28589</v>
      </c>
      <c r="K1733" t="s">
        <v>36689</v>
      </c>
      <c r="M1733" t="s">
        <v>37804</v>
      </c>
      <c r="N1733" t="s">
        <v>40436</v>
      </c>
      <c r="O1733" t="s">
        <v>40437</v>
      </c>
      <c r="P1733">
        <v>0</v>
      </c>
      <c r="Q1733">
        <v>0</v>
      </c>
      <c r="R1733" t="s">
        <v>40438</v>
      </c>
      <c r="S1733" t="s">
        <v>40582</v>
      </c>
      <c r="T1733" t="s">
        <v>42115</v>
      </c>
      <c r="U1733" t="s">
        <v>44140</v>
      </c>
      <c r="V1733" t="s">
        <v>53944</v>
      </c>
      <c r="W1733" t="s">
        <v>37804</v>
      </c>
      <c r="X1733" t="s">
        <v>40439</v>
      </c>
    </row>
    <row r="1734" spans="1:24">
      <c r="A1734">
        <f>HYPERLINK("https://www.philgeps.gov.ph/GEPSNONPILOT/Tender/SplashBidNoticeAbstractUI.aspx?menuIndex=3&amp;refID=7049028&amp;Result=3","7049028")</f>
        <v>0</v>
      </c>
      <c r="B1734" t="s">
        <v>759</v>
      </c>
      <c r="C1734" t="s">
        <v>4760</v>
      </c>
      <c r="D1734" t="s">
        <v>16196</v>
      </c>
      <c r="E1734" t="s">
        <v>17892</v>
      </c>
      <c r="F1734" t="s">
        <v>28198</v>
      </c>
      <c r="G1734" t="s">
        <v>28207</v>
      </c>
      <c r="H1734" t="s">
        <v>28215</v>
      </c>
      <c r="I1734" t="s">
        <v>5103</v>
      </c>
      <c r="J1734" t="s">
        <v>29149</v>
      </c>
      <c r="K1734" t="s">
        <v>36689</v>
      </c>
      <c r="M1734" t="s">
        <v>37762</v>
      </c>
      <c r="N1734" t="s">
        <v>40436</v>
      </c>
      <c r="O1734" t="s">
        <v>40437</v>
      </c>
      <c r="P1734">
        <v>0</v>
      </c>
      <c r="Q1734">
        <v>2</v>
      </c>
      <c r="R1734" t="s">
        <v>40438</v>
      </c>
      <c r="S1734" t="s">
        <v>40582</v>
      </c>
      <c r="T1734" t="s">
        <v>42124</v>
      </c>
      <c r="U1734" t="s">
        <v>44141</v>
      </c>
      <c r="W1734" t="s">
        <v>37762</v>
      </c>
      <c r="X1734" t="s">
        <v>40439</v>
      </c>
    </row>
    <row r="1735" spans="1:24">
      <c r="A1735">
        <f>HYPERLINK("https://www.philgeps.gov.ph/GEPSNONPILOT/Tender/SplashBidNoticeAbstractUI.aspx?menuIndex=3&amp;refID=7049061&amp;Result=3","7049061")</f>
        <v>0</v>
      </c>
      <c r="B1735" t="s">
        <v>802</v>
      </c>
      <c r="C1735" t="s">
        <v>4761</v>
      </c>
      <c r="D1735" t="s">
        <v>16235</v>
      </c>
      <c r="E1735" t="s">
        <v>17893</v>
      </c>
      <c r="F1735" t="s">
        <v>28198</v>
      </c>
      <c r="G1735" t="s">
        <v>28205</v>
      </c>
      <c r="H1735" t="s">
        <v>28214</v>
      </c>
      <c r="I1735" t="s">
        <v>3797</v>
      </c>
      <c r="J1735" t="s">
        <v>29558</v>
      </c>
      <c r="K1735" t="s">
        <v>36762</v>
      </c>
      <c r="M1735" t="s">
        <v>37809</v>
      </c>
      <c r="N1735" t="s">
        <v>40436</v>
      </c>
      <c r="O1735" t="s">
        <v>40437</v>
      </c>
      <c r="P1735">
        <v>0</v>
      </c>
      <c r="Q1735">
        <v>0</v>
      </c>
      <c r="R1735" t="s">
        <v>40438</v>
      </c>
      <c r="S1735" t="s">
        <v>40582</v>
      </c>
      <c r="T1735" t="s">
        <v>42171</v>
      </c>
      <c r="U1735" t="s">
        <v>44142</v>
      </c>
      <c r="W1735" t="s">
        <v>37809</v>
      </c>
      <c r="X1735" t="s">
        <v>40439</v>
      </c>
    </row>
    <row r="1736" spans="1:24">
      <c r="A1736">
        <f>HYPERLINK("https://www.philgeps.gov.ph/GEPSNONPILOT/Tender/SplashBidNoticeAbstractUI.aspx?menuIndex=3&amp;refID=7049068&amp;Result=3","7049068")</f>
        <v>0</v>
      </c>
      <c r="B1736" t="s">
        <v>410</v>
      </c>
      <c r="C1736" t="s">
        <v>4762</v>
      </c>
      <c r="D1736" t="s">
        <v>16200</v>
      </c>
      <c r="E1736" t="s">
        <v>17894</v>
      </c>
      <c r="F1736" t="s">
        <v>28198</v>
      </c>
      <c r="G1736" t="s">
        <v>28205</v>
      </c>
      <c r="H1736" t="s">
        <v>28214</v>
      </c>
      <c r="I1736" t="s">
        <v>3797</v>
      </c>
      <c r="J1736" t="s">
        <v>28379</v>
      </c>
      <c r="K1736" t="s">
        <v>36708</v>
      </c>
      <c r="L1736" t="s">
        <v>410</v>
      </c>
      <c r="M1736" t="s">
        <v>37392</v>
      </c>
      <c r="N1736" t="s">
        <v>40436</v>
      </c>
      <c r="O1736" t="s">
        <v>40437</v>
      </c>
      <c r="P1736">
        <v>0</v>
      </c>
      <c r="Q1736">
        <v>1</v>
      </c>
      <c r="R1736" t="s">
        <v>40438</v>
      </c>
      <c r="S1736" t="s">
        <v>40582</v>
      </c>
      <c r="T1736" t="s">
        <v>42122</v>
      </c>
      <c r="U1736" t="s">
        <v>44133</v>
      </c>
      <c r="W1736" t="s">
        <v>37392</v>
      </c>
      <c r="X1736" t="s">
        <v>40439</v>
      </c>
    </row>
    <row r="1737" spans="1:24">
      <c r="A1737">
        <f>HYPERLINK("https://www.philgeps.gov.ph/GEPSNONPILOT/Tender/SplashBidNoticeAbstractUI.aspx?menuIndex=3&amp;refID=7049036&amp;Result=3","7049036")</f>
        <v>0</v>
      </c>
      <c r="B1737" t="s">
        <v>591</v>
      </c>
      <c r="C1737" t="s">
        <v>4763</v>
      </c>
      <c r="D1737" t="s">
        <v>16228</v>
      </c>
      <c r="E1737" t="s">
        <v>17708</v>
      </c>
      <c r="F1737" t="s">
        <v>28198</v>
      </c>
      <c r="G1737" t="s">
        <v>28207</v>
      </c>
      <c r="H1737" t="s">
        <v>28215</v>
      </c>
      <c r="I1737" t="s">
        <v>28295</v>
      </c>
      <c r="J1737" t="s">
        <v>28668</v>
      </c>
      <c r="K1737" t="s">
        <v>36689</v>
      </c>
      <c r="M1737" t="s">
        <v>37580</v>
      </c>
      <c r="N1737" t="s">
        <v>40436</v>
      </c>
      <c r="O1737" t="s">
        <v>40437</v>
      </c>
      <c r="P1737">
        <v>0</v>
      </c>
      <c r="Q1737">
        <v>1</v>
      </c>
      <c r="R1737" t="s">
        <v>40438</v>
      </c>
      <c r="S1737" t="s">
        <v>40582</v>
      </c>
      <c r="T1737" t="s">
        <v>42103</v>
      </c>
      <c r="U1737" t="s">
        <v>44143</v>
      </c>
      <c r="W1737" t="s">
        <v>37580</v>
      </c>
      <c r="X1737" t="s">
        <v>40439</v>
      </c>
    </row>
    <row r="1738" spans="1:24">
      <c r="A1738">
        <f>HYPERLINK("https://www.philgeps.gov.ph/GEPSNONPILOT/Tender/SplashBidNoticeAbstractUI.aspx?menuIndex=3&amp;refID=7049060&amp;Result=3","7049060")</f>
        <v>0</v>
      </c>
      <c r="B1738" t="s">
        <v>794</v>
      </c>
      <c r="C1738" t="s">
        <v>4764</v>
      </c>
      <c r="D1738" t="s">
        <v>16236</v>
      </c>
      <c r="E1738" t="s">
        <v>17895</v>
      </c>
      <c r="F1738" t="s">
        <v>28198</v>
      </c>
      <c r="G1738" t="s">
        <v>28205</v>
      </c>
      <c r="H1738" t="s">
        <v>28214</v>
      </c>
      <c r="I1738" t="s">
        <v>3797</v>
      </c>
      <c r="J1738" t="s">
        <v>29559</v>
      </c>
      <c r="K1738" t="s">
        <v>36710</v>
      </c>
      <c r="M1738" t="s">
        <v>37800</v>
      </c>
      <c r="N1738" t="s">
        <v>40436</v>
      </c>
      <c r="O1738" t="s">
        <v>40437</v>
      </c>
      <c r="P1738">
        <v>0</v>
      </c>
      <c r="Q1738">
        <v>0</v>
      </c>
      <c r="R1738" t="s">
        <v>40438</v>
      </c>
      <c r="S1738" t="s">
        <v>40582</v>
      </c>
      <c r="T1738" t="s">
        <v>42108</v>
      </c>
      <c r="U1738" t="s">
        <v>44144</v>
      </c>
      <c r="V1738" t="s">
        <v>53976</v>
      </c>
      <c r="W1738" t="s">
        <v>37800</v>
      </c>
      <c r="X1738" t="s">
        <v>40439</v>
      </c>
    </row>
    <row r="1739" spans="1:24">
      <c r="A1739">
        <f>HYPERLINK("https://www.philgeps.gov.ph/GEPSNONPILOT/Tender/SplashBidNoticeAbstractUI.aspx?menuIndex=3&amp;refID=7049058&amp;Result=3","7049058")</f>
        <v>0</v>
      </c>
      <c r="B1739" t="s">
        <v>101</v>
      </c>
      <c r="C1739" t="s">
        <v>4765</v>
      </c>
      <c r="D1739" t="s">
        <v>16200</v>
      </c>
      <c r="E1739" t="s">
        <v>17896</v>
      </c>
      <c r="F1739" t="s">
        <v>28198</v>
      </c>
      <c r="G1739" t="s">
        <v>28205</v>
      </c>
      <c r="H1739" t="s">
        <v>28214</v>
      </c>
      <c r="I1739" t="s">
        <v>3797</v>
      </c>
      <c r="J1739" t="s">
        <v>29560</v>
      </c>
      <c r="K1739" t="s">
        <v>36763</v>
      </c>
      <c r="M1739" t="s">
        <v>37075</v>
      </c>
      <c r="N1739" t="s">
        <v>40436</v>
      </c>
      <c r="O1739" t="s">
        <v>40437</v>
      </c>
      <c r="P1739">
        <v>0</v>
      </c>
      <c r="Q1739">
        <v>1</v>
      </c>
      <c r="R1739" t="s">
        <v>40438</v>
      </c>
      <c r="S1739" t="s">
        <v>40582</v>
      </c>
      <c r="T1739" t="s">
        <v>42106</v>
      </c>
      <c r="U1739" t="s">
        <v>44145</v>
      </c>
      <c r="V1739" t="s">
        <v>53799</v>
      </c>
      <c r="W1739" t="s">
        <v>37075</v>
      </c>
      <c r="X1739" t="s">
        <v>40439</v>
      </c>
    </row>
    <row r="1740" spans="1:24">
      <c r="A1740">
        <f>HYPERLINK("https://www.philgeps.gov.ph/GEPSNONPILOT/Tender/SplashBidNoticeAbstractUI.aspx?menuIndex=3&amp;refID=7049071&amp;Result=3","7049071")</f>
        <v>0</v>
      </c>
      <c r="B1740" t="s">
        <v>593</v>
      </c>
      <c r="C1740" t="s">
        <v>4766</v>
      </c>
      <c r="D1740" t="s">
        <v>16187</v>
      </c>
      <c r="E1740" t="s">
        <v>17897</v>
      </c>
      <c r="F1740" t="s">
        <v>28198</v>
      </c>
      <c r="G1740" t="s">
        <v>28207</v>
      </c>
      <c r="H1740" t="s">
        <v>28215</v>
      </c>
      <c r="I1740" t="s">
        <v>28255</v>
      </c>
      <c r="J1740" t="s">
        <v>28395</v>
      </c>
      <c r="K1740" t="s">
        <v>36687</v>
      </c>
      <c r="M1740" t="s">
        <v>37810</v>
      </c>
      <c r="N1740" t="s">
        <v>40436</v>
      </c>
      <c r="O1740" t="s">
        <v>40437</v>
      </c>
      <c r="P1740">
        <v>0</v>
      </c>
      <c r="Q1740">
        <v>0</v>
      </c>
      <c r="R1740" t="s">
        <v>40438</v>
      </c>
      <c r="S1740" t="s">
        <v>40582</v>
      </c>
      <c r="T1740" t="s">
        <v>42134</v>
      </c>
      <c r="U1740" t="s">
        <v>44146</v>
      </c>
      <c r="V1740" t="s">
        <v>53977</v>
      </c>
      <c r="W1740" t="s">
        <v>37810</v>
      </c>
      <c r="X1740" t="s">
        <v>40439</v>
      </c>
    </row>
    <row r="1741" spans="1:24">
      <c r="A1741">
        <f>HYPERLINK("https://www.philgeps.gov.ph/GEPSNONPILOT/Tender/SplashBidNoticeAbstractUI.aspx?menuIndex=3&amp;refID=7049077&amp;Result=3","7049077")</f>
        <v>0</v>
      </c>
      <c r="B1741" t="s">
        <v>67</v>
      </c>
      <c r="C1741" t="s">
        <v>4767</v>
      </c>
      <c r="D1741" t="s">
        <v>16192</v>
      </c>
      <c r="E1741" t="s">
        <v>17898</v>
      </c>
      <c r="F1741" t="s">
        <v>28198</v>
      </c>
      <c r="G1741" t="s">
        <v>28207</v>
      </c>
      <c r="H1741" t="s">
        <v>28215</v>
      </c>
      <c r="I1741" t="s">
        <v>28225</v>
      </c>
      <c r="J1741" t="s">
        <v>29561</v>
      </c>
      <c r="K1741" t="s">
        <v>36688</v>
      </c>
      <c r="M1741" t="s">
        <v>37039</v>
      </c>
      <c r="N1741" t="s">
        <v>40436</v>
      </c>
      <c r="O1741" t="s">
        <v>40437</v>
      </c>
      <c r="P1741">
        <v>0</v>
      </c>
      <c r="Q1741">
        <v>0</v>
      </c>
      <c r="R1741" t="s">
        <v>40438</v>
      </c>
      <c r="S1741" t="s">
        <v>40582</v>
      </c>
      <c r="T1741" t="s">
        <v>42126</v>
      </c>
      <c r="U1741" t="s">
        <v>44147</v>
      </c>
      <c r="W1741" t="s">
        <v>37039</v>
      </c>
      <c r="X1741" t="s">
        <v>40439</v>
      </c>
    </row>
    <row r="1742" spans="1:24">
      <c r="A1742">
        <f>HYPERLINK("https://www.philgeps.gov.ph/GEPSNONPILOT/Tender/SplashBidNoticeAbstractUI.aspx?menuIndex=3&amp;refID=7049075&amp;Result=3","7049075")</f>
        <v>0</v>
      </c>
      <c r="B1742" t="s">
        <v>783</v>
      </c>
      <c r="C1742" t="s">
        <v>4768</v>
      </c>
      <c r="D1742" t="s">
        <v>16203</v>
      </c>
      <c r="E1742" t="s">
        <v>17899</v>
      </c>
      <c r="F1742" t="s">
        <v>28198</v>
      </c>
      <c r="G1742" t="s">
        <v>28206</v>
      </c>
      <c r="H1742" t="s">
        <v>28215</v>
      </c>
      <c r="I1742" t="s">
        <v>28225</v>
      </c>
      <c r="J1742" t="s">
        <v>29562</v>
      </c>
      <c r="K1742" t="s">
        <v>36701</v>
      </c>
      <c r="M1742" t="s">
        <v>37787</v>
      </c>
      <c r="N1742" t="s">
        <v>40436</v>
      </c>
      <c r="O1742" t="s">
        <v>40437</v>
      </c>
      <c r="P1742">
        <v>0</v>
      </c>
      <c r="Q1742">
        <v>1</v>
      </c>
      <c r="R1742" t="s">
        <v>40438</v>
      </c>
      <c r="S1742" t="s">
        <v>40582</v>
      </c>
      <c r="T1742" t="s">
        <v>42158</v>
      </c>
      <c r="U1742" t="s">
        <v>44148</v>
      </c>
      <c r="W1742" t="s">
        <v>37787</v>
      </c>
      <c r="X1742" t="s">
        <v>40439</v>
      </c>
    </row>
    <row r="1743" spans="1:24">
      <c r="A1743">
        <f>HYPERLINK("https://www.philgeps.gov.ph/GEPSNONPILOT/Tender/SplashBidNoticeAbstractUI.aspx?menuIndex=3&amp;refID=7049074&amp;Result=3","7049074")</f>
        <v>0</v>
      </c>
      <c r="B1743" t="s">
        <v>803</v>
      </c>
      <c r="C1743" t="s">
        <v>4769</v>
      </c>
      <c r="D1743" t="s">
        <v>16199</v>
      </c>
      <c r="E1743" t="s">
        <v>17900</v>
      </c>
      <c r="F1743" t="s">
        <v>28198</v>
      </c>
      <c r="G1743" t="s">
        <v>28205</v>
      </c>
      <c r="H1743" t="s">
        <v>28215</v>
      </c>
      <c r="I1743" t="s">
        <v>28239</v>
      </c>
      <c r="J1743" t="s">
        <v>28378</v>
      </c>
      <c r="K1743" t="s">
        <v>36688</v>
      </c>
      <c r="M1743" t="s">
        <v>37811</v>
      </c>
      <c r="N1743" t="s">
        <v>40436</v>
      </c>
      <c r="O1743" t="s">
        <v>40437</v>
      </c>
      <c r="P1743">
        <v>0</v>
      </c>
      <c r="Q1743">
        <v>1</v>
      </c>
      <c r="R1743" t="s">
        <v>40438</v>
      </c>
      <c r="S1743" t="s">
        <v>40582</v>
      </c>
      <c r="T1743" t="s">
        <v>42115</v>
      </c>
      <c r="U1743" t="s">
        <v>44149</v>
      </c>
      <c r="W1743" t="s">
        <v>37811</v>
      </c>
      <c r="X1743" t="s">
        <v>40439</v>
      </c>
    </row>
    <row r="1744" spans="1:24">
      <c r="A1744">
        <f>HYPERLINK("https://www.philgeps.gov.ph/GEPSNONPILOT/Tender/SplashBidNoticeAbstractUI.aspx?menuIndex=3&amp;refID=7049073&amp;Result=3","7049073")</f>
        <v>0</v>
      </c>
      <c r="B1744" t="s">
        <v>804</v>
      </c>
      <c r="C1744" t="s">
        <v>4770</v>
      </c>
      <c r="D1744" t="s">
        <v>16193</v>
      </c>
      <c r="E1744" t="s">
        <v>17901</v>
      </c>
      <c r="F1744" t="s">
        <v>28198</v>
      </c>
      <c r="G1744" t="s">
        <v>28206</v>
      </c>
      <c r="H1744" t="s">
        <v>28215</v>
      </c>
      <c r="I1744" t="s">
        <v>5791</v>
      </c>
      <c r="J1744" t="s">
        <v>29563</v>
      </c>
      <c r="K1744" t="s">
        <v>36688</v>
      </c>
      <c r="M1744" t="s">
        <v>37812</v>
      </c>
      <c r="N1744" t="s">
        <v>40436</v>
      </c>
      <c r="O1744" t="s">
        <v>40437</v>
      </c>
      <c r="P1744">
        <v>0</v>
      </c>
      <c r="Q1744">
        <v>0</v>
      </c>
      <c r="R1744" t="s">
        <v>40438</v>
      </c>
      <c r="S1744" t="s">
        <v>40582</v>
      </c>
      <c r="T1744" t="s">
        <v>42161</v>
      </c>
      <c r="U1744" t="s">
        <v>44150</v>
      </c>
      <c r="W1744" t="s">
        <v>37812</v>
      </c>
      <c r="X1744" t="s">
        <v>40439</v>
      </c>
    </row>
    <row r="1745" spans="1:24">
      <c r="A1745">
        <f>HYPERLINK("https://www.philgeps.gov.ph/GEPSNONPILOT/Tender/SplashBidNoticeAbstractUI.aspx?menuIndex=3&amp;refID=7049070&amp;Result=3","7049070")</f>
        <v>0</v>
      </c>
      <c r="B1745" t="s">
        <v>805</v>
      </c>
      <c r="C1745" t="s">
        <v>4771</v>
      </c>
      <c r="D1745" t="s">
        <v>16221</v>
      </c>
      <c r="E1745" t="s">
        <v>17902</v>
      </c>
      <c r="F1745" t="s">
        <v>28198</v>
      </c>
      <c r="G1745" t="s">
        <v>28207</v>
      </c>
      <c r="H1745" t="s">
        <v>28215</v>
      </c>
      <c r="I1745" t="s">
        <v>3422</v>
      </c>
      <c r="J1745" t="s">
        <v>29564</v>
      </c>
      <c r="K1745" t="s">
        <v>36688</v>
      </c>
      <c r="M1745" t="s">
        <v>37813</v>
      </c>
      <c r="N1745" t="s">
        <v>40436</v>
      </c>
      <c r="O1745" t="s">
        <v>40437</v>
      </c>
      <c r="P1745">
        <v>0</v>
      </c>
      <c r="Q1745">
        <v>0</v>
      </c>
      <c r="R1745" t="s">
        <v>40438</v>
      </c>
      <c r="S1745" t="s">
        <v>40582</v>
      </c>
      <c r="T1745" t="s">
        <v>42200</v>
      </c>
      <c r="U1745" t="s">
        <v>44151</v>
      </c>
      <c r="V1745" t="s">
        <v>53978</v>
      </c>
      <c r="W1745" t="s">
        <v>37813</v>
      </c>
      <c r="X1745" t="s">
        <v>40439</v>
      </c>
    </row>
    <row r="1746" spans="1:24">
      <c r="A1746">
        <f>HYPERLINK("https://www.philgeps.gov.ph/GEPSNONPILOT/Tender/SplashBidNoticeAbstractUI.aspx?menuIndex=3&amp;refID=7049082&amp;Result=3","7049082")</f>
        <v>0</v>
      </c>
      <c r="B1746" t="s">
        <v>806</v>
      </c>
      <c r="C1746" t="s">
        <v>4772</v>
      </c>
      <c r="D1746" t="s">
        <v>16188</v>
      </c>
      <c r="E1746" t="s">
        <v>17903</v>
      </c>
      <c r="F1746" t="s">
        <v>28198</v>
      </c>
      <c r="G1746" t="s">
        <v>28205</v>
      </c>
      <c r="H1746" t="s">
        <v>28214</v>
      </c>
      <c r="I1746" t="s">
        <v>3797</v>
      </c>
      <c r="J1746" t="s">
        <v>29565</v>
      </c>
      <c r="K1746" t="s">
        <v>36690</v>
      </c>
      <c r="M1746" t="s">
        <v>37814</v>
      </c>
      <c r="N1746" t="s">
        <v>40436</v>
      </c>
      <c r="O1746" t="s">
        <v>40437</v>
      </c>
      <c r="P1746">
        <v>0</v>
      </c>
      <c r="Q1746">
        <v>0</v>
      </c>
      <c r="R1746" t="s">
        <v>40438</v>
      </c>
      <c r="S1746" t="s">
        <v>40582</v>
      </c>
      <c r="T1746" t="s">
        <v>42188</v>
      </c>
      <c r="U1746" t="s">
        <v>44152</v>
      </c>
      <c r="W1746" t="s">
        <v>37814</v>
      </c>
      <c r="X1746" t="s">
        <v>40439</v>
      </c>
    </row>
    <row r="1747" spans="1:24">
      <c r="A1747">
        <f>HYPERLINK("https://www.philgeps.gov.ph/GEPSNONPILOT/Tender/SplashBidNoticeAbstractUI.aspx?menuIndex=3&amp;refID=7049081&amp;Result=3","7049081")</f>
        <v>0</v>
      </c>
      <c r="B1747" t="s">
        <v>780</v>
      </c>
      <c r="C1747" t="s">
        <v>4773</v>
      </c>
      <c r="D1747" t="s">
        <v>16197</v>
      </c>
      <c r="E1747" t="s">
        <v>17904</v>
      </c>
      <c r="F1747" t="s">
        <v>28198</v>
      </c>
      <c r="G1747" t="s">
        <v>28205</v>
      </c>
      <c r="H1747" t="s">
        <v>28214</v>
      </c>
      <c r="I1747" t="s">
        <v>3797</v>
      </c>
      <c r="J1747" t="s">
        <v>29566</v>
      </c>
      <c r="K1747" t="s">
        <v>36764</v>
      </c>
      <c r="M1747" t="s">
        <v>37784</v>
      </c>
      <c r="N1747" t="s">
        <v>40436</v>
      </c>
      <c r="O1747" t="s">
        <v>40437</v>
      </c>
      <c r="P1747">
        <v>0</v>
      </c>
      <c r="Q1747">
        <v>0</v>
      </c>
      <c r="R1747" t="s">
        <v>40438</v>
      </c>
      <c r="S1747" t="s">
        <v>40582</v>
      </c>
      <c r="T1747" t="s">
        <v>42108</v>
      </c>
      <c r="U1747" t="s">
        <v>44102</v>
      </c>
      <c r="W1747" t="s">
        <v>37784</v>
      </c>
      <c r="X1747" t="s">
        <v>40439</v>
      </c>
    </row>
    <row r="1748" spans="1:24">
      <c r="A1748">
        <f>HYPERLINK("https://www.philgeps.gov.ph/GEPSNONPILOT/Tender/SplashBidNoticeAbstractUI.aspx?menuIndex=3&amp;refID=7049098&amp;Result=3","7049098")</f>
        <v>0</v>
      </c>
      <c r="B1748" t="s">
        <v>807</v>
      </c>
      <c r="C1748" t="s">
        <v>4774</v>
      </c>
      <c r="D1748" t="s">
        <v>16188</v>
      </c>
      <c r="E1748" t="s">
        <v>16588</v>
      </c>
      <c r="F1748" t="s">
        <v>28198</v>
      </c>
      <c r="G1748" t="s">
        <v>28207</v>
      </c>
      <c r="H1748" t="s">
        <v>28217</v>
      </c>
      <c r="I1748" t="s">
        <v>28231</v>
      </c>
      <c r="J1748" t="s">
        <v>28561</v>
      </c>
      <c r="K1748" t="s">
        <v>36765</v>
      </c>
      <c r="M1748" t="s">
        <v>37815</v>
      </c>
      <c r="N1748" t="s">
        <v>40436</v>
      </c>
      <c r="O1748" t="s">
        <v>40437</v>
      </c>
      <c r="P1748">
        <v>0</v>
      </c>
      <c r="Q1748">
        <v>1</v>
      </c>
      <c r="R1748" t="s">
        <v>40438</v>
      </c>
      <c r="S1748" t="s">
        <v>40582</v>
      </c>
      <c r="T1748" t="s">
        <v>42124</v>
      </c>
      <c r="U1748" t="s">
        <v>44153</v>
      </c>
      <c r="W1748" t="s">
        <v>37815</v>
      </c>
      <c r="X1748" t="s">
        <v>40439</v>
      </c>
    </row>
    <row r="1749" spans="1:24">
      <c r="A1749">
        <f>HYPERLINK("https://www.philgeps.gov.ph/GEPSNONPILOT/Tender/SplashBidNoticeAbstractUI.aspx?menuIndex=3&amp;refID=7049037&amp;Result=3","7049037")</f>
        <v>0</v>
      </c>
      <c r="B1749" t="s">
        <v>775</v>
      </c>
      <c r="C1749" t="s">
        <v>4775</v>
      </c>
      <c r="D1749" t="s">
        <v>16206</v>
      </c>
      <c r="E1749" t="s">
        <v>17905</v>
      </c>
      <c r="F1749" t="s">
        <v>28198</v>
      </c>
      <c r="G1749" t="s">
        <v>28205</v>
      </c>
      <c r="H1749" t="s">
        <v>28215</v>
      </c>
      <c r="I1749" t="s">
        <v>5100</v>
      </c>
      <c r="J1749" t="s">
        <v>29567</v>
      </c>
      <c r="K1749" t="s">
        <v>36707</v>
      </c>
      <c r="M1749" t="s">
        <v>37779</v>
      </c>
      <c r="N1749" t="s">
        <v>40436</v>
      </c>
      <c r="O1749" t="s">
        <v>40437</v>
      </c>
      <c r="P1749">
        <v>0</v>
      </c>
      <c r="Q1749">
        <v>0</v>
      </c>
      <c r="R1749" t="s">
        <v>40438</v>
      </c>
      <c r="S1749" t="s">
        <v>40582</v>
      </c>
      <c r="T1749" t="s">
        <v>42204</v>
      </c>
      <c r="U1749" t="s">
        <v>44154</v>
      </c>
      <c r="W1749" t="s">
        <v>37779</v>
      </c>
      <c r="X1749" t="s">
        <v>40439</v>
      </c>
    </row>
    <row r="1750" spans="1:24">
      <c r="A1750">
        <f>HYPERLINK("https://www.philgeps.gov.ph/GEPSNONPILOT/Tender/SplashBidNoticeAbstractUI.aspx?menuIndex=3&amp;refID=7049079&amp;Result=3","7049079")</f>
        <v>0</v>
      </c>
      <c r="B1750" t="s">
        <v>785</v>
      </c>
      <c r="C1750" t="s">
        <v>4776</v>
      </c>
      <c r="E1750" t="s">
        <v>17906</v>
      </c>
      <c r="F1750" t="s">
        <v>28198</v>
      </c>
      <c r="G1750" t="s">
        <v>28205</v>
      </c>
      <c r="H1750" t="s">
        <v>28215</v>
      </c>
      <c r="I1750" t="s">
        <v>28220</v>
      </c>
      <c r="J1750" t="s">
        <v>29568</v>
      </c>
      <c r="K1750" t="s">
        <v>36689</v>
      </c>
      <c r="M1750" t="s">
        <v>37816</v>
      </c>
      <c r="N1750" t="s">
        <v>40436</v>
      </c>
      <c r="O1750" t="s">
        <v>40437</v>
      </c>
      <c r="P1750">
        <v>0</v>
      </c>
      <c r="Q1750">
        <v>7</v>
      </c>
      <c r="R1750" t="s">
        <v>40438</v>
      </c>
      <c r="S1750" t="s">
        <v>40582</v>
      </c>
      <c r="T1750" t="s">
        <v>42286</v>
      </c>
      <c r="U1750" t="s">
        <v>44155</v>
      </c>
      <c r="W1750" t="s">
        <v>37816</v>
      </c>
      <c r="X1750" t="s">
        <v>40439</v>
      </c>
    </row>
    <row r="1751" spans="1:24">
      <c r="A1751">
        <f>HYPERLINK("https://www.philgeps.gov.ph/GEPSNONPILOT/Tender/SplashBidNoticeAbstractUI.aspx?menuIndex=3&amp;refID=7049095&amp;Result=3","7049095")</f>
        <v>0</v>
      </c>
      <c r="B1751" t="s">
        <v>808</v>
      </c>
      <c r="C1751" t="s">
        <v>4777</v>
      </c>
      <c r="D1751" t="s">
        <v>16210</v>
      </c>
      <c r="E1751" t="s">
        <v>17907</v>
      </c>
      <c r="F1751" t="s">
        <v>28198</v>
      </c>
      <c r="G1751" t="s">
        <v>28207</v>
      </c>
      <c r="H1751" t="s">
        <v>28215</v>
      </c>
      <c r="I1751" t="s">
        <v>28234</v>
      </c>
      <c r="J1751" t="s">
        <v>28632</v>
      </c>
      <c r="K1751" t="s">
        <v>36693</v>
      </c>
      <c r="M1751" t="s">
        <v>37817</v>
      </c>
      <c r="N1751" t="s">
        <v>40436</v>
      </c>
      <c r="O1751" t="s">
        <v>40437</v>
      </c>
      <c r="P1751">
        <v>0</v>
      </c>
      <c r="Q1751">
        <v>7</v>
      </c>
      <c r="R1751" t="s">
        <v>40438</v>
      </c>
      <c r="S1751" t="s">
        <v>40582</v>
      </c>
      <c r="T1751" t="s">
        <v>42111</v>
      </c>
      <c r="U1751" t="s">
        <v>44156</v>
      </c>
      <c r="W1751" t="s">
        <v>37817</v>
      </c>
      <c r="X1751" t="s">
        <v>40439</v>
      </c>
    </row>
    <row r="1752" spans="1:24">
      <c r="A1752">
        <f>HYPERLINK("https://www.philgeps.gov.ph/GEPSNONPILOT/Tender/SplashBidNoticeAbstractUI.aspx?menuIndex=3&amp;refID=7049062&amp;Result=3","7049062")</f>
        <v>0</v>
      </c>
      <c r="B1752" t="s">
        <v>809</v>
      </c>
      <c r="C1752" t="s">
        <v>4778</v>
      </c>
      <c r="D1752" t="s">
        <v>16260</v>
      </c>
      <c r="E1752" t="s">
        <v>17908</v>
      </c>
      <c r="F1752" t="s">
        <v>28198</v>
      </c>
      <c r="G1752" t="s">
        <v>28207</v>
      </c>
      <c r="H1752" t="s">
        <v>28215</v>
      </c>
      <c r="I1752" t="s">
        <v>28225</v>
      </c>
      <c r="J1752" t="s">
        <v>29569</v>
      </c>
      <c r="K1752" t="s">
        <v>36689</v>
      </c>
      <c r="M1752" t="s">
        <v>37818</v>
      </c>
      <c r="N1752" t="s">
        <v>40436</v>
      </c>
      <c r="O1752" t="s">
        <v>40437</v>
      </c>
      <c r="P1752">
        <v>0</v>
      </c>
      <c r="Q1752">
        <v>2</v>
      </c>
      <c r="R1752" t="s">
        <v>40438</v>
      </c>
      <c r="S1752" t="s">
        <v>40582</v>
      </c>
      <c r="T1752" t="s">
        <v>42124</v>
      </c>
      <c r="U1752" t="s">
        <v>44157</v>
      </c>
      <c r="W1752" t="s">
        <v>37818</v>
      </c>
      <c r="X1752" t="s">
        <v>40439</v>
      </c>
    </row>
    <row r="1753" spans="1:24">
      <c r="A1753">
        <f>HYPERLINK("https://www.philgeps.gov.ph/GEPSNONPILOT/Tender/SplashBidNoticeAbstractUI.aspx?menuIndex=3&amp;refID=7049097&amp;Result=3","7049097")</f>
        <v>0</v>
      </c>
      <c r="B1753" t="s">
        <v>410</v>
      </c>
      <c r="C1753" t="s">
        <v>4779</v>
      </c>
      <c r="D1753" t="s">
        <v>16200</v>
      </c>
      <c r="E1753" t="s">
        <v>17909</v>
      </c>
      <c r="F1753" t="s">
        <v>28198</v>
      </c>
      <c r="G1753" t="s">
        <v>28205</v>
      </c>
      <c r="H1753" t="s">
        <v>28214</v>
      </c>
      <c r="I1753" t="s">
        <v>3797</v>
      </c>
      <c r="J1753" t="s">
        <v>29570</v>
      </c>
      <c r="K1753" t="s">
        <v>36708</v>
      </c>
      <c r="L1753" t="s">
        <v>410</v>
      </c>
      <c r="M1753" t="s">
        <v>37392</v>
      </c>
      <c r="N1753" t="s">
        <v>40436</v>
      </c>
      <c r="O1753" t="s">
        <v>40437</v>
      </c>
      <c r="P1753">
        <v>0</v>
      </c>
      <c r="Q1753">
        <v>1</v>
      </c>
      <c r="R1753" t="s">
        <v>40438</v>
      </c>
      <c r="S1753" t="s">
        <v>40582</v>
      </c>
      <c r="T1753" t="s">
        <v>42122</v>
      </c>
      <c r="U1753" t="s">
        <v>44158</v>
      </c>
      <c r="W1753" t="s">
        <v>37392</v>
      </c>
      <c r="X1753" t="s">
        <v>40439</v>
      </c>
    </row>
    <row r="1754" spans="1:24">
      <c r="A1754">
        <f>HYPERLINK("https://www.philgeps.gov.ph/GEPSNONPILOT/Tender/SplashBidNoticeAbstractUI.aspx?menuIndex=3&amp;refID=7049078&amp;Result=3","7049078")</f>
        <v>0</v>
      </c>
      <c r="B1754" t="s">
        <v>585</v>
      </c>
      <c r="C1754" t="s">
        <v>4780</v>
      </c>
      <c r="D1754" t="s">
        <v>16190</v>
      </c>
      <c r="E1754" t="s">
        <v>17910</v>
      </c>
      <c r="F1754" t="s">
        <v>28198</v>
      </c>
      <c r="G1754" t="s">
        <v>28207</v>
      </c>
      <c r="H1754" t="s">
        <v>28215</v>
      </c>
      <c r="I1754" t="s">
        <v>28223</v>
      </c>
      <c r="J1754" t="s">
        <v>28878</v>
      </c>
      <c r="K1754" t="s">
        <v>36698</v>
      </c>
      <c r="M1754" t="s">
        <v>37670</v>
      </c>
      <c r="N1754" t="s">
        <v>40436</v>
      </c>
      <c r="O1754" t="s">
        <v>40437</v>
      </c>
      <c r="P1754">
        <v>0</v>
      </c>
      <c r="Q1754">
        <v>0</v>
      </c>
      <c r="R1754" t="s">
        <v>40438</v>
      </c>
      <c r="S1754" t="s">
        <v>40582</v>
      </c>
      <c r="T1754" t="s">
        <v>42270</v>
      </c>
      <c r="U1754" t="s">
        <v>44159</v>
      </c>
      <c r="W1754" t="s">
        <v>37670</v>
      </c>
      <c r="X1754" t="s">
        <v>40439</v>
      </c>
    </row>
    <row r="1755" spans="1:24">
      <c r="A1755">
        <f>HYPERLINK("https://www.philgeps.gov.ph/GEPSNONPILOT/Tender/SplashBidNoticeAbstractUI.aspx?menuIndex=3&amp;refID=7049094&amp;Result=3","7049094")</f>
        <v>0</v>
      </c>
      <c r="B1755" t="s">
        <v>67</v>
      </c>
      <c r="C1755" t="s">
        <v>4781</v>
      </c>
      <c r="D1755" t="s">
        <v>16192</v>
      </c>
      <c r="E1755" t="s">
        <v>17911</v>
      </c>
      <c r="F1755" t="s">
        <v>28198</v>
      </c>
      <c r="G1755" t="s">
        <v>28209</v>
      </c>
      <c r="H1755" t="s">
        <v>28215</v>
      </c>
      <c r="I1755" t="s">
        <v>3422</v>
      </c>
      <c r="J1755" t="s">
        <v>29571</v>
      </c>
      <c r="K1755" t="s">
        <v>36688</v>
      </c>
      <c r="M1755" t="s">
        <v>37039</v>
      </c>
      <c r="N1755" t="s">
        <v>40436</v>
      </c>
      <c r="O1755" t="s">
        <v>40437</v>
      </c>
      <c r="P1755">
        <v>0</v>
      </c>
      <c r="Q1755">
        <v>0</v>
      </c>
      <c r="R1755" t="s">
        <v>40438</v>
      </c>
      <c r="S1755" t="s">
        <v>40582</v>
      </c>
      <c r="T1755" t="s">
        <v>42126</v>
      </c>
      <c r="U1755" t="s">
        <v>44160</v>
      </c>
      <c r="W1755" t="s">
        <v>37039</v>
      </c>
      <c r="X1755" t="s">
        <v>40439</v>
      </c>
    </row>
    <row r="1756" spans="1:24">
      <c r="A1756">
        <f>HYPERLINK("https://www.philgeps.gov.ph/GEPSNONPILOT/Tender/SplashBidNoticeAbstractUI.aspx?menuIndex=3&amp;refID=7049083&amp;Result=3","7049083")</f>
        <v>0</v>
      </c>
      <c r="B1756" t="s">
        <v>785</v>
      </c>
      <c r="C1756" t="s">
        <v>4782</v>
      </c>
      <c r="E1756" t="s">
        <v>17912</v>
      </c>
      <c r="F1756" t="s">
        <v>28198</v>
      </c>
      <c r="G1756" t="s">
        <v>28205</v>
      </c>
      <c r="H1756" t="s">
        <v>28215</v>
      </c>
      <c r="I1756" t="s">
        <v>28256</v>
      </c>
      <c r="J1756" t="s">
        <v>29113</v>
      </c>
      <c r="K1756" t="s">
        <v>36689</v>
      </c>
      <c r="M1756" t="s">
        <v>37819</v>
      </c>
      <c r="N1756" t="s">
        <v>40436</v>
      </c>
      <c r="O1756" t="s">
        <v>40437</v>
      </c>
      <c r="P1756">
        <v>0</v>
      </c>
      <c r="Q1756">
        <v>8</v>
      </c>
      <c r="R1756" t="s">
        <v>40438</v>
      </c>
      <c r="S1756" t="s">
        <v>40582</v>
      </c>
      <c r="T1756" t="s">
        <v>42286</v>
      </c>
      <c r="U1756" t="s">
        <v>44108</v>
      </c>
      <c r="W1756" t="s">
        <v>37819</v>
      </c>
      <c r="X1756" t="s">
        <v>40439</v>
      </c>
    </row>
    <row r="1757" spans="1:24">
      <c r="A1757">
        <f>HYPERLINK("https://www.philgeps.gov.ph/GEPSNONPILOT/Tender/SplashBidNoticeAbstractUI.aspx?menuIndex=3&amp;refID=7049091&amp;Result=3","7049091")</f>
        <v>0</v>
      </c>
      <c r="B1757" t="s">
        <v>810</v>
      </c>
      <c r="C1757" t="s">
        <v>4783</v>
      </c>
      <c r="D1757" t="s">
        <v>16215</v>
      </c>
      <c r="E1757" t="s">
        <v>17913</v>
      </c>
      <c r="F1757" t="s">
        <v>28198</v>
      </c>
      <c r="G1757" t="s">
        <v>28205</v>
      </c>
      <c r="H1757" t="s">
        <v>28214</v>
      </c>
      <c r="I1757" t="s">
        <v>5100</v>
      </c>
      <c r="J1757" t="s">
        <v>28361</v>
      </c>
      <c r="K1757" t="s">
        <v>36701</v>
      </c>
      <c r="M1757" t="s">
        <v>37820</v>
      </c>
      <c r="N1757" t="s">
        <v>40436</v>
      </c>
      <c r="O1757" t="s">
        <v>40437</v>
      </c>
      <c r="P1757">
        <v>0</v>
      </c>
      <c r="Q1757">
        <v>0</v>
      </c>
      <c r="R1757" t="s">
        <v>40438</v>
      </c>
      <c r="S1757" t="s">
        <v>40582</v>
      </c>
      <c r="T1757" t="s">
        <v>42102</v>
      </c>
      <c r="U1757" t="s">
        <v>44161</v>
      </c>
      <c r="V1757" t="s">
        <v>53979</v>
      </c>
      <c r="W1757" t="s">
        <v>37820</v>
      </c>
      <c r="X1757" t="s">
        <v>40439</v>
      </c>
    </row>
    <row r="1758" spans="1:24">
      <c r="A1758">
        <f>HYPERLINK("https://www.philgeps.gov.ph/GEPSNONPILOT/Tender/SplashBidNoticeAbstractUI.aspx?menuIndex=3&amp;refID=7049072&amp;Result=3","7049072")</f>
        <v>0</v>
      </c>
      <c r="B1758" t="s">
        <v>361</v>
      </c>
      <c r="C1758" t="s">
        <v>4784</v>
      </c>
      <c r="D1758" t="s">
        <v>16236</v>
      </c>
      <c r="E1758" t="s">
        <v>17914</v>
      </c>
      <c r="F1758" t="s">
        <v>28198</v>
      </c>
      <c r="G1758" t="s">
        <v>28210</v>
      </c>
      <c r="H1758" t="s">
        <v>28215</v>
      </c>
      <c r="I1758" t="s">
        <v>4219</v>
      </c>
      <c r="J1758" t="s">
        <v>29572</v>
      </c>
      <c r="K1758" t="s">
        <v>36707</v>
      </c>
      <c r="M1758" t="s">
        <v>37600</v>
      </c>
      <c r="N1758" t="s">
        <v>40436</v>
      </c>
      <c r="O1758" t="s">
        <v>40437</v>
      </c>
      <c r="P1758">
        <v>0</v>
      </c>
      <c r="Q1758">
        <v>0</v>
      </c>
      <c r="R1758" t="s">
        <v>40438</v>
      </c>
      <c r="S1758" t="s">
        <v>40582</v>
      </c>
      <c r="T1758" t="s">
        <v>42167</v>
      </c>
      <c r="U1758" t="s">
        <v>44162</v>
      </c>
      <c r="W1758" t="s">
        <v>37600</v>
      </c>
      <c r="X1758" t="s">
        <v>40439</v>
      </c>
    </row>
    <row r="1759" spans="1:24">
      <c r="A1759">
        <f>HYPERLINK("https://www.philgeps.gov.ph/GEPSNONPILOT/Tender/SplashBidNoticeAbstractUI.aspx?menuIndex=3&amp;refID=7049092&amp;Result=3","7049092")</f>
        <v>0</v>
      </c>
      <c r="B1759" t="s">
        <v>500</v>
      </c>
      <c r="C1759" t="s">
        <v>4785</v>
      </c>
      <c r="D1759" t="s">
        <v>16190</v>
      </c>
      <c r="E1759" t="s">
        <v>17915</v>
      </c>
      <c r="F1759" t="s">
        <v>28198</v>
      </c>
      <c r="G1759" t="s">
        <v>28207</v>
      </c>
      <c r="H1759" t="s">
        <v>28215</v>
      </c>
      <c r="I1759" t="s">
        <v>3774</v>
      </c>
      <c r="J1759" t="s">
        <v>29573</v>
      </c>
      <c r="K1759" t="s">
        <v>36695</v>
      </c>
      <c r="M1759" t="s">
        <v>37485</v>
      </c>
      <c r="N1759" t="s">
        <v>40436</v>
      </c>
      <c r="O1759" t="s">
        <v>40437</v>
      </c>
      <c r="P1759">
        <v>0</v>
      </c>
      <c r="Q1759">
        <v>0</v>
      </c>
      <c r="R1759" t="s">
        <v>40438</v>
      </c>
      <c r="S1759" t="s">
        <v>40582</v>
      </c>
      <c r="T1759" t="s">
        <v>42112</v>
      </c>
      <c r="U1759" t="s">
        <v>44163</v>
      </c>
      <c r="W1759" t="s">
        <v>37485</v>
      </c>
      <c r="X1759" t="s">
        <v>40439</v>
      </c>
    </row>
    <row r="1760" spans="1:24">
      <c r="A1760">
        <f>HYPERLINK("https://www.philgeps.gov.ph/GEPSNONPILOT/Tender/SplashBidNoticeAbstractUI.aspx?menuIndex=3&amp;refID=7049088&amp;Result=3","7049088")</f>
        <v>0</v>
      </c>
      <c r="B1760" t="s">
        <v>65</v>
      </c>
      <c r="C1760" t="s">
        <v>4786</v>
      </c>
      <c r="D1760" t="s">
        <v>16210</v>
      </c>
      <c r="E1760" t="s">
        <v>17916</v>
      </c>
      <c r="F1760" t="s">
        <v>28198</v>
      </c>
      <c r="G1760" t="s">
        <v>28207</v>
      </c>
      <c r="H1760" t="s">
        <v>28215</v>
      </c>
      <c r="I1760" t="s">
        <v>28258</v>
      </c>
      <c r="J1760" t="s">
        <v>29574</v>
      </c>
      <c r="K1760" t="s">
        <v>36689</v>
      </c>
      <c r="M1760" t="s">
        <v>37821</v>
      </c>
      <c r="N1760" t="s">
        <v>40436</v>
      </c>
      <c r="O1760" t="s">
        <v>40437</v>
      </c>
      <c r="P1760">
        <v>0</v>
      </c>
      <c r="Q1760">
        <v>5</v>
      </c>
      <c r="R1760" t="s">
        <v>40438</v>
      </c>
      <c r="S1760" t="s">
        <v>40582</v>
      </c>
      <c r="T1760" t="s">
        <v>42100</v>
      </c>
      <c r="U1760" t="s">
        <v>44164</v>
      </c>
      <c r="W1760" t="s">
        <v>37821</v>
      </c>
      <c r="X1760" t="s">
        <v>40439</v>
      </c>
    </row>
    <row r="1761" spans="1:24">
      <c r="A1761">
        <f>HYPERLINK("https://www.philgeps.gov.ph/GEPSNONPILOT/Tender/SplashBidNoticeAbstractUI.aspx?menuIndex=3&amp;refID=7049099&amp;Result=3","7049099")</f>
        <v>0</v>
      </c>
      <c r="B1761" t="s">
        <v>728</v>
      </c>
      <c r="C1761" t="s">
        <v>4787</v>
      </c>
      <c r="D1761" t="s">
        <v>16200</v>
      </c>
      <c r="E1761" t="s">
        <v>17917</v>
      </c>
      <c r="F1761" t="s">
        <v>28198</v>
      </c>
      <c r="G1761" t="s">
        <v>28205</v>
      </c>
      <c r="H1761" t="s">
        <v>28215</v>
      </c>
      <c r="I1761" t="s">
        <v>28280</v>
      </c>
      <c r="J1761" t="s">
        <v>29575</v>
      </c>
      <c r="K1761" t="s">
        <v>36697</v>
      </c>
      <c r="M1761" t="s">
        <v>37777</v>
      </c>
      <c r="N1761" t="s">
        <v>40436</v>
      </c>
      <c r="O1761" t="s">
        <v>40437</v>
      </c>
      <c r="P1761">
        <v>0</v>
      </c>
      <c r="Q1761">
        <v>3</v>
      </c>
      <c r="R1761" t="s">
        <v>40438</v>
      </c>
      <c r="S1761" t="s">
        <v>40582</v>
      </c>
      <c r="T1761" t="s">
        <v>42143</v>
      </c>
      <c r="U1761" t="s">
        <v>44165</v>
      </c>
      <c r="W1761" t="s">
        <v>37777</v>
      </c>
      <c r="X1761" t="s">
        <v>40439</v>
      </c>
    </row>
    <row r="1762" spans="1:24">
      <c r="A1762">
        <f>HYPERLINK("https://www.philgeps.gov.ph/GEPSNONPILOT/Tender/SplashBidNoticeAbstractUI.aspx?menuIndex=3&amp;refID=7049086&amp;Result=3","7049086")</f>
        <v>0</v>
      </c>
      <c r="B1762" t="s">
        <v>811</v>
      </c>
      <c r="C1762" t="s">
        <v>4788</v>
      </c>
      <c r="D1762" t="s">
        <v>16238</v>
      </c>
      <c r="E1762" t="s">
        <v>17918</v>
      </c>
      <c r="F1762" t="s">
        <v>28198</v>
      </c>
      <c r="G1762" t="s">
        <v>28207</v>
      </c>
      <c r="H1762" t="s">
        <v>28215</v>
      </c>
      <c r="I1762" t="s">
        <v>4200</v>
      </c>
      <c r="J1762" t="s">
        <v>29576</v>
      </c>
      <c r="K1762" t="s">
        <v>36706</v>
      </c>
      <c r="M1762" t="s">
        <v>37822</v>
      </c>
      <c r="N1762" t="s">
        <v>40436</v>
      </c>
      <c r="O1762" t="s">
        <v>40437</v>
      </c>
      <c r="P1762">
        <v>0</v>
      </c>
      <c r="Q1762">
        <v>0</v>
      </c>
      <c r="R1762" t="s">
        <v>40438</v>
      </c>
      <c r="S1762" t="s">
        <v>40582</v>
      </c>
      <c r="T1762" t="s">
        <v>42103</v>
      </c>
      <c r="U1762" t="s">
        <v>44166</v>
      </c>
      <c r="V1762" t="s">
        <v>53980</v>
      </c>
      <c r="W1762" t="s">
        <v>37822</v>
      </c>
      <c r="X1762" t="s">
        <v>40439</v>
      </c>
    </row>
    <row r="1763" spans="1:24">
      <c r="A1763">
        <f>HYPERLINK("https://www.philgeps.gov.ph/GEPSNONPILOT/Tender/SplashBidNoticeAbstractUI.aspx?menuIndex=3&amp;refID=7049101&amp;Result=3","7049101")</f>
        <v>0</v>
      </c>
      <c r="B1763" t="s">
        <v>812</v>
      </c>
      <c r="C1763" t="s">
        <v>4789</v>
      </c>
      <c r="D1763" t="s">
        <v>16210</v>
      </c>
      <c r="E1763" t="s">
        <v>17919</v>
      </c>
      <c r="F1763" t="s">
        <v>28198</v>
      </c>
      <c r="G1763" t="s">
        <v>28207</v>
      </c>
      <c r="H1763" t="s">
        <v>28217</v>
      </c>
      <c r="I1763" t="s">
        <v>28257</v>
      </c>
      <c r="J1763" t="s">
        <v>28642</v>
      </c>
      <c r="K1763" t="s">
        <v>36707</v>
      </c>
      <c r="M1763" t="s">
        <v>37823</v>
      </c>
      <c r="N1763" t="s">
        <v>40436</v>
      </c>
      <c r="O1763" t="s">
        <v>40437</v>
      </c>
      <c r="P1763">
        <v>0</v>
      </c>
      <c r="Q1763">
        <v>1</v>
      </c>
      <c r="R1763" t="s">
        <v>40438</v>
      </c>
      <c r="S1763" t="s">
        <v>40582</v>
      </c>
      <c r="T1763" t="s">
        <v>42129</v>
      </c>
      <c r="U1763" t="s">
        <v>44167</v>
      </c>
      <c r="W1763" t="s">
        <v>55461</v>
      </c>
      <c r="X1763" t="s">
        <v>40439</v>
      </c>
    </row>
    <row r="1764" spans="1:24">
      <c r="A1764">
        <f>HYPERLINK("https://www.philgeps.gov.ph/GEPSNONPILOT/Tender/SplashBidNoticeAbstractUI.aspx?menuIndex=3&amp;refID=7049114&amp;Result=3","7049114")</f>
        <v>0</v>
      </c>
      <c r="B1764" t="s">
        <v>410</v>
      </c>
      <c r="C1764" t="s">
        <v>4790</v>
      </c>
      <c r="D1764" t="s">
        <v>16200</v>
      </c>
      <c r="E1764" t="s">
        <v>17920</v>
      </c>
      <c r="F1764" t="s">
        <v>28198</v>
      </c>
      <c r="G1764" t="s">
        <v>28205</v>
      </c>
      <c r="H1764" t="s">
        <v>28214</v>
      </c>
      <c r="I1764" t="s">
        <v>3797</v>
      </c>
      <c r="J1764" t="s">
        <v>29002</v>
      </c>
      <c r="K1764" t="s">
        <v>36708</v>
      </c>
      <c r="L1764" t="s">
        <v>410</v>
      </c>
      <c r="M1764" t="s">
        <v>37392</v>
      </c>
      <c r="N1764" t="s">
        <v>40436</v>
      </c>
      <c r="O1764" t="s">
        <v>40437</v>
      </c>
      <c r="P1764">
        <v>0</v>
      </c>
      <c r="Q1764">
        <v>0</v>
      </c>
      <c r="R1764" t="s">
        <v>40438</v>
      </c>
      <c r="S1764" t="s">
        <v>40582</v>
      </c>
      <c r="T1764" t="s">
        <v>42122</v>
      </c>
      <c r="U1764" t="s">
        <v>44168</v>
      </c>
      <c r="W1764" t="s">
        <v>37392</v>
      </c>
      <c r="X1764" t="s">
        <v>40439</v>
      </c>
    </row>
    <row r="1765" spans="1:24">
      <c r="A1765">
        <f>HYPERLINK("https://www.philgeps.gov.ph/GEPSNONPILOT/Tender/SplashBidNoticeAbstractUI.aspx?menuIndex=3&amp;refID=7049113&amp;Result=3","7049113")</f>
        <v>0</v>
      </c>
      <c r="B1765" t="s">
        <v>317</v>
      </c>
      <c r="C1765" t="s">
        <v>4791</v>
      </c>
      <c r="D1765" t="s">
        <v>16223</v>
      </c>
      <c r="E1765" t="s">
        <v>17921</v>
      </c>
      <c r="F1765" t="s">
        <v>28198</v>
      </c>
      <c r="G1765" t="s">
        <v>28207</v>
      </c>
      <c r="H1765" t="s">
        <v>28215</v>
      </c>
      <c r="I1765" t="s">
        <v>3774</v>
      </c>
      <c r="J1765" t="s">
        <v>29577</v>
      </c>
      <c r="K1765" t="s">
        <v>36689</v>
      </c>
      <c r="M1765" t="s">
        <v>37824</v>
      </c>
      <c r="N1765" t="s">
        <v>40436</v>
      </c>
      <c r="O1765" t="s">
        <v>40437</v>
      </c>
      <c r="P1765">
        <v>0</v>
      </c>
      <c r="Q1765">
        <v>0</v>
      </c>
      <c r="R1765" t="s">
        <v>40438</v>
      </c>
      <c r="S1765" t="s">
        <v>40582</v>
      </c>
      <c r="T1765" t="s">
        <v>42119</v>
      </c>
      <c r="U1765" t="s">
        <v>44169</v>
      </c>
      <c r="W1765" t="s">
        <v>37824</v>
      </c>
      <c r="X1765" t="s">
        <v>40439</v>
      </c>
    </row>
    <row r="1766" spans="1:24">
      <c r="A1766">
        <f>HYPERLINK("https://www.philgeps.gov.ph/GEPSNONPILOT/Tender/SplashBidNoticeAbstractUI.aspx?menuIndex=3&amp;refID=7049116&amp;Result=3","7049116")</f>
        <v>0</v>
      </c>
      <c r="B1766" t="s">
        <v>780</v>
      </c>
      <c r="C1766" t="s">
        <v>4792</v>
      </c>
      <c r="D1766" t="s">
        <v>16197</v>
      </c>
      <c r="E1766" t="s">
        <v>17922</v>
      </c>
      <c r="F1766" t="s">
        <v>28198</v>
      </c>
      <c r="G1766" t="s">
        <v>28205</v>
      </c>
      <c r="H1766" t="s">
        <v>28214</v>
      </c>
      <c r="I1766" t="s">
        <v>3797</v>
      </c>
      <c r="J1766" t="s">
        <v>29552</v>
      </c>
      <c r="K1766" t="s">
        <v>36735</v>
      </c>
      <c r="M1766" t="s">
        <v>37784</v>
      </c>
      <c r="N1766" t="s">
        <v>40436</v>
      </c>
      <c r="O1766" t="s">
        <v>40437</v>
      </c>
      <c r="P1766">
        <v>0</v>
      </c>
      <c r="Q1766">
        <v>0</v>
      </c>
      <c r="R1766" t="s">
        <v>40438</v>
      </c>
      <c r="S1766" t="s">
        <v>40582</v>
      </c>
      <c r="T1766" t="s">
        <v>42108</v>
      </c>
      <c r="U1766" t="s">
        <v>44102</v>
      </c>
      <c r="W1766" t="s">
        <v>37784</v>
      </c>
      <c r="X1766" t="s">
        <v>40439</v>
      </c>
    </row>
    <row r="1767" spans="1:24">
      <c r="A1767">
        <f>HYPERLINK("https://www.philgeps.gov.ph/GEPSNONPILOT/Tender/SplashBidNoticeAbstractUI.aspx?menuIndex=3&amp;refID=7049115&amp;Result=3","7049115")</f>
        <v>0</v>
      </c>
      <c r="B1767" t="s">
        <v>568</v>
      </c>
      <c r="C1767" t="s">
        <v>4793</v>
      </c>
      <c r="D1767" t="s">
        <v>16200</v>
      </c>
      <c r="E1767" t="s">
        <v>17923</v>
      </c>
      <c r="F1767" t="s">
        <v>28198</v>
      </c>
      <c r="G1767" t="s">
        <v>28205</v>
      </c>
      <c r="H1767" t="s">
        <v>28215</v>
      </c>
      <c r="I1767" t="s">
        <v>28281</v>
      </c>
      <c r="J1767" t="s">
        <v>29578</v>
      </c>
      <c r="K1767" t="s">
        <v>36707</v>
      </c>
      <c r="M1767" t="s">
        <v>37556</v>
      </c>
      <c r="N1767" t="s">
        <v>40436</v>
      </c>
      <c r="O1767" t="s">
        <v>40437</v>
      </c>
      <c r="P1767">
        <v>0</v>
      </c>
      <c r="Q1767">
        <v>1</v>
      </c>
      <c r="R1767" t="s">
        <v>40438</v>
      </c>
      <c r="S1767" t="s">
        <v>40582</v>
      </c>
      <c r="T1767" t="s">
        <v>42248</v>
      </c>
      <c r="U1767" t="s">
        <v>44170</v>
      </c>
      <c r="W1767" t="s">
        <v>37556</v>
      </c>
      <c r="X1767" t="s">
        <v>40439</v>
      </c>
    </row>
    <row r="1768" spans="1:24">
      <c r="A1768">
        <f>HYPERLINK("https://www.philgeps.gov.ph/GEPSNONPILOT/Tender/SplashBidNoticeAbstractUI.aspx?menuIndex=3&amp;refID=7049100&amp;Result=3","7049100")</f>
        <v>0</v>
      </c>
      <c r="B1768" t="s">
        <v>813</v>
      </c>
      <c r="C1768" t="s">
        <v>4794</v>
      </c>
      <c r="D1768" t="s">
        <v>16210</v>
      </c>
      <c r="E1768" t="s">
        <v>16424</v>
      </c>
      <c r="F1768" t="s">
        <v>28198</v>
      </c>
      <c r="G1768" t="s">
        <v>28205</v>
      </c>
      <c r="H1768" t="s">
        <v>28217</v>
      </c>
      <c r="I1768" t="s">
        <v>4219</v>
      </c>
      <c r="J1768" t="s">
        <v>28398</v>
      </c>
      <c r="K1768" t="s">
        <v>36691</v>
      </c>
      <c r="M1768" t="s">
        <v>37825</v>
      </c>
      <c r="N1768" t="s">
        <v>40436</v>
      </c>
      <c r="O1768" t="s">
        <v>40437</v>
      </c>
      <c r="P1768">
        <v>0</v>
      </c>
      <c r="Q1768">
        <v>2</v>
      </c>
      <c r="R1768" t="s">
        <v>40438</v>
      </c>
      <c r="S1768" t="s">
        <v>40582</v>
      </c>
      <c r="T1768" t="s">
        <v>42287</v>
      </c>
      <c r="U1768" t="s">
        <v>44171</v>
      </c>
      <c r="W1768" t="s">
        <v>37825</v>
      </c>
      <c r="X1768" t="s">
        <v>40439</v>
      </c>
    </row>
    <row r="1769" spans="1:24">
      <c r="A1769">
        <f>HYPERLINK("https://www.philgeps.gov.ph/GEPSNONPILOT/Tender/SplashBidNoticeAbstractUI.aspx?menuIndex=3&amp;refID=7049109&amp;Result=3","7049109")</f>
        <v>0</v>
      </c>
      <c r="B1769" t="s">
        <v>319</v>
      </c>
      <c r="C1769" t="s">
        <v>4795</v>
      </c>
      <c r="E1769" t="s">
        <v>17924</v>
      </c>
      <c r="F1769" t="s">
        <v>28198</v>
      </c>
      <c r="G1769" t="s">
        <v>28207</v>
      </c>
      <c r="H1769" t="s">
        <v>28215</v>
      </c>
      <c r="I1769" t="s">
        <v>28228</v>
      </c>
      <c r="J1769" t="s">
        <v>29579</v>
      </c>
      <c r="K1769" t="s">
        <v>36689</v>
      </c>
      <c r="M1769" t="s">
        <v>37297</v>
      </c>
      <c r="N1769" t="s">
        <v>40436</v>
      </c>
      <c r="O1769" t="s">
        <v>40437</v>
      </c>
      <c r="P1769">
        <v>0</v>
      </c>
      <c r="Q1769">
        <v>0</v>
      </c>
      <c r="R1769" t="s">
        <v>40438</v>
      </c>
      <c r="S1769" t="s">
        <v>40582</v>
      </c>
      <c r="T1769" t="s">
        <v>42103</v>
      </c>
      <c r="U1769" t="s">
        <v>44172</v>
      </c>
      <c r="V1769" t="s">
        <v>53852</v>
      </c>
      <c r="W1769" t="s">
        <v>37297</v>
      </c>
      <c r="X1769" t="s">
        <v>40439</v>
      </c>
    </row>
    <row r="1770" spans="1:24">
      <c r="A1770">
        <f>HYPERLINK("https://www.philgeps.gov.ph/GEPSNONPILOT/Tender/SplashBidNoticeAbstractUI.aspx?menuIndex=3&amp;refID=7049108&amp;Result=3","7049108")</f>
        <v>0</v>
      </c>
      <c r="B1770" t="s">
        <v>768</v>
      </c>
      <c r="C1770" t="s">
        <v>4796</v>
      </c>
      <c r="D1770" t="s">
        <v>16196</v>
      </c>
      <c r="E1770" t="s">
        <v>17925</v>
      </c>
      <c r="F1770" t="s">
        <v>28198</v>
      </c>
      <c r="G1770" t="s">
        <v>28205</v>
      </c>
      <c r="H1770" t="s">
        <v>28214</v>
      </c>
      <c r="I1770" t="s">
        <v>28274</v>
      </c>
      <c r="J1770" t="s">
        <v>28414</v>
      </c>
      <c r="K1770" t="s">
        <v>36701</v>
      </c>
      <c r="M1770" t="s">
        <v>37771</v>
      </c>
      <c r="N1770" t="s">
        <v>40436</v>
      </c>
      <c r="O1770" t="s">
        <v>40437</v>
      </c>
      <c r="P1770">
        <v>0</v>
      </c>
      <c r="Q1770">
        <v>0</v>
      </c>
      <c r="R1770" t="s">
        <v>40438</v>
      </c>
      <c r="S1770" t="s">
        <v>40582</v>
      </c>
      <c r="T1770" t="s">
        <v>42149</v>
      </c>
      <c r="U1770" t="s">
        <v>44173</v>
      </c>
      <c r="W1770" t="s">
        <v>37771</v>
      </c>
      <c r="X1770" t="s">
        <v>40439</v>
      </c>
    </row>
    <row r="1771" spans="1:24">
      <c r="A1771">
        <f>HYPERLINK("https://www.philgeps.gov.ph/GEPSNONPILOT/Tender/SplashBidNoticeAbstractUI.aspx?menuIndex=3&amp;refID=7049102&amp;Result=3","7049102")</f>
        <v>0</v>
      </c>
      <c r="B1771" t="s">
        <v>785</v>
      </c>
      <c r="C1771" t="s">
        <v>4797</v>
      </c>
      <c r="E1771" t="s">
        <v>17926</v>
      </c>
      <c r="F1771" t="s">
        <v>28198</v>
      </c>
      <c r="G1771" t="s">
        <v>28205</v>
      </c>
      <c r="H1771" t="s">
        <v>28215</v>
      </c>
      <c r="I1771" t="s">
        <v>28256</v>
      </c>
      <c r="J1771" t="s">
        <v>28730</v>
      </c>
      <c r="K1771" t="s">
        <v>36689</v>
      </c>
      <c r="M1771" t="s">
        <v>37819</v>
      </c>
      <c r="N1771" t="s">
        <v>40436</v>
      </c>
      <c r="O1771" t="s">
        <v>40437</v>
      </c>
      <c r="P1771">
        <v>0</v>
      </c>
      <c r="Q1771">
        <v>9</v>
      </c>
      <c r="R1771" t="s">
        <v>40438</v>
      </c>
      <c r="S1771" t="s">
        <v>40582</v>
      </c>
      <c r="T1771" t="s">
        <v>42286</v>
      </c>
      <c r="U1771" t="s">
        <v>44108</v>
      </c>
      <c r="W1771" t="s">
        <v>37819</v>
      </c>
      <c r="X1771" t="s">
        <v>40439</v>
      </c>
    </row>
    <row r="1772" spans="1:24">
      <c r="A1772">
        <f>HYPERLINK("https://www.philgeps.gov.ph/GEPSNONPILOT/Tender/SplashBidNoticeAbstractUI.aspx?menuIndex=3&amp;refID=7049106&amp;Result=3","7049106")</f>
        <v>0</v>
      </c>
      <c r="B1772" t="s">
        <v>67</v>
      </c>
      <c r="C1772" t="s">
        <v>4798</v>
      </c>
      <c r="D1772" t="s">
        <v>16192</v>
      </c>
      <c r="E1772" t="s">
        <v>17927</v>
      </c>
      <c r="F1772" t="s">
        <v>28198</v>
      </c>
      <c r="G1772" t="s">
        <v>28207</v>
      </c>
      <c r="H1772" t="s">
        <v>28215</v>
      </c>
      <c r="I1772" t="s">
        <v>5631</v>
      </c>
      <c r="J1772" t="s">
        <v>28345</v>
      </c>
      <c r="K1772" t="s">
        <v>36688</v>
      </c>
      <c r="M1772" t="s">
        <v>37039</v>
      </c>
      <c r="N1772" t="s">
        <v>40436</v>
      </c>
      <c r="O1772" t="s">
        <v>40437</v>
      </c>
      <c r="P1772">
        <v>0</v>
      </c>
      <c r="Q1772">
        <v>0</v>
      </c>
      <c r="R1772" t="s">
        <v>40438</v>
      </c>
      <c r="S1772" t="s">
        <v>40582</v>
      </c>
      <c r="T1772" t="s">
        <v>42126</v>
      </c>
      <c r="U1772" t="s">
        <v>44174</v>
      </c>
      <c r="W1772" t="s">
        <v>37039</v>
      </c>
      <c r="X1772" t="s">
        <v>40439</v>
      </c>
    </row>
    <row r="1773" spans="1:24">
      <c r="A1773">
        <f>HYPERLINK("https://www.philgeps.gov.ph/GEPSNONPILOT/Tender/SplashBidNoticeAbstractUI.aspx?menuIndex=3&amp;refID=7049122&amp;Result=3","7049122")</f>
        <v>0</v>
      </c>
      <c r="B1773" t="s">
        <v>361</v>
      </c>
      <c r="C1773" t="s">
        <v>4799</v>
      </c>
      <c r="D1773" t="s">
        <v>16236</v>
      </c>
      <c r="E1773" t="s">
        <v>17928</v>
      </c>
      <c r="F1773" t="s">
        <v>28198</v>
      </c>
      <c r="G1773" t="s">
        <v>28209</v>
      </c>
      <c r="H1773" t="s">
        <v>28215</v>
      </c>
      <c r="I1773" t="s">
        <v>5100</v>
      </c>
      <c r="J1773" t="s">
        <v>29580</v>
      </c>
      <c r="K1773" t="s">
        <v>36707</v>
      </c>
      <c r="M1773" t="s">
        <v>37600</v>
      </c>
      <c r="N1773" t="s">
        <v>40436</v>
      </c>
      <c r="O1773" t="s">
        <v>40437</v>
      </c>
      <c r="P1773">
        <v>0</v>
      </c>
      <c r="Q1773">
        <v>0</v>
      </c>
      <c r="R1773" t="s">
        <v>40438</v>
      </c>
      <c r="S1773" t="s">
        <v>40582</v>
      </c>
      <c r="T1773" t="s">
        <v>42209</v>
      </c>
      <c r="U1773" t="s">
        <v>44175</v>
      </c>
      <c r="W1773" t="s">
        <v>37600</v>
      </c>
      <c r="X1773" t="s">
        <v>40439</v>
      </c>
    </row>
    <row r="1774" spans="1:24">
      <c r="A1774">
        <f>HYPERLINK("https://www.philgeps.gov.ph/GEPSNONPILOT/Tender/SplashBidNoticeAbstractUI.aspx?menuIndex=3&amp;refID=7049123&amp;Result=3","7049123")</f>
        <v>0</v>
      </c>
      <c r="B1774" t="s">
        <v>814</v>
      </c>
      <c r="C1774" t="s">
        <v>4800</v>
      </c>
      <c r="D1774" t="s">
        <v>16210</v>
      </c>
      <c r="E1774" t="s">
        <v>17929</v>
      </c>
      <c r="F1774" t="s">
        <v>28198</v>
      </c>
      <c r="G1774" t="s">
        <v>28206</v>
      </c>
      <c r="H1774" t="s">
        <v>28215</v>
      </c>
      <c r="I1774" t="s">
        <v>28225</v>
      </c>
      <c r="J1774" t="s">
        <v>29029</v>
      </c>
      <c r="K1774" t="s">
        <v>36688</v>
      </c>
      <c r="M1774" t="s">
        <v>37826</v>
      </c>
      <c r="N1774" t="s">
        <v>40436</v>
      </c>
      <c r="O1774" t="s">
        <v>40437</v>
      </c>
      <c r="P1774">
        <v>0</v>
      </c>
      <c r="Q1774">
        <v>7</v>
      </c>
      <c r="R1774" t="s">
        <v>40438</v>
      </c>
      <c r="S1774" t="s">
        <v>40582</v>
      </c>
      <c r="T1774" t="s">
        <v>42180</v>
      </c>
      <c r="U1774" t="s">
        <v>44176</v>
      </c>
      <c r="W1774" t="s">
        <v>37826</v>
      </c>
      <c r="X1774" t="s">
        <v>40439</v>
      </c>
    </row>
    <row r="1775" spans="1:24">
      <c r="A1775">
        <f>HYPERLINK("https://www.philgeps.gov.ph/GEPSNONPILOT/Tender/SplashBidNoticeAbstractUI.aspx?menuIndex=3&amp;refID=7049111&amp;Result=3","7049111")</f>
        <v>0</v>
      </c>
      <c r="B1775" t="s">
        <v>67</v>
      </c>
      <c r="C1775" t="s">
        <v>4801</v>
      </c>
      <c r="D1775" t="s">
        <v>16192</v>
      </c>
      <c r="E1775" t="s">
        <v>17930</v>
      </c>
      <c r="F1775" t="s">
        <v>28198</v>
      </c>
      <c r="G1775" t="s">
        <v>28207</v>
      </c>
      <c r="H1775" t="s">
        <v>28215</v>
      </c>
      <c r="I1775" t="s">
        <v>28282</v>
      </c>
      <c r="J1775" t="s">
        <v>28345</v>
      </c>
      <c r="K1775" t="s">
        <v>36688</v>
      </c>
      <c r="M1775" t="s">
        <v>37039</v>
      </c>
      <c r="N1775" t="s">
        <v>40436</v>
      </c>
      <c r="O1775" t="s">
        <v>40437</v>
      </c>
      <c r="P1775">
        <v>0</v>
      </c>
      <c r="Q1775">
        <v>0</v>
      </c>
      <c r="R1775" t="s">
        <v>40438</v>
      </c>
      <c r="S1775" t="s">
        <v>40582</v>
      </c>
      <c r="T1775" t="s">
        <v>42126</v>
      </c>
      <c r="U1775" t="s">
        <v>44147</v>
      </c>
      <c r="W1775" t="s">
        <v>37039</v>
      </c>
      <c r="X1775" t="s">
        <v>40439</v>
      </c>
    </row>
    <row r="1776" spans="1:24">
      <c r="A1776">
        <f>HYPERLINK("https://www.philgeps.gov.ph/GEPSNONPILOT/Tender/SplashBidNoticeAbstractUI.aspx?menuIndex=3&amp;refID=7049103&amp;Result=3","7049103")</f>
        <v>0</v>
      </c>
      <c r="B1776" t="s">
        <v>815</v>
      </c>
      <c r="C1776" t="s">
        <v>4748</v>
      </c>
      <c r="D1776" t="s">
        <v>16268</v>
      </c>
      <c r="E1776" t="s">
        <v>17880</v>
      </c>
      <c r="F1776" t="s">
        <v>28198</v>
      </c>
      <c r="G1776" t="s">
        <v>28205</v>
      </c>
      <c r="H1776" t="s">
        <v>28215</v>
      </c>
      <c r="I1776" t="s">
        <v>5100</v>
      </c>
      <c r="J1776" t="s">
        <v>29581</v>
      </c>
      <c r="K1776" t="s">
        <v>36701</v>
      </c>
      <c r="M1776" t="s">
        <v>37827</v>
      </c>
      <c r="N1776" t="s">
        <v>40436</v>
      </c>
      <c r="O1776" t="s">
        <v>40437</v>
      </c>
      <c r="P1776">
        <v>0</v>
      </c>
      <c r="Q1776">
        <v>0</v>
      </c>
      <c r="R1776" t="s">
        <v>40438</v>
      </c>
      <c r="S1776" t="s">
        <v>40582</v>
      </c>
      <c r="T1776" t="s">
        <v>42153</v>
      </c>
      <c r="U1776" t="s">
        <v>44177</v>
      </c>
      <c r="W1776" t="s">
        <v>37827</v>
      </c>
      <c r="X1776" t="s">
        <v>40439</v>
      </c>
    </row>
    <row r="1777" spans="1:24">
      <c r="A1777">
        <f>HYPERLINK("https://www.philgeps.gov.ph/GEPSNONPILOT/Tender/SplashBidNoticeAbstractUI.aspx?menuIndex=3&amp;refID=7049124&amp;Result=3","7049124")</f>
        <v>0</v>
      </c>
      <c r="B1777" t="s">
        <v>769</v>
      </c>
      <c r="C1777" t="s">
        <v>4802</v>
      </c>
      <c r="D1777" t="s">
        <v>16228</v>
      </c>
      <c r="E1777" t="s">
        <v>16560</v>
      </c>
      <c r="F1777" t="s">
        <v>28198</v>
      </c>
      <c r="G1777" t="s">
        <v>28206</v>
      </c>
      <c r="H1777" t="s">
        <v>28215</v>
      </c>
      <c r="I1777" t="s">
        <v>3422</v>
      </c>
      <c r="J1777" t="s">
        <v>28358</v>
      </c>
      <c r="K1777" t="s">
        <v>36698</v>
      </c>
      <c r="M1777" t="s">
        <v>37772</v>
      </c>
      <c r="N1777" t="s">
        <v>40436</v>
      </c>
      <c r="O1777" t="s">
        <v>40437</v>
      </c>
      <c r="P1777">
        <v>0</v>
      </c>
      <c r="Q1777">
        <v>0</v>
      </c>
      <c r="R1777" t="s">
        <v>40438</v>
      </c>
      <c r="S1777" t="s">
        <v>40582</v>
      </c>
      <c r="T1777" t="s">
        <v>42131</v>
      </c>
      <c r="U1777" t="s">
        <v>44178</v>
      </c>
      <c r="W1777" t="s">
        <v>37772</v>
      </c>
      <c r="X1777" t="s">
        <v>40439</v>
      </c>
    </row>
    <row r="1778" spans="1:24">
      <c r="A1778">
        <f>HYPERLINK("https://www.philgeps.gov.ph/GEPSNONPILOT/Tender/SplashBidNoticeAbstractUI.aspx?menuIndex=3&amp;refID=7049105&amp;Result=3","7049105")</f>
        <v>0</v>
      </c>
      <c r="B1778" t="s">
        <v>759</v>
      </c>
      <c r="C1778" t="s">
        <v>4747</v>
      </c>
      <c r="D1778" t="s">
        <v>16196</v>
      </c>
      <c r="E1778" t="s">
        <v>17931</v>
      </c>
      <c r="F1778" t="s">
        <v>28198</v>
      </c>
      <c r="G1778" t="s">
        <v>28207</v>
      </c>
      <c r="H1778" t="s">
        <v>28215</v>
      </c>
      <c r="I1778" t="s">
        <v>3774</v>
      </c>
      <c r="J1778" t="s">
        <v>29582</v>
      </c>
      <c r="K1778" t="s">
        <v>36689</v>
      </c>
      <c r="M1778" t="s">
        <v>37762</v>
      </c>
      <c r="N1778" t="s">
        <v>40436</v>
      </c>
      <c r="O1778" t="s">
        <v>40437</v>
      </c>
      <c r="P1778">
        <v>0</v>
      </c>
      <c r="Q1778">
        <v>0</v>
      </c>
      <c r="R1778" t="s">
        <v>40438</v>
      </c>
      <c r="S1778" t="s">
        <v>40582</v>
      </c>
      <c r="T1778" t="s">
        <v>42124</v>
      </c>
      <c r="U1778" t="s">
        <v>44179</v>
      </c>
      <c r="W1778" t="s">
        <v>37762</v>
      </c>
      <c r="X1778" t="s">
        <v>40439</v>
      </c>
    </row>
    <row r="1779" spans="1:24">
      <c r="A1779">
        <f>HYPERLINK("https://www.philgeps.gov.ph/GEPSNONPILOT/Tender/SplashBidNoticeAbstractUI.aspx?menuIndex=3&amp;refID=7049119&amp;Result=3","7049119")</f>
        <v>0</v>
      </c>
      <c r="B1779" t="s">
        <v>816</v>
      </c>
      <c r="C1779" t="s">
        <v>4803</v>
      </c>
      <c r="D1779" t="s">
        <v>16200</v>
      </c>
      <c r="E1779" t="s">
        <v>17932</v>
      </c>
      <c r="F1779" t="s">
        <v>28198</v>
      </c>
      <c r="G1779" t="s">
        <v>28209</v>
      </c>
      <c r="H1779" t="s">
        <v>28215</v>
      </c>
      <c r="I1779" t="s">
        <v>28309</v>
      </c>
      <c r="J1779" t="s">
        <v>29583</v>
      </c>
      <c r="K1779" t="s">
        <v>36689</v>
      </c>
      <c r="M1779" t="s">
        <v>37828</v>
      </c>
      <c r="N1779" t="s">
        <v>40436</v>
      </c>
      <c r="O1779" t="s">
        <v>40437</v>
      </c>
      <c r="P1779">
        <v>0</v>
      </c>
      <c r="Q1779">
        <v>1</v>
      </c>
      <c r="R1779" t="s">
        <v>40438</v>
      </c>
      <c r="S1779" t="s">
        <v>40582</v>
      </c>
      <c r="T1779" t="s">
        <v>42124</v>
      </c>
      <c r="U1779" t="s">
        <v>44180</v>
      </c>
      <c r="V1779" t="s">
        <v>53981</v>
      </c>
      <c r="W1779" t="s">
        <v>37828</v>
      </c>
      <c r="X1779" t="s">
        <v>40439</v>
      </c>
    </row>
    <row r="1780" spans="1:24">
      <c r="A1780">
        <f>HYPERLINK("https://www.philgeps.gov.ph/GEPSNONPILOT/Tender/SplashBidNoticeAbstractUI.aspx?menuIndex=3&amp;refID=7049125&amp;Result=3","7049125")</f>
        <v>0</v>
      </c>
      <c r="B1780" t="s">
        <v>805</v>
      </c>
      <c r="C1780" t="s">
        <v>4804</v>
      </c>
      <c r="D1780" t="s">
        <v>16221</v>
      </c>
      <c r="E1780" t="s">
        <v>17933</v>
      </c>
      <c r="F1780" t="s">
        <v>28198</v>
      </c>
      <c r="G1780" t="s">
        <v>28207</v>
      </c>
      <c r="H1780" t="s">
        <v>28215</v>
      </c>
      <c r="I1780" t="s">
        <v>28254</v>
      </c>
      <c r="J1780" t="s">
        <v>29584</v>
      </c>
      <c r="K1780" t="s">
        <v>36688</v>
      </c>
      <c r="M1780" t="s">
        <v>37813</v>
      </c>
      <c r="N1780" t="s">
        <v>40436</v>
      </c>
      <c r="O1780" t="s">
        <v>40437</v>
      </c>
      <c r="P1780">
        <v>0</v>
      </c>
      <c r="Q1780">
        <v>1</v>
      </c>
      <c r="R1780" t="s">
        <v>40438</v>
      </c>
      <c r="S1780" t="s">
        <v>40582</v>
      </c>
      <c r="T1780" t="s">
        <v>42200</v>
      </c>
      <c r="U1780" t="s">
        <v>44181</v>
      </c>
      <c r="V1780" t="s">
        <v>53978</v>
      </c>
      <c r="W1780" t="s">
        <v>37813</v>
      </c>
      <c r="X1780" t="s">
        <v>40439</v>
      </c>
    </row>
    <row r="1781" spans="1:24">
      <c r="A1781">
        <f>HYPERLINK("https://www.philgeps.gov.ph/GEPSNONPILOT/Tender/SplashBidNoticeAbstractUI.aspx?menuIndex=3&amp;refID=7049104&amp;Result=3","7049104")</f>
        <v>0</v>
      </c>
      <c r="B1781" t="s">
        <v>785</v>
      </c>
      <c r="C1781" t="s">
        <v>4805</v>
      </c>
      <c r="E1781" t="s">
        <v>17934</v>
      </c>
      <c r="F1781" t="s">
        <v>28198</v>
      </c>
      <c r="G1781" t="s">
        <v>28205</v>
      </c>
      <c r="H1781" t="s">
        <v>28215</v>
      </c>
      <c r="I1781" t="s">
        <v>28256</v>
      </c>
      <c r="J1781" t="s">
        <v>28730</v>
      </c>
      <c r="K1781" t="s">
        <v>36689</v>
      </c>
      <c r="M1781" t="s">
        <v>37790</v>
      </c>
      <c r="N1781" t="s">
        <v>40436</v>
      </c>
      <c r="O1781" t="s">
        <v>40437</v>
      </c>
      <c r="P1781">
        <v>0</v>
      </c>
      <c r="Q1781">
        <v>10</v>
      </c>
      <c r="R1781" t="s">
        <v>40438</v>
      </c>
      <c r="S1781" t="s">
        <v>40582</v>
      </c>
      <c r="T1781" t="s">
        <v>42122</v>
      </c>
      <c r="U1781" t="s">
        <v>44108</v>
      </c>
      <c r="W1781" t="s">
        <v>37790</v>
      </c>
      <c r="X1781" t="s">
        <v>40439</v>
      </c>
    </row>
    <row r="1782" spans="1:24">
      <c r="A1782">
        <f>HYPERLINK("https://www.philgeps.gov.ph/GEPSNONPILOT/Tender/SplashBidNoticeAbstractUI.aspx?menuIndex=3&amp;refID=7049126&amp;Result=3","7049126")</f>
        <v>0</v>
      </c>
      <c r="B1782" t="s">
        <v>815</v>
      </c>
      <c r="C1782" t="s">
        <v>4806</v>
      </c>
      <c r="D1782" t="s">
        <v>16268</v>
      </c>
      <c r="E1782" t="s">
        <v>17873</v>
      </c>
      <c r="F1782" t="s">
        <v>28198</v>
      </c>
      <c r="G1782" t="s">
        <v>28205</v>
      </c>
      <c r="H1782" t="s">
        <v>28215</v>
      </c>
      <c r="I1782" t="s">
        <v>4505</v>
      </c>
      <c r="J1782" t="s">
        <v>29585</v>
      </c>
      <c r="K1782" t="s">
        <v>36701</v>
      </c>
      <c r="M1782" t="s">
        <v>37827</v>
      </c>
      <c r="N1782" t="s">
        <v>40436</v>
      </c>
      <c r="O1782" t="s">
        <v>40437</v>
      </c>
      <c r="P1782">
        <v>0</v>
      </c>
      <c r="Q1782">
        <v>1</v>
      </c>
      <c r="R1782" t="s">
        <v>40438</v>
      </c>
      <c r="S1782" t="s">
        <v>40582</v>
      </c>
      <c r="T1782" t="s">
        <v>42153</v>
      </c>
      <c r="U1782" t="s">
        <v>44182</v>
      </c>
      <c r="W1782" t="s">
        <v>37827</v>
      </c>
      <c r="X1782" t="s">
        <v>40439</v>
      </c>
    </row>
    <row r="1783" spans="1:24">
      <c r="A1783">
        <f>HYPERLINK("https://www.philgeps.gov.ph/GEPSNONPILOT/Tender/SplashBidNoticeAbstractUI.aspx?menuIndex=3&amp;refID=7049117&amp;Result=3","7049117")</f>
        <v>0</v>
      </c>
      <c r="B1783" t="s">
        <v>817</v>
      </c>
      <c r="C1783" t="s">
        <v>4807</v>
      </c>
      <c r="D1783" t="s">
        <v>16196</v>
      </c>
      <c r="E1783" t="s">
        <v>17935</v>
      </c>
      <c r="F1783" t="s">
        <v>28198</v>
      </c>
      <c r="G1783" t="s">
        <v>28205</v>
      </c>
      <c r="H1783" t="s">
        <v>28214</v>
      </c>
      <c r="I1783" t="s">
        <v>3797</v>
      </c>
      <c r="J1783" t="s">
        <v>28398</v>
      </c>
      <c r="K1783" t="s">
        <v>36694</v>
      </c>
      <c r="M1783" t="s">
        <v>37829</v>
      </c>
      <c r="N1783" t="s">
        <v>40436</v>
      </c>
      <c r="O1783" t="s">
        <v>40437</v>
      </c>
      <c r="P1783">
        <v>0</v>
      </c>
      <c r="Q1783">
        <v>7</v>
      </c>
      <c r="R1783" t="s">
        <v>40438</v>
      </c>
      <c r="S1783" t="s">
        <v>40582</v>
      </c>
      <c r="T1783" t="s">
        <v>42098</v>
      </c>
      <c r="U1783" t="s">
        <v>44183</v>
      </c>
      <c r="W1783" t="s">
        <v>37829</v>
      </c>
      <c r="X1783" t="s">
        <v>40439</v>
      </c>
    </row>
    <row r="1784" spans="1:24">
      <c r="A1784">
        <f>HYPERLINK("https://www.philgeps.gov.ph/GEPSNONPILOT/Tender/SplashBidNoticeAbstractUI.aspx?menuIndex=3&amp;refID=7049131&amp;Result=3","7049131")</f>
        <v>0</v>
      </c>
      <c r="B1784" t="s">
        <v>410</v>
      </c>
      <c r="C1784" t="s">
        <v>4808</v>
      </c>
      <c r="D1784" t="s">
        <v>16200</v>
      </c>
      <c r="E1784" t="s">
        <v>17936</v>
      </c>
      <c r="F1784" t="s">
        <v>28198</v>
      </c>
      <c r="G1784" t="s">
        <v>28205</v>
      </c>
      <c r="H1784" t="s">
        <v>28214</v>
      </c>
      <c r="I1784" t="s">
        <v>3797</v>
      </c>
      <c r="J1784" t="s">
        <v>28468</v>
      </c>
      <c r="K1784" t="s">
        <v>36708</v>
      </c>
      <c r="L1784" t="s">
        <v>410</v>
      </c>
      <c r="M1784" t="s">
        <v>37392</v>
      </c>
      <c r="N1784" t="s">
        <v>40436</v>
      </c>
      <c r="O1784" t="s">
        <v>40437</v>
      </c>
      <c r="P1784">
        <v>0</v>
      </c>
      <c r="Q1784">
        <v>1</v>
      </c>
      <c r="R1784" t="s">
        <v>40438</v>
      </c>
      <c r="S1784" t="s">
        <v>40582</v>
      </c>
      <c r="T1784" t="s">
        <v>42122</v>
      </c>
      <c r="U1784" t="s">
        <v>44184</v>
      </c>
      <c r="W1784" t="s">
        <v>37392</v>
      </c>
      <c r="X1784" t="s">
        <v>40439</v>
      </c>
    </row>
    <row r="1785" spans="1:24">
      <c r="A1785">
        <f>HYPERLINK("https://www.philgeps.gov.ph/GEPSNONPILOT/Tender/SplashBidNoticeAbstractUI.aspx?menuIndex=3&amp;refID=7049129&amp;Result=3","7049129")</f>
        <v>0</v>
      </c>
      <c r="B1785" t="s">
        <v>759</v>
      </c>
      <c r="C1785" t="s">
        <v>4809</v>
      </c>
      <c r="D1785" t="s">
        <v>16196</v>
      </c>
      <c r="E1785" t="s">
        <v>17937</v>
      </c>
      <c r="F1785" t="s">
        <v>28198</v>
      </c>
      <c r="G1785" t="s">
        <v>28207</v>
      </c>
      <c r="H1785" t="s">
        <v>28215</v>
      </c>
      <c r="I1785" t="s">
        <v>28225</v>
      </c>
      <c r="J1785" t="s">
        <v>29586</v>
      </c>
      <c r="K1785" t="s">
        <v>36689</v>
      </c>
      <c r="M1785" t="s">
        <v>37762</v>
      </c>
      <c r="N1785" t="s">
        <v>40436</v>
      </c>
      <c r="O1785" t="s">
        <v>40437</v>
      </c>
      <c r="P1785">
        <v>0</v>
      </c>
      <c r="Q1785">
        <v>0</v>
      </c>
      <c r="R1785" t="s">
        <v>40438</v>
      </c>
      <c r="S1785" t="s">
        <v>40582</v>
      </c>
      <c r="T1785" t="s">
        <v>42124</v>
      </c>
      <c r="U1785" t="s">
        <v>44185</v>
      </c>
      <c r="W1785" t="s">
        <v>37762</v>
      </c>
      <c r="X1785" t="s">
        <v>40439</v>
      </c>
    </row>
    <row r="1786" spans="1:24">
      <c r="A1786">
        <f>HYPERLINK("https://www.philgeps.gov.ph/GEPSNONPILOT/Tender/SplashBidNoticeAbstractUI.aspx?menuIndex=3&amp;refID=7049144&amp;Result=3","7049144")</f>
        <v>0</v>
      </c>
      <c r="B1786" t="s">
        <v>67</v>
      </c>
      <c r="C1786" t="s">
        <v>4810</v>
      </c>
      <c r="D1786" t="s">
        <v>16192</v>
      </c>
      <c r="E1786" t="s">
        <v>17938</v>
      </c>
      <c r="F1786" t="s">
        <v>28198</v>
      </c>
      <c r="G1786" t="s">
        <v>28207</v>
      </c>
      <c r="H1786" t="s">
        <v>28215</v>
      </c>
      <c r="I1786" t="s">
        <v>4168</v>
      </c>
      <c r="J1786" t="s">
        <v>28393</v>
      </c>
      <c r="K1786" t="s">
        <v>36688</v>
      </c>
      <c r="M1786" t="s">
        <v>37039</v>
      </c>
      <c r="N1786" t="s">
        <v>40436</v>
      </c>
      <c r="O1786" t="s">
        <v>40437</v>
      </c>
      <c r="P1786">
        <v>0</v>
      </c>
      <c r="Q1786">
        <v>0</v>
      </c>
      <c r="R1786" t="s">
        <v>40438</v>
      </c>
      <c r="S1786" t="s">
        <v>40582</v>
      </c>
      <c r="T1786" t="s">
        <v>42126</v>
      </c>
      <c r="U1786" t="s">
        <v>44147</v>
      </c>
      <c r="W1786" t="s">
        <v>37039</v>
      </c>
      <c r="X1786" t="s">
        <v>40439</v>
      </c>
    </row>
    <row r="1787" spans="1:24">
      <c r="A1787">
        <f>HYPERLINK("https://www.philgeps.gov.ph/GEPSNONPILOT/Tender/SplashBidNoticeAbstractUI.aspx?menuIndex=3&amp;refID=7049140&amp;Result=3","7049140")</f>
        <v>0</v>
      </c>
      <c r="B1787" t="s">
        <v>818</v>
      </c>
      <c r="C1787" t="s">
        <v>3422</v>
      </c>
      <c r="D1787" t="s">
        <v>16188</v>
      </c>
      <c r="E1787" t="s">
        <v>16322</v>
      </c>
      <c r="F1787" t="s">
        <v>28198</v>
      </c>
      <c r="G1787" t="s">
        <v>28207</v>
      </c>
      <c r="H1787" t="s">
        <v>28215</v>
      </c>
      <c r="I1787" t="s">
        <v>3422</v>
      </c>
      <c r="J1787" t="s">
        <v>29587</v>
      </c>
      <c r="K1787" t="s">
        <v>36689</v>
      </c>
      <c r="M1787" t="s">
        <v>37830</v>
      </c>
      <c r="N1787" t="s">
        <v>40436</v>
      </c>
      <c r="O1787" t="s">
        <v>40437</v>
      </c>
      <c r="P1787">
        <v>0</v>
      </c>
      <c r="Q1787">
        <v>2</v>
      </c>
      <c r="R1787" t="s">
        <v>40438</v>
      </c>
      <c r="S1787" t="s">
        <v>40582</v>
      </c>
      <c r="T1787" t="s">
        <v>42285</v>
      </c>
      <c r="U1787" t="s">
        <v>44186</v>
      </c>
      <c r="W1787" t="s">
        <v>37830</v>
      </c>
      <c r="X1787" t="s">
        <v>40439</v>
      </c>
    </row>
    <row r="1788" spans="1:24">
      <c r="A1788">
        <f>HYPERLINK("https://www.philgeps.gov.ph/GEPSNONPILOT/Tender/SplashBidNoticeAbstractUI.aspx?menuIndex=3&amp;refID=7049146&amp;Result=3","7049146")</f>
        <v>0</v>
      </c>
      <c r="B1788" t="s">
        <v>819</v>
      </c>
      <c r="C1788" t="s">
        <v>4811</v>
      </c>
      <c r="D1788" t="s">
        <v>16216</v>
      </c>
      <c r="E1788" t="s">
        <v>17939</v>
      </c>
      <c r="F1788" t="s">
        <v>28198</v>
      </c>
      <c r="G1788" t="s">
        <v>28205</v>
      </c>
      <c r="H1788" t="s">
        <v>28215</v>
      </c>
      <c r="I1788" t="s">
        <v>28238</v>
      </c>
      <c r="J1788" t="s">
        <v>29588</v>
      </c>
      <c r="K1788" t="s">
        <v>36701</v>
      </c>
      <c r="M1788" t="s">
        <v>37831</v>
      </c>
      <c r="N1788" t="s">
        <v>40436</v>
      </c>
      <c r="O1788" t="s">
        <v>40437</v>
      </c>
      <c r="P1788">
        <v>0</v>
      </c>
      <c r="Q1788">
        <v>3</v>
      </c>
      <c r="R1788" t="s">
        <v>40438</v>
      </c>
      <c r="S1788" t="s">
        <v>40582</v>
      </c>
      <c r="T1788" t="s">
        <v>42106</v>
      </c>
      <c r="U1788" t="s">
        <v>44187</v>
      </c>
      <c r="W1788" t="s">
        <v>37831</v>
      </c>
      <c r="X1788" t="s">
        <v>40439</v>
      </c>
    </row>
    <row r="1789" spans="1:24">
      <c r="A1789">
        <f>HYPERLINK("https://www.philgeps.gov.ph/GEPSNONPILOT/Tender/SplashBidNoticeAbstractUI.aspx?menuIndex=3&amp;refID=7049127&amp;Result=3","7049127")</f>
        <v>0</v>
      </c>
      <c r="B1789" t="s">
        <v>820</v>
      </c>
      <c r="C1789" t="s">
        <v>4812</v>
      </c>
      <c r="D1789" t="s">
        <v>16255</v>
      </c>
      <c r="E1789" t="s">
        <v>17940</v>
      </c>
      <c r="F1789" t="s">
        <v>28198</v>
      </c>
      <c r="G1789" t="s">
        <v>28207</v>
      </c>
      <c r="H1789" t="s">
        <v>28215</v>
      </c>
      <c r="I1789" t="s">
        <v>28257</v>
      </c>
      <c r="J1789" t="s">
        <v>29589</v>
      </c>
      <c r="K1789" t="s">
        <v>36688</v>
      </c>
      <c r="M1789" t="s">
        <v>37832</v>
      </c>
      <c r="N1789" t="s">
        <v>40436</v>
      </c>
      <c r="O1789" t="s">
        <v>40437</v>
      </c>
      <c r="P1789">
        <v>0</v>
      </c>
      <c r="Q1789">
        <v>0</v>
      </c>
      <c r="R1789" t="s">
        <v>40438</v>
      </c>
      <c r="S1789" t="s">
        <v>40582</v>
      </c>
      <c r="T1789" t="s">
        <v>42103</v>
      </c>
      <c r="U1789" t="s">
        <v>44188</v>
      </c>
      <c r="W1789" t="s">
        <v>37832</v>
      </c>
      <c r="X1789" t="s">
        <v>40439</v>
      </c>
    </row>
    <row r="1790" spans="1:24">
      <c r="A1790">
        <f>HYPERLINK("https://www.philgeps.gov.ph/GEPSNONPILOT/Tender/SplashBidNoticeAbstractUI.aspx?menuIndex=3&amp;refID=7049141&amp;Result=3","7049141")</f>
        <v>0</v>
      </c>
      <c r="B1790" t="s">
        <v>821</v>
      </c>
      <c r="C1790" t="s">
        <v>3906</v>
      </c>
      <c r="D1790" t="s">
        <v>16204</v>
      </c>
      <c r="E1790" t="s">
        <v>17941</v>
      </c>
      <c r="F1790" t="s">
        <v>28198</v>
      </c>
      <c r="G1790" t="s">
        <v>28205</v>
      </c>
      <c r="H1790" t="s">
        <v>28214</v>
      </c>
      <c r="I1790" t="s">
        <v>3797</v>
      </c>
      <c r="J1790" t="s">
        <v>29590</v>
      </c>
      <c r="K1790" t="s">
        <v>36689</v>
      </c>
      <c r="M1790" t="s">
        <v>37833</v>
      </c>
      <c r="N1790" t="s">
        <v>40436</v>
      </c>
      <c r="O1790" t="s">
        <v>40437</v>
      </c>
      <c r="P1790">
        <v>0</v>
      </c>
      <c r="Q1790">
        <v>0</v>
      </c>
      <c r="R1790" t="s">
        <v>40438</v>
      </c>
      <c r="S1790" t="s">
        <v>40582</v>
      </c>
      <c r="T1790" t="s">
        <v>42115</v>
      </c>
      <c r="U1790" t="s">
        <v>44189</v>
      </c>
      <c r="V1790" t="s">
        <v>53944</v>
      </c>
      <c r="W1790" t="s">
        <v>37833</v>
      </c>
      <c r="X1790" t="s">
        <v>40439</v>
      </c>
    </row>
    <row r="1791" spans="1:24">
      <c r="A1791">
        <f>HYPERLINK("https://www.philgeps.gov.ph/GEPSNONPILOT/Tender/SplashBidNoticeAbstractUI.aspx?menuIndex=3&amp;refID=7049151&amp;Result=3","7049151")</f>
        <v>0</v>
      </c>
      <c r="B1791" t="s">
        <v>428</v>
      </c>
      <c r="C1791" t="s">
        <v>4813</v>
      </c>
      <c r="D1791" t="s">
        <v>16219</v>
      </c>
      <c r="E1791" t="s">
        <v>17942</v>
      </c>
      <c r="F1791" t="s">
        <v>28200</v>
      </c>
      <c r="G1791" t="s">
        <v>28212</v>
      </c>
      <c r="H1791" t="s">
        <v>28217</v>
      </c>
      <c r="I1791" t="s">
        <v>8870</v>
      </c>
      <c r="J1791" t="s">
        <v>29591</v>
      </c>
      <c r="K1791" t="s">
        <v>36687</v>
      </c>
      <c r="M1791" t="s">
        <v>37411</v>
      </c>
      <c r="N1791" t="s">
        <v>40436</v>
      </c>
      <c r="O1791" t="s">
        <v>40437</v>
      </c>
      <c r="P1791">
        <v>0</v>
      </c>
      <c r="Q1791">
        <v>0</v>
      </c>
      <c r="R1791" t="s">
        <v>40438</v>
      </c>
      <c r="S1791" t="s">
        <v>40582</v>
      </c>
      <c r="T1791" t="s">
        <v>42165</v>
      </c>
      <c r="U1791" t="s">
        <v>44190</v>
      </c>
      <c r="W1791" t="s">
        <v>37411</v>
      </c>
      <c r="X1791" t="s">
        <v>40439</v>
      </c>
    </row>
    <row r="1792" spans="1:24">
      <c r="A1792">
        <f>HYPERLINK("https://www.philgeps.gov.ph/GEPSNONPILOT/Tender/SplashBidNoticeAbstractUI.aspx?menuIndex=3&amp;refID=7049136&amp;Result=3","7049136")</f>
        <v>0</v>
      </c>
      <c r="B1792" t="s">
        <v>600</v>
      </c>
      <c r="C1792" t="s">
        <v>4814</v>
      </c>
      <c r="D1792" t="s">
        <v>16216</v>
      </c>
      <c r="E1792" t="s">
        <v>17943</v>
      </c>
      <c r="F1792" t="s">
        <v>28198</v>
      </c>
      <c r="G1792" t="s">
        <v>28205</v>
      </c>
      <c r="H1792" t="s">
        <v>28214</v>
      </c>
      <c r="I1792" t="s">
        <v>3797</v>
      </c>
      <c r="J1792" t="s">
        <v>29592</v>
      </c>
      <c r="K1792" t="s">
        <v>36766</v>
      </c>
      <c r="M1792" t="s">
        <v>37590</v>
      </c>
      <c r="N1792" t="s">
        <v>40436</v>
      </c>
      <c r="O1792" t="s">
        <v>40437</v>
      </c>
      <c r="P1792">
        <v>0</v>
      </c>
      <c r="Q1792">
        <v>0</v>
      </c>
      <c r="R1792" t="s">
        <v>40438</v>
      </c>
      <c r="S1792" t="s">
        <v>40582</v>
      </c>
      <c r="T1792" t="s">
        <v>42101</v>
      </c>
      <c r="U1792" t="s">
        <v>44191</v>
      </c>
      <c r="W1792" t="s">
        <v>37590</v>
      </c>
      <c r="X1792" t="s">
        <v>40439</v>
      </c>
    </row>
    <row r="1793" spans="1:24">
      <c r="A1793">
        <f>HYPERLINK("https://www.philgeps.gov.ph/GEPSNONPILOT/Tender/SplashBidNoticeAbstractUI.aspx?menuIndex=3&amp;refID=7049130&amp;Result=3","7049130")</f>
        <v>0</v>
      </c>
      <c r="B1793" t="s">
        <v>617</v>
      </c>
      <c r="C1793" t="s">
        <v>4592</v>
      </c>
      <c r="D1793" t="s">
        <v>16253</v>
      </c>
      <c r="E1793" t="s">
        <v>17944</v>
      </c>
      <c r="F1793" t="s">
        <v>28198</v>
      </c>
      <c r="G1793" t="s">
        <v>28207</v>
      </c>
      <c r="H1793" t="s">
        <v>28215</v>
      </c>
      <c r="I1793" t="s">
        <v>3774</v>
      </c>
      <c r="J1793" t="s">
        <v>29593</v>
      </c>
      <c r="K1793" t="s">
        <v>36701</v>
      </c>
      <c r="M1793" t="s">
        <v>37609</v>
      </c>
      <c r="N1793" t="s">
        <v>40436</v>
      </c>
      <c r="O1793" t="s">
        <v>40437</v>
      </c>
      <c r="P1793">
        <v>0</v>
      </c>
      <c r="Q1793">
        <v>0</v>
      </c>
      <c r="R1793" t="s">
        <v>40438</v>
      </c>
      <c r="S1793" t="s">
        <v>40582</v>
      </c>
      <c r="T1793" t="s">
        <v>42129</v>
      </c>
      <c r="U1793" t="s">
        <v>43985</v>
      </c>
      <c r="V1793" t="s">
        <v>53932</v>
      </c>
      <c r="W1793" t="s">
        <v>37609</v>
      </c>
      <c r="X1793" t="s">
        <v>40439</v>
      </c>
    </row>
    <row r="1794" spans="1:24">
      <c r="A1794">
        <f>HYPERLINK("https://www.philgeps.gov.ph/GEPSNONPILOT/Tender/SplashBidNoticeAbstractUI.aspx?menuIndex=3&amp;refID=7049153&amp;Result=3","7049153")</f>
        <v>0</v>
      </c>
      <c r="B1794" t="s">
        <v>820</v>
      </c>
      <c r="C1794" t="s">
        <v>4815</v>
      </c>
      <c r="D1794" t="s">
        <v>16255</v>
      </c>
      <c r="E1794" t="s">
        <v>17945</v>
      </c>
      <c r="F1794" t="s">
        <v>28198</v>
      </c>
      <c r="G1794" t="s">
        <v>28207</v>
      </c>
      <c r="H1794" t="s">
        <v>28215</v>
      </c>
      <c r="I1794" t="s">
        <v>5100</v>
      </c>
      <c r="J1794" t="s">
        <v>29594</v>
      </c>
      <c r="K1794" t="s">
        <v>36688</v>
      </c>
      <c r="M1794" t="s">
        <v>37832</v>
      </c>
      <c r="N1794" t="s">
        <v>40436</v>
      </c>
      <c r="O1794" t="s">
        <v>40437</v>
      </c>
      <c r="P1794">
        <v>0</v>
      </c>
      <c r="Q1794">
        <v>0</v>
      </c>
      <c r="R1794" t="s">
        <v>40438</v>
      </c>
      <c r="S1794" t="s">
        <v>40582</v>
      </c>
      <c r="T1794" t="s">
        <v>42103</v>
      </c>
      <c r="U1794" t="s">
        <v>44192</v>
      </c>
      <c r="W1794" t="s">
        <v>37832</v>
      </c>
      <c r="X1794" t="s">
        <v>40439</v>
      </c>
    </row>
    <row r="1795" spans="1:24">
      <c r="A1795">
        <f>HYPERLINK("https://www.philgeps.gov.ph/GEPSNONPILOT/Tender/SplashBidNoticeAbstractUI.aspx?menuIndex=3&amp;refID=7049137&amp;Result=3","7049137")</f>
        <v>0</v>
      </c>
      <c r="B1795" t="s">
        <v>780</v>
      </c>
      <c r="C1795" t="s">
        <v>4816</v>
      </c>
      <c r="D1795" t="s">
        <v>16197</v>
      </c>
      <c r="E1795" t="s">
        <v>17946</v>
      </c>
      <c r="F1795" t="s">
        <v>28198</v>
      </c>
      <c r="G1795" t="s">
        <v>28205</v>
      </c>
      <c r="H1795" t="s">
        <v>28214</v>
      </c>
      <c r="I1795" t="s">
        <v>3797</v>
      </c>
      <c r="J1795" t="s">
        <v>29595</v>
      </c>
      <c r="K1795" t="s">
        <v>36767</v>
      </c>
      <c r="M1795" t="s">
        <v>37784</v>
      </c>
      <c r="N1795" t="s">
        <v>40436</v>
      </c>
      <c r="O1795" t="s">
        <v>40437</v>
      </c>
      <c r="P1795">
        <v>0</v>
      </c>
      <c r="Q1795">
        <v>0</v>
      </c>
      <c r="R1795" t="s">
        <v>40438</v>
      </c>
      <c r="S1795" t="s">
        <v>40582</v>
      </c>
      <c r="T1795" t="s">
        <v>42108</v>
      </c>
      <c r="U1795" t="s">
        <v>44102</v>
      </c>
      <c r="W1795" t="s">
        <v>37784</v>
      </c>
      <c r="X1795" t="s">
        <v>40439</v>
      </c>
    </row>
    <row r="1796" spans="1:24">
      <c r="A1796">
        <f>HYPERLINK("https://www.philgeps.gov.ph/GEPSNONPILOT/Tender/SplashBidNoticeAbstractUI.aspx?menuIndex=3&amp;refID=7049134&amp;Result=3","7049134")</f>
        <v>0</v>
      </c>
      <c r="B1796" t="s">
        <v>67</v>
      </c>
      <c r="C1796" t="s">
        <v>4817</v>
      </c>
      <c r="D1796" t="s">
        <v>16192</v>
      </c>
      <c r="E1796" t="s">
        <v>17947</v>
      </c>
      <c r="F1796" t="s">
        <v>28198</v>
      </c>
      <c r="G1796" t="s">
        <v>28209</v>
      </c>
      <c r="H1796" t="s">
        <v>28215</v>
      </c>
      <c r="I1796" t="s">
        <v>28310</v>
      </c>
      <c r="J1796" t="s">
        <v>28345</v>
      </c>
      <c r="K1796" t="s">
        <v>36688</v>
      </c>
      <c r="M1796" t="s">
        <v>37039</v>
      </c>
      <c r="N1796" t="s">
        <v>40436</v>
      </c>
      <c r="O1796" t="s">
        <v>40437</v>
      </c>
      <c r="P1796">
        <v>0</v>
      </c>
      <c r="Q1796">
        <v>0</v>
      </c>
      <c r="R1796" t="s">
        <v>40438</v>
      </c>
      <c r="S1796" t="s">
        <v>40582</v>
      </c>
      <c r="T1796" t="s">
        <v>42126</v>
      </c>
      <c r="U1796" t="s">
        <v>44193</v>
      </c>
      <c r="W1796" t="s">
        <v>37039</v>
      </c>
      <c r="X1796" t="s">
        <v>40439</v>
      </c>
    </row>
    <row r="1797" spans="1:24">
      <c r="A1797">
        <f>HYPERLINK("https://www.philgeps.gov.ph/GEPSNONPILOT/Tender/SplashBidNoticeAbstractUI.aspx?menuIndex=3&amp;refID=7049149&amp;Result=3","7049149")</f>
        <v>0</v>
      </c>
      <c r="B1797" t="s">
        <v>822</v>
      </c>
      <c r="C1797" t="s">
        <v>4818</v>
      </c>
      <c r="D1797" t="s">
        <v>16217</v>
      </c>
      <c r="E1797" t="s">
        <v>17948</v>
      </c>
      <c r="F1797" t="s">
        <v>28198</v>
      </c>
      <c r="G1797" t="s">
        <v>28207</v>
      </c>
      <c r="H1797" t="s">
        <v>28215</v>
      </c>
      <c r="I1797" t="s">
        <v>5103</v>
      </c>
      <c r="J1797" t="s">
        <v>29596</v>
      </c>
      <c r="K1797" t="s">
        <v>36701</v>
      </c>
      <c r="M1797" t="s">
        <v>37834</v>
      </c>
      <c r="N1797" t="s">
        <v>40436</v>
      </c>
      <c r="O1797" t="s">
        <v>40437</v>
      </c>
      <c r="P1797">
        <v>0</v>
      </c>
      <c r="Q1797">
        <v>6</v>
      </c>
      <c r="R1797" t="s">
        <v>40438</v>
      </c>
      <c r="S1797" t="s">
        <v>40582</v>
      </c>
      <c r="T1797" t="s">
        <v>42124</v>
      </c>
      <c r="U1797" t="s">
        <v>44194</v>
      </c>
      <c r="W1797" t="s">
        <v>37834</v>
      </c>
      <c r="X1797" t="s">
        <v>40439</v>
      </c>
    </row>
    <row r="1798" spans="1:24">
      <c r="A1798">
        <f>HYPERLINK("https://www.philgeps.gov.ph/GEPSNONPILOT/Tender/SplashBidNoticeAbstractUI.aspx?menuIndex=3&amp;refID=7049150&amp;Result=3","7049150")</f>
        <v>0</v>
      </c>
      <c r="B1798" t="s">
        <v>410</v>
      </c>
      <c r="C1798" t="s">
        <v>4819</v>
      </c>
      <c r="D1798" t="s">
        <v>16200</v>
      </c>
      <c r="E1798" t="s">
        <v>17949</v>
      </c>
      <c r="F1798" t="s">
        <v>28198</v>
      </c>
      <c r="G1798" t="s">
        <v>28205</v>
      </c>
      <c r="H1798" t="s">
        <v>28214</v>
      </c>
      <c r="I1798" t="s">
        <v>3797</v>
      </c>
      <c r="J1798" t="s">
        <v>28379</v>
      </c>
      <c r="K1798" t="s">
        <v>36708</v>
      </c>
      <c r="L1798" t="s">
        <v>410</v>
      </c>
      <c r="M1798" t="s">
        <v>37392</v>
      </c>
      <c r="N1798" t="s">
        <v>40436</v>
      </c>
      <c r="O1798" t="s">
        <v>40437</v>
      </c>
      <c r="P1798">
        <v>0</v>
      </c>
      <c r="Q1798">
        <v>1</v>
      </c>
      <c r="R1798" t="s">
        <v>40438</v>
      </c>
      <c r="S1798" t="s">
        <v>40582</v>
      </c>
      <c r="T1798" t="s">
        <v>42122</v>
      </c>
      <c r="U1798" t="s">
        <v>44195</v>
      </c>
      <c r="W1798" t="s">
        <v>37392</v>
      </c>
      <c r="X1798" t="s">
        <v>40439</v>
      </c>
    </row>
    <row r="1799" spans="1:24">
      <c r="A1799">
        <f>HYPERLINK("https://www.philgeps.gov.ph/GEPSNONPILOT/Tender/SplashBidNoticeAbstractUI.aspx?menuIndex=3&amp;refID=7049135&amp;Result=3","7049135")</f>
        <v>0</v>
      </c>
      <c r="B1799" t="s">
        <v>823</v>
      </c>
      <c r="C1799" t="s">
        <v>4820</v>
      </c>
      <c r="D1799" t="s">
        <v>16207</v>
      </c>
      <c r="E1799" t="s">
        <v>17950</v>
      </c>
      <c r="F1799" t="s">
        <v>28198</v>
      </c>
      <c r="G1799" t="s">
        <v>28207</v>
      </c>
      <c r="H1799" t="s">
        <v>28215</v>
      </c>
      <c r="I1799" t="s">
        <v>3774</v>
      </c>
      <c r="J1799" t="s">
        <v>28378</v>
      </c>
      <c r="K1799" t="s">
        <v>36688</v>
      </c>
      <c r="M1799" t="s">
        <v>37835</v>
      </c>
      <c r="N1799" t="s">
        <v>40436</v>
      </c>
      <c r="O1799" t="s">
        <v>40437</v>
      </c>
      <c r="P1799">
        <v>0</v>
      </c>
      <c r="Q1799">
        <v>0</v>
      </c>
      <c r="R1799" t="s">
        <v>40438</v>
      </c>
      <c r="S1799" t="s">
        <v>40582</v>
      </c>
      <c r="T1799" t="s">
        <v>42100</v>
      </c>
      <c r="U1799" t="s">
        <v>44196</v>
      </c>
      <c r="W1799" t="s">
        <v>37835</v>
      </c>
      <c r="X1799" t="s">
        <v>40439</v>
      </c>
    </row>
    <row r="1800" spans="1:24">
      <c r="A1800">
        <f>HYPERLINK("https://www.philgeps.gov.ph/GEPSNONPILOT/Tender/SplashBidNoticeAbstractUI.aspx?menuIndex=3&amp;refID=7049148&amp;Result=3","7049148")</f>
        <v>0</v>
      </c>
      <c r="B1800" t="s">
        <v>824</v>
      </c>
      <c r="C1800" t="s">
        <v>4821</v>
      </c>
      <c r="D1800" t="s">
        <v>16210</v>
      </c>
      <c r="E1800" t="s">
        <v>17951</v>
      </c>
      <c r="F1800" t="s">
        <v>28198</v>
      </c>
      <c r="G1800" t="s">
        <v>28207</v>
      </c>
      <c r="H1800" t="s">
        <v>28215</v>
      </c>
      <c r="I1800" t="s">
        <v>28248</v>
      </c>
      <c r="J1800" t="s">
        <v>29401</v>
      </c>
      <c r="K1800" t="s">
        <v>36691</v>
      </c>
      <c r="M1800" t="s">
        <v>37836</v>
      </c>
      <c r="N1800" t="s">
        <v>40436</v>
      </c>
      <c r="O1800" t="s">
        <v>40437</v>
      </c>
      <c r="P1800">
        <v>0</v>
      </c>
      <c r="Q1800">
        <v>4</v>
      </c>
      <c r="R1800" t="s">
        <v>40438</v>
      </c>
      <c r="S1800" t="s">
        <v>40582</v>
      </c>
      <c r="T1800" t="s">
        <v>42111</v>
      </c>
      <c r="U1800" t="s">
        <v>44197</v>
      </c>
      <c r="W1800" t="s">
        <v>37836</v>
      </c>
      <c r="X1800" t="s">
        <v>40439</v>
      </c>
    </row>
    <row r="1801" spans="1:24">
      <c r="A1801">
        <f>HYPERLINK("https://www.philgeps.gov.ph/GEPSNONPILOT/Tender/SplashBidNoticeAbstractUI.aspx?menuIndex=3&amp;refID=7049147&amp;Result=3","7049147")</f>
        <v>0</v>
      </c>
      <c r="B1801" t="s">
        <v>825</v>
      </c>
      <c r="C1801" t="s">
        <v>4802</v>
      </c>
      <c r="D1801" t="s">
        <v>16208</v>
      </c>
      <c r="E1801" t="s">
        <v>17952</v>
      </c>
      <c r="F1801" t="s">
        <v>28198</v>
      </c>
      <c r="G1801" t="s">
        <v>28207</v>
      </c>
      <c r="H1801" t="s">
        <v>28215</v>
      </c>
      <c r="I1801" t="s">
        <v>3422</v>
      </c>
      <c r="J1801" t="s">
        <v>29597</v>
      </c>
      <c r="K1801" t="s">
        <v>36701</v>
      </c>
      <c r="M1801" t="s">
        <v>37837</v>
      </c>
      <c r="N1801" t="s">
        <v>40436</v>
      </c>
      <c r="O1801" t="s">
        <v>40437</v>
      </c>
      <c r="P1801">
        <v>0</v>
      </c>
      <c r="Q1801">
        <v>0</v>
      </c>
      <c r="R1801" t="s">
        <v>40438</v>
      </c>
      <c r="S1801" t="s">
        <v>40582</v>
      </c>
      <c r="T1801" t="s">
        <v>42103</v>
      </c>
      <c r="U1801" t="s">
        <v>44198</v>
      </c>
      <c r="W1801" t="s">
        <v>37837</v>
      </c>
      <c r="X1801" t="s">
        <v>40439</v>
      </c>
    </row>
    <row r="1802" spans="1:24">
      <c r="A1802">
        <f>HYPERLINK("https://www.philgeps.gov.ph/GEPSNONPILOT/Tender/SplashBidNoticeAbstractUI.aspx?menuIndex=3&amp;refID=7049154&amp;Result=3","7049154")</f>
        <v>0</v>
      </c>
      <c r="B1802" t="s">
        <v>826</v>
      </c>
      <c r="C1802" t="s">
        <v>4822</v>
      </c>
      <c r="D1802" t="s">
        <v>16211</v>
      </c>
      <c r="E1802" t="s">
        <v>17953</v>
      </c>
      <c r="F1802" t="s">
        <v>28198</v>
      </c>
      <c r="G1802" t="s">
        <v>28206</v>
      </c>
      <c r="H1802" t="s">
        <v>28215</v>
      </c>
      <c r="I1802" t="s">
        <v>3774</v>
      </c>
      <c r="J1802" t="s">
        <v>28673</v>
      </c>
      <c r="K1802" t="s">
        <v>36706</v>
      </c>
      <c r="M1802" t="s">
        <v>37838</v>
      </c>
      <c r="N1802" t="s">
        <v>40436</v>
      </c>
      <c r="O1802" t="s">
        <v>40437</v>
      </c>
      <c r="P1802">
        <v>0</v>
      </c>
      <c r="Q1802">
        <v>0</v>
      </c>
      <c r="R1802" t="s">
        <v>40438</v>
      </c>
      <c r="S1802" t="s">
        <v>40582</v>
      </c>
      <c r="T1802" t="s">
        <v>42142</v>
      </c>
      <c r="U1802" t="s">
        <v>44199</v>
      </c>
      <c r="W1802" t="s">
        <v>37838</v>
      </c>
      <c r="X1802" t="s">
        <v>40439</v>
      </c>
    </row>
    <row r="1803" spans="1:24">
      <c r="A1803">
        <f>HYPERLINK("https://www.philgeps.gov.ph/GEPSNONPILOT/Tender/SplashBidNoticeAbstractUI.aspx?menuIndex=3&amp;refID=7049171&amp;Result=3","7049171")</f>
        <v>0</v>
      </c>
      <c r="B1803" t="s">
        <v>361</v>
      </c>
      <c r="C1803" t="s">
        <v>4823</v>
      </c>
      <c r="D1803" t="s">
        <v>16236</v>
      </c>
      <c r="E1803" t="s">
        <v>17954</v>
      </c>
      <c r="F1803" t="s">
        <v>28198</v>
      </c>
      <c r="G1803" t="s">
        <v>28209</v>
      </c>
      <c r="H1803" t="s">
        <v>28215</v>
      </c>
      <c r="I1803" t="s">
        <v>5631</v>
      </c>
      <c r="J1803" t="s">
        <v>28350</v>
      </c>
      <c r="K1803" t="s">
        <v>36707</v>
      </c>
      <c r="M1803" t="s">
        <v>37600</v>
      </c>
      <c r="N1803" t="s">
        <v>40436</v>
      </c>
      <c r="O1803" t="s">
        <v>40437</v>
      </c>
      <c r="P1803">
        <v>0</v>
      </c>
      <c r="Q1803">
        <v>0</v>
      </c>
      <c r="R1803" t="s">
        <v>40438</v>
      </c>
      <c r="S1803" t="s">
        <v>40582</v>
      </c>
      <c r="T1803" t="s">
        <v>42209</v>
      </c>
      <c r="U1803" t="s">
        <v>44200</v>
      </c>
      <c r="W1803" t="s">
        <v>37600</v>
      </c>
      <c r="X1803" t="s">
        <v>40439</v>
      </c>
    </row>
    <row r="1804" spans="1:24">
      <c r="A1804">
        <f>HYPERLINK("https://www.philgeps.gov.ph/GEPSNONPILOT/Tender/SplashBidNoticeAbstractUI.aspx?menuIndex=3&amp;refID=7049170&amp;Result=3","7049170")</f>
        <v>0</v>
      </c>
      <c r="B1804" t="s">
        <v>556</v>
      </c>
      <c r="C1804" t="s">
        <v>4824</v>
      </c>
      <c r="E1804" t="s">
        <v>17955</v>
      </c>
      <c r="F1804" t="s">
        <v>28198</v>
      </c>
      <c r="G1804" t="s">
        <v>28207</v>
      </c>
      <c r="H1804" t="s">
        <v>28216</v>
      </c>
      <c r="I1804" t="s">
        <v>28274</v>
      </c>
      <c r="J1804" t="s">
        <v>28378</v>
      </c>
      <c r="K1804" t="s">
        <v>36689</v>
      </c>
      <c r="M1804" t="s">
        <v>37542</v>
      </c>
      <c r="N1804" t="s">
        <v>40436</v>
      </c>
      <c r="O1804" t="s">
        <v>40437</v>
      </c>
      <c r="P1804">
        <v>0</v>
      </c>
      <c r="Q1804">
        <v>0</v>
      </c>
      <c r="R1804" t="s">
        <v>40438</v>
      </c>
      <c r="S1804" t="s">
        <v>40582</v>
      </c>
      <c r="T1804" t="s">
        <v>42124</v>
      </c>
      <c r="U1804" t="s">
        <v>44201</v>
      </c>
      <c r="V1804" t="s">
        <v>53919</v>
      </c>
      <c r="W1804" t="s">
        <v>37542</v>
      </c>
      <c r="X1804" t="s">
        <v>40439</v>
      </c>
    </row>
    <row r="1805" spans="1:24">
      <c r="A1805">
        <f>HYPERLINK("https://www.philgeps.gov.ph/GEPSNONPILOT/Tender/SplashBidNoticeAbstractUI.aspx?menuIndex=3&amp;refID=7049160&amp;Result=3","7049160")</f>
        <v>0</v>
      </c>
      <c r="B1805" t="s">
        <v>827</v>
      </c>
      <c r="C1805" t="s">
        <v>4825</v>
      </c>
      <c r="D1805" t="s">
        <v>16252</v>
      </c>
      <c r="E1805" t="s">
        <v>17956</v>
      </c>
      <c r="F1805" t="s">
        <v>28198</v>
      </c>
      <c r="G1805" t="s">
        <v>28207</v>
      </c>
      <c r="H1805" t="s">
        <v>28215</v>
      </c>
      <c r="I1805" t="s">
        <v>28243</v>
      </c>
      <c r="J1805" t="s">
        <v>29598</v>
      </c>
      <c r="K1805" t="s">
        <v>36715</v>
      </c>
      <c r="M1805" t="s">
        <v>37839</v>
      </c>
      <c r="N1805" t="s">
        <v>40436</v>
      </c>
      <c r="O1805" t="s">
        <v>40437</v>
      </c>
      <c r="P1805">
        <v>0</v>
      </c>
      <c r="Q1805">
        <v>1</v>
      </c>
      <c r="R1805" t="s">
        <v>40438</v>
      </c>
      <c r="S1805" t="s">
        <v>40582</v>
      </c>
      <c r="T1805" t="s">
        <v>42177</v>
      </c>
      <c r="U1805" t="s">
        <v>44202</v>
      </c>
      <c r="W1805" t="s">
        <v>37839</v>
      </c>
      <c r="X1805" t="s">
        <v>40439</v>
      </c>
    </row>
    <row r="1806" spans="1:24">
      <c r="A1806">
        <f>HYPERLINK("https://www.philgeps.gov.ph/GEPSNONPILOT/Tender/SplashBidNoticeAbstractUI.aspx?menuIndex=3&amp;refID=7049161&amp;Result=3","7049161")</f>
        <v>0</v>
      </c>
      <c r="B1806" t="s">
        <v>780</v>
      </c>
      <c r="C1806" t="s">
        <v>4826</v>
      </c>
      <c r="D1806" t="s">
        <v>16197</v>
      </c>
      <c r="E1806" t="s">
        <v>17957</v>
      </c>
      <c r="F1806" t="s">
        <v>28198</v>
      </c>
      <c r="G1806" t="s">
        <v>28205</v>
      </c>
      <c r="H1806" t="s">
        <v>28214</v>
      </c>
      <c r="I1806" t="s">
        <v>3797</v>
      </c>
      <c r="J1806" t="s">
        <v>29552</v>
      </c>
      <c r="K1806" t="s">
        <v>36735</v>
      </c>
      <c r="M1806" t="s">
        <v>37784</v>
      </c>
      <c r="N1806" t="s">
        <v>40436</v>
      </c>
      <c r="O1806" t="s">
        <v>40437</v>
      </c>
      <c r="P1806">
        <v>0</v>
      </c>
      <c r="Q1806">
        <v>1</v>
      </c>
      <c r="R1806" t="s">
        <v>40438</v>
      </c>
      <c r="S1806" t="s">
        <v>40582</v>
      </c>
      <c r="T1806" t="s">
        <v>42108</v>
      </c>
      <c r="U1806" t="s">
        <v>44102</v>
      </c>
      <c r="W1806" t="s">
        <v>37784</v>
      </c>
      <c r="X1806" t="s">
        <v>40439</v>
      </c>
    </row>
    <row r="1807" spans="1:24">
      <c r="A1807">
        <f>HYPERLINK("https://www.philgeps.gov.ph/GEPSNONPILOT/Tender/SplashBidNoticeAbstractUI.aspx?menuIndex=3&amp;refID=7049159&amp;Result=3","7049159")</f>
        <v>0</v>
      </c>
      <c r="B1807" t="s">
        <v>825</v>
      </c>
      <c r="C1807" t="s">
        <v>4827</v>
      </c>
      <c r="D1807" t="s">
        <v>16208</v>
      </c>
      <c r="E1807" t="s">
        <v>17958</v>
      </c>
      <c r="F1807" t="s">
        <v>28198</v>
      </c>
      <c r="G1807" t="s">
        <v>28207</v>
      </c>
      <c r="H1807" t="s">
        <v>28215</v>
      </c>
      <c r="I1807" t="s">
        <v>5791</v>
      </c>
      <c r="J1807" t="s">
        <v>29599</v>
      </c>
      <c r="K1807" t="s">
        <v>36701</v>
      </c>
      <c r="M1807" t="s">
        <v>37837</v>
      </c>
      <c r="N1807" t="s">
        <v>40436</v>
      </c>
      <c r="O1807" t="s">
        <v>40437</v>
      </c>
      <c r="P1807">
        <v>0</v>
      </c>
      <c r="Q1807">
        <v>0</v>
      </c>
      <c r="R1807" t="s">
        <v>40438</v>
      </c>
      <c r="S1807" t="s">
        <v>40582</v>
      </c>
      <c r="T1807" t="s">
        <v>42103</v>
      </c>
      <c r="U1807" t="s">
        <v>44203</v>
      </c>
      <c r="W1807" t="s">
        <v>37837</v>
      </c>
      <c r="X1807" t="s">
        <v>40439</v>
      </c>
    </row>
    <row r="1808" spans="1:24">
      <c r="A1808">
        <f>HYPERLINK("https://www.philgeps.gov.ph/GEPSNONPILOT/Tender/SplashBidNoticeAbstractUI.aspx?menuIndex=3&amp;refID=7049167&amp;Result=3","7049167")</f>
        <v>0</v>
      </c>
      <c r="B1808" t="s">
        <v>759</v>
      </c>
      <c r="C1808" t="s">
        <v>3662</v>
      </c>
      <c r="D1808" t="s">
        <v>16196</v>
      </c>
      <c r="E1808" t="s">
        <v>17959</v>
      </c>
      <c r="F1808" t="s">
        <v>28198</v>
      </c>
      <c r="G1808" t="s">
        <v>28207</v>
      </c>
      <c r="H1808" t="s">
        <v>28215</v>
      </c>
      <c r="I1808" t="s">
        <v>28225</v>
      </c>
      <c r="J1808" t="s">
        <v>29584</v>
      </c>
      <c r="K1808" t="s">
        <v>36689</v>
      </c>
      <c r="M1808" t="s">
        <v>37762</v>
      </c>
      <c r="N1808" t="s">
        <v>40436</v>
      </c>
      <c r="O1808" t="s">
        <v>40437</v>
      </c>
      <c r="P1808">
        <v>0</v>
      </c>
      <c r="Q1808">
        <v>0</v>
      </c>
      <c r="R1808" t="s">
        <v>40438</v>
      </c>
      <c r="S1808" t="s">
        <v>40582</v>
      </c>
      <c r="T1808" t="s">
        <v>42124</v>
      </c>
      <c r="U1808" t="s">
        <v>44204</v>
      </c>
      <c r="W1808" t="s">
        <v>37762</v>
      </c>
      <c r="X1808" t="s">
        <v>40439</v>
      </c>
    </row>
    <row r="1809" spans="1:24">
      <c r="A1809">
        <f>HYPERLINK("https://www.philgeps.gov.ph/GEPSNONPILOT/Tender/SplashBidNoticeAbstractUI.aspx?menuIndex=3&amp;refID=7049158&amp;Result=3","7049158")</f>
        <v>0</v>
      </c>
      <c r="B1809" t="s">
        <v>772</v>
      </c>
      <c r="C1809" t="s">
        <v>4828</v>
      </c>
      <c r="D1809" t="s">
        <v>16238</v>
      </c>
      <c r="E1809" t="s">
        <v>17960</v>
      </c>
      <c r="F1809" t="s">
        <v>28198</v>
      </c>
      <c r="G1809" t="s">
        <v>28207</v>
      </c>
      <c r="H1809" t="s">
        <v>28215</v>
      </c>
      <c r="I1809" t="s">
        <v>5103</v>
      </c>
      <c r="J1809" t="s">
        <v>29600</v>
      </c>
      <c r="K1809" t="s">
        <v>36707</v>
      </c>
      <c r="M1809" t="s">
        <v>37775</v>
      </c>
      <c r="N1809" t="s">
        <v>40436</v>
      </c>
      <c r="O1809" t="s">
        <v>40437</v>
      </c>
      <c r="P1809">
        <v>0</v>
      </c>
      <c r="Q1809">
        <v>4</v>
      </c>
      <c r="R1809" t="s">
        <v>40438</v>
      </c>
      <c r="S1809" t="s">
        <v>40582</v>
      </c>
      <c r="T1809" t="s">
        <v>42159</v>
      </c>
      <c r="U1809" t="s">
        <v>44205</v>
      </c>
      <c r="V1809" t="s">
        <v>53921</v>
      </c>
      <c r="W1809" t="s">
        <v>37775</v>
      </c>
      <c r="X1809" t="s">
        <v>40439</v>
      </c>
    </row>
    <row r="1810" spans="1:24">
      <c r="A1810">
        <f>HYPERLINK("https://www.philgeps.gov.ph/GEPSNONPILOT/Tender/SplashBidNoticeAbstractUI.aspx?menuIndex=3&amp;refID=7049163&amp;Result=3","7049163")</f>
        <v>0</v>
      </c>
      <c r="B1810" t="s">
        <v>805</v>
      </c>
      <c r="C1810" t="s">
        <v>4829</v>
      </c>
      <c r="D1810" t="s">
        <v>16221</v>
      </c>
      <c r="E1810" t="s">
        <v>17961</v>
      </c>
      <c r="F1810" t="s">
        <v>28198</v>
      </c>
      <c r="G1810" t="s">
        <v>28207</v>
      </c>
      <c r="H1810" t="s">
        <v>28215</v>
      </c>
      <c r="I1810" t="s">
        <v>5082</v>
      </c>
      <c r="J1810" t="s">
        <v>29601</v>
      </c>
      <c r="K1810" t="s">
        <v>36688</v>
      </c>
      <c r="M1810" t="s">
        <v>37813</v>
      </c>
      <c r="N1810" t="s">
        <v>40436</v>
      </c>
      <c r="O1810" t="s">
        <v>40437</v>
      </c>
      <c r="P1810">
        <v>0</v>
      </c>
      <c r="Q1810">
        <v>0</v>
      </c>
      <c r="R1810" t="s">
        <v>40438</v>
      </c>
      <c r="S1810" t="s">
        <v>40582</v>
      </c>
      <c r="T1810" t="s">
        <v>42200</v>
      </c>
      <c r="U1810" t="s">
        <v>44206</v>
      </c>
      <c r="V1810" t="s">
        <v>53978</v>
      </c>
      <c r="W1810" t="s">
        <v>37813</v>
      </c>
      <c r="X1810" t="s">
        <v>40439</v>
      </c>
    </row>
    <row r="1811" spans="1:24">
      <c r="A1811">
        <f>HYPERLINK("https://www.philgeps.gov.ph/GEPSNONPILOT/Tender/SplashBidNoticeAbstractUI.aspx?menuIndex=3&amp;refID=7049155&amp;Result=3","7049155")</f>
        <v>0</v>
      </c>
      <c r="B1811" t="s">
        <v>828</v>
      </c>
      <c r="C1811" t="s">
        <v>4830</v>
      </c>
      <c r="D1811" t="s">
        <v>16235</v>
      </c>
      <c r="E1811" t="s">
        <v>17962</v>
      </c>
      <c r="F1811" t="s">
        <v>28198</v>
      </c>
      <c r="G1811" t="s">
        <v>28206</v>
      </c>
      <c r="H1811" t="s">
        <v>28215</v>
      </c>
      <c r="I1811" t="s">
        <v>28234</v>
      </c>
      <c r="J1811" t="s">
        <v>29602</v>
      </c>
      <c r="K1811" t="s">
        <v>36706</v>
      </c>
      <c r="M1811" t="s">
        <v>37840</v>
      </c>
      <c r="N1811" t="s">
        <v>40436</v>
      </c>
      <c r="O1811" t="s">
        <v>40437</v>
      </c>
      <c r="P1811">
        <v>0</v>
      </c>
      <c r="Q1811">
        <v>3</v>
      </c>
      <c r="R1811" t="s">
        <v>40438</v>
      </c>
      <c r="S1811" t="s">
        <v>40582</v>
      </c>
      <c r="T1811" t="s">
        <v>42146</v>
      </c>
      <c r="U1811" t="s">
        <v>44207</v>
      </c>
      <c r="W1811" t="s">
        <v>37840</v>
      </c>
      <c r="X1811" t="s">
        <v>40439</v>
      </c>
    </row>
    <row r="1812" spans="1:24">
      <c r="A1812">
        <f>HYPERLINK("https://www.philgeps.gov.ph/GEPSNONPILOT/Tender/SplashBidNoticeAbstractUI.aspx?menuIndex=3&amp;refID=7049156&amp;Result=3","7049156")</f>
        <v>0</v>
      </c>
      <c r="B1812" t="s">
        <v>313</v>
      </c>
      <c r="C1812" t="s">
        <v>4831</v>
      </c>
      <c r="D1812" t="s">
        <v>16210</v>
      </c>
      <c r="E1812" t="s">
        <v>17963</v>
      </c>
      <c r="F1812" t="s">
        <v>28198</v>
      </c>
      <c r="G1812" t="s">
        <v>28207</v>
      </c>
      <c r="H1812" t="s">
        <v>28215</v>
      </c>
      <c r="I1812" t="s">
        <v>28234</v>
      </c>
      <c r="J1812" t="s">
        <v>28361</v>
      </c>
      <c r="K1812" t="s">
        <v>36688</v>
      </c>
      <c r="M1812" t="s">
        <v>37291</v>
      </c>
      <c r="N1812" t="s">
        <v>40436</v>
      </c>
      <c r="O1812" t="s">
        <v>40437</v>
      </c>
      <c r="P1812">
        <v>0</v>
      </c>
      <c r="Q1812">
        <v>10</v>
      </c>
      <c r="R1812" t="s">
        <v>40438</v>
      </c>
      <c r="S1812" t="s">
        <v>40582</v>
      </c>
      <c r="T1812" t="s">
        <v>42111</v>
      </c>
      <c r="U1812" t="s">
        <v>43119</v>
      </c>
      <c r="W1812" t="s">
        <v>37291</v>
      </c>
      <c r="X1812" t="s">
        <v>40439</v>
      </c>
    </row>
    <row r="1813" spans="1:24">
      <c r="A1813">
        <f>HYPERLINK("https://www.philgeps.gov.ph/GEPSNONPILOT/Tender/SplashBidNoticeAbstractUI.aspx?menuIndex=3&amp;refID=7049177&amp;Result=3","7049177")</f>
        <v>0</v>
      </c>
      <c r="B1813" t="s">
        <v>825</v>
      </c>
      <c r="C1813" t="s">
        <v>4802</v>
      </c>
      <c r="D1813" t="s">
        <v>16208</v>
      </c>
      <c r="E1813" t="s">
        <v>17964</v>
      </c>
      <c r="F1813" t="s">
        <v>28198</v>
      </c>
      <c r="G1813" t="s">
        <v>28207</v>
      </c>
      <c r="H1813" t="s">
        <v>28215</v>
      </c>
      <c r="I1813" t="s">
        <v>3422</v>
      </c>
      <c r="J1813" t="s">
        <v>29246</v>
      </c>
      <c r="K1813" t="s">
        <v>36701</v>
      </c>
      <c r="M1813" t="s">
        <v>37837</v>
      </c>
      <c r="N1813" t="s">
        <v>40436</v>
      </c>
      <c r="O1813" t="s">
        <v>40437</v>
      </c>
      <c r="P1813">
        <v>0</v>
      </c>
      <c r="Q1813">
        <v>0</v>
      </c>
      <c r="R1813" t="s">
        <v>40438</v>
      </c>
      <c r="S1813" t="s">
        <v>40582</v>
      </c>
      <c r="T1813" t="s">
        <v>42103</v>
      </c>
      <c r="U1813" t="s">
        <v>44198</v>
      </c>
      <c r="W1813" t="s">
        <v>37837</v>
      </c>
      <c r="X1813" t="s">
        <v>40439</v>
      </c>
    </row>
    <row r="1814" spans="1:24">
      <c r="A1814">
        <f>HYPERLINK("https://www.philgeps.gov.ph/GEPSNONPILOT/Tender/SplashBidNoticeAbstractUI.aspx?menuIndex=3&amp;refID=7049176&amp;Result=3","7049176")</f>
        <v>0</v>
      </c>
      <c r="B1814" t="s">
        <v>707</v>
      </c>
      <c r="C1814" t="s">
        <v>4832</v>
      </c>
      <c r="D1814" t="s">
        <v>16199</v>
      </c>
      <c r="E1814" t="s">
        <v>17965</v>
      </c>
      <c r="F1814" t="s">
        <v>28198</v>
      </c>
      <c r="G1814" t="s">
        <v>28207</v>
      </c>
      <c r="H1814" t="s">
        <v>28214</v>
      </c>
      <c r="I1814" t="s">
        <v>3797</v>
      </c>
      <c r="J1814" t="s">
        <v>29603</v>
      </c>
      <c r="K1814" t="s">
        <v>36707</v>
      </c>
      <c r="M1814" t="s">
        <v>37707</v>
      </c>
      <c r="N1814" t="s">
        <v>40436</v>
      </c>
      <c r="O1814" t="s">
        <v>40437</v>
      </c>
      <c r="P1814">
        <v>0</v>
      </c>
      <c r="Q1814">
        <v>0</v>
      </c>
      <c r="R1814" t="s">
        <v>40438</v>
      </c>
      <c r="S1814" t="s">
        <v>40582</v>
      </c>
      <c r="T1814" t="s">
        <v>42152</v>
      </c>
      <c r="U1814" t="s">
        <v>44208</v>
      </c>
      <c r="W1814" t="s">
        <v>37707</v>
      </c>
      <c r="X1814" t="s">
        <v>40439</v>
      </c>
    </row>
    <row r="1815" spans="1:24">
      <c r="A1815">
        <f>HYPERLINK("https://www.philgeps.gov.ph/GEPSNONPILOT/Tender/SplashBidNoticeAbstractUI.aspx?menuIndex=3&amp;refID=7049174&amp;Result=3","7049174")</f>
        <v>0</v>
      </c>
      <c r="B1815" t="s">
        <v>410</v>
      </c>
      <c r="C1815" t="s">
        <v>4833</v>
      </c>
      <c r="D1815" t="s">
        <v>16200</v>
      </c>
      <c r="E1815" t="s">
        <v>17966</v>
      </c>
      <c r="F1815" t="s">
        <v>28198</v>
      </c>
      <c r="G1815" t="s">
        <v>28205</v>
      </c>
      <c r="H1815" t="s">
        <v>28214</v>
      </c>
      <c r="I1815" t="s">
        <v>3797</v>
      </c>
      <c r="J1815" t="s">
        <v>29002</v>
      </c>
      <c r="K1815" t="s">
        <v>36708</v>
      </c>
      <c r="L1815" t="s">
        <v>410</v>
      </c>
      <c r="M1815" t="s">
        <v>37392</v>
      </c>
      <c r="N1815" t="s">
        <v>40436</v>
      </c>
      <c r="O1815" t="s">
        <v>40437</v>
      </c>
      <c r="P1815">
        <v>0</v>
      </c>
      <c r="Q1815">
        <v>1</v>
      </c>
      <c r="R1815" t="s">
        <v>40438</v>
      </c>
      <c r="S1815" t="s">
        <v>40582</v>
      </c>
      <c r="T1815" t="s">
        <v>42122</v>
      </c>
      <c r="U1815" t="s">
        <v>44168</v>
      </c>
      <c r="W1815" t="s">
        <v>37392</v>
      </c>
      <c r="X1815" t="s">
        <v>40439</v>
      </c>
    </row>
    <row r="1816" spans="1:24">
      <c r="A1816">
        <f>HYPERLINK("https://www.philgeps.gov.ph/GEPSNONPILOT/Tender/SplashBidNoticeAbstractUI.aspx?menuIndex=3&amp;refID=7049173&amp;Result=3","7049173")</f>
        <v>0</v>
      </c>
      <c r="B1816" t="s">
        <v>541</v>
      </c>
      <c r="C1816" t="s">
        <v>4834</v>
      </c>
      <c r="D1816" t="s">
        <v>16195</v>
      </c>
      <c r="E1816" t="s">
        <v>17967</v>
      </c>
      <c r="F1816" t="s">
        <v>28198</v>
      </c>
      <c r="G1816" t="s">
        <v>28205</v>
      </c>
      <c r="H1816" t="s">
        <v>28215</v>
      </c>
      <c r="I1816" t="s">
        <v>28225</v>
      </c>
      <c r="J1816" t="s">
        <v>29604</v>
      </c>
      <c r="K1816" t="s">
        <v>36697</v>
      </c>
      <c r="M1816" t="s">
        <v>37527</v>
      </c>
      <c r="N1816" t="s">
        <v>40436</v>
      </c>
      <c r="O1816" t="s">
        <v>40437</v>
      </c>
      <c r="Q1816">
        <v>6</v>
      </c>
      <c r="R1816" t="s">
        <v>40438</v>
      </c>
      <c r="S1816" t="s">
        <v>40586</v>
      </c>
      <c r="T1816" t="s">
        <v>42122</v>
      </c>
      <c r="U1816" t="s">
        <v>44209</v>
      </c>
      <c r="W1816" t="s">
        <v>37527</v>
      </c>
      <c r="X1816" t="s">
        <v>40439</v>
      </c>
    </row>
    <row r="1817" spans="1:24">
      <c r="A1817">
        <f>HYPERLINK("https://www.philgeps.gov.ph/GEPSNONPILOT/Tender/SplashBidNoticeAbstractUI.aspx?menuIndex=3&amp;refID=7049164&amp;Result=3","7049164")</f>
        <v>0</v>
      </c>
      <c r="B1817" t="s">
        <v>821</v>
      </c>
      <c r="C1817" t="s">
        <v>4835</v>
      </c>
      <c r="D1817" t="s">
        <v>16204</v>
      </c>
      <c r="E1817" t="s">
        <v>17968</v>
      </c>
      <c r="F1817" t="s">
        <v>28198</v>
      </c>
      <c r="G1817" t="s">
        <v>28205</v>
      </c>
      <c r="H1817" t="s">
        <v>28214</v>
      </c>
      <c r="I1817" t="s">
        <v>3797</v>
      </c>
      <c r="J1817" t="s">
        <v>28708</v>
      </c>
      <c r="K1817" t="s">
        <v>36689</v>
      </c>
      <c r="M1817" t="s">
        <v>37833</v>
      </c>
      <c r="N1817" t="s">
        <v>40436</v>
      </c>
      <c r="O1817" t="s">
        <v>40437</v>
      </c>
      <c r="P1817">
        <v>0</v>
      </c>
      <c r="Q1817">
        <v>0</v>
      </c>
      <c r="R1817" t="s">
        <v>40438</v>
      </c>
      <c r="S1817" t="s">
        <v>40582</v>
      </c>
      <c r="T1817" t="s">
        <v>42115</v>
      </c>
      <c r="U1817" t="s">
        <v>44210</v>
      </c>
      <c r="V1817" t="s">
        <v>53944</v>
      </c>
      <c r="W1817" t="s">
        <v>37833</v>
      </c>
      <c r="X1817" t="s">
        <v>40439</v>
      </c>
    </row>
    <row r="1818" spans="1:24">
      <c r="A1818">
        <f>HYPERLINK("https://www.philgeps.gov.ph/GEPSNONPILOT/Tender/SplashBidNoticeAbstractUI.aspx?menuIndex=3&amp;refID=7049179&amp;Result=3","7049179")</f>
        <v>0</v>
      </c>
      <c r="B1818" t="s">
        <v>820</v>
      </c>
      <c r="C1818" t="s">
        <v>4836</v>
      </c>
      <c r="D1818" t="s">
        <v>16255</v>
      </c>
      <c r="E1818" t="s">
        <v>17969</v>
      </c>
      <c r="F1818" t="s">
        <v>28198</v>
      </c>
      <c r="G1818" t="s">
        <v>28207</v>
      </c>
      <c r="H1818" t="s">
        <v>28215</v>
      </c>
      <c r="I1818" t="s">
        <v>5100</v>
      </c>
      <c r="J1818" t="s">
        <v>29605</v>
      </c>
      <c r="K1818" t="s">
        <v>36688</v>
      </c>
      <c r="M1818" t="s">
        <v>37832</v>
      </c>
      <c r="N1818" t="s">
        <v>40436</v>
      </c>
      <c r="O1818" t="s">
        <v>40437</v>
      </c>
      <c r="P1818">
        <v>0</v>
      </c>
      <c r="Q1818">
        <v>0</v>
      </c>
      <c r="R1818" t="s">
        <v>40438</v>
      </c>
      <c r="S1818" t="s">
        <v>40582</v>
      </c>
      <c r="T1818" t="s">
        <v>42103</v>
      </c>
      <c r="U1818" t="s">
        <v>44211</v>
      </c>
      <c r="W1818" t="s">
        <v>37832</v>
      </c>
      <c r="X1818" t="s">
        <v>40439</v>
      </c>
    </row>
    <row r="1819" spans="1:24">
      <c r="A1819">
        <f>HYPERLINK("https://www.philgeps.gov.ph/GEPSNONPILOT/Tender/SplashBidNoticeAbstractUI.aspx?menuIndex=3&amp;refID=7049175&amp;Result=3","7049175")</f>
        <v>0</v>
      </c>
      <c r="B1819" t="s">
        <v>829</v>
      </c>
      <c r="C1819" t="s">
        <v>4837</v>
      </c>
      <c r="D1819" t="s">
        <v>16244</v>
      </c>
      <c r="E1819" t="s">
        <v>17970</v>
      </c>
      <c r="F1819" t="s">
        <v>28198</v>
      </c>
      <c r="G1819" t="s">
        <v>28207</v>
      </c>
      <c r="H1819" t="s">
        <v>28214</v>
      </c>
      <c r="I1819" t="s">
        <v>3797</v>
      </c>
      <c r="J1819" t="s">
        <v>29606</v>
      </c>
      <c r="K1819" t="s">
        <v>36694</v>
      </c>
      <c r="M1819" t="s">
        <v>37841</v>
      </c>
      <c r="N1819" t="s">
        <v>40436</v>
      </c>
      <c r="O1819" t="s">
        <v>40437</v>
      </c>
      <c r="P1819">
        <v>0</v>
      </c>
      <c r="Q1819">
        <v>0</v>
      </c>
      <c r="R1819" t="s">
        <v>40438</v>
      </c>
      <c r="S1819" t="s">
        <v>40582</v>
      </c>
      <c r="T1819" t="s">
        <v>42119</v>
      </c>
      <c r="U1819" t="s">
        <v>44212</v>
      </c>
      <c r="W1819" t="s">
        <v>37841</v>
      </c>
      <c r="X1819" t="s">
        <v>40439</v>
      </c>
    </row>
    <row r="1820" spans="1:24">
      <c r="A1820">
        <f>HYPERLINK("https://www.philgeps.gov.ph/GEPSNONPILOT/Tender/SplashBidNoticeAbstractUI.aspx?menuIndex=3&amp;refID=7049172&amp;Result=3","7049172")</f>
        <v>0</v>
      </c>
      <c r="B1820" t="s">
        <v>728</v>
      </c>
      <c r="C1820" t="s">
        <v>4838</v>
      </c>
      <c r="D1820" t="s">
        <v>16200</v>
      </c>
      <c r="E1820" t="s">
        <v>17971</v>
      </c>
      <c r="F1820" t="s">
        <v>28198</v>
      </c>
      <c r="G1820" t="s">
        <v>28205</v>
      </c>
      <c r="H1820" t="s">
        <v>28215</v>
      </c>
      <c r="I1820" t="s">
        <v>28280</v>
      </c>
      <c r="J1820" t="s">
        <v>29607</v>
      </c>
      <c r="K1820" t="s">
        <v>36697</v>
      </c>
      <c r="M1820" t="s">
        <v>37777</v>
      </c>
      <c r="N1820" t="s">
        <v>40436</v>
      </c>
      <c r="O1820" t="s">
        <v>40437</v>
      </c>
      <c r="P1820">
        <v>0</v>
      </c>
      <c r="Q1820">
        <v>3</v>
      </c>
      <c r="R1820" t="s">
        <v>40438</v>
      </c>
      <c r="S1820" t="s">
        <v>40582</v>
      </c>
      <c r="T1820" t="s">
        <v>42099</v>
      </c>
      <c r="U1820" t="s">
        <v>44213</v>
      </c>
      <c r="W1820" t="s">
        <v>37777</v>
      </c>
      <c r="X1820" t="s">
        <v>40439</v>
      </c>
    </row>
    <row r="1821" spans="1:24">
      <c r="A1821">
        <f>HYPERLINK("https://www.philgeps.gov.ph/GEPSNONPILOT/Tender/SplashBidNoticeAbstractUI.aspx?menuIndex=3&amp;refID=7049165&amp;Result=3","7049165")</f>
        <v>0</v>
      </c>
      <c r="B1821" t="s">
        <v>830</v>
      </c>
      <c r="C1821" t="s">
        <v>4839</v>
      </c>
      <c r="D1821" t="s">
        <v>16190</v>
      </c>
      <c r="E1821" t="s">
        <v>17972</v>
      </c>
      <c r="F1821" t="s">
        <v>28198</v>
      </c>
      <c r="G1821" t="s">
        <v>28205</v>
      </c>
      <c r="H1821" t="s">
        <v>28214</v>
      </c>
      <c r="I1821" t="s">
        <v>28242</v>
      </c>
      <c r="J1821" t="s">
        <v>28699</v>
      </c>
      <c r="K1821" t="s">
        <v>36701</v>
      </c>
      <c r="M1821" t="s">
        <v>37842</v>
      </c>
      <c r="N1821" t="s">
        <v>40436</v>
      </c>
      <c r="O1821" t="s">
        <v>40437</v>
      </c>
      <c r="P1821">
        <v>0</v>
      </c>
      <c r="Q1821">
        <v>1</v>
      </c>
      <c r="R1821" t="s">
        <v>40438</v>
      </c>
      <c r="S1821" t="s">
        <v>40582</v>
      </c>
      <c r="T1821" t="s">
        <v>42101</v>
      </c>
      <c r="U1821" t="s">
        <v>44214</v>
      </c>
      <c r="V1821" t="s">
        <v>53982</v>
      </c>
      <c r="W1821" t="s">
        <v>37842</v>
      </c>
      <c r="X1821" t="s">
        <v>40439</v>
      </c>
    </row>
    <row r="1822" spans="1:24">
      <c r="A1822">
        <f>HYPERLINK("https://www.philgeps.gov.ph/GEPSNONPILOT/Tender/SplashBidNoticeAbstractUI.aspx?menuIndex=3&amp;refID=7049182&amp;Result=3","7049182")</f>
        <v>0</v>
      </c>
      <c r="B1822" t="s">
        <v>831</v>
      </c>
      <c r="C1822" t="s">
        <v>4840</v>
      </c>
      <c r="D1822" t="s">
        <v>16210</v>
      </c>
      <c r="E1822" t="s">
        <v>17973</v>
      </c>
      <c r="F1822" t="s">
        <v>28198</v>
      </c>
      <c r="G1822" t="s">
        <v>28207</v>
      </c>
      <c r="H1822" t="s">
        <v>28215</v>
      </c>
      <c r="I1822" t="s">
        <v>28244</v>
      </c>
      <c r="J1822" t="s">
        <v>29608</v>
      </c>
      <c r="K1822" t="s">
        <v>36707</v>
      </c>
      <c r="M1822" t="s">
        <v>37843</v>
      </c>
      <c r="N1822" t="s">
        <v>40436</v>
      </c>
      <c r="O1822" t="s">
        <v>40437</v>
      </c>
      <c r="P1822">
        <v>0</v>
      </c>
      <c r="Q1822">
        <v>3</v>
      </c>
      <c r="R1822" t="s">
        <v>40438</v>
      </c>
      <c r="S1822" t="s">
        <v>40582</v>
      </c>
      <c r="T1822" t="s">
        <v>42124</v>
      </c>
      <c r="U1822" t="s">
        <v>44215</v>
      </c>
      <c r="W1822" t="s">
        <v>37843</v>
      </c>
      <c r="X1822" t="s">
        <v>40439</v>
      </c>
    </row>
    <row r="1823" spans="1:24">
      <c r="A1823">
        <f>HYPERLINK("https://www.philgeps.gov.ph/GEPSNONPILOT/Tender/SplashBidNoticeAbstractUI.aspx?menuIndex=3&amp;refID=7049166&amp;Result=3","7049166")</f>
        <v>0</v>
      </c>
      <c r="B1823" t="s">
        <v>832</v>
      </c>
      <c r="C1823" t="s">
        <v>4841</v>
      </c>
      <c r="D1823" t="s">
        <v>16187</v>
      </c>
      <c r="E1823" t="s">
        <v>17974</v>
      </c>
      <c r="F1823" t="s">
        <v>28198</v>
      </c>
      <c r="G1823" t="s">
        <v>28207</v>
      </c>
      <c r="H1823" t="s">
        <v>28215</v>
      </c>
      <c r="I1823" t="s">
        <v>28220</v>
      </c>
      <c r="J1823" t="s">
        <v>28381</v>
      </c>
      <c r="K1823" t="s">
        <v>36691</v>
      </c>
      <c r="M1823" t="s">
        <v>37844</v>
      </c>
      <c r="N1823" t="s">
        <v>40436</v>
      </c>
      <c r="O1823" t="s">
        <v>40437</v>
      </c>
      <c r="P1823">
        <v>0</v>
      </c>
      <c r="Q1823">
        <v>2</v>
      </c>
      <c r="R1823" t="s">
        <v>40438</v>
      </c>
      <c r="S1823" t="s">
        <v>40582</v>
      </c>
      <c r="T1823" t="s">
        <v>42103</v>
      </c>
      <c r="U1823" t="s">
        <v>44216</v>
      </c>
      <c r="W1823" t="s">
        <v>37844</v>
      </c>
      <c r="X1823" t="s">
        <v>40439</v>
      </c>
    </row>
    <row r="1824" spans="1:24">
      <c r="A1824">
        <f>HYPERLINK("https://www.philgeps.gov.ph/GEPSNONPILOT/Tender/SplashBidNoticeAbstractUI.aspx?menuIndex=3&amp;refID=7049198&amp;Result=3","7049198")</f>
        <v>0</v>
      </c>
      <c r="B1824" t="s">
        <v>833</v>
      </c>
      <c r="C1824" t="s">
        <v>4842</v>
      </c>
      <c r="E1824" t="s">
        <v>17975</v>
      </c>
      <c r="F1824" t="s">
        <v>28198</v>
      </c>
      <c r="G1824" t="s">
        <v>28205</v>
      </c>
      <c r="H1824" t="s">
        <v>28215</v>
      </c>
      <c r="I1824" t="s">
        <v>28311</v>
      </c>
      <c r="J1824" t="s">
        <v>29609</v>
      </c>
      <c r="K1824" t="s">
        <v>36689</v>
      </c>
      <c r="M1824" t="s">
        <v>37845</v>
      </c>
      <c r="N1824" t="s">
        <v>40436</v>
      </c>
      <c r="O1824" t="s">
        <v>40437</v>
      </c>
      <c r="P1824">
        <v>0</v>
      </c>
      <c r="Q1824">
        <v>1</v>
      </c>
      <c r="R1824" t="s">
        <v>40438</v>
      </c>
      <c r="S1824" t="s">
        <v>40582</v>
      </c>
      <c r="T1824" t="s">
        <v>42265</v>
      </c>
      <c r="U1824" t="s">
        <v>44217</v>
      </c>
      <c r="W1824" t="s">
        <v>55462</v>
      </c>
      <c r="X1824" t="s">
        <v>40439</v>
      </c>
    </row>
    <row r="1825" spans="1:24">
      <c r="A1825">
        <f>HYPERLINK("https://www.philgeps.gov.ph/GEPSNONPILOT/Tender/SplashBidNoticeAbstractUI.aspx?menuIndex=3&amp;refID=7049181&amp;Result=3","7049181")</f>
        <v>0</v>
      </c>
      <c r="B1825" t="s">
        <v>335</v>
      </c>
      <c r="C1825" t="s">
        <v>4843</v>
      </c>
      <c r="D1825" t="s">
        <v>16221</v>
      </c>
      <c r="E1825" t="s">
        <v>17976</v>
      </c>
      <c r="F1825" t="s">
        <v>28198</v>
      </c>
      <c r="G1825" t="s">
        <v>28206</v>
      </c>
      <c r="H1825" t="s">
        <v>28215</v>
      </c>
      <c r="I1825" t="s">
        <v>28225</v>
      </c>
      <c r="J1825" t="s">
        <v>29610</v>
      </c>
      <c r="K1825" t="s">
        <v>36715</v>
      </c>
      <c r="M1825" t="s">
        <v>37313</v>
      </c>
      <c r="N1825" t="s">
        <v>40436</v>
      </c>
      <c r="O1825" t="s">
        <v>40437</v>
      </c>
      <c r="P1825">
        <v>0</v>
      </c>
      <c r="Q1825">
        <v>1</v>
      </c>
      <c r="R1825" t="s">
        <v>40438</v>
      </c>
      <c r="S1825" t="s">
        <v>40582</v>
      </c>
      <c r="T1825" t="s">
        <v>42288</v>
      </c>
      <c r="U1825" t="s">
        <v>44218</v>
      </c>
      <c r="W1825" t="s">
        <v>55444</v>
      </c>
      <c r="X1825" t="s">
        <v>40439</v>
      </c>
    </row>
    <row r="1826" spans="1:24">
      <c r="A1826">
        <f>HYPERLINK("https://www.philgeps.gov.ph/GEPSNONPILOT/Tender/SplashBidNoticeAbstractUI.aspx?menuIndex=3&amp;refID=7049178&amp;Result=3","7049178")</f>
        <v>0</v>
      </c>
      <c r="B1826" t="s">
        <v>540</v>
      </c>
      <c r="C1826" t="s">
        <v>4844</v>
      </c>
      <c r="D1826" t="s">
        <v>16210</v>
      </c>
      <c r="E1826" t="s">
        <v>17977</v>
      </c>
      <c r="F1826" t="s">
        <v>28198</v>
      </c>
      <c r="G1826" t="s">
        <v>28207</v>
      </c>
      <c r="H1826" t="s">
        <v>28215</v>
      </c>
      <c r="I1826" t="s">
        <v>28283</v>
      </c>
      <c r="J1826" t="s">
        <v>29323</v>
      </c>
      <c r="K1826" t="s">
        <v>36688</v>
      </c>
      <c r="M1826" t="s">
        <v>37526</v>
      </c>
      <c r="N1826" t="s">
        <v>40436</v>
      </c>
      <c r="O1826" t="s">
        <v>40437</v>
      </c>
      <c r="P1826">
        <v>0</v>
      </c>
      <c r="Q1826">
        <v>5</v>
      </c>
      <c r="R1826" t="s">
        <v>40438</v>
      </c>
      <c r="S1826" t="s">
        <v>40582</v>
      </c>
      <c r="T1826" t="s">
        <v>42098</v>
      </c>
      <c r="U1826" t="s">
        <v>44219</v>
      </c>
      <c r="V1826" t="s">
        <v>53914</v>
      </c>
      <c r="W1826" t="s">
        <v>37526</v>
      </c>
      <c r="X1826" t="s">
        <v>40439</v>
      </c>
    </row>
    <row r="1827" spans="1:24">
      <c r="A1827">
        <f>HYPERLINK("https://www.philgeps.gov.ph/GEPSNONPILOT/Tender/SplashBidNoticeAbstractUI.aspx?menuIndex=3&amp;refID=7049195&amp;Result=3","7049195")</f>
        <v>0</v>
      </c>
      <c r="B1827" t="s">
        <v>656</v>
      </c>
      <c r="C1827" t="s">
        <v>4845</v>
      </c>
      <c r="D1827" t="s">
        <v>16206</v>
      </c>
      <c r="E1827" t="s">
        <v>17978</v>
      </c>
      <c r="F1827" t="s">
        <v>28198</v>
      </c>
      <c r="G1827" t="s">
        <v>28210</v>
      </c>
      <c r="H1827" t="s">
        <v>28215</v>
      </c>
      <c r="I1827" t="s">
        <v>28228</v>
      </c>
      <c r="J1827" t="s">
        <v>28645</v>
      </c>
      <c r="K1827" t="s">
        <v>36688</v>
      </c>
      <c r="M1827" t="s">
        <v>37652</v>
      </c>
      <c r="N1827" t="s">
        <v>40436</v>
      </c>
      <c r="O1827" t="s">
        <v>40437</v>
      </c>
      <c r="P1827">
        <v>0</v>
      </c>
      <c r="Q1827">
        <v>0</v>
      </c>
      <c r="R1827" t="s">
        <v>40438</v>
      </c>
      <c r="S1827" t="s">
        <v>40582</v>
      </c>
      <c r="T1827" t="s">
        <v>42103</v>
      </c>
      <c r="U1827" t="s">
        <v>44220</v>
      </c>
      <c r="W1827" t="s">
        <v>37652</v>
      </c>
      <c r="X1827" t="s">
        <v>40439</v>
      </c>
    </row>
    <row r="1828" spans="1:24">
      <c r="A1828">
        <f>HYPERLINK("https://www.philgeps.gov.ph/GEPSNONPILOT/Tender/SplashBidNoticeAbstractUI.aspx?menuIndex=3&amp;refID=7049191&amp;Result=3","7049191")</f>
        <v>0</v>
      </c>
      <c r="B1828" t="s">
        <v>834</v>
      </c>
      <c r="C1828" t="s">
        <v>4846</v>
      </c>
      <c r="D1828" t="s">
        <v>16190</v>
      </c>
      <c r="E1828" t="s">
        <v>17979</v>
      </c>
      <c r="F1828" t="s">
        <v>28198</v>
      </c>
      <c r="G1828" t="s">
        <v>28207</v>
      </c>
      <c r="H1828" t="s">
        <v>28215</v>
      </c>
      <c r="I1828" t="s">
        <v>28220</v>
      </c>
      <c r="J1828" t="s">
        <v>28345</v>
      </c>
      <c r="K1828" t="s">
        <v>36706</v>
      </c>
      <c r="M1828" t="s">
        <v>37846</v>
      </c>
      <c r="N1828" t="s">
        <v>40436</v>
      </c>
      <c r="O1828" t="s">
        <v>40437</v>
      </c>
      <c r="P1828">
        <v>0</v>
      </c>
      <c r="Q1828">
        <v>2</v>
      </c>
      <c r="R1828" t="s">
        <v>40438</v>
      </c>
      <c r="S1828" t="s">
        <v>40582</v>
      </c>
      <c r="T1828" t="s">
        <v>42111</v>
      </c>
      <c r="U1828" t="s">
        <v>44221</v>
      </c>
      <c r="W1828" t="s">
        <v>37846</v>
      </c>
      <c r="X1828" t="s">
        <v>40439</v>
      </c>
    </row>
    <row r="1829" spans="1:24">
      <c r="A1829">
        <f>HYPERLINK("https://www.philgeps.gov.ph/GEPSNONPILOT/Tender/SplashBidNoticeAbstractUI.aspx?menuIndex=3&amp;refID=7049201&amp;Result=3","7049201")</f>
        <v>0</v>
      </c>
      <c r="B1829" t="s">
        <v>835</v>
      </c>
      <c r="C1829" t="s">
        <v>4847</v>
      </c>
      <c r="D1829" t="s">
        <v>16190</v>
      </c>
      <c r="E1829" t="s">
        <v>17980</v>
      </c>
      <c r="F1829" t="s">
        <v>28198</v>
      </c>
      <c r="G1829" t="s">
        <v>28207</v>
      </c>
      <c r="H1829" t="s">
        <v>28215</v>
      </c>
      <c r="I1829" t="s">
        <v>28228</v>
      </c>
      <c r="J1829" t="s">
        <v>29611</v>
      </c>
      <c r="K1829" t="s">
        <v>36706</v>
      </c>
      <c r="M1829" t="s">
        <v>37847</v>
      </c>
      <c r="N1829" t="s">
        <v>40436</v>
      </c>
      <c r="O1829" t="s">
        <v>40437</v>
      </c>
      <c r="P1829">
        <v>0</v>
      </c>
      <c r="Q1829">
        <v>0</v>
      </c>
      <c r="R1829" t="s">
        <v>40438</v>
      </c>
      <c r="S1829" t="s">
        <v>40582</v>
      </c>
      <c r="T1829" t="s">
        <v>42119</v>
      </c>
      <c r="U1829" t="s">
        <v>44222</v>
      </c>
      <c r="W1829" t="s">
        <v>55463</v>
      </c>
      <c r="X1829" t="s">
        <v>40439</v>
      </c>
    </row>
    <row r="1830" spans="1:24">
      <c r="A1830">
        <f>HYPERLINK("https://www.philgeps.gov.ph/GEPSNONPILOT/Tender/SplashBidNoticeAbstractUI.aspx?menuIndex=3&amp;refID=7049193&amp;Result=3","7049193")</f>
        <v>0</v>
      </c>
      <c r="B1830" t="s">
        <v>836</v>
      </c>
      <c r="C1830" t="s">
        <v>4848</v>
      </c>
      <c r="D1830" t="s">
        <v>16222</v>
      </c>
      <c r="E1830" t="s">
        <v>17331</v>
      </c>
      <c r="F1830" t="s">
        <v>28198</v>
      </c>
      <c r="G1830" t="s">
        <v>28207</v>
      </c>
      <c r="H1830" t="s">
        <v>28215</v>
      </c>
      <c r="I1830" t="s">
        <v>5100</v>
      </c>
      <c r="J1830" t="s">
        <v>29612</v>
      </c>
      <c r="K1830" t="s">
        <v>36691</v>
      </c>
      <c r="M1830" t="s">
        <v>37848</v>
      </c>
      <c r="N1830" t="s">
        <v>40436</v>
      </c>
      <c r="O1830" t="s">
        <v>40437</v>
      </c>
      <c r="P1830">
        <v>0</v>
      </c>
      <c r="Q1830">
        <v>0</v>
      </c>
      <c r="R1830" t="s">
        <v>40438</v>
      </c>
      <c r="S1830" t="s">
        <v>40582</v>
      </c>
      <c r="T1830" t="s">
        <v>42103</v>
      </c>
      <c r="U1830" t="s">
        <v>44223</v>
      </c>
      <c r="W1830" t="s">
        <v>37848</v>
      </c>
      <c r="X1830" t="s">
        <v>40439</v>
      </c>
    </row>
    <row r="1831" spans="1:24">
      <c r="A1831">
        <f>HYPERLINK("https://www.philgeps.gov.ph/GEPSNONPILOT/Tender/SplashBidNoticeAbstractUI.aspx?menuIndex=3&amp;refID=7049200&amp;Result=3","7049200")</f>
        <v>0</v>
      </c>
      <c r="B1831" t="s">
        <v>746</v>
      </c>
      <c r="C1831" t="s">
        <v>4849</v>
      </c>
      <c r="D1831" t="s">
        <v>16209</v>
      </c>
      <c r="E1831" t="s">
        <v>17981</v>
      </c>
      <c r="F1831" t="s">
        <v>28198</v>
      </c>
      <c r="G1831" t="s">
        <v>28207</v>
      </c>
      <c r="H1831" t="s">
        <v>28215</v>
      </c>
      <c r="I1831" t="s">
        <v>3774</v>
      </c>
      <c r="J1831" t="s">
        <v>28430</v>
      </c>
      <c r="K1831" t="s">
        <v>36688</v>
      </c>
      <c r="M1831" t="s">
        <v>37749</v>
      </c>
      <c r="N1831" t="s">
        <v>40436</v>
      </c>
      <c r="O1831" t="s">
        <v>40437</v>
      </c>
      <c r="P1831">
        <v>0</v>
      </c>
      <c r="Q1831">
        <v>0</v>
      </c>
      <c r="R1831" t="s">
        <v>40438</v>
      </c>
      <c r="S1831" t="s">
        <v>40582</v>
      </c>
      <c r="T1831" t="s">
        <v>42129</v>
      </c>
      <c r="U1831" t="s">
        <v>44224</v>
      </c>
      <c r="W1831" t="s">
        <v>37749</v>
      </c>
      <c r="X1831" t="s">
        <v>40439</v>
      </c>
    </row>
    <row r="1832" spans="1:24">
      <c r="A1832">
        <f>HYPERLINK("https://www.philgeps.gov.ph/GEPSNONPILOT/Tender/SplashBidNoticeAbstractUI.aspx?menuIndex=3&amp;refID=7049192&amp;Result=3","7049192")</f>
        <v>0</v>
      </c>
      <c r="B1832" t="s">
        <v>601</v>
      </c>
      <c r="C1832" t="s">
        <v>4850</v>
      </c>
      <c r="D1832" t="s">
        <v>16204</v>
      </c>
      <c r="E1832" t="s">
        <v>17982</v>
      </c>
      <c r="F1832" t="s">
        <v>28198</v>
      </c>
      <c r="G1832" t="s">
        <v>28207</v>
      </c>
      <c r="H1832" t="s">
        <v>28215</v>
      </c>
      <c r="I1832" t="s">
        <v>28281</v>
      </c>
      <c r="J1832" t="s">
        <v>29613</v>
      </c>
      <c r="K1832" t="s">
        <v>36689</v>
      </c>
      <c r="M1832" t="s">
        <v>37592</v>
      </c>
      <c r="N1832" t="s">
        <v>40436</v>
      </c>
      <c r="O1832" t="s">
        <v>40437</v>
      </c>
      <c r="P1832">
        <v>0</v>
      </c>
      <c r="Q1832">
        <v>2</v>
      </c>
      <c r="R1832" t="s">
        <v>40438</v>
      </c>
      <c r="S1832" t="s">
        <v>40582</v>
      </c>
      <c r="T1832" t="s">
        <v>42119</v>
      </c>
      <c r="U1832" t="s">
        <v>44225</v>
      </c>
      <c r="W1832" t="s">
        <v>37592</v>
      </c>
      <c r="X1832" t="s">
        <v>40439</v>
      </c>
    </row>
    <row r="1833" spans="1:24">
      <c r="A1833">
        <f>HYPERLINK("https://www.philgeps.gov.ph/GEPSNONPILOT/Tender/SplashBidNoticeAbstractUI.aspx?menuIndex=3&amp;refID=7049189&amp;Result=3","7049189")</f>
        <v>0</v>
      </c>
      <c r="B1833" t="s">
        <v>772</v>
      </c>
      <c r="C1833" t="s">
        <v>4851</v>
      </c>
      <c r="D1833" t="s">
        <v>16238</v>
      </c>
      <c r="E1833" t="s">
        <v>17983</v>
      </c>
      <c r="F1833" t="s">
        <v>28198</v>
      </c>
      <c r="G1833" t="s">
        <v>28207</v>
      </c>
      <c r="H1833" t="s">
        <v>28215</v>
      </c>
      <c r="I1833" t="s">
        <v>28224</v>
      </c>
      <c r="J1833" t="s">
        <v>29614</v>
      </c>
      <c r="K1833" t="s">
        <v>36707</v>
      </c>
      <c r="M1833" t="s">
        <v>37775</v>
      </c>
      <c r="N1833" t="s">
        <v>40436</v>
      </c>
      <c r="O1833" t="s">
        <v>40437</v>
      </c>
      <c r="P1833">
        <v>0</v>
      </c>
      <c r="Q1833">
        <v>1</v>
      </c>
      <c r="R1833" t="s">
        <v>40438</v>
      </c>
      <c r="S1833" t="s">
        <v>40582</v>
      </c>
      <c r="T1833" t="s">
        <v>42159</v>
      </c>
      <c r="U1833" t="s">
        <v>44226</v>
      </c>
      <c r="V1833" t="s">
        <v>53921</v>
      </c>
      <c r="W1833" t="s">
        <v>37775</v>
      </c>
      <c r="X1833" t="s">
        <v>40439</v>
      </c>
    </row>
    <row r="1834" spans="1:24">
      <c r="A1834">
        <f>HYPERLINK("https://www.philgeps.gov.ph/GEPSNONPILOT/Tender/SplashBidNoticeAbstractUI.aspx?menuIndex=3&amp;refID=7049199&amp;Result=3","7049199")</f>
        <v>0</v>
      </c>
      <c r="B1834" t="s">
        <v>837</v>
      </c>
      <c r="C1834" t="s">
        <v>4852</v>
      </c>
      <c r="D1834" t="s">
        <v>16191</v>
      </c>
      <c r="E1834" t="s">
        <v>17984</v>
      </c>
      <c r="F1834" t="s">
        <v>28198</v>
      </c>
      <c r="G1834" t="s">
        <v>28207</v>
      </c>
      <c r="H1834" t="s">
        <v>28215</v>
      </c>
      <c r="I1834" t="s">
        <v>28257</v>
      </c>
      <c r="J1834" t="s">
        <v>28414</v>
      </c>
      <c r="K1834" t="s">
        <v>36693</v>
      </c>
      <c r="M1834" t="s">
        <v>37849</v>
      </c>
      <c r="N1834" t="s">
        <v>40436</v>
      </c>
      <c r="O1834" t="s">
        <v>40437</v>
      </c>
      <c r="P1834">
        <v>0</v>
      </c>
      <c r="Q1834">
        <v>1</v>
      </c>
      <c r="R1834" t="s">
        <v>40438</v>
      </c>
      <c r="S1834" t="s">
        <v>40582</v>
      </c>
      <c r="T1834" t="s">
        <v>42191</v>
      </c>
      <c r="U1834" t="s">
        <v>44227</v>
      </c>
      <c r="W1834" t="s">
        <v>37849</v>
      </c>
      <c r="X1834" t="s">
        <v>40439</v>
      </c>
    </row>
    <row r="1835" spans="1:24">
      <c r="A1835">
        <f>HYPERLINK("https://www.philgeps.gov.ph/GEPSNONPILOT/Tender/SplashBidNoticeAbstractUI.aspx?menuIndex=3&amp;refID=7049194&amp;Result=3","7049194")</f>
        <v>0</v>
      </c>
      <c r="B1835" t="s">
        <v>780</v>
      </c>
      <c r="C1835" t="s">
        <v>4853</v>
      </c>
      <c r="D1835" t="s">
        <v>16197</v>
      </c>
      <c r="E1835" t="s">
        <v>17985</v>
      </c>
      <c r="F1835" t="s">
        <v>28198</v>
      </c>
      <c r="G1835" t="s">
        <v>28205</v>
      </c>
      <c r="H1835" t="s">
        <v>28214</v>
      </c>
      <c r="I1835" t="s">
        <v>3797</v>
      </c>
      <c r="J1835" t="s">
        <v>29615</v>
      </c>
      <c r="K1835" t="s">
        <v>36768</v>
      </c>
      <c r="M1835" t="s">
        <v>37784</v>
      </c>
      <c r="N1835" t="s">
        <v>40436</v>
      </c>
      <c r="O1835" t="s">
        <v>40437</v>
      </c>
      <c r="P1835">
        <v>0</v>
      </c>
      <c r="Q1835">
        <v>2</v>
      </c>
      <c r="R1835" t="s">
        <v>40438</v>
      </c>
      <c r="S1835" t="s">
        <v>40582</v>
      </c>
      <c r="T1835" t="s">
        <v>42108</v>
      </c>
      <c r="U1835" t="s">
        <v>44102</v>
      </c>
      <c r="W1835" t="s">
        <v>37784</v>
      </c>
      <c r="X1835" t="s">
        <v>40439</v>
      </c>
    </row>
    <row r="1836" spans="1:24">
      <c r="A1836">
        <f>HYPERLINK("https://www.philgeps.gov.ph/GEPSNONPILOT/Tender/SplashBidNoticeAbstractUI.aspx?menuIndex=3&amp;refID=7049186&amp;Result=3","7049186")</f>
        <v>0</v>
      </c>
      <c r="B1836" t="s">
        <v>805</v>
      </c>
      <c r="C1836" t="s">
        <v>4854</v>
      </c>
      <c r="D1836" t="s">
        <v>16221</v>
      </c>
      <c r="E1836" t="s">
        <v>17986</v>
      </c>
      <c r="F1836" t="s">
        <v>28198</v>
      </c>
      <c r="G1836" t="s">
        <v>28207</v>
      </c>
      <c r="H1836" t="s">
        <v>28215</v>
      </c>
      <c r="I1836" t="s">
        <v>5103</v>
      </c>
      <c r="J1836" t="s">
        <v>29616</v>
      </c>
      <c r="K1836" t="s">
        <v>36688</v>
      </c>
      <c r="M1836" t="s">
        <v>37813</v>
      </c>
      <c r="N1836" t="s">
        <v>40436</v>
      </c>
      <c r="O1836" t="s">
        <v>40437</v>
      </c>
      <c r="P1836">
        <v>0</v>
      </c>
      <c r="Q1836">
        <v>4</v>
      </c>
      <c r="R1836" t="s">
        <v>40438</v>
      </c>
      <c r="S1836" t="s">
        <v>40582</v>
      </c>
      <c r="T1836" t="s">
        <v>42200</v>
      </c>
      <c r="U1836" t="s">
        <v>44228</v>
      </c>
      <c r="V1836" t="s">
        <v>53978</v>
      </c>
      <c r="W1836" t="s">
        <v>37813</v>
      </c>
      <c r="X1836" t="s">
        <v>40439</v>
      </c>
    </row>
    <row r="1837" spans="1:24">
      <c r="A1837">
        <f>HYPERLINK("https://www.philgeps.gov.ph/GEPSNONPILOT/Tender/SplashBidNoticeAbstractUI.aspx?menuIndex=3&amp;refID=7049184&amp;Result=3","7049184")</f>
        <v>0</v>
      </c>
      <c r="B1837" t="s">
        <v>835</v>
      </c>
      <c r="C1837" t="s">
        <v>4855</v>
      </c>
      <c r="D1837" t="s">
        <v>16190</v>
      </c>
      <c r="E1837" t="s">
        <v>17987</v>
      </c>
      <c r="F1837" t="s">
        <v>28198</v>
      </c>
      <c r="G1837" t="s">
        <v>28207</v>
      </c>
      <c r="H1837" t="s">
        <v>28215</v>
      </c>
      <c r="I1837" t="s">
        <v>4219</v>
      </c>
      <c r="J1837" t="s">
        <v>29617</v>
      </c>
      <c r="K1837" t="s">
        <v>36706</v>
      </c>
      <c r="M1837" t="s">
        <v>37847</v>
      </c>
      <c r="N1837" t="s">
        <v>40436</v>
      </c>
      <c r="O1837" t="s">
        <v>40437</v>
      </c>
      <c r="P1837">
        <v>0</v>
      </c>
      <c r="Q1837">
        <v>0</v>
      </c>
      <c r="R1837" t="s">
        <v>40438</v>
      </c>
      <c r="S1837" t="s">
        <v>40582</v>
      </c>
      <c r="T1837" t="s">
        <v>42119</v>
      </c>
      <c r="U1837" t="s">
        <v>44229</v>
      </c>
      <c r="W1837" t="s">
        <v>55463</v>
      </c>
      <c r="X1837" t="s">
        <v>40439</v>
      </c>
    </row>
    <row r="1838" spans="1:24">
      <c r="A1838">
        <f>HYPERLINK("https://www.philgeps.gov.ph/GEPSNONPILOT/Tender/SplashBidNoticeAbstractUI.aspx?menuIndex=3&amp;refID=7049187&amp;Result=3","7049187")</f>
        <v>0</v>
      </c>
      <c r="B1838" t="s">
        <v>838</v>
      </c>
      <c r="C1838" t="s">
        <v>4856</v>
      </c>
      <c r="D1838" t="s">
        <v>16189</v>
      </c>
      <c r="E1838" t="s">
        <v>16874</v>
      </c>
      <c r="F1838" t="s">
        <v>28198</v>
      </c>
      <c r="G1838" t="s">
        <v>28205</v>
      </c>
      <c r="H1838" t="s">
        <v>28214</v>
      </c>
      <c r="I1838" t="s">
        <v>3797</v>
      </c>
      <c r="J1838" t="s">
        <v>28351</v>
      </c>
      <c r="K1838" t="s">
        <v>36737</v>
      </c>
      <c r="M1838" t="s">
        <v>37850</v>
      </c>
      <c r="N1838" t="s">
        <v>40436</v>
      </c>
      <c r="O1838" t="s">
        <v>40437</v>
      </c>
      <c r="P1838">
        <v>0</v>
      </c>
      <c r="Q1838">
        <v>0</v>
      </c>
      <c r="R1838" t="s">
        <v>40438</v>
      </c>
      <c r="S1838" t="s">
        <v>40582</v>
      </c>
      <c r="T1838" t="s">
        <v>42187</v>
      </c>
      <c r="U1838" t="s">
        <v>44230</v>
      </c>
      <c r="V1838" t="s">
        <v>53983</v>
      </c>
      <c r="W1838" t="s">
        <v>37850</v>
      </c>
      <c r="X1838" t="s">
        <v>40439</v>
      </c>
    </row>
    <row r="1839" spans="1:24">
      <c r="A1839">
        <f>HYPERLINK("https://www.philgeps.gov.ph/GEPSNONPILOT/Tender/SplashBidNoticeAbstractUI.aspx?menuIndex=3&amp;refID=7049190&amp;Result=3","7049190")</f>
        <v>0</v>
      </c>
      <c r="B1839" t="s">
        <v>759</v>
      </c>
      <c r="C1839" t="s">
        <v>4857</v>
      </c>
      <c r="D1839" t="s">
        <v>16196</v>
      </c>
      <c r="E1839" t="s">
        <v>17988</v>
      </c>
      <c r="F1839" t="s">
        <v>28198</v>
      </c>
      <c r="G1839" t="s">
        <v>28207</v>
      </c>
      <c r="H1839" t="s">
        <v>28215</v>
      </c>
      <c r="I1839" t="s">
        <v>3774</v>
      </c>
      <c r="J1839" t="s">
        <v>29618</v>
      </c>
      <c r="K1839" t="s">
        <v>36689</v>
      </c>
      <c r="M1839" t="s">
        <v>37762</v>
      </c>
      <c r="N1839" t="s">
        <v>40436</v>
      </c>
      <c r="O1839" t="s">
        <v>40437</v>
      </c>
      <c r="P1839">
        <v>0</v>
      </c>
      <c r="Q1839">
        <v>0</v>
      </c>
      <c r="R1839" t="s">
        <v>40438</v>
      </c>
      <c r="S1839" t="s">
        <v>40582</v>
      </c>
      <c r="T1839" t="s">
        <v>42124</v>
      </c>
      <c r="U1839" t="s">
        <v>44231</v>
      </c>
      <c r="W1839" t="s">
        <v>37762</v>
      </c>
      <c r="X1839" t="s">
        <v>40439</v>
      </c>
    </row>
    <row r="1840" spans="1:24">
      <c r="A1840">
        <f>HYPERLINK("https://www.philgeps.gov.ph/GEPSNONPILOT/Tender/SplashBidNoticeAbstractUI.aspx?menuIndex=3&amp;refID=7049217&amp;Result=3","7049217")</f>
        <v>0</v>
      </c>
      <c r="B1840" t="s">
        <v>839</v>
      </c>
      <c r="C1840" t="s">
        <v>4858</v>
      </c>
      <c r="D1840" t="s">
        <v>16265</v>
      </c>
      <c r="E1840" t="s">
        <v>16766</v>
      </c>
      <c r="F1840" t="s">
        <v>28198</v>
      </c>
      <c r="G1840" t="s">
        <v>28207</v>
      </c>
      <c r="H1840" t="s">
        <v>28215</v>
      </c>
      <c r="I1840" t="s">
        <v>28238</v>
      </c>
      <c r="J1840" t="s">
        <v>28519</v>
      </c>
      <c r="K1840" t="s">
        <v>36689</v>
      </c>
      <c r="M1840" t="s">
        <v>37851</v>
      </c>
      <c r="N1840" t="s">
        <v>40436</v>
      </c>
      <c r="O1840" t="s">
        <v>40437</v>
      </c>
      <c r="P1840">
        <v>0</v>
      </c>
      <c r="Q1840">
        <v>0</v>
      </c>
      <c r="R1840" t="s">
        <v>40438</v>
      </c>
      <c r="S1840" t="s">
        <v>40582</v>
      </c>
      <c r="T1840" t="s">
        <v>42124</v>
      </c>
      <c r="U1840" t="s">
        <v>44232</v>
      </c>
      <c r="W1840" t="s">
        <v>37851</v>
      </c>
      <c r="X1840" t="s">
        <v>40439</v>
      </c>
    </row>
    <row r="1841" spans="1:24">
      <c r="A1841">
        <f>HYPERLINK("https://www.philgeps.gov.ph/GEPSNONPILOT/Tender/SplashBidNoticeAbstractUI.aspx?menuIndex=3&amp;refID=7049197&amp;Result=3","7049197")</f>
        <v>0</v>
      </c>
      <c r="B1841" t="s">
        <v>768</v>
      </c>
      <c r="C1841" t="s">
        <v>4859</v>
      </c>
      <c r="D1841" t="s">
        <v>16196</v>
      </c>
      <c r="E1841" t="s">
        <v>17989</v>
      </c>
      <c r="F1841" t="s">
        <v>28198</v>
      </c>
      <c r="G1841" t="s">
        <v>28205</v>
      </c>
      <c r="H1841" t="s">
        <v>28214</v>
      </c>
      <c r="I1841" t="s">
        <v>28274</v>
      </c>
      <c r="J1841" t="s">
        <v>28430</v>
      </c>
      <c r="K1841" t="s">
        <v>36701</v>
      </c>
      <c r="M1841" t="s">
        <v>37771</v>
      </c>
      <c r="N1841" t="s">
        <v>40436</v>
      </c>
      <c r="O1841" t="s">
        <v>40437</v>
      </c>
      <c r="P1841">
        <v>0</v>
      </c>
      <c r="Q1841">
        <v>0</v>
      </c>
      <c r="R1841" t="s">
        <v>40438</v>
      </c>
      <c r="S1841" t="s">
        <v>40582</v>
      </c>
      <c r="T1841" t="s">
        <v>42149</v>
      </c>
      <c r="U1841" t="s">
        <v>44233</v>
      </c>
      <c r="W1841" t="s">
        <v>37771</v>
      </c>
      <c r="X1841" t="s">
        <v>40439</v>
      </c>
    </row>
    <row r="1842" spans="1:24">
      <c r="A1842">
        <f>HYPERLINK("https://www.philgeps.gov.ph/GEPSNONPILOT/Tender/SplashBidNoticeAbstractUI.aspx?menuIndex=3&amp;refID=7049202&amp;Result=3","7049202")</f>
        <v>0</v>
      </c>
      <c r="B1842" t="s">
        <v>556</v>
      </c>
      <c r="C1842" t="s">
        <v>4860</v>
      </c>
      <c r="E1842" t="s">
        <v>17990</v>
      </c>
      <c r="F1842" t="s">
        <v>28198</v>
      </c>
      <c r="G1842" t="s">
        <v>28207</v>
      </c>
      <c r="H1842" t="s">
        <v>28215</v>
      </c>
      <c r="I1842" t="s">
        <v>6013</v>
      </c>
      <c r="J1842" t="s">
        <v>29420</v>
      </c>
      <c r="K1842" t="s">
        <v>36689</v>
      </c>
      <c r="M1842" t="s">
        <v>37542</v>
      </c>
      <c r="N1842" t="s">
        <v>40436</v>
      </c>
      <c r="O1842" t="s">
        <v>40437</v>
      </c>
      <c r="P1842">
        <v>0</v>
      </c>
      <c r="Q1842">
        <v>1</v>
      </c>
      <c r="R1842" t="s">
        <v>40438</v>
      </c>
      <c r="S1842" t="s">
        <v>40582</v>
      </c>
      <c r="T1842" t="s">
        <v>42124</v>
      </c>
      <c r="U1842" t="s">
        <v>44234</v>
      </c>
      <c r="V1842" t="s">
        <v>53919</v>
      </c>
      <c r="W1842" t="s">
        <v>37542</v>
      </c>
      <c r="X1842" t="s">
        <v>40439</v>
      </c>
    </row>
    <row r="1843" spans="1:24">
      <c r="A1843">
        <f>HYPERLINK("https://www.philgeps.gov.ph/GEPSNONPILOT/Tender/SplashBidNoticeAbstractUI.aspx?menuIndex=3&amp;refID=7049213&amp;Result=3","7049213")</f>
        <v>0</v>
      </c>
      <c r="B1843" t="s">
        <v>840</v>
      </c>
      <c r="C1843" t="s">
        <v>4861</v>
      </c>
      <c r="E1843" t="s">
        <v>17991</v>
      </c>
      <c r="F1843" t="s">
        <v>28198</v>
      </c>
      <c r="G1843" t="s">
        <v>28207</v>
      </c>
      <c r="H1843" t="s">
        <v>28215</v>
      </c>
      <c r="I1843" t="s">
        <v>3422</v>
      </c>
      <c r="J1843" t="s">
        <v>29619</v>
      </c>
      <c r="K1843" t="s">
        <v>36689</v>
      </c>
      <c r="M1843" t="s">
        <v>37852</v>
      </c>
      <c r="N1843" t="s">
        <v>40436</v>
      </c>
      <c r="O1843" t="s">
        <v>40437</v>
      </c>
      <c r="P1843">
        <v>0</v>
      </c>
      <c r="Q1843">
        <v>1</v>
      </c>
      <c r="R1843" t="s">
        <v>40438</v>
      </c>
      <c r="S1843" t="s">
        <v>40582</v>
      </c>
      <c r="T1843" t="s">
        <v>42102</v>
      </c>
      <c r="U1843" t="s">
        <v>44235</v>
      </c>
      <c r="W1843" t="s">
        <v>37852</v>
      </c>
      <c r="X1843" t="s">
        <v>40439</v>
      </c>
    </row>
    <row r="1844" spans="1:24">
      <c r="A1844">
        <f>HYPERLINK("https://www.philgeps.gov.ph/GEPSNONPILOT/Tender/SplashBidNoticeAbstractUI.aspx?menuIndex=3&amp;refID=7049210&amp;Result=3","7049210")</f>
        <v>0</v>
      </c>
      <c r="B1844" t="s">
        <v>757</v>
      </c>
      <c r="C1844" t="s">
        <v>4862</v>
      </c>
      <c r="E1844" t="s">
        <v>17992</v>
      </c>
      <c r="F1844" t="s">
        <v>28198</v>
      </c>
      <c r="G1844" t="s">
        <v>28206</v>
      </c>
      <c r="H1844" t="s">
        <v>28215</v>
      </c>
      <c r="I1844" t="s">
        <v>28234</v>
      </c>
      <c r="J1844" t="s">
        <v>29620</v>
      </c>
      <c r="K1844" t="s">
        <v>36689</v>
      </c>
      <c r="M1844" t="s">
        <v>37760</v>
      </c>
      <c r="N1844" t="s">
        <v>40436</v>
      </c>
      <c r="O1844" t="s">
        <v>40437</v>
      </c>
      <c r="P1844">
        <v>0</v>
      </c>
      <c r="Q1844">
        <v>7</v>
      </c>
      <c r="R1844" t="s">
        <v>40438</v>
      </c>
      <c r="S1844" t="s">
        <v>40582</v>
      </c>
      <c r="T1844" t="s">
        <v>42124</v>
      </c>
      <c r="U1844" t="s">
        <v>44236</v>
      </c>
      <c r="W1844" t="s">
        <v>55460</v>
      </c>
      <c r="X1844" t="s">
        <v>40439</v>
      </c>
    </row>
    <row r="1845" spans="1:24">
      <c r="A1845">
        <f>HYPERLINK("https://www.philgeps.gov.ph/GEPSNONPILOT/Tender/SplashBidNoticeAbstractUI.aspx?menuIndex=3&amp;refID=7049215&amp;Result=3","7049215")</f>
        <v>0</v>
      </c>
      <c r="B1845" t="s">
        <v>748</v>
      </c>
      <c r="C1845" t="s">
        <v>4863</v>
      </c>
      <c r="D1845" t="s">
        <v>16203</v>
      </c>
      <c r="E1845" t="s">
        <v>17993</v>
      </c>
      <c r="F1845" t="s">
        <v>28198</v>
      </c>
      <c r="G1845" t="s">
        <v>28205</v>
      </c>
      <c r="H1845" t="s">
        <v>28215</v>
      </c>
      <c r="I1845" t="s">
        <v>28247</v>
      </c>
      <c r="J1845" t="s">
        <v>29621</v>
      </c>
      <c r="K1845" t="s">
        <v>36697</v>
      </c>
      <c r="M1845" t="s">
        <v>37751</v>
      </c>
      <c r="N1845" t="s">
        <v>40436</v>
      </c>
      <c r="O1845" t="s">
        <v>40437</v>
      </c>
      <c r="P1845">
        <v>0</v>
      </c>
      <c r="Q1845">
        <v>23</v>
      </c>
      <c r="R1845" t="s">
        <v>40438</v>
      </c>
      <c r="S1845" t="s">
        <v>40582</v>
      </c>
      <c r="T1845" t="s">
        <v>42289</v>
      </c>
      <c r="U1845" t="s">
        <v>44030</v>
      </c>
      <c r="V1845" t="s">
        <v>53964</v>
      </c>
      <c r="W1845" t="s">
        <v>37751</v>
      </c>
      <c r="X1845" t="s">
        <v>40439</v>
      </c>
    </row>
    <row r="1846" spans="1:24">
      <c r="A1846">
        <f>HYPERLINK("https://www.philgeps.gov.ph/GEPSNONPILOT/Tender/SplashBidNoticeAbstractUI.aspx?menuIndex=3&amp;refID=7049206&amp;Result=3","7049206")</f>
        <v>0</v>
      </c>
      <c r="B1846" t="s">
        <v>410</v>
      </c>
      <c r="C1846" t="s">
        <v>4864</v>
      </c>
      <c r="D1846" t="s">
        <v>16200</v>
      </c>
      <c r="E1846" t="s">
        <v>17966</v>
      </c>
      <c r="F1846" t="s">
        <v>28198</v>
      </c>
      <c r="G1846" t="s">
        <v>28205</v>
      </c>
      <c r="H1846" t="s">
        <v>28214</v>
      </c>
      <c r="I1846" t="s">
        <v>3797</v>
      </c>
      <c r="J1846" t="s">
        <v>28398</v>
      </c>
      <c r="K1846" t="s">
        <v>36708</v>
      </c>
      <c r="L1846" t="s">
        <v>410</v>
      </c>
      <c r="M1846" t="s">
        <v>37392</v>
      </c>
      <c r="N1846" t="s">
        <v>40436</v>
      </c>
      <c r="O1846" t="s">
        <v>40437</v>
      </c>
      <c r="P1846">
        <v>0</v>
      </c>
      <c r="Q1846">
        <v>1</v>
      </c>
      <c r="R1846" t="s">
        <v>40438</v>
      </c>
      <c r="S1846" t="s">
        <v>40582</v>
      </c>
      <c r="T1846" t="s">
        <v>42122</v>
      </c>
      <c r="U1846" t="s">
        <v>44237</v>
      </c>
      <c r="W1846" t="s">
        <v>37392</v>
      </c>
      <c r="X1846" t="s">
        <v>40439</v>
      </c>
    </row>
    <row r="1847" spans="1:24">
      <c r="A1847">
        <f>HYPERLINK("https://www.philgeps.gov.ph/GEPSNONPILOT/Tender/SplashBidNoticeAbstractUI.aspx?menuIndex=3&amp;refID=7049214&amp;Result=3","7049214")</f>
        <v>0</v>
      </c>
      <c r="B1847" t="s">
        <v>785</v>
      </c>
      <c r="C1847" t="s">
        <v>4865</v>
      </c>
      <c r="E1847" t="s">
        <v>17994</v>
      </c>
      <c r="F1847" t="s">
        <v>28198</v>
      </c>
      <c r="G1847" t="s">
        <v>28205</v>
      </c>
      <c r="H1847" t="s">
        <v>28215</v>
      </c>
      <c r="I1847" t="s">
        <v>28220</v>
      </c>
      <c r="J1847" t="s">
        <v>28351</v>
      </c>
      <c r="K1847" t="s">
        <v>36689</v>
      </c>
      <c r="M1847" t="s">
        <v>37816</v>
      </c>
      <c r="N1847" t="s">
        <v>40436</v>
      </c>
      <c r="O1847" t="s">
        <v>40437</v>
      </c>
      <c r="P1847">
        <v>0</v>
      </c>
      <c r="Q1847">
        <v>8</v>
      </c>
      <c r="R1847" t="s">
        <v>40438</v>
      </c>
      <c r="S1847" t="s">
        <v>40582</v>
      </c>
      <c r="T1847" t="s">
        <v>42286</v>
      </c>
      <c r="U1847" t="s">
        <v>44155</v>
      </c>
      <c r="W1847" t="s">
        <v>37816</v>
      </c>
      <c r="X1847" t="s">
        <v>40439</v>
      </c>
    </row>
    <row r="1848" spans="1:24">
      <c r="A1848">
        <f>HYPERLINK("https://www.philgeps.gov.ph/GEPSNONPILOT/Tender/SplashBidNoticeAbstractUI.aspx?menuIndex=3&amp;refID=7049212&amp;Result=3","7049212")</f>
        <v>0</v>
      </c>
      <c r="B1848" t="s">
        <v>810</v>
      </c>
      <c r="C1848" t="s">
        <v>4866</v>
      </c>
      <c r="D1848" t="s">
        <v>16215</v>
      </c>
      <c r="E1848" t="s">
        <v>17995</v>
      </c>
      <c r="F1848" t="s">
        <v>28198</v>
      </c>
      <c r="G1848" t="s">
        <v>28205</v>
      </c>
      <c r="H1848" t="s">
        <v>28214</v>
      </c>
      <c r="I1848" t="s">
        <v>5100</v>
      </c>
      <c r="J1848" t="s">
        <v>28361</v>
      </c>
      <c r="K1848" t="s">
        <v>36701</v>
      </c>
      <c r="M1848" t="s">
        <v>37820</v>
      </c>
      <c r="N1848" t="s">
        <v>40436</v>
      </c>
      <c r="O1848" t="s">
        <v>40437</v>
      </c>
      <c r="P1848">
        <v>0</v>
      </c>
      <c r="Q1848">
        <v>0</v>
      </c>
      <c r="R1848" t="s">
        <v>40438</v>
      </c>
      <c r="S1848" t="s">
        <v>40582</v>
      </c>
      <c r="T1848" t="s">
        <v>42153</v>
      </c>
      <c r="U1848" t="s">
        <v>44161</v>
      </c>
      <c r="V1848" t="s">
        <v>53984</v>
      </c>
      <c r="W1848" t="s">
        <v>37820</v>
      </c>
      <c r="X1848" t="s">
        <v>40439</v>
      </c>
    </row>
    <row r="1849" spans="1:24">
      <c r="A1849">
        <f>HYPERLINK("https://www.philgeps.gov.ph/GEPSNONPILOT/Tender/SplashBidNoticeAbstractUI.aspx?menuIndex=3&amp;refID=7049209&amp;Result=3","7049209")</f>
        <v>0</v>
      </c>
      <c r="B1849" t="s">
        <v>841</v>
      </c>
      <c r="C1849" t="s">
        <v>4867</v>
      </c>
      <c r="D1849" t="s">
        <v>16200</v>
      </c>
      <c r="E1849" t="s">
        <v>17996</v>
      </c>
      <c r="F1849" t="s">
        <v>28198</v>
      </c>
      <c r="G1849" t="s">
        <v>28207</v>
      </c>
      <c r="H1849" t="s">
        <v>28216</v>
      </c>
      <c r="I1849" t="s">
        <v>28216</v>
      </c>
      <c r="J1849" t="s">
        <v>28430</v>
      </c>
      <c r="K1849" t="s">
        <v>36705</v>
      </c>
      <c r="M1849" t="s">
        <v>37853</v>
      </c>
      <c r="N1849" t="s">
        <v>40436</v>
      </c>
      <c r="O1849" t="s">
        <v>40437</v>
      </c>
      <c r="P1849">
        <v>0</v>
      </c>
      <c r="Q1849">
        <v>0</v>
      </c>
      <c r="R1849" t="s">
        <v>40438</v>
      </c>
      <c r="S1849" t="s">
        <v>40582</v>
      </c>
      <c r="T1849" t="s">
        <v>42103</v>
      </c>
      <c r="U1849" t="s">
        <v>44238</v>
      </c>
      <c r="V1849" t="s">
        <v>53985</v>
      </c>
      <c r="W1849" t="s">
        <v>37853</v>
      </c>
      <c r="X1849" t="s">
        <v>40439</v>
      </c>
    </row>
    <row r="1850" spans="1:24">
      <c r="A1850">
        <f>HYPERLINK("https://www.philgeps.gov.ph/GEPSNONPILOT/Tender/SplashBidNoticeAbstractUI.aspx?menuIndex=3&amp;refID=7049207&amp;Result=3","7049207")</f>
        <v>0</v>
      </c>
      <c r="B1850" t="s">
        <v>824</v>
      </c>
      <c r="C1850" t="s">
        <v>4868</v>
      </c>
      <c r="D1850" t="s">
        <v>16210</v>
      </c>
      <c r="E1850" t="s">
        <v>17997</v>
      </c>
      <c r="F1850" t="s">
        <v>28198</v>
      </c>
      <c r="G1850" t="s">
        <v>28207</v>
      </c>
      <c r="H1850" t="s">
        <v>28215</v>
      </c>
      <c r="I1850" t="s">
        <v>5791</v>
      </c>
      <c r="J1850" t="s">
        <v>29622</v>
      </c>
      <c r="K1850" t="s">
        <v>36691</v>
      </c>
      <c r="M1850" t="s">
        <v>37836</v>
      </c>
      <c r="N1850" t="s">
        <v>40436</v>
      </c>
      <c r="O1850" t="s">
        <v>40437</v>
      </c>
      <c r="P1850">
        <v>0</v>
      </c>
      <c r="Q1850">
        <v>0</v>
      </c>
      <c r="R1850" t="s">
        <v>40438</v>
      </c>
      <c r="S1850" t="s">
        <v>40582</v>
      </c>
      <c r="T1850" t="s">
        <v>42111</v>
      </c>
      <c r="U1850" t="s">
        <v>44239</v>
      </c>
      <c r="W1850" t="s">
        <v>37836</v>
      </c>
      <c r="X1850" t="s">
        <v>40439</v>
      </c>
    </row>
    <row r="1851" spans="1:24">
      <c r="A1851">
        <f>HYPERLINK("https://www.philgeps.gov.ph/GEPSNONPILOT/Tender/SplashBidNoticeAbstractUI.aspx?menuIndex=3&amp;refID=7049224&amp;Result=3","7049224")</f>
        <v>0</v>
      </c>
      <c r="B1851" t="s">
        <v>842</v>
      </c>
      <c r="C1851" t="s">
        <v>4869</v>
      </c>
      <c r="D1851" t="s">
        <v>16239</v>
      </c>
      <c r="E1851" t="s">
        <v>17998</v>
      </c>
      <c r="F1851" t="s">
        <v>28198</v>
      </c>
      <c r="G1851" t="s">
        <v>28206</v>
      </c>
      <c r="H1851" t="s">
        <v>28215</v>
      </c>
      <c r="I1851" t="s">
        <v>4200</v>
      </c>
      <c r="J1851" t="s">
        <v>29623</v>
      </c>
      <c r="K1851" t="s">
        <v>36689</v>
      </c>
      <c r="M1851" t="s">
        <v>37854</v>
      </c>
      <c r="N1851" t="s">
        <v>40436</v>
      </c>
      <c r="O1851" t="s">
        <v>40437</v>
      </c>
      <c r="P1851">
        <v>0</v>
      </c>
      <c r="Q1851">
        <v>5</v>
      </c>
      <c r="R1851" t="s">
        <v>40438</v>
      </c>
      <c r="S1851" t="s">
        <v>40582</v>
      </c>
      <c r="T1851" t="s">
        <v>42124</v>
      </c>
      <c r="U1851" t="s">
        <v>44240</v>
      </c>
      <c r="V1851" t="s">
        <v>53986</v>
      </c>
      <c r="W1851" t="s">
        <v>37854</v>
      </c>
      <c r="X1851" t="s">
        <v>40439</v>
      </c>
    </row>
    <row r="1852" spans="1:24">
      <c r="A1852">
        <f>HYPERLINK("https://www.philgeps.gov.ph/GEPSNONPILOT/Tender/SplashBidNoticeAbstractUI.aspx?menuIndex=3&amp;refID=7049208&amp;Result=3","7049208")</f>
        <v>0</v>
      </c>
      <c r="B1852" t="s">
        <v>593</v>
      </c>
      <c r="C1852" t="s">
        <v>4870</v>
      </c>
      <c r="D1852" t="s">
        <v>16187</v>
      </c>
      <c r="E1852" t="s">
        <v>17999</v>
      </c>
      <c r="F1852" t="s">
        <v>28198</v>
      </c>
      <c r="G1852" t="s">
        <v>28207</v>
      </c>
      <c r="H1852" t="s">
        <v>28215</v>
      </c>
      <c r="I1852" t="s">
        <v>28255</v>
      </c>
      <c r="J1852" t="s">
        <v>29624</v>
      </c>
      <c r="K1852" t="s">
        <v>36701</v>
      </c>
      <c r="M1852" t="s">
        <v>37810</v>
      </c>
      <c r="N1852" t="s">
        <v>40436</v>
      </c>
      <c r="O1852" t="s">
        <v>40437</v>
      </c>
      <c r="P1852">
        <v>0</v>
      </c>
      <c r="Q1852">
        <v>0</v>
      </c>
      <c r="R1852" t="s">
        <v>40438</v>
      </c>
      <c r="S1852" t="s">
        <v>40582</v>
      </c>
      <c r="T1852" t="s">
        <v>42134</v>
      </c>
      <c r="U1852" t="s">
        <v>44146</v>
      </c>
      <c r="V1852" t="s">
        <v>53977</v>
      </c>
      <c r="W1852" t="s">
        <v>37810</v>
      </c>
      <c r="X1852" t="s">
        <v>40439</v>
      </c>
    </row>
    <row r="1853" spans="1:24">
      <c r="A1853">
        <f>HYPERLINK("https://www.philgeps.gov.ph/GEPSNONPILOT/Tender/SplashBidNoticeAbstractUI.aspx?menuIndex=3&amp;refID=7049188&amp;Result=3","7049188")</f>
        <v>0</v>
      </c>
      <c r="B1853" t="s">
        <v>361</v>
      </c>
      <c r="C1853" t="s">
        <v>4871</v>
      </c>
      <c r="D1853" t="s">
        <v>16236</v>
      </c>
      <c r="E1853" t="s">
        <v>18000</v>
      </c>
      <c r="F1853" t="s">
        <v>28198</v>
      </c>
      <c r="G1853" t="s">
        <v>28207</v>
      </c>
      <c r="H1853" t="s">
        <v>28215</v>
      </c>
      <c r="I1853" t="s">
        <v>3422</v>
      </c>
      <c r="J1853" t="s">
        <v>29036</v>
      </c>
      <c r="K1853" t="s">
        <v>36689</v>
      </c>
      <c r="M1853" t="s">
        <v>37340</v>
      </c>
      <c r="N1853" t="s">
        <v>40436</v>
      </c>
      <c r="O1853" t="s">
        <v>40437</v>
      </c>
      <c r="P1853">
        <v>0</v>
      </c>
      <c r="Q1853">
        <v>1</v>
      </c>
      <c r="R1853" t="s">
        <v>40438</v>
      </c>
      <c r="S1853" t="s">
        <v>40582</v>
      </c>
      <c r="T1853" t="s">
        <v>42119</v>
      </c>
      <c r="U1853" t="s">
        <v>44241</v>
      </c>
      <c r="V1853" t="s">
        <v>53826</v>
      </c>
      <c r="W1853" t="s">
        <v>37340</v>
      </c>
      <c r="X1853" t="s">
        <v>40439</v>
      </c>
    </row>
    <row r="1854" spans="1:24">
      <c r="A1854">
        <f>HYPERLINK("https://www.philgeps.gov.ph/GEPSNONPILOT/Tender/SplashBidNoticeAbstractUI.aspx?menuIndex=3&amp;refID=7049218&amp;Result=3","7049218")</f>
        <v>0</v>
      </c>
      <c r="B1854" t="s">
        <v>772</v>
      </c>
      <c r="C1854" t="s">
        <v>4872</v>
      </c>
      <c r="D1854" t="s">
        <v>16238</v>
      </c>
      <c r="E1854" t="s">
        <v>18001</v>
      </c>
      <c r="F1854" t="s">
        <v>28198</v>
      </c>
      <c r="G1854" t="s">
        <v>28207</v>
      </c>
      <c r="H1854" t="s">
        <v>28215</v>
      </c>
      <c r="I1854" t="s">
        <v>28224</v>
      </c>
      <c r="J1854" t="s">
        <v>29625</v>
      </c>
      <c r="K1854" t="s">
        <v>36707</v>
      </c>
      <c r="M1854" t="s">
        <v>37775</v>
      </c>
      <c r="N1854" t="s">
        <v>40436</v>
      </c>
      <c r="O1854" t="s">
        <v>40437</v>
      </c>
      <c r="P1854">
        <v>0</v>
      </c>
      <c r="Q1854">
        <v>1</v>
      </c>
      <c r="R1854" t="s">
        <v>40438</v>
      </c>
      <c r="S1854" t="s">
        <v>40582</v>
      </c>
      <c r="T1854" t="s">
        <v>42159</v>
      </c>
      <c r="U1854" t="s">
        <v>44242</v>
      </c>
      <c r="V1854" t="s">
        <v>53921</v>
      </c>
      <c r="W1854" t="s">
        <v>37775</v>
      </c>
      <c r="X1854" t="s">
        <v>40439</v>
      </c>
    </row>
    <row r="1855" spans="1:24">
      <c r="A1855">
        <f>HYPERLINK("https://www.philgeps.gov.ph/GEPSNONPILOT/Tender/SplashBidNoticeAbstractUI.aspx?menuIndex=3&amp;refID=7049219&amp;Result=3","7049219")</f>
        <v>0</v>
      </c>
      <c r="B1855" t="s">
        <v>843</v>
      </c>
      <c r="C1855" t="s">
        <v>4873</v>
      </c>
      <c r="D1855" t="s">
        <v>16210</v>
      </c>
      <c r="E1855" t="s">
        <v>18002</v>
      </c>
      <c r="F1855" t="s">
        <v>28198</v>
      </c>
      <c r="G1855" t="s">
        <v>28207</v>
      </c>
      <c r="H1855" t="s">
        <v>28215</v>
      </c>
      <c r="I1855" t="s">
        <v>28234</v>
      </c>
      <c r="J1855" t="s">
        <v>28352</v>
      </c>
      <c r="K1855" t="s">
        <v>36701</v>
      </c>
      <c r="M1855" t="s">
        <v>37855</v>
      </c>
      <c r="N1855" t="s">
        <v>40436</v>
      </c>
      <c r="O1855" t="s">
        <v>40437</v>
      </c>
      <c r="P1855">
        <v>0</v>
      </c>
      <c r="Q1855">
        <v>4</v>
      </c>
      <c r="R1855" t="s">
        <v>40438</v>
      </c>
      <c r="S1855" t="s">
        <v>40582</v>
      </c>
      <c r="T1855" t="s">
        <v>42266</v>
      </c>
      <c r="U1855" t="s">
        <v>44243</v>
      </c>
      <c r="W1855" t="s">
        <v>37855</v>
      </c>
      <c r="X1855" t="s">
        <v>40439</v>
      </c>
    </row>
    <row r="1856" spans="1:24">
      <c r="A1856">
        <f>HYPERLINK("https://www.philgeps.gov.ph/GEPSNONPILOT/Tender/SplashBidNoticeAbstractUI.aspx?menuIndex=3&amp;refID=7049205&amp;Result=3","7049205")</f>
        <v>0</v>
      </c>
      <c r="B1856" t="s">
        <v>820</v>
      </c>
      <c r="C1856" t="s">
        <v>4874</v>
      </c>
      <c r="D1856" t="s">
        <v>16255</v>
      </c>
      <c r="E1856" t="s">
        <v>18003</v>
      </c>
      <c r="F1856" t="s">
        <v>28198</v>
      </c>
      <c r="G1856" t="s">
        <v>28207</v>
      </c>
      <c r="H1856" t="s">
        <v>28215</v>
      </c>
      <c r="I1856" t="s">
        <v>5100</v>
      </c>
      <c r="J1856" t="s">
        <v>29626</v>
      </c>
      <c r="K1856" t="s">
        <v>36688</v>
      </c>
      <c r="M1856" t="s">
        <v>37832</v>
      </c>
      <c r="N1856" t="s">
        <v>40436</v>
      </c>
      <c r="O1856" t="s">
        <v>40437</v>
      </c>
      <c r="P1856">
        <v>0</v>
      </c>
      <c r="Q1856">
        <v>0</v>
      </c>
      <c r="R1856" t="s">
        <v>40438</v>
      </c>
      <c r="S1856" t="s">
        <v>40582</v>
      </c>
      <c r="T1856" t="s">
        <v>42103</v>
      </c>
      <c r="U1856" t="s">
        <v>44244</v>
      </c>
      <c r="W1856" t="s">
        <v>37832</v>
      </c>
      <c r="X1856" t="s">
        <v>40439</v>
      </c>
    </row>
    <row r="1857" spans="1:24">
      <c r="A1857">
        <f>HYPERLINK("https://www.philgeps.gov.ph/GEPSNONPILOT/Tender/SplashBidNoticeAbstractUI.aspx?menuIndex=3&amp;refID=7049223&amp;Result=3","7049223")</f>
        <v>0</v>
      </c>
      <c r="B1857" t="s">
        <v>759</v>
      </c>
      <c r="C1857" t="s">
        <v>4875</v>
      </c>
      <c r="D1857" t="s">
        <v>16196</v>
      </c>
      <c r="E1857" t="s">
        <v>18004</v>
      </c>
      <c r="F1857" t="s">
        <v>28198</v>
      </c>
      <c r="G1857" t="s">
        <v>28207</v>
      </c>
      <c r="H1857" t="s">
        <v>28215</v>
      </c>
      <c r="I1857" t="s">
        <v>28227</v>
      </c>
      <c r="J1857" t="s">
        <v>29627</v>
      </c>
      <c r="K1857" t="s">
        <v>36689</v>
      </c>
      <c r="M1857" t="s">
        <v>37762</v>
      </c>
      <c r="N1857" t="s">
        <v>40436</v>
      </c>
      <c r="O1857" t="s">
        <v>40437</v>
      </c>
      <c r="P1857">
        <v>0</v>
      </c>
      <c r="Q1857">
        <v>0</v>
      </c>
      <c r="R1857" t="s">
        <v>40438</v>
      </c>
      <c r="S1857" t="s">
        <v>40582</v>
      </c>
      <c r="T1857" t="s">
        <v>42124</v>
      </c>
      <c r="U1857" t="s">
        <v>44245</v>
      </c>
      <c r="W1857" t="s">
        <v>37762</v>
      </c>
      <c r="X1857" t="s">
        <v>40439</v>
      </c>
    </row>
    <row r="1858" spans="1:24">
      <c r="A1858">
        <f>HYPERLINK("https://www.philgeps.gov.ph/GEPSNONPILOT/Tender/SplashBidNoticeAbstractUI.aspx?menuIndex=3&amp;refID=7049225&amp;Result=3","7049225")</f>
        <v>0</v>
      </c>
      <c r="B1858" t="s">
        <v>820</v>
      </c>
      <c r="C1858" t="s">
        <v>4876</v>
      </c>
      <c r="D1858" t="s">
        <v>16255</v>
      </c>
      <c r="E1858" t="s">
        <v>18005</v>
      </c>
      <c r="F1858" t="s">
        <v>28198</v>
      </c>
      <c r="G1858" t="s">
        <v>28207</v>
      </c>
      <c r="H1858" t="s">
        <v>28215</v>
      </c>
      <c r="I1858" t="s">
        <v>5100</v>
      </c>
      <c r="J1858" t="s">
        <v>29628</v>
      </c>
      <c r="K1858" t="s">
        <v>36688</v>
      </c>
      <c r="M1858" t="s">
        <v>37832</v>
      </c>
      <c r="N1858" t="s">
        <v>40436</v>
      </c>
      <c r="O1858" t="s">
        <v>40437</v>
      </c>
      <c r="P1858">
        <v>0</v>
      </c>
      <c r="Q1858">
        <v>0</v>
      </c>
      <c r="R1858" t="s">
        <v>40438</v>
      </c>
      <c r="S1858" t="s">
        <v>40582</v>
      </c>
      <c r="T1858" t="s">
        <v>42103</v>
      </c>
      <c r="U1858" t="s">
        <v>44246</v>
      </c>
      <c r="W1858" t="s">
        <v>37832</v>
      </c>
      <c r="X1858" t="s">
        <v>40439</v>
      </c>
    </row>
    <row r="1859" spans="1:24">
      <c r="A1859">
        <f>HYPERLINK("https://www.philgeps.gov.ph/GEPSNONPILOT/Tender/SplashBidNoticeAbstractUI.aspx?menuIndex=3&amp;refID=7049204&amp;Result=3","7049204")</f>
        <v>0</v>
      </c>
      <c r="B1859" t="s">
        <v>806</v>
      </c>
      <c r="C1859" t="s">
        <v>4877</v>
      </c>
      <c r="D1859" t="s">
        <v>16188</v>
      </c>
      <c r="E1859" t="s">
        <v>18006</v>
      </c>
      <c r="F1859" t="s">
        <v>28198</v>
      </c>
      <c r="G1859" t="s">
        <v>28205</v>
      </c>
      <c r="H1859" t="s">
        <v>28214</v>
      </c>
      <c r="I1859" t="s">
        <v>3797</v>
      </c>
      <c r="J1859" t="s">
        <v>28390</v>
      </c>
      <c r="K1859" t="s">
        <v>36694</v>
      </c>
      <c r="M1859" t="s">
        <v>37814</v>
      </c>
      <c r="N1859" t="s">
        <v>40436</v>
      </c>
      <c r="O1859" t="s">
        <v>40437</v>
      </c>
      <c r="P1859">
        <v>0</v>
      </c>
      <c r="Q1859">
        <v>0</v>
      </c>
      <c r="R1859" t="s">
        <v>40438</v>
      </c>
      <c r="S1859" t="s">
        <v>40582</v>
      </c>
      <c r="T1859" t="s">
        <v>42188</v>
      </c>
      <c r="U1859" t="s">
        <v>44152</v>
      </c>
      <c r="W1859" t="s">
        <v>37814</v>
      </c>
      <c r="X1859" t="s">
        <v>40439</v>
      </c>
    </row>
    <row r="1860" spans="1:24">
      <c r="A1860">
        <f>HYPERLINK("https://www.philgeps.gov.ph/GEPSNONPILOT/Tender/SplashBidNoticeAbstractUI.aspx?menuIndex=3&amp;refID=7049237&amp;Result=3","7049237")</f>
        <v>0</v>
      </c>
      <c r="B1860" t="s">
        <v>844</v>
      </c>
      <c r="C1860" t="s">
        <v>4878</v>
      </c>
      <c r="D1860" t="s">
        <v>16210</v>
      </c>
      <c r="E1860" t="s">
        <v>18007</v>
      </c>
      <c r="F1860" t="s">
        <v>28198</v>
      </c>
      <c r="G1860" t="s">
        <v>28207</v>
      </c>
      <c r="H1860" t="s">
        <v>28215</v>
      </c>
      <c r="I1860" t="s">
        <v>28230</v>
      </c>
      <c r="J1860" t="s">
        <v>29629</v>
      </c>
      <c r="K1860" t="s">
        <v>36701</v>
      </c>
      <c r="M1860" t="s">
        <v>37856</v>
      </c>
      <c r="N1860" t="s">
        <v>40436</v>
      </c>
      <c r="O1860" t="s">
        <v>40437</v>
      </c>
      <c r="P1860">
        <v>0</v>
      </c>
      <c r="Q1860">
        <v>1</v>
      </c>
      <c r="R1860" t="s">
        <v>40438</v>
      </c>
      <c r="S1860" t="s">
        <v>40582</v>
      </c>
      <c r="T1860" t="s">
        <v>42103</v>
      </c>
      <c r="U1860" t="s">
        <v>44247</v>
      </c>
      <c r="W1860" t="s">
        <v>37856</v>
      </c>
      <c r="X1860" t="s">
        <v>40439</v>
      </c>
    </row>
    <row r="1861" spans="1:24">
      <c r="A1861">
        <f>HYPERLINK("https://www.philgeps.gov.ph/GEPSNONPILOT/Tender/SplashBidNoticeAbstractUI.aspx?menuIndex=3&amp;refID=7049221&amp;Result=3","7049221")</f>
        <v>0</v>
      </c>
      <c r="B1861" t="s">
        <v>834</v>
      </c>
      <c r="C1861" t="s">
        <v>4879</v>
      </c>
      <c r="D1861" t="s">
        <v>16190</v>
      </c>
      <c r="E1861" t="s">
        <v>18008</v>
      </c>
      <c r="F1861" t="s">
        <v>28198</v>
      </c>
      <c r="G1861" t="s">
        <v>28207</v>
      </c>
      <c r="H1861" t="s">
        <v>28215</v>
      </c>
      <c r="I1861" t="s">
        <v>4222</v>
      </c>
      <c r="J1861" t="s">
        <v>28345</v>
      </c>
      <c r="K1861" t="s">
        <v>36706</v>
      </c>
      <c r="M1861" t="s">
        <v>37846</v>
      </c>
      <c r="N1861" t="s">
        <v>40436</v>
      </c>
      <c r="O1861" t="s">
        <v>40437</v>
      </c>
      <c r="P1861">
        <v>0</v>
      </c>
      <c r="Q1861">
        <v>0</v>
      </c>
      <c r="R1861" t="s">
        <v>40438</v>
      </c>
      <c r="S1861" t="s">
        <v>40582</v>
      </c>
      <c r="T1861" t="s">
        <v>42111</v>
      </c>
      <c r="U1861" t="s">
        <v>44248</v>
      </c>
      <c r="W1861" t="s">
        <v>37846</v>
      </c>
      <c r="X1861" t="s">
        <v>40439</v>
      </c>
    </row>
    <row r="1862" spans="1:24">
      <c r="A1862">
        <f>HYPERLINK("https://www.philgeps.gov.ph/GEPSNONPILOT/Tender/SplashBidNoticeAbstractUI.aspx?menuIndex=3&amp;refID=7049203&amp;Result=3","7049203")</f>
        <v>0</v>
      </c>
      <c r="B1862" t="s">
        <v>845</v>
      </c>
      <c r="C1862" t="s">
        <v>4880</v>
      </c>
      <c r="D1862" t="s">
        <v>16241</v>
      </c>
      <c r="E1862" t="s">
        <v>18009</v>
      </c>
      <c r="F1862" t="s">
        <v>28198</v>
      </c>
      <c r="G1862" t="s">
        <v>28207</v>
      </c>
      <c r="H1862" t="s">
        <v>28215</v>
      </c>
      <c r="I1862" t="s">
        <v>4168</v>
      </c>
      <c r="J1862" t="s">
        <v>29455</v>
      </c>
      <c r="K1862" t="s">
        <v>36688</v>
      </c>
      <c r="M1862" t="s">
        <v>37857</v>
      </c>
      <c r="N1862" t="s">
        <v>40436</v>
      </c>
      <c r="O1862" t="s">
        <v>40437</v>
      </c>
      <c r="P1862">
        <v>0</v>
      </c>
      <c r="Q1862">
        <v>2</v>
      </c>
      <c r="R1862" t="s">
        <v>40438</v>
      </c>
      <c r="S1862" t="s">
        <v>40582</v>
      </c>
      <c r="T1862" t="s">
        <v>42160</v>
      </c>
      <c r="U1862" t="s">
        <v>44249</v>
      </c>
      <c r="W1862" t="s">
        <v>37857</v>
      </c>
      <c r="X1862" t="s">
        <v>40439</v>
      </c>
    </row>
    <row r="1863" spans="1:24">
      <c r="A1863">
        <f>HYPERLINK("https://www.philgeps.gov.ph/GEPSNONPILOT/Tender/SplashBidNoticeAbstractUI.aspx?menuIndex=3&amp;refID=7049235&amp;Result=3","7049235")</f>
        <v>0</v>
      </c>
      <c r="B1863" t="s">
        <v>746</v>
      </c>
      <c r="C1863" t="s">
        <v>4849</v>
      </c>
      <c r="D1863" t="s">
        <v>16209</v>
      </c>
      <c r="E1863" t="s">
        <v>18010</v>
      </c>
      <c r="F1863" t="s">
        <v>28198</v>
      </c>
      <c r="G1863" t="s">
        <v>28207</v>
      </c>
      <c r="H1863" t="s">
        <v>28215</v>
      </c>
      <c r="I1863" t="s">
        <v>28312</v>
      </c>
      <c r="J1863" t="s">
        <v>28406</v>
      </c>
      <c r="K1863" t="s">
        <v>36688</v>
      </c>
      <c r="M1863" t="s">
        <v>37749</v>
      </c>
      <c r="N1863" t="s">
        <v>40436</v>
      </c>
      <c r="O1863" t="s">
        <v>40437</v>
      </c>
      <c r="P1863">
        <v>0</v>
      </c>
      <c r="Q1863">
        <v>0</v>
      </c>
      <c r="R1863" t="s">
        <v>40438</v>
      </c>
      <c r="S1863" t="s">
        <v>40582</v>
      </c>
      <c r="T1863" t="s">
        <v>42290</v>
      </c>
      <c r="U1863" t="s">
        <v>44250</v>
      </c>
      <c r="W1863" t="s">
        <v>37749</v>
      </c>
      <c r="X1863" t="s">
        <v>40439</v>
      </c>
    </row>
    <row r="1864" spans="1:24">
      <c r="A1864">
        <f>HYPERLINK("https://www.philgeps.gov.ph/GEPSNONPILOT/Tender/SplashBidNoticeAbstractUI.aspx?menuIndex=3&amp;refID=7049234&amp;Result=3","7049234")</f>
        <v>0</v>
      </c>
      <c r="B1864" t="s">
        <v>810</v>
      </c>
      <c r="C1864" t="s">
        <v>4881</v>
      </c>
      <c r="D1864" t="s">
        <v>16215</v>
      </c>
      <c r="E1864" t="s">
        <v>18011</v>
      </c>
      <c r="F1864" t="s">
        <v>28198</v>
      </c>
      <c r="G1864" t="s">
        <v>28205</v>
      </c>
      <c r="H1864" t="s">
        <v>28214</v>
      </c>
      <c r="I1864" t="s">
        <v>5100</v>
      </c>
      <c r="J1864" t="s">
        <v>28361</v>
      </c>
      <c r="K1864" t="s">
        <v>36701</v>
      </c>
      <c r="M1864" t="s">
        <v>37820</v>
      </c>
      <c r="N1864" t="s">
        <v>40436</v>
      </c>
      <c r="O1864" t="s">
        <v>40437</v>
      </c>
      <c r="P1864">
        <v>0</v>
      </c>
      <c r="Q1864">
        <v>0</v>
      </c>
      <c r="R1864" t="s">
        <v>40438</v>
      </c>
      <c r="S1864" t="s">
        <v>40582</v>
      </c>
      <c r="T1864" t="s">
        <v>42097</v>
      </c>
      <c r="U1864" t="s">
        <v>44161</v>
      </c>
      <c r="V1864" t="s">
        <v>53987</v>
      </c>
      <c r="W1864" t="s">
        <v>37820</v>
      </c>
      <c r="X1864" t="s">
        <v>40439</v>
      </c>
    </row>
    <row r="1865" spans="1:24">
      <c r="A1865">
        <f>HYPERLINK("https://www.philgeps.gov.ph/GEPSNONPILOT/Tender/SplashBidNoticeAbstractUI.aspx?menuIndex=3&amp;refID=7049220&amp;Result=3","7049220")</f>
        <v>0</v>
      </c>
      <c r="B1865" t="s">
        <v>827</v>
      </c>
      <c r="C1865" t="s">
        <v>4882</v>
      </c>
      <c r="D1865" t="s">
        <v>16209</v>
      </c>
      <c r="E1865" t="s">
        <v>18012</v>
      </c>
      <c r="F1865" t="s">
        <v>28198</v>
      </c>
      <c r="G1865" t="s">
        <v>28207</v>
      </c>
      <c r="H1865" t="s">
        <v>28215</v>
      </c>
      <c r="I1865" t="s">
        <v>28243</v>
      </c>
      <c r="J1865" t="s">
        <v>28430</v>
      </c>
      <c r="K1865" t="s">
        <v>36715</v>
      </c>
      <c r="M1865" t="s">
        <v>37839</v>
      </c>
      <c r="N1865" t="s">
        <v>40436</v>
      </c>
      <c r="O1865" t="s">
        <v>40437</v>
      </c>
      <c r="P1865">
        <v>0</v>
      </c>
      <c r="Q1865">
        <v>4</v>
      </c>
      <c r="R1865" t="s">
        <v>40438</v>
      </c>
      <c r="S1865" t="s">
        <v>40582</v>
      </c>
      <c r="T1865" t="s">
        <v>42177</v>
      </c>
      <c r="U1865" t="s">
        <v>44251</v>
      </c>
      <c r="W1865" t="s">
        <v>37839</v>
      </c>
      <c r="X1865" t="s">
        <v>40439</v>
      </c>
    </row>
    <row r="1866" spans="1:24">
      <c r="A1866">
        <f>HYPERLINK("https://www.philgeps.gov.ph/GEPSNONPILOT/Tender/SplashBidNoticeAbstractUI.aspx?menuIndex=3&amp;refID=7049241&amp;Result=3","7049241")</f>
        <v>0</v>
      </c>
      <c r="B1866" t="s">
        <v>827</v>
      </c>
      <c r="C1866" t="s">
        <v>4883</v>
      </c>
      <c r="D1866" t="s">
        <v>16209</v>
      </c>
      <c r="E1866" t="s">
        <v>18013</v>
      </c>
      <c r="F1866" t="s">
        <v>28198</v>
      </c>
      <c r="G1866" t="s">
        <v>28207</v>
      </c>
      <c r="H1866" t="s">
        <v>28215</v>
      </c>
      <c r="I1866" t="s">
        <v>28243</v>
      </c>
      <c r="J1866" t="s">
        <v>28345</v>
      </c>
      <c r="K1866" t="s">
        <v>36701</v>
      </c>
      <c r="M1866" t="s">
        <v>37839</v>
      </c>
      <c r="N1866" t="s">
        <v>40436</v>
      </c>
      <c r="O1866" t="s">
        <v>40437</v>
      </c>
      <c r="P1866">
        <v>0</v>
      </c>
      <c r="Q1866">
        <v>3</v>
      </c>
      <c r="R1866" t="s">
        <v>40438</v>
      </c>
      <c r="S1866" t="s">
        <v>40582</v>
      </c>
      <c r="T1866" t="s">
        <v>42177</v>
      </c>
      <c r="U1866" t="s">
        <v>44252</v>
      </c>
      <c r="W1866" t="s">
        <v>37839</v>
      </c>
      <c r="X1866" t="s">
        <v>40439</v>
      </c>
    </row>
    <row r="1867" spans="1:24">
      <c r="A1867">
        <f>HYPERLINK("https://www.philgeps.gov.ph/GEPSNONPILOT/Tender/SplashBidNoticeAbstractUI.aspx?menuIndex=3&amp;refID=7049233&amp;Result=3","7049233")</f>
        <v>0</v>
      </c>
      <c r="B1867" t="s">
        <v>772</v>
      </c>
      <c r="C1867" t="s">
        <v>4884</v>
      </c>
      <c r="D1867" t="s">
        <v>16238</v>
      </c>
      <c r="E1867" t="s">
        <v>18014</v>
      </c>
      <c r="F1867" t="s">
        <v>28198</v>
      </c>
      <c r="G1867" t="s">
        <v>28207</v>
      </c>
      <c r="H1867" t="s">
        <v>28215</v>
      </c>
      <c r="I1867" t="s">
        <v>28258</v>
      </c>
      <c r="J1867" t="s">
        <v>28378</v>
      </c>
      <c r="K1867" t="s">
        <v>36688</v>
      </c>
      <c r="M1867" t="s">
        <v>37775</v>
      </c>
      <c r="N1867" t="s">
        <v>40436</v>
      </c>
      <c r="O1867" t="s">
        <v>40437</v>
      </c>
      <c r="P1867">
        <v>0</v>
      </c>
      <c r="Q1867">
        <v>2</v>
      </c>
      <c r="R1867" t="s">
        <v>40438</v>
      </c>
      <c r="S1867" t="s">
        <v>40582</v>
      </c>
      <c r="T1867" t="s">
        <v>42159</v>
      </c>
      <c r="U1867" t="s">
        <v>44253</v>
      </c>
      <c r="V1867" t="s">
        <v>53921</v>
      </c>
      <c r="W1867" t="s">
        <v>37775</v>
      </c>
      <c r="X1867" t="s">
        <v>40439</v>
      </c>
    </row>
    <row r="1868" spans="1:24">
      <c r="A1868">
        <f>HYPERLINK("https://www.philgeps.gov.ph/GEPSNONPILOT/Tender/SplashBidNoticeAbstractUI.aspx?menuIndex=3&amp;refID=7049232&amp;Result=3","7049232")</f>
        <v>0</v>
      </c>
      <c r="B1868" t="s">
        <v>838</v>
      </c>
      <c r="C1868" t="s">
        <v>4885</v>
      </c>
      <c r="D1868" t="s">
        <v>16189</v>
      </c>
      <c r="E1868" t="s">
        <v>16901</v>
      </c>
      <c r="F1868" t="s">
        <v>28198</v>
      </c>
      <c r="G1868" t="s">
        <v>28205</v>
      </c>
      <c r="H1868" t="s">
        <v>28214</v>
      </c>
      <c r="I1868" t="s">
        <v>3797</v>
      </c>
      <c r="J1868" t="s">
        <v>28363</v>
      </c>
      <c r="K1868" t="s">
        <v>36769</v>
      </c>
      <c r="M1868" t="s">
        <v>37850</v>
      </c>
      <c r="N1868" t="s">
        <v>40436</v>
      </c>
      <c r="O1868" t="s">
        <v>40437</v>
      </c>
      <c r="P1868">
        <v>0</v>
      </c>
      <c r="Q1868">
        <v>0</v>
      </c>
      <c r="R1868" t="s">
        <v>40438</v>
      </c>
      <c r="S1868" t="s">
        <v>40582</v>
      </c>
      <c r="T1868" t="s">
        <v>42254</v>
      </c>
      <c r="U1868" t="s">
        <v>44230</v>
      </c>
      <c r="V1868" t="s">
        <v>53983</v>
      </c>
      <c r="W1868" t="s">
        <v>37850</v>
      </c>
      <c r="X1868" t="s">
        <v>40439</v>
      </c>
    </row>
    <row r="1869" spans="1:24">
      <c r="A1869">
        <f>HYPERLINK("https://www.philgeps.gov.ph/GEPSNONPILOT/Tender/SplashBidNoticeAbstractUI.aspx?menuIndex=3&amp;refID=7049236&amp;Result=3","7049236")</f>
        <v>0</v>
      </c>
      <c r="B1869" t="s">
        <v>556</v>
      </c>
      <c r="C1869" t="s">
        <v>4886</v>
      </c>
      <c r="E1869" t="s">
        <v>18015</v>
      </c>
      <c r="F1869" t="s">
        <v>28198</v>
      </c>
      <c r="G1869" t="s">
        <v>28207</v>
      </c>
      <c r="H1869" t="s">
        <v>28215</v>
      </c>
      <c r="I1869" t="s">
        <v>4200</v>
      </c>
      <c r="J1869" t="s">
        <v>29630</v>
      </c>
      <c r="K1869" t="s">
        <v>36689</v>
      </c>
      <c r="M1869" t="s">
        <v>37542</v>
      </c>
      <c r="N1869" t="s">
        <v>40436</v>
      </c>
      <c r="O1869" t="s">
        <v>40437</v>
      </c>
      <c r="P1869">
        <v>0</v>
      </c>
      <c r="Q1869">
        <v>1</v>
      </c>
      <c r="R1869" t="s">
        <v>40438</v>
      </c>
      <c r="S1869" t="s">
        <v>40582</v>
      </c>
      <c r="T1869" t="s">
        <v>42124</v>
      </c>
      <c r="U1869" t="s">
        <v>44254</v>
      </c>
      <c r="V1869" t="s">
        <v>53919</v>
      </c>
      <c r="W1869" t="s">
        <v>37542</v>
      </c>
      <c r="X1869" t="s">
        <v>40439</v>
      </c>
    </row>
    <row r="1870" spans="1:24">
      <c r="A1870">
        <f>HYPERLINK("https://www.philgeps.gov.ph/GEPSNONPILOT/Tender/SplashBidNoticeAbstractUI.aspx?menuIndex=3&amp;refID=7049230&amp;Result=3","7049230")</f>
        <v>0</v>
      </c>
      <c r="B1870" t="s">
        <v>846</v>
      </c>
      <c r="C1870" t="s">
        <v>4887</v>
      </c>
      <c r="D1870" t="s">
        <v>16217</v>
      </c>
      <c r="E1870" t="s">
        <v>18016</v>
      </c>
      <c r="F1870" t="s">
        <v>28198</v>
      </c>
      <c r="G1870" t="s">
        <v>28207</v>
      </c>
      <c r="H1870" t="s">
        <v>28215</v>
      </c>
      <c r="I1870" t="s">
        <v>4505</v>
      </c>
      <c r="J1870" t="s">
        <v>29631</v>
      </c>
      <c r="K1870" t="s">
        <v>36701</v>
      </c>
      <c r="M1870" t="s">
        <v>37858</v>
      </c>
      <c r="N1870" t="s">
        <v>40436</v>
      </c>
      <c r="O1870" t="s">
        <v>40437</v>
      </c>
      <c r="P1870">
        <v>0</v>
      </c>
      <c r="Q1870">
        <v>4</v>
      </c>
      <c r="R1870" t="s">
        <v>40438</v>
      </c>
      <c r="S1870" t="s">
        <v>40582</v>
      </c>
      <c r="T1870" t="s">
        <v>42177</v>
      </c>
      <c r="U1870" t="s">
        <v>44255</v>
      </c>
      <c r="W1870" t="s">
        <v>37858</v>
      </c>
      <c r="X1870" t="s">
        <v>40439</v>
      </c>
    </row>
    <row r="1871" spans="1:24">
      <c r="A1871">
        <f>HYPERLINK("https://www.philgeps.gov.ph/GEPSNONPILOT/Tender/SplashBidNoticeAbstractUI.aspx?menuIndex=3&amp;refID=7049231&amp;Result=3","7049231")</f>
        <v>0</v>
      </c>
      <c r="B1871" t="s">
        <v>780</v>
      </c>
      <c r="C1871" t="s">
        <v>4888</v>
      </c>
      <c r="D1871" t="s">
        <v>16197</v>
      </c>
      <c r="E1871" t="s">
        <v>18017</v>
      </c>
      <c r="F1871" t="s">
        <v>28198</v>
      </c>
      <c r="G1871" t="s">
        <v>28205</v>
      </c>
      <c r="H1871" t="s">
        <v>28214</v>
      </c>
      <c r="I1871" t="s">
        <v>3797</v>
      </c>
      <c r="J1871" t="s">
        <v>29632</v>
      </c>
      <c r="K1871" t="s">
        <v>36767</v>
      </c>
      <c r="M1871" t="s">
        <v>37784</v>
      </c>
      <c r="N1871" t="s">
        <v>40436</v>
      </c>
      <c r="O1871" t="s">
        <v>40437</v>
      </c>
      <c r="P1871">
        <v>0</v>
      </c>
      <c r="Q1871">
        <v>1</v>
      </c>
      <c r="R1871" t="s">
        <v>40438</v>
      </c>
      <c r="S1871" t="s">
        <v>40582</v>
      </c>
      <c r="T1871" t="s">
        <v>42108</v>
      </c>
      <c r="U1871" t="s">
        <v>44102</v>
      </c>
      <c r="W1871" t="s">
        <v>37784</v>
      </c>
      <c r="X1871" t="s">
        <v>40439</v>
      </c>
    </row>
    <row r="1872" spans="1:24">
      <c r="A1872">
        <f>HYPERLINK("https://www.philgeps.gov.ph/GEPSNONPILOT/Tender/SplashBidNoticeAbstractUI.aspx?menuIndex=3&amp;refID=7049245&amp;Result=3","7049245")</f>
        <v>0</v>
      </c>
      <c r="B1872" t="s">
        <v>831</v>
      </c>
      <c r="C1872" t="s">
        <v>4889</v>
      </c>
      <c r="D1872" t="s">
        <v>16210</v>
      </c>
      <c r="E1872" t="s">
        <v>18018</v>
      </c>
      <c r="F1872" t="s">
        <v>28198</v>
      </c>
      <c r="G1872" t="s">
        <v>28206</v>
      </c>
      <c r="H1872" t="s">
        <v>28215</v>
      </c>
      <c r="I1872" t="s">
        <v>28224</v>
      </c>
      <c r="J1872" t="s">
        <v>28880</v>
      </c>
      <c r="K1872" t="s">
        <v>36701</v>
      </c>
      <c r="M1872" t="s">
        <v>37843</v>
      </c>
      <c r="N1872" t="s">
        <v>40436</v>
      </c>
      <c r="O1872" t="s">
        <v>40437</v>
      </c>
      <c r="P1872">
        <v>0</v>
      </c>
      <c r="Q1872">
        <v>0</v>
      </c>
      <c r="R1872" t="s">
        <v>40438</v>
      </c>
      <c r="S1872" t="s">
        <v>40582</v>
      </c>
      <c r="T1872" t="s">
        <v>42115</v>
      </c>
      <c r="U1872" t="s">
        <v>44215</v>
      </c>
      <c r="W1872" t="s">
        <v>37843</v>
      </c>
      <c r="X1872" t="s">
        <v>40439</v>
      </c>
    </row>
    <row r="1873" spans="1:24">
      <c r="A1873">
        <f>HYPERLINK("https://www.philgeps.gov.ph/GEPSNONPILOT/Tender/SplashBidNoticeAbstractUI.aspx?menuIndex=3&amp;refID=7049251&amp;Result=3","7049251")</f>
        <v>0</v>
      </c>
      <c r="B1873" t="s">
        <v>759</v>
      </c>
      <c r="C1873" t="s">
        <v>4890</v>
      </c>
      <c r="D1873" t="s">
        <v>16196</v>
      </c>
      <c r="E1873" t="s">
        <v>18019</v>
      </c>
      <c r="F1873" t="s">
        <v>28198</v>
      </c>
      <c r="G1873" t="s">
        <v>28207</v>
      </c>
      <c r="H1873" t="s">
        <v>28215</v>
      </c>
      <c r="I1873" t="s">
        <v>28274</v>
      </c>
      <c r="J1873" t="s">
        <v>29633</v>
      </c>
      <c r="K1873" t="s">
        <v>36689</v>
      </c>
      <c r="M1873" t="s">
        <v>37762</v>
      </c>
      <c r="N1873" t="s">
        <v>40436</v>
      </c>
      <c r="O1873" t="s">
        <v>40437</v>
      </c>
      <c r="P1873">
        <v>0</v>
      </c>
      <c r="Q1873">
        <v>0</v>
      </c>
      <c r="R1873" t="s">
        <v>40438</v>
      </c>
      <c r="S1873" t="s">
        <v>40582</v>
      </c>
      <c r="T1873" t="s">
        <v>42124</v>
      </c>
      <c r="U1873" t="s">
        <v>44256</v>
      </c>
      <c r="W1873" t="s">
        <v>37762</v>
      </c>
      <c r="X1873" t="s">
        <v>40439</v>
      </c>
    </row>
    <row r="1874" spans="1:24">
      <c r="A1874">
        <f>HYPERLINK("https://www.philgeps.gov.ph/GEPSNONPILOT/Tender/SplashBidNoticeAbstractUI.aspx?menuIndex=3&amp;refID=7049252&amp;Result=3","7049252")</f>
        <v>0</v>
      </c>
      <c r="B1874" t="s">
        <v>816</v>
      </c>
      <c r="C1874" t="s">
        <v>4891</v>
      </c>
      <c r="D1874" t="s">
        <v>16200</v>
      </c>
      <c r="E1874" t="s">
        <v>18020</v>
      </c>
      <c r="F1874" t="s">
        <v>28198</v>
      </c>
      <c r="G1874" t="s">
        <v>28209</v>
      </c>
      <c r="H1874" t="s">
        <v>28215</v>
      </c>
      <c r="I1874" t="s">
        <v>4219</v>
      </c>
      <c r="J1874" t="s">
        <v>29634</v>
      </c>
      <c r="K1874" t="s">
        <v>36689</v>
      </c>
      <c r="M1874" t="s">
        <v>37828</v>
      </c>
      <c r="N1874" t="s">
        <v>40436</v>
      </c>
      <c r="O1874" t="s">
        <v>40437</v>
      </c>
      <c r="P1874">
        <v>0</v>
      </c>
      <c r="Q1874">
        <v>4</v>
      </c>
      <c r="R1874" t="s">
        <v>40438</v>
      </c>
      <c r="S1874" t="s">
        <v>40582</v>
      </c>
      <c r="T1874" t="s">
        <v>42124</v>
      </c>
      <c r="U1874" t="s">
        <v>44257</v>
      </c>
      <c r="V1874" t="s">
        <v>53981</v>
      </c>
      <c r="W1874" t="s">
        <v>37828</v>
      </c>
      <c r="X1874" t="s">
        <v>40439</v>
      </c>
    </row>
    <row r="1875" spans="1:24">
      <c r="A1875">
        <f>HYPERLINK("https://www.philgeps.gov.ph/GEPSNONPILOT/Tender/SplashBidNoticeAbstractUI.aspx?menuIndex=3&amp;refID=7049250&amp;Result=3","7049250")</f>
        <v>0</v>
      </c>
      <c r="B1875" t="s">
        <v>401</v>
      </c>
      <c r="C1875" t="s">
        <v>4892</v>
      </c>
      <c r="D1875" t="s">
        <v>16223</v>
      </c>
      <c r="E1875" t="s">
        <v>17018</v>
      </c>
      <c r="F1875" t="s">
        <v>28198</v>
      </c>
      <c r="G1875" t="s">
        <v>28207</v>
      </c>
      <c r="H1875" t="s">
        <v>28215</v>
      </c>
      <c r="I1875" t="s">
        <v>28247</v>
      </c>
      <c r="J1875" t="s">
        <v>29635</v>
      </c>
      <c r="K1875" t="s">
        <v>36691</v>
      </c>
      <c r="M1875" t="s">
        <v>37382</v>
      </c>
      <c r="N1875" t="s">
        <v>40436</v>
      </c>
      <c r="O1875" t="s">
        <v>40437</v>
      </c>
      <c r="P1875">
        <v>0</v>
      </c>
      <c r="Q1875">
        <v>4</v>
      </c>
      <c r="R1875" t="s">
        <v>40438</v>
      </c>
      <c r="S1875" t="s">
        <v>40582</v>
      </c>
      <c r="T1875" t="s">
        <v>42103</v>
      </c>
      <c r="U1875" t="s">
        <v>44258</v>
      </c>
      <c r="W1875" t="s">
        <v>37382</v>
      </c>
      <c r="X1875" t="s">
        <v>40439</v>
      </c>
    </row>
    <row r="1876" spans="1:24">
      <c r="A1876">
        <f>HYPERLINK("https://www.philgeps.gov.ph/GEPSNONPILOT/Tender/SplashBidNoticeAbstractUI.aspx?menuIndex=3&amp;refID=7049242&amp;Result=3","7049242")</f>
        <v>0</v>
      </c>
      <c r="B1876" t="s">
        <v>847</v>
      </c>
      <c r="C1876" t="s">
        <v>4893</v>
      </c>
      <c r="D1876" t="s">
        <v>16210</v>
      </c>
      <c r="E1876" t="s">
        <v>18021</v>
      </c>
      <c r="F1876" t="s">
        <v>28198</v>
      </c>
      <c r="G1876" t="s">
        <v>28207</v>
      </c>
      <c r="H1876" t="s">
        <v>28215</v>
      </c>
      <c r="I1876" t="s">
        <v>28272</v>
      </c>
      <c r="J1876" t="s">
        <v>28548</v>
      </c>
      <c r="K1876" t="s">
        <v>36708</v>
      </c>
      <c r="M1876" t="s">
        <v>37859</v>
      </c>
      <c r="N1876" t="s">
        <v>40436</v>
      </c>
      <c r="O1876" t="s">
        <v>40437</v>
      </c>
      <c r="P1876">
        <v>0</v>
      </c>
      <c r="Q1876">
        <v>4</v>
      </c>
      <c r="R1876" t="s">
        <v>40438</v>
      </c>
      <c r="S1876" t="s">
        <v>40582</v>
      </c>
      <c r="T1876" t="s">
        <v>42119</v>
      </c>
      <c r="U1876" t="s">
        <v>44259</v>
      </c>
      <c r="W1876" t="s">
        <v>37859</v>
      </c>
      <c r="X1876" t="s">
        <v>40439</v>
      </c>
    </row>
    <row r="1877" spans="1:24">
      <c r="A1877">
        <f>HYPERLINK("https://www.philgeps.gov.ph/GEPSNONPILOT/Tender/SplashBidNoticeAbstractUI.aspx?menuIndex=3&amp;refID=7049243&amp;Result=3","7049243")</f>
        <v>0</v>
      </c>
      <c r="B1877" t="s">
        <v>593</v>
      </c>
      <c r="C1877" t="s">
        <v>4894</v>
      </c>
      <c r="D1877" t="s">
        <v>16187</v>
      </c>
      <c r="E1877" t="s">
        <v>18022</v>
      </c>
      <c r="F1877" t="s">
        <v>28198</v>
      </c>
      <c r="G1877" t="s">
        <v>28207</v>
      </c>
      <c r="H1877" t="s">
        <v>28215</v>
      </c>
      <c r="I1877" t="s">
        <v>28255</v>
      </c>
      <c r="J1877" t="s">
        <v>29636</v>
      </c>
      <c r="K1877" t="s">
        <v>36701</v>
      </c>
      <c r="M1877" t="s">
        <v>37810</v>
      </c>
      <c r="N1877" t="s">
        <v>40436</v>
      </c>
      <c r="O1877" t="s">
        <v>40437</v>
      </c>
      <c r="P1877">
        <v>0</v>
      </c>
      <c r="Q1877">
        <v>0</v>
      </c>
      <c r="R1877" t="s">
        <v>40438</v>
      </c>
      <c r="S1877" t="s">
        <v>40582</v>
      </c>
      <c r="T1877" t="s">
        <v>42134</v>
      </c>
      <c r="U1877" t="s">
        <v>44146</v>
      </c>
      <c r="V1877" t="s">
        <v>53977</v>
      </c>
      <c r="W1877" t="s">
        <v>37810</v>
      </c>
      <c r="X1877" t="s">
        <v>40439</v>
      </c>
    </row>
    <row r="1878" spans="1:24">
      <c r="A1878">
        <f>HYPERLINK("https://www.philgeps.gov.ph/GEPSNONPILOT/Tender/SplashBidNoticeAbstractUI.aspx?menuIndex=3&amp;refID=7049253&amp;Result=3","7049253")</f>
        <v>0</v>
      </c>
      <c r="B1878" t="s">
        <v>780</v>
      </c>
      <c r="C1878" t="s">
        <v>4895</v>
      </c>
      <c r="D1878" t="s">
        <v>16197</v>
      </c>
      <c r="E1878" t="s">
        <v>18023</v>
      </c>
      <c r="F1878" t="s">
        <v>28198</v>
      </c>
      <c r="G1878" t="s">
        <v>28205</v>
      </c>
      <c r="H1878" t="s">
        <v>28214</v>
      </c>
      <c r="I1878" t="s">
        <v>3797</v>
      </c>
      <c r="J1878" t="s">
        <v>29632</v>
      </c>
      <c r="K1878" t="s">
        <v>36767</v>
      </c>
      <c r="M1878" t="s">
        <v>37784</v>
      </c>
      <c r="N1878" t="s">
        <v>40436</v>
      </c>
      <c r="O1878" t="s">
        <v>40437</v>
      </c>
      <c r="P1878">
        <v>0</v>
      </c>
      <c r="Q1878">
        <v>0</v>
      </c>
      <c r="R1878" t="s">
        <v>40438</v>
      </c>
      <c r="S1878" t="s">
        <v>40582</v>
      </c>
      <c r="T1878" t="s">
        <v>42108</v>
      </c>
      <c r="U1878" t="s">
        <v>44102</v>
      </c>
      <c r="W1878" t="s">
        <v>37784</v>
      </c>
      <c r="X1878" t="s">
        <v>40439</v>
      </c>
    </row>
    <row r="1879" spans="1:24">
      <c r="A1879">
        <f>HYPERLINK("https://www.philgeps.gov.ph/GEPSNONPILOT/Tender/SplashBidNoticeAbstractUI.aspx?menuIndex=3&amp;refID=7049248&amp;Result=3","7049248")</f>
        <v>0</v>
      </c>
      <c r="B1879" t="s">
        <v>848</v>
      </c>
      <c r="C1879" t="s">
        <v>4896</v>
      </c>
      <c r="D1879" t="s">
        <v>16219</v>
      </c>
      <c r="E1879" t="s">
        <v>18024</v>
      </c>
      <c r="F1879" t="s">
        <v>28198</v>
      </c>
      <c r="G1879" t="s">
        <v>28207</v>
      </c>
      <c r="H1879" t="s">
        <v>28215</v>
      </c>
      <c r="I1879" t="s">
        <v>28228</v>
      </c>
      <c r="J1879" t="s">
        <v>29637</v>
      </c>
      <c r="K1879" t="s">
        <v>36689</v>
      </c>
      <c r="M1879" t="s">
        <v>37860</v>
      </c>
      <c r="N1879" t="s">
        <v>40436</v>
      </c>
      <c r="O1879" t="s">
        <v>40437</v>
      </c>
      <c r="P1879">
        <v>0</v>
      </c>
      <c r="Q1879">
        <v>0</v>
      </c>
      <c r="R1879" t="s">
        <v>40438</v>
      </c>
      <c r="S1879" t="s">
        <v>40582</v>
      </c>
      <c r="T1879" t="s">
        <v>42133</v>
      </c>
      <c r="U1879" t="s">
        <v>44260</v>
      </c>
      <c r="W1879" t="s">
        <v>37860</v>
      </c>
      <c r="X1879" t="s">
        <v>40439</v>
      </c>
    </row>
    <row r="1880" spans="1:24">
      <c r="A1880">
        <f>HYPERLINK("https://www.philgeps.gov.ph/GEPSNONPILOT/Tender/SplashBidNoticeAbstractUI.aspx?menuIndex=3&amp;refID=7049264&amp;Result=3","7049264")</f>
        <v>0</v>
      </c>
      <c r="B1880" t="s">
        <v>728</v>
      </c>
      <c r="C1880" t="s">
        <v>4897</v>
      </c>
      <c r="D1880" t="s">
        <v>16200</v>
      </c>
      <c r="E1880" t="s">
        <v>18025</v>
      </c>
      <c r="F1880" t="s">
        <v>28198</v>
      </c>
      <c r="G1880" t="s">
        <v>28205</v>
      </c>
      <c r="H1880" t="s">
        <v>28215</v>
      </c>
      <c r="I1880" t="s">
        <v>28280</v>
      </c>
      <c r="J1880" t="s">
        <v>29638</v>
      </c>
      <c r="K1880" t="s">
        <v>36697</v>
      </c>
      <c r="M1880" t="s">
        <v>37729</v>
      </c>
      <c r="N1880" t="s">
        <v>40436</v>
      </c>
      <c r="O1880" t="s">
        <v>40437</v>
      </c>
      <c r="P1880">
        <v>0</v>
      </c>
      <c r="Q1880">
        <v>4</v>
      </c>
      <c r="R1880" t="s">
        <v>40438</v>
      </c>
      <c r="S1880" t="s">
        <v>40582</v>
      </c>
      <c r="T1880" t="s">
        <v>42143</v>
      </c>
      <c r="U1880" t="s">
        <v>43975</v>
      </c>
      <c r="W1880" t="s">
        <v>37729</v>
      </c>
      <c r="X1880" t="s">
        <v>40439</v>
      </c>
    </row>
    <row r="1881" spans="1:24">
      <c r="A1881">
        <f>HYPERLINK("https://www.philgeps.gov.ph/GEPSNONPILOT/Tender/SplashBidNoticeAbstractUI.aspx?menuIndex=3&amp;refID=7049261&amp;Result=3","7049261")</f>
        <v>0</v>
      </c>
      <c r="B1881" t="s">
        <v>361</v>
      </c>
      <c r="C1881" t="s">
        <v>4898</v>
      </c>
      <c r="D1881" t="s">
        <v>16236</v>
      </c>
      <c r="E1881" t="s">
        <v>18026</v>
      </c>
      <c r="F1881" t="s">
        <v>28198</v>
      </c>
      <c r="G1881" t="s">
        <v>28209</v>
      </c>
      <c r="H1881" t="s">
        <v>28215</v>
      </c>
      <c r="I1881" t="s">
        <v>3774</v>
      </c>
      <c r="J1881" t="s">
        <v>29639</v>
      </c>
      <c r="K1881" t="s">
        <v>36707</v>
      </c>
      <c r="M1881" t="s">
        <v>37600</v>
      </c>
      <c r="N1881" t="s">
        <v>40436</v>
      </c>
      <c r="O1881" t="s">
        <v>40437</v>
      </c>
      <c r="P1881">
        <v>0</v>
      </c>
      <c r="Q1881">
        <v>1</v>
      </c>
      <c r="R1881" t="s">
        <v>40438</v>
      </c>
      <c r="S1881" t="s">
        <v>40582</v>
      </c>
      <c r="T1881" t="s">
        <v>42209</v>
      </c>
      <c r="U1881" t="s">
        <v>44261</v>
      </c>
      <c r="W1881" t="s">
        <v>37600</v>
      </c>
      <c r="X1881" t="s">
        <v>40439</v>
      </c>
    </row>
    <row r="1882" spans="1:24">
      <c r="A1882">
        <f>HYPERLINK("https://www.philgeps.gov.ph/GEPSNONPILOT/Tender/SplashBidNoticeAbstractUI.aspx?menuIndex=3&amp;refID=7049227&amp;Result=3","7049227")</f>
        <v>0</v>
      </c>
      <c r="B1882" t="s">
        <v>617</v>
      </c>
      <c r="C1882" t="s">
        <v>3313</v>
      </c>
      <c r="D1882" t="s">
        <v>16253</v>
      </c>
      <c r="E1882" t="s">
        <v>18027</v>
      </c>
      <c r="F1882" t="s">
        <v>28198</v>
      </c>
      <c r="G1882" t="s">
        <v>28207</v>
      </c>
      <c r="H1882" t="s">
        <v>28215</v>
      </c>
      <c r="I1882" t="s">
        <v>5082</v>
      </c>
      <c r="J1882" t="s">
        <v>28414</v>
      </c>
      <c r="K1882" t="s">
        <v>36701</v>
      </c>
      <c r="M1882" t="s">
        <v>37609</v>
      </c>
      <c r="N1882" t="s">
        <v>40436</v>
      </c>
      <c r="O1882" t="s">
        <v>40437</v>
      </c>
      <c r="P1882">
        <v>0</v>
      </c>
      <c r="Q1882">
        <v>0</v>
      </c>
      <c r="R1882" t="s">
        <v>40438</v>
      </c>
      <c r="S1882" t="s">
        <v>40582</v>
      </c>
      <c r="T1882" t="s">
        <v>42129</v>
      </c>
      <c r="U1882" t="s">
        <v>43698</v>
      </c>
      <c r="V1882" t="s">
        <v>53932</v>
      </c>
      <c r="W1882" t="s">
        <v>37609</v>
      </c>
      <c r="X1882" t="s">
        <v>40439</v>
      </c>
    </row>
    <row r="1883" spans="1:24">
      <c r="A1883">
        <f>HYPERLINK("https://www.philgeps.gov.ph/GEPSNONPILOT/Tender/SplashBidNoticeAbstractUI.aspx?menuIndex=3&amp;refID=7049265&amp;Result=3","7049265")</f>
        <v>0</v>
      </c>
      <c r="B1883" t="s">
        <v>827</v>
      </c>
      <c r="C1883" t="s">
        <v>4899</v>
      </c>
      <c r="D1883" t="s">
        <v>16209</v>
      </c>
      <c r="E1883" t="s">
        <v>18028</v>
      </c>
      <c r="F1883" t="s">
        <v>28198</v>
      </c>
      <c r="G1883" t="s">
        <v>28207</v>
      </c>
      <c r="H1883" t="s">
        <v>28215</v>
      </c>
      <c r="I1883" t="s">
        <v>28243</v>
      </c>
      <c r="J1883" t="s">
        <v>29120</v>
      </c>
      <c r="K1883" t="s">
        <v>36701</v>
      </c>
      <c r="M1883" t="s">
        <v>37839</v>
      </c>
      <c r="N1883" t="s">
        <v>40436</v>
      </c>
      <c r="O1883" t="s">
        <v>40437</v>
      </c>
      <c r="P1883">
        <v>0</v>
      </c>
      <c r="Q1883">
        <v>2</v>
      </c>
      <c r="R1883" t="s">
        <v>40438</v>
      </c>
      <c r="S1883" t="s">
        <v>40582</v>
      </c>
      <c r="T1883" t="s">
        <v>42177</v>
      </c>
      <c r="U1883" t="s">
        <v>44262</v>
      </c>
      <c r="W1883" t="s">
        <v>37839</v>
      </c>
      <c r="X1883" t="s">
        <v>40439</v>
      </c>
    </row>
    <row r="1884" spans="1:24">
      <c r="A1884">
        <f>HYPERLINK("https://www.philgeps.gov.ph/GEPSNONPILOT/Tender/SplashBidNoticeAbstractUI.aspx?menuIndex=3&amp;refID=7049246&amp;Result=3","7049246")</f>
        <v>0</v>
      </c>
      <c r="B1884" t="s">
        <v>52</v>
      </c>
      <c r="C1884" t="s">
        <v>4900</v>
      </c>
      <c r="E1884" t="s">
        <v>18029</v>
      </c>
      <c r="F1884" t="s">
        <v>28198</v>
      </c>
      <c r="G1884" t="s">
        <v>28207</v>
      </c>
      <c r="H1884" t="s">
        <v>28215</v>
      </c>
      <c r="I1884" t="s">
        <v>28228</v>
      </c>
      <c r="J1884" t="s">
        <v>28386</v>
      </c>
      <c r="K1884" t="s">
        <v>36701</v>
      </c>
      <c r="M1884" t="s">
        <v>37589</v>
      </c>
      <c r="N1884" t="s">
        <v>40436</v>
      </c>
      <c r="O1884" t="s">
        <v>40437</v>
      </c>
      <c r="P1884">
        <v>0</v>
      </c>
      <c r="Q1884">
        <v>0</v>
      </c>
      <c r="R1884" t="s">
        <v>40438</v>
      </c>
      <c r="S1884" t="s">
        <v>40582</v>
      </c>
      <c r="T1884" t="s">
        <v>42254</v>
      </c>
      <c r="U1884" t="s">
        <v>44263</v>
      </c>
      <c r="W1884" t="s">
        <v>55453</v>
      </c>
      <c r="X1884" t="s">
        <v>40439</v>
      </c>
    </row>
    <row r="1885" spans="1:24">
      <c r="A1885">
        <f>HYPERLINK("https://www.philgeps.gov.ph/GEPSNONPILOT/Tender/SplashBidNoticeAbstractUI.aspx?menuIndex=3&amp;refID=7049263&amp;Result=3","7049263")</f>
        <v>0</v>
      </c>
      <c r="B1885" t="s">
        <v>849</v>
      </c>
      <c r="C1885" t="s">
        <v>4901</v>
      </c>
      <c r="D1885" t="s">
        <v>16244</v>
      </c>
      <c r="E1885" t="s">
        <v>18030</v>
      </c>
      <c r="F1885" t="s">
        <v>28198</v>
      </c>
      <c r="G1885" t="s">
        <v>28205</v>
      </c>
      <c r="H1885" t="s">
        <v>28215</v>
      </c>
      <c r="I1885" t="s">
        <v>4219</v>
      </c>
      <c r="J1885" t="s">
        <v>29103</v>
      </c>
      <c r="K1885" t="s">
        <v>36701</v>
      </c>
      <c r="M1885" t="s">
        <v>37861</v>
      </c>
      <c r="N1885" t="s">
        <v>40436</v>
      </c>
      <c r="O1885" t="s">
        <v>40437</v>
      </c>
      <c r="P1885">
        <v>0</v>
      </c>
      <c r="Q1885">
        <v>1</v>
      </c>
      <c r="R1885" t="s">
        <v>40438</v>
      </c>
      <c r="S1885" t="s">
        <v>40582</v>
      </c>
      <c r="T1885" t="s">
        <v>42122</v>
      </c>
      <c r="U1885" t="s">
        <v>44264</v>
      </c>
      <c r="V1885" t="s">
        <v>53988</v>
      </c>
      <c r="W1885" t="s">
        <v>37861</v>
      </c>
      <c r="X1885" t="s">
        <v>40439</v>
      </c>
    </row>
    <row r="1886" spans="1:24">
      <c r="A1886">
        <f>HYPERLINK("https://www.philgeps.gov.ph/GEPSNONPILOT/Tender/SplashBidNoticeAbstractUI.aspx?menuIndex=3&amp;refID=7049267&amp;Result=3","7049267")</f>
        <v>0</v>
      </c>
      <c r="B1886" t="s">
        <v>845</v>
      </c>
      <c r="C1886" t="s">
        <v>4902</v>
      </c>
      <c r="D1886" t="s">
        <v>16241</v>
      </c>
      <c r="E1886" t="s">
        <v>18031</v>
      </c>
      <c r="F1886" t="s">
        <v>28198</v>
      </c>
      <c r="G1886" t="s">
        <v>28207</v>
      </c>
      <c r="H1886" t="s">
        <v>28215</v>
      </c>
      <c r="I1886" t="s">
        <v>28234</v>
      </c>
      <c r="J1886" t="s">
        <v>29620</v>
      </c>
      <c r="K1886" t="s">
        <v>36688</v>
      </c>
      <c r="M1886" t="s">
        <v>37857</v>
      </c>
      <c r="N1886" t="s">
        <v>40436</v>
      </c>
      <c r="O1886" t="s">
        <v>40437</v>
      </c>
      <c r="P1886">
        <v>0</v>
      </c>
      <c r="Q1886">
        <v>2</v>
      </c>
      <c r="R1886" t="s">
        <v>40438</v>
      </c>
      <c r="S1886" t="s">
        <v>40582</v>
      </c>
      <c r="T1886" t="s">
        <v>42160</v>
      </c>
      <c r="U1886" t="s">
        <v>44265</v>
      </c>
      <c r="W1886" t="s">
        <v>37857</v>
      </c>
      <c r="X1886" t="s">
        <v>40439</v>
      </c>
    </row>
    <row r="1887" spans="1:24">
      <c r="A1887">
        <f>HYPERLINK("https://www.philgeps.gov.ph/GEPSNONPILOT/Tender/SplashBidNoticeAbstractUI.aspx?menuIndex=3&amp;refID=7049259&amp;Result=3","7049259")</f>
        <v>0</v>
      </c>
      <c r="B1887" t="s">
        <v>168</v>
      </c>
      <c r="C1887" t="s">
        <v>4903</v>
      </c>
      <c r="D1887" t="s">
        <v>16196</v>
      </c>
      <c r="E1887" t="s">
        <v>18032</v>
      </c>
      <c r="F1887" t="s">
        <v>28198</v>
      </c>
      <c r="G1887" t="s">
        <v>28207</v>
      </c>
      <c r="H1887" t="s">
        <v>28215</v>
      </c>
      <c r="I1887" t="s">
        <v>28227</v>
      </c>
      <c r="J1887" t="s">
        <v>29640</v>
      </c>
      <c r="K1887" t="s">
        <v>36701</v>
      </c>
      <c r="M1887" t="s">
        <v>37142</v>
      </c>
      <c r="N1887" t="s">
        <v>40436</v>
      </c>
      <c r="O1887" t="s">
        <v>40437</v>
      </c>
      <c r="P1887">
        <v>0</v>
      </c>
      <c r="Q1887">
        <v>0</v>
      </c>
      <c r="R1887" t="s">
        <v>40438</v>
      </c>
      <c r="S1887" t="s">
        <v>40582</v>
      </c>
      <c r="T1887" t="s">
        <v>42146</v>
      </c>
      <c r="U1887" t="s">
        <v>44266</v>
      </c>
      <c r="W1887" t="s">
        <v>55464</v>
      </c>
      <c r="X1887" t="s">
        <v>40439</v>
      </c>
    </row>
    <row r="1888" spans="1:24">
      <c r="A1888">
        <f>HYPERLINK("https://www.philgeps.gov.ph/GEPSNONPILOT/Tender/SplashBidNoticeAbstractUI.aspx?menuIndex=3&amp;refID=7049258&amp;Result=3","7049258")</f>
        <v>0</v>
      </c>
      <c r="B1888" t="s">
        <v>850</v>
      </c>
      <c r="C1888" t="s">
        <v>4904</v>
      </c>
      <c r="D1888" t="s">
        <v>16190</v>
      </c>
      <c r="E1888" t="s">
        <v>18033</v>
      </c>
      <c r="F1888" t="s">
        <v>28198</v>
      </c>
      <c r="G1888" t="s">
        <v>28207</v>
      </c>
      <c r="H1888" t="s">
        <v>28215</v>
      </c>
      <c r="I1888" t="s">
        <v>28300</v>
      </c>
      <c r="J1888" t="s">
        <v>28868</v>
      </c>
      <c r="K1888" t="s">
        <v>36688</v>
      </c>
      <c r="M1888" t="s">
        <v>37862</v>
      </c>
      <c r="N1888" t="s">
        <v>40436</v>
      </c>
      <c r="O1888" t="s">
        <v>40437</v>
      </c>
      <c r="P1888">
        <v>0</v>
      </c>
      <c r="Q1888">
        <v>0</v>
      </c>
      <c r="R1888" t="s">
        <v>40438</v>
      </c>
      <c r="S1888" t="s">
        <v>40582</v>
      </c>
      <c r="T1888" t="s">
        <v>42119</v>
      </c>
      <c r="U1888" t="s">
        <v>44267</v>
      </c>
      <c r="W1888" t="s">
        <v>37862</v>
      </c>
      <c r="X1888" t="s">
        <v>40439</v>
      </c>
    </row>
    <row r="1889" spans="1:24">
      <c r="A1889">
        <f>HYPERLINK("https://www.philgeps.gov.ph/GEPSNONPILOT/Tender/SplashBidNoticeAbstractUI.aspx?menuIndex=3&amp;refID=7049260&amp;Result=3","7049260")</f>
        <v>0</v>
      </c>
      <c r="B1889" t="s">
        <v>831</v>
      </c>
      <c r="C1889" t="s">
        <v>4905</v>
      </c>
      <c r="D1889" t="s">
        <v>16210</v>
      </c>
      <c r="E1889" t="s">
        <v>18034</v>
      </c>
      <c r="F1889" t="s">
        <v>28198</v>
      </c>
      <c r="G1889" t="s">
        <v>28206</v>
      </c>
      <c r="H1889" t="s">
        <v>28215</v>
      </c>
      <c r="I1889" t="s">
        <v>28243</v>
      </c>
      <c r="J1889" t="s">
        <v>29641</v>
      </c>
      <c r="K1889" t="s">
        <v>36701</v>
      </c>
      <c r="M1889" t="s">
        <v>37843</v>
      </c>
      <c r="N1889" t="s">
        <v>40436</v>
      </c>
      <c r="O1889" t="s">
        <v>40437</v>
      </c>
      <c r="P1889">
        <v>0</v>
      </c>
      <c r="Q1889">
        <v>0</v>
      </c>
      <c r="R1889" t="s">
        <v>40438</v>
      </c>
      <c r="S1889" t="s">
        <v>40582</v>
      </c>
      <c r="T1889" t="s">
        <v>42098</v>
      </c>
      <c r="U1889" t="s">
        <v>44215</v>
      </c>
      <c r="W1889" t="s">
        <v>37843</v>
      </c>
      <c r="X1889" t="s">
        <v>40439</v>
      </c>
    </row>
    <row r="1890" spans="1:24">
      <c r="A1890">
        <f>HYPERLINK("https://www.philgeps.gov.ph/GEPSNONPILOT/Tender/SplashBidNoticeAbstractUI.aspx?menuIndex=3&amp;refID=7049256&amp;Result=3","7049256")</f>
        <v>0</v>
      </c>
      <c r="B1890" t="s">
        <v>851</v>
      </c>
      <c r="C1890" t="s">
        <v>4906</v>
      </c>
      <c r="E1890" t="s">
        <v>16909</v>
      </c>
      <c r="F1890" t="s">
        <v>28198</v>
      </c>
      <c r="G1890" t="s">
        <v>28206</v>
      </c>
      <c r="H1890" t="s">
        <v>28215</v>
      </c>
      <c r="I1890" t="s">
        <v>5656</v>
      </c>
      <c r="J1890" t="s">
        <v>28889</v>
      </c>
      <c r="K1890" t="s">
        <v>36691</v>
      </c>
      <c r="N1890" t="s">
        <v>40436</v>
      </c>
      <c r="O1890" t="s">
        <v>40437</v>
      </c>
      <c r="P1890">
        <v>0</v>
      </c>
      <c r="Q1890">
        <v>0</v>
      </c>
      <c r="R1890" t="s">
        <v>40438</v>
      </c>
      <c r="S1890" t="s">
        <v>40582</v>
      </c>
      <c r="T1890" t="s">
        <v>42190</v>
      </c>
      <c r="U1890" t="s">
        <v>44268</v>
      </c>
      <c r="V1890" t="s">
        <v>53989</v>
      </c>
      <c r="W1890" t="s">
        <v>37926</v>
      </c>
      <c r="X1890" t="s">
        <v>40439</v>
      </c>
    </row>
    <row r="1891" spans="1:24">
      <c r="A1891">
        <f>HYPERLINK("https://www.philgeps.gov.ph/GEPSNONPILOT/Tender/SplashBidNoticeAbstractUI.aspx?menuIndex=3&amp;refID=7049269&amp;Result=3","7049269")</f>
        <v>0</v>
      </c>
      <c r="B1891" t="s">
        <v>591</v>
      </c>
      <c r="C1891" t="s">
        <v>4907</v>
      </c>
      <c r="D1891" t="s">
        <v>16228</v>
      </c>
      <c r="E1891" t="s">
        <v>18035</v>
      </c>
      <c r="F1891" t="s">
        <v>28198</v>
      </c>
      <c r="G1891" t="s">
        <v>28207</v>
      </c>
      <c r="H1891" t="s">
        <v>28215</v>
      </c>
      <c r="I1891" t="s">
        <v>5082</v>
      </c>
      <c r="J1891" t="s">
        <v>29642</v>
      </c>
      <c r="K1891" t="s">
        <v>36689</v>
      </c>
      <c r="M1891" t="s">
        <v>37580</v>
      </c>
      <c r="N1891" t="s">
        <v>40436</v>
      </c>
      <c r="O1891" t="s">
        <v>40437</v>
      </c>
      <c r="P1891">
        <v>0</v>
      </c>
      <c r="Q1891">
        <v>1</v>
      </c>
      <c r="R1891" t="s">
        <v>40438</v>
      </c>
      <c r="S1891" t="s">
        <v>40582</v>
      </c>
      <c r="T1891" t="s">
        <v>42103</v>
      </c>
      <c r="U1891" t="s">
        <v>44269</v>
      </c>
      <c r="W1891" t="s">
        <v>37580</v>
      </c>
      <c r="X1891" t="s">
        <v>40439</v>
      </c>
    </row>
    <row r="1892" spans="1:24">
      <c r="A1892">
        <f>HYPERLINK("https://www.philgeps.gov.ph/GEPSNONPILOT/Tender/SplashBidNoticeAbstractUI.aspx?menuIndex=3&amp;refID=7049229&amp;Result=3","7049229")</f>
        <v>0</v>
      </c>
      <c r="B1892" t="s">
        <v>825</v>
      </c>
      <c r="C1892" t="s">
        <v>4908</v>
      </c>
      <c r="D1892" t="s">
        <v>16208</v>
      </c>
      <c r="E1892" t="s">
        <v>18036</v>
      </c>
      <c r="F1892" t="s">
        <v>28198</v>
      </c>
      <c r="G1892" t="s">
        <v>28205</v>
      </c>
      <c r="H1892" t="s">
        <v>28214</v>
      </c>
      <c r="I1892" t="s">
        <v>3797</v>
      </c>
      <c r="J1892" t="s">
        <v>28347</v>
      </c>
      <c r="K1892" t="s">
        <v>36697</v>
      </c>
      <c r="M1892" t="s">
        <v>37837</v>
      </c>
      <c r="N1892" t="s">
        <v>40436</v>
      </c>
      <c r="O1892" t="s">
        <v>40437</v>
      </c>
      <c r="P1892">
        <v>0</v>
      </c>
      <c r="Q1892">
        <v>0</v>
      </c>
      <c r="R1892" t="s">
        <v>40438</v>
      </c>
      <c r="S1892" t="s">
        <v>40582</v>
      </c>
      <c r="T1892" t="s">
        <v>42101</v>
      </c>
      <c r="U1892" t="s">
        <v>44270</v>
      </c>
      <c r="W1892" t="s">
        <v>37837</v>
      </c>
      <c r="X1892" t="s">
        <v>40439</v>
      </c>
    </row>
    <row r="1893" spans="1:24">
      <c r="A1893">
        <f>HYPERLINK("https://www.philgeps.gov.ph/GEPSNONPILOT/Tender/SplashBidNoticeAbstractUI.aspx?menuIndex=3&amp;refID=7049272&amp;Result=3","7049272")</f>
        <v>0</v>
      </c>
      <c r="B1893" t="s">
        <v>852</v>
      </c>
      <c r="C1893" t="s">
        <v>4909</v>
      </c>
      <c r="D1893" t="s">
        <v>16219</v>
      </c>
      <c r="E1893" t="s">
        <v>18037</v>
      </c>
      <c r="F1893" t="s">
        <v>28198</v>
      </c>
      <c r="G1893" t="s">
        <v>28205</v>
      </c>
      <c r="H1893" t="s">
        <v>28215</v>
      </c>
      <c r="I1893" t="s">
        <v>28243</v>
      </c>
      <c r="J1893" t="s">
        <v>29643</v>
      </c>
      <c r="K1893" t="s">
        <v>36701</v>
      </c>
      <c r="M1893" t="s">
        <v>37863</v>
      </c>
      <c r="N1893" t="s">
        <v>40436</v>
      </c>
      <c r="O1893" t="s">
        <v>40437</v>
      </c>
      <c r="P1893">
        <v>0</v>
      </c>
      <c r="Q1893">
        <v>1</v>
      </c>
      <c r="R1893" t="s">
        <v>40438</v>
      </c>
      <c r="S1893" t="s">
        <v>40582</v>
      </c>
      <c r="T1893" t="s">
        <v>42248</v>
      </c>
      <c r="U1893" t="s">
        <v>44271</v>
      </c>
      <c r="V1893" t="s">
        <v>53990</v>
      </c>
      <c r="W1893" t="s">
        <v>37863</v>
      </c>
      <c r="X1893" t="s">
        <v>40439</v>
      </c>
    </row>
    <row r="1894" spans="1:24">
      <c r="A1894">
        <f>HYPERLINK("https://www.philgeps.gov.ph/GEPSNONPILOT/Tender/SplashBidNoticeAbstractUI.aspx?menuIndex=3&amp;refID=7049277&amp;Result=3","7049277")</f>
        <v>0</v>
      </c>
      <c r="B1894" t="s">
        <v>842</v>
      </c>
      <c r="C1894" t="s">
        <v>4910</v>
      </c>
      <c r="D1894" t="s">
        <v>16239</v>
      </c>
      <c r="E1894" t="s">
        <v>16950</v>
      </c>
      <c r="F1894" t="s">
        <v>28198</v>
      </c>
      <c r="G1894" t="s">
        <v>28206</v>
      </c>
      <c r="H1894" t="s">
        <v>28215</v>
      </c>
      <c r="I1894" t="s">
        <v>28225</v>
      </c>
      <c r="J1894" t="s">
        <v>28385</v>
      </c>
      <c r="K1894" t="s">
        <v>36689</v>
      </c>
      <c r="M1894" t="s">
        <v>37854</v>
      </c>
      <c r="N1894" t="s">
        <v>40436</v>
      </c>
      <c r="O1894" t="s">
        <v>40437</v>
      </c>
      <c r="P1894">
        <v>0</v>
      </c>
      <c r="Q1894">
        <v>2</v>
      </c>
      <c r="R1894" t="s">
        <v>40438</v>
      </c>
      <c r="S1894" t="s">
        <v>40582</v>
      </c>
      <c r="T1894" t="s">
        <v>42124</v>
      </c>
      <c r="U1894" t="s">
        <v>44272</v>
      </c>
      <c r="V1894" t="s">
        <v>53986</v>
      </c>
      <c r="W1894" t="s">
        <v>37854</v>
      </c>
      <c r="X1894" t="s">
        <v>40439</v>
      </c>
    </row>
    <row r="1895" spans="1:24">
      <c r="A1895">
        <f>HYPERLINK("https://www.philgeps.gov.ph/GEPSNONPILOT/Tender/SplashBidNoticeAbstractUI.aspx?menuIndex=3&amp;refID=7049257&amp;Result=3","7049257")</f>
        <v>0</v>
      </c>
      <c r="B1895" t="s">
        <v>853</v>
      </c>
      <c r="C1895" t="s">
        <v>4911</v>
      </c>
      <c r="D1895" t="s">
        <v>16218</v>
      </c>
      <c r="E1895" t="s">
        <v>18038</v>
      </c>
      <c r="F1895" t="s">
        <v>28198</v>
      </c>
      <c r="G1895" t="s">
        <v>28205</v>
      </c>
      <c r="H1895" t="s">
        <v>28215</v>
      </c>
      <c r="I1895" t="s">
        <v>4200</v>
      </c>
      <c r="J1895" t="s">
        <v>28415</v>
      </c>
      <c r="K1895" t="s">
        <v>36701</v>
      </c>
      <c r="M1895" t="s">
        <v>37864</v>
      </c>
      <c r="N1895" t="s">
        <v>40436</v>
      </c>
      <c r="O1895" t="s">
        <v>40437</v>
      </c>
      <c r="P1895">
        <v>0</v>
      </c>
      <c r="Q1895">
        <v>1</v>
      </c>
      <c r="R1895" t="s">
        <v>40438</v>
      </c>
      <c r="S1895" t="s">
        <v>40582</v>
      </c>
      <c r="T1895" t="s">
        <v>42291</v>
      </c>
      <c r="U1895" t="s">
        <v>44273</v>
      </c>
      <c r="W1895" t="s">
        <v>37864</v>
      </c>
      <c r="X1895" t="s">
        <v>40439</v>
      </c>
    </row>
    <row r="1896" spans="1:24">
      <c r="A1896">
        <f>HYPERLINK("https://www.philgeps.gov.ph/GEPSNONPILOT/Tender/SplashBidNoticeAbstractUI.aspx?menuIndex=3&amp;refID=7049255&amp;Result=3","7049255")</f>
        <v>0</v>
      </c>
      <c r="B1896" t="s">
        <v>772</v>
      </c>
      <c r="C1896" t="s">
        <v>4912</v>
      </c>
      <c r="D1896" t="s">
        <v>16238</v>
      </c>
      <c r="E1896" t="s">
        <v>18039</v>
      </c>
      <c r="F1896" t="s">
        <v>28198</v>
      </c>
      <c r="G1896" t="s">
        <v>28207</v>
      </c>
      <c r="H1896" t="s">
        <v>28215</v>
      </c>
      <c r="I1896" t="s">
        <v>5100</v>
      </c>
      <c r="J1896" t="s">
        <v>29644</v>
      </c>
      <c r="K1896" t="s">
        <v>36688</v>
      </c>
      <c r="M1896" t="s">
        <v>37775</v>
      </c>
      <c r="N1896" t="s">
        <v>40436</v>
      </c>
      <c r="O1896" t="s">
        <v>40437</v>
      </c>
      <c r="P1896">
        <v>0</v>
      </c>
      <c r="Q1896">
        <v>0</v>
      </c>
      <c r="R1896" t="s">
        <v>40438</v>
      </c>
      <c r="S1896" t="s">
        <v>40582</v>
      </c>
      <c r="T1896" t="s">
        <v>42159</v>
      </c>
      <c r="U1896" t="s">
        <v>44274</v>
      </c>
      <c r="V1896" t="s">
        <v>53921</v>
      </c>
      <c r="W1896" t="s">
        <v>37775</v>
      </c>
      <c r="X1896" t="s">
        <v>40439</v>
      </c>
    </row>
    <row r="1897" spans="1:24">
      <c r="A1897">
        <f>HYPERLINK("https://www.philgeps.gov.ph/GEPSNONPILOT/Tender/SplashBidNoticeAbstractUI.aspx?menuIndex=3&amp;refID=7049274&amp;Result=3","7049274")</f>
        <v>0</v>
      </c>
      <c r="B1897" t="s">
        <v>806</v>
      </c>
      <c r="C1897" t="s">
        <v>4913</v>
      </c>
      <c r="D1897" t="s">
        <v>16188</v>
      </c>
      <c r="E1897" t="s">
        <v>18040</v>
      </c>
      <c r="F1897" t="s">
        <v>28198</v>
      </c>
      <c r="G1897" t="s">
        <v>28205</v>
      </c>
      <c r="H1897" t="s">
        <v>28215</v>
      </c>
      <c r="I1897" t="s">
        <v>3422</v>
      </c>
      <c r="J1897" t="s">
        <v>29645</v>
      </c>
      <c r="K1897" t="s">
        <v>36688</v>
      </c>
      <c r="M1897" t="s">
        <v>37865</v>
      </c>
      <c r="N1897" t="s">
        <v>40436</v>
      </c>
      <c r="O1897" t="s">
        <v>40437</v>
      </c>
      <c r="P1897">
        <v>0</v>
      </c>
      <c r="Q1897">
        <v>0</v>
      </c>
      <c r="R1897" t="s">
        <v>40438</v>
      </c>
      <c r="S1897" t="s">
        <v>40582</v>
      </c>
      <c r="T1897" t="s">
        <v>42112</v>
      </c>
      <c r="U1897" t="s">
        <v>44275</v>
      </c>
      <c r="W1897" t="s">
        <v>55465</v>
      </c>
      <c r="X1897" t="s">
        <v>40439</v>
      </c>
    </row>
    <row r="1898" spans="1:24">
      <c r="A1898">
        <f>HYPERLINK("https://www.philgeps.gov.ph/GEPSNONPILOT/Tender/SplashBidNoticeAbstractUI.aspx?menuIndex=3&amp;refID=7049268&amp;Result=3","7049268")</f>
        <v>0</v>
      </c>
      <c r="B1898" t="s">
        <v>854</v>
      </c>
      <c r="C1898" t="s">
        <v>4914</v>
      </c>
      <c r="D1898" t="s">
        <v>16252</v>
      </c>
      <c r="E1898" t="s">
        <v>18041</v>
      </c>
      <c r="F1898" t="s">
        <v>28198</v>
      </c>
      <c r="G1898" t="s">
        <v>28205</v>
      </c>
      <c r="H1898" t="s">
        <v>28215</v>
      </c>
      <c r="I1898" t="s">
        <v>5791</v>
      </c>
      <c r="J1898" t="s">
        <v>28415</v>
      </c>
      <c r="K1898" t="s">
        <v>36706</v>
      </c>
      <c r="M1898" t="s">
        <v>37866</v>
      </c>
      <c r="N1898" t="s">
        <v>40436</v>
      </c>
      <c r="O1898" t="s">
        <v>40437</v>
      </c>
      <c r="P1898">
        <v>0</v>
      </c>
      <c r="Q1898">
        <v>0</v>
      </c>
      <c r="R1898" t="s">
        <v>40438</v>
      </c>
      <c r="S1898" t="s">
        <v>40582</v>
      </c>
      <c r="T1898" t="s">
        <v>42292</v>
      </c>
      <c r="U1898" t="s">
        <v>44276</v>
      </c>
      <c r="W1898" t="s">
        <v>37866</v>
      </c>
      <c r="X1898" t="s">
        <v>40439</v>
      </c>
    </row>
    <row r="1899" spans="1:24">
      <c r="A1899">
        <f>HYPERLINK("https://www.philgeps.gov.ph/GEPSNONPILOT/Tender/SplashBidNoticeAbstractUI.aspx?menuIndex=3&amp;refID=7049279&amp;Result=3","7049279")</f>
        <v>0</v>
      </c>
      <c r="B1899" t="s">
        <v>825</v>
      </c>
      <c r="C1899" t="s">
        <v>4915</v>
      </c>
      <c r="D1899" t="s">
        <v>16208</v>
      </c>
      <c r="E1899" t="s">
        <v>18042</v>
      </c>
      <c r="F1899" t="s">
        <v>28198</v>
      </c>
      <c r="G1899" t="s">
        <v>28205</v>
      </c>
      <c r="H1899" t="s">
        <v>28215</v>
      </c>
      <c r="I1899" t="s">
        <v>28228</v>
      </c>
      <c r="J1899" t="s">
        <v>28699</v>
      </c>
      <c r="K1899" t="s">
        <v>36690</v>
      </c>
      <c r="M1899" t="s">
        <v>37837</v>
      </c>
      <c r="N1899" t="s">
        <v>40436</v>
      </c>
      <c r="O1899" t="s">
        <v>40437</v>
      </c>
      <c r="P1899">
        <v>0</v>
      </c>
      <c r="Q1899">
        <v>0</v>
      </c>
      <c r="R1899" t="s">
        <v>40438</v>
      </c>
      <c r="S1899" t="s">
        <v>40582</v>
      </c>
      <c r="T1899" t="s">
        <v>42101</v>
      </c>
      <c r="U1899" t="s">
        <v>44277</v>
      </c>
      <c r="W1899" t="s">
        <v>37837</v>
      </c>
      <c r="X1899" t="s">
        <v>40439</v>
      </c>
    </row>
    <row r="1900" spans="1:24">
      <c r="A1900">
        <f>HYPERLINK("https://www.philgeps.gov.ph/GEPSNONPILOT/Tender/SplashBidNoticeAbstractUI.aspx?menuIndex=3&amp;refID=7049276&amp;Result=3","7049276")</f>
        <v>0</v>
      </c>
      <c r="B1900" t="s">
        <v>855</v>
      </c>
      <c r="C1900" t="s">
        <v>3906</v>
      </c>
      <c r="D1900" t="s">
        <v>16204</v>
      </c>
      <c r="E1900" t="s">
        <v>18043</v>
      </c>
      <c r="F1900" t="s">
        <v>28198</v>
      </c>
      <c r="G1900" t="s">
        <v>28205</v>
      </c>
      <c r="H1900" t="s">
        <v>28214</v>
      </c>
      <c r="I1900" t="s">
        <v>3797</v>
      </c>
      <c r="J1900" t="s">
        <v>29646</v>
      </c>
      <c r="K1900" t="s">
        <v>36689</v>
      </c>
      <c r="M1900" t="s">
        <v>37867</v>
      </c>
      <c r="N1900" t="s">
        <v>40436</v>
      </c>
      <c r="O1900" t="s">
        <v>40437</v>
      </c>
      <c r="P1900">
        <v>0</v>
      </c>
      <c r="Q1900">
        <v>0</v>
      </c>
      <c r="R1900" t="s">
        <v>40438</v>
      </c>
      <c r="S1900" t="s">
        <v>40582</v>
      </c>
      <c r="T1900" t="s">
        <v>42115</v>
      </c>
      <c r="U1900" t="s">
        <v>44278</v>
      </c>
      <c r="V1900" t="s">
        <v>53944</v>
      </c>
      <c r="W1900" t="s">
        <v>37867</v>
      </c>
      <c r="X1900" t="s">
        <v>40439</v>
      </c>
    </row>
    <row r="1901" spans="1:24">
      <c r="A1901">
        <f>HYPERLINK("https://www.philgeps.gov.ph/GEPSNONPILOT/Tender/SplashBidNoticeAbstractUI.aspx?menuIndex=3&amp;refID=7049273&amp;Result=3","7049273")</f>
        <v>0</v>
      </c>
      <c r="B1901" t="s">
        <v>856</v>
      </c>
      <c r="C1901" t="s">
        <v>4916</v>
      </c>
      <c r="D1901" t="s">
        <v>16221</v>
      </c>
      <c r="E1901" t="s">
        <v>18044</v>
      </c>
      <c r="F1901" t="s">
        <v>28198</v>
      </c>
      <c r="G1901" t="s">
        <v>28207</v>
      </c>
      <c r="H1901" t="s">
        <v>28215</v>
      </c>
      <c r="I1901" t="s">
        <v>28258</v>
      </c>
      <c r="J1901" t="s">
        <v>29647</v>
      </c>
      <c r="K1901" t="s">
        <v>36707</v>
      </c>
      <c r="M1901" t="s">
        <v>37868</v>
      </c>
      <c r="N1901" t="s">
        <v>40436</v>
      </c>
      <c r="O1901" t="s">
        <v>40437</v>
      </c>
      <c r="P1901">
        <v>0</v>
      </c>
      <c r="Q1901">
        <v>6</v>
      </c>
      <c r="R1901" t="s">
        <v>40438</v>
      </c>
      <c r="S1901" t="s">
        <v>40582</v>
      </c>
      <c r="T1901" t="s">
        <v>42103</v>
      </c>
      <c r="U1901" t="s">
        <v>44279</v>
      </c>
      <c r="W1901" t="s">
        <v>39895</v>
      </c>
      <c r="X1901" t="s">
        <v>40439</v>
      </c>
    </row>
    <row r="1902" spans="1:24">
      <c r="A1902">
        <f>HYPERLINK("https://www.philgeps.gov.ph/GEPSNONPILOT/Tender/SplashBidNoticeAbstractUI.aspx?menuIndex=3&amp;refID=7049281&amp;Result=3","7049281")</f>
        <v>0</v>
      </c>
      <c r="B1902" t="s">
        <v>728</v>
      </c>
      <c r="C1902" t="s">
        <v>4917</v>
      </c>
      <c r="D1902" t="s">
        <v>16200</v>
      </c>
      <c r="E1902" t="s">
        <v>18045</v>
      </c>
      <c r="F1902" t="s">
        <v>28198</v>
      </c>
      <c r="G1902" t="s">
        <v>28205</v>
      </c>
      <c r="H1902" t="s">
        <v>28215</v>
      </c>
      <c r="I1902" t="s">
        <v>28280</v>
      </c>
      <c r="J1902" t="s">
        <v>29648</v>
      </c>
      <c r="K1902" t="s">
        <v>36697</v>
      </c>
      <c r="M1902" t="s">
        <v>37777</v>
      </c>
      <c r="N1902" t="s">
        <v>40436</v>
      </c>
      <c r="O1902" t="s">
        <v>40437</v>
      </c>
      <c r="P1902">
        <v>0</v>
      </c>
      <c r="Q1902">
        <v>3</v>
      </c>
      <c r="R1902" t="s">
        <v>40438</v>
      </c>
      <c r="S1902" t="s">
        <v>40582</v>
      </c>
      <c r="T1902" t="s">
        <v>42143</v>
      </c>
      <c r="U1902" t="s">
        <v>44280</v>
      </c>
      <c r="W1902" t="s">
        <v>37777</v>
      </c>
      <c r="X1902" t="s">
        <v>40439</v>
      </c>
    </row>
    <row r="1903" spans="1:24">
      <c r="A1903">
        <f>HYPERLINK("https://www.philgeps.gov.ph/GEPSNONPILOT/Tender/SplashBidNoticeAbstractUI.aspx?menuIndex=3&amp;refID=7049284&amp;Result=3","7049284")</f>
        <v>0</v>
      </c>
      <c r="B1903" t="s">
        <v>831</v>
      </c>
      <c r="C1903" t="s">
        <v>4918</v>
      </c>
      <c r="D1903" t="s">
        <v>16202</v>
      </c>
      <c r="E1903" t="s">
        <v>18046</v>
      </c>
      <c r="F1903" t="s">
        <v>28198</v>
      </c>
      <c r="G1903" t="s">
        <v>28206</v>
      </c>
      <c r="H1903" t="s">
        <v>28215</v>
      </c>
      <c r="I1903" t="s">
        <v>3797</v>
      </c>
      <c r="J1903" t="s">
        <v>28417</v>
      </c>
      <c r="K1903" t="s">
        <v>36694</v>
      </c>
      <c r="M1903" t="s">
        <v>37843</v>
      </c>
      <c r="N1903" t="s">
        <v>40436</v>
      </c>
      <c r="O1903" t="s">
        <v>40437</v>
      </c>
      <c r="P1903">
        <v>0</v>
      </c>
      <c r="Q1903">
        <v>0</v>
      </c>
      <c r="R1903" t="s">
        <v>40438</v>
      </c>
      <c r="S1903" t="s">
        <v>40582</v>
      </c>
      <c r="T1903" t="s">
        <v>42115</v>
      </c>
      <c r="U1903" t="s">
        <v>44215</v>
      </c>
      <c r="W1903" t="s">
        <v>37843</v>
      </c>
      <c r="X1903" t="s">
        <v>40439</v>
      </c>
    </row>
    <row r="1904" spans="1:24">
      <c r="A1904">
        <f>HYPERLINK("https://www.philgeps.gov.ph/GEPSNONPILOT/Tender/SplashBidNoticeAbstractUI.aspx?menuIndex=3&amp;refID=7049315&amp;Result=3","7049315")</f>
        <v>0</v>
      </c>
      <c r="B1904" t="s">
        <v>856</v>
      </c>
      <c r="C1904" t="s">
        <v>4919</v>
      </c>
      <c r="D1904" t="s">
        <v>16221</v>
      </c>
      <c r="E1904" t="s">
        <v>18047</v>
      </c>
      <c r="F1904" t="s">
        <v>28198</v>
      </c>
      <c r="G1904" t="s">
        <v>28206</v>
      </c>
      <c r="H1904" t="s">
        <v>28215</v>
      </c>
      <c r="I1904" t="s">
        <v>4168</v>
      </c>
      <c r="J1904" t="s">
        <v>29649</v>
      </c>
      <c r="K1904" t="s">
        <v>36707</v>
      </c>
      <c r="M1904" t="s">
        <v>37868</v>
      </c>
      <c r="N1904" t="s">
        <v>40436</v>
      </c>
      <c r="O1904" t="s">
        <v>40437</v>
      </c>
      <c r="P1904">
        <v>0</v>
      </c>
      <c r="Q1904">
        <v>0</v>
      </c>
      <c r="R1904" t="s">
        <v>40438</v>
      </c>
      <c r="S1904" t="s">
        <v>40582</v>
      </c>
      <c r="T1904" t="s">
        <v>42103</v>
      </c>
      <c r="U1904" t="s">
        <v>44281</v>
      </c>
      <c r="W1904" t="s">
        <v>39895</v>
      </c>
      <c r="X1904" t="s">
        <v>40439</v>
      </c>
    </row>
    <row r="1905" spans="1:24">
      <c r="A1905">
        <f>HYPERLINK("https://www.philgeps.gov.ph/GEPSNONPILOT/Tender/SplashBidNoticeAbstractUI.aspx?menuIndex=3&amp;refID=7049283&amp;Result=3","7049283")</f>
        <v>0</v>
      </c>
      <c r="B1905" t="s">
        <v>780</v>
      </c>
      <c r="C1905" t="s">
        <v>4920</v>
      </c>
      <c r="D1905" t="s">
        <v>16197</v>
      </c>
      <c r="E1905" t="s">
        <v>18048</v>
      </c>
      <c r="F1905" t="s">
        <v>28198</v>
      </c>
      <c r="G1905" t="s">
        <v>28205</v>
      </c>
      <c r="H1905" t="s">
        <v>28214</v>
      </c>
      <c r="I1905" t="s">
        <v>3797</v>
      </c>
      <c r="J1905" t="s">
        <v>29632</v>
      </c>
      <c r="K1905" t="s">
        <v>36767</v>
      </c>
      <c r="M1905" t="s">
        <v>37784</v>
      </c>
      <c r="N1905" t="s">
        <v>40436</v>
      </c>
      <c r="O1905" t="s">
        <v>40437</v>
      </c>
      <c r="P1905">
        <v>0</v>
      </c>
      <c r="Q1905">
        <v>0</v>
      </c>
      <c r="R1905" t="s">
        <v>40438</v>
      </c>
      <c r="S1905" t="s">
        <v>40582</v>
      </c>
      <c r="T1905" t="s">
        <v>42108</v>
      </c>
      <c r="U1905" t="s">
        <v>44102</v>
      </c>
      <c r="W1905" t="s">
        <v>37784</v>
      </c>
      <c r="X1905" t="s">
        <v>40439</v>
      </c>
    </row>
    <row r="1906" spans="1:24">
      <c r="A1906">
        <f>HYPERLINK("https://www.philgeps.gov.ph/GEPSNONPILOT/Tender/SplashBidNoticeAbstractUI.aspx?menuIndex=3&amp;refID=7049309&amp;Result=3","7049309")</f>
        <v>0</v>
      </c>
      <c r="B1906" t="s">
        <v>857</v>
      </c>
      <c r="C1906" t="s">
        <v>4921</v>
      </c>
      <c r="D1906" t="s">
        <v>16224</v>
      </c>
      <c r="E1906" t="s">
        <v>18049</v>
      </c>
      <c r="F1906" t="s">
        <v>28198</v>
      </c>
      <c r="G1906" t="s">
        <v>28206</v>
      </c>
      <c r="H1906" t="s">
        <v>28215</v>
      </c>
      <c r="I1906" t="s">
        <v>4505</v>
      </c>
      <c r="J1906" t="s">
        <v>28415</v>
      </c>
      <c r="K1906" t="s">
        <v>36693</v>
      </c>
      <c r="M1906" t="s">
        <v>37869</v>
      </c>
      <c r="N1906" t="s">
        <v>40436</v>
      </c>
      <c r="O1906" t="s">
        <v>40437</v>
      </c>
      <c r="P1906">
        <v>0</v>
      </c>
      <c r="Q1906">
        <v>12</v>
      </c>
      <c r="R1906" t="s">
        <v>40438</v>
      </c>
      <c r="S1906" t="s">
        <v>40582</v>
      </c>
      <c r="T1906" t="s">
        <v>42293</v>
      </c>
      <c r="U1906" t="s">
        <v>44282</v>
      </c>
      <c r="W1906" t="s">
        <v>37869</v>
      </c>
      <c r="X1906" t="s">
        <v>40439</v>
      </c>
    </row>
    <row r="1907" spans="1:24">
      <c r="A1907">
        <f>HYPERLINK("https://www.philgeps.gov.ph/GEPSNONPILOT/Tender/SplashBidNoticeAbstractUI.aspx?menuIndex=3&amp;refID=7049304&amp;Result=3","7049304")</f>
        <v>0</v>
      </c>
      <c r="B1907" t="s">
        <v>858</v>
      </c>
      <c r="C1907" t="s">
        <v>4922</v>
      </c>
      <c r="D1907" t="s">
        <v>16199</v>
      </c>
      <c r="E1907" t="s">
        <v>18050</v>
      </c>
      <c r="F1907" t="s">
        <v>28198</v>
      </c>
      <c r="G1907" t="s">
        <v>28207</v>
      </c>
      <c r="H1907" t="s">
        <v>28215</v>
      </c>
      <c r="I1907" t="s">
        <v>28224</v>
      </c>
      <c r="J1907" t="s">
        <v>29650</v>
      </c>
      <c r="K1907" t="s">
        <v>36689</v>
      </c>
      <c r="M1907" t="s">
        <v>37870</v>
      </c>
      <c r="N1907" t="s">
        <v>40436</v>
      </c>
      <c r="O1907" t="s">
        <v>40437</v>
      </c>
      <c r="P1907">
        <v>0</v>
      </c>
      <c r="Q1907">
        <v>1</v>
      </c>
      <c r="R1907" t="s">
        <v>40438</v>
      </c>
      <c r="S1907" t="s">
        <v>40582</v>
      </c>
      <c r="T1907" t="s">
        <v>42175</v>
      </c>
      <c r="U1907" t="s">
        <v>44283</v>
      </c>
      <c r="W1907" t="s">
        <v>37870</v>
      </c>
      <c r="X1907" t="s">
        <v>40439</v>
      </c>
    </row>
    <row r="1908" spans="1:24">
      <c r="A1908">
        <f>HYPERLINK("https://www.philgeps.gov.ph/GEPSNONPILOT/Tender/SplashBidNoticeAbstractUI.aspx?menuIndex=3&amp;refID=7049311&amp;Result=3","7049311")</f>
        <v>0</v>
      </c>
      <c r="B1908" t="s">
        <v>859</v>
      </c>
      <c r="C1908" t="s">
        <v>4923</v>
      </c>
      <c r="D1908" t="s">
        <v>16265</v>
      </c>
      <c r="E1908" t="s">
        <v>16524</v>
      </c>
      <c r="F1908" t="s">
        <v>28198</v>
      </c>
      <c r="G1908" t="s">
        <v>28210</v>
      </c>
      <c r="H1908" t="s">
        <v>28215</v>
      </c>
      <c r="I1908" t="s">
        <v>4219</v>
      </c>
      <c r="J1908" t="s">
        <v>29651</v>
      </c>
      <c r="K1908" t="s">
        <v>36689</v>
      </c>
      <c r="M1908" t="s">
        <v>37871</v>
      </c>
      <c r="N1908" t="s">
        <v>40436</v>
      </c>
      <c r="O1908" t="s">
        <v>40437</v>
      </c>
      <c r="P1908">
        <v>0</v>
      </c>
      <c r="Q1908">
        <v>0</v>
      </c>
      <c r="R1908" t="s">
        <v>40438</v>
      </c>
      <c r="S1908" t="s">
        <v>40582</v>
      </c>
      <c r="T1908" t="s">
        <v>42124</v>
      </c>
      <c r="U1908" t="s">
        <v>44232</v>
      </c>
      <c r="W1908" t="s">
        <v>37871</v>
      </c>
      <c r="X1908" t="s">
        <v>40439</v>
      </c>
    </row>
    <row r="1909" spans="1:24">
      <c r="A1909">
        <f>HYPERLINK("https://www.philgeps.gov.ph/GEPSNONPILOT/Tender/SplashBidNoticeAbstractUI.aspx?menuIndex=3&amp;refID=7049300&amp;Result=3","7049300")</f>
        <v>0</v>
      </c>
      <c r="B1909" t="s">
        <v>841</v>
      </c>
      <c r="C1909" t="s">
        <v>4924</v>
      </c>
      <c r="D1909" t="s">
        <v>16200</v>
      </c>
      <c r="E1909" t="s">
        <v>18051</v>
      </c>
      <c r="F1909" t="s">
        <v>28198</v>
      </c>
      <c r="G1909" t="s">
        <v>28207</v>
      </c>
      <c r="H1909" t="s">
        <v>28215</v>
      </c>
      <c r="I1909" t="s">
        <v>28250</v>
      </c>
      <c r="J1909" t="s">
        <v>28652</v>
      </c>
      <c r="K1909" t="s">
        <v>36687</v>
      </c>
      <c r="M1909" t="s">
        <v>37853</v>
      </c>
      <c r="N1909" t="s">
        <v>40436</v>
      </c>
      <c r="O1909" t="s">
        <v>40437</v>
      </c>
      <c r="P1909">
        <v>0</v>
      </c>
      <c r="Q1909">
        <v>0</v>
      </c>
      <c r="R1909" t="s">
        <v>40438</v>
      </c>
      <c r="S1909" t="s">
        <v>40582</v>
      </c>
      <c r="T1909" t="s">
        <v>42103</v>
      </c>
      <c r="U1909" t="s">
        <v>44284</v>
      </c>
      <c r="V1909" t="s">
        <v>53991</v>
      </c>
      <c r="W1909" t="s">
        <v>37853</v>
      </c>
      <c r="X1909" t="s">
        <v>40439</v>
      </c>
    </row>
    <row r="1910" spans="1:24">
      <c r="A1910">
        <f>HYPERLINK("https://www.philgeps.gov.ph/GEPSNONPILOT/Tender/SplashBidNoticeAbstractUI.aspx?menuIndex=3&amp;refID=7049317&amp;Result=3","7049317")</f>
        <v>0</v>
      </c>
      <c r="B1910" t="s">
        <v>346</v>
      </c>
      <c r="C1910" t="s">
        <v>4925</v>
      </c>
      <c r="D1910" t="s">
        <v>16217</v>
      </c>
      <c r="E1910" t="s">
        <v>18052</v>
      </c>
      <c r="F1910" t="s">
        <v>28198</v>
      </c>
      <c r="G1910" t="s">
        <v>28205</v>
      </c>
      <c r="H1910" t="s">
        <v>28215</v>
      </c>
      <c r="I1910" t="s">
        <v>5103</v>
      </c>
      <c r="J1910" t="s">
        <v>29652</v>
      </c>
      <c r="K1910" t="s">
        <v>36701</v>
      </c>
      <c r="M1910" t="s">
        <v>37325</v>
      </c>
      <c r="N1910" t="s">
        <v>40436</v>
      </c>
      <c r="O1910" t="s">
        <v>40437</v>
      </c>
      <c r="P1910">
        <v>0</v>
      </c>
      <c r="Q1910">
        <v>2</v>
      </c>
      <c r="R1910" t="s">
        <v>40438</v>
      </c>
      <c r="S1910" t="s">
        <v>40582</v>
      </c>
      <c r="T1910" t="s">
        <v>42168</v>
      </c>
      <c r="U1910" t="s">
        <v>44285</v>
      </c>
      <c r="V1910" t="s">
        <v>53861</v>
      </c>
      <c r="W1910" t="s">
        <v>37325</v>
      </c>
      <c r="X1910" t="s">
        <v>40439</v>
      </c>
    </row>
    <row r="1911" spans="1:24">
      <c r="A1911">
        <f>HYPERLINK("https://www.philgeps.gov.ph/GEPSNONPILOT/Tender/SplashBidNoticeAbstractUI.aspx?menuIndex=3&amp;refID=7049302&amp;Result=3","7049302")</f>
        <v>0</v>
      </c>
      <c r="B1911" t="s">
        <v>780</v>
      </c>
      <c r="C1911" t="s">
        <v>4926</v>
      </c>
      <c r="D1911" t="s">
        <v>16197</v>
      </c>
      <c r="E1911" t="s">
        <v>18053</v>
      </c>
      <c r="F1911" t="s">
        <v>28198</v>
      </c>
      <c r="G1911" t="s">
        <v>28205</v>
      </c>
      <c r="H1911" t="s">
        <v>28214</v>
      </c>
      <c r="I1911" t="s">
        <v>3797</v>
      </c>
      <c r="J1911" t="s">
        <v>29566</v>
      </c>
      <c r="K1911" t="s">
        <v>36764</v>
      </c>
      <c r="M1911" t="s">
        <v>37784</v>
      </c>
      <c r="N1911" t="s">
        <v>40436</v>
      </c>
      <c r="O1911" t="s">
        <v>40437</v>
      </c>
      <c r="P1911">
        <v>0</v>
      </c>
      <c r="Q1911">
        <v>1</v>
      </c>
      <c r="R1911" t="s">
        <v>40438</v>
      </c>
      <c r="S1911" t="s">
        <v>40582</v>
      </c>
      <c r="T1911" t="s">
        <v>42108</v>
      </c>
      <c r="U1911" t="s">
        <v>44102</v>
      </c>
      <c r="W1911" t="s">
        <v>37784</v>
      </c>
      <c r="X1911" t="s">
        <v>40439</v>
      </c>
    </row>
    <row r="1912" spans="1:24">
      <c r="A1912">
        <f>HYPERLINK("https://www.philgeps.gov.ph/GEPSNONPILOT/Tender/SplashBidNoticeAbstractUI.aspx?menuIndex=3&amp;refID=7049298&amp;Result=3","7049298")</f>
        <v>0</v>
      </c>
      <c r="B1912" t="s">
        <v>848</v>
      </c>
      <c r="C1912" t="s">
        <v>4927</v>
      </c>
      <c r="D1912" t="s">
        <v>16219</v>
      </c>
      <c r="E1912" t="s">
        <v>18054</v>
      </c>
      <c r="F1912" t="s">
        <v>28198</v>
      </c>
      <c r="G1912" t="s">
        <v>28207</v>
      </c>
      <c r="H1912" t="s">
        <v>28215</v>
      </c>
      <c r="I1912" t="s">
        <v>28228</v>
      </c>
      <c r="J1912" t="s">
        <v>29653</v>
      </c>
      <c r="K1912" t="s">
        <v>36689</v>
      </c>
      <c r="M1912" t="s">
        <v>37860</v>
      </c>
      <c r="N1912" t="s">
        <v>40436</v>
      </c>
      <c r="O1912" t="s">
        <v>40437</v>
      </c>
      <c r="P1912">
        <v>0</v>
      </c>
      <c r="Q1912">
        <v>0</v>
      </c>
      <c r="R1912" t="s">
        <v>40438</v>
      </c>
      <c r="S1912" t="s">
        <v>40582</v>
      </c>
      <c r="T1912" t="s">
        <v>42133</v>
      </c>
      <c r="U1912" t="s">
        <v>44286</v>
      </c>
      <c r="W1912" t="s">
        <v>37860</v>
      </c>
      <c r="X1912" t="s">
        <v>40439</v>
      </c>
    </row>
    <row r="1913" spans="1:24">
      <c r="A1913">
        <f>HYPERLINK("https://www.philgeps.gov.ph/GEPSNONPILOT/Tender/SplashBidNoticeAbstractUI.aspx?menuIndex=3&amp;refID=7049297&amp;Result=3","7049297")</f>
        <v>0</v>
      </c>
      <c r="B1913" t="s">
        <v>593</v>
      </c>
      <c r="C1913" t="s">
        <v>4928</v>
      </c>
      <c r="D1913" t="s">
        <v>16187</v>
      </c>
      <c r="E1913" t="s">
        <v>18055</v>
      </c>
      <c r="F1913" t="s">
        <v>28198</v>
      </c>
      <c r="G1913" t="s">
        <v>28207</v>
      </c>
      <c r="H1913" t="s">
        <v>28215</v>
      </c>
      <c r="I1913" t="s">
        <v>28255</v>
      </c>
      <c r="J1913" t="s">
        <v>29654</v>
      </c>
      <c r="K1913" t="s">
        <v>36701</v>
      </c>
      <c r="M1913" t="s">
        <v>37810</v>
      </c>
      <c r="N1913" t="s">
        <v>40436</v>
      </c>
      <c r="O1913" t="s">
        <v>40437</v>
      </c>
      <c r="P1913">
        <v>0</v>
      </c>
      <c r="Q1913">
        <v>0</v>
      </c>
      <c r="R1913" t="s">
        <v>40438</v>
      </c>
      <c r="S1913" t="s">
        <v>40582</v>
      </c>
      <c r="T1913" t="s">
        <v>42134</v>
      </c>
      <c r="U1913" t="s">
        <v>44146</v>
      </c>
      <c r="V1913" t="s">
        <v>53977</v>
      </c>
      <c r="W1913" t="s">
        <v>37810</v>
      </c>
      <c r="X1913" t="s">
        <v>40439</v>
      </c>
    </row>
    <row r="1914" spans="1:24">
      <c r="A1914">
        <f>HYPERLINK("https://www.philgeps.gov.ph/GEPSNONPILOT/Tender/SplashBidNoticeAbstractUI.aspx?menuIndex=3&amp;refID=7049299&amp;Result=3","7049299")</f>
        <v>0</v>
      </c>
      <c r="B1914" t="s">
        <v>827</v>
      </c>
      <c r="C1914" t="s">
        <v>4929</v>
      </c>
      <c r="D1914" t="s">
        <v>16209</v>
      </c>
      <c r="E1914" t="s">
        <v>18056</v>
      </c>
      <c r="F1914" t="s">
        <v>28198</v>
      </c>
      <c r="G1914" t="s">
        <v>28207</v>
      </c>
      <c r="H1914" t="s">
        <v>28215</v>
      </c>
      <c r="I1914" t="s">
        <v>28243</v>
      </c>
      <c r="J1914" t="s">
        <v>28373</v>
      </c>
      <c r="K1914" t="s">
        <v>36701</v>
      </c>
      <c r="M1914" t="s">
        <v>37839</v>
      </c>
      <c r="N1914" t="s">
        <v>40436</v>
      </c>
      <c r="O1914" t="s">
        <v>40437</v>
      </c>
      <c r="P1914">
        <v>0</v>
      </c>
      <c r="Q1914">
        <v>4</v>
      </c>
      <c r="R1914" t="s">
        <v>40438</v>
      </c>
      <c r="S1914" t="s">
        <v>40582</v>
      </c>
      <c r="T1914" t="s">
        <v>42177</v>
      </c>
      <c r="U1914" t="s">
        <v>44287</v>
      </c>
      <c r="W1914" t="s">
        <v>37839</v>
      </c>
      <c r="X1914" t="s">
        <v>40439</v>
      </c>
    </row>
    <row r="1915" spans="1:24">
      <c r="A1915">
        <f>HYPERLINK("https://www.philgeps.gov.ph/GEPSNONPILOT/Tender/SplashBidNoticeAbstractUI.aspx?menuIndex=3&amp;refID=7049296&amp;Result=3","7049296")</f>
        <v>0</v>
      </c>
      <c r="B1915" t="s">
        <v>856</v>
      </c>
      <c r="C1915" t="s">
        <v>4930</v>
      </c>
      <c r="D1915" t="s">
        <v>16221</v>
      </c>
      <c r="E1915" t="s">
        <v>18057</v>
      </c>
      <c r="F1915" t="s">
        <v>28198</v>
      </c>
      <c r="G1915" t="s">
        <v>28206</v>
      </c>
      <c r="H1915" t="s">
        <v>28215</v>
      </c>
      <c r="I1915" t="s">
        <v>4168</v>
      </c>
      <c r="J1915" t="s">
        <v>28430</v>
      </c>
      <c r="K1915" t="s">
        <v>36707</v>
      </c>
      <c r="M1915" t="s">
        <v>37868</v>
      </c>
      <c r="N1915" t="s">
        <v>40436</v>
      </c>
      <c r="O1915" t="s">
        <v>40437</v>
      </c>
      <c r="P1915">
        <v>0</v>
      </c>
      <c r="Q1915">
        <v>0</v>
      </c>
      <c r="R1915" t="s">
        <v>40438</v>
      </c>
      <c r="S1915" t="s">
        <v>40582</v>
      </c>
      <c r="T1915" t="s">
        <v>42103</v>
      </c>
      <c r="U1915" t="s">
        <v>44288</v>
      </c>
      <c r="W1915" t="s">
        <v>39895</v>
      </c>
      <c r="X1915" t="s">
        <v>40439</v>
      </c>
    </row>
    <row r="1916" spans="1:24">
      <c r="A1916">
        <f>HYPERLINK("https://www.philgeps.gov.ph/GEPSNONPILOT/Tender/SplashBidNoticeAbstractUI.aspx?menuIndex=3&amp;refID=7049293&amp;Result=3","7049293")</f>
        <v>0</v>
      </c>
      <c r="B1916" t="s">
        <v>825</v>
      </c>
      <c r="C1916" t="s">
        <v>4931</v>
      </c>
      <c r="D1916" t="s">
        <v>16208</v>
      </c>
      <c r="E1916" t="s">
        <v>18058</v>
      </c>
      <c r="F1916" t="s">
        <v>28198</v>
      </c>
      <c r="G1916" t="s">
        <v>28205</v>
      </c>
      <c r="H1916" t="s">
        <v>28215</v>
      </c>
      <c r="I1916" t="s">
        <v>5100</v>
      </c>
      <c r="J1916" t="s">
        <v>29655</v>
      </c>
      <c r="K1916" t="s">
        <v>36715</v>
      </c>
      <c r="M1916" t="s">
        <v>37837</v>
      </c>
      <c r="N1916" t="s">
        <v>40436</v>
      </c>
      <c r="O1916" t="s">
        <v>40437</v>
      </c>
      <c r="P1916">
        <v>0</v>
      </c>
      <c r="Q1916">
        <v>0</v>
      </c>
      <c r="R1916" t="s">
        <v>40438</v>
      </c>
      <c r="S1916" t="s">
        <v>40582</v>
      </c>
      <c r="T1916" t="s">
        <v>42101</v>
      </c>
      <c r="U1916" t="s">
        <v>44289</v>
      </c>
      <c r="W1916" t="s">
        <v>37837</v>
      </c>
      <c r="X1916" t="s">
        <v>40439</v>
      </c>
    </row>
    <row r="1917" spans="1:24">
      <c r="A1917">
        <f>HYPERLINK("https://www.philgeps.gov.ph/GEPSNONPILOT/Tender/SplashBidNoticeAbstractUI.aspx?menuIndex=3&amp;refID=7049301&amp;Result=3","7049301")</f>
        <v>0</v>
      </c>
      <c r="B1917" t="s">
        <v>842</v>
      </c>
      <c r="C1917" t="s">
        <v>4932</v>
      </c>
      <c r="D1917" t="s">
        <v>16239</v>
      </c>
      <c r="E1917" t="s">
        <v>16988</v>
      </c>
      <c r="F1917" t="s">
        <v>28198</v>
      </c>
      <c r="G1917" t="s">
        <v>28207</v>
      </c>
      <c r="H1917" t="s">
        <v>28215</v>
      </c>
      <c r="I1917" t="s">
        <v>5631</v>
      </c>
      <c r="J1917" t="s">
        <v>29656</v>
      </c>
      <c r="K1917" t="s">
        <v>36689</v>
      </c>
      <c r="M1917" t="s">
        <v>37854</v>
      </c>
      <c r="N1917" t="s">
        <v>40436</v>
      </c>
      <c r="O1917" t="s">
        <v>40437</v>
      </c>
      <c r="P1917">
        <v>0</v>
      </c>
      <c r="Q1917">
        <v>0</v>
      </c>
      <c r="R1917" t="s">
        <v>40438</v>
      </c>
      <c r="S1917" t="s">
        <v>40582</v>
      </c>
      <c r="T1917" t="s">
        <v>42124</v>
      </c>
      <c r="U1917" t="s">
        <v>44290</v>
      </c>
      <c r="V1917" t="s">
        <v>53986</v>
      </c>
      <c r="W1917" t="s">
        <v>37854</v>
      </c>
      <c r="X1917" t="s">
        <v>40439</v>
      </c>
    </row>
    <row r="1918" spans="1:24">
      <c r="A1918">
        <f>HYPERLINK("https://www.philgeps.gov.ph/GEPSNONPILOT/Tender/SplashBidNoticeAbstractUI.aspx?menuIndex=3&amp;refID=7049318&amp;Result=3","7049318")</f>
        <v>0</v>
      </c>
      <c r="B1918" t="s">
        <v>755</v>
      </c>
      <c r="C1918" t="s">
        <v>4933</v>
      </c>
      <c r="D1918" t="s">
        <v>16200</v>
      </c>
      <c r="E1918" t="s">
        <v>18059</v>
      </c>
      <c r="F1918" t="s">
        <v>28198</v>
      </c>
      <c r="G1918" t="s">
        <v>28205</v>
      </c>
      <c r="H1918" t="s">
        <v>28215</v>
      </c>
      <c r="I1918" t="s">
        <v>5100</v>
      </c>
      <c r="J1918" t="s">
        <v>29657</v>
      </c>
      <c r="K1918" t="s">
        <v>36707</v>
      </c>
      <c r="M1918" t="s">
        <v>37758</v>
      </c>
      <c r="N1918" t="s">
        <v>40436</v>
      </c>
      <c r="O1918" t="s">
        <v>40437</v>
      </c>
      <c r="P1918">
        <v>0</v>
      </c>
      <c r="Q1918">
        <v>0</v>
      </c>
      <c r="R1918" t="s">
        <v>40438</v>
      </c>
      <c r="S1918" t="s">
        <v>40582</v>
      </c>
      <c r="T1918" t="s">
        <v>42128</v>
      </c>
      <c r="U1918" t="s">
        <v>44043</v>
      </c>
      <c r="W1918" t="s">
        <v>37758</v>
      </c>
      <c r="X1918" t="s">
        <v>40439</v>
      </c>
    </row>
    <row r="1919" spans="1:24">
      <c r="A1919">
        <f>HYPERLINK("https://www.philgeps.gov.ph/GEPSNONPILOT/Tender/SplashBidNoticeAbstractUI.aspx?menuIndex=3&amp;refID=7049286&amp;Result=3","7049286")</f>
        <v>0</v>
      </c>
      <c r="B1919" t="s">
        <v>860</v>
      </c>
      <c r="C1919" t="s">
        <v>4934</v>
      </c>
      <c r="D1919" t="s">
        <v>16199</v>
      </c>
      <c r="E1919" t="s">
        <v>17244</v>
      </c>
      <c r="F1919" t="s">
        <v>28198</v>
      </c>
      <c r="G1919" t="s">
        <v>28206</v>
      </c>
      <c r="H1919" t="s">
        <v>28217</v>
      </c>
      <c r="I1919" t="s">
        <v>28313</v>
      </c>
      <c r="J1919" t="s">
        <v>29285</v>
      </c>
      <c r="K1919" t="s">
        <v>36696</v>
      </c>
      <c r="M1919" t="s">
        <v>37872</v>
      </c>
      <c r="N1919" t="s">
        <v>40436</v>
      </c>
      <c r="O1919" t="s">
        <v>40437</v>
      </c>
      <c r="P1919">
        <v>0</v>
      </c>
      <c r="Q1919">
        <v>0</v>
      </c>
      <c r="R1919" t="s">
        <v>40438</v>
      </c>
      <c r="S1919" t="s">
        <v>40582</v>
      </c>
      <c r="T1919" t="s">
        <v>42131</v>
      </c>
      <c r="U1919" t="s">
        <v>44291</v>
      </c>
      <c r="W1919" t="s">
        <v>37872</v>
      </c>
      <c r="X1919" t="s">
        <v>40439</v>
      </c>
    </row>
    <row r="1920" spans="1:24">
      <c r="A1920">
        <f>HYPERLINK("https://www.philgeps.gov.ph/GEPSNONPILOT/Tender/SplashBidNoticeAbstractUI.aspx?menuIndex=3&amp;refID=7049332&amp;Result=3","7049332")</f>
        <v>0</v>
      </c>
      <c r="B1920" t="s">
        <v>861</v>
      </c>
      <c r="C1920" t="s">
        <v>4935</v>
      </c>
      <c r="D1920" t="s">
        <v>16200</v>
      </c>
      <c r="E1920" t="s">
        <v>16588</v>
      </c>
      <c r="F1920" t="s">
        <v>28198</v>
      </c>
      <c r="G1920" t="s">
        <v>28205</v>
      </c>
      <c r="H1920" t="s">
        <v>28215</v>
      </c>
      <c r="I1920" t="s">
        <v>28234</v>
      </c>
      <c r="J1920" t="s">
        <v>29658</v>
      </c>
      <c r="K1920" t="s">
        <v>36689</v>
      </c>
      <c r="M1920" t="s">
        <v>37873</v>
      </c>
      <c r="N1920" t="s">
        <v>40436</v>
      </c>
      <c r="O1920" t="s">
        <v>40437</v>
      </c>
      <c r="P1920">
        <v>0</v>
      </c>
      <c r="Q1920">
        <v>1</v>
      </c>
      <c r="R1920" t="s">
        <v>40438</v>
      </c>
      <c r="S1920" t="s">
        <v>40582</v>
      </c>
      <c r="T1920" t="s">
        <v>42106</v>
      </c>
      <c r="U1920" t="s">
        <v>44292</v>
      </c>
      <c r="W1920" t="s">
        <v>37873</v>
      </c>
      <c r="X1920" t="s">
        <v>40439</v>
      </c>
    </row>
    <row r="1921" spans="1:24">
      <c r="A1921">
        <f>HYPERLINK("https://www.philgeps.gov.ph/GEPSNONPILOT/Tender/SplashBidNoticeAbstractUI.aspx?menuIndex=3&amp;refID=7049331&amp;Result=3","7049331")</f>
        <v>0</v>
      </c>
      <c r="B1921" t="s">
        <v>593</v>
      </c>
      <c r="C1921" t="s">
        <v>4936</v>
      </c>
      <c r="D1921" t="s">
        <v>16187</v>
      </c>
      <c r="E1921" t="s">
        <v>18060</v>
      </c>
      <c r="F1921" t="s">
        <v>28198</v>
      </c>
      <c r="G1921" t="s">
        <v>28207</v>
      </c>
      <c r="H1921" t="s">
        <v>28215</v>
      </c>
      <c r="I1921" t="s">
        <v>28255</v>
      </c>
      <c r="J1921" t="s">
        <v>29659</v>
      </c>
      <c r="K1921" t="s">
        <v>36701</v>
      </c>
      <c r="M1921" t="s">
        <v>37810</v>
      </c>
      <c r="N1921" t="s">
        <v>40436</v>
      </c>
      <c r="O1921" t="s">
        <v>40437</v>
      </c>
      <c r="P1921">
        <v>0</v>
      </c>
      <c r="Q1921">
        <v>0</v>
      </c>
      <c r="R1921" t="s">
        <v>40438</v>
      </c>
      <c r="S1921" t="s">
        <v>40582</v>
      </c>
      <c r="T1921" t="s">
        <v>42134</v>
      </c>
      <c r="U1921" t="s">
        <v>44146</v>
      </c>
      <c r="V1921" t="s">
        <v>53977</v>
      </c>
      <c r="W1921" t="s">
        <v>37810</v>
      </c>
      <c r="X1921" t="s">
        <v>40439</v>
      </c>
    </row>
    <row r="1922" spans="1:24">
      <c r="A1922">
        <f>HYPERLINK("https://www.philgeps.gov.ph/GEPSNONPILOT/Tender/SplashBidNoticeAbstractUI.aspx?menuIndex=3&amp;refID=7049290&amp;Result=3","7049290")</f>
        <v>0</v>
      </c>
      <c r="B1922" t="s">
        <v>759</v>
      </c>
      <c r="C1922" t="s">
        <v>4937</v>
      </c>
      <c r="D1922" t="s">
        <v>16196</v>
      </c>
      <c r="E1922" t="s">
        <v>18061</v>
      </c>
      <c r="F1922" t="s">
        <v>28198</v>
      </c>
      <c r="G1922" t="s">
        <v>28207</v>
      </c>
      <c r="H1922" t="s">
        <v>28215</v>
      </c>
      <c r="I1922" t="s">
        <v>3774</v>
      </c>
      <c r="J1922" t="s">
        <v>29660</v>
      </c>
      <c r="K1922" t="s">
        <v>36689</v>
      </c>
      <c r="M1922" t="s">
        <v>37762</v>
      </c>
      <c r="N1922" t="s">
        <v>40436</v>
      </c>
      <c r="O1922" t="s">
        <v>40437</v>
      </c>
      <c r="P1922">
        <v>0</v>
      </c>
      <c r="Q1922">
        <v>0</v>
      </c>
      <c r="R1922" t="s">
        <v>40438</v>
      </c>
      <c r="S1922" t="s">
        <v>40582</v>
      </c>
      <c r="T1922" t="s">
        <v>42124</v>
      </c>
      <c r="U1922" t="s">
        <v>44293</v>
      </c>
      <c r="W1922" t="s">
        <v>37762</v>
      </c>
      <c r="X1922" t="s">
        <v>40439</v>
      </c>
    </row>
    <row r="1923" spans="1:24">
      <c r="A1923">
        <f>HYPERLINK("https://www.philgeps.gov.ph/GEPSNONPILOT/Tender/SplashBidNoticeAbstractUI.aspx?menuIndex=3&amp;refID=7049329&amp;Result=3","7049329")</f>
        <v>0</v>
      </c>
      <c r="B1923" t="s">
        <v>862</v>
      </c>
      <c r="C1923" t="s">
        <v>4938</v>
      </c>
      <c r="D1923" t="s">
        <v>16248</v>
      </c>
      <c r="E1923" t="s">
        <v>18062</v>
      </c>
      <c r="F1923" t="s">
        <v>28198</v>
      </c>
      <c r="G1923" t="s">
        <v>28205</v>
      </c>
      <c r="H1923" t="s">
        <v>28214</v>
      </c>
      <c r="I1923" t="s">
        <v>3797</v>
      </c>
      <c r="J1923" t="s">
        <v>29661</v>
      </c>
      <c r="K1923" t="s">
        <v>36701</v>
      </c>
      <c r="L1923" t="s">
        <v>862</v>
      </c>
      <c r="M1923" t="s">
        <v>37874</v>
      </c>
      <c r="N1923" t="s">
        <v>40436</v>
      </c>
      <c r="O1923" t="s">
        <v>40437</v>
      </c>
      <c r="P1923">
        <v>0</v>
      </c>
      <c r="Q1923">
        <v>0</v>
      </c>
      <c r="R1923" t="s">
        <v>40438</v>
      </c>
      <c r="S1923" t="s">
        <v>40582</v>
      </c>
      <c r="T1923" t="s">
        <v>42106</v>
      </c>
      <c r="U1923" t="s">
        <v>44294</v>
      </c>
      <c r="V1923" t="s">
        <v>53992</v>
      </c>
      <c r="W1923" t="s">
        <v>37874</v>
      </c>
      <c r="X1923" t="s">
        <v>40439</v>
      </c>
    </row>
    <row r="1924" spans="1:24">
      <c r="A1924">
        <f>HYPERLINK("https://www.philgeps.gov.ph/GEPSNONPILOT/Tender/SplashBidNoticeAbstractUI.aspx?menuIndex=3&amp;refID=7049328&amp;Result=3","7049328")</f>
        <v>0</v>
      </c>
      <c r="B1924" t="s">
        <v>361</v>
      </c>
      <c r="C1924" t="s">
        <v>4939</v>
      </c>
      <c r="D1924" t="s">
        <v>16236</v>
      </c>
      <c r="E1924" t="s">
        <v>18063</v>
      </c>
      <c r="F1924" t="s">
        <v>28198</v>
      </c>
      <c r="G1924" t="s">
        <v>28209</v>
      </c>
      <c r="H1924" t="s">
        <v>28215</v>
      </c>
      <c r="I1924" t="s">
        <v>3774</v>
      </c>
      <c r="J1924" t="s">
        <v>29662</v>
      </c>
      <c r="K1924" t="s">
        <v>36707</v>
      </c>
      <c r="M1924" t="s">
        <v>37600</v>
      </c>
      <c r="N1924" t="s">
        <v>40436</v>
      </c>
      <c r="O1924" t="s">
        <v>40437</v>
      </c>
      <c r="P1924">
        <v>0</v>
      </c>
      <c r="Q1924">
        <v>0</v>
      </c>
      <c r="R1924" t="s">
        <v>40438</v>
      </c>
      <c r="S1924" t="s">
        <v>40582</v>
      </c>
      <c r="T1924" t="s">
        <v>42209</v>
      </c>
      <c r="U1924" t="s">
        <v>44295</v>
      </c>
      <c r="W1924" t="s">
        <v>37600</v>
      </c>
      <c r="X1924" t="s">
        <v>40439</v>
      </c>
    </row>
    <row r="1925" spans="1:24">
      <c r="A1925">
        <f>HYPERLINK("https://www.philgeps.gov.ph/GEPSNONPILOT/Tender/SplashBidNoticeAbstractUI.aspx?menuIndex=3&amp;refID=7049288&amp;Result=3","7049288")</f>
        <v>0</v>
      </c>
      <c r="B1925" t="s">
        <v>103</v>
      </c>
      <c r="C1925" t="s">
        <v>4940</v>
      </c>
      <c r="D1925" t="s">
        <v>16230</v>
      </c>
      <c r="E1925" t="s">
        <v>18064</v>
      </c>
      <c r="F1925" t="s">
        <v>28198</v>
      </c>
      <c r="G1925" t="s">
        <v>28205</v>
      </c>
      <c r="H1925" t="s">
        <v>28215</v>
      </c>
      <c r="I1925" t="s">
        <v>28228</v>
      </c>
      <c r="J1925" t="s">
        <v>28379</v>
      </c>
      <c r="K1925" t="s">
        <v>36708</v>
      </c>
      <c r="M1925" t="s">
        <v>37077</v>
      </c>
      <c r="N1925" t="s">
        <v>40436</v>
      </c>
      <c r="O1925" t="s">
        <v>40437</v>
      </c>
      <c r="P1925">
        <v>0</v>
      </c>
      <c r="Q1925">
        <v>0</v>
      </c>
      <c r="R1925" t="s">
        <v>40438</v>
      </c>
      <c r="S1925" t="s">
        <v>40582</v>
      </c>
      <c r="T1925" t="s">
        <v>42108</v>
      </c>
      <c r="U1925" t="s">
        <v>44296</v>
      </c>
      <c r="V1925" t="s">
        <v>53993</v>
      </c>
      <c r="W1925" t="s">
        <v>37077</v>
      </c>
      <c r="X1925" t="s">
        <v>40439</v>
      </c>
    </row>
    <row r="1926" spans="1:24">
      <c r="A1926">
        <f>HYPERLINK("https://www.philgeps.gov.ph/GEPSNONPILOT/Tender/SplashBidNoticeAbstractUI.aspx?menuIndex=3&amp;refID=7049330&amp;Result=3","7049330")</f>
        <v>0</v>
      </c>
      <c r="B1926" t="s">
        <v>863</v>
      </c>
      <c r="C1926" t="s">
        <v>4941</v>
      </c>
      <c r="D1926" t="s">
        <v>16224</v>
      </c>
      <c r="E1926" t="s">
        <v>18065</v>
      </c>
      <c r="F1926" t="s">
        <v>28198</v>
      </c>
      <c r="G1926" t="s">
        <v>28205</v>
      </c>
      <c r="H1926" t="s">
        <v>28214</v>
      </c>
      <c r="I1926" t="s">
        <v>28241</v>
      </c>
      <c r="J1926" t="s">
        <v>29663</v>
      </c>
      <c r="K1926" t="s">
        <v>36715</v>
      </c>
      <c r="M1926" t="s">
        <v>37875</v>
      </c>
      <c r="N1926" t="s">
        <v>40436</v>
      </c>
      <c r="O1926" t="s">
        <v>40437</v>
      </c>
      <c r="P1926">
        <v>0</v>
      </c>
      <c r="Q1926">
        <v>0</v>
      </c>
      <c r="R1926" t="s">
        <v>40438</v>
      </c>
      <c r="S1926" t="s">
        <v>40582</v>
      </c>
      <c r="T1926" t="s">
        <v>42115</v>
      </c>
      <c r="U1926" t="s">
        <v>44297</v>
      </c>
      <c r="W1926" t="s">
        <v>37875</v>
      </c>
      <c r="X1926" t="s">
        <v>40439</v>
      </c>
    </row>
    <row r="1927" spans="1:24">
      <c r="A1927">
        <f>HYPERLINK("https://www.philgeps.gov.ph/GEPSNONPILOT/Tender/SplashBidNoticeAbstractUI.aspx?menuIndex=3&amp;refID=7049323&amp;Result=3","7049323")</f>
        <v>0</v>
      </c>
      <c r="B1927" t="s">
        <v>864</v>
      </c>
      <c r="C1927" t="s">
        <v>4942</v>
      </c>
      <c r="D1927" t="s">
        <v>16190</v>
      </c>
      <c r="E1927" t="s">
        <v>18066</v>
      </c>
      <c r="F1927" t="s">
        <v>28198</v>
      </c>
      <c r="G1927" t="s">
        <v>28205</v>
      </c>
      <c r="H1927" t="s">
        <v>28215</v>
      </c>
      <c r="I1927" t="s">
        <v>28222</v>
      </c>
      <c r="J1927" t="s">
        <v>28752</v>
      </c>
      <c r="K1927" t="s">
        <v>36707</v>
      </c>
      <c r="M1927" t="s">
        <v>37876</v>
      </c>
      <c r="N1927" t="s">
        <v>40436</v>
      </c>
      <c r="O1927" t="s">
        <v>40437</v>
      </c>
      <c r="P1927">
        <v>0</v>
      </c>
      <c r="Q1927">
        <v>4</v>
      </c>
      <c r="R1927" t="s">
        <v>40438</v>
      </c>
      <c r="S1927" t="s">
        <v>40582</v>
      </c>
      <c r="T1927" t="s">
        <v>42105</v>
      </c>
      <c r="U1927" t="s">
        <v>44298</v>
      </c>
      <c r="V1927" t="s">
        <v>53994</v>
      </c>
      <c r="W1927" t="s">
        <v>37876</v>
      </c>
      <c r="X1927" t="s">
        <v>40439</v>
      </c>
    </row>
    <row r="1928" spans="1:24">
      <c r="A1928">
        <f>HYPERLINK("https://www.philgeps.gov.ph/GEPSNONPILOT/Tender/SplashBidNoticeAbstractUI.aspx?menuIndex=3&amp;refID=7049292&amp;Result=3","7049292")</f>
        <v>0</v>
      </c>
      <c r="B1928" t="s">
        <v>863</v>
      </c>
      <c r="C1928" t="s">
        <v>4943</v>
      </c>
      <c r="D1928" t="s">
        <v>16224</v>
      </c>
      <c r="E1928" t="s">
        <v>18067</v>
      </c>
      <c r="F1928" t="s">
        <v>28198</v>
      </c>
      <c r="G1928" t="s">
        <v>28205</v>
      </c>
      <c r="H1928" t="s">
        <v>28215</v>
      </c>
      <c r="I1928" t="s">
        <v>28234</v>
      </c>
      <c r="J1928" t="s">
        <v>29664</v>
      </c>
      <c r="K1928" t="s">
        <v>36701</v>
      </c>
      <c r="M1928" t="s">
        <v>37875</v>
      </c>
      <c r="N1928" t="s">
        <v>40436</v>
      </c>
      <c r="O1928" t="s">
        <v>40437</v>
      </c>
      <c r="P1928">
        <v>0</v>
      </c>
      <c r="Q1928">
        <v>3</v>
      </c>
      <c r="R1928" t="s">
        <v>40438</v>
      </c>
      <c r="S1928" t="s">
        <v>40582</v>
      </c>
      <c r="T1928" t="s">
        <v>42115</v>
      </c>
      <c r="U1928" t="s">
        <v>44299</v>
      </c>
      <c r="W1928" t="s">
        <v>37875</v>
      </c>
      <c r="X1928" t="s">
        <v>40439</v>
      </c>
    </row>
    <row r="1929" spans="1:24">
      <c r="A1929">
        <f>HYPERLINK("https://www.philgeps.gov.ph/GEPSNONPILOT/Tender/SplashBidNoticeAbstractUI.aspx?menuIndex=3&amp;refID=7049327&amp;Result=3","7049327")</f>
        <v>0</v>
      </c>
      <c r="B1929" t="s">
        <v>865</v>
      </c>
      <c r="C1929" t="s">
        <v>4944</v>
      </c>
      <c r="D1929" t="s">
        <v>16210</v>
      </c>
      <c r="E1929" t="s">
        <v>18068</v>
      </c>
      <c r="F1929" t="s">
        <v>28198</v>
      </c>
      <c r="G1929" t="s">
        <v>28205</v>
      </c>
      <c r="H1929" t="s">
        <v>28215</v>
      </c>
      <c r="I1929" t="s">
        <v>28238</v>
      </c>
      <c r="J1929" t="s">
        <v>28398</v>
      </c>
      <c r="K1929" t="s">
        <v>36689</v>
      </c>
      <c r="M1929" t="s">
        <v>37877</v>
      </c>
      <c r="N1929" t="s">
        <v>40436</v>
      </c>
      <c r="O1929" t="s">
        <v>40437</v>
      </c>
      <c r="P1929">
        <v>0</v>
      </c>
      <c r="Q1929">
        <v>8</v>
      </c>
      <c r="R1929" t="s">
        <v>40438</v>
      </c>
      <c r="S1929" t="s">
        <v>40582</v>
      </c>
      <c r="T1929" t="s">
        <v>42135</v>
      </c>
      <c r="U1929" t="s">
        <v>44300</v>
      </c>
      <c r="W1929" t="s">
        <v>37877</v>
      </c>
      <c r="X1929" t="s">
        <v>40439</v>
      </c>
    </row>
    <row r="1930" spans="1:24">
      <c r="A1930">
        <f>HYPERLINK("https://www.philgeps.gov.ph/GEPSNONPILOT/Tender/SplashBidNoticeAbstractUI.aspx?menuIndex=3&amp;refID=7049321&amp;Result=3","7049321")</f>
        <v>0</v>
      </c>
      <c r="B1930" t="s">
        <v>866</v>
      </c>
      <c r="C1930" t="s">
        <v>4945</v>
      </c>
      <c r="D1930" t="s">
        <v>16271</v>
      </c>
      <c r="E1930" t="s">
        <v>18069</v>
      </c>
      <c r="F1930" t="s">
        <v>28198</v>
      </c>
      <c r="G1930" t="s">
        <v>28207</v>
      </c>
      <c r="H1930" t="s">
        <v>28215</v>
      </c>
      <c r="I1930" t="s">
        <v>28265</v>
      </c>
      <c r="J1930" t="s">
        <v>29665</v>
      </c>
      <c r="K1930" t="s">
        <v>36706</v>
      </c>
      <c r="M1930" t="s">
        <v>37878</v>
      </c>
      <c r="N1930" t="s">
        <v>40436</v>
      </c>
      <c r="O1930" t="s">
        <v>40437</v>
      </c>
      <c r="P1930">
        <v>0</v>
      </c>
      <c r="Q1930">
        <v>0</v>
      </c>
      <c r="R1930" t="s">
        <v>40438</v>
      </c>
      <c r="S1930" t="s">
        <v>40582</v>
      </c>
      <c r="T1930" t="s">
        <v>42129</v>
      </c>
      <c r="U1930" t="s">
        <v>44301</v>
      </c>
      <c r="W1930" t="s">
        <v>37878</v>
      </c>
      <c r="X1930" t="s">
        <v>40439</v>
      </c>
    </row>
    <row r="1931" spans="1:24">
      <c r="A1931">
        <f>HYPERLINK("https://www.philgeps.gov.ph/GEPSNONPILOT/Tender/SplashBidNoticeAbstractUI.aspx?menuIndex=3&amp;refID=7049325&amp;Result=3","7049325")</f>
        <v>0</v>
      </c>
      <c r="B1931" t="s">
        <v>867</v>
      </c>
      <c r="C1931" t="s">
        <v>4946</v>
      </c>
      <c r="E1931" t="s">
        <v>18070</v>
      </c>
      <c r="F1931" t="s">
        <v>28200</v>
      </c>
      <c r="G1931" t="s">
        <v>28206</v>
      </c>
      <c r="H1931" t="s">
        <v>28215</v>
      </c>
      <c r="I1931" t="s">
        <v>4168</v>
      </c>
      <c r="J1931" t="s">
        <v>29666</v>
      </c>
      <c r="K1931" t="s">
        <v>36689</v>
      </c>
      <c r="M1931" t="s">
        <v>37879</v>
      </c>
      <c r="N1931" t="s">
        <v>40436</v>
      </c>
      <c r="O1931" t="s">
        <v>40437</v>
      </c>
      <c r="P1931">
        <v>0</v>
      </c>
      <c r="Q1931">
        <v>0</v>
      </c>
      <c r="R1931" t="s">
        <v>40438</v>
      </c>
      <c r="S1931" t="s">
        <v>40582</v>
      </c>
      <c r="T1931" t="s">
        <v>42148</v>
      </c>
      <c r="U1931" t="s">
        <v>44302</v>
      </c>
      <c r="W1931" t="s">
        <v>37879</v>
      </c>
      <c r="X1931" t="s">
        <v>40439</v>
      </c>
    </row>
    <row r="1932" spans="1:24">
      <c r="A1932">
        <f>HYPERLINK("https://www.philgeps.gov.ph/GEPSNONPILOT/Tender/SplashBidNoticeAbstractUI.aspx?menuIndex=3&amp;refID=7049339&amp;Result=3","7049339")</f>
        <v>0</v>
      </c>
      <c r="B1932" t="s">
        <v>868</v>
      </c>
      <c r="C1932" t="s">
        <v>4947</v>
      </c>
      <c r="D1932" t="s">
        <v>16191</v>
      </c>
      <c r="E1932" t="s">
        <v>17449</v>
      </c>
      <c r="F1932" t="s">
        <v>28198</v>
      </c>
      <c r="G1932" t="s">
        <v>28207</v>
      </c>
      <c r="H1932" t="s">
        <v>28215</v>
      </c>
      <c r="I1932" t="s">
        <v>8870</v>
      </c>
      <c r="J1932" t="s">
        <v>29667</v>
      </c>
      <c r="K1932" t="s">
        <v>36691</v>
      </c>
      <c r="M1932" t="s">
        <v>37880</v>
      </c>
      <c r="N1932" t="s">
        <v>40436</v>
      </c>
      <c r="O1932" t="s">
        <v>40437</v>
      </c>
      <c r="P1932">
        <v>0</v>
      </c>
      <c r="Q1932">
        <v>1</v>
      </c>
      <c r="R1932" t="s">
        <v>40438</v>
      </c>
      <c r="S1932" t="s">
        <v>40582</v>
      </c>
      <c r="T1932" t="s">
        <v>42142</v>
      </c>
      <c r="U1932" t="s">
        <v>44303</v>
      </c>
      <c r="W1932" t="s">
        <v>37880</v>
      </c>
      <c r="X1932" t="s">
        <v>40439</v>
      </c>
    </row>
    <row r="1933" spans="1:24">
      <c r="A1933">
        <f>HYPERLINK("https://www.philgeps.gov.ph/GEPSNONPILOT/Tender/SplashBidNoticeAbstractUI.aspx?menuIndex=3&amp;refID=7049337&amp;Result=3","7049337")</f>
        <v>0</v>
      </c>
      <c r="B1933" t="s">
        <v>807</v>
      </c>
      <c r="C1933" t="s">
        <v>4948</v>
      </c>
      <c r="D1933" t="s">
        <v>16188</v>
      </c>
      <c r="E1933" t="s">
        <v>18071</v>
      </c>
      <c r="F1933" t="s">
        <v>28198</v>
      </c>
      <c r="G1933" t="s">
        <v>28207</v>
      </c>
      <c r="H1933" t="s">
        <v>28215</v>
      </c>
      <c r="I1933" t="s">
        <v>4321</v>
      </c>
      <c r="J1933" t="s">
        <v>29668</v>
      </c>
      <c r="K1933" t="s">
        <v>36689</v>
      </c>
      <c r="M1933" t="s">
        <v>37815</v>
      </c>
      <c r="N1933" t="s">
        <v>40436</v>
      </c>
      <c r="O1933" t="s">
        <v>40437</v>
      </c>
      <c r="P1933">
        <v>0</v>
      </c>
      <c r="Q1933">
        <v>1</v>
      </c>
      <c r="R1933" t="s">
        <v>40438</v>
      </c>
      <c r="S1933" t="s">
        <v>40582</v>
      </c>
      <c r="T1933" t="s">
        <v>42124</v>
      </c>
      <c r="U1933" t="s">
        <v>44304</v>
      </c>
      <c r="W1933" t="s">
        <v>37815</v>
      </c>
      <c r="X1933" t="s">
        <v>40439</v>
      </c>
    </row>
    <row r="1934" spans="1:24">
      <c r="A1934">
        <f>HYPERLINK("https://www.philgeps.gov.ph/GEPSNONPILOT/Tender/SplashBidNoticeAbstractUI.aspx?menuIndex=3&amp;refID=7049335&amp;Result=3","7049335")</f>
        <v>0</v>
      </c>
      <c r="B1934" t="s">
        <v>869</v>
      </c>
      <c r="C1934" t="s">
        <v>3220</v>
      </c>
      <c r="D1934" t="s">
        <v>16226</v>
      </c>
      <c r="E1934" t="s">
        <v>18072</v>
      </c>
      <c r="F1934" t="s">
        <v>28198</v>
      </c>
      <c r="G1934" t="s">
        <v>28207</v>
      </c>
      <c r="H1934" t="s">
        <v>28215</v>
      </c>
      <c r="I1934" t="s">
        <v>5082</v>
      </c>
      <c r="J1934" t="s">
        <v>29669</v>
      </c>
      <c r="K1934" t="s">
        <v>36707</v>
      </c>
      <c r="M1934" t="s">
        <v>37881</v>
      </c>
      <c r="N1934" t="s">
        <v>40436</v>
      </c>
      <c r="O1934" t="s">
        <v>40437</v>
      </c>
      <c r="P1934">
        <v>0</v>
      </c>
      <c r="Q1934">
        <v>1</v>
      </c>
      <c r="R1934" t="s">
        <v>40438</v>
      </c>
      <c r="S1934" t="s">
        <v>40582</v>
      </c>
      <c r="T1934" t="s">
        <v>42203</v>
      </c>
      <c r="U1934" t="s">
        <v>44305</v>
      </c>
      <c r="W1934" t="s">
        <v>37881</v>
      </c>
      <c r="X1934" t="s">
        <v>40439</v>
      </c>
    </row>
    <row r="1935" spans="1:24">
      <c r="A1935">
        <f>HYPERLINK("https://www.philgeps.gov.ph/GEPSNONPILOT/Tender/SplashBidNoticeAbstractUI.aspx?menuIndex=3&amp;refID=7049334&amp;Result=3","7049334")</f>
        <v>0</v>
      </c>
      <c r="B1935" t="s">
        <v>166</v>
      </c>
      <c r="C1935" t="s">
        <v>4949</v>
      </c>
      <c r="D1935" t="s">
        <v>16235</v>
      </c>
      <c r="E1935" t="s">
        <v>18073</v>
      </c>
      <c r="F1935" t="s">
        <v>28198</v>
      </c>
      <c r="G1935" t="s">
        <v>28205</v>
      </c>
      <c r="H1935" t="s">
        <v>28215</v>
      </c>
      <c r="I1935" t="s">
        <v>28296</v>
      </c>
      <c r="J1935" t="s">
        <v>28350</v>
      </c>
      <c r="K1935" t="s">
        <v>36707</v>
      </c>
      <c r="M1935" t="s">
        <v>37140</v>
      </c>
      <c r="N1935" t="s">
        <v>40436</v>
      </c>
      <c r="O1935" t="s">
        <v>40437</v>
      </c>
      <c r="P1935">
        <v>0</v>
      </c>
      <c r="Q1935">
        <v>0</v>
      </c>
      <c r="R1935" t="s">
        <v>40438</v>
      </c>
      <c r="S1935" t="s">
        <v>40582</v>
      </c>
      <c r="T1935" t="s">
        <v>42294</v>
      </c>
      <c r="U1935" t="s">
        <v>42895</v>
      </c>
      <c r="W1935" t="s">
        <v>37140</v>
      </c>
      <c r="X1935" t="s">
        <v>40439</v>
      </c>
    </row>
    <row r="1936" spans="1:24">
      <c r="A1936">
        <f>HYPERLINK("https://www.philgeps.gov.ph/GEPSNONPILOT/Tender/SplashBidNoticeAbstractUI.aspx?menuIndex=3&amp;refID=7049322&amp;Result=3","7049322")</f>
        <v>0</v>
      </c>
      <c r="B1936" t="s">
        <v>695</v>
      </c>
      <c r="C1936" t="s">
        <v>4950</v>
      </c>
      <c r="D1936" t="s">
        <v>16204</v>
      </c>
      <c r="E1936" t="s">
        <v>18074</v>
      </c>
      <c r="F1936" t="s">
        <v>28198</v>
      </c>
      <c r="G1936" t="s">
        <v>28206</v>
      </c>
      <c r="H1936" t="s">
        <v>28215</v>
      </c>
      <c r="I1936" t="s">
        <v>28227</v>
      </c>
      <c r="J1936" t="s">
        <v>29670</v>
      </c>
      <c r="K1936" t="s">
        <v>36689</v>
      </c>
      <c r="M1936" t="s">
        <v>37695</v>
      </c>
      <c r="N1936" t="s">
        <v>40436</v>
      </c>
      <c r="O1936" t="s">
        <v>40437</v>
      </c>
      <c r="P1936">
        <v>0</v>
      </c>
      <c r="Q1936">
        <v>0</v>
      </c>
      <c r="R1936" t="s">
        <v>40438</v>
      </c>
      <c r="S1936" t="s">
        <v>40582</v>
      </c>
      <c r="T1936" t="s">
        <v>42277</v>
      </c>
      <c r="U1936" t="s">
        <v>44306</v>
      </c>
      <c r="W1936" t="s">
        <v>37695</v>
      </c>
      <c r="X1936" t="s">
        <v>40439</v>
      </c>
    </row>
    <row r="1937" spans="1:24">
      <c r="A1937">
        <f>HYPERLINK("https://www.philgeps.gov.ph/GEPSNONPILOT/Tender/SplashBidNoticeAbstractUI.aspx?menuIndex=3&amp;refID=7049320&amp;Result=3","7049320")</f>
        <v>0</v>
      </c>
      <c r="B1937" t="s">
        <v>775</v>
      </c>
      <c r="C1937" t="s">
        <v>4951</v>
      </c>
      <c r="D1937" t="s">
        <v>16206</v>
      </c>
      <c r="E1937" t="s">
        <v>18075</v>
      </c>
      <c r="F1937" t="s">
        <v>28198</v>
      </c>
      <c r="G1937" t="s">
        <v>28205</v>
      </c>
      <c r="H1937" t="s">
        <v>28215</v>
      </c>
      <c r="I1937" t="s">
        <v>5082</v>
      </c>
      <c r="J1937" t="s">
        <v>29671</v>
      </c>
      <c r="K1937" t="s">
        <v>36707</v>
      </c>
      <c r="M1937" t="s">
        <v>37779</v>
      </c>
      <c r="N1937" t="s">
        <v>40436</v>
      </c>
      <c r="O1937" t="s">
        <v>40437</v>
      </c>
      <c r="P1937">
        <v>0</v>
      </c>
      <c r="Q1937">
        <v>1</v>
      </c>
      <c r="R1937" t="s">
        <v>40438</v>
      </c>
      <c r="S1937" t="s">
        <v>40582</v>
      </c>
      <c r="T1937" t="s">
        <v>42195</v>
      </c>
      <c r="U1937" t="s">
        <v>44307</v>
      </c>
      <c r="W1937" t="s">
        <v>37779</v>
      </c>
      <c r="X1937" t="s">
        <v>40439</v>
      </c>
    </row>
    <row r="1938" spans="1:24">
      <c r="A1938">
        <f>HYPERLINK("https://www.philgeps.gov.ph/GEPSNONPILOT/Tender/SplashBidNoticeAbstractUI.aspx?menuIndex=3&amp;refID=7049319&amp;Result=3","7049319")</f>
        <v>0</v>
      </c>
      <c r="B1938" t="s">
        <v>728</v>
      </c>
      <c r="C1938" t="s">
        <v>4952</v>
      </c>
      <c r="D1938" t="s">
        <v>16200</v>
      </c>
      <c r="E1938" t="s">
        <v>18076</v>
      </c>
      <c r="F1938" t="s">
        <v>28198</v>
      </c>
      <c r="G1938" t="s">
        <v>28205</v>
      </c>
      <c r="H1938" t="s">
        <v>28215</v>
      </c>
      <c r="I1938" t="s">
        <v>28280</v>
      </c>
      <c r="J1938" t="s">
        <v>29672</v>
      </c>
      <c r="K1938" t="s">
        <v>36697</v>
      </c>
      <c r="M1938" t="s">
        <v>37729</v>
      </c>
      <c r="N1938" t="s">
        <v>40436</v>
      </c>
      <c r="O1938" t="s">
        <v>40437</v>
      </c>
      <c r="P1938">
        <v>0</v>
      </c>
      <c r="Q1938">
        <v>4</v>
      </c>
      <c r="R1938" t="s">
        <v>40438</v>
      </c>
      <c r="S1938" t="s">
        <v>40582</v>
      </c>
      <c r="T1938" t="s">
        <v>42143</v>
      </c>
      <c r="U1938" t="s">
        <v>43975</v>
      </c>
      <c r="W1938" t="s">
        <v>37729</v>
      </c>
      <c r="X1938" t="s">
        <v>40439</v>
      </c>
    </row>
    <row r="1939" spans="1:24">
      <c r="A1939">
        <f>HYPERLINK("https://www.philgeps.gov.ph/GEPSNONPILOT/Tender/SplashBidNoticeAbstractUI.aspx?menuIndex=3&amp;refID=7049340&amp;Result=3","7049340")</f>
        <v>0</v>
      </c>
      <c r="B1939" t="s">
        <v>870</v>
      </c>
      <c r="C1939" t="s">
        <v>4953</v>
      </c>
      <c r="D1939" t="s">
        <v>16221</v>
      </c>
      <c r="E1939" t="s">
        <v>18077</v>
      </c>
      <c r="F1939" t="s">
        <v>28198</v>
      </c>
      <c r="G1939" t="s">
        <v>28205</v>
      </c>
      <c r="H1939" t="s">
        <v>28214</v>
      </c>
      <c r="I1939" t="s">
        <v>3797</v>
      </c>
      <c r="J1939" t="s">
        <v>29595</v>
      </c>
      <c r="K1939" t="s">
        <v>36737</v>
      </c>
      <c r="M1939" t="s">
        <v>37882</v>
      </c>
      <c r="N1939" t="s">
        <v>40436</v>
      </c>
      <c r="O1939" t="s">
        <v>40437</v>
      </c>
      <c r="P1939">
        <v>0</v>
      </c>
      <c r="Q1939">
        <v>1</v>
      </c>
      <c r="R1939" t="s">
        <v>40438</v>
      </c>
      <c r="S1939" t="s">
        <v>40582</v>
      </c>
      <c r="T1939" t="s">
        <v>42106</v>
      </c>
      <c r="U1939" t="s">
        <v>44308</v>
      </c>
      <c r="V1939" t="s">
        <v>53995</v>
      </c>
      <c r="W1939" t="s">
        <v>37882</v>
      </c>
      <c r="X1939" t="s">
        <v>40439</v>
      </c>
    </row>
    <row r="1940" spans="1:24">
      <c r="A1940">
        <f>HYPERLINK("https://www.philgeps.gov.ph/GEPSNONPILOT/Tender/SplashBidNoticeAbstractUI.aspx?menuIndex=3&amp;refID=7049341&amp;Result=3","7049341")</f>
        <v>0</v>
      </c>
      <c r="B1940" t="s">
        <v>109</v>
      </c>
      <c r="C1940" t="s">
        <v>4954</v>
      </c>
      <c r="D1940" t="s">
        <v>16188</v>
      </c>
      <c r="E1940" t="s">
        <v>18078</v>
      </c>
      <c r="F1940" t="s">
        <v>28198</v>
      </c>
      <c r="G1940" t="s">
        <v>28205</v>
      </c>
      <c r="H1940" t="s">
        <v>28215</v>
      </c>
      <c r="I1940" t="s">
        <v>28314</v>
      </c>
      <c r="J1940" t="s">
        <v>28398</v>
      </c>
      <c r="K1940" t="s">
        <v>36707</v>
      </c>
      <c r="M1940" t="s">
        <v>37883</v>
      </c>
      <c r="N1940" t="s">
        <v>40436</v>
      </c>
      <c r="O1940" t="s">
        <v>40437</v>
      </c>
      <c r="P1940">
        <v>0</v>
      </c>
      <c r="Q1940">
        <v>1</v>
      </c>
      <c r="R1940" t="s">
        <v>40438</v>
      </c>
      <c r="S1940" t="s">
        <v>40582</v>
      </c>
      <c r="T1940" t="s">
        <v>42295</v>
      </c>
      <c r="U1940" t="s">
        <v>44309</v>
      </c>
      <c r="W1940" t="s">
        <v>37883</v>
      </c>
      <c r="X1940" t="s">
        <v>40439</v>
      </c>
    </row>
    <row r="1941" spans="1:24">
      <c r="A1941">
        <f>HYPERLINK("https://www.philgeps.gov.ph/GEPSNONPILOT/Tender/SplashBidNoticeAbstractUI.aspx?menuIndex=3&amp;refID=7049324&amp;Result=3","7049324")</f>
        <v>0</v>
      </c>
      <c r="B1941" t="s">
        <v>186</v>
      </c>
      <c r="C1941" t="s">
        <v>4955</v>
      </c>
      <c r="D1941" t="s">
        <v>16248</v>
      </c>
      <c r="E1941" t="s">
        <v>18079</v>
      </c>
      <c r="F1941" t="s">
        <v>28198</v>
      </c>
      <c r="G1941" t="s">
        <v>28205</v>
      </c>
      <c r="H1941" t="s">
        <v>28214</v>
      </c>
      <c r="I1941" t="s">
        <v>3797</v>
      </c>
      <c r="J1941" t="s">
        <v>29673</v>
      </c>
      <c r="K1941" t="s">
        <v>36694</v>
      </c>
      <c r="M1941" t="s">
        <v>37884</v>
      </c>
      <c r="N1941" t="s">
        <v>40436</v>
      </c>
      <c r="O1941" t="s">
        <v>40437</v>
      </c>
      <c r="P1941">
        <v>0</v>
      </c>
      <c r="Q1941">
        <v>0</v>
      </c>
      <c r="R1941" t="s">
        <v>40438</v>
      </c>
      <c r="S1941" t="s">
        <v>40582</v>
      </c>
      <c r="T1941" t="s">
        <v>42187</v>
      </c>
      <c r="U1941" t="s">
        <v>44310</v>
      </c>
      <c r="V1941" t="s">
        <v>53996</v>
      </c>
      <c r="W1941" t="s">
        <v>37884</v>
      </c>
      <c r="X1941" t="s">
        <v>40439</v>
      </c>
    </row>
    <row r="1942" spans="1:24">
      <c r="A1942">
        <f>HYPERLINK("https://www.philgeps.gov.ph/GEPSNONPILOT/Tender/SplashBidNoticeAbstractUI.aspx?menuIndex=3&amp;refID=7049353&amp;Result=3","7049353")</f>
        <v>0</v>
      </c>
      <c r="B1942" t="s">
        <v>871</v>
      </c>
      <c r="C1942" t="s">
        <v>4956</v>
      </c>
      <c r="D1942" t="s">
        <v>16221</v>
      </c>
      <c r="E1942" t="s">
        <v>18080</v>
      </c>
      <c r="F1942" t="s">
        <v>28198</v>
      </c>
      <c r="G1942" t="s">
        <v>28206</v>
      </c>
      <c r="H1942" t="s">
        <v>28215</v>
      </c>
      <c r="I1942" t="s">
        <v>5082</v>
      </c>
      <c r="J1942" t="s">
        <v>29674</v>
      </c>
      <c r="K1942" t="s">
        <v>36688</v>
      </c>
      <c r="M1942" t="s">
        <v>37885</v>
      </c>
      <c r="N1942" t="s">
        <v>40436</v>
      </c>
      <c r="O1942" t="s">
        <v>40437</v>
      </c>
      <c r="P1942">
        <v>0</v>
      </c>
      <c r="Q1942">
        <v>0</v>
      </c>
      <c r="R1942" t="s">
        <v>40438</v>
      </c>
      <c r="S1942" t="s">
        <v>40582</v>
      </c>
      <c r="T1942" t="s">
        <v>42187</v>
      </c>
      <c r="U1942" t="s">
        <v>43698</v>
      </c>
      <c r="W1942" t="s">
        <v>55466</v>
      </c>
      <c r="X1942" t="s">
        <v>40439</v>
      </c>
    </row>
    <row r="1943" spans="1:24">
      <c r="A1943">
        <f>HYPERLINK("https://www.philgeps.gov.ph/GEPSNONPILOT/Tender/SplashBidNoticeAbstractUI.aspx?menuIndex=3&amp;refID=7049342&amp;Result=3","7049342")</f>
        <v>0</v>
      </c>
      <c r="B1943" t="s">
        <v>186</v>
      </c>
      <c r="C1943" t="s">
        <v>4957</v>
      </c>
      <c r="D1943" t="s">
        <v>16248</v>
      </c>
      <c r="E1943" t="s">
        <v>18081</v>
      </c>
      <c r="F1943" t="s">
        <v>28198</v>
      </c>
      <c r="G1943" t="s">
        <v>28205</v>
      </c>
      <c r="H1943" t="s">
        <v>28214</v>
      </c>
      <c r="I1943" t="s">
        <v>3797</v>
      </c>
      <c r="J1943" t="s">
        <v>29675</v>
      </c>
      <c r="K1943" t="s">
        <v>36701</v>
      </c>
      <c r="M1943" t="s">
        <v>37884</v>
      </c>
      <c r="N1943" t="s">
        <v>40436</v>
      </c>
      <c r="O1943" t="s">
        <v>40437</v>
      </c>
      <c r="P1943">
        <v>0</v>
      </c>
      <c r="Q1943">
        <v>0</v>
      </c>
      <c r="R1943" t="s">
        <v>40438</v>
      </c>
      <c r="S1943" t="s">
        <v>40582</v>
      </c>
      <c r="T1943" t="s">
        <v>42213</v>
      </c>
      <c r="U1943" t="s">
        <v>44311</v>
      </c>
      <c r="V1943" t="s">
        <v>53996</v>
      </c>
      <c r="W1943" t="s">
        <v>37884</v>
      </c>
      <c r="X1943" t="s">
        <v>40439</v>
      </c>
    </row>
    <row r="1944" spans="1:24">
      <c r="A1944">
        <f>HYPERLINK("https://www.philgeps.gov.ph/GEPSNONPILOT/Tender/SplashBidNoticeAbstractUI.aspx?menuIndex=3&amp;refID=7049356&amp;Result=3","7049356")</f>
        <v>0</v>
      </c>
      <c r="B1944" t="s">
        <v>872</v>
      </c>
      <c r="C1944" t="s">
        <v>4958</v>
      </c>
      <c r="D1944" t="s">
        <v>16204</v>
      </c>
      <c r="E1944" t="s">
        <v>18082</v>
      </c>
      <c r="F1944" t="s">
        <v>28198</v>
      </c>
      <c r="G1944" t="s">
        <v>28205</v>
      </c>
      <c r="H1944" t="s">
        <v>28214</v>
      </c>
      <c r="I1944" t="s">
        <v>3797</v>
      </c>
      <c r="J1944" t="s">
        <v>29676</v>
      </c>
      <c r="K1944" t="s">
        <v>36697</v>
      </c>
      <c r="M1944" t="s">
        <v>37886</v>
      </c>
      <c r="N1944" t="s">
        <v>40436</v>
      </c>
      <c r="O1944" t="s">
        <v>40437</v>
      </c>
      <c r="P1944">
        <v>0</v>
      </c>
      <c r="Q1944">
        <v>24</v>
      </c>
      <c r="R1944" t="s">
        <v>40438</v>
      </c>
      <c r="S1944" t="s">
        <v>40582</v>
      </c>
      <c r="T1944" t="s">
        <v>42130</v>
      </c>
      <c r="U1944" t="s">
        <v>44312</v>
      </c>
      <c r="W1944" t="s">
        <v>37886</v>
      </c>
      <c r="X1944" t="s">
        <v>40439</v>
      </c>
    </row>
    <row r="1945" spans="1:24">
      <c r="A1945">
        <f>HYPERLINK("https://www.philgeps.gov.ph/GEPSNONPILOT/Tender/SplashBidNoticeAbstractUI.aspx?menuIndex=3&amp;refID=7049348&amp;Result=3","7049348")</f>
        <v>0</v>
      </c>
      <c r="B1945" t="s">
        <v>737</v>
      </c>
      <c r="C1945" t="s">
        <v>4959</v>
      </c>
      <c r="E1945" t="s">
        <v>18083</v>
      </c>
      <c r="F1945" t="s">
        <v>28198</v>
      </c>
      <c r="G1945" t="s">
        <v>28206</v>
      </c>
      <c r="H1945" t="s">
        <v>28215</v>
      </c>
      <c r="I1945" t="s">
        <v>5082</v>
      </c>
      <c r="J1945" t="s">
        <v>29677</v>
      </c>
      <c r="K1945" t="s">
        <v>36689</v>
      </c>
      <c r="M1945" t="s">
        <v>37887</v>
      </c>
      <c r="N1945" t="s">
        <v>40436</v>
      </c>
      <c r="O1945" t="s">
        <v>40437</v>
      </c>
      <c r="P1945">
        <v>0</v>
      </c>
      <c r="Q1945">
        <v>5</v>
      </c>
      <c r="R1945" t="s">
        <v>40438</v>
      </c>
      <c r="S1945" t="s">
        <v>40582</v>
      </c>
      <c r="T1945" t="s">
        <v>42191</v>
      </c>
      <c r="U1945" t="s">
        <v>44313</v>
      </c>
      <c r="V1945" t="s">
        <v>53997</v>
      </c>
      <c r="W1945" t="s">
        <v>37887</v>
      </c>
      <c r="X1945" t="s">
        <v>40439</v>
      </c>
    </row>
    <row r="1946" spans="1:24">
      <c r="A1946">
        <f>HYPERLINK("https://www.philgeps.gov.ph/GEPSNONPILOT/Tender/SplashBidNoticeAbstractUI.aspx?menuIndex=3&amp;refID=7049346&amp;Result=3","7049346")</f>
        <v>0</v>
      </c>
      <c r="B1946" t="s">
        <v>873</v>
      </c>
      <c r="C1946" t="s">
        <v>4960</v>
      </c>
      <c r="D1946" t="s">
        <v>16210</v>
      </c>
      <c r="E1946" t="s">
        <v>18084</v>
      </c>
      <c r="F1946" t="s">
        <v>28198</v>
      </c>
      <c r="G1946" t="s">
        <v>28207</v>
      </c>
      <c r="H1946" t="s">
        <v>28215</v>
      </c>
      <c r="I1946" t="s">
        <v>28272</v>
      </c>
      <c r="J1946" t="s">
        <v>29678</v>
      </c>
      <c r="K1946" t="s">
        <v>36689</v>
      </c>
      <c r="M1946" t="s">
        <v>37888</v>
      </c>
      <c r="N1946" t="s">
        <v>40436</v>
      </c>
      <c r="O1946" t="s">
        <v>40437</v>
      </c>
      <c r="P1946">
        <v>0</v>
      </c>
      <c r="Q1946">
        <v>1</v>
      </c>
      <c r="R1946" t="s">
        <v>40438</v>
      </c>
      <c r="S1946" t="s">
        <v>40582</v>
      </c>
      <c r="T1946" t="s">
        <v>42124</v>
      </c>
      <c r="U1946" t="s">
        <v>44314</v>
      </c>
      <c r="W1946" t="s">
        <v>37888</v>
      </c>
      <c r="X1946" t="s">
        <v>40439</v>
      </c>
    </row>
    <row r="1947" spans="1:24">
      <c r="A1947">
        <f>HYPERLINK("https://www.philgeps.gov.ph/GEPSNONPILOT/Tender/SplashBidNoticeAbstractUI.aspx?menuIndex=3&amp;refID=7049349&amp;Result=3","7049349")</f>
        <v>0</v>
      </c>
      <c r="B1947" t="s">
        <v>870</v>
      </c>
      <c r="C1947" t="s">
        <v>4961</v>
      </c>
      <c r="D1947" t="s">
        <v>16221</v>
      </c>
      <c r="E1947" t="s">
        <v>18085</v>
      </c>
      <c r="F1947" t="s">
        <v>28198</v>
      </c>
      <c r="G1947" t="s">
        <v>28205</v>
      </c>
      <c r="H1947" t="s">
        <v>28214</v>
      </c>
      <c r="I1947" t="s">
        <v>3797</v>
      </c>
      <c r="J1947" t="s">
        <v>29679</v>
      </c>
      <c r="K1947" t="s">
        <v>36737</v>
      </c>
      <c r="M1947" t="s">
        <v>37882</v>
      </c>
      <c r="N1947" t="s">
        <v>40436</v>
      </c>
      <c r="O1947" t="s">
        <v>40437</v>
      </c>
      <c r="P1947">
        <v>0</v>
      </c>
      <c r="Q1947">
        <v>1</v>
      </c>
      <c r="R1947" t="s">
        <v>40438</v>
      </c>
      <c r="S1947" t="s">
        <v>40582</v>
      </c>
      <c r="T1947" t="s">
        <v>42296</v>
      </c>
      <c r="U1947" t="s">
        <v>44308</v>
      </c>
      <c r="V1947" t="s">
        <v>53995</v>
      </c>
      <c r="W1947" t="s">
        <v>37882</v>
      </c>
      <c r="X1947" t="s">
        <v>40439</v>
      </c>
    </row>
    <row r="1948" spans="1:24">
      <c r="A1948">
        <f>HYPERLINK("https://www.philgeps.gov.ph/GEPSNONPILOT/Tender/SplashBidNoticeAbstractUI.aspx?menuIndex=3&amp;refID=7049362&amp;Result=3","7049362")</f>
        <v>0</v>
      </c>
      <c r="B1948" t="s">
        <v>690</v>
      </c>
      <c r="C1948" t="s">
        <v>4962</v>
      </c>
      <c r="D1948" t="s">
        <v>16260</v>
      </c>
      <c r="E1948" t="s">
        <v>18086</v>
      </c>
      <c r="F1948" t="s">
        <v>28198</v>
      </c>
      <c r="G1948" t="s">
        <v>28210</v>
      </c>
      <c r="H1948" t="s">
        <v>28215</v>
      </c>
      <c r="I1948" t="s">
        <v>28234</v>
      </c>
      <c r="J1948" t="s">
        <v>29680</v>
      </c>
      <c r="K1948" t="s">
        <v>36701</v>
      </c>
      <c r="M1948" t="s">
        <v>37689</v>
      </c>
      <c r="N1948" t="s">
        <v>40436</v>
      </c>
      <c r="O1948" t="s">
        <v>40437</v>
      </c>
      <c r="P1948">
        <v>0</v>
      </c>
      <c r="Q1948">
        <v>0</v>
      </c>
      <c r="R1948" t="s">
        <v>40438</v>
      </c>
      <c r="S1948" t="s">
        <v>40582</v>
      </c>
      <c r="T1948" t="s">
        <v>42119</v>
      </c>
      <c r="U1948" t="s">
        <v>44315</v>
      </c>
      <c r="W1948" t="s">
        <v>37689</v>
      </c>
      <c r="X1948" t="s">
        <v>40439</v>
      </c>
    </row>
    <row r="1949" spans="1:24">
      <c r="A1949">
        <f>HYPERLINK("https://www.philgeps.gov.ph/GEPSNONPILOT/Tender/SplashBidNoticeAbstractUI.aspx?menuIndex=3&amp;refID=7049344&amp;Result=3","7049344")</f>
        <v>0</v>
      </c>
      <c r="B1949" t="s">
        <v>874</v>
      </c>
      <c r="C1949" t="s">
        <v>4963</v>
      </c>
      <c r="D1949" t="s">
        <v>16226</v>
      </c>
      <c r="E1949" t="s">
        <v>18087</v>
      </c>
      <c r="F1949" t="s">
        <v>28198</v>
      </c>
      <c r="G1949" t="s">
        <v>28206</v>
      </c>
      <c r="H1949" t="s">
        <v>28215</v>
      </c>
      <c r="I1949" t="s">
        <v>28247</v>
      </c>
      <c r="J1949" t="s">
        <v>28414</v>
      </c>
      <c r="K1949" t="s">
        <v>36701</v>
      </c>
      <c r="M1949" t="s">
        <v>37889</v>
      </c>
      <c r="N1949" t="s">
        <v>40436</v>
      </c>
      <c r="O1949" t="s">
        <v>40437</v>
      </c>
      <c r="P1949">
        <v>0</v>
      </c>
      <c r="Q1949">
        <v>4</v>
      </c>
      <c r="R1949" t="s">
        <v>40438</v>
      </c>
      <c r="S1949" t="s">
        <v>40582</v>
      </c>
      <c r="T1949" t="s">
        <v>42152</v>
      </c>
      <c r="U1949" t="s">
        <v>44316</v>
      </c>
      <c r="W1949" t="s">
        <v>37889</v>
      </c>
      <c r="X1949" t="s">
        <v>40439</v>
      </c>
    </row>
    <row r="1950" spans="1:24">
      <c r="A1950">
        <f>HYPERLINK("https://www.philgeps.gov.ph/GEPSNONPILOT/Tender/SplashBidNoticeAbstractUI.aspx?menuIndex=3&amp;refID=7049350&amp;Result=3","7049350")</f>
        <v>0</v>
      </c>
      <c r="B1950" t="s">
        <v>875</v>
      </c>
      <c r="C1950" t="s">
        <v>4964</v>
      </c>
      <c r="D1950" t="s">
        <v>16218</v>
      </c>
      <c r="E1950" t="s">
        <v>18088</v>
      </c>
      <c r="F1950" t="s">
        <v>28198</v>
      </c>
      <c r="G1950" t="s">
        <v>28207</v>
      </c>
      <c r="H1950" t="s">
        <v>28215</v>
      </c>
      <c r="I1950" t="s">
        <v>4321</v>
      </c>
      <c r="J1950" t="s">
        <v>29681</v>
      </c>
      <c r="K1950" t="s">
        <v>36701</v>
      </c>
      <c r="M1950" t="s">
        <v>37890</v>
      </c>
      <c r="N1950" t="s">
        <v>40436</v>
      </c>
      <c r="O1950" t="s">
        <v>40437</v>
      </c>
      <c r="P1950">
        <v>0</v>
      </c>
      <c r="Q1950">
        <v>2</v>
      </c>
      <c r="R1950" t="s">
        <v>40438</v>
      </c>
      <c r="S1950" t="s">
        <v>40582</v>
      </c>
      <c r="T1950" t="s">
        <v>42142</v>
      </c>
      <c r="U1950" t="s">
        <v>44317</v>
      </c>
      <c r="W1950" t="s">
        <v>37890</v>
      </c>
      <c r="X1950" t="s">
        <v>40439</v>
      </c>
    </row>
    <row r="1951" spans="1:24">
      <c r="A1951">
        <f>HYPERLINK("https://www.philgeps.gov.ph/GEPSNONPILOT/Tender/SplashBidNoticeAbstractUI.aspx?menuIndex=3&amp;refID=7049361&amp;Result=3","7049361")</f>
        <v>0</v>
      </c>
      <c r="B1951" t="s">
        <v>103</v>
      </c>
      <c r="C1951" t="s">
        <v>4965</v>
      </c>
      <c r="D1951" t="s">
        <v>16230</v>
      </c>
      <c r="E1951" t="s">
        <v>18089</v>
      </c>
      <c r="F1951" t="s">
        <v>28198</v>
      </c>
      <c r="G1951" t="s">
        <v>28205</v>
      </c>
      <c r="H1951" t="s">
        <v>28215</v>
      </c>
      <c r="I1951" t="s">
        <v>28315</v>
      </c>
      <c r="J1951" t="s">
        <v>29682</v>
      </c>
      <c r="K1951" t="s">
        <v>36708</v>
      </c>
      <c r="M1951" t="s">
        <v>37077</v>
      </c>
      <c r="N1951" t="s">
        <v>40436</v>
      </c>
      <c r="O1951" t="s">
        <v>40437</v>
      </c>
      <c r="P1951">
        <v>0</v>
      </c>
      <c r="Q1951">
        <v>1</v>
      </c>
      <c r="R1951" t="s">
        <v>40438</v>
      </c>
      <c r="S1951" t="s">
        <v>40582</v>
      </c>
      <c r="T1951" t="s">
        <v>42188</v>
      </c>
      <c r="U1951" t="s">
        <v>44318</v>
      </c>
      <c r="V1951" t="s">
        <v>53998</v>
      </c>
      <c r="W1951" t="s">
        <v>37077</v>
      </c>
      <c r="X1951" t="s">
        <v>40439</v>
      </c>
    </row>
    <row r="1952" spans="1:24">
      <c r="A1952">
        <f>HYPERLINK("https://www.philgeps.gov.ph/GEPSNONPILOT/Tender/SplashBidNoticeAbstractUI.aspx?menuIndex=3&amp;refID=7049360&amp;Result=3","7049360")</f>
        <v>0</v>
      </c>
      <c r="B1952" t="s">
        <v>870</v>
      </c>
      <c r="C1952" t="s">
        <v>4966</v>
      </c>
      <c r="D1952" t="s">
        <v>16221</v>
      </c>
      <c r="E1952" t="s">
        <v>18090</v>
      </c>
      <c r="F1952" t="s">
        <v>28198</v>
      </c>
      <c r="G1952" t="s">
        <v>28205</v>
      </c>
      <c r="H1952" t="s">
        <v>28214</v>
      </c>
      <c r="I1952" t="s">
        <v>3797</v>
      </c>
      <c r="J1952" t="s">
        <v>29683</v>
      </c>
      <c r="K1952" t="s">
        <v>36692</v>
      </c>
      <c r="M1952" t="s">
        <v>37882</v>
      </c>
      <c r="N1952" t="s">
        <v>40436</v>
      </c>
      <c r="O1952" t="s">
        <v>40437</v>
      </c>
      <c r="P1952">
        <v>0</v>
      </c>
      <c r="Q1952">
        <v>1</v>
      </c>
      <c r="R1952" t="s">
        <v>40438</v>
      </c>
      <c r="S1952" t="s">
        <v>40582</v>
      </c>
      <c r="T1952" t="s">
        <v>42106</v>
      </c>
      <c r="U1952" t="s">
        <v>44308</v>
      </c>
      <c r="V1952" t="s">
        <v>53995</v>
      </c>
      <c r="W1952" t="s">
        <v>37882</v>
      </c>
      <c r="X1952" t="s">
        <v>40439</v>
      </c>
    </row>
    <row r="1953" spans="1:24">
      <c r="A1953">
        <f>HYPERLINK("https://www.philgeps.gov.ph/GEPSNONPILOT/Tender/SplashBidNoticeAbstractUI.aspx?menuIndex=3&amp;refID=7049345&amp;Result=3","7049345")</f>
        <v>0</v>
      </c>
      <c r="B1953" t="s">
        <v>342</v>
      </c>
      <c r="C1953" t="s">
        <v>4967</v>
      </c>
      <c r="D1953" t="s">
        <v>16210</v>
      </c>
      <c r="E1953" t="s">
        <v>18091</v>
      </c>
      <c r="F1953" t="s">
        <v>28198</v>
      </c>
      <c r="G1953" t="s">
        <v>28207</v>
      </c>
      <c r="H1953" t="s">
        <v>28215</v>
      </c>
      <c r="I1953" t="s">
        <v>28274</v>
      </c>
      <c r="J1953" t="s">
        <v>28415</v>
      </c>
      <c r="K1953" t="s">
        <v>36765</v>
      </c>
      <c r="M1953" t="s">
        <v>37891</v>
      </c>
      <c r="N1953" t="s">
        <v>40436</v>
      </c>
      <c r="O1953" t="s">
        <v>40437</v>
      </c>
      <c r="P1953">
        <v>0</v>
      </c>
      <c r="Q1953">
        <v>2</v>
      </c>
      <c r="R1953" t="s">
        <v>40438</v>
      </c>
      <c r="S1953" t="s">
        <v>40582</v>
      </c>
      <c r="T1953" t="s">
        <v>42103</v>
      </c>
      <c r="U1953" t="s">
        <v>44319</v>
      </c>
      <c r="W1953" t="s">
        <v>37891</v>
      </c>
      <c r="X1953" t="s">
        <v>40439</v>
      </c>
    </row>
    <row r="1954" spans="1:24">
      <c r="A1954">
        <f>HYPERLINK("https://www.philgeps.gov.ph/GEPSNONPILOT/Tender/SplashBidNoticeAbstractUI.aspx?menuIndex=3&amp;refID=7049352&amp;Result=3","7049352")</f>
        <v>0</v>
      </c>
      <c r="B1954" t="s">
        <v>728</v>
      </c>
      <c r="C1954" t="s">
        <v>4968</v>
      </c>
      <c r="D1954" t="s">
        <v>16200</v>
      </c>
      <c r="E1954" t="s">
        <v>18092</v>
      </c>
      <c r="F1954" t="s">
        <v>28198</v>
      </c>
      <c r="G1954" t="s">
        <v>28205</v>
      </c>
      <c r="H1954" t="s">
        <v>28215</v>
      </c>
      <c r="I1954" t="s">
        <v>28280</v>
      </c>
      <c r="J1954" t="s">
        <v>29684</v>
      </c>
      <c r="K1954" t="s">
        <v>36697</v>
      </c>
      <c r="M1954" t="s">
        <v>37777</v>
      </c>
      <c r="N1954" t="s">
        <v>40436</v>
      </c>
      <c r="O1954" t="s">
        <v>40437</v>
      </c>
      <c r="P1954">
        <v>0</v>
      </c>
      <c r="Q1954">
        <v>3</v>
      </c>
      <c r="R1954" t="s">
        <v>40438</v>
      </c>
      <c r="S1954" t="s">
        <v>40582</v>
      </c>
      <c r="T1954" t="s">
        <v>42143</v>
      </c>
      <c r="U1954" t="s">
        <v>44088</v>
      </c>
      <c r="W1954" t="s">
        <v>37777</v>
      </c>
      <c r="X1954" t="s">
        <v>40439</v>
      </c>
    </row>
    <row r="1955" spans="1:24">
      <c r="A1955">
        <f>HYPERLINK("https://www.philgeps.gov.ph/GEPSNONPILOT/Tender/SplashBidNoticeAbstractUI.aspx?menuIndex=3&amp;refID=7049359&amp;Result=3","7049359")</f>
        <v>0</v>
      </c>
      <c r="B1955" t="s">
        <v>876</v>
      </c>
      <c r="C1955" t="s">
        <v>3313</v>
      </c>
      <c r="D1955" t="s">
        <v>16265</v>
      </c>
      <c r="E1955" t="s">
        <v>18038</v>
      </c>
      <c r="F1955" t="s">
        <v>28198</v>
      </c>
      <c r="G1955" t="s">
        <v>28210</v>
      </c>
      <c r="H1955" t="s">
        <v>28215</v>
      </c>
      <c r="I1955" t="s">
        <v>4219</v>
      </c>
      <c r="J1955" t="s">
        <v>28671</v>
      </c>
      <c r="K1955" t="s">
        <v>36689</v>
      </c>
      <c r="M1955" t="s">
        <v>37892</v>
      </c>
      <c r="N1955" t="s">
        <v>40436</v>
      </c>
      <c r="O1955" t="s">
        <v>40437</v>
      </c>
      <c r="P1955">
        <v>0</v>
      </c>
      <c r="Q1955">
        <v>0</v>
      </c>
      <c r="R1955" t="s">
        <v>40438</v>
      </c>
      <c r="S1955" t="s">
        <v>40582</v>
      </c>
      <c r="T1955" t="s">
        <v>42124</v>
      </c>
      <c r="U1955" t="s">
        <v>44232</v>
      </c>
      <c r="W1955" t="s">
        <v>37892</v>
      </c>
      <c r="X1955" t="s">
        <v>40439</v>
      </c>
    </row>
    <row r="1956" spans="1:24">
      <c r="A1956">
        <f>HYPERLINK("https://www.philgeps.gov.ph/GEPSNONPILOT/Tender/SplashBidNoticeAbstractUI.aspx?menuIndex=3&amp;refID=7049351&amp;Result=3","7049351")</f>
        <v>0</v>
      </c>
      <c r="B1956" t="s">
        <v>813</v>
      </c>
      <c r="C1956" t="s">
        <v>4969</v>
      </c>
      <c r="D1956" t="s">
        <v>16210</v>
      </c>
      <c r="E1956" t="s">
        <v>18093</v>
      </c>
      <c r="F1956" t="s">
        <v>28198</v>
      </c>
      <c r="G1956" t="s">
        <v>28205</v>
      </c>
      <c r="H1956" t="s">
        <v>28215</v>
      </c>
      <c r="I1956" t="s">
        <v>5071</v>
      </c>
      <c r="J1956" t="s">
        <v>28406</v>
      </c>
      <c r="K1956" t="s">
        <v>36691</v>
      </c>
      <c r="M1956" t="s">
        <v>37825</v>
      </c>
      <c r="N1956" t="s">
        <v>40436</v>
      </c>
      <c r="O1956" t="s">
        <v>40437</v>
      </c>
      <c r="P1956">
        <v>0</v>
      </c>
      <c r="Q1956">
        <v>1</v>
      </c>
      <c r="R1956" t="s">
        <v>40438</v>
      </c>
      <c r="S1956" t="s">
        <v>40582</v>
      </c>
      <c r="T1956" t="s">
        <v>42287</v>
      </c>
      <c r="U1956" t="s">
        <v>44320</v>
      </c>
      <c r="W1956" t="s">
        <v>37825</v>
      </c>
      <c r="X1956" t="s">
        <v>40439</v>
      </c>
    </row>
    <row r="1957" spans="1:24">
      <c r="A1957">
        <f>HYPERLINK("https://www.philgeps.gov.ph/GEPSNONPILOT/Tender/SplashBidNoticeAbstractUI.aspx?menuIndex=3&amp;refID=7049365&amp;Result=3","7049365")</f>
        <v>0</v>
      </c>
      <c r="B1957" t="s">
        <v>858</v>
      </c>
      <c r="C1957" t="s">
        <v>4970</v>
      </c>
      <c r="D1957" t="s">
        <v>16199</v>
      </c>
      <c r="E1957" t="s">
        <v>17427</v>
      </c>
      <c r="F1957" t="s">
        <v>28198</v>
      </c>
      <c r="G1957" t="s">
        <v>28207</v>
      </c>
      <c r="H1957" t="s">
        <v>28215</v>
      </c>
      <c r="I1957" t="s">
        <v>4219</v>
      </c>
      <c r="J1957" t="s">
        <v>29685</v>
      </c>
      <c r="K1957" t="s">
        <v>36689</v>
      </c>
      <c r="M1957" t="s">
        <v>37870</v>
      </c>
      <c r="N1957" t="s">
        <v>40436</v>
      </c>
      <c r="O1957" t="s">
        <v>40437</v>
      </c>
      <c r="P1957">
        <v>0</v>
      </c>
      <c r="Q1957">
        <v>0</v>
      </c>
      <c r="R1957" t="s">
        <v>40438</v>
      </c>
      <c r="S1957" t="s">
        <v>40582</v>
      </c>
      <c r="T1957" t="s">
        <v>42175</v>
      </c>
      <c r="U1957" t="s">
        <v>44321</v>
      </c>
      <c r="W1957" t="s">
        <v>37870</v>
      </c>
      <c r="X1957" t="s">
        <v>40439</v>
      </c>
    </row>
    <row r="1958" spans="1:24">
      <c r="A1958">
        <f>HYPERLINK("https://www.philgeps.gov.ph/GEPSNONPILOT/Tender/SplashBidNoticeAbstractUI.aspx?menuIndex=3&amp;refID=7049367&amp;Result=3","7049367")</f>
        <v>0</v>
      </c>
      <c r="B1958" t="s">
        <v>854</v>
      </c>
      <c r="C1958" t="s">
        <v>4971</v>
      </c>
      <c r="D1958" t="s">
        <v>16252</v>
      </c>
      <c r="E1958" t="s">
        <v>18094</v>
      </c>
      <c r="F1958" t="s">
        <v>28198</v>
      </c>
      <c r="G1958" t="s">
        <v>28205</v>
      </c>
      <c r="H1958" t="s">
        <v>28214</v>
      </c>
      <c r="I1958" t="s">
        <v>3797</v>
      </c>
      <c r="J1958" t="s">
        <v>28379</v>
      </c>
      <c r="K1958" t="s">
        <v>36738</v>
      </c>
      <c r="M1958" t="s">
        <v>37866</v>
      </c>
      <c r="N1958" t="s">
        <v>40436</v>
      </c>
      <c r="O1958" t="s">
        <v>40437</v>
      </c>
      <c r="P1958">
        <v>0</v>
      </c>
      <c r="Q1958">
        <v>1</v>
      </c>
      <c r="R1958" t="s">
        <v>40438</v>
      </c>
      <c r="S1958" t="s">
        <v>40582</v>
      </c>
      <c r="T1958" t="s">
        <v>42292</v>
      </c>
      <c r="U1958" t="s">
        <v>44322</v>
      </c>
      <c r="W1958" t="s">
        <v>37866</v>
      </c>
      <c r="X1958" t="s">
        <v>40439</v>
      </c>
    </row>
    <row r="1959" spans="1:24">
      <c r="A1959">
        <f>HYPERLINK("https://www.philgeps.gov.ph/GEPSNONPILOT/Tender/SplashBidNoticeAbstractUI.aspx?menuIndex=3&amp;refID=7049374&amp;Result=3","7049374")</f>
        <v>0</v>
      </c>
      <c r="B1959" t="s">
        <v>877</v>
      </c>
      <c r="C1959" t="s">
        <v>4972</v>
      </c>
      <c r="D1959" t="s">
        <v>16213</v>
      </c>
      <c r="E1959" t="s">
        <v>18095</v>
      </c>
      <c r="F1959" t="s">
        <v>28198</v>
      </c>
      <c r="G1959" t="s">
        <v>28205</v>
      </c>
      <c r="H1959" t="s">
        <v>28215</v>
      </c>
      <c r="I1959" t="s">
        <v>28224</v>
      </c>
      <c r="J1959" t="s">
        <v>28378</v>
      </c>
      <c r="K1959" t="s">
        <v>36707</v>
      </c>
      <c r="M1959" t="s">
        <v>37893</v>
      </c>
      <c r="N1959" t="s">
        <v>40436</v>
      </c>
      <c r="O1959" t="s">
        <v>40437</v>
      </c>
      <c r="P1959">
        <v>0</v>
      </c>
      <c r="Q1959">
        <v>1</v>
      </c>
      <c r="R1959" t="s">
        <v>40438</v>
      </c>
      <c r="S1959" t="s">
        <v>40582</v>
      </c>
      <c r="T1959" t="s">
        <v>42144</v>
      </c>
      <c r="U1959" t="s">
        <v>44323</v>
      </c>
      <c r="W1959" t="s">
        <v>37893</v>
      </c>
      <c r="X1959" t="s">
        <v>40439</v>
      </c>
    </row>
    <row r="1960" spans="1:24">
      <c r="A1960">
        <f>HYPERLINK("https://www.philgeps.gov.ph/GEPSNONPILOT/Tender/SplashBidNoticeAbstractUI.aspx?menuIndex=3&amp;refID=7049364&amp;Result=3","7049364")</f>
        <v>0</v>
      </c>
      <c r="B1960" t="s">
        <v>878</v>
      </c>
      <c r="C1960" t="s">
        <v>4973</v>
      </c>
      <c r="D1960" t="s">
        <v>16202</v>
      </c>
      <c r="E1960" t="s">
        <v>18096</v>
      </c>
      <c r="F1960" t="s">
        <v>28198</v>
      </c>
      <c r="G1960" t="s">
        <v>28207</v>
      </c>
      <c r="H1960" t="s">
        <v>28215</v>
      </c>
      <c r="I1960" t="s">
        <v>4200</v>
      </c>
      <c r="J1960" t="s">
        <v>29686</v>
      </c>
      <c r="K1960" t="s">
        <v>36707</v>
      </c>
      <c r="M1960" t="s">
        <v>37894</v>
      </c>
      <c r="N1960" t="s">
        <v>40436</v>
      </c>
      <c r="O1960" t="s">
        <v>40437</v>
      </c>
      <c r="P1960">
        <v>0</v>
      </c>
      <c r="Q1960">
        <v>0</v>
      </c>
      <c r="R1960" t="s">
        <v>40438</v>
      </c>
      <c r="S1960" t="s">
        <v>40582</v>
      </c>
      <c r="T1960" t="s">
        <v>42142</v>
      </c>
      <c r="U1960" t="s">
        <v>44324</v>
      </c>
      <c r="W1960" t="s">
        <v>37894</v>
      </c>
      <c r="X1960" t="s">
        <v>40439</v>
      </c>
    </row>
    <row r="1961" spans="1:24">
      <c r="A1961">
        <f>HYPERLINK("https://www.philgeps.gov.ph/GEPSNONPILOT/Tender/SplashBidNoticeAbstractUI.aspx?menuIndex=3&amp;refID=7049376&amp;Result=3","7049376")</f>
        <v>0</v>
      </c>
      <c r="B1961" t="s">
        <v>879</v>
      </c>
      <c r="C1961" t="s">
        <v>4974</v>
      </c>
      <c r="E1961" t="s">
        <v>18097</v>
      </c>
      <c r="F1961" t="s">
        <v>28198</v>
      </c>
      <c r="G1961" t="s">
        <v>28206</v>
      </c>
      <c r="H1961" t="s">
        <v>28215</v>
      </c>
      <c r="I1961" t="s">
        <v>8888</v>
      </c>
      <c r="J1961" t="s">
        <v>29687</v>
      </c>
      <c r="K1961" t="s">
        <v>36689</v>
      </c>
      <c r="M1961" t="s">
        <v>37895</v>
      </c>
      <c r="N1961" t="s">
        <v>40436</v>
      </c>
      <c r="O1961" t="s">
        <v>40437</v>
      </c>
      <c r="P1961">
        <v>0</v>
      </c>
      <c r="Q1961">
        <v>5</v>
      </c>
      <c r="R1961" t="s">
        <v>40438</v>
      </c>
      <c r="S1961" t="s">
        <v>40582</v>
      </c>
      <c r="T1961" t="s">
        <v>42131</v>
      </c>
      <c r="U1961" t="s">
        <v>44325</v>
      </c>
      <c r="W1961" t="s">
        <v>37895</v>
      </c>
      <c r="X1961" t="s">
        <v>40439</v>
      </c>
    </row>
    <row r="1962" spans="1:24">
      <c r="A1962">
        <f>HYPERLINK("https://www.philgeps.gov.ph/GEPSNONPILOT/Tender/SplashBidNoticeAbstractUI.aspx?menuIndex=3&amp;refID=7049372&amp;Result=3","7049372")</f>
        <v>0</v>
      </c>
      <c r="B1962" t="s">
        <v>880</v>
      </c>
      <c r="C1962" t="s">
        <v>4975</v>
      </c>
      <c r="D1962" t="s">
        <v>16187</v>
      </c>
      <c r="E1962" t="s">
        <v>18098</v>
      </c>
      <c r="F1962" t="s">
        <v>28198</v>
      </c>
      <c r="G1962" t="s">
        <v>28207</v>
      </c>
      <c r="H1962" t="s">
        <v>28215</v>
      </c>
      <c r="I1962" t="s">
        <v>3774</v>
      </c>
      <c r="J1962" t="s">
        <v>28486</v>
      </c>
      <c r="K1962" t="s">
        <v>36689</v>
      </c>
      <c r="M1962" t="s">
        <v>37896</v>
      </c>
      <c r="N1962" t="s">
        <v>40436</v>
      </c>
      <c r="O1962" t="s">
        <v>40437</v>
      </c>
      <c r="P1962">
        <v>0</v>
      </c>
      <c r="Q1962">
        <v>1</v>
      </c>
      <c r="R1962" t="s">
        <v>40438</v>
      </c>
      <c r="S1962" t="s">
        <v>40582</v>
      </c>
      <c r="T1962" t="s">
        <v>42142</v>
      </c>
      <c r="U1962" t="s">
        <v>44326</v>
      </c>
      <c r="W1962" t="s">
        <v>37896</v>
      </c>
      <c r="X1962" t="s">
        <v>40439</v>
      </c>
    </row>
    <row r="1963" spans="1:24">
      <c r="A1963">
        <f>HYPERLINK("https://www.philgeps.gov.ph/GEPSNONPILOT/Tender/SplashBidNoticeAbstractUI.aspx?menuIndex=3&amp;refID=7049343&amp;Result=3","7049343")</f>
        <v>0</v>
      </c>
      <c r="B1963" t="s">
        <v>862</v>
      </c>
      <c r="C1963" t="s">
        <v>4976</v>
      </c>
      <c r="D1963" t="s">
        <v>16248</v>
      </c>
      <c r="E1963" t="s">
        <v>18099</v>
      </c>
      <c r="F1963" t="s">
        <v>28198</v>
      </c>
      <c r="G1963" t="s">
        <v>28205</v>
      </c>
      <c r="H1963" t="s">
        <v>28214</v>
      </c>
      <c r="I1963" t="s">
        <v>3797</v>
      </c>
      <c r="J1963" t="s">
        <v>29688</v>
      </c>
      <c r="K1963" t="s">
        <v>36701</v>
      </c>
      <c r="L1963" t="s">
        <v>862</v>
      </c>
      <c r="M1963" t="s">
        <v>37874</v>
      </c>
      <c r="N1963" t="s">
        <v>40436</v>
      </c>
      <c r="O1963" t="s">
        <v>40437</v>
      </c>
      <c r="P1963">
        <v>0</v>
      </c>
      <c r="Q1963">
        <v>0</v>
      </c>
      <c r="R1963" t="s">
        <v>40438</v>
      </c>
      <c r="S1963" t="s">
        <v>40582</v>
      </c>
      <c r="T1963" t="s">
        <v>42106</v>
      </c>
      <c r="U1963" t="s">
        <v>44327</v>
      </c>
      <c r="V1963" t="s">
        <v>53999</v>
      </c>
      <c r="W1963" t="s">
        <v>37874</v>
      </c>
      <c r="X1963" t="s">
        <v>40439</v>
      </c>
    </row>
    <row r="1964" spans="1:24">
      <c r="A1964">
        <f>HYPERLINK("https://www.philgeps.gov.ph/GEPSNONPILOT/Tender/SplashBidNoticeAbstractUI.aspx?menuIndex=3&amp;refID=7049375&amp;Result=3","7049375")</f>
        <v>0</v>
      </c>
      <c r="B1964" t="s">
        <v>802</v>
      </c>
      <c r="C1964" t="s">
        <v>4977</v>
      </c>
      <c r="D1964" t="s">
        <v>16235</v>
      </c>
      <c r="E1964" t="s">
        <v>18100</v>
      </c>
      <c r="F1964" t="s">
        <v>28198</v>
      </c>
      <c r="G1964" t="s">
        <v>28205</v>
      </c>
      <c r="H1964" t="s">
        <v>28214</v>
      </c>
      <c r="I1964" t="s">
        <v>3797</v>
      </c>
      <c r="J1964" t="s">
        <v>29689</v>
      </c>
      <c r="K1964" t="s">
        <v>36747</v>
      </c>
      <c r="M1964" t="s">
        <v>37809</v>
      </c>
      <c r="N1964" t="s">
        <v>40436</v>
      </c>
      <c r="O1964" t="s">
        <v>40437</v>
      </c>
      <c r="P1964">
        <v>0</v>
      </c>
      <c r="Q1964">
        <v>0</v>
      </c>
      <c r="R1964" t="s">
        <v>40438</v>
      </c>
      <c r="S1964" t="s">
        <v>40582</v>
      </c>
      <c r="T1964" t="s">
        <v>42125</v>
      </c>
      <c r="U1964" t="s">
        <v>44328</v>
      </c>
      <c r="W1964" t="s">
        <v>37809</v>
      </c>
      <c r="X1964" t="s">
        <v>40439</v>
      </c>
    </row>
    <row r="1965" spans="1:24">
      <c r="A1965">
        <f>HYPERLINK("https://www.philgeps.gov.ph/GEPSNONPILOT/Tender/SplashBidNoticeAbstractUI.aspx?menuIndex=3&amp;refID=7049371&amp;Result=3","7049371")</f>
        <v>0</v>
      </c>
      <c r="B1965" t="s">
        <v>728</v>
      </c>
      <c r="C1965" t="s">
        <v>4978</v>
      </c>
      <c r="D1965" t="s">
        <v>16200</v>
      </c>
      <c r="E1965" t="s">
        <v>18101</v>
      </c>
      <c r="F1965" t="s">
        <v>28198</v>
      </c>
      <c r="G1965" t="s">
        <v>28205</v>
      </c>
      <c r="H1965" t="s">
        <v>28215</v>
      </c>
      <c r="I1965" t="s">
        <v>28280</v>
      </c>
      <c r="J1965" t="s">
        <v>29690</v>
      </c>
      <c r="K1965" t="s">
        <v>36697</v>
      </c>
      <c r="M1965" t="s">
        <v>37729</v>
      </c>
      <c r="N1965" t="s">
        <v>40436</v>
      </c>
      <c r="O1965" t="s">
        <v>40437</v>
      </c>
      <c r="P1965">
        <v>0</v>
      </c>
      <c r="Q1965">
        <v>4</v>
      </c>
      <c r="R1965" t="s">
        <v>40438</v>
      </c>
      <c r="S1965" t="s">
        <v>40582</v>
      </c>
      <c r="T1965" t="s">
        <v>42143</v>
      </c>
      <c r="U1965" t="s">
        <v>43975</v>
      </c>
      <c r="W1965" t="s">
        <v>37729</v>
      </c>
      <c r="X1965" t="s">
        <v>40439</v>
      </c>
    </row>
    <row r="1966" spans="1:24">
      <c r="A1966">
        <f>HYPERLINK("https://www.philgeps.gov.ph/GEPSNONPILOT/Tender/SplashBidNoticeAbstractUI.aspx?menuIndex=3&amp;refID=7049357&amp;Result=3","7049357")</f>
        <v>0</v>
      </c>
      <c r="B1966" t="s">
        <v>315</v>
      </c>
      <c r="C1966" t="s">
        <v>4979</v>
      </c>
      <c r="D1966" t="s">
        <v>16191</v>
      </c>
      <c r="E1966" t="s">
        <v>18102</v>
      </c>
      <c r="F1966" t="s">
        <v>28198</v>
      </c>
      <c r="G1966" t="s">
        <v>28206</v>
      </c>
      <c r="H1966" t="s">
        <v>28215</v>
      </c>
      <c r="I1966" t="s">
        <v>3797</v>
      </c>
      <c r="J1966" t="s">
        <v>28642</v>
      </c>
      <c r="K1966" t="s">
        <v>36689</v>
      </c>
      <c r="M1966" t="s">
        <v>37736</v>
      </c>
      <c r="N1966" t="s">
        <v>40436</v>
      </c>
      <c r="O1966" t="s">
        <v>40437</v>
      </c>
      <c r="P1966">
        <v>0</v>
      </c>
      <c r="Q1966">
        <v>0</v>
      </c>
      <c r="R1966" t="s">
        <v>40438</v>
      </c>
      <c r="S1966" t="s">
        <v>40582</v>
      </c>
      <c r="T1966" t="s">
        <v>42264</v>
      </c>
      <c r="U1966" t="s">
        <v>44329</v>
      </c>
      <c r="W1966" t="s">
        <v>37736</v>
      </c>
      <c r="X1966" t="s">
        <v>40439</v>
      </c>
    </row>
    <row r="1967" spans="1:24">
      <c r="A1967">
        <f>HYPERLINK("https://www.philgeps.gov.ph/GEPSNONPILOT/Tender/SplashBidNoticeAbstractUI.aspx?menuIndex=3&amp;refID=7049381&amp;Result=3","7049381")</f>
        <v>0</v>
      </c>
      <c r="B1967" t="s">
        <v>745</v>
      </c>
      <c r="C1967" t="s">
        <v>4980</v>
      </c>
      <c r="D1967" t="s">
        <v>16187</v>
      </c>
      <c r="E1967" t="s">
        <v>18103</v>
      </c>
      <c r="F1967" t="s">
        <v>28198</v>
      </c>
      <c r="G1967" t="s">
        <v>28206</v>
      </c>
      <c r="H1967" t="s">
        <v>28217</v>
      </c>
      <c r="I1967" t="s">
        <v>28255</v>
      </c>
      <c r="J1967" t="s">
        <v>28529</v>
      </c>
      <c r="K1967" t="s">
        <v>36688</v>
      </c>
      <c r="M1967" t="s">
        <v>37748</v>
      </c>
      <c r="N1967" t="s">
        <v>40436</v>
      </c>
      <c r="O1967" t="s">
        <v>40437</v>
      </c>
      <c r="P1967">
        <v>0</v>
      </c>
      <c r="Q1967">
        <v>0</v>
      </c>
      <c r="R1967" t="s">
        <v>40438</v>
      </c>
      <c r="S1967" t="s">
        <v>40582</v>
      </c>
      <c r="T1967" t="s">
        <v>42160</v>
      </c>
      <c r="U1967" t="s">
        <v>44330</v>
      </c>
      <c r="W1967" t="s">
        <v>37748</v>
      </c>
      <c r="X1967" t="s">
        <v>40439</v>
      </c>
    </row>
    <row r="1968" spans="1:24">
      <c r="A1968">
        <f>HYPERLINK("https://www.philgeps.gov.ph/GEPSNONPILOT/Tender/SplashBidNoticeAbstractUI.aspx?menuIndex=3&amp;refID=7049378&amp;Result=3","7049378")</f>
        <v>0</v>
      </c>
      <c r="B1968" t="s">
        <v>881</v>
      </c>
      <c r="C1968" t="s">
        <v>4981</v>
      </c>
      <c r="D1968" t="s">
        <v>16263</v>
      </c>
      <c r="E1968" t="s">
        <v>18104</v>
      </c>
      <c r="F1968" t="s">
        <v>28198</v>
      </c>
      <c r="G1968" t="s">
        <v>28210</v>
      </c>
      <c r="H1968" t="s">
        <v>28215</v>
      </c>
      <c r="I1968" t="s">
        <v>4168</v>
      </c>
      <c r="J1968" t="s">
        <v>28967</v>
      </c>
      <c r="K1968" t="s">
        <v>36701</v>
      </c>
      <c r="M1968" t="s">
        <v>37897</v>
      </c>
      <c r="N1968" t="s">
        <v>40436</v>
      </c>
      <c r="O1968" t="s">
        <v>40437</v>
      </c>
      <c r="P1968">
        <v>0</v>
      </c>
      <c r="Q1968">
        <v>0</v>
      </c>
      <c r="R1968" t="s">
        <v>40438</v>
      </c>
      <c r="S1968" t="s">
        <v>40582</v>
      </c>
      <c r="T1968" t="s">
        <v>42124</v>
      </c>
      <c r="U1968" t="s">
        <v>44331</v>
      </c>
      <c r="W1968" t="s">
        <v>37897</v>
      </c>
      <c r="X1968" t="s">
        <v>40439</v>
      </c>
    </row>
    <row r="1969" spans="1:24">
      <c r="A1969">
        <f>HYPERLINK("https://www.philgeps.gov.ph/GEPSNONPILOT/Tender/SplashBidNoticeAbstractUI.aspx?menuIndex=3&amp;refID=7049382&amp;Result=3","7049382")</f>
        <v>0</v>
      </c>
      <c r="B1969" t="s">
        <v>870</v>
      </c>
      <c r="C1969" t="s">
        <v>4982</v>
      </c>
      <c r="D1969" t="s">
        <v>16221</v>
      </c>
      <c r="E1969" t="s">
        <v>18105</v>
      </c>
      <c r="F1969" t="s">
        <v>28198</v>
      </c>
      <c r="G1969" t="s">
        <v>28205</v>
      </c>
      <c r="H1969" t="s">
        <v>28214</v>
      </c>
      <c r="I1969" t="s">
        <v>3797</v>
      </c>
      <c r="J1969" t="s">
        <v>29691</v>
      </c>
      <c r="K1969" t="s">
        <v>36690</v>
      </c>
      <c r="M1969" t="s">
        <v>37882</v>
      </c>
      <c r="N1969" t="s">
        <v>40436</v>
      </c>
      <c r="O1969" t="s">
        <v>40437</v>
      </c>
      <c r="P1969">
        <v>0</v>
      </c>
      <c r="Q1969">
        <v>1</v>
      </c>
      <c r="R1969" t="s">
        <v>40438</v>
      </c>
      <c r="S1969" t="s">
        <v>40582</v>
      </c>
      <c r="T1969" t="s">
        <v>42106</v>
      </c>
      <c r="U1969" t="s">
        <v>44308</v>
      </c>
      <c r="V1969" t="s">
        <v>53995</v>
      </c>
      <c r="W1969" t="s">
        <v>37882</v>
      </c>
      <c r="X1969" t="s">
        <v>40439</v>
      </c>
    </row>
    <row r="1970" spans="1:24">
      <c r="A1970">
        <f>HYPERLINK("https://www.philgeps.gov.ph/GEPSNONPILOT/Tender/SplashBidNoticeAbstractUI.aspx?menuIndex=3&amp;refID=7049368&amp;Result=3","7049368")</f>
        <v>0</v>
      </c>
      <c r="B1970" t="s">
        <v>216</v>
      </c>
      <c r="C1970" t="s">
        <v>4983</v>
      </c>
      <c r="D1970" t="s">
        <v>16210</v>
      </c>
      <c r="E1970" t="s">
        <v>18106</v>
      </c>
      <c r="F1970" t="s">
        <v>28198</v>
      </c>
      <c r="G1970" t="s">
        <v>28207</v>
      </c>
      <c r="H1970" t="s">
        <v>28215</v>
      </c>
      <c r="I1970" t="s">
        <v>28225</v>
      </c>
      <c r="J1970" t="s">
        <v>29692</v>
      </c>
      <c r="K1970" t="s">
        <v>36707</v>
      </c>
      <c r="M1970" t="s">
        <v>37192</v>
      </c>
      <c r="N1970" t="s">
        <v>40436</v>
      </c>
      <c r="O1970" t="s">
        <v>40437</v>
      </c>
      <c r="P1970">
        <v>0</v>
      </c>
      <c r="Q1970">
        <v>0</v>
      </c>
      <c r="R1970" t="s">
        <v>40438</v>
      </c>
      <c r="S1970" t="s">
        <v>40582</v>
      </c>
      <c r="T1970" t="s">
        <v>42119</v>
      </c>
      <c r="U1970" t="s">
        <v>44332</v>
      </c>
      <c r="V1970" t="s">
        <v>53819</v>
      </c>
      <c r="W1970" t="s">
        <v>37192</v>
      </c>
      <c r="X1970" t="s">
        <v>40439</v>
      </c>
    </row>
    <row r="1971" spans="1:24">
      <c r="A1971">
        <f>HYPERLINK("https://www.philgeps.gov.ph/GEPSNONPILOT/Tender/SplashBidNoticeAbstractUI.aspx?menuIndex=3&amp;refID=7049377&amp;Result=3","7049377")</f>
        <v>0</v>
      </c>
      <c r="B1971" t="s">
        <v>871</v>
      </c>
      <c r="C1971" t="s">
        <v>4984</v>
      </c>
      <c r="D1971" t="s">
        <v>16221</v>
      </c>
      <c r="E1971" t="s">
        <v>18107</v>
      </c>
      <c r="F1971" t="s">
        <v>28198</v>
      </c>
      <c r="G1971" t="s">
        <v>28206</v>
      </c>
      <c r="H1971" t="s">
        <v>28215</v>
      </c>
      <c r="I1971" t="s">
        <v>3774</v>
      </c>
      <c r="J1971" t="s">
        <v>29693</v>
      </c>
      <c r="K1971" t="s">
        <v>36688</v>
      </c>
      <c r="M1971" t="s">
        <v>37885</v>
      </c>
      <c r="N1971" t="s">
        <v>40436</v>
      </c>
      <c r="O1971" t="s">
        <v>40437</v>
      </c>
      <c r="P1971">
        <v>0</v>
      </c>
      <c r="Q1971">
        <v>0</v>
      </c>
      <c r="R1971" t="s">
        <v>40438</v>
      </c>
      <c r="S1971" t="s">
        <v>40582</v>
      </c>
      <c r="T1971" t="s">
        <v>42187</v>
      </c>
      <c r="U1971" t="s">
        <v>44333</v>
      </c>
      <c r="W1971" t="s">
        <v>55466</v>
      </c>
      <c r="X1971" t="s">
        <v>40439</v>
      </c>
    </row>
    <row r="1972" spans="1:24">
      <c r="A1972">
        <f>HYPERLINK("https://www.philgeps.gov.ph/GEPSNONPILOT/Tender/SplashBidNoticeAbstractUI.aspx?menuIndex=3&amp;refID=7049394&amp;Result=3","7049394")</f>
        <v>0</v>
      </c>
      <c r="B1972" t="s">
        <v>309</v>
      </c>
      <c r="C1972" t="s">
        <v>4985</v>
      </c>
      <c r="D1972" t="s">
        <v>16228</v>
      </c>
      <c r="E1972" t="s">
        <v>18108</v>
      </c>
      <c r="F1972" t="s">
        <v>28200</v>
      </c>
      <c r="G1972" t="s">
        <v>28207</v>
      </c>
      <c r="H1972" t="s">
        <v>28215</v>
      </c>
      <c r="I1972" t="s">
        <v>4321</v>
      </c>
      <c r="J1972" t="s">
        <v>29694</v>
      </c>
      <c r="K1972" t="s">
        <v>36688</v>
      </c>
      <c r="M1972" t="s">
        <v>37286</v>
      </c>
      <c r="N1972" t="s">
        <v>40436</v>
      </c>
      <c r="O1972" t="s">
        <v>40437</v>
      </c>
      <c r="P1972">
        <v>0</v>
      </c>
      <c r="Q1972">
        <v>2</v>
      </c>
      <c r="R1972" t="s">
        <v>40438</v>
      </c>
      <c r="S1972" t="s">
        <v>40582</v>
      </c>
      <c r="T1972" t="s">
        <v>42278</v>
      </c>
      <c r="U1972" t="s">
        <v>44334</v>
      </c>
      <c r="V1972" t="s">
        <v>53847</v>
      </c>
      <c r="W1972" t="s">
        <v>55440</v>
      </c>
      <c r="X1972" t="s">
        <v>40439</v>
      </c>
    </row>
    <row r="1973" spans="1:24">
      <c r="A1973">
        <f>HYPERLINK("https://www.philgeps.gov.ph/GEPSNONPILOT/Tender/SplashBidNoticeAbstractUI.aspx?menuIndex=3&amp;refID=7049379&amp;Result=3","7049379")</f>
        <v>0</v>
      </c>
      <c r="B1973" t="s">
        <v>361</v>
      </c>
      <c r="C1973" t="s">
        <v>4986</v>
      </c>
      <c r="D1973" t="s">
        <v>16236</v>
      </c>
      <c r="E1973" t="s">
        <v>18109</v>
      </c>
      <c r="F1973" t="s">
        <v>28198</v>
      </c>
      <c r="G1973" t="s">
        <v>28209</v>
      </c>
      <c r="H1973" t="s">
        <v>28215</v>
      </c>
      <c r="I1973" t="s">
        <v>28224</v>
      </c>
      <c r="J1973" t="s">
        <v>29695</v>
      </c>
      <c r="K1973" t="s">
        <v>36707</v>
      </c>
      <c r="M1973" t="s">
        <v>37600</v>
      </c>
      <c r="N1973" t="s">
        <v>40436</v>
      </c>
      <c r="O1973" t="s">
        <v>40437</v>
      </c>
      <c r="P1973">
        <v>0</v>
      </c>
      <c r="Q1973">
        <v>0</v>
      </c>
      <c r="R1973" t="s">
        <v>40438</v>
      </c>
      <c r="S1973" t="s">
        <v>40582</v>
      </c>
      <c r="T1973" t="s">
        <v>42209</v>
      </c>
      <c r="U1973" t="s">
        <v>44335</v>
      </c>
      <c r="W1973" t="s">
        <v>37600</v>
      </c>
      <c r="X1973" t="s">
        <v>40439</v>
      </c>
    </row>
    <row r="1974" spans="1:24">
      <c r="A1974">
        <f>HYPERLINK("https://www.philgeps.gov.ph/GEPSNONPILOT/Tender/SplashBidNoticeAbstractUI.aspx?menuIndex=3&amp;refID=7049391&amp;Result=3","7049391")</f>
        <v>0</v>
      </c>
      <c r="B1974" t="s">
        <v>870</v>
      </c>
      <c r="C1974" t="s">
        <v>4987</v>
      </c>
      <c r="D1974" t="s">
        <v>16221</v>
      </c>
      <c r="E1974" t="s">
        <v>18110</v>
      </c>
      <c r="F1974" t="s">
        <v>28198</v>
      </c>
      <c r="G1974" t="s">
        <v>28205</v>
      </c>
      <c r="H1974" t="s">
        <v>28214</v>
      </c>
      <c r="I1974" t="s">
        <v>3797</v>
      </c>
      <c r="J1974" t="s">
        <v>29696</v>
      </c>
      <c r="K1974" t="s">
        <v>36770</v>
      </c>
      <c r="M1974" t="s">
        <v>37882</v>
      </c>
      <c r="N1974" t="s">
        <v>40436</v>
      </c>
      <c r="O1974" t="s">
        <v>40437</v>
      </c>
      <c r="P1974">
        <v>0</v>
      </c>
      <c r="Q1974">
        <v>1</v>
      </c>
      <c r="R1974" t="s">
        <v>40438</v>
      </c>
      <c r="S1974" t="s">
        <v>40582</v>
      </c>
      <c r="T1974" t="s">
        <v>42106</v>
      </c>
      <c r="U1974" t="s">
        <v>44308</v>
      </c>
      <c r="V1974" t="s">
        <v>53995</v>
      </c>
      <c r="W1974" t="s">
        <v>37882</v>
      </c>
      <c r="X1974" t="s">
        <v>40439</v>
      </c>
    </row>
    <row r="1975" spans="1:24">
      <c r="A1975">
        <f>HYPERLINK("https://www.philgeps.gov.ph/GEPSNONPILOT/Tender/SplashBidNoticeAbstractUI.aspx?menuIndex=3&amp;refID=7049390&amp;Result=3","7049390")</f>
        <v>0</v>
      </c>
      <c r="B1975" t="s">
        <v>854</v>
      </c>
      <c r="C1975" t="s">
        <v>4988</v>
      </c>
      <c r="D1975" t="s">
        <v>16252</v>
      </c>
      <c r="E1975" t="s">
        <v>18111</v>
      </c>
      <c r="F1975" t="s">
        <v>28198</v>
      </c>
      <c r="G1975" t="s">
        <v>28205</v>
      </c>
      <c r="H1975" t="s">
        <v>28214</v>
      </c>
      <c r="I1975" t="s">
        <v>3797</v>
      </c>
      <c r="J1975" t="s">
        <v>29113</v>
      </c>
      <c r="K1975" t="s">
        <v>36771</v>
      </c>
      <c r="M1975" t="s">
        <v>37866</v>
      </c>
      <c r="N1975" t="s">
        <v>40436</v>
      </c>
      <c r="O1975" t="s">
        <v>40437</v>
      </c>
      <c r="P1975">
        <v>0</v>
      </c>
      <c r="Q1975">
        <v>1</v>
      </c>
      <c r="R1975" t="s">
        <v>40438</v>
      </c>
      <c r="S1975" t="s">
        <v>40582</v>
      </c>
      <c r="T1975" t="s">
        <v>42292</v>
      </c>
      <c r="U1975" t="s">
        <v>44336</v>
      </c>
      <c r="W1975" t="s">
        <v>37866</v>
      </c>
      <c r="X1975" t="s">
        <v>40439</v>
      </c>
    </row>
    <row r="1976" spans="1:24">
      <c r="A1976">
        <f>HYPERLINK("https://www.philgeps.gov.ph/GEPSNONPILOT/Tender/SplashBidNoticeAbstractUI.aspx?menuIndex=3&amp;refID=7049389&amp;Result=3","7049389")</f>
        <v>0</v>
      </c>
      <c r="B1976" t="s">
        <v>555</v>
      </c>
      <c r="C1976" t="s">
        <v>4989</v>
      </c>
      <c r="D1976" t="s">
        <v>16247</v>
      </c>
      <c r="E1976" t="s">
        <v>18112</v>
      </c>
      <c r="F1976" t="s">
        <v>28198</v>
      </c>
      <c r="G1976" t="s">
        <v>28205</v>
      </c>
      <c r="H1976" t="s">
        <v>28214</v>
      </c>
      <c r="I1976" t="s">
        <v>8870</v>
      </c>
      <c r="J1976" t="s">
        <v>29697</v>
      </c>
      <c r="K1976" t="s">
        <v>36689</v>
      </c>
      <c r="M1976" t="s">
        <v>37541</v>
      </c>
      <c r="N1976" t="s">
        <v>40436</v>
      </c>
      <c r="O1976" t="s">
        <v>40437</v>
      </c>
      <c r="P1976">
        <v>0</v>
      </c>
      <c r="Q1976">
        <v>1</v>
      </c>
      <c r="R1976" t="s">
        <v>40438</v>
      </c>
      <c r="S1976" t="s">
        <v>40582</v>
      </c>
      <c r="T1976" t="s">
        <v>42115</v>
      </c>
      <c r="U1976" t="s">
        <v>44337</v>
      </c>
      <c r="W1976" t="s">
        <v>37541</v>
      </c>
      <c r="X1976" t="s">
        <v>40439</v>
      </c>
    </row>
    <row r="1977" spans="1:24">
      <c r="A1977">
        <f>HYPERLINK("https://www.philgeps.gov.ph/GEPSNONPILOT/Tender/SplashBidNoticeAbstractUI.aspx?menuIndex=3&amp;refID=7049393&amp;Result=3","7049393")</f>
        <v>0</v>
      </c>
      <c r="B1977" t="s">
        <v>879</v>
      </c>
      <c r="C1977" t="s">
        <v>4990</v>
      </c>
      <c r="E1977" t="s">
        <v>18113</v>
      </c>
      <c r="F1977" t="s">
        <v>28198</v>
      </c>
      <c r="G1977" t="s">
        <v>28206</v>
      </c>
      <c r="H1977" t="s">
        <v>28215</v>
      </c>
      <c r="I1977" t="s">
        <v>28247</v>
      </c>
      <c r="J1977" t="s">
        <v>29698</v>
      </c>
      <c r="K1977" t="s">
        <v>36689</v>
      </c>
      <c r="M1977" t="s">
        <v>37895</v>
      </c>
      <c r="N1977" t="s">
        <v>40436</v>
      </c>
      <c r="O1977" t="s">
        <v>40437</v>
      </c>
      <c r="P1977">
        <v>0</v>
      </c>
      <c r="Q1977">
        <v>17</v>
      </c>
      <c r="R1977" t="s">
        <v>40438</v>
      </c>
      <c r="S1977" t="s">
        <v>40582</v>
      </c>
      <c r="T1977" t="s">
        <v>42131</v>
      </c>
      <c r="U1977" t="s">
        <v>44325</v>
      </c>
      <c r="W1977" t="s">
        <v>37895</v>
      </c>
      <c r="X1977" t="s">
        <v>40439</v>
      </c>
    </row>
    <row r="1978" spans="1:24">
      <c r="A1978">
        <f>HYPERLINK("https://www.philgeps.gov.ph/GEPSNONPILOT/Tender/SplashBidNoticeAbstractUI.aspx?menuIndex=3&amp;refID=7049383&amp;Result=3","7049383")</f>
        <v>0</v>
      </c>
      <c r="B1978" t="s">
        <v>862</v>
      </c>
      <c r="C1978" t="s">
        <v>4991</v>
      </c>
      <c r="D1978" t="s">
        <v>16248</v>
      </c>
      <c r="E1978" t="s">
        <v>18114</v>
      </c>
      <c r="F1978" t="s">
        <v>28198</v>
      </c>
      <c r="G1978" t="s">
        <v>28205</v>
      </c>
      <c r="H1978" t="s">
        <v>28214</v>
      </c>
      <c r="I1978" t="s">
        <v>3797</v>
      </c>
      <c r="J1978" t="s">
        <v>29699</v>
      </c>
      <c r="K1978" t="s">
        <v>36701</v>
      </c>
      <c r="L1978" t="s">
        <v>862</v>
      </c>
      <c r="M1978" t="s">
        <v>37874</v>
      </c>
      <c r="N1978" t="s">
        <v>40436</v>
      </c>
      <c r="O1978" t="s">
        <v>40437</v>
      </c>
      <c r="P1978">
        <v>0</v>
      </c>
      <c r="Q1978">
        <v>0</v>
      </c>
      <c r="R1978" t="s">
        <v>40438</v>
      </c>
      <c r="S1978" t="s">
        <v>40582</v>
      </c>
      <c r="T1978" t="s">
        <v>42106</v>
      </c>
      <c r="U1978" t="s">
        <v>44338</v>
      </c>
      <c r="V1978" t="s">
        <v>54000</v>
      </c>
      <c r="W1978" t="s">
        <v>37874</v>
      </c>
      <c r="X1978" t="s">
        <v>40439</v>
      </c>
    </row>
    <row r="1979" spans="1:24">
      <c r="A1979">
        <f>HYPERLINK("https://www.philgeps.gov.ph/GEPSNONPILOT/Tender/SplashBidNoticeAbstractUI.aspx?menuIndex=3&amp;refID=7049387&amp;Result=3","7049387")</f>
        <v>0</v>
      </c>
      <c r="B1979" t="s">
        <v>585</v>
      </c>
      <c r="C1979" t="s">
        <v>4992</v>
      </c>
      <c r="D1979" t="s">
        <v>16190</v>
      </c>
      <c r="E1979" t="s">
        <v>17248</v>
      </c>
      <c r="F1979" t="s">
        <v>28198</v>
      </c>
      <c r="G1979" t="s">
        <v>28207</v>
      </c>
      <c r="H1979" t="s">
        <v>28215</v>
      </c>
      <c r="I1979" t="s">
        <v>3422</v>
      </c>
      <c r="J1979" t="s">
        <v>29700</v>
      </c>
      <c r="K1979" t="s">
        <v>36698</v>
      </c>
      <c r="M1979" t="s">
        <v>37670</v>
      </c>
      <c r="N1979" t="s">
        <v>40436</v>
      </c>
      <c r="O1979" t="s">
        <v>40437</v>
      </c>
      <c r="P1979">
        <v>0</v>
      </c>
      <c r="Q1979">
        <v>0</v>
      </c>
      <c r="R1979" t="s">
        <v>40438</v>
      </c>
      <c r="S1979" t="s">
        <v>40582</v>
      </c>
      <c r="T1979" t="s">
        <v>42270</v>
      </c>
      <c r="U1979" t="s">
        <v>44339</v>
      </c>
      <c r="W1979" t="s">
        <v>37670</v>
      </c>
      <c r="X1979" t="s">
        <v>40439</v>
      </c>
    </row>
    <row r="1980" spans="1:24">
      <c r="A1980">
        <f>HYPERLINK("https://www.philgeps.gov.ph/GEPSNONPILOT/Tender/SplashBidNoticeAbstractUI.aspx?menuIndex=3&amp;refID=7049392&amp;Result=3","7049392")</f>
        <v>0</v>
      </c>
      <c r="B1980" t="s">
        <v>882</v>
      </c>
      <c r="C1980" t="s">
        <v>4993</v>
      </c>
      <c r="D1980" t="s">
        <v>16192</v>
      </c>
      <c r="E1980" t="s">
        <v>18115</v>
      </c>
      <c r="F1980" t="s">
        <v>28198</v>
      </c>
      <c r="G1980" t="s">
        <v>28207</v>
      </c>
      <c r="H1980" t="s">
        <v>28215</v>
      </c>
      <c r="I1980" t="s">
        <v>3774</v>
      </c>
      <c r="J1980" t="s">
        <v>29701</v>
      </c>
      <c r="K1980" t="s">
        <v>36689</v>
      </c>
      <c r="M1980" t="s">
        <v>37898</v>
      </c>
      <c r="N1980" t="s">
        <v>40436</v>
      </c>
      <c r="O1980" t="s">
        <v>40437</v>
      </c>
      <c r="P1980">
        <v>0</v>
      </c>
      <c r="Q1980">
        <v>1</v>
      </c>
      <c r="R1980" t="s">
        <v>40438</v>
      </c>
      <c r="S1980" t="s">
        <v>40582</v>
      </c>
      <c r="T1980" t="s">
        <v>42119</v>
      </c>
      <c r="U1980" t="s">
        <v>44340</v>
      </c>
      <c r="W1980" t="s">
        <v>37898</v>
      </c>
      <c r="X1980" t="s">
        <v>40439</v>
      </c>
    </row>
    <row r="1981" spans="1:24">
      <c r="A1981">
        <f>HYPERLINK("https://www.philgeps.gov.ph/GEPSNONPILOT/Tender/SplashBidNoticeAbstractUI.aspx?menuIndex=3&amp;refID=7049396&amp;Result=3","7049396")</f>
        <v>0</v>
      </c>
      <c r="B1981" t="s">
        <v>883</v>
      </c>
      <c r="C1981" t="s">
        <v>4994</v>
      </c>
      <c r="D1981" t="s">
        <v>16264</v>
      </c>
      <c r="E1981" t="s">
        <v>18116</v>
      </c>
      <c r="F1981" t="s">
        <v>28198</v>
      </c>
      <c r="G1981" t="s">
        <v>28205</v>
      </c>
      <c r="H1981" t="s">
        <v>28214</v>
      </c>
      <c r="I1981" t="s">
        <v>28260</v>
      </c>
      <c r="J1981" t="s">
        <v>29702</v>
      </c>
      <c r="K1981" t="s">
        <v>36701</v>
      </c>
      <c r="M1981" t="s">
        <v>37899</v>
      </c>
      <c r="N1981" t="s">
        <v>40436</v>
      </c>
      <c r="O1981" t="s">
        <v>40437</v>
      </c>
      <c r="P1981">
        <v>0</v>
      </c>
      <c r="Q1981">
        <v>0</v>
      </c>
      <c r="R1981" t="s">
        <v>40438</v>
      </c>
      <c r="S1981" t="s">
        <v>40582</v>
      </c>
      <c r="T1981" t="s">
        <v>42196</v>
      </c>
      <c r="U1981" t="s">
        <v>44341</v>
      </c>
      <c r="W1981" t="s">
        <v>37899</v>
      </c>
      <c r="X1981" t="s">
        <v>40439</v>
      </c>
    </row>
    <row r="1982" spans="1:24">
      <c r="A1982">
        <f>HYPERLINK("https://www.philgeps.gov.ph/GEPSNONPILOT/Tender/SplashBidNoticeAbstractUI.aspx?menuIndex=3&amp;refID=7049384&amp;Result=3","7049384")</f>
        <v>0</v>
      </c>
      <c r="B1982" t="s">
        <v>813</v>
      </c>
      <c r="C1982" t="s">
        <v>4995</v>
      </c>
      <c r="D1982" t="s">
        <v>16210</v>
      </c>
      <c r="E1982" t="s">
        <v>17230</v>
      </c>
      <c r="F1982" t="s">
        <v>28198</v>
      </c>
      <c r="G1982" t="s">
        <v>28205</v>
      </c>
      <c r="H1982" t="s">
        <v>28215</v>
      </c>
      <c r="I1982" t="s">
        <v>28239</v>
      </c>
      <c r="J1982" t="s">
        <v>28351</v>
      </c>
      <c r="K1982" t="s">
        <v>36691</v>
      </c>
      <c r="M1982" t="s">
        <v>37825</v>
      </c>
      <c r="N1982" t="s">
        <v>40436</v>
      </c>
      <c r="O1982" t="s">
        <v>40437</v>
      </c>
      <c r="P1982">
        <v>0</v>
      </c>
      <c r="Q1982">
        <v>2</v>
      </c>
      <c r="R1982" t="s">
        <v>40438</v>
      </c>
      <c r="S1982" t="s">
        <v>40582</v>
      </c>
      <c r="T1982" t="s">
        <v>42287</v>
      </c>
      <c r="U1982" t="s">
        <v>44342</v>
      </c>
      <c r="W1982" t="s">
        <v>37825</v>
      </c>
      <c r="X1982" t="s">
        <v>40439</v>
      </c>
    </row>
    <row r="1983" spans="1:24">
      <c r="A1983">
        <f>HYPERLINK("https://www.philgeps.gov.ph/GEPSNONPILOT/Tender/SplashBidNoticeAbstractUI.aspx?menuIndex=3&amp;refID=7049399&amp;Result=3","7049399")</f>
        <v>0</v>
      </c>
      <c r="B1983" t="s">
        <v>884</v>
      </c>
      <c r="C1983" t="s">
        <v>4996</v>
      </c>
      <c r="D1983" t="s">
        <v>16230</v>
      </c>
      <c r="E1983" t="s">
        <v>18117</v>
      </c>
      <c r="F1983" t="s">
        <v>28198</v>
      </c>
      <c r="G1983" t="s">
        <v>28207</v>
      </c>
      <c r="H1983" t="s">
        <v>28215</v>
      </c>
      <c r="I1983" t="s">
        <v>28310</v>
      </c>
      <c r="J1983" t="s">
        <v>28432</v>
      </c>
      <c r="K1983" t="s">
        <v>36772</v>
      </c>
      <c r="L1983" t="s">
        <v>884</v>
      </c>
      <c r="M1983" t="s">
        <v>37900</v>
      </c>
      <c r="N1983" t="s">
        <v>40436</v>
      </c>
      <c r="O1983" t="s">
        <v>40437</v>
      </c>
      <c r="P1983">
        <v>0</v>
      </c>
      <c r="Q1983">
        <v>0</v>
      </c>
      <c r="R1983" t="s">
        <v>40438</v>
      </c>
      <c r="S1983" t="s">
        <v>40582</v>
      </c>
      <c r="T1983" t="s">
        <v>42142</v>
      </c>
      <c r="U1983" t="s">
        <v>44343</v>
      </c>
      <c r="V1983" t="s">
        <v>54001</v>
      </c>
      <c r="W1983" t="s">
        <v>37900</v>
      </c>
      <c r="X1983" t="s">
        <v>40439</v>
      </c>
    </row>
    <row r="1984" spans="1:24">
      <c r="A1984">
        <f>HYPERLINK("https://www.philgeps.gov.ph/GEPSNONPILOT/Tender/SplashBidNoticeAbstractUI.aspx?menuIndex=3&amp;refID=7049416&amp;Result=3","7049416")</f>
        <v>0</v>
      </c>
      <c r="B1984" t="s">
        <v>555</v>
      </c>
      <c r="C1984" t="s">
        <v>4997</v>
      </c>
      <c r="D1984" t="s">
        <v>16247</v>
      </c>
      <c r="E1984" t="s">
        <v>18118</v>
      </c>
      <c r="F1984" t="s">
        <v>28198</v>
      </c>
      <c r="G1984" t="s">
        <v>28205</v>
      </c>
      <c r="H1984" t="s">
        <v>28214</v>
      </c>
      <c r="I1984" t="s">
        <v>8870</v>
      </c>
      <c r="J1984" t="s">
        <v>29703</v>
      </c>
      <c r="K1984" t="s">
        <v>36689</v>
      </c>
      <c r="M1984" t="s">
        <v>37541</v>
      </c>
      <c r="N1984" t="s">
        <v>40436</v>
      </c>
      <c r="O1984" t="s">
        <v>40437</v>
      </c>
      <c r="P1984">
        <v>0</v>
      </c>
      <c r="Q1984">
        <v>1</v>
      </c>
      <c r="R1984" t="s">
        <v>40438</v>
      </c>
      <c r="S1984" t="s">
        <v>40582</v>
      </c>
      <c r="T1984" t="s">
        <v>42115</v>
      </c>
      <c r="U1984" t="s">
        <v>44344</v>
      </c>
      <c r="W1984" t="s">
        <v>37541</v>
      </c>
      <c r="X1984" t="s">
        <v>40439</v>
      </c>
    </row>
    <row r="1985" spans="1:24">
      <c r="A1985">
        <f>HYPERLINK("https://www.philgeps.gov.ph/GEPSNONPILOT/Tender/SplashBidNoticeAbstractUI.aspx?menuIndex=3&amp;refID=7049401&amp;Result=3","7049401")</f>
        <v>0</v>
      </c>
      <c r="B1985" t="s">
        <v>885</v>
      </c>
      <c r="C1985" t="s">
        <v>4998</v>
      </c>
      <c r="D1985" t="s">
        <v>16195</v>
      </c>
      <c r="E1985" t="s">
        <v>18119</v>
      </c>
      <c r="F1985" t="s">
        <v>28198</v>
      </c>
      <c r="G1985" t="s">
        <v>28207</v>
      </c>
      <c r="H1985" t="s">
        <v>28215</v>
      </c>
      <c r="I1985" t="s">
        <v>28238</v>
      </c>
      <c r="J1985" t="s">
        <v>28414</v>
      </c>
      <c r="K1985" t="s">
        <v>36694</v>
      </c>
      <c r="M1985" t="s">
        <v>37901</v>
      </c>
      <c r="N1985" t="s">
        <v>40436</v>
      </c>
      <c r="O1985" t="s">
        <v>40437</v>
      </c>
      <c r="P1985">
        <v>0</v>
      </c>
      <c r="Q1985">
        <v>1</v>
      </c>
      <c r="R1985" t="s">
        <v>40438</v>
      </c>
      <c r="S1985" t="s">
        <v>40582</v>
      </c>
      <c r="T1985" t="s">
        <v>42129</v>
      </c>
      <c r="U1985" t="s">
        <v>44345</v>
      </c>
      <c r="W1985" t="s">
        <v>37901</v>
      </c>
      <c r="X1985" t="s">
        <v>40439</v>
      </c>
    </row>
    <row r="1986" spans="1:24">
      <c r="A1986">
        <f>HYPERLINK("https://www.philgeps.gov.ph/GEPSNONPILOT/Tender/SplashBidNoticeAbstractUI.aspx?menuIndex=3&amp;refID=7049397&amp;Result=3","7049397")</f>
        <v>0</v>
      </c>
      <c r="B1986" t="s">
        <v>617</v>
      </c>
      <c r="C1986" t="s">
        <v>4999</v>
      </c>
      <c r="D1986" t="s">
        <v>16253</v>
      </c>
      <c r="E1986" t="s">
        <v>18120</v>
      </c>
      <c r="F1986" t="s">
        <v>28198</v>
      </c>
      <c r="G1986" t="s">
        <v>28207</v>
      </c>
      <c r="H1986" t="s">
        <v>28215</v>
      </c>
      <c r="I1986" t="s">
        <v>28224</v>
      </c>
      <c r="J1986" t="s">
        <v>29704</v>
      </c>
      <c r="K1986" t="s">
        <v>36701</v>
      </c>
      <c r="M1986" t="s">
        <v>37609</v>
      </c>
      <c r="N1986" t="s">
        <v>40436</v>
      </c>
      <c r="O1986" t="s">
        <v>40437</v>
      </c>
      <c r="P1986">
        <v>0</v>
      </c>
      <c r="Q1986">
        <v>1</v>
      </c>
      <c r="R1986" t="s">
        <v>40438</v>
      </c>
      <c r="S1986" t="s">
        <v>40582</v>
      </c>
      <c r="T1986" t="s">
        <v>42129</v>
      </c>
      <c r="U1986" t="s">
        <v>44346</v>
      </c>
      <c r="V1986" t="s">
        <v>53932</v>
      </c>
      <c r="W1986" t="s">
        <v>37609</v>
      </c>
      <c r="X1986" t="s">
        <v>40439</v>
      </c>
    </row>
    <row r="1987" spans="1:24">
      <c r="A1987">
        <f>HYPERLINK("https://www.philgeps.gov.ph/GEPSNONPILOT/Tender/SplashBidNoticeAbstractUI.aspx?menuIndex=3&amp;refID=7049418&amp;Result=3","7049418")</f>
        <v>0</v>
      </c>
      <c r="B1987" t="s">
        <v>728</v>
      </c>
      <c r="C1987" t="s">
        <v>5000</v>
      </c>
      <c r="D1987" t="s">
        <v>16200</v>
      </c>
      <c r="E1987" t="s">
        <v>18121</v>
      </c>
      <c r="F1987" t="s">
        <v>28198</v>
      </c>
      <c r="G1987" t="s">
        <v>28205</v>
      </c>
      <c r="H1987" t="s">
        <v>28215</v>
      </c>
      <c r="I1987" t="s">
        <v>28280</v>
      </c>
      <c r="J1987" t="s">
        <v>29705</v>
      </c>
      <c r="K1987" t="s">
        <v>36697</v>
      </c>
      <c r="M1987" t="s">
        <v>37777</v>
      </c>
      <c r="N1987" t="s">
        <v>40436</v>
      </c>
      <c r="O1987" t="s">
        <v>40437</v>
      </c>
      <c r="P1987">
        <v>0</v>
      </c>
      <c r="Q1987">
        <v>4</v>
      </c>
      <c r="R1987" t="s">
        <v>40438</v>
      </c>
      <c r="S1987" t="s">
        <v>40582</v>
      </c>
      <c r="T1987" t="s">
        <v>42143</v>
      </c>
      <c r="U1987" t="s">
        <v>44347</v>
      </c>
      <c r="W1987" t="s">
        <v>37777</v>
      </c>
      <c r="X1987" t="s">
        <v>40439</v>
      </c>
    </row>
    <row r="1988" spans="1:24">
      <c r="A1988">
        <f>HYPERLINK("https://www.philgeps.gov.ph/GEPSNONPILOT/Tender/SplashBidNoticeAbstractUI.aspx?menuIndex=3&amp;refID=7049412&amp;Result=3","7049412")</f>
        <v>0</v>
      </c>
      <c r="B1988" t="s">
        <v>886</v>
      </c>
      <c r="C1988" t="s">
        <v>5001</v>
      </c>
      <c r="E1988" t="s">
        <v>18122</v>
      </c>
      <c r="F1988" t="s">
        <v>28198</v>
      </c>
      <c r="G1988" t="s">
        <v>28206</v>
      </c>
      <c r="H1988" t="s">
        <v>28215</v>
      </c>
      <c r="I1988" t="s">
        <v>4200</v>
      </c>
      <c r="J1988" t="s">
        <v>29706</v>
      </c>
      <c r="K1988" t="s">
        <v>36706</v>
      </c>
      <c r="M1988" t="s">
        <v>37902</v>
      </c>
      <c r="N1988" t="s">
        <v>40436</v>
      </c>
      <c r="O1988" t="s">
        <v>40437</v>
      </c>
      <c r="P1988">
        <v>0</v>
      </c>
      <c r="Q1988">
        <v>2</v>
      </c>
      <c r="R1988" t="s">
        <v>40438</v>
      </c>
      <c r="S1988" t="s">
        <v>40582</v>
      </c>
      <c r="T1988" t="s">
        <v>42233</v>
      </c>
      <c r="U1988" t="s">
        <v>44348</v>
      </c>
      <c r="W1988" t="s">
        <v>37902</v>
      </c>
      <c r="X1988" t="s">
        <v>40439</v>
      </c>
    </row>
    <row r="1989" spans="1:24">
      <c r="A1989">
        <f>HYPERLINK("https://www.philgeps.gov.ph/GEPSNONPILOT/Tender/SplashBidNoticeAbstractUI.aspx?menuIndex=3&amp;refID=7049415&amp;Result=3","7049415")</f>
        <v>0</v>
      </c>
      <c r="B1989" t="s">
        <v>870</v>
      </c>
      <c r="C1989" t="s">
        <v>5002</v>
      </c>
      <c r="D1989" t="s">
        <v>16221</v>
      </c>
      <c r="E1989" t="s">
        <v>18123</v>
      </c>
      <c r="F1989" t="s">
        <v>28198</v>
      </c>
      <c r="G1989" t="s">
        <v>28205</v>
      </c>
      <c r="H1989" t="s">
        <v>28214</v>
      </c>
      <c r="I1989" t="s">
        <v>3797</v>
      </c>
      <c r="J1989" t="s">
        <v>29707</v>
      </c>
      <c r="K1989" t="s">
        <v>36742</v>
      </c>
      <c r="M1989" t="s">
        <v>37882</v>
      </c>
      <c r="N1989" t="s">
        <v>40436</v>
      </c>
      <c r="O1989" t="s">
        <v>40437</v>
      </c>
      <c r="P1989">
        <v>0</v>
      </c>
      <c r="Q1989">
        <v>3</v>
      </c>
      <c r="R1989" t="s">
        <v>40438</v>
      </c>
      <c r="S1989" t="s">
        <v>40582</v>
      </c>
      <c r="T1989" t="s">
        <v>42106</v>
      </c>
      <c r="U1989" t="s">
        <v>44308</v>
      </c>
      <c r="V1989" t="s">
        <v>53995</v>
      </c>
      <c r="W1989" t="s">
        <v>37882</v>
      </c>
      <c r="X1989" t="s">
        <v>40439</v>
      </c>
    </row>
    <row r="1990" spans="1:24">
      <c r="A1990">
        <f>HYPERLINK("https://www.philgeps.gov.ph/GEPSNONPILOT/Tender/SplashBidNoticeAbstractUI.aspx?menuIndex=3&amp;refID=7049410&amp;Result=3","7049410")</f>
        <v>0</v>
      </c>
      <c r="B1990" t="s">
        <v>887</v>
      </c>
      <c r="C1990" t="s">
        <v>5003</v>
      </c>
      <c r="D1990" t="s">
        <v>16230</v>
      </c>
      <c r="E1990" t="s">
        <v>18124</v>
      </c>
      <c r="F1990" t="s">
        <v>28198</v>
      </c>
      <c r="G1990" t="s">
        <v>28207</v>
      </c>
      <c r="H1990" t="s">
        <v>28215</v>
      </c>
      <c r="I1990" t="s">
        <v>4219</v>
      </c>
      <c r="J1990" t="s">
        <v>29708</v>
      </c>
      <c r="K1990" t="s">
        <v>36706</v>
      </c>
      <c r="M1990" t="s">
        <v>37903</v>
      </c>
      <c r="N1990" t="s">
        <v>40436</v>
      </c>
      <c r="O1990" t="s">
        <v>40437</v>
      </c>
      <c r="P1990">
        <v>0</v>
      </c>
      <c r="Q1990">
        <v>0</v>
      </c>
      <c r="R1990" t="s">
        <v>40438</v>
      </c>
      <c r="S1990" t="s">
        <v>40582</v>
      </c>
      <c r="T1990" t="s">
        <v>42111</v>
      </c>
      <c r="U1990" t="s">
        <v>44349</v>
      </c>
      <c r="W1990" t="s">
        <v>37903</v>
      </c>
      <c r="X1990" t="s">
        <v>40439</v>
      </c>
    </row>
    <row r="1991" spans="1:24">
      <c r="A1991">
        <f>HYPERLINK("https://www.philgeps.gov.ph/GEPSNONPILOT/Tender/SplashBidNoticeAbstractUI.aspx?menuIndex=3&amp;refID=7049398&amp;Result=3","7049398")</f>
        <v>0</v>
      </c>
      <c r="B1991" t="s">
        <v>888</v>
      </c>
      <c r="C1991" t="s">
        <v>5004</v>
      </c>
      <c r="D1991" t="s">
        <v>16246</v>
      </c>
      <c r="E1991" t="s">
        <v>18125</v>
      </c>
      <c r="F1991" t="s">
        <v>28198</v>
      </c>
      <c r="G1991" t="s">
        <v>28207</v>
      </c>
      <c r="H1991" t="s">
        <v>28214</v>
      </c>
      <c r="I1991" t="s">
        <v>3797</v>
      </c>
      <c r="J1991" t="s">
        <v>29709</v>
      </c>
      <c r="K1991" t="s">
        <v>36694</v>
      </c>
      <c r="M1991" t="s">
        <v>37904</v>
      </c>
      <c r="N1991" t="s">
        <v>40436</v>
      </c>
      <c r="O1991" t="s">
        <v>40437</v>
      </c>
      <c r="P1991">
        <v>0</v>
      </c>
      <c r="Q1991">
        <v>2</v>
      </c>
      <c r="R1991" t="s">
        <v>40438</v>
      </c>
      <c r="S1991" t="s">
        <v>40582</v>
      </c>
      <c r="T1991" t="s">
        <v>42175</v>
      </c>
      <c r="U1991" t="s">
        <v>44350</v>
      </c>
      <c r="W1991" t="s">
        <v>37904</v>
      </c>
      <c r="X1991" t="s">
        <v>40439</v>
      </c>
    </row>
    <row r="1992" spans="1:24">
      <c r="A1992">
        <f>HYPERLINK("https://www.philgeps.gov.ph/GEPSNONPILOT/Tender/SplashBidNoticeAbstractUI.aspx?menuIndex=3&amp;refID=7049417&amp;Result=3","7049417")</f>
        <v>0</v>
      </c>
      <c r="B1992" t="s">
        <v>813</v>
      </c>
      <c r="C1992" t="s">
        <v>5005</v>
      </c>
      <c r="D1992" t="s">
        <v>16210</v>
      </c>
      <c r="E1992" t="s">
        <v>18126</v>
      </c>
      <c r="F1992" t="s">
        <v>28198</v>
      </c>
      <c r="G1992" t="s">
        <v>28205</v>
      </c>
      <c r="H1992" t="s">
        <v>28215</v>
      </c>
      <c r="I1992" t="s">
        <v>28232</v>
      </c>
      <c r="J1992" t="s">
        <v>28363</v>
      </c>
      <c r="K1992" t="s">
        <v>36691</v>
      </c>
      <c r="M1992" t="s">
        <v>37825</v>
      </c>
      <c r="N1992" t="s">
        <v>40436</v>
      </c>
      <c r="O1992" t="s">
        <v>40437</v>
      </c>
      <c r="P1992">
        <v>0</v>
      </c>
      <c r="Q1992">
        <v>2</v>
      </c>
      <c r="R1992" t="s">
        <v>40438</v>
      </c>
      <c r="S1992" t="s">
        <v>40582</v>
      </c>
      <c r="T1992" t="s">
        <v>42287</v>
      </c>
      <c r="U1992" t="s">
        <v>44320</v>
      </c>
      <c r="W1992" t="s">
        <v>37825</v>
      </c>
      <c r="X1992" t="s">
        <v>40439</v>
      </c>
    </row>
    <row r="1993" spans="1:24">
      <c r="A1993">
        <f>HYPERLINK("https://www.philgeps.gov.ph/GEPSNONPILOT/Tender/SplashBidNoticeAbstractUI.aspx?menuIndex=3&amp;refID=7049406&amp;Result=3","7049406")</f>
        <v>0</v>
      </c>
      <c r="B1993" t="s">
        <v>889</v>
      </c>
      <c r="C1993" t="s">
        <v>5006</v>
      </c>
      <c r="D1993" t="s">
        <v>16227</v>
      </c>
      <c r="E1993" t="s">
        <v>18127</v>
      </c>
      <c r="F1993" t="s">
        <v>28198</v>
      </c>
      <c r="G1993" t="s">
        <v>28207</v>
      </c>
      <c r="H1993" t="s">
        <v>28215</v>
      </c>
      <c r="I1993" t="s">
        <v>28234</v>
      </c>
      <c r="J1993" t="s">
        <v>29710</v>
      </c>
      <c r="K1993" t="s">
        <v>36706</v>
      </c>
      <c r="M1993" t="s">
        <v>37905</v>
      </c>
      <c r="N1993" t="s">
        <v>40436</v>
      </c>
      <c r="O1993" t="s">
        <v>40437</v>
      </c>
      <c r="P1993">
        <v>0</v>
      </c>
      <c r="Q1993">
        <v>4</v>
      </c>
      <c r="R1993" t="s">
        <v>40438</v>
      </c>
      <c r="S1993" t="s">
        <v>40582</v>
      </c>
      <c r="T1993" t="s">
        <v>42124</v>
      </c>
      <c r="U1993" t="s">
        <v>44351</v>
      </c>
      <c r="W1993" t="s">
        <v>37905</v>
      </c>
      <c r="X1993" t="s">
        <v>40439</v>
      </c>
    </row>
    <row r="1994" spans="1:24">
      <c r="A1994">
        <f>HYPERLINK("https://www.philgeps.gov.ph/GEPSNONPILOT/Tender/SplashBidNoticeAbstractUI.aspx?menuIndex=3&amp;refID=7049411&amp;Result=3","7049411")</f>
        <v>0</v>
      </c>
      <c r="B1994" t="s">
        <v>862</v>
      </c>
      <c r="C1994" t="s">
        <v>5007</v>
      </c>
      <c r="D1994" t="s">
        <v>16248</v>
      </c>
      <c r="E1994" t="s">
        <v>18128</v>
      </c>
      <c r="F1994" t="s">
        <v>28198</v>
      </c>
      <c r="G1994" t="s">
        <v>28205</v>
      </c>
      <c r="H1994" t="s">
        <v>28214</v>
      </c>
      <c r="I1994" t="s">
        <v>3797</v>
      </c>
      <c r="J1994" t="s">
        <v>29711</v>
      </c>
      <c r="K1994" t="s">
        <v>36687</v>
      </c>
      <c r="L1994" t="s">
        <v>862</v>
      </c>
      <c r="M1994" t="s">
        <v>37874</v>
      </c>
      <c r="N1994" t="s">
        <v>40436</v>
      </c>
      <c r="O1994" t="s">
        <v>40437</v>
      </c>
      <c r="P1994">
        <v>0</v>
      </c>
      <c r="Q1994">
        <v>0</v>
      </c>
      <c r="R1994" t="s">
        <v>40438</v>
      </c>
      <c r="S1994" t="s">
        <v>40582</v>
      </c>
      <c r="T1994" t="s">
        <v>42106</v>
      </c>
      <c r="U1994" t="s">
        <v>44352</v>
      </c>
      <c r="V1994" t="s">
        <v>54002</v>
      </c>
      <c r="W1994" t="s">
        <v>37874</v>
      </c>
      <c r="X1994" t="s">
        <v>40439</v>
      </c>
    </row>
    <row r="1995" spans="1:24">
      <c r="A1995">
        <f>HYPERLINK("https://www.philgeps.gov.ph/GEPSNONPILOT/Tender/SplashBidNoticeAbstractUI.aspx?menuIndex=3&amp;refID=7049400&amp;Result=3","7049400")</f>
        <v>0</v>
      </c>
      <c r="B1995" t="s">
        <v>872</v>
      </c>
      <c r="C1995" t="s">
        <v>5008</v>
      </c>
      <c r="D1995" t="s">
        <v>16204</v>
      </c>
      <c r="E1995" t="s">
        <v>18129</v>
      </c>
      <c r="F1995" t="s">
        <v>28198</v>
      </c>
      <c r="G1995" t="s">
        <v>28205</v>
      </c>
      <c r="H1995" t="s">
        <v>28214</v>
      </c>
      <c r="I1995" t="s">
        <v>3797</v>
      </c>
      <c r="J1995" t="s">
        <v>29712</v>
      </c>
      <c r="K1995" t="s">
        <v>36697</v>
      </c>
      <c r="M1995" t="s">
        <v>37886</v>
      </c>
      <c r="N1995" t="s">
        <v>40436</v>
      </c>
      <c r="O1995" t="s">
        <v>40437</v>
      </c>
      <c r="P1995">
        <v>0</v>
      </c>
      <c r="Q1995">
        <v>25</v>
      </c>
      <c r="R1995" t="s">
        <v>40438</v>
      </c>
      <c r="S1995" t="s">
        <v>40582</v>
      </c>
      <c r="T1995" t="s">
        <v>42130</v>
      </c>
      <c r="U1995" t="s">
        <v>44353</v>
      </c>
      <c r="W1995" t="s">
        <v>37886</v>
      </c>
      <c r="X1995" t="s">
        <v>40439</v>
      </c>
    </row>
    <row r="1996" spans="1:24">
      <c r="A1996">
        <f>HYPERLINK("https://www.philgeps.gov.ph/GEPSNONPILOT/Tender/SplashBidNoticeAbstractUI.aspx?menuIndex=3&amp;refID=7049404&amp;Result=3","7049404")</f>
        <v>0</v>
      </c>
      <c r="B1996" t="s">
        <v>216</v>
      </c>
      <c r="C1996" t="s">
        <v>5009</v>
      </c>
      <c r="D1996" t="s">
        <v>16210</v>
      </c>
      <c r="E1996" t="s">
        <v>18130</v>
      </c>
      <c r="F1996" t="s">
        <v>28198</v>
      </c>
      <c r="G1996" t="s">
        <v>28207</v>
      </c>
      <c r="H1996" t="s">
        <v>28215</v>
      </c>
      <c r="I1996" t="s">
        <v>28309</v>
      </c>
      <c r="J1996" t="s">
        <v>29713</v>
      </c>
      <c r="K1996" t="s">
        <v>36701</v>
      </c>
      <c r="M1996" t="s">
        <v>37192</v>
      </c>
      <c r="N1996" t="s">
        <v>40436</v>
      </c>
      <c r="O1996" t="s">
        <v>40437</v>
      </c>
      <c r="P1996">
        <v>0</v>
      </c>
      <c r="Q1996">
        <v>0</v>
      </c>
      <c r="R1996" t="s">
        <v>40438</v>
      </c>
      <c r="S1996" t="s">
        <v>40582</v>
      </c>
      <c r="T1996" t="s">
        <v>42119</v>
      </c>
      <c r="U1996" t="s">
        <v>44354</v>
      </c>
      <c r="V1996" t="s">
        <v>53819</v>
      </c>
      <c r="W1996" t="s">
        <v>37192</v>
      </c>
      <c r="X1996" t="s">
        <v>40439</v>
      </c>
    </row>
    <row r="1997" spans="1:24">
      <c r="A1997">
        <f>HYPERLINK("https://www.philgeps.gov.ph/GEPSNONPILOT/Tender/SplashBidNoticeAbstractUI.aspx?menuIndex=3&amp;refID=7049405&amp;Result=3","7049405")</f>
        <v>0</v>
      </c>
      <c r="B1997" t="s">
        <v>870</v>
      </c>
      <c r="C1997" t="s">
        <v>5010</v>
      </c>
      <c r="D1997" t="s">
        <v>16221</v>
      </c>
      <c r="E1997" t="s">
        <v>18131</v>
      </c>
      <c r="F1997" t="s">
        <v>28198</v>
      </c>
      <c r="G1997" t="s">
        <v>28205</v>
      </c>
      <c r="H1997" t="s">
        <v>28214</v>
      </c>
      <c r="I1997" t="s">
        <v>3797</v>
      </c>
      <c r="J1997" t="s">
        <v>29714</v>
      </c>
      <c r="K1997" t="s">
        <v>36770</v>
      </c>
      <c r="M1997" t="s">
        <v>37882</v>
      </c>
      <c r="N1997" t="s">
        <v>40436</v>
      </c>
      <c r="O1997" t="s">
        <v>40437</v>
      </c>
      <c r="P1997">
        <v>0</v>
      </c>
      <c r="Q1997">
        <v>1</v>
      </c>
      <c r="R1997" t="s">
        <v>40438</v>
      </c>
      <c r="S1997" t="s">
        <v>40582</v>
      </c>
      <c r="T1997" t="s">
        <v>42106</v>
      </c>
      <c r="U1997" t="s">
        <v>44308</v>
      </c>
      <c r="V1997" t="s">
        <v>53995</v>
      </c>
      <c r="W1997" t="s">
        <v>37882</v>
      </c>
      <c r="X1997" t="s">
        <v>40439</v>
      </c>
    </row>
    <row r="1998" spans="1:24">
      <c r="A1998">
        <f>HYPERLINK("https://www.philgeps.gov.ph/GEPSNONPILOT/Tender/SplashBidNoticeAbstractUI.aspx?menuIndex=3&amp;refID=7049403&amp;Result=3","7049403")</f>
        <v>0</v>
      </c>
      <c r="B1998" t="s">
        <v>890</v>
      </c>
      <c r="C1998" t="s">
        <v>5011</v>
      </c>
      <c r="D1998" t="s">
        <v>16213</v>
      </c>
      <c r="E1998" t="s">
        <v>18132</v>
      </c>
      <c r="F1998" t="s">
        <v>28198</v>
      </c>
      <c r="G1998" t="s">
        <v>28207</v>
      </c>
      <c r="H1998" t="s">
        <v>28215</v>
      </c>
      <c r="I1998" t="s">
        <v>5631</v>
      </c>
      <c r="J1998" t="s">
        <v>28378</v>
      </c>
      <c r="K1998" t="s">
        <v>36688</v>
      </c>
      <c r="M1998" t="s">
        <v>37906</v>
      </c>
      <c r="N1998" t="s">
        <v>40436</v>
      </c>
      <c r="O1998" t="s">
        <v>40437</v>
      </c>
      <c r="P1998">
        <v>0</v>
      </c>
      <c r="Q1998">
        <v>1</v>
      </c>
      <c r="R1998" t="s">
        <v>40438</v>
      </c>
      <c r="S1998" t="s">
        <v>40582</v>
      </c>
      <c r="T1998" t="s">
        <v>42103</v>
      </c>
      <c r="U1998" t="s">
        <v>44355</v>
      </c>
      <c r="W1998" t="s">
        <v>37906</v>
      </c>
      <c r="X1998" t="s">
        <v>40439</v>
      </c>
    </row>
    <row r="1999" spans="1:24">
      <c r="A1999">
        <f>HYPERLINK("https://www.philgeps.gov.ph/GEPSNONPILOT/Tender/SplashBidNoticeAbstractUI.aspx?menuIndex=3&amp;refID=7049409&amp;Result=3","7049409")</f>
        <v>0</v>
      </c>
      <c r="B1999" t="s">
        <v>891</v>
      </c>
      <c r="C1999" t="s">
        <v>5012</v>
      </c>
      <c r="D1999" t="s">
        <v>16209</v>
      </c>
      <c r="E1999" t="s">
        <v>16619</v>
      </c>
      <c r="F1999" t="s">
        <v>28198</v>
      </c>
      <c r="G1999" t="s">
        <v>28206</v>
      </c>
      <c r="H1999" t="s">
        <v>28215</v>
      </c>
      <c r="I1999" t="s">
        <v>4219</v>
      </c>
      <c r="J1999" t="s">
        <v>29715</v>
      </c>
      <c r="K1999" t="s">
        <v>36698</v>
      </c>
      <c r="M1999" t="s">
        <v>37907</v>
      </c>
      <c r="N1999" t="s">
        <v>40436</v>
      </c>
      <c r="O1999" t="s">
        <v>40437</v>
      </c>
      <c r="P1999">
        <v>0</v>
      </c>
      <c r="Q1999">
        <v>0</v>
      </c>
      <c r="R1999" t="s">
        <v>40438</v>
      </c>
      <c r="S1999" t="s">
        <v>40582</v>
      </c>
      <c r="T1999" t="s">
        <v>42297</v>
      </c>
      <c r="U1999" t="s">
        <v>44356</v>
      </c>
      <c r="W1999" t="s">
        <v>37907</v>
      </c>
      <c r="X1999" t="s">
        <v>40439</v>
      </c>
    </row>
    <row r="2000" spans="1:24">
      <c r="A2000">
        <f>HYPERLINK("https://www.philgeps.gov.ph/GEPSNONPILOT/Tender/SplashBidNoticeAbstractUI.aspx?menuIndex=3&amp;refID=7049419&amp;Result=3","7049419")</f>
        <v>0</v>
      </c>
      <c r="B2000" t="s">
        <v>871</v>
      </c>
      <c r="C2000" t="s">
        <v>5013</v>
      </c>
      <c r="D2000" t="s">
        <v>16221</v>
      </c>
      <c r="E2000" t="s">
        <v>18133</v>
      </c>
      <c r="F2000" t="s">
        <v>28198</v>
      </c>
      <c r="G2000" t="s">
        <v>28206</v>
      </c>
      <c r="H2000" t="s">
        <v>28215</v>
      </c>
      <c r="I2000" t="s">
        <v>3774</v>
      </c>
      <c r="J2000" t="s">
        <v>29716</v>
      </c>
      <c r="K2000" t="s">
        <v>36688</v>
      </c>
      <c r="M2000" t="s">
        <v>37885</v>
      </c>
      <c r="N2000" t="s">
        <v>40436</v>
      </c>
      <c r="O2000" t="s">
        <v>40437</v>
      </c>
      <c r="P2000">
        <v>0</v>
      </c>
      <c r="Q2000">
        <v>0</v>
      </c>
      <c r="R2000" t="s">
        <v>40438</v>
      </c>
      <c r="S2000" t="s">
        <v>40582</v>
      </c>
      <c r="T2000" t="s">
        <v>42187</v>
      </c>
      <c r="U2000" t="s">
        <v>44357</v>
      </c>
      <c r="W2000" t="s">
        <v>55466</v>
      </c>
      <c r="X2000" t="s">
        <v>40439</v>
      </c>
    </row>
    <row r="2001" spans="1:24">
      <c r="A2001">
        <f>HYPERLINK("https://www.philgeps.gov.ph/GEPSNONPILOT/Tender/SplashBidNoticeAbstractUI.aspx?menuIndex=3&amp;refID=7049402&amp;Result=3","7049402")</f>
        <v>0</v>
      </c>
      <c r="B2001" t="s">
        <v>892</v>
      </c>
      <c r="C2001" t="s">
        <v>5014</v>
      </c>
      <c r="D2001" t="s">
        <v>16195</v>
      </c>
      <c r="E2001" t="s">
        <v>18134</v>
      </c>
      <c r="F2001" t="s">
        <v>28198</v>
      </c>
      <c r="G2001" t="s">
        <v>28207</v>
      </c>
      <c r="H2001" t="s">
        <v>28215</v>
      </c>
      <c r="I2001" t="s">
        <v>28220</v>
      </c>
      <c r="J2001" t="s">
        <v>29717</v>
      </c>
      <c r="K2001" t="s">
        <v>36688</v>
      </c>
      <c r="M2001" t="s">
        <v>37908</v>
      </c>
      <c r="N2001" t="s">
        <v>40436</v>
      </c>
      <c r="O2001" t="s">
        <v>40437</v>
      </c>
      <c r="P2001">
        <v>0</v>
      </c>
      <c r="Q2001">
        <v>7</v>
      </c>
      <c r="R2001" t="s">
        <v>40438</v>
      </c>
      <c r="S2001" t="s">
        <v>40582</v>
      </c>
      <c r="T2001" t="s">
        <v>42134</v>
      </c>
      <c r="U2001" t="s">
        <v>44358</v>
      </c>
      <c r="W2001" t="s">
        <v>37908</v>
      </c>
      <c r="X2001" t="s">
        <v>40439</v>
      </c>
    </row>
    <row r="2002" spans="1:24">
      <c r="A2002">
        <f>HYPERLINK("https://www.philgeps.gov.ph/GEPSNONPILOT/Tender/SplashBidNoticeAbstractUI.aspx?menuIndex=3&amp;refID=7049420&amp;Result=3","7049420")</f>
        <v>0</v>
      </c>
      <c r="B2002" t="s">
        <v>893</v>
      </c>
      <c r="C2002" t="s">
        <v>5015</v>
      </c>
      <c r="D2002" t="s">
        <v>16246</v>
      </c>
      <c r="E2002" t="s">
        <v>18135</v>
      </c>
      <c r="F2002" t="s">
        <v>28198</v>
      </c>
      <c r="G2002" t="s">
        <v>28206</v>
      </c>
      <c r="H2002" t="s">
        <v>28215</v>
      </c>
      <c r="I2002" t="s">
        <v>28238</v>
      </c>
      <c r="J2002" t="s">
        <v>29718</v>
      </c>
      <c r="K2002" t="s">
        <v>36707</v>
      </c>
      <c r="M2002" t="s">
        <v>37909</v>
      </c>
      <c r="N2002" t="s">
        <v>40436</v>
      </c>
      <c r="O2002" t="s">
        <v>40437</v>
      </c>
      <c r="P2002">
        <v>0</v>
      </c>
      <c r="Q2002">
        <v>0</v>
      </c>
      <c r="R2002" t="s">
        <v>40438</v>
      </c>
      <c r="S2002" t="s">
        <v>40582</v>
      </c>
      <c r="T2002" t="s">
        <v>42100</v>
      </c>
      <c r="U2002" t="s">
        <v>44359</v>
      </c>
      <c r="W2002" t="s">
        <v>37909</v>
      </c>
      <c r="X2002" t="s">
        <v>40439</v>
      </c>
    </row>
    <row r="2003" spans="1:24">
      <c r="A2003">
        <f>HYPERLINK("https://www.philgeps.gov.ph/GEPSNONPILOT/Tender/SplashBidNoticeAbstractUI.aspx?menuIndex=3&amp;refID=7049436&amp;Result=3","7049436")</f>
        <v>0</v>
      </c>
      <c r="B2003" t="s">
        <v>216</v>
      </c>
      <c r="C2003" t="s">
        <v>5016</v>
      </c>
      <c r="D2003" t="s">
        <v>16210</v>
      </c>
      <c r="E2003" t="s">
        <v>18136</v>
      </c>
      <c r="F2003" t="s">
        <v>28198</v>
      </c>
      <c r="G2003" t="s">
        <v>28207</v>
      </c>
      <c r="H2003" t="s">
        <v>28215</v>
      </c>
      <c r="I2003" t="s">
        <v>28220</v>
      </c>
      <c r="J2003" t="s">
        <v>29719</v>
      </c>
      <c r="K2003" t="s">
        <v>36707</v>
      </c>
      <c r="M2003" t="s">
        <v>37192</v>
      </c>
      <c r="N2003" t="s">
        <v>40436</v>
      </c>
      <c r="O2003" t="s">
        <v>40437</v>
      </c>
      <c r="P2003">
        <v>0</v>
      </c>
      <c r="Q2003">
        <v>4</v>
      </c>
      <c r="R2003" t="s">
        <v>40438</v>
      </c>
      <c r="S2003" t="s">
        <v>40582</v>
      </c>
      <c r="T2003" t="s">
        <v>42119</v>
      </c>
      <c r="U2003" t="s">
        <v>44360</v>
      </c>
      <c r="V2003" t="s">
        <v>53819</v>
      </c>
      <c r="W2003" t="s">
        <v>37192</v>
      </c>
      <c r="X2003" t="s">
        <v>40439</v>
      </c>
    </row>
    <row r="2004" spans="1:24">
      <c r="A2004">
        <f>HYPERLINK("https://www.philgeps.gov.ph/GEPSNONPILOT/Tender/SplashBidNoticeAbstractUI.aspx?menuIndex=3&amp;refID=7049427&amp;Result=3","7049427")</f>
        <v>0</v>
      </c>
      <c r="B2004" t="s">
        <v>892</v>
      </c>
      <c r="C2004" t="s">
        <v>5017</v>
      </c>
      <c r="D2004" t="s">
        <v>16195</v>
      </c>
      <c r="E2004" t="s">
        <v>18137</v>
      </c>
      <c r="F2004" t="s">
        <v>28198</v>
      </c>
      <c r="G2004" t="s">
        <v>28207</v>
      </c>
      <c r="H2004" t="s">
        <v>28215</v>
      </c>
      <c r="I2004" t="s">
        <v>28225</v>
      </c>
      <c r="J2004" t="s">
        <v>28414</v>
      </c>
      <c r="K2004" t="s">
        <v>36688</v>
      </c>
      <c r="M2004" t="s">
        <v>37908</v>
      </c>
      <c r="N2004" t="s">
        <v>40436</v>
      </c>
      <c r="O2004" t="s">
        <v>40437</v>
      </c>
      <c r="P2004">
        <v>0</v>
      </c>
      <c r="Q2004">
        <v>2</v>
      </c>
      <c r="R2004" t="s">
        <v>40438</v>
      </c>
      <c r="S2004" t="s">
        <v>40582</v>
      </c>
      <c r="T2004" t="s">
        <v>42134</v>
      </c>
      <c r="U2004" t="s">
        <v>44358</v>
      </c>
      <c r="W2004" t="s">
        <v>37908</v>
      </c>
      <c r="X2004" t="s">
        <v>40439</v>
      </c>
    </row>
    <row r="2005" spans="1:24">
      <c r="A2005">
        <f>HYPERLINK("https://www.philgeps.gov.ph/GEPSNONPILOT/Tender/SplashBidNoticeAbstractUI.aspx?menuIndex=3&amp;refID=7049440&amp;Result=3","7049440")</f>
        <v>0</v>
      </c>
      <c r="B2005" t="s">
        <v>894</v>
      </c>
      <c r="C2005" t="s">
        <v>5018</v>
      </c>
      <c r="D2005" t="s">
        <v>16235</v>
      </c>
      <c r="E2005" t="s">
        <v>17685</v>
      </c>
      <c r="F2005" t="s">
        <v>28198</v>
      </c>
      <c r="G2005" t="s">
        <v>28207</v>
      </c>
      <c r="H2005" t="s">
        <v>28215</v>
      </c>
      <c r="I2005" t="s">
        <v>5103</v>
      </c>
      <c r="J2005" t="s">
        <v>29720</v>
      </c>
      <c r="K2005" t="s">
        <v>36689</v>
      </c>
      <c r="M2005" t="s">
        <v>37910</v>
      </c>
      <c r="N2005" t="s">
        <v>40436</v>
      </c>
      <c r="O2005" t="s">
        <v>40437</v>
      </c>
      <c r="P2005">
        <v>0</v>
      </c>
      <c r="Q2005">
        <v>8</v>
      </c>
      <c r="R2005" t="s">
        <v>40438</v>
      </c>
      <c r="S2005" t="s">
        <v>40582</v>
      </c>
      <c r="T2005" t="s">
        <v>42273</v>
      </c>
      <c r="U2005" t="s">
        <v>44361</v>
      </c>
      <c r="W2005" t="s">
        <v>37910</v>
      </c>
      <c r="X2005" t="s">
        <v>40439</v>
      </c>
    </row>
    <row r="2006" spans="1:24">
      <c r="A2006">
        <f>HYPERLINK("https://www.philgeps.gov.ph/GEPSNONPILOT/Tender/SplashBidNoticeAbstractUI.aspx?menuIndex=3&amp;refID=7049425&amp;Result=3","7049425")</f>
        <v>0</v>
      </c>
      <c r="B2006" t="s">
        <v>870</v>
      </c>
      <c r="C2006" t="s">
        <v>5019</v>
      </c>
      <c r="D2006" t="s">
        <v>16221</v>
      </c>
      <c r="E2006" t="s">
        <v>18138</v>
      </c>
      <c r="F2006" t="s">
        <v>28198</v>
      </c>
      <c r="G2006" t="s">
        <v>28205</v>
      </c>
      <c r="H2006" t="s">
        <v>28214</v>
      </c>
      <c r="I2006" t="s">
        <v>3797</v>
      </c>
      <c r="J2006" t="s">
        <v>29721</v>
      </c>
      <c r="K2006" t="s">
        <v>36710</v>
      </c>
      <c r="M2006" t="s">
        <v>37882</v>
      </c>
      <c r="N2006" t="s">
        <v>40436</v>
      </c>
      <c r="O2006" t="s">
        <v>40437</v>
      </c>
      <c r="P2006">
        <v>0</v>
      </c>
      <c r="Q2006">
        <v>1</v>
      </c>
      <c r="R2006" t="s">
        <v>40438</v>
      </c>
      <c r="S2006" t="s">
        <v>40582</v>
      </c>
      <c r="T2006" t="s">
        <v>42296</v>
      </c>
      <c r="U2006" t="s">
        <v>44308</v>
      </c>
      <c r="V2006" t="s">
        <v>53995</v>
      </c>
      <c r="W2006" t="s">
        <v>37882</v>
      </c>
      <c r="X2006" t="s">
        <v>40439</v>
      </c>
    </row>
    <row r="2007" spans="1:24">
      <c r="A2007">
        <f>HYPERLINK("https://www.philgeps.gov.ph/GEPSNONPILOT/Tender/SplashBidNoticeAbstractUI.aspx?menuIndex=3&amp;refID=7049422&amp;Result=3","7049422")</f>
        <v>0</v>
      </c>
      <c r="B2007" t="s">
        <v>874</v>
      </c>
      <c r="C2007" t="s">
        <v>5020</v>
      </c>
      <c r="D2007" t="s">
        <v>16226</v>
      </c>
      <c r="E2007" t="s">
        <v>18139</v>
      </c>
      <c r="F2007" t="s">
        <v>28198</v>
      </c>
      <c r="G2007" t="s">
        <v>28206</v>
      </c>
      <c r="H2007" t="s">
        <v>28215</v>
      </c>
      <c r="I2007" t="s">
        <v>3774</v>
      </c>
      <c r="J2007" t="s">
        <v>29722</v>
      </c>
      <c r="K2007" t="s">
        <v>36701</v>
      </c>
      <c r="M2007" t="s">
        <v>37889</v>
      </c>
      <c r="N2007" t="s">
        <v>40436</v>
      </c>
      <c r="O2007" t="s">
        <v>40437</v>
      </c>
      <c r="P2007">
        <v>0</v>
      </c>
      <c r="Q2007">
        <v>0</v>
      </c>
      <c r="R2007" t="s">
        <v>40438</v>
      </c>
      <c r="S2007" t="s">
        <v>40582</v>
      </c>
      <c r="T2007" t="s">
        <v>42298</v>
      </c>
      <c r="U2007" t="s">
        <v>44362</v>
      </c>
      <c r="W2007" t="s">
        <v>37889</v>
      </c>
      <c r="X2007" t="s">
        <v>40439</v>
      </c>
    </row>
    <row r="2008" spans="1:24">
      <c r="A2008">
        <f>HYPERLINK("https://www.philgeps.gov.ph/GEPSNONPILOT/Tender/SplashBidNoticeAbstractUI.aspx?menuIndex=3&amp;refID=7049426&amp;Result=3","7049426")</f>
        <v>0</v>
      </c>
      <c r="B2008" t="s">
        <v>103</v>
      </c>
      <c r="C2008" t="s">
        <v>5021</v>
      </c>
      <c r="D2008" t="s">
        <v>16230</v>
      </c>
      <c r="E2008" t="s">
        <v>18140</v>
      </c>
      <c r="F2008" t="s">
        <v>28198</v>
      </c>
      <c r="G2008" t="s">
        <v>28205</v>
      </c>
      <c r="H2008" t="s">
        <v>28215</v>
      </c>
      <c r="I2008" t="s">
        <v>28262</v>
      </c>
      <c r="J2008" t="s">
        <v>29203</v>
      </c>
      <c r="K2008" t="s">
        <v>36708</v>
      </c>
      <c r="M2008" t="s">
        <v>37077</v>
      </c>
      <c r="N2008" t="s">
        <v>40436</v>
      </c>
      <c r="O2008" t="s">
        <v>40437</v>
      </c>
      <c r="P2008">
        <v>0</v>
      </c>
      <c r="Q2008">
        <v>1</v>
      </c>
      <c r="R2008" t="s">
        <v>40438</v>
      </c>
      <c r="S2008" t="s">
        <v>40582</v>
      </c>
      <c r="T2008" t="s">
        <v>42188</v>
      </c>
      <c r="U2008" t="s">
        <v>44363</v>
      </c>
      <c r="V2008" t="s">
        <v>54003</v>
      </c>
      <c r="W2008" t="s">
        <v>37077</v>
      </c>
      <c r="X2008" t="s">
        <v>40439</v>
      </c>
    </row>
    <row r="2009" spans="1:24">
      <c r="A2009">
        <f>HYPERLINK("https://www.philgeps.gov.ph/GEPSNONPILOT/Tender/SplashBidNoticeAbstractUI.aspx?menuIndex=3&amp;refID=7049421&amp;Result=3","7049421")</f>
        <v>0</v>
      </c>
      <c r="B2009" t="s">
        <v>895</v>
      </c>
      <c r="C2009" t="s">
        <v>5022</v>
      </c>
      <c r="D2009" t="s">
        <v>16218</v>
      </c>
      <c r="E2009" t="s">
        <v>18141</v>
      </c>
      <c r="F2009" t="s">
        <v>28198</v>
      </c>
      <c r="G2009" t="s">
        <v>28207</v>
      </c>
      <c r="H2009" t="s">
        <v>28215</v>
      </c>
      <c r="I2009" t="s">
        <v>5082</v>
      </c>
      <c r="J2009" t="s">
        <v>29723</v>
      </c>
      <c r="K2009" t="s">
        <v>36707</v>
      </c>
      <c r="M2009" t="s">
        <v>37911</v>
      </c>
      <c r="N2009" t="s">
        <v>40436</v>
      </c>
      <c r="O2009" t="s">
        <v>40437</v>
      </c>
      <c r="P2009">
        <v>0</v>
      </c>
      <c r="Q2009">
        <v>1</v>
      </c>
      <c r="R2009" t="s">
        <v>40438</v>
      </c>
      <c r="S2009" t="s">
        <v>40582</v>
      </c>
      <c r="T2009" t="s">
        <v>42142</v>
      </c>
      <c r="U2009" t="s">
        <v>44364</v>
      </c>
      <c r="W2009" t="s">
        <v>37911</v>
      </c>
      <c r="X2009" t="s">
        <v>40439</v>
      </c>
    </row>
    <row r="2010" spans="1:24">
      <c r="A2010">
        <f>HYPERLINK("https://www.philgeps.gov.ph/GEPSNONPILOT/Tender/SplashBidNoticeAbstractUI.aspx?menuIndex=3&amp;refID=7049446&amp;Result=3","7049446")</f>
        <v>0</v>
      </c>
      <c r="B2010" t="s">
        <v>895</v>
      </c>
      <c r="C2010" t="s">
        <v>5023</v>
      </c>
      <c r="D2010" t="s">
        <v>16218</v>
      </c>
      <c r="E2010" t="s">
        <v>18142</v>
      </c>
      <c r="F2010" t="s">
        <v>28198</v>
      </c>
      <c r="G2010" t="s">
        <v>28207</v>
      </c>
      <c r="H2010" t="s">
        <v>28215</v>
      </c>
      <c r="I2010" t="s">
        <v>28227</v>
      </c>
      <c r="J2010" t="s">
        <v>29724</v>
      </c>
      <c r="K2010" t="s">
        <v>36706</v>
      </c>
      <c r="M2010" t="s">
        <v>37911</v>
      </c>
      <c r="N2010" t="s">
        <v>40436</v>
      </c>
      <c r="O2010" t="s">
        <v>40437</v>
      </c>
      <c r="P2010">
        <v>0</v>
      </c>
      <c r="Q2010">
        <v>1</v>
      </c>
      <c r="R2010" t="s">
        <v>40438</v>
      </c>
      <c r="S2010" t="s">
        <v>40582</v>
      </c>
      <c r="T2010" t="s">
        <v>42142</v>
      </c>
      <c r="U2010" t="s">
        <v>44365</v>
      </c>
      <c r="W2010" t="s">
        <v>37911</v>
      </c>
      <c r="X2010" t="s">
        <v>40439</v>
      </c>
    </row>
    <row r="2011" spans="1:24">
      <c r="A2011">
        <f>HYPERLINK("https://www.philgeps.gov.ph/GEPSNONPILOT/Tender/SplashBidNoticeAbstractUI.aspx?menuIndex=3&amp;refID=7049435&amp;Result=3","7049435")</f>
        <v>0</v>
      </c>
      <c r="B2011" t="s">
        <v>892</v>
      </c>
      <c r="C2011" t="s">
        <v>5024</v>
      </c>
      <c r="D2011" t="s">
        <v>16195</v>
      </c>
      <c r="E2011" t="s">
        <v>18143</v>
      </c>
      <c r="F2011" t="s">
        <v>28198</v>
      </c>
      <c r="G2011" t="s">
        <v>28210</v>
      </c>
      <c r="H2011" t="s">
        <v>28215</v>
      </c>
      <c r="I2011" t="s">
        <v>4200</v>
      </c>
      <c r="J2011" t="s">
        <v>28589</v>
      </c>
      <c r="K2011" t="s">
        <v>36688</v>
      </c>
      <c r="M2011" t="s">
        <v>37908</v>
      </c>
      <c r="N2011" t="s">
        <v>40436</v>
      </c>
      <c r="O2011" t="s">
        <v>40437</v>
      </c>
      <c r="P2011">
        <v>0</v>
      </c>
      <c r="Q2011">
        <v>2</v>
      </c>
      <c r="R2011" t="s">
        <v>40438</v>
      </c>
      <c r="S2011" t="s">
        <v>40582</v>
      </c>
      <c r="T2011" t="s">
        <v>42134</v>
      </c>
      <c r="U2011" t="s">
        <v>44358</v>
      </c>
      <c r="W2011" t="s">
        <v>37908</v>
      </c>
      <c r="X2011" t="s">
        <v>40439</v>
      </c>
    </row>
    <row r="2012" spans="1:24">
      <c r="A2012">
        <f>HYPERLINK("https://www.philgeps.gov.ph/GEPSNONPILOT/Tender/SplashBidNoticeAbstractUI.aspx?menuIndex=3&amp;refID=7049444&amp;Result=3","7049444")</f>
        <v>0</v>
      </c>
      <c r="B2012" t="s">
        <v>896</v>
      </c>
      <c r="C2012" t="s">
        <v>5025</v>
      </c>
      <c r="D2012" t="s">
        <v>16221</v>
      </c>
      <c r="E2012" t="s">
        <v>18144</v>
      </c>
      <c r="F2012" t="s">
        <v>28198</v>
      </c>
      <c r="G2012" t="s">
        <v>28210</v>
      </c>
      <c r="H2012" t="s">
        <v>28215</v>
      </c>
      <c r="I2012" t="s">
        <v>5082</v>
      </c>
      <c r="J2012" t="s">
        <v>29725</v>
      </c>
      <c r="K2012" t="s">
        <v>36689</v>
      </c>
      <c r="M2012" t="s">
        <v>37912</v>
      </c>
      <c r="N2012" t="s">
        <v>40436</v>
      </c>
      <c r="O2012" t="s">
        <v>40437</v>
      </c>
      <c r="P2012">
        <v>0</v>
      </c>
      <c r="Q2012">
        <v>0</v>
      </c>
      <c r="R2012" t="s">
        <v>40438</v>
      </c>
      <c r="S2012" t="s">
        <v>40582</v>
      </c>
      <c r="T2012" t="s">
        <v>42119</v>
      </c>
      <c r="U2012" t="s">
        <v>44366</v>
      </c>
      <c r="W2012" t="s">
        <v>37912</v>
      </c>
      <c r="X2012" t="s">
        <v>40439</v>
      </c>
    </row>
    <row r="2013" spans="1:24">
      <c r="A2013">
        <f>HYPERLINK("https://www.philgeps.gov.ph/GEPSNONPILOT/Tender/SplashBidNoticeAbstractUI.aspx?menuIndex=3&amp;refID=7049443&amp;Result=3","7049443")</f>
        <v>0</v>
      </c>
      <c r="B2013" t="s">
        <v>897</v>
      </c>
      <c r="C2013" t="s">
        <v>5026</v>
      </c>
      <c r="D2013" t="s">
        <v>16204</v>
      </c>
      <c r="E2013" t="s">
        <v>18145</v>
      </c>
      <c r="F2013" t="s">
        <v>28198</v>
      </c>
      <c r="G2013" t="s">
        <v>28205</v>
      </c>
      <c r="H2013" t="s">
        <v>28214</v>
      </c>
      <c r="I2013" t="s">
        <v>3797</v>
      </c>
      <c r="J2013" t="s">
        <v>29726</v>
      </c>
      <c r="K2013" t="s">
        <v>36697</v>
      </c>
      <c r="M2013" t="s">
        <v>37913</v>
      </c>
      <c r="N2013" t="s">
        <v>40436</v>
      </c>
      <c r="O2013" t="s">
        <v>40437</v>
      </c>
      <c r="P2013">
        <v>0</v>
      </c>
      <c r="Q2013">
        <v>1</v>
      </c>
      <c r="R2013" t="s">
        <v>40438</v>
      </c>
      <c r="S2013" t="s">
        <v>40582</v>
      </c>
      <c r="T2013" t="s">
        <v>42118</v>
      </c>
      <c r="U2013" t="s">
        <v>44367</v>
      </c>
      <c r="W2013" t="s">
        <v>37913</v>
      </c>
      <c r="X2013" t="s">
        <v>40439</v>
      </c>
    </row>
    <row r="2014" spans="1:24">
      <c r="A2014">
        <f>HYPERLINK("https://www.philgeps.gov.ph/GEPSNONPILOT/Tender/SplashBidNoticeAbstractUI.aspx?menuIndex=3&amp;refID=7049423&amp;Result=3","7049423")</f>
        <v>0</v>
      </c>
      <c r="B2014" t="s">
        <v>858</v>
      </c>
      <c r="C2014" t="s">
        <v>5027</v>
      </c>
      <c r="D2014" t="s">
        <v>16199</v>
      </c>
      <c r="E2014" t="s">
        <v>17459</v>
      </c>
      <c r="F2014" t="s">
        <v>28198</v>
      </c>
      <c r="G2014" t="s">
        <v>28207</v>
      </c>
      <c r="H2014" t="s">
        <v>28215</v>
      </c>
      <c r="I2014" t="s">
        <v>5103</v>
      </c>
      <c r="J2014" t="s">
        <v>28414</v>
      </c>
      <c r="K2014" t="s">
        <v>36689</v>
      </c>
      <c r="M2014" t="s">
        <v>37870</v>
      </c>
      <c r="N2014" t="s">
        <v>40436</v>
      </c>
      <c r="O2014" t="s">
        <v>40437</v>
      </c>
      <c r="P2014">
        <v>0</v>
      </c>
      <c r="Q2014">
        <v>2</v>
      </c>
      <c r="R2014" t="s">
        <v>40438</v>
      </c>
      <c r="S2014" t="s">
        <v>40582</v>
      </c>
      <c r="T2014" t="s">
        <v>42175</v>
      </c>
      <c r="U2014" t="s">
        <v>44368</v>
      </c>
      <c r="W2014" t="s">
        <v>37870</v>
      </c>
      <c r="X2014" t="s">
        <v>40439</v>
      </c>
    </row>
    <row r="2015" spans="1:24">
      <c r="A2015">
        <f>HYPERLINK("https://www.philgeps.gov.ph/GEPSNONPILOT/Tender/SplashBidNoticeAbstractUI.aspx?menuIndex=3&amp;refID=7049431&amp;Result=3","7049431")</f>
        <v>0</v>
      </c>
      <c r="B2015" t="s">
        <v>870</v>
      </c>
      <c r="C2015" t="s">
        <v>5028</v>
      </c>
      <c r="D2015" t="s">
        <v>16221</v>
      </c>
      <c r="E2015" t="s">
        <v>18146</v>
      </c>
      <c r="F2015" t="s">
        <v>28198</v>
      </c>
      <c r="G2015" t="s">
        <v>28205</v>
      </c>
      <c r="H2015" t="s">
        <v>28214</v>
      </c>
      <c r="I2015" t="s">
        <v>3797</v>
      </c>
      <c r="J2015" t="s">
        <v>29721</v>
      </c>
      <c r="K2015" t="s">
        <v>36710</v>
      </c>
      <c r="M2015" t="s">
        <v>37882</v>
      </c>
      <c r="N2015" t="s">
        <v>40436</v>
      </c>
      <c r="O2015" t="s">
        <v>40437</v>
      </c>
      <c r="P2015">
        <v>0</v>
      </c>
      <c r="Q2015">
        <v>1</v>
      </c>
      <c r="R2015" t="s">
        <v>40438</v>
      </c>
      <c r="S2015" t="s">
        <v>40582</v>
      </c>
      <c r="T2015" t="s">
        <v>42106</v>
      </c>
      <c r="U2015" t="s">
        <v>44308</v>
      </c>
      <c r="V2015" t="s">
        <v>53995</v>
      </c>
      <c r="W2015" t="s">
        <v>37882</v>
      </c>
      <c r="X2015" t="s">
        <v>40439</v>
      </c>
    </row>
    <row r="2016" spans="1:24">
      <c r="A2016">
        <f>HYPERLINK("https://www.philgeps.gov.ph/GEPSNONPILOT/Tender/SplashBidNoticeAbstractUI.aspx?menuIndex=3&amp;refID=7049445&amp;Result=3","7049445")</f>
        <v>0</v>
      </c>
      <c r="B2016" t="s">
        <v>898</v>
      </c>
      <c r="C2016" t="s">
        <v>5029</v>
      </c>
      <c r="D2016" t="s">
        <v>16216</v>
      </c>
      <c r="E2016" t="s">
        <v>18147</v>
      </c>
      <c r="F2016" t="s">
        <v>28198</v>
      </c>
      <c r="G2016" t="s">
        <v>28205</v>
      </c>
      <c r="H2016" t="s">
        <v>28215</v>
      </c>
      <c r="I2016" t="s">
        <v>28234</v>
      </c>
      <c r="J2016" t="s">
        <v>29727</v>
      </c>
      <c r="K2016" t="s">
        <v>36688</v>
      </c>
      <c r="M2016" t="s">
        <v>37914</v>
      </c>
      <c r="N2016" t="s">
        <v>40436</v>
      </c>
      <c r="O2016" t="s">
        <v>40437</v>
      </c>
      <c r="P2016">
        <v>0</v>
      </c>
      <c r="Q2016">
        <v>1</v>
      </c>
      <c r="R2016" t="s">
        <v>40438</v>
      </c>
      <c r="S2016" t="s">
        <v>40582</v>
      </c>
      <c r="T2016" t="s">
        <v>42299</v>
      </c>
      <c r="U2016" t="s">
        <v>44369</v>
      </c>
      <c r="V2016" t="s">
        <v>54004</v>
      </c>
      <c r="W2016" t="s">
        <v>37914</v>
      </c>
      <c r="X2016" t="s">
        <v>40439</v>
      </c>
    </row>
    <row r="2017" spans="1:24">
      <c r="A2017">
        <f>HYPERLINK("https://www.philgeps.gov.ph/GEPSNONPILOT/Tender/SplashBidNoticeAbstractUI.aspx?menuIndex=3&amp;refID=7049442&amp;Result=3","7049442")</f>
        <v>0</v>
      </c>
      <c r="B2017" t="s">
        <v>870</v>
      </c>
      <c r="C2017" t="s">
        <v>5030</v>
      </c>
      <c r="D2017" t="s">
        <v>16221</v>
      </c>
      <c r="E2017" t="s">
        <v>18148</v>
      </c>
      <c r="F2017" t="s">
        <v>28198</v>
      </c>
      <c r="G2017" t="s">
        <v>28205</v>
      </c>
      <c r="H2017" t="s">
        <v>28214</v>
      </c>
      <c r="I2017" t="s">
        <v>3797</v>
      </c>
      <c r="J2017" t="s">
        <v>29721</v>
      </c>
      <c r="K2017" t="s">
        <v>36742</v>
      </c>
      <c r="M2017" t="s">
        <v>37882</v>
      </c>
      <c r="N2017" t="s">
        <v>40436</v>
      </c>
      <c r="O2017" t="s">
        <v>40437</v>
      </c>
      <c r="P2017">
        <v>0</v>
      </c>
      <c r="Q2017">
        <v>0</v>
      </c>
      <c r="R2017" t="s">
        <v>40438</v>
      </c>
      <c r="S2017" t="s">
        <v>40582</v>
      </c>
      <c r="T2017" t="s">
        <v>42106</v>
      </c>
      <c r="U2017" t="s">
        <v>44308</v>
      </c>
      <c r="V2017" t="s">
        <v>53995</v>
      </c>
      <c r="W2017" t="s">
        <v>37882</v>
      </c>
      <c r="X2017" t="s">
        <v>40439</v>
      </c>
    </row>
    <row r="2018" spans="1:24">
      <c r="A2018">
        <f>HYPERLINK("https://www.philgeps.gov.ph/GEPSNONPILOT/Tender/SplashBidNoticeAbstractUI.aspx?menuIndex=3&amp;refID=7049433&amp;Result=3","7049433")</f>
        <v>0</v>
      </c>
      <c r="B2018" t="s">
        <v>613</v>
      </c>
      <c r="C2018" t="s">
        <v>5031</v>
      </c>
      <c r="D2018" t="s">
        <v>16203</v>
      </c>
      <c r="E2018" t="s">
        <v>18149</v>
      </c>
      <c r="F2018" t="s">
        <v>28198</v>
      </c>
      <c r="G2018" t="s">
        <v>28205</v>
      </c>
      <c r="H2018" t="s">
        <v>28215</v>
      </c>
      <c r="I2018" t="s">
        <v>28238</v>
      </c>
      <c r="J2018" t="s">
        <v>29728</v>
      </c>
      <c r="K2018" t="s">
        <v>36707</v>
      </c>
      <c r="M2018" t="s">
        <v>37605</v>
      </c>
      <c r="N2018" t="s">
        <v>40436</v>
      </c>
      <c r="O2018" t="s">
        <v>40437</v>
      </c>
      <c r="P2018">
        <v>0</v>
      </c>
      <c r="Q2018">
        <v>3</v>
      </c>
      <c r="R2018" t="s">
        <v>40438</v>
      </c>
      <c r="S2018" t="s">
        <v>40582</v>
      </c>
      <c r="T2018" t="s">
        <v>42099</v>
      </c>
      <c r="U2018" t="s">
        <v>44370</v>
      </c>
      <c r="V2018" t="s">
        <v>54005</v>
      </c>
      <c r="W2018" t="s">
        <v>37605</v>
      </c>
      <c r="X2018" t="s">
        <v>40439</v>
      </c>
    </row>
    <row r="2019" spans="1:24">
      <c r="A2019">
        <f>HYPERLINK("https://www.philgeps.gov.ph/GEPSNONPILOT/Tender/SplashBidNoticeAbstractUI.aspx?menuIndex=3&amp;refID=7049441&amp;Result=3","7049441")</f>
        <v>0</v>
      </c>
      <c r="B2019" t="s">
        <v>315</v>
      </c>
      <c r="C2019" t="s">
        <v>5032</v>
      </c>
      <c r="D2019" t="s">
        <v>16191</v>
      </c>
      <c r="E2019" t="s">
        <v>18150</v>
      </c>
      <c r="F2019" t="s">
        <v>28198</v>
      </c>
      <c r="G2019" t="s">
        <v>28206</v>
      </c>
      <c r="H2019" t="s">
        <v>28215</v>
      </c>
      <c r="I2019" t="s">
        <v>3797</v>
      </c>
      <c r="J2019" t="s">
        <v>28354</v>
      </c>
      <c r="K2019" t="s">
        <v>36689</v>
      </c>
      <c r="M2019" t="s">
        <v>37736</v>
      </c>
      <c r="N2019" t="s">
        <v>40436</v>
      </c>
      <c r="O2019" t="s">
        <v>40437</v>
      </c>
      <c r="P2019">
        <v>0</v>
      </c>
      <c r="Q2019">
        <v>0</v>
      </c>
      <c r="R2019" t="s">
        <v>40438</v>
      </c>
      <c r="S2019" t="s">
        <v>40582</v>
      </c>
      <c r="T2019" t="s">
        <v>42264</v>
      </c>
      <c r="U2019" t="s">
        <v>44371</v>
      </c>
      <c r="W2019" t="s">
        <v>37736</v>
      </c>
      <c r="X2019" t="s">
        <v>40439</v>
      </c>
    </row>
    <row r="2020" spans="1:24">
      <c r="A2020">
        <f>HYPERLINK("https://www.philgeps.gov.ph/GEPSNONPILOT/Tender/SplashBidNoticeAbstractUI.aspx?menuIndex=3&amp;refID=7049429&amp;Result=3","7049429")</f>
        <v>0</v>
      </c>
      <c r="B2020" t="s">
        <v>764</v>
      </c>
      <c r="C2020" t="s">
        <v>5033</v>
      </c>
      <c r="D2020" t="s">
        <v>16247</v>
      </c>
      <c r="E2020" t="s">
        <v>18151</v>
      </c>
      <c r="F2020" t="s">
        <v>28198</v>
      </c>
      <c r="G2020" t="s">
        <v>28206</v>
      </c>
      <c r="H2020" t="s">
        <v>28215</v>
      </c>
      <c r="I2020" t="s">
        <v>28219</v>
      </c>
      <c r="J2020" t="s">
        <v>28601</v>
      </c>
      <c r="K2020" t="s">
        <v>36701</v>
      </c>
      <c r="M2020" t="s">
        <v>37767</v>
      </c>
      <c r="N2020" t="s">
        <v>40436</v>
      </c>
      <c r="O2020" t="s">
        <v>40437</v>
      </c>
      <c r="P2020">
        <v>0</v>
      </c>
      <c r="Q2020">
        <v>3</v>
      </c>
      <c r="R2020" t="s">
        <v>40438</v>
      </c>
      <c r="S2020" t="s">
        <v>40582</v>
      </c>
      <c r="T2020" t="s">
        <v>42158</v>
      </c>
      <c r="U2020" t="s">
        <v>44372</v>
      </c>
      <c r="W2020" t="s">
        <v>37767</v>
      </c>
      <c r="X2020" t="s">
        <v>40439</v>
      </c>
    </row>
    <row r="2021" spans="1:24">
      <c r="A2021">
        <f>HYPERLINK("https://www.philgeps.gov.ph/GEPSNONPILOT/Tender/SplashBidNoticeAbstractUI.aspx?menuIndex=3&amp;refID=7049447&amp;Result=3","7049447")</f>
        <v>0</v>
      </c>
      <c r="B2021" t="s">
        <v>871</v>
      </c>
      <c r="C2021" t="s">
        <v>5034</v>
      </c>
      <c r="D2021" t="s">
        <v>16221</v>
      </c>
      <c r="E2021" t="s">
        <v>18152</v>
      </c>
      <c r="F2021" t="s">
        <v>28198</v>
      </c>
      <c r="G2021" t="s">
        <v>28205</v>
      </c>
      <c r="H2021" t="s">
        <v>28215</v>
      </c>
      <c r="I2021" t="s">
        <v>4505</v>
      </c>
      <c r="J2021" t="s">
        <v>29729</v>
      </c>
      <c r="K2021" t="s">
        <v>36707</v>
      </c>
      <c r="M2021" t="s">
        <v>37915</v>
      </c>
      <c r="N2021" t="s">
        <v>40436</v>
      </c>
      <c r="O2021" t="s">
        <v>40437</v>
      </c>
      <c r="P2021">
        <v>0</v>
      </c>
      <c r="Q2021">
        <v>1</v>
      </c>
      <c r="R2021" t="s">
        <v>40438</v>
      </c>
      <c r="S2021" t="s">
        <v>40582</v>
      </c>
      <c r="T2021" t="s">
        <v>42296</v>
      </c>
      <c r="U2021" t="s">
        <v>44373</v>
      </c>
      <c r="V2021" t="s">
        <v>54006</v>
      </c>
      <c r="W2021" t="s">
        <v>55466</v>
      </c>
      <c r="X2021" t="s">
        <v>40439</v>
      </c>
    </row>
    <row r="2022" spans="1:24">
      <c r="A2022">
        <f>HYPERLINK("https://www.philgeps.gov.ph/GEPSNONPILOT/Tender/SplashBidNoticeAbstractUI.aspx?menuIndex=3&amp;refID=7049438&amp;Result=3","7049438")</f>
        <v>0</v>
      </c>
      <c r="B2022" t="s">
        <v>870</v>
      </c>
      <c r="C2022" t="s">
        <v>5035</v>
      </c>
      <c r="D2022" t="s">
        <v>16221</v>
      </c>
      <c r="E2022" t="s">
        <v>18153</v>
      </c>
      <c r="F2022" t="s">
        <v>28198</v>
      </c>
      <c r="G2022" t="s">
        <v>28205</v>
      </c>
      <c r="H2022" t="s">
        <v>28214</v>
      </c>
      <c r="I2022" t="s">
        <v>3797</v>
      </c>
      <c r="J2022" t="s">
        <v>29721</v>
      </c>
      <c r="K2022" t="s">
        <v>36742</v>
      </c>
      <c r="M2022" t="s">
        <v>37882</v>
      </c>
      <c r="N2022" t="s">
        <v>40436</v>
      </c>
      <c r="O2022" t="s">
        <v>40437</v>
      </c>
      <c r="P2022">
        <v>0</v>
      </c>
      <c r="Q2022">
        <v>1</v>
      </c>
      <c r="R2022" t="s">
        <v>40438</v>
      </c>
      <c r="S2022" t="s">
        <v>40582</v>
      </c>
      <c r="T2022" t="s">
        <v>42106</v>
      </c>
      <c r="U2022" t="s">
        <v>44308</v>
      </c>
      <c r="V2022" t="s">
        <v>53995</v>
      </c>
      <c r="W2022" t="s">
        <v>37882</v>
      </c>
      <c r="X2022" t="s">
        <v>40439</v>
      </c>
    </row>
    <row r="2023" spans="1:24">
      <c r="A2023">
        <f>HYPERLINK("https://www.philgeps.gov.ph/GEPSNONPILOT/Tender/SplashBidNoticeAbstractUI.aspx?menuIndex=3&amp;refID=7049458&amp;Result=3","7049458")</f>
        <v>0</v>
      </c>
      <c r="B2023" t="s">
        <v>216</v>
      </c>
      <c r="C2023" t="s">
        <v>5036</v>
      </c>
      <c r="D2023" t="s">
        <v>16210</v>
      </c>
      <c r="E2023" t="s">
        <v>18154</v>
      </c>
      <c r="F2023" t="s">
        <v>28198</v>
      </c>
      <c r="G2023" t="s">
        <v>28207</v>
      </c>
      <c r="H2023" t="s">
        <v>28215</v>
      </c>
      <c r="I2023" t="s">
        <v>5100</v>
      </c>
      <c r="J2023" t="s">
        <v>29730</v>
      </c>
      <c r="K2023" t="s">
        <v>36707</v>
      </c>
      <c r="M2023" t="s">
        <v>37192</v>
      </c>
      <c r="N2023" t="s">
        <v>40436</v>
      </c>
      <c r="O2023" t="s">
        <v>40437</v>
      </c>
      <c r="P2023">
        <v>0</v>
      </c>
      <c r="Q2023">
        <v>0</v>
      </c>
      <c r="R2023" t="s">
        <v>40438</v>
      </c>
      <c r="S2023" t="s">
        <v>40582</v>
      </c>
      <c r="T2023" t="s">
        <v>42119</v>
      </c>
      <c r="U2023" t="s">
        <v>44374</v>
      </c>
      <c r="V2023" t="s">
        <v>53819</v>
      </c>
      <c r="W2023" t="s">
        <v>37192</v>
      </c>
      <c r="X2023" t="s">
        <v>40439</v>
      </c>
    </row>
    <row r="2024" spans="1:24">
      <c r="A2024">
        <f>HYPERLINK("https://www.philgeps.gov.ph/GEPSNONPILOT/Tender/SplashBidNoticeAbstractUI.aspx?menuIndex=3&amp;refID=7049450&amp;Result=3","7049450")</f>
        <v>0</v>
      </c>
      <c r="B2024" t="s">
        <v>581</v>
      </c>
      <c r="C2024" t="s">
        <v>5037</v>
      </c>
      <c r="D2024" t="s">
        <v>16210</v>
      </c>
      <c r="E2024" t="s">
        <v>18155</v>
      </c>
      <c r="F2024" t="s">
        <v>28198</v>
      </c>
      <c r="G2024" t="s">
        <v>28209</v>
      </c>
      <c r="H2024" t="s">
        <v>28215</v>
      </c>
      <c r="I2024" t="s">
        <v>28272</v>
      </c>
      <c r="J2024" t="s">
        <v>29731</v>
      </c>
      <c r="K2024" t="s">
        <v>36701</v>
      </c>
      <c r="M2024" t="s">
        <v>37916</v>
      </c>
      <c r="N2024" t="s">
        <v>40436</v>
      </c>
      <c r="O2024" t="s">
        <v>40437</v>
      </c>
      <c r="P2024">
        <v>0</v>
      </c>
      <c r="Q2024">
        <v>1</v>
      </c>
      <c r="R2024" t="s">
        <v>40438</v>
      </c>
      <c r="S2024" t="s">
        <v>40582</v>
      </c>
      <c r="T2024" t="s">
        <v>42236</v>
      </c>
      <c r="U2024" t="s">
        <v>44375</v>
      </c>
      <c r="W2024" t="s">
        <v>37916</v>
      </c>
      <c r="X2024" t="s">
        <v>40439</v>
      </c>
    </row>
    <row r="2025" spans="1:24">
      <c r="A2025">
        <f>HYPERLINK("https://www.philgeps.gov.ph/GEPSNONPILOT/Tender/SplashBidNoticeAbstractUI.aspx?menuIndex=3&amp;refID=7049466&amp;Result=3","7049466")</f>
        <v>0</v>
      </c>
      <c r="B2025" t="s">
        <v>895</v>
      </c>
      <c r="C2025" t="s">
        <v>5038</v>
      </c>
      <c r="D2025" t="s">
        <v>16218</v>
      </c>
      <c r="E2025" t="s">
        <v>18156</v>
      </c>
      <c r="F2025" t="s">
        <v>28198</v>
      </c>
      <c r="G2025" t="s">
        <v>28207</v>
      </c>
      <c r="H2025" t="s">
        <v>28215</v>
      </c>
      <c r="I2025" t="s">
        <v>28227</v>
      </c>
      <c r="J2025" t="s">
        <v>29025</v>
      </c>
      <c r="K2025" t="s">
        <v>36706</v>
      </c>
      <c r="M2025" t="s">
        <v>37911</v>
      </c>
      <c r="N2025" t="s">
        <v>40436</v>
      </c>
      <c r="O2025" t="s">
        <v>40437</v>
      </c>
      <c r="P2025">
        <v>0</v>
      </c>
      <c r="Q2025">
        <v>0</v>
      </c>
      <c r="R2025" t="s">
        <v>40438</v>
      </c>
      <c r="S2025" t="s">
        <v>40582</v>
      </c>
      <c r="T2025" t="s">
        <v>42142</v>
      </c>
      <c r="U2025" t="s">
        <v>44365</v>
      </c>
      <c r="W2025" t="s">
        <v>37911</v>
      </c>
      <c r="X2025" t="s">
        <v>40439</v>
      </c>
    </row>
    <row r="2026" spans="1:24">
      <c r="A2026">
        <f>HYPERLINK("https://www.philgeps.gov.ph/GEPSNONPILOT/Tender/SplashBidNoticeAbstractUI.aspx?menuIndex=3&amp;refID=7049455&amp;Result=3","7049455")</f>
        <v>0</v>
      </c>
      <c r="B2026" t="s">
        <v>676</v>
      </c>
      <c r="C2026" t="s">
        <v>5039</v>
      </c>
      <c r="D2026" t="s">
        <v>16241</v>
      </c>
      <c r="E2026" t="s">
        <v>18157</v>
      </c>
      <c r="F2026" t="s">
        <v>28198</v>
      </c>
      <c r="G2026" t="s">
        <v>28207</v>
      </c>
      <c r="H2026" t="s">
        <v>28215</v>
      </c>
      <c r="I2026" t="s">
        <v>28290</v>
      </c>
      <c r="J2026" t="s">
        <v>29346</v>
      </c>
      <c r="K2026" t="s">
        <v>36701</v>
      </c>
      <c r="M2026" t="s">
        <v>37674</v>
      </c>
      <c r="N2026" t="s">
        <v>40436</v>
      </c>
      <c r="O2026" t="s">
        <v>40437</v>
      </c>
      <c r="P2026">
        <v>0</v>
      </c>
      <c r="Q2026">
        <v>1</v>
      </c>
      <c r="R2026" t="s">
        <v>40438</v>
      </c>
      <c r="S2026" t="s">
        <v>40582</v>
      </c>
      <c r="T2026" t="s">
        <v>42207</v>
      </c>
      <c r="U2026" t="s">
        <v>44376</v>
      </c>
      <c r="W2026" t="s">
        <v>37674</v>
      </c>
      <c r="X2026" t="s">
        <v>40439</v>
      </c>
    </row>
    <row r="2027" spans="1:24">
      <c r="A2027">
        <f>HYPERLINK("https://www.philgeps.gov.ph/GEPSNONPILOT/Tender/SplashBidNoticeAbstractUI.aspx?menuIndex=3&amp;refID=7049451&amp;Result=3","7049451")</f>
        <v>0</v>
      </c>
      <c r="B2027" t="s">
        <v>882</v>
      </c>
      <c r="C2027" t="s">
        <v>5040</v>
      </c>
      <c r="D2027" t="s">
        <v>16192</v>
      </c>
      <c r="E2027" t="s">
        <v>18158</v>
      </c>
      <c r="F2027" t="s">
        <v>28198</v>
      </c>
      <c r="G2027" t="s">
        <v>28207</v>
      </c>
      <c r="H2027" t="s">
        <v>28215</v>
      </c>
      <c r="I2027" t="s">
        <v>28234</v>
      </c>
      <c r="J2027" t="s">
        <v>28345</v>
      </c>
      <c r="K2027" t="s">
        <v>36689</v>
      </c>
      <c r="M2027" t="s">
        <v>37898</v>
      </c>
      <c r="N2027" t="s">
        <v>40436</v>
      </c>
      <c r="O2027" t="s">
        <v>40437</v>
      </c>
      <c r="P2027">
        <v>0</v>
      </c>
      <c r="Q2027">
        <v>1</v>
      </c>
      <c r="R2027" t="s">
        <v>40438</v>
      </c>
      <c r="S2027" t="s">
        <v>40582</v>
      </c>
      <c r="T2027" t="s">
        <v>42119</v>
      </c>
      <c r="U2027" t="s">
        <v>44377</v>
      </c>
      <c r="W2027" t="s">
        <v>37898</v>
      </c>
      <c r="X2027" t="s">
        <v>40439</v>
      </c>
    </row>
    <row r="2028" spans="1:24">
      <c r="A2028">
        <f>HYPERLINK("https://www.philgeps.gov.ph/GEPSNONPILOT/Tender/SplashBidNoticeAbstractUI.aspx?menuIndex=3&amp;refID=7049463&amp;Result=3","7049463")</f>
        <v>0</v>
      </c>
      <c r="B2028" t="s">
        <v>899</v>
      </c>
      <c r="C2028" t="s">
        <v>5041</v>
      </c>
      <c r="D2028" t="s">
        <v>16210</v>
      </c>
      <c r="E2028" t="s">
        <v>18159</v>
      </c>
      <c r="F2028" t="s">
        <v>28198</v>
      </c>
      <c r="G2028" t="s">
        <v>28207</v>
      </c>
      <c r="H2028" t="s">
        <v>28215</v>
      </c>
      <c r="I2028" t="s">
        <v>28256</v>
      </c>
      <c r="J2028" t="s">
        <v>29732</v>
      </c>
      <c r="K2028" t="s">
        <v>36701</v>
      </c>
      <c r="M2028" t="s">
        <v>37917</v>
      </c>
      <c r="N2028" t="s">
        <v>40436</v>
      </c>
      <c r="O2028" t="s">
        <v>40437</v>
      </c>
      <c r="P2028">
        <v>0</v>
      </c>
      <c r="Q2028">
        <v>1</v>
      </c>
      <c r="R2028" t="s">
        <v>40438</v>
      </c>
      <c r="S2028" t="s">
        <v>40582</v>
      </c>
      <c r="T2028" t="s">
        <v>42152</v>
      </c>
      <c r="U2028" t="s">
        <v>44378</v>
      </c>
      <c r="W2028" t="s">
        <v>55467</v>
      </c>
      <c r="X2028" t="s">
        <v>40439</v>
      </c>
    </row>
    <row r="2029" spans="1:24">
      <c r="A2029">
        <f>HYPERLINK("https://www.philgeps.gov.ph/GEPSNONPILOT/Tender/SplashBidNoticeAbstractUI.aspx?menuIndex=3&amp;refID=7049453&amp;Result=3","7049453")</f>
        <v>0</v>
      </c>
      <c r="B2029" t="s">
        <v>900</v>
      </c>
      <c r="C2029" t="s">
        <v>5042</v>
      </c>
      <c r="D2029" t="s">
        <v>16223</v>
      </c>
      <c r="E2029" t="s">
        <v>18160</v>
      </c>
      <c r="F2029" t="s">
        <v>28198</v>
      </c>
      <c r="G2029" t="s">
        <v>28205</v>
      </c>
      <c r="H2029" t="s">
        <v>28215</v>
      </c>
      <c r="I2029" t="s">
        <v>28253</v>
      </c>
      <c r="J2029" t="s">
        <v>29733</v>
      </c>
      <c r="K2029" t="s">
        <v>36701</v>
      </c>
      <c r="M2029" t="s">
        <v>37918</v>
      </c>
      <c r="N2029" t="s">
        <v>40436</v>
      </c>
      <c r="O2029" t="s">
        <v>40437</v>
      </c>
      <c r="P2029">
        <v>0</v>
      </c>
      <c r="Q2029">
        <v>2</v>
      </c>
      <c r="R2029" t="s">
        <v>40438</v>
      </c>
      <c r="S2029" t="s">
        <v>40582</v>
      </c>
      <c r="T2029" t="s">
        <v>42300</v>
      </c>
      <c r="U2029" t="s">
        <v>44379</v>
      </c>
      <c r="V2029" t="s">
        <v>54007</v>
      </c>
      <c r="W2029" t="s">
        <v>37918</v>
      </c>
      <c r="X2029" t="s">
        <v>40439</v>
      </c>
    </row>
    <row r="2030" spans="1:24">
      <c r="A2030">
        <f>HYPERLINK("https://www.philgeps.gov.ph/GEPSNONPILOT/Tender/SplashBidNoticeAbstractUI.aspx?menuIndex=3&amp;refID=7049462&amp;Result=3","7049462")</f>
        <v>0</v>
      </c>
      <c r="B2030" t="s">
        <v>874</v>
      </c>
      <c r="C2030" t="s">
        <v>5043</v>
      </c>
      <c r="D2030" t="s">
        <v>16226</v>
      </c>
      <c r="E2030" t="s">
        <v>18161</v>
      </c>
      <c r="F2030" t="s">
        <v>28198</v>
      </c>
      <c r="G2030" t="s">
        <v>28206</v>
      </c>
      <c r="H2030" t="s">
        <v>28215</v>
      </c>
      <c r="I2030" t="s">
        <v>4505</v>
      </c>
      <c r="J2030" t="s">
        <v>28530</v>
      </c>
      <c r="K2030" t="s">
        <v>36701</v>
      </c>
      <c r="M2030" t="s">
        <v>37889</v>
      </c>
      <c r="N2030" t="s">
        <v>40436</v>
      </c>
      <c r="O2030" t="s">
        <v>40437</v>
      </c>
      <c r="P2030">
        <v>0</v>
      </c>
      <c r="Q2030">
        <v>1</v>
      </c>
      <c r="R2030" t="s">
        <v>40438</v>
      </c>
      <c r="S2030" t="s">
        <v>40582</v>
      </c>
      <c r="T2030" t="s">
        <v>42298</v>
      </c>
      <c r="U2030" t="s">
        <v>44380</v>
      </c>
      <c r="W2030" t="s">
        <v>37889</v>
      </c>
      <c r="X2030" t="s">
        <v>40439</v>
      </c>
    </row>
    <row r="2031" spans="1:24">
      <c r="A2031">
        <f>HYPERLINK("https://www.philgeps.gov.ph/GEPSNONPILOT/Tender/SplashBidNoticeAbstractUI.aspx?menuIndex=3&amp;refID=7049456&amp;Result=3","7049456")</f>
        <v>0</v>
      </c>
      <c r="B2031" t="s">
        <v>884</v>
      </c>
      <c r="C2031" t="s">
        <v>5044</v>
      </c>
      <c r="D2031" t="s">
        <v>16230</v>
      </c>
      <c r="E2031" t="s">
        <v>18162</v>
      </c>
      <c r="F2031" t="s">
        <v>28198</v>
      </c>
      <c r="G2031" t="s">
        <v>28207</v>
      </c>
      <c r="H2031" t="s">
        <v>28215</v>
      </c>
      <c r="I2031" t="s">
        <v>28234</v>
      </c>
      <c r="J2031" t="s">
        <v>29734</v>
      </c>
      <c r="K2031" t="s">
        <v>36706</v>
      </c>
      <c r="L2031" t="s">
        <v>884</v>
      </c>
      <c r="M2031" t="s">
        <v>37900</v>
      </c>
      <c r="N2031" t="s">
        <v>40436</v>
      </c>
      <c r="O2031" t="s">
        <v>40437</v>
      </c>
      <c r="P2031">
        <v>0</v>
      </c>
      <c r="Q2031">
        <v>7</v>
      </c>
      <c r="R2031" t="s">
        <v>40438</v>
      </c>
      <c r="S2031" t="s">
        <v>40582</v>
      </c>
      <c r="T2031" t="s">
        <v>42142</v>
      </c>
      <c r="U2031" t="s">
        <v>44343</v>
      </c>
      <c r="V2031" t="s">
        <v>54001</v>
      </c>
      <c r="W2031" t="s">
        <v>37900</v>
      </c>
      <c r="X2031" t="s">
        <v>40439</v>
      </c>
    </row>
    <row r="2032" spans="1:24">
      <c r="A2032">
        <f>HYPERLINK("https://www.philgeps.gov.ph/GEPSNONPILOT/Tender/SplashBidNoticeAbstractUI.aspx?menuIndex=3&amp;refID=7049459&amp;Result=3","7049459")</f>
        <v>0</v>
      </c>
      <c r="B2032" t="s">
        <v>887</v>
      </c>
      <c r="C2032" t="s">
        <v>5045</v>
      </c>
      <c r="D2032" t="s">
        <v>16230</v>
      </c>
      <c r="E2032" t="s">
        <v>18163</v>
      </c>
      <c r="F2032" t="s">
        <v>28198</v>
      </c>
      <c r="G2032" t="s">
        <v>28207</v>
      </c>
      <c r="H2032" t="s">
        <v>28215</v>
      </c>
      <c r="I2032" t="s">
        <v>28225</v>
      </c>
      <c r="J2032" t="s">
        <v>29735</v>
      </c>
      <c r="K2032" t="s">
        <v>36706</v>
      </c>
      <c r="M2032" t="s">
        <v>37903</v>
      </c>
      <c r="N2032" t="s">
        <v>40436</v>
      </c>
      <c r="O2032" t="s">
        <v>40437</v>
      </c>
      <c r="P2032">
        <v>0</v>
      </c>
      <c r="Q2032">
        <v>0</v>
      </c>
      <c r="R2032" t="s">
        <v>40438</v>
      </c>
      <c r="S2032" t="s">
        <v>40582</v>
      </c>
      <c r="T2032" t="s">
        <v>42111</v>
      </c>
      <c r="U2032" t="s">
        <v>44381</v>
      </c>
      <c r="W2032" t="s">
        <v>37903</v>
      </c>
      <c r="X2032" t="s">
        <v>40439</v>
      </c>
    </row>
    <row r="2033" spans="1:24">
      <c r="A2033">
        <f>HYPERLINK("https://www.philgeps.gov.ph/GEPSNONPILOT/Tender/SplashBidNoticeAbstractUI.aspx?menuIndex=3&amp;refID=7049461&amp;Result=3","7049461")</f>
        <v>0</v>
      </c>
      <c r="B2033" t="s">
        <v>870</v>
      </c>
      <c r="C2033" t="s">
        <v>5046</v>
      </c>
      <c r="D2033" t="s">
        <v>16221</v>
      </c>
      <c r="E2033" t="s">
        <v>18164</v>
      </c>
      <c r="F2033" t="s">
        <v>28198</v>
      </c>
      <c r="G2033" t="s">
        <v>28205</v>
      </c>
      <c r="H2033" t="s">
        <v>28214</v>
      </c>
      <c r="I2033" t="s">
        <v>3797</v>
      </c>
      <c r="J2033" t="s">
        <v>29721</v>
      </c>
      <c r="K2033" t="s">
        <v>36710</v>
      </c>
      <c r="M2033" t="s">
        <v>37882</v>
      </c>
      <c r="N2033" t="s">
        <v>40436</v>
      </c>
      <c r="O2033" t="s">
        <v>40437</v>
      </c>
      <c r="P2033">
        <v>0</v>
      </c>
      <c r="Q2033">
        <v>0</v>
      </c>
      <c r="R2033" t="s">
        <v>40438</v>
      </c>
      <c r="S2033" t="s">
        <v>40582</v>
      </c>
      <c r="T2033" t="s">
        <v>42106</v>
      </c>
      <c r="U2033" t="s">
        <v>44308</v>
      </c>
      <c r="V2033" t="s">
        <v>54008</v>
      </c>
      <c r="W2033" t="s">
        <v>37882</v>
      </c>
      <c r="X2033" t="s">
        <v>40439</v>
      </c>
    </row>
    <row r="2034" spans="1:24">
      <c r="A2034">
        <f>HYPERLINK("https://www.philgeps.gov.ph/GEPSNONPILOT/Tender/SplashBidNoticeAbstractUI.aspx?menuIndex=3&amp;refID=7049454&amp;Result=3","7049454")</f>
        <v>0</v>
      </c>
      <c r="B2034" t="s">
        <v>870</v>
      </c>
      <c r="C2034" t="s">
        <v>5047</v>
      </c>
      <c r="D2034" t="s">
        <v>16221</v>
      </c>
      <c r="E2034" t="s">
        <v>18165</v>
      </c>
      <c r="F2034" t="s">
        <v>28198</v>
      </c>
      <c r="G2034" t="s">
        <v>28205</v>
      </c>
      <c r="H2034" t="s">
        <v>28214</v>
      </c>
      <c r="I2034" t="s">
        <v>3797</v>
      </c>
      <c r="J2034" t="s">
        <v>29721</v>
      </c>
      <c r="K2034" t="s">
        <v>36710</v>
      </c>
      <c r="M2034" t="s">
        <v>37882</v>
      </c>
      <c r="N2034" t="s">
        <v>40436</v>
      </c>
      <c r="O2034" t="s">
        <v>40437</v>
      </c>
      <c r="P2034">
        <v>0</v>
      </c>
      <c r="Q2034">
        <v>0</v>
      </c>
      <c r="R2034" t="s">
        <v>40438</v>
      </c>
      <c r="S2034" t="s">
        <v>40582</v>
      </c>
      <c r="T2034" t="s">
        <v>42106</v>
      </c>
      <c r="U2034" t="s">
        <v>44308</v>
      </c>
      <c r="V2034" t="s">
        <v>53995</v>
      </c>
      <c r="W2034" t="s">
        <v>37882</v>
      </c>
      <c r="X2034" t="s">
        <v>40439</v>
      </c>
    </row>
    <row r="2035" spans="1:24">
      <c r="A2035">
        <f>HYPERLINK("https://www.philgeps.gov.ph/GEPSNONPILOT/Tender/SplashBidNoticeAbstractUI.aspx?menuIndex=3&amp;refID=7049452&amp;Result=3","7049452")</f>
        <v>0</v>
      </c>
      <c r="B2035" t="s">
        <v>898</v>
      </c>
      <c r="C2035" t="s">
        <v>5048</v>
      </c>
      <c r="D2035" t="s">
        <v>16216</v>
      </c>
      <c r="E2035" t="s">
        <v>17713</v>
      </c>
      <c r="F2035" t="s">
        <v>28198</v>
      </c>
      <c r="G2035" t="s">
        <v>28205</v>
      </c>
      <c r="H2035" t="s">
        <v>28215</v>
      </c>
      <c r="I2035" t="s">
        <v>28222</v>
      </c>
      <c r="J2035" t="s">
        <v>28699</v>
      </c>
      <c r="K2035" t="s">
        <v>36688</v>
      </c>
      <c r="M2035" t="s">
        <v>37914</v>
      </c>
      <c r="N2035" t="s">
        <v>40436</v>
      </c>
      <c r="O2035" t="s">
        <v>40437</v>
      </c>
      <c r="P2035">
        <v>0</v>
      </c>
      <c r="Q2035">
        <v>4</v>
      </c>
      <c r="R2035" t="s">
        <v>40438</v>
      </c>
      <c r="S2035" t="s">
        <v>40582</v>
      </c>
      <c r="T2035" t="s">
        <v>42299</v>
      </c>
      <c r="U2035" t="s">
        <v>44382</v>
      </c>
      <c r="V2035" t="s">
        <v>54004</v>
      </c>
      <c r="W2035" t="s">
        <v>37914</v>
      </c>
      <c r="X2035" t="s">
        <v>40439</v>
      </c>
    </row>
    <row r="2036" spans="1:24">
      <c r="A2036">
        <f>HYPERLINK("https://www.philgeps.gov.ph/GEPSNONPILOT/Tender/SplashBidNoticeAbstractUI.aspx?menuIndex=3&amp;refID=7049460&amp;Result=3","7049460")</f>
        <v>0</v>
      </c>
      <c r="B2036" t="s">
        <v>901</v>
      </c>
      <c r="C2036" t="s">
        <v>5049</v>
      </c>
      <c r="D2036" t="s">
        <v>16213</v>
      </c>
      <c r="E2036" t="s">
        <v>18166</v>
      </c>
      <c r="F2036" t="s">
        <v>28198</v>
      </c>
      <c r="G2036" t="s">
        <v>28207</v>
      </c>
      <c r="H2036" t="s">
        <v>28215</v>
      </c>
      <c r="I2036" t="s">
        <v>28246</v>
      </c>
      <c r="J2036" t="s">
        <v>28397</v>
      </c>
      <c r="K2036" t="s">
        <v>36688</v>
      </c>
      <c r="M2036" t="s">
        <v>37919</v>
      </c>
      <c r="N2036" t="s">
        <v>40436</v>
      </c>
      <c r="O2036" t="s">
        <v>40437</v>
      </c>
      <c r="P2036">
        <v>0</v>
      </c>
      <c r="Q2036">
        <v>0</v>
      </c>
      <c r="R2036" t="s">
        <v>40438</v>
      </c>
      <c r="S2036" t="s">
        <v>40582</v>
      </c>
      <c r="T2036" t="s">
        <v>42133</v>
      </c>
      <c r="U2036" t="s">
        <v>44383</v>
      </c>
      <c r="V2036" t="s">
        <v>54009</v>
      </c>
      <c r="W2036" t="s">
        <v>37919</v>
      </c>
      <c r="X2036" t="s">
        <v>40439</v>
      </c>
    </row>
    <row r="2037" spans="1:24">
      <c r="A2037">
        <f>HYPERLINK("https://www.philgeps.gov.ph/GEPSNONPILOT/Tender/SplashBidNoticeAbstractUI.aspx?menuIndex=3&amp;refID=7049470&amp;Result=3","7049470")</f>
        <v>0</v>
      </c>
      <c r="B2037" t="s">
        <v>870</v>
      </c>
      <c r="C2037" t="s">
        <v>5050</v>
      </c>
      <c r="D2037" t="s">
        <v>16221</v>
      </c>
      <c r="E2037" t="s">
        <v>18167</v>
      </c>
      <c r="F2037" t="s">
        <v>28198</v>
      </c>
      <c r="G2037" t="s">
        <v>28205</v>
      </c>
      <c r="H2037" t="s">
        <v>28214</v>
      </c>
      <c r="I2037" t="s">
        <v>3797</v>
      </c>
      <c r="J2037" t="s">
        <v>29736</v>
      </c>
      <c r="K2037" t="s">
        <v>36735</v>
      </c>
      <c r="M2037" t="s">
        <v>37882</v>
      </c>
      <c r="N2037" t="s">
        <v>40436</v>
      </c>
      <c r="O2037" t="s">
        <v>40437</v>
      </c>
      <c r="P2037">
        <v>0</v>
      </c>
      <c r="Q2037">
        <v>1</v>
      </c>
      <c r="R2037" t="s">
        <v>40438</v>
      </c>
      <c r="S2037" t="s">
        <v>40582</v>
      </c>
      <c r="T2037" t="s">
        <v>42106</v>
      </c>
      <c r="U2037" t="s">
        <v>44308</v>
      </c>
      <c r="V2037" t="s">
        <v>53995</v>
      </c>
      <c r="W2037" t="s">
        <v>37882</v>
      </c>
      <c r="X2037" t="s">
        <v>40439</v>
      </c>
    </row>
    <row r="2038" spans="1:24">
      <c r="A2038">
        <f>HYPERLINK("https://www.philgeps.gov.ph/GEPSNONPILOT/Tender/SplashBidNoticeAbstractUI.aspx?menuIndex=3&amp;refID=7049471&amp;Result=3","7049471")</f>
        <v>0</v>
      </c>
      <c r="B2038" t="s">
        <v>841</v>
      </c>
      <c r="C2038" t="s">
        <v>4924</v>
      </c>
      <c r="D2038" t="s">
        <v>16200</v>
      </c>
      <c r="E2038" t="s">
        <v>18168</v>
      </c>
      <c r="F2038" t="s">
        <v>28198</v>
      </c>
      <c r="G2038" t="s">
        <v>28207</v>
      </c>
      <c r="H2038" t="s">
        <v>28215</v>
      </c>
      <c r="I2038" t="s">
        <v>3422</v>
      </c>
      <c r="J2038" t="s">
        <v>28352</v>
      </c>
      <c r="K2038" t="s">
        <v>36705</v>
      </c>
      <c r="M2038" t="s">
        <v>37853</v>
      </c>
      <c r="N2038" t="s">
        <v>40436</v>
      </c>
      <c r="O2038" t="s">
        <v>40437</v>
      </c>
      <c r="P2038">
        <v>0</v>
      </c>
      <c r="Q2038">
        <v>0</v>
      </c>
      <c r="R2038" t="s">
        <v>40438</v>
      </c>
      <c r="S2038" t="s">
        <v>40582</v>
      </c>
      <c r="T2038" t="s">
        <v>42103</v>
      </c>
      <c r="U2038" t="s">
        <v>44384</v>
      </c>
      <c r="V2038" t="s">
        <v>53991</v>
      </c>
      <c r="W2038" t="s">
        <v>37853</v>
      </c>
      <c r="X2038" t="s">
        <v>40439</v>
      </c>
    </row>
    <row r="2039" spans="1:24">
      <c r="A2039">
        <f>HYPERLINK("https://www.philgeps.gov.ph/GEPSNONPILOT/Tender/SplashBidNoticeAbstractUI.aspx?menuIndex=3&amp;refID=7049468&amp;Result=3","7049468")</f>
        <v>0</v>
      </c>
      <c r="B2039" t="s">
        <v>902</v>
      </c>
      <c r="C2039" t="s">
        <v>5051</v>
      </c>
      <c r="D2039" t="s">
        <v>16238</v>
      </c>
      <c r="E2039" t="s">
        <v>18169</v>
      </c>
      <c r="F2039" t="s">
        <v>28198</v>
      </c>
      <c r="G2039" t="s">
        <v>28207</v>
      </c>
      <c r="H2039" t="s">
        <v>28215</v>
      </c>
      <c r="I2039" t="s">
        <v>4168</v>
      </c>
      <c r="J2039" t="s">
        <v>28345</v>
      </c>
      <c r="K2039" t="s">
        <v>36688</v>
      </c>
      <c r="M2039" t="s">
        <v>37920</v>
      </c>
      <c r="N2039" t="s">
        <v>40436</v>
      </c>
      <c r="O2039" t="s">
        <v>40437</v>
      </c>
      <c r="P2039">
        <v>0</v>
      </c>
      <c r="Q2039">
        <v>0</v>
      </c>
      <c r="R2039" t="s">
        <v>40438</v>
      </c>
      <c r="S2039" t="s">
        <v>40582</v>
      </c>
      <c r="T2039" t="s">
        <v>42133</v>
      </c>
      <c r="U2039" t="s">
        <v>44385</v>
      </c>
      <c r="W2039" t="s">
        <v>37920</v>
      </c>
      <c r="X2039" t="s">
        <v>40439</v>
      </c>
    </row>
    <row r="2040" spans="1:24">
      <c r="A2040">
        <f>HYPERLINK("https://www.philgeps.gov.ph/GEPSNONPILOT/Tender/SplashBidNoticeAbstractUI.aspx?menuIndex=3&amp;refID=7049472&amp;Result=3","7049472")</f>
        <v>0</v>
      </c>
      <c r="B2040" t="s">
        <v>903</v>
      </c>
      <c r="C2040" t="s">
        <v>5052</v>
      </c>
      <c r="D2040" t="s">
        <v>16210</v>
      </c>
      <c r="E2040" t="s">
        <v>18170</v>
      </c>
      <c r="F2040" t="s">
        <v>28198</v>
      </c>
      <c r="G2040" t="s">
        <v>28207</v>
      </c>
      <c r="H2040" t="s">
        <v>28215</v>
      </c>
      <c r="I2040" t="s">
        <v>4200</v>
      </c>
      <c r="J2040" t="s">
        <v>28687</v>
      </c>
      <c r="K2040" t="s">
        <v>36688</v>
      </c>
      <c r="M2040" t="s">
        <v>37921</v>
      </c>
      <c r="N2040" t="s">
        <v>40436</v>
      </c>
      <c r="O2040" t="s">
        <v>40437</v>
      </c>
      <c r="P2040">
        <v>0</v>
      </c>
      <c r="Q2040">
        <v>6</v>
      </c>
      <c r="R2040" t="s">
        <v>40438</v>
      </c>
      <c r="S2040" t="s">
        <v>40582</v>
      </c>
      <c r="T2040" t="s">
        <v>42175</v>
      </c>
      <c r="U2040" t="s">
        <v>44386</v>
      </c>
      <c r="W2040" t="s">
        <v>37921</v>
      </c>
      <c r="X2040" t="s">
        <v>40439</v>
      </c>
    </row>
    <row r="2041" spans="1:24">
      <c r="A2041">
        <f>HYPERLINK("https://www.philgeps.gov.ph/GEPSNONPILOT/Tender/SplashBidNoticeAbstractUI.aspx?menuIndex=3&amp;refID=7049469&amp;Result=3","7049469")</f>
        <v>0</v>
      </c>
      <c r="B2041" t="s">
        <v>335</v>
      </c>
      <c r="C2041" t="s">
        <v>5053</v>
      </c>
      <c r="D2041" t="s">
        <v>16221</v>
      </c>
      <c r="E2041" t="s">
        <v>18171</v>
      </c>
      <c r="F2041" t="s">
        <v>28198</v>
      </c>
      <c r="G2041" t="s">
        <v>28207</v>
      </c>
      <c r="H2041" t="s">
        <v>28215</v>
      </c>
      <c r="I2041" t="s">
        <v>4200</v>
      </c>
      <c r="J2041" t="s">
        <v>29737</v>
      </c>
      <c r="K2041" t="s">
        <v>36715</v>
      </c>
      <c r="M2041" t="s">
        <v>37313</v>
      </c>
      <c r="N2041" t="s">
        <v>40436</v>
      </c>
      <c r="O2041" t="s">
        <v>40437</v>
      </c>
      <c r="P2041">
        <v>0</v>
      </c>
      <c r="Q2041">
        <v>0</v>
      </c>
      <c r="R2041" t="s">
        <v>40438</v>
      </c>
      <c r="S2041" t="s">
        <v>40582</v>
      </c>
      <c r="T2041" t="s">
        <v>42124</v>
      </c>
      <c r="U2041" t="s">
        <v>44387</v>
      </c>
      <c r="W2041" t="s">
        <v>55444</v>
      </c>
      <c r="X2041" t="s">
        <v>40439</v>
      </c>
    </row>
    <row r="2042" spans="1:24">
      <c r="A2042">
        <f>HYPERLINK("https://www.philgeps.gov.ph/GEPSNONPILOT/Tender/SplashBidNoticeAbstractUI.aspx?menuIndex=3&amp;refID=7049474&amp;Result=3","7049474")</f>
        <v>0</v>
      </c>
      <c r="B2042" t="s">
        <v>728</v>
      </c>
      <c r="C2042" t="s">
        <v>5054</v>
      </c>
      <c r="D2042" t="s">
        <v>16200</v>
      </c>
      <c r="E2042" t="s">
        <v>18172</v>
      </c>
      <c r="F2042" t="s">
        <v>28198</v>
      </c>
      <c r="G2042" t="s">
        <v>28205</v>
      </c>
      <c r="H2042" t="s">
        <v>28215</v>
      </c>
      <c r="I2042" t="s">
        <v>28280</v>
      </c>
      <c r="J2042" t="s">
        <v>29738</v>
      </c>
      <c r="K2042" t="s">
        <v>36697</v>
      </c>
      <c r="M2042" t="s">
        <v>37777</v>
      </c>
      <c r="N2042" t="s">
        <v>40436</v>
      </c>
      <c r="O2042" t="s">
        <v>40437</v>
      </c>
      <c r="P2042">
        <v>0</v>
      </c>
      <c r="Q2042">
        <v>4</v>
      </c>
      <c r="R2042" t="s">
        <v>40438</v>
      </c>
      <c r="S2042" t="s">
        <v>40582</v>
      </c>
      <c r="T2042" t="s">
        <v>42099</v>
      </c>
      <c r="U2042" t="s">
        <v>44388</v>
      </c>
      <c r="W2042" t="s">
        <v>37777</v>
      </c>
      <c r="X2042" t="s">
        <v>40439</v>
      </c>
    </row>
    <row r="2043" spans="1:24">
      <c r="A2043">
        <f>HYPERLINK("https://www.philgeps.gov.ph/GEPSNONPILOT/Tender/SplashBidNoticeAbstractUI.aspx?menuIndex=3&amp;refID=7049475&amp;Result=3","7049475")</f>
        <v>0</v>
      </c>
      <c r="B2043" t="s">
        <v>239</v>
      </c>
      <c r="C2043" t="s">
        <v>5055</v>
      </c>
      <c r="D2043" t="s">
        <v>16235</v>
      </c>
      <c r="E2043" t="s">
        <v>18173</v>
      </c>
      <c r="F2043" t="s">
        <v>28198</v>
      </c>
      <c r="G2043" t="s">
        <v>28207</v>
      </c>
      <c r="H2043" t="s">
        <v>28215</v>
      </c>
      <c r="I2043" t="s">
        <v>28238</v>
      </c>
      <c r="J2043" t="s">
        <v>29739</v>
      </c>
      <c r="K2043" t="s">
        <v>36701</v>
      </c>
      <c r="M2043" t="s">
        <v>37215</v>
      </c>
      <c r="N2043" t="s">
        <v>40436</v>
      </c>
      <c r="O2043" t="s">
        <v>40437</v>
      </c>
      <c r="P2043">
        <v>0</v>
      </c>
      <c r="Q2043">
        <v>5</v>
      </c>
      <c r="R2043" t="s">
        <v>40438</v>
      </c>
      <c r="S2043" t="s">
        <v>40582</v>
      </c>
      <c r="T2043" t="s">
        <v>42142</v>
      </c>
      <c r="U2043" t="s">
        <v>44389</v>
      </c>
      <c r="W2043" t="s">
        <v>37215</v>
      </c>
      <c r="X2043" t="s">
        <v>40439</v>
      </c>
    </row>
    <row r="2044" spans="1:24">
      <c r="A2044">
        <f>HYPERLINK("https://www.philgeps.gov.ph/GEPSNONPILOT/Tender/SplashBidNoticeAbstractUI.aspx?menuIndex=3&amp;refID=7049484&amp;Result=3","7049484")</f>
        <v>0</v>
      </c>
      <c r="B2044" t="s">
        <v>904</v>
      </c>
      <c r="C2044" t="s">
        <v>5056</v>
      </c>
      <c r="D2044" t="s">
        <v>16233</v>
      </c>
      <c r="E2044" t="s">
        <v>18174</v>
      </c>
      <c r="F2044" t="s">
        <v>28198</v>
      </c>
      <c r="G2044" t="s">
        <v>28209</v>
      </c>
      <c r="H2044" t="s">
        <v>28215</v>
      </c>
      <c r="I2044" t="s">
        <v>5100</v>
      </c>
      <c r="J2044" t="s">
        <v>29740</v>
      </c>
      <c r="K2044" t="s">
        <v>36706</v>
      </c>
      <c r="M2044" t="s">
        <v>37922</v>
      </c>
      <c r="N2044" t="s">
        <v>40436</v>
      </c>
      <c r="O2044" t="s">
        <v>40437</v>
      </c>
      <c r="P2044">
        <v>0</v>
      </c>
      <c r="Q2044">
        <v>1</v>
      </c>
      <c r="R2044" t="s">
        <v>40438</v>
      </c>
      <c r="S2044" t="s">
        <v>40582</v>
      </c>
      <c r="T2044" t="s">
        <v>42098</v>
      </c>
      <c r="U2044" t="s">
        <v>44390</v>
      </c>
      <c r="W2044" t="s">
        <v>37922</v>
      </c>
      <c r="X2044" t="s">
        <v>40439</v>
      </c>
    </row>
    <row r="2045" spans="1:24">
      <c r="A2045">
        <f>HYPERLINK("https://www.philgeps.gov.ph/GEPSNONPILOT/Tender/SplashBidNoticeAbstractUI.aspx?menuIndex=3&amp;refID=7049476&amp;Result=3","7049476")</f>
        <v>0</v>
      </c>
      <c r="B2045" t="s">
        <v>899</v>
      </c>
      <c r="C2045" t="s">
        <v>5057</v>
      </c>
      <c r="D2045" t="s">
        <v>16210</v>
      </c>
      <c r="E2045" t="s">
        <v>18175</v>
      </c>
      <c r="F2045" t="s">
        <v>28198</v>
      </c>
      <c r="G2045" t="s">
        <v>28207</v>
      </c>
      <c r="H2045" t="s">
        <v>28215</v>
      </c>
      <c r="I2045" t="s">
        <v>28238</v>
      </c>
      <c r="J2045" t="s">
        <v>28652</v>
      </c>
      <c r="K2045" t="s">
        <v>36701</v>
      </c>
      <c r="M2045" t="s">
        <v>37917</v>
      </c>
      <c r="N2045" t="s">
        <v>40436</v>
      </c>
      <c r="O2045" t="s">
        <v>40437</v>
      </c>
      <c r="P2045">
        <v>0</v>
      </c>
      <c r="Q2045">
        <v>4</v>
      </c>
      <c r="R2045" t="s">
        <v>40438</v>
      </c>
      <c r="S2045" t="s">
        <v>40582</v>
      </c>
      <c r="T2045" t="s">
        <v>42152</v>
      </c>
      <c r="U2045" t="s">
        <v>44391</v>
      </c>
      <c r="W2045" t="s">
        <v>55467</v>
      </c>
      <c r="X2045" t="s">
        <v>40439</v>
      </c>
    </row>
    <row r="2046" spans="1:24">
      <c r="A2046">
        <f>HYPERLINK("https://www.philgeps.gov.ph/GEPSNONPILOT/Tender/SplashBidNoticeAbstractUI.aspx?menuIndex=3&amp;refID=7049483&amp;Result=3","7049483")</f>
        <v>0</v>
      </c>
      <c r="B2046" t="s">
        <v>872</v>
      </c>
      <c r="C2046" t="s">
        <v>5058</v>
      </c>
      <c r="D2046" t="s">
        <v>16204</v>
      </c>
      <c r="E2046" t="s">
        <v>18176</v>
      </c>
      <c r="F2046" t="s">
        <v>28198</v>
      </c>
      <c r="G2046" t="s">
        <v>28207</v>
      </c>
      <c r="H2046" t="s">
        <v>28215</v>
      </c>
      <c r="I2046" t="s">
        <v>3774</v>
      </c>
      <c r="J2046" t="s">
        <v>29741</v>
      </c>
      <c r="K2046" t="s">
        <v>36706</v>
      </c>
      <c r="M2046" t="s">
        <v>37886</v>
      </c>
      <c r="N2046" t="s">
        <v>40436</v>
      </c>
      <c r="O2046" t="s">
        <v>40437</v>
      </c>
      <c r="P2046">
        <v>0</v>
      </c>
      <c r="Q2046">
        <v>1</v>
      </c>
      <c r="R2046" t="s">
        <v>40438</v>
      </c>
      <c r="S2046" t="s">
        <v>40582</v>
      </c>
      <c r="T2046" t="s">
        <v>42142</v>
      </c>
      <c r="U2046" t="s">
        <v>44392</v>
      </c>
      <c r="W2046" t="s">
        <v>37886</v>
      </c>
      <c r="X2046" t="s">
        <v>40439</v>
      </c>
    </row>
    <row r="2047" spans="1:24">
      <c r="A2047">
        <f>HYPERLINK("https://www.philgeps.gov.ph/GEPSNONPILOT/Tender/SplashBidNoticeAbstractUI.aspx?menuIndex=3&amp;refID=7049488&amp;Result=3","7049488")</f>
        <v>0</v>
      </c>
      <c r="B2047" t="s">
        <v>905</v>
      </c>
      <c r="C2047" t="s">
        <v>5059</v>
      </c>
      <c r="D2047" t="s">
        <v>16199</v>
      </c>
      <c r="E2047" t="s">
        <v>18177</v>
      </c>
      <c r="F2047" t="s">
        <v>28198</v>
      </c>
      <c r="G2047" t="s">
        <v>28207</v>
      </c>
      <c r="H2047" t="s">
        <v>28215</v>
      </c>
      <c r="I2047" t="s">
        <v>28255</v>
      </c>
      <c r="J2047" t="s">
        <v>29742</v>
      </c>
      <c r="K2047" t="s">
        <v>36701</v>
      </c>
      <c r="M2047" t="s">
        <v>37923</v>
      </c>
      <c r="N2047" t="s">
        <v>40436</v>
      </c>
      <c r="O2047" t="s">
        <v>40437</v>
      </c>
      <c r="P2047">
        <v>0</v>
      </c>
      <c r="Q2047">
        <v>0</v>
      </c>
      <c r="R2047" t="s">
        <v>40438</v>
      </c>
      <c r="S2047" t="s">
        <v>40582</v>
      </c>
      <c r="T2047" t="s">
        <v>42119</v>
      </c>
      <c r="U2047" t="s">
        <v>44393</v>
      </c>
      <c r="W2047" t="s">
        <v>37923</v>
      </c>
      <c r="X2047" t="s">
        <v>40439</v>
      </c>
    </row>
    <row r="2048" spans="1:24">
      <c r="A2048">
        <f>HYPERLINK("https://www.philgeps.gov.ph/GEPSNONPILOT/Tender/SplashBidNoticeAbstractUI.aspx?menuIndex=3&amp;refID=7049480&amp;Result=3","7049480")</f>
        <v>0</v>
      </c>
      <c r="B2048" t="s">
        <v>870</v>
      </c>
      <c r="C2048" t="s">
        <v>5060</v>
      </c>
      <c r="D2048" t="s">
        <v>16221</v>
      </c>
      <c r="E2048" t="s">
        <v>18178</v>
      </c>
      <c r="F2048" t="s">
        <v>28198</v>
      </c>
      <c r="G2048" t="s">
        <v>28205</v>
      </c>
      <c r="H2048" t="s">
        <v>28214</v>
      </c>
      <c r="I2048" t="s">
        <v>3797</v>
      </c>
      <c r="J2048" t="s">
        <v>29743</v>
      </c>
      <c r="K2048" t="s">
        <v>36710</v>
      </c>
      <c r="M2048" t="s">
        <v>37882</v>
      </c>
      <c r="N2048" t="s">
        <v>40436</v>
      </c>
      <c r="O2048" t="s">
        <v>40437</v>
      </c>
      <c r="P2048">
        <v>0</v>
      </c>
      <c r="Q2048">
        <v>3</v>
      </c>
      <c r="R2048" t="s">
        <v>40438</v>
      </c>
      <c r="S2048" t="s">
        <v>40582</v>
      </c>
      <c r="T2048" t="s">
        <v>42106</v>
      </c>
      <c r="U2048" t="s">
        <v>44308</v>
      </c>
      <c r="V2048" t="s">
        <v>53995</v>
      </c>
      <c r="W2048" t="s">
        <v>37882</v>
      </c>
      <c r="X2048" t="s">
        <v>40439</v>
      </c>
    </row>
    <row r="2049" spans="1:24">
      <c r="A2049">
        <f>HYPERLINK("https://www.philgeps.gov.ph/GEPSNONPILOT/Tender/SplashBidNoticeAbstractUI.aspx?menuIndex=3&amp;refID=7049481&amp;Result=3","7049481")</f>
        <v>0</v>
      </c>
      <c r="B2049" t="s">
        <v>906</v>
      </c>
      <c r="C2049" t="s">
        <v>5061</v>
      </c>
      <c r="D2049" t="s">
        <v>16201</v>
      </c>
      <c r="E2049" t="s">
        <v>18179</v>
      </c>
      <c r="F2049" t="s">
        <v>28198</v>
      </c>
      <c r="G2049" t="s">
        <v>28209</v>
      </c>
      <c r="H2049" t="s">
        <v>28215</v>
      </c>
      <c r="I2049" t="s">
        <v>5100</v>
      </c>
      <c r="J2049" t="s">
        <v>29744</v>
      </c>
      <c r="K2049" t="s">
        <v>36693</v>
      </c>
      <c r="M2049" t="s">
        <v>37924</v>
      </c>
      <c r="N2049" t="s">
        <v>40436</v>
      </c>
      <c r="O2049" t="s">
        <v>40437</v>
      </c>
      <c r="P2049">
        <v>0</v>
      </c>
      <c r="Q2049">
        <v>0</v>
      </c>
      <c r="R2049" t="s">
        <v>40438</v>
      </c>
      <c r="S2049" t="s">
        <v>40582</v>
      </c>
      <c r="T2049" t="s">
        <v>42103</v>
      </c>
      <c r="U2049" t="s">
        <v>44394</v>
      </c>
      <c r="W2049" t="s">
        <v>37924</v>
      </c>
      <c r="X2049" t="s">
        <v>40439</v>
      </c>
    </row>
    <row r="2050" spans="1:24">
      <c r="A2050">
        <f>HYPERLINK("https://www.philgeps.gov.ph/GEPSNONPILOT/Tender/SplashBidNoticeAbstractUI.aspx?menuIndex=3&amp;refID=7049478&amp;Result=3","7049478")</f>
        <v>0</v>
      </c>
      <c r="B2050" t="s">
        <v>900</v>
      </c>
      <c r="C2050" t="s">
        <v>5062</v>
      </c>
      <c r="D2050" t="s">
        <v>16223</v>
      </c>
      <c r="E2050" t="s">
        <v>18180</v>
      </c>
      <c r="F2050" t="s">
        <v>28198</v>
      </c>
      <c r="G2050" t="s">
        <v>28205</v>
      </c>
      <c r="H2050" t="s">
        <v>28215</v>
      </c>
      <c r="I2050" t="s">
        <v>4168</v>
      </c>
      <c r="J2050" t="s">
        <v>29745</v>
      </c>
      <c r="K2050" t="s">
        <v>36694</v>
      </c>
      <c r="M2050" t="s">
        <v>37918</v>
      </c>
      <c r="N2050" t="s">
        <v>40436</v>
      </c>
      <c r="O2050" t="s">
        <v>40437</v>
      </c>
      <c r="P2050">
        <v>0</v>
      </c>
      <c r="Q2050">
        <v>1</v>
      </c>
      <c r="R2050" t="s">
        <v>40438</v>
      </c>
      <c r="S2050" t="s">
        <v>40582</v>
      </c>
      <c r="T2050" t="s">
        <v>42301</v>
      </c>
      <c r="U2050" t="s">
        <v>44395</v>
      </c>
      <c r="V2050" t="s">
        <v>54010</v>
      </c>
      <c r="W2050" t="s">
        <v>37918</v>
      </c>
      <c r="X2050" t="s">
        <v>40439</v>
      </c>
    </row>
    <row r="2051" spans="1:24">
      <c r="A2051">
        <f>HYPERLINK("https://www.philgeps.gov.ph/GEPSNONPILOT/Tender/SplashBidNoticeAbstractUI.aspx?menuIndex=3&amp;refID=7049498&amp;Result=3","7049498")</f>
        <v>0</v>
      </c>
      <c r="B2051" t="s">
        <v>907</v>
      </c>
      <c r="C2051" t="s">
        <v>5063</v>
      </c>
      <c r="D2051" t="s">
        <v>16227</v>
      </c>
      <c r="E2051" t="s">
        <v>18181</v>
      </c>
      <c r="F2051" t="s">
        <v>28198</v>
      </c>
      <c r="G2051" t="s">
        <v>28207</v>
      </c>
      <c r="H2051" t="s">
        <v>28215</v>
      </c>
      <c r="I2051" t="s">
        <v>28265</v>
      </c>
      <c r="J2051" t="s">
        <v>29746</v>
      </c>
      <c r="K2051" t="s">
        <v>36689</v>
      </c>
      <c r="M2051" t="s">
        <v>37925</v>
      </c>
      <c r="N2051" t="s">
        <v>40436</v>
      </c>
      <c r="O2051" t="s">
        <v>40437</v>
      </c>
      <c r="P2051">
        <v>0</v>
      </c>
      <c r="Q2051">
        <v>0</v>
      </c>
      <c r="R2051" t="s">
        <v>40438</v>
      </c>
      <c r="S2051" t="s">
        <v>40582</v>
      </c>
      <c r="T2051" t="s">
        <v>42103</v>
      </c>
      <c r="U2051" t="s">
        <v>44396</v>
      </c>
      <c r="W2051" t="s">
        <v>37925</v>
      </c>
      <c r="X2051" t="s">
        <v>40439</v>
      </c>
    </row>
    <row r="2052" spans="1:24">
      <c r="A2052">
        <f>HYPERLINK("https://www.philgeps.gov.ph/GEPSNONPILOT/Tender/SplashBidNoticeAbstractUI.aspx?menuIndex=3&amp;refID=7049487&amp;Result=3","7049487")</f>
        <v>0</v>
      </c>
      <c r="B2052" t="s">
        <v>851</v>
      </c>
      <c r="C2052" t="s">
        <v>5064</v>
      </c>
      <c r="D2052" t="s">
        <v>16209</v>
      </c>
      <c r="E2052" t="s">
        <v>16909</v>
      </c>
      <c r="F2052" t="s">
        <v>28198</v>
      </c>
      <c r="G2052" t="s">
        <v>28206</v>
      </c>
      <c r="H2052" t="s">
        <v>28215</v>
      </c>
      <c r="I2052" t="s">
        <v>5656</v>
      </c>
      <c r="J2052" t="s">
        <v>28889</v>
      </c>
      <c r="K2052" t="s">
        <v>36691</v>
      </c>
      <c r="M2052" t="s">
        <v>37926</v>
      </c>
      <c r="N2052" t="s">
        <v>40436</v>
      </c>
      <c r="O2052" t="s">
        <v>40437</v>
      </c>
      <c r="P2052">
        <v>0</v>
      </c>
      <c r="Q2052">
        <v>0</v>
      </c>
      <c r="R2052" t="s">
        <v>40438</v>
      </c>
      <c r="S2052" t="s">
        <v>40582</v>
      </c>
      <c r="T2052" t="s">
        <v>42302</v>
      </c>
      <c r="U2052" t="s">
        <v>44397</v>
      </c>
      <c r="V2052" t="s">
        <v>54011</v>
      </c>
      <c r="W2052" t="s">
        <v>37926</v>
      </c>
      <c r="X2052" t="s">
        <v>40439</v>
      </c>
    </row>
    <row r="2053" spans="1:24">
      <c r="A2053">
        <f>HYPERLINK("https://www.philgeps.gov.ph/GEPSNONPILOT/Tender/SplashBidNoticeAbstractUI.aspx?menuIndex=3&amp;refID=7049479&amp;Result=3","7049479")</f>
        <v>0</v>
      </c>
      <c r="B2053" t="s">
        <v>802</v>
      </c>
      <c r="C2053" t="s">
        <v>5065</v>
      </c>
      <c r="D2053" t="s">
        <v>16235</v>
      </c>
      <c r="E2053" t="s">
        <v>18182</v>
      </c>
      <c r="F2053" t="s">
        <v>28198</v>
      </c>
      <c r="G2053" t="s">
        <v>28205</v>
      </c>
      <c r="H2053" t="s">
        <v>28214</v>
      </c>
      <c r="I2053" t="s">
        <v>3797</v>
      </c>
      <c r="J2053" t="s">
        <v>29747</v>
      </c>
      <c r="K2053" t="s">
        <v>36773</v>
      </c>
      <c r="M2053" t="s">
        <v>37809</v>
      </c>
      <c r="N2053" t="s">
        <v>40436</v>
      </c>
      <c r="O2053" t="s">
        <v>40437</v>
      </c>
      <c r="P2053">
        <v>0</v>
      </c>
      <c r="Q2053">
        <v>0</v>
      </c>
      <c r="R2053" t="s">
        <v>40438</v>
      </c>
      <c r="S2053" t="s">
        <v>40582</v>
      </c>
      <c r="T2053" t="s">
        <v>42099</v>
      </c>
      <c r="U2053" t="s">
        <v>44398</v>
      </c>
      <c r="W2053" t="s">
        <v>37809</v>
      </c>
      <c r="X2053" t="s">
        <v>40439</v>
      </c>
    </row>
    <row r="2054" spans="1:24">
      <c r="A2054">
        <f>HYPERLINK("https://www.philgeps.gov.ph/GEPSNONPILOT/Tender/SplashBidNoticeAbstractUI.aspx?menuIndex=3&amp;refID=7049496&amp;Result=3","7049496")</f>
        <v>0</v>
      </c>
      <c r="B2054" t="s">
        <v>908</v>
      </c>
      <c r="C2054" t="s">
        <v>5066</v>
      </c>
      <c r="D2054" t="s">
        <v>16265</v>
      </c>
      <c r="E2054" t="s">
        <v>18183</v>
      </c>
      <c r="F2054" t="s">
        <v>28198</v>
      </c>
      <c r="G2054" t="s">
        <v>28205</v>
      </c>
      <c r="H2054" t="s">
        <v>28215</v>
      </c>
      <c r="I2054" t="s">
        <v>28222</v>
      </c>
      <c r="J2054" t="s">
        <v>29012</v>
      </c>
      <c r="K2054" t="s">
        <v>36701</v>
      </c>
      <c r="M2054" t="s">
        <v>37927</v>
      </c>
      <c r="N2054" t="s">
        <v>40436</v>
      </c>
      <c r="O2054" t="s">
        <v>40437</v>
      </c>
      <c r="P2054">
        <v>0</v>
      </c>
      <c r="Q2054">
        <v>0</v>
      </c>
      <c r="R2054" t="s">
        <v>40438</v>
      </c>
      <c r="S2054" t="s">
        <v>40582</v>
      </c>
      <c r="T2054" t="s">
        <v>42303</v>
      </c>
      <c r="U2054" t="s">
        <v>44399</v>
      </c>
      <c r="W2054" t="s">
        <v>37927</v>
      </c>
      <c r="X2054" t="s">
        <v>40439</v>
      </c>
    </row>
    <row r="2055" spans="1:24">
      <c r="A2055">
        <f>HYPERLINK("https://www.philgeps.gov.ph/GEPSNONPILOT/Tender/SplashBidNoticeAbstractUI.aspx?menuIndex=3&amp;refID=7049489&amp;Result=3","7049489")</f>
        <v>0</v>
      </c>
      <c r="B2055" t="s">
        <v>315</v>
      </c>
      <c r="C2055" t="s">
        <v>5067</v>
      </c>
      <c r="D2055" t="s">
        <v>16191</v>
      </c>
      <c r="E2055" t="s">
        <v>18184</v>
      </c>
      <c r="F2055" t="s">
        <v>28198</v>
      </c>
      <c r="G2055" t="s">
        <v>28206</v>
      </c>
      <c r="H2055" t="s">
        <v>28215</v>
      </c>
      <c r="I2055" t="s">
        <v>3797</v>
      </c>
      <c r="J2055" t="s">
        <v>29172</v>
      </c>
      <c r="K2055" t="s">
        <v>36689</v>
      </c>
      <c r="M2055" t="s">
        <v>37736</v>
      </c>
      <c r="N2055" t="s">
        <v>40436</v>
      </c>
      <c r="O2055" t="s">
        <v>40437</v>
      </c>
      <c r="P2055">
        <v>0</v>
      </c>
      <c r="Q2055">
        <v>0</v>
      </c>
      <c r="R2055" t="s">
        <v>40438</v>
      </c>
      <c r="S2055" t="s">
        <v>40582</v>
      </c>
      <c r="T2055" t="s">
        <v>42264</v>
      </c>
      <c r="U2055" t="s">
        <v>44400</v>
      </c>
      <c r="W2055" t="s">
        <v>37736</v>
      </c>
      <c r="X2055" t="s">
        <v>40439</v>
      </c>
    </row>
    <row r="2056" spans="1:24">
      <c r="A2056">
        <f>HYPERLINK("https://www.philgeps.gov.ph/GEPSNONPILOT/Tender/SplashBidNoticeAbstractUI.aspx?menuIndex=3&amp;refID=7049494&amp;Result=3","7049494")</f>
        <v>0</v>
      </c>
      <c r="B2056" t="s">
        <v>216</v>
      </c>
      <c r="C2056" t="s">
        <v>5068</v>
      </c>
      <c r="D2056" t="s">
        <v>16210</v>
      </c>
      <c r="E2056" t="s">
        <v>18185</v>
      </c>
      <c r="F2056" t="s">
        <v>28198</v>
      </c>
      <c r="G2056" t="s">
        <v>28207</v>
      </c>
      <c r="H2056" t="s">
        <v>28215</v>
      </c>
      <c r="I2056" t="s">
        <v>5791</v>
      </c>
      <c r="J2056" t="s">
        <v>29748</v>
      </c>
      <c r="K2056" t="s">
        <v>36701</v>
      </c>
      <c r="M2056" t="s">
        <v>37192</v>
      </c>
      <c r="N2056" t="s">
        <v>40436</v>
      </c>
      <c r="O2056" t="s">
        <v>40437</v>
      </c>
      <c r="P2056">
        <v>0</v>
      </c>
      <c r="Q2056">
        <v>0</v>
      </c>
      <c r="R2056" t="s">
        <v>40438</v>
      </c>
      <c r="S2056" t="s">
        <v>40582</v>
      </c>
      <c r="T2056" t="s">
        <v>42119</v>
      </c>
      <c r="U2056" t="s">
        <v>44401</v>
      </c>
      <c r="V2056" t="s">
        <v>53819</v>
      </c>
      <c r="W2056" t="s">
        <v>37192</v>
      </c>
      <c r="X2056" t="s">
        <v>40439</v>
      </c>
    </row>
    <row r="2057" spans="1:24">
      <c r="A2057">
        <f>HYPERLINK("https://www.philgeps.gov.ph/GEPSNONPILOT/Tender/SplashBidNoticeAbstractUI.aspx?menuIndex=3&amp;refID=7049492&amp;Result=3","7049492")</f>
        <v>0</v>
      </c>
      <c r="B2057" t="s">
        <v>902</v>
      </c>
      <c r="C2057" t="s">
        <v>5069</v>
      </c>
      <c r="D2057" t="s">
        <v>16217</v>
      </c>
      <c r="E2057" t="s">
        <v>18186</v>
      </c>
      <c r="F2057" t="s">
        <v>28198</v>
      </c>
      <c r="G2057" t="s">
        <v>28207</v>
      </c>
      <c r="H2057" t="s">
        <v>28215</v>
      </c>
      <c r="I2057" t="s">
        <v>28295</v>
      </c>
      <c r="J2057" t="s">
        <v>28345</v>
      </c>
      <c r="K2057" t="s">
        <v>36688</v>
      </c>
      <c r="M2057" t="s">
        <v>37920</v>
      </c>
      <c r="N2057" t="s">
        <v>40436</v>
      </c>
      <c r="O2057" t="s">
        <v>40437</v>
      </c>
      <c r="P2057">
        <v>0</v>
      </c>
      <c r="Q2057">
        <v>1</v>
      </c>
      <c r="R2057" t="s">
        <v>40438</v>
      </c>
      <c r="S2057" t="s">
        <v>40582</v>
      </c>
      <c r="T2057" t="s">
        <v>42133</v>
      </c>
      <c r="U2057" t="s">
        <v>44402</v>
      </c>
      <c r="W2057" t="s">
        <v>37920</v>
      </c>
      <c r="X2057" t="s">
        <v>40439</v>
      </c>
    </row>
    <row r="2058" spans="1:24">
      <c r="A2058">
        <f>HYPERLINK("https://www.philgeps.gov.ph/GEPSNONPILOT/Tender/SplashBidNoticeAbstractUI.aspx?menuIndex=3&amp;refID=7049493&amp;Result=3","7049493")</f>
        <v>0</v>
      </c>
      <c r="B2058" t="s">
        <v>903</v>
      </c>
      <c r="C2058" t="s">
        <v>5070</v>
      </c>
      <c r="D2058" t="s">
        <v>16210</v>
      </c>
      <c r="E2058" t="s">
        <v>18187</v>
      </c>
      <c r="F2058" t="s">
        <v>28198</v>
      </c>
      <c r="G2058" t="s">
        <v>28207</v>
      </c>
      <c r="H2058" t="s">
        <v>28215</v>
      </c>
      <c r="I2058" t="s">
        <v>4200</v>
      </c>
      <c r="J2058" t="s">
        <v>29749</v>
      </c>
      <c r="K2058" t="s">
        <v>36688</v>
      </c>
      <c r="M2058" t="s">
        <v>37921</v>
      </c>
      <c r="N2058" t="s">
        <v>40436</v>
      </c>
      <c r="O2058" t="s">
        <v>40437</v>
      </c>
      <c r="P2058">
        <v>0</v>
      </c>
      <c r="Q2058">
        <v>5</v>
      </c>
      <c r="R2058" t="s">
        <v>40438</v>
      </c>
      <c r="S2058" t="s">
        <v>40582</v>
      </c>
      <c r="T2058" t="s">
        <v>42175</v>
      </c>
      <c r="U2058" t="s">
        <v>44403</v>
      </c>
      <c r="W2058" t="s">
        <v>37921</v>
      </c>
      <c r="X2058" t="s">
        <v>40439</v>
      </c>
    </row>
    <row r="2059" spans="1:24">
      <c r="A2059">
        <f>HYPERLINK("https://www.philgeps.gov.ph/GEPSNONPILOT/Tender/SplashBidNoticeAbstractUI.aspx?menuIndex=3&amp;refID=7049486&amp;Result=3","7049486")</f>
        <v>0</v>
      </c>
      <c r="B2059" t="s">
        <v>887</v>
      </c>
      <c r="C2059" t="s">
        <v>5071</v>
      </c>
      <c r="D2059" t="s">
        <v>16230</v>
      </c>
      <c r="E2059" t="s">
        <v>18188</v>
      </c>
      <c r="F2059" t="s">
        <v>28198</v>
      </c>
      <c r="G2059" t="s">
        <v>28207</v>
      </c>
      <c r="H2059" t="s">
        <v>28215</v>
      </c>
      <c r="I2059" t="s">
        <v>5071</v>
      </c>
      <c r="J2059" t="s">
        <v>29750</v>
      </c>
      <c r="K2059" t="s">
        <v>36706</v>
      </c>
      <c r="M2059" t="s">
        <v>37903</v>
      </c>
      <c r="N2059" t="s">
        <v>40436</v>
      </c>
      <c r="O2059" t="s">
        <v>40437</v>
      </c>
      <c r="P2059">
        <v>0</v>
      </c>
      <c r="Q2059">
        <v>0</v>
      </c>
      <c r="R2059" t="s">
        <v>40438</v>
      </c>
      <c r="S2059" t="s">
        <v>40582</v>
      </c>
      <c r="T2059" t="s">
        <v>42111</v>
      </c>
      <c r="U2059" t="s">
        <v>44404</v>
      </c>
      <c r="W2059" t="s">
        <v>37903</v>
      </c>
      <c r="X2059" t="s">
        <v>40439</v>
      </c>
    </row>
    <row r="2060" spans="1:24">
      <c r="A2060">
        <f>HYPERLINK("https://www.philgeps.gov.ph/GEPSNONPILOT/Tender/SplashBidNoticeAbstractUI.aspx?menuIndex=3&amp;refID=7049495&amp;Result=3","7049495")</f>
        <v>0</v>
      </c>
      <c r="B2060" t="s">
        <v>872</v>
      </c>
      <c r="C2060" t="s">
        <v>5072</v>
      </c>
      <c r="D2060" t="s">
        <v>16204</v>
      </c>
      <c r="E2060" t="s">
        <v>18189</v>
      </c>
      <c r="F2060" t="s">
        <v>28198</v>
      </c>
      <c r="G2060" t="s">
        <v>28207</v>
      </c>
      <c r="H2060" t="s">
        <v>28215</v>
      </c>
      <c r="I2060" t="s">
        <v>4168</v>
      </c>
      <c r="J2060" t="s">
        <v>29751</v>
      </c>
      <c r="K2060" t="s">
        <v>36706</v>
      </c>
      <c r="M2060" t="s">
        <v>37886</v>
      </c>
      <c r="N2060" t="s">
        <v>40436</v>
      </c>
      <c r="O2060" t="s">
        <v>40437</v>
      </c>
      <c r="P2060">
        <v>0</v>
      </c>
      <c r="Q2060">
        <v>2</v>
      </c>
      <c r="R2060" t="s">
        <v>40438</v>
      </c>
      <c r="S2060" t="s">
        <v>40582</v>
      </c>
      <c r="T2060" t="s">
        <v>42142</v>
      </c>
      <c r="U2060" t="s">
        <v>44405</v>
      </c>
      <c r="W2060" t="s">
        <v>37886</v>
      </c>
      <c r="X2060" t="s">
        <v>40439</v>
      </c>
    </row>
    <row r="2061" spans="1:24">
      <c r="A2061">
        <f>HYPERLINK("https://www.philgeps.gov.ph/GEPSNONPILOT/Tender/SplashBidNoticeAbstractUI.aspx?menuIndex=3&amp;refID=7049491&amp;Result=3","7049491")</f>
        <v>0</v>
      </c>
      <c r="B2061" t="s">
        <v>909</v>
      </c>
      <c r="C2061" t="s">
        <v>5073</v>
      </c>
      <c r="D2061" t="s">
        <v>16209</v>
      </c>
      <c r="E2061" t="s">
        <v>18190</v>
      </c>
      <c r="F2061" t="s">
        <v>28198</v>
      </c>
      <c r="G2061" t="s">
        <v>28205</v>
      </c>
      <c r="H2061" t="s">
        <v>28215</v>
      </c>
      <c r="I2061" t="s">
        <v>4168</v>
      </c>
      <c r="J2061" t="s">
        <v>29752</v>
      </c>
      <c r="K2061" t="s">
        <v>36688</v>
      </c>
      <c r="M2061" t="s">
        <v>37928</v>
      </c>
      <c r="N2061" t="s">
        <v>40436</v>
      </c>
      <c r="O2061" t="s">
        <v>40437</v>
      </c>
      <c r="P2061">
        <v>0</v>
      </c>
      <c r="Q2061">
        <v>1</v>
      </c>
      <c r="R2061" t="s">
        <v>40438</v>
      </c>
      <c r="S2061" t="s">
        <v>40582</v>
      </c>
      <c r="T2061" t="s">
        <v>42098</v>
      </c>
      <c r="U2061" t="s">
        <v>44406</v>
      </c>
      <c r="V2061" t="s">
        <v>54012</v>
      </c>
      <c r="W2061" t="s">
        <v>37928</v>
      </c>
      <c r="X2061" t="s">
        <v>40439</v>
      </c>
    </row>
    <row r="2062" spans="1:24">
      <c r="A2062">
        <f>HYPERLINK("https://www.philgeps.gov.ph/GEPSNONPILOT/Tender/SplashBidNoticeAbstractUI.aspx?menuIndex=3&amp;refID=7049499&amp;Result=3","7049499")</f>
        <v>0</v>
      </c>
      <c r="B2062" t="s">
        <v>910</v>
      </c>
      <c r="C2062" t="s">
        <v>5074</v>
      </c>
      <c r="D2062" t="s">
        <v>16210</v>
      </c>
      <c r="E2062" t="s">
        <v>18191</v>
      </c>
      <c r="F2062" t="s">
        <v>28198</v>
      </c>
      <c r="G2062" t="s">
        <v>28207</v>
      </c>
      <c r="H2062" t="s">
        <v>28215</v>
      </c>
      <c r="I2062" t="s">
        <v>28248</v>
      </c>
      <c r="J2062" t="s">
        <v>29753</v>
      </c>
      <c r="K2062" t="s">
        <v>36688</v>
      </c>
      <c r="M2062" t="s">
        <v>37929</v>
      </c>
      <c r="N2062" t="s">
        <v>40436</v>
      </c>
      <c r="O2062" t="s">
        <v>40437</v>
      </c>
      <c r="P2062">
        <v>0</v>
      </c>
      <c r="Q2062">
        <v>5</v>
      </c>
      <c r="R2062" t="s">
        <v>40438</v>
      </c>
      <c r="S2062" t="s">
        <v>40582</v>
      </c>
      <c r="T2062" t="s">
        <v>42103</v>
      </c>
      <c r="U2062" t="s">
        <v>44407</v>
      </c>
      <c r="W2062" t="s">
        <v>37929</v>
      </c>
      <c r="X2062" t="s">
        <v>40439</v>
      </c>
    </row>
    <row r="2063" spans="1:24">
      <c r="A2063">
        <f>HYPERLINK("https://www.philgeps.gov.ph/GEPSNONPILOT/Tender/SplashBidNoticeAbstractUI.aspx?menuIndex=3&amp;refID=7049500&amp;Result=3","7049500")</f>
        <v>0</v>
      </c>
      <c r="B2063" t="s">
        <v>911</v>
      </c>
      <c r="C2063" t="s">
        <v>5075</v>
      </c>
      <c r="D2063" t="s">
        <v>16266</v>
      </c>
      <c r="E2063" t="s">
        <v>18192</v>
      </c>
      <c r="F2063" t="s">
        <v>28198</v>
      </c>
      <c r="G2063" t="s">
        <v>28207</v>
      </c>
      <c r="H2063" t="s">
        <v>28215</v>
      </c>
      <c r="I2063" t="s">
        <v>28237</v>
      </c>
      <c r="J2063" t="s">
        <v>28896</v>
      </c>
      <c r="K2063" t="s">
        <v>36706</v>
      </c>
      <c r="M2063" t="s">
        <v>37930</v>
      </c>
      <c r="N2063" t="s">
        <v>40436</v>
      </c>
      <c r="O2063" t="s">
        <v>40437</v>
      </c>
      <c r="P2063">
        <v>0</v>
      </c>
      <c r="Q2063">
        <v>2</v>
      </c>
      <c r="R2063" t="s">
        <v>40438</v>
      </c>
      <c r="S2063" t="s">
        <v>40582</v>
      </c>
      <c r="T2063" t="s">
        <v>42098</v>
      </c>
      <c r="U2063" t="s">
        <v>44408</v>
      </c>
      <c r="W2063" t="s">
        <v>37930</v>
      </c>
      <c r="X2063" t="s">
        <v>40439</v>
      </c>
    </row>
    <row r="2064" spans="1:24">
      <c r="A2064">
        <f>HYPERLINK("https://www.philgeps.gov.ph/GEPSNONPILOT/Tender/SplashBidNoticeAbstractUI.aspx?menuIndex=3&amp;refID=7049501&amp;Result=3","7049501")</f>
        <v>0</v>
      </c>
      <c r="B2064" t="s">
        <v>728</v>
      </c>
      <c r="C2064" t="s">
        <v>5076</v>
      </c>
      <c r="D2064" t="s">
        <v>16200</v>
      </c>
      <c r="E2064" t="s">
        <v>18193</v>
      </c>
      <c r="F2064" t="s">
        <v>28198</v>
      </c>
      <c r="G2064" t="s">
        <v>28205</v>
      </c>
      <c r="H2064" t="s">
        <v>28215</v>
      </c>
      <c r="I2064" t="s">
        <v>28280</v>
      </c>
      <c r="J2064" t="s">
        <v>29754</v>
      </c>
      <c r="K2064" t="s">
        <v>36697</v>
      </c>
      <c r="M2064" t="s">
        <v>37777</v>
      </c>
      <c r="N2064" t="s">
        <v>40436</v>
      </c>
      <c r="O2064" t="s">
        <v>40437</v>
      </c>
      <c r="P2064">
        <v>0</v>
      </c>
      <c r="Q2064">
        <v>3</v>
      </c>
      <c r="R2064" t="s">
        <v>40438</v>
      </c>
      <c r="S2064" t="s">
        <v>40582</v>
      </c>
      <c r="T2064" t="s">
        <v>42143</v>
      </c>
      <c r="U2064" t="s">
        <v>44409</v>
      </c>
      <c r="W2064" t="s">
        <v>37777</v>
      </c>
      <c r="X2064" t="s">
        <v>40439</v>
      </c>
    </row>
    <row r="2065" spans="1:24">
      <c r="A2065">
        <f>HYPERLINK("https://www.philgeps.gov.ph/GEPSNONPILOT/Tender/SplashBidNoticeAbstractUI.aspx?menuIndex=3&amp;refID=7049511&amp;Result=3","7049511")</f>
        <v>0</v>
      </c>
      <c r="B2065" t="s">
        <v>315</v>
      </c>
      <c r="C2065" t="s">
        <v>5077</v>
      </c>
      <c r="D2065" t="s">
        <v>16191</v>
      </c>
      <c r="E2065" t="s">
        <v>18194</v>
      </c>
      <c r="F2065" t="s">
        <v>28198</v>
      </c>
      <c r="G2065" t="s">
        <v>28206</v>
      </c>
      <c r="H2065" t="s">
        <v>28215</v>
      </c>
      <c r="I2065" t="s">
        <v>5100</v>
      </c>
      <c r="J2065" t="s">
        <v>29755</v>
      </c>
      <c r="K2065" t="s">
        <v>36688</v>
      </c>
      <c r="M2065" t="s">
        <v>37639</v>
      </c>
      <c r="N2065" t="s">
        <v>40436</v>
      </c>
      <c r="O2065" t="s">
        <v>40437</v>
      </c>
      <c r="P2065">
        <v>0</v>
      </c>
      <c r="Q2065">
        <v>0</v>
      </c>
      <c r="R2065" t="s">
        <v>40438</v>
      </c>
      <c r="S2065" t="s">
        <v>40582</v>
      </c>
      <c r="T2065" t="s">
        <v>42131</v>
      </c>
      <c r="U2065" t="s">
        <v>44410</v>
      </c>
      <c r="W2065" t="s">
        <v>37639</v>
      </c>
      <c r="X2065" t="s">
        <v>40439</v>
      </c>
    </row>
    <row r="2066" spans="1:24">
      <c r="A2066">
        <f>HYPERLINK("https://www.philgeps.gov.ph/GEPSNONPILOT/Tender/SplashBidNoticeAbstractUI.aspx?menuIndex=3&amp;refID=7049509&amp;Result=3","7049509")</f>
        <v>0</v>
      </c>
      <c r="B2066" t="s">
        <v>912</v>
      </c>
      <c r="C2066" t="s">
        <v>5078</v>
      </c>
      <c r="D2066" t="s">
        <v>16200</v>
      </c>
      <c r="E2066" t="s">
        <v>18195</v>
      </c>
      <c r="F2066" t="s">
        <v>28198</v>
      </c>
      <c r="G2066" t="s">
        <v>28206</v>
      </c>
      <c r="H2066" t="s">
        <v>28215</v>
      </c>
      <c r="I2066" t="s">
        <v>28302</v>
      </c>
      <c r="J2066" t="s">
        <v>28967</v>
      </c>
      <c r="K2066" t="s">
        <v>36691</v>
      </c>
      <c r="M2066" t="s">
        <v>37931</v>
      </c>
      <c r="N2066" t="s">
        <v>40436</v>
      </c>
      <c r="O2066" t="s">
        <v>40437</v>
      </c>
      <c r="P2066">
        <v>0</v>
      </c>
      <c r="Q2066">
        <v>0</v>
      </c>
      <c r="R2066" t="s">
        <v>40438</v>
      </c>
      <c r="S2066" t="s">
        <v>40582</v>
      </c>
      <c r="T2066" t="s">
        <v>42158</v>
      </c>
      <c r="U2066" t="s">
        <v>44411</v>
      </c>
      <c r="W2066" t="s">
        <v>37931</v>
      </c>
      <c r="X2066" t="s">
        <v>40439</v>
      </c>
    </row>
    <row r="2067" spans="1:24">
      <c r="A2067">
        <f>HYPERLINK("https://www.philgeps.gov.ph/GEPSNONPILOT/Tender/SplashBidNoticeAbstractUI.aspx?menuIndex=3&amp;refID=7049503&amp;Result=3","7049503")</f>
        <v>0</v>
      </c>
      <c r="B2067" t="s">
        <v>900</v>
      </c>
      <c r="C2067" t="s">
        <v>5079</v>
      </c>
      <c r="D2067" t="s">
        <v>16223</v>
      </c>
      <c r="E2067" t="s">
        <v>18196</v>
      </c>
      <c r="F2067" t="s">
        <v>28198</v>
      </c>
      <c r="G2067" t="s">
        <v>28205</v>
      </c>
      <c r="H2067" t="s">
        <v>28215</v>
      </c>
      <c r="I2067" t="s">
        <v>28247</v>
      </c>
      <c r="J2067" t="s">
        <v>29756</v>
      </c>
      <c r="K2067" t="s">
        <v>36694</v>
      </c>
      <c r="M2067" t="s">
        <v>37918</v>
      </c>
      <c r="N2067" t="s">
        <v>40436</v>
      </c>
      <c r="O2067" t="s">
        <v>40437</v>
      </c>
      <c r="P2067">
        <v>0</v>
      </c>
      <c r="Q2067">
        <v>5</v>
      </c>
      <c r="R2067" t="s">
        <v>40438</v>
      </c>
      <c r="S2067" t="s">
        <v>40582</v>
      </c>
      <c r="T2067" t="s">
        <v>42304</v>
      </c>
      <c r="U2067" t="s">
        <v>44412</v>
      </c>
      <c r="V2067" t="s">
        <v>54013</v>
      </c>
      <c r="W2067" t="s">
        <v>37918</v>
      </c>
      <c r="X2067" t="s">
        <v>40439</v>
      </c>
    </row>
    <row r="2068" spans="1:24">
      <c r="A2068">
        <f>HYPERLINK("https://www.philgeps.gov.ph/GEPSNONPILOT/Tender/SplashBidNoticeAbstractUI.aspx?menuIndex=3&amp;refID=7049506&amp;Result=3","7049506")</f>
        <v>0</v>
      </c>
      <c r="B2068" t="s">
        <v>887</v>
      </c>
      <c r="C2068" t="s">
        <v>5080</v>
      </c>
      <c r="D2068" t="s">
        <v>16230</v>
      </c>
      <c r="E2068" t="s">
        <v>18197</v>
      </c>
      <c r="F2068" t="s">
        <v>28198</v>
      </c>
      <c r="G2068" t="s">
        <v>28207</v>
      </c>
      <c r="H2068" t="s">
        <v>28215</v>
      </c>
      <c r="I2068" t="s">
        <v>28232</v>
      </c>
      <c r="J2068" t="s">
        <v>29757</v>
      </c>
      <c r="K2068" t="s">
        <v>36706</v>
      </c>
      <c r="M2068" t="s">
        <v>37903</v>
      </c>
      <c r="N2068" t="s">
        <v>40436</v>
      </c>
      <c r="O2068" t="s">
        <v>40437</v>
      </c>
      <c r="P2068">
        <v>0</v>
      </c>
      <c r="Q2068">
        <v>1</v>
      </c>
      <c r="R2068" t="s">
        <v>40438</v>
      </c>
      <c r="S2068" t="s">
        <v>40582</v>
      </c>
      <c r="T2068" t="s">
        <v>42111</v>
      </c>
      <c r="U2068" t="s">
        <v>44413</v>
      </c>
      <c r="W2068" t="s">
        <v>37903</v>
      </c>
      <c r="X2068" t="s">
        <v>40439</v>
      </c>
    </row>
    <row r="2069" spans="1:24">
      <c r="A2069">
        <f>HYPERLINK("https://www.philgeps.gov.ph/GEPSNONPILOT/Tender/SplashBidNoticeAbstractUI.aspx?menuIndex=3&amp;refID=7049521&amp;Result=3","7049521")</f>
        <v>0</v>
      </c>
      <c r="B2069" t="s">
        <v>905</v>
      </c>
      <c r="C2069" t="s">
        <v>5081</v>
      </c>
      <c r="D2069" t="s">
        <v>16199</v>
      </c>
      <c r="E2069" t="s">
        <v>18198</v>
      </c>
      <c r="F2069" t="s">
        <v>28198</v>
      </c>
      <c r="G2069" t="s">
        <v>28207</v>
      </c>
      <c r="H2069" t="s">
        <v>28215</v>
      </c>
      <c r="I2069" t="s">
        <v>28238</v>
      </c>
      <c r="J2069" t="s">
        <v>29758</v>
      </c>
      <c r="K2069" t="s">
        <v>36701</v>
      </c>
      <c r="M2069" t="s">
        <v>37923</v>
      </c>
      <c r="N2069" t="s">
        <v>40436</v>
      </c>
      <c r="O2069" t="s">
        <v>40437</v>
      </c>
      <c r="P2069">
        <v>0</v>
      </c>
      <c r="Q2069">
        <v>2</v>
      </c>
      <c r="R2069" t="s">
        <v>40438</v>
      </c>
      <c r="S2069" t="s">
        <v>40582</v>
      </c>
      <c r="T2069" t="s">
        <v>42119</v>
      </c>
      <c r="U2069" t="s">
        <v>44414</v>
      </c>
      <c r="W2069" t="s">
        <v>37923</v>
      </c>
      <c r="X2069" t="s">
        <v>40439</v>
      </c>
    </row>
    <row r="2070" spans="1:24">
      <c r="A2070">
        <f>HYPERLINK("https://www.philgeps.gov.ph/GEPSNONPILOT/Tender/SplashBidNoticeAbstractUI.aspx?menuIndex=3&amp;refID=7049519&amp;Result=3","7049519")</f>
        <v>0</v>
      </c>
      <c r="B2070" t="s">
        <v>315</v>
      </c>
      <c r="C2070" t="s">
        <v>5082</v>
      </c>
      <c r="D2070" t="s">
        <v>16191</v>
      </c>
      <c r="E2070" t="s">
        <v>18199</v>
      </c>
      <c r="F2070" t="s">
        <v>28198</v>
      </c>
      <c r="G2070" t="s">
        <v>28206</v>
      </c>
      <c r="H2070" t="s">
        <v>28215</v>
      </c>
      <c r="I2070" t="s">
        <v>5082</v>
      </c>
      <c r="J2070" t="s">
        <v>29172</v>
      </c>
      <c r="K2070" t="s">
        <v>36689</v>
      </c>
      <c r="M2070" t="s">
        <v>37736</v>
      </c>
      <c r="N2070" t="s">
        <v>40436</v>
      </c>
      <c r="O2070" t="s">
        <v>40437</v>
      </c>
      <c r="P2070">
        <v>0</v>
      </c>
      <c r="Q2070">
        <v>0</v>
      </c>
      <c r="R2070" t="s">
        <v>40438</v>
      </c>
      <c r="S2070" t="s">
        <v>40582</v>
      </c>
      <c r="T2070" t="s">
        <v>42264</v>
      </c>
      <c r="U2070" t="s">
        <v>44415</v>
      </c>
      <c r="W2070" t="s">
        <v>37736</v>
      </c>
      <c r="X2070" t="s">
        <v>40439</v>
      </c>
    </row>
    <row r="2071" spans="1:24">
      <c r="A2071">
        <f>HYPERLINK("https://www.philgeps.gov.ph/GEPSNONPILOT/Tender/SplashBidNoticeAbstractUI.aspx?menuIndex=3&amp;refID=7049507&amp;Result=3","7049507")</f>
        <v>0</v>
      </c>
      <c r="B2071" t="s">
        <v>216</v>
      </c>
      <c r="C2071" t="s">
        <v>5083</v>
      </c>
      <c r="D2071" t="s">
        <v>16210</v>
      </c>
      <c r="E2071" t="s">
        <v>18200</v>
      </c>
      <c r="F2071" t="s">
        <v>28198</v>
      </c>
      <c r="G2071" t="s">
        <v>28207</v>
      </c>
      <c r="H2071" t="s">
        <v>28215</v>
      </c>
      <c r="I2071" t="s">
        <v>28316</v>
      </c>
      <c r="J2071" t="s">
        <v>29645</v>
      </c>
      <c r="K2071" t="s">
        <v>36707</v>
      </c>
      <c r="M2071" t="s">
        <v>37192</v>
      </c>
      <c r="N2071" t="s">
        <v>40436</v>
      </c>
      <c r="O2071" t="s">
        <v>40437</v>
      </c>
      <c r="P2071">
        <v>0</v>
      </c>
      <c r="Q2071">
        <v>4</v>
      </c>
      <c r="R2071" t="s">
        <v>40438</v>
      </c>
      <c r="S2071" t="s">
        <v>40582</v>
      </c>
      <c r="T2071" t="s">
        <v>42119</v>
      </c>
      <c r="U2071" t="s">
        <v>44416</v>
      </c>
      <c r="V2071" t="s">
        <v>53819</v>
      </c>
      <c r="W2071" t="s">
        <v>37192</v>
      </c>
      <c r="X2071" t="s">
        <v>40439</v>
      </c>
    </row>
    <row r="2072" spans="1:24">
      <c r="A2072">
        <f>HYPERLINK("https://www.philgeps.gov.ph/GEPSNONPILOT/Tender/SplashBidNoticeAbstractUI.aspx?menuIndex=3&amp;refID=7049522&amp;Result=3","7049522")</f>
        <v>0</v>
      </c>
      <c r="B2072" t="s">
        <v>913</v>
      </c>
      <c r="C2072" t="s">
        <v>5084</v>
      </c>
      <c r="D2072" t="s">
        <v>16224</v>
      </c>
      <c r="E2072" t="s">
        <v>18201</v>
      </c>
      <c r="F2072" t="s">
        <v>28198</v>
      </c>
      <c r="G2072" t="s">
        <v>28207</v>
      </c>
      <c r="H2072" t="s">
        <v>28215</v>
      </c>
      <c r="I2072" t="s">
        <v>28317</v>
      </c>
      <c r="J2072" t="s">
        <v>28689</v>
      </c>
      <c r="K2072" t="s">
        <v>36689</v>
      </c>
      <c r="M2072" t="s">
        <v>37932</v>
      </c>
      <c r="N2072" t="s">
        <v>40436</v>
      </c>
      <c r="O2072" t="s">
        <v>40437</v>
      </c>
      <c r="P2072">
        <v>0</v>
      </c>
      <c r="Q2072">
        <v>0</v>
      </c>
      <c r="R2072" t="s">
        <v>40438</v>
      </c>
      <c r="S2072" t="s">
        <v>40582</v>
      </c>
      <c r="T2072" t="s">
        <v>42159</v>
      </c>
      <c r="U2072" t="s">
        <v>44417</v>
      </c>
      <c r="W2072" t="s">
        <v>37932</v>
      </c>
      <c r="X2072" t="s">
        <v>40439</v>
      </c>
    </row>
    <row r="2073" spans="1:24">
      <c r="A2073">
        <f>HYPERLINK("https://www.philgeps.gov.ph/GEPSNONPILOT/Tender/SplashBidNoticeAbstractUI.aspx?menuIndex=3&amp;refID=7049508&amp;Result=3","7049508")</f>
        <v>0</v>
      </c>
      <c r="B2073" t="s">
        <v>902</v>
      </c>
      <c r="C2073" t="s">
        <v>5085</v>
      </c>
      <c r="D2073" t="s">
        <v>16232</v>
      </c>
      <c r="E2073" t="s">
        <v>18202</v>
      </c>
      <c r="F2073" t="s">
        <v>28198</v>
      </c>
      <c r="G2073" t="s">
        <v>28207</v>
      </c>
      <c r="H2073" t="s">
        <v>28215</v>
      </c>
      <c r="I2073" t="s">
        <v>28295</v>
      </c>
      <c r="J2073" t="s">
        <v>28813</v>
      </c>
      <c r="K2073" t="s">
        <v>36688</v>
      </c>
      <c r="M2073" t="s">
        <v>37920</v>
      </c>
      <c r="N2073" t="s">
        <v>40436</v>
      </c>
      <c r="O2073" t="s">
        <v>40437</v>
      </c>
      <c r="P2073">
        <v>0</v>
      </c>
      <c r="Q2073">
        <v>1</v>
      </c>
      <c r="R2073" t="s">
        <v>40438</v>
      </c>
      <c r="S2073" t="s">
        <v>40582</v>
      </c>
      <c r="T2073" t="s">
        <v>42133</v>
      </c>
      <c r="U2073" t="s">
        <v>44418</v>
      </c>
      <c r="W2073" t="s">
        <v>37920</v>
      </c>
      <c r="X2073" t="s">
        <v>40439</v>
      </c>
    </row>
    <row r="2074" spans="1:24">
      <c r="A2074">
        <f>HYPERLINK("https://www.philgeps.gov.ph/GEPSNONPILOT/Tender/SplashBidNoticeAbstractUI.aspx?menuIndex=3&amp;refID=7049517&amp;Result=3","7049517")</f>
        <v>0</v>
      </c>
      <c r="B2074" t="s">
        <v>914</v>
      </c>
      <c r="C2074" t="s">
        <v>5086</v>
      </c>
      <c r="D2074" t="s">
        <v>16210</v>
      </c>
      <c r="E2074" t="s">
        <v>18203</v>
      </c>
      <c r="F2074" t="s">
        <v>28198</v>
      </c>
      <c r="G2074" t="s">
        <v>28205</v>
      </c>
      <c r="H2074" t="s">
        <v>28215</v>
      </c>
      <c r="I2074" t="s">
        <v>28238</v>
      </c>
      <c r="J2074" t="s">
        <v>29759</v>
      </c>
      <c r="K2074" t="s">
        <v>36701</v>
      </c>
      <c r="M2074" t="s">
        <v>37933</v>
      </c>
      <c r="N2074" t="s">
        <v>40436</v>
      </c>
      <c r="O2074" t="s">
        <v>40437</v>
      </c>
      <c r="P2074">
        <v>0</v>
      </c>
      <c r="Q2074">
        <v>11</v>
      </c>
      <c r="R2074" t="s">
        <v>40438</v>
      </c>
      <c r="S2074" t="s">
        <v>40582</v>
      </c>
      <c r="T2074" t="s">
        <v>42197</v>
      </c>
      <c r="U2074" t="s">
        <v>44419</v>
      </c>
      <c r="V2074" t="s">
        <v>54014</v>
      </c>
      <c r="W2074" t="s">
        <v>37933</v>
      </c>
      <c r="X2074" t="s">
        <v>40439</v>
      </c>
    </row>
    <row r="2075" spans="1:24">
      <c r="A2075">
        <f>HYPERLINK("https://www.philgeps.gov.ph/GEPSNONPILOT/Tender/SplashBidNoticeAbstractUI.aspx?menuIndex=3&amp;refID=7049516&amp;Result=3","7049516")</f>
        <v>0</v>
      </c>
      <c r="B2075" t="s">
        <v>907</v>
      </c>
      <c r="C2075" t="s">
        <v>5087</v>
      </c>
      <c r="D2075" t="s">
        <v>16227</v>
      </c>
      <c r="E2075" t="s">
        <v>18204</v>
      </c>
      <c r="F2075" t="s">
        <v>28198</v>
      </c>
      <c r="G2075" t="s">
        <v>28207</v>
      </c>
      <c r="H2075" t="s">
        <v>28215</v>
      </c>
      <c r="I2075" t="s">
        <v>28308</v>
      </c>
      <c r="J2075" t="s">
        <v>29760</v>
      </c>
      <c r="K2075" t="s">
        <v>36689</v>
      </c>
      <c r="M2075" t="s">
        <v>37925</v>
      </c>
      <c r="N2075" t="s">
        <v>40436</v>
      </c>
      <c r="O2075" t="s">
        <v>40437</v>
      </c>
      <c r="P2075">
        <v>0</v>
      </c>
      <c r="Q2075">
        <v>0</v>
      </c>
      <c r="R2075" t="s">
        <v>40438</v>
      </c>
      <c r="S2075" t="s">
        <v>40582</v>
      </c>
      <c r="T2075" t="s">
        <v>42103</v>
      </c>
      <c r="U2075" t="s">
        <v>44420</v>
      </c>
      <c r="W2075" t="s">
        <v>37925</v>
      </c>
      <c r="X2075" t="s">
        <v>40439</v>
      </c>
    </row>
    <row r="2076" spans="1:24">
      <c r="A2076">
        <f>HYPERLINK("https://www.philgeps.gov.ph/GEPSNONPILOT/Tender/SplashBidNoticeAbstractUI.aspx?menuIndex=3&amp;refID=7049518&amp;Result=3","7049518")</f>
        <v>0</v>
      </c>
      <c r="B2076" t="s">
        <v>915</v>
      </c>
      <c r="C2076" t="s">
        <v>5088</v>
      </c>
      <c r="D2076" t="s">
        <v>16209</v>
      </c>
      <c r="E2076" t="s">
        <v>18205</v>
      </c>
      <c r="F2076" t="s">
        <v>28198</v>
      </c>
      <c r="G2076" t="s">
        <v>28206</v>
      </c>
      <c r="H2076" t="s">
        <v>28215</v>
      </c>
      <c r="I2076" t="s">
        <v>5082</v>
      </c>
      <c r="J2076" t="s">
        <v>28900</v>
      </c>
      <c r="K2076" t="s">
        <v>36715</v>
      </c>
      <c r="M2076" t="s">
        <v>37934</v>
      </c>
      <c r="N2076" t="s">
        <v>40436</v>
      </c>
      <c r="O2076" t="s">
        <v>40437</v>
      </c>
      <c r="P2076">
        <v>0</v>
      </c>
      <c r="Q2076">
        <v>0</v>
      </c>
      <c r="R2076" t="s">
        <v>40438</v>
      </c>
      <c r="S2076" t="s">
        <v>40582</v>
      </c>
      <c r="T2076" t="s">
        <v>42112</v>
      </c>
      <c r="U2076" t="s">
        <v>44421</v>
      </c>
      <c r="W2076" t="s">
        <v>37934</v>
      </c>
      <c r="X2076" t="s">
        <v>40439</v>
      </c>
    </row>
    <row r="2077" spans="1:24">
      <c r="A2077">
        <f>HYPERLINK("https://www.philgeps.gov.ph/GEPSNONPILOT/Tender/SplashBidNoticeAbstractUI.aspx?menuIndex=3&amp;refID=7049512&amp;Result=3","7049512")</f>
        <v>0</v>
      </c>
      <c r="B2077" t="s">
        <v>585</v>
      </c>
      <c r="C2077" t="s">
        <v>5089</v>
      </c>
      <c r="D2077" t="s">
        <v>16190</v>
      </c>
      <c r="E2077" t="s">
        <v>16588</v>
      </c>
      <c r="F2077" t="s">
        <v>28198</v>
      </c>
      <c r="G2077" t="s">
        <v>28207</v>
      </c>
      <c r="H2077" t="s">
        <v>28215</v>
      </c>
      <c r="I2077" t="s">
        <v>28292</v>
      </c>
      <c r="J2077" t="s">
        <v>29761</v>
      </c>
      <c r="K2077" t="s">
        <v>36698</v>
      </c>
      <c r="M2077" t="s">
        <v>37670</v>
      </c>
      <c r="N2077" t="s">
        <v>40436</v>
      </c>
      <c r="O2077" t="s">
        <v>40437</v>
      </c>
      <c r="P2077">
        <v>0</v>
      </c>
      <c r="Q2077">
        <v>0</v>
      </c>
      <c r="R2077" t="s">
        <v>40438</v>
      </c>
      <c r="S2077" t="s">
        <v>40582</v>
      </c>
      <c r="T2077" t="s">
        <v>42270</v>
      </c>
      <c r="U2077" t="s">
        <v>44422</v>
      </c>
      <c r="W2077" t="s">
        <v>37670</v>
      </c>
      <c r="X2077" t="s">
        <v>40439</v>
      </c>
    </row>
    <row r="2078" spans="1:24">
      <c r="A2078">
        <f>HYPERLINK("https://www.philgeps.gov.ph/GEPSNONPILOT/Tender/SplashBidNoticeAbstractUI.aspx?menuIndex=3&amp;refID=7049505&amp;Result=3","7049505")</f>
        <v>0</v>
      </c>
      <c r="B2078" t="s">
        <v>872</v>
      </c>
      <c r="C2078" t="s">
        <v>5090</v>
      </c>
      <c r="D2078" t="s">
        <v>16204</v>
      </c>
      <c r="E2078" t="s">
        <v>18206</v>
      </c>
      <c r="F2078" t="s">
        <v>28198</v>
      </c>
      <c r="G2078" t="s">
        <v>28207</v>
      </c>
      <c r="H2078" t="s">
        <v>28215</v>
      </c>
      <c r="I2078" t="s">
        <v>4321</v>
      </c>
      <c r="J2078" t="s">
        <v>29762</v>
      </c>
      <c r="K2078" t="s">
        <v>36706</v>
      </c>
      <c r="M2078" t="s">
        <v>37886</v>
      </c>
      <c r="N2078" t="s">
        <v>40436</v>
      </c>
      <c r="O2078" t="s">
        <v>40437</v>
      </c>
      <c r="P2078">
        <v>0</v>
      </c>
      <c r="Q2078">
        <v>1</v>
      </c>
      <c r="R2078" t="s">
        <v>40438</v>
      </c>
      <c r="S2078" t="s">
        <v>40582</v>
      </c>
      <c r="T2078" t="s">
        <v>42142</v>
      </c>
      <c r="U2078" t="s">
        <v>44423</v>
      </c>
      <c r="W2078" t="s">
        <v>37886</v>
      </c>
      <c r="X2078" t="s">
        <v>40439</v>
      </c>
    </row>
    <row r="2079" spans="1:24">
      <c r="A2079">
        <f>HYPERLINK("https://www.philgeps.gov.ph/GEPSNONPILOT/Tender/SplashBidNoticeAbstractUI.aspx?menuIndex=3&amp;refID=7049502&amp;Result=3","7049502")</f>
        <v>0</v>
      </c>
      <c r="B2079" t="s">
        <v>902</v>
      </c>
      <c r="C2079" t="s">
        <v>5091</v>
      </c>
      <c r="D2079" t="s">
        <v>16232</v>
      </c>
      <c r="E2079" t="s">
        <v>18207</v>
      </c>
      <c r="F2079" t="s">
        <v>28198</v>
      </c>
      <c r="G2079" t="s">
        <v>28207</v>
      </c>
      <c r="H2079" t="s">
        <v>28215</v>
      </c>
      <c r="I2079" t="s">
        <v>4168</v>
      </c>
      <c r="J2079" t="s">
        <v>28345</v>
      </c>
      <c r="K2079" t="s">
        <v>36688</v>
      </c>
      <c r="M2079" t="s">
        <v>37920</v>
      </c>
      <c r="N2079" t="s">
        <v>40436</v>
      </c>
      <c r="O2079" t="s">
        <v>40437</v>
      </c>
      <c r="P2079">
        <v>0</v>
      </c>
      <c r="Q2079">
        <v>0</v>
      </c>
      <c r="R2079" t="s">
        <v>40438</v>
      </c>
      <c r="S2079" t="s">
        <v>40582</v>
      </c>
      <c r="T2079" t="s">
        <v>42133</v>
      </c>
      <c r="U2079" t="s">
        <v>44424</v>
      </c>
      <c r="W2079" t="s">
        <v>37920</v>
      </c>
      <c r="X2079" t="s">
        <v>40439</v>
      </c>
    </row>
    <row r="2080" spans="1:24">
      <c r="A2080">
        <f>HYPERLINK("https://www.philgeps.gov.ph/GEPSNONPILOT/Tender/SplashBidNoticeAbstractUI.aspx?menuIndex=3&amp;refID=7049515&amp;Result=3","7049515")</f>
        <v>0</v>
      </c>
      <c r="B2080" t="s">
        <v>916</v>
      </c>
      <c r="C2080" t="s">
        <v>5092</v>
      </c>
      <c r="E2080" t="s">
        <v>18208</v>
      </c>
      <c r="F2080" t="s">
        <v>28198</v>
      </c>
      <c r="G2080" t="s">
        <v>28205</v>
      </c>
      <c r="H2080" t="s">
        <v>28215</v>
      </c>
      <c r="I2080" t="s">
        <v>28238</v>
      </c>
      <c r="J2080" t="s">
        <v>29763</v>
      </c>
      <c r="K2080" t="s">
        <v>36694</v>
      </c>
      <c r="M2080" t="s">
        <v>37935</v>
      </c>
      <c r="N2080" t="s">
        <v>40436</v>
      </c>
      <c r="O2080" t="s">
        <v>40437</v>
      </c>
      <c r="P2080">
        <v>0</v>
      </c>
      <c r="Q2080">
        <v>4</v>
      </c>
      <c r="R2080" t="s">
        <v>40438</v>
      </c>
      <c r="S2080" t="s">
        <v>40582</v>
      </c>
      <c r="T2080" t="s">
        <v>42107</v>
      </c>
      <c r="U2080" t="s">
        <v>44425</v>
      </c>
      <c r="W2080" t="s">
        <v>37935</v>
      </c>
      <c r="X2080" t="s">
        <v>40439</v>
      </c>
    </row>
    <row r="2081" spans="1:24">
      <c r="A2081">
        <f>HYPERLINK("https://www.philgeps.gov.ph/GEPSNONPILOT/Tender/SplashBidNoticeAbstractUI.aspx?menuIndex=3&amp;refID=7049514&amp;Result=3","7049514")</f>
        <v>0</v>
      </c>
      <c r="B2081" t="s">
        <v>728</v>
      </c>
      <c r="C2081" t="s">
        <v>5093</v>
      </c>
      <c r="D2081" t="s">
        <v>16200</v>
      </c>
      <c r="E2081" t="s">
        <v>18209</v>
      </c>
      <c r="F2081" t="s">
        <v>28198</v>
      </c>
      <c r="G2081" t="s">
        <v>28205</v>
      </c>
      <c r="H2081" t="s">
        <v>28215</v>
      </c>
      <c r="I2081" t="s">
        <v>28280</v>
      </c>
      <c r="J2081" t="s">
        <v>29764</v>
      </c>
      <c r="K2081" t="s">
        <v>36697</v>
      </c>
      <c r="M2081" t="s">
        <v>37777</v>
      </c>
      <c r="N2081" t="s">
        <v>40436</v>
      </c>
      <c r="O2081" t="s">
        <v>40437</v>
      </c>
      <c r="P2081">
        <v>0</v>
      </c>
      <c r="Q2081">
        <v>4</v>
      </c>
      <c r="R2081" t="s">
        <v>40438</v>
      </c>
      <c r="S2081" t="s">
        <v>40582</v>
      </c>
      <c r="T2081" t="s">
        <v>42143</v>
      </c>
      <c r="U2081" t="s">
        <v>44426</v>
      </c>
      <c r="W2081" t="s">
        <v>37777</v>
      </c>
      <c r="X2081" t="s">
        <v>40439</v>
      </c>
    </row>
    <row r="2082" spans="1:24">
      <c r="A2082">
        <f>HYPERLINK("https://www.philgeps.gov.ph/GEPSNONPILOT/Tender/SplashBidNoticeAbstractUI.aspx?menuIndex=3&amp;refID=7049523&amp;Result=3","7049523")</f>
        <v>0</v>
      </c>
      <c r="B2082" t="s">
        <v>917</v>
      </c>
      <c r="C2082" t="s">
        <v>5094</v>
      </c>
      <c r="D2082" t="s">
        <v>16203</v>
      </c>
      <c r="E2082" t="s">
        <v>18210</v>
      </c>
      <c r="F2082" t="s">
        <v>28198</v>
      </c>
      <c r="G2082" t="s">
        <v>28205</v>
      </c>
      <c r="H2082" t="s">
        <v>28214</v>
      </c>
      <c r="I2082" t="s">
        <v>3797</v>
      </c>
      <c r="J2082" t="s">
        <v>28390</v>
      </c>
      <c r="K2082" t="s">
        <v>36697</v>
      </c>
      <c r="M2082" t="s">
        <v>37936</v>
      </c>
      <c r="N2082" t="s">
        <v>40436</v>
      </c>
      <c r="O2082" t="s">
        <v>40437</v>
      </c>
      <c r="P2082">
        <v>0</v>
      </c>
      <c r="Q2082">
        <v>2</v>
      </c>
      <c r="R2082" t="s">
        <v>40438</v>
      </c>
      <c r="S2082" t="s">
        <v>40582</v>
      </c>
      <c r="T2082" t="s">
        <v>42125</v>
      </c>
      <c r="U2082" t="s">
        <v>44427</v>
      </c>
      <c r="W2082" t="s">
        <v>37936</v>
      </c>
      <c r="X2082" t="s">
        <v>40439</v>
      </c>
    </row>
    <row r="2083" spans="1:24">
      <c r="A2083">
        <f>HYPERLINK("https://www.philgeps.gov.ph/GEPSNONPILOT/Tender/SplashBidNoticeAbstractUI.aspx?menuIndex=3&amp;refID=7049528&amp;Result=3","7049528")</f>
        <v>0</v>
      </c>
      <c r="B2083" t="s">
        <v>918</v>
      </c>
      <c r="C2083" t="s">
        <v>5095</v>
      </c>
      <c r="D2083" t="s">
        <v>16239</v>
      </c>
      <c r="E2083" t="s">
        <v>18211</v>
      </c>
      <c r="F2083" t="s">
        <v>28198</v>
      </c>
      <c r="G2083" t="s">
        <v>28207</v>
      </c>
      <c r="H2083" t="s">
        <v>28215</v>
      </c>
      <c r="I2083" t="s">
        <v>4200</v>
      </c>
      <c r="J2083" t="s">
        <v>29765</v>
      </c>
      <c r="K2083" t="s">
        <v>36689</v>
      </c>
      <c r="M2083" t="s">
        <v>37937</v>
      </c>
      <c r="N2083" t="s">
        <v>40436</v>
      </c>
      <c r="O2083" t="s">
        <v>40437</v>
      </c>
      <c r="P2083">
        <v>0</v>
      </c>
      <c r="Q2083">
        <v>5</v>
      </c>
      <c r="R2083" t="s">
        <v>40438</v>
      </c>
      <c r="S2083" t="s">
        <v>40582</v>
      </c>
      <c r="T2083" t="s">
        <v>42112</v>
      </c>
      <c r="U2083" t="s">
        <v>44428</v>
      </c>
      <c r="W2083" t="s">
        <v>37937</v>
      </c>
      <c r="X2083" t="s">
        <v>40439</v>
      </c>
    </row>
    <row r="2084" spans="1:24">
      <c r="A2084">
        <f>HYPERLINK("https://www.philgeps.gov.ph/GEPSNONPILOT/Tender/SplashBidNoticeAbstractUI.aspx?menuIndex=3&amp;refID=7049533&amp;Result=3","7049533")</f>
        <v>0</v>
      </c>
      <c r="B2084" t="s">
        <v>255</v>
      </c>
      <c r="C2084" t="s">
        <v>5096</v>
      </c>
      <c r="D2084" t="s">
        <v>16197</v>
      </c>
      <c r="E2084" t="s">
        <v>16542</v>
      </c>
      <c r="F2084" t="s">
        <v>28198</v>
      </c>
      <c r="G2084" t="s">
        <v>28207</v>
      </c>
      <c r="H2084" t="s">
        <v>28215</v>
      </c>
      <c r="I2084" t="s">
        <v>4222</v>
      </c>
      <c r="J2084" t="s">
        <v>28878</v>
      </c>
      <c r="K2084" t="s">
        <v>36707</v>
      </c>
      <c r="M2084" t="s">
        <v>37231</v>
      </c>
      <c r="N2084" t="s">
        <v>40436</v>
      </c>
      <c r="O2084" t="s">
        <v>40437</v>
      </c>
      <c r="P2084">
        <v>0</v>
      </c>
      <c r="Q2084">
        <v>0</v>
      </c>
      <c r="R2084" t="s">
        <v>40438</v>
      </c>
      <c r="S2084" t="s">
        <v>40582</v>
      </c>
      <c r="T2084" t="s">
        <v>42097</v>
      </c>
      <c r="U2084" t="s">
        <v>44429</v>
      </c>
      <c r="V2084" t="s">
        <v>54015</v>
      </c>
      <c r="W2084" t="s">
        <v>37231</v>
      </c>
      <c r="X2084" t="s">
        <v>40439</v>
      </c>
    </row>
    <row r="2085" spans="1:24">
      <c r="A2085">
        <f>HYPERLINK("https://www.philgeps.gov.ph/GEPSNONPILOT/Tender/SplashBidNoticeAbstractUI.aspx?menuIndex=3&amp;refID=7049524&amp;Result=3","7049524")</f>
        <v>0</v>
      </c>
      <c r="B2085" t="s">
        <v>919</v>
      </c>
      <c r="C2085" t="s">
        <v>5097</v>
      </c>
      <c r="D2085" t="s">
        <v>16200</v>
      </c>
      <c r="E2085" t="s">
        <v>18212</v>
      </c>
      <c r="F2085" t="s">
        <v>28198</v>
      </c>
      <c r="G2085" t="s">
        <v>28207</v>
      </c>
      <c r="H2085" t="s">
        <v>28215</v>
      </c>
      <c r="I2085" t="s">
        <v>28292</v>
      </c>
      <c r="J2085" t="s">
        <v>29766</v>
      </c>
      <c r="K2085" t="s">
        <v>36691</v>
      </c>
      <c r="M2085" t="s">
        <v>37938</v>
      </c>
      <c r="N2085" t="s">
        <v>40436</v>
      </c>
      <c r="O2085" t="s">
        <v>40437</v>
      </c>
      <c r="P2085">
        <v>0</v>
      </c>
      <c r="Q2085">
        <v>1</v>
      </c>
      <c r="R2085" t="s">
        <v>40438</v>
      </c>
      <c r="S2085" t="s">
        <v>40582</v>
      </c>
      <c r="T2085" t="s">
        <v>42305</v>
      </c>
      <c r="U2085" t="s">
        <v>44430</v>
      </c>
      <c r="W2085" t="s">
        <v>37938</v>
      </c>
      <c r="X2085" t="s">
        <v>40439</v>
      </c>
    </row>
    <row r="2086" spans="1:24">
      <c r="A2086">
        <f>HYPERLINK("https://www.philgeps.gov.ph/GEPSNONPILOT/Tender/SplashBidNoticeAbstractUI.aspx?menuIndex=3&amp;refID=7049540&amp;Result=3","7049540")</f>
        <v>0</v>
      </c>
      <c r="B2086" t="s">
        <v>920</v>
      </c>
      <c r="C2086" t="s">
        <v>5098</v>
      </c>
      <c r="D2086" t="s">
        <v>16210</v>
      </c>
      <c r="E2086" t="s">
        <v>18213</v>
      </c>
      <c r="F2086" t="s">
        <v>28198</v>
      </c>
      <c r="G2086" t="s">
        <v>28207</v>
      </c>
      <c r="H2086" t="s">
        <v>28215</v>
      </c>
      <c r="I2086" t="s">
        <v>5082</v>
      </c>
      <c r="J2086" t="s">
        <v>28364</v>
      </c>
      <c r="K2086" t="s">
        <v>36706</v>
      </c>
      <c r="M2086" t="s">
        <v>37939</v>
      </c>
      <c r="N2086" t="s">
        <v>40436</v>
      </c>
      <c r="O2086" t="s">
        <v>40437</v>
      </c>
      <c r="P2086">
        <v>0</v>
      </c>
      <c r="Q2086">
        <v>7</v>
      </c>
      <c r="R2086" t="s">
        <v>40438</v>
      </c>
      <c r="S2086" t="s">
        <v>40582</v>
      </c>
      <c r="T2086" t="s">
        <v>42175</v>
      </c>
      <c r="U2086" t="s">
        <v>44431</v>
      </c>
      <c r="W2086" t="s">
        <v>37939</v>
      </c>
      <c r="X2086" t="s">
        <v>40439</v>
      </c>
    </row>
    <row r="2087" spans="1:24">
      <c r="A2087">
        <f>HYPERLINK("https://www.philgeps.gov.ph/GEPSNONPILOT/Tender/SplashBidNoticeAbstractUI.aspx?menuIndex=3&amp;refID=7049529&amp;Result=3","7049529")</f>
        <v>0</v>
      </c>
      <c r="B2087" t="s">
        <v>907</v>
      </c>
      <c r="C2087" t="s">
        <v>5099</v>
      </c>
      <c r="D2087" t="s">
        <v>16227</v>
      </c>
      <c r="E2087" t="s">
        <v>18214</v>
      </c>
      <c r="F2087" t="s">
        <v>28198</v>
      </c>
      <c r="G2087" t="s">
        <v>28207</v>
      </c>
      <c r="H2087" t="s">
        <v>28215</v>
      </c>
      <c r="I2087" t="s">
        <v>28308</v>
      </c>
      <c r="J2087" t="s">
        <v>29767</v>
      </c>
      <c r="K2087" t="s">
        <v>36689</v>
      </c>
      <c r="M2087" t="s">
        <v>37925</v>
      </c>
      <c r="N2087" t="s">
        <v>40436</v>
      </c>
      <c r="O2087" t="s">
        <v>40437</v>
      </c>
      <c r="P2087">
        <v>0</v>
      </c>
      <c r="Q2087">
        <v>1</v>
      </c>
      <c r="R2087" t="s">
        <v>40438</v>
      </c>
      <c r="S2087" t="s">
        <v>40582</v>
      </c>
      <c r="T2087" t="s">
        <v>42103</v>
      </c>
      <c r="U2087" t="s">
        <v>44432</v>
      </c>
      <c r="W2087" t="s">
        <v>37925</v>
      </c>
      <c r="X2087" t="s">
        <v>40439</v>
      </c>
    </row>
    <row r="2088" spans="1:24">
      <c r="A2088">
        <f>HYPERLINK("https://www.philgeps.gov.ph/GEPSNONPILOT/Tender/SplashBidNoticeAbstractUI.aspx?menuIndex=3&amp;refID=7049538&amp;Result=3","7049538")</f>
        <v>0</v>
      </c>
      <c r="B2088" t="s">
        <v>921</v>
      </c>
      <c r="C2088" t="s">
        <v>5100</v>
      </c>
      <c r="D2088" t="s">
        <v>16209</v>
      </c>
      <c r="E2088" t="s">
        <v>17248</v>
      </c>
      <c r="F2088" t="s">
        <v>28198</v>
      </c>
      <c r="G2088" t="s">
        <v>28206</v>
      </c>
      <c r="H2088" t="s">
        <v>28215</v>
      </c>
      <c r="I2088" t="s">
        <v>5100</v>
      </c>
      <c r="J2088" t="s">
        <v>28352</v>
      </c>
      <c r="K2088" t="s">
        <v>36691</v>
      </c>
      <c r="M2088" t="s">
        <v>37940</v>
      </c>
      <c r="N2088" t="s">
        <v>40436</v>
      </c>
      <c r="O2088" t="s">
        <v>40437</v>
      </c>
      <c r="P2088">
        <v>0</v>
      </c>
      <c r="Q2088">
        <v>0</v>
      </c>
      <c r="R2088" t="s">
        <v>40438</v>
      </c>
      <c r="S2088" t="s">
        <v>40582</v>
      </c>
      <c r="T2088" t="s">
        <v>42161</v>
      </c>
      <c r="U2088" t="s">
        <v>44433</v>
      </c>
      <c r="W2088" t="s">
        <v>37940</v>
      </c>
      <c r="X2088" t="s">
        <v>40439</v>
      </c>
    </row>
    <row r="2089" spans="1:24">
      <c r="A2089">
        <f>HYPERLINK("https://www.philgeps.gov.ph/GEPSNONPILOT/Tender/SplashBidNoticeAbstractUI.aspx?menuIndex=3&amp;refID=7049536&amp;Result=3","7049536")</f>
        <v>0</v>
      </c>
      <c r="B2089" t="s">
        <v>914</v>
      </c>
      <c r="C2089" t="s">
        <v>5101</v>
      </c>
      <c r="D2089" t="s">
        <v>16210</v>
      </c>
      <c r="E2089" t="s">
        <v>18215</v>
      </c>
      <c r="F2089" t="s">
        <v>28198</v>
      </c>
      <c r="G2089" t="s">
        <v>28205</v>
      </c>
      <c r="H2089" t="s">
        <v>28215</v>
      </c>
      <c r="I2089" t="s">
        <v>28272</v>
      </c>
      <c r="J2089" t="s">
        <v>29768</v>
      </c>
      <c r="K2089" t="s">
        <v>36707</v>
      </c>
      <c r="M2089" t="s">
        <v>37933</v>
      </c>
      <c r="N2089" t="s">
        <v>40436</v>
      </c>
      <c r="O2089" t="s">
        <v>40437</v>
      </c>
      <c r="P2089">
        <v>0</v>
      </c>
      <c r="Q2089">
        <v>2</v>
      </c>
      <c r="R2089" t="s">
        <v>40438</v>
      </c>
      <c r="S2089" t="s">
        <v>40582</v>
      </c>
      <c r="T2089" t="s">
        <v>42197</v>
      </c>
      <c r="U2089" t="s">
        <v>44419</v>
      </c>
      <c r="V2089" t="s">
        <v>54014</v>
      </c>
      <c r="W2089" t="s">
        <v>37933</v>
      </c>
      <c r="X2089" t="s">
        <v>40439</v>
      </c>
    </row>
    <row r="2090" spans="1:24">
      <c r="A2090">
        <f>HYPERLINK("https://www.philgeps.gov.ph/GEPSNONPILOT/Tender/SplashBidNoticeAbstractUI.aspx?menuIndex=3&amp;refID=7049534&amp;Result=3","7049534")</f>
        <v>0</v>
      </c>
      <c r="B2090" t="s">
        <v>315</v>
      </c>
      <c r="C2090" t="s">
        <v>4219</v>
      </c>
      <c r="D2090" t="s">
        <v>16191</v>
      </c>
      <c r="E2090" t="s">
        <v>18216</v>
      </c>
      <c r="F2090" t="s">
        <v>28198</v>
      </c>
      <c r="G2090" t="s">
        <v>28206</v>
      </c>
      <c r="H2090" t="s">
        <v>28215</v>
      </c>
      <c r="I2090" t="s">
        <v>4219</v>
      </c>
      <c r="J2090" t="s">
        <v>28354</v>
      </c>
      <c r="K2090" t="s">
        <v>36689</v>
      </c>
      <c r="M2090" t="s">
        <v>37736</v>
      </c>
      <c r="N2090" t="s">
        <v>40436</v>
      </c>
      <c r="O2090" t="s">
        <v>40437</v>
      </c>
      <c r="P2090">
        <v>0</v>
      </c>
      <c r="Q2090">
        <v>1</v>
      </c>
      <c r="R2090" t="s">
        <v>40438</v>
      </c>
      <c r="S2090" t="s">
        <v>40582</v>
      </c>
      <c r="T2090" t="s">
        <v>42264</v>
      </c>
      <c r="U2090" t="s">
        <v>44434</v>
      </c>
      <c r="W2090" t="s">
        <v>37736</v>
      </c>
      <c r="X2090" t="s">
        <v>40439</v>
      </c>
    </row>
    <row r="2091" spans="1:24">
      <c r="A2091">
        <f>HYPERLINK("https://www.philgeps.gov.ph/GEPSNONPILOT/Tender/SplashBidNoticeAbstractUI.aspx?menuIndex=3&amp;refID=7049535&amp;Result=3","7049535")</f>
        <v>0</v>
      </c>
      <c r="B2091" t="s">
        <v>905</v>
      </c>
      <c r="C2091" t="s">
        <v>5102</v>
      </c>
      <c r="D2091" t="s">
        <v>16199</v>
      </c>
      <c r="E2091" t="s">
        <v>18217</v>
      </c>
      <c r="F2091" t="s">
        <v>28198</v>
      </c>
      <c r="G2091" t="s">
        <v>28207</v>
      </c>
      <c r="H2091" t="s">
        <v>28215</v>
      </c>
      <c r="I2091" t="s">
        <v>28225</v>
      </c>
      <c r="J2091" t="s">
        <v>29769</v>
      </c>
      <c r="K2091" t="s">
        <v>36701</v>
      </c>
      <c r="M2091" t="s">
        <v>37923</v>
      </c>
      <c r="N2091" t="s">
        <v>40436</v>
      </c>
      <c r="O2091" t="s">
        <v>40437</v>
      </c>
      <c r="P2091">
        <v>0</v>
      </c>
      <c r="Q2091">
        <v>5</v>
      </c>
      <c r="R2091" t="s">
        <v>40438</v>
      </c>
      <c r="S2091" t="s">
        <v>40582</v>
      </c>
      <c r="T2091" t="s">
        <v>42119</v>
      </c>
      <c r="U2091" t="s">
        <v>44435</v>
      </c>
      <c r="W2091" t="s">
        <v>37923</v>
      </c>
      <c r="X2091" t="s">
        <v>40439</v>
      </c>
    </row>
    <row r="2092" spans="1:24">
      <c r="A2092">
        <f>HYPERLINK("https://www.philgeps.gov.ph/GEPSNONPILOT/Tender/SplashBidNoticeAbstractUI.aspx?menuIndex=3&amp;refID=7049531&amp;Result=3","7049531")</f>
        <v>0</v>
      </c>
      <c r="B2092" t="s">
        <v>913</v>
      </c>
      <c r="C2092" t="s">
        <v>5103</v>
      </c>
      <c r="D2092" t="s">
        <v>16210</v>
      </c>
      <c r="E2092" t="s">
        <v>18218</v>
      </c>
      <c r="F2092" t="s">
        <v>28198</v>
      </c>
      <c r="G2092" t="s">
        <v>28207</v>
      </c>
      <c r="H2092" t="s">
        <v>28215</v>
      </c>
      <c r="I2092" t="s">
        <v>5103</v>
      </c>
      <c r="J2092" t="s">
        <v>28378</v>
      </c>
      <c r="K2092" t="s">
        <v>36689</v>
      </c>
      <c r="M2092" t="s">
        <v>37932</v>
      </c>
      <c r="N2092" t="s">
        <v>40436</v>
      </c>
      <c r="O2092" t="s">
        <v>40437</v>
      </c>
      <c r="P2092">
        <v>0</v>
      </c>
      <c r="Q2092">
        <v>17</v>
      </c>
      <c r="R2092" t="s">
        <v>40438</v>
      </c>
      <c r="S2092" t="s">
        <v>40582</v>
      </c>
      <c r="T2092" t="s">
        <v>42111</v>
      </c>
      <c r="U2092" t="s">
        <v>44436</v>
      </c>
      <c r="W2092" t="s">
        <v>37932</v>
      </c>
      <c r="X2092" t="s">
        <v>40439</v>
      </c>
    </row>
    <row r="2093" spans="1:24">
      <c r="A2093">
        <f>HYPERLINK("https://www.philgeps.gov.ph/GEPSNONPILOT/Tender/SplashBidNoticeAbstractUI.aspx?menuIndex=3&amp;refID=7049539&amp;Result=3","7049539")</f>
        <v>0</v>
      </c>
      <c r="B2093" t="s">
        <v>913</v>
      </c>
      <c r="C2093" t="s">
        <v>5104</v>
      </c>
      <c r="D2093" t="s">
        <v>16210</v>
      </c>
      <c r="E2093" t="s">
        <v>18219</v>
      </c>
      <c r="F2093" t="s">
        <v>28198</v>
      </c>
      <c r="G2093" t="s">
        <v>28207</v>
      </c>
      <c r="H2093" t="s">
        <v>28215</v>
      </c>
      <c r="I2093" t="s">
        <v>28317</v>
      </c>
      <c r="J2093" t="s">
        <v>28597</v>
      </c>
      <c r="K2093" t="s">
        <v>36689</v>
      </c>
      <c r="M2093" t="s">
        <v>37932</v>
      </c>
      <c r="N2093" t="s">
        <v>40436</v>
      </c>
      <c r="O2093" t="s">
        <v>40437</v>
      </c>
      <c r="P2093">
        <v>0</v>
      </c>
      <c r="Q2093">
        <v>0</v>
      </c>
      <c r="R2093" t="s">
        <v>40438</v>
      </c>
      <c r="S2093" t="s">
        <v>40582</v>
      </c>
      <c r="T2093" t="s">
        <v>42111</v>
      </c>
      <c r="U2093" t="s">
        <v>44437</v>
      </c>
      <c r="W2093" t="s">
        <v>37932</v>
      </c>
      <c r="X2093" t="s">
        <v>40439</v>
      </c>
    </row>
    <row r="2094" spans="1:24">
      <c r="A2094">
        <f>HYPERLINK("https://www.philgeps.gov.ph/GEPSNONPILOT/Tender/SplashBidNoticeAbstractUI.aspx?menuIndex=3&amp;refID=7049546&amp;Result=3","7049546")</f>
        <v>0</v>
      </c>
      <c r="B2094" t="s">
        <v>907</v>
      </c>
      <c r="C2094" t="s">
        <v>5105</v>
      </c>
      <c r="D2094" t="s">
        <v>16227</v>
      </c>
      <c r="E2094" t="s">
        <v>18220</v>
      </c>
      <c r="F2094" t="s">
        <v>28198</v>
      </c>
      <c r="G2094" t="s">
        <v>28207</v>
      </c>
      <c r="H2094" t="s">
        <v>28215</v>
      </c>
      <c r="I2094" t="s">
        <v>28225</v>
      </c>
      <c r="J2094" t="s">
        <v>29770</v>
      </c>
      <c r="K2094" t="s">
        <v>36689</v>
      </c>
      <c r="M2094" t="s">
        <v>37925</v>
      </c>
      <c r="N2094" t="s">
        <v>40436</v>
      </c>
      <c r="O2094" t="s">
        <v>40437</v>
      </c>
      <c r="P2094">
        <v>0</v>
      </c>
      <c r="Q2094">
        <v>9</v>
      </c>
      <c r="R2094" t="s">
        <v>40438</v>
      </c>
      <c r="S2094" t="s">
        <v>40582</v>
      </c>
      <c r="T2094" t="s">
        <v>42103</v>
      </c>
      <c r="U2094" t="s">
        <v>44438</v>
      </c>
      <c r="W2094" t="s">
        <v>37925</v>
      </c>
      <c r="X2094" t="s">
        <v>40439</v>
      </c>
    </row>
    <row r="2095" spans="1:24">
      <c r="A2095">
        <f>HYPERLINK("https://www.philgeps.gov.ph/GEPSNONPILOT/Tender/SplashBidNoticeAbstractUI.aspx?menuIndex=3&amp;refID=7049537&amp;Result=3","7049537")</f>
        <v>0</v>
      </c>
      <c r="B2095" t="s">
        <v>636</v>
      </c>
      <c r="C2095" t="s">
        <v>5106</v>
      </c>
      <c r="D2095" t="s">
        <v>16223</v>
      </c>
      <c r="E2095" t="s">
        <v>18221</v>
      </c>
      <c r="F2095" t="s">
        <v>28198</v>
      </c>
      <c r="G2095" t="s">
        <v>28207</v>
      </c>
      <c r="H2095" t="s">
        <v>28215</v>
      </c>
      <c r="I2095" t="s">
        <v>28225</v>
      </c>
      <c r="J2095" t="s">
        <v>29771</v>
      </c>
      <c r="K2095" t="s">
        <v>36701</v>
      </c>
      <c r="M2095" t="s">
        <v>37629</v>
      </c>
      <c r="N2095" t="s">
        <v>40436</v>
      </c>
      <c r="O2095" t="s">
        <v>40437</v>
      </c>
      <c r="P2095">
        <v>0</v>
      </c>
      <c r="Q2095">
        <v>1</v>
      </c>
      <c r="R2095" t="s">
        <v>40438</v>
      </c>
      <c r="S2095" t="s">
        <v>40582</v>
      </c>
      <c r="T2095" t="s">
        <v>42103</v>
      </c>
      <c r="U2095" t="s">
        <v>44439</v>
      </c>
      <c r="W2095" t="s">
        <v>37629</v>
      </c>
      <c r="X2095" t="s">
        <v>40439</v>
      </c>
    </row>
    <row r="2096" spans="1:24">
      <c r="A2096">
        <f>HYPERLINK("https://www.philgeps.gov.ph/GEPSNONPILOT/Tender/SplashBidNoticeAbstractUI.aspx?menuIndex=3&amp;refID=7049530&amp;Result=3","7049530")</f>
        <v>0</v>
      </c>
      <c r="B2096" t="s">
        <v>922</v>
      </c>
      <c r="C2096" t="s">
        <v>5107</v>
      </c>
      <c r="D2096" t="s">
        <v>16190</v>
      </c>
      <c r="E2096" t="s">
        <v>18222</v>
      </c>
      <c r="F2096" t="s">
        <v>28198</v>
      </c>
      <c r="G2096" t="s">
        <v>28207</v>
      </c>
      <c r="H2096" t="s">
        <v>28215</v>
      </c>
      <c r="I2096" t="s">
        <v>4219</v>
      </c>
      <c r="J2096" t="s">
        <v>29772</v>
      </c>
      <c r="K2096" t="s">
        <v>36691</v>
      </c>
      <c r="M2096" t="s">
        <v>37941</v>
      </c>
      <c r="N2096" t="s">
        <v>40436</v>
      </c>
      <c r="O2096" t="s">
        <v>40437</v>
      </c>
      <c r="P2096">
        <v>0</v>
      </c>
      <c r="Q2096">
        <v>0</v>
      </c>
      <c r="R2096" t="s">
        <v>40438</v>
      </c>
      <c r="S2096" t="s">
        <v>40582</v>
      </c>
      <c r="T2096" t="s">
        <v>42142</v>
      </c>
      <c r="U2096" t="s">
        <v>44440</v>
      </c>
      <c r="W2096" t="s">
        <v>37941</v>
      </c>
      <c r="X2096" t="s">
        <v>40439</v>
      </c>
    </row>
    <row r="2097" spans="1:24">
      <c r="A2097">
        <f>HYPERLINK("https://www.philgeps.gov.ph/GEPSNONPILOT/Tender/SplashBidNoticeAbstractUI.aspx?menuIndex=3&amp;refID=7049543&amp;Result=3","7049543")</f>
        <v>0</v>
      </c>
      <c r="B2097" t="s">
        <v>921</v>
      </c>
      <c r="C2097" t="s">
        <v>5100</v>
      </c>
      <c r="D2097" t="s">
        <v>16209</v>
      </c>
      <c r="E2097" t="s">
        <v>16588</v>
      </c>
      <c r="F2097" t="s">
        <v>28198</v>
      </c>
      <c r="G2097" t="s">
        <v>28206</v>
      </c>
      <c r="H2097" t="s">
        <v>28215</v>
      </c>
      <c r="I2097" t="s">
        <v>5100</v>
      </c>
      <c r="J2097" t="s">
        <v>29773</v>
      </c>
      <c r="K2097" t="s">
        <v>36691</v>
      </c>
      <c r="M2097" t="s">
        <v>37940</v>
      </c>
      <c r="N2097" t="s">
        <v>40436</v>
      </c>
      <c r="O2097" t="s">
        <v>40437</v>
      </c>
      <c r="P2097">
        <v>0</v>
      </c>
      <c r="Q2097">
        <v>0</v>
      </c>
      <c r="R2097" t="s">
        <v>40438</v>
      </c>
      <c r="S2097" t="s">
        <v>40582</v>
      </c>
      <c r="T2097" t="s">
        <v>42131</v>
      </c>
      <c r="U2097" t="s">
        <v>44441</v>
      </c>
      <c r="W2097" t="s">
        <v>37940</v>
      </c>
      <c r="X2097" t="s">
        <v>40439</v>
      </c>
    </row>
    <row r="2098" spans="1:24">
      <c r="A2098">
        <f>HYPERLINK("https://www.philgeps.gov.ph/GEPSNONPILOT/Tender/SplashBidNoticeAbstractUI.aspx?menuIndex=3&amp;refID=7049545&amp;Result=3","7049545")</f>
        <v>0</v>
      </c>
      <c r="B2098" t="s">
        <v>913</v>
      </c>
      <c r="C2098" t="s">
        <v>5108</v>
      </c>
      <c r="D2098" t="s">
        <v>16210</v>
      </c>
      <c r="E2098" t="s">
        <v>18223</v>
      </c>
      <c r="F2098" t="s">
        <v>28198</v>
      </c>
      <c r="G2098" t="s">
        <v>28207</v>
      </c>
      <c r="H2098" t="s">
        <v>28215</v>
      </c>
      <c r="I2098" t="s">
        <v>28247</v>
      </c>
      <c r="J2098" t="s">
        <v>29774</v>
      </c>
      <c r="K2098" t="s">
        <v>36689</v>
      </c>
      <c r="M2098" t="s">
        <v>37932</v>
      </c>
      <c r="N2098" t="s">
        <v>40436</v>
      </c>
      <c r="O2098" t="s">
        <v>40437</v>
      </c>
      <c r="P2098">
        <v>0</v>
      </c>
      <c r="Q2098">
        <v>5</v>
      </c>
      <c r="R2098" t="s">
        <v>40438</v>
      </c>
      <c r="S2098" t="s">
        <v>40582</v>
      </c>
      <c r="T2098" t="s">
        <v>42111</v>
      </c>
      <c r="U2098" t="s">
        <v>44442</v>
      </c>
      <c r="W2098" t="s">
        <v>37932</v>
      </c>
      <c r="X2098" t="s">
        <v>40439</v>
      </c>
    </row>
    <row r="2099" spans="1:24">
      <c r="A2099">
        <f>HYPERLINK("https://www.philgeps.gov.ph/GEPSNONPILOT/Tender/SplashBidNoticeAbstractUI.aspx?menuIndex=3&amp;refID=7049526&amp;Result=3","7049526")</f>
        <v>0</v>
      </c>
      <c r="B2099" t="s">
        <v>923</v>
      </c>
      <c r="C2099" t="s">
        <v>5109</v>
      </c>
      <c r="D2099" t="s">
        <v>16189</v>
      </c>
      <c r="E2099" t="s">
        <v>18224</v>
      </c>
      <c r="F2099" t="s">
        <v>28198</v>
      </c>
      <c r="G2099" t="s">
        <v>28207</v>
      </c>
      <c r="H2099" t="s">
        <v>28215</v>
      </c>
      <c r="I2099" t="s">
        <v>6051</v>
      </c>
      <c r="J2099" t="s">
        <v>29775</v>
      </c>
      <c r="K2099" t="s">
        <v>36756</v>
      </c>
      <c r="M2099" t="s">
        <v>37942</v>
      </c>
      <c r="N2099" t="s">
        <v>40436</v>
      </c>
      <c r="O2099" t="s">
        <v>40437</v>
      </c>
      <c r="P2099">
        <v>0</v>
      </c>
      <c r="Q2099">
        <v>1</v>
      </c>
      <c r="R2099" t="s">
        <v>40438</v>
      </c>
      <c r="S2099" t="s">
        <v>40582</v>
      </c>
      <c r="T2099" t="s">
        <v>42142</v>
      </c>
      <c r="U2099" t="s">
        <v>44443</v>
      </c>
      <c r="W2099" t="s">
        <v>37942</v>
      </c>
      <c r="X2099" t="s">
        <v>40439</v>
      </c>
    </row>
    <row r="2100" spans="1:24">
      <c r="A2100">
        <f>HYPERLINK("https://www.philgeps.gov.ph/GEPSNONPILOT/Tender/SplashBidNoticeAbstractUI.aspx?menuIndex=3&amp;refID=7049551&amp;Result=3","7049551")</f>
        <v>0</v>
      </c>
      <c r="B2100" t="s">
        <v>216</v>
      </c>
      <c r="C2100" t="s">
        <v>5110</v>
      </c>
      <c r="D2100" t="s">
        <v>16210</v>
      </c>
      <c r="E2100" t="s">
        <v>18225</v>
      </c>
      <c r="F2100" t="s">
        <v>28198</v>
      </c>
      <c r="G2100" t="s">
        <v>28207</v>
      </c>
      <c r="H2100" t="s">
        <v>28215</v>
      </c>
      <c r="I2100" t="s">
        <v>5100</v>
      </c>
      <c r="J2100" t="s">
        <v>29776</v>
      </c>
      <c r="K2100" t="s">
        <v>36707</v>
      </c>
      <c r="M2100" t="s">
        <v>37192</v>
      </c>
      <c r="N2100" t="s">
        <v>40436</v>
      </c>
      <c r="O2100" t="s">
        <v>40437</v>
      </c>
      <c r="P2100">
        <v>0</v>
      </c>
      <c r="Q2100">
        <v>0</v>
      </c>
      <c r="R2100" t="s">
        <v>40438</v>
      </c>
      <c r="S2100" t="s">
        <v>40582</v>
      </c>
      <c r="T2100" t="s">
        <v>42119</v>
      </c>
      <c r="U2100" t="s">
        <v>44444</v>
      </c>
      <c r="V2100" t="s">
        <v>53819</v>
      </c>
      <c r="W2100" t="s">
        <v>37192</v>
      </c>
      <c r="X2100" t="s">
        <v>40439</v>
      </c>
    </row>
    <row r="2101" spans="1:24">
      <c r="A2101">
        <f>HYPERLINK("https://www.philgeps.gov.ph/GEPSNONPILOT/Tender/SplashBidNoticeAbstractUI.aspx?menuIndex=3&amp;refID=7049547&amp;Result=3","7049547")</f>
        <v>0</v>
      </c>
      <c r="B2101" t="s">
        <v>922</v>
      </c>
      <c r="C2101" t="s">
        <v>5111</v>
      </c>
      <c r="D2101" t="s">
        <v>16190</v>
      </c>
      <c r="E2101" t="s">
        <v>18226</v>
      </c>
      <c r="F2101" t="s">
        <v>28198</v>
      </c>
      <c r="G2101" t="s">
        <v>28207</v>
      </c>
      <c r="H2101" t="s">
        <v>28215</v>
      </c>
      <c r="I2101" t="s">
        <v>28225</v>
      </c>
      <c r="J2101" t="s">
        <v>29777</v>
      </c>
      <c r="K2101" t="s">
        <v>36691</v>
      </c>
      <c r="M2101" t="s">
        <v>37941</v>
      </c>
      <c r="N2101" t="s">
        <v>40436</v>
      </c>
      <c r="O2101" t="s">
        <v>40437</v>
      </c>
      <c r="P2101">
        <v>0</v>
      </c>
      <c r="Q2101">
        <v>0</v>
      </c>
      <c r="R2101" t="s">
        <v>40438</v>
      </c>
      <c r="S2101" t="s">
        <v>40582</v>
      </c>
      <c r="T2101" t="s">
        <v>42142</v>
      </c>
      <c r="U2101" t="s">
        <v>44445</v>
      </c>
      <c r="W2101" t="s">
        <v>37941</v>
      </c>
      <c r="X2101" t="s">
        <v>40439</v>
      </c>
    </row>
    <row r="2102" spans="1:24">
      <c r="A2102">
        <f>HYPERLINK("https://www.philgeps.gov.ph/GEPSNONPILOT/Tender/SplashBidNoticeAbstractUI.aspx?menuIndex=3&amp;refID=7049548&amp;Result=3","7049548")</f>
        <v>0</v>
      </c>
      <c r="B2102" t="s">
        <v>636</v>
      </c>
      <c r="C2102" t="s">
        <v>5112</v>
      </c>
      <c r="D2102" t="s">
        <v>16223</v>
      </c>
      <c r="E2102" t="s">
        <v>18227</v>
      </c>
      <c r="F2102" t="s">
        <v>28198</v>
      </c>
      <c r="G2102" t="s">
        <v>28207</v>
      </c>
      <c r="H2102" t="s">
        <v>28215</v>
      </c>
      <c r="I2102" t="s">
        <v>28225</v>
      </c>
      <c r="J2102" t="s">
        <v>28350</v>
      </c>
      <c r="K2102" t="s">
        <v>36701</v>
      </c>
      <c r="M2102" t="s">
        <v>37629</v>
      </c>
      <c r="N2102" t="s">
        <v>40436</v>
      </c>
      <c r="O2102" t="s">
        <v>40437</v>
      </c>
      <c r="P2102">
        <v>0</v>
      </c>
      <c r="Q2102">
        <v>1</v>
      </c>
      <c r="R2102" t="s">
        <v>40438</v>
      </c>
      <c r="S2102" t="s">
        <v>40582</v>
      </c>
      <c r="T2102" t="s">
        <v>42103</v>
      </c>
      <c r="U2102" t="s">
        <v>44439</v>
      </c>
      <c r="W2102" t="s">
        <v>37629</v>
      </c>
      <c r="X2102" t="s">
        <v>40439</v>
      </c>
    </row>
    <row r="2103" spans="1:24">
      <c r="A2103">
        <f>HYPERLINK("https://www.philgeps.gov.ph/GEPSNONPILOT/Tender/SplashBidNoticeAbstractUI.aspx?menuIndex=3&amp;refID=7049565&amp;Result=3","7049565")</f>
        <v>0</v>
      </c>
      <c r="B2103" t="s">
        <v>128</v>
      </c>
      <c r="C2103" t="s">
        <v>5113</v>
      </c>
      <c r="D2103" t="s">
        <v>16210</v>
      </c>
      <c r="E2103" t="s">
        <v>18228</v>
      </c>
      <c r="F2103" t="s">
        <v>28198</v>
      </c>
      <c r="G2103" t="s">
        <v>28207</v>
      </c>
      <c r="H2103" t="s">
        <v>28215</v>
      </c>
      <c r="I2103" t="s">
        <v>28258</v>
      </c>
      <c r="J2103" t="s">
        <v>28878</v>
      </c>
      <c r="K2103" t="s">
        <v>36688</v>
      </c>
      <c r="M2103" t="s">
        <v>37102</v>
      </c>
      <c r="N2103" t="s">
        <v>40436</v>
      </c>
      <c r="O2103" t="s">
        <v>40437</v>
      </c>
      <c r="P2103">
        <v>0</v>
      </c>
      <c r="Q2103">
        <v>4</v>
      </c>
      <c r="R2103" t="s">
        <v>40438</v>
      </c>
      <c r="S2103" t="s">
        <v>40582</v>
      </c>
      <c r="T2103" t="s">
        <v>42103</v>
      </c>
      <c r="U2103" t="s">
        <v>44446</v>
      </c>
      <c r="W2103" t="s">
        <v>37102</v>
      </c>
      <c r="X2103" t="s">
        <v>40439</v>
      </c>
    </row>
    <row r="2104" spans="1:24">
      <c r="A2104">
        <f>HYPERLINK("https://www.philgeps.gov.ph/GEPSNONPILOT/Tender/SplashBidNoticeAbstractUI.aspx?menuIndex=3&amp;refID=7049549&amp;Result=3","7049549")</f>
        <v>0</v>
      </c>
      <c r="B2104" t="s">
        <v>585</v>
      </c>
      <c r="C2104" t="s">
        <v>5114</v>
      </c>
      <c r="D2104" t="s">
        <v>16190</v>
      </c>
      <c r="E2104" t="s">
        <v>18229</v>
      </c>
      <c r="F2104" t="s">
        <v>28198</v>
      </c>
      <c r="G2104" t="s">
        <v>28207</v>
      </c>
      <c r="H2104" t="s">
        <v>28215</v>
      </c>
      <c r="I2104" t="s">
        <v>5082</v>
      </c>
      <c r="J2104" t="s">
        <v>28529</v>
      </c>
      <c r="K2104" t="s">
        <v>36698</v>
      </c>
      <c r="M2104" t="s">
        <v>37670</v>
      </c>
      <c r="N2104" t="s">
        <v>40436</v>
      </c>
      <c r="O2104" t="s">
        <v>40437</v>
      </c>
      <c r="P2104">
        <v>0</v>
      </c>
      <c r="Q2104">
        <v>0</v>
      </c>
      <c r="R2104" t="s">
        <v>40438</v>
      </c>
      <c r="S2104" t="s">
        <v>40582</v>
      </c>
      <c r="T2104" t="s">
        <v>42270</v>
      </c>
      <c r="U2104" t="s">
        <v>44447</v>
      </c>
      <c r="W2104" t="s">
        <v>37670</v>
      </c>
      <c r="X2104" t="s">
        <v>40439</v>
      </c>
    </row>
    <row r="2105" spans="1:24">
      <c r="A2105">
        <f>HYPERLINK("https://www.philgeps.gov.ph/GEPSNONPILOT/Tender/SplashBidNoticeAbstractUI.aspx?menuIndex=3&amp;refID=7049552&amp;Result=3","7049552")</f>
        <v>0</v>
      </c>
      <c r="B2105" t="s">
        <v>924</v>
      </c>
      <c r="C2105" t="s">
        <v>5115</v>
      </c>
      <c r="E2105" t="s">
        <v>18230</v>
      </c>
      <c r="F2105" t="s">
        <v>28198</v>
      </c>
      <c r="G2105" t="s">
        <v>28205</v>
      </c>
      <c r="H2105" t="s">
        <v>28216</v>
      </c>
      <c r="I2105" t="s">
        <v>28216</v>
      </c>
      <c r="J2105" t="s">
        <v>28683</v>
      </c>
      <c r="K2105" t="s">
        <v>36689</v>
      </c>
      <c r="M2105" t="s">
        <v>37943</v>
      </c>
      <c r="N2105" t="s">
        <v>40436</v>
      </c>
      <c r="O2105" t="s">
        <v>40437</v>
      </c>
      <c r="P2105">
        <v>0</v>
      </c>
      <c r="Q2105">
        <v>5</v>
      </c>
      <c r="R2105" t="s">
        <v>40438</v>
      </c>
      <c r="S2105" t="s">
        <v>40582</v>
      </c>
      <c r="T2105" t="s">
        <v>42102</v>
      </c>
      <c r="U2105" t="s">
        <v>44448</v>
      </c>
      <c r="W2105" t="s">
        <v>37943</v>
      </c>
      <c r="X2105" t="s">
        <v>40439</v>
      </c>
    </row>
    <row r="2106" spans="1:24">
      <c r="A2106">
        <f>HYPERLINK("https://www.philgeps.gov.ph/GEPSNONPILOT/Tender/SplashBidNoticeAbstractUI.aspx?menuIndex=3&amp;refID=7049563&amp;Result=3","7049563")</f>
        <v>0</v>
      </c>
      <c r="B2106" t="s">
        <v>381</v>
      </c>
      <c r="C2106" t="s">
        <v>5116</v>
      </c>
      <c r="D2106" t="s">
        <v>16203</v>
      </c>
      <c r="E2106" t="s">
        <v>18231</v>
      </c>
      <c r="F2106" t="s">
        <v>28198</v>
      </c>
      <c r="G2106" t="s">
        <v>28207</v>
      </c>
      <c r="H2106" t="s">
        <v>28215</v>
      </c>
      <c r="I2106" t="s">
        <v>28234</v>
      </c>
      <c r="J2106" t="s">
        <v>29778</v>
      </c>
      <c r="K2106" t="s">
        <v>36687</v>
      </c>
      <c r="M2106" t="s">
        <v>37361</v>
      </c>
      <c r="N2106" t="s">
        <v>40436</v>
      </c>
      <c r="O2106" t="s">
        <v>40437</v>
      </c>
      <c r="P2106">
        <v>0</v>
      </c>
      <c r="Q2106">
        <v>0</v>
      </c>
      <c r="R2106" t="s">
        <v>40438</v>
      </c>
      <c r="S2106" t="s">
        <v>40582</v>
      </c>
      <c r="T2106" t="s">
        <v>42133</v>
      </c>
      <c r="U2106" t="s">
        <v>44449</v>
      </c>
      <c r="W2106" t="s">
        <v>37361</v>
      </c>
      <c r="X2106" t="s">
        <v>40439</v>
      </c>
    </row>
    <row r="2107" spans="1:24">
      <c r="A2107">
        <f>HYPERLINK("https://www.philgeps.gov.ph/GEPSNONPILOT/Tender/SplashBidNoticeAbstractUI.aspx?menuIndex=3&amp;refID=7049541&amp;Result=3","7049541")</f>
        <v>0</v>
      </c>
      <c r="B2107" t="s">
        <v>907</v>
      </c>
      <c r="C2107" t="s">
        <v>5063</v>
      </c>
      <c r="D2107" t="s">
        <v>16227</v>
      </c>
      <c r="E2107" t="s">
        <v>18232</v>
      </c>
      <c r="F2107" t="s">
        <v>28198</v>
      </c>
      <c r="G2107" t="s">
        <v>28207</v>
      </c>
      <c r="H2107" t="s">
        <v>28215</v>
      </c>
      <c r="I2107" t="s">
        <v>28265</v>
      </c>
      <c r="J2107" t="s">
        <v>29779</v>
      </c>
      <c r="K2107" t="s">
        <v>36689</v>
      </c>
      <c r="M2107" t="s">
        <v>37925</v>
      </c>
      <c r="N2107" t="s">
        <v>40436</v>
      </c>
      <c r="O2107" t="s">
        <v>40437</v>
      </c>
      <c r="P2107">
        <v>0</v>
      </c>
      <c r="Q2107">
        <v>0</v>
      </c>
      <c r="R2107" t="s">
        <v>40438</v>
      </c>
      <c r="S2107" t="s">
        <v>40582</v>
      </c>
      <c r="T2107" t="s">
        <v>42103</v>
      </c>
      <c r="U2107" t="s">
        <v>44450</v>
      </c>
      <c r="W2107" t="s">
        <v>37925</v>
      </c>
      <c r="X2107" t="s">
        <v>40439</v>
      </c>
    </row>
    <row r="2108" spans="1:24">
      <c r="A2108">
        <f>HYPERLINK("https://www.philgeps.gov.ph/GEPSNONPILOT/Tender/SplashBidNoticeAbstractUI.aspx?menuIndex=3&amp;refID=7049564&amp;Result=3","7049564")</f>
        <v>0</v>
      </c>
      <c r="B2108" t="s">
        <v>924</v>
      </c>
      <c r="C2108" t="s">
        <v>5117</v>
      </c>
      <c r="E2108" t="s">
        <v>18233</v>
      </c>
      <c r="F2108" t="s">
        <v>28198</v>
      </c>
      <c r="G2108" t="s">
        <v>28205</v>
      </c>
      <c r="H2108" t="s">
        <v>28216</v>
      </c>
      <c r="I2108" t="s">
        <v>28216</v>
      </c>
      <c r="J2108" t="s">
        <v>29780</v>
      </c>
      <c r="K2108" t="s">
        <v>36689</v>
      </c>
      <c r="M2108" t="s">
        <v>37943</v>
      </c>
      <c r="N2108" t="s">
        <v>40436</v>
      </c>
      <c r="O2108" t="s">
        <v>40437</v>
      </c>
      <c r="P2108">
        <v>0</v>
      </c>
      <c r="Q2108">
        <v>3</v>
      </c>
      <c r="R2108" t="s">
        <v>40438</v>
      </c>
      <c r="S2108" t="s">
        <v>40582</v>
      </c>
      <c r="T2108" t="s">
        <v>42102</v>
      </c>
      <c r="U2108" t="s">
        <v>44451</v>
      </c>
      <c r="W2108" t="s">
        <v>37943</v>
      </c>
      <c r="X2108" t="s">
        <v>40439</v>
      </c>
    </row>
    <row r="2109" spans="1:24">
      <c r="A2109">
        <f>HYPERLINK("https://www.philgeps.gov.ph/GEPSNONPILOT/Tender/SplashBidNoticeAbstractUI.aspx?menuIndex=3&amp;refID=7049559&amp;Result=3","7049559")</f>
        <v>0</v>
      </c>
      <c r="B2109" t="s">
        <v>922</v>
      </c>
      <c r="C2109" t="s">
        <v>5118</v>
      </c>
      <c r="D2109" t="s">
        <v>16190</v>
      </c>
      <c r="E2109" t="s">
        <v>18234</v>
      </c>
      <c r="F2109" t="s">
        <v>28198</v>
      </c>
      <c r="G2109" t="s">
        <v>28207</v>
      </c>
      <c r="H2109" t="s">
        <v>28215</v>
      </c>
      <c r="I2109" t="s">
        <v>4222</v>
      </c>
      <c r="J2109" t="s">
        <v>29781</v>
      </c>
      <c r="K2109" t="s">
        <v>36691</v>
      </c>
      <c r="M2109" t="s">
        <v>37941</v>
      </c>
      <c r="N2109" t="s">
        <v>40436</v>
      </c>
      <c r="O2109" t="s">
        <v>40437</v>
      </c>
      <c r="P2109">
        <v>0</v>
      </c>
      <c r="Q2109">
        <v>0</v>
      </c>
      <c r="R2109" t="s">
        <v>40438</v>
      </c>
      <c r="S2109" t="s">
        <v>40582</v>
      </c>
      <c r="T2109" t="s">
        <v>42142</v>
      </c>
      <c r="U2109" t="s">
        <v>44452</v>
      </c>
      <c r="W2109" t="s">
        <v>37941</v>
      </c>
      <c r="X2109" t="s">
        <v>40439</v>
      </c>
    </row>
    <row r="2110" spans="1:24">
      <c r="A2110">
        <f>HYPERLINK("https://www.philgeps.gov.ph/GEPSNONPILOT/Tender/SplashBidNoticeAbstractUI.aspx?menuIndex=3&amp;refID=7049562&amp;Result=3","7049562")</f>
        <v>0</v>
      </c>
      <c r="B2110" t="s">
        <v>907</v>
      </c>
      <c r="C2110" t="s">
        <v>5119</v>
      </c>
      <c r="D2110" t="s">
        <v>16227</v>
      </c>
      <c r="E2110" t="s">
        <v>18235</v>
      </c>
      <c r="F2110" t="s">
        <v>28198</v>
      </c>
      <c r="G2110" t="s">
        <v>28207</v>
      </c>
      <c r="H2110" t="s">
        <v>28215</v>
      </c>
      <c r="I2110" t="s">
        <v>28225</v>
      </c>
      <c r="J2110" t="s">
        <v>29190</v>
      </c>
      <c r="K2110" t="s">
        <v>36689</v>
      </c>
      <c r="M2110" t="s">
        <v>37925</v>
      </c>
      <c r="N2110" t="s">
        <v>40436</v>
      </c>
      <c r="O2110" t="s">
        <v>40437</v>
      </c>
      <c r="P2110">
        <v>0</v>
      </c>
      <c r="Q2110">
        <v>11</v>
      </c>
      <c r="R2110" t="s">
        <v>40438</v>
      </c>
      <c r="S2110" t="s">
        <v>40582</v>
      </c>
      <c r="T2110" t="s">
        <v>42103</v>
      </c>
      <c r="U2110" t="s">
        <v>44453</v>
      </c>
      <c r="W2110" t="s">
        <v>37925</v>
      </c>
      <c r="X2110" t="s">
        <v>40439</v>
      </c>
    </row>
    <row r="2111" spans="1:24">
      <c r="A2111">
        <f>HYPERLINK("https://www.philgeps.gov.ph/GEPSNONPILOT/Tender/SplashBidNoticeAbstractUI.aspx?menuIndex=3&amp;refID=7049555&amp;Result=3","7049555")</f>
        <v>0</v>
      </c>
      <c r="B2111" t="s">
        <v>925</v>
      </c>
      <c r="C2111" t="s">
        <v>5120</v>
      </c>
      <c r="D2111" t="s">
        <v>16198</v>
      </c>
      <c r="E2111" t="s">
        <v>17465</v>
      </c>
      <c r="F2111" t="s">
        <v>28198</v>
      </c>
      <c r="G2111" t="s">
        <v>28205</v>
      </c>
      <c r="H2111" t="s">
        <v>28215</v>
      </c>
      <c r="I2111" t="s">
        <v>28259</v>
      </c>
      <c r="J2111" t="s">
        <v>28363</v>
      </c>
      <c r="K2111" t="s">
        <v>36698</v>
      </c>
      <c r="M2111" t="s">
        <v>37944</v>
      </c>
      <c r="N2111" t="s">
        <v>40436</v>
      </c>
      <c r="O2111" t="s">
        <v>40437</v>
      </c>
      <c r="P2111">
        <v>0</v>
      </c>
      <c r="Q2111">
        <v>2</v>
      </c>
      <c r="R2111" t="s">
        <v>40438</v>
      </c>
      <c r="S2111" t="s">
        <v>40582</v>
      </c>
      <c r="T2111" t="s">
        <v>42098</v>
      </c>
      <c r="U2111" t="s">
        <v>44454</v>
      </c>
      <c r="W2111" t="s">
        <v>37944</v>
      </c>
      <c r="X2111" t="s">
        <v>40439</v>
      </c>
    </row>
    <row r="2112" spans="1:24">
      <c r="A2112">
        <f>HYPERLINK("https://www.philgeps.gov.ph/GEPSNONPILOT/Tender/SplashBidNoticeAbstractUI.aspx?menuIndex=3&amp;refID=7049560&amp;Result=3","7049560")</f>
        <v>0</v>
      </c>
      <c r="B2112" t="s">
        <v>216</v>
      </c>
      <c r="C2112" t="s">
        <v>5121</v>
      </c>
      <c r="D2112" t="s">
        <v>16210</v>
      </c>
      <c r="E2112" t="s">
        <v>18236</v>
      </c>
      <c r="F2112" t="s">
        <v>28198</v>
      </c>
      <c r="G2112" t="s">
        <v>28207</v>
      </c>
      <c r="H2112" t="s">
        <v>28215</v>
      </c>
      <c r="I2112" t="s">
        <v>3422</v>
      </c>
      <c r="J2112" t="s">
        <v>29782</v>
      </c>
      <c r="K2112" t="s">
        <v>36701</v>
      </c>
      <c r="M2112" t="s">
        <v>37192</v>
      </c>
      <c r="N2112" t="s">
        <v>40436</v>
      </c>
      <c r="O2112" t="s">
        <v>40437</v>
      </c>
      <c r="P2112">
        <v>0</v>
      </c>
      <c r="Q2112">
        <v>0</v>
      </c>
      <c r="R2112" t="s">
        <v>40438</v>
      </c>
      <c r="S2112" t="s">
        <v>40582</v>
      </c>
      <c r="T2112" t="s">
        <v>42119</v>
      </c>
      <c r="U2112" t="s">
        <v>44455</v>
      </c>
      <c r="V2112" t="s">
        <v>53819</v>
      </c>
      <c r="W2112" t="s">
        <v>37192</v>
      </c>
      <c r="X2112" t="s">
        <v>40439</v>
      </c>
    </row>
    <row r="2113" spans="1:24">
      <c r="A2113">
        <f>HYPERLINK("https://www.philgeps.gov.ph/GEPSNONPILOT/Tender/SplashBidNoticeAbstractUI.aspx?menuIndex=3&amp;refID=7049568&amp;Result=3","7049568")</f>
        <v>0</v>
      </c>
      <c r="B2113" t="s">
        <v>926</v>
      </c>
      <c r="C2113" t="s">
        <v>5122</v>
      </c>
      <c r="D2113" t="s">
        <v>16242</v>
      </c>
      <c r="E2113" t="s">
        <v>18237</v>
      </c>
      <c r="F2113" t="s">
        <v>28198</v>
      </c>
      <c r="G2113" t="s">
        <v>28205</v>
      </c>
      <c r="H2113" t="s">
        <v>28214</v>
      </c>
      <c r="I2113" t="s">
        <v>3797</v>
      </c>
      <c r="J2113" t="s">
        <v>29783</v>
      </c>
      <c r="K2113" t="s">
        <v>36710</v>
      </c>
      <c r="M2113" t="s">
        <v>37945</v>
      </c>
      <c r="N2113" t="s">
        <v>40436</v>
      </c>
      <c r="O2113" t="s">
        <v>40437</v>
      </c>
      <c r="P2113">
        <v>0</v>
      </c>
      <c r="Q2113">
        <v>1</v>
      </c>
      <c r="R2113" t="s">
        <v>40438</v>
      </c>
      <c r="S2113" t="s">
        <v>40582</v>
      </c>
      <c r="T2113" t="s">
        <v>42108</v>
      </c>
      <c r="U2113" t="s">
        <v>44456</v>
      </c>
      <c r="V2113" t="s">
        <v>54016</v>
      </c>
      <c r="W2113" t="s">
        <v>37945</v>
      </c>
      <c r="X2113" t="s">
        <v>40439</v>
      </c>
    </row>
    <row r="2114" spans="1:24">
      <c r="A2114">
        <f>HYPERLINK("https://www.philgeps.gov.ph/GEPSNONPILOT/Tender/SplashBidNoticeAbstractUI.aspx?menuIndex=3&amp;refID=7049570&amp;Result=3","7049570")</f>
        <v>0</v>
      </c>
      <c r="B2114" t="s">
        <v>36</v>
      </c>
      <c r="C2114" t="s">
        <v>3114</v>
      </c>
      <c r="D2114" t="s">
        <v>16196</v>
      </c>
      <c r="E2114" t="s">
        <v>17248</v>
      </c>
      <c r="F2114" t="s">
        <v>28200</v>
      </c>
      <c r="G2114" t="s">
        <v>28205</v>
      </c>
      <c r="H2114" t="s">
        <v>28214</v>
      </c>
      <c r="I2114" t="s">
        <v>3797</v>
      </c>
      <c r="J2114" t="s">
        <v>29235</v>
      </c>
      <c r="K2114" t="s">
        <v>36715</v>
      </c>
      <c r="M2114" t="s">
        <v>37005</v>
      </c>
      <c r="N2114" t="s">
        <v>40436</v>
      </c>
      <c r="O2114" t="s">
        <v>40437</v>
      </c>
      <c r="P2114">
        <v>0</v>
      </c>
      <c r="Q2114">
        <v>2</v>
      </c>
      <c r="R2114" t="s">
        <v>40438</v>
      </c>
      <c r="S2114" t="s">
        <v>40582</v>
      </c>
      <c r="T2114" t="s">
        <v>42138</v>
      </c>
      <c r="U2114" t="s">
        <v>44457</v>
      </c>
      <c r="W2114" t="s">
        <v>37005</v>
      </c>
      <c r="X2114" t="s">
        <v>40439</v>
      </c>
    </row>
    <row r="2115" spans="1:24">
      <c r="A2115">
        <f>HYPERLINK("https://www.philgeps.gov.ph/GEPSNONPILOT/Tender/SplashBidNoticeAbstractUI.aspx?menuIndex=3&amp;refID=7049567&amp;Result=3","7049567")</f>
        <v>0</v>
      </c>
      <c r="B2115" t="s">
        <v>907</v>
      </c>
      <c r="C2115" t="s">
        <v>5123</v>
      </c>
      <c r="D2115" t="s">
        <v>16227</v>
      </c>
      <c r="E2115" t="s">
        <v>18238</v>
      </c>
      <c r="F2115" t="s">
        <v>28198</v>
      </c>
      <c r="G2115" t="s">
        <v>28207</v>
      </c>
      <c r="H2115" t="s">
        <v>28215</v>
      </c>
      <c r="I2115" t="s">
        <v>28225</v>
      </c>
      <c r="J2115" t="s">
        <v>29784</v>
      </c>
      <c r="K2115" t="s">
        <v>36689</v>
      </c>
      <c r="M2115" t="s">
        <v>37925</v>
      </c>
      <c r="N2115" t="s">
        <v>40436</v>
      </c>
      <c r="O2115" t="s">
        <v>40437</v>
      </c>
      <c r="P2115">
        <v>0</v>
      </c>
      <c r="Q2115">
        <v>5</v>
      </c>
      <c r="R2115" t="s">
        <v>40438</v>
      </c>
      <c r="S2115" t="s">
        <v>40582</v>
      </c>
      <c r="T2115" t="s">
        <v>42103</v>
      </c>
      <c r="U2115" t="s">
        <v>44458</v>
      </c>
      <c r="W2115" t="s">
        <v>37925</v>
      </c>
      <c r="X2115" t="s">
        <v>40439</v>
      </c>
    </row>
    <row r="2116" spans="1:24">
      <c r="A2116">
        <f>HYPERLINK("https://www.philgeps.gov.ph/GEPSNONPILOT/Tender/SplashBidNoticeAbstractUI.aspx?menuIndex=3&amp;refID=7049566&amp;Result=3","7049566")</f>
        <v>0</v>
      </c>
      <c r="B2116" t="s">
        <v>913</v>
      </c>
      <c r="C2116" t="s">
        <v>5124</v>
      </c>
      <c r="D2116" t="s">
        <v>16210</v>
      </c>
      <c r="E2116" t="s">
        <v>18239</v>
      </c>
      <c r="F2116" t="s">
        <v>28198</v>
      </c>
      <c r="G2116" t="s">
        <v>28207</v>
      </c>
      <c r="H2116" t="s">
        <v>28215</v>
      </c>
      <c r="I2116" t="s">
        <v>28226</v>
      </c>
      <c r="J2116" t="s">
        <v>29785</v>
      </c>
      <c r="K2116" t="s">
        <v>36689</v>
      </c>
      <c r="M2116" t="s">
        <v>37932</v>
      </c>
      <c r="N2116" t="s">
        <v>40436</v>
      </c>
      <c r="O2116" t="s">
        <v>40437</v>
      </c>
      <c r="P2116">
        <v>0</v>
      </c>
      <c r="Q2116">
        <v>1</v>
      </c>
      <c r="R2116" t="s">
        <v>40438</v>
      </c>
      <c r="S2116" t="s">
        <v>40582</v>
      </c>
      <c r="T2116" t="s">
        <v>42111</v>
      </c>
      <c r="U2116" t="s">
        <v>44459</v>
      </c>
      <c r="W2116" t="s">
        <v>37932</v>
      </c>
      <c r="X2116" t="s">
        <v>40439</v>
      </c>
    </row>
    <row r="2117" spans="1:24">
      <c r="A2117">
        <f>HYPERLINK("https://www.philgeps.gov.ph/GEPSNONPILOT/Tender/SplashBidNoticeAbstractUI.aspx?menuIndex=3&amp;refID=7049554&amp;Result=3","7049554")</f>
        <v>0</v>
      </c>
      <c r="B2117" t="s">
        <v>921</v>
      </c>
      <c r="C2117" t="s">
        <v>3220</v>
      </c>
      <c r="D2117" t="s">
        <v>16209</v>
      </c>
      <c r="E2117" t="s">
        <v>18071</v>
      </c>
      <c r="F2117" t="s">
        <v>28198</v>
      </c>
      <c r="G2117" t="s">
        <v>28206</v>
      </c>
      <c r="H2117" t="s">
        <v>28215</v>
      </c>
      <c r="I2117" t="s">
        <v>5082</v>
      </c>
      <c r="J2117" t="s">
        <v>28713</v>
      </c>
      <c r="K2117" t="s">
        <v>36691</v>
      </c>
      <c r="M2117" t="s">
        <v>37940</v>
      </c>
      <c r="N2117" t="s">
        <v>40436</v>
      </c>
      <c r="O2117" t="s">
        <v>40437</v>
      </c>
      <c r="P2117">
        <v>0</v>
      </c>
      <c r="Q2117">
        <v>0</v>
      </c>
      <c r="R2117" t="s">
        <v>40438</v>
      </c>
      <c r="S2117" t="s">
        <v>40582</v>
      </c>
      <c r="T2117" t="s">
        <v>42131</v>
      </c>
      <c r="U2117" t="s">
        <v>44460</v>
      </c>
      <c r="W2117" t="s">
        <v>37940</v>
      </c>
      <c r="X2117" t="s">
        <v>40439</v>
      </c>
    </row>
    <row r="2118" spans="1:24">
      <c r="A2118">
        <f>HYPERLINK("https://www.philgeps.gov.ph/GEPSNONPILOT/Tender/SplashBidNoticeAbstractUI.aspx?menuIndex=3&amp;refID=7049587&amp;Result=3","7049587")</f>
        <v>0</v>
      </c>
      <c r="B2118" t="s">
        <v>913</v>
      </c>
      <c r="C2118" t="s">
        <v>5125</v>
      </c>
      <c r="E2118" t="s">
        <v>18240</v>
      </c>
      <c r="F2118" t="s">
        <v>28198</v>
      </c>
      <c r="G2118" t="s">
        <v>28207</v>
      </c>
      <c r="H2118" t="s">
        <v>28215</v>
      </c>
      <c r="I2118" t="s">
        <v>28243</v>
      </c>
      <c r="J2118" t="s">
        <v>28393</v>
      </c>
      <c r="K2118" t="s">
        <v>36689</v>
      </c>
      <c r="M2118" t="s">
        <v>37932</v>
      </c>
      <c r="N2118" t="s">
        <v>40436</v>
      </c>
      <c r="O2118" t="s">
        <v>40437</v>
      </c>
      <c r="P2118">
        <v>0</v>
      </c>
      <c r="Q2118">
        <v>1</v>
      </c>
      <c r="R2118" t="s">
        <v>40438</v>
      </c>
      <c r="S2118" t="s">
        <v>40582</v>
      </c>
      <c r="T2118" t="s">
        <v>42111</v>
      </c>
      <c r="U2118" t="s">
        <v>44461</v>
      </c>
      <c r="W2118" t="s">
        <v>37932</v>
      </c>
      <c r="X2118" t="s">
        <v>40439</v>
      </c>
    </row>
    <row r="2119" spans="1:24">
      <c r="A2119">
        <f>HYPERLINK("https://www.philgeps.gov.ph/GEPSNONPILOT/Tender/SplashBidNoticeAbstractUI.aspx?menuIndex=3&amp;refID=7049553&amp;Result=3","7049553")</f>
        <v>0</v>
      </c>
      <c r="B2119" t="s">
        <v>913</v>
      </c>
      <c r="C2119" t="s">
        <v>5126</v>
      </c>
      <c r="D2119" t="s">
        <v>16210</v>
      </c>
      <c r="E2119" t="s">
        <v>18241</v>
      </c>
      <c r="F2119" t="s">
        <v>28198</v>
      </c>
      <c r="G2119" t="s">
        <v>28207</v>
      </c>
      <c r="H2119" t="s">
        <v>28215</v>
      </c>
      <c r="I2119" t="s">
        <v>5082</v>
      </c>
      <c r="J2119" t="s">
        <v>28350</v>
      </c>
      <c r="K2119" t="s">
        <v>36689</v>
      </c>
      <c r="M2119" t="s">
        <v>37932</v>
      </c>
      <c r="N2119" t="s">
        <v>40436</v>
      </c>
      <c r="O2119" t="s">
        <v>40437</v>
      </c>
      <c r="P2119">
        <v>0</v>
      </c>
      <c r="Q2119">
        <v>8</v>
      </c>
      <c r="R2119" t="s">
        <v>40438</v>
      </c>
      <c r="S2119" t="s">
        <v>40582</v>
      </c>
      <c r="T2119" t="s">
        <v>42111</v>
      </c>
      <c r="U2119" t="s">
        <v>44462</v>
      </c>
      <c r="W2119" t="s">
        <v>37932</v>
      </c>
      <c r="X2119" t="s">
        <v>40439</v>
      </c>
    </row>
    <row r="2120" spans="1:24">
      <c r="A2120">
        <f>HYPERLINK("https://www.philgeps.gov.ph/GEPSNONPILOT/Tender/SplashBidNoticeAbstractUI.aspx?menuIndex=3&amp;refID=7049585&amp;Result=3","7049585")</f>
        <v>0</v>
      </c>
      <c r="B2120" t="s">
        <v>532</v>
      </c>
      <c r="C2120" t="s">
        <v>5127</v>
      </c>
      <c r="D2120" t="s">
        <v>16208</v>
      </c>
      <c r="E2120" t="s">
        <v>18242</v>
      </c>
      <c r="F2120" t="s">
        <v>28198</v>
      </c>
      <c r="G2120" t="s">
        <v>28205</v>
      </c>
      <c r="H2120" t="s">
        <v>28214</v>
      </c>
      <c r="I2120" t="s">
        <v>3797</v>
      </c>
      <c r="J2120" t="s">
        <v>29786</v>
      </c>
      <c r="K2120" t="s">
        <v>36690</v>
      </c>
      <c r="M2120" t="s">
        <v>37946</v>
      </c>
      <c r="N2120" t="s">
        <v>40436</v>
      </c>
      <c r="O2120" t="s">
        <v>40437</v>
      </c>
      <c r="P2120">
        <v>0</v>
      </c>
      <c r="Q2120">
        <v>0</v>
      </c>
      <c r="R2120" t="s">
        <v>40438</v>
      </c>
      <c r="S2120" t="s">
        <v>40582</v>
      </c>
      <c r="T2120" t="s">
        <v>42139</v>
      </c>
      <c r="U2120" t="s">
        <v>44463</v>
      </c>
      <c r="W2120" t="s">
        <v>37946</v>
      </c>
      <c r="X2120" t="s">
        <v>40439</v>
      </c>
    </row>
    <row r="2121" spans="1:24">
      <c r="A2121">
        <f>HYPERLINK("https://www.philgeps.gov.ph/GEPSNONPILOT/Tender/SplashBidNoticeAbstractUI.aspx?menuIndex=3&amp;refID=7049571&amp;Result=3","7049571")</f>
        <v>0</v>
      </c>
      <c r="B2121" t="s">
        <v>927</v>
      </c>
      <c r="C2121" t="s">
        <v>5128</v>
      </c>
      <c r="D2121" t="s">
        <v>16193</v>
      </c>
      <c r="E2121" t="s">
        <v>16639</v>
      </c>
      <c r="F2121" t="s">
        <v>28198</v>
      </c>
      <c r="G2121" t="s">
        <v>28205</v>
      </c>
      <c r="H2121" t="s">
        <v>28214</v>
      </c>
      <c r="I2121" t="s">
        <v>28239</v>
      </c>
      <c r="J2121" t="s">
        <v>28787</v>
      </c>
      <c r="K2121" t="s">
        <v>36687</v>
      </c>
      <c r="M2121" t="s">
        <v>37947</v>
      </c>
      <c r="N2121" t="s">
        <v>40436</v>
      </c>
      <c r="O2121" t="s">
        <v>40437</v>
      </c>
      <c r="P2121">
        <v>0</v>
      </c>
      <c r="Q2121">
        <v>0</v>
      </c>
      <c r="R2121" t="s">
        <v>40438</v>
      </c>
      <c r="S2121" t="s">
        <v>40582</v>
      </c>
      <c r="T2121" t="s">
        <v>42278</v>
      </c>
      <c r="U2121" t="s">
        <v>44464</v>
      </c>
      <c r="W2121" t="s">
        <v>37947</v>
      </c>
      <c r="X2121" t="s">
        <v>40439</v>
      </c>
    </row>
    <row r="2122" spans="1:24">
      <c r="A2122">
        <f>HYPERLINK("https://www.philgeps.gov.ph/GEPSNONPILOT/Tender/SplashBidNoticeAbstractUI.aspx?menuIndex=3&amp;refID=7049586&amp;Result=3","7049586")</f>
        <v>0</v>
      </c>
      <c r="B2122" t="s">
        <v>905</v>
      </c>
      <c r="C2122" t="s">
        <v>5129</v>
      </c>
      <c r="D2122" t="s">
        <v>16199</v>
      </c>
      <c r="E2122" t="s">
        <v>18243</v>
      </c>
      <c r="F2122" t="s">
        <v>28198</v>
      </c>
      <c r="G2122" t="s">
        <v>28207</v>
      </c>
      <c r="H2122" t="s">
        <v>28215</v>
      </c>
      <c r="I2122" t="s">
        <v>28248</v>
      </c>
      <c r="J2122" t="s">
        <v>28629</v>
      </c>
      <c r="K2122" t="s">
        <v>36701</v>
      </c>
      <c r="M2122" t="s">
        <v>37923</v>
      </c>
      <c r="N2122" t="s">
        <v>40436</v>
      </c>
      <c r="O2122" t="s">
        <v>40437</v>
      </c>
      <c r="P2122">
        <v>0</v>
      </c>
      <c r="Q2122">
        <v>8</v>
      </c>
      <c r="R2122" t="s">
        <v>40438</v>
      </c>
      <c r="S2122" t="s">
        <v>40582</v>
      </c>
      <c r="T2122" t="s">
        <v>42119</v>
      </c>
      <c r="U2122" t="s">
        <v>44465</v>
      </c>
      <c r="W2122" t="s">
        <v>37923</v>
      </c>
      <c r="X2122" t="s">
        <v>40439</v>
      </c>
    </row>
    <row r="2123" spans="1:24">
      <c r="A2123">
        <f>HYPERLINK("https://www.philgeps.gov.ph/GEPSNONPILOT/Tender/SplashBidNoticeAbstractUI.aspx?menuIndex=3&amp;refID=7049580&amp;Result=3","7049580")</f>
        <v>0</v>
      </c>
      <c r="B2123" t="s">
        <v>924</v>
      </c>
      <c r="C2123" t="s">
        <v>5130</v>
      </c>
      <c r="E2123" t="s">
        <v>18244</v>
      </c>
      <c r="F2123" t="s">
        <v>28198</v>
      </c>
      <c r="G2123" t="s">
        <v>28205</v>
      </c>
      <c r="H2123" t="s">
        <v>28216</v>
      </c>
      <c r="I2123" t="s">
        <v>28216</v>
      </c>
      <c r="J2123" t="s">
        <v>28699</v>
      </c>
      <c r="K2123" t="s">
        <v>36689</v>
      </c>
      <c r="M2123" t="s">
        <v>37943</v>
      </c>
      <c r="N2123" t="s">
        <v>40436</v>
      </c>
      <c r="O2123" t="s">
        <v>40437</v>
      </c>
      <c r="P2123">
        <v>0</v>
      </c>
      <c r="Q2123">
        <v>4</v>
      </c>
      <c r="R2123" t="s">
        <v>40438</v>
      </c>
      <c r="S2123" t="s">
        <v>40582</v>
      </c>
      <c r="T2123" t="s">
        <v>42102</v>
      </c>
      <c r="U2123" t="s">
        <v>44466</v>
      </c>
      <c r="W2123" t="s">
        <v>37943</v>
      </c>
      <c r="X2123" t="s">
        <v>40439</v>
      </c>
    </row>
    <row r="2124" spans="1:24">
      <c r="A2124">
        <f>HYPERLINK("https://www.philgeps.gov.ph/GEPSNONPILOT/Tender/SplashBidNoticeAbstractUI.aspx?menuIndex=3&amp;refID=7049569&amp;Result=3","7049569")</f>
        <v>0</v>
      </c>
      <c r="B2124" t="s">
        <v>381</v>
      </c>
      <c r="C2124" t="s">
        <v>5131</v>
      </c>
      <c r="D2124" t="s">
        <v>16203</v>
      </c>
      <c r="E2124" t="s">
        <v>18245</v>
      </c>
      <c r="F2124" t="s">
        <v>28198</v>
      </c>
      <c r="G2124" t="s">
        <v>28207</v>
      </c>
      <c r="H2124" t="s">
        <v>28214</v>
      </c>
      <c r="I2124" t="s">
        <v>3797</v>
      </c>
      <c r="J2124" t="s">
        <v>29787</v>
      </c>
      <c r="K2124" t="s">
        <v>36736</v>
      </c>
      <c r="M2124" t="s">
        <v>37361</v>
      </c>
      <c r="N2124" t="s">
        <v>40436</v>
      </c>
      <c r="O2124" t="s">
        <v>40437</v>
      </c>
      <c r="P2124">
        <v>0</v>
      </c>
      <c r="Q2124">
        <v>0</v>
      </c>
      <c r="R2124" t="s">
        <v>40438</v>
      </c>
      <c r="S2124" t="s">
        <v>40582</v>
      </c>
      <c r="T2124" t="s">
        <v>42133</v>
      </c>
      <c r="U2124" t="s">
        <v>44467</v>
      </c>
      <c r="W2124" t="s">
        <v>37361</v>
      </c>
      <c r="X2124" t="s">
        <v>40439</v>
      </c>
    </row>
    <row r="2125" spans="1:24">
      <c r="A2125">
        <f>HYPERLINK("https://www.philgeps.gov.ph/GEPSNONPILOT/Tender/SplashBidNoticeAbstractUI.aspx?menuIndex=3&amp;refID=7049577&amp;Result=3","7049577")</f>
        <v>0</v>
      </c>
      <c r="B2125" t="s">
        <v>216</v>
      </c>
      <c r="C2125" t="s">
        <v>5132</v>
      </c>
      <c r="D2125" t="s">
        <v>16210</v>
      </c>
      <c r="E2125" t="s">
        <v>18246</v>
      </c>
      <c r="F2125" t="s">
        <v>28198</v>
      </c>
      <c r="G2125" t="s">
        <v>28207</v>
      </c>
      <c r="H2125" t="s">
        <v>28215</v>
      </c>
      <c r="I2125" t="s">
        <v>5100</v>
      </c>
      <c r="J2125" t="s">
        <v>28378</v>
      </c>
      <c r="K2125" t="s">
        <v>36707</v>
      </c>
      <c r="M2125" t="s">
        <v>37192</v>
      </c>
      <c r="N2125" t="s">
        <v>40436</v>
      </c>
      <c r="O2125" t="s">
        <v>40437</v>
      </c>
      <c r="P2125">
        <v>0</v>
      </c>
      <c r="Q2125">
        <v>0</v>
      </c>
      <c r="R2125" t="s">
        <v>40438</v>
      </c>
      <c r="S2125" t="s">
        <v>40582</v>
      </c>
      <c r="T2125" t="s">
        <v>42119</v>
      </c>
      <c r="U2125" t="s">
        <v>44468</v>
      </c>
      <c r="V2125" t="s">
        <v>53819</v>
      </c>
      <c r="W2125" t="s">
        <v>37192</v>
      </c>
      <c r="X2125" t="s">
        <v>40439</v>
      </c>
    </row>
    <row r="2126" spans="1:24">
      <c r="A2126">
        <f>HYPERLINK("https://www.philgeps.gov.ph/GEPSNONPILOT/Tender/SplashBidNoticeAbstractUI.aspx?menuIndex=3&amp;refID=7049576&amp;Result=3","7049576")</f>
        <v>0</v>
      </c>
      <c r="B2126" t="s">
        <v>636</v>
      </c>
      <c r="C2126" t="s">
        <v>5133</v>
      </c>
      <c r="D2126" t="s">
        <v>16223</v>
      </c>
      <c r="E2126" t="s">
        <v>18247</v>
      </c>
      <c r="F2126" t="s">
        <v>28198</v>
      </c>
      <c r="G2126" t="s">
        <v>28207</v>
      </c>
      <c r="H2126" t="s">
        <v>28215</v>
      </c>
      <c r="I2126" t="s">
        <v>28225</v>
      </c>
      <c r="J2126" t="s">
        <v>29788</v>
      </c>
      <c r="K2126" t="s">
        <v>36701</v>
      </c>
      <c r="M2126" t="s">
        <v>37629</v>
      </c>
      <c r="N2126" t="s">
        <v>40436</v>
      </c>
      <c r="O2126" t="s">
        <v>40437</v>
      </c>
      <c r="P2126">
        <v>0</v>
      </c>
      <c r="Q2126">
        <v>1</v>
      </c>
      <c r="R2126" t="s">
        <v>40438</v>
      </c>
      <c r="S2126" t="s">
        <v>40582</v>
      </c>
      <c r="T2126" t="s">
        <v>42103</v>
      </c>
      <c r="U2126" t="s">
        <v>44439</v>
      </c>
      <c r="W2126" t="s">
        <v>37629</v>
      </c>
      <c r="X2126" t="s">
        <v>40439</v>
      </c>
    </row>
    <row r="2127" spans="1:24">
      <c r="A2127">
        <f>HYPERLINK("https://www.philgeps.gov.ph/GEPSNONPILOT/Tender/SplashBidNoticeAbstractUI.aspx?menuIndex=3&amp;refID=7049556&amp;Result=3","7049556")</f>
        <v>0</v>
      </c>
      <c r="B2127" t="s">
        <v>928</v>
      </c>
      <c r="C2127" t="s">
        <v>5134</v>
      </c>
      <c r="D2127" t="s">
        <v>16210</v>
      </c>
      <c r="E2127" t="s">
        <v>18248</v>
      </c>
      <c r="F2127" t="s">
        <v>28198</v>
      </c>
      <c r="G2127" t="s">
        <v>28207</v>
      </c>
      <c r="H2127" t="s">
        <v>28215</v>
      </c>
      <c r="I2127" t="s">
        <v>28272</v>
      </c>
      <c r="J2127" t="s">
        <v>28354</v>
      </c>
      <c r="K2127" t="s">
        <v>36691</v>
      </c>
      <c r="M2127" t="s">
        <v>37948</v>
      </c>
      <c r="N2127" t="s">
        <v>40436</v>
      </c>
      <c r="O2127" t="s">
        <v>40437</v>
      </c>
      <c r="P2127">
        <v>0</v>
      </c>
      <c r="Q2127">
        <v>2</v>
      </c>
      <c r="R2127" t="s">
        <v>40438</v>
      </c>
      <c r="S2127" t="s">
        <v>40582</v>
      </c>
      <c r="T2127" t="s">
        <v>42136</v>
      </c>
      <c r="U2127" t="s">
        <v>44469</v>
      </c>
      <c r="W2127" t="s">
        <v>37948</v>
      </c>
      <c r="X2127" t="s">
        <v>40439</v>
      </c>
    </row>
    <row r="2128" spans="1:24">
      <c r="A2128">
        <f>HYPERLINK("https://www.philgeps.gov.ph/GEPSNONPILOT/Tender/SplashBidNoticeAbstractUI.aspx?menuIndex=3&amp;refID=7049579&amp;Result=3","7049579")</f>
        <v>0</v>
      </c>
      <c r="B2128" t="s">
        <v>913</v>
      </c>
      <c r="C2128" t="s">
        <v>5135</v>
      </c>
      <c r="D2128" t="s">
        <v>16187</v>
      </c>
      <c r="E2128" t="s">
        <v>18249</v>
      </c>
      <c r="F2128" t="s">
        <v>28198</v>
      </c>
      <c r="G2128" t="s">
        <v>28207</v>
      </c>
      <c r="H2128" t="s">
        <v>28215</v>
      </c>
      <c r="I2128" t="s">
        <v>5100</v>
      </c>
      <c r="J2128" t="s">
        <v>28629</v>
      </c>
      <c r="K2128" t="s">
        <v>36715</v>
      </c>
      <c r="M2128" t="s">
        <v>37932</v>
      </c>
      <c r="N2128" t="s">
        <v>40436</v>
      </c>
      <c r="O2128" t="s">
        <v>40437</v>
      </c>
      <c r="P2128">
        <v>0</v>
      </c>
      <c r="Q2128">
        <v>1</v>
      </c>
      <c r="R2128" t="s">
        <v>40438</v>
      </c>
      <c r="S2128" t="s">
        <v>40582</v>
      </c>
      <c r="T2128" t="s">
        <v>42111</v>
      </c>
      <c r="U2128" t="s">
        <v>44470</v>
      </c>
      <c r="W2128" t="s">
        <v>37932</v>
      </c>
      <c r="X2128" t="s">
        <v>40439</v>
      </c>
    </row>
    <row r="2129" spans="1:24">
      <c r="A2129">
        <f>HYPERLINK("https://www.philgeps.gov.ph/GEPSNONPILOT/Tender/SplashBidNoticeAbstractUI.aspx?menuIndex=3&amp;refID=7049581&amp;Result=3","7049581")</f>
        <v>0</v>
      </c>
      <c r="B2129" t="s">
        <v>216</v>
      </c>
      <c r="C2129" t="s">
        <v>5136</v>
      </c>
      <c r="D2129" t="s">
        <v>16210</v>
      </c>
      <c r="E2129" t="s">
        <v>18250</v>
      </c>
      <c r="F2129" t="s">
        <v>28198</v>
      </c>
      <c r="G2129" t="s">
        <v>28207</v>
      </c>
      <c r="H2129" t="s">
        <v>28215</v>
      </c>
      <c r="I2129" t="s">
        <v>3774</v>
      </c>
      <c r="J2129" t="s">
        <v>29789</v>
      </c>
      <c r="K2129" t="s">
        <v>36707</v>
      </c>
      <c r="M2129" t="s">
        <v>37192</v>
      </c>
      <c r="N2129" t="s">
        <v>40436</v>
      </c>
      <c r="O2129" t="s">
        <v>40437</v>
      </c>
      <c r="P2129">
        <v>0</v>
      </c>
      <c r="Q2129">
        <v>0</v>
      </c>
      <c r="R2129" t="s">
        <v>40438</v>
      </c>
      <c r="S2129" t="s">
        <v>40582</v>
      </c>
      <c r="T2129" t="s">
        <v>42119</v>
      </c>
      <c r="U2129" t="s">
        <v>44471</v>
      </c>
      <c r="V2129" t="s">
        <v>53819</v>
      </c>
      <c r="W2129" t="s">
        <v>37192</v>
      </c>
      <c r="X2129" t="s">
        <v>40439</v>
      </c>
    </row>
    <row r="2130" spans="1:24">
      <c r="A2130">
        <f>HYPERLINK("https://www.philgeps.gov.ph/GEPSNONPILOT/Tender/SplashBidNoticeAbstractUI.aspx?menuIndex=3&amp;refID=7049592&amp;Result=3","7049592")</f>
        <v>0</v>
      </c>
      <c r="B2130" t="s">
        <v>216</v>
      </c>
      <c r="C2130" t="s">
        <v>5137</v>
      </c>
      <c r="D2130" t="s">
        <v>16210</v>
      </c>
      <c r="E2130" t="s">
        <v>18251</v>
      </c>
      <c r="F2130" t="s">
        <v>28198</v>
      </c>
      <c r="G2130" t="s">
        <v>28207</v>
      </c>
      <c r="H2130" t="s">
        <v>28215</v>
      </c>
      <c r="I2130" t="s">
        <v>4200</v>
      </c>
      <c r="J2130" t="s">
        <v>29790</v>
      </c>
      <c r="K2130" t="s">
        <v>36707</v>
      </c>
      <c r="M2130" t="s">
        <v>37192</v>
      </c>
      <c r="N2130" t="s">
        <v>40436</v>
      </c>
      <c r="O2130" t="s">
        <v>40437</v>
      </c>
      <c r="P2130">
        <v>0</v>
      </c>
      <c r="Q2130">
        <v>2</v>
      </c>
      <c r="R2130" t="s">
        <v>40438</v>
      </c>
      <c r="S2130" t="s">
        <v>40582</v>
      </c>
      <c r="T2130" t="s">
        <v>42119</v>
      </c>
      <c r="U2130" t="s">
        <v>44472</v>
      </c>
      <c r="V2130" t="s">
        <v>53819</v>
      </c>
      <c r="W2130" t="s">
        <v>37192</v>
      </c>
      <c r="X2130" t="s">
        <v>40439</v>
      </c>
    </row>
    <row r="2131" spans="1:24">
      <c r="A2131">
        <f>HYPERLINK("https://www.philgeps.gov.ph/GEPSNONPILOT/Tender/SplashBidNoticeAbstractUI.aspx?menuIndex=3&amp;refID=7049591&amp;Result=3","7049591")</f>
        <v>0</v>
      </c>
      <c r="B2131" t="s">
        <v>460</v>
      </c>
      <c r="C2131" t="s">
        <v>5138</v>
      </c>
      <c r="E2131" t="s">
        <v>18252</v>
      </c>
      <c r="F2131" t="s">
        <v>28198</v>
      </c>
      <c r="G2131" t="s">
        <v>28207</v>
      </c>
      <c r="H2131" t="s">
        <v>28215</v>
      </c>
      <c r="I2131" t="s">
        <v>5100</v>
      </c>
      <c r="J2131" t="s">
        <v>28932</v>
      </c>
      <c r="K2131" t="s">
        <v>36707</v>
      </c>
      <c r="M2131" t="s">
        <v>37444</v>
      </c>
      <c r="N2131" t="s">
        <v>40436</v>
      </c>
      <c r="O2131" t="s">
        <v>40437</v>
      </c>
      <c r="P2131">
        <v>0</v>
      </c>
      <c r="Q2131">
        <v>0</v>
      </c>
      <c r="R2131" t="s">
        <v>40438</v>
      </c>
      <c r="S2131" t="s">
        <v>40582</v>
      </c>
      <c r="T2131" t="s">
        <v>42142</v>
      </c>
      <c r="U2131" t="s">
        <v>43405</v>
      </c>
      <c r="W2131" t="s">
        <v>37444</v>
      </c>
      <c r="X2131" t="s">
        <v>40439</v>
      </c>
    </row>
    <row r="2132" spans="1:24">
      <c r="A2132">
        <f>HYPERLINK("https://www.philgeps.gov.ph/GEPSNONPILOT/Tender/SplashBidNoticeAbstractUI.aspx?menuIndex=3&amp;refID=7049588&amp;Result=3","7049588")</f>
        <v>0</v>
      </c>
      <c r="B2132" t="s">
        <v>929</v>
      </c>
      <c r="C2132" t="s">
        <v>5139</v>
      </c>
      <c r="D2132" t="s">
        <v>16224</v>
      </c>
      <c r="E2132" t="s">
        <v>18253</v>
      </c>
      <c r="F2132" t="s">
        <v>28198</v>
      </c>
      <c r="G2132" t="s">
        <v>28207</v>
      </c>
      <c r="H2132" t="s">
        <v>28215</v>
      </c>
      <c r="I2132" t="s">
        <v>28225</v>
      </c>
      <c r="J2132" t="s">
        <v>29791</v>
      </c>
      <c r="K2132" t="s">
        <v>36706</v>
      </c>
      <c r="M2132" t="s">
        <v>37949</v>
      </c>
      <c r="N2132" t="s">
        <v>40436</v>
      </c>
      <c r="O2132" t="s">
        <v>40437</v>
      </c>
      <c r="P2132">
        <v>0</v>
      </c>
      <c r="Q2132">
        <v>4</v>
      </c>
      <c r="R2132" t="s">
        <v>40438</v>
      </c>
      <c r="S2132" t="s">
        <v>40582</v>
      </c>
      <c r="T2132" t="s">
        <v>42124</v>
      </c>
      <c r="U2132" t="s">
        <v>44473</v>
      </c>
      <c r="W2132" t="s">
        <v>37949</v>
      </c>
      <c r="X2132" t="s">
        <v>40439</v>
      </c>
    </row>
    <row r="2133" spans="1:24">
      <c r="A2133">
        <f>HYPERLINK("https://www.philgeps.gov.ph/GEPSNONPILOT/Tender/SplashBidNoticeAbstractUI.aspx?menuIndex=3&amp;refID=7049589&amp;Result=3","7049589")</f>
        <v>0</v>
      </c>
      <c r="B2133" t="s">
        <v>36</v>
      </c>
      <c r="C2133" t="s">
        <v>5140</v>
      </c>
      <c r="D2133" t="s">
        <v>16196</v>
      </c>
      <c r="E2133" t="s">
        <v>18254</v>
      </c>
      <c r="F2133" t="s">
        <v>28200</v>
      </c>
      <c r="G2133" t="s">
        <v>28205</v>
      </c>
      <c r="H2133" t="s">
        <v>28214</v>
      </c>
      <c r="I2133" t="s">
        <v>3797</v>
      </c>
      <c r="J2133" t="s">
        <v>28597</v>
      </c>
      <c r="K2133" t="s">
        <v>36715</v>
      </c>
      <c r="M2133" t="s">
        <v>37005</v>
      </c>
      <c r="N2133" t="s">
        <v>40436</v>
      </c>
      <c r="O2133" t="s">
        <v>40437</v>
      </c>
      <c r="P2133">
        <v>0</v>
      </c>
      <c r="Q2133">
        <v>2</v>
      </c>
      <c r="R2133" t="s">
        <v>40438</v>
      </c>
      <c r="S2133" t="s">
        <v>40582</v>
      </c>
      <c r="T2133" t="s">
        <v>42109</v>
      </c>
      <c r="U2133" t="s">
        <v>44474</v>
      </c>
      <c r="W2133" t="s">
        <v>37005</v>
      </c>
      <c r="X2133" t="s">
        <v>40439</v>
      </c>
    </row>
    <row r="2134" spans="1:24">
      <c r="A2134">
        <f>HYPERLINK("https://www.philgeps.gov.ph/GEPSNONPILOT/Tender/SplashBidNoticeAbstractUI.aspx?menuIndex=3&amp;refID=7049593&amp;Result=3","7049593")</f>
        <v>0</v>
      </c>
      <c r="B2134" t="s">
        <v>865</v>
      </c>
      <c r="C2134" t="s">
        <v>5141</v>
      </c>
      <c r="E2134" t="s">
        <v>18255</v>
      </c>
      <c r="F2134" t="s">
        <v>28198</v>
      </c>
      <c r="G2134" t="s">
        <v>28205</v>
      </c>
      <c r="H2134" t="s">
        <v>28215</v>
      </c>
      <c r="I2134" t="s">
        <v>28225</v>
      </c>
      <c r="J2134" t="s">
        <v>28818</v>
      </c>
      <c r="K2134" t="s">
        <v>36701</v>
      </c>
      <c r="M2134" t="s">
        <v>37950</v>
      </c>
      <c r="N2134" t="s">
        <v>40436</v>
      </c>
      <c r="O2134" t="s">
        <v>40437</v>
      </c>
      <c r="P2134">
        <v>0</v>
      </c>
      <c r="Q2134">
        <v>5</v>
      </c>
      <c r="R2134" t="s">
        <v>40438</v>
      </c>
      <c r="S2134" t="s">
        <v>40582</v>
      </c>
      <c r="T2134" t="s">
        <v>42135</v>
      </c>
      <c r="U2134" t="s">
        <v>44475</v>
      </c>
      <c r="W2134" t="s">
        <v>37950</v>
      </c>
      <c r="X2134" t="s">
        <v>40439</v>
      </c>
    </row>
    <row r="2135" spans="1:24">
      <c r="A2135">
        <f>HYPERLINK("https://www.philgeps.gov.ph/GEPSNONPILOT/Tender/SplashBidNoticeAbstractUI.aspx?menuIndex=3&amp;refID=7049572&amp;Result=3","7049572")</f>
        <v>0</v>
      </c>
      <c r="B2135" t="s">
        <v>913</v>
      </c>
      <c r="C2135" t="s">
        <v>5142</v>
      </c>
      <c r="D2135" t="s">
        <v>16210</v>
      </c>
      <c r="E2135" t="s">
        <v>18256</v>
      </c>
      <c r="F2135" t="s">
        <v>28198</v>
      </c>
      <c r="G2135" t="s">
        <v>28207</v>
      </c>
      <c r="H2135" t="s">
        <v>28215</v>
      </c>
      <c r="I2135" t="s">
        <v>28226</v>
      </c>
      <c r="J2135" t="s">
        <v>29792</v>
      </c>
      <c r="K2135" t="s">
        <v>36689</v>
      </c>
      <c r="M2135" t="s">
        <v>37932</v>
      </c>
      <c r="N2135" t="s">
        <v>40436</v>
      </c>
      <c r="O2135" t="s">
        <v>40437</v>
      </c>
      <c r="P2135">
        <v>0</v>
      </c>
      <c r="Q2135">
        <v>1</v>
      </c>
      <c r="R2135" t="s">
        <v>40438</v>
      </c>
      <c r="S2135" t="s">
        <v>40582</v>
      </c>
      <c r="T2135" t="s">
        <v>42111</v>
      </c>
      <c r="U2135" t="s">
        <v>44476</v>
      </c>
      <c r="W2135" t="s">
        <v>37932</v>
      </c>
      <c r="X2135" t="s">
        <v>40439</v>
      </c>
    </row>
    <row r="2136" spans="1:24">
      <c r="A2136">
        <f>HYPERLINK("https://www.philgeps.gov.ph/GEPSNONPILOT/Tender/SplashBidNoticeAbstractUI.aspx?menuIndex=3&amp;refID=7049582&amp;Result=3","7049582")</f>
        <v>0</v>
      </c>
      <c r="B2136" t="s">
        <v>913</v>
      </c>
      <c r="C2136" t="s">
        <v>5143</v>
      </c>
      <c r="D2136" t="s">
        <v>16187</v>
      </c>
      <c r="E2136" t="s">
        <v>18257</v>
      </c>
      <c r="F2136" t="s">
        <v>28198</v>
      </c>
      <c r="G2136" t="s">
        <v>28207</v>
      </c>
      <c r="H2136" t="s">
        <v>28215</v>
      </c>
      <c r="I2136" t="s">
        <v>5100</v>
      </c>
      <c r="J2136" t="s">
        <v>28362</v>
      </c>
      <c r="K2136" t="s">
        <v>36701</v>
      </c>
      <c r="M2136" t="s">
        <v>37932</v>
      </c>
      <c r="N2136" t="s">
        <v>40436</v>
      </c>
      <c r="O2136" t="s">
        <v>40437</v>
      </c>
      <c r="P2136">
        <v>0</v>
      </c>
      <c r="Q2136">
        <v>0</v>
      </c>
      <c r="R2136" t="s">
        <v>40438</v>
      </c>
      <c r="S2136" t="s">
        <v>40582</v>
      </c>
      <c r="T2136" t="s">
        <v>42111</v>
      </c>
      <c r="U2136" t="s">
        <v>44477</v>
      </c>
      <c r="W2136" t="s">
        <v>37932</v>
      </c>
      <c r="X2136" t="s">
        <v>40439</v>
      </c>
    </row>
    <row r="2137" spans="1:24">
      <c r="A2137">
        <f>HYPERLINK("https://www.philgeps.gov.ph/GEPSNONPILOT/Tender/SplashBidNoticeAbstractUI.aspx?menuIndex=3&amp;refID=7049590&amp;Result=3","7049590")</f>
        <v>0</v>
      </c>
      <c r="B2137" t="s">
        <v>930</v>
      </c>
      <c r="C2137" t="s">
        <v>5144</v>
      </c>
      <c r="D2137" t="s">
        <v>16221</v>
      </c>
      <c r="E2137" t="s">
        <v>18258</v>
      </c>
      <c r="F2137" t="s">
        <v>28198</v>
      </c>
      <c r="G2137" t="s">
        <v>28207</v>
      </c>
      <c r="H2137" t="s">
        <v>28215</v>
      </c>
      <c r="I2137" t="s">
        <v>28216</v>
      </c>
      <c r="J2137" t="s">
        <v>28694</v>
      </c>
      <c r="K2137" t="s">
        <v>36689</v>
      </c>
      <c r="M2137" t="s">
        <v>37951</v>
      </c>
      <c r="N2137" t="s">
        <v>40436</v>
      </c>
      <c r="O2137" t="s">
        <v>40437</v>
      </c>
      <c r="P2137">
        <v>0</v>
      </c>
      <c r="Q2137">
        <v>1</v>
      </c>
      <c r="R2137" t="s">
        <v>40438</v>
      </c>
      <c r="S2137" t="s">
        <v>40582</v>
      </c>
      <c r="T2137" t="s">
        <v>42119</v>
      </c>
      <c r="U2137" t="s">
        <v>44478</v>
      </c>
      <c r="W2137" t="s">
        <v>37951</v>
      </c>
      <c r="X2137" t="s">
        <v>40439</v>
      </c>
    </row>
    <row r="2138" spans="1:24">
      <c r="A2138">
        <f>HYPERLINK("https://www.philgeps.gov.ph/GEPSNONPILOT/Tender/SplashBidNoticeAbstractUI.aspx?menuIndex=3&amp;refID=7049594&amp;Result=3","7049594")</f>
        <v>0</v>
      </c>
      <c r="B2138" t="s">
        <v>913</v>
      </c>
      <c r="C2138" t="s">
        <v>5145</v>
      </c>
      <c r="D2138" t="s">
        <v>16187</v>
      </c>
      <c r="E2138" t="s">
        <v>18259</v>
      </c>
      <c r="F2138" t="s">
        <v>28198</v>
      </c>
      <c r="G2138" t="s">
        <v>28207</v>
      </c>
      <c r="H2138" t="s">
        <v>28215</v>
      </c>
      <c r="I2138" t="s">
        <v>28247</v>
      </c>
      <c r="J2138" t="s">
        <v>28597</v>
      </c>
      <c r="K2138" t="s">
        <v>36689</v>
      </c>
      <c r="M2138" t="s">
        <v>37932</v>
      </c>
      <c r="N2138" t="s">
        <v>40436</v>
      </c>
      <c r="O2138" t="s">
        <v>40437</v>
      </c>
      <c r="P2138">
        <v>0</v>
      </c>
      <c r="Q2138">
        <v>8</v>
      </c>
      <c r="R2138" t="s">
        <v>40438</v>
      </c>
      <c r="S2138" t="s">
        <v>40582</v>
      </c>
      <c r="T2138" t="s">
        <v>42111</v>
      </c>
      <c r="U2138" t="s">
        <v>44479</v>
      </c>
      <c r="W2138" t="s">
        <v>37932</v>
      </c>
      <c r="X2138" t="s">
        <v>40439</v>
      </c>
    </row>
    <row r="2139" spans="1:24">
      <c r="A2139">
        <f>HYPERLINK("https://www.philgeps.gov.ph/GEPSNONPILOT/Tender/SplashBidNoticeAbstractUI.aspx?menuIndex=3&amp;refID=7049584&amp;Result=3","7049584")</f>
        <v>0</v>
      </c>
      <c r="B2139" t="s">
        <v>931</v>
      </c>
      <c r="C2139" t="s">
        <v>5146</v>
      </c>
      <c r="D2139" t="s">
        <v>16199</v>
      </c>
      <c r="E2139" t="s">
        <v>18260</v>
      </c>
      <c r="F2139" t="s">
        <v>28198</v>
      </c>
      <c r="G2139" t="s">
        <v>28207</v>
      </c>
      <c r="H2139" t="s">
        <v>28215</v>
      </c>
      <c r="I2139" t="s">
        <v>28251</v>
      </c>
      <c r="J2139" t="s">
        <v>28345</v>
      </c>
      <c r="K2139" t="s">
        <v>36689</v>
      </c>
      <c r="M2139" t="s">
        <v>37952</v>
      </c>
      <c r="N2139" t="s">
        <v>40436</v>
      </c>
      <c r="O2139" t="s">
        <v>40437</v>
      </c>
      <c r="P2139">
        <v>0</v>
      </c>
      <c r="Q2139">
        <v>3</v>
      </c>
      <c r="R2139" t="s">
        <v>40438</v>
      </c>
      <c r="S2139" t="s">
        <v>40582</v>
      </c>
      <c r="T2139" t="s">
        <v>42124</v>
      </c>
      <c r="U2139" t="s">
        <v>44480</v>
      </c>
      <c r="W2139" t="s">
        <v>37952</v>
      </c>
      <c r="X2139" t="s">
        <v>40439</v>
      </c>
    </row>
    <row r="2140" spans="1:24">
      <c r="A2140">
        <f>HYPERLINK("https://www.philgeps.gov.ph/GEPSNONPILOT/Tender/SplashBidNoticeAbstractUI.aspx?menuIndex=3&amp;refID=7049573&amp;Result=3","7049573")</f>
        <v>0</v>
      </c>
      <c r="B2140" t="s">
        <v>208</v>
      </c>
      <c r="C2140" t="s">
        <v>5147</v>
      </c>
      <c r="E2140" t="s">
        <v>18261</v>
      </c>
      <c r="F2140" t="s">
        <v>28198</v>
      </c>
      <c r="G2140" t="s">
        <v>28207</v>
      </c>
      <c r="H2140" t="s">
        <v>28215</v>
      </c>
      <c r="I2140" t="s">
        <v>5082</v>
      </c>
      <c r="J2140" t="s">
        <v>29793</v>
      </c>
      <c r="K2140" t="s">
        <v>36689</v>
      </c>
      <c r="M2140" t="s">
        <v>37184</v>
      </c>
      <c r="N2140" t="s">
        <v>40436</v>
      </c>
      <c r="O2140" t="s">
        <v>40437</v>
      </c>
      <c r="P2140">
        <v>0</v>
      </c>
      <c r="Q2140">
        <v>0</v>
      </c>
      <c r="R2140" t="s">
        <v>40438</v>
      </c>
      <c r="S2140" t="s">
        <v>40582</v>
      </c>
      <c r="T2140" t="s">
        <v>42119</v>
      </c>
      <c r="U2140" t="s">
        <v>44481</v>
      </c>
      <c r="W2140" t="s">
        <v>37184</v>
      </c>
      <c r="X2140" t="s">
        <v>40439</v>
      </c>
    </row>
    <row r="2141" spans="1:24">
      <c r="A2141">
        <f>HYPERLINK("https://www.philgeps.gov.ph/GEPSNONPILOT/Tender/SplashBidNoticeAbstractUI.aspx?menuIndex=3&amp;refID=7049607&amp;Result=3","7049607")</f>
        <v>0</v>
      </c>
      <c r="B2141" t="s">
        <v>932</v>
      </c>
      <c r="C2141" t="s">
        <v>5148</v>
      </c>
      <c r="D2141" t="s">
        <v>16228</v>
      </c>
      <c r="E2141" t="s">
        <v>18262</v>
      </c>
      <c r="F2141" t="s">
        <v>28198</v>
      </c>
      <c r="G2141" t="s">
        <v>28206</v>
      </c>
      <c r="H2141" t="s">
        <v>28215</v>
      </c>
      <c r="I2141" t="s">
        <v>28246</v>
      </c>
      <c r="J2141" t="s">
        <v>29794</v>
      </c>
      <c r="K2141" t="s">
        <v>36698</v>
      </c>
      <c r="M2141" t="s">
        <v>37953</v>
      </c>
      <c r="N2141" t="s">
        <v>40436</v>
      </c>
      <c r="O2141" t="s">
        <v>40437</v>
      </c>
      <c r="P2141">
        <v>0</v>
      </c>
      <c r="Q2141">
        <v>0</v>
      </c>
      <c r="R2141" t="s">
        <v>40438</v>
      </c>
      <c r="S2141" t="s">
        <v>40582</v>
      </c>
      <c r="T2141" t="s">
        <v>42158</v>
      </c>
      <c r="U2141" t="s">
        <v>44482</v>
      </c>
      <c r="W2141" t="s">
        <v>37953</v>
      </c>
      <c r="X2141" t="s">
        <v>40439</v>
      </c>
    </row>
    <row r="2142" spans="1:24">
      <c r="A2142">
        <f>HYPERLINK("https://www.philgeps.gov.ph/GEPSNONPILOT/Tender/SplashBidNoticeAbstractUI.aspx?menuIndex=3&amp;refID=7049557&amp;Result=3","7049557")</f>
        <v>0</v>
      </c>
      <c r="B2142" t="s">
        <v>914</v>
      </c>
      <c r="C2142" t="s">
        <v>5149</v>
      </c>
      <c r="D2142" t="s">
        <v>16210</v>
      </c>
      <c r="E2142" t="s">
        <v>18263</v>
      </c>
      <c r="F2142" t="s">
        <v>28198</v>
      </c>
      <c r="G2142" t="s">
        <v>28205</v>
      </c>
      <c r="H2142" t="s">
        <v>28215</v>
      </c>
      <c r="I2142" t="s">
        <v>28238</v>
      </c>
      <c r="J2142" t="s">
        <v>29795</v>
      </c>
      <c r="K2142" t="s">
        <v>36701</v>
      </c>
      <c r="M2142" t="s">
        <v>37933</v>
      </c>
      <c r="N2142" t="s">
        <v>40436</v>
      </c>
      <c r="O2142" t="s">
        <v>40437</v>
      </c>
      <c r="P2142">
        <v>0</v>
      </c>
      <c r="Q2142">
        <v>7</v>
      </c>
      <c r="R2142" t="s">
        <v>40438</v>
      </c>
      <c r="S2142" t="s">
        <v>40582</v>
      </c>
      <c r="T2142" t="s">
        <v>42197</v>
      </c>
      <c r="U2142" t="s">
        <v>44419</v>
      </c>
      <c r="V2142" t="s">
        <v>54014</v>
      </c>
      <c r="W2142" t="s">
        <v>37933</v>
      </c>
      <c r="X2142" t="s">
        <v>40439</v>
      </c>
    </row>
    <row r="2143" spans="1:24">
      <c r="A2143">
        <f>HYPERLINK("https://www.philgeps.gov.ph/GEPSNONPILOT/Tender/SplashBidNoticeAbstractUI.aspx?menuIndex=3&amp;refID=7049599&amp;Result=3","7049599")</f>
        <v>0</v>
      </c>
      <c r="B2143" t="s">
        <v>929</v>
      </c>
      <c r="C2143" t="s">
        <v>5150</v>
      </c>
      <c r="D2143" t="s">
        <v>16224</v>
      </c>
      <c r="E2143" t="s">
        <v>18264</v>
      </c>
      <c r="F2143" t="s">
        <v>28198</v>
      </c>
      <c r="G2143" t="s">
        <v>28207</v>
      </c>
      <c r="H2143" t="s">
        <v>28215</v>
      </c>
      <c r="I2143" t="s">
        <v>8888</v>
      </c>
      <c r="J2143" t="s">
        <v>29796</v>
      </c>
      <c r="K2143" t="s">
        <v>36706</v>
      </c>
      <c r="M2143" t="s">
        <v>37949</v>
      </c>
      <c r="N2143" t="s">
        <v>40436</v>
      </c>
      <c r="O2143" t="s">
        <v>40437</v>
      </c>
      <c r="P2143">
        <v>0</v>
      </c>
      <c r="Q2143">
        <v>3</v>
      </c>
      <c r="R2143" t="s">
        <v>40438</v>
      </c>
      <c r="S2143" t="s">
        <v>40582</v>
      </c>
      <c r="T2143" t="s">
        <v>42124</v>
      </c>
      <c r="U2143" t="s">
        <v>44483</v>
      </c>
      <c r="W2143" t="s">
        <v>37949</v>
      </c>
      <c r="X2143" t="s">
        <v>40439</v>
      </c>
    </row>
    <row r="2144" spans="1:24">
      <c r="A2144">
        <f>HYPERLINK("https://www.philgeps.gov.ph/GEPSNONPILOT/Tender/SplashBidNoticeAbstractUI.aspx?menuIndex=3&amp;refID=7049605&amp;Result=3","7049605")</f>
        <v>0</v>
      </c>
      <c r="B2144" t="s">
        <v>899</v>
      </c>
      <c r="C2144" t="s">
        <v>5151</v>
      </c>
      <c r="D2144" t="s">
        <v>16210</v>
      </c>
      <c r="E2144" t="s">
        <v>18265</v>
      </c>
      <c r="F2144" t="s">
        <v>28198</v>
      </c>
      <c r="G2144" t="s">
        <v>28207</v>
      </c>
      <c r="H2144" t="s">
        <v>28215</v>
      </c>
      <c r="I2144" t="s">
        <v>28225</v>
      </c>
      <c r="J2144" t="s">
        <v>29797</v>
      </c>
      <c r="K2144" t="s">
        <v>36688</v>
      </c>
      <c r="M2144" t="s">
        <v>37954</v>
      </c>
      <c r="N2144" t="s">
        <v>40436</v>
      </c>
      <c r="O2144" t="s">
        <v>40437</v>
      </c>
      <c r="P2144">
        <v>0</v>
      </c>
      <c r="Q2144">
        <v>1</v>
      </c>
      <c r="R2144" t="s">
        <v>40438</v>
      </c>
      <c r="S2144" t="s">
        <v>40582</v>
      </c>
      <c r="T2144" t="s">
        <v>42124</v>
      </c>
      <c r="U2144" t="s">
        <v>44484</v>
      </c>
      <c r="W2144" t="s">
        <v>37954</v>
      </c>
      <c r="X2144" t="s">
        <v>40439</v>
      </c>
    </row>
    <row r="2145" spans="1:24">
      <c r="A2145">
        <f>HYPERLINK("https://www.philgeps.gov.ph/GEPSNONPILOT/Tender/SplashBidNoticeAbstractUI.aspx?menuIndex=3&amp;refID=7049603&amp;Result=3","7049603")</f>
        <v>0</v>
      </c>
      <c r="B2145" t="s">
        <v>933</v>
      </c>
      <c r="C2145" t="s">
        <v>5152</v>
      </c>
      <c r="D2145" t="s">
        <v>16210</v>
      </c>
      <c r="E2145" t="s">
        <v>18266</v>
      </c>
      <c r="F2145" t="s">
        <v>28198</v>
      </c>
      <c r="G2145" t="s">
        <v>28207</v>
      </c>
      <c r="H2145" t="s">
        <v>28215</v>
      </c>
      <c r="I2145" t="s">
        <v>28247</v>
      </c>
      <c r="J2145" t="s">
        <v>29798</v>
      </c>
      <c r="K2145" t="s">
        <v>36691</v>
      </c>
      <c r="M2145" t="s">
        <v>37955</v>
      </c>
      <c r="N2145" t="s">
        <v>40436</v>
      </c>
      <c r="O2145" t="s">
        <v>40437</v>
      </c>
      <c r="P2145">
        <v>0</v>
      </c>
      <c r="Q2145">
        <v>9</v>
      </c>
      <c r="R2145" t="s">
        <v>40438</v>
      </c>
      <c r="S2145" t="s">
        <v>40582</v>
      </c>
      <c r="T2145" t="s">
        <v>42111</v>
      </c>
      <c r="U2145" t="s">
        <v>44485</v>
      </c>
      <c r="V2145" t="s">
        <v>54017</v>
      </c>
      <c r="W2145" t="s">
        <v>37955</v>
      </c>
      <c r="X2145" t="s">
        <v>40439</v>
      </c>
    </row>
    <row r="2146" spans="1:24">
      <c r="A2146">
        <f>HYPERLINK("https://www.philgeps.gov.ph/GEPSNONPILOT/Tender/SplashBidNoticeAbstractUI.aspx?menuIndex=3&amp;refID=7049606&amp;Result=3","7049606")</f>
        <v>0</v>
      </c>
      <c r="B2146" t="s">
        <v>934</v>
      </c>
      <c r="C2146" t="s">
        <v>5153</v>
      </c>
      <c r="D2146" t="s">
        <v>16210</v>
      </c>
      <c r="E2146" t="s">
        <v>18267</v>
      </c>
      <c r="F2146" t="s">
        <v>28198</v>
      </c>
      <c r="G2146" t="s">
        <v>28207</v>
      </c>
      <c r="H2146" t="s">
        <v>28215</v>
      </c>
      <c r="I2146" t="s">
        <v>28248</v>
      </c>
      <c r="J2146" t="s">
        <v>29799</v>
      </c>
      <c r="K2146" t="s">
        <v>36701</v>
      </c>
      <c r="M2146" t="s">
        <v>37956</v>
      </c>
      <c r="N2146" t="s">
        <v>40436</v>
      </c>
      <c r="O2146" t="s">
        <v>40437</v>
      </c>
      <c r="P2146">
        <v>0</v>
      </c>
      <c r="Q2146">
        <v>0</v>
      </c>
      <c r="R2146" t="s">
        <v>40438</v>
      </c>
      <c r="S2146" t="s">
        <v>40582</v>
      </c>
      <c r="T2146" t="s">
        <v>42103</v>
      </c>
      <c r="U2146" t="s">
        <v>44486</v>
      </c>
      <c r="V2146" t="s">
        <v>54018</v>
      </c>
      <c r="W2146" t="s">
        <v>37956</v>
      </c>
      <c r="X2146" t="s">
        <v>40439</v>
      </c>
    </row>
    <row r="2147" spans="1:24">
      <c r="A2147">
        <f>HYPERLINK("https://www.philgeps.gov.ph/GEPSNONPILOT/Tender/SplashBidNoticeAbstractUI.aspx?menuIndex=3&amp;refID=7049574&amp;Result=3","7049574")</f>
        <v>0</v>
      </c>
      <c r="B2147" t="s">
        <v>928</v>
      </c>
      <c r="C2147" t="s">
        <v>5154</v>
      </c>
      <c r="D2147" t="s">
        <v>16210</v>
      </c>
      <c r="E2147" t="s">
        <v>18268</v>
      </c>
      <c r="F2147" t="s">
        <v>28198</v>
      </c>
      <c r="G2147" t="s">
        <v>28207</v>
      </c>
      <c r="H2147" t="s">
        <v>28215</v>
      </c>
      <c r="I2147" t="s">
        <v>4168</v>
      </c>
      <c r="J2147" t="s">
        <v>28354</v>
      </c>
      <c r="K2147" t="s">
        <v>36691</v>
      </c>
      <c r="M2147" t="s">
        <v>37948</v>
      </c>
      <c r="N2147" t="s">
        <v>40436</v>
      </c>
      <c r="O2147" t="s">
        <v>40437</v>
      </c>
      <c r="P2147">
        <v>0</v>
      </c>
      <c r="Q2147">
        <v>6</v>
      </c>
      <c r="R2147" t="s">
        <v>40438</v>
      </c>
      <c r="S2147" t="s">
        <v>40582</v>
      </c>
      <c r="T2147" t="s">
        <v>42111</v>
      </c>
      <c r="U2147" t="s">
        <v>44487</v>
      </c>
      <c r="W2147" t="s">
        <v>37948</v>
      </c>
      <c r="X2147" t="s">
        <v>40439</v>
      </c>
    </row>
    <row r="2148" spans="1:24">
      <c r="A2148">
        <f>HYPERLINK("https://www.philgeps.gov.ph/GEPSNONPILOT/Tender/SplashBidNoticeAbstractUI.aspx?menuIndex=3&amp;refID=7049608&amp;Result=3","7049608")</f>
        <v>0</v>
      </c>
      <c r="B2148" t="s">
        <v>935</v>
      </c>
      <c r="C2148" t="s">
        <v>5155</v>
      </c>
      <c r="D2148" t="s">
        <v>16210</v>
      </c>
      <c r="E2148" t="s">
        <v>18269</v>
      </c>
      <c r="F2148" t="s">
        <v>28198</v>
      </c>
      <c r="G2148" t="s">
        <v>28207</v>
      </c>
      <c r="H2148" t="s">
        <v>28215</v>
      </c>
      <c r="I2148" t="s">
        <v>28274</v>
      </c>
      <c r="J2148" t="s">
        <v>28797</v>
      </c>
      <c r="K2148" t="s">
        <v>36692</v>
      </c>
      <c r="M2148" t="s">
        <v>37957</v>
      </c>
      <c r="N2148" t="s">
        <v>40436</v>
      </c>
      <c r="O2148" t="s">
        <v>40437</v>
      </c>
      <c r="P2148">
        <v>0</v>
      </c>
      <c r="Q2148">
        <v>0</v>
      </c>
      <c r="R2148" t="s">
        <v>40438</v>
      </c>
      <c r="S2148" t="s">
        <v>40582</v>
      </c>
      <c r="T2148" t="s">
        <v>42159</v>
      </c>
      <c r="U2148" t="s">
        <v>44488</v>
      </c>
      <c r="V2148" t="s">
        <v>54019</v>
      </c>
      <c r="W2148" t="s">
        <v>37957</v>
      </c>
      <c r="X2148" t="s">
        <v>40439</v>
      </c>
    </row>
    <row r="2149" spans="1:24">
      <c r="A2149">
        <f>HYPERLINK("https://www.philgeps.gov.ph/GEPSNONPILOT/Tender/SplashBidNoticeAbstractUI.aspx?menuIndex=3&amp;refID=7049597&amp;Result=3","7049597")</f>
        <v>0</v>
      </c>
      <c r="B2149" t="s">
        <v>936</v>
      </c>
      <c r="C2149" t="s">
        <v>5156</v>
      </c>
      <c r="D2149" t="s">
        <v>16238</v>
      </c>
      <c r="E2149" t="s">
        <v>18270</v>
      </c>
      <c r="F2149" t="s">
        <v>28198</v>
      </c>
      <c r="G2149" t="s">
        <v>28207</v>
      </c>
      <c r="H2149" t="s">
        <v>28215</v>
      </c>
      <c r="I2149" t="s">
        <v>5082</v>
      </c>
      <c r="J2149" t="s">
        <v>29800</v>
      </c>
      <c r="K2149" t="s">
        <v>36688</v>
      </c>
      <c r="M2149" t="s">
        <v>37958</v>
      </c>
      <c r="N2149" t="s">
        <v>40436</v>
      </c>
      <c r="O2149" t="s">
        <v>40437</v>
      </c>
      <c r="P2149">
        <v>0</v>
      </c>
      <c r="Q2149">
        <v>1</v>
      </c>
      <c r="R2149" t="s">
        <v>40438</v>
      </c>
      <c r="S2149" t="s">
        <v>40582</v>
      </c>
      <c r="T2149" t="s">
        <v>42159</v>
      </c>
      <c r="U2149" t="s">
        <v>44489</v>
      </c>
      <c r="V2149" t="s">
        <v>54020</v>
      </c>
      <c r="W2149" t="s">
        <v>37958</v>
      </c>
      <c r="X2149" t="s">
        <v>40439</v>
      </c>
    </row>
    <row r="2150" spans="1:24">
      <c r="A2150">
        <f>HYPERLINK("https://www.philgeps.gov.ph/GEPSNONPILOT/Tender/SplashBidNoticeAbstractUI.aspx?menuIndex=3&amp;refID=7049598&amp;Result=3","7049598")</f>
        <v>0</v>
      </c>
      <c r="B2150" t="s">
        <v>937</v>
      </c>
      <c r="C2150" t="s">
        <v>5157</v>
      </c>
      <c r="D2150" t="s">
        <v>16210</v>
      </c>
      <c r="E2150" t="s">
        <v>16660</v>
      </c>
      <c r="F2150" t="s">
        <v>28198</v>
      </c>
      <c r="G2150" t="s">
        <v>28207</v>
      </c>
      <c r="H2150" t="s">
        <v>28214</v>
      </c>
      <c r="I2150" t="s">
        <v>28277</v>
      </c>
      <c r="J2150" t="s">
        <v>29801</v>
      </c>
      <c r="K2150" t="s">
        <v>36701</v>
      </c>
      <c r="M2150" t="s">
        <v>37959</v>
      </c>
      <c r="N2150" t="s">
        <v>40436</v>
      </c>
      <c r="O2150" t="s">
        <v>40437</v>
      </c>
      <c r="P2150">
        <v>0</v>
      </c>
      <c r="Q2150">
        <v>0</v>
      </c>
      <c r="R2150" t="s">
        <v>40438</v>
      </c>
      <c r="S2150" t="s">
        <v>40582</v>
      </c>
      <c r="T2150" t="s">
        <v>42102</v>
      </c>
      <c r="U2150" t="s">
        <v>44490</v>
      </c>
      <c r="V2150" t="s">
        <v>54021</v>
      </c>
      <c r="W2150" t="s">
        <v>37959</v>
      </c>
      <c r="X2150" t="s">
        <v>40439</v>
      </c>
    </row>
    <row r="2151" spans="1:24">
      <c r="A2151">
        <f>HYPERLINK("https://www.philgeps.gov.ph/GEPSNONPILOT/Tender/SplashBidNoticeAbstractUI.aspx?menuIndex=3&amp;refID=7049600&amp;Result=3","7049600")</f>
        <v>0</v>
      </c>
      <c r="B2151" t="s">
        <v>938</v>
      </c>
      <c r="C2151" t="s">
        <v>5158</v>
      </c>
      <c r="D2151" t="s">
        <v>16227</v>
      </c>
      <c r="E2151" t="s">
        <v>18093</v>
      </c>
      <c r="F2151" t="s">
        <v>28198</v>
      </c>
      <c r="G2151" t="s">
        <v>28206</v>
      </c>
      <c r="H2151" t="s">
        <v>28215</v>
      </c>
      <c r="I2151" t="s">
        <v>4505</v>
      </c>
      <c r="J2151" t="s">
        <v>29208</v>
      </c>
      <c r="K2151" t="s">
        <v>36688</v>
      </c>
      <c r="M2151" t="s">
        <v>37960</v>
      </c>
      <c r="N2151" t="s">
        <v>40436</v>
      </c>
      <c r="O2151" t="s">
        <v>40437</v>
      </c>
      <c r="P2151">
        <v>0</v>
      </c>
      <c r="Q2151">
        <v>6</v>
      </c>
      <c r="R2151" t="s">
        <v>40438</v>
      </c>
      <c r="S2151" t="s">
        <v>40582</v>
      </c>
      <c r="T2151" t="s">
        <v>42105</v>
      </c>
      <c r="U2151" t="s">
        <v>44491</v>
      </c>
      <c r="W2151" t="s">
        <v>37960</v>
      </c>
      <c r="X2151" t="s">
        <v>40439</v>
      </c>
    </row>
    <row r="2152" spans="1:24">
      <c r="A2152">
        <f>HYPERLINK("https://www.philgeps.gov.ph/GEPSNONPILOT/Tender/SplashBidNoticeAbstractUI.aspx?menuIndex=3&amp;refID=7049614&amp;Result=3","7049614")</f>
        <v>0</v>
      </c>
      <c r="B2152" t="s">
        <v>935</v>
      </c>
      <c r="C2152" t="s">
        <v>5159</v>
      </c>
      <c r="D2152" t="s">
        <v>16210</v>
      </c>
      <c r="E2152" t="s">
        <v>18271</v>
      </c>
      <c r="F2152" t="s">
        <v>28198</v>
      </c>
      <c r="G2152" t="s">
        <v>28207</v>
      </c>
      <c r="H2152" t="s">
        <v>28215</v>
      </c>
      <c r="I2152" t="s">
        <v>28274</v>
      </c>
      <c r="J2152" t="s">
        <v>29802</v>
      </c>
      <c r="K2152" t="s">
        <v>36707</v>
      </c>
      <c r="M2152" t="s">
        <v>37957</v>
      </c>
      <c r="N2152" t="s">
        <v>40436</v>
      </c>
      <c r="O2152" t="s">
        <v>40437</v>
      </c>
      <c r="P2152">
        <v>0</v>
      </c>
      <c r="Q2152">
        <v>0</v>
      </c>
      <c r="R2152" t="s">
        <v>40438</v>
      </c>
      <c r="S2152" t="s">
        <v>40582</v>
      </c>
      <c r="T2152" t="s">
        <v>42159</v>
      </c>
      <c r="U2152" t="s">
        <v>44492</v>
      </c>
      <c r="V2152" t="s">
        <v>54019</v>
      </c>
      <c r="W2152" t="s">
        <v>37957</v>
      </c>
      <c r="X2152" t="s">
        <v>40439</v>
      </c>
    </row>
    <row r="2153" spans="1:24">
      <c r="A2153">
        <f>HYPERLINK("https://www.philgeps.gov.ph/GEPSNONPILOT/Tender/SplashBidNoticeAbstractUI.aspx?menuIndex=3&amp;refID=7049613&amp;Result=3","7049613")</f>
        <v>0</v>
      </c>
      <c r="B2153" t="s">
        <v>660</v>
      </c>
      <c r="C2153" t="s">
        <v>5160</v>
      </c>
      <c r="D2153" t="s">
        <v>16188</v>
      </c>
      <c r="E2153" t="s">
        <v>18272</v>
      </c>
      <c r="F2153" t="s">
        <v>28198</v>
      </c>
      <c r="G2153" t="s">
        <v>28207</v>
      </c>
      <c r="H2153" t="s">
        <v>28215</v>
      </c>
      <c r="I2153" t="s">
        <v>28318</v>
      </c>
      <c r="J2153" t="s">
        <v>28542</v>
      </c>
      <c r="K2153" t="s">
        <v>36689</v>
      </c>
      <c r="M2153" t="s">
        <v>37656</v>
      </c>
      <c r="N2153" t="s">
        <v>40436</v>
      </c>
      <c r="O2153" t="s">
        <v>40437</v>
      </c>
      <c r="P2153">
        <v>0</v>
      </c>
      <c r="Q2153">
        <v>0</v>
      </c>
      <c r="R2153" t="s">
        <v>40438</v>
      </c>
      <c r="S2153" t="s">
        <v>40582</v>
      </c>
      <c r="T2153" t="s">
        <v>42295</v>
      </c>
      <c r="U2153" t="s">
        <v>43811</v>
      </c>
      <c r="W2153" t="s">
        <v>37656</v>
      </c>
      <c r="X2153" t="s">
        <v>40439</v>
      </c>
    </row>
    <row r="2154" spans="1:24">
      <c r="A2154">
        <f>HYPERLINK("https://www.philgeps.gov.ph/GEPSNONPILOT/Tender/SplashBidNoticeAbstractUI.aspx?menuIndex=3&amp;refID=7049609&amp;Result=3","7049609")</f>
        <v>0</v>
      </c>
      <c r="B2154" t="s">
        <v>932</v>
      </c>
      <c r="C2154" t="s">
        <v>5161</v>
      </c>
      <c r="D2154" t="s">
        <v>16228</v>
      </c>
      <c r="E2154" t="s">
        <v>18273</v>
      </c>
      <c r="F2154" t="s">
        <v>28198</v>
      </c>
      <c r="G2154" t="s">
        <v>28206</v>
      </c>
      <c r="H2154" t="s">
        <v>28215</v>
      </c>
      <c r="I2154" t="s">
        <v>28246</v>
      </c>
      <c r="J2154" t="s">
        <v>29803</v>
      </c>
      <c r="K2154" t="s">
        <v>36698</v>
      </c>
      <c r="M2154" t="s">
        <v>37953</v>
      </c>
      <c r="N2154" t="s">
        <v>40436</v>
      </c>
      <c r="O2154" t="s">
        <v>40437</v>
      </c>
      <c r="P2154">
        <v>0</v>
      </c>
      <c r="Q2154">
        <v>0</v>
      </c>
      <c r="R2154" t="s">
        <v>40438</v>
      </c>
      <c r="S2154" t="s">
        <v>40582</v>
      </c>
      <c r="T2154" t="s">
        <v>42158</v>
      </c>
      <c r="U2154" t="s">
        <v>44493</v>
      </c>
      <c r="W2154" t="s">
        <v>37953</v>
      </c>
      <c r="X2154" t="s">
        <v>40439</v>
      </c>
    </row>
    <row r="2155" spans="1:24">
      <c r="A2155">
        <f>HYPERLINK("https://www.philgeps.gov.ph/GEPSNONPILOT/Tender/SplashBidNoticeAbstractUI.aspx?menuIndex=3&amp;refID=7049618&amp;Result=3","7049618")</f>
        <v>0</v>
      </c>
      <c r="B2155" t="s">
        <v>105</v>
      </c>
      <c r="C2155" t="s">
        <v>5162</v>
      </c>
      <c r="D2155" t="s">
        <v>16233</v>
      </c>
      <c r="E2155" t="s">
        <v>18274</v>
      </c>
      <c r="F2155" t="s">
        <v>28198</v>
      </c>
      <c r="G2155" t="s">
        <v>28206</v>
      </c>
      <c r="H2155" t="s">
        <v>28215</v>
      </c>
      <c r="I2155" t="s">
        <v>4321</v>
      </c>
      <c r="J2155" t="s">
        <v>28361</v>
      </c>
      <c r="K2155" t="s">
        <v>36697</v>
      </c>
      <c r="M2155" t="s">
        <v>37961</v>
      </c>
      <c r="N2155" t="s">
        <v>40436</v>
      </c>
      <c r="O2155" t="s">
        <v>40437</v>
      </c>
      <c r="P2155">
        <v>0</v>
      </c>
      <c r="Q2155">
        <v>0</v>
      </c>
      <c r="R2155" t="s">
        <v>40438</v>
      </c>
      <c r="S2155" t="s">
        <v>40582</v>
      </c>
      <c r="T2155" t="s">
        <v>42112</v>
      </c>
      <c r="U2155" t="s">
        <v>44494</v>
      </c>
      <c r="V2155" t="s">
        <v>54022</v>
      </c>
      <c r="W2155" t="s">
        <v>37961</v>
      </c>
      <c r="X2155" t="s">
        <v>40439</v>
      </c>
    </row>
    <row r="2156" spans="1:24">
      <c r="A2156">
        <f>HYPERLINK("https://www.philgeps.gov.ph/GEPSNONPILOT/Tender/SplashBidNoticeAbstractUI.aspx?menuIndex=3&amp;refID=7049612&amp;Result=3","7049612")</f>
        <v>0</v>
      </c>
      <c r="B2156" t="s">
        <v>932</v>
      </c>
      <c r="C2156" t="s">
        <v>5163</v>
      </c>
      <c r="D2156" t="s">
        <v>16228</v>
      </c>
      <c r="E2156" t="s">
        <v>16404</v>
      </c>
      <c r="F2156" t="s">
        <v>28198</v>
      </c>
      <c r="G2156" t="s">
        <v>28206</v>
      </c>
      <c r="H2156" t="s">
        <v>28215</v>
      </c>
      <c r="I2156" t="s">
        <v>4200</v>
      </c>
      <c r="J2156" t="s">
        <v>29804</v>
      </c>
      <c r="K2156" t="s">
        <v>36698</v>
      </c>
      <c r="M2156" t="s">
        <v>37953</v>
      </c>
      <c r="N2156" t="s">
        <v>40436</v>
      </c>
      <c r="O2156" t="s">
        <v>40437</v>
      </c>
      <c r="P2156">
        <v>0</v>
      </c>
      <c r="Q2156">
        <v>0</v>
      </c>
      <c r="R2156" t="s">
        <v>40438</v>
      </c>
      <c r="S2156" t="s">
        <v>40582</v>
      </c>
      <c r="T2156" t="s">
        <v>42158</v>
      </c>
      <c r="U2156" t="s">
        <v>44495</v>
      </c>
      <c r="W2156" t="s">
        <v>37953</v>
      </c>
      <c r="X2156" t="s">
        <v>40439</v>
      </c>
    </row>
    <row r="2157" spans="1:24">
      <c r="A2157">
        <f>HYPERLINK("https://www.philgeps.gov.ph/GEPSNONPILOT/Tender/SplashBidNoticeAbstractUI.aspx?menuIndex=3&amp;refID=7049617&amp;Result=3","7049617")</f>
        <v>0</v>
      </c>
      <c r="B2157" t="s">
        <v>740</v>
      </c>
      <c r="C2157" t="s">
        <v>5164</v>
      </c>
      <c r="D2157" t="s">
        <v>16189</v>
      </c>
      <c r="E2157" t="s">
        <v>18275</v>
      </c>
      <c r="F2157" t="s">
        <v>28198</v>
      </c>
      <c r="G2157" t="s">
        <v>28205</v>
      </c>
      <c r="H2157" t="s">
        <v>28214</v>
      </c>
      <c r="I2157" t="s">
        <v>3797</v>
      </c>
      <c r="J2157" t="s">
        <v>29805</v>
      </c>
      <c r="K2157" t="s">
        <v>36724</v>
      </c>
      <c r="M2157" t="s">
        <v>37743</v>
      </c>
      <c r="N2157" t="s">
        <v>40436</v>
      </c>
      <c r="O2157" t="s">
        <v>40437</v>
      </c>
      <c r="P2157">
        <v>0</v>
      </c>
      <c r="Q2157">
        <v>0</v>
      </c>
      <c r="R2157" t="s">
        <v>40438</v>
      </c>
      <c r="S2157" t="s">
        <v>40582</v>
      </c>
      <c r="T2157" t="s">
        <v>42246</v>
      </c>
      <c r="U2157" t="s">
        <v>44012</v>
      </c>
      <c r="W2157" t="s">
        <v>55458</v>
      </c>
      <c r="X2157" t="s">
        <v>40439</v>
      </c>
    </row>
    <row r="2158" spans="1:24">
      <c r="A2158">
        <f>HYPERLINK("https://www.philgeps.gov.ph/GEPSNONPILOT/Tender/SplashBidNoticeAbstractUI.aspx?menuIndex=3&amp;refID=7049610&amp;Result=3","7049610")</f>
        <v>0</v>
      </c>
      <c r="B2158" t="s">
        <v>939</v>
      </c>
      <c r="C2158" t="s">
        <v>5165</v>
      </c>
      <c r="D2158" t="s">
        <v>16193</v>
      </c>
      <c r="E2158" t="s">
        <v>16352</v>
      </c>
      <c r="F2158" t="s">
        <v>28198</v>
      </c>
      <c r="G2158" t="s">
        <v>28205</v>
      </c>
      <c r="H2158" t="s">
        <v>28214</v>
      </c>
      <c r="I2158" t="s">
        <v>3797</v>
      </c>
      <c r="J2158" t="s">
        <v>28415</v>
      </c>
      <c r="K2158" t="s">
        <v>36689</v>
      </c>
      <c r="M2158" t="s">
        <v>37962</v>
      </c>
      <c r="N2158" t="s">
        <v>40436</v>
      </c>
      <c r="O2158" t="s">
        <v>40437</v>
      </c>
      <c r="P2158">
        <v>0</v>
      </c>
      <c r="Q2158">
        <v>0</v>
      </c>
      <c r="R2158" t="s">
        <v>40438</v>
      </c>
      <c r="S2158" t="s">
        <v>40582</v>
      </c>
      <c r="T2158" t="s">
        <v>42113</v>
      </c>
      <c r="U2158" t="s">
        <v>44496</v>
      </c>
      <c r="W2158" t="s">
        <v>37962</v>
      </c>
      <c r="X2158" t="s">
        <v>40439</v>
      </c>
    </row>
    <row r="2159" spans="1:24">
      <c r="A2159">
        <f>HYPERLINK("https://www.philgeps.gov.ph/GEPSNONPILOT/Tender/SplashBidNoticeAbstractUI.aspx?menuIndex=3&amp;refID=7049616&amp;Result=3","7049616")</f>
        <v>0</v>
      </c>
      <c r="B2159" t="s">
        <v>932</v>
      </c>
      <c r="C2159" t="s">
        <v>5166</v>
      </c>
      <c r="D2159" t="s">
        <v>16228</v>
      </c>
      <c r="E2159" t="s">
        <v>18276</v>
      </c>
      <c r="F2159" t="s">
        <v>28198</v>
      </c>
      <c r="G2159" t="s">
        <v>28206</v>
      </c>
      <c r="H2159" t="s">
        <v>28215</v>
      </c>
      <c r="I2159" t="s">
        <v>4200</v>
      </c>
      <c r="J2159" t="s">
        <v>29806</v>
      </c>
      <c r="K2159" t="s">
        <v>36698</v>
      </c>
      <c r="M2159" t="s">
        <v>37953</v>
      </c>
      <c r="N2159" t="s">
        <v>40436</v>
      </c>
      <c r="O2159" t="s">
        <v>40437</v>
      </c>
      <c r="P2159">
        <v>0</v>
      </c>
      <c r="Q2159">
        <v>0</v>
      </c>
      <c r="R2159" t="s">
        <v>40438</v>
      </c>
      <c r="S2159" t="s">
        <v>40582</v>
      </c>
      <c r="T2159" t="s">
        <v>42158</v>
      </c>
      <c r="U2159" t="s">
        <v>44497</v>
      </c>
      <c r="W2159" t="s">
        <v>37953</v>
      </c>
      <c r="X2159" t="s">
        <v>40439</v>
      </c>
    </row>
    <row r="2160" spans="1:24">
      <c r="A2160">
        <f>HYPERLINK("https://www.philgeps.gov.ph/GEPSNONPILOT/Tender/SplashBidNoticeAbstractUI.aspx?menuIndex=3&amp;refID=7049619&amp;Result=3","7049619")</f>
        <v>0</v>
      </c>
      <c r="B2160" t="s">
        <v>940</v>
      </c>
      <c r="C2160" t="s">
        <v>5167</v>
      </c>
      <c r="D2160" t="s">
        <v>16210</v>
      </c>
      <c r="E2160" t="s">
        <v>18277</v>
      </c>
      <c r="F2160" t="s">
        <v>28198</v>
      </c>
      <c r="G2160" t="s">
        <v>28205</v>
      </c>
      <c r="H2160" t="s">
        <v>28215</v>
      </c>
      <c r="I2160" t="s">
        <v>28234</v>
      </c>
      <c r="J2160" t="s">
        <v>29807</v>
      </c>
      <c r="K2160" t="s">
        <v>36715</v>
      </c>
      <c r="M2160" t="s">
        <v>37963</v>
      </c>
      <c r="N2160" t="s">
        <v>40436</v>
      </c>
      <c r="O2160" t="s">
        <v>40437</v>
      </c>
      <c r="P2160">
        <v>0</v>
      </c>
      <c r="Q2160">
        <v>11</v>
      </c>
      <c r="R2160" t="s">
        <v>40438</v>
      </c>
      <c r="S2160" t="s">
        <v>40582</v>
      </c>
      <c r="T2160" t="s">
        <v>42150</v>
      </c>
      <c r="U2160" t="s">
        <v>44498</v>
      </c>
      <c r="V2160" t="s">
        <v>54023</v>
      </c>
      <c r="W2160" t="s">
        <v>37963</v>
      </c>
      <c r="X2160" t="s">
        <v>40439</v>
      </c>
    </row>
    <row r="2161" spans="1:24">
      <c r="A2161">
        <f>HYPERLINK("https://www.philgeps.gov.ph/GEPSNONPILOT/Tender/SplashBidNoticeAbstractUI.aspx?menuIndex=3&amp;refID=7049620&amp;Result=3","7049620")</f>
        <v>0</v>
      </c>
      <c r="B2161" t="s">
        <v>940</v>
      </c>
      <c r="C2161" t="s">
        <v>5168</v>
      </c>
      <c r="D2161" t="s">
        <v>16210</v>
      </c>
      <c r="E2161" t="s">
        <v>18278</v>
      </c>
      <c r="F2161" t="s">
        <v>28198</v>
      </c>
      <c r="G2161" t="s">
        <v>28205</v>
      </c>
      <c r="H2161" t="s">
        <v>28215</v>
      </c>
      <c r="I2161" t="s">
        <v>28234</v>
      </c>
      <c r="J2161" t="s">
        <v>29808</v>
      </c>
      <c r="K2161" t="s">
        <v>36701</v>
      </c>
      <c r="M2161" t="s">
        <v>37963</v>
      </c>
      <c r="N2161" t="s">
        <v>40436</v>
      </c>
      <c r="O2161" t="s">
        <v>40437</v>
      </c>
      <c r="P2161">
        <v>0</v>
      </c>
      <c r="Q2161">
        <v>11</v>
      </c>
      <c r="R2161" t="s">
        <v>40438</v>
      </c>
      <c r="S2161" t="s">
        <v>40582</v>
      </c>
      <c r="T2161" t="s">
        <v>42150</v>
      </c>
      <c r="U2161" t="s">
        <v>44498</v>
      </c>
      <c r="V2161" t="s">
        <v>54024</v>
      </c>
      <c r="W2161" t="s">
        <v>37963</v>
      </c>
      <c r="X2161" t="s">
        <v>40439</v>
      </c>
    </row>
    <row r="2162" spans="1:24">
      <c r="A2162">
        <f>HYPERLINK("https://www.philgeps.gov.ph/GEPSNONPILOT/Tender/SplashBidNoticeAbstractUI.aspx?menuIndex=3&amp;refID=7049615&amp;Result=3","7049615")</f>
        <v>0</v>
      </c>
      <c r="B2162" t="s">
        <v>941</v>
      </c>
      <c r="C2162" t="s">
        <v>5169</v>
      </c>
      <c r="D2162" t="s">
        <v>16210</v>
      </c>
      <c r="E2162" t="s">
        <v>18273</v>
      </c>
      <c r="F2162" t="s">
        <v>28198</v>
      </c>
      <c r="G2162" t="s">
        <v>28207</v>
      </c>
      <c r="H2162" t="s">
        <v>28216</v>
      </c>
      <c r="I2162" t="s">
        <v>28216</v>
      </c>
      <c r="J2162" t="s">
        <v>29809</v>
      </c>
      <c r="K2162" t="s">
        <v>36774</v>
      </c>
      <c r="L2162" t="s">
        <v>941</v>
      </c>
      <c r="M2162" t="s">
        <v>37964</v>
      </c>
      <c r="N2162" t="s">
        <v>40436</v>
      </c>
      <c r="O2162" t="s">
        <v>40437</v>
      </c>
      <c r="P2162">
        <v>0</v>
      </c>
      <c r="Q2162">
        <v>0</v>
      </c>
      <c r="R2162" t="s">
        <v>40438</v>
      </c>
      <c r="S2162" t="s">
        <v>40582</v>
      </c>
      <c r="T2162" t="s">
        <v>42124</v>
      </c>
      <c r="U2162" t="s">
        <v>44499</v>
      </c>
      <c r="W2162" t="s">
        <v>37964</v>
      </c>
      <c r="X2162" t="s">
        <v>40439</v>
      </c>
    </row>
    <row r="2163" spans="1:24">
      <c r="A2163">
        <f>HYPERLINK("https://www.philgeps.gov.ph/GEPSNONPILOT/Tender/SplashBidNoticeAbstractUI.aspx?menuIndex=3&amp;refID=7049629&amp;Result=3","7049629")</f>
        <v>0</v>
      </c>
      <c r="B2163" t="s">
        <v>105</v>
      </c>
      <c r="C2163" t="s">
        <v>5170</v>
      </c>
      <c r="D2163" t="s">
        <v>16233</v>
      </c>
      <c r="E2163" t="s">
        <v>18279</v>
      </c>
      <c r="F2163" t="s">
        <v>28198</v>
      </c>
      <c r="G2163" t="s">
        <v>28206</v>
      </c>
      <c r="H2163" t="s">
        <v>28215</v>
      </c>
      <c r="I2163" t="s">
        <v>28226</v>
      </c>
      <c r="J2163" t="s">
        <v>29810</v>
      </c>
      <c r="K2163" t="s">
        <v>36701</v>
      </c>
      <c r="M2163" t="s">
        <v>37961</v>
      </c>
      <c r="N2163" t="s">
        <v>40436</v>
      </c>
      <c r="O2163" t="s">
        <v>40437</v>
      </c>
      <c r="P2163">
        <v>0</v>
      </c>
      <c r="Q2163">
        <v>1</v>
      </c>
      <c r="R2163" t="s">
        <v>40438</v>
      </c>
      <c r="S2163" t="s">
        <v>40582</v>
      </c>
      <c r="T2163" t="s">
        <v>42112</v>
      </c>
      <c r="U2163" t="s">
        <v>44500</v>
      </c>
      <c r="V2163" t="s">
        <v>54022</v>
      </c>
      <c r="W2163" t="s">
        <v>37961</v>
      </c>
      <c r="X2163" t="s">
        <v>40439</v>
      </c>
    </row>
    <row r="2164" spans="1:24">
      <c r="A2164">
        <f>HYPERLINK("https://www.philgeps.gov.ph/GEPSNONPILOT/Tender/SplashBidNoticeAbstractUI.aspx?menuIndex=3&amp;refID=7049626&amp;Result=3","7049626")</f>
        <v>0</v>
      </c>
      <c r="B2164" t="s">
        <v>740</v>
      </c>
      <c r="C2164" t="s">
        <v>5171</v>
      </c>
      <c r="D2164" t="s">
        <v>16189</v>
      </c>
      <c r="E2164" t="s">
        <v>18280</v>
      </c>
      <c r="F2164" t="s">
        <v>28198</v>
      </c>
      <c r="G2164" t="s">
        <v>28205</v>
      </c>
      <c r="H2164" t="s">
        <v>28214</v>
      </c>
      <c r="I2164" t="s">
        <v>3797</v>
      </c>
      <c r="J2164" t="s">
        <v>29811</v>
      </c>
      <c r="K2164" t="s">
        <v>36751</v>
      </c>
      <c r="M2164" t="s">
        <v>37743</v>
      </c>
      <c r="N2164" t="s">
        <v>40436</v>
      </c>
      <c r="O2164" t="s">
        <v>40437</v>
      </c>
      <c r="P2164">
        <v>0</v>
      </c>
      <c r="Q2164">
        <v>0</v>
      </c>
      <c r="R2164" t="s">
        <v>40438</v>
      </c>
      <c r="S2164" t="s">
        <v>40582</v>
      </c>
      <c r="T2164" t="s">
        <v>42246</v>
      </c>
      <c r="U2164" t="s">
        <v>44012</v>
      </c>
      <c r="W2164" t="s">
        <v>55458</v>
      </c>
      <c r="X2164" t="s">
        <v>40439</v>
      </c>
    </row>
    <row r="2165" spans="1:24">
      <c r="A2165">
        <f>HYPERLINK("https://www.philgeps.gov.ph/GEPSNONPILOT/Tender/SplashBidNoticeAbstractUI.aspx?menuIndex=3&amp;refID=7049624&amp;Result=3","7049624")</f>
        <v>0</v>
      </c>
      <c r="B2165" t="s">
        <v>942</v>
      </c>
      <c r="C2165" t="s">
        <v>5172</v>
      </c>
      <c r="D2165" t="s">
        <v>16188</v>
      </c>
      <c r="E2165" t="s">
        <v>18281</v>
      </c>
      <c r="F2165" t="s">
        <v>28198</v>
      </c>
      <c r="G2165" t="s">
        <v>28207</v>
      </c>
      <c r="H2165" t="s">
        <v>28215</v>
      </c>
      <c r="I2165" t="s">
        <v>5100</v>
      </c>
      <c r="J2165" t="s">
        <v>29812</v>
      </c>
      <c r="K2165" t="s">
        <v>36707</v>
      </c>
      <c r="M2165" t="s">
        <v>37965</v>
      </c>
      <c r="N2165" t="s">
        <v>40436</v>
      </c>
      <c r="O2165" t="s">
        <v>40437</v>
      </c>
      <c r="P2165">
        <v>0</v>
      </c>
      <c r="Q2165">
        <v>0</v>
      </c>
      <c r="R2165" t="s">
        <v>40438</v>
      </c>
      <c r="S2165" t="s">
        <v>40582</v>
      </c>
      <c r="T2165" t="s">
        <v>42163</v>
      </c>
      <c r="U2165" t="s">
        <v>44501</v>
      </c>
      <c r="W2165" t="s">
        <v>37965</v>
      </c>
      <c r="X2165" t="s">
        <v>40439</v>
      </c>
    </row>
    <row r="2166" spans="1:24">
      <c r="A2166">
        <f>HYPERLINK("https://www.philgeps.gov.ph/GEPSNONPILOT/Tender/SplashBidNoticeAbstractUI.aspx?menuIndex=3&amp;refID=7049630&amp;Result=3","7049630")</f>
        <v>0</v>
      </c>
      <c r="B2166" t="s">
        <v>942</v>
      </c>
      <c r="C2166" t="s">
        <v>5173</v>
      </c>
      <c r="D2166" t="s">
        <v>16188</v>
      </c>
      <c r="E2166" t="s">
        <v>18281</v>
      </c>
      <c r="F2166" t="s">
        <v>28198</v>
      </c>
      <c r="G2166" t="s">
        <v>28206</v>
      </c>
      <c r="H2166" t="s">
        <v>28215</v>
      </c>
      <c r="I2166" t="s">
        <v>5100</v>
      </c>
      <c r="J2166" t="s">
        <v>29813</v>
      </c>
      <c r="K2166" t="s">
        <v>36707</v>
      </c>
      <c r="M2166" t="s">
        <v>37965</v>
      </c>
      <c r="N2166" t="s">
        <v>40436</v>
      </c>
      <c r="O2166" t="s">
        <v>40437</v>
      </c>
      <c r="P2166">
        <v>0</v>
      </c>
      <c r="Q2166">
        <v>0</v>
      </c>
      <c r="R2166" t="s">
        <v>40438</v>
      </c>
      <c r="S2166" t="s">
        <v>40582</v>
      </c>
      <c r="T2166" t="s">
        <v>42163</v>
      </c>
      <c r="U2166" t="s">
        <v>44501</v>
      </c>
      <c r="W2166" t="s">
        <v>37965</v>
      </c>
      <c r="X2166" t="s">
        <v>40439</v>
      </c>
    </row>
    <row r="2167" spans="1:24">
      <c r="A2167">
        <f>HYPERLINK("https://www.philgeps.gov.ph/GEPSNONPILOT/Tender/SplashBidNoticeAbstractUI.aspx?menuIndex=3&amp;refID=7049625&amp;Result=3","7049625")</f>
        <v>0</v>
      </c>
      <c r="B2167" t="s">
        <v>943</v>
      </c>
      <c r="C2167" t="s">
        <v>5174</v>
      </c>
      <c r="D2167" t="s">
        <v>16193</v>
      </c>
      <c r="E2167" t="s">
        <v>18282</v>
      </c>
      <c r="F2167" t="s">
        <v>28198</v>
      </c>
      <c r="G2167" t="s">
        <v>28205</v>
      </c>
      <c r="H2167" t="s">
        <v>28216</v>
      </c>
      <c r="I2167" t="s">
        <v>28216</v>
      </c>
      <c r="J2167" t="s">
        <v>29814</v>
      </c>
      <c r="K2167" t="s">
        <v>36764</v>
      </c>
      <c r="M2167" t="s">
        <v>37966</v>
      </c>
      <c r="N2167" t="s">
        <v>40436</v>
      </c>
      <c r="O2167" t="s">
        <v>40437</v>
      </c>
      <c r="P2167">
        <v>0</v>
      </c>
      <c r="Q2167">
        <v>1</v>
      </c>
      <c r="R2167" t="s">
        <v>40438</v>
      </c>
      <c r="S2167" t="s">
        <v>40582</v>
      </c>
      <c r="T2167" t="s">
        <v>42112</v>
      </c>
      <c r="U2167" t="s">
        <v>44502</v>
      </c>
      <c r="W2167" t="s">
        <v>37966</v>
      </c>
      <c r="X2167" t="s">
        <v>40439</v>
      </c>
    </row>
    <row r="2168" spans="1:24">
      <c r="A2168">
        <f>HYPERLINK("https://www.philgeps.gov.ph/GEPSNONPILOT/Tender/SplashBidNoticeAbstractUI.aspx?menuIndex=3&amp;refID=7049628&amp;Result=3","7049628")</f>
        <v>0</v>
      </c>
      <c r="B2168" t="s">
        <v>944</v>
      </c>
      <c r="C2168" t="s">
        <v>5175</v>
      </c>
      <c r="D2168" t="s">
        <v>16200</v>
      </c>
      <c r="E2168" t="s">
        <v>17567</v>
      </c>
      <c r="F2168" t="s">
        <v>28198</v>
      </c>
      <c r="G2168" t="s">
        <v>28210</v>
      </c>
      <c r="H2168" t="s">
        <v>28215</v>
      </c>
      <c r="I2168" t="s">
        <v>28225</v>
      </c>
      <c r="J2168" t="s">
        <v>29454</v>
      </c>
      <c r="K2168" t="s">
        <v>36706</v>
      </c>
      <c r="M2168" t="s">
        <v>37967</v>
      </c>
      <c r="N2168" t="s">
        <v>40436</v>
      </c>
      <c r="O2168" t="s">
        <v>40437</v>
      </c>
      <c r="P2168">
        <v>0</v>
      </c>
      <c r="Q2168">
        <v>8</v>
      </c>
      <c r="R2168" t="s">
        <v>40438</v>
      </c>
      <c r="S2168" t="s">
        <v>40582</v>
      </c>
      <c r="T2168" t="s">
        <v>42128</v>
      </c>
      <c r="U2168" t="s">
        <v>44503</v>
      </c>
      <c r="V2168" t="s">
        <v>54025</v>
      </c>
      <c r="W2168" t="s">
        <v>37967</v>
      </c>
      <c r="X2168" t="s">
        <v>40439</v>
      </c>
    </row>
    <row r="2169" spans="1:24">
      <c r="A2169">
        <f>HYPERLINK("https://www.philgeps.gov.ph/GEPSNONPILOT/Tender/SplashBidNoticeAbstractUI.aspx?menuIndex=3&amp;refID=7049621&amp;Result=3","7049621")</f>
        <v>0</v>
      </c>
      <c r="B2169" t="s">
        <v>660</v>
      </c>
      <c r="C2169" t="s">
        <v>5176</v>
      </c>
      <c r="D2169" t="s">
        <v>16188</v>
      </c>
      <c r="E2169" t="s">
        <v>18283</v>
      </c>
      <c r="F2169" t="s">
        <v>28198</v>
      </c>
      <c r="G2169" t="s">
        <v>28207</v>
      </c>
      <c r="H2169" t="s">
        <v>28215</v>
      </c>
      <c r="I2169" t="s">
        <v>28227</v>
      </c>
      <c r="J2169" t="s">
        <v>29815</v>
      </c>
      <c r="K2169" t="s">
        <v>36689</v>
      </c>
      <c r="M2169" t="s">
        <v>37656</v>
      </c>
      <c r="N2169" t="s">
        <v>40436</v>
      </c>
      <c r="O2169" t="s">
        <v>40437</v>
      </c>
      <c r="P2169">
        <v>0</v>
      </c>
      <c r="Q2169">
        <v>0</v>
      </c>
      <c r="R2169" t="s">
        <v>40438</v>
      </c>
      <c r="S2169" t="s">
        <v>40582</v>
      </c>
      <c r="T2169" t="s">
        <v>42295</v>
      </c>
      <c r="U2169" t="s">
        <v>43811</v>
      </c>
      <c r="W2169" t="s">
        <v>37656</v>
      </c>
      <c r="X2169" t="s">
        <v>40439</v>
      </c>
    </row>
    <row r="2170" spans="1:24">
      <c r="A2170">
        <f>HYPERLINK("https://www.philgeps.gov.ph/GEPSNONPILOT/Tender/SplashBidNoticeAbstractUI.aspx?menuIndex=3&amp;refID=7049622&amp;Result=3","7049622")</f>
        <v>0</v>
      </c>
      <c r="B2170" t="s">
        <v>740</v>
      </c>
      <c r="C2170" t="s">
        <v>5177</v>
      </c>
      <c r="D2170" t="s">
        <v>16189</v>
      </c>
      <c r="E2170" t="s">
        <v>18284</v>
      </c>
      <c r="F2170" t="s">
        <v>28198</v>
      </c>
      <c r="G2170" t="s">
        <v>28205</v>
      </c>
      <c r="H2170" t="s">
        <v>28214</v>
      </c>
      <c r="I2170" t="s">
        <v>3797</v>
      </c>
      <c r="J2170" t="s">
        <v>29816</v>
      </c>
      <c r="K2170" t="s">
        <v>36775</v>
      </c>
      <c r="M2170" t="s">
        <v>37743</v>
      </c>
      <c r="N2170" t="s">
        <v>40436</v>
      </c>
      <c r="O2170" t="s">
        <v>40437</v>
      </c>
      <c r="P2170">
        <v>0</v>
      </c>
      <c r="Q2170">
        <v>0</v>
      </c>
      <c r="R2170" t="s">
        <v>40438</v>
      </c>
      <c r="S2170" t="s">
        <v>40582</v>
      </c>
      <c r="T2170" t="s">
        <v>42113</v>
      </c>
      <c r="U2170" t="s">
        <v>44012</v>
      </c>
      <c r="W2170" t="s">
        <v>55458</v>
      </c>
      <c r="X2170" t="s">
        <v>40439</v>
      </c>
    </row>
    <row r="2171" spans="1:24">
      <c r="A2171">
        <f>HYPERLINK("https://www.philgeps.gov.ph/GEPSNONPILOT/Tender/SplashBidNoticeAbstractUI.aspx?menuIndex=3&amp;refID=7049638&amp;Result=3","7049638")</f>
        <v>0</v>
      </c>
      <c r="B2171" t="s">
        <v>945</v>
      </c>
      <c r="C2171" t="s">
        <v>5178</v>
      </c>
      <c r="D2171" t="s">
        <v>16190</v>
      </c>
      <c r="E2171" t="s">
        <v>18285</v>
      </c>
      <c r="F2171" t="s">
        <v>28198</v>
      </c>
      <c r="G2171" t="s">
        <v>28206</v>
      </c>
      <c r="H2171" t="s">
        <v>28215</v>
      </c>
      <c r="I2171" t="s">
        <v>5082</v>
      </c>
      <c r="J2171" t="s">
        <v>28589</v>
      </c>
      <c r="K2171" t="s">
        <v>36706</v>
      </c>
      <c r="M2171" t="s">
        <v>37968</v>
      </c>
      <c r="N2171" t="s">
        <v>40436</v>
      </c>
      <c r="O2171" t="s">
        <v>40437</v>
      </c>
      <c r="P2171">
        <v>0</v>
      </c>
      <c r="Q2171">
        <v>0</v>
      </c>
      <c r="R2171" t="s">
        <v>40438</v>
      </c>
      <c r="S2171" t="s">
        <v>40582</v>
      </c>
      <c r="T2171" t="s">
        <v>42131</v>
      </c>
      <c r="U2171" t="s">
        <v>43698</v>
      </c>
      <c r="W2171" t="s">
        <v>37968</v>
      </c>
      <c r="X2171" t="s">
        <v>40439</v>
      </c>
    </row>
    <row r="2172" spans="1:24">
      <c r="A2172">
        <f>HYPERLINK("https://www.philgeps.gov.ph/GEPSNONPILOT/Tender/SplashBidNoticeAbstractUI.aspx?menuIndex=3&amp;refID=7049641&amp;Result=3","7049641")</f>
        <v>0</v>
      </c>
      <c r="B2172" t="s">
        <v>944</v>
      </c>
      <c r="C2172" t="s">
        <v>5179</v>
      </c>
      <c r="D2172" t="s">
        <v>16200</v>
      </c>
      <c r="E2172" t="s">
        <v>17634</v>
      </c>
      <c r="F2172" t="s">
        <v>28198</v>
      </c>
      <c r="G2172" t="s">
        <v>28207</v>
      </c>
      <c r="H2172" t="s">
        <v>28215</v>
      </c>
      <c r="I2172" t="s">
        <v>4321</v>
      </c>
      <c r="J2172" t="s">
        <v>29817</v>
      </c>
      <c r="K2172" t="s">
        <v>36706</v>
      </c>
      <c r="M2172" t="s">
        <v>37967</v>
      </c>
      <c r="N2172" t="s">
        <v>40436</v>
      </c>
      <c r="O2172" t="s">
        <v>40437</v>
      </c>
      <c r="P2172">
        <v>0</v>
      </c>
      <c r="Q2172">
        <v>1</v>
      </c>
      <c r="R2172" t="s">
        <v>40438</v>
      </c>
      <c r="S2172" t="s">
        <v>40582</v>
      </c>
      <c r="T2172" t="s">
        <v>42128</v>
      </c>
      <c r="U2172" t="s">
        <v>44503</v>
      </c>
      <c r="V2172" t="s">
        <v>54025</v>
      </c>
      <c r="W2172" t="s">
        <v>37967</v>
      </c>
      <c r="X2172" t="s">
        <v>40439</v>
      </c>
    </row>
    <row r="2173" spans="1:24">
      <c r="A2173">
        <f>HYPERLINK("https://www.philgeps.gov.ph/GEPSNONPILOT/Tender/SplashBidNoticeAbstractUI.aspx?menuIndex=3&amp;refID=7049627&amp;Result=3","7049627")</f>
        <v>0</v>
      </c>
      <c r="B2173" t="s">
        <v>946</v>
      </c>
      <c r="C2173" t="s">
        <v>5180</v>
      </c>
      <c r="D2173" t="s">
        <v>16230</v>
      </c>
      <c r="E2173" t="s">
        <v>16304</v>
      </c>
      <c r="F2173" t="s">
        <v>28200</v>
      </c>
      <c r="G2173" t="s">
        <v>28206</v>
      </c>
      <c r="H2173" t="s">
        <v>28215</v>
      </c>
      <c r="I2173" t="s">
        <v>28227</v>
      </c>
      <c r="J2173" t="s">
        <v>28671</v>
      </c>
      <c r="K2173" t="s">
        <v>36698</v>
      </c>
      <c r="M2173" t="s">
        <v>37969</v>
      </c>
      <c r="N2173" t="s">
        <v>40436</v>
      </c>
      <c r="O2173" t="s">
        <v>40437</v>
      </c>
      <c r="P2173">
        <v>0</v>
      </c>
      <c r="Q2173">
        <v>0</v>
      </c>
      <c r="R2173" t="s">
        <v>40438</v>
      </c>
      <c r="S2173" t="s">
        <v>40582</v>
      </c>
      <c r="T2173" t="s">
        <v>42245</v>
      </c>
      <c r="U2173" t="s">
        <v>44504</v>
      </c>
      <c r="W2173" t="s">
        <v>37969</v>
      </c>
      <c r="X2173" t="s">
        <v>40439</v>
      </c>
    </row>
    <row r="2174" spans="1:24">
      <c r="A2174">
        <f>HYPERLINK("https://www.philgeps.gov.ph/GEPSNONPILOT/Tender/SplashBidNoticeAbstractUI.aspx?menuIndex=3&amp;refID=7049636&amp;Result=3","7049636")</f>
        <v>0</v>
      </c>
      <c r="B2174" t="s">
        <v>947</v>
      </c>
      <c r="C2174" t="s">
        <v>5181</v>
      </c>
      <c r="D2174" t="s">
        <v>16221</v>
      </c>
      <c r="E2174" t="s">
        <v>18286</v>
      </c>
      <c r="F2174" t="s">
        <v>28198</v>
      </c>
      <c r="G2174" t="s">
        <v>28207</v>
      </c>
      <c r="H2174" t="s">
        <v>28215</v>
      </c>
      <c r="I2174" t="s">
        <v>4200</v>
      </c>
      <c r="J2174" t="s">
        <v>29818</v>
      </c>
      <c r="K2174" t="s">
        <v>36688</v>
      </c>
      <c r="M2174" t="s">
        <v>37970</v>
      </c>
      <c r="N2174" t="s">
        <v>40436</v>
      </c>
      <c r="O2174" t="s">
        <v>40437</v>
      </c>
      <c r="P2174">
        <v>0</v>
      </c>
      <c r="Q2174">
        <v>2</v>
      </c>
      <c r="R2174" t="s">
        <v>40438</v>
      </c>
      <c r="S2174" t="s">
        <v>40582</v>
      </c>
      <c r="T2174" t="s">
        <v>42111</v>
      </c>
      <c r="U2174" t="s">
        <v>44505</v>
      </c>
      <c r="W2174" t="s">
        <v>37970</v>
      </c>
      <c r="X2174" t="s">
        <v>40439</v>
      </c>
    </row>
    <row r="2175" spans="1:24">
      <c r="A2175">
        <f>HYPERLINK("https://www.philgeps.gov.ph/GEPSNONPILOT/Tender/SplashBidNoticeAbstractUI.aspx?menuIndex=3&amp;refID=7049639&amp;Result=3","7049639")</f>
        <v>0</v>
      </c>
      <c r="B2175" t="s">
        <v>361</v>
      </c>
      <c r="C2175" t="s">
        <v>5182</v>
      </c>
      <c r="D2175" t="s">
        <v>16236</v>
      </c>
      <c r="E2175" t="s">
        <v>18287</v>
      </c>
      <c r="F2175" t="s">
        <v>28198</v>
      </c>
      <c r="G2175" t="s">
        <v>28205</v>
      </c>
      <c r="H2175" t="s">
        <v>28215</v>
      </c>
      <c r="I2175" t="s">
        <v>28256</v>
      </c>
      <c r="J2175" t="s">
        <v>28690</v>
      </c>
      <c r="K2175" t="s">
        <v>36694</v>
      </c>
      <c r="M2175" t="s">
        <v>37971</v>
      </c>
      <c r="N2175" t="s">
        <v>40436</v>
      </c>
      <c r="O2175" t="s">
        <v>40437</v>
      </c>
      <c r="P2175">
        <v>0</v>
      </c>
      <c r="Q2175">
        <v>3</v>
      </c>
      <c r="R2175" t="s">
        <v>40438</v>
      </c>
      <c r="S2175" t="s">
        <v>40582</v>
      </c>
      <c r="T2175" t="s">
        <v>42255</v>
      </c>
      <c r="U2175" t="s">
        <v>44506</v>
      </c>
      <c r="V2175" t="s">
        <v>53826</v>
      </c>
      <c r="W2175" t="s">
        <v>37971</v>
      </c>
      <c r="X2175" t="s">
        <v>40439</v>
      </c>
    </row>
    <row r="2176" spans="1:24">
      <c r="A2176">
        <f>HYPERLINK("https://www.philgeps.gov.ph/GEPSNONPILOT/Tender/SplashBidNoticeAbstractUI.aspx?menuIndex=3&amp;refID=7049633&amp;Result=3","7049633")</f>
        <v>0</v>
      </c>
      <c r="B2176" t="s">
        <v>740</v>
      </c>
      <c r="C2176" t="s">
        <v>5183</v>
      </c>
      <c r="D2176" t="s">
        <v>16189</v>
      </c>
      <c r="E2176" t="s">
        <v>18288</v>
      </c>
      <c r="F2176" t="s">
        <v>28198</v>
      </c>
      <c r="G2176" t="s">
        <v>28205</v>
      </c>
      <c r="H2176" t="s">
        <v>28214</v>
      </c>
      <c r="I2176" t="s">
        <v>3797</v>
      </c>
      <c r="J2176" t="s">
        <v>29819</v>
      </c>
      <c r="K2176" t="s">
        <v>36776</v>
      </c>
      <c r="M2176" t="s">
        <v>37743</v>
      </c>
      <c r="N2176" t="s">
        <v>40436</v>
      </c>
      <c r="O2176" t="s">
        <v>40437</v>
      </c>
      <c r="P2176">
        <v>0</v>
      </c>
      <c r="Q2176">
        <v>0</v>
      </c>
      <c r="R2176" t="s">
        <v>40438</v>
      </c>
      <c r="S2176" t="s">
        <v>40582</v>
      </c>
      <c r="T2176" t="s">
        <v>42246</v>
      </c>
      <c r="U2176" t="s">
        <v>44507</v>
      </c>
      <c r="W2176" t="s">
        <v>55458</v>
      </c>
      <c r="X2176" t="s">
        <v>40439</v>
      </c>
    </row>
    <row r="2177" spans="1:24">
      <c r="A2177">
        <f>HYPERLINK("https://www.philgeps.gov.ph/GEPSNONPILOT/Tender/SplashBidNoticeAbstractUI.aspx?menuIndex=3&amp;refID=7049640&amp;Result=3","7049640")</f>
        <v>0</v>
      </c>
      <c r="B2177" t="s">
        <v>942</v>
      </c>
      <c r="C2177" t="s">
        <v>5184</v>
      </c>
      <c r="D2177" t="s">
        <v>16188</v>
      </c>
      <c r="E2177" t="s">
        <v>18289</v>
      </c>
      <c r="F2177" t="s">
        <v>28198</v>
      </c>
      <c r="G2177" t="s">
        <v>28207</v>
      </c>
      <c r="H2177" t="s">
        <v>28215</v>
      </c>
      <c r="I2177" t="s">
        <v>28224</v>
      </c>
      <c r="J2177" t="s">
        <v>28345</v>
      </c>
      <c r="K2177" t="s">
        <v>36707</v>
      </c>
      <c r="M2177" t="s">
        <v>37965</v>
      </c>
      <c r="N2177" t="s">
        <v>40436</v>
      </c>
      <c r="O2177" t="s">
        <v>40437</v>
      </c>
      <c r="P2177">
        <v>0</v>
      </c>
      <c r="Q2177">
        <v>0</v>
      </c>
      <c r="R2177" t="s">
        <v>40438</v>
      </c>
      <c r="S2177" t="s">
        <v>40582</v>
      </c>
      <c r="T2177" t="s">
        <v>42163</v>
      </c>
      <c r="U2177" t="s">
        <v>44501</v>
      </c>
      <c r="W2177" t="s">
        <v>37965</v>
      </c>
      <c r="X2177" t="s">
        <v>40439</v>
      </c>
    </row>
    <row r="2178" spans="1:24">
      <c r="A2178">
        <f>HYPERLINK("https://www.philgeps.gov.ph/GEPSNONPILOT/Tender/SplashBidNoticeAbstractUI.aspx?menuIndex=3&amp;refID=7049635&amp;Result=3","7049635")</f>
        <v>0</v>
      </c>
      <c r="B2178" t="s">
        <v>324</v>
      </c>
      <c r="C2178" t="s">
        <v>5185</v>
      </c>
      <c r="D2178" t="s">
        <v>16238</v>
      </c>
      <c r="E2178" t="s">
        <v>18290</v>
      </c>
      <c r="F2178" t="s">
        <v>28198</v>
      </c>
      <c r="G2178" t="s">
        <v>28207</v>
      </c>
      <c r="H2178" t="s">
        <v>28215</v>
      </c>
      <c r="I2178" t="s">
        <v>28225</v>
      </c>
      <c r="J2178" t="s">
        <v>29717</v>
      </c>
      <c r="K2178" t="s">
        <v>36701</v>
      </c>
      <c r="M2178" t="s">
        <v>37302</v>
      </c>
      <c r="N2178" t="s">
        <v>40436</v>
      </c>
      <c r="O2178" t="s">
        <v>40437</v>
      </c>
      <c r="P2178">
        <v>0</v>
      </c>
      <c r="Q2178">
        <v>4</v>
      </c>
      <c r="R2178" t="s">
        <v>40438</v>
      </c>
      <c r="S2178" t="s">
        <v>40582</v>
      </c>
      <c r="T2178" t="s">
        <v>42098</v>
      </c>
      <c r="U2178" t="s">
        <v>44508</v>
      </c>
      <c r="W2178" t="s">
        <v>37302</v>
      </c>
      <c r="X2178" t="s">
        <v>40439</v>
      </c>
    </row>
    <row r="2179" spans="1:24">
      <c r="A2179">
        <f>HYPERLINK("https://www.philgeps.gov.ph/GEPSNONPILOT/Tender/SplashBidNoticeAbstractUI.aspx?menuIndex=3&amp;refID=7049634&amp;Result=3","7049634")</f>
        <v>0</v>
      </c>
      <c r="B2179" t="s">
        <v>948</v>
      </c>
      <c r="C2179" t="s">
        <v>4715</v>
      </c>
      <c r="D2179" t="s">
        <v>16188</v>
      </c>
      <c r="E2179" t="s">
        <v>18291</v>
      </c>
      <c r="F2179" t="s">
        <v>28198</v>
      </c>
      <c r="G2179" t="s">
        <v>28206</v>
      </c>
      <c r="H2179" t="s">
        <v>28215</v>
      </c>
      <c r="I2179" t="s">
        <v>4219</v>
      </c>
      <c r="J2179" t="s">
        <v>28787</v>
      </c>
      <c r="K2179" t="s">
        <v>36691</v>
      </c>
      <c r="M2179" t="s">
        <v>37972</v>
      </c>
      <c r="N2179" t="s">
        <v>40436</v>
      </c>
      <c r="O2179" t="s">
        <v>40437</v>
      </c>
      <c r="P2179">
        <v>0</v>
      </c>
      <c r="Q2179">
        <v>1</v>
      </c>
      <c r="R2179" t="s">
        <v>40438</v>
      </c>
      <c r="S2179" t="s">
        <v>40582</v>
      </c>
      <c r="T2179" t="s">
        <v>42161</v>
      </c>
      <c r="U2179" t="s">
        <v>44509</v>
      </c>
      <c r="W2179" t="s">
        <v>37972</v>
      </c>
      <c r="X2179" t="s">
        <v>40439</v>
      </c>
    </row>
    <row r="2180" spans="1:24">
      <c r="A2180">
        <f>HYPERLINK("https://www.philgeps.gov.ph/GEPSNONPILOT/Tender/SplashBidNoticeAbstractUI.aspx?menuIndex=3&amp;refID=7049642&amp;Result=3","7049642")</f>
        <v>0</v>
      </c>
      <c r="B2180" t="s">
        <v>943</v>
      </c>
      <c r="C2180" t="s">
        <v>5186</v>
      </c>
      <c r="D2180" t="s">
        <v>16193</v>
      </c>
      <c r="E2180" t="s">
        <v>18292</v>
      </c>
      <c r="F2180" t="s">
        <v>28198</v>
      </c>
      <c r="G2180" t="s">
        <v>28205</v>
      </c>
      <c r="H2180" t="s">
        <v>28216</v>
      </c>
      <c r="I2180" t="s">
        <v>28216</v>
      </c>
      <c r="J2180" t="s">
        <v>29820</v>
      </c>
      <c r="K2180" t="s">
        <v>36742</v>
      </c>
      <c r="M2180" t="s">
        <v>37966</v>
      </c>
      <c r="N2180" t="s">
        <v>40436</v>
      </c>
      <c r="O2180" t="s">
        <v>40437</v>
      </c>
      <c r="P2180">
        <v>0</v>
      </c>
      <c r="Q2180">
        <v>2</v>
      </c>
      <c r="R2180" t="s">
        <v>40438</v>
      </c>
      <c r="S2180" t="s">
        <v>40582</v>
      </c>
      <c r="T2180" t="s">
        <v>42112</v>
      </c>
      <c r="U2180" t="s">
        <v>44510</v>
      </c>
      <c r="W2180" t="s">
        <v>37966</v>
      </c>
      <c r="X2180" t="s">
        <v>40439</v>
      </c>
    </row>
    <row r="2181" spans="1:24">
      <c r="A2181">
        <f>HYPERLINK("https://www.philgeps.gov.ph/GEPSNONPILOT/Tender/SplashBidNoticeAbstractUI.aspx?menuIndex=3&amp;refID=7049632&amp;Result=3","7049632")</f>
        <v>0</v>
      </c>
      <c r="B2181" t="s">
        <v>942</v>
      </c>
      <c r="C2181" t="s">
        <v>5187</v>
      </c>
      <c r="D2181" t="s">
        <v>16188</v>
      </c>
      <c r="E2181" t="s">
        <v>18293</v>
      </c>
      <c r="F2181" t="s">
        <v>28198</v>
      </c>
      <c r="G2181" t="s">
        <v>28206</v>
      </c>
      <c r="H2181" t="s">
        <v>28215</v>
      </c>
      <c r="I2181" t="s">
        <v>5100</v>
      </c>
      <c r="J2181" t="s">
        <v>29420</v>
      </c>
      <c r="K2181" t="s">
        <v>36707</v>
      </c>
      <c r="M2181" t="s">
        <v>37965</v>
      </c>
      <c r="N2181" t="s">
        <v>40436</v>
      </c>
      <c r="O2181" t="s">
        <v>40437</v>
      </c>
      <c r="P2181">
        <v>0</v>
      </c>
      <c r="Q2181">
        <v>0</v>
      </c>
      <c r="R2181" t="s">
        <v>40438</v>
      </c>
      <c r="S2181" t="s">
        <v>40582</v>
      </c>
      <c r="T2181" t="s">
        <v>42163</v>
      </c>
      <c r="U2181" t="s">
        <v>44501</v>
      </c>
      <c r="W2181" t="s">
        <v>37965</v>
      </c>
      <c r="X2181" t="s">
        <v>40439</v>
      </c>
    </row>
    <row r="2182" spans="1:24">
      <c r="A2182">
        <f>HYPERLINK("https://www.philgeps.gov.ph/GEPSNONPILOT/Tender/SplashBidNoticeAbstractUI.aspx?menuIndex=3&amp;refID=7049648&amp;Result=3","7049648")</f>
        <v>0</v>
      </c>
      <c r="B2182" t="s">
        <v>361</v>
      </c>
      <c r="C2182" t="s">
        <v>5188</v>
      </c>
      <c r="D2182" t="s">
        <v>16236</v>
      </c>
      <c r="E2182" t="s">
        <v>18294</v>
      </c>
      <c r="F2182" t="s">
        <v>28198</v>
      </c>
      <c r="G2182" t="s">
        <v>28207</v>
      </c>
      <c r="H2182" t="s">
        <v>28215</v>
      </c>
      <c r="I2182" t="s">
        <v>28225</v>
      </c>
      <c r="J2182" t="s">
        <v>29571</v>
      </c>
      <c r="K2182" t="s">
        <v>36707</v>
      </c>
      <c r="M2182" t="s">
        <v>37971</v>
      </c>
      <c r="N2182" t="s">
        <v>40436</v>
      </c>
      <c r="O2182" t="s">
        <v>40437</v>
      </c>
      <c r="P2182">
        <v>0</v>
      </c>
      <c r="Q2182">
        <v>2</v>
      </c>
      <c r="R2182" t="s">
        <v>40438</v>
      </c>
      <c r="S2182" t="s">
        <v>40582</v>
      </c>
      <c r="T2182" t="s">
        <v>42167</v>
      </c>
      <c r="U2182" t="s">
        <v>44511</v>
      </c>
      <c r="V2182" t="s">
        <v>54026</v>
      </c>
      <c r="W2182" t="s">
        <v>37971</v>
      </c>
      <c r="X2182" t="s">
        <v>40439</v>
      </c>
    </row>
    <row r="2183" spans="1:24">
      <c r="A2183">
        <f>HYPERLINK("https://www.philgeps.gov.ph/GEPSNONPILOT/Tender/SplashBidNoticeAbstractUI.aspx?menuIndex=3&amp;refID=7049631&amp;Result=3","7049631")</f>
        <v>0</v>
      </c>
      <c r="B2183" t="s">
        <v>949</v>
      </c>
      <c r="C2183" t="s">
        <v>5189</v>
      </c>
      <c r="D2183" t="s">
        <v>16260</v>
      </c>
      <c r="E2183" t="s">
        <v>18295</v>
      </c>
      <c r="F2183" t="s">
        <v>28198</v>
      </c>
      <c r="G2183" t="s">
        <v>28205</v>
      </c>
      <c r="H2183" t="s">
        <v>28215</v>
      </c>
      <c r="I2183" t="s">
        <v>28220</v>
      </c>
      <c r="J2183" t="s">
        <v>29821</v>
      </c>
      <c r="K2183" t="s">
        <v>36689</v>
      </c>
      <c r="M2183" t="s">
        <v>37973</v>
      </c>
      <c r="N2183" t="s">
        <v>40436</v>
      </c>
      <c r="O2183" t="s">
        <v>40437</v>
      </c>
      <c r="P2183">
        <v>0</v>
      </c>
      <c r="Q2183">
        <v>26</v>
      </c>
      <c r="R2183" t="s">
        <v>40438</v>
      </c>
      <c r="S2183" t="s">
        <v>40582</v>
      </c>
      <c r="T2183" t="s">
        <v>42101</v>
      </c>
      <c r="U2183" t="s">
        <v>44512</v>
      </c>
      <c r="W2183" t="s">
        <v>37973</v>
      </c>
      <c r="X2183" t="s">
        <v>40439</v>
      </c>
    </row>
    <row r="2184" spans="1:24">
      <c r="A2184">
        <f>HYPERLINK("https://www.philgeps.gov.ph/GEPSNONPILOT/Tender/SplashBidNoticeAbstractUI.aspx?menuIndex=3&amp;refID=7049646&amp;Result=3","7049646")</f>
        <v>0</v>
      </c>
      <c r="B2184" t="s">
        <v>324</v>
      </c>
      <c r="C2184" t="s">
        <v>5190</v>
      </c>
      <c r="D2184" t="s">
        <v>16238</v>
      </c>
      <c r="E2184" t="s">
        <v>18296</v>
      </c>
      <c r="F2184" t="s">
        <v>28198</v>
      </c>
      <c r="G2184" t="s">
        <v>28207</v>
      </c>
      <c r="H2184" t="s">
        <v>28215</v>
      </c>
      <c r="I2184" t="s">
        <v>5103</v>
      </c>
      <c r="J2184" t="s">
        <v>28361</v>
      </c>
      <c r="K2184" t="s">
        <v>36701</v>
      </c>
      <c r="M2184" t="s">
        <v>37302</v>
      </c>
      <c r="N2184" t="s">
        <v>40436</v>
      </c>
      <c r="O2184" t="s">
        <v>40437</v>
      </c>
      <c r="P2184">
        <v>0</v>
      </c>
      <c r="Q2184">
        <v>5</v>
      </c>
      <c r="R2184" t="s">
        <v>40438</v>
      </c>
      <c r="S2184" t="s">
        <v>40582</v>
      </c>
      <c r="T2184" t="s">
        <v>42098</v>
      </c>
      <c r="U2184" t="s">
        <v>44513</v>
      </c>
      <c r="W2184" t="s">
        <v>37302</v>
      </c>
      <c r="X2184" t="s">
        <v>40439</v>
      </c>
    </row>
    <row r="2185" spans="1:24">
      <c r="A2185">
        <f>HYPERLINK("https://www.philgeps.gov.ph/GEPSNONPILOT/Tender/SplashBidNoticeAbstractUI.aspx?menuIndex=3&amp;refID=7049650&amp;Result=3","7049650")</f>
        <v>0</v>
      </c>
      <c r="B2185" t="s">
        <v>950</v>
      </c>
      <c r="C2185" t="s">
        <v>5191</v>
      </c>
      <c r="D2185" t="s">
        <v>16232</v>
      </c>
      <c r="E2185" t="s">
        <v>18297</v>
      </c>
      <c r="F2185" t="s">
        <v>28198</v>
      </c>
      <c r="G2185" t="s">
        <v>28205</v>
      </c>
      <c r="H2185" t="s">
        <v>28216</v>
      </c>
      <c r="I2185" t="s">
        <v>28216</v>
      </c>
      <c r="J2185" t="s">
        <v>29822</v>
      </c>
      <c r="K2185" t="s">
        <v>36715</v>
      </c>
      <c r="M2185" t="s">
        <v>37974</v>
      </c>
      <c r="N2185" t="s">
        <v>40436</v>
      </c>
      <c r="O2185" t="s">
        <v>40437</v>
      </c>
      <c r="P2185">
        <v>0</v>
      </c>
      <c r="Q2185">
        <v>3</v>
      </c>
      <c r="R2185" t="s">
        <v>40438</v>
      </c>
      <c r="S2185" t="s">
        <v>40582</v>
      </c>
      <c r="T2185" t="s">
        <v>42104</v>
      </c>
      <c r="U2185" t="s">
        <v>44514</v>
      </c>
      <c r="W2185" t="s">
        <v>37974</v>
      </c>
      <c r="X2185" t="s">
        <v>40439</v>
      </c>
    </row>
    <row r="2186" spans="1:24">
      <c r="A2186">
        <f>HYPERLINK("https://www.philgeps.gov.ph/GEPSNONPILOT/Tender/SplashBidNoticeAbstractUI.aspx?menuIndex=3&amp;refID=7049644&amp;Result=3","7049644")</f>
        <v>0</v>
      </c>
      <c r="B2186" t="s">
        <v>324</v>
      </c>
      <c r="C2186" t="s">
        <v>5192</v>
      </c>
      <c r="D2186" t="s">
        <v>16238</v>
      </c>
      <c r="E2186" t="s">
        <v>18298</v>
      </c>
      <c r="F2186" t="s">
        <v>28198</v>
      </c>
      <c r="G2186" t="s">
        <v>28207</v>
      </c>
      <c r="H2186" t="s">
        <v>28215</v>
      </c>
      <c r="I2186" t="s">
        <v>4200</v>
      </c>
      <c r="J2186" t="s">
        <v>28597</v>
      </c>
      <c r="K2186" t="s">
        <v>36701</v>
      </c>
      <c r="M2186" t="s">
        <v>37302</v>
      </c>
      <c r="N2186" t="s">
        <v>40436</v>
      </c>
      <c r="O2186" t="s">
        <v>40437</v>
      </c>
      <c r="P2186">
        <v>0</v>
      </c>
      <c r="Q2186">
        <v>0</v>
      </c>
      <c r="R2186" t="s">
        <v>40438</v>
      </c>
      <c r="S2186" t="s">
        <v>40582</v>
      </c>
      <c r="T2186" t="s">
        <v>42098</v>
      </c>
      <c r="U2186" t="s">
        <v>44508</v>
      </c>
      <c r="W2186" t="s">
        <v>37302</v>
      </c>
      <c r="X2186" t="s">
        <v>40439</v>
      </c>
    </row>
    <row r="2187" spans="1:24">
      <c r="A2187">
        <f>HYPERLINK("https://www.philgeps.gov.ph/GEPSNONPILOT/Tender/SplashBidNoticeAbstractUI.aspx?menuIndex=3&amp;refID=7049643&amp;Result=3","7049643")</f>
        <v>0</v>
      </c>
      <c r="B2187" t="s">
        <v>660</v>
      </c>
      <c r="C2187" t="s">
        <v>5193</v>
      </c>
      <c r="D2187" t="s">
        <v>16188</v>
      </c>
      <c r="E2187" t="s">
        <v>18299</v>
      </c>
      <c r="F2187" t="s">
        <v>28198</v>
      </c>
      <c r="G2187" t="s">
        <v>28206</v>
      </c>
      <c r="H2187" t="s">
        <v>28215</v>
      </c>
      <c r="I2187" t="s">
        <v>4219</v>
      </c>
      <c r="J2187" t="s">
        <v>29823</v>
      </c>
      <c r="K2187" t="s">
        <v>36689</v>
      </c>
      <c r="M2187" t="s">
        <v>37656</v>
      </c>
      <c r="N2187" t="s">
        <v>40436</v>
      </c>
      <c r="O2187" t="s">
        <v>40437</v>
      </c>
      <c r="P2187">
        <v>0</v>
      </c>
      <c r="Q2187">
        <v>0</v>
      </c>
      <c r="R2187" t="s">
        <v>40438</v>
      </c>
      <c r="S2187" t="s">
        <v>40582</v>
      </c>
      <c r="T2187" t="s">
        <v>42295</v>
      </c>
      <c r="U2187" t="s">
        <v>43811</v>
      </c>
      <c r="W2187" t="s">
        <v>37656</v>
      </c>
      <c r="X2187" t="s">
        <v>40439</v>
      </c>
    </row>
    <row r="2188" spans="1:24">
      <c r="A2188">
        <f>HYPERLINK("https://www.philgeps.gov.ph/GEPSNONPILOT/Tender/SplashBidNoticeAbstractUI.aspx?menuIndex=3&amp;refID=7049654&amp;Result=3","7049654")</f>
        <v>0</v>
      </c>
      <c r="B2188" t="s">
        <v>118</v>
      </c>
      <c r="C2188" t="s">
        <v>4200</v>
      </c>
      <c r="D2188" t="s">
        <v>16191</v>
      </c>
      <c r="E2188" t="s">
        <v>18300</v>
      </c>
      <c r="F2188" t="s">
        <v>28198</v>
      </c>
      <c r="G2188" t="s">
        <v>28207</v>
      </c>
      <c r="H2188" t="s">
        <v>28215</v>
      </c>
      <c r="I2188" t="s">
        <v>4200</v>
      </c>
      <c r="J2188" t="s">
        <v>29824</v>
      </c>
      <c r="K2188" t="s">
        <v>36715</v>
      </c>
      <c r="M2188" t="s">
        <v>37092</v>
      </c>
      <c r="N2188" t="s">
        <v>40436</v>
      </c>
      <c r="O2188" t="s">
        <v>40437</v>
      </c>
      <c r="P2188">
        <v>0</v>
      </c>
      <c r="Q2188">
        <v>0</v>
      </c>
      <c r="R2188" t="s">
        <v>40438</v>
      </c>
      <c r="S2188" t="s">
        <v>40582</v>
      </c>
      <c r="T2188" t="s">
        <v>42177</v>
      </c>
      <c r="U2188" t="s">
        <v>44515</v>
      </c>
      <c r="W2188" t="s">
        <v>37092</v>
      </c>
      <c r="X2188" t="s">
        <v>40439</v>
      </c>
    </row>
    <row r="2189" spans="1:24">
      <c r="A2189">
        <f>HYPERLINK("https://www.philgeps.gov.ph/GEPSNONPILOT/Tender/SplashBidNoticeAbstractUI.aspx?menuIndex=3&amp;refID=7049645&amp;Result=3","7049645")</f>
        <v>0</v>
      </c>
      <c r="B2189" t="s">
        <v>947</v>
      </c>
      <c r="C2189" t="s">
        <v>5194</v>
      </c>
      <c r="D2189" t="s">
        <v>16221</v>
      </c>
      <c r="E2189" t="s">
        <v>18301</v>
      </c>
      <c r="F2189" t="s">
        <v>28198</v>
      </c>
      <c r="G2189" t="s">
        <v>28207</v>
      </c>
      <c r="H2189" t="s">
        <v>28215</v>
      </c>
      <c r="I2189" t="s">
        <v>4200</v>
      </c>
      <c r="J2189" t="s">
        <v>29825</v>
      </c>
      <c r="K2189" t="s">
        <v>36688</v>
      </c>
      <c r="M2189" t="s">
        <v>37970</v>
      </c>
      <c r="N2189" t="s">
        <v>40436</v>
      </c>
      <c r="O2189" t="s">
        <v>40437</v>
      </c>
      <c r="P2189">
        <v>0</v>
      </c>
      <c r="Q2189">
        <v>0</v>
      </c>
      <c r="R2189" t="s">
        <v>40438</v>
      </c>
      <c r="S2189" t="s">
        <v>40582</v>
      </c>
      <c r="T2189" t="s">
        <v>42111</v>
      </c>
      <c r="U2189" t="s">
        <v>44516</v>
      </c>
      <c r="W2189" t="s">
        <v>37970</v>
      </c>
      <c r="X2189" t="s">
        <v>40439</v>
      </c>
    </row>
    <row r="2190" spans="1:24">
      <c r="A2190">
        <f>HYPERLINK("https://www.philgeps.gov.ph/GEPSNONPILOT/Tender/SplashBidNoticeAbstractUI.aspx?menuIndex=3&amp;refID=7049651&amp;Result=3","7049651")</f>
        <v>0</v>
      </c>
      <c r="B2190" t="s">
        <v>324</v>
      </c>
      <c r="C2190" t="s">
        <v>5195</v>
      </c>
      <c r="D2190" t="s">
        <v>16238</v>
      </c>
      <c r="E2190" t="s">
        <v>18302</v>
      </c>
      <c r="F2190" t="s">
        <v>28198</v>
      </c>
      <c r="G2190" t="s">
        <v>28207</v>
      </c>
      <c r="H2190" t="s">
        <v>28215</v>
      </c>
      <c r="I2190" t="s">
        <v>3774</v>
      </c>
      <c r="J2190" t="s">
        <v>29826</v>
      </c>
      <c r="K2190" t="s">
        <v>36701</v>
      </c>
      <c r="M2190" t="s">
        <v>37302</v>
      </c>
      <c r="N2190" t="s">
        <v>40436</v>
      </c>
      <c r="O2190" t="s">
        <v>40437</v>
      </c>
      <c r="P2190">
        <v>0</v>
      </c>
      <c r="Q2190">
        <v>1</v>
      </c>
      <c r="R2190" t="s">
        <v>40438</v>
      </c>
      <c r="S2190" t="s">
        <v>40582</v>
      </c>
      <c r="T2190" t="s">
        <v>42098</v>
      </c>
      <c r="U2190" t="s">
        <v>44508</v>
      </c>
      <c r="W2190" t="s">
        <v>37302</v>
      </c>
      <c r="X2190" t="s">
        <v>40439</v>
      </c>
    </row>
    <row r="2191" spans="1:24">
      <c r="A2191">
        <f>HYPERLINK("https://www.philgeps.gov.ph/GEPSNONPILOT/Tender/SplashBidNoticeAbstractUI.aspx?menuIndex=3&amp;refID=7049664&amp;Result=3","7049664")</f>
        <v>0</v>
      </c>
      <c r="B2191" t="s">
        <v>118</v>
      </c>
      <c r="C2191" t="s">
        <v>4200</v>
      </c>
      <c r="D2191" t="s">
        <v>16191</v>
      </c>
      <c r="E2191" t="s">
        <v>18303</v>
      </c>
      <c r="F2191" t="s">
        <v>28198</v>
      </c>
      <c r="G2191" t="s">
        <v>28207</v>
      </c>
      <c r="H2191" t="s">
        <v>28215</v>
      </c>
      <c r="I2191" t="s">
        <v>4200</v>
      </c>
      <c r="J2191" t="s">
        <v>29827</v>
      </c>
      <c r="K2191" t="s">
        <v>36701</v>
      </c>
      <c r="M2191" t="s">
        <v>37092</v>
      </c>
      <c r="N2191" t="s">
        <v>40436</v>
      </c>
      <c r="O2191" t="s">
        <v>40437</v>
      </c>
      <c r="P2191">
        <v>0</v>
      </c>
      <c r="Q2191">
        <v>0</v>
      </c>
      <c r="R2191" t="s">
        <v>40438</v>
      </c>
      <c r="S2191" t="s">
        <v>40582</v>
      </c>
      <c r="T2191" t="s">
        <v>42176</v>
      </c>
      <c r="U2191" t="s">
        <v>44517</v>
      </c>
      <c r="W2191" t="s">
        <v>37092</v>
      </c>
      <c r="X2191" t="s">
        <v>40439</v>
      </c>
    </row>
    <row r="2192" spans="1:24">
      <c r="A2192">
        <f>HYPERLINK("https://www.philgeps.gov.ph/GEPSNONPILOT/Tender/SplashBidNoticeAbstractUI.aspx?menuIndex=3&amp;refID=7049652&amp;Result=3","7049652")</f>
        <v>0</v>
      </c>
      <c r="B2192" t="s">
        <v>951</v>
      </c>
      <c r="C2192" t="s">
        <v>5196</v>
      </c>
      <c r="D2192" t="s">
        <v>16210</v>
      </c>
      <c r="E2192" t="s">
        <v>18304</v>
      </c>
      <c r="F2192" t="s">
        <v>28198</v>
      </c>
      <c r="G2192" t="s">
        <v>28205</v>
      </c>
      <c r="H2192" t="s">
        <v>28215</v>
      </c>
      <c r="I2192" t="s">
        <v>7310</v>
      </c>
      <c r="J2192" t="s">
        <v>28395</v>
      </c>
      <c r="K2192" t="s">
        <v>36701</v>
      </c>
      <c r="M2192" t="s">
        <v>37975</v>
      </c>
      <c r="N2192" t="s">
        <v>40436</v>
      </c>
      <c r="O2192" t="s">
        <v>40437</v>
      </c>
      <c r="P2192">
        <v>0</v>
      </c>
      <c r="Q2192">
        <v>2</v>
      </c>
      <c r="R2192" t="s">
        <v>40438</v>
      </c>
      <c r="S2192" t="s">
        <v>40582</v>
      </c>
      <c r="T2192" t="s">
        <v>42306</v>
      </c>
      <c r="U2192" t="s">
        <v>44518</v>
      </c>
      <c r="W2192" t="s">
        <v>37975</v>
      </c>
      <c r="X2192" t="s">
        <v>40439</v>
      </c>
    </row>
    <row r="2193" spans="1:24">
      <c r="A2193">
        <f>HYPERLINK("https://www.philgeps.gov.ph/GEPSNONPILOT/Tender/SplashBidNoticeAbstractUI.aspx?menuIndex=3&amp;refID=7049661&amp;Result=3","7049661")</f>
        <v>0</v>
      </c>
      <c r="B2193" t="s">
        <v>118</v>
      </c>
      <c r="C2193" t="s">
        <v>4200</v>
      </c>
      <c r="D2193" t="s">
        <v>16191</v>
      </c>
      <c r="E2193" t="s">
        <v>18305</v>
      </c>
      <c r="F2193" t="s">
        <v>28198</v>
      </c>
      <c r="G2193" t="s">
        <v>28207</v>
      </c>
      <c r="H2193" t="s">
        <v>28215</v>
      </c>
      <c r="I2193" t="s">
        <v>4200</v>
      </c>
      <c r="J2193" t="s">
        <v>29828</v>
      </c>
      <c r="K2193" t="s">
        <v>36701</v>
      </c>
      <c r="M2193" t="s">
        <v>37092</v>
      </c>
      <c r="N2193" t="s">
        <v>40436</v>
      </c>
      <c r="O2193" t="s">
        <v>40437</v>
      </c>
      <c r="P2193">
        <v>0</v>
      </c>
      <c r="Q2193">
        <v>0</v>
      </c>
      <c r="R2193" t="s">
        <v>40438</v>
      </c>
      <c r="S2193" t="s">
        <v>40582</v>
      </c>
      <c r="T2193" t="s">
        <v>42176</v>
      </c>
      <c r="U2193" t="s">
        <v>44519</v>
      </c>
      <c r="W2193" t="s">
        <v>37092</v>
      </c>
      <c r="X2193" t="s">
        <v>40439</v>
      </c>
    </row>
    <row r="2194" spans="1:24">
      <c r="A2194">
        <f>HYPERLINK("https://www.philgeps.gov.ph/GEPSNONPILOT/Tender/SplashBidNoticeAbstractUI.aspx?menuIndex=3&amp;refID=7049660&amp;Result=3","7049660")</f>
        <v>0</v>
      </c>
      <c r="B2194" t="s">
        <v>951</v>
      </c>
      <c r="C2194" t="s">
        <v>5197</v>
      </c>
      <c r="D2194" t="s">
        <v>16210</v>
      </c>
      <c r="E2194" t="s">
        <v>18306</v>
      </c>
      <c r="F2194" t="s">
        <v>28198</v>
      </c>
      <c r="G2194" t="s">
        <v>28205</v>
      </c>
      <c r="H2194" t="s">
        <v>28215</v>
      </c>
      <c r="I2194" t="s">
        <v>28253</v>
      </c>
      <c r="J2194" t="s">
        <v>29829</v>
      </c>
      <c r="K2194" t="s">
        <v>36701</v>
      </c>
      <c r="M2194" t="s">
        <v>37975</v>
      </c>
      <c r="N2194" t="s">
        <v>40436</v>
      </c>
      <c r="O2194" t="s">
        <v>40437</v>
      </c>
      <c r="P2194">
        <v>0</v>
      </c>
      <c r="Q2194">
        <v>1</v>
      </c>
      <c r="R2194" t="s">
        <v>40438</v>
      </c>
      <c r="S2194" t="s">
        <v>40582</v>
      </c>
      <c r="T2194" t="s">
        <v>42306</v>
      </c>
      <c r="U2194" t="s">
        <v>44520</v>
      </c>
      <c r="W2194" t="s">
        <v>37975</v>
      </c>
      <c r="X2194" t="s">
        <v>40439</v>
      </c>
    </row>
    <row r="2195" spans="1:24">
      <c r="A2195">
        <f>HYPERLINK("https://www.philgeps.gov.ph/GEPSNONPILOT/Tender/SplashBidNoticeAbstractUI.aspx?menuIndex=3&amp;refID=7049663&amp;Result=3","7049663")</f>
        <v>0</v>
      </c>
      <c r="B2195" t="s">
        <v>851</v>
      </c>
      <c r="C2195" t="s">
        <v>5198</v>
      </c>
      <c r="D2195" t="s">
        <v>16209</v>
      </c>
      <c r="E2195" t="s">
        <v>16909</v>
      </c>
      <c r="F2195" t="s">
        <v>28198</v>
      </c>
      <c r="G2195" t="s">
        <v>28206</v>
      </c>
      <c r="H2195" t="s">
        <v>28215</v>
      </c>
      <c r="I2195" t="s">
        <v>5656</v>
      </c>
      <c r="J2195" t="s">
        <v>29830</v>
      </c>
      <c r="K2195" t="s">
        <v>36691</v>
      </c>
      <c r="M2195" t="s">
        <v>37926</v>
      </c>
      <c r="N2195" t="s">
        <v>40436</v>
      </c>
      <c r="O2195" t="s">
        <v>40437</v>
      </c>
      <c r="P2195">
        <v>0</v>
      </c>
      <c r="Q2195">
        <v>0</v>
      </c>
      <c r="R2195" t="s">
        <v>40438</v>
      </c>
      <c r="S2195" t="s">
        <v>40582</v>
      </c>
      <c r="T2195" t="s">
        <v>42161</v>
      </c>
      <c r="U2195" t="s">
        <v>44521</v>
      </c>
      <c r="V2195" t="s">
        <v>54027</v>
      </c>
      <c r="W2195" t="s">
        <v>37926</v>
      </c>
      <c r="X2195" t="s">
        <v>40439</v>
      </c>
    </row>
    <row r="2196" spans="1:24">
      <c r="A2196">
        <f>HYPERLINK("https://www.philgeps.gov.ph/GEPSNONPILOT/Tender/SplashBidNoticeAbstractUI.aspx?menuIndex=3&amp;refID=7049658&amp;Result=3","7049658")</f>
        <v>0</v>
      </c>
      <c r="B2196" t="s">
        <v>118</v>
      </c>
      <c r="C2196" t="s">
        <v>4200</v>
      </c>
      <c r="D2196" t="s">
        <v>16191</v>
      </c>
      <c r="E2196" t="s">
        <v>18307</v>
      </c>
      <c r="F2196" t="s">
        <v>28198</v>
      </c>
      <c r="G2196" t="s">
        <v>28207</v>
      </c>
      <c r="H2196" t="s">
        <v>28215</v>
      </c>
      <c r="I2196" t="s">
        <v>4200</v>
      </c>
      <c r="J2196" t="s">
        <v>29831</v>
      </c>
      <c r="K2196" t="s">
        <v>36701</v>
      </c>
      <c r="M2196" t="s">
        <v>37092</v>
      </c>
      <c r="N2196" t="s">
        <v>40436</v>
      </c>
      <c r="O2196" t="s">
        <v>40437</v>
      </c>
      <c r="P2196">
        <v>0</v>
      </c>
      <c r="Q2196">
        <v>0</v>
      </c>
      <c r="R2196" t="s">
        <v>40438</v>
      </c>
      <c r="S2196" t="s">
        <v>40582</v>
      </c>
      <c r="T2196" t="s">
        <v>42176</v>
      </c>
      <c r="U2196" t="s">
        <v>44522</v>
      </c>
      <c r="W2196" t="s">
        <v>37092</v>
      </c>
      <c r="X2196" t="s">
        <v>40439</v>
      </c>
    </row>
    <row r="2197" spans="1:24">
      <c r="A2197">
        <f>HYPERLINK("https://www.philgeps.gov.ph/GEPSNONPILOT/Tender/SplashBidNoticeAbstractUI.aspx?menuIndex=3&amp;refID=7049659&amp;Result=3","7049659")</f>
        <v>0</v>
      </c>
      <c r="B2197" t="s">
        <v>118</v>
      </c>
      <c r="C2197" t="s">
        <v>4200</v>
      </c>
      <c r="D2197" t="s">
        <v>16191</v>
      </c>
      <c r="E2197" t="s">
        <v>18308</v>
      </c>
      <c r="F2197" t="s">
        <v>28198</v>
      </c>
      <c r="G2197" t="s">
        <v>28207</v>
      </c>
      <c r="H2197" t="s">
        <v>28215</v>
      </c>
      <c r="I2197" t="s">
        <v>4200</v>
      </c>
      <c r="J2197" t="s">
        <v>29832</v>
      </c>
      <c r="K2197" t="s">
        <v>36701</v>
      </c>
      <c r="M2197" t="s">
        <v>37092</v>
      </c>
      <c r="N2197" t="s">
        <v>40436</v>
      </c>
      <c r="O2197" t="s">
        <v>40437</v>
      </c>
      <c r="P2197">
        <v>0</v>
      </c>
      <c r="Q2197">
        <v>0</v>
      </c>
      <c r="R2197" t="s">
        <v>40438</v>
      </c>
      <c r="S2197" t="s">
        <v>40582</v>
      </c>
      <c r="T2197" t="s">
        <v>42176</v>
      </c>
      <c r="U2197" t="s">
        <v>44523</v>
      </c>
      <c r="W2197" t="s">
        <v>37092</v>
      </c>
      <c r="X2197" t="s">
        <v>40439</v>
      </c>
    </row>
    <row r="2198" spans="1:24">
      <c r="A2198">
        <f>HYPERLINK("https://www.philgeps.gov.ph/GEPSNONPILOT/Tender/SplashBidNoticeAbstractUI.aspx?menuIndex=3&amp;refID=7049656&amp;Result=3","7049656")</f>
        <v>0</v>
      </c>
      <c r="B2198" t="s">
        <v>880</v>
      </c>
      <c r="C2198" t="s">
        <v>5199</v>
      </c>
      <c r="D2198" t="s">
        <v>16187</v>
      </c>
      <c r="E2198" t="s">
        <v>18309</v>
      </c>
      <c r="F2198" t="s">
        <v>28198</v>
      </c>
      <c r="G2198" t="s">
        <v>28205</v>
      </c>
      <c r="H2198" t="s">
        <v>28215</v>
      </c>
      <c r="I2198" t="s">
        <v>28276</v>
      </c>
      <c r="J2198" t="s">
        <v>29833</v>
      </c>
      <c r="K2198" t="s">
        <v>36689</v>
      </c>
      <c r="M2198" t="s">
        <v>37896</v>
      </c>
      <c r="N2198" t="s">
        <v>40436</v>
      </c>
      <c r="O2198" t="s">
        <v>40437</v>
      </c>
      <c r="P2198">
        <v>0</v>
      </c>
      <c r="Q2198">
        <v>0</v>
      </c>
      <c r="R2198" t="s">
        <v>40438</v>
      </c>
      <c r="S2198" t="s">
        <v>40582</v>
      </c>
      <c r="T2198" t="s">
        <v>42106</v>
      </c>
      <c r="U2198" t="s">
        <v>44524</v>
      </c>
      <c r="W2198" t="s">
        <v>37896</v>
      </c>
      <c r="X2198" t="s">
        <v>40439</v>
      </c>
    </row>
    <row r="2199" spans="1:24">
      <c r="A2199">
        <f>HYPERLINK("https://www.philgeps.gov.ph/GEPSNONPILOT/Tender/SplashBidNoticeAbstractUI.aspx?menuIndex=3&amp;refID=7049666&amp;Result=3","7049666")</f>
        <v>0</v>
      </c>
      <c r="B2199" t="s">
        <v>951</v>
      </c>
      <c r="C2199" t="s">
        <v>5200</v>
      </c>
      <c r="D2199" t="s">
        <v>16210</v>
      </c>
      <c r="E2199" t="s">
        <v>18310</v>
      </c>
      <c r="F2199" t="s">
        <v>28198</v>
      </c>
      <c r="G2199" t="s">
        <v>28205</v>
      </c>
      <c r="H2199" t="s">
        <v>28215</v>
      </c>
      <c r="I2199" t="s">
        <v>28241</v>
      </c>
      <c r="J2199" t="s">
        <v>29834</v>
      </c>
      <c r="K2199" t="s">
        <v>36701</v>
      </c>
      <c r="M2199" t="s">
        <v>37975</v>
      </c>
      <c r="N2199" t="s">
        <v>40436</v>
      </c>
      <c r="O2199" t="s">
        <v>40437</v>
      </c>
      <c r="P2199">
        <v>0</v>
      </c>
      <c r="Q2199">
        <v>1</v>
      </c>
      <c r="R2199" t="s">
        <v>40438</v>
      </c>
      <c r="S2199" t="s">
        <v>40582</v>
      </c>
      <c r="T2199" t="s">
        <v>42306</v>
      </c>
      <c r="U2199" t="s">
        <v>44525</v>
      </c>
      <c r="W2199" t="s">
        <v>37975</v>
      </c>
      <c r="X2199" t="s">
        <v>40439</v>
      </c>
    </row>
    <row r="2200" spans="1:24">
      <c r="A2200">
        <f>HYPERLINK("https://www.philgeps.gov.ph/GEPSNONPILOT/Tender/SplashBidNoticeAbstractUI.aspx?menuIndex=3&amp;refID=7049662&amp;Result=3","7049662")</f>
        <v>0</v>
      </c>
      <c r="B2200" t="s">
        <v>952</v>
      </c>
      <c r="C2200" t="s">
        <v>5201</v>
      </c>
      <c r="D2200" t="s">
        <v>16214</v>
      </c>
      <c r="E2200" t="s">
        <v>18311</v>
      </c>
      <c r="F2200" t="s">
        <v>28198</v>
      </c>
      <c r="G2200" t="s">
        <v>28207</v>
      </c>
      <c r="H2200" t="s">
        <v>28217</v>
      </c>
      <c r="I2200" t="s">
        <v>28227</v>
      </c>
      <c r="J2200" t="s">
        <v>28789</v>
      </c>
      <c r="K2200" t="s">
        <v>36701</v>
      </c>
      <c r="M2200" t="s">
        <v>37976</v>
      </c>
      <c r="N2200" t="s">
        <v>40436</v>
      </c>
      <c r="O2200" t="s">
        <v>40437</v>
      </c>
      <c r="P2200">
        <v>0</v>
      </c>
      <c r="Q2200">
        <v>0</v>
      </c>
      <c r="R2200" t="s">
        <v>40438</v>
      </c>
      <c r="S2200" t="s">
        <v>40582</v>
      </c>
      <c r="T2200" t="s">
        <v>42307</v>
      </c>
      <c r="U2200" t="s">
        <v>44526</v>
      </c>
      <c r="W2200" t="s">
        <v>37976</v>
      </c>
      <c r="X2200" t="s">
        <v>40439</v>
      </c>
    </row>
    <row r="2201" spans="1:24">
      <c r="A2201">
        <f>HYPERLINK("https://www.philgeps.gov.ph/GEPSNONPILOT/Tender/SplashBidNoticeAbstractUI.aspx?menuIndex=3&amp;refID=7049657&amp;Result=3","7049657")</f>
        <v>0</v>
      </c>
      <c r="B2201" t="s">
        <v>850</v>
      </c>
      <c r="C2201" t="s">
        <v>5202</v>
      </c>
      <c r="D2201" t="s">
        <v>16190</v>
      </c>
      <c r="E2201" t="s">
        <v>18312</v>
      </c>
      <c r="F2201" t="s">
        <v>28198</v>
      </c>
      <c r="G2201" t="s">
        <v>28207</v>
      </c>
      <c r="H2201" t="s">
        <v>28215</v>
      </c>
      <c r="I2201" t="s">
        <v>3797</v>
      </c>
      <c r="J2201" t="s">
        <v>29835</v>
      </c>
      <c r="K2201" t="s">
        <v>36688</v>
      </c>
      <c r="M2201" t="s">
        <v>37862</v>
      </c>
      <c r="N2201" t="s">
        <v>40436</v>
      </c>
      <c r="O2201" t="s">
        <v>40437</v>
      </c>
      <c r="P2201">
        <v>0</v>
      </c>
      <c r="Q2201">
        <v>0</v>
      </c>
      <c r="R2201" t="s">
        <v>40438</v>
      </c>
      <c r="S2201" t="s">
        <v>40582</v>
      </c>
      <c r="T2201" t="s">
        <v>42119</v>
      </c>
      <c r="U2201" t="s">
        <v>44527</v>
      </c>
      <c r="W2201" t="s">
        <v>37862</v>
      </c>
      <c r="X2201" t="s">
        <v>40439</v>
      </c>
    </row>
    <row r="2202" spans="1:24">
      <c r="A2202">
        <f>HYPERLINK("https://www.philgeps.gov.ph/GEPSNONPILOT/Tender/SplashBidNoticeAbstractUI.aspx?menuIndex=3&amp;refID=7049667&amp;Result=3","7049667")</f>
        <v>0</v>
      </c>
      <c r="B2202" t="s">
        <v>703</v>
      </c>
      <c r="C2202" t="s">
        <v>5203</v>
      </c>
      <c r="D2202" t="s">
        <v>16240</v>
      </c>
      <c r="E2202" t="s">
        <v>18313</v>
      </c>
      <c r="F2202" t="s">
        <v>28198</v>
      </c>
      <c r="G2202" t="s">
        <v>28210</v>
      </c>
      <c r="H2202" t="s">
        <v>28215</v>
      </c>
      <c r="I2202" t="s">
        <v>5082</v>
      </c>
      <c r="J2202" t="s">
        <v>29836</v>
      </c>
      <c r="K2202" t="s">
        <v>36691</v>
      </c>
      <c r="M2202" t="s">
        <v>37703</v>
      </c>
      <c r="N2202" t="s">
        <v>40436</v>
      </c>
      <c r="O2202" t="s">
        <v>40437</v>
      </c>
      <c r="P2202">
        <v>0</v>
      </c>
      <c r="Q2202">
        <v>0</v>
      </c>
      <c r="R2202" t="s">
        <v>40438</v>
      </c>
      <c r="S2202" t="s">
        <v>40582</v>
      </c>
      <c r="T2202" t="s">
        <v>42142</v>
      </c>
      <c r="U2202" t="s">
        <v>44528</v>
      </c>
      <c r="W2202" t="s">
        <v>37703</v>
      </c>
      <c r="X2202" t="s">
        <v>40439</v>
      </c>
    </row>
    <row r="2203" spans="1:24">
      <c r="A2203">
        <f>HYPERLINK("https://www.philgeps.gov.ph/GEPSNONPILOT/Tender/SplashBidNoticeAbstractUI.aspx?menuIndex=3&amp;refID=7049674&amp;Result=3","7049674")</f>
        <v>0</v>
      </c>
      <c r="B2203" t="s">
        <v>951</v>
      </c>
      <c r="C2203" t="s">
        <v>5204</v>
      </c>
      <c r="D2203" t="s">
        <v>16210</v>
      </c>
      <c r="E2203" t="s">
        <v>18314</v>
      </c>
      <c r="F2203" t="s">
        <v>28198</v>
      </c>
      <c r="G2203" t="s">
        <v>28205</v>
      </c>
      <c r="H2203" t="s">
        <v>28215</v>
      </c>
      <c r="I2203" t="s">
        <v>4219</v>
      </c>
      <c r="J2203" t="s">
        <v>29837</v>
      </c>
      <c r="K2203" t="s">
        <v>36701</v>
      </c>
      <c r="M2203" t="s">
        <v>37975</v>
      </c>
      <c r="N2203" t="s">
        <v>40436</v>
      </c>
      <c r="O2203" t="s">
        <v>40437</v>
      </c>
      <c r="P2203">
        <v>0</v>
      </c>
      <c r="Q2203">
        <v>1</v>
      </c>
      <c r="R2203" t="s">
        <v>40438</v>
      </c>
      <c r="S2203" t="s">
        <v>40582</v>
      </c>
      <c r="T2203" t="s">
        <v>42306</v>
      </c>
      <c r="U2203" t="s">
        <v>44529</v>
      </c>
      <c r="W2203" t="s">
        <v>37975</v>
      </c>
      <c r="X2203" t="s">
        <v>40439</v>
      </c>
    </row>
    <row r="2204" spans="1:24">
      <c r="A2204">
        <f>HYPERLINK("https://www.philgeps.gov.ph/GEPSNONPILOT/Tender/SplashBidNoticeAbstractUI.aspx?menuIndex=3&amp;refID=7049672&amp;Result=3","7049672")</f>
        <v>0</v>
      </c>
      <c r="B2204" t="s">
        <v>118</v>
      </c>
      <c r="C2204" t="s">
        <v>4200</v>
      </c>
      <c r="D2204" t="s">
        <v>16191</v>
      </c>
      <c r="E2204" t="s">
        <v>18315</v>
      </c>
      <c r="F2204" t="s">
        <v>28198</v>
      </c>
      <c r="G2204" t="s">
        <v>28207</v>
      </c>
      <c r="H2204" t="s">
        <v>28215</v>
      </c>
      <c r="I2204" t="s">
        <v>4200</v>
      </c>
      <c r="J2204" t="s">
        <v>28373</v>
      </c>
      <c r="K2204" t="s">
        <v>36701</v>
      </c>
      <c r="M2204" t="s">
        <v>37092</v>
      </c>
      <c r="N2204" t="s">
        <v>40436</v>
      </c>
      <c r="O2204" t="s">
        <v>40437</v>
      </c>
      <c r="P2204">
        <v>0</v>
      </c>
      <c r="Q2204">
        <v>0</v>
      </c>
      <c r="R2204" t="s">
        <v>40438</v>
      </c>
      <c r="S2204" t="s">
        <v>40582</v>
      </c>
      <c r="T2204" t="s">
        <v>42176</v>
      </c>
      <c r="U2204" t="s">
        <v>44530</v>
      </c>
      <c r="W2204" t="s">
        <v>37092</v>
      </c>
      <c r="X2204" t="s">
        <v>40439</v>
      </c>
    </row>
    <row r="2205" spans="1:24">
      <c r="A2205">
        <f>HYPERLINK("https://www.philgeps.gov.ph/GEPSNONPILOT/Tender/SplashBidNoticeAbstractUI.aspx?menuIndex=3&amp;refID=7049673&amp;Result=3","7049673")</f>
        <v>0</v>
      </c>
      <c r="B2205" t="s">
        <v>924</v>
      </c>
      <c r="C2205" t="s">
        <v>5205</v>
      </c>
      <c r="E2205" t="s">
        <v>18316</v>
      </c>
      <c r="F2205" t="s">
        <v>28198</v>
      </c>
      <c r="G2205" t="s">
        <v>28207</v>
      </c>
      <c r="H2205" t="s">
        <v>28216</v>
      </c>
      <c r="I2205" t="s">
        <v>28216</v>
      </c>
      <c r="J2205" t="s">
        <v>28378</v>
      </c>
      <c r="K2205" t="s">
        <v>36728</v>
      </c>
      <c r="M2205" t="s">
        <v>37977</v>
      </c>
      <c r="N2205" t="s">
        <v>40436</v>
      </c>
      <c r="O2205" t="s">
        <v>40437</v>
      </c>
      <c r="P2205">
        <v>0</v>
      </c>
      <c r="Q2205">
        <v>0</v>
      </c>
      <c r="R2205" t="s">
        <v>40438</v>
      </c>
      <c r="S2205" t="s">
        <v>40582</v>
      </c>
      <c r="T2205" t="s">
        <v>42129</v>
      </c>
      <c r="U2205" t="s">
        <v>44531</v>
      </c>
      <c r="W2205" t="s">
        <v>37977</v>
      </c>
      <c r="X2205" t="s">
        <v>40439</v>
      </c>
    </row>
    <row r="2206" spans="1:24">
      <c r="A2206">
        <f>HYPERLINK("https://www.philgeps.gov.ph/GEPSNONPILOT/Tender/SplashBidNoticeAbstractUI.aspx?menuIndex=3&amp;refID=7049668&amp;Result=3","7049668")</f>
        <v>0</v>
      </c>
      <c r="B2206" t="s">
        <v>118</v>
      </c>
      <c r="C2206" t="s">
        <v>4200</v>
      </c>
      <c r="D2206" t="s">
        <v>16191</v>
      </c>
      <c r="E2206" t="s">
        <v>18317</v>
      </c>
      <c r="F2206" t="s">
        <v>28198</v>
      </c>
      <c r="G2206" t="s">
        <v>28207</v>
      </c>
      <c r="H2206" t="s">
        <v>28215</v>
      </c>
      <c r="I2206" t="s">
        <v>4200</v>
      </c>
      <c r="J2206" t="s">
        <v>28414</v>
      </c>
      <c r="K2206" t="s">
        <v>36701</v>
      </c>
      <c r="M2206" t="s">
        <v>37092</v>
      </c>
      <c r="N2206" t="s">
        <v>40436</v>
      </c>
      <c r="O2206" t="s">
        <v>40437</v>
      </c>
      <c r="P2206">
        <v>0</v>
      </c>
      <c r="Q2206">
        <v>0</v>
      </c>
      <c r="R2206" t="s">
        <v>40438</v>
      </c>
      <c r="S2206" t="s">
        <v>40582</v>
      </c>
      <c r="T2206" t="s">
        <v>42176</v>
      </c>
      <c r="U2206" t="s">
        <v>44532</v>
      </c>
      <c r="W2206" t="s">
        <v>37092</v>
      </c>
      <c r="X2206" t="s">
        <v>40439</v>
      </c>
    </row>
    <row r="2207" spans="1:24">
      <c r="A2207">
        <f>HYPERLINK("https://www.philgeps.gov.ph/GEPSNONPILOT/Tender/SplashBidNoticeAbstractUI.aspx?menuIndex=3&amp;refID=7049677&amp;Result=3","7049677")</f>
        <v>0</v>
      </c>
      <c r="B2207" t="s">
        <v>953</v>
      </c>
      <c r="C2207" t="s">
        <v>5206</v>
      </c>
      <c r="D2207" t="s">
        <v>16189</v>
      </c>
      <c r="E2207" t="s">
        <v>18318</v>
      </c>
      <c r="F2207" t="s">
        <v>28198</v>
      </c>
      <c r="G2207" t="s">
        <v>28205</v>
      </c>
      <c r="H2207" t="s">
        <v>28214</v>
      </c>
      <c r="I2207" t="s">
        <v>28245</v>
      </c>
      <c r="J2207" t="s">
        <v>29838</v>
      </c>
      <c r="K2207" t="s">
        <v>36697</v>
      </c>
      <c r="M2207" t="s">
        <v>37978</v>
      </c>
      <c r="N2207" t="s">
        <v>40436</v>
      </c>
      <c r="O2207" t="s">
        <v>40437</v>
      </c>
      <c r="P2207">
        <v>0</v>
      </c>
      <c r="Q2207">
        <v>1</v>
      </c>
      <c r="R2207" t="s">
        <v>40438</v>
      </c>
      <c r="S2207" t="s">
        <v>40582</v>
      </c>
      <c r="T2207" t="s">
        <v>42106</v>
      </c>
      <c r="U2207" t="s">
        <v>44533</v>
      </c>
      <c r="W2207" t="s">
        <v>37978</v>
      </c>
      <c r="X2207" t="s">
        <v>40439</v>
      </c>
    </row>
    <row r="2208" spans="1:24">
      <c r="A2208">
        <f>HYPERLINK("https://www.philgeps.gov.ph/GEPSNONPILOT/Tender/SplashBidNoticeAbstractUI.aspx?menuIndex=3&amp;refID=7049679&amp;Result=3","7049679")</f>
        <v>0</v>
      </c>
      <c r="B2208" t="s">
        <v>951</v>
      </c>
      <c r="C2208" t="s">
        <v>5207</v>
      </c>
      <c r="D2208" t="s">
        <v>16210</v>
      </c>
      <c r="E2208" t="s">
        <v>18319</v>
      </c>
      <c r="F2208" t="s">
        <v>28198</v>
      </c>
      <c r="G2208" t="s">
        <v>28205</v>
      </c>
      <c r="H2208" t="s">
        <v>28215</v>
      </c>
      <c r="I2208" t="s">
        <v>28258</v>
      </c>
      <c r="J2208" t="s">
        <v>29839</v>
      </c>
      <c r="K2208" t="s">
        <v>36701</v>
      </c>
      <c r="M2208" t="s">
        <v>37975</v>
      </c>
      <c r="N2208" t="s">
        <v>40436</v>
      </c>
      <c r="O2208" t="s">
        <v>40437</v>
      </c>
      <c r="P2208">
        <v>0</v>
      </c>
      <c r="Q2208">
        <v>5</v>
      </c>
      <c r="R2208" t="s">
        <v>40438</v>
      </c>
      <c r="S2208" t="s">
        <v>40582</v>
      </c>
      <c r="T2208" t="s">
        <v>42306</v>
      </c>
      <c r="U2208" t="s">
        <v>44534</v>
      </c>
      <c r="W2208" t="s">
        <v>37975</v>
      </c>
      <c r="X2208" t="s">
        <v>40439</v>
      </c>
    </row>
    <row r="2209" spans="1:24">
      <c r="A2209">
        <f>HYPERLINK("https://www.philgeps.gov.ph/GEPSNONPILOT/Tender/SplashBidNoticeAbstractUI.aspx?menuIndex=3&amp;refID=7049669&amp;Result=3","7049669")</f>
        <v>0</v>
      </c>
      <c r="B2209" t="s">
        <v>402</v>
      </c>
      <c r="C2209" t="s">
        <v>5208</v>
      </c>
      <c r="D2209" t="s">
        <v>16217</v>
      </c>
      <c r="E2209" t="s">
        <v>17019</v>
      </c>
      <c r="F2209" t="s">
        <v>28198</v>
      </c>
      <c r="G2209" t="s">
        <v>28205</v>
      </c>
      <c r="H2209" t="s">
        <v>28215</v>
      </c>
      <c r="I2209" t="s">
        <v>28225</v>
      </c>
      <c r="J2209" t="s">
        <v>29840</v>
      </c>
      <c r="K2209" t="s">
        <v>36701</v>
      </c>
      <c r="M2209" t="s">
        <v>37383</v>
      </c>
      <c r="N2209" t="s">
        <v>40436</v>
      </c>
      <c r="O2209" t="s">
        <v>40437</v>
      </c>
      <c r="P2209">
        <v>0</v>
      </c>
      <c r="Q2209">
        <v>6</v>
      </c>
      <c r="R2209" t="s">
        <v>40438</v>
      </c>
      <c r="S2209" t="s">
        <v>40582</v>
      </c>
      <c r="T2209" t="s">
        <v>42308</v>
      </c>
      <c r="U2209" t="s">
        <v>44535</v>
      </c>
      <c r="W2209" t="s">
        <v>37383</v>
      </c>
      <c r="X2209" t="s">
        <v>40439</v>
      </c>
    </row>
    <row r="2210" spans="1:24">
      <c r="A2210">
        <f>HYPERLINK("https://www.philgeps.gov.ph/GEPSNONPILOT/Tender/SplashBidNoticeAbstractUI.aspx?menuIndex=3&amp;refID=7049676&amp;Result=3","7049676")</f>
        <v>0</v>
      </c>
      <c r="B2210" t="s">
        <v>532</v>
      </c>
      <c r="C2210" t="s">
        <v>5209</v>
      </c>
      <c r="D2210" t="s">
        <v>16230</v>
      </c>
      <c r="E2210" t="s">
        <v>18320</v>
      </c>
      <c r="F2210" t="s">
        <v>28198</v>
      </c>
      <c r="G2210" t="s">
        <v>28206</v>
      </c>
      <c r="H2210" t="s">
        <v>28215</v>
      </c>
      <c r="I2210" t="s">
        <v>28262</v>
      </c>
      <c r="J2210" t="s">
        <v>28345</v>
      </c>
      <c r="K2210" t="s">
        <v>36689</v>
      </c>
      <c r="M2210" t="s">
        <v>37518</v>
      </c>
      <c r="N2210" t="s">
        <v>40436</v>
      </c>
      <c r="O2210" t="s">
        <v>40437</v>
      </c>
      <c r="P2210">
        <v>0</v>
      </c>
      <c r="Q2210">
        <v>0</v>
      </c>
      <c r="R2210" t="s">
        <v>40438</v>
      </c>
      <c r="S2210" t="s">
        <v>40582</v>
      </c>
      <c r="T2210" t="s">
        <v>42190</v>
      </c>
      <c r="U2210" t="s">
        <v>44536</v>
      </c>
      <c r="W2210" t="s">
        <v>37518</v>
      </c>
      <c r="X2210" t="s">
        <v>40439</v>
      </c>
    </row>
    <row r="2211" spans="1:24">
      <c r="A2211">
        <f>HYPERLINK("https://www.philgeps.gov.ph/GEPSNONPILOT/Tender/SplashBidNoticeAbstractUI.aspx?menuIndex=3&amp;refID=7049671&amp;Result=3","7049671")</f>
        <v>0</v>
      </c>
      <c r="B2211" t="s">
        <v>954</v>
      </c>
      <c r="C2211" t="s">
        <v>5210</v>
      </c>
      <c r="D2211" t="s">
        <v>16210</v>
      </c>
      <c r="E2211" t="s">
        <v>18321</v>
      </c>
      <c r="F2211" t="s">
        <v>28198</v>
      </c>
      <c r="G2211" t="s">
        <v>28205</v>
      </c>
      <c r="H2211" t="s">
        <v>28215</v>
      </c>
      <c r="I2211" t="s">
        <v>28222</v>
      </c>
      <c r="J2211" t="s">
        <v>29841</v>
      </c>
      <c r="K2211" t="s">
        <v>36689</v>
      </c>
      <c r="M2211" t="s">
        <v>37979</v>
      </c>
      <c r="N2211" t="s">
        <v>40436</v>
      </c>
      <c r="O2211" t="s">
        <v>40437</v>
      </c>
      <c r="P2211">
        <v>0</v>
      </c>
      <c r="Q2211">
        <v>4</v>
      </c>
      <c r="R2211" t="s">
        <v>40438</v>
      </c>
      <c r="S2211" t="s">
        <v>40582</v>
      </c>
      <c r="T2211" t="s">
        <v>42101</v>
      </c>
      <c r="U2211" t="s">
        <v>44537</v>
      </c>
      <c r="W2211" t="s">
        <v>37979</v>
      </c>
      <c r="X2211" t="s">
        <v>40439</v>
      </c>
    </row>
    <row r="2212" spans="1:24">
      <c r="A2212">
        <f>HYPERLINK("https://www.philgeps.gov.ph/GEPSNONPILOT/Tender/SplashBidNoticeAbstractUI.aspx?menuIndex=3&amp;refID=7049675&amp;Result=3","7049675")</f>
        <v>0</v>
      </c>
      <c r="B2212" t="s">
        <v>118</v>
      </c>
      <c r="C2212" t="s">
        <v>4200</v>
      </c>
      <c r="D2212" t="s">
        <v>16191</v>
      </c>
      <c r="E2212" t="s">
        <v>18322</v>
      </c>
      <c r="F2212" t="s">
        <v>28198</v>
      </c>
      <c r="G2212" t="s">
        <v>28207</v>
      </c>
      <c r="H2212" t="s">
        <v>28215</v>
      </c>
      <c r="I2212" t="s">
        <v>4200</v>
      </c>
      <c r="J2212" t="s">
        <v>29842</v>
      </c>
      <c r="K2212" t="s">
        <v>36701</v>
      </c>
      <c r="M2212" t="s">
        <v>37092</v>
      </c>
      <c r="N2212" t="s">
        <v>40436</v>
      </c>
      <c r="O2212" t="s">
        <v>40437</v>
      </c>
      <c r="P2212">
        <v>0</v>
      </c>
      <c r="Q2212">
        <v>0</v>
      </c>
      <c r="R2212" t="s">
        <v>40438</v>
      </c>
      <c r="S2212" t="s">
        <v>40582</v>
      </c>
      <c r="T2212" t="s">
        <v>42176</v>
      </c>
      <c r="U2212" t="s">
        <v>44538</v>
      </c>
      <c r="W2212" t="s">
        <v>37092</v>
      </c>
      <c r="X2212" t="s">
        <v>40439</v>
      </c>
    </row>
    <row r="2213" spans="1:24">
      <c r="A2213">
        <f>HYPERLINK("https://www.philgeps.gov.ph/GEPSNONPILOT/Tender/SplashBidNoticeAbstractUI.aspx?menuIndex=3&amp;refID=7049687&amp;Result=3","7049687")</f>
        <v>0</v>
      </c>
      <c r="B2213" t="s">
        <v>951</v>
      </c>
      <c r="C2213" t="s">
        <v>3458</v>
      </c>
      <c r="D2213" t="s">
        <v>16210</v>
      </c>
      <c r="E2213" t="s">
        <v>18323</v>
      </c>
      <c r="F2213" t="s">
        <v>28198</v>
      </c>
      <c r="G2213" t="s">
        <v>28205</v>
      </c>
      <c r="H2213" t="s">
        <v>28215</v>
      </c>
      <c r="I2213" t="s">
        <v>5082</v>
      </c>
      <c r="J2213" t="s">
        <v>29843</v>
      </c>
      <c r="K2213" t="s">
        <v>36701</v>
      </c>
      <c r="M2213" t="s">
        <v>37975</v>
      </c>
      <c r="N2213" t="s">
        <v>40436</v>
      </c>
      <c r="O2213" t="s">
        <v>40437</v>
      </c>
      <c r="P2213">
        <v>0</v>
      </c>
      <c r="Q2213">
        <v>0</v>
      </c>
      <c r="R2213" t="s">
        <v>40438</v>
      </c>
      <c r="S2213" t="s">
        <v>40582</v>
      </c>
      <c r="T2213" t="s">
        <v>42306</v>
      </c>
      <c r="U2213" t="s">
        <v>44539</v>
      </c>
      <c r="W2213" t="s">
        <v>37975</v>
      </c>
      <c r="X2213" t="s">
        <v>40439</v>
      </c>
    </row>
    <row r="2214" spans="1:24">
      <c r="A2214">
        <f>HYPERLINK("https://www.philgeps.gov.ph/GEPSNONPILOT/Tender/SplashBidNoticeAbstractUI.aspx?menuIndex=3&amp;refID=7049678&amp;Result=3","7049678")</f>
        <v>0</v>
      </c>
      <c r="B2214" t="s">
        <v>118</v>
      </c>
      <c r="C2214" t="s">
        <v>4200</v>
      </c>
      <c r="D2214" t="s">
        <v>16191</v>
      </c>
      <c r="E2214" t="s">
        <v>18324</v>
      </c>
      <c r="F2214" t="s">
        <v>28198</v>
      </c>
      <c r="G2214" t="s">
        <v>28206</v>
      </c>
      <c r="H2214" t="s">
        <v>28215</v>
      </c>
      <c r="I2214" t="s">
        <v>4200</v>
      </c>
      <c r="J2214" t="s">
        <v>29844</v>
      </c>
      <c r="K2214" t="s">
        <v>36707</v>
      </c>
      <c r="M2214" t="s">
        <v>37092</v>
      </c>
      <c r="N2214" t="s">
        <v>40436</v>
      </c>
      <c r="O2214" t="s">
        <v>40437</v>
      </c>
      <c r="P2214">
        <v>0</v>
      </c>
      <c r="Q2214">
        <v>0</v>
      </c>
      <c r="R2214" t="s">
        <v>40438</v>
      </c>
      <c r="S2214" t="s">
        <v>40582</v>
      </c>
      <c r="T2214" t="s">
        <v>42176</v>
      </c>
      <c r="U2214" t="s">
        <v>44540</v>
      </c>
      <c r="W2214" t="s">
        <v>37092</v>
      </c>
      <c r="X2214" t="s">
        <v>40439</v>
      </c>
    </row>
    <row r="2215" spans="1:24">
      <c r="A2215">
        <f>HYPERLINK("https://www.philgeps.gov.ph/GEPSNONPILOT/Tender/SplashBidNoticeAbstractUI.aspx?menuIndex=3&amp;refID=7049685&amp;Result=3","7049685")</f>
        <v>0</v>
      </c>
      <c r="B2215" t="s">
        <v>953</v>
      </c>
      <c r="C2215" t="s">
        <v>5211</v>
      </c>
      <c r="D2215" t="s">
        <v>16189</v>
      </c>
      <c r="E2215" t="s">
        <v>18325</v>
      </c>
      <c r="F2215" t="s">
        <v>28200</v>
      </c>
      <c r="G2215" t="s">
        <v>28205</v>
      </c>
      <c r="H2215" t="s">
        <v>28214</v>
      </c>
      <c r="I2215" t="s">
        <v>3797</v>
      </c>
      <c r="J2215" t="s">
        <v>29409</v>
      </c>
      <c r="K2215" t="s">
        <v>36694</v>
      </c>
      <c r="M2215" t="s">
        <v>37978</v>
      </c>
      <c r="N2215" t="s">
        <v>40436</v>
      </c>
      <c r="O2215" t="s">
        <v>40437</v>
      </c>
      <c r="P2215">
        <v>0</v>
      </c>
      <c r="Q2215">
        <v>0</v>
      </c>
      <c r="R2215" t="s">
        <v>40438</v>
      </c>
      <c r="S2215" t="s">
        <v>40582</v>
      </c>
      <c r="T2215" t="s">
        <v>42106</v>
      </c>
      <c r="U2215" t="s">
        <v>44541</v>
      </c>
      <c r="W2215" t="s">
        <v>37978</v>
      </c>
      <c r="X2215" t="s">
        <v>40439</v>
      </c>
    </row>
    <row r="2216" spans="1:24">
      <c r="A2216">
        <f>HYPERLINK("https://www.philgeps.gov.ph/GEPSNONPILOT/Tender/SplashBidNoticeAbstractUI.aspx?menuIndex=3&amp;refID=7049686&amp;Result=3","7049686")</f>
        <v>0</v>
      </c>
      <c r="B2216" t="s">
        <v>955</v>
      </c>
      <c r="C2216" t="s">
        <v>5212</v>
      </c>
      <c r="D2216" t="s">
        <v>16241</v>
      </c>
      <c r="E2216" t="s">
        <v>18326</v>
      </c>
      <c r="F2216" t="s">
        <v>28198</v>
      </c>
      <c r="G2216" t="s">
        <v>28205</v>
      </c>
      <c r="H2216" t="s">
        <v>28214</v>
      </c>
      <c r="I2216" t="s">
        <v>3797</v>
      </c>
      <c r="J2216" t="s">
        <v>28683</v>
      </c>
      <c r="K2216" t="s">
        <v>36690</v>
      </c>
      <c r="M2216" t="s">
        <v>37980</v>
      </c>
      <c r="N2216" t="s">
        <v>40436</v>
      </c>
      <c r="O2216" t="s">
        <v>40437</v>
      </c>
      <c r="P2216">
        <v>0</v>
      </c>
      <c r="Q2216">
        <v>1</v>
      </c>
      <c r="R2216" t="s">
        <v>40438</v>
      </c>
      <c r="S2216" t="s">
        <v>40582</v>
      </c>
      <c r="T2216" t="s">
        <v>42261</v>
      </c>
      <c r="U2216" t="s">
        <v>44542</v>
      </c>
      <c r="W2216" t="s">
        <v>37980</v>
      </c>
      <c r="X2216" t="s">
        <v>40439</v>
      </c>
    </row>
    <row r="2217" spans="1:24">
      <c r="A2217">
        <f>HYPERLINK("https://www.philgeps.gov.ph/GEPSNONPILOT/Tender/SplashBidNoticeAbstractUI.aspx?menuIndex=3&amp;refID=7049684&amp;Result=3","7049684")</f>
        <v>0</v>
      </c>
      <c r="B2217" t="s">
        <v>850</v>
      </c>
      <c r="C2217" t="s">
        <v>5213</v>
      </c>
      <c r="D2217" t="s">
        <v>16190</v>
      </c>
      <c r="E2217" t="s">
        <v>17066</v>
      </c>
      <c r="F2217" t="s">
        <v>28198</v>
      </c>
      <c r="G2217" t="s">
        <v>28207</v>
      </c>
      <c r="H2217" t="s">
        <v>28215</v>
      </c>
      <c r="I2217" t="s">
        <v>4219</v>
      </c>
      <c r="J2217" t="s">
        <v>28413</v>
      </c>
      <c r="K2217" t="s">
        <v>36688</v>
      </c>
      <c r="M2217" t="s">
        <v>37862</v>
      </c>
      <c r="N2217" t="s">
        <v>40436</v>
      </c>
      <c r="O2217" t="s">
        <v>40437</v>
      </c>
      <c r="P2217">
        <v>0</v>
      </c>
      <c r="Q2217">
        <v>0</v>
      </c>
      <c r="R2217" t="s">
        <v>40438</v>
      </c>
      <c r="S2217" t="s">
        <v>40582</v>
      </c>
      <c r="T2217" t="s">
        <v>42119</v>
      </c>
      <c r="U2217" t="s">
        <v>44543</v>
      </c>
      <c r="W2217" t="s">
        <v>37862</v>
      </c>
      <c r="X2217" t="s">
        <v>40439</v>
      </c>
    </row>
    <row r="2218" spans="1:24">
      <c r="A2218">
        <f>HYPERLINK("https://www.philgeps.gov.ph/GEPSNONPILOT/Tender/SplashBidNoticeAbstractUI.aspx?menuIndex=3&amp;refID=7049683&amp;Result=3","7049683")</f>
        <v>0</v>
      </c>
      <c r="B2218" t="s">
        <v>880</v>
      </c>
      <c r="C2218" t="s">
        <v>5214</v>
      </c>
      <c r="D2218" t="s">
        <v>16187</v>
      </c>
      <c r="E2218" t="s">
        <v>18327</v>
      </c>
      <c r="F2218" t="s">
        <v>28198</v>
      </c>
      <c r="G2218" t="s">
        <v>28207</v>
      </c>
      <c r="H2218" t="s">
        <v>28215</v>
      </c>
      <c r="I2218" t="s">
        <v>28227</v>
      </c>
      <c r="J2218" t="s">
        <v>29845</v>
      </c>
      <c r="K2218" t="s">
        <v>36689</v>
      </c>
      <c r="M2218" t="s">
        <v>37896</v>
      </c>
      <c r="N2218" t="s">
        <v>40436</v>
      </c>
      <c r="O2218" t="s">
        <v>40437</v>
      </c>
      <c r="P2218">
        <v>0</v>
      </c>
      <c r="Q2218">
        <v>0</v>
      </c>
      <c r="R2218" t="s">
        <v>40438</v>
      </c>
      <c r="S2218" t="s">
        <v>40582</v>
      </c>
      <c r="T2218" t="s">
        <v>42142</v>
      </c>
      <c r="U2218" t="s">
        <v>44544</v>
      </c>
      <c r="W2218" t="s">
        <v>37896</v>
      </c>
      <c r="X2218" t="s">
        <v>40439</v>
      </c>
    </row>
    <row r="2219" spans="1:24">
      <c r="A2219">
        <f>HYPERLINK("https://www.philgeps.gov.ph/GEPSNONPILOT/Tender/SplashBidNoticeAbstractUI.aspx?menuIndex=3&amp;refID=7049680&amp;Result=3","7049680")</f>
        <v>0</v>
      </c>
      <c r="B2219" t="s">
        <v>956</v>
      </c>
      <c r="C2219" t="s">
        <v>5215</v>
      </c>
      <c r="D2219" t="s">
        <v>16188</v>
      </c>
      <c r="E2219" t="s">
        <v>18328</v>
      </c>
      <c r="F2219" t="s">
        <v>28198</v>
      </c>
      <c r="G2219" t="s">
        <v>28206</v>
      </c>
      <c r="H2219" t="s">
        <v>28215</v>
      </c>
      <c r="I2219" t="s">
        <v>28225</v>
      </c>
      <c r="J2219" t="s">
        <v>29846</v>
      </c>
      <c r="K2219" t="s">
        <v>36706</v>
      </c>
      <c r="M2219" t="s">
        <v>37981</v>
      </c>
      <c r="N2219" t="s">
        <v>40436</v>
      </c>
      <c r="O2219" t="s">
        <v>40437</v>
      </c>
      <c r="P2219">
        <v>0</v>
      </c>
      <c r="Q2219">
        <v>1</v>
      </c>
      <c r="R2219" t="s">
        <v>40438</v>
      </c>
      <c r="S2219" t="s">
        <v>40582</v>
      </c>
      <c r="T2219" t="s">
        <v>42131</v>
      </c>
      <c r="U2219" t="s">
        <v>44545</v>
      </c>
      <c r="W2219" t="s">
        <v>37981</v>
      </c>
      <c r="X2219" t="s">
        <v>40439</v>
      </c>
    </row>
    <row r="2220" spans="1:24">
      <c r="A2220">
        <f>HYPERLINK("https://www.philgeps.gov.ph/GEPSNONPILOT/Tender/SplashBidNoticeAbstractUI.aspx?menuIndex=3&amp;refID=7049689&amp;Result=3","7049689")</f>
        <v>0</v>
      </c>
      <c r="B2220" t="s">
        <v>880</v>
      </c>
      <c r="C2220" t="s">
        <v>5216</v>
      </c>
      <c r="D2220" t="s">
        <v>16187</v>
      </c>
      <c r="E2220" t="s">
        <v>18329</v>
      </c>
      <c r="F2220" t="s">
        <v>28198</v>
      </c>
      <c r="G2220" t="s">
        <v>28207</v>
      </c>
      <c r="H2220" t="s">
        <v>28215</v>
      </c>
      <c r="I2220" t="s">
        <v>28238</v>
      </c>
      <c r="J2220" t="s">
        <v>28414</v>
      </c>
      <c r="K2220" t="s">
        <v>36689</v>
      </c>
      <c r="M2220" t="s">
        <v>37896</v>
      </c>
      <c r="N2220" t="s">
        <v>40436</v>
      </c>
      <c r="O2220" t="s">
        <v>40437</v>
      </c>
      <c r="P2220">
        <v>0</v>
      </c>
      <c r="Q2220">
        <v>0</v>
      </c>
      <c r="R2220" t="s">
        <v>40438</v>
      </c>
      <c r="S2220" t="s">
        <v>40582</v>
      </c>
      <c r="T2220" t="s">
        <v>42142</v>
      </c>
      <c r="U2220" t="s">
        <v>44546</v>
      </c>
      <c r="W2220" t="s">
        <v>37896</v>
      </c>
      <c r="X2220" t="s">
        <v>40439</v>
      </c>
    </row>
    <row r="2221" spans="1:24">
      <c r="A2221">
        <f>HYPERLINK("https://www.philgeps.gov.ph/GEPSNONPILOT/Tender/SplashBidNoticeAbstractUI.aspx?menuIndex=3&amp;refID=7049700&amp;Result=3","7049700")</f>
        <v>0</v>
      </c>
      <c r="B2221" t="s">
        <v>951</v>
      </c>
      <c r="C2221" t="s">
        <v>5217</v>
      </c>
      <c r="D2221" t="s">
        <v>16210</v>
      </c>
      <c r="E2221" t="s">
        <v>18330</v>
      </c>
      <c r="F2221" t="s">
        <v>28198</v>
      </c>
      <c r="G2221" t="s">
        <v>28205</v>
      </c>
      <c r="H2221" t="s">
        <v>28215</v>
      </c>
      <c r="I2221" t="s">
        <v>28239</v>
      </c>
      <c r="J2221" t="s">
        <v>28415</v>
      </c>
      <c r="K2221" t="s">
        <v>36701</v>
      </c>
      <c r="M2221" t="s">
        <v>37975</v>
      </c>
      <c r="N2221" t="s">
        <v>40436</v>
      </c>
      <c r="O2221" t="s">
        <v>40437</v>
      </c>
      <c r="P2221">
        <v>0</v>
      </c>
      <c r="Q2221">
        <v>2</v>
      </c>
      <c r="R2221" t="s">
        <v>40438</v>
      </c>
      <c r="S2221" t="s">
        <v>40582</v>
      </c>
      <c r="T2221" t="s">
        <v>42306</v>
      </c>
      <c r="U2221" t="s">
        <v>44547</v>
      </c>
      <c r="W2221" t="s">
        <v>37975</v>
      </c>
      <c r="X2221" t="s">
        <v>40439</v>
      </c>
    </row>
    <row r="2222" spans="1:24">
      <c r="A2222">
        <f>HYPERLINK("https://www.philgeps.gov.ph/GEPSNONPILOT/Tender/SplashBidNoticeAbstractUI.aspx?menuIndex=3&amp;refID=7049682&amp;Result=3","7049682")</f>
        <v>0</v>
      </c>
      <c r="B2222" t="s">
        <v>937</v>
      </c>
      <c r="C2222" t="s">
        <v>5218</v>
      </c>
      <c r="D2222" t="s">
        <v>16210</v>
      </c>
      <c r="E2222" t="s">
        <v>18331</v>
      </c>
      <c r="F2222" t="s">
        <v>28198</v>
      </c>
      <c r="G2222" t="s">
        <v>28207</v>
      </c>
      <c r="H2222" t="s">
        <v>28214</v>
      </c>
      <c r="I2222" t="s">
        <v>5100</v>
      </c>
      <c r="J2222" t="s">
        <v>29847</v>
      </c>
      <c r="K2222" t="s">
        <v>36694</v>
      </c>
      <c r="M2222" t="s">
        <v>37959</v>
      </c>
      <c r="N2222" t="s">
        <v>40436</v>
      </c>
      <c r="O2222" t="s">
        <v>40437</v>
      </c>
      <c r="P2222">
        <v>0</v>
      </c>
      <c r="Q2222">
        <v>0</v>
      </c>
      <c r="R2222" t="s">
        <v>40438</v>
      </c>
      <c r="S2222" t="s">
        <v>40582</v>
      </c>
      <c r="T2222" t="s">
        <v>42102</v>
      </c>
      <c r="U2222" t="s">
        <v>44548</v>
      </c>
      <c r="V2222" t="s">
        <v>54028</v>
      </c>
      <c r="W2222" t="s">
        <v>37959</v>
      </c>
      <c r="X2222" t="s">
        <v>40439</v>
      </c>
    </row>
    <row r="2223" spans="1:24">
      <c r="A2223">
        <f>HYPERLINK("https://www.philgeps.gov.ph/GEPSNONPILOT/Tender/SplashBidNoticeAbstractUI.aspx?menuIndex=3&amp;refID=7049696&amp;Result=3","7049696")</f>
        <v>0</v>
      </c>
      <c r="B2223" t="s">
        <v>951</v>
      </c>
      <c r="C2223" t="s">
        <v>5219</v>
      </c>
      <c r="D2223" t="s">
        <v>16210</v>
      </c>
      <c r="E2223" t="s">
        <v>18332</v>
      </c>
      <c r="F2223" t="s">
        <v>28198</v>
      </c>
      <c r="G2223" t="s">
        <v>28205</v>
      </c>
      <c r="H2223" t="s">
        <v>28215</v>
      </c>
      <c r="I2223" t="s">
        <v>28262</v>
      </c>
      <c r="J2223" t="s">
        <v>29848</v>
      </c>
      <c r="K2223" t="s">
        <v>36701</v>
      </c>
      <c r="M2223" t="s">
        <v>37975</v>
      </c>
      <c r="N2223" t="s">
        <v>40436</v>
      </c>
      <c r="O2223" t="s">
        <v>40437</v>
      </c>
      <c r="P2223">
        <v>0</v>
      </c>
      <c r="Q2223">
        <v>1</v>
      </c>
      <c r="R2223" t="s">
        <v>40438</v>
      </c>
      <c r="S2223" t="s">
        <v>40582</v>
      </c>
      <c r="T2223" t="s">
        <v>42306</v>
      </c>
      <c r="U2223" t="s">
        <v>44549</v>
      </c>
      <c r="W2223" t="s">
        <v>37975</v>
      </c>
      <c r="X2223" t="s">
        <v>40439</v>
      </c>
    </row>
    <row r="2224" spans="1:24">
      <c r="A2224">
        <f>HYPERLINK("https://www.philgeps.gov.ph/GEPSNONPILOT/Tender/SplashBidNoticeAbstractUI.aspx?menuIndex=3&amp;refID=7049688&amp;Result=3","7049688")</f>
        <v>0</v>
      </c>
      <c r="B2224" t="s">
        <v>957</v>
      </c>
      <c r="C2224" t="s">
        <v>5220</v>
      </c>
      <c r="E2224" t="s">
        <v>17254</v>
      </c>
      <c r="F2224" t="s">
        <v>28198</v>
      </c>
      <c r="G2224" t="s">
        <v>28205</v>
      </c>
      <c r="H2224" t="s">
        <v>28214</v>
      </c>
      <c r="I2224" t="s">
        <v>3797</v>
      </c>
      <c r="J2224" t="s">
        <v>28393</v>
      </c>
      <c r="K2224" t="s">
        <v>36701</v>
      </c>
      <c r="M2224" t="s">
        <v>37982</v>
      </c>
      <c r="N2224" t="s">
        <v>40436</v>
      </c>
      <c r="O2224" t="s">
        <v>40437</v>
      </c>
      <c r="P2224">
        <v>0</v>
      </c>
      <c r="Q2224">
        <v>0</v>
      </c>
      <c r="R2224" t="s">
        <v>40438</v>
      </c>
      <c r="S2224" t="s">
        <v>40582</v>
      </c>
      <c r="T2224" t="s">
        <v>42112</v>
      </c>
      <c r="U2224" t="s">
        <v>44550</v>
      </c>
      <c r="V2224" t="s">
        <v>54029</v>
      </c>
      <c r="W2224" t="s">
        <v>37982</v>
      </c>
      <c r="X2224" t="s">
        <v>40439</v>
      </c>
    </row>
    <row r="2225" spans="1:24">
      <c r="A2225">
        <f>HYPERLINK("https://www.philgeps.gov.ph/GEPSNONPILOT/Tender/SplashBidNoticeAbstractUI.aspx?menuIndex=3&amp;refID=7049695&amp;Result=3","7049695")</f>
        <v>0</v>
      </c>
      <c r="B2225" t="s">
        <v>136</v>
      </c>
      <c r="C2225" t="s">
        <v>5221</v>
      </c>
      <c r="D2225" t="s">
        <v>16188</v>
      </c>
      <c r="E2225" t="s">
        <v>18333</v>
      </c>
      <c r="F2225" t="s">
        <v>28198</v>
      </c>
      <c r="G2225" t="s">
        <v>28205</v>
      </c>
      <c r="H2225" t="s">
        <v>28215</v>
      </c>
      <c r="I2225" t="s">
        <v>3774</v>
      </c>
      <c r="J2225" t="s">
        <v>29849</v>
      </c>
      <c r="K2225" t="s">
        <v>36689</v>
      </c>
      <c r="M2225" t="s">
        <v>37983</v>
      </c>
      <c r="N2225" t="s">
        <v>40436</v>
      </c>
      <c r="O2225" t="s">
        <v>40437</v>
      </c>
      <c r="P2225">
        <v>0</v>
      </c>
      <c r="Q2225">
        <v>0</v>
      </c>
      <c r="R2225" t="s">
        <v>40438</v>
      </c>
      <c r="S2225" t="s">
        <v>40582</v>
      </c>
      <c r="T2225" t="s">
        <v>42113</v>
      </c>
      <c r="U2225" t="s">
        <v>44551</v>
      </c>
      <c r="W2225" t="s">
        <v>37983</v>
      </c>
      <c r="X2225" t="s">
        <v>40439</v>
      </c>
    </row>
    <row r="2226" spans="1:24">
      <c r="A2226">
        <f>HYPERLINK("https://www.philgeps.gov.ph/GEPSNONPILOT/Tender/SplashBidNoticeAbstractUI.aspx?menuIndex=3&amp;refID=7049681&amp;Result=3","7049681")</f>
        <v>0</v>
      </c>
      <c r="B2226" t="s">
        <v>951</v>
      </c>
      <c r="C2226" t="s">
        <v>4027</v>
      </c>
      <c r="D2226" t="s">
        <v>16210</v>
      </c>
      <c r="E2226" t="s">
        <v>18334</v>
      </c>
      <c r="F2226" t="s">
        <v>28198</v>
      </c>
      <c r="G2226" t="s">
        <v>28205</v>
      </c>
      <c r="H2226" t="s">
        <v>28215</v>
      </c>
      <c r="I2226" t="s">
        <v>4219</v>
      </c>
      <c r="J2226" t="s">
        <v>29850</v>
      </c>
      <c r="K2226" t="s">
        <v>36701</v>
      </c>
      <c r="M2226" t="s">
        <v>37975</v>
      </c>
      <c r="N2226" t="s">
        <v>40436</v>
      </c>
      <c r="O2226" t="s">
        <v>40437</v>
      </c>
      <c r="P2226">
        <v>0</v>
      </c>
      <c r="Q2226">
        <v>1</v>
      </c>
      <c r="R2226" t="s">
        <v>40438</v>
      </c>
      <c r="S2226" t="s">
        <v>40582</v>
      </c>
      <c r="T2226" t="s">
        <v>42306</v>
      </c>
      <c r="U2226" t="s">
        <v>44552</v>
      </c>
      <c r="W2226" t="s">
        <v>37975</v>
      </c>
      <c r="X2226" t="s">
        <v>40439</v>
      </c>
    </row>
    <row r="2227" spans="1:24">
      <c r="A2227">
        <f>HYPERLINK("https://www.philgeps.gov.ph/GEPSNONPILOT/Tender/SplashBidNoticeAbstractUI.aspx?menuIndex=3&amp;refID=7049697&amp;Result=3","7049697")</f>
        <v>0</v>
      </c>
      <c r="B2227" t="s">
        <v>715</v>
      </c>
      <c r="C2227" t="s">
        <v>5222</v>
      </c>
      <c r="D2227" t="s">
        <v>16241</v>
      </c>
      <c r="E2227" t="s">
        <v>18335</v>
      </c>
      <c r="F2227" t="s">
        <v>28198</v>
      </c>
      <c r="G2227" t="s">
        <v>28205</v>
      </c>
      <c r="H2227" t="s">
        <v>28214</v>
      </c>
      <c r="I2227" t="s">
        <v>3797</v>
      </c>
      <c r="J2227" t="s">
        <v>29851</v>
      </c>
      <c r="K2227" t="s">
        <v>36694</v>
      </c>
      <c r="M2227" t="s">
        <v>37716</v>
      </c>
      <c r="N2227" t="s">
        <v>40436</v>
      </c>
      <c r="O2227" t="s">
        <v>40437</v>
      </c>
      <c r="P2227">
        <v>0</v>
      </c>
      <c r="Q2227">
        <v>2</v>
      </c>
      <c r="R2227" t="s">
        <v>40438</v>
      </c>
      <c r="S2227" t="s">
        <v>40582</v>
      </c>
      <c r="T2227" t="s">
        <v>42106</v>
      </c>
      <c r="U2227" t="s">
        <v>44553</v>
      </c>
      <c r="V2227" t="s">
        <v>54030</v>
      </c>
      <c r="W2227" t="s">
        <v>37716</v>
      </c>
      <c r="X2227" t="s">
        <v>40439</v>
      </c>
    </row>
    <row r="2228" spans="1:24">
      <c r="A2228">
        <f>HYPERLINK("https://www.philgeps.gov.ph/GEPSNONPILOT/Tender/SplashBidNoticeAbstractUI.aspx?menuIndex=3&amp;refID=7049690&amp;Result=3","7049690")</f>
        <v>0</v>
      </c>
      <c r="B2228" t="s">
        <v>850</v>
      </c>
      <c r="C2228" t="s">
        <v>5223</v>
      </c>
      <c r="D2228" t="s">
        <v>16190</v>
      </c>
      <c r="E2228" t="s">
        <v>17093</v>
      </c>
      <c r="F2228" t="s">
        <v>28198</v>
      </c>
      <c r="G2228" t="s">
        <v>28207</v>
      </c>
      <c r="H2228" t="s">
        <v>28215</v>
      </c>
      <c r="I2228" t="s">
        <v>4222</v>
      </c>
      <c r="J2228" t="s">
        <v>28354</v>
      </c>
      <c r="K2228" t="s">
        <v>36688</v>
      </c>
      <c r="M2228" t="s">
        <v>37862</v>
      </c>
      <c r="N2228" t="s">
        <v>40436</v>
      </c>
      <c r="O2228" t="s">
        <v>40437</v>
      </c>
      <c r="P2228">
        <v>0</v>
      </c>
      <c r="Q2228">
        <v>0</v>
      </c>
      <c r="R2228" t="s">
        <v>40438</v>
      </c>
      <c r="S2228" t="s">
        <v>40582</v>
      </c>
      <c r="T2228" t="s">
        <v>42111</v>
      </c>
      <c r="U2228" t="s">
        <v>44554</v>
      </c>
      <c r="W2228" t="s">
        <v>37862</v>
      </c>
      <c r="X2228" t="s">
        <v>40439</v>
      </c>
    </row>
    <row r="2229" spans="1:24">
      <c r="A2229">
        <f>HYPERLINK("https://www.philgeps.gov.ph/GEPSNONPILOT/Tender/SplashBidNoticeAbstractUI.aspx?menuIndex=3&amp;refID=7049693&amp;Result=3","7049693")</f>
        <v>0</v>
      </c>
      <c r="B2229" t="s">
        <v>951</v>
      </c>
      <c r="C2229" t="s">
        <v>5224</v>
      </c>
      <c r="D2229" t="s">
        <v>16210</v>
      </c>
      <c r="E2229" t="s">
        <v>18336</v>
      </c>
      <c r="F2229" t="s">
        <v>28198</v>
      </c>
      <c r="G2229" t="s">
        <v>28205</v>
      </c>
      <c r="H2229" t="s">
        <v>28215</v>
      </c>
      <c r="I2229" t="s">
        <v>8870</v>
      </c>
      <c r="J2229" t="s">
        <v>28464</v>
      </c>
      <c r="K2229" t="s">
        <v>36701</v>
      </c>
      <c r="M2229" t="s">
        <v>37975</v>
      </c>
      <c r="N2229" t="s">
        <v>40436</v>
      </c>
      <c r="O2229" t="s">
        <v>40437</v>
      </c>
      <c r="P2229">
        <v>0</v>
      </c>
      <c r="Q2229">
        <v>1</v>
      </c>
      <c r="R2229" t="s">
        <v>40438</v>
      </c>
      <c r="S2229" t="s">
        <v>40582</v>
      </c>
      <c r="T2229" t="s">
        <v>42306</v>
      </c>
      <c r="U2229" t="s">
        <v>44555</v>
      </c>
      <c r="W2229" t="s">
        <v>37975</v>
      </c>
      <c r="X2229" t="s">
        <v>40439</v>
      </c>
    </row>
    <row r="2230" spans="1:24">
      <c r="A2230">
        <f>HYPERLINK("https://www.philgeps.gov.ph/GEPSNONPILOT/Tender/SplashBidNoticeAbstractUI.aspx?menuIndex=3&amp;refID=7049692&amp;Result=3","7049692")</f>
        <v>0</v>
      </c>
      <c r="B2230" t="s">
        <v>958</v>
      </c>
      <c r="C2230" t="s">
        <v>5225</v>
      </c>
      <c r="D2230" t="s">
        <v>16241</v>
      </c>
      <c r="E2230" t="s">
        <v>18337</v>
      </c>
      <c r="F2230" t="s">
        <v>28198</v>
      </c>
      <c r="G2230" t="s">
        <v>28206</v>
      </c>
      <c r="H2230" t="s">
        <v>28215</v>
      </c>
      <c r="I2230" t="s">
        <v>4222</v>
      </c>
      <c r="J2230" t="s">
        <v>29852</v>
      </c>
      <c r="K2230" t="s">
        <v>36706</v>
      </c>
      <c r="M2230" t="s">
        <v>37984</v>
      </c>
      <c r="N2230" t="s">
        <v>40436</v>
      </c>
      <c r="O2230" t="s">
        <v>40437</v>
      </c>
      <c r="P2230">
        <v>0</v>
      </c>
      <c r="Q2230">
        <v>2</v>
      </c>
      <c r="R2230" t="s">
        <v>40438</v>
      </c>
      <c r="S2230" t="s">
        <v>40582</v>
      </c>
      <c r="T2230" t="s">
        <v>42169</v>
      </c>
      <c r="U2230" t="s">
        <v>44556</v>
      </c>
      <c r="W2230" t="s">
        <v>37984</v>
      </c>
      <c r="X2230" t="s">
        <v>40439</v>
      </c>
    </row>
    <row r="2231" spans="1:24">
      <c r="A2231">
        <f>HYPERLINK("https://www.philgeps.gov.ph/GEPSNONPILOT/Tender/SplashBidNoticeAbstractUI.aspx?menuIndex=3&amp;refID=7049698&amp;Result=3","7049698")</f>
        <v>0</v>
      </c>
      <c r="B2231" t="s">
        <v>850</v>
      </c>
      <c r="C2231" t="s">
        <v>5226</v>
      </c>
      <c r="D2231" t="s">
        <v>16190</v>
      </c>
      <c r="E2231" t="s">
        <v>17263</v>
      </c>
      <c r="F2231" t="s">
        <v>28198</v>
      </c>
      <c r="G2231" t="s">
        <v>28207</v>
      </c>
      <c r="H2231" t="s">
        <v>28215</v>
      </c>
      <c r="I2231" t="s">
        <v>28287</v>
      </c>
      <c r="J2231" t="s">
        <v>28671</v>
      </c>
      <c r="K2231" t="s">
        <v>36688</v>
      </c>
      <c r="M2231" t="s">
        <v>37862</v>
      </c>
      <c r="N2231" t="s">
        <v>40436</v>
      </c>
      <c r="O2231" t="s">
        <v>40437</v>
      </c>
      <c r="P2231">
        <v>0</v>
      </c>
      <c r="Q2231">
        <v>0</v>
      </c>
      <c r="R2231" t="s">
        <v>40438</v>
      </c>
      <c r="S2231" t="s">
        <v>40582</v>
      </c>
      <c r="T2231" t="s">
        <v>42119</v>
      </c>
      <c r="U2231" t="s">
        <v>44557</v>
      </c>
      <c r="W2231" t="s">
        <v>37862</v>
      </c>
      <c r="X2231" t="s">
        <v>40439</v>
      </c>
    </row>
    <row r="2232" spans="1:24">
      <c r="A2232">
        <f>HYPERLINK("https://www.philgeps.gov.ph/GEPSNONPILOT/Tender/SplashBidNoticeAbstractUI.aspx?menuIndex=3&amp;refID=7049694&amp;Result=3","7049694")</f>
        <v>0</v>
      </c>
      <c r="B2232" t="s">
        <v>959</v>
      </c>
      <c r="C2232" t="s">
        <v>5227</v>
      </c>
      <c r="D2232" t="s">
        <v>16238</v>
      </c>
      <c r="E2232" t="s">
        <v>18338</v>
      </c>
      <c r="F2232" t="s">
        <v>28198</v>
      </c>
      <c r="G2232" t="s">
        <v>28205</v>
      </c>
      <c r="H2232" t="s">
        <v>28215</v>
      </c>
      <c r="I2232" t="s">
        <v>6051</v>
      </c>
      <c r="J2232" t="s">
        <v>29853</v>
      </c>
      <c r="K2232" t="s">
        <v>36715</v>
      </c>
      <c r="M2232" t="s">
        <v>37985</v>
      </c>
      <c r="N2232" t="s">
        <v>40436</v>
      </c>
      <c r="O2232" t="s">
        <v>40437</v>
      </c>
      <c r="P2232">
        <v>0</v>
      </c>
      <c r="Q2232">
        <v>3</v>
      </c>
      <c r="R2232" t="s">
        <v>40438</v>
      </c>
      <c r="S2232" t="s">
        <v>40582</v>
      </c>
      <c r="T2232" t="s">
        <v>42107</v>
      </c>
      <c r="U2232" t="s">
        <v>44558</v>
      </c>
      <c r="W2232" t="s">
        <v>37985</v>
      </c>
      <c r="X2232" t="s">
        <v>40439</v>
      </c>
    </row>
    <row r="2233" spans="1:24">
      <c r="A2233">
        <f>HYPERLINK("https://www.philgeps.gov.ph/GEPSNONPILOT/Tender/SplashBidNoticeAbstractUI.aspx?menuIndex=3&amp;refID=7049691&amp;Result=3","7049691")</f>
        <v>0</v>
      </c>
      <c r="B2233" t="s">
        <v>960</v>
      </c>
      <c r="C2233" t="s">
        <v>5228</v>
      </c>
      <c r="D2233" t="s">
        <v>16210</v>
      </c>
      <c r="E2233" t="s">
        <v>16519</v>
      </c>
      <c r="F2233" t="s">
        <v>28198</v>
      </c>
      <c r="G2233" t="s">
        <v>28205</v>
      </c>
      <c r="H2233" t="s">
        <v>28215</v>
      </c>
      <c r="I2233" t="s">
        <v>4200</v>
      </c>
      <c r="J2233" t="s">
        <v>29854</v>
      </c>
      <c r="K2233" t="s">
        <v>36693</v>
      </c>
      <c r="M2233" t="s">
        <v>37986</v>
      </c>
      <c r="N2233" t="s">
        <v>40436</v>
      </c>
      <c r="O2233" t="s">
        <v>40437</v>
      </c>
      <c r="P2233">
        <v>0</v>
      </c>
      <c r="Q2233">
        <v>2</v>
      </c>
      <c r="R2233" t="s">
        <v>40438</v>
      </c>
      <c r="S2233" t="s">
        <v>40582</v>
      </c>
      <c r="T2233" t="s">
        <v>42112</v>
      </c>
      <c r="U2233" t="s">
        <v>44559</v>
      </c>
      <c r="W2233" t="s">
        <v>37986</v>
      </c>
      <c r="X2233" t="s">
        <v>40439</v>
      </c>
    </row>
    <row r="2234" spans="1:24">
      <c r="A2234">
        <f>HYPERLINK("https://www.philgeps.gov.ph/GEPSNONPILOT/Tender/SplashBidNoticeAbstractUI.aspx?menuIndex=3&amp;refID=7049709&amp;Result=3","7049709")</f>
        <v>0</v>
      </c>
      <c r="B2234" t="s">
        <v>961</v>
      </c>
      <c r="C2234" t="s">
        <v>5229</v>
      </c>
      <c r="E2234" t="s">
        <v>18339</v>
      </c>
      <c r="F2234" t="s">
        <v>28198</v>
      </c>
      <c r="G2234" t="s">
        <v>28205</v>
      </c>
      <c r="H2234" t="s">
        <v>28214</v>
      </c>
      <c r="I2234" t="s">
        <v>3797</v>
      </c>
      <c r="J2234" t="s">
        <v>29855</v>
      </c>
      <c r="K2234" t="s">
        <v>36689</v>
      </c>
      <c r="M2234" t="s">
        <v>37987</v>
      </c>
      <c r="N2234" t="s">
        <v>40436</v>
      </c>
      <c r="O2234" t="s">
        <v>40437</v>
      </c>
      <c r="P2234">
        <v>0</v>
      </c>
      <c r="Q2234">
        <v>1</v>
      </c>
      <c r="R2234" t="s">
        <v>40438</v>
      </c>
      <c r="S2234" t="s">
        <v>40582</v>
      </c>
      <c r="T2234" t="s">
        <v>42105</v>
      </c>
      <c r="U2234" t="s">
        <v>44560</v>
      </c>
      <c r="W2234" t="s">
        <v>37987</v>
      </c>
      <c r="X2234" t="s">
        <v>40439</v>
      </c>
    </row>
    <row r="2235" spans="1:24">
      <c r="A2235">
        <f>HYPERLINK("https://www.philgeps.gov.ph/GEPSNONPILOT/Tender/SplashBidNoticeAbstractUI.aspx?menuIndex=3&amp;refID=7049708&amp;Result=3","7049708")</f>
        <v>0</v>
      </c>
      <c r="B2235" t="s">
        <v>962</v>
      </c>
      <c r="C2235" t="s">
        <v>5230</v>
      </c>
      <c r="D2235" t="s">
        <v>16230</v>
      </c>
      <c r="E2235" t="s">
        <v>5230</v>
      </c>
      <c r="F2235" t="s">
        <v>28198</v>
      </c>
      <c r="G2235" t="s">
        <v>28210</v>
      </c>
      <c r="H2235" t="s">
        <v>28215</v>
      </c>
      <c r="I2235" t="s">
        <v>4219</v>
      </c>
      <c r="J2235" t="s">
        <v>29856</v>
      </c>
      <c r="K2235" t="s">
        <v>36706</v>
      </c>
      <c r="M2235" t="s">
        <v>37988</v>
      </c>
      <c r="N2235" t="s">
        <v>40436</v>
      </c>
      <c r="O2235" t="s">
        <v>40437</v>
      </c>
      <c r="P2235">
        <v>0</v>
      </c>
      <c r="Q2235">
        <v>0</v>
      </c>
      <c r="R2235" t="s">
        <v>40438</v>
      </c>
      <c r="S2235" t="s">
        <v>40582</v>
      </c>
      <c r="T2235" t="s">
        <v>42111</v>
      </c>
      <c r="U2235" t="s">
        <v>44561</v>
      </c>
      <c r="W2235" t="s">
        <v>37988</v>
      </c>
      <c r="X2235" t="s">
        <v>40439</v>
      </c>
    </row>
    <row r="2236" spans="1:24">
      <c r="A2236">
        <f>HYPERLINK("https://www.philgeps.gov.ph/GEPSNONPILOT/Tender/SplashBidNoticeAbstractUI.aspx?menuIndex=3&amp;refID=7049703&amp;Result=3","7049703")</f>
        <v>0</v>
      </c>
      <c r="B2236" t="s">
        <v>121</v>
      </c>
      <c r="C2236" t="s">
        <v>5231</v>
      </c>
      <c r="D2236" t="s">
        <v>16207</v>
      </c>
      <c r="E2236" t="s">
        <v>18340</v>
      </c>
      <c r="F2236" t="s">
        <v>28198</v>
      </c>
      <c r="G2236" t="s">
        <v>28205</v>
      </c>
      <c r="H2236" t="s">
        <v>28215</v>
      </c>
      <c r="I2236" t="s">
        <v>28234</v>
      </c>
      <c r="J2236" t="s">
        <v>29857</v>
      </c>
      <c r="K2236" t="s">
        <v>36697</v>
      </c>
      <c r="M2236" t="s">
        <v>37095</v>
      </c>
      <c r="N2236" t="s">
        <v>40436</v>
      </c>
      <c r="O2236" t="s">
        <v>40437</v>
      </c>
      <c r="P2236">
        <v>0</v>
      </c>
      <c r="Q2236">
        <v>7</v>
      </c>
      <c r="R2236" t="s">
        <v>40438</v>
      </c>
      <c r="S2236" t="s">
        <v>40582</v>
      </c>
      <c r="T2236" t="s">
        <v>42135</v>
      </c>
      <c r="U2236" t="s">
        <v>44562</v>
      </c>
      <c r="W2236" t="s">
        <v>37095</v>
      </c>
      <c r="X2236" t="s">
        <v>40439</v>
      </c>
    </row>
    <row r="2237" spans="1:24">
      <c r="A2237">
        <f>HYPERLINK("https://www.philgeps.gov.ph/GEPSNONPILOT/Tender/SplashBidNoticeAbstractUI.aspx?menuIndex=3&amp;refID=7049701&amp;Result=3","7049701")</f>
        <v>0</v>
      </c>
      <c r="B2237" t="s">
        <v>880</v>
      </c>
      <c r="C2237" t="s">
        <v>5232</v>
      </c>
      <c r="D2237" t="s">
        <v>16187</v>
      </c>
      <c r="E2237" t="s">
        <v>18341</v>
      </c>
      <c r="F2237" t="s">
        <v>28198</v>
      </c>
      <c r="G2237" t="s">
        <v>28207</v>
      </c>
      <c r="H2237" t="s">
        <v>28215</v>
      </c>
      <c r="I2237" t="s">
        <v>5082</v>
      </c>
      <c r="J2237" t="s">
        <v>29858</v>
      </c>
      <c r="K2237" t="s">
        <v>36689</v>
      </c>
      <c r="M2237" t="s">
        <v>37896</v>
      </c>
      <c r="N2237" t="s">
        <v>40436</v>
      </c>
      <c r="O2237" t="s">
        <v>40437</v>
      </c>
      <c r="P2237">
        <v>0</v>
      </c>
      <c r="Q2237">
        <v>1</v>
      </c>
      <c r="R2237" t="s">
        <v>40438</v>
      </c>
      <c r="S2237" t="s">
        <v>40582</v>
      </c>
      <c r="T2237" t="s">
        <v>42142</v>
      </c>
      <c r="U2237" t="s">
        <v>44563</v>
      </c>
      <c r="W2237" t="s">
        <v>37896</v>
      </c>
      <c r="X2237" t="s">
        <v>40439</v>
      </c>
    </row>
    <row r="2238" spans="1:24">
      <c r="A2238">
        <f>HYPERLINK("https://www.philgeps.gov.ph/GEPSNONPILOT/Tender/SplashBidNoticeAbstractUI.aspx?menuIndex=3&amp;refID=7049707&amp;Result=3","7049707")</f>
        <v>0</v>
      </c>
      <c r="B2238" t="s">
        <v>959</v>
      </c>
      <c r="C2238" t="s">
        <v>5233</v>
      </c>
      <c r="D2238" t="s">
        <v>16238</v>
      </c>
      <c r="E2238" t="s">
        <v>18342</v>
      </c>
      <c r="F2238" t="s">
        <v>28198</v>
      </c>
      <c r="G2238" t="s">
        <v>28205</v>
      </c>
      <c r="H2238" t="s">
        <v>28215</v>
      </c>
      <c r="I2238" t="s">
        <v>6051</v>
      </c>
      <c r="J2238" t="s">
        <v>28351</v>
      </c>
      <c r="K2238" t="s">
        <v>36715</v>
      </c>
      <c r="M2238" t="s">
        <v>37985</v>
      </c>
      <c r="N2238" t="s">
        <v>40436</v>
      </c>
      <c r="O2238" t="s">
        <v>40437</v>
      </c>
      <c r="P2238">
        <v>0</v>
      </c>
      <c r="Q2238">
        <v>4</v>
      </c>
      <c r="R2238" t="s">
        <v>40438</v>
      </c>
      <c r="S2238" t="s">
        <v>40582</v>
      </c>
      <c r="T2238" t="s">
        <v>42309</v>
      </c>
      <c r="U2238" t="s">
        <v>44564</v>
      </c>
      <c r="W2238" t="s">
        <v>37985</v>
      </c>
      <c r="X2238" t="s">
        <v>40439</v>
      </c>
    </row>
    <row r="2239" spans="1:24">
      <c r="A2239">
        <f>HYPERLINK("https://www.philgeps.gov.ph/GEPSNONPILOT/Tender/SplashBidNoticeAbstractUI.aspx?menuIndex=3&amp;refID=7049702&amp;Result=3","7049702")</f>
        <v>0</v>
      </c>
      <c r="B2239" t="s">
        <v>850</v>
      </c>
      <c r="C2239" t="s">
        <v>5234</v>
      </c>
      <c r="D2239" t="s">
        <v>16190</v>
      </c>
      <c r="E2239" t="s">
        <v>16506</v>
      </c>
      <c r="F2239" t="s">
        <v>28198</v>
      </c>
      <c r="G2239" t="s">
        <v>28207</v>
      </c>
      <c r="H2239" t="s">
        <v>28215</v>
      </c>
      <c r="I2239" t="s">
        <v>28243</v>
      </c>
      <c r="J2239" t="s">
        <v>28529</v>
      </c>
      <c r="K2239" t="s">
        <v>36688</v>
      </c>
      <c r="M2239" t="s">
        <v>37862</v>
      </c>
      <c r="N2239" t="s">
        <v>40436</v>
      </c>
      <c r="O2239" t="s">
        <v>40437</v>
      </c>
      <c r="P2239">
        <v>0</v>
      </c>
      <c r="Q2239">
        <v>1</v>
      </c>
      <c r="R2239" t="s">
        <v>40438</v>
      </c>
      <c r="S2239" t="s">
        <v>40582</v>
      </c>
      <c r="T2239" t="s">
        <v>42119</v>
      </c>
      <c r="U2239" t="s">
        <v>44565</v>
      </c>
      <c r="W2239" t="s">
        <v>37862</v>
      </c>
      <c r="X2239" t="s">
        <v>40439</v>
      </c>
    </row>
    <row r="2240" spans="1:24">
      <c r="A2240">
        <f>HYPERLINK("https://www.philgeps.gov.ph/GEPSNONPILOT/Tender/SplashBidNoticeAbstractUI.aspx?menuIndex=3&amp;refID=7049710&amp;Result=3","7049710")</f>
        <v>0</v>
      </c>
      <c r="B2240" t="s">
        <v>136</v>
      </c>
      <c r="C2240" t="s">
        <v>5235</v>
      </c>
      <c r="D2240" t="s">
        <v>16188</v>
      </c>
      <c r="E2240" t="s">
        <v>18343</v>
      </c>
      <c r="F2240" t="s">
        <v>28198</v>
      </c>
      <c r="G2240" t="s">
        <v>28205</v>
      </c>
      <c r="H2240" t="s">
        <v>28215</v>
      </c>
      <c r="I2240" t="s">
        <v>3774</v>
      </c>
      <c r="J2240" t="s">
        <v>29859</v>
      </c>
      <c r="K2240" t="s">
        <v>36689</v>
      </c>
      <c r="M2240" t="s">
        <v>37983</v>
      </c>
      <c r="N2240" t="s">
        <v>40436</v>
      </c>
      <c r="O2240" t="s">
        <v>40437</v>
      </c>
      <c r="P2240">
        <v>0</v>
      </c>
      <c r="Q2240">
        <v>2</v>
      </c>
      <c r="R2240" t="s">
        <v>40438</v>
      </c>
      <c r="S2240" t="s">
        <v>40582</v>
      </c>
      <c r="T2240" t="s">
        <v>42310</v>
      </c>
      <c r="U2240" t="s">
        <v>44566</v>
      </c>
      <c r="W2240" t="s">
        <v>37983</v>
      </c>
      <c r="X2240" t="s">
        <v>40439</v>
      </c>
    </row>
    <row r="2241" spans="1:24">
      <c r="A2241">
        <f>HYPERLINK("https://www.philgeps.gov.ph/GEPSNONPILOT/Tender/SplashBidNoticeAbstractUI.aspx?menuIndex=3&amp;refID=7049704&amp;Result=3","7049704")</f>
        <v>0</v>
      </c>
      <c r="B2241" t="s">
        <v>880</v>
      </c>
      <c r="C2241" t="s">
        <v>5236</v>
      </c>
      <c r="D2241" t="s">
        <v>16187</v>
      </c>
      <c r="E2241" t="s">
        <v>18344</v>
      </c>
      <c r="F2241" t="s">
        <v>28198</v>
      </c>
      <c r="G2241" t="s">
        <v>28207</v>
      </c>
      <c r="H2241" t="s">
        <v>28215</v>
      </c>
      <c r="I2241" t="s">
        <v>28281</v>
      </c>
      <c r="J2241" t="s">
        <v>29860</v>
      </c>
      <c r="K2241" t="s">
        <v>36689</v>
      </c>
      <c r="M2241" t="s">
        <v>37896</v>
      </c>
      <c r="N2241" t="s">
        <v>40436</v>
      </c>
      <c r="O2241" t="s">
        <v>40437</v>
      </c>
      <c r="P2241">
        <v>0</v>
      </c>
      <c r="Q2241">
        <v>1</v>
      </c>
      <c r="R2241" t="s">
        <v>40438</v>
      </c>
      <c r="S2241" t="s">
        <v>40582</v>
      </c>
      <c r="T2241" t="s">
        <v>42142</v>
      </c>
      <c r="U2241" t="s">
        <v>44567</v>
      </c>
      <c r="W2241" t="s">
        <v>37896</v>
      </c>
      <c r="X2241" t="s">
        <v>40439</v>
      </c>
    </row>
    <row r="2242" spans="1:24">
      <c r="A2242">
        <f>HYPERLINK("https://www.philgeps.gov.ph/GEPSNONPILOT/Tender/SplashBidNoticeAbstractUI.aspx?menuIndex=3&amp;refID=7049720&amp;Result=3","7049720")</f>
        <v>0</v>
      </c>
      <c r="B2242" t="s">
        <v>963</v>
      </c>
      <c r="C2242" t="s">
        <v>5237</v>
      </c>
      <c r="D2242" t="s">
        <v>16241</v>
      </c>
      <c r="E2242" t="s">
        <v>18345</v>
      </c>
      <c r="F2242" t="s">
        <v>28198</v>
      </c>
      <c r="G2242" t="s">
        <v>28207</v>
      </c>
      <c r="H2242" t="s">
        <v>28215</v>
      </c>
      <c r="I2242" t="s">
        <v>28262</v>
      </c>
      <c r="J2242" t="s">
        <v>29861</v>
      </c>
      <c r="K2242" t="s">
        <v>36696</v>
      </c>
      <c r="M2242" t="s">
        <v>37989</v>
      </c>
      <c r="N2242" t="s">
        <v>40436</v>
      </c>
      <c r="O2242" t="s">
        <v>40437</v>
      </c>
      <c r="P2242">
        <v>0</v>
      </c>
      <c r="Q2242">
        <v>0</v>
      </c>
      <c r="R2242" t="s">
        <v>40438</v>
      </c>
      <c r="S2242" t="s">
        <v>40582</v>
      </c>
      <c r="T2242" t="s">
        <v>42124</v>
      </c>
      <c r="U2242" t="s">
        <v>44568</v>
      </c>
      <c r="W2242" t="s">
        <v>37989</v>
      </c>
      <c r="X2242" t="s">
        <v>40439</v>
      </c>
    </row>
    <row r="2243" spans="1:24">
      <c r="A2243">
        <f>HYPERLINK("https://www.philgeps.gov.ph/GEPSNONPILOT/Tender/SplashBidNoticeAbstractUI.aspx?menuIndex=3&amp;refID=7049706&amp;Result=3","7049706")</f>
        <v>0</v>
      </c>
      <c r="B2243" t="s">
        <v>964</v>
      </c>
      <c r="C2243" t="s">
        <v>5238</v>
      </c>
      <c r="E2243" t="s">
        <v>18346</v>
      </c>
      <c r="F2243" t="s">
        <v>28198</v>
      </c>
      <c r="G2243" t="s">
        <v>28205</v>
      </c>
      <c r="H2243" t="s">
        <v>28215</v>
      </c>
      <c r="I2243" t="s">
        <v>28238</v>
      </c>
      <c r="J2243" t="s">
        <v>29862</v>
      </c>
      <c r="K2243" t="s">
        <v>36689</v>
      </c>
      <c r="M2243" t="s">
        <v>37990</v>
      </c>
      <c r="N2243" t="s">
        <v>40436</v>
      </c>
      <c r="O2243" t="s">
        <v>40437</v>
      </c>
      <c r="P2243">
        <v>0</v>
      </c>
      <c r="Q2243">
        <v>9</v>
      </c>
      <c r="R2243" t="s">
        <v>40438</v>
      </c>
      <c r="S2243" t="s">
        <v>40582</v>
      </c>
      <c r="T2243" t="s">
        <v>42189</v>
      </c>
      <c r="U2243" t="s">
        <v>44569</v>
      </c>
      <c r="V2243" t="s">
        <v>54031</v>
      </c>
      <c r="W2243" t="s">
        <v>55468</v>
      </c>
      <c r="X2243" t="s">
        <v>40439</v>
      </c>
    </row>
    <row r="2244" spans="1:24">
      <c r="A2244">
        <f>HYPERLINK("https://www.philgeps.gov.ph/GEPSNONPILOT/Tender/SplashBidNoticeAbstractUI.aspx?menuIndex=3&amp;refID=7049716&amp;Result=3","7049716")</f>
        <v>0</v>
      </c>
      <c r="B2244" t="s">
        <v>965</v>
      </c>
      <c r="C2244" t="s">
        <v>5239</v>
      </c>
      <c r="D2244" t="s">
        <v>16188</v>
      </c>
      <c r="E2244" t="s">
        <v>18347</v>
      </c>
      <c r="F2244" t="s">
        <v>28198</v>
      </c>
      <c r="G2244" t="s">
        <v>28206</v>
      </c>
      <c r="H2244" t="s">
        <v>28215</v>
      </c>
      <c r="I2244" t="s">
        <v>4200</v>
      </c>
      <c r="J2244" t="s">
        <v>29863</v>
      </c>
      <c r="K2244" t="s">
        <v>36689</v>
      </c>
      <c r="M2244" t="s">
        <v>37991</v>
      </c>
      <c r="N2244" t="s">
        <v>40436</v>
      </c>
      <c r="O2244" t="s">
        <v>40437</v>
      </c>
      <c r="P2244">
        <v>0</v>
      </c>
      <c r="Q2244">
        <v>1</v>
      </c>
      <c r="R2244" t="s">
        <v>40438</v>
      </c>
      <c r="S2244" t="s">
        <v>40582</v>
      </c>
      <c r="T2244" t="s">
        <v>42185</v>
      </c>
      <c r="U2244" t="s">
        <v>44570</v>
      </c>
      <c r="W2244" t="s">
        <v>37991</v>
      </c>
      <c r="X2244" t="s">
        <v>40439</v>
      </c>
    </row>
    <row r="2245" spans="1:24">
      <c r="A2245">
        <f>HYPERLINK("https://www.philgeps.gov.ph/GEPSNONPILOT/Tender/SplashBidNoticeAbstractUI.aspx?menuIndex=3&amp;refID=7049717&amp;Result=3","7049717")</f>
        <v>0</v>
      </c>
      <c r="B2245" t="s">
        <v>966</v>
      </c>
      <c r="C2245" t="s">
        <v>5240</v>
      </c>
      <c r="D2245" t="s">
        <v>16213</v>
      </c>
      <c r="E2245" t="s">
        <v>17890</v>
      </c>
      <c r="F2245" t="s">
        <v>28198</v>
      </c>
      <c r="G2245" t="s">
        <v>28205</v>
      </c>
      <c r="H2245" t="s">
        <v>28214</v>
      </c>
      <c r="I2245" t="s">
        <v>3797</v>
      </c>
      <c r="J2245" t="s">
        <v>29864</v>
      </c>
      <c r="K2245" t="s">
        <v>36741</v>
      </c>
      <c r="L2245" t="s">
        <v>966</v>
      </c>
      <c r="M2245" t="s">
        <v>37992</v>
      </c>
      <c r="N2245" t="s">
        <v>40436</v>
      </c>
      <c r="O2245" t="s">
        <v>40437</v>
      </c>
      <c r="P2245">
        <v>0</v>
      </c>
      <c r="Q2245">
        <v>0</v>
      </c>
      <c r="R2245" t="s">
        <v>40438</v>
      </c>
      <c r="S2245" t="s">
        <v>40582</v>
      </c>
      <c r="T2245" t="s">
        <v>42189</v>
      </c>
      <c r="U2245" t="s">
        <v>44571</v>
      </c>
      <c r="W2245" t="s">
        <v>37992</v>
      </c>
      <c r="X2245" t="s">
        <v>40439</v>
      </c>
    </row>
    <row r="2246" spans="1:24">
      <c r="A2246">
        <f>HYPERLINK("https://www.philgeps.gov.ph/GEPSNONPILOT/Tender/SplashBidNoticeAbstractUI.aspx?menuIndex=3&amp;refID=7049714&amp;Result=3","7049714")</f>
        <v>0</v>
      </c>
      <c r="B2246" t="s">
        <v>850</v>
      </c>
      <c r="C2246" t="s">
        <v>5241</v>
      </c>
      <c r="D2246" t="s">
        <v>16190</v>
      </c>
      <c r="E2246" t="s">
        <v>16506</v>
      </c>
      <c r="F2246" t="s">
        <v>28198</v>
      </c>
      <c r="G2246" t="s">
        <v>28207</v>
      </c>
      <c r="H2246" t="s">
        <v>28215</v>
      </c>
      <c r="I2246" t="s">
        <v>28225</v>
      </c>
      <c r="J2246" t="s">
        <v>28671</v>
      </c>
      <c r="K2246" t="s">
        <v>36688</v>
      </c>
      <c r="M2246" t="s">
        <v>37862</v>
      </c>
      <c r="N2246" t="s">
        <v>40436</v>
      </c>
      <c r="O2246" t="s">
        <v>40437</v>
      </c>
      <c r="P2246">
        <v>0</v>
      </c>
      <c r="Q2246">
        <v>1</v>
      </c>
      <c r="R2246" t="s">
        <v>40438</v>
      </c>
      <c r="S2246" t="s">
        <v>40582</v>
      </c>
      <c r="T2246" t="s">
        <v>42119</v>
      </c>
      <c r="U2246" t="s">
        <v>44572</v>
      </c>
      <c r="W2246" t="s">
        <v>37862</v>
      </c>
      <c r="X2246" t="s">
        <v>40439</v>
      </c>
    </row>
    <row r="2247" spans="1:24">
      <c r="A2247">
        <f>HYPERLINK("https://www.philgeps.gov.ph/GEPSNONPILOT/Tender/SplashBidNoticeAbstractUI.aspx?menuIndex=3&amp;refID=7049715&amp;Result=3","7049715")</f>
        <v>0</v>
      </c>
      <c r="B2247" t="s">
        <v>967</v>
      </c>
      <c r="C2247" t="s">
        <v>5242</v>
      </c>
      <c r="D2247" t="s">
        <v>16218</v>
      </c>
      <c r="E2247" t="s">
        <v>18348</v>
      </c>
      <c r="F2247" t="s">
        <v>28198</v>
      </c>
      <c r="G2247" t="s">
        <v>28205</v>
      </c>
      <c r="H2247" t="s">
        <v>28215</v>
      </c>
      <c r="I2247" t="s">
        <v>5100</v>
      </c>
      <c r="J2247" t="s">
        <v>29865</v>
      </c>
      <c r="K2247" t="s">
        <v>36688</v>
      </c>
      <c r="M2247" t="s">
        <v>37993</v>
      </c>
      <c r="N2247" t="s">
        <v>40436</v>
      </c>
      <c r="O2247" t="s">
        <v>40437</v>
      </c>
      <c r="P2247">
        <v>0</v>
      </c>
      <c r="Q2247">
        <v>0</v>
      </c>
      <c r="R2247" t="s">
        <v>40438</v>
      </c>
      <c r="S2247" t="s">
        <v>40582</v>
      </c>
      <c r="T2247" t="s">
        <v>42144</v>
      </c>
      <c r="U2247" t="s">
        <v>44573</v>
      </c>
      <c r="W2247" t="s">
        <v>37993</v>
      </c>
      <c r="X2247" t="s">
        <v>40439</v>
      </c>
    </row>
    <row r="2248" spans="1:24">
      <c r="A2248">
        <f>HYPERLINK("https://www.philgeps.gov.ph/GEPSNONPILOT/Tender/SplashBidNoticeAbstractUI.aspx?menuIndex=3&amp;refID=7049718&amp;Result=3","7049718")</f>
        <v>0</v>
      </c>
      <c r="B2248" t="s">
        <v>968</v>
      </c>
      <c r="C2248" t="s">
        <v>5243</v>
      </c>
      <c r="D2248" t="s">
        <v>16208</v>
      </c>
      <c r="E2248" t="s">
        <v>18349</v>
      </c>
      <c r="F2248" t="s">
        <v>28198</v>
      </c>
      <c r="G2248" t="s">
        <v>28207</v>
      </c>
      <c r="H2248" t="s">
        <v>28215</v>
      </c>
      <c r="I2248" t="s">
        <v>5100</v>
      </c>
      <c r="J2248" t="s">
        <v>29866</v>
      </c>
      <c r="K2248" t="s">
        <v>36689</v>
      </c>
      <c r="M2248" t="s">
        <v>37994</v>
      </c>
      <c r="N2248" t="s">
        <v>40436</v>
      </c>
      <c r="O2248" t="s">
        <v>40437</v>
      </c>
      <c r="P2248">
        <v>0</v>
      </c>
      <c r="Q2248">
        <v>0</v>
      </c>
      <c r="R2248" t="s">
        <v>40438</v>
      </c>
      <c r="S2248" t="s">
        <v>40582</v>
      </c>
      <c r="T2248" t="s">
        <v>42119</v>
      </c>
      <c r="U2248" t="s">
        <v>44574</v>
      </c>
      <c r="W2248" t="s">
        <v>37994</v>
      </c>
      <c r="X2248" t="s">
        <v>40439</v>
      </c>
    </row>
    <row r="2249" spans="1:24">
      <c r="A2249">
        <f>HYPERLINK("https://www.philgeps.gov.ph/GEPSNONPILOT/Tender/SplashBidNoticeAbstractUI.aspx?menuIndex=3&amp;refID=7049712&amp;Result=3","7049712")</f>
        <v>0</v>
      </c>
      <c r="B2249" t="s">
        <v>968</v>
      </c>
      <c r="C2249" t="s">
        <v>5244</v>
      </c>
      <c r="D2249" t="s">
        <v>16208</v>
      </c>
      <c r="E2249" t="s">
        <v>18350</v>
      </c>
      <c r="F2249" t="s">
        <v>28198</v>
      </c>
      <c r="G2249" t="s">
        <v>28207</v>
      </c>
      <c r="H2249" t="s">
        <v>28215</v>
      </c>
      <c r="I2249" t="s">
        <v>3774</v>
      </c>
      <c r="J2249" t="s">
        <v>29867</v>
      </c>
      <c r="K2249" t="s">
        <v>36689</v>
      </c>
      <c r="M2249" t="s">
        <v>37994</v>
      </c>
      <c r="N2249" t="s">
        <v>40436</v>
      </c>
      <c r="O2249" t="s">
        <v>40437</v>
      </c>
      <c r="P2249">
        <v>0</v>
      </c>
      <c r="Q2249">
        <v>0</v>
      </c>
      <c r="R2249" t="s">
        <v>40438</v>
      </c>
      <c r="S2249" t="s">
        <v>40582</v>
      </c>
      <c r="T2249" t="s">
        <v>42119</v>
      </c>
      <c r="U2249" t="s">
        <v>44574</v>
      </c>
      <c r="W2249" t="s">
        <v>37994</v>
      </c>
      <c r="X2249" t="s">
        <v>40439</v>
      </c>
    </row>
    <row r="2250" spans="1:24">
      <c r="A2250">
        <f>HYPERLINK("https://www.philgeps.gov.ph/GEPSNONPILOT/Tender/SplashBidNoticeAbstractUI.aspx?menuIndex=3&amp;refID=7049711&amp;Result=3","7049711")</f>
        <v>0</v>
      </c>
      <c r="B2250" t="s">
        <v>969</v>
      </c>
      <c r="C2250" t="s">
        <v>5245</v>
      </c>
      <c r="D2250" t="s">
        <v>16249</v>
      </c>
      <c r="E2250" t="s">
        <v>18351</v>
      </c>
      <c r="F2250" t="s">
        <v>28198</v>
      </c>
      <c r="G2250" t="s">
        <v>28205</v>
      </c>
      <c r="H2250" t="s">
        <v>28215</v>
      </c>
      <c r="I2250" t="s">
        <v>28265</v>
      </c>
      <c r="J2250" t="s">
        <v>28699</v>
      </c>
      <c r="K2250" t="s">
        <v>36707</v>
      </c>
      <c r="M2250" t="s">
        <v>37995</v>
      </c>
      <c r="N2250" t="s">
        <v>40436</v>
      </c>
      <c r="O2250" t="s">
        <v>40437</v>
      </c>
      <c r="P2250">
        <v>0</v>
      </c>
      <c r="Q2250">
        <v>0</v>
      </c>
      <c r="R2250" t="s">
        <v>40438</v>
      </c>
      <c r="S2250" t="s">
        <v>40582</v>
      </c>
      <c r="T2250" t="s">
        <v>42311</v>
      </c>
      <c r="U2250" t="s">
        <v>44575</v>
      </c>
      <c r="V2250" t="s">
        <v>54032</v>
      </c>
      <c r="W2250" t="s">
        <v>37995</v>
      </c>
      <c r="X2250" t="s">
        <v>40439</v>
      </c>
    </row>
    <row r="2251" spans="1:24">
      <c r="A2251">
        <f>HYPERLINK("https://www.philgeps.gov.ph/GEPSNONPILOT/Tender/SplashBidNoticeAbstractUI.aspx?menuIndex=3&amp;refID=7049721&amp;Result=3","7049721")</f>
        <v>0</v>
      </c>
      <c r="B2251" t="s">
        <v>954</v>
      </c>
      <c r="C2251" t="s">
        <v>5246</v>
      </c>
      <c r="D2251" t="s">
        <v>16210</v>
      </c>
      <c r="E2251" t="s">
        <v>18352</v>
      </c>
      <c r="F2251" t="s">
        <v>28198</v>
      </c>
      <c r="G2251" t="s">
        <v>28207</v>
      </c>
      <c r="H2251" t="s">
        <v>28215</v>
      </c>
      <c r="I2251" t="s">
        <v>28262</v>
      </c>
      <c r="J2251" t="s">
        <v>28668</v>
      </c>
      <c r="K2251" t="s">
        <v>36689</v>
      </c>
      <c r="M2251" t="s">
        <v>37979</v>
      </c>
      <c r="N2251" t="s">
        <v>40436</v>
      </c>
      <c r="O2251" t="s">
        <v>40437</v>
      </c>
      <c r="P2251">
        <v>0</v>
      </c>
      <c r="Q2251">
        <v>6</v>
      </c>
      <c r="R2251" t="s">
        <v>40438</v>
      </c>
      <c r="S2251" t="s">
        <v>40582</v>
      </c>
      <c r="T2251" t="s">
        <v>42119</v>
      </c>
      <c r="U2251" t="s">
        <v>44537</v>
      </c>
      <c r="W2251" t="s">
        <v>37979</v>
      </c>
      <c r="X2251" t="s">
        <v>40439</v>
      </c>
    </row>
    <row r="2252" spans="1:24">
      <c r="A2252">
        <f>HYPERLINK("https://www.philgeps.gov.ph/GEPSNONPILOT/Tender/SplashBidNoticeAbstractUI.aspx?menuIndex=3&amp;refID=7049725&amp;Result=3","7049725")</f>
        <v>0</v>
      </c>
      <c r="B2252" t="s">
        <v>970</v>
      </c>
      <c r="C2252" t="s">
        <v>5247</v>
      </c>
      <c r="D2252" t="s">
        <v>16204</v>
      </c>
      <c r="E2252" t="s">
        <v>18353</v>
      </c>
      <c r="F2252" t="s">
        <v>28198</v>
      </c>
      <c r="G2252" t="s">
        <v>28207</v>
      </c>
      <c r="H2252" t="s">
        <v>28215</v>
      </c>
      <c r="I2252" t="s">
        <v>5631</v>
      </c>
      <c r="J2252" t="s">
        <v>29868</v>
      </c>
      <c r="K2252" t="s">
        <v>36701</v>
      </c>
      <c r="M2252" t="s">
        <v>37996</v>
      </c>
      <c r="N2252" t="s">
        <v>40436</v>
      </c>
      <c r="O2252" t="s">
        <v>40437</v>
      </c>
      <c r="P2252">
        <v>0</v>
      </c>
      <c r="Q2252">
        <v>0</v>
      </c>
      <c r="R2252" t="s">
        <v>40438</v>
      </c>
      <c r="S2252" t="s">
        <v>40582</v>
      </c>
      <c r="T2252" t="s">
        <v>42124</v>
      </c>
      <c r="U2252" t="s">
        <v>44576</v>
      </c>
      <c r="W2252" t="s">
        <v>37996</v>
      </c>
      <c r="X2252" t="s">
        <v>40439</v>
      </c>
    </row>
    <row r="2253" spans="1:24">
      <c r="A2253">
        <f>HYPERLINK("https://www.philgeps.gov.ph/GEPSNONPILOT/Tender/SplashBidNoticeAbstractUI.aspx?menuIndex=3&amp;refID=7049713&amp;Result=3","7049713")</f>
        <v>0</v>
      </c>
      <c r="B2253" t="s">
        <v>959</v>
      </c>
      <c r="C2253" t="s">
        <v>5248</v>
      </c>
      <c r="D2253" t="s">
        <v>16238</v>
      </c>
      <c r="E2253" t="s">
        <v>18354</v>
      </c>
      <c r="F2253" t="s">
        <v>28198</v>
      </c>
      <c r="G2253" t="s">
        <v>28205</v>
      </c>
      <c r="H2253" t="s">
        <v>28215</v>
      </c>
      <c r="I2253" t="s">
        <v>6051</v>
      </c>
      <c r="J2253" t="s">
        <v>29869</v>
      </c>
      <c r="K2253" t="s">
        <v>36715</v>
      </c>
      <c r="M2253" t="s">
        <v>37985</v>
      </c>
      <c r="N2253" t="s">
        <v>40436</v>
      </c>
      <c r="O2253" t="s">
        <v>40437</v>
      </c>
      <c r="P2253">
        <v>0</v>
      </c>
      <c r="Q2253">
        <v>3</v>
      </c>
      <c r="R2253" t="s">
        <v>40438</v>
      </c>
      <c r="S2253" t="s">
        <v>40582</v>
      </c>
      <c r="T2253" t="s">
        <v>42166</v>
      </c>
      <c r="U2253" t="s">
        <v>44577</v>
      </c>
      <c r="W2253" t="s">
        <v>37985</v>
      </c>
      <c r="X2253" t="s">
        <v>40439</v>
      </c>
    </row>
    <row r="2254" spans="1:24">
      <c r="A2254">
        <f>HYPERLINK("https://www.philgeps.gov.ph/GEPSNONPILOT/Tender/SplashBidNoticeAbstractUI.aspx?menuIndex=3&amp;refID=7049719&amp;Result=3","7049719")</f>
        <v>0</v>
      </c>
      <c r="B2254" t="s">
        <v>962</v>
      </c>
      <c r="C2254" t="s">
        <v>5249</v>
      </c>
      <c r="D2254" t="s">
        <v>16230</v>
      </c>
      <c r="E2254" t="s">
        <v>5249</v>
      </c>
      <c r="F2254" t="s">
        <v>28198</v>
      </c>
      <c r="G2254" t="s">
        <v>28210</v>
      </c>
      <c r="H2254" t="s">
        <v>28215</v>
      </c>
      <c r="I2254" t="s">
        <v>4219</v>
      </c>
      <c r="J2254" t="s">
        <v>29870</v>
      </c>
      <c r="K2254" t="s">
        <v>36706</v>
      </c>
      <c r="M2254" t="s">
        <v>37988</v>
      </c>
      <c r="N2254" t="s">
        <v>40436</v>
      </c>
      <c r="O2254" t="s">
        <v>40437</v>
      </c>
      <c r="P2254">
        <v>0</v>
      </c>
      <c r="Q2254">
        <v>0</v>
      </c>
      <c r="R2254" t="s">
        <v>40438</v>
      </c>
      <c r="S2254" t="s">
        <v>40582</v>
      </c>
      <c r="T2254" t="s">
        <v>42111</v>
      </c>
      <c r="U2254" t="s">
        <v>44561</v>
      </c>
      <c r="W2254" t="s">
        <v>37988</v>
      </c>
      <c r="X2254" t="s">
        <v>40439</v>
      </c>
    </row>
    <row r="2255" spans="1:24">
      <c r="A2255">
        <f>HYPERLINK("https://www.philgeps.gov.ph/GEPSNONPILOT/Tender/SplashBidNoticeAbstractUI.aspx?menuIndex=3&amp;refID=7049730&amp;Result=3","7049730")</f>
        <v>0</v>
      </c>
      <c r="B2255" t="s">
        <v>971</v>
      </c>
      <c r="C2255" t="s">
        <v>5250</v>
      </c>
      <c r="E2255" t="s">
        <v>18339</v>
      </c>
      <c r="F2255" t="s">
        <v>28198</v>
      </c>
      <c r="G2255" t="s">
        <v>28205</v>
      </c>
      <c r="H2255" t="s">
        <v>28214</v>
      </c>
      <c r="I2255" t="s">
        <v>3797</v>
      </c>
      <c r="J2255" t="s">
        <v>29871</v>
      </c>
      <c r="K2255" t="s">
        <v>36689</v>
      </c>
      <c r="M2255" t="s">
        <v>37997</v>
      </c>
      <c r="N2255" t="s">
        <v>40436</v>
      </c>
      <c r="O2255" t="s">
        <v>40437</v>
      </c>
      <c r="P2255">
        <v>0</v>
      </c>
      <c r="Q2255">
        <v>0</v>
      </c>
      <c r="R2255" t="s">
        <v>40438</v>
      </c>
      <c r="S2255" t="s">
        <v>40582</v>
      </c>
      <c r="T2255" t="s">
        <v>42105</v>
      </c>
      <c r="U2255" t="s">
        <v>44578</v>
      </c>
      <c r="W2255" t="s">
        <v>37997</v>
      </c>
      <c r="X2255" t="s">
        <v>40439</v>
      </c>
    </row>
    <row r="2256" spans="1:24">
      <c r="A2256">
        <f>HYPERLINK("https://www.philgeps.gov.ph/GEPSNONPILOT/Tender/SplashBidNoticeAbstractUI.aspx?menuIndex=3&amp;refID=7049723&amp;Result=3","7049723")</f>
        <v>0</v>
      </c>
      <c r="B2256" t="s">
        <v>968</v>
      </c>
      <c r="C2256" t="s">
        <v>5251</v>
      </c>
      <c r="D2256" t="s">
        <v>16208</v>
      </c>
      <c r="E2256" t="s">
        <v>18355</v>
      </c>
      <c r="F2256" t="s">
        <v>28198</v>
      </c>
      <c r="G2256" t="s">
        <v>28207</v>
      </c>
      <c r="H2256" t="s">
        <v>28215</v>
      </c>
      <c r="I2256" t="s">
        <v>5100</v>
      </c>
      <c r="J2256" t="s">
        <v>29872</v>
      </c>
      <c r="K2256" t="s">
        <v>36689</v>
      </c>
      <c r="M2256" t="s">
        <v>37994</v>
      </c>
      <c r="N2256" t="s">
        <v>40436</v>
      </c>
      <c r="O2256" t="s">
        <v>40437</v>
      </c>
      <c r="P2256">
        <v>0</v>
      </c>
      <c r="Q2256">
        <v>0</v>
      </c>
      <c r="R2256" t="s">
        <v>40438</v>
      </c>
      <c r="S2256" t="s">
        <v>40582</v>
      </c>
      <c r="T2256" t="s">
        <v>42119</v>
      </c>
      <c r="U2256" t="s">
        <v>44574</v>
      </c>
      <c r="W2256" t="s">
        <v>37994</v>
      </c>
      <c r="X2256" t="s">
        <v>40439</v>
      </c>
    </row>
    <row r="2257" spans="1:24">
      <c r="A2257">
        <f>HYPERLINK("https://www.philgeps.gov.ph/GEPSNONPILOT/Tender/SplashBidNoticeAbstractUI.aspx?menuIndex=3&amp;refID=7049729&amp;Result=3","7049729")</f>
        <v>0</v>
      </c>
      <c r="B2257" t="s">
        <v>136</v>
      </c>
      <c r="C2257" t="s">
        <v>5252</v>
      </c>
      <c r="D2257" t="s">
        <v>16188</v>
      </c>
      <c r="E2257" t="s">
        <v>18356</v>
      </c>
      <c r="F2257" t="s">
        <v>28198</v>
      </c>
      <c r="G2257" t="s">
        <v>28205</v>
      </c>
      <c r="H2257" t="s">
        <v>28215</v>
      </c>
      <c r="I2257" t="s">
        <v>3774</v>
      </c>
      <c r="J2257" t="s">
        <v>29873</v>
      </c>
      <c r="K2257" t="s">
        <v>36689</v>
      </c>
      <c r="M2257" t="s">
        <v>37983</v>
      </c>
      <c r="N2257" t="s">
        <v>40436</v>
      </c>
      <c r="O2257" t="s">
        <v>40437</v>
      </c>
      <c r="P2257">
        <v>0</v>
      </c>
      <c r="Q2257">
        <v>1</v>
      </c>
      <c r="R2257" t="s">
        <v>40438</v>
      </c>
      <c r="S2257" t="s">
        <v>40582</v>
      </c>
      <c r="T2257" t="s">
        <v>42113</v>
      </c>
      <c r="U2257" t="s">
        <v>44579</v>
      </c>
      <c r="W2257" t="s">
        <v>37983</v>
      </c>
      <c r="X2257" t="s">
        <v>40439</v>
      </c>
    </row>
    <row r="2258" spans="1:24">
      <c r="A2258">
        <f>HYPERLINK("https://www.philgeps.gov.ph/GEPSNONPILOT/Tender/SplashBidNoticeAbstractUI.aspx?menuIndex=3&amp;refID=7049733&amp;Result=3","7049733")</f>
        <v>0</v>
      </c>
      <c r="B2258" t="s">
        <v>850</v>
      </c>
      <c r="C2258" t="s">
        <v>5253</v>
      </c>
      <c r="D2258" t="s">
        <v>16190</v>
      </c>
      <c r="E2258" t="s">
        <v>16512</v>
      </c>
      <c r="F2258" t="s">
        <v>28198</v>
      </c>
      <c r="G2258" t="s">
        <v>28207</v>
      </c>
      <c r="H2258" t="s">
        <v>28215</v>
      </c>
      <c r="I2258" t="s">
        <v>28225</v>
      </c>
      <c r="J2258" t="s">
        <v>28671</v>
      </c>
      <c r="K2258" t="s">
        <v>36688</v>
      </c>
      <c r="M2258" t="s">
        <v>37862</v>
      </c>
      <c r="N2258" t="s">
        <v>40436</v>
      </c>
      <c r="O2258" t="s">
        <v>40437</v>
      </c>
      <c r="P2258">
        <v>0</v>
      </c>
      <c r="Q2258">
        <v>2</v>
      </c>
      <c r="R2258" t="s">
        <v>40438</v>
      </c>
      <c r="S2258" t="s">
        <v>40582</v>
      </c>
      <c r="T2258" t="s">
        <v>42119</v>
      </c>
      <c r="U2258" t="s">
        <v>44580</v>
      </c>
      <c r="W2258" t="s">
        <v>37862</v>
      </c>
      <c r="X2258" t="s">
        <v>40439</v>
      </c>
    </row>
    <row r="2259" spans="1:24">
      <c r="A2259">
        <f>HYPERLINK("https://www.philgeps.gov.ph/GEPSNONPILOT/Tender/SplashBidNoticeAbstractUI.aspx?menuIndex=3&amp;refID=7049745&amp;Result=3","7049745")</f>
        <v>0</v>
      </c>
      <c r="B2259" t="s">
        <v>972</v>
      </c>
      <c r="C2259" t="s">
        <v>5254</v>
      </c>
      <c r="D2259" t="s">
        <v>16210</v>
      </c>
      <c r="E2259" t="s">
        <v>16519</v>
      </c>
      <c r="F2259" t="s">
        <v>28198</v>
      </c>
      <c r="G2259" t="s">
        <v>28205</v>
      </c>
      <c r="H2259" t="s">
        <v>28215</v>
      </c>
      <c r="I2259" t="s">
        <v>4200</v>
      </c>
      <c r="J2259" t="s">
        <v>29874</v>
      </c>
      <c r="K2259" t="s">
        <v>36693</v>
      </c>
      <c r="M2259" t="s">
        <v>37998</v>
      </c>
      <c r="N2259" t="s">
        <v>40436</v>
      </c>
      <c r="O2259" t="s">
        <v>40437</v>
      </c>
      <c r="P2259">
        <v>0</v>
      </c>
      <c r="Q2259">
        <v>1</v>
      </c>
      <c r="R2259" t="s">
        <v>40438</v>
      </c>
      <c r="S2259" t="s">
        <v>40582</v>
      </c>
      <c r="T2259" t="s">
        <v>42153</v>
      </c>
      <c r="U2259" t="s">
        <v>44581</v>
      </c>
      <c r="W2259" t="s">
        <v>37998</v>
      </c>
      <c r="X2259" t="s">
        <v>40439</v>
      </c>
    </row>
    <row r="2260" spans="1:24">
      <c r="A2260">
        <f>HYPERLINK("https://www.philgeps.gov.ph/GEPSNONPILOT/Tender/SplashBidNoticeAbstractUI.aspx?menuIndex=3&amp;refID=7049728&amp;Result=3","7049728")</f>
        <v>0</v>
      </c>
      <c r="B2260" t="s">
        <v>973</v>
      </c>
      <c r="C2260" t="s">
        <v>5255</v>
      </c>
      <c r="D2260" t="s">
        <v>16230</v>
      </c>
      <c r="E2260" t="s">
        <v>18357</v>
      </c>
      <c r="F2260" t="s">
        <v>28198</v>
      </c>
      <c r="G2260" t="s">
        <v>28207</v>
      </c>
      <c r="H2260" t="s">
        <v>28215</v>
      </c>
      <c r="I2260" t="s">
        <v>5656</v>
      </c>
      <c r="J2260" t="s">
        <v>29875</v>
      </c>
      <c r="K2260" t="s">
        <v>36693</v>
      </c>
      <c r="M2260" t="s">
        <v>37999</v>
      </c>
      <c r="N2260" t="s">
        <v>40436</v>
      </c>
      <c r="O2260" t="s">
        <v>40437</v>
      </c>
      <c r="P2260">
        <v>0</v>
      </c>
      <c r="Q2260">
        <v>0</v>
      </c>
      <c r="R2260" t="s">
        <v>40438</v>
      </c>
      <c r="S2260" t="s">
        <v>40582</v>
      </c>
      <c r="T2260" t="s">
        <v>42142</v>
      </c>
      <c r="U2260" t="s">
        <v>44582</v>
      </c>
      <c r="V2260" t="s">
        <v>54033</v>
      </c>
      <c r="W2260" t="s">
        <v>37999</v>
      </c>
      <c r="X2260" t="s">
        <v>40439</v>
      </c>
    </row>
    <row r="2261" spans="1:24">
      <c r="A2261">
        <f>HYPERLINK("https://www.philgeps.gov.ph/GEPSNONPILOT/Tender/SplashBidNoticeAbstractUI.aspx?menuIndex=3&amp;refID=7049724&amp;Result=3","7049724")</f>
        <v>0</v>
      </c>
      <c r="B2261" t="s">
        <v>924</v>
      </c>
      <c r="C2261" t="s">
        <v>5256</v>
      </c>
      <c r="E2261" t="s">
        <v>18358</v>
      </c>
      <c r="F2261" t="s">
        <v>28198</v>
      </c>
      <c r="G2261" t="s">
        <v>28207</v>
      </c>
      <c r="H2261" t="s">
        <v>28216</v>
      </c>
      <c r="I2261" t="s">
        <v>28216</v>
      </c>
      <c r="J2261" t="s">
        <v>28378</v>
      </c>
      <c r="K2261" t="s">
        <v>36728</v>
      </c>
      <c r="M2261" t="s">
        <v>37977</v>
      </c>
      <c r="N2261" t="s">
        <v>40436</v>
      </c>
      <c r="O2261" t="s">
        <v>40437</v>
      </c>
      <c r="P2261">
        <v>0</v>
      </c>
      <c r="Q2261">
        <v>1</v>
      </c>
      <c r="R2261" t="s">
        <v>40438</v>
      </c>
      <c r="S2261" t="s">
        <v>40582</v>
      </c>
      <c r="T2261" t="s">
        <v>42129</v>
      </c>
      <c r="U2261" t="s">
        <v>44583</v>
      </c>
      <c r="W2261" t="s">
        <v>37977</v>
      </c>
      <c r="X2261" t="s">
        <v>40439</v>
      </c>
    </row>
    <row r="2262" spans="1:24">
      <c r="A2262">
        <f>HYPERLINK("https://www.philgeps.gov.ph/GEPSNONPILOT/Tender/SplashBidNoticeAbstractUI.aspx?menuIndex=3&amp;refID=7049732&amp;Result=3","7049732")</f>
        <v>0</v>
      </c>
      <c r="B2262" t="s">
        <v>959</v>
      </c>
      <c r="C2262" t="s">
        <v>5257</v>
      </c>
      <c r="D2262" t="s">
        <v>16238</v>
      </c>
      <c r="E2262" t="s">
        <v>18359</v>
      </c>
      <c r="F2262" t="s">
        <v>28198</v>
      </c>
      <c r="G2262" t="s">
        <v>28205</v>
      </c>
      <c r="H2262" t="s">
        <v>28215</v>
      </c>
      <c r="I2262" t="s">
        <v>6051</v>
      </c>
      <c r="J2262" t="s">
        <v>29876</v>
      </c>
      <c r="K2262" t="s">
        <v>36715</v>
      </c>
      <c r="M2262" t="s">
        <v>37985</v>
      </c>
      <c r="N2262" t="s">
        <v>40436</v>
      </c>
      <c r="O2262" t="s">
        <v>40437</v>
      </c>
      <c r="P2262">
        <v>0</v>
      </c>
      <c r="Q2262">
        <v>3</v>
      </c>
      <c r="R2262" t="s">
        <v>40438</v>
      </c>
      <c r="S2262" t="s">
        <v>40582</v>
      </c>
      <c r="T2262" t="s">
        <v>42166</v>
      </c>
      <c r="U2262" t="s">
        <v>44584</v>
      </c>
      <c r="W2262" t="s">
        <v>37985</v>
      </c>
      <c r="X2262" t="s">
        <v>40439</v>
      </c>
    </row>
    <row r="2263" spans="1:24">
      <c r="A2263">
        <f>HYPERLINK("https://www.philgeps.gov.ph/GEPSNONPILOT/Tender/SplashBidNoticeAbstractUI.aspx?menuIndex=3&amp;refID=7049743&amp;Result=3","7049743")</f>
        <v>0</v>
      </c>
      <c r="B2263" t="s">
        <v>121</v>
      </c>
      <c r="C2263" t="s">
        <v>5258</v>
      </c>
      <c r="D2263" t="s">
        <v>16207</v>
      </c>
      <c r="E2263" t="s">
        <v>18360</v>
      </c>
      <c r="F2263" t="s">
        <v>28198</v>
      </c>
      <c r="G2263" t="s">
        <v>28205</v>
      </c>
      <c r="H2263" t="s">
        <v>28215</v>
      </c>
      <c r="I2263" t="s">
        <v>8888</v>
      </c>
      <c r="J2263" t="s">
        <v>29877</v>
      </c>
      <c r="K2263" t="s">
        <v>36706</v>
      </c>
      <c r="M2263" t="s">
        <v>37095</v>
      </c>
      <c r="N2263" t="s">
        <v>40436</v>
      </c>
      <c r="O2263" t="s">
        <v>40437</v>
      </c>
      <c r="P2263">
        <v>0</v>
      </c>
      <c r="Q2263">
        <v>5</v>
      </c>
      <c r="R2263" t="s">
        <v>40438</v>
      </c>
      <c r="S2263" t="s">
        <v>40582</v>
      </c>
      <c r="T2263" t="s">
        <v>42135</v>
      </c>
      <c r="U2263" t="s">
        <v>44585</v>
      </c>
      <c r="W2263" t="s">
        <v>37095</v>
      </c>
      <c r="X2263" t="s">
        <v>40439</v>
      </c>
    </row>
    <row r="2264" spans="1:24">
      <c r="A2264">
        <f>HYPERLINK("https://www.philgeps.gov.ph/GEPSNONPILOT/Tender/SplashBidNoticeAbstractUI.aspx?menuIndex=3&amp;refID=7049734&amp;Result=3","7049734")</f>
        <v>0</v>
      </c>
      <c r="B2264" t="s">
        <v>966</v>
      </c>
      <c r="C2264" t="s">
        <v>5259</v>
      </c>
      <c r="D2264" t="s">
        <v>16213</v>
      </c>
      <c r="E2264" t="s">
        <v>16560</v>
      </c>
      <c r="F2264" t="s">
        <v>28198</v>
      </c>
      <c r="G2264" t="s">
        <v>28205</v>
      </c>
      <c r="H2264" t="s">
        <v>28214</v>
      </c>
      <c r="I2264" t="s">
        <v>3797</v>
      </c>
      <c r="J2264" t="s">
        <v>29113</v>
      </c>
      <c r="K2264" t="s">
        <v>36777</v>
      </c>
      <c r="L2264" t="s">
        <v>966</v>
      </c>
      <c r="M2264" t="s">
        <v>37992</v>
      </c>
      <c r="N2264" t="s">
        <v>40436</v>
      </c>
      <c r="O2264" t="s">
        <v>40437</v>
      </c>
      <c r="P2264">
        <v>0</v>
      </c>
      <c r="Q2264">
        <v>0</v>
      </c>
      <c r="R2264" t="s">
        <v>40438</v>
      </c>
      <c r="S2264" t="s">
        <v>40582</v>
      </c>
      <c r="T2264" t="s">
        <v>42189</v>
      </c>
      <c r="U2264" t="s">
        <v>44586</v>
      </c>
      <c r="W2264" t="s">
        <v>37992</v>
      </c>
      <c r="X2264" t="s">
        <v>40439</v>
      </c>
    </row>
    <row r="2265" spans="1:24">
      <c r="A2265">
        <f>HYPERLINK("https://www.philgeps.gov.ph/GEPSNONPILOT/Tender/SplashBidNoticeAbstractUI.aspx?menuIndex=3&amp;refID=7049741&amp;Result=3","7049741")</f>
        <v>0</v>
      </c>
      <c r="B2265" t="s">
        <v>974</v>
      </c>
      <c r="C2265" t="s">
        <v>5260</v>
      </c>
      <c r="D2265" t="s">
        <v>16217</v>
      </c>
      <c r="E2265" t="s">
        <v>18361</v>
      </c>
      <c r="F2265" t="s">
        <v>28198</v>
      </c>
      <c r="G2265" t="s">
        <v>28205</v>
      </c>
      <c r="H2265" t="s">
        <v>28215</v>
      </c>
      <c r="I2265" t="s">
        <v>28228</v>
      </c>
      <c r="J2265" t="s">
        <v>29878</v>
      </c>
      <c r="K2265" t="s">
        <v>36701</v>
      </c>
      <c r="M2265" t="s">
        <v>38000</v>
      </c>
      <c r="N2265" t="s">
        <v>40436</v>
      </c>
      <c r="O2265" t="s">
        <v>40437</v>
      </c>
      <c r="P2265">
        <v>0</v>
      </c>
      <c r="Q2265">
        <v>0</v>
      </c>
      <c r="R2265" t="s">
        <v>40438</v>
      </c>
      <c r="S2265" t="s">
        <v>40582</v>
      </c>
      <c r="T2265" t="s">
        <v>42279</v>
      </c>
      <c r="U2265" t="s">
        <v>44587</v>
      </c>
      <c r="V2265" t="s">
        <v>54034</v>
      </c>
      <c r="W2265" t="s">
        <v>38000</v>
      </c>
      <c r="X2265" t="s">
        <v>40439</v>
      </c>
    </row>
    <row r="2266" spans="1:24">
      <c r="A2266">
        <f>HYPERLINK("https://www.philgeps.gov.ph/GEPSNONPILOT/Tender/SplashBidNoticeAbstractUI.aspx?menuIndex=3&amp;refID=7049740&amp;Result=3","7049740")</f>
        <v>0</v>
      </c>
      <c r="B2266" t="s">
        <v>975</v>
      </c>
      <c r="C2266" t="s">
        <v>5261</v>
      </c>
      <c r="D2266" t="s">
        <v>16190</v>
      </c>
      <c r="E2266" t="s">
        <v>18362</v>
      </c>
      <c r="F2266" t="s">
        <v>28198</v>
      </c>
      <c r="G2266" t="s">
        <v>28207</v>
      </c>
      <c r="H2266" t="s">
        <v>28215</v>
      </c>
      <c r="I2266" t="s">
        <v>5071</v>
      </c>
      <c r="J2266" t="s">
        <v>29879</v>
      </c>
      <c r="K2266" t="s">
        <v>36688</v>
      </c>
      <c r="M2266" t="s">
        <v>38001</v>
      </c>
      <c r="N2266" t="s">
        <v>40436</v>
      </c>
      <c r="O2266" t="s">
        <v>40437</v>
      </c>
      <c r="P2266">
        <v>0</v>
      </c>
      <c r="Q2266">
        <v>0</v>
      </c>
      <c r="R2266" t="s">
        <v>40438</v>
      </c>
      <c r="S2266" t="s">
        <v>40582</v>
      </c>
      <c r="T2266" t="s">
        <v>42142</v>
      </c>
      <c r="U2266" t="s">
        <v>44588</v>
      </c>
      <c r="V2266" t="s">
        <v>54035</v>
      </c>
      <c r="W2266" t="s">
        <v>38001</v>
      </c>
      <c r="X2266" t="s">
        <v>40439</v>
      </c>
    </row>
    <row r="2267" spans="1:24">
      <c r="A2267">
        <f>HYPERLINK("https://www.philgeps.gov.ph/GEPSNONPILOT/Tender/SplashBidNoticeAbstractUI.aspx?menuIndex=3&amp;refID=7049739&amp;Result=3","7049739")</f>
        <v>0</v>
      </c>
      <c r="B2267" t="s">
        <v>402</v>
      </c>
      <c r="C2267" t="s">
        <v>5262</v>
      </c>
      <c r="D2267" t="s">
        <v>16217</v>
      </c>
      <c r="E2267" t="s">
        <v>18363</v>
      </c>
      <c r="F2267" t="s">
        <v>28198</v>
      </c>
      <c r="G2267" t="s">
        <v>28207</v>
      </c>
      <c r="H2267" t="s">
        <v>28215</v>
      </c>
      <c r="I2267" t="s">
        <v>28274</v>
      </c>
      <c r="J2267" t="s">
        <v>28345</v>
      </c>
      <c r="K2267" t="s">
        <v>36706</v>
      </c>
      <c r="M2267" t="s">
        <v>37383</v>
      </c>
      <c r="N2267" t="s">
        <v>40436</v>
      </c>
      <c r="O2267" t="s">
        <v>40437</v>
      </c>
      <c r="P2267">
        <v>0</v>
      </c>
      <c r="Q2267">
        <v>0</v>
      </c>
      <c r="R2267" t="s">
        <v>40438</v>
      </c>
      <c r="S2267" t="s">
        <v>40582</v>
      </c>
      <c r="T2267" t="s">
        <v>42133</v>
      </c>
      <c r="U2267" t="s">
        <v>44589</v>
      </c>
      <c r="W2267" t="s">
        <v>37383</v>
      </c>
      <c r="X2267" t="s">
        <v>40439</v>
      </c>
    </row>
    <row r="2268" spans="1:24">
      <c r="A2268">
        <f>HYPERLINK("https://www.philgeps.gov.ph/GEPSNONPILOT/Tender/SplashBidNoticeAbstractUI.aspx?menuIndex=3&amp;refID=7049738&amp;Result=3","7049738")</f>
        <v>0</v>
      </c>
      <c r="B2268" t="s">
        <v>976</v>
      </c>
      <c r="C2268" t="s">
        <v>5263</v>
      </c>
      <c r="D2268" t="s">
        <v>16196</v>
      </c>
      <c r="E2268" t="s">
        <v>18364</v>
      </c>
      <c r="F2268" t="s">
        <v>28198</v>
      </c>
      <c r="G2268" t="s">
        <v>28206</v>
      </c>
      <c r="H2268" t="s">
        <v>28215</v>
      </c>
      <c r="I2268" t="s">
        <v>4200</v>
      </c>
      <c r="J2268" t="s">
        <v>28589</v>
      </c>
      <c r="K2268" t="s">
        <v>36689</v>
      </c>
      <c r="M2268" t="s">
        <v>38002</v>
      </c>
      <c r="N2268" t="s">
        <v>40436</v>
      </c>
      <c r="O2268" t="s">
        <v>40437</v>
      </c>
      <c r="P2268">
        <v>0</v>
      </c>
      <c r="Q2268">
        <v>2</v>
      </c>
      <c r="R2268" t="s">
        <v>40438</v>
      </c>
      <c r="S2268" t="s">
        <v>40582</v>
      </c>
      <c r="T2268" t="s">
        <v>42161</v>
      </c>
      <c r="U2268" t="s">
        <v>44590</v>
      </c>
      <c r="W2268" t="s">
        <v>38002</v>
      </c>
      <c r="X2268" t="s">
        <v>40439</v>
      </c>
    </row>
    <row r="2269" spans="1:24">
      <c r="A2269">
        <f>HYPERLINK("https://www.philgeps.gov.ph/GEPSNONPILOT/Tender/SplashBidNoticeAbstractUI.aspx?menuIndex=3&amp;refID=7049750&amp;Result=3","7049750")</f>
        <v>0</v>
      </c>
      <c r="B2269" t="s">
        <v>977</v>
      </c>
      <c r="C2269" t="s">
        <v>5264</v>
      </c>
      <c r="D2269" t="s">
        <v>16217</v>
      </c>
      <c r="E2269" t="s">
        <v>18365</v>
      </c>
      <c r="F2269" t="s">
        <v>28198</v>
      </c>
      <c r="G2269" t="s">
        <v>28205</v>
      </c>
      <c r="H2269" t="s">
        <v>28215</v>
      </c>
      <c r="I2269" t="s">
        <v>28243</v>
      </c>
      <c r="J2269" t="s">
        <v>28530</v>
      </c>
      <c r="K2269" t="s">
        <v>36715</v>
      </c>
      <c r="M2269" t="s">
        <v>38003</v>
      </c>
      <c r="N2269" t="s">
        <v>40436</v>
      </c>
      <c r="O2269" t="s">
        <v>40437</v>
      </c>
      <c r="P2269">
        <v>0</v>
      </c>
      <c r="Q2269">
        <v>0</v>
      </c>
      <c r="R2269" t="s">
        <v>40438</v>
      </c>
      <c r="S2269" t="s">
        <v>40582</v>
      </c>
      <c r="T2269" t="s">
        <v>42102</v>
      </c>
      <c r="U2269" t="s">
        <v>44591</v>
      </c>
      <c r="W2269" t="s">
        <v>55469</v>
      </c>
      <c r="X2269" t="s">
        <v>40439</v>
      </c>
    </row>
    <row r="2270" spans="1:24">
      <c r="A2270">
        <f>HYPERLINK("https://www.philgeps.gov.ph/GEPSNONPILOT/Tender/SplashBidNoticeAbstractUI.aspx?menuIndex=3&amp;refID=7049744&amp;Result=3","7049744")</f>
        <v>0</v>
      </c>
      <c r="B2270" t="s">
        <v>978</v>
      </c>
      <c r="C2270" t="s">
        <v>5265</v>
      </c>
      <c r="D2270" t="s">
        <v>16247</v>
      </c>
      <c r="E2270" t="s">
        <v>18366</v>
      </c>
      <c r="F2270" t="s">
        <v>28198</v>
      </c>
      <c r="G2270" t="s">
        <v>28206</v>
      </c>
      <c r="H2270" t="s">
        <v>28215</v>
      </c>
      <c r="I2270" t="s">
        <v>5100</v>
      </c>
      <c r="J2270" t="s">
        <v>29880</v>
      </c>
      <c r="K2270" t="s">
        <v>36706</v>
      </c>
      <c r="M2270" t="s">
        <v>38004</v>
      </c>
      <c r="N2270" t="s">
        <v>40436</v>
      </c>
      <c r="O2270" t="s">
        <v>40437</v>
      </c>
      <c r="P2270">
        <v>0</v>
      </c>
      <c r="Q2270">
        <v>1</v>
      </c>
      <c r="R2270" t="s">
        <v>40438</v>
      </c>
      <c r="S2270" t="s">
        <v>40582</v>
      </c>
      <c r="T2270" t="s">
        <v>42103</v>
      </c>
      <c r="U2270" t="s">
        <v>44592</v>
      </c>
      <c r="W2270" t="s">
        <v>38004</v>
      </c>
      <c r="X2270" t="s">
        <v>40439</v>
      </c>
    </row>
    <row r="2271" spans="1:24">
      <c r="A2271">
        <f>HYPERLINK("https://www.philgeps.gov.ph/GEPSNONPILOT/Tender/SplashBidNoticeAbstractUI.aspx?menuIndex=3&amp;refID=7049749&amp;Result=3","7049749")</f>
        <v>0</v>
      </c>
      <c r="B2271" t="s">
        <v>850</v>
      </c>
      <c r="C2271" t="s">
        <v>5266</v>
      </c>
      <c r="D2271" t="s">
        <v>16190</v>
      </c>
      <c r="E2271" t="s">
        <v>18367</v>
      </c>
      <c r="F2271" t="s">
        <v>28198</v>
      </c>
      <c r="G2271" t="s">
        <v>28207</v>
      </c>
      <c r="H2271" t="s">
        <v>28215</v>
      </c>
      <c r="I2271" t="s">
        <v>4200</v>
      </c>
      <c r="J2271" t="s">
        <v>28529</v>
      </c>
      <c r="K2271" t="s">
        <v>36688</v>
      </c>
      <c r="M2271" t="s">
        <v>37862</v>
      </c>
      <c r="N2271" t="s">
        <v>40436</v>
      </c>
      <c r="O2271" t="s">
        <v>40437</v>
      </c>
      <c r="P2271">
        <v>0</v>
      </c>
      <c r="Q2271">
        <v>0</v>
      </c>
      <c r="R2271" t="s">
        <v>40438</v>
      </c>
      <c r="S2271" t="s">
        <v>40582</v>
      </c>
      <c r="T2271" t="s">
        <v>42119</v>
      </c>
      <c r="U2271" t="s">
        <v>44580</v>
      </c>
      <c r="W2271" t="s">
        <v>37862</v>
      </c>
      <c r="X2271" t="s">
        <v>40439</v>
      </c>
    </row>
    <row r="2272" spans="1:24">
      <c r="A2272">
        <f>HYPERLINK("https://www.philgeps.gov.ph/GEPSNONPILOT/Tender/SplashBidNoticeAbstractUI.aspx?menuIndex=3&amp;refID=7049748&amp;Result=3","7049748")</f>
        <v>0</v>
      </c>
      <c r="B2272" t="s">
        <v>973</v>
      </c>
      <c r="C2272" t="s">
        <v>5267</v>
      </c>
      <c r="D2272" t="s">
        <v>16230</v>
      </c>
      <c r="E2272" t="s">
        <v>18368</v>
      </c>
      <c r="F2272" t="s">
        <v>28198</v>
      </c>
      <c r="G2272" t="s">
        <v>28207</v>
      </c>
      <c r="H2272" t="s">
        <v>28215</v>
      </c>
      <c r="I2272" t="s">
        <v>5656</v>
      </c>
      <c r="J2272" t="s">
        <v>29881</v>
      </c>
      <c r="K2272" t="s">
        <v>36693</v>
      </c>
      <c r="M2272" t="s">
        <v>37999</v>
      </c>
      <c r="N2272" t="s">
        <v>40436</v>
      </c>
      <c r="O2272" t="s">
        <v>40437</v>
      </c>
      <c r="P2272">
        <v>0</v>
      </c>
      <c r="Q2272">
        <v>0</v>
      </c>
      <c r="R2272" t="s">
        <v>40438</v>
      </c>
      <c r="S2272" t="s">
        <v>40582</v>
      </c>
      <c r="T2272" t="s">
        <v>42142</v>
      </c>
      <c r="U2272" t="s">
        <v>44593</v>
      </c>
      <c r="V2272" t="s">
        <v>54036</v>
      </c>
      <c r="W2272" t="s">
        <v>37999</v>
      </c>
      <c r="X2272" t="s">
        <v>40439</v>
      </c>
    </row>
    <row r="2273" spans="1:24">
      <c r="A2273">
        <f>HYPERLINK("https://www.philgeps.gov.ph/GEPSNONPILOT/Tender/SplashBidNoticeAbstractUI.aspx?menuIndex=3&amp;refID=7049742&amp;Result=3","7049742")</f>
        <v>0</v>
      </c>
      <c r="B2273" t="s">
        <v>850</v>
      </c>
      <c r="C2273" t="s">
        <v>5268</v>
      </c>
      <c r="D2273" t="s">
        <v>16190</v>
      </c>
      <c r="E2273" t="s">
        <v>16518</v>
      </c>
      <c r="F2273" t="s">
        <v>28198</v>
      </c>
      <c r="G2273" t="s">
        <v>28207</v>
      </c>
      <c r="H2273" t="s">
        <v>28215</v>
      </c>
      <c r="I2273" t="s">
        <v>28258</v>
      </c>
      <c r="J2273" t="s">
        <v>28804</v>
      </c>
      <c r="K2273" t="s">
        <v>36688</v>
      </c>
      <c r="M2273" t="s">
        <v>37862</v>
      </c>
      <c r="N2273" t="s">
        <v>40436</v>
      </c>
      <c r="O2273" t="s">
        <v>40437</v>
      </c>
      <c r="P2273">
        <v>0</v>
      </c>
      <c r="Q2273">
        <v>1</v>
      </c>
      <c r="R2273" t="s">
        <v>40438</v>
      </c>
      <c r="S2273" t="s">
        <v>40582</v>
      </c>
      <c r="T2273" t="s">
        <v>42119</v>
      </c>
      <c r="U2273" t="s">
        <v>44580</v>
      </c>
      <c r="W2273" t="s">
        <v>37862</v>
      </c>
      <c r="X2273" t="s">
        <v>40439</v>
      </c>
    </row>
    <row r="2274" spans="1:24">
      <c r="A2274">
        <f>HYPERLINK("https://www.philgeps.gov.ph/GEPSNONPILOT/Tender/SplashBidNoticeAbstractUI.aspx?menuIndex=3&amp;refID=7049731&amp;Result=3","7049731")</f>
        <v>0</v>
      </c>
      <c r="B2274" t="s">
        <v>979</v>
      </c>
      <c r="C2274" t="s">
        <v>5269</v>
      </c>
      <c r="D2274" t="s">
        <v>16218</v>
      </c>
      <c r="E2274" t="s">
        <v>18348</v>
      </c>
      <c r="F2274" t="s">
        <v>28198</v>
      </c>
      <c r="G2274" t="s">
        <v>28205</v>
      </c>
      <c r="H2274" t="s">
        <v>28215</v>
      </c>
      <c r="I2274" t="s">
        <v>8870</v>
      </c>
      <c r="J2274" t="s">
        <v>29882</v>
      </c>
      <c r="K2274" t="s">
        <v>36688</v>
      </c>
      <c r="M2274" t="s">
        <v>38005</v>
      </c>
      <c r="N2274" t="s">
        <v>40436</v>
      </c>
      <c r="O2274" t="s">
        <v>40437</v>
      </c>
      <c r="P2274">
        <v>0</v>
      </c>
      <c r="Q2274">
        <v>0</v>
      </c>
      <c r="R2274" t="s">
        <v>40438</v>
      </c>
      <c r="S2274" t="s">
        <v>40582</v>
      </c>
      <c r="T2274" t="s">
        <v>42112</v>
      </c>
      <c r="U2274" t="s">
        <v>44594</v>
      </c>
      <c r="W2274" t="s">
        <v>38005</v>
      </c>
      <c r="X2274" t="s">
        <v>40439</v>
      </c>
    </row>
    <row r="2275" spans="1:24">
      <c r="A2275">
        <f>HYPERLINK("https://www.philgeps.gov.ph/GEPSNONPILOT/Tender/SplashBidNoticeAbstractUI.aspx?menuIndex=3&amp;refID=7049747&amp;Result=3","7049747")</f>
        <v>0</v>
      </c>
      <c r="B2275" t="s">
        <v>850</v>
      </c>
      <c r="C2275" t="s">
        <v>5270</v>
      </c>
      <c r="D2275" t="s">
        <v>16190</v>
      </c>
      <c r="E2275" t="s">
        <v>18369</v>
      </c>
      <c r="F2275" t="s">
        <v>28198</v>
      </c>
      <c r="G2275" t="s">
        <v>28207</v>
      </c>
      <c r="H2275" t="s">
        <v>28215</v>
      </c>
      <c r="I2275" t="s">
        <v>28258</v>
      </c>
      <c r="J2275" t="s">
        <v>28345</v>
      </c>
      <c r="K2275" t="s">
        <v>36688</v>
      </c>
      <c r="M2275" t="s">
        <v>37862</v>
      </c>
      <c r="N2275" t="s">
        <v>40436</v>
      </c>
      <c r="O2275" t="s">
        <v>40437</v>
      </c>
      <c r="P2275">
        <v>0</v>
      </c>
      <c r="Q2275">
        <v>2</v>
      </c>
      <c r="R2275" t="s">
        <v>40438</v>
      </c>
      <c r="S2275" t="s">
        <v>40582</v>
      </c>
      <c r="T2275" t="s">
        <v>42119</v>
      </c>
      <c r="U2275" t="s">
        <v>44580</v>
      </c>
      <c r="W2275" t="s">
        <v>37862</v>
      </c>
      <c r="X2275" t="s">
        <v>40439</v>
      </c>
    </row>
    <row r="2276" spans="1:24">
      <c r="A2276">
        <f>HYPERLINK("https://www.philgeps.gov.ph/GEPSNONPILOT/Tender/SplashBidNoticeAbstractUI.aspx?menuIndex=3&amp;refID=7049746&amp;Result=3","7049746")</f>
        <v>0</v>
      </c>
      <c r="B2276" t="s">
        <v>980</v>
      </c>
      <c r="C2276" t="s">
        <v>5271</v>
      </c>
      <c r="D2276" t="s">
        <v>16197</v>
      </c>
      <c r="E2276" t="s">
        <v>18370</v>
      </c>
      <c r="F2276" t="s">
        <v>28198</v>
      </c>
      <c r="G2276" t="s">
        <v>28205</v>
      </c>
      <c r="H2276" t="s">
        <v>28215</v>
      </c>
      <c r="I2276" t="s">
        <v>5082</v>
      </c>
      <c r="J2276" t="s">
        <v>29883</v>
      </c>
      <c r="K2276" t="s">
        <v>36701</v>
      </c>
      <c r="M2276" t="s">
        <v>38006</v>
      </c>
      <c r="N2276" t="s">
        <v>40436</v>
      </c>
      <c r="O2276" t="s">
        <v>40437</v>
      </c>
      <c r="P2276">
        <v>0</v>
      </c>
      <c r="Q2276">
        <v>3</v>
      </c>
      <c r="R2276" t="s">
        <v>40438</v>
      </c>
      <c r="S2276" t="s">
        <v>40582</v>
      </c>
      <c r="T2276" t="s">
        <v>42108</v>
      </c>
      <c r="U2276" t="s">
        <v>44595</v>
      </c>
      <c r="W2276" t="s">
        <v>38006</v>
      </c>
      <c r="X2276" t="s">
        <v>40439</v>
      </c>
    </row>
    <row r="2277" spans="1:24">
      <c r="A2277">
        <f>HYPERLINK("https://www.philgeps.gov.ph/GEPSNONPILOT/Tender/SplashBidNoticeAbstractUI.aspx?menuIndex=3&amp;refID=7049727&amp;Result=3","7049727")</f>
        <v>0</v>
      </c>
      <c r="B2277" t="s">
        <v>121</v>
      </c>
      <c r="C2277" t="s">
        <v>5272</v>
      </c>
      <c r="D2277" t="s">
        <v>16207</v>
      </c>
      <c r="E2277" t="s">
        <v>18371</v>
      </c>
      <c r="F2277" t="s">
        <v>28198</v>
      </c>
      <c r="G2277" t="s">
        <v>28205</v>
      </c>
      <c r="H2277" t="s">
        <v>28215</v>
      </c>
      <c r="I2277" t="s">
        <v>28247</v>
      </c>
      <c r="J2277" t="s">
        <v>29884</v>
      </c>
      <c r="K2277" t="s">
        <v>36706</v>
      </c>
      <c r="M2277" t="s">
        <v>37095</v>
      </c>
      <c r="N2277" t="s">
        <v>40436</v>
      </c>
      <c r="O2277" t="s">
        <v>40437</v>
      </c>
      <c r="P2277">
        <v>0</v>
      </c>
      <c r="Q2277">
        <v>11</v>
      </c>
      <c r="R2277" t="s">
        <v>40438</v>
      </c>
      <c r="S2277" t="s">
        <v>40582</v>
      </c>
      <c r="T2277" t="s">
        <v>42135</v>
      </c>
      <c r="U2277" t="s">
        <v>44596</v>
      </c>
      <c r="W2277" t="s">
        <v>37095</v>
      </c>
      <c r="X2277" t="s">
        <v>40439</v>
      </c>
    </row>
    <row r="2278" spans="1:24">
      <c r="A2278">
        <f>HYPERLINK("https://www.philgeps.gov.ph/GEPSNONPILOT/Tender/SplashBidNoticeAbstractUI.aspx?menuIndex=3&amp;refID=7049736&amp;Result=3","7049736")</f>
        <v>0</v>
      </c>
      <c r="B2278" t="s">
        <v>954</v>
      </c>
      <c r="C2278" t="s">
        <v>5273</v>
      </c>
      <c r="D2278" t="s">
        <v>16210</v>
      </c>
      <c r="E2278" t="s">
        <v>18372</v>
      </c>
      <c r="F2278" t="s">
        <v>28198</v>
      </c>
      <c r="G2278" t="s">
        <v>28207</v>
      </c>
      <c r="H2278" t="s">
        <v>28215</v>
      </c>
      <c r="I2278" t="s">
        <v>28234</v>
      </c>
      <c r="J2278" t="s">
        <v>28862</v>
      </c>
      <c r="K2278" t="s">
        <v>36689</v>
      </c>
      <c r="M2278" t="s">
        <v>37979</v>
      </c>
      <c r="N2278" t="s">
        <v>40436</v>
      </c>
      <c r="O2278" t="s">
        <v>40437</v>
      </c>
      <c r="P2278">
        <v>0</v>
      </c>
      <c r="Q2278">
        <v>8</v>
      </c>
      <c r="R2278" t="s">
        <v>40438</v>
      </c>
      <c r="S2278" t="s">
        <v>40582</v>
      </c>
      <c r="T2278" t="s">
        <v>42119</v>
      </c>
      <c r="U2278" t="s">
        <v>44537</v>
      </c>
      <c r="W2278" t="s">
        <v>37979</v>
      </c>
      <c r="X2278" t="s">
        <v>40439</v>
      </c>
    </row>
    <row r="2279" spans="1:24">
      <c r="A2279">
        <f>HYPERLINK("https://www.philgeps.gov.ph/GEPSNONPILOT/Tender/SplashBidNoticeAbstractUI.aspx?menuIndex=3&amp;refID=7049735&amp;Result=3","7049735")</f>
        <v>0</v>
      </c>
      <c r="B2279" t="s">
        <v>978</v>
      </c>
      <c r="C2279" t="s">
        <v>5274</v>
      </c>
      <c r="D2279" t="s">
        <v>16247</v>
      </c>
      <c r="E2279" t="s">
        <v>18373</v>
      </c>
      <c r="F2279" t="s">
        <v>28198</v>
      </c>
      <c r="G2279" t="s">
        <v>28206</v>
      </c>
      <c r="H2279" t="s">
        <v>28215</v>
      </c>
      <c r="I2279" t="s">
        <v>5100</v>
      </c>
      <c r="J2279" t="s">
        <v>29063</v>
      </c>
      <c r="K2279" t="s">
        <v>36706</v>
      </c>
      <c r="M2279" t="s">
        <v>38004</v>
      </c>
      <c r="N2279" t="s">
        <v>40436</v>
      </c>
      <c r="O2279" t="s">
        <v>40437</v>
      </c>
      <c r="P2279">
        <v>0</v>
      </c>
      <c r="Q2279">
        <v>1</v>
      </c>
      <c r="R2279" t="s">
        <v>40438</v>
      </c>
      <c r="S2279" t="s">
        <v>40582</v>
      </c>
      <c r="T2279" t="s">
        <v>42103</v>
      </c>
      <c r="U2279" t="s">
        <v>44597</v>
      </c>
      <c r="W2279" t="s">
        <v>38004</v>
      </c>
      <c r="X2279" t="s">
        <v>40439</v>
      </c>
    </row>
    <row r="2280" spans="1:24">
      <c r="A2280">
        <f>HYPERLINK("https://www.philgeps.gov.ph/GEPSNONPILOT/Tender/SplashBidNoticeAbstractUI.aspx?menuIndex=3&amp;refID=7049737&amp;Result=3","7049737")</f>
        <v>0</v>
      </c>
      <c r="B2280" t="s">
        <v>136</v>
      </c>
      <c r="C2280" t="s">
        <v>5275</v>
      </c>
      <c r="D2280" t="s">
        <v>16188</v>
      </c>
      <c r="E2280" t="s">
        <v>18374</v>
      </c>
      <c r="F2280" t="s">
        <v>28198</v>
      </c>
      <c r="G2280" t="s">
        <v>28205</v>
      </c>
      <c r="H2280" t="s">
        <v>28215</v>
      </c>
      <c r="I2280" t="s">
        <v>28258</v>
      </c>
      <c r="J2280" t="s">
        <v>29885</v>
      </c>
      <c r="K2280" t="s">
        <v>36689</v>
      </c>
      <c r="M2280" t="s">
        <v>37983</v>
      </c>
      <c r="N2280" t="s">
        <v>40436</v>
      </c>
      <c r="O2280" t="s">
        <v>40437</v>
      </c>
      <c r="P2280">
        <v>0</v>
      </c>
      <c r="Q2280">
        <v>1</v>
      </c>
      <c r="R2280" t="s">
        <v>40438</v>
      </c>
      <c r="S2280" t="s">
        <v>40582</v>
      </c>
      <c r="T2280" t="s">
        <v>42113</v>
      </c>
      <c r="U2280" t="s">
        <v>44598</v>
      </c>
      <c r="W2280" t="s">
        <v>37983</v>
      </c>
      <c r="X2280" t="s">
        <v>40439</v>
      </c>
    </row>
    <row r="2281" spans="1:24">
      <c r="A2281">
        <f>HYPERLINK("https://www.philgeps.gov.ph/GEPSNONPILOT/Tender/SplashBidNoticeAbstractUI.aspx?menuIndex=3&amp;refID=7049726&amp;Result=3","7049726")</f>
        <v>0</v>
      </c>
      <c r="B2281" t="s">
        <v>981</v>
      </c>
      <c r="C2281" t="s">
        <v>5276</v>
      </c>
      <c r="D2281" t="s">
        <v>16191</v>
      </c>
      <c r="E2281" t="s">
        <v>18375</v>
      </c>
      <c r="F2281" t="s">
        <v>28198</v>
      </c>
      <c r="G2281" t="s">
        <v>28205</v>
      </c>
      <c r="H2281" t="s">
        <v>28214</v>
      </c>
      <c r="I2281" t="s">
        <v>3797</v>
      </c>
      <c r="J2281" t="s">
        <v>29886</v>
      </c>
      <c r="K2281" t="s">
        <v>36778</v>
      </c>
      <c r="M2281" t="s">
        <v>38007</v>
      </c>
      <c r="N2281" t="s">
        <v>40436</v>
      </c>
      <c r="O2281" t="s">
        <v>40437</v>
      </c>
      <c r="P2281">
        <v>0</v>
      </c>
      <c r="Q2281">
        <v>2</v>
      </c>
      <c r="R2281" t="s">
        <v>40438</v>
      </c>
      <c r="S2281" t="s">
        <v>40582</v>
      </c>
      <c r="T2281" t="s">
        <v>42098</v>
      </c>
      <c r="U2281" t="s">
        <v>44599</v>
      </c>
      <c r="W2281" t="s">
        <v>38007</v>
      </c>
      <c r="X2281" t="s">
        <v>40439</v>
      </c>
    </row>
    <row r="2282" spans="1:24">
      <c r="A2282">
        <f>HYPERLINK("https://www.philgeps.gov.ph/GEPSNONPILOT/Tender/SplashBidNoticeAbstractUI.aspx?menuIndex=3&amp;refID=7049751&amp;Result=3","7049751")</f>
        <v>0</v>
      </c>
      <c r="B2282" t="s">
        <v>904</v>
      </c>
      <c r="C2282" t="s">
        <v>5277</v>
      </c>
      <c r="D2282" t="s">
        <v>16233</v>
      </c>
      <c r="E2282" t="s">
        <v>18376</v>
      </c>
      <c r="F2282" t="s">
        <v>28198</v>
      </c>
      <c r="G2282" t="s">
        <v>28205</v>
      </c>
      <c r="H2282" t="s">
        <v>28215</v>
      </c>
      <c r="I2282" t="s">
        <v>28225</v>
      </c>
      <c r="J2282" t="s">
        <v>29887</v>
      </c>
      <c r="K2282" t="s">
        <v>36706</v>
      </c>
      <c r="M2282" t="s">
        <v>38008</v>
      </c>
      <c r="N2282" t="s">
        <v>40436</v>
      </c>
      <c r="O2282" t="s">
        <v>40437</v>
      </c>
      <c r="P2282">
        <v>0</v>
      </c>
      <c r="Q2282">
        <v>2</v>
      </c>
      <c r="R2282" t="s">
        <v>40438</v>
      </c>
      <c r="S2282" t="s">
        <v>40582</v>
      </c>
      <c r="T2282" t="s">
        <v>42166</v>
      </c>
      <c r="U2282" t="s">
        <v>44600</v>
      </c>
      <c r="W2282" t="s">
        <v>38008</v>
      </c>
      <c r="X2282" t="s">
        <v>40439</v>
      </c>
    </row>
    <row r="2283" spans="1:24">
      <c r="A2283">
        <f>HYPERLINK("https://www.philgeps.gov.ph/GEPSNONPILOT/Tender/SplashBidNoticeAbstractUI.aspx?menuIndex=3&amp;refID=7049757&amp;Result=3","7049757")</f>
        <v>0</v>
      </c>
      <c r="B2283" t="s">
        <v>974</v>
      </c>
      <c r="C2283" t="s">
        <v>5278</v>
      </c>
      <c r="D2283" t="s">
        <v>16217</v>
      </c>
      <c r="E2283" t="s">
        <v>18377</v>
      </c>
      <c r="F2283" t="s">
        <v>28198</v>
      </c>
      <c r="G2283" t="s">
        <v>28205</v>
      </c>
      <c r="H2283" t="s">
        <v>28215</v>
      </c>
      <c r="I2283" t="s">
        <v>28224</v>
      </c>
      <c r="J2283" t="s">
        <v>29888</v>
      </c>
      <c r="K2283" t="s">
        <v>36701</v>
      </c>
      <c r="M2283" t="s">
        <v>38000</v>
      </c>
      <c r="N2283" t="s">
        <v>40436</v>
      </c>
      <c r="O2283" t="s">
        <v>40437</v>
      </c>
      <c r="P2283">
        <v>0</v>
      </c>
      <c r="Q2283">
        <v>0</v>
      </c>
      <c r="R2283" t="s">
        <v>40438</v>
      </c>
      <c r="S2283" t="s">
        <v>40582</v>
      </c>
      <c r="T2283" t="s">
        <v>42279</v>
      </c>
      <c r="U2283" t="s">
        <v>44601</v>
      </c>
      <c r="V2283" t="s">
        <v>54037</v>
      </c>
      <c r="W2283" t="s">
        <v>38000</v>
      </c>
      <c r="X2283" t="s">
        <v>40439</v>
      </c>
    </row>
    <row r="2284" spans="1:24">
      <c r="A2284">
        <f>HYPERLINK("https://www.philgeps.gov.ph/GEPSNONPILOT/Tender/SplashBidNoticeAbstractUI.aspx?menuIndex=3&amp;refID=7049771&amp;Result=3","7049771")</f>
        <v>0</v>
      </c>
      <c r="B2284" t="s">
        <v>982</v>
      </c>
      <c r="C2284" t="s">
        <v>5279</v>
      </c>
      <c r="D2284" t="s">
        <v>16242</v>
      </c>
      <c r="E2284" t="s">
        <v>18378</v>
      </c>
      <c r="F2284" t="s">
        <v>28198</v>
      </c>
      <c r="G2284" t="s">
        <v>28205</v>
      </c>
      <c r="H2284" t="s">
        <v>28215</v>
      </c>
      <c r="I2284" t="s">
        <v>28222</v>
      </c>
      <c r="J2284" t="s">
        <v>29889</v>
      </c>
      <c r="K2284" t="s">
        <v>36708</v>
      </c>
      <c r="M2284" t="s">
        <v>38009</v>
      </c>
      <c r="N2284" t="s">
        <v>40436</v>
      </c>
      <c r="O2284" t="s">
        <v>40437</v>
      </c>
      <c r="P2284">
        <v>0</v>
      </c>
      <c r="Q2284">
        <v>5</v>
      </c>
      <c r="R2284" t="s">
        <v>40438</v>
      </c>
      <c r="S2284" t="s">
        <v>40582</v>
      </c>
      <c r="T2284" t="s">
        <v>42166</v>
      </c>
      <c r="U2284" t="s">
        <v>44602</v>
      </c>
      <c r="W2284" t="s">
        <v>38009</v>
      </c>
      <c r="X2284" t="s">
        <v>40439</v>
      </c>
    </row>
    <row r="2285" spans="1:24">
      <c r="A2285">
        <f>HYPERLINK("https://www.philgeps.gov.ph/GEPSNONPILOT/Tender/SplashBidNoticeAbstractUI.aspx?menuIndex=3&amp;refID=7049755&amp;Result=3","7049755")</f>
        <v>0</v>
      </c>
      <c r="B2285" t="s">
        <v>977</v>
      </c>
      <c r="C2285" t="s">
        <v>5280</v>
      </c>
      <c r="D2285" t="s">
        <v>16217</v>
      </c>
      <c r="E2285" t="s">
        <v>18379</v>
      </c>
      <c r="F2285" t="s">
        <v>28198</v>
      </c>
      <c r="G2285" t="s">
        <v>28205</v>
      </c>
      <c r="H2285" t="s">
        <v>28215</v>
      </c>
      <c r="I2285" t="s">
        <v>6051</v>
      </c>
      <c r="J2285" t="s">
        <v>28601</v>
      </c>
      <c r="K2285" t="s">
        <v>36707</v>
      </c>
      <c r="M2285" t="s">
        <v>38003</v>
      </c>
      <c r="N2285" t="s">
        <v>40436</v>
      </c>
      <c r="O2285" t="s">
        <v>40437</v>
      </c>
      <c r="P2285">
        <v>0</v>
      </c>
      <c r="Q2285">
        <v>1</v>
      </c>
      <c r="R2285" t="s">
        <v>40438</v>
      </c>
      <c r="S2285" t="s">
        <v>40582</v>
      </c>
      <c r="T2285" t="s">
        <v>42102</v>
      </c>
      <c r="U2285" t="s">
        <v>44603</v>
      </c>
      <c r="W2285" t="s">
        <v>55469</v>
      </c>
      <c r="X2285" t="s">
        <v>40439</v>
      </c>
    </row>
    <row r="2286" spans="1:24">
      <c r="A2286">
        <f>HYPERLINK("https://www.philgeps.gov.ph/GEPSNONPILOT/Tender/SplashBidNoticeAbstractUI.aspx?menuIndex=3&amp;refID=7049770&amp;Result=3","7049770")</f>
        <v>0</v>
      </c>
      <c r="B2286" t="s">
        <v>977</v>
      </c>
      <c r="C2286" t="s">
        <v>5281</v>
      </c>
      <c r="D2286" t="s">
        <v>16217</v>
      </c>
      <c r="E2286" t="s">
        <v>18380</v>
      </c>
      <c r="F2286" t="s">
        <v>28198</v>
      </c>
      <c r="G2286" t="s">
        <v>28205</v>
      </c>
      <c r="H2286" t="s">
        <v>28215</v>
      </c>
      <c r="I2286" t="s">
        <v>28225</v>
      </c>
      <c r="J2286" t="s">
        <v>29890</v>
      </c>
      <c r="K2286" t="s">
        <v>36707</v>
      </c>
      <c r="M2286" t="s">
        <v>38003</v>
      </c>
      <c r="N2286" t="s">
        <v>40436</v>
      </c>
      <c r="O2286" t="s">
        <v>40437</v>
      </c>
      <c r="P2286">
        <v>0</v>
      </c>
      <c r="Q2286">
        <v>2</v>
      </c>
      <c r="R2286" t="s">
        <v>40438</v>
      </c>
      <c r="S2286" t="s">
        <v>40582</v>
      </c>
      <c r="T2286" t="s">
        <v>42102</v>
      </c>
      <c r="U2286" t="s">
        <v>44604</v>
      </c>
      <c r="W2286" t="s">
        <v>55469</v>
      </c>
      <c r="X2286" t="s">
        <v>40439</v>
      </c>
    </row>
    <row r="2287" spans="1:24">
      <c r="A2287">
        <f>HYPERLINK("https://www.philgeps.gov.ph/GEPSNONPILOT/Tender/SplashBidNoticeAbstractUI.aspx?menuIndex=3&amp;refID=7049769&amp;Result=3","7049769")</f>
        <v>0</v>
      </c>
      <c r="B2287" t="s">
        <v>121</v>
      </c>
      <c r="C2287" t="s">
        <v>5282</v>
      </c>
      <c r="D2287" t="s">
        <v>16207</v>
      </c>
      <c r="E2287" t="s">
        <v>18381</v>
      </c>
      <c r="F2287" t="s">
        <v>28198</v>
      </c>
      <c r="G2287" t="s">
        <v>28205</v>
      </c>
      <c r="H2287" t="s">
        <v>28215</v>
      </c>
      <c r="I2287" t="s">
        <v>28234</v>
      </c>
      <c r="J2287" t="s">
        <v>29891</v>
      </c>
      <c r="K2287" t="s">
        <v>36701</v>
      </c>
      <c r="M2287" t="s">
        <v>37095</v>
      </c>
      <c r="N2287" t="s">
        <v>40436</v>
      </c>
      <c r="O2287" t="s">
        <v>40437</v>
      </c>
      <c r="P2287">
        <v>0</v>
      </c>
      <c r="Q2287">
        <v>7</v>
      </c>
      <c r="R2287" t="s">
        <v>40438</v>
      </c>
      <c r="S2287" t="s">
        <v>40582</v>
      </c>
      <c r="T2287" t="s">
        <v>42135</v>
      </c>
      <c r="U2287" t="s">
        <v>44605</v>
      </c>
      <c r="W2287" t="s">
        <v>37095</v>
      </c>
      <c r="X2287" t="s">
        <v>40439</v>
      </c>
    </row>
    <row r="2288" spans="1:24">
      <c r="A2288">
        <f>HYPERLINK("https://www.philgeps.gov.ph/GEPSNONPILOT/Tender/SplashBidNoticeAbstractUI.aspx?menuIndex=3&amp;refID=7049758&amp;Result=3","7049758")</f>
        <v>0</v>
      </c>
      <c r="B2288" t="s">
        <v>121</v>
      </c>
      <c r="C2288" t="s">
        <v>5283</v>
      </c>
      <c r="D2288" t="s">
        <v>16207</v>
      </c>
      <c r="E2288" t="s">
        <v>18382</v>
      </c>
      <c r="F2288" t="s">
        <v>28198</v>
      </c>
      <c r="G2288" t="s">
        <v>28205</v>
      </c>
      <c r="H2288" t="s">
        <v>28215</v>
      </c>
      <c r="I2288" t="s">
        <v>28234</v>
      </c>
      <c r="J2288" t="s">
        <v>29892</v>
      </c>
      <c r="K2288" t="s">
        <v>36701</v>
      </c>
      <c r="M2288" t="s">
        <v>37095</v>
      </c>
      <c r="N2288" t="s">
        <v>40436</v>
      </c>
      <c r="O2288" t="s">
        <v>40437</v>
      </c>
      <c r="P2288">
        <v>0</v>
      </c>
      <c r="Q2288">
        <v>5</v>
      </c>
      <c r="R2288" t="s">
        <v>40438</v>
      </c>
      <c r="S2288" t="s">
        <v>40582</v>
      </c>
      <c r="T2288" t="s">
        <v>42135</v>
      </c>
      <c r="U2288" t="s">
        <v>44606</v>
      </c>
      <c r="W2288" t="s">
        <v>37095</v>
      </c>
      <c r="X2288" t="s">
        <v>40439</v>
      </c>
    </row>
    <row r="2289" spans="1:24">
      <c r="A2289">
        <f>HYPERLINK("https://www.philgeps.gov.ph/GEPSNONPILOT/Tender/SplashBidNoticeAbstractUI.aspx?menuIndex=3&amp;refID=7049767&amp;Result=3","7049767")</f>
        <v>0</v>
      </c>
      <c r="B2289" t="s">
        <v>983</v>
      </c>
      <c r="C2289" t="s">
        <v>5284</v>
      </c>
      <c r="D2289" t="s">
        <v>16232</v>
      </c>
      <c r="E2289" t="s">
        <v>18383</v>
      </c>
      <c r="F2289" t="s">
        <v>28198</v>
      </c>
      <c r="G2289" t="s">
        <v>28207</v>
      </c>
      <c r="H2289" t="s">
        <v>28215</v>
      </c>
      <c r="I2289" t="s">
        <v>28281</v>
      </c>
      <c r="J2289" t="s">
        <v>29893</v>
      </c>
      <c r="K2289" t="s">
        <v>36698</v>
      </c>
      <c r="M2289" t="s">
        <v>38010</v>
      </c>
      <c r="N2289" t="s">
        <v>40436</v>
      </c>
      <c r="O2289" t="s">
        <v>40437</v>
      </c>
      <c r="P2289">
        <v>0</v>
      </c>
      <c r="Q2289">
        <v>1</v>
      </c>
      <c r="R2289" t="s">
        <v>40438</v>
      </c>
      <c r="S2289" t="s">
        <v>40582</v>
      </c>
      <c r="T2289" t="s">
        <v>42103</v>
      </c>
      <c r="U2289" t="s">
        <v>44607</v>
      </c>
      <c r="W2289" t="s">
        <v>38010</v>
      </c>
      <c r="X2289" t="s">
        <v>40439</v>
      </c>
    </row>
    <row r="2290" spans="1:24">
      <c r="A2290">
        <f>HYPERLINK("https://www.philgeps.gov.ph/GEPSNONPILOT/Tender/SplashBidNoticeAbstractUI.aspx?menuIndex=3&amp;refID=7049768&amp;Result=3","7049768")</f>
        <v>0</v>
      </c>
      <c r="B2290" t="s">
        <v>977</v>
      </c>
      <c r="C2290" t="s">
        <v>5285</v>
      </c>
      <c r="D2290" t="s">
        <v>16217</v>
      </c>
      <c r="E2290" t="s">
        <v>18384</v>
      </c>
      <c r="F2290" t="s">
        <v>28198</v>
      </c>
      <c r="G2290" t="s">
        <v>28205</v>
      </c>
      <c r="H2290" t="s">
        <v>28215</v>
      </c>
      <c r="I2290" t="s">
        <v>28227</v>
      </c>
      <c r="J2290" t="s">
        <v>29894</v>
      </c>
      <c r="K2290" t="s">
        <v>36707</v>
      </c>
      <c r="M2290" t="s">
        <v>38003</v>
      </c>
      <c r="N2290" t="s">
        <v>40436</v>
      </c>
      <c r="O2290" t="s">
        <v>40437</v>
      </c>
      <c r="P2290">
        <v>0</v>
      </c>
      <c r="Q2290">
        <v>1</v>
      </c>
      <c r="R2290" t="s">
        <v>40438</v>
      </c>
      <c r="S2290" t="s">
        <v>40582</v>
      </c>
      <c r="T2290" t="s">
        <v>42102</v>
      </c>
      <c r="U2290" t="s">
        <v>44608</v>
      </c>
      <c r="W2290" t="s">
        <v>55469</v>
      </c>
      <c r="X2290" t="s">
        <v>40439</v>
      </c>
    </row>
    <row r="2291" spans="1:24">
      <c r="A2291">
        <f>HYPERLINK("https://www.philgeps.gov.ph/GEPSNONPILOT/Tender/SplashBidNoticeAbstractUI.aspx?menuIndex=3&amp;refID=7049766&amp;Result=3","7049766")</f>
        <v>0</v>
      </c>
      <c r="B2291" t="s">
        <v>984</v>
      </c>
      <c r="C2291" t="s">
        <v>5286</v>
      </c>
      <c r="D2291" t="s">
        <v>16237</v>
      </c>
      <c r="E2291" t="s">
        <v>18385</v>
      </c>
      <c r="F2291" t="s">
        <v>28198</v>
      </c>
      <c r="G2291" t="s">
        <v>28205</v>
      </c>
      <c r="H2291" t="s">
        <v>28214</v>
      </c>
      <c r="I2291" t="s">
        <v>3797</v>
      </c>
      <c r="J2291" t="s">
        <v>29895</v>
      </c>
      <c r="K2291" t="s">
        <v>36697</v>
      </c>
      <c r="M2291" t="s">
        <v>38011</v>
      </c>
      <c r="N2291" t="s">
        <v>40436</v>
      </c>
      <c r="O2291" t="s">
        <v>40437</v>
      </c>
      <c r="P2291">
        <v>0</v>
      </c>
      <c r="Q2291">
        <v>3</v>
      </c>
      <c r="R2291" t="s">
        <v>40438</v>
      </c>
      <c r="S2291" t="s">
        <v>40582</v>
      </c>
      <c r="T2291" t="s">
        <v>42108</v>
      </c>
      <c r="U2291" t="s">
        <v>44609</v>
      </c>
      <c r="V2291" t="s">
        <v>54038</v>
      </c>
      <c r="W2291" t="s">
        <v>38011</v>
      </c>
      <c r="X2291" t="s">
        <v>40439</v>
      </c>
    </row>
    <row r="2292" spans="1:24">
      <c r="A2292">
        <f>HYPERLINK("https://www.philgeps.gov.ph/GEPSNONPILOT/Tender/SplashBidNoticeAbstractUI.aspx?menuIndex=3&amp;refID=7049754&amp;Result=3","7049754")</f>
        <v>0</v>
      </c>
      <c r="B2292" t="s">
        <v>985</v>
      </c>
      <c r="C2292" t="s">
        <v>5287</v>
      </c>
      <c r="D2292" t="s">
        <v>16210</v>
      </c>
      <c r="E2292" t="s">
        <v>18386</v>
      </c>
      <c r="F2292" t="s">
        <v>28198</v>
      </c>
      <c r="G2292" t="s">
        <v>28209</v>
      </c>
      <c r="H2292" t="s">
        <v>28216</v>
      </c>
      <c r="I2292" t="s">
        <v>28216</v>
      </c>
      <c r="J2292" t="s">
        <v>28468</v>
      </c>
      <c r="K2292" t="s">
        <v>36779</v>
      </c>
      <c r="M2292" t="s">
        <v>38012</v>
      </c>
      <c r="N2292" t="s">
        <v>40436</v>
      </c>
      <c r="O2292" t="s">
        <v>40437</v>
      </c>
      <c r="P2292">
        <v>0</v>
      </c>
      <c r="Q2292">
        <v>5</v>
      </c>
      <c r="R2292" t="s">
        <v>40438</v>
      </c>
      <c r="S2292" t="s">
        <v>40582</v>
      </c>
      <c r="T2292" t="s">
        <v>42192</v>
      </c>
      <c r="U2292" t="s">
        <v>44610</v>
      </c>
      <c r="W2292" t="s">
        <v>38012</v>
      </c>
      <c r="X2292" t="s">
        <v>40439</v>
      </c>
    </row>
    <row r="2293" spans="1:24">
      <c r="A2293">
        <f>HYPERLINK("https://www.philgeps.gov.ph/GEPSNONPILOT/Tender/SplashBidNoticeAbstractUI.aspx?menuIndex=3&amp;refID=7049764&amp;Result=3","7049764")</f>
        <v>0</v>
      </c>
      <c r="B2293" t="s">
        <v>986</v>
      </c>
      <c r="C2293" t="s">
        <v>5288</v>
      </c>
      <c r="D2293" t="s">
        <v>16194</v>
      </c>
      <c r="E2293" t="s">
        <v>18387</v>
      </c>
      <c r="F2293" t="s">
        <v>28198</v>
      </c>
      <c r="G2293" t="s">
        <v>28206</v>
      </c>
      <c r="H2293" t="s">
        <v>28215</v>
      </c>
      <c r="I2293" t="s">
        <v>4200</v>
      </c>
      <c r="J2293" t="s">
        <v>28530</v>
      </c>
      <c r="K2293" t="s">
        <v>36706</v>
      </c>
      <c r="M2293" t="s">
        <v>38013</v>
      </c>
      <c r="N2293" t="s">
        <v>40436</v>
      </c>
      <c r="O2293" t="s">
        <v>40437</v>
      </c>
      <c r="P2293">
        <v>0</v>
      </c>
      <c r="Q2293">
        <v>0</v>
      </c>
      <c r="R2293" t="s">
        <v>40438</v>
      </c>
      <c r="S2293" t="s">
        <v>40582</v>
      </c>
      <c r="T2293" t="s">
        <v>42111</v>
      </c>
      <c r="U2293" t="s">
        <v>44611</v>
      </c>
      <c r="W2293" t="s">
        <v>38013</v>
      </c>
      <c r="X2293" t="s">
        <v>40439</v>
      </c>
    </row>
    <row r="2294" spans="1:24">
      <c r="A2294">
        <f>HYPERLINK("https://www.philgeps.gov.ph/GEPSNONPILOT/Tender/SplashBidNoticeAbstractUI.aspx?menuIndex=3&amp;refID=7049763&amp;Result=3","7049763")</f>
        <v>0</v>
      </c>
      <c r="B2294" t="s">
        <v>977</v>
      </c>
      <c r="C2294" t="s">
        <v>5289</v>
      </c>
      <c r="D2294" t="s">
        <v>16217</v>
      </c>
      <c r="E2294" t="s">
        <v>18388</v>
      </c>
      <c r="F2294" t="s">
        <v>28198</v>
      </c>
      <c r="G2294" t="s">
        <v>28205</v>
      </c>
      <c r="H2294" t="s">
        <v>28215</v>
      </c>
      <c r="I2294" t="s">
        <v>5082</v>
      </c>
      <c r="J2294" t="s">
        <v>29896</v>
      </c>
      <c r="K2294" t="s">
        <v>36707</v>
      </c>
      <c r="M2294" t="s">
        <v>38003</v>
      </c>
      <c r="N2294" t="s">
        <v>40436</v>
      </c>
      <c r="O2294" t="s">
        <v>40437</v>
      </c>
      <c r="P2294">
        <v>0</v>
      </c>
      <c r="Q2294">
        <v>0</v>
      </c>
      <c r="R2294" t="s">
        <v>40438</v>
      </c>
      <c r="S2294" t="s">
        <v>40582</v>
      </c>
      <c r="T2294" t="s">
        <v>42102</v>
      </c>
      <c r="U2294" t="s">
        <v>44612</v>
      </c>
      <c r="W2294" t="s">
        <v>55469</v>
      </c>
      <c r="X2294" t="s">
        <v>40439</v>
      </c>
    </row>
    <row r="2295" spans="1:24">
      <c r="A2295">
        <f>HYPERLINK("https://www.philgeps.gov.ph/GEPSNONPILOT/Tender/SplashBidNoticeAbstractUI.aspx?menuIndex=3&amp;refID=7049759&amp;Result=3","7049759")</f>
        <v>0</v>
      </c>
      <c r="B2295" t="s">
        <v>850</v>
      </c>
      <c r="C2295" t="s">
        <v>5290</v>
      </c>
      <c r="D2295" t="s">
        <v>16190</v>
      </c>
      <c r="E2295" t="s">
        <v>18389</v>
      </c>
      <c r="F2295" t="s">
        <v>28198</v>
      </c>
      <c r="G2295" t="s">
        <v>28207</v>
      </c>
      <c r="H2295" t="s">
        <v>28215</v>
      </c>
      <c r="I2295" t="s">
        <v>5100</v>
      </c>
      <c r="J2295" t="s">
        <v>28540</v>
      </c>
      <c r="K2295" t="s">
        <v>36688</v>
      </c>
      <c r="M2295" t="s">
        <v>37862</v>
      </c>
      <c r="N2295" t="s">
        <v>40436</v>
      </c>
      <c r="O2295" t="s">
        <v>40437</v>
      </c>
      <c r="P2295">
        <v>0</v>
      </c>
      <c r="Q2295">
        <v>0</v>
      </c>
      <c r="R2295" t="s">
        <v>40438</v>
      </c>
      <c r="S2295" t="s">
        <v>40582</v>
      </c>
      <c r="T2295" t="s">
        <v>42119</v>
      </c>
      <c r="U2295" t="s">
        <v>44580</v>
      </c>
      <c r="W2295" t="s">
        <v>37862</v>
      </c>
      <c r="X2295" t="s">
        <v>40439</v>
      </c>
    </row>
    <row r="2296" spans="1:24">
      <c r="A2296">
        <f>HYPERLINK("https://www.philgeps.gov.ph/GEPSNONPILOT/Tender/SplashBidNoticeAbstractUI.aspx?menuIndex=3&amp;refID=7049762&amp;Result=3","7049762")</f>
        <v>0</v>
      </c>
      <c r="B2296" t="s">
        <v>977</v>
      </c>
      <c r="C2296" t="s">
        <v>5291</v>
      </c>
      <c r="D2296" t="s">
        <v>16217</v>
      </c>
      <c r="E2296" t="s">
        <v>18390</v>
      </c>
      <c r="F2296" t="s">
        <v>28198</v>
      </c>
      <c r="G2296" t="s">
        <v>28205</v>
      </c>
      <c r="H2296" t="s">
        <v>28215</v>
      </c>
      <c r="I2296" t="s">
        <v>4168</v>
      </c>
      <c r="J2296" t="s">
        <v>29897</v>
      </c>
      <c r="K2296" t="s">
        <v>36707</v>
      </c>
      <c r="M2296" t="s">
        <v>38003</v>
      </c>
      <c r="N2296" t="s">
        <v>40436</v>
      </c>
      <c r="O2296" t="s">
        <v>40437</v>
      </c>
      <c r="P2296">
        <v>0</v>
      </c>
      <c r="Q2296">
        <v>1</v>
      </c>
      <c r="R2296" t="s">
        <v>40438</v>
      </c>
      <c r="S2296" t="s">
        <v>40582</v>
      </c>
      <c r="T2296" t="s">
        <v>42102</v>
      </c>
      <c r="U2296" t="s">
        <v>44613</v>
      </c>
      <c r="W2296" t="s">
        <v>55469</v>
      </c>
      <c r="X2296" t="s">
        <v>40439</v>
      </c>
    </row>
    <row r="2297" spans="1:24">
      <c r="A2297">
        <f>HYPERLINK("https://www.philgeps.gov.ph/GEPSNONPILOT/Tender/SplashBidNoticeAbstractUI.aspx?menuIndex=3&amp;refID=7049756&amp;Result=3","7049756")</f>
        <v>0</v>
      </c>
      <c r="B2297" t="s">
        <v>977</v>
      </c>
      <c r="C2297" t="s">
        <v>5292</v>
      </c>
      <c r="D2297" t="s">
        <v>16217</v>
      </c>
      <c r="E2297" t="s">
        <v>18391</v>
      </c>
      <c r="F2297" t="s">
        <v>28198</v>
      </c>
      <c r="G2297" t="s">
        <v>28205</v>
      </c>
      <c r="H2297" t="s">
        <v>28215</v>
      </c>
      <c r="I2297" t="s">
        <v>28228</v>
      </c>
      <c r="J2297" t="s">
        <v>29898</v>
      </c>
      <c r="K2297" t="s">
        <v>36697</v>
      </c>
      <c r="M2297" t="s">
        <v>38003</v>
      </c>
      <c r="N2297" t="s">
        <v>40436</v>
      </c>
      <c r="O2297" t="s">
        <v>40437</v>
      </c>
      <c r="P2297">
        <v>0</v>
      </c>
      <c r="Q2297">
        <v>0</v>
      </c>
      <c r="R2297" t="s">
        <v>40438</v>
      </c>
      <c r="S2297" t="s">
        <v>40582</v>
      </c>
      <c r="T2297" t="s">
        <v>42102</v>
      </c>
      <c r="U2297" t="s">
        <v>44614</v>
      </c>
      <c r="W2297" t="s">
        <v>55469</v>
      </c>
      <c r="X2297" t="s">
        <v>40439</v>
      </c>
    </row>
    <row r="2298" spans="1:24">
      <c r="A2298">
        <f>HYPERLINK("https://www.philgeps.gov.ph/GEPSNONPILOT/Tender/SplashBidNoticeAbstractUI.aspx?menuIndex=3&amp;refID=7049765&amp;Result=3","7049765")</f>
        <v>0</v>
      </c>
      <c r="B2298" t="s">
        <v>904</v>
      </c>
      <c r="C2298" t="s">
        <v>5293</v>
      </c>
      <c r="D2298" t="s">
        <v>16233</v>
      </c>
      <c r="E2298" t="s">
        <v>18392</v>
      </c>
      <c r="F2298" t="s">
        <v>28198</v>
      </c>
      <c r="G2298" t="s">
        <v>28207</v>
      </c>
      <c r="H2298" t="s">
        <v>28215</v>
      </c>
      <c r="I2298" t="s">
        <v>28226</v>
      </c>
      <c r="J2298" t="s">
        <v>29899</v>
      </c>
      <c r="K2298" t="s">
        <v>36706</v>
      </c>
      <c r="M2298" t="s">
        <v>38008</v>
      </c>
      <c r="N2298" t="s">
        <v>40436</v>
      </c>
      <c r="O2298" t="s">
        <v>40437</v>
      </c>
      <c r="P2298">
        <v>0</v>
      </c>
      <c r="Q2298">
        <v>1</v>
      </c>
      <c r="R2298" t="s">
        <v>40438</v>
      </c>
      <c r="S2298" t="s">
        <v>40582</v>
      </c>
      <c r="T2298" t="s">
        <v>42160</v>
      </c>
      <c r="U2298" t="s">
        <v>44615</v>
      </c>
      <c r="W2298" t="s">
        <v>38008</v>
      </c>
      <c r="X2298" t="s">
        <v>40439</v>
      </c>
    </row>
    <row r="2299" spans="1:24">
      <c r="A2299">
        <f>HYPERLINK("https://www.philgeps.gov.ph/GEPSNONPILOT/Tender/SplashBidNoticeAbstractUI.aspx?menuIndex=3&amp;refID=7049761&amp;Result=3","7049761")</f>
        <v>0</v>
      </c>
      <c r="B2299" t="s">
        <v>850</v>
      </c>
      <c r="C2299" t="s">
        <v>5294</v>
      </c>
      <c r="D2299" t="s">
        <v>16190</v>
      </c>
      <c r="E2299" t="s">
        <v>18393</v>
      </c>
      <c r="F2299" t="s">
        <v>28198</v>
      </c>
      <c r="G2299" t="s">
        <v>28207</v>
      </c>
      <c r="H2299" t="s">
        <v>28215</v>
      </c>
      <c r="I2299" t="s">
        <v>4222</v>
      </c>
      <c r="J2299" t="s">
        <v>29900</v>
      </c>
      <c r="K2299" t="s">
        <v>36688</v>
      </c>
      <c r="M2299" t="s">
        <v>37862</v>
      </c>
      <c r="N2299" t="s">
        <v>40436</v>
      </c>
      <c r="O2299" t="s">
        <v>40437</v>
      </c>
      <c r="P2299">
        <v>0</v>
      </c>
      <c r="Q2299">
        <v>0</v>
      </c>
      <c r="R2299" t="s">
        <v>40438</v>
      </c>
      <c r="S2299" t="s">
        <v>40582</v>
      </c>
      <c r="T2299" t="s">
        <v>42119</v>
      </c>
      <c r="U2299" t="s">
        <v>44580</v>
      </c>
      <c r="W2299" t="s">
        <v>37862</v>
      </c>
      <c r="X2299" t="s">
        <v>40439</v>
      </c>
    </row>
    <row r="2300" spans="1:24">
      <c r="A2300">
        <f>HYPERLINK("https://www.philgeps.gov.ph/GEPSNONPILOT/Tender/SplashBidNoticeAbstractUI.aspx?menuIndex=3&amp;refID=7049753&amp;Result=3","7049753")</f>
        <v>0</v>
      </c>
      <c r="B2300" t="s">
        <v>977</v>
      </c>
      <c r="C2300" t="s">
        <v>5295</v>
      </c>
      <c r="D2300" t="s">
        <v>16217</v>
      </c>
      <c r="E2300" t="s">
        <v>18394</v>
      </c>
      <c r="F2300" t="s">
        <v>28198</v>
      </c>
      <c r="G2300" t="s">
        <v>28205</v>
      </c>
      <c r="H2300" t="s">
        <v>28215</v>
      </c>
      <c r="I2300" t="s">
        <v>28227</v>
      </c>
      <c r="J2300" t="s">
        <v>29901</v>
      </c>
      <c r="K2300" t="s">
        <v>36707</v>
      </c>
      <c r="M2300" t="s">
        <v>38003</v>
      </c>
      <c r="N2300" t="s">
        <v>40436</v>
      </c>
      <c r="O2300" t="s">
        <v>40437</v>
      </c>
      <c r="P2300">
        <v>0</v>
      </c>
      <c r="Q2300">
        <v>0</v>
      </c>
      <c r="R2300" t="s">
        <v>40438</v>
      </c>
      <c r="S2300" t="s">
        <v>40582</v>
      </c>
      <c r="T2300" t="s">
        <v>42102</v>
      </c>
      <c r="U2300" t="s">
        <v>44616</v>
      </c>
      <c r="W2300" t="s">
        <v>55469</v>
      </c>
      <c r="X2300" t="s">
        <v>40439</v>
      </c>
    </row>
    <row r="2301" spans="1:24">
      <c r="A2301">
        <f>HYPERLINK("https://www.philgeps.gov.ph/GEPSNONPILOT/Tender/SplashBidNoticeAbstractUI.aspx?menuIndex=3&amp;refID=7049789&amp;Result=3","7049789")</f>
        <v>0</v>
      </c>
      <c r="B2301" t="s">
        <v>987</v>
      </c>
      <c r="C2301" t="s">
        <v>5296</v>
      </c>
      <c r="D2301" t="s">
        <v>16190</v>
      </c>
      <c r="E2301" t="s">
        <v>18395</v>
      </c>
      <c r="F2301" t="s">
        <v>28198</v>
      </c>
      <c r="G2301" t="s">
        <v>28207</v>
      </c>
      <c r="H2301" t="s">
        <v>28215</v>
      </c>
      <c r="I2301" t="s">
        <v>4505</v>
      </c>
      <c r="J2301" t="s">
        <v>29902</v>
      </c>
      <c r="K2301" t="s">
        <v>36688</v>
      </c>
      <c r="M2301" t="s">
        <v>38014</v>
      </c>
      <c r="N2301" t="s">
        <v>40436</v>
      </c>
      <c r="O2301" t="s">
        <v>40437</v>
      </c>
      <c r="P2301">
        <v>0</v>
      </c>
      <c r="Q2301">
        <v>0</v>
      </c>
      <c r="R2301" t="s">
        <v>40438</v>
      </c>
      <c r="S2301" t="s">
        <v>40582</v>
      </c>
      <c r="T2301" t="s">
        <v>42111</v>
      </c>
      <c r="U2301" t="s">
        <v>44617</v>
      </c>
      <c r="W2301" t="s">
        <v>38014</v>
      </c>
      <c r="X2301" t="s">
        <v>40439</v>
      </c>
    </row>
    <row r="2302" spans="1:24">
      <c r="A2302">
        <f>HYPERLINK("https://www.philgeps.gov.ph/GEPSNONPILOT/Tender/SplashBidNoticeAbstractUI.aspx?menuIndex=3&amp;refID=7049772&amp;Result=3","7049772")</f>
        <v>0</v>
      </c>
      <c r="B2302" t="s">
        <v>381</v>
      </c>
      <c r="C2302" t="s">
        <v>5297</v>
      </c>
      <c r="D2302" t="s">
        <v>16203</v>
      </c>
      <c r="E2302" t="s">
        <v>18396</v>
      </c>
      <c r="F2302" t="s">
        <v>28198</v>
      </c>
      <c r="G2302" t="s">
        <v>28207</v>
      </c>
      <c r="H2302" t="s">
        <v>28214</v>
      </c>
      <c r="I2302" t="s">
        <v>3797</v>
      </c>
      <c r="J2302" t="s">
        <v>29903</v>
      </c>
      <c r="K2302" t="s">
        <v>36709</v>
      </c>
      <c r="M2302" t="s">
        <v>37361</v>
      </c>
      <c r="N2302" t="s">
        <v>40436</v>
      </c>
      <c r="O2302" t="s">
        <v>40437</v>
      </c>
      <c r="P2302">
        <v>0</v>
      </c>
      <c r="Q2302">
        <v>0</v>
      </c>
      <c r="R2302" t="s">
        <v>40438</v>
      </c>
      <c r="S2302" t="s">
        <v>40582</v>
      </c>
      <c r="T2302" t="s">
        <v>42133</v>
      </c>
      <c r="U2302" t="s">
        <v>44618</v>
      </c>
      <c r="W2302" t="s">
        <v>37361</v>
      </c>
      <c r="X2302" t="s">
        <v>40439</v>
      </c>
    </row>
    <row r="2303" spans="1:24">
      <c r="A2303">
        <f>HYPERLINK("https://www.philgeps.gov.ph/GEPSNONPILOT/Tender/SplashBidNoticeAbstractUI.aspx?menuIndex=3&amp;refID=7049787&amp;Result=3","7049787")</f>
        <v>0</v>
      </c>
      <c r="B2303" t="s">
        <v>988</v>
      </c>
      <c r="C2303" t="s">
        <v>5298</v>
      </c>
      <c r="D2303" t="s">
        <v>16191</v>
      </c>
      <c r="E2303" t="s">
        <v>18397</v>
      </c>
      <c r="F2303" t="s">
        <v>28198</v>
      </c>
      <c r="G2303" t="s">
        <v>28207</v>
      </c>
      <c r="H2303" t="s">
        <v>28215</v>
      </c>
      <c r="I2303" t="s">
        <v>5100</v>
      </c>
      <c r="J2303" t="s">
        <v>29904</v>
      </c>
      <c r="K2303" t="s">
        <v>36689</v>
      </c>
      <c r="M2303" t="s">
        <v>38015</v>
      </c>
      <c r="N2303" t="s">
        <v>40436</v>
      </c>
      <c r="O2303" t="s">
        <v>40437</v>
      </c>
      <c r="P2303">
        <v>0</v>
      </c>
      <c r="Q2303">
        <v>0</v>
      </c>
      <c r="R2303" t="s">
        <v>40438</v>
      </c>
      <c r="S2303" t="s">
        <v>40582</v>
      </c>
      <c r="T2303" t="s">
        <v>42312</v>
      </c>
      <c r="U2303" t="s">
        <v>44619</v>
      </c>
      <c r="W2303" t="s">
        <v>38015</v>
      </c>
      <c r="X2303" t="s">
        <v>40439</v>
      </c>
    </row>
    <row r="2304" spans="1:24">
      <c r="A2304">
        <f>HYPERLINK("https://www.philgeps.gov.ph/GEPSNONPILOT/Tender/SplashBidNoticeAbstractUI.aspx?menuIndex=3&amp;refID=7049792&amp;Result=3","7049792")</f>
        <v>0</v>
      </c>
      <c r="B2304" t="s">
        <v>121</v>
      </c>
      <c r="C2304" t="s">
        <v>5299</v>
      </c>
      <c r="D2304" t="s">
        <v>16207</v>
      </c>
      <c r="E2304" t="s">
        <v>18398</v>
      </c>
      <c r="F2304" t="s">
        <v>28198</v>
      </c>
      <c r="G2304" t="s">
        <v>28205</v>
      </c>
      <c r="H2304" t="s">
        <v>28215</v>
      </c>
      <c r="I2304" t="s">
        <v>28228</v>
      </c>
      <c r="J2304" t="s">
        <v>29905</v>
      </c>
      <c r="K2304" t="s">
        <v>36706</v>
      </c>
      <c r="M2304" t="s">
        <v>37095</v>
      </c>
      <c r="N2304" t="s">
        <v>40436</v>
      </c>
      <c r="O2304" t="s">
        <v>40437</v>
      </c>
      <c r="P2304">
        <v>0</v>
      </c>
      <c r="Q2304">
        <v>0</v>
      </c>
      <c r="R2304" t="s">
        <v>40438</v>
      </c>
      <c r="S2304" t="s">
        <v>40582</v>
      </c>
      <c r="T2304" t="s">
        <v>42135</v>
      </c>
      <c r="U2304" t="s">
        <v>44620</v>
      </c>
      <c r="W2304" t="s">
        <v>37095</v>
      </c>
      <c r="X2304" t="s">
        <v>40439</v>
      </c>
    </row>
    <row r="2305" spans="1:24">
      <c r="A2305">
        <f>HYPERLINK("https://www.philgeps.gov.ph/GEPSNONPILOT/Tender/SplashBidNoticeAbstractUI.aspx?menuIndex=3&amp;refID=7049775&amp;Result=3","7049775")</f>
        <v>0</v>
      </c>
      <c r="B2305" t="s">
        <v>988</v>
      </c>
      <c r="C2305" t="s">
        <v>5300</v>
      </c>
      <c r="D2305" t="s">
        <v>16191</v>
      </c>
      <c r="E2305" t="s">
        <v>18399</v>
      </c>
      <c r="F2305" t="s">
        <v>28198</v>
      </c>
      <c r="G2305" t="s">
        <v>28207</v>
      </c>
      <c r="H2305" t="s">
        <v>28215</v>
      </c>
      <c r="I2305" t="s">
        <v>3422</v>
      </c>
      <c r="J2305" t="s">
        <v>28587</v>
      </c>
      <c r="K2305" t="s">
        <v>36689</v>
      </c>
      <c r="M2305" t="s">
        <v>38015</v>
      </c>
      <c r="N2305" t="s">
        <v>40436</v>
      </c>
      <c r="O2305" t="s">
        <v>40437</v>
      </c>
      <c r="P2305">
        <v>0</v>
      </c>
      <c r="Q2305">
        <v>1</v>
      </c>
      <c r="R2305" t="s">
        <v>40438</v>
      </c>
      <c r="S2305" t="s">
        <v>40582</v>
      </c>
      <c r="T2305" t="s">
        <v>42312</v>
      </c>
      <c r="U2305" t="s">
        <v>44621</v>
      </c>
      <c r="V2305" t="s">
        <v>54039</v>
      </c>
      <c r="W2305" t="s">
        <v>38015</v>
      </c>
      <c r="X2305" t="s">
        <v>40439</v>
      </c>
    </row>
    <row r="2306" spans="1:24">
      <c r="A2306">
        <f>HYPERLINK("https://www.philgeps.gov.ph/GEPSNONPILOT/Tender/SplashBidNoticeAbstractUI.aspx?menuIndex=3&amp;refID=7049791&amp;Result=3","7049791")</f>
        <v>0</v>
      </c>
      <c r="B2306" t="s">
        <v>988</v>
      </c>
      <c r="C2306" t="s">
        <v>5301</v>
      </c>
      <c r="D2306" t="s">
        <v>16239</v>
      </c>
      <c r="E2306" t="s">
        <v>18400</v>
      </c>
      <c r="F2306" t="s">
        <v>28198</v>
      </c>
      <c r="G2306" t="s">
        <v>28207</v>
      </c>
      <c r="H2306" t="s">
        <v>28215</v>
      </c>
      <c r="I2306" t="s">
        <v>28243</v>
      </c>
      <c r="J2306" t="s">
        <v>28430</v>
      </c>
      <c r="K2306" t="s">
        <v>36689</v>
      </c>
      <c r="M2306" t="s">
        <v>38015</v>
      </c>
      <c r="N2306" t="s">
        <v>40436</v>
      </c>
      <c r="O2306" t="s">
        <v>40437</v>
      </c>
      <c r="P2306">
        <v>0</v>
      </c>
      <c r="Q2306">
        <v>2</v>
      </c>
      <c r="R2306" t="s">
        <v>40438</v>
      </c>
      <c r="S2306" t="s">
        <v>40582</v>
      </c>
      <c r="T2306" t="s">
        <v>42119</v>
      </c>
      <c r="U2306" t="s">
        <v>44622</v>
      </c>
      <c r="W2306" t="s">
        <v>38015</v>
      </c>
      <c r="X2306" t="s">
        <v>40439</v>
      </c>
    </row>
    <row r="2307" spans="1:24">
      <c r="A2307">
        <f>HYPERLINK("https://www.philgeps.gov.ph/GEPSNONPILOT/Tender/SplashBidNoticeAbstractUI.aspx?menuIndex=3&amp;refID=7049788&amp;Result=3","7049788")</f>
        <v>0</v>
      </c>
      <c r="B2307" t="s">
        <v>121</v>
      </c>
      <c r="C2307" t="s">
        <v>5302</v>
      </c>
      <c r="D2307" t="s">
        <v>16207</v>
      </c>
      <c r="E2307" t="s">
        <v>18401</v>
      </c>
      <c r="F2307" t="s">
        <v>28198</v>
      </c>
      <c r="G2307" t="s">
        <v>28205</v>
      </c>
      <c r="H2307" t="s">
        <v>28215</v>
      </c>
      <c r="I2307" t="s">
        <v>28228</v>
      </c>
      <c r="J2307" t="s">
        <v>29906</v>
      </c>
      <c r="K2307" t="s">
        <v>36706</v>
      </c>
      <c r="M2307" t="s">
        <v>37095</v>
      </c>
      <c r="N2307" t="s">
        <v>40436</v>
      </c>
      <c r="O2307" t="s">
        <v>40437</v>
      </c>
      <c r="P2307">
        <v>0</v>
      </c>
      <c r="Q2307">
        <v>1</v>
      </c>
      <c r="R2307" t="s">
        <v>40438</v>
      </c>
      <c r="S2307" t="s">
        <v>40582</v>
      </c>
      <c r="T2307" t="s">
        <v>42135</v>
      </c>
      <c r="U2307" t="s">
        <v>44623</v>
      </c>
      <c r="W2307" t="s">
        <v>37095</v>
      </c>
      <c r="X2307" t="s">
        <v>40439</v>
      </c>
    </row>
    <row r="2308" spans="1:24">
      <c r="A2308">
        <f>HYPERLINK("https://www.philgeps.gov.ph/GEPSNONPILOT/Tender/SplashBidNoticeAbstractUI.aspx?menuIndex=3&amp;refID=7049790&amp;Result=3","7049790")</f>
        <v>0</v>
      </c>
      <c r="B2308" t="s">
        <v>989</v>
      </c>
      <c r="C2308" t="s">
        <v>5303</v>
      </c>
      <c r="D2308" t="s">
        <v>16218</v>
      </c>
      <c r="E2308" t="s">
        <v>18402</v>
      </c>
      <c r="F2308" t="s">
        <v>28198</v>
      </c>
      <c r="G2308" t="s">
        <v>28205</v>
      </c>
      <c r="H2308" t="s">
        <v>28215</v>
      </c>
      <c r="I2308" t="s">
        <v>28234</v>
      </c>
      <c r="J2308" t="s">
        <v>29907</v>
      </c>
      <c r="K2308" t="s">
        <v>36701</v>
      </c>
      <c r="M2308" t="s">
        <v>38016</v>
      </c>
      <c r="N2308" t="s">
        <v>40436</v>
      </c>
      <c r="O2308" t="s">
        <v>40437</v>
      </c>
      <c r="P2308">
        <v>0</v>
      </c>
      <c r="Q2308">
        <v>7</v>
      </c>
      <c r="R2308" t="s">
        <v>40438</v>
      </c>
      <c r="S2308" t="s">
        <v>40582</v>
      </c>
      <c r="T2308" t="s">
        <v>42099</v>
      </c>
      <c r="U2308" t="s">
        <v>44624</v>
      </c>
      <c r="W2308" t="s">
        <v>38016</v>
      </c>
      <c r="X2308" t="s">
        <v>40439</v>
      </c>
    </row>
    <row r="2309" spans="1:24">
      <c r="A2309">
        <f>HYPERLINK("https://www.philgeps.gov.ph/GEPSNONPILOT/Tender/SplashBidNoticeAbstractUI.aspx?menuIndex=3&amp;refID=7049773&amp;Result=3","7049773")</f>
        <v>0</v>
      </c>
      <c r="B2309" t="s">
        <v>904</v>
      </c>
      <c r="C2309" t="s">
        <v>5304</v>
      </c>
      <c r="D2309" t="s">
        <v>16233</v>
      </c>
      <c r="E2309" t="s">
        <v>18403</v>
      </c>
      <c r="F2309" t="s">
        <v>28198</v>
      </c>
      <c r="G2309" t="s">
        <v>28207</v>
      </c>
      <c r="H2309" t="s">
        <v>28215</v>
      </c>
      <c r="I2309" t="s">
        <v>5100</v>
      </c>
      <c r="J2309" t="s">
        <v>29908</v>
      </c>
      <c r="K2309" t="s">
        <v>36706</v>
      </c>
      <c r="M2309" t="s">
        <v>38008</v>
      </c>
      <c r="N2309" t="s">
        <v>40436</v>
      </c>
      <c r="O2309" t="s">
        <v>40437</v>
      </c>
      <c r="P2309">
        <v>0</v>
      </c>
      <c r="Q2309">
        <v>0</v>
      </c>
      <c r="R2309" t="s">
        <v>40438</v>
      </c>
      <c r="S2309" t="s">
        <v>40582</v>
      </c>
      <c r="T2309" t="s">
        <v>42160</v>
      </c>
      <c r="U2309" t="s">
        <v>44625</v>
      </c>
      <c r="W2309" t="s">
        <v>38008</v>
      </c>
      <c r="X2309" t="s">
        <v>40439</v>
      </c>
    </row>
    <row r="2310" spans="1:24">
      <c r="A2310">
        <f>HYPERLINK("https://www.philgeps.gov.ph/GEPSNONPILOT/Tender/SplashBidNoticeAbstractUI.aspx?menuIndex=3&amp;refID=7049784&amp;Result=3","7049784")</f>
        <v>0</v>
      </c>
      <c r="B2310" t="s">
        <v>381</v>
      </c>
      <c r="C2310" t="s">
        <v>5305</v>
      </c>
      <c r="D2310" t="s">
        <v>16203</v>
      </c>
      <c r="E2310" t="s">
        <v>18404</v>
      </c>
      <c r="F2310" t="s">
        <v>28198</v>
      </c>
      <c r="G2310" t="s">
        <v>28207</v>
      </c>
      <c r="H2310" t="s">
        <v>28214</v>
      </c>
      <c r="I2310" t="s">
        <v>3797</v>
      </c>
      <c r="J2310" t="s">
        <v>29909</v>
      </c>
      <c r="K2310" t="s">
        <v>36687</v>
      </c>
      <c r="M2310" t="s">
        <v>37361</v>
      </c>
      <c r="N2310" t="s">
        <v>40436</v>
      </c>
      <c r="O2310" t="s">
        <v>40437</v>
      </c>
      <c r="P2310">
        <v>0</v>
      </c>
      <c r="Q2310">
        <v>0</v>
      </c>
      <c r="R2310" t="s">
        <v>40438</v>
      </c>
      <c r="S2310" t="s">
        <v>40582</v>
      </c>
      <c r="T2310" t="s">
        <v>42133</v>
      </c>
      <c r="U2310" t="s">
        <v>44626</v>
      </c>
      <c r="W2310" t="s">
        <v>37361</v>
      </c>
      <c r="X2310" t="s">
        <v>40439</v>
      </c>
    </row>
    <row r="2311" spans="1:24">
      <c r="A2311">
        <f>HYPERLINK("https://www.philgeps.gov.ph/GEPSNONPILOT/Tender/SplashBidNoticeAbstractUI.aspx?menuIndex=3&amp;refID=7049794&amp;Result=3","7049794")</f>
        <v>0</v>
      </c>
      <c r="B2311" t="s">
        <v>324</v>
      </c>
      <c r="C2311" t="s">
        <v>5306</v>
      </c>
      <c r="D2311" t="s">
        <v>16238</v>
      </c>
      <c r="E2311" t="s">
        <v>18405</v>
      </c>
      <c r="F2311" t="s">
        <v>28198</v>
      </c>
      <c r="G2311" t="s">
        <v>28207</v>
      </c>
      <c r="H2311" t="s">
        <v>28215</v>
      </c>
      <c r="I2311" t="s">
        <v>28234</v>
      </c>
      <c r="J2311" t="s">
        <v>29598</v>
      </c>
      <c r="K2311" t="s">
        <v>36701</v>
      </c>
      <c r="M2311" t="s">
        <v>37302</v>
      </c>
      <c r="N2311" t="s">
        <v>40436</v>
      </c>
      <c r="O2311" t="s">
        <v>40437</v>
      </c>
      <c r="P2311">
        <v>0</v>
      </c>
      <c r="Q2311">
        <v>0</v>
      </c>
      <c r="R2311" t="s">
        <v>40438</v>
      </c>
      <c r="S2311" t="s">
        <v>40582</v>
      </c>
      <c r="T2311" t="s">
        <v>42098</v>
      </c>
      <c r="U2311" t="s">
        <v>44627</v>
      </c>
      <c r="W2311" t="s">
        <v>37302</v>
      </c>
      <c r="X2311" t="s">
        <v>40439</v>
      </c>
    </row>
    <row r="2312" spans="1:24">
      <c r="A2312">
        <f>HYPERLINK("https://www.philgeps.gov.ph/GEPSNONPILOT/Tender/SplashBidNoticeAbstractUI.aspx?menuIndex=3&amp;refID=7049785&amp;Result=3","7049785")</f>
        <v>0</v>
      </c>
      <c r="B2312" t="s">
        <v>990</v>
      </c>
      <c r="C2312" t="s">
        <v>5307</v>
      </c>
      <c r="D2312" t="s">
        <v>16210</v>
      </c>
      <c r="E2312" t="s">
        <v>18406</v>
      </c>
      <c r="F2312" t="s">
        <v>28198</v>
      </c>
      <c r="G2312" t="s">
        <v>28205</v>
      </c>
      <c r="H2312" t="s">
        <v>28214</v>
      </c>
      <c r="I2312" t="s">
        <v>3797</v>
      </c>
      <c r="J2312" t="s">
        <v>29910</v>
      </c>
      <c r="K2312" t="s">
        <v>36717</v>
      </c>
      <c r="M2312" t="s">
        <v>38017</v>
      </c>
      <c r="N2312" t="s">
        <v>40436</v>
      </c>
      <c r="O2312" t="s">
        <v>40437</v>
      </c>
      <c r="P2312">
        <v>0</v>
      </c>
      <c r="Q2312">
        <v>3</v>
      </c>
      <c r="R2312" t="s">
        <v>40438</v>
      </c>
      <c r="S2312" t="s">
        <v>40582</v>
      </c>
      <c r="T2312" t="s">
        <v>42125</v>
      </c>
      <c r="U2312" t="s">
        <v>44628</v>
      </c>
      <c r="W2312" t="s">
        <v>38017</v>
      </c>
      <c r="X2312" t="s">
        <v>40439</v>
      </c>
    </row>
    <row r="2313" spans="1:24">
      <c r="A2313">
        <f>HYPERLINK("https://www.philgeps.gov.ph/GEPSNONPILOT/Tender/SplashBidNoticeAbstractUI.aspx?menuIndex=3&amp;refID=7049781&amp;Result=3","7049781")</f>
        <v>0</v>
      </c>
      <c r="B2313" t="s">
        <v>977</v>
      </c>
      <c r="C2313" t="s">
        <v>5308</v>
      </c>
      <c r="D2313" t="s">
        <v>16217</v>
      </c>
      <c r="E2313" t="s">
        <v>18407</v>
      </c>
      <c r="F2313" t="s">
        <v>28198</v>
      </c>
      <c r="G2313" t="s">
        <v>28205</v>
      </c>
      <c r="H2313" t="s">
        <v>28215</v>
      </c>
      <c r="I2313" t="s">
        <v>28250</v>
      </c>
      <c r="J2313" t="s">
        <v>29911</v>
      </c>
      <c r="K2313" t="s">
        <v>36707</v>
      </c>
      <c r="M2313" t="s">
        <v>38003</v>
      </c>
      <c r="N2313" t="s">
        <v>40436</v>
      </c>
      <c r="O2313" t="s">
        <v>40437</v>
      </c>
      <c r="P2313">
        <v>0</v>
      </c>
      <c r="Q2313">
        <v>1</v>
      </c>
      <c r="R2313" t="s">
        <v>40438</v>
      </c>
      <c r="S2313" t="s">
        <v>40582</v>
      </c>
      <c r="T2313" t="s">
        <v>42102</v>
      </c>
      <c r="U2313" t="s">
        <v>44629</v>
      </c>
      <c r="W2313" t="s">
        <v>55469</v>
      </c>
      <c r="X2313" t="s">
        <v>40439</v>
      </c>
    </row>
    <row r="2314" spans="1:24">
      <c r="A2314">
        <f>HYPERLINK("https://www.philgeps.gov.ph/GEPSNONPILOT/Tender/SplashBidNoticeAbstractUI.aspx?menuIndex=3&amp;refID=7049783&amp;Result=3","7049783")</f>
        <v>0</v>
      </c>
      <c r="B2314" t="s">
        <v>121</v>
      </c>
      <c r="C2314" t="s">
        <v>5309</v>
      </c>
      <c r="D2314" t="s">
        <v>16207</v>
      </c>
      <c r="E2314" t="s">
        <v>18408</v>
      </c>
      <c r="F2314" t="s">
        <v>28198</v>
      </c>
      <c r="G2314" t="s">
        <v>28205</v>
      </c>
      <c r="H2314" t="s">
        <v>28215</v>
      </c>
      <c r="I2314" t="s">
        <v>28247</v>
      </c>
      <c r="J2314" t="s">
        <v>29912</v>
      </c>
      <c r="K2314" t="s">
        <v>36706</v>
      </c>
      <c r="M2314" t="s">
        <v>37095</v>
      </c>
      <c r="N2314" t="s">
        <v>40436</v>
      </c>
      <c r="O2314" t="s">
        <v>40437</v>
      </c>
      <c r="P2314">
        <v>0</v>
      </c>
      <c r="Q2314">
        <v>9</v>
      </c>
      <c r="R2314" t="s">
        <v>40438</v>
      </c>
      <c r="S2314" t="s">
        <v>40582</v>
      </c>
      <c r="T2314" t="s">
        <v>42135</v>
      </c>
      <c r="U2314" t="s">
        <v>44630</v>
      </c>
      <c r="W2314" t="s">
        <v>37095</v>
      </c>
      <c r="X2314" t="s">
        <v>40439</v>
      </c>
    </row>
    <row r="2315" spans="1:24">
      <c r="A2315">
        <f>HYPERLINK("https://www.philgeps.gov.ph/GEPSNONPILOT/Tender/SplashBidNoticeAbstractUI.aspx?menuIndex=3&amp;refID=7049786&amp;Result=3","7049786")</f>
        <v>0</v>
      </c>
      <c r="B2315" t="s">
        <v>991</v>
      </c>
      <c r="C2315" t="s">
        <v>5310</v>
      </c>
      <c r="D2315" t="s">
        <v>16215</v>
      </c>
      <c r="E2315" t="s">
        <v>18409</v>
      </c>
      <c r="F2315" t="s">
        <v>28198</v>
      </c>
      <c r="G2315" t="s">
        <v>28205</v>
      </c>
      <c r="H2315" t="s">
        <v>28214</v>
      </c>
      <c r="I2315" t="s">
        <v>5100</v>
      </c>
      <c r="J2315" t="s">
        <v>29248</v>
      </c>
      <c r="K2315" t="s">
        <v>36701</v>
      </c>
      <c r="M2315" t="s">
        <v>38018</v>
      </c>
      <c r="N2315" t="s">
        <v>40436</v>
      </c>
      <c r="O2315" t="s">
        <v>40437</v>
      </c>
      <c r="P2315">
        <v>0</v>
      </c>
      <c r="Q2315">
        <v>0</v>
      </c>
      <c r="R2315" t="s">
        <v>40438</v>
      </c>
      <c r="S2315" t="s">
        <v>40582</v>
      </c>
      <c r="T2315" t="s">
        <v>42234</v>
      </c>
      <c r="U2315" t="s">
        <v>44631</v>
      </c>
      <c r="W2315" t="s">
        <v>38018</v>
      </c>
      <c r="X2315" t="s">
        <v>40439</v>
      </c>
    </row>
    <row r="2316" spans="1:24">
      <c r="A2316">
        <f>HYPERLINK("https://www.philgeps.gov.ph/GEPSNONPILOT/Tender/SplashBidNoticeAbstractUI.aspx?menuIndex=3&amp;refID=7049793&amp;Result=3","7049793")</f>
        <v>0</v>
      </c>
      <c r="B2316" t="s">
        <v>987</v>
      </c>
      <c r="C2316" t="s">
        <v>5311</v>
      </c>
      <c r="D2316" t="s">
        <v>16190</v>
      </c>
      <c r="E2316" t="s">
        <v>18410</v>
      </c>
      <c r="F2316" t="s">
        <v>28198</v>
      </c>
      <c r="G2316" t="s">
        <v>28207</v>
      </c>
      <c r="H2316" t="s">
        <v>28215</v>
      </c>
      <c r="I2316" t="s">
        <v>28256</v>
      </c>
      <c r="J2316" t="s">
        <v>29913</v>
      </c>
      <c r="K2316" t="s">
        <v>36688</v>
      </c>
      <c r="M2316" t="s">
        <v>38014</v>
      </c>
      <c r="N2316" t="s">
        <v>40436</v>
      </c>
      <c r="O2316" t="s">
        <v>40437</v>
      </c>
      <c r="P2316">
        <v>0</v>
      </c>
      <c r="Q2316">
        <v>4</v>
      </c>
      <c r="R2316" t="s">
        <v>40438</v>
      </c>
      <c r="S2316" t="s">
        <v>40582</v>
      </c>
      <c r="T2316" t="s">
        <v>42111</v>
      </c>
      <c r="U2316" t="s">
        <v>44632</v>
      </c>
      <c r="W2316" t="s">
        <v>38014</v>
      </c>
      <c r="X2316" t="s">
        <v>40439</v>
      </c>
    </row>
    <row r="2317" spans="1:24">
      <c r="A2317">
        <f>HYPERLINK("https://www.philgeps.gov.ph/GEPSNONPILOT/Tender/SplashBidNoticeAbstractUI.aspx?menuIndex=3&amp;refID=7049780&amp;Result=3","7049780")</f>
        <v>0</v>
      </c>
      <c r="B2317" t="s">
        <v>992</v>
      </c>
      <c r="C2317" t="s">
        <v>5312</v>
      </c>
      <c r="D2317" t="s">
        <v>16210</v>
      </c>
      <c r="E2317" t="s">
        <v>16519</v>
      </c>
      <c r="F2317" t="s">
        <v>28198</v>
      </c>
      <c r="G2317" t="s">
        <v>28205</v>
      </c>
      <c r="H2317" t="s">
        <v>28215</v>
      </c>
      <c r="I2317" t="s">
        <v>4200</v>
      </c>
      <c r="J2317" t="s">
        <v>29914</v>
      </c>
      <c r="K2317" t="s">
        <v>36693</v>
      </c>
      <c r="M2317" t="s">
        <v>38019</v>
      </c>
      <c r="N2317" t="s">
        <v>40436</v>
      </c>
      <c r="O2317" t="s">
        <v>40437</v>
      </c>
      <c r="P2317">
        <v>0</v>
      </c>
      <c r="Q2317">
        <v>2</v>
      </c>
      <c r="R2317" t="s">
        <v>40438</v>
      </c>
      <c r="S2317" t="s">
        <v>40582</v>
      </c>
      <c r="T2317" t="s">
        <v>42112</v>
      </c>
      <c r="U2317" t="s">
        <v>44633</v>
      </c>
      <c r="W2317" t="s">
        <v>38019</v>
      </c>
      <c r="X2317" t="s">
        <v>40439</v>
      </c>
    </row>
    <row r="2318" spans="1:24">
      <c r="A2318">
        <f>HYPERLINK("https://www.philgeps.gov.ph/GEPSNONPILOT/Tender/SplashBidNoticeAbstractUI.aspx?menuIndex=3&amp;refID=7049779&amp;Result=3","7049779")</f>
        <v>0</v>
      </c>
      <c r="B2318" t="s">
        <v>988</v>
      </c>
      <c r="C2318" t="s">
        <v>5313</v>
      </c>
      <c r="D2318" t="s">
        <v>16191</v>
      </c>
      <c r="E2318" t="s">
        <v>18411</v>
      </c>
      <c r="F2318" t="s">
        <v>28198</v>
      </c>
      <c r="G2318" t="s">
        <v>28206</v>
      </c>
      <c r="H2318" t="s">
        <v>28215</v>
      </c>
      <c r="I2318" t="s">
        <v>4200</v>
      </c>
      <c r="J2318" t="s">
        <v>29915</v>
      </c>
      <c r="K2318" t="s">
        <v>36689</v>
      </c>
      <c r="M2318" t="s">
        <v>38015</v>
      </c>
      <c r="N2318" t="s">
        <v>40436</v>
      </c>
      <c r="O2318" t="s">
        <v>40437</v>
      </c>
      <c r="P2318">
        <v>0</v>
      </c>
      <c r="Q2318">
        <v>0</v>
      </c>
      <c r="R2318" t="s">
        <v>40438</v>
      </c>
      <c r="S2318" t="s">
        <v>40582</v>
      </c>
      <c r="T2318" t="s">
        <v>42111</v>
      </c>
      <c r="U2318" t="s">
        <v>44634</v>
      </c>
      <c r="W2318" t="s">
        <v>38015</v>
      </c>
      <c r="X2318" t="s">
        <v>40439</v>
      </c>
    </row>
    <row r="2319" spans="1:24">
      <c r="A2319">
        <f>HYPERLINK("https://www.philgeps.gov.ph/GEPSNONPILOT/Tender/SplashBidNoticeAbstractUI.aspx?menuIndex=3&amp;refID=7049782&amp;Result=3","7049782")</f>
        <v>0</v>
      </c>
      <c r="B2319" t="s">
        <v>360</v>
      </c>
      <c r="C2319" t="s">
        <v>5314</v>
      </c>
      <c r="D2319" t="s">
        <v>16210</v>
      </c>
      <c r="E2319" t="s">
        <v>18412</v>
      </c>
      <c r="F2319" t="s">
        <v>28198</v>
      </c>
      <c r="G2319" t="s">
        <v>28205</v>
      </c>
      <c r="H2319" t="s">
        <v>28215</v>
      </c>
      <c r="I2319" t="s">
        <v>28234</v>
      </c>
      <c r="J2319" t="s">
        <v>29916</v>
      </c>
      <c r="K2319" t="s">
        <v>36689</v>
      </c>
      <c r="M2319" t="s">
        <v>38020</v>
      </c>
      <c r="N2319" t="s">
        <v>40436</v>
      </c>
      <c r="O2319" t="s">
        <v>40437</v>
      </c>
      <c r="P2319">
        <v>0</v>
      </c>
      <c r="Q2319">
        <v>5</v>
      </c>
      <c r="R2319" t="s">
        <v>40438</v>
      </c>
      <c r="S2319" t="s">
        <v>40582</v>
      </c>
      <c r="T2319" t="s">
        <v>42107</v>
      </c>
      <c r="U2319" t="s">
        <v>44635</v>
      </c>
      <c r="V2319" t="s">
        <v>54040</v>
      </c>
      <c r="W2319" t="s">
        <v>38020</v>
      </c>
      <c r="X2319" t="s">
        <v>40439</v>
      </c>
    </row>
    <row r="2320" spans="1:24">
      <c r="A2320">
        <f>HYPERLINK("https://www.philgeps.gov.ph/GEPSNONPILOT/Tender/SplashBidNoticeAbstractUI.aspx?menuIndex=3&amp;refID=7049760&amp;Result=3","7049760")</f>
        <v>0</v>
      </c>
      <c r="B2320" t="s">
        <v>904</v>
      </c>
      <c r="C2320" t="s">
        <v>5277</v>
      </c>
      <c r="D2320" t="s">
        <v>16233</v>
      </c>
      <c r="E2320" t="s">
        <v>18413</v>
      </c>
      <c r="F2320" t="s">
        <v>28198</v>
      </c>
      <c r="G2320" t="s">
        <v>28207</v>
      </c>
      <c r="H2320" t="s">
        <v>28215</v>
      </c>
      <c r="I2320" t="s">
        <v>28225</v>
      </c>
      <c r="J2320" t="s">
        <v>29597</v>
      </c>
      <c r="K2320" t="s">
        <v>36706</v>
      </c>
      <c r="M2320" t="s">
        <v>38008</v>
      </c>
      <c r="N2320" t="s">
        <v>40436</v>
      </c>
      <c r="O2320" t="s">
        <v>40437</v>
      </c>
      <c r="P2320">
        <v>0</v>
      </c>
      <c r="Q2320">
        <v>0</v>
      </c>
      <c r="R2320" t="s">
        <v>40438</v>
      </c>
      <c r="S2320" t="s">
        <v>40582</v>
      </c>
      <c r="T2320" t="s">
        <v>42111</v>
      </c>
      <c r="U2320" t="s">
        <v>44636</v>
      </c>
      <c r="W2320" t="s">
        <v>38008</v>
      </c>
      <c r="X2320" t="s">
        <v>40439</v>
      </c>
    </row>
    <row r="2321" spans="1:24">
      <c r="A2321">
        <f>HYPERLINK("https://www.philgeps.gov.ph/GEPSNONPILOT/Tender/SplashBidNoticeAbstractUI.aspx?menuIndex=3&amp;refID=7049795&amp;Result=3","7049795")</f>
        <v>0</v>
      </c>
      <c r="B2321" t="s">
        <v>987</v>
      </c>
      <c r="C2321" t="s">
        <v>5315</v>
      </c>
      <c r="D2321" t="s">
        <v>16190</v>
      </c>
      <c r="E2321" t="s">
        <v>18414</v>
      </c>
      <c r="F2321" t="s">
        <v>28198</v>
      </c>
      <c r="G2321" t="s">
        <v>28207</v>
      </c>
      <c r="H2321" t="s">
        <v>28215</v>
      </c>
      <c r="I2321" t="s">
        <v>5103</v>
      </c>
      <c r="J2321" t="s">
        <v>29917</v>
      </c>
      <c r="K2321" t="s">
        <v>36688</v>
      </c>
      <c r="M2321" t="s">
        <v>38014</v>
      </c>
      <c r="N2321" t="s">
        <v>40436</v>
      </c>
      <c r="O2321" t="s">
        <v>40437</v>
      </c>
      <c r="P2321">
        <v>0</v>
      </c>
      <c r="Q2321">
        <v>0</v>
      </c>
      <c r="R2321" t="s">
        <v>40438</v>
      </c>
      <c r="S2321" t="s">
        <v>40582</v>
      </c>
      <c r="T2321" t="s">
        <v>42111</v>
      </c>
      <c r="U2321" t="s">
        <v>44637</v>
      </c>
      <c r="W2321" t="s">
        <v>38014</v>
      </c>
      <c r="X2321" t="s">
        <v>40439</v>
      </c>
    </row>
    <row r="2322" spans="1:24">
      <c r="A2322">
        <f>HYPERLINK("https://www.philgeps.gov.ph/GEPSNONPILOT/Tender/SplashBidNoticeAbstractUI.aspx?menuIndex=3&amp;refID=7049778&amp;Result=3","7049778")</f>
        <v>0</v>
      </c>
      <c r="B2322" t="s">
        <v>993</v>
      </c>
      <c r="C2322" t="s">
        <v>3387</v>
      </c>
      <c r="D2322" t="s">
        <v>16215</v>
      </c>
      <c r="E2322" t="s">
        <v>16352</v>
      </c>
      <c r="F2322" t="s">
        <v>28198</v>
      </c>
      <c r="G2322" t="s">
        <v>28205</v>
      </c>
      <c r="H2322" t="s">
        <v>28214</v>
      </c>
      <c r="I2322" t="s">
        <v>3797</v>
      </c>
      <c r="J2322" t="s">
        <v>28559</v>
      </c>
      <c r="K2322" t="s">
        <v>36715</v>
      </c>
      <c r="M2322" t="s">
        <v>38021</v>
      </c>
      <c r="N2322" t="s">
        <v>40436</v>
      </c>
      <c r="O2322" t="s">
        <v>40437</v>
      </c>
      <c r="P2322">
        <v>0</v>
      </c>
      <c r="Q2322">
        <v>0</v>
      </c>
      <c r="R2322" t="s">
        <v>40438</v>
      </c>
      <c r="S2322" t="s">
        <v>40582</v>
      </c>
      <c r="T2322" t="s">
        <v>42097</v>
      </c>
      <c r="U2322" t="s">
        <v>44638</v>
      </c>
      <c r="W2322" t="s">
        <v>38021</v>
      </c>
      <c r="X2322" t="s">
        <v>40439</v>
      </c>
    </row>
    <row r="2323" spans="1:24">
      <c r="A2323">
        <f>HYPERLINK("https://www.philgeps.gov.ph/GEPSNONPILOT/Tender/SplashBidNoticeAbstractUI.aspx?menuIndex=3&amp;refID=7049804&amp;Result=3","7049804")</f>
        <v>0</v>
      </c>
      <c r="B2323" t="s">
        <v>987</v>
      </c>
      <c r="C2323" t="s">
        <v>5316</v>
      </c>
      <c r="D2323" t="s">
        <v>16190</v>
      </c>
      <c r="E2323" t="s">
        <v>18415</v>
      </c>
      <c r="F2323" t="s">
        <v>28198</v>
      </c>
      <c r="G2323" t="s">
        <v>28207</v>
      </c>
      <c r="H2323" t="s">
        <v>28215</v>
      </c>
      <c r="I2323" t="s">
        <v>5656</v>
      </c>
      <c r="J2323" t="s">
        <v>29918</v>
      </c>
      <c r="K2323" t="s">
        <v>36688</v>
      </c>
      <c r="M2323" t="s">
        <v>38014</v>
      </c>
      <c r="N2323" t="s">
        <v>40436</v>
      </c>
      <c r="O2323" t="s">
        <v>40437</v>
      </c>
      <c r="P2323">
        <v>0</v>
      </c>
      <c r="Q2323">
        <v>1</v>
      </c>
      <c r="R2323" t="s">
        <v>40438</v>
      </c>
      <c r="S2323" t="s">
        <v>40582</v>
      </c>
      <c r="T2323" t="s">
        <v>42111</v>
      </c>
      <c r="U2323" t="s">
        <v>44639</v>
      </c>
      <c r="W2323" t="s">
        <v>38014</v>
      </c>
      <c r="X2323" t="s">
        <v>40439</v>
      </c>
    </row>
    <row r="2324" spans="1:24">
      <c r="A2324">
        <f>HYPERLINK("https://www.philgeps.gov.ph/GEPSNONPILOT/Tender/SplashBidNoticeAbstractUI.aspx?menuIndex=3&amp;refID=7049801&amp;Result=3","7049801")</f>
        <v>0</v>
      </c>
      <c r="B2324" t="s">
        <v>994</v>
      </c>
      <c r="C2324" t="s">
        <v>5317</v>
      </c>
      <c r="D2324" t="s">
        <v>16210</v>
      </c>
      <c r="E2324" t="s">
        <v>18416</v>
      </c>
      <c r="F2324" t="s">
        <v>28198</v>
      </c>
      <c r="G2324" t="s">
        <v>28206</v>
      </c>
      <c r="H2324" t="s">
        <v>28215</v>
      </c>
      <c r="I2324" t="s">
        <v>28234</v>
      </c>
      <c r="J2324" t="s">
        <v>29919</v>
      </c>
      <c r="K2324" t="s">
        <v>36701</v>
      </c>
      <c r="M2324" t="s">
        <v>38022</v>
      </c>
      <c r="N2324" t="s">
        <v>40436</v>
      </c>
      <c r="O2324" t="s">
        <v>40437</v>
      </c>
      <c r="P2324">
        <v>0</v>
      </c>
      <c r="Q2324">
        <v>25</v>
      </c>
      <c r="R2324" t="s">
        <v>40438</v>
      </c>
      <c r="S2324" t="s">
        <v>40582</v>
      </c>
      <c r="T2324" t="s">
        <v>42190</v>
      </c>
      <c r="U2324" t="s">
        <v>44640</v>
      </c>
      <c r="W2324" t="s">
        <v>38022</v>
      </c>
      <c r="X2324" t="s">
        <v>40439</v>
      </c>
    </row>
    <row r="2325" spans="1:24">
      <c r="A2325">
        <f>HYPERLINK("https://www.philgeps.gov.ph/GEPSNONPILOT/Tender/SplashBidNoticeAbstractUI.aspx?menuIndex=3&amp;refID=7049805&amp;Result=3","7049805")</f>
        <v>0</v>
      </c>
      <c r="B2325" t="s">
        <v>995</v>
      </c>
      <c r="C2325" t="s">
        <v>5318</v>
      </c>
      <c r="D2325" t="s">
        <v>16198</v>
      </c>
      <c r="E2325" t="s">
        <v>18417</v>
      </c>
      <c r="F2325" t="s">
        <v>28198</v>
      </c>
      <c r="G2325" t="s">
        <v>28205</v>
      </c>
      <c r="H2325" t="s">
        <v>28215</v>
      </c>
      <c r="I2325" t="s">
        <v>28222</v>
      </c>
      <c r="J2325" t="s">
        <v>29920</v>
      </c>
      <c r="K2325" t="s">
        <v>36707</v>
      </c>
      <c r="M2325" t="s">
        <v>38023</v>
      </c>
      <c r="N2325" t="s">
        <v>40436</v>
      </c>
      <c r="O2325" t="s">
        <v>40437</v>
      </c>
      <c r="P2325">
        <v>0</v>
      </c>
      <c r="Q2325">
        <v>3</v>
      </c>
      <c r="R2325" t="s">
        <v>40438</v>
      </c>
      <c r="S2325" t="s">
        <v>40582</v>
      </c>
      <c r="T2325" t="s">
        <v>42234</v>
      </c>
      <c r="U2325" t="s">
        <v>44641</v>
      </c>
      <c r="W2325" t="s">
        <v>38023</v>
      </c>
      <c r="X2325" t="s">
        <v>40439</v>
      </c>
    </row>
    <row r="2326" spans="1:24">
      <c r="A2326">
        <f>HYPERLINK("https://www.philgeps.gov.ph/GEPSNONPILOT/Tender/SplashBidNoticeAbstractUI.aspx?menuIndex=3&amp;refID=7049797&amp;Result=3","7049797")</f>
        <v>0</v>
      </c>
      <c r="B2326" t="s">
        <v>959</v>
      </c>
      <c r="C2326" t="s">
        <v>5319</v>
      </c>
      <c r="D2326" t="s">
        <v>16238</v>
      </c>
      <c r="E2326" t="s">
        <v>18418</v>
      </c>
      <c r="F2326" t="s">
        <v>28198</v>
      </c>
      <c r="G2326" t="s">
        <v>28205</v>
      </c>
      <c r="H2326" t="s">
        <v>28215</v>
      </c>
      <c r="I2326" t="s">
        <v>6051</v>
      </c>
      <c r="J2326" t="s">
        <v>28959</v>
      </c>
      <c r="K2326" t="s">
        <v>36715</v>
      </c>
      <c r="M2326" t="s">
        <v>37985</v>
      </c>
      <c r="N2326" t="s">
        <v>40436</v>
      </c>
      <c r="O2326" t="s">
        <v>40437</v>
      </c>
      <c r="P2326">
        <v>0</v>
      </c>
      <c r="Q2326">
        <v>2</v>
      </c>
      <c r="R2326" t="s">
        <v>40438</v>
      </c>
      <c r="S2326" t="s">
        <v>40582</v>
      </c>
      <c r="T2326" t="s">
        <v>42313</v>
      </c>
      <c r="U2326" t="s">
        <v>44642</v>
      </c>
      <c r="W2326" t="s">
        <v>37985</v>
      </c>
      <c r="X2326" t="s">
        <v>40439</v>
      </c>
    </row>
    <row r="2327" spans="1:24">
      <c r="A2327">
        <f>HYPERLINK("https://www.philgeps.gov.ph/GEPSNONPILOT/Tender/SplashBidNoticeAbstractUI.aspx?menuIndex=3&amp;refID=7049803&amp;Result=3","7049803")</f>
        <v>0</v>
      </c>
      <c r="B2327" t="s">
        <v>121</v>
      </c>
      <c r="C2327" t="s">
        <v>5320</v>
      </c>
      <c r="D2327" t="s">
        <v>16207</v>
      </c>
      <c r="E2327" t="s">
        <v>18419</v>
      </c>
      <c r="F2327" t="s">
        <v>28198</v>
      </c>
      <c r="G2327" t="s">
        <v>28205</v>
      </c>
      <c r="H2327" t="s">
        <v>28215</v>
      </c>
      <c r="I2327" t="s">
        <v>8888</v>
      </c>
      <c r="J2327" t="s">
        <v>29921</v>
      </c>
      <c r="K2327" t="s">
        <v>36706</v>
      </c>
      <c r="M2327" t="s">
        <v>37095</v>
      </c>
      <c r="N2327" t="s">
        <v>40436</v>
      </c>
      <c r="O2327" t="s">
        <v>40437</v>
      </c>
      <c r="P2327">
        <v>0</v>
      </c>
      <c r="Q2327">
        <v>0</v>
      </c>
      <c r="R2327" t="s">
        <v>40438</v>
      </c>
      <c r="S2327" t="s">
        <v>40582</v>
      </c>
      <c r="T2327" t="s">
        <v>42135</v>
      </c>
      <c r="U2327" t="s">
        <v>44643</v>
      </c>
      <c r="W2327" t="s">
        <v>37095</v>
      </c>
      <c r="X2327" t="s">
        <v>40439</v>
      </c>
    </row>
    <row r="2328" spans="1:24">
      <c r="A2328">
        <f>HYPERLINK("https://www.philgeps.gov.ph/GEPSNONPILOT/Tender/SplashBidNoticeAbstractUI.aspx?menuIndex=3&amp;refID=7049796&amp;Result=3","7049796")</f>
        <v>0</v>
      </c>
      <c r="B2328" t="s">
        <v>988</v>
      </c>
      <c r="C2328" t="s">
        <v>5321</v>
      </c>
      <c r="D2328" t="s">
        <v>16193</v>
      </c>
      <c r="E2328" t="s">
        <v>18420</v>
      </c>
      <c r="F2328" t="s">
        <v>28198</v>
      </c>
      <c r="G2328" t="s">
        <v>28207</v>
      </c>
      <c r="H2328" t="s">
        <v>28215</v>
      </c>
      <c r="I2328" t="s">
        <v>28260</v>
      </c>
      <c r="J2328" t="s">
        <v>29922</v>
      </c>
      <c r="K2328" t="s">
        <v>36689</v>
      </c>
      <c r="M2328" t="s">
        <v>38015</v>
      </c>
      <c r="N2328" t="s">
        <v>40436</v>
      </c>
      <c r="O2328" t="s">
        <v>40437</v>
      </c>
      <c r="P2328">
        <v>0</v>
      </c>
      <c r="Q2328">
        <v>0</v>
      </c>
      <c r="R2328" t="s">
        <v>40438</v>
      </c>
      <c r="S2328" t="s">
        <v>40582</v>
      </c>
      <c r="T2328" t="s">
        <v>42312</v>
      </c>
      <c r="U2328" t="s">
        <v>44644</v>
      </c>
      <c r="W2328" t="s">
        <v>38015</v>
      </c>
      <c r="X2328" t="s">
        <v>40439</v>
      </c>
    </row>
    <row r="2329" spans="1:24">
      <c r="A2329">
        <f>HYPERLINK("https://www.philgeps.gov.ph/GEPSNONPILOT/Tender/SplashBidNoticeAbstractUI.aspx?menuIndex=3&amp;refID=7049798&amp;Result=3","7049798")</f>
        <v>0</v>
      </c>
      <c r="B2329" t="s">
        <v>361</v>
      </c>
      <c r="C2329" t="s">
        <v>5322</v>
      </c>
      <c r="D2329" t="s">
        <v>16236</v>
      </c>
      <c r="E2329" t="s">
        <v>18421</v>
      </c>
      <c r="F2329" t="s">
        <v>28198</v>
      </c>
      <c r="G2329" t="s">
        <v>28205</v>
      </c>
      <c r="H2329" t="s">
        <v>28215</v>
      </c>
      <c r="I2329" t="s">
        <v>28234</v>
      </c>
      <c r="J2329" t="s">
        <v>29923</v>
      </c>
      <c r="K2329" t="s">
        <v>36707</v>
      </c>
      <c r="M2329" t="s">
        <v>37340</v>
      </c>
      <c r="N2329" t="s">
        <v>40436</v>
      </c>
      <c r="O2329" t="s">
        <v>40437</v>
      </c>
      <c r="P2329">
        <v>0</v>
      </c>
      <c r="Q2329">
        <v>3</v>
      </c>
      <c r="R2329" t="s">
        <v>40438</v>
      </c>
      <c r="S2329" t="s">
        <v>40582</v>
      </c>
      <c r="T2329" t="s">
        <v>42255</v>
      </c>
      <c r="U2329" t="s">
        <v>44645</v>
      </c>
      <c r="V2329" t="s">
        <v>53826</v>
      </c>
      <c r="W2329" t="s">
        <v>37340</v>
      </c>
      <c r="X2329" t="s">
        <v>40439</v>
      </c>
    </row>
    <row r="2330" spans="1:24">
      <c r="A2330">
        <f>HYPERLINK("https://www.philgeps.gov.ph/GEPSNONPILOT/Tender/SplashBidNoticeAbstractUI.aspx?menuIndex=3&amp;refID=7049814&amp;Result=3","7049814")</f>
        <v>0</v>
      </c>
      <c r="B2330" t="s">
        <v>988</v>
      </c>
      <c r="C2330" t="s">
        <v>5323</v>
      </c>
      <c r="D2330" t="s">
        <v>16191</v>
      </c>
      <c r="E2330" t="s">
        <v>18422</v>
      </c>
      <c r="F2330" t="s">
        <v>28198</v>
      </c>
      <c r="G2330" t="s">
        <v>28207</v>
      </c>
      <c r="H2330" t="s">
        <v>28215</v>
      </c>
      <c r="I2330" t="s">
        <v>3422</v>
      </c>
      <c r="J2330" t="s">
        <v>28864</v>
      </c>
      <c r="K2330" t="s">
        <v>36689</v>
      </c>
      <c r="M2330" t="s">
        <v>38015</v>
      </c>
      <c r="N2330" t="s">
        <v>40436</v>
      </c>
      <c r="O2330" t="s">
        <v>40437</v>
      </c>
      <c r="P2330">
        <v>0</v>
      </c>
      <c r="Q2330">
        <v>1</v>
      </c>
      <c r="R2330" t="s">
        <v>40438</v>
      </c>
      <c r="S2330" t="s">
        <v>40582</v>
      </c>
      <c r="T2330" t="s">
        <v>42111</v>
      </c>
      <c r="U2330" t="s">
        <v>44621</v>
      </c>
      <c r="V2330" t="s">
        <v>54039</v>
      </c>
      <c r="W2330" t="s">
        <v>38015</v>
      </c>
      <c r="X2330" t="s">
        <v>40439</v>
      </c>
    </row>
    <row r="2331" spans="1:24">
      <c r="A2331">
        <f>HYPERLINK("https://www.philgeps.gov.ph/GEPSNONPILOT/Tender/SplashBidNoticeAbstractUI.aspx?menuIndex=3&amp;refID=7049815&amp;Result=3","7049815")</f>
        <v>0</v>
      </c>
      <c r="B2331" t="s">
        <v>121</v>
      </c>
      <c r="C2331" t="s">
        <v>5324</v>
      </c>
      <c r="D2331" t="s">
        <v>16207</v>
      </c>
      <c r="E2331" t="s">
        <v>18423</v>
      </c>
      <c r="F2331" t="s">
        <v>28198</v>
      </c>
      <c r="G2331" t="s">
        <v>28205</v>
      </c>
      <c r="H2331" t="s">
        <v>28215</v>
      </c>
      <c r="I2331" t="s">
        <v>28259</v>
      </c>
      <c r="J2331" t="s">
        <v>29924</v>
      </c>
      <c r="K2331" t="s">
        <v>36706</v>
      </c>
      <c r="M2331" t="s">
        <v>37095</v>
      </c>
      <c r="N2331" t="s">
        <v>40436</v>
      </c>
      <c r="O2331" t="s">
        <v>40437</v>
      </c>
      <c r="P2331">
        <v>0</v>
      </c>
      <c r="Q2331">
        <v>1</v>
      </c>
      <c r="R2331" t="s">
        <v>40438</v>
      </c>
      <c r="S2331" t="s">
        <v>40582</v>
      </c>
      <c r="T2331" t="s">
        <v>42135</v>
      </c>
      <c r="U2331" t="s">
        <v>44646</v>
      </c>
      <c r="W2331" t="s">
        <v>37095</v>
      </c>
      <c r="X2331" t="s">
        <v>40439</v>
      </c>
    </row>
    <row r="2332" spans="1:24">
      <c r="A2332">
        <f>HYPERLINK("https://www.philgeps.gov.ph/GEPSNONPILOT/Tender/SplashBidNoticeAbstractUI.aspx?menuIndex=3&amp;refID=7049799&amp;Result=3","7049799")</f>
        <v>0</v>
      </c>
      <c r="B2332" t="s">
        <v>121</v>
      </c>
      <c r="C2332" t="s">
        <v>5325</v>
      </c>
      <c r="D2332" t="s">
        <v>16207</v>
      </c>
      <c r="E2332" t="s">
        <v>18424</v>
      </c>
      <c r="F2332" t="s">
        <v>28198</v>
      </c>
      <c r="G2332" t="s">
        <v>28205</v>
      </c>
      <c r="H2332" t="s">
        <v>28215</v>
      </c>
      <c r="I2332" t="s">
        <v>28256</v>
      </c>
      <c r="J2332" t="s">
        <v>29925</v>
      </c>
      <c r="K2332" t="s">
        <v>36701</v>
      </c>
      <c r="M2332" t="s">
        <v>37095</v>
      </c>
      <c r="N2332" t="s">
        <v>40436</v>
      </c>
      <c r="O2332" t="s">
        <v>40437</v>
      </c>
      <c r="P2332">
        <v>0</v>
      </c>
      <c r="Q2332">
        <v>4</v>
      </c>
      <c r="R2332" t="s">
        <v>40438</v>
      </c>
      <c r="S2332" t="s">
        <v>40582</v>
      </c>
      <c r="T2332" t="s">
        <v>42135</v>
      </c>
      <c r="U2332" t="s">
        <v>44647</v>
      </c>
      <c r="W2332" t="s">
        <v>37095</v>
      </c>
      <c r="X2332" t="s">
        <v>40439</v>
      </c>
    </row>
    <row r="2333" spans="1:24">
      <c r="A2333">
        <f>HYPERLINK("https://www.philgeps.gov.ph/GEPSNONPILOT/Tender/SplashBidNoticeAbstractUI.aspx?menuIndex=3&amp;refID=7049812&amp;Result=3","7049812")</f>
        <v>0</v>
      </c>
      <c r="B2333" t="s">
        <v>987</v>
      </c>
      <c r="C2333" t="s">
        <v>5326</v>
      </c>
      <c r="D2333" t="s">
        <v>16190</v>
      </c>
      <c r="E2333" t="s">
        <v>18425</v>
      </c>
      <c r="F2333" t="s">
        <v>28198</v>
      </c>
      <c r="G2333" t="s">
        <v>28207</v>
      </c>
      <c r="H2333" t="s">
        <v>28215</v>
      </c>
      <c r="I2333" t="s">
        <v>28253</v>
      </c>
      <c r="J2333" t="s">
        <v>29926</v>
      </c>
      <c r="K2333" t="s">
        <v>36688</v>
      </c>
      <c r="M2333" t="s">
        <v>38014</v>
      </c>
      <c r="N2333" t="s">
        <v>40436</v>
      </c>
      <c r="O2333" t="s">
        <v>40437</v>
      </c>
      <c r="P2333">
        <v>0</v>
      </c>
      <c r="Q2333">
        <v>1</v>
      </c>
      <c r="R2333" t="s">
        <v>40438</v>
      </c>
      <c r="S2333" t="s">
        <v>40582</v>
      </c>
      <c r="T2333" t="s">
        <v>42111</v>
      </c>
      <c r="U2333" t="s">
        <v>44648</v>
      </c>
      <c r="W2333" t="s">
        <v>38014</v>
      </c>
      <c r="X2333" t="s">
        <v>40439</v>
      </c>
    </row>
    <row r="2334" spans="1:24">
      <c r="A2334">
        <f>HYPERLINK("https://www.philgeps.gov.ph/GEPSNONPILOT/Tender/SplashBidNoticeAbstractUI.aspx?menuIndex=3&amp;refID=7049813&amp;Result=3","7049813")</f>
        <v>0</v>
      </c>
      <c r="B2334" t="s">
        <v>996</v>
      </c>
      <c r="C2334" t="s">
        <v>5327</v>
      </c>
      <c r="D2334" t="s">
        <v>16193</v>
      </c>
      <c r="E2334" t="s">
        <v>18426</v>
      </c>
      <c r="F2334" t="s">
        <v>28198</v>
      </c>
      <c r="G2334" t="s">
        <v>28206</v>
      </c>
      <c r="H2334" t="s">
        <v>28215</v>
      </c>
      <c r="I2334" t="s">
        <v>4168</v>
      </c>
      <c r="J2334" t="s">
        <v>28345</v>
      </c>
      <c r="K2334" t="s">
        <v>36696</v>
      </c>
      <c r="M2334" t="s">
        <v>38024</v>
      </c>
      <c r="N2334" t="s">
        <v>40436</v>
      </c>
      <c r="O2334" t="s">
        <v>40437</v>
      </c>
      <c r="P2334">
        <v>0</v>
      </c>
      <c r="Q2334">
        <v>2</v>
      </c>
      <c r="R2334" t="s">
        <v>40438</v>
      </c>
      <c r="S2334" t="s">
        <v>40582</v>
      </c>
      <c r="T2334" t="s">
        <v>42158</v>
      </c>
      <c r="U2334" t="s">
        <v>44100</v>
      </c>
      <c r="W2334" t="s">
        <v>38024</v>
      </c>
      <c r="X2334" t="s">
        <v>40439</v>
      </c>
    </row>
    <row r="2335" spans="1:24">
      <c r="A2335">
        <f>HYPERLINK("https://www.philgeps.gov.ph/GEPSNONPILOT/Tender/SplashBidNoticeAbstractUI.aspx?menuIndex=3&amp;refID=7049809&amp;Result=3","7049809")</f>
        <v>0</v>
      </c>
      <c r="B2335" t="s">
        <v>121</v>
      </c>
      <c r="C2335" t="s">
        <v>5328</v>
      </c>
      <c r="D2335" t="s">
        <v>16207</v>
      </c>
      <c r="E2335" t="s">
        <v>18427</v>
      </c>
      <c r="F2335" t="s">
        <v>28198</v>
      </c>
      <c r="G2335" t="s">
        <v>28205</v>
      </c>
      <c r="H2335" t="s">
        <v>28215</v>
      </c>
      <c r="I2335" t="s">
        <v>5082</v>
      </c>
      <c r="J2335" t="s">
        <v>29927</v>
      </c>
      <c r="K2335" t="s">
        <v>36706</v>
      </c>
      <c r="M2335" t="s">
        <v>37095</v>
      </c>
      <c r="N2335" t="s">
        <v>40436</v>
      </c>
      <c r="O2335" t="s">
        <v>40437</v>
      </c>
      <c r="P2335">
        <v>0</v>
      </c>
      <c r="Q2335">
        <v>2</v>
      </c>
      <c r="R2335" t="s">
        <v>40438</v>
      </c>
      <c r="S2335" t="s">
        <v>40582</v>
      </c>
      <c r="T2335" t="s">
        <v>42135</v>
      </c>
      <c r="U2335" t="s">
        <v>44649</v>
      </c>
      <c r="W2335" t="s">
        <v>37095</v>
      </c>
      <c r="X2335" t="s">
        <v>40439</v>
      </c>
    </row>
    <row r="2336" spans="1:24">
      <c r="A2336">
        <f>HYPERLINK("https://www.philgeps.gov.ph/GEPSNONPILOT/Tender/SplashBidNoticeAbstractUI.aspx?menuIndex=3&amp;refID=7049810&amp;Result=3","7049810")</f>
        <v>0</v>
      </c>
      <c r="B2336" t="s">
        <v>997</v>
      </c>
      <c r="C2336" t="s">
        <v>5329</v>
      </c>
      <c r="D2336" t="s">
        <v>16240</v>
      </c>
      <c r="E2336" t="s">
        <v>18428</v>
      </c>
      <c r="F2336" t="s">
        <v>28198</v>
      </c>
      <c r="G2336" t="s">
        <v>28207</v>
      </c>
      <c r="H2336" t="s">
        <v>28215</v>
      </c>
      <c r="I2336" t="s">
        <v>28231</v>
      </c>
      <c r="J2336" t="s">
        <v>29156</v>
      </c>
      <c r="K2336" t="s">
        <v>36705</v>
      </c>
      <c r="M2336" t="s">
        <v>38025</v>
      </c>
      <c r="N2336" t="s">
        <v>40436</v>
      </c>
      <c r="O2336" t="s">
        <v>40437</v>
      </c>
      <c r="P2336">
        <v>0</v>
      </c>
      <c r="Q2336">
        <v>0</v>
      </c>
      <c r="R2336" t="s">
        <v>40438</v>
      </c>
      <c r="S2336" t="s">
        <v>40582</v>
      </c>
      <c r="T2336" t="s">
        <v>42133</v>
      </c>
      <c r="U2336" t="s">
        <v>44650</v>
      </c>
      <c r="V2336" t="s">
        <v>54041</v>
      </c>
      <c r="W2336" t="s">
        <v>38025</v>
      </c>
      <c r="X2336" t="s">
        <v>40439</v>
      </c>
    </row>
    <row r="2337" spans="1:24">
      <c r="A2337">
        <f>HYPERLINK("https://www.philgeps.gov.ph/GEPSNONPILOT/Tender/SplashBidNoticeAbstractUI.aspx?menuIndex=3&amp;refID=7049806&amp;Result=3","7049806")</f>
        <v>0</v>
      </c>
      <c r="B2337" t="s">
        <v>994</v>
      </c>
      <c r="C2337" t="s">
        <v>5330</v>
      </c>
      <c r="D2337" t="s">
        <v>16210</v>
      </c>
      <c r="E2337" t="s">
        <v>18429</v>
      </c>
      <c r="F2337" t="s">
        <v>28198</v>
      </c>
      <c r="G2337" t="s">
        <v>28207</v>
      </c>
      <c r="H2337" t="s">
        <v>28215</v>
      </c>
      <c r="I2337" t="s">
        <v>28274</v>
      </c>
      <c r="J2337" t="s">
        <v>28393</v>
      </c>
      <c r="K2337" t="s">
        <v>36701</v>
      </c>
      <c r="M2337" t="s">
        <v>38022</v>
      </c>
      <c r="N2337" t="s">
        <v>40436</v>
      </c>
      <c r="O2337" t="s">
        <v>40437</v>
      </c>
      <c r="P2337">
        <v>0</v>
      </c>
      <c r="Q2337">
        <v>1</v>
      </c>
      <c r="R2337" t="s">
        <v>40438</v>
      </c>
      <c r="S2337" t="s">
        <v>40582</v>
      </c>
      <c r="T2337" t="s">
        <v>42119</v>
      </c>
      <c r="U2337" t="s">
        <v>44651</v>
      </c>
      <c r="W2337" t="s">
        <v>38022</v>
      </c>
      <c r="X2337" t="s">
        <v>40439</v>
      </c>
    </row>
    <row r="2338" spans="1:24">
      <c r="A2338">
        <f>HYPERLINK("https://www.philgeps.gov.ph/GEPSNONPILOT/Tender/SplashBidNoticeAbstractUI.aspx?menuIndex=3&amp;refID=7049800&amp;Result=3","7049800")</f>
        <v>0</v>
      </c>
      <c r="B2338" t="s">
        <v>987</v>
      </c>
      <c r="C2338" t="s">
        <v>5331</v>
      </c>
      <c r="D2338" t="s">
        <v>16190</v>
      </c>
      <c r="E2338" t="s">
        <v>18430</v>
      </c>
      <c r="F2338" t="s">
        <v>28198</v>
      </c>
      <c r="G2338" t="s">
        <v>28207</v>
      </c>
      <c r="H2338" t="s">
        <v>28215</v>
      </c>
      <c r="I2338" t="s">
        <v>4219</v>
      </c>
      <c r="J2338" t="s">
        <v>29928</v>
      </c>
      <c r="K2338" t="s">
        <v>36688</v>
      </c>
      <c r="M2338" t="s">
        <v>38014</v>
      </c>
      <c r="N2338" t="s">
        <v>40436</v>
      </c>
      <c r="O2338" t="s">
        <v>40437</v>
      </c>
      <c r="P2338">
        <v>0</v>
      </c>
      <c r="Q2338">
        <v>1</v>
      </c>
      <c r="R2338" t="s">
        <v>40438</v>
      </c>
      <c r="S2338" t="s">
        <v>40582</v>
      </c>
      <c r="T2338" t="s">
        <v>42111</v>
      </c>
      <c r="U2338" t="s">
        <v>44652</v>
      </c>
      <c r="W2338" t="s">
        <v>38014</v>
      </c>
      <c r="X2338" t="s">
        <v>40439</v>
      </c>
    </row>
    <row r="2339" spans="1:24">
      <c r="A2339">
        <f>HYPERLINK("https://www.philgeps.gov.ph/GEPSNONPILOT/Tender/SplashBidNoticeAbstractUI.aspx?menuIndex=3&amp;refID=7049807&amp;Result=3","7049807")</f>
        <v>0</v>
      </c>
      <c r="B2339" t="s">
        <v>988</v>
      </c>
      <c r="C2339" t="s">
        <v>5332</v>
      </c>
      <c r="D2339" t="s">
        <v>16221</v>
      </c>
      <c r="E2339" t="s">
        <v>18431</v>
      </c>
      <c r="F2339" t="s">
        <v>28198</v>
      </c>
      <c r="G2339" t="s">
        <v>28207</v>
      </c>
      <c r="H2339" t="s">
        <v>28215</v>
      </c>
      <c r="I2339" t="s">
        <v>28285</v>
      </c>
      <c r="J2339" t="s">
        <v>28679</v>
      </c>
      <c r="K2339" t="s">
        <v>36689</v>
      </c>
      <c r="M2339" t="s">
        <v>38015</v>
      </c>
      <c r="N2339" t="s">
        <v>40436</v>
      </c>
      <c r="O2339" t="s">
        <v>40437</v>
      </c>
      <c r="P2339">
        <v>0</v>
      </c>
      <c r="Q2339">
        <v>0</v>
      </c>
      <c r="R2339" t="s">
        <v>40438</v>
      </c>
      <c r="S2339" t="s">
        <v>40582</v>
      </c>
      <c r="T2339" t="s">
        <v>42111</v>
      </c>
      <c r="U2339" t="s">
        <v>44653</v>
      </c>
      <c r="V2339" t="s">
        <v>54039</v>
      </c>
      <c r="W2339" t="s">
        <v>38015</v>
      </c>
      <c r="X2339" t="s">
        <v>40439</v>
      </c>
    </row>
    <row r="2340" spans="1:24">
      <c r="A2340">
        <f>HYPERLINK("https://www.philgeps.gov.ph/GEPSNONPILOT/Tender/SplashBidNoticeAbstractUI.aspx?menuIndex=3&amp;refID=7049802&amp;Result=3","7049802")</f>
        <v>0</v>
      </c>
      <c r="B2340" t="s">
        <v>998</v>
      </c>
      <c r="C2340" t="s">
        <v>5333</v>
      </c>
      <c r="D2340" t="s">
        <v>16209</v>
      </c>
      <c r="E2340" t="s">
        <v>16473</v>
      </c>
      <c r="F2340" t="s">
        <v>28198</v>
      </c>
      <c r="G2340" t="s">
        <v>28205</v>
      </c>
      <c r="H2340" t="s">
        <v>28215</v>
      </c>
      <c r="I2340" t="s">
        <v>4200</v>
      </c>
      <c r="J2340" t="s">
        <v>29929</v>
      </c>
      <c r="K2340" t="s">
        <v>36706</v>
      </c>
      <c r="L2340" t="s">
        <v>998</v>
      </c>
      <c r="M2340" t="s">
        <v>38026</v>
      </c>
      <c r="N2340" t="s">
        <v>40436</v>
      </c>
      <c r="O2340" t="s">
        <v>40437</v>
      </c>
      <c r="P2340">
        <v>0</v>
      </c>
      <c r="Q2340">
        <v>0</v>
      </c>
      <c r="R2340" t="s">
        <v>40438</v>
      </c>
      <c r="S2340" t="s">
        <v>40582</v>
      </c>
      <c r="T2340" t="s">
        <v>42308</v>
      </c>
      <c r="U2340" t="s">
        <v>44654</v>
      </c>
      <c r="V2340" t="s">
        <v>54042</v>
      </c>
      <c r="W2340" t="s">
        <v>38026</v>
      </c>
      <c r="X2340" t="s">
        <v>40439</v>
      </c>
    </row>
    <row r="2341" spans="1:24">
      <c r="A2341">
        <f>HYPERLINK("https://www.philgeps.gov.ph/GEPSNONPILOT/Tender/SplashBidNoticeAbstractUI.aspx?menuIndex=3&amp;refID=7049817&amp;Result=3","7049817")</f>
        <v>0</v>
      </c>
      <c r="B2341" t="s">
        <v>121</v>
      </c>
      <c r="C2341" t="s">
        <v>5334</v>
      </c>
      <c r="D2341" t="s">
        <v>16207</v>
      </c>
      <c r="E2341" t="s">
        <v>18432</v>
      </c>
      <c r="F2341" t="s">
        <v>28198</v>
      </c>
      <c r="G2341" t="s">
        <v>28205</v>
      </c>
      <c r="H2341" t="s">
        <v>28215</v>
      </c>
      <c r="I2341" t="s">
        <v>4200</v>
      </c>
      <c r="J2341" t="s">
        <v>29780</v>
      </c>
      <c r="K2341" t="s">
        <v>36706</v>
      </c>
      <c r="M2341" t="s">
        <v>37095</v>
      </c>
      <c r="N2341" t="s">
        <v>40436</v>
      </c>
      <c r="O2341" t="s">
        <v>40437</v>
      </c>
      <c r="P2341">
        <v>0</v>
      </c>
      <c r="Q2341">
        <v>1</v>
      </c>
      <c r="R2341" t="s">
        <v>40438</v>
      </c>
      <c r="S2341" t="s">
        <v>40582</v>
      </c>
      <c r="T2341" t="s">
        <v>42135</v>
      </c>
      <c r="U2341" t="s">
        <v>44655</v>
      </c>
      <c r="W2341" t="s">
        <v>37095</v>
      </c>
      <c r="X2341" t="s">
        <v>40439</v>
      </c>
    </row>
    <row r="2342" spans="1:24">
      <c r="A2342">
        <f>HYPERLINK("https://www.philgeps.gov.ph/GEPSNONPILOT/Tender/SplashBidNoticeAbstractUI.aspx?menuIndex=3&amp;refID=7049824&amp;Result=3","7049824")</f>
        <v>0</v>
      </c>
      <c r="B2342" t="s">
        <v>121</v>
      </c>
      <c r="C2342" t="s">
        <v>5335</v>
      </c>
      <c r="D2342" t="s">
        <v>16207</v>
      </c>
      <c r="E2342" t="s">
        <v>18433</v>
      </c>
      <c r="F2342" t="s">
        <v>28198</v>
      </c>
      <c r="G2342" t="s">
        <v>28205</v>
      </c>
      <c r="H2342" t="s">
        <v>28215</v>
      </c>
      <c r="I2342" t="s">
        <v>28225</v>
      </c>
      <c r="J2342" t="s">
        <v>29930</v>
      </c>
      <c r="K2342" t="s">
        <v>36706</v>
      </c>
      <c r="M2342" t="s">
        <v>37095</v>
      </c>
      <c r="N2342" t="s">
        <v>40436</v>
      </c>
      <c r="O2342" t="s">
        <v>40437</v>
      </c>
      <c r="P2342">
        <v>0</v>
      </c>
      <c r="Q2342">
        <v>0</v>
      </c>
      <c r="R2342" t="s">
        <v>40438</v>
      </c>
      <c r="S2342" t="s">
        <v>40582</v>
      </c>
      <c r="T2342" t="s">
        <v>42135</v>
      </c>
      <c r="U2342" t="s">
        <v>44656</v>
      </c>
      <c r="W2342" t="s">
        <v>37095</v>
      </c>
      <c r="X2342" t="s">
        <v>40439</v>
      </c>
    </row>
    <row r="2343" spans="1:24">
      <c r="A2343">
        <f>HYPERLINK("https://www.philgeps.gov.ph/GEPSNONPILOT/Tender/SplashBidNoticeAbstractUI.aspx?menuIndex=3&amp;refID=7049827&amp;Result=3","7049827")</f>
        <v>0</v>
      </c>
      <c r="B2343" t="s">
        <v>999</v>
      </c>
      <c r="C2343" t="s">
        <v>5336</v>
      </c>
      <c r="D2343" t="s">
        <v>16201</v>
      </c>
      <c r="E2343" t="s">
        <v>18434</v>
      </c>
      <c r="F2343" t="s">
        <v>28198</v>
      </c>
      <c r="G2343" t="s">
        <v>28205</v>
      </c>
      <c r="H2343" t="s">
        <v>28214</v>
      </c>
      <c r="I2343" t="s">
        <v>3797</v>
      </c>
      <c r="J2343" t="s">
        <v>29931</v>
      </c>
      <c r="K2343" t="s">
        <v>36780</v>
      </c>
      <c r="M2343" t="s">
        <v>38027</v>
      </c>
      <c r="N2343" t="s">
        <v>40436</v>
      </c>
      <c r="O2343" t="s">
        <v>40437</v>
      </c>
      <c r="P2343">
        <v>0</v>
      </c>
      <c r="Q2343">
        <v>0</v>
      </c>
      <c r="R2343" t="s">
        <v>40438</v>
      </c>
      <c r="S2343" t="s">
        <v>40582</v>
      </c>
      <c r="T2343" t="s">
        <v>42246</v>
      </c>
      <c r="U2343" t="s">
        <v>44657</v>
      </c>
      <c r="W2343" t="s">
        <v>38027</v>
      </c>
      <c r="X2343" t="s">
        <v>40439</v>
      </c>
    </row>
    <row r="2344" spans="1:24">
      <c r="A2344">
        <f>HYPERLINK("https://www.philgeps.gov.ph/GEPSNONPILOT/Tender/SplashBidNoticeAbstractUI.aspx?menuIndex=3&amp;refID=7049819&amp;Result=3","7049819")</f>
        <v>0</v>
      </c>
      <c r="B2344" t="s">
        <v>999</v>
      </c>
      <c r="C2344" t="s">
        <v>5337</v>
      </c>
      <c r="D2344" t="s">
        <v>16201</v>
      </c>
      <c r="E2344" t="s">
        <v>18435</v>
      </c>
      <c r="F2344" t="s">
        <v>28198</v>
      </c>
      <c r="G2344" t="s">
        <v>28205</v>
      </c>
      <c r="H2344" t="s">
        <v>28215</v>
      </c>
      <c r="I2344" t="s">
        <v>5791</v>
      </c>
      <c r="J2344" t="s">
        <v>29932</v>
      </c>
      <c r="K2344" t="s">
        <v>36709</v>
      </c>
      <c r="M2344" t="s">
        <v>38027</v>
      </c>
      <c r="N2344" t="s">
        <v>40436</v>
      </c>
      <c r="O2344" t="s">
        <v>40437</v>
      </c>
      <c r="P2344">
        <v>0</v>
      </c>
      <c r="Q2344">
        <v>0</v>
      </c>
      <c r="R2344" t="s">
        <v>40438</v>
      </c>
      <c r="S2344" t="s">
        <v>40582</v>
      </c>
      <c r="T2344" t="s">
        <v>42246</v>
      </c>
      <c r="U2344" t="s">
        <v>44658</v>
      </c>
      <c r="W2344" t="s">
        <v>38027</v>
      </c>
      <c r="X2344" t="s">
        <v>40439</v>
      </c>
    </row>
    <row r="2345" spans="1:24">
      <c r="A2345">
        <f>HYPERLINK("https://www.philgeps.gov.ph/GEPSNONPILOT/Tender/SplashBidNoticeAbstractUI.aspx?menuIndex=3&amp;refID=7049825&amp;Result=3","7049825")</f>
        <v>0</v>
      </c>
      <c r="B2345" t="s">
        <v>999</v>
      </c>
      <c r="C2345" t="s">
        <v>5338</v>
      </c>
      <c r="D2345" t="s">
        <v>16201</v>
      </c>
      <c r="E2345" t="s">
        <v>18436</v>
      </c>
      <c r="F2345" t="s">
        <v>28198</v>
      </c>
      <c r="G2345" t="s">
        <v>28205</v>
      </c>
      <c r="H2345" t="s">
        <v>28215</v>
      </c>
      <c r="I2345" t="s">
        <v>28228</v>
      </c>
      <c r="J2345" t="s">
        <v>29933</v>
      </c>
      <c r="K2345" t="s">
        <v>36715</v>
      </c>
      <c r="M2345" t="s">
        <v>38027</v>
      </c>
      <c r="N2345" t="s">
        <v>40436</v>
      </c>
      <c r="O2345" t="s">
        <v>40437</v>
      </c>
      <c r="P2345">
        <v>0</v>
      </c>
      <c r="Q2345">
        <v>0</v>
      </c>
      <c r="R2345" t="s">
        <v>40438</v>
      </c>
      <c r="S2345" t="s">
        <v>40582</v>
      </c>
      <c r="T2345" t="s">
        <v>42246</v>
      </c>
      <c r="U2345" t="s">
        <v>44659</v>
      </c>
      <c r="W2345" t="s">
        <v>38027</v>
      </c>
      <c r="X2345" t="s">
        <v>40439</v>
      </c>
    </row>
    <row r="2346" spans="1:24">
      <c r="A2346">
        <f>HYPERLINK("https://www.philgeps.gov.ph/GEPSNONPILOT/Tender/SplashBidNoticeAbstractUI.aspx?menuIndex=3&amp;refID=6991554-2&amp;Result=3","6991554-2")</f>
        <v>0</v>
      </c>
      <c r="B2346" t="s">
        <v>1000</v>
      </c>
      <c r="C2346" t="s">
        <v>5339</v>
      </c>
      <c r="D2346" t="s">
        <v>16216</v>
      </c>
      <c r="E2346" t="s">
        <v>18437</v>
      </c>
      <c r="F2346" t="s">
        <v>28198</v>
      </c>
      <c r="G2346" t="s">
        <v>28205</v>
      </c>
      <c r="H2346" t="s">
        <v>28216</v>
      </c>
      <c r="I2346" t="s">
        <v>28216</v>
      </c>
      <c r="J2346" t="s">
        <v>29934</v>
      </c>
      <c r="K2346" t="s">
        <v>36733</v>
      </c>
      <c r="M2346" t="s">
        <v>38028</v>
      </c>
      <c r="N2346" t="s">
        <v>40436</v>
      </c>
      <c r="O2346" t="s">
        <v>40437</v>
      </c>
      <c r="Q2346">
        <v>3</v>
      </c>
      <c r="R2346" t="s">
        <v>40439</v>
      </c>
      <c r="S2346" t="s">
        <v>40587</v>
      </c>
      <c r="T2346" t="s">
        <v>42248</v>
      </c>
      <c r="U2346" t="s">
        <v>44660</v>
      </c>
      <c r="W2346" t="s">
        <v>38028</v>
      </c>
      <c r="X2346" t="s">
        <v>40440</v>
      </c>
    </row>
    <row r="2347" spans="1:24">
      <c r="A2347">
        <f>HYPERLINK("https://www.philgeps.gov.ph/GEPSNONPILOT/Tender/SplashBidNoticeAbstractUI.aspx?menuIndex=3&amp;refID=7049821&amp;Result=3","7049821")</f>
        <v>0</v>
      </c>
      <c r="B2347" t="s">
        <v>999</v>
      </c>
      <c r="C2347" t="s">
        <v>5340</v>
      </c>
      <c r="D2347" t="s">
        <v>16201</v>
      </c>
      <c r="E2347" t="s">
        <v>18438</v>
      </c>
      <c r="F2347" t="s">
        <v>28198</v>
      </c>
      <c r="G2347" t="s">
        <v>28205</v>
      </c>
      <c r="H2347" t="s">
        <v>28215</v>
      </c>
      <c r="I2347" t="s">
        <v>4200</v>
      </c>
      <c r="J2347" t="s">
        <v>29935</v>
      </c>
      <c r="K2347" t="s">
        <v>36701</v>
      </c>
      <c r="M2347" t="s">
        <v>38027</v>
      </c>
      <c r="N2347" t="s">
        <v>40436</v>
      </c>
      <c r="O2347" t="s">
        <v>40437</v>
      </c>
      <c r="P2347">
        <v>0</v>
      </c>
      <c r="Q2347">
        <v>2</v>
      </c>
      <c r="R2347" t="s">
        <v>40438</v>
      </c>
      <c r="S2347" t="s">
        <v>40582</v>
      </c>
      <c r="T2347" t="s">
        <v>42246</v>
      </c>
      <c r="U2347" t="s">
        <v>44661</v>
      </c>
      <c r="W2347" t="s">
        <v>38027</v>
      </c>
      <c r="X2347" t="s">
        <v>40439</v>
      </c>
    </row>
    <row r="2348" spans="1:24">
      <c r="A2348">
        <f>HYPERLINK("https://www.philgeps.gov.ph/GEPSNONPILOT/Tender/SplashBidNoticeAbstractUI.aspx?menuIndex=3&amp;refID=7049822&amp;Result=3","7049822")</f>
        <v>0</v>
      </c>
      <c r="B2348" t="s">
        <v>987</v>
      </c>
      <c r="C2348" t="s">
        <v>5341</v>
      </c>
      <c r="D2348" t="s">
        <v>16190</v>
      </c>
      <c r="E2348" t="s">
        <v>18439</v>
      </c>
      <c r="F2348" t="s">
        <v>28198</v>
      </c>
      <c r="G2348" t="s">
        <v>28207</v>
      </c>
      <c r="H2348" t="s">
        <v>28215</v>
      </c>
      <c r="I2348" t="s">
        <v>28239</v>
      </c>
      <c r="J2348" t="s">
        <v>29936</v>
      </c>
      <c r="K2348" t="s">
        <v>36688</v>
      </c>
      <c r="M2348" t="s">
        <v>38014</v>
      </c>
      <c r="N2348" t="s">
        <v>40436</v>
      </c>
      <c r="O2348" t="s">
        <v>40437</v>
      </c>
      <c r="P2348">
        <v>0</v>
      </c>
      <c r="Q2348">
        <v>1</v>
      </c>
      <c r="R2348" t="s">
        <v>40438</v>
      </c>
      <c r="S2348" t="s">
        <v>40582</v>
      </c>
      <c r="T2348" t="s">
        <v>42111</v>
      </c>
      <c r="U2348" t="s">
        <v>44662</v>
      </c>
      <c r="W2348" t="s">
        <v>38014</v>
      </c>
      <c r="X2348" t="s">
        <v>40439</v>
      </c>
    </row>
    <row r="2349" spans="1:24">
      <c r="A2349">
        <f>HYPERLINK("https://www.philgeps.gov.ph/GEPSNONPILOT/Tender/SplashBidNoticeAbstractUI.aspx?menuIndex=3&amp;refID=6976569&amp;Result=3","6976569")</f>
        <v>0</v>
      </c>
      <c r="B2349" t="s">
        <v>1001</v>
      </c>
      <c r="C2349" t="s">
        <v>5342</v>
      </c>
      <c r="D2349" t="s">
        <v>16272</v>
      </c>
      <c r="E2349" t="s">
        <v>18440</v>
      </c>
      <c r="F2349" t="s">
        <v>28198</v>
      </c>
      <c r="G2349" t="s">
        <v>28207</v>
      </c>
      <c r="H2349" t="s">
        <v>28215</v>
      </c>
      <c r="I2349" t="s">
        <v>4168</v>
      </c>
      <c r="J2349" t="s">
        <v>28679</v>
      </c>
      <c r="K2349" t="s">
        <v>36696</v>
      </c>
      <c r="M2349" t="s">
        <v>38029</v>
      </c>
      <c r="N2349" t="s">
        <v>40436</v>
      </c>
      <c r="O2349" t="s">
        <v>40437</v>
      </c>
      <c r="P2349">
        <v>0</v>
      </c>
      <c r="Q2349">
        <v>1</v>
      </c>
      <c r="R2349" t="s">
        <v>40439</v>
      </c>
      <c r="S2349" t="s">
        <v>40588</v>
      </c>
      <c r="T2349" t="s">
        <v>42131</v>
      </c>
      <c r="U2349" t="s">
        <v>44663</v>
      </c>
      <c r="W2349" t="s">
        <v>38029</v>
      </c>
      <c r="X2349" t="s">
        <v>40481</v>
      </c>
    </row>
    <row r="2350" spans="1:24">
      <c r="A2350">
        <f>HYPERLINK("https://www.philgeps.gov.ph/GEPSNONPILOT/Tender/SplashBidNoticeAbstractUI.aspx?menuIndex=3&amp;refID=6931796&amp;Result=3","6931796")</f>
        <v>0</v>
      </c>
      <c r="B2350" t="s">
        <v>1002</v>
      </c>
      <c r="C2350" t="s">
        <v>5343</v>
      </c>
      <c r="D2350" t="s">
        <v>16210</v>
      </c>
      <c r="E2350" t="s">
        <v>18441</v>
      </c>
      <c r="F2350" t="s">
        <v>28198</v>
      </c>
      <c r="G2350" t="s">
        <v>28207</v>
      </c>
      <c r="H2350" t="s">
        <v>28215</v>
      </c>
      <c r="I2350" t="s">
        <v>28238</v>
      </c>
      <c r="J2350" t="s">
        <v>29937</v>
      </c>
      <c r="K2350" t="s">
        <v>36715</v>
      </c>
      <c r="M2350" t="s">
        <v>38030</v>
      </c>
      <c r="N2350" t="s">
        <v>40436</v>
      </c>
      <c r="O2350" t="s">
        <v>40437</v>
      </c>
      <c r="P2350">
        <v>0</v>
      </c>
      <c r="Q2350">
        <v>31</v>
      </c>
      <c r="R2350" t="s">
        <v>40439</v>
      </c>
      <c r="S2350" t="s">
        <v>40588</v>
      </c>
      <c r="T2350" t="s">
        <v>42152</v>
      </c>
      <c r="U2350" t="s">
        <v>44664</v>
      </c>
      <c r="V2350" t="s">
        <v>54043</v>
      </c>
      <c r="W2350" t="s">
        <v>38030</v>
      </c>
      <c r="X2350" t="s">
        <v>40514</v>
      </c>
    </row>
    <row r="2351" spans="1:24">
      <c r="A2351">
        <f>HYPERLINK("https://www.philgeps.gov.ph/GEPSNONPILOT/Tender/SplashBidNoticeAbstractUI.aspx?menuIndex=3&amp;refID=7049818&amp;Result=3","7049818")</f>
        <v>0</v>
      </c>
      <c r="B2351" t="s">
        <v>987</v>
      </c>
      <c r="C2351" t="s">
        <v>5344</v>
      </c>
      <c r="D2351" t="s">
        <v>16190</v>
      </c>
      <c r="E2351" t="s">
        <v>18442</v>
      </c>
      <c r="F2351" t="s">
        <v>28198</v>
      </c>
      <c r="G2351" t="s">
        <v>28207</v>
      </c>
      <c r="H2351" t="s">
        <v>28215</v>
      </c>
      <c r="I2351" t="s">
        <v>28230</v>
      </c>
      <c r="J2351" t="s">
        <v>29938</v>
      </c>
      <c r="K2351" t="s">
        <v>36688</v>
      </c>
      <c r="M2351" t="s">
        <v>38014</v>
      </c>
      <c r="N2351" t="s">
        <v>40436</v>
      </c>
      <c r="O2351" t="s">
        <v>40437</v>
      </c>
      <c r="P2351">
        <v>0</v>
      </c>
      <c r="Q2351">
        <v>0</v>
      </c>
      <c r="R2351" t="s">
        <v>40438</v>
      </c>
      <c r="S2351" t="s">
        <v>40582</v>
      </c>
      <c r="T2351" t="s">
        <v>42111</v>
      </c>
      <c r="U2351" t="s">
        <v>44665</v>
      </c>
      <c r="W2351" t="s">
        <v>38014</v>
      </c>
      <c r="X2351" t="s">
        <v>40439</v>
      </c>
    </row>
    <row r="2352" spans="1:24">
      <c r="A2352">
        <f>HYPERLINK("https://www.philgeps.gov.ph/GEPSNONPILOT/Tender/SplashBidNoticeAbstractUI.aspx?menuIndex=3&amp;refID=7011502&amp;Result=3","7011502")</f>
        <v>0</v>
      </c>
      <c r="B2352" t="s">
        <v>1003</v>
      </c>
      <c r="C2352" t="s">
        <v>5345</v>
      </c>
      <c r="D2352" t="s">
        <v>16247</v>
      </c>
      <c r="E2352" t="s">
        <v>16296</v>
      </c>
      <c r="F2352" t="s">
        <v>28200</v>
      </c>
      <c r="G2352" t="s">
        <v>28210</v>
      </c>
      <c r="H2352" t="s">
        <v>28215</v>
      </c>
      <c r="I2352" t="s">
        <v>5082</v>
      </c>
      <c r="J2352" t="s">
        <v>28708</v>
      </c>
      <c r="K2352" t="s">
        <v>36688</v>
      </c>
      <c r="M2352" t="s">
        <v>38031</v>
      </c>
      <c r="N2352" t="s">
        <v>40436</v>
      </c>
      <c r="O2352" t="s">
        <v>40437</v>
      </c>
      <c r="P2352">
        <v>0</v>
      </c>
      <c r="Q2352">
        <v>3</v>
      </c>
      <c r="R2352" t="s">
        <v>40439</v>
      </c>
      <c r="S2352" t="s">
        <v>40588</v>
      </c>
      <c r="T2352" t="s">
        <v>42152</v>
      </c>
      <c r="U2352" t="s">
        <v>44666</v>
      </c>
      <c r="W2352" t="s">
        <v>38031</v>
      </c>
      <c r="X2352" t="s">
        <v>40460</v>
      </c>
    </row>
    <row r="2353" spans="1:24">
      <c r="A2353">
        <f>HYPERLINK("https://www.philgeps.gov.ph/GEPSNONPILOT/Tender/SplashBidNoticeAbstractUI.aspx?menuIndex=3&amp;refID=6936918&amp;Result=3","6936918")</f>
        <v>0</v>
      </c>
      <c r="B2353" t="s">
        <v>1004</v>
      </c>
      <c r="C2353" t="s">
        <v>5346</v>
      </c>
      <c r="D2353" t="s">
        <v>16187</v>
      </c>
      <c r="E2353" t="s">
        <v>18443</v>
      </c>
      <c r="F2353" t="s">
        <v>28198</v>
      </c>
      <c r="G2353" t="s">
        <v>28205</v>
      </c>
      <c r="H2353" t="s">
        <v>28215</v>
      </c>
      <c r="I2353" t="s">
        <v>4200</v>
      </c>
      <c r="J2353" t="s">
        <v>29939</v>
      </c>
      <c r="K2353" t="s">
        <v>36706</v>
      </c>
      <c r="M2353" t="s">
        <v>38032</v>
      </c>
      <c r="N2353" t="s">
        <v>40436</v>
      </c>
      <c r="O2353" t="s">
        <v>40437</v>
      </c>
      <c r="P2353">
        <v>0</v>
      </c>
      <c r="Q2353">
        <v>1</v>
      </c>
      <c r="R2353" t="s">
        <v>40439</v>
      </c>
      <c r="S2353" t="s">
        <v>40588</v>
      </c>
      <c r="T2353" t="s">
        <v>42176</v>
      </c>
      <c r="U2353" t="s">
        <v>44667</v>
      </c>
      <c r="W2353" t="s">
        <v>38032</v>
      </c>
      <c r="X2353" t="s">
        <v>40511</v>
      </c>
    </row>
    <row r="2354" spans="1:24">
      <c r="A2354">
        <f>HYPERLINK("https://www.philgeps.gov.ph/GEPSNONPILOT/Tender/SplashBidNoticeAbstractUI.aspx?menuIndex=3&amp;refID=7049832&amp;Result=3","7049832")</f>
        <v>0</v>
      </c>
      <c r="B2354" t="s">
        <v>988</v>
      </c>
      <c r="C2354" t="s">
        <v>5347</v>
      </c>
      <c r="D2354" t="s">
        <v>16239</v>
      </c>
      <c r="E2354" t="s">
        <v>18444</v>
      </c>
      <c r="F2354" t="s">
        <v>28198</v>
      </c>
      <c r="G2354" t="s">
        <v>28207</v>
      </c>
      <c r="H2354" t="s">
        <v>28215</v>
      </c>
      <c r="I2354" t="s">
        <v>4200</v>
      </c>
      <c r="J2354" t="s">
        <v>29940</v>
      </c>
      <c r="K2354" t="s">
        <v>36689</v>
      </c>
      <c r="M2354" t="s">
        <v>38015</v>
      </c>
      <c r="N2354" t="s">
        <v>40436</v>
      </c>
      <c r="O2354" t="s">
        <v>40437</v>
      </c>
      <c r="P2354">
        <v>0</v>
      </c>
      <c r="Q2354">
        <v>1</v>
      </c>
      <c r="R2354" t="s">
        <v>40438</v>
      </c>
      <c r="S2354" t="s">
        <v>40582</v>
      </c>
      <c r="T2354" t="s">
        <v>42312</v>
      </c>
      <c r="U2354" t="s">
        <v>44668</v>
      </c>
      <c r="V2354" t="s">
        <v>54039</v>
      </c>
      <c r="W2354" t="s">
        <v>38015</v>
      </c>
      <c r="X2354" t="s">
        <v>40439</v>
      </c>
    </row>
    <row r="2355" spans="1:24">
      <c r="A2355">
        <f>HYPERLINK("https://www.philgeps.gov.ph/GEPSNONPILOT/Tender/SplashBidNoticeAbstractUI.aspx?menuIndex=3&amp;refID=7049808&amp;Result=3","7049808")</f>
        <v>0</v>
      </c>
      <c r="B2355" t="s">
        <v>381</v>
      </c>
      <c r="C2355" t="s">
        <v>5348</v>
      </c>
      <c r="D2355" t="s">
        <v>16203</v>
      </c>
      <c r="E2355" t="s">
        <v>18445</v>
      </c>
      <c r="F2355" t="s">
        <v>28198</v>
      </c>
      <c r="G2355" t="s">
        <v>28207</v>
      </c>
      <c r="H2355" t="s">
        <v>28214</v>
      </c>
      <c r="I2355" t="s">
        <v>3797</v>
      </c>
      <c r="J2355" t="s">
        <v>29941</v>
      </c>
      <c r="K2355" t="s">
        <v>36701</v>
      </c>
      <c r="M2355" t="s">
        <v>37361</v>
      </c>
      <c r="N2355" t="s">
        <v>40436</v>
      </c>
      <c r="O2355" t="s">
        <v>40437</v>
      </c>
      <c r="P2355">
        <v>0</v>
      </c>
      <c r="Q2355">
        <v>0</v>
      </c>
      <c r="R2355" t="s">
        <v>40438</v>
      </c>
      <c r="S2355" t="s">
        <v>40582</v>
      </c>
      <c r="T2355" t="s">
        <v>42133</v>
      </c>
      <c r="U2355" t="s">
        <v>44669</v>
      </c>
      <c r="W2355" t="s">
        <v>37361</v>
      </c>
      <c r="X2355" t="s">
        <v>40439</v>
      </c>
    </row>
    <row r="2356" spans="1:24">
      <c r="A2356">
        <f>HYPERLINK("https://www.philgeps.gov.ph/GEPSNONPILOT/Tender/SplashBidNoticeAbstractUI.aspx?menuIndex=3&amp;refID=7049829&amp;Result=3","7049829")</f>
        <v>0</v>
      </c>
      <c r="B2356" t="s">
        <v>1005</v>
      </c>
      <c r="C2356" t="s">
        <v>5349</v>
      </c>
      <c r="D2356" t="s">
        <v>16208</v>
      </c>
      <c r="E2356" t="s">
        <v>18446</v>
      </c>
      <c r="F2356" t="s">
        <v>28198</v>
      </c>
      <c r="G2356" t="s">
        <v>28207</v>
      </c>
      <c r="H2356" t="s">
        <v>28215</v>
      </c>
      <c r="I2356" t="s">
        <v>28225</v>
      </c>
      <c r="J2356" t="s">
        <v>28553</v>
      </c>
      <c r="K2356" t="s">
        <v>36691</v>
      </c>
      <c r="M2356" t="s">
        <v>38033</v>
      </c>
      <c r="N2356" t="s">
        <v>40436</v>
      </c>
      <c r="O2356" t="s">
        <v>40437</v>
      </c>
      <c r="P2356">
        <v>0</v>
      </c>
      <c r="Q2356">
        <v>5</v>
      </c>
      <c r="R2356" t="s">
        <v>40438</v>
      </c>
      <c r="S2356" t="s">
        <v>40582</v>
      </c>
      <c r="T2356" t="s">
        <v>42111</v>
      </c>
      <c r="U2356" t="s">
        <v>44670</v>
      </c>
      <c r="W2356" t="s">
        <v>38033</v>
      </c>
      <c r="X2356" t="s">
        <v>40439</v>
      </c>
    </row>
    <row r="2357" spans="1:24">
      <c r="A2357">
        <f>HYPERLINK("https://www.philgeps.gov.ph/GEPSNONPILOT/Tender/SplashBidNoticeAbstractUI.aspx?menuIndex=3&amp;refID=7049831&amp;Result=3","7049831")</f>
        <v>0</v>
      </c>
      <c r="B2357" t="s">
        <v>1006</v>
      </c>
      <c r="C2357" t="s">
        <v>5350</v>
      </c>
      <c r="D2357" t="s">
        <v>16241</v>
      </c>
      <c r="E2357" t="s">
        <v>18447</v>
      </c>
      <c r="F2357" t="s">
        <v>28198</v>
      </c>
      <c r="G2357" t="s">
        <v>28205</v>
      </c>
      <c r="H2357" t="s">
        <v>28215</v>
      </c>
      <c r="I2357" t="s">
        <v>28236</v>
      </c>
      <c r="J2357" t="s">
        <v>29942</v>
      </c>
      <c r="K2357" t="s">
        <v>36694</v>
      </c>
      <c r="M2357" t="s">
        <v>38034</v>
      </c>
      <c r="N2357" t="s">
        <v>40436</v>
      </c>
      <c r="O2357" t="s">
        <v>40437</v>
      </c>
      <c r="P2357">
        <v>0</v>
      </c>
      <c r="Q2357">
        <v>1</v>
      </c>
      <c r="R2357" t="s">
        <v>40438</v>
      </c>
      <c r="S2357" t="s">
        <v>40582</v>
      </c>
      <c r="T2357" t="s">
        <v>42314</v>
      </c>
      <c r="U2357" t="s">
        <v>44671</v>
      </c>
      <c r="W2357" t="s">
        <v>38034</v>
      </c>
      <c r="X2357" t="s">
        <v>40439</v>
      </c>
    </row>
    <row r="2358" spans="1:24">
      <c r="A2358">
        <f>HYPERLINK("https://www.philgeps.gov.ph/GEPSNONPILOT/Tender/SplashBidNoticeAbstractUI.aspx?menuIndex=3&amp;refID=7049823&amp;Result=3","7049823")</f>
        <v>0</v>
      </c>
      <c r="B2358" t="s">
        <v>988</v>
      </c>
      <c r="C2358" t="s">
        <v>5351</v>
      </c>
      <c r="D2358" t="s">
        <v>16191</v>
      </c>
      <c r="E2358" t="s">
        <v>18448</v>
      </c>
      <c r="F2358" t="s">
        <v>28198</v>
      </c>
      <c r="G2358" t="s">
        <v>28207</v>
      </c>
      <c r="H2358" t="s">
        <v>28215</v>
      </c>
      <c r="I2358" t="s">
        <v>28224</v>
      </c>
      <c r="J2358" t="s">
        <v>29943</v>
      </c>
      <c r="K2358" t="s">
        <v>36689</v>
      </c>
      <c r="M2358" t="s">
        <v>38015</v>
      </c>
      <c r="N2358" t="s">
        <v>40436</v>
      </c>
      <c r="O2358" t="s">
        <v>40437</v>
      </c>
      <c r="P2358">
        <v>0</v>
      </c>
      <c r="Q2358">
        <v>1</v>
      </c>
      <c r="R2358" t="s">
        <v>40438</v>
      </c>
      <c r="S2358" t="s">
        <v>40582</v>
      </c>
      <c r="T2358" t="s">
        <v>42312</v>
      </c>
      <c r="U2358" t="s">
        <v>44672</v>
      </c>
      <c r="V2358" t="s">
        <v>54039</v>
      </c>
      <c r="W2358" t="s">
        <v>38015</v>
      </c>
      <c r="X2358" t="s">
        <v>40439</v>
      </c>
    </row>
    <row r="2359" spans="1:24">
      <c r="A2359">
        <f>HYPERLINK("https://www.philgeps.gov.ph/GEPSNONPILOT/Tender/SplashBidNoticeAbstractUI.aspx?menuIndex=3&amp;refID=7049828&amp;Result=3","7049828")</f>
        <v>0</v>
      </c>
      <c r="B2359" t="s">
        <v>1007</v>
      </c>
      <c r="C2359" t="s">
        <v>5352</v>
      </c>
      <c r="D2359" t="s">
        <v>16214</v>
      </c>
      <c r="E2359" t="s">
        <v>18449</v>
      </c>
      <c r="F2359" t="s">
        <v>28198</v>
      </c>
      <c r="G2359" t="s">
        <v>28207</v>
      </c>
      <c r="H2359" t="s">
        <v>28215</v>
      </c>
      <c r="I2359" t="s">
        <v>28224</v>
      </c>
      <c r="J2359" t="s">
        <v>29944</v>
      </c>
      <c r="K2359" t="s">
        <v>36698</v>
      </c>
      <c r="M2359" t="s">
        <v>38035</v>
      </c>
      <c r="N2359" t="s">
        <v>40436</v>
      </c>
      <c r="O2359" t="s">
        <v>40437</v>
      </c>
      <c r="P2359">
        <v>0</v>
      </c>
      <c r="Q2359">
        <v>1</v>
      </c>
      <c r="R2359" t="s">
        <v>40438</v>
      </c>
      <c r="S2359" t="s">
        <v>40582</v>
      </c>
      <c r="T2359" t="s">
        <v>42111</v>
      </c>
      <c r="U2359" t="s">
        <v>44673</v>
      </c>
      <c r="W2359" t="s">
        <v>38035</v>
      </c>
      <c r="X2359" t="s">
        <v>40439</v>
      </c>
    </row>
    <row r="2360" spans="1:24">
      <c r="A2360">
        <f>HYPERLINK("https://www.philgeps.gov.ph/GEPSNONPILOT/Tender/SplashBidNoticeAbstractUI.aspx?menuIndex=3&amp;refID=7049833&amp;Result=3","7049833")</f>
        <v>0</v>
      </c>
      <c r="B2360" t="s">
        <v>1007</v>
      </c>
      <c r="C2360" t="s">
        <v>5353</v>
      </c>
      <c r="D2360" t="s">
        <v>16214</v>
      </c>
      <c r="E2360" t="s">
        <v>18450</v>
      </c>
      <c r="F2360" t="s">
        <v>28198</v>
      </c>
      <c r="G2360" t="s">
        <v>28207</v>
      </c>
      <c r="H2360" t="s">
        <v>28215</v>
      </c>
      <c r="I2360" t="s">
        <v>4200</v>
      </c>
      <c r="J2360" t="s">
        <v>29945</v>
      </c>
      <c r="K2360" t="s">
        <v>36698</v>
      </c>
      <c r="M2360" t="s">
        <v>38035</v>
      </c>
      <c r="N2360" t="s">
        <v>40436</v>
      </c>
      <c r="O2360" t="s">
        <v>40437</v>
      </c>
      <c r="P2360">
        <v>0</v>
      </c>
      <c r="Q2360">
        <v>2</v>
      </c>
      <c r="R2360" t="s">
        <v>40438</v>
      </c>
      <c r="S2360" t="s">
        <v>40582</v>
      </c>
      <c r="T2360" t="s">
        <v>42111</v>
      </c>
      <c r="U2360" t="s">
        <v>44674</v>
      </c>
      <c r="W2360" t="s">
        <v>38035</v>
      </c>
      <c r="X2360" t="s">
        <v>40439</v>
      </c>
    </row>
    <row r="2361" spans="1:24">
      <c r="A2361">
        <f>HYPERLINK("https://www.philgeps.gov.ph/GEPSNONPILOT/Tender/SplashBidNoticeAbstractUI.aspx?menuIndex=3&amp;refID=7019778&amp;Result=3","7019778")</f>
        <v>0</v>
      </c>
      <c r="B2361" t="s">
        <v>1008</v>
      </c>
      <c r="C2361" t="s">
        <v>5354</v>
      </c>
      <c r="D2361" t="s">
        <v>16235</v>
      </c>
      <c r="E2361" t="s">
        <v>18451</v>
      </c>
      <c r="F2361" t="s">
        <v>28198</v>
      </c>
      <c r="G2361" t="s">
        <v>28209</v>
      </c>
      <c r="H2361" t="s">
        <v>28214</v>
      </c>
      <c r="I2361" t="s">
        <v>3797</v>
      </c>
      <c r="J2361" t="s">
        <v>29946</v>
      </c>
      <c r="K2361" t="s">
        <v>36715</v>
      </c>
      <c r="M2361" t="s">
        <v>38036</v>
      </c>
      <c r="N2361" t="s">
        <v>40436</v>
      </c>
      <c r="O2361" t="s">
        <v>40437</v>
      </c>
      <c r="P2361">
        <v>0</v>
      </c>
      <c r="Q2361">
        <v>0</v>
      </c>
      <c r="R2361" t="s">
        <v>40439</v>
      </c>
      <c r="S2361" t="s">
        <v>40588</v>
      </c>
      <c r="T2361" t="s">
        <v>42163</v>
      </c>
      <c r="U2361" t="s">
        <v>44675</v>
      </c>
      <c r="W2361" t="s">
        <v>38036</v>
      </c>
      <c r="X2361" t="s">
        <v>40454</v>
      </c>
    </row>
    <row r="2362" spans="1:24">
      <c r="A2362">
        <f>HYPERLINK("https://www.philgeps.gov.ph/GEPSNONPILOT/Tender/SplashBidNoticeAbstractUI.aspx?menuIndex=3&amp;refID=7029553&amp;Result=3","7029553")</f>
        <v>0</v>
      </c>
      <c r="B2362" t="s">
        <v>768</v>
      </c>
      <c r="C2362" t="s">
        <v>5355</v>
      </c>
      <c r="D2362" t="s">
        <v>16196</v>
      </c>
      <c r="E2362" t="s">
        <v>18452</v>
      </c>
      <c r="F2362" t="s">
        <v>28198</v>
      </c>
      <c r="G2362" t="s">
        <v>28205</v>
      </c>
      <c r="H2362" t="s">
        <v>28214</v>
      </c>
      <c r="I2362" t="s">
        <v>3797</v>
      </c>
      <c r="J2362" t="s">
        <v>28350</v>
      </c>
      <c r="K2362" t="s">
        <v>36701</v>
      </c>
      <c r="M2362" t="s">
        <v>37771</v>
      </c>
      <c r="N2362" t="s">
        <v>40436</v>
      </c>
      <c r="O2362" t="s">
        <v>40437</v>
      </c>
      <c r="P2362">
        <v>0</v>
      </c>
      <c r="Q2362">
        <v>0</v>
      </c>
      <c r="R2362" t="s">
        <v>40439</v>
      </c>
      <c r="S2362" t="s">
        <v>40588</v>
      </c>
      <c r="T2362" t="s">
        <v>42130</v>
      </c>
      <c r="U2362" t="s">
        <v>44676</v>
      </c>
      <c r="W2362" t="s">
        <v>37771</v>
      </c>
      <c r="X2362" t="s">
        <v>40451</v>
      </c>
    </row>
    <row r="2363" spans="1:24">
      <c r="A2363">
        <f>HYPERLINK("https://www.philgeps.gov.ph/GEPSNONPILOT/Tender/SplashBidNoticeAbstractUI.aspx?menuIndex=3&amp;refID=7049834&amp;Result=3","7049834")</f>
        <v>0</v>
      </c>
      <c r="B2363" t="s">
        <v>988</v>
      </c>
      <c r="C2363" t="s">
        <v>5356</v>
      </c>
      <c r="D2363" t="s">
        <v>16191</v>
      </c>
      <c r="E2363" t="s">
        <v>18453</v>
      </c>
      <c r="F2363" t="s">
        <v>28198</v>
      </c>
      <c r="G2363" t="s">
        <v>28206</v>
      </c>
      <c r="H2363" t="s">
        <v>28215</v>
      </c>
      <c r="I2363" t="s">
        <v>4200</v>
      </c>
      <c r="J2363" t="s">
        <v>29947</v>
      </c>
      <c r="K2363" t="s">
        <v>36689</v>
      </c>
      <c r="M2363" t="s">
        <v>38015</v>
      </c>
      <c r="N2363" t="s">
        <v>40436</v>
      </c>
      <c r="O2363" t="s">
        <v>40437</v>
      </c>
      <c r="P2363">
        <v>0</v>
      </c>
      <c r="Q2363">
        <v>0</v>
      </c>
      <c r="R2363" t="s">
        <v>40438</v>
      </c>
      <c r="S2363" t="s">
        <v>40582</v>
      </c>
      <c r="T2363" t="s">
        <v>42312</v>
      </c>
      <c r="U2363" t="s">
        <v>44677</v>
      </c>
      <c r="W2363" t="s">
        <v>38015</v>
      </c>
      <c r="X2363" t="s">
        <v>40439</v>
      </c>
    </row>
    <row r="2364" spans="1:24">
      <c r="A2364">
        <f>HYPERLINK("https://www.philgeps.gov.ph/GEPSNONPILOT/Tender/SplashBidNoticeAbstractUI.aspx?menuIndex=3&amp;refID=7027208&amp;Result=3","7027208")</f>
        <v>0</v>
      </c>
      <c r="B2364" t="s">
        <v>339</v>
      </c>
      <c r="C2364" t="s">
        <v>5357</v>
      </c>
      <c r="D2364" t="s">
        <v>16246</v>
      </c>
      <c r="E2364" t="s">
        <v>18454</v>
      </c>
      <c r="F2364" t="s">
        <v>28198</v>
      </c>
      <c r="G2364" t="s">
        <v>28205</v>
      </c>
      <c r="H2364" t="s">
        <v>28215</v>
      </c>
      <c r="I2364" t="s">
        <v>28256</v>
      </c>
      <c r="J2364" t="s">
        <v>29948</v>
      </c>
      <c r="K2364" t="s">
        <v>36694</v>
      </c>
      <c r="M2364" t="s">
        <v>37317</v>
      </c>
      <c r="N2364" t="s">
        <v>40436</v>
      </c>
      <c r="O2364" t="s">
        <v>40437</v>
      </c>
      <c r="P2364">
        <v>0</v>
      </c>
      <c r="Q2364">
        <v>39</v>
      </c>
      <c r="R2364" t="s">
        <v>40439</v>
      </c>
      <c r="S2364" t="s">
        <v>40588</v>
      </c>
      <c r="T2364" t="s">
        <v>42248</v>
      </c>
      <c r="U2364" t="s">
        <v>44678</v>
      </c>
      <c r="V2364" t="s">
        <v>54044</v>
      </c>
      <c r="W2364" t="s">
        <v>37317</v>
      </c>
      <c r="X2364" t="s">
        <v>40451</v>
      </c>
    </row>
    <row r="2365" spans="1:24">
      <c r="A2365">
        <f>HYPERLINK("https://www.philgeps.gov.ph/GEPSNONPILOT/Tender/SplashBidNoticeAbstractUI.aspx?menuIndex=3&amp;refID=7029527&amp;Result=3","7029527")</f>
        <v>0</v>
      </c>
      <c r="B2365" t="s">
        <v>768</v>
      </c>
      <c r="C2365" t="s">
        <v>5358</v>
      </c>
      <c r="D2365" t="s">
        <v>16196</v>
      </c>
      <c r="E2365" t="s">
        <v>18455</v>
      </c>
      <c r="F2365" t="s">
        <v>28198</v>
      </c>
      <c r="G2365" t="s">
        <v>28205</v>
      </c>
      <c r="H2365" t="s">
        <v>28214</v>
      </c>
      <c r="I2365" t="s">
        <v>3797</v>
      </c>
      <c r="J2365" t="s">
        <v>28345</v>
      </c>
      <c r="K2365" t="s">
        <v>36701</v>
      </c>
      <c r="M2365" t="s">
        <v>37771</v>
      </c>
      <c r="N2365" t="s">
        <v>40436</v>
      </c>
      <c r="O2365" t="s">
        <v>40437</v>
      </c>
      <c r="P2365">
        <v>0</v>
      </c>
      <c r="Q2365">
        <v>0</v>
      </c>
      <c r="R2365" t="s">
        <v>40439</v>
      </c>
      <c r="S2365" t="s">
        <v>40588</v>
      </c>
      <c r="T2365" t="s">
        <v>42130</v>
      </c>
      <c r="U2365" t="s">
        <v>44679</v>
      </c>
      <c r="W2365" t="s">
        <v>37771</v>
      </c>
      <c r="X2365" t="s">
        <v>40451</v>
      </c>
    </row>
    <row r="2366" spans="1:24">
      <c r="A2366">
        <f>HYPERLINK("https://www.philgeps.gov.ph/GEPSNONPILOT/Tender/SplashBidNoticeAbstractUI.aspx?menuIndex=3&amp;refID=7032957&amp;Result=3","7032957")</f>
        <v>0</v>
      </c>
      <c r="B2366" t="s">
        <v>1009</v>
      </c>
      <c r="C2366" t="s">
        <v>5359</v>
      </c>
      <c r="E2366" t="s">
        <v>18456</v>
      </c>
      <c r="F2366" t="s">
        <v>28198</v>
      </c>
      <c r="G2366" t="s">
        <v>28207</v>
      </c>
      <c r="H2366" t="s">
        <v>28215</v>
      </c>
      <c r="I2366" t="s">
        <v>3774</v>
      </c>
      <c r="J2366" t="s">
        <v>29949</v>
      </c>
      <c r="K2366" t="s">
        <v>36687</v>
      </c>
      <c r="M2366" t="s">
        <v>38037</v>
      </c>
      <c r="N2366" t="s">
        <v>40436</v>
      </c>
      <c r="O2366" t="s">
        <v>40437</v>
      </c>
      <c r="P2366">
        <v>0</v>
      </c>
      <c r="Q2366">
        <v>0</v>
      </c>
      <c r="R2366" t="s">
        <v>40439</v>
      </c>
      <c r="S2366" t="s">
        <v>40588</v>
      </c>
      <c r="T2366" t="s">
        <v>42176</v>
      </c>
      <c r="U2366" t="s">
        <v>44680</v>
      </c>
      <c r="W2366" t="s">
        <v>38037</v>
      </c>
      <c r="X2366" t="s">
        <v>40447</v>
      </c>
    </row>
    <row r="2367" spans="1:24">
      <c r="A2367">
        <f>HYPERLINK("https://www.philgeps.gov.ph/GEPSNONPILOT/Tender/SplashBidNoticeAbstractUI.aspx?menuIndex=3&amp;refID=7032692&amp;Result=3","7032692")</f>
        <v>0</v>
      </c>
      <c r="B2367" t="s">
        <v>1010</v>
      </c>
      <c r="C2367" t="s">
        <v>5360</v>
      </c>
      <c r="D2367" t="s">
        <v>16240</v>
      </c>
      <c r="E2367" t="s">
        <v>18457</v>
      </c>
      <c r="F2367" t="s">
        <v>28198</v>
      </c>
      <c r="G2367" t="s">
        <v>28205</v>
      </c>
      <c r="H2367" t="s">
        <v>28214</v>
      </c>
      <c r="I2367" t="s">
        <v>3797</v>
      </c>
      <c r="J2367" t="s">
        <v>29950</v>
      </c>
      <c r="K2367" t="s">
        <v>36701</v>
      </c>
      <c r="M2367" t="s">
        <v>38038</v>
      </c>
      <c r="N2367" t="s">
        <v>40436</v>
      </c>
      <c r="O2367" t="s">
        <v>40437</v>
      </c>
      <c r="P2367">
        <v>0</v>
      </c>
      <c r="Q2367">
        <v>0</v>
      </c>
      <c r="R2367" t="s">
        <v>40439</v>
      </c>
      <c r="S2367" t="s">
        <v>40588</v>
      </c>
      <c r="T2367" t="s">
        <v>42101</v>
      </c>
      <c r="U2367" t="s">
        <v>44681</v>
      </c>
      <c r="W2367" t="s">
        <v>38038</v>
      </c>
      <c r="X2367" t="s">
        <v>40448</v>
      </c>
    </row>
    <row r="2368" spans="1:24">
      <c r="A2368">
        <f>HYPERLINK("https://www.philgeps.gov.ph/GEPSNONPILOT/Tender/SplashBidNoticeAbstractUI.aspx?menuIndex=3&amp;refID=7029514&amp;Result=3","7029514")</f>
        <v>0</v>
      </c>
      <c r="B2368" t="s">
        <v>768</v>
      </c>
      <c r="C2368" t="s">
        <v>5361</v>
      </c>
      <c r="D2368" t="s">
        <v>16196</v>
      </c>
      <c r="E2368" t="s">
        <v>18458</v>
      </c>
      <c r="F2368" t="s">
        <v>28198</v>
      </c>
      <c r="G2368" t="s">
        <v>28205</v>
      </c>
      <c r="H2368" t="s">
        <v>28214</v>
      </c>
      <c r="I2368" t="s">
        <v>3797</v>
      </c>
      <c r="J2368" t="s">
        <v>29951</v>
      </c>
      <c r="K2368" t="s">
        <v>36701</v>
      </c>
      <c r="M2368" t="s">
        <v>37771</v>
      </c>
      <c r="N2368" t="s">
        <v>40436</v>
      </c>
      <c r="O2368" t="s">
        <v>40437</v>
      </c>
      <c r="P2368">
        <v>0</v>
      </c>
      <c r="Q2368">
        <v>0</v>
      </c>
      <c r="R2368" t="s">
        <v>40439</v>
      </c>
      <c r="S2368" t="s">
        <v>40588</v>
      </c>
      <c r="T2368" t="s">
        <v>42130</v>
      </c>
      <c r="U2368" t="s">
        <v>44682</v>
      </c>
      <c r="W2368" t="s">
        <v>37771</v>
      </c>
      <c r="X2368" t="s">
        <v>40451</v>
      </c>
    </row>
    <row r="2369" spans="1:24">
      <c r="A2369">
        <f>HYPERLINK("https://www.philgeps.gov.ph/GEPSNONPILOT/Tender/SplashBidNoticeAbstractUI.aspx?menuIndex=3&amp;refID=7029544&amp;Result=3","7029544")</f>
        <v>0</v>
      </c>
      <c r="B2369" t="s">
        <v>768</v>
      </c>
      <c r="C2369" t="s">
        <v>5362</v>
      </c>
      <c r="D2369" t="s">
        <v>16196</v>
      </c>
      <c r="E2369" t="s">
        <v>18459</v>
      </c>
      <c r="F2369" t="s">
        <v>28198</v>
      </c>
      <c r="G2369" t="s">
        <v>28205</v>
      </c>
      <c r="H2369" t="s">
        <v>28214</v>
      </c>
      <c r="I2369" t="s">
        <v>3797</v>
      </c>
      <c r="J2369" t="s">
        <v>28350</v>
      </c>
      <c r="K2369" t="s">
        <v>36701</v>
      </c>
      <c r="M2369" t="s">
        <v>37771</v>
      </c>
      <c r="N2369" t="s">
        <v>40436</v>
      </c>
      <c r="O2369" t="s">
        <v>40437</v>
      </c>
      <c r="P2369">
        <v>0</v>
      </c>
      <c r="Q2369">
        <v>0</v>
      </c>
      <c r="R2369" t="s">
        <v>40439</v>
      </c>
      <c r="S2369" t="s">
        <v>40588</v>
      </c>
      <c r="T2369" t="s">
        <v>42130</v>
      </c>
      <c r="U2369" t="s">
        <v>44683</v>
      </c>
      <c r="W2369" t="s">
        <v>37771</v>
      </c>
      <c r="X2369" t="s">
        <v>40451</v>
      </c>
    </row>
    <row r="2370" spans="1:24">
      <c r="A2370">
        <f>HYPERLINK("https://www.philgeps.gov.ph/GEPSNONPILOT/Tender/SplashBidNoticeAbstractUI.aspx?menuIndex=3&amp;refID=7032711&amp;Result=3","7032711")</f>
        <v>0</v>
      </c>
      <c r="B2370" t="s">
        <v>118</v>
      </c>
      <c r="C2370" t="s">
        <v>5363</v>
      </c>
      <c r="D2370" t="s">
        <v>16191</v>
      </c>
      <c r="E2370" t="s">
        <v>5363</v>
      </c>
      <c r="F2370" t="s">
        <v>28198</v>
      </c>
      <c r="G2370" t="s">
        <v>28206</v>
      </c>
      <c r="H2370" t="s">
        <v>28215</v>
      </c>
      <c r="I2370" t="s">
        <v>8888</v>
      </c>
      <c r="J2370" t="s">
        <v>29952</v>
      </c>
      <c r="K2370" t="s">
        <v>36701</v>
      </c>
      <c r="M2370" t="s">
        <v>37092</v>
      </c>
      <c r="N2370" t="s">
        <v>40436</v>
      </c>
      <c r="O2370" t="s">
        <v>40437</v>
      </c>
      <c r="P2370">
        <v>0</v>
      </c>
      <c r="Q2370">
        <v>2</v>
      </c>
      <c r="R2370" t="s">
        <v>40439</v>
      </c>
      <c r="S2370" t="s">
        <v>40588</v>
      </c>
      <c r="T2370" t="s">
        <v>42190</v>
      </c>
      <c r="U2370" t="s">
        <v>44684</v>
      </c>
      <c r="W2370" t="s">
        <v>37092</v>
      </c>
      <c r="X2370" t="s">
        <v>40448</v>
      </c>
    </row>
    <row r="2371" spans="1:24">
      <c r="A2371">
        <f>HYPERLINK("https://www.philgeps.gov.ph/GEPSNONPILOT/Tender/SplashBidNoticeAbstractUI.aspx?menuIndex=3&amp;refID=7031606&amp;Result=3","7031606")</f>
        <v>0</v>
      </c>
      <c r="B2371" t="s">
        <v>1011</v>
      </c>
      <c r="C2371" t="s">
        <v>5364</v>
      </c>
      <c r="D2371" t="s">
        <v>16226</v>
      </c>
      <c r="E2371" t="s">
        <v>17881</v>
      </c>
      <c r="F2371" t="s">
        <v>28198</v>
      </c>
      <c r="G2371" t="s">
        <v>28205</v>
      </c>
      <c r="H2371" t="s">
        <v>28217</v>
      </c>
      <c r="I2371" t="s">
        <v>28219</v>
      </c>
      <c r="J2371" t="s">
        <v>28347</v>
      </c>
      <c r="K2371" t="s">
        <v>36697</v>
      </c>
      <c r="M2371" t="s">
        <v>38039</v>
      </c>
      <c r="N2371" t="s">
        <v>40436</v>
      </c>
      <c r="O2371" t="s">
        <v>40437</v>
      </c>
      <c r="P2371">
        <v>0</v>
      </c>
      <c r="Q2371">
        <v>0</v>
      </c>
      <c r="R2371" t="s">
        <v>40439</v>
      </c>
      <c r="S2371" t="s">
        <v>40588</v>
      </c>
      <c r="T2371" t="s">
        <v>42246</v>
      </c>
      <c r="U2371" t="s">
        <v>44685</v>
      </c>
      <c r="V2371" t="s">
        <v>54045</v>
      </c>
      <c r="W2371" t="s">
        <v>38039</v>
      </c>
      <c r="X2371" t="s">
        <v>40450</v>
      </c>
    </row>
    <row r="2372" spans="1:24">
      <c r="A2372">
        <f>HYPERLINK("https://www.philgeps.gov.ph/GEPSNONPILOT/Tender/SplashBidNoticeAbstractUI.aspx?menuIndex=3&amp;refID=7031707&amp;Result=3","7031707")</f>
        <v>0</v>
      </c>
      <c r="B2372" t="s">
        <v>1012</v>
      </c>
      <c r="C2372" t="s">
        <v>5365</v>
      </c>
      <c r="D2372" t="s">
        <v>16252</v>
      </c>
      <c r="E2372" t="s">
        <v>16524</v>
      </c>
      <c r="F2372" t="s">
        <v>28198</v>
      </c>
      <c r="G2372" t="s">
        <v>28205</v>
      </c>
      <c r="H2372" t="s">
        <v>28217</v>
      </c>
      <c r="I2372" t="s">
        <v>28231</v>
      </c>
      <c r="J2372" t="s">
        <v>28413</v>
      </c>
      <c r="K2372" t="s">
        <v>36781</v>
      </c>
      <c r="M2372" t="s">
        <v>38040</v>
      </c>
      <c r="N2372" t="s">
        <v>40436</v>
      </c>
      <c r="O2372" t="s">
        <v>40437</v>
      </c>
      <c r="P2372">
        <v>0</v>
      </c>
      <c r="Q2372">
        <v>2</v>
      </c>
      <c r="R2372" t="s">
        <v>40439</v>
      </c>
      <c r="S2372" t="s">
        <v>40588</v>
      </c>
      <c r="T2372" t="s">
        <v>42247</v>
      </c>
      <c r="U2372" t="s">
        <v>44686</v>
      </c>
      <c r="W2372" t="s">
        <v>38040</v>
      </c>
      <c r="X2372" t="s">
        <v>40450</v>
      </c>
    </row>
    <row r="2373" spans="1:24">
      <c r="A2373">
        <f>HYPERLINK("https://www.philgeps.gov.ph/GEPSNONPILOT/Tender/SplashBidNoticeAbstractUI.aspx?menuIndex=3&amp;refID=7034263&amp;Result=3","7034263")</f>
        <v>0</v>
      </c>
      <c r="B2373" t="s">
        <v>269</v>
      </c>
      <c r="C2373" t="s">
        <v>5366</v>
      </c>
      <c r="D2373" t="s">
        <v>16202</v>
      </c>
      <c r="E2373" t="s">
        <v>18460</v>
      </c>
      <c r="F2373" t="s">
        <v>28198</v>
      </c>
      <c r="G2373" t="s">
        <v>28207</v>
      </c>
      <c r="H2373" t="s">
        <v>28215</v>
      </c>
      <c r="I2373" t="s">
        <v>3422</v>
      </c>
      <c r="J2373" t="s">
        <v>29953</v>
      </c>
      <c r="K2373" t="s">
        <v>36689</v>
      </c>
      <c r="M2373" t="s">
        <v>37246</v>
      </c>
      <c r="N2373" t="s">
        <v>40436</v>
      </c>
      <c r="O2373" t="s">
        <v>40437</v>
      </c>
      <c r="P2373">
        <v>0</v>
      </c>
      <c r="Q2373">
        <v>0</v>
      </c>
      <c r="R2373" t="s">
        <v>40439</v>
      </c>
      <c r="S2373" t="s">
        <v>40588</v>
      </c>
      <c r="T2373" t="s">
        <v>42131</v>
      </c>
      <c r="U2373" t="s">
        <v>44687</v>
      </c>
      <c r="W2373" t="s">
        <v>37246</v>
      </c>
      <c r="X2373" t="s">
        <v>40447</v>
      </c>
    </row>
    <row r="2374" spans="1:24">
      <c r="A2374">
        <f>HYPERLINK("https://www.philgeps.gov.ph/GEPSNONPILOT/Tender/SplashBidNoticeAbstractUI.aspx?menuIndex=3&amp;refID=7033060&amp;Result=3","7033060")</f>
        <v>0</v>
      </c>
      <c r="B2374" t="s">
        <v>1009</v>
      </c>
      <c r="C2374" t="s">
        <v>5367</v>
      </c>
      <c r="E2374" t="s">
        <v>18461</v>
      </c>
      <c r="F2374" t="s">
        <v>28198</v>
      </c>
      <c r="G2374" t="s">
        <v>28207</v>
      </c>
      <c r="H2374" t="s">
        <v>28215</v>
      </c>
      <c r="I2374" t="s">
        <v>3774</v>
      </c>
      <c r="J2374" t="s">
        <v>29954</v>
      </c>
      <c r="K2374" t="s">
        <v>36687</v>
      </c>
      <c r="M2374" t="s">
        <v>38037</v>
      </c>
      <c r="N2374" t="s">
        <v>40436</v>
      </c>
      <c r="O2374" t="s">
        <v>40437</v>
      </c>
      <c r="P2374">
        <v>0</v>
      </c>
      <c r="Q2374">
        <v>1</v>
      </c>
      <c r="R2374" t="s">
        <v>40439</v>
      </c>
      <c r="S2374" t="s">
        <v>40588</v>
      </c>
      <c r="T2374" t="s">
        <v>42176</v>
      </c>
      <c r="U2374" t="s">
        <v>44680</v>
      </c>
      <c r="W2374" t="s">
        <v>38037</v>
      </c>
      <c r="X2374" t="s">
        <v>40447</v>
      </c>
    </row>
    <row r="2375" spans="1:24">
      <c r="A2375">
        <f>HYPERLINK("https://www.philgeps.gov.ph/GEPSNONPILOT/Tender/SplashBidNoticeAbstractUI.aspx?menuIndex=3&amp;refID=7033048&amp;Result=3","7033048")</f>
        <v>0</v>
      </c>
      <c r="B2375" t="s">
        <v>1009</v>
      </c>
      <c r="C2375" t="s">
        <v>5368</v>
      </c>
      <c r="E2375" t="s">
        <v>18462</v>
      </c>
      <c r="F2375" t="s">
        <v>28198</v>
      </c>
      <c r="G2375" t="s">
        <v>28207</v>
      </c>
      <c r="H2375" t="s">
        <v>28215</v>
      </c>
      <c r="I2375" t="s">
        <v>5082</v>
      </c>
      <c r="J2375" t="s">
        <v>29955</v>
      </c>
      <c r="K2375" t="s">
        <v>36687</v>
      </c>
      <c r="M2375" t="s">
        <v>38037</v>
      </c>
      <c r="N2375" t="s">
        <v>40436</v>
      </c>
      <c r="O2375" t="s">
        <v>40437</v>
      </c>
      <c r="P2375">
        <v>0</v>
      </c>
      <c r="Q2375">
        <v>2</v>
      </c>
      <c r="R2375" t="s">
        <v>40439</v>
      </c>
      <c r="S2375" t="s">
        <v>40588</v>
      </c>
      <c r="T2375" t="s">
        <v>42176</v>
      </c>
      <c r="U2375" t="s">
        <v>44680</v>
      </c>
      <c r="W2375" t="s">
        <v>38037</v>
      </c>
      <c r="X2375" t="s">
        <v>40447</v>
      </c>
    </row>
    <row r="2376" spans="1:24">
      <c r="A2376">
        <f>HYPERLINK("https://www.philgeps.gov.ph/GEPSNONPILOT/Tender/SplashBidNoticeAbstractUI.aspx?menuIndex=3&amp;refID=7033000&amp;Result=3","7033000")</f>
        <v>0</v>
      </c>
      <c r="B2376" t="s">
        <v>269</v>
      </c>
      <c r="C2376" t="s">
        <v>5369</v>
      </c>
      <c r="E2376" t="s">
        <v>18463</v>
      </c>
      <c r="F2376" t="s">
        <v>28198</v>
      </c>
      <c r="G2376" t="s">
        <v>28207</v>
      </c>
      <c r="H2376" t="s">
        <v>28215</v>
      </c>
      <c r="I2376" t="s">
        <v>28224</v>
      </c>
      <c r="J2376" t="s">
        <v>29956</v>
      </c>
      <c r="K2376" t="s">
        <v>36689</v>
      </c>
      <c r="M2376" t="s">
        <v>37246</v>
      </c>
      <c r="N2376" t="s">
        <v>40436</v>
      </c>
      <c r="O2376" t="s">
        <v>40437</v>
      </c>
      <c r="P2376">
        <v>0</v>
      </c>
      <c r="Q2376">
        <v>1</v>
      </c>
      <c r="R2376" t="s">
        <v>40439</v>
      </c>
      <c r="S2376" t="s">
        <v>40588</v>
      </c>
      <c r="T2376" t="s">
        <v>42131</v>
      </c>
      <c r="U2376" t="s">
        <v>44688</v>
      </c>
      <c r="W2376" t="s">
        <v>37246</v>
      </c>
      <c r="X2376" t="s">
        <v>40447</v>
      </c>
    </row>
    <row r="2377" spans="1:24">
      <c r="A2377">
        <f>HYPERLINK("https://www.philgeps.gov.ph/GEPSNONPILOT/Tender/SplashBidNoticeAbstractUI.aspx?menuIndex=3&amp;refID=7033525&amp;Result=3","7033525")</f>
        <v>0</v>
      </c>
      <c r="B2377" t="s">
        <v>269</v>
      </c>
      <c r="C2377" t="s">
        <v>5370</v>
      </c>
      <c r="E2377" t="s">
        <v>18464</v>
      </c>
      <c r="F2377" t="s">
        <v>28198</v>
      </c>
      <c r="G2377" t="s">
        <v>28207</v>
      </c>
      <c r="H2377" t="s">
        <v>28215</v>
      </c>
      <c r="I2377" t="s">
        <v>5103</v>
      </c>
      <c r="J2377" t="s">
        <v>29957</v>
      </c>
      <c r="K2377" t="s">
        <v>36689</v>
      </c>
      <c r="M2377" t="s">
        <v>37246</v>
      </c>
      <c r="N2377" t="s">
        <v>40436</v>
      </c>
      <c r="O2377" t="s">
        <v>40437</v>
      </c>
      <c r="P2377">
        <v>0</v>
      </c>
      <c r="Q2377">
        <v>1</v>
      </c>
      <c r="R2377" t="s">
        <v>40439</v>
      </c>
      <c r="S2377" t="s">
        <v>40588</v>
      </c>
      <c r="T2377" t="s">
        <v>42131</v>
      </c>
      <c r="U2377" t="s">
        <v>44689</v>
      </c>
      <c r="W2377" t="s">
        <v>37246</v>
      </c>
      <c r="X2377" t="s">
        <v>40447</v>
      </c>
    </row>
    <row r="2378" spans="1:24">
      <c r="A2378">
        <f>HYPERLINK("https://www.philgeps.gov.ph/GEPSNONPILOT/Tender/SplashBidNoticeAbstractUI.aspx?menuIndex=3&amp;refID=7033075&amp;Result=3","7033075")</f>
        <v>0</v>
      </c>
      <c r="B2378" t="s">
        <v>1009</v>
      </c>
      <c r="C2378" t="s">
        <v>5371</v>
      </c>
      <c r="E2378" t="s">
        <v>18465</v>
      </c>
      <c r="F2378" t="s">
        <v>28198</v>
      </c>
      <c r="G2378" t="s">
        <v>28207</v>
      </c>
      <c r="H2378" t="s">
        <v>28215</v>
      </c>
      <c r="I2378" t="s">
        <v>3774</v>
      </c>
      <c r="J2378" t="s">
        <v>29958</v>
      </c>
      <c r="K2378" t="s">
        <v>36687</v>
      </c>
      <c r="M2378" t="s">
        <v>38037</v>
      </c>
      <c r="N2378" t="s">
        <v>40436</v>
      </c>
      <c r="O2378" t="s">
        <v>40437</v>
      </c>
      <c r="P2378">
        <v>0</v>
      </c>
      <c r="Q2378">
        <v>0</v>
      </c>
      <c r="R2378" t="s">
        <v>40439</v>
      </c>
      <c r="S2378" t="s">
        <v>40588</v>
      </c>
      <c r="T2378" t="s">
        <v>42176</v>
      </c>
      <c r="U2378" t="s">
        <v>44680</v>
      </c>
      <c r="W2378" t="s">
        <v>38037</v>
      </c>
      <c r="X2378" t="s">
        <v>40447</v>
      </c>
    </row>
    <row r="2379" spans="1:24">
      <c r="A2379">
        <f>HYPERLINK("https://www.philgeps.gov.ph/GEPSNONPILOT/Tender/SplashBidNoticeAbstractUI.aspx?menuIndex=3&amp;refID=7033286&amp;Result=3","7033286")</f>
        <v>0</v>
      </c>
      <c r="B2379" t="s">
        <v>1013</v>
      </c>
      <c r="C2379" t="s">
        <v>5372</v>
      </c>
      <c r="D2379" t="s">
        <v>16210</v>
      </c>
      <c r="E2379" t="s">
        <v>18071</v>
      </c>
      <c r="F2379" t="s">
        <v>28198</v>
      </c>
      <c r="G2379" t="s">
        <v>28207</v>
      </c>
      <c r="H2379" t="s">
        <v>28215</v>
      </c>
      <c r="I2379" t="s">
        <v>28228</v>
      </c>
      <c r="J2379" t="s">
        <v>28388</v>
      </c>
      <c r="K2379" t="s">
        <v>36689</v>
      </c>
      <c r="M2379" t="s">
        <v>38041</v>
      </c>
      <c r="N2379" t="s">
        <v>40436</v>
      </c>
      <c r="O2379" t="s">
        <v>40437</v>
      </c>
      <c r="P2379">
        <v>0</v>
      </c>
      <c r="Q2379">
        <v>0</v>
      </c>
      <c r="R2379" t="s">
        <v>40439</v>
      </c>
      <c r="S2379" t="s">
        <v>40588</v>
      </c>
      <c r="T2379" t="s">
        <v>42158</v>
      </c>
      <c r="U2379" t="s">
        <v>44690</v>
      </c>
      <c r="W2379" t="s">
        <v>38041</v>
      </c>
      <c r="X2379" t="s">
        <v>40447</v>
      </c>
    </row>
    <row r="2380" spans="1:24">
      <c r="A2380">
        <f>HYPERLINK("https://www.philgeps.gov.ph/GEPSNONPILOT/Tender/SplashBidNoticeAbstractUI.aspx?menuIndex=3&amp;refID=7033275&amp;Result=3","7033275")</f>
        <v>0</v>
      </c>
      <c r="B2380" t="s">
        <v>269</v>
      </c>
      <c r="C2380" t="s">
        <v>5373</v>
      </c>
      <c r="E2380" t="s">
        <v>18466</v>
      </c>
      <c r="F2380" t="s">
        <v>28198</v>
      </c>
      <c r="G2380" t="s">
        <v>28207</v>
      </c>
      <c r="H2380" t="s">
        <v>28215</v>
      </c>
      <c r="I2380" t="s">
        <v>5082</v>
      </c>
      <c r="J2380" t="s">
        <v>29959</v>
      </c>
      <c r="K2380" t="s">
        <v>36689</v>
      </c>
      <c r="M2380" t="s">
        <v>37246</v>
      </c>
      <c r="N2380" t="s">
        <v>40436</v>
      </c>
      <c r="O2380" t="s">
        <v>40437</v>
      </c>
      <c r="P2380">
        <v>0</v>
      </c>
      <c r="Q2380">
        <v>0</v>
      </c>
      <c r="R2380" t="s">
        <v>40439</v>
      </c>
      <c r="S2380" t="s">
        <v>40588</v>
      </c>
      <c r="T2380" t="s">
        <v>42131</v>
      </c>
      <c r="U2380" t="s">
        <v>44691</v>
      </c>
      <c r="W2380" t="s">
        <v>37246</v>
      </c>
      <c r="X2380" t="s">
        <v>40447</v>
      </c>
    </row>
    <row r="2381" spans="1:24">
      <c r="A2381">
        <f>HYPERLINK("https://www.philgeps.gov.ph/GEPSNONPILOT/Tender/SplashBidNoticeAbstractUI.aspx?menuIndex=3&amp;refID=7036451&amp;Result=3","7036451")</f>
        <v>0</v>
      </c>
      <c r="B2381" t="s">
        <v>1014</v>
      </c>
      <c r="C2381" t="s">
        <v>3536</v>
      </c>
      <c r="D2381" t="s">
        <v>16217</v>
      </c>
      <c r="E2381" t="s">
        <v>18467</v>
      </c>
      <c r="F2381" t="s">
        <v>28198</v>
      </c>
      <c r="G2381" t="s">
        <v>28205</v>
      </c>
      <c r="H2381" t="s">
        <v>28215</v>
      </c>
      <c r="I2381" t="s">
        <v>28238</v>
      </c>
      <c r="J2381" t="s">
        <v>29960</v>
      </c>
      <c r="K2381" t="s">
        <v>36701</v>
      </c>
      <c r="M2381" t="s">
        <v>38042</v>
      </c>
      <c r="N2381" t="s">
        <v>40436</v>
      </c>
      <c r="O2381" t="s">
        <v>40437</v>
      </c>
      <c r="P2381">
        <v>0</v>
      </c>
      <c r="Q2381">
        <v>2</v>
      </c>
      <c r="R2381" t="s">
        <v>40439</v>
      </c>
      <c r="S2381" t="s">
        <v>40588</v>
      </c>
      <c r="T2381" t="s">
        <v>42108</v>
      </c>
      <c r="U2381" t="s">
        <v>44692</v>
      </c>
      <c r="V2381" t="s">
        <v>54046</v>
      </c>
      <c r="W2381" t="s">
        <v>38042</v>
      </c>
      <c r="X2381" t="s">
        <v>40446</v>
      </c>
    </row>
    <row r="2382" spans="1:24">
      <c r="A2382">
        <f>HYPERLINK("https://www.philgeps.gov.ph/GEPSNONPILOT/Tender/SplashBidNoticeAbstractUI.aspx?menuIndex=3&amp;refID=7033782&amp;Result=3","7033782")</f>
        <v>0</v>
      </c>
      <c r="B2382" t="s">
        <v>1015</v>
      </c>
      <c r="C2382" t="s">
        <v>5374</v>
      </c>
      <c r="D2382" t="s">
        <v>16256</v>
      </c>
      <c r="E2382" t="s">
        <v>18468</v>
      </c>
      <c r="F2382" t="s">
        <v>28198</v>
      </c>
      <c r="G2382" t="s">
        <v>28210</v>
      </c>
      <c r="H2382" t="s">
        <v>28215</v>
      </c>
      <c r="I2382" t="s">
        <v>28238</v>
      </c>
      <c r="J2382" t="s">
        <v>29961</v>
      </c>
      <c r="K2382" t="s">
        <v>36706</v>
      </c>
      <c r="M2382" t="s">
        <v>38043</v>
      </c>
      <c r="N2382" t="s">
        <v>40436</v>
      </c>
      <c r="O2382" t="s">
        <v>40437</v>
      </c>
      <c r="P2382">
        <v>0</v>
      </c>
      <c r="Q2382">
        <v>0</v>
      </c>
      <c r="R2382" t="s">
        <v>40439</v>
      </c>
      <c r="S2382" t="s">
        <v>40588</v>
      </c>
      <c r="T2382" t="s">
        <v>42169</v>
      </c>
      <c r="U2382" t="s">
        <v>44693</v>
      </c>
      <c r="W2382" t="s">
        <v>38043</v>
      </c>
      <c r="X2382" t="s">
        <v>40447</v>
      </c>
    </row>
    <row r="2383" spans="1:24">
      <c r="A2383">
        <f>HYPERLINK("https://www.philgeps.gov.ph/GEPSNONPILOT/Tender/SplashBidNoticeAbstractUI.aspx?menuIndex=3&amp;refID=7038526&amp;Result=3","7038526")</f>
        <v>0</v>
      </c>
      <c r="B2383" t="s">
        <v>1016</v>
      </c>
      <c r="C2383" t="s">
        <v>5375</v>
      </c>
      <c r="D2383" t="s">
        <v>16195</v>
      </c>
      <c r="E2383" t="s">
        <v>17057</v>
      </c>
      <c r="F2383" t="s">
        <v>28198</v>
      </c>
      <c r="G2383" t="s">
        <v>28205</v>
      </c>
      <c r="H2383" t="s">
        <v>28214</v>
      </c>
      <c r="I2383" t="s">
        <v>3797</v>
      </c>
      <c r="J2383" t="s">
        <v>29409</v>
      </c>
      <c r="K2383" t="s">
        <v>36697</v>
      </c>
      <c r="M2383" t="s">
        <v>38044</v>
      </c>
      <c r="N2383" t="s">
        <v>40436</v>
      </c>
      <c r="O2383" t="s">
        <v>40437</v>
      </c>
      <c r="P2383">
        <v>0</v>
      </c>
      <c r="Q2383">
        <v>0</v>
      </c>
      <c r="R2383" t="s">
        <v>40439</v>
      </c>
      <c r="S2383" t="s">
        <v>40588</v>
      </c>
      <c r="T2383" t="s">
        <v>42118</v>
      </c>
      <c r="U2383" t="s">
        <v>44694</v>
      </c>
      <c r="V2383" t="s">
        <v>54047</v>
      </c>
      <c r="W2383" t="s">
        <v>38044</v>
      </c>
      <c r="X2383" t="s">
        <v>40445</v>
      </c>
    </row>
    <row r="2384" spans="1:24">
      <c r="A2384">
        <f>HYPERLINK("https://www.philgeps.gov.ph/GEPSNONPILOT/Tender/SplashBidNoticeAbstractUI.aspx?menuIndex=3&amp;refID=7035492&amp;Result=3","7035492")</f>
        <v>0</v>
      </c>
      <c r="B2384" t="s">
        <v>34</v>
      </c>
      <c r="C2384" t="s">
        <v>5376</v>
      </c>
      <c r="D2384" t="s">
        <v>16195</v>
      </c>
      <c r="E2384" t="s">
        <v>18469</v>
      </c>
      <c r="F2384" t="s">
        <v>28198</v>
      </c>
      <c r="G2384" t="s">
        <v>28207</v>
      </c>
      <c r="H2384" t="s">
        <v>28215</v>
      </c>
      <c r="I2384" t="s">
        <v>5082</v>
      </c>
      <c r="J2384" t="s">
        <v>29346</v>
      </c>
      <c r="K2384" t="s">
        <v>36696</v>
      </c>
      <c r="M2384" t="s">
        <v>37003</v>
      </c>
      <c r="N2384" t="s">
        <v>40436</v>
      </c>
      <c r="O2384" t="s">
        <v>40437</v>
      </c>
      <c r="P2384">
        <v>0</v>
      </c>
      <c r="Q2384">
        <v>0</v>
      </c>
      <c r="R2384" t="s">
        <v>40439</v>
      </c>
      <c r="S2384" t="s">
        <v>40588</v>
      </c>
      <c r="T2384" t="s">
        <v>42190</v>
      </c>
      <c r="U2384" t="s">
        <v>44695</v>
      </c>
      <c r="W2384" t="s">
        <v>37003</v>
      </c>
      <c r="X2384" t="s">
        <v>40446</v>
      </c>
    </row>
    <row r="2385" spans="1:24">
      <c r="A2385">
        <f>HYPERLINK("https://www.philgeps.gov.ph/GEPSNONPILOT/Tender/SplashBidNoticeAbstractUI.aspx?menuIndex=3&amp;refID=7037617&amp;Result=3","7037617")</f>
        <v>0</v>
      </c>
      <c r="B2385" t="s">
        <v>566</v>
      </c>
      <c r="C2385" t="s">
        <v>5377</v>
      </c>
      <c r="E2385" t="s">
        <v>18470</v>
      </c>
      <c r="F2385" t="s">
        <v>28198</v>
      </c>
      <c r="G2385" t="s">
        <v>28205</v>
      </c>
      <c r="H2385" t="s">
        <v>28215</v>
      </c>
      <c r="I2385" t="s">
        <v>28225</v>
      </c>
      <c r="J2385" t="s">
        <v>29433</v>
      </c>
      <c r="K2385" t="s">
        <v>36689</v>
      </c>
      <c r="M2385" t="s">
        <v>38045</v>
      </c>
      <c r="N2385" t="s">
        <v>40436</v>
      </c>
      <c r="O2385" t="s">
        <v>40437</v>
      </c>
      <c r="P2385">
        <v>0</v>
      </c>
      <c r="Q2385">
        <v>6</v>
      </c>
      <c r="R2385" t="s">
        <v>40439</v>
      </c>
      <c r="S2385" t="s">
        <v>40588</v>
      </c>
      <c r="T2385" t="s">
        <v>42125</v>
      </c>
      <c r="U2385" t="s">
        <v>44696</v>
      </c>
      <c r="W2385" t="s">
        <v>38045</v>
      </c>
      <c r="X2385" t="s">
        <v>40446</v>
      </c>
    </row>
    <row r="2386" spans="1:24">
      <c r="A2386">
        <f>HYPERLINK("https://www.philgeps.gov.ph/GEPSNONPILOT/Tender/SplashBidNoticeAbstractUI.aspx?menuIndex=3&amp;refID=7038451&amp;Result=3","7038451")</f>
        <v>0</v>
      </c>
      <c r="B2386" t="s">
        <v>1017</v>
      </c>
      <c r="C2386" t="s">
        <v>5378</v>
      </c>
      <c r="D2386" t="s">
        <v>16190</v>
      </c>
      <c r="E2386" t="s">
        <v>18471</v>
      </c>
      <c r="F2386" t="s">
        <v>28198</v>
      </c>
      <c r="G2386" t="s">
        <v>28207</v>
      </c>
      <c r="H2386" t="s">
        <v>28215</v>
      </c>
      <c r="I2386" t="s">
        <v>4321</v>
      </c>
      <c r="J2386" t="s">
        <v>29962</v>
      </c>
      <c r="K2386" t="s">
        <v>36689</v>
      </c>
      <c r="M2386" t="s">
        <v>38046</v>
      </c>
      <c r="N2386" t="s">
        <v>40436</v>
      </c>
      <c r="O2386" t="s">
        <v>40437</v>
      </c>
      <c r="P2386">
        <v>0</v>
      </c>
      <c r="Q2386">
        <v>1</v>
      </c>
      <c r="R2386" t="s">
        <v>40439</v>
      </c>
      <c r="S2386" t="s">
        <v>40588</v>
      </c>
      <c r="T2386" t="s">
        <v>42169</v>
      </c>
      <c r="U2386" t="s">
        <v>44697</v>
      </c>
      <c r="W2386" t="s">
        <v>38046</v>
      </c>
      <c r="X2386" t="s">
        <v>40445</v>
      </c>
    </row>
    <row r="2387" spans="1:24">
      <c r="A2387">
        <f>HYPERLINK("https://www.philgeps.gov.ph/GEPSNONPILOT/Tender/SplashBidNoticeAbstractUI.aspx?menuIndex=3&amp;refID=7037588&amp;Result=3","7037588")</f>
        <v>0</v>
      </c>
      <c r="B2387" t="s">
        <v>566</v>
      </c>
      <c r="C2387" t="s">
        <v>5379</v>
      </c>
      <c r="E2387" t="s">
        <v>18472</v>
      </c>
      <c r="F2387" t="s">
        <v>28198</v>
      </c>
      <c r="G2387" t="s">
        <v>28205</v>
      </c>
      <c r="H2387" t="s">
        <v>28215</v>
      </c>
      <c r="I2387" t="s">
        <v>28225</v>
      </c>
      <c r="J2387" t="s">
        <v>29963</v>
      </c>
      <c r="K2387" t="s">
        <v>36689</v>
      </c>
      <c r="M2387" t="s">
        <v>38045</v>
      </c>
      <c r="N2387" t="s">
        <v>40436</v>
      </c>
      <c r="O2387" t="s">
        <v>40437</v>
      </c>
      <c r="P2387">
        <v>0</v>
      </c>
      <c r="Q2387">
        <v>17</v>
      </c>
      <c r="R2387" t="s">
        <v>40439</v>
      </c>
      <c r="S2387" t="s">
        <v>40588</v>
      </c>
      <c r="T2387" t="s">
        <v>42125</v>
      </c>
      <c r="U2387" t="s">
        <v>44698</v>
      </c>
      <c r="W2387" t="s">
        <v>38045</v>
      </c>
      <c r="X2387" t="s">
        <v>40446</v>
      </c>
    </row>
    <row r="2388" spans="1:24">
      <c r="A2388">
        <f>HYPERLINK("https://www.philgeps.gov.ph/GEPSNONPILOT/Tender/SplashBidNoticeAbstractUI.aspx?menuIndex=3&amp;refID=7035927&amp;Result=3","7035927")</f>
        <v>0</v>
      </c>
      <c r="B2388" t="s">
        <v>1018</v>
      </c>
      <c r="C2388" t="s">
        <v>5380</v>
      </c>
      <c r="D2388" t="s">
        <v>16248</v>
      </c>
      <c r="E2388" t="s">
        <v>18473</v>
      </c>
      <c r="F2388" t="s">
        <v>28198</v>
      </c>
      <c r="G2388" t="s">
        <v>28205</v>
      </c>
      <c r="H2388" t="s">
        <v>28214</v>
      </c>
      <c r="I2388" t="s">
        <v>3797</v>
      </c>
      <c r="J2388" t="s">
        <v>29964</v>
      </c>
      <c r="K2388" t="s">
        <v>36701</v>
      </c>
      <c r="M2388" t="s">
        <v>38047</v>
      </c>
      <c r="N2388" t="s">
        <v>40436</v>
      </c>
      <c r="O2388" t="s">
        <v>40437</v>
      </c>
      <c r="P2388">
        <v>0</v>
      </c>
      <c r="Q2388">
        <v>0</v>
      </c>
      <c r="R2388" t="s">
        <v>40439</v>
      </c>
      <c r="S2388" t="s">
        <v>40588</v>
      </c>
      <c r="T2388" t="s">
        <v>42134</v>
      </c>
      <c r="U2388" t="s">
        <v>44699</v>
      </c>
      <c r="W2388" t="s">
        <v>38047</v>
      </c>
      <c r="X2388" t="s">
        <v>40446</v>
      </c>
    </row>
    <row r="2389" spans="1:24">
      <c r="A2389">
        <f>HYPERLINK("https://www.philgeps.gov.ph/GEPSNONPILOT/Tender/SplashBidNoticeAbstractUI.aspx?menuIndex=3&amp;refID=7037529&amp;Result=3","7037529")</f>
        <v>0</v>
      </c>
      <c r="B2389" t="s">
        <v>566</v>
      </c>
      <c r="C2389" t="s">
        <v>5381</v>
      </c>
      <c r="E2389" t="s">
        <v>18474</v>
      </c>
      <c r="F2389" t="s">
        <v>28198</v>
      </c>
      <c r="G2389" t="s">
        <v>28205</v>
      </c>
      <c r="H2389" t="s">
        <v>28215</v>
      </c>
      <c r="I2389" t="s">
        <v>28225</v>
      </c>
      <c r="J2389" t="s">
        <v>29965</v>
      </c>
      <c r="K2389" t="s">
        <v>36689</v>
      </c>
      <c r="M2389" t="s">
        <v>38045</v>
      </c>
      <c r="N2389" t="s">
        <v>40436</v>
      </c>
      <c r="O2389" t="s">
        <v>40437</v>
      </c>
      <c r="P2389">
        <v>0</v>
      </c>
      <c r="Q2389">
        <v>5</v>
      </c>
      <c r="R2389" t="s">
        <v>40439</v>
      </c>
      <c r="S2389" t="s">
        <v>40588</v>
      </c>
      <c r="T2389" t="s">
        <v>42125</v>
      </c>
      <c r="U2389" t="s">
        <v>44700</v>
      </c>
      <c r="W2389" t="s">
        <v>38045</v>
      </c>
      <c r="X2389" t="s">
        <v>40446</v>
      </c>
    </row>
    <row r="2390" spans="1:24">
      <c r="A2390">
        <f>HYPERLINK("https://www.philgeps.gov.ph/GEPSNONPILOT/Tender/SplashBidNoticeAbstractUI.aspx?menuIndex=3&amp;refID=7038159&amp;Result=3","7038159")</f>
        <v>0</v>
      </c>
      <c r="B2390" t="s">
        <v>1019</v>
      </c>
      <c r="C2390" t="s">
        <v>5382</v>
      </c>
      <c r="D2390" t="s">
        <v>16202</v>
      </c>
      <c r="E2390" t="s">
        <v>18475</v>
      </c>
      <c r="F2390" t="s">
        <v>28198</v>
      </c>
      <c r="G2390" t="s">
        <v>28207</v>
      </c>
      <c r="H2390" t="s">
        <v>28215</v>
      </c>
      <c r="I2390" t="s">
        <v>5082</v>
      </c>
      <c r="J2390" t="s">
        <v>29966</v>
      </c>
      <c r="K2390" t="s">
        <v>36707</v>
      </c>
      <c r="M2390" t="s">
        <v>38048</v>
      </c>
      <c r="N2390" t="s">
        <v>40436</v>
      </c>
      <c r="O2390" t="s">
        <v>40437</v>
      </c>
      <c r="P2390">
        <v>0</v>
      </c>
      <c r="Q2390">
        <v>0</v>
      </c>
      <c r="R2390" t="s">
        <v>40439</v>
      </c>
      <c r="S2390" t="s">
        <v>40588</v>
      </c>
      <c r="T2390" t="s">
        <v>42158</v>
      </c>
      <c r="U2390" t="s">
        <v>44701</v>
      </c>
      <c r="W2390" t="s">
        <v>38048</v>
      </c>
      <c r="X2390" t="s">
        <v>40445</v>
      </c>
    </row>
    <row r="2391" spans="1:24">
      <c r="A2391">
        <f>HYPERLINK("https://www.philgeps.gov.ph/GEPSNONPILOT/Tender/SplashBidNoticeAbstractUI.aspx?menuIndex=3&amp;refID=7037564&amp;Result=3","7037564")</f>
        <v>0</v>
      </c>
      <c r="B2391" t="s">
        <v>566</v>
      </c>
      <c r="C2391" t="s">
        <v>5383</v>
      </c>
      <c r="E2391" t="s">
        <v>18476</v>
      </c>
      <c r="F2391" t="s">
        <v>28198</v>
      </c>
      <c r="G2391" t="s">
        <v>28205</v>
      </c>
      <c r="H2391" t="s">
        <v>28215</v>
      </c>
      <c r="I2391" t="s">
        <v>28225</v>
      </c>
      <c r="J2391" t="s">
        <v>28663</v>
      </c>
      <c r="K2391" t="s">
        <v>36689</v>
      </c>
      <c r="M2391" t="s">
        <v>38045</v>
      </c>
      <c r="N2391" t="s">
        <v>40436</v>
      </c>
      <c r="O2391" t="s">
        <v>40437</v>
      </c>
      <c r="P2391">
        <v>0</v>
      </c>
      <c r="Q2391">
        <v>3</v>
      </c>
      <c r="R2391" t="s">
        <v>40439</v>
      </c>
      <c r="S2391" t="s">
        <v>40588</v>
      </c>
      <c r="T2391" t="s">
        <v>42125</v>
      </c>
      <c r="U2391" t="s">
        <v>44702</v>
      </c>
      <c r="W2391" t="s">
        <v>38045</v>
      </c>
      <c r="X2391" t="s">
        <v>40446</v>
      </c>
    </row>
    <row r="2392" spans="1:24">
      <c r="A2392">
        <f>HYPERLINK("https://www.philgeps.gov.ph/GEPSNONPILOT/Tender/SplashBidNoticeAbstractUI.aspx?menuIndex=3&amp;refID=7038569&amp;Result=3","7038569")</f>
        <v>0</v>
      </c>
      <c r="B2392" t="s">
        <v>1020</v>
      </c>
      <c r="C2392" t="s">
        <v>5384</v>
      </c>
      <c r="D2392" t="s">
        <v>16208</v>
      </c>
      <c r="E2392" t="s">
        <v>18477</v>
      </c>
      <c r="F2392" t="s">
        <v>28198</v>
      </c>
      <c r="G2392" t="s">
        <v>28205</v>
      </c>
      <c r="H2392" t="s">
        <v>28214</v>
      </c>
      <c r="I2392" t="s">
        <v>3797</v>
      </c>
      <c r="J2392" t="s">
        <v>28406</v>
      </c>
      <c r="K2392" t="s">
        <v>36708</v>
      </c>
      <c r="M2392" t="s">
        <v>38049</v>
      </c>
      <c r="N2392" t="s">
        <v>40436</v>
      </c>
      <c r="O2392" t="s">
        <v>40437</v>
      </c>
      <c r="P2392">
        <v>0</v>
      </c>
      <c r="Q2392">
        <v>0</v>
      </c>
      <c r="R2392" t="s">
        <v>40439</v>
      </c>
      <c r="S2392" t="s">
        <v>40588</v>
      </c>
      <c r="T2392" t="s">
        <v>42134</v>
      </c>
      <c r="U2392" t="s">
        <v>44703</v>
      </c>
      <c r="W2392" t="s">
        <v>38049</v>
      </c>
      <c r="X2392" t="s">
        <v>40445</v>
      </c>
    </row>
    <row r="2393" spans="1:24">
      <c r="A2393">
        <f>HYPERLINK("https://www.philgeps.gov.ph/GEPSNONPILOT/Tender/SplashBidNoticeAbstractUI.aspx?menuIndex=3&amp;refID=7035975&amp;Result=3","7035975")</f>
        <v>0</v>
      </c>
      <c r="B2393" t="s">
        <v>1018</v>
      </c>
      <c r="C2393" t="s">
        <v>5385</v>
      </c>
      <c r="D2393" t="s">
        <v>16248</v>
      </c>
      <c r="E2393" t="s">
        <v>18478</v>
      </c>
      <c r="F2393" t="s">
        <v>28198</v>
      </c>
      <c r="G2393" t="s">
        <v>28205</v>
      </c>
      <c r="H2393" t="s">
        <v>28214</v>
      </c>
      <c r="I2393" t="s">
        <v>3797</v>
      </c>
      <c r="J2393" t="s">
        <v>29967</v>
      </c>
      <c r="K2393" t="s">
        <v>36708</v>
      </c>
      <c r="M2393" t="s">
        <v>38047</v>
      </c>
      <c r="N2393" t="s">
        <v>40436</v>
      </c>
      <c r="O2393" t="s">
        <v>40437</v>
      </c>
      <c r="P2393">
        <v>0</v>
      </c>
      <c r="Q2393">
        <v>0</v>
      </c>
      <c r="R2393" t="s">
        <v>40439</v>
      </c>
      <c r="S2393" t="s">
        <v>40588</v>
      </c>
      <c r="T2393" t="s">
        <v>42134</v>
      </c>
      <c r="U2393" t="s">
        <v>44704</v>
      </c>
      <c r="W2393" t="s">
        <v>38047</v>
      </c>
      <c r="X2393" t="s">
        <v>40446</v>
      </c>
    </row>
    <row r="2394" spans="1:24">
      <c r="A2394">
        <f>HYPERLINK("https://www.philgeps.gov.ph/GEPSNONPILOT/Tender/SplashBidNoticeAbstractUI.aspx?menuIndex=3&amp;refID=7038518&amp;Result=3","7038518")</f>
        <v>0</v>
      </c>
      <c r="B2394" t="s">
        <v>1009</v>
      </c>
      <c r="C2394" t="s">
        <v>5386</v>
      </c>
      <c r="E2394" t="s">
        <v>18479</v>
      </c>
      <c r="F2394" t="s">
        <v>28198</v>
      </c>
      <c r="G2394" t="s">
        <v>28207</v>
      </c>
      <c r="H2394" t="s">
        <v>28215</v>
      </c>
      <c r="I2394" t="s">
        <v>28234</v>
      </c>
      <c r="J2394" t="s">
        <v>29968</v>
      </c>
      <c r="K2394" t="s">
        <v>36688</v>
      </c>
      <c r="M2394" t="s">
        <v>38050</v>
      </c>
      <c r="N2394" t="s">
        <v>40436</v>
      </c>
      <c r="O2394" t="s">
        <v>40437</v>
      </c>
      <c r="P2394">
        <v>0</v>
      </c>
      <c r="Q2394">
        <v>9</v>
      </c>
      <c r="R2394" t="s">
        <v>40439</v>
      </c>
      <c r="S2394" t="s">
        <v>40588</v>
      </c>
      <c r="T2394" t="s">
        <v>42176</v>
      </c>
      <c r="U2394" t="s">
        <v>44705</v>
      </c>
      <c r="W2394" t="s">
        <v>38050</v>
      </c>
      <c r="X2394" t="s">
        <v>40445</v>
      </c>
    </row>
    <row r="2395" spans="1:24">
      <c r="A2395">
        <f>HYPERLINK("https://www.philgeps.gov.ph/GEPSNONPILOT/Tender/SplashBidNoticeAbstractUI.aspx?menuIndex=3&amp;refID=7038572&amp;Result=3","7038572")</f>
        <v>0</v>
      </c>
      <c r="B2395" t="s">
        <v>1009</v>
      </c>
      <c r="C2395" t="s">
        <v>5387</v>
      </c>
      <c r="E2395" t="s">
        <v>18480</v>
      </c>
      <c r="F2395" t="s">
        <v>28198</v>
      </c>
      <c r="G2395" t="s">
        <v>28207</v>
      </c>
      <c r="H2395" t="s">
        <v>28215</v>
      </c>
      <c r="I2395" t="s">
        <v>3422</v>
      </c>
      <c r="J2395" t="s">
        <v>29969</v>
      </c>
      <c r="K2395" t="s">
        <v>36689</v>
      </c>
      <c r="M2395" t="s">
        <v>38051</v>
      </c>
      <c r="N2395" t="s">
        <v>40436</v>
      </c>
      <c r="O2395" t="s">
        <v>40437</v>
      </c>
      <c r="P2395">
        <v>0</v>
      </c>
      <c r="Q2395">
        <v>0</v>
      </c>
      <c r="R2395" t="s">
        <v>40439</v>
      </c>
      <c r="S2395" t="s">
        <v>40588</v>
      </c>
      <c r="T2395" t="s">
        <v>42176</v>
      </c>
      <c r="U2395" t="s">
        <v>44705</v>
      </c>
      <c r="W2395" t="s">
        <v>38051</v>
      </c>
      <c r="X2395" t="s">
        <v>40445</v>
      </c>
    </row>
    <row r="2396" spans="1:24">
      <c r="A2396">
        <f>HYPERLINK("https://www.philgeps.gov.ph/GEPSNONPILOT/Tender/SplashBidNoticeAbstractUI.aspx?menuIndex=3&amp;refID=7038277&amp;Result=3","7038277")</f>
        <v>0</v>
      </c>
      <c r="B2396" t="s">
        <v>354</v>
      </c>
      <c r="C2396" t="s">
        <v>5388</v>
      </c>
      <c r="D2396" t="s">
        <v>16199</v>
      </c>
      <c r="E2396" t="s">
        <v>18481</v>
      </c>
      <c r="F2396" t="s">
        <v>28198</v>
      </c>
      <c r="G2396" t="s">
        <v>28207</v>
      </c>
      <c r="H2396" t="s">
        <v>28215</v>
      </c>
      <c r="I2396" t="s">
        <v>4200</v>
      </c>
      <c r="J2396" t="s">
        <v>28787</v>
      </c>
      <c r="K2396" t="s">
        <v>36698</v>
      </c>
      <c r="M2396" t="s">
        <v>37333</v>
      </c>
      <c r="N2396" t="s">
        <v>40436</v>
      </c>
      <c r="O2396" t="s">
        <v>40437</v>
      </c>
      <c r="P2396">
        <v>0</v>
      </c>
      <c r="Q2396">
        <v>1</v>
      </c>
      <c r="R2396" t="s">
        <v>40439</v>
      </c>
      <c r="S2396" t="s">
        <v>40588</v>
      </c>
      <c r="T2396" t="s">
        <v>42158</v>
      </c>
      <c r="U2396" t="s">
        <v>44706</v>
      </c>
      <c r="W2396" t="s">
        <v>37333</v>
      </c>
      <c r="X2396" t="s">
        <v>40445</v>
      </c>
    </row>
    <row r="2397" spans="1:24">
      <c r="A2397">
        <f>HYPERLINK("https://www.philgeps.gov.ph/GEPSNONPILOT/Tender/SplashBidNoticeAbstractUI.aspx?menuIndex=3&amp;refID=7036696&amp;Result=3","7036696")</f>
        <v>0</v>
      </c>
      <c r="B2397" t="s">
        <v>1021</v>
      </c>
      <c r="C2397" t="s">
        <v>5389</v>
      </c>
      <c r="D2397" t="s">
        <v>16204</v>
      </c>
      <c r="E2397" t="s">
        <v>18482</v>
      </c>
      <c r="F2397" t="s">
        <v>28198</v>
      </c>
      <c r="G2397" t="s">
        <v>28205</v>
      </c>
      <c r="H2397" t="s">
        <v>28215</v>
      </c>
      <c r="I2397" t="s">
        <v>5100</v>
      </c>
      <c r="J2397" t="s">
        <v>29970</v>
      </c>
      <c r="K2397" t="s">
        <v>36701</v>
      </c>
      <c r="M2397" t="s">
        <v>38052</v>
      </c>
      <c r="N2397" t="s">
        <v>40436</v>
      </c>
      <c r="O2397" t="s">
        <v>40437</v>
      </c>
      <c r="P2397">
        <v>0</v>
      </c>
      <c r="Q2397">
        <v>4</v>
      </c>
      <c r="R2397" t="s">
        <v>40439</v>
      </c>
      <c r="S2397" t="s">
        <v>40588</v>
      </c>
      <c r="T2397" t="s">
        <v>42106</v>
      </c>
      <c r="U2397" t="s">
        <v>44707</v>
      </c>
      <c r="V2397" t="s">
        <v>54048</v>
      </c>
      <c r="W2397" t="s">
        <v>38052</v>
      </c>
      <c r="X2397" t="s">
        <v>40446</v>
      </c>
    </row>
    <row r="2398" spans="1:24">
      <c r="A2398">
        <f>HYPERLINK("https://www.philgeps.gov.ph/GEPSNONPILOT/Tender/SplashBidNoticeAbstractUI.aspx?menuIndex=3&amp;refID=7037321&amp;Result=3","7037321")</f>
        <v>0</v>
      </c>
      <c r="B2398" t="s">
        <v>1009</v>
      </c>
      <c r="C2398" t="s">
        <v>5390</v>
      </c>
      <c r="E2398" t="s">
        <v>18483</v>
      </c>
      <c r="F2398" t="s">
        <v>28198</v>
      </c>
      <c r="G2398" t="s">
        <v>28207</v>
      </c>
      <c r="H2398" t="s">
        <v>28215</v>
      </c>
      <c r="I2398" t="s">
        <v>28279</v>
      </c>
      <c r="J2398" t="s">
        <v>29839</v>
      </c>
      <c r="K2398" t="s">
        <v>36689</v>
      </c>
      <c r="M2398" t="s">
        <v>38050</v>
      </c>
      <c r="N2398" t="s">
        <v>40436</v>
      </c>
      <c r="O2398" t="s">
        <v>40437</v>
      </c>
      <c r="P2398">
        <v>0</v>
      </c>
      <c r="Q2398">
        <v>1</v>
      </c>
      <c r="R2398" t="s">
        <v>40439</v>
      </c>
      <c r="S2398" t="s">
        <v>40588</v>
      </c>
      <c r="T2398" t="s">
        <v>42176</v>
      </c>
      <c r="U2398" t="s">
        <v>44680</v>
      </c>
      <c r="W2398" t="s">
        <v>38050</v>
      </c>
      <c r="X2398" t="s">
        <v>40446</v>
      </c>
    </row>
    <row r="2399" spans="1:24">
      <c r="A2399">
        <f>HYPERLINK("https://www.philgeps.gov.ph/GEPSNONPILOT/Tender/SplashBidNoticeAbstractUI.aspx?menuIndex=3&amp;refID=7037544&amp;Result=3","7037544")</f>
        <v>0</v>
      </c>
      <c r="B2399" t="s">
        <v>860</v>
      </c>
      <c r="C2399" t="s">
        <v>5391</v>
      </c>
      <c r="D2399" t="s">
        <v>16199</v>
      </c>
      <c r="E2399" t="s">
        <v>18331</v>
      </c>
      <c r="F2399" t="s">
        <v>28198</v>
      </c>
      <c r="G2399" t="s">
        <v>28205</v>
      </c>
      <c r="H2399" t="s">
        <v>28215</v>
      </c>
      <c r="I2399" t="s">
        <v>8888</v>
      </c>
      <c r="J2399" t="s">
        <v>29971</v>
      </c>
      <c r="K2399" t="s">
        <v>36696</v>
      </c>
      <c r="M2399" t="s">
        <v>37872</v>
      </c>
      <c r="N2399" t="s">
        <v>40436</v>
      </c>
      <c r="O2399" t="s">
        <v>40437</v>
      </c>
      <c r="P2399">
        <v>0</v>
      </c>
      <c r="Q2399">
        <v>1</v>
      </c>
      <c r="R2399" t="s">
        <v>40439</v>
      </c>
      <c r="S2399" t="s">
        <v>40588</v>
      </c>
      <c r="T2399" t="s">
        <v>42177</v>
      </c>
      <c r="U2399" t="s">
        <v>44708</v>
      </c>
      <c r="W2399" t="s">
        <v>37872</v>
      </c>
      <c r="X2399" t="s">
        <v>40446</v>
      </c>
    </row>
    <row r="2400" spans="1:24">
      <c r="A2400">
        <f>HYPERLINK("https://www.philgeps.gov.ph/GEPSNONPILOT/Tender/SplashBidNoticeAbstractUI.aspx?menuIndex=3&amp;refID=7037300&amp;Result=3","7037300")</f>
        <v>0</v>
      </c>
      <c r="B2400" t="s">
        <v>1009</v>
      </c>
      <c r="C2400" t="s">
        <v>5392</v>
      </c>
      <c r="E2400" t="s">
        <v>18484</v>
      </c>
      <c r="F2400" t="s">
        <v>28198</v>
      </c>
      <c r="G2400" t="s">
        <v>28207</v>
      </c>
      <c r="H2400" t="s">
        <v>28215</v>
      </c>
      <c r="I2400" t="s">
        <v>28227</v>
      </c>
      <c r="J2400" t="s">
        <v>28406</v>
      </c>
      <c r="K2400" t="s">
        <v>36689</v>
      </c>
      <c r="M2400" t="s">
        <v>38050</v>
      </c>
      <c r="N2400" t="s">
        <v>40436</v>
      </c>
      <c r="O2400" t="s">
        <v>40437</v>
      </c>
      <c r="P2400">
        <v>0</v>
      </c>
      <c r="Q2400">
        <v>0</v>
      </c>
      <c r="R2400" t="s">
        <v>40439</v>
      </c>
      <c r="S2400" t="s">
        <v>40588</v>
      </c>
      <c r="T2400" t="s">
        <v>42176</v>
      </c>
      <c r="U2400" t="s">
        <v>44680</v>
      </c>
      <c r="W2400" t="s">
        <v>38050</v>
      </c>
      <c r="X2400" t="s">
        <v>40446</v>
      </c>
    </row>
    <row r="2401" spans="1:24">
      <c r="A2401">
        <f>HYPERLINK("https://www.philgeps.gov.ph/GEPSNONPILOT/Tender/SplashBidNoticeAbstractUI.aspx?menuIndex=3&amp;refID=7038925&amp;Result=3","7038925")</f>
        <v>0</v>
      </c>
      <c r="B2401" t="s">
        <v>1022</v>
      </c>
      <c r="C2401" t="s">
        <v>5393</v>
      </c>
      <c r="D2401" t="s">
        <v>16221</v>
      </c>
      <c r="E2401" t="s">
        <v>18485</v>
      </c>
      <c r="F2401" t="s">
        <v>28198</v>
      </c>
      <c r="G2401" t="s">
        <v>28205</v>
      </c>
      <c r="H2401" t="s">
        <v>28215</v>
      </c>
      <c r="I2401" t="s">
        <v>28259</v>
      </c>
      <c r="J2401" t="s">
        <v>28351</v>
      </c>
      <c r="K2401" t="s">
        <v>36701</v>
      </c>
      <c r="M2401" t="s">
        <v>38053</v>
      </c>
      <c r="N2401" t="s">
        <v>40436</v>
      </c>
      <c r="O2401" t="s">
        <v>40437</v>
      </c>
      <c r="P2401">
        <v>0</v>
      </c>
      <c r="Q2401">
        <v>7</v>
      </c>
      <c r="R2401" t="s">
        <v>40439</v>
      </c>
      <c r="S2401" t="s">
        <v>40588</v>
      </c>
      <c r="T2401" t="s">
        <v>42106</v>
      </c>
      <c r="U2401" t="s">
        <v>44709</v>
      </c>
      <c r="V2401" t="s">
        <v>54049</v>
      </c>
      <c r="W2401" t="s">
        <v>38053</v>
      </c>
      <c r="X2401" t="s">
        <v>40445</v>
      </c>
    </row>
    <row r="2402" spans="1:24">
      <c r="A2402">
        <f>HYPERLINK("https://www.philgeps.gov.ph/GEPSNONPILOT/Tender/SplashBidNoticeAbstractUI.aspx?menuIndex=3&amp;refID=7039492&amp;Result=3","7039492")</f>
        <v>0</v>
      </c>
      <c r="B2402" t="s">
        <v>1023</v>
      </c>
      <c r="C2402" t="s">
        <v>5394</v>
      </c>
      <c r="D2402" t="s">
        <v>16265</v>
      </c>
      <c r="E2402" t="s">
        <v>18486</v>
      </c>
      <c r="F2402" t="s">
        <v>28198</v>
      </c>
      <c r="G2402" t="s">
        <v>28205</v>
      </c>
      <c r="H2402" t="s">
        <v>28214</v>
      </c>
      <c r="I2402" t="s">
        <v>3797</v>
      </c>
      <c r="J2402" t="s">
        <v>29972</v>
      </c>
      <c r="K2402" t="s">
        <v>36690</v>
      </c>
      <c r="M2402" t="s">
        <v>38054</v>
      </c>
      <c r="N2402" t="s">
        <v>40436</v>
      </c>
      <c r="O2402" t="s">
        <v>40437</v>
      </c>
      <c r="P2402">
        <v>0</v>
      </c>
      <c r="Q2402">
        <v>0</v>
      </c>
      <c r="R2402" t="s">
        <v>40439</v>
      </c>
      <c r="S2402" t="s">
        <v>40588</v>
      </c>
      <c r="T2402" t="s">
        <v>42108</v>
      </c>
      <c r="U2402" t="s">
        <v>44710</v>
      </c>
      <c r="W2402" t="s">
        <v>38054</v>
      </c>
      <c r="X2402" t="s">
        <v>40445</v>
      </c>
    </row>
    <row r="2403" spans="1:24">
      <c r="A2403">
        <f>HYPERLINK("https://www.philgeps.gov.ph/GEPSNONPILOT/Tender/SplashBidNoticeAbstractUI.aspx?menuIndex=3&amp;refID=7039457&amp;Result=3","7039457")</f>
        <v>0</v>
      </c>
      <c r="B2403" t="s">
        <v>1023</v>
      </c>
      <c r="C2403" t="s">
        <v>5395</v>
      </c>
      <c r="D2403" t="s">
        <v>16265</v>
      </c>
      <c r="E2403" t="s">
        <v>18487</v>
      </c>
      <c r="F2403" t="s">
        <v>28198</v>
      </c>
      <c r="G2403" t="s">
        <v>28205</v>
      </c>
      <c r="H2403" t="s">
        <v>28214</v>
      </c>
      <c r="I2403" t="s">
        <v>3797</v>
      </c>
      <c r="J2403" t="s">
        <v>29973</v>
      </c>
      <c r="K2403" t="s">
        <v>36701</v>
      </c>
      <c r="M2403" t="s">
        <v>38054</v>
      </c>
      <c r="N2403" t="s">
        <v>40436</v>
      </c>
      <c r="O2403" t="s">
        <v>40437</v>
      </c>
      <c r="P2403">
        <v>0</v>
      </c>
      <c r="Q2403">
        <v>0</v>
      </c>
      <c r="R2403" t="s">
        <v>40439</v>
      </c>
      <c r="S2403" t="s">
        <v>40588</v>
      </c>
      <c r="T2403" t="s">
        <v>42108</v>
      </c>
      <c r="U2403" t="s">
        <v>44711</v>
      </c>
      <c r="W2403" t="s">
        <v>38054</v>
      </c>
      <c r="X2403" t="s">
        <v>40445</v>
      </c>
    </row>
    <row r="2404" spans="1:24">
      <c r="A2404">
        <f>HYPERLINK("https://www.philgeps.gov.ph/GEPSNONPILOT/Tender/SplashBidNoticeAbstractUI.aspx?menuIndex=3&amp;refID=7039153&amp;Result=3","7039153")</f>
        <v>0</v>
      </c>
      <c r="B2404" t="s">
        <v>1023</v>
      </c>
      <c r="C2404" t="s">
        <v>5396</v>
      </c>
      <c r="D2404" t="s">
        <v>16265</v>
      </c>
      <c r="E2404" t="s">
        <v>18488</v>
      </c>
      <c r="F2404" t="s">
        <v>28198</v>
      </c>
      <c r="G2404" t="s">
        <v>28205</v>
      </c>
      <c r="H2404" t="s">
        <v>28214</v>
      </c>
      <c r="I2404" t="s">
        <v>3797</v>
      </c>
      <c r="J2404" t="s">
        <v>29974</v>
      </c>
      <c r="K2404" t="s">
        <v>36697</v>
      </c>
      <c r="M2404" t="s">
        <v>38054</v>
      </c>
      <c r="N2404" t="s">
        <v>40436</v>
      </c>
      <c r="O2404" t="s">
        <v>40437</v>
      </c>
      <c r="P2404">
        <v>0</v>
      </c>
      <c r="Q2404">
        <v>0</v>
      </c>
      <c r="R2404" t="s">
        <v>40439</v>
      </c>
      <c r="S2404" t="s">
        <v>40588</v>
      </c>
      <c r="T2404" t="s">
        <v>42108</v>
      </c>
      <c r="U2404" t="s">
        <v>44712</v>
      </c>
      <c r="W2404" t="s">
        <v>38054</v>
      </c>
      <c r="X2404" t="s">
        <v>40445</v>
      </c>
    </row>
    <row r="2405" spans="1:24">
      <c r="A2405">
        <f>HYPERLINK("https://www.philgeps.gov.ph/GEPSNONPILOT/Tender/SplashBidNoticeAbstractUI.aspx?menuIndex=3&amp;refID=7039253&amp;Result=3","7039253")</f>
        <v>0</v>
      </c>
      <c r="B2405" t="s">
        <v>1023</v>
      </c>
      <c r="C2405" t="s">
        <v>5397</v>
      </c>
      <c r="D2405" t="s">
        <v>16265</v>
      </c>
      <c r="E2405" t="s">
        <v>18489</v>
      </c>
      <c r="F2405" t="s">
        <v>28198</v>
      </c>
      <c r="G2405" t="s">
        <v>28205</v>
      </c>
      <c r="H2405" t="s">
        <v>28214</v>
      </c>
      <c r="I2405" t="s">
        <v>3797</v>
      </c>
      <c r="J2405" t="s">
        <v>29975</v>
      </c>
      <c r="K2405" t="s">
        <v>36697</v>
      </c>
      <c r="M2405" t="s">
        <v>38054</v>
      </c>
      <c r="N2405" t="s">
        <v>40436</v>
      </c>
      <c r="O2405" t="s">
        <v>40437</v>
      </c>
      <c r="P2405">
        <v>0</v>
      </c>
      <c r="Q2405">
        <v>0</v>
      </c>
      <c r="R2405" t="s">
        <v>40439</v>
      </c>
      <c r="S2405" t="s">
        <v>40588</v>
      </c>
      <c r="T2405" t="s">
        <v>42108</v>
      </c>
      <c r="U2405" t="s">
        <v>44713</v>
      </c>
      <c r="W2405" t="s">
        <v>38054</v>
      </c>
      <c r="X2405" t="s">
        <v>40445</v>
      </c>
    </row>
    <row r="2406" spans="1:24">
      <c r="A2406">
        <f>HYPERLINK("https://www.philgeps.gov.ph/GEPSNONPILOT/Tender/SplashBidNoticeAbstractUI.aspx?menuIndex=3&amp;refID=7039030&amp;Result=3","7039030")</f>
        <v>0</v>
      </c>
      <c r="B2406" t="s">
        <v>1024</v>
      </c>
      <c r="C2406" t="s">
        <v>5398</v>
      </c>
      <c r="D2406" t="s">
        <v>16197</v>
      </c>
      <c r="E2406" t="s">
        <v>17248</v>
      </c>
      <c r="F2406" t="s">
        <v>28198</v>
      </c>
      <c r="G2406" t="s">
        <v>28206</v>
      </c>
      <c r="H2406" t="s">
        <v>28215</v>
      </c>
      <c r="I2406" t="s">
        <v>5656</v>
      </c>
      <c r="J2406" t="s">
        <v>28769</v>
      </c>
      <c r="K2406" t="s">
        <v>36698</v>
      </c>
      <c r="M2406" t="s">
        <v>38055</v>
      </c>
      <c r="N2406" t="s">
        <v>40436</v>
      </c>
      <c r="O2406" t="s">
        <v>40437</v>
      </c>
      <c r="P2406">
        <v>0</v>
      </c>
      <c r="Q2406">
        <v>0</v>
      </c>
      <c r="R2406" t="s">
        <v>40439</v>
      </c>
      <c r="S2406" t="s">
        <v>40588</v>
      </c>
      <c r="T2406" t="s">
        <v>42098</v>
      </c>
      <c r="U2406" t="s">
        <v>44714</v>
      </c>
      <c r="W2406" t="s">
        <v>38055</v>
      </c>
      <c r="X2406" t="s">
        <v>40445</v>
      </c>
    </row>
    <row r="2407" spans="1:24">
      <c r="A2407">
        <f>HYPERLINK("https://www.philgeps.gov.ph/GEPSNONPILOT/Tender/SplashBidNoticeAbstractUI.aspx?menuIndex=3&amp;refID=7039228&amp;Result=3","7039228")</f>
        <v>0</v>
      </c>
      <c r="B2407" t="s">
        <v>1023</v>
      </c>
      <c r="C2407" t="s">
        <v>5399</v>
      </c>
      <c r="D2407" t="s">
        <v>16265</v>
      </c>
      <c r="E2407" t="s">
        <v>18490</v>
      </c>
      <c r="F2407" t="s">
        <v>28198</v>
      </c>
      <c r="G2407" t="s">
        <v>28205</v>
      </c>
      <c r="H2407" t="s">
        <v>28214</v>
      </c>
      <c r="I2407" t="s">
        <v>3797</v>
      </c>
      <c r="J2407" t="s">
        <v>29976</v>
      </c>
      <c r="K2407" t="s">
        <v>36692</v>
      </c>
      <c r="M2407" t="s">
        <v>38054</v>
      </c>
      <c r="N2407" t="s">
        <v>40436</v>
      </c>
      <c r="O2407" t="s">
        <v>40437</v>
      </c>
      <c r="P2407">
        <v>0</v>
      </c>
      <c r="Q2407">
        <v>0</v>
      </c>
      <c r="R2407" t="s">
        <v>40439</v>
      </c>
      <c r="S2407" t="s">
        <v>40588</v>
      </c>
      <c r="T2407" t="s">
        <v>42108</v>
      </c>
      <c r="U2407" t="s">
        <v>44715</v>
      </c>
      <c r="W2407" t="s">
        <v>38054</v>
      </c>
      <c r="X2407" t="s">
        <v>40445</v>
      </c>
    </row>
    <row r="2408" spans="1:24">
      <c r="A2408">
        <f>HYPERLINK("https://www.philgeps.gov.ph/GEPSNONPILOT/Tender/SplashBidNoticeAbstractUI.aspx?menuIndex=3&amp;refID=7039435&amp;Result=3","7039435")</f>
        <v>0</v>
      </c>
      <c r="B2408" t="s">
        <v>1023</v>
      </c>
      <c r="C2408" t="s">
        <v>5400</v>
      </c>
      <c r="D2408" t="s">
        <v>16265</v>
      </c>
      <c r="E2408" t="s">
        <v>18491</v>
      </c>
      <c r="F2408" t="s">
        <v>28198</v>
      </c>
      <c r="G2408" t="s">
        <v>28205</v>
      </c>
      <c r="H2408" t="s">
        <v>28214</v>
      </c>
      <c r="I2408" t="s">
        <v>3797</v>
      </c>
      <c r="J2408" t="s">
        <v>29977</v>
      </c>
      <c r="K2408" t="s">
        <v>36701</v>
      </c>
      <c r="M2408" t="s">
        <v>38054</v>
      </c>
      <c r="N2408" t="s">
        <v>40436</v>
      </c>
      <c r="O2408" t="s">
        <v>40437</v>
      </c>
      <c r="P2408">
        <v>0</v>
      </c>
      <c r="Q2408">
        <v>0</v>
      </c>
      <c r="R2408" t="s">
        <v>40439</v>
      </c>
      <c r="S2408" t="s">
        <v>40588</v>
      </c>
      <c r="T2408" t="s">
        <v>42108</v>
      </c>
      <c r="U2408" t="s">
        <v>44716</v>
      </c>
      <c r="W2408" t="s">
        <v>38054</v>
      </c>
      <c r="X2408" t="s">
        <v>40445</v>
      </c>
    </row>
    <row r="2409" spans="1:24">
      <c r="A2409">
        <f>HYPERLINK("https://www.philgeps.gov.ph/GEPSNONPILOT/Tender/SplashBidNoticeAbstractUI.aspx?menuIndex=3&amp;refID=7036632&amp;Result=3","7036632")</f>
        <v>0</v>
      </c>
      <c r="B2409" t="s">
        <v>1021</v>
      </c>
      <c r="C2409" t="s">
        <v>5401</v>
      </c>
      <c r="D2409" t="s">
        <v>16204</v>
      </c>
      <c r="E2409" t="s">
        <v>18492</v>
      </c>
      <c r="F2409" t="s">
        <v>28198</v>
      </c>
      <c r="G2409" t="s">
        <v>28205</v>
      </c>
      <c r="H2409" t="s">
        <v>28215</v>
      </c>
      <c r="I2409" t="s">
        <v>28236</v>
      </c>
      <c r="J2409" t="s">
        <v>29978</v>
      </c>
      <c r="K2409" t="s">
        <v>36701</v>
      </c>
      <c r="M2409" t="s">
        <v>38052</v>
      </c>
      <c r="N2409" t="s">
        <v>40436</v>
      </c>
      <c r="O2409" t="s">
        <v>40437</v>
      </c>
      <c r="P2409">
        <v>0</v>
      </c>
      <c r="Q2409">
        <v>7</v>
      </c>
      <c r="R2409" t="s">
        <v>40439</v>
      </c>
      <c r="S2409" t="s">
        <v>40588</v>
      </c>
      <c r="T2409" t="s">
        <v>42106</v>
      </c>
      <c r="U2409" t="s">
        <v>44717</v>
      </c>
      <c r="V2409" t="s">
        <v>54048</v>
      </c>
      <c r="W2409" t="s">
        <v>38052</v>
      </c>
      <c r="X2409" t="s">
        <v>40446</v>
      </c>
    </row>
    <row r="2410" spans="1:24">
      <c r="A2410">
        <f>HYPERLINK("https://www.philgeps.gov.ph/GEPSNONPILOT/Tender/SplashBidNoticeAbstractUI.aspx?menuIndex=3&amp;refID=7039688&amp;Result=3","7039688")</f>
        <v>0</v>
      </c>
      <c r="B2410" t="s">
        <v>1023</v>
      </c>
      <c r="C2410" t="s">
        <v>5402</v>
      </c>
      <c r="D2410" t="s">
        <v>16265</v>
      </c>
      <c r="E2410" t="s">
        <v>18493</v>
      </c>
      <c r="F2410" t="s">
        <v>28198</v>
      </c>
      <c r="G2410" t="s">
        <v>28205</v>
      </c>
      <c r="H2410" t="s">
        <v>28214</v>
      </c>
      <c r="I2410" t="s">
        <v>3797</v>
      </c>
      <c r="J2410" t="s">
        <v>29979</v>
      </c>
      <c r="K2410" t="s">
        <v>36737</v>
      </c>
      <c r="M2410" t="s">
        <v>38054</v>
      </c>
      <c r="N2410" t="s">
        <v>40436</v>
      </c>
      <c r="O2410" t="s">
        <v>40437</v>
      </c>
      <c r="P2410">
        <v>0</v>
      </c>
      <c r="Q2410">
        <v>0</v>
      </c>
      <c r="R2410" t="s">
        <v>40439</v>
      </c>
      <c r="S2410" t="s">
        <v>40588</v>
      </c>
      <c r="T2410" t="s">
        <v>42108</v>
      </c>
      <c r="U2410" t="s">
        <v>44718</v>
      </c>
      <c r="W2410" t="s">
        <v>38054</v>
      </c>
      <c r="X2410" t="s">
        <v>40445</v>
      </c>
    </row>
    <row r="2411" spans="1:24">
      <c r="A2411">
        <f>HYPERLINK("https://www.philgeps.gov.ph/GEPSNONPILOT/Tender/SplashBidNoticeAbstractUI.aspx?menuIndex=3&amp;refID=7039177&amp;Result=3","7039177")</f>
        <v>0</v>
      </c>
      <c r="B2411" t="s">
        <v>1025</v>
      </c>
      <c r="C2411" t="s">
        <v>5403</v>
      </c>
      <c r="D2411" t="s">
        <v>16199</v>
      </c>
      <c r="E2411" t="s">
        <v>18494</v>
      </c>
      <c r="F2411" t="s">
        <v>28198</v>
      </c>
      <c r="G2411" t="s">
        <v>28205</v>
      </c>
      <c r="H2411" t="s">
        <v>28214</v>
      </c>
      <c r="I2411" t="s">
        <v>8870</v>
      </c>
      <c r="J2411" t="s">
        <v>29980</v>
      </c>
      <c r="K2411" t="s">
        <v>36692</v>
      </c>
      <c r="M2411" t="s">
        <v>38056</v>
      </c>
      <c r="N2411" t="s">
        <v>40436</v>
      </c>
      <c r="O2411" t="s">
        <v>40437</v>
      </c>
      <c r="P2411">
        <v>0</v>
      </c>
      <c r="Q2411">
        <v>1</v>
      </c>
      <c r="R2411" t="s">
        <v>40439</v>
      </c>
      <c r="S2411" t="s">
        <v>40588</v>
      </c>
      <c r="T2411" t="s">
        <v>42112</v>
      </c>
      <c r="U2411" t="s">
        <v>44719</v>
      </c>
      <c r="W2411" t="s">
        <v>38056</v>
      </c>
      <c r="X2411" t="s">
        <v>40445</v>
      </c>
    </row>
    <row r="2412" spans="1:24">
      <c r="A2412">
        <f>HYPERLINK("https://www.philgeps.gov.ph/GEPSNONPILOT/Tender/SplashBidNoticeAbstractUI.aspx?menuIndex=3&amp;refID=7039185&amp;Result=3","7039185")</f>
        <v>0</v>
      </c>
      <c r="B2412" t="s">
        <v>1025</v>
      </c>
      <c r="C2412" t="s">
        <v>5404</v>
      </c>
      <c r="D2412" t="s">
        <v>16199</v>
      </c>
      <c r="E2412" t="s">
        <v>18495</v>
      </c>
      <c r="F2412" t="s">
        <v>28198</v>
      </c>
      <c r="G2412" t="s">
        <v>28205</v>
      </c>
      <c r="H2412" t="s">
        <v>28214</v>
      </c>
      <c r="I2412" t="s">
        <v>8870</v>
      </c>
      <c r="J2412" t="s">
        <v>29981</v>
      </c>
      <c r="K2412" t="s">
        <v>36692</v>
      </c>
      <c r="M2412" t="s">
        <v>38056</v>
      </c>
      <c r="N2412" t="s">
        <v>40436</v>
      </c>
      <c r="O2412" t="s">
        <v>40437</v>
      </c>
      <c r="P2412">
        <v>0</v>
      </c>
      <c r="Q2412">
        <v>0</v>
      </c>
      <c r="R2412" t="s">
        <v>40439</v>
      </c>
      <c r="S2412" t="s">
        <v>40588</v>
      </c>
      <c r="T2412" t="s">
        <v>42112</v>
      </c>
      <c r="U2412" t="s">
        <v>44719</v>
      </c>
      <c r="W2412" t="s">
        <v>38056</v>
      </c>
      <c r="X2412" t="s">
        <v>40445</v>
      </c>
    </row>
    <row r="2413" spans="1:24">
      <c r="A2413">
        <f>HYPERLINK("https://www.philgeps.gov.ph/GEPSNONPILOT/Tender/SplashBidNoticeAbstractUI.aspx?menuIndex=3&amp;refID=7039652&amp;Result=3","7039652")</f>
        <v>0</v>
      </c>
      <c r="B2413" t="s">
        <v>1023</v>
      </c>
      <c r="C2413" t="s">
        <v>5405</v>
      </c>
      <c r="D2413" t="s">
        <v>16265</v>
      </c>
      <c r="E2413" t="s">
        <v>18496</v>
      </c>
      <c r="F2413" t="s">
        <v>28198</v>
      </c>
      <c r="G2413" t="s">
        <v>28205</v>
      </c>
      <c r="H2413" t="s">
        <v>28214</v>
      </c>
      <c r="I2413" t="s">
        <v>3797</v>
      </c>
      <c r="J2413" t="s">
        <v>29982</v>
      </c>
      <c r="K2413" t="s">
        <v>36692</v>
      </c>
      <c r="M2413" t="s">
        <v>38054</v>
      </c>
      <c r="N2413" t="s">
        <v>40436</v>
      </c>
      <c r="O2413" t="s">
        <v>40437</v>
      </c>
      <c r="P2413">
        <v>0</v>
      </c>
      <c r="Q2413">
        <v>0</v>
      </c>
      <c r="R2413" t="s">
        <v>40439</v>
      </c>
      <c r="S2413" t="s">
        <v>40588</v>
      </c>
      <c r="T2413" t="s">
        <v>42108</v>
      </c>
      <c r="U2413" t="s">
        <v>44720</v>
      </c>
      <c r="W2413" t="s">
        <v>38054</v>
      </c>
      <c r="X2413" t="s">
        <v>40445</v>
      </c>
    </row>
    <row r="2414" spans="1:24">
      <c r="A2414">
        <f>HYPERLINK("https://www.philgeps.gov.ph/GEPSNONPILOT/Tender/SplashBidNoticeAbstractUI.aspx?menuIndex=3&amp;refID=7039175&amp;Result=3","7039175")</f>
        <v>0</v>
      </c>
      <c r="B2414" t="s">
        <v>1023</v>
      </c>
      <c r="C2414" t="s">
        <v>5406</v>
      </c>
      <c r="D2414" t="s">
        <v>16265</v>
      </c>
      <c r="E2414" t="s">
        <v>18497</v>
      </c>
      <c r="F2414" t="s">
        <v>28198</v>
      </c>
      <c r="G2414" t="s">
        <v>28205</v>
      </c>
      <c r="H2414" t="s">
        <v>28214</v>
      </c>
      <c r="I2414" t="s">
        <v>3797</v>
      </c>
      <c r="J2414" t="s">
        <v>29983</v>
      </c>
      <c r="K2414" t="s">
        <v>36692</v>
      </c>
      <c r="M2414" t="s">
        <v>38054</v>
      </c>
      <c r="N2414" t="s">
        <v>40436</v>
      </c>
      <c r="O2414" t="s">
        <v>40437</v>
      </c>
      <c r="P2414">
        <v>0</v>
      </c>
      <c r="Q2414">
        <v>0</v>
      </c>
      <c r="R2414" t="s">
        <v>40439</v>
      </c>
      <c r="S2414" t="s">
        <v>40588</v>
      </c>
      <c r="T2414" t="s">
        <v>42108</v>
      </c>
      <c r="U2414" t="s">
        <v>44721</v>
      </c>
      <c r="W2414" t="s">
        <v>38054</v>
      </c>
      <c r="X2414" t="s">
        <v>40445</v>
      </c>
    </row>
    <row r="2415" spans="1:24">
      <c r="A2415">
        <f>HYPERLINK("https://www.philgeps.gov.ph/GEPSNONPILOT/Tender/SplashBidNoticeAbstractUI.aspx?menuIndex=3&amp;refID=7039190&amp;Result=3","7039190")</f>
        <v>0</v>
      </c>
      <c r="B2415" t="s">
        <v>1023</v>
      </c>
      <c r="C2415" t="s">
        <v>5407</v>
      </c>
      <c r="D2415" t="s">
        <v>16265</v>
      </c>
      <c r="E2415" t="s">
        <v>18498</v>
      </c>
      <c r="F2415" t="s">
        <v>28198</v>
      </c>
      <c r="G2415" t="s">
        <v>28205</v>
      </c>
      <c r="H2415" t="s">
        <v>28214</v>
      </c>
      <c r="I2415" t="s">
        <v>3797</v>
      </c>
      <c r="J2415" t="s">
        <v>29984</v>
      </c>
      <c r="K2415" t="s">
        <v>36697</v>
      </c>
      <c r="M2415" t="s">
        <v>38054</v>
      </c>
      <c r="N2415" t="s">
        <v>40436</v>
      </c>
      <c r="O2415" t="s">
        <v>40437</v>
      </c>
      <c r="P2415">
        <v>0</v>
      </c>
      <c r="Q2415">
        <v>0</v>
      </c>
      <c r="R2415" t="s">
        <v>40439</v>
      </c>
      <c r="S2415" t="s">
        <v>40588</v>
      </c>
      <c r="T2415" t="s">
        <v>42108</v>
      </c>
      <c r="U2415" t="s">
        <v>44722</v>
      </c>
      <c r="W2415" t="s">
        <v>38054</v>
      </c>
      <c r="X2415" t="s">
        <v>40445</v>
      </c>
    </row>
    <row r="2416" spans="1:24">
      <c r="A2416">
        <f>HYPERLINK("https://www.philgeps.gov.ph/GEPSNONPILOT/Tender/SplashBidNoticeAbstractUI.aspx?menuIndex=3&amp;refID=7039606&amp;Result=3","7039606")</f>
        <v>0</v>
      </c>
      <c r="B2416" t="s">
        <v>1026</v>
      </c>
      <c r="C2416" t="s">
        <v>5408</v>
      </c>
      <c r="D2416" t="s">
        <v>16235</v>
      </c>
      <c r="E2416" t="s">
        <v>18183</v>
      </c>
      <c r="F2416" t="s">
        <v>28198</v>
      </c>
      <c r="G2416" t="s">
        <v>28205</v>
      </c>
      <c r="H2416" t="s">
        <v>28214</v>
      </c>
      <c r="I2416" t="s">
        <v>3797</v>
      </c>
      <c r="J2416" t="s">
        <v>28378</v>
      </c>
      <c r="K2416" t="s">
        <v>36715</v>
      </c>
      <c r="M2416" t="s">
        <v>38057</v>
      </c>
      <c r="N2416" t="s">
        <v>40436</v>
      </c>
      <c r="O2416" t="s">
        <v>40437</v>
      </c>
      <c r="P2416">
        <v>0</v>
      </c>
      <c r="Q2416">
        <v>0</v>
      </c>
      <c r="R2416" t="s">
        <v>40439</v>
      </c>
      <c r="S2416" t="s">
        <v>40588</v>
      </c>
      <c r="T2416" t="s">
        <v>42105</v>
      </c>
      <c r="U2416" t="s">
        <v>44723</v>
      </c>
      <c r="V2416" t="s">
        <v>54050</v>
      </c>
      <c r="W2416" t="s">
        <v>38057</v>
      </c>
      <c r="X2416" t="s">
        <v>40445</v>
      </c>
    </row>
    <row r="2417" spans="1:24">
      <c r="A2417">
        <f>HYPERLINK("https://www.philgeps.gov.ph/GEPSNONPILOT/Tender/SplashBidNoticeAbstractUI.aspx?menuIndex=3&amp;refID=7039567&amp;Result=3","7039567")</f>
        <v>0</v>
      </c>
      <c r="B2417" t="s">
        <v>1023</v>
      </c>
      <c r="C2417" t="s">
        <v>5409</v>
      </c>
      <c r="D2417" t="s">
        <v>16265</v>
      </c>
      <c r="E2417" t="s">
        <v>18499</v>
      </c>
      <c r="F2417" t="s">
        <v>28198</v>
      </c>
      <c r="G2417" t="s">
        <v>28205</v>
      </c>
      <c r="H2417" t="s">
        <v>28214</v>
      </c>
      <c r="I2417" t="s">
        <v>3797</v>
      </c>
      <c r="J2417" t="s">
        <v>29985</v>
      </c>
      <c r="K2417" t="s">
        <v>36735</v>
      </c>
      <c r="M2417" t="s">
        <v>38054</v>
      </c>
      <c r="N2417" t="s">
        <v>40436</v>
      </c>
      <c r="O2417" t="s">
        <v>40437</v>
      </c>
      <c r="P2417">
        <v>0</v>
      </c>
      <c r="Q2417">
        <v>0</v>
      </c>
      <c r="R2417" t="s">
        <v>40439</v>
      </c>
      <c r="S2417" t="s">
        <v>40588</v>
      </c>
      <c r="T2417" t="s">
        <v>42108</v>
      </c>
      <c r="U2417" t="s">
        <v>44724</v>
      </c>
      <c r="W2417" t="s">
        <v>38054</v>
      </c>
      <c r="X2417" t="s">
        <v>40445</v>
      </c>
    </row>
    <row r="2418" spans="1:24">
      <c r="A2418">
        <f>HYPERLINK("https://www.philgeps.gov.ph/GEPSNONPILOT/Tender/SplashBidNoticeAbstractUI.aspx?menuIndex=3&amp;refID=7039208&amp;Result=3","7039208")</f>
        <v>0</v>
      </c>
      <c r="B2418" t="s">
        <v>1023</v>
      </c>
      <c r="C2418" t="s">
        <v>5410</v>
      </c>
      <c r="D2418" t="s">
        <v>16265</v>
      </c>
      <c r="E2418" t="s">
        <v>18500</v>
      </c>
      <c r="F2418" t="s">
        <v>28198</v>
      </c>
      <c r="G2418" t="s">
        <v>28205</v>
      </c>
      <c r="H2418" t="s">
        <v>28214</v>
      </c>
      <c r="I2418" t="s">
        <v>3797</v>
      </c>
      <c r="J2418" t="s">
        <v>29986</v>
      </c>
      <c r="K2418" t="s">
        <v>36730</v>
      </c>
      <c r="M2418" t="s">
        <v>38054</v>
      </c>
      <c r="N2418" t="s">
        <v>40436</v>
      </c>
      <c r="O2418" t="s">
        <v>40437</v>
      </c>
      <c r="P2418">
        <v>0</v>
      </c>
      <c r="Q2418">
        <v>0</v>
      </c>
      <c r="R2418" t="s">
        <v>40439</v>
      </c>
      <c r="S2418" t="s">
        <v>40588</v>
      </c>
      <c r="T2418" t="s">
        <v>42108</v>
      </c>
      <c r="U2418" t="s">
        <v>44725</v>
      </c>
      <c r="W2418" t="s">
        <v>38054</v>
      </c>
      <c r="X2418" t="s">
        <v>40445</v>
      </c>
    </row>
    <row r="2419" spans="1:24">
      <c r="A2419">
        <f>HYPERLINK("https://www.philgeps.gov.ph/GEPSNONPILOT/Tender/SplashBidNoticeAbstractUI.aspx?menuIndex=3&amp;refID=7039525&amp;Result=3","7039525")</f>
        <v>0</v>
      </c>
      <c r="B2419" t="s">
        <v>1023</v>
      </c>
      <c r="C2419" t="s">
        <v>5411</v>
      </c>
      <c r="E2419" t="s">
        <v>18501</v>
      </c>
      <c r="F2419" t="s">
        <v>28198</v>
      </c>
      <c r="G2419" t="s">
        <v>28205</v>
      </c>
      <c r="H2419" t="s">
        <v>28214</v>
      </c>
      <c r="I2419" t="s">
        <v>3797</v>
      </c>
      <c r="J2419" t="s">
        <v>29987</v>
      </c>
      <c r="K2419" t="s">
        <v>36694</v>
      </c>
      <c r="M2419" t="s">
        <v>38054</v>
      </c>
      <c r="N2419" t="s">
        <v>40436</v>
      </c>
      <c r="O2419" t="s">
        <v>40437</v>
      </c>
      <c r="P2419">
        <v>0</v>
      </c>
      <c r="Q2419">
        <v>1</v>
      </c>
      <c r="R2419" t="s">
        <v>40439</v>
      </c>
      <c r="S2419" t="s">
        <v>40588</v>
      </c>
      <c r="T2419" t="s">
        <v>42108</v>
      </c>
      <c r="U2419" t="s">
        <v>44726</v>
      </c>
      <c r="W2419" t="s">
        <v>38054</v>
      </c>
      <c r="X2419" t="s">
        <v>40445</v>
      </c>
    </row>
    <row r="2420" spans="1:24">
      <c r="A2420">
        <f>HYPERLINK("https://www.philgeps.gov.ph/GEPSNONPILOT/Tender/SplashBidNoticeAbstractUI.aspx?menuIndex=3&amp;refID=7039164&amp;Result=3","7039164")</f>
        <v>0</v>
      </c>
      <c r="B2420" t="s">
        <v>1025</v>
      </c>
      <c r="C2420" t="s">
        <v>5412</v>
      </c>
      <c r="D2420" t="s">
        <v>16199</v>
      </c>
      <c r="E2420" t="s">
        <v>18502</v>
      </c>
      <c r="F2420" t="s">
        <v>28198</v>
      </c>
      <c r="G2420" t="s">
        <v>28205</v>
      </c>
      <c r="H2420" t="s">
        <v>28214</v>
      </c>
      <c r="I2420" t="s">
        <v>8870</v>
      </c>
      <c r="J2420" t="s">
        <v>29988</v>
      </c>
      <c r="K2420" t="s">
        <v>36692</v>
      </c>
      <c r="M2420" t="s">
        <v>38056</v>
      </c>
      <c r="N2420" t="s">
        <v>40436</v>
      </c>
      <c r="O2420" t="s">
        <v>40437</v>
      </c>
      <c r="P2420">
        <v>0</v>
      </c>
      <c r="Q2420">
        <v>0</v>
      </c>
      <c r="R2420" t="s">
        <v>40439</v>
      </c>
      <c r="S2420" t="s">
        <v>40588</v>
      </c>
      <c r="T2420" t="s">
        <v>42112</v>
      </c>
      <c r="U2420" t="s">
        <v>44719</v>
      </c>
      <c r="W2420" t="s">
        <v>38056</v>
      </c>
      <c r="X2420" t="s">
        <v>40445</v>
      </c>
    </row>
    <row r="2421" spans="1:24">
      <c r="A2421">
        <f>HYPERLINK("https://www.philgeps.gov.ph/GEPSNONPILOT/Tender/SplashBidNoticeAbstractUI.aspx?menuIndex=3&amp;refID=7040310&amp;Result=3","7040310")</f>
        <v>0</v>
      </c>
      <c r="B2421" t="s">
        <v>1027</v>
      </c>
      <c r="C2421" t="s">
        <v>5413</v>
      </c>
      <c r="D2421" t="s">
        <v>16191</v>
      </c>
      <c r="E2421" t="s">
        <v>16588</v>
      </c>
      <c r="F2421" t="s">
        <v>28198</v>
      </c>
      <c r="G2421" t="s">
        <v>28205</v>
      </c>
      <c r="H2421" t="s">
        <v>28215</v>
      </c>
      <c r="I2421" t="s">
        <v>4200</v>
      </c>
      <c r="J2421" t="s">
        <v>28589</v>
      </c>
      <c r="K2421" t="s">
        <v>36688</v>
      </c>
      <c r="M2421" t="s">
        <v>38058</v>
      </c>
      <c r="N2421" t="s">
        <v>40436</v>
      </c>
      <c r="O2421" t="s">
        <v>40437</v>
      </c>
      <c r="P2421">
        <v>0</v>
      </c>
      <c r="Q2421">
        <v>1</v>
      </c>
      <c r="R2421" t="s">
        <v>40439</v>
      </c>
      <c r="S2421" t="s">
        <v>40588</v>
      </c>
      <c r="T2421" t="s">
        <v>42177</v>
      </c>
      <c r="U2421" t="s">
        <v>44727</v>
      </c>
      <c r="W2421" t="s">
        <v>38058</v>
      </c>
      <c r="X2421" t="s">
        <v>40445</v>
      </c>
    </row>
    <row r="2422" spans="1:24">
      <c r="A2422">
        <f>HYPERLINK("https://www.philgeps.gov.ph/GEPSNONPILOT/Tender/SplashBidNoticeAbstractUI.aspx?menuIndex=3&amp;refID=7040043&amp;Result=3","7040043")</f>
        <v>0</v>
      </c>
      <c r="B2422" t="s">
        <v>1028</v>
      </c>
      <c r="C2422" t="s">
        <v>5414</v>
      </c>
      <c r="D2422" t="s">
        <v>16222</v>
      </c>
      <c r="E2422" t="s">
        <v>18503</v>
      </c>
      <c r="F2422" t="s">
        <v>28198</v>
      </c>
      <c r="G2422" t="s">
        <v>28205</v>
      </c>
      <c r="H2422" t="s">
        <v>28215</v>
      </c>
      <c r="I2422" t="s">
        <v>28228</v>
      </c>
      <c r="J2422" t="s">
        <v>29989</v>
      </c>
      <c r="K2422" t="s">
        <v>36688</v>
      </c>
      <c r="M2422" t="s">
        <v>38059</v>
      </c>
      <c r="N2422" t="s">
        <v>40436</v>
      </c>
      <c r="O2422" t="s">
        <v>40437</v>
      </c>
      <c r="P2422">
        <v>0</v>
      </c>
      <c r="Q2422">
        <v>0</v>
      </c>
      <c r="R2422" t="s">
        <v>40439</v>
      </c>
      <c r="S2422" t="s">
        <v>40588</v>
      </c>
      <c r="T2422" t="s">
        <v>42315</v>
      </c>
      <c r="U2422" t="s">
        <v>44728</v>
      </c>
      <c r="V2422" t="s">
        <v>54051</v>
      </c>
      <c r="W2422" t="s">
        <v>38059</v>
      </c>
      <c r="X2422" t="s">
        <v>40445</v>
      </c>
    </row>
    <row r="2423" spans="1:24">
      <c r="A2423">
        <f>HYPERLINK("https://www.philgeps.gov.ph/GEPSNONPILOT/Tender/SplashBidNoticeAbstractUI.aspx?menuIndex=3&amp;refID=7039616&amp;Result=3","7039616")</f>
        <v>0</v>
      </c>
      <c r="B2423" t="s">
        <v>1023</v>
      </c>
      <c r="C2423" t="s">
        <v>5415</v>
      </c>
      <c r="D2423" t="s">
        <v>16265</v>
      </c>
      <c r="E2423" t="s">
        <v>18504</v>
      </c>
      <c r="F2423" t="s">
        <v>28198</v>
      </c>
      <c r="G2423" t="s">
        <v>28205</v>
      </c>
      <c r="H2423" t="s">
        <v>28214</v>
      </c>
      <c r="I2423" t="s">
        <v>3797</v>
      </c>
      <c r="J2423" t="s">
        <v>29990</v>
      </c>
      <c r="K2423" t="s">
        <v>36692</v>
      </c>
      <c r="M2423" t="s">
        <v>38054</v>
      </c>
      <c r="N2423" t="s">
        <v>40436</v>
      </c>
      <c r="O2423" t="s">
        <v>40437</v>
      </c>
      <c r="P2423">
        <v>0</v>
      </c>
      <c r="Q2423">
        <v>0</v>
      </c>
      <c r="R2423" t="s">
        <v>40439</v>
      </c>
      <c r="S2423" t="s">
        <v>40588</v>
      </c>
      <c r="T2423" t="s">
        <v>42108</v>
      </c>
      <c r="U2423" t="s">
        <v>44729</v>
      </c>
      <c r="W2423" t="s">
        <v>38054</v>
      </c>
      <c r="X2423" t="s">
        <v>40445</v>
      </c>
    </row>
    <row r="2424" spans="1:24">
      <c r="A2424">
        <f>HYPERLINK("https://www.philgeps.gov.ph/GEPSNONPILOT/Tender/SplashBidNoticeAbstractUI.aspx?menuIndex=3&amp;refID=7040009&amp;Result=3","7040009")</f>
        <v>0</v>
      </c>
      <c r="B2424" t="s">
        <v>1028</v>
      </c>
      <c r="C2424" t="s">
        <v>5416</v>
      </c>
      <c r="D2424" t="s">
        <v>16222</v>
      </c>
      <c r="E2424" t="s">
        <v>18505</v>
      </c>
      <c r="F2424" t="s">
        <v>28198</v>
      </c>
      <c r="G2424" t="s">
        <v>28205</v>
      </c>
      <c r="H2424" t="s">
        <v>28215</v>
      </c>
      <c r="I2424" t="s">
        <v>28228</v>
      </c>
      <c r="J2424" t="s">
        <v>29991</v>
      </c>
      <c r="K2424" t="s">
        <v>36688</v>
      </c>
      <c r="M2424" t="s">
        <v>38059</v>
      </c>
      <c r="N2424" t="s">
        <v>40436</v>
      </c>
      <c r="O2424" t="s">
        <v>40437</v>
      </c>
      <c r="P2424">
        <v>0</v>
      </c>
      <c r="Q2424">
        <v>0</v>
      </c>
      <c r="R2424" t="s">
        <v>40439</v>
      </c>
      <c r="S2424" t="s">
        <v>40588</v>
      </c>
      <c r="T2424" t="s">
        <v>42316</v>
      </c>
      <c r="U2424" t="s">
        <v>44730</v>
      </c>
      <c r="V2424" t="s">
        <v>54051</v>
      </c>
      <c r="W2424" t="s">
        <v>38059</v>
      </c>
      <c r="X2424" t="s">
        <v>40445</v>
      </c>
    </row>
    <row r="2425" spans="1:24">
      <c r="A2425">
        <f>HYPERLINK("https://www.philgeps.gov.ph/GEPSNONPILOT/Tender/SplashBidNoticeAbstractUI.aspx?menuIndex=3&amp;refID=7041416&amp;Result=3","7041416")</f>
        <v>0</v>
      </c>
      <c r="B2425" t="s">
        <v>169</v>
      </c>
      <c r="C2425" t="s">
        <v>5417</v>
      </c>
      <c r="D2425" t="s">
        <v>16243</v>
      </c>
      <c r="E2425" t="s">
        <v>18506</v>
      </c>
      <c r="F2425" t="s">
        <v>28198</v>
      </c>
      <c r="G2425" t="s">
        <v>28205</v>
      </c>
      <c r="H2425" t="s">
        <v>28215</v>
      </c>
      <c r="I2425" t="s">
        <v>5100</v>
      </c>
      <c r="J2425" t="s">
        <v>29992</v>
      </c>
      <c r="K2425" t="s">
        <v>36707</v>
      </c>
      <c r="M2425" t="s">
        <v>37143</v>
      </c>
      <c r="N2425" t="s">
        <v>40436</v>
      </c>
      <c r="O2425" t="s">
        <v>40437</v>
      </c>
      <c r="P2425">
        <v>0</v>
      </c>
      <c r="Q2425">
        <v>0</v>
      </c>
      <c r="R2425" t="s">
        <v>40439</v>
      </c>
      <c r="S2425" t="s">
        <v>40588</v>
      </c>
      <c r="T2425" t="s">
        <v>42102</v>
      </c>
      <c r="U2425" t="s">
        <v>44731</v>
      </c>
      <c r="W2425" t="s">
        <v>37143</v>
      </c>
      <c r="X2425" t="s">
        <v>40444</v>
      </c>
    </row>
    <row r="2426" spans="1:24">
      <c r="A2426">
        <f>HYPERLINK("https://www.philgeps.gov.ph/GEPSNONPILOT/Tender/SplashBidNoticeAbstractUI.aspx?menuIndex=3&amp;refID=7041332&amp;Result=3","7041332")</f>
        <v>0</v>
      </c>
      <c r="B2426" t="s">
        <v>169</v>
      </c>
      <c r="C2426" t="s">
        <v>5418</v>
      </c>
      <c r="D2426" t="s">
        <v>16243</v>
      </c>
      <c r="E2426" t="s">
        <v>18507</v>
      </c>
      <c r="F2426" t="s">
        <v>28198</v>
      </c>
      <c r="G2426" t="s">
        <v>28205</v>
      </c>
      <c r="H2426" t="s">
        <v>28214</v>
      </c>
      <c r="I2426" t="s">
        <v>3797</v>
      </c>
      <c r="J2426" t="s">
        <v>29993</v>
      </c>
      <c r="K2426" t="s">
        <v>36782</v>
      </c>
      <c r="M2426" t="s">
        <v>37143</v>
      </c>
      <c r="N2426" t="s">
        <v>40436</v>
      </c>
      <c r="O2426" t="s">
        <v>40437</v>
      </c>
      <c r="P2426">
        <v>0</v>
      </c>
      <c r="Q2426">
        <v>0</v>
      </c>
      <c r="R2426" t="s">
        <v>40439</v>
      </c>
      <c r="S2426" t="s">
        <v>40588</v>
      </c>
      <c r="T2426" t="s">
        <v>42102</v>
      </c>
      <c r="U2426" t="s">
        <v>44732</v>
      </c>
      <c r="W2426" t="s">
        <v>37143</v>
      </c>
      <c r="X2426" t="s">
        <v>40444</v>
      </c>
    </row>
    <row r="2427" spans="1:24">
      <c r="A2427">
        <f>HYPERLINK("https://www.philgeps.gov.ph/GEPSNONPILOT/Tender/SplashBidNoticeAbstractUI.aspx?menuIndex=3&amp;refID=7041469&amp;Result=3","7041469")</f>
        <v>0</v>
      </c>
      <c r="B2427" t="s">
        <v>169</v>
      </c>
      <c r="C2427" t="s">
        <v>5419</v>
      </c>
      <c r="D2427" t="s">
        <v>16243</v>
      </c>
      <c r="E2427" t="s">
        <v>18508</v>
      </c>
      <c r="F2427" t="s">
        <v>28198</v>
      </c>
      <c r="G2427" t="s">
        <v>28205</v>
      </c>
      <c r="H2427" t="s">
        <v>28214</v>
      </c>
      <c r="I2427" t="s">
        <v>3797</v>
      </c>
      <c r="J2427" t="s">
        <v>29994</v>
      </c>
      <c r="K2427" t="s">
        <v>36720</v>
      </c>
      <c r="M2427" t="s">
        <v>37143</v>
      </c>
      <c r="N2427" t="s">
        <v>40436</v>
      </c>
      <c r="O2427" t="s">
        <v>40437</v>
      </c>
      <c r="P2427">
        <v>0</v>
      </c>
      <c r="Q2427">
        <v>0</v>
      </c>
      <c r="R2427" t="s">
        <v>40439</v>
      </c>
      <c r="S2427" t="s">
        <v>40588</v>
      </c>
      <c r="T2427" t="s">
        <v>42102</v>
      </c>
      <c r="U2427" t="s">
        <v>44733</v>
      </c>
      <c r="W2427" t="s">
        <v>37143</v>
      </c>
      <c r="X2427" t="s">
        <v>40444</v>
      </c>
    </row>
    <row r="2428" spans="1:24">
      <c r="A2428">
        <f>HYPERLINK("https://www.philgeps.gov.ph/GEPSNONPILOT/Tender/SplashBidNoticeAbstractUI.aspx?menuIndex=3&amp;refID=7041197&amp;Result=3","7041197")</f>
        <v>0</v>
      </c>
      <c r="B2428" t="s">
        <v>46</v>
      </c>
      <c r="C2428" t="s">
        <v>5420</v>
      </c>
      <c r="D2428" t="s">
        <v>16202</v>
      </c>
      <c r="E2428" t="s">
        <v>18509</v>
      </c>
      <c r="F2428" t="s">
        <v>28198</v>
      </c>
      <c r="G2428" t="s">
        <v>28207</v>
      </c>
      <c r="H2428" t="s">
        <v>28215</v>
      </c>
      <c r="I2428" t="s">
        <v>3774</v>
      </c>
      <c r="J2428" t="s">
        <v>29995</v>
      </c>
      <c r="K2428" t="s">
        <v>36689</v>
      </c>
      <c r="L2428" t="s">
        <v>46</v>
      </c>
      <c r="M2428" t="s">
        <v>38060</v>
      </c>
      <c r="N2428" t="s">
        <v>40436</v>
      </c>
      <c r="O2428" t="s">
        <v>40437</v>
      </c>
      <c r="P2428">
        <v>0</v>
      </c>
      <c r="Q2428">
        <v>1</v>
      </c>
      <c r="R2428" t="s">
        <v>40439</v>
      </c>
      <c r="S2428" t="s">
        <v>40588</v>
      </c>
      <c r="T2428" t="s">
        <v>42158</v>
      </c>
      <c r="U2428" t="s">
        <v>44734</v>
      </c>
      <c r="W2428" t="s">
        <v>38060</v>
      </c>
      <c r="X2428" t="s">
        <v>40444</v>
      </c>
    </row>
    <row r="2429" spans="1:24">
      <c r="A2429">
        <f>HYPERLINK("https://www.philgeps.gov.ph/GEPSNONPILOT/Tender/SplashBidNoticeAbstractUI.aspx?menuIndex=3&amp;refID=7041488&amp;Result=3","7041488")</f>
        <v>0</v>
      </c>
      <c r="B2429" t="s">
        <v>103</v>
      </c>
      <c r="C2429" t="s">
        <v>5421</v>
      </c>
      <c r="D2429" t="s">
        <v>16230</v>
      </c>
      <c r="E2429" t="s">
        <v>18510</v>
      </c>
      <c r="F2429" t="s">
        <v>28198</v>
      </c>
      <c r="G2429" t="s">
        <v>28206</v>
      </c>
      <c r="H2429" t="s">
        <v>28215</v>
      </c>
      <c r="I2429" t="s">
        <v>5100</v>
      </c>
      <c r="J2429" t="s">
        <v>29996</v>
      </c>
      <c r="K2429" t="s">
        <v>36706</v>
      </c>
      <c r="M2429" t="s">
        <v>37077</v>
      </c>
      <c r="N2429" t="s">
        <v>40436</v>
      </c>
      <c r="O2429" t="s">
        <v>40437</v>
      </c>
      <c r="P2429">
        <v>0</v>
      </c>
      <c r="Q2429">
        <v>0</v>
      </c>
      <c r="R2429" t="s">
        <v>40439</v>
      </c>
      <c r="S2429" t="s">
        <v>40588</v>
      </c>
      <c r="T2429" t="s">
        <v>42158</v>
      </c>
      <c r="U2429" t="s">
        <v>44735</v>
      </c>
      <c r="V2429" t="s">
        <v>54052</v>
      </c>
      <c r="W2429" t="s">
        <v>37077</v>
      </c>
      <c r="X2429" t="s">
        <v>40444</v>
      </c>
    </row>
    <row r="2430" spans="1:24">
      <c r="A2430">
        <f>HYPERLINK("https://www.philgeps.gov.ph/GEPSNONPILOT/Tender/SplashBidNoticeAbstractUI.aspx?menuIndex=3&amp;refID=7041175&amp;Result=3","7041175")</f>
        <v>0</v>
      </c>
      <c r="B2430" t="s">
        <v>46</v>
      </c>
      <c r="C2430" t="s">
        <v>5422</v>
      </c>
      <c r="D2430" t="s">
        <v>16202</v>
      </c>
      <c r="E2430" t="s">
        <v>18511</v>
      </c>
      <c r="F2430" t="s">
        <v>28198</v>
      </c>
      <c r="G2430" t="s">
        <v>28207</v>
      </c>
      <c r="H2430" t="s">
        <v>28215</v>
      </c>
      <c r="I2430" t="s">
        <v>3774</v>
      </c>
      <c r="J2430" t="s">
        <v>29997</v>
      </c>
      <c r="K2430" t="s">
        <v>36689</v>
      </c>
      <c r="L2430" t="s">
        <v>46</v>
      </c>
      <c r="M2430" t="s">
        <v>38060</v>
      </c>
      <c r="N2430" t="s">
        <v>40436</v>
      </c>
      <c r="O2430" t="s">
        <v>40437</v>
      </c>
      <c r="P2430">
        <v>0</v>
      </c>
      <c r="Q2430">
        <v>0</v>
      </c>
      <c r="R2430" t="s">
        <v>40439</v>
      </c>
      <c r="S2430" t="s">
        <v>40588</v>
      </c>
      <c r="T2430" t="s">
        <v>42158</v>
      </c>
      <c r="U2430" t="s">
        <v>44736</v>
      </c>
      <c r="W2430" t="s">
        <v>38060</v>
      </c>
      <c r="X2430" t="s">
        <v>40444</v>
      </c>
    </row>
    <row r="2431" spans="1:24">
      <c r="A2431">
        <f>HYPERLINK("https://www.philgeps.gov.ph/GEPSNONPILOT/Tender/SplashBidNoticeAbstractUI.aspx?menuIndex=3&amp;refID=7041508&amp;Result=3","7041508")</f>
        <v>0</v>
      </c>
      <c r="B2431" t="s">
        <v>1029</v>
      </c>
      <c r="C2431" t="s">
        <v>5423</v>
      </c>
      <c r="D2431" t="s">
        <v>16221</v>
      </c>
      <c r="E2431" t="s">
        <v>18512</v>
      </c>
      <c r="F2431" t="s">
        <v>28198</v>
      </c>
      <c r="G2431" t="s">
        <v>28206</v>
      </c>
      <c r="H2431" t="s">
        <v>28215</v>
      </c>
      <c r="I2431" t="s">
        <v>5082</v>
      </c>
      <c r="J2431" t="s">
        <v>29998</v>
      </c>
      <c r="K2431" t="s">
        <v>36715</v>
      </c>
      <c r="M2431" t="s">
        <v>38061</v>
      </c>
      <c r="N2431" t="s">
        <v>40436</v>
      </c>
      <c r="O2431" t="s">
        <v>40437</v>
      </c>
      <c r="P2431">
        <v>0</v>
      </c>
      <c r="Q2431">
        <v>4</v>
      </c>
      <c r="R2431" t="s">
        <v>40439</v>
      </c>
      <c r="S2431" t="s">
        <v>40588</v>
      </c>
      <c r="T2431" t="s">
        <v>42317</v>
      </c>
      <c r="U2431" t="s">
        <v>44737</v>
      </c>
      <c r="W2431" t="s">
        <v>38061</v>
      </c>
      <c r="X2431" t="s">
        <v>40444</v>
      </c>
    </row>
    <row r="2432" spans="1:24">
      <c r="A2432">
        <f>HYPERLINK("https://www.philgeps.gov.ph/GEPSNONPILOT/Tender/SplashBidNoticeAbstractUI.aspx?menuIndex=3&amp;refID=7041059&amp;Result=3","7041059")</f>
        <v>0</v>
      </c>
      <c r="B2432" t="s">
        <v>105</v>
      </c>
      <c r="C2432" t="s">
        <v>5424</v>
      </c>
      <c r="D2432" t="s">
        <v>16233</v>
      </c>
      <c r="E2432" t="s">
        <v>18513</v>
      </c>
      <c r="F2432" t="s">
        <v>28198</v>
      </c>
      <c r="G2432" t="s">
        <v>28206</v>
      </c>
      <c r="H2432" t="s">
        <v>28215</v>
      </c>
      <c r="I2432" t="s">
        <v>28227</v>
      </c>
      <c r="J2432" t="s">
        <v>29999</v>
      </c>
      <c r="K2432" t="s">
        <v>36701</v>
      </c>
      <c r="M2432" t="s">
        <v>37961</v>
      </c>
      <c r="N2432" t="s">
        <v>40436</v>
      </c>
      <c r="O2432" t="s">
        <v>40437</v>
      </c>
      <c r="P2432">
        <v>0</v>
      </c>
      <c r="Q2432">
        <v>0</v>
      </c>
      <c r="R2432" t="s">
        <v>40439</v>
      </c>
      <c r="S2432" t="s">
        <v>40588</v>
      </c>
      <c r="T2432" t="s">
        <v>42133</v>
      </c>
      <c r="U2432" t="s">
        <v>44738</v>
      </c>
      <c r="V2432" t="s">
        <v>54022</v>
      </c>
      <c r="W2432" t="s">
        <v>37961</v>
      </c>
      <c r="X2432" t="s">
        <v>40444</v>
      </c>
    </row>
    <row r="2433" spans="1:24">
      <c r="A2433">
        <f>HYPERLINK("https://www.philgeps.gov.ph/GEPSNONPILOT/Tender/SplashBidNoticeAbstractUI.aspx?menuIndex=3&amp;refID=7041277&amp;Result=3","7041277")</f>
        <v>0</v>
      </c>
      <c r="B2433" t="s">
        <v>103</v>
      </c>
      <c r="C2433" t="s">
        <v>5425</v>
      </c>
      <c r="D2433" t="s">
        <v>16230</v>
      </c>
      <c r="E2433" t="s">
        <v>18514</v>
      </c>
      <c r="F2433" t="s">
        <v>28198</v>
      </c>
      <c r="G2433" t="s">
        <v>28206</v>
      </c>
      <c r="H2433" t="s">
        <v>28215</v>
      </c>
      <c r="I2433" t="s">
        <v>5100</v>
      </c>
      <c r="J2433" t="s">
        <v>30000</v>
      </c>
      <c r="K2433" t="s">
        <v>36706</v>
      </c>
      <c r="M2433" t="s">
        <v>37077</v>
      </c>
      <c r="N2433" t="s">
        <v>40436</v>
      </c>
      <c r="O2433" t="s">
        <v>40437</v>
      </c>
      <c r="P2433">
        <v>0</v>
      </c>
      <c r="Q2433">
        <v>0</v>
      </c>
      <c r="R2433" t="s">
        <v>40439</v>
      </c>
      <c r="S2433" t="s">
        <v>40588</v>
      </c>
      <c r="T2433" t="s">
        <v>42158</v>
      </c>
      <c r="U2433" t="s">
        <v>44739</v>
      </c>
      <c r="V2433" t="s">
        <v>54053</v>
      </c>
      <c r="W2433" t="s">
        <v>37077</v>
      </c>
      <c r="X2433" t="s">
        <v>40444</v>
      </c>
    </row>
    <row r="2434" spans="1:24">
      <c r="A2434">
        <f>HYPERLINK("https://www.philgeps.gov.ph/GEPSNONPILOT/Tender/SplashBidNoticeAbstractUI.aspx?menuIndex=3&amp;refID=7041511&amp;Result=3","7041511")</f>
        <v>0</v>
      </c>
      <c r="B2434" t="s">
        <v>1009</v>
      </c>
      <c r="C2434" t="s">
        <v>5426</v>
      </c>
      <c r="E2434" t="s">
        <v>18515</v>
      </c>
      <c r="F2434" t="s">
        <v>28198</v>
      </c>
      <c r="G2434" t="s">
        <v>28207</v>
      </c>
      <c r="H2434" t="s">
        <v>28215</v>
      </c>
      <c r="I2434" t="s">
        <v>28225</v>
      </c>
      <c r="J2434" t="s">
        <v>30001</v>
      </c>
      <c r="K2434" t="s">
        <v>36689</v>
      </c>
      <c r="M2434" t="s">
        <v>38050</v>
      </c>
      <c r="N2434" t="s">
        <v>40436</v>
      </c>
      <c r="O2434" t="s">
        <v>40437</v>
      </c>
      <c r="P2434">
        <v>0</v>
      </c>
      <c r="Q2434">
        <v>4</v>
      </c>
      <c r="R2434" t="s">
        <v>40439</v>
      </c>
      <c r="S2434" t="s">
        <v>40588</v>
      </c>
      <c r="T2434" t="s">
        <v>42129</v>
      </c>
      <c r="U2434" t="s">
        <v>44680</v>
      </c>
      <c r="W2434" t="s">
        <v>38050</v>
      </c>
      <c r="X2434" t="s">
        <v>40444</v>
      </c>
    </row>
    <row r="2435" spans="1:24">
      <c r="A2435">
        <f>HYPERLINK("https://www.philgeps.gov.ph/GEPSNONPILOT/Tender/SplashBidNoticeAbstractUI.aspx?menuIndex=3&amp;refID=7041589&amp;Result=3","7041589")</f>
        <v>0</v>
      </c>
      <c r="B2435" t="s">
        <v>169</v>
      </c>
      <c r="C2435" t="s">
        <v>5427</v>
      </c>
      <c r="D2435" t="s">
        <v>16243</v>
      </c>
      <c r="E2435" t="s">
        <v>18516</v>
      </c>
      <c r="F2435" t="s">
        <v>28198</v>
      </c>
      <c r="G2435" t="s">
        <v>28205</v>
      </c>
      <c r="H2435" t="s">
        <v>28214</v>
      </c>
      <c r="I2435" t="s">
        <v>3797</v>
      </c>
      <c r="J2435" t="s">
        <v>30002</v>
      </c>
      <c r="K2435" t="s">
        <v>36783</v>
      </c>
      <c r="M2435" t="s">
        <v>37143</v>
      </c>
      <c r="N2435" t="s">
        <v>40436</v>
      </c>
      <c r="O2435" t="s">
        <v>40437</v>
      </c>
      <c r="P2435">
        <v>0</v>
      </c>
      <c r="Q2435">
        <v>0</v>
      </c>
      <c r="R2435" t="s">
        <v>40439</v>
      </c>
      <c r="S2435" t="s">
        <v>40588</v>
      </c>
      <c r="T2435" t="s">
        <v>42102</v>
      </c>
      <c r="U2435" t="s">
        <v>44740</v>
      </c>
      <c r="W2435" t="s">
        <v>37143</v>
      </c>
      <c r="X2435" t="s">
        <v>40444</v>
      </c>
    </row>
    <row r="2436" spans="1:24">
      <c r="A2436">
        <f>HYPERLINK("https://www.philgeps.gov.ph/GEPSNONPILOT/Tender/SplashBidNoticeAbstractUI.aspx?menuIndex=3&amp;refID=7041154&amp;Result=3","7041154")</f>
        <v>0</v>
      </c>
      <c r="B2436" t="s">
        <v>46</v>
      </c>
      <c r="C2436" t="s">
        <v>5428</v>
      </c>
      <c r="D2436" t="s">
        <v>16202</v>
      </c>
      <c r="E2436" t="s">
        <v>18517</v>
      </c>
      <c r="F2436" t="s">
        <v>28198</v>
      </c>
      <c r="G2436" t="s">
        <v>28207</v>
      </c>
      <c r="H2436" t="s">
        <v>28215</v>
      </c>
      <c r="I2436" t="s">
        <v>4168</v>
      </c>
      <c r="J2436" t="s">
        <v>30003</v>
      </c>
      <c r="K2436" t="s">
        <v>36689</v>
      </c>
      <c r="L2436" t="s">
        <v>46</v>
      </c>
      <c r="M2436" t="s">
        <v>38060</v>
      </c>
      <c r="N2436" t="s">
        <v>40436</v>
      </c>
      <c r="O2436" t="s">
        <v>40437</v>
      </c>
      <c r="P2436">
        <v>0</v>
      </c>
      <c r="Q2436">
        <v>5</v>
      </c>
      <c r="R2436" t="s">
        <v>40439</v>
      </c>
      <c r="S2436" t="s">
        <v>40588</v>
      </c>
      <c r="T2436" t="s">
        <v>42158</v>
      </c>
      <c r="U2436" t="s">
        <v>44741</v>
      </c>
      <c r="W2436" t="s">
        <v>38060</v>
      </c>
      <c r="X2436" t="s">
        <v>40444</v>
      </c>
    </row>
    <row r="2437" spans="1:24">
      <c r="A2437">
        <f>HYPERLINK("https://www.philgeps.gov.ph/GEPSNONPILOT/Tender/SplashBidNoticeAbstractUI.aspx?menuIndex=3&amp;refID=7041103&amp;Result=3","7041103")</f>
        <v>0</v>
      </c>
      <c r="B2437" t="s">
        <v>641</v>
      </c>
      <c r="C2437" t="s">
        <v>5429</v>
      </c>
      <c r="D2437" t="s">
        <v>16228</v>
      </c>
      <c r="E2437" t="s">
        <v>18518</v>
      </c>
      <c r="F2437" t="s">
        <v>28198</v>
      </c>
      <c r="G2437" t="s">
        <v>28210</v>
      </c>
      <c r="H2437" t="s">
        <v>28215</v>
      </c>
      <c r="I2437" t="s">
        <v>4505</v>
      </c>
      <c r="J2437" t="s">
        <v>28694</v>
      </c>
      <c r="K2437" t="s">
        <v>36701</v>
      </c>
      <c r="M2437" t="s">
        <v>37634</v>
      </c>
      <c r="N2437" t="s">
        <v>40436</v>
      </c>
      <c r="O2437" t="s">
        <v>40437</v>
      </c>
      <c r="P2437">
        <v>0</v>
      </c>
      <c r="Q2437">
        <v>13</v>
      </c>
      <c r="R2437" t="s">
        <v>40439</v>
      </c>
      <c r="S2437" t="s">
        <v>40588</v>
      </c>
      <c r="T2437" t="s">
        <v>42228</v>
      </c>
      <c r="U2437" t="s">
        <v>44742</v>
      </c>
      <c r="V2437" t="s">
        <v>54054</v>
      </c>
      <c r="W2437" t="s">
        <v>37634</v>
      </c>
      <c r="X2437" t="s">
        <v>40444</v>
      </c>
    </row>
    <row r="2438" spans="1:24">
      <c r="A2438">
        <f>HYPERLINK("https://www.philgeps.gov.ph/GEPSNONPILOT/Tender/SplashBidNoticeAbstractUI.aspx?menuIndex=3&amp;refID=7041010&amp;Result=3","7041010")</f>
        <v>0</v>
      </c>
      <c r="B2438" t="s">
        <v>1030</v>
      </c>
      <c r="C2438" t="s">
        <v>5430</v>
      </c>
      <c r="D2438" t="s">
        <v>16208</v>
      </c>
      <c r="E2438" t="s">
        <v>18519</v>
      </c>
      <c r="F2438" t="s">
        <v>28198</v>
      </c>
      <c r="G2438" t="s">
        <v>28205</v>
      </c>
      <c r="H2438" t="s">
        <v>28216</v>
      </c>
      <c r="I2438" t="s">
        <v>28216</v>
      </c>
      <c r="J2438" t="s">
        <v>30004</v>
      </c>
      <c r="K2438" t="s">
        <v>36784</v>
      </c>
      <c r="M2438" t="s">
        <v>38062</v>
      </c>
      <c r="N2438" t="s">
        <v>40436</v>
      </c>
      <c r="O2438" t="s">
        <v>40437</v>
      </c>
      <c r="P2438">
        <v>0</v>
      </c>
      <c r="Q2438">
        <v>1</v>
      </c>
      <c r="R2438" t="s">
        <v>40439</v>
      </c>
      <c r="S2438" t="s">
        <v>40588</v>
      </c>
      <c r="T2438" t="s">
        <v>42104</v>
      </c>
      <c r="U2438" t="s">
        <v>44743</v>
      </c>
      <c r="W2438" t="s">
        <v>38062</v>
      </c>
      <c r="X2438" t="s">
        <v>40444</v>
      </c>
    </row>
    <row r="2439" spans="1:24">
      <c r="A2439">
        <f>HYPERLINK("https://www.philgeps.gov.ph/GEPSNONPILOT/Tender/SplashBidNoticeAbstractUI.aspx?menuIndex=3&amp;refID=7041711&amp;Result=3","7041711")</f>
        <v>0</v>
      </c>
      <c r="B2439" t="s">
        <v>103</v>
      </c>
      <c r="C2439" t="s">
        <v>5431</v>
      </c>
      <c r="D2439" t="s">
        <v>16230</v>
      </c>
      <c r="E2439" t="s">
        <v>18520</v>
      </c>
      <c r="F2439" t="s">
        <v>28198</v>
      </c>
      <c r="G2439" t="s">
        <v>28206</v>
      </c>
      <c r="H2439" t="s">
        <v>28215</v>
      </c>
      <c r="I2439" t="s">
        <v>5100</v>
      </c>
      <c r="J2439" t="s">
        <v>30005</v>
      </c>
      <c r="K2439" t="s">
        <v>36706</v>
      </c>
      <c r="M2439" t="s">
        <v>37077</v>
      </c>
      <c r="N2439" t="s">
        <v>40436</v>
      </c>
      <c r="O2439" t="s">
        <v>40437</v>
      </c>
      <c r="P2439">
        <v>0</v>
      </c>
      <c r="Q2439">
        <v>0</v>
      </c>
      <c r="R2439" t="s">
        <v>40439</v>
      </c>
      <c r="S2439" t="s">
        <v>40588</v>
      </c>
      <c r="T2439" t="s">
        <v>42158</v>
      </c>
      <c r="U2439" t="s">
        <v>44744</v>
      </c>
      <c r="V2439" t="s">
        <v>54055</v>
      </c>
      <c r="W2439" t="s">
        <v>37077</v>
      </c>
      <c r="X2439" t="s">
        <v>40444</v>
      </c>
    </row>
    <row r="2440" spans="1:24">
      <c r="A2440">
        <f>HYPERLINK("https://www.philgeps.gov.ph/GEPSNONPILOT/Tender/SplashBidNoticeAbstractUI.aspx?menuIndex=3&amp;refID=7041806&amp;Result=3","7041806")</f>
        <v>0</v>
      </c>
      <c r="B2440" t="s">
        <v>1031</v>
      </c>
      <c r="C2440" t="s">
        <v>5432</v>
      </c>
      <c r="D2440" t="s">
        <v>16242</v>
      </c>
      <c r="E2440" t="s">
        <v>5432</v>
      </c>
      <c r="F2440" t="s">
        <v>28198</v>
      </c>
      <c r="G2440" t="s">
        <v>28206</v>
      </c>
      <c r="H2440" t="s">
        <v>28215</v>
      </c>
      <c r="I2440" t="s">
        <v>28253</v>
      </c>
      <c r="J2440" t="s">
        <v>30006</v>
      </c>
      <c r="K2440" t="s">
        <v>36688</v>
      </c>
      <c r="M2440" t="s">
        <v>38063</v>
      </c>
      <c r="N2440" t="s">
        <v>40436</v>
      </c>
      <c r="O2440" t="s">
        <v>40437</v>
      </c>
      <c r="P2440">
        <v>0</v>
      </c>
      <c r="Q2440">
        <v>7</v>
      </c>
      <c r="R2440" t="s">
        <v>40439</v>
      </c>
      <c r="S2440" t="s">
        <v>40588</v>
      </c>
      <c r="T2440" t="s">
        <v>42190</v>
      </c>
      <c r="U2440" t="s">
        <v>44745</v>
      </c>
      <c r="V2440" t="s">
        <v>54056</v>
      </c>
      <c r="W2440" t="s">
        <v>38063</v>
      </c>
      <c r="X2440" t="s">
        <v>40444</v>
      </c>
    </row>
    <row r="2441" spans="1:24">
      <c r="A2441">
        <f>HYPERLINK("https://www.philgeps.gov.ph/GEPSNONPILOT/Tender/SplashBidNoticeAbstractUI.aspx?menuIndex=3&amp;refID=7041568&amp;Result=3","7041568")</f>
        <v>0</v>
      </c>
      <c r="B2441" t="s">
        <v>269</v>
      </c>
      <c r="C2441" t="s">
        <v>5433</v>
      </c>
      <c r="E2441" t="s">
        <v>18521</v>
      </c>
      <c r="F2441" t="s">
        <v>28198</v>
      </c>
      <c r="G2441" t="s">
        <v>28207</v>
      </c>
      <c r="H2441" t="s">
        <v>28215</v>
      </c>
      <c r="I2441" t="s">
        <v>28268</v>
      </c>
      <c r="J2441" t="s">
        <v>30007</v>
      </c>
      <c r="K2441" t="s">
        <v>36689</v>
      </c>
      <c r="M2441" t="s">
        <v>37246</v>
      </c>
      <c r="N2441" t="s">
        <v>40436</v>
      </c>
      <c r="O2441" t="s">
        <v>40437</v>
      </c>
      <c r="P2441">
        <v>0</v>
      </c>
      <c r="Q2441">
        <v>1</v>
      </c>
      <c r="R2441" t="s">
        <v>40439</v>
      </c>
      <c r="S2441" t="s">
        <v>40588</v>
      </c>
      <c r="T2441" t="s">
        <v>42131</v>
      </c>
      <c r="U2441" t="s">
        <v>44746</v>
      </c>
      <c r="W2441" t="s">
        <v>37246</v>
      </c>
      <c r="X2441" t="s">
        <v>40444</v>
      </c>
    </row>
    <row r="2442" spans="1:24">
      <c r="A2442">
        <f>HYPERLINK("https://www.philgeps.gov.ph/GEPSNONPILOT/Tender/SplashBidNoticeAbstractUI.aspx?menuIndex=3&amp;refID=7041787&amp;Result=3","7041787")</f>
        <v>0</v>
      </c>
      <c r="B2442" t="s">
        <v>169</v>
      </c>
      <c r="C2442" t="s">
        <v>5434</v>
      </c>
      <c r="D2442" t="s">
        <v>16243</v>
      </c>
      <c r="E2442" t="s">
        <v>18522</v>
      </c>
      <c r="F2442" t="s">
        <v>28198</v>
      </c>
      <c r="G2442" t="s">
        <v>28205</v>
      </c>
      <c r="H2442" t="s">
        <v>28214</v>
      </c>
      <c r="I2442" t="s">
        <v>3797</v>
      </c>
      <c r="J2442" t="s">
        <v>30008</v>
      </c>
      <c r="K2442" t="s">
        <v>36695</v>
      </c>
      <c r="M2442" t="s">
        <v>37143</v>
      </c>
      <c r="N2442" t="s">
        <v>40436</v>
      </c>
      <c r="O2442" t="s">
        <v>40437</v>
      </c>
      <c r="P2442">
        <v>0</v>
      </c>
      <c r="Q2442">
        <v>0</v>
      </c>
      <c r="R2442" t="s">
        <v>40439</v>
      </c>
      <c r="S2442" t="s">
        <v>40588</v>
      </c>
      <c r="T2442" t="s">
        <v>42102</v>
      </c>
      <c r="U2442" t="s">
        <v>44747</v>
      </c>
      <c r="W2442" t="s">
        <v>37143</v>
      </c>
      <c r="X2442" t="s">
        <v>40444</v>
      </c>
    </row>
    <row r="2443" spans="1:24">
      <c r="A2443">
        <f>HYPERLINK("https://www.philgeps.gov.ph/GEPSNONPILOT/Tender/SplashBidNoticeAbstractUI.aspx?menuIndex=3&amp;refID=7041804&amp;Result=3","7041804")</f>
        <v>0</v>
      </c>
      <c r="B2443" t="s">
        <v>1032</v>
      </c>
      <c r="C2443" t="s">
        <v>5435</v>
      </c>
      <c r="D2443" t="s">
        <v>16210</v>
      </c>
      <c r="E2443" t="s">
        <v>16571</v>
      </c>
      <c r="F2443" t="s">
        <v>28198</v>
      </c>
      <c r="G2443" t="s">
        <v>28207</v>
      </c>
      <c r="H2443" t="s">
        <v>28215</v>
      </c>
      <c r="I2443" t="s">
        <v>3774</v>
      </c>
      <c r="J2443" t="s">
        <v>28559</v>
      </c>
      <c r="K2443" t="s">
        <v>36701</v>
      </c>
      <c r="M2443" t="s">
        <v>38064</v>
      </c>
      <c r="N2443" t="s">
        <v>40436</v>
      </c>
      <c r="O2443" t="s">
        <v>40437</v>
      </c>
      <c r="P2443">
        <v>0</v>
      </c>
      <c r="Q2443">
        <v>2</v>
      </c>
      <c r="R2443" t="s">
        <v>40439</v>
      </c>
      <c r="S2443" t="s">
        <v>40588</v>
      </c>
      <c r="T2443" t="s">
        <v>42131</v>
      </c>
      <c r="U2443" t="s">
        <v>44748</v>
      </c>
      <c r="W2443" t="s">
        <v>38064</v>
      </c>
      <c r="X2443" t="s">
        <v>40444</v>
      </c>
    </row>
    <row r="2444" spans="1:24">
      <c r="A2444">
        <f>HYPERLINK("https://www.philgeps.gov.ph/GEPSNONPILOT/Tender/SplashBidNoticeAbstractUI.aspx?menuIndex=3&amp;refID=7041553&amp;Result=3","7041553")</f>
        <v>0</v>
      </c>
      <c r="B2444" t="s">
        <v>1033</v>
      </c>
      <c r="C2444" t="s">
        <v>5436</v>
      </c>
      <c r="D2444" t="s">
        <v>16187</v>
      </c>
      <c r="E2444" t="s">
        <v>18523</v>
      </c>
      <c r="F2444" t="s">
        <v>28198</v>
      </c>
      <c r="G2444" t="s">
        <v>28207</v>
      </c>
      <c r="H2444" t="s">
        <v>28215</v>
      </c>
      <c r="I2444" t="s">
        <v>5631</v>
      </c>
      <c r="J2444" t="s">
        <v>30009</v>
      </c>
      <c r="K2444" t="s">
        <v>36689</v>
      </c>
      <c r="M2444" t="s">
        <v>38065</v>
      </c>
      <c r="N2444" t="s">
        <v>40436</v>
      </c>
      <c r="O2444" t="s">
        <v>40437</v>
      </c>
      <c r="P2444">
        <v>0</v>
      </c>
      <c r="Q2444">
        <v>0</v>
      </c>
      <c r="R2444" t="s">
        <v>40439</v>
      </c>
      <c r="S2444" t="s">
        <v>40588</v>
      </c>
      <c r="T2444" t="s">
        <v>42318</v>
      </c>
      <c r="U2444" t="s">
        <v>44749</v>
      </c>
      <c r="W2444" t="s">
        <v>38065</v>
      </c>
      <c r="X2444" t="s">
        <v>40444</v>
      </c>
    </row>
    <row r="2445" spans="1:24">
      <c r="A2445">
        <f>HYPERLINK("https://www.philgeps.gov.ph/GEPSNONPILOT/Tender/SplashBidNoticeAbstractUI.aspx?menuIndex=3&amp;refID=7041729&amp;Result=3","7041729")</f>
        <v>0</v>
      </c>
      <c r="B2445" t="s">
        <v>1034</v>
      </c>
      <c r="C2445" t="s">
        <v>5437</v>
      </c>
      <c r="D2445" t="s">
        <v>16213</v>
      </c>
      <c r="E2445" t="s">
        <v>18524</v>
      </c>
      <c r="F2445" t="s">
        <v>28198</v>
      </c>
      <c r="G2445" t="s">
        <v>28205</v>
      </c>
      <c r="H2445" t="s">
        <v>28214</v>
      </c>
      <c r="I2445" t="s">
        <v>3797</v>
      </c>
      <c r="J2445" t="s">
        <v>30010</v>
      </c>
      <c r="K2445" t="s">
        <v>36715</v>
      </c>
      <c r="M2445" t="s">
        <v>38066</v>
      </c>
      <c r="N2445" t="s">
        <v>40436</v>
      </c>
      <c r="O2445" t="s">
        <v>40437</v>
      </c>
      <c r="P2445">
        <v>0</v>
      </c>
      <c r="Q2445">
        <v>1</v>
      </c>
      <c r="R2445" t="s">
        <v>40439</v>
      </c>
      <c r="S2445" t="s">
        <v>40588</v>
      </c>
      <c r="T2445" t="s">
        <v>42144</v>
      </c>
      <c r="U2445" t="s">
        <v>44750</v>
      </c>
      <c r="W2445" t="s">
        <v>38066</v>
      </c>
      <c r="X2445" t="s">
        <v>40444</v>
      </c>
    </row>
    <row r="2446" spans="1:24">
      <c r="A2446">
        <f>HYPERLINK("https://www.philgeps.gov.ph/GEPSNONPILOT/Tender/SplashBidNoticeAbstractUI.aspx?menuIndex=3&amp;refID=7041583&amp;Result=3","7041583")</f>
        <v>0</v>
      </c>
      <c r="B2446" t="s">
        <v>489</v>
      </c>
      <c r="C2446" t="s">
        <v>5438</v>
      </c>
      <c r="D2446" t="s">
        <v>16190</v>
      </c>
      <c r="E2446" t="s">
        <v>16473</v>
      </c>
      <c r="F2446" t="s">
        <v>28198</v>
      </c>
      <c r="G2446" t="s">
        <v>28206</v>
      </c>
      <c r="H2446" t="s">
        <v>28215</v>
      </c>
      <c r="I2446" t="s">
        <v>28254</v>
      </c>
      <c r="J2446" t="s">
        <v>29246</v>
      </c>
      <c r="K2446" t="s">
        <v>36689</v>
      </c>
      <c r="M2446" t="s">
        <v>37474</v>
      </c>
      <c r="N2446" t="s">
        <v>40436</v>
      </c>
      <c r="O2446" t="s">
        <v>40437</v>
      </c>
      <c r="P2446">
        <v>0</v>
      </c>
      <c r="Q2446">
        <v>0</v>
      </c>
      <c r="R2446" t="s">
        <v>40439</v>
      </c>
      <c r="S2446" t="s">
        <v>40588</v>
      </c>
      <c r="T2446" t="s">
        <v>42245</v>
      </c>
      <c r="U2446" t="s">
        <v>44751</v>
      </c>
      <c r="W2446" t="s">
        <v>37474</v>
      </c>
      <c r="X2446" t="s">
        <v>40444</v>
      </c>
    </row>
    <row r="2447" spans="1:24">
      <c r="A2447">
        <f>HYPERLINK("https://www.philgeps.gov.ph/GEPSNONPILOT/Tender/SplashBidNoticeAbstractUI.aspx?menuIndex=3&amp;refID=7042021&amp;Result=3","7042021")</f>
        <v>0</v>
      </c>
      <c r="B2447" t="s">
        <v>884</v>
      </c>
      <c r="C2447" t="s">
        <v>5439</v>
      </c>
      <c r="D2447" t="s">
        <v>16230</v>
      </c>
      <c r="E2447" t="s">
        <v>18525</v>
      </c>
      <c r="F2447" t="s">
        <v>28198</v>
      </c>
      <c r="G2447" t="s">
        <v>28209</v>
      </c>
      <c r="H2447" t="s">
        <v>28215</v>
      </c>
      <c r="I2447" t="s">
        <v>28243</v>
      </c>
      <c r="J2447" t="s">
        <v>30011</v>
      </c>
      <c r="K2447" t="s">
        <v>36694</v>
      </c>
      <c r="L2447" t="s">
        <v>884</v>
      </c>
      <c r="M2447" t="s">
        <v>37900</v>
      </c>
      <c r="N2447" t="s">
        <v>40436</v>
      </c>
      <c r="O2447" t="s">
        <v>40437</v>
      </c>
      <c r="P2447">
        <v>0</v>
      </c>
      <c r="Q2447">
        <v>3</v>
      </c>
      <c r="R2447" t="s">
        <v>40439</v>
      </c>
      <c r="S2447" t="s">
        <v>40588</v>
      </c>
      <c r="T2447" t="s">
        <v>42100</v>
      </c>
      <c r="U2447" t="s">
        <v>44752</v>
      </c>
      <c r="V2447" t="s">
        <v>54057</v>
      </c>
      <c r="W2447" t="s">
        <v>37900</v>
      </c>
      <c r="X2447" t="s">
        <v>40444</v>
      </c>
    </row>
    <row r="2448" spans="1:24">
      <c r="A2448">
        <f>HYPERLINK("https://www.philgeps.gov.ph/GEPSNONPILOT/Tender/SplashBidNoticeAbstractUI.aspx?menuIndex=3&amp;refID=7041644&amp;Result=3","7041644")</f>
        <v>0</v>
      </c>
      <c r="B2448" t="s">
        <v>1035</v>
      </c>
      <c r="C2448" t="s">
        <v>5440</v>
      </c>
      <c r="D2448" t="s">
        <v>16209</v>
      </c>
      <c r="E2448" t="s">
        <v>18526</v>
      </c>
      <c r="F2448" t="s">
        <v>28198</v>
      </c>
      <c r="G2448" t="s">
        <v>28205</v>
      </c>
      <c r="H2448" t="s">
        <v>28215</v>
      </c>
      <c r="I2448" t="s">
        <v>28308</v>
      </c>
      <c r="J2448" t="s">
        <v>30012</v>
      </c>
      <c r="K2448" t="s">
        <v>36701</v>
      </c>
      <c r="M2448" t="s">
        <v>38067</v>
      </c>
      <c r="N2448" t="s">
        <v>40436</v>
      </c>
      <c r="O2448" t="s">
        <v>40437</v>
      </c>
      <c r="P2448">
        <v>0</v>
      </c>
      <c r="Q2448">
        <v>0</v>
      </c>
      <c r="R2448" t="s">
        <v>40439</v>
      </c>
      <c r="S2448" t="s">
        <v>40588</v>
      </c>
      <c r="T2448" t="s">
        <v>42175</v>
      </c>
      <c r="U2448" t="s">
        <v>44753</v>
      </c>
      <c r="W2448" t="s">
        <v>38067</v>
      </c>
      <c r="X2448" t="s">
        <v>40444</v>
      </c>
    </row>
    <row r="2449" spans="1:24">
      <c r="A2449">
        <f>HYPERLINK("https://www.philgeps.gov.ph/GEPSNONPILOT/Tender/SplashBidNoticeAbstractUI.aspx?menuIndex=3&amp;refID=7042066&amp;Result=3","7042066")</f>
        <v>0</v>
      </c>
      <c r="B2449" t="s">
        <v>169</v>
      </c>
      <c r="C2449" t="s">
        <v>5441</v>
      </c>
      <c r="D2449" t="s">
        <v>16243</v>
      </c>
      <c r="E2449" t="s">
        <v>18527</v>
      </c>
      <c r="F2449" t="s">
        <v>28198</v>
      </c>
      <c r="G2449" t="s">
        <v>28205</v>
      </c>
      <c r="H2449" t="s">
        <v>28214</v>
      </c>
      <c r="I2449" t="s">
        <v>3797</v>
      </c>
      <c r="J2449" t="s">
        <v>30013</v>
      </c>
      <c r="K2449" t="s">
        <v>36706</v>
      </c>
      <c r="M2449" t="s">
        <v>37143</v>
      </c>
      <c r="N2449" t="s">
        <v>40436</v>
      </c>
      <c r="O2449" t="s">
        <v>40437</v>
      </c>
      <c r="P2449">
        <v>0</v>
      </c>
      <c r="Q2449">
        <v>0</v>
      </c>
      <c r="R2449" t="s">
        <v>40439</v>
      </c>
      <c r="S2449" t="s">
        <v>40588</v>
      </c>
      <c r="T2449" t="s">
        <v>42102</v>
      </c>
      <c r="U2449" t="s">
        <v>44754</v>
      </c>
      <c r="W2449" t="s">
        <v>37143</v>
      </c>
      <c r="X2449" t="s">
        <v>40444</v>
      </c>
    </row>
    <row r="2450" spans="1:24">
      <c r="A2450">
        <f>HYPERLINK("https://www.philgeps.gov.ph/GEPSNONPILOT/Tender/SplashBidNoticeAbstractUI.aspx?menuIndex=3&amp;refID=7042042&amp;Result=3","7042042")</f>
        <v>0</v>
      </c>
      <c r="B2450" t="s">
        <v>884</v>
      </c>
      <c r="C2450" t="s">
        <v>5442</v>
      </c>
      <c r="D2450" t="s">
        <v>16230</v>
      </c>
      <c r="E2450" t="s">
        <v>18528</v>
      </c>
      <c r="F2450" t="s">
        <v>28198</v>
      </c>
      <c r="G2450" t="s">
        <v>28209</v>
      </c>
      <c r="H2450" t="s">
        <v>28215</v>
      </c>
      <c r="I2450" t="s">
        <v>28222</v>
      </c>
      <c r="J2450" t="s">
        <v>28468</v>
      </c>
      <c r="K2450" t="s">
        <v>36694</v>
      </c>
      <c r="L2450" t="s">
        <v>884</v>
      </c>
      <c r="M2450" t="s">
        <v>37900</v>
      </c>
      <c r="N2450" t="s">
        <v>40436</v>
      </c>
      <c r="O2450" t="s">
        <v>40437</v>
      </c>
      <c r="P2450">
        <v>0</v>
      </c>
      <c r="Q2450">
        <v>4</v>
      </c>
      <c r="R2450" t="s">
        <v>40439</v>
      </c>
      <c r="S2450" t="s">
        <v>40588</v>
      </c>
      <c r="T2450" t="s">
        <v>42100</v>
      </c>
      <c r="U2450" t="s">
        <v>44755</v>
      </c>
      <c r="V2450" t="s">
        <v>54057</v>
      </c>
      <c r="W2450" t="s">
        <v>37900</v>
      </c>
      <c r="X2450" t="s">
        <v>40444</v>
      </c>
    </row>
    <row r="2451" spans="1:24">
      <c r="A2451">
        <f>HYPERLINK("https://www.philgeps.gov.ph/GEPSNONPILOT/Tender/SplashBidNoticeAbstractUI.aspx?menuIndex=3&amp;refID=7041969&amp;Result=3","7041969")</f>
        <v>0</v>
      </c>
      <c r="B2451" t="s">
        <v>884</v>
      </c>
      <c r="C2451" t="s">
        <v>5443</v>
      </c>
      <c r="D2451" t="s">
        <v>16230</v>
      </c>
      <c r="E2451" t="s">
        <v>18529</v>
      </c>
      <c r="F2451" t="s">
        <v>28198</v>
      </c>
      <c r="G2451" t="s">
        <v>28205</v>
      </c>
      <c r="H2451" t="s">
        <v>28215</v>
      </c>
      <c r="I2451" t="s">
        <v>8888</v>
      </c>
      <c r="J2451" t="s">
        <v>30014</v>
      </c>
      <c r="K2451" t="s">
        <v>36706</v>
      </c>
      <c r="L2451" t="s">
        <v>884</v>
      </c>
      <c r="M2451" t="s">
        <v>37900</v>
      </c>
      <c r="N2451" t="s">
        <v>40436</v>
      </c>
      <c r="O2451" t="s">
        <v>40437</v>
      </c>
      <c r="P2451">
        <v>0</v>
      </c>
      <c r="Q2451">
        <v>2</v>
      </c>
      <c r="R2451" t="s">
        <v>40439</v>
      </c>
      <c r="S2451" t="s">
        <v>40588</v>
      </c>
      <c r="T2451" t="s">
        <v>42100</v>
      </c>
      <c r="U2451" t="s">
        <v>44756</v>
      </c>
      <c r="V2451" t="s">
        <v>54058</v>
      </c>
      <c r="W2451" t="s">
        <v>37900</v>
      </c>
      <c r="X2451" t="s">
        <v>40444</v>
      </c>
    </row>
    <row r="2452" spans="1:24">
      <c r="A2452">
        <f>HYPERLINK("https://www.philgeps.gov.ph/GEPSNONPILOT/Tender/SplashBidNoticeAbstractUI.aspx?menuIndex=3&amp;refID=7041996&amp;Result=3","7041996")</f>
        <v>0</v>
      </c>
      <c r="B2452" t="s">
        <v>884</v>
      </c>
      <c r="C2452" t="s">
        <v>5444</v>
      </c>
      <c r="D2452" t="s">
        <v>16230</v>
      </c>
      <c r="E2452" t="s">
        <v>18530</v>
      </c>
      <c r="F2452" t="s">
        <v>28198</v>
      </c>
      <c r="G2452" t="s">
        <v>28209</v>
      </c>
      <c r="H2452" t="s">
        <v>28215</v>
      </c>
      <c r="I2452" t="s">
        <v>28222</v>
      </c>
      <c r="J2452" t="s">
        <v>30015</v>
      </c>
      <c r="K2452" t="s">
        <v>36701</v>
      </c>
      <c r="L2452" t="s">
        <v>884</v>
      </c>
      <c r="M2452" t="s">
        <v>37900</v>
      </c>
      <c r="N2452" t="s">
        <v>40436</v>
      </c>
      <c r="O2452" t="s">
        <v>40437</v>
      </c>
      <c r="P2452">
        <v>0</v>
      </c>
      <c r="Q2452">
        <v>8</v>
      </c>
      <c r="R2452" t="s">
        <v>40439</v>
      </c>
      <c r="S2452" t="s">
        <v>40588</v>
      </c>
      <c r="T2452" t="s">
        <v>42100</v>
      </c>
      <c r="U2452" t="s">
        <v>44757</v>
      </c>
      <c r="V2452" t="s">
        <v>54057</v>
      </c>
      <c r="W2452" t="s">
        <v>37900</v>
      </c>
      <c r="X2452" t="s">
        <v>40444</v>
      </c>
    </row>
    <row r="2453" spans="1:24">
      <c r="A2453">
        <f>HYPERLINK("https://www.philgeps.gov.ph/GEPSNONPILOT/Tender/SplashBidNoticeAbstractUI.aspx?menuIndex=3&amp;refID=7042075&amp;Result=3","7042075")</f>
        <v>0</v>
      </c>
      <c r="B2453" t="s">
        <v>1036</v>
      </c>
      <c r="C2453" t="s">
        <v>5445</v>
      </c>
      <c r="D2453" t="s">
        <v>16202</v>
      </c>
      <c r="E2453" t="s">
        <v>18531</v>
      </c>
      <c r="F2453" t="s">
        <v>28198</v>
      </c>
      <c r="G2453" t="s">
        <v>28209</v>
      </c>
      <c r="H2453" t="s">
        <v>28215</v>
      </c>
      <c r="I2453" t="s">
        <v>6051</v>
      </c>
      <c r="J2453" t="s">
        <v>30016</v>
      </c>
      <c r="K2453" t="s">
        <v>36701</v>
      </c>
      <c r="M2453" t="s">
        <v>38068</v>
      </c>
      <c r="N2453" t="s">
        <v>40436</v>
      </c>
      <c r="O2453" t="s">
        <v>40437</v>
      </c>
      <c r="P2453">
        <v>0</v>
      </c>
      <c r="Q2453">
        <v>0</v>
      </c>
      <c r="R2453" t="s">
        <v>40439</v>
      </c>
      <c r="S2453" t="s">
        <v>40588</v>
      </c>
      <c r="T2453" t="s">
        <v>42319</v>
      </c>
      <c r="U2453" t="s">
        <v>44758</v>
      </c>
      <c r="V2453" t="s">
        <v>54059</v>
      </c>
      <c r="W2453" t="s">
        <v>38068</v>
      </c>
      <c r="X2453" t="s">
        <v>40444</v>
      </c>
    </row>
    <row r="2454" spans="1:24">
      <c r="A2454">
        <f>HYPERLINK("https://www.philgeps.gov.ph/GEPSNONPILOT/Tender/SplashBidNoticeAbstractUI.aspx?menuIndex=3&amp;refID=7042007&amp;Result=3","7042007")</f>
        <v>0</v>
      </c>
      <c r="B2454" t="s">
        <v>103</v>
      </c>
      <c r="C2454" t="s">
        <v>5446</v>
      </c>
      <c r="D2454" t="s">
        <v>16230</v>
      </c>
      <c r="E2454" t="s">
        <v>18532</v>
      </c>
      <c r="F2454" t="s">
        <v>28198</v>
      </c>
      <c r="G2454" t="s">
        <v>28206</v>
      </c>
      <c r="H2454" t="s">
        <v>28215</v>
      </c>
      <c r="I2454" t="s">
        <v>5100</v>
      </c>
      <c r="J2454" t="s">
        <v>29388</v>
      </c>
      <c r="K2454" t="s">
        <v>36706</v>
      </c>
      <c r="M2454" t="s">
        <v>37077</v>
      </c>
      <c r="N2454" t="s">
        <v>40436</v>
      </c>
      <c r="O2454" t="s">
        <v>40437</v>
      </c>
      <c r="P2454">
        <v>0</v>
      </c>
      <c r="Q2454">
        <v>0</v>
      </c>
      <c r="R2454" t="s">
        <v>40439</v>
      </c>
      <c r="S2454" t="s">
        <v>40588</v>
      </c>
      <c r="T2454" t="s">
        <v>42158</v>
      </c>
      <c r="U2454" t="s">
        <v>44759</v>
      </c>
      <c r="V2454" t="s">
        <v>54060</v>
      </c>
      <c r="W2454" t="s">
        <v>37077</v>
      </c>
      <c r="X2454" t="s">
        <v>40444</v>
      </c>
    </row>
    <row r="2455" spans="1:24">
      <c r="A2455">
        <f>HYPERLINK("https://www.philgeps.gov.ph/GEPSNONPILOT/Tender/SplashBidNoticeAbstractUI.aspx?menuIndex=3&amp;refID=7042090&amp;Result=3","7042090")</f>
        <v>0</v>
      </c>
      <c r="B2455" t="s">
        <v>1037</v>
      </c>
      <c r="C2455" t="s">
        <v>5447</v>
      </c>
      <c r="D2455" t="s">
        <v>16190</v>
      </c>
      <c r="E2455" t="s">
        <v>18533</v>
      </c>
      <c r="F2455" t="s">
        <v>28198</v>
      </c>
      <c r="G2455" t="s">
        <v>28205</v>
      </c>
      <c r="H2455" t="s">
        <v>28215</v>
      </c>
      <c r="I2455" t="s">
        <v>5103</v>
      </c>
      <c r="J2455" t="s">
        <v>30017</v>
      </c>
      <c r="K2455" t="s">
        <v>36689</v>
      </c>
      <c r="M2455" t="s">
        <v>38069</v>
      </c>
      <c r="N2455" t="s">
        <v>40436</v>
      </c>
      <c r="O2455" t="s">
        <v>40437</v>
      </c>
      <c r="P2455">
        <v>0</v>
      </c>
      <c r="Q2455">
        <v>0</v>
      </c>
      <c r="R2455" t="s">
        <v>40439</v>
      </c>
      <c r="S2455" t="s">
        <v>40588</v>
      </c>
      <c r="T2455" t="s">
        <v>42320</v>
      </c>
      <c r="U2455" t="s">
        <v>44760</v>
      </c>
      <c r="V2455" t="s">
        <v>54061</v>
      </c>
      <c r="W2455" t="s">
        <v>38069</v>
      </c>
      <c r="X2455" t="s">
        <v>40444</v>
      </c>
    </row>
    <row r="2456" spans="1:24">
      <c r="A2456">
        <f>HYPERLINK("https://www.philgeps.gov.ph/GEPSNONPILOT/Tender/SplashBidNoticeAbstractUI.aspx?menuIndex=3&amp;refID=7042051&amp;Result=3","7042051")</f>
        <v>0</v>
      </c>
      <c r="B2456" t="s">
        <v>1037</v>
      </c>
      <c r="C2456" t="s">
        <v>5448</v>
      </c>
      <c r="D2456" t="s">
        <v>16190</v>
      </c>
      <c r="E2456" t="s">
        <v>18534</v>
      </c>
      <c r="F2456" t="s">
        <v>28198</v>
      </c>
      <c r="G2456" t="s">
        <v>28205</v>
      </c>
      <c r="H2456" t="s">
        <v>28215</v>
      </c>
      <c r="I2456" t="s">
        <v>28275</v>
      </c>
      <c r="J2456" t="s">
        <v>30018</v>
      </c>
      <c r="K2456" t="s">
        <v>36689</v>
      </c>
      <c r="M2456" t="s">
        <v>38069</v>
      </c>
      <c r="N2456" t="s">
        <v>40436</v>
      </c>
      <c r="O2456" t="s">
        <v>40437</v>
      </c>
      <c r="P2456">
        <v>0</v>
      </c>
      <c r="Q2456">
        <v>1</v>
      </c>
      <c r="R2456" t="s">
        <v>40439</v>
      </c>
      <c r="S2456" t="s">
        <v>40588</v>
      </c>
      <c r="T2456" t="s">
        <v>42320</v>
      </c>
      <c r="U2456" t="s">
        <v>44761</v>
      </c>
      <c r="V2456" t="s">
        <v>54062</v>
      </c>
      <c r="W2456" t="s">
        <v>38069</v>
      </c>
      <c r="X2456" t="s">
        <v>40444</v>
      </c>
    </row>
    <row r="2457" spans="1:24">
      <c r="A2457">
        <f>HYPERLINK("https://www.philgeps.gov.ph/GEPSNONPILOT/Tender/SplashBidNoticeAbstractUI.aspx?menuIndex=3&amp;refID=7041831&amp;Result=3","7041831")</f>
        <v>0</v>
      </c>
      <c r="B2457" t="s">
        <v>103</v>
      </c>
      <c r="C2457" t="s">
        <v>5449</v>
      </c>
      <c r="D2457" t="s">
        <v>16230</v>
      </c>
      <c r="E2457" t="s">
        <v>18535</v>
      </c>
      <c r="F2457" t="s">
        <v>28198</v>
      </c>
      <c r="G2457" t="s">
        <v>28206</v>
      </c>
      <c r="H2457" t="s">
        <v>28215</v>
      </c>
      <c r="I2457" t="s">
        <v>8870</v>
      </c>
      <c r="J2457" t="s">
        <v>30000</v>
      </c>
      <c r="K2457" t="s">
        <v>36706</v>
      </c>
      <c r="M2457" t="s">
        <v>37077</v>
      </c>
      <c r="N2457" t="s">
        <v>40436</v>
      </c>
      <c r="O2457" t="s">
        <v>40437</v>
      </c>
      <c r="P2457">
        <v>0</v>
      </c>
      <c r="Q2457">
        <v>0</v>
      </c>
      <c r="R2457" t="s">
        <v>40439</v>
      </c>
      <c r="S2457" t="s">
        <v>40588</v>
      </c>
      <c r="T2457" t="s">
        <v>42158</v>
      </c>
      <c r="U2457" t="s">
        <v>44762</v>
      </c>
      <c r="V2457" t="s">
        <v>54063</v>
      </c>
      <c r="W2457" t="s">
        <v>37077</v>
      </c>
      <c r="X2457" t="s">
        <v>40444</v>
      </c>
    </row>
    <row r="2458" spans="1:24">
      <c r="A2458">
        <f>HYPERLINK("https://www.philgeps.gov.ph/GEPSNONPILOT/Tender/SplashBidNoticeAbstractUI.aspx?menuIndex=3&amp;refID=7042069&amp;Result=3","7042069")</f>
        <v>0</v>
      </c>
      <c r="B2458" t="s">
        <v>1037</v>
      </c>
      <c r="C2458" t="s">
        <v>5450</v>
      </c>
      <c r="D2458" t="s">
        <v>16190</v>
      </c>
      <c r="E2458" t="s">
        <v>18536</v>
      </c>
      <c r="F2458" t="s">
        <v>28198</v>
      </c>
      <c r="G2458" t="s">
        <v>28205</v>
      </c>
      <c r="H2458" t="s">
        <v>28215</v>
      </c>
      <c r="I2458" t="s">
        <v>3422</v>
      </c>
      <c r="J2458" t="s">
        <v>30019</v>
      </c>
      <c r="K2458" t="s">
        <v>36689</v>
      </c>
      <c r="M2458" t="s">
        <v>38069</v>
      </c>
      <c r="N2458" t="s">
        <v>40436</v>
      </c>
      <c r="O2458" t="s">
        <v>40437</v>
      </c>
      <c r="P2458">
        <v>0</v>
      </c>
      <c r="Q2458">
        <v>0</v>
      </c>
      <c r="R2458" t="s">
        <v>40439</v>
      </c>
      <c r="S2458" t="s">
        <v>40588</v>
      </c>
      <c r="T2458" t="s">
        <v>42320</v>
      </c>
      <c r="U2458" t="s">
        <v>44763</v>
      </c>
      <c r="V2458" t="s">
        <v>54061</v>
      </c>
      <c r="W2458" t="s">
        <v>38069</v>
      </c>
      <c r="X2458" t="s">
        <v>40444</v>
      </c>
    </row>
    <row r="2459" spans="1:24">
      <c r="A2459">
        <f>HYPERLINK("https://www.philgeps.gov.ph/GEPSNONPILOT/Tender/SplashBidNoticeAbstractUI.aspx?menuIndex=3&amp;refID=7041950&amp;Result=3","7041950")</f>
        <v>0</v>
      </c>
      <c r="B2459" t="s">
        <v>884</v>
      </c>
      <c r="C2459" t="s">
        <v>5451</v>
      </c>
      <c r="D2459" t="s">
        <v>16230</v>
      </c>
      <c r="E2459" t="s">
        <v>18537</v>
      </c>
      <c r="F2459" t="s">
        <v>28198</v>
      </c>
      <c r="G2459" t="s">
        <v>28205</v>
      </c>
      <c r="H2459" t="s">
        <v>28215</v>
      </c>
      <c r="I2459" t="s">
        <v>28286</v>
      </c>
      <c r="J2459" t="s">
        <v>29717</v>
      </c>
      <c r="K2459" t="s">
        <v>36706</v>
      </c>
      <c r="L2459" t="s">
        <v>884</v>
      </c>
      <c r="M2459" t="s">
        <v>37900</v>
      </c>
      <c r="N2459" t="s">
        <v>40436</v>
      </c>
      <c r="O2459" t="s">
        <v>40437</v>
      </c>
      <c r="P2459">
        <v>0</v>
      </c>
      <c r="Q2459">
        <v>2</v>
      </c>
      <c r="R2459" t="s">
        <v>40439</v>
      </c>
      <c r="S2459" t="s">
        <v>40588</v>
      </c>
      <c r="T2459" t="s">
        <v>42100</v>
      </c>
      <c r="U2459" t="s">
        <v>44764</v>
      </c>
      <c r="V2459" t="s">
        <v>54057</v>
      </c>
      <c r="W2459" t="s">
        <v>37900</v>
      </c>
      <c r="X2459" t="s">
        <v>40444</v>
      </c>
    </row>
    <row r="2460" spans="1:24">
      <c r="A2460">
        <f>HYPERLINK("https://www.philgeps.gov.ph/GEPSNONPILOT/Tender/SplashBidNoticeAbstractUI.aspx?menuIndex=3&amp;refID=7041819&amp;Result=3","7041819")</f>
        <v>0</v>
      </c>
      <c r="B2460" t="s">
        <v>1031</v>
      </c>
      <c r="C2460" t="s">
        <v>5452</v>
      </c>
      <c r="D2460" t="s">
        <v>16242</v>
      </c>
      <c r="E2460" t="s">
        <v>5452</v>
      </c>
      <c r="F2460" t="s">
        <v>28198</v>
      </c>
      <c r="G2460" t="s">
        <v>28206</v>
      </c>
      <c r="H2460" t="s">
        <v>28215</v>
      </c>
      <c r="I2460" t="s">
        <v>5100</v>
      </c>
      <c r="J2460" t="s">
        <v>29600</v>
      </c>
      <c r="K2460" t="s">
        <v>36688</v>
      </c>
      <c r="M2460" t="s">
        <v>38063</v>
      </c>
      <c r="N2460" t="s">
        <v>40436</v>
      </c>
      <c r="O2460" t="s">
        <v>40437</v>
      </c>
      <c r="P2460">
        <v>0</v>
      </c>
      <c r="Q2460">
        <v>5</v>
      </c>
      <c r="R2460" t="s">
        <v>40439</v>
      </c>
      <c r="S2460" t="s">
        <v>40588</v>
      </c>
      <c r="T2460" t="s">
        <v>42190</v>
      </c>
      <c r="U2460" t="s">
        <v>44765</v>
      </c>
      <c r="V2460" t="s">
        <v>54064</v>
      </c>
      <c r="W2460" t="s">
        <v>38063</v>
      </c>
      <c r="X2460" t="s">
        <v>40444</v>
      </c>
    </row>
    <row r="2461" spans="1:24">
      <c r="A2461">
        <f>HYPERLINK("https://www.philgeps.gov.ph/GEPSNONPILOT/Tender/SplashBidNoticeAbstractUI.aspx?menuIndex=3&amp;refID=7041935&amp;Result=3","7041935")</f>
        <v>0</v>
      </c>
      <c r="B2461" t="s">
        <v>884</v>
      </c>
      <c r="C2461" t="s">
        <v>5453</v>
      </c>
      <c r="D2461" t="s">
        <v>16230</v>
      </c>
      <c r="E2461" t="s">
        <v>18538</v>
      </c>
      <c r="F2461" t="s">
        <v>28198</v>
      </c>
      <c r="G2461" t="s">
        <v>28205</v>
      </c>
      <c r="H2461" t="s">
        <v>28215</v>
      </c>
      <c r="I2461" t="s">
        <v>28257</v>
      </c>
      <c r="J2461" t="s">
        <v>30020</v>
      </c>
      <c r="K2461" t="s">
        <v>36701</v>
      </c>
      <c r="L2461" t="s">
        <v>884</v>
      </c>
      <c r="M2461" t="s">
        <v>37900</v>
      </c>
      <c r="N2461" t="s">
        <v>40436</v>
      </c>
      <c r="O2461" t="s">
        <v>40437</v>
      </c>
      <c r="P2461">
        <v>0</v>
      </c>
      <c r="Q2461">
        <v>0</v>
      </c>
      <c r="R2461" t="s">
        <v>40439</v>
      </c>
      <c r="S2461" t="s">
        <v>40588</v>
      </c>
      <c r="T2461" t="s">
        <v>42100</v>
      </c>
      <c r="U2461" t="s">
        <v>44766</v>
      </c>
      <c r="V2461" t="s">
        <v>54057</v>
      </c>
      <c r="W2461" t="s">
        <v>37900</v>
      </c>
      <c r="X2461" t="s">
        <v>40444</v>
      </c>
    </row>
    <row r="2462" spans="1:24">
      <c r="A2462">
        <f>HYPERLINK("https://www.philgeps.gov.ph/GEPSNONPILOT/Tender/SplashBidNoticeAbstractUI.aspx?menuIndex=3&amp;refID=7042095&amp;Result=3","7042095")</f>
        <v>0</v>
      </c>
      <c r="B2462" t="s">
        <v>884</v>
      </c>
      <c r="C2462" t="s">
        <v>5454</v>
      </c>
      <c r="D2462" t="s">
        <v>16230</v>
      </c>
      <c r="E2462" t="s">
        <v>18539</v>
      </c>
      <c r="F2462" t="s">
        <v>28198</v>
      </c>
      <c r="G2462" t="s">
        <v>28209</v>
      </c>
      <c r="H2462" t="s">
        <v>28215</v>
      </c>
      <c r="I2462" t="s">
        <v>28238</v>
      </c>
      <c r="J2462" t="s">
        <v>30021</v>
      </c>
      <c r="K2462" t="s">
        <v>36706</v>
      </c>
      <c r="L2462" t="s">
        <v>884</v>
      </c>
      <c r="M2462" t="s">
        <v>37900</v>
      </c>
      <c r="N2462" t="s">
        <v>40436</v>
      </c>
      <c r="O2462" t="s">
        <v>40437</v>
      </c>
      <c r="P2462">
        <v>0</v>
      </c>
      <c r="Q2462">
        <v>1</v>
      </c>
      <c r="R2462" t="s">
        <v>40439</v>
      </c>
      <c r="S2462" t="s">
        <v>40588</v>
      </c>
      <c r="T2462" t="s">
        <v>42100</v>
      </c>
      <c r="U2462" t="s">
        <v>44767</v>
      </c>
      <c r="V2462" t="s">
        <v>54057</v>
      </c>
      <c r="W2462" t="s">
        <v>37900</v>
      </c>
      <c r="X2462" t="s">
        <v>40444</v>
      </c>
    </row>
    <row r="2463" spans="1:24">
      <c r="A2463">
        <f>HYPERLINK("https://www.philgeps.gov.ph/GEPSNONPILOT/Tender/SplashBidNoticeAbstractUI.aspx?menuIndex=3&amp;refID=7042129&amp;Result=3","7042129")</f>
        <v>0</v>
      </c>
      <c r="B2463" t="s">
        <v>884</v>
      </c>
      <c r="C2463" t="s">
        <v>5455</v>
      </c>
      <c r="D2463" t="s">
        <v>16230</v>
      </c>
      <c r="E2463" t="s">
        <v>18540</v>
      </c>
      <c r="F2463" t="s">
        <v>28198</v>
      </c>
      <c r="G2463" t="s">
        <v>28209</v>
      </c>
      <c r="H2463" t="s">
        <v>28215</v>
      </c>
      <c r="I2463" t="s">
        <v>28222</v>
      </c>
      <c r="J2463" t="s">
        <v>30022</v>
      </c>
      <c r="K2463" t="s">
        <v>36694</v>
      </c>
      <c r="L2463" t="s">
        <v>884</v>
      </c>
      <c r="M2463" t="s">
        <v>37900</v>
      </c>
      <c r="N2463" t="s">
        <v>40436</v>
      </c>
      <c r="O2463" t="s">
        <v>40437</v>
      </c>
      <c r="P2463">
        <v>0</v>
      </c>
      <c r="Q2463">
        <v>5</v>
      </c>
      <c r="R2463" t="s">
        <v>40439</v>
      </c>
      <c r="S2463" t="s">
        <v>40588</v>
      </c>
      <c r="T2463" t="s">
        <v>42100</v>
      </c>
      <c r="U2463" t="s">
        <v>44768</v>
      </c>
      <c r="V2463" t="s">
        <v>54057</v>
      </c>
      <c r="W2463" t="s">
        <v>37900</v>
      </c>
      <c r="X2463" t="s">
        <v>40444</v>
      </c>
    </row>
    <row r="2464" spans="1:24">
      <c r="A2464">
        <f>HYPERLINK("https://www.philgeps.gov.ph/GEPSNONPILOT/Tender/SplashBidNoticeAbstractUI.aspx?menuIndex=3&amp;refID=7042228&amp;Result=3","7042228")</f>
        <v>0</v>
      </c>
      <c r="B2464" t="s">
        <v>1038</v>
      </c>
      <c r="C2464" t="s">
        <v>5456</v>
      </c>
      <c r="D2464" t="s">
        <v>16203</v>
      </c>
      <c r="E2464" t="s">
        <v>18541</v>
      </c>
      <c r="F2464" t="s">
        <v>28198</v>
      </c>
      <c r="G2464" t="s">
        <v>28207</v>
      </c>
      <c r="H2464" t="s">
        <v>28215</v>
      </c>
      <c r="I2464" t="s">
        <v>28227</v>
      </c>
      <c r="J2464" t="s">
        <v>28529</v>
      </c>
      <c r="K2464" t="s">
        <v>36691</v>
      </c>
      <c r="M2464" t="s">
        <v>38070</v>
      </c>
      <c r="N2464" t="s">
        <v>40436</v>
      </c>
      <c r="O2464" t="s">
        <v>40437</v>
      </c>
      <c r="P2464">
        <v>0</v>
      </c>
      <c r="Q2464">
        <v>0</v>
      </c>
      <c r="R2464" t="s">
        <v>40439</v>
      </c>
      <c r="S2464" t="s">
        <v>40588</v>
      </c>
      <c r="T2464" t="s">
        <v>42131</v>
      </c>
      <c r="U2464" t="s">
        <v>44769</v>
      </c>
      <c r="W2464" t="s">
        <v>38070</v>
      </c>
      <c r="X2464" t="s">
        <v>40444</v>
      </c>
    </row>
    <row r="2465" spans="1:24">
      <c r="A2465">
        <f>HYPERLINK("https://www.philgeps.gov.ph/GEPSNONPILOT/Tender/SplashBidNoticeAbstractUI.aspx?menuIndex=3&amp;refID=7042119&amp;Result=3","7042119")</f>
        <v>0</v>
      </c>
      <c r="B2465" t="s">
        <v>1037</v>
      </c>
      <c r="C2465" t="s">
        <v>5457</v>
      </c>
      <c r="D2465" t="s">
        <v>16190</v>
      </c>
      <c r="E2465" t="s">
        <v>18542</v>
      </c>
      <c r="F2465" t="s">
        <v>28198</v>
      </c>
      <c r="G2465" t="s">
        <v>28205</v>
      </c>
      <c r="H2465" t="s">
        <v>28215</v>
      </c>
      <c r="I2465" t="s">
        <v>28234</v>
      </c>
      <c r="J2465" t="s">
        <v>30023</v>
      </c>
      <c r="K2465" t="s">
        <v>36689</v>
      </c>
      <c r="M2465" t="s">
        <v>38069</v>
      </c>
      <c r="N2465" t="s">
        <v>40436</v>
      </c>
      <c r="O2465" t="s">
        <v>40437</v>
      </c>
      <c r="P2465">
        <v>0</v>
      </c>
      <c r="Q2465">
        <v>0</v>
      </c>
      <c r="R2465" t="s">
        <v>40439</v>
      </c>
      <c r="S2465" t="s">
        <v>40588</v>
      </c>
      <c r="T2465" t="s">
        <v>42320</v>
      </c>
      <c r="U2465" t="s">
        <v>44770</v>
      </c>
      <c r="V2465" t="s">
        <v>54061</v>
      </c>
      <c r="W2465" t="s">
        <v>38069</v>
      </c>
      <c r="X2465" t="s">
        <v>40444</v>
      </c>
    </row>
    <row r="2466" spans="1:24">
      <c r="A2466">
        <f>HYPERLINK("https://www.philgeps.gov.ph/GEPSNONPILOT/Tender/SplashBidNoticeAbstractUI.aspx?menuIndex=3&amp;refID=7042338&amp;Result=3","7042338")</f>
        <v>0</v>
      </c>
      <c r="B2466" t="s">
        <v>1037</v>
      </c>
      <c r="C2466" t="s">
        <v>5458</v>
      </c>
      <c r="D2466" t="s">
        <v>16190</v>
      </c>
      <c r="E2466" t="s">
        <v>18543</v>
      </c>
      <c r="F2466" t="s">
        <v>28198</v>
      </c>
      <c r="G2466" t="s">
        <v>28205</v>
      </c>
      <c r="H2466" t="s">
        <v>28215</v>
      </c>
      <c r="I2466" t="s">
        <v>4321</v>
      </c>
      <c r="J2466" t="s">
        <v>30024</v>
      </c>
      <c r="K2466" t="s">
        <v>36689</v>
      </c>
      <c r="M2466" t="s">
        <v>38069</v>
      </c>
      <c r="N2466" t="s">
        <v>40436</v>
      </c>
      <c r="O2466" t="s">
        <v>40437</v>
      </c>
      <c r="P2466">
        <v>0</v>
      </c>
      <c r="Q2466">
        <v>0</v>
      </c>
      <c r="R2466" t="s">
        <v>40439</v>
      </c>
      <c r="S2466" t="s">
        <v>40588</v>
      </c>
      <c r="T2466" t="s">
        <v>42320</v>
      </c>
      <c r="U2466" t="s">
        <v>44771</v>
      </c>
      <c r="V2466" t="s">
        <v>54061</v>
      </c>
      <c r="W2466" t="s">
        <v>38069</v>
      </c>
      <c r="X2466" t="s">
        <v>40444</v>
      </c>
    </row>
    <row r="2467" spans="1:24">
      <c r="A2467">
        <f>HYPERLINK("https://www.philgeps.gov.ph/GEPSNONPILOT/Tender/SplashBidNoticeAbstractUI.aspx?menuIndex=3&amp;refID=7042105&amp;Result=3","7042105")</f>
        <v>0</v>
      </c>
      <c r="B2467" t="s">
        <v>1037</v>
      </c>
      <c r="C2467" t="s">
        <v>5459</v>
      </c>
      <c r="D2467" t="s">
        <v>16190</v>
      </c>
      <c r="E2467" t="s">
        <v>18544</v>
      </c>
      <c r="F2467" t="s">
        <v>28198</v>
      </c>
      <c r="G2467" t="s">
        <v>28205</v>
      </c>
      <c r="H2467" t="s">
        <v>28215</v>
      </c>
      <c r="I2467" t="s">
        <v>28227</v>
      </c>
      <c r="J2467" t="s">
        <v>30025</v>
      </c>
      <c r="K2467" t="s">
        <v>36689</v>
      </c>
      <c r="M2467" t="s">
        <v>38069</v>
      </c>
      <c r="N2467" t="s">
        <v>40436</v>
      </c>
      <c r="O2467" t="s">
        <v>40437</v>
      </c>
      <c r="P2467">
        <v>0</v>
      </c>
      <c r="Q2467">
        <v>0</v>
      </c>
      <c r="R2467" t="s">
        <v>40439</v>
      </c>
      <c r="S2467" t="s">
        <v>40588</v>
      </c>
      <c r="T2467" t="s">
        <v>42320</v>
      </c>
      <c r="U2467" t="s">
        <v>44772</v>
      </c>
      <c r="V2467" t="s">
        <v>54061</v>
      </c>
      <c r="W2467" t="s">
        <v>38069</v>
      </c>
      <c r="X2467" t="s">
        <v>40444</v>
      </c>
    </row>
    <row r="2468" spans="1:24">
      <c r="A2468">
        <f>HYPERLINK("https://www.philgeps.gov.ph/GEPSNONPILOT/Tender/SplashBidNoticeAbstractUI.aspx?menuIndex=3&amp;refID=7042145&amp;Result=3","7042145")</f>
        <v>0</v>
      </c>
      <c r="B2468" t="s">
        <v>1037</v>
      </c>
      <c r="C2468" t="s">
        <v>5460</v>
      </c>
      <c r="D2468" t="s">
        <v>16190</v>
      </c>
      <c r="E2468" t="s">
        <v>18545</v>
      </c>
      <c r="F2468" t="s">
        <v>28198</v>
      </c>
      <c r="G2468" t="s">
        <v>28205</v>
      </c>
      <c r="H2468" t="s">
        <v>28215</v>
      </c>
      <c r="I2468" t="s">
        <v>28234</v>
      </c>
      <c r="J2468" t="s">
        <v>29172</v>
      </c>
      <c r="K2468" t="s">
        <v>36689</v>
      </c>
      <c r="M2468" t="s">
        <v>38069</v>
      </c>
      <c r="N2468" t="s">
        <v>40436</v>
      </c>
      <c r="O2468" t="s">
        <v>40437</v>
      </c>
      <c r="P2468">
        <v>0</v>
      </c>
      <c r="Q2468">
        <v>0</v>
      </c>
      <c r="R2468" t="s">
        <v>40439</v>
      </c>
      <c r="S2468" t="s">
        <v>40588</v>
      </c>
      <c r="T2468" t="s">
        <v>42320</v>
      </c>
      <c r="U2468" t="s">
        <v>44773</v>
      </c>
      <c r="V2468" t="s">
        <v>54061</v>
      </c>
      <c r="W2468" t="s">
        <v>38069</v>
      </c>
      <c r="X2468" t="s">
        <v>40444</v>
      </c>
    </row>
    <row r="2469" spans="1:24">
      <c r="A2469">
        <f>HYPERLINK("https://www.philgeps.gov.ph/GEPSNONPILOT/Tender/SplashBidNoticeAbstractUI.aspx?menuIndex=3&amp;refID=7042314&amp;Result=3","7042314")</f>
        <v>0</v>
      </c>
      <c r="B2469" t="s">
        <v>1038</v>
      </c>
      <c r="C2469" t="s">
        <v>5461</v>
      </c>
      <c r="D2469" t="s">
        <v>16203</v>
      </c>
      <c r="E2469" t="s">
        <v>18546</v>
      </c>
      <c r="F2469" t="s">
        <v>28198</v>
      </c>
      <c r="G2469" t="s">
        <v>28207</v>
      </c>
      <c r="H2469" t="s">
        <v>28215</v>
      </c>
      <c r="I2469" t="s">
        <v>28227</v>
      </c>
      <c r="J2469" t="s">
        <v>30026</v>
      </c>
      <c r="K2469" t="s">
        <v>36691</v>
      </c>
      <c r="M2469" t="s">
        <v>38070</v>
      </c>
      <c r="N2469" t="s">
        <v>40436</v>
      </c>
      <c r="O2469" t="s">
        <v>40437</v>
      </c>
      <c r="P2469">
        <v>0</v>
      </c>
      <c r="Q2469">
        <v>0</v>
      </c>
      <c r="R2469" t="s">
        <v>40439</v>
      </c>
      <c r="S2469" t="s">
        <v>40588</v>
      </c>
      <c r="T2469" t="s">
        <v>42131</v>
      </c>
      <c r="U2469" t="s">
        <v>44769</v>
      </c>
      <c r="W2469" t="s">
        <v>38070</v>
      </c>
      <c r="X2469" t="s">
        <v>40444</v>
      </c>
    </row>
    <row r="2470" spans="1:24">
      <c r="A2470">
        <f>HYPERLINK("https://www.philgeps.gov.ph/GEPSNONPILOT/Tender/SplashBidNoticeAbstractUI.aspx?menuIndex=3&amp;refID=7042188&amp;Result=3","7042188")</f>
        <v>0</v>
      </c>
      <c r="B2470" t="s">
        <v>1037</v>
      </c>
      <c r="C2470" t="s">
        <v>5462</v>
      </c>
      <c r="D2470" t="s">
        <v>16190</v>
      </c>
      <c r="E2470" t="s">
        <v>18547</v>
      </c>
      <c r="F2470" t="s">
        <v>28198</v>
      </c>
      <c r="G2470" t="s">
        <v>28205</v>
      </c>
      <c r="H2470" t="s">
        <v>28215</v>
      </c>
      <c r="I2470" t="s">
        <v>28234</v>
      </c>
      <c r="J2470" t="s">
        <v>28352</v>
      </c>
      <c r="K2470" t="s">
        <v>36689</v>
      </c>
      <c r="M2470" t="s">
        <v>38069</v>
      </c>
      <c r="N2470" t="s">
        <v>40436</v>
      </c>
      <c r="O2470" t="s">
        <v>40437</v>
      </c>
      <c r="P2470">
        <v>0</v>
      </c>
      <c r="Q2470">
        <v>0</v>
      </c>
      <c r="R2470" t="s">
        <v>40439</v>
      </c>
      <c r="S2470" t="s">
        <v>40588</v>
      </c>
      <c r="T2470" t="s">
        <v>42320</v>
      </c>
      <c r="U2470" t="s">
        <v>44774</v>
      </c>
      <c r="V2470" t="s">
        <v>54061</v>
      </c>
      <c r="W2470" t="s">
        <v>38069</v>
      </c>
      <c r="X2470" t="s">
        <v>40444</v>
      </c>
    </row>
    <row r="2471" spans="1:24">
      <c r="A2471">
        <f>HYPERLINK("https://www.philgeps.gov.ph/GEPSNONPILOT/Tender/SplashBidNoticeAbstractUI.aspx?menuIndex=3&amp;refID=7042328&amp;Result=3","7042328")</f>
        <v>0</v>
      </c>
      <c r="B2471" t="s">
        <v>377</v>
      </c>
      <c r="C2471" t="s">
        <v>5463</v>
      </c>
      <c r="D2471" t="s">
        <v>16204</v>
      </c>
      <c r="E2471" t="s">
        <v>18548</v>
      </c>
      <c r="F2471" t="s">
        <v>28198</v>
      </c>
      <c r="G2471" t="s">
        <v>28210</v>
      </c>
      <c r="H2471" t="s">
        <v>28215</v>
      </c>
      <c r="I2471" t="s">
        <v>5082</v>
      </c>
      <c r="J2471" t="s">
        <v>30027</v>
      </c>
      <c r="K2471" t="s">
        <v>36689</v>
      </c>
      <c r="L2471" t="s">
        <v>377</v>
      </c>
      <c r="M2471" t="s">
        <v>37357</v>
      </c>
      <c r="N2471" t="s">
        <v>40436</v>
      </c>
      <c r="O2471" t="s">
        <v>40437</v>
      </c>
      <c r="P2471">
        <v>0</v>
      </c>
      <c r="Q2471">
        <v>2</v>
      </c>
      <c r="R2471" t="s">
        <v>40439</v>
      </c>
      <c r="S2471" t="s">
        <v>40588</v>
      </c>
      <c r="T2471" t="s">
        <v>42169</v>
      </c>
      <c r="U2471" t="s">
        <v>44775</v>
      </c>
      <c r="W2471" t="s">
        <v>37357</v>
      </c>
      <c r="X2471" t="s">
        <v>40444</v>
      </c>
    </row>
    <row r="2472" spans="1:24">
      <c r="A2472">
        <f>HYPERLINK("https://www.philgeps.gov.ph/GEPSNONPILOT/Tender/SplashBidNoticeAbstractUI.aspx?menuIndex=3&amp;refID=7042292&amp;Result=3","7042292")</f>
        <v>0</v>
      </c>
      <c r="B2472" t="s">
        <v>201</v>
      </c>
      <c r="C2472" t="s">
        <v>5464</v>
      </c>
      <c r="D2472" t="s">
        <v>16249</v>
      </c>
      <c r="E2472" t="s">
        <v>17254</v>
      </c>
      <c r="F2472" t="s">
        <v>28198</v>
      </c>
      <c r="G2472" t="s">
        <v>28205</v>
      </c>
      <c r="H2472" t="s">
        <v>28215</v>
      </c>
      <c r="I2472" t="s">
        <v>28231</v>
      </c>
      <c r="J2472" t="s">
        <v>30028</v>
      </c>
      <c r="K2472" t="s">
        <v>36756</v>
      </c>
      <c r="M2472" t="s">
        <v>37176</v>
      </c>
      <c r="N2472" t="s">
        <v>40436</v>
      </c>
      <c r="O2472" t="s">
        <v>40437</v>
      </c>
      <c r="P2472">
        <v>0</v>
      </c>
      <c r="Q2472">
        <v>1</v>
      </c>
      <c r="R2472" t="s">
        <v>40439</v>
      </c>
      <c r="S2472" t="s">
        <v>40588</v>
      </c>
      <c r="T2472" t="s">
        <v>42247</v>
      </c>
      <c r="U2472" t="s">
        <v>44776</v>
      </c>
      <c r="W2472" t="s">
        <v>37176</v>
      </c>
      <c r="X2472" t="s">
        <v>40444</v>
      </c>
    </row>
    <row r="2473" spans="1:24">
      <c r="A2473">
        <f>HYPERLINK("https://www.philgeps.gov.ph/GEPSNONPILOT/Tender/SplashBidNoticeAbstractUI.aspx?menuIndex=3&amp;refID=7042252&amp;Result=3","7042252")</f>
        <v>0</v>
      </c>
      <c r="B2473" t="s">
        <v>1039</v>
      </c>
      <c r="C2473" t="s">
        <v>5465</v>
      </c>
      <c r="D2473" t="s">
        <v>16255</v>
      </c>
      <c r="E2473" t="s">
        <v>18549</v>
      </c>
      <c r="F2473" t="s">
        <v>28198</v>
      </c>
      <c r="G2473" t="s">
        <v>28207</v>
      </c>
      <c r="H2473" t="s">
        <v>28215</v>
      </c>
      <c r="I2473" t="s">
        <v>28258</v>
      </c>
      <c r="J2473" t="s">
        <v>30029</v>
      </c>
      <c r="K2473" t="s">
        <v>36701</v>
      </c>
      <c r="M2473" t="s">
        <v>38071</v>
      </c>
      <c r="N2473" t="s">
        <v>40436</v>
      </c>
      <c r="O2473" t="s">
        <v>40437</v>
      </c>
      <c r="P2473">
        <v>0</v>
      </c>
      <c r="Q2473">
        <v>2</v>
      </c>
      <c r="R2473" t="s">
        <v>40439</v>
      </c>
      <c r="S2473" t="s">
        <v>40588</v>
      </c>
      <c r="T2473" t="s">
        <v>42158</v>
      </c>
      <c r="U2473" t="s">
        <v>44777</v>
      </c>
      <c r="W2473" t="s">
        <v>38071</v>
      </c>
      <c r="X2473" t="s">
        <v>40444</v>
      </c>
    </row>
    <row r="2474" spans="1:24">
      <c r="A2474">
        <f>HYPERLINK("https://www.philgeps.gov.ph/GEPSNONPILOT/Tender/SplashBidNoticeAbstractUI.aspx?menuIndex=3&amp;refID=7042306&amp;Result=3","7042306")</f>
        <v>0</v>
      </c>
      <c r="B2474" t="s">
        <v>1037</v>
      </c>
      <c r="C2474" t="s">
        <v>5466</v>
      </c>
      <c r="D2474" t="s">
        <v>16190</v>
      </c>
      <c r="E2474" t="s">
        <v>18550</v>
      </c>
      <c r="F2474" t="s">
        <v>28198</v>
      </c>
      <c r="G2474" t="s">
        <v>28205</v>
      </c>
      <c r="H2474" t="s">
        <v>28215</v>
      </c>
      <c r="I2474" t="s">
        <v>4222</v>
      </c>
      <c r="J2474" t="s">
        <v>28406</v>
      </c>
      <c r="K2474" t="s">
        <v>36689</v>
      </c>
      <c r="M2474" t="s">
        <v>38069</v>
      </c>
      <c r="N2474" t="s">
        <v>40436</v>
      </c>
      <c r="O2474" t="s">
        <v>40437</v>
      </c>
      <c r="P2474">
        <v>0</v>
      </c>
      <c r="Q2474">
        <v>0</v>
      </c>
      <c r="R2474" t="s">
        <v>40439</v>
      </c>
      <c r="S2474" t="s">
        <v>40588</v>
      </c>
      <c r="T2474" t="s">
        <v>42320</v>
      </c>
      <c r="U2474" t="s">
        <v>44778</v>
      </c>
      <c r="V2474" t="s">
        <v>54061</v>
      </c>
      <c r="W2474" t="s">
        <v>38069</v>
      </c>
      <c r="X2474" t="s">
        <v>40444</v>
      </c>
    </row>
    <row r="2475" spans="1:24">
      <c r="A2475">
        <f>HYPERLINK("https://www.philgeps.gov.ph/GEPSNONPILOT/Tender/SplashBidNoticeAbstractUI.aspx?menuIndex=3&amp;refID=7042282&amp;Result=3","7042282")</f>
        <v>0</v>
      </c>
      <c r="B2475" t="s">
        <v>1037</v>
      </c>
      <c r="C2475" t="s">
        <v>5467</v>
      </c>
      <c r="D2475" t="s">
        <v>16190</v>
      </c>
      <c r="E2475" t="s">
        <v>18551</v>
      </c>
      <c r="F2475" t="s">
        <v>28198</v>
      </c>
      <c r="G2475" t="s">
        <v>28205</v>
      </c>
      <c r="H2475" t="s">
        <v>28215</v>
      </c>
      <c r="I2475" t="s">
        <v>28285</v>
      </c>
      <c r="J2475" t="s">
        <v>30030</v>
      </c>
      <c r="K2475" t="s">
        <v>36689</v>
      </c>
      <c r="M2475" t="s">
        <v>38069</v>
      </c>
      <c r="N2475" t="s">
        <v>40436</v>
      </c>
      <c r="O2475" t="s">
        <v>40437</v>
      </c>
      <c r="P2475">
        <v>0</v>
      </c>
      <c r="Q2475">
        <v>0</v>
      </c>
      <c r="R2475" t="s">
        <v>40439</v>
      </c>
      <c r="S2475" t="s">
        <v>40588</v>
      </c>
      <c r="T2475" t="s">
        <v>42320</v>
      </c>
      <c r="U2475" t="s">
        <v>44779</v>
      </c>
      <c r="V2475" t="s">
        <v>54061</v>
      </c>
      <c r="W2475" t="s">
        <v>38069</v>
      </c>
      <c r="X2475" t="s">
        <v>40444</v>
      </c>
    </row>
    <row r="2476" spans="1:24">
      <c r="A2476">
        <f>HYPERLINK("https://www.philgeps.gov.ph/GEPSNONPILOT/Tender/SplashBidNoticeAbstractUI.aspx?menuIndex=3&amp;refID=7042265&amp;Result=3","7042265")</f>
        <v>0</v>
      </c>
      <c r="B2476" t="s">
        <v>1037</v>
      </c>
      <c r="C2476" t="s">
        <v>5468</v>
      </c>
      <c r="D2476" t="s">
        <v>16190</v>
      </c>
      <c r="E2476" t="s">
        <v>18552</v>
      </c>
      <c r="F2476" t="s">
        <v>28198</v>
      </c>
      <c r="G2476" t="s">
        <v>28205</v>
      </c>
      <c r="H2476" t="s">
        <v>28215</v>
      </c>
      <c r="I2476" t="s">
        <v>28275</v>
      </c>
      <c r="J2476" t="s">
        <v>29398</v>
      </c>
      <c r="K2476" t="s">
        <v>36689</v>
      </c>
      <c r="M2476" t="s">
        <v>38069</v>
      </c>
      <c r="N2476" t="s">
        <v>40436</v>
      </c>
      <c r="O2476" t="s">
        <v>40437</v>
      </c>
      <c r="P2476">
        <v>0</v>
      </c>
      <c r="Q2476">
        <v>1</v>
      </c>
      <c r="R2476" t="s">
        <v>40439</v>
      </c>
      <c r="S2476" t="s">
        <v>40588</v>
      </c>
      <c r="T2476" t="s">
        <v>42320</v>
      </c>
      <c r="U2476" t="s">
        <v>44780</v>
      </c>
      <c r="V2476" t="s">
        <v>54061</v>
      </c>
      <c r="W2476" t="s">
        <v>38069</v>
      </c>
      <c r="X2476" t="s">
        <v>40444</v>
      </c>
    </row>
    <row r="2477" spans="1:24">
      <c r="A2477">
        <f>HYPERLINK("https://www.philgeps.gov.ph/GEPSNONPILOT/Tender/SplashBidNoticeAbstractUI.aspx?menuIndex=3&amp;refID=7042216&amp;Result=3","7042216")</f>
        <v>0</v>
      </c>
      <c r="B2477" t="s">
        <v>169</v>
      </c>
      <c r="C2477" t="s">
        <v>5469</v>
      </c>
      <c r="D2477" t="s">
        <v>16243</v>
      </c>
      <c r="E2477" t="s">
        <v>18553</v>
      </c>
      <c r="F2477" t="s">
        <v>28198</v>
      </c>
      <c r="G2477" t="s">
        <v>28205</v>
      </c>
      <c r="H2477" t="s">
        <v>28214</v>
      </c>
      <c r="I2477" t="s">
        <v>3797</v>
      </c>
      <c r="J2477" t="s">
        <v>30031</v>
      </c>
      <c r="K2477" t="s">
        <v>36703</v>
      </c>
      <c r="M2477" t="s">
        <v>37143</v>
      </c>
      <c r="N2477" t="s">
        <v>40436</v>
      </c>
      <c r="O2477" t="s">
        <v>40437</v>
      </c>
      <c r="P2477">
        <v>0</v>
      </c>
      <c r="Q2477">
        <v>0</v>
      </c>
      <c r="R2477" t="s">
        <v>40439</v>
      </c>
      <c r="S2477" t="s">
        <v>40588</v>
      </c>
      <c r="T2477" t="s">
        <v>42102</v>
      </c>
      <c r="U2477" t="s">
        <v>44781</v>
      </c>
      <c r="W2477" t="s">
        <v>37143</v>
      </c>
      <c r="X2477" t="s">
        <v>40444</v>
      </c>
    </row>
    <row r="2478" spans="1:24">
      <c r="A2478">
        <f>HYPERLINK("https://www.philgeps.gov.ph/GEPSNONPILOT/Tender/SplashBidNoticeAbstractUI.aspx?menuIndex=3&amp;refID=7042211&amp;Result=3","7042211")</f>
        <v>0</v>
      </c>
      <c r="B2478" t="s">
        <v>1037</v>
      </c>
      <c r="C2478" t="s">
        <v>5470</v>
      </c>
      <c r="D2478" t="s">
        <v>16190</v>
      </c>
      <c r="E2478" t="s">
        <v>18554</v>
      </c>
      <c r="F2478" t="s">
        <v>28198</v>
      </c>
      <c r="G2478" t="s">
        <v>28205</v>
      </c>
      <c r="H2478" t="s">
        <v>28215</v>
      </c>
      <c r="I2478" t="s">
        <v>28281</v>
      </c>
      <c r="J2478" t="s">
        <v>28381</v>
      </c>
      <c r="K2478" t="s">
        <v>36689</v>
      </c>
      <c r="M2478" t="s">
        <v>38069</v>
      </c>
      <c r="N2478" t="s">
        <v>40436</v>
      </c>
      <c r="O2478" t="s">
        <v>40437</v>
      </c>
      <c r="P2478">
        <v>0</v>
      </c>
      <c r="Q2478">
        <v>2</v>
      </c>
      <c r="R2478" t="s">
        <v>40439</v>
      </c>
      <c r="S2478" t="s">
        <v>40588</v>
      </c>
      <c r="T2478" t="s">
        <v>42320</v>
      </c>
      <c r="U2478" t="s">
        <v>44782</v>
      </c>
      <c r="V2478" t="s">
        <v>54061</v>
      </c>
      <c r="W2478" t="s">
        <v>38069</v>
      </c>
      <c r="X2478" t="s">
        <v>40444</v>
      </c>
    </row>
    <row r="2479" spans="1:24">
      <c r="A2479">
        <f>HYPERLINK("https://www.philgeps.gov.ph/GEPSNONPILOT/Tender/SplashBidNoticeAbstractUI.aspx?menuIndex=3&amp;refID=7042427&amp;Result=3","7042427")</f>
        <v>0</v>
      </c>
      <c r="B2479" t="s">
        <v>201</v>
      </c>
      <c r="C2479" t="s">
        <v>5471</v>
      </c>
      <c r="D2479" t="s">
        <v>16249</v>
      </c>
      <c r="E2479" t="s">
        <v>18555</v>
      </c>
      <c r="F2479" t="s">
        <v>28198</v>
      </c>
      <c r="G2479" t="s">
        <v>28205</v>
      </c>
      <c r="H2479" t="s">
        <v>28215</v>
      </c>
      <c r="I2479" t="s">
        <v>4219</v>
      </c>
      <c r="J2479" t="s">
        <v>30032</v>
      </c>
      <c r="K2479" t="s">
        <v>36707</v>
      </c>
      <c r="M2479" t="s">
        <v>37176</v>
      </c>
      <c r="N2479" t="s">
        <v>40436</v>
      </c>
      <c r="O2479" t="s">
        <v>40437</v>
      </c>
      <c r="P2479">
        <v>0</v>
      </c>
      <c r="Q2479">
        <v>3</v>
      </c>
      <c r="R2479" t="s">
        <v>40439</v>
      </c>
      <c r="S2479" t="s">
        <v>40588</v>
      </c>
      <c r="T2479" t="s">
        <v>42106</v>
      </c>
      <c r="U2479" t="s">
        <v>44783</v>
      </c>
      <c r="W2479" t="s">
        <v>37176</v>
      </c>
      <c r="X2479" t="s">
        <v>40444</v>
      </c>
    </row>
    <row r="2480" spans="1:24">
      <c r="A2480">
        <f>HYPERLINK("https://www.philgeps.gov.ph/GEPSNONPILOT/Tender/SplashBidNoticeAbstractUI.aspx?menuIndex=3&amp;refID=7042246&amp;Result=3","7042246")</f>
        <v>0</v>
      </c>
      <c r="B2480" t="s">
        <v>884</v>
      </c>
      <c r="C2480" t="s">
        <v>5472</v>
      </c>
      <c r="D2480" t="s">
        <v>16230</v>
      </c>
      <c r="E2480" t="s">
        <v>18556</v>
      </c>
      <c r="F2480" t="s">
        <v>28198</v>
      </c>
      <c r="G2480" t="s">
        <v>28205</v>
      </c>
      <c r="H2480" t="s">
        <v>28214</v>
      </c>
      <c r="I2480" t="s">
        <v>3797</v>
      </c>
      <c r="J2480" t="s">
        <v>30033</v>
      </c>
      <c r="K2480" t="s">
        <v>36727</v>
      </c>
      <c r="L2480" t="s">
        <v>884</v>
      </c>
      <c r="M2480" t="s">
        <v>37900</v>
      </c>
      <c r="N2480" t="s">
        <v>40436</v>
      </c>
      <c r="O2480" t="s">
        <v>40437</v>
      </c>
      <c r="P2480">
        <v>0</v>
      </c>
      <c r="Q2480">
        <v>2</v>
      </c>
      <c r="R2480" t="s">
        <v>40439</v>
      </c>
      <c r="S2480" t="s">
        <v>40588</v>
      </c>
      <c r="T2480" t="s">
        <v>42197</v>
      </c>
      <c r="U2480" t="s">
        <v>44784</v>
      </c>
      <c r="V2480" t="s">
        <v>54057</v>
      </c>
      <c r="W2480" t="s">
        <v>37900</v>
      </c>
      <c r="X2480" t="s">
        <v>40444</v>
      </c>
    </row>
    <row r="2481" spans="1:24">
      <c r="A2481">
        <f>HYPERLINK("https://www.philgeps.gov.ph/GEPSNONPILOT/Tender/SplashBidNoticeAbstractUI.aspx?menuIndex=3&amp;refID=7043017&amp;Result=3","7043017")</f>
        <v>0</v>
      </c>
      <c r="B2481" t="s">
        <v>103</v>
      </c>
      <c r="C2481" t="s">
        <v>5473</v>
      </c>
      <c r="D2481" t="s">
        <v>16230</v>
      </c>
      <c r="E2481" t="s">
        <v>18557</v>
      </c>
      <c r="F2481" t="s">
        <v>28198</v>
      </c>
      <c r="G2481" t="s">
        <v>28206</v>
      </c>
      <c r="H2481" t="s">
        <v>28215</v>
      </c>
      <c r="I2481" t="s">
        <v>28228</v>
      </c>
      <c r="J2481" t="s">
        <v>28378</v>
      </c>
      <c r="K2481" t="s">
        <v>36706</v>
      </c>
      <c r="M2481" t="s">
        <v>37077</v>
      </c>
      <c r="N2481" t="s">
        <v>40436</v>
      </c>
      <c r="O2481" t="s">
        <v>40437</v>
      </c>
      <c r="P2481">
        <v>0</v>
      </c>
      <c r="Q2481">
        <v>0</v>
      </c>
      <c r="R2481" t="s">
        <v>40439</v>
      </c>
      <c r="S2481" t="s">
        <v>40588</v>
      </c>
      <c r="T2481" t="s">
        <v>42158</v>
      </c>
      <c r="U2481" t="s">
        <v>44785</v>
      </c>
      <c r="V2481" t="s">
        <v>54065</v>
      </c>
      <c r="W2481" t="s">
        <v>37077</v>
      </c>
      <c r="X2481" t="s">
        <v>40444</v>
      </c>
    </row>
    <row r="2482" spans="1:24">
      <c r="A2482">
        <f>HYPERLINK("https://www.philgeps.gov.ph/GEPSNONPILOT/Tender/SplashBidNoticeAbstractUI.aspx?menuIndex=3&amp;refID=7043002&amp;Result=3","7043002")</f>
        <v>0</v>
      </c>
      <c r="B2482" t="s">
        <v>103</v>
      </c>
      <c r="C2482" t="s">
        <v>5474</v>
      </c>
      <c r="D2482" t="s">
        <v>16230</v>
      </c>
      <c r="E2482" t="s">
        <v>18558</v>
      </c>
      <c r="F2482" t="s">
        <v>28198</v>
      </c>
      <c r="G2482" t="s">
        <v>28206</v>
      </c>
      <c r="H2482" t="s">
        <v>28215</v>
      </c>
      <c r="I2482" t="s">
        <v>5100</v>
      </c>
      <c r="J2482" t="s">
        <v>29996</v>
      </c>
      <c r="K2482" t="s">
        <v>36706</v>
      </c>
      <c r="M2482" t="s">
        <v>37077</v>
      </c>
      <c r="N2482" t="s">
        <v>40436</v>
      </c>
      <c r="O2482" t="s">
        <v>40437</v>
      </c>
      <c r="P2482">
        <v>0</v>
      </c>
      <c r="Q2482">
        <v>0</v>
      </c>
      <c r="R2482" t="s">
        <v>40439</v>
      </c>
      <c r="S2482" t="s">
        <v>40588</v>
      </c>
      <c r="T2482" t="s">
        <v>42158</v>
      </c>
      <c r="U2482" t="s">
        <v>44735</v>
      </c>
      <c r="V2482" t="s">
        <v>54066</v>
      </c>
      <c r="W2482" t="s">
        <v>37077</v>
      </c>
      <c r="X2482" t="s">
        <v>40444</v>
      </c>
    </row>
    <row r="2483" spans="1:24">
      <c r="A2483">
        <f>HYPERLINK("https://www.philgeps.gov.ph/GEPSNONPILOT/Tender/SplashBidNoticeAbstractUI.aspx?menuIndex=3&amp;refID=7042948&amp;Result=3","7042948")</f>
        <v>0</v>
      </c>
      <c r="B2483" t="s">
        <v>501</v>
      </c>
      <c r="C2483" t="s">
        <v>5475</v>
      </c>
      <c r="D2483" t="s">
        <v>16210</v>
      </c>
      <c r="E2483" t="s">
        <v>18559</v>
      </c>
      <c r="F2483" t="s">
        <v>28198</v>
      </c>
      <c r="G2483" t="s">
        <v>28207</v>
      </c>
      <c r="H2483" t="s">
        <v>28215</v>
      </c>
      <c r="I2483" t="s">
        <v>3422</v>
      </c>
      <c r="J2483" t="s">
        <v>29749</v>
      </c>
      <c r="K2483" t="s">
        <v>36689</v>
      </c>
      <c r="M2483" t="s">
        <v>38072</v>
      </c>
      <c r="N2483" t="s">
        <v>40436</v>
      </c>
      <c r="O2483" t="s">
        <v>40437</v>
      </c>
      <c r="P2483">
        <v>0</v>
      </c>
      <c r="Q2483">
        <v>1</v>
      </c>
      <c r="R2483" t="s">
        <v>40439</v>
      </c>
      <c r="S2483" t="s">
        <v>40588</v>
      </c>
      <c r="T2483" t="s">
        <v>42158</v>
      </c>
      <c r="U2483" t="s">
        <v>44786</v>
      </c>
      <c r="W2483" t="s">
        <v>38072</v>
      </c>
      <c r="X2483" t="s">
        <v>40444</v>
      </c>
    </row>
    <row r="2484" spans="1:24">
      <c r="A2484">
        <f>HYPERLINK("https://www.philgeps.gov.ph/GEPSNONPILOT/Tender/SplashBidNoticeAbstractUI.aspx?menuIndex=3&amp;refID=7042675&amp;Result=3","7042675")</f>
        <v>0</v>
      </c>
      <c r="B2484" t="s">
        <v>1036</v>
      </c>
      <c r="C2484" t="s">
        <v>5476</v>
      </c>
      <c r="D2484" t="s">
        <v>16202</v>
      </c>
      <c r="E2484" t="s">
        <v>18560</v>
      </c>
      <c r="F2484" t="s">
        <v>28198</v>
      </c>
      <c r="G2484" t="s">
        <v>28209</v>
      </c>
      <c r="H2484" t="s">
        <v>28215</v>
      </c>
      <c r="I2484" t="s">
        <v>4505</v>
      </c>
      <c r="J2484" t="s">
        <v>30034</v>
      </c>
      <c r="K2484" t="s">
        <v>36701</v>
      </c>
      <c r="M2484" t="s">
        <v>38068</v>
      </c>
      <c r="N2484" t="s">
        <v>40436</v>
      </c>
      <c r="O2484" t="s">
        <v>40437</v>
      </c>
      <c r="P2484">
        <v>0</v>
      </c>
      <c r="Q2484">
        <v>11</v>
      </c>
      <c r="R2484" t="s">
        <v>40439</v>
      </c>
      <c r="S2484" t="s">
        <v>40588</v>
      </c>
      <c r="T2484" t="s">
        <v>42240</v>
      </c>
      <c r="U2484" t="s">
        <v>44787</v>
      </c>
      <c r="V2484" t="s">
        <v>54067</v>
      </c>
      <c r="W2484" t="s">
        <v>38068</v>
      </c>
      <c r="X2484" t="s">
        <v>40444</v>
      </c>
    </row>
    <row r="2485" spans="1:24">
      <c r="A2485">
        <f>HYPERLINK("https://www.philgeps.gov.ph/GEPSNONPILOT/Tender/SplashBidNoticeAbstractUI.aspx?menuIndex=3&amp;refID=7043049&amp;Result=3","7043049")</f>
        <v>0</v>
      </c>
      <c r="B2485" t="s">
        <v>103</v>
      </c>
      <c r="C2485" t="s">
        <v>5477</v>
      </c>
      <c r="D2485" t="s">
        <v>16230</v>
      </c>
      <c r="E2485" t="s">
        <v>16861</v>
      </c>
      <c r="F2485" t="s">
        <v>28198</v>
      </c>
      <c r="G2485" t="s">
        <v>28206</v>
      </c>
      <c r="H2485" t="s">
        <v>28215</v>
      </c>
      <c r="I2485" t="s">
        <v>5100</v>
      </c>
      <c r="J2485" t="s">
        <v>30035</v>
      </c>
      <c r="K2485" t="s">
        <v>36706</v>
      </c>
      <c r="M2485" t="s">
        <v>37077</v>
      </c>
      <c r="N2485" t="s">
        <v>40436</v>
      </c>
      <c r="O2485" t="s">
        <v>40437</v>
      </c>
      <c r="P2485">
        <v>0</v>
      </c>
      <c r="Q2485">
        <v>0</v>
      </c>
      <c r="R2485" t="s">
        <v>40439</v>
      </c>
      <c r="S2485" t="s">
        <v>40588</v>
      </c>
      <c r="T2485" t="s">
        <v>42158</v>
      </c>
      <c r="U2485" t="s">
        <v>44788</v>
      </c>
      <c r="V2485" t="s">
        <v>54068</v>
      </c>
      <c r="W2485" t="s">
        <v>37077</v>
      </c>
      <c r="X2485" t="s">
        <v>40444</v>
      </c>
    </row>
    <row r="2486" spans="1:24">
      <c r="A2486">
        <f>HYPERLINK("https://www.philgeps.gov.ph/GEPSNONPILOT/Tender/SplashBidNoticeAbstractUI.aspx?menuIndex=3&amp;refID=7042342&amp;Result=3","7042342")</f>
        <v>0</v>
      </c>
      <c r="B2486" t="s">
        <v>1040</v>
      </c>
      <c r="C2486" t="s">
        <v>3220</v>
      </c>
      <c r="D2486" t="s">
        <v>16210</v>
      </c>
      <c r="E2486" t="s">
        <v>18561</v>
      </c>
      <c r="F2486" t="s">
        <v>28198</v>
      </c>
      <c r="G2486" t="s">
        <v>28206</v>
      </c>
      <c r="H2486" t="s">
        <v>28215</v>
      </c>
      <c r="I2486" t="s">
        <v>5082</v>
      </c>
      <c r="J2486" t="s">
        <v>30036</v>
      </c>
      <c r="K2486" t="s">
        <v>36707</v>
      </c>
      <c r="M2486" t="s">
        <v>38073</v>
      </c>
      <c r="N2486" t="s">
        <v>40436</v>
      </c>
      <c r="O2486" t="s">
        <v>40437</v>
      </c>
      <c r="P2486">
        <v>0</v>
      </c>
      <c r="Q2486">
        <v>8</v>
      </c>
      <c r="R2486" t="s">
        <v>40439</v>
      </c>
      <c r="S2486" t="s">
        <v>40588</v>
      </c>
      <c r="T2486" t="s">
        <v>42318</v>
      </c>
      <c r="U2486" t="s">
        <v>44789</v>
      </c>
      <c r="W2486" t="s">
        <v>38073</v>
      </c>
      <c r="X2486" t="s">
        <v>40444</v>
      </c>
    </row>
    <row r="2487" spans="1:24">
      <c r="A2487">
        <f>HYPERLINK("https://www.philgeps.gov.ph/GEPSNONPILOT/Tender/SplashBidNoticeAbstractUI.aspx?menuIndex=3&amp;refID=7042975&amp;Result=3","7042975")</f>
        <v>0</v>
      </c>
      <c r="B2487" t="s">
        <v>1023</v>
      </c>
      <c r="C2487" t="s">
        <v>5478</v>
      </c>
      <c r="D2487" t="s">
        <v>16265</v>
      </c>
      <c r="E2487" t="s">
        <v>18562</v>
      </c>
      <c r="F2487" t="s">
        <v>28198</v>
      </c>
      <c r="G2487" t="s">
        <v>28205</v>
      </c>
      <c r="H2487" t="s">
        <v>28215</v>
      </c>
      <c r="I2487" t="s">
        <v>5631</v>
      </c>
      <c r="J2487" t="s">
        <v>28724</v>
      </c>
      <c r="K2487" t="s">
        <v>36701</v>
      </c>
      <c r="M2487" t="s">
        <v>38054</v>
      </c>
      <c r="N2487" t="s">
        <v>40436</v>
      </c>
      <c r="O2487" t="s">
        <v>40437</v>
      </c>
      <c r="P2487">
        <v>0</v>
      </c>
      <c r="Q2487">
        <v>0</v>
      </c>
      <c r="R2487" t="s">
        <v>40439</v>
      </c>
      <c r="S2487" t="s">
        <v>40588</v>
      </c>
      <c r="T2487" t="s">
        <v>42108</v>
      </c>
      <c r="U2487" t="s">
        <v>44790</v>
      </c>
      <c r="W2487" t="s">
        <v>38054</v>
      </c>
      <c r="X2487" t="s">
        <v>40444</v>
      </c>
    </row>
    <row r="2488" spans="1:24">
      <c r="A2488">
        <f>HYPERLINK("https://www.philgeps.gov.ph/GEPSNONPILOT/Tender/SplashBidNoticeAbstractUI.aspx?menuIndex=3&amp;refID=7043026&amp;Result=3","7043026")</f>
        <v>0</v>
      </c>
      <c r="B2488" t="s">
        <v>103</v>
      </c>
      <c r="C2488" t="s">
        <v>5479</v>
      </c>
      <c r="D2488" t="s">
        <v>16230</v>
      </c>
      <c r="E2488" t="s">
        <v>16640</v>
      </c>
      <c r="F2488" t="s">
        <v>28198</v>
      </c>
      <c r="G2488" t="s">
        <v>28206</v>
      </c>
      <c r="H2488" t="s">
        <v>28215</v>
      </c>
      <c r="I2488" t="s">
        <v>28228</v>
      </c>
      <c r="J2488" t="s">
        <v>28378</v>
      </c>
      <c r="K2488" t="s">
        <v>36706</v>
      </c>
      <c r="M2488" t="s">
        <v>37077</v>
      </c>
      <c r="N2488" t="s">
        <v>40436</v>
      </c>
      <c r="O2488" t="s">
        <v>40437</v>
      </c>
      <c r="P2488">
        <v>0</v>
      </c>
      <c r="Q2488">
        <v>0</v>
      </c>
      <c r="R2488" t="s">
        <v>40439</v>
      </c>
      <c r="S2488" t="s">
        <v>40588</v>
      </c>
      <c r="T2488" t="s">
        <v>42158</v>
      </c>
      <c r="U2488" t="s">
        <v>44785</v>
      </c>
      <c r="V2488" t="s">
        <v>54069</v>
      </c>
      <c r="W2488" t="s">
        <v>37077</v>
      </c>
      <c r="X2488" t="s">
        <v>40444</v>
      </c>
    </row>
    <row r="2489" spans="1:24">
      <c r="A2489">
        <f>HYPERLINK("https://www.philgeps.gov.ph/GEPSNONPILOT/Tender/SplashBidNoticeAbstractUI.aspx?menuIndex=3&amp;refID=7043046&amp;Result=3","7043046")</f>
        <v>0</v>
      </c>
      <c r="B2489" t="s">
        <v>103</v>
      </c>
      <c r="C2489" t="s">
        <v>5480</v>
      </c>
      <c r="D2489" t="s">
        <v>16230</v>
      </c>
      <c r="E2489" t="s">
        <v>18563</v>
      </c>
      <c r="F2489" t="s">
        <v>28198</v>
      </c>
      <c r="G2489" t="s">
        <v>28206</v>
      </c>
      <c r="H2489" t="s">
        <v>28215</v>
      </c>
      <c r="I2489" t="s">
        <v>5100</v>
      </c>
      <c r="J2489" t="s">
        <v>30037</v>
      </c>
      <c r="K2489" t="s">
        <v>36706</v>
      </c>
      <c r="M2489" t="s">
        <v>37077</v>
      </c>
      <c r="N2489" t="s">
        <v>40436</v>
      </c>
      <c r="O2489" t="s">
        <v>40437</v>
      </c>
      <c r="P2489">
        <v>0</v>
      </c>
      <c r="Q2489">
        <v>0</v>
      </c>
      <c r="R2489" t="s">
        <v>40439</v>
      </c>
      <c r="S2489" t="s">
        <v>40588</v>
      </c>
      <c r="T2489" t="s">
        <v>42158</v>
      </c>
      <c r="U2489" t="s">
        <v>44791</v>
      </c>
      <c r="V2489" t="s">
        <v>54070</v>
      </c>
      <c r="W2489" t="s">
        <v>37077</v>
      </c>
      <c r="X2489" t="s">
        <v>40444</v>
      </c>
    </row>
    <row r="2490" spans="1:24">
      <c r="A2490">
        <f>HYPERLINK("https://www.philgeps.gov.ph/GEPSNONPILOT/Tender/SplashBidNoticeAbstractUI.aspx?menuIndex=3&amp;refID=7042301&amp;Result=3","7042301")</f>
        <v>0</v>
      </c>
      <c r="B2490" t="s">
        <v>377</v>
      </c>
      <c r="C2490" t="s">
        <v>5481</v>
      </c>
      <c r="D2490" t="s">
        <v>16204</v>
      </c>
      <c r="E2490" t="s">
        <v>18564</v>
      </c>
      <c r="F2490" t="s">
        <v>28198</v>
      </c>
      <c r="G2490" t="s">
        <v>28207</v>
      </c>
      <c r="H2490" t="s">
        <v>28215</v>
      </c>
      <c r="I2490" t="s">
        <v>28220</v>
      </c>
      <c r="J2490" t="s">
        <v>30038</v>
      </c>
      <c r="K2490" t="s">
        <v>36689</v>
      </c>
      <c r="L2490" t="s">
        <v>377</v>
      </c>
      <c r="M2490" t="s">
        <v>37357</v>
      </c>
      <c r="N2490" t="s">
        <v>40436</v>
      </c>
      <c r="O2490" t="s">
        <v>40437</v>
      </c>
      <c r="P2490">
        <v>0</v>
      </c>
      <c r="Q2490">
        <v>4</v>
      </c>
      <c r="R2490" t="s">
        <v>40439</v>
      </c>
      <c r="S2490" t="s">
        <v>40588</v>
      </c>
      <c r="T2490" t="s">
        <v>42169</v>
      </c>
      <c r="U2490" t="s">
        <v>44775</v>
      </c>
      <c r="W2490" t="s">
        <v>37357</v>
      </c>
      <c r="X2490" t="s">
        <v>40444</v>
      </c>
    </row>
    <row r="2491" spans="1:24">
      <c r="A2491">
        <f>HYPERLINK("https://www.philgeps.gov.ph/GEPSNONPILOT/Tender/SplashBidNoticeAbstractUI.aspx?menuIndex=3&amp;refID=7043022&amp;Result=3","7043022")</f>
        <v>0</v>
      </c>
      <c r="B2491" t="s">
        <v>1023</v>
      </c>
      <c r="C2491" t="s">
        <v>5482</v>
      </c>
      <c r="D2491" t="s">
        <v>16265</v>
      </c>
      <c r="E2491" t="s">
        <v>18565</v>
      </c>
      <c r="F2491" t="s">
        <v>28198</v>
      </c>
      <c r="G2491" t="s">
        <v>28205</v>
      </c>
      <c r="H2491" t="s">
        <v>28215</v>
      </c>
      <c r="I2491" t="s">
        <v>3422</v>
      </c>
      <c r="J2491" t="s">
        <v>30039</v>
      </c>
      <c r="K2491" t="s">
        <v>36701</v>
      </c>
      <c r="M2491" t="s">
        <v>38054</v>
      </c>
      <c r="N2491" t="s">
        <v>40436</v>
      </c>
      <c r="O2491" t="s">
        <v>40437</v>
      </c>
      <c r="P2491">
        <v>0</v>
      </c>
      <c r="Q2491">
        <v>0</v>
      </c>
      <c r="R2491" t="s">
        <v>40439</v>
      </c>
      <c r="S2491" t="s">
        <v>40588</v>
      </c>
      <c r="T2491" t="s">
        <v>42108</v>
      </c>
      <c r="U2491" t="s">
        <v>44792</v>
      </c>
      <c r="W2491" t="s">
        <v>38054</v>
      </c>
      <c r="X2491" t="s">
        <v>40444</v>
      </c>
    </row>
    <row r="2492" spans="1:24">
      <c r="A2492">
        <f>HYPERLINK("https://www.philgeps.gov.ph/GEPSNONPILOT/Tender/SplashBidNoticeAbstractUI.aspx?menuIndex=3&amp;refID=7042920&amp;Result=3","7042920")</f>
        <v>0</v>
      </c>
      <c r="B2492" t="s">
        <v>1041</v>
      </c>
      <c r="C2492" t="s">
        <v>5483</v>
      </c>
      <c r="D2492" t="s">
        <v>16190</v>
      </c>
      <c r="E2492" t="s">
        <v>18566</v>
      </c>
      <c r="F2492" t="s">
        <v>28198</v>
      </c>
      <c r="G2492" t="s">
        <v>28206</v>
      </c>
      <c r="H2492" t="s">
        <v>28215</v>
      </c>
      <c r="I2492" t="s">
        <v>5100</v>
      </c>
      <c r="J2492" t="s">
        <v>30040</v>
      </c>
      <c r="K2492" t="s">
        <v>36707</v>
      </c>
      <c r="M2492" t="s">
        <v>38074</v>
      </c>
      <c r="N2492" t="s">
        <v>40436</v>
      </c>
      <c r="O2492" t="s">
        <v>40437</v>
      </c>
      <c r="P2492">
        <v>0</v>
      </c>
      <c r="Q2492">
        <v>0</v>
      </c>
      <c r="R2492" t="s">
        <v>40439</v>
      </c>
      <c r="S2492" t="s">
        <v>40588</v>
      </c>
      <c r="T2492" t="s">
        <v>42152</v>
      </c>
      <c r="U2492" t="s">
        <v>44793</v>
      </c>
      <c r="W2492" t="s">
        <v>38074</v>
      </c>
      <c r="X2492" t="s">
        <v>40444</v>
      </c>
    </row>
    <row r="2493" spans="1:24">
      <c r="A2493">
        <f>HYPERLINK("https://www.philgeps.gov.ph/GEPSNONPILOT/Tender/SplashBidNoticeAbstractUI.aspx?menuIndex=3&amp;refID=7042896&amp;Result=3","7042896")</f>
        <v>0</v>
      </c>
      <c r="B2493" t="s">
        <v>1023</v>
      </c>
      <c r="C2493" t="s">
        <v>5484</v>
      </c>
      <c r="D2493" t="s">
        <v>16265</v>
      </c>
      <c r="E2493" t="s">
        <v>18567</v>
      </c>
      <c r="F2493" t="s">
        <v>28198</v>
      </c>
      <c r="G2493" t="s">
        <v>28205</v>
      </c>
      <c r="H2493" t="s">
        <v>28215</v>
      </c>
      <c r="I2493" t="s">
        <v>3774</v>
      </c>
      <c r="J2493" t="s">
        <v>28515</v>
      </c>
      <c r="K2493" t="s">
        <v>36701</v>
      </c>
      <c r="M2493" t="s">
        <v>38054</v>
      </c>
      <c r="N2493" t="s">
        <v>40436</v>
      </c>
      <c r="O2493" t="s">
        <v>40437</v>
      </c>
      <c r="P2493">
        <v>0</v>
      </c>
      <c r="Q2493">
        <v>0</v>
      </c>
      <c r="R2493" t="s">
        <v>40439</v>
      </c>
      <c r="S2493" t="s">
        <v>40588</v>
      </c>
      <c r="T2493" t="s">
        <v>42108</v>
      </c>
      <c r="U2493" t="s">
        <v>44794</v>
      </c>
      <c r="W2493" t="s">
        <v>38054</v>
      </c>
      <c r="X2493" t="s">
        <v>40444</v>
      </c>
    </row>
    <row r="2494" spans="1:24">
      <c r="A2494">
        <f>HYPERLINK("https://www.philgeps.gov.ph/GEPSNONPILOT/Tender/SplashBidNoticeAbstractUI.aspx?menuIndex=3&amp;refID=7043039&amp;Result=3","7043039")</f>
        <v>0</v>
      </c>
      <c r="B2494" t="s">
        <v>1023</v>
      </c>
      <c r="C2494" t="s">
        <v>5485</v>
      </c>
      <c r="D2494" t="s">
        <v>16265</v>
      </c>
      <c r="E2494" t="s">
        <v>18565</v>
      </c>
      <c r="F2494" t="s">
        <v>28198</v>
      </c>
      <c r="G2494" t="s">
        <v>28205</v>
      </c>
      <c r="H2494" t="s">
        <v>28215</v>
      </c>
      <c r="I2494" t="s">
        <v>28285</v>
      </c>
      <c r="J2494" t="s">
        <v>30041</v>
      </c>
      <c r="K2494" t="s">
        <v>36701</v>
      </c>
      <c r="M2494" t="s">
        <v>38054</v>
      </c>
      <c r="N2494" t="s">
        <v>40436</v>
      </c>
      <c r="O2494" t="s">
        <v>40437</v>
      </c>
      <c r="P2494">
        <v>0</v>
      </c>
      <c r="Q2494">
        <v>0</v>
      </c>
      <c r="R2494" t="s">
        <v>40439</v>
      </c>
      <c r="S2494" t="s">
        <v>40588</v>
      </c>
      <c r="T2494" t="s">
        <v>42108</v>
      </c>
      <c r="U2494" t="s">
        <v>44792</v>
      </c>
      <c r="W2494" t="s">
        <v>38054</v>
      </c>
      <c r="X2494" t="s">
        <v>40444</v>
      </c>
    </row>
    <row r="2495" spans="1:24">
      <c r="A2495">
        <f>HYPERLINK("https://www.philgeps.gov.ph/GEPSNONPILOT/Tender/SplashBidNoticeAbstractUI.aspx?menuIndex=3&amp;refID=7043036&amp;Result=3","7043036")</f>
        <v>0</v>
      </c>
      <c r="B2495" t="s">
        <v>103</v>
      </c>
      <c r="C2495" t="s">
        <v>5486</v>
      </c>
      <c r="D2495" t="s">
        <v>16230</v>
      </c>
      <c r="E2495" t="s">
        <v>18568</v>
      </c>
      <c r="F2495" t="s">
        <v>28198</v>
      </c>
      <c r="G2495" t="s">
        <v>28206</v>
      </c>
      <c r="H2495" t="s">
        <v>28215</v>
      </c>
      <c r="I2495" t="s">
        <v>5100</v>
      </c>
      <c r="J2495" t="s">
        <v>30042</v>
      </c>
      <c r="K2495" t="s">
        <v>36706</v>
      </c>
      <c r="M2495" t="s">
        <v>37077</v>
      </c>
      <c r="N2495" t="s">
        <v>40436</v>
      </c>
      <c r="O2495" t="s">
        <v>40437</v>
      </c>
      <c r="P2495">
        <v>0</v>
      </c>
      <c r="Q2495">
        <v>0</v>
      </c>
      <c r="R2495" t="s">
        <v>40439</v>
      </c>
      <c r="S2495" t="s">
        <v>40588</v>
      </c>
      <c r="T2495" t="s">
        <v>42158</v>
      </c>
      <c r="U2495" t="s">
        <v>44795</v>
      </c>
      <c r="V2495" t="s">
        <v>54071</v>
      </c>
      <c r="W2495" t="s">
        <v>37077</v>
      </c>
      <c r="X2495" t="s">
        <v>40444</v>
      </c>
    </row>
    <row r="2496" spans="1:24">
      <c r="A2496">
        <f>HYPERLINK("https://www.philgeps.gov.ph/GEPSNONPILOT/Tender/SplashBidNoticeAbstractUI.aspx?menuIndex=3&amp;refID=7042755&amp;Result=3","7042755")</f>
        <v>0</v>
      </c>
      <c r="B2496" t="s">
        <v>1041</v>
      </c>
      <c r="C2496" t="s">
        <v>5487</v>
      </c>
      <c r="D2496" t="s">
        <v>16190</v>
      </c>
      <c r="E2496" t="s">
        <v>18569</v>
      </c>
      <c r="F2496" t="s">
        <v>28198</v>
      </c>
      <c r="G2496" t="s">
        <v>28206</v>
      </c>
      <c r="H2496" t="s">
        <v>28215</v>
      </c>
      <c r="I2496" t="s">
        <v>4505</v>
      </c>
      <c r="J2496" t="s">
        <v>28373</v>
      </c>
      <c r="K2496" t="s">
        <v>36707</v>
      </c>
      <c r="M2496" t="s">
        <v>38074</v>
      </c>
      <c r="N2496" t="s">
        <v>40436</v>
      </c>
      <c r="O2496" t="s">
        <v>40437</v>
      </c>
      <c r="P2496">
        <v>0</v>
      </c>
      <c r="Q2496">
        <v>7</v>
      </c>
      <c r="R2496" t="s">
        <v>40439</v>
      </c>
      <c r="S2496" t="s">
        <v>40588</v>
      </c>
      <c r="T2496" t="s">
        <v>42152</v>
      </c>
      <c r="U2496" t="s">
        <v>44796</v>
      </c>
      <c r="W2496" t="s">
        <v>38074</v>
      </c>
      <c r="X2496" t="s">
        <v>40444</v>
      </c>
    </row>
    <row r="2497" spans="1:24">
      <c r="A2497">
        <f>HYPERLINK("https://www.philgeps.gov.ph/GEPSNONPILOT/Tender/SplashBidNoticeAbstractUI.aspx?menuIndex=3&amp;refID=7042733&amp;Result=3","7042733")</f>
        <v>0</v>
      </c>
      <c r="B2497" t="s">
        <v>1042</v>
      </c>
      <c r="C2497" t="s">
        <v>5488</v>
      </c>
      <c r="D2497" t="s">
        <v>16197</v>
      </c>
      <c r="E2497" t="s">
        <v>18570</v>
      </c>
      <c r="F2497" t="s">
        <v>28198</v>
      </c>
      <c r="G2497" t="s">
        <v>28207</v>
      </c>
      <c r="H2497" t="s">
        <v>28215</v>
      </c>
      <c r="I2497" t="s">
        <v>4222</v>
      </c>
      <c r="J2497" t="s">
        <v>28397</v>
      </c>
      <c r="K2497" t="s">
        <v>36707</v>
      </c>
      <c r="M2497" t="s">
        <v>38075</v>
      </c>
      <c r="N2497" t="s">
        <v>40436</v>
      </c>
      <c r="O2497" t="s">
        <v>40437</v>
      </c>
      <c r="P2497">
        <v>0</v>
      </c>
      <c r="Q2497">
        <v>1</v>
      </c>
      <c r="R2497" t="s">
        <v>40439</v>
      </c>
      <c r="S2497" t="s">
        <v>40588</v>
      </c>
      <c r="T2497" t="s">
        <v>42131</v>
      </c>
      <c r="U2497" t="s">
        <v>44797</v>
      </c>
      <c r="W2497" t="s">
        <v>38075</v>
      </c>
      <c r="X2497" t="s">
        <v>40444</v>
      </c>
    </row>
    <row r="2498" spans="1:24">
      <c r="A2498">
        <f>HYPERLINK("https://www.philgeps.gov.ph/GEPSNONPILOT/Tender/SplashBidNoticeAbstractUI.aspx?menuIndex=3&amp;refID=7042167&amp;Result=3","7042167")</f>
        <v>0</v>
      </c>
      <c r="B2498" t="s">
        <v>884</v>
      </c>
      <c r="C2498" t="s">
        <v>5489</v>
      </c>
      <c r="D2498" t="s">
        <v>16230</v>
      </c>
      <c r="E2498" t="s">
        <v>18571</v>
      </c>
      <c r="F2498" t="s">
        <v>28198</v>
      </c>
      <c r="G2498" t="s">
        <v>28209</v>
      </c>
      <c r="H2498" t="s">
        <v>28215</v>
      </c>
      <c r="I2498" t="s">
        <v>28286</v>
      </c>
      <c r="J2498" t="s">
        <v>28494</v>
      </c>
      <c r="K2498" t="s">
        <v>36706</v>
      </c>
      <c r="L2498" t="s">
        <v>884</v>
      </c>
      <c r="M2498" t="s">
        <v>37900</v>
      </c>
      <c r="N2498" t="s">
        <v>40436</v>
      </c>
      <c r="O2498" t="s">
        <v>40437</v>
      </c>
      <c r="P2498">
        <v>0</v>
      </c>
      <c r="Q2498">
        <v>0</v>
      </c>
      <c r="R2498" t="s">
        <v>40439</v>
      </c>
      <c r="S2498" t="s">
        <v>40588</v>
      </c>
      <c r="T2498" t="s">
        <v>42100</v>
      </c>
      <c r="U2498" t="s">
        <v>44798</v>
      </c>
      <c r="V2498" t="s">
        <v>54057</v>
      </c>
      <c r="W2498" t="s">
        <v>37900</v>
      </c>
      <c r="X2498" t="s">
        <v>40444</v>
      </c>
    </row>
    <row r="2499" spans="1:24">
      <c r="A2499">
        <f>HYPERLINK("https://www.philgeps.gov.ph/GEPSNONPILOT/Tender/SplashBidNoticeAbstractUI.aspx?menuIndex=3&amp;refID=7043055&amp;Result=3","7043055")</f>
        <v>0</v>
      </c>
      <c r="B2499" t="s">
        <v>1023</v>
      </c>
      <c r="C2499" t="s">
        <v>5490</v>
      </c>
      <c r="D2499" t="s">
        <v>16265</v>
      </c>
      <c r="E2499" t="s">
        <v>18572</v>
      </c>
      <c r="F2499" t="s">
        <v>28198</v>
      </c>
      <c r="G2499" t="s">
        <v>28205</v>
      </c>
      <c r="H2499" t="s">
        <v>28215</v>
      </c>
      <c r="I2499" t="s">
        <v>5631</v>
      </c>
      <c r="J2499" t="s">
        <v>30043</v>
      </c>
      <c r="K2499" t="s">
        <v>36701</v>
      </c>
      <c r="M2499" t="s">
        <v>38054</v>
      </c>
      <c r="N2499" t="s">
        <v>40436</v>
      </c>
      <c r="O2499" t="s">
        <v>40437</v>
      </c>
      <c r="P2499">
        <v>0</v>
      </c>
      <c r="Q2499">
        <v>0</v>
      </c>
      <c r="R2499" t="s">
        <v>40439</v>
      </c>
      <c r="S2499" t="s">
        <v>40588</v>
      </c>
      <c r="T2499" t="s">
        <v>42108</v>
      </c>
      <c r="U2499" t="s">
        <v>44799</v>
      </c>
      <c r="W2499" t="s">
        <v>38054</v>
      </c>
      <c r="X2499" t="s">
        <v>40444</v>
      </c>
    </row>
    <row r="2500" spans="1:24">
      <c r="A2500">
        <f>HYPERLINK("https://www.philgeps.gov.ph/GEPSNONPILOT/Tender/SplashBidNoticeAbstractUI.aspx?menuIndex=3&amp;refID=7042858&amp;Result=3","7042858")</f>
        <v>0</v>
      </c>
      <c r="B2500" t="s">
        <v>67</v>
      </c>
      <c r="C2500" t="s">
        <v>5491</v>
      </c>
      <c r="D2500" t="s">
        <v>16192</v>
      </c>
      <c r="E2500" t="s">
        <v>18573</v>
      </c>
      <c r="F2500" t="s">
        <v>28198</v>
      </c>
      <c r="G2500" t="s">
        <v>28205</v>
      </c>
      <c r="H2500" t="s">
        <v>28215</v>
      </c>
      <c r="I2500" t="s">
        <v>28258</v>
      </c>
      <c r="J2500" t="s">
        <v>30044</v>
      </c>
      <c r="K2500" t="s">
        <v>36688</v>
      </c>
      <c r="M2500" t="s">
        <v>37039</v>
      </c>
      <c r="N2500" t="s">
        <v>40436</v>
      </c>
      <c r="O2500" t="s">
        <v>40437</v>
      </c>
      <c r="P2500">
        <v>0</v>
      </c>
      <c r="Q2500">
        <v>6</v>
      </c>
      <c r="R2500" t="s">
        <v>40439</v>
      </c>
      <c r="S2500" t="s">
        <v>40588</v>
      </c>
      <c r="T2500" t="s">
        <v>42202</v>
      </c>
      <c r="U2500" t="s">
        <v>42701</v>
      </c>
      <c r="V2500" t="s">
        <v>54072</v>
      </c>
      <c r="W2500" t="s">
        <v>37039</v>
      </c>
      <c r="X2500" t="s">
        <v>40444</v>
      </c>
    </row>
    <row r="2501" spans="1:24">
      <c r="A2501">
        <f>HYPERLINK("https://www.philgeps.gov.ph/GEPSNONPILOT/Tender/SplashBidNoticeAbstractUI.aspx?menuIndex=3&amp;refID=7043072&amp;Result=3","7043072")</f>
        <v>0</v>
      </c>
      <c r="B2501" t="s">
        <v>1043</v>
      </c>
      <c r="C2501" t="s">
        <v>5492</v>
      </c>
      <c r="D2501" t="s">
        <v>16190</v>
      </c>
      <c r="E2501" t="s">
        <v>18574</v>
      </c>
      <c r="F2501" t="s">
        <v>28198</v>
      </c>
      <c r="G2501" t="s">
        <v>28207</v>
      </c>
      <c r="H2501" t="s">
        <v>28215</v>
      </c>
      <c r="I2501" t="s">
        <v>4219</v>
      </c>
      <c r="J2501" t="s">
        <v>30045</v>
      </c>
      <c r="K2501" t="s">
        <v>36706</v>
      </c>
      <c r="M2501" t="s">
        <v>38076</v>
      </c>
      <c r="N2501" t="s">
        <v>40436</v>
      </c>
      <c r="O2501" t="s">
        <v>40437</v>
      </c>
      <c r="P2501">
        <v>0</v>
      </c>
      <c r="Q2501">
        <v>2</v>
      </c>
      <c r="R2501" t="s">
        <v>40439</v>
      </c>
      <c r="S2501" t="s">
        <v>40588</v>
      </c>
      <c r="T2501" t="s">
        <v>42321</v>
      </c>
      <c r="U2501" t="s">
        <v>44800</v>
      </c>
      <c r="W2501" t="s">
        <v>38076</v>
      </c>
      <c r="X2501" t="s">
        <v>40444</v>
      </c>
    </row>
    <row r="2502" spans="1:24">
      <c r="A2502">
        <f>HYPERLINK("https://www.philgeps.gov.ph/GEPSNONPILOT/Tender/SplashBidNoticeAbstractUI.aspx?menuIndex=3&amp;refID=7042877&amp;Result=3","7042877")</f>
        <v>0</v>
      </c>
      <c r="B2502" t="s">
        <v>1044</v>
      </c>
      <c r="C2502" t="s">
        <v>5493</v>
      </c>
      <c r="E2502" t="s">
        <v>18575</v>
      </c>
      <c r="F2502" t="s">
        <v>28198</v>
      </c>
      <c r="G2502" t="s">
        <v>28205</v>
      </c>
      <c r="H2502" t="s">
        <v>28214</v>
      </c>
      <c r="I2502" t="s">
        <v>3797</v>
      </c>
      <c r="J2502" t="s">
        <v>30046</v>
      </c>
      <c r="K2502" t="s">
        <v>36689</v>
      </c>
      <c r="M2502" t="s">
        <v>38077</v>
      </c>
      <c r="N2502" t="s">
        <v>40436</v>
      </c>
      <c r="O2502" t="s">
        <v>40437</v>
      </c>
      <c r="P2502">
        <v>0</v>
      </c>
      <c r="Q2502">
        <v>0</v>
      </c>
      <c r="R2502" t="s">
        <v>40439</v>
      </c>
      <c r="S2502" t="s">
        <v>40588</v>
      </c>
      <c r="T2502" t="s">
        <v>42175</v>
      </c>
      <c r="U2502" t="s">
        <v>44801</v>
      </c>
      <c r="W2502" t="s">
        <v>38077</v>
      </c>
      <c r="X2502" t="s">
        <v>40444</v>
      </c>
    </row>
    <row r="2503" spans="1:24">
      <c r="A2503">
        <f>HYPERLINK("https://www.philgeps.gov.ph/GEPSNONPILOT/Tender/SplashBidNoticeAbstractUI.aspx?menuIndex=3&amp;refID=7043057&amp;Result=3","7043057")</f>
        <v>0</v>
      </c>
      <c r="B2503" t="s">
        <v>103</v>
      </c>
      <c r="C2503" t="s">
        <v>5494</v>
      </c>
      <c r="D2503" t="s">
        <v>16230</v>
      </c>
      <c r="E2503" t="s">
        <v>16873</v>
      </c>
      <c r="F2503" t="s">
        <v>28198</v>
      </c>
      <c r="G2503" t="s">
        <v>28206</v>
      </c>
      <c r="H2503" t="s">
        <v>28215</v>
      </c>
      <c r="I2503" t="s">
        <v>5100</v>
      </c>
      <c r="J2503" t="s">
        <v>30035</v>
      </c>
      <c r="K2503" t="s">
        <v>36706</v>
      </c>
      <c r="M2503" t="s">
        <v>37077</v>
      </c>
      <c r="N2503" t="s">
        <v>40436</v>
      </c>
      <c r="O2503" t="s">
        <v>40437</v>
      </c>
      <c r="P2503">
        <v>0</v>
      </c>
      <c r="Q2503">
        <v>0</v>
      </c>
      <c r="R2503" t="s">
        <v>40439</v>
      </c>
      <c r="S2503" t="s">
        <v>40588</v>
      </c>
      <c r="T2503" t="s">
        <v>42158</v>
      </c>
      <c r="U2503" t="s">
        <v>44802</v>
      </c>
      <c r="V2503" t="s">
        <v>54073</v>
      </c>
      <c r="W2503" t="s">
        <v>37077</v>
      </c>
      <c r="X2503" t="s">
        <v>40444</v>
      </c>
    </row>
    <row r="2504" spans="1:24">
      <c r="A2504">
        <f>HYPERLINK("https://www.philgeps.gov.ph/GEPSNONPILOT/Tender/SplashBidNoticeAbstractUI.aspx?menuIndex=3&amp;refID=7043074&amp;Result=3","7043074")</f>
        <v>0</v>
      </c>
      <c r="B2504" t="s">
        <v>103</v>
      </c>
      <c r="C2504" t="s">
        <v>5495</v>
      </c>
      <c r="D2504" t="s">
        <v>16230</v>
      </c>
      <c r="E2504" t="s">
        <v>18576</v>
      </c>
      <c r="F2504" t="s">
        <v>28198</v>
      </c>
      <c r="G2504" t="s">
        <v>28206</v>
      </c>
      <c r="H2504" t="s">
        <v>28215</v>
      </c>
      <c r="I2504" t="s">
        <v>5100</v>
      </c>
      <c r="J2504" t="s">
        <v>30047</v>
      </c>
      <c r="K2504" t="s">
        <v>36706</v>
      </c>
      <c r="M2504" t="s">
        <v>37077</v>
      </c>
      <c r="N2504" t="s">
        <v>40436</v>
      </c>
      <c r="O2504" t="s">
        <v>40437</v>
      </c>
      <c r="P2504">
        <v>0</v>
      </c>
      <c r="Q2504">
        <v>0</v>
      </c>
      <c r="R2504" t="s">
        <v>40439</v>
      </c>
      <c r="S2504" t="s">
        <v>40588</v>
      </c>
      <c r="T2504" t="s">
        <v>42158</v>
      </c>
      <c r="U2504" t="s">
        <v>44803</v>
      </c>
      <c r="V2504" t="s">
        <v>54074</v>
      </c>
      <c r="W2504" t="s">
        <v>37077</v>
      </c>
      <c r="X2504" t="s">
        <v>40444</v>
      </c>
    </row>
    <row r="2505" spans="1:24">
      <c r="A2505">
        <f>HYPERLINK("https://www.philgeps.gov.ph/GEPSNONPILOT/Tender/SplashBidNoticeAbstractUI.aspx?menuIndex=3&amp;refID=7043087&amp;Result=3","7043087")</f>
        <v>0</v>
      </c>
      <c r="B2505" t="s">
        <v>103</v>
      </c>
      <c r="C2505" t="s">
        <v>5496</v>
      </c>
      <c r="D2505" t="s">
        <v>16230</v>
      </c>
      <c r="E2505" t="s">
        <v>18577</v>
      </c>
      <c r="F2505" t="s">
        <v>28198</v>
      </c>
      <c r="G2505" t="s">
        <v>28206</v>
      </c>
      <c r="H2505" t="s">
        <v>28215</v>
      </c>
      <c r="I2505" t="s">
        <v>5100</v>
      </c>
      <c r="J2505" t="s">
        <v>30048</v>
      </c>
      <c r="K2505" t="s">
        <v>36706</v>
      </c>
      <c r="M2505" t="s">
        <v>37077</v>
      </c>
      <c r="N2505" t="s">
        <v>40436</v>
      </c>
      <c r="O2505" t="s">
        <v>40437</v>
      </c>
      <c r="P2505">
        <v>0</v>
      </c>
      <c r="Q2505">
        <v>0</v>
      </c>
      <c r="R2505" t="s">
        <v>40439</v>
      </c>
      <c r="S2505" t="s">
        <v>40588</v>
      </c>
      <c r="T2505" t="s">
        <v>42158</v>
      </c>
      <c r="U2505" t="s">
        <v>44804</v>
      </c>
      <c r="V2505" t="s">
        <v>54075</v>
      </c>
      <c r="W2505" t="s">
        <v>37077</v>
      </c>
      <c r="X2505" t="s">
        <v>40444</v>
      </c>
    </row>
    <row r="2506" spans="1:24">
      <c r="A2506">
        <f>HYPERLINK("https://www.philgeps.gov.ph/GEPSNONPILOT/Tender/SplashBidNoticeAbstractUI.aspx?menuIndex=3&amp;refID=7042691&amp;Result=3","7042691")</f>
        <v>0</v>
      </c>
      <c r="B2506" t="s">
        <v>209</v>
      </c>
      <c r="C2506" t="s">
        <v>5497</v>
      </c>
      <c r="D2506" t="s">
        <v>16227</v>
      </c>
      <c r="E2506" t="s">
        <v>16421</v>
      </c>
      <c r="F2506" t="s">
        <v>28198</v>
      </c>
      <c r="G2506" t="s">
        <v>28206</v>
      </c>
      <c r="H2506" t="s">
        <v>28215</v>
      </c>
      <c r="I2506" t="s">
        <v>5082</v>
      </c>
      <c r="J2506" t="s">
        <v>28422</v>
      </c>
      <c r="K2506" t="s">
        <v>36707</v>
      </c>
      <c r="M2506" t="s">
        <v>37185</v>
      </c>
      <c r="N2506" t="s">
        <v>40436</v>
      </c>
      <c r="O2506" t="s">
        <v>40437</v>
      </c>
      <c r="P2506">
        <v>0</v>
      </c>
      <c r="Q2506">
        <v>2</v>
      </c>
      <c r="R2506" t="s">
        <v>40439</v>
      </c>
      <c r="S2506" t="s">
        <v>40588</v>
      </c>
      <c r="T2506" t="s">
        <v>42121</v>
      </c>
      <c r="U2506" t="s">
        <v>44805</v>
      </c>
      <c r="W2506" t="s">
        <v>55437</v>
      </c>
      <c r="X2506" t="s">
        <v>40444</v>
      </c>
    </row>
    <row r="2507" spans="1:24">
      <c r="A2507">
        <f>HYPERLINK("https://www.philgeps.gov.ph/GEPSNONPILOT/Tender/SplashBidNoticeAbstractUI.aspx?menuIndex=3&amp;refID=7043372&amp;Result=3","7043372")</f>
        <v>0</v>
      </c>
      <c r="B2507" t="s">
        <v>1037</v>
      </c>
      <c r="C2507" t="s">
        <v>5498</v>
      </c>
      <c r="D2507" t="s">
        <v>16190</v>
      </c>
      <c r="E2507" t="s">
        <v>18578</v>
      </c>
      <c r="F2507" t="s">
        <v>28198</v>
      </c>
      <c r="G2507" t="s">
        <v>28205</v>
      </c>
      <c r="H2507" t="s">
        <v>28215</v>
      </c>
      <c r="I2507" t="s">
        <v>5103</v>
      </c>
      <c r="J2507" t="s">
        <v>28985</v>
      </c>
      <c r="K2507" t="s">
        <v>36689</v>
      </c>
      <c r="M2507" t="s">
        <v>38069</v>
      </c>
      <c r="N2507" t="s">
        <v>40436</v>
      </c>
      <c r="O2507" t="s">
        <v>40437</v>
      </c>
      <c r="P2507">
        <v>0</v>
      </c>
      <c r="Q2507">
        <v>2</v>
      </c>
      <c r="R2507" t="s">
        <v>40439</v>
      </c>
      <c r="S2507" t="s">
        <v>40588</v>
      </c>
      <c r="T2507" t="s">
        <v>42320</v>
      </c>
      <c r="U2507" t="s">
        <v>44806</v>
      </c>
      <c r="V2507" t="s">
        <v>54061</v>
      </c>
      <c r="W2507" t="s">
        <v>38069</v>
      </c>
      <c r="X2507" t="s">
        <v>40443</v>
      </c>
    </row>
    <row r="2508" spans="1:24">
      <c r="A2508">
        <f>HYPERLINK("https://www.philgeps.gov.ph/GEPSNONPILOT/Tender/SplashBidNoticeAbstractUI.aspx?menuIndex=3&amp;refID=7043358&amp;Result=3","7043358")</f>
        <v>0</v>
      </c>
      <c r="B2508" t="s">
        <v>1037</v>
      </c>
      <c r="C2508" t="s">
        <v>5499</v>
      </c>
      <c r="D2508" t="s">
        <v>16190</v>
      </c>
      <c r="E2508" t="s">
        <v>18579</v>
      </c>
      <c r="F2508" t="s">
        <v>28198</v>
      </c>
      <c r="G2508" t="s">
        <v>28205</v>
      </c>
      <c r="H2508" t="s">
        <v>28215</v>
      </c>
      <c r="I2508" t="s">
        <v>28228</v>
      </c>
      <c r="J2508" t="s">
        <v>30049</v>
      </c>
      <c r="K2508" t="s">
        <v>36689</v>
      </c>
      <c r="M2508" t="s">
        <v>38069</v>
      </c>
      <c r="N2508" t="s">
        <v>40436</v>
      </c>
      <c r="O2508" t="s">
        <v>40437</v>
      </c>
      <c r="P2508">
        <v>0</v>
      </c>
      <c r="Q2508">
        <v>0</v>
      </c>
      <c r="R2508" t="s">
        <v>40439</v>
      </c>
      <c r="S2508" t="s">
        <v>40588</v>
      </c>
      <c r="T2508" t="s">
        <v>42320</v>
      </c>
      <c r="U2508" t="s">
        <v>44807</v>
      </c>
      <c r="V2508" t="s">
        <v>54061</v>
      </c>
      <c r="W2508" t="s">
        <v>38069</v>
      </c>
      <c r="X2508" t="s">
        <v>40443</v>
      </c>
    </row>
    <row r="2509" spans="1:24">
      <c r="A2509">
        <f>HYPERLINK("https://www.philgeps.gov.ph/GEPSNONPILOT/Tender/SplashBidNoticeAbstractUI.aspx?menuIndex=3&amp;refID=7043367&amp;Result=3","7043367")</f>
        <v>0</v>
      </c>
      <c r="B2509" t="s">
        <v>1037</v>
      </c>
      <c r="C2509" t="s">
        <v>5500</v>
      </c>
      <c r="D2509" t="s">
        <v>16190</v>
      </c>
      <c r="E2509" t="s">
        <v>18580</v>
      </c>
      <c r="F2509" t="s">
        <v>28198</v>
      </c>
      <c r="G2509" t="s">
        <v>28205</v>
      </c>
      <c r="H2509" t="s">
        <v>28215</v>
      </c>
      <c r="I2509" t="s">
        <v>3774</v>
      </c>
      <c r="J2509" t="s">
        <v>30050</v>
      </c>
      <c r="K2509" t="s">
        <v>36689</v>
      </c>
      <c r="M2509" t="s">
        <v>38069</v>
      </c>
      <c r="N2509" t="s">
        <v>40436</v>
      </c>
      <c r="O2509" t="s">
        <v>40437</v>
      </c>
      <c r="P2509">
        <v>0</v>
      </c>
      <c r="Q2509">
        <v>0</v>
      </c>
      <c r="R2509" t="s">
        <v>40439</v>
      </c>
      <c r="S2509" t="s">
        <v>40588</v>
      </c>
      <c r="T2509" t="s">
        <v>42320</v>
      </c>
      <c r="U2509" t="s">
        <v>44808</v>
      </c>
      <c r="V2509" t="s">
        <v>54061</v>
      </c>
      <c r="W2509" t="s">
        <v>38069</v>
      </c>
      <c r="X2509" t="s">
        <v>40443</v>
      </c>
    </row>
    <row r="2510" spans="1:24">
      <c r="A2510">
        <f>HYPERLINK("https://www.philgeps.gov.ph/GEPSNONPILOT/Tender/SplashBidNoticeAbstractUI.aspx?menuIndex=3&amp;refID=7043357&amp;Result=3","7043357")</f>
        <v>0</v>
      </c>
      <c r="B2510" t="s">
        <v>1045</v>
      </c>
      <c r="C2510" t="s">
        <v>5501</v>
      </c>
      <c r="D2510" t="s">
        <v>16255</v>
      </c>
      <c r="E2510" t="s">
        <v>18581</v>
      </c>
      <c r="F2510" t="s">
        <v>28198</v>
      </c>
      <c r="G2510" t="s">
        <v>28210</v>
      </c>
      <c r="H2510" t="s">
        <v>28215</v>
      </c>
      <c r="I2510" t="s">
        <v>4505</v>
      </c>
      <c r="J2510" t="s">
        <v>30051</v>
      </c>
      <c r="K2510" t="s">
        <v>36701</v>
      </c>
      <c r="M2510" t="s">
        <v>38078</v>
      </c>
      <c r="N2510" t="s">
        <v>40436</v>
      </c>
      <c r="O2510" t="s">
        <v>40437</v>
      </c>
      <c r="P2510">
        <v>0</v>
      </c>
      <c r="Q2510">
        <v>10</v>
      </c>
      <c r="R2510" t="s">
        <v>40439</v>
      </c>
      <c r="S2510" t="s">
        <v>40588</v>
      </c>
      <c r="T2510" t="s">
        <v>42159</v>
      </c>
      <c r="U2510" t="s">
        <v>44809</v>
      </c>
      <c r="W2510" t="s">
        <v>38078</v>
      </c>
      <c r="X2510" t="s">
        <v>40443</v>
      </c>
    </row>
    <row r="2511" spans="1:24">
      <c r="A2511">
        <f>HYPERLINK("https://www.philgeps.gov.ph/GEPSNONPILOT/Tender/SplashBidNoticeAbstractUI.aspx?menuIndex=3&amp;refID=7043368&amp;Result=3","7043368")</f>
        <v>0</v>
      </c>
      <c r="B2511" t="s">
        <v>1045</v>
      </c>
      <c r="C2511" t="s">
        <v>5501</v>
      </c>
      <c r="D2511" t="s">
        <v>16255</v>
      </c>
      <c r="E2511" t="s">
        <v>18582</v>
      </c>
      <c r="F2511" t="s">
        <v>28198</v>
      </c>
      <c r="G2511" t="s">
        <v>28210</v>
      </c>
      <c r="H2511" t="s">
        <v>28215</v>
      </c>
      <c r="I2511" t="s">
        <v>4505</v>
      </c>
      <c r="J2511" t="s">
        <v>30052</v>
      </c>
      <c r="K2511" t="s">
        <v>36701</v>
      </c>
      <c r="M2511" t="s">
        <v>38078</v>
      </c>
      <c r="N2511" t="s">
        <v>40436</v>
      </c>
      <c r="O2511" t="s">
        <v>40437</v>
      </c>
      <c r="P2511">
        <v>0</v>
      </c>
      <c r="Q2511">
        <v>9</v>
      </c>
      <c r="R2511" t="s">
        <v>40439</v>
      </c>
      <c r="S2511" t="s">
        <v>40588</v>
      </c>
      <c r="T2511" t="s">
        <v>42159</v>
      </c>
      <c r="U2511" t="s">
        <v>44810</v>
      </c>
      <c r="W2511" t="s">
        <v>38078</v>
      </c>
      <c r="X2511" t="s">
        <v>40443</v>
      </c>
    </row>
    <row r="2512" spans="1:24">
      <c r="A2512">
        <f>HYPERLINK("https://www.philgeps.gov.ph/GEPSNONPILOT/Tender/SplashBidNoticeAbstractUI.aspx?menuIndex=3&amp;refID=7043083&amp;Result=3","7043083")</f>
        <v>0</v>
      </c>
      <c r="B2512" t="s">
        <v>103</v>
      </c>
      <c r="C2512" t="s">
        <v>5502</v>
      </c>
      <c r="D2512" t="s">
        <v>16230</v>
      </c>
      <c r="E2512" t="s">
        <v>18583</v>
      </c>
      <c r="F2512" t="s">
        <v>28198</v>
      </c>
      <c r="G2512" t="s">
        <v>28206</v>
      </c>
      <c r="H2512" t="s">
        <v>28215</v>
      </c>
      <c r="I2512" t="s">
        <v>5100</v>
      </c>
      <c r="J2512" t="s">
        <v>30053</v>
      </c>
      <c r="K2512" t="s">
        <v>36706</v>
      </c>
      <c r="M2512" t="s">
        <v>37077</v>
      </c>
      <c r="N2512" t="s">
        <v>40436</v>
      </c>
      <c r="O2512" t="s">
        <v>40437</v>
      </c>
      <c r="P2512">
        <v>0</v>
      </c>
      <c r="Q2512">
        <v>0</v>
      </c>
      <c r="R2512" t="s">
        <v>40439</v>
      </c>
      <c r="S2512" t="s">
        <v>40588</v>
      </c>
      <c r="T2512" t="s">
        <v>42158</v>
      </c>
      <c r="U2512" t="s">
        <v>44811</v>
      </c>
      <c r="V2512" t="s">
        <v>54076</v>
      </c>
      <c r="W2512" t="s">
        <v>37077</v>
      </c>
      <c r="X2512" t="s">
        <v>40444</v>
      </c>
    </row>
    <row r="2513" spans="1:24">
      <c r="A2513">
        <f>HYPERLINK("https://www.philgeps.gov.ph/GEPSNONPILOT/Tender/SplashBidNoticeAbstractUI.aspx?menuIndex=3&amp;refID=7043365&amp;Result=3","7043365")</f>
        <v>0</v>
      </c>
      <c r="B2513" t="s">
        <v>1037</v>
      </c>
      <c r="C2513" t="s">
        <v>5503</v>
      </c>
      <c r="D2513" t="s">
        <v>16190</v>
      </c>
      <c r="E2513" t="s">
        <v>18584</v>
      </c>
      <c r="F2513" t="s">
        <v>28198</v>
      </c>
      <c r="G2513" t="s">
        <v>28205</v>
      </c>
      <c r="H2513" t="s">
        <v>28215</v>
      </c>
      <c r="I2513" t="s">
        <v>28279</v>
      </c>
      <c r="J2513" t="s">
        <v>30054</v>
      </c>
      <c r="K2513" t="s">
        <v>36689</v>
      </c>
      <c r="M2513" t="s">
        <v>38069</v>
      </c>
      <c r="N2513" t="s">
        <v>40436</v>
      </c>
      <c r="O2513" t="s">
        <v>40437</v>
      </c>
      <c r="P2513">
        <v>0</v>
      </c>
      <c r="Q2513">
        <v>0</v>
      </c>
      <c r="R2513" t="s">
        <v>40439</v>
      </c>
      <c r="S2513" t="s">
        <v>40588</v>
      </c>
      <c r="T2513" t="s">
        <v>42320</v>
      </c>
      <c r="U2513" t="s">
        <v>44812</v>
      </c>
      <c r="V2513" t="s">
        <v>54061</v>
      </c>
      <c r="W2513" t="s">
        <v>38069</v>
      </c>
      <c r="X2513" t="s">
        <v>40443</v>
      </c>
    </row>
    <row r="2514" spans="1:24">
      <c r="A2514">
        <f>HYPERLINK("https://www.philgeps.gov.ph/GEPSNONPILOT/Tender/SplashBidNoticeAbstractUI.aspx?menuIndex=3&amp;refID=7043388&amp;Result=3","7043388")</f>
        <v>0</v>
      </c>
      <c r="B2514" t="s">
        <v>1037</v>
      </c>
      <c r="C2514" t="s">
        <v>5504</v>
      </c>
      <c r="D2514" t="s">
        <v>16190</v>
      </c>
      <c r="E2514" t="s">
        <v>18585</v>
      </c>
      <c r="F2514" t="s">
        <v>28198</v>
      </c>
      <c r="G2514" t="s">
        <v>28205</v>
      </c>
      <c r="H2514" t="s">
        <v>28215</v>
      </c>
      <c r="I2514" t="s">
        <v>28279</v>
      </c>
      <c r="J2514" t="s">
        <v>29727</v>
      </c>
      <c r="K2514" t="s">
        <v>36689</v>
      </c>
      <c r="M2514" t="s">
        <v>38069</v>
      </c>
      <c r="N2514" t="s">
        <v>40436</v>
      </c>
      <c r="O2514" t="s">
        <v>40437</v>
      </c>
      <c r="P2514">
        <v>0</v>
      </c>
      <c r="Q2514">
        <v>1</v>
      </c>
      <c r="R2514" t="s">
        <v>40439</v>
      </c>
      <c r="S2514" t="s">
        <v>40588</v>
      </c>
      <c r="T2514" t="s">
        <v>42320</v>
      </c>
      <c r="U2514" t="s">
        <v>44813</v>
      </c>
      <c r="V2514" t="s">
        <v>54061</v>
      </c>
      <c r="W2514" t="s">
        <v>38069</v>
      </c>
      <c r="X2514" t="s">
        <v>40443</v>
      </c>
    </row>
    <row r="2515" spans="1:24">
      <c r="A2515">
        <f>HYPERLINK("https://www.philgeps.gov.ph/GEPSNONPILOT/Tender/SplashBidNoticeAbstractUI.aspx?menuIndex=3&amp;refID=7043079&amp;Result=3","7043079")</f>
        <v>0</v>
      </c>
      <c r="B2515" t="s">
        <v>103</v>
      </c>
      <c r="C2515" t="s">
        <v>5505</v>
      </c>
      <c r="D2515" t="s">
        <v>16230</v>
      </c>
      <c r="E2515" t="s">
        <v>18586</v>
      </c>
      <c r="F2515" t="s">
        <v>28198</v>
      </c>
      <c r="G2515" t="s">
        <v>28206</v>
      </c>
      <c r="H2515" t="s">
        <v>28215</v>
      </c>
      <c r="I2515" t="s">
        <v>5100</v>
      </c>
      <c r="J2515" t="s">
        <v>30055</v>
      </c>
      <c r="K2515" t="s">
        <v>36706</v>
      </c>
      <c r="M2515" t="s">
        <v>37077</v>
      </c>
      <c r="N2515" t="s">
        <v>40436</v>
      </c>
      <c r="O2515" t="s">
        <v>40437</v>
      </c>
      <c r="P2515">
        <v>0</v>
      </c>
      <c r="Q2515">
        <v>0</v>
      </c>
      <c r="R2515" t="s">
        <v>40439</v>
      </c>
      <c r="S2515" t="s">
        <v>40588</v>
      </c>
      <c r="T2515" t="s">
        <v>42158</v>
      </c>
      <c r="U2515" t="s">
        <v>44814</v>
      </c>
      <c r="V2515" t="s">
        <v>54077</v>
      </c>
      <c r="W2515" t="s">
        <v>37077</v>
      </c>
      <c r="X2515" t="s">
        <v>40444</v>
      </c>
    </row>
    <row r="2516" spans="1:24">
      <c r="A2516">
        <f>HYPERLINK("https://www.philgeps.gov.ph/GEPSNONPILOT/Tender/SplashBidNoticeAbstractUI.aspx?menuIndex=3&amp;refID=7043359&amp;Result=3","7043359")</f>
        <v>0</v>
      </c>
      <c r="B2516" t="s">
        <v>1037</v>
      </c>
      <c r="C2516" t="s">
        <v>5506</v>
      </c>
      <c r="D2516" t="s">
        <v>16190</v>
      </c>
      <c r="E2516" t="s">
        <v>18587</v>
      </c>
      <c r="F2516" t="s">
        <v>28198</v>
      </c>
      <c r="G2516" t="s">
        <v>28205</v>
      </c>
      <c r="H2516" t="s">
        <v>28215</v>
      </c>
      <c r="I2516" t="s">
        <v>3774</v>
      </c>
      <c r="J2516" t="s">
        <v>30056</v>
      </c>
      <c r="K2516" t="s">
        <v>36689</v>
      </c>
      <c r="M2516" t="s">
        <v>38069</v>
      </c>
      <c r="N2516" t="s">
        <v>40436</v>
      </c>
      <c r="O2516" t="s">
        <v>40437</v>
      </c>
      <c r="P2516">
        <v>0</v>
      </c>
      <c r="Q2516">
        <v>0</v>
      </c>
      <c r="R2516" t="s">
        <v>40439</v>
      </c>
      <c r="S2516" t="s">
        <v>40588</v>
      </c>
      <c r="T2516" t="s">
        <v>42320</v>
      </c>
      <c r="U2516" t="s">
        <v>44815</v>
      </c>
      <c r="V2516" t="s">
        <v>54061</v>
      </c>
      <c r="W2516" t="s">
        <v>38069</v>
      </c>
      <c r="X2516" t="s">
        <v>40443</v>
      </c>
    </row>
    <row r="2517" spans="1:24">
      <c r="A2517">
        <f>HYPERLINK("https://www.philgeps.gov.ph/GEPSNONPILOT/Tender/SplashBidNoticeAbstractUI.aspx?menuIndex=3&amp;refID=7043375&amp;Result=3","7043375")</f>
        <v>0</v>
      </c>
      <c r="B2517" t="s">
        <v>1037</v>
      </c>
      <c r="C2517" t="s">
        <v>5507</v>
      </c>
      <c r="D2517" t="s">
        <v>16190</v>
      </c>
      <c r="E2517" t="s">
        <v>18588</v>
      </c>
      <c r="F2517" t="s">
        <v>28198</v>
      </c>
      <c r="G2517" t="s">
        <v>28205</v>
      </c>
      <c r="H2517" t="s">
        <v>28215</v>
      </c>
      <c r="I2517" t="s">
        <v>28228</v>
      </c>
      <c r="J2517" t="s">
        <v>28889</v>
      </c>
      <c r="K2517" t="s">
        <v>36689</v>
      </c>
      <c r="M2517" t="s">
        <v>38069</v>
      </c>
      <c r="N2517" t="s">
        <v>40436</v>
      </c>
      <c r="O2517" t="s">
        <v>40437</v>
      </c>
      <c r="P2517">
        <v>0</v>
      </c>
      <c r="Q2517">
        <v>0</v>
      </c>
      <c r="R2517" t="s">
        <v>40439</v>
      </c>
      <c r="S2517" t="s">
        <v>40588</v>
      </c>
      <c r="T2517" t="s">
        <v>42320</v>
      </c>
      <c r="U2517" t="s">
        <v>44816</v>
      </c>
      <c r="V2517" t="s">
        <v>54061</v>
      </c>
      <c r="W2517" t="s">
        <v>38069</v>
      </c>
      <c r="X2517" t="s">
        <v>40443</v>
      </c>
    </row>
    <row r="2518" spans="1:24">
      <c r="A2518">
        <f>HYPERLINK("https://www.philgeps.gov.ph/GEPSNONPILOT/Tender/SplashBidNoticeAbstractUI.aspx?menuIndex=3&amp;refID=7043361&amp;Result=3","7043361")</f>
        <v>0</v>
      </c>
      <c r="B2518" t="s">
        <v>1037</v>
      </c>
      <c r="C2518" t="s">
        <v>5508</v>
      </c>
      <c r="D2518" t="s">
        <v>16190</v>
      </c>
      <c r="E2518" t="s">
        <v>18589</v>
      </c>
      <c r="F2518" t="s">
        <v>28198</v>
      </c>
      <c r="G2518" t="s">
        <v>28205</v>
      </c>
      <c r="H2518" t="s">
        <v>28215</v>
      </c>
      <c r="I2518" t="s">
        <v>28281</v>
      </c>
      <c r="J2518" t="s">
        <v>30057</v>
      </c>
      <c r="K2518" t="s">
        <v>36689</v>
      </c>
      <c r="M2518" t="s">
        <v>38069</v>
      </c>
      <c r="N2518" t="s">
        <v>40436</v>
      </c>
      <c r="O2518" t="s">
        <v>40437</v>
      </c>
      <c r="P2518">
        <v>0</v>
      </c>
      <c r="Q2518">
        <v>2</v>
      </c>
      <c r="R2518" t="s">
        <v>40439</v>
      </c>
      <c r="S2518" t="s">
        <v>40588</v>
      </c>
      <c r="T2518" t="s">
        <v>42320</v>
      </c>
      <c r="U2518" t="s">
        <v>44817</v>
      </c>
      <c r="V2518" t="s">
        <v>54061</v>
      </c>
      <c r="W2518" t="s">
        <v>38069</v>
      </c>
      <c r="X2518" t="s">
        <v>40443</v>
      </c>
    </row>
    <row r="2519" spans="1:24">
      <c r="A2519">
        <f>HYPERLINK("https://www.philgeps.gov.ph/GEPSNONPILOT/Tender/SplashBidNoticeAbstractUI.aspx?menuIndex=3&amp;refID=7043380&amp;Result=3","7043380")</f>
        <v>0</v>
      </c>
      <c r="B2519" t="s">
        <v>1037</v>
      </c>
      <c r="C2519" t="s">
        <v>5509</v>
      </c>
      <c r="D2519" t="s">
        <v>16190</v>
      </c>
      <c r="E2519" t="s">
        <v>18590</v>
      </c>
      <c r="F2519" t="s">
        <v>28198</v>
      </c>
      <c r="G2519" t="s">
        <v>28205</v>
      </c>
      <c r="H2519" t="s">
        <v>28215</v>
      </c>
      <c r="I2519" t="s">
        <v>28227</v>
      </c>
      <c r="J2519" t="s">
        <v>30058</v>
      </c>
      <c r="K2519" t="s">
        <v>36689</v>
      </c>
      <c r="M2519" t="s">
        <v>38069</v>
      </c>
      <c r="N2519" t="s">
        <v>40436</v>
      </c>
      <c r="O2519" t="s">
        <v>40437</v>
      </c>
      <c r="P2519">
        <v>0</v>
      </c>
      <c r="Q2519">
        <v>0</v>
      </c>
      <c r="R2519" t="s">
        <v>40439</v>
      </c>
      <c r="S2519" t="s">
        <v>40588</v>
      </c>
      <c r="T2519" t="s">
        <v>42320</v>
      </c>
      <c r="U2519" t="s">
        <v>44818</v>
      </c>
      <c r="V2519" t="s">
        <v>54061</v>
      </c>
      <c r="W2519" t="s">
        <v>38069</v>
      </c>
      <c r="X2519" t="s">
        <v>40443</v>
      </c>
    </row>
    <row r="2520" spans="1:24">
      <c r="A2520">
        <f>HYPERLINK("https://www.philgeps.gov.ph/GEPSNONPILOT/Tender/SplashBidNoticeAbstractUI.aspx?menuIndex=3&amp;refID=7043385&amp;Result=3","7043385")</f>
        <v>0</v>
      </c>
      <c r="B2520" t="s">
        <v>1037</v>
      </c>
      <c r="C2520" t="s">
        <v>5510</v>
      </c>
      <c r="D2520" t="s">
        <v>16190</v>
      </c>
      <c r="E2520" t="s">
        <v>18591</v>
      </c>
      <c r="F2520" t="s">
        <v>28198</v>
      </c>
      <c r="G2520" t="s">
        <v>28205</v>
      </c>
      <c r="H2520" t="s">
        <v>28215</v>
      </c>
      <c r="I2520" t="s">
        <v>28224</v>
      </c>
      <c r="J2520" t="s">
        <v>30059</v>
      </c>
      <c r="K2520" t="s">
        <v>36689</v>
      </c>
      <c r="M2520" t="s">
        <v>38069</v>
      </c>
      <c r="N2520" t="s">
        <v>40436</v>
      </c>
      <c r="O2520" t="s">
        <v>40437</v>
      </c>
      <c r="P2520">
        <v>0</v>
      </c>
      <c r="Q2520">
        <v>0</v>
      </c>
      <c r="R2520" t="s">
        <v>40439</v>
      </c>
      <c r="S2520" t="s">
        <v>40588</v>
      </c>
      <c r="T2520" t="s">
        <v>42320</v>
      </c>
      <c r="U2520" t="s">
        <v>44819</v>
      </c>
      <c r="V2520" t="s">
        <v>54061</v>
      </c>
      <c r="W2520" t="s">
        <v>38069</v>
      </c>
      <c r="X2520" t="s">
        <v>40443</v>
      </c>
    </row>
    <row r="2521" spans="1:24">
      <c r="A2521">
        <f>HYPERLINK("https://www.philgeps.gov.ph/GEPSNONPILOT/Tender/SplashBidNoticeAbstractUI.aspx?menuIndex=3&amp;refID=7043397&amp;Result=3","7043397")</f>
        <v>0</v>
      </c>
      <c r="B2521" t="s">
        <v>1037</v>
      </c>
      <c r="C2521" t="s">
        <v>5511</v>
      </c>
      <c r="D2521" t="s">
        <v>16190</v>
      </c>
      <c r="E2521" t="s">
        <v>18592</v>
      </c>
      <c r="F2521" t="s">
        <v>28198</v>
      </c>
      <c r="G2521" t="s">
        <v>28205</v>
      </c>
      <c r="H2521" t="s">
        <v>28215</v>
      </c>
      <c r="I2521" t="s">
        <v>3774</v>
      </c>
      <c r="J2521" t="s">
        <v>28540</v>
      </c>
      <c r="K2521" t="s">
        <v>36689</v>
      </c>
      <c r="M2521" t="s">
        <v>38069</v>
      </c>
      <c r="N2521" t="s">
        <v>40436</v>
      </c>
      <c r="O2521" t="s">
        <v>40437</v>
      </c>
      <c r="P2521">
        <v>0</v>
      </c>
      <c r="Q2521">
        <v>0</v>
      </c>
      <c r="R2521" t="s">
        <v>40439</v>
      </c>
      <c r="S2521" t="s">
        <v>40588</v>
      </c>
      <c r="T2521" t="s">
        <v>42320</v>
      </c>
      <c r="U2521" t="s">
        <v>44820</v>
      </c>
      <c r="V2521" t="s">
        <v>54061</v>
      </c>
      <c r="W2521" t="s">
        <v>38069</v>
      </c>
      <c r="X2521" t="s">
        <v>40443</v>
      </c>
    </row>
    <row r="2522" spans="1:24">
      <c r="A2522">
        <f>HYPERLINK("https://www.philgeps.gov.ph/GEPSNONPILOT/Tender/SplashBidNoticeAbstractUI.aspx?menuIndex=3&amp;refID=7043383&amp;Result=3","7043383")</f>
        <v>0</v>
      </c>
      <c r="B2522" t="s">
        <v>1045</v>
      </c>
      <c r="C2522" t="s">
        <v>5512</v>
      </c>
      <c r="D2522" t="s">
        <v>16255</v>
      </c>
      <c r="E2522" t="s">
        <v>18593</v>
      </c>
      <c r="F2522" t="s">
        <v>28198</v>
      </c>
      <c r="G2522" t="s">
        <v>28210</v>
      </c>
      <c r="H2522" t="s">
        <v>28215</v>
      </c>
      <c r="I2522" t="s">
        <v>4505</v>
      </c>
      <c r="J2522" t="s">
        <v>30060</v>
      </c>
      <c r="K2522" t="s">
        <v>36701</v>
      </c>
      <c r="M2522" t="s">
        <v>38078</v>
      </c>
      <c r="N2522" t="s">
        <v>40436</v>
      </c>
      <c r="O2522" t="s">
        <v>40437</v>
      </c>
      <c r="P2522">
        <v>0</v>
      </c>
      <c r="Q2522">
        <v>8</v>
      </c>
      <c r="R2522" t="s">
        <v>40439</v>
      </c>
      <c r="S2522" t="s">
        <v>40588</v>
      </c>
      <c r="T2522" t="s">
        <v>42322</v>
      </c>
      <c r="U2522" t="s">
        <v>44821</v>
      </c>
      <c r="W2522" t="s">
        <v>38078</v>
      </c>
      <c r="X2522" t="s">
        <v>40443</v>
      </c>
    </row>
    <row r="2523" spans="1:24">
      <c r="A2523">
        <f>HYPERLINK("https://www.philgeps.gov.ph/GEPSNONPILOT/Tender/SplashBidNoticeAbstractUI.aspx?menuIndex=3&amp;refID=7043723&amp;Result=3","7043723")</f>
        <v>0</v>
      </c>
      <c r="B2523" t="s">
        <v>1023</v>
      </c>
      <c r="C2523" t="s">
        <v>5513</v>
      </c>
      <c r="D2523" t="s">
        <v>16265</v>
      </c>
      <c r="E2523" t="s">
        <v>18594</v>
      </c>
      <c r="F2523" t="s">
        <v>28198</v>
      </c>
      <c r="G2523" t="s">
        <v>28205</v>
      </c>
      <c r="H2523" t="s">
        <v>28215</v>
      </c>
      <c r="I2523" t="s">
        <v>3774</v>
      </c>
      <c r="J2523" t="s">
        <v>30061</v>
      </c>
      <c r="K2523" t="s">
        <v>36701</v>
      </c>
      <c r="M2523" t="s">
        <v>38054</v>
      </c>
      <c r="N2523" t="s">
        <v>40436</v>
      </c>
      <c r="O2523" t="s">
        <v>40437</v>
      </c>
      <c r="P2523">
        <v>0</v>
      </c>
      <c r="Q2523">
        <v>0</v>
      </c>
      <c r="R2523" t="s">
        <v>40439</v>
      </c>
      <c r="S2523" t="s">
        <v>40588</v>
      </c>
      <c r="T2523" t="s">
        <v>42108</v>
      </c>
      <c r="U2523" t="s">
        <v>44822</v>
      </c>
      <c r="W2523" t="s">
        <v>38054</v>
      </c>
      <c r="X2523" t="s">
        <v>40442</v>
      </c>
    </row>
    <row r="2524" spans="1:24">
      <c r="A2524">
        <f>HYPERLINK("https://www.philgeps.gov.ph/GEPSNONPILOT/Tender/SplashBidNoticeAbstractUI.aspx?menuIndex=3&amp;refID=7043393&amp;Result=3","7043393")</f>
        <v>0</v>
      </c>
      <c r="B2524" t="s">
        <v>1045</v>
      </c>
      <c r="C2524" t="s">
        <v>5501</v>
      </c>
      <c r="D2524" t="s">
        <v>16255</v>
      </c>
      <c r="E2524" t="s">
        <v>18595</v>
      </c>
      <c r="F2524" t="s">
        <v>28198</v>
      </c>
      <c r="G2524" t="s">
        <v>28210</v>
      </c>
      <c r="H2524" t="s">
        <v>28215</v>
      </c>
      <c r="I2524" t="s">
        <v>4505</v>
      </c>
      <c r="J2524" t="s">
        <v>30062</v>
      </c>
      <c r="K2524" t="s">
        <v>36701</v>
      </c>
      <c r="M2524" t="s">
        <v>38078</v>
      </c>
      <c r="N2524" t="s">
        <v>40436</v>
      </c>
      <c r="O2524" t="s">
        <v>40437</v>
      </c>
      <c r="P2524">
        <v>0</v>
      </c>
      <c r="Q2524">
        <v>7</v>
      </c>
      <c r="R2524" t="s">
        <v>40439</v>
      </c>
      <c r="S2524" t="s">
        <v>40588</v>
      </c>
      <c r="T2524" t="s">
        <v>42159</v>
      </c>
      <c r="U2524" t="s">
        <v>44823</v>
      </c>
      <c r="W2524" t="s">
        <v>38078</v>
      </c>
      <c r="X2524" t="s">
        <v>40443</v>
      </c>
    </row>
    <row r="2525" spans="1:24">
      <c r="A2525">
        <f>HYPERLINK("https://www.philgeps.gov.ph/GEPSNONPILOT/Tender/SplashBidNoticeAbstractUI.aspx?menuIndex=3&amp;refID=7043696&amp;Result=3","7043696")</f>
        <v>0</v>
      </c>
      <c r="B2525" t="s">
        <v>116</v>
      </c>
      <c r="C2525" t="s">
        <v>5514</v>
      </c>
      <c r="D2525" t="s">
        <v>16207</v>
      </c>
      <c r="E2525" t="s">
        <v>18596</v>
      </c>
      <c r="F2525" t="s">
        <v>28198</v>
      </c>
      <c r="G2525" t="s">
        <v>28207</v>
      </c>
      <c r="H2525" t="s">
        <v>28217</v>
      </c>
      <c r="I2525" t="s">
        <v>5631</v>
      </c>
      <c r="J2525" t="s">
        <v>30063</v>
      </c>
      <c r="K2525" t="s">
        <v>36706</v>
      </c>
      <c r="M2525" t="s">
        <v>37090</v>
      </c>
      <c r="N2525" t="s">
        <v>40436</v>
      </c>
      <c r="O2525" t="s">
        <v>40437</v>
      </c>
      <c r="P2525">
        <v>0</v>
      </c>
      <c r="Q2525">
        <v>0</v>
      </c>
      <c r="R2525" t="s">
        <v>40439</v>
      </c>
      <c r="S2525" t="s">
        <v>40588</v>
      </c>
      <c r="T2525" t="s">
        <v>42158</v>
      </c>
      <c r="U2525" t="s">
        <v>44824</v>
      </c>
      <c r="W2525" t="s">
        <v>37090</v>
      </c>
      <c r="X2525" t="s">
        <v>40442</v>
      </c>
    </row>
    <row r="2526" spans="1:24">
      <c r="A2526">
        <f>HYPERLINK("https://www.philgeps.gov.ph/GEPSNONPILOT/Tender/SplashBidNoticeAbstractUI.aspx?menuIndex=3&amp;refID=7043463&amp;Result=3","7043463")</f>
        <v>0</v>
      </c>
      <c r="B2526" t="s">
        <v>1046</v>
      </c>
      <c r="C2526" t="s">
        <v>5515</v>
      </c>
      <c r="D2526" t="s">
        <v>16199</v>
      </c>
      <c r="E2526" t="s">
        <v>18597</v>
      </c>
      <c r="F2526" t="s">
        <v>28198</v>
      </c>
      <c r="G2526" t="s">
        <v>28207</v>
      </c>
      <c r="H2526" t="s">
        <v>28214</v>
      </c>
      <c r="I2526" t="s">
        <v>3797</v>
      </c>
      <c r="J2526" t="s">
        <v>30064</v>
      </c>
      <c r="K2526" t="s">
        <v>36689</v>
      </c>
      <c r="M2526" t="s">
        <v>38079</v>
      </c>
      <c r="N2526" t="s">
        <v>40436</v>
      </c>
      <c r="O2526" t="s">
        <v>40437</v>
      </c>
      <c r="Q2526">
        <v>2</v>
      </c>
      <c r="R2526" t="s">
        <v>40439</v>
      </c>
      <c r="S2526" t="s">
        <v>40589</v>
      </c>
      <c r="T2526" t="s">
        <v>42190</v>
      </c>
      <c r="U2526" t="s">
        <v>44825</v>
      </c>
      <c r="V2526" t="s">
        <v>54078</v>
      </c>
      <c r="W2526" t="s">
        <v>38079</v>
      </c>
      <c r="X2526" t="s">
        <v>40443</v>
      </c>
    </row>
    <row r="2527" spans="1:24">
      <c r="A2527">
        <f>HYPERLINK("https://www.philgeps.gov.ph/GEPSNONPILOT/Tender/SplashBidNoticeAbstractUI.aspx?menuIndex=3&amp;refID=7043419&amp;Result=3","7043419")</f>
        <v>0</v>
      </c>
      <c r="B2527" t="s">
        <v>1037</v>
      </c>
      <c r="C2527" t="s">
        <v>5516</v>
      </c>
      <c r="D2527" t="s">
        <v>16190</v>
      </c>
      <c r="E2527" t="s">
        <v>18598</v>
      </c>
      <c r="F2527" t="s">
        <v>28198</v>
      </c>
      <c r="G2527" t="s">
        <v>28205</v>
      </c>
      <c r="H2527" t="s">
        <v>28215</v>
      </c>
      <c r="I2527" t="s">
        <v>28227</v>
      </c>
      <c r="J2527" t="s">
        <v>30065</v>
      </c>
      <c r="K2527" t="s">
        <v>36689</v>
      </c>
      <c r="M2527" t="s">
        <v>38069</v>
      </c>
      <c r="N2527" t="s">
        <v>40436</v>
      </c>
      <c r="O2527" t="s">
        <v>40437</v>
      </c>
      <c r="P2527">
        <v>0</v>
      </c>
      <c r="Q2527">
        <v>1</v>
      </c>
      <c r="R2527" t="s">
        <v>40439</v>
      </c>
      <c r="S2527" t="s">
        <v>40588</v>
      </c>
      <c r="T2527" t="s">
        <v>42320</v>
      </c>
      <c r="U2527" t="s">
        <v>44826</v>
      </c>
      <c r="V2527" t="s">
        <v>54061</v>
      </c>
      <c r="W2527" t="s">
        <v>38069</v>
      </c>
      <c r="X2527" t="s">
        <v>40443</v>
      </c>
    </row>
    <row r="2528" spans="1:24">
      <c r="A2528">
        <f>HYPERLINK("https://www.philgeps.gov.ph/GEPSNONPILOT/Tender/SplashBidNoticeAbstractUI.aspx?menuIndex=3&amp;refID=7043394&amp;Result=3","7043394")</f>
        <v>0</v>
      </c>
      <c r="B2528" t="s">
        <v>1037</v>
      </c>
      <c r="C2528" t="s">
        <v>5517</v>
      </c>
      <c r="D2528" t="s">
        <v>16190</v>
      </c>
      <c r="E2528" t="s">
        <v>18599</v>
      </c>
      <c r="F2528" t="s">
        <v>28198</v>
      </c>
      <c r="G2528" t="s">
        <v>28205</v>
      </c>
      <c r="H2528" t="s">
        <v>28215</v>
      </c>
      <c r="I2528" t="s">
        <v>4321</v>
      </c>
      <c r="J2528" t="s">
        <v>30066</v>
      </c>
      <c r="K2528" t="s">
        <v>36689</v>
      </c>
      <c r="M2528" t="s">
        <v>38069</v>
      </c>
      <c r="N2528" t="s">
        <v>40436</v>
      </c>
      <c r="O2528" t="s">
        <v>40437</v>
      </c>
      <c r="P2528">
        <v>0</v>
      </c>
      <c r="Q2528">
        <v>1</v>
      </c>
      <c r="R2528" t="s">
        <v>40439</v>
      </c>
      <c r="S2528" t="s">
        <v>40588</v>
      </c>
      <c r="T2528" t="s">
        <v>42320</v>
      </c>
      <c r="U2528" t="s">
        <v>44827</v>
      </c>
      <c r="V2528" t="s">
        <v>54061</v>
      </c>
      <c r="W2528" t="s">
        <v>38069</v>
      </c>
      <c r="X2528" t="s">
        <v>40443</v>
      </c>
    </row>
    <row r="2529" spans="1:24">
      <c r="A2529">
        <f>HYPERLINK("https://www.philgeps.gov.ph/GEPSNONPILOT/Tender/SplashBidNoticeAbstractUI.aspx?menuIndex=3&amp;refID=7043466&amp;Result=3","7043466")</f>
        <v>0</v>
      </c>
      <c r="B2529" t="s">
        <v>1046</v>
      </c>
      <c r="C2529" t="s">
        <v>5518</v>
      </c>
      <c r="D2529" t="s">
        <v>16216</v>
      </c>
      <c r="E2529" t="s">
        <v>18600</v>
      </c>
      <c r="F2529" t="s">
        <v>28198</v>
      </c>
      <c r="G2529" t="s">
        <v>28207</v>
      </c>
      <c r="H2529" t="s">
        <v>28214</v>
      </c>
      <c r="I2529" t="s">
        <v>3797</v>
      </c>
      <c r="J2529" t="s">
        <v>30067</v>
      </c>
      <c r="K2529" t="s">
        <v>36689</v>
      </c>
      <c r="M2529" t="s">
        <v>38079</v>
      </c>
      <c r="N2529" t="s">
        <v>40436</v>
      </c>
      <c r="O2529" t="s">
        <v>40437</v>
      </c>
      <c r="Q2529">
        <v>1</v>
      </c>
      <c r="R2529" t="s">
        <v>40439</v>
      </c>
      <c r="S2529" t="s">
        <v>40590</v>
      </c>
      <c r="T2529" t="s">
        <v>42190</v>
      </c>
      <c r="U2529" t="s">
        <v>44828</v>
      </c>
      <c r="V2529" t="s">
        <v>54078</v>
      </c>
      <c r="W2529" t="s">
        <v>38079</v>
      </c>
      <c r="X2529" t="s">
        <v>40443</v>
      </c>
    </row>
    <row r="2530" spans="1:24">
      <c r="A2530">
        <f>HYPERLINK("https://www.philgeps.gov.ph/GEPSNONPILOT/Tender/SplashBidNoticeAbstractUI.aspx?menuIndex=3&amp;refID=7043406&amp;Result=3","7043406")</f>
        <v>0</v>
      </c>
      <c r="B2530" t="s">
        <v>1037</v>
      </c>
      <c r="C2530" t="s">
        <v>5519</v>
      </c>
      <c r="D2530" t="s">
        <v>16190</v>
      </c>
      <c r="E2530" t="s">
        <v>18601</v>
      </c>
      <c r="F2530" t="s">
        <v>28198</v>
      </c>
      <c r="G2530" t="s">
        <v>28205</v>
      </c>
      <c r="H2530" t="s">
        <v>28215</v>
      </c>
      <c r="I2530" t="s">
        <v>28234</v>
      </c>
      <c r="J2530" t="s">
        <v>30068</v>
      </c>
      <c r="K2530" t="s">
        <v>36689</v>
      </c>
      <c r="M2530" t="s">
        <v>38069</v>
      </c>
      <c r="N2530" t="s">
        <v>40436</v>
      </c>
      <c r="O2530" t="s">
        <v>40437</v>
      </c>
      <c r="P2530">
        <v>0</v>
      </c>
      <c r="Q2530">
        <v>0</v>
      </c>
      <c r="R2530" t="s">
        <v>40439</v>
      </c>
      <c r="S2530" t="s">
        <v>40588</v>
      </c>
      <c r="T2530" t="s">
        <v>42320</v>
      </c>
      <c r="U2530" t="s">
        <v>44829</v>
      </c>
      <c r="V2530" t="s">
        <v>54061</v>
      </c>
      <c r="W2530" t="s">
        <v>38069</v>
      </c>
      <c r="X2530" t="s">
        <v>40443</v>
      </c>
    </row>
    <row r="2531" spans="1:24">
      <c r="A2531">
        <f>HYPERLINK("https://www.philgeps.gov.ph/GEPSNONPILOT/Tender/SplashBidNoticeAbstractUI.aspx?menuIndex=3&amp;refID=7043416&amp;Result=3","7043416")</f>
        <v>0</v>
      </c>
      <c r="B2531" t="s">
        <v>1037</v>
      </c>
      <c r="C2531" t="s">
        <v>5520</v>
      </c>
      <c r="D2531" t="s">
        <v>16190</v>
      </c>
      <c r="E2531" t="s">
        <v>18602</v>
      </c>
      <c r="F2531" t="s">
        <v>28198</v>
      </c>
      <c r="G2531" t="s">
        <v>28205</v>
      </c>
      <c r="H2531" t="s">
        <v>28216</v>
      </c>
      <c r="I2531" t="s">
        <v>28274</v>
      </c>
      <c r="J2531" t="s">
        <v>28629</v>
      </c>
      <c r="K2531" t="s">
        <v>36689</v>
      </c>
      <c r="M2531" t="s">
        <v>38069</v>
      </c>
      <c r="N2531" t="s">
        <v>40436</v>
      </c>
      <c r="O2531" t="s">
        <v>40437</v>
      </c>
      <c r="P2531">
        <v>0</v>
      </c>
      <c r="Q2531">
        <v>0</v>
      </c>
      <c r="R2531" t="s">
        <v>40439</v>
      </c>
      <c r="S2531" t="s">
        <v>40588</v>
      </c>
      <c r="T2531" t="s">
        <v>42320</v>
      </c>
      <c r="U2531" t="s">
        <v>44830</v>
      </c>
      <c r="V2531" t="s">
        <v>54061</v>
      </c>
      <c r="W2531" t="s">
        <v>38069</v>
      </c>
      <c r="X2531" t="s">
        <v>40443</v>
      </c>
    </row>
    <row r="2532" spans="1:24">
      <c r="A2532">
        <f>HYPERLINK("https://www.philgeps.gov.ph/GEPSNONPILOT/Tender/SplashBidNoticeAbstractUI.aspx?menuIndex=3&amp;refID=7043469&amp;Result=3","7043469")</f>
        <v>0</v>
      </c>
      <c r="B2532" t="s">
        <v>1046</v>
      </c>
      <c r="C2532" t="s">
        <v>5521</v>
      </c>
      <c r="D2532" t="s">
        <v>16216</v>
      </c>
      <c r="E2532" t="s">
        <v>18603</v>
      </c>
      <c r="F2532" t="s">
        <v>28198</v>
      </c>
      <c r="G2532" t="s">
        <v>28207</v>
      </c>
      <c r="H2532" t="s">
        <v>28214</v>
      </c>
      <c r="I2532" t="s">
        <v>3797</v>
      </c>
      <c r="J2532" t="s">
        <v>30069</v>
      </c>
      <c r="K2532" t="s">
        <v>36689</v>
      </c>
      <c r="M2532" t="s">
        <v>38079</v>
      </c>
      <c r="N2532" t="s">
        <v>40436</v>
      </c>
      <c r="O2532" t="s">
        <v>40437</v>
      </c>
      <c r="Q2532">
        <v>3</v>
      </c>
      <c r="R2532" t="s">
        <v>40439</v>
      </c>
      <c r="S2532" t="s">
        <v>40591</v>
      </c>
      <c r="T2532" t="s">
        <v>42190</v>
      </c>
      <c r="U2532" t="s">
        <v>44831</v>
      </c>
      <c r="V2532" t="s">
        <v>54078</v>
      </c>
      <c r="W2532" t="s">
        <v>38079</v>
      </c>
      <c r="X2532" t="s">
        <v>40443</v>
      </c>
    </row>
    <row r="2533" spans="1:24">
      <c r="A2533">
        <f>HYPERLINK("https://www.philgeps.gov.ph/GEPSNONPILOT/Tender/SplashBidNoticeAbstractUI.aspx?menuIndex=3&amp;refID=7043410&amp;Result=3","7043410")</f>
        <v>0</v>
      </c>
      <c r="B2533" t="s">
        <v>1037</v>
      </c>
      <c r="C2533" t="s">
        <v>5522</v>
      </c>
      <c r="D2533" t="s">
        <v>16190</v>
      </c>
      <c r="E2533" t="s">
        <v>18604</v>
      </c>
      <c r="F2533" t="s">
        <v>28198</v>
      </c>
      <c r="G2533" t="s">
        <v>28205</v>
      </c>
      <c r="H2533" t="s">
        <v>28215</v>
      </c>
      <c r="I2533" t="s">
        <v>28228</v>
      </c>
      <c r="J2533" t="s">
        <v>30070</v>
      </c>
      <c r="K2533" t="s">
        <v>36689</v>
      </c>
      <c r="M2533" t="s">
        <v>38069</v>
      </c>
      <c r="N2533" t="s">
        <v>40436</v>
      </c>
      <c r="O2533" t="s">
        <v>40437</v>
      </c>
      <c r="P2533">
        <v>0</v>
      </c>
      <c r="Q2533">
        <v>0</v>
      </c>
      <c r="R2533" t="s">
        <v>40439</v>
      </c>
      <c r="S2533" t="s">
        <v>40588</v>
      </c>
      <c r="T2533" t="s">
        <v>42320</v>
      </c>
      <c r="U2533" t="s">
        <v>44832</v>
      </c>
      <c r="V2533" t="s">
        <v>54061</v>
      </c>
      <c r="W2533" t="s">
        <v>38069</v>
      </c>
      <c r="X2533" t="s">
        <v>40443</v>
      </c>
    </row>
    <row r="2534" spans="1:24">
      <c r="A2534">
        <f>HYPERLINK("https://www.philgeps.gov.ph/GEPSNONPILOT/Tender/SplashBidNoticeAbstractUI.aspx?menuIndex=3&amp;refID=7043731&amp;Result=3","7043731")</f>
        <v>0</v>
      </c>
      <c r="B2534" t="s">
        <v>1023</v>
      </c>
      <c r="C2534" t="s">
        <v>5523</v>
      </c>
      <c r="D2534" t="s">
        <v>16265</v>
      </c>
      <c r="E2534" t="s">
        <v>18605</v>
      </c>
      <c r="F2534" t="s">
        <v>28198</v>
      </c>
      <c r="G2534" t="s">
        <v>28205</v>
      </c>
      <c r="H2534" t="s">
        <v>28215</v>
      </c>
      <c r="I2534" t="s">
        <v>5082</v>
      </c>
      <c r="J2534" t="s">
        <v>30071</v>
      </c>
      <c r="K2534" t="s">
        <v>36701</v>
      </c>
      <c r="M2534" t="s">
        <v>38054</v>
      </c>
      <c r="N2534" t="s">
        <v>40436</v>
      </c>
      <c r="O2534" t="s">
        <v>40437</v>
      </c>
      <c r="P2534">
        <v>0</v>
      </c>
      <c r="Q2534">
        <v>0</v>
      </c>
      <c r="R2534" t="s">
        <v>40439</v>
      </c>
      <c r="S2534" t="s">
        <v>40588</v>
      </c>
      <c r="T2534" t="s">
        <v>42108</v>
      </c>
      <c r="U2534" t="s">
        <v>44833</v>
      </c>
      <c r="W2534" t="s">
        <v>38054</v>
      </c>
      <c r="X2534" t="s">
        <v>40442</v>
      </c>
    </row>
    <row r="2535" spans="1:24">
      <c r="A2535">
        <f>HYPERLINK("https://www.philgeps.gov.ph/GEPSNONPILOT/Tender/SplashBidNoticeAbstractUI.aspx?menuIndex=3&amp;refID=7043725&amp;Result=3","7043725")</f>
        <v>0</v>
      </c>
      <c r="B2535" t="s">
        <v>1023</v>
      </c>
      <c r="C2535" t="s">
        <v>5524</v>
      </c>
      <c r="D2535" t="s">
        <v>16265</v>
      </c>
      <c r="E2535" t="s">
        <v>18606</v>
      </c>
      <c r="F2535" t="s">
        <v>28198</v>
      </c>
      <c r="G2535" t="s">
        <v>28205</v>
      </c>
      <c r="H2535" t="s">
        <v>28215</v>
      </c>
      <c r="I2535" t="s">
        <v>5631</v>
      </c>
      <c r="J2535" t="s">
        <v>30072</v>
      </c>
      <c r="K2535" t="s">
        <v>36701</v>
      </c>
      <c r="M2535" t="s">
        <v>38054</v>
      </c>
      <c r="N2535" t="s">
        <v>40436</v>
      </c>
      <c r="O2535" t="s">
        <v>40437</v>
      </c>
      <c r="P2535">
        <v>0</v>
      </c>
      <c r="Q2535">
        <v>0</v>
      </c>
      <c r="R2535" t="s">
        <v>40439</v>
      </c>
      <c r="S2535" t="s">
        <v>40588</v>
      </c>
      <c r="T2535" t="s">
        <v>42108</v>
      </c>
      <c r="U2535" t="s">
        <v>44834</v>
      </c>
      <c r="W2535" t="s">
        <v>38054</v>
      </c>
      <c r="X2535" t="s">
        <v>40442</v>
      </c>
    </row>
    <row r="2536" spans="1:24">
      <c r="A2536">
        <f>HYPERLINK("https://www.philgeps.gov.ph/GEPSNONPILOT/Tender/SplashBidNoticeAbstractUI.aspx?menuIndex=3&amp;refID=7043468&amp;Result=3","7043468")</f>
        <v>0</v>
      </c>
      <c r="B2536" t="s">
        <v>1046</v>
      </c>
      <c r="C2536" t="s">
        <v>5525</v>
      </c>
      <c r="D2536" t="s">
        <v>16216</v>
      </c>
      <c r="E2536" t="s">
        <v>18607</v>
      </c>
      <c r="F2536" t="s">
        <v>28198</v>
      </c>
      <c r="G2536" t="s">
        <v>28207</v>
      </c>
      <c r="H2536" t="s">
        <v>28214</v>
      </c>
      <c r="I2536" t="s">
        <v>3797</v>
      </c>
      <c r="J2536" t="s">
        <v>29190</v>
      </c>
      <c r="K2536" t="s">
        <v>36689</v>
      </c>
      <c r="M2536" t="s">
        <v>38079</v>
      </c>
      <c r="N2536" t="s">
        <v>40436</v>
      </c>
      <c r="O2536" t="s">
        <v>40437</v>
      </c>
      <c r="Q2536">
        <v>1</v>
      </c>
      <c r="R2536" t="s">
        <v>40439</v>
      </c>
      <c r="S2536" t="s">
        <v>40592</v>
      </c>
      <c r="T2536" t="s">
        <v>42190</v>
      </c>
      <c r="U2536" t="s">
        <v>44835</v>
      </c>
      <c r="V2536" t="s">
        <v>54078</v>
      </c>
      <c r="W2536" t="s">
        <v>38079</v>
      </c>
      <c r="X2536" t="s">
        <v>40443</v>
      </c>
    </row>
    <row r="2537" spans="1:24">
      <c r="A2537">
        <f>HYPERLINK("https://www.philgeps.gov.ph/GEPSNONPILOT/Tender/SplashBidNoticeAbstractUI.aspx?menuIndex=3&amp;refID=7043402&amp;Result=3","7043402")</f>
        <v>0</v>
      </c>
      <c r="B2537" t="s">
        <v>1037</v>
      </c>
      <c r="C2537" t="s">
        <v>5526</v>
      </c>
      <c r="D2537" t="s">
        <v>16190</v>
      </c>
      <c r="E2537" t="s">
        <v>18608</v>
      </c>
      <c r="F2537" t="s">
        <v>28198</v>
      </c>
      <c r="G2537" t="s">
        <v>28205</v>
      </c>
      <c r="H2537" t="s">
        <v>28215</v>
      </c>
      <c r="I2537" t="s">
        <v>4505</v>
      </c>
      <c r="J2537" t="s">
        <v>30073</v>
      </c>
      <c r="K2537" t="s">
        <v>36689</v>
      </c>
      <c r="M2537" t="s">
        <v>38069</v>
      </c>
      <c r="N2537" t="s">
        <v>40436</v>
      </c>
      <c r="O2537" t="s">
        <v>40437</v>
      </c>
      <c r="P2537">
        <v>0</v>
      </c>
      <c r="Q2537">
        <v>1</v>
      </c>
      <c r="R2537" t="s">
        <v>40439</v>
      </c>
      <c r="S2537" t="s">
        <v>40588</v>
      </c>
      <c r="T2537" t="s">
        <v>42320</v>
      </c>
      <c r="U2537" t="s">
        <v>44836</v>
      </c>
      <c r="V2537" t="s">
        <v>54061</v>
      </c>
      <c r="W2537" t="s">
        <v>38069</v>
      </c>
      <c r="X2537" t="s">
        <v>40443</v>
      </c>
    </row>
    <row r="2538" spans="1:24">
      <c r="A2538">
        <f>HYPERLINK("https://www.philgeps.gov.ph/GEPSNONPILOT/Tender/SplashBidNoticeAbstractUI.aspx?menuIndex=3&amp;refID=7043727&amp;Result=3","7043727")</f>
        <v>0</v>
      </c>
      <c r="B2538" t="s">
        <v>1023</v>
      </c>
      <c r="C2538" t="s">
        <v>5527</v>
      </c>
      <c r="D2538" t="s">
        <v>16265</v>
      </c>
      <c r="E2538" t="s">
        <v>18609</v>
      </c>
      <c r="F2538" t="s">
        <v>28198</v>
      </c>
      <c r="G2538" t="s">
        <v>28205</v>
      </c>
      <c r="H2538" t="s">
        <v>28215</v>
      </c>
      <c r="I2538" t="s">
        <v>28221</v>
      </c>
      <c r="J2538" t="s">
        <v>29705</v>
      </c>
      <c r="K2538" t="s">
        <v>36701</v>
      </c>
      <c r="M2538" t="s">
        <v>38054</v>
      </c>
      <c r="N2538" t="s">
        <v>40436</v>
      </c>
      <c r="O2538" t="s">
        <v>40437</v>
      </c>
      <c r="P2538">
        <v>0</v>
      </c>
      <c r="Q2538">
        <v>1</v>
      </c>
      <c r="R2538" t="s">
        <v>40439</v>
      </c>
      <c r="S2538" t="s">
        <v>40588</v>
      </c>
      <c r="T2538" t="s">
        <v>42108</v>
      </c>
      <c r="U2538" t="s">
        <v>44837</v>
      </c>
      <c r="W2538" t="s">
        <v>38054</v>
      </c>
      <c r="X2538" t="s">
        <v>40442</v>
      </c>
    </row>
    <row r="2539" spans="1:24">
      <c r="A2539">
        <f>HYPERLINK("https://www.philgeps.gov.ph/GEPSNONPILOT/Tender/SplashBidNoticeAbstractUI.aspx?menuIndex=3&amp;refID=7043567&amp;Result=3","7043567")</f>
        <v>0</v>
      </c>
      <c r="B2539" t="s">
        <v>1047</v>
      </c>
      <c r="C2539" t="s">
        <v>5528</v>
      </c>
      <c r="D2539" t="s">
        <v>16219</v>
      </c>
      <c r="E2539" t="s">
        <v>18610</v>
      </c>
      <c r="F2539" t="s">
        <v>28198</v>
      </c>
      <c r="G2539" t="s">
        <v>28207</v>
      </c>
      <c r="H2539" t="s">
        <v>28215</v>
      </c>
      <c r="I2539" t="s">
        <v>28245</v>
      </c>
      <c r="J2539" t="s">
        <v>30068</v>
      </c>
      <c r="K2539" t="s">
        <v>36689</v>
      </c>
      <c r="M2539" t="s">
        <v>38080</v>
      </c>
      <c r="N2539" t="s">
        <v>40436</v>
      </c>
      <c r="O2539" t="s">
        <v>40437</v>
      </c>
      <c r="P2539">
        <v>0</v>
      </c>
      <c r="Q2539">
        <v>1</v>
      </c>
      <c r="R2539" t="s">
        <v>40439</v>
      </c>
      <c r="S2539" t="s">
        <v>40588</v>
      </c>
      <c r="T2539" t="s">
        <v>42161</v>
      </c>
      <c r="U2539" t="s">
        <v>44838</v>
      </c>
      <c r="W2539" t="s">
        <v>38080</v>
      </c>
      <c r="X2539" t="s">
        <v>40443</v>
      </c>
    </row>
    <row r="2540" spans="1:24">
      <c r="A2540">
        <f>HYPERLINK("https://www.philgeps.gov.ph/GEPSNONPILOT/Tender/SplashBidNoticeAbstractUI.aspx?menuIndex=3&amp;refID=7043735&amp;Result=3","7043735")</f>
        <v>0</v>
      </c>
      <c r="B2540" t="s">
        <v>1023</v>
      </c>
      <c r="C2540" t="s">
        <v>5529</v>
      </c>
      <c r="D2540" t="s">
        <v>16265</v>
      </c>
      <c r="E2540" t="s">
        <v>18611</v>
      </c>
      <c r="F2540" t="s">
        <v>28198</v>
      </c>
      <c r="G2540" t="s">
        <v>28205</v>
      </c>
      <c r="H2540" t="s">
        <v>28215</v>
      </c>
      <c r="I2540" t="s">
        <v>28256</v>
      </c>
      <c r="J2540" t="s">
        <v>28601</v>
      </c>
      <c r="K2540" t="s">
        <v>36701</v>
      </c>
      <c r="M2540" t="s">
        <v>38054</v>
      </c>
      <c r="N2540" t="s">
        <v>40436</v>
      </c>
      <c r="O2540" t="s">
        <v>40437</v>
      </c>
      <c r="P2540">
        <v>0</v>
      </c>
      <c r="Q2540">
        <v>6</v>
      </c>
      <c r="R2540" t="s">
        <v>40439</v>
      </c>
      <c r="S2540" t="s">
        <v>40588</v>
      </c>
      <c r="T2540" t="s">
        <v>42108</v>
      </c>
      <c r="U2540" t="s">
        <v>44839</v>
      </c>
      <c r="W2540" t="s">
        <v>38054</v>
      </c>
      <c r="X2540" t="s">
        <v>40442</v>
      </c>
    </row>
    <row r="2541" spans="1:24">
      <c r="A2541">
        <f>HYPERLINK("https://www.philgeps.gov.ph/GEPSNONPILOT/Tender/SplashBidNoticeAbstractUI.aspx?menuIndex=3&amp;refID=7043724&amp;Result=3","7043724")</f>
        <v>0</v>
      </c>
      <c r="B2541" t="s">
        <v>1023</v>
      </c>
      <c r="C2541" t="s">
        <v>5530</v>
      </c>
      <c r="D2541" t="s">
        <v>16265</v>
      </c>
      <c r="E2541" t="s">
        <v>18612</v>
      </c>
      <c r="F2541" t="s">
        <v>28198</v>
      </c>
      <c r="G2541" t="s">
        <v>28205</v>
      </c>
      <c r="H2541" t="s">
        <v>28215</v>
      </c>
      <c r="I2541" t="s">
        <v>3774</v>
      </c>
      <c r="J2541" t="s">
        <v>28378</v>
      </c>
      <c r="K2541" t="s">
        <v>36701</v>
      </c>
      <c r="M2541" t="s">
        <v>38054</v>
      </c>
      <c r="N2541" t="s">
        <v>40436</v>
      </c>
      <c r="O2541" t="s">
        <v>40437</v>
      </c>
      <c r="P2541">
        <v>0</v>
      </c>
      <c r="Q2541">
        <v>0</v>
      </c>
      <c r="R2541" t="s">
        <v>40439</v>
      </c>
      <c r="S2541" t="s">
        <v>40588</v>
      </c>
      <c r="T2541" t="s">
        <v>42108</v>
      </c>
      <c r="U2541" t="s">
        <v>44840</v>
      </c>
      <c r="W2541" t="s">
        <v>38054</v>
      </c>
      <c r="X2541" t="s">
        <v>40442</v>
      </c>
    </row>
    <row r="2542" spans="1:24">
      <c r="A2542">
        <f>HYPERLINK("https://www.philgeps.gov.ph/GEPSNONPILOT/Tender/SplashBidNoticeAbstractUI.aspx?menuIndex=3&amp;refID=7043719&amp;Result=3","7043719")</f>
        <v>0</v>
      </c>
      <c r="B2542" t="s">
        <v>1023</v>
      </c>
      <c r="C2542" t="s">
        <v>5531</v>
      </c>
      <c r="D2542" t="s">
        <v>16265</v>
      </c>
      <c r="E2542" t="s">
        <v>18613</v>
      </c>
      <c r="F2542" t="s">
        <v>28198</v>
      </c>
      <c r="G2542" t="s">
        <v>28205</v>
      </c>
      <c r="H2542" t="s">
        <v>28215</v>
      </c>
      <c r="I2542" t="s">
        <v>4321</v>
      </c>
      <c r="J2542" t="s">
        <v>30074</v>
      </c>
      <c r="K2542" t="s">
        <v>36701</v>
      </c>
      <c r="M2542" t="s">
        <v>38054</v>
      </c>
      <c r="N2542" t="s">
        <v>40436</v>
      </c>
      <c r="O2542" t="s">
        <v>40437</v>
      </c>
      <c r="P2542">
        <v>0</v>
      </c>
      <c r="Q2542">
        <v>0</v>
      </c>
      <c r="R2542" t="s">
        <v>40439</v>
      </c>
      <c r="S2542" t="s">
        <v>40588</v>
      </c>
      <c r="T2542" t="s">
        <v>42108</v>
      </c>
      <c r="U2542" t="s">
        <v>44841</v>
      </c>
      <c r="W2542" t="s">
        <v>38054</v>
      </c>
      <c r="X2542" t="s">
        <v>40442</v>
      </c>
    </row>
    <row r="2543" spans="1:24">
      <c r="A2543">
        <f>HYPERLINK("https://www.philgeps.gov.ph/GEPSNONPILOT/Tender/SplashBidNoticeAbstractUI.aspx?menuIndex=3&amp;refID=7043791&amp;Result=3","7043791")</f>
        <v>0</v>
      </c>
      <c r="B2543" t="s">
        <v>1023</v>
      </c>
      <c r="C2543" t="s">
        <v>5532</v>
      </c>
      <c r="D2543" t="s">
        <v>16265</v>
      </c>
      <c r="E2543" t="s">
        <v>18614</v>
      </c>
      <c r="F2543" t="s">
        <v>28198</v>
      </c>
      <c r="G2543" t="s">
        <v>28205</v>
      </c>
      <c r="H2543" t="s">
        <v>28215</v>
      </c>
      <c r="I2543" t="s">
        <v>28234</v>
      </c>
      <c r="J2543" t="s">
        <v>30075</v>
      </c>
      <c r="K2543" t="s">
        <v>36701</v>
      </c>
      <c r="M2543" t="s">
        <v>38054</v>
      </c>
      <c r="N2543" t="s">
        <v>40436</v>
      </c>
      <c r="O2543" t="s">
        <v>40437</v>
      </c>
      <c r="P2543">
        <v>0</v>
      </c>
      <c r="Q2543">
        <v>3</v>
      </c>
      <c r="R2543" t="s">
        <v>40439</v>
      </c>
      <c r="S2543" t="s">
        <v>40588</v>
      </c>
      <c r="T2543" t="s">
        <v>42108</v>
      </c>
      <c r="U2543" t="s">
        <v>44842</v>
      </c>
      <c r="W2543" t="s">
        <v>38054</v>
      </c>
      <c r="X2543" t="s">
        <v>40442</v>
      </c>
    </row>
    <row r="2544" spans="1:24">
      <c r="A2544">
        <f>HYPERLINK("https://www.philgeps.gov.ph/GEPSNONPILOT/Tender/SplashBidNoticeAbstractUI.aspx?menuIndex=3&amp;refID=7043765&amp;Result=3","7043765")</f>
        <v>0</v>
      </c>
      <c r="B2544" t="s">
        <v>1003</v>
      </c>
      <c r="C2544" t="s">
        <v>5533</v>
      </c>
      <c r="D2544" t="s">
        <v>16247</v>
      </c>
      <c r="E2544" t="s">
        <v>18615</v>
      </c>
      <c r="F2544" t="s">
        <v>28200</v>
      </c>
      <c r="G2544" t="s">
        <v>28210</v>
      </c>
      <c r="H2544" t="s">
        <v>28215</v>
      </c>
      <c r="I2544" t="s">
        <v>5082</v>
      </c>
      <c r="J2544" t="s">
        <v>28629</v>
      </c>
      <c r="K2544" t="s">
        <v>36688</v>
      </c>
      <c r="M2544" t="s">
        <v>38031</v>
      </c>
      <c r="N2544" t="s">
        <v>40436</v>
      </c>
      <c r="O2544" t="s">
        <v>40437</v>
      </c>
      <c r="P2544">
        <v>0</v>
      </c>
      <c r="Q2544">
        <v>2</v>
      </c>
      <c r="R2544" t="s">
        <v>40439</v>
      </c>
      <c r="S2544" t="s">
        <v>40588</v>
      </c>
      <c r="T2544" t="s">
        <v>42152</v>
      </c>
      <c r="U2544" t="s">
        <v>44843</v>
      </c>
      <c r="W2544" t="s">
        <v>38031</v>
      </c>
      <c r="X2544" t="s">
        <v>40442</v>
      </c>
    </row>
    <row r="2545" spans="1:24">
      <c r="A2545">
        <f>HYPERLINK("https://www.philgeps.gov.ph/GEPSNONPILOT/Tender/SplashBidNoticeAbstractUI.aspx?menuIndex=3&amp;refID=7043794&amp;Result=3","7043794")</f>
        <v>0</v>
      </c>
      <c r="B2545" t="s">
        <v>1023</v>
      </c>
      <c r="C2545" t="s">
        <v>5534</v>
      </c>
      <c r="D2545" t="s">
        <v>16265</v>
      </c>
      <c r="E2545" t="s">
        <v>18616</v>
      </c>
      <c r="F2545" t="s">
        <v>28198</v>
      </c>
      <c r="G2545" t="s">
        <v>28205</v>
      </c>
      <c r="H2545" t="s">
        <v>28215</v>
      </c>
      <c r="I2545" t="s">
        <v>28234</v>
      </c>
      <c r="J2545" t="s">
        <v>30076</v>
      </c>
      <c r="K2545" t="s">
        <v>36701</v>
      </c>
      <c r="M2545" t="s">
        <v>38054</v>
      </c>
      <c r="N2545" t="s">
        <v>40436</v>
      </c>
      <c r="O2545" t="s">
        <v>40437</v>
      </c>
      <c r="P2545">
        <v>0</v>
      </c>
      <c r="Q2545">
        <v>4</v>
      </c>
      <c r="R2545" t="s">
        <v>40439</v>
      </c>
      <c r="S2545" t="s">
        <v>40588</v>
      </c>
      <c r="T2545" t="s">
        <v>42108</v>
      </c>
      <c r="U2545" t="s">
        <v>44844</v>
      </c>
      <c r="W2545" t="s">
        <v>38054</v>
      </c>
      <c r="X2545" t="s">
        <v>40442</v>
      </c>
    </row>
    <row r="2546" spans="1:24">
      <c r="A2546">
        <f>HYPERLINK("https://www.philgeps.gov.ph/GEPSNONPILOT/Tender/SplashBidNoticeAbstractUI.aspx?menuIndex=3&amp;refID=7043757&amp;Result=3","7043757")</f>
        <v>0</v>
      </c>
      <c r="B2546" t="s">
        <v>1048</v>
      </c>
      <c r="C2546" t="s">
        <v>5535</v>
      </c>
      <c r="D2546" t="s">
        <v>16219</v>
      </c>
      <c r="E2546" t="s">
        <v>18093</v>
      </c>
      <c r="F2546" t="s">
        <v>28198</v>
      </c>
      <c r="G2546" t="s">
        <v>28205</v>
      </c>
      <c r="H2546" t="s">
        <v>28215</v>
      </c>
      <c r="I2546" t="s">
        <v>4200</v>
      </c>
      <c r="J2546" t="s">
        <v>30077</v>
      </c>
      <c r="K2546" t="s">
        <v>36707</v>
      </c>
      <c r="M2546" t="s">
        <v>38081</v>
      </c>
      <c r="N2546" t="s">
        <v>40436</v>
      </c>
      <c r="O2546" t="s">
        <v>40437</v>
      </c>
      <c r="P2546">
        <v>0</v>
      </c>
      <c r="Q2546">
        <v>0</v>
      </c>
      <c r="R2546" t="s">
        <v>40439</v>
      </c>
      <c r="S2546" t="s">
        <v>40588</v>
      </c>
      <c r="T2546" t="s">
        <v>42323</v>
      </c>
      <c r="U2546" t="s">
        <v>44845</v>
      </c>
      <c r="W2546" t="s">
        <v>38081</v>
      </c>
      <c r="X2546" t="s">
        <v>40442</v>
      </c>
    </row>
    <row r="2547" spans="1:24">
      <c r="A2547">
        <f>HYPERLINK("https://www.philgeps.gov.ph/GEPSNONPILOT/Tender/SplashBidNoticeAbstractUI.aspx?menuIndex=3&amp;refID=7043754&amp;Result=3","7043754")</f>
        <v>0</v>
      </c>
      <c r="B2547" t="s">
        <v>96</v>
      </c>
      <c r="C2547" t="s">
        <v>5536</v>
      </c>
      <c r="D2547" t="s">
        <v>16225</v>
      </c>
      <c r="E2547" t="s">
        <v>18617</v>
      </c>
      <c r="F2547" t="s">
        <v>28198</v>
      </c>
      <c r="G2547" t="s">
        <v>28207</v>
      </c>
      <c r="H2547" t="s">
        <v>28215</v>
      </c>
      <c r="I2547" t="s">
        <v>28225</v>
      </c>
      <c r="J2547" t="s">
        <v>28352</v>
      </c>
      <c r="K2547" t="s">
        <v>36701</v>
      </c>
      <c r="M2547" t="s">
        <v>37068</v>
      </c>
      <c r="N2547" t="s">
        <v>40436</v>
      </c>
      <c r="O2547" t="s">
        <v>40437</v>
      </c>
      <c r="P2547">
        <v>0</v>
      </c>
      <c r="Q2547">
        <v>0</v>
      </c>
      <c r="R2547" t="s">
        <v>40439</v>
      </c>
      <c r="S2547" t="s">
        <v>40588</v>
      </c>
      <c r="T2547" t="s">
        <v>42218</v>
      </c>
      <c r="U2547" t="s">
        <v>44846</v>
      </c>
      <c r="W2547" t="s">
        <v>37068</v>
      </c>
      <c r="X2547" t="s">
        <v>40442</v>
      </c>
    </row>
    <row r="2548" spans="1:24">
      <c r="A2548">
        <f>HYPERLINK("https://www.philgeps.gov.ph/GEPSNONPILOT/Tender/SplashBidNoticeAbstractUI.aspx?menuIndex=3&amp;refID=7043796&amp;Result=3","7043796")</f>
        <v>0</v>
      </c>
      <c r="B2548" t="s">
        <v>1023</v>
      </c>
      <c r="C2548" t="s">
        <v>5537</v>
      </c>
      <c r="D2548" t="s">
        <v>16265</v>
      </c>
      <c r="E2548" t="s">
        <v>18618</v>
      </c>
      <c r="F2548" t="s">
        <v>28198</v>
      </c>
      <c r="G2548" t="s">
        <v>28210</v>
      </c>
      <c r="H2548" t="s">
        <v>28215</v>
      </c>
      <c r="I2548" t="s">
        <v>5082</v>
      </c>
      <c r="J2548" t="s">
        <v>30078</v>
      </c>
      <c r="K2548" t="s">
        <v>36687</v>
      </c>
      <c r="M2548" t="s">
        <v>38054</v>
      </c>
      <c r="N2548" t="s">
        <v>40436</v>
      </c>
      <c r="O2548" t="s">
        <v>40437</v>
      </c>
      <c r="P2548">
        <v>0</v>
      </c>
      <c r="Q2548">
        <v>1</v>
      </c>
      <c r="R2548" t="s">
        <v>40439</v>
      </c>
      <c r="S2548" t="s">
        <v>40588</v>
      </c>
      <c r="T2548" t="s">
        <v>42158</v>
      </c>
      <c r="U2548" t="s">
        <v>44847</v>
      </c>
      <c r="W2548" t="s">
        <v>38054</v>
      </c>
      <c r="X2548" t="s">
        <v>40442</v>
      </c>
    </row>
    <row r="2549" spans="1:24">
      <c r="A2549">
        <f>HYPERLINK("https://www.philgeps.gov.ph/GEPSNONPILOT/Tender/SplashBidNoticeAbstractUI.aspx?menuIndex=3&amp;refID=7043798&amp;Result=3","7043798")</f>
        <v>0</v>
      </c>
      <c r="B2549" t="s">
        <v>1023</v>
      </c>
      <c r="C2549" t="s">
        <v>5537</v>
      </c>
      <c r="D2549" t="s">
        <v>16265</v>
      </c>
      <c r="E2549" t="s">
        <v>18619</v>
      </c>
      <c r="F2549" t="s">
        <v>28198</v>
      </c>
      <c r="G2549" t="s">
        <v>28210</v>
      </c>
      <c r="H2549" t="s">
        <v>28215</v>
      </c>
      <c r="I2549" t="s">
        <v>5082</v>
      </c>
      <c r="J2549" t="s">
        <v>29140</v>
      </c>
      <c r="K2549" t="s">
        <v>36687</v>
      </c>
      <c r="M2549" t="s">
        <v>38054</v>
      </c>
      <c r="N2549" t="s">
        <v>40436</v>
      </c>
      <c r="O2549" t="s">
        <v>40437</v>
      </c>
      <c r="P2549">
        <v>0</v>
      </c>
      <c r="Q2549">
        <v>0</v>
      </c>
      <c r="R2549" t="s">
        <v>40439</v>
      </c>
      <c r="S2549" t="s">
        <v>40588</v>
      </c>
      <c r="T2549" t="s">
        <v>42158</v>
      </c>
      <c r="U2549" t="s">
        <v>44848</v>
      </c>
      <c r="W2549" t="s">
        <v>38054</v>
      </c>
      <c r="X2549" t="s">
        <v>40442</v>
      </c>
    </row>
    <row r="2550" spans="1:24">
      <c r="A2550">
        <f>HYPERLINK("https://www.philgeps.gov.ph/GEPSNONPILOT/Tender/SplashBidNoticeAbstractUI.aspx?menuIndex=3&amp;refID=7043752&amp;Result=3","7043752")</f>
        <v>0</v>
      </c>
      <c r="B2550" t="s">
        <v>1023</v>
      </c>
      <c r="C2550" t="s">
        <v>5484</v>
      </c>
      <c r="D2550" t="s">
        <v>16265</v>
      </c>
      <c r="E2550" t="s">
        <v>18620</v>
      </c>
      <c r="F2550" t="s">
        <v>28198</v>
      </c>
      <c r="G2550" t="s">
        <v>28205</v>
      </c>
      <c r="H2550" t="s">
        <v>28215</v>
      </c>
      <c r="I2550" t="s">
        <v>3774</v>
      </c>
      <c r="J2550" t="s">
        <v>30079</v>
      </c>
      <c r="K2550" t="s">
        <v>36701</v>
      </c>
      <c r="M2550" t="s">
        <v>38054</v>
      </c>
      <c r="N2550" t="s">
        <v>40436</v>
      </c>
      <c r="O2550" t="s">
        <v>40437</v>
      </c>
      <c r="P2550">
        <v>0</v>
      </c>
      <c r="Q2550">
        <v>0</v>
      </c>
      <c r="R2550" t="s">
        <v>40439</v>
      </c>
      <c r="S2550" t="s">
        <v>40588</v>
      </c>
      <c r="T2550" t="s">
        <v>42108</v>
      </c>
      <c r="U2550" t="s">
        <v>44849</v>
      </c>
      <c r="W2550" t="s">
        <v>38054</v>
      </c>
      <c r="X2550" t="s">
        <v>40442</v>
      </c>
    </row>
    <row r="2551" spans="1:24">
      <c r="A2551">
        <f>HYPERLINK("https://www.philgeps.gov.ph/GEPSNONPILOT/Tender/SplashBidNoticeAbstractUI.aspx?menuIndex=3&amp;refID=7043795&amp;Result=3","7043795")</f>
        <v>0</v>
      </c>
      <c r="B2551" t="s">
        <v>1023</v>
      </c>
      <c r="C2551" t="s">
        <v>5538</v>
      </c>
      <c r="D2551" t="s">
        <v>16265</v>
      </c>
      <c r="E2551" t="s">
        <v>18621</v>
      </c>
      <c r="F2551" t="s">
        <v>28198</v>
      </c>
      <c r="G2551" t="s">
        <v>28210</v>
      </c>
      <c r="H2551" t="s">
        <v>28215</v>
      </c>
      <c r="I2551" t="s">
        <v>4200</v>
      </c>
      <c r="J2551" t="s">
        <v>30080</v>
      </c>
      <c r="K2551" t="s">
        <v>36687</v>
      </c>
      <c r="M2551" t="s">
        <v>38054</v>
      </c>
      <c r="N2551" t="s">
        <v>40436</v>
      </c>
      <c r="O2551" t="s">
        <v>40437</v>
      </c>
      <c r="P2551">
        <v>0</v>
      </c>
      <c r="Q2551">
        <v>0</v>
      </c>
      <c r="R2551" t="s">
        <v>40439</v>
      </c>
      <c r="S2551" t="s">
        <v>40588</v>
      </c>
      <c r="T2551" t="s">
        <v>42158</v>
      </c>
      <c r="U2551" t="s">
        <v>44850</v>
      </c>
      <c r="W2551" t="s">
        <v>38054</v>
      </c>
      <c r="X2551" t="s">
        <v>40442</v>
      </c>
    </row>
    <row r="2552" spans="1:24">
      <c r="A2552">
        <f>HYPERLINK("https://www.philgeps.gov.ph/GEPSNONPILOT/Tender/SplashBidNoticeAbstractUI.aspx?menuIndex=3&amp;refID=7043745&amp;Result=3","7043745")</f>
        <v>0</v>
      </c>
      <c r="B2552" t="s">
        <v>1023</v>
      </c>
      <c r="C2552" t="s">
        <v>5539</v>
      </c>
      <c r="D2552" t="s">
        <v>16265</v>
      </c>
      <c r="E2552" t="s">
        <v>18622</v>
      </c>
      <c r="F2552" t="s">
        <v>28198</v>
      </c>
      <c r="G2552" t="s">
        <v>28205</v>
      </c>
      <c r="H2552" t="s">
        <v>28215</v>
      </c>
      <c r="I2552" t="s">
        <v>3774</v>
      </c>
      <c r="J2552" t="s">
        <v>30081</v>
      </c>
      <c r="K2552" t="s">
        <v>36701</v>
      </c>
      <c r="M2552" t="s">
        <v>38054</v>
      </c>
      <c r="N2552" t="s">
        <v>40436</v>
      </c>
      <c r="O2552" t="s">
        <v>40437</v>
      </c>
      <c r="P2552">
        <v>0</v>
      </c>
      <c r="Q2552">
        <v>0</v>
      </c>
      <c r="R2552" t="s">
        <v>40439</v>
      </c>
      <c r="S2552" t="s">
        <v>40588</v>
      </c>
      <c r="T2552" t="s">
        <v>42108</v>
      </c>
      <c r="U2552" t="s">
        <v>44851</v>
      </c>
      <c r="W2552" t="s">
        <v>38054</v>
      </c>
      <c r="X2552" t="s">
        <v>40442</v>
      </c>
    </row>
    <row r="2553" spans="1:24">
      <c r="A2553">
        <f>HYPERLINK("https://www.philgeps.gov.ph/GEPSNONPILOT/Tender/SplashBidNoticeAbstractUI.aspx?menuIndex=3&amp;refID=7043807&amp;Result=3","7043807")</f>
        <v>0</v>
      </c>
      <c r="B2553" t="s">
        <v>1023</v>
      </c>
      <c r="C2553" t="s">
        <v>5540</v>
      </c>
      <c r="D2553" t="s">
        <v>16265</v>
      </c>
      <c r="E2553" t="s">
        <v>18623</v>
      </c>
      <c r="F2553" t="s">
        <v>28198</v>
      </c>
      <c r="G2553" t="s">
        <v>28207</v>
      </c>
      <c r="H2553" t="s">
        <v>28215</v>
      </c>
      <c r="I2553" t="s">
        <v>28246</v>
      </c>
      <c r="J2553" t="s">
        <v>28629</v>
      </c>
      <c r="K2553" t="s">
        <v>36687</v>
      </c>
      <c r="M2553" t="s">
        <v>38054</v>
      </c>
      <c r="N2553" t="s">
        <v>40436</v>
      </c>
      <c r="O2553" t="s">
        <v>40437</v>
      </c>
      <c r="P2553">
        <v>0</v>
      </c>
      <c r="Q2553">
        <v>0</v>
      </c>
      <c r="R2553" t="s">
        <v>40439</v>
      </c>
      <c r="S2553" t="s">
        <v>40588</v>
      </c>
      <c r="T2553" t="s">
        <v>42158</v>
      </c>
      <c r="U2553" t="s">
        <v>44852</v>
      </c>
      <c r="W2553" t="s">
        <v>38054</v>
      </c>
      <c r="X2553" t="s">
        <v>40442</v>
      </c>
    </row>
    <row r="2554" spans="1:24">
      <c r="A2554">
        <f>HYPERLINK("https://www.philgeps.gov.ph/GEPSNONPILOT/Tender/SplashBidNoticeAbstractUI.aspx?menuIndex=3&amp;refID=7043749&amp;Result=3","7043749")</f>
        <v>0</v>
      </c>
      <c r="B2554" t="s">
        <v>1023</v>
      </c>
      <c r="C2554" t="s">
        <v>5541</v>
      </c>
      <c r="D2554" t="s">
        <v>16265</v>
      </c>
      <c r="E2554" t="s">
        <v>18624</v>
      </c>
      <c r="F2554" t="s">
        <v>28198</v>
      </c>
      <c r="G2554" t="s">
        <v>28205</v>
      </c>
      <c r="H2554" t="s">
        <v>28215</v>
      </c>
      <c r="I2554" t="s">
        <v>5631</v>
      </c>
      <c r="J2554" t="s">
        <v>30082</v>
      </c>
      <c r="K2554" t="s">
        <v>36701</v>
      </c>
      <c r="M2554" t="s">
        <v>38054</v>
      </c>
      <c r="N2554" t="s">
        <v>40436</v>
      </c>
      <c r="O2554" t="s">
        <v>40437</v>
      </c>
      <c r="P2554">
        <v>0</v>
      </c>
      <c r="Q2554">
        <v>0</v>
      </c>
      <c r="R2554" t="s">
        <v>40439</v>
      </c>
      <c r="S2554" t="s">
        <v>40588</v>
      </c>
      <c r="T2554" t="s">
        <v>42108</v>
      </c>
      <c r="U2554" t="s">
        <v>44853</v>
      </c>
      <c r="W2554" t="s">
        <v>38054</v>
      </c>
      <c r="X2554" t="s">
        <v>40442</v>
      </c>
    </row>
    <row r="2555" spans="1:24">
      <c r="A2555">
        <f>HYPERLINK("https://www.philgeps.gov.ph/GEPSNONPILOT/Tender/SplashBidNoticeAbstractUI.aspx?menuIndex=3&amp;refID=7043797&amp;Result=3","7043797")</f>
        <v>0</v>
      </c>
      <c r="B2555" t="s">
        <v>1023</v>
      </c>
      <c r="C2555" t="s">
        <v>5537</v>
      </c>
      <c r="D2555" t="s">
        <v>16265</v>
      </c>
      <c r="E2555" t="s">
        <v>18625</v>
      </c>
      <c r="F2555" t="s">
        <v>28198</v>
      </c>
      <c r="G2555" t="s">
        <v>28210</v>
      </c>
      <c r="H2555" t="s">
        <v>28215</v>
      </c>
      <c r="I2555" t="s">
        <v>5082</v>
      </c>
      <c r="J2555" t="s">
        <v>30083</v>
      </c>
      <c r="K2555" t="s">
        <v>36687</v>
      </c>
      <c r="M2555" t="s">
        <v>38054</v>
      </c>
      <c r="N2555" t="s">
        <v>40436</v>
      </c>
      <c r="O2555" t="s">
        <v>40437</v>
      </c>
      <c r="P2555">
        <v>0</v>
      </c>
      <c r="Q2555">
        <v>1</v>
      </c>
      <c r="R2555" t="s">
        <v>40439</v>
      </c>
      <c r="S2555" t="s">
        <v>40588</v>
      </c>
      <c r="T2555" t="s">
        <v>42158</v>
      </c>
      <c r="U2555" t="s">
        <v>44854</v>
      </c>
      <c r="W2555" t="s">
        <v>38054</v>
      </c>
      <c r="X2555" t="s">
        <v>40442</v>
      </c>
    </row>
    <row r="2556" spans="1:24">
      <c r="A2556">
        <f>HYPERLINK("https://www.philgeps.gov.ph/GEPSNONPILOT/Tender/SplashBidNoticeAbstractUI.aspx?menuIndex=3&amp;refID=7043808&amp;Result=3","7043808")</f>
        <v>0</v>
      </c>
      <c r="B2556" t="s">
        <v>1023</v>
      </c>
      <c r="C2556" t="s">
        <v>5542</v>
      </c>
      <c r="D2556" t="s">
        <v>16265</v>
      </c>
      <c r="E2556" t="s">
        <v>18626</v>
      </c>
      <c r="F2556" t="s">
        <v>28198</v>
      </c>
      <c r="G2556" t="s">
        <v>28207</v>
      </c>
      <c r="H2556" t="s">
        <v>28215</v>
      </c>
      <c r="I2556" t="s">
        <v>5631</v>
      </c>
      <c r="J2556" t="s">
        <v>28694</v>
      </c>
      <c r="K2556" t="s">
        <v>36687</v>
      </c>
      <c r="M2556" t="s">
        <v>38054</v>
      </c>
      <c r="N2556" t="s">
        <v>40436</v>
      </c>
      <c r="O2556" t="s">
        <v>40437</v>
      </c>
      <c r="P2556">
        <v>0</v>
      </c>
      <c r="Q2556">
        <v>2</v>
      </c>
      <c r="R2556" t="s">
        <v>40439</v>
      </c>
      <c r="S2556" t="s">
        <v>40588</v>
      </c>
      <c r="T2556" t="s">
        <v>42158</v>
      </c>
      <c r="U2556" t="s">
        <v>44855</v>
      </c>
      <c r="W2556" t="s">
        <v>38054</v>
      </c>
      <c r="X2556" t="s">
        <v>40442</v>
      </c>
    </row>
    <row r="2557" spans="1:24">
      <c r="A2557">
        <f>HYPERLINK("https://www.philgeps.gov.ph/GEPSNONPILOT/Tender/SplashBidNoticeAbstractUI.aspx?menuIndex=3&amp;refID=7043809&amp;Result=3","7043809")</f>
        <v>0</v>
      </c>
      <c r="B2557" t="s">
        <v>1023</v>
      </c>
      <c r="C2557" t="s">
        <v>5543</v>
      </c>
      <c r="D2557" t="s">
        <v>16265</v>
      </c>
      <c r="E2557" t="s">
        <v>18627</v>
      </c>
      <c r="F2557" t="s">
        <v>28198</v>
      </c>
      <c r="G2557" t="s">
        <v>28207</v>
      </c>
      <c r="H2557" t="s">
        <v>28215</v>
      </c>
      <c r="I2557" t="s">
        <v>28224</v>
      </c>
      <c r="J2557" t="s">
        <v>30084</v>
      </c>
      <c r="K2557" t="s">
        <v>36687</v>
      </c>
      <c r="M2557" t="s">
        <v>38054</v>
      </c>
      <c r="N2557" t="s">
        <v>40436</v>
      </c>
      <c r="O2557" t="s">
        <v>40437</v>
      </c>
      <c r="P2557">
        <v>0</v>
      </c>
      <c r="Q2557">
        <v>1</v>
      </c>
      <c r="R2557" t="s">
        <v>40439</v>
      </c>
      <c r="S2557" t="s">
        <v>40588</v>
      </c>
      <c r="T2557" t="s">
        <v>42158</v>
      </c>
      <c r="U2557" t="s">
        <v>44856</v>
      </c>
      <c r="W2557" t="s">
        <v>38054</v>
      </c>
      <c r="X2557" t="s">
        <v>40442</v>
      </c>
    </row>
    <row r="2558" spans="1:24">
      <c r="A2558">
        <f>HYPERLINK("https://www.philgeps.gov.ph/GEPSNONPILOT/Tender/SplashBidNoticeAbstractUI.aspx?menuIndex=3&amp;refID=7043804&amp;Result=3","7043804")</f>
        <v>0</v>
      </c>
      <c r="B2558" t="s">
        <v>1023</v>
      </c>
      <c r="C2558" t="s">
        <v>5544</v>
      </c>
      <c r="D2558" t="s">
        <v>16265</v>
      </c>
      <c r="E2558" t="s">
        <v>18623</v>
      </c>
      <c r="F2558" t="s">
        <v>28198</v>
      </c>
      <c r="G2558" t="s">
        <v>28207</v>
      </c>
      <c r="H2558" t="s">
        <v>28215</v>
      </c>
      <c r="I2558" t="s">
        <v>6013</v>
      </c>
      <c r="J2558" t="s">
        <v>30085</v>
      </c>
      <c r="K2558" t="s">
        <v>36687</v>
      </c>
      <c r="M2558" t="s">
        <v>38054</v>
      </c>
      <c r="N2558" t="s">
        <v>40436</v>
      </c>
      <c r="O2558" t="s">
        <v>40437</v>
      </c>
      <c r="P2558">
        <v>0</v>
      </c>
      <c r="Q2558">
        <v>0</v>
      </c>
      <c r="R2558" t="s">
        <v>40439</v>
      </c>
      <c r="S2558" t="s">
        <v>40588</v>
      </c>
      <c r="T2558" t="s">
        <v>42158</v>
      </c>
      <c r="U2558" t="s">
        <v>44852</v>
      </c>
      <c r="W2558" t="s">
        <v>38054</v>
      </c>
      <c r="X2558" t="s">
        <v>40442</v>
      </c>
    </row>
    <row r="2559" spans="1:24">
      <c r="A2559">
        <f>HYPERLINK("https://www.philgeps.gov.ph/GEPSNONPILOT/Tender/SplashBidNoticeAbstractUI.aspx?menuIndex=3&amp;refID=7043785&amp;Result=3","7043785")</f>
        <v>0</v>
      </c>
      <c r="B2559" t="s">
        <v>1023</v>
      </c>
      <c r="C2559" t="s">
        <v>5545</v>
      </c>
      <c r="D2559" t="s">
        <v>16265</v>
      </c>
      <c r="E2559" t="s">
        <v>18628</v>
      </c>
      <c r="F2559" t="s">
        <v>28198</v>
      </c>
      <c r="G2559" t="s">
        <v>28205</v>
      </c>
      <c r="H2559" t="s">
        <v>28215</v>
      </c>
      <c r="I2559" t="s">
        <v>4200</v>
      </c>
      <c r="J2559" t="s">
        <v>30086</v>
      </c>
      <c r="K2559" t="s">
        <v>36701</v>
      </c>
      <c r="M2559" t="s">
        <v>38054</v>
      </c>
      <c r="N2559" t="s">
        <v>40436</v>
      </c>
      <c r="O2559" t="s">
        <v>40437</v>
      </c>
      <c r="P2559">
        <v>0</v>
      </c>
      <c r="Q2559">
        <v>0</v>
      </c>
      <c r="R2559" t="s">
        <v>40439</v>
      </c>
      <c r="S2559" t="s">
        <v>40588</v>
      </c>
      <c r="T2559" t="s">
        <v>42108</v>
      </c>
      <c r="U2559" t="s">
        <v>44857</v>
      </c>
      <c r="W2559" t="s">
        <v>38054</v>
      </c>
      <c r="X2559" t="s">
        <v>40442</v>
      </c>
    </row>
    <row r="2560" spans="1:24">
      <c r="A2560">
        <f>HYPERLINK("https://www.philgeps.gov.ph/GEPSNONPILOT/Tender/SplashBidNoticeAbstractUI.aspx?menuIndex=3&amp;refID=7043799&amp;Result=3","7043799")</f>
        <v>0</v>
      </c>
      <c r="B2560" t="s">
        <v>1023</v>
      </c>
      <c r="C2560" t="s">
        <v>5537</v>
      </c>
      <c r="D2560" t="s">
        <v>16265</v>
      </c>
      <c r="E2560" t="s">
        <v>18629</v>
      </c>
      <c r="F2560" t="s">
        <v>28198</v>
      </c>
      <c r="G2560" t="s">
        <v>28210</v>
      </c>
      <c r="H2560" t="s">
        <v>28215</v>
      </c>
      <c r="I2560" t="s">
        <v>5082</v>
      </c>
      <c r="J2560" t="s">
        <v>30087</v>
      </c>
      <c r="K2560" t="s">
        <v>36687</v>
      </c>
      <c r="M2560" t="s">
        <v>38054</v>
      </c>
      <c r="N2560" t="s">
        <v>40436</v>
      </c>
      <c r="O2560" t="s">
        <v>40437</v>
      </c>
      <c r="P2560">
        <v>0</v>
      </c>
      <c r="Q2560">
        <v>1</v>
      </c>
      <c r="R2560" t="s">
        <v>40439</v>
      </c>
      <c r="S2560" t="s">
        <v>40588</v>
      </c>
      <c r="T2560" t="s">
        <v>42158</v>
      </c>
      <c r="U2560" t="s">
        <v>44858</v>
      </c>
      <c r="W2560" t="s">
        <v>38054</v>
      </c>
      <c r="X2560" t="s">
        <v>40442</v>
      </c>
    </row>
    <row r="2561" spans="1:24">
      <c r="A2561">
        <f>HYPERLINK("https://www.philgeps.gov.ph/GEPSNONPILOT/Tender/SplashBidNoticeAbstractUI.aspx?menuIndex=3&amp;refID=7043828&amp;Result=3","7043828")</f>
        <v>0</v>
      </c>
      <c r="B2561" t="s">
        <v>1023</v>
      </c>
      <c r="C2561" t="s">
        <v>5537</v>
      </c>
      <c r="D2561" t="s">
        <v>16265</v>
      </c>
      <c r="E2561" t="s">
        <v>18630</v>
      </c>
      <c r="F2561" t="s">
        <v>28198</v>
      </c>
      <c r="G2561" t="s">
        <v>28210</v>
      </c>
      <c r="H2561" t="s">
        <v>28215</v>
      </c>
      <c r="I2561" t="s">
        <v>5082</v>
      </c>
      <c r="J2561" t="s">
        <v>30088</v>
      </c>
      <c r="K2561" t="s">
        <v>36687</v>
      </c>
      <c r="M2561" t="s">
        <v>38054</v>
      </c>
      <c r="N2561" t="s">
        <v>40436</v>
      </c>
      <c r="O2561" t="s">
        <v>40437</v>
      </c>
      <c r="P2561">
        <v>0</v>
      </c>
      <c r="Q2561">
        <v>1</v>
      </c>
      <c r="R2561" t="s">
        <v>40439</v>
      </c>
      <c r="S2561" t="s">
        <v>40588</v>
      </c>
      <c r="T2561" t="s">
        <v>42158</v>
      </c>
      <c r="U2561" t="s">
        <v>44859</v>
      </c>
      <c r="W2561" t="s">
        <v>38054</v>
      </c>
      <c r="X2561" t="s">
        <v>40442</v>
      </c>
    </row>
    <row r="2562" spans="1:24">
      <c r="A2562">
        <f>HYPERLINK("https://www.philgeps.gov.ph/GEPSNONPILOT/Tender/SplashBidNoticeAbstractUI.aspx?menuIndex=3&amp;refID=7043802&amp;Result=3","7043802")</f>
        <v>0</v>
      </c>
      <c r="B2562" t="s">
        <v>1023</v>
      </c>
      <c r="C2562" t="s">
        <v>5546</v>
      </c>
      <c r="D2562" t="s">
        <v>16265</v>
      </c>
      <c r="E2562" t="s">
        <v>18631</v>
      </c>
      <c r="F2562" t="s">
        <v>28198</v>
      </c>
      <c r="G2562" t="s">
        <v>28207</v>
      </c>
      <c r="H2562" t="s">
        <v>28215</v>
      </c>
      <c r="I2562" t="s">
        <v>28227</v>
      </c>
      <c r="J2562" t="s">
        <v>30089</v>
      </c>
      <c r="K2562" t="s">
        <v>36687</v>
      </c>
      <c r="M2562" t="s">
        <v>38054</v>
      </c>
      <c r="N2562" t="s">
        <v>40436</v>
      </c>
      <c r="O2562" t="s">
        <v>40437</v>
      </c>
      <c r="P2562">
        <v>0</v>
      </c>
      <c r="Q2562">
        <v>0</v>
      </c>
      <c r="R2562" t="s">
        <v>40439</v>
      </c>
      <c r="S2562" t="s">
        <v>40588</v>
      </c>
      <c r="T2562" t="s">
        <v>42158</v>
      </c>
      <c r="U2562" t="s">
        <v>44860</v>
      </c>
      <c r="W2562" t="s">
        <v>38054</v>
      </c>
      <c r="X2562" t="s">
        <v>40442</v>
      </c>
    </row>
    <row r="2563" spans="1:24">
      <c r="A2563">
        <f>HYPERLINK("https://www.philgeps.gov.ph/GEPSNONPILOT/Tender/SplashBidNoticeAbstractUI.aspx?menuIndex=3&amp;refID=7043800&amp;Result=3","7043800")</f>
        <v>0</v>
      </c>
      <c r="B2563" t="s">
        <v>1023</v>
      </c>
      <c r="C2563" t="s">
        <v>5537</v>
      </c>
      <c r="D2563" t="s">
        <v>16265</v>
      </c>
      <c r="E2563" t="s">
        <v>18632</v>
      </c>
      <c r="F2563" t="s">
        <v>28198</v>
      </c>
      <c r="G2563" t="s">
        <v>28210</v>
      </c>
      <c r="H2563" t="s">
        <v>28215</v>
      </c>
      <c r="I2563" t="s">
        <v>5082</v>
      </c>
      <c r="J2563" t="s">
        <v>30090</v>
      </c>
      <c r="K2563" t="s">
        <v>36687</v>
      </c>
      <c r="M2563" t="s">
        <v>38054</v>
      </c>
      <c r="N2563" t="s">
        <v>40436</v>
      </c>
      <c r="O2563" t="s">
        <v>40437</v>
      </c>
      <c r="P2563">
        <v>0</v>
      </c>
      <c r="Q2563">
        <v>1</v>
      </c>
      <c r="R2563" t="s">
        <v>40439</v>
      </c>
      <c r="S2563" t="s">
        <v>40588</v>
      </c>
      <c r="T2563" t="s">
        <v>42158</v>
      </c>
      <c r="U2563" t="s">
        <v>44861</v>
      </c>
      <c r="W2563" t="s">
        <v>38054</v>
      </c>
      <c r="X2563" t="s">
        <v>40442</v>
      </c>
    </row>
    <row r="2564" spans="1:24">
      <c r="A2564">
        <f>HYPERLINK("https://www.philgeps.gov.ph/GEPSNONPILOT/Tender/SplashBidNoticeAbstractUI.aspx?menuIndex=3&amp;refID=7043816&amp;Result=3","7043816")</f>
        <v>0</v>
      </c>
      <c r="B2564" t="s">
        <v>1023</v>
      </c>
      <c r="C2564" t="s">
        <v>5547</v>
      </c>
      <c r="D2564" t="s">
        <v>16265</v>
      </c>
      <c r="E2564" t="s">
        <v>18633</v>
      </c>
      <c r="F2564" t="s">
        <v>28198</v>
      </c>
      <c r="G2564" t="s">
        <v>28207</v>
      </c>
      <c r="H2564" t="s">
        <v>28215</v>
      </c>
      <c r="I2564" t="s">
        <v>28226</v>
      </c>
      <c r="J2564" t="s">
        <v>30091</v>
      </c>
      <c r="K2564" t="s">
        <v>36687</v>
      </c>
      <c r="M2564" t="s">
        <v>38054</v>
      </c>
      <c r="N2564" t="s">
        <v>40436</v>
      </c>
      <c r="O2564" t="s">
        <v>40437</v>
      </c>
      <c r="P2564">
        <v>0</v>
      </c>
      <c r="Q2564">
        <v>1</v>
      </c>
      <c r="R2564" t="s">
        <v>40439</v>
      </c>
      <c r="S2564" t="s">
        <v>40588</v>
      </c>
      <c r="T2564" t="s">
        <v>42158</v>
      </c>
      <c r="U2564" t="s">
        <v>44862</v>
      </c>
      <c r="W2564" t="s">
        <v>38054</v>
      </c>
      <c r="X2564" t="s">
        <v>40442</v>
      </c>
    </row>
    <row r="2565" spans="1:24">
      <c r="A2565">
        <f>HYPERLINK("https://www.philgeps.gov.ph/GEPSNONPILOT/Tender/SplashBidNoticeAbstractUI.aspx?menuIndex=3&amp;refID=7043817&amp;Result=3","7043817")</f>
        <v>0</v>
      </c>
      <c r="B2565" t="s">
        <v>1023</v>
      </c>
      <c r="C2565" t="s">
        <v>5548</v>
      </c>
      <c r="D2565" t="s">
        <v>16265</v>
      </c>
      <c r="E2565" t="s">
        <v>18633</v>
      </c>
      <c r="F2565" t="s">
        <v>28198</v>
      </c>
      <c r="G2565" t="s">
        <v>28207</v>
      </c>
      <c r="H2565" t="s">
        <v>28215</v>
      </c>
      <c r="I2565" t="s">
        <v>28226</v>
      </c>
      <c r="J2565" t="s">
        <v>28486</v>
      </c>
      <c r="K2565" t="s">
        <v>36687</v>
      </c>
      <c r="M2565" t="s">
        <v>38054</v>
      </c>
      <c r="N2565" t="s">
        <v>40436</v>
      </c>
      <c r="O2565" t="s">
        <v>40437</v>
      </c>
      <c r="P2565">
        <v>0</v>
      </c>
      <c r="Q2565">
        <v>1</v>
      </c>
      <c r="R2565" t="s">
        <v>40439</v>
      </c>
      <c r="S2565" t="s">
        <v>40588</v>
      </c>
      <c r="T2565" t="s">
        <v>42158</v>
      </c>
      <c r="U2565" t="s">
        <v>44862</v>
      </c>
      <c r="W2565" t="s">
        <v>38054</v>
      </c>
      <c r="X2565" t="s">
        <v>40442</v>
      </c>
    </row>
    <row r="2566" spans="1:24">
      <c r="A2566">
        <f>HYPERLINK("https://www.philgeps.gov.ph/GEPSNONPILOT/Tender/SplashBidNoticeAbstractUI.aspx?menuIndex=3&amp;refID=7043815&amp;Result=3","7043815")</f>
        <v>0</v>
      </c>
      <c r="B2566" t="s">
        <v>1023</v>
      </c>
      <c r="C2566" t="s">
        <v>5549</v>
      </c>
      <c r="D2566" t="s">
        <v>16265</v>
      </c>
      <c r="E2566" t="s">
        <v>18633</v>
      </c>
      <c r="F2566" t="s">
        <v>28198</v>
      </c>
      <c r="G2566" t="s">
        <v>28210</v>
      </c>
      <c r="H2566" t="s">
        <v>28215</v>
      </c>
      <c r="I2566" t="s">
        <v>4168</v>
      </c>
      <c r="J2566" t="s">
        <v>30092</v>
      </c>
      <c r="K2566" t="s">
        <v>36687</v>
      </c>
      <c r="M2566" t="s">
        <v>38054</v>
      </c>
      <c r="N2566" t="s">
        <v>40436</v>
      </c>
      <c r="O2566" t="s">
        <v>40437</v>
      </c>
      <c r="P2566">
        <v>0</v>
      </c>
      <c r="Q2566">
        <v>1</v>
      </c>
      <c r="R2566" t="s">
        <v>40439</v>
      </c>
      <c r="S2566" t="s">
        <v>40588</v>
      </c>
      <c r="T2566" t="s">
        <v>42158</v>
      </c>
      <c r="U2566" t="s">
        <v>44862</v>
      </c>
      <c r="W2566" t="s">
        <v>38054</v>
      </c>
      <c r="X2566" t="s">
        <v>40442</v>
      </c>
    </row>
    <row r="2567" spans="1:24">
      <c r="A2567">
        <f>HYPERLINK("https://www.philgeps.gov.ph/GEPSNONPILOT/Tender/SplashBidNoticeAbstractUI.aspx?menuIndex=3&amp;refID=7043814&amp;Result=3","7043814")</f>
        <v>0</v>
      </c>
      <c r="B2567" t="s">
        <v>1023</v>
      </c>
      <c r="C2567" t="s">
        <v>5550</v>
      </c>
      <c r="D2567" t="s">
        <v>16265</v>
      </c>
      <c r="E2567" t="s">
        <v>18633</v>
      </c>
      <c r="F2567" t="s">
        <v>28198</v>
      </c>
      <c r="G2567" t="s">
        <v>28207</v>
      </c>
      <c r="H2567" t="s">
        <v>28215</v>
      </c>
      <c r="I2567" t="s">
        <v>28258</v>
      </c>
      <c r="J2567" t="s">
        <v>30093</v>
      </c>
      <c r="K2567" t="s">
        <v>36687</v>
      </c>
      <c r="M2567" t="s">
        <v>38054</v>
      </c>
      <c r="N2567" t="s">
        <v>40436</v>
      </c>
      <c r="O2567" t="s">
        <v>40437</v>
      </c>
      <c r="P2567">
        <v>0</v>
      </c>
      <c r="Q2567">
        <v>3</v>
      </c>
      <c r="R2567" t="s">
        <v>40439</v>
      </c>
      <c r="S2567" t="s">
        <v>40588</v>
      </c>
      <c r="T2567" t="s">
        <v>42158</v>
      </c>
      <c r="U2567" t="s">
        <v>44862</v>
      </c>
      <c r="W2567" t="s">
        <v>38054</v>
      </c>
      <c r="X2567" t="s">
        <v>40442</v>
      </c>
    </row>
    <row r="2568" spans="1:24">
      <c r="A2568">
        <f>HYPERLINK("https://www.philgeps.gov.ph/GEPSNONPILOT/Tender/SplashBidNoticeAbstractUI.aspx?menuIndex=3&amp;refID=7043830&amp;Result=3","7043830")</f>
        <v>0</v>
      </c>
      <c r="B2568" t="s">
        <v>1023</v>
      </c>
      <c r="C2568" t="s">
        <v>5537</v>
      </c>
      <c r="D2568" t="s">
        <v>16265</v>
      </c>
      <c r="E2568" t="s">
        <v>18634</v>
      </c>
      <c r="F2568" t="s">
        <v>28198</v>
      </c>
      <c r="G2568" t="s">
        <v>28210</v>
      </c>
      <c r="H2568" t="s">
        <v>28215</v>
      </c>
      <c r="I2568" t="s">
        <v>5082</v>
      </c>
      <c r="J2568" t="s">
        <v>30094</v>
      </c>
      <c r="K2568" t="s">
        <v>36687</v>
      </c>
      <c r="M2568" t="s">
        <v>38054</v>
      </c>
      <c r="N2568" t="s">
        <v>40436</v>
      </c>
      <c r="O2568" t="s">
        <v>40437</v>
      </c>
      <c r="P2568">
        <v>0</v>
      </c>
      <c r="Q2568">
        <v>1</v>
      </c>
      <c r="R2568" t="s">
        <v>40439</v>
      </c>
      <c r="S2568" t="s">
        <v>40588</v>
      </c>
      <c r="T2568" t="s">
        <v>42158</v>
      </c>
      <c r="U2568" t="s">
        <v>44863</v>
      </c>
      <c r="W2568" t="s">
        <v>38054</v>
      </c>
      <c r="X2568" t="s">
        <v>40442</v>
      </c>
    </row>
    <row r="2569" spans="1:24">
      <c r="A2569">
        <f>HYPERLINK("https://www.philgeps.gov.ph/GEPSNONPILOT/Tender/SplashBidNoticeAbstractUI.aspx?menuIndex=3&amp;refID=7043813&amp;Result=3","7043813")</f>
        <v>0</v>
      </c>
      <c r="B2569" t="s">
        <v>1023</v>
      </c>
      <c r="C2569" t="s">
        <v>5551</v>
      </c>
      <c r="D2569" t="s">
        <v>16265</v>
      </c>
      <c r="E2569" t="s">
        <v>18633</v>
      </c>
      <c r="F2569" t="s">
        <v>28198</v>
      </c>
      <c r="G2569" t="s">
        <v>28210</v>
      </c>
      <c r="H2569" t="s">
        <v>28215</v>
      </c>
      <c r="I2569" t="s">
        <v>4200</v>
      </c>
      <c r="J2569" t="s">
        <v>30095</v>
      </c>
      <c r="K2569" t="s">
        <v>36687</v>
      </c>
      <c r="M2569" t="s">
        <v>38054</v>
      </c>
      <c r="N2569" t="s">
        <v>40436</v>
      </c>
      <c r="O2569" t="s">
        <v>40437</v>
      </c>
      <c r="P2569">
        <v>0</v>
      </c>
      <c r="Q2569">
        <v>0</v>
      </c>
      <c r="R2569" t="s">
        <v>40439</v>
      </c>
      <c r="S2569" t="s">
        <v>40588</v>
      </c>
      <c r="T2569" t="s">
        <v>42158</v>
      </c>
      <c r="U2569" t="s">
        <v>44862</v>
      </c>
      <c r="W2569" t="s">
        <v>38054</v>
      </c>
      <c r="X2569" t="s">
        <v>40442</v>
      </c>
    </row>
    <row r="2570" spans="1:24">
      <c r="A2570">
        <f>HYPERLINK("https://www.philgeps.gov.ph/GEPSNONPILOT/Tender/SplashBidNoticeAbstractUI.aspx?menuIndex=3&amp;refID=7043812&amp;Result=3","7043812")</f>
        <v>0</v>
      </c>
      <c r="B2570" t="s">
        <v>1023</v>
      </c>
      <c r="C2570" t="s">
        <v>5552</v>
      </c>
      <c r="D2570" t="s">
        <v>16265</v>
      </c>
      <c r="E2570" t="s">
        <v>18635</v>
      </c>
      <c r="F2570" t="s">
        <v>28198</v>
      </c>
      <c r="G2570" t="s">
        <v>28210</v>
      </c>
      <c r="H2570" t="s">
        <v>28215</v>
      </c>
      <c r="I2570" t="s">
        <v>4200</v>
      </c>
      <c r="J2570" t="s">
        <v>30096</v>
      </c>
      <c r="K2570" t="s">
        <v>36687</v>
      </c>
      <c r="M2570" t="s">
        <v>38054</v>
      </c>
      <c r="N2570" t="s">
        <v>40436</v>
      </c>
      <c r="O2570" t="s">
        <v>40437</v>
      </c>
      <c r="P2570">
        <v>0</v>
      </c>
      <c r="Q2570">
        <v>0</v>
      </c>
      <c r="R2570" t="s">
        <v>40439</v>
      </c>
      <c r="S2570" t="s">
        <v>40588</v>
      </c>
      <c r="T2570" t="s">
        <v>42158</v>
      </c>
      <c r="U2570" t="s">
        <v>44864</v>
      </c>
      <c r="W2570" t="s">
        <v>38054</v>
      </c>
      <c r="X2570" t="s">
        <v>40442</v>
      </c>
    </row>
    <row r="2571" spans="1:24">
      <c r="A2571">
        <f>HYPERLINK("https://www.philgeps.gov.ph/GEPSNONPILOT/Tender/SplashBidNoticeAbstractUI.aspx?menuIndex=3&amp;refID=7043840&amp;Result=3","7043840")</f>
        <v>0</v>
      </c>
      <c r="B2571" t="s">
        <v>1023</v>
      </c>
      <c r="C2571" t="s">
        <v>5538</v>
      </c>
      <c r="D2571" t="s">
        <v>16265</v>
      </c>
      <c r="E2571" t="s">
        <v>18636</v>
      </c>
      <c r="F2571" t="s">
        <v>28198</v>
      </c>
      <c r="G2571" t="s">
        <v>28210</v>
      </c>
      <c r="H2571" t="s">
        <v>28215</v>
      </c>
      <c r="I2571" t="s">
        <v>4200</v>
      </c>
      <c r="J2571" t="s">
        <v>29302</v>
      </c>
      <c r="K2571" t="s">
        <v>36687</v>
      </c>
      <c r="M2571" t="s">
        <v>38054</v>
      </c>
      <c r="N2571" t="s">
        <v>40436</v>
      </c>
      <c r="O2571" t="s">
        <v>40437</v>
      </c>
      <c r="P2571">
        <v>0</v>
      </c>
      <c r="Q2571">
        <v>0</v>
      </c>
      <c r="R2571" t="s">
        <v>40439</v>
      </c>
      <c r="S2571" t="s">
        <v>40588</v>
      </c>
      <c r="T2571" t="s">
        <v>42158</v>
      </c>
      <c r="U2571" t="s">
        <v>44865</v>
      </c>
      <c r="W2571" t="s">
        <v>38054</v>
      </c>
      <c r="X2571" t="s">
        <v>40442</v>
      </c>
    </row>
    <row r="2572" spans="1:24">
      <c r="A2572">
        <f>HYPERLINK("https://www.philgeps.gov.ph/GEPSNONPILOT/Tender/SplashBidNoticeAbstractUI.aspx?menuIndex=3&amp;refID=7043969&amp;Result=3","7043969")</f>
        <v>0</v>
      </c>
      <c r="B2572" t="s">
        <v>1023</v>
      </c>
      <c r="C2572" t="s">
        <v>5553</v>
      </c>
      <c r="D2572" t="s">
        <v>16265</v>
      </c>
      <c r="E2572" t="s">
        <v>18637</v>
      </c>
      <c r="F2572" t="s">
        <v>28198</v>
      </c>
      <c r="G2572" t="s">
        <v>28205</v>
      </c>
      <c r="H2572" t="s">
        <v>28215</v>
      </c>
      <c r="I2572" t="s">
        <v>5082</v>
      </c>
      <c r="J2572" t="s">
        <v>30097</v>
      </c>
      <c r="K2572" t="s">
        <v>36701</v>
      </c>
      <c r="M2572" t="s">
        <v>38054</v>
      </c>
      <c r="N2572" t="s">
        <v>40436</v>
      </c>
      <c r="O2572" t="s">
        <v>40437</v>
      </c>
      <c r="P2572">
        <v>0</v>
      </c>
      <c r="Q2572">
        <v>1</v>
      </c>
      <c r="R2572" t="s">
        <v>40439</v>
      </c>
      <c r="S2572" t="s">
        <v>40588</v>
      </c>
      <c r="T2572" t="s">
        <v>42108</v>
      </c>
      <c r="U2572" t="s">
        <v>44866</v>
      </c>
      <c r="W2572" t="s">
        <v>38054</v>
      </c>
      <c r="X2572" t="s">
        <v>40441</v>
      </c>
    </row>
    <row r="2573" spans="1:24">
      <c r="A2573">
        <f>HYPERLINK("https://www.philgeps.gov.ph/GEPSNONPILOT/Tender/SplashBidNoticeAbstractUI.aspx?menuIndex=3&amp;refID=7043982&amp;Result=3","7043982")</f>
        <v>0</v>
      </c>
      <c r="B2573" t="s">
        <v>1023</v>
      </c>
      <c r="C2573" t="s">
        <v>5554</v>
      </c>
      <c r="D2573" t="s">
        <v>16265</v>
      </c>
      <c r="E2573" t="s">
        <v>18638</v>
      </c>
      <c r="F2573" t="s">
        <v>28198</v>
      </c>
      <c r="G2573" t="s">
        <v>28205</v>
      </c>
      <c r="H2573" t="s">
        <v>28215</v>
      </c>
      <c r="I2573" t="s">
        <v>5082</v>
      </c>
      <c r="J2573" t="s">
        <v>30098</v>
      </c>
      <c r="K2573" t="s">
        <v>36701</v>
      </c>
      <c r="M2573" t="s">
        <v>38054</v>
      </c>
      <c r="N2573" t="s">
        <v>40436</v>
      </c>
      <c r="O2573" t="s">
        <v>40437</v>
      </c>
      <c r="P2573">
        <v>0</v>
      </c>
      <c r="Q2573">
        <v>0</v>
      </c>
      <c r="R2573" t="s">
        <v>40439</v>
      </c>
      <c r="S2573" t="s">
        <v>40588</v>
      </c>
      <c r="T2573" t="s">
        <v>42099</v>
      </c>
      <c r="U2573" t="s">
        <v>44867</v>
      </c>
      <c r="W2573" t="s">
        <v>38054</v>
      </c>
      <c r="X2573" t="s">
        <v>40441</v>
      </c>
    </row>
    <row r="2574" spans="1:24">
      <c r="A2574">
        <f>HYPERLINK("https://www.philgeps.gov.ph/GEPSNONPILOT/Tender/SplashBidNoticeAbstractUI.aspx?menuIndex=3&amp;refID=7043831&amp;Result=3","7043831")</f>
        <v>0</v>
      </c>
      <c r="B2574" t="s">
        <v>1023</v>
      </c>
      <c r="C2574" t="s">
        <v>5537</v>
      </c>
      <c r="D2574" t="s">
        <v>16265</v>
      </c>
      <c r="E2574" t="s">
        <v>18639</v>
      </c>
      <c r="F2574" t="s">
        <v>28198</v>
      </c>
      <c r="G2574" t="s">
        <v>28207</v>
      </c>
      <c r="H2574" t="s">
        <v>28215</v>
      </c>
      <c r="I2574" t="s">
        <v>5082</v>
      </c>
      <c r="J2574" t="s">
        <v>30099</v>
      </c>
      <c r="K2574" t="s">
        <v>36687</v>
      </c>
      <c r="M2574" t="s">
        <v>38054</v>
      </c>
      <c r="N2574" t="s">
        <v>40436</v>
      </c>
      <c r="O2574" t="s">
        <v>40437</v>
      </c>
      <c r="P2574">
        <v>0</v>
      </c>
      <c r="Q2574">
        <v>1</v>
      </c>
      <c r="R2574" t="s">
        <v>40439</v>
      </c>
      <c r="S2574" t="s">
        <v>40588</v>
      </c>
      <c r="T2574" t="s">
        <v>42158</v>
      </c>
      <c r="U2574" t="s">
        <v>44868</v>
      </c>
      <c r="W2574" t="s">
        <v>38054</v>
      </c>
      <c r="X2574" t="s">
        <v>40442</v>
      </c>
    </row>
    <row r="2575" spans="1:24">
      <c r="A2575">
        <f>HYPERLINK("https://www.philgeps.gov.ph/GEPSNONPILOT/Tender/SplashBidNoticeAbstractUI.aspx?menuIndex=3&amp;refID=7043965&amp;Result=3","7043965")</f>
        <v>0</v>
      </c>
      <c r="B2575" t="s">
        <v>1023</v>
      </c>
      <c r="C2575" t="s">
        <v>5555</v>
      </c>
      <c r="D2575" t="s">
        <v>16265</v>
      </c>
      <c r="E2575" t="s">
        <v>18640</v>
      </c>
      <c r="F2575" t="s">
        <v>28198</v>
      </c>
      <c r="G2575" t="s">
        <v>28205</v>
      </c>
      <c r="H2575" t="s">
        <v>28215</v>
      </c>
      <c r="I2575" t="s">
        <v>3422</v>
      </c>
      <c r="J2575" t="s">
        <v>30100</v>
      </c>
      <c r="K2575" t="s">
        <v>36701</v>
      </c>
      <c r="M2575" t="s">
        <v>38054</v>
      </c>
      <c r="N2575" t="s">
        <v>40436</v>
      </c>
      <c r="O2575" t="s">
        <v>40437</v>
      </c>
      <c r="P2575">
        <v>0</v>
      </c>
      <c r="Q2575">
        <v>0</v>
      </c>
      <c r="R2575" t="s">
        <v>40439</v>
      </c>
      <c r="S2575" t="s">
        <v>40588</v>
      </c>
      <c r="T2575" t="s">
        <v>42108</v>
      </c>
      <c r="U2575" t="s">
        <v>44869</v>
      </c>
      <c r="W2575" t="s">
        <v>38054</v>
      </c>
      <c r="X2575" t="s">
        <v>40441</v>
      </c>
    </row>
    <row r="2576" spans="1:24">
      <c r="A2576">
        <f>HYPERLINK("https://www.philgeps.gov.ph/GEPSNONPILOT/Tender/SplashBidNoticeAbstractUI.aspx?menuIndex=3&amp;refID=7043862&amp;Result=3","7043862")</f>
        <v>0</v>
      </c>
      <c r="B2576" t="s">
        <v>63</v>
      </c>
      <c r="C2576" t="s">
        <v>5556</v>
      </c>
      <c r="E2576" t="s">
        <v>18641</v>
      </c>
      <c r="F2576" t="s">
        <v>28198</v>
      </c>
      <c r="G2576" t="s">
        <v>28205</v>
      </c>
      <c r="H2576" t="s">
        <v>28214</v>
      </c>
      <c r="I2576" t="s">
        <v>28235</v>
      </c>
      <c r="J2576" t="s">
        <v>28363</v>
      </c>
      <c r="K2576" t="s">
        <v>36701</v>
      </c>
      <c r="M2576" t="s">
        <v>37034</v>
      </c>
      <c r="N2576" t="s">
        <v>40436</v>
      </c>
      <c r="O2576" t="s">
        <v>40437</v>
      </c>
      <c r="P2576">
        <v>0</v>
      </c>
      <c r="Q2576">
        <v>0</v>
      </c>
      <c r="R2576" t="s">
        <v>40439</v>
      </c>
      <c r="S2576" t="s">
        <v>40588</v>
      </c>
      <c r="T2576" t="s">
        <v>42106</v>
      </c>
      <c r="U2576" t="s">
        <v>42693</v>
      </c>
      <c r="W2576" t="s">
        <v>37034</v>
      </c>
      <c r="X2576" t="s">
        <v>40442</v>
      </c>
    </row>
    <row r="2577" spans="1:24">
      <c r="A2577">
        <f>HYPERLINK("https://www.philgeps.gov.ph/GEPSNONPILOT/Tender/SplashBidNoticeAbstractUI.aspx?menuIndex=3&amp;refID=7043977&amp;Result=3","7043977")</f>
        <v>0</v>
      </c>
      <c r="B2577" t="s">
        <v>1023</v>
      </c>
      <c r="C2577" t="s">
        <v>5557</v>
      </c>
      <c r="D2577" t="s">
        <v>16265</v>
      </c>
      <c r="E2577" t="s">
        <v>18642</v>
      </c>
      <c r="F2577" t="s">
        <v>28198</v>
      </c>
      <c r="G2577" t="s">
        <v>28205</v>
      </c>
      <c r="H2577" t="s">
        <v>28215</v>
      </c>
      <c r="I2577" t="s">
        <v>4222</v>
      </c>
      <c r="J2577" t="s">
        <v>30101</v>
      </c>
      <c r="K2577" t="s">
        <v>36701</v>
      </c>
      <c r="M2577" t="s">
        <v>38054</v>
      </c>
      <c r="N2577" t="s">
        <v>40436</v>
      </c>
      <c r="O2577" t="s">
        <v>40437</v>
      </c>
      <c r="P2577">
        <v>0</v>
      </c>
      <c r="Q2577">
        <v>0</v>
      </c>
      <c r="R2577" t="s">
        <v>40439</v>
      </c>
      <c r="S2577" t="s">
        <v>40588</v>
      </c>
      <c r="T2577" t="s">
        <v>42108</v>
      </c>
      <c r="U2577" t="s">
        <v>44870</v>
      </c>
      <c r="W2577" t="s">
        <v>38054</v>
      </c>
      <c r="X2577" t="s">
        <v>40441</v>
      </c>
    </row>
    <row r="2578" spans="1:24">
      <c r="A2578">
        <f>HYPERLINK("https://www.philgeps.gov.ph/GEPSNONPILOT/Tender/SplashBidNoticeAbstractUI.aspx?menuIndex=3&amp;refID=7043961&amp;Result=3","7043961")</f>
        <v>0</v>
      </c>
      <c r="B2578" t="s">
        <v>1023</v>
      </c>
      <c r="C2578" t="s">
        <v>5558</v>
      </c>
      <c r="D2578" t="s">
        <v>16265</v>
      </c>
      <c r="E2578" t="s">
        <v>18643</v>
      </c>
      <c r="F2578" t="s">
        <v>28198</v>
      </c>
      <c r="G2578" t="s">
        <v>28205</v>
      </c>
      <c r="H2578" t="s">
        <v>28215</v>
      </c>
      <c r="I2578" t="s">
        <v>5100</v>
      </c>
      <c r="J2578" t="s">
        <v>28629</v>
      </c>
      <c r="K2578" t="s">
        <v>36701</v>
      </c>
      <c r="M2578" t="s">
        <v>38054</v>
      </c>
      <c r="N2578" t="s">
        <v>40436</v>
      </c>
      <c r="O2578" t="s">
        <v>40437</v>
      </c>
      <c r="P2578">
        <v>0</v>
      </c>
      <c r="Q2578">
        <v>0</v>
      </c>
      <c r="R2578" t="s">
        <v>40439</v>
      </c>
      <c r="S2578" t="s">
        <v>40588</v>
      </c>
      <c r="T2578" t="s">
        <v>42108</v>
      </c>
      <c r="U2578" t="s">
        <v>44871</v>
      </c>
      <c r="W2578" t="s">
        <v>38054</v>
      </c>
      <c r="X2578" t="s">
        <v>40441</v>
      </c>
    </row>
    <row r="2579" spans="1:24">
      <c r="A2579">
        <f>HYPERLINK("https://www.philgeps.gov.ph/GEPSNONPILOT/Tender/SplashBidNoticeAbstractUI.aspx?menuIndex=3&amp;refID=7043903&amp;Result=3","7043903")</f>
        <v>0</v>
      </c>
      <c r="B2579" t="s">
        <v>1049</v>
      </c>
      <c r="C2579" t="s">
        <v>5559</v>
      </c>
      <c r="D2579" t="s">
        <v>16222</v>
      </c>
      <c r="E2579" t="s">
        <v>18644</v>
      </c>
      <c r="F2579" t="s">
        <v>28200</v>
      </c>
      <c r="G2579" t="s">
        <v>28205</v>
      </c>
      <c r="H2579" t="s">
        <v>28215</v>
      </c>
      <c r="I2579" t="s">
        <v>5100</v>
      </c>
      <c r="J2579" t="s">
        <v>28415</v>
      </c>
      <c r="K2579" t="s">
        <v>36706</v>
      </c>
      <c r="M2579" t="s">
        <v>38082</v>
      </c>
      <c r="N2579" t="s">
        <v>40436</v>
      </c>
      <c r="O2579" t="s">
        <v>40437</v>
      </c>
      <c r="P2579">
        <v>0</v>
      </c>
      <c r="Q2579">
        <v>2</v>
      </c>
      <c r="R2579" t="s">
        <v>40439</v>
      </c>
      <c r="S2579" t="s">
        <v>40588</v>
      </c>
      <c r="T2579" t="s">
        <v>42164</v>
      </c>
      <c r="U2579" t="s">
        <v>44872</v>
      </c>
      <c r="W2579" t="s">
        <v>38082</v>
      </c>
      <c r="X2579" t="s">
        <v>40442</v>
      </c>
    </row>
    <row r="2580" spans="1:24">
      <c r="A2580">
        <f>HYPERLINK("https://www.philgeps.gov.ph/GEPSNONPILOT/Tender/SplashBidNoticeAbstractUI.aspx?menuIndex=3&amp;refID=7043838&amp;Result=3","7043838")</f>
        <v>0</v>
      </c>
      <c r="B2580" t="s">
        <v>1023</v>
      </c>
      <c r="C2580" t="s">
        <v>5538</v>
      </c>
      <c r="D2580" t="s">
        <v>16265</v>
      </c>
      <c r="E2580" t="s">
        <v>18645</v>
      </c>
      <c r="F2580" t="s">
        <v>28198</v>
      </c>
      <c r="G2580" t="s">
        <v>28210</v>
      </c>
      <c r="H2580" t="s">
        <v>28215</v>
      </c>
      <c r="I2580" t="s">
        <v>4200</v>
      </c>
      <c r="J2580" t="s">
        <v>30102</v>
      </c>
      <c r="K2580" t="s">
        <v>36687</v>
      </c>
      <c r="M2580" t="s">
        <v>38054</v>
      </c>
      <c r="N2580" t="s">
        <v>40436</v>
      </c>
      <c r="O2580" t="s">
        <v>40437</v>
      </c>
      <c r="P2580">
        <v>0</v>
      </c>
      <c r="Q2580">
        <v>0</v>
      </c>
      <c r="R2580" t="s">
        <v>40439</v>
      </c>
      <c r="S2580" t="s">
        <v>40588</v>
      </c>
      <c r="T2580" t="s">
        <v>42158</v>
      </c>
      <c r="U2580" t="s">
        <v>44873</v>
      </c>
      <c r="W2580" t="s">
        <v>38054</v>
      </c>
      <c r="X2580" t="s">
        <v>40442</v>
      </c>
    </row>
    <row r="2581" spans="1:24">
      <c r="A2581">
        <f>HYPERLINK("https://www.philgeps.gov.ph/GEPSNONPILOT/Tender/SplashBidNoticeAbstractUI.aspx?menuIndex=3&amp;refID=7043987&amp;Result=3","7043987")</f>
        <v>0</v>
      </c>
      <c r="B2581" t="s">
        <v>1023</v>
      </c>
      <c r="C2581" t="s">
        <v>5560</v>
      </c>
      <c r="D2581" t="s">
        <v>16265</v>
      </c>
      <c r="E2581" t="s">
        <v>18646</v>
      </c>
      <c r="F2581" t="s">
        <v>28198</v>
      </c>
      <c r="G2581" t="s">
        <v>28205</v>
      </c>
      <c r="H2581" t="s">
        <v>28215</v>
      </c>
      <c r="I2581" t="s">
        <v>4200</v>
      </c>
      <c r="J2581" t="s">
        <v>30103</v>
      </c>
      <c r="K2581" t="s">
        <v>36701</v>
      </c>
      <c r="M2581" t="s">
        <v>38054</v>
      </c>
      <c r="N2581" t="s">
        <v>40436</v>
      </c>
      <c r="O2581" t="s">
        <v>40437</v>
      </c>
      <c r="P2581">
        <v>0</v>
      </c>
      <c r="Q2581">
        <v>0</v>
      </c>
      <c r="R2581" t="s">
        <v>40439</v>
      </c>
      <c r="S2581" t="s">
        <v>40588</v>
      </c>
      <c r="T2581" t="s">
        <v>42108</v>
      </c>
      <c r="U2581" t="s">
        <v>44874</v>
      </c>
      <c r="W2581" t="s">
        <v>38054</v>
      </c>
      <c r="X2581" t="s">
        <v>40441</v>
      </c>
    </row>
    <row r="2582" spans="1:24">
      <c r="A2582">
        <f>HYPERLINK("https://www.philgeps.gov.ph/GEPSNONPILOT/Tender/SplashBidNoticeAbstractUI.aspx?menuIndex=3&amp;refID=7043834&amp;Result=3","7043834")</f>
        <v>0</v>
      </c>
      <c r="B2582" t="s">
        <v>1023</v>
      </c>
      <c r="C2582" t="s">
        <v>5546</v>
      </c>
      <c r="D2582" t="s">
        <v>16265</v>
      </c>
      <c r="E2582" t="s">
        <v>18645</v>
      </c>
      <c r="F2582" t="s">
        <v>28198</v>
      </c>
      <c r="G2582" t="s">
        <v>28210</v>
      </c>
      <c r="H2582" t="s">
        <v>28215</v>
      </c>
      <c r="I2582" t="s">
        <v>4200</v>
      </c>
      <c r="J2582" t="s">
        <v>30104</v>
      </c>
      <c r="K2582" t="s">
        <v>36687</v>
      </c>
      <c r="M2582" t="s">
        <v>38054</v>
      </c>
      <c r="N2582" t="s">
        <v>40436</v>
      </c>
      <c r="O2582" t="s">
        <v>40437</v>
      </c>
      <c r="P2582">
        <v>0</v>
      </c>
      <c r="Q2582">
        <v>1</v>
      </c>
      <c r="R2582" t="s">
        <v>40439</v>
      </c>
      <c r="S2582" t="s">
        <v>40588</v>
      </c>
      <c r="T2582" t="s">
        <v>42158</v>
      </c>
      <c r="U2582" t="s">
        <v>44875</v>
      </c>
      <c r="W2582" t="s">
        <v>38054</v>
      </c>
      <c r="X2582" t="s">
        <v>40442</v>
      </c>
    </row>
    <row r="2583" spans="1:24">
      <c r="A2583">
        <f>HYPERLINK("https://www.philgeps.gov.ph/GEPSNONPILOT/Tender/SplashBidNoticeAbstractUI.aspx?menuIndex=3&amp;refID=7044305&amp;Result=3","7044305")</f>
        <v>0</v>
      </c>
      <c r="B2583" t="s">
        <v>1050</v>
      </c>
      <c r="C2583" t="s">
        <v>5561</v>
      </c>
      <c r="D2583" t="s">
        <v>16241</v>
      </c>
      <c r="E2583" t="s">
        <v>18647</v>
      </c>
      <c r="F2583" t="s">
        <v>28198</v>
      </c>
      <c r="G2583" t="s">
        <v>28207</v>
      </c>
      <c r="H2583" t="s">
        <v>28214</v>
      </c>
      <c r="I2583" t="s">
        <v>3797</v>
      </c>
      <c r="J2583" t="s">
        <v>28362</v>
      </c>
      <c r="K2583" t="s">
        <v>36701</v>
      </c>
      <c r="M2583" t="s">
        <v>38083</v>
      </c>
      <c r="N2583" t="s">
        <v>40436</v>
      </c>
      <c r="O2583" t="s">
        <v>40437</v>
      </c>
      <c r="P2583">
        <v>0</v>
      </c>
      <c r="Q2583">
        <v>0</v>
      </c>
      <c r="R2583" t="s">
        <v>40439</v>
      </c>
      <c r="S2583" t="s">
        <v>40588</v>
      </c>
      <c r="T2583" t="s">
        <v>42262</v>
      </c>
      <c r="U2583" t="s">
        <v>44876</v>
      </c>
      <c r="W2583" t="s">
        <v>38083</v>
      </c>
      <c r="X2583" t="s">
        <v>40441</v>
      </c>
    </row>
    <row r="2584" spans="1:24">
      <c r="A2584">
        <f>HYPERLINK("https://www.philgeps.gov.ph/GEPSNONPILOT/Tender/SplashBidNoticeAbstractUI.aspx?menuIndex=3&amp;refID=7044145&amp;Result=3","7044145")</f>
        <v>0</v>
      </c>
      <c r="B2584" t="s">
        <v>70</v>
      </c>
      <c r="C2584" t="s">
        <v>5562</v>
      </c>
      <c r="D2584" t="s">
        <v>16214</v>
      </c>
      <c r="E2584" t="s">
        <v>18648</v>
      </c>
      <c r="F2584" t="s">
        <v>28198</v>
      </c>
      <c r="G2584" t="s">
        <v>28205</v>
      </c>
      <c r="H2584" t="s">
        <v>28214</v>
      </c>
      <c r="I2584" t="s">
        <v>3797</v>
      </c>
      <c r="J2584" t="s">
        <v>30105</v>
      </c>
      <c r="K2584" t="s">
        <v>36694</v>
      </c>
      <c r="M2584" t="s">
        <v>37042</v>
      </c>
      <c r="N2584" t="s">
        <v>40436</v>
      </c>
      <c r="O2584" t="s">
        <v>40437</v>
      </c>
      <c r="P2584">
        <v>0</v>
      </c>
      <c r="Q2584">
        <v>0</v>
      </c>
      <c r="R2584" t="s">
        <v>40439</v>
      </c>
      <c r="S2584" t="s">
        <v>40588</v>
      </c>
      <c r="T2584" t="s">
        <v>42176</v>
      </c>
      <c r="U2584" t="s">
        <v>44877</v>
      </c>
      <c r="W2584" t="s">
        <v>37042</v>
      </c>
      <c r="X2584" t="s">
        <v>40441</v>
      </c>
    </row>
    <row r="2585" spans="1:24">
      <c r="A2585">
        <f>HYPERLINK("https://www.philgeps.gov.ph/GEPSNONPILOT/Tender/SplashBidNoticeAbstractUI.aspx?menuIndex=3&amp;refID=7044304&amp;Result=3","7044304")</f>
        <v>0</v>
      </c>
      <c r="B2585" t="s">
        <v>1050</v>
      </c>
      <c r="C2585" t="s">
        <v>5563</v>
      </c>
      <c r="D2585" t="s">
        <v>16241</v>
      </c>
      <c r="E2585" t="s">
        <v>16766</v>
      </c>
      <c r="F2585" t="s">
        <v>28198</v>
      </c>
      <c r="G2585" t="s">
        <v>28207</v>
      </c>
      <c r="H2585" t="s">
        <v>28214</v>
      </c>
      <c r="I2585" t="s">
        <v>3797</v>
      </c>
      <c r="J2585" t="s">
        <v>28361</v>
      </c>
      <c r="K2585" t="s">
        <v>36701</v>
      </c>
      <c r="M2585" t="s">
        <v>38083</v>
      </c>
      <c r="N2585" t="s">
        <v>40436</v>
      </c>
      <c r="O2585" t="s">
        <v>40437</v>
      </c>
      <c r="P2585">
        <v>0</v>
      </c>
      <c r="Q2585">
        <v>0</v>
      </c>
      <c r="R2585" t="s">
        <v>40439</v>
      </c>
      <c r="S2585" t="s">
        <v>40588</v>
      </c>
      <c r="T2585" t="s">
        <v>42262</v>
      </c>
      <c r="U2585" t="s">
        <v>44878</v>
      </c>
      <c r="W2585" t="s">
        <v>38083</v>
      </c>
      <c r="X2585" t="s">
        <v>40441</v>
      </c>
    </row>
    <row r="2586" spans="1:24">
      <c r="A2586">
        <f>HYPERLINK("https://www.philgeps.gov.ph/GEPSNONPILOT/Tender/SplashBidNoticeAbstractUI.aspx?menuIndex=3&amp;refID=7044202&amp;Result=3","7044202")</f>
        <v>0</v>
      </c>
      <c r="B2586" t="s">
        <v>1051</v>
      </c>
      <c r="C2586" t="s">
        <v>5564</v>
      </c>
      <c r="D2586" t="s">
        <v>16196</v>
      </c>
      <c r="E2586" t="s">
        <v>18649</v>
      </c>
      <c r="F2586" t="s">
        <v>28198</v>
      </c>
      <c r="G2586" t="s">
        <v>28207</v>
      </c>
      <c r="H2586" t="s">
        <v>28215</v>
      </c>
      <c r="I2586" t="s">
        <v>5100</v>
      </c>
      <c r="J2586" t="s">
        <v>28593</v>
      </c>
      <c r="K2586" t="s">
        <v>36701</v>
      </c>
      <c r="M2586" t="s">
        <v>38084</v>
      </c>
      <c r="N2586" t="s">
        <v>40436</v>
      </c>
      <c r="O2586" t="s">
        <v>40437</v>
      </c>
      <c r="P2586">
        <v>0</v>
      </c>
      <c r="Q2586">
        <v>0</v>
      </c>
      <c r="R2586" t="s">
        <v>40439</v>
      </c>
      <c r="S2586" t="s">
        <v>40588</v>
      </c>
      <c r="T2586" t="s">
        <v>42324</v>
      </c>
      <c r="U2586" t="s">
        <v>44879</v>
      </c>
      <c r="V2586" t="s">
        <v>54079</v>
      </c>
      <c r="W2586" t="s">
        <v>55470</v>
      </c>
      <c r="X2586" t="s">
        <v>40441</v>
      </c>
    </row>
    <row r="2587" spans="1:24">
      <c r="A2587">
        <f>HYPERLINK("https://www.philgeps.gov.ph/GEPSNONPILOT/Tender/SplashBidNoticeAbstractUI.aspx?menuIndex=3&amp;refID=7044006&amp;Result=3","7044006")</f>
        <v>0</v>
      </c>
      <c r="B2587" t="s">
        <v>1023</v>
      </c>
      <c r="C2587" t="s">
        <v>5565</v>
      </c>
      <c r="D2587" t="s">
        <v>16265</v>
      </c>
      <c r="E2587" t="s">
        <v>18650</v>
      </c>
      <c r="F2587" t="s">
        <v>28198</v>
      </c>
      <c r="G2587" t="s">
        <v>28205</v>
      </c>
      <c r="H2587" t="s">
        <v>28215</v>
      </c>
      <c r="I2587" t="s">
        <v>4200</v>
      </c>
      <c r="J2587" t="s">
        <v>30106</v>
      </c>
      <c r="K2587" t="s">
        <v>36701</v>
      </c>
      <c r="M2587" t="s">
        <v>38054</v>
      </c>
      <c r="N2587" t="s">
        <v>40436</v>
      </c>
      <c r="O2587" t="s">
        <v>40437</v>
      </c>
      <c r="P2587">
        <v>0</v>
      </c>
      <c r="Q2587">
        <v>0</v>
      </c>
      <c r="R2587" t="s">
        <v>40439</v>
      </c>
      <c r="S2587" t="s">
        <v>40588</v>
      </c>
      <c r="T2587" t="s">
        <v>42108</v>
      </c>
      <c r="U2587" t="s">
        <v>44880</v>
      </c>
      <c r="W2587" t="s">
        <v>38054</v>
      </c>
      <c r="X2587" t="s">
        <v>40441</v>
      </c>
    </row>
    <row r="2588" spans="1:24">
      <c r="A2588">
        <f>HYPERLINK("https://www.philgeps.gov.ph/GEPSNONPILOT/Tender/SplashBidNoticeAbstractUI.aspx?menuIndex=3&amp;refID=7044175&amp;Result=3","7044175")</f>
        <v>0</v>
      </c>
      <c r="B2588" t="s">
        <v>70</v>
      </c>
      <c r="C2588" t="s">
        <v>5566</v>
      </c>
      <c r="D2588" t="s">
        <v>16214</v>
      </c>
      <c r="E2588" t="s">
        <v>18651</v>
      </c>
      <c r="F2588" t="s">
        <v>28198</v>
      </c>
      <c r="G2588" t="s">
        <v>28205</v>
      </c>
      <c r="H2588" t="s">
        <v>28214</v>
      </c>
      <c r="I2588" t="s">
        <v>3797</v>
      </c>
      <c r="J2588" t="s">
        <v>30107</v>
      </c>
      <c r="K2588" t="s">
        <v>36701</v>
      </c>
      <c r="M2588" t="s">
        <v>37042</v>
      </c>
      <c r="N2588" t="s">
        <v>40436</v>
      </c>
      <c r="O2588" t="s">
        <v>40437</v>
      </c>
      <c r="P2588">
        <v>0</v>
      </c>
      <c r="Q2588">
        <v>0</v>
      </c>
      <c r="R2588" t="s">
        <v>40439</v>
      </c>
      <c r="S2588" t="s">
        <v>40588</v>
      </c>
      <c r="T2588" t="s">
        <v>42176</v>
      </c>
      <c r="U2588" t="s">
        <v>44881</v>
      </c>
      <c r="W2588" t="s">
        <v>37042</v>
      </c>
      <c r="X2588" t="s">
        <v>40441</v>
      </c>
    </row>
    <row r="2589" spans="1:24">
      <c r="A2589">
        <f>HYPERLINK("https://www.philgeps.gov.ph/GEPSNONPILOT/Tender/SplashBidNoticeAbstractUI.aspx?menuIndex=3&amp;refID=7044303&amp;Result=3","7044303")</f>
        <v>0</v>
      </c>
      <c r="B2589" t="s">
        <v>1050</v>
      </c>
      <c r="C2589" t="s">
        <v>5567</v>
      </c>
      <c r="D2589" t="s">
        <v>16241</v>
      </c>
      <c r="E2589" t="s">
        <v>16473</v>
      </c>
      <c r="F2589" t="s">
        <v>28198</v>
      </c>
      <c r="G2589" t="s">
        <v>28207</v>
      </c>
      <c r="H2589" t="s">
        <v>28214</v>
      </c>
      <c r="I2589" t="s">
        <v>3797</v>
      </c>
      <c r="J2589" t="s">
        <v>29401</v>
      </c>
      <c r="K2589" t="s">
        <v>36701</v>
      </c>
      <c r="M2589" t="s">
        <v>38083</v>
      </c>
      <c r="N2589" t="s">
        <v>40436</v>
      </c>
      <c r="O2589" t="s">
        <v>40437</v>
      </c>
      <c r="P2589">
        <v>0</v>
      </c>
      <c r="Q2589">
        <v>0</v>
      </c>
      <c r="R2589" t="s">
        <v>40439</v>
      </c>
      <c r="S2589" t="s">
        <v>40588</v>
      </c>
      <c r="T2589" t="s">
        <v>42262</v>
      </c>
      <c r="U2589" t="s">
        <v>44882</v>
      </c>
      <c r="W2589" t="s">
        <v>38083</v>
      </c>
      <c r="X2589" t="s">
        <v>40441</v>
      </c>
    </row>
    <row r="2590" spans="1:24">
      <c r="A2590">
        <f>HYPERLINK("https://www.philgeps.gov.ph/GEPSNONPILOT/Tender/SplashBidNoticeAbstractUI.aspx?menuIndex=3&amp;refID=7044014&amp;Result=3","7044014")</f>
        <v>0</v>
      </c>
      <c r="B2590" t="s">
        <v>1023</v>
      </c>
      <c r="C2590" t="s">
        <v>5568</v>
      </c>
      <c r="D2590" t="s">
        <v>16265</v>
      </c>
      <c r="E2590" t="s">
        <v>18652</v>
      </c>
      <c r="F2590" t="s">
        <v>28198</v>
      </c>
      <c r="G2590" t="s">
        <v>28205</v>
      </c>
      <c r="H2590" t="s">
        <v>28215</v>
      </c>
      <c r="I2590" t="s">
        <v>28234</v>
      </c>
      <c r="J2590" t="s">
        <v>30108</v>
      </c>
      <c r="K2590" t="s">
        <v>36701</v>
      </c>
      <c r="M2590" t="s">
        <v>38054</v>
      </c>
      <c r="N2590" t="s">
        <v>40436</v>
      </c>
      <c r="O2590" t="s">
        <v>40437</v>
      </c>
      <c r="P2590">
        <v>0</v>
      </c>
      <c r="Q2590">
        <v>2</v>
      </c>
      <c r="R2590" t="s">
        <v>40439</v>
      </c>
      <c r="S2590" t="s">
        <v>40588</v>
      </c>
      <c r="T2590" t="s">
        <v>42108</v>
      </c>
      <c r="U2590" t="s">
        <v>44883</v>
      </c>
      <c r="W2590" t="s">
        <v>38054</v>
      </c>
      <c r="X2590" t="s">
        <v>40441</v>
      </c>
    </row>
    <row r="2591" spans="1:24">
      <c r="A2591">
        <f>HYPERLINK("https://www.philgeps.gov.ph/GEPSNONPILOT/Tender/SplashBidNoticeAbstractUI.aspx?menuIndex=3&amp;refID=7044164&amp;Result=3","7044164")</f>
        <v>0</v>
      </c>
      <c r="B2591" t="s">
        <v>70</v>
      </c>
      <c r="C2591" t="s">
        <v>5569</v>
      </c>
      <c r="D2591" t="s">
        <v>16214</v>
      </c>
      <c r="E2591" t="s">
        <v>18653</v>
      </c>
      <c r="F2591" t="s">
        <v>28198</v>
      </c>
      <c r="G2591" t="s">
        <v>28205</v>
      </c>
      <c r="H2591" t="s">
        <v>28214</v>
      </c>
      <c r="I2591" t="s">
        <v>3797</v>
      </c>
      <c r="J2591" t="s">
        <v>30109</v>
      </c>
      <c r="K2591" t="s">
        <v>36701</v>
      </c>
      <c r="M2591" t="s">
        <v>37042</v>
      </c>
      <c r="N2591" t="s">
        <v>40436</v>
      </c>
      <c r="O2591" t="s">
        <v>40437</v>
      </c>
      <c r="P2591">
        <v>0</v>
      </c>
      <c r="Q2591">
        <v>0</v>
      </c>
      <c r="R2591" t="s">
        <v>40439</v>
      </c>
      <c r="S2591" t="s">
        <v>40588</v>
      </c>
      <c r="T2591" t="s">
        <v>42176</v>
      </c>
      <c r="U2591" t="s">
        <v>44884</v>
      </c>
      <c r="W2591" t="s">
        <v>37042</v>
      </c>
      <c r="X2591" t="s">
        <v>40441</v>
      </c>
    </row>
    <row r="2592" spans="1:24">
      <c r="A2592">
        <f>HYPERLINK("https://www.philgeps.gov.ph/GEPSNONPILOT/Tender/SplashBidNoticeAbstractUI.aspx?menuIndex=3&amp;refID=7044167&amp;Result=3","7044167")</f>
        <v>0</v>
      </c>
      <c r="B2592" t="s">
        <v>70</v>
      </c>
      <c r="C2592" t="s">
        <v>5570</v>
      </c>
      <c r="D2592" t="s">
        <v>16214</v>
      </c>
      <c r="E2592" t="s">
        <v>18654</v>
      </c>
      <c r="F2592" t="s">
        <v>28198</v>
      </c>
      <c r="G2592" t="s">
        <v>28205</v>
      </c>
      <c r="H2592" t="s">
        <v>28214</v>
      </c>
      <c r="I2592" t="s">
        <v>3797</v>
      </c>
      <c r="J2592" t="s">
        <v>30110</v>
      </c>
      <c r="K2592" t="s">
        <v>36701</v>
      </c>
      <c r="M2592" t="s">
        <v>37042</v>
      </c>
      <c r="N2592" t="s">
        <v>40436</v>
      </c>
      <c r="O2592" t="s">
        <v>40437</v>
      </c>
      <c r="P2592">
        <v>0</v>
      </c>
      <c r="Q2592">
        <v>0</v>
      </c>
      <c r="R2592" t="s">
        <v>40439</v>
      </c>
      <c r="S2592" t="s">
        <v>40588</v>
      </c>
      <c r="T2592" t="s">
        <v>42176</v>
      </c>
      <c r="U2592" t="s">
        <v>44885</v>
      </c>
      <c r="W2592" t="s">
        <v>37042</v>
      </c>
      <c r="X2592" t="s">
        <v>40441</v>
      </c>
    </row>
    <row r="2593" spans="1:24">
      <c r="A2593">
        <f>HYPERLINK("https://www.philgeps.gov.ph/GEPSNONPILOT/Tender/SplashBidNoticeAbstractUI.aspx?menuIndex=3&amp;refID=7044194&amp;Result=3","7044194")</f>
        <v>0</v>
      </c>
      <c r="B2593" t="s">
        <v>1051</v>
      </c>
      <c r="C2593" t="s">
        <v>5571</v>
      </c>
      <c r="D2593" t="s">
        <v>16196</v>
      </c>
      <c r="E2593" t="s">
        <v>18655</v>
      </c>
      <c r="F2593" t="s">
        <v>28198</v>
      </c>
      <c r="G2593" t="s">
        <v>28207</v>
      </c>
      <c r="H2593" t="s">
        <v>28215</v>
      </c>
      <c r="I2593" t="s">
        <v>5100</v>
      </c>
      <c r="J2593" t="s">
        <v>28386</v>
      </c>
      <c r="K2593" t="s">
        <v>36701</v>
      </c>
      <c r="M2593" t="s">
        <v>38084</v>
      </c>
      <c r="N2593" t="s">
        <v>40436</v>
      </c>
      <c r="O2593" t="s">
        <v>40437</v>
      </c>
      <c r="P2593">
        <v>0</v>
      </c>
      <c r="Q2593">
        <v>0</v>
      </c>
      <c r="R2593" t="s">
        <v>40439</v>
      </c>
      <c r="S2593" t="s">
        <v>40588</v>
      </c>
      <c r="T2593" t="s">
        <v>42324</v>
      </c>
      <c r="U2593" t="s">
        <v>44886</v>
      </c>
      <c r="V2593" t="s">
        <v>54079</v>
      </c>
      <c r="W2593" t="s">
        <v>55470</v>
      </c>
      <c r="X2593" t="s">
        <v>40441</v>
      </c>
    </row>
    <row r="2594" spans="1:24">
      <c r="A2594">
        <f>HYPERLINK("https://www.philgeps.gov.ph/GEPSNONPILOT/Tender/SplashBidNoticeAbstractUI.aspx?menuIndex=3&amp;refID=7044315&amp;Result=3","7044315")</f>
        <v>0</v>
      </c>
      <c r="B2594" t="s">
        <v>248</v>
      </c>
      <c r="C2594" t="s">
        <v>5572</v>
      </c>
      <c r="D2594" t="s">
        <v>16221</v>
      </c>
      <c r="E2594" t="s">
        <v>18656</v>
      </c>
      <c r="F2594" t="s">
        <v>28198</v>
      </c>
      <c r="G2594" t="s">
        <v>28207</v>
      </c>
      <c r="H2594" t="s">
        <v>28215</v>
      </c>
      <c r="I2594" t="s">
        <v>8888</v>
      </c>
      <c r="J2594" t="s">
        <v>28653</v>
      </c>
      <c r="K2594" t="s">
        <v>36688</v>
      </c>
      <c r="M2594" t="s">
        <v>37224</v>
      </c>
      <c r="N2594" t="s">
        <v>40436</v>
      </c>
      <c r="O2594" t="s">
        <v>40437</v>
      </c>
      <c r="P2594">
        <v>0</v>
      </c>
      <c r="Q2594">
        <v>2</v>
      </c>
      <c r="R2594" t="s">
        <v>40439</v>
      </c>
      <c r="S2594" t="s">
        <v>40588</v>
      </c>
      <c r="T2594" t="s">
        <v>42158</v>
      </c>
      <c r="U2594" t="s">
        <v>44887</v>
      </c>
      <c r="W2594" t="s">
        <v>37224</v>
      </c>
      <c r="X2594" t="s">
        <v>40441</v>
      </c>
    </row>
    <row r="2595" spans="1:24">
      <c r="A2595">
        <f>HYPERLINK("https://www.philgeps.gov.ph/GEPSNONPILOT/Tender/SplashBidNoticeAbstractUI.aspx?menuIndex=3&amp;refID=7044159&amp;Result=3","7044159")</f>
        <v>0</v>
      </c>
      <c r="B2595" t="s">
        <v>70</v>
      </c>
      <c r="C2595" t="s">
        <v>5573</v>
      </c>
      <c r="D2595" t="s">
        <v>16214</v>
      </c>
      <c r="E2595" t="s">
        <v>18657</v>
      </c>
      <c r="F2595" t="s">
        <v>28198</v>
      </c>
      <c r="G2595" t="s">
        <v>28205</v>
      </c>
      <c r="H2595" t="s">
        <v>28214</v>
      </c>
      <c r="I2595" t="s">
        <v>3797</v>
      </c>
      <c r="J2595" t="s">
        <v>30111</v>
      </c>
      <c r="K2595" t="s">
        <v>36701</v>
      </c>
      <c r="M2595" t="s">
        <v>37042</v>
      </c>
      <c r="N2595" t="s">
        <v>40436</v>
      </c>
      <c r="O2595" t="s">
        <v>40437</v>
      </c>
      <c r="P2595">
        <v>0</v>
      </c>
      <c r="Q2595">
        <v>0</v>
      </c>
      <c r="R2595" t="s">
        <v>40439</v>
      </c>
      <c r="S2595" t="s">
        <v>40588</v>
      </c>
      <c r="T2595" t="s">
        <v>42176</v>
      </c>
      <c r="U2595" t="s">
        <v>44888</v>
      </c>
      <c r="W2595" t="s">
        <v>37042</v>
      </c>
      <c r="X2595" t="s">
        <v>40441</v>
      </c>
    </row>
    <row r="2596" spans="1:24">
      <c r="A2596">
        <f>HYPERLINK("https://www.philgeps.gov.ph/GEPSNONPILOT/Tender/SplashBidNoticeAbstractUI.aspx?menuIndex=3&amp;refID=7044348&amp;Result=3","7044348")</f>
        <v>0</v>
      </c>
      <c r="B2596" t="s">
        <v>1052</v>
      </c>
      <c r="C2596" t="s">
        <v>5574</v>
      </c>
      <c r="D2596" t="s">
        <v>16198</v>
      </c>
      <c r="E2596" t="s">
        <v>18658</v>
      </c>
      <c r="F2596" t="s">
        <v>28198</v>
      </c>
      <c r="G2596" t="s">
        <v>28207</v>
      </c>
      <c r="H2596" t="s">
        <v>28215</v>
      </c>
      <c r="I2596" t="s">
        <v>5082</v>
      </c>
      <c r="J2596" t="s">
        <v>28345</v>
      </c>
      <c r="K2596" t="s">
        <v>36723</v>
      </c>
      <c r="M2596" t="s">
        <v>38085</v>
      </c>
      <c r="N2596" t="s">
        <v>40436</v>
      </c>
      <c r="O2596" t="s">
        <v>40437</v>
      </c>
      <c r="P2596">
        <v>0</v>
      </c>
      <c r="Q2596">
        <v>1</v>
      </c>
      <c r="R2596" t="s">
        <v>40439</v>
      </c>
      <c r="S2596" t="s">
        <v>40588</v>
      </c>
      <c r="T2596" t="s">
        <v>42161</v>
      </c>
      <c r="U2596" t="s">
        <v>44889</v>
      </c>
      <c r="W2596" t="s">
        <v>38085</v>
      </c>
      <c r="X2596" t="s">
        <v>40440</v>
      </c>
    </row>
    <row r="2597" spans="1:24">
      <c r="A2597">
        <f>HYPERLINK("https://www.philgeps.gov.ph/GEPSNONPILOT/Tender/SplashBidNoticeAbstractUI.aspx?menuIndex=3&amp;refID=7044163&amp;Result=3","7044163")</f>
        <v>0</v>
      </c>
      <c r="B2597" t="s">
        <v>1051</v>
      </c>
      <c r="C2597" t="s">
        <v>5575</v>
      </c>
      <c r="D2597" t="s">
        <v>16196</v>
      </c>
      <c r="E2597" t="s">
        <v>18659</v>
      </c>
      <c r="F2597" t="s">
        <v>28198</v>
      </c>
      <c r="G2597" t="s">
        <v>28207</v>
      </c>
      <c r="H2597" t="s">
        <v>28215</v>
      </c>
      <c r="I2597" t="s">
        <v>5100</v>
      </c>
      <c r="J2597" t="s">
        <v>28386</v>
      </c>
      <c r="K2597" t="s">
        <v>36701</v>
      </c>
      <c r="M2597" t="s">
        <v>38084</v>
      </c>
      <c r="N2597" t="s">
        <v>40436</v>
      </c>
      <c r="O2597" t="s">
        <v>40437</v>
      </c>
      <c r="P2597">
        <v>0</v>
      </c>
      <c r="Q2597">
        <v>0</v>
      </c>
      <c r="R2597" t="s">
        <v>40439</v>
      </c>
      <c r="S2597" t="s">
        <v>40588</v>
      </c>
      <c r="T2597" t="s">
        <v>42324</v>
      </c>
      <c r="U2597" t="s">
        <v>44890</v>
      </c>
      <c r="V2597" t="s">
        <v>54079</v>
      </c>
      <c r="W2597" t="s">
        <v>55470</v>
      </c>
      <c r="X2597" t="s">
        <v>40441</v>
      </c>
    </row>
    <row r="2598" spans="1:24">
      <c r="A2598">
        <f>HYPERLINK("https://www.philgeps.gov.ph/GEPSNONPILOT/Tender/SplashBidNoticeAbstractUI.aspx?menuIndex=3&amp;refID=7044156&amp;Result=3","7044156")</f>
        <v>0</v>
      </c>
      <c r="B2598" t="s">
        <v>70</v>
      </c>
      <c r="C2598" t="s">
        <v>5576</v>
      </c>
      <c r="D2598" t="s">
        <v>16214</v>
      </c>
      <c r="E2598" t="s">
        <v>18660</v>
      </c>
      <c r="F2598" t="s">
        <v>28198</v>
      </c>
      <c r="G2598" t="s">
        <v>28205</v>
      </c>
      <c r="H2598" t="s">
        <v>28214</v>
      </c>
      <c r="I2598" t="s">
        <v>3797</v>
      </c>
      <c r="J2598" t="s">
        <v>30112</v>
      </c>
      <c r="K2598" t="s">
        <v>36701</v>
      </c>
      <c r="M2598" t="s">
        <v>37042</v>
      </c>
      <c r="N2598" t="s">
        <v>40436</v>
      </c>
      <c r="O2598" t="s">
        <v>40437</v>
      </c>
      <c r="P2598">
        <v>0</v>
      </c>
      <c r="Q2598">
        <v>0</v>
      </c>
      <c r="R2598" t="s">
        <v>40439</v>
      </c>
      <c r="S2598" t="s">
        <v>40588</v>
      </c>
      <c r="T2598" t="s">
        <v>42176</v>
      </c>
      <c r="U2598" t="s">
        <v>44891</v>
      </c>
      <c r="W2598" t="s">
        <v>37042</v>
      </c>
      <c r="X2598" t="s">
        <v>40441</v>
      </c>
    </row>
    <row r="2599" spans="1:24">
      <c r="A2599">
        <f>HYPERLINK("https://www.philgeps.gov.ph/GEPSNONPILOT/Tender/SplashBidNoticeAbstractUI.aspx?menuIndex=3&amp;refID=7044347&amp;Result=3","7044347")</f>
        <v>0</v>
      </c>
      <c r="B2599" t="s">
        <v>1053</v>
      </c>
      <c r="C2599" t="s">
        <v>5577</v>
      </c>
      <c r="D2599" t="s">
        <v>16222</v>
      </c>
      <c r="E2599" t="s">
        <v>18661</v>
      </c>
      <c r="F2599" t="s">
        <v>28198</v>
      </c>
      <c r="G2599" t="s">
        <v>28205</v>
      </c>
      <c r="H2599" t="s">
        <v>28215</v>
      </c>
      <c r="I2599" t="s">
        <v>5100</v>
      </c>
      <c r="J2599" t="s">
        <v>30113</v>
      </c>
      <c r="K2599" t="s">
        <v>36706</v>
      </c>
      <c r="M2599" t="s">
        <v>38086</v>
      </c>
      <c r="N2599" t="s">
        <v>40436</v>
      </c>
      <c r="O2599" t="s">
        <v>40437</v>
      </c>
      <c r="P2599">
        <v>0</v>
      </c>
      <c r="Q2599">
        <v>0</v>
      </c>
      <c r="R2599" t="s">
        <v>40439</v>
      </c>
      <c r="S2599" t="s">
        <v>40588</v>
      </c>
      <c r="T2599" t="s">
        <v>42100</v>
      </c>
      <c r="U2599" t="s">
        <v>44892</v>
      </c>
      <c r="W2599" t="s">
        <v>38086</v>
      </c>
      <c r="X2599" t="s">
        <v>40440</v>
      </c>
    </row>
    <row r="2600" spans="1:24">
      <c r="A2600">
        <f>HYPERLINK("https://www.philgeps.gov.ph/GEPSNONPILOT/Tender/SplashBidNoticeAbstractUI.aspx?menuIndex=3&amp;refID=7044344&amp;Result=3","7044344")</f>
        <v>0</v>
      </c>
      <c r="B2600" t="s">
        <v>1054</v>
      </c>
      <c r="C2600" t="s">
        <v>5578</v>
      </c>
      <c r="D2600" t="s">
        <v>16265</v>
      </c>
      <c r="E2600" t="s">
        <v>16522</v>
      </c>
      <c r="F2600" t="s">
        <v>28198</v>
      </c>
      <c r="G2600" t="s">
        <v>28205</v>
      </c>
      <c r="H2600" t="s">
        <v>28215</v>
      </c>
      <c r="I2600" t="s">
        <v>28235</v>
      </c>
      <c r="J2600" t="s">
        <v>30114</v>
      </c>
      <c r="K2600" t="s">
        <v>36693</v>
      </c>
      <c r="M2600" t="s">
        <v>38087</v>
      </c>
      <c r="N2600" t="s">
        <v>40436</v>
      </c>
      <c r="O2600" t="s">
        <v>40437</v>
      </c>
      <c r="P2600">
        <v>0</v>
      </c>
      <c r="Q2600">
        <v>0</v>
      </c>
      <c r="R2600" t="s">
        <v>40439</v>
      </c>
      <c r="S2600" t="s">
        <v>40588</v>
      </c>
      <c r="T2600" t="s">
        <v>42134</v>
      </c>
      <c r="U2600" t="s">
        <v>44893</v>
      </c>
      <c r="W2600" t="s">
        <v>38087</v>
      </c>
      <c r="X2600" t="s">
        <v>40440</v>
      </c>
    </row>
    <row r="2601" spans="1:24">
      <c r="A2601">
        <f>HYPERLINK("https://www.philgeps.gov.ph/GEPSNONPILOT/Tender/SplashBidNoticeAbstractUI.aspx?menuIndex=3&amp;refID=7044152&amp;Result=3","7044152")</f>
        <v>0</v>
      </c>
      <c r="B2601" t="s">
        <v>70</v>
      </c>
      <c r="C2601" t="s">
        <v>5579</v>
      </c>
      <c r="D2601" t="s">
        <v>16214</v>
      </c>
      <c r="E2601" t="s">
        <v>18662</v>
      </c>
      <c r="F2601" t="s">
        <v>28198</v>
      </c>
      <c r="G2601" t="s">
        <v>28205</v>
      </c>
      <c r="H2601" t="s">
        <v>28214</v>
      </c>
      <c r="I2601" t="s">
        <v>3797</v>
      </c>
      <c r="J2601" t="s">
        <v>30115</v>
      </c>
      <c r="K2601" t="s">
        <v>36715</v>
      </c>
      <c r="M2601" t="s">
        <v>37042</v>
      </c>
      <c r="N2601" t="s">
        <v>40436</v>
      </c>
      <c r="O2601" t="s">
        <v>40437</v>
      </c>
      <c r="P2601">
        <v>0</v>
      </c>
      <c r="Q2601">
        <v>0</v>
      </c>
      <c r="R2601" t="s">
        <v>40439</v>
      </c>
      <c r="S2601" t="s">
        <v>40588</v>
      </c>
      <c r="T2601" t="s">
        <v>42176</v>
      </c>
      <c r="U2601" t="s">
        <v>44894</v>
      </c>
      <c r="W2601" t="s">
        <v>37042</v>
      </c>
      <c r="X2601" t="s">
        <v>40441</v>
      </c>
    </row>
    <row r="2602" spans="1:24">
      <c r="A2602">
        <f>HYPERLINK("https://www.philgeps.gov.ph/GEPSNONPILOT/Tender/SplashBidNoticeAbstractUI.aspx?menuIndex=3&amp;refID=7044350&amp;Result=3","7044350")</f>
        <v>0</v>
      </c>
      <c r="B2602" t="s">
        <v>903</v>
      </c>
      <c r="C2602" t="s">
        <v>5580</v>
      </c>
      <c r="D2602" t="s">
        <v>16210</v>
      </c>
      <c r="E2602" t="s">
        <v>18663</v>
      </c>
      <c r="F2602" t="s">
        <v>28198</v>
      </c>
      <c r="G2602" t="s">
        <v>28207</v>
      </c>
      <c r="H2602" t="s">
        <v>28215</v>
      </c>
      <c r="I2602" t="s">
        <v>4200</v>
      </c>
      <c r="J2602" t="s">
        <v>28751</v>
      </c>
      <c r="K2602" t="s">
        <v>36688</v>
      </c>
      <c r="M2602" t="s">
        <v>37921</v>
      </c>
      <c r="N2602" t="s">
        <v>40436</v>
      </c>
      <c r="O2602" t="s">
        <v>40437</v>
      </c>
      <c r="P2602">
        <v>0</v>
      </c>
      <c r="Q2602">
        <v>5</v>
      </c>
      <c r="R2602" t="s">
        <v>40439</v>
      </c>
      <c r="S2602" t="s">
        <v>40588</v>
      </c>
      <c r="T2602" t="s">
        <v>42111</v>
      </c>
      <c r="U2602" t="s">
        <v>44895</v>
      </c>
      <c r="W2602" t="s">
        <v>37921</v>
      </c>
      <c r="X2602" t="s">
        <v>40440</v>
      </c>
    </row>
    <row r="2603" spans="1:24">
      <c r="A2603">
        <f>HYPERLINK("https://www.philgeps.gov.ph/GEPSNONPILOT/Tender/SplashBidNoticeAbstractUI.aspx?menuIndex=3&amp;refID=7044351&amp;Result=3","7044351")</f>
        <v>0</v>
      </c>
      <c r="B2603" t="s">
        <v>1055</v>
      </c>
      <c r="C2603" t="s">
        <v>5581</v>
      </c>
      <c r="D2603" t="s">
        <v>16196</v>
      </c>
      <c r="E2603" t="s">
        <v>18071</v>
      </c>
      <c r="F2603" t="s">
        <v>28198</v>
      </c>
      <c r="G2603" t="s">
        <v>28205</v>
      </c>
      <c r="H2603" t="s">
        <v>28214</v>
      </c>
      <c r="I2603" t="s">
        <v>3797</v>
      </c>
      <c r="J2603" t="s">
        <v>28415</v>
      </c>
      <c r="K2603" t="s">
        <v>36694</v>
      </c>
      <c r="M2603" t="s">
        <v>38088</v>
      </c>
      <c r="N2603" t="s">
        <v>40436</v>
      </c>
      <c r="O2603" t="s">
        <v>40437</v>
      </c>
      <c r="P2603">
        <v>0</v>
      </c>
      <c r="Q2603">
        <v>0</v>
      </c>
      <c r="R2603" t="s">
        <v>40439</v>
      </c>
      <c r="S2603" t="s">
        <v>40588</v>
      </c>
      <c r="T2603" t="s">
        <v>42175</v>
      </c>
      <c r="U2603" t="s">
        <v>44896</v>
      </c>
      <c r="V2603" t="s">
        <v>54080</v>
      </c>
      <c r="W2603" t="s">
        <v>38088</v>
      </c>
      <c r="X2603" t="s">
        <v>40440</v>
      </c>
    </row>
    <row r="2604" spans="1:24">
      <c r="A2604">
        <f>HYPERLINK("https://www.philgeps.gov.ph/GEPSNONPILOT/Tender/SplashBidNoticeAbstractUI.aspx?menuIndex=3&amp;refID=7044357&amp;Result=3","7044357")</f>
        <v>0</v>
      </c>
      <c r="B2604" t="s">
        <v>1056</v>
      </c>
      <c r="C2604" t="s">
        <v>5582</v>
      </c>
      <c r="E2604" t="s">
        <v>18664</v>
      </c>
      <c r="F2604" t="s">
        <v>28198</v>
      </c>
      <c r="G2604" t="s">
        <v>28207</v>
      </c>
      <c r="H2604" t="s">
        <v>28217</v>
      </c>
      <c r="I2604" t="s">
        <v>3797</v>
      </c>
      <c r="J2604" t="s">
        <v>30116</v>
      </c>
      <c r="K2604" t="s">
        <v>36687</v>
      </c>
      <c r="M2604" t="s">
        <v>38089</v>
      </c>
      <c r="N2604" t="s">
        <v>40436</v>
      </c>
      <c r="O2604" t="s">
        <v>40437</v>
      </c>
      <c r="P2604">
        <v>0</v>
      </c>
      <c r="Q2604">
        <v>1</v>
      </c>
      <c r="R2604" t="s">
        <v>40439</v>
      </c>
      <c r="S2604" t="s">
        <v>40588</v>
      </c>
      <c r="T2604" t="s">
        <v>42325</v>
      </c>
      <c r="U2604" t="s">
        <v>44897</v>
      </c>
      <c r="W2604" t="s">
        <v>38089</v>
      </c>
      <c r="X2604" t="s">
        <v>40440</v>
      </c>
    </row>
    <row r="2605" spans="1:24">
      <c r="A2605">
        <f>HYPERLINK("https://www.philgeps.gov.ph/GEPSNONPILOT/Tender/SplashBidNoticeAbstractUI.aspx?menuIndex=3&amp;refID=7044370&amp;Result=3","7044370")</f>
        <v>0</v>
      </c>
      <c r="B2605" t="s">
        <v>1057</v>
      </c>
      <c r="C2605" t="s">
        <v>5583</v>
      </c>
      <c r="D2605" t="s">
        <v>16196</v>
      </c>
      <c r="E2605" t="s">
        <v>18665</v>
      </c>
      <c r="F2605" t="s">
        <v>28198</v>
      </c>
      <c r="G2605" t="s">
        <v>28205</v>
      </c>
      <c r="H2605" t="s">
        <v>28215</v>
      </c>
      <c r="I2605" t="s">
        <v>4168</v>
      </c>
      <c r="J2605" t="s">
        <v>30117</v>
      </c>
      <c r="K2605" t="s">
        <v>36715</v>
      </c>
      <c r="L2605" t="s">
        <v>1057</v>
      </c>
      <c r="M2605" t="s">
        <v>38090</v>
      </c>
      <c r="N2605" t="s">
        <v>40436</v>
      </c>
      <c r="O2605" t="s">
        <v>40437</v>
      </c>
      <c r="P2605">
        <v>0</v>
      </c>
      <c r="Q2605">
        <v>1</v>
      </c>
      <c r="R2605" t="s">
        <v>40439</v>
      </c>
      <c r="S2605" t="s">
        <v>40588</v>
      </c>
      <c r="T2605" t="s">
        <v>42133</v>
      </c>
      <c r="U2605" t="s">
        <v>44898</v>
      </c>
      <c r="W2605" t="s">
        <v>38090</v>
      </c>
      <c r="X2605" t="s">
        <v>40440</v>
      </c>
    </row>
    <row r="2606" spans="1:24">
      <c r="A2606">
        <f>HYPERLINK("https://www.philgeps.gov.ph/GEPSNONPILOT/Tender/SplashBidNoticeAbstractUI.aspx?menuIndex=3&amp;refID=7044367&amp;Result=3","7044367")</f>
        <v>0</v>
      </c>
      <c r="B2606" t="s">
        <v>361</v>
      </c>
      <c r="C2606" t="s">
        <v>5584</v>
      </c>
      <c r="D2606" t="s">
        <v>16236</v>
      </c>
      <c r="E2606" t="s">
        <v>18666</v>
      </c>
      <c r="F2606" t="s">
        <v>28198</v>
      </c>
      <c r="G2606" t="s">
        <v>28210</v>
      </c>
      <c r="H2606" t="s">
        <v>28215</v>
      </c>
      <c r="I2606" t="s">
        <v>5082</v>
      </c>
      <c r="J2606" t="s">
        <v>30118</v>
      </c>
      <c r="K2606" t="s">
        <v>36707</v>
      </c>
      <c r="M2606" t="s">
        <v>37340</v>
      </c>
      <c r="N2606" t="s">
        <v>40436</v>
      </c>
      <c r="O2606" t="s">
        <v>40437</v>
      </c>
      <c r="P2606">
        <v>0</v>
      </c>
      <c r="Q2606">
        <v>0</v>
      </c>
      <c r="R2606" t="s">
        <v>40439</v>
      </c>
      <c r="S2606" t="s">
        <v>40588</v>
      </c>
      <c r="T2606" t="s">
        <v>42119</v>
      </c>
      <c r="U2606" t="s">
        <v>44899</v>
      </c>
      <c r="V2606" t="s">
        <v>53826</v>
      </c>
      <c r="W2606" t="s">
        <v>37340</v>
      </c>
      <c r="X2606" t="s">
        <v>40440</v>
      </c>
    </row>
    <row r="2607" spans="1:24">
      <c r="A2607">
        <f>HYPERLINK("https://www.philgeps.gov.ph/GEPSNONPILOT/Tender/SplashBidNoticeAbstractUI.aspx?menuIndex=3&amp;refID=7044368&amp;Result=3","7044368")</f>
        <v>0</v>
      </c>
      <c r="B2607" t="s">
        <v>1038</v>
      </c>
      <c r="C2607" t="s">
        <v>5585</v>
      </c>
      <c r="D2607" t="s">
        <v>16203</v>
      </c>
      <c r="E2607" t="s">
        <v>18667</v>
      </c>
      <c r="F2607" t="s">
        <v>28198</v>
      </c>
      <c r="G2607" t="s">
        <v>28207</v>
      </c>
      <c r="H2607" t="s">
        <v>28215</v>
      </c>
      <c r="I2607" t="s">
        <v>28227</v>
      </c>
      <c r="J2607" t="s">
        <v>30119</v>
      </c>
      <c r="K2607" t="s">
        <v>36691</v>
      </c>
      <c r="M2607" t="s">
        <v>38070</v>
      </c>
      <c r="N2607" t="s">
        <v>40436</v>
      </c>
      <c r="O2607" t="s">
        <v>40437</v>
      </c>
      <c r="P2607">
        <v>0</v>
      </c>
      <c r="Q2607">
        <v>0</v>
      </c>
      <c r="R2607" t="s">
        <v>40439</v>
      </c>
      <c r="S2607" t="s">
        <v>40588</v>
      </c>
      <c r="T2607" t="s">
        <v>42131</v>
      </c>
      <c r="U2607" t="s">
        <v>44769</v>
      </c>
      <c r="W2607" t="s">
        <v>38070</v>
      </c>
      <c r="X2607" t="s">
        <v>40440</v>
      </c>
    </row>
    <row r="2608" spans="1:24">
      <c r="A2608">
        <f>HYPERLINK("https://www.philgeps.gov.ph/GEPSNONPILOT/Tender/SplashBidNoticeAbstractUI.aspx?menuIndex=3&amp;refID=7044366&amp;Result=3","7044366")</f>
        <v>0</v>
      </c>
      <c r="B2608" t="s">
        <v>1057</v>
      </c>
      <c r="C2608" t="s">
        <v>5586</v>
      </c>
      <c r="D2608" t="s">
        <v>16196</v>
      </c>
      <c r="E2608" t="s">
        <v>18668</v>
      </c>
      <c r="F2608" t="s">
        <v>28198</v>
      </c>
      <c r="G2608" t="s">
        <v>28205</v>
      </c>
      <c r="H2608" t="s">
        <v>28215</v>
      </c>
      <c r="I2608" t="s">
        <v>3774</v>
      </c>
      <c r="J2608" t="s">
        <v>30120</v>
      </c>
      <c r="K2608" t="s">
        <v>36694</v>
      </c>
      <c r="L2608" t="s">
        <v>1057</v>
      </c>
      <c r="M2608" t="s">
        <v>38090</v>
      </c>
      <c r="N2608" t="s">
        <v>40436</v>
      </c>
      <c r="O2608" t="s">
        <v>40437</v>
      </c>
      <c r="P2608">
        <v>0</v>
      </c>
      <c r="Q2608">
        <v>1</v>
      </c>
      <c r="R2608" t="s">
        <v>40439</v>
      </c>
      <c r="S2608" t="s">
        <v>40588</v>
      </c>
      <c r="T2608" t="s">
        <v>42133</v>
      </c>
      <c r="U2608" t="s">
        <v>44900</v>
      </c>
      <c r="W2608" t="s">
        <v>38090</v>
      </c>
      <c r="X2608" t="s">
        <v>40440</v>
      </c>
    </row>
    <row r="2609" spans="1:24">
      <c r="A2609">
        <f>HYPERLINK("https://www.philgeps.gov.ph/GEPSNONPILOT/Tender/SplashBidNoticeAbstractUI.aspx?menuIndex=3&amp;refID=7044365&amp;Result=3","7044365")</f>
        <v>0</v>
      </c>
      <c r="B2609" t="s">
        <v>390</v>
      </c>
      <c r="C2609" t="s">
        <v>5587</v>
      </c>
      <c r="D2609" t="s">
        <v>16235</v>
      </c>
      <c r="E2609" t="s">
        <v>18669</v>
      </c>
      <c r="F2609" t="s">
        <v>28198</v>
      </c>
      <c r="G2609" t="s">
        <v>28207</v>
      </c>
      <c r="H2609" t="s">
        <v>28214</v>
      </c>
      <c r="I2609" t="s">
        <v>3797</v>
      </c>
      <c r="J2609" t="s">
        <v>30121</v>
      </c>
      <c r="K2609" t="s">
        <v>36689</v>
      </c>
      <c r="M2609" t="s">
        <v>37370</v>
      </c>
      <c r="N2609" t="s">
        <v>40436</v>
      </c>
      <c r="O2609" t="s">
        <v>40437</v>
      </c>
      <c r="P2609">
        <v>0</v>
      </c>
      <c r="Q2609">
        <v>0</v>
      </c>
      <c r="R2609" t="s">
        <v>40439</v>
      </c>
      <c r="S2609" t="s">
        <v>40588</v>
      </c>
      <c r="T2609" t="s">
        <v>42169</v>
      </c>
      <c r="U2609" t="s">
        <v>44901</v>
      </c>
      <c r="W2609" t="s">
        <v>37370</v>
      </c>
      <c r="X2609" t="s">
        <v>40440</v>
      </c>
    </row>
    <row r="2610" spans="1:24">
      <c r="A2610">
        <f>HYPERLINK("https://www.philgeps.gov.ph/GEPSNONPILOT/Tender/SplashBidNoticeAbstractUI.aspx?menuIndex=3&amp;refID=7044362&amp;Result=3","7044362")</f>
        <v>0</v>
      </c>
      <c r="B2610" t="s">
        <v>251</v>
      </c>
      <c r="C2610" t="s">
        <v>5588</v>
      </c>
      <c r="D2610" t="s">
        <v>16188</v>
      </c>
      <c r="E2610" t="s">
        <v>18670</v>
      </c>
      <c r="F2610" t="s">
        <v>28198</v>
      </c>
      <c r="G2610" t="s">
        <v>28207</v>
      </c>
      <c r="H2610" t="s">
        <v>28215</v>
      </c>
      <c r="I2610" t="s">
        <v>28221</v>
      </c>
      <c r="J2610" t="s">
        <v>28606</v>
      </c>
      <c r="K2610" t="s">
        <v>36689</v>
      </c>
      <c r="M2610" t="s">
        <v>37227</v>
      </c>
      <c r="N2610" t="s">
        <v>40436</v>
      </c>
      <c r="O2610" t="s">
        <v>40437</v>
      </c>
      <c r="P2610">
        <v>0</v>
      </c>
      <c r="Q2610">
        <v>1</v>
      </c>
      <c r="R2610" t="s">
        <v>40439</v>
      </c>
      <c r="S2610" t="s">
        <v>40588</v>
      </c>
      <c r="T2610" t="s">
        <v>42131</v>
      </c>
      <c r="U2610" t="s">
        <v>44902</v>
      </c>
      <c r="W2610" t="s">
        <v>37227</v>
      </c>
      <c r="X2610" t="s">
        <v>40440</v>
      </c>
    </row>
    <row r="2611" spans="1:24">
      <c r="A2611">
        <f>HYPERLINK("https://www.philgeps.gov.ph/GEPSNONPILOT/Tender/SplashBidNoticeAbstractUI.aspx?menuIndex=3&amp;refID=7044363&amp;Result=3","7044363")</f>
        <v>0</v>
      </c>
      <c r="B2611" t="s">
        <v>1058</v>
      </c>
      <c r="C2611" t="s">
        <v>5589</v>
      </c>
      <c r="D2611" t="s">
        <v>16193</v>
      </c>
      <c r="E2611" t="s">
        <v>17449</v>
      </c>
      <c r="F2611" t="s">
        <v>28198</v>
      </c>
      <c r="G2611" t="s">
        <v>28206</v>
      </c>
      <c r="H2611" t="s">
        <v>28215</v>
      </c>
      <c r="I2611" t="s">
        <v>5791</v>
      </c>
      <c r="J2611" t="s">
        <v>30122</v>
      </c>
      <c r="K2611" t="s">
        <v>36691</v>
      </c>
      <c r="M2611" t="s">
        <v>38091</v>
      </c>
      <c r="N2611" t="s">
        <v>40436</v>
      </c>
      <c r="O2611" t="s">
        <v>40437</v>
      </c>
      <c r="P2611">
        <v>0</v>
      </c>
      <c r="Q2611">
        <v>0</v>
      </c>
      <c r="R2611" t="s">
        <v>40439</v>
      </c>
      <c r="S2611" t="s">
        <v>40588</v>
      </c>
      <c r="T2611" t="s">
        <v>42129</v>
      </c>
      <c r="U2611" t="s">
        <v>44903</v>
      </c>
      <c r="V2611" t="s">
        <v>53819</v>
      </c>
      <c r="W2611" t="s">
        <v>38091</v>
      </c>
      <c r="X2611" t="s">
        <v>40440</v>
      </c>
    </row>
    <row r="2612" spans="1:24">
      <c r="A2612">
        <f>HYPERLINK("https://www.philgeps.gov.ph/GEPSNONPILOT/Tender/SplashBidNoticeAbstractUI.aspx?menuIndex=3&amp;refID=7044361&amp;Result=3","7044361")</f>
        <v>0</v>
      </c>
      <c r="B2612" t="s">
        <v>580</v>
      </c>
      <c r="C2612" t="s">
        <v>5590</v>
      </c>
      <c r="D2612" t="s">
        <v>16214</v>
      </c>
      <c r="E2612" t="s">
        <v>18671</v>
      </c>
      <c r="F2612" t="s">
        <v>28198</v>
      </c>
      <c r="G2612" t="s">
        <v>28205</v>
      </c>
      <c r="H2612" t="s">
        <v>28215</v>
      </c>
      <c r="I2612" t="s">
        <v>28224</v>
      </c>
      <c r="J2612" t="s">
        <v>30123</v>
      </c>
      <c r="K2612" t="s">
        <v>36707</v>
      </c>
      <c r="M2612" t="s">
        <v>37570</v>
      </c>
      <c r="N2612" t="s">
        <v>40436</v>
      </c>
      <c r="O2612" t="s">
        <v>40437</v>
      </c>
      <c r="P2612">
        <v>0</v>
      </c>
      <c r="Q2612">
        <v>1</v>
      </c>
      <c r="R2612" t="s">
        <v>40439</v>
      </c>
      <c r="S2612" t="s">
        <v>40588</v>
      </c>
      <c r="T2612" t="s">
        <v>42110</v>
      </c>
      <c r="U2612" t="s">
        <v>44904</v>
      </c>
      <c r="W2612" t="s">
        <v>37570</v>
      </c>
      <c r="X2612" t="s">
        <v>40440</v>
      </c>
    </row>
    <row r="2613" spans="1:24">
      <c r="A2613">
        <f>HYPERLINK("https://www.philgeps.gov.ph/GEPSNONPILOT/Tender/SplashBidNoticeAbstractUI.aspx?menuIndex=3&amp;refID=7044364&amp;Result=3","7044364")</f>
        <v>0</v>
      </c>
      <c r="B2613" t="s">
        <v>589</v>
      </c>
      <c r="C2613" t="s">
        <v>5591</v>
      </c>
      <c r="D2613" t="s">
        <v>16199</v>
      </c>
      <c r="E2613" t="s">
        <v>18672</v>
      </c>
      <c r="F2613" t="s">
        <v>28198</v>
      </c>
      <c r="G2613" t="s">
        <v>28207</v>
      </c>
      <c r="H2613" t="s">
        <v>28215</v>
      </c>
      <c r="I2613" t="s">
        <v>28256</v>
      </c>
      <c r="J2613" t="s">
        <v>30124</v>
      </c>
      <c r="K2613" t="s">
        <v>36688</v>
      </c>
      <c r="M2613" t="s">
        <v>37578</v>
      </c>
      <c r="N2613" t="s">
        <v>40436</v>
      </c>
      <c r="O2613" t="s">
        <v>40437</v>
      </c>
      <c r="P2613">
        <v>0</v>
      </c>
      <c r="Q2613">
        <v>4</v>
      </c>
      <c r="R2613" t="s">
        <v>40439</v>
      </c>
      <c r="S2613" t="s">
        <v>40588</v>
      </c>
      <c r="T2613" t="s">
        <v>42169</v>
      </c>
      <c r="U2613" t="s">
        <v>44905</v>
      </c>
      <c r="W2613" t="s">
        <v>37578</v>
      </c>
      <c r="X2613" t="s">
        <v>40440</v>
      </c>
    </row>
    <row r="2614" spans="1:24">
      <c r="A2614">
        <f>HYPERLINK("https://www.philgeps.gov.ph/GEPSNONPILOT/Tender/SplashBidNoticeAbstractUI.aspx?menuIndex=3&amp;refID=7044360&amp;Result=3","7044360")</f>
        <v>0</v>
      </c>
      <c r="B2614" t="s">
        <v>1059</v>
      </c>
      <c r="C2614" t="s">
        <v>5592</v>
      </c>
      <c r="D2614" t="s">
        <v>16190</v>
      </c>
      <c r="E2614" t="s">
        <v>18673</v>
      </c>
      <c r="F2614" t="s">
        <v>28198</v>
      </c>
      <c r="G2614" t="s">
        <v>28207</v>
      </c>
      <c r="H2614" t="s">
        <v>28215</v>
      </c>
      <c r="I2614" t="s">
        <v>28225</v>
      </c>
      <c r="J2614" t="s">
        <v>28967</v>
      </c>
      <c r="K2614" t="s">
        <v>36707</v>
      </c>
      <c r="M2614" t="s">
        <v>38092</v>
      </c>
      <c r="N2614" t="s">
        <v>40436</v>
      </c>
      <c r="O2614" t="s">
        <v>40437</v>
      </c>
      <c r="P2614">
        <v>0</v>
      </c>
      <c r="Q2614">
        <v>0</v>
      </c>
      <c r="R2614" t="s">
        <v>40439</v>
      </c>
      <c r="S2614" t="s">
        <v>40588</v>
      </c>
      <c r="T2614" t="s">
        <v>42158</v>
      </c>
      <c r="U2614" t="s">
        <v>44906</v>
      </c>
      <c r="W2614" t="s">
        <v>38092</v>
      </c>
      <c r="X2614" t="s">
        <v>40440</v>
      </c>
    </row>
    <row r="2615" spans="1:24">
      <c r="A2615">
        <f>HYPERLINK("https://www.philgeps.gov.ph/GEPSNONPILOT/Tender/SplashBidNoticeAbstractUI.aspx?menuIndex=3&amp;refID=7044358&amp;Result=3","7044358")</f>
        <v>0</v>
      </c>
      <c r="B2615" t="s">
        <v>1060</v>
      </c>
      <c r="C2615" t="s">
        <v>5593</v>
      </c>
      <c r="D2615" t="s">
        <v>16207</v>
      </c>
      <c r="E2615" t="s">
        <v>16565</v>
      </c>
      <c r="F2615" t="s">
        <v>28198</v>
      </c>
      <c r="G2615" t="s">
        <v>28206</v>
      </c>
      <c r="H2615" t="s">
        <v>28215</v>
      </c>
      <c r="I2615" t="s">
        <v>4321</v>
      </c>
      <c r="J2615" t="s">
        <v>30125</v>
      </c>
      <c r="K2615" t="s">
        <v>36706</v>
      </c>
      <c r="M2615" t="s">
        <v>38093</v>
      </c>
      <c r="N2615" t="s">
        <v>40436</v>
      </c>
      <c r="O2615" t="s">
        <v>40437</v>
      </c>
      <c r="P2615">
        <v>0</v>
      </c>
      <c r="Q2615">
        <v>1</v>
      </c>
      <c r="R2615" t="s">
        <v>40439</v>
      </c>
      <c r="S2615" t="s">
        <v>40588</v>
      </c>
      <c r="T2615" t="s">
        <v>42119</v>
      </c>
      <c r="U2615" t="s">
        <v>44907</v>
      </c>
      <c r="W2615" t="s">
        <v>38093</v>
      </c>
      <c r="X2615" t="s">
        <v>40440</v>
      </c>
    </row>
    <row r="2616" spans="1:24">
      <c r="A2616">
        <f>HYPERLINK("https://www.philgeps.gov.ph/GEPSNONPILOT/Tender/SplashBidNoticeAbstractUI.aspx?menuIndex=3&amp;refID=7044369&amp;Result=3","7044369")</f>
        <v>0</v>
      </c>
      <c r="B2616" t="s">
        <v>1061</v>
      </c>
      <c r="C2616" t="s">
        <v>5594</v>
      </c>
      <c r="D2616" t="s">
        <v>16210</v>
      </c>
      <c r="E2616" t="s">
        <v>18674</v>
      </c>
      <c r="F2616" t="s">
        <v>28198</v>
      </c>
      <c r="G2616" t="s">
        <v>28207</v>
      </c>
      <c r="H2616" t="s">
        <v>28215</v>
      </c>
      <c r="I2616" t="s">
        <v>28234</v>
      </c>
      <c r="J2616" t="s">
        <v>30126</v>
      </c>
      <c r="K2616" t="s">
        <v>36701</v>
      </c>
      <c r="M2616" t="s">
        <v>38094</v>
      </c>
      <c r="N2616" t="s">
        <v>40436</v>
      </c>
      <c r="O2616" t="s">
        <v>40437</v>
      </c>
      <c r="P2616">
        <v>0</v>
      </c>
      <c r="Q2616">
        <v>1</v>
      </c>
      <c r="R2616" t="s">
        <v>40439</v>
      </c>
      <c r="S2616" t="s">
        <v>40588</v>
      </c>
      <c r="T2616" t="s">
        <v>42326</v>
      </c>
      <c r="U2616" t="s">
        <v>44908</v>
      </c>
      <c r="W2616" t="s">
        <v>38094</v>
      </c>
      <c r="X2616" t="s">
        <v>40440</v>
      </c>
    </row>
    <row r="2617" spans="1:24">
      <c r="A2617">
        <f>HYPERLINK("https://www.philgeps.gov.ph/GEPSNONPILOT/Tender/SplashBidNoticeAbstractUI.aspx?menuIndex=3&amp;refID=7044353&amp;Result=3","7044353")</f>
        <v>0</v>
      </c>
      <c r="B2617" t="s">
        <v>131</v>
      </c>
      <c r="C2617" t="s">
        <v>5595</v>
      </c>
      <c r="D2617" t="s">
        <v>16237</v>
      </c>
      <c r="E2617" t="s">
        <v>18675</v>
      </c>
      <c r="F2617" t="s">
        <v>28198</v>
      </c>
      <c r="G2617" t="s">
        <v>28205</v>
      </c>
      <c r="H2617" t="s">
        <v>28214</v>
      </c>
      <c r="I2617" t="s">
        <v>3797</v>
      </c>
      <c r="J2617" t="s">
        <v>30127</v>
      </c>
      <c r="K2617" t="s">
        <v>36694</v>
      </c>
      <c r="M2617" t="s">
        <v>37105</v>
      </c>
      <c r="N2617" t="s">
        <v>40436</v>
      </c>
      <c r="O2617" t="s">
        <v>40437</v>
      </c>
      <c r="P2617">
        <v>0</v>
      </c>
      <c r="Q2617">
        <v>1</v>
      </c>
      <c r="R2617" t="s">
        <v>40439</v>
      </c>
      <c r="S2617" t="s">
        <v>40588</v>
      </c>
      <c r="T2617" t="s">
        <v>42327</v>
      </c>
      <c r="U2617" t="s">
        <v>44909</v>
      </c>
      <c r="V2617" t="s">
        <v>53805</v>
      </c>
      <c r="W2617" t="s">
        <v>37105</v>
      </c>
      <c r="X2617" t="s">
        <v>40440</v>
      </c>
    </row>
    <row r="2618" spans="1:24">
      <c r="A2618">
        <f>HYPERLINK("https://www.philgeps.gov.ph/GEPSNONPILOT/Tender/SplashBidNoticeAbstractUI.aspx?menuIndex=3&amp;refID=7044359&amp;Result=3","7044359")</f>
        <v>0</v>
      </c>
      <c r="B2618" t="s">
        <v>1062</v>
      </c>
      <c r="C2618" t="s">
        <v>5596</v>
      </c>
      <c r="D2618" t="s">
        <v>16210</v>
      </c>
      <c r="E2618" t="s">
        <v>18676</v>
      </c>
      <c r="F2618" t="s">
        <v>28198</v>
      </c>
      <c r="G2618" t="s">
        <v>28207</v>
      </c>
      <c r="H2618" t="s">
        <v>28215</v>
      </c>
      <c r="I2618" t="s">
        <v>3774</v>
      </c>
      <c r="J2618" t="s">
        <v>28864</v>
      </c>
      <c r="K2618" t="s">
        <v>36701</v>
      </c>
      <c r="M2618" t="s">
        <v>38095</v>
      </c>
      <c r="N2618" t="s">
        <v>40436</v>
      </c>
      <c r="O2618" t="s">
        <v>40437</v>
      </c>
      <c r="P2618">
        <v>0</v>
      </c>
      <c r="Q2618">
        <v>0</v>
      </c>
      <c r="R2618" t="s">
        <v>40439</v>
      </c>
      <c r="S2618" t="s">
        <v>40588</v>
      </c>
      <c r="T2618" t="s">
        <v>42119</v>
      </c>
      <c r="U2618" t="s">
        <v>44910</v>
      </c>
      <c r="W2618" t="s">
        <v>38095</v>
      </c>
      <c r="X2618" t="s">
        <v>40440</v>
      </c>
    </row>
    <row r="2619" spans="1:24">
      <c r="A2619">
        <f>HYPERLINK("https://www.philgeps.gov.ph/GEPSNONPILOT/Tender/SplashBidNoticeAbstractUI.aspx?menuIndex=3&amp;refID=7044372&amp;Result=3","7044372")</f>
        <v>0</v>
      </c>
      <c r="B2619" t="s">
        <v>1063</v>
      </c>
      <c r="C2619" t="s">
        <v>5597</v>
      </c>
      <c r="D2619" t="s">
        <v>16188</v>
      </c>
      <c r="E2619" t="s">
        <v>5597</v>
      </c>
      <c r="F2619" t="s">
        <v>28198</v>
      </c>
      <c r="G2619" t="s">
        <v>28207</v>
      </c>
      <c r="H2619" t="s">
        <v>28215</v>
      </c>
      <c r="I2619" t="s">
        <v>28274</v>
      </c>
      <c r="J2619" t="s">
        <v>29717</v>
      </c>
      <c r="K2619" t="s">
        <v>36689</v>
      </c>
      <c r="M2619" t="s">
        <v>38096</v>
      </c>
      <c r="N2619" t="s">
        <v>40436</v>
      </c>
      <c r="O2619" t="s">
        <v>40437</v>
      </c>
      <c r="P2619">
        <v>0</v>
      </c>
      <c r="Q2619">
        <v>0</v>
      </c>
      <c r="R2619" t="s">
        <v>40439</v>
      </c>
      <c r="S2619" t="s">
        <v>40588</v>
      </c>
      <c r="T2619" t="s">
        <v>42131</v>
      </c>
      <c r="U2619" t="s">
        <v>44911</v>
      </c>
      <c r="W2619" t="s">
        <v>38096</v>
      </c>
      <c r="X2619" t="s">
        <v>40440</v>
      </c>
    </row>
    <row r="2620" spans="1:24">
      <c r="A2620">
        <f>HYPERLINK("https://www.philgeps.gov.ph/GEPSNONPILOT/Tender/SplashBidNoticeAbstractUI.aspx?menuIndex=3&amp;refID=7044355&amp;Result=3","7044355")</f>
        <v>0</v>
      </c>
      <c r="B2620" t="s">
        <v>1060</v>
      </c>
      <c r="C2620" t="s">
        <v>5598</v>
      </c>
      <c r="D2620" t="s">
        <v>16207</v>
      </c>
      <c r="E2620" t="s">
        <v>16560</v>
      </c>
      <c r="F2620" t="s">
        <v>28198</v>
      </c>
      <c r="G2620" t="s">
        <v>28206</v>
      </c>
      <c r="H2620" t="s">
        <v>28215</v>
      </c>
      <c r="I2620" t="s">
        <v>4505</v>
      </c>
      <c r="J2620" t="s">
        <v>30128</v>
      </c>
      <c r="K2620" t="s">
        <v>36706</v>
      </c>
      <c r="M2620" t="s">
        <v>38093</v>
      </c>
      <c r="N2620" t="s">
        <v>40436</v>
      </c>
      <c r="O2620" t="s">
        <v>40437</v>
      </c>
      <c r="P2620">
        <v>0</v>
      </c>
      <c r="Q2620">
        <v>2</v>
      </c>
      <c r="R2620" t="s">
        <v>40439</v>
      </c>
      <c r="S2620" t="s">
        <v>40588</v>
      </c>
      <c r="T2620" t="s">
        <v>42119</v>
      </c>
      <c r="U2620" t="s">
        <v>44912</v>
      </c>
      <c r="W2620" t="s">
        <v>38093</v>
      </c>
      <c r="X2620" t="s">
        <v>40440</v>
      </c>
    </row>
    <row r="2621" spans="1:24">
      <c r="A2621">
        <f>HYPERLINK("https://www.philgeps.gov.ph/GEPSNONPILOT/Tender/SplashBidNoticeAbstractUI.aspx?menuIndex=3&amp;refID=7044384&amp;Result=3","7044384")</f>
        <v>0</v>
      </c>
      <c r="B2621" t="s">
        <v>1064</v>
      </c>
      <c r="C2621" t="s">
        <v>5599</v>
      </c>
      <c r="D2621" t="s">
        <v>16253</v>
      </c>
      <c r="E2621" t="s">
        <v>18677</v>
      </c>
      <c r="F2621" t="s">
        <v>28198</v>
      </c>
      <c r="G2621" t="s">
        <v>28207</v>
      </c>
      <c r="H2621" t="s">
        <v>28215</v>
      </c>
      <c r="I2621" t="s">
        <v>4219</v>
      </c>
      <c r="J2621" t="s">
        <v>28352</v>
      </c>
      <c r="K2621" t="s">
        <v>36706</v>
      </c>
      <c r="M2621" t="s">
        <v>38097</v>
      </c>
      <c r="N2621" t="s">
        <v>40436</v>
      </c>
      <c r="O2621" t="s">
        <v>40437</v>
      </c>
      <c r="P2621">
        <v>0</v>
      </c>
      <c r="Q2621">
        <v>9</v>
      </c>
      <c r="R2621" t="s">
        <v>40439</v>
      </c>
      <c r="S2621" t="s">
        <v>40588</v>
      </c>
      <c r="T2621" t="s">
        <v>42158</v>
      </c>
      <c r="U2621" t="s">
        <v>43338</v>
      </c>
      <c r="W2621" t="s">
        <v>38097</v>
      </c>
      <c r="X2621" t="s">
        <v>40440</v>
      </c>
    </row>
    <row r="2622" spans="1:24">
      <c r="A2622">
        <f>HYPERLINK("https://www.philgeps.gov.ph/GEPSNONPILOT/Tender/SplashBidNoticeAbstractUI.aspx?menuIndex=3&amp;refID=7044354&amp;Result=3","7044354")</f>
        <v>0</v>
      </c>
      <c r="B2622" t="s">
        <v>1065</v>
      </c>
      <c r="C2622" t="s">
        <v>5600</v>
      </c>
      <c r="D2622" t="s">
        <v>16227</v>
      </c>
      <c r="E2622" t="s">
        <v>18678</v>
      </c>
      <c r="F2622" t="s">
        <v>28198</v>
      </c>
      <c r="G2622" t="s">
        <v>28210</v>
      </c>
      <c r="H2622" t="s">
        <v>28215</v>
      </c>
      <c r="I2622" t="s">
        <v>4505</v>
      </c>
      <c r="J2622" t="s">
        <v>30129</v>
      </c>
      <c r="K2622" t="s">
        <v>36707</v>
      </c>
      <c r="M2622" t="s">
        <v>38098</v>
      </c>
      <c r="N2622" t="s">
        <v>40436</v>
      </c>
      <c r="O2622" t="s">
        <v>40437</v>
      </c>
      <c r="P2622">
        <v>0</v>
      </c>
      <c r="Q2622">
        <v>15</v>
      </c>
      <c r="R2622" t="s">
        <v>40439</v>
      </c>
      <c r="S2622" t="s">
        <v>40588</v>
      </c>
      <c r="T2622" t="s">
        <v>42328</v>
      </c>
      <c r="U2622" t="s">
        <v>44913</v>
      </c>
      <c r="W2622" t="s">
        <v>38098</v>
      </c>
      <c r="X2622" t="s">
        <v>40440</v>
      </c>
    </row>
    <row r="2623" spans="1:24">
      <c r="A2623">
        <f>HYPERLINK("https://www.philgeps.gov.ph/GEPSNONPILOT/Tender/SplashBidNoticeAbstractUI.aspx?menuIndex=3&amp;refID=7044356&amp;Result=3","7044356")</f>
        <v>0</v>
      </c>
      <c r="B2623" t="s">
        <v>1066</v>
      </c>
      <c r="C2623" t="s">
        <v>5601</v>
      </c>
      <c r="D2623" t="s">
        <v>16241</v>
      </c>
      <c r="E2623" t="s">
        <v>18679</v>
      </c>
      <c r="F2623" t="s">
        <v>28198</v>
      </c>
      <c r="G2623" t="s">
        <v>28206</v>
      </c>
      <c r="H2623" t="s">
        <v>28215</v>
      </c>
      <c r="I2623" t="s">
        <v>4505</v>
      </c>
      <c r="J2623" t="s">
        <v>29203</v>
      </c>
      <c r="K2623" t="s">
        <v>36688</v>
      </c>
      <c r="M2623" t="s">
        <v>38099</v>
      </c>
      <c r="N2623" t="s">
        <v>40436</v>
      </c>
      <c r="O2623" t="s">
        <v>40437</v>
      </c>
      <c r="P2623">
        <v>0</v>
      </c>
      <c r="Q2623">
        <v>7</v>
      </c>
      <c r="R2623" t="s">
        <v>40439</v>
      </c>
      <c r="S2623" t="s">
        <v>40588</v>
      </c>
      <c r="T2623" t="s">
        <v>42185</v>
      </c>
      <c r="U2623" t="s">
        <v>44914</v>
      </c>
      <c r="W2623" t="s">
        <v>55471</v>
      </c>
      <c r="X2623" t="s">
        <v>40440</v>
      </c>
    </row>
    <row r="2624" spans="1:24">
      <c r="A2624">
        <f>HYPERLINK("https://www.philgeps.gov.ph/GEPSNONPILOT/Tender/SplashBidNoticeAbstractUI.aspx?menuIndex=3&amp;refID=7044381&amp;Result=3","7044381")</f>
        <v>0</v>
      </c>
      <c r="B2624" t="s">
        <v>390</v>
      </c>
      <c r="C2624" t="s">
        <v>5602</v>
      </c>
      <c r="D2624" t="s">
        <v>16235</v>
      </c>
      <c r="E2624" t="s">
        <v>18680</v>
      </c>
      <c r="F2624" t="s">
        <v>28198</v>
      </c>
      <c r="G2624" t="s">
        <v>28207</v>
      </c>
      <c r="H2624" t="s">
        <v>28214</v>
      </c>
      <c r="I2624" t="s">
        <v>3797</v>
      </c>
      <c r="J2624" t="s">
        <v>28406</v>
      </c>
      <c r="K2624" t="s">
        <v>36689</v>
      </c>
      <c r="M2624" t="s">
        <v>37370</v>
      </c>
      <c r="N2624" t="s">
        <v>40436</v>
      </c>
      <c r="O2624" t="s">
        <v>40437</v>
      </c>
      <c r="P2624">
        <v>0</v>
      </c>
      <c r="Q2624">
        <v>0</v>
      </c>
      <c r="R2624" t="s">
        <v>40439</v>
      </c>
      <c r="S2624" t="s">
        <v>40588</v>
      </c>
      <c r="T2624" t="s">
        <v>42131</v>
      </c>
      <c r="U2624" t="s">
        <v>44901</v>
      </c>
      <c r="W2624" t="s">
        <v>37370</v>
      </c>
      <c r="X2624" t="s">
        <v>40440</v>
      </c>
    </row>
    <row r="2625" spans="1:24">
      <c r="A2625">
        <f>HYPERLINK("https://www.philgeps.gov.ph/GEPSNONPILOT/Tender/SplashBidNoticeAbstractUI.aspx?menuIndex=3&amp;refID=7044385&amp;Result=3","7044385")</f>
        <v>0</v>
      </c>
      <c r="B2625" t="s">
        <v>1067</v>
      </c>
      <c r="C2625" t="s">
        <v>5603</v>
      </c>
      <c r="D2625" t="s">
        <v>16244</v>
      </c>
      <c r="E2625" t="s">
        <v>18681</v>
      </c>
      <c r="F2625" t="s">
        <v>28198</v>
      </c>
      <c r="G2625" t="s">
        <v>28205</v>
      </c>
      <c r="H2625" t="s">
        <v>28214</v>
      </c>
      <c r="I2625" t="s">
        <v>3797</v>
      </c>
      <c r="J2625" t="s">
        <v>30130</v>
      </c>
      <c r="K2625" t="s">
        <v>36785</v>
      </c>
      <c r="M2625" t="s">
        <v>38100</v>
      </c>
      <c r="N2625" t="s">
        <v>40436</v>
      </c>
      <c r="O2625" t="s">
        <v>40437</v>
      </c>
      <c r="P2625">
        <v>0</v>
      </c>
      <c r="Q2625">
        <v>0</v>
      </c>
      <c r="R2625" t="s">
        <v>40439</v>
      </c>
      <c r="S2625" t="s">
        <v>40588</v>
      </c>
      <c r="T2625" t="s">
        <v>42165</v>
      </c>
      <c r="U2625" t="s">
        <v>44915</v>
      </c>
      <c r="W2625" t="s">
        <v>38100</v>
      </c>
      <c r="X2625" t="s">
        <v>40440</v>
      </c>
    </row>
    <row r="2626" spans="1:24">
      <c r="A2626">
        <f>HYPERLINK("https://www.philgeps.gov.ph/GEPSNONPILOT/Tender/SplashBidNoticeAbstractUI.aspx?menuIndex=3&amp;refID=7044377&amp;Result=3","7044377")</f>
        <v>0</v>
      </c>
      <c r="B2626" t="s">
        <v>708</v>
      </c>
      <c r="C2626" t="s">
        <v>5604</v>
      </c>
      <c r="D2626" t="s">
        <v>16228</v>
      </c>
      <c r="E2626" t="s">
        <v>18682</v>
      </c>
      <c r="F2626" t="s">
        <v>28198</v>
      </c>
      <c r="G2626" t="s">
        <v>28207</v>
      </c>
      <c r="H2626" t="s">
        <v>28215</v>
      </c>
      <c r="I2626" t="s">
        <v>28265</v>
      </c>
      <c r="J2626" t="s">
        <v>30131</v>
      </c>
      <c r="K2626" t="s">
        <v>36691</v>
      </c>
      <c r="M2626" t="s">
        <v>37708</v>
      </c>
      <c r="N2626" t="s">
        <v>40436</v>
      </c>
      <c r="O2626" t="s">
        <v>40437</v>
      </c>
      <c r="P2626">
        <v>0</v>
      </c>
      <c r="Q2626">
        <v>1</v>
      </c>
      <c r="R2626" t="s">
        <v>40439</v>
      </c>
      <c r="S2626" t="s">
        <v>40588</v>
      </c>
      <c r="T2626" t="s">
        <v>42158</v>
      </c>
      <c r="U2626" t="s">
        <v>44916</v>
      </c>
      <c r="W2626" t="s">
        <v>37708</v>
      </c>
      <c r="X2626" t="s">
        <v>40440</v>
      </c>
    </row>
    <row r="2627" spans="1:24">
      <c r="A2627">
        <f>HYPERLINK("https://www.philgeps.gov.ph/GEPSNONPILOT/Tender/SplashBidNoticeAbstractUI.aspx?menuIndex=3&amp;refID=7044386&amp;Result=3","7044386")</f>
        <v>0</v>
      </c>
      <c r="B2627" t="s">
        <v>1068</v>
      </c>
      <c r="C2627" t="s">
        <v>5605</v>
      </c>
      <c r="D2627" t="s">
        <v>16258</v>
      </c>
      <c r="E2627" t="s">
        <v>18683</v>
      </c>
      <c r="F2627" t="s">
        <v>28198</v>
      </c>
      <c r="G2627" t="s">
        <v>28207</v>
      </c>
      <c r="H2627" t="s">
        <v>28215</v>
      </c>
      <c r="I2627" t="s">
        <v>28234</v>
      </c>
      <c r="J2627" t="s">
        <v>28804</v>
      </c>
      <c r="K2627" t="s">
        <v>36689</v>
      </c>
      <c r="M2627" t="s">
        <v>38101</v>
      </c>
      <c r="N2627" t="s">
        <v>40436</v>
      </c>
      <c r="O2627" t="s">
        <v>40437</v>
      </c>
      <c r="P2627">
        <v>0</v>
      </c>
      <c r="Q2627">
        <v>2</v>
      </c>
      <c r="R2627" t="s">
        <v>40439</v>
      </c>
      <c r="S2627" t="s">
        <v>40588</v>
      </c>
      <c r="T2627" t="s">
        <v>42188</v>
      </c>
      <c r="U2627" t="s">
        <v>44917</v>
      </c>
      <c r="W2627" t="s">
        <v>38101</v>
      </c>
      <c r="X2627" t="s">
        <v>40440</v>
      </c>
    </row>
    <row r="2628" spans="1:24">
      <c r="A2628">
        <f>HYPERLINK("https://www.philgeps.gov.ph/GEPSNONPILOT/Tender/SplashBidNoticeAbstractUI.aspx?menuIndex=3&amp;refID=7044380&amp;Result=3","7044380")</f>
        <v>0</v>
      </c>
      <c r="B2628" t="s">
        <v>1069</v>
      </c>
      <c r="C2628" t="s">
        <v>5606</v>
      </c>
      <c r="D2628" t="s">
        <v>16209</v>
      </c>
      <c r="E2628" t="s">
        <v>18684</v>
      </c>
      <c r="F2628" t="s">
        <v>28198</v>
      </c>
      <c r="G2628" t="s">
        <v>28207</v>
      </c>
      <c r="H2628" t="s">
        <v>28215</v>
      </c>
      <c r="I2628" t="s">
        <v>28249</v>
      </c>
      <c r="J2628" t="s">
        <v>30132</v>
      </c>
      <c r="K2628" t="s">
        <v>36689</v>
      </c>
      <c r="M2628" t="s">
        <v>38102</v>
      </c>
      <c r="N2628" t="s">
        <v>40436</v>
      </c>
      <c r="O2628" t="s">
        <v>40437</v>
      </c>
      <c r="P2628">
        <v>0</v>
      </c>
      <c r="Q2628">
        <v>1</v>
      </c>
      <c r="R2628" t="s">
        <v>40439</v>
      </c>
      <c r="S2628" t="s">
        <v>40588</v>
      </c>
      <c r="T2628" t="s">
        <v>42158</v>
      </c>
      <c r="U2628" t="s">
        <v>44918</v>
      </c>
      <c r="W2628" t="s">
        <v>38102</v>
      </c>
      <c r="X2628" t="s">
        <v>40440</v>
      </c>
    </row>
    <row r="2629" spans="1:24">
      <c r="A2629">
        <f>HYPERLINK("https://www.philgeps.gov.ph/GEPSNONPILOT/Tender/SplashBidNoticeAbstractUI.aspx?menuIndex=3&amp;refID=7044375&amp;Result=3","7044375")</f>
        <v>0</v>
      </c>
      <c r="B2629" t="s">
        <v>1070</v>
      </c>
      <c r="C2629" t="s">
        <v>5607</v>
      </c>
      <c r="D2629" t="s">
        <v>16221</v>
      </c>
      <c r="E2629" t="s">
        <v>18664</v>
      </c>
      <c r="F2629" t="s">
        <v>28198</v>
      </c>
      <c r="G2629" t="s">
        <v>28205</v>
      </c>
      <c r="H2629" t="s">
        <v>28215</v>
      </c>
      <c r="I2629" t="s">
        <v>28227</v>
      </c>
      <c r="J2629" t="s">
        <v>30133</v>
      </c>
      <c r="K2629" t="s">
        <v>36689</v>
      </c>
      <c r="M2629" t="s">
        <v>38103</v>
      </c>
      <c r="N2629" t="s">
        <v>40436</v>
      </c>
      <c r="O2629" t="s">
        <v>40437</v>
      </c>
      <c r="P2629">
        <v>0</v>
      </c>
      <c r="Q2629">
        <v>4</v>
      </c>
      <c r="R2629" t="s">
        <v>40439</v>
      </c>
      <c r="S2629" t="s">
        <v>40588</v>
      </c>
      <c r="T2629" t="s">
        <v>42152</v>
      </c>
      <c r="U2629" t="s">
        <v>44919</v>
      </c>
      <c r="W2629" t="s">
        <v>38103</v>
      </c>
      <c r="X2629" t="s">
        <v>40440</v>
      </c>
    </row>
    <row r="2630" spans="1:24">
      <c r="A2630">
        <f>HYPERLINK("https://www.philgeps.gov.ph/GEPSNONPILOT/Tender/SplashBidNoticeAbstractUI.aspx?menuIndex=3&amp;refID=7044382&amp;Result=3","7044382")</f>
        <v>0</v>
      </c>
      <c r="B2630" t="s">
        <v>1062</v>
      </c>
      <c r="C2630" t="s">
        <v>5608</v>
      </c>
      <c r="D2630" t="s">
        <v>16210</v>
      </c>
      <c r="E2630" t="s">
        <v>18685</v>
      </c>
      <c r="F2630" t="s">
        <v>28198</v>
      </c>
      <c r="G2630" t="s">
        <v>28207</v>
      </c>
      <c r="H2630" t="s">
        <v>28215</v>
      </c>
      <c r="I2630" t="s">
        <v>4321</v>
      </c>
      <c r="J2630" t="s">
        <v>28415</v>
      </c>
      <c r="K2630" t="s">
        <v>36701</v>
      </c>
      <c r="M2630" t="s">
        <v>38095</v>
      </c>
      <c r="N2630" t="s">
        <v>40436</v>
      </c>
      <c r="O2630" t="s">
        <v>40437</v>
      </c>
      <c r="P2630">
        <v>0</v>
      </c>
      <c r="Q2630">
        <v>7</v>
      </c>
      <c r="R2630" t="s">
        <v>40439</v>
      </c>
      <c r="S2630" t="s">
        <v>40588</v>
      </c>
      <c r="T2630" t="s">
        <v>42119</v>
      </c>
      <c r="U2630" t="s">
        <v>44920</v>
      </c>
      <c r="W2630" t="s">
        <v>38095</v>
      </c>
      <c r="X2630" t="s">
        <v>40440</v>
      </c>
    </row>
    <row r="2631" spans="1:24">
      <c r="A2631">
        <f>HYPERLINK("https://www.philgeps.gov.ph/GEPSNONPILOT/Tender/SplashBidNoticeAbstractUI.aspx?menuIndex=3&amp;refID=7044379&amp;Result=3","7044379")</f>
        <v>0</v>
      </c>
      <c r="B2631" t="s">
        <v>589</v>
      </c>
      <c r="C2631" t="s">
        <v>5609</v>
      </c>
      <c r="D2631" t="s">
        <v>16199</v>
      </c>
      <c r="E2631" t="s">
        <v>18686</v>
      </c>
      <c r="F2631" t="s">
        <v>28198</v>
      </c>
      <c r="G2631" t="s">
        <v>28207</v>
      </c>
      <c r="H2631" t="s">
        <v>28215</v>
      </c>
      <c r="I2631" t="s">
        <v>28264</v>
      </c>
      <c r="J2631" t="s">
        <v>28587</v>
      </c>
      <c r="K2631" t="s">
        <v>36688</v>
      </c>
      <c r="M2631" t="s">
        <v>37578</v>
      </c>
      <c r="N2631" t="s">
        <v>40436</v>
      </c>
      <c r="O2631" t="s">
        <v>40437</v>
      </c>
      <c r="P2631">
        <v>0</v>
      </c>
      <c r="Q2631">
        <v>0</v>
      </c>
      <c r="R2631" t="s">
        <v>40439</v>
      </c>
      <c r="S2631" t="s">
        <v>40588</v>
      </c>
      <c r="T2631" t="s">
        <v>42169</v>
      </c>
      <c r="U2631" t="s">
        <v>44921</v>
      </c>
      <c r="W2631" t="s">
        <v>37578</v>
      </c>
      <c r="X2631" t="s">
        <v>40440</v>
      </c>
    </row>
    <row r="2632" spans="1:24">
      <c r="A2632">
        <f>HYPERLINK("https://www.philgeps.gov.ph/GEPSNONPILOT/Tender/SplashBidNoticeAbstractUI.aspx?menuIndex=3&amp;refID=7044374&amp;Result=3","7044374")</f>
        <v>0</v>
      </c>
      <c r="B2632" t="s">
        <v>574</v>
      </c>
      <c r="C2632" t="s">
        <v>5610</v>
      </c>
      <c r="E2632" t="s">
        <v>18687</v>
      </c>
      <c r="F2632" t="s">
        <v>28198</v>
      </c>
      <c r="G2632" t="s">
        <v>28206</v>
      </c>
      <c r="H2632" t="s">
        <v>28215</v>
      </c>
      <c r="I2632" t="s">
        <v>4200</v>
      </c>
      <c r="J2632" t="s">
        <v>30134</v>
      </c>
      <c r="K2632" t="s">
        <v>36689</v>
      </c>
      <c r="M2632" t="s">
        <v>38104</v>
      </c>
      <c r="N2632" t="s">
        <v>40436</v>
      </c>
      <c r="O2632" t="s">
        <v>40437</v>
      </c>
      <c r="P2632">
        <v>0</v>
      </c>
      <c r="Q2632">
        <v>0</v>
      </c>
      <c r="R2632" t="s">
        <v>40439</v>
      </c>
      <c r="S2632" t="s">
        <v>40588</v>
      </c>
      <c r="T2632" t="s">
        <v>42245</v>
      </c>
      <c r="U2632" t="s">
        <v>44922</v>
      </c>
      <c r="W2632" t="s">
        <v>38104</v>
      </c>
      <c r="X2632" t="s">
        <v>40440</v>
      </c>
    </row>
    <row r="2633" spans="1:24">
      <c r="A2633">
        <f>HYPERLINK("https://www.philgeps.gov.ph/GEPSNONPILOT/Tender/SplashBidNoticeAbstractUI.aspx?menuIndex=3&amp;refID=7044390&amp;Result=3","7044390")</f>
        <v>0</v>
      </c>
      <c r="B2633" t="s">
        <v>1071</v>
      </c>
      <c r="C2633" t="s">
        <v>5611</v>
      </c>
      <c r="D2633" t="s">
        <v>16223</v>
      </c>
      <c r="E2633" t="s">
        <v>18688</v>
      </c>
      <c r="F2633" t="s">
        <v>28198</v>
      </c>
      <c r="G2633" t="s">
        <v>28207</v>
      </c>
      <c r="H2633" t="s">
        <v>28215</v>
      </c>
      <c r="I2633" t="s">
        <v>5100</v>
      </c>
      <c r="J2633" t="s">
        <v>30135</v>
      </c>
      <c r="K2633" t="s">
        <v>36701</v>
      </c>
      <c r="M2633" t="s">
        <v>38105</v>
      </c>
      <c r="N2633" t="s">
        <v>40436</v>
      </c>
      <c r="O2633" t="s">
        <v>40437</v>
      </c>
      <c r="P2633">
        <v>0</v>
      </c>
      <c r="Q2633">
        <v>0</v>
      </c>
      <c r="R2633" t="s">
        <v>40439</v>
      </c>
      <c r="S2633" t="s">
        <v>40588</v>
      </c>
      <c r="T2633" t="s">
        <v>42326</v>
      </c>
      <c r="U2633" t="s">
        <v>44923</v>
      </c>
      <c r="W2633" t="s">
        <v>38105</v>
      </c>
      <c r="X2633" t="s">
        <v>40440</v>
      </c>
    </row>
    <row r="2634" spans="1:24">
      <c r="A2634">
        <f>HYPERLINK("https://www.philgeps.gov.ph/GEPSNONPILOT/Tender/SplashBidNoticeAbstractUI.aspx?menuIndex=3&amp;refID=7044394&amp;Result=3","7044394")</f>
        <v>0</v>
      </c>
      <c r="B2634" t="s">
        <v>1040</v>
      </c>
      <c r="C2634" t="s">
        <v>5612</v>
      </c>
      <c r="D2634" t="s">
        <v>16247</v>
      </c>
      <c r="E2634" t="s">
        <v>18689</v>
      </c>
      <c r="F2634" t="s">
        <v>28198</v>
      </c>
      <c r="G2634" t="s">
        <v>28207</v>
      </c>
      <c r="H2634" t="s">
        <v>28215</v>
      </c>
      <c r="I2634" t="s">
        <v>28224</v>
      </c>
      <c r="J2634" t="s">
        <v>30136</v>
      </c>
      <c r="K2634" t="s">
        <v>36707</v>
      </c>
      <c r="M2634" t="s">
        <v>38073</v>
      </c>
      <c r="N2634" t="s">
        <v>40436</v>
      </c>
      <c r="O2634" t="s">
        <v>40437</v>
      </c>
      <c r="P2634">
        <v>0</v>
      </c>
      <c r="Q2634">
        <v>0</v>
      </c>
      <c r="R2634" t="s">
        <v>40439</v>
      </c>
      <c r="S2634" t="s">
        <v>40588</v>
      </c>
      <c r="T2634" t="s">
        <v>42318</v>
      </c>
      <c r="U2634" t="s">
        <v>44924</v>
      </c>
      <c r="W2634" t="s">
        <v>38073</v>
      </c>
      <c r="X2634" t="s">
        <v>40440</v>
      </c>
    </row>
    <row r="2635" spans="1:24">
      <c r="A2635">
        <f>HYPERLINK("https://www.philgeps.gov.ph/GEPSNONPILOT/Tender/SplashBidNoticeAbstractUI.aspx?menuIndex=3&amp;refID=7044389&amp;Result=3","7044389")</f>
        <v>0</v>
      </c>
      <c r="B2635" t="s">
        <v>1061</v>
      </c>
      <c r="C2635" t="s">
        <v>5613</v>
      </c>
      <c r="D2635" t="s">
        <v>16210</v>
      </c>
      <c r="E2635" t="s">
        <v>18690</v>
      </c>
      <c r="F2635" t="s">
        <v>28198</v>
      </c>
      <c r="G2635" t="s">
        <v>28207</v>
      </c>
      <c r="H2635" t="s">
        <v>28215</v>
      </c>
      <c r="I2635" t="s">
        <v>28234</v>
      </c>
      <c r="J2635" t="s">
        <v>30137</v>
      </c>
      <c r="K2635" t="s">
        <v>36689</v>
      </c>
      <c r="M2635" t="s">
        <v>38094</v>
      </c>
      <c r="N2635" t="s">
        <v>40436</v>
      </c>
      <c r="O2635" t="s">
        <v>40437</v>
      </c>
      <c r="P2635">
        <v>0</v>
      </c>
      <c r="Q2635">
        <v>8</v>
      </c>
      <c r="R2635" t="s">
        <v>40439</v>
      </c>
      <c r="S2635" t="s">
        <v>40588</v>
      </c>
      <c r="T2635" t="s">
        <v>42326</v>
      </c>
      <c r="U2635" t="s">
        <v>44925</v>
      </c>
      <c r="W2635" t="s">
        <v>38094</v>
      </c>
      <c r="X2635" t="s">
        <v>40440</v>
      </c>
    </row>
    <row r="2636" spans="1:24">
      <c r="A2636">
        <f>HYPERLINK("https://www.philgeps.gov.ph/GEPSNONPILOT/Tender/SplashBidNoticeAbstractUI.aspx?menuIndex=3&amp;refID=7044393&amp;Result=3","7044393")</f>
        <v>0</v>
      </c>
      <c r="B2636" t="s">
        <v>1072</v>
      </c>
      <c r="C2636" t="s">
        <v>5614</v>
      </c>
      <c r="D2636" t="s">
        <v>16188</v>
      </c>
      <c r="E2636" t="s">
        <v>16473</v>
      </c>
      <c r="F2636" t="s">
        <v>28198</v>
      </c>
      <c r="G2636" t="s">
        <v>28206</v>
      </c>
      <c r="H2636" t="s">
        <v>28215</v>
      </c>
      <c r="I2636" t="s">
        <v>5100</v>
      </c>
      <c r="J2636" t="s">
        <v>30138</v>
      </c>
      <c r="K2636" t="s">
        <v>36707</v>
      </c>
      <c r="M2636" t="s">
        <v>38106</v>
      </c>
      <c r="N2636" t="s">
        <v>40436</v>
      </c>
      <c r="O2636" t="s">
        <v>40437</v>
      </c>
      <c r="P2636">
        <v>0</v>
      </c>
      <c r="Q2636">
        <v>0</v>
      </c>
      <c r="R2636" t="s">
        <v>40439</v>
      </c>
      <c r="S2636" t="s">
        <v>40588</v>
      </c>
      <c r="T2636" t="s">
        <v>42175</v>
      </c>
      <c r="U2636" t="s">
        <v>44926</v>
      </c>
      <c r="W2636" t="s">
        <v>38106</v>
      </c>
      <c r="X2636" t="s">
        <v>40440</v>
      </c>
    </row>
    <row r="2637" spans="1:24">
      <c r="A2637">
        <f>HYPERLINK("https://www.philgeps.gov.ph/GEPSNONPILOT/Tender/SplashBidNoticeAbstractUI.aspx?menuIndex=3&amp;refID=7044376&amp;Result=3","7044376")</f>
        <v>0</v>
      </c>
      <c r="B2637" t="s">
        <v>264</v>
      </c>
      <c r="C2637" t="s">
        <v>5615</v>
      </c>
      <c r="D2637" t="s">
        <v>16209</v>
      </c>
      <c r="E2637" t="s">
        <v>18691</v>
      </c>
      <c r="F2637" t="s">
        <v>28198</v>
      </c>
      <c r="G2637" t="s">
        <v>28210</v>
      </c>
      <c r="H2637" t="s">
        <v>28215</v>
      </c>
      <c r="I2637" t="s">
        <v>5103</v>
      </c>
      <c r="J2637" t="s">
        <v>30139</v>
      </c>
      <c r="K2637" t="s">
        <v>36698</v>
      </c>
      <c r="L2637" t="s">
        <v>264</v>
      </c>
      <c r="M2637" t="s">
        <v>37240</v>
      </c>
      <c r="N2637" t="s">
        <v>40436</v>
      </c>
      <c r="O2637" t="s">
        <v>40437</v>
      </c>
      <c r="P2637">
        <v>0</v>
      </c>
      <c r="Q2637">
        <v>0</v>
      </c>
      <c r="R2637" t="s">
        <v>40439</v>
      </c>
      <c r="S2637" t="s">
        <v>40588</v>
      </c>
      <c r="T2637" t="s">
        <v>42134</v>
      </c>
      <c r="U2637" t="s">
        <v>44927</v>
      </c>
      <c r="W2637" t="s">
        <v>37240</v>
      </c>
      <c r="X2637" t="s">
        <v>40440</v>
      </c>
    </row>
    <row r="2638" spans="1:24">
      <c r="A2638">
        <f>HYPERLINK("https://www.philgeps.gov.ph/GEPSNONPILOT/Tender/SplashBidNoticeAbstractUI.aspx?menuIndex=3&amp;refID=7044391&amp;Result=3","7044391")</f>
        <v>0</v>
      </c>
      <c r="B2638" t="s">
        <v>574</v>
      </c>
      <c r="C2638" t="s">
        <v>5616</v>
      </c>
      <c r="E2638" t="s">
        <v>18692</v>
      </c>
      <c r="F2638" t="s">
        <v>28198</v>
      </c>
      <c r="G2638" t="s">
        <v>28206</v>
      </c>
      <c r="H2638" t="s">
        <v>28215</v>
      </c>
      <c r="I2638" t="s">
        <v>5103</v>
      </c>
      <c r="J2638" t="s">
        <v>30140</v>
      </c>
      <c r="K2638" t="s">
        <v>36689</v>
      </c>
      <c r="M2638" t="s">
        <v>38104</v>
      </c>
      <c r="N2638" t="s">
        <v>40436</v>
      </c>
      <c r="O2638" t="s">
        <v>40437</v>
      </c>
      <c r="P2638">
        <v>0</v>
      </c>
      <c r="Q2638">
        <v>4</v>
      </c>
      <c r="R2638" t="s">
        <v>40439</v>
      </c>
      <c r="S2638" t="s">
        <v>40588</v>
      </c>
      <c r="T2638" t="s">
        <v>42245</v>
      </c>
      <c r="U2638" t="s">
        <v>44928</v>
      </c>
      <c r="W2638" t="s">
        <v>38104</v>
      </c>
      <c r="X2638" t="s">
        <v>40440</v>
      </c>
    </row>
    <row r="2639" spans="1:24">
      <c r="A2639">
        <f>HYPERLINK("https://www.philgeps.gov.ph/GEPSNONPILOT/Tender/SplashBidNoticeAbstractUI.aspx?menuIndex=3&amp;refID=7044373&amp;Result=3","7044373")</f>
        <v>0</v>
      </c>
      <c r="B2639" t="s">
        <v>1073</v>
      </c>
      <c r="C2639" t="s">
        <v>5617</v>
      </c>
      <c r="E2639" t="s">
        <v>18693</v>
      </c>
      <c r="F2639" t="s">
        <v>28198</v>
      </c>
      <c r="G2639" t="s">
        <v>28207</v>
      </c>
      <c r="H2639" t="s">
        <v>28215</v>
      </c>
      <c r="I2639" t="s">
        <v>4200</v>
      </c>
      <c r="J2639" t="s">
        <v>30141</v>
      </c>
      <c r="K2639" t="s">
        <v>36689</v>
      </c>
      <c r="M2639" t="s">
        <v>38107</v>
      </c>
      <c r="N2639" t="s">
        <v>40436</v>
      </c>
      <c r="O2639" t="s">
        <v>40437</v>
      </c>
      <c r="P2639">
        <v>0</v>
      </c>
      <c r="Q2639">
        <v>1</v>
      </c>
      <c r="R2639" t="s">
        <v>40439</v>
      </c>
      <c r="S2639" t="s">
        <v>40588</v>
      </c>
      <c r="T2639" t="s">
        <v>42161</v>
      </c>
      <c r="U2639" t="s">
        <v>44929</v>
      </c>
      <c r="W2639" t="s">
        <v>38107</v>
      </c>
      <c r="X2639" t="s">
        <v>40440</v>
      </c>
    </row>
    <row r="2640" spans="1:24">
      <c r="A2640">
        <f>HYPERLINK("https://www.philgeps.gov.ph/GEPSNONPILOT/Tender/SplashBidNoticeAbstractUI.aspx?menuIndex=3&amp;refID=7044387&amp;Result=3","7044387")</f>
        <v>0</v>
      </c>
      <c r="B2640" t="s">
        <v>1074</v>
      </c>
      <c r="C2640" t="s">
        <v>5618</v>
      </c>
      <c r="D2640" t="s">
        <v>16246</v>
      </c>
      <c r="E2640" t="s">
        <v>16473</v>
      </c>
      <c r="F2640" t="s">
        <v>28198</v>
      </c>
      <c r="G2640" t="s">
        <v>28205</v>
      </c>
      <c r="H2640" t="s">
        <v>28214</v>
      </c>
      <c r="I2640" t="s">
        <v>3797</v>
      </c>
      <c r="J2640" t="s">
        <v>30142</v>
      </c>
      <c r="K2640" t="s">
        <v>36697</v>
      </c>
      <c r="M2640" t="s">
        <v>38108</v>
      </c>
      <c r="N2640" t="s">
        <v>40436</v>
      </c>
      <c r="O2640" t="s">
        <v>40437</v>
      </c>
      <c r="P2640">
        <v>0</v>
      </c>
      <c r="Q2640">
        <v>0</v>
      </c>
      <c r="R2640" t="s">
        <v>40439</v>
      </c>
      <c r="S2640" t="s">
        <v>40588</v>
      </c>
      <c r="T2640" t="s">
        <v>42134</v>
      </c>
      <c r="U2640" t="s">
        <v>44930</v>
      </c>
      <c r="W2640" t="s">
        <v>38108</v>
      </c>
      <c r="X2640" t="s">
        <v>40440</v>
      </c>
    </row>
    <row r="2641" spans="1:24">
      <c r="A2641">
        <f>HYPERLINK("https://www.philgeps.gov.ph/GEPSNONPILOT/Tender/SplashBidNoticeAbstractUI.aspx?menuIndex=3&amp;refID=7044378&amp;Result=3","7044378")</f>
        <v>0</v>
      </c>
      <c r="B2641" t="s">
        <v>1075</v>
      </c>
      <c r="C2641" t="s">
        <v>5619</v>
      </c>
      <c r="D2641" t="s">
        <v>16249</v>
      </c>
      <c r="E2641" t="s">
        <v>16847</v>
      </c>
      <c r="F2641" t="s">
        <v>28198</v>
      </c>
      <c r="G2641" t="s">
        <v>28206</v>
      </c>
      <c r="H2641" t="s">
        <v>28215</v>
      </c>
      <c r="I2641" t="s">
        <v>28237</v>
      </c>
      <c r="J2641" t="s">
        <v>30143</v>
      </c>
      <c r="K2641" t="s">
        <v>36701</v>
      </c>
      <c r="M2641" t="s">
        <v>38109</v>
      </c>
      <c r="N2641" t="s">
        <v>40436</v>
      </c>
      <c r="O2641" t="s">
        <v>40437</v>
      </c>
      <c r="P2641">
        <v>0</v>
      </c>
      <c r="Q2641">
        <v>5</v>
      </c>
      <c r="R2641" t="s">
        <v>40439</v>
      </c>
      <c r="S2641" t="s">
        <v>40588</v>
      </c>
      <c r="T2641" t="s">
        <v>42158</v>
      </c>
      <c r="U2641" t="s">
        <v>44931</v>
      </c>
      <c r="W2641" t="s">
        <v>38109</v>
      </c>
      <c r="X2641" t="s">
        <v>40440</v>
      </c>
    </row>
    <row r="2642" spans="1:24">
      <c r="A2642">
        <f>HYPERLINK("https://www.philgeps.gov.ph/GEPSNONPILOT/Tender/SplashBidNoticeAbstractUI.aspx?menuIndex=3&amp;refID=7044396&amp;Result=3","7044396")</f>
        <v>0</v>
      </c>
      <c r="B2642" t="s">
        <v>1076</v>
      </c>
      <c r="C2642" t="s">
        <v>5620</v>
      </c>
      <c r="D2642" t="s">
        <v>16193</v>
      </c>
      <c r="E2642" t="s">
        <v>18694</v>
      </c>
      <c r="F2642" t="s">
        <v>28198</v>
      </c>
      <c r="G2642" t="s">
        <v>28206</v>
      </c>
      <c r="H2642" t="s">
        <v>28214</v>
      </c>
      <c r="I2642" t="s">
        <v>28251</v>
      </c>
      <c r="J2642" t="s">
        <v>30144</v>
      </c>
      <c r="K2642" t="s">
        <v>36689</v>
      </c>
      <c r="M2642" t="s">
        <v>38110</v>
      </c>
      <c r="N2642" t="s">
        <v>40436</v>
      </c>
      <c r="O2642" t="s">
        <v>40437</v>
      </c>
      <c r="P2642">
        <v>0</v>
      </c>
      <c r="Q2642">
        <v>1</v>
      </c>
      <c r="R2642" t="s">
        <v>40439</v>
      </c>
      <c r="S2642" t="s">
        <v>40588</v>
      </c>
      <c r="T2642" t="s">
        <v>42184</v>
      </c>
      <c r="U2642" t="s">
        <v>44932</v>
      </c>
      <c r="W2642" t="s">
        <v>38110</v>
      </c>
      <c r="X2642" t="s">
        <v>40440</v>
      </c>
    </row>
    <row r="2643" spans="1:24">
      <c r="A2643">
        <f>HYPERLINK("https://www.philgeps.gov.ph/GEPSNONPILOT/Tender/SplashBidNoticeAbstractUI.aspx?menuIndex=3&amp;refID=7044403&amp;Result=3","7044403")</f>
        <v>0</v>
      </c>
      <c r="B2643" t="s">
        <v>205</v>
      </c>
      <c r="C2643" t="s">
        <v>5621</v>
      </c>
      <c r="D2643" t="s">
        <v>16209</v>
      </c>
      <c r="E2643" t="s">
        <v>18695</v>
      </c>
      <c r="F2643" t="s">
        <v>28198</v>
      </c>
      <c r="G2643" t="s">
        <v>28205</v>
      </c>
      <c r="H2643" t="s">
        <v>28215</v>
      </c>
      <c r="I2643" t="s">
        <v>4168</v>
      </c>
      <c r="J2643" t="s">
        <v>28486</v>
      </c>
      <c r="K2643" t="s">
        <v>36715</v>
      </c>
      <c r="M2643" t="s">
        <v>37181</v>
      </c>
      <c r="N2643" t="s">
        <v>40436</v>
      </c>
      <c r="O2643" t="s">
        <v>40437</v>
      </c>
      <c r="P2643">
        <v>0</v>
      </c>
      <c r="Q2643">
        <v>0</v>
      </c>
      <c r="R2643" t="s">
        <v>40439</v>
      </c>
      <c r="S2643" t="s">
        <v>40588</v>
      </c>
      <c r="T2643" t="s">
        <v>42320</v>
      </c>
      <c r="U2643" t="s">
        <v>44933</v>
      </c>
      <c r="W2643" t="s">
        <v>37181</v>
      </c>
      <c r="X2643" t="s">
        <v>40440</v>
      </c>
    </row>
    <row r="2644" spans="1:24">
      <c r="A2644">
        <f>HYPERLINK("https://www.philgeps.gov.ph/GEPSNONPILOT/Tender/SplashBidNoticeAbstractUI.aspx?menuIndex=3&amp;refID=7044401&amp;Result=3","7044401")</f>
        <v>0</v>
      </c>
      <c r="B2644" t="s">
        <v>65</v>
      </c>
      <c r="C2644" t="s">
        <v>5622</v>
      </c>
      <c r="E2644" t="s">
        <v>18696</v>
      </c>
      <c r="F2644" t="s">
        <v>28198</v>
      </c>
      <c r="G2644" t="s">
        <v>28207</v>
      </c>
      <c r="H2644" t="s">
        <v>28215</v>
      </c>
      <c r="I2644" t="s">
        <v>28238</v>
      </c>
      <c r="J2644" t="s">
        <v>30145</v>
      </c>
      <c r="K2644" t="s">
        <v>36689</v>
      </c>
      <c r="M2644" t="s">
        <v>37789</v>
      </c>
      <c r="N2644" t="s">
        <v>40436</v>
      </c>
      <c r="O2644" t="s">
        <v>40437</v>
      </c>
      <c r="P2644">
        <v>0</v>
      </c>
      <c r="Q2644">
        <v>1</v>
      </c>
      <c r="R2644" t="s">
        <v>40439</v>
      </c>
      <c r="S2644" t="s">
        <v>40588</v>
      </c>
      <c r="T2644" t="s">
        <v>42134</v>
      </c>
      <c r="U2644" t="s">
        <v>44934</v>
      </c>
      <c r="W2644" t="s">
        <v>37789</v>
      </c>
      <c r="X2644" t="s">
        <v>40440</v>
      </c>
    </row>
    <row r="2645" spans="1:24">
      <c r="A2645">
        <f>HYPERLINK("https://www.philgeps.gov.ph/GEPSNONPILOT/Tender/SplashBidNoticeAbstractUI.aspx?menuIndex=3&amp;refID=7044409&amp;Result=3","7044409")</f>
        <v>0</v>
      </c>
      <c r="B2645" t="s">
        <v>1072</v>
      </c>
      <c r="C2645" t="s">
        <v>5623</v>
      </c>
      <c r="D2645" t="s">
        <v>16188</v>
      </c>
      <c r="E2645" t="s">
        <v>16766</v>
      </c>
      <c r="F2645" t="s">
        <v>28198</v>
      </c>
      <c r="G2645" t="s">
        <v>28206</v>
      </c>
      <c r="H2645" t="s">
        <v>28215</v>
      </c>
      <c r="I2645" t="s">
        <v>5103</v>
      </c>
      <c r="J2645" t="s">
        <v>30146</v>
      </c>
      <c r="K2645" t="s">
        <v>36707</v>
      </c>
      <c r="M2645" t="s">
        <v>38106</v>
      </c>
      <c r="N2645" t="s">
        <v>40436</v>
      </c>
      <c r="O2645" t="s">
        <v>40437</v>
      </c>
      <c r="P2645">
        <v>0</v>
      </c>
      <c r="Q2645">
        <v>2</v>
      </c>
      <c r="R2645" t="s">
        <v>40439</v>
      </c>
      <c r="S2645" t="s">
        <v>40588</v>
      </c>
      <c r="T2645" t="s">
        <v>42175</v>
      </c>
      <c r="U2645" t="s">
        <v>44926</v>
      </c>
      <c r="W2645" t="s">
        <v>38106</v>
      </c>
      <c r="X2645" t="s">
        <v>40440</v>
      </c>
    </row>
    <row r="2646" spans="1:24">
      <c r="A2646">
        <f>HYPERLINK("https://www.philgeps.gov.ph/GEPSNONPILOT/Tender/SplashBidNoticeAbstractUI.aspx?menuIndex=3&amp;refID=7044399&amp;Result=3","7044399")</f>
        <v>0</v>
      </c>
      <c r="B2646" t="s">
        <v>773</v>
      </c>
      <c r="C2646" t="s">
        <v>5624</v>
      </c>
      <c r="D2646" t="s">
        <v>16219</v>
      </c>
      <c r="E2646" t="s">
        <v>18697</v>
      </c>
      <c r="F2646" t="s">
        <v>28198</v>
      </c>
      <c r="G2646" t="s">
        <v>28207</v>
      </c>
      <c r="H2646" t="s">
        <v>28215</v>
      </c>
      <c r="I2646" t="s">
        <v>28224</v>
      </c>
      <c r="J2646" t="s">
        <v>29626</v>
      </c>
      <c r="K2646" t="s">
        <v>36688</v>
      </c>
      <c r="M2646" t="s">
        <v>38111</v>
      </c>
      <c r="N2646" t="s">
        <v>40436</v>
      </c>
      <c r="O2646" t="s">
        <v>40437</v>
      </c>
      <c r="P2646">
        <v>0</v>
      </c>
      <c r="Q2646">
        <v>0</v>
      </c>
      <c r="R2646" t="s">
        <v>40439</v>
      </c>
      <c r="S2646" t="s">
        <v>40588</v>
      </c>
      <c r="T2646" t="s">
        <v>42133</v>
      </c>
      <c r="U2646" t="s">
        <v>44935</v>
      </c>
      <c r="W2646" t="s">
        <v>38111</v>
      </c>
      <c r="X2646" t="s">
        <v>40440</v>
      </c>
    </row>
    <row r="2647" spans="1:24">
      <c r="A2647">
        <f>HYPERLINK("https://www.philgeps.gov.ph/GEPSNONPILOT/Tender/SplashBidNoticeAbstractUI.aspx?menuIndex=3&amp;refID=7044400&amp;Result=3","7044400")</f>
        <v>0</v>
      </c>
      <c r="B2647" t="s">
        <v>1077</v>
      </c>
      <c r="C2647" t="s">
        <v>5625</v>
      </c>
      <c r="D2647" t="s">
        <v>16238</v>
      </c>
      <c r="E2647" t="s">
        <v>18698</v>
      </c>
      <c r="F2647" t="s">
        <v>28198</v>
      </c>
      <c r="G2647" t="s">
        <v>28205</v>
      </c>
      <c r="H2647" t="s">
        <v>28215</v>
      </c>
      <c r="I2647" t="s">
        <v>5100</v>
      </c>
      <c r="J2647" t="s">
        <v>30147</v>
      </c>
      <c r="K2647" t="s">
        <v>36688</v>
      </c>
      <c r="M2647" t="s">
        <v>38112</v>
      </c>
      <c r="N2647" t="s">
        <v>40436</v>
      </c>
      <c r="O2647" t="s">
        <v>40437</v>
      </c>
      <c r="P2647">
        <v>0</v>
      </c>
      <c r="Q2647">
        <v>0</v>
      </c>
      <c r="R2647" t="s">
        <v>40439</v>
      </c>
      <c r="S2647" t="s">
        <v>40588</v>
      </c>
      <c r="T2647" t="s">
        <v>42329</v>
      </c>
      <c r="U2647" t="s">
        <v>44936</v>
      </c>
      <c r="W2647" t="s">
        <v>38112</v>
      </c>
      <c r="X2647" t="s">
        <v>40440</v>
      </c>
    </row>
    <row r="2648" spans="1:24">
      <c r="A2648">
        <f>HYPERLINK("https://www.philgeps.gov.ph/GEPSNONPILOT/Tender/SplashBidNoticeAbstractUI.aspx?menuIndex=3&amp;refID=7044397&amp;Result=3","7044397")</f>
        <v>0</v>
      </c>
      <c r="B2648" t="s">
        <v>1078</v>
      </c>
      <c r="C2648" t="s">
        <v>5626</v>
      </c>
      <c r="D2648" t="s">
        <v>16210</v>
      </c>
      <c r="E2648" t="s">
        <v>18699</v>
      </c>
      <c r="F2648" t="s">
        <v>28198</v>
      </c>
      <c r="G2648" t="s">
        <v>28207</v>
      </c>
      <c r="H2648" t="s">
        <v>28217</v>
      </c>
      <c r="I2648" t="s">
        <v>28260</v>
      </c>
      <c r="J2648" t="s">
        <v>30148</v>
      </c>
      <c r="K2648" t="s">
        <v>36701</v>
      </c>
      <c r="M2648" t="s">
        <v>38113</v>
      </c>
      <c r="N2648" t="s">
        <v>40436</v>
      </c>
      <c r="O2648" t="s">
        <v>40437</v>
      </c>
      <c r="P2648">
        <v>0</v>
      </c>
      <c r="Q2648">
        <v>0</v>
      </c>
      <c r="R2648" t="s">
        <v>40439</v>
      </c>
      <c r="S2648" t="s">
        <v>40588</v>
      </c>
      <c r="T2648" t="s">
        <v>42218</v>
      </c>
      <c r="U2648" t="s">
        <v>44937</v>
      </c>
      <c r="W2648" t="s">
        <v>38113</v>
      </c>
      <c r="X2648" t="s">
        <v>40440</v>
      </c>
    </row>
    <row r="2649" spans="1:24">
      <c r="A2649">
        <f>HYPERLINK("https://www.philgeps.gov.ph/GEPSNONPILOT/Tender/SplashBidNoticeAbstractUI.aspx?menuIndex=3&amp;refID=7044407&amp;Result=3","7044407")</f>
        <v>0</v>
      </c>
      <c r="B2649" t="s">
        <v>1076</v>
      </c>
      <c r="C2649" t="s">
        <v>5627</v>
      </c>
      <c r="D2649" t="s">
        <v>16193</v>
      </c>
      <c r="E2649" t="s">
        <v>18700</v>
      </c>
      <c r="F2649" t="s">
        <v>28198</v>
      </c>
      <c r="G2649" t="s">
        <v>28206</v>
      </c>
      <c r="H2649" t="s">
        <v>28214</v>
      </c>
      <c r="I2649" t="s">
        <v>8870</v>
      </c>
      <c r="J2649" t="s">
        <v>29016</v>
      </c>
      <c r="K2649" t="s">
        <v>36689</v>
      </c>
      <c r="M2649" t="s">
        <v>38110</v>
      </c>
      <c r="N2649" t="s">
        <v>40436</v>
      </c>
      <c r="O2649" t="s">
        <v>40437</v>
      </c>
      <c r="P2649">
        <v>0</v>
      </c>
      <c r="Q2649">
        <v>0</v>
      </c>
      <c r="R2649" t="s">
        <v>40439</v>
      </c>
      <c r="S2649" t="s">
        <v>40588</v>
      </c>
      <c r="T2649" t="s">
        <v>42184</v>
      </c>
      <c r="U2649" t="s">
        <v>44938</v>
      </c>
      <c r="W2649" t="s">
        <v>38110</v>
      </c>
      <c r="X2649" t="s">
        <v>40440</v>
      </c>
    </row>
    <row r="2650" spans="1:24">
      <c r="A2650">
        <f>HYPERLINK("https://www.philgeps.gov.ph/GEPSNONPILOT/Tender/SplashBidNoticeAbstractUI.aspx?menuIndex=3&amp;refID=7044416&amp;Result=3","7044416")</f>
        <v>0</v>
      </c>
      <c r="B2650" t="s">
        <v>1079</v>
      </c>
      <c r="C2650" t="s">
        <v>4200</v>
      </c>
      <c r="D2650" t="s">
        <v>16209</v>
      </c>
      <c r="E2650" t="s">
        <v>18701</v>
      </c>
      <c r="F2650" t="s">
        <v>28198</v>
      </c>
      <c r="G2650" t="s">
        <v>28207</v>
      </c>
      <c r="H2650" t="s">
        <v>28215</v>
      </c>
      <c r="I2650" t="s">
        <v>4200</v>
      </c>
      <c r="J2650" t="s">
        <v>30149</v>
      </c>
      <c r="K2650" t="s">
        <v>36689</v>
      </c>
      <c r="M2650" t="s">
        <v>38114</v>
      </c>
      <c r="N2650" t="s">
        <v>40436</v>
      </c>
      <c r="O2650" t="s">
        <v>40437</v>
      </c>
      <c r="P2650">
        <v>0</v>
      </c>
      <c r="Q2650">
        <v>1</v>
      </c>
      <c r="R2650" t="s">
        <v>40439</v>
      </c>
      <c r="S2650" t="s">
        <v>40588</v>
      </c>
      <c r="T2650" t="s">
        <v>42326</v>
      </c>
      <c r="U2650" t="s">
        <v>44939</v>
      </c>
      <c r="V2650" t="s">
        <v>53921</v>
      </c>
      <c r="W2650" t="s">
        <v>38114</v>
      </c>
      <c r="X2650" t="s">
        <v>40440</v>
      </c>
    </row>
    <row r="2651" spans="1:24">
      <c r="A2651">
        <f>HYPERLINK("https://www.philgeps.gov.ph/GEPSNONPILOT/Tender/SplashBidNoticeAbstractUI.aspx?menuIndex=3&amp;refID=7044406&amp;Result=3","7044406")</f>
        <v>0</v>
      </c>
      <c r="B2651" t="s">
        <v>1080</v>
      </c>
      <c r="C2651" t="s">
        <v>5628</v>
      </c>
      <c r="D2651" t="s">
        <v>16189</v>
      </c>
      <c r="E2651" t="s">
        <v>18702</v>
      </c>
      <c r="F2651" t="s">
        <v>28198</v>
      </c>
      <c r="G2651" t="s">
        <v>28206</v>
      </c>
      <c r="H2651" t="s">
        <v>28215</v>
      </c>
      <c r="I2651" t="s">
        <v>5100</v>
      </c>
      <c r="J2651" t="s">
        <v>30150</v>
      </c>
      <c r="K2651" t="s">
        <v>36689</v>
      </c>
      <c r="M2651" t="s">
        <v>38115</v>
      </c>
      <c r="N2651" t="s">
        <v>40436</v>
      </c>
      <c r="O2651" t="s">
        <v>40437</v>
      </c>
      <c r="P2651">
        <v>0</v>
      </c>
      <c r="Q2651">
        <v>0</v>
      </c>
      <c r="R2651" t="s">
        <v>40439</v>
      </c>
      <c r="S2651" t="s">
        <v>40588</v>
      </c>
      <c r="T2651" t="s">
        <v>42111</v>
      </c>
      <c r="U2651" t="s">
        <v>44940</v>
      </c>
      <c r="W2651" t="s">
        <v>38115</v>
      </c>
      <c r="X2651" t="s">
        <v>40440</v>
      </c>
    </row>
    <row r="2652" spans="1:24">
      <c r="A2652">
        <f>HYPERLINK("https://www.philgeps.gov.ph/GEPSNONPILOT/Tender/SplashBidNoticeAbstractUI.aspx?menuIndex=3&amp;refID=7044398&amp;Result=3","7044398")</f>
        <v>0</v>
      </c>
      <c r="B2652" t="s">
        <v>1057</v>
      </c>
      <c r="C2652" t="s">
        <v>5629</v>
      </c>
      <c r="D2652" t="s">
        <v>16196</v>
      </c>
      <c r="E2652" t="s">
        <v>18703</v>
      </c>
      <c r="F2652" t="s">
        <v>28198</v>
      </c>
      <c r="G2652" t="s">
        <v>28205</v>
      </c>
      <c r="H2652" t="s">
        <v>28215</v>
      </c>
      <c r="I2652" t="s">
        <v>28228</v>
      </c>
      <c r="J2652" t="s">
        <v>30151</v>
      </c>
      <c r="K2652" t="s">
        <v>36701</v>
      </c>
      <c r="L2652" t="s">
        <v>1057</v>
      </c>
      <c r="M2652" t="s">
        <v>38090</v>
      </c>
      <c r="N2652" t="s">
        <v>40436</v>
      </c>
      <c r="O2652" t="s">
        <v>40437</v>
      </c>
      <c r="P2652">
        <v>0</v>
      </c>
      <c r="Q2652">
        <v>2</v>
      </c>
      <c r="R2652" t="s">
        <v>40439</v>
      </c>
      <c r="S2652" t="s">
        <v>40588</v>
      </c>
      <c r="T2652" t="s">
        <v>42133</v>
      </c>
      <c r="U2652" t="s">
        <v>44941</v>
      </c>
      <c r="W2652" t="s">
        <v>38090</v>
      </c>
      <c r="X2652" t="s">
        <v>40440</v>
      </c>
    </row>
    <row r="2653" spans="1:24">
      <c r="A2653">
        <f>HYPERLINK("https://www.philgeps.gov.ph/GEPSNONPILOT/Tender/SplashBidNoticeAbstractUI.aspx?menuIndex=3&amp;refID=7044414&amp;Result=3","7044414")</f>
        <v>0</v>
      </c>
      <c r="B2653" t="s">
        <v>1081</v>
      </c>
      <c r="C2653" t="s">
        <v>5630</v>
      </c>
      <c r="D2653" t="s">
        <v>16204</v>
      </c>
      <c r="E2653" t="s">
        <v>16860</v>
      </c>
      <c r="F2653" t="s">
        <v>28198</v>
      </c>
      <c r="G2653" t="s">
        <v>28207</v>
      </c>
      <c r="H2653" t="s">
        <v>28215</v>
      </c>
      <c r="I2653" t="s">
        <v>28319</v>
      </c>
      <c r="J2653" t="s">
        <v>28364</v>
      </c>
      <c r="K2653" t="s">
        <v>36687</v>
      </c>
      <c r="M2653" t="s">
        <v>38116</v>
      </c>
      <c r="N2653" t="s">
        <v>40436</v>
      </c>
      <c r="O2653" t="s">
        <v>40437</v>
      </c>
      <c r="P2653">
        <v>0</v>
      </c>
      <c r="Q2653">
        <v>9</v>
      </c>
      <c r="R2653" t="s">
        <v>40439</v>
      </c>
      <c r="S2653" t="s">
        <v>40588</v>
      </c>
      <c r="T2653" t="s">
        <v>42131</v>
      </c>
      <c r="U2653" t="s">
        <v>44942</v>
      </c>
      <c r="W2653" t="s">
        <v>38116</v>
      </c>
      <c r="X2653" t="s">
        <v>40440</v>
      </c>
    </row>
    <row r="2654" spans="1:24">
      <c r="A2654">
        <f>HYPERLINK("https://www.philgeps.gov.ph/GEPSNONPILOT/Tender/SplashBidNoticeAbstractUI.aspx?menuIndex=3&amp;refID=7044412&amp;Result=3","7044412")</f>
        <v>0</v>
      </c>
      <c r="B2654" t="s">
        <v>1082</v>
      </c>
      <c r="C2654" t="s">
        <v>5631</v>
      </c>
      <c r="D2654" t="s">
        <v>16265</v>
      </c>
      <c r="E2654" t="s">
        <v>16352</v>
      </c>
      <c r="F2654" t="s">
        <v>28198</v>
      </c>
      <c r="G2654" t="s">
        <v>28206</v>
      </c>
      <c r="H2654" t="s">
        <v>28215</v>
      </c>
      <c r="I2654" t="s">
        <v>5631</v>
      </c>
      <c r="J2654" t="s">
        <v>29900</v>
      </c>
      <c r="K2654" t="s">
        <v>36693</v>
      </c>
      <c r="M2654" t="s">
        <v>38117</v>
      </c>
      <c r="N2654" t="s">
        <v>40436</v>
      </c>
      <c r="O2654" t="s">
        <v>40437</v>
      </c>
      <c r="P2654">
        <v>0</v>
      </c>
      <c r="Q2654">
        <v>0</v>
      </c>
      <c r="R2654" t="s">
        <v>40439</v>
      </c>
      <c r="S2654" t="s">
        <v>40588</v>
      </c>
      <c r="T2654" t="s">
        <v>42119</v>
      </c>
      <c r="U2654" t="s">
        <v>44943</v>
      </c>
      <c r="W2654" t="s">
        <v>38117</v>
      </c>
      <c r="X2654" t="s">
        <v>40440</v>
      </c>
    </row>
    <row r="2655" spans="1:24">
      <c r="A2655">
        <f>HYPERLINK("https://www.philgeps.gov.ph/GEPSNONPILOT/Tender/SplashBidNoticeAbstractUI.aspx?menuIndex=3&amp;refID=7044408&amp;Result=3","7044408")</f>
        <v>0</v>
      </c>
      <c r="B2655" t="s">
        <v>390</v>
      </c>
      <c r="C2655" t="s">
        <v>5632</v>
      </c>
      <c r="D2655" t="s">
        <v>16235</v>
      </c>
      <c r="E2655" t="s">
        <v>18704</v>
      </c>
      <c r="F2655" t="s">
        <v>28198</v>
      </c>
      <c r="G2655" t="s">
        <v>28207</v>
      </c>
      <c r="H2655" t="s">
        <v>28215</v>
      </c>
      <c r="I2655" t="s">
        <v>28271</v>
      </c>
      <c r="J2655" t="s">
        <v>28661</v>
      </c>
      <c r="K2655" t="s">
        <v>36689</v>
      </c>
      <c r="M2655" t="s">
        <v>37370</v>
      </c>
      <c r="N2655" t="s">
        <v>40436</v>
      </c>
      <c r="O2655" t="s">
        <v>40437</v>
      </c>
      <c r="P2655">
        <v>0</v>
      </c>
      <c r="Q2655">
        <v>2</v>
      </c>
      <c r="R2655" t="s">
        <v>40439</v>
      </c>
      <c r="S2655" t="s">
        <v>40588</v>
      </c>
      <c r="T2655" t="s">
        <v>42169</v>
      </c>
      <c r="U2655" t="s">
        <v>43768</v>
      </c>
      <c r="W2655" t="s">
        <v>37370</v>
      </c>
      <c r="X2655" t="s">
        <v>40440</v>
      </c>
    </row>
    <row r="2656" spans="1:24">
      <c r="A2656">
        <f>HYPERLINK("https://www.philgeps.gov.ph/GEPSNONPILOT/Tender/SplashBidNoticeAbstractUI.aspx?menuIndex=3&amp;refID=7044415&amp;Result=3","7044415")</f>
        <v>0</v>
      </c>
      <c r="B2656" t="s">
        <v>1083</v>
      </c>
      <c r="C2656" t="s">
        <v>5633</v>
      </c>
      <c r="D2656" t="s">
        <v>16260</v>
      </c>
      <c r="E2656" t="s">
        <v>18705</v>
      </c>
      <c r="F2656" t="s">
        <v>28198</v>
      </c>
      <c r="G2656" t="s">
        <v>28205</v>
      </c>
      <c r="H2656" t="s">
        <v>28215</v>
      </c>
      <c r="I2656" t="s">
        <v>28222</v>
      </c>
      <c r="J2656" t="s">
        <v>28663</v>
      </c>
      <c r="K2656" t="s">
        <v>36707</v>
      </c>
      <c r="M2656" t="s">
        <v>38118</v>
      </c>
      <c r="N2656" t="s">
        <v>40436</v>
      </c>
      <c r="O2656" t="s">
        <v>40437</v>
      </c>
      <c r="P2656">
        <v>0</v>
      </c>
      <c r="Q2656">
        <v>8</v>
      </c>
      <c r="R2656" t="s">
        <v>40439</v>
      </c>
      <c r="S2656" t="s">
        <v>40588</v>
      </c>
      <c r="T2656" t="s">
        <v>42330</v>
      </c>
      <c r="U2656" t="s">
        <v>44944</v>
      </c>
      <c r="W2656" t="s">
        <v>38118</v>
      </c>
      <c r="X2656" t="s">
        <v>40440</v>
      </c>
    </row>
    <row r="2657" spans="1:24">
      <c r="A2657">
        <f>HYPERLINK("https://www.philgeps.gov.ph/GEPSNONPILOT/Tender/SplashBidNoticeAbstractUI.aspx?menuIndex=3&amp;refID=7044404&amp;Result=3","7044404")</f>
        <v>0</v>
      </c>
      <c r="B2657" t="s">
        <v>1084</v>
      </c>
      <c r="C2657" t="s">
        <v>5634</v>
      </c>
      <c r="D2657" t="s">
        <v>16249</v>
      </c>
      <c r="E2657" t="s">
        <v>17248</v>
      </c>
      <c r="F2657" t="s">
        <v>28198</v>
      </c>
      <c r="G2657" t="s">
        <v>28205</v>
      </c>
      <c r="H2657" t="s">
        <v>28214</v>
      </c>
      <c r="I2657" t="s">
        <v>5100</v>
      </c>
      <c r="J2657" t="s">
        <v>30152</v>
      </c>
      <c r="K2657" t="s">
        <v>36707</v>
      </c>
      <c r="M2657" t="s">
        <v>38119</v>
      </c>
      <c r="N2657" t="s">
        <v>40436</v>
      </c>
      <c r="O2657" t="s">
        <v>40437</v>
      </c>
      <c r="P2657">
        <v>0</v>
      </c>
      <c r="Q2657">
        <v>1</v>
      </c>
      <c r="R2657" t="s">
        <v>40439</v>
      </c>
      <c r="S2657" t="s">
        <v>40588</v>
      </c>
      <c r="T2657" t="s">
        <v>42278</v>
      </c>
      <c r="U2657" t="s">
        <v>44945</v>
      </c>
      <c r="W2657" t="s">
        <v>38119</v>
      </c>
      <c r="X2657" t="s">
        <v>40440</v>
      </c>
    </row>
    <row r="2658" spans="1:24">
      <c r="A2658">
        <f>HYPERLINK("https://www.philgeps.gov.ph/GEPSNONPILOT/Tender/SplashBidNoticeAbstractUI.aspx?menuIndex=3&amp;refID=7044402&amp;Result=3","7044402")</f>
        <v>0</v>
      </c>
      <c r="B2658" t="s">
        <v>817</v>
      </c>
      <c r="C2658" t="s">
        <v>3516</v>
      </c>
      <c r="D2658" t="s">
        <v>16196</v>
      </c>
      <c r="E2658" t="s">
        <v>18706</v>
      </c>
      <c r="F2658" t="s">
        <v>28198</v>
      </c>
      <c r="G2658" t="s">
        <v>28205</v>
      </c>
      <c r="H2658" t="s">
        <v>28215</v>
      </c>
      <c r="I2658" t="s">
        <v>8888</v>
      </c>
      <c r="J2658" t="s">
        <v>30153</v>
      </c>
      <c r="K2658" t="s">
        <v>36701</v>
      </c>
      <c r="M2658" t="s">
        <v>37829</v>
      </c>
      <c r="N2658" t="s">
        <v>40436</v>
      </c>
      <c r="O2658" t="s">
        <v>40437</v>
      </c>
      <c r="P2658">
        <v>0</v>
      </c>
      <c r="Q2658">
        <v>5</v>
      </c>
      <c r="R2658" t="s">
        <v>40439</v>
      </c>
      <c r="S2658" t="s">
        <v>40588</v>
      </c>
      <c r="T2658" t="s">
        <v>42175</v>
      </c>
      <c r="U2658" t="s">
        <v>44946</v>
      </c>
      <c r="W2658" t="s">
        <v>37829</v>
      </c>
      <c r="X2658" t="s">
        <v>40440</v>
      </c>
    </row>
    <row r="2659" spans="1:24">
      <c r="A2659">
        <f>HYPERLINK("https://www.philgeps.gov.ph/GEPSNONPILOT/Tender/SplashBidNoticeAbstractUI.aspx?menuIndex=3&amp;refID=7044411&amp;Result=3","7044411")</f>
        <v>0</v>
      </c>
      <c r="B2659" t="s">
        <v>1085</v>
      </c>
      <c r="C2659" t="s">
        <v>5635</v>
      </c>
      <c r="D2659" t="s">
        <v>16216</v>
      </c>
      <c r="E2659" t="s">
        <v>18707</v>
      </c>
      <c r="F2659" t="s">
        <v>28198</v>
      </c>
      <c r="G2659" t="s">
        <v>28207</v>
      </c>
      <c r="H2659" t="s">
        <v>28215</v>
      </c>
      <c r="I2659" t="s">
        <v>28258</v>
      </c>
      <c r="J2659" t="s">
        <v>28378</v>
      </c>
      <c r="K2659" t="s">
        <v>36693</v>
      </c>
      <c r="M2659" t="s">
        <v>38120</v>
      </c>
      <c r="N2659" t="s">
        <v>40436</v>
      </c>
      <c r="O2659" t="s">
        <v>40437</v>
      </c>
      <c r="P2659">
        <v>0</v>
      </c>
      <c r="Q2659">
        <v>6</v>
      </c>
      <c r="R2659" t="s">
        <v>40439</v>
      </c>
      <c r="S2659" t="s">
        <v>40588</v>
      </c>
      <c r="T2659" t="s">
        <v>42216</v>
      </c>
      <c r="U2659" t="s">
        <v>44947</v>
      </c>
      <c r="W2659" t="s">
        <v>38120</v>
      </c>
      <c r="X2659" t="s">
        <v>40440</v>
      </c>
    </row>
    <row r="2660" spans="1:24">
      <c r="A2660">
        <f>HYPERLINK("https://www.philgeps.gov.ph/GEPSNONPILOT/Tender/SplashBidNoticeAbstractUI.aspx?menuIndex=3&amp;refID=7044417&amp;Result=3","7044417")</f>
        <v>0</v>
      </c>
      <c r="B2660" t="s">
        <v>1086</v>
      </c>
      <c r="C2660" t="s">
        <v>5636</v>
      </c>
      <c r="D2660" t="s">
        <v>16241</v>
      </c>
      <c r="E2660" t="s">
        <v>18708</v>
      </c>
      <c r="F2660" t="s">
        <v>28198</v>
      </c>
      <c r="G2660" t="s">
        <v>28206</v>
      </c>
      <c r="H2660" t="s">
        <v>28215</v>
      </c>
      <c r="I2660" t="s">
        <v>28234</v>
      </c>
      <c r="J2660" t="s">
        <v>30154</v>
      </c>
      <c r="K2660" t="s">
        <v>36706</v>
      </c>
      <c r="M2660" t="s">
        <v>38121</v>
      </c>
      <c r="N2660" t="s">
        <v>40436</v>
      </c>
      <c r="O2660" t="s">
        <v>40437</v>
      </c>
      <c r="P2660">
        <v>0</v>
      </c>
      <c r="Q2660">
        <v>2</v>
      </c>
      <c r="R2660" t="s">
        <v>40439</v>
      </c>
      <c r="S2660" t="s">
        <v>40588</v>
      </c>
      <c r="T2660" t="s">
        <v>42134</v>
      </c>
      <c r="U2660" t="s">
        <v>44948</v>
      </c>
      <c r="W2660" t="s">
        <v>38121</v>
      </c>
      <c r="X2660" t="s">
        <v>40440</v>
      </c>
    </row>
    <row r="2661" spans="1:24">
      <c r="A2661">
        <f>HYPERLINK("https://www.philgeps.gov.ph/GEPSNONPILOT/Tender/SplashBidNoticeAbstractUI.aspx?menuIndex=3&amp;refID=7044405&amp;Result=3","7044405")</f>
        <v>0</v>
      </c>
      <c r="B2661" t="s">
        <v>574</v>
      </c>
      <c r="C2661" t="s">
        <v>5637</v>
      </c>
      <c r="E2661" t="s">
        <v>18709</v>
      </c>
      <c r="F2661" t="s">
        <v>28198</v>
      </c>
      <c r="G2661" t="s">
        <v>28206</v>
      </c>
      <c r="H2661" t="s">
        <v>28215</v>
      </c>
      <c r="I2661" t="s">
        <v>5082</v>
      </c>
      <c r="J2661" t="s">
        <v>30155</v>
      </c>
      <c r="K2661" t="s">
        <v>36689</v>
      </c>
      <c r="M2661" t="s">
        <v>38104</v>
      </c>
      <c r="N2661" t="s">
        <v>40436</v>
      </c>
      <c r="O2661" t="s">
        <v>40437</v>
      </c>
      <c r="P2661">
        <v>0</v>
      </c>
      <c r="Q2661">
        <v>0</v>
      </c>
      <c r="R2661" t="s">
        <v>40439</v>
      </c>
      <c r="S2661" t="s">
        <v>40588</v>
      </c>
      <c r="T2661" t="s">
        <v>42245</v>
      </c>
      <c r="U2661" t="s">
        <v>44949</v>
      </c>
      <c r="W2661" t="s">
        <v>38104</v>
      </c>
      <c r="X2661" t="s">
        <v>40440</v>
      </c>
    </row>
    <row r="2662" spans="1:24">
      <c r="A2662">
        <f>HYPERLINK("https://www.philgeps.gov.ph/GEPSNONPILOT/Tender/SplashBidNoticeAbstractUI.aspx?menuIndex=3&amp;refID=7044413&amp;Result=3","7044413")</f>
        <v>0</v>
      </c>
      <c r="B2662" t="s">
        <v>773</v>
      </c>
      <c r="C2662" t="s">
        <v>5638</v>
      </c>
      <c r="D2662" t="s">
        <v>16219</v>
      </c>
      <c r="E2662" t="s">
        <v>18710</v>
      </c>
      <c r="F2662" t="s">
        <v>28198</v>
      </c>
      <c r="G2662" t="s">
        <v>28207</v>
      </c>
      <c r="H2662" t="s">
        <v>28215</v>
      </c>
      <c r="I2662" t="s">
        <v>7310</v>
      </c>
      <c r="J2662" t="s">
        <v>30156</v>
      </c>
      <c r="K2662" t="s">
        <v>36688</v>
      </c>
      <c r="M2662" t="s">
        <v>38111</v>
      </c>
      <c r="N2662" t="s">
        <v>40436</v>
      </c>
      <c r="O2662" t="s">
        <v>40437</v>
      </c>
      <c r="P2662">
        <v>0</v>
      </c>
      <c r="Q2662">
        <v>1</v>
      </c>
      <c r="R2662" t="s">
        <v>40439</v>
      </c>
      <c r="S2662" t="s">
        <v>40588</v>
      </c>
      <c r="T2662" t="s">
        <v>42133</v>
      </c>
      <c r="U2662" t="s">
        <v>44950</v>
      </c>
      <c r="W2662" t="s">
        <v>38111</v>
      </c>
      <c r="X2662" t="s">
        <v>40440</v>
      </c>
    </row>
    <row r="2663" spans="1:24">
      <c r="A2663">
        <f>HYPERLINK("https://www.philgeps.gov.ph/GEPSNONPILOT/Tender/SplashBidNoticeAbstractUI.aspx?menuIndex=3&amp;refID=7044420&amp;Result=3","7044420")</f>
        <v>0</v>
      </c>
      <c r="B2663" t="s">
        <v>1087</v>
      </c>
      <c r="C2663" t="s">
        <v>5639</v>
      </c>
      <c r="D2663" t="s">
        <v>16204</v>
      </c>
      <c r="E2663" t="s">
        <v>18711</v>
      </c>
      <c r="F2663" t="s">
        <v>28198</v>
      </c>
      <c r="G2663" t="s">
        <v>28207</v>
      </c>
      <c r="H2663" t="s">
        <v>28215</v>
      </c>
      <c r="I2663" t="s">
        <v>5082</v>
      </c>
      <c r="J2663" t="s">
        <v>30157</v>
      </c>
      <c r="K2663" t="s">
        <v>36688</v>
      </c>
      <c r="M2663" t="s">
        <v>38122</v>
      </c>
      <c r="N2663" t="s">
        <v>40436</v>
      </c>
      <c r="O2663" t="s">
        <v>40437</v>
      </c>
      <c r="P2663">
        <v>0</v>
      </c>
      <c r="Q2663">
        <v>1</v>
      </c>
      <c r="R2663" t="s">
        <v>40439</v>
      </c>
      <c r="S2663" t="s">
        <v>40588</v>
      </c>
      <c r="T2663" t="s">
        <v>42161</v>
      </c>
      <c r="U2663" t="s">
        <v>44951</v>
      </c>
      <c r="W2663" t="s">
        <v>38122</v>
      </c>
      <c r="X2663" t="s">
        <v>40440</v>
      </c>
    </row>
    <row r="2664" spans="1:24">
      <c r="A2664">
        <f>HYPERLINK("https://www.philgeps.gov.ph/GEPSNONPILOT/Tender/SplashBidNoticeAbstractUI.aspx?menuIndex=3&amp;refID=7044419&amp;Result=3","7044419")</f>
        <v>0</v>
      </c>
      <c r="B2664" t="s">
        <v>401</v>
      </c>
      <c r="C2664" t="s">
        <v>5640</v>
      </c>
      <c r="D2664" t="s">
        <v>16223</v>
      </c>
      <c r="E2664" t="s">
        <v>17018</v>
      </c>
      <c r="F2664" t="s">
        <v>28198</v>
      </c>
      <c r="G2664" t="s">
        <v>28207</v>
      </c>
      <c r="H2664" t="s">
        <v>28215</v>
      </c>
      <c r="I2664" t="s">
        <v>28256</v>
      </c>
      <c r="J2664" t="s">
        <v>28878</v>
      </c>
      <c r="K2664" t="s">
        <v>36691</v>
      </c>
      <c r="M2664" t="s">
        <v>37382</v>
      </c>
      <c r="N2664" t="s">
        <v>40436</v>
      </c>
      <c r="O2664" t="s">
        <v>40437</v>
      </c>
      <c r="P2664">
        <v>0</v>
      </c>
      <c r="Q2664">
        <v>5</v>
      </c>
      <c r="R2664" t="s">
        <v>40439</v>
      </c>
      <c r="S2664" t="s">
        <v>40588</v>
      </c>
      <c r="T2664" t="s">
        <v>42158</v>
      </c>
      <c r="U2664" t="s">
        <v>44952</v>
      </c>
      <c r="W2664" t="s">
        <v>37382</v>
      </c>
      <c r="X2664" t="s">
        <v>40440</v>
      </c>
    </row>
    <row r="2665" spans="1:24">
      <c r="A2665">
        <f>HYPERLINK("https://www.philgeps.gov.ph/GEPSNONPILOT/Tender/SplashBidNoticeAbstractUI.aspx?menuIndex=3&amp;refID=7044426&amp;Result=3","7044426")</f>
        <v>0</v>
      </c>
      <c r="B2665" t="s">
        <v>1088</v>
      </c>
      <c r="C2665" t="s">
        <v>5641</v>
      </c>
      <c r="D2665" t="s">
        <v>16244</v>
      </c>
      <c r="E2665" t="s">
        <v>18712</v>
      </c>
      <c r="F2665" t="s">
        <v>28198</v>
      </c>
      <c r="G2665" t="s">
        <v>28207</v>
      </c>
      <c r="H2665" t="s">
        <v>28215</v>
      </c>
      <c r="I2665" t="s">
        <v>3774</v>
      </c>
      <c r="J2665" t="s">
        <v>30158</v>
      </c>
      <c r="K2665" t="s">
        <v>36688</v>
      </c>
      <c r="M2665" t="s">
        <v>38123</v>
      </c>
      <c r="N2665" t="s">
        <v>40436</v>
      </c>
      <c r="O2665" t="s">
        <v>40437</v>
      </c>
      <c r="P2665">
        <v>0</v>
      </c>
      <c r="Q2665">
        <v>0</v>
      </c>
      <c r="R2665" t="s">
        <v>40439</v>
      </c>
      <c r="S2665" t="s">
        <v>40588</v>
      </c>
      <c r="T2665" t="s">
        <v>42190</v>
      </c>
      <c r="U2665" t="s">
        <v>44953</v>
      </c>
      <c r="W2665" t="s">
        <v>55472</v>
      </c>
      <c r="X2665" t="s">
        <v>40440</v>
      </c>
    </row>
    <row r="2666" spans="1:24">
      <c r="A2666">
        <f>HYPERLINK("https://www.philgeps.gov.ph/GEPSNONPILOT/Tender/SplashBidNoticeAbstractUI.aspx?menuIndex=3&amp;refID=7044418&amp;Result=3","7044418")</f>
        <v>0</v>
      </c>
      <c r="B2666" t="s">
        <v>215</v>
      </c>
      <c r="C2666" t="s">
        <v>5642</v>
      </c>
      <c r="D2666" t="s">
        <v>16218</v>
      </c>
      <c r="E2666" t="s">
        <v>18713</v>
      </c>
      <c r="F2666" t="s">
        <v>28198</v>
      </c>
      <c r="G2666" t="s">
        <v>28206</v>
      </c>
      <c r="H2666" t="s">
        <v>28215</v>
      </c>
      <c r="I2666" t="s">
        <v>8888</v>
      </c>
      <c r="J2666" t="s">
        <v>30159</v>
      </c>
      <c r="K2666" t="s">
        <v>36688</v>
      </c>
      <c r="M2666" t="s">
        <v>37191</v>
      </c>
      <c r="N2666" t="s">
        <v>40436</v>
      </c>
      <c r="O2666" t="s">
        <v>40437</v>
      </c>
      <c r="P2666">
        <v>0</v>
      </c>
      <c r="Q2666">
        <v>0</v>
      </c>
      <c r="R2666" t="s">
        <v>40439</v>
      </c>
      <c r="S2666" t="s">
        <v>40588</v>
      </c>
      <c r="T2666" t="s">
        <v>42158</v>
      </c>
      <c r="U2666" t="s">
        <v>44954</v>
      </c>
      <c r="W2666" t="s">
        <v>37191</v>
      </c>
      <c r="X2666" t="s">
        <v>40440</v>
      </c>
    </row>
    <row r="2667" spans="1:24">
      <c r="A2667">
        <f>HYPERLINK("https://www.philgeps.gov.ph/GEPSNONPILOT/Tender/SplashBidNoticeAbstractUI.aspx?menuIndex=3&amp;refID=7044428&amp;Result=3","7044428")</f>
        <v>0</v>
      </c>
      <c r="B2667" t="s">
        <v>1089</v>
      </c>
      <c r="C2667" t="s">
        <v>3220</v>
      </c>
      <c r="D2667" t="s">
        <v>16210</v>
      </c>
      <c r="E2667" t="s">
        <v>18714</v>
      </c>
      <c r="F2667" t="s">
        <v>28198</v>
      </c>
      <c r="G2667" t="s">
        <v>28206</v>
      </c>
      <c r="H2667" t="s">
        <v>28215</v>
      </c>
      <c r="I2667" t="s">
        <v>5082</v>
      </c>
      <c r="J2667" t="s">
        <v>28352</v>
      </c>
      <c r="K2667" t="s">
        <v>36688</v>
      </c>
      <c r="M2667" t="s">
        <v>38124</v>
      </c>
      <c r="N2667" t="s">
        <v>40436</v>
      </c>
      <c r="O2667" t="s">
        <v>40437</v>
      </c>
      <c r="P2667">
        <v>0</v>
      </c>
      <c r="Q2667">
        <v>3</v>
      </c>
      <c r="R2667" t="s">
        <v>40439</v>
      </c>
      <c r="S2667" t="s">
        <v>40588</v>
      </c>
      <c r="T2667" t="s">
        <v>42097</v>
      </c>
      <c r="U2667" t="s">
        <v>44955</v>
      </c>
      <c r="W2667" t="s">
        <v>38124</v>
      </c>
      <c r="X2667" t="s">
        <v>40440</v>
      </c>
    </row>
    <row r="2668" spans="1:24">
      <c r="A2668">
        <f>HYPERLINK("https://www.philgeps.gov.ph/GEPSNONPILOT/Tender/SplashBidNoticeAbstractUI.aspx?menuIndex=3&amp;refID=7044423&amp;Result=3","7044423")</f>
        <v>0</v>
      </c>
      <c r="B2668" t="s">
        <v>1063</v>
      </c>
      <c r="C2668" t="s">
        <v>5643</v>
      </c>
      <c r="D2668" t="s">
        <v>16188</v>
      </c>
      <c r="E2668" t="s">
        <v>18715</v>
      </c>
      <c r="F2668" t="s">
        <v>28198</v>
      </c>
      <c r="G2668" t="s">
        <v>28207</v>
      </c>
      <c r="H2668" t="s">
        <v>28215</v>
      </c>
      <c r="I2668" t="s">
        <v>3774</v>
      </c>
      <c r="J2668" t="s">
        <v>28406</v>
      </c>
      <c r="K2668" t="s">
        <v>36689</v>
      </c>
      <c r="M2668" t="s">
        <v>38096</v>
      </c>
      <c r="N2668" t="s">
        <v>40436</v>
      </c>
      <c r="O2668" t="s">
        <v>40437</v>
      </c>
      <c r="P2668">
        <v>0</v>
      </c>
      <c r="Q2668">
        <v>3</v>
      </c>
      <c r="R2668" t="s">
        <v>40439</v>
      </c>
      <c r="S2668" t="s">
        <v>40588</v>
      </c>
      <c r="T2668" t="s">
        <v>42318</v>
      </c>
      <c r="U2668" t="s">
        <v>44956</v>
      </c>
      <c r="W2668" t="s">
        <v>38096</v>
      </c>
      <c r="X2668" t="s">
        <v>40440</v>
      </c>
    </row>
    <row r="2669" spans="1:24">
      <c r="A2669">
        <f>HYPERLINK("https://www.philgeps.gov.ph/GEPSNONPILOT/Tender/SplashBidNoticeAbstractUI.aspx?menuIndex=3&amp;refID=7044421&amp;Result=3","7044421")</f>
        <v>0</v>
      </c>
      <c r="B2669" t="s">
        <v>574</v>
      </c>
      <c r="C2669" t="s">
        <v>5616</v>
      </c>
      <c r="E2669" t="s">
        <v>18716</v>
      </c>
      <c r="F2669" t="s">
        <v>28198</v>
      </c>
      <c r="G2669" t="s">
        <v>28207</v>
      </c>
      <c r="H2669" t="s">
        <v>28215</v>
      </c>
      <c r="I2669" t="s">
        <v>5103</v>
      </c>
      <c r="J2669" t="s">
        <v>28415</v>
      </c>
      <c r="K2669" t="s">
        <v>36689</v>
      </c>
      <c r="M2669" t="s">
        <v>38104</v>
      </c>
      <c r="N2669" t="s">
        <v>40436</v>
      </c>
      <c r="O2669" t="s">
        <v>40437</v>
      </c>
      <c r="P2669">
        <v>0</v>
      </c>
      <c r="Q2669">
        <v>10</v>
      </c>
      <c r="R2669" t="s">
        <v>40439</v>
      </c>
      <c r="S2669" t="s">
        <v>40588</v>
      </c>
      <c r="T2669" t="s">
        <v>42111</v>
      </c>
      <c r="U2669" t="s">
        <v>44957</v>
      </c>
      <c r="W2669" t="s">
        <v>38104</v>
      </c>
      <c r="X2669" t="s">
        <v>40440</v>
      </c>
    </row>
    <row r="2670" spans="1:24">
      <c r="A2670">
        <f>HYPERLINK("https://www.philgeps.gov.ph/GEPSNONPILOT/Tender/SplashBidNoticeAbstractUI.aspx?menuIndex=3&amp;refID=7044424&amp;Result=3","7044424")</f>
        <v>0</v>
      </c>
      <c r="B2670" t="s">
        <v>1090</v>
      </c>
      <c r="C2670" t="s">
        <v>5644</v>
      </c>
      <c r="D2670" t="s">
        <v>16245</v>
      </c>
      <c r="E2670" t="s">
        <v>18717</v>
      </c>
      <c r="F2670" t="s">
        <v>28198</v>
      </c>
      <c r="G2670" t="s">
        <v>28207</v>
      </c>
      <c r="H2670" t="s">
        <v>28215</v>
      </c>
      <c r="I2670" t="s">
        <v>4168</v>
      </c>
      <c r="J2670" t="s">
        <v>28772</v>
      </c>
      <c r="K2670" t="s">
        <v>36707</v>
      </c>
      <c r="M2670" t="s">
        <v>38125</v>
      </c>
      <c r="N2670" t="s">
        <v>40436</v>
      </c>
      <c r="O2670" t="s">
        <v>40437</v>
      </c>
      <c r="P2670">
        <v>0</v>
      </c>
      <c r="Q2670">
        <v>1</v>
      </c>
      <c r="R2670" t="s">
        <v>40439</v>
      </c>
      <c r="S2670" t="s">
        <v>40588</v>
      </c>
      <c r="T2670" t="s">
        <v>42188</v>
      </c>
      <c r="U2670" t="s">
        <v>44958</v>
      </c>
      <c r="W2670" t="s">
        <v>38125</v>
      </c>
      <c r="X2670" t="s">
        <v>40440</v>
      </c>
    </row>
    <row r="2671" spans="1:24">
      <c r="A2671">
        <f>HYPERLINK("https://www.philgeps.gov.ph/GEPSNONPILOT/Tender/SplashBidNoticeAbstractUI.aspx?menuIndex=3&amp;refID=7044430&amp;Result=3","7044430")</f>
        <v>0</v>
      </c>
      <c r="B2671" t="s">
        <v>1059</v>
      </c>
      <c r="C2671" t="s">
        <v>5645</v>
      </c>
      <c r="D2671" t="s">
        <v>16190</v>
      </c>
      <c r="E2671" t="s">
        <v>18718</v>
      </c>
      <c r="F2671" t="s">
        <v>28198</v>
      </c>
      <c r="G2671" t="s">
        <v>28207</v>
      </c>
      <c r="H2671" t="s">
        <v>28215</v>
      </c>
      <c r="I2671" t="s">
        <v>4168</v>
      </c>
      <c r="J2671" t="s">
        <v>29597</v>
      </c>
      <c r="K2671" t="s">
        <v>36701</v>
      </c>
      <c r="M2671" t="s">
        <v>38092</v>
      </c>
      <c r="N2671" t="s">
        <v>40436</v>
      </c>
      <c r="O2671" t="s">
        <v>40437</v>
      </c>
      <c r="P2671">
        <v>0</v>
      </c>
      <c r="Q2671">
        <v>1</v>
      </c>
      <c r="R2671" t="s">
        <v>40439</v>
      </c>
      <c r="S2671" t="s">
        <v>40588</v>
      </c>
      <c r="T2671" t="s">
        <v>42158</v>
      </c>
      <c r="U2671" t="s">
        <v>44959</v>
      </c>
      <c r="W2671" t="s">
        <v>38092</v>
      </c>
      <c r="X2671" t="s">
        <v>40440</v>
      </c>
    </row>
    <row r="2672" spans="1:24">
      <c r="A2672">
        <f>HYPERLINK("https://www.philgeps.gov.ph/GEPSNONPILOT/Tender/SplashBidNoticeAbstractUI.aspx?menuIndex=3&amp;refID=7044425&amp;Result=3","7044425")</f>
        <v>0</v>
      </c>
      <c r="B2672" t="s">
        <v>1091</v>
      </c>
      <c r="C2672" t="s">
        <v>5646</v>
      </c>
      <c r="D2672" t="s">
        <v>16206</v>
      </c>
      <c r="E2672" t="s">
        <v>17057</v>
      </c>
      <c r="F2672" t="s">
        <v>28198</v>
      </c>
      <c r="G2672" t="s">
        <v>28207</v>
      </c>
      <c r="H2672" t="s">
        <v>28216</v>
      </c>
      <c r="I2672" t="s">
        <v>28274</v>
      </c>
      <c r="J2672" t="s">
        <v>28593</v>
      </c>
      <c r="K2672" t="s">
        <v>36719</v>
      </c>
      <c r="M2672" t="s">
        <v>38126</v>
      </c>
      <c r="N2672" t="s">
        <v>40436</v>
      </c>
      <c r="O2672" t="s">
        <v>40437</v>
      </c>
      <c r="P2672">
        <v>0</v>
      </c>
      <c r="Q2672">
        <v>0</v>
      </c>
      <c r="R2672" t="s">
        <v>40439</v>
      </c>
      <c r="S2672" t="s">
        <v>40588</v>
      </c>
      <c r="T2672" t="s">
        <v>42158</v>
      </c>
      <c r="U2672" t="s">
        <v>44960</v>
      </c>
      <c r="W2672" t="s">
        <v>38126</v>
      </c>
      <c r="X2672" t="s">
        <v>40440</v>
      </c>
    </row>
    <row r="2673" spans="1:24">
      <c r="A2673">
        <f>HYPERLINK("https://www.philgeps.gov.ph/GEPSNONPILOT/Tender/SplashBidNoticeAbstractUI.aspx?menuIndex=3&amp;refID=7044422&amp;Result=3","7044422")</f>
        <v>0</v>
      </c>
      <c r="B2673" t="s">
        <v>1072</v>
      </c>
      <c r="C2673" t="s">
        <v>5647</v>
      </c>
      <c r="D2673" t="s">
        <v>16188</v>
      </c>
      <c r="E2673" t="s">
        <v>18647</v>
      </c>
      <c r="F2673" t="s">
        <v>28198</v>
      </c>
      <c r="G2673" t="s">
        <v>28206</v>
      </c>
      <c r="H2673" t="s">
        <v>28215</v>
      </c>
      <c r="I2673" t="s">
        <v>28225</v>
      </c>
      <c r="J2673" t="s">
        <v>30160</v>
      </c>
      <c r="K2673" t="s">
        <v>36707</v>
      </c>
      <c r="M2673" t="s">
        <v>38106</v>
      </c>
      <c r="N2673" t="s">
        <v>40436</v>
      </c>
      <c r="O2673" t="s">
        <v>40437</v>
      </c>
      <c r="P2673">
        <v>0</v>
      </c>
      <c r="Q2673">
        <v>2</v>
      </c>
      <c r="R2673" t="s">
        <v>40439</v>
      </c>
      <c r="S2673" t="s">
        <v>40588</v>
      </c>
      <c r="T2673" t="s">
        <v>42175</v>
      </c>
      <c r="U2673" t="s">
        <v>44926</v>
      </c>
      <c r="W2673" t="s">
        <v>38106</v>
      </c>
      <c r="X2673" t="s">
        <v>40440</v>
      </c>
    </row>
    <row r="2674" spans="1:24">
      <c r="A2674">
        <f>HYPERLINK("https://www.philgeps.gov.ph/GEPSNONPILOT/Tender/SplashBidNoticeAbstractUI.aspx?menuIndex=3&amp;refID=7044434&amp;Result=3","7044434")</f>
        <v>0</v>
      </c>
      <c r="B2674" t="s">
        <v>1092</v>
      </c>
      <c r="C2674" t="s">
        <v>5648</v>
      </c>
      <c r="D2674" t="s">
        <v>16230</v>
      </c>
      <c r="E2674" t="s">
        <v>18719</v>
      </c>
      <c r="F2674" t="s">
        <v>28198</v>
      </c>
      <c r="G2674" t="s">
        <v>28207</v>
      </c>
      <c r="H2674" t="s">
        <v>28214</v>
      </c>
      <c r="I2674" t="s">
        <v>3797</v>
      </c>
      <c r="J2674" t="s">
        <v>30161</v>
      </c>
      <c r="K2674" t="s">
        <v>36694</v>
      </c>
      <c r="M2674" t="s">
        <v>38127</v>
      </c>
      <c r="N2674" t="s">
        <v>40436</v>
      </c>
      <c r="O2674" t="s">
        <v>40437</v>
      </c>
      <c r="P2674">
        <v>0</v>
      </c>
      <c r="Q2674">
        <v>0</v>
      </c>
      <c r="R2674" t="s">
        <v>40439</v>
      </c>
      <c r="S2674" t="s">
        <v>40588</v>
      </c>
      <c r="T2674" t="s">
        <v>42218</v>
      </c>
      <c r="U2674" t="s">
        <v>44961</v>
      </c>
      <c r="W2674" t="s">
        <v>38127</v>
      </c>
      <c r="X2674" t="s">
        <v>40440</v>
      </c>
    </row>
    <row r="2675" spans="1:24">
      <c r="A2675">
        <f>HYPERLINK("https://www.philgeps.gov.ph/GEPSNONPILOT/Tender/SplashBidNoticeAbstractUI.aspx?menuIndex=3&amp;refID=7044433&amp;Result=3","7044433")</f>
        <v>0</v>
      </c>
      <c r="B2675" t="s">
        <v>1093</v>
      </c>
      <c r="C2675" t="s">
        <v>5649</v>
      </c>
      <c r="D2675" t="s">
        <v>16187</v>
      </c>
      <c r="E2675" t="s">
        <v>18720</v>
      </c>
      <c r="F2675" t="s">
        <v>28198</v>
      </c>
      <c r="G2675" t="s">
        <v>28207</v>
      </c>
      <c r="H2675" t="s">
        <v>28215</v>
      </c>
      <c r="I2675" t="s">
        <v>28258</v>
      </c>
      <c r="J2675" t="s">
        <v>28778</v>
      </c>
      <c r="K2675" t="s">
        <v>36706</v>
      </c>
      <c r="M2675" t="s">
        <v>38128</v>
      </c>
      <c r="N2675" t="s">
        <v>40436</v>
      </c>
      <c r="O2675" t="s">
        <v>40437</v>
      </c>
      <c r="P2675">
        <v>0</v>
      </c>
      <c r="Q2675">
        <v>4</v>
      </c>
      <c r="R2675" t="s">
        <v>40439</v>
      </c>
      <c r="S2675" t="s">
        <v>40588</v>
      </c>
      <c r="T2675" t="s">
        <v>42216</v>
      </c>
      <c r="U2675" t="s">
        <v>44962</v>
      </c>
      <c r="W2675" t="s">
        <v>38128</v>
      </c>
      <c r="X2675" t="s">
        <v>40440</v>
      </c>
    </row>
    <row r="2676" spans="1:24">
      <c r="A2676">
        <f>HYPERLINK("https://www.philgeps.gov.ph/GEPSNONPILOT/Tender/SplashBidNoticeAbstractUI.aspx?menuIndex=3&amp;refID=7044427&amp;Result=3","7044427")</f>
        <v>0</v>
      </c>
      <c r="B2676" t="s">
        <v>215</v>
      </c>
      <c r="C2676" t="s">
        <v>5650</v>
      </c>
      <c r="D2676" t="s">
        <v>16218</v>
      </c>
      <c r="E2676" t="s">
        <v>18721</v>
      </c>
      <c r="F2676" t="s">
        <v>28198</v>
      </c>
      <c r="G2676" t="s">
        <v>28207</v>
      </c>
      <c r="H2676" t="s">
        <v>28215</v>
      </c>
      <c r="I2676" t="s">
        <v>28226</v>
      </c>
      <c r="J2676" t="s">
        <v>30162</v>
      </c>
      <c r="K2676" t="s">
        <v>36688</v>
      </c>
      <c r="M2676" t="s">
        <v>37191</v>
      </c>
      <c r="N2676" t="s">
        <v>40436</v>
      </c>
      <c r="O2676" t="s">
        <v>40437</v>
      </c>
      <c r="P2676">
        <v>0</v>
      </c>
      <c r="Q2676">
        <v>0</v>
      </c>
      <c r="R2676" t="s">
        <v>40439</v>
      </c>
      <c r="S2676" t="s">
        <v>40588</v>
      </c>
      <c r="T2676" t="s">
        <v>42158</v>
      </c>
      <c r="U2676" t="s">
        <v>42957</v>
      </c>
      <c r="W2676" t="s">
        <v>37191</v>
      </c>
      <c r="X2676" t="s">
        <v>40440</v>
      </c>
    </row>
    <row r="2677" spans="1:24">
      <c r="A2677">
        <f>HYPERLINK("https://www.philgeps.gov.ph/GEPSNONPILOT/Tender/SplashBidNoticeAbstractUI.aspx?menuIndex=3&amp;refID=7044431&amp;Result=3","7044431")</f>
        <v>0</v>
      </c>
      <c r="B2677" t="s">
        <v>1094</v>
      </c>
      <c r="C2677" t="s">
        <v>5651</v>
      </c>
      <c r="E2677" t="s">
        <v>18722</v>
      </c>
      <c r="F2677" t="s">
        <v>28198</v>
      </c>
      <c r="G2677" t="s">
        <v>28207</v>
      </c>
      <c r="H2677" t="s">
        <v>28215</v>
      </c>
      <c r="I2677" t="s">
        <v>6013</v>
      </c>
      <c r="J2677" t="s">
        <v>30163</v>
      </c>
      <c r="K2677" t="s">
        <v>36689</v>
      </c>
      <c r="M2677" t="s">
        <v>38129</v>
      </c>
      <c r="N2677" t="s">
        <v>40436</v>
      </c>
      <c r="O2677" t="s">
        <v>40437</v>
      </c>
      <c r="P2677">
        <v>0</v>
      </c>
      <c r="Q2677">
        <v>0</v>
      </c>
      <c r="R2677" t="s">
        <v>40439</v>
      </c>
      <c r="S2677" t="s">
        <v>40588</v>
      </c>
      <c r="T2677" t="s">
        <v>42131</v>
      </c>
      <c r="U2677" t="s">
        <v>44963</v>
      </c>
      <c r="W2677" t="s">
        <v>38129</v>
      </c>
      <c r="X2677" t="s">
        <v>40440</v>
      </c>
    </row>
    <row r="2678" spans="1:24">
      <c r="A2678">
        <f>HYPERLINK("https://www.philgeps.gov.ph/GEPSNONPILOT/Tender/SplashBidNoticeAbstractUI.aspx?menuIndex=3&amp;refID=7044438&amp;Result=3","7044438")</f>
        <v>0</v>
      </c>
      <c r="B2678" t="s">
        <v>297</v>
      </c>
      <c r="C2678" t="s">
        <v>5652</v>
      </c>
      <c r="D2678" t="s">
        <v>16199</v>
      </c>
      <c r="E2678" t="s">
        <v>18723</v>
      </c>
      <c r="F2678" t="s">
        <v>28198</v>
      </c>
      <c r="G2678" t="s">
        <v>28205</v>
      </c>
      <c r="H2678" t="s">
        <v>28214</v>
      </c>
      <c r="I2678" t="s">
        <v>3797</v>
      </c>
      <c r="J2678" t="s">
        <v>28379</v>
      </c>
      <c r="K2678" t="s">
        <v>36694</v>
      </c>
      <c r="M2678" t="s">
        <v>37274</v>
      </c>
      <c r="N2678" t="s">
        <v>40436</v>
      </c>
      <c r="O2678" t="s">
        <v>40437</v>
      </c>
      <c r="P2678">
        <v>0</v>
      </c>
      <c r="Q2678">
        <v>0</v>
      </c>
      <c r="R2678" t="s">
        <v>40439</v>
      </c>
      <c r="S2678" t="s">
        <v>40588</v>
      </c>
      <c r="T2678" t="s">
        <v>42107</v>
      </c>
      <c r="U2678" t="s">
        <v>44964</v>
      </c>
      <c r="W2678" t="s">
        <v>37274</v>
      </c>
      <c r="X2678" t="s">
        <v>40440</v>
      </c>
    </row>
    <row r="2679" spans="1:24">
      <c r="A2679">
        <f>HYPERLINK("https://www.philgeps.gov.ph/GEPSNONPILOT/Tender/SplashBidNoticeAbstractUI.aspx?menuIndex=3&amp;refID=7044440&amp;Result=3","7044440")</f>
        <v>0</v>
      </c>
      <c r="B2679" t="s">
        <v>168</v>
      </c>
      <c r="C2679" t="s">
        <v>5653</v>
      </c>
      <c r="D2679" t="s">
        <v>16196</v>
      </c>
      <c r="E2679" t="s">
        <v>18724</v>
      </c>
      <c r="F2679" t="s">
        <v>28198</v>
      </c>
      <c r="G2679" t="s">
        <v>28207</v>
      </c>
      <c r="H2679" t="s">
        <v>28215</v>
      </c>
      <c r="I2679" t="s">
        <v>28225</v>
      </c>
      <c r="J2679" t="s">
        <v>30164</v>
      </c>
      <c r="K2679" t="s">
        <v>36701</v>
      </c>
      <c r="M2679" t="s">
        <v>37142</v>
      </c>
      <c r="N2679" t="s">
        <v>40436</v>
      </c>
      <c r="O2679" t="s">
        <v>40437</v>
      </c>
      <c r="P2679">
        <v>0</v>
      </c>
      <c r="Q2679">
        <v>10</v>
      </c>
      <c r="R2679" t="s">
        <v>40439</v>
      </c>
      <c r="S2679" t="s">
        <v>40588</v>
      </c>
      <c r="T2679" t="s">
        <v>42157</v>
      </c>
      <c r="U2679" t="s">
        <v>44266</v>
      </c>
      <c r="W2679" t="s">
        <v>55464</v>
      </c>
      <c r="X2679" t="s">
        <v>40440</v>
      </c>
    </row>
    <row r="2680" spans="1:24">
      <c r="A2680">
        <f>HYPERLINK("https://www.philgeps.gov.ph/GEPSNONPILOT/Tender/SplashBidNoticeAbstractUI.aspx?menuIndex=3&amp;refID=7044441&amp;Result=3","7044441")</f>
        <v>0</v>
      </c>
      <c r="B2680" t="s">
        <v>1095</v>
      </c>
      <c r="C2680" t="s">
        <v>5654</v>
      </c>
      <c r="D2680" t="s">
        <v>16210</v>
      </c>
      <c r="E2680" t="s">
        <v>18725</v>
      </c>
      <c r="F2680" t="s">
        <v>28198</v>
      </c>
      <c r="G2680" t="s">
        <v>28205</v>
      </c>
      <c r="H2680" t="s">
        <v>28215</v>
      </c>
      <c r="I2680" t="s">
        <v>28224</v>
      </c>
      <c r="J2680" t="s">
        <v>30165</v>
      </c>
      <c r="K2680" t="s">
        <v>36728</v>
      </c>
      <c r="M2680" t="s">
        <v>38130</v>
      </c>
      <c r="N2680" t="s">
        <v>40436</v>
      </c>
      <c r="O2680" t="s">
        <v>40437</v>
      </c>
      <c r="P2680">
        <v>0</v>
      </c>
      <c r="Q2680">
        <v>5</v>
      </c>
      <c r="R2680" t="s">
        <v>40439</v>
      </c>
      <c r="S2680" t="s">
        <v>40588</v>
      </c>
      <c r="T2680" t="s">
        <v>42248</v>
      </c>
      <c r="U2680" t="s">
        <v>44965</v>
      </c>
      <c r="W2680" t="s">
        <v>38130</v>
      </c>
      <c r="X2680" t="s">
        <v>40440</v>
      </c>
    </row>
    <row r="2681" spans="1:24">
      <c r="A2681">
        <f>HYPERLINK("https://www.philgeps.gov.ph/GEPSNONPILOT/Tender/SplashBidNoticeAbstractUI.aspx?menuIndex=3&amp;refID=7044437&amp;Result=3","7044437")</f>
        <v>0</v>
      </c>
      <c r="B2681" t="s">
        <v>401</v>
      </c>
      <c r="C2681" t="s">
        <v>5655</v>
      </c>
      <c r="D2681" t="s">
        <v>16223</v>
      </c>
      <c r="E2681" t="s">
        <v>17018</v>
      </c>
      <c r="F2681" t="s">
        <v>28198</v>
      </c>
      <c r="G2681" t="s">
        <v>28207</v>
      </c>
      <c r="H2681" t="s">
        <v>28215</v>
      </c>
      <c r="I2681" t="s">
        <v>4219</v>
      </c>
      <c r="J2681" t="s">
        <v>30166</v>
      </c>
      <c r="K2681" t="s">
        <v>36691</v>
      </c>
      <c r="M2681" t="s">
        <v>37382</v>
      </c>
      <c r="N2681" t="s">
        <v>40436</v>
      </c>
      <c r="O2681" t="s">
        <v>40437</v>
      </c>
      <c r="P2681">
        <v>0</v>
      </c>
      <c r="Q2681">
        <v>0</v>
      </c>
      <c r="R2681" t="s">
        <v>40439</v>
      </c>
      <c r="S2681" t="s">
        <v>40588</v>
      </c>
      <c r="T2681" t="s">
        <v>42158</v>
      </c>
      <c r="U2681" t="s">
        <v>44966</v>
      </c>
      <c r="W2681" t="s">
        <v>37382</v>
      </c>
      <c r="X2681" t="s">
        <v>40440</v>
      </c>
    </row>
    <row r="2682" spans="1:24">
      <c r="A2682">
        <f>HYPERLINK("https://www.philgeps.gov.ph/GEPSNONPILOT/Tender/SplashBidNoticeAbstractUI.aspx?menuIndex=3&amp;refID=7044442&amp;Result=3","7044442")</f>
        <v>0</v>
      </c>
      <c r="B2682" t="s">
        <v>1096</v>
      </c>
      <c r="C2682" t="s">
        <v>5656</v>
      </c>
      <c r="D2682" t="s">
        <v>16188</v>
      </c>
      <c r="E2682" t="s">
        <v>18726</v>
      </c>
      <c r="F2682" t="s">
        <v>28198</v>
      </c>
      <c r="G2682" t="s">
        <v>28207</v>
      </c>
      <c r="H2682" t="s">
        <v>28215</v>
      </c>
      <c r="I2682" t="s">
        <v>5656</v>
      </c>
      <c r="J2682" t="s">
        <v>30167</v>
      </c>
      <c r="K2682" t="s">
        <v>36693</v>
      </c>
      <c r="M2682" t="s">
        <v>38131</v>
      </c>
      <c r="N2682" t="s">
        <v>40436</v>
      </c>
      <c r="O2682" t="s">
        <v>40437</v>
      </c>
      <c r="P2682">
        <v>0</v>
      </c>
      <c r="Q2682">
        <v>0</v>
      </c>
      <c r="R2682" t="s">
        <v>40439</v>
      </c>
      <c r="S2682" t="s">
        <v>40588</v>
      </c>
      <c r="T2682" t="s">
        <v>42131</v>
      </c>
      <c r="U2682" t="s">
        <v>44967</v>
      </c>
      <c r="V2682" t="s">
        <v>54081</v>
      </c>
      <c r="W2682" t="s">
        <v>38131</v>
      </c>
      <c r="X2682" t="s">
        <v>40440</v>
      </c>
    </row>
    <row r="2683" spans="1:24">
      <c r="A2683">
        <f>HYPERLINK("https://www.philgeps.gov.ph/GEPSNONPILOT/Tender/SplashBidNoticeAbstractUI.aspx?menuIndex=3&amp;refID=7044450&amp;Result=3","7044450")</f>
        <v>0</v>
      </c>
      <c r="B2683" t="s">
        <v>1063</v>
      </c>
      <c r="C2683" t="s">
        <v>5657</v>
      </c>
      <c r="D2683" t="s">
        <v>16188</v>
      </c>
      <c r="E2683" t="s">
        <v>5657</v>
      </c>
      <c r="F2683" t="s">
        <v>28198</v>
      </c>
      <c r="G2683" t="s">
        <v>28207</v>
      </c>
      <c r="H2683" t="s">
        <v>28215</v>
      </c>
      <c r="I2683" t="s">
        <v>5100</v>
      </c>
      <c r="J2683" t="s">
        <v>28398</v>
      </c>
      <c r="K2683" t="s">
        <v>36689</v>
      </c>
      <c r="M2683" t="s">
        <v>38096</v>
      </c>
      <c r="N2683" t="s">
        <v>40436</v>
      </c>
      <c r="O2683" t="s">
        <v>40437</v>
      </c>
      <c r="P2683">
        <v>0</v>
      </c>
      <c r="Q2683">
        <v>3</v>
      </c>
      <c r="R2683" t="s">
        <v>40439</v>
      </c>
      <c r="S2683" t="s">
        <v>40588</v>
      </c>
      <c r="T2683" t="s">
        <v>42318</v>
      </c>
      <c r="U2683" t="s">
        <v>44968</v>
      </c>
      <c r="W2683" t="s">
        <v>38096</v>
      </c>
      <c r="X2683" t="s">
        <v>40440</v>
      </c>
    </row>
    <row r="2684" spans="1:24">
      <c r="A2684">
        <f>HYPERLINK("https://www.philgeps.gov.ph/GEPSNONPILOT/Tender/SplashBidNoticeAbstractUI.aspx?menuIndex=3&amp;refID=7044449&amp;Result=3","7044449")</f>
        <v>0</v>
      </c>
      <c r="B2684" t="s">
        <v>1083</v>
      </c>
      <c r="C2684" t="s">
        <v>5658</v>
      </c>
      <c r="D2684" t="s">
        <v>16260</v>
      </c>
      <c r="E2684" t="s">
        <v>18727</v>
      </c>
      <c r="F2684" t="s">
        <v>28198</v>
      </c>
      <c r="G2684" t="s">
        <v>28205</v>
      </c>
      <c r="H2684" t="s">
        <v>28214</v>
      </c>
      <c r="I2684" t="s">
        <v>3797</v>
      </c>
      <c r="J2684" t="s">
        <v>30168</v>
      </c>
      <c r="K2684" t="s">
        <v>36708</v>
      </c>
      <c r="M2684" t="s">
        <v>38118</v>
      </c>
      <c r="N2684" t="s">
        <v>40436</v>
      </c>
      <c r="O2684" t="s">
        <v>40437</v>
      </c>
      <c r="P2684">
        <v>0</v>
      </c>
      <c r="Q2684">
        <v>0</v>
      </c>
      <c r="R2684" t="s">
        <v>40439</v>
      </c>
      <c r="S2684" t="s">
        <v>40588</v>
      </c>
      <c r="T2684" t="s">
        <v>42331</v>
      </c>
      <c r="U2684" t="s">
        <v>44969</v>
      </c>
      <c r="W2684" t="s">
        <v>38118</v>
      </c>
      <c r="X2684" t="s">
        <v>40440</v>
      </c>
    </row>
    <row r="2685" spans="1:24">
      <c r="A2685">
        <f>HYPERLINK("https://www.philgeps.gov.ph/GEPSNONPILOT/Tender/SplashBidNoticeAbstractUI.aspx?menuIndex=3&amp;refID=7044448&amp;Result=3","7044448")</f>
        <v>0</v>
      </c>
      <c r="B2685" t="s">
        <v>1068</v>
      </c>
      <c r="C2685" t="s">
        <v>5659</v>
      </c>
      <c r="D2685" t="s">
        <v>16258</v>
      </c>
      <c r="E2685" t="s">
        <v>18728</v>
      </c>
      <c r="F2685" t="s">
        <v>28198</v>
      </c>
      <c r="G2685" t="s">
        <v>28207</v>
      </c>
      <c r="H2685" t="s">
        <v>28215</v>
      </c>
      <c r="I2685" t="s">
        <v>28262</v>
      </c>
      <c r="J2685" t="s">
        <v>28414</v>
      </c>
      <c r="K2685" t="s">
        <v>36707</v>
      </c>
      <c r="M2685" t="s">
        <v>38101</v>
      </c>
      <c r="N2685" t="s">
        <v>40436</v>
      </c>
      <c r="O2685" t="s">
        <v>40437</v>
      </c>
      <c r="P2685">
        <v>0</v>
      </c>
      <c r="Q2685">
        <v>2</v>
      </c>
      <c r="R2685" t="s">
        <v>40439</v>
      </c>
      <c r="S2685" t="s">
        <v>40588</v>
      </c>
      <c r="T2685" t="s">
        <v>42112</v>
      </c>
      <c r="U2685" t="s">
        <v>44970</v>
      </c>
      <c r="W2685" t="s">
        <v>38101</v>
      </c>
      <c r="X2685" t="s">
        <v>40440</v>
      </c>
    </row>
    <row r="2686" spans="1:24">
      <c r="A2686">
        <f>HYPERLINK("https://www.philgeps.gov.ph/GEPSNONPILOT/Tender/SplashBidNoticeAbstractUI.aspx?menuIndex=3&amp;refID=7044444&amp;Result=3","7044444")</f>
        <v>0</v>
      </c>
      <c r="B2686" t="s">
        <v>1097</v>
      </c>
      <c r="C2686" t="s">
        <v>5660</v>
      </c>
      <c r="D2686" t="s">
        <v>16187</v>
      </c>
      <c r="E2686" t="s">
        <v>18729</v>
      </c>
      <c r="F2686" t="s">
        <v>28198</v>
      </c>
      <c r="G2686" t="s">
        <v>28205</v>
      </c>
      <c r="H2686" t="s">
        <v>28214</v>
      </c>
      <c r="I2686" t="s">
        <v>3797</v>
      </c>
      <c r="J2686" t="s">
        <v>30169</v>
      </c>
      <c r="K2686" t="s">
        <v>36708</v>
      </c>
      <c r="M2686" t="s">
        <v>38132</v>
      </c>
      <c r="N2686" t="s">
        <v>40436</v>
      </c>
      <c r="O2686" t="s">
        <v>40437</v>
      </c>
      <c r="P2686">
        <v>0</v>
      </c>
      <c r="Q2686">
        <v>0</v>
      </c>
      <c r="R2686" t="s">
        <v>40439</v>
      </c>
      <c r="S2686" t="s">
        <v>40588</v>
      </c>
      <c r="T2686" t="s">
        <v>42152</v>
      </c>
      <c r="U2686" t="s">
        <v>44971</v>
      </c>
      <c r="W2686" t="s">
        <v>38132</v>
      </c>
      <c r="X2686" t="s">
        <v>40440</v>
      </c>
    </row>
    <row r="2687" spans="1:24">
      <c r="A2687">
        <f>HYPERLINK("https://www.philgeps.gov.ph/GEPSNONPILOT/Tender/SplashBidNoticeAbstractUI.aspx?menuIndex=3&amp;refID=7044443&amp;Result=3","7044443")</f>
        <v>0</v>
      </c>
      <c r="B2687" t="s">
        <v>912</v>
      </c>
      <c r="C2687" t="s">
        <v>5661</v>
      </c>
      <c r="D2687" t="s">
        <v>16200</v>
      </c>
      <c r="E2687" t="s">
        <v>18730</v>
      </c>
      <c r="F2687" t="s">
        <v>28198</v>
      </c>
      <c r="G2687" t="s">
        <v>28206</v>
      </c>
      <c r="H2687" t="s">
        <v>28215</v>
      </c>
      <c r="I2687" t="s">
        <v>28287</v>
      </c>
      <c r="J2687" t="s">
        <v>28941</v>
      </c>
      <c r="K2687" t="s">
        <v>36691</v>
      </c>
      <c r="M2687" t="s">
        <v>37931</v>
      </c>
      <c r="N2687" t="s">
        <v>40436</v>
      </c>
      <c r="O2687" t="s">
        <v>40437</v>
      </c>
      <c r="P2687">
        <v>0</v>
      </c>
      <c r="Q2687">
        <v>0</v>
      </c>
      <c r="R2687" t="s">
        <v>40439</v>
      </c>
      <c r="S2687" t="s">
        <v>40588</v>
      </c>
      <c r="T2687" t="s">
        <v>42233</v>
      </c>
      <c r="U2687" t="s">
        <v>44972</v>
      </c>
      <c r="W2687" t="s">
        <v>37931</v>
      </c>
      <c r="X2687" t="s">
        <v>40440</v>
      </c>
    </row>
    <row r="2688" spans="1:24">
      <c r="A2688">
        <f>HYPERLINK("https://www.philgeps.gov.ph/GEPSNONPILOT/Tender/SplashBidNoticeAbstractUI.aspx?menuIndex=3&amp;refID=7044452&amp;Result=3","7044452")</f>
        <v>0</v>
      </c>
      <c r="B2688" t="s">
        <v>100</v>
      </c>
      <c r="C2688" t="s">
        <v>5662</v>
      </c>
      <c r="D2688" t="s">
        <v>16228</v>
      </c>
      <c r="E2688" t="s">
        <v>18731</v>
      </c>
      <c r="F2688" t="s">
        <v>28198</v>
      </c>
      <c r="G2688" t="s">
        <v>28205</v>
      </c>
      <c r="H2688" t="s">
        <v>28215</v>
      </c>
      <c r="I2688" t="s">
        <v>5082</v>
      </c>
      <c r="J2688" t="s">
        <v>30170</v>
      </c>
      <c r="K2688" t="s">
        <v>36701</v>
      </c>
      <c r="M2688" t="s">
        <v>38133</v>
      </c>
      <c r="N2688" t="s">
        <v>40436</v>
      </c>
      <c r="O2688" t="s">
        <v>40437</v>
      </c>
      <c r="P2688">
        <v>0</v>
      </c>
      <c r="Q2688">
        <v>1</v>
      </c>
      <c r="R2688" t="s">
        <v>40439</v>
      </c>
      <c r="S2688" t="s">
        <v>40588</v>
      </c>
      <c r="T2688" t="s">
        <v>42134</v>
      </c>
      <c r="U2688" t="s">
        <v>42767</v>
      </c>
      <c r="V2688" t="s">
        <v>53798</v>
      </c>
      <c r="W2688" t="s">
        <v>38133</v>
      </c>
      <c r="X2688" t="s">
        <v>40440</v>
      </c>
    </row>
    <row r="2689" spans="1:24">
      <c r="A2689">
        <f>HYPERLINK("https://www.philgeps.gov.ph/GEPSNONPILOT/Tender/SplashBidNoticeAbstractUI.aspx?menuIndex=3&amp;refID=7044463&amp;Result=3","7044463")</f>
        <v>0</v>
      </c>
      <c r="B2689" t="s">
        <v>1098</v>
      </c>
      <c r="C2689" t="s">
        <v>5663</v>
      </c>
      <c r="D2689" t="s">
        <v>16206</v>
      </c>
      <c r="E2689" t="s">
        <v>18732</v>
      </c>
      <c r="F2689" t="s">
        <v>28198</v>
      </c>
      <c r="G2689" t="s">
        <v>28206</v>
      </c>
      <c r="H2689" t="s">
        <v>28215</v>
      </c>
      <c r="I2689" t="s">
        <v>4168</v>
      </c>
      <c r="J2689" t="s">
        <v>30171</v>
      </c>
      <c r="K2689" t="s">
        <v>36701</v>
      </c>
      <c r="M2689" t="s">
        <v>38134</v>
      </c>
      <c r="N2689" t="s">
        <v>40436</v>
      </c>
      <c r="O2689" t="s">
        <v>40437</v>
      </c>
      <c r="P2689">
        <v>0</v>
      </c>
      <c r="Q2689">
        <v>1</v>
      </c>
      <c r="R2689" t="s">
        <v>40439</v>
      </c>
      <c r="S2689" t="s">
        <v>40588</v>
      </c>
      <c r="T2689" t="s">
        <v>42190</v>
      </c>
      <c r="U2689" t="s">
        <v>44973</v>
      </c>
      <c r="W2689" t="s">
        <v>38134</v>
      </c>
      <c r="X2689" t="s">
        <v>40440</v>
      </c>
    </row>
    <row r="2690" spans="1:24">
      <c r="A2690">
        <f>HYPERLINK("https://www.philgeps.gov.ph/GEPSNONPILOT/Tender/SplashBidNoticeAbstractUI.aspx?menuIndex=3&amp;refID=7044446&amp;Result=3","7044446")</f>
        <v>0</v>
      </c>
      <c r="B2690" t="s">
        <v>1099</v>
      </c>
      <c r="C2690" t="s">
        <v>5664</v>
      </c>
      <c r="D2690" t="s">
        <v>16235</v>
      </c>
      <c r="E2690" t="s">
        <v>18733</v>
      </c>
      <c r="F2690" t="s">
        <v>28198</v>
      </c>
      <c r="G2690" t="s">
        <v>28207</v>
      </c>
      <c r="H2690" t="s">
        <v>28215</v>
      </c>
      <c r="I2690" t="s">
        <v>28228</v>
      </c>
      <c r="J2690" t="s">
        <v>28652</v>
      </c>
      <c r="K2690" t="s">
        <v>36689</v>
      </c>
      <c r="M2690" t="s">
        <v>38135</v>
      </c>
      <c r="N2690" t="s">
        <v>40436</v>
      </c>
      <c r="O2690" t="s">
        <v>40437</v>
      </c>
      <c r="P2690">
        <v>0</v>
      </c>
      <c r="Q2690">
        <v>0</v>
      </c>
      <c r="R2690" t="s">
        <v>40439</v>
      </c>
      <c r="S2690" t="s">
        <v>40588</v>
      </c>
      <c r="T2690" t="s">
        <v>42169</v>
      </c>
      <c r="U2690" t="s">
        <v>44974</v>
      </c>
      <c r="W2690" t="s">
        <v>38135</v>
      </c>
      <c r="X2690" t="s">
        <v>40440</v>
      </c>
    </row>
    <row r="2691" spans="1:24">
      <c r="A2691">
        <f>HYPERLINK("https://www.philgeps.gov.ph/GEPSNONPILOT/Tender/SplashBidNoticeAbstractUI.aspx?menuIndex=3&amp;refID=7044451&amp;Result=3","7044451")</f>
        <v>0</v>
      </c>
      <c r="B2691" t="s">
        <v>773</v>
      </c>
      <c r="C2691" t="s">
        <v>5665</v>
      </c>
      <c r="D2691" t="s">
        <v>16219</v>
      </c>
      <c r="E2691" t="s">
        <v>18734</v>
      </c>
      <c r="F2691" t="s">
        <v>28198</v>
      </c>
      <c r="G2691" t="s">
        <v>28207</v>
      </c>
      <c r="H2691" t="s">
        <v>28215</v>
      </c>
      <c r="I2691" t="s">
        <v>28228</v>
      </c>
      <c r="J2691" t="s">
        <v>30172</v>
      </c>
      <c r="K2691" t="s">
        <v>36688</v>
      </c>
      <c r="M2691" t="s">
        <v>38111</v>
      </c>
      <c r="N2691" t="s">
        <v>40436</v>
      </c>
      <c r="O2691" t="s">
        <v>40437</v>
      </c>
      <c r="P2691">
        <v>0</v>
      </c>
      <c r="Q2691">
        <v>0</v>
      </c>
      <c r="R2691" t="s">
        <v>40439</v>
      </c>
      <c r="S2691" t="s">
        <v>40588</v>
      </c>
      <c r="T2691" t="s">
        <v>42133</v>
      </c>
      <c r="U2691" t="s">
        <v>44975</v>
      </c>
      <c r="W2691" t="s">
        <v>38111</v>
      </c>
      <c r="X2691" t="s">
        <v>40440</v>
      </c>
    </row>
    <row r="2692" spans="1:24">
      <c r="A2692">
        <f>HYPERLINK("https://www.philgeps.gov.ph/GEPSNONPILOT/Tender/SplashBidNoticeAbstractUI.aspx?menuIndex=3&amp;refID=7044460&amp;Result=3","7044460")</f>
        <v>0</v>
      </c>
      <c r="B2692" t="s">
        <v>1100</v>
      </c>
      <c r="C2692" t="s">
        <v>5666</v>
      </c>
      <c r="D2692" t="s">
        <v>16200</v>
      </c>
      <c r="E2692" t="s">
        <v>18735</v>
      </c>
      <c r="F2692" t="s">
        <v>28198</v>
      </c>
      <c r="G2692" t="s">
        <v>28207</v>
      </c>
      <c r="H2692" t="s">
        <v>28215</v>
      </c>
      <c r="I2692" t="s">
        <v>5100</v>
      </c>
      <c r="J2692" t="s">
        <v>28378</v>
      </c>
      <c r="K2692" t="s">
        <v>36707</v>
      </c>
      <c r="M2692" t="s">
        <v>38136</v>
      </c>
      <c r="N2692" t="s">
        <v>40436</v>
      </c>
      <c r="O2692" t="s">
        <v>40437</v>
      </c>
      <c r="P2692">
        <v>0</v>
      </c>
      <c r="Q2692">
        <v>0</v>
      </c>
      <c r="R2692" t="s">
        <v>40439</v>
      </c>
      <c r="S2692" t="s">
        <v>40588</v>
      </c>
      <c r="T2692" t="s">
        <v>42190</v>
      </c>
      <c r="U2692" t="s">
        <v>44976</v>
      </c>
      <c r="V2692" t="s">
        <v>54082</v>
      </c>
      <c r="W2692" t="s">
        <v>38136</v>
      </c>
      <c r="X2692" t="s">
        <v>40440</v>
      </c>
    </row>
    <row r="2693" spans="1:24">
      <c r="A2693">
        <f>HYPERLINK("https://www.philgeps.gov.ph/GEPSNONPILOT/Tender/SplashBidNoticeAbstractUI.aspx?menuIndex=3&amp;refID=7044456&amp;Result=3","7044456")</f>
        <v>0</v>
      </c>
      <c r="B2693" t="s">
        <v>401</v>
      </c>
      <c r="C2693" t="s">
        <v>5667</v>
      </c>
      <c r="D2693" t="s">
        <v>16223</v>
      </c>
      <c r="E2693" t="s">
        <v>17018</v>
      </c>
      <c r="F2693" t="s">
        <v>28198</v>
      </c>
      <c r="G2693" t="s">
        <v>28207</v>
      </c>
      <c r="H2693" t="s">
        <v>28215</v>
      </c>
      <c r="I2693" t="s">
        <v>5071</v>
      </c>
      <c r="J2693" t="s">
        <v>30173</v>
      </c>
      <c r="K2693" t="s">
        <v>36691</v>
      </c>
      <c r="M2693" t="s">
        <v>37382</v>
      </c>
      <c r="N2693" t="s">
        <v>40436</v>
      </c>
      <c r="O2693" t="s">
        <v>40437</v>
      </c>
      <c r="P2693">
        <v>0</v>
      </c>
      <c r="Q2693">
        <v>0</v>
      </c>
      <c r="R2693" t="s">
        <v>40439</v>
      </c>
      <c r="S2693" t="s">
        <v>40588</v>
      </c>
      <c r="T2693" t="s">
        <v>42158</v>
      </c>
      <c r="U2693" t="s">
        <v>44977</v>
      </c>
      <c r="W2693" t="s">
        <v>37382</v>
      </c>
      <c r="X2693" t="s">
        <v>40440</v>
      </c>
    </row>
    <row r="2694" spans="1:24">
      <c r="A2694">
        <f>HYPERLINK("https://www.philgeps.gov.ph/GEPSNONPILOT/Tender/SplashBidNoticeAbstractUI.aspx?menuIndex=3&amp;refID=7044461&amp;Result=3","7044461")</f>
        <v>0</v>
      </c>
      <c r="B2694" t="s">
        <v>1101</v>
      </c>
      <c r="C2694" t="s">
        <v>5668</v>
      </c>
      <c r="D2694" t="s">
        <v>16219</v>
      </c>
      <c r="E2694" t="s">
        <v>18736</v>
      </c>
      <c r="F2694" t="s">
        <v>28198</v>
      </c>
      <c r="G2694" t="s">
        <v>28207</v>
      </c>
      <c r="H2694" t="s">
        <v>28215</v>
      </c>
      <c r="I2694" t="s">
        <v>28255</v>
      </c>
      <c r="J2694" t="s">
        <v>30174</v>
      </c>
      <c r="K2694" t="s">
        <v>36688</v>
      </c>
      <c r="M2694" t="s">
        <v>38137</v>
      </c>
      <c r="N2694" t="s">
        <v>40436</v>
      </c>
      <c r="O2694" t="s">
        <v>40437</v>
      </c>
      <c r="P2694">
        <v>0</v>
      </c>
      <c r="Q2694">
        <v>0</v>
      </c>
      <c r="R2694" t="s">
        <v>40439</v>
      </c>
      <c r="S2694" t="s">
        <v>40588</v>
      </c>
      <c r="T2694" t="s">
        <v>42317</v>
      </c>
      <c r="U2694" t="s">
        <v>44978</v>
      </c>
      <c r="V2694" t="s">
        <v>54083</v>
      </c>
      <c r="W2694" t="s">
        <v>38137</v>
      </c>
      <c r="X2694" t="s">
        <v>40440</v>
      </c>
    </row>
    <row r="2695" spans="1:24">
      <c r="A2695">
        <f>HYPERLINK("https://www.philgeps.gov.ph/GEPSNONPILOT/Tender/SplashBidNoticeAbstractUI.aspx?menuIndex=3&amp;refID=7044454&amp;Result=3","7044454")</f>
        <v>0</v>
      </c>
      <c r="B2695" t="s">
        <v>285</v>
      </c>
      <c r="C2695" t="s">
        <v>5669</v>
      </c>
      <c r="E2695" t="s">
        <v>18737</v>
      </c>
      <c r="F2695" t="s">
        <v>28198</v>
      </c>
      <c r="G2695" t="s">
        <v>28207</v>
      </c>
      <c r="H2695" t="s">
        <v>28215</v>
      </c>
      <c r="I2695" t="s">
        <v>5103</v>
      </c>
      <c r="J2695" t="s">
        <v>28414</v>
      </c>
      <c r="K2695" t="s">
        <v>36689</v>
      </c>
      <c r="M2695" t="s">
        <v>37262</v>
      </c>
      <c r="N2695" t="s">
        <v>40436</v>
      </c>
      <c r="O2695" t="s">
        <v>40437</v>
      </c>
      <c r="P2695">
        <v>0</v>
      </c>
      <c r="Q2695">
        <v>5</v>
      </c>
      <c r="R2695" t="s">
        <v>40439</v>
      </c>
      <c r="S2695" t="s">
        <v>40588</v>
      </c>
      <c r="T2695" t="s">
        <v>42190</v>
      </c>
      <c r="U2695" t="s">
        <v>44979</v>
      </c>
      <c r="W2695" t="s">
        <v>37262</v>
      </c>
      <c r="X2695" t="s">
        <v>40440</v>
      </c>
    </row>
    <row r="2696" spans="1:24">
      <c r="A2696">
        <f>HYPERLINK("https://www.philgeps.gov.ph/GEPSNONPILOT/Tender/SplashBidNoticeAbstractUI.aspx?menuIndex=3&amp;refID=7044453&amp;Result=3","7044453")</f>
        <v>0</v>
      </c>
      <c r="B2696" t="s">
        <v>261</v>
      </c>
      <c r="C2696" t="s">
        <v>5670</v>
      </c>
      <c r="D2696" t="s">
        <v>16237</v>
      </c>
      <c r="E2696" t="s">
        <v>18738</v>
      </c>
      <c r="F2696" t="s">
        <v>28198</v>
      </c>
      <c r="G2696" t="s">
        <v>28206</v>
      </c>
      <c r="H2696" t="s">
        <v>28215</v>
      </c>
      <c r="I2696" t="s">
        <v>5791</v>
      </c>
      <c r="J2696" t="s">
        <v>30175</v>
      </c>
      <c r="K2696" t="s">
        <v>36701</v>
      </c>
      <c r="M2696" t="s">
        <v>37237</v>
      </c>
      <c r="N2696" t="s">
        <v>40436</v>
      </c>
      <c r="O2696" t="s">
        <v>40437</v>
      </c>
      <c r="P2696">
        <v>0</v>
      </c>
      <c r="Q2696">
        <v>0</v>
      </c>
      <c r="R2696" t="s">
        <v>40439</v>
      </c>
      <c r="S2696" t="s">
        <v>40588</v>
      </c>
      <c r="T2696" t="s">
        <v>42158</v>
      </c>
      <c r="U2696" t="s">
        <v>44980</v>
      </c>
      <c r="W2696" t="s">
        <v>37237</v>
      </c>
      <c r="X2696" t="s">
        <v>40440</v>
      </c>
    </row>
    <row r="2697" spans="1:24">
      <c r="A2697">
        <f>HYPERLINK("https://www.philgeps.gov.ph/GEPSNONPILOT/Tender/SplashBidNoticeAbstractUI.aspx?menuIndex=3&amp;refID=7044457&amp;Result=3","7044457")</f>
        <v>0</v>
      </c>
      <c r="B2697" t="s">
        <v>1102</v>
      </c>
      <c r="C2697" t="s">
        <v>5671</v>
      </c>
      <c r="D2697" t="s">
        <v>16217</v>
      </c>
      <c r="E2697" t="s">
        <v>18514</v>
      </c>
      <c r="F2697" t="s">
        <v>28198</v>
      </c>
      <c r="G2697" t="s">
        <v>28207</v>
      </c>
      <c r="H2697" t="s">
        <v>28215</v>
      </c>
      <c r="I2697" t="s">
        <v>28228</v>
      </c>
      <c r="J2697" t="s">
        <v>30176</v>
      </c>
      <c r="K2697" t="s">
        <v>36691</v>
      </c>
      <c r="L2697" t="s">
        <v>1102</v>
      </c>
      <c r="M2697" t="s">
        <v>38138</v>
      </c>
      <c r="N2697" t="s">
        <v>40436</v>
      </c>
      <c r="O2697" t="s">
        <v>40437</v>
      </c>
      <c r="P2697">
        <v>0</v>
      </c>
      <c r="Q2697">
        <v>0</v>
      </c>
      <c r="R2697" t="s">
        <v>40439</v>
      </c>
      <c r="S2697" t="s">
        <v>40588</v>
      </c>
      <c r="T2697" t="s">
        <v>42190</v>
      </c>
      <c r="U2697" t="s">
        <v>44981</v>
      </c>
      <c r="W2697" t="s">
        <v>38138</v>
      </c>
      <c r="X2697" t="s">
        <v>40440</v>
      </c>
    </row>
    <row r="2698" spans="1:24">
      <c r="A2698">
        <f>HYPERLINK("https://www.philgeps.gov.ph/GEPSNONPILOT/Tender/SplashBidNoticeAbstractUI.aspx?menuIndex=3&amp;refID=7044459&amp;Result=3","7044459")</f>
        <v>0</v>
      </c>
      <c r="B2698" t="s">
        <v>1057</v>
      </c>
      <c r="C2698" t="s">
        <v>5672</v>
      </c>
      <c r="D2698" t="s">
        <v>16196</v>
      </c>
      <c r="E2698" t="s">
        <v>18739</v>
      </c>
      <c r="F2698" t="s">
        <v>28198</v>
      </c>
      <c r="G2698" t="s">
        <v>28205</v>
      </c>
      <c r="H2698" t="s">
        <v>28215</v>
      </c>
      <c r="I2698" t="s">
        <v>4219</v>
      </c>
      <c r="J2698" t="s">
        <v>28744</v>
      </c>
      <c r="K2698" t="s">
        <v>36715</v>
      </c>
      <c r="L2698" t="s">
        <v>1057</v>
      </c>
      <c r="M2698" t="s">
        <v>38090</v>
      </c>
      <c r="N2698" t="s">
        <v>40436</v>
      </c>
      <c r="O2698" t="s">
        <v>40437</v>
      </c>
      <c r="P2698">
        <v>0</v>
      </c>
      <c r="Q2698">
        <v>1</v>
      </c>
      <c r="R2698" t="s">
        <v>40439</v>
      </c>
      <c r="S2698" t="s">
        <v>40588</v>
      </c>
      <c r="T2698" t="s">
        <v>42133</v>
      </c>
      <c r="U2698" t="s">
        <v>44982</v>
      </c>
      <c r="W2698" t="s">
        <v>38090</v>
      </c>
      <c r="X2698" t="s">
        <v>40440</v>
      </c>
    </row>
    <row r="2699" spans="1:24">
      <c r="A2699">
        <f>HYPERLINK("https://www.philgeps.gov.ph/GEPSNONPILOT/Tender/SplashBidNoticeAbstractUI.aspx?menuIndex=3&amp;refID=7044465&amp;Result=3","7044465")</f>
        <v>0</v>
      </c>
      <c r="B2699" t="s">
        <v>1103</v>
      </c>
      <c r="C2699" t="s">
        <v>5673</v>
      </c>
      <c r="D2699" t="s">
        <v>16195</v>
      </c>
      <c r="E2699" t="s">
        <v>18740</v>
      </c>
      <c r="F2699" t="s">
        <v>28198</v>
      </c>
      <c r="G2699" t="s">
        <v>28207</v>
      </c>
      <c r="H2699" t="s">
        <v>28215</v>
      </c>
      <c r="I2699" t="s">
        <v>5082</v>
      </c>
      <c r="J2699" t="s">
        <v>30177</v>
      </c>
      <c r="K2699" t="s">
        <v>36715</v>
      </c>
      <c r="M2699" t="s">
        <v>38139</v>
      </c>
      <c r="N2699" t="s">
        <v>40436</v>
      </c>
      <c r="O2699" t="s">
        <v>40437</v>
      </c>
      <c r="P2699">
        <v>0</v>
      </c>
      <c r="Q2699">
        <v>4</v>
      </c>
      <c r="R2699" t="s">
        <v>40439</v>
      </c>
      <c r="S2699" t="s">
        <v>40588</v>
      </c>
      <c r="T2699" t="s">
        <v>42131</v>
      </c>
      <c r="U2699" t="s">
        <v>44983</v>
      </c>
      <c r="W2699" t="s">
        <v>38139</v>
      </c>
      <c r="X2699" t="s">
        <v>40440</v>
      </c>
    </row>
    <row r="2700" spans="1:24">
      <c r="A2700">
        <f>HYPERLINK("https://www.philgeps.gov.ph/GEPSNONPILOT/Tender/SplashBidNoticeAbstractUI.aspx?menuIndex=3&amp;refID=7044468&amp;Result=3","7044468")</f>
        <v>0</v>
      </c>
      <c r="B2700" t="s">
        <v>263</v>
      </c>
      <c r="C2700" t="s">
        <v>5674</v>
      </c>
      <c r="E2700" t="s">
        <v>18140</v>
      </c>
      <c r="F2700" t="s">
        <v>28198</v>
      </c>
      <c r="G2700" t="s">
        <v>28205</v>
      </c>
      <c r="H2700" t="s">
        <v>28215</v>
      </c>
      <c r="I2700" t="s">
        <v>3774</v>
      </c>
      <c r="J2700" t="s">
        <v>30178</v>
      </c>
      <c r="K2700" t="s">
        <v>36689</v>
      </c>
      <c r="M2700" t="s">
        <v>37239</v>
      </c>
      <c r="N2700" t="s">
        <v>40436</v>
      </c>
      <c r="O2700" t="s">
        <v>40437</v>
      </c>
      <c r="P2700">
        <v>0</v>
      </c>
      <c r="Q2700">
        <v>0</v>
      </c>
      <c r="R2700" t="s">
        <v>40439</v>
      </c>
      <c r="S2700" t="s">
        <v>40588</v>
      </c>
      <c r="T2700" t="s">
        <v>42137</v>
      </c>
      <c r="U2700" t="s">
        <v>44984</v>
      </c>
      <c r="W2700" t="s">
        <v>37239</v>
      </c>
      <c r="X2700" t="s">
        <v>40440</v>
      </c>
    </row>
    <row r="2701" spans="1:24">
      <c r="A2701">
        <f>HYPERLINK("https://www.philgeps.gov.ph/GEPSNONPILOT/Tender/SplashBidNoticeAbstractUI.aspx?menuIndex=3&amp;refID=7044458&amp;Result=3","7044458")</f>
        <v>0</v>
      </c>
      <c r="B2701" t="s">
        <v>1082</v>
      </c>
      <c r="C2701" t="s">
        <v>5675</v>
      </c>
      <c r="D2701" t="s">
        <v>16265</v>
      </c>
      <c r="E2701" t="s">
        <v>16352</v>
      </c>
      <c r="F2701" t="s">
        <v>28198</v>
      </c>
      <c r="G2701" t="s">
        <v>28206</v>
      </c>
      <c r="H2701" t="s">
        <v>28215</v>
      </c>
      <c r="I2701" t="s">
        <v>5100</v>
      </c>
      <c r="J2701" t="s">
        <v>30179</v>
      </c>
      <c r="K2701" t="s">
        <v>36693</v>
      </c>
      <c r="M2701" t="s">
        <v>38117</v>
      </c>
      <c r="N2701" t="s">
        <v>40436</v>
      </c>
      <c r="O2701" t="s">
        <v>40437</v>
      </c>
      <c r="P2701">
        <v>0</v>
      </c>
      <c r="Q2701">
        <v>0</v>
      </c>
      <c r="R2701" t="s">
        <v>40439</v>
      </c>
      <c r="S2701" t="s">
        <v>40588</v>
      </c>
      <c r="T2701" t="s">
        <v>42119</v>
      </c>
      <c r="U2701" t="s">
        <v>44985</v>
      </c>
      <c r="W2701" t="s">
        <v>38117</v>
      </c>
      <c r="X2701" t="s">
        <v>40440</v>
      </c>
    </row>
    <row r="2702" spans="1:24">
      <c r="A2702">
        <f>HYPERLINK("https://www.philgeps.gov.ph/GEPSNONPILOT/Tender/SplashBidNoticeAbstractUI.aspx?menuIndex=3&amp;refID=7044464&amp;Result=3","7044464")</f>
        <v>0</v>
      </c>
      <c r="B2702" t="s">
        <v>1063</v>
      </c>
      <c r="C2702" t="s">
        <v>5676</v>
      </c>
      <c r="D2702" t="s">
        <v>16188</v>
      </c>
      <c r="E2702" t="s">
        <v>18741</v>
      </c>
      <c r="F2702" t="s">
        <v>28198</v>
      </c>
      <c r="G2702" t="s">
        <v>28207</v>
      </c>
      <c r="H2702" t="s">
        <v>28215</v>
      </c>
      <c r="I2702" t="s">
        <v>28227</v>
      </c>
      <c r="J2702" t="s">
        <v>30180</v>
      </c>
      <c r="K2702" t="s">
        <v>36689</v>
      </c>
      <c r="M2702" t="s">
        <v>38096</v>
      </c>
      <c r="N2702" t="s">
        <v>40436</v>
      </c>
      <c r="O2702" t="s">
        <v>40437</v>
      </c>
      <c r="P2702">
        <v>0</v>
      </c>
      <c r="Q2702">
        <v>3</v>
      </c>
      <c r="R2702" t="s">
        <v>40439</v>
      </c>
      <c r="S2702" t="s">
        <v>40588</v>
      </c>
      <c r="T2702" t="s">
        <v>42318</v>
      </c>
      <c r="U2702" t="s">
        <v>44986</v>
      </c>
      <c r="W2702" t="s">
        <v>38096</v>
      </c>
      <c r="X2702" t="s">
        <v>40440</v>
      </c>
    </row>
    <row r="2703" spans="1:24">
      <c r="A2703">
        <f>HYPERLINK("https://www.philgeps.gov.ph/GEPSNONPILOT/Tender/SplashBidNoticeAbstractUI.aspx?menuIndex=3&amp;refID=7044472&amp;Result=3","7044472")</f>
        <v>0</v>
      </c>
      <c r="B2703" t="s">
        <v>1079</v>
      </c>
      <c r="C2703" t="s">
        <v>5677</v>
      </c>
      <c r="D2703" t="s">
        <v>16210</v>
      </c>
      <c r="E2703" t="s">
        <v>18742</v>
      </c>
      <c r="F2703" t="s">
        <v>28198</v>
      </c>
      <c r="G2703" t="s">
        <v>28207</v>
      </c>
      <c r="H2703" t="s">
        <v>28215</v>
      </c>
      <c r="I2703" t="s">
        <v>28225</v>
      </c>
      <c r="J2703" t="s">
        <v>30181</v>
      </c>
      <c r="K2703" t="s">
        <v>36689</v>
      </c>
      <c r="M2703" t="s">
        <v>38114</v>
      </c>
      <c r="N2703" t="s">
        <v>40436</v>
      </c>
      <c r="O2703" t="s">
        <v>40437</v>
      </c>
      <c r="P2703">
        <v>0</v>
      </c>
      <c r="Q2703">
        <v>2</v>
      </c>
      <c r="R2703" t="s">
        <v>40439</v>
      </c>
      <c r="S2703" t="s">
        <v>40588</v>
      </c>
      <c r="T2703" t="s">
        <v>42326</v>
      </c>
      <c r="U2703" t="s">
        <v>44987</v>
      </c>
      <c r="V2703" t="s">
        <v>53921</v>
      </c>
      <c r="W2703" t="s">
        <v>38114</v>
      </c>
      <c r="X2703" t="s">
        <v>40440</v>
      </c>
    </row>
    <row r="2704" spans="1:24">
      <c r="A2704">
        <f>HYPERLINK("https://www.philgeps.gov.ph/GEPSNONPILOT/Tender/SplashBidNoticeAbstractUI.aspx?menuIndex=3&amp;refID=7044489&amp;Result=3","7044489")</f>
        <v>0</v>
      </c>
      <c r="B2704" t="s">
        <v>1104</v>
      </c>
      <c r="C2704" t="s">
        <v>5678</v>
      </c>
      <c r="D2704" t="s">
        <v>16202</v>
      </c>
      <c r="E2704" t="s">
        <v>18743</v>
      </c>
      <c r="F2704" t="s">
        <v>28198</v>
      </c>
      <c r="G2704" t="s">
        <v>28207</v>
      </c>
      <c r="H2704" t="s">
        <v>28215</v>
      </c>
      <c r="I2704" t="s">
        <v>4200</v>
      </c>
      <c r="J2704" t="s">
        <v>29269</v>
      </c>
      <c r="K2704" t="s">
        <v>36689</v>
      </c>
      <c r="M2704" t="s">
        <v>38140</v>
      </c>
      <c r="N2704" t="s">
        <v>40436</v>
      </c>
      <c r="O2704" t="s">
        <v>40437</v>
      </c>
      <c r="P2704">
        <v>0</v>
      </c>
      <c r="Q2704">
        <v>0</v>
      </c>
      <c r="R2704" t="s">
        <v>40439</v>
      </c>
      <c r="S2704" t="s">
        <v>40588</v>
      </c>
      <c r="T2704" t="s">
        <v>42111</v>
      </c>
      <c r="U2704" t="s">
        <v>44988</v>
      </c>
      <c r="V2704" t="s">
        <v>53921</v>
      </c>
      <c r="W2704" t="s">
        <v>38140</v>
      </c>
      <c r="X2704" t="s">
        <v>40440</v>
      </c>
    </row>
    <row r="2705" spans="1:24">
      <c r="A2705">
        <f>HYPERLINK("https://www.philgeps.gov.ph/GEPSNONPILOT/Tender/SplashBidNoticeAbstractUI.aspx?menuIndex=3&amp;refID=7044473&amp;Result=3","7044473")</f>
        <v>0</v>
      </c>
      <c r="B2705" t="s">
        <v>1105</v>
      </c>
      <c r="C2705" t="s">
        <v>5679</v>
      </c>
      <c r="D2705" t="s">
        <v>16206</v>
      </c>
      <c r="E2705" t="s">
        <v>18744</v>
      </c>
      <c r="F2705" t="s">
        <v>28198</v>
      </c>
      <c r="G2705" t="s">
        <v>28207</v>
      </c>
      <c r="H2705" t="s">
        <v>28215</v>
      </c>
      <c r="I2705" t="s">
        <v>3422</v>
      </c>
      <c r="J2705" t="s">
        <v>29486</v>
      </c>
      <c r="K2705" t="s">
        <v>36691</v>
      </c>
      <c r="M2705" t="s">
        <v>38141</v>
      </c>
      <c r="N2705" t="s">
        <v>40436</v>
      </c>
      <c r="O2705" t="s">
        <v>40437</v>
      </c>
      <c r="P2705">
        <v>0</v>
      </c>
      <c r="Q2705">
        <v>0</v>
      </c>
      <c r="R2705" t="s">
        <v>40439</v>
      </c>
      <c r="S2705" t="s">
        <v>40588</v>
      </c>
      <c r="T2705" t="s">
        <v>42190</v>
      </c>
      <c r="U2705" t="s">
        <v>44989</v>
      </c>
      <c r="V2705" t="s">
        <v>54084</v>
      </c>
      <c r="W2705" t="s">
        <v>38141</v>
      </c>
      <c r="X2705" t="s">
        <v>40440</v>
      </c>
    </row>
    <row r="2706" spans="1:24">
      <c r="A2706">
        <f>HYPERLINK("https://www.philgeps.gov.ph/GEPSNONPILOT/Tender/SplashBidNoticeAbstractUI.aspx?menuIndex=3&amp;refID=7044469&amp;Result=3","7044469")</f>
        <v>0</v>
      </c>
      <c r="B2706" t="s">
        <v>1106</v>
      </c>
      <c r="C2706" t="s">
        <v>5680</v>
      </c>
      <c r="D2706" t="s">
        <v>16210</v>
      </c>
      <c r="E2706" t="s">
        <v>18745</v>
      </c>
      <c r="F2706" t="s">
        <v>28198</v>
      </c>
      <c r="G2706" t="s">
        <v>28207</v>
      </c>
      <c r="H2706" t="s">
        <v>28215</v>
      </c>
      <c r="I2706" t="s">
        <v>28281</v>
      </c>
      <c r="J2706" t="s">
        <v>30182</v>
      </c>
      <c r="K2706" t="s">
        <v>36689</v>
      </c>
      <c r="M2706" t="s">
        <v>38142</v>
      </c>
      <c r="N2706" t="s">
        <v>40436</v>
      </c>
      <c r="O2706" t="s">
        <v>40437</v>
      </c>
      <c r="P2706">
        <v>0</v>
      </c>
      <c r="Q2706">
        <v>27</v>
      </c>
      <c r="R2706" t="s">
        <v>40439</v>
      </c>
      <c r="S2706" t="s">
        <v>40588</v>
      </c>
      <c r="T2706" t="s">
        <v>42156</v>
      </c>
      <c r="U2706" t="s">
        <v>44990</v>
      </c>
      <c r="W2706" t="s">
        <v>38142</v>
      </c>
      <c r="X2706" t="s">
        <v>40440</v>
      </c>
    </row>
    <row r="2707" spans="1:24">
      <c r="A2707">
        <f>HYPERLINK("https://www.philgeps.gov.ph/GEPSNONPILOT/Tender/SplashBidNoticeAbstractUI.aspx?menuIndex=3&amp;refID=7044484&amp;Result=3","7044484")</f>
        <v>0</v>
      </c>
      <c r="B2707" t="s">
        <v>1057</v>
      </c>
      <c r="C2707" t="s">
        <v>5681</v>
      </c>
      <c r="D2707" t="s">
        <v>16196</v>
      </c>
      <c r="E2707" t="s">
        <v>18746</v>
      </c>
      <c r="F2707" t="s">
        <v>28198</v>
      </c>
      <c r="G2707" t="s">
        <v>28205</v>
      </c>
      <c r="H2707" t="s">
        <v>28215</v>
      </c>
      <c r="I2707" t="s">
        <v>4219</v>
      </c>
      <c r="J2707" t="s">
        <v>30183</v>
      </c>
      <c r="K2707" t="s">
        <v>36715</v>
      </c>
      <c r="L2707" t="s">
        <v>1057</v>
      </c>
      <c r="M2707" t="s">
        <v>38090</v>
      </c>
      <c r="N2707" t="s">
        <v>40436</v>
      </c>
      <c r="O2707" t="s">
        <v>40437</v>
      </c>
      <c r="P2707">
        <v>0</v>
      </c>
      <c r="Q2707">
        <v>0</v>
      </c>
      <c r="R2707" t="s">
        <v>40439</v>
      </c>
      <c r="S2707" t="s">
        <v>40588</v>
      </c>
      <c r="T2707" t="s">
        <v>42133</v>
      </c>
      <c r="U2707" t="s">
        <v>44991</v>
      </c>
      <c r="W2707" t="s">
        <v>38090</v>
      </c>
      <c r="X2707" t="s">
        <v>40440</v>
      </c>
    </row>
    <row r="2708" spans="1:24">
      <c r="A2708">
        <f>HYPERLINK("https://www.philgeps.gov.ph/GEPSNONPILOT/Tender/SplashBidNoticeAbstractUI.aspx?menuIndex=3&amp;refID=7044487&amp;Result=3","7044487")</f>
        <v>0</v>
      </c>
      <c r="B2708" t="s">
        <v>65</v>
      </c>
      <c r="C2708" t="s">
        <v>5682</v>
      </c>
      <c r="D2708" t="s">
        <v>16210</v>
      </c>
      <c r="E2708" t="s">
        <v>18747</v>
      </c>
      <c r="F2708" t="s">
        <v>28198</v>
      </c>
      <c r="G2708" t="s">
        <v>28207</v>
      </c>
      <c r="H2708" t="s">
        <v>28215</v>
      </c>
      <c r="I2708" t="s">
        <v>28225</v>
      </c>
      <c r="J2708" t="s">
        <v>28378</v>
      </c>
      <c r="K2708" t="s">
        <v>36689</v>
      </c>
      <c r="M2708" t="s">
        <v>37789</v>
      </c>
      <c r="N2708" t="s">
        <v>40436</v>
      </c>
      <c r="O2708" t="s">
        <v>40437</v>
      </c>
      <c r="P2708">
        <v>0</v>
      </c>
      <c r="Q2708">
        <v>0</v>
      </c>
      <c r="R2708" t="s">
        <v>40439</v>
      </c>
      <c r="S2708" t="s">
        <v>40588</v>
      </c>
      <c r="T2708" t="s">
        <v>42134</v>
      </c>
      <c r="U2708" t="s">
        <v>44992</v>
      </c>
      <c r="W2708" t="s">
        <v>37789</v>
      </c>
      <c r="X2708" t="s">
        <v>40440</v>
      </c>
    </row>
    <row r="2709" spans="1:24">
      <c r="A2709">
        <f>HYPERLINK("https://www.philgeps.gov.ph/GEPSNONPILOT/Tender/SplashBidNoticeAbstractUI.aspx?menuIndex=3&amp;refID=7044488&amp;Result=3","7044488")</f>
        <v>0</v>
      </c>
      <c r="B2709" t="s">
        <v>100</v>
      </c>
      <c r="C2709" t="s">
        <v>5683</v>
      </c>
      <c r="D2709" t="s">
        <v>16228</v>
      </c>
      <c r="E2709" t="s">
        <v>18748</v>
      </c>
      <c r="F2709" t="s">
        <v>28198</v>
      </c>
      <c r="G2709" t="s">
        <v>28205</v>
      </c>
      <c r="H2709" t="s">
        <v>28215</v>
      </c>
      <c r="I2709" t="s">
        <v>28234</v>
      </c>
      <c r="J2709" t="s">
        <v>30184</v>
      </c>
      <c r="K2709" t="s">
        <v>36701</v>
      </c>
      <c r="M2709" t="s">
        <v>38133</v>
      </c>
      <c r="N2709" t="s">
        <v>40436</v>
      </c>
      <c r="O2709" t="s">
        <v>40437</v>
      </c>
      <c r="P2709">
        <v>0</v>
      </c>
      <c r="Q2709">
        <v>1</v>
      </c>
      <c r="R2709" t="s">
        <v>40439</v>
      </c>
      <c r="S2709" t="s">
        <v>40588</v>
      </c>
      <c r="T2709" t="s">
        <v>42134</v>
      </c>
      <c r="U2709" t="s">
        <v>42767</v>
      </c>
      <c r="V2709" t="s">
        <v>53798</v>
      </c>
      <c r="W2709" t="s">
        <v>38133</v>
      </c>
      <c r="X2709" t="s">
        <v>40440</v>
      </c>
    </row>
    <row r="2710" spans="1:24">
      <c r="A2710">
        <f>HYPERLINK("https://www.philgeps.gov.ph/GEPSNONPILOT/Tender/SplashBidNoticeAbstractUI.aspx?menuIndex=3&amp;refID=7044474&amp;Result=3","7044474")</f>
        <v>0</v>
      </c>
      <c r="B2710" t="s">
        <v>1101</v>
      </c>
      <c r="C2710" t="s">
        <v>5684</v>
      </c>
      <c r="D2710" t="s">
        <v>16219</v>
      </c>
      <c r="E2710" t="s">
        <v>18749</v>
      </c>
      <c r="F2710" t="s">
        <v>28198</v>
      </c>
      <c r="G2710" t="s">
        <v>28207</v>
      </c>
      <c r="H2710" t="s">
        <v>28215</v>
      </c>
      <c r="I2710" t="s">
        <v>28228</v>
      </c>
      <c r="J2710" t="s">
        <v>30185</v>
      </c>
      <c r="K2710" t="s">
        <v>36688</v>
      </c>
      <c r="M2710" t="s">
        <v>38137</v>
      </c>
      <c r="N2710" t="s">
        <v>40436</v>
      </c>
      <c r="O2710" t="s">
        <v>40437</v>
      </c>
      <c r="P2710">
        <v>0</v>
      </c>
      <c r="Q2710">
        <v>0</v>
      </c>
      <c r="R2710" t="s">
        <v>40439</v>
      </c>
      <c r="S2710" t="s">
        <v>40588</v>
      </c>
      <c r="T2710" t="s">
        <v>42317</v>
      </c>
      <c r="U2710" t="s">
        <v>44993</v>
      </c>
      <c r="V2710" t="s">
        <v>54083</v>
      </c>
      <c r="W2710" t="s">
        <v>38137</v>
      </c>
      <c r="X2710" t="s">
        <v>40440</v>
      </c>
    </row>
    <row r="2711" spans="1:24">
      <c r="A2711">
        <f>HYPERLINK("https://www.philgeps.gov.ph/GEPSNONPILOT/Tender/SplashBidNoticeAbstractUI.aspx?menuIndex=3&amp;refID=7044485&amp;Result=3","7044485")</f>
        <v>0</v>
      </c>
      <c r="B2711" t="s">
        <v>701</v>
      </c>
      <c r="C2711" t="s">
        <v>5685</v>
      </c>
      <c r="D2711" t="s">
        <v>16254</v>
      </c>
      <c r="E2711" t="s">
        <v>18750</v>
      </c>
      <c r="F2711" t="s">
        <v>28198</v>
      </c>
      <c r="G2711" t="s">
        <v>28207</v>
      </c>
      <c r="H2711" t="s">
        <v>28215</v>
      </c>
      <c r="I2711" t="s">
        <v>28247</v>
      </c>
      <c r="J2711" t="s">
        <v>30186</v>
      </c>
      <c r="K2711" t="s">
        <v>36707</v>
      </c>
      <c r="M2711" t="s">
        <v>37701</v>
      </c>
      <c r="N2711" t="s">
        <v>40436</v>
      </c>
      <c r="O2711" t="s">
        <v>40437</v>
      </c>
      <c r="P2711">
        <v>0</v>
      </c>
      <c r="Q2711">
        <v>3</v>
      </c>
      <c r="R2711" t="s">
        <v>40439</v>
      </c>
      <c r="S2711" t="s">
        <v>40588</v>
      </c>
      <c r="T2711" t="s">
        <v>42326</v>
      </c>
      <c r="U2711" t="s">
        <v>44994</v>
      </c>
      <c r="V2711" t="s">
        <v>54085</v>
      </c>
      <c r="W2711" t="s">
        <v>37701</v>
      </c>
      <c r="X2711" t="s">
        <v>40440</v>
      </c>
    </row>
    <row r="2712" spans="1:24">
      <c r="A2712">
        <f>HYPERLINK("https://www.philgeps.gov.ph/GEPSNONPILOT/Tender/SplashBidNoticeAbstractUI.aspx?menuIndex=3&amp;refID=7044479&amp;Result=3","7044479")</f>
        <v>0</v>
      </c>
      <c r="B2712" t="s">
        <v>839</v>
      </c>
      <c r="C2712" t="s">
        <v>5686</v>
      </c>
      <c r="D2712" t="s">
        <v>16265</v>
      </c>
      <c r="E2712" t="s">
        <v>16473</v>
      </c>
      <c r="F2712" t="s">
        <v>28198</v>
      </c>
      <c r="G2712" t="s">
        <v>28207</v>
      </c>
      <c r="H2712" t="s">
        <v>28215</v>
      </c>
      <c r="I2712" t="s">
        <v>5100</v>
      </c>
      <c r="J2712" t="s">
        <v>30187</v>
      </c>
      <c r="K2712" t="s">
        <v>36689</v>
      </c>
      <c r="M2712" t="s">
        <v>37851</v>
      </c>
      <c r="N2712" t="s">
        <v>40436</v>
      </c>
      <c r="O2712" t="s">
        <v>40437</v>
      </c>
      <c r="P2712">
        <v>0</v>
      </c>
      <c r="Q2712">
        <v>0</v>
      </c>
      <c r="R2712" t="s">
        <v>40439</v>
      </c>
      <c r="S2712" t="s">
        <v>40588</v>
      </c>
      <c r="T2712" t="s">
        <v>42169</v>
      </c>
      <c r="U2712" t="s">
        <v>44232</v>
      </c>
      <c r="W2712" t="s">
        <v>37851</v>
      </c>
      <c r="X2712" t="s">
        <v>40440</v>
      </c>
    </row>
    <row r="2713" spans="1:24">
      <c r="A2713">
        <f>HYPERLINK("https://www.philgeps.gov.ph/GEPSNONPILOT/Tender/SplashBidNoticeAbstractUI.aspx?menuIndex=3&amp;refID=7044471&amp;Result=3","7044471")</f>
        <v>0</v>
      </c>
      <c r="B2713" t="s">
        <v>1107</v>
      </c>
      <c r="C2713" t="s">
        <v>5687</v>
      </c>
      <c r="D2713" t="s">
        <v>16188</v>
      </c>
      <c r="E2713" t="s">
        <v>18197</v>
      </c>
      <c r="F2713" t="s">
        <v>28198</v>
      </c>
      <c r="G2713" t="s">
        <v>28207</v>
      </c>
      <c r="H2713" t="s">
        <v>28215</v>
      </c>
      <c r="I2713" t="s">
        <v>28225</v>
      </c>
      <c r="J2713" t="s">
        <v>28397</v>
      </c>
      <c r="K2713" t="s">
        <v>36688</v>
      </c>
      <c r="M2713" t="s">
        <v>38143</v>
      </c>
      <c r="N2713" t="s">
        <v>40436</v>
      </c>
      <c r="O2713" t="s">
        <v>40437</v>
      </c>
      <c r="P2713">
        <v>0</v>
      </c>
      <c r="Q2713">
        <v>1</v>
      </c>
      <c r="R2713" t="s">
        <v>40439</v>
      </c>
      <c r="S2713" t="s">
        <v>40588</v>
      </c>
      <c r="T2713" t="s">
        <v>42332</v>
      </c>
      <c r="U2713" t="s">
        <v>44995</v>
      </c>
      <c r="W2713" t="s">
        <v>38143</v>
      </c>
      <c r="X2713" t="s">
        <v>40440</v>
      </c>
    </row>
    <row r="2714" spans="1:24">
      <c r="A2714">
        <f>HYPERLINK("https://www.philgeps.gov.ph/GEPSNONPILOT/Tender/SplashBidNoticeAbstractUI.aspx?menuIndex=3&amp;refID=7044481&amp;Result=3","7044481")</f>
        <v>0</v>
      </c>
      <c r="B2714" t="s">
        <v>1092</v>
      </c>
      <c r="C2714" t="s">
        <v>5688</v>
      </c>
      <c r="D2714" t="s">
        <v>16230</v>
      </c>
      <c r="E2714" t="s">
        <v>18229</v>
      </c>
      <c r="F2714" t="s">
        <v>28198</v>
      </c>
      <c r="G2714" t="s">
        <v>28207</v>
      </c>
      <c r="H2714" t="s">
        <v>28214</v>
      </c>
      <c r="I2714" t="s">
        <v>3797</v>
      </c>
      <c r="J2714" t="s">
        <v>30188</v>
      </c>
      <c r="K2714" t="s">
        <v>36697</v>
      </c>
      <c r="M2714" t="s">
        <v>38127</v>
      </c>
      <c r="N2714" t="s">
        <v>40436</v>
      </c>
      <c r="O2714" t="s">
        <v>40437</v>
      </c>
      <c r="P2714">
        <v>0</v>
      </c>
      <c r="Q2714">
        <v>1</v>
      </c>
      <c r="R2714" t="s">
        <v>40439</v>
      </c>
      <c r="S2714" t="s">
        <v>40588</v>
      </c>
      <c r="T2714" t="s">
        <v>42218</v>
      </c>
      <c r="U2714" t="s">
        <v>44996</v>
      </c>
      <c r="W2714" t="s">
        <v>38127</v>
      </c>
      <c r="X2714" t="s">
        <v>40440</v>
      </c>
    </row>
    <row r="2715" spans="1:24">
      <c r="A2715">
        <f>HYPERLINK("https://www.philgeps.gov.ph/GEPSNONPILOT/Tender/SplashBidNoticeAbstractUI.aspx?menuIndex=3&amp;refID=7044470&amp;Result=3","7044470")</f>
        <v>0</v>
      </c>
      <c r="B2715" t="s">
        <v>1089</v>
      </c>
      <c r="C2715" t="s">
        <v>5689</v>
      </c>
      <c r="D2715" t="s">
        <v>16210</v>
      </c>
      <c r="E2715" t="s">
        <v>18751</v>
      </c>
      <c r="F2715" t="s">
        <v>28198</v>
      </c>
      <c r="G2715" t="s">
        <v>28206</v>
      </c>
      <c r="H2715" t="s">
        <v>28214</v>
      </c>
      <c r="I2715" t="s">
        <v>5100</v>
      </c>
      <c r="J2715" t="s">
        <v>28352</v>
      </c>
      <c r="K2715" t="s">
        <v>36688</v>
      </c>
      <c r="M2715" t="s">
        <v>38124</v>
      </c>
      <c r="N2715" t="s">
        <v>40436</v>
      </c>
      <c r="O2715" t="s">
        <v>40437</v>
      </c>
      <c r="P2715">
        <v>0</v>
      </c>
      <c r="Q2715">
        <v>1</v>
      </c>
      <c r="R2715" t="s">
        <v>40439</v>
      </c>
      <c r="S2715" t="s">
        <v>40588</v>
      </c>
      <c r="T2715" t="s">
        <v>42105</v>
      </c>
      <c r="U2715" t="s">
        <v>44997</v>
      </c>
      <c r="W2715" t="s">
        <v>38124</v>
      </c>
      <c r="X2715" t="s">
        <v>40440</v>
      </c>
    </row>
    <row r="2716" spans="1:24">
      <c r="A2716">
        <f>HYPERLINK("https://www.philgeps.gov.ph/GEPSNONPILOT/Tender/SplashBidNoticeAbstractUI.aspx?menuIndex=3&amp;refID=7044491&amp;Result=3","7044491")</f>
        <v>0</v>
      </c>
      <c r="B2716" t="s">
        <v>1108</v>
      </c>
      <c r="C2716" t="s">
        <v>5690</v>
      </c>
      <c r="D2716" t="s">
        <v>16193</v>
      </c>
      <c r="E2716" t="s">
        <v>18752</v>
      </c>
      <c r="F2716" t="s">
        <v>28198</v>
      </c>
      <c r="G2716" t="s">
        <v>28205</v>
      </c>
      <c r="H2716" t="s">
        <v>28215</v>
      </c>
      <c r="I2716" t="s">
        <v>5100</v>
      </c>
      <c r="J2716" t="s">
        <v>30189</v>
      </c>
      <c r="K2716" t="s">
        <v>36707</v>
      </c>
      <c r="M2716" t="s">
        <v>38144</v>
      </c>
      <c r="N2716" t="s">
        <v>40436</v>
      </c>
      <c r="O2716" t="s">
        <v>40437</v>
      </c>
      <c r="P2716">
        <v>0</v>
      </c>
      <c r="Q2716">
        <v>0</v>
      </c>
      <c r="R2716" t="s">
        <v>40439</v>
      </c>
      <c r="S2716" t="s">
        <v>40588</v>
      </c>
      <c r="T2716" t="s">
        <v>42183</v>
      </c>
      <c r="U2716" t="s">
        <v>44998</v>
      </c>
      <c r="W2716" t="s">
        <v>38144</v>
      </c>
      <c r="X2716" t="s">
        <v>40440</v>
      </c>
    </row>
    <row r="2717" spans="1:24">
      <c r="A2717">
        <f>HYPERLINK("https://www.philgeps.gov.ph/GEPSNONPILOT/Tender/SplashBidNoticeAbstractUI.aspx?menuIndex=3&amp;refID=7044482&amp;Result=3","7044482")</f>
        <v>0</v>
      </c>
      <c r="B2717" t="s">
        <v>773</v>
      </c>
      <c r="C2717" t="s">
        <v>5665</v>
      </c>
      <c r="D2717" t="s">
        <v>16219</v>
      </c>
      <c r="E2717" t="s">
        <v>18753</v>
      </c>
      <c r="F2717" t="s">
        <v>28198</v>
      </c>
      <c r="G2717" t="s">
        <v>28207</v>
      </c>
      <c r="H2717" t="s">
        <v>28215</v>
      </c>
      <c r="I2717" t="s">
        <v>28228</v>
      </c>
      <c r="J2717" t="s">
        <v>30172</v>
      </c>
      <c r="K2717" t="s">
        <v>36688</v>
      </c>
      <c r="M2717" t="s">
        <v>38111</v>
      </c>
      <c r="N2717" t="s">
        <v>40436</v>
      </c>
      <c r="O2717" t="s">
        <v>40437</v>
      </c>
      <c r="P2717">
        <v>0</v>
      </c>
      <c r="Q2717">
        <v>0</v>
      </c>
      <c r="R2717" t="s">
        <v>40439</v>
      </c>
      <c r="S2717" t="s">
        <v>40588</v>
      </c>
      <c r="T2717" t="s">
        <v>42133</v>
      </c>
      <c r="U2717" t="s">
        <v>44975</v>
      </c>
      <c r="W2717" t="s">
        <v>38111</v>
      </c>
      <c r="X2717" t="s">
        <v>40440</v>
      </c>
    </row>
    <row r="2718" spans="1:24">
      <c r="A2718">
        <f>HYPERLINK("https://www.philgeps.gov.ph/GEPSNONPILOT/Tender/SplashBidNoticeAbstractUI.aspx?menuIndex=3&amp;refID=7044490&amp;Result=3","7044490")</f>
        <v>0</v>
      </c>
      <c r="B2718" t="s">
        <v>1068</v>
      </c>
      <c r="C2718" t="s">
        <v>5691</v>
      </c>
      <c r="D2718" t="s">
        <v>16258</v>
      </c>
      <c r="E2718" t="s">
        <v>18754</v>
      </c>
      <c r="F2718" t="s">
        <v>28198</v>
      </c>
      <c r="G2718" t="s">
        <v>28207</v>
      </c>
      <c r="H2718" t="s">
        <v>28215</v>
      </c>
      <c r="I2718" t="s">
        <v>4200</v>
      </c>
      <c r="J2718" t="s">
        <v>28701</v>
      </c>
      <c r="K2718" t="s">
        <v>36689</v>
      </c>
      <c r="M2718" t="s">
        <v>38101</v>
      </c>
      <c r="N2718" t="s">
        <v>40436</v>
      </c>
      <c r="O2718" t="s">
        <v>40437</v>
      </c>
      <c r="P2718">
        <v>0</v>
      </c>
      <c r="Q2718">
        <v>2</v>
      </c>
      <c r="R2718" t="s">
        <v>40439</v>
      </c>
      <c r="S2718" t="s">
        <v>40588</v>
      </c>
      <c r="T2718" t="s">
        <v>42112</v>
      </c>
      <c r="U2718" t="s">
        <v>44999</v>
      </c>
      <c r="W2718" t="s">
        <v>38101</v>
      </c>
      <c r="X2718" t="s">
        <v>40440</v>
      </c>
    </row>
    <row r="2719" spans="1:24">
      <c r="A2719">
        <f>HYPERLINK("https://www.philgeps.gov.ph/GEPSNONPILOT/Tender/SplashBidNoticeAbstractUI.aspx?menuIndex=3&amp;refID=7044480&amp;Result=3","7044480")</f>
        <v>0</v>
      </c>
      <c r="B2719" t="s">
        <v>1084</v>
      </c>
      <c r="C2719" t="s">
        <v>5692</v>
      </c>
      <c r="D2719" t="s">
        <v>16249</v>
      </c>
      <c r="E2719" t="s">
        <v>16588</v>
      </c>
      <c r="F2719" t="s">
        <v>28198</v>
      </c>
      <c r="G2719" t="s">
        <v>28205</v>
      </c>
      <c r="H2719" t="s">
        <v>28214</v>
      </c>
      <c r="I2719" t="s">
        <v>5100</v>
      </c>
      <c r="J2719" t="s">
        <v>30190</v>
      </c>
      <c r="K2719" t="s">
        <v>36707</v>
      </c>
      <c r="M2719" t="s">
        <v>38119</v>
      </c>
      <c r="N2719" t="s">
        <v>40436</v>
      </c>
      <c r="O2719" t="s">
        <v>40437</v>
      </c>
      <c r="P2719">
        <v>0</v>
      </c>
      <c r="Q2719">
        <v>2</v>
      </c>
      <c r="R2719" t="s">
        <v>40439</v>
      </c>
      <c r="S2719" t="s">
        <v>40588</v>
      </c>
      <c r="T2719" t="s">
        <v>42278</v>
      </c>
      <c r="U2719" t="s">
        <v>45000</v>
      </c>
      <c r="W2719" t="s">
        <v>38119</v>
      </c>
      <c r="X2719" t="s">
        <v>40440</v>
      </c>
    </row>
    <row r="2720" spans="1:24">
      <c r="A2720">
        <f>HYPERLINK("https://www.philgeps.gov.ph/GEPSNONPILOT/Tender/SplashBidNoticeAbstractUI.aspx?menuIndex=3&amp;refID=7044492&amp;Result=3","7044492")</f>
        <v>0</v>
      </c>
      <c r="B2720" t="s">
        <v>83</v>
      </c>
      <c r="C2720" t="s">
        <v>5693</v>
      </c>
      <c r="D2720" t="s">
        <v>16273</v>
      </c>
      <c r="E2720" t="s">
        <v>18755</v>
      </c>
      <c r="F2720" t="s">
        <v>28198</v>
      </c>
      <c r="G2720" t="s">
        <v>28207</v>
      </c>
      <c r="H2720" t="s">
        <v>28215</v>
      </c>
      <c r="I2720" t="s">
        <v>3774</v>
      </c>
      <c r="J2720" t="s">
        <v>30191</v>
      </c>
      <c r="K2720" t="s">
        <v>36707</v>
      </c>
      <c r="M2720" t="s">
        <v>37055</v>
      </c>
      <c r="N2720" t="s">
        <v>40436</v>
      </c>
      <c r="O2720" t="s">
        <v>40437</v>
      </c>
      <c r="P2720">
        <v>0</v>
      </c>
      <c r="Q2720">
        <v>0</v>
      </c>
      <c r="R2720" t="s">
        <v>40439</v>
      </c>
      <c r="S2720" t="s">
        <v>40588</v>
      </c>
      <c r="T2720" t="s">
        <v>42131</v>
      </c>
      <c r="U2720" t="s">
        <v>45001</v>
      </c>
      <c r="W2720" t="s">
        <v>37055</v>
      </c>
      <c r="X2720" t="s">
        <v>40440</v>
      </c>
    </row>
    <row r="2721" spans="1:24">
      <c r="A2721">
        <f>HYPERLINK("https://www.philgeps.gov.ph/GEPSNONPILOT/Tender/SplashBidNoticeAbstractUI.aspx?menuIndex=3&amp;refID=7044503&amp;Result=3","7044503")</f>
        <v>0</v>
      </c>
      <c r="B2721" t="s">
        <v>1105</v>
      </c>
      <c r="C2721" t="s">
        <v>5694</v>
      </c>
      <c r="D2721" t="s">
        <v>16206</v>
      </c>
      <c r="E2721" t="s">
        <v>18756</v>
      </c>
      <c r="F2721" t="s">
        <v>28198</v>
      </c>
      <c r="G2721" t="s">
        <v>28205</v>
      </c>
      <c r="H2721" t="s">
        <v>28214</v>
      </c>
      <c r="I2721" t="s">
        <v>3797</v>
      </c>
      <c r="J2721" t="s">
        <v>30192</v>
      </c>
      <c r="K2721" t="s">
        <v>36709</v>
      </c>
      <c r="M2721" t="s">
        <v>38141</v>
      </c>
      <c r="N2721" t="s">
        <v>40436</v>
      </c>
      <c r="O2721" t="s">
        <v>40437</v>
      </c>
      <c r="P2721">
        <v>0</v>
      </c>
      <c r="Q2721">
        <v>2</v>
      </c>
      <c r="R2721" t="s">
        <v>40439</v>
      </c>
      <c r="S2721" t="s">
        <v>40588</v>
      </c>
      <c r="T2721" t="s">
        <v>42118</v>
      </c>
      <c r="U2721" t="s">
        <v>45002</v>
      </c>
      <c r="V2721" t="s">
        <v>54086</v>
      </c>
      <c r="W2721" t="s">
        <v>38141</v>
      </c>
      <c r="X2721" t="s">
        <v>40440</v>
      </c>
    </row>
    <row r="2722" spans="1:24">
      <c r="A2722">
        <f>HYPERLINK("https://www.philgeps.gov.ph/GEPSNONPILOT/Tender/SplashBidNoticeAbstractUI.aspx?menuIndex=3&amp;refID=7044493&amp;Result=3","7044493")</f>
        <v>0</v>
      </c>
      <c r="B2722" t="s">
        <v>1109</v>
      </c>
      <c r="C2722" t="s">
        <v>5695</v>
      </c>
      <c r="D2722" t="s">
        <v>16210</v>
      </c>
      <c r="E2722" t="s">
        <v>18757</v>
      </c>
      <c r="F2722" t="s">
        <v>28198</v>
      </c>
      <c r="G2722" t="s">
        <v>28207</v>
      </c>
      <c r="H2722" t="s">
        <v>28215</v>
      </c>
      <c r="I2722" t="s">
        <v>28281</v>
      </c>
      <c r="J2722" t="s">
        <v>30193</v>
      </c>
      <c r="K2722" t="s">
        <v>36688</v>
      </c>
      <c r="M2722" t="s">
        <v>38145</v>
      </c>
      <c r="N2722" t="s">
        <v>40436</v>
      </c>
      <c r="O2722" t="s">
        <v>40437</v>
      </c>
      <c r="P2722">
        <v>0</v>
      </c>
      <c r="Q2722">
        <v>8</v>
      </c>
      <c r="R2722" t="s">
        <v>40439</v>
      </c>
      <c r="S2722" t="s">
        <v>40588</v>
      </c>
      <c r="T2722" t="s">
        <v>42216</v>
      </c>
      <c r="U2722" t="s">
        <v>45003</v>
      </c>
      <c r="V2722" t="s">
        <v>54087</v>
      </c>
      <c r="W2722" t="s">
        <v>38145</v>
      </c>
      <c r="X2722" t="s">
        <v>40440</v>
      </c>
    </row>
    <row r="2723" spans="1:24">
      <c r="A2723">
        <f>HYPERLINK("https://www.philgeps.gov.ph/GEPSNONPILOT/Tender/SplashBidNoticeAbstractUI.aspx?menuIndex=3&amp;refID=7044500&amp;Result=3","7044500")</f>
        <v>0</v>
      </c>
      <c r="B2723" t="s">
        <v>1110</v>
      </c>
      <c r="C2723" t="s">
        <v>5696</v>
      </c>
      <c r="D2723" t="s">
        <v>16187</v>
      </c>
      <c r="E2723" t="s">
        <v>18758</v>
      </c>
      <c r="F2723" t="s">
        <v>28200</v>
      </c>
      <c r="G2723" t="s">
        <v>28206</v>
      </c>
      <c r="H2723" t="s">
        <v>28215</v>
      </c>
      <c r="I2723" t="s">
        <v>5100</v>
      </c>
      <c r="J2723" t="s">
        <v>30194</v>
      </c>
      <c r="K2723" t="s">
        <v>36698</v>
      </c>
      <c r="M2723" t="s">
        <v>38146</v>
      </c>
      <c r="N2723" t="s">
        <v>40436</v>
      </c>
      <c r="O2723" t="s">
        <v>40437</v>
      </c>
      <c r="P2723">
        <v>0</v>
      </c>
      <c r="Q2723">
        <v>0</v>
      </c>
      <c r="R2723" t="s">
        <v>40439</v>
      </c>
      <c r="S2723" t="s">
        <v>40588</v>
      </c>
      <c r="T2723" t="s">
        <v>42333</v>
      </c>
      <c r="U2723" t="s">
        <v>45004</v>
      </c>
      <c r="W2723" t="s">
        <v>38146</v>
      </c>
      <c r="X2723" t="s">
        <v>40440</v>
      </c>
    </row>
    <row r="2724" spans="1:24">
      <c r="A2724">
        <f>HYPERLINK("https://www.philgeps.gov.ph/GEPSNONPILOT/Tender/SplashBidNoticeAbstractUI.aspx?menuIndex=3&amp;refID=7044494&amp;Result=3","7044494")</f>
        <v>0</v>
      </c>
      <c r="B2724" t="s">
        <v>121</v>
      </c>
      <c r="C2724" t="s">
        <v>5697</v>
      </c>
      <c r="D2724" t="s">
        <v>16207</v>
      </c>
      <c r="E2724" t="s">
        <v>18759</v>
      </c>
      <c r="F2724" t="s">
        <v>28198</v>
      </c>
      <c r="G2724" t="s">
        <v>28207</v>
      </c>
      <c r="H2724" t="s">
        <v>28215</v>
      </c>
      <c r="I2724" t="s">
        <v>5631</v>
      </c>
      <c r="J2724" t="s">
        <v>30195</v>
      </c>
      <c r="K2724" t="s">
        <v>36706</v>
      </c>
      <c r="M2724" t="s">
        <v>38147</v>
      </c>
      <c r="N2724" t="s">
        <v>40436</v>
      </c>
      <c r="O2724" t="s">
        <v>40437</v>
      </c>
      <c r="P2724">
        <v>0</v>
      </c>
      <c r="Q2724">
        <v>0</v>
      </c>
      <c r="R2724" t="s">
        <v>40439</v>
      </c>
      <c r="S2724" t="s">
        <v>40588</v>
      </c>
      <c r="T2724" t="s">
        <v>42158</v>
      </c>
      <c r="U2724" t="s">
        <v>45005</v>
      </c>
      <c r="W2724" t="s">
        <v>38147</v>
      </c>
      <c r="X2724" t="s">
        <v>40440</v>
      </c>
    </row>
    <row r="2725" spans="1:24">
      <c r="A2725">
        <f>HYPERLINK("https://www.philgeps.gov.ph/GEPSNONPILOT/Tender/SplashBidNoticeAbstractUI.aspx?menuIndex=3&amp;refID=7044502&amp;Result=3","7044502")</f>
        <v>0</v>
      </c>
      <c r="B2725" t="s">
        <v>1111</v>
      </c>
      <c r="C2725" t="s">
        <v>5698</v>
      </c>
      <c r="D2725" t="s">
        <v>16195</v>
      </c>
      <c r="E2725" t="s">
        <v>18760</v>
      </c>
      <c r="F2725" t="s">
        <v>28198</v>
      </c>
      <c r="G2725" t="s">
        <v>28205</v>
      </c>
      <c r="H2725" t="s">
        <v>28215</v>
      </c>
      <c r="I2725" t="s">
        <v>28299</v>
      </c>
      <c r="J2725" t="s">
        <v>28345</v>
      </c>
      <c r="K2725" t="s">
        <v>36688</v>
      </c>
      <c r="M2725" t="s">
        <v>38148</v>
      </c>
      <c r="N2725" t="s">
        <v>40436</v>
      </c>
      <c r="O2725" t="s">
        <v>40437</v>
      </c>
      <c r="P2725">
        <v>0</v>
      </c>
      <c r="Q2725">
        <v>1</v>
      </c>
      <c r="R2725" t="s">
        <v>40439</v>
      </c>
      <c r="S2725" t="s">
        <v>40588</v>
      </c>
      <c r="T2725" t="s">
        <v>42152</v>
      </c>
      <c r="U2725" t="s">
        <v>45006</v>
      </c>
      <c r="W2725" t="s">
        <v>38148</v>
      </c>
      <c r="X2725" t="s">
        <v>40440</v>
      </c>
    </row>
    <row r="2726" spans="1:24">
      <c r="A2726">
        <f>HYPERLINK("https://www.philgeps.gov.ph/GEPSNONPILOT/Tender/SplashBidNoticeAbstractUI.aspx?menuIndex=3&amp;refID=7044497&amp;Result=3","7044497")</f>
        <v>0</v>
      </c>
      <c r="B2726" t="s">
        <v>1063</v>
      </c>
      <c r="C2726" t="s">
        <v>5699</v>
      </c>
      <c r="D2726" t="s">
        <v>16188</v>
      </c>
      <c r="E2726" t="s">
        <v>18761</v>
      </c>
      <c r="F2726" t="s">
        <v>28198</v>
      </c>
      <c r="G2726" t="s">
        <v>28207</v>
      </c>
      <c r="H2726" t="s">
        <v>28215</v>
      </c>
      <c r="I2726" t="s">
        <v>4219</v>
      </c>
      <c r="J2726" t="s">
        <v>30196</v>
      </c>
      <c r="K2726" t="s">
        <v>36689</v>
      </c>
      <c r="M2726" t="s">
        <v>38096</v>
      </c>
      <c r="N2726" t="s">
        <v>40436</v>
      </c>
      <c r="O2726" t="s">
        <v>40437</v>
      </c>
      <c r="P2726">
        <v>0</v>
      </c>
      <c r="Q2726">
        <v>6</v>
      </c>
      <c r="R2726" t="s">
        <v>40439</v>
      </c>
      <c r="S2726" t="s">
        <v>40588</v>
      </c>
      <c r="T2726" t="s">
        <v>42318</v>
      </c>
      <c r="U2726" t="s">
        <v>45007</v>
      </c>
      <c r="W2726" t="s">
        <v>38096</v>
      </c>
      <c r="X2726" t="s">
        <v>40440</v>
      </c>
    </row>
    <row r="2727" spans="1:24">
      <c r="A2727">
        <f>HYPERLINK("https://www.philgeps.gov.ph/GEPSNONPILOT/Tender/SplashBidNoticeAbstractUI.aspx?menuIndex=3&amp;refID=7044498&amp;Result=3","7044498")</f>
        <v>0</v>
      </c>
      <c r="B2727" t="s">
        <v>656</v>
      </c>
      <c r="C2727" t="s">
        <v>5700</v>
      </c>
      <c r="E2727" t="s">
        <v>18762</v>
      </c>
      <c r="F2727" t="s">
        <v>28198</v>
      </c>
      <c r="G2727" t="s">
        <v>28205</v>
      </c>
      <c r="H2727" t="s">
        <v>28214</v>
      </c>
      <c r="I2727" t="s">
        <v>3797</v>
      </c>
      <c r="J2727" t="s">
        <v>30197</v>
      </c>
      <c r="K2727" t="s">
        <v>36692</v>
      </c>
      <c r="M2727" t="s">
        <v>37652</v>
      </c>
      <c r="N2727" t="s">
        <v>40436</v>
      </c>
      <c r="O2727" t="s">
        <v>40437</v>
      </c>
      <c r="P2727">
        <v>0</v>
      </c>
      <c r="Q2727">
        <v>0</v>
      </c>
      <c r="R2727" t="s">
        <v>40439</v>
      </c>
      <c r="S2727" t="s">
        <v>40588</v>
      </c>
      <c r="T2727" t="s">
        <v>42106</v>
      </c>
      <c r="U2727" t="s">
        <v>45008</v>
      </c>
      <c r="W2727" t="s">
        <v>37652</v>
      </c>
      <c r="X2727" t="s">
        <v>40440</v>
      </c>
    </row>
    <row r="2728" spans="1:24">
      <c r="A2728">
        <f>HYPERLINK("https://www.philgeps.gov.ph/GEPSNONPILOT/Tender/SplashBidNoticeAbstractUI.aspx?menuIndex=3&amp;refID=7044475&amp;Result=3","7044475")</f>
        <v>0</v>
      </c>
      <c r="B2728" t="s">
        <v>100</v>
      </c>
      <c r="C2728" t="s">
        <v>5701</v>
      </c>
      <c r="D2728" t="s">
        <v>16228</v>
      </c>
      <c r="E2728" t="s">
        <v>18763</v>
      </c>
      <c r="F2728" t="s">
        <v>28198</v>
      </c>
      <c r="G2728" t="s">
        <v>28205</v>
      </c>
      <c r="H2728" t="s">
        <v>28215</v>
      </c>
      <c r="I2728" t="s">
        <v>28257</v>
      </c>
      <c r="J2728" t="s">
        <v>28941</v>
      </c>
      <c r="K2728" t="s">
        <v>36701</v>
      </c>
      <c r="M2728" t="s">
        <v>38133</v>
      </c>
      <c r="N2728" t="s">
        <v>40436</v>
      </c>
      <c r="O2728" t="s">
        <v>40437</v>
      </c>
      <c r="P2728">
        <v>0</v>
      </c>
      <c r="Q2728">
        <v>0</v>
      </c>
      <c r="R2728" t="s">
        <v>40439</v>
      </c>
      <c r="S2728" t="s">
        <v>40588</v>
      </c>
      <c r="T2728" t="s">
        <v>42134</v>
      </c>
      <c r="U2728" t="s">
        <v>42767</v>
      </c>
      <c r="V2728" t="s">
        <v>53798</v>
      </c>
      <c r="W2728" t="s">
        <v>38133</v>
      </c>
      <c r="X2728" t="s">
        <v>40440</v>
      </c>
    </row>
    <row r="2729" spans="1:24">
      <c r="A2729">
        <f>HYPERLINK("https://www.philgeps.gov.ph/GEPSNONPILOT/Tender/SplashBidNoticeAbstractUI.aspx?menuIndex=3&amp;refID=7044504&amp;Result=3","7044504")</f>
        <v>0</v>
      </c>
      <c r="B2729" t="s">
        <v>255</v>
      </c>
      <c r="C2729" t="s">
        <v>5702</v>
      </c>
      <c r="D2729" t="s">
        <v>16197</v>
      </c>
      <c r="E2729" t="s">
        <v>18764</v>
      </c>
      <c r="F2729" t="s">
        <v>28198</v>
      </c>
      <c r="G2729" t="s">
        <v>28207</v>
      </c>
      <c r="H2729" t="s">
        <v>28215</v>
      </c>
      <c r="I2729" t="s">
        <v>28238</v>
      </c>
      <c r="J2729" t="s">
        <v>28345</v>
      </c>
      <c r="K2729" t="s">
        <v>36707</v>
      </c>
      <c r="M2729" t="s">
        <v>37231</v>
      </c>
      <c r="N2729" t="s">
        <v>40436</v>
      </c>
      <c r="O2729" t="s">
        <v>40437</v>
      </c>
      <c r="P2729">
        <v>0</v>
      </c>
      <c r="Q2729">
        <v>2</v>
      </c>
      <c r="R2729" t="s">
        <v>40439</v>
      </c>
      <c r="S2729" t="s">
        <v>40588</v>
      </c>
      <c r="T2729" t="s">
        <v>42097</v>
      </c>
      <c r="U2729" t="s">
        <v>45009</v>
      </c>
      <c r="V2729" t="s">
        <v>54088</v>
      </c>
      <c r="W2729" t="s">
        <v>37231</v>
      </c>
      <c r="X2729" t="s">
        <v>40440</v>
      </c>
    </row>
    <row r="2730" spans="1:24">
      <c r="A2730">
        <f>HYPERLINK("https://www.philgeps.gov.ph/GEPSNONPILOT/Tender/SplashBidNoticeAbstractUI.aspx?menuIndex=3&amp;refID=7044495&amp;Result=3","7044495")</f>
        <v>0</v>
      </c>
      <c r="B2730" t="s">
        <v>34</v>
      </c>
      <c r="C2730" t="s">
        <v>5703</v>
      </c>
      <c r="D2730" t="s">
        <v>16195</v>
      </c>
      <c r="E2730" t="s">
        <v>18765</v>
      </c>
      <c r="F2730" t="s">
        <v>28198</v>
      </c>
      <c r="G2730" t="s">
        <v>28207</v>
      </c>
      <c r="H2730" t="s">
        <v>28215</v>
      </c>
      <c r="I2730" t="s">
        <v>3774</v>
      </c>
      <c r="J2730" t="s">
        <v>30198</v>
      </c>
      <c r="K2730" t="s">
        <v>36696</v>
      </c>
      <c r="M2730" t="s">
        <v>37550</v>
      </c>
      <c r="N2730" t="s">
        <v>40436</v>
      </c>
      <c r="O2730" t="s">
        <v>40437</v>
      </c>
      <c r="P2730">
        <v>0</v>
      </c>
      <c r="Q2730">
        <v>0</v>
      </c>
      <c r="R2730" t="s">
        <v>40439</v>
      </c>
      <c r="S2730" t="s">
        <v>40588</v>
      </c>
      <c r="T2730" t="s">
        <v>42190</v>
      </c>
      <c r="U2730" t="s">
        <v>45010</v>
      </c>
      <c r="W2730" t="s">
        <v>37550</v>
      </c>
      <c r="X2730" t="s">
        <v>40440</v>
      </c>
    </row>
    <row r="2731" spans="1:24">
      <c r="A2731">
        <f>HYPERLINK("https://www.philgeps.gov.ph/GEPSNONPILOT/Tender/SplashBidNoticeAbstractUI.aspx?menuIndex=3&amp;refID=7044509&amp;Result=3","7044509")</f>
        <v>0</v>
      </c>
      <c r="B2731" t="s">
        <v>100</v>
      </c>
      <c r="C2731" t="s">
        <v>5704</v>
      </c>
      <c r="D2731" t="s">
        <v>16228</v>
      </c>
      <c r="E2731" t="s">
        <v>18766</v>
      </c>
      <c r="F2731" t="s">
        <v>28198</v>
      </c>
      <c r="G2731" t="s">
        <v>28205</v>
      </c>
      <c r="H2731" t="s">
        <v>28215</v>
      </c>
      <c r="I2731" t="s">
        <v>3774</v>
      </c>
      <c r="J2731" t="s">
        <v>28690</v>
      </c>
      <c r="K2731" t="s">
        <v>36701</v>
      </c>
      <c r="M2731" t="s">
        <v>38133</v>
      </c>
      <c r="N2731" t="s">
        <v>40436</v>
      </c>
      <c r="O2731" t="s">
        <v>40437</v>
      </c>
      <c r="P2731">
        <v>0</v>
      </c>
      <c r="Q2731">
        <v>0</v>
      </c>
      <c r="R2731" t="s">
        <v>40439</v>
      </c>
      <c r="S2731" t="s">
        <v>40588</v>
      </c>
      <c r="T2731" t="s">
        <v>42134</v>
      </c>
      <c r="U2731" t="s">
        <v>42767</v>
      </c>
      <c r="V2731" t="s">
        <v>53798</v>
      </c>
      <c r="W2731" t="s">
        <v>38133</v>
      </c>
      <c r="X2731" t="s">
        <v>40440</v>
      </c>
    </row>
    <row r="2732" spans="1:24">
      <c r="A2732">
        <f>HYPERLINK("https://www.philgeps.gov.ph/GEPSNONPILOT/Tender/SplashBidNoticeAbstractUI.aspx?menuIndex=3&amp;refID=7044476&amp;Result=3","7044476")</f>
        <v>0</v>
      </c>
      <c r="B2732" t="s">
        <v>1102</v>
      </c>
      <c r="C2732" t="s">
        <v>5671</v>
      </c>
      <c r="D2732" t="s">
        <v>16217</v>
      </c>
      <c r="E2732" t="s">
        <v>18767</v>
      </c>
      <c r="F2732" t="s">
        <v>28198</v>
      </c>
      <c r="G2732" t="s">
        <v>28207</v>
      </c>
      <c r="H2732" t="s">
        <v>28215</v>
      </c>
      <c r="I2732" t="s">
        <v>28228</v>
      </c>
      <c r="J2732" t="s">
        <v>30176</v>
      </c>
      <c r="K2732" t="s">
        <v>36691</v>
      </c>
      <c r="L2732" t="s">
        <v>1102</v>
      </c>
      <c r="M2732" t="s">
        <v>38138</v>
      </c>
      <c r="N2732" t="s">
        <v>40436</v>
      </c>
      <c r="O2732" t="s">
        <v>40437</v>
      </c>
      <c r="P2732">
        <v>0</v>
      </c>
      <c r="Q2732">
        <v>0</v>
      </c>
      <c r="R2732" t="s">
        <v>40439</v>
      </c>
      <c r="S2732" t="s">
        <v>40588</v>
      </c>
      <c r="T2732" t="s">
        <v>42190</v>
      </c>
      <c r="U2732" t="s">
        <v>45011</v>
      </c>
      <c r="W2732" t="s">
        <v>38138</v>
      </c>
      <c r="X2732" t="s">
        <v>40440</v>
      </c>
    </row>
    <row r="2733" spans="1:24">
      <c r="A2733">
        <f>HYPERLINK("https://www.philgeps.gov.ph/GEPSNONPILOT/Tender/SplashBidNoticeAbstractUI.aspx?menuIndex=3&amp;refID=7044501&amp;Result=3","7044501")</f>
        <v>0</v>
      </c>
      <c r="B2733" t="s">
        <v>1083</v>
      </c>
      <c r="C2733" t="s">
        <v>5705</v>
      </c>
      <c r="D2733" t="s">
        <v>16260</v>
      </c>
      <c r="E2733" t="s">
        <v>18768</v>
      </c>
      <c r="F2733" t="s">
        <v>28198</v>
      </c>
      <c r="G2733" t="s">
        <v>28205</v>
      </c>
      <c r="H2733" t="s">
        <v>28215</v>
      </c>
      <c r="I2733" t="s">
        <v>3797</v>
      </c>
      <c r="J2733" t="s">
        <v>30199</v>
      </c>
      <c r="K2733" t="s">
        <v>36786</v>
      </c>
      <c r="M2733" t="s">
        <v>38118</v>
      </c>
      <c r="N2733" t="s">
        <v>40436</v>
      </c>
      <c r="O2733" t="s">
        <v>40437</v>
      </c>
      <c r="P2733">
        <v>0</v>
      </c>
      <c r="Q2733">
        <v>0</v>
      </c>
      <c r="R2733" t="s">
        <v>40439</v>
      </c>
      <c r="S2733" t="s">
        <v>40588</v>
      </c>
      <c r="T2733" t="s">
        <v>42098</v>
      </c>
      <c r="U2733" t="s">
        <v>45012</v>
      </c>
      <c r="W2733" t="s">
        <v>38118</v>
      </c>
      <c r="X2733" t="s">
        <v>40440</v>
      </c>
    </row>
    <row r="2734" spans="1:24">
      <c r="A2734">
        <f>HYPERLINK("https://www.philgeps.gov.ph/GEPSNONPILOT/Tender/SplashBidNoticeAbstractUI.aspx?menuIndex=3&amp;refID=7044508&amp;Result=3","7044508")</f>
        <v>0</v>
      </c>
      <c r="B2734" t="s">
        <v>1112</v>
      </c>
      <c r="C2734" t="s">
        <v>5706</v>
      </c>
      <c r="D2734" t="s">
        <v>16191</v>
      </c>
      <c r="E2734" t="s">
        <v>18769</v>
      </c>
      <c r="F2734" t="s">
        <v>28198</v>
      </c>
      <c r="G2734" t="s">
        <v>28207</v>
      </c>
      <c r="H2734" t="s">
        <v>28215</v>
      </c>
      <c r="I2734" t="s">
        <v>3797</v>
      </c>
      <c r="J2734" t="s">
        <v>30200</v>
      </c>
      <c r="K2734" t="s">
        <v>36701</v>
      </c>
      <c r="M2734" t="s">
        <v>38149</v>
      </c>
      <c r="N2734" t="s">
        <v>40436</v>
      </c>
      <c r="O2734" t="s">
        <v>40437</v>
      </c>
      <c r="P2734">
        <v>0</v>
      </c>
      <c r="Q2734">
        <v>0</v>
      </c>
      <c r="R2734" t="s">
        <v>40439</v>
      </c>
      <c r="S2734" t="s">
        <v>40588</v>
      </c>
      <c r="T2734" t="s">
        <v>42124</v>
      </c>
      <c r="U2734" t="s">
        <v>45013</v>
      </c>
      <c r="V2734" t="s">
        <v>54089</v>
      </c>
      <c r="W2734" t="s">
        <v>38149</v>
      </c>
      <c r="X2734" t="s">
        <v>40440</v>
      </c>
    </row>
    <row r="2735" spans="1:24">
      <c r="A2735">
        <f>HYPERLINK("https://www.philgeps.gov.ph/GEPSNONPILOT/Tender/SplashBidNoticeAbstractUI.aspx?menuIndex=3&amp;refID=7044507&amp;Result=3","7044507")</f>
        <v>0</v>
      </c>
      <c r="B2735" t="s">
        <v>1102</v>
      </c>
      <c r="C2735" t="s">
        <v>5413</v>
      </c>
      <c r="D2735" t="s">
        <v>16217</v>
      </c>
      <c r="E2735" t="s">
        <v>18073</v>
      </c>
      <c r="F2735" t="s">
        <v>28198</v>
      </c>
      <c r="G2735" t="s">
        <v>28207</v>
      </c>
      <c r="H2735" t="s">
        <v>28215</v>
      </c>
      <c r="I2735" t="s">
        <v>28239</v>
      </c>
      <c r="J2735" t="s">
        <v>28589</v>
      </c>
      <c r="K2735" t="s">
        <v>36691</v>
      </c>
      <c r="L2735" t="s">
        <v>1102</v>
      </c>
      <c r="M2735" t="s">
        <v>38138</v>
      </c>
      <c r="N2735" t="s">
        <v>40436</v>
      </c>
      <c r="O2735" t="s">
        <v>40437</v>
      </c>
      <c r="P2735">
        <v>0</v>
      </c>
      <c r="Q2735">
        <v>2</v>
      </c>
      <c r="R2735" t="s">
        <v>40439</v>
      </c>
      <c r="S2735" t="s">
        <v>40588</v>
      </c>
      <c r="T2735" t="s">
        <v>42190</v>
      </c>
      <c r="U2735" t="s">
        <v>45014</v>
      </c>
      <c r="W2735" t="s">
        <v>38138</v>
      </c>
      <c r="X2735" t="s">
        <v>40440</v>
      </c>
    </row>
    <row r="2736" spans="1:24">
      <c r="A2736">
        <f>HYPERLINK("https://www.philgeps.gov.ph/GEPSNONPILOT/Tender/SplashBidNoticeAbstractUI.aspx?menuIndex=3&amp;refID=7044496&amp;Result=3","7044496")</f>
        <v>0</v>
      </c>
      <c r="B2736" t="s">
        <v>1040</v>
      </c>
      <c r="C2736" t="s">
        <v>3422</v>
      </c>
      <c r="D2736" t="s">
        <v>16210</v>
      </c>
      <c r="E2736" t="s">
        <v>18770</v>
      </c>
      <c r="F2736" t="s">
        <v>28198</v>
      </c>
      <c r="G2736" t="s">
        <v>28207</v>
      </c>
      <c r="H2736" t="s">
        <v>28215</v>
      </c>
      <c r="I2736" t="s">
        <v>3422</v>
      </c>
      <c r="J2736" t="s">
        <v>28561</v>
      </c>
      <c r="K2736" t="s">
        <v>36691</v>
      </c>
      <c r="M2736" t="s">
        <v>38073</v>
      </c>
      <c r="N2736" t="s">
        <v>40436</v>
      </c>
      <c r="O2736" t="s">
        <v>40437</v>
      </c>
      <c r="P2736">
        <v>0</v>
      </c>
      <c r="Q2736">
        <v>1</v>
      </c>
      <c r="R2736" t="s">
        <v>40439</v>
      </c>
      <c r="S2736" t="s">
        <v>40588</v>
      </c>
      <c r="T2736" t="s">
        <v>42318</v>
      </c>
      <c r="U2736" t="s">
        <v>45015</v>
      </c>
      <c r="W2736" t="s">
        <v>38073</v>
      </c>
      <c r="X2736" t="s">
        <v>40440</v>
      </c>
    </row>
    <row r="2737" spans="1:24">
      <c r="A2737">
        <f>HYPERLINK("https://www.philgeps.gov.ph/GEPSNONPILOT/Tender/SplashBidNoticeAbstractUI.aspx?menuIndex=3&amp;refID=7044512&amp;Result=3","7044512")</f>
        <v>0</v>
      </c>
      <c r="B2737" t="s">
        <v>1113</v>
      </c>
      <c r="C2737" t="s">
        <v>5707</v>
      </c>
      <c r="D2737" t="s">
        <v>16217</v>
      </c>
      <c r="E2737" t="s">
        <v>18771</v>
      </c>
      <c r="F2737" t="s">
        <v>28198</v>
      </c>
      <c r="G2737" t="s">
        <v>28206</v>
      </c>
      <c r="H2737" t="s">
        <v>28215</v>
      </c>
      <c r="I2737" t="s">
        <v>5100</v>
      </c>
      <c r="J2737" t="s">
        <v>30201</v>
      </c>
      <c r="K2737" t="s">
        <v>36689</v>
      </c>
      <c r="M2737" t="s">
        <v>38150</v>
      </c>
      <c r="N2737" t="s">
        <v>40436</v>
      </c>
      <c r="O2737" t="s">
        <v>40437</v>
      </c>
      <c r="P2737">
        <v>0</v>
      </c>
      <c r="Q2737">
        <v>0</v>
      </c>
      <c r="R2737" t="s">
        <v>40439</v>
      </c>
      <c r="S2737" t="s">
        <v>40588</v>
      </c>
      <c r="T2737" t="s">
        <v>42297</v>
      </c>
      <c r="U2737" t="s">
        <v>45016</v>
      </c>
      <c r="W2737" t="s">
        <v>38150</v>
      </c>
      <c r="X2737" t="s">
        <v>40440</v>
      </c>
    </row>
    <row r="2738" spans="1:24">
      <c r="A2738">
        <f>HYPERLINK("https://www.philgeps.gov.ph/GEPSNONPILOT/Tender/SplashBidNoticeAbstractUI.aspx?menuIndex=3&amp;refID=7044510&amp;Result=3","7044510")</f>
        <v>0</v>
      </c>
      <c r="B2738" t="s">
        <v>1114</v>
      </c>
      <c r="C2738" t="s">
        <v>5708</v>
      </c>
      <c r="D2738" t="s">
        <v>16228</v>
      </c>
      <c r="E2738" t="s">
        <v>18772</v>
      </c>
      <c r="F2738" t="s">
        <v>28198</v>
      </c>
      <c r="G2738" t="s">
        <v>28207</v>
      </c>
      <c r="H2738" t="s">
        <v>28215</v>
      </c>
      <c r="I2738" t="s">
        <v>28257</v>
      </c>
      <c r="J2738" t="s">
        <v>28589</v>
      </c>
      <c r="K2738" t="s">
        <v>36706</v>
      </c>
      <c r="M2738" t="s">
        <v>38151</v>
      </c>
      <c r="N2738" t="s">
        <v>40436</v>
      </c>
      <c r="O2738" t="s">
        <v>40437</v>
      </c>
      <c r="P2738">
        <v>0</v>
      </c>
      <c r="Q2738">
        <v>0</v>
      </c>
      <c r="R2738" t="s">
        <v>40439</v>
      </c>
      <c r="S2738" t="s">
        <v>40588</v>
      </c>
      <c r="T2738" t="s">
        <v>42133</v>
      </c>
      <c r="U2738" t="s">
        <v>45017</v>
      </c>
      <c r="V2738" t="s">
        <v>54090</v>
      </c>
      <c r="W2738" t="s">
        <v>38151</v>
      </c>
      <c r="X2738" t="s">
        <v>40440</v>
      </c>
    </row>
    <row r="2739" spans="1:24">
      <c r="A2739">
        <f>HYPERLINK("https://www.philgeps.gov.ph/GEPSNONPILOT/Tender/SplashBidNoticeAbstractUI.aspx?menuIndex=3&amp;refID=7044511&amp;Result=3","7044511")</f>
        <v>0</v>
      </c>
      <c r="B2739" t="s">
        <v>660</v>
      </c>
      <c r="C2739" t="s">
        <v>5709</v>
      </c>
      <c r="D2739" t="s">
        <v>16188</v>
      </c>
      <c r="E2739" t="s">
        <v>18773</v>
      </c>
      <c r="F2739" t="s">
        <v>28198</v>
      </c>
      <c r="G2739" t="s">
        <v>28207</v>
      </c>
      <c r="H2739" t="s">
        <v>28215</v>
      </c>
      <c r="I2739" t="s">
        <v>28238</v>
      </c>
      <c r="J2739" t="s">
        <v>30202</v>
      </c>
      <c r="K2739" t="s">
        <v>36689</v>
      </c>
      <c r="M2739" t="s">
        <v>37656</v>
      </c>
      <c r="N2739" t="s">
        <v>40436</v>
      </c>
      <c r="O2739" t="s">
        <v>40437</v>
      </c>
      <c r="P2739">
        <v>0</v>
      </c>
      <c r="Q2739">
        <v>2</v>
      </c>
      <c r="R2739" t="s">
        <v>40439</v>
      </c>
      <c r="S2739" t="s">
        <v>40588</v>
      </c>
      <c r="T2739" t="s">
        <v>42228</v>
      </c>
      <c r="U2739" t="s">
        <v>45018</v>
      </c>
      <c r="W2739" t="s">
        <v>37656</v>
      </c>
      <c r="X2739" t="s">
        <v>40440</v>
      </c>
    </row>
    <row r="2740" spans="1:24">
      <c r="A2740">
        <f>HYPERLINK("https://www.philgeps.gov.ph/GEPSNONPILOT/Tender/SplashBidNoticeAbstractUI.aspx?menuIndex=3&amp;refID=7044505&amp;Result=3","7044505")</f>
        <v>0</v>
      </c>
      <c r="B2740" t="s">
        <v>1115</v>
      </c>
      <c r="C2740" t="s">
        <v>5710</v>
      </c>
      <c r="D2740" t="s">
        <v>16236</v>
      </c>
      <c r="E2740" t="s">
        <v>18774</v>
      </c>
      <c r="F2740" t="s">
        <v>28198</v>
      </c>
      <c r="G2740" t="s">
        <v>28207</v>
      </c>
      <c r="H2740" t="s">
        <v>28215</v>
      </c>
      <c r="I2740" t="s">
        <v>5100</v>
      </c>
      <c r="J2740" t="s">
        <v>30203</v>
      </c>
      <c r="K2740" t="s">
        <v>36691</v>
      </c>
      <c r="L2740" t="s">
        <v>1115</v>
      </c>
      <c r="M2740" t="s">
        <v>38152</v>
      </c>
      <c r="N2740" t="s">
        <v>40436</v>
      </c>
      <c r="O2740" t="s">
        <v>40437</v>
      </c>
      <c r="P2740">
        <v>0</v>
      </c>
      <c r="Q2740">
        <v>0</v>
      </c>
      <c r="R2740" t="s">
        <v>40439</v>
      </c>
      <c r="S2740" t="s">
        <v>40588</v>
      </c>
      <c r="T2740" t="s">
        <v>42190</v>
      </c>
      <c r="U2740" t="s">
        <v>45019</v>
      </c>
      <c r="W2740" t="s">
        <v>38152</v>
      </c>
      <c r="X2740" t="s">
        <v>40440</v>
      </c>
    </row>
    <row r="2741" spans="1:24">
      <c r="A2741">
        <f>HYPERLINK("https://www.philgeps.gov.ph/GEPSNONPILOT/Tender/SplashBidNoticeAbstractUI.aspx?menuIndex=3&amp;refID=7044506&amp;Result=3","7044506")</f>
        <v>0</v>
      </c>
      <c r="B2741" t="s">
        <v>65</v>
      </c>
      <c r="C2741" t="s">
        <v>5711</v>
      </c>
      <c r="D2741" t="s">
        <v>16210</v>
      </c>
      <c r="E2741" t="s">
        <v>18775</v>
      </c>
      <c r="F2741" t="s">
        <v>28198</v>
      </c>
      <c r="G2741" t="s">
        <v>28207</v>
      </c>
      <c r="H2741" t="s">
        <v>28215</v>
      </c>
      <c r="I2741" t="s">
        <v>8888</v>
      </c>
      <c r="J2741" t="s">
        <v>28694</v>
      </c>
      <c r="K2741" t="s">
        <v>36689</v>
      </c>
      <c r="M2741" t="s">
        <v>37789</v>
      </c>
      <c r="N2741" t="s">
        <v>40436</v>
      </c>
      <c r="O2741" t="s">
        <v>40437</v>
      </c>
      <c r="P2741">
        <v>0</v>
      </c>
      <c r="Q2741">
        <v>2</v>
      </c>
      <c r="R2741" t="s">
        <v>40439</v>
      </c>
      <c r="S2741" t="s">
        <v>40588</v>
      </c>
      <c r="T2741" t="s">
        <v>42134</v>
      </c>
      <c r="U2741" t="s">
        <v>45020</v>
      </c>
      <c r="W2741" t="s">
        <v>37789</v>
      </c>
      <c r="X2741" t="s">
        <v>40440</v>
      </c>
    </row>
    <row r="2742" spans="1:24">
      <c r="A2742">
        <f>HYPERLINK("https://www.philgeps.gov.ph/GEPSNONPILOT/Tender/SplashBidNoticeAbstractUI.aspx?menuIndex=3&amp;refID=7044515&amp;Result=3","7044515")</f>
        <v>0</v>
      </c>
      <c r="B2742" t="s">
        <v>877</v>
      </c>
      <c r="C2742" t="s">
        <v>5712</v>
      </c>
      <c r="D2742" t="s">
        <v>16213</v>
      </c>
      <c r="E2742" t="s">
        <v>18776</v>
      </c>
      <c r="F2742" t="s">
        <v>28198</v>
      </c>
      <c r="G2742" t="s">
        <v>28212</v>
      </c>
      <c r="H2742" t="s">
        <v>28217</v>
      </c>
      <c r="I2742" t="s">
        <v>3797</v>
      </c>
      <c r="J2742" t="s">
        <v>30204</v>
      </c>
      <c r="K2742" t="s">
        <v>36706</v>
      </c>
      <c r="M2742" t="s">
        <v>37893</v>
      </c>
      <c r="N2742" t="s">
        <v>40436</v>
      </c>
      <c r="O2742" t="s">
        <v>40437</v>
      </c>
      <c r="P2742">
        <v>0</v>
      </c>
      <c r="Q2742">
        <v>0</v>
      </c>
      <c r="R2742" t="s">
        <v>40439</v>
      </c>
      <c r="S2742" t="s">
        <v>40588</v>
      </c>
      <c r="T2742" t="s">
        <v>42218</v>
      </c>
      <c r="U2742" t="s">
        <v>45021</v>
      </c>
      <c r="W2742" t="s">
        <v>37893</v>
      </c>
      <c r="X2742" t="s">
        <v>40440</v>
      </c>
    </row>
    <row r="2743" spans="1:24">
      <c r="A2743">
        <f>HYPERLINK("https://www.philgeps.gov.ph/GEPSNONPILOT/Tender/SplashBidNoticeAbstractUI.aspx?menuIndex=3&amp;refID=7044517&amp;Result=3","7044517")</f>
        <v>0</v>
      </c>
      <c r="B2743" t="s">
        <v>1108</v>
      </c>
      <c r="C2743" t="s">
        <v>5713</v>
      </c>
      <c r="D2743" t="s">
        <v>16193</v>
      </c>
      <c r="E2743" t="s">
        <v>18777</v>
      </c>
      <c r="F2743" t="s">
        <v>28198</v>
      </c>
      <c r="G2743" t="s">
        <v>28205</v>
      </c>
      <c r="H2743" t="s">
        <v>28215</v>
      </c>
      <c r="I2743" t="s">
        <v>5100</v>
      </c>
      <c r="J2743" t="s">
        <v>30205</v>
      </c>
      <c r="K2743" t="s">
        <v>36707</v>
      </c>
      <c r="M2743" t="s">
        <v>38144</v>
      </c>
      <c r="N2743" t="s">
        <v>40436</v>
      </c>
      <c r="O2743" t="s">
        <v>40437</v>
      </c>
      <c r="P2743">
        <v>0</v>
      </c>
      <c r="Q2743">
        <v>0</v>
      </c>
      <c r="R2743" t="s">
        <v>40439</v>
      </c>
      <c r="S2743" t="s">
        <v>40588</v>
      </c>
      <c r="T2743" t="s">
        <v>42183</v>
      </c>
      <c r="U2743" t="s">
        <v>45022</v>
      </c>
      <c r="W2743" t="s">
        <v>38144</v>
      </c>
      <c r="X2743" t="s">
        <v>40440</v>
      </c>
    </row>
    <row r="2744" spans="1:24">
      <c r="A2744">
        <f>HYPERLINK("https://www.philgeps.gov.ph/GEPSNONPILOT/Tender/SplashBidNoticeAbstractUI.aspx?menuIndex=3&amp;refID=7044523&amp;Result=3","7044523")</f>
        <v>0</v>
      </c>
      <c r="B2744" t="s">
        <v>263</v>
      </c>
      <c r="C2744" t="s">
        <v>5714</v>
      </c>
      <c r="E2744" t="s">
        <v>18778</v>
      </c>
      <c r="F2744" t="s">
        <v>28198</v>
      </c>
      <c r="G2744" t="s">
        <v>28207</v>
      </c>
      <c r="H2744" t="s">
        <v>28215</v>
      </c>
      <c r="I2744" t="s">
        <v>28228</v>
      </c>
      <c r="J2744" t="s">
        <v>28862</v>
      </c>
      <c r="K2744" t="s">
        <v>36689</v>
      </c>
      <c r="M2744" t="s">
        <v>37239</v>
      </c>
      <c r="N2744" t="s">
        <v>40436</v>
      </c>
      <c r="O2744" t="s">
        <v>40437</v>
      </c>
      <c r="P2744">
        <v>0</v>
      </c>
      <c r="Q2744">
        <v>0</v>
      </c>
      <c r="R2744" t="s">
        <v>40439</v>
      </c>
      <c r="S2744" t="s">
        <v>40588</v>
      </c>
      <c r="T2744" t="s">
        <v>42326</v>
      </c>
      <c r="U2744" t="s">
        <v>45023</v>
      </c>
      <c r="W2744" t="s">
        <v>37239</v>
      </c>
      <c r="X2744" t="s">
        <v>40440</v>
      </c>
    </row>
    <row r="2745" spans="1:24">
      <c r="A2745">
        <f>HYPERLINK("https://www.philgeps.gov.ph/GEPSNONPILOT/Tender/SplashBidNoticeAbstractUI.aspx?menuIndex=3&amp;refID=7044521&amp;Result=3","7044521")</f>
        <v>0</v>
      </c>
      <c r="B2745" t="s">
        <v>401</v>
      </c>
      <c r="C2745" t="s">
        <v>5715</v>
      </c>
      <c r="D2745" t="s">
        <v>16223</v>
      </c>
      <c r="E2745" t="s">
        <v>17018</v>
      </c>
      <c r="F2745" t="s">
        <v>28198</v>
      </c>
      <c r="G2745" t="s">
        <v>28207</v>
      </c>
      <c r="H2745" t="s">
        <v>28215</v>
      </c>
      <c r="I2745" t="s">
        <v>4219</v>
      </c>
      <c r="J2745" t="s">
        <v>30206</v>
      </c>
      <c r="K2745" t="s">
        <v>36691</v>
      </c>
      <c r="M2745" t="s">
        <v>37382</v>
      </c>
      <c r="N2745" t="s">
        <v>40436</v>
      </c>
      <c r="O2745" t="s">
        <v>40437</v>
      </c>
      <c r="P2745">
        <v>0</v>
      </c>
      <c r="Q2745">
        <v>0</v>
      </c>
      <c r="R2745" t="s">
        <v>40439</v>
      </c>
      <c r="S2745" t="s">
        <v>40588</v>
      </c>
      <c r="T2745" t="s">
        <v>42158</v>
      </c>
      <c r="U2745" t="s">
        <v>45024</v>
      </c>
      <c r="W2745" t="s">
        <v>37382</v>
      </c>
      <c r="X2745" t="s">
        <v>40440</v>
      </c>
    </row>
    <row r="2746" spans="1:24">
      <c r="A2746">
        <f>HYPERLINK("https://www.philgeps.gov.ph/GEPSNONPILOT/Tender/SplashBidNoticeAbstractUI.aspx?menuIndex=3&amp;refID=7044522&amp;Result=3","7044522")</f>
        <v>0</v>
      </c>
      <c r="B2746" t="s">
        <v>455</v>
      </c>
      <c r="C2746" t="s">
        <v>5716</v>
      </c>
      <c r="D2746" t="s">
        <v>16263</v>
      </c>
      <c r="E2746" t="s">
        <v>18779</v>
      </c>
      <c r="F2746" t="s">
        <v>28198</v>
      </c>
      <c r="G2746" t="s">
        <v>28205</v>
      </c>
      <c r="H2746" t="s">
        <v>28214</v>
      </c>
      <c r="I2746" t="s">
        <v>3797</v>
      </c>
      <c r="J2746" t="s">
        <v>28468</v>
      </c>
      <c r="K2746" t="s">
        <v>36689</v>
      </c>
      <c r="M2746" t="s">
        <v>37439</v>
      </c>
      <c r="N2746" t="s">
        <v>40436</v>
      </c>
      <c r="O2746" t="s">
        <v>40437</v>
      </c>
      <c r="P2746">
        <v>0</v>
      </c>
      <c r="Q2746">
        <v>0</v>
      </c>
      <c r="R2746" t="s">
        <v>40439</v>
      </c>
      <c r="S2746" t="s">
        <v>40588</v>
      </c>
      <c r="T2746" t="s">
        <v>42118</v>
      </c>
      <c r="U2746" t="s">
        <v>45025</v>
      </c>
      <c r="W2746" t="s">
        <v>37439</v>
      </c>
      <c r="X2746" t="s">
        <v>40440</v>
      </c>
    </row>
    <row r="2747" spans="1:24">
      <c r="A2747">
        <f>HYPERLINK("https://www.philgeps.gov.ph/GEPSNONPILOT/Tender/SplashBidNoticeAbstractUI.aspx?menuIndex=3&amp;refID=7044520&amp;Result=3","7044520")</f>
        <v>0</v>
      </c>
      <c r="B2747" t="s">
        <v>1116</v>
      </c>
      <c r="C2747" t="s">
        <v>5717</v>
      </c>
      <c r="D2747" t="s">
        <v>16188</v>
      </c>
      <c r="E2747" t="s">
        <v>18780</v>
      </c>
      <c r="F2747" t="s">
        <v>28198</v>
      </c>
      <c r="G2747" t="s">
        <v>28207</v>
      </c>
      <c r="H2747" t="s">
        <v>28215</v>
      </c>
      <c r="I2747" t="s">
        <v>5631</v>
      </c>
      <c r="J2747" t="s">
        <v>30207</v>
      </c>
      <c r="K2747" t="s">
        <v>36687</v>
      </c>
      <c r="M2747" t="s">
        <v>38153</v>
      </c>
      <c r="N2747" t="s">
        <v>40436</v>
      </c>
      <c r="O2747" t="s">
        <v>40437</v>
      </c>
      <c r="P2747">
        <v>0</v>
      </c>
      <c r="Q2747">
        <v>1</v>
      </c>
      <c r="R2747" t="s">
        <v>40439</v>
      </c>
      <c r="S2747" t="s">
        <v>40588</v>
      </c>
      <c r="T2747" t="s">
        <v>42103</v>
      </c>
      <c r="U2747" t="s">
        <v>45026</v>
      </c>
      <c r="W2747" t="s">
        <v>38153</v>
      </c>
      <c r="X2747" t="s">
        <v>40440</v>
      </c>
    </row>
    <row r="2748" spans="1:24">
      <c r="A2748">
        <f>HYPERLINK("https://www.philgeps.gov.ph/GEPSNONPILOT/Tender/SplashBidNoticeAbstractUI.aspx?menuIndex=3&amp;refID=7044525&amp;Result=3","7044525")</f>
        <v>0</v>
      </c>
      <c r="B2748" t="s">
        <v>176</v>
      </c>
      <c r="C2748" t="s">
        <v>5718</v>
      </c>
      <c r="D2748" t="s">
        <v>16217</v>
      </c>
      <c r="E2748" t="s">
        <v>18781</v>
      </c>
      <c r="F2748" t="s">
        <v>28198</v>
      </c>
      <c r="G2748" t="s">
        <v>28207</v>
      </c>
      <c r="H2748" t="s">
        <v>28215</v>
      </c>
      <c r="I2748" t="s">
        <v>4222</v>
      </c>
      <c r="J2748" t="s">
        <v>28694</v>
      </c>
      <c r="K2748" t="s">
        <v>36701</v>
      </c>
      <c r="M2748" t="s">
        <v>37150</v>
      </c>
      <c r="N2748" t="s">
        <v>40436</v>
      </c>
      <c r="O2748" t="s">
        <v>40437</v>
      </c>
      <c r="P2748">
        <v>0</v>
      </c>
      <c r="Q2748">
        <v>1</v>
      </c>
      <c r="R2748" t="s">
        <v>40439</v>
      </c>
      <c r="S2748" t="s">
        <v>40588</v>
      </c>
      <c r="T2748" t="s">
        <v>42112</v>
      </c>
      <c r="U2748" t="s">
        <v>45027</v>
      </c>
      <c r="W2748" t="s">
        <v>37150</v>
      </c>
      <c r="X2748" t="s">
        <v>40440</v>
      </c>
    </row>
    <row r="2749" spans="1:24">
      <c r="A2749">
        <f>HYPERLINK("https://www.philgeps.gov.ph/GEPSNONPILOT/Tender/SplashBidNoticeAbstractUI.aspx?menuIndex=3&amp;refID=7044518&amp;Result=3","7044518")</f>
        <v>0</v>
      </c>
      <c r="B2749" t="s">
        <v>1063</v>
      </c>
      <c r="C2749" t="s">
        <v>5719</v>
      </c>
      <c r="D2749" t="s">
        <v>16188</v>
      </c>
      <c r="E2749" t="s">
        <v>18782</v>
      </c>
      <c r="F2749" t="s">
        <v>28198</v>
      </c>
      <c r="G2749" t="s">
        <v>28207</v>
      </c>
      <c r="H2749" t="s">
        <v>28215</v>
      </c>
      <c r="I2749" t="s">
        <v>4321</v>
      </c>
      <c r="J2749" t="s">
        <v>30208</v>
      </c>
      <c r="K2749" t="s">
        <v>36689</v>
      </c>
      <c r="M2749" t="s">
        <v>38096</v>
      </c>
      <c r="N2749" t="s">
        <v>40436</v>
      </c>
      <c r="O2749" t="s">
        <v>40437</v>
      </c>
      <c r="P2749">
        <v>0</v>
      </c>
      <c r="Q2749">
        <v>6</v>
      </c>
      <c r="R2749" t="s">
        <v>40439</v>
      </c>
      <c r="S2749" t="s">
        <v>40588</v>
      </c>
      <c r="T2749" t="s">
        <v>42318</v>
      </c>
      <c r="U2749" t="s">
        <v>45028</v>
      </c>
      <c r="W2749" t="s">
        <v>38096</v>
      </c>
      <c r="X2749" t="s">
        <v>40440</v>
      </c>
    </row>
    <row r="2750" spans="1:24">
      <c r="A2750">
        <f>HYPERLINK("https://www.philgeps.gov.ph/GEPSNONPILOT/Tender/SplashBidNoticeAbstractUI.aspx?menuIndex=3&amp;refID=7044527&amp;Result=3","7044527")</f>
        <v>0</v>
      </c>
      <c r="B2750" t="s">
        <v>656</v>
      </c>
      <c r="C2750" t="s">
        <v>5720</v>
      </c>
      <c r="E2750" t="s">
        <v>18783</v>
      </c>
      <c r="F2750" t="s">
        <v>28198</v>
      </c>
      <c r="G2750" t="s">
        <v>28205</v>
      </c>
      <c r="H2750" t="s">
        <v>28214</v>
      </c>
      <c r="I2750" t="s">
        <v>3797</v>
      </c>
      <c r="J2750" t="s">
        <v>29113</v>
      </c>
      <c r="K2750" t="s">
        <v>36787</v>
      </c>
      <c r="M2750" t="s">
        <v>37652</v>
      </c>
      <c r="N2750" t="s">
        <v>40436</v>
      </c>
      <c r="O2750" t="s">
        <v>40437</v>
      </c>
      <c r="P2750">
        <v>0</v>
      </c>
      <c r="Q2750">
        <v>0</v>
      </c>
      <c r="R2750" t="s">
        <v>40439</v>
      </c>
      <c r="S2750" t="s">
        <v>40588</v>
      </c>
      <c r="T2750" t="s">
        <v>42106</v>
      </c>
      <c r="U2750" t="s">
        <v>45029</v>
      </c>
      <c r="W2750" t="s">
        <v>37652</v>
      </c>
      <c r="X2750" t="s">
        <v>40440</v>
      </c>
    </row>
    <row r="2751" spans="1:24">
      <c r="A2751">
        <f>HYPERLINK("https://www.philgeps.gov.ph/GEPSNONPILOT/Tender/SplashBidNoticeAbstractUI.aspx?menuIndex=3&amp;refID=7044537&amp;Result=3","7044537")</f>
        <v>0</v>
      </c>
      <c r="B2751" t="s">
        <v>232</v>
      </c>
      <c r="C2751" t="s">
        <v>5721</v>
      </c>
      <c r="D2751" t="s">
        <v>16244</v>
      </c>
      <c r="E2751" t="s">
        <v>18784</v>
      </c>
      <c r="F2751" t="s">
        <v>28198</v>
      </c>
      <c r="G2751" t="s">
        <v>28207</v>
      </c>
      <c r="H2751" t="s">
        <v>28215</v>
      </c>
      <c r="I2751" t="s">
        <v>4168</v>
      </c>
      <c r="J2751" t="s">
        <v>30209</v>
      </c>
      <c r="K2751" t="s">
        <v>36696</v>
      </c>
      <c r="M2751" t="s">
        <v>37208</v>
      </c>
      <c r="N2751" t="s">
        <v>40436</v>
      </c>
      <c r="O2751" t="s">
        <v>40437</v>
      </c>
      <c r="P2751">
        <v>0</v>
      </c>
      <c r="Q2751">
        <v>4</v>
      </c>
      <c r="R2751" t="s">
        <v>40439</v>
      </c>
      <c r="S2751" t="s">
        <v>40588</v>
      </c>
      <c r="T2751" t="s">
        <v>42190</v>
      </c>
      <c r="U2751" t="s">
        <v>45030</v>
      </c>
      <c r="W2751" t="s">
        <v>37208</v>
      </c>
      <c r="X2751" t="s">
        <v>40440</v>
      </c>
    </row>
    <row r="2752" spans="1:24">
      <c r="A2752">
        <f>HYPERLINK("https://www.philgeps.gov.ph/GEPSNONPILOT/Tender/SplashBidNoticeAbstractUI.aspx?menuIndex=3&amp;refID=7044519&amp;Result=3","7044519")</f>
        <v>0</v>
      </c>
      <c r="B2752" t="s">
        <v>390</v>
      </c>
      <c r="C2752" t="s">
        <v>5722</v>
      </c>
      <c r="D2752" t="s">
        <v>16235</v>
      </c>
      <c r="E2752" t="s">
        <v>18785</v>
      </c>
      <c r="F2752" t="s">
        <v>28198</v>
      </c>
      <c r="G2752" t="s">
        <v>28207</v>
      </c>
      <c r="H2752" t="s">
        <v>28215</v>
      </c>
      <c r="I2752" t="s">
        <v>28286</v>
      </c>
      <c r="J2752" t="s">
        <v>28369</v>
      </c>
      <c r="K2752" t="s">
        <v>36689</v>
      </c>
      <c r="M2752" t="s">
        <v>37370</v>
      </c>
      <c r="N2752" t="s">
        <v>40436</v>
      </c>
      <c r="O2752" t="s">
        <v>40437</v>
      </c>
      <c r="P2752">
        <v>0</v>
      </c>
      <c r="Q2752">
        <v>0</v>
      </c>
      <c r="R2752" t="s">
        <v>40439</v>
      </c>
      <c r="S2752" t="s">
        <v>40588</v>
      </c>
      <c r="T2752" t="s">
        <v>42169</v>
      </c>
      <c r="U2752" t="s">
        <v>43768</v>
      </c>
      <c r="W2752" t="s">
        <v>37370</v>
      </c>
      <c r="X2752" t="s">
        <v>40440</v>
      </c>
    </row>
    <row r="2753" spans="1:24">
      <c r="A2753">
        <f>HYPERLINK("https://www.philgeps.gov.ph/GEPSNONPILOT/Tender/SplashBidNoticeAbstractUI.aspx?menuIndex=3&amp;refID=7044531&amp;Result=3","7044531")</f>
        <v>0</v>
      </c>
      <c r="B2753" t="s">
        <v>1110</v>
      </c>
      <c r="C2753" t="s">
        <v>5723</v>
      </c>
      <c r="D2753" t="s">
        <v>16187</v>
      </c>
      <c r="E2753" t="s">
        <v>18786</v>
      </c>
      <c r="F2753" t="s">
        <v>28200</v>
      </c>
      <c r="G2753" t="s">
        <v>28206</v>
      </c>
      <c r="H2753" t="s">
        <v>28215</v>
      </c>
      <c r="I2753" t="s">
        <v>5100</v>
      </c>
      <c r="J2753" t="s">
        <v>30210</v>
      </c>
      <c r="K2753" t="s">
        <v>36698</v>
      </c>
      <c r="M2753" t="s">
        <v>38146</v>
      </c>
      <c r="N2753" t="s">
        <v>40436</v>
      </c>
      <c r="O2753" t="s">
        <v>40437</v>
      </c>
      <c r="P2753">
        <v>0</v>
      </c>
      <c r="Q2753">
        <v>0</v>
      </c>
      <c r="R2753" t="s">
        <v>40439</v>
      </c>
      <c r="S2753" t="s">
        <v>40588</v>
      </c>
      <c r="T2753" t="s">
        <v>42334</v>
      </c>
      <c r="U2753" t="s">
        <v>45031</v>
      </c>
      <c r="W2753" t="s">
        <v>38146</v>
      </c>
      <c r="X2753" t="s">
        <v>40440</v>
      </c>
    </row>
    <row r="2754" spans="1:24">
      <c r="A2754">
        <f>HYPERLINK("https://www.philgeps.gov.ph/GEPSNONPILOT/Tender/SplashBidNoticeAbstractUI.aspx?menuIndex=3&amp;refID=7044526&amp;Result=3","7044526")</f>
        <v>0</v>
      </c>
      <c r="B2754" t="s">
        <v>1063</v>
      </c>
      <c r="C2754" t="s">
        <v>5724</v>
      </c>
      <c r="D2754" t="s">
        <v>16188</v>
      </c>
      <c r="E2754" t="s">
        <v>18787</v>
      </c>
      <c r="F2754" t="s">
        <v>28198</v>
      </c>
      <c r="G2754" t="s">
        <v>28207</v>
      </c>
      <c r="H2754" t="s">
        <v>28215</v>
      </c>
      <c r="I2754" t="s">
        <v>3774</v>
      </c>
      <c r="J2754" t="s">
        <v>28373</v>
      </c>
      <c r="K2754" t="s">
        <v>36689</v>
      </c>
      <c r="M2754" t="s">
        <v>38096</v>
      </c>
      <c r="N2754" t="s">
        <v>40436</v>
      </c>
      <c r="O2754" t="s">
        <v>40437</v>
      </c>
      <c r="P2754">
        <v>0</v>
      </c>
      <c r="Q2754">
        <v>1</v>
      </c>
      <c r="R2754" t="s">
        <v>40439</v>
      </c>
      <c r="S2754" t="s">
        <v>40588</v>
      </c>
      <c r="T2754" t="s">
        <v>42318</v>
      </c>
      <c r="U2754" t="s">
        <v>45032</v>
      </c>
      <c r="W2754" t="s">
        <v>38096</v>
      </c>
      <c r="X2754" t="s">
        <v>40440</v>
      </c>
    </row>
    <row r="2755" spans="1:24">
      <c r="A2755">
        <f>HYPERLINK("https://www.philgeps.gov.ph/GEPSNONPILOT/Tender/SplashBidNoticeAbstractUI.aspx?menuIndex=3&amp;refID=7044534&amp;Result=3","7044534")</f>
        <v>0</v>
      </c>
      <c r="B2755" t="s">
        <v>860</v>
      </c>
      <c r="C2755" t="s">
        <v>5725</v>
      </c>
      <c r="D2755" t="s">
        <v>16199</v>
      </c>
      <c r="E2755" t="s">
        <v>18457</v>
      </c>
      <c r="F2755" t="s">
        <v>28198</v>
      </c>
      <c r="G2755" t="s">
        <v>28205</v>
      </c>
      <c r="H2755" t="s">
        <v>28214</v>
      </c>
      <c r="I2755" t="s">
        <v>3797</v>
      </c>
      <c r="J2755" t="s">
        <v>28363</v>
      </c>
      <c r="K2755" t="s">
        <v>36757</v>
      </c>
      <c r="M2755" t="s">
        <v>37872</v>
      </c>
      <c r="N2755" t="s">
        <v>40436</v>
      </c>
      <c r="O2755" t="s">
        <v>40437</v>
      </c>
      <c r="P2755">
        <v>0</v>
      </c>
      <c r="Q2755">
        <v>0</v>
      </c>
      <c r="R2755" t="s">
        <v>40439</v>
      </c>
      <c r="S2755" t="s">
        <v>40588</v>
      </c>
      <c r="T2755" t="s">
        <v>42177</v>
      </c>
      <c r="U2755" t="s">
        <v>45033</v>
      </c>
      <c r="W2755" t="s">
        <v>37872</v>
      </c>
      <c r="X2755" t="s">
        <v>40440</v>
      </c>
    </row>
    <row r="2756" spans="1:24">
      <c r="A2756">
        <f>HYPERLINK("https://www.philgeps.gov.ph/GEPSNONPILOT/Tender/SplashBidNoticeAbstractUI.aspx?menuIndex=3&amp;refID=7044530&amp;Result=3","7044530")</f>
        <v>0</v>
      </c>
      <c r="B2756" t="s">
        <v>100</v>
      </c>
      <c r="C2756" t="s">
        <v>5726</v>
      </c>
      <c r="D2756" t="s">
        <v>16228</v>
      </c>
      <c r="E2756" t="s">
        <v>18788</v>
      </c>
      <c r="F2756" t="s">
        <v>28198</v>
      </c>
      <c r="G2756" t="s">
        <v>28205</v>
      </c>
      <c r="H2756" t="s">
        <v>28215</v>
      </c>
      <c r="I2756" t="s">
        <v>28225</v>
      </c>
      <c r="J2756" t="s">
        <v>28642</v>
      </c>
      <c r="K2756" t="s">
        <v>36701</v>
      </c>
      <c r="M2756" t="s">
        <v>38133</v>
      </c>
      <c r="N2756" t="s">
        <v>40436</v>
      </c>
      <c r="O2756" t="s">
        <v>40437</v>
      </c>
      <c r="P2756">
        <v>0</v>
      </c>
      <c r="Q2756">
        <v>1</v>
      </c>
      <c r="R2756" t="s">
        <v>40439</v>
      </c>
      <c r="S2756" t="s">
        <v>40588</v>
      </c>
      <c r="T2756" t="s">
        <v>42134</v>
      </c>
      <c r="U2756" t="s">
        <v>42767</v>
      </c>
      <c r="V2756" t="s">
        <v>53798</v>
      </c>
      <c r="W2756" t="s">
        <v>38133</v>
      </c>
      <c r="X2756" t="s">
        <v>40440</v>
      </c>
    </row>
    <row r="2757" spans="1:24">
      <c r="A2757">
        <f>HYPERLINK("https://www.philgeps.gov.ph/GEPSNONPILOT/Tender/SplashBidNoticeAbstractUI.aspx?menuIndex=3&amp;refID=7044528&amp;Result=3","7044528")</f>
        <v>0</v>
      </c>
      <c r="B2757" t="s">
        <v>65</v>
      </c>
      <c r="C2757" t="s">
        <v>5727</v>
      </c>
      <c r="D2757" t="s">
        <v>16210</v>
      </c>
      <c r="E2757" t="s">
        <v>18789</v>
      </c>
      <c r="F2757" t="s">
        <v>28198</v>
      </c>
      <c r="G2757" t="s">
        <v>28207</v>
      </c>
      <c r="H2757" t="s">
        <v>28215</v>
      </c>
      <c r="I2757" t="s">
        <v>4200</v>
      </c>
      <c r="J2757" t="s">
        <v>30211</v>
      </c>
      <c r="K2757" t="s">
        <v>36689</v>
      </c>
      <c r="M2757" t="s">
        <v>37789</v>
      </c>
      <c r="N2757" t="s">
        <v>40436</v>
      </c>
      <c r="O2757" t="s">
        <v>40437</v>
      </c>
      <c r="P2757">
        <v>0</v>
      </c>
      <c r="Q2757">
        <v>1</v>
      </c>
      <c r="R2757" t="s">
        <v>40439</v>
      </c>
      <c r="S2757" t="s">
        <v>40588</v>
      </c>
      <c r="T2757" t="s">
        <v>42134</v>
      </c>
      <c r="U2757" t="s">
        <v>45034</v>
      </c>
      <c r="W2757" t="s">
        <v>37789</v>
      </c>
      <c r="X2757" t="s">
        <v>40440</v>
      </c>
    </row>
    <row r="2758" spans="1:24">
      <c r="A2758">
        <f>HYPERLINK("https://www.philgeps.gov.ph/GEPSNONPILOT/Tender/SplashBidNoticeAbstractUI.aspx?menuIndex=3&amp;refID=7044535&amp;Result=3","7044535")</f>
        <v>0</v>
      </c>
      <c r="B2758" t="s">
        <v>1117</v>
      </c>
      <c r="C2758" t="s">
        <v>5728</v>
      </c>
      <c r="D2758" t="s">
        <v>16210</v>
      </c>
      <c r="E2758" t="s">
        <v>18790</v>
      </c>
      <c r="F2758" t="s">
        <v>28198</v>
      </c>
      <c r="G2758" t="s">
        <v>28207</v>
      </c>
      <c r="H2758" t="s">
        <v>28214</v>
      </c>
      <c r="I2758" t="s">
        <v>8870</v>
      </c>
      <c r="J2758" t="s">
        <v>30212</v>
      </c>
      <c r="K2758" t="s">
        <v>36706</v>
      </c>
      <c r="M2758" t="s">
        <v>38154</v>
      </c>
      <c r="N2758" t="s">
        <v>40436</v>
      </c>
      <c r="O2758" t="s">
        <v>40437</v>
      </c>
      <c r="P2758">
        <v>0</v>
      </c>
      <c r="Q2758">
        <v>4</v>
      </c>
      <c r="R2758" t="s">
        <v>40439</v>
      </c>
      <c r="S2758" t="s">
        <v>40588</v>
      </c>
      <c r="T2758" t="s">
        <v>42133</v>
      </c>
      <c r="U2758" t="s">
        <v>45035</v>
      </c>
      <c r="V2758" t="s">
        <v>54091</v>
      </c>
      <c r="W2758" t="s">
        <v>38154</v>
      </c>
      <c r="X2758" t="s">
        <v>40440</v>
      </c>
    </row>
    <row r="2759" spans="1:24">
      <c r="A2759">
        <f>HYPERLINK("https://www.philgeps.gov.ph/GEPSNONPILOT/Tender/SplashBidNoticeAbstractUI.aspx?menuIndex=3&amp;refID=7044529&amp;Result=3","7044529")</f>
        <v>0</v>
      </c>
      <c r="B2759" t="s">
        <v>1113</v>
      </c>
      <c r="C2759" t="s">
        <v>3178</v>
      </c>
      <c r="D2759" t="s">
        <v>16217</v>
      </c>
      <c r="E2759" t="s">
        <v>18791</v>
      </c>
      <c r="F2759" t="s">
        <v>28198</v>
      </c>
      <c r="G2759" t="s">
        <v>28206</v>
      </c>
      <c r="H2759" t="s">
        <v>28215</v>
      </c>
      <c r="I2759" t="s">
        <v>5082</v>
      </c>
      <c r="J2759" t="s">
        <v>30213</v>
      </c>
      <c r="K2759" t="s">
        <v>36689</v>
      </c>
      <c r="M2759" t="s">
        <v>38150</v>
      </c>
      <c r="N2759" t="s">
        <v>40436</v>
      </c>
      <c r="O2759" t="s">
        <v>40437</v>
      </c>
      <c r="P2759">
        <v>0</v>
      </c>
      <c r="Q2759">
        <v>0</v>
      </c>
      <c r="R2759" t="s">
        <v>40439</v>
      </c>
      <c r="S2759" t="s">
        <v>40588</v>
      </c>
      <c r="T2759" t="s">
        <v>42297</v>
      </c>
      <c r="U2759" t="s">
        <v>45036</v>
      </c>
      <c r="W2759" t="s">
        <v>38150</v>
      </c>
      <c r="X2759" t="s">
        <v>40440</v>
      </c>
    </row>
    <row r="2760" spans="1:24">
      <c r="A2760">
        <f>HYPERLINK("https://www.philgeps.gov.ph/GEPSNONPILOT/Tender/SplashBidNoticeAbstractUI.aspx?menuIndex=3&amp;refID=7044532&amp;Result=3","7044532")</f>
        <v>0</v>
      </c>
      <c r="B2760" t="s">
        <v>70</v>
      </c>
      <c r="C2760" t="s">
        <v>5729</v>
      </c>
      <c r="D2760" t="s">
        <v>16214</v>
      </c>
      <c r="E2760" t="s">
        <v>18792</v>
      </c>
      <c r="F2760" t="s">
        <v>28198</v>
      </c>
      <c r="G2760" t="s">
        <v>28205</v>
      </c>
      <c r="H2760" t="s">
        <v>28214</v>
      </c>
      <c r="I2760" t="s">
        <v>3797</v>
      </c>
      <c r="J2760" t="s">
        <v>30214</v>
      </c>
      <c r="K2760" t="s">
        <v>36701</v>
      </c>
      <c r="M2760" t="s">
        <v>37042</v>
      </c>
      <c r="N2760" t="s">
        <v>40436</v>
      </c>
      <c r="O2760" t="s">
        <v>40437</v>
      </c>
      <c r="P2760">
        <v>0</v>
      </c>
      <c r="Q2760">
        <v>0</v>
      </c>
      <c r="R2760" t="s">
        <v>40439</v>
      </c>
      <c r="S2760" t="s">
        <v>40588</v>
      </c>
      <c r="T2760" t="s">
        <v>42176</v>
      </c>
      <c r="U2760" t="s">
        <v>45037</v>
      </c>
      <c r="W2760" t="s">
        <v>37042</v>
      </c>
      <c r="X2760" t="s">
        <v>40440</v>
      </c>
    </row>
    <row r="2761" spans="1:24">
      <c r="A2761">
        <f>HYPERLINK("https://www.philgeps.gov.ph/GEPSNONPILOT/Tender/SplashBidNoticeAbstractUI.aspx?menuIndex=3&amp;refID=7044524&amp;Result=3","7044524")</f>
        <v>0</v>
      </c>
      <c r="B2761" t="s">
        <v>100</v>
      </c>
      <c r="C2761" t="s">
        <v>5730</v>
      </c>
      <c r="D2761" t="s">
        <v>16228</v>
      </c>
      <c r="E2761" t="s">
        <v>18793</v>
      </c>
      <c r="F2761" t="s">
        <v>28198</v>
      </c>
      <c r="G2761" t="s">
        <v>28205</v>
      </c>
      <c r="H2761" t="s">
        <v>28215</v>
      </c>
      <c r="I2761" t="s">
        <v>28225</v>
      </c>
      <c r="J2761" t="s">
        <v>30215</v>
      </c>
      <c r="K2761" t="s">
        <v>36701</v>
      </c>
      <c r="M2761" t="s">
        <v>38133</v>
      </c>
      <c r="N2761" t="s">
        <v>40436</v>
      </c>
      <c r="O2761" t="s">
        <v>40437</v>
      </c>
      <c r="P2761">
        <v>0</v>
      </c>
      <c r="Q2761">
        <v>1</v>
      </c>
      <c r="R2761" t="s">
        <v>40439</v>
      </c>
      <c r="S2761" t="s">
        <v>40588</v>
      </c>
      <c r="T2761" t="s">
        <v>42134</v>
      </c>
      <c r="U2761" t="s">
        <v>42767</v>
      </c>
      <c r="V2761" t="s">
        <v>53798</v>
      </c>
      <c r="W2761" t="s">
        <v>38133</v>
      </c>
      <c r="X2761" t="s">
        <v>40440</v>
      </c>
    </row>
    <row r="2762" spans="1:24">
      <c r="A2762">
        <f>HYPERLINK("https://www.philgeps.gov.ph/GEPSNONPILOT/Tender/SplashBidNoticeAbstractUI.aspx?menuIndex=3&amp;refID=7044538&amp;Result=3","7044538")</f>
        <v>0</v>
      </c>
      <c r="B2762" t="s">
        <v>100</v>
      </c>
      <c r="C2762" t="s">
        <v>5731</v>
      </c>
      <c r="D2762" t="s">
        <v>16228</v>
      </c>
      <c r="E2762" t="s">
        <v>18794</v>
      </c>
      <c r="F2762" t="s">
        <v>28198</v>
      </c>
      <c r="G2762" t="s">
        <v>28205</v>
      </c>
      <c r="H2762" t="s">
        <v>28215</v>
      </c>
      <c r="I2762" t="s">
        <v>28279</v>
      </c>
      <c r="J2762" t="s">
        <v>30216</v>
      </c>
      <c r="K2762" t="s">
        <v>36701</v>
      </c>
      <c r="M2762" t="s">
        <v>38133</v>
      </c>
      <c r="N2762" t="s">
        <v>40436</v>
      </c>
      <c r="O2762" t="s">
        <v>40437</v>
      </c>
      <c r="P2762">
        <v>0</v>
      </c>
      <c r="Q2762">
        <v>2</v>
      </c>
      <c r="R2762" t="s">
        <v>40439</v>
      </c>
      <c r="S2762" t="s">
        <v>40588</v>
      </c>
      <c r="T2762" t="s">
        <v>42134</v>
      </c>
      <c r="U2762" t="s">
        <v>42767</v>
      </c>
      <c r="V2762" t="s">
        <v>53798</v>
      </c>
      <c r="W2762" t="s">
        <v>38133</v>
      </c>
      <c r="X2762" t="s">
        <v>40440</v>
      </c>
    </row>
    <row r="2763" spans="1:24">
      <c r="A2763">
        <f>HYPERLINK("https://www.philgeps.gov.ph/GEPSNONPILOT/Tender/SplashBidNoticeAbstractUI.aspx?menuIndex=3&amp;refID=7044549&amp;Result=3","7044549")</f>
        <v>0</v>
      </c>
      <c r="B2763" t="s">
        <v>656</v>
      </c>
      <c r="C2763" t="s">
        <v>5732</v>
      </c>
      <c r="E2763" t="s">
        <v>18795</v>
      </c>
      <c r="F2763" t="s">
        <v>28198</v>
      </c>
      <c r="G2763" t="s">
        <v>28205</v>
      </c>
      <c r="H2763" t="s">
        <v>28214</v>
      </c>
      <c r="I2763" t="s">
        <v>3797</v>
      </c>
      <c r="J2763" t="s">
        <v>28752</v>
      </c>
      <c r="K2763" t="s">
        <v>36745</v>
      </c>
      <c r="M2763" t="s">
        <v>37652</v>
      </c>
      <c r="N2763" t="s">
        <v>40436</v>
      </c>
      <c r="O2763" t="s">
        <v>40437</v>
      </c>
      <c r="P2763">
        <v>0</v>
      </c>
      <c r="Q2763">
        <v>0</v>
      </c>
      <c r="R2763" t="s">
        <v>40439</v>
      </c>
      <c r="S2763" t="s">
        <v>40588</v>
      </c>
      <c r="T2763" t="s">
        <v>42106</v>
      </c>
      <c r="U2763" t="s">
        <v>45029</v>
      </c>
      <c r="W2763" t="s">
        <v>37652</v>
      </c>
      <c r="X2763" t="s">
        <v>40440</v>
      </c>
    </row>
    <row r="2764" spans="1:24">
      <c r="A2764">
        <f>HYPERLINK("https://www.philgeps.gov.ph/GEPSNONPILOT/Tender/SplashBidNoticeAbstractUI.aspx?menuIndex=3&amp;refID=7044542&amp;Result=3","7044542")</f>
        <v>0</v>
      </c>
      <c r="B2764" t="s">
        <v>100</v>
      </c>
      <c r="C2764" t="s">
        <v>5733</v>
      </c>
      <c r="D2764" t="s">
        <v>16228</v>
      </c>
      <c r="E2764" t="s">
        <v>18796</v>
      </c>
      <c r="F2764" t="s">
        <v>28198</v>
      </c>
      <c r="G2764" t="s">
        <v>28205</v>
      </c>
      <c r="H2764" t="s">
        <v>28215</v>
      </c>
      <c r="I2764" t="s">
        <v>28279</v>
      </c>
      <c r="J2764" t="s">
        <v>28593</v>
      </c>
      <c r="K2764" t="s">
        <v>36701</v>
      </c>
      <c r="M2764" t="s">
        <v>38133</v>
      </c>
      <c r="N2764" t="s">
        <v>40436</v>
      </c>
      <c r="O2764" t="s">
        <v>40437</v>
      </c>
      <c r="P2764">
        <v>0</v>
      </c>
      <c r="Q2764">
        <v>1</v>
      </c>
      <c r="R2764" t="s">
        <v>40439</v>
      </c>
      <c r="S2764" t="s">
        <v>40588</v>
      </c>
      <c r="T2764" t="s">
        <v>42134</v>
      </c>
      <c r="U2764" t="s">
        <v>42767</v>
      </c>
      <c r="V2764" t="s">
        <v>53798</v>
      </c>
      <c r="W2764" t="s">
        <v>38133</v>
      </c>
      <c r="X2764" t="s">
        <v>40440</v>
      </c>
    </row>
    <row r="2765" spans="1:24">
      <c r="A2765">
        <f>HYPERLINK("https://www.philgeps.gov.ph/GEPSNONPILOT/Tender/SplashBidNoticeAbstractUI.aspx?menuIndex=3&amp;refID=7044541&amp;Result=3","7044541")</f>
        <v>0</v>
      </c>
      <c r="B2765" t="s">
        <v>1063</v>
      </c>
      <c r="C2765" t="s">
        <v>5734</v>
      </c>
      <c r="D2765" t="s">
        <v>16188</v>
      </c>
      <c r="E2765" t="s">
        <v>18797</v>
      </c>
      <c r="F2765" t="s">
        <v>28198</v>
      </c>
      <c r="G2765" t="s">
        <v>28207</v>
      </c>
      <c r="H2765" t="s">
        <v>28215</v>
      </c>
      <c r="I2765" t="s">
        <v>28279</v>
      </c>
      <c r="J2765" t="s">
        <v>30217</v>
      </c>
      <c r="K2765" t="s">
        <v>36689</v>
      </c>
      <c r="M2765" t="s">
        <v>38096</v>
      </c>
      <c r="N2765" t="s">
        <v>40436</v>
      </c>
      <c r="O2765" t="s">
        <v>40437</v>
      </c>
      <c r="P2765">
        <v>0</v>
      </c>
      <c r="Q2765">
        <v>3</v>
      </c>
      <c r="R2765" t="s">
        <v>40439</v>
      </c>
      <c r="S2765" t="s">
        <v>40588</v>
      </c>
      <c r="T2765" t="s">
        <v>42318</v>
      </c>
      <c r="U2765" t="s">
        <v>45038</v>
      </c>
      <c r="W2765" t="s">
        <v>38096</v>
      </c>
      <c r="X2765" t="s">
        <v>40440</v>
      </c>
    </row>
    <row r="2766" spans="1:24">
      <c r="A2766">
        <f>HYPERLINK("https://www.philgeps.gov.ph/GEPSNONPILOT/Tender/SplashBidNoticeAbstractUI.aspx?menuIndex=3&amp;refID=7044540&amp;Result=3","7044540")</f>
        <v>0</v>
      </c>
      <c r="B2766" t="s">
        <v>461</v>
      </c>
      <c r="C2766" t="s">
        <v>5735</v>
      </c>
      <c r="D2766" t="s">
        <v>16208</v>
      </c>
      <c r="E2766" t="s">
        <v>18798</v>
      </c>
      <c r="F2766" t="s">
        <v>28198</v>
      </c>
      <c r="G2766" t="s">
        <v>28209</v>
      </c>
      <c r="H2766" t="s">
        <v>28215</v>
      </c>
      <c r="I2766" t="s">
        <v>28234</v>
      </c>
      <c r="J2766" t="s">
        <v>30218</v>
      </c>
      <c r="K2766" t="s">
        <v>36689</v>
      </c>
      <c r="M2766" t="s">
        <v>37445</v>
      </c>
      <c r="N2766" t="s">
        <v>40436</v>
      </c>
      <c r="O2766" t="s">
        <v>40437</v>
      </c>
      <c r="P2766">
        <v>0</v>
      </c>
      <c r="Q2766">
        <v>4</v>
      </c>
      <c r="R2766" t="s">
        <v>40439</v>
      </c>
      <c r="S2766" t="s">
        <v>40588</v>
      </c>
      <c r="T2766" t="s">
        <v>42133</v>
      </c>
      <c r="U2766" t="s">
        <v>45039</v>
      </c>
      <c r="W2766" t="s">
        <v>37445</v>
      </c>
      <c r="X2766" t="s">
        <v>40440</v>
      </c>
    </row>
    <row r="2767" spans="1:24">
      <c r="A2767">
        <f>HYPERLINK("https://www.philgeps.gov.ph/GEPSNONPILOT/Tender/SplashBidNoticeAbstractUI.aspx?menuIndex=3&amp;refID=7044539&amp;Result=3","7044539")</f>
        <v>0</v>
      </c>
      <c r="B2767" t="s">
        <v>718</v>
      </c>
      <c r="C2767" t="s">
        <v>5736</v>
      </c>
      <c r="D2767" t="s">
        <v>16213</v>
      </c>
      <c r="E2767" t="s">
        <v>18799</v>
      </c>
      <c r="F2767" t="s">
        <v>28198</v>
      </c>
      <c r="G2767" t="s">
        <v>28207</v>
      </c>
      <c r="H2767" t="s">
        <v>28215</v>
      </c>
      <c r="I2767" t="s">
        <v>28284</v>
      </c>
      <c r="J2767" t="s">
        <v>29682</v>
      </c>
      <c r="K2767" t="s">
        <v>36701</v>
      </c>
      <c r="M2767" t="s">
        <v>38155</v>
      </c>
      <c r="N2767" t="s">
        <v>40436</v>
      </c>
      <c r="O2767" t="s">
        <v>40437</v>
      </c>
      <c r="P2767">
        <v>0</v>
      </c>
      <c r="Q2767">
        <v>2</v>
      </c>
      <c r="R2767" t="s">
        <v>40439</v>
      </c>
      <c r="S2767" t="s">
        <v>40588</v>
      </c>
      <c r="T2767" t="s">
        <v>42158</v>
      </c>
      <c r="U2767" t="s">
        <v>45040</v>
      </c>
      <c r="W2767" t="s">
        <v>38155</v>
      </c>
      <c r="X2767" t="s">
        <v>40440</v>
      </c>
    </row>
    <row r="2768" spans="1:24">
      <c r="A2768">
        <f>HYPERLINK("https://www.philgeps.gov.ph/GEPSNONPILOT/Tender/SplashBidNoticeAbstractUI.aspx?menuIndex=3&amp;refID=7044543&amp;Result=3","7044543")</f>
        <v>0</v>
      </c>
      <c r="B2768" t="s">
        <v>1089</v>
      </c>
      <c r="C2768" t="s">
        <v>5737</v>
      </c>
      <c r="D2768" t="s">
        <v>16210</v>
      </c>
      <c r="E2768" t="s">
        <v>18800</v>
      </c>
      <c r="F2768" t="s">
        <v>28198</v>
      </c>
      <c r="G2768" t="s">
        <v>28205</v>
      </c>
      <c r="H2768" t="s">
        <v>28217</v>
      </c>
      <c r="I2768" t="s">
        <v>28227</v>
      </c>
      <c r="J2768" t="s">
        <v>30219</v>
      </c>
      <c r="K2768" t="s">
        <v>36696</v>
      </c>
      <c r="M2768" t="s">
        <v>38124</v>
      </c>
      <c r="N2768" t="s">
        <v>40436</v>
      </c>
      <c r="O2768" t="s">
        <v>40437</v>
      </c>
      <c r="P2768">
        <v>0</v>
      </c>
      <c r="Q2768">
        <v>0</v>
      </c>
      <c r="R2768" t="s">
        <v>40439</v>
      </c>
      <c r="S2768" t="s">
        <v>40588</v>
      </c>
      <c r="T2768" t="s">
        <v>42140</v>
      </c>
      <c r="U2768" t="s">
        <v>45041</v>
      </c>
      <c r="W2768" t="s">
        <v>38124</v>
      </c>
      <c r="X2768" t="s">
        <v>40440</v>
      </c>
    </row>
    <row r="2769" spans="1:24">
      <c r="A2769">
        <f>HYPERLINK("https://www.philgeps.gov.ph/GEPSNONPILOT/Tender/SplashBidNoticeAbstractUI.aspx?menuIndex=3&amp;refID=7044559&amp;Result=3","7044559")</f>
        <v>0</v>
      </c>
      <c r="B2769" t="s">
        <v>1118</v>
      </c>
      <c r="C2769" t="s">
        <v>5738</v>
      </c>
      <c r="D2769" t="s">
        <v>16196</v>
      </c>
      <c r="E2769" t="s">
        <v>18801</v>
      </c>
      <c r="F2769" t="s">
        <v>28198</v>
      </c>
      <c r="G2769" t="s">
        <v>28207</v>
      </c>
      <c r="H2769" t="s">
        <v>28215</v>
      </c>
      <c r="I2769" t="s">
        <v>5791</v>
      </c>
      <c r="J2769" t="s">
        <v>30220</v>
      </c>
      <c r="K2769" t="s">
        <v>36688</v>
      </c>
      <c r="M2769" t="s">
        <v>38156</v>
      </c>
      <c r="N2769" t="s">
        <v>40436</v>
      </c>
      <c r="O2769" t="s">
        <v>40437</v>
      </c>
      <c r="P2769">
        <v>0</v>
      </c>
      <c r="Q2769">
        <v>0</v>
      </c>
      <c r="R2769" t="s">
        <v>40439</v>
      </c>
      <c r="S2769" t="s">
        <v>40588</v>
      </c>
      <c r="T2769" t="s">
        <v>42103</v>
      </c>
      <c r="U2769" t="s">
        <v>45042</v>
      </c>
      <c r="W2769" t="s">
        <v>38156</v>
      </c>
      <c r="X2769" t="s">
        <v>40440</v>
      </c>
    </row>
    <row r="2770" spans="1:24">
      <c r="A2770">
        <f>HYPERLINK("https://www.philgeps.gov.ph/GEPSNONPILOT/Tender/SplashBidNoticeAbstractUI.aspx?menuIndex=3&amp;refID=7044557&amp;Result=3","7044557")</f>
        <v>0</v>
      </c>
      <c r="B2770" t="s">
        <v>299</v>
      </c>
      <c r="C2770" t="s">
        <v>5739</v>
      </c>
      <c r="E2770" t="s">
        <v>18802</v>
      </c>
      <c r="F2770" t="s">
        <v>28198</v>
      </c>
      <c r="G2770" t="s">
        <v>28205</v>
      </c>
      <c r="H2770" t="s">
        <v>28215</v>
      </c>
      <c r="I2770" t="s">
        <v>4219</v>
      </c>
      <c r="J2770" t="s">
        <v>30221</v>
      </c>
      <c r="K2770" t="s">
        <v>36689</v>
      </c>
      <c r="M2770" t="s">
        <v>37276</v>
      </c>
      <c r="N2770" t="s">
        <v>40436</v>
      </c>
      <c r="O2770" t="s">
        <v>40437</v>
      </c>
      <c r="P2770">
        <v>0</v>
      </c>
      <c r="Q2770">
        <v>6</v>
      </c>
      <c r="R2770" t="s">
        <v>40439</v>
      </c>
      <c r="S2770" t="s">
        <v>40588</v>
      </c>
      <c r="T2770" t="s">
        <v>42134</v>
      </c>
      <c r="U2770" t="s">
        <v>45043</v>
      </c>
      <c r="W2770" t="s">
        <v>37276</v>
      </c>
      <c r="X2770" t="s">
        <v>40440</v>
      </c>
    </row>
    <row r="2771" spans="1:24">
      <c r="A2771">
        <f>HYPERLINK("https://www.philgeps.gov.ph/GEPSNONPILOT/Tender/SplashBidNoticeAbstractUI.aspx?menuIndex=3&amp;refID=7044544&amp;Result=3","7044544")</f>
        <v>0</v>
      </c>
      <c r="B2771" t="s">
        <v>361</v>
      </c>
      <c r="C2771" t="s">
        <v>5740</v>
      </c>
      <c r="D2771" t="s">
        <v>16236</v>
      </c>
      <c r="E2771" t="s">
        <v>18803</v>
      </c>
      <c r="F2771" t="s">
        <v>28198</v>
      </c>
      <c r="G2771" t="s">
        <v>28210</v>
      </c>
      <c r="H2771" t="s">
        <v>28215</v>
      </c>
      <c r="I2771" t="s">
        <v>5082</v>
      </c>
      <c r="J2771" t="s">
        <v>30222</v>
      </c>
      <c r="K2771" t="s">
        <v>36707</v>
      </c>
      <c r="M2771" t="s">
        <v>37340</v>
      </c>
      <c r="N2771" t="s">
        <v>40436</v>
      </c>
      <c r="O2771" t="s">
        <v>40437</v>
      </c>
      <c r="P2771">
        <v>0</v>
      </c>
      <c r="Q2771">
        <v>0</v>
      </c>
      <c r="R2771" t="s">
        <v>40439</v>
      </c>
      <c r="S2771" t="s">
        <v>40588</v>
      </c>
      <c r="T2771" t="s">
        <v>42119</v>
      </c>
      <c r="U2771" t="s">
        <v>45044</v>
      </c>
      <c r="V2771" t="s">
        <v>53826</v>
      </c>
      <c r="W2771" t="s">
        <v>37340</v>
      </c>
      <c r="X2771" t="s">
        <v>40440</v>
      </c>
    </row>
    <row r="2772" spans="1:24">
      <c r="A2772">
        <f>HYPERLINK("https://www.philgeps.gov.ph/GEPSNONPILOT/Tender/SplashBidNoticeAbstractUI.aspx?menuIndex=3&amp;refID=7044550&amp;Result=3","7044550")</f>
        <v>0</v>
      </c>
      <c r="B2772" t="s">
        <v>285</v>
      </c>
      <c r="C2772" t="s">
        <v>5741</v>
      </c>
      <c r="E2772" t="s">
        <v>18804</v>
      </c>
      <c r="F2772" t="s">
        <v>28198</v>
      </c>
      <c r="G2772" t="s">
        <v>28207</v>
      </c>
      <c r="H2772" t="s">
        <v>28215</v>
      </c>
      <c r="I2772" t="s">
        <v>28274</v>
      </c>
      <c r="J2772" t="s">
        <v>28629</v>
      </c>
      <c r="K2772" t="s">
        <v>36689</v>
      </c>
      <c r="M2772" t="s">
        <v>37262</v>
      </c>
      <c r="N2772" t="s">
        <v>40436</v>
      </c>
      <c r="O2772" t="s">
        <v>40437</v>
      </c>
      <c r="P2772">
        <v>0</v>
      </c>
      <c r="Q2772">
        <v>0</v>
      </c>
      <c r="R2772" t="s">
        <v>40439</v>
      </c>
      <c r="S2772" t="s">
        <v>40588</v>
      </c>
      <c r="T2772" t="s">
        <v>42190</v>
      </c>
      <c r="U2772" t="s">
        <v>45045</v>
      </c>
      <c r="W2772" t="s">
        <v>37262</v>
      </c>
      <c r="X2772" t="s">
        <v>40440</v>
      </c>
    </row>
    <row r="2773" spans="1:24">
      <c r="A2773">
        <f>HYPERLINK("https://www.philgeps.gov.ph/GEPSNONPILOT/Tender/SplashBidNoticeAbstractUI.aspx?menuIndex=3&amp;refID=7044558&amp;Result=3","7044558")</f>
        <v>0</v>
      </c>
      <c r="B2773" t="s">
        <v>439</v>
      </c>
      <c r="C2773" t="s">
        <v>5742</v>
      </c>
      <c r="D2773" t="s">
        <v>16213</v>
      </c>
      <c r="E2773" t="s">
        <v>18805</v>
      </c>
      <c r="F2773" t="s">
        <v>28198</v>
      </c>
      <c r="G2773" t="s">
        <v>28207</v>
      </c>
      <c r="H2773" t="s">
        <v>28215</v>
      </c>
      <c r="I2773" t="s">
        <v>28250</v>
      </c>
      <c r="J2773" t="s">
        <v>30223</v>
      </c>
      <c r="K2773" t="s">
        <v>36706</v>
      </c>
      <c r="M2773" t="s">
        <v>37673</v>
      </c>
      <c r="N2773" t="s">
        <v>40436</v>
      </c>
      <c r="O2773" t="s">
        <v>40437</v>
      </c>
      <c r="P2773">
        <v>0</v>
      </c>
      <c r="Q2773">
        <v>0</v>
      </c>
      <c r="R2773" t="s">
        <v>40439</v>
      </c>
      <c r="S2773" t="s">
        <v>40588</v>
      </c>
      <c r="T2773" t="s">
        <v>42112</v>
      </c>
      <c r="U2773" t="s">
        <v>45046</v>
      </c>
      <c r="W2773" t="s">
        <v>37673</v>
      </c>
      <c r="X2773" t="s">
        <v>40440</v>
      </c>
    </row>
    <row r="2774" spans="1:24">
      <c r="A2774">
        <f>HYPERLINK("https://www.philgeps.gov.ph/GEPSNONPILOT/Tender/SplashBidNoticeAbstractUI.aspx?menuIndex=3&amp;refID=7044547&amp;Result=3","7044547")</f>
        <v>0</v>
      </c>
      <c r="B2774" t="s">
        <v>846</v>
      </c>
      <c r="C2774" t="s">
        <v>5743</v>
      </c>
      <c r="D2774" t="s">
        <v>16217</v>
      </c>
      <c r="E2774" t="s">
        <v>18806</v>
      </c>
      <c r="F2774" t="s">
        <v>28198</v>
      </c>
      <c r="G2774" t="s">
        <v>28207</v>
      </c>
      <c r="H2774" t="s">
        <v>28215</v>
      </c>
      <c r="I2774" t="s">
        <v>28234</v>
      </c>
      <c r="J2774" t="s">
        <v>28629</v>
      </c>
      <c r="K2774" t="s">
        <v>36701</v>
      </c>
      <c r="M2774" t="s">
        <v>37858</v>
      </c>
      <c r="N2774" t="s">
        <v>40436</v>
      </c>
      <c r="O2774" t="s">
        <v>40437</v>
      </c>
      <c r="P2774">
        <v>0</v>
      </c>
      <c r="Q2774">
        <v>2</v>
      </c>
      <c r="R2774" t="s">
        <v>40439</v>
      </c>
      <c r="S2774" t="s">
        <v>40588</v>
      </c>
      <c r="T2774" t="s">
        <v>42177</v>
      </c>
      <c r="U2774" t="s">
        <v>45047</v>
      </c>
      <c r="W2774" t="s">
        <v>37858</v>
      </c>
      <c r="X2774" t="s">
        <v>40440</v>
      </c>
    </row>
    <row r="2775" spans="1:24">
      <c r="A2775">
        <f>HYPERLINK("https://www.philgeps.gov.ph/GEPSNONPILOT/Tender/SplashBidNoticeAbstractUI.aspx?menuIndex=3&amp;refID=7044554&amp;Result=3","7044554")</f>
        <v>0</v>
      </c>
      <c r="B2775" t="s">
        <v>1098</v>
      </c>
      <c r="C2775" t="s">
        <v>5744</v>
      </c>
      <c r="D2775" t="s">
        <v>16206</v>
      </c>
      <c r="E2775" t="s">
        <v>18807</v>
      </c>
      <c r="F2775" t="s">
        <v>28198</v>
      </c>
      <c r="G2775" t="s">
        <v>28206</v>
      </c>
      <c r="H2775" t="s">
        <v>28215</v>
      </c>
      <c r="I2775" t="s">
        <v>5100</v>
      </c>
      <c r="J2775" t="s">
        <v>30224</v>
      </c>
      <c r="K2775" t="s">
        <v>36701</v>
      </c>
      <c r="M2775" t="s">
        <v>38134</v>
      </c>
      <c r="N2775" t="s">
        <v>40436</v>
      </c>
      <c r="O2775" t="s">
        <v>40437</v>
      </c>
      <c r="P2775">
        <v>0</v>
      </c>
      <c r="Q2775">
        <v>0</v>
      </c>
      <c r="R2775" t="s">
        <v>40439</v>
      </c>
      <c r="S2775" t="s">
        <v>40588</v>
      </c>
      <c r="T2775" t="s">
        <v>42190</v>
      </c>
      <c r="U2775" t="s">
        <v>45048</v>
      </c>
      <c r="W2775" t="s">
        <v>38134</v>
      </c>
      <c r="X2775" t="s">
        <v>40440</v>
      </c>
    </row>
    <row r="2776" spans="1:24">
      <c r="A2776">
        <f>HYPERLINK("https://www.philgeps.gov.ph/GEPSNONPILOT/Tender/SplashBidNoticeAbstractUI.aspx?menuIndex=3&amp;refID=7044560&amp;Result=3","7044560")</f>
        <v>0</v>
      </c>
      <c r="B2776" t="s">
        <v>631</v>
      </c>
      <c r="C2776" t="s">
        <v>5745</v>
      </c>
      <c r="D2776" t="s">
        <v>16209</v>
      </c>
      <c r="E2776" t="s">
        <v>18808</v>
      </c>
      <c r="F2776" t="s">
        <v>28198</v>
      </c>
      <c r="G2776" t="s">
        <v>28207</v>
      </c>
      <c r="H2776" t="s">
        <v>28215</v>
      </c>
      <c r="I2776" t="s">
        <v>28225</v>
      </c>
      <c r="J2776" t="s">
        <v>30225</v>
      </c>
      <c r="K2776" t="s">
        <v>36707</v>
      </c>
      <c r="M2776" t="s">
        <v>37624</v>
      </c>
      <c r="N2776" t="s">
        <v>40436</v>
      </c>
      <c r="O2776" t="s">
        <v>40437</v>
      </c>
      <c r="P2776">
        <v>0</v>
      </c>
      <c r="Q2776">
        <v>3</v>
      </c>
      <c r="R2776" t="s">
        <v>40439</v>
      </c>
      <c r="S2776" t="s">
        <v>40588</v>
      </c>
      <c r="T2776" t="s">
        <v>42218</v>
      </c>
      <c r="U2776" t="s">
        <v>45049</v>
      </c>
      <c r="W2776" t="s">
        <v>55455</v>
      </c>
      <c r="X2776" t="s">
        <v>40440</v>
      </c>
    </row>
    <row r="2777" spans="1:24">
      <c r="A2777">
        <f>HYPERLINK("https://www.philgeps.gov.ph/GEPSNONPILOT/Tender/SplashBidNoticeAbstractUI.aspx?menuIndex=3&amp;refID=7044552&amp;Result=3","7044552")</f>
        <v>0</v>
      </c>
      <c r="B2777" t="s">
        <v>100</v>
      </c>
      <c r="C2777" t="s">
        <v>5746</v>
      </c>
      <c r="D2777" t="s">
        <v>16228</v>
      </c>
      <c r="E2777" t="s">
        <v>18809</v>
      </c>
      <c r="F2777" t="s">
        <v>28198</v>
      </c>
      <c r="G2777" t="s">
        <v>28205</v>
      </c>
      <c r="H2777" t="s">
        <v>28215</v>
      </c>
      <c r="I2777" t="s">
        <v>28279</v>
      </c>
      <c r="J2777" t="s">
        <v>30226</v>
      </c>
      <c r="K2777" t="s">
        <v>36701</v>
      </c>
      <c r="M2777" t="s">
        <v>38133</v>
      </c>
      <c r="N2777" t="s">
        <v>40436</v>
      </c>
      <c r="O2777" t="s">
        <v>40437</v>
      </c>
      <c r="P2777">
        <v>0</v>
      </c>
      <c r="Q2777">
        <v>1</v>
      </c>
      <c r="R2777" t="s">
        <v>40439</v>
      </c>
      <c r="S2777" t="s">
        <v>40588</v>
      </c>
      <c r="T2777" t="s">
        <v>42134</v>
      </c>
      <c r="U2777" t="s">
        <v>42767</v>
      </c>
      <c r="V2777" t="s">
        <v>53798</v>
      </c>
      <c r="W2777" t="s">
        <v>38133</v>
      </c>
      <c r="X2777" t="s">
        <v>40440</v>
      </c>
    </row>
    <row r="2778" spans="1:24">
      <c r="A2778">
        <f>HYPERLINK("https://www.philgeps.gov.ph/GEPSNONPILOT/Tender/SplashBidNoticeAbstractUI.aspx?menuIndex=3&amp;refID=7044555&amp;Result=3","7044555")</f>
        <v>0</v>
      </c>
      <c r="B2778" t="s">
        <v>1119</v>
      </c>
      <c r="C2778" t="s">
        <v>5747</v>
      </c>
      <c r="D2778" t="s">
        <v>16265</v>
      </c>
      <c r="E2778" t="s">
        <v>16473</v>
      </c>
      <c r="F2778" t="s">
        <v>28198</v>
      </c>
      <c r="G2778" t="s">
        <v>28207</v>
      </c>
      <c r="H2778" t="s">
        <v>28215</v>
      </c>
      <c r="I2778" t="s">
        <v>5100</v>
      </c>
      <c r="J2778" t="s">
        <v>30227</v>
      </c>
      <c r="K2778" t="s">
        <v>36689</v>
      </c>
      <c r="M2778" t="s">
        <v>38157</v>
      </c>
      <c r="N2778" t="s">
        <v>40436</v>
      </c>
      <c r="O2778" t="s">
        <v>40437</v>
      </c>
      <c r="P2778">
        <v>0</v>
      </c>
      <c r="Q2778">
        <v>0</v>
      </c>
      <c r="R2778" t="s">
        <v>40439</v>
      </c>
      <c r="S2778" t="s">
        <v>40588</v>
      </c>
      <c r="T2778" t="s">
        <v>42169</v>
      </c>
      <c r="U2778" t="s">
        <v>45050</v>
      </c>
      <c r="W2778" t="s">
        <v>38157</v>
      </c>
      <c r="X2778" t="s">
        <v>40440</v>
      </c>
    </row>
    <row r="2779" spans="1:24">
      <c r="A2779">
        <f>HYPERLINK("https://www.philgeps.gov.ph/GEPSNONPILOT/Tender/SplashBidNoticeAbstractUI.aspx?menuIndex=3&amp;refID=7044546&amp;Result=3","7044546")</f>
        <v>0</v>
      </c>
      <c r="B2779" t="s">
        <v>65</v>
      </c>
      <c r="C2779" t="s">
        <v>5748</v>
      </c>
      <c r="D2779" t="s">
        <v>16210</v>
      </c>
      <c r="E2779" t="s">
        <v>18810</v>
      </c>
      <c r="F2779" t="s">
        <v>28198</v>
      </c>
      <c r="G2779" t="s">
        <v>28210</v>
      </c>
      <c r="H2779" t="s">
        <v>28215</v>
      </c>
      <c r="I2779" t="s">
        <v>5082</v>
      </c>
      <c r="J2779" t="s">
        <v>30228</v>
      </c>
      <c r="K2779" t="s">
        <v>36689</v>
      </c>
      <c r="M2779" t="s">
        <v>37789</v>
      </c>
      <c r="N2779" t="s">
        <v>40436</v>
      </c>
      <c r="O2779" t="s">
        <v>40437</v>
      </c>
      <c r="P2779">
        <v>0</v>
      </c>
      <c r="Q2779">
        <v>0</v>
      </c>
      <c r="R2779" t="s">
        <v>40439</v>
      </c>
      <c r="S2779" t="s">
        <v>40588</v>
      </c>
      <c r="T2779" t="s">
        <v>42134</v>
      </c>
      <c r="U2779" t="s">
        <v>45051</v>
      </c>
      <c r="W2779" t="s">
        <v>37789</v>
      </c>
      <c r="X2779" t="s">
        <v>40440</v>
      </c>
    </row>
    <row r="2780" spans="1:24">
      <c r="A2780">
        <f>HYPERLINK("https://www.philgeps.gov.ph/GEPSNONPILOT/Tender/SplashBidNoticeAbstractUI.aspx?menuIndex=3&amp;refID=7044551&amp;Result=3","7044551")</f>
        <v>0</v>
      </c>
      <c r="B2780" t="s">
        <v>390</v>
      </c>
      <c r="C2780" t="s">
        <v>5749</v>
      </c>
      <c r="D2780" t="s">
        <v>16235</v>
      </c>
      <c r="E2780" t="s">
        <v>18811</v>
      </c>
      <c r="F2780" t="s">
        <v>28198</v>
      </c>
      <c r="G2780" t="s">
        <v>28207</v>
      </c>
      <c r="H2780" t="s">
        <v>28214</v>
      </c>
      <c r="I2780" t="s">
        <v>3797</v>
      </c>
      <c r="J2780" t="s">
        <v>28561</v>
      </c>
      <c r="K2780" t="s">
        <v>36689</v>
      </c>
      <c r="M2780" t="s">
        <v>37370</v>
      </c>
      <c r="N2780" t="s">
        <v>40436</v>
      </c>
      <c r="O2780" t="s">
        <v>40437</v>
      </c>
      <c r="P2780">
        <v>0</v>
      </c>
      <c r="Q2780">
        <v>0</v>
      </c>
      <c r="R2780" t="s">
        <v>40439</v>
      </c>
      <c r="S2780" t="s">
        <v>40588</v>
      </c>
      <c r="T2780" t="s">
        <v>42169</v>
      </c>
      <c r="U2780" t="s">
        <v>44901</v>
      </c>
      <c r="W2780" t="s">
        <v>37370</v>
      </c>
      <c r="X2780" t="s">
        <v>40440</v>
      </c>
    </row>
    <row r="2781" spans="1:24">
      <c r="A2781">
        <f>HYPERLINK("https://www.philgeps.gov.ph/GEPSNONPILOT/Tender/SplashBidNoticeAbstractUI.aspx?menuIndex=3&amp;refID=7044553&amp;Result=3","7044553")</f>
        <v>0</v>
      </c>
      <c r="B2781" t="s">
        <v>70</v>
      </c>
      <c r="C2781" t="s">
        <v>5750</v>
      </c>
      <c r="D2781" t="s">
        <v>16214</v>
      </c>
      <c r="E2781" t="s">
        <v>18812</v>
      </c>
      <c r="F2781" t="s">
        <v>28198</v>
      </c>
      <c r="G2781" t="s">
        <v>28205</v>
      </c>
      <c r="H2781" t="s">
        <v>28214</v>
      </c>
      <c r="I2781" t="s">
        <v>3797</v>
      </c>
      <c r="J2781" t="s">
        <v>30229</v>
      </c>
      <c r="K2781" t="s">
        <v>36701</v>
      </c>
      <c r="M2781" t="s">
        <v>37042</v>
      </c>
      <c r="N2781" t="s">
        <v>40436</v>
      </c>
      <c r="O2781" t="s">
        <v>40437</v>
      </c>
      <c r="P2781">
        <v>0</v>
      </c>
      <c r="Q2781">
        <v>0</v>
      </c>
      <c r="R2781" t="s">
        <v>40439</v>
      </c>
      <c r="S2781" t="s">
        <v>40588</v>
      </c>
      <c r="T2781" t="s">
        <v>42176</v>
      </c>
      <c r="U2781" t="s">
        <v>45052</v>
      </c>
      <c r="W2781" t="s">
        <v>37042</v>
      </c>
      <c r="X2781" t="s">
        <v>40440</v>
      </c>
    </row>
    <row r="2782" spans="1:24">
      <c r="A2782">
        <f>HYPERLINK("https://www.philgeps.gov.ph/GEPSNONPILOT/Tender/SplashBidNoticeAbstractUI.aspx?menuIndex=3&amp;refID=7044561&amp;Result=3","7044561")</f>
        <v>0</v>
      </c>
      <c r="B2782" t="s">
        <v>1112</v>
      </c>
      <c r="C2782" t="s">
        <v>5751</v>
      </c>
      <c r="D2782" t="s">
        <v>16191</v>
      </c>
      <c r="E2782" t="s">
        <v>18813</v>
      </c>
      <c r="F2782" t="s">
        <v>28198</v>
      </c>
      <c r="G2782" t="s">
        <v>28206</v>
      </c>
      <c r="H2782" t="s">
        <v>28215</v>
      </c>
      <c r="I2782" t="s">
        <v>5100</v>
      </c>
      <c r="J2782" t="s">
        <v>30230</v>
      </c>
      <c r="K2782" t="s">
        <v>36707</v>
      </c>
      <c r="M2782" t="s">
        <v>38149</v>
      </c>
      <c r="N2782" t="s">
        <v>40436</v>
      </c>
      <c r="O2782" t="s">
        <v>40437</v>
      </c>
      <c r="P2782">
        <v>0</v>
      </c>
      <c r="Q2782">
        <v>1</v>
      </c>
      <c r="R2782" t="s">
        <v>40439</v>
      </c>
      <c r="S2782" t="s">
        <v>40588</v>
      </c>
      <c r="T2782" t="s">
        <v>42124</v>
      </c>
      <c r="U2782" t="s">
        <v>45053</v>
      </c>
      <c r="V2782" t="s">
        <v>54089</v>
      </c>
      <c r="W2782" t="s">
        <v>38149</v>
      </c>
      <c r="X2782" t="s">
        <v>40440</v>
      </c>
    </row>
    <row r="2783" spans="1:24">
      <c r="A2783">
        <f>HYPERLINK("https://www.philgeps.gov.ph/GEPSNONPILOT/Tender/SplashBidNoticeAbstractUI.aspx?menuIndex=3&amp;refID=7044573&amp;Result=3","7044573")</f>
        <v>0</v>
      </c>
      <c r="B2783" t="s">
        <v>1120</v>
      </c>
      <c r="C2783" t="s">
        <v>5752</v>
      </c>
      <c r="D2783" t="s">
        <v>16217</v>
      </c>
      <c r="E2783" t="s">
        <v>18814</v>
      </c>
      <c r="F2783" t="s">
        <v>28198</v>
      </c>
      <c r="G2783" t="s">
        <v>28205</v>
      </c>
      <c r="H2783" t="s">
        <v>28215</v>
      </c>
      <c r="I2783" t="s">
        <v>28222</v>
      </c>
      <c r="J2783" t="s">
        <v>28398</v>
      </c>
      <c r="K2783" t="s">
        <v>36689</v>
      </c>
      <c r="M2783" t="s">
        <v>38158</v>
      </c>
      <c r="N2783" t="s">
        <v>40436</v>
      </c>
      <c r="O2783" t="s">
        <v>40437</v>
      </c>
      <c r="P2783">
        <v>0</v>
      </c>
      <c r="Q2783">
        <v>0</v>
      </c>
      <c r="R2783" t="s">
        <v>40439</v>
      </c>
      <c r="S2783" t="s">
        <v>40588</v>
      </c>
      <c r="T2783" t="s">
        <v>42180</v>
      </c>
      <c r="U2783" t="s">
        <v>45054</v>
      </c>
      <c r="W2783" t="s">
        <v>38158</v>
      </c>
      <c r="X2783" t="s">
        <v>40440</v>
      </c>
    </row>
    <row r="2784" spans="1:24">
      <c r="A2784">
        <f>HYPERLINK("https://www.philgeps.gov.ph/GEPSNONPILOT/Tender/SplashBidNoticeAbstractUI.aspx?menuIndex=3&amp;refID=7044567&amp;Result=3","7044567")</f>
        <v>0</v>
      </c>
      <c r="B2784" t="s">
        <v>660</v>
      </c>
      <c r="C2784" t="s">
        <v>5753</v>
      </c>
      <c r="D2784" t="s">
        <v>16188</v>
      </c>
      <c r="E2784" t="s">
        <v>18815</v>
      </c>
      <c r="F2784" t="s">
        <v>28198</v>
      </c>
      <c r="G2784" t="s">
        <v>28207</v>
      </c>
      <c r="H2784" t="s">
        <v>28215</v>
      </c>
      <c r="I2784" t="s">
        <v>28238</v>
      </c>
      <c r="J2784" t="s">
        <v>28694</v>
      </c>
      <c r="K2784" t="s">
        <v>36689</v>
      </c>
      <c r="M2784" t="s">
        <v>37656</v>
      </c>
      <c r="N2784" t="s">
        <v>40436</v>
      </c>
      <c r="O2784" t="s">
        <v>40437</v>
      </c>
      <c r="P2784">
        <v>0</v>
      </c>
      <c r="Q2784">
        <v>3</v>
      </c>
      <c r="R2784" t="s">
        <v>40439</v>
      </c>
      <c r="S2784" t="s">
        <v>40588</v>
      </c>
      <c r="T2784" t="s">
        <v>42228</v>
      </c>
      <c r="U2784" t="s">
        <v>45018</v>
      </c>
      <c r="W2784" t="s">
        <v>37656</v>
      </c>
      <c r="X2784" t="s">
        <v>40440</v>
      </c>
    </row>
    <row r="2785" spans="1:24">
      <c r="A2785">
        <f>HYPERLINK("https://www.philgeps.gov.ph/GEPSNONPILOT/Tender/SplashBidNoticeAbstractUI.aspx?menuIndex=3&amp;refID=7044577&amp;Result=3","7044577")</f>
        <v>0</v>
      </c>
      <c r="B2785" t="s">
        <v>455</v>
      </c>
      <c r="C2785" t="s">
        <v>5754</v>
      </c>
      <c r="D2785" t="s">
        <v>16263</v>
      </c>
      <c r="E2785" t="s">
        <v>18816</v>
      </c>
      <c r="F2785" t="s">
        <v>28198</v>
      </c>
      <c r="G2785" t="s">
        <v>28205</v>
      </c>
      <c r="H2785" t="s">
        <v>28214</v>
      </c>
      <c r="I2785" t="s">
        <v>3797</v>
      </c>
      <c r="J2785" t="s">
        <v>28468</v>
      </c>
      <c r="K2785" t="s">
        <v>36689</v>
      </c>
      <c r="M2785" t="s">
        <v>37439</v>
      </c>
      <c r="N2785" t="s">
        <v>40436</v>
      </c>
      <c r="O2785" t="s">
        <v>40437</v>
      </c>
      <c r="P2785">
        <v>0</v>
      </c>
      <c r="Q2785">
        <v>0</v>
      </c>
      <c r="R2785" t="s">
        <v>40439</v>
      </c>
      <c r="S2785" t="s">
        <v>40588</v>
      </c>
      <c r="T2785" t="s">
        <v>42118</v>
      </c>
      <c r="U2785" t="s">
        <v>45025</v>
      </c>
      <c r="W2785" t="s">
        <v>37439</v>
      </c>
      <c r="X2785" t="s">
        <v>40440</v>
      </c>
    </row>
    <row r="2786" spans="1:24">
      <c r="A2786">
        <f>HYPERLINK("https://www.philgeps.gov.ph/GEPSNONPILOT/Tender/SplashBidNoticeAbstractUI.aspx?menuIndex=3&amp;refID=7044564&amp;Result=3","7044564")</f>
        <v>0</v>
      </c>
      <c r="B2786" t="s">
        <v>1121</v>
      </c>
      <c r="C2786" t="s">
        <v>5755</v>
      </c>
      <c r="D2786" t="s">
        <v>16202</v>
      </c>
      <c r="E2786" t="s">
        <v>18817</v>
      </c>
      <c r="F2786" t="s">
        <v>28198</v>
      </c>
      <c r="G2786" t="s">
        <v>28207</v>
      </c>
      <c r="H2786" t="s">
        <v>28217</v>
      </c>
      <c r="I2786" t="s">
        <v>28268</v>
      </c>
      <c r="J2786" t="s">
        <v>28589</v>
      </c>
      <c r="K2786" t="s">
        <v>36688</v>
      </c>
      <c r="M2786" t="s">
        <v>38159</v>
      </c>
      <c r="N2786" t="s">
        <v>40436</v>
      </c>
      <c r="O2786" t="s">
        <v>40437</v>
      </c>
      <c r="P2786">
        <v>0</v>
      </c>
      <c r="Q2786">
        <v>0</v>
      </c>
      <c r="R2786" t="s">
        <v>40439</v>
      </c>
      <c r="S2786" t="s">
        <v>40588</v>
      </c>
      <c r="T2786" t="s">
        <v>42111</v>
      </c>
      <c r="U2786" t="s">
        <v>45055</v>
      </c>
      <c r="W2786" t="s">
        <v>38159</v>
      </c>
      <c r="X2786" t="s">
        <v>40440</v>
      </c>
    </row>
    <row r="2787" spans="1:24">
      <c r="A2787">
        <f>HYPERLINK("https://www.philgeps.gov.ph/GEPSNONPILOT/Tender/SplashBidNoticeAbstractUI.aspx?menuIndex=3&amp;refID=7044565&amp;Result=3","7044565")</f>
        <v>0</v>
      </c>
      <c r="B2787" t="s">
        <v>182</v>
      </c>
      <c r="C2787" t="s">
        <v>5756</v>
      </c>
      <c r="D2787" t="s">
        <v>16246</v>
      </c>
      <c r="E2787" t="s">
        <v>18818</v>
      </c>
      <c r="F2787" t="s">
        <v>28198</v>
      </c>
      <c r="G2787" t="s">
        <v>28206</v>
      </c>
      <c r="H2787" t="s">
        <v>28215</v>
      </c>
      <c r="I2787" t="s">
        <v>4200</v>
      </c>
      <c r="J2787" t="s">
        <v>30231</v>
      </c>
      <c r="K2787" t="s">
        <v>36688</v>
      </c>
      <c r="M2787" t="s">
        <v>37157</v>
      </c>
      <c r="N2787" t="s">
        <v>40436</v>
      </c>
      <c r="O2787" t="s">
        <v>40437</v>
      </c>
      <c r="P2787">
        <v>0</v>
      </c>
      <c r="Q2787">
        <v>0</v>
      </c>
      <c r="R2787" t="s">
        <v>40439</v>
      </c>
      <c r="S2787" t="s">
        <v>40588</v>
      </c>
      <c r="T2787" t="s">
        <v>42233</v>
      </c>
      <c r="U2787" t="s">
        <v>45056</v>
      </c>
      <c r="W2787" t="s">
        <v>37157</v>
      </c>
      <c r="X2787" t="s">
        <v>40440</v>
      </c>
    </row>
    <row r="2788" spans="1:24">
      <c r="A2788">
        <f>HYPERLINK("https://www.philgeps.gov.ph/GEPSNONPILOT/Tender/SplashBidNoticeAbstractUI.aspx?menuIndex=3&amp;refID=7044562&amp;Result=3","7044562")</f>
        <v>0</v>
      </c>
      <c r="B2788" t="s">
        <v>817</v>
      </c>
      <c r="C2788" t="s">
        <v>5757</v>
      </c>
      <c r="D2788" t="s">
        <v>16196</v>
      </c>
      <c r="E2788" t="s">
        <v>16909</v>
      </c>
      <c r="F2788" t="s">
        <v>28198</v>
      </c>
      <c r="G2788" t="s">
        <v>28205</v>
      </c>
      <c r="H2788" t="s">
        <v>28214</v>
      </c>
      <c r="I2788" t="s">
        <v>3797</v>
      </c>
      <c r="J2788" t="s">
        <v>30232</v>
      </c>
      <c r="K2788" t="s">
        <v>36701</v>
      </c>
      <c r="M2788" t="s">
        <v>37829</v>
      </c>
      <c r="N2788" t="s">
        <v>40436</v>
      </c>
      <c r="O2788" t="s">
        <v>40437</v>
      </c>
      <c r="P2788">
        <v>0</v>
      </c>
      <c r="Q2788">
        <v>2</v>
      </c>
      <c r="R2788" t="s">
        <v>40439</v>
      </c>
      <c r="S2788" t="s">
        <v>40588</v>
      </c>
      <c r="T2788" t="s">
        <v>42175</v>
      </c>
      <c r="U2788" t="s">
        <v>45057</v>
      </c>
      <c r="W2788" t="s">
        <v>37829</v>
      </c>
      <c r="X2788" t="s">
        <v>40440</v>
      </c>
    </row>
    <row r="2789" spans="1:24">
      <c r="A2789">
        <f>HYPERLINK("https://www.philgeps.gov.ph/GEPSNONPILOT/Tender/SplashBidNoticeAbstractUI.aspx?menuIndex=3&amp;refID=7044576&amp;Result=3","7044576")</f>
        <v>0</v>
      </c>
      <c r="B2789" t="s">
        <v>1122</v>
      </c>
      <c r="C2789" t="s">
        <v>5758</v>
      </c>
      <c r="D2789" t="s">
        <v>16199</v>
      </c>
      <c r="E2789" t="s">
        <v>16497</v>
      </c>
      <c r="F2789" t="s">
        <v>28198</v>
      </c>
      <c r="G2789" t="s">
        <v>28207</v>
      </c>
      <c r="H2789" t="s">
        <v>28215</v>
      </c>
      <c r="I2789" t="s">
        <v>5082</v>
      </c>
      <c r="J2789" t="s">
        <v>30233</v>
      </c>
      <c r="K2789" t="s">
        <v>36743</v>
      </c>
      <c r="M2789" t="s">
        <v>38160</v>
      </c>
      <c r="N2789" t="s">
        <v>40436</v>
      </c>
      <c r="O2789" t="s">
        <v>40437</v>
      </c>
      <c r="P2789">
        <v>0</v>
      </c>
      <c r="Q2789">
        <v>0</v>
      </c>
      <c r="R2789" t="s">
        <v>40439</v>
      </c>
      <c r="S2789" t="s">
        <v>40588</v>
      </c>
      <c r="T2789" t="s">
        <v>42131</v>
      </c>
      <c r="U2789" t="s">
        <v>45058</v>
      </c>
      <c r="W2789" t="s">
        <v>38160</v>
      </c>
      <c r="X2789" t="s">
        <v>40440</v>
      </c>
    </row>
    <row r="2790" spans="1:24">
      <c r="A2790">
        <f>HYPERLINK("https://www.philgeps.gov.ph/GEPSNONPILOT/Tender/SplashBidNoticeAbstractUI.aspx?menuIndex=3&amp;refID=7044563&amp;Result=3","7044563")</f>
        <v>0</v>
      </c>
      <c r="B2790" t="s">
        <v>1105</v>
      </c>
      <c r="C2790" t="s">
        <v>5759</v>
      </c>
      <c r="D2790" t="s">
        <v>16206</v>
      </c>
      <c r="E2790" t="s">
        <v>18819</v>
      </c>
      <c r="F2790" t="s">
        <v>28198</v>
      </c>
      <c r="G2790" t="s">
        <v>28205</v>
      </c>
      <c r="H2790" t="s">
        <v>28215</v>
      </c>
      <c r="I2790" t="s">
        <v>28247</v>
      </c>
      <c r="J2790" t="s">
        <v>28699</v>
      </c>
      <c r="K2790" t="s">
        <v>36692</v>
      </c>
      <c r="M2790" t="s">
        <v>38141</v>
      </c>
      <c r="N2790" t="s">
        <v>40436</v>
      </c>
      <c r="O2790" t="s">
        <v>40437</v>
      </c>
      <c r="P2790">
        <v>0</v>
      </c>
      <c r="Q2790">
        <v>23</v>
      </c>
      <c r="R2790" t="s">
        <v>40439</v>
      </c>
      <c r="S2790" t="s">
        <v>40588</v>
      </c>
      <c r="T2790" t="s">
        <v>42107</v>
      </c>
      <c r="U2790" t="s">
        <v>45059</v>
      </c>
      <c r="V2790" t="s">
        <v>54092</v>
      </c>
      <c r="W2790" t="s">
        <v>38141</v>
      </c>
      <c r="X2790" t="s">
        <v>40440</v>
      </c>
    </row>
    <row r="2791" spans="1:24">
      <c r="A2791">
        <f>HYPERLINK("https://www.philgeps.gov.ph/GEPSNONPILOT/Tender/SplashBidNoticeAbstractUI.aspx?menuIndex=3&amp;refID=7044583&amp;Result=3","7044583")</f>
        <v>0</v>
      </c>
      <c r="B2791" t="s">
        <v>1123</v>
      </c>
      <c r="C2791" t="s">
        <v>5760</v>
      </c>
      <c r="D2791" t="s">
        <v>16192</v>
      </c>
      <c r="E2791" t="s">
        <v>18820</v>
      </c>
      <c r="F2791" t="s">
        <v>28198</v>
      </c>
      <c r="G2791" t="s">
        <v>28206</v>
      </c>
      <c r="H2791" t="s">
        <v>28215</v>
      </c>
      <c r="I2791" t="s">
        <v>4200</v>
      </c>
      <c r="J2791" t="s">
        <v>30234</v>
      </c>
      <c r="K2791" t="s">
        <v>36688</v>
      </c>
      <c r="M2791" t="s">
        <v>38161</v>
      </c>
      <c r="N2791" t="s">
        <v>40436</v>
      </c>
      <c r="O2791" t="s">
        <v>40437</v>
      </c>
      <c r="P2791">
        <v>0</v>
      </c>
      <c r="Q2791">
        <v>0</v>
      </c>
      <c r="R2791" t="s">
        <v>40439</v>
      </c>
      <c r="S2791" t="s">
        <v>40588</v>
      </c>
      <c r="T2791" t="s">
        <v>42129</v>
      </c>
      <c r="U2791" t="s">
        <v>45060</v>
      </c>
      <c r="W2791" t="s">
        <v>38161</v>
      </c>
      <c r="X2791" t="s">
        <v>40440</v>
      </c>
    </row>
    <row r="2792" spans="1:24">
      <c r="A2792">
        <f>HYPERLINK("https://www.philgeps.gov.ph/GEPSNONPILOT/Tender/SplashBidNoticeAbstractUI.aspx?menuIndex=3&amp;refID=7044571&amp;Result=3","7044571")</f>
        <v>0</v>
      </c>
      <c r="B2792" t="s">
        <v>1124</v>
      </c>
      <c r="C2792" t="s">
        <v>5761</v>
      </c>
      <c r="D2792" t="s">
        <v>16188</v>
      </c>
      <c r="E2792" t="s">
        <v>18821</v>
      </c>
      <c r="F2792" t="s">
        <v>28198</v>
      </c>
      <c r="G2792" t="s">
        <v>28210</v>
      </c>
      <c r="H2792" t="s">
        <v>28215</v>
      </c>
      <c r="I2792" t="s">
        <v>5656</v>
      </c>
      <c r="J2792" t="s">
        <v>28352</v>
      </c>
      <c r="K2792" t="s">
        <v>36706</v>
      </c>
      <c r="M2792" t="s">
        <v>38162</v>
      </c>
      <c r="N2792" t="s">
        <v>40436</v>
      </c>
      <c r="O2792" t="s">
        <v>40437</v>
      </c>
      <c r="P2792">
        <v>0</v>
      </c>
      <c r="Q2792">
        <v>0</v>
      </c>
      <c r="R2792" t="s">
        <v>40439</v>
      </c>
      <c r="S2792" t="s">
        <v>40588</v>
      </c>
      <c r="T2792" t="s">
        <v>42161</v>
      </c>
      <c r="U2792" t="s">
        <v>45061</v>
      </c>
      <c r="W2792" t="s">
        <v>38162</v>
      </c>
      <c r="X2792" t="s">
        <v>40440</v>
      </c>
    </row>
    <row r="2793" spans="1:24">
      <c r="A2793">
        <f>HYPERLINK("https://www.philgeps.gov.ph/GEPSNONPILOT/Tender/SplashBidNoticeAbstractUI.aspx?menuIndex=3&amp;refID=7044581&amp;Result=3","7044581")</f>
        <v>0</v>
      </c>
      <c r="B2793" t="s">
        <v>401</v>
      </c>
      <c r="C2793" t="s">
        <v>5762</v>
      </c>
      <c r="D2793" t="s">
        <v>16223</v>
      </c>
      <c r="E2793" t="s">
        <v>17018</v>
      </c>
      <c r="F2793" t="s">
        <v>28198</v>
      </c>
      <c r="G2793" t="s">
        <v>28207</v>
      </c>
      <c r="H2793" t="s">
        <v>28215</v>
      </c>
      <c r="I2793" t="s">
        <v>28279</v>
      </c>
      <c r="J2793" t="s">
        <v>30235</v>
      </c>
      <c r="K2793" t="s">
        <v>36691</v>
      </c>
      <c r="M2793" t="s">
        <v>37382</v>
      </c>
      <c r="N2793" t="s">
        <v>40436</v>
      </c>
      <c r="O2793" t="s">
        <v>40437</v>
      </c>
      <c r="P2793">
        <v>0</v>
      </c>
      <c r="Q2793">
        <v>0</v>
      </c>
      <c r="R2793" t="s">
        <v>40439</v>
      </c>
      <c r="S2793" t="s">
        <v>40588</v>
      </c>
      <c r="T2793" t="s">
        <v>42158</v>
      </c>
      <c r="U2793" t="s">
        <v>45062</v>
      </c>
      <c r="W2793" t="s">
        <v>37382</v>
      </c>
      <c r="X2793" t="s">
        <v>40440</v>
      </c>
    </row>
    <row r="2794" spans="1:24">
      <c r="A2794">
        <f>HYPERLINK("https://www.philgeps.gov.ph/GEPSNONPILOT/Tender/SplashBidNoticeAbstractUI.aspx?menuIndex=3&amp;refID=7044578&amp;Result=3","7044578")</f>
        <v>0</v>
      </c>
      <c r="B2794" t="s">
        <v>1125</v>
      </c>
      <c r="C2794" t="s">
        <v>5763</v>
      </c>
      <c r="D2794" t="s">
        <v>16195</v>
      </c>
      <c r="E2794" t="s">
        <v>18822</v>
      </c>
      <c r="F2794" t="s">
        <v>28198</v>
      </c>
      <c r="G2794" t="s">
        <v>28207</v>
      </c>
      <c r="H2794" t="s">
        <v>28215</v>
      </c>
      <c r="I2794" t="s">
        <v>5100</v>
      </c>
      <c r="J2794" t="s">
        <v>28378</v>
      </c>
      <c r="K2794" t="s">
        <v>36701</v>
      </c>
      <c r="M2794" t="s">
        <v>38163</v>
      </c>
      <c r="N2794" t="s">
        <v>40436</v>
      </c>
      <c r="O2794" t="s">
        <v>40437</v>
      </c>
      <c r="P2794">
        <v>0</v>
      </c>
      <c r="Q2794">
        <v>0</v>
      </c>
      <c r="R2794" t="s">
        <v>40439</v>
      </c>
      <c r="S2794" t="s">
        <v>40588</v>
      </c>
      <c r="T2794" t="s">
        <v>42152</v>
      </c>
      <c r="U2794" t="s">
        <v>45063</v>
      </c>
      <c r="W2794" t="s">
        <v>38163</v>
      </c>
      <c r="X2794" t="s">
        <v>40440</v>
      </c>
    </row>
    <row r="2795" spans="1:24">
      <c r="A2795">
        <f>HYPERLINK("https://www.philgeps.gov.ph/GEPSNONPILOT/Tender/SplashBidNoticeAbstractUI.aspx?menuIndex=3&amp;refID=7044584&amp;Result=3","7044584")</f>
        <v>0</v>
      </c>
      <c r="B2795" t="s">
        <v>1126</v>
      </c>
      <c r="C2795" t="s">
        <v>5764</v>
      </c>
      <c r="D2795" t="s">
        <v>16254</v>
      </c>
      <c r="E2795" t="s">
        <v>18823</v>
      </c>
      <c r="F2795" t="s">
        <v>28198</v>
      </c>
      <c r="G2795" t="s">
        <v>28205</v>
      </c>
      <c r="H2795" t="s">
        <v>28215</v>
      </c>
      <c r="I2795" t="s">
        <v>5100</v>
      </c>
      <c r="J2795" t="s">
        <v>30236</v>
      </c>
      <c r="K2795" t="s">
        <v>36696</v>
      </c>
      <c r="M2795" t="s">
        <v>38164</v>
      </c>
      <c r="N2795" t="s">
        <v>40436</v>
      </c>
      <c r="O2795" t="s">
        <v>40437</v>
      </c>
      <c r="P2795">
        <v>0</v>
      </c>
      <c r="Q2795">
        <v>0</v>
      </c>
      <c r="R2795" t="s">
        <v>40439</v>
      </c>
      <c r="S2795" t="s">
        <v>40588</v>
      </c>
      <c r="T2795" t="s">
        <v>42287</v>
      </c>
      <c r="U2795" t="s">
        <v>45064</v>
      </c>
      <c r="W2795" t="s">
        <v>38164</v>
      </c>
      <c r="X2795" t="s">
        <v>40440</v>
      </c>
    </row>
    <row r="2796" spans="1:24">
      <c r="A2796">
        <f>HYPERLINK("https://www.philgeps.gov.ph/GEPSNONPILOT/Tender/SplashBidNoticeAbstractUI.aspx?menuIndex=3&amp;refID=7044580&amp;Result=3","7044580")</f>
        <v>0</v>
      </c>
      <c r="B2796" t="s">
        <v>1127</v>
      </c>
      <c r="C2796" t="s">
        <v>5765</v>
      </c>
      <c r="D2796" t="s">
        <v>16274</v>
      </c>
      <c r="E2796" t="s">
        <v>18824</v>
      </c>
      <c r="F2796" t="s">
        <v>28198</v>
      </c>
      <c r="G2796" t="s">
        <v>28205</v>
      </c>
      <c r="H2796" t="s">
        <v>28214</v>
      </c>
      <c r="I2796" t="s">
        <v>3797</v>
      </c>
      <c r="J2796" t="s">
        <v>30237</v>
      </c>
      <c r="K2796" t="s">
        <v>36690</v>
      </c>
      <c r="M2796" t="s">
        <v>38165</v>
      </c>
      <c r="N2796" t="s">
        <v>40436</v>
      </c>
      <c r="O2796" t="s">
        <v>40437</v>
      </c>
      <c r="P2796">
        <v>0</v>
      </c>
      <c r="Q2796">
        <v>0</v>
      </c>
      <c r="R2796" t="s">
        <v>40439</v>
      </c>
      <c r="S2796" t="s">
        <v>40588</v>
      </c>
      <c r="T2796" t="s">
        <v>42234</v>
      </c>
      <c r="U2796" t="s">
        <v>45065</v>
      </c>
      <c r="W2796" t="s">
        <v>38165</v>
      </c>
      <c r="X2796" t="s">
        <v>40440</v>
      </c>
    </row>
    <row r="2797" spans="1:24">
      <c r="A2797">
        <f>HYPERLINK("https://www.philgeps.gov.ph/GEPSNONPILOT/Tender/SplashBidNoticeAbstractUI.aspx?menuIndex=3&amp;refID=7044586&amp;Result=3","7044586")</f>
        <v>0</v>
      </c>
      <c r="B2797" t="s">
        <v>175</v>
      </c>
      <c r="C2797" t="s">
        <v>5766</v>
      </c>
      <c r="D2797" t="s">
        <v>16244</v>
      </c>
      <c r="E2797" t="s">
        <v>18825</v>
      </c>
      <c r="F2797" t="s">
        <v>28198</v>
      </c>
      <c r="G2797" t="s">
        <v>28206</v>
      </c>
      <c r="H2797" t="s">
        <v>28215</v>
      </c>
      <c r="I2797" t="s">
        <v>4321</v>
      </c>
      <c r="J2797" t="s">
        <v>30238</v>
      </c>
      <c r="K2797" t="s">
        <v>36688</v>
      </c>
      <c r="M2797" t="s">
        <v>37149</v>
      </c>
      <c r="N2797" t="s">
        <v>40436</v>
      </c>
      <c r="O2797" t="s">
        <v>40437</v>
      </c>
      <c r="P2797">
        <v>0</v>
      </c>
      <c r="Q2797">
        <v>0</v>
      </c>
      <c r="R2797" t="s">
        <v>40439</v>
      </c>
      <c r="S2797" t="s">
        <v>40588</v>
      </c>
      <c r="T2797" t="s">
        <v>42185</v>
      </c>
      <c r="U2797" t="s">
        <v>42905</v>
      </c>
      <c r="W2797" t="s">
        <v>37149</v>
      </c>
      <c r="X2797" t="s">
        <v>40440</v>
      </c>
    </row>
    <row r="2798" spans="1:24">
      <c r="A2798">
        <f>HYPERLINK("https://www.philgeps.gov.ph/GEPSNONPILOT/Tender/SplashBidNoticeAbstractUI.aspx?menuIndex=3&amp;refID=7044568&amp;Result=3","7044568")</f>
        <v>0</v>
      </c>
      <c r="B2798" t="s">
        <v>1128</v>
      </c>
      <c r="C2798" t="s">
        <v>5767</v>
      </c>
      <c r="D2798" t="s">
        <v>16210</v>
      </c>
      <c r="E2798" t="s">
        <v>18826</v>
      </c>
      <c r="F2798" t="s">
        <v>28198</v>
      </c>
      <c r="G2798" t="s">
        <v>28207</v>
      </c>
      <c r="H2798" t="s">
        <v>28215</v>
      </c>
      <c r="I2798" t="s">
        <v>5100</v>
      </c>
      <c r="J2798" t="s">
        <v>28361</v>
      </c>
      <c r="K2798" t="s">
        <v>36691</v>
      </c>
      <c r="M2798" t="s">
        <v>38166</v>
      </c>
      <c r="N2798" t="s">
        <v>40436</v>
      </c>
      <c r="O2798" t="s">
        <v>40437</v>
      </c>
      <c r="P2798">
        <v>0</v>
      </c>
      <c r="Q2798">
        <v>0</v>
      </c>
      <c r="R2798" t="s">
        <v>40439</v>
      </c>
      <c r="S2798" t="s">
        <v>40588</v>
      </c>
      <c r="T2798" t="s">
        <v>42131</v>
      </c>
      <c r="U2798" t="s">
        <v>45066</v>
      </c>
      <c r="W2798" t="s">
        <v>38166</v>
      </c>
      <c r="X2798" t="s">
        <v>40440</v>
      </c>
    </row>
    <row r="2799" spans="1:24">
      <c r="A2799">
        <f>HYPERLINK("https://www.philgeps.gov.ph/GEPSNONPILOT/Tender/SplashBidNoticeAbstractUI.aspx?menuIndex=3&amp;refID=7044579&amp;Result=3","7044579")</f>
        <v>0</v>
      </c>
      <c r="B2799" t="s">
        <v>656</v>
      </c>
      <c r="C2799" t="s">
        <v>5768</v>
      </c>
      <c r="E2799" t="s">
        <v>18827</v>
      </c>
      <c r="F2799" t="s">
        <v>28198</v>
      </c>
      <c r="G2799" t="s">
        <v>28205</v>
      </c>
      <c r="H2799" t="s">
        <v>28214</v>
      </c>
      <c r="I2799" t="s">
        <v>3797</v>
      </c>
      <c r="J2799" t="s">
        <v>30239</v>
      </c>
      <c r="K2799" t="s">
        <v>36694</v>
      </c>
      <c r="M2799" t="s">
        <v>37652</v>
      </c>
      <c r="N2799" t="s">
        <v>40436</v>
      </c>
      <c r="O2799" t="s">
        <v>40437</v>
      </c>
      <c r="P2799">
        <v>0</v>
      </c>
      <c r="Q2799">
        <v>0</v>
      </c>
      <c r="R2799" t="s">
        <v>40439</v>
      </c>
      <c r="S2799" t="s">
        <v>40588</v>
      </c>
      <c r="T2799" t="s">
        <v>42106</v>
      </c>
      <c r="U2799" t="s">
        <v>45067</v>
      </c>
      <c r="W2799" t="s">
        <v>37652</v>
      </c>
      <c r="X2799" t="s">
        <v>40440</v>
      </c>
    </row>
    <row r="2800" spans="1:24">
      <c r="A2800">
        <f>HYPERLINK("https://www.philgeps.gov.ph/GEPSNONPILOT/Tender/SplashBidNoticeAbstractUI.aspx?menuIndex=3&amp;refID=7044599&amp;Result=3","7044599")</f>
        <v>0</v>
      </c>
      <c r="B2800" t="s">
        <v>1129</v>
      </c>
      <c r="C2800" t="s">
        <v>5769</v>
      </c>
      <c r="D2800" t="s">
        <v>16199</v>
      </c>
      <c r="E2800" t="s">
        <v>18828</v>
      </c>
      <c r="F2800" t="s">
        <v>28198</v>
      </c>
      <c r="G2800" t="s">
        <v>28207</v>
      </c>
      <c r="H2800" t="s">
        <v>28215</v>
      </c>
      <c r="I2800" t="s">
        <v>28234</v>
      </c>
      <c r="J2800" t="s">
        <v>28645</v>
      </c>
      <c r="K2800" t="s">
        <v>36687</v>
      </c>
      <c r="M2800" t="s">
        <v>38167</v>
      </c>
      <c r="N2800" t="s">
        <v>40436</v>
      </c>
      <c r="O2800" t="s">
        <v>40437</v>
      </c>
      <c r="P2800">
        <v>0</v>
      </c>
      <c r="Q2800">
        <v>7</v>
      </c>
      <c r="R2800" t="s">
        <v>40439</v>
      </c>
      <c r="S2800" t="s">
        <v>40588</v>
      </c>
      <c r="T2800" t="s">
        <v>42190</v>
      </c>
      <c r="U2800" t="s">
        <v>45068</v>
      </c>
      <c r="W2800" t="s">
        <v>38167</v>
      </c>
      <c r="X2800" t="s">
        <v>40440</v>
      </c>
    </row>
    <row r="2801" spans="1:24">
      <c r="A2801">
        <f>HYPERLINK("https://www.philgeps.gov.ph/GEPSNONPILOT/Tender/SplashBidNoticeAbstractUI.aspx?menuIndex=3&amp;refID=7044572&amp;Result=3","7044572")</f>
        <v>0</v>
      </c>
      <c r="B2801" t="s">
        <v>65</v>
      </c>
      <c r="C2801" t="s">
        <v>5770</v>
      </c>
      <c r="D2801" t="s">
        <v>16210</v>
      </c>
      <c r="E2801" t="s">
        <v>18829</v>
      </c>
      <c r="F2801" t="s">
        <v>28198</v>
      </c>
      <c r="G2801" t="s">
        <v>28207</v>
      </c>
      <c r="H2801" t="s">
        <v>28215</v>
      </c>
      <c r="I2801" t="s">
        <v>28253</v>
      </c>
      <c r="J2801" t="s">
        <v>30240</v>
      </c>
      <c r="K2801" t="s">
        <v>36689</v>
      </c>
      <c r="M2801" t="s">
        <v>37789</v>
      </c>
      <c r="N2801" t="s">
        <v>40436</v>
      </c>
      <c r="O2801" t="s">
        <v>40437</v>
      </c>
      <c r="P2801">
        <v>0</v>
      </c>
      <c r="Q2801">
        <v>0</v>
      </c>
      <c r="R2801" t="s">
        <v>40439</v>
      </c>
      <c r="S2801" t="s">
        <v>40588</v>
      </c>
      <c r="T2801" t="s">
        <v>42134</v>
      </c>
      <c r="U2801" t="s">
        <v>45069</v>
      </c>
      <c r="W2801" t="s">
        <v>37789</v>
      </c>
      <c r="X2801" t="s">
        <v>40440</v>
      </c>
    </row>
    <row r="2802" spans="1:24">
      <c r="A2802">
        <f>HYPERLINK("https://www.philgeps.gov.ph/GEPSNONPILOT/Tender/SplashBidNoticeAbstractUI.aspx?menuIndex=3&amp;refID=7044596&amp;Result=3","7044596")</f>
        <v>0</v>
      </c>
      <c r="B2802" t="s">
        <v>1130</v>
      </c>
      <c r="C2802" t="s">
        <v>5771</v>
      </c>
      <c r="D2802" t="s">
        <v>16246</v>
      </c>
      <c r="E2802" t="s">
        <v>16834</v>
      </c>
      <c r="F2802" t="s">
        <v>28198</v>
      </c>
      <c r="G2802" t="s">
        <v>28205</v>
      </c>
      <c r="H2802" t="s">
        <v>28215</v>
      </c>
      <c r="I2802" t="s">
        <v>5100</v>
      </c>
      <c r="J2802" t="s">
        <v>28818</v>
      </c>
      <c r="K2802" t="s">
        <v>36715</v>
      </c>
      <c r="M2802" t="s">
        <v>38168</v>
      </c>
      <c r="N2802" t="s">
        <v>40436</v>
      </c>
      <c r="O2802" t="s">
        <v>40437</v>
      </c>
      <c r="P2802">
        <v>0</v>
      </c>
      <c r="Q2802">
        <v>0</v>
      </c>
      <c r="R2802" t="s">
        <v>40439</v>
      </c>
      <c r="S2802" t="s">
        <v>40588</v>
      </c>
      <c r="T2802" t="s">
        <v>42123</v>
      </c>
      <c r="U2802" t="s">
        <v>45070</v>
      </c>
      <c r="V2802" t="s">
        <v>53826</v>
      </c>
      <c r="W2802" t="s">
        <v>38168</v>
      </c>
      <c r="X2802" t="s">
        <v>40440</v>
      </c>
    </row>
    <row r="2803" spans="1:24">
      <c r="A2803">
        <f>HYPERLINK("https://www.philgeps.gov.ph/GEPSNONPILOT/Tender/SplashBidNoticeAbstractUI.aspx?menuIndex=3&amp;refID=7044574&amp;Result=3","7044574")</f>
        <v>0</v>
      </c>
      <c r="B2803" t="s">
        <v>100</v>
      </c>
      <c r="C2803" t="s">
        <v>5772</v>
      </c>
      <c r="D2803" t="s">
        <v>16228</v>
      </c>
      <c r="E2803" t="s">
        <v>18830</v>
      </c>
      <c r="F2803" t="s">
        <v>28198</v>
      </c>
      <c r="G2803" t="s">
        <v>28205</v>
      </c>
      <c r="H2803" t="s">
        <v>28215</v>
      </c>
      <c r="I2803" t="s">
        <v>4321</v>
      </c>
      <c r="J2803" t="s">
        <v>30241</v>
      </c>
      <c r="K2803" t="s">
        <v>36701</v>
      </c>
      <c r="M2803" t="s">
        <v>38133</v>
      </c>
      <c r="N2803" t="s">
        <v>40436</v>
      </c>
      <c r="O2803" t="s">
        <v>40437</v>
      </c>
      <c r="P2803">
        <v>0</v>
      </c>
      <c r="Q2803">
        <v>0</v>
      </c>
      <c r="R2803" t="s">
        <v>40439</v>
      </c>
      <c r="S2803" t="s">
        <v>40588</v>
      </c>
      <c r="T2803" t="s">
        <v>42134</v>
      </c>
      <c r="U2803" t="s">
        <v>42767</v>
      </c>
      <c r="V2803" t="s">
        <v>53798</v>
      </c>
      <c r="W2803" t="s">
        <v>38133</v>
      </c>
      <c r="X2803" t="s">
        <v>40440</v>
      </c>
    </row>
    <row r="2804" spans="1:24">
      <c r="A2804">
        <f>HYPERLINK("https://www.philgeps.gov.ph/GEPSNONPILOT/Tender/SplashBidNoticeAbstractUI.aspx?menuIndex=3&amp;refID=7044591&amp;Result=3","7044591")</f>
        <v>0</v>
      </c>
      <c r="B2804" t="s">
        <v>463</v>
      </c>
      <c r="C2804" t="s">
        <v>5773</v>
      </c>
      <c r="D2804" t="s">
        <v>16203</v>
      </c>
      <c r="E2804" t="s">
        <v>18831</v>
      </c>
      <c r="F2804" t="s">
        <v>28198</v>
      </c>
      <c r="G2804" t="s">
        <v>28209</v>
      </c>
      <c r="H2804" t="s">
        <v>28214</v>
      </c>
      <c r="I2804" t="s">
        <v>3797</v>
      </c>
      <c r="J2804" t="s">
        <v>28398</v>
      </c>
      <c r="K2804" t="s">
        <v>36694</v>
      </c>
      <c r="M2804" t="s">
        <v>37448</v>
      </c>
      <c r="N2804" t="s">
        <v>40436</v>
      </c>
      <c r="O2804" t="s">
        <v>40437</v>
      </c>
      <c r="P2804">
        <v>0</v>
      </c>
      <c r="Q2804">
        <v>0</v>
      </c>
      <c r="R2804" t="s">
        <v>40439</v>
      </c>
      <c r="S2804" t="s">
        <v>40588</v>
      </c>
      <c r="T2804" t="s">
        <v>42218</v>
      </c>
      <c r="U2804" t="s">
        <v>45071</v>
      </c>
      <c r="V2804" t="s">
        <v>54093</v>
      </c>
      <c r="W2804" t="s">
        <v>37448</v>
      </c>
      <c r="X2804" t="s">
        <v>40440</v>
      </c>
    </row>
    <row r="2805" spans="1:24">
      <c r="A2805">
        <f>HYPERLINK("https://www.philgeps.gov.ph/GEPSNONPILOT/Tender/SplashBidNoticeAbstractUI.aspx?menuIndex=3&amp;refID=7044598&amp;Result=3","7044598")</f>
        <v>0</v>
      </c>
      <c r="B2805" t="s">
        <v>1108</v>
      </c>
      <c r="C2805" t="s">
        <v>5774</v>
      </c>
      <c r="D2805" t="s">
        <v>16193</v>
      </c>
      <c r="E2805" t="s">
        <v>18832</v>
      </c>
      <c r="F2805" t="s">
        <v>28198</v>
      </c>
      <c r="G2805" t="s">
        <v>28205</v>
      </c>
      <c r="H2805" t="s">
        <v>28215</v>
      </c>
      <c r="I2805" t="s">
        <v>5100</v>
      </c>
      <c r="J2805" t="s">
        <v>30242</v>
      </c>
      <c r="K2805" t="s">
        <v>36707</v>
      </c>
      <c r="M2805" t="s">
        <v>38144</v>
      </c>
      <c r="N2805" t="s">
        <v>40436</v>
      </c>
      <c r="O2805" t="s">
        <v>40437</v>
      </c>
      <c r="P2805">
        <v>0</v>
      </c>
      <c r="Q2805">
        <v>0</v>
      </c>
      <c r="R2805" t="s">
        <v>40439</v>
      </c>
      <c r="S2805" t="s">
        <v>40588</v>
      </c>
      <c r="T2805" t="s">
        <v>42183</v>
      </c>
      <c r="U2805" t="s">
        <v>45072</v>
      </c>
      <c r="W2805" t="s">
        <v>38144</v>
      </c>
      <c r="X2805" t="s">
        <v>40440</v>
      </c>
    </row>
    <row r="2806" spans="1:24">
      <c r="A2806">
        <f>HYPERLINK("https://www.philgeps.gov.ph/GEPSNONPILOT/Tender/SplashBidNoticeAbstractUI.aspx?menuIndex=3&amp;refID=7044569&amp;Result=3","7044569")</f>
        <v>0</v>
      </c>
      <c r="B2806" t="s">
        <v>390</v>
      </c>
      <c r="C2806" t="s">
        <v>5775</v>
      </c>
      <c r="D2806" t="s">
        <v>16235</v>
      </c>
      <c r="E2806" t="s">
        <v>18833</v>
      </c>
      <c r="F2806" t="s">
        <v>28198</v>
      </c>
      <c r="G2806" t="s">
        <v>28207</v>
      </c>
      <c r="H2806" t="s">
        <v>28215</v>
      </c>
      <c r="I2806" t="s">
        <v>28234</v>
      </c>
      <c r="J2806" t="s">
        <v>30243</v>
      </c>
      <c r="K2806" t="s">
        <v>36689</v>
      </c>
      <c r="M2806" t="s">
        <v>37370</v>
      </c>
      <c r="N2806" t="s">
        <v>40436</v>
      </c>
      <c r="O2806" t="s">
        <v>40437</v>
      </c>
      <c r="P2806">
        <v>0</v>
      </c>
      <c r="Q2806">
        <v>3</v>
      </c>
      <c r="R2806" t="s">
        <v>40439</v>
      </c>
      <c r="S2806" t="s">
        <v>40588</v>
      </c>
      <c r="T2806" t="s">
        <v>42169</v>
      </c>
      <c r="U2806" t="s">
        <v>43768</v>
      </c>
      <c r="W2806" t="s">
        <v>37370</v>
      </c>
      <c r="X2806" t="s">
        <v>40440</v>
      </c>
    </row>
    <row r="2807" spans="1:24">
      <c r="A2807">
        <f>HYPERLINK("https://www.philgeps.gov.ph/GEPSNONPILOT/Tender/SplashBidNoticeAbstractUI.aspx?menuIndex=3&amp;refID=7044595&amp;Result=3","7044595")</f>
        <v>0</v>
      </c>
      <c r="B2807" t="s">
        <v>1131</v>
      </c>
      <c r="C2807" t="s">
        <v>5776</v>
      </c>
      <c r="D2807" t="s">
        <v>16194</v>
      </c>
      <c r="E2807" t="s">
        <v>18664</v>
      </c>
      <c r="F2807" t="s">
        <v>28198</v>
      </c>
      <c r="G2807" t="s">
        <v>28207</v>
      </c>
      <c r="H2807" t="s">
        <v>28215</v>
      </c>
      <c r="I2807" t="s">
        <v>4200</v>
      </c>
      <c r="J2807" t="s">
        <v>28345</v>
      </c>
      <c r="K2807" t="s">
        <v>36706</v>
      </c>
      <c r="M2807" t="s">
        <v>38169</v>
      </c>
      <c r="N2807" t="s">
        <v>40436</v>
      </c>
      <c r="O2807" t="s">
        <v>40437</v>
      </c>
      <c r="P2807">
        <v>0</v>
      </c>
      <c r="Q2807">
        <v>2</v>
      </c>
      <c r="R2807" t="s">
        <v>40439</v>
      </c>
      <c r="S2807" t="s">
        <v>40588</v>
      </c>
      <c r="T2807" t="s">
        <v>42160</v>
      </c>
      <c r="U2807" t="s">
        <v>45073</v>
      </c>
      <c r="W2807" t="s">
        <v>38169</v>
      </c>
      <c r="X2807" t="s">
        <v>40440</v>
      </c>
    </row>
    <row r="2808" spans="1:24">
      <c r="A2808">
        <f>HYPERLINK("https://www.philgeps.gov.ph/GEPSNONPILOT/Tender/SplashBidNoticeAbstractUI.aspx?menuIndex=3&amp;refID=7044589&amp;Result=3","7044589")</f>
        <v>0</v>
      </c>
      <c r="B2808" t="s">
        <v>1063</v>
      </c>
      <c r="C2808" t="s">
        <v>5777</v>
      </c>
      <c r="D2808" t="s">
        <v>16188</v>
      </c>
      <c r="E2808" t="s">
        <v>18834</v>
      </c>
      <c r="F2808" t="s">
        <v>28198</v>
      </c>
      <c r="G2808" t="s">
        <v>28207</v>
      </c>
      <c r="H2808" t="s">
        <v>28215</v>
      </c>
      <c r="I2808" t="s">
        <v>28258</v>
      </c>
      <c r="J2808" t="s">
        <v>30244</v>
      </c>
      <c r="K2808" t="s">
        <v>36689</v>
      </c>
      <c r="M2808" t="s">
        <v>38096</v>
      </c>
      <c r="N2808" t="s">
        <v>40436</v>
      </c>
      <c r="O2808" t="s">
        <v>40437</v>
      </c>
      <c r="P2808">
        <v>0</v>
      </c>
      <c r="Q2808">
        <v>9</v>
      </c>
      <c r="R2808" t="s">
        <v>40439</v>
      </c>
      <c r="S2808" t="s">
        <v>40588</v>
      </c>
      <c r="T2808" t="s">
        <v>42318</v>
      </c>
      <c r="U2808" t="s">
        <v>45074</v>
      </c>
      <c r="W2808" t="s">
        <v>38096</v>
      </c>
      <c r="X2808" t="s">
        <v>40440</v>
      </c>
    </row>
    <row r="2809" spans="1:24">
      <c r="A2809">
        <f>HYPERLINK("https://www.philgeps.gov.ph/GEPSNONPILOT/Tender/SplashBidNoticeAbstractUI.aspx?menuIndex=3&amp;refID=7044588&amp;Result=3","7044588")</f>
        <v>0</v>
      </c>
      <c r="B2809" t="s">
        <v>100</v>
      </c>
      <c r="C2809" t="s">
        <v>5778</v>
      </c>
      <c r="D2809" t="s">
        <v>16228</v>
      </c>
      <c r="E2809" t="s">
        <v>18835</v>
      </c>
      <c r="F2809" t="s">
        <v>28198</v>
      </c>
      <c r="G2809" t="s">
        <v>28205</v>
      </c>
      <c r="H2809" t="s">
        <v>28215</v>
      </c>
      <c r="I2809" t="s">
        <v>4321</v>
      </c>
      <c r="J2809" t="s">
        <v>30245</v>
      </c>
      <c r="K2809" t="s">
        <v>36701</v>
      </c>
      <c r="M2809" t="s">
        <v>38133</v>
      </c>
      <c r="N2809" t="s">
        <v>40436</v>
      </c>
      <c r="O2809" t="s">
        <v>40437</v>
      </c>
      <c r="P2809">
        <v>0</v>
      </c>
      <c r="Q2809">
        <v>0</v>
      </c>
      <c r="R2809" t="s">
        <v>40439</v>
      </c>
      <c r="S2809" t="s">
        <v>40588</v>
      </c>
      <c r="T2809" t="s">
        <v>42134</v>
      </c>
      <c r="U2809" t="s">
        <v>42767</v>
      </c>
      <c r="V2809" t="s">
        <v>53798</v>
      </c>
      <c r="W2809" t="s">
        <v>38133</v>
      </c>
      <c r="X2809" t="s">
        <v>40440</v>
      </c>
    </row>
    <row r="2810" spans="1:24">
      <c r="A2810">
        <f>HYPERLINK("https://www.philgeps.gov.ph/GEPSNONPILOT/Tender/SplashBidNoticeAbstractUI.aspx?menuIndex=3&amp;refID=7044592&amp;Result=3","7044592")</f>
        <v>0</v>
      </c>
      <c r="B2810" t="s">
        <v>1089</v>
      </c>
      <c r="C2810" t="s">
        <v>5779</v>
      </c>
      <c r="D2810" t="s">
        <v>16210</v>
      </c>
      <c r="E2810" t="s">
        <v>18836</v>
      </c>
      <c r="F2810" t="s">
        <v>28198</v>
      </c>
      <c r="G2810" t="s">
        <v>28205</v>
      </c>
      <c r="H2810" t="s">
        <v>28215</v>
      </c>
      <c r="I2810" t="s">
        <v>4200</v>
      </c>
      <c r="J2810" t="s">
        <v>28415</v>
      </c>
      <c r="K2810" t="s">
        <v>36696</v>
      </c>
      <c r="M2810" t="s">
        <v>38124</v>
      </c>
      <c r="N2810" t="s">
        <v>40436</v>
      </c>
      <c r="O2810" t="s">
        <v>40437</v>
      </c>
      <c r="P2810">
        <v>0</v>
      </c>
      <c r="Q2810">
        <v>0</v>
      </c>
      <c r="R2810" t="s">
        <v>40439</v>
      </c>
      <c r="S2810" t="s">
        <v>40588</v>
      </c>
      <c r="T2810" t="s">
        <v>42335</v>
      </c>
      <c r="U2810" t="s">
        <v>45075</v>
      </c>
      <c r="W2810" t="s">
        <v>38124</v>
      </c>
      <c r="X2810" t="s">
        <v>40440</v>
      </c>
    </row>
    <row r="2811" spans="1:24">
      <c r="A2811">
        <f>HYPERLINK("https://www.philgeps.gov.ph/GEPSNONPILOT/Tender/SplashBidNoticeAbstractUI.aspx?menuIndex=3&amp;refID=7044593&amp;Result=3","7044593")</f>
        <v>0</v>
      </c>
      <c r="B2811" t="s">
        <v>121</v>
      </c>
      <c r="C2811" t="s">
        <v>5780</v>
      </c>
      <c r="D2811" t="s">
        <v>16207</v>
      </c>
      <c r="E2811" t="s">
        <v>18837</v>
      </c>
      <c r="F2811" t="s">
        <v>28198</v>
      </c>
      <c r="G2811" t="s">
        <v>28207</v>
      </c>
      <c r="H2811" t="s">
        <v>28215</v>
      </c>
      <c r="I2811" t="s">
        <v>28225</v>
      </c>
      <c r="J2811" t="s">
        <v>30246</v>
      </c>
      <c r="K2811" t="s">
        <v>36706</v>
      </c>
      <c r="M2811" t="s">
        <v>38147</v>
      </c>
      <c r="N2811" t="s">
        <v>40436</v>
      </c>
      <c r="O2811" t="s">
        <v>40437</v>
      </c>
      <c r="P2811">
        <v>0</v>
      </c>
      <c r="Q2811">
        <v>1</v>
      </c>
      <c r="R2811" t="s">
        <v>40439</v>
      </c>
      <c r="S2811" t="s">
        <v>40588</v>
      </c>
      <c r="T2811" t="s">
        <v>42158</v>
      </c>
      <c r="U2811" t="s">
        <v>45076</v>
      </c>
      <c r="W2811" t="s">
        <v>38147</v>
      </c>
      <c r="X2811" t="s">
        <v>40440</v>
      </c>
    </row>
    <row r="2812" spans="1:24">
      <c r="A2812">
        <f>HYPERLINK("https://www.philgeps.gov.ph/GEPSNONPILOT/Tender/SplashBidNoticeAbstractUI.aspx?menuIndex=3&amp;refID=7044587&amp;Result=3","7044587")</f>
        <v>0</v>
      </c>
      <c r="B2812" t="s">
        <v>105</v>
      </c>
      <c r="C2812" t="s">
        <v>5781</v>
      </c>
      <c r="D2812" t="s">
        <v>16233</v>
      </c>
      <c r="E2812" t="s">
        <v>18838</v>
      </c>
      <c r="F2812" t="s">
        <v>28198</v>
      </c>
      <c r="G2812" t="s">
        <v>28206</v>
      </c>
      <c r="H2812" t="s">
        <v>28215</v>
      </c>
      <c r="I2812" t="s">
        <v>9499</v>
      </c>
      <c r="J2812" t="s">
        <v>28904</v>
      </c>
      <c r="K2812" t="s">
        <v>36701</v>
      </c>
      <c r="M2812" t="s">
        <v>37961</v>
      </c>
      <c r="N2812" t="s">
        <v>40436</v>
      </c>
      <c r="O2812" t="s">
        <v>40437</v>
      </c>
      <c r="P2812">
        <v>0</v>
      </c>
      <c r="Q2812">
        <v>4</v>
      </c>
      <c r="R2812" t="s">
        <v>40439</v>
      </c>
      <c r="S2812" t="s">
        <v>40588</v>
      </c>
      <c r="T2812" t="s">
        <v>42133</v>
      </c>
      <c r="U2812" t="s">
        <v>45077</v>
      </c>
      <c r="V2812" t="s">
        <v>54022</v>
      </c>
      <c r="W2812" t="s">
        <v>37961</v>
      </c>
      <c r="X2812" t="s">
        <v>40440</v>
      </c>
    </row>
    <row r="2813" spans="1:24">
      <c r="A2813">
        <f>HYPERLINK("https://www.philgeps.gov.ph/GEPSNONPILOT/Tender/SplashBidNoticeAbstractUI.aspx?menuIndex=3&amp;refID=7044607&amp;Result=3","7044607")</f>
        <v>0</v>
      </c>
      <c r="B2813" t="s">
        <v>428</v>
      </c>
      <c r="C2813" t="s">
        <v>5782</v>
      </c>
      <c r="D2813" t="s">
        <v>16219</v>
      </c>
      <c r="E2813" t="s">
        <v>18839</v>
      </c>
      <c r="F2813" t="s">
        <v>28200</v>
      </c>
      <c r="G2813" t="s">
        <v>28205</v>
      </c>
      <c r="H2813" t="s">
        <v>28215</v>
      </c>
      <c r="I2813" t="s">
        <v>5100</v>
      </c>
      <c r="J2813" t="s">
        <v>30247</v>
      </c>
      <c r="K2813" t="s">
        <v>36687</v>
      </c>
      <c r="M2813" t="s">
        <v>37411</v>
      </c>
      <c r="N2813" t="s">
        <v>40436</v>
      </c>
      <c r="O2813" t="s">
        <v>40437</v>
      </c>
      <c r="P2813">
        <v>0</v>
      </c>
      <c r="Q2813">
        <v>0</v>
      </c>
      <c r="R2813" t="s">
        <v>40439</v>
      </c>
      <c r="S2813" t="s">
        <v>40588</v>
      </c>
      <c r="T2813" t="s">
        <v>42168</v>
      </c>
      <c r="U2813" t="s">
        <v>45078</v>
      </c>
      <c r="W2813" t="s">
        <v>37411</v>
      </c>
      <c r="X2813" t="s">
        <v>40440</v>
      </c>
    </row>
    <row r="2814" spans="1:24">
      <c r="A2814">
        <f>HYPERLINK("https://www.philgeps.gov.ph/GEPSNONPILOT/Tender/SplashBidNoticeAbstractUI.aspx?menuIndex=3&amp;refID=7044602&amp;Result=3","7044602")</f>
        <v>0</v>
      </c>
      <c r="B2814" t="s">
        <v>72</v>
      </c>
      <c r="C2814" t="s">
        <v>5783</v>
      </c>
      <c r="D2814" t="s">
        <v>16216</v>
      </c>
      <c r="E2814" t="s">
        <v>18840</v>
      </c>
      <c r="F2814" t="s">
        <v>28198</v>
      </c>
      <c r="G2814" t="s">
        <v>28207</v>
      </c>
      <c r="H2814" t="s">
        <v>28215</v>
      </c>
      <c r="I2814" t="s">
        <v>28257</v>
      </c>
      <c r="J2814" t="s">
        <v>28360</v>
      </c>
      <c r="K2814" t="s">
        <v>36701</v>
      </c>
      <c r="M2814" t="s">
        <v>38170</v>
      </c>
      <c r="N2814" t="s">
        <v>40436</v>
      </c>
      <c r="O2814" t="s">
        <v>40437</v>
      </c>
      <c r="P2814">
        <v>0</v>
      </c>
      <c r="Q2814">
        <v>4</v>
      </c>
      <c r="R2814" t="s">
        <v>40439</v>
      </c>
      <c r="S2814" t="s">
        <v>40588</v>
      </c>
      <c r="T2814" t="s">
        <v>42218</v>
      </c>
      <c r="U2814" t="s">
        <v>45079</v>
      </c>
      <c r="W2814" t="s">
        <v>38170</v>
      </c>
      <c r="X2814" t="s">
        <v>40440</v>
      </c>
    </row>
    <row r="2815" spans="1:24">
      <c r="A2815">
        <f>HYPERLINK("https://www.philgeps.gov.ph/GEPSNONPILOT/Tender/SplashBidNoticeAbstractUI.aspx?menuIndex=3&amp;refID=7044610&amp;Result=3","7044610")</f>
        <v>0</v>
      </c>
      <c r="B2815" t="s">
        <v>100</v>
      </c>
      <c r="C2815" t="s">
        <v>5784</v>
      </c>
      <c r="D2815" t="s">
        <v>16228</v>
      </c>
      <c r="E2815" t="s">
        <v>18841</v>
      </c>
      <c r="F2815" t="s">
        <v>28198</v>
      </c>
      <c r="G2815" t="s">
        <v>28205</v>
      </c>
      <c r="H2815" t="s">
        <v>28215</v>
      </c>
      <c r="I2815" t="s">
        <v>4321</v>
      </c>
      <c r="J2815" t="s">
        <v>30248</v>
      </c>
      <c r="K2815" t="s">
        <v>36701</v>
      </c>
      <c r="M2815" t="s">
        <v>38133</v>
      </c>
      <c r="N2815" t="s">
        <v>40436</v>
      </c>
      <c r="O2815" t="s">
        <v>40437</v>
      </c>
      <c r="P2815">
        <v>0</v>
      </c>
      <c r="Q2815">
        <v>0</v>
      </c>
      <c r="R2815" t="s">
        <v>40439</v>
      </c>
      <c r="S2815" t="s">
        <v>40588</v>
      </c>
      <c r="T2815" t="s">
        <v>42134</v>
      </c>
      <c r="U2815" t="s">
        <v>42767</v>
      </c>
      <c r="V2815" t="s">
        <v>53798</v>
      </c>
      <c r="W2815" t="s">
        <v>38133</v>
      </c>
      <c r="X2815" t="s">
        <v>40440</v>
      </c>
    </row>
    <row r="2816" spans="1:24">
      <c r="A2816">
        <f>HYPERLINK("https://www.philgeps.gov.ph/GEPSNONPILOT/Tender/SplashBidNoticeAbstractUI.aspx?menuIndex=3&amp;refID=7044601&amp;Result=3","7044601")</f>
        <v>0</v>
      </c>
      <c r="B2816" t="s">
        <v>1132</v>
      </c>
      <c r="C2816" t="s">
        <v>5785</v>
      </c>
      <c r="D2816" t="s">
        <v>16272</v>
      </c>
      <c r="E2816" t="s">
        <v>18842</v>
      </c>
      <c r="F2816" t="s">
        <v>28198</v>
      </c>
      <c r="G2816" t="s">
        <v>28207</v>
      </c>
      <c r="H2816" t="s">
        <v>28215</v>
      </c>
      <c r="I2816" t="s">
        <v>28219</v>
      </c>
      <c r="J2816" t="s">
        <v>30249</v>
      </c>
      <c r="K2816" t="s">
        <v>36707</v>
      </c>
      <c r="M2816" t="s">
        <v>38171</v>
      </c>
      <c r="N2816" t="s">
        <v>40436</v>
      </c>
      <c r="O2816" t="s">
        <v>40437</v>
      </c>
      <c r="P2816">
        <v>0</v>
      </c>
      <c r="Q2816">
        <v>0</v>
      </c>
      <c r="R2816" t="s">
        <v>40439</v>
      </c>
      <c r="S2816" t="s">
        <v>40588</v>
      </c>
      <c r="T2816" t="s">
        <v>42336</v>
      </c>
      <c r="U2816" t="s">
        <v>45080</v>
      </c>
      <c r="W2816" t="s">
        <v>55473</v>
      </c>
      <c r="X2816" t="s">
        <v>40440</v>
      </c>
    </row>
    <row r="2817" spans="1:24">
      <c r="A2817">
        <f>HYPERLINK("https://www.philgeps.gov.ph/GEPSNONPILOT/Tender/SplashBidNoticeAbstractUI.aspx?menuIndex=3&amp;refID=7044612&amp;Result=3","7044612")</f>
        <v>0</v>
      </c>
      <c r="B2817" t="s">
        <v>377</v>
      </c>
      <c r="C2817" t="s">
        <v>5786</v>
      </c>
      <c r="D2817" t="s">
        <v>16204</v>
      </c>
      <c r="E2817" t="s">
        <v>18843</v>
      </c>
      <c r="F2817" t="s">
        <v>28198</v>
      </c>
      <c r="G2817" t="s">
        <v>28210</v>
      </c>
      <c r="H2817" t="s">
        <v>28215</v>
      </c>
      <c r="I2817" t="s">
        <v>4219</v>
      </c>
      <c r="J2817" t="s">
        <v>30250</v>
      </c>
      <c r="K2817" t="s">
        <v>36689</v>
      </c>
      <c r="L2817" t="s">
        <v>377</v>
      </c>
      <c r="M2817" t="s">
        <v>37357</v>
      </c>
      <c r="N2817" t="s">
        <v>40436</v>
      </c>
      <c r="O2817" t="s">
        <v>40437</v>
      </c>
      <c r="P2817">
        <v>0</v>
      </c>
      <c r="Q2817">
        <v>3</v>
      </c>
      <c r="R2817" t="s">
        <v>40439</v>
      </c>
      <c r="S2817" t="s">
        <v>40588</v>
      </c>
      <c r="T2817" t="s">
        <v>42169</v>
      </c>
      <c r="U2817" t="s">
        <v>44775</v>
      </c>
      <c r="W2817" t="s">
        <v>37357</v>
      </c>
      <c r="X2817" t="s">
        <v>40440</v>
      </c>
    </row>
    <row r="2818" spans="1:24">
      <c r="A2818">
        <f>HYPERLINK("https://www.philgeps.gov.ph/GEPSNONPILOT/Tender/SplashBidNoticeAbstractUI.aspx?menuIndex=3&amp;refID=7044603&amp;Result=3","7044603")</f>
        <v>0</v>
      </c>
      <c r="B2818" t="s">
        <v>1133</v>
      </c>
      <c r="C2818" t="s">
        <v>5787</v>
      </c>
      <c r="D2818" t="s">
        <v>16190</v>
      </c>
      <c r="E2818" t="s">
        <v>18844</v>
      </c>
      <c r="F2818" t="s">
        <v>28198</v>
      </c>
      <c r="G2818" t="s">
        <v>28212</v>
      </c>
      <c r="H2818" t="s">
        <v>28215</v>
      </c>
      <c r="I2818" t="s">
        <v>5100</v>
      </c>
      <c r="J2818" t="s">
        <v>28967</v>
      </c>
      <c r="K2818" t="s">
        <v>36689</v>
      </c>
      <c r="M2818" t="s">
        <v>38172</v>
      </c>
      <c r="N2818" t="s">
        <v>40436</v>
      </c>
      <c r="O2818" t="s">
        <v>40437</v>
      </c>
      <c r="P2818">
        <v>0</v>
      </c>
      <c r="Q2818">
        <v>0</v>
      </c>
      <c r="R2818" t="s">
        <v>40439</v>
      </c>
      <c r="S2818" t="s">
        <v>40588</v>
      </c>
      <c r="T2818" t="s">
        <v>42134</v>
      </c>
      <c r="U2818" t="s">
        <v>45081</v>
      </c>
      <c r="W2818" t="s">
        <v>38172</v>
      </c>
      <c r="X2818" t="s">
        <v>40440</v>
      </c>
    </row>
    <row r="2819" spans="1:24">
      <c r="A2819">
        <f>HYPERLINK("https://www.philgeps.gov.ph/GEPSNONPILOT/Tender/SplashBidNoticeAbstractUI.aspx?menuIndex=3&amp;refID=7044611&amp;Result=3","7044611")</f>
        <v>0</v>
      </c>
      <c r="B2819" t="s">
        <v>280</v>
      </c>
      <c r="C2819" t="s">
        <v>5788</v>
      </c>
      <c r="D2819" t="s">
        <v>16254</v>
      </c>
      <c r="E2819" t="s">
        <v>18845</v>
      </c>
      <c r="F2819" t="s">
        <v>28198</v>
      </c>
      <c r="G2819" t="s">
        <v>28206</v>
      </c>
      <c r="H2819" t="s">
        <v>28215</v>
      </c>
      <c r="I2819" t="s">
        <v>28234</v>
      </c>
      <c r="J2819" t="s">
        <v>28350</v>
      </c>
      <c r="K2819" t="s">
        <v>36701</v>
      </c>
      <c r="M2819" t="s">
        <v>37257</v>
      </c>
      <c r="N2819" t="s">
        <v>40436</v>
      </c>
      <c r="O2819" t="s">
        <v>40437</v>
      </c>
      <c r="P2819">
        <v>0</v>
      </c>
      <c r="Q2819">
        <v>1</v>
      </c>
      <c r="R2819" t="s">
        <v>40439</v>
      </c>
      <c r="S2819" t="s">
        <v>40588</v>
      </c>
      <c r="T2819" t="s">
        <v>42128</v>
      </c>
      <c r="U2819" t="s">
        <v>45082</v>
      </c>
      <c r="W2819" t="s">
        <v>37257</v>
      </c>
      <c r="X2819" t="s">
        <v>40440</v>
      </c>
    </row>
    <row r="2820" spans="1:24">
      <c r="A2820">
        <f>HYPERLINK("https://www.philgeps.gov.ph/GEPSNONPILOT/Tender/SplashBidNoticeAbstractUI.aspx?menuIndex=3&amp;refID=7044609&amp;Result=3","7044609")</f>
        <v>0</v>
      </c>
      <c r="B2820" t="s">
        <v>1134</v>
      </c>
      <c r="C2820" t="s">
        <v>5789</v>
      </c>
      <c r="E2820" t="s">
        <v>18846</v>
      </c>
      <c r="F2820" t="s">
        <v>28198</v>
      </c>
      <c r="G2820" t="s">
        <v>28205</v>
      </c>
      <c r="H2820" t="s">
        <v>28215</v>
      </c>
      <c r="I2820" t="s">
        <v>5100</v>
      </c>
      <c r="J2820" t="s">
        <v>30251</v>
      </c>
      <c r="K2820" t="s">
        <v>36707</v>
      </c>
      <c r="M2820" t="s">
        <v>38173</v>
      </c>
      <c r="N2820" t="s">
        <v>40436</v>
      </c>
      <c r="O2820" t="s">
        <v>40437</v>
      </c>
      <c r="P2820">
        <v>0</v>
      </c>
      <c r="Q2820">
        <v>0</v>
      </c>
      <c r="R2820" t="s">
        <v>40439</v>
      </c>
      <c r="S2820" t="s">
        <v>40588</v>
      </c>
      <c r="T2820" t="s">
        <v>42248</v>
      </c>
      <c r="U2820" t="s">
        <v>45083</v>
      </c>
      <c r="V2820" t="s">
        <v>54094</v>
      </c>
      <c r="W2820" t="s">
        <v>38173</v>
      </c>
      <c r="X2820" t="s">
        <v>40440</v>
      </c>
    </row>
    <row r="2821" spans="1:24">
      <c r="A2821">
        <f>HYPERLINK("https://www.philgeps.gov.ph/GEPSNONPILOT/Tender/SplashBidNoticeAbstractUI.aspx?menuIndex=3&amp;refID=7044608&amp;Result=3","7044608")</f>
        <v>0</v>
      </c>
      <c r="B2821" t="s">
        <v>1124</v>
      </c>
      <c r="C2821" t="s">
        <v>5790</v>
      </c>
      <c r="D2821" t="s">
        <v>16188</v>
      </c>
      <c r="E2821" t="s">
        <v>18847</v>
      </c>
      <c r="F2821" t="s">
        <v>28198</v>
      </c>
      <c r="G2821" t="s">
        <v>28210</v>
      </c>
      <c r="H2821" t="s">
        <v>28215</v>
      </c>
      <c r="I2821" t="s">
        <v>5656</v>
      </c>
      <c r="J2821" t="s">
        <v>28671</v>
      </c>
      <c r="K2821" t="s">
        <v>36706</v>
      </c>
      <c r="M2821" t="s">
        <v>38162</v>
      </c>
      <c r="N2821" t="s">
        <v>40436</v>
      </c>
      <c r="O2821" t="s">
        <v>40437</v>
      </c>
      <c r="P2821">
        <v>0</v>
      </c>
      <c r="Q2821">
        <v>0</v>
      </c>
      <c r="R2821" t="s">
        <v>40439</v>
      </c>
      <c r="S2821" t="s">
        <v>40588</v>
      </c>
      <c r="T2821" t="s">
        <v>42131</v>
      </c>
      <c r="U2821" t="s">
        <v>45084</v>
      </c>
      <c r="W2821" t="s">
        <v>38162</v>
      </c>
      <c r="X2821" t="s">
        <v>40440</v>
      </c>
    </row>
    <row r="2822" spans="1:24">
      <c r="A2822">
        <f>HYPERLINK("https://www.philgeps.gov.ph/GEPSNONPILOT/Tender/SplashBidNoticeAbstractUI.aspx?menuIndex=3&amp;refID=7044613&amp;Result=3","7044613")</f>
        <v>0</v>
      </c>
      <c r="B2822" t="s">
        <v>1135</v>
      </c>
      <c r="C2822" t="s">
        <v>5791</v>
      </c>
      <c r="D2822" t="s">
        <v>16209</v>
      </c>
      <c r="E2822" t="s">
        <v>18848</v>
      </c>
      <c r="F2822" t="s">
        <v>28198</v>
      </c>
      <c r="G2822" t="s">
        <v>28205</v>
      </c>
      <c r="H2822" t="s">
        <v>28215</v>
      </c>
      <c r="I2822" t="s">
        <v>5791</v>
      </c>
      <c r="J2822" t="s">
        <v>30252</v>
      </c>
      <c r="K2822" t="s">
        <v>36706</v>
      </c>
      <c r="M2822" t="s">
        <v>38174</v>
      </c>
      <c r="N2822" t="s">
        <v>40436</v>
      </c>
      <c r="O2822" t="s">
        <v>40437</v>
      </c>
      <c r="P2822">
        <v>0</v>
      </c>
      <c r="Q2822">
        <v>0</v>
      </c>
      <c r="R2822" t="s">
        <v>40439</v>
      </c>
      <c r="S2822" t="s">
        <v>40588</v>
      </c>
      <c r="T2822" t="s">
        <v>42108</v>
      </c>
      <c r="U2822" t="s">
        <v>45085</v>
      </c>
      <c r="W2822" t="s">
        <v>38174</v>
      </c>
      <c r="X2822" t="s">
        <v>40440</v>
      </c>
    </row>
    <row r="2823" spans="1:24">
      <c r="A2823">
        <f>HYPERLINK("https://www.philgeps.gov.ph/GEPSNONPILOT/Tender/SplashBidNoticeAbstractUI.aspx?menuIndex=3&amp;refID=7044604&amp;Result=3","7044604")</f>
        <v>0</v>
      </c>
      <c r="B2823" t="s">
        <v>1083</v>
      </c>
      <c r="C2823" t="s">
        <v>5792</v>
      </c>
      <c r="D2823" t="s">
        <v>16260</v>
      </c>
      <c r="E2823" t="s">
        <v>18849</v>
      </c>
      <c r="F2823" t="s">
        <v>28198</v>
      </c>
      <c r="G2823" t="s">
        <v>28207</v>
      </c>
      <c r="H2823" t="s">
        <v>28215</v>
      </c>
      <c r="I2823" t="s">
        <v>28234</v>
      </c>
      <c r="J2823" t="s">
        <v>28486</v>
      </c>
      <c r="K2823" t="s">
        <v>36693</v>
      </c>
      <c r="M2823" t="s">
        <v>38118</v>
      </c>
      <c r="N2823" t="s">
        <v>40436</v>
      </c>
      <c r="O2823" t="s">
        <v>40437</v>
      </c>
      <c r="P2823">
        <v>0</v>
      </c>
      <c r="Q2823">
        <v>6</v>
      </c>
      <c r="R2823" t="s">
        <v>40439</v>
      </c>
      <c r="S2823" t="s">
        <v>40588</v>
      </c>
      <c r="T2823" t="s">
        <v>42331</v>
      </c>
      <c r="U2823" t="s">
        <v>45086</v>
      </c>
      <c r="W2823" t="s">
        <v>38118</v>
      </c>
      <c r="X2823" t="s">
        <v>40440</v>
      </c>
    </row>
    <row r="2824" spans="1:24">
      <c r="A2824">
        <f>HYPERLINK("https://www.philgeps.gov.ph/GEPSNONPILOT/Tender/SplashBidNoticeAbstractUI.aspx?menuIndex=3&amp;refID=7044623&amp;Result=3","7044623")</f>
        <v>0</v>
      </c>
      <c r="B2824" t="s">
        <v>1136</v>
      </c>
      <c r="C2824" t="s">
        <v>4663</v>
      </c>
      <c r="D2824" t="s">
        <v>16219</v>
      </c>
      <c r="E2824" t="s">
        <v>16528</v>
      </c>
      <c r="F2824" t="s">
        <v>28198</v>
      </c>
      <c r="G2824" t="s">
        <v>28205</v>
      </c>
      <c r="H2824" t="s">
        <v>28215</v>
      </c>
      <c r="I2824" t="s">
        <v>5100</v>
      </c>
      <c r="J2824" t="s">
        <v>30253</v>
      </c>
      <c r="K2824" t="s">
        <v>36689</v>
      </c>
      <c r="M2824" t="s">
        <v>38175</v>
      </c>
      <c r="N2824" t="s">
        <v>40436</v>
      </c>
      <c r="O2824" t="s">
        <v>40437</v>
      </c>
      <c r="P2824">
        <v>0</v>
      </c>
      <c r="Q2824">
        <v>0</v>
      </c>
      <c r="R2824" t="s">
        <v>40439</v>
      </c>
      <c r="S2824" t="s">
        <v>40588</v>
      </c>
      <c r="T2824" t="s">
        <v>42238</v>
      </c>
      <c r="U2824" t="s">
        <v>45087</v>
      </c>
      <c r="W2824" t="s">
        <v>38175</v>
      </c>
      <c r="X2824" t="s">
        <v>40440</v>
      </c>
    </row>
    <row r="2825" spans="1:24">
      <c r="A2825">
        <f>HYPERLINK("https://www.philgeps.gov.ph/GEPSNONPILOT/Tender/SplashBidNoticeAbstractUI.aspx?menuIndex=3&amp;refID=7044627&amp;Result=3","7044627")</f>
        <v>0</v>
      </c>
      <c r="B2825" t="s">
        <v>377</v>
      </c>
      <c r="C2825" t="s">
        <v>5793</v>
      </c>
      <c r="D2825" t="s">
        <v>16204</v>
      </c>
      <c r="E2825" t="s">
        <v>18850</v>
      </c>
      <c r="F2825" t="s">
        <v>28198</v>
      </c>
      <c r="G2825" t="s">
        <v>28207</v>
      </c>
      <c r="H2825" t="s">
        <v>28215</v>
      </c>
      <c r="I2825" t="s">
        <v>28254</v>
      </c>
      <c r="J2825" t="s">
        <v>30254</v>
      </c>
      <c r="K2825" t="s">
        <v>36689</v>
      </c>
      <c r="L2825" t="s">
        <v>377</v>
      </c>
      <c r="M2825" t="s">
        <v>37357</v>
      </c>
      <c r="N2825" t="s">
        <v>40436</v>
      </c>
      <c r="O2825" t="s">
        <v>40437</v>
      </c>
      <c r="P2825">
        <v>0</v>
      </c>
      <c r="Q2825">
        <v>1</v>
      </c>
      <c r="R2825" t="s">
        <v>40439</v>
      </c>
      <c r="S2825" t="s">
        <v>40588</v>
      </c>
      <c r="T2825" t="s">
        <v>42169</v>
      </c>
      <c r="U2825" t="s">
        <v>44775</v>
      </c>
      <c r="W2825" t="s">
        <v>37357</v>
      </c>
      <c r="X2825" t="s">
        <v>40440</v>
      </c>
    </row>
    <row r="2826" spans="1:24">
      <c r="A2826">
        <f>HYPERLINK("https://www.philgeps.gov.ph/GEPSNONPILOT/Tender/SplashBidNoticeAbstractUI.aspx?menuIndex=3&amp;refID=7044625&amp;Result=3","7044625")</f>
        <v>0</v>
      </c>
      <c r="B2826" t="s">
        <v>1124</v>
      </c>
      <c r="C2826" t="s">
        <v>5794</v>
      </c>
      <c r="D2826" t="s">
        <v>16188</v>
      </c>
      <c r="E2826" t="s">
        <v>18851</v>
      </c>
      <c r="F2826" t="s">
        <v>28198</v>
      </c>
      <c r="G2826" t="s">
        <v>28210</v>
      </c>
      <c r="H2826" t="s">
        <v>28215</v>
      </c>
      <c r="I2826" t="s">
        <v>28219</v>
      </c>
      <c r="J2826" t="s">
        <v>28671</v>
      </c>
      <c r="K2826" t="s">
        <v>36706</v>
      </c>
      <c r="M2826" t="s">
        <v>38162</v>
      </c>
      <c r="N2826" t="s">
        <v>40436</v>
      </c>
      <c r="O2826" t="s">
        <v>40437</v>
      </c>
      <c r="P2826">
        <v>0</v>
      </c>
      <c r="Q2826">
        <v>0</v>
      </c>
      <c r="R2826" t="s">
        <v>40439</v>
      </c>
      <c r="S2826" t="s">
        <v>40588</v>
      </c>
      <c r="T2826" t="s">
        <v>42161</v>
      </c>
      <c r="U2826" t="s">
        <v>45088</v>
      </c>
      <c r="W2826" t="s">
        <v>38162</v>
      </c>
      <c r="X2826" t="s">
        <v>40440</v>
      </c>
    </row>
    <row r="2827" spans="1:24">
      <c r="A2827">
        <f>HYPERLINK("https://www.philgeps.gov.ph/GEPSNONPILOT/Tender/SplashBidNoticeAbstractUI.aspx?menuIndex=3&amp;refID=7044622&amp;Result=3","7044622")</f>
        <v>0</v>
      </c>
      <c r="B2827" t="s">
        <v>100</v>
      </c>
      <c r="C2827" t="s">
        <v>5795</v>
      </c>
      <c r="D2827" t="s">
        <v>16228</v>
      </c>
      <c r="E2827" t="s">
        <v>18852</v>
      </c>
      <c r="F2827" t="s">
        <v>28198</v>
      </c>
      <c r="G2827" t="s">
        <v>28205</v>
      </c>
      <c r="H2827" t="s">
        <v>28215</v>
      </c>
      <c r="I2827" t="s">
        <v>4321</v>
      </c>
      <c r="J2827" t="s">
        <v>30255</v>
      </c>
      <c r="K2827" t="s">
        <v>36701</v>
      </c>
      <c r="M2827" t="s">
        <v>38133</v>
      </c>
      <c r="N2827" t="s">
        <v>40436</v>
      </c>
      <c r="O2827" t="s">
        <v>40437</v>
      </c>
      <c r="P2827">
        <v>0</v>
      </c>
      <c r="Q2827">
        <v>0</v>
      </c>
      <c r="R2827" t="s">
        <v>40439</v>
      </c>
      <c r="S2827" t="s">
        <v>40588</v>
      </c>
      <c r="T2827" t="s">
        <v>42134</v>
      </c>
      <c r="U2827" t="s">
        <v>42767</v>
      </c>
      <c r="V2827" t="s">
        <v>53798</v>
      </c>
      <c r="W2827" t="s">
        <v>38133</v>
      </c>
      <c r="X2827" t="s">
        <v>40440</v>
      </c>
    </row>
    <row r="2828" spans="1:24">
      <c r="A2828">
        <f>HYPERLINK("https://www.philgeps.gov.ph/GEPSNONPILOT/Tender/SplashBidNoticeAbstractUI.aspx?menuIndex=3&amp;refID=7044600&amp;Result=3","7044600")</f>
        <v>0</v>
      </c>
      <c r="B2828" t="s">
        <v>1122</v>
      </c>
      <c r="C2828" t="s">
        <v>5796</v>
      </c>
      <c r="D2828" t="s">
        <v>16199</v>
      </c>
      <c r="E2828" t="s">
        <v>16497</v>
      </c>
      <c r="F2828" t="s">
        <v>28198</v>
      </c>
      <c r="G2828" t="s">
        <v>28207</v>
      </c>
      <c r="H2828" t="s">
        <v>28215</v>
      </c>
      <c r="I2828" t="s">
        <v>5071</v>
      </c>
      <c r="J2828" t="s">
        <v>30256</v>
      </c>
      <c r="K2828" t="s">
        <v>36743</v>
      </c>
      <c r="M2828" t="s">
        <v>38160</v>
      </c>
      <c r="N2828" t="s">
        <v>40436</v>
      </c>
      <c r="O2828" t="s">
        <v>40437</v>
      </c>
      <c r="P2828">
        <v>0</v>
      </c>
      <c r="Q2828">
        <v>3</v>
      </c>
      <c r="R2828" t="s">
        <v>40439</v>
      </c>
      <c r="S2828" t="s">
        <v>40588</v>
      </c>
      <c r="T2828" t="s">
        <v>42131</v>
      </c>
      <c r="U2828" t="s">
        <v>45089</v>
      </c>
      <c r="W2828" t="s">
        <v>38160</v>
      </c>
      <c r="X2828" t="s">
        <v>40440</v>
      </c>
    </row>
    <row r="2829" spans="1:24">
      <c r="A2829">
        <f>HYPERLINK("https://www.philgeps.gov.ph/GEPSNONPILOT/Tender/SplashBidNoticeAbstractUI.aspx?menuIndex=3&amp;refID=7044614&amp;Result=3","7044614")</f>
        <v>0</v>
      </c>
      <c r="B2829" t="s">
        <v>817</v>
      </c>
      <c r="C2829" t="s">
        <v>5797</v>
      </c>
      <c r="D2829" t="s">
        <v>16196</v>
      </c>
      <c r="E2829" t="s">
        <v>17417</v>
      </c>
      <c r="F2829" t="s">
        <v>28198</v>
      </c>
      <c r="G2829" t="s">
        <v>28205</v>
      </c>
      <c r="H2829" t="s">
        <v>28214</v>
      </c>
      <c r="I2829" t="s">
        <v>3797</v>
      </c>
      <c r="J2829" t="s">
        <v>28352</v>
      </c>
      <c r="K2829" t="s">
        <v>36701</v>
      </c>
      <c r="M2829" t="s">
        <v>37829</v>
      </c>
      <c r="N2829" t="s">
        <v>40436</v>
      </c>
      <c r="O2829" t="s">
        <v>40437</v>
      </c>
      <c r="P2829">
        <v>0</v>
      </c>
      <c r="Q2829">
        <v>0</v>
      </c>
      <c r="R2829" t="s">
        <v>40439</v>
      </c>
      <c r="S2829" t="s">
        <v>40588</v>
      </c>
      <c r="T2829" t="s">
        <v>42175</v>
      </c>
      <c r="U2829" t="s">
        <v>45090</v>
      </c>
      <c r="W2829" t="s">
        <v>37829</v>
      </c>
      <c r="X2829" t="s">
        <v>40440</v>
      </c>
    </row>
    <row r="2830" spans="1:24">
      <c r="A2830">
        <f>HYPERLINK("https://www.philgeps.gov.ph/GEPSNONPILOT/Tender/SplashBidNoticeAbstractUI.aspx?menuIndex=3&amp;refID=7044631&amp;Result=3","7044631")</f>
        <v>0</v>
      </c>
      <c r="B2830" t="s">
        <v>428</v>
      </c>
      <c r="C2830" t="s">
        <v>5798</v>
      </c>
      <c r="D2830" t="s">
        <v>16219</v>
      </c>
      <c r="E2830" t="s">
        <v>18853</v>
      </c>
      <c r="F2830" t="s">
        <v>28200</v>
      </c>
      <c r="G2830" t="s">
        <v>28205</v>
      </c>
      <c r="H2830" t="s">
        <v>28215</v>
      </c>
      <c r="I2830" t="s">
        <v>5100</v>
      </c>
      <c r="J2830" t="s">
        <v>30257</v>
      </c>
      <c r="K2830" t="s">
        <v>36687</v>
      </c>
      <c r="M2830" t="s">
        <v>37411</v>
      </c>
      <c r="N2830" t="s">
        <v>40436</v>
      </c>
      <c r="O2830" t="s">
        <v>40437</v>
      </c>
      <c r="P2830">
        <v>0</v>
      </c>
      <c r="Q2830">
        <v>0</v>
      </c>
      <c r="R2830" t="s">
        <v>40439</v>
      </c>
      <c r="S2830" t="s">
        <v>40588</v>
      </c>
      <c r="T2830" t="s">
        <v>42234</v>
      </c>
      <c r="U2830" t="s">
        <v>45078</v>
      </c>
      <c r="W2830" t="s">
        <v>37411</v>
      </c>
      <c r="X2830" t="s">
        <v>40440</v>
      </c>
    </row>
    <row r="2831" spans="1:24">
      <c r="A2831">
        <f>HYPERLINK("https://www.philgeps.gov.ph/GEPSNONPILOT/Tender/SplashBidNoticeAbstractUI.aspx?menuIndex=3&amp;refID=7044630&amp;Result=3","7044630")</f>
        <v>0</v>
      </c>
      <c r="B2831" t="s">
        <v>1063</v>
      </c>
      <c r="C2831" t="s">
        <v>5799</v>
      </c>
      <c r="D2831" t="s">
        <v>16188</v>
      </c>
      <c r="E2831" t="s">
        <v>18854</v>
      </c>
      <c r="F2831" t="s">
        <v>28198</v>
      </c>
      <c r="G2831" t="s">
        <v>28207</v>
      </c>
      <c r="H2831" t="s">
        <v>28215</v>
      </c>
      <c r="I2831" t="s">
        <v>5100</v>
      </c>
      <c r="J2831" t="s">
        <v>30258</v>
      </c>
      <c r="K2831" t="s">
        <v>36689</v>
      </c>
      <c r="M2831" t="s">
        <v>38096</v>
      </c>
      <c r="N2831" t="s">
        <v>40436</v>
      </c>
      <c r="O2831" t="s">
        <v>40437</v>
      </c>
      <c r="P2831">
        <v>0</v>
      </c>
      <c r="Q2831">
        <v>3</v>
      </c>
      <c r="R2831" t="s">
        <v>40439</v>
      </c>
      <c r="S2831" t="s">
        <v>40588</v>
      </c>
      <c r="T2831" t="s">
        <v>42318</v>
      </c>
      <c r="U2831" t="s">
        <v>45091</v>
      </c>
      <c r="W2831" t="s">
        <v>38096</v>
      </c>
      <c r="X2831" t="s">
        <v>40440</v>
      </c>
    </row>
    <row r="2832" spans="1:24">
      <c r="A2832">
        <f>HYPERLINK("https://www.philgeps.gov.ph/GEPSNONPILOT/Tender/SplashBidNoticeAbstractUI.aspx?menuIndex=3&amp;refID=7044624&amp;Result=3","7044624")</f>
        <v>0</v>
      </c>
      <c r="B2832" t="s">
        <v>457</v>
      </c>
      <c r="C2832" t="s">
        <v>5800</v>
      </c>
      <c r="D2832" t="s">
        <v>16241</v>
      </c>
      <c r="E2832" t="s">
        <v>18855</v>
      </c>
      <c r="F2832" t="s">
        <v>28198</v>
      </c>
      <c r="G2832" t="s">
        <v>28207</v>
      </c>
      <c r="H2832" t="s">
        <v>28215</v>
      </c>
      <c r="I2832" t="s">
        <v>5082</v>
      </c>
      <c r="J2832" t="s">
        <v>30259</v>
      </c>
      <c r="K2832" t="s">
        <v>36701</v>
      </c>
      <c r="M2832" t="s">
        <v>38176</v>
      </c>
      <c r="N2832" t="s">
        <v>40436</v>
      </c>
      <c r="O2832" t="s">
        <v>40437</v>
      </c>
      <c r="P2832">
        <v>0</v>
      </c>
      <c r="Q2832">
        <v>0</v>
      </c>
      <c r="R2832" t="s">
        <v>40439</v>
      </c>
      <c r="S2832" t="s">
        <v>40588</v>
      </c>
      <c r="T2832" t="s">
        <v>42326</v>
      </c>
      <c r="U2832" t="s">
        <v>45092</v>
      </c>
      <c r="W2832" t="s">
        <v>38176</v>
      </c>
      <c r="X2832" t="s">
        <v>40440</v>
      </c>
    </row>
    <row r="2833" spans="1:24">
      <c r="A2833">
        <f>HYPERLINK("https://www.philgeps.gov.ph/GEPSNONPILOT/Tender/SplashBidNoticeAbstractUI.aspx?menuIndex=3&amp;refID=7044629&amp;Result=3","7044629")</f>
        <v>0</v>
      </c>
      <c r="B2833" t="s">
        <v>673</v>
      </c>
      <c r="C2833" t="s">
        <v>5801</v>
      </c>
      <c r="D2833" t="s">
        <v>16222</v>
      </c>
      <c r="E2833" t="s">
        <v>16494</v>
      </c>
      <c r="F2833" t="s">
        <v>28198</v>
      </c>
      <c r="G2833" t="s">
        <v>28205</v>
      </c>
      <c r="H2833" t="s">
        <v>28214</v>
      </c>
      <c r="I2833" t="s">
        <v>3797</v>
      </c>
      <c r="J2833" t="s">
        <v>30260</v>
      </c>
      <c r="K2833" t="s">
        <v>36707</v>
      </c>
      <c r="M2833" t="s">
        <v>37669</v>
      </c>
      <c r="N2833" t="s">
        <v>40436</v>
      </c>
      <c r="O2833" t="s">
        <v>40437</v>
      </c>
      <c r="P2833">
        <v>0</v>
      </c>
      <c r="Q2833">
        <v>1</v>
      </c>
      <c r="R2833" t="s">
        <v>40439</v>
      </c>
      <c r="S2833" t="s">
        <v>40588</v>
      </c>
      <c r="T2833" t="s">
        <v>42134</v>
      </c>
      <c r="U2833" t="s">
        <v>45093</v>
      </c>
      <c r="W2833" t="s">
        <v>37669</v>
      </c>
      <c r="X2833" t="s">
        <v>40440</v>
      </c>
    </row>
    <row r="2834" spans="1:24">
      <c r="A2834">
        <f>HYPERLINK("https://www.philgeps.gov.ph/GEPSNONPILOT/Tender/SplashBidNoticeAbstractUI.aspx?menuIndex=3&amp;refID=7044626&amp;Result=3","7044626")</f>
        <v>0</v>
      </c>
      <c r="B2834" t="s">
        <v>1137</v>
      </c>
      <c r="C2834" t="s">
        <v>5802</v>
      </c>
      <c r="D2834" t="s">
        <v>16199</v>
      </c>
      <c r="E2834" t="s">
        <v>18856</v>
      </c>
      <c r="F2834" t="s">
        <v>28198</v>
      </c>
      <c r="G2834" t="s">
        <v>28207</v>
      </c>
      <c r="H2834" t="s">
        <v>28215</v>
      </c>
      <c r="I2834" t="s">
        <v>28289</v>
      </c>
      <c r="J2834" t="s">
        <v>30261</v>
      </c>
      <c r="K2834" t="s">
        <v>36698</v>
      </c>
      <c r="M2834" t="s">
        <v>38177</v>
      </c>
      <c r="N2834" t="s">
        <v>40436</v>
      </c>
      <c r="O2834" t="s">
        <v>40437</v>
      </c>
      <c r="P2834">
        <v>0</v>
      </c>
      <c r="Q2834">
        <v>0</v>
      </c>
      <c r="R2834" t="s">
        <v>40439</v>
      </c>
      <c r="S2834" t="s">
        <v>40588</v>
      </c>
      <c r="T2834" t="s">
        <v>42177</v>
      </c>
      <c r="U2834" t="s">
        <v>45094</v>
      </c>
      <c r="W2834" t="s">
        <v>38177</v>
      </c>
      <c r="X2834" t="s">
        <v>40440</v>
      </c>
    </row>
    <row r="2835" spans="1:24">
      <c r="A2835">
        <f>HYPERLINK("https://www.philgeps.gov.ph/GEPSNONPILOT/Tender/SplashBidNoticeAbstractUI.aspx?menuIndex=3&amp;refID=7044628&amp;Result=3","7044628")</f>
        <v>0</v>
      </c>
      <c r="B2835" t="s">
        <v>285</v>
      </c>
      <c r="C2835" t="s">
        <v>5803</v>
      </c>
      <c r="D2835" t="s">
        <v>16275</v>
      </c>
      <c r="E2835" t="s">
        <v>18857</v>
      </c>
      <c r="F2835" t="s">
        <v>28198</v>
      </c>
      <c r="G2835" t="s">
        <v>28207</v>
      </c>
      <c r="H2835" t="s">
        <v>28215</v>
      </c>
      <c r="I2835" t="s">
        <v>3422</v>
      </c>
      <c r="J2835" t="s">
        <v>30262</v>
      </c>
      <c r="K2835" t="s">
        <v>36689</v>
      </c>
      <c r="M2835" t="s">
        <v>37569</v>
      </c>
      <c r="N2835" t="s">
        <v>40436</v>
      </c>
      <c r="O2835" t="s">
        <v>40437</v>
      </c>
      <c r="P2835">
        <v>0</v>
      </c>
      <c r="Q2835">
        <v>3</v>
      </c>
      <c r="R2835" t="s">
        <v>40439</v>
      </c>
      <c r="S2835" t="s">
        <v>40588</v>
      </c>
      <c r="T2835" t="s">
        <v>42190</v>
      </c>
      <c r="U2835" t="s">
        <v>45095</v>
      </c>
      <c r="W2835" t="s">
        <v>37569</v>
      </c>
      <c r="X2835" t="s">
        <v>40440</v>
      </c>
    </row>
    <row r="2836" spans="1:24">
      <c r="A2836">
        <f>HYPERLINK("https://www.philgeps.gov.ph/GEPSNONPILOT/Tender/SplashBidNoticeAbstractUI.aspx?menuIndex=3&amp;refID=7044616&amp;Result=3","7044616")</f>
        <v>0</v>
      </c>
      <c r="B2836" t="s">
        <v>1138</v>
      </c>
      <c r="C2836" t="s">
        <v>5804</v>
      </c>
      <c r="D2836" t="s">
        <v>16217</v>
      </c>
      <c r="E2836" t="s">
        <v>18858</v>
      </c>
      <c r="F2836" t="s">
        <v>28198</v>
      </c>
      <c r="G2836" t="s">
        <v>28205</v>
      </c>
      <c r="H2836" t="s">
        <v>28215</v>
      </c>
      <c r="I2836" t="s">
        <v>5100</v>
      </c>
      <c r="J2836" t="s">
        <v>28345</v>
      </c>
      <c r="K2836" t="s">
        <v>36689</v>
      </c>
      <c r="M2836" t="s">
        <v>38178</v>
      </c>
      <c r="N2836" t="s">
        <v>40436</v>
      </c>
      <c r="O2836" t="s">
        <v>40437</v>
      </c>
      <c r="P2836">
        <v>0</v>
      </c>
      <c r="Q2836">
        <v>0</v>
      </c>
      <c r="R2836" t="s">
        <v>40439</v>
      </c>
      <c r="S2836" t="s">
        <v>40588</v>
      </c>
      <c r="T2836" t="s">
        <v>42180</v>
      </c>
      <c r="U2836" t="s">
        <v>45096</v>
      </c>
      <c r="W2836" t="s">
        <v>38178</v>
      </c>
      <c r="X2836" t="s">
        <v>40440</v>
      </c>
    </row>
    <row r="2837" spans="1:24">
      <c r="A2837">
        <f>HYPERLINK("https://www.philgeps.gov.ph/GEPSNONPILOT/Tender/SplashBidNoticeAbstractUI.aspx?menuIndex=3&amp;refID=7044619&amp;Result=3","7044619")</f>
        <v>0</v>
      </c>
      <c r="B2837" t="s">
        <v>1139</v>
      </c>
      <c r="C2837" t="s">
        <v>5805</v>
      </c>
      <c r="D2837" t="s">
        <v>16197</v>
      </c>
      <c r="E2837" t="s">
        <v>18859</v>
      </c>
      <c r="F2837" t="s">
        <v>28198</v>
      </c>
      <c r="G2837" t="s">
        <v>28206</v>
      </c>
      <c r="H2837" t="s">
        <v>28215</v>
      </c>
      <c r="I2837" t="s">
        <v>4219</v>
      </c>
      <c r="J2837" t="s">
        <v>30263</v>
      </c>
      <c r="K2837" t="s">
        <v>36691</v>
      </c>
      <c r="M2837" t="s">
        <v>38179</v>
      </c>
      <c r="N2837" t="s">
        <v>40436</v>
      </c>
      <c r="O2837" t="s">
        <v>40437</v>
      </c>
      <c r="P2837">
        <v>0</v>
      </c>
      <c r="Q2837">
        <v>0</v>
      </c>
      <c r="R2837" t="s">
        <v>40439</v>
      </c>
      <c r="S2837" t="s">
        <v>40588</v>
      </c>
      <c r="T2837" t="s">
        <v>42131</v>
      </c>
      <c r="U2837" t="s">
        <v>45097</v>
      </c>
      <c r="W2837" t="s">
        <v>38179</v>
      </c>
      <c r="X2837" t="s">
        <v>40440</v>
      </c>
    </row>
    <row r="2838" spans="1:24">
      <c r="A2838">
        <f>HYPERLINK("https://www.philgeps.gov.ph/GEPSNONPILOT/Tender/SplashBidNoticeAbstractUI.aspx?menuIndex=3&amp;refID=7044633&amp;Result=3","7044633")</f>
        <v>0</v>
      </c>
      <c r="B2838" t="s">
        <v>1140</v>
      </c>
      <c r="C2838" t="s">
        <v>5806</v>
      </c>
      <c r="D2838" t="s">
        <v>16252</v>
      </c>
      <c r="E2838" t="s">
        <v>18860</v>
      </c>
      <c r="F2838" t="s">
        <v>28198</v>
      </c>
      <c r="G2838" t="s">
        <v>28205</v>
      </c>
      <c r="H2838" t="s">
        <v>28215</v>
      </c>
      <c r="I2838" t="s">
        <v>5082</v>
      </c>
      <c r="J2838" t="s">
        <v>30264</v>
      </c>
      <c r="K2838" t="s">
        <v>36706</v>
      </c>
      <c r="M2838" t="s">
        <v>38180</v>
      </c>
      <c r="N2838" t="s">
        <v>40436</v>
      </c>
      <c r="O2838" t="s">
        <v>40437</v>
      </c>
      <c r="P2838">
        <v>0</v>
      </c>
      <c r="Q2838">
        <v>0</v>
      </c>
      <c r="R2838" t="s">
        <v>40439</v>
      </c>
      <c r="S2838" t="s">
        <v>40588</v>
      </c>
      <c r="T2838" t="s">
        <v>42337</v>
      </c>
      <c r="U2838" t="s">
        <v>43698</v>
      </c>
      <c r="W2838" t="s">
        <v>38180</v>
      </c>
      <c r="X2838" t="s">
        <v>40440</v>
      </c>
    </row>
    <row r="2839" spans="1:24">
      <c r="A2839">
        <f>HYPERLINK("https://www.philgeps.gov.ph/GEPSNONPILOT/Tender/SplashBidNoticeAbstractUI.aspx?menuIndex=3&amp;refID=7044615&amp;Result=3","7044615")</f>
        <v>0</v>
      </c>
      <c r="B2839" t="s">
        <v>1141</v>
      </c>
      <c r="C2839" t="s">
        <v>5807</v>
      </c>
      <c r="E2839" t="s">
        <v>18861</v>
      </c>
      <c r="F2839" t="s">
        <v>28198</v>
      </c>
      <c r="G2839" t="s">
        <v>28205</v>
      </c>
      <c r="H2839" t="s">
        <v>28215</v>
      </c>
      <c r="I2839" t="s">
        <v>3774</v>
      </c>
      <c r="J2839" t="s">
        <v>28415</v>
      </c>
      <c r="K2839" t="s">
        <v>36688</v>
      </c>
      <c r="M2839" t="s">
        <v>38181</v>
      </c>
      <c r="N2839" t="s">
        <v>40436</v>
      </c>
      <c r="O2839" t="s">
        <v>40437</v>
      </c>
      <c r="P2839">
        <v>0</v>
      </c>
      <c r="Q2839">
        <v>0</v>
      </c>
      <c r="R2839" t="s">
        <v>40439</v>
      </c>
      <c r="S2839" t="s">
        <v>40588</v>
      </c>
      <c r="T2839" t="s">
        <v>42133</v>
      </c>
      <c r="U2839" t="s">
        <v>45098</v>
      </c>
      <c r="W2839" t="s">
        <v>38181</v>
      </c>
      <c r="X2839" t="s">
        <v>40440</v>
      </c>
    </row>
    <row r="2840" spans="1:24">
      <c r="A2840">
        <f>HYPERLINK("https://www.philgeps.gov.ph/GEPSNONPILOT/Tender/SplashBidNoticeAbstractUI.aspx?menuIndex=3&amp;refID=7044617&amp;Result=3","7044617")</f>
        <v>0</v>
      </c>
      <c r="B2840" t="s">
        <v>1137</v>
      </c>
      <c r="C2840" t="s">
        <v>5808</v>
      </c>
      <c r="D2840" t="s">
        <v>16199</v>
      </c>
      <c r="E2840" t="s">
        <v>18862</v>
      </c>
      <c r="F2840" t="s">
        <v>28198</v>
      </c>
      <c r="G2840" t="s">
        <v>28207</v>
      </c>
      <c r="H2840" t="s">
        <v>28215</v>
      </c>
      <c r="I2840" t="s">
        <v>4321</v>
      </c>
      <c r="J2840" t="s">
        <v>28713</v>
      </c>
      <c r="K2840" t="s">
        <v>36723</v>
      </c>
      <c r="M2840" t="s">
        <v>38177</v>
      </c>
      <c r="N2840" t="s">
        <v>40436</v>
      </c>
      <c r="O2840" t="s">
        <v>40437</v>
      </c>
      <c r="P2840">
        <v>0</v>
      </c>
      <c r="Q2840">
        <v>0</v>
      </c>
      <c r="R2840" t="s">
        <v>40439</v>
      </c>
      <c r="S2840" t="s">
        <v>40588</v>
      </c>
      <c r="T2840" t="s">
        <v>42177</v>
      </c>
      <c r="U2840" t="s">
        <v>45099</v>
      </c>
      <c r="W2840" t="s">
        <v>38177</v>
      </c>
      <c r="X2840" t="s">
        <v>40440</v>
      </c>
    </row>
    <row r="2841" spans="1:24">
      <c r="A2841">
        <f>HYPERLINK("https://www.philgeps.gov.ph/GEPSNONPILOT/Tender/SplashBidNoticeAbstractUI.aspx?menuIndex=3&amp;refID=7044636&amp;Result=3","7044636")</f>
        <v>0</v>
      </c>
      <c r="B2841" t="s">
        <v>121</v>
      </c>
      <c r="C2841" t="s">
        <v>5809</v>
      </c>
      <c r="D2841" t="s">
        <v>16207</v>
      </c>
      <c r="E2841" t="s">
        <v>18863</v>
      </c>
      <c r="F2841" t="s">
        <v>28198</v>
      </c>
      <c r="G2841" t="s">
        <v>28207</v>
      </c>
      <c r="H2841" t="s">
        <v>28215</v>
      </c>
      <c r="I2841" t="s">
        <v>28247</v>
      </c>
      <c r="J2841" t="s">
        <v>30265</v>
      </c>
      <c r="K2841" t="s">
        <v>36706</v>
      </c>
      <c r="M2841" t="s">
        <v>38147</v>
      </c>
      <c r="N2841" t="s">
        <v>40436</v>
      </c>
      <c r="O2841" t="s">
        <v>40437</v>
      </c>
      <c r="P2841">
        <v>0</v>
      </c>
      <c r="Q2841">
        <v>4</v>
      </c>
      <c r="R2841" t="s">
        <v>40439</v>
      </c>
      <c r="S2841" t="s">
        <v>40588</v>
      </c>
      <c r="T2841" t="s">
        <v>42158</v>
      </c>
      <c r="U2841" t="s">
        <v>45100</v>
      </c>
      <c r="W2841" t="s">
        <v>38147</v>
      </c>
      <c r="X2841" t="s">
        <v>40440</v>
      </c>
    </row>
    <row r="2842" spans="1:24">
      <c r="A2842">
        <f>HYPERLINK("https://www.philgeps.gov.ph/GEPSNONPILOT/Tender/SplashBidNoticeAbstractUI.aspx?menuIndex=3&amp;refID=7044643&amp;Result=3","7044643")</f>
        <v>0</v>
      </c>
      <c r="B2842" t="s">
        <v>390</v>
      </c>
      <c r="C2842" t="s">
        <v>5602</v>
      </c>
      <c r="D2842" t="s">
        <v>16235</v>
      </c>
      <c r="E2842" t="s">
        <v>18864</v>
      </c>
      <c r="F2842" t="s">
        <v>28198</v>
      </c>
      <c r="G2842" t="s">
        <v>28207</v>
      </c>
      <c r="H2842" t="s">
        <v>28214</v>
      </c>
      <c r="I2842" t="s">
        <v>3797</v>
      </c>
      <c r="J2842" t="s">
        <v>28406</v>
      </c>
      <c r="K2842" t="s">
        <v>36689</v>
      </c>
      <c r="M2842" t="s">
        <v>37370</v>
      </c>
      <c r="N2842" t="s">
        <v>40436</v>
      </c>
      <c r="O2842" t="s">
        <v>40437</v>
      </c>
      <c r="P2842">
        <v>0</v>
      </c>
      <c r="Q2842">
        <v>0</v>
      </c>
      <c r="R2842" t="s">
        <v>40439</v>
      </c>
      <c r="S2842" t="s">
        <v>40588</v>
      </c>
      <c r="T2842" t="s">
        <v>42169</v>
      </c>
      <c r="U2842" t="s">
        <v>44901</v>
      </c>
      <c r="W2842" t="s">
        <v>37370</v>
      </c>
      <c r="X2842" t="s">
        <v>40440</v>
      </c>
    </row>
    <row r="2843" spans="1:24">
      <c r="A2843">
        <f>HYPERLINK("https://www.philgeps.gov.ph/GEPSNONPILOT/Tender/SplashBidNoticeAbstractUI.aspx?menuIndex=3&amp;refID=7044642&amp;Result=3","7044642")</f>
        <v>0</v>
      </c>
      <c r="B2843" t="s">
        <v>1126</v>
      </c>
      <c r="C2843" t="s">
        <v>5810</v>
      </c>
      <c r="D2843" t="s">
        <v>16254</v>
      </c>
      <c r="E2843" t="s">
        <v>18865</v>
      </c>
      <c r="F2843" t="s">
        <v>28198</v>
      </c>
      <c r="G2843" t="s">
        <v>28205</v>
      </c>
      <c r="H2843" t="s">
        <v>28215</v>
      </c>
      <c r="I2843" t="s">
        <v>5631</v>
      </c>
      <c r="J2843" t="s">
        <v>30266</v>
      </c>
      <c r="K2843" t="s">
        <v>36696</v>
      </c>
      <c r="M2843" t="s">
        <v>38164</v>
      </c>
      <c r="N2843" t="s">
        <v>40436</v>
      </c>
      <c r="O2843" t="s">
        <v>40437</v>
      </c>
      <c r="P2843">
        <v>0</v>
      </c>
      <c r="Q2843">
        <v>0</v>
      </c>
      <c r="R2843" t="s">
        <v>40439</v>
      </c>
      <c r="S2843" t="s">
        <v>40588</v>
      </c>
      <c r="T2843" t="s">
        <v>42187</v>
      </c>
      <c r="U2843" t="s">
        <v>45101</v>
      </c>
      <c r="W2843" t="s">
        <v>38164</v>
      </c>
      <c r="X2843" t="s">
        <v>40440</v>
      </c>
    </row>
    <row r="2844" spans="1:24">
      <c r="A2844">
        <f>HYPERLINK("https://www.philgeps.gov.ph/GEPSNONPILOT/Tender/SplashBidNoticeAbstractUI.aspx?menuIndex=3&amp;refID=7044618&amp;Result=3","7044618")</f>
        <v>0</v>
      </c>
      <c r="B2844" t="s">
        <v>1063</v>
      </c>
      <c r="C2844" t="s">
        <v>5811</v>
      </c>
      <c r="D2844" t="s">
        <v>16188</v>
      </c>
      <c r="E2844" t="s">
        <v>18866</v>
      </c>
      <c r="F2844" t="s">
        <v>28198</v>
      </c>
      <c r="G2844" t="s">
        <v>28207</v>
      </c>
      <c r="H2844" t="s">
        <v>28215</v>
      </c>
      <c r="I2844" t="s">
        <v>3422</v>
      </c>
      <c r="J2844" t="s">
        <v>30267</v>
      </c>
      <c r="K2844" t="s">
        <v>36689</v>
      </c>
      <c r="M2844" t="s">
        <v>38096</v>
      </c>
      <c r="N2844" t="s">
        <v>40436</v>
      </c>
      <c r="O2844" t="s">
        <v>40437</v>
      </c>
      <c r="P2844">
        <v>0</v>
      </c>
      <c r="Q2844">
        <v>1</v>
      </c>
      <c r="R2844" t="s">
        <v>40439</v>
      </c>
      <c r="S2844" t="s">
        <v>40588</v>
      </c>
      <c r="T2844" t="s">
        <v>42318</v>
      </c>
      <c r="U2844" t="s">
        <v>45102</v>
      </c>
      <c r="W2844" t="s">
        <v>38096</v>
      </c>
      <c r="X2844" t="s">
        <v>40440</v>
      </c>
    </row>
    <row r="2845" spans="1:24">
      <c r="A2845">
        <f>HYPERLINK("https://www.philgeps.gov.ph/GEPSNONPILOT/Tender/SplashBidNoticeAbstractUI.aspx?menuIndex=3&amp;refID=7044634&amp;Result=3","7044634")</f>
        <v>0</v>
      </c>
      <c r="B2845" t="s">
        <v>660</v>
      </c>
      <c r="C2845" t="s">
        <v>5812</v>
      </c>
      <c r="D2845" t="s">
        <v>16188</v>
      </c>
      <c r="E2845" t="s">
        <v>18867</v>
      </c>
      <c r="F2845" t="s">
        <v>28198</v>
      </c>
      <c r="G2845" t="s">
        <v>28206</v>
      </c>
      <c r="H2845" t="s">
        <v>28215</v>
      </c>
      <c r="I2845" t="s">
        <v>5082</v>
      </c>
      <c r="J2845" t="s">
        <v>30268</v>
      </c>
      <c r="K2845" t="s">
        <v>36689</v>
      </c>
      <c r="M2845" t="s">
        <v>37656</v>
      </c>
      <c r="N2845" t="s">
        <v>40436</v>
      </c>
      <c r="O2845" t="s">
        <v>40437</v>
      </c>
      <c r="P2845">
        <v>0</v>
      </c>
      <c r="Q2845">
        <v>1</v>
      </c>
      <c r="R2845" t="s">
        <v>40439</v>
      </c>
      <c r="S2845" t="s">
        <v>40588</v>
      </c>
      <c r="T2845" t="s">
        <v>42228</v>
      </c>
      <c r="U2845" t="s">
        <v>45018</v>
      </c>
      <c r="W2845" t="s">
        <v>37656</v>
      </c>
      <c r="X2845" t="s">
        <v>40440</v>
      </c>
    </row>
    <row r="2846" spans="1:24">
      <c r="A2846">
        <f>HYPERLINK("https://www.philgeps.gov.ph/GEPSNONPILOT/Tender/SplashBidNoticeAbstractUI.aspx?menuIndex=3&amp;refID=7044640&amp;Result=3","7044640")</f>
        <v>0</v>
      </c>
      <c r="B2846" t="s">
        <v>1127</v>
      </c>
      <c r="C2846" t="s">
        <v>3337</v>
      </c>
      <c r="D2846" t="s">
        <v>16274</v>
      </c>
      <c r="E2846" t="s">
        <v>18868</v>
      </c>
      <c r="F2846" t="s">
        <v>28198</v>
      </c>
      <c r="G2846" t="s">
        <v>28205</v>
      </c>
      <c r="H2846" t="s">
        <v>28214</v>
      </c>
      <c r="I2846" t="s">
        <v>28236</v>
      </c>
      <c r="J2846" t="s">
        <v>28351</v>
      </c>
      <c r="K2846" t="s">
        <v>36690</v>
      </c>
      <c r="M2846" t="s">
        <v>38165</v>
      </c>
      <c r="N2846" t="s">
        <v>40436</v>
      </c>
      <c r="O2846" t="s">
        <v>40437</v>
      </c>
      <c r="P2846">
        <v>0</v>
      </c>
      <c r="Q2846">
        <v>0</v>
      </c>
      <c r="R2846" t="s">
        <v>40439</v>
      </c>
      <c r="S2846" t="s">
        <v>40588</v>
      </c>
      <c r="T2846" t="s">
        <v>42278</v>
      </c>
      <c r="U2846" t="s">
        <v>45103</v>
      </c>
      <c r="W2846" t="s">
        <v>38165</v>
      </c>
      <c r="X2846" t="s">
        <v>40440</v>
      </c>
    </row>
    <row r="2847" spans="1:24">
      <c r="A2847">
        <f>HYPERLINK("https://www.philgeps.gov.ph/GEPSNONPILOT/Tender/SplashBidNoticeAbstractUI.aspx?menuIndex=3&amp;refID=7044620&amp;Result=3","7044620")</f>
        <v>0</v>
      </c>
      <c r="B2847" t="s">
        <v>390</v>
      </c>
      <c r="C2847" t="s">
        <v>5813</v>
      </c>
      <c r="D2847" t="s">
        <v>16235</v>
      </c>
      <c r="E2847" t="s">
        <v>18869</v>
      </c>
      <c r="F2847" t="s">
        <v>28198</v>
      </c>
      <c r="G2847" t="s">
        <v>28207</v>
      </c>
      <c r="H2847" t="s">
        <v>28215</v>
      </c>
      <c r="I2847" t="s">
        <v>28256</v>
      </c>
      <c r="J2847" t="s">
        <v>30269</v>
      </c>
      <c r="K2847" t="s">
        <v>36689</v>
      </c>
      <c r="M2847" t="s">
        <v>37370</v>
      </c>
      <c r="N2847" t="s">
        <v>40436</v>
      </c>
      <c r="O2847" t="s">
        <v>40437</v>
      </c>
      <c r="P2847">
        <v>0</v>
      </c>
      <c r="Q2847">
        <v>16</v>
      </c>
      <c r="R2847" t="s">
        <v>40439</v>
      </c>
      <c r="S2847" t="s">
        <v>40588</v>
      </c>
      <c r="T2847" t="s">
        <v>42169</v>
      </c>
      <c r="U2847" t="s">
        <v>43768</v>
      </c>
      <c r="W2847" t="s">
        <v>37370</v>
      </c>
      <c r="X2847" t="s">
        <v>40440</v>
      </c>
    </row>
    <row r="2848" spans="1:24">
      <c r="A2848">
        <f>HYPERLINK("https://www.philgeps.gov.ph/GEPSNONPILOT/Tender/SplashBidNoticeAbstractUI.aspx?menuIndex=3&amp;refID=7044635&amp;Result=3","7044635")</f>
        <v>0</v>
      </c>
      <c r="B2848" t="s">
        <v>1086</v>
      </c>
      <c r="C2848" t="s">
        <v>5814</v>
      </c>
      <c r="D2848" t="s">
        <v>16241</v>
      </c>
      <c r="E2848" t="s">
        <v>18870</v>
      </c>
      <c r="F2848" t="s">
        <v>28198</v>
      </c>
      <c r="G2848" t="s">
        <v>28206</v>
      </c>
      <c r="H2848" t="s">
        <v>28215</v>
      </c>
      <c r="I2848" t="s">
        <v>3774</v>
      </c>
      <c r="J2848" t="s">
        <v>28757</v>
      </c>
      <c r="K2848" t="s">
        <v>36706</v>
      </c>
      <c r="M2848" t="s">
        <v>38121</v>
      </c>
      <c r="N2848" t="s">
        <v>40436</v>
      </c>
      <c r="O2848" t="s">
        <v>40437</v>
      </c>
      <c r="P2848">
        <v>0</v>
      </c>
      <c r="Q2848">
        <v>0</v>
      </c>
      <c r="R2848" t="s">
        <v>40439</v>
      </c>
      <c r="S2848" t="s">
        <v>40588</v>
      </c>
      <c r="T2848" t="s">
        <v>42134</v>
      </c>
      <c r="U2848" t="s">
        <v>44948</v>
      </c>
      <c r="W2848" t="s">
        <v>38121</v>
      </c>
      <c r="X2848" t="s">
        <v>40440</v>
      </c>
    </row>
    <row r="2849" spans="1:24">
      <c r="A2849">
        <f>HYPERLINK("https://www.philgeps.gov.ph/GEPSNONPILOT/Tender/SplashBidNoticeAbstractUI.aspx?menuIndex=3&amp;refID=7044639&amp;Result=3","7044639")</f>
        <v>0</v>
      </c>
      <c r="B2849" t="s">
        <v>100</v>
      </c>
      <c r="C2849" t="s">
        <v>5815</v>
      </c>
      <c r="D2849" t="s">
        <v>16228</v>
      </c>
      <c r="E2849" t="s">
        <v>18871</v>
      </c>
      <c r="F2849" t="s">
        <v>28198</v>
      </c>
      <c r="G2849" t="s">
        <v>28205</v>
      </c>
      <c r="H2849" t="s">
        <v>28215</v>
      </c>
      <c r="I2849" t="s">
        <v>5100</v>
      </c>
      <c r="J2849" t="s">
        <v>30270</v>
      </c>
      <c r="K2849" t="s">
        <v>36701</v>
      </c>
      <c r="M2849" t="s">
        <v>38133</v>
      </c>
      <c r="N2849" t="s">
        <v>40436</v>
      </c>
      <c r="O2849" t="s">
        <v>40437</v>
      </c>
      <c r="P2849">
        <v>0</v>
      </c>
      <c r="Q2849">
        <v>0</v>
      </c>
      <c r="R2849" t="s">
        <v>40439</v>
      </c>
      <c r="S2849" t="s">
        <v>40588</v>
      </c>
      <c r="T2849" t="s">
        <v>42134</v>
      </c>
      <c r="U2849" t="s">
        <v>42767</v>
      </c>
      <c r="V2849" t="s">
        <v>53798</v>
      </c>
      <c r="W2849" t="s">
        <v>38133</v>
      </c>
      <c r="X2849" t="s">
        <v>40440</v>
      </c>
    </row>
    <row r="2850" spans="1:24">
      <c r="A2850">
        <f>HYPERLINK("https://www.philgeps.gov.ph/GEPSNONPILOT/Tender/SplashBidNoticeAbstractUI.aspx?menuIndex=3&amp;refID=7044657&amp;Result=3","7044657")</f>
        <v>0</v>
      </c>
      <c r="B2850" t="s">
        <v>1142</v>
      </c>
      <c r="C2850" t="s">
        <v>5816</v>
      </c>
      <c r="D2850" t="s">
        <v>16223</v>
      </c>
      <c r="E2850" t="s">
        <v>18872</v>
      </c>
      <c r="F2850" t="s">
        <v>28200</v>
      </c>
      <c r="G2850" t="s">
        <v>28206</v>
      </c>
      <c r="H2850" t="s">
        <v>28215</v>
      </c>
      <c r="I2850" t="s">
        <v>5100</v>
      </c>
      <c r="J2850" t="s">
        <v>30271</v>
      </c>
      <c r="K2850" t="s">
        <v>36706</v>
      </c>
      <c r="M2850" t="s">
        <v>38182</v>
      </c>
      <c r="N2850" t="s">
        <v>40436</v>
      </c>
      <c r="O2850" t="s">
        <v>40437</v>
      </c>
      <c r="P2850">
        <v>0</v>
      </c>
      <c r="Q2850">
        <v>0</v>
      </c>
      <c r="R2850" t="s">
        <v>40439</v>
      </c>
      <c r="S2850" t="s">
        <v>40588</v>
      </c>
      <c r="T2850" t="s">
        <v>42234</v>
      </c>
      <c r="U2850" t="s">
        <v>45104</v>
      </c>
      <c r="W2850" t="s">
        <v>38182</v>
      </c>
      <c r="X2850" t="s">
        <v>40440</v>
      </c>
    </row>
    <row r="2851" spans="1:24">
      <c r="A2851">
        <f>HYPERLINK("https://www.philgeps.gov.ph/GEPSNONPILOT/Tender/SplashBidNoticeAbstractUI.aspx?menuIndex=3&amp;refID=7044653&amp;Result=3","7044653")</f>
        <v>0</v>
      </c>
      <c r="B2851" t="s">
        <v>1143</v>
      </c>
      <c r="C2851" t="s">
        <v>5817</v>
      </c>
      <c r="D2851" t="s">
        <v>16210</v>
      </c>
      <c r="E2851" t="s">
        <v>18873</v>
      </c>
      <c r="F2851" t="s">
        <v>28198</v>
      </c>
      <c r="G2851" t="s">
        <v>28205</v>
      </c>
      <c r="H2851" t="s">
        <v>28215</v>
      </c>
      <c r="I2851" t="s">
        <v>28247</v>
      </c>
      <c r="J2851" t="s">
        <v>30272</v>
      </c>
      <c r="K2851" t="s">
        <v>36697</v>
      </c>
      <c r="M2851" t="s">
        <v>38183</v>
      </c>
      <c r="N2851" t="s">
        <v>40436</v>
      </c>
      <c r="O2851" t="s">
        <v>40437</v>
      </c>
      <c r="P2851">
        <v>0</v>
      </c>
      <c r="Q2851">
        <v>8</v>
      </c>
      <c r="R2851" t="s">
        <v>40439</v>
      </c>
      <c r="S2851" t="s">
        <v>40588</v>
      </c>
      <c r="T2851" t="s">
        <v>42338</v>
      </c>
      <c r="U2851" t="s">
        <v>45105</v>
      </c>
      <c r="V2851" t="s">
        <v>54095</v>
      </c>
      <c r="W2851" t="s">
        <v>38183</v>
      </c>
      <c r="X2851" t="s">
        <v>40440</v>
      </c>
    </row>
    <row r="2852" spans="1:24">
      <c r="A2852">
        <f>HYPERLINK("https://www.philgeps.gov.ph/GEPSNONPILOT/Tender/SplashBidNoticeAbstractUI.aspx?menuIndex=3&amp;refID=7044652&amp;Result=3","7044652")</f>
        <v>0</v>
      </c>
      <c r="B2852" t="s">
        <v>182</v>
      </c>
      <c r="C2852" t="s">
        <v>5818</v>
      </c>
      <c r="D2852" t="s">
        <v>16246</v>
      </c>
      <c r="E2852" t="s">
        <v>18874</v>
      </c>
      <c r="F2852" t="s">
        <v>28198</v>
      </c>
      <c r="G2852" t="s">
        <v>28206</v>
      </c>
      <c r="H2852" t="s">
        <v>28215</v>
      </c>
      <c r="I2852" t="s">
        <v>4200</v>
      </c>
      <c r="J2852" t="s">
        <v>28414</v>
      </c>
      <c r="K2852" t="s">
        <v>36688</v>
      </c>
      <c r="M2852" t="s">
        <v>37157</v>
      </c>
      <c r="N2852" t="s">
        <v>40436</v>
      </c>
      <c r="O2852" t="s">
        <v>40437</v>
      </c>
      <c r="P2852">
        <v>0</v>
      </c>
      <c r="Q2852">
        <v>0</v>
      </c>
      <c r="R2852" t="s">
        <v>40439</v>
      </c>
      <c r="S2852" t="s">
        <v>40588</v>
      </c>
      <c r="T2852" t="s">
        <v>42233</v>
      </c>
      <c r="U2852" t="s">
        <v>45106</v>
      </c>
      <c r="W2852" t="s">
        <v>37157</v>
      </c>
      <c r="X2852" t="s">
        <v>40440</v>
      </c>
    </row>
    <row r="2853" spans="1:24">
      <c r="A2853">
        <f>HYPERLINK("https://www.philgeps.gov.ph/GEPSNONPILOT/Tender/SplashBidNoticeAbstractUI.aspx?menuIndex=3&amp;refID=7044655&amp;Result=3","7044655")</f>
        <v>0</v>
      </c>
      <c r="B2853" t="s">
        <v>1105</v>
      </c>
      <c r="C2853" t="s">
        <v>5819</v>
      </c>
      <c r="D2853" t="s">
        <v>16206</v>
      </c>
      <c r="E2853" t="s">
        <v>18875</v>
      </c>
      <c r="F2853" t="s">
        <v>28198</v>
      </c>
      <c r="G2853" t="s">
        <v>28207</v>
      </c>
      <c r="H2853" t="s">
        <v>28215</v>
      </c>
      <c r="I2853" t="s">
        <v>28225</v>
      </c>
      <c r="J2853" t="s">
        <v>30273</v>
      </c>
      <c r="K2853" t="s">
        <v>36688</v>
      </c>
      <c r="M2853" t="s">
        <v>38141</v>
      </c>
      <c r="N2853" t="s">
        <v>40436</v>
      </c>
      <c r="O2853" t="s">
        <v>40437</v>
      </c>
      <c r="P2853">
        <v>0</v>
      </c>
      <c r="Q2853">
        <v>1</v>
      </c>
      <c r="R2853" t="s">
        <v>40439</v>
      </c>
      <c r="S2853" t="s">
        <v>40588</v>
      </c>
      <c r="T2853" t="s">
        <v>42190</v>
      </c>
      <c r="U2853" t="s">
        <v>45107</v>
      </c>
      <c r="V2853" t="s">
        <v>54084</v>
      </c>
      <c r="W2853" t="s">
        <v>38141</v>
      </c>
      <c r="X2853" t="s">
        <v>40440</v>
      </c>
    </row>
    <row r="2854" spans="1:24">
      <c r="A2854">
        <f>HYPERLINK("https://www.philgeps.gov.ph/GEPSNONPILOT/Tender/SplashBidNoticeAbstractUI.aspx?menuIndex=3&amp;refID=7044649&amp;Result=3","7044649")</f>
        <v>0</v>
      </c>
      <c r="B2854" t="s">
        <v>1123</v>
      </c>
      <c r="C2854" t="s">
        <v>5820</v>
      </c>
      <c r="D2854" t="s">
        <v>16192</v>
      </c>
      <c r="E2854" t="s">
        <v>18876</v>
      </c>
      <c r="F2854" t="s">
        <v>28198</v>
      </c>
      <c r="G2854" t="s">
        <v>28206</v>
      </c>
      <c r="H2854" t="s">
        <v>28215</v>
      </c>
      <c r="I2854" t="s">
        <v>28258</v>
      </c>
      <c r="J2854" t="s">
        <v>28449</v>
      </c>
      <c r="K2854" t="s">
        <v>36688</v>
      </c>
      <c r="M2854" t="s">
        <v>38161</v>
      </c>
      <c r="N2854" t="s">
        <v>40436</v>
      </c>
      <c r="O2854" t="s">
        <v>40437</v>
      </c>
      <c r="P2854">
        <v>0</v>
      </c>
      <c r="Q2854">
        <v>2</v>
      </c>
      <c r="R2854" t="s">
        <v>40439</v>
      </c>
      <c r="S2854" t="s">
        <v>40588</v>
      </c>
      <c r="T2854" t="s">
        <v>42129</v>
      </c>
      <c r="U2854" t="s">
        <v>45108</v>
      </c>
      <c r="W2854" t="s">
        <v>38161</v>
      </c>
      <c r="X2854" t="s">
        <v>40440</v>
      </c>
    </row>
    <row r="2855" spans="1:24">
      <c r="A2855">
        <f>HYPERLINK("https://www.philgeps.gov.ph/GEPSNONPILOT/Tender/SplashBidNoticeAbstractUI.aspx?menuIndex=3&amp;refID=7044654&amp;Result=3","7044654")</f>
        <v>0</v>
      </c>
      <c r="B2855" t="s">
        <v>1109</v>
      </c>
      <c r="C2855" t="s">
        <v>5821</v>
      </c>
      <c r="D2855" t="s">
        <v>16210</v>
      </c>
      <c r="E2855" t="s">
        <v>18877</v>
      </c>
      <c r="F2855" t="s">
        <v>28198</v>
      </c>
      <c r="G2855" t="s">
        <v>28207</v>
      </c>
      <c r="H2855" t="s">
        <v>28215</v>
      </c>
      <c r="I2855" t="s">
        <v>28247</v>
      </c>
      <c r="J2855" t="s">
        <v>30274</v>
      </c>
      <c r="K2855" t="s">
        <v>36688</v>
      </c>
      <c r="M2855" t="s">
        <v>38145</v>
      </c>
      <c r="N2855" t="s">
        <v>40436</v>
      </c>
      <c r="O2855" t="s">
        <v>40437</v>
      </c>
      <c r="P2855">
        <v>0</v>
      </c>
      <c r="Q2855">
        <v>8</v>
      </c>
      <c r="R2855" t="s">
        <v>40439</v>
      </c>
      <c r="S2855" t="s">
        <v>40588</v>
      </c>
      <c r="T2855" t="s">
        <v>42216</v>
      </c>
      <c r="U2855" t="s">
        <v>45109</v>
      </c>
      <c r="V2855" t="s">
        <v>54087</v>
      </c>
      <c r="W2855" t="s">
        <v>38145</v>
      </c>
      <c r="X2855" t="s">
        <v>40440</v>
      </c>
    </row>
    <row r="2856" spans="1:24">
      <c r="A2856">
        <f>HYPERLINK("https://www.philgeps.gov.ph/GEPSNONPILOT/Tender/SplashBidNoticeAbstractUI.aspx?menuIndex=3&amp;refID=7044645&amp;Result=3","7044645")</f>
        <v>0</v>
      </c>
      <c r="B2856" t="s">
        <v>673</v>
      </c>
      <c r="C2856" t="s">
        <v>5822</v>
      </c>
      <c r="D2856" t="s">
        <v>16222</v>
      </c>
      <c r="E2856" t="s">
        <v>16508</v>
      </c>
      <c r="F2856" t="s">
        <v>28198</v>
      </c>
      <c r="G2856" t="s">
        <v>28205</v>
      </c>
      <c r="H2856" t="s">
        <v>28215</v>
      </c>
      <c r="I2856" t="s">
        <v>5100</v>
      </c>
      <c r="J2856" t="s">
        <v>30275</v>
      </c>
      <c r="K2856" t="s">
        <v>36707</v>
      </c>
      <c r="M2856" t="s">
        <v>37669</v>
      </c>
      <c r="N2856" t="s">
        <v>40436</v>
      </c>
      <c r="O2856" t="s">
        <v>40437</v>
      </c>
      <c r="P2856">
        <v>0</v>
      </c>
      <c r="Q2856">
        <v>0</v>
      </c>
      <c r="R2856" t="s">
        <v>40439</v>
      </c>
      <c r="S2856" t="s">
        <v>40588</v>
      </c>
      <c r="T2856" t="s">
        <v>42134</v>
      </c>
      <c r="U2856" t="s">
        <v>45110</v>
      </c>
      <c r="W2856" t="s">
        <v>37669</v>
      </c>
      <c r="X2856" t="s">
        <v>40440</v>
      </c>
    </row>
    <row r="2857" spans="1:24">
      <c r="A2857">
        <f>HYPERLINK("https://www.philgeps.gov.ph/GEPSNONPILOT/Tender/SplashBidNoticeAbstractUI.aspx?menuIndex=3&amp;refID=7044666&amp;Result=3","7044666")</f>
        <v>0</v>
      </c>
      <c r="B2857" t="s">
        <v>1144</v>
      </c>
      <c r="C2857" t="s">
        <v>5823</v>
      </c>
      <c r="D2857" t="s">
        <v>16223</v>
      </c>
      <c r="E2857" t="s">
        <v>18878</v>
      </c>
      <c r="F2857" t="s">
        <v>28198</v>
      </c>
      <c r="G2857" t="s">
        <v>28207</v>
      </c>
      <c r="H2857" t="s">
        <v>28215</v>
      </c>
      <c r="I2857" t="s">
        <v>28228</v>
      </c>
      <c r="J2857" t="s">
        <v>30276</v>
      </c>
      <c r="K2857" t="s">
        <v>36693</v>
      </c>
      <c r="M2857" t="s">
        <v>38184</v>
      </c>
      <c r="N2857" t="s">
        <v>40436</v>
      </c>
      <c r="O2857" t="s">
        <v>40437</v>
      </c>
      <c r="P2857">
        <v>0</v>
      </c>
      <c r="Q2857">
        <v>0</v>
      </c>
      <c r="R2857" t="s">
        <v>40439</v>
      </c>
      <c r="S2857" t="s">
        <v>40588</v>
      </c>
      <c r="T2857" t="s">
        <v>42158</v>
      </c>
      <c r="U2857" t="s">
        <v>45111</v>
      </c>
      <c r="W2857" t="s">
        <v>38184</v>
      </c>
      <c r="X2857" t="s">
        <v>40440</v>
      </c>
    </row>
    <row r="2858" spans="1:24">
      <c r="A2858">
        <f>HYPERLINK("https://www.philgeps.gov.ph/GEPSNONPILOT/Tender/SplashBidNoticeAbstractUI.aspx?menuIndex=3&amp;refID=7044638&amp;Result=3","7044638")</f>
        <v>0</v>
      </c>
      <c r="B2858" t="s">
        <v>701</v>
      </c>
      <c r="C2858" t="s">
        <v>5685</v>
      </c>
      <c r="D2858" t="s">
        <v>16254</v>
      </c>
      <c r="E2858" t="s">
        <v>18879</v>
      </c>
      <c r="F2858" t="s">
        <v>28198</v>
      </c>
      <c r="G2858" t="s">
        <v>28207</v>
      </c>
      <c r="H2858" t="s">
        <v>28215</v>
      </c>
      <c r="I2858" t="s">
        <v>28247</v>
      </c>
      <c r="J2858" t="s">
        <v>30277</v>
      </c>
      <c r="K2858" t="s">
        <v>36707</v>
      </c>
      <c r="M2858" t="s">
        <v>37701</v>
      </c>
      <c r="N2858" t="s">
        <v>40436</v>
      </c>
      <c r="O2858" t="s">
        <v>40437</v>
      </c>
      <c r="P2858">
        <v>0</v>
      </c>
      <c r="Q2858">
        <v>4</v>
      </c>
      <c r="R2858" t="s">
        <v>40439</v>
      </c>
      <c r="S2858" t="s">
        <v>40588</v>
      </c>
      <c r="T2858" t="s">
        <v>42326</v>
      </c>
      <c r="U2858" t="s">
        <v>45112</v>
      </c>
      <c r="V2858" t="s">
        <v>54085</v>
      </c>
      <c r="W2858" t="s">
        <v>37701</v>
      </c>
      <c r="X2858" t="s">
        <v>40440</v>
      </c>
    </row>
    <row r="2859" spans="1:24">
      <c r="A2859">
        <f>HYPERLINK("https://www.philgeps.gov.ph/GEPSNONPILOT/Tender/SplashBidNoticeAbstractUI.aspx?menuIndex=3&amp;refID=7044644&amp;Result=3","7044644")</f>
        <v>0</v>
      </c>
      <c r="B2859" t="s">
        <v>477</v>
      </c>
      <c r="C2859" t="s">
        <v>5824</v>
      </c>
      <c r="D2859" t="s">
        <v>16264</v>
      </c>
      <c r="E2859" t="s">
        <v>18880</v>
      </c>
      <c r="F2859" t="s">
        <v>28198</v>
      </c>
      <c r="G2859" t="s">
        <v>28205</v>
      </c>
      <c r="H2859" t="s">
        <v>28215</v>
      </c>
      <c r="I2859" t="s">
        <v>28248</v>
      </c>
      <c r="J2859" t="s">
        <v>30278</v>
      </c>
      <c r="K2859" t="s">
        <v>36707</v>
      </c>
      <c r="M2859" t="s">
        <v>37462</v>
      </c>
      <c r="N2859" t="s">
        <v>40436</v>
      </c>
      <c r="O2859" t="s">
        <v>40437</v>
      </c>
      <c r="P2859">
        <v>0</v>
      </c>
      <c r="Q2859">
        <v>6</v>
      </c>
      <c r="R2859" t="s">
        <v>40439</v>
      </c>
      <c r="S2859" t="s">
        <v>40588</v>
      </c>
      <c r="T2859" t="s">
        <v>42102</v>
      </c>
      <c r="U2859" t="s">
        <v>45113</v>
      </c>
      <c r="W2859" t="s">
        <v>37462</v>
      </c>
      <c r="X2859" t="s">
        <v>40440</v>
      </c>
    </row>
    <row r="2860" spans="1:24">
      <c r="A2860">
        <f>HYPERLINK("https://www.philgeps.gov.ph/GEPSNONPILOT/Tender/SplashBidNoticeAbstractUI.aspx?menuIndex=3&amp;refID=7044665&amp;Result=3","7044665")</f>
        <v>0</v>
      </c>
      <c r="B2860" t="s">
        <v>1134</v>
      </c>
      <c r="C2860" t="s">
        <v>5825</v>
      </c>
      <c r="E2860" t="s">
        <v>18881</v>
      </c>
      <c r="F2860" t="s">
        <v>28198</v>
      </c>
      <c r="G2860" t="s">
        <v>28205</v>
      </c>
      <c r="H2860" t="s">
        <v>28215</v>
      </c>
      <c r="I2860" t="s">
        <v>5100</v>
      </c>
      <c r="J2860" t="s">
        <v>28363</v>
      </c>
      <c r="K2860" t="s">
        <v>36707</v>
      </c>
      <c r="M2860" t="s">
        <v>38173</v>
      </c>
      <c r="N2860" t="s">
        <v>40436</v>
      </c>
      <c r="O2860" t="s">
        <v>40437</v>
      </c>
      <c r="P2860">
        <v>0</v>
      </c>
      <c r="Q2860">
        <v>0</v>
      </c>
      <c r="R2860" t="s">
        <v>40439</v>
      </c>
      <c r="S2860" t="s">
        <v>40588</v>
      </c>
      <c r="T2860" t="s">
        <v>42248</v>
      </c>
      <c r="U2860" t="s">
        <v>45114</v>
      </c>
      <c r="V2860" t="s">
        <v>54096</v>
      </c>
      <c r="W2860" t="s">
        <v>38173</v>
      </c>
      <c r="X2860" t="s">
        <v>40440</v>
      </c>
    </row>
    <row r="2861" spans="1:24">
      <c r="A2861">
        <f>HYPERLINK("https://www.philgeps.gov.ph/GEPSNONPILOT/Tender/SplashBidNoticeAbstractUI.aspx?menuIndex=3&amp;refID=7044658&amp;Result=3","7044658")</f>
        <v>0</v>
      </c>
      <c r="B2861" t="s">
        <v>100</v>
      </c>
      <c r="C2861" t="s">
        <v>5826</v>
      </c>
      <c r="D2861" t="s">
        <v>16228</v>
      </c>
      <c r="E2861" t="s">
        <v>18882</v>
      </c>
      <c r="F2861" t="s">
        <v>28198</v>
      </c>
      <c r="G2861" t="s">
        <v>28205</v>
      </c>
      <c r="H2861" t="s">
        <v>28215</v>
      </c>
      <c r="I2861" t="s">
        <v>6013</v>
      </c>
      <c r="J2861" t="s">
        <v>30279</v>
      </c>
      <c r="K2861" t="s">
        <v>36701</v>
      </c>
      <c r="M2861" t="s">
        <v>38133</v>
      </c>
      <c r="N2861" t="s">
        <v>40436</v>
      </c>
      <c r="O2861" t="s">
        <v>40437</v>
      </c>
      <c r="P2861">
        <v>0</v>
      </c>
      <c r="Q2861">
        <v>1</v>
      </c>
      <c r="R2861" t="s">
        <v>40439</v>
      </c>
      <c r="S2861" t="s">
        <v>40588</v>
      </c>
      <c r="T2861" t="s">
        <v>42125</v>
      </c>
      <c r="U2861" t="s">
        <v>42767</v>
      </c>
      <c r="V2861" t="s">
        <v>53798</v>
      </c>
      <c r="W2861" t="s">
        <v>38133</v>
      </c>
      <c r="X2861" t="s">
        <v>40440</v>
      </c>
    </row>
    <row r="2862" spans="1:24">
      <c r="A2862">
        <f>HYPERLINK("https://www.philgeps.gov.ph/GEPSNONPILOT/Tender/SplashBidNoticeAbstractUI.aspx?menuIndex=3&amp;refID=7044646&amp;Result=3","7044646")</f>
        <v>0</v>
      </c>
      <c r="B2862" t="s">
        <v>817</v>
      </c>
      <c r="C2862" t="s">
        <v>5827</v>
      </c>
      <c r="D2862" t="s">
        <v>16196</v>
      </c>
      <c r="E2862" t="s">
        <v>16296</v>
      </c>
      <c r="F2862" t="s">
        <v>28198</v>
      </c>
      <c r="G2862" t="s">
        <v>28205</v>
      </c>
      <c r="H2862" t="s">
        <v>28214</v>
      </c>
      <c r="I2862" t="s">
        <v>3797</v>
      </c>
      <c r="J2862" t="s">
        <v>28559</v>
      </c>
      <c r="K2862" t="s">
        <v>36715</v>
      </c>
      <c r="M2862" t="s">
        <v>37829</v>
      </c>
      <c r="N2862" t="s">
        <v>40436</v>
      </c>
      <c r="O2862" t="s">
        <v>40437</v>
      </c>
      <c r="P2862">
        <v>0</v>
      </c>
      <c r="Q2862">
        <v>2</v>
      </c>
      <c r="R2862" t="s">
        <v>40439</v>
      </c>
      <c r="S2862" t="s">
        <v>40588</v>
      </c>
      <c r="T2862" t="s">
        <v>42175</v>
      </c>
      <c r="U2862" t="s">
        <v>45115</v>
      </c>
      <c r="W2862" t="s">
        <v>37829</v>
      </c>
      <c r="X2862" t="s">
        <v>40440</v>
      </c>
    </row>
    <row r="2863" spans="1:24">
      <c r="A2863">
        <f>HYPERLINK("https://www.philgeps.gov.ph/GEPSNONPILOT/Tender/SplashBidNoticeAbstractUI.aspx?menuIndex=3&amp;refID=7044647&amp;Result=3","7044647")</f>
        <v>0</v>
      </c>
      <c r="B2863" t="s">
        <v>1145</v>
      </c>
      <c r="C2863" t="s">
        <v>5828</v>
      </c>
      <c r="D2863" t="s">
        <v>16217</v>
      </c>
      <c r="E2863" t="s">
        <v>18883</v>
      </c>
      <c r="F2863" t="s">
        <v>28198</v>
      </c>
      <c r="G2863" t="s">
        <v>28205</v>
      </c>
      <c r="H2863" t="s">
        <v>28215</v>
      </c>
      <c r="I2863" t="s">
        <v>5100</v>
      </c>
      <c r="J2863" t="s">
        <v>30280</v>
      </c>
      <c r="K2863" t="s">
        <v>36689</v>
      </c>
      <c r="M2863" t="s">
        <v>38185</v>
      </c>
      <c r="N2863" t="s">
        <v>40436</v>
      </c>
      <c r="O2863" t="s">
        <v>40437</v>
      </c>
      <c r="P2863">
        <v>0</v>
      </c>
      <c r="Q2863">
        <v>0</v>
      </c>
      <c r="R2863" t="s">
        <v>40439</v>
      </c>
      <c r="S2863" t="s">
        <v>40588</v>
      </c>
      <c r="T2863" t="s">
        <v>42180</v>
      </c>
      <c r="U2863" t="s">
        <v>45116</v>
      </c>
      <c r="W2863" t="s">
        <v>38185</v>
      </c>
      <c r="X2863" t="s">
        <v>40440</v>
      </c>
    </row>
    <row r="2864" spans="1:24">
      <c r="A2864">
        <f>HYPERLINK("https://www.philgeps.gov.ph/GEPSNONPILOT/Tender/SplashBidNoticeAbstractUI.aspx?menuIndex=3&amp;refID=7044663&amp;Result=3","7044663")</f>
        <v>0</v>
      </c>
      <c r="B2864" t="s">
        <v>789</v>
      </c>
      <c r="C2864" t="s">
        <v>5829</v>
      </c>
      <c r="D2864" t="s">
        <v>16219</v>
      </c>
      <c r="E2864" t="s">
        <v>18884</v>
      </c>
      <c r="F2864" t="s">
        <v>28198</v>
      </c>
      <c r="G2864" t="s">
        <v>28207</v>
      </c>
      <c r="H2864" t="s">
        <v>28215</v>
      </c>
      <c r="I2864" t="s">
        <v>28228</v>
      </c>
      <c r="J2864" t="s">
        <v>30281</v>
      </c>
      <c r="K2864" t="s">
        <v>36705</v>
      </c>
      <c r="M2864" t="s">
        <v>37794</v>
      </c>
      <c r="N2864" t="s">
        <v>40436</v>
      </c>
      <c r="O2864" t="s">
        <v>40437</v>
      </c>
      <c r="P2864">
        <v>0</v>
      </c>
      <c r="Q2864">
        <v>0</v>
      </c>
      <c r="R2864" t="s">
        <v>40439</v>
      </c>
      <c r="S2864" t="s">
        <v>40588</v>
      </c>
      <c r="T2864" t="s">
        <v>42218</v>
      </c>
      <c r="U2864" t="s">
        <v>45117</v>
      </c>
      <c r="V2864" t="s">
        <v>54097</v>
      </c>
      <c r="W2864" t="s">
        <v>37794</v>
      </c>
      <c r="X2864" t="s">
        <v>40440</v>
      </c>
    </row>
    <row r="2865" spans="1:24">
      <c r="A2865">
        <f>HYPERLINK("https://www.philgeps.gov.ph/GEPSNONPILOT/Tender/SplashBidNoticeAbstractUI.aspx?menuIndex=3&amp;refID=7044662&amp;Result=3","7044662")</f>
        <v>0</v>
      </c>
      <c r="B2865" t="s">
        <v>1139</v>
      </c>
      <c r="C2865" t="s">
        <v>5805</v>
      </c>
      <c r="D2865" t="s">
        <v>16197</v>
      </c>
      <c r="E2865" t="s">
        <v>17247</v>
      </c>
      <c r="F2865" t="s">
        <v>28198</v>
      </c>
      <c r="G2865" t="s">
        <v>28206</v>
      </c>
      <c r="H2865" t="s">
        <v>28215</v>
      </c>
      <c r="I2865" t="s">
        <v>4219</v>
      </c>
      <c r="J2865" t="s">
        <v>30263</v>
      </c>
      <c r="K2865" t="s">
        <v>36691</v>
      </c>
      <c r="M2865" t="s">
        <v>38179</v>
      </c>
      <c r="N2865" t="s">
        <v>40436</v>
      </c>
      <c r="O2865" t="s">
        <v>40437</v>
      </c>
      <c r="P2865">
        <v>0</v>
      </c>
      <c r="Q2865">
        <v>0</v>
      </c>
      <c r="R2865" t="s">
        <v>40439</v>
      </c>
      <c r="S2865" t="s">
        <v>40588</v>
      </c>
      <c r="T2865" t="s">
        <v>42131</v>
      </c>
      <c r="U2865" t="s">
        <v>43855</v>
      </c>
      <c r="W2865" t="s">
        <v>38179</v>
      </c>
      <c r="X2865" t="s">
        <v>40440</v>
      </c>
    </row>
    <row r="2866" spans="1:24">
      <c r="A2866">
        <f>HYPERLINK("https://www.philgeps.gov.ph/GEPSNONPILOT/Tender/SplashBidNoticeAbstractUI.aspx?menuIndex=3&amp;refID=7044648&amp;Result=3","7044648")</f>
        <v>0</v>
      </c>
      <c r="B2866" t="s">
        <v>176</v>
      </c>
      <c r="C2866" t="s">
        <v>5830</v>
      </c>
      <c r="D2866" t="s">
        <v>16217</v>
      </c>
      <c r="E2866" t="s">
        <v>18885</v>
      </c>
      <c r="F2866" t="s">
        <v>28198</v>
      </c>
      <c r="G2866" t="s">
        <v>28207</v>
      </c>
      <c r="H2866" t="s">
        <v>28215</v>
      </c>
      <c r="I2866" t="s">
        <v>28287</v>
      </c>
      <c r="J2866" t="s">
        <v>28414</v>
      </c>
      <c r="K2866" t="s">
        <v>36706</v>
      </c>
      <c r="M2866" t="s">
        <v>37150</v>
      </c>
      <c r="N2866" t="s">
        <v>40436</v>
      </c>
      <c r="O2866" t="s">
        <v>40437</v>
      </c>
      <c r="P2866">
        <v>0</v>
      </c>
      <c r="Q2866">
        <v>1</v>
      </c>
      <c r="R2866" t="s">
        <v>40439</v>
      </c>
      <c r="S2866" t="s">
        <v>40588</v>
      </c>
      <c r="T2866" t="s">
        <v>42112</v>
      </c>
      <c r="U2866" t="s">
        <v>45118</v>
      </c>
      <c r="W2866" t="s">
        <v>37150</v>
      </c>
      <c r="X2866" t="s">
        <v>40440</v>
      </c>
    </row>
    <row r="2867" spans="1:24">
      <c r="A2867">
        <f>HYPERLINK("https://www.philgeps.gov.ph/GEPSNONPILOT/Tender/SplashBidNoticeAbstractUI.aspx?menuIndex=3&amp;refID=7044661&amp;Result=3","7044661")</f>
        <v>0</v>
      </c>
      <c r="B2867" t="s">
        <v>595</v>
      </c>
      <c r="C2867" t="s">
        <v>5831</v>
      </c>
      <c r="D2867" t="s">
        <v>16212</v>
      </c>
      <c r="E2867" t="s">
        <v>18886</v>
      </c>
      <c r="F2867" t="s">
        <v>28198</v>
      </c>
      <c r="G2867" t="s">
        <v>28207</v>
      </c>
      <c r="H2867" t="s">
        <v>28217</v>
      </c>
      <c r="I2867" t="s">
        <v>3422</v>
      </c>
      <c r="J2867" t="s">
        <v>28694</v>
      </c>
      <c r="K2867" t="s">
        <v>36704</v>
      </c>
      <c r="M2867" t="s">
        <v>37584</v>
      </c>
      <c r="N2867" t="s">
        <v>40436</v>
      </c>
      <c r="O2867" t="s">
        <v>40437</v>
      </c>
      <c r="P2867">
        <v>0</v>
      </c>
      <c r="Q2867">
        <v>0</v>
      </c>
      <c r="R2867" t="s">
        <v>40439</v>
      </c>
      <c r="S2867" t="s">
        <v>40588</v>
      </c>
      <c r="T2867" t="s">
        <v>42339</v>
      </c>
      <c r="U2867" t="s">
        <v>45119</v>
      </c>
      <c r="W2867" t="s">
        <v>37584</v>
      </c>
      <c r="X2867" t="s">
        <v>40440</v>
      </c>
    </row>
    <row r="2868" spans="1:24">
      <c r="A2868">
        <f>HYPERLINK("https://www.philgeps.gov.ph/GEPSNONPILOT/Tender/SplashBidNoticeAbstractUI.aspx?menuIndex=3&amp;refID=7044664&amp;Result=3","7044664")</f>
        <v>0</v>
      </c>
      <c r="B2868" t="s">
        <v>1146</v>
      </c>
      <c r="C2868" t="s">
        <v>5832</v>
      </c>
      <c r="D2868" t="s">
        <v>16236</v>
      </c>
      <c r="E2868" t="s">
        <v>17230</v>
      </c>
      <c r="F2868" t="s">
        <v>28198</v>
      </c>
      <c r="G2868" t="s">
        <v>28205</v>
      </c>
      <c r="H2868" t="s">
        <v>28214</v>
      </c>
      <c r="I2868" t="s">
        <v>3797</v>
      </c>
      <c r="J2868" t="s">
        <v>28352</v>
      </c>
      <c r="K2868" t="s">
        <v>36715</v>
      </c>
      <c r="M2868" t="s">
        <v>38186</v>
      </c>
      <c r="N2868" t="s">
        <v>40436</v>
      </c>
      <c r="O2868" t="s">
        <v>40437</v>
      </c>
      <c r="P2868">
        <v>0</v>
      </c>
      <c r="Q2868">
        <v>0</v>
      </c>
      <c r="R2868" t="s">
        <v>40439</v>
      </c>
      <c r="S2868" t="s">
        <v>40588</v>
      </c>
      <c r="T2868" t="s">
        <v>42105</v>
      </c>
      <c r="U2868" t="s">
        <v>45120</v>
      </c>
      <c r="W2868" t="s">
        <v>38186</v>
      </c>
      <c r="X2868" t="s">
        <v>40440</v>
      </c>
    </row>
    <row r="2869" spans="1:24">
      <c r="A2869">
        <f>HYPERLINK("https://www.philgeps.gov.ph/GEPSNONPILOT/Tender/SplashBidNoticeAbstractUI.aspx?menuIndex=3&amp;refID=7044677&amp;Result=3","7044677")</f>
        <v>0</v>
      </c>
      <c r="B2869" t="s">
        <v>809</v>
      </c>
      <c r="C2869" t="s">
        <v>5833</v>
      </c>
      <c r="D2869" t="s">
        <v>16260</v>
      </c>
      <c r="E2869" t="s">
        <v>18887</v>
      </c>
      <c r="F2869" t="s">
        <v>28198</v>
      </c>
      <c r="G2869" t="s">
        <v>28207</v>
      </c>
      <c r="H2869" t="s">
        <v>28215</v>
      </c>
      <c r="I2869" t="s">
        <v>28224</v>
      </c>
      <c r="J2869" t="s">
        <v>30282</v>
      </c>
      <c r="K2869" t="s">
        <v>36689</v>
      </c>
      <c r="M2869" t="s">
        <v>37818</v>
      </c>
      <c r="N2869" t="s">
        <v>40436</v>
      </c>
      <c r="O2869" t="s">
        <v>40437</v>
      </c>
      <c r="P2869">
        <v>0</v>
      </c>
      <c r="Q2869">
        <v>0</v>
      </c>
      <c r="R2869" t="s">
        <v>40439</v>
      </c>
      <c r="S2869" t="s">
        <v>40588</v>
      </c>
      <c r="T2869" t="s">
        <v>42169</v>
      </c>
      <c r="U2869" t="s">
        <v>45121</v>
      </c>
      <c r="W2869" t="s">
        <v>37818</v>
      </c>
      <c r="X2869" t="s">
        <v>40440</v>
      </c>
    </row>
    <row r="2870" spans="1:24">
      <c r="A2870">
        <f>HYPERLINK("https://www.philgeps.gov.ph/GEPSNONPILOT/Tender/SplashBidNoticeAbstractUI.aspx?menuIndex=3&amp;refID=7044678&amp;Result=3","7044678")</f>
        <v>0</v>
      </c>
      <c r="B2870" t="s">
        <v>583</v>
      </c>
      <c r="C2870" t="s">
        <v>5834</v>
      </c>
      <c r="D2870" t="s">
        <v>16235</v>
      </c>
      <c r="E2870" t="s">
        <v>18888</v>
      </c>
      <c r="F2870" t="s">
        <v>28198</v>
      </c>
      <c r="G2870" t="s">
        <v>28207</v>
      </c>
      <c r="H2870" t="s">
        <v>28215</v>
      </c>
      <c r="I2870" t="s">
        <v>28249</v>
      </c>
      <c r="J2870" t="s">
        <v>29156</v>
      </c>
      <c r="K2870" t="s">
        <v>36701</v>
      </c>
      <c r="M2870" t="s">
        <v>37573</v>
      </c>
      <c r="N2870" t="s">
        <v>40436</v>
      </c>
      <c r="O2870" t="s">
        <v>40437</v>
      </c>
      <c r="P2870">
        <v>0</v>
      </c>
      <c r="Q2870">
        <v>0</v>
      </c>
      <c r="R2870" t="s">
        <v>40439</v>
      </c>
      <c r="S2870" t="s">
        <v>40588</v>
      </c>
      <c r="T2870" t="s">
        <v>42262</v>
      </c>
      <c r="U2870" t="s">
        <v>45122</v>
      </c>
      <c r="V2870" t="s">
        <v>54098</v>
      </c>
      <c r="W2870" t="s">
        <v>37573</v>
      </c>
      <c r="X2870" t="s">
        <v>40440</v>
      </c>
    </row>
    <row r="2871" spans="1:24">
      <c r="A2871">
        <f>HYPERLINK("https://www.philgeps.gov.ph/GEPSNONPILOT/Tender/SplashBidNoticeAbstractUI.aspx?menuIndex=3&amp;refID=7044679&amp;Result=3","7044679")</f>
        <v>0</v>
      </c>
      <c r="B2871" t="s">
        <v>1124</v>
      </c>
      <c r="C2871" t="s">
        <v>5835</v>
      </c>
      <c r="D2871" t="s">
        <v>16188</v>
      </c>
      <c r="E2871" t="s">
        <v>18889</v>
      </c>
      <c r="F2871" t="s">
        <v>28198</v>
      </c>
      <c r="G2871" t="s">
        <v>28210</v>
      </c>
      <c r="H2871" t="s">
        <v>28215</v>
      </c>
      <c r="I2871" t="s">
        <v>5656</v>
      </c>
      <c r="J2871" t="s">
        <v>28539</v>
      </c>
      <c r="K2871" t="s">
        <v>36706</v>
      </c>
      <c r="M2871" t="s">
        <v>38162</v>
      </c>
      <c r="N2871" t="s">
        <v>40436</v>
      </c>
      <c r="O2871" t="s">
        <v>40437</v>
      </c>
      <c r="P2871">
        <v>0</v>
      </c>
      <c r="Q2871">
        <v>0</v>
      </c>
      <c r="R2871" t="s">
        <v>40439</v>
      </c>
      <c r="S2871" t="s">
        <v>40588</v>
      </c>
      <c r="T2871" t="s">
        <v>42161</v>
      </c>
      <c r="U2871" t="s">
        <v>45123</v>
      </c>
      <c r="W2871" t="s">
        <v>38162</v>
      </c>
      <c r="X2871" t="s">
        <v>40440</v>
      </c>
    </row>
    <row r="2872" spans="1:24">
      <c r="A2872">
        <f>HYPERLINK("https://www.philgeps.gov.ph/GEPSNONPILOT/Tender/SplashBidNoticeAbstractUI.aspx?menuIndex=3&amp;refID=7044660&amp;Result=3","7044660")</f>
        <v>0</v>
      </c>
      <c r="B2872" t="s">
        <v>1147</v>
      </c>
      <c r="C2872" t="s">
        <v>5836</v>
      </c>
      <c r="D2872" t="s">
        <v>16213</v>
      </c>
      <c r="E2872" t="s">
        <v>18890</v>
      </c>
      <c r="F2872" t="s">
        <v>28198</v>
      </c>
      <c r="G2872" t="s">
        <v>28207</v>
      </c>
      <c r="H2872" t="s">
        <v>28215</v>
      </c>
      <c r="I2872" t="s">
        <v>28238</v>
      </c>
      <c r="J2872" t="s">
        <v>28414</v>
      </c>
      <c r="K2872" t="s">
        <v>36698</v>
      </c>
      <c r="M2872" t="s">
        <v>38187</v>
      </c>
      <c r="N2872" t="s">
        <v>40436</v>
      </c>
      <c r="O2872" t="s">
        <v>40437</v>
      </c>
      <c r="P2872">
        <v>0</v>
      </c>
      <c r="Q2872">
        <v>0</v>
      </c>
      <c r="R2872" t="s">
        <v>40439</v>
      </c>
      <c r="S2872" t="s">
        <v>40588</v>
      </c>
      <c r="T2872" t="s">
        <v>42161</v>
      </c>
      <c r="U2872" t="s">
        <v>45124</v>
      </c>
      <c r="W2872" t="s">
        <v>38187</v>
      </c>
      <c r="X2872" t="s">
        <v>40440</v>
      </c>
    </row>
    <row r="2873" spans="1:24">
      <c r="A2873">
        <f>HYPERLINK("https://www.philgeps.gov.ph/GEPSNONPILOT/Tender/SplashBidNoticeAbstractUI.aspx?menuIndex=3&amp;refID=7044672&amp;Result=3","7044672")</f>
        <v>0</v>
      </c>
      <c r="B2873" t="s">
        <v>461</v>
      </c>
      <c r="C2873" t="s">
        <v>5837</v>
      </c>
      <c r="D2873" t="s">
        <v>16208</v>
      </c>
      <c r="E2873" t="s">
        <v>18891</v>
      </c>
      <c r="F2873" t="s">
        <v>28198</v>
      </c>
      <c r="G2873" t="s">
        <v>28209</v>
      </c>
      <c r="H2873" t="s">
        <v>28215</v>
      </c>
      <c r="I2873" t="s">
        <v>28222</v>
      </c>
      <c r="J2873" t="s">
        <v>30283</v>
      </c>
      <c r="K2873" t="s">
        <v>36689</v>
      </c>
      <c r="M2873" t="s">
        <v>37445</v>
      </c>
      <c r="N2873" t="s">
        <v>40436</v>
      </c>
      <c r="O2873" t="s">
        <v>40437</v>
      </c>
      <c r="P2873">
        <v>0</v>
      </c>
      <c r="Q2873">
        <v>2</v>
      </c>
      <c r="R2873" t="s">
        <v>40439</v>
      </c>
      <c r="S2873" t="s">
        <v>40588</v>
      </c>
      <c r="T2873" t="s">
        <v>42133</v>
      </c>
      <c r="U2873" t="s">
        <v>45125</v>
      </c>
      <c r="W2873" t="s">
        <v>37445</v>
      </c>
      <c r="X2873" t="s">
        <v>40440</v>
      </c>
    </row>
    <row r="2874" spans="1:24">
      <c r="A2874">
        <f>HYPERLINK("https://www.philgeps.gov.ph/GEPSNONPILOT/Tender/SplashBidNoticeAbstractUI.aspx?menuIndex=3&amp;refID=7044680&amp;Result=3","7044680")</f>
        <v>0</v>
      </c>
      <c r="B2874" t="s">
        <v>1140</v>
      </c>
      <c r="C2874" t="s">
        <v>5838</v>
      </c>
      <c r="D2874" t="s">
        <v>16252</v>
      </c>
      <c r="E2874" t="s">
        <v>18892</v>
      </c>
      <c r="F2874" t="s">
        <v>28198</v>
      </c>
      <c r="G2874" t="s">
        <v>28205</v>
      </c>
      <c r="H2874" t="s">
        <v>28215</v>
      </c>
      <c r="I2874" t="s">
        <v>5082</v>
      </c>
      <c r="J2874" t="s">
        <v>30284</v>
      </c>
      <c r="K2874" t="s">
        <v>36706</v>
      </c>
      <c r="M2874" t="s">
        <v>38180</v>
      </c>
      <c r="N2874" t="s">
        <v>40436</v>
      </c>
      <c r="O2874" t="s">
        <v>40437</v>
      </c>
      <c r="P2874">
        <v>0</v>
      </c>
      <c r="Q2874">
        <v>0</v>
      </c>
      <c r="R2874" t="s">
        <v>40439</v>
      </c>
      <c r="S2874" t="s">
        <v>40588</v>
      </c>
      <c r="T2874" t="s">
        <v>42337</v>
      </c>
      <c r="U2874" t="s">
        <v>43698</v>
      </c>
      <c r="W2874" t="s">
        <v>38180</v>
      </c>
      <c r="X2874" t="s">
        <v>40440</v>
      </c>
    </row>
    <row r="2875" spans="1:24">
      <c r="A2875">
        <f>HYPERLINK("https://www.philgeps.gov.ph/GEPSNONPILOT/Tender/SplashBidNoticeAbstractUI.aspx?menuIndex=3&amp;refID=7044674&amp;Result=3","7044674")</f>
        <v>0</v>
      </c>
      <c r="B2875" t="s">
        <v>72</v>
      </c>
      <c r="C2875" t="s">
        <v>5839</v>
      </c>
      <c r="D2875" t="s">
        <v>16216</v>
      </c>
      <c r="E2875" t="s">
        <v>18893</v>
      </c>
      <c r="F2875" t="s">
        <v>28198</v>
      </c>
      <c r="G2875" t="s">
        <v>28207</v>
      </c>
      <c r="H2875" t="s">
        <v>28215</v>
      </c>
      <c r="I2875" t="s">
        <v>5082</v>
      </c>
      <c r="J2875" t="s">
        <v>30285</v>
      </c>
      <c r="K2875" t="s">
        <v>36708</v>
      </c>
      <c r="M2875" t="s">
        <v>38170</v>
      </c>
      <c r="N2875" t="s">
        <v>40436</v>
      </c>
      <c r="O2875" t="s">
        <v>40437</v>
      </c>
      <c r="P2875">
        <v>0</v>
      </c>
      <c r="Q2875">
        <v>2</v>
      </c>
      <c r="R2875" t="s">
        <v>40439</v>
      </c>
      <c r="S2875" t="s">
        <v>40588</v>
      </c>
      <c r="T2875" t="s">
        <v>42218</v>
      </c>
      <c r="U2875" t="s">
        <v>45126</v>
      </c>
      <c r="W2875" t="s">
        <v>38170</v>
      </c>
      <c r="X2875" t="s">
        <v>40440</v>
      </c>
    </row>
    <row r="2876" spans="1:24">
      <c r="A2876">
        <f>HYPERLINK("https://www.philgeps.gov.ph/GEPSNONPILOT/Tender/SplashBidNoticeAbstractUI.aspx?menuIndex=3&amp;refID=7044669&amp;Result=3","7044669")</f>
        <v>0</v>
      </c>
      <c r="B2876" t="s">
        <v>1148</v>
      </c>
      <c r="C2876" t="s">
        <v>5840</v>
      </c>
      <c r="D2876" t="s">
        <v>16188</v>
      </c>
      <c r="E2876" t="s">
        <v>17020</v>
      </c>
      <c r="F2876" t="s">
        <v>28198</v>
      </c>
      <c r="G2876" t="s">
        <v>28207</v>
      </c>
      <c r="H2876" t="s">
        <v>28215</v>
      </c>
      <c r="I2876" t="s">
        <v>5100</v>
      </c>
      <c r="J2876" t="s">
        <v>30286</v>
      </c>
      <c r="K2876" t="s">
        <v>36715</v>
      </c>
      <c r="M2876" t="s">
        <v>38188</v>
      </c>
      <c r="N2876" t="s">
        <v>40436</v>
      </c>
      <c r="O2876" t="s">
        <v>40437</v>
      </c>
      <c r="P2876">
        <v>0</v>
      </c>
      <c r="Q2876">
        <v>0</v>
      </c>
      <c r="R2876" t="s">
        <v>40439</v>
      </c>
      <c r="S2876" t="s">
        <v>40588</v>
      </c>
      <c r="T2876" t="s">
        <v>42190</v>
      </c>
      <c r="U2876" t="s">
        <v>45127</v>
      </c>
      <c r="W2876" t="s">
        <v>38188</v>
      </c>
      <c r="X2876" t="s">
        <v>40440</v>
      </c>
    </row>
    <row r="2877" spans="1:24">
      <c r="A2877">
        <f>HYPERLINK("https://www.philgeps.gov.ph/GEPSNONPILOT/Tender/SplashBidNoticeAbstractUI.aspx?menuIndex=3&amp;refID=7044671&amp;Result=3","7044671")</f>
        <v>0</v>
      </c>
      <c r="B2877" t="s">
        <v>285</v>
      </c>
      <c r="C2877" t="s">
        <v>5841</v>
      </c>
      <c r="E2877" t="s">
        <v>18894</v>
      </c>
      <c r="F2877" t="s">
        <v>28198</v>
      </c>
      <c r="G2877" t="s">
        <v>28207</v>
      </c>
      <c r="H2877" t="s">
        <v>28215</v>
      </c>
      <c r="I2877" t="s">
        <v>28249</v>
      </c>
      <c r="J2877" t="s">
        <v>30287</v>
      </c>
      <c r="K2877" t="s">
        <v>36689</v>
      </c>
      <c r="M2877" t="s">
        <v>37262</v>
      </c>
      <c r="N2877" t="s">
        <v>40436</v>
      </c>
      <c r="O2877" t="s">
        <v>40437</v>
      </c>
      <c r="P2877">
        <v>0</v>
      </c>
      <c r="Q2877">
        <v>0</v>
      </c>
      <c r="R2877" t="s">
        <v>40439</v>
      </c>
      <c r="S2877" t="s">
        <v>40588</v>
      </c>
      <c r="T2877" t="s">
        <v>42190</v>
      </c>
      <c r="U2877" t="s">
        <v>45128</v>
      </c>
      <c r="W2877" t="s">
        <v>37262</v>
      </c>
      <c r="X2877" t="s">
        <v>40440</v>
      </c>
    </row>
    <row r="2878" spans="1:24">
      <c r="A2878">
        <f>HYPERLINK("https://www.philgeps.gov.ph/GEPSNONPILOT/Tender/SplashBidNoticeAbstractUI.aspx?menuIndex=3&amp;refID=7044673&amp;Result=3","7044673")</f>
        <v>0</v>
      </c>
      <c r="B2878" t="s">
        <v>100</v>
      </c>
      <c r="C2878" t="s">
        <v>5842</v>
      </c>
      <c r="D2878" t="s">
        <v>16228</v>
      </c>
      <c r="E2878" t="s">
        <v>18895</v>
      </c>
      <c r="F2878" t="s">
        <v>28198</v>
      </c>
      <c r="G2878" t="s">
        <v>28205</v>
      </c>
      <c r="H2878" t="s">
        <v>28215</v>
      </c>
      <c r="I2878" t="s">
        <v>28257</v>
      </c>
      <c r="J2878" t="s">
        <v>30156</v>
      </c>
      <c r="K2878" t="s">
        <v>36701</v>
      </c>
      <c r="M2878" t="s">
        <v>38133</v>
      </c>
      <c r="N2878" t="s">
        <v>40436</v>
      </c>
      <c r="O2878" t="s">
        <v>40437</v>
      </c>
      <c r="P2878">
        <v>0</v>
      </c>
      <c r="Q2878">
        <v>0</v>
      </c>
      <c r="R2878" t="s">
        <v>40439</v>
      </c>
      <c r="S2878" t="s">
        <v>40588</v>
      </c>
      <c r="T2878" t="s">
        <v>42134</v>
      </c>
      <c r="U2878" t="s">
        <v>42767</v>
      </c>
      <c r="V2878" t="s">
        <v>53798</v>
      </c>
      <c r="W2878" t="s">
        <v>38133</v>
      </c>
      <c r="X2878" t="s">
        <v>40440</v>
      </c>
    </row>
    <row r="2879" spans="1:24">
      <c r="A2879">
        <f>HYPERLINK("https://www.philgeps.gov.ph/GEPSNONPILOT/Tender/SplashBidNoticeAbstractUI.aspx?menuIndex=3&amp;refID=7044668&amp;Result=3","7044668")</f>
        <v>0</v>
      </c>
      <c r="B2879" t="s">
        <v>1108</v>
      </c>
      <c r="C2879" t="s">
        <v>5843</v>
      </c>
      <c r="D2879" t="s">
        <v>16193</v>
      </c>
      <c r="E2879" t="s">
        <v>18896</v>
      </c>
      <c r="F2879" t="s">
        <v>28198</v>
      </c>
      <c r="G2879" t="s">
        <v>28205</v>
      </c>
      <c r="H2879" t="s">
        <v>28215</v>
      </c>
      <c r="I2879" t="s">
        <v>5100</v>
      </c>
      <c r="J2879" t="s">
        <v>29251</v>
      </c>
      <c r="K2879" t="s">
        <v>36707</v>
      </c>
      <c r="M2879" t="s">
        <v>38144</v>
      </c>
      <c r="N2879" t="s">
        <v>40436</v>
      </c>
      <c r="O2879" t="s">
        <v>40437</v>
      </c>
      <c r="P2879">
        <v>0</v>
      </c>
      <c r="Q2879">
        <v>0</v>
      </c>
      <c r="R2879" t="s">
        <v>40439</v>
      </c>
      <c r="S2879" t="s">
        <v>40588</v>
      </c>
      <c r="T2879" t="s">
        <v>42183</v>
      </c>
      <c r="U2879" t="s">
        <v>45129</v>
      </c>
      <c r="W2879" t="s">
        <v>38144</v>
      </c>
      <c r="X2879" t="s">
        <v>40440</v>
      </c>
    </row>
    <row r="2880" spans="1:24">
      <c r="A2880">
        <f>HYPERLINK("https://www.philgeps.gov.ph/GEPSNONPILOT/Tender/SplashBidNoticeAbstractUI.aspx?menuIndex=3&amp;refID=7044667&amp;Result=3","7044667")</f>
        <v>0</v>
      </c>
      <c r="B2880" t="s">
        <v>1135</v>
      </c>
      <c r="C2880" t="s">
        <v>5791</v>
      </c>
      <c r="D2880" t="s">
        <v>16209</v>
      </c>
      <c r="E2880" t="s">
        <v>18897</v>
      </c>
      <c r="F2880" t="s">
        <v>28198</v>
      </c>
      <c r="G2880" t="s">
        <v>28205</v>
      </c>
      <c r="H2880" t="s">
        <v>28215</v>
      </c>
      <c r="I2880" t="s">
        <v>5791</v>
      </c>
      <c r="J2880" t="s">
        <v>30288</v>
      </c>
      <c r="K2880" t="s">
        <v>36706</v>
      </c>
      <c r="M2880" t="s">
        <v>38174</v>
      </c>
      <c r="N2880" t="s">
        <v>40436</v>
      </c>
      <c r="O2880" t="s">
        <v>40437</v>
      </c>
      <c r="P2880">
        <v>0</v>
      </c>
      <c r="Q2880">
        <v>0</v>
      </c>
      <c r="R2880" t="s">
        <v>40439</v>
      </c>
      <c r="S2880" t="s">
        <v>40588</v>
      </c>
      <c r="T2880" t="s">
        <v>42108</v>
      </c>
      <c r="U2880" t="s">
        <v>45130</v>
      </c>
      <c r="W2880" t="s">
        <v>38174</v>
      </c>
      <c r="X2880" t="s">
        <v>40440</v>
      </c>
    </row>
    <row r="2881" spans="1:24">
      <c r="A2881">
        <f>HYPERLINK("https://www.philgeps.gov.ph/GEPSNONPILOT/Tender/SplashBidNoticeAbstractUI.aspx?menuIndex=3&amp;refID=7044675&amp;Result=3","7044675")</f>
        <v>0</v>
      </c>
      <c r="B2881" t="s">
        <v>175</v>
      </c>
      <c r="C2881" t="s">
        <v>5844</v>
      </c>
      <c r="D2881" t="s">
        <v>16244</v>
      </c>
      <c r="E2881" t="s">
        <v>18898</v>
      </c>
      <c r="F2881" t="s">
        <v>28198</v>
      </c>
      <c r="G2881" t="s">
        <v>28206</v>
      </c>
      <c r="H2881" t="s">
        <v>28215</v>
      </c>
      <c r="I2881" t="s">
        <v>5656</v>
      </c>
      <c r="J2881" t="s">
        <v>29473</v>
      </c>
      <c r="K2881" t="s">
        <v>36688</v>
      </c>
      <c r="M2881" t="s">
        <v>37149</v>
      </c>
      <c r="N2881" t="s">
        <v>40436</v>
      </c>
      <c r="O2881" t="s">
        <v>40437</v>
      </c>
      <c r="P2881">
        <v>0</v>
      </c>
      <c r="Q2881">
        <v>0</v>
      </c>
      <c r="R2881" t="s">
        <v>40439</v>
      </c>
      <c r="S2881" t="s">
        <v>40588</v>
      </c>
      <c r="T2881" t="s">
        <v>42185</v>
      </c>
      <c r="U2881" t="s">
        <v>42905</v>
      </c>
      <c r="W2881" t="s">
        <v>37149</v>
      </c>
      <c r="X2881" t="s">
        <v>40440</v>
      </c>
    </row>
    <row r="2882" spans="1:24">
      <c r="A2882">
        <f>HYPERLINK("https://www.philgeps.gov.ph/GEPSNONPILOT/Tender/SplashBidNoticeAbstractUI.aspx?menuIndex=3&amp;refID=7044681&amp;Result=3","7044681")</f>
        <v>0</v>
      </c>
      <c r="B2882" t="s">
        <v>1137</v>
      </c>
      <c r="C2882" t="s">
        <v>5845</v>
      </c>
      <c r="D2882" t="s">
        <v>16199</v>
      </c>
      <c r="E2882" t="s">
        <v>18899</v>
      </c>
      <c r="F2882" t="s">
        <v>28198</v>
      </c>
      <c r="G2882" t="s">
        <v>28207</v>
      </c>
      <c r="H2882" t="s">
        <v>28215</v>
      </c>
      <c r="I2882" t="s">
        <v>8870</v>
      </c>
      <c r="J2882" t="s">
        <v>30289</v>
      </c>
      <c r="K2882" t="s">
        <v>36698</v>
      </c>
      <c r="M2882" t="s">
        <v>38177</v>
      </c>
      <c r="N2882" t="s">
        <v>40436</v>
      </c>
      <c r="O2882" t="s">
        <v>40437</v>
      </c>
      <c r="P2882">
        <v>0</v>
      </c>
      <c r="Q2882">
        <v>1</v>
      </c>
      <c r="R2882" t="s">
        <v>40439</v>
      </c>
      <c r="S2882" t="s">
        <v>40588</v>
      </c>
      <c r="T2882" t="s">
        <v>42177</v>
      </c>
      <c r="U2882" t="s">
        <v>45131</v>
      </c>
      <c r="W2882" t="s">
        <v>38177</v>
      </c>
      <c r="X2882" t="s">
        <v>40440</v>
      </c>
    </row>
    <row r="2883" spans="1:24">
      <c r="A2883">
        <f>HYPERLINK("https://www.philgeps.gov.ph/GEPSNONPILOT/Tender/SplashBidNoticeAbstractUI.aspx?menuIndex=3&amp;refID=7044684&amp;Result=3","7044684")</f>
        <v>0</v>
      </c>
      <c r="B2883" t="s">
        <v>221</v>
      </c>
      <c r="C2883" t="s">
        <v>5846</v>
      </c>
      <c r="D2883" t="s">
        <v>16217</v>
      </c>
      <c r="E2883" t="s">
        <v>18900</v>
      </c>
      <c r="F2883" t="s">
        <v>28198</v>
      </c>
      <c r="G2883" t="s">
        <v>28205</v>
      </c>
      <c r="H2883" t="s">
        <v>28215</v>
      </c>
      <c r="I2883" t="s">
        <v>5100</v>
      </c>
      <c r="J2883" t="s">
        <v>30290</v>
      </c>
      <c r="K2883" t="s">
        <v>36689</v>
      </c>
      <c r="M2883" t="s">
        <v>37197</v>
      </c>
      <c r="N2883" t="s">
        <v>40436</v>
      </c>
      <c r="O2883" t="s">
        <v>40437</v>
      </c>
      <c r="P2883">
        <v>0</v>
      </c>
      <c r="Q2883">
        <v>0</v>
      </c>
      <c r="R2883" t="s">
        <v>40439</v>
      </c>
      <c r="S2883" t="s">
        <v>40588</v>
      </c>
      <c r="T2883" t="s">
        <v>42180</v>
      </c>
      <c r="U2883" t="s">
        <v>45132</v>
      </c>
      <c r="W2883" t="s">
        <v>37197</v>
      </c>
      <c r="X2883" t="s">
        <v>40440</v>
      </c>
    </row>
    <row r="2884" spans="1:24">
      <c r="A2884">
        <f>HYPERLINK("https://www.philgeps.gov.ph/GEPSNONPILOT/Tender/SplashBidNoticeAbstractUI.aspx?menuIndex=3&amp;refID=7044697&amp;Result=3","7044697")</f>
        <v>0</v>
      </c>
      <c r="B2884" t="s">
        <v>100</v>
      </c>
      <c r="C2884" t="s">
        <v>5847</v>
      </c>
      <c r="D2884" t="s">
        <v>16228</v>
      </c>
      <c r="E2884" t="s">
        <v>18901</v>
      </c>
      <c r="F2884" t="s">
        <v>28198</v>
      </c>
      <c r="G2884" t="s">
        <v>28205</v>
      </c>
      <c r="H2884" t="s">
        <v>28215</v>
      </c>
      <c r="I2884" t="s">
        <v>5100</v>
      </c>
      <c r="J2884" t="s">
        <v>30291</v>
      </c>
      <c r="K2884" t="s">
        <v>36701</v>
      </c>
      <c r="M2884" t="s">
        <v>38133</v>
      </c>
      <c r="N2884" t="s">
        <v>40436</v>
      </c>
      <c r="O2884" t="s">
        <v>40437</v>
      </c>
      <c r="P2884">
        <v>0</v>
      </c>
      <c r="Q2884">
        <v>0</v>
      </c>
      <c r="R2884" t="s">
        <v>40439</v>
      </c>
      <c r="S2884" t="s">
        <v>40588</v>
      </c>
      <c r="T2884" t="s">
        <v>42134</v>
      </c>
      <c r="U2884" t="s">
        <v>42767</v>
      </c>
      <c r="V2884" t="s">
        <v>53798</v>
      </c>
      <c r="W2884" t="s">
        <v>38133</v>
      </c>
      <c r="X2884" t="s">
        <v>40440</v>
      </c>
    </row>
    <row r="2885" spans="1:24">
      <c r="A2885">
        <f>HYPERLINK("https://www.philgeps.gov.ph/GEPSNONPILOT/Tender/SplashBidNoticeAbstractUI.aspx?menuIndex=3&amp;refID=7044682&amp;Result=3","7044682")</f>
        <v>0</v>
      </c>
      <c r="B2885" t="s">
        <v>735</v>
      </c>
      <c r="C2885" t="s">
        <v>5848</v>
      </c>
      <c r="D2885" t="s">
        <v>16227</v>
      </c>
      <c r="E2885" t="s">
        <v>18902</v>
      </c>
      <c r="F2885" t="s">
        <v>28198</v>
      </c>
      <c r="G2885" t="s">
        <v>28206</v>
      </c>
      <c r="H2885" t="s">
        <v>28215</v>
      </c>
      <c r="I2885" t="s">
        <v>28227</v>
      </c>
      <c r="J2885" t="s">
        <v>30292</v>
      </c>
      <c r="K2885" t="s">
        <v>36698</v>
      </c>
      <c r="M2885" t="s">
        <v>37738</v>
      </c>
      <c r="N2885" t="s">
        <v>40436</v>
      </c>
      <c r="O2885" t="s">
        <v>40437</v>
      </c>
      <c r="P2885">
        <v>0</v>
      </c>
      <c r="Q2885">
        <v>0</v>
      </c>
      <c r="R2885" t="s">
        <v>40439</v>
      </c>
      <c r="S2885" t="s">
        <v>40588</v>
      </c>
      <c r="T2885" t="s">
        <v>42233</v>
      </c>
      <c r="U2885" t="s">
        <v>45133</v>
      </c>
      <c r="W2885" t="s">
        <v>37738</v>
      </c>
      <c r="X2885" t="s">
        <v>40440</v>
      </c>
    </row>
    <row r="2886" spans="1:24">
      <c r="A2886">
        <f>HYPERLINK("https://www.philgeps.gov.ph/GEPSNONPILOT/Tender/SplashBidNoticeAbstractUI.aspx?menuIndex=3&amp;refID=7044698&amp;Result=3","7044698")</f>
        <v>0</v>
      </c>
      <c r="B2886" t="s">
        <v>121</v>
      </c>
      <c r="C2886" t="s">
        <v>5849</v>
      </c>
      <c r="D2886" t="s">
        <v>16207</v>
      </c>
      <c r="E2886" t="s">
        <v>18903</v>
      </c>
      <c r="F2886" t="s">
        <v>28198</v>
      </c>
      <c r="G2886" t="s">
        <v>28207</v>
      </c>
      <c r="H2886" t="s">
        <v>28215</v>
      </c>
      <c r="I2886" t="s">
        <v>4200</v>
      </c>
      <c r="J2886" t="s">
        <v>30293</v>
      </c>
      <c r="K2886" t="s">
        <v>36706</v>
      </c>
      <c r="M2886" t="s">
        <v>38147</v>
      </c>
      <c r="N2886" t="s">
        <v>40436</v>
      </c>
      <c r="O2886" t="s">
        <v>40437</v>
      </c>
      <c r="P2886">
        <v>0</v>
      </c>
      <c r="Q2886">
        <v>0</v>
      </c>
      <c r="R2886" t="s">
        <v>40439</v>
      </c>
      <c r="S2886" t="s">
        <v>40588</v>
      </c>
      <c r="T2886" t="s">
        <v>42158</v>
      </c>
      <c r="U2886" t="s">
        <v>45134</v>
      </c>
      <c r="W2886" t="s">
        <v>38147</v>
      </c>
      <c r="X2886" t="s">
        <v>40440</v>
      </c>
    </row>
    <row r="2887" spans="1:24">
      <c r="A2887">
        <f>HYPERLINK("https://www.philgeps.gov.ph/GEPSNONPILOT/Tender/SplashBidNoticeAbstractUI.aspx?menuIndex=3&amp;refID=7044699&amp;Result=3","7044699")</f>
        <v>0</v>
      </c>
      <c r="B2887" t="s">
        <v>1149</v>
      </c>
      <c r="C2887" t="s">
        <v>5850</v>
      </c>
      <c r="D2887" t="s">
        <v>16258</v>
      </c>
      <c r="E2887" t="s">
        <v>18904</v>
      </c>
      <c r="F2887" t="s">
        <v>28198</v>
      </c>
      <c r="G2887" t="s">
        <v>28207</v>
      </c>
      <c r="H2887" t="s">
        <v>28215</v>
      </c>
      <c r="I2887" t="s">
        <v>3422</v>
      </c>
      <c r="J2887" t="s">
        <v>29016</v>
      </c>
      <c r="K2887" t="s">
        <v>36689</v>
      </c>
      <c r="M2887" t="s">
        <v>38189</v>
      </c>
      <c r="N2887" t="s">
        <v>40436</v>
      </c>
      <c r="O2887" t="s">
        <v>40437</v>
      </c>
      <c r="P2887">
        <v>0</v>
      </c>
      <c r="Q2887">
        <v>0</v>
      </c>
      <c r="R2887" t="s">
        <v>40439</v>
      </c>
      <c r="S2887" t="s">
        <v>40588</v>
      </c>
      <c r="T2887" t="s">
        <v>42340</v>
      </c>
      <c r="U2887" t="s">
        <v>45135</v>
      </c>
      <c r="W2887" t="s">
        <v>55474</v>
      </c>
      <c r="X2887" t="s">
        <v>40440</v>
      </c>
    </row>
    <row r="2888" spans="1:24">
      <c r="A2888">
        <f>HYPERLINK("https://www.philgeps.gov.ph/GEPSNONPILOT/Tender/SplashBidNoticeAbstractUI.aspx?menuIndex=3&amp;refID=7044694&amp;Result=3","7044694")</f>
        <v>0</v>
      </c>
      <c r="B2888" t="s">
        <v>1150</v>
      </c>
      <c r="C2888" t="s">
        <v>5851</v>
      </c>
      <c r="D2888" t="s">
        <v>16189</v>
      </c>
      <c r="E2888" t="s">
        <v>18905</v>
      </c>
      <c r="F2888" t="s">
        <v>28198</v>
      </c>
      <c r="G2888" t="s">
        <v>28207</v>
      </c>
      <c r="H2888" t="s">
        <v>28215</v>
      </c>
      <c r="I2888" t="s">
        <v>3774</v>
      </c>
      <c r="J2888" t="s">
        <v>28486</v>
      </c>
      <c r="K2888" t="s">
        <v>36715</v>
      </c>
      <c r="M2888" t="s">
        <v>38190</v>
      </c>
      <c r="N2888" t="s">
        <v>40436</v>
      </c>
      <c r="O2888" t="s">
        <v>40437</v>
      </c>
      <c r="P2888">
        <v>0</v>
      </c>
      <c r="Q2888">
        <v>0</v>
      </c>
      <c r="R2888" t="s">
        <v>40439</v>
      </c>
      <c r="S2888" t="s">
        <v>40588</v>
      </c>
      <c r="T2888" t="s">
        <v>42159</v>
      </c>
      <c r="U2888" t="s">
        <v>45136</v>
      </c>
      <c r="W2888" t="s">
        <v>38190</v>
      </c>
      <c r="X2888" t="s">
        <v>40440</v>
      </c>
    </row>
    <row r="2889" spans="1:24">
      <c r="A2889">
        <f>HYPERLINK("https://www.philgeps.gov.ph/GEPSNONPILOT/Tender/SplashBidNoticeAbstractUI.aspx?menuIndex=3&amp;refID=7044688&amp;Result=3","7044688")</f>
        <v>0</v>
      </c>
      <c r="B2889" t="s">
        <v>1063</v>
      </c>
      <c r="C2889" t="s">
        <v>5852</v>
      </c>
      <c r="D2889" t="s">
        <v>16188</v>
      </c>
      <c r="E2889" t="s">
        <v>18906</v>
      </c>
      <c r="F2889" t="s">
        <v>28198</v>
      </c>
      <c r="G2889" t="s">
        <v>28207</v>
      </c>
      <c r="H2889" t="s">
        <v>28215</v>
      </c>
      <c r="I2889" t="s">
        <v>5103</v>
      </c>
      <c r="J2889" t="s">
        <v>28896</v>
      </c>
      <c r="K2889" t="s">
        <v>36689</v>
      </c>
      <c r="M2889" t="s">
        <v>38096</v>
      </c>
      <c r="N2889" t="s">
        <v>40436</v>
      </c>
      <c r="O2889" t="s">
        <v>40437</v>
      </c>
      <c r="P2889">
        <v>0</v>
      </c>
      <c r="Q2889">
        <v>6</v>
      </c>
      <c r="R2889" t="s">
        <v>40439</v>
      </c>
      <c r="S2889" t="s">
        <v>40588</v>
      </c>
      <c r="T2889" t="s">
        <v>42318</v>
      </c>
      <c r="U2889" t="s">
        <v>45137</v>
      </c>
      <c r="W2889" t="s">
        <v>38096</v>
      </c>
      <c r="X2889" t="s">
        <v>40440</v>
      </c>
    </row>
    <row r="2890" spans="1:24">
      <c r="A2890">
        <f>HYPERLINK("https://www.philgeps.gov.ph/GEPSNONPILOT/Tender/SplashBidNoticeAbstractUI.aspx?menuIndex=3&amp;refID=7044706&amp;Result=3","7044706")</f>
        <v>0</v>
      </c>
      <c r="B2890" t="s">
        <v>1063</v>
      </c>
      <c r="C2890" t="s">
        <v>5853</v>
      </c>
      <c r="D2890" t="s">
        <v>16188</v>
      </c>
      <c r="E2890" t="s">
        <v>18907</v>
      </c>
      <c r="F2890" t="s">
        <v>28198</v>
      </c>
      <c r="G2890" t="s">
        <v>28207</v>
      </c>
      <c r="H2890" t="s">
        <v>28215</v>
      </c>
      <c r="I2890" t="s">
        <v>5103</v>
      </c>
      <c r="J2890" t="s">
        <v>30294</v>
      </c>
      <c r="K2890" t="s">
        <v>36689</v>
      </c>
      <c r="M2890" t="s">
        <v>38096</v>
      </c>
      <c r="N2890" t="s">
        <v>40436</v>
      </c>
      <c r="O2890" t="s">
        <v>40437</v>
      </c>
      <c r="P2890">
        <v>0</v>
      </c>
      <c r="Q2890">
        <v>6</v>
      </c>
      <c r="R2890" t="s">
        <v>40439</v>
      </c>
      <c r="S2890" t="s">
        <v>40588</v>
      </c>
      <c r="T2890" t="s">
        <v>42318</v>
      </c>
      <c r="U2890" t="s">
        <v>45138</v>
      </c>
      <c r="W2890" t="s">
        <v>38096</v>
      </c>
      <c r="X2890" t="s">
        <v>40440</v>
      </c>
    </row>
    <row r="2891" spans="1:24">
      <c r="A2891">
        <f>HYPERLINK("https://www.philgeps.gov.ph/GEPSNONPILOT/Tender/SplashBidNoticeAbstractUI.aspx?menuIndex=3&amp;refID=7044695&amp;Result=3","7044695")</f>
        <v>0</v>
      </c>
      <c r="B2891" t="s">
        <v>631</v>
      </c>
      <c r="C2891" t="s">
        <v>5854</v>
      </c>
      <c r="D2891" t="s">
        <v>16209</v>
      </c>
      <c r="E2891" t="s">
        <v>18908</v>
      </c>
      <c r="F2891" t="s">
        <v>28198</v>
      </c>
      <c r="G2891" t="s">
        <v>28205</v>
      </c>
      <c r="H2891" t="s">
        <v>28215</v>
      </c>
      <c r="I2891" t="s">
        <v>5103</v>
      </c>
      <c r="J2891" t="s">
        <v>30295</v>
      </c>
      <c r="K2891" t="s">
        <v>36715</v>
      </c>
      <c r="M2891" t="s">
        <v>37624</v>
      </c>
      <c r="N2891" t="s">
        <v>40436</v>
      </c>
      <c r="O2891" t="s">
        <v>40437</v>
      </c>
      <c r="P2891">
        <v>0</v>
      </c>
      <c r="Q2891">
        <v>3</v>
      </c>
      <c r="R2891" t="s">
        <v>40439</v>
      </c>
      <c r="S2891" t="s">
        <v>40588</v>
      </c>
      <c r="T2891" t="s">
        <v>42176</v>
      </c>
      <c r="U2891" t="s">
        <v>45139</v>
      </c>
      <c r="W2891" t="s">
        <v>55455</v>
      </c>
      <c r="X2891" t="s">
        <v>40440</v>
      </c>
    </row>
    <row r="2892" spans="1:24">
      <c r="A2892">
        <f>HYPERLINK("https://www.philgeps.gov.ph/GEPSNONPILOT/Tender/SplashBidNoticeAbstractUI.aspx?menuIndex=3&amp;refID=7044704&amp;Result=3","7044704")</f>
        <v>0</v>
      </c>
      <c r="B2892" t="s">
        <v>1151</v>
      </c>
      <c r="C2892" t="s">
        <v>5855</v>
      </c>
      <c r="D2892" t="s">
        <v>16263</v>
      </c>
      <c r="E2892" t="s">
        <v>18909</v>
      </c>
      <c r="F2892" t="s">
        <v>28198</v>
      </c>
      <c r="G2892" t="s">
        <v>28206</v>
      </c>
      <c r="H2892" t="s">
        <v>28215</v>
      </c>
      <c r="I2892" t="s">
        <v>28228</v>
      </c>
      <c r="J2892" t="s">
        <v>29084</v>
      </c>
      <c r="K2892" t="s">
        <v>36707</v>
      </c>
      <c r="M2892" t="s">
        <v>38191</v>
      </c>
      <c r="N2892" t="s">
        <v>40436</v>
      </c>
      <c r="O2892" t="s">
        <v>40437</v>
      </c>
      <c r="P2892">
        <v>0</v>
      </c>
      <c r="Q2892">
        <v>0</v>
      </c>
      <c r="R2892" t="s">
        <v>40439</v>
      </c>
      <c r="S2892" t="s">
        <v>40588</v>
      </c>
      <c r="T2892" t="s">
        <v>42279</v>
      </c>
      <c r="U2892" t="s">
        <v>45140</v>
      </c>
      <c r="W2892" t="s">
        <v>38191</v>
      </c>
      <c r="X2892" t="s">
        <v>40440</v>
      </c>
    </row>
    <row r="2893" spans="1:24">
      <c r="A2893">
        <f>HYPERLINK("https://www.philgeps.gov.ph/GEPSNONPILOT/Tender/SplashBidNoticeAbstractUI.aspx?menuIndex=3&amp;refID=7044687&amp;Result=3","7044687")</f>
        <v>0</v>
      </c>
      <c r="B2893" t="s">
        <v>248</v>
      </c>
      <c r="C2893" t="s">
        <v>5856</v>
      </c>
      <c r="D2893" t="s">
        <v>16221</v>
      </c>
      <c r="E2893" t="s">
        <v>18910</v>
      </c>
      <c r="F2893" t="s">
        <v>28198</v>
      </c>
      <c r="G2893" t="s">
        <v>28205</v>
      </c>
      <c r="H2893" t="s">
        <v>28214</v>
      </c>
      <c r="I2893" t="s">
        <v>8870</v>
      </c>
      <c r="J2893" t="s">
        <v>30296</v>
      </c>
      <c r="K2893" t="s">
        <v>36697</v>
      </c>
      <c r="M2893" t="s">
        <v>37224</v>
      </c>
      <c r="N2893" t="s">
        <v>40436</v>
      </c>
      <c r="O2893" t="s">
        <v>40437</v>
      </c>
      <c r="P2893">
        <v>0</v>
      </c>
      <c r="Q2893">
        <v>5</v>
      </c>
      <c r="R2893" t="s">
        <v>40439</v>
      </c>
      <c r="S2893" t="s">
        <v>40588</v>
      </c>
      <c r="T2893" t="s">
        <v>42108</v>
      </c>
      <c r="U2893" t="s">
        <v>43006</v>
      </c>
      <c r="W2893" t="s">
        <v>37224</v>
      </c>
      <c r="X2893" t="s">
        <v>40440</v>
      </c>
    </row>
    <row r="2894" spans="1:24">
      <c r="A2894">
        <f>HYPERLINK("https://www.philgeps.gov.ph/GEPSNONPILOT/Tender/SplashBidNoticeAbstractUI.aspx?menuIndex=3&amp;refID=7044703&amp;Result=3","7044703")</f>
        <v>0</v>
      </c>
      <c r="B2894" t="s">
        <v>1108</v>
      </c>
      <c r="C2894" t="s">
        <v>5857</v>
      </c>
      <c r="D2894" t="s">
        <v>16193</v>
      </c>
      <c r="E2894" t="s">
        <v>18911</v>
      </c>
      <c r="F2894" t="s">
        <v>28198</v>
      </c>
      <c r="G2894" t="s">
        <v>28205</v>
      </c>
      <c r="H2894" t="s">
        <v>28215</v>
      </c>
      <c r="I2894" t="s">
        <v>5100</v>
      </c>
      <c r="J2894" t="s">
        <v>29844</v>
      </c>
      <c r="K2894" t="s">
        <v>36707</v>
      </c>
      <c r="M2894" t="s">
        <v>38144</v>
      </c>
      <c r="N2894" t="s">
        <v>40436</v>
      </c>
      <c r="O2894" t="s">
        <v>40437</v>
      </c>
      <c r="P2894">
        <v>0</v>
      </c>
      <c r="Q2894">
        <v>0</v>
      </c>
      <c r="R2894" t="s">
        <v>40439</v>
      </c>
      <c r="S2894" t="s">
        <v>40588</v>
      </c>
      <c r="T2894" t="s">
        <v>42183</v>
      </c>
      <c r="U2894" t="s">
        <v>45141</v>
      </c>
      <c r="W2894" t="s">
        <v>38144</v>
      </c>
      <c r="X2894" t="s">
        <v>40440</v>
      </c>
    </row>
    <row r="2895" spans="1:24">
      <c r="A2895">
        <f>HYPERLINK("https://www.philgeps.gov.ph/GEPSNONPILOT/Tender/SplashBidNoticeAbstractUI.aspx?menuIndex=3&amp;refID=7044700&amp;Result=3","7044700")</f>
        <v>0</v>
      </c>
      <c r="B2895" t="s">
        <v>1152</v>
      </c>
      <c r="C2895" t="s">
        <v>5858</v>
      </c>
      <c r="D2895" t="s">
        <v>16209</v>
      </c>
      <c r="E2895" t="s">
        <v>18912</v>
      </c>
      <c r="F2895" t="s">
        <v>28198</v>
      </c>
      <c r="G2895" t="s">
        <v>28206</v>
      </c>
      <c r="H2895" t="s">
        <v>28215</v>
      </c>
      <c r="I2895" t="s">
        <v>28284</v>
      </c>
      <c r="J2895" t="s">
        <v>29957</v>
      </c>
      <c r="K2895" t="s">
        <v>36723</v>
      </c>
      <c r="M2895" t="s">
        <v>38192</v>
      </c>
      <c r="N2895" t="s">
        <v>40436</v>
      </c>
      <c r="O2895" t="s">
        <v>40437</v>
      </c>
      <c r="P2895">
        <v>0</v>
      </c>
      <c r="Q2895">
        <v>0</v>
      </c>
      <c r="R2895" t="s">
        <v>40439</v>
      </c>
      <c r="S2895" t="s">
        <v>40588</v>
      </c>
      <c r="T2895" t="s">
        <v>42245</v>
      </c>
      <c r="U2895" t="s">
        <v>45142</v>
      </c>
      <c r="W2895" t="s">
        <v>38192</v>
      </c>
      <c r="X2895" t="s">
        <v>40440</v>
      </c>
    </row>
    <row r="2896" spans="1:24">
      <c r="A2896">
        <f>HYPERLINK("https://www.philgeps.gov.ph/GEPSNONPILOT/Tender/SplashBidNoticeAbstractUI.aspx?menuIndex=3&amp;refID=7044691&amp;Result=3","7044691")</f>
        <v>0</v>
      </c>
      <c r="B2896" t="s">
        <v>881</v>
      </c>
      <c r="C2896" t="s">
        <v>5859</v>
      </c>
      <c r="D2896" t="s">
        <v>16263</v>
      </c>
      <c r="E2896" t="s">
        <v>18913</v>
      </c>
      <c r="F2896" t="s">
        <v>28198</v>
      </c>
      <c r="G2896" t="s">
        <v>28207</v>
      </c>
      <c r="H2896" t="s">
        <v>28215</v>
      </c>
      <c r="I2896" t="s">
        <v>3774</v>
      </c>
      <c r="J2896" t="s">
        <v>28373</v>
      </c>
      <c r="K2896" t="s">
        <v>36701</v>
      </c>
      <c r="M2896" t="s">
        <v>37897</v>
      </c>
      <c r="N2896" t="s">
        <v>40436</v>
      </c>
      <c r="O2896" t="s">
        <v>40437</v>
      </c>
      <c r="P2896">
        <v>0</v>
      </c>
      <c r="Q2896">
        <v>1</v>
      </c>
      <c r="R2896" t="s">
        <v>40439</v>
      </c>
      <c r="S2896" t="s">
        <v>40588</v>
      </c>
      <c r="T2896" t="s">
        <v>42169</v>
      </c>
      <c r="U2896" t="s">
        <v>45143</v>
      </c>
      <c r="W2896" t="s">
        <v>37897</v>
      </c>
      <c r="X2896" t="s">
        <v>40440</v>
      </c>
    </row>
    <row r="2897" spans="1:24">
      <c r="A2897">
        <f>HYPERLINK("https://www.philgeps.gov.ph/GEPSNONPILOT/Tender/SplashBidNoticeAbstractUI.aspx?menuIndex=3&amp;refID=7044701&amp;Result=3","7044701")</f>
        <v>0</v>
      </c>
      <c r="B2897" t="s">
        <v>1141</v>
      </c>
      <c r="C2897" t="s">
        <v>5860</v>
      </c>
      <c r="D2897" t="s">
        <v>16261</v>
      </c>
      <c r="E2897" t="s">
        <v>18914</v>
      </c>
      <c r="F2897" t="s">
        <v>28198</v>
      </c>
      <c r="G2897" t="s">
        <v>28205</v>
      </c>
      <c r="H2897" t="s">
        <v>28215</v>
      </c>
      <c r="I2897" t="s">
        <v>28295</v>
      </c>
      <c r="J2897" t="s">
        <v>28694</v>
      </c>
      <c r="K2897" t="s">
        <v>36688</v>
      </c>
      <c r="M2897" t="s">
        <v>38181</v>
      </c>
      <c r="N2897" t="s">
        <v>40436</v>
      </c>
      <c r="O2897" t="s">
        <v>40437</v>
      </c>
      <c r="P2897">
        <v>0</v>
      </c>
      <c r="Q2897">
        <v>1</v>
      </c>
      <c r="R2897" t="s">
        <v>40439</v>
      </c>
      <c r="S2897" t="s">
        <v>40588</v>
      </c>
      <c r="T2897" t="s">
        <v>42133</v>
      </c>
      <c r="U2897" t="s">
        <v>45144</v>
      </c>
      <c r="W2897" t="s">
        <v>38181</v>
      </c>
      <c r="X2897" t="s">
        <v>40440</v>
      </c>
    </row>
    <row r="2898" spans="1:24">
      <c r="A2898">
        <f>HYPERLINK("https://www.philgeps.gov.ph/GEPSNONPILOT/Tender/SplashBidNoticeAbstractUI.aspx?menuIndex=3&amp;refID=7044693&amp;Result=3","7044693")</f>
        <v>0</v>
      </c>
      <c r="B2898" t="s">
        <v>428</v>
      </c>
      <c r="C2898" t="s">
        <v>5861</v>
      </c>
      <c r="D2898" t="s">
        <v>16219</v>
      </c>
      <c r="E2898" t="s">
        <v>18915</v>
      </c>
      <c r="F2898" t="s">
        <v>28200</v>
      </c>
      <c r="G2898" t="s">
        <v>28205</v>
      </c>
      <c r="H2898" t="s">
        <v>28214</v>
      </c>
      <c r="I2898" t="s">
        <v>3797</v>
      </c>
      <c r="J2898" t="s">
        <v>30297</v>
      </c>
      <c r="K2898" t="s">
        <v>36692</v>
      </c>
      <c r="M2898" t="s">
        <v>37411</v>
      </c>
      <c r="N2898" t="s">
        <v>40436</v>
      </c>
      <c r="O2898" t="s">
        <v>40437</v>
      </c>
      <c r="P2898">
        <v>0</v>
      </c>
      <c r="Q2898">
        <v>0</v>
      </c>
      <c r="R2898" t="s">
        <v>40439</v>
      </c>
      <c r="S2898" t="s">
        <v>40588</v>
      </c>
      <c r="T2898" t="s">
        <v>42341</v>
      </c>
      <c r="U2898" t="s">
        <v>45145</v>
      </c>
      <c r="W2898" t="s">
        <v>37411</v>
      </c>
      <c r="X2898" t="s">
        <v>40440</v>
      </c>
    </row>
    <row r="2899" spans="1:24">
      <c r="A2899">
        <f>HYPERLINK("https://www.philgeps.gov.ph/GEPSNONPILOT/Tender/SplashBidNoticeAbstractUI.aspx?menuIndex=3&amp;refID=7044692&amp;Result=3","7044692")</f>
        <v>0</v>
      </c>
      <c r="B2899" t="s">
        <v>1146</v>
      </c>
      <c r="C2899" t="s">
        <v>5862</v>
      </c>
      <c r="D2899" t="s">
        <v>16236</v>
      </c>
      <c r="E2899" t="s">
        <v>18126</v>
      </c>
      <c r="F2899" t="s">
        <v>28198</v>
      </c>
      <c r="G2899" t="s">
        <v>28205</v>
      </c>
      <c r="H2899" t="s">
        <v>28214</v>
      </c>
      <c r="I2899" t="s">
        <v>3797</v>
      </c>
      <c r="J2899" t="s">
        <v>30298</v>
      </c>
      <c r="K2899" t="s">
        <v>36715</v>
      </c>
      <c r="M2899" t="s">
        <v>38186</v>
      </c>
      <c r="N2899" t="s">
        <v>40436</v>
      </c>
      <c r="O2899" t="s">
        <v>40437</v>
      </c>
      <c r="P2899">
        <v>0</v>
      </c>
      <c r="Q2899">
        <v>0</v>
      </c>
      <c r="R2899" t="s">
        <v>40439</v>
      </c>
      <c r="S2899" t="s">
        <v>40588</v>
      </c>
      <c r="T2899" t="s">
        <v>42105</v>
      </c>
      <c r="U2899" t="s">
        <v>45146</v>
      </c>
      <c r="W2899" t="s">
        <v>38186</v>
      </c>
      <c r="X2899" t="s">
        <v>40440</v>
      </c>
    </row>
    <row r="2900" spans="1:24">
      <c r="A2900">
        <f>HYPERLINK("https://www.philgeps.gov.ph/GEPSNONPILOT/Tender/SplashBidNoticeAbstractUI.aspx?menuIndex=3&amp;refID=7044707&amp;Result=3","7044707")</f>
        <v>0</v>
      </c>
      <c r="B2900" t="s">
        <v>1153</v>
      </c>
      <c r="C2900" t="s">
        <v>5863</v>
      </c>
      <c r="E2900" t="s">
        <v>18664</v>
      </c>
      <c r="F2900" t="s">
        <v>28198</v>
      </c>
      <c r="G2900" t="s">
        <v>28205</v>
      </c>
      <c r="H2900" t="s">
        <v>28215</v>
      </c>
      <c r="I2900" t="s">
        <v>5100</v>
      </c>
      <c r="J2900" t="s">
        <v>30299</v>
      </c>
      <c r="K2900" t="s">
        <v>36687</v>
      </c>
      <c r="M2900" t="s">
        <v>38193</v>
      </c>
      <c r="N2900" t="s">
        <v>40436</v>
      </c>
      <c r="O2900" t="s">
        <v>40437</v>
      </c>
      <c r="P2900">
        <v>0</v>
      </c>
      <c r="Q2900">
        <v>0</v>
      </c>
      <c r="R2900" t="s">
        <v>40439</v>
      </c>
      <c r="S2900" t="s">
        <v>40588</v>
      </c>
      <c r="T2900" t="s">
        <v>42101</v>
      </c>
      <c r="U2900" t="s">
        <v>45147</v>
      </c>
      <c r="V2900" t="s">
        <v>54099</v>
      </c>
      <c r="W2900" t="s">
        <v>38193</v>
      </c>
      <c r="X2900" t="s">
        <v>40440</v>
      </c>
    </row>
    <row r="2901" spans="1:24">
      <c r="A2901">
        <f>HYPERLINK("https://www.philgeps.gov.ph/GEPSNONPILOT/Tender/SplashBidNoticeAbstractUI.aspx?menuIndex=3&amp;refID=7044702&amp;Result=3","7044702")</f>
        <v>0</v>
      </c>
      <c r="B2901" t="s">
        <v>457</v>
      </c>
      <c r="C2901" t="s">
        <v>5800</v>
      </c>
      <c r="D2901" t="s">
        <v>16241</v>
      </c>
      <c r="E2901" t="s">
        <v>18916</v>
      </c>
      <c r="F2901" t="s">
        <v>28198</v>
      </c>
      <c r="G2901" t="s">
        <v>28207</v>
      </c>
      <c r="H2901" t="s">
        <v>28215</v>
      </c>
      <c r="I2901" t="s">
        <v>5082</v>
      </c>
      <c r="J2901" t="s">
        <v>30300</v>
      </c>
      <c r="K2901" t="s">
        <v>36701</v>
      </c>
      <c r="M2901" t="s">
        <v>38176</v>
      </c>
      <c r="N2901" t="s">
        <v>40436</v>
      </c>
      <c r="O2901" t="s">
        <v>40437</v>
      </c>
      <c r="P2901">
        <v>0</v>
      </c>
      <c r="Q2901">
        <v>0</v>
      </c>
      <c r="R2901" t="s">
        <v>40439</v>
      </c>
      <c r="S2901" t="s">
        <v>40588</v>
      </c>
      <c r="T2901" t="s">
        <v>42326</v>
      </c>
      <c r="U2901" t="s">
        <v>45148</v>
      </c>
      <c r="W2901" t="s">
        <v>38176</v>
      </c>
      <c r="X2901" t="s">
        <v>40440</v>
      </c>
    </row>
    <row r="2902" spans="1:24">
      <c r="A2902">
        <f>HYPERLINK("https://www.philgeps.gov.ph/GEPSNONPILOT/Tender/SplashBidNoticeAbstractUI.aspx?menuIndex=3&amp;refID=7044708&amp;Result=3","7044708")</f>
        <v>0</v>
      </c>
      <c r="B2902" t="s">
        <v>455</v>
      </c>
      <c r="C2902" t="s">
        <v>5864</v>
      </c>
      <c r="D2902" t="s">
        <v>16263</v>
      </c>
      <c r="E2902" t="s">
        <v>18917</v>
      </c>
      <c r="F2902" t="s">
        <v>28198</v>
      </c>
      <c r="G2902" t="s">
        <v>28205</v>
      </c>
      <c r="H2902" t="s">
        <v>28214</v>
      </c>
      <c r="I2902" t="s">
        <v>3797</v>
      </c>
      <c r="J2902" t="s">
        <v>28468</v>
      </c>
      <c r="K2902" t="s">
        <v>36689</v>
      </c>
      <c r="M2902" t="s">
        <v>37439</v>
      </c>
      <c r="N2902" t="s">
        <v>40436</v>
      </c>
      <c r="O2902" t="s">
        <v>40437</v>
      </c>
      <c r="P2902">
        <v>0</v>
      </c>
      <c r="Q2902">
        <v>0</v>
      </c>
      <c r="R2902" t="s">
        <v>40439</v>
      </c>
      <c r="S2902" t="s">
        <v>40588</v>
      </c>
      <c r="T2902" t="s">
        <v>42118</v>
      </c>
      <c r="U2902" t="s">
        <v>45025</v>
      </c>
      <c r="W2902" t="s">
        <v>37439</v>
      </c>
      <c r="X2902" t="s">
        <v>40440</v>
      </c>
    </row>
    <row r="2903" spans="1:24">
      <c r="A2903">
        <f>HYPERLINK("https://www.philgeps.gov.ph/GEPSNONPILOT/Tender/SplashBidNoticeAbstractUI.aspx?menuIndex=3&amp;refID=7044685&amp;Result=3","7044685")</f>
        <v>0</v>
      </c>
      <c r="B2903" t="s">
        <v>100</v>
      </c>
      <c r="C2903" t="s">
        <v>5865</v>
      </c>
      <c r="D2903" t="s">
        <v>16228</v>
      </c>
      <c r="E2903" t="s">
        <v>18918</v>
      </c>
      <c r="F2903" t="s">
        <v>28198</v>
      </c>
      <c r="G2903" t="s">
        <v>28205</v>
      </c>
      <c r="H2903" t="s">
        <v>28215</v>
      </c>
      <c r="I2903" t="s">
        <v>4321</v>
      </c>
      <c r="J2903" t="s">
        <v>30301</v>
      </c>
      <c r="K2903" t="s">
        <v>36701</v>
      </c>
      <c r="M2903" t="s">
        <v>38133</v>
      </c>
      <c r="N2903" t="s">
        <v>40436</v>
      </c>
      <c r="O2903" t="s">
        <v>40437</v>
      </c>
      <c r="P2903">
        <v>0</v>
      </c>
      <c r="Q2903">
        <v>0</v>
      </c>
      <c r="R2903" t="s">
        <v>40439</v>
      </c>
      <c r="S2903" t="s">
        <v>40588</v>
      </c>
      <c r="T2903" t="s">
        <v>42134</v>
      </c>
      <c r="U2903" t="s">
        <v>42767</v>
      </c>
      <c r="V2903" t="s">
        <v>53798</v>
      </c>
      <c r="W2903" t="s">
        <v>38133</v>
      </c>
      <c r="X2903" t="s">
        <v>40440</v>
      </c>
    </row>
    <row r="2904" spans="1:24">
      <c r="A2904">
        <f>HYPERLINK("https://www.philgeps.gov.ph/GEPSNONPILOT/Tender/SplashBidNoticeAbstractUI.aspx?menuIndex=3&amp;refID=7044715&amp;Result=3","7044715")</f>
        <v>0</v>
      </c>
      <c r="B2904" t="s">
        <v>1154</v>
      </c>
      <c r="C2904" t="s">
        <v>5866</v>
      </c>
      <c r="D2904" t="s">
        <v>16190</v>
      </c>
      <c r="E2904" t="s">
        <v>18919</v>
      </c>
      <c r="F2904" t="s">
        <v>28198</v>
      </c>
      <c r="G2904" t="s">
        <v>28205</v>
      </c>
      <c r="H2904" t="s">
        <v>28215</v>
      </c>
      <c r="I2904" t="s">
        <v>3797</v>
      </c>
      <c r="J2904" t="s">
        <v>30302</v>
      </c>
      <c r="K2904" t="s">
        <v>36689</v>
      </c>
      <c r="M2904" t="s">
        <v>38194</v>
      </c>
      <c r="N2904" t="s">
        <v>40436</v>
      </c>
      <c r="O2904" t="s">
        <v>40437</v>
      </c>
      <c r="P2904">
        <v>0</v>
      </c>
      <c r="Q2904">
        <v>0</v>
      </c>
      <c r="R2904" t="s">
        <v>40439</v>
      </c>
      <c r="S2904" t="s">
        <v>40588</v>
      </c>
      <c r="T2904" t="s">
        <v>42106</v>
      </c>
      <c r="U2904" t="s">
        <v>45149</v>
      </c>
      <c r="W2904" t="s">
        <v>38194</v>
      </c>
      <c r="X2904" t="s">
        <v>40440</v>
      </c>
    </row>
    <row r="2905" spans="1:24">
      <c r="A2905">
        <f>HYPERLINK("https://www.philgeps.gov.ph/GEPSNONPILOT/Tender/SplashBidNoticeAbstractUI.aspx?menuIndex=3&amp;refID=7044721&amp;Result=3","7044721")</f>
        <v>0</v>
      </c>
      <c r="B2905" t="s">
        <v>1155</v>
      </c>
      <c r="C2905" t="s">
        <v>5867</v>
      </c>
      <c r="D2905" t="s">
        <v>16210</v>
      </c>
      <c r="E2905" t="s">
        <v>18920</v>
      </c>
      <c r="F2905" t="s">
        <v>28198</v>
      </c>
      <c r="G2905" t="s">
        <v>28207</v>
      </c>
      <c r="H2905" t="s">
        <v>28215</v>
      </c>
      <c r="I2905" t="s">
        <v>28238</v>
      </c>
      <c r="J2905" t="s">
        <v>30303</v>
      </c>
      <c r="K2905" t="s">
        <v>36688</v>
      </c>
      <c r="M2905" t="s">
        <v>38195</v>
      </c>
      <c r="N2905" t="s">
        <v>40436</v>
      </c>
      <c r="O2905" t="s">
        <v>40437</v>
      </c>
      <c r="P2905">
        <v>0</v>
      </c>
      <c r="Q2905">
        <v>8</v>
      </c>
      <c r="R2905" t="s">
        <v>40439</v>
      </c>
      <c r="S2905" t="s">
        <v>40588</v>
      </c>
      <c r="T2905" t="s">
        <v>42326</v>
      </c>
      <c r="U2905" t="s">
        <v>45150</v>
      </c>
      <c r="W2905" t="s">
        <v>38195</v>
      </c>
      <c r="X2905" t="s">
        <v>40440</v>
      </c>
    </row>
    <row r="2906" spans="1:24">
      <c r="A2906">
        <f>HYPERLINK("https://www.philgeps.gov.ph/GEPSNONPILOT/Tender/SplashBidNoticeAbstractUI.aspx?menuIndex=3&amp;refID=7044709&amp;Result=3","7044709")</f>
        <v>0</v>
      </c>
      <c r="B2906" t="s">
        <v>190</v>
      </c>
      <c r="C2906" t="s">
        <v>5868</v>
      </c>
      <c r="D2906" t="s">
        <v>16187</v>
      </c>
      <c r="E2906" t="s">
        <v>18921</v>
      </c>
      <c r="F2906" t="s">
        <v>28198</v>
      </c>
      <c r="G2906" t="s">
        <v>28207</v>
      </c>
      <c r="H2906" t="s">
        <v>28215</v>
      </c>
      <c r="I2906" t="s">
        <v>4200</v>
      </c>
      <c r="J2906" t="s">
        <v>30304</v>
      </c>
      <c r="K2906" t="s">
        <v>36701</v>
      </c>
      <c r="M2906" t="s">
        <v>37165</v>
      </c>
      <c r="N2906" t="s">
        <v>40436</v>
      </c>
      <c r="O2906" t="s">
        <v>40437</v>
      </c>
      <c r="P2906">
        <v>0</v>
      </c>
      <c r="Q2906">
        <v>1</v>
      </c>
      <c r="R2906" t="s">
        <v>40439</v>
      </c>
      <c r="S2906" t="s">
        <v>40588</v>
      </c>
      <c r="T2906" t="s">
        <v>42124</v>
      </c>
      <c r="U2906" t="s">
        <v>45151</v>
      </c>
      <c r="W2906" t="s">
        <v>37165</v>
      </c>
      <c r="X2906" t="s">
        <v>40440</v>
      </c>
    </row>
    <row r="2907" spans="1:24">
      <c r="A2907">
        <f>HYPERLINK("https://www.philgeps.gov.ph/GEPSNONPILOT/Tender/SplashBidNoticeAbstractUI.aspx?menuIndex=3&amp;refID=7044719&amp;Result=3","7044719")</f>
        <v>0</v>
      </c>
      <c r="B2907" t="s">
        <v>137</v>
      </c>
      <c r="C2907" t="s">
        <v>5869</v>
      </c>
      <c r="D2907" t="s">
        <v>16217</v>
      </c>
      <c r="E2907" t="s">
        <v>18922</v>
      </c>
      <c r="F2907" t="s">
        <v>28198</v>
      </c>
      <c r="G2907" t="s">
        <v>28211</v>
      </c>
      <c r="H2907" t="s">
        <v>28216</v>
      </c>
      <c r="I2907" t="s">
        <v>28216</v>
      </c>
      <c r="J2907" t="s">
        <v>30305</v>
      </c>
      <c r="K2907" t="s">
        <v>36705</v>
      </c>
      <c r="M2907" t="s">
        <v>37111</v>
      </c>
      <c r="N2907" t="s">
        <v>40436</v>
      </c>
      <c r="O2907" t="s">
        <v>40437</v>
      </c>
      <c r="P2907">
        <v>0</v>
      </c>
      <c r="Q2907">
        <v>1</v>
      </c>
      <c r="R2907" t="s">
        <v>40439</v>
      </c>
      <c r="S2907" t="s">
        <v>40588</v>
      </c>
      <c r="T2907" t="s">
        <v>42133</v>
      </c>
      <c r="U2907" t="s">
        <v>45152</v>
      </c>
      <c r="W2907" t="s">
        <v>37111</v>
      </c>
      <c r="X2907" t="s">
        <v>40440</v>
      </c>
    </row>
    <row r="2908" spans="1:24">
      <c r="A2908">
        <f>HYPERLINK("https://www.philgeps.gov.ph/GEPSNONPILOT/Tender/SplashBidNoticeAbstractUI.aspx?menuIndex=3&amp;refID=7044723&amp;Result=3","7044723")</f>
        <v>0</v>
      </c>
      <c r="B2908" t="s">
        <v>1086</v>
      </c>
      <c r="C2908" t="s">
        <v>5870</v>
      </c>
      <c r="D2908" t="s">
        <v>16241</v>
      </c>
      <c r="E2908" t="s">
        <v>18923</v>
      </c>
      <c r="F2908" t="s">
        <v>28198</v>
      </c>
      <c r="G2908" t="s">
        <v>28206</v>
      </c>
      <c r="H2908" t="s">
        <v>28215</v>
      </c>
      <c r="I2908" t="s">
        <v>5100</v>
      </c>
      <c r="J2908" t="s">
        <v>30306</v>
      </c>
      <c r="K2908" t="s">
        <v>36706</v>
      </c>
      <c r="M2908" t="s">
        <v>38121</v>
      </c>
      <c r="N2908" t="s">
        <v>40436</v>
      </c>
      <c r="O2908" t="s">
        <v>40437</v>
      </c>
      <c r="P2908">
        <v>0</v>
      </c>
      <c r="Q2908">
        <v>1</v>
      </c>
      <c r="R2908" t="s">
        <v>40439</v>
      </c>
      <c r="S2908" t="s">
        <v>40588</v>
      </c>
      <c r="T2908" t="s">
        <v>42134</v>
      </c>
      <c r="U2908" t="s">
        <v>44948</v>
      </c>
      <c r="W2908" t="s">
        <v>38121</v>
      </c>
      <c r="X2908" t="s">
        <v>40440</v>
      </c>
    </row>
    <row r="2909" spans="1:24">
      <c r="A2909">
        <f>HYPERLINK("https://www.philgeps.gov.ph/GEPSNONPILOT/Tender/SplashBidNoticeAbstractUI.aspx?menuIndex=3&amp;refID=7044717&amp;Result=3","7044717")</f>
        <v>0</v>
      </c>
      <c r="B2909" t="s">
        <v>1156</v>
      </c>
      <c r="C2909" t="s">
        <v>5871</v>
      </c>
      <c r="D2909" t="s">
        <v>16217</v>
      </c>
      <c r="E2909" t="s">
        <v>18924</v>
      </c>
      <c r="F2909" t="s">
        <v>28198</v>
      </c>
      <c r="G2909" t="s">
        <v>28205</v>
      </c>
      <c r="H2909" t="s">
        <v>28215</v>
      </c>
      <c r="I2909" t="s">
        <v>5100</v>
      </c>
      <c r="J2909" t="s">
        <v>28432</v>
      </c>
      <c r="K2909" t="s">
        <v>36689</v>
      </c>
      <c r="M2909" t="s">
        <v>38196</v>
      </c>
      <c r="N2909" t="s">
        <v>40436</v>
      </c>
      <c r="O2909" t="s">
        <v>40437</v>
      </c>
      <c r="P2909">
        <v>0</v>
      </c>
      <c r="Q2909">
        <v>0</v>
      </c>
      <c r="R2909" t="s">
        <v>40439</v>
      </c>
      <c r="S2909" t="s">
        <v>40588</v>
      </c>
      <c r="T2909" t="s">
        <v>42180</v>
      </c>
      <c r="U2909" t="s">
        <v>45153</v>
      </c>
      <c r="W2909" t="s">
        <v>38196</v>
      </c>
      <c r="X2909" t="s">
        <v>40440</v>
      </c>
    </row>
    <row r="2910" spans="1:24">
      <c r="A2910">
        <f>HYPERLINK("https://www.philgeps.gov.ph/GEPSNONPILOT/Tender/SplashBidNoticeAbstractUI.aspx?menuIndex=3&amp;refID=7044711&amp;Result=3","7044711")</f>
        <v>0</v>
      </c>
      <c r="B2910" t="s">
        <v>1137</v>
      </c>
      <c r="C2910" t="s">
        <v>5872</v>
      </c>
      <c r="D2910" t="s">
        <v>16199</v>
      </c>
      <c r="E2910" t="s">
        <v>18925</v>
      </c>
      <c r="F2910" t="s">
        <v>28198</v>
      </c>
      <c r="G2910" t="s">
        <v>28207</v>
      </c>
      <c r="H2910" t="s">
        <v>28215</v>
      </c>
      <c r="I2910" t="s">
        <v>28284</v>
      </c>
      <c r="J2910" t="s">
        <v>30307</v>
      </c>
      <c r="K2910" t="s">
        <v>36698</v>
      </c>
      <c r="M2910" t="s">
        <v>38177</v>
      </c>
      <c r="N2910" t="s">
        <v>40436</v>
      </c>
      <c r="O2910" t="s">
        <v>40437</v>
      </c>
      <c r="P2910">
        <v>0</v>
      </c>
      <c r="Q2910">
        <v>1</v>
      </c>
      <c r="R2910" t="s">
        <v>40439</v>
      </c>
      <c r="S2910" t="s">
        <v>40588</v>
      </c>
      <c r="T2910" t="s">
        <v>42177</v>
      </c>
      <c r="U2910" t="s">
        <v>45154</v>
      </c>
      <c r="W2910" t="s">
        <v>38177</v>
      </c>
      <c r="X2910" t="s">
        <v>40440</v>
      </c>
    </row>
    <row r="2911" spans="1:24">
      <c r="A2911">
        <f>HYPERLINK("https://www.philgeps.gov.ph/GEPSNONPILOT/Tender/SplashBidNoticeAbstractUI.aspx?menuIndex=3&amp;refID=7044727&amp;Result=3","7044727")</f>
        <v>0</v>
      </c>
      <c r="B2911" t="s">
        <v>846</v>
      </c>
      <c r="C2911" t="s">
        <v>5873</v>
      </c>
      <c r="D2911" t="s">
        <v>16217</v>
      </c>
      <c r="E2911" t="s">
        <v>18926</v>
      </c>
      <c r="F2911" t="s">
        <v>28198</v>
      </c>
      <c r="G2911" t="s">
        <v>28207</v>
      </c>
      <c r="H2911" t="s">
        <v>28215</v>
      </c>
      <c r="I2911" t="s">
        <v>28226</v>
      </c>
      <c r="J2911" t="s">
        <v>30308</v>
      </c>
      <c r="K2911" t="s">
        <v>36707</v>
      </c>
      <c r="M2911" t="s">
        <v>37858</v>
      </c>
      <c r="N2911" t="s">
        <v>40436</v>
      </c>
      <c r="O2911" t="s">
        <v>40437</v>
      </c>
      <c r="P2911">
        <v>0</v>
      </c>
      <c r="Q2911">
        <v>6</v>
      </c>
      <c r="R2911" t="s">
        <v>40439</v>
      </c>
      <c r="S2911" t="s">
        <v>40588</v>
      </c>
      <c r="T2911" t="s">
        <v>42216</v>
      </c>
      <c r="U2911" t="s">
        <v>45155</v>
      </c>
      <c r="W2911" t="s">
        <v>37858</v>
      </c>
      <c r="X2911" t="s">
        <v>40440</v>
      </c>
    </row>
    <row r="2912" spans="1:24">
      <c r="A2912">
        <f>HYPERLINK("https://www.philgeps.gov.ph/GEPSNONPILOT/Tender/SplashBidNoticeAbstractUI.aspx?menuIndex=3&amp;refID=7044726&amp;Result=3","7044726")</f>
        <v>0</v>
      </c>
      <c r="B2912" t="s">
        <v>1157</v>
      </c>
      <c r="C2912" t="s">
        <v>5874</v>
      </c>
      <c r="D2912" t="s">
        <v>16193</v>
      </c>
      <c r="E2912" t="s">
        <v>18927</v>
      </c>
      <c r="F2912" t="s">
        <v>28198</v>
      </c>
      <c r="G2912" t="s">
        <v>28205</v>
      </c>
      <c r="H2912" t="s">
        <v>28214</v>
      </c>
      <c r="I2912" t="s">
        <v>3797</v>
      </c>
      <c r="J2912" t="s">
        <v>30309</v>
      </c>
      <c r="K2912" t="s">
        <v>36737</v>
      </c>
      <c r="M2912" t="s">
        <v>38197</v>
      </c>
      <c r="N2912" t="s">
        <v>40436</v>
      </c>
      <c r="O2912" t="s">
        <v>40437</v>
      </c>
      <c r="P2912">
        <v>0</v>
      </c>
      <c r="Q2912">
        <v>0</v>
      </c>
      <c r="R2912" t="s">
        <v>40439</v>
      </c>
      <c r="S2912" t="s">
        <v>40588</v>
      </c>
      <c r="T2912" t="s">
        <v>42248</v>
      </c>
      <c r="U2912" t="s">
        <v>45156</v>
      </c>
      <c r="W2912" t="s">
        <v>55475</v>
      </c>
      <c r="X2912" t="s">
        <v>40440</v>
      </c>
    </row>
    <row r="2913" spans="1:24">
      <c r="A2913">
        <f>HYPERLINK("https://www.philgeps.gov.ph/GEPSNONPILOT/Tender/SplashBidNoticeAbstractUI.aspx?menuIndex=3&amp;refID=7044720&amp;Result=3","7044720")</f>
        <v>0</v>
      </c>
      <c r="B2913" t="s">
        <v>105</v>
      </c>
      <c r="C2913" t="s">
        <v>5875</v>
      </c>
      <c r="D2913" t="s">
        <v>16233</v>
      </c>
      <c r="E2913" t="s">
        <v>18928</v>
      </c>
      <c r="F2913" t="s">
        <v>28198</v>
      </c>
      <c r="G2913" t="s">
        <v>28206</v>
      </c>
      <c r="H2913" t="s">
        <v>28215</v>
      </c>
      <c r="I2913" t="s">
        <v>8870</v>
      </c>
      <c r="J2913" t="s">
        <v>30310</v>
      </c>
      <c r="K2913" t="s">
        <v>36701</v>
      </c>
      <c r="M2913" t="s">
        <v>37961</v>
      </c>
      <c r="N2913" t="s">
        <v>40436</v>
      </c>
      <c r="O2913" t="s">
        <v>40437</v>
      </c>
      <c r="P2913">
        <v>0</v>
      </c>
      <c r="Q2913">
        <v>0</v>
      </c>
      <c r="R2913" t="s">
        <v>40439</v>
      </c>
      <c r="S2913" t="s">
        <v>40588</v>
      </c>
      <c r="T2913" t="s">
        <v>42133</v>
      </c>
      <c r="U2913" t="s">
        <v>45157</v>
      </c>
      <c r="V2913" t="s">
        <v>54022</v>
      </c>
      <c r="W2913" t="s">
        <v>37961</v>
      </c>
      <c r="X2913" t="s">
        <v>40440</v>
      </c>
    </row>
    <row r="2914" spans="1:24">
      <c r="A2914">
        <f>HYPERLINK("https://www.philgeps.gov.ph/GEPSNONPILOT/Tender/SplashBidNoticeAbstractUI.aspx?menuIndex=3&amp;refID=7044722&amp;Result=3","7044722")</f>
        <v>0</v>
      </c>
      <c r="B2914" t="s">
        <v>163</v>
      </c>
      <c r="C2914" t="s">
        <v>5876</v>
      </c>
      <c r="D2914" t="s">
        <v>16216</v>
      </c>
      <c r="E2914" t="s">
        <v>18929</v>
      </c>
      <c r="F2914" t="s">
        <v>28198</v>
      </c>
      <c r="G2914" t="s">
        <v>28205</v>
      </c>
      <c r="H2914" t="s">
        <v>28215</v>
      </c>
      <c r="I2914" t="s">
        <v>28224</v>
      </c>
      <c r="J2914" t="s">
        <v>28353</v>
      </c>
      <c r="K2914" t="s">
        <v>36788</v>
      </c>
      <c r="M2914" t="s">
        <v>37137</v>
      </c>
      <c r="N2914" t="s">
        <v>40436</v>
      </c>
      <c r="O2914" t="s">
        <v>40437</v>
      </c>
      <c r="P2914">
        <v>0</v>
      </c>
      <c r="Q2914">
        <v>1</v>
      </c>
      <c r="R2914" t="s">
        <v>40439</v>
      </c>
      <c r="S2914" t="s">
        <v>40588</v>
      </c>
      <c r="T2914" t="s">
        <v>42106</v>
      </c>
      <c r="U2914" t="s">
        <v>45158</v>
      </c>
      <c r="W2914" t="s">
        <v>37137</v>
      </c>
      <c r="X2914" t="s">
        <v>40440</v>
      </c>
    </row>
    <row r="2915" spans="1:24">
      <c r="A2915">
        <f>HYPERLINK("https://www.philgeps.gov.ph/GEPSNONPILOT/Tender/SplashBidNoticeAbstractUI.aspx?menuIndex=3&amp;refID=7044724&amp;Result=3","7044724")</f>
        <v>0</v>
      </c>
      <c r="B2915" t="s">
        <v>1158</v>
      </c>
      <c r="C2915" t="s">
        <v>5877</v>
      </c>
      <c r="D2915" t="s">
        <v>16210</v>
      </c>
      <c r="E2915" t="s">
        <v>18930</v>
      </c>
      <c r="F2915" t="s">
        <v>28198</v>
      </c>
      <c r="G2915" t="s">
        <v>28207</v>
      </c>
      <c r="H2915" t="s">
        <v>28215</v>
      </c>
      <c r="I2915" t="s">
        <v>28221</v>
      </c>
      <c r="J2915" t="s">
        <v>30085</v>
      </c>
      <c r="K2915" t="s">
        <v>36689</v>
      </c>
      <c r="M2915" t="s">
        <v>38198</v>
      </c>
      <c r="N2915" t="s">
        <v>40436</v>
      </c>
      <c r="O2915" t="s">
        <v>40437</v>
      </c>
      <c r="P2915">
        <v>0</v>
      </c>
      <c r="Q2915">
        <v>0</v>
      </c>
      <c r="R2915" t="s">
        <v>40439</v>
      </c>
      <c r="S2915" t="s">
        <v>40588</v>
      </c>
      <c r="T2915" t="s">
        <v>42169</v>
      </c>
      <c r="U2915" t="s">
        <v>45159</v>
      </c>
      <c r="W2915" t="s">
        <v>38810</v>
      </c>
      <c r="X2915" t="s">
        <v>40440</v>
      </c>
    </row>
    <row r="2916" spans="1:24">
      <c r="A2916">
        <f>HYPERLINK("https://www.philgeps.gov.ph/GEPSNONPILOT/Tender/SplashBidNoticeAbstractUI.aspx?menuIndex=3&amp;refID=7044718&amp;Result=3","7044718")</f>
        <v>0</v>
      </c>
      <c r="B2916" t="s">
        <v>1110</v>
      </c>
      <c r="C2916" t="s">
        <v>5878</v>
      </c>
      <c r="D2916" t="s">
        <v>16187</v>
      </c>
      <c r="E2916" t="s">
        <v>18786</v>
      </c>
      <c r="F2916" t="s">
        <v>28200</v>
      </c>
      <c r="G2916" t="s">
        <v>28206</v>
      </c>
      <c r="H2916" t="s">
        <v>28215</v>
      </c>
      <c r="I2916" t="s">
        <v>5100</v>
      </c>
      <c r="J2916" t="s">
        <v>30311</v>
      </c>
      <c r="K2916" t="s">
        <v>36698</v>
      </c>
      <c r="M2916" t="s">
        <v>38146</v>
      </c>
      <c r="N2916" t="s">
        <v>40436</v>
      </c>
      <c r="O2916" t="s">
        <v>40437</v>
      </c>
      <c r="P2916">
        <v>0</v>
      </c>
      <c r="Q2916">
        <v>0</v>
      </c>
      <c r="R2916" t="s">
        <v>40439</v>
      </c>
      <c r="S2916" t="s">
        <v>40588</v>
      </c>
      <c r="T2916" t="s">
        <v>42342</v>
      </c>
      <c r="U2916" t="s">
        <v>45160</v>
      </c>
      <c r="W2916" t="s">
        <v>38146</v>
      </c>
      <c r="X2916" t="s">
        <v>40440</v>
      </c>
    </row>
    <row r="2917" spans="1:24">
      <c r="A2917">
        <f>HYPERLINK("https://www.philgeps.gov.ph/GEPSNONPILOT/Tender/SplashBidNoticeAbstractUI.aspx?menuIndex=3&amp;refID=7044729&amp;Result=3","7044729")</f>
        <v>0</v>
      </c>
      <c r="B2917" t="s">
        <v>1159</v>
      </c>
      <c r="C2917" t="s">
        <v>5879</v>
      </c>
      <c r="D2917" t="s">
        <v>16209</v>
      </c>
      <c r="E2917" t="s">
        <v>18931</v>
      </c>
      <c r="F2917" t="s">
        <v>28198</v>
      </c>
      <c r="G2917" t="s">
        <v>28207</v>
      </c>
      <c r="H2917" t="s">
        <v>28215</v>
      </c>
      <c r="I2917" t="s">
        <v>28253</v>
      </c>
      <c r="J2917" t="s">
        <v>28350</v>
      </c>
      <c r="K2917" t="s">
        <v>36689</v>
      </c>
      <c r="M2917" t="s">
        <v>38199</v>
      </c>
      <c r="N2917" t="s">
        <v>40436</v>
      </c>
      <c r="O2917" t="s">
        <v>40437</v>
      </c>
      <c r="P2917">
        <v>0</v>
      </c>
      <c r="Q2917">
        <v>2</v>
      </c>
      <c r="R2917" t="s">
        <v>40439</v>
      </c>
      <c r="S2917" t="s">
        <v>40588</v>
      </c>
      <c r="T2917" t="s">
        <v>42177</v>
      </c>
      <c r="U2917" t="s">
        <v>45161</v>
      </c>
      <c r="W2917" t="s">
        <v>38199</v>
      </c>
      <c r="X2917" t="s">
        <v>40440</v>
      </c>
    </row>
    <row r="2918" spans="1:24">
      <c r="A2918">
        <f>HYPERLINK("https://www.philgeps.gov.ph/GEPSNONPILOT/Tender/SplashBidNoticeAbstractUI.aspx?menuIndex=3&amp;refID=7044732&amp;Result=3","7044732")</f>
        <v>0</v>
      </c>
      <c r="B2918" t="s">
        <v>1135</v>
      </c>
      <c r="C2918" t="s">
        <v>5880</v>
      </c>
      <c r="D2918" t="s">
        <v>16209</v>
      </c>
      <c r="E2918" t="s">
        <v>18932</v>
      </c>
      <c r="F2918" t="s">
        <v>28198</v>
      </c>
      <c r="G2918" t="s">
        <v>28205</v>
      </c>
      <c r="H2918" t="s">
        <v>28214</v>
      </c>
      <c r="I2918" t="s">
        <v>5100</v>
      </c>
      <c r="J2918" t="s">
        <v>30312</v>
      </c>
      <c r="K2918" t="s">
        <v>36706</v>
      </c>
      <c r="M2918" t="s">
        <v>38174</v>
      </c>
      <c r="N2918" t="s">
        <v>40436</v>
      </c>
      <c r="O2918" t="s">
        <v>40437</v>
      </c>
      <c r="P2918">
        <v>0</v>
      </c>
      <c r="Q2918">
        <v>1</v>
      </c>
      <c r="R2918" t="s">
        <v>40439</v>
      </c>
      <c r="S2918" t="s">
        <v>40588</v>
      </c>
      <c r="T2918" t="s">
        <v>42108</v>
      </c>
      <c r="U2918" t="s">
        <v>45162</v>
      </c>
      <c r="W2918" t="s">
        <v>38174</v>
      </c>
      <c r="X2918" t="s">
        <v>40440</v>
      </c>
    </row>
    <row r="2919" spans="1:24">
      <c r="A2919">
        <f>HYPERLINK("https://www.philgeps.gov.ph/GEPSNONPILOT/Tender/SplashBidNoticeAbstractUI.aspx?menuIndex=3&amp;refID=7044730&amp;Result=3","7044730")</f>
        <v>0</v>
      </c>
      <c r="B2919" t="s">
        <v>232</v>
      </c>
      <c r="C2919" t="s">
        <v>5881</v>
      </c>
      <c r="D2919" t="s">
        <v>16244</v>
      </c>
      <c r="E2919" t="s">
        <v>18933</v>
      </c>
      <c r="F2919" t="s">
        <v>28198</v>
      </c>
      <c r="G2919" t="s">
        <v>28207</v>
      </c>
      <c r="H2919" t="s">
        <v>28215</v>
      </c>
      <c r="I2919" t="s">
        <v>5103</v>
      </c>
      <c r="J2919" t="s">
        <v>28904</v>
      </c>
      <c r="K2919" t="s">
        <v>36696</v>
      </c>
      <c r="M2919" t="s">
        <v>37208</v>
      </c>
      <c r="N2919" t="s">
        <v>40436</v>
      </c>
      <c r="O2919" t="s">
        <v>40437</v>
      </c>
      <c r="P2919">
        <v>0</v>
      </c>
      <c r="Q2919">
        <v>3</v>
      </c>
      <c r="R2919" t="s">
        <v>40439</v>
      </c>
      <c r="S2919" t="s">
        <v>40588</v>
      </c>
      <c r="T2919" t="s">
        <v>42190</v>
      </c>
      <c r="U2919" t="s">
        <v>45163</v>
      </c>
      <c r="W2919" t="s">
        <v>37208</v>
      </c>
      <c r="X2919" t="s">
        <v>40440</v>
      </c>
    </row>
    <row r="2920" spans="1:24">
      <c r="A2920">
        <f>HYPERLINK("https://www.philgeps.gov.ph/GEPSNONPILOT/Tender/SplashBidNoticeAbstractUI.aspx?menuIndex=3&amp;refID=7044731&amp;Result=3","7044731")</f>
        <v>0</v>
      </c>
      <c r="B2920" t="s">
        <v>595</v>
      </c>
      <c r="C2920" t="s">
        <v>5831</v>
      </c>
      <c r="D2920" t="s">
        <v>16255</v>
      </c>
      <c r="E2920" t="s">
        <v>18934</v>
      </c>
      <c r="F2920" t="s">
        <v>28198</v>
      </c>
      <c r="G2920" t="s">
        <v>28207</v>
      </c>
      <c r="H2920" t="s">
        <v>28217</v>
      </c>
      <c r="I2920" t="s">
        <v>3422</v>
      </c>
      <c r="J2920" t="s">
        <v>28406</v>
      </c>
      <c r="K2920" t="s">
        <v>36704</v>
      </c>
      <c r="M2920" t="s">
        <v>37584</v>
      </c>
      <c r="N2920" t="s">
        <v>40436</v>
      </c>
      <c r="O2920" t="s">
        <v>40437</v>
      </c>
      <c r="P2920">
        <v>0</v>
      </c>
      <c r="Q2920">
        <v>1</v>
      </c>
      <c r="R2920" t="s">
        <v>40439</v>
      </c>
      <c r="S2920" t="s">
        <v>40588</v>
      </c>
      <c r="T2920" t="s">
        <v>42203</v>
      </c>
      <c r="U2920" t="s">
        <v>45164</v>
      </c>
      <c r="W2920" t="s">
        <v>37584</v>
      </c>
      <c r="X2920" t="s">
        <v>40440</v>
      </c>
    </row>
    <row r="2921" spans="1:24">
      <c r="A2921">
        <f>HYPERLINK("https://www.philgeps.gov.ph/GEPSNONPILOT/Tender/SplashBidNoticeAbstractUI.aspx?menuIndex=3&amp;refID=7044734&amp;Result=3","7044734")</f>
        <v>0</v>
      </c>
      <c r="B2921" t="s">
        <v>34</v>
      </c>
      <c r="C2921" t="s">
        <v>5882</v>
      </c>
      <c r="D2921" t="s">
        <v>16195</v>
      </c>
      <c r="E2921" t="s">
        <v>18935</v>
      </c>
      <c r="F2921" t="s">
        <v>28198</v>
      </c>
      <c r="G2921" t="s">
        <v>28205</v>
      </c>
      <c r="H2921" t="s">
        <v>28215</v>
      </c>
      <c r="I2921" t="s">
        <v>3774</v>
      </c>
      <c r="J2921" t="s">
        <v>30313</v>
      </c>
      <c r="K2921" t="s">
        <v>36696</v>
      </c>
      <c r="M2921" t="s">
        <v>37550</v>
      </c>
      <c r="N2921" t="s">
        <v>40436</v>
      </c>
      <c r="O2921" t="s">
        <v>40437</v>
      </c>
      <c r="P2921">
        <v>0</v>
      </c>
      <c r="Q2921">
        <v>1</v>
      </c>
      <c r="R2921" t="s">
        <v>40439</v>
      </c>
      <c r="S2921" t="s">
        <v>40588</v>
      </c>
      <c r="T2921" t="s">
        <v>42138</v>
      </c>
      <c r="U2921" t="s">
        <v>45165</v>
      </c>
      <c r="V2921" t="s">
        <v>53826</v>
      </c>
      <c r="W2921" t="s">
        <v>37550</v>
      </c>
      <c r="X2921" t="s">
        <v>40440</v>
      </c>
    </row>
    <row r="2922" spans="1:24">
      <c r="A2922">
        <f>HYPERLINK("https://www.philgeps.gov.ph/GEPSNONPILOT/Tender/SplashBidNoticeAbstractUI.aspx?menuIndex=3&amp;refID=7044728&amp;Result=3","7044728")</f>
        <v>0</v>
      </c>
      <c r="B2922" t="s">
        <v>1063</v>
      </c>
      <c r="C2922" t="s">
        <v>5883</v>
      </c>
      <c r="D2922" t="s">
        <v>16188</v>
      </c>
      <c r="E2922" t="s">
        <v>18936</v>
      </c>
      <c r="F2922" t="s">
        <v>28198</v>
      </c>
      <c r="G2922" t="s">
        <v>28207</v>
      </c>
      <c r="H2922" t="s">
        <v>28215</v>
      </c>
      <c r="I2922" t="s">
        <v>28226</v>
      </c>
      <c r="J2922" t="s">
        <v>28345</v>
      </c>
      <c r="K2922" t="s">
        <v>36689</v>
      </c>
      <c r="M2922" t="s">
        <v>38096</v>
      </c>
      <c r="N2922" t="s">
        <v>40436</v>
      </c>
      <c r="O2922" t="s">
        <v>40437</v>
      </c>
      <c r="P2922">
        <v>0</v>
      </c>
      <c r="Q2922">
        <v>2</v>
      </c>
      <c r="R2922" t="s">
        <v>40439</v>
      </c>
      <c r="S2922" t="s">
        <v>40588</v>
      </c>
      <c r="T2922" t="s">
        <v>42318</v>
      </c>
      <c r="U2922" t="s">
        <v>45166</v>
      </c>
      <c r="W2922" t="s">
        <v>38096</v>
      </c>
      <c r="X2922" t="s">
        <v>40440</v>
      </c>
    </row>
    <row r="2923" spans="1:24">
      <c r="A2923">
        <f>HYPERLINK("https://www.philgeps.gov.ph/GEPSNONPILOT/Tender/SplashBidNoticeAbstractUI.aspx?menuIndex=3&amp;refID=7044744&amp;Result=3","7044744")</f>
        <v>0</v>
      </c>
      <c r="B2923" t="s">
        <v>1160</v>
      </c>
      <c r="C2923" t="s">
        <v>5884</v>
      </c>
      <c r="D2923" t="s">
        <v>16192</v>
      </c>
      <c r="E2923" t="s">
        <v>18937</v>
      </c>
      <c r="F2923" t="s">
        <v>28200</v>
      </c>
      <c r="G2923" t="s">
        <v>28207</v>
      </c>
      <c r="H2923" t="s">
        <v>28215</v>
      </c>
      <c r="I2923" t="s">
        <v>5100</v>
      </c>
      <c r="J2923" t="s">
        <v>30314</v>
      </c>
      <c r="K2923" t="s">
        <v>36693</v>
      </c>
      <c r="M2923" t="s">
        <v>38200</v>
      </c>
      <c r="N2923" t="s">
        <v>40436</v>
      </c>
      <c r="O2923" t="s">
        <v>40437</v>
      </c>
      <c r="P2923">
        <v>0</v>
      </c>
      <c r="Q2923">
        <v>1</v>
      </c>
      <c r="R2923" t="s">
        <v>40439</v>
      </c>
      <c r="S2923" t="s">
        <v>40588</v>
      </c>
      <c r="T2923" t="s">
        <v>42203</v>
      </c>
      <c r="U2923" t="s">
        <v>45167</v>
      </c>
      <c r="W2923" t="s">
        <v>38200</v>
      </c>
      <c r="X2923" t="s">
        <v>40440</v>
      </c>
    </row>
    <row r="2924" spans="1:24">
      <c r="A2924">
        <f>HYPERLINK("https://www.philgeps.gov.ph/GEPSNONPILOT/Tender/SplashBidNoticeAbstractUI.aspx?menuIndex=3&amp;refID=7044738&amp;Result=3","7044738")</f>
        <v>0</v>
      </c>
      <c r="B2924" t="s">
        <v>1161</v>
      </c>
      <c r="C2924" t="s">
        <v>5885</v>
      </c>
      <c r="D2924" t="s">
        <v>16228</v>
      </c>
      <c r="E2924" t="s">
        <v>17248</v>
      </c>
      <c r="F2924" t="s">
        <v>28198</v>
      </c>
      <c r="G2924" t="s">
        <v>28205</v>
      </c>
      <c r="H2924" t="s">
        <v>28214</v>
      </c>
      <c r="I2924" t="s">
        <v>3797</v>
      </c>
      <c r="J2924" t="s">
        <v>28363</v>
      </c>
      <c r="K2924" t="s">
        <v>36692</v>
      </c>
      <c r="M2924" t="s">
        <v>38201</v>
      </c>
      <c r="N2924" t="s">
        <v>40436</v>
      </c>
      <c r="O2924" t="s">
        <v>40437</v>
      </c>
      <c r="P2924">
        <v>0</v>
      </c>
      <c r="Q2924">
        <v>0</v>
      </c>
      <c r="R2924" t="s">
        <v>40439</v>
      </c>
      <c r="S2924" t="s">
        <v>40588</v>
      </c>
      <c r="T2924" t="s">
        <v>42164</v>
      </c>
      <c r="U2924" t="s">
        <v>45168</v>
      </c>
      <c r="W2924" t="s">
        <v>38201</v>
      </c>
      <c r="X2924" t="s">
        <v>40440</v>
      </c>
    </row>
    <row r="2925" spans="1:24">
      <c r="A2925">
        <f>HYPERLINK("https://www.philgeps.gov.ph/GEPSNONPILOT/Tender/SplashBidNoticeAbstractUI.aspx?menuIndex=3&amp;refID=7044745&amp;Result=3","7044745")</f>
        <v>0</v>
      </c>
      <c r="B2925" t="s">
        <v>1137</v>
      </c>
      <c r="C2925" t="s">
        <v>5886</v>
      </c>
      <c r="D2925" t="s">
        <v>16199</v>
      </c>
      <c r="E2925" t="s">
        <v>18938</v>
      </c>
      <c r="F2925" t="s">
        <v>28198</v>
      </c>
      <c r="G2925" t="s">
        <v>28207</v>
      </c>
      <c r="H2925" t="s">
        <v>28215</v>
      </c>
      <c r="I2925" t="s">
        <v>5100</v>
      </c>
      <c r="J2925" t="s">
        <v>30315</v>
      </c>
      <c r="K2925" t="s">
        <v>36691</v>
      </c>
      <c r="M2925" t="s">
        <v>38177</v>
      </c>
      <c r="N2925" t="s">
        <v>40436</v>
      </c>
      <c r="O2925" t="s">
        <v>40437</v>
      </c>
      <c r="P2925">
        <v>0</v>
      </c>
      <c r="Q2925">
        <v>0</v>
      </c>
      <c r="R2925" t="s">
        <v>40439</v>
      </c>
      <c r="S2925" t="s">
        <v>40588</v>
      </c>
      <c r="T2925" t="s">
        <v>42177</v>
      </c>
      <c r="U2925" t="s">
        <v>45169</v>
      </c>
      <c r="W2925" t="s">
        <v>38177</v>
      </c>
      <c r="X2925" t="s">
        <v>40440</v>
      </c>
    </row>
    <row r="2926" spans="1:24">
      <c r="A2926">
        <f>HYPERLINK("https://www.philgeps.gov.ph/GEPSNONPILOT/Tender/SplashBidNoticeAbstractUI.aspx?menuIndex=3&amp;refID=7044743&amp;Result=3","7044743")</f>
        <v>0</v>
      </c>
      <c r="B2926" t="s">
        <v>121</v>
      </c>
      <c r="C2926" t="s">
        <v>5887</v>
      </c>
      <c r="D2926" t="s">
        <v>16207</v>
      </c>
      <c r="E2926" t="s">
        <v>18939</v>
      </c>
      <c r="F2926" t="s">
        <v>28198</v>
      </c>
      <c r="G2926" t="s">
        <v>28207</v>
      </c>
      <c r="H2926" t="s">
        <v>28215</v>
      </c>
      <c r="I2926" t="s">
        <v>5103</v>
      </c>
      <c r="J2926" t="s">
        <v>30316</v>
      </c>
      <c r="K2926" t="s">
        <v>36706</v>
      </c>
      <c r="M2926" t="s">
        <v>38147</v>
      </c>
      <c r="N2926" t="s">
        <v>40436</v>
      </c>
      <c r="O2926" t="s">
        <v>40437</v>
      </c>
      <c r="P2926">
        <v>0</v>
      </c>
      <c r="Q2926">
        <v>7</v>
      </c>
      <c r="R2926" t="s">
        <v>40439</v>
      </c>
      <c r="S2926" t="s">
        <v>40588</v>
      </c>
      <c r="T2926" t="s">
        <v>42158</v>
      </c>
      <c r="U2926" t="s">
        <v>45170</v>
      </c>
      <c r="W2926" t="s">
        <v>38147</v>
      </c>
      <c r="X2926" t="s">
        <v>40440</v>
      </c>
    </row>
    <row r="2927" spans="1:24">
      <c r="A2927">
        <f>HYPERLINK("https://www.philgeps.gov.ph/GEPSNONPILOT/Tender/SplashBidNoticeAbstractUI.aspx?menuIndex=3&amp;refID=7044736&amp;Result=3","7044736")</f>
        <v>0</v>
      </c>
      <c r="B2927" t="s">
        <v>1151</v>
      </c>
      <c r="C2927" t="s">
        <v>5888</v>
      </c>
      <c r="D2927" t="s">
        <v>16263</v>
      </c>
      <c r="E2927" t="s">
        <v>18909</v>
      </c>
      <c r="F2927" t="s">
        <v>28198</v>
      </c>
      <c r="G2927" t="s">
        <v>28206</v>
      </c>
      <c r="H2927" t="s">
        <v>28215</v>
      </c>
      <c r="I2927" t="s">
        <v>28247</v>
      </c>
      <c r="J2927" t="s">
        <v>30317</v>
      </c>
      <c r="K2927" t="s">
        <v>36707</v>
      </c>
      <c r="M2927" t="s">
        <v>38191</v>
      </c>
      <c r="N2927" t="s">
        <v>40436</v>
      </c>
      <c r="O2927" t="s">
        <v>40437</v>
      </c>
      <c r="P2927">
        <v>0</v>
      </c>
      <c r="Q2927">
        <v>3</v>
      </c>
      <c r="R2927" t="s">
        <v>40439</v>
      </c>
      <c r="S2927" t="s">
        <v>40588</v>
      </c>
      <c r="T2927" t="s">
        <v>42279</v>
      </c>
      <c r="U2927" t="s">
        <v>45171</v>
      </c>
      <c r="W2927" t="s">
        <v>38191</v>
      </c>
      <c r="X2927" t="s">
        <v>40440</v>
      </c>
    </row>
    <row r="2928" spans="1:24">
      <c r="A2928">
        <f>HYPERLINK("https://www.philgeps.gov.ph/GEPSNONPILOT/Tender/SplashBidNoticeAbstractUI.aspx?menuIndex=3&amp;refID=7044754&amp;Result=3","7044754")</f>
        <v>0</v>
      </c>
      <c r="B2928" t="s">
        <v>457</v>
      </c>
      <c r="C2928" t="s">
        <v>5800</v>
      </c>
      <c r="D2928" t="s">
        <v>16241</v>
      </c>
      <c r="E2928" t="s">
        <v>18940</v>
      </c>
      <c r="F2928" t="s">
        <v>28198</v>
      </c>
      <c r="G2928" t="s">
        <v>28207</v>
      </c>
      <c r="H2928" t="s">
        <v>28215</v>
      </c>
      <c r="I2928" t="s">
        <v>5082</v>
      </c>
      <c r="J2928" t="s">
        <v>30318</v>
      </c>
      <c r="K2928" t="s">
        <v>36701</v>
      </c>
      <c r="M2928" t="s">
        <v>38176</v>
      </c>
      <c r="N2928" t="s">
        <v>40436</v>
      </c>
      <c r="O2928" t="s">
        <v>40437</v>
      </c>
      <c r="P2928">
        <v>0</v>
      </c>
      <c r="Q2928">
        <v>0</v>
      </c>
      <c r="R2928" t="s">
        <v>40439</v>
      </c>
      <c r="S2928" t="s">
        <v>40588</v>
      </c>
      <c r="T2928" t="s">
        <v>42326</v>
      </c>
      <c r="U2928" t="s">
        <v>45172</v>
      </c>
      <c r="W2928" t="s">
        <v>38176</v>
      </c>
      <c r="X2928" t="s">
        <v>40440</v>
      </c>
    </row>
    <row r="2929" spans="1:24">
      <c r="A2929">
        <f>HYPERLINK("https://www.philgeps.gov.ph/GEPSNONPILOT/Tender/SplashBidNoticeAbstractUI.aspx?menuIndex=3&amp;refID=7044746&amp;Result=3","7044746")</f>
        <v>0</v>
      </c>
      <c r="B2929" t="s">
        <v>1162</v>
      </c>
      <c r="C2929" t="s">
        <v>5889</v>
      </c>
      <c r="D2929" t="s">
        <v>16202</v>
      </c>
      <c r="E2929" t="s">
        <v>18941</v>
      </c>
      <c r="F2929" t="s">
        <v>28198</v>
      </c>
      <c r="G2929" t="s">
        <v>28205</v>
      </c>
      <c r="H2929" t="s">
        <v>28215</v>
      </c>
      <c r="I2929" t="s">
        <v>8888</v>
      </c>
      <c r="J2929" t="s">
        <v>30319</v>
      </c>
      <c r="K2929" t="s">
        <v>36701</v>
      </c>
      <c r="M2929" t="s">
        <v>38202</v>
      </c>
      <c r="N2929" t="s">
        <v>40436</v>
      </c>
      <c r="O2929" t="s">
        <v>40437</v>
      </c>
      <c r="P2929">
        <v>0</v>
      </c>
      <c r="Q2929">
        <v>0</v>
      </c>
      <c r="R2929" t="s">
        <v>40439</v>
      </c>
      <c r="S2929" t="s">
        <v>40588</v>
      </c>
      <c r="T2929" t="s">
        <v>42134</v>
      </c>
      <c r="U2929" t="s">
        <v>45173</v>
      </c>
      <c r="V2929" t="s">
        <v>54100</v>
      </c>
      <c r="W2929" t="s">
        <v>38202</v>
      </c>
      <c r="X2929" t="s">
        <v>40440</v>
      </c>
    </row>
    <row r="2930" spans="1:24">
      <c r="A2930">
        <f>HYPERLINK("https://www.philgeps.gov.ph/GEPSNONPILOT/Tender/SplashBidNoticeAbstractUI.aspx?menuIndex=3&amp;refID=7044741&amp;Result=3","7044741")</f>
        <v>0</v>
      </c>
      <c r="B2930" t="s">
        <v>1150</v>
      </c>
      <c r="C2930" t="s">
        <v>5890</v>
      </c>
      <c r="D2930" t="s">
        <v>16189</v>
      </c>
      <c r="E2930" t="s">
        <v>18942</v>
      </c>
      <c r="F2930" t="s">
        <v>28198</v>
      </c>
      <c r="G2930" t="s">
        <v>28207</v>
      </c>
      <c r="H2930" t="s">
        <v>28215</v>
      </c>
      <c r="I2930" t="s">
        <v>3774</v>
      </c>
      <c r="J2930" t="s">
        <v>30320</v>
      </c>
      <c r="K2930" t="s">
        <v>36715</v>
      </c>
      <c r="M2930" t="s">
        <v>38190</v>
      </c>
      <c r="N2930" t="s">
        <v>40436</v>
      </c>
      <c r="O2930" t="s">
        <v>40437</v>
      </c>
      <c r="P2930">
        <v>0</v>
      </c>
      <c r="Q2930">
        <v>1</v>
      </c>
      <c r="R2930" t="s">
        <v>40439</v>
      </c>
      <c r="S2930" t="s">
        <v>40588</v>
      </c>
      <c r="T2930" t="s">
        <v>42111</v>
      </c>
      <c r="U2930" t="s">
        <v>45174</v>
      </c>
      <c r="W2930" t="s">
        <v>38190</v>
      </c>
      <c r="X2930" t="s">
        <v>40440</v>
      </c>
    </row>
    <row r="2931" spans="1:24">
      <c r="A2931">
        <f>HYPERLINK("https://www.philgeps.gov.ph/GEPSNONPILOT/Tender/SplashBidNoticeAbstractUI.aspx?menuIndex=3&amp;refID=7044752&amp;Result=3","7044752")</f>
        <v>0</v>
      </c>
      <c r="B2931" t="s">
        <v>1163</v>
      </c>
      <c r="C2931" t="s">
        <v>5891</v>
      </c>
      <c r="D2931" t="s">
        <v>16209</v>
      </c>
      <c r="E2931" t="s">
        <v>18943</v>
      </c>
      <c r="F2931" t="s">
        <v>28198</v>
      </c>
      <c r="G2931" t="s">
        <v>28207</v>
      </c>
      <c r="H2931" t="s">
        <v>28215</v>
      </c>
      <c r="I2931" t="s">
        <v>4200</v>
      </c>
      <c r="J2931" t="s">
        <v>28636</v>
      </c>
      <c r="K2931" t="s">
        <v>36687</v>
      </c>
      <c r="M2931" t="s">
        <v>38203</v>
      </c>
      <c r="N2931" t="s">
        <v>40436</v>
      </c>
      <c r="O2931" t="s">
        <v>40437</v>
      </c>
      <c r="P2931">
        <v>0</v>
      </c>
      <c r="Q2931">
        <v>1</v>
      </c>
      <c r="R2931" t="s">
        <v>40439</v>
      </c>
      <c r="S2931" t="s">
        <v>40588</v>
      </c>
      <c r="T2931" t="s">
        <v>42133</v>
      </c>
      <c r="U2931" t="s">
        <v>45175</v>
      </c>
      <c r="W2931" t="s">
        <v>38203</v>
      </c>
      <c r="X2931" t="s">
        <v>40440</v>
      </c>
    </row>
    <row r="2932" spans="1:24">
      <c r="A2932">
        <f>HYPERLINK("https://www.philgeps.gov.ph/GEPSNONPILOT/Tender/SplashBidNoticeAbstractUI.aspx?menuIndex=3&amp;refID=7044737&amp;Result=3","7044737")</f>
        <v>0</v>
      </c>
      <c r="B2932" t="s">
        <v>1126</v>
      </c>
      <c r="C2932" t="s">
        <v>5892</v>
      </c>
      <c r="D2932" t="s">
        <v>16254</v>
      </c>
      <c r="E2932" t="s">
        <v>18944</v>
      </c>
      <c r="F2932" t="s">
        <v>28198</v>
      </c>
      <c r="G2932" t="s">
        <v>28205</v>
      </c>
      <c r="H2932" t="s">
        <v>28215</v>
      </c>
      <c r="I2932" t="s">
        <v>28228</v>
      </c>
      <c r="J2932" t="s">
        <v>30321</v>
      </c>
      <c r="K2932" t="s">
        <v>36696</v>
      </c>
      <c r="M2932" t="s">
        <v>38164</v>
      </c>
      <c r="N2932" t="s">
        <v>40436</v>
      </c>
      <c r="O2932" t="s">
        <v>40437</v>
      </c>
      <c r="P2932">
        <v>0</v>
      </c>
      <c r="Q2932">
        <v>0</v>
      </c>
      <c r="R2932" t="s">
        <v>40439</v>
      </c>
      <c r="S2932" t="s">
        <v>40588</v>
      </c>
      <c r="T2932" t="s">
        <v>42287</v>
      </c>
      <c r="U2932" t="s">
        <v>45176</v>
      </c>
      <c r="W2932" t="s">
        <v>38164</v>
      </c>
      <c r="X2932" t="s">
        <v>40440</v>
      </c>
    </row>
    <row r="2933" spans="1:24">
      <c r="A2933">
        <f>HYPERLINK("https://www.philgeps.gov.ph/GEPSNONPILOT/Tender/SplashBidNoticeAbstractUI.aspx?menuIndex=3&amp;refID=7044742&amp;Result=3","7044742")</f>
        <v>0</v>
      </c>
      <c r="B2933" t="s">
        <v>1108</v>
      </c>
      <c r="C2933" t="s">
        <v>5893</v>
      </c>
      <c r="D2933" t="s">
        <v>16193</v>
      </c>
      <c r="E2933" t="s">
        <v>18945</v>
      </c>
      <c r="F2933" t="s">
        <v>28198</v>
      </c>
      <c r="G2933" t="s">
        <v>28205</v>
      </c>
      <c r="H2933" t="s">
        <v>28215</v>
      </c>
      <c r="I2933" t="s">
        <v>5100</v>
      </c>
      <c r="J2933" t="s">
        <v>30322</v>
      </c>
      <c r="K2933" t="s">
        <v>36707</v>
      </c>
      <c r="M2933" t="s">
        <v>38144</v>
      </c>
      <c r="N2933" t="s">
        <v>40436</v>
      </c>
      <c r="O2933" t="s">
        <v>40437</v>
      </c>
      <c r="P2933">
        <v>0</v>
      </c>
      <c r="Q2933">
        <v>0</v>
      </c>
      <c r="R2933" t="s">
        <v>40439</v>
      </c>
      <c r="S2933" t="s">
        <v>40588</v>
      </c>
      <c r="T2933" t="s">
        <v>42183</v>
      </c>
      <c r="U2933" t="s">
        <v>45177</v>
      </c>
      <c r="W2933" t="s">
        <v>38144</v>
      </c>
      <c r="X2933" t="s">
        <v>40440</v>
      </c>
    </row>
    <row r="2934" spans="1:24">
      <c r="A2934">
        <f>HYPERLINK("https://www.philgeps.gov.ph/GEPSNONPILOT/Tender/SplashBidNoticeAbstractUI.aspx?menuIndex=3&amp;refID=7044755&amp;Result=3","7044755")</f>
        <v>0</v>
      </c>
      <c r="B2934" t="s">
        <v>232</v>
      </c>
      <c r="C2934" t="s">
        <v>5894</v>
      </c>
      <c r="D2934" t="s">
        <v>16244</v>
      </c>
      <c r="E2934" t="s">
        <v>18946</v>
      </c>
      <c r="F2934" t="s">
        <v>28198</v>
      </c>
      <c r="G2934" t="s">
        <v>28207</v>
      </c>
      <c r="H2934" t="s">
        <v>28215</v>
      </c>
      <c r="I2934" t="s">
        <v>5103</v>
      </c>
      <c r="J2934" t="s">
        <v>28864</v>
      </c>
      <c r="K2934" t="s">
        <v>36696</v>
      </c>
      <c r="M2934" t="s">
        <v>37208</v>
      </c>
      <c r="N2934" t="s">
        <v>40436</v>
      </c>
      <c r="O2934" t="s">
        <v>40437</v>
      </c>
      <c r="P2934">
        <v>0</v>
      </c>
      <c r="Q2934">
        <v>2</v>
      </c>
      <c r="R2934" t="s">
        <v>40439</v>
      </c>
      <c r="S2934" t="s">
        <v>40588</v>
      </c>
      <c r="T2934" t="s">
        <v>42190</v>
      </c>
      <c r="U2934" t="s">
        <v>45178</v>
      </c>
      <c r="W2934" t="s">
        <v>37208</v>
      </c>
      <c r="X2934" t="s">
        <v>40440</v>
      </c>
    </row>
    <row r="2935" spans="1:24">
      <c r="A2935">
        <f>HYPERLINK("https://www.philgeps.gov.ph/GEPSNONPILOT/Tender/SplashBidNoticeAbstractUI.aspx?menuIndex=3&amp;refID=7044751&amp;Result=3","7044751")</f>
        <v>0</v>
      </c>
      <c r="B2935" t="s">
        <v>1134</v>
      </c>
      <c r="C2935" t="s">
        <v>5895</v>
      </c>
      <c r="E2935" t="s">
        <v>18947</v>
      </c>
      <c r="F2935" t="s">
        <v>28198</v>
      </c>
      <c r="G2935" t="s">
        <v>28205</v>
      </c>
      <c r="H2935" t="s">
        <v>28215</v>
      </c>
      <c r="I2935" t="s">
        <v>5100</v>
      </c>
      <c r="J2935" t="s">
        <v>30323</v>
      </c>
      <c r="K2935" t="s">
        <v>36707</v>
      </c>
      <c r="M2935" t="s">
        <v>38173</v>
      </c>
      <c r="N2935" t="s">
        <v>40436</v>
      </c>
      <c r="O2935" t="s">
        <v>40437</v>
      </c>
      <c r="P2935">
        <v>0</v>
      </c>
      <c r="Q2935">
        <v>1</v>
      </c>
      <c r="R2935" t="s">
        <v>40439</v>
      </c>
      <c r="S2935" t="s">
        <v>40588</v>
      </c>
      <c r="T2935" t="s">
        <v>42248</v>
      </c>
      <c r="U2935" t="s">
        <v>45179</v>
      </c>
      <c r="V2935" t="s">
        <v>54096</v>
      </c>
      <c r="W2935" t="s">
        <v>38173</v>
      </c>
      <c r="X2935" t="s">
        <v>40440</v>
      </c>
    </row>
    <row r="2936" spans="1:24">
      <c r="A2936">
        <f>HYPERLINK("https://www.philgeps.gov.ph/GEPSNONPILOT/Tender/SplashBidNoticeAbstractUI.aspx?menuIndex=3&amp;refID=7044735&amp;Result=3","7044735")</f>
        <v>0</v>
      </c>
      <c r="B2936" t="s">
        <v>1137</v>
      </c>
      <c r="C2936" t="s">
        <v>5896</v>
      </c>
      <c r="D2936" t="s">
        <v>16199</v>
      </c>
      <c r="E2936" t="s">
        <v>18948</v>
      </c>
      <c r="F2936" t="s">
        <v>28198</v>
      </c>
      <c r="G2936" t="s">
        <v>28207</v>
      </c>
      <c r="H2936" t="s">
        <v>28215</v>
      </c>
      <c r="I2936" t="s">
        <v>4168</v>
      </c>
      <c r="J2936" t="s">
        <v>28941</v>
      </c>
      <c r="K2936" t="s">
        <v>36698</v>
      </c>
      <c r="M2936" t="s">
        <v>38177</v>
      </c>
      <c r="N2936" t="s">
        <v>40436</v>
      </c>
      <c r="O2936" t="s">
        <v>40437</v>
      </c>
      <c r="P2936">
        <v>0</v>
      </c>
      <c r="Q2936">
        <v>0</v>
      </c>
      <c r="R2936" t="s">
        <v>40439</v>
      </c>
      <c r="S2936" t="s">
        <v>40588</v>
      </c>
      <c r="T2936" t="s">
        <v>42177</v>
      </c>
      <c r="U2936" t="s">
        <v>45180</v>
      </c>
      <c r="W2936" t="s">
        <v>38177</v>
      </c>
      <c r="X2936" t="s">
        <v>40440</v>
      </c>
    </row>
    <row r="2937" spans="1:24">
      <c r="A2937">
        <f>HYPERLINK("https://www.philgeps.gov.ph/GEPSNONPILOT/Tender/SplashBidNoticeAbstractUI.aspx?menuIndex=3&amp;refID=7044747&amp;Result=3","7044747")</f>
        <v>0</v>
      </c>
      <c r="B2937" t="s">
        <v>1164</v>
      </c>
      <c r="C2937" t="s">
        <v>5897</v>
      </c>
      <c r="D2937" t="s">
        <v>16203</v>
      </c>
      <c r="E2937" t="s">
        <v>18949</v>
      </c>
      <c r="F2937" t="s">
        <v>28198</v>
      </c>
      <c r="G2937" t="s">
        <v>28205</v>
      </c>
      <c r="H2937" t="s">
        <v>28214</v>
      </c>
      <c r="I2937" t="s">
        <v>3797</v>
      </c>
      <c r="J2937" t="s">
        <v>30324</v>
      </c>
      <c r="K2937" t="s">
        <v>36789</v>
      </c>
      <c r="M2937" t="s">
        <v>38204</v>
      </c>
      <c r="N2937" t="s">
        <v>40436</v>
      </c>
      <c r="O2937" t="s">
        <v>40437</v>
      </c>
      <c r="P2937">
        <v>0</v>
      </c>
      <c r="Q2937">
        <v>1</v>
      </c>
      <c r="R2937" t="s">
        <v>40439</v>
      </c>
      <c r="S2937" t="s">
        <v>40588</v>
      </c>
      <c r="T2937" t="s">
        <v>42118</v>
      </c>
      <c r="U2937" t="s">
        <v>45181</v>
      </c>
      <c r="W2937" t="s">
        <v>38204</v>
      </c>
      <c r="X2937" t="s">
        <v>40440</v>
      </c>
    </row>
    <row r="2938" spans="1:24">
      <c r="A2938">
        <f>HYPERLINK("https://www.philgeps.gov.ph/GEPSNONPILOT/Tender/SplashBidNoticeAbstractUI.aspx?menuIndex=3&amp;refID=7044748&amp;Result=3","7044748")</f>
        <v>0</v>
      </c>
      <c r="B2938" t="s">
        <v>1063</v>
      </c>
      <c r="C2938" t="s">
        <v>5898</v>
      </c>
      <c r="D2938" t="s">
        <v>16188</v>
      </c>
      <c r="E2938" t="s">
        <v>18950</v>
      </c>
      <c r="F2938" t="s">
        <v>28198</v>
      </c>
      <c r="G2938" t="s">
        <v>28207</v>
      </c>
      <c r="H2938" t="s">
        <v>28215</v>
      </c>
      <c r="I2938" t="s">
        <v>28226</v>
      </c>
      <c r="J2938" t="s">
        <v>28416</v>
      </c>
      <c r="K2938" t="s">
        <v>36689</v>
      </c>
      <c r="M2938" t="s">
        <v>38096</v>
      </c>
      <c r="N2938" t="s">
        <v>40436</v>
      </c>
      <c r="O2938" t="s">
        <v>40437</v>
      </c>
      <c r="P2938">
        <v>0</v>
      </c>
      <c r="Q2938">
        <v>1</v>
      </c>
      <c r="R2938" t="s">
        <v>40439</v>
      </c>
      <c r="S2938" t="s">
        <v>40588</v>
      </c>
      <c r="T2938" t="s">
        <v>42318</v>
      </c>
      <c r="U2938" t="s">
        <v>45182</v>
      </c>
      <c r="W2938" t="s">
        <v>38096</v>
      </c>
      <c r="X2938" t="s">
        <v>40440</v>
      </c>
    </row>
    <row r="2939" spans="1:24">
      <c r="A2939">
        <f>HYPERLINK("https://www.philgeps.gov.ph/GEPSNONPILOT/Tender/SplashBidNoticeAbstractUI.aspx?menuIndex=3&amp;refID=7044753&amp;Result=3","7044753")</f>
        <v>0</v>
      </c>
      <c r="B2939" t="s">
        <v>175</v>
      </c>
      <c r="C2939" t="s">
        <v>5899</v>
      </c>
      <c r="D2939" t="s">
        <v>16244</v>
      </c>
      <c r="E2939" t="s">
        <v>18951</v>
      </c>
      <c r="F2939" t="s">
        <v>28198</v>
      </c>
      <c r="G2939" t="s">
        <v>28206</v>
      </c>
      <c r="H2939" t="s">
        <v>28215</v>
      </c>
      <c r="I2939" t="s">
        <v>4321</v>
      </c>
      <c r="J2939" t="s">
        <v>30325</v>
      </c>
      <c r="K2939" t="s">
        <v>36688</v>
      </c>
      <c r="M2939" t="s">
        <v>37149</v>
      </c>
      <c r="N2939" t="s">
        <v>40436</v>
      </c>
      <c r="O2939" t="s">
        <v>40437</v>
      </c>
      <c r="P2939">
        <v>0</v>
      </c>
      <c r="Q2939">
        <v>0</v>
      </c>
      <c r="R2939" t="s">
        <v>40439</v>
      </c>
      <c r="S2939" t="s">
        <v>40588</v>
      </c>
      <c r="T2939" t="s">
        <v>42185</v>
      </c>
      <c r="U2939" t="s">
        <v>42905</v>
      </c>
      <c r="W2939" t="s">
        <v>37149</v>
      </c>
      <c r="X2939" t="s">
        <v>40440</v>
      </c>
    </row>
    <row r="2940" spans="1:24">
      <c r="A2940">
        <f>HYPERLINK("https://www.philgeps.gov.ph/GEPSNONPILOT/Tender/SplashBidNoticeAbstractUI.aspx?menuIndex=3&amp;refID=7044750&amp;Result=3","7044750")</f>
        <v>0</v>
      </c>
      <c r="B2940" t="s">
        <v>323</v>
      </c>
      <c r="C2940" t="s">
        <v>5900</v>
      </c>
      <c r="D2940" t="s">
        <v>16238</v>
      </c>
      <c r="E2940" t="s">
        <v>18952</v>
      </c>
      <c r="F2940" t="s">
        <v>28198</v>
      </c>
      <c r="G2940" t="s">
        <v>28207</v>
      </c>
      <c r="H2940" t="s">
        <v>28215</v>
      </c>
      <c r="I2940" t="s">
        <v>28228</v>
      </c>
      <c r="J2940" t="s">
        <v>28406</v>
      </c>
      <c r="K2940" t="s">
        <v>36689</v>
      </c>
      <c r="M2940" t="s">
        <v>37301</v>
      </c>
      <c r="N2940" t="s">
        <v>40436</v>
      </c>
      <c r="O2940" t="s">
        <v>40437</v>
      </c>
      <c r="P2940">
        <v>0</v>
      </c>
      <c r="Q2940">
        <v>0</v>
      </c>
      <c r="R2940" t="s">
        <v>40439</v>
      </c>
      <c r="S2940" t="s">
        <v>40588</v>
      </c>
      <c r="T2940" t="s">
        <v>42134</v>
      </c>
      <c r="U2940" t="s">
        <v>45183</v>
      </c>
      <c r="W2940" t="s">
        <v>55446</v>
      </c>
      <c r="X2940" t="s">
        <v>40440</v>
      </c>
    </row>
    <row r="2941" spans="1:24">
      <c r="A2941">
        <f>HYPERLINK("https://www.philgeps.gov.ph/GEPSNONPILOT/Tender/SplashBidNoticeAbstractUI.aspx?menuIndex=3&amp;refID=7044756&amp;Result=3","7044756")</f>
        <v>0</v>
      </c>
      <c r="B2941" t="s">
        <v>1137</v>
      </c>
      <c r="C2941" t="s">
        <v>5901</v>
      </c>
      <c r="D2941" t="s">
        <v>16199</v>
      </c>
      <c r="E2941" t="s">
        <v>18953</v>
      </c>
      <c r="F2941" t="s">
        <v>28198</v>
      </c>
      <c r="G2941" t="s">
        <v>28207</v>
      </c>
      <c r="H2941" t="s">
        <v>28215</v>
      </c>
      <c r="I2941" t="s">
        <v>5100</v>
      </c>
      <c r="J2941" t="s">
        <v>30315</v>
      </c>
      <c r="K2941" t="s">
        <v>36691</v>
      </c>
      <c r="M2941" t="s">
        <v>38177</v>
      </c>
      <c r="N2941" t="s">
        <v>40436</v>
      </c>
      <c r="O2941" t="s">
        <v>40437</v>
      </c>
      <c r="P2941">
        <v>0</v>
      </c>
      <c r="Q2941">
        <v>0</v>
      </c>
      <c r="R2941" t="s">
        <v>40439</v>
      </c>
      <c r="S2941" t="s">
        <v>40588</v>
      </c>
      <c r="T2941" t="s">
        <v>42177</v>
      </c>
      <c r="U2941" t="s">
        <v>45184</v>
      </c>
      <c r="W2941" t="s">
        <v>38177</v>
      </c>
      <c r="X2941" t="s">
        <v>40440</v>
      </c>
    </row>
    <row r="2942" spans="1:24">
      <c r="A2942">
        <f>HYPERLINK("https://www.philgeps.gov.ph/GEPSNONPILOT/Tender/SplashBidNoticeAbstractUI.aspx?menuIndex=3&amp;refID=7044761&amp;Result=3","7044761")</f>
        <v>0</v>
      </c>
      <c r="B2942" t="s">
        <v>1063</v>
      </c>
      <c r="C2942" t="s">
        <v>5902</v>
      </c>
      <c r="D2942" t="s">
        <v>16188</v>
      </c>
      <c r="E2942" t="s">
        <v>18954</v>
      </c>
      <c r="F2942" t="s">
        <v>28198</v>
      </c>
      <c r="G2942" t="s">
        <v>28207</v>
      </c>
      <c r="H2942" t="s">
        <v>28215</v>
      </c>
      <c r="I2942" t="s">
        <v>5071</v>
      </c>
      <c r="J2942" t="s">
        <v>30326</v>
      </c>
      <c r="K2942" t="s">
        <v>36689</v>
      </c>
      <c r="M2942" t="s">
        <v>38096</v>
      </c>
      <c r="N2942" t="s">
        <v>40436</v>
      </c>
      <c r="O2942" t="s">
        <v>40437</v>
      </c>
      <c r="P2942">
        <v>0</v>
      </c>
      <c r="Q2942">
        <v>7</v>
      </c>
      <c r="R2942" t="s">
        <v>40439</v>
      </c>
      <c r="S2942" t="s">
        <v>40588</v>
      </c>
      <c r="T2942" t="s">
        <v>42318</v>
      </c>
      <c r="U2942" t="s">
        <v>45185</v>
      </c>
      <c r="W2942" t="s">
        <v>38096</v>
      </c>
      <c r="X2942" t="s">
        <v>40440</v>
      </c>
    </row>
    <row r="2943" spans="1:24">
      <c r="A2943">
        <f>HYPERLINK("https://www.philgeps.gov.ph/GEPSNONPILOT/Tender/SplashBidNoticeAbstractUI.aspx?menuIndex=3&amp;refID=7044760&amp;Result=3","7044760")</f>
        <v>0</v>
      </c>
      <c r="B2943" t="s">
        <v>1165</v>
      </c>
      <c r="C2943" t="s">
        <v>5903</v>
      </c>
      <c r="D2943" t="s">
        <v>16222</v>
      </c>
      <c r="E2943" t="s">
        <v>16909</v>
      </c>
      <c r="F2943" t="s">
        <v>28198</v>
      </c>
      <c r="G2943" t="s">
        <v>28207</v>
      </c>
      <c r="H2943" t="s">
        <v>28215</v>
      </c>
      <c r="I2943" t="s">
        <v>8888</v>
      </c>
      <c r="J2943" t="s">
        <v>30327</v>
      </c>
      <c r="K2943" t="s">
        <v>36691</v>
      </c>
      <c r="M2943" t="s">
        <v>38205</v>
      </c>
      <c r="N2943" t="s">
        <v>40436</v>
      </c>
      <c r="O2943" t="s">
        <v>40437</v>
      </c>
      <c r="P2943">
        <v>0</v>
      </c>
      <c r="Q2943">
        <v>2</v>
      </c>
      <c r="R2943" t="s">
        <v>40439</v>
      </c>
      <c r="S2943" t="s">
        <v>40588</v>
      </c>
      <c r="T2943" t="s">
        <v>42340</v>
      </c>
      <c r="U2943" t="s">
        <v>45186</v>
      </c>
      <c r="W2943" t="s">
        <v>38205</v>
      </c>
      <c r="X2943" t="s">
        <v>40440</v>
      </c>
    </row>
    <row r="2944" spans="1:24">
      <c r="A2944">
        <f>HYPERLINK("https://www.philgeps.gov.ph/GEPSNONPILOT/Tender/SplashBidNoticeAbstractUI.aspx?menuIndex=3&amp;refID=7044770&amp;Result=3","7044770")</f>
        <v>0</v>
      </c>
      <c r="B2944" t="s">
        <v>1086</v>
      </c>
      <c r="C2944" t="s">
        <v>5904</v>
      </c>
      <c r="D2944" t="s">
        <v>16241</v>
      </c>
      <c r="E2944" t="s">
        <v>18955</v>
      </c>
      <c r="F2944" t="s">
        <v>28198</v>
      </c>
      <c r="G2944" t="s">
        <v>28206</v>
      </c>
      <c r="H2944" t="s">
        <v>28214</v>
      </c>
      <c r="I2944" t="s">
        <v>3797</v>
      </c>
      <c r="J2944" t="s">
        <v>30328</v>
      </c>
      <c r="K2944" t="s">
        <v>36706</v>
      </c>
      <c r="M2944" t="s">
        <v>38121</v>
      </c>
      <c r="N2944" t="s">
        <v>40436</v>
      </c>
      <c r="O2944" t="s">
        <v>40437</v>
      </c>
      <c r="P2944">
        <v>0</v>
      </c>
      <c r="Q2944">
        <v>0</v>
      </c>
      <c r="R2944" t="s">
        <v>40439</v>
      </c>
      <c r="S2944" t="s">
        <v>40588</v>
      </c>
      <c r="T2944" t="s">
        <v>42134</v>
      </c>
      <c r="U2944" t="s">
        <v>44948</v>
      </c>
      <c r="W2944" t="s">
        <v>38121</v>
      </c>
      <c r="X2944" t="s">
        <v>40440</v>
      </c>
    </row>
    <row r="2945" spans="1:24">
      <c r="A2945">
        <f>HYPERLINK("https://www.philgeps.gov.ph/GEPSNONPILOT/Tender/SplashBidNoticeAbstractUI.aspx?menuIndex=3&amp;refID=7044769&amp;Result=3","7044769")</f>
        <v>0</v>
      </c>
      <c r="B2945" t="s">
        <v>1166</v>
      </c>
      <c r="C2945" t="s">
        <v>5905</v>
      </c>
      <c r="E2945" t="s">
        <v>18956</v>
      </c>
      <c r="F2945" t="s">
        <v>28198</v>
      </c>
      <c r="G2945" t="s">
        <v>28207</v>
      </c>
      <c r="H2945" t="s">
        <v>28215</v>
      </c>
      <c r="I2945" t="s">
        <v>3422</v>
      </c>
      <c r="J2945" t="s">
        <v>30329</v>
      </c>
      <c r="K2945" t="s">
        <v>36689</v>
      </c>
      <c r="M2945" t="s">
        <v>38206</v>
      </c>
      <c r="N2945" t="s">
        <v>40436</v>
      </c>
      <c r="O2945" t="s">
        <v>40437</v>
      </c>
      <c r="P2945">
        <v>0</v>
      </c>
      <c r="Q2945">
        <v>0</v>
      </c>
      <c r="R2945" t="s">
        <v>40439</v>
      </c>
      <c r="S2945" t="s">
        <v>40588</v>
      </c>
      <c r="T2945" t="s">
        <v>42340</v>
      </c>
      <c r="U2945" t="s">
        <v>45187</v>
      </c>
      <c r="V2945" t="s">
        <v>54101</v>
      </c>
      <c r="W2945" t="s">
        <v>38206</v>
      </c>
      <c r="X2945" t="s">
        <v>40440</v>
      </c>
    </row>
    <row r="2946" spans="1:24">
      <c r="A2946">
        <f>HYPERLINK("https://www.philgeps.gov.ph/GEPSNONPILOT/Tender/SplashBidNoticeAbstractUI.aspx?menuIndex=3&amp;refID=7044774&amp;Result=3","7044774")</f>
        <v>0</v>
      </c>
      <c r="B2946" t="s">
        <v>860</v>
      </c>
      <c r="C2946" t="s">
        <v>5906</v>
      </c>
      <c r="D2946" t="s">
        <v>16199</v>
      </c>
      <c r="E2946" t="s">
        <v>16834</v>
      </c>
      <c r="F2946" t="s">
        <v>28198</v>
      </c>
      <c r="G2946" t="s">
        <v>28205</v>
      </c>
      <c r="H2946" t="s">
        <v>28214</v>
      </c>
      <c r="I2946" t="s">
        <v>3797</v>
      </c>
      <c r="J2946" t="s">
        <v>28576</v>
      </c>
      <c r="K2946" t="s">
        <v>36790</v>
      </c>
      <c r="M2946" t="s">
        <v>37872</v>
      </c>
      <c r="N2946" t="s">
        <v>40436</v>
      </c>
      <c r="O2946" t="s">
        <v>40437</v>
      </c>
      <c r="P2946">
        <v>0</v>
      </c>
      <c r="Q2946">
        <v>1</v>
      </c>
      <c r="R2946" t="s">
        <v>40439</v>
      </c>
      <c r="S2946" t="s">
        <v>40588</v>
      </c>
      <c r="T2946" t="s">
        <v>42177</v>
      </c>
      <c r="U2946" t="s">
        <v>45188</v>
      </c>
      <c r="W2946" t="s">
        <v>37872</v>
      </c>
      <c r="X2946" t="s">
        <v>40440</v>
      </c>
    </row>
    <row r="2947" spans="1:24">
      <c r="A2947">
        <f>HYPERLINK("https://www.philgeps.gov.ph/GEPSNONPILOT/Tender/SplashBidNoticeAbstractUI.aspx?menuIndex=3&amp;refID=7044766&amp;Result=3","7044766")</f>
        <v>0</v>
      </c>
      <c r="B2947" t="s">
        <v>285</v>
      </c>
      <c r="C2947" t="s">
        <v>5907</v>
      </c>
      <c r="E2947" t="s">
        <v>18957</v>
      </c>
      <c r="F2947" t="s">
        <v>28198</v>
      </c>
      <c r="G2947" t="s">
        <v>28207</v>
      </c>
      <c r="H2947" t="s">
        <v>28215</v>
      </c>
      <c r="I2947" t="s">
        <v>28249</v>
      </c>
      <c r="J2947" t="s">
        <v>30330</v>
      </c>
      <c r="K2947" t="s">
        <v>36689</v>
      </c>
      <c r="M2947" t="s">
        <v>37262</v>
      </c>
      <c r="N2947" t="s">
        <v>40436</v>
      </c>
      <c r="O2947" t="s">
        <v>40437</v>
      </c>
      <c r="P2947">
        <v>0</v>
      </c>
      <c r="Q2947">
        <v>0</v>
      </c>
      <c r="R2947" t="s">
        <v>40439</v>
      </c>
      <c r="S2947" t="s">
        <v>40588</v>
      </c>
      <c r="T2947" t="s">
        <v>42190</v>
      </c>
      <c r="U2947" t="s">
        <v>45189</v>
      </c>
      <c r="W2947" t="s">
        <v>37262</v>
      </c>
      <c r="X2947" t="s">
        <v>40440</v>
      </c>
    </row>
    <row r="2948" spans="1:24">
      <c r="A2948">
        <f>HYPERLINK("https://www.philgeps.gov.ph/GEPSNONPILOT/Tender/SplashBidNoticeAbstractUI.aspx?menuIndex=3&amp;refID=7044764&amp;Result=3","7044764")</f>
        <v>0</v>
      </c>
      <c r="B2948" t="s">
        <v>1167</v>
      </c>
      <c r="C2948" t="s">
        <v>5908</v>
      </c>
      <c r="D2948" t="s">
        <v>16217</v>
      </c>
      <c r="E2948" t="s">
        <v>18958</v>
      </c>
      <c r="F2948" t="s">
        <v>28198</v>
      </c>
      <c r="G2948" t="s">
        <v>28205</v>
      </c>
      <c r="H2948" t="s">
        <v>28215</v>
      </c>
      <c r="I2948" t="s">
        <v>4505</v>
      </c>
      <c r="J2948" t="s">
        <v>30331</v>
      </c>
      <c r="K2948" t="s">
        <v>36689</v>
      </c>
      <c r="M2948" t="s">
        <v>38207</v>
      </c>
      <c r="N2948" t="s">
        <v>40436</v>
      </c>
      <c r="O2948" t="s">
        <v>40437</v>
      </c>
      <c r="P2948">
        <v>0</v>
      </c>
      <c r="Q2948">
        <v>0</v>
      </c>
      <c r="R2948" t="s">
        <v>40439</v>
      </c>
      <c r="S2948" t="s">
        <v>40588</v>
      </c>
      <c r="T2948" t="s">
        <v>42180</v>
      </c>
      <c r="U2948" t="s">
        <v>45190</v>
      </c>
      <c r="W2948" t="s">
        <v>38207</v>
      </c>
      <c r="X2948" t="s">
        <v>40440</v>
      </c>
    </row>
    <row r="2949" spans="1:24">
      <c r="A2949">
        <f>HYPERLINK("https://www.philgeps.gov.ph/GEPSNONPILOT/Tender/SplashBidNoticeAbstractUI.aspx?menuIndex=3&amp;refID=7044778&amp;Result=3","7044778")</f>
        <v>0</v>
      </c>
      <c r="B2949" t="s">
        <v>390</v>
      </c>
      <c r="C2949" t="s">
        <v>5909</v>
      </c>
      <c r="D2949" t="s">
        <v>16235</v>
      </c>
      <c r="E2949" t="s">
        <v>18959</v>
      </c>
      <c r="F2949" t="s">
        <v>28198</v>
      </c>
      <c r="G2949" t="s">
        <v>28207</v>
      </c>
      <c r="H2949" t="s">
        <v>28214</v>
      </c>
      <c r="I2949" t="s">
        <v>3797</v>
      </c>
      <c r="J2949" t="s">
        <v>28415</v>
      </c>
      <c r="K2949" t="s">
        <v>36689</v>
      </c>
      <c r="M2949" t="s">
        <v>37370</v>
      </c>
      <c r="N2949" t="s">
        <v>40436</v>
      </c>
      <c r="O2949" t="s">
        <v>40437</v>
      </c>
      <c r="P2949">
        <v>0</v>
      </c>
      <c r="Q2949">
        <v>0</v>
      </c>
      <c r="R2949" t="s">
        <v>40439</v>
      </c>
      <c r="S2949" t="s">
        <v>40588</v>
      </c>
      <c r="T2949" t="s">
        <v>42131</v>
      </c>
      <c r="U2949" t="s">
        <v>44901</v>
      </c>
      <c r="W2949" t="s">
        <v>37370</v>
      </c>
      <c r="X2949" t="s">
        <v>40440</v>
      </c>
    </row>
    <row r="2950" spans="1:24">
      <c r="A2950">
        <f>HYPERLINK("https://www.philgeps.gov.ph/GEPSNONPILOT/Tender/SplashBidNoticeAbstractUI.aspx?menuIndex=3&amp;refID=7044762&amp;Result=3","7044762")</f>
        <v>0</v>
      </c>
      <c r="B2950" t="s">
        <v>1110</v>
      </c>
      <c r="C2950" t="s">
        <v>5910</v>
      </c>
      <c r="D2950" t="s">
        <v>16187</v>
      </c>
      <c r="E2950" t="s">
        <v>18960</v>
      </c>
      <c r="F2950" t="s">
        <v>28200</v>
      </c>
      <c r="G2950" t="s">
        <v>28206</v>
      </c>
      <c r="H2950" t="s">
        <v>28215</v>
      </c>
      <c r="I2950" t="s">
        <v>5100</v>
      </c>
      <c r="J2950" t="s">
        <v>30332</v>
      </c>
      <c r="K2950" t="s">
        <v>36698</v>
      </c>
      <c r="M2950" t="s">
        <v>38146</v>
      </c>
      <c r="N2950" t="s">
        <v>40436</v>
      </c>
      <c r="O2950" t="s">
        <v>40437</v>
      </c>
      <c r="P2950">
        <v>0</v>
      </c>
      <c r="Q2950">
        <v>0</v>
      </c>
      <c r="R2950" t="s">
        <v>40439</v>
      </c>
      <c r="S2950" t="s">
        <v>40588</v>
      </c>
      <c r="T2950" t="s">
        <v>42343</v>
      </c>
      <c r="U2950" t="s">
        <v>45191</v>
      </c>
      <c r="W2950" t="s">
        <v>38146</v>
      </c>
      <c r="X2950" t="s">
        <v>40440</v>
      </c>
    </row>
    <row r="2951" spans="1:24">
      <c r="A2951">
        <f>HYPERLINK("https://www.philgeps.gov.ph/GEPSNONPILOT/Tender/SplashBidNoticeAbstractUI.aspx?menuIndex=3&amp;refID=7044763&amp;Result=3","7044763")</f>
        <v>0</v>
      </c>
      <c r="B2951" t="s">
        <v>846</v>
      </c>
      <c r="C2951" t="s">
        <v>5911</v>
      </c>
      <c r="D2951" t="s">
        <v>16217</v>
      </c>
      <c r="E2951" t="s">
        <v>18961</v>
      </c>
      <c r="F2951" t="s">
        <v>28198</v>
      </c>
      <c r="G2951" t="s">
        <v>28207</v>
      </c>
      <c r="H2951" t="s">
        <v>28215</v>
      </c>
      <c r="I2951" t="s">
        <v>28226</v>
      </c>
      <c r="J2951" t="s">
        <v>30333</v>
      </c>
      <c r="K2951" t="s">
        <v>36701</v>
      </c>
      <c r="M2951" t="s">
        <v>37858</v>
      </c>
      <c r="N2951" t="s">
        <v>40436</v>
      </c>
      <c r="O2951" t="s">
        <v>40437</v>
      </c>
      <c r="P2951">
        <v>0</v>
      </c>
      <c r="Q2951">
        <v>1</v>
      </c>
      <c r="R2951" t="s">
        <v>40439</v>
      </c>
      <c r="S2951" t="s">
        <v>40588</v>
      </c>
      <c r="T2951" t="s">
        <v>42160</v>
      </c>
      <c r="U2951" t="s">
        <v>45192</v>
      </c>
      <c r="W2951" t="s">
        <v>37858</v>
      </c>
      <c r="X2951" t="s">
        <v>40440</v>
      </c>
    </row>
    <row r="2952" spans="1:24">
      <c r="A2952">
        <f>HYPERLINK("https://www.philgeps.gov.ph/GEPSNONPILOT/Tender/SplashBidNoticeAbstractUI.aspx?menuIndex=3&amp;refID=7044784&amp;Result=3","7044784")</f>
        <v>0</v>
      </c>
      <c r="B2952" t="s">
        <v>1168</v>
      </c>
      <c r="C2952" t="s">
        <v>5912</v>
      </c>
      <c r="D2952" t="s">
        <v>16213</v>
      </c>
      <c r="E2952" t="s">
        <v>18962</v>
      </c>
      <c r="F2952" t="s">
        <v>28198</v>
      </c>
      <c r="G2952" t="s">
        <v>28207</v>
      </c>
      <c r="H2952" t="s">
        <v>28215</v>
      </c>
      <c r="I2952" t="s">
        <v>4321</v>
      </c>
      <c r="J2952" t="s">
        <v>30334</v>
      </c>
      <c r="K2952" t="s">
        <v>36701</v>
      </c>
      <c r="M2952" t="s">
        <v>38208</v>
      </c>
      <c r="N2952" t="s">
        <v>40436</v>
      </c>
      <c r="O2952" t="s">
        <v>40437</v>
      </c>
      <c r="P2952">
        <v>0</v>
      </c>
      <c r="Q2952">
        <v>3</v>
      </c>
      <c r="R2952" t="s">
        <v>40439</v>
      </c>
      <c r="S2952" t="s">
        <v>40588</v>
      </c>
      <c r="T2952" t="s">
        <v>42340</v>
      </c>
      <c r="U2952" t="s">
        <v>45193</v>
      </c>
      <c r="W2952" t="s">
        <v>38208</v>
      </c>
      <c r="X2952" t="s">
        <v>40440</v>
      </c>
    </row>
    <row r="2953" spans="1:24">
      <c r="A2953">
        <f>HYPERLINK("https://www.philgeps.gov.ph/GEPSNONPILOT/Tender/SplashBidNoticeAbstractUI.aspx?menuIndex=3&amp;refID=7044781&amp;Result=3","7044781")</f>
        <v>0</v>
      </c>
      <c r="B2953" t="s">
        <v>1169</v>
      </c>
      <c r="C2953" t="s">
        <v>5913</v>
      </c>
      <c r="D2953" t="s">
        <v>16250</v>
      </c>
      <c r="E2953" t="s">
        <v>18963</v>
      </c>
      <c r="F2953" t="s">
        <v>28198</v>
      </c>
      <c r="G2953" t="s">
        <v>28207</v>
      </c>
      <c r="H2953" t="s">
        <v>28215</v>
      </c>
      <c r="I2953" t="s">
        <v>5791</v>
      </c>
      <c r="J2953" t="s">
        <v>30335</v>
      </c>
      <c r="K2953" t="s">
        <v>36691</v>
      </c>
      <c r="M2953" t="s">
        <v>38209</v>
      </c>
      <c r="N2953" t="s">
        <v>40436</v>
      </c>
      <c r="O2953" t="s">
        <v>40437</v>
      </c>
      <c r="P2953">
        <v>0</v>
      </c>
      <c r="Q2953">
        <v>0</v>
      </c>
      <c r="R2953" t="s">
        <v>40439</v>
      </c>
      <c r="S2953" t="s">
        <v>40588</v>
      </c>
      <c r="T2953" t="s">
        <v>42218</v>
      </c>
      <c r="U2953" t="s">
        <v>45194</v>
      </c>
      <c r="V2953" t="s">
        <v>54102</v>
      </c>
      <c r="W2953" t="s">
        <v>38209</v>
      </c>
      <c r="X2953" t="s">
        <v>40440</v>
      </c>
    </row>
    <row r="2954" spans="1:24">
      <c r="A2954">
        <f>HYPERLINK("https://www.philgeps.gov.ph/GEPSNONPILOT/Tender/SplashBidNoticeAbstractUI.aspx?menuIndex=3&amp;refID=7044782&amp;Result=3","7044782")</f>
        <v>0</v>
      </c>
      <c r="B2954" t="s">
        <v>121</v>
      </c>
      <c r="C2954" t="s">
        <v>5914</v>
      </c>
      <c r="D2954" t="s">
        <v>16207</v>
      </c>
      <c r="E2954" t="s">
        <v>18964</v>
      </c>
      <c r="F2954" t="s">
        <v>28198</v>
      </c>
      <c r="G2954" t="s">
        <v>28207</v>
      </c>
      <c r="H2954" t="s">
        <v>28215</v>
      </c>
      <c r="I2954" t="s">
        <v>28243</v>
      </c>
      <c r="J2954" t="s">
        <v>30336</v>
      </c>
      <c r="K2954" t="s">
        <v>36706</v>
      </c>
      <c r="M2954" t="s">
        <v>38147</v>
      </c>
      <c r="N2954" t="s">
        <v>40436</v>
      </c>
      <c r="O2954" t="s">
        <v>40437</v>
      </c>
      <c r="P2954">
        <v>0</v>
      </c>
      <c r="Q2954">
        <v>0</v>
      </c>
      <c r="R2954" t="s">
        <v>40439</v>
      </c>
      <c r="S2954" t="s">
        <v>40588</v>
      </c>
      <c r="T2954" t="s">
        <v>42158</v>
      </c>
      <c r="U2954" t="s">
        <v>45195</v>
      </c>
      <c r="W2954" t="s">
        <v>38147</v>
      </c>
      <c r="X2954" t="s">
        <v>40440</v>
      </c>
    </row>
    <row r="2955" spans="1:24">
      <c r="A2955">
        <f>HYPERLINK("https://www.philgeps.gov.ph/GEPSNONPILOT/Tender/SplashBidNoticeAbstractUI.aspx?menuIndex=3&amp;refID=7044785&amp;Result=3","7044785")</f>
        <v>0</v>
      </c>
      <c r="B2955" t="s">
        <v>1160</v>
      </c>
      <c r="C2955" t="s">
        <v>5915</v>
      </c>
      <c r="D2955" t="s">
        <v>16192</v>
      </c>
      <c r="E2955" t="s">
        <v>18965</v>
      </c>
      <c r="F2955" t="s">
        <v>28200</v>
      </c>
      <c r="G2955" t="s">
        <v>28207</v>
      </c>
      <c r="H2955" t="s">
        <v>28215</v>
      </c>
      <c r="I2955" t="s">
        <v>3774</v>
      </c>
      <c r="J2955" t="s">
        <v>28900</v>
      </c>
      <c r="K2955" t="s">
        <v>36693</v>
      </c>
      <c r="M2955" t="s">
        <v>38200</v>
      </c>
      <c r="N2955" t="s">
        <v>40436</v>
      </c>
      <c r="O2955" t="s">
        <v>40437</v>
      </c>
      <c r="P2955">
        <v>0</v>
      </c>
      <c r="Q2955">
        <v>1</v>
      </c>
      <c r="R2955" t="s">
        <v>40439</v>
      </c>
      <c r="S2955" t="s">
        <v>40588</v>
      </c>
      <c r="T2955" t="s">
        <v>42203</v>
      </c>
      <c r="U2955" t="s">
        <v>45196</v>
      </c>
      <c r="W2955" t="s">
        <v>38200</v>
      </c>
      <c r="X2955" t="s">
        <v>40440</v>
      </c>
    </row>
    <row r="2956" spans="1:24">
      <c r="A2956">
        <f>HYPERLINK("https://www.philgeps.gov.ph/GEPSNONPILOT/Tender/SplashBidNoticeAbstractUI.aspx?menuIndex=3&amp;refID=7044780&amp;Result=3","7044780")</f>
        <v>0</v>
      </c>
      <c r="B2956" t="s">
        <v>1170</v>
      </c>
      <c r="C2956" t="s">
        <v>5916</v>
      </c>
      <c r="D2956" t="s">
        <v>16190</v>
      </c>
      <c r="E2956" t="s">
        <v>18966</v>
      </c>
      <c r="F2956" t="s">
        <v>28198</v>
      </c>
      <c r="G2956" t="s">
        <v>28207</v>
      </c>
      <c r="H2956" t="s">
        <v>28215</v>
      </c>
      <c r="I2956" t="s">
        <v>28227</v>
      </c>
      <c r="J2956" t="s">
        <v>30337</v>
      </c>
      <c r="K2956" t="s">
        <v>36706</v>
      </c>
      <c r="M2956" t="s">
        <v>38210</v>
      </c>
      <c r="N2956" t="s">
        <v>40436</v>
      </c>
      <c r="O2956" t="s">
        <v>40437</v>
      </c>
      <c r="P2956">
        <v>0</v>
      </c>
      <c r="Q2956">
        <v>0</v>
      </c>
      <c r="R2956" t="s">
        <v>40439</v>
      </c>
      <c r="S2956" t="s">
        <v>40588</v>
      </c>
      <c r="T2956" t="s">
        <v>42131</v>
      </c>
      <c r="U2956" t="s">
        <v>45197</v>
      </c>
      <c r="W2956" t="s">
        <v>38210</v>
      </c>
      <c r="X2956" t="s">
        <v>40440</v>
      </c>
    </row>
    <row r="2957" spans="1:24">
      <c r="A2957">
        <f>HYPERLINK("https://www.philgeps.gov.ph/GEPSNONPILOT/Tender/SplashBidNoticeAbstractUI.aspx?menuIndex=3&amp;refID=7044783&amp;Result=3","7044783")</f>
        <v>0</v>
      </c>
      <c r="B2957" t="s">
        <v>455</v>
      </c>
      <c r="C2957" t="s">
        <v>5917</v>
      </c>
      <c r="D2957" t="s">
        <v>16263</v>
      </c>
      <c r="E2957" t="s">
        <v>18967</v>
      </c>
      <c r="F2957" t="s">
        <v>28198</v>
      </c>
      <c r="G2957" t="s">
        <v>28205</v>
      </c>
      <c r="H2957" t="s">
        <v>28214</v>
      </c>
      <c r="I2957" t="s">
        <v>3797</v>
      </c>
      <c r="J2957" t="s">
        <v>28683</v>
      </c>
      <c r="K2957" t="s">
        <v>36689</v>
      </c>
      <c r="M2957" t="s">
        <v>37439</v>
      </c>
      <c r="N2957" t="s">
        <v>40436</v>
      </c>
      <c r="O2957" t="s">
        <v>40437</v>
      </c>
      <c r="P2957">
        <v>0</v>
      </c>
      <c r="Q2957">
        <v>0</v>
      </c>
      <c r="R2957" t="s">
        <v>40439</v>
      </c>
      <c r="S2957" t="s">
        <v>40588</v>
      </c>
      <c r="T2957" t="s">
        <v>42118</v>
      </c>
      <c r="U2957" t="s">
        <v>45025</v>
      </c>
      <c r="W2957" t="s">
        <v>37439</v>
      </c>
      <c r="X2957" t="s">
        <v>40440</v>
      </c>
    </row>
    <row r="2958" spans="1:24">
      <c r="A2958">
        <f>HYPERLINK("https://www.philgeps.gov.ph/GEPSNONPILOT/Tender/SplashBidNoticeAbstractUI.aspx?menuIndex=3&amp;refID=7044771&amp;Result=3","7044771")</f>
        <v>0</v>
      </c>
      <c r="B2958" t="s">
        <v>232</v>
      </c>
      <c r="C2958" t="s">
        <v>5918</v>
      </c>
      <c r="D2958" t="s">
        <v>16244</v>
      </c>
      <c r="E2958" t="s">
        <v>18968</v>
      </c>
      <c r="F2958" t="s">
        <v>28198</v>
      </c>
      <c r="G2958" t="s">
        <v>28207</v>
      </c>
      <c r="H2958" t="s">
        <v>28215</v>
      </c>
      <c r="I2958" t="s">
        <v>5100</v>
      </c>
      <c r="J2958" t="s">
        <v>30338</v>
      </c>
      <c r="K2958" t="s">
        <v>36696</v>
      </c>
      <c r="M2958" t="s">
        <v>37208</v>
      </c>
      <c r="N2958" t="s">
        <v>40436</v>
      </c>
      <c r="O2958" t="s">
        <v>40437</v>
      </c>
      <c r="P2958">
        <v>0</v>
      </c>
      <c r="Q2958">
        <v>1</v>
      </c>
      <c r="R2958" t="s">
        <v>40439</v>
      </c>
      <c r="S2958" t="s">
        <v>40588</v>
      </c>
      <c r="T2958" t="s">
        <v>42190</v>
      </c>
      <c r="U2958" t="s">
        <v>45198</v>
      </c>
      <c r="W2958" t="s">
        <v>37208</v>
      </c>
      <c r="X2958" t="s">
        <v>40440</v>
      </c>
    </row>
    <row r="2959" spans="1:24">
      <c r="A2959">
        <f>HYPERLINK("https://www.philgeps.gov.ph/GEPSNONPILOT/Tender/SplashBidNoticeAbstractUI.aspx?menuIndex=3&amp;refID=7044800&amp;Result=3","7044800")</f>
        <v>0</v>
      </c>
      <c r="B2959" t="s">
        <v>1171</v>
      </c>
      <c r="C2959" t="s">
        <v>5919</v>
      </c>
      <c r="D2959" t="s">
        <v>16210</v>
      </c>
      <c r="E2959" t="s">
        <v>16526</v>
      </c>
      <c r="F2959" t="s">
        <v>28198</v>
      </c>
      <c r="G2959" t="s">
        <v>28206</v>
      </c>
      <c r="H2959" t="s">
        <v>28215</v>
      </c>
      <c r="I2959" t="s">
        <v>28238</v>
      </c>
      <c r="J2959" t="s">
        <v>30339</v>
      </c>
      <c r="K2959" t="s">
        <v>36691</v>
      </c>
      <c r="M2959" t="s">
        <v>38211</v>
      </c>
      <c r="N2959" t="s">
        <v>40436</v>
      </c>
      <c r="O2959" t="s">
        <v>40437</v>
      </c>
      <c r="P2959">
        <v>0</v>
      </c>
      <c r="Q2959">
        <v>18</v>
      </c>
      <c r="R2959" t="s">
        <v>40439</v>
      </c>
      <c r="S2959" t="s">
        <v>40588</v>
      </c>
      <c r="T2959" t="s">
        <v>42245</v>
      </c>
      <c r="U2959" t="s">
        <v>45199</v>
      </c>
      <c r="W2959" t="s">
        <v>38211</v>
      </c>
      <c r="X2959" t="s">
        <v>40440</v>
      </c>
    </row>
    <row r="2960" spans="1:24">
      <c r="A2960">
        <f>HYPERLINK("https://www.philgeps.gov.ph/GEPSNONPILOT/Tender/SplashBidNoticeAbstractUI.aspx?menuIndex=3&amp;refID=7044786&amp;Result=3","7044786")</f>
        <v>0</v>
      </c>
      <c r="B2960" t="s">
        <v>202</v>
      </c>
      <c r="C2960" t="s">
        <v>5920</v>
      </c>
      <c r="D2960" t="s">
        <v>16217</v>
      </c>
      <c r="E2960" t="s">
        <v>18969</v>
      </c>
      <c r="F2960" t="s">
        <v>28198</v>
      </c>
      <c r="G2960" t="s">
        <v>28207</v>
      </c>
      <c r="H2960" t="s">
        <v>28217</v>
      </c>
      <c r="I2960" t="s">
        <v>28274</v>
      </c>
      <c r="J2960" t="s">
        <v>30340</v>
      </c>
      <c r="K2960" t="s">
        <v>36779</v>
      </c>
      <c r="M2960" t="s">
        <v>38212</v>
      </c>
      <c r="N2960" t="s">
        <v>40436</v>
      </c>
      <c r="O2960" t="s">
        <v>40437</v>
      </c>
      <c r="P2960">
        <v>0</v>
      </c>
      <c r="Q2960">
        <v>0</v>
      </c>
      <c r="R2960" t="s">
        <v>40439</v>
      </c>
      <c r="S2960" t="s">
        <v>40588</v>
      </c>
      <c r="T2960" t="s">
        <v>42158</v>
      </c>
      <c r="U2960" t="s">
        <v>45200</v>
      </c>
      <c r="V2960" t="s">
        <v>54103</v>
      </c>
      <c r="W2960" t="s">
        <v>38212</v>
      </c>
      <c r="X2960" t="s">
        <v>40440</v>
      </c>
    </row>
    <row r="2961" spans="1:24">
      <c r="A2961">
        <f>HYPERLINK("https://www.philgeps.gov.ph/GEPSNONPILOT/Tender/SplashBidNoticeAbstractUI.aspx?menuIndex=3&amp;refID=7044796&amp;Result=3","7044796")</f>
        <v>0</v>
      </c>
      <c r="B2961" t="s">
        <v>305</v>
      </c>
      <c r="C2961" t="s">
        <v>5921</v>
      </c>
      <c r="D2961" t="s">
        <v>16197</v>
      </c>
      <c r="E2961" t="s">
        <v>18970</v>
      </c>
      <c r="F2961" t="s">
        <v>28198</v>
      </c>
      <c r="G2961" t="s">
        <v>28207</v>
      </c>
      <c r="H2961" t="s">
        <v>28215</v>
      </c>
      <c r="I2961" t="s">
        <v>3422</v>
      </c>
      <c r="J2961" t="s">
        <v>28668</v>
      </c>
      <c r="K2961" t="s">
        <v>36688</v>
      </c>
      <c r="M2961" t="s">
        <v>38213</v>
      </c>
      <c r="N2961" t="s">
        <v>40436</v>
      </c>
      <c r="O2961" t="s">
        <v>40437</v>
      </c>
      <c r="P2961">
        <v>0</v>
      </c>
      <c r="Q2961">
        <v>0</v>
      </c>
      <c r="R2961" t="s">
        <v>40439</v>
      </c>
      <c r="S2961" t="s">
        <v>40588</v>
      </c>
      <c r="T2961" t="s">
        <v>42133</v>
      </c>
      <c r="U2961" t="s">
        <v>45201</v>
      </c>
      <c r="W2961" t="s">
        <v>38213</v>
      </c>
      <c r="X2961" t="s">
        <v>40440</v>
      </c>
    </row>
    <row r="2962" spans="1:24">
      <c r="A2962">
        <f>HYPERLINK("https://www.philgeps.gov.ph/GEPSNONPILOT/Tender/SplashBidNoticeAbstractUI.aspx?menuIndex=3&amp;refID=7044772&amp;Result=3","7044772")</f>
        <v>0</v>
      </c>
      <c r="B2962" t="s">
        <v>461</v>
      </c>
      <c r="C2962" t="s">
        <v>5922</v>
      </c>
      <c r="D2962" t="s">
        <v>16208</v>
      </c>
      <c r="E2962" t="s">
        <v>18971</v>
      </c>
      <c r="F2962" t="s">
        <v>28198</v>
      </c>
      <c r="G2962" t="s">
        <v>28209</v>
      </c>
      <c r="H2962" t="s">
        <v>28215</v>
      </c>
      <c r="I2962" t="s">
        <v>4168</v>
      </c>
      <c r="J2962" t="s">
        <v>28350</v>
      </c>
      <c r="K2962" t="s">
        <v>36689</v>
      </c>
      <c r="M2962" t="s">
        <v>37445</v>
      </c>
      <c r="N2962" t="s">
        <v>40436</v>
      </c>
      <c r="O2962" t="s">
        <v>40437</v>
      </c>
      <c r="P2962">
        <v>0</v>
      </c>
      <c r="Q2962">
        <v>0</v>
      </c>
      <c r="R2962" t="s">
        <v>40439</v>
      </c>
      <c r="S2962" t="s">
        <v>40588</v>
      </c>
      <c r="T2962" t="s">
        <v>42133</v>
      </c>
      <c r="U2962" t="s">
        <v>45202</v>
      </c>
      <c r="W2962" t="s">
        <v>37445</v>
      </c>
      <c r="X2962" t="s">
        <v>40440</v>
      </c>
    </row>
    <row r="2963" spans="1:24">
      <c r="A2963">
        <f>HYPERLINK("https://www.philgeps.gov.ph/GEPSNONPILOT/Tender/SplashBidNoticeAbstractUI.aspx?menuIndex=3&amp;refID=7044799&amp;Result=3","7044799")</f>
        <v>0</v>
      </c>
      <c r="B2963" t="s">
        <v>1172</v>
      </c>
      <c r="C2963" t="s">
        <v>5923</v>
      </c>
      <c r="D2963" t="s">
        <v>16221</v>
      </c>
      <c r="E2963" t="s">
        <v>18972</v>
      </c>
      <c r="F2963" t="s">
        <v>28198</v>
      </c>
      <c r="G2963" t="s">
        <v>28205</v>
      </c>
      <c r="H2963" t="s">
        <v>28215</v>
      </c>
      <c r="I2963" t="s">
        <v>28257</v>
      </c>
      <c r="J2963" t="s">
        <v>30341</v>
      </c>
      <c r="K2963" t="s">
        <v>36694</v>
      </c>
      <c r="M2963" t="s">
        <v>38214</v>
      </c>
      <c r="N2963" t="s">
        <v>40436</v>
      </c>
      <c r="O2963" t="s">
        <v>40437</v>
      </c>
      <c r="P2963">
        <v>0</v>
      </c>
      <c r="Q2963">
        <v>6</v>
      </c>
      <c r="R2963" t="s">
        <v>40439</v>
      </c>
      <c r="S2963" t="s">
        <v>40588</v>
      </c>
      <c r="T2963" t="s">
        <v>42118</v>
      </c>
      <c r="U2963" t="s">
        <v>45203</v>
      </c>
      <c r="V2963" t="s">
        <v>54104</v>
      </c>
      <c r="W2963" t="s">
        <v>38214</v>
      </c>
      <c r="X2963" t="s">
        <v>40440</v>
      </c>
    </row>
    <row r="2964" spans="1:24">
      <c r="A2964">
        <f>HYPERLINK("https://www.philgeps.gov.ph/GEPSNONPILOT/Tender/SplashBidNoticeAbstractUI.aspx?menuIndex=3&amp;refID=7044779&amp;Result=3","7044779")</f>
        <v>0</v>
      </c>
      <c r="B2964" t="s">
        <v>1143</v>
      </c>
      <c r="C2964" t="s">
        <v>5924</v>
      </c>
      <c r="D2964" t="s">
        <v>16210</v>
      </c>
      <c r="E2964" t="s">
        <v>18973</v>
      </c>
      <c r="F2964" t="s">
        <v>28198</v>
      </c>
      <c r="G2964" t="s">
        <v>28205</v>
      </c>
      <c r="H2964" t="s">
        <v>28215</v>
      </c>
      <c r="I2964" t="s">
        <v>28239</v>
      </c>
      <c r="J2964" t="s">
        <v>28699</v>
      </c>
      <c r="K2964" t="s">
        <v>36701</v>
      </c>
      <c r="M2964" t="s">
        <v>38183</v>
      </c>
      <c r="N2964" t="s">
        <v>40436</v>
      </c>
      <c r="O2964" t="s">
        <v>40437</v>
      </c>
      <c r="P2964">
        <v>0</v>
      </c>
      <c r="Q2964">
        <v>8</v>
      </c>
      <c r="R2964" t="s">
        <v>40439</v>
      </c>
      <c r="S2964" t="s">
        <v>40588</v>
      </c>
      <c r="T2964" t="s">
        <v>42338</v>
      </c>
      <c r="U2964" t="s">
        <v>45204</v>
      </c>
      <c r="V2964" t="s">
        <v>54095</v>
      </c>
      <c r="W2964" t="s">
        <v>38183</v>
      </c>
      <c r="X2964" t="s">
        <v>40440</v>
      </c>
    </row>
    <row r="2965" spans="1:24">
      <c r="A2965">
        <f>HYPERLINK("https://www.philgeps.gov.ph/GEPSNONPILOT/Tender/SplashBidNoticeAbstractUI.aspx?menuIndex=3&amp;refID=7044794&amp;Result=3","7044794")</f>
        <v>0</v>
      </c>
      <c r="B2965" t="s">
        <v>1135</v>
      </c>
      <c r="C2965" t="s">
        <v>5925</v>
      </c>
      <c r="D2965" t="s">
        <v>16209</v>
      </c>
      <c r="E2965" t="s">
        <v>18974</v>
      </c>
      <c r="F2965" t="s">
        <v>28198</v>
      </c>
      <c r="G2965" t="s">
        <v>28205</v>
      </c>
      <c r="H2965" t="s">
        <v>28214</v>
      </c>
      <c r="I2965" t="s">
        <v>5100</v>
      </c>
      <c r="J2965" t="s">
        <v>30342</v>
      </c>
      <c r="K2965" t="s">
        <v>36706</v>
      </c>
      <c r="M2965" t="s">
        <v>38174</v>
      </c>
      <c r="N2965" t="s">
        <v>40436</v>
      </c>
      <c r="O2965" t="s">
        <v>40437</v>
      </c>
      <c r="P2965">
        <v>0</v>
      </c>
      <c r="Q2965">
        <v>1</v>
      </c>
      <c r="R2965" t="s">
        <v>40439</v>
      </c>
      <c r="S2965" t="s">
        <v>40588</v>
      </c>
      <c r="T2965" t="s">
        <v>42108</v>
      </c>
      <c r="U2965" t="s">
        <v>45205</v>
      </c>
      <c r="W2965" t="s">
        <v>38174</v>
      </c>
      <c r="X2965" t="s">
        <v>40440</v>
      </c>
    </row>
    <row r="2966" spans="1:24">
      <c r="A2966">
        <f>HYPERLINK("https://www.philgeps.gov.ph/GEPSNONPILOT/Tender/SplashBidNoticeAbstractUI.aspx?menuIndex=3&amp;refID=7044793&amp;Result=3","7044793")</f>
        <v>0</v>
      </c>
      <c r="B2966" t="s">
        <v>1173</v>
      </c>
      <c r="C2966" t="s">
        <v>5926</v>
      </c>
      <c r="D2966" t="s">
        <v>16210</v>
      </c>
      <c r="E2966" t="s">
        <v>18975</v>
      </c>
      <c r="F2966" t="s">
        <v>28198</v>
      </c>
      <c r="G2966" t="s">
        <v>28211</v>
      </c>
      <c r="H2966" t="s">
        <v>28216</v>
      </c>
      <c r="I2966" t="s">
        <v>28216</v>
      </c>
      <c r="J2966" t="s">
        <v>28393</v>
      </c>
      <c r="K2966" t="s">
        <v>36700</v>
      </c>
      <c r="M2966" t="s">
        <v>38215</v>
      </c>
      <c r="N2966" t="s">
        <v>40436</v>
      </c>
      <c r="O2966" t="s">
        <v>40437</v>
      </c>
      <c r="P2966">
        <v>0</v>
      </c>
      <c r="Q2966">
        <v>0</v>
      </c>
      <c r="R2966" t="s">
        <v>40439</v>
      </c>
      <c r="S2966" t="s">
        <v>40588</v>
      </c>
      <c r="T2966" t="s">
        <v>42152</v>
      </c>
      <c r="U2966" t="s">
        <v>45206</v>
      </c>
      <c r="V2966" t="s">
        <v>54105</v>
      </c>
      <c r="W2966" t="s">
        <v>38215</v>
      </c>
      <c r="X2966" t="s">
        <v>40440</v>
      </c>
    </row>
    <row r="2967" spans="1:24">
      <c r="A2967">
        <f>HYPERLINK("https://www.philgeps.gov.ph/GEPSNONPILOT/Tender/SplashBidNoticeAbstractUI.aspx?menuIndex=3&amp;refID=7044797&amp;Result=3","7044797")</f>
        <v>0</v>
      </c>
      <c r="B2967" t="s">
        <v>386</v>
      </c>
      <c r="C2967" t="s">
        <v>5927</v>
      </c>
      <c r="D2967" t="s">
        <v>16259</v>
      </c>
      <c r="E2967" t="s">
        <v>18976</v>
      </c>
      <c r="F2967" t="s">
        <v>28198</v>
      </c>
      <c r="G2967" t="s">
        <v>28207</v>
      </c>
      <c r="H2967" t="s">
        <v>28215</v>
      </c>
      <c r="I2967" t="s">
        <v>3774</v>
      </c>
      <c r="J2967" t="s">
        <v>30343</v>
      </c>
      <c r="K2967" t="s">
        <v>36688</v>
      </c>
      <c r="M2967" t="s">
        <v>37366</v>
      </c>
      <c r="N2967" t="s">
        <v>40436</v>
      </c>
      <c r="O2967" t="s">
        <v>40437</v>
      </c>
      <c r="P2967">
        <v>0</v>
      </c>
      <c r="Q2967">
        <v>2</v>
      </c>
      <c r="R2967" t="s">
        <v>40439</v>
      </c>
      <c r="S2967" t="s">
        <v>40588</v>
      </c>
      <c r="T2967" t="s">
        <v>42133</v>
      </c>
      <c r="U2967" t="s">
        <v>45207</v>
      </c>
      <c r="V2967" t="s">
        <v>53872</v>
      </c>
      <c r="W2967" t="s">
        <v>37366</v>
      </c>
      <c r="X2967" t="s">
        <v>40440</v>
      </c>
    </row>
    <row r="2968" spans="1:24">
      <c r="A2968">
        <f>HYPERLINK("https://www.philgeps.gov.ph/GEPSNONPILOT/Tender/SplashBidNoticeAbstractUI.aspx?menuIndex=3&amp;refID=7044757&amp;Result=3","7044757")</f>
        <v>0</v>
      </c>
      <c r="B2968" t="s">
        <v>1174</v>
      </c>
      <c r="C2968" t="s">
        <v>5928</v>
      </c>
      <c r="D2968" t="s">
        <v>16228</v>
      </c>
      <c r="E2968" t="s">
        <v>18977</v>
      </c>
      <c r="F2968" t="s">
        <v>28198</v>
      </c>
      <c r="G2968" t="s">
        <v>28205</v>
      </c>
      <c r="H2968" t="s">
        <v>28215</v>
      </c>
      <c r="I2968" t="s">
        <v>4219</v>
      </c>
      <c r="J2968" t="s">
        <v>30344</v>
      </c>
      <c r="K2968" t="s">
        <v>36706</v>
      </c>
      <c r="M2968" t="s">
        <v>38216</v>
      </c>
      <c r="N2968" t="s">
        <v>40436</v>
      </c>
      <c r="O2968" t="s">
        <v>40437</v>
      </c>
      <c r="P2968">
        <v>0</v>
      </c>
      <c r="Q2968">
        <v>0</v>
      </c>
      <c r="R2968" t="s">
        <v>40439</v>
      </c>
      <c r="S2968" t="s">
        <v>40588</v>
      </c>
      <c r="T2968" t="s">
        <v>42228</v>
      </c>
      <c r="U2968" t="s">
        <v>45208</v>
      </c>
      <c r="W2968" t="s">
        <v>38216</v>
      </c>
      <c r="X2968" t="s">
        <v>40440</v>
      </c>
    </row>
    <row r="2969" spans="1:24">
      <c r="A2969">
        <f>HYPERLINK("https://www.philgeps.gov.ph/GEPSNONPILOT/Tender/SplashBidNoticeAbstractUI.aspx?menuIndex=3&amp;refID=7044790&amp;Result=3","7044790")</f>
        <v>0</v>
      </c>
      <c r="B2969" t="s">
        <v>232</v>
      </c>
      <c r="C2969" t="s">
        <v>5929</v>
      </c>
      <c r="D2969" t="s">
        <v>16244</v>
      </c>
      <c r="E2969" t="s">
        <v>18978</v>
      </c>
      <c r="F2969" t="s">
        <v>28198</v>
      </c>
      <c r="G2969" t="s">
        <v>28207</v>
      </c>
      <c r="H2969" t="s">
        <v>28215</v>
      </c>
      <c r="I2969" t="s">
        <v>5100</v>
      </c>
      <c r="J2969" t="s">
        <v>30345</v>
      </c>
      <c r="K2969" t="s">
        <v>36696</v>
      </c>
      <c r="M2969" t="s">
        <v>37208</v>
      </c>
      <c r="N2969" t="s">
        <v>40436</v>
      </c>
      <c r="O2969" t="s">
        <v>40437</v>
      </c>
      <c r="P2969">
        <v>0</v>
      </c>
      <c r="Q2969">
        <v>0</v>
      </c>
      <c r="R2969" t="s">
        <v>40439</v>
      </c>
      <c r="S2969" t="s">
        <v>40588</v>
      </c>
      <c r="T2969" t="s">
        <v>42190</v>
      </c>
      <c r="U2969" t="s">
        <v>45209</v>
      </c>
      <c r="W2969" t="s">
        <v>37208</v>
      </c>
      <c r="X2969" t="s">
        <v>40440</v>
      </c>
    </row>
    <row r="2970" spans="1:24">
      <c r="A2970">
        <f>HYPERLINK("https://www.philgeps.gov.ph/GEPSNONPILOT/Tender/SplashBidNoticeAbstractUI.aspx?menuIndex=3&amp;refID=7044789&amp;Result=3","7044789")</f>
        <v>0</v>
      </c>
      <c r="B2970" t="s">
        <v>319</v>
      </c>
      <c r="C2970" t="s">
        <v>5930</v>
      </c>
      <c r="E2970" t="s">
        <v>18979</v>
      </c>
      <c r="F2970" t="s">
        <v>28198</v>
      </c>
      <c r="G2970" t="s">
        <v>28207</v>
      </c>
      <c r="H2970" t="s">
        <v>28215</v>
      </c>
      <c r="I2970" t="s">
        <v>4219</v>
      </c>
      <c r="J2970" t="s">
        <v>30346</v>
      </c>
      <c r="K2970" t="s">
        <v>36689</v>
      </c>
      <c r="M2970" t="s">
        <v>37297</v>
      </c>
      <c r="N2970" t="s">
        <v>40436</v>
      </c>
      <c r="O2970" t="s">
        <v>40437</v>
      </c>
      <c r="P2970">
        <v>0</v>
      </c>
      <c r="Q2970">
        <v>2</v>
      </c>
      <c r="R2970" t="s">
        <v>40439</v>
      </c>
      <c r="S2970" t="s">
        <v>40588</v>
      </c>
      <c r="T2970" t="s">
        <v>42158</v>
      </c>
      <c r="U2970" t="s">
        <v>45210</v>
      </c>
      <c r="V2970" t="s">
        <v>53852</v>
      </c>
      <c r="W2970" t="s">
        <v>37297</v>
      </c>
      <c r="X2970" t="s">
        <v>40440</v>
      </c>
    </row>
    <row r="2971" spans="1:24">
      <c r="A2971">
        <f>HYPERLINK("https://www.philgeps.gov.ph/GEPSNONPILOT/Tender/SplashBidNoticeAbstractUI.aspx?menuIndex=3&amp;refID=7044812&amp;Result=3","7044812")</f>
        <v>0</v>
      </c>
      <c r="B2971" t="s">
        <v>335</v>
      </c>
      <c r="C2971" t="s">
        <v>3694</v>
      </c>
      <c r="D2971" t="s">
        <v>16221</v>
      </c>
      <c r="E2971" t="s">
        <v>18980</v>
      </c>
      <c r="F2971" t="s">
        <v>28198</v>
      </c>
      <c r="G2971" t="s">
        <v>28207</v>
      </c>
      <c r="H2971" t="s">
        <v>28215</v>
      </c>
      <c r="I2971" t="s">
        <v>4200</v>
      </c>
      <c r="J2971" t="s">
        <v>30347</v>
      </c>
      <c r="K2971" t="s">
        <v>36715</v>
      </c>
      <c r="M2971" t="s">
        <v>37313</v>
      </c>
      <c r="N2971" t="s">
        <v>40436</v>
      </c>
      <c r="O2971" t="s">
        <v>40437</v>
      </c>
      <c r="P2971">
        <v>0</v>
      </c>
      <c r="Q2971">
        <v>1</v>
      </c>
      <c r="R2971" t="s">
        <v>40439</v>
      </c>
      <c r="S2971" t="s">
        <v>40588</v>
      </c>
      <c r="T2971" t="s">
        <v>42124</v>
      </c>
      <c r="U2971" t="s">
        <v>45211</v>
      </c>
      <c r="W2971" t="s">
        <v>55444</v>
      </c>
      <c r="X2971" t="s">
        <v>40440</v>
      </c>
    </row>
    <row r="2972" spans="1:24">
      <c r="A2972">
        <f>HYPERLINK("https://www.philgeps.gov.ph/GEPSNONPILOT/Tender/SplashBidNoticeAbstractUI.aspx?menuIndex=3&amp;refID=7044806&amp;Result=3","7044806")</f>
        <v>0</v>
      </c>
      <c r="B2972" t="s">
        <v>773</v>
      </c>
      <c r="C2972" t="s">
        <v>5931</v>
      </c>
      <c r="D2972" t="s">
        <v>16219</v>
      </c>
      <c r="E2972" t="s">
        <v>18981</v>
      </c>
      <c r="F2972" t="s">
        <v>28198</v>
      </c>
      <c r="G2972" t="s">
        <v>28205</v>
      </c>
      <c r="H2972" t="s">
        <v>28215</v>
      </c>
      <c r="I2972" t="s">
        <v>3774</v>
      </c>
      <c r="J2972" t="s">
        <v>30348</v>
      </c>
      <c r="K2972" t="s">
        <v>36706</v>
      </c>
      <c r="M2972" t="s">
        <v>38111</v>
      </c>
      <c r="N2972" t="s">
        <v>40436</v>
      </c>
      <c r="O2972" t="s">
        <v>40437</v>
      </c>
      <c r="P2972">
        <v>0</v>
      </c>
      <c r="Q2972">
        <v>0</v>
      </c>
      <c r="R2972" t="s">
        <v>40439</v>
      </c>
      <c r="S2972" t="s">
        <v>40588</v>
      </c>
      <c r="T2972" t="s">
        <v>42133</v>
      </c>
      <c r="U2972" t="s">
        <v>45212</v>
      </c>
      <c r="W2972" t="s">
        <v>38111</v>
      </c>
      <c r="X2972" t="s">
        <v>40440</v>
      </c>
    </row>
    <row r="2973" spans="1:24">
      <c r="A2973">
        <f>HYPERLINK("https://www.philgeps.gov.ph/GEPSNONPILOT/Tender/SplashBidNoticeAbstractUI.aspx?menuIndex=3&amp;refID=7044792&amp;Result=3","7044792")</f>
        <v>0</v>
      </c>
      <c r="B2973" t="s">
        <v>1175</v>
      </c>
      <c r="C2973" t="s">
        <v>5932</v>
      </c>
      <c r="E2973" t="s">
        <v>18982</v>
      </c>
      <c r="F2973" t="s">
        <v>28198</v>
      </c>
      <c r="G2973" t="s">
        <v>28207</v>
      </c>
      <c r="H2973" t="s">
        <v>28217</v>
      </c>
      <c r="I2973" t="s">
        <v>4321</v>
      </c>
      <c r="J2973" t="s">
        <v>28629</v>
      </c>
      <c r="K2973" t="s">
        <v>36697</v>
      </c>
      <c r="M2973" t="s">
        <v>38217</v>
      </c>
      <c r="N2973" t="s">
        <v>40436</v>
      </c>
      <c r="O2973" t="s">
        <v>40437</v>
      </c>
      <c r="P2973">
        <v>0</v>
      </c>
      <c r="Q2973">
        <v>3</v>
      </c>
      <c r="R2973" t="s">
        <v>40439</v>
      </c>
      <c r="S2973" t="s">
        <v>40588</v>
      </c>
      <c r="T2973" t="s">
        <v>42175</v>
      </c>
      <c r="U2973" t="s">
        <v>45213</v>
      </c>
      <c r="W2973" t="s">
        <v>38217</v>
      </c>
      <c r="X2973" t="s">
        <v>40440</v>
      </c>
    </row>
    <row r="2974" spans="1:24">
      <c r="A2974">
        <f>HYPERLINK("https://www.philgeps.gov.ph/GEPSNONPILOT/Tender/SplashBidNoticeAbstractUI.aspx?menuIndex=3&amp;refID=7044814&amp;Result=3","7044814")</f>
        <v>0</v>
      </c>
      <c r="B2974" t="s">
        <v>1176</v>
      </c>
      <c r="C2974" t="s">
        <v>5933</v>
      </c>
      <c r="D2974" t="s">
        <v>16251</v>
      </c>
      <c r="E2974" t="s">
        <v>17057</v>
      </c>
      <c r="F2974" t="s">
        <v>28198</v>
      </c>
      <c r="G2974" t="s">
        <v>28205</v>
      </c>
      <c r="H2974" t="s">
        <v>28214</v>
      </c>
      <c r="I2974" t="s">
        <v>3797</v>
      </c>
      <c r="J2974" t="s">
        <v>28629</v>
      </c>
      <c r="K2974" t="s">
        <v>36701</v>
      </c>
      <c r="M2974" t="s">
        <v>38218</v>
      </c>
      <c r="N2974" t="s">
        <v>40436</v>
      </c>
      <c r="O2974" t="s">
        <v>40437</v>
      </c>
      <c r="P2974">
        <v>0</v>
      </c>
      <c r="Q2974">
        <v>0</v>
      </c>
      <c r="R2974" t="s">
        <v>40439</v>
      </c>
      <c r="S2974" t="s">
        <v>40588</v>
      </c>
      <c r="T2974" t="s">
        <v>42108</v>
      </c>
      <c r="U2974" t="s">
        <v>45214</v>
      </c>
      <c r="V2974" t="s">
        <v>54106</v>
      </c>
      <c r="W2974" t="s">
        <v>38218</v>
      </c>
      <c r="X2974" t="s">
        <v>40440</v>
      </c>
    </row>
    <row r="2975" spans="1:24">
      <c r="A2975">
        <f>HYPERLINK("https://www.philgeps.gov.ph/GEPSNONPILOT/Tender/SplashBidNoticeAbstractUI.aspx?menuIndex=3&amp;refID=7044787&amp;Result=3","7044787")</f>
        <v>0</v>
      </c>
      <c r="B2975" t="s">
        <v>1023</v>
      </c>
      <c r="C2975" t="s">
        <v>5934</v>
      </c>
      <c r="D2975" t="s">
        <v>16265</v>
      </c>
      <c r="E2975" t="s">
        <v>18983</v>
      </c>
      <c r="F2975" t="s">
        <v>28198</v>
      </c>
      <c r="G2975" t="s">
        <v>28205</v>
      </c>
      <c r="H2975" t="s">
        <v>28215</v>
      </c>
      <c r="I2975" t="s">
        <v>4168</v>
      </c>
      <c r="J2975" t="s">
        <v>30349</v>
      </c>
      <c r="K2975" t="s">
        <v>36701</v>
      </c>
      <c r="M2975" t="s">
        <v>38054</v>
      </c>
      <c r="N2975" t="s">
        <v>40436</v>
      </c>
      <c r="O2975" t="s">
        <v>40437</v>
      </c>
      <c r="P2975">
        <v>0</v>
      </c>
      <c r="Q2975">
        <v>1</v>
      </c>
      <c r="R2975" t="s">
        <v>40439</v>
      </c>
      <c r="S2975" t="s">
        <v>40588</v>
      </c>
      <c r="T2975" t="s">
        <v>42108</v>
      </c>
      <c r="U2975" t="s">
        <v>45215</v>
      </c>
      <c r="W2975" t="s">
        <v>38054</v>
      </c>
      <c r="X2975" t="s">
        <v>40440</v>
      </c>
    </row>
    <row r="2976" spans="1:24">
      <c r="A2976">
        <f>HYPERLINK("https://www.philgeps.gov.ph/GEPSNONPILOT/Tender/SplashBidNoticeAbstractUI.aspx?menuIndex=3&amp;refID=7044807&amp;Result=3","7044807")</f>
        <v>0</v>
      </c>
      <c r="B2976" t="s">
        <v>232</v>
      </c>
      <c r="C2976" t="s">
        <v>5935</v>
      </c>
      <c r="D2976" t="s">
        <v>16244</v>
      </c>
      <c r="E2976" t="s">
        <v>18984</v>
      </c>
      <c r="F2976" t="s">
        <v>28198</v>
      </c>
      <c r="G2976" t="s">
        <v>28207</v>
      </c>
      <c r="H2976" t="s">
        <v>28215</v>
      </c>
      <c r="I2976" t="s">
        <v>4168</v>
      </c>
      <c r="J2976" t="s">
        <v>30350</v>
      </c>
      <c r="K2976" t="s">
        <v>36696</v>
      </c>
      <c r="M2976" t="s">
        <v>37208</v>
      </c>
      <c r="N2976" t="s">
        <v>40436</v>
      </c>
      <c r="O2976" t="s">
        <v>40437</v>
      </c>
      <c r="P2976">
        <v>0</v>
      </c>
      <c r="Q2976">
        <v>2</v>
      </c>
      <c r="R2976" t="s">
        <v>40439</v>
      </c>
      <c r="S2976" t="s">
        <v>40588</v>
      </c>
      <c r="T2976" t="s">
        <v>42190</v>
      </c>
      <c r="U2976" t="s">
        <v>45216</v>
      </c>
      <c r="W2976" t="s">
        <v>37208</v>
      </c>
      <c r="X2976" t="s">
        <v>40440</v>
      </c>
    </row>
    <row r="2977" spans="1:24">
      <c r="A2977">
        <f>HYPERLINK("https://www.philgeps.gov.ph/GEPSNONPILOT/Tender/SplashBidNoticeAbstractUI.aspx?menuIndex=3&amp;refID=7044801&amp;Result=3","7044801")</f>
        <v>0</v>
      </c>
      <c r="B2977" t="s">
        <v>175</v>
      </c>
      <c r="C2977" t="s">
        <v>5936</v>
      </c>
      <c r="D2977" t="s">
        <v>16244</v>
      </c>
      <c r="E2977" t="s">
        <v>18985</v>
      </c>
      <c r="F2977" t="s">
        <v>28198</v>
      </c>
      <c r="G2977" t="s">
        <v>28206</v>
      </c>
      <c r="H2977" t="s">
        <v>28215</v>
      </c>
      <c r="I2977" t="s">
        <v>4321</v>
      </c>
      <c r="J2977" t="s">
        <v>30351</v>
      </c>
      <c r="K2977" t="s">
        <v>36688</v>
      </c>
      <c r="M2977" t="s">
        <v>37149</v>
      </c>
      <c r="N2977" t="s">
        <v>40436</v>
      </c>
      <c r="O2977" t="s">
        <v>40437</v>
      </c>
      <c r="P2977">
        <v>0</v>
      </c>
      <c r="Q2977">
        <v>1</v>
      </c>
      <c r="R2977" t="s">
        <v>40439</v>
      </c>
      <c r="S2977" t="s">
        <v>40588</v>
      </c>
      <c r="T2977" t="s">
        <v>42185</v>
      </c>
      <c r="U2977" t="s">
        <v>42905</v>
      </c>
      <c r="W2977" t="s">
        <v>37149</v>
      </c>
      <c r="X2977" t="s">
        <v>40440</v>
      </c>
    </row>
    <row r="2978" spans="1:24">
      <c r="A2978">
        <f>HYPERLINK("https://www.philgeps.gov.ph/GEPSNONPILOT/Tender/SplashBidNoticeAbstractUI.aspx?menuIndex=3&amp;refID=7044804&amp;Result=3","7044804")</f>
        <v>0</v>
      </c>
      <c r="B2978" t="s">
        <v>1086</v>
      </c>
      <c r="C2978" t="s">
        <v>5937</v>
      </c>
      <c r="D2978" t="s">
        <v>16241</v>
      </c>
      <c r="E2978" t="s">
        <v>18986</v>
      </c>
      <c r="F2978" t="s">
        <v>28198</v>
      </c>
      <c r="G2978" t="s">
        <v>28206</v>
      </c>
      <c r="H2978" t="s">
        <v>28215</v>
      </c>
      <c r="I2978" t="s">
        <v>5082</v>
      </c>
      <c r="J2978" t="s">
        <v>30352</v>
      </c>
      <c r="K2978" t="s">
        <v>36706</v>
      </c>
      <c r="M2978" t="s">
        <v>38121</v>
      </c>
      <c r="N2978" t="s">
        <v>40436</v>
      </c>
      <c r="O2978" t="s">
        <v>40437</v>
      </c>
      <c r="P2978">
        <v>0</v>
      </c>
      <c r="Q2978">
        <v>0</v>
      </c>
      <c r="R2978" t="s">
        <v>40439</v>
      </c>
      <c r="S2978" t="s">
        <v>40588</v>
      </c>
      <c r="T2978" t="s">
        <v>42134</v>
      </c>
      <c r="U2978" t="s">
        <v>44948</v>
      </c>
      <c r="W2978" t="s">
        <v>38121</v>
      </c>
      <c r="X2978" t="s">
        <v>40440</v>
      </c>
    </row>
    <row r="2979" spans="1:24">
      <c r="A2979">
        <f>HYPERLINK("https://www.philgeps.gov.ph/GEPSNONPILOT/Tender/SplashBidNoticeAbstractUI.aspx?menuIndex=3&amp;refID=7044803&amp;Result=3","7044803")</f>
        <v>0</v>
      </c>
      <c r="B2979" t="s">
        <v>599</v>
      </c>
      <c r="C2979" t="s">
        <v>5938</v>
      </c>
      <c r="D2979" t="s">
        <v>16260</v>
      </c>
      <c r="E2979" t="s">
        <v>18987</v>
      </c>
      <c r="F2979" t="s">
        <v>28198</v>
      </c>
      <c r="G2979" t="s">
        <v>28207</v>
      </c>
      <c r="H2979" t="s">
        <v>28215</v>
      </c>
      <c r="I2979" t="s">
        <v>28247</v>
      </c>
      <c r="J2979" t="s">
        <v>30353</v>
      </c>
      <c r="K2979" t="s">
        <v>36694</v>
      </c>
      <c r="M2979" t="s">
        <v>37588</v>
      </c>
      <c r="N2979" t="s">
        <v>40436</v>
      </c>
      <c r="O2979" t="s">
        <v>40437</v>
      </c>
      <c r="P2979">
        <v>0</v>
      </c>
      <c r="Q2979">
        <v>5</v>
      </c>
      <c r="R2979" t="s">
        <v>40439</v>
      </c>
      <c r="S2979" t="s">
        <v>40588</v>
      </c>
      <c r="T2979" t="s">
        <v>42142</v>
      </c>
      <c r="U2979" t="s">
        <v>43684</v>
      </c>
      <c r="W2979" t="s">
        <v>37588</v>
      </c>
      <c r="X2979" t="s">
        <v>40440</v>
      </c>
    </row>
    <row r="2980" spans="1:24">
      <c r="A2980">
        <f>HYPERLINK("https://www.philgeps.gov.ph/GEPSNONPILOT/Tender/SplashBidNoticeAbstractUI.aspx?menuIndex=3&amp;refID=7044811&amp;Result=3","7044811")</f>
        <v>0</v>
      </c>
      <c r="B2980" t="s">
        <v>583</v>
      </c>
      <c r="C2980" t="s">
        <v>5939</v>
      </c>
      <c r="D2980" t="s">
        <v>16235</v>
      </c>
      <c r="E2980" t="s">
        <v>18988</v>
      </c>
      <c r="F2980" t="s">
        <v>28198</v>
      </c>
      <c r="G2980" t="s">
        <v>28207</v>
      </c>
      <c r="H2980" t="s">
        <v>28215</v>
      </c>
      <c r="I2980" t="s">
        <v>28224</v>
      </c>
      <c r="J2980" t="s">
        <v>30354</v>
      </c>
      <c r="K2980" t="s">
        <v>36701</v>
      </c>
      <c r="M2980" t="s">
        <v>37573</v>
      </c>
      <c r="N2980" t="s">
        <v>40436</v>
      </c>
      <c r="O2980" t="s">
        <v>40437</v>
      </c>
      <c r="P2980">
        <v>0</v>
      </c>
      <c r="Q2980">
        <v>4</v>
      </c>
      <c r="R2980" t="s">
        <v>40439</v>
      </c>
      <c r="S2980" t="s">
        <v>40588</v>
      </c>
      <c r="T2980" t="s">
        <v>42262</v>
      </c>
      <c r="U2980" t="s">
        <v>45217</v>
      </c>
      <c r="V2980" t="s">
        <v>54098</v>
      </c>
      <c r="W2980" t="s">
        <v>37573</v>
      </c>
      <c r="X2980" t="s">
        <v>40440</v>
      </c>
    </row>
    <row r="2981" spans="1:24">
      <c r="A2981">
        <f>HYPERLINK("https://www.philgeps.gov.ph/GEPSNONPILOT/Tender/SplashBidNoticeAbstractUI.aspx?menuIndex=3&amp;refID=7044816&amp;Result=3","7044816")</f>
        <v>0</v>
      </c>
      <c r="B2981" t="s">
        <v>305</v>
      </c>
      <c r="C2981" t="s">
        <v>5940</v>
      </c>
      <c r="D2981" t="s">
        <v>16197</v>
      </c>
      <c r="E2981" t="s">
        <v>18989</v>
      </c>
      <c r="F2981" t="s">
        <v>28198</v>
      </c>
      <c r="G2981" t="s">
        <v>28207</v>
      </c>
      <c r="H2981" t="s">
        <v>28215</v>
      </c>
      <c r="I2981" t="s">
        <v>3422</v>
      </c>
      <c r="J2981" t="s">
        <v>28967</v>
      </c>
      <c r="K2981" t="s">
        <v>36688</v>
      </c>
      <c r="M2981" t="s">
        <v>38213</v>
      </c>
      <c r="N2981" t="s">
        <v>40436</v>
      </c>
      <c r="O2981" t="s">
        <v>40437</v>
      </c>
      <c r="P2981">
        <v>0</v>
      </c>
      <c r="Q2981">
        <v>0</v>
      </c>
      <c r="R2981" t="s">
        <v>40439</v>
      </c>
      <c r="S2981" t="s">
        <v>40588</v>
      </c>
      <c r="T2981" t="s">
        <v>42133</v>
      </c>
      <c r="U2981" t="s">
        <v>45201</v>
      </c>
      <c r="W2981" t="s">
        <v>38213</v>
      </c>
      <c r="X2981" t="s">
        <v>40440</v>
      </c>
    </row>
    <row r="2982" spans="1:24">
      <c r="A2982">
        <f>HYPERLINK("https://www.philgeps.gov.ph/GEPSNONPILOT/Tender/SplashBidNoticeAbstractUI.aspx?menuIndex=3&amp;refID=7044788&amp;Result=3","7044788")</f>
        <v>0</v>
      </c>
      <c r="B2982" t="s">
        <v>1177</v>
      </c>
      <c r="C2982" t="s">
        <v>5941</v>
      </c>
      <c r="D2982" t="s">
        <v>16204</v>
      </c>
      <c r="E2982" t="s">
        <v>18990</v>
      </c>
      <c r="F2982" t="s">
        <v>28198</v>
      </c>
      <c r="G2982" t="s">
        <v>28205</v>
      </c>
      <c r="H2982" t="s">
        <v>28215</v>
      </c>
      <c r="I2982" t="s">
        <v>5100</v>
      </c>
      <c r="J2982" t="s">
        <v>28751</v>
      </c>
      <c r="K2982" t="s">
        <v>36706</v>
      </c>
      <c r="L2982" t="s">
        <v>1177</v>
      </c>
      <c r="M2982" t="s">
        <v>38219</v>
      </c>
      <c r="N2982" t="s">
        <v>40436</v>
      </c>
      <c r="O2982" t="s">
        <v>40437</v>
      </c>
      <c r="P2982">
        <v>0</v>
      </c>
      <c r="Q2982">
        <v>3</v>
      </c>
      <c r="R2982" t="s">
        <v>40439</v>
      </c>
      <c r="S2982" t="s">
        <v>40588</v>
      </c>
      <c r="T2982" t="s">
        <v>42144</v>
      </c>
      <c r="U2982" t="s">
        <v>45218</v>
      </c>
      <c r="W2982" t="s">
        <v>38219</v>
      </c>
      <c r="X2982" t="s">
        <v>40440</v>
      </c>
    </row>
    <row r="2983" spans="1:24">
      <c r="A2983">
        <f>HYPERLINK("https://www.philgeps.gov.ph/GEPSNONPILOT/Tender/SplashBidNoticeAbstractUI.aspx?menuIndex=3&amp;refID=7044830&amp;Result=3","7044830")</f>
        <v>0</v>
      </c>
      <c r="B2983" t="s">
        <v>1178</v>
      </c>
      <c r="C2983" t="s">
        <v>5942</v>
      </c>
      <c r="D2983" t="s">
        <v>16252</v>
      </c>
      <c r="E2983" t="s">
        <v>18991</v>
      </c>
      <c r="F2983" t="s">
        <v>28198</v>
      </c>
      <c r="G2983" t="s">
        <v>28207</v>
      </c>
      <c r="H2983" t="s">
        <v>28215</v>
      </c>
      <c r="I2983" t="s">
        <v>5631</v>
      </c>
      <c r="J2983" t="s">
        <v>28694</v>
      </c>
      <c r="K2983" t="s">
        <v>36691</v>
      </c>
      <c r="M2983" t="s">
        <v>38220</v>
      </c>
      <c r="N2983" t="s">
        <v>40436</v>
      </c>
      <c r="O2983" t="s">
        <v>40437</v>
      </c>
      <c r="P2983">
        <v>0</v>
      </c>
      <c r="Q2983">
        <v>1</v>
      </c>
      <c r="R2983" t="s">
        <v>40439</v>
      </c>
      <c r="S2983" t="s">
        <v>40588</v>
      </c>
      <c r="T2983" t="s">
        <v>42103</v>
      </c>
      <c r="U2983" t="s">
        <v>45219</v>
      </c>
      <c r="W2983" t="s">
        <v>38220</v>
      </c>
      <c r="X2983" t="s">
        <v>40440</v>
      </c>
    </row>
    <row r="2984" spans="1:24">
      <c r="A2984">
        <f>HYPERLINK("https://www.philgeps.gov.ph/GEPSNONPILOT/Tender/SplashBidNoticeAbstractUI.aspx?menuIndex=3&amp;refID=7044828&amp;Result=3","7044828")</f>
        <v>0</v>
      </c>
      <c r="B2984" t="s">
        <v>1179</v>
      </c>
      <c r="C2984" t="s">
        <v>5943</v>
      </c>
      <c r="D2984" t="s">
        <v>16193</v>
      </c>
      <c r="E2984" t="s">
        <v>18992</v>
      </c>
      <c r="F2984" t="s">
        <v>28200</v>
      </c>
      <c r="G2984" t="s">
        <v>28205</v>
      </c>
      <c r="H2984" t="s">
        <v>28214</v>
      </c>
      <c r="I2984" t="s">
        <v>3797</v>
      </c>
      <c r="J2984" t="s">
        <v>30355</v>
      </c>
      <c r="K2984" t="s">
        <v>36791</v>
      </c>
      <c r="L2984" t="s">
        <v>1179</v>
      </c>
      <c r="M2984" t="s">
        <v>38221</v>
      </c>
      <c r="N2984" t="s">
        <v>40436</v>
      </c>
      <c r="O2984" t="s">
        <v>40437</v>
      </c>
      <c r="P2984">
        <v>0</v>
      </c>
      <c r="Q2984">
        <v>0</v>
      </c>
      <c r="R2984" t="s">
        <v>40439</v>
      </c>
      <c r="S2984" t="s">
        <v>40588</v>
      </c>
      <c r="T2984" t="s">
        <v>42106</v>
      </c>
      <c r="U2984" t="s">
        <v>45220</v>
      </c>
      <c r="W2984" t="s">
        <v>38221</v>
      </c>
      <c r="X2984" t="s">
        <v>40440</v>
      </c>
    </row>
    <row r="2985" spans="1:24">
      <c r="A2985">
        <f>HYPERLINK("https://www.philgeps.gov.ph/GEPSNONPILOT/Tender/SplashBidNoticeAbstractUI.aspx?menuIndex=3&amp;refID=7044822&amp;Result=3","7044822")</f>
        <v>0</v>
      </c>
      <c r="B2985" t="s">
        <v>1063</v>
      </c>
      <c r="C2985" t="s">
        <v>5944</v>
      </c>
      <c r="D2985" t="s">
        <v>16188</v>
      </c>
      <c r="E2985" t="s">
        <v>5944</v>
      </c>
      <c r="F2985" t="s">
        <v>28198</v>
      </c>
      <c r="G2985" t="s">
        <v>28207</v>
      </c>
      <c r="H2985" t="s">
        <v>28215</v>
      </c>
      <c r="I2985" t="s">
        <v>5631</v>
      </c>
      <c r="J2985" t="s">
        <v>30356</v>
      </c>
      <c r="K2985" t="s">
        <v>36689</v>
      </c>
      <c r="M2985" t="s">
        <v>38096</v>
      </c>
      <c r="N2985" t="s">
        <v>40436</v>
      </c>
      <c r="O2985" t="s">
        <v>40437</v>
      </c>
      <c r="P2985">
        <v>0</v>
      </c>
      <c r="Q2985">
        <v>1</v>
      </c>
      <c r="R2985" t="s">
        <v>40439</v>
      </c>
      <c r="S2985" t="s">
        <v>40588</v>
      </c>
      <c r="T2985" t="s">
        <v>42318</v>
      </c>
      <c r="U2985" t="s">
        <v>45221</v>
      </c>
      <c r="W2985" t="s">
        <v>38096</v>
      </c>
      <c r="X2985" t="s">
        <v>40440</v>
      </c>
    </row>
    <row r="2986" spans="1:24">
      <c r="A2986">
        <f>HYPERLINK("https://www.philgeps.gov.ph/GEPSNONPILOT/Tender/SplashBidNoticeAbstractUI.aspx?menuIndex=3&amp;refID=7044821&amp;Result=3","7044821")</f>
        <v>0</v>
      </c>
      <c r="B2986" t="s">
        <v>1180</v>
      </c>
      <c r="C2986" t="s">
        <v>5945</v>
      </c>
      <c r="D2986" t="s">
        <v>16250</v>
      </c>
      <c r="E2986" t="s">
        <v>18993</v>
      </c>
      <c r="F2986" t="s">
        <v>28198</v>
      </c>
      <c r="G2986" t="s">
        <v>28206</v>
      </c>
      <c r="H2986" t="s">
        <v>28215</v>
      </c>
      <c r="I2986" t="s">
        <v>28257</v>
      </c>
      <c r="J2986" t="s">
        <v>30357</v>
      </c>
      <c r="K2986" t="s">
        <v>36698</v>
      </c>
      <c r="L2986" t="s">
        <v>1180</v>
      </c>
      <c r="M2986" t="s">
        <v>38222</v>
      </c>
      <c r="N2986" t="s">
        <v>40436</v>
      </c>
      <c r="O2986" t="s">
        <v>40437</v>
      </c>
      <c r="P2986">
        <v>0</v>
      </c>
      <c r="Q2986">
        <v>0</v>
      </c>
      <c r="R2986" t="s">
        <v>40439</v>
      </c>
      <c r="S2986" t="s">
        <v>40588</v>
      </c>
      <c r="T2986" t="s">
        <v>42233</v>
      </c>
      <c r="U2986" t="s">
        <v>45222</v>
      </c>
      <c r="W2986" t="s">
        <v>38222</v>
      </c>
      <c r="X2986" t="s">
        <v>40440</v>
      </c>
    </row>
    <row r="2987" spans="1:24">
      <c r="A2987">
        <f>HYPERLINK("https://www.philgeps.gov.ph/GEPSNONPILOT/Tender/SplashBidNoticeAbstractUI.aspx?menuIndex=3&amp;refID=7044823&amp;Result=3","7044823")</f>
        <v>0</v>
      </c>
      <c r="B2987" t="s">
        <v>1181</v>
      </c>
      <c r="C2987" t="s">
        <v>5946</v>
      </c>
      <c r="D2987" t="s">
        <v>16210</v>
      </c>
      <c r="E2987" t="s">
        <v>18994</v>
      </c>
      <c r="F2987" t="s">
        <v>28198</v>
      </c>
      <c r="G2987" t="s">
        <v>28207</v>
      </c>
      <c r="H2987" t="s">
        <v>28215</v>
      </c>
      <c r="I2987" t="s">
        <v>5082</v>
      </c>
      <c r="J2987" t="s">
        <v>28361</v>
      </c>
      <c r="K2987" t="s">
        <v>36706</v>
      </c>
      <c r="M2987" t="s">
        <v>38223</v>
      </c>
      <c r="N2987" t="s">
        <v>40436</v>
      </c>
      <c r="O2987" t="s">
        <v>40437</v>
      </c>
      <c r="P2987">
        <v>0</v>
      </c>
      <c r="Q2987">
        <v>0</v>
      </c>
      <c r="R2987" t="s">
        <v>40439</v>
      </c>
      <c r="S2987" t="s">
        <v>40588</v>
      </c>
      <c r="T2987" t="s">
        <v>42119</v>
      </c>
      <c r="U2987" t="s">
        <v>45223</v>
      </c>
      <c r="W2987" t="s">
        <v>38223</v>
      </c>
      <c r="X2987" t="s">
        <v>40440</v>
      </c>
    </row>
    <row r="2988" spans="1:24">
      <c r="A2988">
        <f>HYPERLINK("https://www.philgeps.gov.ph/GEPSNONPILOT/Tender/SplashBidNoticeAbstractUI.aspx?menuIndex=3&amp;refID=7044829&amp;Result=3","7044829")</f>
        <v>0</v>
      </c>
      <c r="B2988" t="s">
        <v>1182</v>
      </c>
      <c r="C2988" t="s">
        <v>5947</v>
      </c>
      <c r="D2988" t="s">
        <v>16210</v>
      </c>
      <c r="E2988" t="s">
        <v>16473</v>
      </c>
      <c r="F2988" t="s">
        <v>28198</v>
      </c>
      <c r="G2988" t="s">
        <v>28207</v>
      </c>
      <c r="H2988" t="s">
        <v>28215</v>
      </c>
      <c r="I2988" t="s">
        <v>28248</v>
      </c>
      <c r="J2988" t="s">
        <v>30358</v>
      </c>
      <c r="K2988" t="s">
        <v>36688</v>
      </c>
      <c r="M2988" t="s">
        <v>38224</v>
      </c>
      <c r="N2988" t="s">
        <v>40436</v>
      </c>
      <c r="O2988" t="s">
        <v>40437</v>
      </c>
      <c r="P2988">
        <v>0</v>
      </c>
      <c r="Q2988">
        <v>5</v>
      </c>
      <c r="R2988" t="s">
        <v>40439</v>
      </c>
      <c r="S2988" t="s">
        <v>40588</v>
      </c>
      <c r="T2988" t="s">
        <v>42158</v>
      </c>
      <c r="U2988" t="s">
        <v>45224</v>
      </c>
      <c r="V2988" t="s">
        <v>54107</v>
      </c>
      <c r="W2988" t="s">
        <v>38224</v>
      </c>
      <c r="X2988" t="s">
        <v>40440</v>
      </c>
    </row>
    <row r="2989" spans="1:24">
      <c r="A2989">
        <f>HYPERLINK("https://www.philgeps.gov.ph/GEPSNONPILOT/Tender/SplashBidNoticeAbstractUI.aspx?menuIndex=3&amp;refID=7044824&amp;Result=3","7044824")</f>
        <v>0</v>
      </c>
      <c r="B2989" t="s">
        <v>1148</v>
      </c>
      <c r="C2989" t="s">
        <v>5948</v>
      </c>
      <c r="D2989" t="s">
        <v>16188</v>
      </c>
      <c r="E2989" t="s">
        <v>18995</v>
      </c>
      <c r="F2989" t="s">
        <v>28198</v>
      </c>
      <c r="G2989" t="s">
        <v>28207</v>
      </c>
      <c r="H2989" t="s">
        <v>28215</v>
      </c>
      <c r="I2989" t="s">
        <v>28296</v>
      </c>
      <c r="J2989" t="s">
        <v>29156</v>
      </c>
      <c r="K2989" t="s">
        <v>36715</v>
      </c>
      <c r="M2989" t="s">
        <v>38188</v>
      </c>
      <c r="N2989" t="s">
        <v>40436</v>
      </c>
      <c r="O2989" t="s">
        <v>40437</v>
      </c>
      <c r="P2989">
        <v>0</v>
      </c>
      <c r="Q2989">
        <v>0</v>
      </c>
      <c r="R2989" t="s">
        <v>40439</v>
      </c>
      <c r="S2989" t="s">
        <v>40588</v>
      </c>
      <c r="T2989" t="s">
        <v>42190</v>
      </c>
      <c r="U2989" t="s">
        <v>45225</v>
      </c>
      <c r="W2989" t="s">
        <v>38188</v>
      </c>
      <c r="X2989" t="s">
        <v>40440</v>
      </c>
    </row>
    <row r="2990" spans="1:24">
      <c r="A2990">
        <f>HYPERLINK("https://www.philgeps.gov.ph/GEPSNONPILOT/Tender/SplashBidNoticeAbstractUI.aspx?menuIndex=3&amp;refID=7044827&amp;Result=3","7044827")</f>
        <v>0</v>
      </c>
      <c r="B2990" t="s">
        <v>242</v>
      </c>
      <c r="C2990" t="s">
        <v>5949</v>
      </c>
      <c r="D2990" t="s">
        <v>16254</v>
      </c>
      <c r="E2990" t="s">
        <v>18996</v>
      </c>
      <c r="F2990" t="s">
        <v>28198</v>
      </c>
      <c r="G2990" t="s">
        <v>28207</v>
      </c>
      <c r="H2990" t="s">
        <v>28215</v>
      </c>
      <c r="I2990" t="s">
        <v>4168</v>
      </c>
      <c r="J2990" t="s">
        <v>30359</v>
      </c>
      <c r="K2990" t="s">
        <v>36707</v>
      </c>
      <c r="M2990" t="s">
        <v>37218</v>
      </c>
      <c r="N2990" t="s">
        <v>40436</v>
      </c>
      <c r="O2990" t="s">
        <v>40437</v>
      </c>
      <c r="P2990">
        <v>0</v>
      </c>
      <c r="Q2990">
        <v>3</v>
      </c>
      <c r="R2990" t="s">
        <v>40439</v>
      </c>
      <c r="S2990" t="s">
        <v>40588</v>
      </c>
      <c r="T2990" t="s">
        <v>42129</v>
      </c>
      <c r="U2990" t="s">
        <v>45226</v>
      </c>
      <c r="W2990" t="s">
        <v>37218</v>
      </c>
      <c r="X2990" t="s">
        <v>40440</v>
      </c>
    </row>
    <row r="2991" spans="1:24">
      <c r="A2991">
        <f>HYPERLINK("https://www.philgeps.gov.ph/GEPSNONPILOT/Tender/SplashBidNoticeAbstractUI.aspx?menuIndex=3&amp;refID=7044825&amp;Result=3","7044825")</f>
        <v>0</v>
      </c>
      <c r="B2991" t="s">
        <v>595</v>
      </c>
      <c r="C2991" t="s">
        <v>5950</v>
      </c>
      <c r="D2991" t="s">
        <v>16195</v>
      </c>
      <c r="E2991" t="s">
        <v>18997</v>
      </c>
      <c r="F2991" t="s">
        <v>28198</v>
      </c>
      <c r="G2991" t="s">
        <v>28207</v>
      </c>
      <c r="H2991" t="s">
        <v>28215</v>
      </c>
      <c r="I2991" t="s">
        <v>28307</v>
      </c>
      <c r="J2991" t="s">
        <v>30360</v>
      </c>
      <c r="K2991" t="s">
        <v>36705</v>
      </c>
      <c r="M2991" t="s">
        <v>37584</v>
      </c>
      <c r="N2991" t="s">
        <v>40436</v>
      </c>
      <c r="O2991" t="s">
        <v>40437</v>
      </c>
      <c r="P2991">
        <v>0</v>
      </c>
      <c r="Q2991">
        <v>0</v>
      </c>
      <c r="R2991" t="s">
        <v>40439</v>
      </c>
      <c r="S2991" t="s">
        <v>40588</v>
      </c>
      <c r="T2991" t="s">
        <v>42203</v>
      </c>
      <c r="U2991" t="s">
        <v>45227</v>
      </c>
      <c r="W2991" t="s">
        <v>37584</v>
      </c>
      <c r="X2991" t="s">
        <v>40440</v>
      </c>
    </row>
    <row r="2992" spans="1:24">
      <c r="A2992">
        <f>HYPERLINK("https://www.philgeps.gov.ph/GEPSNONPILOT/Tender/SplashBidNoticeAbstractUI.aspx?menuIndex=3&amp;refID=7044834&amp;Result=3","7044834")</f>
        <v>0</v>
      </c>
      <c r="B2992" t="s">
        <v>1183</v>
      </c>
      <c r="C2992" t="s">
        <v>5951</v>
      </c>
      <c r="D2992" t="s">
        <v>16207</v>
      </c>
      <c r="E2992" t="s">
        <v>18998</v>
      </c>
      <c r="F2992" t="s">
        <v>28198</v>
      </c>
      <c r="G2992" t="s">
        <v>28207</v>
      </c>
      <c r="H2992" t="s">
        <v>28215</v>
      </c>
      <c r="I2992" t="s">
        <v>7310</v>
      </c>
      <c r="J2992" t="s">
        <v>29250</v>
      </c>
      <c r="K2992" t="s">
        <v>36694</v>
      </c>
      <c r="M2992" t="s">
        <v>38225</v>
      </c>
      <c r="N2992" t="s">
        <v>40436</v>
      </c>
      <c r="O2992" t="s">
        <v>40437</v>
      </c>
      <c r="P2992">
        <v>0</v>
      </c>
      <c r="Q2992">
        <v>1</v>
      </c>
      <c r="R2992" t="s">
        <v>40439</v>
      </c>
      <c r="S2992" t="s">
        <v>40588</v>
      </c>
      <c r="T2992" t="s">
        <v>42218</v>
      </c>
      <c r="U2992" t="s">
        <v>45228</v>
      </c>
      <c r="W2992" t="s">
        <v>38225</v>
      </c>
      <c r="X2992" t="s">
        <v>40440</v>
      </c>
    </row>
    <row r="2993" spans="1:24">
      <c r="A2993">
        <f>HYPERLINK("https://www.philgeps.gov.ph/GEPSNONPILOT/Tender/SplashBidNoticeAbstractUI.aspx?menuIndex=3&amp;refID=7044819&amp;Result=3","7044819")</f>
        <v>0</v>
      </c>
      <c r="B2993" t="s">
        <v>1184</v>
      </c>
      <c r="C2993" t="s">
        <v>5952</v>
      </c>
      <c r="D2993" t="s">
        <v>16260</v>
      </c>
      <c r="E2993" t="s">
        <v>18999</v>
      </c>
      <c r="F2993" t="s">
        <v>28198</v>
      </c>
      <c r="G2993" t="s">
        <v>28207</v>
      </c>
      <c r="H2993" t="s">
        <v>28215</v>
      </c>
      <c r="I2993" t="s">
        <v>28234</v>
      </c>
      <c r="J2993" t="s">
        <v>30361</v>
      </c>
      <c r="K2993" t="s">
        <v>36706</v>
      </c>
      <c r="M2993" t="s">
        <v>38226</v>
      </c>
      <c r="N2993" t="s">
        <v>40436</v>
      </c>
      <c r="O2993" t="s">
        <v>40437</v>
      </c>
      <c r="P2993">
        <v>0</v>
      </c>
      <c r="Q2993">
        <v>3</v>
      </c>
      <c r="R2993" t="s">
        <v>40439</v>
      </c>
      <c r="S2993" t="s">
        <v>40588</v>
      </c>
      <c r="T2993" t="s">
        <v>42344</v>
      </c>
      <c r="U2993" t="s">
        <v>45229</v>
      </c>
      <c r="W2993" t="s">
        <v>38226</v>
      </c>
      <c r="X2993" t="s">
        <v>40440</v>
      </c>
    </row>
    <row r="2994" spans="1:24">
      <c r="A2994">
        <f>HYPERLINK("https://www.philgeps.gov.ph/GEPSNONPILOT/Tender/SplashBidNoticeAbstractUI.aspx?menuIndex=3&amp;refID=7044831&amp;Result=3","7044831")</f>
        <v>0</v>
      </c>
      <c r="B2994" t="s">
        <v>305</v>
      </c>
      <c r="C2994" t="s">
        <v>5953</v>
      </c>
      <c r="D2994" t="s">
        <v>16197</v>
      </c>
      <c r="E2994" t="s">
        <v>19000</v>
      </c>
      <c r="F2994" t="s">
        <v>28198</v>
      </c>
      <c r="G2994" t="s">
        <v>28207</v>
      </c>
      <c r="H2994" t="s">
        <v>28215</v>
      </c>
      <c r="I2994" t="s">
        <v>3422</v>
      </c>
      <c r="J2994" t="s">
        <v>30362</v>
      </c>
      <c r="K2994" t="s">
        <v>36688</v>
      </c>
      <c r="M2994" t="s">
        <v>38213</v>
      </c>
      <c r="N2994" t="s">
        <v>40436</v>
      </c>
      <c r="O2994" t="s">
        <v>40437</v>
      </c>
      <c r="P2994">
        <v>0</v>
      </c>
      <c r="Q2994">
        <v>0</v>
      </c>
      <c r="R2994" t="s">
        <v>40439</v>
      </c>
      <c r="S2994" t="s">
        <v>40588</v>
      </c>
      <c r="T2994" t="s">
        <v>42133</v>
      </c>
      <c r="U2994" t="s">
        <v>45201</v>
      </c>
      <c r="W2994" t="s">
        <v>38213</v>
      </c>
      <c r="X2994" t="s">
        <v>40440</v>
      </c>
    </row>
    <row r="2995" spans="1:24">
      <c r="A2995">
        <f>HYPERLINK("https://www.philgeps.gov.ph/GEPSNONPILOT/Tender/SplashBidNoticeAbstractUI.aspx?menuIndex=3&amp;refID=7044826&amp;Result=3","7044826")</f>
        <v>0</v>
      </c>
      <c r="B2995" t="s">
        <v>1185</v>
      </c>
      <c r="C2995" t="s">
        <v>5954</v>
      </c>
      <c r="D2995" t="s">
        <v>16191</v>
      </c>
      <c r="E2995" t="s">
        <v>19001</v>
      </c>
      <c r="F2995" t="s">
        <v>28198</v>
      </c>
      <c r="G2995" t="s">
        <v>28205</v>
      </c>
      <c r="H2995" t="s">
        <v>28214</v>
      </c>
      <c r="I2995" t="s">
        <v>3797</v>
      </c>
      <c r="J2995" t="s">
        <v>30363</v>
      </c>
      <c r="K2995" t="s">
        <v>36737</v>
      </c>
      <c r="M2995" t="s">
        <v>38227</v>
      </c>
      <c r="N2995" t="s">
        <v>40436</v>
      </c>
      <c r="O2995" t="s">
        <v>40437</v>
      </c>
      <c r="P2995">
        <v>0</v>
      </c>
      <c r="Q2995">
        <v>0</v>
      </c>
      <c r="R2995" t="s">
        <v>40439</v>
      </c>
      <c r="S2995" t="s">
        <v>40588</v>
      </c>
      <c r="T2995" t="s">
        <v>42345</v>
      </c>
      <c r="U2995" t="s">
        <v>45230</v>
      </c>
      <c r="W2995" t="s">
        <v>38227</v>
      </c>
      <c r="X2995" t="s">
        <v>40440</v>
      </c>
    </row>
    <row r="2996" spans="1:24">
      <c r="A2996">
        <f>HYPERLINK("https://www.philgeps.gov.ph/GEPSNONPILOT/Tender/SplashBidNoticeAbstractUI.aspx?menuIndex=3&amp;refID=7044820&amp;Result=3","7044820")</f>
        <v>0</v>
      </c>
      <c r="B2996" t="s">
        <v>232</v>
      </c>
      <c r="C2996" t="s">
        <v>5955</v>
      </c>
      <c r="D2996" t="s">
        <v>16244</v>
      </c>
      <c r="E2996" t="s">
        <v>19002</v>
      </c>
      <c r="F2996" t="s">
        <v>28198</v>
      </c>
      <c r="G2996" t="s">
        <v>28207</v>
      </c>
      <c r="H2996" t="s">
        <v>28215</v>
      </c>
      <c r="I2996" t="s">
        <v>4200</v>
      </c>
      <c r="J2996" t="s">
        <v>30364</v>
      </c>
      <c r="K2996" t="s">
        <v>36696</v>
      </c>
      <c r="M2996" t="s">
        <v>37208</v>
      </c>
      <c r="N2996" t="s">
        <v>40436</v>
      </c>
      <c r="O2996" t="s">
        <v>40437</v>
      </c>
      <c r="P2996">
        <v>0</v>
      </c>
      <c r="Q2996">
        <v>0</v>
      </c>
      <c r="R2996" t="s">
        <v>40439</v>
      </c>
      <c r="S2996" t="s">
        <v>40588</v>
      </c>
      <c r="T2996" t="s">
        <v>42190</v>
      </c>
      <c r="U2996" t="s">
        <v>45231</v>
      </c>
      <c r="W2996" t="s">
        <v>37208</v>
      </c>
      <c r="X2996" t="s">
        <v>40440</v>
      </c>
    </row>
    <row r="2997" spans="1:24">
      <c r="A2997">
        <f>HYPERLINK("https://www.philgeps.gov.ph/GEPSNONPILOT/Tender/SplashBidNoticeAbstractUI.aspx?menuIndex=3&amp;refID=7044835&amp;Result=3","7044835")</f>
        <v>0</v>
      </c>
      <c r="B2997" t="s">
        <v>1063</v>
      </c>
      <c r="C2997" t="s">
        <v>5956</v>
      </c>
      <c r="D2997" t="s">
        <v>16188</v>
      </c>
      <c r="E2997" t="s">
        <v>19003</v>
      </c>
      <c r="F2997" t="s">
        <v>28198</v>
      </c>
      <c r="G2997" t="s">
        <v>28207</v>
      </c>
      <c r="H2997" t="s">
        <v>28215</v>
      </c>
      <c r="I2997" t="s">
        <v>28258</v>
      </c>
      <c r="J2997" t="s">
        <v>28430</v>
      </c>
      <c r="K2997" t="s">
        <v>36689</v>
      </c>
      <c r="M2997" t="s">
        <v>38096</v>
      </c>
      <c r="N2997" t="s">
        <v>40436</v>
      </c>
      <c r="O2997" t="s">
        <v>40437</v>
      </c>
      <c r="P2997">
        <v>0</v>
      </c>
      <c r="Q2997">
        <v>6</v>
      </c>
      <c r="R2997" t="s">
        <v>40439</v>
      </c>
      <c r="S2997" t="s">
        <v>40588</v>
      </c>
      <c r="T2997" t="s">
        <v>42318</v>
      </c>
      <c r="U2997" t="s">
        <v>45232</v>
      </c>
      <c r="W2997" t="s">
        <v>38096</v>
      </c>
      <c r="X2997" t="s">
        <v>40440</v>
      </c>
    </row>
    <row r="2998" spans="1:24">
      <c r="A2998">
        <f>HYPERLINK("https://www.philgeps.gov.ph/GEPSNONPILOT/Tender/SplashBidNoticeAbstractUI.aspx?menuIndex=3&amp;refID=7044832&amp;Result=3","7044832")</f>
        <v>0</v>
      </c>
      <c r="B2998" t="s">
        <v>175</v>
      </c>
      <c r="C2998" t="s">
        <v>5766</v>
      </c>
      <c r="D2998" t="s">
        <v>16244</v>
      </c>
      <c r="E2998" t="s">
        <v>19004</v>
      </c>
      <c r="F2998" t="s">
        <v>28198</v>
      </c>
      <c r="G2998" t="s">
        <v>28206</v>
      </c>
      <c r="H2998" t="s">
        <v>28215</v>
      </c>
      <c r="I2998" t="s">
        <v>4321</v>
      </c>
      <c r="J2998" t="s">
        <v>30365</v>
      </c>
      <c r="K2998" t="s">
        <v>36688</v>
      </c>
      <c r="M2998" t="s">
        <v>37149</v>
      </c>
      <c r="N2998" t="s">
        <v>40436</v>
      </c>
      <c r="O2998" t="s">
        <v>40437</v>
      </c>
      <c r="P2998">
        <v>0</v>
      </c>
      <c r="Q2998">
        <v>1</v>
      </c>
      <c r="R2998" t="s">
        <v>40439</v>
      </c>
      <c r="S2998" t="s">
        <v>40588</v>
      </c>
      <c r="T2998" t="s">
        <v>42185</v>
      </c>
      <c r="U2998" t="s">
        <v>42905</v>
      </c>
      <c r="W2998" t="s">
        <v>37149</v>
      </c>
      <c r="X2998" t="s">
        <v>40440</v>
      </c>
    </row>
    <row r="2999" spans="1:24">
      <c r="A2999">
        <f>HYPERLINK("https://www.philgeps.gov.ph/GEPSNONPILOT/Tender/SplashBidNoticeAbstractUI.aspx?menuIndex=3&amp;refID=7044837&amp;Result=3","7044837")</f>
        <v>0</v>
      </c>
      <c r="B2999" t="s">
        <v>1186</v>
      </c>
      <c r="C2999" t="s">
        <v>5957</v>
      </c>
      <c r="D2999" t="s">
        <v>16199</v>
      </c>
      <c r="E2999" t="s">
        <v>19005</v>
      </c>
      <c r="F2999" t="s">
        <v>28198</v>
      </c>
      <c r="G2999" t="s">
        <v>28207</v>
      </c>
      <c r="H2999" t="s">
        <v>28215</v>
      </c>
      <c r="I2999" t="s">
        <v>28239</v>
      </c>
      <c r="J2999" t="s">
        <v>28636</v>
      </c>
      <c r="K2999" t="s">
        <v>36723</v>
      </c>
      <c r="M2999" t="s">
        <v>38228</v>
      </c>
      <c r="N2999" t="s">
        <v>40436</v>
      </c>
      <c r="O2999" t="s">
        <v>40437</v>
      </c>
      <c r="P2999">
        <v>0</v>
      </c>
      <c r="Q2999">
        <v>1</v>
      </c>
      <c r="R2999" t="s">
        <v>40439</v>
      </c>
      <c r="S2999" t="s">
        <v>40588</v>
      </c>
      <c r="T2999" t="s">
        <v>42158</v>
      </c>
      <c r="U2999" t="s">
        <v>45233</v>
      </c>
      <c r="W2999" t="s">
        <v>38228</v>
      </c>
      <c r="X2999" t="s">
        <v>40440</v>
      </c>
    </row>
    <row r="3000" spans="1:24">
      <c r="A3000">
        <f>HYPERLINK("https://www.philgeps.gov.ph/GEPSNONPILOT/Tender/SplashBidNoticeAbstractUI.aspx?menuIndex=3&amp;refID=7044833&amp;Result=3","7044833")</f>
        <v>0</v>
      </c>
      <c r="B3000" t="s">
        <v>1159</v>
      </c>
      <c r="C3000" t="s">
        <v>5958</v>
      </c>
      <c r="D3000" t="s">
        <v>16209</v>
      </c>
      <c r="E3000" t="s">
        <v>19006</v>
      </c>
      <c r="F3000" t="s">
        <v>28198</v>
      </c>
      <c r="G3000" t="s">
        <v>28207</v>
      </c>
      <c r="H3000" t="s">
        <v>28215</v>
      </c>
      <c r="I3000" t="s">
        <v>5103</v>
      </c>
      <c r="J3000" t="s">
        <v>28350</v>
      </c>
      <c r="K3000" t="s">
        <v>36689</v>
      </c>
      <c r="M3000" t="s">
        <v>38199</v>
      </c>
      <c r="N3000" t="s">
        <v>40436</v>
      </c>
      <c r="O3000" t="s">
        <v>40437</v>
      </c>
      <c r="P3000">
        <v>0</v>
      </c>
      <c r="Q3000">
        <v>1</v>
      </c>
      <c r="R3000" t="s">
        <v>40439</v>
      </c>
      <c r="S3000" t="s">
        <v>40588</v>
      </c>
      <c r="T3000" t="s">
        <v>42177</v>
      </c>
      <c r="U3000" t="s">
        <v>45234</v>
      </c>
      <c r="W3000" t="s">
        <v>38199</v>
      </c>
      <c r="X3000" t="s">
        <v>40440</v>
      </c>
    </row>
    <row r="3001" spans="1:24">
      <c r="A3001">
        <f>HYPERLINK("https://www.philgeps.gov.ph/GEPSNONPILOT/Tender/SplashBidNoticeAbstractUI.aspx?menuIndex=3&amp;refID=7044836&amp;Result=3","7044836")</f>
        <v>0</v>
      </c>
      <c r="B3001" t="s">
        <v>232</v>
      </c>
      <c r="C3001" t="s">
        <v>5959</v>
      </c>
      <c r="D3001" t="s">
        <v>16244</v>
      </c>
      <c r="E3001" t="s">
        <v>19007</v>
      </c>
      <c r="F3001" t="s">
        <v>28198</v>
      </c>
      <c r="G3001" t="s">
        <v>28207</v>
      </c>
      <c r="H3001" t="s">
        <v>28215</v>
      </c>
      <c r="I3001" t="s">
        <v>4200</v>
      </c>
      <c r="J3001" t="s">
        <v>28624</v>
      </c>
      <c r="K3001" t="s">
        <v>36696</v>
      </c>
      <c r="M3001" t="s">
        <v>37208</v>
      </c>
      <c r="N3001" t="s">
        <v>40436</v>
      </c>
      <c r="O3001" t="s">
        <v>40437</v>
      </c>
      <c r="P3001">
        <v>0</v>
      </c>
      <c r="Q3001">
        <v>0</v>
      </c>
      <c r="R3001" t="s">
        <v>40439</v>
      </c>
      <c r="S3001" t="s">
        <v>40588</v>
      </c>
      <c r="T3001" t="s">
        <v>42190</v>
      </c>
      <c r="U3001" t="s">
        <v>45235</v>
      </c>
      <c r="W3001" t="s">
        <v>37208</v>
      </c>
      <c r="X3001" t="s">
        <v>40440</v>
      </c>
    </row>
    <row r="3002" spans="1:24">
      <c r="A3002">
        <f>HYPERLINK("https://www.philgeps.gov.ph/GEPSNONPILOT/Tender/SplashBidNoticeAbstractUI.aspx?menuIndex=3&amp;refID=7044843&amp;Result=3","7044843")</f>
        <v>0</v>
      </c>
      <c r="B3002" t="s">
        <v>1161</v>
      </c>
      <c r="C3002" t="s">
        <v>5885</v>
      </c>
      <c r="D3002" t="s">
        <v>16228</v>
      </c>
      <c r="E3002" t="s">
        <v>16588</v>
      </c>
      <c r="F3002" t="s">
        <v>28198</v>
      </c>
      <c r="G3002" t="s">
        <v>28205</v>
      </c>
      <c r="H3002" t="s">
        <v>28214</v>
      </c>
      <c r="I3002" t="s">
        <v>3797</v>
      </c>
      <c r="J3002" t="s">
        <v>28363</v>
      </c>
      <c r="K3002" t="s">
        <v>36688</v>
      </c>
      <c r="M3002" t="s">
        <v>38201</v>
      </c>
      <c r="N3002" t="s">
        <v>40436</v>
      </c>
      <c r="O3002" t="s">
        <v>40437</v>
      </c>
      <c r="P3002">
        <v>0</v>
      </c>
      <c r="Q3002">
        <v>0</v>
      </c>
      <c r="R3002" t="s">
        <v>40439</v>
      </c>
      <c r="S3002" t="s">
        <v>40588</v>
      </c>
      <c r="T3002" t="s">
        <v>42164</v>
      </c>
      <c r="U3002" t="s">
        <v>45236</v>
      </c>
      <c r="W3002" t="s">
        <v>38201</v>
      </c>
      <c r="X3002" t="s">
        <v>40440</v>
      </c>
    </row>
    <row r="3003" spans="1:24">
      <c r="A3003">
        <f>HYPERLINK("https://www.philgeps.gov.ph/GEPSNONPILOT/Tender/SplashBidNoticeAbstractUI.aspx?menuIndex=3&amp;refID=7044844&amp;Result=3","7044844")</f>
        <v>0</v>
      </c>
      <c r="B3003" t="s">
        <v>1157</v>
      </c>
      <c r="C3003" t="s">
        <v>5960</v>
      </c>
      <c r="D3003" t="s">
        <v>16193</v>
      </c>
      <c r="E3003" t="s">
        <v>19008</v>
      </c>
      <c r="F3003" t="s">
        <v>28198</v>
      </c>
      <c r="G3003" t="s">
        <v>28205</v>
      </c>
      <c r="H3003" t="s">
        <v>28214</v>
      </c>
      <c r="I3003" t="s">
        <v>3797</v>
      </c>
      <c r="J3003" t="s">
        <v>30366</v>
      </c>
      <c r="K3003" t="s">
        <v>36737</v>
      </c>
      <c r="M3003" t="s">
        <v>38197</v>
      </c>
      <c r="N3003" t="s">
        <v>40436</v>
      </c>
      <c r="O3003" t="s">
        <v>40437</v>
      </c>
      <c r="P3003">
        <v>0</v>
      </c>
      <c r="Q3003">
        <v>0</v>
      </c>
      <c r="R3003" t="s">
        <v>40439</v>
      </c>
      <c r="S3003" t="s">
        <v>40588</v>
      </c>
      <c r="T3003" t="s">
        <v>42248</v>
      </c>
      <c r="U3003" t="s">
        <v>45237</v>
      </c>
      <c r="W3003" t="s">
        <v>55475</v>
      </c>
      <c r="X3003" t="s">
        <v>40440</v>
      </c>
    </row>
    <row r="3004" spans="1:24">
      <c r="A3004">
        <f>HYPERLINK("https://www.philgeps.gov.ph/GEPSNONPILOT/Tender/SplashBidNoticeAbstractUI.aspx?menuIndex=3&amp;refID=7044838&amp;Result=3","7044838")</f>
        <v>0</v>
      </c>
      <c r="B3004" t="s">
        <v>1187</v>
      </c>
      <c r="C3004" t="s">
        <v>5961</v>
      </c>
      <c r="D3004" t="s">
        <v>16197</v>
      </c>
      <c r="E3004" t="s">
        <v>19009</v>
      </c>
      <c r="F3004" t="s">
        <v>28198</v>
      </c>
      <c r="G3004" t="s">
        <v>28205</v>
      </c>
      <c r="H3004" t="s">
        <v>28215</v>
      </c>
      <c r="I3004" t="s">
        <v>28224</v>
      </c>
      <c r="J3004" t="s">
        <v>30367</v>
      </c>
      <c r="K3004" t="s">
        <v>36706</v>
      </c>
      <c r="M3004" t="s">
        <v>38229</v>
      </c>
      <c r="N3004" t="s">
        <v>40436</v>
      </c>
      <c r="O3004" t="s">
        <v>40437</v>
      </c>
      <c r="P3004">
        <v>0</v>
      </c>
      <c r="Q3004">
        <v>3</v>
      </c>
      <c r="R3004" t="s">
        <v>40439</v>
      </c>
      <c r="S3004" t="s">
        <v>40588</v>
      </c>
      <c r="T3004" t="s">
        <v>42150</v>
      </c>
      <c r="U3004" t="s">
        <v>45238</v>
      </c>
      <c r="W3004" t="s">
        <v>38229</v>
      </c>
      <c r="X3004" t="s">
        <v>40440</v>
      </c>
    </row>
    <row r="3005" spans="1:24">
      <c r="A3005">
        <f>HYPERLINK("https://www.philgeps.gov.ph/GEPSNONPILOT/Tender/SplashBidNoticeAbstractUI.aspx?menuIndex=3&amp;refID=7044845&amp;Result=3","7044845")</f>
        <v>0</v>
      </c>
      <c r="B3005" t="s">
        <v>1188</v>
      </c>
      <c r="C3005" t="s">
        <v>5962</v>
      </c>
      <c r="D3005" t="s">
        <v>16216</v>
      </c>
      <c r="E3005" t="s">
        <v>19010</v>
      </c>
      <c r="F3005" t="s">
        <v>28198</v>
      </c>
      <c r="G3005" t="s">
        <v>28205</v>
      </c>
      <c r="H3005" t="s">
        <v>28214</v>
      </c>
      <c r="I3005" t="s">
        <v>3797</v>
      </c>
      <c r="J3005" t="s">
        <v>30368</v>
      </c>
      <c r="K3005" t="s">
        <v>36694</v>
      </c>
      <c r="M3005" t="s">
        <v>38230</v>
      </c>
      <c r="N3005" t="s">
        <v>40436</v>
      </c>
      <c r="O3005" t="s">
        <v>40437</v>
      </c>
      <c r="P3005">
        <v>0</v>
      </c>
      <c r="Q3005">
        <v>1</v>
      </c>
      <c r="R3005" t="s">
        <v>40439</v>
      </c>
      <c r="S3005" t="s">
        <v>40588</v>
      </c>
      <c r="T3005" t="s">
        <v>42133</v>
      </c>
      <c r="U3005" t="s">
        <v>45239</v>
      </c>
      <c r="W3005" t="s">
        <v>38230</v>
      </c>
      <c r="X3005" t="s">
        <v>40440</v>
      </c>
    </row>
    <row r="3006" spans="1:24">
      <c r="A3006">
        <f>HYPERLINK("https://www.philgeps.gov.ph/GEPSNONPILOT/Tender/SplashBidNoticeAbstractUI.aspx?menuIndex=3&amp;refID=7044840&amp;Result=3","7044840")</f>
        <v>0</v>
      </c>
      <c r="B3006" t="s">
        <v>1155</v>
      </c>
      <c r="C3006" t="s">
        <v>5963</v>
      </c>
      <c r="D3006" t="s">
        <v>16210</v>
      </c>
      <c r="E3006" t="s">
        <v>19011</v>
      </c>
      <c r="F3006" t="s">
        <v>28198</v>
      </c>
      <c r="G3006" t="s">
        <v>28207</v>
      </c>
      <c r="H3006" t="s">
        <v>28215</v>
      </c>
      <c r="I3006" t="s">
        <v>28286</v>
      </c>
      <c r="J3006" t="s">
        <v>30369</v>
      </c>
      <c r="K3006" t="s">
        <v>36688</v>
      </c>
      <c r="M3006" t="s">
        <v>38195</v>
      </c>
      <c r="N3006" t="s">
        <v>40436</v>
      </c>
      <c r="O3006" t="s">
        <v>40437</v>
      </c>
      <c r="P3006">
        <v>0</v>
      </c>
      <c r="Q3006">
        <v>5</v>
      </c>
      <c r="R3006" t="s">
        <v>40439</v>
      </c>
      <c r="S3006" t="s">
        <v>40588</v>
      </c>
      <c r="T3006" t="s">
        <v>42326</v>
      </c>
      <c r="U3006" t="s">
        <v>45240</v>
      </c>
      <c r="W3006" t="s">
        <v>38195</v>
      </c>
      <c r="X3006" t="s">
        <v>40440</v>
      </c>
    </row>
    <row r="3007" spans="1:24">
      <c r="A3007">
        <f>HYPERLINK("https://www.philgeps.gov.ph/GEPSNONPILOT/Tender/SplashBidNoticeAbstractUI.aspx?menuIndex=3&amp;refID=7044854&amp;Result=3","7044854")</f>
        <v>0</v>
      </c>
      <c r="B3007" t="s">
        <v>422</v>
      </c>
      <c r="C3007" t="s">
        <v>5964</v>
      </c>
      <c r="D3007" t="s">
        <v>16203</v>
      </c>
      <c r="E3007" t="s">
        <v>19012</v>
      </c>
      <c r="F3007" t="s">
        <v>28198</v>
      </c>
      <c r="G3007" t="s">
        <v>28210</v>
      </c>
      <c r="H3007" t="s">
        <v>28215</v>
      </c>
      <c r="I3007" t="s">
        <v>5082</v>
      </c>
      <c r="J3007" t="s">
        <v>30370</v>
      </c>
      <c r="K3007" t="s">
        <v>36689</v>
      </c>
      <c r="M3007" t="s">
        <v>37404</v>
      </c>
      <c r="N3007" t="s">
        <v>40436</v>
      </c>
      <c r="O3007" t="s">
        <v>40437</v>
      </c>
      <c r="P3007">
        <v>0</v>
      </c>
      <c r="Q3007">
        <v>4</v>
      </c>
      <c r="R3007" t="s">
        <v>40439</v>
      </c>
      <c r="S3007" t="s">
        <v>40588</v>
      </c>
      <c r="T3007" t="s">
        <v>42131</v>
      </c>
      <c r="U3007" t="s">
        <v>43338</v>
      </c>
      <c r="W3007" t="s">
        <v>37404</v>
      </c>
      <c r="X3007" t="s">
        <v>40440</v>
      </c>
    </row>
    <row r="3008" spans="1:24">
      <c r="A3008">
        <f>HYPERLINK("https://www.philgeps.gov.ph/GEPSNONPILOT/Tender/SplashBidNoticeAbstractUI.aspx?menuIndex=3&amp;refID=7044852&amp;Result=3","7044852")</f>
        <v>0</v>
      </c>
      <c r="B3008" t="s">
        <v>660</v>
      </c>
      <c r="C3008" t="s">
        <v>5965</v>
      </c>
      <c r="D3008" t="s">
        <v>16188</v>
      </c>
      <c r="E3008" t="s">
        <v>19013</v>
      </c>
      <c r="F3008" t="s">
        <v>28198</v>
      </c>
      <c r="G3008" t="s">
        <v>28207</v>
      </c>
      <c r="H3008" t="s">
        <v>28215</v>
      </c>
      <c r="I3008" t="s">
        <v>28238</v>
      </c>
      <c r="J3008" t="s">
        <v>28414</v>
      </c>
      <c r="K3008" t="s">
        <v>36689</v>
      </c>
      <c r="M3008" t="s">
        <v>37656</v>
      </c>
      <c r="N3008" t="s">
        <v>40436</v>
      </c>
      <c r="O3008" t="s">
        <v>40437</v>
      </c>
      <c r="P3008">
        <v>0</v>
      </c>
      <c r="Q3008">
        <v>2</v>
      </c>
      <c r="R3008" t="s">
        <v>40439</v>
      </c>
      <c r="S3008" t="s">
        <v>40588</v>
      </c>
      <c r="T3008" t="s">
        <v>42228</v>
      </c>
      <c r="U3008" t="s">
        <v>45018</v>
      </c>
      <c r="W3008" t="s">
        <v>37656</v>
      </c>
      <c r="X3008" t="s">
        <v>40440</v>
      </c>
    </row>
    <row r="3009" spans="1:24">
      <c r="A3009">
        <f>HYPERLINK("https://www.philgeps.gov.ph/GEPSNONPILOT/Tender/SplashBidNoticeAbstractUI.aspx?menuIndex=3&amp;refID=7044857&amp;Result=3","7044857")</f>
        <v>0</v>
      </c>
      <c r="B3009" t="s">
        <v>1189</v>
      </c>
      <c r="C3009" t="s">
        <v>5966</v>
      </c>
      <c r="D3009" t="s">
        <v>16235</v>
      </c>
      <c r="E3009" t="s">
        <v>19014</v>
      </c>
      <c r="F3009" t="s">
        <v>28198</v>
      </c>
      <c r="G3009" t="s">
        <v>28207</v>
      </c>
      <c r="H3009" t="s">
        <v>28215</v>
      </c>
      <c r="I3009" t="s">
        <v>5100</v>
      </c>
      <c r="J3009" t="s">
        <v>28985</v>
      </c>
      <c r="K3009" t="s">
        <v>36687</v>
      </c>
      <c r="M3009" t="s">
        <v>38231</v>
      </c>
      <c r="N3009" t="s">
        <v>40436</v>
      </c>
      <c r="O3009" t="s">
        <v>40437</v>
      </c>
      <c r="P3009">
        <v>0</v>
      </c>
      <c r="Q3009">
        <v>1</v>
      </c>
      <c r="R3009" t="s">
        <v>40439</v>
      </c>
      <c r="S3009" t="s">
        <v>40588</v>
      </c>
      <c r="T3009" t="s">
        <v>42159</v>
      </c>
      <c r="U3009" t="s">
        <v>45241</v>
      </c>
      <c r="W3009" t="s">
        <v>38231</v>
      </c>
      <c r="X3009" t="s">
        <v>40440</v>
      </c>
    </row>
    <row r="3010" spans="1:24">
      <c r="A3010">
        <f>HYPERLINK("https://www.philgeps.gov.ph/GEPSNONPILOT/Tender/SplashBidNoticeAbstractUI.aspx?menuIndex=3&amp;refID=7044853&amp;Result=3","7044853")</f>
        <v>0</v>
      </c>
      <c r="B3010" t="s">
        <v>1181</v>
      </c>
      <c r="C3010" t="s">
        <v>5967</v>
      </c>
      <c r="D3010" t="s">
        <v>16210</v>
      </c>
      <c r="E3010" t="s">
        <v>18994</v>
      </c>
      <c r="F3010" t="s">
        <v>28198</v>
      </c>
      <c r="G3010" t="s">
        <v>28207</v>
      </c>
      <c r="H3010" t="s">
        <v>28215</v>
      </c>
      <c r="I3010" t="s">
        <v>28265</v>
      </c>
      <c r="J3010" t="s">
        <v>30371</v>
      </c>
      <c r="K3010" t="s">
        <v>36706</v>
      </c>
      <c r="M3010" t="s">
        <v>38223</v>
      </c>
      <c r="N3010" t="s">
        <v>40436</v>
      </c>
      <c r="O3010" t="s">
        <v>40437</v>
      </c>
      <c r="P3010">
        <v>0</v>
      </c>
      <c r="Q3010">
        <v>0</v>
      </c>
      <c r="R3010" t="s">
        <v>40439</v>
      </c>
      <c r="S3010" t="s">
        <v>40588</v>
      </c>
      <c r="T3010" t="s">
        <v>42119</v>
      </c>
      <c r="U3010" t="s">
        <v>45242</v>
      </c>
      <c r="W3010" t="s">
        <v>38223</v>
      </c>
      <c r="X3010" t="s">
        <v>40440</v>
      </c>
    </row>
    <row r="3011" spans="1:24">
      <c r="A3011">
        <f>HYPERLINK("https://www.philgeps.gov.ph/GEPSNONPILOT/Tender/SplashBidNoticeAbstractUI.aspx?menuIndex=3&amp;refID=7044850&amp;Result=3","7044850")</f>
        <v>0</v>
      </c>
      <c r="B3011" t="s">
        <v>1190</v>
      </c>
      <c r="C3011" t="s">
        <v>5968</v>
      </c>
      <c r="D3011" t="s">
        <v>16195</v>
      </c>
      <c r="E3011" t="s">
        <v>18038</v>
      </c>
      <c r="F3011" t="s">
        <v>28198</v>
      </c>
      <c r="G3011" t="s">
        <v>28205</v>
      </c>
      <c r="H3011" t="s">
        <v>28214</v>
      </c>
      <c r="I3011" t="s">
        <v>3797</v>
      </c>
      <c r="J3011" t="s">
        <v>30372</v>
      </c>
      <c r="K3011" t="s">
        <v>36694</v>
      </c>
      <c r="M3011" t="s">
        <v>38232</v>
      </c>
      <c r="N3011" t="s">
        <v>40436</v>
      </c>
      <c r="O3011" t="s">
        <v>40437</v>
      </c>
      <c r="P3011">
        <v>0</v>
      </c>
      <c r="Q3011">
        <v>0</v>
      </c>
      <c r="R3011" t="s">
        <v>40439</v>
      </c>
      <c r="S3011" t="s">
        <v>40588</v>
      </c>
      <c r="T3011" t="s">
        <v>42175</v>
      </c>
      <c r="U3011" t="s">
        <v>45243</v>
      </c>
      <c r="W3011" t="s">
        <v>38232</v>
      </c>
      <c r="X3011" t="s">
        <v>40440</v>
      </c>
    </row>
    <row r="3012" spans="1:24">
      <c r="A3012">
        <f>HYPERLINK("https://www.philgeps.gov.ph/GEPSNONPILOT/Tender/SplashBidNoticeAbstractUI.aspx?menuIndex=3&amp;refID=7044856&amp;Result=3","7044856")</f>
        <v>0</v>
      </c>
      <c r="B3012" t="s">
        <v>1148</v>
      </c>
      <c r="C3012" t="s">
        <v>5969</v>
      </c>
      <c r="D3012" t="s">
        <v>16188</v>
      </c>
      <c r="E3012" t="s">
        <v>16524</v>
      </c>
      <c r="F3012" t="s">
        <v>28198</v>
      </c>
      <c r="G3012" t="s">
        <v>28207</v>
      </c>
      <c r="H3012" t="s">
        <v>28215</v>
      </c>
      <c r="I3012" t="s">
        <v>3774</v>
      </c>
      <c r="J3012" t="s">
        <v>28967</v>
      </c>
      <c r="K3012" t="s">
        <v>36715</v>
      </c>
      <c r="M3012" t="s">
        <v>38188</v>
      </c>
      <c r="N3012" t="s">
        <v>40436</v>
      </c>
      <c r="O3012" t="s">
        <v>40437</v>
      </c>
      <c r="P3012">
        <v>0</v>
      </c>
      <c r="Q3012">
        <v>0</v>
      </c>
      <c r="R3012" t="s">
        <v>40439</v>
      </c>
      <c r="S3012" t="s">
        <v>40588</v>
      </c>
      <c r="T3012" t="s">
        <v>42190</v>
      </c>
      <c r="U3012" t="s">
        <v>45244</v>
      </c>
      <c r="W3012" t="s">
        <v>38188</v>
      </c>
      <c r="X3012" t="s">
        <v>40440</v>
      </c>
    </row>
    <row r="3013" spans="1:24">
      <c r="A3013">
        <f>HYPERLINK("https://www.philgeps.gov.ph/GEPSNONPILOT/Tender/SplashBidNoticeAbstractUI.aspx?menuIndex=3&amp;refID=7044851&amp;Result=3","7044851")</f>
        <v>0</v>
      </c>
      <c r="B3013" t="s">
        <v>455</v>
      </c>
      <c r="C3013" t="s">
        <v>5970</v>
      </c>
      <c r="D3013" t="s">
        <v>16263</v>
      </c>
      <c r="E3013" t="s">
        <v>19015</v>
      </c>
      <c r="F3013" t="s">
        <v>28198</v>
      </c>
      <c r="G3013" t="s">
        <v>28205</v>
      </c>
      <c r="H3013" t="s">
        <v>28214</v>
      </c>
      <c r="I3013" t="s">
        <v>3797</v>
      </c>
      <c r="J3013" t="s">
        <v>30373</v>
      </c>
      <c r="K3013" t="s">
        <v>36689</v>
      </c>
      <c r="M3013" t="s">
        <v>37439</v>
      </c>
      <c r="N3013" t="s">
        <v>40436</v>
      </c>
      <c r="O3013" t="s">
        <v>40437</v>
      </c>
      <c r="P3013">
        <v>0</v>
      </c>
      <c r="Q3013">
        <v>0</v>
      </c>
      <c r="R3013" t="s">
        <v>40439</v>
      </c>
      <c r="S3013" t="s">
        <v>40588</v>
      </c>
      <c r="T3013" t="s">
        <v>42118</v>
      </c>
      <c r="U3013" t="s">
        <v>45025</v>
      </c>
      <c r="W3013" t="s">
        <v>37439</v>
      </c>
      <c r="X3013" t="s">
        <v>40440</v>
      </c>
    </row>
    <row r="3014" spans="1:24">
      <c r="A3014">
        <f>HYPERLINK("https://www.philgeps.gov.ph/GEPSNONPILOT/Tender/SplashBidNoticeAbstractUI.aspx?menuIndex=3&amp;refID=7044849&amp;Result=3","7044849")</f>
        <v>0</v>
      </c>
      <c r="B3014" t="s">
        <v>1063</v>
      </c>
      <c r="C3014" t="s">
        <v>5971</v>
      </c>
      <c r="D3014" t="s">
        <v>16188</v>
      </c>
      <c r="E3014" t="s">
        <v>19016</v>
      </c>
      <c r="F3014" t="s">
        <v>28198</v>
      </c>
      <c r="G3014" t="s">
        <v>28207</v>
      </c>
      <c r="H3014" t="s">
        <v>28215</v>
      </c>
      <c r="I3014" t="s">
        <v>28258</v>
      </c>
      <c r="J3014" t="s">
        <v>30374</v>
      </c>
      <c r="K3014" t="s">
        <v>36689</v>
      </c>
      <c r="M3014" t="s">
        <v>38096</v>
      </c>
      <c r="N3014" t="s">
        <v>40436</v>
      </c>
      <c r="O3014" t="s">
        <v>40437</v>
      </c>
      <c r="P3014">
        <v>0</v>
      </c>
      <c r="Q3014">
        <v>7</v>
      </c>
      <c r="R3014" t="s">
        <v>40439</v>
      </c>
      <c r="S3014" t="s">
        <v>40588</v>
      </c>
      <c r="T3014" t="s">
        <v>42318</v>
      </c>
      <c r="U3014" t="s">
        <v>45245</v>
      </c>
      <c r="W3014" t="s">
        <v>38096</v>
      </c>
      <c r="X3014" t="s">
        <v>40440</v>
      </c>
    </row>
    <row r="3015" spans="1:24">
      <c r="A3015">
        <f>HYPERLINK("https://www.philgeps.gov.ph/GEPSNONPILOT/Tender/SplashBidNoticeAbstractUI.aspx?menuIndex=3&amp;refID=7044848&amp;Result=3","7044848")</f>
        <v>0</v>
      </c>
      <c r="B3015" t="s">
        <v>232</v>
      </c>
      <c r="C3015" t="s">
        <v>5972</v>
      </c>
      <c r="D3015" t="s">
        <v>16244</v>
      </c>
      <c r="E3015" t="s">
        <v>19017</v>
      </c>
      <c r="F3015" t="s">
        <v>28198</v>
      </c>
      <c r="G3015" t="s">
        <v>28207</v>
      </c>
      <c r="H3015" t="s">
        <v>28215</v>
      </c>
      <c r="I3015" t="s">
        <v>4200</v>
      </c>
      <c r="J3015" t="s">
        <v>28679</v>
      </c>
      <c r="K3015" t="s">
        <v>36696</v>
      </c>
      <c r="M3015" t="s">
        <v>37208</v>
      </c>
      <c r="N3015" t="s">
        <v>40436</v>
      </c>
      <c r="O3015" t="s">
        <v>40437</v>
      </c>
      <c r="P3015">
        <v>0</v>
      </c>
      <c r="Q3015">
        <v>0</v>
      </c>
      <c r="R3015" t="s">
        <v>40439</v>
      </c>
      <c r="S3015" t="s">
        <v>40588</v>
      </c>
      <c r="T3015" t="s">
        <v>42190</v>
      </c>
      <c r="U3015" t="s">
        <v>45246</v>
      </c>
      <c r="W3015" t="s">
        <v>37208</v>
      </c>
      <c r="X3015" t="s">
        <v>40440</v>
      </c>
    </row>
    <row r="3016" spans="1:24">
      <c r="A3016">
        <f>HYPERLINK("https://www.philgeps.gov.ph/GEPSNONPILOT/Tender/SplashBidNoticeAbstractUI.aspx?menuIndex=3&amp;refID=7044858&amp;Result=3","7044858")</f>
        <v>0</v>
      </c>
      <c r="B3016" t="s">
        <v>488</v>
      </c>
      <c r="C3016" t="s">
        <v>5973</v>
      </c>
      <c r="D3016" t="s">
        <v>16193</v>
      </c>
      <c r="E3016" t="s">
        <v>19018</v>
      </c>
      <c r="F3016" t="s">
        <v>28198</v>
      </c>
      <c r="G3016" t="s">
        <v>28205</v>
      </c>
      <c r="H3016" t="s">
        <v>28214</v>
      </c>
      <c r="I3016" t="s">
        <v>3797</v>
      </c>
      <c r="J3016" t="s">
        <v>30375</v>
      </c>
      <c r="K3016" t="s">
        <v>36689</v>
      </c>
      <c r="M3016" t="s">
        <v>37473</v>
      </c>
      <c r="N3016" t="s">
        <v>40436</v>
      </c>
      <c r="O3016" t="s">
        <v>40437</v>
      </c>
      <c r="P3016">
        <v>0</v>
      </c>
      <c r="Q3016">
        <v>0</v>
      </c>
      <c r="R3016" t="s">
        <v>40439</v>
      </c>
      <c r="S3016" t="s">
        <v>40588</v>
      </c>
      <c r="T3016" t="s">
        <v>42346</v>
      </c>
      <c r="U3016" t="s">
        <v>45247</v>
      </c>
      <c r="W3016" t="s">
        <v>37473</v>
      </c>
      <c r="X3016" t="s">
        <v>40440</v>
      </c>
    </row>
    <row r="3017" spans="1:24">
      <c r="A3017">
        <f>HYPERLINK("https://www.philgeps.gov.ph/GEPSNONPILOT/Tender/SplashBidNoticeAbstractUI.aspx?menuIndex=3&amp;refID=7044863&amp;Result=3","7044863")</f>
        <v>0</v>
      </c>
      <c r="B3017" t="s">
        <v>595</v>
      </c>
      <c r="C3017" t="s">
        <v>5831</v>
      </c>
      <c r="D3017" t="s">
        <v>16222</v>
      </c>
      <c r="E3017" t="s">
        <v>19019</v>
      </c>
      <c r="F3017" t="s">
        <v>28198</v>
      </c>
      <c r="G3017" t="s">
        <v>28207</v>
      </c>
      <c r="H3017" t="s">
        <v>28217</v>
      </c>
      <c r="I3017" t="s">
        <v>3422</v>
      </c>
      <c r="J3017" t="s">
        <v>28430</v>
      </c>
      <c r="K3017" t="s">
        <v>36704</v>
      </c>
      <c r="M3017" t="s">
        <v>37584</v>
      </c>
      <c r="N3017" t="s">
        <v>40436</v>
      </c>
      <c r="O3017" t="s">
        <v>40437</v>
      </c>
      <c r="P3017">
        <v>0</v>
      </c>
      <c r="Q3017">
        <v>0</v>
      </c>
      <c r="R3017" t="s">
        <v>40439</v>
      </c>
      <c r="S3017" t="s">
        <v>40588</v>
      </c>
      <c r="T3017" t="s">
        <v>42203</v>
      </c>
      <c r="U3017" t="s">
        <v>45248</v>
      </c>
      <c r="W3017" t="s">
        <v>37584</v>
      </c>
      <c r="X3017" t="s">
        <v>40440</v>
      </c>
    </row>
    <row r="3018" spans="1:24">
      <c r="A3018">
        <f>HYPERLINK("https://www.philgeps.gov.ph/GEPSNONPILOT/Tender/SplashBidNoticeAbstractUI.aspx?menuIndex=3&amp;refID=7044860&amp;Result=3","7044860")</f>
        <v>0</v>
      </c>
      <c r="B3018" t="s">
        <v>846</v>
      </c>
      <c r="C3018" t="s">
        <v>5974</v>
      </c>
      <c r="D3018" t="s">
        <v>16217</v>
      </c>
      <c r="E3018" t="s">
        <v>19020</v>
      </c>
      <c r="F3018" t="s">
        <v>28198</v>
      </c>
      <c r="G3018" t="s">
        <v>28207</v>
      </c>
      <c r="H3018" t="s">
        <v>28215</v>
      </c>
      <c r="I3018" t="s">
        <v>28227</v>
      </c>
      <c r="J3018" t="s">
        <v>30376</v>
      </c>
      <c r="K3018" t="s">
        <v>36688</v>
      </c>
      <c r="M3018" t="s">
        <v>37858</v>
      </c>
      <c r="N3018" t="s">
        <v>40436</v>
      </c>
      <c r="O3018" t="s">
        <v>40437</v>
      </c>
      <c r="P3018">
        <v>0</v>
      </c>
      <c r="Q3018">
        <v>0</v>
      </c>
      <c r="R3018" t="s">
        <v>40439</v>
      </c>
      <c r="S3018" t="s">
        <v>40588</v>
      </c>
      <c r="T3018" t="s">
        <v>42216</v>
      </c>
      <c r="U3018" t="s">
        <v>45249</v>
      </c>
      <c r="W3018" t="s">
        <v>37858</v>
      </c>
      <c r="X3018" t="s">
        <v>40440</v>
      </c>
    </row>
    <row r="3019" spans="1:24">
      <c r="A3019">
        <f>HYPERLINK("https://www.philgeps.gov.ph/GEPSNONPILOT/Tender/SplashBidNoticeAbstractUI.aspx?menuIndex=3&amp;refID=7044842&amp;Result=3","7044842")</f>
        <v>0</v>
      </c>
      <c r="B3019" t="s">
        <v>1191</v>
      </c>
      <c r="C3019" t="s">
        <v>5975</v>
      </c>
      <c r="D3019" t="s">
        <v>16207</v>
      </c>
      <c r="E3019" t="s">
        <v>19021</v>
      </c>
      <c r="F3019" t="s">
        <v>28198</v>
      </c>
      <c r="G3019" t="s">
        <v>28207</v>
      </c>
      <c r="H3019" t="s">
        <v>28215</v>
      </c>
      <c r="I3019" t="s">
        <v>28227</v>
      </c>
      <c r="J3019" t="s">
        <v>30377</v>
      </c>
      <c r="K3019" t="s">
        <v>36688</v>
      </c>
      <c r="M3019" t="s">
        <v>38233</v>
      </c>
      <c r="N3019" t="s">
        <v>40436</v>
      </c>
      <c r="O3019" t="s">
        <v>40437</v>
      </c>
      <c r="P3019">
        <v>0</v>
      </c>
      <c r="Q3019">
        <v>0</v>
      </c>
      <c r="R3019" t="s">
        <v>40439</v>
      </c>
      <c r="S3019" t="s">
        <v>40588</v>
      </c>
      <c r="T3019" t="s">
        <v>42133</v>
      </c>
      <c r="U3019" t="s">
        <v>45250</v>
      </c>
      <c r="W3019" t="s">
        <v>38233</v>
      </c>
      <c r="X3019" t="s">
        <v>40440</v>
      </c>
    </row>
    <row r="3020" spans="1:24">
      <c r="A3020">
        <f>HYPERLINK("https://www.philgeps.gov.ph/GEPSNONPILOT/Tender/SplashBidNoticeAbstractUI.aspx?menuIndex=3&amp;refID=7044859&amp;Result=3","7044859")</f>
        <v>0</v>
      </c>
      <c r="B3020" t="s">
        <v>131</v>
      </c>
      <c r="C3020" t="s">
        <v>5976</v>
      </c>
      <c r="D3020" t="s">
        <v>16237</v>
      </c>
      <c r="E3020" t="s">
        <v>19022</v>
      </c>
      <c r="F3020" t="s">
        <v>28198</v>
      </c>
      <c r="G3020" t="s">
        <v>28205</v>
      </c>
      <c r="H3020" t="s">
        <v>28214</v>
      </c>
      <c r="I3020" t="s">
        <v>3797</v>
      </c>
      <c r="J3020" t="s">
        <v>28393</v>
      </c>
      <c r="K3020" t="s">
        <v>36715</v>
      </c>
      <c r="M3020" t="s">
        <v>37105</v>
      </c>
      <c r="N3020" t="s">
        <v>40436</v>
      </c>
      <c r="O3020" t="s">
        <v>40437</v>
      </c>
      <c r="P3020">
        <v>0</v>
      </c>
      <c r="Q3020">
        <v>0</v>
      </c>
      <c r="R3020" t="s">
        <v>40439</v>
      </c>
      <c r="S3020" t="s">
        <v>40588</v>
      </c>
      <c r="T3020" t="s">
        <v>42102</v>
      </c>
      <c r="U3020" t="s">
        <v>45251</v>
      </c>
      <c r="V3020" t="s">
        <v>54108</v>
      </c>
      <c r="W3020" t="s">
        <v>37105</v>
      </c>
      <c r="X3020" t="s">
        <v>40440</v>
      </c>
    </row>
    <row r="3021" spans="1:24">
      <c r="A3021">
        <f>HYPERLINK("https://www.philgeps.gov.ph/GEPSNONPILOT/Tender/SplashBidNoticeAbstractUI.aspx?menuIndex=3&amp;refID=7044861&amp;Result=3","7044861")</f>
        <v>0</v>
      </c>
      <c r="B3021" t="s">
        <v>1192</v>
      </c>
      <c r="C3021" t="s">
        <v>5977</v>
      </c>
      <c r="D3021" t="s">
        <v>16274</v>
      </c>
      <c r="E3021" t="s">
        <v>19023</v>
      </c>
      <c r="F3021" t="s">
        <v>28198</v>
      </c>
      <c r="G3021" t="s">
        <v>28205</v>
      </c>
      <c r="H3021" t="s">
        <v>28214</v>
      </c>
      <c r="I3021" t="s">
        <v>5100</v>
      </c>
      <c r="J3021" t="s">
        <v>30378</v>
      </c>
      <c r="K3021" t="s">
        <v>36703</v>
      </c>
      <c r="M3021" t="s">
        <v>38234</v>
      </c>
      <c r="N3021" t="s">
        <v>40436</v>
      </c>
      <c r="O3021" t="s">
        <v>40437</v>
      </c>
      <c r="P3021">
        <v>0</v>
      </c>
      <c r="Q3021">
        <v>0</v>
      </c>
      <c r="R3021" t="s">
        <v>40439</v>
      </c>
      <c r="S3021" t="s">
        <v>40588</v>
      </c>
      <c r="T3021" t="s">
        <v>42152</v>
      </c>
      <c r="U3021" t="s">
        <v>45252</v>
      </c>
      <c r="W3021" t="s">
        <v>38234</v>
      </c>
      <c r="X3021" t="s">
        <v>40440</v>
      </c>
    </row>
    <row r="3022" spans="1:24">
      <c r="A3022">
        <f>HYPERLINK("https://www.philgeps.gov.ph/GEPSNONPILOT/Tender/SplashBidNoticeAbstractUI.aspx?menuIndex=3&amp;refID=7044867&amp;Result=3","7044867")</f>
        <v>0</v>
      </c>
      <c r="B3022" t="s">
        <v>232</v>
      </c>
      <c r="C3022" t="s">
        <v>5978</v>
      </c>
      <c r="D3022" t="s">
        <v>16244</v>
      </c>
      <c r="E3022" t="s">
        <v>19024</v>
      </c>
      <c r="F3022" t="s">
        <v>28198</v>
      </c>
      <c r="G3022" t="s">
        <v>28207</v>
      </c>
      <c r="H3022" t="s">
        <v>28215</v>
      </c>
      <c r="I3022" t="s">
        <v>4321</v>
      </c>
      <c r="J3022" t="s">
        <v>30379</v>
      </c>
      <c r="K3022" t="s">
        <v>36696</v>
      </c>
      <c r="M3022" t="s">
        <v>37208</v>
      </c>
      <c r="N3022" t="s">
        <v>40436</v>
      </c>
      <c r="O3022" t="s">
        <v>40437</v>
      </c>
      <c r="P3022">
        <v>0</v>
      </c>
      <c r="Q3022">
        <v>2</v>
      </c>
      <c r="R3022" t="s">
        <v>40439</v>
      </c>
      <c r="S3022" t="s">
        <v>40588</v>
      </c>
      <c r="T3022" t="s">
        <v>42190</v>
      </c>
      <c r="U3022" t="s">
        <v>45253</v>
      </c>
      <c r="W3022" t="s">
        <v>37208</v>
      </c>
      <c r="X3022" t="s">
        <v>40440</v>
      </c>
    </row>
    <row r="3023" spans="1:24">
      <c r="A3023">
        <f>HYPERLINK("https://www.philgeps.gov.ph/GEPSNONPILOT/Tender/SplashBidNoticeAbstractUI.aspx?menuIndex=3&amp;refID=7044882&amp;Result=3","7044882")</f>
        <v>0</v>
      </c>
      <c r="B3023" t="s">
        <v>1161</v>
      </c>
      <c r="C3023" t="s">
        <v>5979</v>
      </c>
      <c r="D3023" t="s">
        <v>16228</v>
      </c>
      <c r="E3023" t="s">
        <v>18071</v>
      </c>
      <c r="F3023" t="s">
        <v>28198</v>
      </c>
      <c r="G3023" t="s">
        <v>28205</v>
      </c>
      <c r="H3023" t="s">
        <v>28214</v>
      </c>
      <c r="I3023" t="s">
        <v>3797</v>
      </c>
      <c r="J3023" t="s">
        <v>28623</v>
      </c>
      <c r="K3023" t="s">
        <v>36697</v>
      </c>
      <c r="M3023" t="s">
        <v>38201</v>
      </c>
      <c r="N3023" t="s">
        <v>40436</v>
      </c>
      <c r="O3023" t="s">
        <v>40437</v>
      </c>
      <c r="P3023">
        <v>0</v>
      </c>
      <c r="Q3023">
        <v>0</v>
      </c>
      <c r="R3023" t="s">
        <v>40439</v>
      </c>
      <c r="S3023" t="s">
        <v>40588</v>
      </c>
      <c r="T3023" t="s">
        <v>42164</v>
      </c>
      <c r="U3023" t="s">
        <v>45254</v>
      </c>
      <c r="W3023" t="s">
        <v>38201</v>
      </c>
      <c r="X3023" t="s">
        <v>40440</v>
      </c>
    </row>
    <row r="3024" spans="1:24">
      <c r="A3024">
        <f>HYPERLINK("https://www.philgeps.gov.ph/GEPSNONPILOT/Tender/SplashBidNoticeAbstractUI.aspx?menuIndex=3&amp;refID=7044881&amp;Result=3","7044881")</f>
        <v>0</v>
      </c>
      <c r="B3024" t="s">
        <v>386</v>
      </c>
      <c r="C3024" t="s">
        <v>5980</v>
      </c>
      <c r="D3024" t="s">
        <v>16259</v>
      </c>
      <c r="E3024" t="s">
        <v>19025</v>
      </c>
      <c r="F3024" t="s">
        <v>28198</v>
      </c>
      <c r="G3024" t="s">
        <v>28205</v>
      </c>
      <c r="H3024" t="s">
        <v>28214</v>
      </c>
      <c r="I3024" t="s">
        <v>3797</v>
      </c>
      <c r="J3024" t="s">
        <v>30380</v>
      </c>
      <c r="K3024" t="s">
        <v>36785</v>
      </c>
      <c r="M3024" t="s">
        <v>37366</v>
      </c>
      <c r="N3024" t="s">
        <v>40436</v>
      </c>
      <c r="O3024" t="s">
        <v>40437</v>
      </c>
      <c r="P3024">
        <v>0</v>
      </c>
      <c r="Q3024">
        <v>0</v>
      </c>
      <c r="R3024" t="s">
        <v>40439</v>
      </c>
      <c r="S3024" t="s">
        <v>40588</v>
      </c>
      <c r="T3024" t="s">
        <v>42123</v>
      </c>
      <c r="U3024" t="s">
        <v>45255</v>
      </c>
      <c r="V3024" t="s">
        <v>53872</v>
      </c>
      <c r="W3024" t="s">
        <v>37366</v>
      </c>
      <c r="X3024" t="s">
        <v>40440</v>
      </c>
    </row>
    <row r="3025" spans="1:24">
      <c r="A3025">
        <f>HYPERLINK("https://www.philgeps.gov.ph/GEPSNONPILOT/Tender/SplashBidNoticeAbstractUI.aspx?menuIndex=3&amp;refID=7044878&amp;Result=3","7044878")</f>
        <v>0</v>
      </c>
      <c r="B3025" t="s">
        <v>1186</v>
      </c>
      <c r="C3025" t="s">
        <v>5981</v>
      </c>
      <c r="D3025" t="s">
        <v>16199</v>
      </c>
      <c r="E3025" t="s">
        <v>17763</v>
      </c>
      <c r="F3025" t="s">
        <v>28198</v>
      </c>
      <c r="G3025" t="s">
        <v>28207</v>
      </c>
      <c r="H3025" t="s">
        <v>28215</v>
      </c>
      <c r="I3025" t="s">
        <v>5103</v>
      </c>
      <c r="J3025" t="s">
        <v>28406</v>
      </c>
      <c r="K3025" t="s">
        <v>36691</v>
      </c>
      <c r="M3025" t="s">
        <v>38228</v>
      </c>
      <c r="N3025" t="s">
        <v>40436</v>
      </c>
      <c r="O3025" t="s">
        <v>40437</v>
      </c>
      <c r="P3025">
        <v>0</v>
      </c>
      <c r="Q3025">
        <v>5</v>
      </c>
      <c r="R3025" t="s">
        <v>40439</v>
      </c>
      <c r="S3025" t="s">
        <v>40588</v>
      </c>
      <c r="T3025" t="s">
        <v>42158</v>
      </c>
      <c r="U3025" t="s">
        <v>45256</v>
      </c>
      <c r="W3025" t="s">
        <v>38228</v>
      </c>
      <c r="X3025" t="s">
        <v>40440</v>
      </c>
    </row>
    <row r="3026" spans="1:24">
      <c r="A3026">
        <f>HYPERLINK("https://www.philgeps.gov.ph/GEPSNONPILOT/Tender/SplashBidNoticeAbstractUI.aspx?menuIndex=3&amp;refID=7044888&amp;Result=3","7044888")</f>
        <v>0</v>
      </c>
      <c r="B3026" t="s">
        <v>1193</v>
      </c>
      <c r="C3026" t="s">
        <v>5982</v>
      </c>
      <c r="D3026" t="s">
        <v>16247</v>
      </c>
      <c r="E3026" t="s">
        <v>16473</v>
      </c>
      <c r="F3026" t="s">
        <v>28198</v>
      </c>
      <c r="G3026" t="s">
        <v>28205</v>
      </c>
      <c r="H3026" t="s">
        <v>28215</v>
      </c>
      <c r="I3026" t="s">
        <v>4168</v>
      </c>
      <c r="J3026" t="s">
        <v>28530</v>
      </c>
      <c r="K3026" t="s">
        <v>36688</v>
      </c>
      <c r="M3026" t="s">
        <v>38235</v>
      </c>
      <c r="N3026" t="s">
        <v>40436</v>
      </c>
      <c r="O3026" t="s">
        <v>40437</v>
      </c>
      <c r="P3026">
        <v>0</v>
      </c>
      <c r="Q3026">
        <v>4</v>
      </c>
      <c r="R3026" t="s">
        <v>40439</v>
      </c>
      <c r="S3026" t="s">
        <v>40588</v>
      </c>
      <c r="T3026" t="s">
        <v>42133</v>
      </c>
      <c r="U3026" t="s">
        <v>45257</v>
      </c>
      <c r="W3026" t="s">
        <v>38235</v>
      </c>
      <c r="X3026" t="s">
        <v>40440</v>
      </c>
    </row>
    <row r="3027" spans="1:24">
      <c r="A3027">
        <f>HYPERLINK("https://www.philgeps.gov.ph/GEPSNONPILOT/Tender/SplashBidNoticeAbstractUI.aspx?menuIndex=3&amp;refID=7044877&amp;Result=3","7044877")</f>
        <v>0</v>
      </c>
      <c r="B3027" t="s">
        <v>1063</v>
      </c>
      <c r="C3027" t="s">
        <v>5983</v>
      </c>
      <c r="D3027" t="s">
        <v>16188</v>
      </c>
      <c r="E3027" t="s">
        <v>5983</v>
      </c>
      <c r="F3027" t="s">
        <v>28198</v>
      </c>
      <c r="G3027" t="s">
        <v>28207</v>
      </c>
      <c r="H3027" t="s">
        <v>28215</v>
      </c>
      <c r="I3027" t="s">
        <v>28281</v>
      </c>
      <c r="J3027" t="s">
        <v>28406</v>
      </c>
      <c r="K3027" t="s">
        <v>36689</v>
      </c>
      <c r="M3027" t="s">
        <v>38096</v>
      </c>
      <c r="N3027" t="s">
        <v>40436</v>
      </c>
      <c r="O3027" t="s">
        <v>40437</v>
      </c>
      <c r="P3027">
        <v>0</v>
      </c>
      <c r="Q3027">
        <v>2</v>
      </c>
      <c r="R3027" t="s">
        <v>40439</v>
      </c>
      <c r="S3027" t="s">
        <v>40588</v>
      </c>
      <c r="T3027" t="s">
        <v>42318</v>
      </c>
      <c r="U3027" t="s">
        <v>45258</v>
      </c>
      <c r="W3027" t="s">
        <v>38096</v>
      </c>
      <c r="X3027" t="s">
        <v>40440</v>
      </c>
    </row>
    <row r="3028" spans="1:24">
      <c r="A3028">
        <f>HYPERLINK("https://www.philgeps.gov.ph/GEPSNONPILOT/Tender/SplashBidNoticeAbstractUI.aspx?menuIndex=3&amp;refID=7044879&amp;Result=3","7044879")</f>
        <v>0</v>
      </c>
      <c r="B3028" t="s">
        <v>422</v>
      </c>
      <c r="C3028" t="s">
        <v>3676</v>
      </c>
      <c r="D3028" t="s">
        <v>16203</v>
      </c>
      <c r="E3028" t="s">
        <v>19026</v>
      </c>
      <c r="F3028" t="s">
        <v>28198</v>
      </c>
      <c r="G3028" t="s">
        <v>28210</v>
      </c>
      <c r="H3028" t="s">
        <v>28215</v>
      </c>
      <c r="I3028" t="s">
        <v>5082</v>
      </c>
      <c r="J3028" t="s">
        <v>30381</v>
      </c>
      <c r="K3028" t="s">
        <v>36689</v>
      </c>
      <c r="M3028" t="s">
        <v>37404</v>
      </c>
      <c r="N3028" t="s">
        <v>40436</v>
      </c>
      <c r="O3028" t="s">
        <v>40437</v>
      </c>
      <c r="P3028">
        <v>0</v>
      </c>
      <c r="Q3028">
        <v>3</v>
      </c>
      <c r="R3028" t="s">
        <v>40439</v>
      </c>
      <c r="S3028" t="s">
        <v>40588</v>
      </c>
      <c r="T3028" t="s">
        <v>42131</v>
      </c>
      <c r="U3028" t="s">
        <v>45259</v>
      </c>
      <c r="W3028" t="s">
        <v>37404</v>
      </c>
      <c r="X3028" t="s">
        <v>40440</v>
      </c>
    </row>
    <row r="3029" spans="1:24">
      <c r="A3029">
        <f>HYPERLINK("https://www.philgeps.gov.ph/GEPSNONPILOT/Tender/SplashBidNoticeAbstractUI.aspx?menuIndex=3&amp;refID=7044876&amp;Result=3","7044876")</f>
        <v>0</v>
      </c>
      <c r="B3029" t="s">
        <v>501</v>
      </c>
      <c r="C3029" t="s">
        <v>5984</v>
      </c>
      <c r="D3029" t="s">
        <v>16210</v>
      </c>
      <c r="E3029" t="s">
        <v>19027</v>
      </c>
      <c r="F3029" t="s">
        <v>28198</v>
      </c>
      <c r="G3029" t="s">
        <v>28207</v>
      </c>
      <c r="H3029" t="s">
        <v>28215</v>
      </c>
      <c r="I3029" t="s">
        <v>28232</v>
      </c>
      <c r="J3029" t="s">
        <v>29628</v>
      </c>
      <c r="K3029" t="s">
        <v>36688</v>
      </c>
      <c r="M3029" t="s">
        <v>38236</v>
      </c>
      <c r="N3029" t="s">
        <v>40436</v>
      </c>
      <c r="O3029" t="s">
        <v>40437</v>
      </c>
      <c r="P3029">
        <v>0</v>
      </c>
      <c r="Q3029">
        <v>0</v>
      </c>
      <c r="R3029" t="s">
        <v>40439</v>
      </c>
      <c r="S3029" t="s">
        <v>40588</v>
      </c>
      <c r="T3029" t="s">
        <v>42188</v>
      </c>
      <c r="U3029" t="s">
        <v>45260</v>
      </c>
      <c r="W3029" t="s">
        <v>38236</v>
      </c>
      <c r="X3029" t="s">
        <v>40440</v>
      </c>
    </row>
    <row r="3030" spans="1:24">
      <c r="A3030">
        <f>HYPERLINK("https://www.philgeps.gov.ph/GEPSNONPILOT/Tender/SplashBidNoticeAbstractUI.aspx?menuIndex=3&amp;refID=7044884&amp;Result=3","7044884")</f>
        <v>0</v>
      </c>
      <c r="B3030" t="s">
        <v>660</v>
      </c>
      <c r="C3030" t="s">
        <v>5985</v>
      </c>
      <c r="D3030" t="s">
        <v>16188</v>
      </c>
      <c r="E3030" t="s">
        <v>19028</v>
      </c>
      <c r="F3030" t="s">
        <v>28198</v>
      </c>
      <c r="G3030" t="s">
        <v>28206</v>
      </c>
      <c r="H3030" t="s">
        <v>28215</v>
      </c>
      <c r="I3030" t="s">
        <v>5082</v>
      </c>
      <c r="J3030" t="s">
        <v>28373</v>
      </c>
      <c r="K3030" t="s">
        <v>36689</v>
      </c>
      <c r="M3030" t="s">
        <v>37656</v>
      </c>
      <c r="N3030" t="s">
        <v>40436</v>
      </c>
      <c r="O3030" t="s">
        <v>40437</v>
      </c>
      <c r="P3030">
        <v>0</v>
      </c>
      <c r="Q3030">
        <v>1</v>
      </c>
      <c r="R3030" t="s">
        <v>40439</v>
      </c>
      <c r="S3030" t="s">
        <v>40588</v>
      </c>
      <c r="T3030" t="s">
        <v>42228</v>
      </c>
      <c r="U3030" t="s">
        <v>45018</v>
      </c>
      <c r="W3030" t="s">
        <v>37656</v>
      </c>
      <c r="X3030" t="s">
        <v>40440</v>
      </c>
    </row>
    <row r="3031" spans="1:24">
      <c r="A3031">
        <f>HYPERLINK("https://www.philgeps.gov.ph/GEPSNONPILOT/Tender/SplashBidNoticeAbstractUI.aspx?menuIndex=3&amp;refID=7044871&amp;Result=3","7044871")</f>
        <v>0</v>
      </c>
      <c r="B3031" t="s">
        <v>377</v>
      </c>
      <c r="C3031" t="s">
        <v>5986</v>
      </c>
      <c r="D3031" t="s">
        <v>16204</v>
      </c>
      <c r="E3031" t="s">
        <v>19029</v>
      </c>
      <c r="F3031" t="s">
        <v>28198</v>
      </c>
      <c r="G3031" t="s">
        <v>28207</v>
      </c>
      <c r="H3031" t="s">
        <v>28214</v>
      </c>
      <c r="I3031" t="s">
        <v>3797</v>
      </c>
      <c r="J3031" t="s">
        <v>30382</v>
      </c>
      <c r="K3031" t="s">
        <v>36689</v>
      </c>
      <c r="L3031" t="s">
        <v>377</v>
      </c>
      <c r="M3031" t="s">
        <v>38237</v>
      </c>
      <c r="N3031" t="s">
        <v>40436</v>
      </c>
      <c r="O3031" t="s">
        <v>40437</v>
      </c>
      <c r="P3031">
        <v>0</v>
      </c>
      <c r="Q3031">
        <v>2</v>
      </c>
      <c r="R3031" t="s">
        <v>40439</v>
      </c>
      <c r="S3031" t="s">
        <v>40588</v>
      </c>
      <c r="T3031" t="s">
        <v>42169</v>
      </c>
      <c r="U3031" t="s">
        <v>43254</v>
      </c>
      <c r="W3031" t="s">
        <v>38237</v>
      </c>
      <c r="X3031" t="s">
        <v>40440</v>
      </c>
    </row>
    <row r="3032" spans="1:24">
      <c r="A3032">
        <f>HYPERLINK("https://www.philgeps.gov.ph/GEPSNONPILOT/Tender/SplashBidNoticeAbstractUI.aspx?menuIndex=3&amp;refID=7044883&amp;Result=3","7044883")</f>
        <v>0</v>
      </c>
      <c r="B3032" t="s">
        <v>232</v>
      </c>
      <c r="C3032" t="s">
        <v>5987</v>
      </c>
      <c r="D3032" t="s">
        <v>16244</v>
      </c>
      <c r="E3032" t="s">
        <v>19030</v>
      </c>
      <c r="F3032" t="s">
        <v>28198</v>
      </c>
      <c r="G3032" t="s">
        <v>28207</v>
      </c>
      <c r="H3032" t="s">
        <v>28215</v>
      </c>
      <c r="I3032" t="s">
        <v>5082</v>
      </c>
      <c r="J3032" t="s">
        <v>30383</v>
      </c>
      <c r="K3032" t="s">
        <v>36696</v>
      </c>
      <c r="M3032" t="s">
        <v>37208</v>
      </c>
      <c r="N3032" t="s">
        <v>40436</v>
      </c>
      <c r="O3032" t="s">
        <v>40437</v>
      </c>
      <c r="P3032">
        <v>0</v>
      </c>
      <c r="Q3032">
        <v>0</v>
      </c>
      <c r="R3032" t="s">
        <v>40439</v>
      </c>
      <c r="S3032" t="s">
        <v>40588</v>
      </c>
      <c r="T3032" t="s">
        <v>42190</v>
      </c>
      <c r="U3032" t="s">
        <v>45261</v>
      </c>
      <c r="W3032" t="s">
        <v>37208</v>
      </c>
      <c r="X3032" t="s">
        <v>40440</v>
      </c>
    </row>
    <row r="3033" spans="1:24">
      <c r="A3033">
        <f>HYPERLINK("https://www.philgeps.gov.ph/GEPSNONPILOT/Tender/SplashBidNoticeAbstractUI.aspx?menuIndex=3&amp;refID=7044870&amp;Result=3","7044870")</f>
        <v>0</v>
      </c>
      <c r="B3033" t="s">
        <v>1194</v>
      </c>
      <c r="C3033" t="s">
        <v>5988</v>
      </c>
      <c r="D3033" t="s">
        <v>16258</v>
      </c>
      <c r="E3033" t="s">
        <v>18361</v>
      </c>
      <c r="F3033" t="s">
        <v>28198</v>
      </c>
      <c r="G3033" t="s">
        <v>28209</v>
      </c>
      <c r="H3033" t="s">
        <v>28215</v>
      </c>
      <c r="I3033" t="s">
        <v>28239</v>
      </c>
      <c r="J3033" t="s">
        <v>28414</v>
      </c>
      <c r="K3033" t="s">
        <v>36689</v>
      </c>
      <c r="M3033" t="s">
        <v>38238</v>
      </c>
      <c r="N3033" t="s">
        <v>40436</v>
      </c>
      <c r="O3033" t="s">
        <v>40437</v>
      </c>
      <c r="P3033">
        <v>0</v>
      </c>
      <c r="Q3033">
        <v>0</v>
      </c>
      <c r="R3033" t="s">
        <v>40439</v>
      </c>
      <c r="S3033" t="s">
        <v>40588</v>
      </c>
      <c r="T3033" t="s">
        <v>42129</v>
      </c>
      <c r="U3033" t="s">
        <v>45262</v>
      </c>
      <c r="W3033" t="s">
        <v>38238</v>
      </c>
      <c r="X3033" t="s">
        <v>40440</v>
      </c>
    </row>
    <row r="3034" spans="1:24">
      <c r="A3034">
        <f>HYPERLINK("https://www.philgeps.gov.ph/GEPSNONPILOT/Tender/SplashBidNoticeAbstractUI.aspx?menuIndex=3&amp;refID=7044874&amp;Result=3","7044874")</f>
        <v>0</v>
      </c>
      <c r="B3034" t="s">
        <v>1195</v>
      </c>
      <c r="C3034" t="s">
        <v>5989</v>
      </c>
      <c r="D3034" t="s">
        <v>16252</v>
      </c>
      <c r="E3034" t="s">
        <v>19031</v>
      </c>
      <c r="F3034" t="s">
        <v>28198</v>
      </c>
      <c r="G3034" t="s">
        <v>28207</v>
      </c>
      <c r="H3034" t="s">
        <v>28215</v>
      </c>
      <c r="I3034" t="s">
        <v>28274</v>
      </c>
      <c r="J3034" t="s">
        <v>30384</v>
      </c>
      <c r="K3034" t="s">
        <v>36792</v>
      </c>
      <c r="M3034" t="s">
        <v>38239</v>
      </c>
      <c r="N3034" t="s">
        <v>40436</v>
      </c>
      <c r="O3034" t="s">
        <v>40437</v>
      </c>
      <c r="P3034">
        <v>0</v>
      </c>
      <c r="Q3034">
        <v>0</v>
      </c>
      <c r="R3034" t="s">
        <v>40439</v>
      </c>
      <c r="S3034" t="s">
        <v>40588</v>
      </c>
      <c r="T3034" t="s">
        <v>42158</v>
      </c>
      <c r="U3034" t="s">
        <v>45263</v>
      </c>
      <c r="W3034" t="s">
        <v>38239</v>
      </c>
      <c r="X3034" t="s">
        <v>40440</v>
      </c>
    </row>
    <row r="3035" spans="1:24">
      <c r="A3035">
        <f>HYPERLINK("https://www.philgeps.gov.ph/GEPSNONPILOT/Tender/SplashBidNoticeAbstractUI.aspx?menuIndex=3&amp;refID=7044891&amp;Result=3","7044891")</f>
        <v>0</v>
      </c>
      <c r="B3035" t="s">
        <v>1196</v>
      </c>
      <c r="C3035" t="s">
        <v>5990</v>
      </c>
      <c r="D3035" t="s">
        <v>16188</v>
      </c>
      <c r="E3035" t="s">
        <v>19032</v>
      </c>
      <c r="F3035" t="s">
        <v>28198</v>
      </c>
      <c r="G3035" t="s">
        <v>28207</v>
      </c>
      <c r="H3035" t="s">
        <v>28215</v>
      </c>
      <c r="I3035" t="s">
        <v>4200</v>
      </c>
      <c r="J3035" t="s">
        <v>28589</v>
      </c>
      <c r="K3035" t="s">
        <v>36687</v>
      </c>
      <c r="M3035" t="s">
        <v>38240</v>
      </c>
      <c r="N3035" t="s">
        <v>40436</v>
      </c>
      <c r="O3035" t="s">
        <v>40437</v>
      </c>
      <c r="P3035">
        <v>0</v>
      </c>
      <c r="Q3035">
        <v>0</v>
      </c>
      <c r="R3035" t="s">
        <v>40439</v>
      </c>
      <c r="S3035" t="s">
        <v>40588</v>
      </c>
      <c r="T3035" t="s">
        <v>42177</v>
      </c>
      <c r="U3035" t="s">
        <v>45264</v>
      </c>
      <c r="W3035" t="s">
        <v>38240</v>
      </c>
      <c r="X3035" t="s">
        <v>40440</v>
      </c>
    </row>
    <row r="3036" spans="1:24">
      <c r="A3036">
        <f>HYPERLINK("https://www.philgeps.gov.ph/GEPSNONPILOT/Tender/SplashBidNoticeAbstractUI.aspx?menuIndex=3&amp;refID=7044890&amp;Result=3","7044890")</f>
        <v>0</v>
      </c>
      <c r="B3036" t="s">
        <v>747</v>
      </c>
      <c r="C3036" t="s">
        <v>5991</v>
      </c>
      <c r="D3036" t="s">
        <v>16264</v>
      </c>
      <c r="E3036" t="s">
        <v>19033</v>
      </c>
      <c r="F3036" t="s">
        <v>28198</v>
      </c>
      <c r="G3036" t="s">
        <v>28207</v>
      </c>
      <c r="H3036" t="s">
        <v>28215</v>
      </c>
      <c r="I3036" t="s">
        <v>3422</v>
      </c>
      <c r="J3036" t="s">
        <v>30385</v>
      </c>
      <c r="K3036" t="s">
        <v>36743</v>
      </c>
      <c r="M3036" t="s">
        <v>38241</v>
      </c>
      <c r="N3036" t="s">
        <v>40436</v>
      </c>
      <c r="O3036" t="s">
        <v>40437</v>
      </c>
      <c r="P3036">
        <v>0</v>
      </c>
      <c r="Q3036">
        <v>0</v>
      </c>
      <c r="R3036" t="s">
        <v>40439</v>
      </c>
      <c r="S3036" t="s">
        <v>40588</v>
      </c>
      <c r="T3036" t="s">
        <v>42190</v>
      </c>
      <c r="U3036" t="s">
        <v>45265</v>
      </c>
      <c r="W3036" t="s">
        <v>38241</v>
      </c>
      <c r="X3036" t="s">
        <v>40440</v>
      </c>
    </row>
    <row r="3037" spans="1:24">
      <c r="A3037">
        <f>HYPERLINK("https://www.philgeps.gov.ph/GEPSNONPILOT/Tender/SplashBidNoticeAbstractUI.aspx?menuIndex=3&amp;refID=7044865&amp;Result=3","7044865")</f>
        <v>0</v>
      </c>
      <c r="B3037" t="s">
        <v>242</v>
      </c>
      <c r="C3037" t="s">
        <v>5992</v>
      </c>
      <c r="D3037" t="s">
        <v>16254</v>
      </c>
      <c r="E3037" t="s">
        <v>19034</v>
      </c>
      <c r="F3037" t="s">
        <v>28198</v>
      </c>
      <c r="G3037" t="s">
        <v>28207</v>
      </c>
      <c r="H3037" t="s">
        <v>28215</v>
      </c>
      <c r="I3037" t="s">
        <v>4168</v>
      </c>
      <c r="J3037" t="s">
        <v>30386</v>
      </c>
      <c r="K3037" t="s">
        <v>36707</v>
      </c>
      <c r="M3037" t="s">
        <v>37218</v>
      </c>
      <c r="N3037" t="s">
        <v>40436</v>
      </c>
      <c r="O3037" t="s">
        <v>40437</v>
      </c>
      <c r="P3037">
        <v>0</v>
      </c>
      <c r="Q3037">
        <v>0</v>
      </c>
      <c r="R3037" t="s">
        <v>40439</v>
      </c>
      <c r="S3037" t="s">
        <v>40588</v>
      </c>
      <c r="T3037" t="s">
        <v>42129</v>
      </c>
      <c r="U3037" t="s">
        <v>45266</v>
      </c>
      <c r="W3037" t="s">
        <v>37218</v>
      </c>
      <c r="X3037" t="s">
        <v>40440</v>
      </c>
    </row>
    <row r="3038" spans="1:24">
      <c r="A3038">
        <f>HYPERLINK("https://www.philgeps.gov.ph/GEPSNONPILOT/Tender/SplashBidNoticeAbstractUI.aspx?menuIndex=3&amp;refID=7044868&amp;Result=3","7044868")</f>
        <v>0</v>
      </c>
      <c r="B3038" t="s">
        <v>1197</v>
      </c>
      <c r="C3038" t="s">
        <v>5993</v>
      </c>
      <c r="D3038" t="s">
        <v>16256</v>
      </c>
      <c r="E3038" t="s">
        <v>19035</v>
      </c>
      <c r="F3038" t="s">
        <v>28198</v>
      </c>
      <c r="G3038" t="s">
        <v>28206</v>
      </c>
      <c r="H3038" t="s">
        <v>28215</v>
      </c>
      <c r="I3038" t="s">
        <v>5082</v>
      </c>
      <c r="J3038" t="s">
        <v>30387</v>
      </c>
      <c r="K3038" t="s">
        <v>36706</v>
      </c>
      <c r="M3038" t="s">
        <v>38242</v>
      </c>
      <c r="N3038" t="s">
        <v>40436</v>
      </c>
      <c r="O3038" t="s">
        <v>40437</v>
      </c>
      <c r="P3038">
        <v>0</v>
      </c>
      <c r="Q3038">
        <v>1</v>
      </c>
      <c r="R3038" t="s">
        <v>40439</v>
      </c>
      <c r="S3038" t="s">
        <v>40588</v>
      </c>
      <c r="T3038" t="s">
        <v>42163</v>
      </c>
      <c r="U3038" t="s">
        <v>45267</v>
      </c>
      <c r="W3038" t="s">
        <v>38242</v>
      </c>
      <c r="X3038" t="s">
        <v>40440</v>
      </c>
    </row>
    <row r="3039" spans="1:24">
      <c r="A3039">
        <f>HYPERLINK("https://www.philgeps.gov.ph/GEPSNONPILOT/Tender/SplashBidNoticeAbstractUI.aspx?menuIndex=3&amp;refID=7044889&amp;Result=3","7044889")</f>
        <v>0</v>
      </c>
      <c r="B3039" t="s">
        <v>1181</v>
      </c>
      <c r="C3039" t="s">
        <v>5994</v>
      </c>
      <c r="D3039" t="s">
        <v>16210</v>
      </c>
      <c r="E3039" t="s">
        <v>18994</v>
      </c>
      <c r="F3039" t="s">
        <v>28198</v>
      </c>
      <c r="G3039" t="s">
        <v>28207</v>
      </c>
      <c r="H3039" t="s">
        <v>28215</v>
      </c>
      <c r="I3039" t="s">
        <v>5103</v>
      </c>
      <c r="J3039" t="s">
        <v>28378</v>
      </c>
      <c r="K3039" t="s">
        <v>36706</v>
      </c>
      <c r="M3039" t="s">
        <v>38223</v>
      </c>
      <c r="N3039" t="s">
        <v>40436</v>
      </c>
      <c r="O3039" t="s">
        <v>40437</v>
      </c>
      <c r="P3039">
        <v>0</v>
      </c>
      <c r="Q3039">
        <v>8</v>
      </c>
      <c r="R3039" t="s">
        <v>40439</v>
      </c>
      <c r="S3039" t="s">
        <v>40588</v>
      </c>
      <c r="T3039" t="s">
        <v>42119</v>
      </c>
      <c r="U3039" t="s">
        <v>45268</v>
      </c>
      <c r="W3039" t="s">
        <v>38223</v>
      </c>
      <c r="X3039" t="s">
        <v>40440</v>
      </c>
    </row>
    <row r="3040" spans="1:24">
      <c r="A3040">
        <f>HYPERLINK("https://www.philgeps.gov.ph/GEPSNONPILOT/Tender/SplashBidNoticeAbstractUI.aspx?menuIndex=3&amp;refID=7044908&amp;Result=3","7044908")</f>
        <v>0</v>
      </c>
      <c r="B3040" t="s">
        <v>1198</v>
      </c>
      <c r="C3040" t="s">
        <v>5995</v>
      </c>
      <c r="D3040" t="s">
        <v>16255</v>
      </c>
      <c r="E3040" t="s">
        <v>19036</v>
      </c>
      <c r="F3040" t="s">
        <v>28198</v>
      </c>
      <c r="G3040" t="s">
        <v>28207</v>
      </c>
      <c r="H3040" t="s">
        <v>28215</v>
      </c>
      <c r="I3040" t="s">
        <v>4200</v>
      </c>
      <c r="J3040" t="s">
        <v>30388</v>
      </c>
      <c r="K3040" t="s">
        <v>36707</v>
      </c>
      <c r="M3040" t="s">
        <v>38243</v>
      </c>
      <c r="N3040" t="s">
        <v>40436</v>
      </c>
      <c r="O3040" t="s">
        <v>40437</v>
      </c>
      <c r="P3040">
        <v>0</v>
      </c>
      <c r="Q3040">
        <v>0</v>
      </c>
      <c r="R3040" t="s">
        <v>40439</v>
      </c>
      <c r="S3040" t="s">
        <v>40588</v>
      </c>
      <c r="T3040" t="s">
        <v>42158</v>
      </c>
      <c r="U3040" t="s">
        <v>45269</v>
      </c>
      <c r="W3040" t="s">
        <v>38243</v>
      </c>
      <c r="X3040" t="s">
        <v>40440</v>
      </c>
    </row>
    <row r="3041" spans="1:24">
      <c r="A3041">
        <f>HYPERLINK("https://www.philgeps.gov.ph/GEPSNONPILOT/Tender/SplashBidNoticeAbstractUI.aspx?menuIndex=3&amp;refID=7044869&amp;Result=3","7044869")</f>
        <v>0</v>
      </c>
      <c r="B3041" t="s">
        <v>1199</v>
      </c>
      <c r="C3041" t="s">
        <v>5996</v>
      </c>
      <c r="D3041" t="s">
        <v>16210</v>
      </c>
      <c r="E3041" t="s">
        <v>16473</v>
      </c>
      <c r="F3041" t="s">
        <v>28198</v>
      </c>
      <c r="G3041" t="s">
        <v>28207</v>
      </c>
      <c r="H3041" t="s">
        <v>28215</v>
      </c>
      <c r="I3041" t="s">
        <v>28248</v>
      </c>
      <c r="J3041" t="s">
        <v>28414</v>
      </c>
      <c r="K3041" t="s">
        <v>36688</v>
      </c>
      <c r="M3041" t="s">
        <v>38244</v>
      </c>
      <c r="N3041" t="s">
        <v>40436</v>
      </c>
      <c r="O3041" t="s">
        <v>40437</v>
      </c>
      <c r="P3041">
        <v>0</v>
      </c>
      <c r="Q3041">
        <v>12</v>
      </c>
      <c r="R3041" t="s">
        <v>40439</v>
      </c>
      <c r="S3041" t="s">
        <v>40588</v>
      </c>
      <c r="T3041" t="s">
        <v>42161</v>
      </c>
      <c r="U3041" t="s">
        <v>45270</v>
      </c>
      <c r="W3041" t="s">
        <v>38244</v>
      </c>
      <c r="X3041" t="s">
        <v>40440</v>
      </c>
    </row>
    <row r="3042" spans="1:24">
      <c r="A3042">
        <f>HYPERLINK("https://www.philgeps.gov.ph/GEPSNONPILOT/Tender/SplashBidNoticeAbstractUI.aspx?menuIndex=3&amp;refID=7044896&amp;Result=3","7044896")</f>
        <v>0</v>
      </c>
      <c r="B3042" t="s">
        <v>701</v>
      </c>
      <c r="C3042" t="s">
        <v>5685</v>
      </c>
      <c r="D3042" t="s">
        <v>16254</v>
      </c>
      <c r="E3042" t="s">
        <v>19037</v>
      </c>
      <c r="F3042" t="s">
        <v>28198</v>
      </c>
      <c r="G3042" t="s">
        <v>28207</v>
      </c>
      <c r="H3042" t="s">
        <v>28215</v>
      </c>
      <c r="I3042" t="s">
        <v>28247</v>
      </c>
      <c r="J3042" t="s">
        <v>30389</v>
      </c>
      <c r="K3042" t="s">
        <v>36707</v>
      </c>
      <c r="M3042" t="s">
        <v>37701</v>
      </c>
      <c r="N3042" t="s">
        <v>40436</v>
      </c>
      <c r="O3042" t="s">
        <v>40437</v>
      </c>
      <c r="P3042">
        <v>0</v>
      </c>
      <c r="Q3042">
        <v>4</v>
      </c>
      <c r="R3042" t="s">
        <v>40439</v>
      </c>
      <c r="S3042" t="s">
        <v>40588</v>
      </c>
      <c r="T3042" t="s">
        <v>42131</v>
      </c>
      <c r="U3042" t="s">
        <v>45271</v>
      </c>
      <c r="V3042" t="s">
        <v>54085</v>
      </c>
      <c r="W3042" t="s">
        <v>37701</v>
      </c>
      <c r="X3042" t="s">
        <v>40440</v>
      </c>
    </row>
    <row r="3043" spans="1:24">
      <c r="A3043">
        <f>HYPERLINK("https://www.philgeps.gov.ph/GEPSNONPILOT/Tender/SplashBidNoticeAbstractUI.aspx?menuIndex=3&amp;refID=7044897&amp;Result=3","7044897")</f>
        <v>0</v>
      </c>
      <c r="B3043" t="s">
        <v>1200</v>
      </c>
      <c r="C3043" t="s">
        <v>5997</v>
      </c>
      <c r="D3043" t="s">
        <v>16244</v>
      </c>
      <c r="E3043" t="s">
        <v>19038</v>
      </c>
      <c r="F3043" t="s">
        <v>28198</v>
      </c>
      <c r="G3043" t="s">
        <v>28206</v>
      </c>
      <c r="H3043" t="s">
        <v>28215</v>
      </c>
      <c r="I3043" t="s">
        <v>5100</v>
      </c>
      <c r="J3043" t="s">
        <v>30390</v>
      </c>
      <c r="K3043" t="s">
        <v>36701</v>
      </c>
      <c r="M3043" t="s">
        <v>38245</v>
      </c>
      <c r="N3043" t="s">
        <v>40436</v>
      </c>
      <c r="O3043" t="s">
        <v>40437</v>
      </c>
      <c r="P3043">
        <v>0</v>
      </c>
      <c r="Q3043">
        <v>1</v>
      </c>
      <c r="R3043" t="s">
        <v>40439</v>
      </c>
      <c r="S3043" t="s">
        <v>40588</v>
      </c>
      <c r="T3043" t="s">
        <v>42188</v>
      </c>
      <c r="U3043" t="s">
        <v>45272</v>
      </c>
      <c r="W3043" t="s">
        <v>38245</v>
      </c>
      <c r="X3043" t="s">
        <v>40440</v>
      </c>
    </row>
    <row r="3044" spans="1:24">
      <c r="A3044">
        <f>HYPERLINK("https://www.philgeps.gov.ph/GEPSNONPILOT/Tender/SplashBidNoticeAbstractUI.aspx?menuIndex=3&amp;refID=7044909&amp;Result=3","7044909")</f>
        <v>0</v>
      </c>
      <c r="B3044" t="s">
        <v>1201</v>
      </c>
      <c r="C3044" t="s">
        <v>5998</v>
      </c>
      <c r="E3044" t="s">
        <v>19039</v>
      </c>
      <c r="F3044" t="s">
        <v>28198</v>
      </c>
      <c r="G3044" t="s">
        <v>28207</v>
      </c>
      <c r="H3044" t="s">
        <v>28215</v>
      </c>
      <c r="I3044" t="s">
        <v>4219</v>
      </c>
      <c r="J3044" t="s">
        <v>30391</v>
      </c>
      <c r="K3044" t="s">
        <v>36689</v>
      </c>
      <c r="M3044" t="s">
        <v>38246</v>
      </c>
      <c r="N3044" t="s">
        <v>40436</v>
      </c>
      <c r="O3044" t="s">
        <v>40437</v>
      </c>
      <c r="P3044">
        <v>0</v>
      </c>
      <c r="Q3044">
        <v>3</v>
      </c>
      <c r="R3044" t="s">
        <v>40439</v>
      </c>
      <c r="S3044" t="s">
        <v>40588</v>
      </c>
      <c r="T3044" t="s">
        <v>42318</v>
      </c>
      <c r="U3044" t="s">
        <v>45273</v>
      </c>
      <c r="W3044" t="s">
        <v>38246</v>
      </c>
      <c r="X3044" t="s">
        <v>40440</v>
      </c>
    </row>
    <row r="3045" spans="1:24">
      <c r="A3045">
        <f>HYPERLINK("https://www.philgeps.gov.ph/GEPSNONPILOT/Tender/SplashBidNoticeAbstractUI.aspx?menuIndex=3&amp;refID=7044894&amp;Result=3","7044894")</f>
        <v>0</v>
      </c>
      <c r="B3045" t="s">
        <v>121</v>
      </c>
      <c r="C3045" t="s">
        <v>5999</v>
      </c>
      <c r="D3045" t="s">
        <v>16207</v>
      </c>
      <c r="E3045" t="s">
        <v>19040</v>
      </c>
      <c r="F3045" t="s">
        <v>28198</v>
      </c>
      <c r="G3045" t="s">
        <v>28207</v>
      </c>
      <c r="H3045" t="s">
        <v>28214</v>
      </c>
      <c r="I3045" t="s">
        <v>3797</v>
      </c>
      <c r="J3045" t="s">
        <v>30392</v>
      </c>
      <c r="K3045" t="s">
        <v>36706</v>
      </c>
      <c r="M3045" t="s">
        <v>38147</v>
      </c>
      <c r="N3045" t="s">
        <v>40436</v>
      </c>
      <c r="O3045" t="s">
        <v>40437</v>
      </c>
      <c r="P3045">
        <v>0</v>
      </c>
      <c r="Q3045">
        <v>0</v>
      </c>
      <c r="R3045" t="s">
        <v>40439</v>
      </c>
      <c r="S3045" t="s">
        <v>40588</v>
      </c>
      <c r="T3045" t="s">
        <v>42158</v>
      </c>
      <c r="U3045" t="s">
        <v>45274</v>
      </c>
      <c r="W3045" t="s">
        <v>38147</v>
      </c>
      <c r="X3045" t="s">
        <v>40440</v>
      </c>
    </row>
    <row r="3046" spans="1:24">
      <c r="A3046">
        <f>HYPERLINK("https://www.philgeps.gov.ph/GEPSNONPILOT/Tender/SplashBidNoticeAbstractUI.aspx?menuIndex=3&amp;refID=7044905&amp;Result=3","7044905")</f>
        <v>0</v>
      </c>
      <c r="B3046" t="s">
        <v>630</v>
      </c>
      <c r="C3046" t="s">
        <v>6000</v>
      </c>
      <c r="D3046" t="s">
        <v>16200</v>
      </c>
      <c r="E3046" t="s">
        <v>19041</v>
      </c>
      <c r="F3046" t="s">
        <v>28198</v>
      </c>
      <c r="G3046" t="s">
        <v>28207</v>
      </c>
      <c r="H3046" t="s">
        <v>28215</v>
      </c>
      <c r="I3046" t="s">
        <v>28257</v>
      </c>
      <c r="J3046" t="s">
        <v>29600</v>
      </c>
      <c r="K3046" t="s">
        <v>36689</v>
      </c>
      <c r="M3046" t="s">
        <v>37623</v>
      </c>
      <c r="N3046" t="s">
        <v>40436</v>
      </c>
      <c r="O3046" t="s">
        <v>40437</v>
      </c>
      <c r="P3046">
        <v>0</v>
      </c>
      <c r="Q3046">
        <v>1</v>
      </c>
      <c r="R3046" t="s">
        <v>40439</v>
      </c>
      <c r="S3046" t="s">
        <v>40588</v>
      </c>
      <c r="T3046" t="s">
        <v>42131</v>
      </c>
      <c r="U3046" t="s">
        <v>45275</v>
      </c>
      <c r="W3046" t="s">
        <v>37623</v>
      </c>
      <c r="X3046" t="s">
        <v>40440</v>
      </c>
    </row>
    <row r="3047" spans="1:24">
      <c r="A3047">
        <f>HYPERLINK("https://www.philgeps.gov.ph/GEPSNONPILOT/Tender/SplashBidNoticeAbstractUI.aspx?menuIndex=3&amp;refID=7044904&amp;Result=3","7044904")</f>
        <v>0</v>
      </c>
      <c r="B3047" t="s">
        <v>232</v>
      </c>
      <c r="C3047" t="s">
        <v>6001</v>
      </c>
      <c r="D3047" t="s">
        <v>16244</v>
      </c>
      <c r="E3047" t="s">
        <v>19042</v>
      </c>
      <c r="F3047" t="s">
        <v>28198</v>
      </c>
      <c r="G3047" t="s">
        <v>28207</v>
      </c>
      <c r="H3047" t="s">
        <v>28215</v>
      </c>
      <c r="I3047" t="s">
        <v>4200</v>
      </c>
      <c r="J3047" t="s">
        <v>28804</v>
      </c>
      <c r="K3047" t="s">
        <v>36696</v>
      </c>
      <c r="M3047" t="s">
        <v>37208</v>
      </c>
      <c r="N3047" t="s">
        <v>40436</v>
      </c>
      <c r="O3047" t="s">
        <v>40437</v>
      </c>
      <c r="P3047">
        <v>0</v>
      </c>
      <c r="Q3047">
        <v>0</v>
      </c>
      <c r="R3047" t="s">
        <v>40439</v>
      </c>
      <c r="S3047" t="s">
        <v>40588</v>
      </c>
      <c r="T3047" t="s">
        <v>42190</v>
      </c>
      <c r="U3047" t="s">
        <v>45276</v>
      </c>
      <c r="W3047" t="s">
        <v>37208</v>
      </c>
      <c r="X3047" t="s">
        <v>40440</v>
      </c>
    </row>
    <row r="3048" spans="1:24">
      <c r="A3048">
        <f>HYPERLINK("https://www.philgeps.gov.ph/GEPSNONPILOT/Tender/SplashBidNoticeAbstractUI.aspx?menuIndex=3&amp;refID=7044910&amp;Result=3","7044910")</f>
        <v>0</v>
      </c>
      <c r="B3048" t="s">
        <v>1202</v>
      </c>
      <c r="C3048" t="s">
        <v>6002</v>
      </c>
      <c r="D3048" t="s">
        <v>16199</v>
      </c>
      <c r="E3048" t="s">
        <v>16424</v>
      </c>
      <c r="F3048" t="s">
        <v>28198</v>
      </c>
      <c r="G3048" t="s">
        <v>28205</v>
      </c>
      <c r="H3048" t="s">
        <v>28214</v>
      </c>
      <c r="I3048" t="s">
        <v>3797</v>
      </c>
      <c r="J3048" t="s">
        <v>28345</v>
      </c>
      <c r="K3048" t="s">
        <v>36701</v>
      </c>
      <c r="M3048" t="s">
        <v>38247</v>
      </c>
      <c r="N3048" t="s">
        <v>40436</v>
      </c>
      <c r="O3048" t="s">
        <v>40437</v>
      </c>
      <c r="P3048">
        <v>0</v>
      </c>
      <c r="Q3048">
        <v>1</v>
      </c>
      <c r="R3048" t="s">
        <v>40439</v>
      </c>
      <c r="S3048" t="s">
        <v>40588</v>
      </c>
      <c r="T3048" t="s">
        <v>42112</v>
      </c>
      <c r="U3048" t="s">
        <v>45277</v>
      </c>
      <c r="W3048" t="s">
        <v>38247</v>
      </c>
      <c r="X3048" t="s">
        <v>40440</v>
      </c>
    </row>
    <row r="3049" spans="1:24">
      <c r="A3049">
        <f>HYPERLINK("https://www.philgeps.gov.ph/GEPSNONPILOT/Tender/SplashBidNoticeAbstractUI.aspx?menuIndex=3&amp;refID=7044892&amp;Result=3","7044892")</f>
        <v>0</v>
      </c>
      <c r="B3049" t="s">
        <v>422</v>
      </c>
      <c r="C3049" t="s">
        <v>3676</v>
      </c>
      <c r="D3049" t="s">
        <v>16203</v>
      </c>
      <c r="E3049" t="s">
        <v>19043</v>
      </c>
      <c r="F3049" t="s">
        <v>28198</v>
      </c>
      <c r="G3049" t="s">
        <v>28210</v>
      </c>
      <c r="H3049" t="s">
        <v>28215</v>
      </c>
      <c r="I3049" t="s">
        <v>4219</v>
      </c>
      <c r="J3049" t="s">
        <v>30393</v>
      </c>
      <c r="K3049" t="s">
        <v>36689</v>
      </c>
      <c r="M3049" t="s">
        <v>37404</v>
      </c>
      <c r="N3049" t="s">
        <v>40436</v>
      </c>
      <c r="O3049" t="s">
        <v>40437</v>
      </c>
      <c r="P3049">
        <v>0</v>
      </c>
      <c r="Q3049">
        <v>5</v>
      </c>
      <c r="R3049" t="s">
        <v>40439</v>
      </c>
      <c r="S3049" t="s">
        <v>40588</v>
      </c>
      <c r="T3049" t="s">
        <v>42131</v>
      </c>
      <c r="U3049" t="s">
        <v>45259</v>
      </c>
      <c r="W3049" t="s">
        <v>37404</v>
      </c>
      <c r="X3049" t="s">
        <v>40440</v>
      </c>
    </row>
    <row r="3050" spans="1:24">
      <c r="A3050">
        <f>HYPERLINK("https://www.philgeps.gov.ph/GEPSNONPILOT/Tender/SplashBidNoticeAbstractUI.aspx?menuIndex=3&amp;refID=7044906&amp;Result=3","7044906")</f>
        <v>0</v>
      </c>
      <c r="B3050" t="s">
        <v>1203</v>
      </c>
      <c r="C3050" t="s">
        <v>6003</v>
      </c>
      <c r="D3050" t="s">
        <v>16210</v>
      </c>
      <c r="E3050" t="s">
        <v>19044</v>
      </c>
      <c r="F3050" t="s">
        <v>28198</v>
      </c>
      <c r="G3050" t="s">
        <v>28207</v>
      </c>
      <c r="H3050" t="s">
        <v>28215</v>
      </c>
      <c r="I3050" t="s">
        <v>4200</v>
      </c>
      <c r="J3050" t="s">
        <v>28413</v>
      </c>
      <c r="K3050" t="s">
        <v>36689</v>
      </c>
      <c r="M3050" t="s">
        <v>38248</v>
      </c>
      <c r="N3050" t="s">
        <v>40436</v>
      </c>
      <c r="O3050" t="s">
        <v>40437</v>
      </c>
      <c r="P3050">
        <v>0</v>
      </c>
      <c r="Q3050">
        <v>0</v>
      </c>
      <c r="R3050" t="s">
        <v>40439</v>
      </c>
      <c r="S3050" t="s">
        <v>40588</v>
      </c>
      <c r="T3050" t="s">
        <v>42169</v>
      </c>
      <c r="U3050" t="s">
        <v>45278</v>
      </c>
      <c r="W3050" t="s">
        <v>38248</v>
      </c>
      <c r="X3050" t="s">
        <v>40440</v>
      </c>
    </row>
    <row r="3051" spans="1:24">
      <c r="A3051">
        <f>HYPERLINK("https://www.philgeps.gov.ph/GEPSNONPILOT/Tender/SplashBidNoticeAbstractUI.aspx?menuIndex=3&amp;refID=7044901&amp;Result=3","7044901")</f>
        <v>0</v>
      </c>
      <c r="B3051" t="s">
        <v>806</v>
      </c>
      <c r="C3051" t="s">
        <v>6004</v>
      </c>
      <c r="D3051" t="s">
        <v>16188</v>
      </c>
      <c r="E3051" t="s">
        <v>19045</v>
      </c>
      <c r="F3051" t="s">
        <v>28198</v>
      </c>
      <c r="G3051" t="s">
        <v>28207</v>
      </c>
      <c r="H3051" t="s">
        <v>28215</v>
      </c>
      <c r="I3051" t="s">
        <v>28228</v>
      </c>
      <c r="J3051" t="s">
        <v>30394</v>
      </c>
      <c r="K3051" t="s">
        <v>36688</v>
      </c>
      <c r="M3051" t="s">
        <v>37865</v>
      </c>
      <c r="N3051" t="s">
        <v>40436</v>
      </c>
      <c r="O3051" t="s">
        <v>40437</v>
      </c>
      <c r="P3051">
        <v>0</v>
      </c>
      <c r="Q3051">
        <v>0</v>
      </c>
      <c r="R3051" t="s">
        <v>40439</v>
      </c>
      <c r="S3051" t="s">
        <v>40588</v>
      </c>
      <c r="T3051" t="s">
        <v>42158</v>
      </c>
      <c r="U3051" t="s">
        <v>45279</v>
      </c>
      <c r="W3051" t="s">
        <v>55465</v>
      </c>
      <c r="X3051" t="s">
        <v>40440</v>
      </c>
    </row>
    <row r="3052" spans="1:24">
      <c r="A3052">
        <f>HYPERLINK("https://www.philgeps.gov.ph/GEPSNONPILOT/Tender/SplashBidNoticeAbstractUI.aspx?menuIndex=3&amp;refID=7044903&amp;Result=3","7044903")</f>
        <v>0</v>
      </c>
      <c r="B3052" t="s">
        <v>1204</v>
      </c>
      <c r="C3052" t="s">
        <v>6005</v>
      </c>
      <c r="D3052" t="s">
        <v>16200</v>
      </c>
      <c r="E3052" t="s">
        <v>19046</v>
      </c>
      <c r="F3052" t="s">
        <v>28198</v>
      </c>
      <c r="G3052" t="s">
        <v>28205</v>
      </c>
      <c r="H3052" t="s">
        <v>28215</v>
      </c>
      <c r="I3052" t="s">
        <v>5631</v>
      </c>
      <c r="J3052" t="s">
        <v>30395</v>
      </c>
      <c r="K3052" t="s">
        <v>36706</v>
      </c>
      <c r="M3052" t="s">
        <v>38249</v>
      </c>
      <c r="N3052" t="s">
        <v>40436</v>
      </c>
      <c r="O3052" t="s">
        <v>40437</v>
      </c>
      <c r="P3052">
        <v>0</v>
      </c>
      <c r="Q3052">
        <v>0</v>
      </c>
      <c r="R3052" t="s">
        <v>40439</v>
      </c>
      <c r="S3052" t="s">
        <v>40588</v>
      </c>
      <c r="T3052" t="s">
        <v>42152</v>
      </c>
      <c r="U3052" t="s">
        <v>45280</v>
      </c>
      <c r="W3052" t="s">
        <v>38249</v>
      </c>
      <c r="X3052" t="s">
        <v>40440</v>
      </c>
    </row>
    <row r="3053" spans="1:24">
      <c r="A3053">
        <f>HYPERLINK("https://www.philgeps.gov.ph/GEPSNONPILOT/Tender/SplashBidNoticeAbstractUI.aspx?menuIndex=3&amp;refID=7044907&amp;Result=3","7044907")</f>
        <v>0</v>
      </c>
      <c r="B3053" t="s">
        <v>34</v>
      </c>
      <c r="C3053" t="s">
        <v>6006</v>
      </c>
      <c r="D3053" t="s">
        <v>16195</v>
      </c>
      <c r="E3053" t="s">
        <v>19047</v>
      </c>
      <c r="F3053" t="s">
        <v>28198</v>
      </c>
      <c r="G3053" t="s">
        <v>28205</v>
      </c>
      <c r="H3053" t="s">
        <v>28215</v>
      </c>
      <c r="I3053" t="s">
        <v>5631</v>
      </c>
      <c r="J3053" t="s">
        <v>30396</v>
      </c>
      <c r="K3053" t="s">
        <v>36696</v>
      </c>
      <c r="M3053" t="s">
        <v>37550</v>
      </c>
      <c r="N3053" t="s">
        <v>40436</v>
      </c>
      <c r="O3053" t="s">
        <v>40437</v>
      </c>
      <c r="P3053">
        <v>0</v>
      </c>
      <c r="Q3053">
        <v>0</v>
      </c>
      <c r="R3053" t="s">
        <v>40439</v>
      </c>
      <c r="S3053" t="s">
        <v>40588</v>
      </c>
      <c r="T3053" t="s">
        <v>42134</v>
      </c>
      <c r="U3053" t="s">
        <v>45281</v>
      </c>
      <c r="V3053" t="s">
        <v>53826</v>
      </c>
      <c r="W3053" t="s">
        <v>37550</v>
      </c>
      <c r="X3053" t="s">
        <v>40440</v>
      </c>
    </row>
    <row r="3054" spans="1:24">
      <c r="A3054">
        <f>HYPERLINK("https://www.philgeps.gov.ph/GEPSNONPILOT/Tender/SplashBidNoticeAbstractUI.aspx?menuIndex=3&amp;refID=7044902&amp;Result=3","7044902")</f>
        <v>0</v>
      </c>
      <c r="B3054" t="s">
        <v>1205</v>
      </c>
      <c r="C3054" t="s">
        <v>6007</v>
      </c>
      <c r="D3054" t="s">
        <v>16195</v>
      </c>
      <c r="E3054" t="s">
        <v>19048</v>
      </c>
      <c r="F3054" t="s">
        <v>28198</v>
      </c>
      <c r="G3054" t="s">
        <v>28205</v>
      </c>
      <c r="H3054" t="s">
        <v>28214</v>
      </c>
      <c r="I3054" t="s">
        <v>3797</v>
      </c>
      <c r="J3054" t="s">
        <v>30397</v>
      </c>
      <c r="K3054" t="s">
        <v>36687</v>
      </c>
      <c r="M3054" t="s">
        <v>38250</v>
      </c>
      <c r="N3054" t="s">
        <v>40436</v>
      </c>
      <c r="O3054" t="s">
        <v>40437</v>
      </c>
      <c r="P3054">
        <v>0</v>
      </c>
      <c r="Q3054">
        <v>0</v>
      </c>
      <c r="R3054" t="s">
        <v>40439</v>
      </c>
      <c r="S3054" t="s">
        <v>40588</v>
      </c>
      <c r="T3054" t="s">
        <v>42240</v>
      </c>
      <c r="U3054" t="s">
        <v>45282</v>
      </c>
      <c r="W3054" t="s">
        <v>38250</v>
      </c>
      <c r="X3054" t="s">
        <v>40440</v>
      </c>
    </row>
    <row r="3055" spans="1:24">
      <c r="A3055">
        <f>HYPERLINK("https://www.philgeps.gov.ph/GEPSNONPILOT/Tender/SplashBidNoticeAbstractUI.aspx?menuIndex=3&amp;refID=7044917&amp;Result=3","7044917")</f>
        <v>0</v>
      </c>
      <c r="B3055" t="s">
        <v>320</v>
      </c>
      <c r="C3055" t="s">
        <v>6008</v>
      </c>
      <c r="D3055" t="s">
        <v>16199</v>
      </c>
      <c r="E3055" t="s">
        <v>17512</v>
      </c>
      <c r="F3055" t="s">
        <v>28198</v>
      </c>
      <c r="G3055" t="s">
        <v>28207</v>
      </c>
      <c r="H3055" t="s">
        <v>28216</v>
      </c>
      <c r="I3055" t="s">
        <v>28274</v>
      </c>
      <c r="J3055" t="s">
        <v>30398</v>
      </c>
      <c r="K3055" t="s">
        <v>36689</v>
      </c>
      <c r="M3055" t="s">
        <v>37298</v>
      </c>
      <c r="N3055" t="s">
        <v>40436</v>
      </c>
      <c r="O3055" t="s">
        <v>40437</v>
      </c>
      <c r="P3055">
        <v>0</v>
      </c>
      <c r="Q3055">
        <v>0</v>
      </c>
      <c r="R3055" t="s">
        <v>40439</v>
      </c>
      <c r="S3055" t="s">
        <v>40588</v>
      </c>
      <c r="T3055" t="s">
        <v>42158</v>
      </c>
      <c r="U3055" t="s">
        <v>45283</v>
      </c>
      <c r="W3055" t="s">
        <v>37298</v>
      </c>
      <c r="X3055" t="s">
        <v>40440</v>
      </c>
    </row>
    <row r="3056" spans="1:24">
      <c r="A3056">
        <f>HYPERLINK("https://www.philgeps.gov.ph/GEPSNONPILOT/Tender/SplashBidNoticeAbstractUI.aspx?menuIndex=3&amp;refID=7044914&amp;Result=3","7044914")</f>
        <v>0</v>
      </c>
      <c r="B3056" t="s">
        <v>691</v>
      </c>
      <c r="C3056" t="s">
        <v>6009</v>
      </c>
      <c r="D3056" t="s">
        <v>16254</v>
      </c>
      <c r="E3056" t="s">
        <v>19049</v>
      </c>
      <c r="F3056" t="s">
        <v>28198</v>
      </c>
      <c r="G3056" t="s">
        <v>28207</v>
      </c>
      <c r="H3056" t="s">
        <v>28215</v>
      </c>
      <c r="I3056" t="s">
        <v>28247</v>
      </c>
      <c r="J3056" t="s">
        <v>28352</v>
      </c>
      <c r="K3056" t="s">
        <v>36707</v>
      </c>
      <c r="M3056" t="s">
        <v>37690</v>
      </c>
      <c r="N3056" t="s">
        <v>40436</v>
      </c>
      <c r="O3056" t="s">
        <v>40437</v>
      </c>
      <c r="P3056">
        <v>0</v>
      </c>
      <c r="Q3056">
        <v>9</v>
      </c>
      <c r="R3056" t="s">
        <v>40439</v>
      </c>
      <c r="S3056" t="s">
        <v>40588</v>
      </c>
      <c r="T3056" t="s">
        <v>42158</v>
      </c>
      <c r="U3056" t="s">
        <v>45284</v>
      </c>
      <c r="W3056" t="s">
        <v>37690</v>
      </c>
      <c r="X3056" t="s">
        <v>40440</v>
      </c>
    </row>
    <row r="3057" spans="1:24">
      <c r="A3057">
        <f>HYPERLINK("https://www.philgeps.gov.ph/GEPSNONPILOT/Tender/SplashBidNoticeAbstractUI.aspx?menuIndex=3&amp;refID=7044912&amp;Result=3","7044912")</f>
        <v>0</v>
      </c>
      <c r="B3057" t="s">
        <v>1063</v>
      </c>
      <c r="C3057" t="s">
        <v>6010</v>
      </c>
      <c r="D3057" t="s">
        <v>16188</v>
      </c>
      <c r="E3057" t="s">
        <v>19050</v>
      </c>
      <c r="F3057" t="s">
        <v>28198</v>
      </c>
      <c r="G3057" t="s">
        <v>28207</v>
      </c>
      <c r="H3057" t="s">
        <v>28215</v>
      </c>
      <c r="I3057" t="s">
        <v>28279</v>
      </c>
      <c r="J3057" t="s">
        <v>30399</v>
      </c>
      <c r="K3057" t="s">
        <v>36689</v>
      </c>
      <c r="M3057" t="s">
        <v>38096</v>
      </c>
      <c r="N3057" t="s">
        <v>40436</v>
      </c>
      <c r="O3057" t="s">
        <v>40437</v>
      </c>
      <c r="P3057">
        <v>0</v>
      </c>
      <c r="Q3057">
        <v>3</v>
      </c>
      <c r="R3057" t="s">
        <v>40439</v>
      </c>
      <c r="S3057" t="s">
        <v>40588</v>
      </c>
      <c r="T3057" t="s">
        <v>42318</v>
      </c>
      <c r="U3057" t="s">
        <v>45285</v>
      </c>
      <c r="W3057" t="s">
        <v>38096</v>
      </c>
      <c r="X3057" t="s">
        <v>40440</v>
      </c>
    </row>
    <row r="3058" spans="1:24">
      <c r="A3058">
        <f>HYPERLINK("https://www.philgeps.gov.ph/GEPSNONPILOT/Tender/SplashBidNoticeAbstractUI.aspx?menuIndex=3&amp;refID=7044916&amp;Result=3","7044916")</f>
        <v>0</v>
      </c>
      <c r="B3058" t="s">
        <v>182</v>
      </c>
      <c r="C3058" t="s">
        <v>6011</v>
      </c>
      <c r="D3058" t="s">
        <v>16246</v>
      </c>
      <c r="E3058" t="s">
        <v>19051</v>
      </c>
      <c r="F3058" t="s">
        <v>28198</v>
      </c>
      <c r="G3058" t="s">
        <v>28205</v>
      </c>
      <c r="H3058" t="s">
        <v>28214</v>
      </c>
      <c r="I3058" t="s">
        <v>3797</v>
      </c>
      <c r="J3058" t="s">
        <v>30400</v>
      </c>
      <c r="K3058" t="s">
        <v>36793</v>
      </c>
      <c r="M3058" t="s">
        <v>37157</v>
      </c>
      <c r="N3058" t="s">
        <v>40436</v>
      </c>
      <c r="O3058" t="s">
        <v>40437</v>
      </c>
      <c r="P3058">
        <v>0</v>
      </c>
      <c r="Q3058">
        <v>0</v>
      </c>
      <c r="R3058" t="s">
        <v>40439</v>
      </c>
      <c r="S3058" t="s">
        <v>40588</v>
      </c>
      <c r="T3058" t="s">
        <v>42108</v>
      </c>
      <c r="U3058" t="s">
        <v>45286</v>
      </c>
      <c r="W3058" t="s">
        <v>37157</v>
      </c>
      <c r="X3058" t="s">
        <v>40440</v>
      </c>
    </row>
    <row r="3059" spans="1:24">
      <c r="A3059">
        <f>HYPERLINK("https://www.philgeps.gov.ph/GEPSNONPILOT/Tender/SplashBidNoticeAbstractUI.aspx?menuIndex=3&amp;refID=7044900&amp;Result=3","7044900")</f>
        <v>0</v>
      </c>
      <c r="B3059" t="s">
        <v>422</v>
      </c>
      <c r="C3059" t="s">
        <v>3676</v>
      </c>
      <c r="D3059" t="s">
        <v>16203</v>
      </c>
      <c r="E3059" t="s">
        <v>19052</v>
      </c>
      <c r="F3059" t="s">
        <v>28198</v>
      </c>
      <c r="G3059" t="s">
        <v>28210</v>
      </c>
      <c r="H3059" t="s">
        <v>28215</v>
      </c>
      <c r="I3059" t="s">
        <v>4219</v>
      </c>
      <c r="J3059" t="s">
        <v>30401</v>
      </c>
      <c r="K3059" t="s">
        <v>36689</v>
      </c>
      <c r="M3059" t="s">
        <v>37404</v>
      </c>
      <c r="N3059" t="s">
        <v>40436</v>
      </c>
      <c r="O3059" t="s">
        <v>40437</v>
      </c>
      <c r="P3059">
        <v>0</v>
      </c>
      <c r="Q3059">
        <v>7</v>
      </c>
      <c r="R3059" t="s">
        <v>40439</v>
      </c>
      <c r="S3059" t="s">
        <v>40588</v>
      </c>
      <c r="T3059" t="s">
        <v>42131</v>
      </c>
      <c r="U3059" t="s">
        <v>45259</v>
      </c>
      <c r="W3059" t="s">
        <v>37404</v>
      </c>
      <c r="X3059" t="s">
        <v>40440</v>
      </c>
    </row>
    <row r="3060" spans="1:24">
      <c r="A3060">
        <f>HYPERLINK("https://www.philgeps.gov.ph/GEPSNONPILOT/Tender/SplashBidNoticeAbstractUI.aspx?menuIndex=3&amp;refID=7044913&amp;Result=3","7044913")</f>
        <v>0</v>
      </c>
      <c r="B3060" t="s">
        <v>595</v>
      </c>
      <c r="C3060" t="s">
        <v>6012</v>
      </c>
      <c r="D3060" t="s">
        <v>16222</v>
      </c>
      <c r="E3060" t="s">
        <v>19053</v>
      </c>
      <c r="F3060" t="s">
        <v>28198</v>
      </c>
      <c r="G3060" t="s">
        <v>28207</v>
      </c>
      <c r="H3060" t="s">
        <v>28217</v>
      </c>
      <c r="I3060" t="s">
        <v>3422</v>
      </c>
      <c r="J3060" t="s">
        <v>28364</v>
      </c>
      <c r="K3060" t="s">
        <v>36704</v>
      </c>
      <c r="M3060" t="s">
        <v>37584</v>
      </c>
      <c r="N3060" t="s">
        <v>40436</v>
      </c>
      <c r="O3060" t="s">
        <v>40437</v>
      </c>
      <c r="P3060">
        <v>0</v>
      </c>
      <c r="Q3060">
        <v>0</v>
      </c>
      <c r="R3060" t="s">
        <v>40439</v>
      </c>
      <c r="S3060" t="s">
        <v>40588</v>
      </c>
      <c r="T3060" t="s">
        <v>42203</v>
      </c>
      <c r="U3060" t="s">
        <v>45287</v>
      </c>
      <c r="W3060" t="s">
        <v>37584</v>
      </c>
      <c r="X3060" t="s">
        <v>40440</v>
      </c>
    </row>
    <row r="3061" spans="1:24">
      <c r="A3061">
        <f>HYPERLINK("https://www.philgeps.gov.ph/GEPSNONPILOT/Tender/SplashBidNoticeAbstractUI.aspx?menuIndex=3&amp;refID=7044919&amp;Result=3","7044919")</f>
        <v>0</v>
      </c>
      <c r="B3061" t="s">
        <v>1206</v>
      </c>
      <c r="C3061" t="s">
        <v>6013</v>
      </c>
      <c r="D3061" t="s">
        <v>16203</v>
      </c>
      <c r="E3061" t="s">
        <v>19054</v>
      </c>
      <c r="F3061" t="s">
        <v>28198</v>
      </c>
      <c r="G3061" t="s">
        <v>28207</v>
      </c>
      <c r="H3061" t="s">
        <v>28215</v>
      </c>
      <c r="I3061" t="s">
        <v>6013</v>
      </c>
      <c r="J3061" t="s">
        <v>30402</v>
      </c>
      <c r="K3061" t="s">
        <v>36701</v>
      </c>
      <c r="M3061" t="s">
        <v>38251</v>
      </c>
      <c r="N3061" t="s">
        <v>40436</v>
      </c>
      <c r="O3061" t="s">
        <v>40437</v>
      </c>
      <c r="P3061">
        <v>0</v>
      </c>
      <c r="Q3061">
        <v>0</v>
      </c>
      <c r="R3061" t="s">
        <v>40439</v>
      </c>
      <c r="S3061" t="s">
        <v>40588</v>
      </c>
      <c r="T3061" t="s">
        <v>42119</v>
      </c>
      <c r="U3061" t="s">
        <v>45288</v>
      </c>
      <c r="W3061" t="s">
        <v>38251</v>
      </c>
      <c r="X3061" t="s">
        <v>40440</v>
      </c>
    </row>
    <row r="3062" spans="1:24">
      <c r="A3062">
        <f>HYPERLINK("https://www.philgeps.gov.ph/GEPSNONPILOT/Tender/SplashBidNoticeAbstractUI.aspx?menuIndex=3&amp;refID=7044899&amp;Result=3","7044899")</f>
        <v>0</v>
      </c>
      <c r="B3062" t="s">
        <v>305</v>
      </c>
      <c r="C3062" t="s">
        <v>6014</v>
      </c>
      <c r="D3062" t="s">
        <v>16197</v>
      </c>
      <c r="E3062" t="s">
        <v>19055</v>
      </c>
      <c r="F3062" t="s">
        <v>28198</v>
      </c>
      <c r="G3062" t="s">
        <v>28207</v>
      </c>
      <c r="H3062" t="s">
        <v>28215</v>
      </c>
      <c r="I3062" t="s">
        <v>28234</v>
      </c>
      <c r="J3062" t="s">
        <v>30403</v>
      </c>
      <c r="K3062" t="s">
        <v>36688</v>
      </c>
      <c r="M3062" t="s">
        <v>38213</v>
      </c>
      <c r="N3062" t="s">
        <v>40436</v>
      </c>
      <c r="O3062" t="s">
        <v>40437</v>
      </c>
      <c r="P3062">
        <v>0</v>
      </c>
      <c r="Q3062">
        <v>4</v>
      </c>
      <c r="R3062" t="s">
        <v>40439</v>
      </c>
      <c r="S3062" t="s">
        <v>40588</v>
      </c>
      <c r="T3062" t="s">
        <v>42133</v>
      </c>
      <c r="U3062" t="s">
        <v>45201</v>
      </c>
      <c r="W3062" t="s">
        <v>38213</v>
      </c>
      <c r="X3062" t="s">
        <v>40440</v>
      </c>
    </row>
    <row r="3063" spans="1:24">
      <c r="A3063">
        <f>HYPERLINK("https://www.philgeps.gov.ph/GEPSNONPILOT/Tender/SplashBidNoticeAbstractUI.aspx?menuIndex=3&amp;refID=7044938&amp;Result=3","7044938")</f>
        <v>0</v>
      </c>
      <c r="B3063" t="s">
        <v>1063</v>
      </c>
      <c r="C3063" t="s">
        <v>6015</v>
      </c>
      <c r="D3063" t="s">
        <v>16188</v>
      </c>
      <c r="E3063" t="s">
        <v>19056</v>
      </c>
      <c r="F3063" t="s">
        <v>28198</v>
      </c>
      <c r="G3063" t="s">
        <v>28207</v>
      </c>
      <c r="H3063" t="s">
        <v>28215</v>
      </c>
      <c r="I3063" t="s">
        <v>28279</v>
      </c>
      <c r="J3063" t="s">
        <v>30404</v>
      </c>
      <c r="K3063" t="s">
        <v>36689</v>
      </c>
      <c r="M3063" t="s">
        <v>38096</v>
      </c>
      <c r="N3063" t="s">
        <v>40436</v>
      </c>
      <c r="O3063" t="s">
        <v>40437</v>
      </c>
      <c r="P3063">
        <v>0</v>
      </c>
      <c r="Q3063">
        <v>4</v>
      </c>
      <c r="R3063" t="s">
        <v>40439</v>
      </c>
      <c r="S3063" t="s">
        <v>40588</v>
      </c>
      <c r="T3063" t="s">
        <v>42318</v>
      </c>
      <c r="U3063" t="s">
        <v>45289</v>
      </c>
      <c r="W3063" t="s">
        <v>38096</v>
      </c>
      <c r="X3063" t="s">
        <v>40440</v>
      </c>
    </row>
    <row r="3064" spans="1:24">
      <c r="A3064">
        <f>HYPERLINK("https://www.philgeps.gov.ph/GEPSNONPILOT/Tender/SplashBidNoticeAbstractUI.aspx?menuIndex=3&amp;refID=7044918&amp;Result=3","7044918")</f>
        <v>0</v>
      </c>
      <c r="B3064" t="s">
        <v>1207</v>
      </c>
      <c r="C3064" t="s">
        <v>6016</v>
      </c>
      <c r="D3064" t="s">
        <v>16208</v>
      </c>
      <c r="E3064" t="s">
        <v>16909</v>
      </c>
      <c r="F3064" t="s">
        <v>28198</v>
      </c>
      <c r="G3064" t="s">
        <v>28205</v>
      </c>
      <c r="H3064" t="s">
        <v>28215</v>
      </c>
      <c r="I3064" t="s">
        <v>5100</v>
      </c>
      <c r="J3064" t="s">
        <v>30219</v>
      </c>
      <c r="K3064" t="s">
        <v>36701</v>
      </c>
      <c r="M3064" t="s">
        <v>38252</v>
      </c>
      <c r="N3064" t="s">
        <v>40436</v>
      </c>
      <c r="O3064" t="s">
        <v>40437</v>
      </c>
      <c r="P3064">
        <v>0</v>
      </c>
      <c r="Q3064">
        <v>0</v>
      </c>
      <c r="R3064" t="s">
        <v>40439</v>
      </c>
      <c r="S3064" t="s">
        <v>40588</v>
      </c>
      <c r="T3064" t="s">
        <v>42104</v>
      </c>
      <c r="U3064" t="s">
        <v>45290</v>
      </c>
      <c r="W3064" t="s">
        <v>38252</v>
      </c>
      <c r="X3064" t="s">
        <v>40440</v>
      </c>
    </row>
    <row r="3065" spans="1:24">
      <c r="A3065">
        <f>HYPERLINK("https://www.philgeps.gov.ph/GEPSNONPILOT/Tender/SplashBidNoticeAbstractUI.aspx?menuIndex=3&amp;refID=7044931&amp;Result=3","7044931")</f>
        <v>0</v>
      </c>
      <c r="B3065" t="s">
        <v>1161</v>
      </c>
      <c r="C3065" t="s">
        <v>5885</v>
      </c>
      <c r="D3065" t="s">
        <v>16228</v>
      </c>
      <c r="E3065" t="s">
        <v>18719</v>
      </c>
      <c r="F3065" t="s">
        <v>28198</v>
      </c>
      <c r="G3065" t="s">
        <v>28205</v>
      </c>
      <c r="H3065" t="s">
        <v>28214</v>
      </c>
      <c r="I3065" t="s">
        <v>3797</v>
      </c>
      <c r="J3065" t="s">
        <v>28559</v>
      </c>
      <c r="K3065" t="s">
        <v>36688</v>
      </c>
      <c r="M3065" t="s">
        <v>38201</v>
      </c>
      <c r="N3065" t="s">
        <v>40436</v>
      </c>
      <c r="O3065" t="s">
        <v>40437</v>
      </c>
      <c r="P3065">
        <v>0</v>
      </c>
      <c r="Q3065">
        <v>0</v>
      </c>
      <c r="R3065" t="s">
        <v>40439</v>
      </c>
      <c r="S3065" t="s">
        <v>40588</v>
      </c>
      <c r="T3065" t="s">
        <v>42347</v>
      </c>
      <c r="U3065" t="s">
        <v>45291</v>
      </c>
      <c r="W3065" t="s">
        <v>38201</v>
      </c>
      <c r="X3065" t="s">
        <v>40440</v>
      </c>
    </row>
    <row r="3066" spans="1:24">
      <c r="A3066">
        <f>HYPERLINK("https://www.philgeps.gov.ph/GEPSNONPILOT/Tender/SplashBidNoticeAbstractUI.aspx?menuIndex=3&amp;refID=7044927&amp;Result=3","7044927")</f>
        <v>0</v>
      </c>
      <c r="B3066" t="s">
        <v>735</v>
      </c>
      <c r="C3066" t="s">
        <v>6017</v>
      </c>
      <c r="D3066" t="s">
        <v>16227</v>
      </c>
      <c r="E3066" t="s">
        <v>19057</v>
      </c>
      <c r="F3066" t="s">
        <v>28198</v>
      </c>
      <c r="G3066" t="s">
        <v>28206</v>
      </c>
      <c r="H3066" t="s">
        <v>28215</v>
      </c>
      <c r="I3066" t="s">
        <v>28227</v>
      </c>
      <c r="J3066" t="s">
        <v>28936</v>
      </c>
      <c r="K3066" t="s">
        <v>36698</v>
      </c>
      <c r="M3066" t="s">
        <v>37738</v>
      </c>
      <c r="N3066" t="s">
        <v>40436</v>
      </c>
      <c r="O3066" t="s">
        <v>40437</v>
      </c>
      <c r="P3066">
        <v>0</v>
      </c>
      <c r="Q3066">
        <v>0</v>
      </c>
      <c r="R3066" t="s">
        <v>40439</v>
      </c>
      <c r="S3066" t="s">
        <v>40588</v>
      </c>
      <c r="T3066" t="s">
        <v>42233</v>
      </c>
      <c r="U3066" t="s">
        <v>45292</v>
      </c>
      <c r="W3066" t="s">
        <v>37738</v>
      </c>
      <c r="X3066" t="s">
        <v>40440</v>
      </c>
    </row>
    <row r="3067" spans="1:24">
      <c r="A3067">
        <f>HYPERLINK("https://www.philgeps.gov.ph/GEPSNONPILOT/Tender/SplashBidNoticeAbstractUI.aspx?menuIndex=3&amp;refID=7044932&amp;Result=3","7044932")</f>
        <v>0</v>
      </c>
      <c r="B3067" t="s">
        <v>1143</v>
      </c>
      <c r="C3067" t="s">
        <v>6018</v>
      </c>
      <c r="D3067" t="s">
        <v>16210</v>
      </c>
      <c r="E3067" t="s">
        <v>19058</v>
      </c>
      <c r="F3067" t="s">
        <v>28198</v>
      </c>
      <c r="G3067" t="s">
        <v>28205</v>
      </c>
      <c r="H3067" t="s">
        <v>28215</v>
      </c>
      <c r="I3067" t="s">
        <v>28286</v>
      </c>
      <c r="J3067" t="s">
        <v>30405</v>
      </c>
      <c r="K3067" t="s">
        <v>36701</v>
      </c>
      <c r="M3067" t="s">
        <v>38183</v>
      </c>
      <c r="N3067" t="s">
        <v>40436</v>
      </c>
      <c r="O3067" t="s">
        <v>40437</v>
      </c>
      <c r="P3067">
        <v>0</v>
      </c>
      <c r="Q3067">
        <v>0</v>
      </c>
      <c r="R3067" t="s">
        <v>40439</v>
      </c>
      <c r="S3067" t="s">
        <v>40588</v>
      </c>
      <c r="T3067" t="s">
        <v>42338</v>
      </c>
      <c r="U3067" t="s">
        <v>45293</v>
      </c>
      <c r="V3067" t="s">
        <v>54095</v>
      </c>
      <c r="W3067" t="s">
        <v>38183</v>
      </c>
      <c r="X3067" t="s">
        <v>40440</v>
      </c>
    </row>
    <row r="3068" spans="1:24">
      <c r="A3068">
        <f>HYPERLINK("https://www.philgeps.gov.ph/GEPSNONPILOT/Tender/SplashBidNoticeAbstractUI.aspx?menuIndex=3&amp;refID=7044929&amp;Result=3","7044929")</f>
        <v>0</v>
      </c>
      <c r="B3068" t="s">
        <v>232</v>
      </c>
      <c r="C3068" t="s">
        <v>6019</v>
      </c>
      <c r="D3068" t="s">
        <v>16244</v>
      </c>
      <c r="E3068" t="s">
        <v>19059</v>
      </c>
      <c r="F3068" t="s">
        <v>28198</v>
      </c>
      <c r="G3068" t="s">
        <v>28207</v>
      </c>
      <c r="H3068" t="s">
        <v>28215</v>
      </c>
      <c r="I3068" t="s">
        <v>5100</v>
      </c>
      <c r="J3068" t="s">
        <v>30406</v>
      </c>
      <c r="K3068" t="s">
        <v>36696</v>
      </c>
      <c r="M3068" t="s">
        <v>37208</v>
      </c>
      <c r="N3068" t="s">
        <v>40436</v>
      </c>
      <c r="O3068" t="s">
        <v>40437</v>
      </c>
      <c r="P3068">
        <v>0</v>
      </c>
      <c r="Q3068">
        <v>0</v>
      </c>
      <c r="R3068" t="s">
        <v>40439</v>
      </c>
      <c r="S3068" t="s">
        <v>40588</v>
      </c>
      <c r="T3068" t="s">
        <v>42190</v>
      </c>
      <c r="U3068" t="s">
        <v>45294</v>
      </c>
      <c r="W3068" t="s">
        <v>37208</v>
      </c>
      <c r="X3068" t="s">
        <v>40440</v>
      </c>
    </row>
    <row r="3069" spans="1:24">
      <c r="A3069">
        <f>HYPERLINK("https://www.philgeps.gov.ph/GEPSNONPILOT/Tender/SplashBidNoticeAbstractUI.aspx?menuIndex=3&amp;refID=7044925&amp;Result=3","7044925")</f>
        <v>0</v>
      </c>
      <c r="B3069" t="s">
        <v>216</v>
      </c>
      <c r="C3069" t="s">
        <v>6020</v>
      </c>
      <c r="D3069" t="s">
        <v>16210</v>
      </c>
      <c r="E3069" t="s">
        <v>19060</v>
      </c>
      <c r="F3069" t="s">
        <v>28198</v>
      </c>
      <c r="G3069" t="s">
        <v>28207</v>
      </c>
      <c r="H3069" t="s">
        <v>28215</v>
      </c>
      <c r="I3069" t="s">
        <v>28301</v>
      </c>
      <c r="J3069" t="s">
        <v>30407</v>
      </c>
      <c r="K3069" t="s">
        <v>36707</v>
      </c>
      <c r="M3069" t="s">
        <v>37192</v>
      </c>
      <c r="N3069" t="s">
        <v>40436</v>
      </c>
      <c r="O3069" t="s">
        <v>40437</v>
      </c>
      <c r="P3069">
        <v>0</v>
      </c>
      <c r="Q3069">
        <v>2</v>
      </c>
      <c r="R3069" t="s">
        <v>40439</v>
      </c>
      <c r="S3069" t="s">
        <v>40588</v>
      </c>
      <c r="T3069" t="s">
        <v>42190</v>
      </c>
      <c r="U3069" t="s">
        <v>45295</v>
      </c>
      <c r="V3069" t="s">
        <v>53819</v>
      </c>
      <c r="W3069" t="s">
        <v>37192</v>
      </c>
      <c r="X3069" t="s">
        <v>40440</v>
      </c>
    </row>
    <row r="3070" spans="1:24">
      <c r="A3070">
        <f>HYPERLINK("https://www.philgeps.gov.ph/GEPSNONPILOT/Tender/SplashBidNoticeAbstractUI.aspx?menuIndex=3&amp;refID=7044933&amp;Result=3","7044933")</f>
        <v>0</v>
      </c>
      <c r="B3070" t="s">
        <v>1157</v>
      </c>
      <c r="C3070" t="s">
        <v>6021</v>
      </c>
      <c r="D3070" t="s">
        <v>16193</v>
      </c>
      <c r="E3070" t="s">
        <v>19061</v>
      </c>
      <c r="F3070" t="s">
        <v>28198</v>
      </c>
      <c r="G3070" t="s">
        <v>28205</v>
      </c>
      <c r="H3070" t="s">
        <v>28214</v>
      </c>
      <c r="I3070" t="s">
        <v>3797</v>
      </c>
      <c r="J3070" t="s">
        <v>30408</v>
      </c>
      <c r="K3070" t="s">
        <v>36737</v>
      </c>
      <c r="M3070" t="s">
        <v>38197</v>
      </c>
      <c r="N3070" t="s">
        <v>40436</v>
      </c>
      <c r="O3070" t="s">
        <v>40437</v>
      </c>
      <c r="P3070">
        <v>0</v>
      </c>
      <c r="Q3070">
        <v>0</v>
      </c>
      <c r="R3070" t="s">
        <v>40439</v>
      </c>
      <c r="S3070" t="s">
        <v>40588</v>
      </c>
      <c r="T3070" t="s">
        <v>42248</v>
      </c>
      <c r="U3070" t="s">
        <v>45296</v>
      </c>
      <c r="W3070" t="s">
        <v>55475</v>
      </c>
      <c r="X3070" t="s">
        <v>40440</v>
      </c>
    </row>
    <row r="3071" spans="1:24">
      <c r="A3071">
        <f>HYPERLINK("https://www.philgeps.gov.ph/GEPSNONPILOT/Tender/SplashBidNoticeAbstractUI.aspx?menuIndex=3&amp;refID=7044922&amp;Result=3","7044922")</f>
        <v>0</v>
      </c>
      <c r="B3071" t="s">
        <v>1208</v>
      </c>
      <c r="C3071" t="s">
        <v>6022</v>
      </c>
      <c r="D3071" t="s">
        <v>16211</v>
      </c>
      <c r="E3071" t="s">
        <v>18163</v>
      </c>
      <c r="F3071" t="s">
        <v>28198</v>
      </c>
      <c r="G3071" t="s">
        <v>28210</v>
      </c>
      <c r="H3071" t="s">
        <v>28215</v>
      </c>
      <c r="I3071" t="s">
        <v>4219</v>
      </c>
      <c r="J3071" t="s">
        <v>28679</v>
      </c>
      <c r="K3071" t="s">
        <v>36701</v>
      </c>
      <c r="M3071" t="s">
        <v>38253</v>
      </c>
      <c r="N3071" t="s">
        <v>40436</v>
      </c>
      <c r="O3071" t="s">
        <v>40437</v>
      </c>
      <c r="P3071">
        <v>0</v>
      </c>
      <c r="Q3071">
        <v>2</v>
      </c>
      <c r="R3071" t="s">
        <v>40439</v>
      </c>
      <c r="S3071" t="s">
        <v>40588</v>
      </c>
      <c r="T3071" t="s">
        <v>42169</v>
      </c>
      <c r="U3071" t="s">
        <v>45297</v>
      </c>
      <c r="W3071" t="s">
        <v>38253</v>
      </c>
      <c r="X3071" t="s">
        <v>40440</v>
      </c>
    </row>
    <row r="3072" spans="1:24">
      <c r="A3072">
        <f>HYPERLINK("https://www.philgeps.gov.ph/GEPSNONPILOT/Tender/SplashBidNoticeAbstractUI.aspx?menuIndex=3&amp;refID=7044928&amp;Result=3","7044928")</f>
        <v>0</v>
      </c>
      <c r="B3072" t="s">
        <v>386</v>
      </c>
      <c r="C3072" t="s">
        <v>6023</v>
      </c>
      <c r="D3072" t="s">
        <v>16259</v>
      </c>
      <c r="E3072" t="s">
        <v>19062</v>
      </c>
      <c r="F3072" t="s">
        <v>28198</v>
      </c>
      <c r="G3072" t="s">
        <v>28207</v>
      </c>
      <c r="H3072" t="s">
        <v>28215</v>
      </c>
      <c r="I3072" t="s">
        <v>28227</v>
      </c>
      <c r="J3072" t="s">
        <v>30409</v>
      </c>
      <c r="K3072" t="s">
        <v>36688</v>
      </c>
      <c r="M3072" t="s">
        <v>37366</v>
      </c>
      <c r="N3072" t="s">
        <v>40436</v>
      </c>
      <c r="O3072" t="s">
        <v>40437</v>
      </c>
      <c r="P3072">
        <v>0</v>
      </c>
      <c r="Q3072">
        <v>0</v>
      </c>
      <c r="R3072" t="s">
        <v>40439</v>
      </c>
      <c r="S3072" t="s">
        <v>40588</v>
      </c>
      <c r="T3072" t="s">
        <v>42133</v>
      </c>
      <c r="U3072" t="s">
        <v>45298</v>
      </c>
      <c r="V3072" t="s">
        <v>53872</v>
      </c>
      <c r="W3072" t="s">
        <v>37366</v>
      </c>
      <c r="X3072" t="s">
        <v>40440</v>
      </c>
    </row>
    <row r="3073" spans="1:24">
      <c r="A3073">
        <f>HYPERLINK("https://www.philgeps.gov.ph/GEPSNONPILOT/Tender/SplashBidNoticeAbstractUI.aspx?menuIndex=3&amp;refID=7044935&amp;Result=3","7044935")</f>
        <v>0</v>
      </c>
      <c r="B3073" t="s">
        <v>1181</v>
      </c>
      <c r="C3073" t="s">
        <v>6024</v>
      </c>
      <c r="D3073" t="s">
        <v>16210</v>
      </c>
      <c r="E3073" t="s">
        <v>18994</v>
      </c>
      <c r="F3073" t="s">
        <v>28198</v>
      </c>
      <c r="G3073" t="s">
        <v>28207</v>
      </c>
      <c r="H3073" t="s">
        <v>28215</v>
      </c>
      <c r="I3073" t="s">
        <v>5103</v>
      </c>
      <c r="J3073" t="s">
        <v>29275</v>
      </c>
      <c r="K3073" t="s">
        <v>36706</v>
      </c>
      <c r="M3073" t="s">
        <v>38223</v>
      </c>
      <c r="N3073" t="s">
        <v>40436</v>
      </c>
      <c r="O3073" t="s">
        <v>40437</v>
      </c>
      <c r="P3073">
        <v>0</v>
      </c>
      <c r="Q3073">
        <v>8</v>
      </c>
      <c r="R3073" t="s">
        <v>40439</v>
      </c>
      <c r="S3073" t="s">
        <v>40588</v>
      </c>
      <c r="T3073" t="s">
        <v>42119</v>
      </c>
      <c r="U3073" t="s">
        <v>45299</v>
      </c>
      <c r="W3073" t="s">
        <v>38223</v>
      </c>
      <c r="X3073" t="s">
        <v>40440</v>
      </c>
    </row>
    <row r="3074" spans="1:24">
      <c r="A3074">
        <f>HYPERLINK("https://www.philgeps.gov.ph/GEPSNONPILOT/Tender/SplashBidNoticeAbstractUI.aspx?menuIndex=3&amp;refID=7044940&amp;Result=3","7044940")</f>
        <v>0</v>
      </c>
      <c r="B3074" t="s">
        <v>1209</v>
      </c>
      <c r="C3074" t="s">
        <v>6025</v>
      </c>
      <c r="D3074" t="s">
        <v>16210</v>
      </c>
      <c r="E3074" t="s">
        <v>16512</v>
      </c>
      <c r="F3074" t="s">
        <v>28198</v>
      </c>
      <c r="G3074" t="s">
        <v>28207</v>
      </c>
      <c r="H3074" t="s">
        <v>28215</v>
      </c>
      <c r="I3074" t="s">
        <v>28319</v>
      </c>
      <c r="J3074" t="s">
        <v>28566</v>
      </c>
      <c r="K3074" t="s">
        <v>36707</v>
      </c>
      <c r="M3074" t="s">
        <v>38254</v>
      </c>
      <c r="N3074" t="s">
        <v>40436</v>
      </c>
      <c r="O3074" t="s">
        <v>40437</v>
      </c>
      <c r="P3074">
        <v>0</v>
      </c>
      <c r="Q3074">
        <v>13</v>
      </c>
      <c r="R3074" t="s">
        <v>40439</v>
      </c>
      <c r="S3074" t="s">
        <v>40588</v>
      </c>
      <c r="T3074" t="s">
        <v>42158</v>
      </c>
      <c r="U3074" t="s">
        <v>45300</v>
      </c>
      <c r="W3074" t="s">
        <v>38254</v>
      </c>
      <c r="X3074" t="s">
        <v>40440</v>
      </c>
    </row>
    <row r="3075" spans="1:24">
      <c r="A3075">
        <f>HYPERLINK("https://www.philgeps.gov.ph/GEPSNONPILOT/Tender/SplashBidNoticeAbstractUI.aspx?menuIndex=3&amp;refID=7044942&amp;Result=3","7044942")</f>
        <v>0</v>
      </c>
      <c r="B3075" t="s">
        <v>1210</v>
      </c>
      <c r="C3075" t="s">
        <v>6026</v>
      </c>
      <c r="D3075" t="s">
        <v>16230</v>
      </c>
      <c r="E3075" t="s">
        <v>19063</v>
      </c>
      <c r="F3075" t="s">
        <v>28198</v>
      </c>
      <c r="G3075" t="s">
        <v>28207</v>
      </c>
      <c r="H3075" t="s">
        <v>28215</v>
      </c>
      <c r="I3075" t="s">
        <v>28281</v>
      </c>
      <c r="J3075" t="s">
        <v>28345</v>
      </c>
      <c r="K3075" t="s">
        <v>36701</v>
      </c>
      <c r="M3075" t="s">
        <v>38255</v>
      </c>
      <c r="N3075" t="s">
        <v>40436</v>
      </c>
      <c r="O3075" t="s">
        <v>40437</v>
      </c>
      <c r="P3075">
        <v>0</v>
      </c>
      <c r="Q3075">
        <v>3</v>
      </c>
      <c r="R3075" t="s">
        <v>40439</v>
      </c>
      <c r="S3075" t="s">
        <v>40588</v>
      </c>
      <c r="T3075" t="s">
        <v>42194</v>
      </c>
      <c r="U3075" t="s">
        <v>45301</v>
      </c>
      <c r="W3075" t="s">
        <v>55476</v>
      </c>
      <c r="X3075" t="s">
        <v>40440</v>
      </c>
    </row>
    <row r="3076" spans="1:24">
      <c r="A3076">
        <f>HYPERLINK("https://www.philgeps.gov.ph/GEPSNONPILOT/Tender/SplashBidNoticeAbstractUI.aspx?menuIndex=3&amp;refID=7044924&amp;Result=3","7044924")</f>
        <v>0</v>
      </c>
      <c r="B3076" t="s">
        <v>305</v>
      </c>
      <c r="C3076" t="s">
        <v>6027</v>
      </c>
      <c r="D3076" t="s">
        <v>16197</v>
      </c>
      <c r="E3076" t="s">
        <v>19064</v>
      </c>
      <c r="F3076" t="s">
        <v>28198</v>
      </c>
      <c r="G3076" t="s">
        <v>28207</v>
      </c>
      <c r="H3076" t="s">
        <v>28215</v>
      </c>
      <c r="I3076" t="s">
        <v>3422</v>
      </c>
      <c r="J3076" t="s">
        <v>30410</v>
      </c>
      <c r="K3076" t="s">
        <v>36688</v>
      </c>
      <c r="M3076" t="s">
        <v>38213</v>
      </c>
      <c r="N3076" t="s">
        <v>40436</v>
      </c>
      <c r="O3076" t="s">
        <v>40437</v>
      </c>
      <c r="P3076">
        <v>0</v>
      </c>
      <c r="Q3076">
        <v>0</v>
      </c>
      <c r="R3076" t="s">
        <v>40439</v>
      </c>
      <c r="S3076" t="s">
        <v>40588</v>
      </c>
      <c r="T3076" t="s">
        <v>42133</v>
      </c>
      <c r="U3076" t="s">
        <v>45201</v>
      </c>
      <c r="W3076" t="s">
        <v>38213</v>
      </c>
      <c r="X3076" t="s">
        <v>40440</v>
      </c>
    </row>
    <row r="3077" spans="1:24">
      <c r="A3077">
        <f>HYPERLINK("https://www.philgeps.gov.ph/GEPSNONPILOT/Tender/SplashBidNoticeAbstractUI.aspx?menuIndex=3&amp;refID=7044934&amp;Result=3","7044934")</f>
        <v>0</v>
      </c>
      <c r="B3077" t="s">
        <v>1135</v>
      </c>
      <c r="C3077" t="s">
        <v>3220</v>
      </c>
      <c r="D3077" t="s">
        <v>16209</v>
      </c>
      <c r="E3077" t="s">
        <v>19065</v>
      </c>
      <c r="F3077" t="s">
        <v>28198</v>
      </c>
      <c r="G3077" t="s">
        <v>28205</v>
      </c>
      <c r="H3077" t="s">
        <v>28215</v>
      </c>
      <c r="I3077" t="s">
        <v>4219</v>
      </c>
      <c r="J3077" t="s">
        <v>30411</v>
      </c>
      <c r="K3077" t="s">
        <v>36706</v>
      </c>
      <c r="M3077" t="s">
        <v>38174</v>
      </c>
      <c r="N3077" t="s">
        <v>40436</v>
      </c>
      <c r="O3077" t="s">
        <v>40437</v>
      </c>
      <c r="P3077">
        <v>0</v>
      </c>
      <c r="Q3077">
        <v>0</v>
      </c>
      <c r="R3077" t="s">
        <v>40439</v>
      </c>
      <c r="S3077" t="s">
        <v>40588</v>
      </c>
      <c r="T3077" t="s">
        <v>42108</v>
      </c>
      <c r="U3077" t="s">
        <v>45302</v>
      </c>
      <c r="W3077" t="s">
        <v>38174</v>
      </c>
      <c r="X3077" t="s">
        <v>40440</v>
      </c>
    </row>
    <row r="3078" spans="1:24">
      <c r="A3078">
        <f>HYPERLINK("https://www.philgeps.gov.ph/GEPSNONPILOT/Tender/SplashBidNoticeAbstractUI.aspx?menuIndex=3&amp;refID=7044920&amp;Result=3","7044920")</f>
        <v>0</v>
      </c>
      <c r="B3078" t="s">
        <v>1023</v>
      </c>
      <c r="C3078" t="s">
        <v>6028</v>
      </c>
      <c r="D3078" t="s">
        <v>16265</v>
      </c>
      <c r="E3078" t="s">
        <v>19066</v>
      </c>
      <c r="F3078" t="s">
        <v>28198</v>
      </c>
      <c r="G3078" t="s">
        <v>28205</v>
      </c>
      <c r="H3078" t="s">
        <v>28215</v>
      </c>
      <c r="I3078" t="s">
        <v>5082</v>
      </c>
      <c r="J3078" t="s">
        <v>28506</v>
      </c>
      <c r="K3078" t="s">
        <v>36701</v>
      </c>
      <c r="M3078" t="s">
        <v>38054</v>
      </c>
      <c r="N3078" t="s">
        <v>40436</v>
      </c>
      <c r="O3078" t="s">
        <v>40437</v>
      </c>
      <c r="P3078">
        <v>0</v>
      </c>
      <c r="Q3078">
        <v>0</v>
      </c>
      <c r="R3078" t="s">
        <v>40439</v>
      </c>
      <c r="S3078" t="s">
        <v>40588</v>
      </c>
      <c r="T3078" t="s">
        <v>42108</v>
      </c>
      <c r="U3078" t="s">
        <v>45303</v>
      </c>
      <c r="W3078" t="s">
        <v>38054</v>
      </c>
      <c r="X3078" t="s">
        <v>40440</v>
      </c>
    </row>
    <row r="3079" spans="1:24">
      <c r="A3079">
        <f>HYPERLINK("https://www.philgeps.gov.ph/GEPSNONPILOT/Tender/SplashBidNoticeAbstractUI.aspx?menuIndex=3&amp;refID=7044941&amp;Result=3","7044941")</f>
        <v>0</v>
      </c>
      <c r="B3079" t="s">
        <v>1203</v>
      </c>
      <c r="C3079" t="s">
        <v>6029</v>
      </c>
      <c r="D3079" t="s">
        <v>16210</v>
      </c>
      <c r="E3079" t="s">
        <v>19067</v>
      </c>
      <c r="F3079" t="s">
        <v>28198</v>
      </c>
      <c r="G3079" t="s">
        <v>28207</v>
      </c>
      <c r="H3079" t="s">
        <v>28215</v>
      </c>
      <c r="I3079" t="s">
        <v>28306</v>
      </c>
      <c r="J3079" t="s">
        <v>30412</v>
      </c>
      <c r="K3079" t="s">
        <v>36689</v>
      </c>
      <c r="M3079" t="s">
        <v>38248</v>
      </c>
      <c r="N3079" t="s">
        <v>40436</v>
      </c>
      <c r="O3079" t="s">
        <v>40437</v>
      </c>
      <c r="P3079">
        <v>0</v>
      </c>
      <c r="Q3079">
        <v>0</v>
      </c>
      <c r="R3079" t="s">
        <v>40439</v>
      </c>
      <c r="S3079" t="s">
        <v>40588</v>
      </c>
      <c r="T3079" t="s">
        <v>42169</v>
      </c>
      <c r="U3079" t="s">
        <v>45304</v>
      </c>
      <c r="W3079" t="s">
        <v>38248</v>
      </c>
      <c r="X3079" t="s">
        <v>40440</v>
      </c>
    </row>
    <row r="3080" spans="1:24">
      <c r="A3080">
        <f>HYPERLINK("https://www.philgeps.gov.ph/GEPSNONPILOT/Tender/SplashBidNoticeAbstractUI.aspx?menuIndex=3&amp;refID=7044921&amp;Result=3","7044921")</f>
        <v>0</v>
      </c>
      <c r="B3080" t="s">
        <v>587</v>
      </c>
      <c r="C3080" t="s">
        <v>6030</v>
      </c>
      <c r="D3080" t="s">
        <v>16230</v>
      </c>
      <c r="E3080" t="s">
        <v>19068</v>
      </c>
      <c r="F3080" t="s">
        <v>28198</v>
      </c>
      <c r="G3080" t="s">
        <v>28205</v>
      </c>
      <c r="H3080" t="s">
        <v>28215</v>
      </c>
      <c r="I3080" t="s">
        <v>5791</v>
      </c>
      <c r="J3080" t="s">
        <v>30413</v>
      </c>
      <c r="K3080" t="s">
        <v>36707</v>
      </c>
      <c r="M3080" t="s">
        <v>37576</v>
      </c>
      <c r="N3080" t="s">
        <v>40436</v>
      </c>
      <c r="O3080" t="s">
        <v>40437</v>
      </c>
      <c r="P3080">
        <v>0</v>
      </c>
      <c r="Q3080">
        <v>0</v>
      </c>
      <c r="R3080" t="s">
        <v>40439</v>
      </c>
      <c r="S3080" t="s">
        <v>40588</v>
      </c>
      <c r="T3080" t="s">
        <v>42144</v>
      </c>
      <c r="U3080" t="s">
        <v>45305</v>
      </c>
      <c r="W3080" t="s">
        <v>37576</v>
      </c>
      <c r="X3080" t="s">
        <v>40440</v>
      </c>
    </row>
    <row r="3081" spans="1:24">
      <c r="A3081">
        <f>HYPERLINK("https://www.philgeps.gov.ph/GEPSNONPILOT/Tender/SplashBidNoticeAbstractUI.aspx?menuIndex=3&amp;refID=7044939&amp;Result=3","7044939")</f>
        <v>0</v>
      </c>
      <c r="B3081" t="s">
        <v>1211</v>
      </c>
      <c r="C3081" t="s">
        <v>6031</v>
      </c>
      <c r="D3081" t="s">
        <v>16192</v>
      </c>
      <c r="E3081" t="s">
        <v>19069</v>
      </c>
      <c r="F3081" t="s">
        <v>28198</v>
      </c>
      <c r="G3081" t="s">
        <v>28205</v>
      </c>
      <c r="H3081" t="s">
        <v>28214</v>
      </c>
      <c r="I3081" t="s">
        <v>3797</v>
      </c>
      <c r="J3081" t="s">
        <v>30414</v>
      </c>
      <c r="K3081" t="s">
        <v>36761</v>
      </c>
      <c r="M3081" t="s">
        <v>38256</v>
      </c>
      <c r="N3081" t="s">
        <v>40436</v>
      </c>
      <c r="O3081" t="s">
        <v>40437</v>
      </c>
      <c r="P3081">
        <v>0</v>
      </c>
      <c r="Q3081">
        <v>2</v>
      </c>
      <c r="R3081" t="s">
        <v>40439</v>
      </c>
      <c r="S3081" t="s">
        <v>40588</v>
      </c>
      <c r="T3081" t="s">
        <v>42106</v>
      </c>
      <c r="U3081" t="s">
        <v>45306</v>
      </c>
      <c r="W3081" t="s">
        <v>38256</v>
      </c>
      <c r="X3081" t="s">
        <v>40440</v>
      </c>
    </row>
    <row r="3082" spans="1:24">
      <c r="A3082">
        <f>HYPERLINK("https://www.philgeps.gov.ph/GEPSNONPILOT/Tender/SplashBidNoticeAbstractUI.aspx?menuIndex=3&amp;refID=7044948&amp;Result=3","7044948")</f>
        <v>0</v>
      </c>
      <c r="B3082" t="s">
        <v>1063</v>
      </c>
      <c r="C3082" t="s">
        <v>6032</v>
      </c>
      <c r="D3082" t="s">
        <v>16188</v>
      </c>
      <c r="E3082" t="s">
        <v>19070</v>
      </c>
      <c r="F3082" t="s">
        <v>28198</v>
      </c>
      <c r="G3082" t="s">
        <v>28207</v>
      </c>
      <c r="H3082" t="s">
        <v>28215</v>
      </c>
      <c r="I3082" t="s">
        <v>28225</v>
      </c>
      <c r="J3082" t="s">
        <v>30415</v>
      </c>
      <c r="K3082" t="s">
        <v>36689</v>
      </c>
      <c r="M3082" t="s">
        <v>38096</v>
      </c>
      <c r="N3082" t="s">
        <v>40436</v>
      </c>
      <c r="O3082" t="s">
        <v>40437</v>
      </c>
      <c r="P3082">
        <v>0</v>
      </c>
      <c r="Q3082">
        <v>2</v>
      </c>
      <c r="R3082" t="s">
        <v>40439</v>
      </c>
      <c r="S3082" t="s">
        <v>40588</v>
      </c>
      <c r="T3082" t="s">
        <v>42318</v>
      </c>
      <c r="U3082" t="s">
        <v>45307</v>
      </c>
      <c r="W3082" t="s">
        <v>38096</v>
      </c>
      <c r="X3082" t="s">
        <v>40440</v>
      </c>
    </row>
    <row r="3083" spans="1:24">
      <c r="A3083">
        <f>HYPERLINK("https://www.philgeps.gov.ph/GEPSNONPILOT/Tender/SplashBidNoticeAbstractUI.aspx?menuIndex=3&amp;refID=7044963&amp;Result=3","7044963")</f>
        <v>0</v>
      </c>
      <c r="B3083" t="s">
        <v>1212</v>
      </c>
      <c r="C3083" t="s">
        <v>6033</v>
      </c>
      <c r="D3083" t="s">
        <v>16264</v>
      </c>
      <c r="E3083" t="s">
        <v>19071</v>
      </c>
      <c r="F3083" t="s">
        <v>28198</v>
      </c>
      <c r="G3083" t="s">
        <v>28207</v>
      </c>
      <c r="H3083" t="s">
        <v>28215</v>
      </c>
      <c r="I3083" t="s">
        <v>28253</v>
      </c>
      <c r="J3083" t="s">
        <v>30416</v>
      </c>
      <c r="K3083" t="s">
        <v>36687</v>
      </c>
      <c r="M3083" t="s">
        <v>38257</v>
      </c>
      <c r="N3083" t="s">
        <v>40436</v>
      </c>
      <c r="O3083" t="s">
        <v>40437</v>
      </c>
      <c r="P3083">
        <v>0</v>
      </c>
      <c r="Q3083">
        <v>2</v>
      </c>
      <c r="R3083" t="s">
        <v>40439</v>
      </c>
      <c r="S3083" t="s">
        <v>40588</v>
      </c>
      <c r="T3083" t="s">
        <v>42131</v>
      </c>
      <c r="U3083" t="s">
        <v>45308</v>
      </c>
      <c r="W3083" t="s">
        <v>38257</v>
      </c>
      <c r="X3083" t="s">
        <v>40440</v>
      </c>
    </row>
    <row r="3084" spans="1:24">
      <c r="A3084">
        <f>HYPERLINK("https://www.philgeps.gov.ph/GEPSNONPILOT/Tender/SplashBidNoticeAbstractUI.aspx?menuIndex=3&amp;refID=7044950&amp;Result=3","7044950")</f>
        <v>0</v>
      </c>
      <c r="B3084" t="s">
        <v>1175</v>
      </c>
      <c r="C3084" t="s">
        <v>6034</v>
      </c>
      <c r="D3084" t="s">
        <v>16190</v>
      </c>
      <c r="E3084" t="s">
        <v>19072</v>
      </c>
      <c r="F3084" t="s">
        <v>28198</v>
      </c>
      <c r="G3084" t="s">
        <v>28207</v>
      </c>
      <c r="H3084" t="s">
        <v>28215</v>
      </c>
      <c r="I3084" t="s">
        <v>5631</v>
      </c>
      <c r="J3084" t="s">
        <v>28378</v>
      </c>
      <c r="K3084" t="s">
        <v>36697</v>
      </c>
      <c r="M3084" t="s">
        <v>38217</v>
      </c>
      <c r="N3084" t="s">
        <v>40436</v>
      </c>
      <c r="O3084" t="s">
        <v>40437</v>
      </c>
      <c r="P3084">
        <v>0</v>
      </c>
      <c r="Q3084">
        <v>0</v>
      </c>
      <c r="R3084" t="s">
        <v>40439</v>
      </c>
      <c r="S3084" t="s">
        <v>40588</v>
      </c>
      <c r="T3084" t="s">
        <v>42176</v>
      </c>
      <c r="U3084" t="s">
        <v>45309</v>
      </c>
      <c r="W3084" t="s">
        <v>38217</v>
      </c>
      <c r="X3084" t="s">
        <v>40440</v>
      </c>
    </row>
    <row r="3085" spans="1:24">
      <c r="A3085">
        <f>HYPERLINK("https://www.philgeps.gov.ph/GEPSNONPILOT/Tender/SplashBidNoticeAbstractUI.aspx?menuIndex=3&amp;refID=7044960&amp;Result=3","7044960")</f>
        <v>0</v>
      </c>
      <c r="B3085" t="s">
        <v>1063</v>
      </c>
      <c r="C3085" t="s">
        <v>6035</v>
      </c>
      <c r="D3085" t="s">
        <v>16188</v>
      </c>
      <c r="E3085" t="s">
        <v>19073</v>
      </c>
      <c r="F3085" t="s">
        <v>28198</v>
      </c>
      <c r="G3085" t="s">
        <v>28207</v>
      </c>
      <c r="H3085" t="s">
        <v>28215</v>
      </c>
      <c r="I3085" t="s">
        <v>28227</v>
      </c>
      <c r="J3085" t="s">
        <v>30417</v>
      </c>
      <c r="K3085" t="s">
        <v>36689</v>
      </c>
      <c r="M3085" t="s">
        <v>38096</v>
      </c>
      <c r="N3085" t="s">
        <v>40436</v>
      </c>
      <c r="O3085" t="s">
        <v>40437</v>
      </c>
      <c r="P3085">
        <v>0</v>
      </c>
      <c r="Q3085">
        <v>2</v>
      </c>
      <c r="R3085" t="s">
        <v>40439</v>
      </c>
      <c r="S3085" t="s">
        <v>40588</v>
      </c>
      <c r="T3085" t="s">
        <v>42318</v>
      </c>
      <c r="U3085" t="s">
        <v>45310</v>
      </c>
      <c r="W3085" t="s">
        <v>38096</v>
      </c>
      <c r="X3085" t="s">
        <v>40440</v>
      </c>
    </row>
    <row r="3086" spans="1:24">
      <c r="A3086">
        <f>HYPERLINK("https://www.philgeps.gov.ph/GEPSNONPILOT/Tender/SplashBidNoticeAbstractUI.aspx?menuIndex=3&amp;refID=7044959&amp;Result=3","7044959")</f>
        <v>0</v>
      </c>
      <c r="B3086" t="s">
        <v>422</v>
      </c>
      <c r="C3086" t="s">
        <v>6036</v>
      </c>
      <c r="D3086" t="s">
        <v>16203</v>
      </c>
      <c r="E3086" t="s">
        <v>19074</v>
      </c>
      <c r="F3086" t="s">
        <v>28198</v>
      </c>
      <c r="G3086" t="s">
        <v>28206</v>
      </c>
      <c r="H3086" t="s">
        <v>28215</v>
      </c>
      <c r="I3086" t="s">
        <v>4168</v>
      </c>
      <c r="J3086" t="s">
        <v>30418</v>
      </c>
      <c r="K3086" t="s">
        <v>36689</v>
      </c>
      <c r="M3086" t="s">
        <v>37404</v>
      </c>
      <c r="N3086" t="s">
        <v>40436</v>
      </c>
      <c r="O3086" t="s">
        <v>40437</v>
      </c>
      <c r="P3086">
        <v>0</v>
      </c>
      <c r="Q3086">
        <v>3</v>
      </c>
      <c r="R3086" t="s">
        <v>40439</v>
      </c>
      <c r="S3086" t="s">
        <v>40588</v>
      </c>
      <c r="T3086" t="s">
        <v>42175</v>
      </c>
      <c r="U3086" t="s">
        <v>43338</v>
      </c>
      <c r="W3086" t="s">
        <v>37404</v>
      </c>
      <c r="X3086" t="s">
        <v>40440</v>
      </c>
    </row>
    <row r="3087" spans="1:24">
      <c r="A3087">
        <f>HYPERLINK("https://www.philgeps.gov.ph/GEPSNONPILOT/Tender/SplashBidNoticeAbstractUI.aspx?menuIndex=3&amp;refID=7044964&amp;Result=3","7044964")</f>
        <v>0</v>
      </c>
      <c r="B3087" t="s">
        <v>580</v>
      </c>
      <c r="C3087" t="s">
        <v>6037</v>
      </c>
      <c r="D3087" t="s">
        <v>16214</v>
      </c>
      <c r="E3087" t="s">
        <v>19075</v>
      </c>
      <c r="F3087" t="s">
        <v>28198</v>
      </c>
      <c r="G3087" t="s">
        <v>28205</v>
      </c>
      <c r="H3087" t="s">
        <v>28215</v>
      </c>
      <c r="I3087" t="s">
        <v>28239</v>
      </c>
      <c r="J3087" t="s">
        <v>28398</v>
      </c>
      <c r="K3087" t="s">
        <v>36701</v>
      </c>
      <c r="M3087" t="s">
        <v>37570</v>
      </c>
      <c r="N3087" t="s">
        <v>40436</v>
      </c>
      <c r="O3087" t="s">
        <v>40437</v>
      </c>
      <c r="P3087">
        <v>0</v>
      </c>
      <c r="Q3087">
        <v>1</v>
      </c>
      <c r="R3087" t="s">
        <v>40439</v>
      </c>
      <c r="S3087" t="s">
        <v>40588</v>
      </c>
      <c r="T3087" t="s">
        <v>42110</v>
      </c>
      <c r="U3087" t="s">
        <v>45311</v>
      </c>
      <c r="W3087" t="s">
        <v>37570</v>
      </c>
      <c r="X3087" t="s">
        <v>40440</v>
      </c>
    </row>
    <row r="3088" spans="1:24">
      <c r="A3088">
        <f>HYPERLINK("https://www.philgeps.gov.ph/GEPSNONPILOT/Tender/SplashBidNoticeAbstractUI.aspx?menuIndex=3&amp;refID=7044957&amp;Result=3","7044957")</f>
        <v>0</v>
      </c>
      <c r="B3088" t="s">
        <v>856</v>
      </c>
      <c r="C3088" t="s">
        <v>6038</v>
      </c>
      <c r="D3088" t="s">
        <v>16221</v>
      </c>
      <c r="E3088" t="s">
        <v>19076</v>
      </c>
      <c r="F3088" t="s">
        <v>28198</v>
      </c>
      <c r="G3088" t="s">
        <v>28207</v>
      </c>
      <c r="H3088" t="s">
        <v>28215</v>
      </c>
      <c r="I3088" t="s">
        <v>3422</v>
      </c>
      <c r="J3088" t="s">
        <v>30419</v>
      </c>
      <c r="K3088" t="s">
        <v>36689</v>
      </c>
      <c r="M3088" t="s">
        <v>37868</v>
      </c>
      <c r="N3088" t="s">
        <v>40436</v>
      </c>
      <c r="O3088" t="s">
        <v>40437</v>
      </c>
      <c r="P3088">
        <v>0</v>
      </c>
      <c r="Q3088">
        <v>0</v>
      </c>
      <c r="R3088" t="s">
        <v>40439</v>
      </c>
      <c r="S3088" t="s">
        <v>40588</v>
      </c>
      <c r="T3088" t="s">
        <v>42103</v>
      </c>
      <c r="U3088" t="s">
        <v>44279</v>
      </c>
      <c r="W3088" t="s">
        <v>39895</v>
      </c>
      <c r="X3088" t="s">
        <v>40440</v>
      </c>
    </row>
    <row r="3089" spans="1:24">
      <c r="A3089">
        <f>HYPERLINK("https://www.philgeps.gov.ph/GEPSNONPILOT/Tender/SplashBidNoticeAbstractUI.aspx?menuIndex=3&amp;refID=7044954&amp;Result=3","7044954")</f>
        <v>0</v>
      </c>
      <c r="B3089" t="s">
        <v>422</v>
      </c>
      <c r="C3089" t="s">
        <v>6039</v>
      </c>
      <c r="D3089" t="s">
        <v>16203</v>
      </c>
      <c r="E3089" t="s">
        <v>19052</v>
      </c>
      <c r="F3089" t="s">
        <v>28198</v>
      </c>
      <c r="G3089" t="s">
        <v>28207</v>
      </c>
      <c r="H3089" t="s">
        <v>28215</v>
      </c>
      <c r="I3089" t="s">
        <v>28300</v>
      </c>
      <c r="J3089" t="s">
        <v>30420</v>
      </c>
      <c r="K3089" t="s">
        <v>36689</v>
      </c>
      <c r="M3089" t="s">
        <v>37404</v>
      </c>
      <c r="N3089" t="s">
        <v>40436</v>
      </c>
      <c r="O3089" t="s">
        <v>40437</v>
      </c>
      <c r="P3089">
        <v>0</v>
      </c>
      <c r="Q3089">
        <v>3</v>
      </c>
      <c r="R3089" t="s">
        <v>40439</v>
      </c>
      <c r="S3089" t="s">
        <v>40588</v>
      </c>
      <c r="T3089" t="s">
        <v>42175</v>
      </c>
      <c r="U3089" t="s">
        <v>43338</v>
      </c>
      <c r="W3089" t="s">
        <v>37404</v>
      </c>
      <c r="X3089" t="s">
        <v>40440</v>
      </c>
    </row>
    <row r="3090" spans="1:24">
      <c r="A3090">
        <f>HYPERLINK("https://www.philgeps.gov.ph/GEPSNONPILOT/Tender/SplashBidNoticeAbstractUI.aspx?menuIndex=3&amp;refID=7044962&amp;Result=3","7044962")</f>
        <v>0</v>
      </c>
      <c r="B3090" t="s">
        <v>1024</v>
      </c>
      <c r="C3090" t="s">
        <v>5398</v>
      </c>
      <c r="D3090" t="s">
        <v>16197</v>
      </c>
      <c r="E3090" t="s">
        <v>19077</v>
      </c>
      <c r="F3090" t="s">
        <v>28198</v>
      </c>
      <c r="G3090" t="s">
        <v>28206</v>
      </c>
      <c r="H3090" t="s">
        <v>28215</v>
      </c>
      <c r="I3090" t="s">
        <v>5656</v>
      </c>
      <c r="J3090" t="s">
        <v>30421</v>
      </c>
      <c r="K3090" t="s">
        <v>36691</v>
      </c>
      <c r="M3090" t="s">
        <v>38055</v>
      </c>
      <c r="N3090" t="s">
        <v>40436</v>
      </c>
      <c r="O3090" t="s">
        <v>40437</v>
      </c>
      <c r="P3090">
        <v>0</v>
      </c>
      <c r="Q3090">
        <v>0</v>
      </c>
      <c r="R3090" t="s">
        <v>40439</v>
      </c>
      <c r="S3090" t="s">
        <v>40588</v>
      </c>
      <c r="T3090" t="s">
        <v>42098</v>
      </c>
      <c r="U3090" t="s">
        <v>45312</v>
      </c>
      <c r="W3090" t="s">
        <v>38055</v>
      </c>
      <c r="X3090" t="s">
        <v>40440</v>
      </c>
    </row>
    <row r="3091" spans="1:24">
      <c r="A3091">
        <f>HYPERLINK("https://www.philgeps.gov.ph/GEPSNONPILOT/Tender/SplashBidNoticeAbstractUI.aspx?menuIndex=3&amp;refID=7044953&amp;Result=3","7044953")</f>
        <v>0</v>
      </c>
      <c r="B3091" t="s">
        <v>1187</v>
      </c>
      <c r="C3091" t="s">
        <v>6040</v>
      </c>
      <c r="D3091" t="s">
        <v>16197</v>
      </c>
      <c r="E3091" t="s">
        <v>16591</v>
      </c>
      <c r="F3091" t="s">
        <v>28198</v>
      </c>
      <c r="G3091" t="s">
        <v>28205</v>
      </c>
      <c r="H3091" t="s">
        <v>28215</v>
      </c>
      <c r="I3091" t="s">
        <v>28224</v>
      </c>
      <c r="J3091" t="s">
        <v>30422</v>
      </c>
      <c r="K3091" t="s">
        <v>36706</v>
      </c>
      <c r="M3091" t="s">
        <v>38229</v>
      </c>
      <c r="N3091" t="s">
        <v>40436</v>
      </c>
      <c r="O3091" t="s">
        <v>40437</v>
      </c>
      <c r="P3091">
        <v>0</v>
      </c>
      <c r="Q3091">
        <v>3</v>
      </c>
      <c r="R3091" t="s">
        <v>40439</v>
      </c>
      <c r="S3091" t="s">
        <v>40588</v>
      </c>
      <c r="T3091" t="s">
        <v>42150</v>
      </c>
      <c r="U3091" t="s">
        <v>45313</v>
      </c>
      <c r="W3091" t="s">
        <v>38229</v>
      </c>
      <c r="X3091" t="s">
        <v>40440</v>
      </c>
    </row>
    <row r="3092" spans="1:24">
      <c r="A3092">
        <f>HYPERLINK("https://www.philgeps.gov.ph/GEPSNONPILOT/Tender/SplashBidNoticeAbstractUI.aspx?menuIndex=3&amp;refID=7044949&amp;Result=3","7044949")</f>
        <v>0</v>
      </c>
      <c r="B3092" t="s">
        <v>242</v>
      </c>
      <c r="C3092" t="s">
        <v>6041</v>
      </c>
      <c r="D3092" t="s">
        <v>16254</v>
      </c>
      <c r="E3092" t="s">
        <v>19078</v>
      </c>
      <c r="F3092" t="s">
        <v>28198</v>
      </c>
      <c r="G3092" t="s">
        <v>28207</v>
      </c>
      <c r="H3092" t="s">
        <v>28215</v>
      </c>
      <c r="I3092" t="s">
        <v>28257</v>
      </c>
      <c r="J3092" t="s">
        <v>28415</v>
      </c>
      <c r="K3092" t="s">
        <v>36707</v>
      </c>
      <c r="M3092" t="s">
        <v>37218</v>
      </c>
      <c r="N3092" t="s">
        <v>40436</v>
      </c>
      <c r="O3092" t="s">
        <v>40437</v>
      </c>
      <c r="P3092">
        <v>0</v>
      </c>
      <c r="Q3092">
        <v>0</v>
      </c>
      <c r="R3092" t="s">
        <v>40439</v>
      </c>
      <c r="S3092" t="s">
        <v>40588</v>
      </c>
      <c r="T3092" t="s">
        <v>42129</v>
      </c>
      <c r="U3092" t="s">
        <v>45314</v>
      </c>
      <c r="W3092" t="s">
        <v>37218</v>
      </c>
      <c r="X3092" t="s">
        <v>40440</v>
      </c>
    </row>
    <row r="3093" spans="1:24">
      <c r="A3093">
        <f>HYPERLINK("https://www.philgeps.gov.ph/GEPSNONPILOT/Tender/SplashBidNoticeAbstractUI.aspx?menuIndex=3&amp;refID=7044958&amp;Result=3","7044958")</f>
        <v>0</v>
      </c>
      <c r="B3093" t="s">
        <v>1181</v>
      </c>
      <c r="C3093" t="s">
        <v>6042</v>
      </c>
      <c r="D3093" t="s">
        <v>16210</v>
      </c>
      <c r="E3093" t="s">
        <v>18994</v>
      </c>
      <c r="F3093" t="s">
        <v>28198</v>
      </c>
      <c r="G3093" t="s">
        <v>28207</v>
      </c>
      <c r="H3093" t="s">
        <v>28215</v>
      </c>
      <c r="I3093" t="s">
        <v>28265</v>
      </c>
      <c r="J3093" t="s">
        <v>30423</v>
      </c>
      <c r="K3093" t="s">
        <v>36706</v>
      </c>
      <c r="M3093" t="s">
        <v>38223</v>
      </c>
      <c r="N3093" t="s">
        <v>40436</v>
      </c>
      <c r="O3093" t="s">
        <v>40437</v>
      </c>
      <c r="P3093">
        <v>0</v>
      </c>
      <c r="Q3093">
        <v>0</v>
      </c>
      <c r="R3093" t="s">
        <v>40439</v>
      </c>
      <c r="S3093" t="s">
        <v>40588</v>
      </c>
      <c r="T3093" t="s">
        <v>42119</v>
      </c>
      <c r="U3093" t="s">
        <v>45315</v>
      </c>
      <c r="W3093" t="s">
        <v>38223</v>
      </c>
      <c r="X3093" t="s">
        <v>40440</v>
      </c>
    </row>
    <row r="3094" spans="1:24">
      <c r="A3094">
        <f>HYPERLINK("https://www.philgeps.gov.ph/GEPSNONPILOT/Tender/SplashBidNoticeAbstractUI.aspx?menuIndex=3&amp;refID=7044968&amp;Result=3","7044968")</f>
        <v>0</v>
      </c>
      <c r="B3094" t="s">
        <v>1011</v>
      </c>
      <c r="C3094" t="s">
        <v>6043</v>
      </c>
      <c r="D3094" t="s">
        <v>16226</v>
      </c>
      <c r="E3094" t="s">
        <v>19079</v>
      </c>
      <c r="F3094" t="s">
        <v>28198</v>
      </c>
      <c r="G3094" t="s">
        <v>28206</v>
      </c>
      <c r="H3094" t="s">
        <v>28215</v>
      </c>
      <c r="I3094" t="s">
        <v>28234</v>
      </c>
      <c r="J3094" t="s">
        <v>30424</v>
      </c>
      <c r="K3094" t="s">
        <v>36688</v>
      </c>
      <c r="M3094" t="s">
        <v>38039</v>
      </c>
      <c r="N3094" t="s">
        <v>40436</v>
      </c>
      <c r="O3094" t="s">
        <v>40437</v>
      </c>
      <c r="P3094">
        <v>0</v>
      </c>
      <c r="Q3094">
        <v>5</v>
      </c>
      <c r="R3094" t="s">
        <v>40439</v>
      </c>
      <c r="S3094" t="s">
        <v>40588</v>
      </c>
      <c r="T3094" t="s">
        <v>42158</v>
      </c>
      <c r="U3094" t="s">
        <v>45316</v>
      </c>
      <c r="W3094" t="s">
        <v>38039</v>
      </c>
      <c r="X3094" t="s">
        <v>40440</v>
      </c>
    </row>
    <row r="3095" spans="1:24">
      <c r="A3095">
        <f>HYPERLINK("https://www.philgeps.gov.ph/GEPSNONPILOT/Tender/SplashBidNoticeAbstractUI.aspx?menuIndex=3&amp;refID=7044951&amp;Result=3","7044951")</f>
        <v>0</v>
      </c>
      <c r="B3095" t="s">
        <v>1213</v>
      </c>
      <c r="C3095" t="s">
        <v>6044</v>
      </c>
      <c r="D3095" t="s">
        <v>16203</v>
      </c>
      <c r="E3095" t="s">
        <v>19080</v>
      </c>
      <c r="F3095" t="s">
        <v>28198</v>
      </c>
      <c r="G3095" t="s">
        <v>28207</v>
      </c>
      <c r="H3095" t="s">
        <v>28215</v>
      </c>
      <c r="I3095" t="s">
        <v>5100</v>
      </c>
      <c r="J3095" t="s">
        <v>28880</v>
      </c>
      <c r="K3095" t="s">
        <v>36691</v>
      </c>
      <c r="M3095" t="s">
        <v>38258</v>
      </c>
      <c r="N3095" t="s">
        <v>40436</v>
      </c>
      <c r="O3095" t="s">
        <v>40437</v>
      </c>
      <c r="P3095">
        <v>0</v>
      </c>
      <c r="Q3095">
        <v>0</v>
      </c>
      <c r="R3095" t="s">
        <v>40439</v>
      </c>
      <c r="S3095" t="s">
        <v>40588</v>
      </c>
      <c r="T3095" t="s">
        <v>42190</v>
      </c>
      <c r="U3095" t="s">
        <v>45317</v>
      </c>
      <c r="W3095" t="s">
        <v>38258</v>
      </c>
      <c r="X3095" t="s">
        <v>40440</v>
      </c>
    </row>
    <row r="3096" spans="1:24">
      <c r="A3096">
        <f>HYPERLINK("https://www.philgeps.gov.ph/GEPSNONPILOT/Tender/SplashBidNoticeAbstractUI.aspx?menuIndex=3&amp;refID=7044943&amp;Result=3","7044943")</f>
        <v>0</v>
      </c>
      <c r="B3096" t="s">
        <v>232</v>
      </c>
      <c r="C3096" t="s">
        <v>6045</v>
      </c>
      <c r="D3096" t="s">
        <v>16244</v>
      </c>
      <c r="E3096" t="s">
        <v>19081</v>
      </c>
      <c r="F3096" t="s">
        <v>28198</v>
      </c>
      <c r="G3096" t="s">
        <v>28207</v>
      </c>
      <c r="H3096" t="s">
        <v>28215</v>
      </c>
      <c r="I3096" t="s">
        <v>4321</v>
      </c>
      <c r="J3096" t="s">
        <v>30425</v>
      </c>
      <c r="K3096" t="s">
        <v>36696</v>
      </c>
      <c r="M3096" t="s">
        <v>37208</v>
      </c>
      <c r="N3096" t="s">
        <v>40436</v>
      </c>
      <c r="O3096" t="s">
        <v>40437</v>
      </c>
      <c r="P3096">
        <v>0</v>
      </c>
      <c r="Q3096">
        <v>2</v>
      </c>
      <c r="R3096" t="s">
        <v>40439</v>
      </c>
      <c r="S3096" t="s">
        <v>40588</v>
      </c>
      <c r="T3096" t="s">
        <v>42190</v>
      </c>
      <c r="U3096" t="s">
        <v>45318</v>
      </c>
      <c r="W3096" t="s">
        <v>37208</v>
      </c>
      <c r="X3096" t="s">
        <v>40440</v>
      </c>
    </row>
    <row r="3097" spans="1:24">
      <c r="A3097">
        <f>HYPERLINK("https://www.philgeps.gov.ph/GEPSNONPILOT/Tender/SplashBidNoticeAbstractUI.aspx?menuIndex=3&amp;refID=7044952&amp;Result=3","7044952")</f>
        <v>0</v>
      </c>
      <c r="B3097" t="s">
        <v>454</v>
      </c>
      <c r="C3097" t="s">
        <v>6046</v>
      </c>
      <c r="D3097" t="s">
        <v>16211</v>
      </c>
      <c r="E3097" t="s">
        <v>19082</v>
      </c>
      <c r="F3097" t="s">
        <v>28198</v>
      </c>
      <c r="G3097" t="s">
        <v>28207</v>
      </c>
      <c r="H3097" t="s">
        <v>28215</v>
      </c>
      <c r="I3097" t="s">
        <v>5100</v>
      </c>
      <c r="J3097" t="s">
        <v>30426</v>
      </c>
      <c r="K3097" t="s">
        <v>36701</v>
      </c>
      <c r="M3097" t="s">
        <v>37438</v>
      </c>
      <c r="N3097" t="s">
        <v>40436</v>
      </c>
      <c r="O3097" t="s">
        <v>40437</v>
      </c>
      <c r="P3097">
        <v>0</v>
      </c>
      <c r="Q3097">
        <v>0</v>
      </c>
      <c r="R3097" t="s">
        <v>40439</v>
      </c>
      <c r="S3097" t="s">
        <v>40588</v>
      </c>
      <c r="T3097" t="s">
        <v>42318</v>
      </c>
      <c r="U3097" t="s">
        <v>45319</v>
      </c>
      <c r="W3097" t="s">
        <v>55449</v>
      </c>
      <c r="X3097" t="s">
        <v>40440</v>
      </c>
    </row>
    <row r="3098" spans="1:24">
      <c r="A3098">
        <f>HYPERLINK("https://www.philgeps.gov.ph/GEPSNONPILOT/Tender/SplashBidNoticeAbstractUI.aspx?menuIndex=3&amp;refID=7044944&amp;Result=3","7044944")</f>
        <v>0</v>
      </c>
      <c r="B3098" t="s">
        <v>305</v>
      </c>
      <c r="C3098" t="s">
        <v>6047</v>
      </c>
      <c r="D3098" t="s">
        <v>16197</v>
      </c>
      <c r="E3098" t="s">
        <v>19083</v>
      </c>
      <c r="F3098" t="s">
        <v>28198</v>
      </c>
      <c r="G3098" t="s">
        <v>28207</v>
      </c>
      <c r="H3098" t="s">
        <v>28215</v>
      </c>
      <c r="I3098" t="s">
        <v>3422</v>
      </c>
      <c r="J3098" t="s">
        <v>30427</v>
      </c>
      <c r="K3098" t="s">
        <v>36688</v>
      </c>
      <c r="M3098" t="s">
        <v>38213</v>
      </c>
      <c r="N3098" t="s">
        <v>40436</v>
      </c>
      <c r="O3098" t="s">
        <v>40437</v>
      </c>
      <c r="P3098">
        <v>0</v>
      </c>
      <c r="Q3098">
        <v>0</v>
      </c>
      <c r="R3098" t="s">
        <v>40439</v>
      </c>
      <c r="S3098" t="s">
        <v>40588</v>
      </c>
      <c r="T3098" t="s">
        <v>42133</v>
      </c>
      <c r="U3098" t="s">
        <v>45201</v>
      </c>
      <c r="W3098" t="s">
        <v>38213</v>
      </c>
      <c r="X3098" t="s">
        <v>40440</v>
      </c>
    </row>
    <row r="3099" spans="1:24">
      <c r="A3099">
        <f>HYPERLINK("https://www.philgeps.gov.ph/GEPSNONPILOT/Tender/SplashBidNoticeAbstractUI.aspx?menuIndex=3&amp;refID=7044967&amp;Result=3","7044967")</f>
        <v>0</v>
      </c>
      <c r="B3099" t="s">
        <v>1208</v>
      </c>
      <c r="C3099" t="s">
        <v>6048</v>
      </c>
      <c r="D3099" t="s">
        <v>16211</v>
      </c>
      <c r="E3099" t="s">
        <v>18188</v>
      </c>
      <c r="F3099" t="s">
        <v>28198</v>
      </c>
      <c r="G3099" t="s">
        <v>28210</v>
      </c>
      <c r="H3099" t="s">
        <v>28215</v>
      </c>
      <c r="I3099" t="s">
        <v>6013</v>
      </c>
      <c r="J3099" t="s">
        <v>29554</v>
      </c>
      <c r="K3099" t="s">
        <v>36701</v>
      </c>
      <c r="M3099" t="s">
        <v>38253</v>
      </c>
      <c r="N3099" t="s">
        <v>40436</v>
      </c>
      <c r="O3099" t="s">
        <v>40437</v>
      </c>
      <c r="P3099">
        <v>0</v>
      </c>
      <c r="Q3099">
        <v>0</v>
      </c>
      <c r="R3099" t="s">
        <v>40439</v>
      </c>
      <c r="S3099" t="s">
        <v>40588</v>
      </c>
      <c r="T3099" t="s">
        <v>42169</v>
      </c>
      <c r="U3099" t="s">
        <v>45320</v>
      </c>
      <c r="W3099" t="s">
        <v>38253</v>
      </c>
      <c r="X3099" t="s">
        <v>40440</v>
      </c>
    </row>
    <row r="3100" spans="1:24">
      <c r="A3100">
        <f>HYPERLINK("https://www.philgeps.gov.ph/GEPSNONPILOT/Tender/SplashBidNoticeAbstractUI.aspx?menuIndex=3&amp;refID=7044971&amp;Result=3","7044971")</f>
        <v>0</v>
      </c>
      <c r="B3100" t="s">
        <v>619</v>
      </c>
      <c r="C3100" t="s">
        <v>6049</v>
      </c>
      <c r="D3100" t="s">
        <v>16190</v>
      </c>
      <c r="E3100" t="s">
        <v>19084</v>
      </c>
      <c r="F3100" t="s">
        <v>28199</v>
      </c>
      <c r="G3100" t="s">
        <v>28210</v>
      </c>
      <c r="H3100" t="s">
        <v>28215</v>
      </c>
      <c r="I3100" t="s">
        <v>5103</v>
      </c>
      <c r="J3100" t="s">
        <v>28354</v>
      </c>
      <c r="K3100" t="s">
        <v>36691</v>
      </c>
      <c r="M3100" t="s">
        <v>37611</v>
      </c>
      <c r="N3100" t="s">
        <v>40436</v>
      </c>
      <c r="O3100" t="s">
        <v>40437</v>
      </c>
      <c r="P3100">
        <v>0</v>
      </c>
      <c r="Q3100">
        <v>1</v>
      </c>
      <c r="R3100" t="s">
        <v>40439</v>
      </c>
      <c r="S3100" t="s">
        <v>40588</v>
      </c>
      <c r="T3100" t="s">
        <v>42175</v>
      </c>
      <c r="U3100" t="s">
        <v>45321</v>
      </c>
      <c r="W3100" t="s">
        <v>37611</v>
      </c>
      <c r="X3100" t="s">
        <v>40440</v>
      </c>
    </row>
    <row r="3101" spans="1:24">
      <c r="A3101">
        <f>HYPERLINK("https://www.philgeps.gov.ph/GEPSNONPILOT/Tender/SplashBidNoticeAbstractUI.aspx?menuIndex=3&amp;refID=7044956&amp;Result=3","7044956")</f>
        <v>0</v>
      </c>
      <c r="B3101" t="s">
        <v>487</v>
      </c>
      <c r="C3101" t="s">
        <v>6050</v>
      </c>
      <c r="D3101" t="s">
        <v>16245</v>
      </c>
      <c r="E3101" t="s">
        <v>19085</v>
      </c>
      <c r="F3101" t="s">
        <v>28198</v>
      </c>
      <c r="G3101" t="s">
        <v>28207</v>
      </c>
      <c r="H3101" t="s">
        <v>28215</v>
      </c>
      <c r="I3101" t="s">
        <v>4168</v>
      </c>
      <c r="J3101" t="s">
        <v>28352</v>
      </c>
      <c r="K3101" t="s">
        <v>36689</v>
      </c>
      <c r="M3101" t="s">
        <v>37472</v>
      </c>
      <c r="N3101" t="s">
        <v>40436</v>
      </c>
      <c r="O3101" t="s">
        <v>40437</v>
      </c>
      <c r="P3101">
        <v>0</v>
      </c>
      <c r="Q3101">
        <v>1</v>
      </c>
      <c r="R3101" t="s">
        <v>40439</v>
      </c>
      <c r="S3101" t="s">
        <v>40588</v>
      </c>
      <c r="T3101" t="s">
        <v>42163</v>
      </c>
      <c r="U3101" t="s">
        <v>45322</v>
      </c>
      <c r="W3101" t="s">
        <v>37472</v>
      </c>
      <c r="X3101" t="s">
        <v>40440</v>
      </c>
    </row>
    <row r="3102" spans="1:24">
      <c r="A3102">
        <f>HYPERLINK("https://www.philgeps.gov.ph/GEPSNONPILOT/Tender/SplashBidNoticeAbstractUI.aspx?menuIndex=3&amp;refID=7044955&amp;Result=3","7044955")</f>
        <v>0</v>
      </c>
      <c r="B3102" t="s">
        <v>1206</v>
      </c>
      <c r="C3102" t="s">
        <v>6051</v>
      </c>
      <c r="D3102" t="s">
        <v>16203</v>
      </c>
      <c r="E3102" t="s">
        <v>19086</v>
      </c>
      <c r="F3102" t="s">
        <v>28198</v>
      </c>
      <c r="G3102" t="s">
        <v>28207</v>
      </c>
      <c r="H3102" t="s">
        <v>28215</v>
      </c>
      <c r="I3102" t="s">
        <v>6051</v>
      </c>
      <c r="J3102" t="s">
        <v>28414</v>
      </c>
      <c r="K3102" t="s">
        <v>36701</v>
      </c>
      <c r="M3102" t="s">
        <v>38251</v>
      </c>
      <c r="N3102" t="s">
        <v>40436</v>
      </c>
      <c r="O3102" t="s">
        <v>40437</v>
      </c>
      <c r="P3102">
        <v>0</v>
      </c>
      <c r="Q3102">
        <v>0</v>
      </c>
      <c r="R3102" t="s">
        <v>40439</v>
      </c>
      <c r="S3102" t="s">
        <v>40588</v>
      </c>
      <c r="T3102" t="s">
        <v>42119</v>
      </c>
      <c r="U3102" t="s">
        <v>45323</v>
      </c>
      <c r="W3102" t="s">
        <v>38251</v>
      </c>
      <c r="X3102" t="s">
        <v>40440</v>
      </c>
    </row>
    <row r="3103" spans="1:24">
      <c r="A3103">
        <f>HYPERLINK("https://www.philgeps.gov.ph/GEPSNONPILOT/Tender/SplashBidNoticeAbstractUI.aspx?menuIndex=3&amp;refID=7044969&amp;Result=3","7044969")</f>
        <v>0</v>
      </c>
      <c r="B3103" t="s">
        <v>422</v>
      </c>
      <c r="C3103" t="s">
        <v>6052</v>
      </c>
      <c r="D3103" t="s">
        <v>16203</v>
      </c>
      <c r="E3103" t="s">
        <v>19087</v>
      </c>
      <c r="F3103" t="s">
        <v>28198</v>
      </c>
      <c r="G3103" t="s">
        <v>28207</v>
      </c>
      <c r="H3103" t="s">
        <v>28215</v>
      </c>
      <c r="I3103" t="s">
        <v>28237</v>
      </c>
      <c r="J3103" t="s">
        <v>30428</v>
      </c>
      <c r="K3103" t="s">
        <v>36689</v>
      </c>
      <c r="M3103" t="s">
        <v>37404</v>
      </c>
      <c r="N3103" t="s">
        <v>40436</v>
      </c>
      <c r="O3103" t="s">
        <v>40437</v>
      </c>
      <c r="P3103">
        <v>0</v>
      </c>
      <c r="Q3103">
        <v>0</v>
      </c>
      <c r="R3103" t="s">
        <v>40439</v>
      </c>
      <c r="S3103" t="s">
        <v>40588</v>
      </c>
      <c r="T3103" t="s">
        <v>42175</v>
      </c>
      <c r="U3103" t="s">
        <v>45259</v>
      </c>
      <c r="W3103" t="s">
        <v>37404</v>
      </c>
      <c r="X3103" t="s">
        <v>40440</v>
      </c>
    </row>
    <row r="3104" spans="1:24">
      <c r="A3104">
        <f>HYPERLINK("https://www.philgeps.gov.ph/GEPSNONPILOT/Tender/SplashBidNoticeAbstractUI.aspx?menuIndex=3&amp;refID=7044984&amp;Result=3","7044984")</f>
        <v>0</v>
      </c>
      <c r="B3104" t="s">
        <v>422</v>
      </c>
      <c r="C3104" t="s">
        <v>6053</v>
      </c>
      <c r="D3104" t="s">
        <v>16203</v>
      </c>
      <c r="E3104" t="s">
        <v>17056</v>
      </c>
      <c r="F3104" t="s">
        <v>28198</v>
      </c>
      <c r="G3104" t="s">
        <v>28207</v>
      </c>
      <c r="H3104" t="s">
        <v>28215</v>
      </c>
      <c r="I3104" t="s">
        <v>28237</v>
      </c>
      <c r="J3104" t="s">
        <v>28967</v>
      </c>
      <c r="K3104" t="s">
        <v>36689</v>
      </c>
      <c r="M3104" t="s">
        <v>37404</v>
      </c>
      <c r="N3104" t="s">
        <v>40436</v>
      </c>
      <c r="O3104" t="s">
        <v>40437</v>
      </c>
      <c r="P3104">
        <v>0</v>
      </c>
      <c r="Q3104">
        <v>2</v>
      </c>
      <c r="R3104" t="s">
        <v>40439</v>
      </c>
      <c r="S3104" t="s">
        <v>40588</v>
      </c>
      <c r="T3104" t="s">
        <v>42175</v>
      </c>
      <c r="U3104" t="s">
        <v>43338</v>
      </c>
      <c r="W3104" t="s">
        <v>37404</v>
      </c>
      <c r="X3104" t="s">
        <v>40440</v>
      </c>
    </row>
    <row r="3105" spans="1:24">
      <c r="A3105">
        <f>HYPERLINK("https://www.philgeps.gov.ph/GEPSNONPILOT/Tender/SplashBidNoticeAbstractUI.aspx?menuIndex=3&amp;refID=7044985&amp;Result=3","7044985")</f>
        <v>0</v>
      </c>
      <c r="B3105" t="s">
        <v>1175</v>
      </c>
      <c r="C3105" t="s">
        <v>6054</v>
      </c>
      <c r="D3105" t="s">
        <v>16190</v>
      </c>
      <c r="E3105" t="s">
        <v>19088</v>
      </c>
      <c r="F3105" t="s">
        <v>28198</v>
      </c>
      <c r="G3105" t="s">
        <v>28207</v>
      </c>
      <c r="H3105" t="s">
        <v>28214</v>
      </c>
      <c r="I3105" t="s">
        <v>8870</v>
      </c>
      <c r="J3105" t="s">
        <v>30429</v>
      </c>
      <c r="K3105" t="s">
        <v>36697</v>
      </c>
      <c r="M3105" t="s">
        <v>38217</v>
      </c>
      <c r="N3105" t="s">
        <v>40436</v>
      </c>
      <c r="O3105" t="s">
        <v>40437</v>
      </c>
      <c r="P3105">
        <v>0</v>
      </c>
      <c r="Q3105">
        <v>2</v>
      </c>
      <c r="R3105" t="s">
        <v>40439</v>
      </c>
      <c r="S3105" t="s">
        <v>40588</v>
      </c>
      <c r="T3105" t="s">
        <v>42176</v>
      </c>
      <c r="U3105" t="s">
        <v>45309</v>
      </c>
      <c r="W3105" t="s">
        <v>38217</v>
      </c>
      <c r="X3105" t="s">
        <v>40440</v>
      </c>
    </row>
    <row r="3106" spans="1:24">
      <c r="A3106">
        <f>HYPERLINK("https://www.philgeps.gov.ph/GEPSNONPILOT/Tender/SplashBidNoticeAbstractUI.aspx?menuIndex=3&amp;refID=7044982&amp;Result=3","7044982")</f>
        <v>0</v>
      </c>
      <c r="B3106" t="s">
        <v>572</v>
      </c>
      <c r="C3106" t="s">
        <v>6055</v>
      </c>
      <c r="D3106" t="s">
        <v>16192</v>
      </c>
      <c r="E3106" t="s">
        <v>19089</v>
      </c>
      <c r="F3106" t="s">
        <v>28198</v>
      </c>
      <c r="G3106" t="s">
        <v>28207</v>
      </c>
      <c r="H3106" t="s">
        <v>28215</v>
      </c>
      <c r="I3106" t="s">
        <v>28284</v>
      </c>
      <c r="J3106" t="s">
        <v>28606</v>
      </c>
      <c r="K3106" t="s">
        <v>36701</v>
      </c>
      <c r="M3106" t="s">
        <v>37560</v>
      </c>
      <c r="N3106" t="s">
        <v>40436</v>
      </c>
      <c r="O3106" t="s">
        <v>40437</v>
      </c>
      <c r="P3106">
        <v>0</v>
      </c>
      <c r="Q3106">
        <v>0</v>
      </c>
      <c r="R3106" t="s">
        <v>40439</v>
      </c>
      <c r="S3106" t="s">
        <v>40588</v>
      </c>
      <c r="T3106" t="s">
        <v>42190</v>
      </c>
      <c r="U3106" t="s">
        <v>45324</v>
      </c>
      <c r="W3106" t="s">
        <v>37560</v>
      </c>
      <c r="X3106" t="s">
        <v>40440</v>
      </c>
    </row>
    <row r="3107" spans="1:24">
      <c r="A3107">
        <f>HYPERLINK("https://www.philgeps.gov.ph/GEPSNONPILOT/Tender/SplashBidNoticeAbstractUI.aspx?menuIndex=3&amp;refID=7044978&amp;Result=3","7044978")</f>
        <v>0</v>
      </c>
      <c r="B3107" t="s">
        <v>1159</v>
      </c>
      <c r="C3107" t="s">
        <v>6056</v>
      </c>
      <c r="D3107" t="s">
        <v>16209</v>
      </c>
      <c r="E3107" t="s">
        <v>19090</v>
      </c>
      <c r="F3107" t="s">
        <v>28198</v>
      </c>
      <c r="G3107" t="s">
        <v>28206</v>
      </c>
      <c r="H3107" t="s">
        <v>28215</v>
      </c>
      <c r="I3107" t="s">
        <v>4200</v>
      </c>
      <c r="J3107" t="s">
        <v>30430</v>
      </c>
      <c r="K3107" t="s">
        <v>36689</v>
      </c>
      <c r="M3107" t="s">
        <v>38199</v>
      </c>
      <c r="N3107" t="s">
        <v>40436</v>
      </c>
      <c r="O3107" t="s">
        <v>40437</v>
      </c>
      <c r="P3107">
        <v>0</v>
      </c>
      <c r="Q3107">
        <v>2</v>
      </c>
      <c r="R3107" t="s">
        <v>40439</v>
      </c>
      <c r="S3107" t="s">
        <v>40588</v>
      </c>
      <c r="T3107" t="s">
        <v>42177</v>
      </c>
      <c r="U3107" t="s">
        <v>45325</v>
      </c>
      <c r="W3107" t="s">
        <v>38199</v>
      </c>
      <c r="X3107" t="s">
        <v>40440</v>
      </c>
    </row>
    <row r="3108" spans="1:24">
      <c r="A3108">
        <f>HYPERLINK("https://www.philgeps.gov.ph/GEPSNONPILOT/Tender/SplashBidNoticeAbstractUI.aspx?menuIndex=3&amp;refID=7044981&amp;Result=3","7044981")</f>
        <v>0</v>
      </c>
      <c r="B3108" t="s">
        <v>1147</v>
      </c>
      <c r="C3108" t="s">
        <v>6057</v>
      </c>
      <c r="D3108" t="s">
        <v>16213</v>
      </c>
      <c r="E3108" t="s">
        <v>19091</v>
      </c>
      <c r="F3108" t="s">
        <v>28198</v>
      </c>
      <c r="G3108" t="s">
        <v>28207</v>
      </c>
      <c r="H3108" t="s">
        <v>28215</v>
      </c>
      <c r="I3108" t="s">
        <v>28253</v>
      </c>
      <c r="J3108" t="s">
        <v>28378</v>
      </c>
      <c r="K3108" t="s">
        <v>36688</v>
      </c>
      <c r="M3108" t="s">
        <v>38187</v>
      </c>
      <c r="N3108" t="s">
        <v>40436</v>
      </c>
      <c r="O3108" t="s">
        <v>40437</v>
      </c>
      <c r="P3108">
        <v>0</v>
      </c>
      <c r="Q3108">
        <v>1</v>
      </c>
      <c r="R3108" t="s">
        <v>40439</v>
      </c>
      <c r="S3108" t="s">
        <v>40588</v>
      </c>
      <c r="T3108" t="s">
        <v>42161</v>
      </c>
      <c r="U3108" t="s">
        <v>45326</v>
      </c>
      <c r="W3108" t="s">
        <v>38187</v>
      </c>
      <c r="X3108" t="s">
        <v>40440</v>
      </c>
    </row>
    <row r="3109" spans="1:24">
      <c r="A3109">
        <f>HYPERLINK("https://www.philgeps.gov.ph/GEPSNONPILOT/Tender/SplashBidNoticeAbstractUI.aspx?menuIndex=3&amp;refID=7044976&amp;Result=3","7044976")</f>
        <v>0</v>
      </c>
      <c r="B3109" t="s">
        <v>386</v>
      </c>
      <c r="C3109" t="s">
        <v>6058</v>
      </c>
      <c r="D3109" t="s">
        <v>16259</v>
      </c>
      <c r="E3109" t="s">
        <v>19092</v>
      </c>
      <c r="F3109" t="s">
        <v>28198</v>
      </c>
      <c r="G3109" t="s">
        <v>28205</v>
      </c>
      <c r="H3109" t="s">
        <v>28214</v>
      </c>
      <c r="I3109" t="s">
        <v>3797</v>
      </c>
      <c r="J3109" t="s">
        <v>30431</v>
      </c>
      <c r="K3109" t="s">
        <v>36694</v>
      </c>
      <c r="M3109" t="s">
        <v>37366</v>
      </c>
      <c r="N3109" t="s">
        <v>40436</v>
      </c>
      <c r="O3109" t="s">
        <v>40437</v>
      </c>
      <c r="P3109">
        <v>0</v>
      </c>
      <c r="Q3109">
        <v>0</v>
      </c>
      <c r="R3109" t="s">
        <v>40439</v>
      </c>
      <c r="S3109" t="s">
        <v>40588</v>
      </c>
      <c r="T3109" t="s">
        <v>42123</v>
      </c>
      <c r="U3109" t="s">
        <v>45327</v>
      </c>
      <c r="V3109" t="s">
        <v>53872</v>
      </c>
      <c r="W3109" t="s">
        <v>37366</v>
      </c>
      <c r="X3109" t="s">
        <v>40440</v>
      </c>
    </row>
    <row r="3110" spans="1:24">
      <c r="A3110">
        <f>HYPERLINK("https://www.philgeps.gov.ph/GEPSNONPILOT/Tender/SplashBidNoticeAbstractUI.aspx?menuIndex=3&amp;refID=7044979&amp;Result=3","7044979")</f>
        <v>0</v>
      </c>
      <c r="B3110" t="s">
        <v>1037</v>
      </c>
      <c r="C3110" t="s">
        <v>6059</v>
      </c>
      <c r="D3110" t="s">
        <v>16190</v>
      </c>
      <c r="E3110" t="s">
        <v>19093</v>
      </c>
      <c r="F3110" t="s">
        <v>28198</v>
      </c>
      <c r="G3110" t="s">
        <v>28205</v>
      </c>
      <c r="H3110" t="s">
        <v>28215</v>
      </c>
      <c r="I3110" t="s">
        <v>28228</v>
      </c>
      <c r="J3110" t="s">
        <v>28543</v>
      </c>
      <c r="K3110" t="s">
        <v>36689</v>
      </c>
      <c r="M3110" t="s">
        <v>38069</v>
      </c>
      <c r="N3110" t="s">
        <v>40436</v>
      </c>
      <c r="O3110" t="s">
        <v>40437</v>
      </c>
      <c r="P3110">
        <v>0</v>
      </c>
      <c r="Q3110">
        <v>0</v>
      </c>
      <c r="R3110" t="s">
        <v>40439</v>
      </c>
      <c r="S3110" t="s">
        <v>40588</v>
      </c>
      <c r="T3110" t="s">
        <v>42320</v>
      </c>
      <c r="U3110" t="s">
        <v>45328</v>
      </c>
      <c r="V3110" t="s">
        <v>54061</v>
      </c>
      <c r="W3110" t="s">
        <v>38069</v>
      </c>
      <c r="X3110" t="s">
        <v>40440</v>
      </c>
    </row>
    <row r="3111" spans="1:24">
      <c r="A3111">
        <f>HYPERLINK("https://www.philgeps.gov.ph/GEPSNONPILOT/Tender/SplashBidNoticeAbstractUI.aspx?menuIndex=3&amp;refID=7044975&amp;Result=3","7044975")</f>
        <v>0</v>
      </c>
      <c r="B3111" t="s">
        <v>1214</v>
      </c>
      <c r="C3111" t="s">
        <v>6060</v>
      </c>
      <c r="D3111" t="s">
        <v>16187</v>
      </c>
      <c r="E3111" t="s">
        <v>19094</v>
      </c>
      <c r="F3111" t="s">
        <v>28198</v>
      </c>
      <c r="G3111" t="s">
        <v>28205</v>
      </c>
      <c r="H3111" t="s">
        <v>28214</v>
      </c>
      <c r="I3111" t="s">
        <v>3797</v>
      </c>
      <c r="J3111" t="s">
        <v>30432</v>
      </c>
      <c r="K3111" t="s">
        <v>36715</v>
      </c>
      <c r="M3111" t="s">
        <v>38259</v>
      </c>
      <c r="N3111" t="s">
        <v>40436</v>
      </c>
      <c r="O3111" t="s">
        <v>40437</v>
      </c>
      <c r="P3111">
        <v>0</v>
      </c>
      <c r="Q3111">
        <v>0</v>
      </c>
      <c r="R3111" t="s">
        <v>40439</v>
      </c>
      <c r="S3111" t="s">
        <v>40588</v>
      </c>
      <c r="T3111" t="s">
        <v>42261</v>
      </c>
      <c r="U3111" t="s">
        <v>45329</v>
      </c>
      <c r="W3111" t="s">
        <v>38259</v>
      </c>
      <c r="X3111" t="s">
        <v>40440</v>
      </c>
    </row>
    <row r="3112" spans="1:24">
      <c r="A3112">
        <f>HYPERLINK("https://www.philgeps.gov.ph/GEPSNONPILOT/Tender/SplashBidNoticeAbstractUI.aspx?menuIndex=3&amp;refID=7044980&amp;Result=3","7044980")</f>
        <v>0</v>
      </c>
      <c r="B3112" t="s">
        <v>595</v>
      </c>
      <c r="C3112" t="s">
        <v>6061</v>
      </c>
      <c r="D3112" t="s">
        <v>16190</v>
      </c>
      <c r="E3112" t="s">
        <v>19095</v>
      </c>
      <c r="F3112" t="s">
        <v>28198</v>
      </c>
      <c r="G3112" t="s">
        <v>28207</v>
      </c>
      <c r="H3112" t="s">
        <v>28217</v>
      </c>
      <c r="I3112" t="s">
        <v>3422</v>
      </c>
      <c r="J3112" t="s">
        <v>30433</v>
      </c>
      <c r="K3112" t="s">
        <v>36704</v>
      </c>
      <c r="M3112" t="s">
        <v>37584</v>
      </c>
      <c r="N3112" t="s">
        <v>40436</v>
      </c>
      <c r="O3112" t="s">
        <v>40437</v>
      </c>
      <c r="P3112">
        <v>0</v>
      </c>
      <c r="Q3112">
        <v>0</v>
      </c>
      <c r="R3112" t="s">
        <v>40439</v>
      </c>
      <c r="S3112" t="s">
        <v>40588</v>
      </c>
      <c r="T3112" t="s">
        <v>42203</v>
      </c>
      <c r="U3112" t="s">
        <v>45330</v>
      </c>
      <c r="W3112" t="s">
        <v>37584</v>
      </c>
      <c r="X3112" t="s">
        <v>40440</v>
      </c>
    </row>
    <row r="3113" spans="1:24">
      <c r="A3113">
        <f>HYPERLINK("https://www.philgeps.gov.ph/GEPSNONPILOT/Tender/SplashBidNoticeAbstractUI.aspx?menuIndex=3&amp;refID=7044987&amp;Result=3","7044987")</f>
        <v>0</v>
      </c>
      <c r="B3113" t="s">
        <v>1215</v>
      </c>
      <c r="C3113" t="s">
        <v>6062</v>
      </c>
      <c r="D3113" t="s">
        <v>16238</v>
      </c>
      <c r="E3113" t="s">
        <v>19096</v>
      </c>
      <c r="F3113" t="s">
        <v>28198</v>
      </c>
      <c r="G3113" t="s">
        <v>28205</v>
      </c>
      <c r="H3113" t="s">
        <v>28215</v>
      </c>
      <c r="I3113" t="s">
        <v>5100</v>
      </c>
      <c r="J3113" t="s">
        <v>30434</v>
      </c>
      <c r="K3113" t="s">
        <v>36701</v>
      </c>
      <c r="L3113" t="s">
        <v>1215</v>
      </c>
      <c r="M3113" t="s">
        <v>38260</v>
      </c>
      <c r="N3113" t="s">
        <v>40436</v>
      </c>
      <c r="O3113" t="s">
        <v>40437</v>
      </c>
      <c r="P3113">
        <v>0</v>
      </c>
      <c r="Q3113">
        <v>0</v>
      </c>
      <c r="R3113" t="s">
        <v>40439</v>
      </c>
      <c r="S3113" t="s">
        <v>40588</v>
      </c>
      <c r="T3113" t="s">
        <v>42155</v>
      </c>
      <c r="U3113" t="s">
        <v>45331</v>
      </c>
      <c r="W3113" t="s">
        <v>38260</v>
      </c>
      <c r="X3113" t="s">
        <v>40440</v>
      </c>
    </row>
    <row r="3114" spans="1:24">
      <c r="A3114">
        <f>HYPERLINK("https://www.philgeps.gov.ph/GEPSNONPILOT/Tender/SplashBidNoticeAbstractUI.aspx?menuIndex=3&amp;refID=7044993&amp;Result=3","7044993")</f>
        <v>0</v>
      </c>
      <c r="B3114" t="s">
        <v>1216</v>
      </c>
      <c r="C3114" t="s">
        <v>6063</v>
      </c>
      <c r="D3114" t="s">
        <v>16208</v>
      </c>
      <c r="E3114" t="s">
        <v>19097</v>
      </c>
      <c r="F3114" t="s">
        <v>28198</v>
      </c>
      <c r="G3114" t="s">
        <v>28207</v>
      </c>
      <c r="H3114" t="s">
        <v>28215</v>
      </c>
      <c r="I3114" t="s">
        <v>28224</v>
      </c>
      <c r="J3114" t="s">
        <v>28421</v>
      </c>
      <c r="K3114" t="s">
        <v>36689</v>
      </c>
      <c r="M3114" t="s">
        <v>38261</v>
      </c>
      <c r="N3114" t="s">
        <v>40436</v>
      </c>
      <c r="O3114" t="s">
        <v>40437</v>
      </c>
      <c r="P3114">
        <v>0</v>
      </c>
      <c r="Q3114">
        <v>0</v>
      </c>
      <c r="R3114" t="s">
        <v>40439</v>
      </c>
      <c r="S3114" t="s">
        <v>40588</v>
      </c>
      <c r="T3114" t="s">
        <v>42340</v>
      </c>
      <c r="U3114" t="s">
        <v>45332</v>
      </c>
      <c r="W3114" t="s">
        <v>38261</v>
      </c>
      <c r="X3114" t="s">
        <v>40440</v>
      </c>
    </row>
    <row r="3115" spans="1:24">
      <c r="A3115">
        <f>HYPERLINK("https://www.philgeps.gov.ph/GEPSNONPILOT/Tender/SplashBidNoticeAbstractUI.aspx?menuIndex=3&amp;refID=7044995&amp;Result=3","7044995")</f>
        <v>0</v>
      </c>
      <c r="B3115" t="s">
        <v>1161</v>
      </c>
      <c r="C3115" t="s">
        <v>5885</v>
      </c>
      <c r="D3115" t="s">
        <v>16228</v>
      </c>
      <c r="E3115" t="s">
        <v>18229</v>
      </c>
      <c r="F3115" t="s">
        <v>28198</v>
      </c>
      <c r="G3115" t="s">
        <v>28205</v>
      </c>
      <c r="H3115" t="s">
        <v>28214</v>
      </c>
      <c r="I3115" t="s">
        <v>3797</v>
      </c>
      <c r="J3115" t="s">
        <v>28927</v>
      </c>
      <c r="K3115" t="s">
        <v>36697</v>
      </c>
      <c r="M3115" t="s">
        <v>38201</v>
      </c>
      <c r="N3115" t="s">
        <v>40436</v>
      </c>
      <c r="O3115" t="s">
        <v>40437</v>
      </c>
      <c r="P3115">
        <v>0</v>
      </c>
      <c r="Q3115">
        <v>0</v>
      </c>
      <c r="R3115" t="s">
        <v>40439</v>
      </c>
      <c r="S3115" t="s">
        <v>40588</v>
      </c>
      <c r="T3115" t="s">
        <v>42164</v>
      </c>
      <c r="U3115" t="s">
        <v>45333</v>
      </c>
      <c r="W3115" t="s">
        <v>38201</v>
      </c>
      <c r="X3115" t="s">
        <v>40440</v>
      </c>
    </row>
    <row r="3116" spans="1:24">
      <c r="A3116">
        <f>HYPERLINK("https://www.philgeps.gov.ph/GEPSNONPILOT/Tender/SplashBidNoticeAbstractUI.aspx?menuIndex=3&amp;refID=7044989&amp;Result=3","7044989")</f>
        <v>0</v>
      </c>
      <c r="B3116" t="s">
        <v>1108</v>
      </c>
      <c r="C3116" t="s">
        <v>6064</v>
      </c>
      <c r="D3116" t="s">
        <v>16193</v>
      </c>
      <c r="E3116" t="s">
        <v>19098</v>
      </c>
      <c r="F3116" t="s">
        <v>28198</v>
      </c>
      <c r="G3116" t="s">
        <v>28205</v>
      </c>
      <c r="H3116" t="s">
        <v>28215</v>
      </c>
      <c r="I3116" t="s">
        <v>5100</v>
      </c>
      <c r="J3116" t="s">
        <v>30435</v>
      </c>
      <c r="K3116" t="s">
        <v>36707</v>
      </c>
      <c r="M3116" t="s">
        <v>38144</v>
      </c>
      <c r="N3116" t="s">
        <v>40436</v>
      </c>
      <c r="O3116" t="s">
        <v>40437</v>
      </c>
      <c r="P3116">
        <v>0</v>
      </c>
      <c r="Q3116">
        <v>0</v>
      </c>
      <c r="R3116" t="s">
        <v>40439</v>
      </c>
      <c r="S3116" t="s">
        <v>40588</v>
      </c>
      <c r="T3116" t="s">
        <v>42183</v>
      </c>
      <c r="U3116" t="s">
        <v>45334</v>
      </c>
      <c r="W3116" t="s">
        <v>38144</v>
      </c>
      <c r="X3116" t="s">
        <v>40440</v>
      </c>
    </row>
    <row r="3117" spans="1:24">
      <c r="A3117">
        <f>HYPERLINK("https://www.philgeps.gov.ph/GEPSNONPILOT/Tender/SplashBidNoticeAbstractUI.aspx?menuIndex=3&amp;refID=7044997&amp;Result=3","7044997")</f>
        <v>0</v>
      </c>
      <c r="B3117" t="s">
        <v>1037</v>
      </c>
      <c r="C3117" t="s">
        <v>6065</v>
      </c>
      <c r="D3117" t="s">
        <v>16190</v>
      </c>
      <c r="E3117" t="s">
        <v>19099</v>
      </c>
      <c r="F3117" t="s">
        <v>28198</v>
      </c>
      <c r="G3117" t="s">
        <v>28205</v>
      </c>
      <c r="H3117" t="s">
        <v>28215</v>
      </c>
      <c r="I3117" t="s">
        <v>8888</v>
      </c>
      <c r="J3117" t="s">
        <v>30436</v>
      </c>
      <c r="K3117" t="s">
        <v>36689</v>
      </c>
      <c r="M3117" t="s">
        <v>38069</v>
      </c>
      <c r="N3117" t="s">
        <v>40436</v>
      </c>
      <c r="O3117" t="s">
        <v>40437</v>
      </c>
      <c r="P3117">
        <v>0</v>
      </c>
      <c r="Q3117">
        <v>5</v>
      </c>
      <c r="R3117" t="s">
        <v>40439</v>
      </c>
      <c r="S3117" t="s">
        <v>40588</v>
      </c>
      <c r="T3117" t="s">
        <v>42320</v>
      </c>
      <c r="U3117" t="s">
        <v>45335</v>
      </c>
      <c r="V3117" t="s">
        <v>54109</v>
      </c>
      <c r="W3117" t="s">
        <v>38069</v>
      </c>
      <c r="X3117" t="s">
        <v>40440</v>
      </c>
    </row>
    <row r="3118" spans="1:24">
      <c r="A3118">
        <f>HYPERLINK("https://www.philgeps.gov.ph/GEPSNONPILOT/Tender/SplashBidNoticeAbstractUI.aspx?menuIndex=3&amp;refID=7044994&amp;Result=3","7044994")</f>
        <v>0</v>
      </c>
      <c r="B3118" t="s">
        <v>1217</v>
      </c>
      <c r="C3118" t="s">
        <v>6066</v>
      </c>
      <c r="D3118" t="s">
        <v>16260</v>
      </c>
      <c r="E3118" t="s">
        <v>19100</v>
      </c>
      <c r="F3118" t="s">
        <v>28198</v>
      </c>
      <c r="G3118" t="s">
        <v>28207</v>
      </c>
      <c r="H3118" t="s">
        <v>28215</v>
      </c>
      <c r="I3118" t="s">
        <v>5082</v>
      </c>
      <c r="J3118" t="s">
        <v>30437</v>
      </c>
      <c r="K3118" t="s">
        <v>36689</v>
      </c>
      <c r="M3118" t="s">
        <v>38262</v>
      </c>
      <c r="N3118" t="s">
        <v>40436</v>
      </c>
      <c r="O3118" t="s">
        <v>40437</v>
      </c>
      <c r="P3118">
        <v>0</v>
      </c>
      <c r="Q3118">
        <v>2</v>
      </c>
      <c r="R3118" t="s">
        <v>40439</v>
      </c>
      <c r="S3118" t="s">
        <v>40588</v>
      </c>
      <c r="T3118" t="s">
        <v>42169</v>
      </c>
      <c r="U3118" t="s">
        <v>45336</v>
      </c>
      <c r="W3118" t="s">
        <v>38262</v>
      </c>
      <c r="X3118" t="s">
        <v>40440</v>
      </c>
    </row>
    <row r="3119" spans="1:24">
      <c r="A3119">
        <f>HYPERLINK("https://www.philgeps.gov.ph/GEPSNONPILOT/Tender/SplashBidNoticeAbstractUI.aspx?menuIndex=3&amp;refID=7044977&amp;Result=3","7044977")</f>
        <v>0</v>
      </c>
      <c r="B3119" t="s">
        <v>1218</v>
      </c>
      <c r="C3119" t="s">
        <v>6067</v>
      </c>
      <c r="D3119" t="s">
        <v>16274</v>
      </c>
      <c r="E3119" t="s">
        <v>19101</v>
      </c>
      <c r="F3119" t="s">
        <v>28198</v>
      </c>
      <c r="G3119" t="s">
        <v>28205</v>
      </c>
      <c r="H3119" t="s">
        <v>28214</v>
      </c>
      <c r="I3119" t="s">
        <v>3797</v>
      </c>
      <c r="J3119" t="s">
        <v>29763</v>
      </c>
      <c r="K3119" t="s">
        <v>36794</v>
      </c>
      <c r="M3119" t="s">
        <v>38263</v>
      </c>
      <c r="N3119" t="s">
        <v>40436</v>
      </c>
      <c r="O3119" t="s">
        <v>40437</v>
      </c>
      <c r="P3119">
        <v>0</v>
      </c>
      <c r="Q3119">
        <v>0</v>
      </c>
      <c r="R3119" t="s">
        <v>40439</v>
      </c>
      <c r="S3119" t="s">
        <v>40588</v>
      </c>
      <c r="T3119" t="s">
        <v>42234</v>
      </c>
      <c r="U3119" t="s">
        <v>45337</v>
      </c>
      <c r="W3119" t="s">
        <v>38263</v>
      </c>
      <c r="X3119" t="s">
        <v>40440</v>
      </c>
    </row>
    <row r="3120" spans="1:24">
      <c r="A3120">
        <f>HYPERLINK("https://www.philgeps.gov.ph/GEPSNONPILOT/Tender/SplashBidNoticeAbstractUI.aspx?menuIndex=3&amp;refID=7044974&amp;Result=3","7044974")</f>
        <v>0</v>
      </c>
      <c r="B3120" t="s">
        <v>1219</v>
      </c>
      <c r="C3120" t="s">
        <v>6068</v>
      </c>
      <c r="D3120" t="s">
        <v>16235</v>
      </c>
      <c r="E3120" t="s">
        <v>19102</v>
      </c>
      <c r="F3120" t="s">
        <v>28198</v>
      </c>
      <c r="G3120" t="s">
        <v>28207</v>
      </c>
      <c r="H3120" t="s">
        <v>28215</v>
      </c>
      <c r="I3120" t="s">
        <v>28234</v>
      </c>
      <c r="J3120" t="s">
        <v>30438</v>
      </c>
      <c r="K3120" t="s">
        <v>36707</v>
      </c>
      <c r="M3120" t="s">
        <v>38264</v>
      </c>
      <c r="N3120" t="s">
        <v>40436</v>
      </c>
      <c r="O3120" t="s">
        <v>40437</v>
      </c>
      <c r="P3120">
        <v>0</v>
      </c>
      <c r="Q3120">
        <v>2</v>
      </c>
      <c r="R3120" t="s">
        <v>40439</v>
      </c>
      <c r="S3120" t="s">
        <v>40588</v>
      </c>
      <c r="T3120" t="s">
        <v>42348</v>
      </c>
      <c r="U3120" t="s">
        <v>45338</v>
      </c>
      <c r="W3120" t="s">
        <v>38264</v>
      </c>
      <c r="X3120" t="s">
        <v>40440</v>
      </c>
    </row>
    <row r="3121" spans="1:24">
      <c r="A3121">
        <f>HYPERLINK("https://www.philgeps.gov.ph/GEPSNONPILOT/Tender/SplashBidNoticeAbstractUI.aspx?menuIndex=3&amp;refID=7045005&amp;Result=3","7045005")</f>
        <v>0</v>
      </c>
      <c r="B3121" t="s">
        <v>1011</v>
      </c>
      <c r="C3121" t="s">
        <v>6069</v>
      </c>
      <c r="D3121" t="s">
        <v>16226</v>
      </c>
      <c r="E3121" t="s">
        <v>19103</v>
      </c>
      <c r="F3121" t="s">
        <v>28198</v>
      </c>
      <c r="G3121" t="s">
        <v>28206</v>
      </c>
      <c r="H3121" t="s">
        <v>28215</v>
      </c>
      <c r="I3121" t="s">
        <v>28234</v>
      </c>
      <c r="J3121" t="s">
        <v>30439</v>
      </c>
      <c r="K3121" t="s">
        <v>36688</v>
      </c>
      <c r="M3121" t="s">
        <v>38039</v>
      </c>
      <c r="N3121" t="s">
        <v>40436</v>
      </c>
      <c r="O3121" t="s">
        <v>40437</v>
      </c>
      <c r="P3121">
        <v>0</v>
      </c>
      <c r="Q3121">
        <v>9</v>
      </c>
      <c r="R3121" t="s">
        <v>40439</v>
      </c>
      <c r="S3121" t="s">
        <v>40588</v>
      </c>
      <c r="T3121" t="s">
        <v>42158</v>
      </c>
      <c r="U3121" t="s">
        <v>45339</v>
      </c>
      <c r="W3121" t="s">
        <v>38039</v>
      </c>
      <c r="X3121" t="s">
        <v>40440</v>
      </c>
    </row>
    <row r="3122" spans="1:24">
      <c r="A3122">
        <f>HYPERLINK("https://www.philgeps.gov.ph/GEPSNONPILOT/Tender/SplashBidNoticeAbstractUI.aspx?menuIndex=3&amp;refID=7044999&amp;Result=3","7044999")</f>
        <v>0</v>
      </c>
      <c r="B3122" t="s">
        <v>422</v>
      </c>
      <c r="C3122" t="s">
        <v>6070</v>
      </c>
      <c r="D3122" t="s">
        <v>16203</v>
      </c>
      <c r="E3122" t="s">
        <v>17076</v>
      </c>
      <c r="F3122" t="s">
        <v>28198</v>
      </c>
      <c r="G3122" t="s">
        <v>28207</v>
      </c>
      <c r="H3122" t="s">
        <v>28215</v>
      </c>
      <c r="I3122" t="s">
        <v>4219</v>
      </c>
      <c r="J3122" t="s">
        <v>30440</v>
      </c>
      <c r="K3122" t="s">
        <v>36689</v>
      </c>
      <c r="M3122" t="s">
        <v>37404</v>
      </c>
      <c r="N3122" t="s">
        <v>40436</v>
      </c>
      <c r="O3122" t="s">
        <v>40437</v>
      </c>
      <c r="P3122">
        <v>0</v>
      </c>
      <c r="Q3122">
        <v>7</v>
      </c>
      <c r="R3122" t="s">
        <v>40439</v>
      </c>
      <c r="S3122" t="s">
        <v>40588</v>
      </c>
      <c r="T3122" t="s">
        <v>42175</v>
      </c>
      <c r="U3122" t="s">
        <v>43338</v>
      </c>
      <c r="W3122" t="s">
        <v>37404</v>
      </c>
      <c r="X3122" t="s">
        <v>40440</v>
      </c>
    </row>
    <row r="3123" spans="1:24">
      <c r="A3123">
        <f>HYPERLINK("https://www.philgeps.gov.ph/GEPSNONPILOT/Tender/SplashBidNoticeAbstractUI.aspx?menuIndex=3&amp;refID=7045004&amp;Result=3","7045004")</f>
        <v>0</v>
      </c>
      <c r="B3123" t="s">
        <v>1220</v>
      </c>
      <c r="C3123" t="s">
        <v>6071</v>
      </c>
      <c r="D3123" t="s">
        <v>16189</v>
      </c>
      <c r="E3123" t="s">
        <v>19104</v>
      </c>
      <c r="F3123" t="s">
        <v>28198</v>
      </c>
      <c r="G3123" t="s">
        <v>28205</v>
      </c>
      <c r="H3123" t="s">
        <v>28214</v>
      </c>
      <c r="I3123" t="s">
        <v>3797</v>
      </c>
      <c r="J3123" t="s">
        <v>28379</v>
      </c>
      <c r="K3123" t="s">
        <v>36689</v>
      </c>
      <c r="M3123" t="s">
        <v>38265</v>
      </c>
      <c r="N3123" t="s">
        <v>40436</v>
      </c>
      <c r="O3123" t="s">
        <v>40437</v>
      </c>
      <c r="P3123">
        <v>0</v>
      </c>
      <c r="Q3123">
        <v>0</v>
      </c>
      <c r="R3123" t="s">
        <v>40439</v>
      </c>
      <c r="S3123" t="s">
        <v>40588</v>
      </c>
      <c r="T3123" t="s">
        <v>42118</v>
      </c>
      <c r="U3123" t="s">
        <v>45340</v>
      </c>
      <c r="W3123" t="s">
        <v>38265</v>
      </c>
      <c r="X3123" t="s">
        <v>40440</v>
      </c>
    </row>
    <row r="3124" spans="1:24">
      <c r="A3124">
        <f>HYPERLINK("https://www.philgeps.gov.ph/GEPSNONPILOT/Tender/SplashBidNoticeAbstractUI.aspx?menuIndex=3&amp;refID=7045003&amp;Result=3","7045003")</f>
        <v>0</v>
      </c>
      <c r="B3124" t="s">
        <v>660</v>
      </c>
      <c r="C3124" t="s">
        <v>6072</v>
      </c>
      <c r="D3124" t="s">
        <v>16188</v>
      </c>
      <c r="E3124" t="s">
        <v>19105</v>
      </c>
      <c r="F3124" t="s">
        <v>28198</v>
      </c>
      <c r="G3124" t="s">
        <v>28207</v>
      </c>
      <c r="H3124" t="s">
        <v>28215</v>
      </c>
      <c r="I3124" t="s">
        <v>28228</v>
      </c>
      <c r="J3124" t="s">
        <v>30441</v>
      </c>
      <c r="K3124" t="s">
        <v>36689</v>
      </c>
      <c r="M3124" t="s">
        <v>37656</v>
      </c>
      <c r="N3124" t="s">
        <v>40436</v>
      </c>
      <c r="O3124" t="s">
        <v>40437</v>
      </c>
      <c r="P3124">
        <v>0</v>
      </c>
      <c r="Q3124">
        <v>0</v>
      </c>
      <c r="R3124" t="s">
        <v>40439</v>
      </c>
      <c r="S3124" t="s">
        <v>40588</v>
      </c>
      <c r="T3124" t="s">
        <v>42228</v>
      </c>
      <c r="U3124" t="s">
        <v>45018</v>
      </c>
      <c r="W3124" t="s">
        <v>37656</v>
      </c>
      <c r="X3124" t="s">
        <v>40440</v>
      </c>
    </row>
    <row r="3125" spans="1:24">
      <c r="A3125">
        <f>HYPERLINK("https://www.philgeps.gov.ph/GEPSNONPILOT/Tender/SplashBidNoticeAbstractUI.aspx?menuIndex=3&amp;refID=7045006&amp;Result=3","7045006")</f>
        <v>0</v>
      </c>
      <c r="B3125" t="s">
        <v>1078</v>
      </c>
      <c r="C3125" t="s">
        <v>6073</v>
      </c>
      <c r="D3125" t="s">
        <v>16210</v>
      </c>
      <c r="E3125" t="s">
        <v>19106</v>
      </c>
      <c r="F3125" t="s">
        <v>28198</v>
      </c>
      <c r="G3125" t="s">
        <v>28207</v>
      </c>
      <c r="H3125" t="s">
        <v>28215</v>
      </c>
      <c r="I3125" t="s">
        <v>4200</v>
      </c>
      <c r="J3125" t="s">
        <v>29062</v>
      </c>
      <c r="K3125" t="s">
        <v>36701</v>
      </c>
      <c r="M3125" t="s">
        <v>38266</v>
      </c>
      <c r="N3125" t="s">
        <v>40436</v>
      </c>
      <c r="O3125" t="s">
        <v>40437</v>
      </c>
      <c r="P3125">
        <v>0</v>
      </c>
      <c r="Q3125">
        <v>3</v>
      </c>
      <c r="R3125" t="s">
        <v>40439</v>
      </c>
      <c r="S3125" t="s">
        <v>40588</v>
      </c>
      <c r="T3125" t="s">
        <v>42218</v>
      </c>
      <c r="U3125" t="s">
        <v>45341</v>
      </c>
      <c r="W3125" t="s">
        <v>38266</v>
      </c>
      <c r="X3125" t="s">
        <v>40440</v>
      </c>
    </row>
    <row r="3126" spans="1:24">
      <c r="A3126">
        <f>HYPERLINK("https://www.philgeps.gov.ph/GEPSNONPILOT/Tender/SplashBidNoticeAbstractUI.aspx?menuIndex=3&amp;refID=7045001&amp;Result=3","7045001")</f>
        <v>0</v>
      </c>
      <c r="B3126" t="s">
        <v>1141</v>
      </c>
      <c r="C3126" t="s">
        <v>6074</v>
      </c>
      <c r="D3126" t="s">
        <v>16261</v>
      </c>
      <c r="E3126" t="s">
        <v>19107</v>
      </c>
      <c r="F3126" t="s">
        <v>28198</v>
      </c>
      <c r="G3126" t="s">
        <v>28205</v>
      </c>
      <c r="H3126" t="s">
        <v>28214</v>
      </c>
      <c r="I3126" t="s">
        <v>3797</v>
      </c>
      <c r="J3126" t="s">
        <v>28561</v>
      </c>
      <c r="K3126" t="s">
        <v>36708</v>
      </c>
      <c r="M3126" t="s">
        <v>38181</v>
      </c>
      <c r="N3126" t="s">
        <v>40436</v>
      </c>
      <c r="O3126" t="s">
        <v>40437</v>
      </c>
      <c r="P3126">
        <v>0</v>
      </c>
      <c r="Q3126">
        <v>0</v>
      </c>
      <c r="R3126" t="s">
        <v>40439</v>
      </c>
      <c r="S3126" t="s">
        <v>40588</v>
      </c>
      <c r="T3126" t="s">
        <v>42108</v>
      </c>
      <c r="U3126" t="s">
        <v>45342</v>
      </c>
      <c r="W3126" t="s">
        <v>38181</v>
      </c>
      <c r="X3126" t="s">
        <v>40440</v>
      </c>
    </row>
    <row r="3127" spans="1:24">
      <c r="A3127">
        <f>HYPERLINK("https://www.philgeps.gov.ph/GEPSNONPILOT/Tender/SplashBidNoticeAbstractUI.aspx?menuIndex=3&amp;refID=7045011&amp;Result=3","7045011")</f>
        <v>0</v>
      </c>
      <c r="B3127" t="s">
        <v>1206</v>
      </c>
      <c r="C3127" t="s">
        <v>6075</v>
      </c>
      <c r="D3127" t="s">
        <v>16203</v>
      </c>
      <c r="E3127" t="s">
        <v>19108</v>
      </c>
      <c r="F3127" t="s">
        <v>28198</v>
      </c>
      <c r="G3127" t="s">
        <v>28207</v>
      </c>
      <c r="H3127" t="s">
        <v>28215</v>
      </c>
      <c r="I3127" t="s">
        <v>28246</v>
      </c>
      <c r="J3127" t="s">
        <v>30442</v>
      </c>
      <c r="K3127" t="s">
        <v>36701</v>
      </c>
      <c r="M3127" t="s">
        <v>38251</v>
      </c>
      <c r="N3127" t="s">
        <v>40436</v>
      </c>
      <c r="O3127" t="s">
        <v>40437</v>
      </c>
      <c r="P3127">
        <v>0</v>
      </c>
      <c r="Q3127">
        <v>0</v>
      </c>
      <c r="R3127" t="s">
        <v>40439</v>
      </c>
      <c r="S3127" t="s">
        <v>40588</v>
      </c>
      <c r="T3127" t="s">
        <v>42119</v>
      </c>
      <c r="U3127" t="s">
        <v>45343</v>
      </c>
      <c r="W3127" t="s">
        <v>38251</v>
      </c>
      <c r="X3127" t="s">
        <v>40440</v>
      </c>
    </row>
    <row r="3128" spans="1:24">
      <c r="A3128">
        <f>HYPERLINK("https://www.philgeps.gov.ph/GEPSNONPILOT/Tender/SplashBidNoticeAbstractUI.aspx?menuIndex=3&amp;refID=7044998&amp;Result=3","7044998")</f>
        <v>0</v>
      </c>
      <c r="B3128" t="s">
        <v>1063</v>
      </c>
      <c r="C3128" t="s">
        <v>6076</v>
      </c>
      <c r="D3128" t="s">
        <v>16188</v>
      </c>
      <c r="E3128" t="s">
        <v>6076</v>
      </c>
      <c r="F3128" t="s">
        <v>28198</v>
      </c>
      <c r="G3128" t="s">
        <v>28207</v>
      </c>
      <c r="H3128" t="s">
        <v>28215</v>
      </c>
      <c r="I3128" t="s">
        <v>28307</v>
      </c>
      <c r="J3128" t="s">
        <v>30443</v>
      </c>
      <c r="K3128" t="s">
        <v>36689</v>
      </c>
      <c r="M3128" t="s">
        <v>38096</v>
      </c>
      <c r="N3128" t="s">
        <v>40436</v>
      </c>
      <c r="O3128" t="s">
        <v>40437</v>
      </c>
      <c r="P3128">
        <v>0</v>
      </c>
      <c r="Q3128">
        <v>1</v>
      </c>
      <c r="R3128" t="s">
        <v>40439</v>
      </c>
      <c r="S3128" t="s">
        <v>40588</v>
      </c>
      <c r="T3128" t="s">
        <v>42318</v>
      </c>
      <c r="U3128" t="s">
        <v>45344</v>
      </c>
      <c r="W3128" t="s">
        <v>38096</v>
      </c>
      <c r="X3128" t="s">
        <v>40440</v>
      </c>
    </row>
    <row r="3129" spans="1:24">
      <c r="A3129">
        <f>HYPERLINK("https://www.philgeps.gov.ph/GEPSNONPILOT/Tender/SplashBidNoticeAbstractUI.aspx?menuIndex=3&amp;refID=7045013&amp;Result=3","7045013")</f>
        <v>0</v>
      </c>
      <c r="B3129" t="s">
        <v>1221</v>
      </c>
      <c r="C3129" t="s">
        <v>6077</v>
      </c>
      <c r="D3129" t="s">
        <v>16203</v>
      </c>
      <c r="E3129" t="s">
        <v>19109</v>
      </c>
      <c r="F3129" t="s">
        <v>28198</v>
      </c>
      <c r="G3129" t="s">
        <v>28212</v>
      </c>
      <c r="H3129" t="s">
        <v>28215</v>
      </c>
      <c r="I3129" t="s">
        <v>4200</v>
      </c>
      <c r="J3129" t="s">
        <v>28529</v>
      </c>
      <c r="K3129" t="s">
        <v>36706</v>
      </c>
      <c r="M3129" t="s">
        <v>38267</v>
      </c>
      <c r="N3129" t="s">
        <v>40436</v>
      </c>
      <c r="O3129" t="s">
        <v>40437</v>
      </c>
      <c r="P3129">
        <v>0</v>
      </c>
      <c r="Q3129">
        <v>0</v>
      </c>
      <c r="R3129" t="s">
        <v>40439</v>
      </c>
      <c r="S3129" t="s">
        <v>40588</v>
      </c>
      <c r="T3129" t="s">
        <v>42177</v>
      </c>
      <c r="U3129" t="s">
        <v>45345</v>
      </c>
      <c r="W3129" t="s">
        <v>38267</v>
      </c>
      <c r="X3129" t="s">
        <v>40440</v>
      </c>
    </row>
    <row r="3130" spans="1:24">
      <c r="A3130">
        <f>HYPERLINK("https://www.philgeps.gov.ph/GEPSNONPILOT/Tender/SplashBidNoticeAbstractUI.aspx?menuIndex=3&amp;refID=7045010&amp;Result=3","7045010")</f>
        <v>0</v>
      </c>
      <c r="B3130" t="s">
        <v>1222</v>
      </c>
      <c r="C3130" t="s">
        <v>6078</v>
      </c>
      <c r="D3130" t="s">
        <v>16236</v>
      </c>
      <c r="E3130" t="s">
        <v>19110</v>
      </c>
      <c r="F3130" t="s">
        <v>28198</v>
      </c>
      <c r="G3130" t="s">
        <v>28205</v>
      </c>
      <c r="H3130" t="s">
        <v>28214</v>
      </c>
      <c r="I3130" t="s">
        <v>3797</v>
      </c>
      <c r="J3130" t="s">
        <v>28398</v>
      </c>
      <c r="K3130" t="s">
        <v>36694</v>
      </c>
      <c r="M3130" t="s">
        <v>38268</v>
      </c>
      <c r="N3130" t="s">
        <v>40436</v>
      </c>
      <c r="O3130" t="s">
        <v>40437</v>
      </c>
      <c r="P3130">
        <v>0</v>
      </c>
      <c r="Q3130">
        <v>0</v>
      </c>
      <c r="R3130" t="s">
        <v>40439</v>
      </c>
      <c r="S3130" t="s">
        <v>40588</v>
      </c>
      <c r="T3130" t="s">
        <v>42106</v>
      </c>
      <c r="U3130" t="s">
        <v>45346</v>
      </c>
      <c r="W3130" t="s">
        <v>38268</v>
      </c>
      <c r="X3130" t="s">
        <v>40440</v>
      </c>
    </row>
    <row r="3131" spans="1:24">
      <c r="A3131">
        <f>HYPERLINK("https://www.philgeps.gov.ph/GEPSNONPILOT/Tender/SplashBidNoticeAbstractUI.aspx?menuIndex=3&amp;refID=7045009&amp;Result=3","7045009")</f>
        <v>0</v>
      </c>
      <c r="B3131" t="s">
        <v>752</v>
      </c>
      <c r="C3131" t="s">
        <v>6079</v>
      </c>
      <c r="D3131" t="s">
        <v>16216</v>
      </c>
      <c r="E3131" t="s">
        <v>19111</v>
      </c>
      <c r="F3131" t="s">
        <v>28198</v>
      </c>
      <c r="G3131" t="s">
        <v>28205</v>
      </c>
      <c r="H3131" t="s">
        <v>28215</v>
      </c>
      <c r="I3131" t="s">
        <v>5100</v>
      </c>
      <c r="J3131" t="s">
        <v>30444</v>
      </c>
      <c r="K3131" t="s">
        <v>36706</v>
      </c>
      <c r="M3131" t="s">
        <v>37755</v>
      </c>
      <c r="N3131" t="s">
        <v>40436</v>
      </c>
      <c r="O3131" t="s">
        <v>40437</v>
      </c>
      <c r="P3131">
        <v>0</v>
      </c>
      <c r="Q3131">
        <v>0</v>
      </c>
      <c r="R3131" t="s">
        <v>40439</v>
      </c>
      <c r="S3131" t="s">
        <v>40588</v>
      </c>
      <c r="T3131" t="s">
        <v>42105</v>
      </c>
      <c r="U3131" t="s">
        <v>45347</v>
      </c>
      <c r="W3131" t="s">
        <v>37755</v>
      </c>
      <c r="X3131" t="s">
        <v>40440</v>
      </c>
    </row>
    <row r="3132" spans="1:24">
      <c r="A3132">
        <f>HYPERLINK("https://www.philgeps.gov.ph/GEPSNONPILOT/Tender/SplashBidNoticeAbstractUI.aspx?menuIndex=3&amp;refID=7045008&amp;Result=3","7045008")</f>
        <v>0</v>
      </c>
      <c r="B3132" t="s">
        <v>683</v>
      </c>
      <c r="C3132" t="s">
        <v>6080</v>
      </c>
      <c r="D3132" t="s">
        <v>16196</v>
      </c>
      <c r="E3132" t="s">
        <v>19112</v>
      </c>
      <c r="F3132" t="s">
        <v>28198</v>
      </c>
      <c r="G3132" t="s">
        <v>28207</v>
      </c>
      <c r="H3132" t="s">
        <v>28215</v>
      </c>
      <c r="I3132" t="s">
        <v>28232</v>
      </c>
      <c r="J3132" t="s">
        <v>29531</v>
      </c>
      <c r="K3132" t="s">
        <v>36707</v>
      </c>
      <c r="M3132" t="s">
        <v>37681</v>
      </c>
      <c r="N3132" t="s">
        <v>40436</v>
      </c>
      <c r="O3132" t="s">
        <v>40437</v>
      </c>
      <c r="P3132">
        <v>0</v>
      </c>
      <c r="Q3132">
        <v>1</v>
      </c>
      <c r="R3132" t="s">
        <v>40439</v>
      </c>
      <c r="S3132" t="s">
        <v>40588</v>
      </c>
      <c r="T3132" t="s">
        <v>42130</v>
      </c>
      <c r="U3132" t="s">
        <v>45348</v>
      </c>
      <c r="W3132" t="s">
        <v>37681</v>
      </c>
      <c r="X3132" t="s">
        <v>40440</v>
      </c>
    </row>
    <row r="3133" spans="1:24">
      <c r="A3133">
        <f>HYPERLINK("https://www.philgeps.gov.ph/GEPSNONPILOT/Tender/SplashBidNoticeAbstractUI.aspx?menuIndex=3&amp;refID=7044970&amp;Result=3","7044970")</f>
        <v>0</v>
      </c>
      <c r="B3133" t="s">
        <v>1063</v>
      </c>
      <c r="C3133" t="s">
        <v>6081</v>
      </c>
      <c r="D3133" t="s">
        <v>16188</v>
      </c>
      <c r="E3133" t="s">
        <v>19113</v>
      </c>
      <c r="F3133" t="s">
        <v>28198</v>
      </c>
      <c r="G3133" t="s">
        <v>28207</v>
      </c>
      <c r="H3133" t="s">
        <v>28215</v>
      </c>
      <c r="I3133" t="s">
        <v>5103</v>
      </c>
      <c r="J3133" t="s">
        <v>29015</v>
      </c>
      <c r="K3133" t="s">
        <v>36689</v>
      </c>
      <c r="M3133" t="s">
        <v>38096</v>
      </c>
      <c r="N3133" t="s">
        <v>40436</v>
      </c>
      <c r="O3133" t="s">
        <v>40437</v>
      </c>
      <c r="P3133">
        <v>0</v>
      </c>
      <c r="Q3133">
        <v>6</v>
      </c>
      <c r="R3133" t="s">
        <v>40439</v>
      </c>
      <c r="S3133" t="s">
        <v>40588</v>
      </c>
      <c r="T3133" t="s">
        <v>42318</v>
      </c>
      <c r="U3133" t="s">
        <v>45349</v>
      </c>
      <c r="W3133" t="s">
        <v>38096</v>
      </c>
      <c r="X3133" t="s">
        <v>40440</v>
      </c>
    </row>
    <row r="3134" spans="1:24">
      <c r="A3134">
        <f>HYPERLINK("https://www.philgeps.gov.ph/GEPSNONPILOT/Tender/SplashBidNoticeAbstractUI.aspx?menuIndex=3&amp;refID=7045002&amp;Result=3","7045002")</f>
        <v>0</v>
      </c>
      <c r="B3134" t="s">
        <v>1223</v>
      </c>
      <c r="C3134" t="s">
        <v>6082</v>
      </c>
      <c r="D3134" t="s">
        <v>16188</v>
      </c>
      <c r="E3134" t="s">
        <v>19114</v>
      </c>
      <c r="F3134" t="s">
        <v>28198</v>
      </c>
      <c r="G3134" t="s">
        <v>28206</v>
      </c>
      <c r="H3134" t="s">
        <v>28215</v>
      </c>
      <c r="I3134" t="s">
        <v>28237</v>
      </c>
      <c r="J3134" t="s">
        <v>28414</v>
      </c>
      <c r="K3134" t="s">
        <v>36701</v>
      </c>
      <c r="M3134" t="s">
        <v>38269</v>
      </c>
      <c r="N3134" t="s">
        <v>40436</v>
      </c>
      <c r="O3134" t="s">
        <v>40437</v>
      </c>
      <c r="P3134">
        <v>0</v>
      </c>
      <c r="Q3134">
        <v>1</v>
      </c>
      <c r="R3134" t="s">
        <v>40439</v>
      </c>
      <c r="S3134" t="s">
        <v>40588</v>
      </c>
      <c r="T3134" t="s">
        <v>42185</v>
      </c>
      <c r="U3134" t="s">
        <v>45350</v>
      </c>
      <c r="W3134" t="s">
        <v>38269</v>
      </c>
      <c r="X3134" t="s">
        <v>40440</v>
      </c>
    </row>
    <row r="3135" spans="1:24">
      <c r="A3135">
        <f>HYPERLINK("https://www.philgeps.gov.ph/GEPSNONPILOT/Tender/SplashBidNoticeAbstractUI.aspx?menuIndex=3&amp;refID=7045007&amp;Result=3","7045007")</f>
        <v>0</v>
      </c>
      <c r="B3135" t="s">
        <v>501</v>
      </c>
      <c r="C3135" t="s">
        <v>6083</v>
      </c>
      <c r="D3135" t="s">
        <v>16210</v>
      </c>
      <c r="E3135" t="s">
        <v>19115</v>
      </c>
      <c r="F3135" t="s">
        <v>28198</v>
      </c>
      <c r="G3135" t="s">
        <v>28207</v>
      </c>
      <c r="H3135" t="s">
        <v>28215</v>
      </c>
      <c r="I3135" t="s">
        <v>5791</v>
      </c>
      <c r="J3135" t="s">
        <v>29304</v>
      </c>
      <c r="K3135" t="s">
        <v>36688</v>
      </c>
      <c r="M3135" t="s">
        <v>38236</v>
      </c>
      <c r="N3135" t="s">
        <v>40436</v>
      </c>
      <c r="O3135" t="s">
        <v>40437</v>
      </c>
      <c r="P3135">
        <v>0</v>
      </c>
      <c r="Q3135">
        <v>0</v>
      </c>
      <c r="R3135" t="s">
        <v>40439</v>
      </c>
      <c r="S3135" t="s">
        <v>40588</v>
      </c>
      <c r="T3135" t="s">
        <v>42188</v>
      </c>
      <c r="U3135" t="s">
        <v>43499</v>
      </c>
      <c r="W3135" t="s">
        <v>38236</v>
      </c>
      <c r="X3135" t="s">
        <v>40440</v>
      </c>
    </row>
    <row r="3136" spans="1:24">
      <c r="A3136">
        <f>HYPERLINK("https://www.philgeps.gov.ph/GEPSNONPILOT/Tender/SplashBidNoticeAbstractUI.aspx?menuIndex=3&amp;refID=7045025&amp;Result=3","7045025")</f>
        <v>0</v>
      </c>
      <c r="B3136" t="s">
        <v>1224</v>
      </c>
      <c r="C3136" t="s">
        <v>6084</v>
      </c>
      <c r="D3136" t="s">
        <v>16206</v>
      </c>
      <c r="E3136" t="s">
        <v>19116</v>
      </c>
      <c r="F3136" t="s">
        <v>28198</v>
      </c>
      <c r="G3136" t="s">
        <v>28207</v>
      </c>
      <c r="H3136" t="s">
        <v>28215</v>
      </c>
      <c r="I3136" t="s">
        <v>5100</v>
      </c>
      <c r="J3136" t="s">
        <v>30445</v>
      </c>
      <c r="K3136" t="s">
        <v>36706</v>
      </c>
      <c r="M3136" t="s">
        <v>38270</v>
      </c>
      <c r="N3136" t="s">
        <v>40436</v>
      </c>
      <c r="O3136" t="s">
        <v>40437</v>
      </c>
      <c r="P3136">
        <v>0</v>
      </c>
      <c r="Q3136">
        <v>0</v>
      </c>
      <c r="R3136" t="s">
        <v>40439</v>
      </c>
      <c r="S3136" t="s">
        <v>40588</v>
      </c>
      <c r="T3136" t="s">
        <v>42161</v>
      </c>
      <c r="U3136" t="s">
        <v>45351</v>
      </c>
      <c r="W3136" t="s">
        <v>38270</v>
      </c>
      <c r="X3136" t="s">
        <v>40440</v>
      </c>
    </row>
    <row r="3137" spans="1:24">
      <c r="A3137">
        <f>HYPERLINK("https://www.philgeps.gov.ph/GEPSNONPILOT/Tender/SplashBidNoticeAbstractUI.aspx?menuIndex=3&amp;refID=7045023&amp;Result=3","7045023")</f>
        <v>0</v>
      </c>
      <c r="B3137" t="s">
        <v>215</v>
      </c>
      <c r="C3137" t="s">
        <v>6085</v>
      </c>
      <c r="D3137" t="s">
        <v>16218</v>
      </c>
      <c r="E3137" t="s">
        <v>19117</v>
      </c>
      <c r="F3137" t="s">
        <v>28198</v>
      </c>
      <c r="G3137" t="s">
        <v>28205</v>
      </c>
      <c r="H3137" t="s">
        <v>28215</v>
      </c>
      <c r="I3137" t="s">
        <v>28259</v>
      </c>
      <c r="J3137" t="s">
        <v>30446</v>
      </c>
      <c r="K3137" t="s">
        <v>36688</v>
      </c>
      <c r="M3137" t="s">
        <v>38271</v>
      </c>
      <c r="N3137" t="s">
        <v>40436</v>
      </c>
      <c r="O3137" t="s">
        <v>40437</v>
      </c>
      <c r="P3137">
        <v>0</v>
      </c>
      <c r="Q3137">
        <v>1</v>
      </c>
      <c r="R3137" t="s">
        <v>40439</v>
      </c>
      <c r="S3137" t="s">
        <v>40588</v>
      </c>
      <c r="T3137" t="s">
        <v>42143</v>
      </c>
      <c r="U3137" t="s">
        <v>45352</v>
      </c>
      <c r="W3137" t="s">
        <v>38271</v>
      </c>
      <c r="X3137" t="s">
        <v>40440</v>
      </c>
    </row>
    <row r="3138" spans="1:24">
      <c r="A3138">
        <f>HYPERLINK("https://www.philgeps.gov.ph/GEPSNONPILOT/Tender/SplashBidNoticeAbstractUI.aspx?menuIndex=3&amp;refID=7045015&amp;Result=3","7045015")</f>
        <v>0</v>
      </c>
      <c r="B3138" t="s">
        <v>488</v>
      </c>
      <c r="C3138" t="s">
        <v>6086</v>
      </c>
      <c r="D3138" t="s">
        <v>16193</v>
      </c>
      <c r="E3138" t="s">
        <v>19118</v>
      </c>
      <c r="F3138" t="s">
        <v>28198</v>
      </c>
      <c r="G3138" t="s">
        <v>28205</v>
      </c>
      <c r="H3138" t="s">
        <v>28217</v>
      </c>
      <c r="I3138" t="s">
        <v>4505</v>
      </c>
      <c r="J3138" t="s">
        <v>30447</v>
      </c>
      <c r="K3138" t="s">
        <v>36701</v>
      </c>
      <c r="M3138" t="s">
        <v>37473</v>
      </c>
      <c r="N3138" t="s">
        <v>40436</v>
      </c>
      <c r="O3138" t="s">
        <v>40437</v>
      </c>
      <c r="P3138">
        <v>0</v>
      </c>
      <c r="Q3138">
        <v>0</v>
      </c>
      <c r="R3138" t="s">
        <v>40439</v>
      </c>
      <c r="S3138" t="s">
        <v>40588</v>
      </c>
      <c r="T3138" t="s">
        <v>42346</v>
      </c>
      <c r="U3138" t="s">
        <v>45353</v>
      </c>
      <c r="W3138" t="s">
        <v>37473</v>
      </c>
      <c r="X3138" t="s">
        <v>40440</v>
      </c>
    </row>
    <row r="3139" spans="1:24">
      <c r="A3139">
        <f>HYPERLINK("https://www.philgeps.gov.ph/GEPSNONPILOT/Tender/SplashBidNoticeAbstractUI.aspx?menuIndex=3&amp;refID=7045026&amp;Result=3","7045026")</f>
        <v>0</v>
      </c>
      <c r="B3139" t="s">
        <v>1078</v>
      </c>
      <c r="C3139" t="s">
        <v>6087</v>
      </c>
      <c r="D3139" t="s">
        <v>16210</v>
      </c>
      <c r="E3139" t="s">
        <v>19119</v>
      </c>
      <c r="F3139" t="s">
        <v>28198</v>
      </c>
      <c r="G3139" t="s">
        <v>28207</v>
      </c>
      <c r="H3139" t="s">
        <v>28215</v>
      </c>
      <c r="I3139" t="s">
        <v>4200</v>
      </c>
      <c r="J3139" t="s">
        <v>28597</v>
      </c>
      <c r="K3139" t="s">
        <v>36691</v>
      </c>
      <c r="M3139" t="s">
        <v>38266</v>
      </c>
      <c r="N3139" t="s">
        <v>40436</v>
      </c>
      <c r="O3139" t="s">
        <v>40437</v>
      </c>
      <c r="P3139">
        <v>0</v>
      </c>
      <c r="Q3139">
        <v>1</v>
      </c>
      <c r="R3139" t="s">
        <v>40439</v>
      </c>
      <c r="S3139" t="s">
        <v>40588</v>
      </c>
      <c r="T3139" t="s">
        <v>42218</v>
      </c>
      <c r="U3139" t="s">
        <v>45354</v>
      </c>
      <c r="W3139" t="s">
        <v>38266</v>
      </c>
      <c r="X3139" t="s">
        <v>40440</v>
      </c>
    </row>
    <row r="3140" spans="1:24">
      <c r="A3140">
        <f>HYPERLINK("https://www.philgeps.gov.ph/GEPSNONPILOT/Tender/SplashBidNoticeAbstractUI.aspx?menuIndex=3&amp;refID=7045030&amp;Result=3","7045030")</f>
        <v>0</v>
      </c>
      <c r="B3140" t="s">
        <v>97</v>
      </c>
      <c r="C3140" t="s">
        <v>6088</v>
      </c>
      <c r="D3140" t="s">
        <v>16226</v>
      </c>
      <c r="E3140" t="s">
        <v>19120</v>
      </c>
      <c r="F3140" t="s">
        <v>28198</v>
      </c>
      <c r="G3140" t="s">
        <v>28207</v>
      </c>
      <c r="H3140" t="s">
        <v>28217</v>
      </c>
      <c r="I3140" t="s">
        <v>28291</v>
      </c>
      <c r="J3140" t="s">
        <v>28787</v>
      </c>
      <c r="K3140" t="s">
        <v>36691</v>
      </c>
      <c r="M3140" t="s">
        <v>38272</v>
      </c>
      <c r="N3140" t="s">
        <v>40436</v>
      </c>
      <c r="O3140" t="s">
        <v>40437</v>
      </c>
      <c r="P3140">
        <v>0</v>
      </c>
      <c r="Q3140">
        <v>0</v>
      </c>
      <c r="R3140" t="s">
        <v>40439</v>
      </c>
      <c r="S3140" t="s">
        <v>40588</v>
      </c>
      <c r="T3140" t="s">
        <v>42131</v>
      </c>
      <c r="U3140" t="s">
        <v>45355</v>
      </c>
      <c r="W3140" t="s">
        <v>38272</v>
      </c>
      <c r="X3140" t="s">
        <v>40440</v>
      </c>
    </row>
    <row r="3141" spans="1:24">
      <c r="A3141">
        <f>HYPERLINK("https://www.philgeps.gov.ph/GEPSNONPILOT/Tender/SplashBidNoticeAbstractUI.aspx?menuIndex=3&amp;refID=7045033&amp;Result=3","7045033")</f>
        <v>0</v>
      </c>
      <c r="B3141" t="s">
        <v>202</v>
      </c>
      <c r="C3141" t="s">
        <v>6089</v>
      </c>
      <c r="D3141" t="s">
        <v>16217</v>
      </c>
      <c r="E3141" t="s">
        <v>19121</v>
      </c>
      <c r="F3141" t="s">
        <v>28198</v>
      </c>
      <c r="G3141" t="s">
        <v>28207</v>
      </c>
      <c r="H3141" t="s">
        <v>28217</v>
      </c>
      <c r="I3141" t="s">
        <v>28274</v>
      </c>
      <c r="J3141" t="s">
        <v>28515</v>
      </c>
      <c r="K3141" t="s">
        <v>36774</v>
      </c>
      <c r="M3141" t="s">
        <v>38212</v>
      </c>
      <c r="N3141" t="s">
        <v>40436</v>
      </c>
      <c r="O3141" t="s">
        <v>40437</v>
      </c>
      <c r="P3141">
        <v>0</v>
      </c>
      <c r="Q3141">
        <v>1</v>
      </c>
      <c r="R3141" t="s">
        <v>40439</v>
      </c>
      <c r="S3141" t="s">
        <v>40588</v>
      </c>
      <c r="T3141" t="s">
        <v>42103</v>
      </c>
      <c r="U3141" t="s">
        <v>45356</v>
      </c>
      <c r="V3141" t="s">
        <v>54110</v>
      </c>
      <c r="W3141" t="s">
        <v>38212</v>
      </c>
      <c r="X3141" t="s">
        <v>40440</v>
      </c>
    </row>
    <row r="3142" spans="1:24">
      <c r="A3142">
        <f>HYPERLINK("https://www.philgeps.gov.ph/GEPSNONPILOT/Tender/SplashBidNoticeAbstractUI.aspx?menuIndex=3&amp;refID=7045024&amp;Result=3","7045024")</f>
        <v>0</v>
      </c>
      <c r="B3142" t="s">
        <v>1225</v>
      </c>
      <c r="C3142" t="s">
        <v>6090</v>
      </c>
      <c r="D3142" t="s">
        <v>16236</v>
      </c>
      <c r="E3142" t="s">
        <v>19122</v>
      </c>
      <c r="F3142" t="s">
        <v>28198</v>
      </c>
      <c r="G3142" t="s">
        <v>28207</v>
      </c>
      <c r="H3142" t="s">
        <v>28215</v>
      </c>
      <c r="I3142" t="s">
        <v>5100</v>
      </c>
      <c r="J3142" t="s">
        <v>28508</v>
      </c>
      <c r="K3142" t="s">
        <v>36701</v>
      </c>
      <c r="M3142" t="s">
        <v>38273</v>
      </c>
      <c r="N3142" t="s">
        <v>40436</v>
      </c>
      <c r="O3142" t="s">
        <v>40437</v>
      </c>
      <c r="P3142">
        <v>0</v>
      </c>
      <c r="Q3142">
        <v>0</v>
      </c>
      <c r="R3142" t="s">
        <v>40439</v>
      </c>
      <c r="S3142" t="s">
        <v>40588</v>
      </c>
      <c r="T3142" t="s">
        <v>42129</v>
      </c>
      <c r="U3142" t="s">
        <v>45357</v>
      </c>
      <c r="V3142" t="s">
        <v>54111</v>
      </c>
      <c r="W3142" t="s">
        <v>38273</v>
      </c>
      <c r="X3142" t="s">
        <v>40440</v>
      </c>
    </row>
    <row r="3143" spans="1:24">
      <c r="A3143">
        <f>HYPERLINK("https://www.philgeps.gov.ph/GEPSNONPILOT/Tender/SplashBidNoticeAbstractUI.aspx?menuIndex=3&amp;refID=7045029&amp;Result=3","7045029")</f>
        <v>0</v>
      </c>
      <c r="B3143" t="s">
        <v>806</v>
      </c>
      <c r="C3143" t="s">
        <v>6091</v>
      </c>
      <c r="D3143" t="s">
        <v>16188</v>
      </c>
      <c r="E3143" t="s">
        <v>19123</v>
      </c>
      <c r="F3143" t="s">
        <v>28198</v>
      </c>
      <c r="G3143" t="s">
        <v>28207</v>
      </c>
      <c r="H3143" t="s">
        <v>28215</v>
      </c>
      <c r="I3143" t="s">
        <v>28292</v>
      </c>
      <c r="J3143" t="s">
        <v>30448</v>
      </c>
      <c r="K3143" t="s">
        <v>36688</v>
      </c>
      <c r="M3143" t="s">
        <v>37865</v>
      </c>
      <c r="N3143" t="s">
        <v>40436</v>
      </c>
      <c r="O3143" t="s">
        <v>40437</v>
      </c>
      <c r="P3143">
        <v>0</v>
      </c>
      <c r="Q3143">
        <v>0</v>
      </c>
      <c r="R3143" t="s">
        <v>40439</v>
      </c>
      <c r="S3143" t="s">
        <v>40588</v>
      </c>
      <c r="T3143" t="s">
        <v>42158</v>
      </c>
      <c r="U3143" t="s">
        <v>45279</v>
      </c>
      <c r="W3143" t="s">
        <v>55465</v>
      </c>
      <c r="X3143" t="s">
        <v>40440</v>
      </c>
    </row>
    <row r="3144" spans="1:24">
      <c r="A3144">
        <f>HYPERLINK("https://www.philgeps.gov.ph/GEPSNONPILOT/Tender/SplashBidNoticeAbstractUI.aspx?menuIndex=3&amp;refID=7045016&amp;Result=3","7045016")</f>
        <v>0</v>
      </c>
      <c r="B3144" t="s">
        <v>422</v>
      </c>
      <c r="C3144" t="s">
        <v>3676</v>
      </c>
      <c r="D3144" t="s">
        <v>16203</v>
      </c>
      <c r="E3144" t="s">
        <v>17082</v>
      </c>
      <c r="F3144" t="s">
        <v>28198</v>
      </c>
      <c r="G3144" t="s">
        <v>28207</v>
      </c>
      <c r="H3144" t="s">
        <v>28215</v>
      </c>
      <c r="I3144" t="s">
        <v>4219</v>
      </c>
      <c r="J3144" t="s">
        <v>28361</v>
      </c>
      <c r="K3144" t="s">
        <v>36689</v>
      </c>
      <c r="M3144" t="s">
        <v>37404</v>
      </c>
      <c r="N3144" t="s">
        <v>40436</v>
      </c>
      <c r="O3144" t="s">
        <v>40437</v>
      </c>
      <c r="P3144">
        <v>0</v>
      </c>
      <c r="Q3144">
        <v>9</v>
      </c>
      <c r="R3144" t="s">
        <v>40439</v>
      </c>
      <c r="S3144" t="s">
        <v>40588</v>
      </c>
      <c r="T3144" t="s">
        <v>42175</v>
      </c>
      <c r="U3144" t="s">
        <v>43338</v>
      </c>
      <c r="W3144" t="s">
        <v>37404</v>
      </c>
      <c r="X3144" t="s">
        <v>40440</v>
      </c>
    </row>
    <row r="3145" spans="1:24">
      <c r="A3145">
        <f>HYPERLINK("https://www.philgeps.gov.ph/GEPSNONPILOT/Tender/SplashBidNoticeAbstractUI.aspx?menuIndex=3&amp;refID=7045031&amp;Result=3","7045031")</f>
        <v>0</v>
      </c>
      <c r="B3145" t="s">
        <v>1226</v>
      </c>
      <c r="C3145" t="s">
        <v>6092</v>
      </c>
      <c r="D3145" t="s">
        <v>16197</v>
      </c>
      <c r="E3145" t="s">
        <v>19124</v>
      </c>
      <c r="F3145" t="s">
        <v>28198</v>
      </c>
      <c r="G3145" t="s">
        <v>28205</v>
      </c>
      <c r="H3145" t="s">
        <v>28215</v>
      </c>
      <c r="I3145" t="s">
        <v>28228</v>
      </c>
      <c r="J3145" t="s">
        <v>30449</v>
      </c>
      <c r="K3145" t="s">
        <v>36706</v>
      </c>
      <c r="M3145" t="s">
        <v>38274</v>
      </c>
      <c r="N3145" t="s">
        <v>40436</v>
      </c>
      <c r="O3145" t="s">
        <v>40437</v>
      </c>
      <c r="P3145">
        <v>0</v>
      </c>
      <c r="Q3145">
        <v>0</v>
      </c>
      <c r="R3145" t="s">
        <v>40439</v>
      </c>
      <c r="S3145" t="s">
        <v>40588</v>
      </c>
      <c r="T3145" t="s">
        <v>42135</v>
      </c>
      <c r="U3145" t="s">
        <v>45358</v>
      </c>
      <c r="V3145" t="s">
        <v>54112</v>
      </c>
      <c r="W3145" t="s">
        <v>38274</v>
      </c>
      <c r="X3145" t="s">
        <v>40440</v>
      </c>
    </row>
    <row r="3146" spans="1:24">
      <c r="A3146">
        <f>HYPERLINK("https://www.philgeps.gov.ph/GEPSNONPILOT/Tender/SplashBidNoticeAbstractUI.aspx?menuIndex=3&amp;refID=7045027&amp;Result=3","7045027")</f>
        <v>0</v>
      </c>
      <c r="B3146" t="s">
        <v>386</v>
      </c>
      <c r="C3146" t="s">
        <v>3480</v>
      </c>
      <c r="D3146" t="s">
        <v>16259</v>
      </c>
      <c r="E3146" t="s">
        <v>19125</v>
      </c>
      <c r="F3146" t="s">
        <v>28198</v>
      </c>
      <c r="G3146" t="s">
        <v>28207</v>
      </c>
      <c r="H3146" t="s">
        <v>28215</v>
      </c>
      <c r="I3146" t="s">
        <v>28228</v>
      </c>
      <c r="J3146" t="s">
        <v>28787</v>
      </c>
      <c r="K3146" t="s">
        <v>36688</v>
      </c>
      <c r="M3146" t="s">
        <v>37366</v>
      </c>
      <c r="N3146" t="s">
        <v>40436</v>
      </c>
      <c r="O3146" t="s">
        <v>40437</v>
      </c>
      <c r="P3146">
        <v>0</v>
      </c>
      <c r="Q3146">
        <v>0</v>
      </c>
      <c r="R3146" t="s">
        <v>40439</v>
      </c>
      <c r="S3146" t="s">
        <v>40588</v>
      </c>
      <c r="T3146" t="s">
        <v>42133</v>
      </c>
      <c r="U3146" t="s">
        <v>43270</v>
      </c>
      <c r="V3146" t="s">
        <v>53872</v>
      </c>
      <c r="W3146" t="s">
        <v>37366</v>
      </c>
      <c r="X3146" t="s">
        <v>40440</v>
      </c>
    </row>
    <row r="3147" spans="1:24">
      <c r="A3147">
        <f>HYPERLINK("https://www.philgeps.gov.ph/GEPSNONPILOT/Tender/SplashBidNoticeAbstractUI.aspx?menuIndex=3&amp;refID=7045017&amp;Result=3","7045017")</f>
        <v>0</v>
      </c>
      <c r="B3147" t="s">
        <v>1208</v>
      </c>
      <c r="C3147" t="s">
        <v>3325</v>
      </c>
      <c r="D3147" t="s">
        <v>16211</v>
      </c>
      <c r="E3147" t="s">
        <v>18224</v>
      </c>
      <c r="F3147" t="s">
        <v>28198</v>
      </c>
      <c r="G3147" t="s">
        <v>28210</v>
      </c>
      <c r="H3147" t="s">
        <v>28215</v>
      </c>
      <c r="I3147" t="s">
        <v>5071</v>
      </c>
      <c r="J3147" t="s">
        <v>30450</v>
      </c>
      <c r="K3147" t="s">
        <v>36701</v>
      </c>
      <c r="M3147" t="s">
        <v>38253</v>
      </c>
      <c r="N3147" t="s">
        <v>40436</v>
      </c>
      <c r="O3147" t="s">
        <v>40437</v>
      </c>
      <c r="P3147">
        <v>0</v>
      </c>
      <c r="Q3147">
        <v>1</v>
      </c>
      <c r="R3147" t="s">
        <v>40439</v>
      </c>
      <c r="S3147" t="s">
        <v>40588</v>
      </c>
      <c r="T3147" t="s">
        <v>42169</v>
      </c>
      <c r="U3147" t="s">
        <v>45359</v>
      </c>
      <c r="W3147" t="s">
        <v>38253</v>
      </c>
      <c r="X3147" t="s">
        <v>40440</v>
      </c>
    </row>
    <row r="3148" spans="1:24">
      <c r="A3148">
        <f>HYPERLINK("https://www.philgeps.gov.ph/GEPSNONPILOT/Tender/SplashBidNoticeAbstractUI.aspx?menuIndex=3&amp;refID=7045032&amp;Result=3","7045032")</f>
        <v>0</v>
      </c>
      <c r="B3148" t="s">
        <v>461</v>
      </c>
      <c r="C3148" t="s">
        <v>5922</v>
      </c>
      <c r="D3148" t="s">
        <v>16208</v>
      </c>
      <c r="E3148" t="s">
        <v>18971</v>
      </c>
      <c r="F3148" t="s">
        <v>28198</v>
      </c>
      <c r="G3148" t="s">
        <v>28209</v>
      </c>
      <c r="H3148" t="s">
        <v>28215</v>
      </c>
      <c r="I3148" t="s">
        <v>4168</v>
      </c>
      <c r="J3148" t="s">
        <v>28932</v>
      </c>
      <c r="K3148" t="s">
        <v>36689</v>
      </c>
      <c r="M3148" t="s">
        <v>37445</v>
      </c>
      <c r="N3148" t="s">
        <v>40436</v>
      </c>
      <c r="O3148" t="s">
        <v>40437</v>
      </c>
      <c r="P3148">
        <v>0</v>
      </c>
      <c r="Q3148">
        <v>0</v>
      </c>
      <c r="R3148" t="s">
        <v>40439</v>
      </c>
      <c r="S3148" t="s">
        <v>40588</v>
      </c>
      <c r="T3148" t="s">
        <v>42133</v>
      </c>
      <c r="U3148" t="s">
        <v>45360</v>
      </c>
      <c r="W3148" t="s">
        <v>37445</v>
      </c>
      <c r="X3148" t="s">
        <v>40440</v>
      </c>
    </row>
    <row r="3149" spans="1:24">
      <c r="A3149">
        <f>HYPERLINK("https://www.philgeps.gov.ph/GEPSNONPILOT/Tender/SplashBidNoticeAbstractUI.aspx?menuIndex=3&amp;refID=7045045&amp;Result=3","7045045")</f>
        <v>0</v>
      </c>
      <c r="B3149" t="s">
        <v>1063</v>
      </c>
      <c r="C3149" t="s">
        <v>6093</v>
      </c>
      <c r="D3149" t="s">
        <v>16188</v>
      </c>
      <c r="E3149" t="s">
        <v>19126</v>
      </c>
      <c r="F3149" t="s">
        <v>28198</v>
      </c>
      <c r="G3149" t="s">
        <v>28207</v>
      </c>
      <c r="H3149" t="s">
        <v>28215</v>
      </c>
      <c r="I3149" t="s">
        <v>28248</v>
      </c>
      <c r="J3149" t="s">
        <v>28486</v>
      </c>
      <c r="K3149" t="s">
        <v>36689</v>
      </c>
      <c r="M3149" t="s">
        <v>38096</v>
      </c>
      <c r="N3149" t="s">
        <v>40436</v>
      </c>
      <c r="O3149" t="s">
        <v>40437</v>
      </c>
      <c r="P3149">
        <v>0</v>
      </c>
      <c r="Q3149">
        <v>5</v>
      </c>
      <c r="R3149" t="s">
        <v>40439</v>
      </c>
      <c r="S3149" t="s">
        <v>40588</v>
      </c>
      <c r="T3149" t="s">
        <v>42318</v>
      </c>
      <c r="U3149" t="s">
        <v>45361</v>
      </c>
      <c r="W3149" t="s">
        <v>38096</v>
      </c>
      <c r="X3149" t="s">
        <v>40440</v>
      </c>
    </row>
    <row r="3150" spans="1:24">
      <c r="A3150">
        <f>HYPERLINK("https://www.philgeps.gov.ph/GEPSNONPILOT/Tender/SplashBidNoticeAbstractUI.aspx?menuIndex=3&amp;refID=7045040&amp;Result=3","7045040")</f>
        <v>0</v>
      </c>
      <c r="B3150" t="s">
        <v>1227</v>
      </c>
      <c r="C3150" t="s">
        <v>6094</v>
      </c>
      <c r="D3150" t="s">
        <v>16210</v>
      </c>
      <c r="E3150" t="s">
        <v>19127</v>
      </c>
      <c r="F3150" t="s">
        <v>28198</v>
      </c>
      <c r="G3150" t="s">
        <v>28207</v>
      </c>
      <c r="H3150" t="s">
        <v>28215</v>
      </c>
      <c r="I3150" t="s">
        <v>5103</v>
      </c>
      <c r="J3150" t="s">
        <v>28414</v>
      </c>
      <c r="K3150" t="s">
        <v>36701</v>
      </c>
      <c r="M3150" t="s">
        <v>38275</v>
      </c>
      <c r="N3150" t="s">
        <v>40436</v>
      </c>
      <c r="O3150" t="s">
        <v>40437</v>
      </c>
      <c r="P3150">
        <v>0</v>
      </c>
      <c r="Q3150">
        <v>5</v>
      </c>
      <c r="R3150" t="s">
        <v>40439</v>
      </c>
      <c r="S3150" t="s">
        <v>40588</v>
      </c>
      <c r="T3150" t="s">
        <v>42169</v>
      </c>
      <c r="U3150" t="s">
        <v>45362</v>
      </c>
      <c r="V3150" t="s">
        <v>54113</v>
      </c>
      <c r="W3150" t="s">
        <v>38275</v>
      </c>
      <c r="X3150" t="s">
        <v>40440</v>
      </c>
    </row>
    <row r="3151" spans="1:24">
      <c r="A3151">
        <f>HYPERLINK("https://www.philgeps.gov.ph/GEPSNONPILOT/Tender/SplashBidNoticeAbstractUI.aspx?menuIndex=3&amp;refID=7045043&amp;Result=3","7045043")</f>
        <v>0</v>
      </c>
      <c r="B3151" t="s">
        <v>1228</v>
      </c>
      <c r="C3151" t="s">
        <v>6095</v>
      </c>
      <c r="D3151" t="s">
        <v>16199</v>
      </c>
      <c r="E3151" t="s">
        <v>16424</v>
      </c>
      <c r="F3151" t="s">
        <v>28198</v>
      </c>
      <c r="G3151" t="s">
        <v>28205</v>
      </c>
      <c r="H3151" t="s">
        <v>28215</v>
      </c>
      <c r="I3151" t="s">
        <v>28262</v>
      </c>
      <c r="J3151" t="s">
        <v>28691</v>
      </c>
      <c r="K3151" t="s">
        <v>36691</v>
      </c>
      <c r="M3151" t="s">
        <v>38276</v>
      </c>
      <c r="N3151" t="s">
        <v>40436</v>
      </c>
      <c r="O3151" t="s">
        <v>40437</v>
      </c>
      <c r="P3151">
        <v>0</v>
      </c>
      <c r="Q3151">
        <v>0</v>
      </c>
      <c r="R3151" t="s">
        <v>40439</v>
      </c>
      <c r="S3151" t="s">
        <v>40588</v>
      </c>
      <c r="T3151" t="s">
        <v>42175</v>
      </c>
      <c r="U3151" t="s">
        <v>45363</v>
      </c>
      <c r="W3151" t="s">
        <v>55477</v>
      </c>
      <c r="X3151" t="s">
        <v>40440</v>
      </c>
    </row>
    <row r="3152" spans="1:24">
      <c r="A3152">
        <f>HYPERLINK("https://www.philgeps.gov.ph/GEPSNONPILOT/Tender/SplashBidNoticeAbstractUI.aspx?menuIndex=3&amp;refID=7045041&amp;Result=3","7045041")</f>
        <v>0</v>
      </c>
      <c r="B3152" t="s">
        <v>1215</v>
      </c>
      <c r="C3152" t="s">
        <v>6096</v>
      </c>
      <c r="D3152" t="s">
        <v>16238</v>
      </c>
      <c r="E3152" t="s">
        <v>19128</v>
      </c>
      <c r="F3152" t="s">
        <v>28198</v>
      </c>
      <c r="G3152" t="s">
        <v>28205</v>
      </c>
      <c r="H3152" t="s">
        <v>28215</v>
      </c>
      <c r="I3152" t="s">
        <v>28228</v>
      </c>
      <c r="J3152" t="s">
        <v>30451</v>
      </c>
      <c r="K3152" t="s">
        <v>36701</v>
      </c>
      <c r="L3152" t="s">
        <v>1215</v>
      </c>
      <c r="M3152" t="s">
        <v>38260</v>
      </c>
      <c r="N3152" t="s">
        <v>40436</v>
      </c>
      <c r="O3152" t="s">
        <v>40437</v>
      </c>
      <c r="P3152">
        <v>0</v>
      </c>
      <c r="Q3152">
        <v>1</v>
      </c>
      <c r="R3152" t="s">
        <v>40439</v>
      </c>
      <c r="S3152" t="s">
        <v>40588</v>
      </c>
      <c r="T3152" t="s">
        <v>42155</v>
      </c>
      <c r="U3152" t="s">
        <v>45364</v>
      </c>
      <c r="W3152" t="s">
        <v>38260</v>
      </c>
      <c r="X3152" t="s">
        <v>40440</v>
      </c>
    </row>
    <row r="3153" spans="1:24">
      <c r="A3153">
        <f>HYPERLINK("https://www.philgeps.gov.ph/GEPSNONPILOT/Tender/SplashBidNoticeAbstractUI.aspx?menuIndex=3&amp;refID=7045038&amp;Result=3","7045038")</f>
        <v>0</v>
      </c>
      <c r="B3153" t="s">
        <v>525</v>
      </c>
      <c r="C3153" t="s">
        <v>6097</v>
      </c>
      <c r="D3153" t="s">
        <v>16221</v>
      </c>
      <c r="E3153" t="s">
        <v>19129</v>
      </c>
      <c r="F3153" t="s">
        <v>28198</v>
      </c>
      <c r="G3153" t="s">
        <v>28205</v>
      </c>
      <c r="H3153" t="s">
        <v>28217</v>
      </c>
      <c r="I3153" t="s">
        <v>28231</v>
      </c>
      <c r="J3153" t="s">
        <v>30452</v>
      </c>
      <c r="K3153" t="s">
        <v>36705</v>
      </c>
      <c r="M3153" t="s">
        <v>37510</v>
      </c>
      <c r="N3153" t="s">
        <v>40436</v>
      </c>
      <c r="O3153" t="s">
        <v>40437</v>
      </c>
      <c r="P3153">
        <v>0</v>
      </c>
      <c r="Q3153">
        <v>0</v>
      </c>
      <c r="R3153" t="s">
        <v>40439</v>
      </c>
      <c r="S3153" t="s">
        <v>40588</v>
      </c>
      <c r="T3153" t="s">
        <v>42108</v>
      </c>
      <c r="U3153" t="s">
        <v>45365</v>
      </c>
      <c r="W3153" t="s">
        <v>37510</v>
      </c>
      <c r="X3153" t="s">
        <v>40440</v>
      </c>
    </row>
    <row r="3154" spans="1:24">
      <c r="A3154">
        <f>HYPERLINK("https://www.philgeps.gov.ph/GEPSNONPILOT/Tender/SplashBidNoticeAbstractUI.aspx?menuIndex=3&amp;refID=7045034&amp;Result=3","7045034")</f>
        <v>0</v>
      </c>
      <c r="B3154" t="s">
        <v>1023</v>
      </c>
      <c r="C3154" t="s">
        <v>6098</v>
      </c>
      <c r="D3154" t="s">
        <v>16265</v>
      </c>
      <c r="E3154" t="s">
        <v>19130</v>
      </c>
      <c r="F3154" t="s">
        <v>28198</v>
      </c>
      <c r="G3154" t="s">
        <v>28205</v>
      </c>
      <c r="H3154" t="s">
        <v>28215</v>
      </c>
      <c r="I3154" t="s">
        <v>8888</v>
      </c>
      <c r="J3154" t="s">
        <v>30453</v>
      </c>
      <c r="K3154" t="s">
        <v>36701</v>
      </c>
      <c r="M3154" t="s">
        <v>38054</v>
      </c>
      <c r="N3154" t="s">
        <v>40436</v>
      </c>
      <c r="O3154" t="s">
        <v>40437</v>
      </c>
      <c r="P3154">
        <v>0</v>
      </c>
      <c r="Q3154">
        <v>5</v>
      </c>
      <c r="R3154" t="s">
        <v>40439</v>
      </c>
      <c r="S3154" t="s">
        <v>40588</v>
      </c>
      <c r="T3154" t="s">
        <v>42108</v>
      </c>
      <c r="U3154" t="s">
        <v>45366</v>
      </c>
      <c r="W3154" t="s">
        <v>38054</v>
      </c>
      <c r="X3154" t="s">
        <v>40440</v>
      </c>
    </row>
    <row r="3155" spans="1:24">
      <c r="A3155">
        <f>HYPERLINK("https://www.philgeps.gov.ph/GEPSNONPILOT/Tender/SplashBidNoticeAbstractUI.aspx?menuIndex=3&amp;refID=7045047&amp;Result=3","7045047")</f>
        <v>0</v>
      </c>
      <c r="B3155" t="s">
        <v>1229</v>
      </c>
      <c r="C3155" t="s">
        <v>6099</v>
      </c>
      <c r="D3155" t="s">
        <v>16217</v>
      </c>
      <c r="E3155" t="s">
        <v>19131</v>
      </c>
      <c r="F3155" t="s">
        <v>28198</v>
      </c>
      <c r="G3155" t="s">
        <v>28206</v>
      </c>
      <c r="H3155" t="s">
        <v>28215</v>
      </c>
      <c r="I3155" t="s">
        <v>4200</v>
      </c>
      <c r="J3155" t="s">
        <v>28884</v>
      </c>
      <c r="K3155" t="s">
        <v>36689</v>
      </c>
      <c r="M3155" t="s">
        <v>38277</v>
      </c>
      <c r="N3155" t="s">
        <v>40436</v>
      </c>
      <c r="O3155" t="s">
        <v>40437</v>
      </c>
      <c r="P3155">
        <v>0</v>
      </c>
      <c r="Q3155">
        <v>0</v>
      </c>
      <c r="R3155" t="s">
        <v>40439</v>
      </c>
      <c r="S3155" t="s">
        <v>40588</v>
      </c>
      <c r="T3155" t="s">
        <v>42297</v>
      </c>
      <c r="U3155" t="s">
        <v>45367</v>
      </c>
      <c r="W3155" t="s">
        <v>38277</v>
      </c>
      <c r="X3155" t="s">
        <v>40440</v>
      </c>
    </row>
    <row r="3156" spans="1:24">
      <c r="A3156">
        <f>HYPERLINK("https://www.philgeps.gov.ph/GEPSNONPILOT/Tender/SplashBidNoticeAbstractUI.aspx?menuIndex=3&amp;refID=7045042&amp;Result=3","7045042")</f>
        <v>0</v>
      </c>
      <c r="B3156" t="s">
        <v>1230</v>
      </c>
      <c r="C3156" t="s">
        <v>6100</v>
      </c>
      <c r="D3156" t="s">
        <v>16210</v>
      </c>
      <c r="E3156" t="s">
        <v>19132</v>
      </c>
      <c r="F3156" t="s">
        <v>28198</v>
      </c>
      <c r="G3156" t="s">
        <v>28210</v>
      </c>
      <c r="H3156" t="s">
        <v>28215</v>
      </c>
      <c r="I3156" t="s">
        <v>3774</v>
      </c>
      <c r="J3156" t="s">
        <v>28430</v>
      </c>
      <c r="K3156" t="s">
        <v>36689</v>
      </c>
      <c r="M3156" t="s">
        <v>38278</v>
      </c>
      <c r="N3156" t="s">
        <v>40436</v>
      </c>
      <c r="O3156" t="s">
        <v>40437</v>
      </c>
      <c r="P3156">
        <v>0</v>
      </c>
      <c r="Q3156">
        <v>2</v>
      </c>
      <c r="R3156" t="s">
        <v>40439</v>
      </c>
      <c r="S3156" t="s">
        <v>40588</v>
      </c>
      <c r="T3156" t="s">
        <v>42318</v>
      </c>
      <c r="U3156" t="s">
        <v>45368</v>
      </c>
      <c r="W3156" t="s">
        <v>38278</v>
      </c>
      <c r="X3156" t="s">
        <v>40440</v>
      </c>
    </row>
    <row r="3157" spans="1:24">
      <c r="A3157">
        <f>HYPERLINK("https://www.philgeps.gov.ph/GEPSNONPILOT/Tender/SplashBidNoticeAbstractUI.aspx?menuIndex=3&amp;refID=7045035&amp;Result=3","7045035")</f>
        <v>0</v>
      </c>
      <c r="B3157" t="s">
        <v>683</v>
      </c>
      <c r="C3157" t="s">
        <v>6101</v>
      </c>
      <c r="D3157" t="s">
        <v>16196</v>
      </c>
      <c r="E3157" t="s">
        <v>19133</v>
      </c>
      <c r="F3157" t="s">
        <v>28198</v>
      </c>
      <c r="G3157" t="s">
        <v>28209</v>
      </c>
      <c r="H3157" t="s">
        <v>28215</v>
      </c>
      <c r="I3157" t="s">
        <v>28237</v>
      </c>
      <c r="J3157" t="s">
        <v>30454</v>
      </c>
      <c r="K3157" t="s">
        <v>36701</v>
      </c>
      <c r="M3157" t="s">
        <v>37681</v>
      </c>
      <c r="N3157" t="s">
        <v>40436</v>
      </c>
      <c r="O3157" t="s">
        <v>40437</v>
      </c>
      <c r="P3157">
        <v>0</v>
      </c>
      <c r="Q3157">
        <v>1</v>
      </c>
      <c r="R3157" t="s">
        <v>40439</v>
      </c>
      <c r="S3157" t="s">
        <v>40588</v>
      </c>
      <c r="T3157" t="s">
        <v>42130</v>
      </c>
      <c r="U3157" t="s">
        <v>45369</v>
      </c>
      <c r="W3157" t="s">
        <v>37681</v>
      </c>
      <c r="X3157" t="s">
        <v>40440</v>
      </c>
    </row>
    <row r="3158" spans="1:24">
      <c r="A3158">
        <f>HYPERLINK("https://www.philgeps.gov.ph/GEPSNONPILOT/Tender/SplashBidNoticeAbstractUI.aspx?menuIndex=3&amp;refID=7045051&amp;Result=3","7045051")</f>
        <v>0</v>
      </c>
      <c r="B3158" t="s">
        <v>1223</v>
      </c>
      <c r="C3158" t="s">
        <v>6102</v>
      </c>
      <c r="D3158" t="s">
        <v>16188</v>
      </c>
      <c r="E3158" t="s">
        <v>19134</v>
      </c>
      <c r="F3158" t="s">
        <v>28198</v>
      </c>
      <c r="G3158" t="s">
        <v>28207</v>
      </c>
      <c r="H3158" t="s">
        <v>28215</v>
      </c>
      <c r="I3158" t="s">
        <v>28319</v>
      </c>
      <c r="J3158" t="s">
        <v>28406</v>
      </c>
      <c r="K3158" t="s">
        <v>36689</v>
      </c>
      <c r="M3158" t="s">
        <v>38269</v>
      </c>
      <c r="N3158" t="s">
        <v>40436</v>
      </c>
      <c r="O3158" t="s">
        <v>40437</v>
      </c>
      <c r="P3158">
        <v>0</v>
      </c>
      <c r="Q3158">
        <v>6</v>
      </c>
      <c r="R3158" t="s">
        <v>40439</v>
      </c>
      <c r="S3158" t="s">
        <v>40588</v>
      </c>
      <c r="T3158" t="s">
        <v>42169</v>
      </c>
      <c r="U3158" t="s">
        <v>45350</v>
      </c>
      <c r="W3158" t="s">
        <v>38269</v>
      </c>
      <c r="X3158" t="s">
        <v>40440</v>
      </c>
    </row>
    <row r="3159" spans="1:24">
      <c r="A3159">
        <f>HYPERLINK("https://www.philgeps.gov.ph/GEPSNONPILOT/Tender/SplashBidNoticeAbstractUI.aspx?menuIndex=3&amp;refID=7045036&amp;Result=3","7045036")</f>
        <v>0</v>
      </c>
      <c r="B3159" t="s">
        <v>290</v>
      </c>
      <c r="C3159" t="s">
        <v>6103</v>
      </c>
      <c r="D3159" t="s">
        <v>16250</v>
      </c>
      <c r="E3159" t="s">
        <v>19135</v>
      </c>
      <c r="F3159" t="s">
        <v>28198</v>
      </c>
      <c r="G3159" t="s">
        <v>28207</v>
      </c>
      <c r="H3159" t="s">
        <v>28215</v>
      </c>
      <c r="I3159" t="s">
        <v>28234</v>
      </c>
      <c r="J3159" t="s">
        <v>30455</v>
      </c>
      <c r="K3159" t="s">
        <v>36689</v>
      </c>
      <c r="M3159" t="s">
        <v>37267</v>
      </c>
      <c r="N3159" t="s">
        <v>40436</v>
      </c>
      <c r="O3159" t="s">
        <v>40437</v>
      </c>
      <c r="P3159">
        <v>0</v>
      </c>
      <c r="Q3159">
        <v>0</v>
      </c>
      <c r="R3159" t="s">
        <v>40439</v>
      </c>
      <c r="S3159" t="s">
        <v>40588</v>
      </c>
      <c r="T3159" t="s">
        <v>42190</v>
      </c>
      <c r="U3159" t="s">
        <v>45370</v>
      </c>
      <c r="W3159" t="s">
        <v>37267</v>
      </c>
      <c r="X3159" t="s">
        <v>40440</v>
      </c>
    </row>
    <row r="3160" spans="1:24">
      <c r="A3160">
        <f>HYPERLINK("https://www.philgeps.gov.ph/GEPSNONPILOT/Tender/SplashBidNoticeAbstractUI.aspx?menuIndex=3&amp;refID=7045044&amp;Result=3","7045044")</f>
        <v>0</v>
      </c>
      <c r="B3160" t="s">
        <v>1221</v>
      </c>
      <c r="C3160" t="s">
        <v>6104</v>
      </c>
      <c r="D3160" t="s">
        <v>16203</v>
      </c>
      <c r="E3160" t="s">
        <v>19136</v>
      </c>
      <c r="F3160" t="s">
        <v>28198</v>
      </c>
      <c r="G3160" t="s">
        <v>28212</v>
      </c>
      <c r="H3160" t="s">
        <v>28215</v>
      </c>
      <c r="I3160" t="s">
        <v>5082</v>
      </c>
      <c r="J3160" t="s">
        <v>28941</v>
      </c>
      <c r="K3160" t="s">
        <v>36706</v>
      </c>
      <c r="M3160" t="s">
        <v>38267</v>
      </c>
      <c r="N3160" t="s">
        <v>40436</v>
      </c>
      <c r="O3160" t="s">
        <v>40437</v>
      </c>
      <c r="P3160">
        <v>0</v>
      </c>
      <c r="Q3160">
        <v>0</v>
      </c>
      <c r="R3160" t="s">
        <v>40439</v>
      </c>
      <c r="S3160" t="s">
        <v>40588</v>
      </c>
      <c r="T3160" t="s">
        <v>42177</v>
      </c>
      <c r="U3160" t="s">
        <v>45371</v>
      </c>
      <c r="W3160" t="s">
        <v>38267</v>
      </c>
      <c r="X3160" t="s">
        <v>40440</v>
      </c>
    </row>
    <row r="3161" spans="1:24">
      <c r="A3161">
        <f>HYPERLINK("https://www.philgeps.gov.ph/GEPSNONPILOT/Tender/SplashBidNoticeAbstractUI.aspx?menuIndex=3&amp;refID=7045058&amp;Result=3","7045058")</f>
        <v>0</v>
      </c>
      <c r="B3161" t="s">
        <v>1011</v>
      </c>
      <c r="C3161" t="s">
        <v>6105</v>
      </c>
      <c r="D3161" t="s">
        <v>16226</v>
      </c>
      <c r="E3161" t="s">
        <v>19137</v>
      </c>
      <c r="F3161" t="s">
        <v>28198</v>
      </c>
      <c r="G3161" t="s">
        <v>28206</v>
      </c>
      <c r="H3161" t="s">
        <v>28215</v>
      </c>
      <c r="I3161" t="s">
        <v>28258</v>
      </c>
      <c r="J3161" t="s">
        <v>28414</v>
      </c>
      <c r="K3161" t="s">
        <v>36688</v>
      </c>
      <c r="M3161" t="s">
        <v>38039</v>
      </c>
      <c r="N3161" t="s">
        <v>40436</v>
      </c>
      <c r="O3161" t="s">
        <v>40437</v>
      </c>
      <c r="P3161">
        <v>0</v>
      </c>
      <c r="Q3161">
        <v>4</v>
      </c>
      <c r="R3161" t="s">
        <v>40439</v>
      </c>
      <c r="S3161" t="s">
        <v>40588</v>
      </c>
      <c r="T3161" t="s">
        <v>42158</v>
      </c>
      <c r="U3161" t="s">
        <v>45372</v>
      </c>
      <c r="W3161" t="s">
        <v>38039</v>
      </c>
      <c r="X3161" t="s">
        <v>40440</v>
      </c>
    </row>
    <row r="3162" spans="1:24">
      <c r="A3162">
        <f>HYPERLINK("https://www.philgeps.gov.ph/GEPSNONPILOT/Tender/SplashBidNoticeAbstractUI.aspx?menuIndex=3&amp;refID=7045062&amp;Result=3","7045062")</f>
        <v>0</v>
      </c>
      <c r="B3162" t="s">
        <v>500</v>
      </c>
      <c r="C3162" t="s">
        <v>6106</v>
      </c>
      <c r="D3162" t="s">
        <v>16190</v>
      </c>
      <c r="E3162" t="s">
        <v>19138</v>
      </c>
      <c r="F3162" t="s">
        <v>28198</v>
      </c>
      <c r="G3162" t="s">
        <v>28205</v>
      </c>
      <c r="H3162" t="s">
        <v>28215</v>
      </c>
      <c r="I3162" t="s">
        <v>4219</v>
      </c>
      <c r="J3162" t="s">
        <v>30456</v>
      </c>
      <c r="K3162" t="s">
        <v>36715</v>
      </c>
      <c r="M3162" t="s">
        <v>38279</v>
      </c>
      <c r="N3162" t="s">
        <v>40436</v>
      </c>
      <c r="O3162" t="s">
        <v>40437</v>
      </c>
      <c r="P3162">
        <v>0</v>
      </c>
      <c r="Q3162">
        <v>4</v>
      </c>
      <c r="R3162" t="s">
        <v>40439</v>
      </c>
      <c r="S3162" t="s">
        <v>40588</v>
      </c>
      <c r="T3162" t="s">
        <v>42134</v>
      </c>
      <c r="U3162" t="s">
        <v>45373</v>
      </c>
      <c r="W3162" t="s">
        <v>37485</v>
      </c>
      <c r="X3162" t="s">
        <v>40440</v>
      </c>
    </row>
    <row r="3163" spans="1:24">
      <c r="A3163">
        <f>HYPERLINK("https://www.philgeps.gov.ph/GEPSNONPILOT/Tender/SplashBidNoticeAbstractUI.aspx?menuIndex=3&amp;refID=7045028&amp;Result=3","7045028")</f>
        <v>0</v>
      </c>
      <c r="B3163" t="s">
        <v>385</v>
      </c>
      <c r="C3163" t="s">
        <v>6107</v>
      </c>
      <c r="D3163" t="s">
        <v>16244</v>
      </c>
      <c r="E3163" t="s">
        <v>19139</v>
      </c>
      <c r="F3163" t="s">
        <v>28198</v>
      </c>
      <c r="G3163" t="s">
        <v>28207</v>
      </c>
      <c r="H3163" t="s">
        <v>28214</v>
      </c>
      <c r="I3163" t="s">
        <v>3797</v>
      </c>
      <c r="J3163" t="s">
        <v>29600</v>
      </c>
      <c r="K3163" t="s">
        <v>36707</v>
      </c>
      <c r="M3163" t="s">
        <v>37365</v>
      </c>
      <c r="N3163" t="s">
        <v>40436</v>
      </c>
      <c r="O3163" t="s">
        <v>40437</v>
      </c>
      <c r="P3163">
        <v>0</v>
      </c>
      <c r="Q3163">
        <v>0</v>
      </c>
      <c r="R3163" t="s">
        <v>40439</v>
      </c>
      <c r="S3163" t="s">
        <v>40588</v>
      </c>
      <c r="T3163" t="s">
        <v>42169</v>
      </c>
      <c r="U3163" t="s">
        <v>45374</v>
      </c>
      <c r="W3163" t="s">
        <v>37365</v>
      </c>
      <c r="X3163" t="s">
        <v>40440</v>
      </c>
    </row>
    <row r="3164" spans="1:24">
      <c r="A3164">
        <f>HYPERLINK("https://www.philgeps.gov.ph/GEPSNONPILOT/Tender/SplashBidNoticeAbstractUI.aspx?menuIndex=3&amp;refID=7045039&amp;Result=3","7045039")</f>
        <v>0</v>
      </c>
      <c r="B3164" t="s">
        <v>595</v>
      </c>
      <c r="C3164" t="s">
        <v>6108</v>
      </c>
      <c r="D3164" t="s">
        <v>16255</v>
      </c>
      <c r="E3164" t="s">
        <v>19140</v>
      </c>
      <c r="F3164" t="s">
        <v>28198</v>
      </c>
      <c r="G3164" t="s">
        <v>28207</v>
      </c>
      <c r="H3164" t="s">
        <v>28217</v>
      </c>
      <c r="I3164" t="s">
        <v>3422</v>
      </c>
      <c r="J3164" t="s">
        <v>28406</v>
      </c>
      <c r="K3164" t="s">
        <v>36704</v>
      </c>
      <c r="M3164" t="s">
        <v>37584</v>
      </c>
      <c r="N3164" t="s">
        <v>40436</v>
      </c>
      <c r="O3164" t="s">
        <v>40437</v>
      </c>
      <c r="P3164">
        <v>0</v>
      </c>
      <c r="Q3164">
        <v>1</v>
      </c>
      <c r="R3164" t="s">
        <v>40439</v>
      </c>
      <c r="S3164" t="s">
        <v>40588</v>
      </c>
      <c r="T3164" t="s">
        <v>42203</v>
      </c>
      <c r="U3164" t="s">
        <v>45375</v>
      </c>
      <c r="W3164" t="s">
        <v>37584</v>
      </c>
      <c r="X3164" t="s">
        <v>40440</v>
      </c>
    </row>
    <row r="3165" spans="1:24">
      <c r="A3165">
        <f>HYPERLINK("https://www.philgeps.gov.ph/GEPSNONPILOT/Tender/SplashBidNoticeAbstractUI.aspx?menuIndex=3&amp;refID=7045061&amp;Result=3","7045061")</f>
        <v>0</v>
      </c>
      <c r="B3165" t="s">
        <v>1231</v>
      </c>
      <c r="C3165" t="s">
        <v>6109</v>
      </c>
      <c r="D3165" t="s">
        <v>16210</v>
      </c>
      <c r="E3165" t="s">
        <v>19141</v>
      </c>
      <c r="F3165" t="s">
        <v>28198</v>
      </c>
      <c r="G3165" t="s">
        <v>28207</v>
      </c>
      <c r="H3165" t="s">
        <v>28215</v>
      </c>
      <c r="I3165" t="s">
        <v>28234</v>
      </c>
      <c r="J3165" t="s">
        <v>30457</v>
      </c>
      <c r="K3165" t="s">
        <v>36688</v>
      </c>
      <c r="M3165" t="s">
        <v>38280</v>
      </c>
      <c r="N3165" t="s">
        <v>40436</v>
      </c>
      <c r="O3165" t="s">
        <v>40437</v>
      </c>
      <c r="P3165">
        <v>0</v>
      </c>
      <c r="Q3165">
        <v>10</v>
      </c>
      <c r="R3165" t="s">
        <v>40439</v>
      </c>
      <c r="S3165" t="s">
        <v>40588</v>
      </c>
      <c r="T3165" t="s">
        <v>42124</v>
      </c>
      <c r="U3165" t="s">
        <v>45376</v>
      </c>
      <c r="V3165" t="s">
        <v>54114</v>
      </c>
      <c r="W3165" t="s">
        <v>38280</v>
      </c>
      <c r="X3165" t="s">
        <v>40440</v>
      </c>
    </row>
    <row r="3166" spans="1:24">
      <c r="A3166">
        <f>HYPERLINK("https://www.philgeps.gov.ph/GEPSNONPILOT/Tender/SplashBidNoticeAbstractUI.aspx?menuIndex=3&amp;refID=7045055&amp;Result=3","7045055")</f>
        <v>0</v>
      </c>
      <c r="B3166" t="s">
        <v>1108</v>
      </c>
      <c r="C3166" t="s">
        <v>6110</v>
      </c>
      <c r="D3166" t="s">
        <v>16193</v>
      </c>
      <c r="E3166" t="s">
        <v>19142</v>
      </c>
      <c r="F3166" t="s">
        <v>28198</v>
      </c>
      <c r="G3166" t="s">
        <v>28205</v>
      </c>
      <c r="H3166" t="s">
        <v>28214</v>
      </c>
      <c r="I3166" t="s">
        <v>3797</v>
      </c>
      <c r="J3166" t="s">
        <v>30458</v>
      </c>
      <c r="K3166" t="s">
        <v>36697</v>
      </c>
      <c r="M3166" t="s">
        <v>38144</v>
      </c>
      <c r="N3166" t="s">
        <v>40436</v>
      </c>
      <c r="O3166" t="s">
        <v>40437</v>
      </c>
      <c r="P3166">
        <v>0</v>
      </c>
      <c r="Q3166">
        <v>0</v>
      </c>
      <c r="R3166" t="s">
        <v>40439</v>
      </c>
      <c r="S3166" t="s">
        <v>40588</v>
      </c>
      <c r="T3166" t="s">
        <v>42349</v>
      </c>
      <c r="U3166" t="s">
        <v>45377</v>
      </c>
      <c r="W3166" t="s">
        <v>38144</v>
      </c>
      <c r="X3166" t="s">
        <v>40440</v>
      </c>
    </row>
    <row r="3167" spans="1:24">
      <c r="A3167">
        <f>HYPERLINK("https://www.philgeps.gov.ph/GEPSNONPILOT/Tender/SplashBidNoticeAbstractUI.aspx?menuIndex=3&amp;refID=7045048&amp;Result=3","7045048")</f>
        <v>0</v>
      </c>
      <c r="B3167" t="s">
        <v>563</v>
      </c>
      <c r="C3167" t="s">
        <v>6111</v>
      </c>
      <c r="D3167" t="s">
        <v>16241</v>
      </c>
      <c r="E3167" t="s">
        <v>19143</v>
      </c>
      <c r="F3167" t="s">
        <v>28198</v>
      </c>
      <c r="G3167" t="s">
        <v>28207</v>
      </c>
      <c r="H3167" t="s">
        <v>28215</v>
      </c>
      <c r="I3167" t="s">
        <v>28225</v>
      </c>
      <c r="J3167" t="s">
        <v>30459</v>
      </c>
      <c r="K3167" t="s">
        <v>36707</v>
      </c>
      <c r="M3167" t="s">
        <v>37549</v>
      </c>
      <c r="N3167" t="s">
        <v>40436</v>
      </c>
      <c r="O3167" t="s">
        <v>40437</v>
      </c>
      <c r="P3167">
        <v>0</v>
      </c>
      <c r="Q3167">
        <v>5</v>
      </c>
      <c r="R3167" t="s">
        <v>40439</v>
      </c>
      <c r="S3167" t="s">
        <v>40588</v>
      </c>
      <c r="T3167" t="s">
        <v>42131</v>
      </c>
      <c r="U3167" t="s">
        <v>43616</v>
      </c>
      <c r="W3167" t="s">
        <v>55451</v>
      </c>
      <c r="X3167" t="s">
        <v>40440</v>
      </c>
    </row>
    <row r="3168" spans="1:24">
      <c r="A3168">
        <f>HYPERLINK("https://www.philgeps.gov.ph/GEPSNONPILOT/Tender/SplashBidNoticeAbstractUI.aspx?menuIndex=3&amp;refID=7045053&amp;Result=3","7045053")</f>
        <v>0</v>
      </c>
      <c r="B3168" t="s">
        <v>1232</v>
      </c>
      <c r="C3168" t="s">
        <v>6112</v>
      </c>
      <c r="D3168" t="s">
        <v>16190</v>
      </c>
      <c r="E3168" t="s">
        <v>19144</v>
      </c>
      <c r="F3168" t="s">
        <v>28198</v>
      </c>
      <c r="G3168" t="s">
        <v>28207</v>
      </c>
      <c r="H3168" t="s">
        <v>28215</v>
      </c>
      <c r="I3168" t="s">
        <v>5082</v>
      </c>
      <c r="J3168" t="s">
        <v>30460</v>
      </c>
      <c r="K3168" t="s">
        <v>36691</v>
      </c>
      <c r="M3168" t="s">
        <v>38281</v>
      </c>
      <c r="N3168" t="s">
        <v>40436</v>
      </c>
      <c r="O3168" t="s">
        <v>40437</v>
      </c>
      <c r="P3168">
        <v>0</v>
      </c>
      <c r="Q3168">
        <v>0</v>
      </c>
      <c r="R3168" t="s">
        <v>40439</v>
      </c>
      <c r="S3168" t="s">
        <v>40588</v>
      </c>
      <c r="T3168" t="s">
        <v>42131</v>
      </c>
      <c r="U3168" t="s">
        <v>45378</v>
      </c>
      <c r="W3168" t="s">
        <v>38281</v>
      </c>
      <c r="X3168" t="s">
        <v>40440</v>
      </c>
    </row>
    <row r="3169" spans="1:24">
      <c r="A3169">
        <f>HYPERLINK("https://www.philgeps.gov.ph/GEPSNONPILOT/Tender/SplashBidNoticeAbstractUI.aspx?menuIndex=3&amp;refID=7045057&amp;Result=3","7045057")</f>
        <v>0</v>
      </c>
      <c r="B3169" t="s">
        <v>215</v>
      </c>
      <c r="C3169" t="s">
        <v>6113</v>
      </c>
      <c r="D3169" t="s">
        <v>16218</v>
      </c>
      <c r="E3169" t="s">
        <v>19145</v>
      </c>
      <c r="F3169" t="s">
        <v>28198</v>
      </c>
      <c r="G3169" t="s">
        <v>28205</v>
      </c>
      <c r="H3169" t="s">
        <v>28215</v>
      </c>
      <c r="I3169" t="s">
        <v>5100</v>
      </c>
      <c r="J3169" t="s">
        <v>30461</v>
      </c>
      <c r="K3169" t="s">
        <v>36688</v>
      </c>
      <c r="M3169" t="s">
        <v>38271</v>
      </c>
      <c r="N3169" t="s">
        <v>40436</v>
      </c>
      <c r="O3169" t="s">
        <v>40437</v>
      </c>
      <c r="P3169">
        <v>0</v>
      </c>
      <c r="Q3169">
        <v>1</v>
      </c>
      <c r="R3169" t="s">
        <v>40439</v>
      </c>
      <c r="S3169" t="s">
        <v>40588</v>
      </c>
      <c r="T3169" t="s">
        <v>42143</v>
      </c>
      <c r="U3169" t="s">
        <v>45379</v>
      </c>
      <c r="W3169" t="s">
        <v>38271</v>
      </c>
      <c r="X3169" t="s">
        <v>40440</v>
      </c>
    </row>
    <row r="3170" spans="1:24">
      <c r="A3170">
        <f>HYPERLINK("https://www.philgeps.gov.ph/GEPSNONPILOT/Tender/SplashBidNoticeAbstractUI.aspx?menuIndex=3&amp;refID=7045076&amp;Result=3","7045076")</f>
        <v>0</v>
      </c>
      <c r="B3170" t="s">
        <v>1233</v>
      </c>
      <c r="C3170" t="s">
        <v>6114</v>
      </c>
      <c r="D3170" t="s">
        <v>16200</v>
      </c>
      <c r="E3170" t="s">
        <v>19146</v>
      </c>
      <c r="F3170" t="s">
        <v>28198</v>
      </c>
      <c r="G3170" t="s">
        <v>28207</v>
      </c>
      <c r="H3170" t="s">
        <v>28215</v>
      </c>
      <c r="I3170" t="s">
        <v>28228</v>
      </c>
      <c r="J3170" t="s">
        <v>28691</v>
      </c>
      <c r="K3170" t="s">
        <v>36689</v>
      </c>
      <c r="M3170" t="s">
        <v>38282</v>
      </c>
      <c r="N3170" t="s">
        <v>40436</v>
      </c>
      <c r="O3170" t="s">
        <v>40437</v>
      </c>
      <c r="P3170">
        <v>0</v>
      </c>
      <c r="Q3170">
        <v>0</v>
      </c>
      <c r="R3170" t="s">
        <v>40439</v>
      </c>
      <c r="S3170" t="s">
        <v>40588</v>
      </c>
      <c r="T3170" t="s">
        <v>42098</v>
      </c>
      <c r="U3170" t="s">
        <v>45380</v>
      </c>
      <c r="W3170" t="s">
        <v>38282</v>
      </c>
      <c r="X3170" t="s">
        <v>40440</v>
      </c>
    </row>
    <row r="3171" spans="1:24">
      <c r="A3171">
        <f>HYPERLINK("https://www.philgeps.gov.ph/GEPSNONPILOT/Tender/SplashBidNoticeAbstractUI.aspx?menuIndex=3&amp;refID=7045077&amp;Result=3","7045077")</f>
        <v>0</v>
      </c>
      <c r="B3171" t="s">
        <v>290</v>
      </c>
      <c r="C3171" t="s">
        <v>6115</v>
      </c>
      <c r="D3171" t="s">
        <v>16250</v>
      </c>
      <c r="E3171" t="s">
        <v>19147</v>
      </c>
      <c r="F3171" t="s">
        <v>28198</v>
      </c>
      <c r="G3171" t="s">
        <v>28207</v>
      </c>
      <c r="H3171" t="s">
        <v>28215</v>
      </c>
      <c r="I3171" t="s">
        <v>4219</v>
      </c>
      <c r="J3171" t="s">
        <v>30462</v>
      </c>
      <c r="K3171" t="s">
        <v>36689</v>
      </c>
      <c r="M3171" t="s">
        <v>37267</v>
      </c>
      <c r="N3171" t="s">
        <v>40436</v>
      </c>
      <c r="O3171" t="s">
        <v>40437</v>
      </c>
      <c r="P3171">
        <v>0</v>
      </c>
      <c r="Q3171">
        <v>0</v>
      </c>
      <c r="R3171" t="s">
        <v>40439</v>
      </c>
      <c r="S3171" t="s">
        <v>40588</v>
      </c>
      <c r="T3171" t="s">
        <v>42190</v>
      </c>
      <c r="U3171" t="s">
        <v>45381</v>
      </c>
      <c r="W3171" t="s">
        <v>37267</v>
      </c>
      <c r="X3171" t="s">
        <v>40440</v>
      </c>
    </row>
    <row r="3172" spans="1:24">
      <c r="A3172">
        <f>HYPERLINK("https://www.philgeps.gov.ph/GEPSNONPILOT/Tender/SplashBidNoticeAbstractUI.aspx?menuIndex=3&amp;refID=7045072&amp;Result=3","7045072")</f>
        <v>0</v>
      </c>
      <c r="B3172" t="s">
        <v>1234</v>
      </c>
      <c r="C3172" t="s">
        <v>4200</v>
      </c>
      <c r="D3172" t="s">
        <v>16260</v>
      </c>
      <c r="E3172" t="s">
        <v>19148</v>
      </c>
      <c r="F3172" t="s">
        <v>28198</v>
      </c>
      <c r="G3172" t="s">
        <v>28207</v>
      </c>
      <c r="H3172" t="s">
        <v>28215</v>
      </c>
      <c r="I3172" t="s">
        <v>4200</v>
      </c>
      <c r="J3172" t="s">
        <v>30463</v>
      </c>
      <c r="K3172" t="s">
        <v>36688</v>
      </c>
      <c r="M3172" t="s">
        <v>38283</v>
      </c>
      <c r="N3172" t="s">
        <v>40436</v>
      </c>
      <c r="O3172" t="s">
        <v>40437</v>
      </c>
      <c r="P3172">
        <v>0</v>
      </c>
      <c r="Q3172">
        <v>0</v>
      </c>
      <c r="R3172" t="s">
        <v>40439</v>
      </c>
      <c r="S3172" t="s">
        <v>40588</v>
      </c>
      <c r="T3172" t="s">
        <v>42158</v>
      </c>
      <c r="U3172" t="s">
        <v>45382</v>
      </c>
      <c r="W3172" t="s">
        <v>38283</v>
      </c>
      <c r="X3172" t="s">
        <v>40440</v>
      </c>
    </row>
    <row r="3173" spans="1:24">
      <c r="A3173">
        <f>HYPERLINK("https://www.philgeps.gov.ph/GEPSNONPILOT/Tender/SplashBidNoticeAbstractUI.aspx?menuIndex=3&amp;refID=7045075&amp;Result=3","7045075")</f>
        <v>0</v>
      </c>
      <c r="B3173" t="s">
        <v>1063</v>
      </c>
      <c r="C3173" t="s">
        <v>6116</v>
      </c>
      <c r="D3173" t="s">
        <v>16188</v>
      </c>
      <c r="E3173" t="s">
        <v>6116</v>
      </c>
      <c r="F3173" t="s">
        <v>28198</v>
      </c>
      <c r="G3173" t="s">
        <v>28207</v>
      </c>
      <c r="H3173" t="s">
        <v>28215</v>
      </c>
      <c r="I3173" t="s">
        <v>3774</v>
      </c>
      <c r="J3173" t="s">
        <v>30464</v>
      </c>
      <c r="K3173" t="s">
        <v>36689</v>
      </c>
      <c r="M3173" t="s">
        <v>38096</v>
      </c>
      <c r="N3173" t="s">
        <v>40436</v>
      </c>
      <c r="O3173" t="s">
        <v>40437</v>
      </c>
      <c r="P3173">
        <v>0</v>
      </c>
      <c r="Q3173">
        <v>1</v>
      </c>
      <c r="R3173" t="s">
        <v>40439</v>
      </c>
      <c r="S3173" t="s">
        <v>40588</v>
      </c>
      <c r="T3173" t="s">
        <v>42318</v>
      </c>
      <c r="U3173" t="s">
        <v>45383</v>
      </c>
      <c r="W3173" t="s">
        <v>38096</v>
      </c>
      <c r="X3173" t="s">
        <v>40440</v>
      </c>
    </row>
    <row r="3174" spans="1:24">
      <c r="A3174">
        <f>HYPERLINK("https://www.philgeps.gov.ph/GEPSNONPILOT/Tender/SplashBidNoticeAbstractUI.aspx?menuIndex=3&amp;refID=7045069&amp;Result=3","7045069")</f>
        <v>0</v>
      </c>
      <c r="B3174" t="s">
        <v>1235</v>
      </c>
      <c r="C3174" t="s">
        <v>6117</v>
      </c>
      <c r="D3174" t="s">
        <v>16260</v>
      </c>
      <c r="E3174" t="s">
        <v>19149</v>
      </c>
      <c r="F3174" t="s">
        <v>28198</v>
      </c>
      <c r="G3174" t="s">
        <v>28205</v>
      </c>
      <c r="H3174" t="s">
        <v>28214</v>
      </c>
      <c r="I3174" t="s">
        <v>3797</v>
      </c>
      <c r="J3174" t="s">
        <v>28561</v>
      </c>
      <c r="K3174" t="s">
        <v>36709</v>
      </c>
      <c r="M3174" t="s">
        <v>38284</v>
      </c>
      <c r="N3174" t="s">
        <v>40436</v>
      </c>
      <c r="O3174" t="s">
        <v>40437</v>
      </c>
      <c r="P3174">
        <v>0</v>
      </c>
      <c r="Q3174">
        <v>0</v>
      </c>
      <c r="R3174" t="s">
        <v>40439</v>
      </c>
      <c r="S3174" t="s">
        <v>40588</v>
      </c>
      <c r="T3174" t="s">
        <v>42319</v>
      </c>
      <c r="U3174" t="s">
        <v>45384</v>
      </c>
      <c r="V3174" t="s">
        <v>54115</v>
      </c>
      <c r="W3174" t="s">
        <v>38284</v>
      </c>
      <c r="X3174" t="s">
        <v>40440</v>
      </c>
    </row>
    <row r="3175" spans="1:24">
      <c r="A3175">
        <f>HYPERLINK("https://www.philgeps.gov.ph/GEPSNONPILOT/Tender/SplashBidNoticeAbstractUI.aspx?menuIndex=3&amp;refID=7045052&amp;Result=3","7045052")</f>
        <v>0</v>
      </c>
      <c r="B3175" t="s">
        <v>1225</v>
      </c>
      <c r="C3175" t="s">
        <v>6118</v>
      </c>
      <c r="D3175" t="s">
        <v>16236</v>
      </c>
      <c r="E3175" t="s">
        <v>19150</v>
      </c>
      <c r="F3175" t="s">
        <v>28198</v>
      </c>
      <c r="G3175" t="s">
        <v>28207</v>
      </c>
      <c r="H3175" t="s">
        <v>28215</v>
      </c>
      <c r="I3175" t="s">
        <v>28229</v>
      </c>
      <c r="J3175" t="s">
        <v>28593</v>
      </c>
      <c r="K3175" t="s">
        <v>36701</v>
      </c>
      <c r="M3175" t="s">
        <v>38273</v>
      </c>
      <c r="N3175" t="s">
        <v>40436</v>
      </c>
      <c r="O3175" t="s">
        <v>40437</v>
      </c>
      <c r="P3175">
        <v>0</v>
      </c>
      <c r="Q3175">
        <v>1</v>
      </c>
      <c r="R3175" t="s">
        <v>40439</v>
      </c>
      <c r="S3175" t="s">
        <v>40588</v>
      </c>
      <c r="T3175" t="s">
        <v>42129</v>
      </c>
      <c r="U3175" t="s">
        <v>45385</v>
      </c>
      <c r="V3175" t="s">
        <v>54116</v>
      </c>
      <c r="W3175" t="s">
        <v>38273</v>
      </c>
      <c r="X3175" t="s">
        <v>40440</v>
      </c>
    </row>
    <row r="3176" spans="1:24">
      <c r="A3176">
        <f>HYPERLINK("https://www.philgeps.gov.ph/GEPSNONPILOT/Tender/SplashBidNoticeAbstractUI.aspx?menuIndex=3&amp;refID=7045054&amp;Result=3","7045054")</f>
        <v>0</v>
      </c>
      <c r="B3176" t="s">
        <v>1175</v>
      </c>
      <c r="C3176" t="s">
        <v>6119</v>
      </c>
      <c r="D3176" t="s">
        <v>16190</v>
      </c>
      <c r="E3176" t="s">
        <v>19151</v>
      </c>
      <c r="F3176" t="s">
        <v>28198</v>
      </c>
      <c r="G3176" t="s">
        <v>28207</v>
      </c>
      <c r="H3176" t="s">
        <v>28215</v>
      </c>
      <c r="I3176" t="s">
        <v>4200</v>
      </c>
      <c r="J3176" t="s">
        <v>28406</v>
      </c>
      <c r="K3176" t="s">
        <v>36694</v>
      </c>
      <c r="M3176" t="s">
        <v>38217</v>
      </c>
      <c r="N3176" t="s">
        <v>40436</v>
      </c>
      <c r="O3176" t="s">
        <v>40437</v>
      </c>
      <c r="P3176">
        <v>0</v>
      </c>
      <c r="Q3176">
        <v>3</v>
      </c>
      <c r="R3176" t="s">
        <v>40439</v>
      </c>
      <c r="S3176" t="s">
        <v>40588</v>
      </c>
      <c r="T3176" t="s">
        <v>42176</v>
      </c>
      <c r="U3176" t="s">
        <v>45309</v>
      </c>
      <c r="W3176" t="s">
        <v>38217</v>
      </c>
      <c r="X3176" t="s">
        <v>40440</v>
      </c>
    </row>
    <row r="3177" spans="1:24">
      <c r="A3177">
        <f>HYPERLINK("https://www.philgeps.gov.ph/GEPSNONPILOT/Tender/SplashBidNoticeAbstractUI.aspx?menuIndex=3&amp;refID=7045068&amp;Result=3","7045068")</f>
        <v>0</v>
      </c>
      <c r="B3177" t="s">
        <v>1206</v>
      </c>
      <c r="C3177" t="s">
        <v>6120</v>
      </c>
      <c r="D3177" t="s">
        <v>16203</v>
      </c>
      <c r="E3177" t="s">
        <v>19152</v>
      </c>
      <c r="F3177" t="s">
        <v>28198</v>
      </c>
      <c r="G3177" t="s">
        <v>28207</v>
      </c>
      <c r="H3177" t="s">
        <v>28215</v>
      </c>
      <c r="I3177" t="s">
        <v>5791</v>
      </c>
      <c r="J3177" t="s">
        <v>28378</v>
      </c>
      <c r="K3177" t="s">
        <v>36701</v>
      </c>
      <c r="M3177" t="s">
        <v>38251</v>
      </c>
      <c r="N3177" t="s">
        <v>40436</v>
      </c>
      <c r="O3177" t="s">
        <v>40437</v>
      </c>
      <c r="P3177">
        <v>0</v>
      </c>
      <c r="Q3177">
        <v>0</v>
      </c>
      <c r="R3177" t="s">
        <v>40439</v>
      </c>
      <c r="S3177" t="s">
        <v>40588</v>
      </c>
      <c r="T3177" t="s">
        <v>42119</v>
      </c>
      <c r="U3177" t="s">
        <v>45386</v>
      </c>
      <c r="W3177" t="s">
        <v>38251</v>
      </c>
      <c r="X3177" t="s">
        <v>40440</v>
      </c>
    </row>
    <row r="3178" spans="1:24">
      <c r="A3178">
        <f>HYPERLINK("https://www.philgeps.gov.ph/GEPSNONPILOT/Tender/SplashBidNoticeAbstractUI.aspx?menuIndex=3&amp;refID=7045066&amp;Result=3","7045066")</f>
        <v>0</v>
      </c>
      <c r="B3178" t="s">
        <v>1194</v>
      </c>
      <c r="C3178" t="s">
        <v>6121</v>
      </c>
      <c r="D3178" t="s">
        <v>16258</v>
      </c>
      <c r="E3178" t="s">
        <v>19153</v>
      </c>
      <c r="F3178" t="s">
        <v>28198</v>
      </c>
      <c r="G3178" t="s">
        <v>28209</v>
      </c>
      <c r="H3178" t="s">
        <v>28215</v>
      </c>
      <c r="I3178" t="s">
        <v>4505</v>
      </c>
      <c r="J3178" t="s">
        <v>30465</v>
      </c>
      <c r="K3178" t="s">
        <v>36689</v>
      </c>
      <c r="M3178" t="s">
        <v>38238</v>
      </c>
      <c r="N3178" t="s">
        <v>40436</v>
      </c>
      <c r="O3178" t="s">
        <v>40437</v>
      </c>
      <c r="P3178">
        <v>0</v>
      </c>
      <c r="Q3178">
        <v>1</v>
      </c>
      <c r="R3178" t="s">
        <v>40439</v>
      </c>
      <c r="S3178" t="s">
        <v>40588</v>
      </c>
      <c r="T3178" t="s">
        <v>42129</v>
      </c>
      <c r="U3178" t="s">
        <v>45387</v>
      </c>
      <c r="W3178" t="s">
        <v>38238</v>
      </c>
      <c r="X3178" t="s">
        <v>40440</v>
      </c>
    </row>
    <row r="3179" spans="1:24">
      <c r="A3179">
        <f>HYPERLINK("https://www.philgeps.gov.ph/GEPSNONPILOT/Tender/SplashBidNoticeAbstractUI.aspx?menuIndex=3&amp;refID=7045078&amp;Result=3","7045078")</f>
        <v>0</v>
      </c>
      <c r="B3179" t="s">
        <v>525</v>
      </c>
      <c r="C3179" t="s">
        <v>6122</v>
      </c>
      <c r="D3179" t="s">
        <v>16221</v>
      </c>
      <c r="E3179" t="s">
        <v>19154</v>
      </c>
      <c r="F3179" t="s">
        <v>28198</v>
      </c>
      <c r="G3179" t="s">
        <v>28205</v>
      </c>
      <c r="H3179" t="s">
        <v>28217</v>
      </c>
      <c r="I3179" t="s">
        <v>6786</v>
      </c>
      <c r="J3179" t="s">
        <v>30466</v>
      </c>
      <c r="K3179" t="s">
        <v>36705</v>
      </c>
      <c r="M3179" t="s">
        <v>37510</v>
      </c>
      <c r="N3179" t="s">
        <v>40436</v>
      </c>
      <c r="O3179" t="s">
        <v>40437</v>
      </c>
      <c r="P3179">
        <v>0</v>
      </c>
      <c r="Q3179">
        <v>2</v>
      </c>
      <c r="R3179" t="s">
        <v>40439</v>
      </c>
      <c r="S3179" t="s">
        <v>40588</v>
      </c>
      <c r="T3179" t="s">
        <v>42108</v>
      </c>
      <c r="U3179" t="s">
        <v>45388</v>
      </c>
      <c r="W3179" t="s">
        <v>37510</v>
      </c>
      <c r="X3179" t="s">
        <v>40440</v>
      </c>
    </row>
    <row r="3180" spans="1:24">
      <c r="A3180">
        <f>HYPERLINK("https://www.philgeps.gov.ph/GEPSNONPILOT/Tender/SplashBidNoticeAbstractUI.aspx?menuIndex=3&amp;refID=7045064&amp;Result=3","7045064")</f>
        <v>0</v>
      </c>
      <c r="B3180" t="s">
        <v>455</v>
      </c>
      <c r="C3180" t="s">
        <v>6123</v>
      </c>
      <c r="D3180" t="s">
        <v>16263</v>
      </c>
      <c r="E3180" t="s">
        <v>19155</v>
      </c>
      <c r="F3180" t="s">
        <v>28198</v>
      </c>
      <c r="G3180" t="s">
        <v>28205</v>
      </c>
      <c r="H3180" t="s">
        <v>28214</v>
      </c>
      <c r="I3180" t="s">
        <v>3797</v>
      </c>
      <c r="J3180" t="s">
        <v>28393</v>
      </c>
      <c r="K3180" t="s">
        <v>36689</v>
      </c>
      <c r="M3180" t="s">
        <v>37439</v>
      </c>
      <c r="N3180" t="s">
        <v>40436</v>
      </c>
      <c r="O3180" t="s">
        <v>40437</v>
      </c>
      <c r="P3180">
        <v>0</v>
      </c>
      <c r="Q3180">
        <v>0</v>
      </c>
      <c r="R3180" t="s">
        <v>40439</v>
      </c>
      <c r="S3180" t="s">
        <v>40588</v>
      </c>
      <c r="T3180" t="s">
        <v>42118</v>
      </c>
      <c r="U3180" t="s">
        <v>45025</v>
      </c>
      <c r="W3180" t="s">
        <v>37439</v>
      </c>
      <c r="X3180" t="s">
        <v>40440</v>
      </c>
    </row>
    <row r="3181" spans="1:24">
      <c r="A3181">
        <f>HYPERLINK("https://www.philgeps.gov.ph/GEPSNONPILOT/Tender/SplashBidNoticeAbstractUI.aspx?menuIndex=3&amp;refID=7045073&amp;Result=3","7045073")</f>
        <v>0</v>
      </c>
      <c r="B3181" t="s">
        <v>1236</v>
      </c>
      <c r="C3181" t="s">
        <v>6124</v>
      </c>
      <c r="D3181" t="s">
        <v>16209</v>
      </c>
      <c r="E3181" t="s">
        <v>19156</v>
      </c>
      <c r="F3181" t="s">
        <v>28198</v>
      </c>
      <c r="G3181" t="s">
        <v>28207</v>
      </c>
      <c r="H3181" t="s">
        <v>28215</v>
      </c>
      <c r="I3181" t="s">
        <v>28247</v>
      </c>
      <c r="J3181" t="s">
        <v>28430</v>
      </c>
      <c r="K3181" t="s">
        <v>36707</v>
      </c>
      <c r="M3181" t="s">
        <v>38285</v>
      </c>
      <c r="N3181" t="s">
        <v>40436</v>
      </c>
      <c r="O3181" t="s">
        <v>40437</v>
      </c>
      <c r="P3181">
        <v>0</v>
      </c>
      <c r="Q3181">
        <v>5</v>
      </c>
      <c r="R3181" t="s">
        <v>40439</v>
      </c>
      <c r="S3181" t="s">
        <v>40588</v>
      </c>
      <c r="T3181" t="s">
        <v>42190</v>
      </c>
      <c r="U3181" t="s">
        <v>43338</v>
      </c>
      <c r="W3181" t="s">
        <v>38285</v>
      </c>
      <c r="X3181" t="s">
        <v>40440</v>
      </c>
    </row>
    <row r="3182" spans="1:24">
      <c r="A3182">
        <f>HYPERLINK("https://www.philgeps.gov.ph/GEPSNONPILOT/Tender/SplashBidNoticeAbstractUI.aspx?menuIndex=3&amp;refID=7045067&amp;Result=3","7045067")</f>
        <v>0</v>
      </c>
      <c r="B3182" t="s">
        <v>1237</v>
      </c>
      <c r="C3182" t="s">
        <v>3134</v>
      </c>
      <c r="E3182" t="s">
        <v>19157</v>
      </c>
      <c r="F3182" t="s">
        <v>28198</v>
      </c>
      <c r="G3182" t="s">
        <v>28205</v>
      </c>
      <c r="H3182" t="s">
        <v>28214</v>
      </c>
      <c r="I3182" t="s">
        <v>3797</v>
      </c>
      <c r="J3182" t="s">
        <v>29374</v>
      </c>
      <c r="K3182" t="s">
        <v>36699</v>
      </c>
      <c r="M3182" t="s">
        <v>38286</v>
      </c>
      <c r="N3182" t="s">
        <v>40436</v>
      </c>
      <c r="O3182" t="s">
        <v>40437</v>
      </c>
      <c r="P3182">
        <v>0</v>
      </c>
      <c r="Q3182">
        <v>0</v>
      </c>
      <c r="R3182" t="s">
        <v>40439</v>
      </c>
      <c r="S3182" t="s">
        <v>40588</v>
      </c>
      <c r="T3182" t="s">
        <v>42180</v>
      </c>
      <c r="U3182" t="s">
        <v>45389</v>
      </c>
      <c r="W3182" t="s">
        <v>38286</v>
      </c>
      <c r="X3182" t="s">
        <v>40440</v>
      </c>
    </row>
    <row r="3183" spans="1:24">
      <c r="A3183">
        <f>HYPERLINK("https://www.philgeps.gov.ph/GEPSNONPILOT/Tender/SplashBidNoticeAbstractUI.aspx?menuIndex=3&amp;refID=7045087&amp;Result=3","7045087")</f>
        <v>0</v>
      </c>
      <c r="B3183" t="s">
        <v>1238</v>
      </c>
      <c r="C3183" t="s">
        <v>6125</v>
      </c>
      <c r="D3183" t="s">
        <v>16249</v>
      </c>
      <c r="E3183" t="s">
        <v>19158</v>
      </c>
      <c r="F3183" t="s">
        <v>28198</v>
      </c>
      <c r="G3183" t="s">
        <v>28207</v>
      </c>
      <c r="H3183" t="s">
        <v>28215</v>
      </c>
      <c r="I3183" t="s">
        <v>28258</v>
      </c>
      <c r="J3183" t="s">
        <v>28414</v>
      </c>
      <c r="K3183" t="s">
        <v>36688</v>
      </c>
      <c r="M3183" t="s">
        <v>38287</v>
      </c>
      <c r="N3183" t="s">
        <v>40436</v>
      </c>
      <c r="O3183" t="s">
        <v>40437</v>
      </c>
      <c r="P3183">
        <v>0</v>
      </c>
      <c r="Q3183">
        <v>3</v>
      </c>
      <c r="R3183" t="s">
        <v>40439</v>
      </c>
      <c r="S3183" t="s">
        <v>40588</v>
      </c>
      <c r="T3183" t="s">
        <v>42134</v>
      </c>
      <c r="U3183" t="s">
        <v>45390</v>
      </c>
      <c r="V3183" t="s">
        <v>54117</v>
      </c>
      <c r="W3183" t="s">
        <v>38287</v>
      </c>
      <c r="X3183" t="s">
        <v>40440</v>
      </c>
    </row>
    <row r="3184" spans="1:24">
      <c r="A3184">
        <f>HYPERLINK("https://www.philgeps.gov.ph/GEPSNONPILOT/Tender/SplashBidNoticeAbstractUI.aspx?menuIndex=3&amp;refID=7045097&amp;Result=3","7045097")</f>
        <v>0</v>
      </c>
      <c r="B3184" t="s">
        <v>1239</v>
      </c>
      <c r="C3184" t="s">
        <v>6126</v>
      </c>
      <c r="D3184" t="s">
        <v>16210</v>
      </c>
      <c r="E3184" t="s">
        <v>19159</v>
      </c>
      <c r="F3184" t="s">
        <v>28198</v>
      </c>
      <c r="G3184" t="s">
        <v>28207</v>
      </c>
      <c r="H3184" t="s">
        <v>28215</v>
      </c>
      <c r="I3184" t="s">
        <v>28253</v>
      </c>
      <c r="J3184" t="s">
        <v>30467</v>
      </c>
      <c r="K3184" t="s">
        <v>36707</v>
      </c>
      <c r="M3184" t="s">
        <v>38288</v>
      </c>
      <c r="N3184" t="s">
        <v>40436</v>
      </c>
      <c r="O3184" t="s">
        <v>40437</v>
      </c>
      <c r="P3184">
        <v>0</v>
      </c>
      <c r="Q3184">
        <v>1</v>
      </c>
      <c r="R3184" t="s">
        <v>40439</v>
      </c>
      <c r="S3184" t="s">
        <v>40588</v>
      </c>
      <c r="T3184" t="s">
        <v>42216</v>
      </c>
      <c r="U3184" t="s">
        <v>45391</v>
      </c>
      <c r="W3184" t="s">
        <v>38288</v>
      </c>
      <c r="X3184" t="s">
        <v>40440</v>
      </c>
    </row>
    <row r="3185" spans="1:24">
      <c r="A3185">
        <f>HYPERLINK("https://www.philgeps.gov.ph/GEPSNONPILOT/Tender/SplashBidNoticeAbstractUI.aspx?menuIndex=3&amp;refID=7045088&amp;Result=3","7045088")</f>
        <v>0</v>
      </c>
      <c r="B3185" t="s">
        <v>1240</v>
      </c>
      <c r="C3185" t="s">
        <v>6127</v>
      </c>
      <c r="D3185" t="s">
        <v>16209</v>
      </c>
      <c r="E3185" t="s">
        <v>19160</v>
      </c>
      <c r="F3185" t="s">
        <v>28198</v>
      </c>
      <c r="G3185" t="s">
        <v>28205</v>
      </c>
      <c r="H3185" t="s">
        <v>28215</v>
      </c>
      <c r="I3185" t="s">
        <v>28227</v>
      </c>
      <c r="J3185" t="s">
        <v>30468</v>
      </c>
      <c r="K3185" t="s">
        <v>36696</v>
      </c>
      <c r="M3185" t="s">
        <v>38289</v>
      </c>
      <c r="N3185" t="s">
        <v>40436</v>
      </c>
      <c r="O3185" t="s">
        <v>40437</v>
      </c>
      <c r="P3185">
        <v>0</v>
      </c>
      <c r="Q3185">
        <v>0</v>
      </c>
      <c r="R3185" t="s">
        <v>40439</v>
      </c>
      <c r="S3185" t="s">
        <v>40588</v>
      </c>
      <c r="T3185" t="s">
        <v>42148</v>
      </c>
      <c r="U3185" t="s">
        <v>45392</v>
      </c>
      <c r="W3185" t="s">
        <v>38289</v>
      </c>
      <c r="X3185" t="s">
        <v>40440</v>
      </c>
    </row>
    <row r="3186" spans="1:24">
      <c r="A3186">
        <f>HYPERLINK("https://www.philgeps.gov.ph/GEPSNONPILOT/Tender/SplashBidNoticeAbstractUI.aspx?menuIndex=3&amp;refID=7045084&amp;Result=3","7045084")</f>
        <v>0</v>
      </c>
      <c r="B3186" t="s">
        <v>1215</v>
      </c>
      <c r="C3186" t="s">
        <v>6128</v>
      </c>
      <c r="D3186" t="s">
        <v>16238</v>
      </c>
      <c r="E3186" t="s">
        <v>19161</v>
      </c>
      <c r="F3186" t="s">
        <v>28198</v>
      </c>
      <c r="G3186" t="s">
        <v>28205</v>
      </c>
      <c r="H3186" t="s">
        <v>28215</v>
      </c>
      <c r="I3186" t="s">
        <v>28254</v>
      </c>
      <c r="J3186" t="s">
        <v>30469</v>
      </c>
      <c r="K3186" t="s">
        <v>36701</v>
      </c>
      <c r="L3186" t="s">
        <v>1215</v>
      </c>
      <c r="M3186" t="s">
        <v>38260</v>
      </c>
      <c r="N3186" t="s">
        <v>40436</v>
      </c>
      <c r="O3186" t="s">
        <v>40437</v>
      </c>
      <c r="P3186">
        <v>0</v>
      </c>
      <c r="Q3186">
        <v>3</v>
      </c>
      <c r="R3186" t="s">
        <v>40439</v>
      </c>
      <c r="S3186" t="s">
        <v>40588</v>
      </c>
      <c r="T3186" t="s">
        <v>42155</v>
      </c>
      <c r="U3186" t="s">
        <v>45393</v>
      </c>
      <c r="W3186" t="s">
        <v>38260</v>
      </c>
      <c r="X3186" t="s">
        <v>40440</v>
      </c>
    </row>
    <row r="3187" spans="1:24">
      <c r="A3187">
        <f>HYPERLINK("https://www.philgeps.gov.ph/GEPSNONPILOT/Tender/SplashBidNoticeAbstractUI.aspx?menuIndex=3&amp;refID=7045099&amp;Result=3","7045099")</f>
        <v>0</v>
      </c>
      <c r="B3187" t="s">
        <v>1241</v>
      </c>
      <c r="C3187" t="s">
        <v>6129</v>
      </c>
      <c r="D3187" t="s">
        <v>16216</v>
      </c>
      <c r="E3187" t="s">
        <v>19162</v>
      </c>
      <c r="F3187" t="s">
        <v>28198</v>
      </c>
      <c r="G3187" t="s">
        <v>28206</v>
      </c>
      <c r="H3187" t="s">
        <v>28215</v>
      </c>
      <c r="I3187" t="s">
        <v>28253</v>
      </c>
      <c r="J3187" t="s">
        <v>30470</v>
      </c>
      <c r="K3187" t="s">
        <v>36689</v>
      </c>
      <c r="M3187" t="s">
        <v>38290</v>
      </c>
      <c r="N3187" t="s">
        <v>40436</v>
      </c>
      <c r="O3187" t="s">
        <v>40437</v>
      </c>
      <c r="P3187">
        <v>0</v>
      </c>
      <c r="Q3187">
        <v>6</v>
      </c>
      <c r="R3187" t="s">
        <v>40439</v>
      </c>
      <c r="S3187" t="s">
        <v>40588</v>
      </c>
      <c r="T3187" t="s">
        <v>42124</v>
      </c>
      <c r="U3187" t="s">
        <v>45394</v>
      </c>
      <c r="W3187" t="s">
        <v>38290</v>
      </c>
      <c r="X3187" t="s">
        <v>40440</v>
      </c>
    </row>
    <row r="3188" spans="1:24">
      <c r="A3188">
        <f>HYPERLINK("https://www.philgeps.gov.ph/GEPSNONPILOT/Tender/SplashBidNoticeAbstractUI.aspx?menuIndex=3&amp;refID=7045083&amp;Result=3","7045083")</f>
        <v>0</v>
      </c>
      <c r="B3188" t="s">
        <v>1242</v>
      </c>
      <c r="C3188" t="s">
        <v>5107</v>
      </c>
      <c r="D3188" t="s">
        <v>16258</v>
      </c>
      <c r="E3188" t="s">
        <v>19163</v>
      </c>
      <c r="F3188" t="s">
        <v>28198</v>
      </c>
      <c r="G3188" t="s">
        <v>28205</v>
      </c>
      <c r="H3188" t="s">
        <v>28215</v>
      </c>
      <c r="I3188" t="s">
        <v>5082</v>
      </c>
      <c r="J3188" t="s">
        <v>30471</v>
      </c>
      <c r="K3188" t="s">
        <v>36706</v>
      </c>
      <c r="M3188" t="s">
        <v>38291</v>
      </c>
      <c r="N3188" t="s">
        <v>40436</v>
      </c>
      <c r="O3188" t="s">
        <v>40437</v>
      </c>
      <c r="P3188">
        <v>0</v>
      </c>
      <c r="Q3188">
        <v>1</v>
      </c>
      <c r="R3188" t="s">
        <v>40439</v>
      </c>
      <c r="S3188" t="s">
        <v>40588</v>
      </c>
      <c r="T3188" t="s">
        <v>42168</v>
      </c>
      <c r="U3188" t="s">
        <v>45395</v>
      </c>
      <c r="W3188" t="s">
        <v>38291</v>
      </c>
      <c r="X3188" t="s">
        <v>40440</v>
      </c>
    </row>
    <row r="3189" spans="1:24">
      <c r="A3189">
        <f>HYPERLINK("https://www.philgeps.gov.ph/GEPSNONPILOT/Tender/SplashBidNoticeAbstractUI.aspx?menuIndex=3&amp;refID=7045082&amp;Result=3","7045082")</f>
        <v>0</v>
      </c>
      <c r="B3189" t="s">
        <v>202</v>
      </c>
      <c r="C3189" t="s">
        <v>6130</v>
      </c>
      <c r="D3189" t="s">
        <v>16217</v>
      </c>
      <c r="E3189" t="s">
        <v>19164</v>
      </c>
      <c r="F3189" t="s">
        <v>28198</v>
      </c>
      <c r="G3189" t="s">
        <v>28207</v>
      </c>
      <c r="H3189" t="s">
        <v>28217</v>
      </c>
      <c r="I3189" t="s">
        <v>28274</v>
      </c>
      <c r="J3189" t="s">
        <v>30009</v>
      </c>
      <c r="K3189" t="s">
        <v>36728</v>
      </c>
      <c r="M3189" t="s">
        <v>38212</v>
      </c>
      <c r="N3189" t="s">
        <v>40436</v>
      </c>
      <c r="O3189" t="s">
        <v>40437</v>
      </c>
      <c r="P3189">
        <v>0</v>
      </c>
      <c r="Q3189">
        <v>0</v>
      </c>
      <c r="R3189" t="s">
        <v>40439</v>
      </c>
      <c r="S3189" t="s">
        <v>40588</v>
      </c>
      <c r="T3189" t="s">
        <v>42103</v>
      </c>
      <c r="U3189" t="s">
        <v>45396</v>
      </c>
      <c r="V3189" t="s">
        <v>54103</v>
      </c>
      <c r="W3189" t="s">
        <v>38212</v>
      </c>
      <c r="X3189" t="s">
        <v>40440</v>
      </c>
    </row>
    <row r="3190" spans="1:24">
      <c r="A3190">
        <f>HYPERLINK("https://www.philgeps.gov.ph/GEPSNONPILOT/Tender/SplashBidNoticeAbstractUI.aspx?menuIndex=3&amp;refID=7045090&amp;Result=3","7045090")</f>
        <v>0</v>
      </c>
      <c r="B3190" t="s">
        <v>1241</v>
      </c>
      <c r="C3190" t="s">
        <v>6131</v>
      </c>
      <c r="D3190" t="s">
        <v>16216</v>
      </c>
      <c r="E3190" t="s">
        <v>18163</v>
      </c>
      <c r="F3190" t="s">
        <v>28198</v>
      </c>
      <c r="G3190" t="s">
        <v>28206</v>
      </c>
      <c r="H3190" t="s">
        <v>28215</v>
      </c>
      <c r="I3190" t="s">
        <v>8888</v>
      </c>
      <c r="J3190" t="s">
        <v>30472</v>
      </c>
      <c r="K3190" t="s">
        <v>36689</v>
      </c>
      <c r="M3190" t="s">
        <v>38290</v>
      </c>
      <c r="N3190" t="s">
        <v>40436</v>
      </c>
      <c r="O3190" t="s">
        <v>40437</v>
      </c>
      <c r="P3190">
        <v>0</v>
      </c>
      <c r="Q3190">
        <v>8</v>
      </c>
      <c r="R3190" t="s">
        <v>40439</v>
      </c>
      <c r="S3190" t="s">
        <v>40588</v>
      </c>
      <c r="T3190" t="s">
        <v>42124</v>
      </c>
      <c r="U3190" t="s">
        <v>45397</v>
      </c>
      <c r="W3190" t="s">
        <v>38290</v>
      </c>
      <c r="X3190" t="s">
        <v>40440</v>
      </c>
    </row>
    <row r="3191" spans="1:24">
      <c r="A3191">
        <f>HYPERLINK("https://www.philgeps.gov.ph/GEPSNONPILOT/Tender/SplashBidNoticeAbstractUI.aspx?menuIndex=3&amp;refID=7045095&amp;Result=3","7045095")</f>
        <v>0</v>
      </c>
      <c r="B3191" t="s">
        <v>1219</v>
      </c>
      <c r="C3191" t="s">
        <v>6132</v>
      </c>
      <c r="D3191" t="s">
        <v>16235</v>
      </c>
      <c r="E3191" t="s">
        <v>19165</v>
      </c>
      <c r="F3191" t="s">
        <v>28198</v>
      </c>
      <c r="G3191" t="s">
        <v>28207</v>
      </c>
      <c r="H3191" t="s">
        <v>28215</v>
      </c>
      <c r="I3191" t="s">
        <v>28234</v>
      </c>
      <c r="J3191" t="s">
        <v>30473</v>
      </c>
      <c r="K3191" t="s">
        <v>36707</v>
      </c>
      <c r="M3191" t="s">
        <v>38264</v>
      </c>
      <c r="N3191" t="s">
        <v>40436</v>
      </c>
      <c r="O3191" t="s">
        <v>40437</v>
      </c>
      <c r="P3191">
        <v>0</v>
      </c>
      <c r="Q3191">
        <v>4</v>
      </c>
      <c r="R3191" t="s">
        <v>40439</v>
      </c>
      <c r="S3191" t="s">
        <v>40588</v>
      </c>
      <c r="T3191" t="s">
        <v>42131</v>
      </c>
      <c r="U3191" t="s">
        <v>45338</v>
      </c>
      <c r="W3191" t="s">
        <v>38264</v>
      </c>
      <c r="X3191" t="s">
        <v>40440</v>
      </c>
    </row>
    <row r="3192" spans="1:24">
      <c r="A3192">
        <f>HYPERLINK("https://www.philgeps.gov.ph/GEPSNONPILOT/Tender/SplashBidNoticeAbstractUI.aspx?menuIndex=3&amp;refID=7045081&amp;Result=3","7045081")</f>
        <v>0</v>
      </c>
      <c r="B3192" t="s">
        <v>1011</v>
      </c>
      <c r="C3192" t="s">
        <v>6133</v>
      </c>
      <c r="D3192" t="s">
        <v>16226</v>
      </c>
      <c r="E3192" t="s">
        <v>19166</v>
      </c>
      <c r="F3192" t="s">
        <v>28198</v>
      </c>
      <c r="G3192" t="s">
        <v>28206</v>
      </c>
      <c r="H3192" t="s">
        <v>28215</v>
      </c>
      <c r="I3192" t="s">
        <v>28234</v>
      </c>
      <c r="J3192" t="s">
        <v>30474</v>
      </c>
      <c r="K3192" t="s">
        <v>36688</v>
      </c>
      <c r="M3192" t="s">
        <v>38039</v>
      </c>
      <c r="N3192" t="s">
        <v>40436</v>
      </c>
      <c r="O3192" t="s">
        <v>40437</v>
      </c>
      <c r="P3192">
        <v>0</v>
      </c>
      <c r="Q3192">
        <v>0</v>
      </c>
      <c r="R3192" t="s">
        <v>40439</v>
      </c>
      <c r="S3192" t="s">
        <v>40588</v>
      </c>
      <c r="T3192" t="s">
        <v>42158</v>
      </c>
      <c r="U3192" t="s">
        <v>45398</v>
      </c>
      <c r="W3192" t="s">
        <v>38039</v>
      </c>
      <c r="X3192" t="s">
        <v>40440</v>
      </c>
    </row>
    <row r="3193" spans="1:24">
      <c r="A3193">
        <f>HYPERLINK("https://www.philgeps.gov.ph/GEPSNONPILOT/Tender/SplashBidNoticeAbstractUI.aspx?menuIndex=3&amp;refID=7045106&amp;Result=3","7045106")</f>
        <v>0</v>
      </c>
      <c r="B3193" t="s">
        <v>1023</v>
      </c>
      <c r="C3193" t="s">
        <v>6134</v>
      </c>
      <c r="D3193" t="s">
        <v>16265</v>
      </c>
      <c r="E3193" t="s">
        <v>19167</v>
      </c>
      <c r="F3193" t="s">
        <v>28198</v>
      </c>
      <c r="G3193" t="s">
        <v>28205</v>
      </c>
      <c r="H3193" t="s">
        <v>28215</v>
      </c>
      <c r="I3193" t="s">
        <v>28298</v>
      </c>
      <c r="J3193" t="s">
        <v>28818</v>
      </c>
      <c r="K3193" t="s">
        <v>36701</v>
      </c>
      <c r="M3193" t="s">
        <v>38054</v>
      </c>
      <c r="N3193" t="s">
        <v>40436</v>
      </c>
      <c r="O3193" t="s">
        <v>40437</v>
      </c>
      <c r="P3193">
        <v>0</v>
      </c>
      <c r="Q3193">
        <v>9</v>
      </c>
      <c r="R3193" t="s">
        <v>40439</v>
      </c>
      <c r="S3193" t="s">
        <v>40588</v>
      </c>
      <c r="T3193" t="s">
        <v>42108</v>
      </c>
      <c r="U3193" t="s">
        <v>45399</v>
      </c>
      <c r="W3193" t="s">
        <v>38054</v>
      </c>
      <c r="X3193" t="s">
        <v>40440</v>
      </c>
    </row>
    <row r="3194" spans="1:24">
      <c r="A3194">
        <f>HYPERLINK("https://www.philgeps.gov.ph/GEPSNONPILOT/Tender/SplashBidNoticeAbstractUI.aspx?menuIndex=3&amp;refID=7045092&amp;Result=3","7045092")</f>
        <v>0</v>
      </c>
      <c r="B3194" t="s">
        <v>1175</v>
      </c>
      <c r="C3194" t="s">
        <v>6135</v>
      </c>
      <c r="D3194" t="s">
        <v>16190</v>
      </c>
      <c r="E3194" t="s">
        <v>19168</v>
      </c>
      <c r="F3194" t="s">
        <v>28198</v>
      </c>
      <c r="G3194" t="s">
        <v>28207</v>
      </c>
      <c r="H3194" t="s">
        <v>28215</v>
      </c>
      <c r="I3194" t="s">
        <v>5071</v>
      </c>
      <c r="J3194" t="s">
        <v>28345</v>
      </c>
      <c r="K3194" t="s">
        <v>36701</v>
      </c>
      <c r="M3194" t="s">
        <v>38217</v>
      </c>
      <c r="N3194" t="s">
        <v>40436</v>
      </c>
      <c r="O3194" t="s">
        <v>40437</v>
      </c>
      <c r="P3194">
        <v>0</v>
      </c>
      <c r="Q3194">
        <v>3</v>
      </c>
      <c r="R3194" t="s">
        <v>40439</v>
      </c>
      <c r="S3194" t="s">
        <v>40588</v>
      </c>
      <c r="T3194" t="s">
        <v>42176</v>
      </c>
      <c r="U3194" t="s">
        <v>45309</v>
      </c>
      <c r="W3194" t="s">
        <v>38217</v>
      </c>
      <c r="X3194" t="s">
        <v>40440</v>
      </c>
    </row>
    <row r="3195" spans="1:24">
      <c r="A3195">
        <f>HYPERLINK("https://www.philgeps.gov.ph/GEPSNONPILOT/Tender/SplashBidNoticeAbstractUI.aspx?menuIndex=3&amp;refID=7045103&amp;Result=3","7045103")</f>
        <v>0</v>
      </c>
      <c r="B3195" t="s">
        <v>1205</v>
      </c>
      <c r="C3195" t="s">
        <v>6136</v>
      </c>
      <c r="D3195" t="s">
        <v>16195</v>
      </c>
      <c r="E3195" t="s">
        <v>19169</v>
      </c>
      <c r="F3195" t="s">
        <v>28198</v>
      </c>
      <c r="G3195" t="s">
        <v>28205</v>
      </c>
      <c r="H3195" t="s">
        <v>28215</v>
      </c>
      <c r="I3195" t="s">
        <v>5100</v>
      </c>
      <c r="J3195" t="s">
        <v>30475</v>
      </c>
      <c r="K3195" t="s">
        <v>36706</v>
      </c>
      <c r="M3195" t="s">
        <v>38250</v>
      </c>
      <c r="N3195" t="s">
        <v>40436</v>
      </c>
      <c r="O3195" t="s">
        <v>40437</v>
      </c>
      <c r="P3195">
        <v>0</v>
      </c>
      <c r="Q3195">
        <v>0</v>
      </c>
      <c r="R3195" t="s">
        <v>40439</v>
      </c>
      <c r="S3195" t="s">
        <v>40588</v>
      </c>
      <c r="T3195" t="s">
        <v>42240</v>
      </c>
      <c r="U3195" t="s">
        <v>45400</v>
      </c>
      <c r="W3195" t="s">
        <v>38250</v>
      </c>
      <c r="X3195" t="s">
        <v>40440</v>
      </c>
    </row>
    <row r="3196" spans="1:24">
      <c r="A3196">
        <f>HYPERLINK("https://www.philgeps.gov.ph/GEPSNONPILOT/Tender/SplashBidNoticeAbstractUI.aspx?menuIndex=3&amp;refID=7045107&amp;Result=3","7045107")</f>
        <v>0</v>
      </c>
      <c r="B3196" t="s">
        <v>1230</v>
      </c>
      <c r="C3196" t="s">
        <v>4230</v>
      </c>
      <c r="D3196" t="s">
        <v>16210</v>
      </c>
      <c r="E3196" t="s">
        <v>19170</v>
      </c>
      <c r="F3196" t="s">
        <v>28198</v>
      </c>
      <c r="G3196" t="s">
        <v>28210</v>
      </c>
      <c r="H3196" t="s">
        <v>28215</v>
      </c>
      <c r="I3196" t="s">
        <v>5082</v>
      </c>
      <c r="J3196" t="s">
        <v>28415</v>
      </c>
      <c r="K3196" t="s">
        <v>36689</v>
      </c>
      <c r="M3196" t="s">
        <v>38278</v>
      </c>
      <c r="N3196" t="s">
        <v>40436</v>
      </c>
      <c r="O3196" t="s">
        <v>40437</v>
      </c>
      <c r="P3196">
        <v>0</v>
      </c>
      <c r="Q3196">
        <v>6</v>
      </c>
      <c r="R3196" t="s">
        <v>40439</v>
      </c>
      <c r="S3196" t="s">
        <v>40588</v>
      </c>
      <c r="T3196" t="s">
        <v>42131</v>
      </c>
      <c r="U3196" t="s">
        <v>45401</v>
      </c>
      <c r="W3196" t="s">
        <v>38278</v>
      </c>
      <c r="X3196" t="s">
        <v>40440</v>
      </c>
    </row>
    <row r="3197" spans="1:24">
      <c r="A3197">
        <f>HYPERLINK("https://www.philgeps.gov.ph/GEPSNONPILOT/Tender/SplashBidNoticeAbstractUI.aspx?menuIndex=3&amp;refID=7045105&amp;Result=3","7045105")</f>
        <v>0</v>
      </c>
      <c r="B3197" t="s">
        <v>599</v>
      </c>
      <c r="C3197" t="s">
        <v>6137</v>
      </c>
      <c r="D3197" t="s">
        <v>16260</v>
      </c>
      <c r="E3197" t="s">
        <v>19171</v>
      </c>
      <c r="F3197" t="s">
        <v>28198</v>
      </c>
      <c r="G3197" t="s">
        <v>28207</v>
      </c>
      <c r="H3197" t="s">
        <v>28215</v>
      </c>
      <c r="I3197" t="s">
        <v>28256</v>
      </c>
      <c r="J3197" t="s">
        <v>30476</v>
      </c>
      <c r="K3197" t="s">
        <v>36707</v>
      </c>
      <c r="M3197" t="s">
        <v>38292</v>
      </c>
      <c r="N3197" t="s">
        <v>40436</v>
      </c>
      <c r="O3197" t="s">
        <v>40437</v>
      </c>
      <c r="P3197">
        <v>0</v>
      </c>
      <c r="Q3197">
        <v>5</v>
      </c>
      <c r="R3197" t="s">
        <v>40439</v>
      </c>
      <c r="S3197" t="s">
        <v>40588</v>
      </c>
      <c r="T3197" t="s">
        <v>42161</v>
      </c>
      <c r="U3197" t="s">
        <v>45402</v>
      </c>
      <c r="W3197" t="s">
        <v>38292</v>
      </c>
      <c r="X3197" t="s">
        <v>40440</v>
      </c>
    </row>
    <row r="3198" spans="1:24">
      <c r="A3198">
        <f>HYPERLINK("https://www.philgeps.gov.ph/GEPSNONPILOT/Tender/SplashBidNoticeAbstractUI.aspx?menuIndex=3&amp;refID=7045100&amp;Result=3","7045100")</f>
        <v>0</v>
      </c>
      <c r="B3198" t="s">
        <v>1011</v>
      </c>
      <c r="C3198" t="s">
        <v>6138</v>
      </c>
      <c r="D3198" t="s">
        <v>16226</v>
      </c>
      <c r="E3198" t="s">
        <v>19172</v>
      </c>
      <c r="F3198" t="s">
        <v>28198</v>
      </c>
      <c r="G3198" t="s">
        <v>28206</v>
      </c>
      <c r="H3198" t="s">
        <v>28215</v>
      </c>
      <c r="I3198" t="s">
        <v>28224</v>
      </c>
      <c r="J3198" t="s">
        <v>30477</v>
      </c>
      <c r="K3198" t="s">
        <v>36688</v>
      </c>
      <c r="M3198" t="s">
        <v>38039</v>
      </c>
      <c r="N3198" t="s">
        <v>40436</v>
      </c>
      <c r="O3198" t="s">
        <v>40437</v>
      </c>
      <c r="P3198">
        <v>0</v>
      </c>
      <c r="Q3198">
        <v>1</v>
      </c>
      <c r="R3198" t="s">
        <v>40439</v>
      </c>
      <c r="S3198" t="s">
        <v>40588</v>
      </c>
      <c r="T3198" t="s">
        <v>42158</v>
      </c>
      <c r="U3198" t="s">
        <v>45403</v>
      </c>
      <c r="W3198" t="s">
        <v>38039</v>
      </c>
      <c r="X3198" t="s">
        <v>40440</v>
      </c>
    </row>
    <row r="3199" spans="1:24">
      <c r="A3199">
        <f>HYPERLINK("https://www.philgeps.gov.ph/GEPSNONPILOT/Tender/SplashBidNoticeAbstractUI.aspx?menuIndex=3&amp;refID=7045104&amp;Result=3","7045104")</f>
        <v>0</v>
      </c>
      <c r="B3199" t="s">
        <v>1243</v>
      </c>
      <c r="C3199" t="s">
        <v>5107</v>
      </c>
      <c r="D3199" t="s">
        <v>16224</v>
      </c>
      <c r="E3199" t="s">
        <v>17001</v>
      </c>
      <c r="F3199" t="s">
        <v>28198</v>
      </c>
      <c r="G3199" t="s">
        <v>28206</v>
      </c>
      <c r="H3199" t="s">
        <v>28215</v>
      </c>
      <c r="I3199" t="s">
        <v>5082</v>
      </c>
      <c r="J3199" t="s">
        <v>30478</v>
      </c>
      <c r="K3199" t="s">
        <v>36689</v>
      </c>
      <c r="M3199" t="s">
        <v>38293</v>
      </c>
      <c r="N3199" t="s">
        <v>40436</v>
      </c>
      <c r="O3199" t="s">
        <v>40437</v>
      </c>
      <c r="P3199">
        <v>0</v>
      </c>
      <c r="Q3199">
        <v>1</v>
      </c>
      <c r="R3199" t="s">
        <v>40439</v>
      </c>
      <c r="S3199" t="s">
        <v>40588</v>
      </c>
      <c r="T3199" t="s">
        <v>42350</v>
      </c>
      <c r="U3199" t="s">
        <v>45404</v>
      </c>
      <c r="W3199" t="s">
        <v>38293</v>
      </c>
      <c r="X3199" t="s">
        <v>40440</v>
      </c>
    </row>
    <row r="3200" spans="1:24">
      <c r="A3200">
        <f>HYPERLINK("https://www.philgeps.gov.ph/GEPSNONPILOT/Tender/SplashBidNoticeAbstractUI.aspx?menuIndex=3&amp;refID=7045085&amp;Result=3","7045085")</f>
        <v>0</v>
      </c>
      <c r="B3200" t="s">
        <v>215</v>
      </c>
      <c r="C3200" t="s">
        <v>6139</v>
      </c>
      <c r="D3200" t="s">
        <v>16218</v>
      </c>
      <c r="E3200" t="s">
        <v>19173</v>
      </c>
      <c r="F3200" t="s">
        <v>28198</v>
      </c>
      <c r="G3200" t="s">
        <v>28205</v>
      </c>
      <c r="H3200" t="s">
        <v>28215</v>
      </c>
      <c r="I3200" t="s">
        <v>28258</v>
      </c>
      <c r="J3200" t="s">
        <v>30479</v>
      </c>
      <c r="K3200" t="s">
        <v>36688</v>
      </c>
      <c r="M3200" t="s">
        <v>38271</v>
      </c>
      <c r="N3200" t="s">
        <v>40436</v>
      </c>
      <c r="O3200" t="s">
        <v>40437</v>
      </c>
      <c r="P3200">
        <v>0</v>
      </c>
      <c r="Q3200">
        <v>3</v>
      </c>
      <c r="R3200" t="s">
        <v>40439</v>
      </c>
      <c r="S3200" t="s">
        <v>40588</v>
      </c>
      <c r="T3200" t="s">
        <v>42143</v>
      </c>
      <c r="U3200" t="s">
        <v>45405</v>
      </c>
      <c r="W3200" t="s">
        <v>38271</v>
      </c>
      <c r="X3200" t="s">
        <v>40440</v>
      </c>
    </row>
    <row r="3201" spans="1:24">
      <c r="A3201">
        <f>HYPERLINK("https://www.philgeps.gov.ph/GEPSNONPILOT/Tender/SplashBidNoticeAbstractUI.aspx?menuIndex=3&amp;refID=7045114&amp;Result=3","7045114")</f>
        <v>0</v>
      </c>
      <c r="B3201" t="s">
        <v>1240</v>
      </c>
      <c r="C3201" t="s">
        <v>6140</v>
      </c>
      <c r="D3201" t="s">
        <v>16209</v>
      </c>
      <c r="E3201" t="s">
        <v>19174</v>
      </c>
      <c r="F3201" t="s">
        <v>28198</v>
      </c>
      <c r="G3201" t="s">
        <v>28205</v>
      </c>
      <c r="H3201" t="s">
        <v>28214</v>
      </c>
      <c r="I3201" t="s">
        <v>3797</v>
      </c>
      <c r="J3201" t="s">
        <v>28345</v>
      </c>
      <c r="K3201" t="s">
        <v>36701</v>
      </c>
      <c r="M3201" t="s">
        <v>38289</v>
      </c>
      <c r="N3201" t="s">
        <v>40436</v>
      </c>
      <c r="O3201" t="s">
        <v>40437</v>
      </c>
      <c r="P3201">
        <v>0</v>
      </c>
      <c r="Q3201">
        <v>0</v>
      </c>
      <c r="R3201" t="s">
        <v>40439</v>
      </c>
      <c r="S3201" t="s">
        <v>40588</v>
      </c>
      <c r="T3201" t="s">
        <v>42240</v>
      </c>
      <c r="U3201" t="s">
        <v>45406</v>
      </c>
      <c r="W3201" t="s">
        <v>38289</v>
      </c>
      <c r="X3201" t="s">
        <v>40440</v>
      </c>
    </row>
    <row r="3202" spans="1:24">
      <c r="A3202">
        <f>HYPERLINK("https://www.philgeps.gov.ph/GEPSNONPILOT/Tender/SplashBidNoticeAbstractUI.aspx?menuIndex=3&amp;refID=7045080&amp;Result=3","7045080")</f>
        <v>0</v>
      </c>
      <c r="B3202" t="s">
        <v>1208</v>
      </c>
      <c r="C3202" t="s">
        <v>6141</v>
      </c>
      <c r="D3202" t="s">
        <v>16211</v>
      </c>
      <c r="E3202" t="s">
        <v>19175</v>
      </c>
      <c r="F3202" t="s">
        <v>28198</v>
      </c>
      <c r="G3202" t="s">
        <v>28210</v>
      </c>
      <c r="H3202" t="s">
        <v>28215</v>
      </c>
      <c r="I3202" t="s">
        <v>3774</v>
      </c>
      <c r="J3202" t="s">
        <v>30480</v>
      </c>
      <c r="K3202" t="s">
        <v>36701</v>
      </c>
      <c r="M3202" t="s">
        <v>38253</v>
      </c>
      <c r="N3202" t="s">
        <v>40436</v>
      </c>
      <c r="O3202" t="s">
        <v>40437</v>
      </c>
      <c r="P3202">
        <v>0</v>
      </c>
      <c r="Q3202">
        <v>0</v>
      </c>
      <c r="R3202" t="s">
        <v>40439</v>
      </c>
      <c r="S3202" t="s">
        <v>40588</v>
      </c>
      <c r="T3202" t="s">
        <v>42169</v>
      </c>
      <c r="U3202" t="s">
        <v>45407</v>
      </c>
      <c r="W3202" t="s">
        <v>38253</v>
      </c>
      <c r="X3202" t="s">
        <v>40440</v>
      </c>
    </row>
    <row r="3203" spans="1:24">
      <c r="A3203">
        <f>HYPERLINK("https://www.philgeps.gov.ph/GEPSNONPILOT/Tender/SplashBidNoticeAbstractUI.aspx?menuIndex=3&amp;refID=7045117&amp;Result=3","7045117")</f>
        <v>0</v>
      </c>
      <c r="B3203" t="s">
        <v>385</v>
      </c>
      <c r="C3203" t="s">
        <v>6142</v>
      </c>
      <c r="D3203" t="s">
        <v>16244</v>
      </c>
      <c r="E3203" t="s">
        <v>19176</v>
      </c>
      <c r="F3203" t="s">
        <v>28198</v>
      </c>
      <c r="G3203" t="s">
        <v>28207</v>
      </c>
      <c r="H3203" t="s">
        <v>28214</v>
      </c>
      <c r="I3203" t="s">
        <v>3797</v>
      </c>
      <c r="J3203" t="s">
        <v>30481</v>
      </c>
      <c r="K3203" t="s">
        <v>36707</v>
      </c>
      <c r="M3203" t="s">
        <v>37365</v>
      </c>
      <c r="N3203" t="s">
        <v>40436</v>
      </c>
      <c r="O3203" t="s">
        <v>40437</v>
      </c>
      <c r="P3203">
        <v>0</v>
      </c>
      <c r="Q3203">
        <v>0</v>
      </c>
      <c r="R3203" t="s">
        <v>40439</v>
      </c>
      <c r="S3203" t="s">
        <v>40588</v>
      </c>
      <c r="T3203" t="s">
        <v>42169</v>
      </c>
      <c r="U3203" t="s">
        <v>45408</v>
      </c>
      <c r="W3203" t="s">
        <v>37365</v>
      </c>
      <c r="X3203" t="s">
        <v>40440</v>
      </c>
    </row>
    <row r="3204" spans="1:24">
      <c r="A3204">
        <f>HYPERLINK("https://www.philgeps.gov.ph/GEPSNONPILOT/Tender/SplashBidNoticeAbstractUI.aspx?menuIndex=3&amp;refID=7045118&amp;Result=3","7045118")</f>
        <v>0</v>
      </c>
      <c r="B3204" t="s">
        <v>1189</v>
      </c>
      <c r="C3204" t="s">
        <v>6143</v>
      </c>
      <c r="D3204" t="s">
        <v>16235</v>
      </c>
      <c r="E3204" t="s">
        <v>19177</v>
      </c>
      <c r="F3204" t="s">
        <v>28198</v>
      </c>
      <c r="G3204" t="s">
        <v>28207</v>
      </c>
      <c r="H3204" t="s">
        <v>28215</v>
      </c>
      <c r="I3204" t="s">
        <v>28239</v>
      </c>
      <c r="J3204" t="s">
        <v>30482</v>
      </c>
      <c r="K3204" t="s">
        <v>36701</v>
      </c>
      <c r="M3204" t="s">
        <v>38231</v>
      </c>
      <c r="N3204" t="s">
        <v>40436</v>
      </c>
      <c r="O3204" t="s">
        <v>40437</v>
      </c>
      <c r="P3204">
        <v>0</v>
      </c>
      <c r="Q3204">
        <v>3</v>
      </c>
      <c r="R3204" t="s">
        <v>40439</v>
      </c>
      <c r="S3204" t="s">
        <v>40588</v>
      </c>
      <c r="T3204" t="s">
        <v>42318</v>
      </c>
      <c r="U3204" t="s">
        <v>45409</v>
      </c>
      <c r="W3204" t="s">
        <v>38231</v>
      </c>
      <c r="X3204" t="s">
        <v>40440</v>
      </c>
    </row>
    <row r="3205" spans="1:24">
      <c r="A3205">
        <f>HYPERLINK("https://www.philgeps.gov.ph/GEPSNONPILOT/Tender/SplashBidNoticeAbstractUI.aspx?menuIndex=3&amp;refID=7045125&amp;Result=3","7045125")</f>
        <v>0</v>
      </c>
      <c r="B3205" t="s">
        <v>1132</v>
      </c>
      <c r="C3205" t="s">
        <v>6144</v>
      </c>
      <c r="D3205" t="s">
        <v>16272</v>
      </c>
      <c r="E3205" t="s">
        <v>19178</v>
      </c>
      <c r="F3205" t="s">
        <v>28198</v>
      </c>
      <c r="G3205" t="s">
        <v>28207</v>
      </c>
      <c r="H3205" t="s">
        <v>28215</v>
      </c>
      <c r="I3205" t="s">
        <v>28257</v>
      </c>
      <c r="J3205" t="s">
        <v>28486</v>
      </c>
      <c r="K3205" t="s">
        <v>36701</v>
      </c>
      <c r="M3205" t="s">
        <v>38171</v>
      </c>
      <c r="N3205" t="s">
        <v>40436</v>
      </c>
      <c r="O3205" t="s">
        <v>40437</v>
      </c>
      <c r="P3205">
        <v>0</v>
      </c>
      <c r="Q3205">
        <v>0</v>
      </c>
      <c r="R3205" t="s">
        <v>40439</v>
      </c>
      <c r="S3205" t="s">
        <v>40588</v>
      </c>
      <c r="T3205" t="s">
        <v>42351</v>
      </c>
      <c r="U3205" t="s">
        <v>45410</v>
      </c>
      <c r="W3205" t="s">
        <v>55473</v>
      </c>
      <c r="X3205" t="s">
        <v>40440</v>
      </c>
    </row>
    <row r="3206" spans="1:24">
      <c r="A3206">
        <f>HYPERLINK("https://www.philgeps.gov.ph/GEPSNONPILOT/Tender/SplashBidNoticeAbstractUI.aspx?menuIndex=3&amp;refID=7045124&amp;Result=3","7045124")</f>
        <v>0</v>
      </c>
      <c r="B3206" t="s">
        <v>1175</v>
      </c>
      <c r="C3206" t="s">
        <v>6145</v>
      </c>
      <c r="D3206" t="s">
        <v>16190</v>
      </c>
      <c r="E3206" t="s">
        <v>19179</v>
      </c>
      <c r="F3206" t="s">
        <v>28198</v>
      </c>
      <c r="G3206" t="s">
        <v>28207</v>
      </c>
      <c r="H3206" t="s">
        <v>28215</v>
      </c>
      <c r="I3206" t="s">
        <v>5071</v>
      </c>
      <c r="J3206" t="s">
        <v>28352</v>
      </c>
      <c r="K3206" t="s">
        <v>36701</v>
      </c>
      <c r="M3206" t="s">
        <v>38217</v>
      </c>
      <c r="N3206" t="s">
        <v>40436</v>
      </c>
      <c r="O3206" t="s">
        <v>40437</v>
      </c>
      <c r="P3206">
        <v>0</v>
      </c>
      <c r="Q3206">
        <v>3</v>
      </c>
      <c r="R3206" t="s">
        <v>40439</v>
      </c>
      <c r="S3206" t="s">
        <v>40588</v>
      </c>
      <c r="T3206" t="s">
        <v>42329</v>
      </c>
      <c r="U3206" t="s">
        <v>45309</v>
      </c>
      <c r="W3206" t="s">
        <v>38217</v>
      </c>
      <c r="X3206" t="s">
        <v>40440</v>
      </c>
    </row>
    <row r="3207" spans="1:24">
      <c r="A3207">
        <f>HYPERLINK("https://www.philgeps.gov.ph/GEPSNONPILOT/Tender/SplashBidNoticeAbstractUI.aspx?menuIndex=3&amp;refID=7045116&amp;Result=3","7045116")</f>
        <v>0</v>
      </c>
      <c r="B3207" t="s">
        <v>1244</v>
      </c>
      <c r="C3207" t="s">
        <v>6146</v>
      </c>
      <c r="D3207" t="s">
        <v>16250</v>
      </c>
      <c r="E3207" t="s">
        <v>19180</v>
      </c>
      <c r="F3207" t="s">
        <v>28198</v>
      </c>
      <c r="G3207" t="s">
        <v>28205</v>
      </c>
      <c r="H3207" t="s">
        <v>28215</v>
      </c>
      <c r="I3207" t="s">
        <v>5100</v>
      </c>
      <c r="J3207" t="s">
        <v>30483</v>
      </c>
      <c r="K3207" t="s">
        <v>36701</v>
      </c>
      <c r="M3207" t="s">
        <v>38294</v>
      </c>
      <c r="N3207" t="s">
        <v>40436</v>
      </c>
      <c r="O3207" t="s">
        <v>40437</v>
      </c>
      <c r="P3207">
        <v>0</v>
      </c>
      <c r="Q3207">
        <v>0</v>
      </c>
      <c r="R3207" t="s">
        <v>40439</v>
      </c>
      <c r="S3207" t="s">
        <v>40588</v>
      </c>
      <c r="T3207" t="s">
        <v>42278</v>
      </c>
      <c r="U3207" t="s">
        <v>45411</v>
      </c>
      <c r="V3207" t="s">
        <v>54118</v>
      </c>
      <c r="W3207" t="s">
        <v>38294</v>
      </c>
      <c r="X3207" t="s">
        <v>40440</v>
      </c>
    </row>
    <row r="3208" spans="1:24">
      <c r="A3208">
        <f>HYPERLINK("https://www.philgeps.gov.ph/GEPSNONPILOT/Tender/SplashBidNoticeAbstractUI.aspx?menuIndex=3&amp;refID=7045122&amp;Result=3","7045122")</f>
        <v>0</v>
      </c>
      <c r="B3208" t="s">
        <v>1245</v>
      </c>
      <c r="C3208" t="s">
        <v>6147</v>
      </c>
      <c r="D3208" t="s">
        <v>16199</v>
      </c>
      <c r="E3208" t="s">
        <v>19181</v>
      </c>
      <c r="F3208" t="s">
        <v>28198</v>
      </c>
      <c r="G3208" t="s">
        <v>28206</v>
      </c>
      <c r="H3208" t="s">
        <v>28215</v>
      </c>
      <c r="I3208" t="s">
        <v>4168</v>
      </c>
      <c r="J3208" t="s">
        <v>29346</v>
      </c>
      <c r="K3208" t="s">
        <v>36691</v>
      </c>
      <c r="M3208" t="s">
        <v>38295</v>
      </c>
      <c r="N3208" t="s">
        <v>40436</v>
      </c>
      <c r="O3208" t="s">
        <v>40437</v>
      </c>
      <c r="P3208">
        <v>0</v>
      </c>
      <c r="Q3208">
        <v>1</v>
      </c>
      <c r="R3208" t="s">
        <v>40439</v>
      </c>
      <c r="S3208" t="s">
        <v>40588</v>
      </c>
      <c r="T3208" t="s">
        <v>42098</v>
      </c>
      <c r="U3208" t="s">
        <v>45412</v>
      </c>
      <c r="W3208" t="s">
        <v>38295</v>
      </c>
      <c r="X3208" t="s">
        <v>40440</v>
      </c>
    </row>
    <row r="3209" spans="1:24">
      <c r="A3209">
        <f>HYPERLINK("https://www.philgeps.gov.ph/GEPSNONPILOT/Tender/SplashBidNoticeAbstractUI.aspx?menuIndex=3&amp;refID=7045112&amp;Result=3","7045112")</f>
        <v>0</v>
      </c>
      <c r="B3209" t="s">
        <v>1246</v>
      </c>
      <c r="C3209" t="s">
        <v>6148</v>
      </c>
      <c r="D3209" t="s">
        <v>16210</v>
      </c>
      <c r="E3209" t="s">
        <v>19182</v>
      </c>
      <c r="F3209" t="s">
        <v>28198</v>
      </c>
      <c r="G3209" t="s">
        <v>28205</v>
      </c>
      <c r="H3209" t="s">
        <v>28215</v>
      </c>
      <c r="I3209" t="s">
        <v>28234</v>
      </c>
      <c r="J3209" t="s">
        <v>29570</v>
      </c>
      <c r="K3209" t="s">
        <v>36689</v>
      </c>
      <c r="M3209" t="s">
        <v>38296</v>
      </c>
      <c r="N3209" t="s">
        <v>40436</v>
      </c>
      <c r="O3209" t="s">
        <v>40437</v>
      </c>
      <c r="P3209">
        <v>0</v>
      </c>
      <c r="Q3209">
        <v>20</v>
      </c>
      <c r="R3209" t="s">
        <v>40439</v>
      </c>
      <c r="S3209" t="s">
        <v>40588</v>
      </c>
      <c r="T3209" t="s">
        <v>42106</v>
      </c>
      <c r="U3209" t="s">
        <v>45413</v>
      </c>
      <c r="W3209" t="s">
        <v>38296</v>
      </c>
      <c r="X3209" t="s">
        <v>40440</v>
      </c>
    </row>
    <row r="3210" spans="1:24">
      <c r="A3210">
        <f>HYPERLINK("https://www.philgeps.gov.ph/GEPSNONPILOT/Tender/SplashBidNoticeAbstractUI.aspx?menuIndex=3&amp;refID=7045120&amp;Result=3","7045120")</f>
        <v>0</v>
      </c>
      <c r="B3210" t="s">
        <v>1225</v>
      </c>
      <c r="C3210" t="s">
        <v>6149</v>
      </c>
      <c r="D3210" t="s">
        <v>16236</v>
      </c>
      <c r="E3210" t="s">
        <v>19183</v>
      </c>
      <c r="F3210" t="s">
        <v>28198</v>
      </c>
      <c r="G3210" t="s">
        <v>28207</v>
      </c>
      <c r="H3210" t="s">
        <v>28214</v>
      </c>
      <c r="I3210" t="s">
        <v>3797</v>
      </c>
      <c r="J3210" t="s">
        <v>28378</v>
      </c>
      <c r="K3210" t="s">
        <v>36694</v>
      </c>
      <c r="M3210" t="s">
        <v>38273</v>
      </c>
      <c r="N3210" t="s">
        <v>40436</v>
      </c>
      <c r="O3210" t="s">
        <v>40437</v>
      </c>
      <c r="P3210">
        <v>0</v>
      </c>
      <c r="Q3210">
        <v>0</v>
      </c>
      <c r="R3210" t="s">
        <v>40439</v>
      </c>
      <c r="S3210" t="s">
        <v>40588</v>
      </c>
      <c r="T3210" t="s">
        <v>42129</v>
      </c>
      <c r="U3210" t="s">
        <v>45414</v>
      </c>
      <c r="V3210" t="s">
        <v>54116</v>
      </c>
      <c r="W3210" t="s">
        <v>38273</v>
      </c>
      <c r="X3210" t="s">
        <v>40440</v>
      </c>
    </row>
    <row r="3211" spans="1:24">
      <c r="A3211">
        <f>HYPERLINK("https://www.philgeps.gov.ph/GEPSNONPILOT/Tender/SplashBidNoticeAbstractUI.aspx?menuIndex=3&amp;refID=7045128&amp;Result=3","7045128")</f>
        <v>0</v>
      </c>
      <c r="B3211" t="s">
        <v>1247</v>
      </c>
      <c r="C3211" t="s">
        <v>6150</v>
      </c>
      <c r="D3211" t="s">
        <v>16210</v>
      </c>
      <c r="E3211" t="s">
        <v>19184</v>
      </c>
      <c r="F3211" t="s">
        <v>28198</v>
      </c>
      <c r="G3211" t="s">
        <v>28210</v>
      </c>
      <c r="H3211" t="s">
        <v>28215</v>
      </c>
      <c r="I3211" t="s">
        <v>4168</v>
      </c>
      <c r="J3211" t="s">
        <v>28430</v>
      </c>
      <c r="K3211" t="s">
        <v>36701</v>
      </c>
      <c r="M3211" t="s">
        <v>38297</v>
      </c>
      <c r="N3211" t="s">
        <v>40436</v>
      </c>
      <c r="O3211" t="s">
        <v>40437</v>
      </c>
      <c r="P3211">
        <v>0</v>
      </c>
      <c r="Q3211">
        <v>7</v>
      </c>
      <c r="R3211" t="s">
        <v>40439</v>
      </c>
      <c r="S3211" t="s">
        <v>40588</v>
      </c>
      <c r="T3211" t="s">
        <v>42158</v>
      </c>
      <c r="U3211" t="s">
        <v>45415</v>
      </c>
      <c r="W3211" t="s">
        <v>38297</v>
      </c>
      <c r="X3211" t="s">
        <v>40440</v>
      </c>
    </row>
    <row r="3212" spans="1:24">
      <c r="A3212">
        <f>HYPERLINK("https://www.philgeps.gov.ph/GEPSNONPILOT/Tender/SplashBidNoticeAbstractUI.aspx?menuIndex=3&amp;refID=7045111&amp;Result=3","7045111")</f>
        <v>0</v>
      </c>
      <c r="B3212" t="s">
        <v>215</v>
      </c>
      <c r="C3212" t="s">
        <v>6151</v>
      </c>
      <c r="D3212" t="s">
        <v>16218</v>
      </c>
      <c r="E3212" t="s">
        <v>19185</v>
      </c>
      <c r="F3212" t="s">
        <v>28198</v>
      </c>
      <c r="G3212" t="s">
        <v>28205</v>
      </c>
      <c r="H3212" t="s">
        <v>28215</v>
      </c>
      <c r="I3212" t="s">
        <v>28256</v>
      </c>
      <c r="J3212" t="s">
        <v>30484</v>
      </c>
      <c r="K3212" t="s">
        <v>36688</v>
      </c>
      <c r="M3212" t="s">
        <v>38271</v>
      </c>
      <c r="N3212" t="s">
        <v>40436</v>
      </c>
      <c r="O3212" t="s">
        <v>40437</v>
      </c>
      <c r="P3212">
        <v>0</v>
      </c>
      <c r="Q3212">
        <v>15</v>
      </c>
      <c r="R3212" t="s">
        <v>40439</v>
      </c>
      <c r="S3212" t="s">
        <v>40588</v>
      </c>
      <c r="T3212" t="s">
        <v>42143</v>
      </c>
      <c r="U3212" t="s">
        <v>45416</v>
      </c>
      <c r="W3212" t="s">
        <v>38271</v>
      </c>
      <c r="X3212" t="s">
        <v>40440</v>
      </c>
    </row>
    <row r="3213" spans="1:24">
      <c r="A3213">
        <f>HYPERLINK("https://www.philgeps.gov.ph/GEPSNONPILOT/Tender/SplashBidNoticeAbstractUI.aspx?menuIndex=3&amp;refID=7045121&amp;Result=3","7045121")</f>
        <v>0</v>
      </c>
      <c r="B3213" t="s">
        <v>1248</v>
      </c>
      <c r="C3213" t="s">
        <v>6152</v>
      </c>
      <c r="D3213" t="s">
        <v>16254</v>
      </c>
      <c r="E3213" t="s">
        <v>18711</v>
      </c>
      <c r="F3213" t="s">
        <v>28198</v>
      </c>
      <c r="G3213" t="s">
        <v>28207</v>
      </c>
      <c r="H3213" t="s">
        <v>28215</v>
      </c>
      <c r="I3213" t="s">
        <v>5082</v>
      </c>
      <c r="J3213" t="s">
        <v>30485</v>
      </c>
      <c r="K3213" t="s">
        <v>36688</v>
      </c>
      <c r="M3213" t="s">
        <v>38298</v>
      </c>
      <c r="N3213" t="s">
        <v>40436</v>
      </c>
      <c r="O3213" t="s">
        <v>40437</v>
      </c>
      <c r="P3213">
        <v>0</v>
      </c>
      <c r="Q3213">
        <v>0</v>
      </c>
      <c r="R3213" t="s">
        <v>40439</v>
      </c>
      <c r="S3213" t="s">
        <v>40588</v>
      </c>
      <c r="T3213" t="s">
        <v>42119</v>
      </c>
      <c r="U3213" t="s">
        <v>45417</v>
      </c>
      <c r="W3213" t="s">
        <v>38298</v>
      </c>
      <c r="X3213" t="s">
        <v>40440</v>
      </c>
    </row>
    <row r="3214" spans="1:24">
      <c r="A3214">
        <f>HYPERLINK("https://www.philgeps.gov.ph/GEPSNONPILOT/Tender/SplashBidNoticeAbstractUI.aspx?menuIndex=3&amp;refID=7045123&amp;Result=3","7045123")</f>
        <v>0</v>
      </c>
      <c r="B3214" t="s">
        <v>1215</v>
      </c>
      <c r="C3214" t="s">
        <v>6153</v>
      </c>
      <c r="D3214" t="s">
        <v>16238</v>
      </c>
      <c r="E3214" t="s">
        <v>19186</v>
      </c>
      <c r="F3214" t="s">
        <v>28198</v>
      </c>
      <c r="G3214" t="s">
        <v>28205</v>
      </c>
      <c r="H3214" t="s">
        <v>28215</v>
      </c>
      <c r="I3214" t="s">
        <v>28256</v>
      </c>
      <c r="J3214" t="s">
        <v>29479</v>
      </c>
      <c r="K3214" t="s">
        <v>36694</v>
      </c>
      <c r="L3214" t="s">
        <v>1215</v>
      </c>
      <c r="M3214" t="s">
        <v>38260</v>
      </c>
      <c r="N3214" t="s">
        <v>40436</v>
      </c>
      <c r="O3214" t="s">
        <v>40437</v>
      </c>
      <c r="P3214">
        <v>0</v>
      </c>
      <c r="Q3214">
        <v>19</v>
      </c>
      <c r="R3214" t="s">
        <v>40439</v>
      </c>
      <c r="S3214" t="s">
        <v>40588</v>
      </c>
      <c r="T3214" t="s">
        <v>42155</v>
      </c>
      <c r="U3214" t="s">
        <v>45418</v>
      </c>
      <c r="W3214" t="s">
        <v>38260</v>
      </c>
      <c r="X3214" t="s">
        <v>40440</v>
      </c>
    </row>
    <row r="3215" spans="1:24">
      <c r="A3215">
        <f>HYPERLINK("https://www.philgeps.gov.ph/GEPSNONPILOT/Tender/SplashBidNoticeAbstractUI.aspx?menuIndex=3&amp;refID=7045127&amp;Result=3","7045127")</f>
        <v>0</v>
      </c>
      <c r="B3215" t="s">
        <v>105</v>
      </c>
      <c r="C3215" t="s">
        <v>6154</v>
      </c>
      <c r="D3215" t="s">
        <v>16233</v>
      </c>
      <c r="E3215" t="s">
        <v>19187</v>
      </c>
      <c r="F3215" t="s">
        <v>28198</v>
      </c>
      <c r="G3215" t="s">
        <v>28206</v>
      </c>
      <c r="H3215" t="s">
        <v>28215</v>
      </c>
      <c r="I3215" t="s">
        <v>28226</v>
      </c>
      <c r="J3215" t="s">
        <v>28694</v>
      </c>
      <c r="K3215" t="s">
        <v>36701</v>
      </c>
      <c r="M3215" t="s">
        <v>37961</v>
      </c>
      <c r="N3215" t="s">
        <v>40436</v>
      </c>
      <c r="O3215" t="s">
        <v>40437</v>
      </c>
      <c r="P3215">
        <v>0</v>
      </c>
      <c r="Q3215">
        <v>2</v>
      </c>
      <c r="R3215" t="s">
        <v>40439</v>
      </c>
      <c r="S3215" t="s">
        <v>40588</v>
      </c>
      <c r="T3215" t="s">
        <v>42133</v>
      </c>
      <c r="U3215" t="s">
        <v>45419</v>
      </c>
      <c r="V3215" t="s">
        <v>54022</v>
      </c>
      <c r="W3215" t="s">
        <v>37961</v>
      </c>
      <c r="X3215" t="s">
        <v>40440</v>
      </c>
    </row>
    <row r="3216" spans="1:24">
      <c r="A3216">
        <f>HYPERLINK("https://www.philgeps.gov.ph/GEPSNONPILOT/Tender/SplashBidNoticeAbstractUI.aspx?menuIndex=3&amp;refID=7045134&amp;Result=3","7045134")</f>
        <v>0</v>
      </c>
      <c r="B3216" t="s">
        <v>1195</v>
      </c>
      <c r="C3216" t="s">
        <v>6155</v>
      </c>
      <c r="D3216" t="s">
        <v>16252</v>
      </c>
      <c r="E3216" t="s">
        <v>19188</v>
      </c>
      <c r="F3216" t="s">
        <v>28198</v>
      </c>
      <c r="G3216" t="s">
        <v>28207</v>
      </c>
      <c r="H3216" t="s">
        <v>28215</v>
      </c>
      <c r="I3216" t="s">
        <v>28274</v>
      </c>
      <c r="J3216" t="s">
        <v>30486</v>
      </c>
      <c r="K3216" t="s">
        <v>36795</v>
      </c>
      <c r="M3216" t="s">
        <v>38239</v>
      </c>
      <c r="N3216" t="s">
        <v>40436</v>
      </c>
      <c r="O3216" t="s">
        <v>40437</v>
      </c>
      <c r="P3216">
        <v>0</v>
      </c>
      <c r="Q3216">
        <v>0</v>
      </c>
      <c r="R3216" t="s">
        <v>40439</v>
      </c>
      <c r="S3216" t="s">
        <v>40588</v>
      </c>
      <c r="T3216" t="s">
        <v>42158</v>
      </c>
      <c r="U3216" t="s">
        <v>45420</v>
      </c>
      <c r="W3216" t="s">
        <v>38239</v>
      </c>
      <c r="X3216" t="s">
        <v>40440</v>
      </c>
    </row>
    <row r="3217" spans="1:24">
      <c r="A3217">
        <f>HYPERLINK("https://www.philgeps.gov.ph/GEPSNONPILOT/Tender/SplashBidNoticeAbstractUI.aspx?menuIndex=3&amp;refID=7045129&amp;Result=3","7045129")</f>
        <v>0</v>
      </c>
      <c r="B3217" t="s">
        <v>1249</v>
      </c>
      <c r="C3217" t="s">
        <v>6156</v>
      </c>
      <c r="D3217" t="s">
        <v>16202</v>
      </c>
      <c r="E3217" t="s">
        <v>16639</v>
      </c>
      <c r="F3217" t="s">
        <v>28198</v>
      </c>
      <c r="G3217" t="s">
        <v>28205</v>
      </c>
      <c r="H3217" t="s">
        <v>28215</v>
      </c>
      <c r="I3217" t="s">
        <v>5100</v>
      </c>
      <c r="J3217" t="s">
        <v>30487</v>
      </c>
      <c r="K3217" t="s">
        <v>36701</v>
      </c>
      <c r="M3217" t="s">
        <v>38299</v>
      </c>
      <c r="N3217" t="s">
        <v>40436</v>
      </c>
      <c r="O3217" t="s">
        <v>40437</v>
      </c>
      <c r="P3217">
        <v>0</v>
      </c>
      <c r="Q3217">
        <v>0</v>
      </c>
      <c r="R3217" t="s">
        <v>40439</v>
      </c>
      <c r="S3217" t="s">
        <v>40588</v>
      </c>
      <c r="T3217" t="s">
        <v>42246</v>
      </c>
      <c r="U3217" t="s">
        <v>45421</v>
      </c>
      <c r="W3217" t="s">
        <v>38299</v>
      </c>
      <c r="X3217" t="s">
        <v>40440</v>
      </c>
    </row>
    <row r="3218" spans="1:24">
      <c r="A3218">
        <f>HYPERLINK("https://www.philgeps.gov.ph/GEPSNONPILOT/Tender/SplashBidNoticeAbstractUI.aspx?menuIndex=3&amp;refID=7045113&amp;Result=3","7045113")</f>
        <v>0</v>
      </c>
      <c r="B3218" t="s">
        <v>1250</v>
      </c>
      <c r="C3218" t="s">
        <v>6157</v>
      </c>
      <c r="D3218" t="s">
        <v>16209</v>
      </c>
      <c r="E3218" t="s">
        <v>19189</v>
      </c>
      <c r="F3218" t="s">
        <v>28198</v>
      </c>
      <c r="G3218" t="s">
        <v>28205</v>
      </c>
      <c r="H3218" t="s">
        <v>28215</v>
      </c>
      <c r="I3218" t="s">
        <v>28234</v>
      </c>
      <c r="J3218" t="s">
        <v>30488</v>
      </c>
      <c r="K3218" t="s">
        <v>36692</v>
      </c>
      <c r="M3218" t="s">
        <v>38300</v>
      </c>
      <c r="N3218" t="s">
        <v>40436</v>
      </c>
      <c r="O3218" t="s">
        <v>40437</v>
      </c>
      <c r="P3218">
        <v>0</v>
      </c>
      <c r="Q3218">
        <v>3</v>
      </c>
      <c r="R3218" t="s">
        <v>40439</v>
      </c>
      <c r="S3218" t="s">
        <v>40588</v>
      </c>
      <c r="T3218" t="s">
        <v>42345</v>
      </c>
      <c r="U3218" t="s">
        <v>45422</v>
      </c>
      <c r="V3218" t="s">
        <v>54119</v>
      </c>
      <c r="W3218" t="s">
        <v>38300</v>
      </c>
      <c r="X3218" t="s">
        <v>40440</v>
      </c>
    </row>
    <row r="3219" spans="1:24">
      <c r="A3219">
        <f>HYPERLINK("https://www.philgeps.gov.ph/GEPSNONPILOT/Tender/SplashBidNoticeAbstractUI.aspx?menuIndex=3&amp;refID=7045131&amp;Result=3","7045131")</f>
        <v>0</v>
      </c>
      <c r="B3219" t="s">
        <v>488</v>
      </c>
      <c r="C3219" t="s">
        <v>6158</v>
      </c>
      <c r="D3219" t="s">
        <v>16193</v>
      </c>
      <c r="E3219" t="s">
        <v>19190</v>
      </c>
      <c r="F3219" t="s">
        <v>28198</v>
      </c>
      <c r="G3219" t="s">
        <v>28205</v>
      </c>
      <c r="H3219" t="s">
        <v>28214</v>
      </c>
      <c r="I3219" t="s">
        <v>3797</v>
      </c>
      <c r="J3219" t="s">
        <v>30489</v>
      </c>
      <c r="K3219" t="s">
        <v>36689</v>
      </c>
      <c r="M3219" t="s">
        <v>37473</v>
      </c>
      <c r="N3219" t="s">
        <v>40436</v>
      </c>
      <c r="O3219" t="s">
        <v>40437</v>
      </c>
      <c r="P3219">
        <v>0</v>
      </c>
      <c r="Q3219">
        <v>0</v>
      </c>
      <c r="R3219" t="s">
        <v>40439</v>
      </c>
      <c r="S3219" t="s">
        <v>40588</v>
      </c>
      <c r="T3219" t="s">
        <v>42346</v>
      </c>
      <c r="U3219" t="s">
        <v>45423</v>
      </c>
      <c r="W3219" t="s">
        <v>37473</v>
      </c>
      <c r="X3219" t="s">
        <v>40440</v>
      </c>
    </row>
    <row r="3220" spans="1:24">
      <c r="A3220">
        <f>HYPERLINK("https://www.philgeps.gov.ph/GEPSNONPILOT/Tender/SplashBidNoticeAbstractUI.aspx?menuIndex=3&amp;refID=7045133&amp;Result=3","7045133")</f>
        <v>0</v>
      </c>
      <c r="B3220" t="s">
        <v>1220</v>
      </c>
      <c r="C3220" t="s">
        <v>6159</v>
      </c>
      <c r="D3220" t="s">
        <v>16189</v>
      </c>
      <c r="E3220" t="s">
        <v>19191</v>
      </c>
      <c r="F3220" t="s">
        <v>28198</v>
      </c>
      <c r="G3220" t="s">
        <v>28205</v>
      </c>
      <c r="H3220" t="s">
        <v>28215</v>
      </c>
      <c r="I3220" t="s">
        <v>4168</v>
      </c>
      <c r="J3220" t="s">
        <v>30490</v>
      </c>
      <c r="K3220" t="s">
        <v>36689</v>
      </c>
      <c r="M3220" t="s">
        <v>38265</v>
      </c>
      <c r="N3220" t="s">
        <v>40436</v>
      </c>
      <c r="O3220" t="s">
        <v>40437</v>
      </c>
      <c r="P3220">
        <v>0</v>
      </c>
      <c r="Q3220">
        <v>1</v>
      </c>
      <c r="R3220" t="s">
        <v>40439</v>
      </c>
      <c r="S3220" t="s">
        <v>40588</v>
      </c>
      <c r="T3220" t="s">
        <v>42118</v>
      </c>
      <c r="U3220" t="s">
        <v>45424</v>
      </c>
      <c r="W3220" t="s">
        <v>38265</v>
      </c>
      <c r="X3220" t="s">
        <v>40440</v>
      </c>
    </row>
    <row r="3221" spans="1:24">
      <c r="A3221">
        <f>HYPERLINK("https://www.philgeps.gov.ph/GEPSNONPILOT/Tender/SplashBidNoticeAbstractUI.aspx?menuIndex=3&amp;refID=7045137&amp;Result=3","7045137")</f>
        <v>0</v>
      </c>
      <c r="B3221" t="s">
        <v>1194</v>
      </c>
      <c r="C3221" t="s">
        <v>6160</v>
      </c>
      <c r="D3221" t="s">
        <v>16258</v>
      </c>
      <c r="E3221" t="s">
        <v>19192</v>
      </c>
      <c r="F3221" t="s">
        <v>28198</v>
      </c>
      <c r="G3221" t="s">
        <v>28209</v>
      </c>
      <c r="H3221" t="s">
        <v>28215</v>
      </c>
      <c r="I3221" t="s">
        <v>28227</v>
      </c>
      <c r="J3221" t="s">
        <v>30491</v>
      </c>
      <c r="K3221" t="s">
        <v>36689</v>
      </c>
      <c r="M3221" t="s">
        <v>38238</v>
      </c>
      <c r="N3221" t="s">
        <v>40436</v>
      </c>
      <c r="O3221" t="s">
        <v>40437</v>
      </c>
      <c r="P3221">
        <v>0</v>
      </c>
      <c r="Q3221">
        <v>0</v>
      </c>
      <c r="R3221" t="s">
        <v>40439</v>
      </c>
      <c r="S3221" t="s">
        <v>40588</v>
      </c>
      <c r="T3221" t="s">
        <v>42129</v>
      </c>
      <c r="U3221" t="s">
        <v>45425</v>
      </c>
      <c r="W3221" t="s">
        <v>38238</v>
      </c>
      <c r="X3221" t="s">
        <v>40440</v>
      </c>
    </row>
    <row r="3222" spans="1:24">
      <c r="A3222">
        <f>HYPERLINK("https://www.philgeps.gov.ph/GEPSNONPILOT/Tender/SplashBidNoticeAbstractUI.aspx?menuIndex=3&amp;refID=7045142&amp;Result=3","7045142")</f>
        <v>0</v>
      </c>
      <c r="B3222" t="s">
        <v>619</v>
      </c>
      <c r="C3222" t="s">
        <v>6161</v>
      </c>
      <c r="D3222" t="s">
        <v>16190</v>
      </c>
      <c r="E3222" t="s">
        <v>19193</v>
      </c>
      <c r="F3222" t="s">
        <v>28199</v>
      </c>
      <c r="G3222" t="s">
        <v>28210</v>
      </c>
      <c r="H3222" t="s">
        <v>28215</v>
      </c>
      <c r="I3222" t="s">
        <v>5103</v>
      </c>
      <c r="J3222" t="s">
        <v>28671</v>
      </c>
      <c r="K3222" t="s">
        <v>36691</v>
      </c>
      <c r="M3222" t="s">
        <v>37611</v>
      </c>
      <c r="N3222" t="s">
        <v>40436</v>
      </c>
      <c r="O3222" t="s">
        <v>40437</v>
      </c>
      <c r="P3222">
        <v>0</v>
      </c>
      <c r="Q3222">
        <v>3</v>
      </c>
      <c r="R3222" t="s">
        <v>40439</v>
      </c>
      <c r="S3222" t="s">
        <v>40588</v>
      </c>
      <c r="T3222" t="s">
        <v>42175</v>
      </c>
      <c r="U3222" t="s">
        <v>45426</v>
      </c>
      <c r="W3222" t="s">
        <v>37611</v>
      </c>
      <c r="X3222" t="s">
        <v>40440</v>
      </c>
    </row>
    <row r="3223" spans="1:24">
      <c r="A3223">
        <f>HYPERLINK("https://www.philgeps.gov.ph/GEPSNONPILOT/Tender/SplashBidNoticeAbstractUI.aspx?menuIndex=3&amp;refID=7045140&amp;Result=3","7045140")</f>
        <v>0</v>
      </c>
      <c r="B3223" t="s">
        <v>279</v>
      </c>
      <c r="C3223" t="s">
        <v>6162</v>
      </c>
      <c r="D3223" t="s">
        <v>16230</v>
      </c>
      <c r="E3223" t="s">
        <v>19194</v>
      </c>
      <c r="F3223" t="s">
        <v>28198</v>
      </c>
      <c r="G3223" t="s">
        <v>28209</v>
      </c>
      <c r="H3223" t="s">
        <v>28215</v>
      </c>
      <c r="I3223" t="s">
        <v>4168</v>
      </c>
      <c r="J3223" t="s">
        <v>30492</v>
      </c>
      <c r="K3223" t="s">
        <v>36707</v>
      </c>
      <c r="M3223" t="s">
        <v>37256</v>
      </c>
      <c r="N3223" t="s">
        <v>40436</v>
      </c>
      <c r="O3223" t="s">
        <v>40437</v>
      </c>
      <c r="P3223">
        <v>0</v>
      </c>
      <c r="Q3223">
        <v>3</v>
      </c>
      <c r="R3223" t="s">
        <v>40439</v>
      </c>
      <c r="S3223" t="s">
        <v>40588</v>
      </c>
      <c r="T3223" t="s">
        <v>42103</v>
      </c>
      <c r="U3223" t="s">
        <v>45427</v>
      </c>
      <c r="W3223" t="s">
        <v>37256</v>
      </c>
      <c r="X3223" t="s">
        <v>40440</v>
      </c>
    </row>
    <row r="3224" spans="1:24">
      <c r="A3224">
        <f>HYPERLINK("https://www.philgeps.gov.ph/GEPSNONPILOT/Tender/SplashBidNoticeAbstractUI.aspx?menuIndex=3&amp;refID=7045138&amp;Result=3","7045138")</f>
        <v>0</v>
      </c>
      <c r="B3224" t="s">
        <v>1251</v>
      </c>
      <c r="C3224" t="s">
        <v>6163</v>
      </c>
      <c r="E3224" t="s">
        <v>19195</v>
      </c>
      <c r="F3224" t="s">
        <v>28198</v>
      </c>
      <c r="G3224" t="s">
        <v>28205</v>
      </c>
      <c r="H3224" t="s">
        <v>28215</v>
      </c>
      <c r="I3224" t="s">
        <v>3797</v>
      </c>
      <c r="J3224" t="s">
        <v>30493</v>
      </c>
      <c r="K3224" t="s">
        <v>36689</v>
      </c>
      <c r="M3224" t="s">
        <v>38301</v>
      </c>
      <c r="N3224" t="s">
        <v>40436</v>
      </c>
      <c r="O3224" t="s">
        <v>40437</v>
      </c>
      <c r="P3224">
        <v>0</v>
      </c>
      <c r="Q3224">
        <v>1</v>
      </c>
      <c r="R3224" t="s">
        <v>40439</v>
      </c>
      <c r="S3224" t="s">
        <v>40588</v>
      </c>
      <c r="T3224" t="s">
        <v>42122</v>
      </c>
      <c r="U3224" t="s">
        <v>45428</v>
      </c>
      <c r="W3224" t="s">
        <v>38301</v>
      </c>
      <c r="X3224" t="s">
        <v>40440</v>
      </c>
    </row>
    <row r="3225" spans="1:24">
      <c r="A3225">
        <f>HYPERLINK("https://www.philgeps.gov.ph/GEPSNONPILOT/Tender/SplashBidNoticeAbstractUI.aspx?menuIndex=3&amp;refID=7045109&amp;Result=3","7045109")</f>
        <v>0</v>
      </c>
      <c r="B3225" t="s">
        <v>853</v>
      </c>
      <c r="C3225" t="s">
        <v>6164</v>
      </c>
      <c r="D3225" t="s">
        <v>16218</v>
      </c>
      <c r="E3225" t="s">
        <v>18647</v>
      </c>
      <c r="F3225" t="s">
        <v>28198</v>
      </c>
      <c r="G3225" t="s">
        <v>28205</v>
      </c>
      <c r="H3225" t="s">
        <v>28214</v>
      </c>
      <c r="I3225" t="s">
        <v>4200</v>
      </c>
      <c r="J3225" t="s">
        <v>30494</v>
      </c>
      <c r="K3225" t="s">
        <v>36701</v>
      </c>
      <c r="M3225" t="s">
        <v>37864</v>
      </c>
      <c r="N3225" t="s">
        <v>40436</v>
      </c>
      <c r="O3225" t="s">
        <v>40437</v>
      </c>
      <c r="P3225">
        <v>0</v>
      </c>
      <c r="Q3225">
        <v>0</v>
      </c>
      <c r="R3225" t="s">
        <v>40439</v>
      </c>
      <c r="S3225" t="s">
        <v>40588</v>
      </c>
      <c r="T3225" t="s">
        <v>42291</v>
      </c>
      <c r="U3225" t="s">
        <v>45429</v>
      </c>
      <c r="W3225" t="s">
        <v>37864</v>
      </c>
      <c r="X3225" t="s">
        <v>40440</v>
      </c>
    </row>
    <row r="3226" spans="1:24">
      <c r="A3226">
        <f>HYPERLINK("https://www.philgeps.gov.ph/GEPSNONPILOT/Tender/SplashBidNoticeAbstractUI.aspx?menuIndex=3&amp;refID=7045139&amp;Result=3","7045139")</f>
        <v>0</v>
      </c>
      <c r="B3226" t="s">
        <v>386</v>
      </c>
      <c r="C3226" t="s">
        <v>6165</v>
      </c>
      <c r="D3226" t="s">
        <v>16259</v>
      </c>
      <c r="E3226" t="s">
        <v>19196</v>
      </c>
      <c r="F3226" t="s">
        <v>28198</v>
      </c>
      <c r="G3226" t="s">
        <v>28207</v>
      </c>
      <c r="H3226" t="s">
        <v>28215</v>
      </c>
      <c r="I3226" t="s">
        <v>3422</v>
      </c>
      <c r="J3226" t="s">
        <v>30495</v>
      </c>
      <c r="K3226" t="s">
        <v>36688</v>
      </c>
      <c r="M3226" t="s">
        <v>37366</v>
      </c>
      <c r="N3226" t="s">
        <v>40436</v>
      </c>
      <c r="O3226" t="s">
        <v>40437</v>
      </c>
      <c r="P3226">
        <v>0</v>
      </c>
      <c r="Q3226">
        <v>0</v>
      </c>
      <c r="R3226" t="s">
        <v>40439</v>
      </c>
      <c r="S3226" t="s">
        <v>40588</v>
      </c>
      <c r="T3226" t="s">
        <v>42133</v>
      </c>
      <c r="U3226" t="s">
        <v>43270</v>
      </c>
      <c r="V3226" t="s">
        <v>53872</v>
      </c>
      <c r="W3226" t="s">
        <v>37366</v>
      </c>
      <c r="X3226" t="s">
        <v>40440</v>
      </c>
    </row>
    <row r="3227" spans="1:24">
      <c r="A3227">
        <f>HYPERLINK("https://www.philgeps.gov.ph/GEPSNONPILOT/Tender/SplashBidNoticeAbstractUI.aspx?menuIndex=3&amp;refID=7045136&amp;Result=3","7045136")</f>
        <v>0</v>
      </c>
      <c r="B3227" t="s">
        <v>215</v>
      </c>
      <c r="C3227" t="s">
        <v>6166</v>
      </c>
      <c r="D3227" t="s">
        <v>16218</v>
      </c>
      <c r="E3227" t="s">
        <v>19197</v>
      </c>
      <c r="F3227" t="s">
        <v>28198</v>
      </c>
      <c r="G3227" t="s">
        <v>28205</v>
      </c>
      <c r="H3227" t="s">
        <v>28215</v>
      </c>
      <c r="I3227" t="s">
        <v>28243</v>
      </c>
      <c r="J3227" t="s">
        <v>30496</v>
      </c>
      <c r="K3227" t="s">
        <v>36688</v>
      </c>
      <c r="M3227" t="s">
        <v>38271</v>
      </c>
      <c r="N3227" t="s">
        <v>40436</v>
      </c>
      <c r="O3227" t="s">
        <v>40437</v>
      </c>
      <c r="P3227">
        <v>0</v>
      </c>
      <c r="Q3227">
        <v>2</v>
      </c>
      <c r="R3227" t="s">
        <v>40439</v>
      </c>
      <c r="S3227" t="s">
        <v>40588</v>
      </c>
      <c r="T3227" t="s">
        <v>42143</v>
      </c>
      <c r="U3227" t="s">
        <v>45430</v>
      </c>
      <c r="W3227" t="s">
        <v>38271</v>
      </c>
      <c r="X3227" t="s">
        <v>40440</v>
      </c>
    </row>
    <row r="3228" spans="1:24">
      <c r="A3228">
        <f>HYPERLINK("https://www.philgeps.gov.ph/GEPSNONPILOT/Tender/SplashBidNoticeAbstractUI.aspx?menuIndex=3&amp;refID=7045151&amp;Result=3","7045151")</f>
        <v>0</v>
      </c>
      <c r="B3228" t="s">
        <v>1225</v>
      </c>
      <c r="C3228" t="s">
        <v>6167</v>
      </c>
      <c r="D3228" t="s">
        <v>16236</v>
      </c>
      <c r="E3228" t="s">
        <v>19198</v>
      </c>
      <c r="F3228" t="s">
        <v>28198</v>
      </c>
      <c r="G3228" t="s">
        <v>28205</v>
      </c>
      <c r="H3228" t="s">
        <v>28215</v>
      </c>
      <c r="I3228" t="s">
        <v>28225</v>
      </c>
      <c r="J3228" t="s">
        <v>30497</v>
      </c>
      <c r="K3228" t="s">
        <v>36701</v>
      </c>
      <c r="M3228" t="s">
        <v>38273</v>
      </c>
      <c r="N3228" t="s">
        <v>40436</v>
      </c>
      <c r="O3228" t="s">
        <v>40437</v>
      </c>
      <c r="P3228">
        <v>0</v>
      </c>
      <c r="Q3228">
        <v>3</v>
      </c>
      <c r="R3228" t="s">
        <v>40439</v>
      </c>
      <c r="S3228" t="s">
        <v>40588</v>
      </c>
      <c r="T3228" t="s">
        <v>42248</v>
      </c>
      <c r="U3228" t="s">
        <v>44038</v>
      </c>
      <c r="V3228" t="s">
        <v>54116</v>
      </c>
      <c r="W3228" t="s">
        <v>38273</v>
      </c>
      <c r="X3228" t="s">
        <v>40440</v>
      </c>
    </row>
    <row r="3229" spans="1:24">
      <c r="A3229">
        <f>HYPERLINK("https://www.philgeps.gov.ph/GEPSNONPILOT/Tender/SplashBidNoticeAbstractUI.aspx?menuIndex=3&amp;refID=7045150&amp;Result=3","7045150")</f>
        <v>0</v>
      </c>
      <c r="B3229" t="s">
        <v>1023</v>
      </c>
      <c r="C3229" t="s">
        <v>6168</v>
      </c>
      <c r="D3229" t="s">
        <v>16265</v>
      </c>
      <c r="E3229" t="s">
        <v>19199</v>
      </c>
      <c r="F3229" t="s">
        <v>28198</v>
      </c>
      <c r="G3229" t="s">
        <v>28205</v>
      </c>
      <c r="H3229" t="s">
        <v>28215</v>
      </c>
      <c r="I3229" t="s">
        <v>3422</v>
      </c>
      <c r="J3229" t="s">
        <v>30498</v>
      </c>
      <c r="K3229" t="s">
        <v>36701</v>
      </c>
      <c r="M3229" t="s">
        <v>38054</v>
      </c>
      <c r="N3229" t="s">
        <v>40436</v>
      </c>
      <c r="O3229" t="s">
        <v>40437</v>
      </c>
      <c r="P3229">
        <v>0</v>
      </c>
      <c r="Q3229">
        <v>0</v>
      </c>
      <c r="R3229" t="s">
        <v>40439</v>
      </c>
      <c r="S3229" t="s">
        <v>40588</v>
      </c>
      <c r="T3229" t="s">
        <v>42108</v>
      </c>
      <c r="U3229" t="s">
        <v>45431</v>
      </c>
      <c r="W3229" t="s">
        <v>38054</v>
      </c>
      <c r="X3229" t="s">
        <v>40440</v>
      </c>
    </row>
    <row r="3230" spans="1:24">
      <c r="A3230">
        <f>HYPERLINK("https://www.philgeps.gov.ph/GEPSNONPILOT/Tender/SplashBidNoticeAbstractUI.aspx?menuIndex=3&amp;refID=7045144&amp;Result=3","7045144")</f>
        <v>0</v>
      </c>
      <c r="B3230" t="s">
        <v>1226</v>
      </c>
      <c r="C3230" t="s">
        <v>6169</v>
      </c>
      <c r="D3230" t="s">
        <v>16197</v>
      </c>
      <c r="E3230" t="s">
        <v>19200</v>
      </c>
      <c r="F3230" t="s">
        <v>28198</v>
      </c>
      <c r="G3230" t="s">
        <v>28205</v>
      </c>
      <c r="H3230" t="s">
        <v>28215</v>
      </c>
      <c r="I3230" t="s">
        <v>28243</v>
      </c>
      <c r="J3230" t="s">
        <v>30499</v>
      </c>
      <c r="K3230" t="s">
        <v>36701</v>
      </c>
      <c r="M3230" t="s">
        <v>38274</v>
      </c>
      <c r="N3230" t="s">
        <v>40436</v>
      </c>
      <c r="O3230" t="s">
        <v>40437</v>
      </c>
      <c r="P3230">
        <v>0</v>
      </c>
      <c r="Q3230">
        <v>2</v>
      </c>
      <c r="R3230" t="s">
        <v>40439</v>
      </c>
      <c r="S3230" t="s">
        <v>40588</v>
      </c>
      <c r="T3230" t="s">
        <v>42135</v>
      </c>
      <c r="U3230" t="s">
        <v>45432</v>
      </c>
      <c r="V3230" t="s">
        <v>54120</v>
      </c>
      <c r="W3230" t="s">
        <v>38274</v>
      </c>
      <c r="X3230" t="s">
        <v>40440</v>
      </c>
    </row>
    <row r="3231" spans="1:24">
      <c r="A3231">
        <f>HYPERLINK("https://www.philgeps.gov.ph/GEPSNONPILOT/Tender/SplashBidNoticeAbstractUI.aspx?menuIndex=3&amp;refID=7045141&amp;Result=3","7045141")</f>
        <v>0</v>
      </c>
      <c r="B3231" t="s">
        <v>1252</v>
      </c>
      <c r="C3231" t="s">
        <v>6170</v>
      </c>
      <c r="D3231" t="s">
        <v>16203</v>
      </c>
      <c r="E3231" t="s">
        <v>19201</v>
      </c>
      <c r="F3231" t="s">
        <v>28198</v>
      </c>
      <c r="G3231" t="s">
        <v>28207</v>
      </c>
      <c r="H3231" t="s">
        <v>28215</v>
      </c>
      <c r="I3231" t="s">
        <v>28237</v>
      </c>
      <c r="J3231" t="s">
        <v>30500</v>
      </c>
      <c r="K3231" t="s">
        <v>36691</v>
      </c>
      <c r="M3231" t="s">
        <v>38302</v>
      </c>
      <c r="N3231" t="s">
        <v>40436</v>
      </c>
      <c r="O3231" t="s">
        <v>40437</v>
      </c>
      <c r="P3231">
        <v>0</v>
      </c>
      <c r="Q3231">
        <v>1</v>
      </c>
      <c r="R3231" t="s">
        <v>40439</v>
      </c>
      <c r="S3231" t="s">
        <v>40588</v>
      </c>
      <c r="T3231" t="s">
        <v>42169</v>
      </c>
      <c r="U3231" t="s">
        <v>45433</v>
      </c>
      <c r="V3231" t="s">
        <v>54121</v>
      </c>
      <c r="W3231" t="s">
        <v>38302</v>
      </c>
      <c r="X3231" t="s">
        <v>40440</v>
      </c>
    </row>
    <row r="3232" spans="1:24">
      <c r="A3232">
        <f>HYPERLINK("https://www.philgeps.gov.ph/GEPSNONPILOT/Tender/SplashBidNoticeAbstractUI.aspx?menuIndex=3&amp;refID=7045149&amp;Result=3","7045149")</f>
        <v>0</v>
      </c>
      <c r="B3232" t="s">
        <v>1184</v>
      </c>
      <c r="C3232" t="s">
        <v>6171</v>
      </c>
      <c r="D3232" t="s">
        <v>16260</v>
      </c>
      <c r="E3232" t="s">
        <v>19202</v>
      </c>
      <c r="F3232" t="s">
        <v>28198</v>
      </c>
      <c r="G3232" t="s">
        <v>28207</v>
      </c>
      <c r="H3232" t="s">
        <v>28215</v>
      </c>
      <c r="I3232" t="s">
        <v>28234</v>
      </c>
      <c r="J3232" t="s">
        <v>28397</v>
      </c>
      <c r="K3232" t="s">
        <v>36706</v>
      </c>
      <c r="M3232" t="s">
        <v>38226</v>
      </c>
      <c r="N3232" t="s">
        <v>40436</v>
      </c>
      <c r="O3232" t="s">
        <v>40437</v>
      </c>
      <c r="P3232">
        <v>0</v>
      </c>
      <c r="Q3232">
        <v>1</v>
      </c>
      <c r="R3232" t="s">
        <v>40439</v>
      </c>
      <c r="S3232" t="s">
        <v>40588</v>
      </c>
      <c r="T3232" t="s">
        <v>42344</v>
      </c>
      <c r="U3232" t="s">
        <v>45229</v>
      </c>
      <c r="W3232" t="s">
        <v>38226</v>
      </c>
      <c r="X3232" t="s">
        <v>40440</v>
      </c>
    </row>
    <row r="3233" spans="1:24">
      <c r="A3233">
        <f>HYPERLINK("https://www.philgeps.gov.ph/GEPSNONPILOT/Tender/SplashBidNoticeAbstractUI.aspx?menuIndex=3&amp;refID=7045148&amp;Result=3","7045148")</f>
        <v>0</v>
      </c>
      <c r="B3233" t="s">
        <v>1223</v>
      </c>
      <c r="C3233" t="s">
        <v>6172</v>
      </c>
      <c r="D3233" t="s">
        <v>16188</v>
      </c>
      <c r="E3233" t="s">
        <v>19203</v>
      </c>
      <c r="F3233" t="s">
        <v>28198</v>
      </c>
      <c r="G3233" t="s">
        <v>28207</v>
      </c>
      <c r="H3233" t="s">
        <v>28215</v>
      </c>
      <c r="I3233" t="s">
        <v>28230</v>
      </c>
      <c r="J3233" t="s">
        <v>30501</v>
      </c>
      <c r="K3233" t="s">
        <v>36689</v>
      </c>
      <c r="M3233" t="s">
        <v>38269</v>
      </c>
      <c r="N3233" t="s">
        <v>40436</v>
      </c>
      <c r="O3233" t="s">
        <v>40437</v>
      </c>
      <c r="P3233">
        <v>0</v>
      </c>
      <c r="Q3233">
        <v>1</v>
      </c>
      <c r="R3233" t="s">
        <v>40439</v>
      </c>
      <c r="S3233" t="s">
        <v>40588</v>
      </c>
      <c r="T3233" t="s">
        <v>42352</v>
      </c>
      <c r="U3233" t="s">
        <v>45350</v>
      </c>
      <c r="W3233" t="s">
        <v>38269</v>
      </c>
      <c r="X3233" t="s">
        <v>40440</v>
      </c>
    </row>
    <row r="3234" spans="1:24">
      <c r="A3234">
        <f>HYPERLINK("https://www.philgeps.gov.ph/GEPSNONPILOT/Tender/SplashBidNoticeAbstractUI.aspx?menuIndex=3&amp;refID=7045146&amp;Result=3","7045146")</f>
        <v>0</v>
      </c>
      <c r="B3234" t="s">
        <v>1253</v>
      </c>
      <c r="C3234" t="s">
        <v>6173</v>
      </c>
      <c r="D3234" t="s">
        <v>16221</v>
      </c>
      <c r="E3234" t="s">
        <v>19204</v>
      </c>
      <c r="F3234" t="s">
        <v>28198</v>
      </c>
      <c r="G3234" t="s">
        <v>28207</v>
      </c>
      <c r="H3234" t="s">
        <v>28214</v>
      </c>
      <c r="I3234" t="s">
        <v>5100</v>
      </c>
      <c r="J3234" t="s">
        <v>30502</v>
      </c>
      <c r="K3234" t="s">
        <v>36688</v>
      </c>
      <c r="M3234" t="s">
        <v>38303</v>
      </c>
      <c r="N3234" t="s">
        <v>40436</v>
      </c>
      <c r="O3234" t="s">
        <v>40437</v>
      </c>
      <c r="P3234">
        <v>0</v>
      </c>
      <c r="Q3234">
        <v>0</v>
      </c>
      <c r="R3234" t="s">
        <v>40439</v>
      </c>
      <c r="S3234" t="s">
        <v>40588</v>
      </c>
      <c r="T3234" t="s">
        <v>42216</v>
      </c>
      <c r="U3234" t="s">
        <v>45434</v>
      </c>
      <c r="W3234" t="s">
        <v>38303</v>
      </c>
      <c r="X3234" t="s">
        <v>40440</v>
      </c>
    </row>
    <row r="3235" spans="1:24">
      <c r="A3235">
        <f>HYPERLINK("https://www.philgeps.gov.ph/GEPSNONPILOT/Tender/SplashBidNoticeAbstractUI.aspx?menuIndex=3&amp;refID=7045143&amp;Result=3","7045143")</f>
        <v>0</v>
      </c>
      <c r="B3235" t="s">
        <v>1161</v>
      </c>
      <c r="C3235" t="s">
        <v>5885</v>
      </c>
      <c r="D3235" t="s">
        <v>16228</v>
      </c>
      <c r="E3235" t="s">
        <v>16587</v>
      </c>
      <c r="F3235" t="s">
        <v>28198</v>
      </c>
      <c r="G3235" t="s">
        <v>28205</v>
      </c>
      <c r="H3235" t="s">
        <v>28214</v>
      </c>
      <c r="I3235" t="s">
        <v>3797</v>
      </c>
      <c r="J3235" t="s">
        <v>28559</v>
      </c>
      <c r="K3235" t="s">
        <v>36694</v>
      </c>
      <c r="M3235" t="s">
        <v>38201</v>
      </c>
      <c r="N3235" t="s">
        <v>40436</v>
      </c>
      <c r="O3235" t="s">
        <v>40437</v>
      </c>
      <c r="P3235">
        <v>0</v>
      </c>
      <c r="Q3235">
        <v>0</v>
      </c>
      <c r="R3235" t="s">
        <v>40439</v>
      </c>
      <c r="S3235" t="s">
        <v>40588</v>
      </c>
      <c r="T3235" t="s">
        <v>42164</v>
      </c>
      <c r="U3235" t="s">
        <v>45333</v>
      </c>
      <c r="W3235" t="s">
        <v>38201</v>
      </c>
      <c r="X3235" t="s">
        <v>40440</v>
      </c>
    </row>
    <row r="3236" spans="1:24">
      <c r="A3236">
        <f>HYPERLINK("https://www.philgeps.gov.ph/GEPSNONPILOT/Tender/SplashBidNoticeAbstractUI.aspx?menuIndex=3&amp;refID=7045145&amp;Result=3","7045145")</f>
        <v>0</v>
      </c>
      <c r="B3236" t="s">
        <v>1175</v>
      </c>
      <c r="C3236" t="s">
        <v>6174</v>
      </c>
      <c r="D3236" t="s">
        <v>16190</v>
      </c>
      <c r="E3236" t="s">
        <v>19205</v>
      </c>
      <c r="F3236" t="s">
        <v>28198</v>
      </c>
      <c r="G3236" t="s">
        <v>28207</v>
      </c>
      <c r="H3236" t="s">
        <v>28215</v>
      </c>
      <c r="I3236" t="s">
        <v>3774</v>
      </c>
      <c r="J3236" t="s">
        <v>30503</v>
      </c>
      <c r="K3236" t="s">
        <v>36701</v>
      </c>
      <c r="M3236" t="s">
        <v>38217</v>
      </c>
      <c r="N3236" t="s">
        <v>40436</v>
      </c>
      <c r="O3236" t="s">
        <v>40437</v>
      </c>
      <c r="P3236">
        <v>0</v>
      </c>
      <c r="Q3236">
        <v>0</v>
      </c>
      <c r="R3236" t="s">
        <v>40439</v>
      </c>
      <c r="S3236" t="s">
        <v>40588</v>
      </c>
      <c r="T3236" t="s">
        <v>42176</v>
      </c>
      <c r="U3236" t="s">
        <v>45309</v>
      </c>
      <c r="W3236" t="s">
        <v>38217</v>
      </c>
      <c r="X3236" t="s">
        <v>40440</v>
      </c>
    </row>
    <row r="3237" spans="1:24">
      <c r="A3237">
        <f>HYPERLINK("https://www.philgeps.gov.ph/GEPSNONPILOT/Tender/SplashBidNoticeAbstractUI.aspx?menuIndex=3&amp;refID=7045156&amp;Result=3","7045156")</f>
        <v>0</v>
      </c>
      <c r="B3237" t="s">
        <v>661</v>
      </c>
      <c r="C3237" t="s">
        <v>6175</v>
      </c>
      <c r="D3237" t="s">
        <v>16199</v>
      </c>
      <c r="E3237" t="s">
        <v>19206</v>
      </c>
      <c r="F3237" t="s">
        <v>28198</v>
      </c>
      <c r="G3237" t="s">
        <v>28207</v>
      </c>
      <c r="H3237" t="s">
        <v>28215</v>
      </c>
      <c r="I3237" t="s">
        <v>28225</v>
      </c>
      <c r="J3237" t="s">
        <v>30504</v>
      </c>
      <c r="K3237" t="s">
        <v>36689</v>
      </c>
      <c r="M3237" t="s">
        <v>37657</v>
      </c>
      <c r="N3237" t="s">
        <v>40436</v>
      </c>
      <c r="O3237" t="s">
        <v>40437</v>
      </c>
      <c r="P3237">
        <v>0</v>
      </c>
      <c r="Q3237">
        <v>1</v>
      </c>
      <c r="R3237" t="s">
        <v>40439</v>
      </c>
      <c r="S3237" t="s">
        <v>40588</v>
      </c>
      <c r="T3237" t="s">
        <v>42131</v>
      </c>
      <c r="U3237" t="s">
        <v>45435</v>
      </c>
      <c r="W3237" t="s">
        <v>37657</v>
      </c>
      <c r="X3237" t="s">
        <v>40440</v>
      </c>
    </row>
    <row r="3238" spans="1:24">
      <c r="A3238">
        <f>HYPERLINK("https://www.philgeps.gov.ph/GEPSNONPILOT/Tender/SplashBidNoticeAbstractUI.aspx?menuIndex=3&amp;refID=7045157&amp;Result=3","7045157")</f>
        <v>0</v>
      </c>
      <c r="B3238" t="s">
        <v>97</v>
      </c>
      <c r="C3238" t="s">
        <v>6176</v>
      </c>
      <c r="D3238" t="s">
        <v>16226</v>
      </c>
      <c r="E3238" t="s">
        <v>19207</v>
      </c>
      <c r="F3238" t="s">
        <v>28198</v>
      </c>
      <c r="G3238" t="s">
        <v>28207</v>
      </c>
      <c r="H3238" t="s">
        <v>28215</v>
      </c>
      <c r="I3238" t="s">
        <v>28291</v>
      </c>
      <c r="J3238" t="s">
        <v>28378</v>
      </c>
      <c r="K3238" t="s">
        <v>36691</v>
      </c>
      <c r="M3238" t="s">
        <v>38272</v>
      </c>
      <c r="N3238" t="s">
        <v>40436</v>
      </c>
      <c r="O3238" t="s">
        <v>40437</v>
      </c>
      <c r="P3238">
        <v>0</v>
      </c>
      <c r="Q3238">
        <v>0</v>
      </c>
      <c r="R3238" t="s">
        <v>40439</v>
      </c>
      <c r="S3238" t="s">
        <v>40588</v>
      </c>
      <c r="T3238" t="s">
        <v>42131</v>
      </c>
      <c r="U3238" t="s">
        <v>45436</v>
      </c>
      <c r="W3238" t="s">
        <v>38272</v>
      </c>
      <c r="X3238" t="s">
        <v>40440</v>
      </c>
    </row>
    <row r="3239" spans="1:24">
      <c r="A3239">
        <f>HYPERLINK("https://www.philgeps.gov.ph/GEPSNONPILOT/Tender/SplashBidNoticeAbstractUI.aspx?menuIndex=3&amp;refID=7045152&amp;Result=3","7045152")</f>
        <v>0</v>
      </c>
      <c r="B3239" t="s">
        <v>1135</v>
      </c>
      <c r="C3239" t="s">
        <v>5100</v>
      </c>
      <c r="D3239" t="s">
        <v>16209</v>
      </c>
      <c r="E3239" t="s">
        <v>19208</v>
      </c>
      <c r="F3239" t="s">
        <v>28198</v>
      </c>
      <c r="G3239" t="s">
        <v>28205</v>
      </c>
      <c r="H3239" t="s">
        <v>28214</v>
      </c>
      <c r="I3239" t="s">
        <v>5100</v>
      </c>
      <c r="J3239" t="s">
        <v>30505</v>
      </c>
      <c r="K3239" t="s">
        <v>36706</v>
      </c>
      <c r="M3239" t="s">
        <v>38174</v>
      </c>
      <c r="N3239" t="s">
        <v>40436</v>
      </c>
      <c r="O3239" t="s">
        <v>40437</v>
      </c>
      <c r="P3239">
        <v>0</v>
      </c>
      <c r="Q3239">
        <v>1</v>
      </c>
      <c r="R3239" t="s">
        <v>40439</v>
      </c>
      <c r="S3239" t="s">
        <v>40588</v>
      </c>
      <c r="T3239" t="s">
        <v>42108</v>
      </c>
      <c r="U3239" t="s">
        <v>45437</v>
      </c>
      <c r="W3239" t="s">
        <v>38174</v>
      </c>
      <c r="X3239" t="s">
        <v>40440</v>
      </c>
    </row>
    <row r="3240" spans="1:24">
      <c r="A3240">
        <f>HYPERLINK("https://www.philgeps.gov.ph/GEPSNONPILOT/Tender/SplashBidNoticeAbstractUI.aspx?menuIndex=3&amp;refID=7045160&amp;Result=3","7045160")</f>
        <v>0</v>
      </c>
      <c r="B3240" t="s">
        <v>386</v>
      </c>
      <c r="C3240" t="s">
        <v>6177</v>
      </c>
      <c r="D3240" t="s">
        <v>16259</v>
      </c>
      <c r="E3240" t="s">
        <v>19209</v>
      </c>
      <c r="F3240" t="s">
        <v>28198</v>
      </c>
      <c r="G3240" t="s">
        <v>28207</v>
      </c>
      <c r="H3240" t="s">
        <v>28215</v>
      </c>
      <c r="I3240" t="s">
        <v>28228</v>
      </c>
      <c r="J3240" t="s">
        <v>28352</v>
      </c>
      <c r="K3240" t="s">
        <v>36697</v>
      </c>
      <c r="M3240" t="s">
        <v>37366</v>
      </c>
      <c r="N3240" t="s">
        <v>40436</v>
      </c>
      <c r="O3240" t="s">
        <v>40437</v>
      </c>
      <c r="P3240">
        <v>0</v>
      </c>
      <c r="Q3240">
        <v>0</v>
      </c>
      <c r="R3240" t="s">
        <v>40439</v>
      </c>
      <c r="S3240" t="s">
        <v>40588</v>
      </c>
      <c r="T3240" t="s">
        <v>42133</v>
      </c>
      <c r="U3240" t="s">
        <v>43270</v>
      </c>
      <c r="V3240" t="s">
        <v>53872</v>
      </c>
      <c r="W3240" t="s">
        <v>37366</v>
      </c>
      <c r="X3240" t="s">
        <v>40440</v>
      </c>
    </row>
    <row r="3241" spans="1:24">
      <c r="A3241">
        <f>HYPERLINK("https://www.philgeps.gov.ph/GEPSNONPILOT/Tender/SplashBidNoticeAbstractUI.aspx?menuIndex=3&amp;refID=7045162&amp;Result=3","7045162")</f>
        <v>0</v>
      </c>
      <c r="B3241" t="s">
        <v>1254</v>
      </c>
      <c r="C3241" t="s">
        <v>6178</v>
      </c>
      <c r="D3241" t="s">
        <v>16201</v>
      </c>
      <c r="E3241" t="s">
        <v>19210</v>
      </c>
      <c r="F3241" t="s">
        <v>28198</v>
      </c>
      <c r="G3241" t="s">
        <v>28207</v>
      </c>
      <c r="H3241" t="s">
        <v>28215</v>
      </c>
      <c r="I3241" t="s">
        <v>4200</v>
      </c>
      <c r="J3241" t="s">
        <v>29105</v>
      </c>
      <c r="K3241" t="s">
        <v>36693</v>
      </c>
      <c r="M3241" t="s">
        <v>38304</v>
      </c>
      <c r="N3241" t="s">
        <v>40436</v>
      </c>
      <c r="O3241" t="s">
        <v>40437</v>
      </c>
      <c r="P3241">
        <v>0</v>
      </c>
      <c r="Q3241">
        <v>0</v>
      </c>
      <c r="R3241" t="s">
        <v>40439</v>
      </c>
      <c r="S3241" t="s">
        <v>40588</v>
      </c>
      <c r="T3241" t="s">
        <v>42158</v>
      </c>
      <c r="U3241" t="s">
        <v>45438</v>
      </c>
      <c r="W3241" t="s">
        <v>38304</v>
      </c>
      <c r="X3241" t="s">
        <v>40440</v>
      </c>
    </row>
    <row r="3242" spans="1:24">
      <c r="A3242">
        <f>HYPERLINK("https://www.philgeps.gov.ph/GEPSNONPILOT/Tender/SplashBidNoticeAbstractUI.aspx?menuIndex=3&amp;refID=7045153&amp;Result=3","7045153")</f>
        <v>0</v>
      </c>
      <c r="B3242" t="s">
        <v>455</v>
      </c>
      <c r="C3242" t="s">
        <v>6179</v>
      </c>
      <c r="D3242" t="s">
        <v>16263</v>
      </c>
      <c r="E3242" t="s">
        <v>19211</v>
      </c>
      <c r="F3242" t="s">
        <v>28198</v>
      </c>
      <c r="G3242" t="s">
        <v>28205</v>
      </c>
      <c r="H3242" t="s">
        <v>28214</v>
      </c>
      <c r="I3242" t="s">
        <v>3797</v>
      </c>
      <c r="J3242" t="s">
        <v>28468</v>
      </c>
      <c r="K3242" t="s">
        <v>36689</v>
      </c>
      <c r="M3242" t="s">
        <v>37439</v>
      </c>
      <c r="N3242" t="s">
        <v>40436</v>
      </c>
      <c r="O3242" t="s">
        <v>40437</v>
      </c>
      <c r="P3242">
        <v>0</v>
      </c>
      <c r="Q3242">
        <v>0</v>
      </c>
      <c r="R3242" t="s">
        <v>40439</v>
      </c>
      <c r="S3242" t="s">
        <v>40588</v>
      </c>
      <c r="T3242" t="s">
        <v>42118</v>
      </c>
      <c r="U3242" t="s">
        <v>45025</v>
      </c>
      <c r="W3242" t="s">
        <v>37439</v>
      </c>
      <c r="X3242" t="s">
        <v>40440</v>
      </c>
    </row>
    <row r="3243" spans="1:24">
      <c r="A3243">
        <f>HYPERLINK("https://www.philgeps.gov.ph/GEPSNONPILOT/Tender/SplashBidNoticeAbstractUI.aspx?menuIndex=3&amp;refID=7045180&amp;Result=3","7045180")</f>
        <v>0</v>
      </c>
      <c r="B3243" t="s">
        <v>1141</v>
      </c>
      <c r="C3243" t="s">
        <v>6180</v>
      </c>
      <c r="D3243" t="s">
        <v>16261</v>
      </c>
      <c r="E3243" t="s">
        <v>19212</v>
      </c>
      <c r="F3243" t="s">
        <v>28198</v>
      </c>
      <c r="G3243" t="s">
        <v>28205</v>
      </c>
      <c r="H3243" t="s">
        <v>28214</v>
      </c>
      <c r="I3243" t="s">
        <v>3797</v>
      </c>
      <c r="J3243" t="s">
        <v>30506</v>
      </c>
      <c r="K3243" t="s">
        <v>36796</v>
      </c>
      <c r="M3243" t="s">
        <v>38181</v>
      </c>
      <c r="N3243" t="s">
        <v>40436</v>
      </c>
      <c r="O3243" t="s">
        <v>40437</v>
      </c>
      <c r="P3243">
        <v>0</v>
      </c>
      <c r="Q3243">
        <v>0</v>
      </c>
      <c r="R3243" t="s">
        <v>40439</v>
      </c>
      <c r="S3243" t="s">
        <v>40588</v>
      </c>
      <c r="T3243" t="s">
        <v>42108</v>
      </c>
      <c r="U3243" t="s">
        <v>45439</v>
      </c>
      <c r="W3243" t="s">
        <v>38181</v>
      </c>
      <c r="X3243" t="s">
        <v>40440</v>
      </c>
    </row>
    <row r="3244" spans="1:24">
      <c r="A3244">
        <f>HYPERLINK("https://www.philgeps.gov.ph/GEPSNONPILOT/Tender/SplashBidNoticeAbstractUI.aspx?menuIndex=3&amp;refID=7045171&amp;Result=3","7045171")</f>
        <v>0</v>
      </c>
      <c r="B3244" t="s">
        <v>1255</v>
      </c>
      <c r="C3244" t="s">
        <v>3220</v>
      </c>
      <c r="D3244" t="s">
        <v>16221</v>
      </c>
      <c r="E3244" t="s">
        <v>19213</v>
      </c>
      <c r="F3244" t="s">
        <v>28198</v>
      </c>
      <c r="G3244" t="s">
        <v>28207</v>
      </c>
      <c r="H3244" t="s">
        <v>28215</v>
      </c>
      <c r="I3244" t="s">
        <v>5082</v>
      </c>
      <c r="J3244" t="s">
        <v>28369</v>
      </c>
      <c r="K3244" t="s">
        <v>36691</v>
      </c>
      <c r="M3244" t="s">
        <v>38305</v>
      </c>
      <c r="N3244" t="s">
        <v>40436</v>
      </c>
      <c r="O3244" t="s">
        <v>40437</v>
      </c>
      <c r="P3244">
        <v>0</v>
      </c>
      <c r="Q3244">
        <v>1</v>
      </c>
      <c r="R3244" t="s">
        <v>40439</v>
      </c>
      <c r="S3244" t="s">
        <v>40588</v>
      </c>
      <c r="T3244" t="s">
        <v>42158</v>
      </c>
      <c r="U3244" t="s">
        <v>45440</v>
      </c>
      <c r="W3244" t="s">
        <v>38305</v>
      </c>
      <c r="X3244" t="s">
        <v>40440</v>
      </c>
    </row>
    <row r="3245" spans="1:24">
      <c r="A3245">
        <f>HYPERLINK("https://www.philgeps.gov.ph/GEPSNONPILOT/Tender/SplashBidNoticeAbstractUI.aspx?menuIndex=3&amp;refID=7045168&amp;Result=3","7045168")</f>
        <v>0</v>
      </c>
      <c r="B3245" t="s">
        <v>1256</v>
      </c>
      <c r="C3245" t="s">
        <v>6181</v>
      </c>
      <c r="E3245" t="s">
        <v>19214</v>
      </c>
      <c r="F3245" t="s">
        <v>28198</v>
      </c>
      <c r="G3245" t="s">
        <v>28210</v>
      </c>
      <c r="H3245" t="s">
        <v>28215</v>
      </c>
      <c r="I3245" t="s">
        <v>5082</v>
      </c>
      <c r="J3245" t="s">
        <v>28406</v>
      </c>
      <c r="K3245" t="s">
        <v>36707</v>
      </c>
      <c r="M3245" t="s">
        <v>38306</v>
      </c>
      <c r="N3245" t="s">
        <v>40436</v>
      </c>
      <c r="O3245" t="s">
        <v>40437</v>
      </c>
      <c r="P3245">
        <v>0</v>
      </c>
      <c r="Q3245">
        <v>0</v>
      </c>
      <c r="R3245" t="s">
        <v>40439</v>
      </c>
      <c r="S3245" t="s">
        <v>40588</v>
      </c>
      <c r="T3245" t="s">
        <v>42131</v>
      </c>
      <c r="U3245" t="s">
        <v>43698</v>
      </c>
      <c r="W3245" t="s">
        <v>38306</v>
      </c>
      <c r="X3245" t="s">
        <v>40440</v>
      </c>
    </row>
    <row r="3246" spans="1:24">
      <c r="A3246">
        <f>HYPERLINK("https://www.philgeps.gov.ph/GEPSNONPILOT/Tender/SplashBidNoticeAbstractUI.aspx?menuIndex=3&amp;refID=7045166&amp;Result=3","7045166")</f>
        <v>0</v>
      </c>
      <c r="B3246" t="s">
        <v>1208</v>
      </c>
      <c r="C3246" t="s">
        <v>6182</v>
      </c>
      <c r="D3246" t="s">
        <v>16211</v>
      </c>
      <c r="E3246" t="s">
        <v>19162</v>
      </c>
      <c r="F3246" t="s">
        <v>28198</v>
      </c>
      <c r="G3246" t="s">
        <v>28210</v>
      </c>
      <c r="H3246" t="s">
        <v>28215</v>
      </c>
      <c r="I3246" t="s">
        <v>28296</v>
      </c>
      <c r="J3246" t="s">
        <v>30439</v>
      </c>
      <c r="K3246" t="s">
        <v>36701</v>
      </c>
      <c r="M3246" t="s">
        <v>38253</v>
      </c>
      <c r="N3246" t="s">
        <v>40436</v>
      </c>
      <c r="O3246" t="s">
        <v>40437</v>
      </c>
      <c r="P3246">
        <v>0</v>
      </c>
      <c r="Q3246">
        <v>1</v>
      </c>
      <c r="R3246" t="s">
        <v>40439</v>
      </c>
      <c r="S3246" t="s">
        <v>40588</v>
      </c>
      <c r="T3246" t="s">
        <v>42169</v>
      </c>
      <c r="U3246" t="s">
        <v>45441</v>
      </c>
      <c r="W3246" t="s">
        <v>38253</v>
      </c>
      <c r="X3246" t="s">
        <v>40440</v>
      </c>
    </row>
    <row r="3247" spans="1:24">
      <c r="A3247">
        <f>HYPERLINK("https://www.philgeps.gov.ph/GEPSNONPILOT/Tender/SplashBidNoticeAbstractUI.aspx?menuIndex=3&amp;refID=7045172&amp;Result=3","7045172")</f>
        <v>0</v>
      </c>
      <c r="B3247" t="s">
        <v>1257</v>
      </c>
      <c r="C3247" t="s">
        <v>6183</v>
      </c>
      <c r="D3247" t="s">
        <v>16217</v>
      </c>
      <c r="E3247" t="s">
        <v>16598</v>
      </c>
      <c r="F3247" t="s">
        <v>28198</v>
      </c>
      <c r="G3247" t="s">
        <v>28205</v>
      </c>
      <c r="H3247" t="s">
        <v>28215</v>
      </c>
      <c r="I3247" t="s">
        <v>28225</v>
      </c>
      <c r="J3247" t="s">
        <v>30507</v>
      </c>
      <c r="K3247" t="s">
        <v>36689</v>
      </c>
      <c r="M3247" t="s">
        <v>38307</v>
      </c>
      <c r="N3247" t="s">
        <v>40436</v>
      </c>
      <c r="O3247" t="s">
        <v>40437</v>
      </c>
      <c r="P3247">
        <v>0</v>
      </c>
      <c r="Q3247">
        <v>0</v>
      </c>
      <c r="R3247" t="s">
        <v>40439</v>
      </c>
      <c r="S3247" t="s">
        <v>40588</v>
      </c>
      <c r="T3247" t="s">
        <v>42180</v>
      </c>
      <c r="U3247" t="s">
        <v>45442</v>
      </c>
      <c r="W3247" t="s">
        <v>38307</v>
      </c>
      <c r="X3247" t="s">
        <v>40440</v>
      </c>
    </row>
    <row r="3248" spans="1:24">
      <c r="A3248">
        <f>HYPERLINK("https://www.philgeps.gov.ph/GEPSNONPILOT/Tender/SplashBidNoticeAbstractUI.aspx?menuIndex=3&amp;refID=7045167&amp;Result=3","7045167")</f>
        <v>0</v>
      </c>
      <c r="B3248" t="s">
        <v>1101</v>
      </c>
      <c r="C3248" t="s">
        <v>6184</v>
      </c>
      <c r="D3248" t="s">
        <v>16219</v>
      </c>
      <c r="E3248" t="s">
        <v>19215</v>
      </c>
      <c r="F3248" t="s">
        <v>28198</v>
      </c>
      <c r="G3248" t="s">
        <v>28207</v>
      </c>
      <c r="H3248" t="s">
        <v>28215</v>
      </c>
      <c r="I3248" t="s">
        <v>3797</v>
      </c>
      <c r="J3248" t="s">
        <v>30508</v>
      </c>
      <c r="K3248" t="s">
        <v>36688</v>
      </c>
      <c r="M3248" t="s">
        <v>38137</v>
      </c>
      <c r="N3248" t="s">
        <v>40436</v>
      </c>
      <c r="O3248" t="s">
        <v>40437</v>
      </c>
      <c r="P3248">
        <v>0</v>
      </c>
      <c r="Q3248">
        <v>0</v>
      </c>
      <c r="R3248" t="s">
        <v>40439</v>
      </c>
      <c r="S3248" t="s">
        <v>40588</v>
      </c>
      <c r="T3248" t="s">
        <v>42353</v>
      </c>
      <c r="U3248" t="s">
        <v>45443</v>
      </c>
      <c r="W3248" t="s">
        <v>38137</v>
      </c>
      <c r="X3248" t="s">
        <v>40440</v>
      </c>
    </row>
    <row r="3249" spans="1:24">
      <c r="A3249">
        <f>HYPERLINK("https://www.philgeps.gov.ph/GEPSNONPILOT/Tender/SplashBidNoticeAbstractUI.aspx?menuIndex=3&amp;refID=7045169&amp;Result=3","7045169")</f>
        <v>0</v>
      </c>
      <c r="B3249" t="s">
        <v>215</v>
      </c>
      <c r="C3249" t="s">
        <v>6185</v>
      </c>
      <c r="D3249" t="s">
        <v>16218</v>
      </c>
      <c r="E3249" t="s">
        <v>19216</v>
      </c>
      <c r="F3249" t="s">
        <v>28198</v>
      </c>
      <c r="G3249" t="s">
        <v>28205</v>
      </c>
      <c r="H3249" t="s">
        <v>28215</v>
      </c>
      <c r="I3249" t="s">
        <v>28275</v>
      </c>
      <c r="J3249" t="s">
        <v>30509</v>
      </c>
      <c r="K3249" t="s">
        <v>36688</v>
      </c>
      <c r="M3249" t="s">
        <v>38271</v>
      </c>
      <c r="N3249" t="s">
        <v>40436</v>
      </c>
      <c r="O3249" t="s">
        <v>40437</v>
      </c>
      <c r="P3249">
        <v>0</v>
      </c>
      <c r="Q3249">
        <v>0</v>
      </c>
      <c r="R3249" t="s">
        <v>40439</v>
      </c>
      <c r="S3249" t="s">
        <v>40588</v>
      </c>
      <c r="T3249" t="s">
        <v>42143</v>
      </c>
      <c r="U3249" t="s">
        <v>45444</v>
      </c>
      <c r="W3249" t="s">
        <v>38271</v>
      </c>
      <c r="X3249" t="s">
        <v>40440</v>
      </c>
    </row>
    <row r="3250" spans="1:24">
      <c r="A3250">
        <f>HYPERLINK("https://www.philgeps.gov.ph/GEPSNONPILOT/Tender/SplashBidNoticeAbstractUI.aspx?menuIndex=3&amp;refID=7045163&amp;Result=3","7045163")</f>
        <v>0</v>
      </c>
      <c r="B3250" t="s">
        <v>1175</v>
      </c>
      <c r="C3250" t="s">
        <v>6186</v>
      </c>
      <c r="D3250" t="s">
        <v>16190</v>
      </c>
      <c r="E3250" t="s">
        <v>19217</v>
      </c>
      <c r="F3250" t="s">
        <v>28198</v>
      </c>
      <c r="G3250" t="s">
        <v>28207</v>
      </c>
      <c r="H3250" t="s">
        <v>28215</v>
      </c>
      <c r="I3250" t="s">
        <v>28237</v>
      </c>
      <c r="J3250" t="s">
        <v>30510</v>
      </c>
      <c r="K3250" t="s">
        <v>36701</v>
      </c>
      <c r="M3250" t="s">
        <v>38217</v>
      </c>
      <c r="N3250" t="s">
        <v>40436</v>
      </c>
      <c r="O3250" t="s">
        <v>40437</v>
      </c>
      <c r="P3250">
        <v>0</v>
      </c>
      <c r="Q3250">
        <v>2</v>
      </c>
      <c r="R3250" t="s">
        <v>40439</v>
      </c>
      <c r="S3250" t="s">
        <v>40588</v>
      </c>
      <c r="T3250" t="s">
        <v>42176</v>
      </c>
      <c r="U3250" t="s">
        <v>45309</v>
      </c>
      <c r="W3250" t="s">
        <v>38217</v>
      </c>
      <c r="X3250" t="s">
        <v>40440</v>
      </c>
    </row>
    <row r="3251" spans="1:24">
      <c r="A3251">
        <f>HYPERLINK("https://www.philgeps.gov.ph/GEPSNONPILOT/Tender/SplashBidNoticeAbstractUI.aspx?menuIndex=3&amp;refID=7045176&amp;Result=3","7045176")</f>
        <v>0</v>
      </c>
      <c r="B3251" t="s">
        <v>1258</v>
      </c>
      <c r="C3251" t="s">
        <v>6187</v>
      </c>
      <c r="D3251" t="s">
        <v>16200</v>
      </c>
      <c r="E3251" t="s">
        <v>19218</v>
      </c>
      <c r="F3251" t="s">
        <v>28198</v>
      </c>
      <c r="G3251" t="s">
        <v>28207</v>
      </c>
      <c r="H3251" t="s">
        <v>28215</v>
      </c>
      <c r="I3251" t="s">
        <v>28257</v>
      </c>
      <c r="J3251" t="s">
        <v>28862</v>
      </c>
      <c r="K3251" t="s">
        <v>36691</v>
      </c>
      <c r="M3251" t="s">
        <v>38308</v>
      </c>
      <c r="N3251" t="s">
        <v>40436</v>
      </c>
      <c r="O3251" t="s">
        <v>40437</v>
      </c>
      <c r="P3251">
        <v>0</v>
      </c>
      <c r="Q3251">
        <v>0</v>
      </c>
      <c r="R3251" t="s">
        <v>40439</v>
      </c>
      <c r="S3251" t="s">
        <v>40588</v>
      </c>
      <c r="T3251" t="s">
        <v>42161</v>
      </c>
      <c r="U3251" t="s">
        <v>45445</v>
      </c>
      <c r="W3251" t="s">
        <v>38308</v>
      </c>
      <c r="X3251" t="s">
        <v>40440</v>
      </c>
    </row>
    <row r="3252" spans="1:24">
      <c r="A3252">
        <f>HYPERLINK("https://www.philgeps.gov.ph/GEPSNONPILOT/Tender/SplashBidNoticeAbstractUI.aspx?menuIndex=3&amp;refID=7045187&amp;Result=3","7045187")</f>
        <v>0</v>
      </c>
      <c r="B3252" t="s">
        <v>1225</v>
      </c>
      <c r="C3252" t="s">
        <v>6188</v>
      </c>
      <c r="D3252" t="s">
        <v>16242</v>
      </c>
      <c r="E3252" t="s">
        <v>19219</v>
      </c>
      <c r="F3252" t="s">
        <v>28203</v>
      </c>
      <c r="G3252" t="s">
        <v>28207</v>
      </c>
      <c r="H3252" t="s">
        <v>28216</v>
      </c>
      <c r="I3252" t="s">
        <v>28274</v>
      </c>
      <c r="J3252" t="s">
        <v>30511</v>
      </c>
      <c r="K3252" t="s">
        <v>36701</v>
      </c>
      <c r="M3252" t="s">
        <v>38273</v>
      </c>
      <c r="N3252" t="s">
        <v>40436</v>
      </c>
      <c r="O3252" t="s">
        <v>40437</v>
      </c>
      <c r="P3252">
        <v>0</v>
      </c>
      <c r="Q3252">
        <v>0</v>
      </c>
      <c r="R3252" t="s">
        <v>40439</v>
      </c>
      <c r="S3252" t="s">
        <v>40588</v>
      </c>
      <c r="T3252" t="s">
        <v>42229</v>
      </c>
      <c r="U3252" t="s">
        <v>45446</v>
      </c>
      <c r="V3252" t="s">
        <v>54116</v>
      </c>
      <c r="W3252" t="s">
        <v>38273</v>
      </c>
      <c r="X3252" t="s">
        <v>40440</v>
      </c>
    </row>
    <row r="3253" spans="1:24">
      <c r="A3253">
        <f>HYPERLINK("https://www.philgeps.gov.ph/GEPSNONPILOT/Tender/SplashBidNoticeAbstractUI.aspx?menuIndex=3&amp;refID=7045188&amp;Result=3","7045188")</f>
        <v>0</v>
      </c>
      <c r="B3253" t="s">
        <v>1195</v>
      </c>
      <c r="C3253" t="s">
        <v>6189</v>
      </c>
      <c r="D3253" t="s">
        <v>16252</v>
      </c>
      <c r="E3253" t="s">
        <v>19220</v>
      </c>
      <c r="F3253" t="s">
        <v>28198</v>
      </c>
      <c r="G3253" t="s">
        <v>28207</v>
      </c>
      <c r="H3253" t="s">
        <v>28215</v>
      </c>
      <c r="I3253" t="s">
        <v>28274</v>
      </c>
      <c r="J3253" t="s">
        <v>30512</v>
      </c>
      <c r="K3253" t="s">
        <v>36797</v>
      </c>
      <c r="M3253" t="s">
        <v>38239</v>
      </c>
      <c r="N3253" t="s">
        <v>40436</v>
      </c>
      <c r="O3253" t="s">
        <v>40437</v>
      </c>
      <c r="P3253">
        <v>0</v>
      </c>
      <c r="Q3253">
        <v>0</v>
      </c>
      <c r="R3253" t="s">
        <v>40439</v>
      </c>
      <c r="S3253" t="s">
        <v>40588</v>
      </c>
      <c r="T3253" t="s">
        <v>42158</v>
      </c>
      <c r="U3253" t="s">
        <v>45263</v>
      </c>
      <c r="W3253" t="s">
        <v>38239</v>
      </c>
      <c r="X3253" t="s">
        <v>40440</v>
      </c>
    </row>
    <row r="3254" spans="1:24">
      <c r="A3254">
        <f>HYPERLINK("https://www.philgeps.gov.ph/GEPSNONPILOT/Tender/SplashBidNoticeAbstractUI.aspx?menuIndex=3&amp;refID=7045177&amp;Result=3","7045177")</f>
        <v>0</v>
      </c>
      <c r="B3254" t="s">
        <v>1028</v>
      </c>
      <c r="C3254" t="s">
        <v>6190</v>
      </c>
      <c r="D3254" t="s">
        <v>16222</v>
      </c>
      <c r="E3254" t="s">
        <v>19221</v>
      </c>
      <c r="F3254" t="s">
        <v>28198</v>
      </c>
      <c r="G3254" t="s">
        <v>28205</v>
      </c>
      <c r="H3254" t="s">
        <v>28215</v>
      </c>
      <c r="I3254" t="s">
        <v>28228</v>
      </c>
      <c r="J3254" t="s">
        <v>30513</v>
      </c>
      <c r="K3254" t="s">
        <v>36688</v>
      </c>
      <c r="M3254" t="s">
        <v>38059</v>
      </c>
      <c r="N3254" t="s">
        <v>40436</v>
      </c>
      <c r="O3254" t="s">
        <v>40437</v>
      </c>
      <c r="P3254">
        <v>0</v>
      </c>
      <c r="Q3254">
        <v>0</v>
      </c>
      <c r="R3254" t="s">
        <v>40439</v>
      </c>
      <c r="S3254" t="s">
        <v>40588</v>
      </c>
      <c r="T3254" t="s">
        <v>42354</v>
      </c>
      <c r="U3254" t="s">
        <v>45447</v>
      </c>
      <c r="V3254" t="s">
        <v>54051</v>
      </c>
      <c r="W3254" t="s">
        <v>38059</v>
      </c>
      <c r="X3254" t="s">
        <v>40440</v>
      </c>
    </row>
    <row r="3255" spans="1:24">
      <c r="A3255">
        <f>HYPERLINK("https://www.philgeps.gov.ph/GEPSNONPILOT/Tender/SplashBidNoticeAbstractUI.aspx?menuIndex=3&amp;refID=7045185&amp;Result=3","7045185")</f>
        <v>0</v>
      </c>
      <c r="B3255" t="s">
        <v>1259</v>
      </c>
      <c r="C3255" t="s">
        <v>6191</v>
      </c>
      <c r="D3255" t="s">
        <v>16219</v>
      </c>
      <c r="E3255" t="s">
        <v>19222</v>
      </c>
      <c r="F3255" t="s">
        <v>28198</v>
      </c>
      <c r="G3255" t="s">
        <v>28205</v>
      </c>
      <c r="H3255" t="s">
        <v>28215</v>
      </c>
      <c r="I3255" t="s">
        <v>28311</v>
      </c>
      <c r="J3255" t="s">
        <v>30514</v>
      </c>
      <c r="K3255" t="s">
        <v>36689</v>
      </c>
      <c r="M3255" t="s">
        <v>38309</v>
      </c>
      <c r="N3255" t="s">
        <v>40436</v>
      </c>
      <c r="O3255" t="s">
        <v>40437</v>
      </c>
      <c r="P3255">
        <v>0</v>
      </c>
      <c r="Q3255">
        <v>0</v>
      </c>
      <c r="R3255" t="s">
        <v>40439</v>
      </c>
      <c r="S3255" t="s">
        <v>40588</v>
      </c>
      <c r="T3255" t="s">
        <v>42320</v>
      </c>
      <c r="U3255" t="s">
        <v>45448</v>
      </c>
      <c r="W3255" t="s">
        <v>38309</v>
      </c>
      <c r="X3255" t="s">
        <v>40440</v>
      </c>
    </row>
    <row r="3256" spans="1:24">
      <c r="A3256">
        <f>HYPERLINK("https://www.philgeps.gov.ph/GEPSNONPILOT/Tender/SplashBidNoticeAbstractUI.aspx?menuIndex=3&amp;refID=7045182&amp;Result=3","7045182")</f>
        <v>0</v>
      </c>
      <c r="B3256" t="s">
        <v>1260</v>
      </c>
      <c r="C3256" t="s">
        <v>6192</v>
      </c>
      <c r="D3256" t="s">
        <v>16206</v>
      </c>
      <c r="E3256" t="s">
        <v>19223</v>
      </c>
      <c r="F3256" t="s">
        <v>28198</v>
      </c>
      <c r="G3256" t="s">
        <v>28205</v>
      </c>
      <c r="H3256" t="s">
        <v>28214</v>
      </c>
      <c r="I3256" t="s">
        <v>3797</v>
      </c>
      <c r="J3256" t="s">
        <v>28398</v>
      </c>
      <c r="K3256" t="s">
        <v>36736</v>
      </c>
      <c r="M3256" t="s">
        <v>38310</v>
      </c>
      <c r="N3256" t="s">
        <v>40436</v>
      </c>
      <c r="O3256" t="s">
        <v>40437</v>
      </c>
      <c r="P3256">
        <v>0</v>
      </c>
      <c r="Q3256">
        <v>0</v>
      </c>
      <c r="R3256" t="s">
        <v>40439</v>
      </c>
      <c r="S3256" t="s">
        <v>40588</v>
      </c>
      <c r="T3256" t="s">
        <v>42309</v>
      </c>
      <c r="U3256" t="s">
        <v>45449</v>
      </c>
      <c r="W3256" t="s">
        <v>38310</v>
      </c>
      <c r="X3256" t="s">
        <v>40440</v>
      </c>
    </row>
    <row r="3257" spans="1:24">
      <c r="A3257">
        <f>HYPERLINK("https://www.philgeps.gov.ph/GEPSNONPILOT/Tender/SplashBidNoticeAbstractUI.aspx?menuIndex=3&amp;refID=7045183&amp;Result=3","7045183")</f>
        <v>0</v>
      </c>
      <c r="B3257" t="s">
        <v>175</v>
      </c>
      <c r="C3257" t="s">
        <v>6193</v>
      </c>
      <c r="D3257" t="s">
        <v>16244</v>
      </c>
      <c r="E3257" t="s">
        <v>19224</v>
      </c>
      <c r="F3257" t="s">
        <v>28198</v>
      </c>
      <c r="G3257" t="s">
        <v>28206</v>
      </c>
      <c r="H3257" t="s">
        <v>28215</v>
      </c>
      <c r="I3257" t="s">
        <v>4200</v>
      </c>
      <c r="J3257" t="s">
        <v>30515</v>
      </c>
      <c r="K3257" t="s">
        <v>36688</v>
      </c>
      <c r="M3257" t="s">
        <v>37149</v>
      </c>
      <c r="N3257" t="s">
        <v>40436</v>
      </c>
      <c r="O3257" t="s">
        <v>40437</v>
      </c>
      <c r="P3257">
        <v>0</v>
      </c>
      <c r="Q3257">
        <v>0</v>
      </c>
      <c r="R3257" t="s">
        <v>40439</v>
      </c>
      <c r="S3257" t="s">
        <v>40588</v>
      </c>
      <c r="T3257" t="s">
        <v>42185</v>
      </c>
      <c r="U3257" t="s">
        <v>42905</v>
      </c>
      <c r="W3257" t="s">
        <v>37149</v>
      </c>
      <c r="X3257" t="s">
        <v>40440</v>
      </c>
    </row>
    <row r="3258" spans="1:24">
      <c r="A3258">
        <f>HYPERLINK("https://www.philgeps.gov.ph/GEPSNONPILOT/Tender/SplashBidNoticeAbstractUI.aspx?menuIndex=3&amp;refID=7045189&amp;Result=3","7045189")</f>
        <v>0</v>
      </c>
      <c r="B3258" t="s">
        <v>703</v>
      </c>
      <c r="C3258" t="s">
        <v>6194</v>
      </c>
      <c r="D3258" t="s">
        <v>16240</v>
      </c>
      <c r="E3258" t="s">
        <v>19225</v>
      </c>
      <c r="F3258" t="s">
        <v>28198</v>
      </c>
      <c r="G3258" t="s">
        <v>28210</v>
      </c>
      <c r="H3258" t="s">
        <v>28215</v>
      </c>
      <c r="I3258" t="s">
        <v>28295</v>
      </c>
      <c r="J3258" t="s">
        <v>30516</v>
      </c>
      <c r="K3258" t="s">
        <v>36691</v>
      </c>
      <c r="M3258" t="s">
        <v>37703</v>
      </c>
      <c r="N3258" t="s">
        <v>40436</v>
      </c>
      <c r="O3258" t="s">
        <v>40437</v>
      </c>
      <c r="P3258">
        <v>0</v>
      </c>
      <c r="Q3258">
        <v>1</v>
      </c>
      <c r="R3258" t="s">
        <v>40439</v>
      </c>
      <c r="S3258" t="s">
        <v>40588</v>
      </c>
      <c r="T3258" t="s">
        <v>42161</v>
      </c>
      <c r="U3258" t="s">
        <v>43914</v>
      </c>
      <c r="W3258" t="s">
        <v>37703</v>
      </c>
      <c r="X3258" t="s">
        <v>40440</v>
      </c>
    </row>
    <row r="3259" spans="1:24">
      <c r="A3259">
        <f>HYPERLINK("https://www.philgeps.gov.ph/GEPSNONPILOT/Tender/SplashBidNoticeAbstractUI.aspx?menuIndex=3&amp;refID=7045196&amp;Result=3","7045196")</f>
        <v>0</v>
      </c>
      <c r="B3259" t="s">
        <v>1261</v>
      </c>
      <c r="C3259" t="s">
        <v>6195</v>
      </c>
      <c r="D3259" t="s">
        <v>16223</v>
      </c>
      <c r="E3259" t="s">
        <v>19226</v>
      </c>
      <c r="F3259" t="s">
        <v>28198</v>
      </c>
      <c r="G3259" t="s">
        <v>28205</v>
      </c>
      <c r="H3259" t="s">
        <v>28214</v>
      </c>
      <c r="I3259" t="s">
        <v>3797</v>
      </c>
      <c r="J3259" t="s">
        <v>30517</v>
      </c>
      <c r="K3259" t="s">
        <v>36737</v>
      </c>
      <c r="M3259" t="s">
        <v>38311</v>
      </c>
      <c r="N3259" t="s">
        <v>40436</v>
      </c>
      <c r="O3259" t="s">
        <v>40437</v>
      </c>
      <c r="P3259">
        <v>0</v>
      </c>
      <c r="Q3259">
        <v>1</v>
      </c>
      <c r="R3259" t="s">
        <v>40439</v>
      </c>
      <c r="S3259" t="s">
        <v>40588</v>
      </c>
      <c r="T3259" t="s">
        <v>42355</v>
      </c>
      <c r="U3259" t="s">
        <v>45450</v>
      </c>
      <c r="W3259" t="s">
        <v>38311</v>
      </c>
      <c r="X3259" t="s">
        <v>40440</v>
      </c>
    </row>
    <row r="3260" spans="1:24">
      <c r="A3260">
        <f>HYPERLINK("https://www.philgeps.gov.ph/GEPSNONPILOT/Tender/SplashBidNoticeAbstractUI.aspx?menuIndex=3&amp;refID=7045179&amp;Result=3","7045179")</f>
        <v>0</v>
      </c>
      <c r="B3260" t="s">
        <v>1262</v>
      </c>
      <c r="C3260" t="s">
        <v>6196</v>
      </c>
      <c r="D3260" t="s">
        <v>16195</v>
      </c>
      <c r="E3260" t="s">
        <v>19227</v>
      </c>
      <c r="F3260" t="s">
        <v>28200</v>
      </c>
      <c r="G3260" t="s">
        <v>28205</v>
      </c>
      <c r="H3260" t="s">
        <v>28215</v>
      </c>
      <c r="I3260" t="s">
        <v>28246</v>
      </c>
      <c r="J3260" t="s">
        <v>30518</v>
      </c>
      <c r="K3260" t="s">
        <v>36701</v>
      </c>
      <c r="M3260" t="s">
        <v>38312</v>
      </c>
      <c r="N3260" t="s">
        <v>40436</v>
      </c>
      <c r="O3260" t="s">
        <v>40437</v>
      </c>
      <c r="P3260">
        <v>0</v>
      </c>
      <c r="Q3260">
        <v>0</v>
      </c>
      <c r="R3260" t="s">
        <v>40439</v>
      </c>
      <c r="S3260" t="s">
        <v>40588</v>
      </c>
      <c r="T3260" t="s">
        <v>42139</v>
      </c>
      <c r="U3260" t="s">
        <v>45451</v>
      </c>
      <c r="W3260" t="s">
        <v>38312</v>
      </c>
      <c r="X3260" t="s">
        <v>40440</v>
      </c>
    </row>
    <row r="3261" spans="1:24">
      <c r="A3261">
        <f>HYPERLINK("https://www.philgeps.gov.ph/GEPSNONPILOT/Tender/SplashBidNoticeAbstractUI.aspx?menuIndex=3&amp;refID=7045184&amp;Result=3","7045184")</f>
        <v>0</v>
      </c>
      <c r="B3261" t="s">
        <v>1263</v>
      </c>
      <c r="C3261" t="s">
        <v>6197</v>
      </c>
      <c r="D3261" t="s">
        <v>16217</v>
      </c>
      <c r="E3261" t="s">
        <v>16625</v>
      </c>
      <c r="F3261" t="s">
        <v>28198</v>
      </c>
      <c r="G3261" t="s">
        <v>28205</v>
      </c>
      <c r="H3261" t="s">
        <v>28216</v>
      </c>
      <c r="I3261" t="s">
        <v>28263</v>
      </c>
      <c r="J3261" t="s">
        <v>30519</v>
      </c>
      <c r="K3261" t="s">
        <v>36715</v>
      </c>
      <c r="M3261" t="s">
        <v>38313</v>
      </c>
      <c r="N3261" t="s">
        <v>40436</v>
      </c>
      <c r="O3261" t="s">
        <v>40437</v>
      </c>
      <c r="P3261">
        <v>0</v>
      </c>
      <c r="Q3261">
        <v>2</v>
      </c>
      <c r="R3261" t="s">
        <v>40439</v>
      </c>
      <c r="S3261" t="s">
        <v>40588</v>
      </c>
      <c r="T3261" t="s">
        <v>42175</v>
      </c>
      <c r="U3261" t="s">
        <v>45452</v>
      </c>
      <c r="W3261" t="s">
        <v>38313</v>
      </c>
      <c r="X3261" t="s">
        <v>40440</v>
      </c>
    </row>
    <row r="3262" spans="1:24">
      <c r="A3262">
        <f>HYPERLINK("https://www.philgeps.gov.ph/GEPSNONPILOT/Tender/SplashBidNoticeAbstractUI.aspx?menuIndex=3&amp;refID=7045181&amp;Result=3","7045181")</f>
        <v>0</v>
      </c>
      <c r="B3262" t="s">
        <v>1264</v>
      </c>
      <c r="C3262" t="s">
        <v>6198</v>
      </c>
      <c r="D3262" t="s">
        <v>16209</v>
      </c>
      <c r="E3262" t="s">
        <v>19228</v>
      </c>
      <c r="F3262" t="s">
        <v>28198</v>
      </c>
      <c r="G3262" t="s">
        <v>28207</v>
      </c>
      <c r="H3262" t="s">
        <v>28215</v>
      </c>
      <c r="I3262" t="s">
        <v>28252</v>
      </c>
      <c r="J3262" t="s">
        <v>30520</v>
      </c>
      <c r="K3262" t="s">
        <v>36707</v>
      </c>
      <c r="M3262" t="s">
        <v>38314</v>
      </c>
      <c r="N3262" t="s">
        <v>40436</v>
      </c>
      <c r="O3262" t="s">
        <v>40437</v>
      </c>
      <c r="P3262">
        <v>0</v>
      </c>
      <c r="Q3262">
        <v>0</v>
      </c>
      <c r="R3262" t="s">
        <v>40439</v>
      </c>
      <c r="S3262" t="s">
        <v>40588</v>
      </c>
      <c r="T3262" t="s">
        <v>42133</v>
      </c>
      <c r="U3262" t="s">
        <v>45453</v>
      </c>
      <c r="W3262" t="s">
        <v>38314</v>
      </c>
      <c r="X3262" t="s">
        <v>40440</v>
      </c>
    </row>
    <row r="3263" spans="1:24">
      <c r="A3263">
        <f>HYPERLINK("https://www.philgeps.gov.ph/GEPSNONPILOT/Tender/SplashBidNoticeAbstractUI.aspx?menuIndex=3&amp;refID=7045195&amp;Result=3","7045195")</f>
        <v>0</v>
      </c>
      <c r="B3263" t="s">
        <v>1115</v>
      </c>
      <c r="C3263" t="s">
        <v>6199</v>
      </c>
      <c r="D3263" t="s">
        <v>16236</v>
      </c>
      <c r="E3263" t="s">
        <v>19229</v>
      </c>
      <c r="F3263" t="s">
        <v>28198</v>
      </c>
      <c r="G3263" t="s">
        <v>28207</v>
      </c>
      <c r="H3263" t="s">
        <v>28215</v>
      </c>
      <c r="I3263" t="s">
        <v>5100</v>
      </c>
      <c r="J3263" t="s">
        <v>30521</v>
      </c>
      <c r="K3263" t="s">
        <v>36691</v>
      </c>
      <c r="L3263" t="s">
        <v>1115</v>
      </c>
      <c r="M3263" t="s">
        <v>38152</v>
      </c>
      <c r="N3263" t="s">
        <v>40436</v>
      </c>
      <c r="O3263" t="s">
        <v>40437</v>
      </c>
      <c r="P3263">
        <v>0</v>
      </c>
      <c r="Q3263">
        <v>0</v>
      </c>
      <c r="R3263" t="s">
        <v>40439</v>
      </c>
      <c r="S3263" t="s">
        <v>40588</v>
      </c>
      <c r="T3263" t="s">
        <v>42190</v>
      </c>
      <c r="U3263" t="s">
        <v>45019</v>
      </c>
      <c r="W3263" t="s">
        <v>38152</v>
      </c>
      <c r="X3263" t="s">
        <v>40440</v>
      </c>
    </row>
    <row r="3264" spans="1:24">
      <c r="A3264">
        <f>HYPERLINK("https://www.philgeps.gov.ph/GEPSNONPILOT/Tender/SplashBidNoticeAbstractUI.aspx?menuIndex=3&amp;refID=7045194&amp;Result=3","7045194")</f>
        <v>0</v>
      </c>
      <c r="B3264" t="s">
        <v>1265</v>
      </c>
      <c r="C3264" t="s">
        <v>6200</v>
      </c>
      <c r="D3264" t="s">
        <v>16209</v>
      </c>
      <c r="E3264" t="s">
        <v>19160</v>
      </c>
      <c r="F3264" t="s">
        <v>28198</v>
      </c>
      <c r="G3264" t="s">
        <v>28205</v>
      </c>
      <c r="H3264" t="s">
        <v>28215</v>
      </c>
      <c r="I3264" t="s">
        <v>5100</v>
      </c>
      <c r="J3264" t="s">
        <v>30522</v>
      </c>
      <c r="K3264" t="s">
        <v>36706</v>
      </c>
      <c r="M3264" t="s">
        <v>38315</v>
      </c>
      <c r="N3264" t="s">
        <v>40436</v>
      </c>
      <c r="O3264" t="s">
        <v>40437</v>
      </c>
      <c r="P3264">
        <v>0</v>
      </c>
      <c r="Q3264">
        <v>0</v>
      </c>
      <c r="R3264" t="s">
        <v>40439</v>
      </c>
      <c r="S3264" t="s">
        <v>40588</v>
      </c>
      <c r="T3264" t="s">
        <v>42148</v>
      </c>
      <c r="U3264" t="s">
        <v>45454</v>
      </c>
      <c r="V3264" t="s">
        <v>45454</v>
      </c>
      <c r="W3264" t="s">
        <v>38315</v>
      </c>
      <c r="X3264" t="s">
        <v>40440</v>
      </c>
    </row>
    <row r="3265" spans="1:24">
      <c r="A3265">
        <f>HYPERLINK("https://www.philgeps.gov.ph/GEPSNONPILOT/Tender/SplashBidNoticeAbstractUI.aspx?menuIndex=3&amp;refID=7045164&amp;Result=3","7045164")</f>
        <v>0</v>
      </c>
      <c r="B3265" t="s">
        <v>563</v>
      </c>
      <c r="C3265" t="s">
        <v>6201</v>
      </c>
      <c r="D3265" t="s">
        <v>16241</v>
      </c>
      <c r="E3265" t="s">
        <v>19230</v>
      </c>
      <c r="F3265" t="s">
        <v>28198</v>
      </c>
      <c r="G3265" t="s">
        <v>28207</v>
      </c>
      <c r="H3265" t="s">
        <v>28215</v>
      </c>
      <c r="I3265" t="s">
        <v>5100</v>
      </c>
      <c r="J3265" t="s">
        <v>30523</v>
      </c>
      <c r="K3265" t="s">
        <v>36707</v>
      </c>
      <c r="M3265" t="s">
        <v>37549</v>
      </c>
      <c r="N3265" t="s">
        <v>40436</v>
      </c>
      <c r="O3265" t="s">
        <v>40437</v>
      </c>
      <c r="P3265">
        <v>0</v>
      </c>
      <c r="Q3265">
        <v>0</v>
      </c>
      <c r="R3265" t="s">
        <v>40439</v>
      </c>
      <c r="S3265" t="s">
        <v>40588</v>
      </c>
      <c r="T3265" t="s">
        <v>42131</v>
      </c>
      <c r="U3265" t="s">
        <v>43616</v>
      </c>
      <c r="W3265" t="s">
        <v>55451</v>
      </c>
      <c r="X3265" t="s">
        <v>40440</v>
      </c>
    </row>
    <row r="3266" spans="1:24">
      <c r="A3266">
        <f>HYPERLINK("https://www.philgeps.gov.ph/GEPSNONPILOT/Tender/SplashBidNoticeAbstractUI.aspx?menuIndex=3&amp;refID=7045193&amp;Result=3","7045193")</f>
        <v>0</v>
      </c>
      <c r="B3266" t="s">
        <v>1039</v>
      </c>
      <c r="C3266" t="s">
        <v>6202</v>
      </c>
      <c r="D3266" t="s">
        <v>16255</v>
      </c>
      <c r="E3266" t="s">
        <v>19231</v>
      </c>
      <c r="F3266" t="s">
        <v>28198</v>
      </c>
      <c r="G3266" t="s">
        <v>28210</v>
      </c>
      <c r="H3266" t="s">
        <v>28215</v>
      </c>
      <c r="I3266" t="s">
        <v>5100</v>
      </c>
      <c r="J3266" t="s">
        <v>30524</v>
      </c>
      <c r="K3266" t="s">
        <v>36701</v>
      </c>
      <c r="M3266" t="s">
        <v>38071</v>
      </c>
      <c r="N3266" t="s">
        <v>40436</v>
      </c>
      <c r="O3266" t="s">
        <v>40437</v>
      </c>
      <c r="P3266">
        <v>0</v>
      </c>
      <c r="Q3266">
        <v>0</v>
      </c>
      <c r="R3266" t="s">
        <v>40439</v>
      </c>
      <c r="S3266" t="s">
        <v>40588</v>
      </c>
      <c r="T3266" t="s">
        <v>42158</v>
      </c>
      <c r="U3266" t="s">
        <v>45455</v>
      </c>
      <c r="W3266" t="s">
        <v>38071</v>
      </c>
      <c r="X3266" t="s">
        <v>40440</v>
      </c>
    </row>
    <row r="3267" spans="1:24">
      <c r="A3267">
        <f>HYPERLINK("https://www.philgeps.gov.ph/GEPSNONPILOT/Tender/SplashBidNoticeAbstractUI.aspx?menuIndex=3&amp;refID=7045199&amp;Result=3","7045199")</f>
        <v>0</v>
      </c>
      <c r="B3267" t="s">
        <v>1256</v>
      </c>
      <c r="C3267" t="s">
        <v>6203</v>
      </c>
      <c r="E3267" t="s">
        <v>19232</v>
      </c>
      <c r="F3267" t="s">
        <v>28198</v>
      </c>
      <c r="G3267" t="s">
        <v>28207</v>
      </c>
      <c r="H3267" t="s">
        <v>28215</v>
      </c>
      <c r="I3267" t="s">
        <v>5100</v>
      </c>
      <c r="J3267" t="s">
        <v>29346</v>
      </c>
      <c r="K3267" t="s">
        <v>36707</v>
      </c>
      <c r="M3267" t="s">
        <v>38306</v>
      </c>
      <c r="N3267" t="s">
        <v>40436</v>
      </c>
      <c r="O3267" t="s">
        <v>40437</v>
      </c>
      <c r="P3267">
        <v>0</v>
      </c>
      <c r="Q3267">
        <v>0</v>
      </c>
      <c r="R3267" t="s">
        <v>40439</v>
      </c>
      <c r="S3267" t="s">
        <v>40588</v>
      </c>
      <c r="T3267" t="s">
        <v>42131</v>
      </c>
      <c r="U3267" t="s">
        <v>45456</v>
      </c>
      <c r="W3267" t="s">
        <v>38306</v>
      </c>
      <c r="X3267" t="s">
        <v>40440</v>
      </c>
    </row>
    <row r="3268" spans="1:24">
      <c r="A3268">
        <f>HYPERLINK("https://www.philgeps.gov.ph/GEPSNONPILOT/Tender/SplashBidNoticeAbstractUI.aspx?menuIndex=3&amp;refID=7045200&amp;Result=3","7045200")</f>
        <v>0</v>
      </c>
      <c r="B3268" t="s">
        <v>563</v>
      </c>
      <c r="C3268" t="s">
        <v>6204</v>
      </c>
      <c r="D3268" t="s">
        <v>16241</v>
      </c>
      <c r="E3268" t="s">
        <v>19233</v>
      </c>
      <c r="F3268" t="s">
        <v>28198</v>
      </c>
      <c r="G3268" t="s">
        <v>28207</v>
      </c>
      <c r="H3268" t="s">
        <v>28215</v>
      </c>
      <c r="I3268" t="s">
        <v>5100</v>
      </c>
      <c r="J3268" t="s">
        <v>30525</v>
      </c>
      <c r="K3268" t="s">
        <v>36707</v>
      </c>
      <c r="M3268" t="s">
        <v>37549</v>
      </c>
      <c r="N3268" t="s">
        <v>40436</v>
      </c>
      <c r="O3268" t="s">
        <v>40437</v>
      </c>
      <c r="P3268">
        <v>0</v>
      </c>
      <c r="Q3268">
        <v>0</v>
      </c>
      <c r="R3268" t="s">
        <v>40439</v>
      </c>
      <c r="S3268" t="s">
        <v>40588</v>
      </c>
      <c r="T3268" t="s">
        <v>42131</v>
      </c>
      <c r="U3268" t="s">
        <v>43616</v>
      </c>
      <c r="W3268" t="s">
        <v>55451</v>
      </c>
      <c r="X3268" t="s">
        <v>40440</v>
      </c>
    </row>
    <row r="3269" spans="1:24">
      <c r="A3269">
        <f>HYPERLINK("https://www.philgeps.gov.ph/GEPSNONPILOT/Tender/SplashBidNoticeAbstractUI.aspx?menuIndex=3&amp;refID=7045212&amp;Result=3","7045212")</f>
        <v>0</v>
      </c>
      <c r="B3269" t="s">
        <v>1266</v>
      </c>
      <c r="C3269" t="s">
        <v>6205</v>
      </c>
      <c r="D3269" t="s">
        <v>16208</v>
      </c>
      <c r="E3269" t="s">
        <v>19234</v>
      </c>
      <c r="F3269" t="s">
        <v>28198</v>
      </c>
      <c r="G3269" t="s">
        <v>28205</v>
      </c>
      <c r="H3269" t="s">
        <v>28214</v>
      </c>
      <c r="I3269" t="s">
        <v>3797</v>
      </c>
      <c r="J3269" t="s">
        <v>30526</v>
      </c>
      <c r="K3269" t="s">
        <v>36690</v>
      </c>
      <c r="M3269" t="s">
        <v>38316</v>
      </c>
      <c r="N3269" t="s">
        <v>40436</v>
      </c>
      <c r="O3269" t="s">
        <v>40437</v>
      </c>
      <c r="P3269">
        <v>0</v>
      </c>
      <c r="Q3269">
        <v>0</v>
      </c>
      <c r="R3269" t="s">
        <v>40439</v>
      </c>
      <c r="S3269" t="s">
        <v>40588</v>
      </c>
      <c r="T3269" t="s">
        <v>42108</v>
      </c>
      <c r="U3269" t="s">
        <v>45457</v>
      </c>
      <c r="W3269" t="s">
        <v>38316</v>
      </c>
      <c r="X3269" t="s">
        <v>40440</v>
      </c>
    </row>
    <row r="3270" spans="1:24">
      <c r="A3270">
        <f>HYPERLINK("https://www.philgeps.gov.ph/GEPSNONPILOT/Tender/SplashBidNoticeAbstractUI.aspx?menuIndex=3&amp;refID=7045198&amp;Result=3","7045198")</f>
        <v>0</v>
      </c>
      <c r="B3270" t="s">
        <v>1254</v>
      </c>
      <c r="C3270" t="s">
        <v>6206</v>
      </c>
      <c r="D3270" t="s">
        <v>16201</v>
      </c>
      <c r="E3270" t="s">
        <v>19235</v>
      </c>
      <c r="F3270" t="s">
        <v>28198</v>
      </c>
      <c r="G3270" t="s">
        <v>28205</v>
      </c>
      <c r="H3270" t="s">
        <v>28214</v>
      </c>
      <c r="I3270" t="s">
        <v>3797</v>
      </c>
      <c r="J3270" t="s">
        <v>28363</v>
      </c>
      <c r="K3270" t="s">
        <v>36694</v>
      </c>
      <c r="M3270" t="s">
        <v>38304</v>
      </c>
      <c r="N3270" t="s">
        <v>40436</v>
      </c>
      <c r="O3270" t="s">
        <v>40437</v>
      </c>
      <c r="P3270">
        <v>0</v>
      </c>
      <c r="Q3270">
        <v>0</v>
      </c>
      <c r="R3270" t="s">
        <v>40439</v>
      </c>
      <c r="S3270" t="s">
        <v>40588</v>
      </c>
      <c r="T3270" t="s">
        <v>42356</v>
      </c>
      <c r="U3270" t="s">
        <v>45458</v>
      </c>
      <c r="W3270" t="s">
        <v>38304</v>
      </c>
      <c r="X3270" t="s">
        <v>40440</v>
      </c>
    </row>
    <row r="3271" spans="1:24">
      <c r="A3271">
        <f>HYPERLINK("https://www.philgeps.gov.ph/GEPSNONPILOT/Tender/SplashBidNoticeAbstractUI.aspx?menuIndex=3&amp;refID=7045211&amp;Result=3","7045211")</f>
        <v>0</v>
      </c>
      <c r="B3271" t="s">
        <v>1267</v>
      </c>
      <c r="C3271" t="s">
        <v>6207</v>
      </c>
      <c r="D3271" t="s">
        <v>16196</v>
      </c>
      <c r="E3271" t="s">
        <v>19160</v>
      </c>
      <c r="F3271" t="s">
        <v>28198</v>
      </c>
      <c r="G3271" t="s">
        <v>28206</v>
      </c>
      <c r="H3271" t="s">
        <v>28215</v>
      </c>
      <c r="I3271" t="s">
        <v>28227</v>
      </c>
      <c r="J3271" t="s">
        <v>30527</v>
      </c>
      <c r="K3271" t="s">
        <v>36698</v>
      </c>
      <c r="M3271" t="s">
        <v>38317</v>
      </c>
      <c r="N3271" t="s">
        <v>40436</v>
      </c>
      <c r="O3271" t="s">
        <v>40437</v>
      </c>
      <c r="P3271">
        <v>0</v>
      </c>
      <c r="Q3271">
        <v>0</v>
      </c>
      <c r="R3271" t="s">
        <v>40439</v>
      </c>
      <c r="S3271" t="s">
        <v>40588</v>
      </c>
      <c r="T3271" t="s">
        <v>42158</v>
      </c>
      <c r="U3271" t="s">
        <v>45459</v>
      </c>
      <c r="W3271" t="s">
        <v>38317</v>
      </c>
      <c r="X3271" t="s">
        <v>40440</v>
      </c>
    </row>
    <row r="3272" spans="1:24">
      <c r="A3272">
        <f>HYPERLINK("https://www.philgeps.gov.ph/GEPSNONPILOT/Tender/SplashBidNoticeAbstractUI.aspx?menuIndex=3&amp;refID=7045197&amp;Result=3","7045197")</f>
        <v>0</v>
      </c>
      <c r="B3272" t="s">
        <v>1023</v>
      </c>
      <c r="C3272" t="s">
        <v>6208</v>
      </c>
      <c r="D3272" t="s">
        <v>16265</v>
      </c>
      <c r="E3272" t="s">
        <v>19236</v>
      </c>
      <c r="F3272" t="s">
        <v>28198</v>
      </c>
      <c r="G3272" t="s">
        <v>28205</v>
      </c>
      <c r="H3272" t="s">
        <v>28215</v>
      </c>
      <c r="I3272" t="s">
        <v>4200</v>
      </c>
      <c r="J3272" t="s">
        <v>30528</v>
      </c>
      <c r="K3272" t="s">
        <v>36701</v>
      </c>
      <c r="M3272" t="s">
        <v>38054</v>
      </c>
      <c r="N3272" t="s">
        <v>40436</v>
      </c>
      <c r="O3272" t="s">
        <v>40437</v>
      </c>
      <c r="P3272">
        <v>0</v>
      </c>
      <c r="Q3272">
        <v>0</v>
      </c>
      <c r="R3272" t="s">
        <v>40439</v>
      </c>
      <c r="S3272" t="s">
        <v>40588</v>
      </c>
      <c r="T3272" t="s">
        <v>42108</v>
      </c>
      <c r="U3272" t="s">
        <v>45460</v>
      </c>
      <c r="W3272" t="s">
        <v>38054</v>
      </c>
      <c r="X3272" t="s">
        <v>40440</v>
      </c>
    </row>
    <row r="3273" spans="1:24">
      <c r="A3273">
        <f>HYPERLINK("https://www.philgeps.gov.ph/GEPSNONPILOT/Tender/SplashBidNoticeAbstractUI.aspx?menuIndex=3&amp;refID=7045208&amp;Result=3","7045208")</f>
        <v>0</v>
      </c>
      <c r="B3273" t="s">
        <v>1225</v>
      </c>
      <c r="C3273" t="s">
        <v>6209</v>
      </c>
      <c r="D3273" t="s">
        <v>16236</v>
      </c>
      <c r="E3273" t="s">
        <v>19237</v>
      </c>
      <c r="F3273" t="s">
        <v>28198</v>
      </c>
      <c r="G3273" t="s">
        <v>28207</v>
      </c>
      <c r="H3273" t="s">
        <v>28215</v>
      </c>
      <c r="I3273" t="s">
        <v>28274</v>
      </c>
      <c r="J3273" t="s">
        <v>28378</v>
      </c>
      <c r="K3273" t="s">
        <v>36694</v>
      </c>
      <c r="M3273" t="s">
        <v>38273</v>
      </c>
      <c r="N3273" t="s">
        <v>40436</v>
      </c>
      <c r="O3273" t="s">
        <v>40437</v>
      </c>
      <c r="P3273">
        <v>0</v>
      </c>
      <c r="Q3273">
        <v>1</v>
      </c>
      <c r="R3273" t="s">
        <v>40439</v>
      </c>
      <c r="S3273" t="s">
        <v>40588</v>
      </c>
      <c r="T3273" t="s">
        <v>42129</v>
      </c>
      <c r="U3273" t="s">
        <v>45461</v>
      </c>
      <c r="V3273" t="s">
        <v>54111</v>
      </c>
      <c r="W3273" t="s">
        <v>38273</v>
      </c>
      <c r="X3273" t="s">
        <v>40440</v>
      </c>
    </row>
    <row r="3274" spans="1:24">
      <c r="A3274">
        <f>HYPERLINK("https://www.philgeps.gov.ph/GEPSNONPILOT/Tender/SplashBidNoticeAbstractUI.aspx?menuIndex=3&amp;refID=7045209&amp;Result=3","7045209")</f>
        <v>0</v>
      </c>
      <c r="B3274" t="s">
        <v>1268</v>
      </c>
      <c r="C3274" t="s">
        <v>6210</v>
      </c>
      <c r="D3274" t="s">
        <v>16228</v>
      </c>
      <c r="E3274" t="s">
        <v>19238</v>
      </c>
      <c r="F3274" t="s">
        <v>28198</v>
      </c>
      <c r="G3274" t="s">
        <v>28205</v>
      </c>
      <c r="H3274" t="s">
        <v>28214</v>
      </c>
      <c r="I3274" t="s">
        <v>3797</v>
      </c>
      <c r="J3274" t="s">
        <v>28379</v>
      </c>
      <c r="K3274" t="s">
        <v>36697</v>
      </c>
      <c r="M3274" t="s">
        <v>38318</v>
      </c>
      <c r="N3274" t="s">
        <v>40436</v>
      </c>
      <c r="O3274" t="s">
        <v>40437</v>
      </c>
      <c r="P3274">
        <v>0</v>
      </c>
      <c r="Q3274">
        <v>0</v>
      </c>
      <c r="R3274" t="s">
        <v>40439</v>
      </c>
      <c r="S3274" t="s">
        <v>40588</v>
      </c>
      <c r="T3274" t="s">
        <v>42118</v>
      </c>
      <c r="U3274" t="s">
        <v>45462</v>
      </c>
      <c r="W3274" t="s">
        <v>38318</v>
      </c>
      <c r="X3274" t="s">
        <v>40440</v>
      </c>
    </row>
    <row r="3275" spans="1:24">
      <c r="A3275">
        <f>HYPERLINK("https://www.philgeps.gov.ph/GEPSNONPILOT/Tender/SplashBidNoticeAbstractUI.aspx?menuIndex=3&amp;refID=7045210&amp;Result=3","7045210")</f>
        <v>0</v>
      </c>
      <c r="B3275" t="s">
        <v>215</v>
      </c>
      <c r="C3275" t="s">
        <v>6211</v>
      </c>
      <c r="D3275" t="s">
        <v>16218</v>
      </c>
      <c r="E3275" t="s">
        <v>19239</v>
      </c>
      <c r="F3275" t="s">
        <v>28198</v>
      </c>
      <c r="G3275" t="s">
        <v>28205</v>
      </c>
      <c r="H3275" t="s">
        <v>28215</v>
      </c>
      <c r="I3275" t="s">
        <v>28222</v>
      </c>
      <c r="J3275" t="s">
        <v>28468</v>
      </c>
      <c r="K3275" t="s">
        <v>36688</v>
      </c>
      <c r="M3275" t="s">
        <v>38271</v>
      </c>
      <c r="N3275" t="s">
        <v>40436</v>
      </c>
      <c r="O3275" t="s">
        <v>40437</v>
      </c>
      <c r="P3275">
        <v>0</v>
      </c>
      <c r="Q3275">
        <v>8</v>
      </c>
      <c r="R3275" t="s">
        <v>40439</v>
      </c>
      <c r="S3275" t="s">
        <v>40588</v>
      </c>
      <c r="T3275" t="s">
        <v>42143</v>
      </c>
      <c r="U3275" t="s">
        <v>45463</v>
      </c>
      <c r="W3275" t="s">
        <v>38271</v>
      </c>
      <c r="X3275" t="s">
        <v>40440</v>
      </c>
    </row>
    <row r="3276" spans="1:24">
      <c r="A3276">
        <f>HYPERLINK("https://www.philgeps.gov.ph/GEPSNONPILOT/Tender/SplashBidNoticeAbstractUI.aspx?menuIndex=3&amp;refID=7045192&amp;Result=3","7045192")</f>
        <v>0</v>
      </c>
      <c r="B3276" t="s">
        <v>1269</v>
      </c>
      <c r="C3276" t="s">
        <v>6212</v>
      </c>
      <c r="D3276" t="s">
        <v>16248</v>
      </c>
      <c r="E3276" t="s">
        <v>19240</v>
      </c>
      <c r="F3276" t="s">
        <v>28198</v>
      </c>
      <c r="G3276" t="s">
        <v>28207</v>
      </c>
      <c r="H3276" t="s">
        <v>28215</v>
      </c>
      <c r="I3276" t="s">
        <v>3422</v>
      </c>
      <c r="J3276" t="s">
        <v>30529</v>
      </c>
      <c r="K3276" t="s">
        <v>36691</v>
      </c>
      <c r="M3276" t="s">
        <v>38319</v>
      </c>
      <c r="N3276" t="s">
        <v>40436</v>
      </c>
      <c r="O3276" t="s">
        <v>40437</v>
      </c>
      <c r="P3276">
        <v>0</v>
      </c>
      <c r="Q3276">
        <v>0</v>
      </c>
      <c r="R3276" t="s">
        <v>40439</v>
      </c>
      <c r="S3276" t="s">
        <v>40588</v>
      </c>
      <c r="T3276" t="s">
        <v>42119</v>
      </c>
      <c r="U3276" t="s">
        <v>45464</v>
      </c>
      <c r="W3276" t="s">
        <v>38319</v>
      </c>
      <c r="X3276" t="s">
        <v>40440</v>
      </c>
    </row>
    <row r="3277" spans="1:24">
      <c r="A3277">
        <f>HYPERLINK("https://www.philgeps.gov.ph/GEPSNONPILOT/Tender/SplashBidNoticeAbstractUI.aspx?menuIndex=3&amp;refID=7045206&amp;Result=3","7045206")</f>
        <v>0</v>
      </c>
      <c r="B3277" t="s">
        <v>1247</v>
      </c>
      <c r="C3277" t="s">
        <v>6213</v>
      </c>
      <c r="D3277" t="s">
        <v>16210</v>
      </c>
      <c r="E3277" t="s">
        <v>19241</v>
      </c>
      <c r="F3277" t="s">
        <v>28198</v>
      </c>
      <c r="G3277" t="s">
        <v>28210</v>
      </c>
      <c r="H3277" t="s">
        <v>28215</v>
      </c>
      <c r="I3277" t="s">
        <v>28232</v>
      </c>
      <c r="J3277" t="s">
        <v>30530</v>
      </c>
      <c r="K3277" t="s">
        <v>36707</v>
      </c>
      <c r="M3277" t="s">
        <v>38320</v>
      </c>
      <c r="N3277" t="s">
        <v>40436</v>
      </c>
      <c r="O3277" t="s">
        <v>40437</v>
      </c>
      <c r="P3277">
        <v>0</v>
      </c>
      <c r="Q3277">
        <v>0</v>
      </c>
      <c r="R3277" t="s">
        <v>40439</v>
      </c>
      <c r="S3277" t="s">
        <v>40588</v>
      </c>
      <c r="T3277" t="s">
        <v>42158</v>
      </c>
      <c r="U3277" t="s">
        <v>45415</v>
      </c>
      <c r="W3277" t="s">
        <v>38320</v>
      </c>
      <c r="X3277" t="s">
        <v>40440</v>
      </c>
    </row>
    <row r="3278" spans="1:24">
      <c r="A3278">
        <f>HYPERLINK("https://www.philgeps.gov.ph/GEPSNONPILOT/Tender/SplashBidNoticeAbstractUI.aspx?menuIndex=3&amp;refID=7045205&amp;Result=3","7045205")</f>
        <v>0</v>
      </c>
      <c r="B3278" t="s">
        <v>129</v>
      </c>
      <c r="C3278" t="s">
        <v>6214</v>
      </c>
      <c r="D3278" t="s">
        <v>16210</v>
      </c>
      <c r="E3278" t="s">
        <v>19242</v>
      </c>
      <c r="F3278" t="s">
        <v>28198</v>
      </c>
      <c r="G3278" t="s">
        <v>28206</v>
      </c>
      <c r="H3278" t="s">
        <v>28215</v>
      </c>
      <c r="I3278" t="s">
        <v>28221</v>
      </c>
      <c r="J3278" t="s">
        <v>30531</v>
      </c>
      <c r="K3278" t="s">
        <v>36706</v>
      </c>
      <c r="M3278" t="s">
        <v>37245</v>
      </c>
      <c r="N3278" t="s">
        <v>40436</v>
      </c>
      <c r="O3278" t="s">
        <v>40437</v>
      </c>
      <c r="P3278">
        <v>0</v>
      </c>
      <c r="Q3278">
        <v>2</v>
      </c>
      <c r="R3278" t="s">
        <v>40439</v>
      </c>
      <c r="S3278" t="s">
        <v>40588</v>
      </c>
      <c r="T3278" t="s">
        <v>42357</v>
      </c>
      <c r="U3278" t="s">
        <v>45465</v>
      </c>
      <c r="V3278" t="s">
        <v>53839</v>
      </c>
      <c r="W3278" t="s">
        <v>37245</v>
      </c>
      <c r="X3278" t="s">
        <v>40440</v>
      </c>
    </row>
    <row r="3279" spans="1:24">
      <c r="A3279">
        <f>HYPERLINK("https://www.philgeps.gov.ph/GEPSNONPILOT/Tender/SplashBidNoticeAbstractUI.aspx?menuIndex=3&amp;refID=7045202&amp;Result=3","7045202")</f>
        <v>0</v>
      </c>
      <c r="B3279" t="s">
        <v>401</v>
      </c>
      <c r="C3279" t="s">
        <v>6215</v>
      </c>
      <c r="D3279" t="s">
        <v>16223</v>
      </c>
      <c r="E3279" t="s">
        <v>17018</v>
      </c>
      <c r="F3279" t="s">
        <v>28198</v>
      </c>
      <c r="G3279" t="s">
        <v>28207</v>
      </c>
      <c r="H3279" t="s">
        <v>28215</v>
      </c>
      <c r="I3279" t="s">
        <v>3422</v>
      </c>
      <c r="J3279" t="s">
        <v>28670</v>
      </c>
      <c r="K3279" t="s">
        <v>36691</v>
      </c>
      <c r="M3279" t="s">
        <v>37382</v>
      </c>
      <c r="N3279" t="s">
        <v>40436</v>
      </c>
      <c r="O3279" t="s">
        <v>40437</v>
      </c>
      <c r="P3279">
        <v>0</v>
      </c>
      <c r="Q3279">
        <v>0</v>
      </c>
      <c r="R3279" t="s">
        <v>40439</v>
      </c>
      <c r="S3279" t="s">
        <v>40588</v>
      </c>
      <c r="T3279" t="s">
        <v>42158</v>
      </c>
      <c r="U3279" t="s">
        <v>45466</v>
      </c>
      <c r="W3279" t="s">
        <v>37382</v>
      </c>
      <c r="X3279" t="s">
        <v>40440</v>
      </c>
    </row>
    <row r="3280" spans="1:24">
      <c r="A3280">
        <f>HYPERLINK("https://www.philgeps.gov.ph/GEPSNONPILOT/Tender/SplashBidNoticeAbstractUI.aspx?menuIndex=3&amp;refID=7045190&amp;Result=3","7045190")</f>
        <v>0</v>
      </c>
      <c r="B3280" t="s">
        <v>1219</v>
      </c>
      <c r="C3280" t="s">
        <v>6216</v>
      </c>
      <c r="D3280" t="s">
        <v>16235</v>
      </c>
      <c r="E3280" t="s">
        <v>19243</v>
      </c>
      <c r="F3280" t="s">
        <v>28198</v>
      </c>
      <c r="G3280" t="s">
        <v>28207</v>
      </c>
      <c r="H3280" t="s">
        <v>28215</v>
      </c>
      <c r="I3280" t="s">
        <v>28234</v>
      </c>
      <c r="J3280" t="s">
        <v>28829</v>
      </c>
      <c r="K3280" t="s">
        <v>36707</v>
      </c>
      <c r="M3280" t="s">
        <v>38264</v>
      </c>
      <c r="N3280" t="s">
        <v>40436</v>
      </c>
      <c r="O3280" t="s">
        <v>40437</v>
      </c>
      <c r="P3280">
        <v>0</v>
      </c>
      <c r="Q3280">
        <v>3</v>
      </c>
      <c r="R3280" t="s">
        <v>40439</v>
      </c>
      <c r="S3280" t="s">
        <v>40588</v>
      </c>
      <c r="T3280" t="s">
        <v>42348</v>
      </c>
      <c r="U3280" t="s">
        <v>45338</v>
      </c>
      <c r="W3280" t="s">
        <v>38264</v>
      </c>
      <c r="X3280" t="s">
        <v>40440</v>
      </c>
    </row>
    <row r="3281" spans="1:24">
      <c r="A3281">
        <f>HYPERLINK("https://www.philgeps.gov.ph/GEPSNONPILOT/Tender/SplashBidNoticeAbstractUI.aspx?menuIndex=3&amp;refID=7045201&amp;Result=3","7045201")</f>
        <v>0</v>
      </c>
      <c r="B3281" t="s">
        <v>1266</v>
      </c>
      <c r="C3281" t="s">
        <v>6217</v>
      </c>
      <c r="D3281" t="s">
        <v>16208</v>
      </c>
      <c r="E3281" t="s">
        <v>19244</v>
      </c>
      <c r="F3281" t="s">
        <v>28198</v>
      </c>
      <c r="G3281" t="s">
        <v>28205</v>
      </c>
      <c r="H3281" t="s">
        <v>28214</v>
      </c>
      <c r="I3281" t="s">
        <v>3797</v>
      </c>
      <c r="J3281" t="s">
        <v>30526</v>
      </c>
      <c r="K3281" t="s">
        <v>36690</v>
      </c>
      <c r="M3281" t="s">
        <v>38316</v>
      </c>
      <c r="N3281" t="s">
        <v>40436</v>
      </c>
      <c r="O3281" t="s">
        <v>40437</v>
      </c>
      <c r="P3281">
        <v>0</v>
      </c>
      <c r="Q3281">
        <v>0</v>
      </c>
      <c r="R3281" t="s">
        <v>40439</v>
      </c>
      <c r="S3281" t="s">
        <v>40588</v>
      </c>
      <c r="T3281" t="s">
        <v>42108</v>
      </c>
      <c r="U3281" t="s">
        <v>45467</v>
      </c>
      <c r="W3281" t="s">
        <v>38316</v>
      </c>
      <c r="X3281" t="s">
        <v>40440</v>
      </c>
    </row>
    <row r="3282" spans="1:24">
      <c r="A3282">
        <f>HYPERLINK("https://www.philgeps.gov.ph/GEPSNONPILOT/Tender/SplashBidNoticeAbstractUI.aspx?menuIndex=3&amp;refID=7045213&amp;Result=3","7045213")</f>
        <v>0</v>
      </c>
      <c r="B3282" t="s">
        <v>1219</v>
      </c>
      <c r="C3282" t="s">
        <v>6218</v>
      </c>
      <c r="D3282" t="s">
        <v>16235</v>
      </c>
      <c r="E3282" t="s">
        <v>19245</v>
      </c>
      <c r="F3282" t="s">
        <v>28198</v>
      </c>
      <c r="G3282" t="s">
        <v>28207</v>
      </c>
      <c r="H3282" t="s">
        <v>28215</v>
      </c>
      <c r="I3282" t="s">
        <v>28234</v>
      </c>
      <c r="J3282" t="s">
        <v>30532</v>
      </c>
      <c r="K3282" t="s">
        <v>36707</v>
      </c>
      <c r="M3282" t="s">
        <v>38264</v>
      </c>
      <c r="N3282" t="s">
        <v>40436</v>
      </c>
      <c r="O3282" t="s">
        <v>40437</v>
      </c>
      <c r="P3282">
        <v>0</v>
      </c>
      <c r="Q3282">
        <v>2</v>
      </c>
      <c r="R3282" t="s">
        <v>40439</v>
      </c>
      <c r="S3282" t="s">
        <v>40588</v>
      </c>
      <c r="T3282" t="s">
        <v>42348</v>
      </c>
      <c r="U3282" t="s">
        <v>45338</v>
      </c>
      <c r="W3282" t="s">
        <v>38264</v>
      </c>
      <c r="X3282" t="s">
        <v>40440</v>
      </c>
    </row>
    <row r="3283" spans="1:24">
      <c r="A3283">
        <f>HYPERLINK("https://www.philgeps.gov.ph/GEPSNONPILOT/Tender/SplashBidNoticeAbstractUI.aspx?menuIndex=3&amp;refID=7045224&amp;Result=3","7045224")</f>
        <v>0</v>
      </c>
      <c r="B3283" t="s">
        <v>431</v>
      </c>
      <c r="C3283" t="s">
        <v>6219</v>
      </c>
      <c r="D3283" t="s">
        <v>16213</v>
      </c>
      <c r="E3283" t="s">
        <v>19246</v>
      </c>
      <c r="F3283" t="s">
        <v>28198</v>
      </c>
      <c r="G3283" t="s">
        <v>28206</v>
      </c>
      <c r="H3283" t="s">
        <v>28215</v>
      </c>
      <c r="I3283" t="s">
        <v>4219</v>
      </c>
      <c r="J3283" t="s">
        <v>30533</v>
      </c>
      <c r="K3283" t="s">
        <v>36689</v>
      </c>
      <c r="L3283" t="s">
        <v>431</v>
      </c>
      <c r="M3283" t="s">
        <v>37414</v>
      </c>
      <c r="N3283" t="s">
        <v>40436</v>
      </c>
      <c r="O3283" t="s">
        <v>40437</v>
      </c>
      <c r="P3283">
        <v>0</v>
      </c>
      <c r="Q3283">
        <v>3</v>
      </c>
      <c r="R3283" t="s">
        <v>40439</v>
      </c>
      <c r="S3283" t="s">
        <v>40588</v>
      </c>
      <c r="T3283" t="s">
        <v>42119</v>
      </c>
      <c r="U3283" t="s">
        <v>45468</v>
      </c>
      <c r="W3283" t="s">
        <v>37414</v>
      </c>
      <c r="X3283" t="s">
        <v>40440</v>
      </c>
    </row>
    <row r="3284" spans="1:24">
      <c r="A3284">
        <f>HYPERLINK("https://www.philgeps.gov.ph/GEPSNONPILOT/Tender/SplashBidNoticeAbstractUI.aspx?menuIndex=3&amp;refID=7045223&amp;Result=3","7045223")</f>
        <v>0</v>
      </c>
      <c r="B3284" t="s">
        <v>1259</v>
      </c>
      <c r="C3284" t="s">
        <v>6220</v>
      </c>
      <c r="D3284" t="s">
        <v>16219</v>
      </c>
      <c r="E3284" t="s">
        <v>19247</v>
      </c>
      <c r="F3284" t="s">
        <v>28198</v>
      </c>
      <c r="G3284" t="s">
        <v>28205</v>
      </c>
      <c r="H3284" t="s">
        <v>28215</v>
      </c>
      <c r="I3284" t="s">
        <v>28234</v>
      </c>
      <c r="J3284" t="s">
        <v>29705</v>
      </c>
      <c r="K3284" t="s">
        <v>36689</v>
      </c>
      <c r="M3284" t="s">
        <v>38309</v>
      </c>
      <c r="N3284" t="s">
        <v>40436</v>
      </c>
      <c r="O3284" t="s">
        <v>40437</v>
      </c>
      <c r="P3284">
        <v>0</v>
      </c>
      <c r="Q3284">
        <v>0</v>
      </c>
      <c r="R3284" t="s">
        <v>40439</v>
      </c>
      <c r="S3284" t="s">
        <v>40588</v>
      </c>
      <c r="T3284" t="s">
        <v>42320</v>
      </c>
      <c r="U3284" t="s">
        <v>45469</v>
      </c>
      <c r="W3284" t="s">
        <v>38309</v>
      </c>
      <c r="X3284" t="s">
        <v>40440</v>
      </c>
    </row>
    <row r="3285" spans="1:24">
      <c r="A3285">
        <f>HYPERLINK("https://www.philgeps.gov.ph/GEPSNONPILOT/Tender/SplashBidNoticeAbstractUI.aspx?menuIndex=3&amp;refID=7045220&amp;Result=3","7045220")</f>
        <v>0</v>
      </c>
      <c r="B3285" t="s">
        <v>1270</v>
      </c>
      <c r="C3285" t="s">
        <v>6221</v>
      </c>
      <c r="D3285" t="s">
        <v>16191</v>
      </c>
      <c r="E3285" t="s">
        <v>19248</v>
      </c>
      <c r="F3285" t="s">
        <v>28198</v>
      </c>
      <c r="G3285" t="s">
        <v>28205</v>
      </c>
      <c r="H3285" t="s">
        <v>28214</v>
      </c>
      <c r="I3285" t="s">
        <v>3797</v>
      </c>
      <c r="J3285" t="s">
        <v>30534</v>
      </c>
      <c r="K3285" t="s">
        <v>36701</v>
      </c>
      <c r="M3285" t="s">
        <v>38321</v>
      </c>
      <c r="N3285" t="s">
        <v>40436</v>
      </c>
      <c r="O3285" t="s">
        <v>40437</v>
      </c>
      <c r="P3285">
        <v>0</v>
      </c>
      <c r="Q3285">
        <v>0</v>
      </c>
      <c r="R3285" t="s">
        <v>40439</v>
      </c>
      <c r="S3285" t="s">
        <v>40588</v>
      </c>
      <c r="T3285" t="s">
        <v>42098</v>
      </c>
      <c r="U3285" t="s">
        <v>45470</v>
      </c>
      <c r="W3285" t="s">
        <v>55478</v>
      </c>
      <c r="X3285" t="s">
        <v>40440</v>
      </c>
    </row>
    <row r="3286" spans="1:24">
      <c r="A3286">
        <f>HYPERLINK("https://www.philgeps.gov.ph/GEPSNONPILOT/Tender/SplashBidNoticeAbstractUI.aspx?menuIndex=3&amp;refID=7045217&amp;Result=3","7045217")</f>
        <v>0</v>
      </c>
      <c r="B3286" t="s">
        <v>1259</v>
      </c>
      <c r="C3286" t="s">
        <v>6222</v>
      </c>
      <c r="D3286" t="s">
        <v>16219</v>
      </c>
      <c r="E3286" t="s">
        <v>19249</v>
      </c>
      <c r="F3286" t="s">
        <v>28198</v>
      </c>
      <c r="G3286" t="s">
        <v>28205</v>
      </c>
      <c r="H3286" t="s">
        <v>28215</v>
      </c>
      <c r="I3286" t="s">
        <v>8888</v>
      </c>
      <c r="J3286" t="s">
        <v>30535</v>
      </c>
      <c r="K3286" t="s">
        <v>36689</v>
      </c>
      <c r="M3286" t="s">
        <v>38309</v>
      </c>
      <c r="N3286" t="s">
        <v>40436</v>
      </c>
      <c r="O3286" t="s">
        <v>40437</v>
      </c>
      <c r="P3286">
        <v>0</v>
      </c>
      <c r="Q3286">
        <v>2</v>
      </c>
      <c r="R3286" t="s">
        <v>40439</v>
      </c>
      <c r="S3286" t="s">
        <v>40588</v>
      </c>
      <c r="T3286" t="s">
        <v>42320</v>
      </c>
      <c r="U3286" t="s">
        <v>45471</v>
      </c>
      <c r="W3286" t="s">
        <v>38309</v>
      </c>
      <c r="X3286" t="s">
        <v>40440</v>
      </c>
    </row>
    <row r="3287" spans="1:24">
      <c r="A3287">
        <f>HYPERLINK("https://www.philgeps.gov.ph/GEPSNONPILOT/Tender/SplashBidNoticeAbstractUI.aspx?menuIndex=3&amp;refID=7045221&amp;Result=3","7045221")</f>
        <v>0</v>
      </c>
      <c r="B3287" t="s">
        <v>1254</v>
      </c>
      <c r="C3287" t="s">
        <v>6223</v>
      </c>
      <c r="D3287" t="s">
        <v>16201</v>
      </c>
      <c r="E3287" t="s">
        <v>19250</v>
      </c>
      <c r="F3287" t="s">
        <v>28198</v>
      </c>
      <c r="G3287" t="s">
        <v>28205</v>
      </c>
      <c r="H3287" t="s">
        <v>28214</v>
      </c>
      <c r="I3287" t="s">
        <v>3797</v>
      </c>
      <c r="J3287" t="s">
        <v>28699</v>
      </c>
      <c r="K3287" t="s">
        <v>36690</v>
      </c>
      <c r="M3287" t="s">
        <v>38304</v>
      </c>
      <c r="N3287" t="s">
        <v>40436</v>
      </c>
      <c r="O3287" t="s">
        <v>40437</v>
      </c>
      <c r="P3287">
        <v>0</v>
      </c>
      <c r="Q3287">
        <v>0</v>
      </c>
      <c r="R3287" t="s">
        <v>40439</v>
      </c>
      <c r="S3287" t="s">
        <v>40588</v>
      </c>
      <c r="T3287" t="s">
        <v>42107</v>
      </c>
      <c r="U3287" t="s">
        <v>45472</v>
      </c>
      <c r="W3287" t="s">
        <v>38304</v>
      </c>
      <c r="X3287" t="s">
        <v>40440</v>
      </c>
    </row>
    <row r="3288" spans="1:24">
      <c r="A3288">
        <f>HYPERLINK("https://www.philgeps.gov.ph/GEPSNONPILOT/Tender/SplashBidNoticeAbstractUI.aspx?menuIndex=3&amp;refID=7045216&amp;Result=3","7045216")</f>
        <v>0</v>
      </c>
      <c r="B3288" t="s">
        <v>896</v>
      </c>
      <c r="C3288" t="s">
        <v>6224</v>
      </c>
      <c r="D3288" t="s">
        <v>16221</v>
      </c>
      <c r="E3288" t="s">
        <v>19251</v>
      </c>
      <c r="F3288" t="s">
        <v>28198</v>
      </c>
      <c r="G3288" t="s">
        <v>28207</v>
      </c>
      <c r="H3288" t="s">
        <v>28215</v>
      </c>
      <c r="I3288" t="s">
        <v>28251</v>
      </c>
      <c r="J3288" t="s">
        <v>30536</v>
      </c>
      <c r="K3288" t="s">
        <v>36689</v>
      </c>
      <c r="M3288" t="s">
        <v>38322</v>
      </c>
      <c r="N3288" t="s">
        <v>40436</v>
      </c>
      <c r="O3288" t="s">
        <v>40437</v>
      </c>
      <c r="P3288">
        <v>0</v>
      </c>
      <c r="Q3288">
        <v>2</v>
      </c>
      <c r="R3288" t="s">
        <v>40439</v>
      </c>
      <c r="S3288" t="s">
        <v>40588</v>
      </c>
      <c r="T3288" t="s">
        <v>42190</v>
      </c>
      <c r="U3288" t="s">
        <v>44366</v>
      </c>
      <c r="W3288" t="s">
        <v>38322</v>
      </c>
      <c r="X3288" t="s">
        <v>40440</v>
      </c>
    </row>
    <row r="3289" spans="1:24">
      <c r="A3289">
        <f>HYPERLINK("https://www.philgeps.gov.ph/GEPSNONPILOT/Tender/SplashBidNoticeAbstractUI.aspx?menuIndex=3&amp;refID=7045219&amp;Result=3","7045219")</f>
        <v>0</v>
      </c>
      <c r="B3289" t="s">
        <v>1271</v>
      </c>
      <c r="C3289" t="s">
        <v>3536</v>
      </c>
      <c r="D3289" t="s">
        <v>16211</v>
      </c>
      <c r="E3289" t="s">
        <v>19252</v>
      </c>
      <c r="F3289" t="s">
        <v>28198</v>
      </c>
      <c r="G3289" t="s">
        <v>28207</v>
      </c>
      <c r="H3289" t="s">
        <v>28215</v>
      </c>
      <c r="I3289" t="s">
        <v>4168</v>
      </c>
      <c r="J3289" t="s">
        <v>29620</v>
      </c>
      <c r="K3289" t="s">
        <v>36688</v>
      </c>
      <c r="M3289" t="s">
        <v>38323</v>
      </c>
      <c r="N3289" t="s">
        <v>40436</v>
      </c>
      <c r="O3289" t="s">
        <v>40437</v>
      </c>
      <c r="P3289">
        <v>0</v>
      </c>
      <c r="Q3289">
        <v>1</v>
      </c>
      <c r="R3289" t="s">
        <v>40439</v>
      </c>
      <c r="S3289" t="s">
        <v>40588</v>
      </c>
      <c r="T3289" t="s">
        <v>42142</v>
      </c>
      <c r="U3289" t="s">
        <v>45473</v>
      </c>
      <c r="W3289" t="s">
        <v>38323</v>
      </c>
      <c r="X3289" t="s">
        <v>40440</v>
      </c>
    </row>
    <row r="3290" spans="1:24">
      <c r="A3290">
        <f>HYPERLINK("https://www.philgeps.gov.ph/GEPSNONPILOT/Tender/SplashBidNoticeAbstractUI.aspx?menuIndex=3&amp;refID=7045215&amp;Result=3","7045215")</f>
        <v>0</v>
      </c>
      <c r="B3290" t="s">
        <v>1256</v>
      </c>
      <c r="C3290" t="s">
        <v>6225</v>
      </c>
      <c r="E3290" t="s">
        <v>19253</v>
      </c>
      <c r="F3290" t="s">
        <v>28198</v>
      </c>
      <c r="G3290" t="s">
        <v>28207</v>
      </c>
      <c r="H3290" t="s">
        <v>28215</v>
      </c>
      <c r="I3290" t="s">
        <v>5100</v>
      </c>
      <c r="J3290" t="s">
        <v>30537</v>
      </c>
      <c r="K3290" t="s">
        <v>36707</v>
      </c>
      <c r="M3290" t="s">
        <v>38306</v>
      </c>
      <c r="N3290" t="s">
        <v>40436</v>
      </c>
      <c r="O3290" t="s">
        <v>40437</v>
      </c>
      <c r="P3290">
        <v>0</v>
      </c>
      <c r="Q3290">
        <v>0</v>
      </c>
      <c r="R3290" t="s">
        <v>40439</v>
      </c>
      <c r="S3290" t="s">
        <v>40588</v>
      </c>
      <c r="T3290" t="s">
        <v>42131</v>
      </c>
      <c r="U3290" t="s">
        <v>45456</v>
      </c>
      <c r="W3290" t="s">
        <v>38306</v>
      </c>
      <c r="X3290" t="s">
        <v>40440</v>
      </c>
    </row>
    <row r="3291" spans="1:24">
      <c r="A3291">
        <f>HYPERLINK("https://www.philgeps.gov.ph/GEPSNONPILOT/Tender/SplashBidNoticeAbstractUI.aspx?menuIndex=3&amp;refID=7045226&amp;Result=3","7045226")</f>
        <v>0</v>
      </c>
      <c r="B3291" t="s">
        <v>1272</v>
      </c>
      <c r="C3291" t="s">
        <v>6226</v>
      </c>
      <c r="D3291" t="s">
        <v>16202</v>
      </c>
      <c r="E3291" t="s">
        <v>19254</v>
      </c>
      <c r="F3291" t="s">
        <v>28198</v>
      </c>
      <c r="G3291" t="s">
        <v>28207</v>
      </c>
      <c r="H3291" t="s">
        <v>28215</v>
      </c>
      <c r="I3291" t="s">
        <v>4168</v>
      </c>
      <c r="J3291" t="s">
        <v>28415</v>
      </c>
      <c r="K3291" t="s">
        <v>36707</v>
      </c>
      <c r="M3291" t="s">
        <v>38324</v>
      </c>
      <c r="N3291" t="s">
        <v>40436</v>
      </c>
      <c r="O3291" t="s">
        <v>40437</v>
      </c>
      <c r="P3291">
        <v>0</v>
      </c>
      <c r="Q3291">
        <v>2</v>
      </c>
      <c r="R3291" t="s">
        <v>40439</v>
      </c>
      <c r="S3291" t="s">
        <v>40588</v>
      </c>
      <c r="T3291" t="s">
        <v>42158</v>
      </c>
      <c r="U3291" t="s">
        <v>45474</v>
      </c>
      <c r="W3291" t="s">
        <v>38324</v>
      </c>
      <c r="X3291" t="s">
        <v>40440</v>
      </c>
    </row>
    <row r="3292" spans="1:24">
      <c r="A3292">
        <f>HYPERLINK("https://www.philgeps.gov.ph/GEPSNONPILOT/Tender/SplashBidNoticeAbstractUI.aspx?menuIndex=3&amp;refID=7045233&amp;Result=3","7045233")</f>
        <v>0</v>
      </c>
      <c r="B3292" t="s">
        <v>1222</v>
      </c>
      <c r="C3292" t="s">
        <v>6227</v>
      </c>
      <c r="D3292" t="s">
        <v>16236</v>
      </c>
      <c r="E3292" t="s">
        <v>19255</v>
      </c>
      <c r="F3292" t="s">
        <v>28198</v>
      </c>
      <c r="G3292" t="s">
        <v>28205</v>
      </c>
      <c r="H3292" t="s">
        <v>28214</v>
      </c>
      <c r="I3292" t="s">
        <v>3797</v>
      </c>
      <c r="J3292" t="s">
        <v>28398</v>
      </c>
      <c r="K3292" t="s">
        <v>36709</v>
      </c>
      <c r="M3292" t="s">
        <v>38268</v>
      </c>
      <c r="N3292" t="s">
        <v>40436</v>
      </c>
      <c r="O3292" t="s">
        <v>40437</v>
      </c>
      <c r="P3292">
        <v>0</v>
      </c>
      <c r="Q3292">
        <v>0</v>
      </c>
      <c r="R3292" t="s">
        <v>40439</v>
      </c>
      <c r="S3292" t="s">
        <v>40588</v>
      </c>
      <c r="T3292" t="s">
        <v>42106</v>
      </c>
      <c r="U3292" t="s">
        <v>45475</v>
      </c>
      <c r="W3292" t="s">
        <v>38268</v>
      </c>
      <c r="X3292" t="s">
        <v>40440</v>
      </c>
    </row>
    <row r="3293" spans="1:24">
      <c r="A3293">
        <f>HYPERLINK("https://www.philgeps.gov.ph/GEPSNONPILOT/Tender/SplashBidNoticeAbstractUI.aspx?menuIndex=3&amp;refID=7045214&amp;Result=3","7045214")</f>
        <v>0</v>
      </c>
      <c r="B3293" t="s">
        <v>522</v>
      </c>
      <c r="C3293" t="s">
        <v>6228</v>
      </c>
      <c r="D3293" t="s">
        <v>16239</v>
      </c>
      <c r="E3293" t="s">
        <v>19256</v>
      </c>
      <c r="F3293" t="s">
        <v>28198</v>
      </c>
      <c r="G3293" t="s">
        <v>28207</v>
      </c>
      <c r="H3293" t="s">
        <v>28215</v>
      </c>
      <c r="I3293" t="s">
        <v>28226</v>
      </c>
      <c r="J3293" t="s">
        <v>29374</v>
      </c>
      <c r="K3293" t="s">
        <v>36701</v>
      </c>
      <c r="M3293" t="s">
        <v>37507</v>
      </c>
      <c r="N3293" t="s">
        <v>40436</v>
      </c>
      <c r="O3293" t="s">
        <v>40437</v>
      </c>
      <c r="P3293">
        <v>0</v>
      </c>
      <c r="Q3293">
        <v>7</v>
      </c>
      <c r="R3293" t="s">
        <v>40439</v>
      </c>
      <c r="S3293" t="s">
        <v>40588</v>
      </c>
      <c r="T3293" t="s">
        <v>42161</v>
      </c>
      <c r="U3293" t="s">
        <v>45476</v>
      </c>
      <c r="W3293" t="s">
        <v>37507</v>
      </c>
      <c r="X3293" t="s">
        <v>40440</v>
      </c>
    </row>
    <row r="3294" spans="1:24">
      <c r="A3294">
        <f>HYPERLINK("https://www.philgeps.gov.ph/GEPSNONPILOT/Tender/SplashBidNoticeAbstractUI.aspx?menuIndex=3&amp;refID=7045225&amp;Result=3","7045225")</f>
        <v>0</v>
      </c>
      <c r="B3294" t="s">
        <v>1219</v>
      </c>
      <c r="C3294" t="s">
        <v>6229</v>
      </c>
      <c r="D3294" t="s">
        <v>16235</v>
      </c>
      <c r="E3294" t="s">
        <v>19257</v>
      </c>
      <c r="F3294" t="s">
        <v>28198</v>
      </c>
      <c r="G3294" t="s">
        <v>28207</v>
      </c>
      <c r="H3294" t="s">
        <v>28215</v>
      </c>
      <c r="I3294" t="s">
        <v>28234</v>
      </c>
      <c r="J3294" t="s">
        <v>28679</v>
      </c>
      <c r="K3294" t="s">
        <v>36707</v>
      </c>
      <c r="M3294" t="s">
        <v>38264</v>
      </c>
      <c r="N3294" t="s">
        <v>40436</v>
      </c>
      <c r="O3294" t="s">
        <v>40437</v>
      </c>
      <c r="P3294">
        <v>0</v>
      </c>
      <c r="Q3294">
        <v>4</v>
      </c>
      <c r="R3294" t="s">
        <v>40439</v>
      </c>
      <c r="S3294" t="s">
        <v>40588</v>
      </c>
      <c r="T3294" t="s">
        <v>42348</v>
      </c>
      <c r="U3294" t="s">
        <v>45338</v>
      </c>
      <c r="W3294" t="s">
        <v>38264</v>
      </c>
      <c r="X3294" t="s">
        <v>40440</v>
      </c>
    </row>
    <row r="3295" spans="1:24">
      <c r="A3295">
        <f>HYPERLINK("https://www.philgeps.gov.ph/GEPSNONPILOT/Tender/SplashBidNoticeAbstractUI.aspx?menuIndex=3&amp;refID=7045231&amp;Result=3","7045231")</f>
        <v>0</v>
      </c>
      <c r="B3295" t="s">
        <v>1023</v>
      </c>
      <c r="C3295" t="s">
        <v>6230</v>
      </c>
      <c r="D3295" t="s">
        <v>16265</v>
      </c>
      <c r="E3295" t="s">
        <v>19258</v>
      </c>
      <c r="F3295" t="s">
        <v>28198</v>
      </c>
      <c r="G3295" t="s">
        <v>28205</v>
      </c>
      <c r="H3295" t="s">
        <v>28215</v>
      </c>
      <c r="I3295" t="s">
        <v>28236</v>
      </c>
      <c r="J3295" t="s">
        <v>30538</v>
      </c>
      <c r="K3295" t="s">
        <v>36701</v>
      </c>
      <c r="M3295" t="s">
        <v>38054</v>
      </c>
      <c r="N3295" t="s">
        <v>40436</v>
      </c>
      <c r="O3295" t="s">
        <v>40437</v>
      </c>
      <c r="P3295">
        <v>0</v>
      </c>
      <c r="Q3295">
        <v>0</v>
      </c>
      <c r="R3295" t="s">
        <v>40439</v>
      </c>
      <c r="S3295" t="s">
        <v>40588</v>
      </c>
      <c r="T3295" t="s">
        <v>42108</v>
      </c>
      <c r="U3295" t="s">
        <v>45477</v>
      </c>
      <c r="W3295" t="s">
        <v>38054</v>
      </c>
      <c r="X3295" t="s">
        <v>40440</v>
      </c>
    </row>
    <row r="3296" spans="1:24">
      <c r="A3296">
        <f>HYPERLINK("https://www.philgeps.gov.ph/GEPSNONPILOT/Tender/SplashBidNoticeAbstractUI.aspx?menuIndex=3&amp;refID=7045229&amp;Result=3","7045229")</f>
        <v>0</v>
      </c>
      <c r="B3296" t="s">
        <v>1273</v>
      </c>
      <c r="C3296" t="s">
        <v>6231</v>
      </c>
      <c r="D3296" t="s">
        <v>16190</v>
      </c>
      <c r="E3296" t="s">
        <v>19259</v>
      </c>
      <c r="F3296" t="s">
        <v>28198</v>
      </c>
      <c r="G3296" t="s">
        <v>28210</v>
      </c>
      <c r="H3296" t="s">
        <v>28215</v>
      </c>
      <c r="I3296" t="s">
        <v>4168</v>
      </c>
      <c r="J3296" t="s">
        <v>30445</v>
      </c>
      <c r="K3296" t="s">
        <v>36691</v>
      </c>
      <c r="M3296" t="s">
        <v>38325</v>
      </c>
      <c r="N3296" t="s">
        <v>40436</v>
      </c>
      <c r="O3296" t="s">
        <v>40437</v>
      </c>
      <c r="P3296">
        <v>0</v>
      </c>
      <c r="Q3296">
        <v>1</v>
      </c>
      <c r="R3296" t="s">
        <v>40439</v>
      </c>
      <c r="S3296" t="s">
        <v>40588</v>
      </c>
      <c r="T3296" t="s">
        <v>42190</v>
      </c>
      <c r="U3296" t="s">
        <v>45478</v>
      </c>
      <c r="W3296" t="s">
        <v>38325</v>
      </c>
      <c r="X3296" t="s">
        <v>40440</v>
      </c>
    </row>
    <row r="3297" spans="1:24">
      <c r="A3297">
        <f>HYPERLINK("https://www.philgeps.gov.ph/GEPSNONPILOT/Tender/SplashBidNoticeAbstractUI.aspx?menuIndex=3&amp;refID=7045228&amp;Result=3","7045228")</f>
        <v>0</v>
      </c>
      <c r="B3297" t="s">
        <v>1217</v>
      </c>
      <c r="C3297" t="s">
        <v>6232</v>
      </c>
      <c r="D3297" t="s">
        <v>16260</v>
      </c>
      <c r="E3297" t="s">
        <v>6232</v>
      </c>
      <c r="F3297" t="s">
        <v>28198</v>
      </c>
      <c r="G3297" t="s">
        <v>28207</v>
      </c>
      <c r="H3297" t="s">
        <v>28215</v>
      </c>
      <c r="I3297" t="s">
        <v>5071</v>
      </c>
      <c r="J3297" t="s">
        <v>30539</v>
      </c>
      <c r="K3297" t="s">
        <v>36689</v>
      </c>
      <c r="M3297" t="s">
        <v>38262</v>
      </c>
      <c r="N3297" t="s">
        <v>40436</v>
      </c>
      <c r="O3297" t="s">
        <v>40437</v>
      </c>
      <c r="P3297">
        <v>0</v>
      </c>
      <c r="Q3297">
        <v>1</v>
      </c>
      <c r="R3297" t="s">
        <v>40439</v>
      </c>
      <c r="S3297" t="s">
        <v>40588</v>
      </c>
      <c r="T3297" t="s">
        <v>42169</v>
      </c>
      <c r="U3297" t="s">
        <v>45479</v>
      </c>
      <c r="W3297" t="s">
        <v>38262</v>
      </c>
      <c r="X3297" t="s">
        <v>40440</v>
      </c>
    </row>
    <row r="3298" spans="1:24">
      <c r="A3298">
        <f>HYPERLINK("https://www.philgeps.gov.ph/GEPSNONPILOT/Tender/SplashBidNoticeAbstractUI.aspx?menuIndex=3&amp;refID=7045236&amp;Result=3","7045236")</f>
        <v>0</v>
      </c>
      <c r="B3298" t="s">
        <v>1274</v>
      </c>
      <c r="C3298" t="s">
        <v>6233</v>
      </c>
      <c r="D3298" t="s">
        <v>16235</v>
      </c>
      <c r="E3298" t="s">
        <v>19260</v>
      </c>
      <c r="F3298" t="s">
        <v>28198</v>
      </c>
      <c r="G3298" t="s">
        <v>28209</v>
      </c>
      <c r="H3298" t="s">
        <v>28214</v>
      </c>
      <c r="I3298" t="s">
        <v>3797</v>
      </c>
      <c r="J3298" t="s">
        <v>30540</v>
      </c>
      <c r="K3298" t="s">
        <v>36694</v>
      </c>
      <c r="M3298" t="s">
        <v>38326</v>
      </c>
      <c r="N3298" t="s">
        <v>40436</v>
      </c>
      <c r="O3298" t="s">
        <v>40437</v>
      </c>
      <c r="P3298">
        <v>0</v>
      </c>
      <c r="Q3298">
        <v>0</v>
      </c>
      <c r="R3298" t="s">
        <v>40439</v>
      </c>
      <c r="S3298" t="s">
        <v>40588</v>
      </c>
      <c r="T3298" t="s">
        <v>42134</v>
      </c>
      <c r="U3298" t="s">
        <v>45480</v>
      </c>
      <c r="W3298" t="s">
        <v>38326</v>
      </c>
      <c r="X3298" t="s">
        <v>40440</v>
      </c>
    </row>
    <row r="3299" spans="1:24">
      <c r="A3299">
        <f>HYPERLINK("https://www.philgeps.gov.ph/GEPSNONPILOT/Tender/SplashBidNoticeAbstractUI.aspx?menuIndex=3&amp;refID=7045234&amp;Result=3","7045234")</f>
        <v>0</v>
      </c>
      <c r="B3299" t="s">
        <v>760</v>
      </c>
      <c r="C3299" t="s">
        <v>6234</v>
      </c>
      <c r="D3299" t="s">
        <v>16236</v>
      </c>
      <c r="E3299" t="s">
        <v>19261</v>
      </c>
      <c r="F3299" t="s">
        <v>28198</v>
      </c>
      <c r="G3299" t="s">
        <v>28207</v>
      </c>
      <c r="H3299" t="s">
        <v>28215</v>
      </c>
      <c r="I3299" t="s">
        <v>28266</v>
      </c>
      <c r="J3299" t="s">
        <v>29486</v>
      </c>
      <c r="K3299" t="s">
        <v>36706</v>
      </c>
      <c r="M3299" t="s">
        <v>37763</v>
      </c>
      <c r="N3299" t="s">
        <v>40436</v>
      </c>
      <c r="O3299" t="s">
        <v>40437</v>
      </c>
      <c r="P3299">
        <v>0</v>
      </c>
      <c r="Q3299">
        <v>2</v>
      </c>
      <c r="R3299" t="s">
        <v>40439</v>
      </c>
      <c r="S3299" t="s">
        <v>40588</v>
      </c>
      <c r="T3299" t="s">
        <v>42158</v>
      </c>
      <c r="U3299" t="s">
        <v>43119</v>
      </c>
      <c r="V3299" t="s">
        <v>53966</v>
      </c>
      <c r="W3299" t="s">
        <v>37763</v>
      </c>
      <c r="X3299" t="s">
        <v>40440</v>
      </c>
    </row>
    <row r="3300" spans="1:24">
      <c r="A3300">
        <f>HYPERLINK("https://www.philgeps.gov.ph/GEPSNONPILOT/Tender/SplashBidNoticeAbstractUI.aspx?menuIndex=3&amp;refID=7045238&amp;Result=3","7045238")</f>
        <v>0</v>
      </c>
      <c r="B3300" t="s">
        <v>1275</v>
      </c>
      <c r="C3300" t="s">
        <v>6235</v>
      </c>
      <c r="D3300" t="s">
        <v>16248</v>
      </c>
      <c r="E3300" t="s">
        <v>19262</v>
      </c>
      <c r="F3300" t="s">
        <v>28198</v>
      </c>
      <c r="G3300" t="s">
        <v>28205</v>
      </c>
      <c r="H3300" t="s">
        <v>28214</v>
      </c>
      <c r="I3300" t="s">
        <v>3797</v>
      </c>
      <c r="J3300" t="s">
        <v>30541</v>
      </c>
      <c r="K3300" t="s">
        <v>36708</v>
      </c>
      <c r="M3300" t="s">
        <v>38327</v>
      </c>
      <c r="N3300" t="s">
        <v>40436</v>
      </c>
      <c r="O3300" t="s">
        <v>40437</v>
      </c>
      <c r="P3300">
        <v>0</v>
      </c>
      <c r="Q3300">
        <v>0</v>
      </c>
      <c r="R3300" t="s">
        <v>40439</v>
      </c>
      <c r="S3300" t="s">
        <v>40588</v>
      </c>
      <c r="T3300" t="s">
        <v>42139</v>
      </c>
      <c r="U3300" t="s">
        <v>45481</v>
      </c>
      <c r="V3300" t="s">
        <v>54122</v>
      </c>
      <c r="W3300" t="s">
        <v>38327</v>
      </c>
      <c r="X3300" t="s">
        <v>40440</v>
      </c>
    </row>
    <row r="3301" spans="1:24">
      <c r="A3301">
        <f>HYPERLINK("https://www.philgeps.gov.ph/GEPSNONPILOT/Tender/SplashBidNoticeAbstractUI.aspx?menuIndex=3&amp;refID=7045230&amp;Result=3","7045230")</f>
        <v>0</v>
      </c>
      <c r="B3301" t="s">
        <v>1191</v>
      </c>
      <c r="C3301" t="s">
        <v>6236</v>
      </c>
      <c r="D3301" t="s">
        <v>16207</v>
      </c>
      <c r="E3301" t="s">
        <v>19263</v>
      </c>
      <c r="F3301" t="s">
        <v>28198</v>
      </c>
      <c r="G3301" t="s">
        <v>28207</v>
      </c>
      <c r="H3301" t="s">
        <v>28215</v>
      </c>
      <c r="I3301" t="s">
        <v>4200</v>
      </c>
      <c r="J3301" t="s">
        <v>30542</v>
      </c>
      <c r="K3301" t="s">
        <v>36688</v>
      </c>
      <c r="M3301" t="s">
        <v>38233</v>
      </c>
      <c r="N3301" t="s">
        <v>40436</v>
      </c>
      <c r="O3301" t="s">
        <v>40437</v>
      </c>
      <c r="P3301">
        <v>0</v>
      </c>
      <c r="Q3301">
        <v>0</v>
      </c>
      <c r="R3301" t="s">
        <v>40439</v>
      </c>
      <c r="S3301" t="s">
        <v>40588</v>
      </c>
      <c r="T3301" t="s">
        <v>42133</v>
      </c>
      <c r="U3301" t="s">
        <v>45482</v>
      </c>
      <c r="W3301" t="s">
        <v>38233</v>
      </c>
      <c r="X3301" t="s">
        <v>40440</v>
      </c>
    </row>
    <row r="3302" spans="1:24">
      <c r="A3302">
        <f>HYPERLINK("https://www.philgeps.gov.ph/GEPSNONPILOT/Tender/SplashBidNoticeAbstractUI.aspx?menuIndex=3&amp;refID=7045235&amp;Result=3","7045235")</f>
        <v>0</v>
      </c>
      <c r="B3302" t="s">
        <v>1276</v>
      </c>
      <c r="C3302" t="s">
        <v>6237</v>
      </c>
      <c r="D3302" t="s">
        <v>16203</v>
      </c>
      <c r="E3302" t="s">
        <v>19264</v>
      </c>
      <c r="F3302" t="s">
        <v>28198</v>
      </c>
      <c r="G3302" t="s">
        <v>28206</v>
      </c>
      <c r="H3302" t="s">
        <v>28215</v>
      </c>
      <c r="I3302" t="s">
        <v>28238</v>
      </c>
      <c r="J3302" t="s">
        <v>28345</v>
      </c>
      <c r="K3302" t="s">
        <v>36688</v>
      </c>
      <c r="M3302" t="s">
        <v>38328</v>
      </c>
      <c r="N3302" t="s">
        <v>40436</v>
      </c>
      <c r="O3302" t="s">
        <v>40437</v>
      </c>
      <c r="P3302">
        <v>0</v>
      </c>
      <c r="Q3302">
        <v>3</v>
      </c>
      <c r="R3302" t="s">
        <v>40439</v>
      </c>
      <c r="S3302" t="s">
        <v>40588</v>
      </c>
      <c r="T3302" t="s">
        <v>42103</v>
      </c>
      <c r="U3302" t="s">
        <v>45483</v>
      </c>
      <c r="W3302" t="s">
        <v>38328</v>
      </c>
      <c r="X3302" t="s">
        <v>40440</v>
      </c>
    </row>
    <row r="3303" spans="1:24">
      <c r="A3303">
        <f>HYPERLINK("https://www.philgeps.gov.ph/GEPSNONPILOT/Tender/SplashBidNoticeAbstractUI.aspx?menuIndex=3&amp;refID=7045241&amp;Result=3","7045241")</f>
        <v>0</v>
      </c>
      <c r="B3303" t="s">
        <v>1241</v>
      </c>
      <c r="C3303" t="s">
        <v>6238</v>
      </c>
      <c r="D3303" t="s">
        <v>16216</v>
      </c>
      <c r="E3303" t="s">
        <v>18197</v>
      </c>
      <c r="F3303" t="s">
        <v>28198</v>
      </c>
      <c r="G3303" t="s">
        <v>28206</v>
      </c>
      <c r="H3303" t="s">
        <v>28215</v>
      </c>
      <c r="I3303" t="s">
        <v>28253</v>
      </c>
      <c r="J3303" t="s">
        <v>30543</v>
      </c>
      <c r="K3303" t="s">
        <v>36689</v>
      </c>
      <c r="M3303" t="s">
        <v>38290</v>
      </c>
      <c r="N3303" t="s">
        <v>40436</v>
      </c>
      <c r="O3303" t="s">
        <v>40437</v>
      </c>
      <c r="P3303">
        <v>0</v>
      </c>
      <c r="Q3303">
        <v>6</v>
      </c>
      <c r="R3303" t="s">
        <v>40439</v>
      </c>
      <c r="S3303" t="s">
        <v>40588</v>
      </c>
      <c r="T3303" t="s">
        <v>42124</v>
      </c>
      <c r="U3303" t="s">
        <v>45484</v>
      </c>
      <c r="W3303" t="s">
        <v>38290</v>
      </c>
      <c r="X3303" t="s">
        <v>40440</v>
      </c>
    </row>
    <row r="3304" spans="1:24">
      <c r="A3304">
        <f>HYPERLINK("https://www.philgeps.gov.ph/GEPSNONPILOT/Tender/SplashBidNoticeAbstractUI.aspx?menuIndex=3&amp;refID=7045256&amp;Result=3","7045256")</f>
        <v>0</v>
      </c>
      <c r="B3304" t="s">
        <v>1069</v>
      </c>
      <c r="C3304" t="s">
        <v>6239</v>
      </c>
      <c r="D3304" t="s">
        <v>16209</v>
      </c>
      <c r="E3304" t="s">
        <v>19265</v>
      </c>
      <c r="F3304" t="s">
        <v>28198</v>
      </c>
      <c r="G3304" t="s">
        <v>28207</v>
      </c>
      <c r="H3304" t="s">
        <v>28215</v>
      </c>
      <c r="I3304" t="s">
        <v>6013</v>
      </c>
      <c r="J3304" t="s">
        <v>28862</v>
      </c>
      <c r="K3304" t="s">
        <v>36689</v>
      </c>
      <c r="M3304" t="s">
        <v>38102</v>
      </c>
      <c r="N3304" t="s">
        <v>40436</v>
      </c>
      <c r="O3304" t="s">
        <v>40437</v>
      </c>
      <c r="P3304">
        <v>0</v>
      </c>
      <c r="Q3304">
        <v>0</v>
      </c>
      <c r="R3304" t="s">
        <v>40439</v>
      </c>
      <c r="S3304" t="s">
        <v>40588</v>
      </c>
      <c r="T3304" t="s">
        <v>42158</v>
      </c>
      <c r="U3304" t="s">
        <v>45485</v>
      </c>
      <c r="W3304" t="s">
        <v>38102</v>
      </c>
      <c r="X3304" t="s">
        <v>40440</v>
      </c>
    </row>
    <row r="3305" spans="1:24">
      <c r="A3305">
        <f>HYPERLINK("https://www.philgeps.gov.ph/GEPSNONPILOT/Tender/SplashBidNoticeAbstractUI.aspx?menuIndex=3&amp;refID=7045252&amp;Result=3","7045252")</f>
        <v>0</v>
      </c>
      <c r="B3305" t="s">
        <v>1277</v>
      </c>
      <c r="C3305" t="s">
        <v>6240</v>
      </c>
      <c r="D3305" t="s">
        <v>16190</v>
      </c>
      <c r="E3305" t="s">
        <v>19266</v>
      </c>
      <c r="F3305" t="s">
        <v>28198</v>
      </c>
      <c r="G3305" t="s">
        <v>28207</v>
      </c>
      <c r="H3305" t="s">
        <v>28215</v>
      </c>
      <c r="I3305" t="s">
        <v>5100</v>
      </c>
      <c r="J3305" t="s">
        <v>30544</v>
      </c>
      <c r="K3305" t="s">
        <v>36723</v>
      </c>
      <c r="M3305" t="s">
        <v>38329</v>
      </c>
      <c r="N3305" t="s">
        <v>40436</v>
      </c>
      <c r="O3305" t="s">
        <v>40437</v>
      </c>
      <c r="P3305">
        <v>0</v>
      </c>
      <c r="Q3305">
        <v>0</v>
      </c>
      <c r="R3305" t="s">
        <v>40439</v>
      </c>
      <c r="S3305" t="s">
        <v>40588</v>
      </c>
      <c r="T3305" t="s">
        <v>42169</v>
      </c>
      <c r="U3305" t="s">
        <v>45486</v>
      </c>
      <c r="W3305" t="s">
        <v>38329</v>
      </c>
      <c r="X3305" t="s">
        <v>40440</v>
      </c>
    </row>
    <row r="3306" spans="1:24">
      <c r="A3306">
        <f>HYPERLINK("https://www.philgeps.gov.ph/GEPSNONPILOT/Tender/SplashBidNoticeAbstractUI.aspx?menuIndex=3&amp;refID=7045250&amp;Result=3","7045250")</f>
        <v>0</v>
      </c>
      <c r="B3306" t="s">
        <v>129</v>
      </c>
      <c r="C3306" t="s">
        <v>6241</v>
      </c>
      <c r="D3306" t="s">
        <v>16210</v>
      </c>
      <c r="E3306" t="s">
        <v>19267</v>
      </c>
      <c r="F3306" t="s">
        <v>28198</v>
      </c>
      <c r="G3306" t="s">
        <v>28206</v>
      </c>
      <c r="H3306" t="s">
        <v>28215</v>
      </c>
      <c r="I3306" t="s">
        <v>28221</v>
      </c>
      <c r="J3306" t="s">
        <v>30545</v>
      </c>
      <c r="K3306" t="s">
        <v>36706</v>
      </c>
      <c r="M3306" t="s">
        <v>37245</v>
      </c>
      <c r="N3306" t="s">
        <v>40436</v>
      </c>
      <c r="O3306" t="s">
        <v>40437</v>
      </c>
      <c r="P3306">
        <v>0</v>
      </c>
      <c r="Q3306">
        <v>2</v>
      </c>
      <c r="R3306" t="s">
        <v>40439</v>
      </c>
      <c r="S3306" t="s">
        <v>40588</v>
      </c>
      <c r="T3306" t="s">
        <v>42357</v>
      </c>
      <c r="U3306" t="s">
        <v>45487</v>
      </c>
      <c r="V3306" t="s">
        <v>53839</v>
      </c>
      <c r="W3306" t="s">
        <v>37245</v>
      </c>
      <c r="X3306" t="s">
        <v>40440</v>
      </c>
    </row>
    <row r="3307" spans="1:24">
      <c r="A3307">
        <f>HYPERLINK("https://www.philgeps.gov.ph/GEPSNONPILOT/Tender/SplashBidNoticeAbstractUI.aspx?menuIndex=3&amp;refID=7045249&amp;Result=3","7045249")</f>
        <v>0</v>
      </c>
      <c r="B3307" t="s">
        <v>1268</v>
      </c>
      <c r="C3307" t="s">
        <v>6242</v>
      </c>
      <c r="D3307" t="s">
        <v>16228</v>
      </c>
      <c r="E3307" t="s">
        <v>19268</v>
      </c>
      <c r="F3307" t="s">
        <v>28198</v>
      </c>
      <c r="G3307" t="s">
        <v>28205</v>
      </c>
      <c r="H3307" t="s">
        <v>28214</v>
      </c>
      <c r="I3307" t="s">
        <v>3797</v>
      </c>
      <c r="J3307" t="s">
        <v>28363</v>
      </c>
      <c r="K3307" t="s">
        <v>36717</v>
      </c>
      <c r="M3307" t="s">
        <v>38318</v>
      </c>
      <c r="N3307" t="s">
        <v>40436</v>
      </c>
      <c r="O3307" t="s">
        <v>40437</v>
      </c>
      <c r="P3307">
        <v>0</v>
      </c>
      <c r="Q3307">
        <v>0</v>
      </c>
      <c r="R3307" t="s">
        <v>40439</v>
      </c>
      <c r="S3307" t="s">
        <v>40588</v>
      </c>
      <c r="T3307" t="s">
        <v>42118</v>
      </c>
      <c r="U3307" t="s">
        <v>45488</v>
      </c>
      <c r="W3307" t="s">
        <v>38318</v>
      </c>
      <c r="X3307" t="s">
        <v>40440</v>
      </c>
    </row>
    <row r="3308" spans="1:24">
      <c r="A3308">
        <f>HYPERLINK("https://www.philgeps.gov.ph/GEPSNONPILOT/Tender/SplashBidNoticeAbstractUI.aspx?menuIndex=3&amp;refID=7045248&amp;Result=3","7045248")</f>
        <v>0</v>
      </c>
      <c r="B3308" t="s">
        <v>1236</v>
      </c>
      <c r="C3308" t="s">
        <v>6243</v>
      </c>
      <c r="D3308" t="s">
        <v>16209</v>
      </c>
      <c r="E3308" t="s">
        <v>19269</v>
      </c>
      <c r="F3308" t="s">
        <v>28198</v>
      </c>
      <c r="G3308" t="s">
        <v>28207</v>
      </c>
      <c r="H3308" t="s">
        <v>28215</v>
      </c>
      <c r="I3308" t="s">
        <v>3422</v>
      </c>
      <c r="J3308" t="s">
        <v>28430</v>
      </c>
      <c r="K3308" t="s">
        <v>36694</v>
      </c>
      <c r="M3308" t="s">
        <v>38285</v>
      </c>
      <c r="N3308" t="s">
        <v>40436</v>
      </c>
      <c r="O3308" t="s">
        <v>40437</v>
      </c>
      <c r="P3308">
        <v>0</v>
      </c>
      <c r="Q3308">
        <v>1</v>
      </c>
      <c r="R3308" t="s">
        <v>40439</v>
      </c>
      <c r="S3308" t="s">
        <v>40588</v>
      </c>
      <c r="T3308" t="s">
        <v>42190</v>
      </c>
      <c r="U3308" t="s">
        <v>45489</v>
      </c>
      <c r="W3308" t="s">
        <v>38285</v>
      </c>
      <c r="X3308" t="s">
        <v>40440</v>
      </c>
    </row>
    <row r="3309" spans="1:24">
      <c r="A3309">
        <f>HYPERLINK("https://www.philgeps.gov.ph/GEPSNONPILOT/Tender/SplashBidNoticeAbstractUI.aspx?menuIndex=3&amp;refID=7045246&amp;Result=3","7045246")</f>
        <v>0</v>
      </c>
      <c r="B3309" t="s">
        <v>1214</v>
      </c>
      <c r="C3309" t="s">
        <v>6244</v>
      </c>
      <c r="D3309" t="s">
        <v>16187</v>
      </c>
      <c r="E3309" t="s">
        <v>19270</v>
      </c>
      <c r="F3309" t="s">
        <v>28198</v>
      </c>
      <c r="G3309" t="s">
        <v>28205</v>
      </c>
      <c r="H3309" t="s">
        <v>28214</v>
      </c>
      <c r="I3309" t="s">
        <v>8870</v>
      </c>
      <c r="J3309" t="s">
        <v>30546</v>
      </c>
      <c r="K3309" t="s">
        <v>36715</v>
      </c>
      <c r="M3309" t="s">
        <v>38259</v>
      </c>
      <c r="N3309" t="s">
        <v>40436</v>
      </c>
      <c r="O3309" t="s">
        <v>40437</v>
      </c>
      <c r="P3309">
        <v>0</v>
      </c>
      <c r="Q3309">
        <v>1</v>
      </c>
      <c r="R3309" t="s">
        <v>40439</v>
      </c>
      <c r="S3309" t="s">
        <v>40588</v>
      </c>
      <c r="T3309" t="s">
        <v>42261</v>
      </c>
      <c r="U3309" t="s">
        <v>45490</v>
      </c>
      <c r="W3309" t="s">
        <v>38259</v>
      </c>
      <c r="X3309" t="s">
        <v>40440</v>
      </c>
    </row>
    <row r="3310" spans="1:24">
      <c r="A3310">
        <f>HYPERLINK("https://www.philgeps.gov.ph/GEPSNONPILOT/Tender/SplashBidNoticeAbstractUI.aspx?menuIndex=3&amp;refID=7045247&amp;Result=3","7045247")</f>
        <v>0</v>
      </c>
      <c r="B3310" t="s">
        <v>1278</v>
      </c>
      <c r="C3310" t="s">
        <v>6245</v>
      </c>
      <c r="D3310" t="s">
        <v>16225</v>
      </c>
      <c r="E3310" t="s">
        <v>19271</v>
      </c>
      <c r="F3310" t="s">
        <v>28199</v>
      </c>
      <c r="G3310" t="s">
        <v>28206</v>
      </c>
      <c r="H3310" t="s">
        <v>28214</v>
      </c>
      <c r="I3310" t="s">
        <v>28228</v>
      </c>
      <c r="J3310" t="s">
        <v>30547</v>
      </c>
      <c r="K3310" t="s">
        <v>36689</v>
      </c>
      <c r="M3310" t="s">
        <v>38330</v>
      </c>
      <c r="N3310" t="s">
        <v>40436</v>
      </c>
      <c r="O3310" t="s">
        <v>40437</v>
      </c>
      <c r="P3310">
        <v>0</v>
      </c>
      <c r="Q3310">
        <v>0</v>
      </c>
      <c r="R3310" t="s">
        <v>40439</v>
      </c>
      <c r="S3310" t="s">
        <v>40588</v>
      </c>
      <c r="T3310" t="s">
        <v>42190</v>
      </c>
      <c r="U3310" t="s">
        <v>45491</v>
      </c>
      <c r="W3310" t="s">
        <v>38330</v>
      </c>
      <c r="X3310" t="s">
        <v>40440</v>
      </c>
    </row>
    <row r="3311" spans="1:24">
      <c r="A3311">
        <f>HYPERLINK("https://www.philgeps.gov.ph/GEPSNONPILOT/Tender/SplashBidNoticeAbstractUI.aspx?menuIndex=3&amp;refID=7045262&amp;Result=3","7045262")</f>
        <v>0</v>
      </c>
      <c r="B3311" t="s">
        <v>378</v>
      </c>
      <c r="C3311" t="s">
        <v>6246</v>
      </c>
      <c r="D3311" t="s">
        <v>16187</v>
      </c>
      <c r="E3311" t="s">
        <v>19272</v>
      </c>
      <c r="F3311" t="s">
        <v>28198</v>
      </c>
      <c r="G3311" t="s">
        <v>28207</v>
      </c>
      <c r="H3311" t="s">
        <v>28215</v>
      </c>
      <c r="I3311" t="s">
        <v>4168</v>
      </c>
      <c r="J3311" t="s">
        <v>30548</v>
      </c>
      <c r="K3311" t="s">
        <v>36689</v>
      </c>
      <c r="M3311" t="s">
        <v>37358</v>
      </c>
      <c r="N3311" t="s">
        <v>40436</v>
      </c>
      <c r="O3311" t="s">
        <v>40437</v>
      </c>
      <c r="P3311">
        <v>0</v>
      </c>
      <c r="Q3311">
        <v>0</v>
      </c>
      <c r="R3311" t="s">
        <v>40439</v>
      </c>
      <c r="S3311" t="s">
        <v>40588</v>
      </c>
      <c r="T3311" t="s">
        <v>42131</v>
      </c>
      <c r="U3311" t="s">
        <v>45492</v>
      </c>
      <c r="W3311" t="s">
        <v>37358</v>
      </c>
      <c r="X3311" t="s">
        <v>40440</v>
      </c>
    </row>
    <row r="3312" spans="1:24">
      <c r="A3312">
        <f>HYPERLINK("https://www.philgeps.gov.ph/GEPSNONPILOT/Tender/SplashBidNoticeAbstractUI.aspx?menuIndex=3&amp;refID=7045263&amp;Result=3","7045263")</f>
        <v>0</v>
      </c>
      <c r="B3312" t="s">
        <v>175</v>
      </c>
      <c r="C3312" t="s">
        <v>6247</v>
      </c>
      <c r="D3312" t="s">
        <v>16244</v>
      </c>
      <c r="E3312" t="s">
        <v>19273</v>
      </c>
      <c r="F3312" t="s">
        <v>28198</v>
      </c>
      <c r="G3312" t="s">
        <v>28206</v>
      </c>
      <c r="H3312" t="s">
        <v>28215</v>
      </c>
      <c r="I3312" t="s">
        <v>4200</v>
      </c>
      <c r="J3312" t="s">
        <v>30549</v>
      </c>
      <c r="K3312" t="s">
        <v>36688</v>
      </c>
      <c r="M3312" t="s">
        <v>37149</v>
      </c>
      <c r="N3312" t="s">
        <v>40436</v>
      </c>
      <c r="O3312" t="s">
        <v>40437</v>
      </c>
      <c r="P3312">
        <v>0</v>
      </c>
      <c r="Q3312">
        <v>0</v>
      </c>
      <c r="R3312" t="s">
        <v>40439</v>
      </c>
      <c r="S3312" t="s">
        <v>40588</v>
      </c>
      <c r="T3312" t="s">
        <v>42185</v>
      </c>
      <c r="U3312" t="s">
        <v>42905</v>
      </c>
      <c r="W3312" t="s">
        <v>37149</v>
      </c>
      <c r="X3312" t="s">
        <v>40440</v>
      </c>
    </row>
    <row r="3313" spans="1:24">
      <c r="A3313">
        <f>HYPERLINK("https://www.philgeps.gov.ph/GEPSNONPILOT/Tender/SplashBidNoticeAbstractUI.aspx?menuIndex=3&amp;refID=7045245&amp;Result=3","7045245")</f>
        <v>0</v>
      </c>
      <c r="B3313" t="s">
        <v>691</v>
      </c>
      <c r="C3313" t="s">
        <v>6248</v>
      </c>
      <c r="D3313" t="s">
        <v>16254</v>
      </c>
      <c r="E3313" t="s">
        <v>19274</v>
      </c>
      <c r="F3313" t="s">
        <v>28198</v>
      </c>
      <c r="G3313" t="s">
        <v>28207</v>
      </c>
      <c r="H3313" t="s">
        <v>28215</v>
      </c>
      <c r="I3313" t="s">
        <v>28247</v>
      </c>
      <c r="J3313" t="s">
        <v>30550</v>
      </c>
      <c r="K3313" t="s">
        <v>36707</v>
      </c>
      <c r="M3313" t="s">
        <v>37690</v>
      </c>
      <c r="N3313" t="s">
        <v>40436</v>
      </c>
      <c r="O3313" t="s">
        <v>40437</v>
      </c>
      <c r="P3313">
        <v>0</v>
      </c>
      <c r="Q3313">
        <v>6</v>
      </c>
      <c r="R3313" t="s">
        <v>40439</v>
      </c>
      <c r="S3313" t="s">
        <v>40588</v>
      </c>
      <c r="T3313" t="s">
        <v>42158</v>
      </c>
      <c r="U3313" t="s">
        <v>45493</v>
      </c>
      <c r="W3313" t="s">
        <v>37690</v>
      </c>
      <c r="X3313" t="s">
        <v>40440</v>
      </c>
    </row>
    <row r="3314" spans="1:24">
      <c r="A3314">
        <f>HYPERLINK("https://www.philgeps.gov.ph/GEPSNONPILOT/Tender/SplashBidNoticeAbstractUI.aspx?menuIndex=3&amp;refID=7045255&amp;Result=3","7045255")</f>
        <v>0</v>
      </c>
      <c r="B3314" t="s">
        <v>896</v>
      </c>
      <c r="C3314" t="s">
        <v>6249</v>
      </c>
      <c r="D3314" t="s">
        <v>16221</v>
      </c>
      <c r="E3314" t="s">
        <v>19275</v>
      </c>
      <c r="F3314" t="s">
        <v>28198</v>
      </c>
      <c r="G3314" t="s">
        <v>28207</v>
      </c>
      <c r="H3314" t="s">
        <v>28215</v>
      </c>
      <c r="I3314" t="s">
        <v>28251</v>
      </c>
      <c r="J3314" t="s">
        <v>29356</v>
      </c>
      <c r="K3314" t="s">
        <v>36689</v>
      </c>
      <c r="M3314" t="s">
        <v>38322</v>
      </c>
      <c r="N3314" t="s">
        <v>40436</v>
      </c>
      <c r="O3314" t="s">
        <v>40437</v>
      </c>
      <c r="P3314">
        <v>0</v>
      </c>
      <c r="Q3314">
        <v>2</v>
      </c>
      <c r="R3314" t="s">
        <v>40439</v>
      </c>
      <c r="S3314" t="s">
        <v>40588</v>
      </c>
      <c r="T3314" t="s">
        <v>42190</v>
      </c>
      <c r="U3314" t="s">
        <v>44366</v>
      </c>
      <c r="W3314" t="s">
        <v>38322</v>
      </c>
      <c r="X3314" t="s">
        <v>40440</v>
      </c>
    </row>
    <row r="3315" spans="1:24">
      <c r="A3315">
        <f>HYPERLINK("https://www.philgeps.gov.ph/GEPSNONPILOT/Tender/SplashBidNoticeAbstractUI.aspx?menuIndex=3&amp;refID=7045243&amp;Result=3","7045243")</f>
        <v>0</v>
      </c>
      <c r="B3315" t="s">
        <v>1279</v>
      </c>
      <c r="C3315" t="s">
        <v>6250</v>
      </c>
      <c r="D3315" t="s">
        <v>16221</v>
      </c>
      <c r="E3315" t="s">
        <v>19276</v>
      </c>
      <c r="F3315" t="s">
        <v>28198</v>
      </c>
      <c r="G3315" t="s">
        <v>28206</v>
      </c>
      <c r="H3315" t="s">
        <v>28215</v>
      </c>
      <c r="I3315" t="s">
        <v>5100</v>
      </c>
      <c r="J3315" t="s">
        <v>30551</v>
      </c>
      <c r="K3315" t="s">
        <v>36706</v>
      </c>
      <c r="M3315" t="s">
        <v>38331</v>
      </c>
      <c r="N3315" t="s">
        <v>40436</v>
      </c>
      <c r="O3315" t="s">
        <v>40437</v>
      </c>
      <c r="P3315">
        <v>0</v>
      </c>
      <c r="Q3315">
        <v>1</v>
      </c>
      <c r="R3315" t="s">
        <v>40439</v>
      </c>
      <c r="S3315" t="s">
        <v>40588</v>
      </c>
      <c r="T3315" t="s">
        <v>42158</v>
      </c>
      <c r="U3315" t="s">
        <v>45494</v>
      </c>
      <c r="W3315" t="s">
        <v>38331</v>
      </c>
      <c r="X3315" t="s">
        <v>40440</v>
      </c>
    </row>
    <row r="3316" spans="1:24">
      <c r="A3316">
        <f>HYPERLINK("https://www.philgeps.gov.ph/GEPSNONPILOT/Tender/SplashBidNoticeAbstractUI.aspx?menuIndex=3&amp;refID=7045266&amp;Result=3","7045266")</f>
        <v>0</v>
      </c>
      <c r="B3316" t="s">
        <v>1141</v>
      </c>
      <c r="C3316" t="s">
        <v>6251</v>
      </c>
      <c r="D3316" t="s">
        <v>16261</v>
      </c>
      <c r="E3316" t="s">
        <v>19277</v>
      </c>
      <c r="F3316" t="s">
        <v>28198</v>
      </c>
      <c r="G3316" t="s">
        <v>28205</v>
      </c>
      <c r="H3316" t="s">
        <v>28214</v>
      </c>
      <c r="I3316" t="s">
        <v>3797</v>
      </c>
      <c r="J3316" t="s">
        <v>30552</v>
      </c>
      <c r="K3316" t="s">
        <v>36713</v>
      </c>
      <c r="M3316" t="s">
        <v>38181</v>
      </c>
      <c r="N3316" t="s">
        <v>40436</v>
      </c>
      <c r="O3316" t="s">
        <v>40437</v>
      </c>
      <c r="P3316">
        <v>0</v>
      </c>
      <c r="Q3316">
        <v>0</v>
      </c>
      <c r="R3316" t="s">
        <v>40439</v>
      </c>
      <c r="S3316" t="s">
        <v>40588</v>
      </c>
      <c r="T3316" t="s">
        <v>42108</v>
      </c>
      <c r="U3316" t="s">
        <v>45495</v>
      </c>
      <c r="W3316" t="s">
        <v>38181</v>
      </c>
      <c r="X3316" t="s">
        <v>40440</v>
      </c>
    </row>
    <row r="3317" spans="1:24">
      <c r="A3317">
        <f>HYPERLINK("https://www.philgeps.gov.ph/GEPSNONPILOT/Tender/SplashBidNoticeAbstractUI.aspx?menuIndex=3&amp;refID=7045253&amp;Result=3","7045253")</f>
        <v>0</v>
      </c>
      <c r="B3317" t="s">
        <v>1280</v>
      </c>
      <c r="C3317" t="s">
        <v>6252</v>
      </c>
      <c r="D3317" t="s">
        <v>16232</v>
      </c>
      <c r="E3317" t="s">
        <v>19278</v>
      </c>
      <c r="F3317" t="s">
        <v>28198</v>
      </c>
      <c r="G3317" t="s">
        <v>28207</v>
      </c>
      <c r="H3317" t="s">
        <v>28215</v>
      </c>
      <c r="I3317" t="s">
        <v>28265</v>
      </c>
      <c r="J3317" t="s">
        <v>28352</v>
      </c>
      <c r="K3317" t="s">
        <v>36706</v>
      </c>
      <c r="M3317" t="s">
        <v>38332</v>
      </c>
      <c r="N3317" t="s">
        <v>40436</v>
      </c>
      <c r="O3317" t="s">
        <v>40437</v>
      </c>
      <c r="P3317">
        <v>0</v>
      </c>
      <c r="Q3317">
        <v>0</v>
      </c>
      <c r="R3317" t="s">
        <v>40439</v>
      </c>
      <c r="S3317" t="s">
        <v>40588</v>
      </c>
      <c r="T3317" t="s">
        <v>42161</v>
      </c>
      <c r="U3317" t="s">
        <v>45496</v>
      </c>
      <c r="W3317" t="s">
        <v>38332</v>
      </c>
      <c r="X3317" t="s">
        <v>40440</v>
      </c>
    </row>
    <row r="3318" spans="1:24">
      <c r="A3318">
        <f>HYPERLINK("https://www.philgeps.gov.ph/GEPSNONPILOT/Tender/SplashBidNoticeAbstractUI.aspx?menuIndex=3&amp;refID=7045264&amp;Result=3","7045264")</f>
        <v>0</v>
      </c>
      <c r="B3318" t="s">
        <v>1281</v>
      </c>
      <c r="C3318" t="s">
        <v>6253</v>
      </c>
      <c r="D3318" t="s">
        <v>16190</v>
      </c>
      <c r="E3318" t="s">
        <v>19279</v>
      </c>
      <c r="F3318" t="s">
        <v>28198</v>
      </c>
      <c r="G3318" t="s">
        <v>28207</v>
      </c>
      <c r="H3318" t="s">
        <v>28215</v>
      </c>
      <c r="I3318" t="s">
        <v>28227</v>
      </c>
      <c r="J3318" t="s">
        <v>28398</v>
      </c>
      <c r="K3318" t="s">
        <v>36701</v>
      </c>
      <c r="M3318" t="s">
        <v>38333</v>
      </c>
      <c r="N3318" t="s">
        <v>40436</v>
      </c>
      <c r="O3318" t="s">
        <v>40437</v>
      </c>
      <c r="P3318">
        <v>0</v>
      </c>
      <c r="Q3318">
        <v>0</v>
      </c>
      <c r="R3318" t="s">
        <v>40439</v>
      </c>
      <c r="S3318" t="s">
        <v>40588</v>
      </c>
      <c r="T3318" t="s">
        <v>42158</v>
      </c>
      <c r="U3318" t="s">
        <v>45497</v>
      </c>
      <c r="V3318" t="s">
        <v>54123</v>
      </c>
      <c r="W3318" t="s">
        <v>38333</v>
      </c>
      <c r="X3318" t="s">
        <v>40440</v>
      </c>
    </row>
    <row r="3319" spans="1:24">
      <c r="A3319">
        <f>HYPERLINK("https://www.philgeps.gov.ph/GEPSNONPILOT/Tender/SplashBidNoticeAbstractUI.aspx?menuIndex=3&amp;refID=7045265&amp;Result=3","7045265")</f>
        <v>0</v>
      </c>
      <c r="B3319" t="s">
        <v>1282</v>
      </c>
      <c r="C3319" t="s">
        <v>6254</v>
      </c>
      <c r="D3319" t="s">
        <v>16214</v>
      </c>
      <c r="E3319" t="s">
        <v>19280</v>
      </c>
      <c r="F3319" t="s">
        <v>28198</v>
      </c>
      <c r="G3319" t="s">
        <v>28205</v>
      </c>
      <c r="H3319" t="s">
        <v>28214</v>
      </c>
      <c r="I3319" t="s">
        <v>3797</v>
      </c>
      <c r="J3319" t="s">
        <v>29632</v>
      </c>
      <c r="K3319" t="s">
        <v>36697</v>
      </c>
      <c r="M3319" t="s">
        <v>38334</v>
      </c>
      <c r="N3319" t="s">
        <v>40436</v>
      </c>
      <c r="O3319" t="s">
        <v>40437</v>
      </c>
      <c r="P3319">
        <v>0</v>
      </c>
      <c r="Q3319">
        <v>0</v>
      </c>
      <c r="R3319" t="s">
        <v>40439</v>
      </c>
      <c r="S3319" t="s">
        <v>40588</v>
      </c>
      <c r="T3319" t="s">
        <v>42106</v>
      </c>
      <c r="U3319" t="s">
        <v>45498</v>
      </c>
      <c r="V3319" t="s">
        <v>54124</v>
      </c>
      <c r="W3319" t="s">
        <v>38334</v>
      </c>
      <c r="X3319" t="s">
        <v>40440</v>
      </c>
    </row>
    <row r="3320" spans="1:24">
      <c r="A3320">
        <f>HYPERLINK("https://www.philgeps.gov.ph/GEPSNONPILOT/Tender/SplashBidNoticeAbstractUI.aspx?menuIndex=3&amp;refID=7045281&amp;Result=3","7045281")</f>
        <v>0</v>
      </c>
      <c r="B3320" t="s">
        <v>1222</v>
      </c>
      <c r="C3320" t="s">
        <v>6255</v>
      </c>
      <c r="D3320" t="s">
        <v>16236</v>
      </c>
      <c r="E3320" t="s">
        <v>19281</v>
      </c>
      <c r="F3320" t="s">
        <v>28198</v>
      </c>
      <c r="G3320" t="s">
        <v>28205</v>
      </c>
      <c r="H3320" t="s">
        <v>28214</v>
      </c>
      <c r="I3320" t="s">
        <v>3797</v>
      </c>
      <c r="J3320" t="s">
        <v>28398</v>
      </c>
      <c r="K3320" t="s">
        <v>36694</v>
      </c>
      <c r="M3320" t="s">
        <v>38268</v>
      </c>
      <c r="N3320" t="s">
        <v>40436</v>
      </c>
      <c r="O3320" t="s">
        <v>40437</v>
      </c>
      <c r="P3320">
        <v>0</v>
      </c>
      <c r="Q3320">
        <v>0</v>
      </c>
      <c r="R3320" t="s">
        <v>40439</v>
      </c>
      <c r="S3320" t="s">
        <v>40588</v>
      </c>
      <c r="T3320" t="s">
        <v>42106</v>
      </c>
      <c r="U3320" t="s">
        <v>45499</v>
      </c>
      <c r="W3320" t="s">
        <v>38268</v>
      </c>
      <c r="X3320" t="s">
        <v>40440</v>
      </c>
    </row>
    <row r="3321" spans="1:24">
      <c r="A3321">
        <f>HYPERLINK("https://www.philgeps.gov.ph/GEPSNONPILOT/Tender/SplashBidNoticeAbstractUI.aspx?menuIndex=3&amp;refID=7045242&amp;Result=3","7045242")</f>
        <v>0</v>
      </c>
      <c r="B3321" t="s">
        <v>1247</v>
      </c>
      <c r="C3321" t="s">
        <v>6256</v>
      </c>
      <c r="D3321" t="s">
        <v>16210</v>
      </c>
      <c r="E3321" t="s">
        <v>19282</v>
      </c>
      <c r="F3321" t="s">
        <v>28198</v>
      </c>
      <c r="G3321" t="s">
        <v>28210</v>
      </c>
      <c r="H3321" t="s">
        <v>28215</v>
      </c>
      <c r="I3321" t="s">
        <v>4168</v>
      </c>
      <c r="J3321" t="s">
        <v>30553</v>
      </c>
      <c r="K3321" t="s">
        <v>36707</v>
      </c>
      <c r="M3321" t="s">
        <v>38335</v>
      </c>
      <c r="N3321" t="s">
        <v>40436</v>
      </c>
      <c r="O3321" t="s">
        <v>40437</v>
      </c>
      <c r="P3321">
        <v>0</v>
      </c>
      <c r="Q3321">
        <v>1</v>
      </c>
      <c r="R3321" t="s">
        <v>40439</v>
      </c>
      <c r="S3321" t="s">
        <v>40588</v>
      </c>
      <c r="T3321" t="s">
        <v>42158</v>
      </c>
      <c r="U3321" t="s">
        <v>45500</v>
      </c>
      <c r="W3321" t="s">
        <v>38335</v>
      </c>
      <c r="X3321" t="s">
        <v>40440</v>
      </c>
    </row>
    <row r="3322" spans="1:24">
      <c r="A3322">
        <f>HYPERLINK("https://www.philgeps.gov.ph/GEPSNONPILOT/Tender/SplashBidNoticeAbstractUI.aspx?menuIndex=3&amp;refID=7045279&amp;Result=3","7045279")</f>
        <v>0</v>
      </c>
      <c r="B3322" t="s">
        <v>1283</v>
      </c>
      <c r="C3322" t="s">
        <v>6257</v>
      </c>
      <c r="D3322" t="s">
        <v>16189</v>
      </c>
      <c r="E3322" t="s">
        <v>19283</v>
      </c>
      <c r="F3322" t="s">
        <v>28198</v>
      </c>
      <c r="G3322" t="s">
        <v>28207</v>
      </c>
      <c r="H3322" t="s">
        <v>28215</v>
      </c>
      <c r="I3322" t="s">
        <v>8888</v>
      </c>
      <c r="J3322" t="s">
        <v>30554</v>
      </c>
      <c r="K3322" t="s">
        <v>36701</v>
      </c>
      <c r="M3322" t="s">
        <v>38336</v>
      </c>
      <c r="N3322" t="s">
        <v>40436</v>
      </c>
      <c r="O3322" t="s">
        <v>40437</v>
      </c>
      <c r="P3322">
        <v>0</v>
      </c>
      <c r="Q3322">
        <v>2</v>
      </c>
      <c r="R3322" t="s">
        <v>40439</v>
      </c>
      <c r="S3322" t="s">
        <v>40588</v>
      </c>
      <c r="T3322" t="s">
        <v>42158</v>
      </c>
      <c r="U3322" t="s">
        <v>45501</v>
      </c>
      <c r="W3322" t="s">
        <v>38336</v>
      </c>
      <c r="X3322" t="s">
        <v>40440</v>
      </c>
    </row>
    <row r="3323" spans="1:24">
      <c r="A3323">
        <f>HYPERLINK("https://www.philgeps.gov.ph/GEPSNONPILOT/Tender/SplashBidNoticeAbstractUI.aspx?menuIndex=3&amp;refID=7045280&amp;Result=3","7045280")</f>
        <v>0</v>
      </c>
      <c r="B3323" t="s">
        <v>1023</v>
      </c>
      <c r="C3323" t="s">
        <v>5537</v>
      </c>
      <c r="D3323" t="s">
        <v>16265</v>
      </c>
      <c r="E3323" t="s">
        <v>19284</v>
      </c>
      <c r="F3323" t="s">
        <v>28198</v>
      </c>
      <c r="G3323" t="s">
        <v>28210</v>
      </c>
      <c r="H3323" t="s">
        <v>28215</v>
      </c>
      <c r="I3323" t="s">
        <v>5082</v>
      </c>
      <c r="J3323" t="s">
        <v>30555</v>
      </c>
      <c r="K3323" t="s">
        <v>36687</v>
      </c>
      <c r="M3323" t="s">
        <v>38054</v>
      </c>
      <c r="N3323" t="s">
        <v>40436</v>
      </c>
      <c r="O3323" t="s">
        <v>40437</v>
      </c>
      <c r="P3323">
        <v>0</v>
      </c>
      <c r="Q3323">
        <v>1</v>
      </c>
      <c r="R3323" t="s">
        <v>40439</v>
      </c>
      <c r="S3323" t="s">
        <v>40588</v>
      </c>
      <c r="T3323" t="s">
        <v>42158</v>
      </c>
      <c r="U3323" t="s">
        <v>45502</v>
      </c>
      <c r="W3323" t="s">
        <v>38054</v>
      </c>
      <c r="X3323" t="s">
        <v>40440</v>
      </c>
    </row>
    <row r="3324" spans="1:24">
      <c r="A3324">
        <f>HYPERLINK("https://www.philgeps.gov.ph/GEPSNONPILOT/Tender/SplashBidNoticeAbstractUI.aspx?menuIndex=3&amp;refID=7045258&amp;Result=3","7045258")</f>
        <v>0</v>
      </c>
      <c r="B3324" t="s">
        <v>1028</v>
      </c>
      <c r="C3324" t="s">
        <v>6258</v>
      </c>
      <c r="D3324" t="s">
        <v>16222</v>
      </c>
      <c r="E3324" t="s">
        <v>19285</v>
      </c>
      <c r="F3324" t="s">
        <v>28198</v>
      </c>
      <c r="G3324" t="s">
        <v>28205</v>
      </c>
      <c r="H3324" t="s">
        <v>28214</v>
      </c>
      <c r="I3324" t="s">
        <v>3797</v>
      </c>
      <c r="J3324" t="s">
        <v>30556</v>
      </c>
      <c r="K3324" t="s">
        <v>36711</v>
      </c>
      <c r="M3324" t="s">
        <v>38059</v>
      </c>
      <c r="N3324" t="s">
        <v>40436</v>
      </c>
      <c r="O3324" t="s">
        <v>40437</v>
      </c>
      <c r="P3324">
        <v>0</v>
      </c>
      <c r="Q3324">
        <v>0</v>
      </c>
      <c r="R3324" t="s">
        <v>40439</v>
      </c>
      <c r="S3324" t="s">
        <v>40588</v>
      </c>
      <c r="T3324" t="s">
        <v>42358</v>
      </c>
      <c r="U3324" t="s">
        <v>45503</v>
      </c>
      <c r="V3324" t="s">
        <v>54051</v>
      </c>
      <c r="W3324" t="s">
        <v>38059</v>
      </c>
      <c r="X3324" t="s">
        <v>40440</v>
      </c>
    </row>
    <row r="3325" spans="1:24">
      <c r="A3325">
        <f>HYPERLINK("https://www.philgeps.gov.ph/GEPSNONPILOT/Tender/SplashBidNoticeAbstractUI.aspx?menuIndex=3&amp;refID=7045278&amp;Result=3","7045278")</f>
        <v>0</v>
      </c>
      <c r="B3325" t="s">
        <v>1284</v>
      </c>
      <c r="C3325" t="s">
        <v>6259</v>
      </c>
      <c r="D3325" t="s">
        <v>16199</v>
      </c>
      <c r="E3325" t="s">
        <v>19286</v>
      </c>
      <c r="F3325" t="s">
        <v>28198</v>
      </c>
      <c r="G3325" t="s">
        <v>28207</v>
      </c>
      <c r="H3325" t="s">
        <v>28214</v>
      </c>
      <c r="I3325" t="s">
        <v>3797</v>
      </c>
      <c r="J3325" t="s">
        <v>30557</v>
      </c>
      <c r="K3325" t="s">
        <v>36711</v>
      </c>
      <c r="M3325" t="s">
        <v>38337</v>
      </c>
      <c r="N3325" t="s">
        <v>40436</v>
      </c>
      <c r="O3325" t="s">
        <v>40437</v>
      </c>
      <c r="P3325">
        <v>0</v>
      </c>
      <c r="Q3325">
        <v>1</v>
      </c>
      <c r="R3325" t="s">
        <v>40439</v>
      </c>
      <c r="S3325" t="s">
        <v>40588</v>
      </c>
      <c r="T3325" t="s">
        <v>42158</v>
      </c>
      <c r="U3325" t="s">
        <v>45504</v>
      </c>
      <c r="W3325" t="s">
        <v>38337</v>
      </c>
      <c r="X3325" t="s">
        <v>40440</v>
      </c>
    </row>
    <row r="3326" spans="1:24">
      <c r="A3326">
        <f>HYPERLINK("https://www.philgeps.gov.ph/GEPSNONPILOT/Tender/SplashBidNoticeAbstractUI.aspx?menuIndex=3&amp;refID=7045237&amp;Result=3","7045237")</f>
        <v>0</v>
      </c>
      <c r="B3326" t="s">
        <v>1259</v>
      </c>
      <c r="C3326" t="s">
        <v>6260</v>
      </c>
      <c r="D3326" t="s">
        <v>16219</v>
      </c>
      <c r="E3326" t="s">
        <v>19287</v>
      </c>
      <c r="F3326" t="s">
        <v>28198</v>
      </c>
      <c r="G3326" t="s">
        <v>28205</v>
      </c>
      <c r="H3326" t="s">
        <v>28215</v>
      </c>
      <c r="I3326" t="s">
        <v>5082</v>
      </c>
      <c r="J3326" t="s">
        <v>29401</v>
      </c>
      <c r="K3326" t="s">
        <v>36689</v>
      </c>
      <c r="M3326" t="s">
        <v>38309</v>
      </c>
      <c r="N3326" t="s">
        <v>40436</v>
      </c>
      <c r="O3326" t="s">
        <v>40437</v>
      </c>
      <c r="P3326">
        <v>0</v>
      </c>
      <c r="Q3326">
        <v>0</v>
      </c>
      <c r="R3326" t="s">
        <v>40439</v>
      </c>
      <c r="S3326" t="s">
        <v>40588</v>
      </c>
      <c r="T3326" t="s">
        <v>42320</v>
      </c>
      <c r="U3326" t="s">
        <v>45505</v>
      </c>
      <c r="W3326" t="s">
        <v>38309</v>
      </c>
      <c r="X3326" t="s">
        <v>40440</v>
      </c>
    </row>
    <row r="3327" spans="1:24">
      <c r="A3327">
        <f>HYPERLINK("https://www.philgeps.gov.ph/GEPSNONPILOT/Tender/SplashBidNoticeAbstractUI.aspx?menuIndex=3&amp;refID=7045285&amp;Result=3","7045285")</f>
        <v>0</v>
      </c>
      <c r="B3327" t="s">
        <v>1245</v>
      </c>
      <c r="C3327" t="s">
        <v>4438</v>
      </c>
      <c r="D3327" t="s">
        <v>16199</v>
      </c>
      <c r="E3327" t="s">
        <v>19288</v>
      </c>
      <c r="F3327" t="s">
        <v>28198</v>
      </c>
      <c r="G3327" t="s">
        <v>28206</v>
      </c>
      <c r="H3327" t="s">
        <v>28215</v>
      </c>
      <c r="I3327" t="s">
        <v>28234</v>
      </c>
      <c r="J3327" t="s">
        <v>28345</v>
      </c>
      <c r="K3327" t="s">
        <v>36691</v>
      </c>
      <c r="M3327" t="s">
        <v>38295</v>
      </c>
      <c r="N3327" t="s">
        <v>40436</v>
      </c>
      <c r="O3327" t="s">
        <v>40437</v>
      </c>
      <c r="P3327">
        <v>0</v>
      </c>
      <c r="Q3327">
        <v>0</v>
      </c>
      <c r="R3327" t="s">
        <v>40439</v>
      </c>
      <c r="S3327" t="s">
        <v>40588</v>
      </c>
      <c r="T3327" t="s">
        <v>42175</v>
      </c>
      <c r="U3327" t="s">
        <v>45506</v>
      </c>
      <c r="W3327" t="s">
        <v>38295</v>
      </c>
      <c r="X3327" t="s">
        <v>40440</v>
      </c>
    </row>
    <row r="3328" spans="1:24">
      <c r="A3328">
        <f>HYPERLINK("https://www.philgeps.gov.ph/GEPSNONPILOT/Tender/SplashBidNoticeAbstractUI.aspx?menuIndex=3&amp;refID=7045261&amp;Result=3","7045261")</f>
        <v>0</v>
      </c>
      <c r="B3328" t="s">
        <v>1200</v>
      </c>
      <c r="C3328" t="s">
        <v>6261</v>
      </c>
      <c r="D3328" t="s">
        <v>16244</v>
      </c>
      <c r="E3328" t="s">
        <v>19289</v>
      </c>
      <c r="F3328" t="s">
        <v>28198</v>
      </c>
      <c r="G3328" t="s">
        <v>28205</v>
      </c>
      <c r="H3328" t="s">
        <v>28214</v>
      </c>
      <c r="I3328" t="s">
        <v>3797</v>
      </c>
      <c r="J3328" t="s">
        <v>30558</v>
      </c>
      <c r="K3328" t="s">
        <v>36798</v>
      </c>
      <c r="M3328" t="s">
        <v>38245</v>
      </c>
      <c r="N3328" t="s">
        <v>40436</v>
      </c>
      <c r="O3328" t="s">
        <v>40437</v>
      </c>
      <c r="P3328">
        <v>0</v>
      </c>
      <c r="Q3328">
        <v>0</v>
      </c>
      <c r="R3328" t="s">
        <v>40439</v>
      </c>
      <c r="S3328" t="s">
        <v>40588</v>
      </c>
      <c r="T3328" t="s">
        <v>42248</v>
      </c>
      <c r="U3328" t="s">
        <v>45507</v>
      </c>
      <c r="W3328" t="s">
        <v>38245</v>
      </c>
      <c r="X3328" t="s">
        <v>40440</v>
      </c>
    </row>
    <row r="3329" spans="1:24">
      <c r="A3329">
        <f>HYPERLINK("https://www.philgeps.gov.ph/GEPSNONPILOT/Tender/SplashBidNoticeAbstractUI.aspx?menuIndex=3&amp;refID=7045286&amp;Result=3","7045286")</f>
        <v>0</v>
      </c>
      <c r="B3329" t="s">
        <v>129</v>
      </c>
      <c r="C3329" t="s">
        <v>6262</v>
      </c>
      <c r="D3329" t="s">
        <v>16210</v>
      </c>
      <c r="E3329" t="s">
        <v>19290</v>
      </c>
      <c r="F3329" t="s">
        <v>28198</v>
      </c>
      <c r="G3329" t="s">
        <v>28206</v>
      </c>
      <c r="H3329" t="s">
        <v>28215</v>
      </c>
      <c r="I3329" t="s">
        <v>28221</v>
      </c>
      <c r="J3329" t="s">
        <v>30559</v>
      </c>
      <c r="K3329" t="s">
        <v>36706</v>
      </c>
      <c r="M3329" t="s">
        <v>37245</v>
      </c>
      <c r="N3329" t="s">
        <v>40436</v>
      </c>
      <c r="O3329" t="s">
        <v>40437</v>
      </c>
      <c r="P3329">
        <v>0</v>
      </c>
      <c r="Q3329">
        <v>4</v>
      </c>
      <c r="R3329" t="s">
        <v>40439</v>
      </c>
      <c r="S3329" t="s">
        <v>40588</v>
      </c>
      <c r="T3329" t="s">
        <v>42357</v>
      </c>
      <c r="U3329" t="s">
        <v>45508</v>
      </c>
      <c r="V3329" t="s">
        <v>53839</v>
      </c>
      <c r="W3329" t="s">
        <v>37245</v>
      </c>
      <c r="X3329" t="s">
        <v>40440</v>
      </c>
    </row>
    <row r="3330" spans="1:24">
      <c r="A3330">
        <f>HYPERLINK("https://www.philgeps.gov.ph/GEPSNONPILOT/Tender/SplashBidNoticeAbstractUI.aspx?menuIndex=3&amp;refID=7045275&amp;Result=3","7045275")</f>
        <v>0</v>
      </c>
      <c r="B3330" t="s">
        <v>455</v>
      </c>
      <c r="C3330" t="s">
        <v>6263</v>
      </c>
      <c r="D3330" t="s">
        <v>16263</v>
      </c>
      <c r="E3330" t="s">
        <v>19291</v>
      </c>
      <c r="F3330" t="s">
        <v>28198</v>
      </c>
      <c r="G3330" t="s">
        <v>28205</v>
      </c>
      <c r="H3330" t="s">
        <v>28214</v>
      </c>
      <c r="I3330" t="s">
        <v>3797</v>
      </c>
      <c r="J3330" t="s">
        <v>28363</v>
      </c>
      <c r="K3330" t="s">
        <v>36689</v>
      </c>
      <c r="M3330" t="s">
        <v>37439</v>
      </c>
      <c r="N3330" t="s">
        <v>40436</v>
      </c>
      <c r="O3330" t="s">
        <v>40437</v>
      </c>
      <c r="P3330">
        <v>0</v>
      </c>
      <c r="Q3330">
        <v>0</v>
      </c>
      <c r="R3330" t="s">
        <v>40439</v>
      </c>
      <c r="S3330" t="s">
        <v>40588</v>
      </c>
      <c r="T3330" t="s">
        <v>42118</v>
      </c>
      <c r="U3330" t="s">
        <v>45025</v>
      </c>
      <c r="W3330" t="s">
        <v>37439</v>
      </c>
      <c r="X3330" t="s">
        <v>40440</v>
      </c>
    </row>
    <row r="3331" spans="1:24">
      <c r="A3331">
        <f>HYPERLINK("https://www.philgeps.gov.ph/GEPSNONPILOT/Tender/SplashBidNoticeAbstractUI.aspx?menuIndex=3&amp;refID=7045259&amp;Result=3","7045259")</f>
        <v>0</v>
      </c>
      <c r="B3331" t="s">
        <v>1023</v>
      </c>
      <c r="C3331" t="s">
        <v>6264</v>
      </c>
      <c r="D3331" t="s">
        <v>16265</v>
      </c>
      <c r="E3331" t="s">
        <v>19292</v>
      </c>
      <c r="F3331" t="s">
        <v>28198</v>
      </c>
      <c r="G3331" t="s">
        <v>28210</v>
      </c>
      <c r="H3331" t="s">
        <v>28215</v>
      </c>
      <c r="I3331" t="s">
        <v>5082</v>
      </c>
      <c r="J3331" t="s">
        <v>30560</v>
      </c>
      <c r="K3331" t="s">
        <v>36687</v>
      </c>
      <c r="M3331" t="s">
        <v>38054</v>
      </c>
      <c r="N3331" t="s">
        <v>40436</v>
      </c>
      <c r="O3331" t="s">
        <v>40437</v>
      </c>
      <c r="P3331">
        <v>0</v>
      </c>
      <c r="Q3331">
        <v>0</v>
      </c>
      <c r="R3331" t="s">
        <v>40439</v>
      </c>
      <c r="S3331" t="s">
        <v>40588</v>
      </c>
      <c r="T3331" t="s">
        <v>42158</v>
      </c>
      <c r="U3331" t="s">
        <v>45509</v>
      </c>
      <c r="W3331" t="s">
        <v>38054</v>
      </c>
      <c r="X3331" t="s">
        <v>40440</v>
      </c>
    </row>
    <row r="3332" spans="1:24">
      <c r="A3332">
        <f>HYPERLINK("https://www.philgeps.gov.ph/GEPSNONPILOT/Tender/SplashBidNoticeAbstractUI.aspx?menuIndex=3&amp;refID=7045272&amp;Result=3","7045272")</f>
        <v>0</v>
      </c>
      <c r="B3332" t="s">
        <v>500</v>
      </c>
      <c r="C3332" t="s">
        <v>6265</v>
      </c>
      <c r="D3332" t="s">
        <v>16190</v>
      </c>
      <c r="E3332" t="s">
        <v>19293</v>
      </c>
      <c r="F3332" t="s">
        <v>28198</v>
      </c>
      <c r="G3332" t="s">
        <v>28205</v>
      </c>
      <c r="H3332" t="s">
        <v>28215</v>
      </c>
      <c r="I3332" t="s">
        <v>28290</v>
      </c>
      <c r="J3332" t="s">
        <v>30561</v>
      </c>
      <c r="K3332" t="s">
        <v>36715</v>
      </c>
      <c r="M3332" t="s">
        <v>38279</v>
      </c>
      <c r="N3332" t="s">
        <v>40436</v>
      </c>
      <c r="O3332" t="s">
        <v>40437</v>
      </c>
      <c r="P3332">
        <v>0</v>
      </c>
      <c r="Q3332">
        <v>5</v>
      </c>
      <c r="R3332" t="s">
        <v>40439</v>
      </c>
      <c r="S3332" t="s">
        <v>40588</v>
      </c>
      <c r="T3332" t="s">
        <v>42125</v>
      </c>
      <c r="U3332" t="s">
        <v>45510</v>
      </c>
      <c r="W3332" t="s">
        <v>37485</v>
      </c>
      <c r="X3332" t="s">
        <v>40440</v>
      </c>
    </row>
    <row r="3333" spans="1:24">
      <c r="A3333">
        <f>HYPERLINK("https://www.philgeps.gov.ph/GEPSNONPILOT/Tender/SplashBidNoticeAbstractUI.aspx?menuIndex=3&amp;refID=7045277&amp;Result=3","7045277")</f>
        <v>0</v>
      </c>
      <c r="B3333" t="s">
        <v>1285</v>
      </c>
      <c r="C3333" t="s">
        <v>6266</v>
      </c>
      <c r="D3333" t="s">
        <v>16210</v>
      </c>
      <c r="E3333" t="s">
        <v>19294</v>
      </c>
      <c r="F3333" t="s">
        <v>28198</v>
      </c>
      <c r="G3333" t="s">
        <v>28210</v>
      </c>
      <c r="H3333" t="s">
        <v>28215</v>
      </c>
      <c r="I3333" t="s">
        <v>4219</v>
      </c>
      <c r="J3333" t="s">
        <v>30562</v>
      </c>
      <c r="K3333" t="s">
        <v>36707</v>
      </c>
      <c r="M3333" t="s">
        <v>38338</v>
      </c>
      <c r="N3333" t="s">
        <v>40436</v>
      </c>
      <c r="O3333" t="s">
        <v>40437</v>
      </c>
      <c r="P3333">
        <v>0</v>
      </c>
      <c r="Q3333">
        <v>7</v>
      </c>
      <c r="R3333" t="s">
        <v>40439</v>
      </c>
      <c r="S3333" t="s">
        <v>40588</v>
      </c>
      <c r="T3333" t="s">
        <v>42318</v>
      </c>
      <c r="U3333" t="s">
        <v>45511</v>
      </c>
      <c r="V3333" t="s">
        <v>54125</v>
      </c>
      <c r="W3333" t="s">
        <v>38338</v>
      </c>
      <c r="X3333" t="s">
        <v>40440</v>
      </c>
    </row>
    <row r="3334" spans="1:24">
      <c r="A3334">
        <f>HYPERLINK("https://www.philgeps.gov.ph/GEPSNONPILOT/Tender/SplashBidNoticeAbstractUI.aspx?menuIndex=3&amp;refID=7045268&amp;Result=3","7045268")</f>
        <v>0</v>
      </c>
      <c r="B3334" t="s">
        <v>1247</v>
      </c>
      <c r="C3334" t="s">
        <v>6267</v>
      </c>
      <c r="D3334" t="s">
        <v>16210</v>
      </c>
      <c r="E3334" t="s">
        <v>19295</v>
      </c>
      <c r="F3334" t="s">
        <v>28198</v>
      </c>
      <c r="G3334" t="s">
        <v>28210</v>
      </c>
      <c r="H3334" t="s">
        <v>28215</v>
      </c>
      <c r="I3334" t="s">
        <v>28254</v>
      </c>
      <c r="J3334" t="s">
        <v>30563</v>
      </c>
      <c r="K3334" t="s">
        <v>36701</v>
      </c>
      <c r="M3334" t="s">
        <v>38335</v>
      </c>
      <c r="N3334" t="s">
        <v>40436</v>
      </c>
      <c r="O3334" t="s">
        <v>40437</v>
      </c>
      <c r="P3334">
        <v>0</v>
      </c>
      <c r="Q3334">
        <v>0</v>
      </c>
      <c r="R3334" t="s">
        <v>40439</v>
      </c>
      <c r="S3334" t="s">
        <v>40588</v>
      </c>
      <c r="T3334" t="s">
        <v>42158</v>
      </c>
      <c r="U3334" t="s">
        <v>45500</v>
      </c>
      <c r="W3334" t="s">
        <v>38335</v>
      </c>
      <c r="X3334" t="s">
        <v>40440</v>
      </c>
    </row>
    <row r="3335" spans="1:24">
      <c r="A3335">
        <f>HYPERLINK("https://www.philgeps.gov.ph/GEPSNONPILOT/Tender/SplashBidNoticeAbstractUI.aspx?menuIndex=3&amp;refID=7045274&amp;Result=3","7045274")</f>
        <v>0</v>
      </c>
      <c r="B3335" t="s">
        <v>1286</v>
      </c>
      <c r="C3335" t="s">
        <v>6268</v>
      </c>
      <c r="D3335" t="s">
        <v>16228</v>
      </c>
      <c r="E3335" t="s">
        <v>19296</v>
      </c>
      <c r="F3335" t="s">
        <v>28198</v>
      </c>
      <c r="G3335" t="s">
        <v>28205</v>
      </c>
      <c r="H3335" t="s">
        <v>28215</v>
      </c>
      <c r="I3335" t="s">
        <v>5791</v>
      </c>
      <c r="J3335" t="s">
        <v>30564</v>
      </c>
      <c r="K3335" t="s">
        <v>36689</v>
      </c>
      <c r="M3335" t="s">
        <v>38339</v>
      </c>
      <c r="N3335" t="s">
        <v>40436</v>
      </c>
      <c r="O3335" t="s">
        <v>40437</v>
      </c>
      <c r="P3335">
        <v>0</v>
      </c>
      <c r="Q3335">
        <v>1</v>
      </c>
      <c r="R3335" t="s">
        <v>40439</v>
      </c>
      <c r="S3335" t="s">
        <v>40588</v>
      </c>
      <c r="T3335" t="s">
        <v>42189</v>
      </c>
      <c r="U3335" t="s">
        <v>45512</v>
      </c>
      <c r="W3335" t="s">
        <v>38339</v>
      </c>
      <c r="X3335" t="s">
        <v>40440</v>
      </c>
    </row>
    <row r="3336" spans="1:24">
      <c r="A3336">
        <f>HYPERLINK("https://www.philgeps.gov.ph/GEPSNONPILOT/Tender/SplashBidNoticeAbstractUI.aspx?menuIndex=3&amp;refID=7045276&amp;Result=3","7045276")</f>
        <v>0</v>
      </c>
      <c r="B3336" t="s">
        <v>1042</v>
      </c>
      <c r="C3336" t="s">
        <v>6269</v>
      </c>
      <c r="D3336" t="s">
        <v>16276</v>
      </c>
      <c r="E3336" t="s">
        <v>19297</v>
      </c>
      <c r="F3336" t="s">
        <v>28198</v>
      </c>
      <c r="G3336" t="s">
        <v>28207</v>
      </c>
      <c r="H3336" t="s">
        <v>28215</v>
      </c>
      <c r="I3336" t="s">
        <v>5791</v>
      </c>
      <c r="J3336" t="s">
        <v>30565</v>
      </c>
      <c r="K3336" t="s">
        <v>36707</v>
      </c>
      <c r="M3336" t="s">
        <v>38075</v>
      </c>
      <c r="N3336" t="s">
        <v>40436</v>
      </c>
      <c r="O3336" t="s">
        <v>40437</v>
      </c>
      <c r="P3336">
        <v>0</v>
      </c>
      <c r="Q3336">
        <v>0</v>
      </c>
      <c r="R3336" t="s">
        <v>40439</v>
      </c>
      <c r="S3336" t="s">
        <v>40588</v>
      </c>
      <c r="T3336" t="s">
        <v>42111</v>
      </c>
      <c r="U3336" t="s">
        <v>45513</v>
      </c>
      <c r="W3336" t="s">
        <v>38075</v>
      </c>
      <c r="X3336" t="s">
        <v>40440</v>
      </c>
    </row>
    <row r="3337" spans="1:24">
      <c r="A3337">
        <f>HYPERLINK("https://www.philgeps.gov.ph/GEPSNONPILOT/Tender/SplashBidNoticeAbstractUI.aspx?menuIndex=3&amp;refID=7045273&amp;Result=3","7045273")</f>
        <v>0</v>
      </c>
      <c r="B3337" t="s">
        <v>129</v>
      </c>
      <c r="C3337" t="s">
        <v>6270</v>
      </c>
      <c r="D3337" t="s">
        <v>16210</v>
      </c>
      <c r="E3337" t="s">
        <v>19298</v>
      </c>
      <c r="F3337" t="s">
        <v>28198</v>
      </c>
      <c r="G3337" t="s">
        <v>28206</v>
      </c>
      <c r="H3337" t="s">
        <v>28215</v>
      </c>
      <c r="I3337" t="s">
        <v>4200</v>
      </c>
      <c r="J3337" t="s">
        <v>30566</v>
      </c>
      <c r="K3337" t="s">
        <v>36706</v>
      </c>
      <c r="M3337" t="s">
        <v>37245</v>
      </c>
      <c r="N3337" t="s">
        <v>40436</v>
      </c>
      <c r="O3337" t="s">
        <v>40437</v>
      </c>
      <c r="P3337">
        <v>0</v>
      </c>
      <c r="Q3337">
        <v>1</v>
      </c>
      <c r="R3337" t="s">
        <v>40439</v>
      </c>
      <c r="S3337" t="s">
        <v>40588</v>
      </c>
      <c r="T3337" t="s">
        <v>42357</v>
      </c>
      <c r="U3337" t="s">
        <v>45514</v>
      </c>
      <c r="V3337" t="s">
        <v>53839</v>
      </c>
      <c r="W3337" t="s">
        <v>37245</v>
      </c>
      <c r="X3337" t="s">
        <v>40440</v>
      </c>
    </row>
    <row r="3338" spans="1:24">
      <c r="A3338">
        <f>HYPERLINK("https://www.philgeps.gov.ph/GEPSNONPILOT/Tender/SplashBidNoticeAbstractUI.aspx?menuIndex=3&amp;refID=7045269&amp;Result=3","7045269")</f>
        <v>0</v>
      </c>
      <c r="B3338" t="s">
        <v>1023</v>
      </c>
      <c r="C3338" t="s">
        <v>6271</v>
      </c>
      <c r="D3338" t="s">
        <v>16265</v>
      </c>
      <c r="E3338" t="s">
        <v>19299</v>
      </c>
      <c r="F3338" t="s">
        <v>28198</v>
      </c>
      <c r="G3338" t="s">
        <v>28207</v>
      </c>
      <c r="H3338" t="s">
        <v>28215</v>
      </c>
      <c r="I3338" t="s">
        <v>28308</v>
      </c>
      <c r="J3338" t="s">
        <v>28921</v>
      </c>
      <c r="K3338" t="s">
        <v>36687</v>
      </c>
      <c r="M3338" t="s">
        <v>38054</v>
      </c>
      <c r="N3338" t="s">
        <v>40436</v>
      </c>
      <c r="O3338" t="s">
        <v>40437</v>
      </c>
      <c r="P3338">
        <v>0</v>
      </c>
      <c r="Q3338">
        <v>1</v>
      </c>
      <c r="R3338" t="s">
        <v>40439</v>
      </c>
      <c r="S3338" t="s">
        <v>40588</v>
      </c>
      <c r="T3338" t="s">
        <v>42158</v>
      </c>
      <c r="U3338" t="s">
        <v>45515</v>
      </c>
      <c r="W3338" t="s">
        <v>38054</v>
      </c>
      <c r="X3338" t="s">
        <v>40440</v>
      </c>
    </row>
    <row r="3339" spans="1:24">
      <c r="A3339">
        <f>HYPERLINK("https://www.philgeps.gov.ph/GEPSNONPILOT/Tender/SplashBidNoticeAbstractUI.aspx?menuIndex=3&amp;refID=7045267&amp;Result=3","7045267")</f>
        <v>0</v>
      </c>
      <c r="B3339" t="s">
        <v>1287</v>
      </c>
      <c r="C3339" t="s">
        <v>6272</v>
      </c>
      <c r="D3339" t="s">
        <v>16210</v>
      </c>
      <c r="E3339" t="s">
        <v>19300</v>
      </c>
      <c r="F3339" t="s">
        <v>28198</v>
      </c>
      <c r="G3339" t="s">
        <v>28206</v>
      </c>
      <c r="H3339" t="s">
        <v>28214</v>
      </c>
      <c r="I3339" t="s">
        <v>28255</v>
      </c>
      <c r="J3339" t="s">
        <v>28559</v>
      </c>
      <c r="K3339" t="s">
        <v>36693</v>
      </c>
      <c r="M3339" t="s">
        <v>38340</v>
      </c>
      <c r="N3339" t="s">
        <v>40436</v>
      </c>
      <c r="O3339" t="s">
        <v>40437</v>
      </c>
      <c r="P3339">
        <v>0</v>
      </c>
      <c r="Q3339">
        <v>0</v>
      </c>
      <c r="R3339" t="s">
        <v>40439</v>
      </c>
      <c r="S3339" t="s">
        <v>40588</v>
      </c>
      <c r="T3339" t="s">
        <v>42176</v>
      </c>
      <c r="U3339" t="s">
        <v>45516</v>
      </c>
      <c r="W3339" t="s">
        <v>38340</v>
      </c>
      <c r="X3339" t="s">
        <v>40440</v>
      </c>
    </row>
    <row r="3340" spans="1:24">
      <c r="A3340">
        <f>HYPERLINK("https://www.philgeps.gov.ph/GEPSNONPILOT/Tender/SplashBidNoticeAbstractUI.aspx?menuIndex=3&amp;refID=7045284&amp;Result=3","7045284")</f>
        <v>0</v>
      </c>
      <c r="B3340" t="s">
        <v>1288</v>
      </c>
      <c r="C3340" t="s">
        <v>6273</v>
      </c>
      <c r="D3340" t="s">
        <v>16227</v>
      </c>
      <c r="E3340" t="s">
        <v>18733</v>
      </c>
      <c r="F3340" t="s">
        <v>28200</v>
      </c>
      <c r="G3340" t="s">
        <v>28206</v>
      </c>
      <c r="H3340" t="s">
        <v>28217</v>
      </c>
      <c r="I3340" t="s">
        <v>28247</v>
      </c>
      <c r="J3340" t="s">
        <v>30567</v>
      </c>
      <c r="K3340" t="s">
        <v>36688</v>
      </c>
      <c r="M3340" t="s">
        <v>38341</v>
      </c>
      <c r="N3340" t="s">
        <v>40436</v>
      </c>
      <c r="O3340" t="s">
        <v>40437</v>
      </c>
      <c r="P3340">
        <v>0</v>
      </c>
      <c r="Q3340">
        <v>6</v>
      </c>
      <c r="R3340" t="s">
        <v>40439</v>
      </c>
      <c r="S3340" t="s">
        <v>40588</v>
      </c>
      <c r="T3340" t="s">
        <v>42302</v>
      </c>
      <c r="U3340" t="s">
        <v>45517</v>
      </c>
      <c r="W3340" t="s">
        <v>38341</v>
      </c>
      <c r="X3340" t="s">
        <v>40440</v>
      </c>
    </row>
    <row r="3341" spans="1:24">
      <c r="A3341">
        <f>HYPERLINK("https://www.philgeps.gov.ph/GEPSNONPILOT/Tender/SplashBidNoticeAbstractUI.aspx?menuIndex=3&amp;refID=7045271&amp;Result=3","7045271")</f>
        <v>0</v>
      </c>
      <c r="B3341" t="s">
        <v>278</v>
      </c>
      <c r="C3341" t="s">
        <v>6274</v>
      </c>
      <c r="D3341" t="s">
        <v>16203</v>
      </c>
      <c r="E3341" t="s">
        <v>19301</v>
      </c>
      <c r="F3341" t="s">
        <v>28198</v>
      </c>
      <c r="G3341" t="s">
        <v>28205</v>
      </c>
      <c r="H3341" t="s">
        <v>28215</v>
      </c>
      <c r="I3341" t="s">
        <v>28290</v>
      </c>
      <c r="J3341" t="s">
        <v>28395</v>
      </c>
      <c r="K3341" t="s">
        <v>36701</v>
      </c>
      <c r="M3341" t="s">
        <v>37255</v>
      </c>
      <c r="N3341" t="s">
        <v>40436</v>
      </c>
      <c r="O3341" t="s">
        <v>40437</v>
      </c>
      <c r="P3341">
        <v>0</v>
      </c>
      <c r="Q3341">
        <v>4</v>
      </c>
      <c r="R3341" t="s">
        <v>40439</v>
      </c>
      <c r="S3341" t="s">
        <v>40588</v>
      </c>
      <c r="T3341" t="s">
        <v>42222</v>
      </c>
      <c r="U3341" t="s">
        <v>45518</v>
      </c>
      <c r="W3341" t="s">
        <v>37255</v>
      </c>
      <c r="X3341" t="s">
        <v>40440</v>
      </c>
    </row>
    <row r="3342" spans="1:24">
      <c r="A3342">
        <f>HYPERLINK("https://www.philgeps.gov.ph/GEPSNONPILOT/Tender/SplashBidNoticeAbstractUI.aspx?menuIndex=3&amp;refID=7045287&amp;Result=3","7045287")</f>
        <v>0</v>
      </c>
      <c r="B3342" t="s">
        <v>1289</v>
      </c>
      <c r="C3342" t="s">
        <v>6275</v>
      </c>
      <c r="E3342" t="s">
        <v>19302</v>
      </c>
      <c r="F3342" t="s">
        <v>28198</v>
      </c>
      <c r="G3342" t="s">
        <v>28205</v>
      </c>
      <c r="H3342" t="s">
        <v>28215</v>
      </c>
      <c r="I3342" t="s">
        <v>4321</v>
      </c>
      <c r="J3342" t="s">
        <v>30568</v>
      </c>
      <c r="K3342" t="s">
        <v>36689</v>
      </c>
      <c r="M3342" t="s">
        <v>38342</v>
      </c>
      <c r="N3342" t="s">
        <v>40436</v>
      </c>
      <c r="O3342" t="s">
        <v>40437</v>
      </c>
      <c r="P3342">
        <v>0</v>
      </c>
      <c r="Q3342">
        <v>0</v>
      </c>
      <c r="R3342" t="s">
        <v>40439</v>
      </c>
      <c r="S3342" t="s">
        <v>40588</v>
      </c>
      <c r="T3342" t="s">
        <v>42128</v>
      </c>
      <c r="U3342" t="s">
        <v>45519</v>
      </c>
      <c r="W3342" t="s">
        <v>38342</v>
      </c>
      <c r="X3342" t="s">
        <v>40440</v>
      </c>
    </row>
    <row r="3343" spans="1:24">
      <c r="A3343">
        <f>HYPERLINK("https://www.philgeps.gov.ph/GEPSNONPILOT/Tender/SplashBidNoticeAbstractUI.aspx?menuIndex=3&amp;refID=7045294&amp;Result=3","7045294")</f>
        <v>0</v>
      </c>
      <c r="B3343" t="s">
        <v>1289</v>
      </c>
      <c r="C3343" t="s">
        <v>6276</v>
      </c>
      <c r="E3343" t="s">
        <v>19303</v>
      </c>
      <c r="F3343" t="s">
        <v>28198</v>
      </c>
      <c r="G3343" t="s">
        <v>28205</v>
      </c>
      <c r="H3343" t="s">
        <v>28215</v>
      </c>
      <c r="I3343" t="s">
        <v>5100</v>
      </c>
      <c r="J3343" t="s">
        <v>30569</v>
      </c>
      <c r="K3343" t="s">
        <v>36689</v>
      </c>
      <c r="M3343" t="s">
        <v>38342</v>
      </c>
      <c r="N3343" t="s">
        <v>40436</v>
      </c>
      <c r="O3343" t="s">
        <v>40437</v>
      </c>
      <c r="P3343">
        <v>0</v>
      </c>
      <c r="Q3343">
        <v>0</v>
      </c>
      <c r="R3343" t="s">
        <v>40439</v>
      </c>
      <c r="S3343" t="s">
        <v>40588</v>
      </c>
      <c r="T3343" t="s">
        <v>42359</v>
      </c>
      <c r="U3343" t="s">
        <v>45520</v>
      </c>
      <c r="W3343" t="s">
        <v>38342</v>
      </c>
      <c r="X3343" t="s">
        <v>40440</v>
      </c>
    </row>
    <row r="3344" spans="1:24">
      <c r="A3344">
        <f>HYPERLINK("https://www.philgeps.gov.ph/GEPSNONPILOT/Tender/SplashBidNoticeAbstractUI.aspx?menuIndex=3&amp;refID=7045292&amp;Result=3","7045292")</f>
        <v>0</v>
      </c>
      <c r="B3344" t="s">
        <v>1290</v>
      </c>
      <c r="C3344" t="s">
        <v>6277</v>
      </c>
      <c r="D3344" t="s">
        <v>16188</v>
      </c>
      <c r="E3344" t="s">
        <v>19304</v>
      </c>
      <c r="F3344" t="s">
        <v>28198</v>
      </c>
      <c r="G3344" t="s">
        <v>28206</v>
      </c>
      <c r="H3344" t="s">
        <v>28215</v>
      </c>
      <c r="I3344" t="s">
        <v>5082</v>
      </c>
      <c r="J3344" t="s">
        <v>30570</v>
      </c>
      <c r="K3344" t="s">
        <v>36706</v>
      </c>
      <c r="M3344" t="s">
        <v>38343</v>
      </c>
      <c r="N3344" t="s">
        <v>40436</v>
      </c>
      <c r="O3344" t="s">
        <v>40437</v>
      </c>
      <c r="P3344">
        <v>0</v>
      </c>
      <c r="Q3344">
        <v>0</v>
      </c>
      <c r="R3344" t="s">
        <v>40439</v>
      </c>
      <c r="S3344" t="s">
        <v>40588</v>
      </c>
      <c r="T3344" t="s">
        <v>42131</v>
      </c>
      <c r="U3344" t="s">
        <v>44028</v>
      </c>
      <c r="W3344" t="s">
        <v>38343</v>
      </c>
      <c r="X3344" t="s">
        <v>40440</v>
      </c>
    </row>
    <row r="3345" spans="1:24">
      <c r="A3345">
        <f>HYPERLINK("https://www.philgeps.gov.ph/GEPSNONPILOT/Tender/SplashBidNoticeAbstractUI.aspx?menuIndex=3&amp;refID=7045307&amp;Result=3","7045307")</f>
        <v>0</v>
      </c>
      <c r="B3345" t="s">
        <v>1291</v>
      </c>
      <c r="C3345" t="s">
        <v>6278</v>
      </c>
      <c r="D3345" t="s">
        <v>16221</v>
      </c>
      <c r="E3345" t="s">
        <v>19305</v>
      </c>
      <c r="F3345" t="s">
        <v>28198</v>
      </c>
      <c r="G3345" t="s">
        <v>28206</v>
      </c>
      <c r="H3345" t="s">
        <v>28215</v>
      </c>
      <c r="I3345" t="s">
        <v>28225</v>
      </c>
      <c r="J3345" t="s">
        <v>30571</v>
      </c>
      <c r="K3345" t="s">
        <v>36689</v>
      </c>
      <c r="M3345" t="s">
        <v>38344</v>
      </c>
      <c r="N3345" t="s">
        <v>40436</v>
      </c>
      <c r="O3345" t="s">
        <v>40437</v>
      </c>
      <c r="P3345">
        <v>0</v>
      </c>
      <c r="Q3345">
        <v>4</v>
      </c>
      <c r="R3345" t="s">
        <v>40439</v>
      </c>
      <c r="S3345" t="s">
        <v>40588</v>
      </c>
      <c r="T3345" t="s">
        <v>42245</v>
      </c>
      <c r="U3345" t="s">
        <v>45521</v>
      </c>
      <c r="W3345" t="s">
        <v>38344</v>
      </c>
      <c r="X3345" t="s">
        <v>40440</v>
      </c>
    </row>
    <row r="3346" spans="1:24">
      <c r="A3346">
        <f>HYPERLINK("https://www.philgeps.gov.ph/GEPSNONPILOT/Tender/SplashBidNoticeAbstractUI.aspx?menuIndex=3&amp;refID=7045291&amp;Result=3","7045291")</f>
        <v>0</v>
      </c>
      <c r="B3346" t="s">
        <v>1292</v>
      </c>
      <c r="C3346" t="s">
        <v>6279</v>
      </c>
      <c r="D3346" t="s">
        <v>16195</v>
      </c>
      <c r="E3346" t="s">
        <v>17572</v>
      </c>
      <c r="F3346" t="s">
        <v>28198</v>
      </c>
      <c r="G3346" t="s">
        <v>28207</v>
      </c>
      <c r="H3346" t="s">
        <v>28215</v>
      </c>
      <c r="I3346" t="s">
        <v>5631</v>
      </c>
      <c r="J3346" t="s">
        <v>30572</v>
      </c>
      <c r="K3346" t="s">
        <v>36687</v>
      </c>
      <c r="M3346" t="s">
        <v>38345</v>
      </c>
      <c r="N3346" t="s">
        <v>40436</v>
      </c>
      <c r="O3346" t="s">
        <v>40437</v>
      </c>
      <c r="P3346">
        <v>0</v>
      </c>
      <c r="Q3346">
        <v>0</v>
      </c>
      <c r="R3346" t="s">
        <v>40439</v>
      </c>
      <c r="S3346" t="s">
        <v>40588</v>
      </c>
      <c r="T3346" t="s">
        <v>42169</v>
      </c>
      <c r="U3346" t="s">
        <v>45522</v>
      </c>
      <c r="W3346" t="s">
        <v>38345</v>
      </c>
      <c r="X3346" t="s">
        <v>40440</v>
      </c>
    </row>
    <row r="3347" spans="1:24">
      <c r="A3347">
        <f>HYPERLINK("https://www.philgeps.gov.ph/GEPSNONPILOT/Tender/SplashBidNoticeAbstractUI.aspx?menuIndex=3&amp;refID=7045309&amp;Result=3","7045309")</f>
        <v>0</v>
      </c>
      <c r="B3347" t="s">
        <v>1293</v>
      </c>
      <c r="C3347" t="s">
        <v>3595</v>
      </c>
      <c r="D3347" t="s">
        <v>16260</v>
      </c>
      <c r="E3347" t="s">
        <v>19306</v>
      </c>
      <c r="F3347" t="s">
        <v>28198</v>
      </c>
      <c r="G3347" t="s">
        <v>28207</v>
      </c>
      <c r="H3347" t="s">
        <v>28215</v>
      </c>
      <c r="I3347" t="s">
        <v>28268</v>
      </c>
      <c r="J3347" t="s">
        <v>30573</v>
      </c>
      <c r="K3347" t="s">
        <v>36694</v>
      </c>
      <c r="M3347" t="s">
        <v>38346</v>
      </c>
      <c r="N3347" t="s">
        <v>40436</v>
      </c>
      <c r="O3347" t="s">
        <v>40437</v>
      </c>
      <c r="P3347">
        <v>0</v>
      </c>
      <c r="Q3347">
        <v>3</v>
      </c>
      <c r="R3347" t="s">
        <v>40439</v>
      </c>
      <c r="S3347" t="s">
        <v>40588</v>
      </c>
      <c r="T3347" t="s">
        <v>42161</v>
      </c>
      <c r="U3347" t="s">
        <v>45523</v>
      </c>
      <c r="W3347" t="s">
        <v>38346</v>
      </c>
      <c r="X3347" t="s">
        <v>40440</v>
      </c>
    </row>
    <row r="3348" spans="1:24">
      <c r="A3348">
        <f>HYPERLINK("https://www.philgeps.gov.ph/GEPSNONPILOT/Tender/SplashBidNoticeAbstractUI.aspx?menuIndex=3&amp;refID=7045308&amp;Result=3","7045308")</f>
        <v>0</v>
      </c>
      <c r="B3348" t="s">
        <v>1023</v>
      </c>
      <c r="C3348" t="s">
        <v>6280</v>
      </c>
      <c r="D3348" t="s">
        <v>16265</v>
      </c>
      <c r="E3348" t="s">
        <v>19307</v>
      </c>
      <c r="F3348" t="s">
        <v>28198</v>
      </c>
      <c r="G3348" t="s">
        <v>28207</v>
      </c>
      <c r="H3348" t="s">
        <v>28215</v>
      </c>
      <c r="I3348" t="s">
        <v>28224</v>
      </c>
      <c r="J3348" t="s">
        <v>30574</v>
      </c>
      <c r="K3348" t="s">
        <v>36687</v>
      </c>
      <c r="M3348" t="s">
        <v>38054</v>
      </c>
      <c r="N3348" t="s">
        <v>40436</v>
      </c>
      <c r="O3348" t="s">
        <v>40437</v>
      </c>
      <c r="P3348">
        <v>0</v>
      </c>
      <c r="Q3348">
        <v>0</v>
      </c>
      <c r="R3348" t="s">
        <v>40439</v>
      </c>
      <c r="S3348" t="s">
        <v>40588</v>
      </c>
      <c r="T3348" t="s">
        <v>42158</v>
      </c>
      <c r="U3348" t="s">
        <v>45524</v>
      </c>
      <c r="W3348" t="s">
        <v>38054</v>
      </c>
      <c r="X3348" t="s">
        <v>40440</v>
      </c>
    </row>
    <row r="3349" spans="1:24">
      <c r="A3349">
        <f>HYPERLINK("https://www.philgeps.gov.ph/GEPSNONPILOT/Tender/SplashBidNoticeAbstractUI.aspx?menuIndex=3&amp;refID=7045289&amp;Result=3","7045289")</f>
        <v>0</v>
      </c>
      <c r="B3349" t="s">
        <v>1023</v>
      </c>
      <c r="C3349" t="s">
        <v>6281</v>
      </c>
      <c r="D3349" t="s">
        <v>16265</v>
      </c>
      <c r="E3349" t="s">
        <v>19308</v>
      </c>
      <c r="F3349" t="s">
        <v>28198</v>
      </c>
      <c r="G3349" t="s">
        <v>28207</v>
      </c>
      <c r="H3349" t="s">
        <v>28215</v>
      </c>
      <c r="I3349" t="s">
        <v>28228</v>
      </c>
      <c r="J3349" t="s">
        <v>28430</v>
      </c>
      <c r="K3349" t="s">
        <v>36687</v>
      </c>
      <c r="M3349" t="s">
        <v>38054</v>
      </c>
      <c r="N3349" t="s">
        <v>40436</v>
      </c>
      <c r="O3349" t="s">
        <v>40437</v>
      </c>
      <c r="P3349">
        <v>0</v>
      </c>
      <c r="Q3349">
        <v>0</v>
      </c>
      <c r="R3349" t="s">
        <v>40439</v>
      </c>
      <c r="S3349" t="s">
        <v>40588</v>
      </c>
      <c r="T3349" t="s">
        <v>42158</v>
      </c>
      <c r="U3349" t="s">
        <v>45525</v>
      </c>
      <c r="W3349" t="s">
        <v>38054</v>
      </c>
      <c r="X3349" t="s">
        <v>40440</v>
      </c>
    </row>
    <row r="3350" spans="1:24">
      <c r="A3350">
        <f>HYPERLINK("https://www.philgeps.gov.ph/GEPSNONPILOT/Tender/SplashBidNoticeAbstractUI.aspx?menuIndex=3&amp;refID=7045310&amp;Result=3","7045310")</f>
        <v>0</v>
      </c>
      <c r="B3350" t="s">
        <v>1023</v>
      </c>
      <c r="C3350" t="s">
        <v>6282</v>
      </c>
      <c r="D3350" t="s">
        <v>16265</v>
      </c>
      <c r="E3350" t="s">
        <v>19307</v>
      </c>
      <c r="F3350" t="s">
        <v>28198</v>
      </c>
      <c r="G3350" t="s">
        <v>28207</v>
      </c>
      <c r="H3350" t="s">
        <v>28215</v>
      </c>
      <c r="I3350" t="s">
        <v>6051</v>
      </c>
      <c r="J3350" t="s">
        <v>30575</v>
      </c>
      <c r="K3350" t="s">
        <v>36687</v>
      </c>
      <c r="M3350" t="s">
        <v>38054</v>
      </c>
      <c r="N3350" t="s">
        <v>40436</v>
      </c>
      <c r="O3350" t="s">
        <v>40437</v>
      </c>
      <c r="P3350">
        <v>0</v>
      </c>
      <c r="Q3350">
        <v>1</v>
      </c>
      <c r="R3350" t="s">
        <v>40439</v>
      </c>
      <c r="S3350" t="s">
        <v>40588</v>
      </c>
      <c r="T3350" t="s">
        <v>42158</v>
      </c>
      <c r="U3350" t="s">
        <v>45524</v>
      </c>
      <c r="W3350" t="s">
        <v>38054</v>
      </c>
      <c r="X3350" t="s">
        <v>40440</v>
      </c>
    </row>
    <row r="3351" spans="1:24">
      <c r="A3351">
        <f>HYPERLINK("https://www.philgeps.gov.ph/GEPSNONPILOT/Tender/SplashBidNoticeAbstractUI.aspx?menuIndex=3&amp;refID=7045305&amp;Result=3","7045305")</f>
        <v>0</v>
      </c>
      <c r="B3351" t="s">
        <v>1200</v>
      </c>
      <c r="C3351" t="s">
        <v>6283</v>
      </c>
      <c r="D3351" t="s">
        <v>16244</v>
      </c>
      <c r="E3351" t="s">
        <v>19309</v>
      </c>
      <c r="F3351" t="s">
        <v>28198</v>
      </c>
      <c r="G3351" t="s">
        <v>28205</v>
      </c>
      <c r="H3351" t="s">
        <v>28214</v>
      </c>
      <c r="I3351" t="s">
        <v>3797</v>
      </c>
      <c r="J3351" t="s">
        <v>30576</v>
      </c>
      <c r="K3351" t="s">
        <v>36799</v>
      </c>
      <c r="M3351" t="s">
        <v>38245</v>
      </c>
      <c r="N3351" t="s">
        <v>40436</v>
      </c>
      <c r="O3351" t="s">
        <v>40437</v>
      </c>
      <c r="P3351">
        <v>0</v>
      </c>
      <c r="Q3351">
        <v>0</v>
      </c>
      <c r="R3351" t="s">
        <v>40439</v>
      </c>
      <c r="S3351" t="s">
        <v>40588</v>
      </c>
      <c r="T3351" t="s">
        <v>42248</v>
      </c>
      <c r="U3351" t="s">
        <v>45507</v>
      </c>
      <c r="W3351" t="s">
        <v>38245</v>
      </c>
      <c r="X3351" t="s">
        <v>40440</v>
      </c>
    </row>
    <row r="3352" spans="1:24">
      <c r="A3352">
        <f>HYPERLINK("https://www.philgeps.gov.ph/GEPSNONPILOT/Tender/SplashBidNoticeAbstractUI.aspx?menuIndex=3&amp;refID=7045290&amp;Result=3","7045290")</f>
        <v>0</v>
      </c>
      <c r="B3352" t="s">
        <v>1294</v>
      </c>
      <c r="C3352" t="s">
        <v>6284</v>
      </c>
      <c r="D3352" t="s">
        <v>16193</v>
      </c>
      <c r="E3352" t="s">
        <v>19310</v>
      </c>
      <c r="F3352" t="s">
        <v>28198</v>
      </c>
      <c r="G3352" t="s">
        <v>28207</v>
      </c>
      <c r="H3352" t="s">
        <v>28215</v>
      </c>
      <c r="I3352" t="s">
        <v>28255</v>
      </c>
      <c r="J3352" t="s">
        <v>29346</v>
      </c>
      <c r="K3352" t="s">
        <v>36701</v>
      </c>
      <c r="M3352" t="s">
        <v>38347</v>
      </c>
      <c r="N3352" t="s">
        <v>40436</v>
      </c>
      <c r="O3352" t="s">
        <v>40437</v>
      </c>
      <c r="P3352">
        <v>0</v>
      </c>
      <c r="Q3352">
        <v>0</v>
      </c>
      <c r="R3352" t="s">
        <v>40439</v>
      </c>
      <c r="S3352" t="s">
        <v>40588</v>
      </c>
      <c r="T3352" t="s">
        <v>42360</v>
      </c>
      <c r="U3352" t="s">
        <v>45526</v>
      </c>
      <c r="V3352" t="s">
        <v>54126</v>
      </c>
      <c r="W3352" t="s">
        <v>38347</v>
      </c>
      <c r="X3352" t="s">
        <v>40440</v>
      </c>
    </row>
    <row r="3353" spans="1:24">
      <c r="A3353">
        <f>HYPERLINK("https://www.philgeps.gov.ph/GEPSNONPILOT/Tender/SplashBidNoticeAbstractUI.aspx?menuIndex=3&amp;refID=7045301&amp;Result=3","7045301")</f>
        <v>0</v>
      </c>
      <c r="B3353" t="s">
        <v>378</v>
      </c>
      <c r="C3353" t="s">
        <v>6285</v>
      </c>
      <c r="D3353" t="s">
        <v>16187</v>
      </c>
      <c r="E3353" t="s">
        <v>19311</v>
      </c>
      <c r="F3353" t="s">
        <v>28198</v>
      </c>
      <c r="G3353" t="s">
        <v>28206</v>
      </c>
      <c r="H3353" t="s">
        <v>28215</v>
      </c>
      <c r="I3353" t="s">
        <v>5082</v>
      </c>
      <c r="J3353" t="s">
        <v>28980</v>
      </c>
      <c r="K3353" t="s">
        <v>36689</v>
      </c>
      <c r="M3353" t="s">
        <v>37358</v>
      </c>
      <c r="N3353" t="s">
        <v>40436</v>
      </c>
      <c r="O3353" t="s">
        <v>40437</v>
      </c>
      <c r="P3353">
        <v>0</v>
      </c>
      <c r="Q3353">
        <v>1</v>
      </c>
      <c r="R3353" t="s">
        <v>40439</v>
      </c>
      <c r="S3353" t="s">
        <v>40588</v>
      </c>
      <c r="T3353" t="s">
        <v>42131</v>
      </c>
      <c r="U3353" t="s">
        <v>45527</v>
      </c>
      <c r="W3353" t="s">
        <v>37358</v>
      </c>
      <c r="X3353" t="s">
        <v>40440</v>
      </c>
    </row>
    <row r="3354" spans="1:24">
      <c r="A3354">
        <f>HYPERLINK("https://www.philgeps.gov.ph/GEPSNONPILOT/Tender/SplashBidNoticeAbstractUI.aspx?menuIndex=3&amp;refID=7045288&amp;Result=3","7045288")</f>
        <v>0</v>
      </c>
      <c r="B3354" t="s">
        <v>378</v>
      </c>
      <c r="C3354" t="s">
        <v>6286</v>
      </c>
      <c r="D3354" t="s">
        <v>16187</v>
      </c>
      <c r="E3354" t="s">
        <v>19312</v>
      </c>
      <c r="F3354" t="s">
        <v>28198</v>
      </c>
      <c r="G3354" t="s">
        <v>28207</v>
      </c>
      <c r="H3354" t="s">
        <v>28215</v>
      </c>
      <c r="I3354" t="s">
        <v>28225</v>
      </c>
      <c r="J3354" t="s">
        <v>30577</v>
      </c>
      <c r="K3354" t="s">
        <v>36689</v>
      </c>
      <c r="M3354" t="s">
        <v>37358</v>
      </c>
      <c r="N3354" t="s">
        <v>40436</v>
      </c>
      <c r="O3354" t="s">
        <v>40437</v>
      </c>
      <c r="P3354">
        <v>0</v>
      </c>
      <c r="Q3354">
        <v>1</v>
      </c>
      <c r="R3354" t="s">
        <v>40439</v>
      </c>
      <c r="S3354" t="s">
        <v>40588</v>
      </c>
      <c r="T3354" t="s">
        <v>42131</v>
      </c>
      <c r="U3354" t="s">
        <v>45528</v>
      </c>
      <c r="W3354" t="s">
        <v>37358</v>
      </c>
      <c r="X3354" t="s">
        <v>40440</v>
      </c>
    </row>
    <row r="3355" spans="1:24">
      <c r="A3355">
        <f>HYPERLINK("https://www.philgeps.gov.ph/GEPSNONPILOT/Tender/SplashBidNoticeAbstractUI.aspx?menuIndex=3&amp;refID=7045306&amp;Result=3","7045306")</f>
        <v>0</v>
      </c>
      <c r="B3355" t="s">
        <v>85</v>
      </c>
      <c r="C3355" t="s">
        <v>6287</v>
      </c>
      <c r="D3355" t="s">
        <v>16221</v>
      </c>
      <c r="E3355" t="s">
        <v>19313</v>
      </c>
      <c r="F3355" t="s">
        <v>28198</v>
      </c>
      <c r="G3355" t="s">
        <v>28205</v>
      </c>
      <c r="H3355" t="s">
        <v>28214</v>
      </c>
      <c r="I3355" t="s">
        <v>3797</v>
      </c>
      <c r="J3355" t="s">
        <v>28378</v>
      </c>
      <c r="K3355" t="s">
        <v>36701</v>
      </c>
      <c r="M3355" t="s">
        <v>37057</v>
      </c>
      <c r="N3355" t="s">
        <v>40436</v>
      </c>
      <c r="O3355" t="s">
        <v>40437</v>
      </c>
      <c r="P3355">
        <v>0</v>
      </c>
      <c r="Q3355">
        <v>1</v>
      </c>
      <c r="R3355" t="s">
        <v>40439</v>
      </c>
      <c r="S3355" t="s">
        <v>40588</v>
      </c>
      <c r="T3355" t="s">
        <v>42138</v>
      </c>
      <c r="U3355" t="s">
        <v>42729</v>
      </c>
      <c r="W3355" t="s">
        <v>37057</v>
      </c>
      <c r="X3355" t="s">
        <v>40440</v>
      </c>
    </row>
    <row r="3356" spans="1:24">
      <c r="A3356">
        <f>HYPERLINK("https://www.philgeps.gov.ph/GEPSNONPILOT/Tender/SplashBidNoticeAbstractUI.aspx?menuIndex=3&amp;refID=7045297&amp;Result=3","7045297")</f>
        <v>0</v>
      </c>
      <c r="B3356" t="s">
        <v>70</v>
      </c>
      <c r="C3356" t="s">
        <v>6288</v>
      </c>
      <c r="D3356" t="s">
        <v>16214</v>
      </c>
      <c r="E3356" t="s">
        <v>19314</v>
      </c>
      <c r="F3356" t="s">
        <v>28198</v>
      </c>
      <c r="G3356" t="s">
        <v>28205</v>
      </c>
      <c r="H3356" t="s">
        <v>28215</v>
      </c>
      <c r="I3356" t="s">
        <v>28226</v>
      </c>
      <c r="J3356" t="s">
        <v>30578</v>
      </c>
      <c r="K3356" t="s">
        <v>36701</v>
      </c>
      <c r="M3356" t="s">
        <v>38348</v>
      </c>
      <c r="N3356" t="s">
        <v>40436</v>
      </c>
      <c r="O3356" t="s">
        <v>40437</v>
      </c>
      <c r="P3356">
        <v>0</v>
      </c>
      <c r="Q3356">
        <v>1</v>
      </c>
      <c r="R3356" t="s">
        <v>40439</v>
      </c>
      <c r="S3356" t="s">
        <v>40588</v>
      </c>
      <c r="T3356" t="s">
        <v>42133</v>
      </c>
      <c r="U3356" t="s">
        <v>45529</v>
      </c>
      <c r="W3356" t="s">
        <v>38348</v>
      </c>
      <c r="X3356" t="s">
        <v>40440</v>
      </c>
    </row>
    <row r="3357" spans="1:24">
      <c r="A3357">
        <f>HYPERLINK("https://www.philgeps.gov.ph/GEPSNONPILOT/Tender/SplashBidNoticeAbstractUI.aspx?menuIndex=3&amp;refID=7045304&amp;Result=3","7045304")</f>
        <v>0</v>
      </c>
      <c r="B3357" t="s">
        <v>1023</v>
      </c>
      <c r="C3357" t="s">
        <v>6289</v>
      </c>
      <c r="D3357" t="s">
        <v>16265</v>
      </c>
      <c r="E3357" t="s">
        <v>19307</v>
      </c>
      <c r="F3357" t="s">
        <v>28198</v>
      </c>
      <c r="G3357" t="s">
        <v>28207</v>
      </c>
      <c r="H3357" t="s">
        <v>28215</v>
      </c>
      <c r="I3357" t="s">
        <v>28249</v>
      </c>
      <c r="J3357" t="s">
        <v>30579</v>
      </c>
      <c r="K3357" t="s">
        <v>36687</v>
      </c>
      <c r="M3357" t="s">
        <v>38054</v>
      </c>
      <c r="N3357" t="s">
        <v>40436</v>
      </c>
      <c r="O3357" t="s">
        <v>40437</v>
      </c>
      <c r="P3357">
        <v>0</v>
      </c>
      <c r="Q3357">
        <v>0</v>
      </c>
      <c r="R3357" t="s">
        <v>40439</v>
      </c>
      <c r="S3357" t="s">
        <v>40588</v>
      </c>
      <c r="T3357" t="s">
        <v>42158</v>
      </c>
      <c r="U3357" t="s">
        <v>45524</v>
      </c>
      <c r="W3357" t="s">
        <v>38054</v>
      </c>
      <c r="X3357" t="s">
        <v>40440</v>
      </c>
    </row>
    <row r="3358" spans="1:24">
      <c r="A3358">
        <f>HYPERLINK("https://www.philgeps.gov.ph/GEPSNONPILOT/Tender/SplashBidNoticeAbstractUI.aspx?menuIndex=3&amp;refID=7045300&amp;Result=3","7045300")</f>
        <v>0</v>
      </c>
      <c r="B3358" t="s">
        <v>1023</v>
      </c>
      <c r="C3358" t="s">
        <v>5537</v>
      </c>
      <c r="D3358" t="s">
        <v>16265</v>
      </c>
      <c r="E3358" t="s">
        <v>19315</v>
      </c>
      <c r="F3358" t="s">
        <v>28198</v>
      </c>
      <c r="G3358" t="s">
        <v>28210</v>
      </c>
      <c r="H3358" t="s">
        <v>28215</v>
      </c>
      <c r="I3358" t="s">
        <v>5082</v>
      </c>
      <c r="J3358" t="s">
        <v>30580</v>
      </c>
      <c r="K3358" t="s">
        <v>36687</v>
      </c>
      <c r="M3358" t="s">
        <v>38054</v>
      </c>
      <c r="N3358" t="s">
        <v>40436</v>
      </c>
      <c r="O3358" t="s">
        <v>40437</v>
      </c>
      <c r="P3358">
        <v>0</v>
      </c>
      <c r="Q3358">
        <v>0</v>
      </c>
      <c r="R3358" t="s">
        <v>40439</v>
      </c>
      <c r="S3358" t="s">
        <v>40588</v>
      </c>
      <c r="T3358" t="s">
        <v>42158</v>
      </c>
      <c r="U3358" t="s">
        <v>45530</v>
      </c>
      <c r="W3358" t="s">
        <v>38054</v>
      </c>
      <c r="X3358" t="s">
        <v>40440</v>
      </c>
    </row>
    <row r="3359" spans="1:24">
      <c r="A3359">
        <f>HYPERLINK("https://www.philgeps.gov.ph/GEPSNONPILOT/Tender/SplashBidNoticeAbstractUI.aspx?menuIndex=3&amp;refID=7045295&amp;Result=3","7045295")</f>
        <v>0</v>
      </c>
      <c r="B3359" t="s">
        <v>1023</v>
      </c>
      <c r="C3359" t="s">
        <v>6290</v>
      </c>
      <c r="D3359" t="s">
        <v>16265</v>
      </c>
      <c r="E3359" t="s">
        <v>19316</v>
      </c>
      <c r="F3359" t="s">
        <v>28198</v>
      </c>
      <c r="G3359" t="s">
        <v>28207</v>
      </c>
      <c r="H3359" t="s">
        <v>28215</v>
      </c>
      <c r="I3359" t="s">
        <v>28307</v>
      </c>
      <c r="J3359" t="s">
        <v>30581</v>
      </c>
      <c r="K3359" t="s">
        <v>36687</v>
      </c>
      <c r="M3359" t="s">
        <v>38054</v>
      </c>
      <c r="N3359" t="s">
        <v>40436</v>
      </c>
      <c r="O3359" t="s">
        <v>40437</v>
      </c>
      <c r="P3359">
        <v>0</v>
      </c>
      <c r="Q3359">
        <v>0</v>
      </c>
      <c r="R3359" t="s">
        <v>40439</v>
      </c>
      <c r="S3359" t="s">
        <v>40588</v>
      </c>
      <c r="T3359" t="s">
        <v>42158</v>
      </c>
      <c r="U3359" t="s">
        <v>45531</v>
      </c>
      <c r="W3359" t="s">
        <v>38054</v>
      </c>
      <c r="X3359" t="s">
        <v>40440</v>
      </c>
    </row>
    <row r="3360" spans="1:24">
      <c r="A3360">
        <f>HYPERLINK("https://www.philgeps.gov.ph/GEPSNONPILOT/Tender/SplashBidNoticeAbstractUI.aspx?menuIndex=3&amp;refID=7045311&amp;Result=3","7045311")</f>
        <v>0</v>
      </c>
      <c r="B3360" t="s">
        <v>1170</v>
      </c>
      <c r="C3360" t="s">
        <v>6291</v>
      </c>
      <c r="D3360" t="s">
        <v>16190</v>
      </c>
      <c r="E3360" t="s">
        <v>18966</v>
      </c>
      <c r="F3360" t="s">
        <v>28198</v>
      </c>
      <c r="G3360" t="s">
        <v>28207</v>
      </c>
      <c r="H3360" t="s">
        <v>28215</v>
      </c>
      <c r="I3360" t="s">
        <v>5082</v>
      </c>
      <c r="J3360" t="s">
        <v>30582</v>
      </c>
      <c r="K3360" t="s">
        <v>36706</v>
      </c>
      <c r="M3360" t="s">
        <v>38210</v>
      </c>
      <c r="N3360" t="s">
        <v>40436</v>
      </c>
      <c r="O3360" t="s">
        <v>40437</v>
      </c>
      <c r="P3360">
        <v>0</v>
      </c>
      <c r="Q3360">
        <v>1</v>
      </c>
      <c r="R3360" t="s">
        <v>40439</v>
      </c>
      <c r="S3360" t="s">
        <v>40588</v>
      </c>
      <c r="T3360" t="s">
        <v>42131</v>
      </c>
      <c r="U3360" t="s">
        <v>45532</v>
      </c>
      <c r="W3360" t="s">
        <v>38210</v>
      </c>
      <c r="X3360" t="s">
        <v>40440</v>
      </c>
    </row>
    <row r="3361" spans="1:24">
      <c r="A3361">
        <f>HYPERLINK("https://www.philgeps.gov.ph/GEPSNONPILOT/Tender/SplashBidNoticeAbstractUI.aspx?menuIndex=3&amp;refID=7045296&amp;Result=3","7045296")</f>
        <v>0</v>
      </c>
      <c r="B3361" t="s">
        <v>1135</v>
      </c>
      <c r="C3361" t="s">
        <v>6292</v>
      </c>
      <c r="D3361" t="s">
        <v>16209</v>
      </c>
      <c r="E3361" t="s">
        <v>19317</v>
      </c>
      <c r="F3361" t="s">
        <v>28198</v>
      </c>
      <c r="G3361" t="s">
        <v>28205</v>
      </c>
      <c r="H3361" t="s">
        <v>28215</v>
      </c>
      <c r="I3361" t="s">
        <v>28256</v>
      </c>
      <c r="J3361" t="s">
        <v>28548</v>
      </c>
      <c r="K3361" t="s">
        <v>36706</v>
      </c>
      <c r="M3361" t="s">
        <v>38174</v>
      </c>
      <c r="N3361" t="s">
        <v>40436</v>
      </c>
      <c r="O3361" t="s">
        <v>40437</v>
      </c>
      <c r="P3361">
        <v>0</v>
      </c>
      <c r="Q3361">
        <v>5</v>
      </c>
      <c r="R3361" t="s">
        <v>40439</v>
      </c>
      <c r="S3361" t="s">
        <v>40588</v>
      </c>
      <c r="T3361" t="s">
        <v>42108</v>
      </c>
      <c r="U3361" t="s">
        <v>45533</v>
      </c>
      <c r="W3361" t="s">
        <v>38174</v>
      </c>
      <c r="X3361" t="s">
        <v>40440</v>
      </c>
    </row>
    <row r="3362" spans="1:24">
      <c r="A3362">
        <f>HYPERLINK("https://www.philgeps.gov.ph/GEPSNONPILOT/Tender/SplashBidNoticeAbstractUI.aspx?menuIndex=3&amp;refID=7045298&amp;Result=3","7045298")</f>
        <v>0</v>
      </c>
      <c r="B3362" t="s">
        <v>1295</v>
      </c>
      <c r="C3362" t="s">
        <v>6293</v>
      </c>
      <c r="D3362" t="s">
        <v>16192</v>
      </c>
      <c r="E3362" t="s">
        <v>16322</v>
      </c>
      <c r="F3362" t="s">
        <v>28198</v>
      </c>
      <c r="G3362" t="s">
        <v>28205</v>
      </c>
      <c r="H3362" t="s">
        <v>28215</v>
      </c>
      <c r="I3362" t="s">
        <v>28256</v>
      </c>
      <c r="J3362" t="s">
        <v>28378</v>
      </c>
      <c r="K3362" t="s">
        <v>36706</v>
      </c>
      <c r="M3362" t="s">
        <v>38349</v>
      </c>
      <c r="N3362" t="s">
        <v>40436</v>
      </c>
      <c r="O3362" t="s">
        <v>40437</v>
      </c>
      <c r="P3362">
        <v>0</v>
      </c>
      <c r="Q3362">
        <v>5</v>
      </c>
      <c r="R3362" t="s">
        <v>40439</v>
      </c>
      <c r="S3362" t="s">
        <v>40588</v>
      </c>
      <c r="T3362" t="s">
        <v>42121</v>
      </c>
      <c r="U3362" t="s">
        <v>45534</v>
      </c>
      <c r="W3362" t="s">
        <v>38349</v>
      </c>
      <c r="X3362" t="s">
        <v>40440</v>
      </c>
    </row>
    <row r="3363" spans="1:24">
      <c r="A3363">
        <f>HYPERLINK("https://www.philgeps.gov.ph/GEPSNONPILOT/Tender/SplashBidNoticeAbstractUI.aspx?menuIndex=3&amp;refID=7045318&amp;Result=3","7045318")</f>
        <v>0</v>
      </c>
      <c r="B3363" t="s">
        <v>1287</v>
      </c>
      <c r="C3363" t="s">
        <v>6294</v>
      </c>
      <c r="D3363" t="s">
        <v>16210</v>
      </c>
      <c r="E3363" t="s">
        <v>19318</v>
      </c>
      <c r="F3363" t="s">
        <v>28198</v>
      </c>
      <c r="G3363" t="s">
        <v>28206</v>
      </c>
      <c r="H3363" t="s">
        <v>28215</v>
      </c>
      <c r="I3363" t="s">
        <v>4200</v>
      </c>
      <c r="J3363" t="s">
        <v>30085</v>
      </c>
      <c r="K3363" t="s">
        <v>36691</v>
      </c>
      <c r="M3363" t="s">
        <v>38340</v>
      </c>
      <c r="N3363" t="s">
        <v>40436</v>
      </c>
      <c r="O3363" t="s">
        <v>40437</v>
      </c>
      <c r="P3363">
        <v>0</v>
      </c>
      <c r="Q3363">
        <v>1</v>
      </c>
      <c r="R3363" t="s">
        <v>40439</v>
      </c>
      <c r="S3363" t="s">
        <v>40588</v>
      </c>
      <c r="T3363" t="s">
        <v>42176</v>
      </c>
      <c r="U3363" t="s">
        <v>45535</v>
      </c>
      <c r="W3363" t="s">
        <v>38340</v>
      </c>
      <c r="X3363" t="s">
        <v>40440</v>
      </c>
    </row>
    <row r="3364" spans="1:24">
      <c r="A3364">
        <f>HYPERLINK("https://www.philgeps.gov.ph/GEPSNONPILOT/Tender/SplashBidNoticeAbstractUI.aspx?menuIndex=3&amp;refID=7045317&amp;Result=3","7045317")</f>
        <v>0</v>
      </c>
      <c r="B3364" t="s">
        <v>1208</v>
      </c>
      <c r="C3364" t="s">
        <v>6295</v>
      </c>
      <c r="D3364" t="s">
        <v>16211</v>
      </c>
      <c r="E3364" t="s">
        <v>19319</v>
      </c>
      <c r="F3364" t="s">
        <v>28198</v>
      </c>
      <c r="G3364" t="s">
        <v>28210</v>
      </c>
      <c r="H3364" t="s">
        <v>28215</v>
      </c>
      <c r="I3364" t="s">
        <v>3774</v>
      </c>
      <c r="J3364" t="s">
        <v>30262</v>
      </c>
      <c r="K3364" t="s">
        <v>36701</v>
      </c>
      <c r="M3364" t="s">
        <v>38253</v>
      </c>
      <c r="N3364" t="s">
        <v>40436</v>
      </c>
      <c r="O3364" t="s">
        <v>40437</v>
      </c>
      <c r="P3364">
        <v>0</v>
      </c>
      <c r="Q3364">
        <v>1</v>
      </c>
      <c r="R3364" t="s">
        <v>40439</v>
      </c>
      <c r="S3364" t="s">
        <v>40588</v>
      </c>
      <c r="T3364" t="s">
        <v>42169</v>
      </c>
      <c r="U3364" t="s">
        <v>45536</v>
      </c>
      <c r="W3364" t="s">
        <v>38253</v>
      </c>
      <c r="X3364" t="s">
        <v>40440</v>
      </c>
    </row>
    <row r="3365" spans="1:24">
      <c r="A3365">
        <f>HYPERLINK("https://www.philgeps.gov.ph/GEPSNONPILOT/Tender/SplashBidNoticeAbstractUI.aspx?menuIndex=3&amp;refID=7045332&amp;Result=3","7045332")</f>
        <v>0</v>
      </c>
      <c r="B3365" t="s">
        <v>587</v>
      </c>
      <c r="C3365" t="s">
        <v>6296</v>
      </c>
      <c r="D3365" t="s">
        <v>16230</v>
      </c>
      <c r="E3365" t="s">
        <v>19320</v>
      </c>
      <c r="F3365" t="s">
        <v>28198</v>
      </c>
      <c r="G3365" t="s">
        <v>28205</v>
      </c>
      <c r="H3365" t="s">
        <v>28215</v>
      </c>
      <c r="I3365" t="s">
        <v>28228</v>
      </c>
      <c r="J3365" t="s">
        <v>30583</v>
      </c>
      <c r="K3365" t="s">
        <v>36707</v>
      </c>
      <c r="M3365" t="s">
        <v>37576</v>
      </c>
      <c r="N3365" t="s">
        <v>40436</v>
      </c>
      <c r="O3365" t="s">
        <v>40437</v>
      </c>
      <c r="P3365">
        <v>0</v>
      </c>
      <c r="Q3365">
        <v>0</v>
      </c>
      <c r="R3365" t="s">
        <v>40439</v>
      </c>
      <c r="S3365" t="s">
        <v>40588</v>
      </c>
      <c r="T3365" t="s">
        <v>42144</v>
      </c>
      <c r="U3365" t="s">
        <v>45537</v>
      </c>
      <c r="W3365" t="s">
        <v>37576</v>
      </c>
      <c r="X3365" t="s">
        <v>40440</v>
      </c>
    </row>
    <row r="3366" spans="1:24">
      <c r="A3366">
        <f>HYPERLINK("https://www.philgeps.gov.ph/GEPSNONPILOT/Tender/SplashBidNoticeAbstractUI.aspx?menuIndex=3&amp;refID=7045320&amp;Result=3","7045320")</f>
        <v>0</v>
      </c>
      <c r="B3366" t="s">
        <v>1288</v>
      </c>
      <c r="C3366" t="s">
        <v>6297</v>
      </c>
      <c r="D3366" t="s">
        <v>16227</v>
      </c>
      <c r="E3366" t="s">
        <v>19321</v>
      </c>
      <c r="F3366" t="s">
        <v>28200</v>
      </c>
      <c r="G3366" t="s">
        <v>28206</v>
      </c>
      <c r="H3366" t="s">
        <v>28215</v>
      </c>
      <c r="I3366" t="s">
        <v>5071</v>
      </c>
      <c r="J3366" t="s">
        <v>30584</v>
      </c>
      <c r="K3366" t="s">
        <v>36688</v>
      </c>
      <c r="M3366" t="s">
        <v>38341</v>
      </c>
      <c r="N3366" t="s">
        <v>40436</v>
      </c>
      <c r="O3366" t="s">
        <v>40437</v>
      </c>
      <c r="P3366">
        <v>0</v>
      </c>
      <c r="Q3366">
        <v>3</v>
      </c>
      <c r="R3366" t="s">
        <v>40439</v>
      </c>
      <c r="S3366" t="s">
        <v>40588</v>
      </c>
      <c r="T3366" t="s">
        <v>42302</v>
      </c>
      <c r="U3366" t="s">
        <v>45538</v>
      </c>
      <c r="W3366" t="s">
        <v>38341</v>
      </c>
      <c r="X3366" t="s">
        <v>40440</v>
      </c>
    </row>
    <row r="3367" spans="1:24">
      <c r="A3367">
        <f>HYPERLINK("https://www.philgeps.gov.ph/GEPSNONPILOT/Tender/SplashBidNoticeAbstractUI.aspx?menuIndex=3&amp;refID=7045319&amp;Result=3","7045319")</f>
        <v>0</v>
      </c>
      <c r="B3367" t="s">
        <v>155</v>
      </c>
      <c r="C3367" t="s">
        <v>6298</v>
      </c>
      <c r="D3367" t="s">
        <v>16235</v>
      </c>
      <c r="E3367" t="s">
        <v>19322</v>
      </c>
      <c r="F3367" t="s">
        <v>28198</v>
      </c>
      <c r="G3367" t="s">
        <v>28205</v>
      </c>
      <c r="H3367" t="s">
        <v>28214</v>
      </c>
      <c r="I3367" t="s">
        <v>3797</v>
      </c>
      <c r="J3367" t="s">
        <v>29632</v>
      </c>
      <c r="K3367" t="s">
        <v>36790</v>
      </c>
      <c r="M3367" t="s">
        <v>37129</v>
      </c>
      <c r="N3367" t="s">
        <v>40436</v>
      </c>
      <c r="O3367" t="s">
        <v>40437</v>
      </c>
      <c r="P3367">
        <v>0</v>
      </c>
      <c r="Q3367">
        <v>0</v>
      </c>
      <c r="R3367" t="s">
        <v>40439</v>
      </c>
      <c r="S3367" t="s">
        <v>40588</v>
      </c>
      <c r="T3367" t="s">
        <v>42106</v>
      </c>
      <c r="U3367" t="s">
        <v>42879</v>
      </c>
      <c r="W3367" t="s">
        <v>37129</v>
      </c>
      <c r="X3367" t="s">
        <v>40440</v>
      </c>
    </row>
    <row r="3368" spans="1:24">
      <c r="A3368">
        <f>HYPERLINK("https://www.philgeps.gov.ph/GEPSNONPILOT/Tender/SplashBidNoticeAbstractUI.aspx?menuIndex=3&amp;refID=7045329&amp;Result=3","7045329")</f>
        <v>0</v>
      </c>
      <c r="B3368" t="s">
        <v>1208</v>
      </c>
      <c r="C3368" t="s">
        <v>6299</v>
      </c>
      <c r="D3368" t="s">
        <v>16211</v>
      </c>
      <c r="E3368" t="s">
        <v>19323</v>
      </c>
      <c r="F3368" t="s">
        <v>28198</v>
      </c>
      <c r="G3368" t="s">
        <v>28210</v>
      </c>
      <c r="H3368" t="s">
        <v>28215</v>
      </c>
      <c r="I3368" t="s">
        <v>28238</v>
      </c>
      <c r="J3368" t="s">
        <v>30585</v>
      </c>
      <c r="K3368" t="s">
        <v>36701</v>
      </c>
      <c r="M3368" t="s">
        <v>38253</v>
      </c>
      <c r="N3368" t="s">
        <v>40436</v>
      </c>
      <c r="O3368" t="s">
        <v>40437</v>
      </c>
      <c r="P3368">
        <v>0</v>
      </c>
      <c r="Q3368">
        <v>0</v>
      </c>
      <c r="R3368" t="s">
        <v>40439</v>
      </c>
      <c r="S3368" t="s">
        <v>40588</v>
      </c>
      <c r="T3368" t="s">
        <v>42169</v>
      </c>
      <c r="U3368" t="s">
        <v>45539</v>
      </c>
      <c r="W3368" t="s">
        <v>38253</v>
      </c>
      <c r="X3368" t="s">
        <v>40440</v>
      </c>
    </row>
    <row r="3369" spans="1:24">
      <c r="A3369">
        <f>HYPERLINK("https://www.philgeps.gov.ph/GEPSNONPILOT/Tender/SplashBidNoticeAbstractUI.aspx?menuIndex=3&amp;refID=7045315&amp;Result=3","7045315")</f>
        <v>0</v>
      </c>
      <c r="B3369" t="s">
        <v>1284</v>
      </c>
      <c r="C3369" t="s">
        <v>6300</v>
      </c>
      <c r="D3369" t="s">
        <v>16199</v>
      </c>
      <c r="E3369" t="s">
        <v>19324</v>
      </c>
      <c r="F3369" t="s">
        <v>28198</v>
      </c>
      <c r="G3369" t="s">
        <v>28207</v>
      </c>
      <c r="H3369" t="s">
        <v>28215</v>
      </c>
      <c r="I3369" t="s">
        <v>5071</v>
      </c>
      <c r="J3369" t="s">
        <v>30334</v>
      </c>
      <c r="K3369" t="s">
        <v>36693</v>
      </c>
      <c r="M3369" t="s">
        <v>38337</v>
      </c>
      <c r="N3369" t="s">
        <v>40436</v>
      </c>
      <c r="O3369" t="s">
        <v>40437</v>
      </c>
      <c r="P3369">
        <v>0</v>
      </c>
      <c r="Q3369">
        <v>1</v>
      </c>
      <c r="R3369" t="s">
        <v>40439</v>
      </c>
      <c r="S3369" t="s">
        <v>40588</v>
      </c>
      <c r="T3369" t="s">
        <v>42158</v>
      </c>
      <c r="U3369" t="s">
        <v>45504</v>
      </c>
      <c r="W3369" t="s">
        <v>38337</v>
      </c>
      <c r="X3369" t="s">
        <v>40440</v>
      </c>
    </row>
    <row r="3370" spans="1:24">
      <c r="A3370">
        <f>HYPERLINK("https://www.philgeps.gov.ph/GEPSNONPILOT/Tender/SplashBidNoticeAbstractUI.aspx?menuIndex=3&amp;refID=7045330&amp;Result=3","7045330")</f>
        <v>0</v>
      </c>
      <c r="B3370" t="s">
        <v>1296</v>
      </c>
      <c r="C3370" t="s">
        <v>6301</v>
      </c>
      <c r="D3370" t="s">
        <v>16210</v>
      </c>
      <c r="E3370" t="s">
        <v>19325</v>
      </c>
      <c r="F3370" t="s">
        <v>28198</v>
      </c>
      <c r="G3370" t="s">
        <v>28205</v>
      </c>
      <c r="H3370" t="s">
        <v>28215</v>
      </c>
      <c r="I3370" t="s">
        <v>4321</v>
      </c>
      <c r="J3370" t="s">
        <v>28393</v>
      </c>
      <c r="K3370" t="s">
        <v>36689</v>
      </c>
      <c r="M3370" t="s">
        <v>38350</v>
      </c>
      <c r="N3370" t="s">
        <v>40436</v>
      </c>
      <c r="O3370" t="s">
        <v>40437</v>
      </c>
      <c r="P3370">
        <v>0</v>
      </c>
      <c r="Q3370">
        <v>2</v>
      </c>
      <c r="R3370" t="s">
        <v>40439</v>
      </c>
      <c r="S3370" t="s">
        <v>40588</v>
      </c>
      <c r="T3370" t="s">
        <v>42175</v>
      </c>
      <c r="U3370" t="s">
        <v>45540</v>
      </c>
      <c r="W3370" t="s">
        <v>38350</v>
      </c>
      <c r="X3370" t="s">
        <v>40440</v>
      </c>
    </row>
    <row r="3371" spans="1:24">
      <c r="A3371">
        <f>HYPERLINK("https://www.philgeps.gov.ph/GEPSNONPILOT/Tender/SplashBidNoticeAbstractUI.aspx?menuIndex=3&amp;refID=7045327&amp;Result=3","7045327")</f>
        <v>0</v>
      </c>
      <c r="B3371" t="s">
        <v>539</v>
      </c>
      <c r="C3371" t="s">
        <v>6302</v>
      </c>
      <c r="D3371" t="s">
        <v>16210</v>
      </c>
      <c r="E3371" t="s">
        <v>19326</v>
      </c>
      <c r="F3371" t="s">
        <v>28198</v>
      </c>
      <c r="G3371" t="s">
        <v>28207</v>
      </c>
      <c r="H3371" t="s">
        <v>28215</v>
      </c>
      <c r="I3371" t="s">
        <v>28234</v>
      </c>
      <c r="J3371" t="s">
        <v>28787</v>
      </c>
      <c r="K3371" t="s">
        <v>36707</v>
      </c>
      <c r="M3371" t="s">
        <v>37525</v>
      </c>
      <c r="N3371" t="s">
        <v>40436</v>
      </c>
      <c r="O3371" t="s">
        <v>40437</v>
      </c>
      <c r="P3371">
        <v>0</v>
      </c>
      <c r="Q3371">
        <v>6</v>
      </c>
      <c r="R3371" t="s">
        <v>40439</v>
      </c>
      <c r="S3371" t="s">
        <v>40588</v>
      </c>
      <c r="T3371" t="s">
        <v>42191</v>
      </c>
      <c r="U3371" t="s">
        <v>45541</v>
      </c>
      <c r="V3371" t="s">
        <v>54127</v>
      </c>
      <c r="W3371" t="s">
        <v>37525</v>
      </c>
      <c r="X3371" t="s">
        <v>40440</v>
      </c>
    </row>
    <row r="3372" spans="1:24">
      <c r="A3372">
        <f>HYPERLINK("https://www.philgeps.gov.ph/GEPSNONPILOT/Tender/SplashBidNoticeAbstractUI.aspx?menuIndex=3&amp;refID=7045325&amp;Result=3","7045325")</f>
        <v>0</v>
      </c>
      <c r="B3372" t="s">
        <v>1297</v>
      </c>
      <c r="C3372" t="s">
        <v>6303</v>
      </c>
      <c r="D3372" t="s">
        <v>16199</v>
      </c>
      <c r="E3372" t="s">
        <v>16322</v>
      </c>
      <c r="F3372" t="s">
        <v>28198</v>
      </c>
      <c r="G3372" t="s">
        <v>28205</v>
      </c>
      <c r="H3372" t="s">
        <v>28215</v>
      </c>
      <c r="I3372" t="s">
        <v>28239</v>
      </c>
      <c r="J3372" t="s">
        <v>28373</v>
      </c>
      <c r="K3372" t="s">
        <v>36707</v>
      </c>
      <c r="L3372" t="s">
        <v>1297</v>
      </c>
      <c r="M3372" t="s">
        <v>38351</v>
      </c>
      <c r="N3372" t="s">
        <v>40436</v>
      </c>
      <c r="O3372" t="s">
        <v>40437</v>
      </c>
      <c r="Q3372">
        <v>1</v>
      </c>
      <c r="R3372" t="s">
        <v>40439</v>
      </c>
      <c r="S3372" t="s">
        <v>40593</v>
      </c>
      <c r="T3372" t="s">
        <v>42175</v>
      </c>
      <c r="U3372" t="s">
        <v>45542</v>
      </c>
      <c r="V3372" t="s">
        <v>54128</v>
      </c>
      <c r="W3372" t="s">
        <v>38351</v>
      </c>
      <c r="X3372" t="s">
        <v>40440</v>
      </c>
    </row>
    <row r="3373" spans="1:24">
      <c r="A3373">
        <f>HYPERLINK("https://www.philgeps.gov.ph/GEPSNONPILOT/Tender/SplashBidNoticeAbstractUI.aspx?menuIndex=3&amp;refID=7045328&amp;Result=3","7045328")</f>
        <v>0</v>
      </c>
      <c r="B3373" t="s">
        <v>155</v>
      </c>
      <c r="C3373" t="s">
        <v>6304</v>
      </c>
      <c r="D3373" t="s">
        <v>16235</v>
      </c>
      <c r="E3373" t="s">
        <v>19327</v>
      </c>
      <c r="F3373" t="s">
        <v>28198</v>
      </c>
      <c r="G3373" t="s">
        <v>28205</v>
      </c>
      <c r="H3373" t="s">
        <v>28214</v>
      </c>
      <c r="I3373" t="s">
        <v>3797</v>
      </c>
      <c r="J3373" t="s">
        <v>28393</v>
      </c>
      <c r="K3373" t="s">
        <v>36715</v>
      </c>
      <c r="M3373" t="s">
        <v>37129</v>
      </c>
      <c r="N3373" t="s">
        <v>40436</v>
      </c>
      <c r="O3373" t="s">
        <v>40437</v>
      </c>
      <c r="P3373">
        <v>0</v>
      </c>
      <c r="Q3373">
        <v>0</v>
      </c>
      <c r="R3373" t="s">
        <v>40439</v>
      </c>
      <c r="S3373" t="s">
        <v>40588</v>
      </c>
      <c r="T3373" t="s">
        <v>42106</v>
      </c>
      <c r="U3373" t="s">
        <v>42879</v>
      </c>
      <c r="W3373" t="s">
        <v>37129</v>
      </c>
      <c r="X3373" t="s">
        <v>40440</v>
      </c>
    </row>
    <row r="3374" spans="1:24">
      <c r="A3374">
        <f>HYPERLINK("https://www.philgeps.gov.ph/GEPSNONPILOT/Tender/SplashBidNoticeAbstractUI.aspx?menuIndex=3&amp;refID=7045322&amp;Result=3","7045322")</f>
        <v>0</v>
      </c>
      <c r="B3374" t="s">
        <v>1298</v>
      </c>
      <c r="C3374" t="s">
        <v>6305</v>
      </c>
      <c r="D3374" t="s">
        <v>16252</v>
      </c>
      <c r="E3374" t="s">
        <v>19328</v>
      </c>
      <c r="F3374" t="s">
        <v>28198</v>
      </c>
      <c r="G3374" t="s">
        <v>28207</v>
      </c>
      <c r="H3374" t="s">
        <v>28215</v>
      </c>
      <c r="I3374" t="s">
        <v>28227</v>
      </c>
      <c r="J3374" t="s">
        <v>29012</v>
      </c>
      <c r="K3374" t="s">
        <v>36701</v>
      </c>
      <c r="M3374" t="s">
        <v>38352</v>
      </c>
      <c r="N3374" t="s">
        <v>40436</v>
      </c>
      <c r="O3374" t="s">
        <v>40437</v>
      </c>
      <c r="P3374">
        <v>0</v>
      </c>
      <c r="Q3374">
        <v>1</v>
      </c>
      <c r="R3374" t="s">
        <v>40439</v>
      </c>
      <c r="S3374" t="s">
        <v>40588</v>
      </c>
      <c r="T3374" t="s">
        <v>42326</v>
      </c>
      <c r="U3374" t="s">
        <v>45543</v>
      </c>
      <c r="W3374" t="s">
        <v>38352</v>
      </c>
      <c r="X3374" t="s">
        <v>40440</v>
      </c>
    </row>
    <row r="3375" spans="1:24">
      <c r="A3375">
        <f>HYPERLINK("https://www.philgeps.gov.ph/GEPSNONPILOT/Tender/SplashBidNoticeAbstractUI.aspx?menuIndex=3&amp;refID=7045323&amp;Result=3","7045323")</f>
        <v>0</v>
      </c>
      <c r="B3375" t="s">
        <v>587</v>
      </c>
      <c r="C3375" t="s">
        <v>6306</v>
      </c>
      <c r="D3375" t="s">
        <v>16230</v>
      </c>
      <c r="E3375" t="s">
        <v>19329</v>
      </c>
      <c r="F3375" t="s">
        <v>28198</v>
      </c>
      <c r="G3375" t="s">
        <v>28205</v>
      </c>
      <c r="H3375" t="s">
        <v>28215</v>
      </c>
      <c r="I3375" t="s">
        <v>28265</v>
      </c>
      <c r="J3375" t="s">
        <v>30586</v>
      </c>
      <c r="K3375" t="s">
        <v>36707</v>
      </c>
      <c r="M3375" t="s">
        <v>37576</v>
      </c>
      <c r="N3375" t="s">
        <v>40436</v>
      </c>
      <c r="O3375" t="s">
        <v>40437</v>
      </c>
      <c r="P3375">
        <v>0</v>
      </c>
      <c r="Q3375">
        <v>1</v>
      </c>
      <c r="R3375" t="s">
        <v>40439</v>
      </c>
      <c r="S3375" t="s">
        <v>40588</v>
      </c>
      <c r="T3375" t="s">
        <v>42144</v>
      </c>
      <c r="U3375" t="s">
        <v>45544</v>
      </c>
      <c r="W3375" t="s">
        <v>37576</v>
      </c>
      <c r="X3375" t="s">
        <v>40440</v>
      </c>
    </row>
    <row r="3376" spans="1:24">
      <c r="A3376">
        <f>HYPERLINK("https://www.philgeps.gov.ph/GEPSNONPILOT/Tender/SplashBidNoticeAbstractUI.aspx?menuIndex=3&amp;refID=7045312&amp;Result=3","7045312")</f>
        <v>0</v>
      </c>
      <c r="B3376" t="s">
        <v>1208</v>
      </c>
      <c r="C3376" t="s">
        <v>6307</v>
      </c>
      <c r="D3376" t="s">
        <v>16211</v>
      </c>
      <c r="E3376" t="s">
        <v>19330</v>
      </c>
      <c r="F3376" t="s">
        <v>28198</v>
      </c>
      <c r="G3376" t="s">
        <v>28210</v>
      </c>
      <c r="H3376" t="s">
        <v>28215</v>
      </c>
      <c r="I3376" t="s">
        <v>3774</v>
      </c>
      <c r="J3376" t="s">
        <v>28821</v>
      </c>
      <c r="K3376" t="s">
        <v>36701</v>
      </c>
      <c r="M3376" t="s">
        <v>38253</v>
      </c>
      <c r="N3376" t="s">
        <v>40436</v>
      </c>
      <c r="O3376" t="s">
        <v>40437</v>
      </c>
      <c r="P3376">
        <v>0</v>
      </c>
      <c r="Q3376">
        <v>1</v>
      </c>
      <c r="R3376" t="s">
        <v>40439</v>
      </c>
      <c r="S3376" t="s">
        <v>40588</v>
      </c>
      <c r="T3376" t="s">
        <v>42169</v>
      </c>
      <c r="U3376" t="s">
        <v>45545</v>
      </c>
      <c r="W3376" t="s">
        <v>38253</v>
      </c>
      <c r="X3376" t="s">
        <v>40440</v>
      </c>
    </row>
    <row r="3377" spans="1:24">
      <c r="A3377">
        <f>HYPERLINK("https://www.philgeps.gov.ph/GEPSNONPILOT/Tender/SplashBidNoticeAbstractUI.aspx?menuIndex=3&amp;refID=7045337&amp;Result=3","7045337")</f>
        <v>0</v>
      </c>
      <c r="B3377" t="s">
        <v>1299</v>
      </c>
      <c r="C3377" t="s">
        <v>6308</v>
      </c>
      <c r="D3377" t="s">
        <v>16208</v>
      </c>
      <c r="E3377" t="s">
        <v>19215</v>
      </c>
      <c r="F3377" t="s">
        <v>28198</v>
      </c>
      <c r="G3377" t="s">
        <v>28206</v>
      </c>
      <c r="H3377" t="s">
        <v>28215</v>
      </c>
      <c r="I3377" t="s">
        <v>5100</v>
      </c>
      <c r="J3377" t="s">
        <v>30587</v>
      </c>
      <c r="K3377" t="s">
        <v>36698</v>
      </c>
      <c r="M3377" t="s">
        <v>38353</v>
      </c>
      <c r="N3377" t="s">
        <v>40436</v>
      </c>
      <c r="O3377" t="s">
        <v>40437</v>
      </c>
      <c r="P3377">
        <v>0</v>
      </c>
      <c r="Q3377">
        <v>0</v>
      </c>
      <c r="R3377" t="s">
        <v>40439</v>
      </c>
      <c r="S3377" t="s">
        <v>40588</v>
      </c>
      <c r="T3377" t="s">
        <v>42245</v>
      </c>
      <c r="U3377" t="s">
        <v>45546</v>
      </c>
      <c r="W3377" t="s">
        <v>38353</v>
      </c>
      <c r="X3377" t="s">
        <v>40440</v>
      </c>
    </row>
    <row r="3378" spans="1:24">
      <c r="A3378">
        <f>HYPERLINK("https://www.philgeps.gov.ph/GEPSNONPILOT/Tender/SplashBidNoticeAbstractUI.aspx?menuIndex=3&amp;refID=7045333&amp;Result=3","7045333")</f>
        <v>0</v>
      </c>
      <c r="B3378" t="s">
        <v>1300</v>
      </c>
      <c r="C3378" t="s">
        <v>6309</v>
      </c>
      <c r="D3378" t="s">
        <v>16195</v>
      </c>
      <c r="E3378" t="s">
        <v>19331</v>
      </c>
      <c r="F3378" t="s">
        <v>28198</v>
      </c>
      <c r="G3378" t="s">
        <v>28205</v>
      </c>
      <c r="H3378" t="s">
        <v>28215</v>
      </c>
      <c r="I3378" t="s">
        <v>28222</v>
      </c>
      <c r="J3378" t="s">
        <v>28730</v>
      </c>
      <c r="K3378" t="s">
        <v>36694</v>
      </c>
      <c r="M3378" t="s">
        <v>38354</v>
      </c>
      <c r="N3378" t="s">
        <v>40436</v>
      </c>
      <c r="O3378" t="s">
        <v>40437</v>
      </c>
      <c r="P3378">
        <v>0</v>
      </c>
      <c r="Q3378">
        <v>6</v>
      </c>
      <c r="R3378" t="s">
        <v>40439</v>
      </c>
      <c r="S3378" t="s">
        <v>40588</v>
      </c>
      <c r="T3378" t="s">
        <v>42166</v>
      </c>
      <c r="U3378" t="s">
        <v>45547</v>
      </c>
      <c r="W3378" t="s">
        <v>38354</v>
      </c>
      <c r="X3378" t="s">
        <v>40440</v>
      </c>
    </row>
    <row r="3379" spans="1:24">
      <c r="A3379">
        <f>HYPERLINK("https://www.philgeps.gov.ph/GEPSNONPILOT/Tender/SplashBidNoticeAbstractUI.aspx?menuIndex=3&amp;refID=7045336&amp;Result=3","7045336")</f>
        <v>0</v>
      </c>
      <c r="B3379" t="s">
        <v>1282</v>
      </c>
      <c r="C3379" t="s">
        <v>6310</v>
      </c>
      <c r="D3379" t="s">
        <v>16214</v>
      </c>
      <c r="E3379" t="s">
        <v>19332</v>
      </c>
      <c r="F3379" t="s">
        <v>28198</v>
      </c>
      <c r="G3379" t="s">
        <v>28205</v>
      </c>
      <c r="H3379" t="s">
        <v>28214</v>
      </c>
      <c r="I3379" t="s">
        <v>3797</v>
      </c>
      <c r="J3379" t="s">
        <v>29595</v>
      </c>
      <c r="K3379" t="s">
        <v>36789</v>
      </c>
      <c r="M3379" t="s">
        <v>38334</v>
      </c>
      <c r="N3379" t="s">
        <v>40436</v>
      </c>
      <c r="O3379" t="s">
        <v>40437</v>
      </c>
      <c r="P3379">
        <v>0</v>
      </c>
      <c r="Q3379">
        <v>0</v>
      </c>
      <c r="R3379" t="s">
        <v>40439</v>
      </c>
      <c r="S3379" t="s">
        <v>40588</v>
      </c>
      <c r="T3379" t="s">
        <v>42106</v>
      </c>
      <c r="U3379" t="s">
        <v>45498</v>
      </c>
      <c r="V3379" t="s">
        <v>54129</v>
      </c>
      <c r="W3379" t="s">
        <v>38334</v>
      </c>
      <c r="X3379" t="s">
        <v>40440</v>
      </c>
    </row>
    <row r="3380" spans="1:24">
      <c r="A3380">
        <f>HYPERLINK("https://www.philgeps.gov.ph/GEPSNONPILOT/Tender/SplashBidNoticeAbstractUI.aspx?menuIndex=3&amp;refID=7045338&amp;Result=3","7045338")</f>
        <v>0</v>
      </c>
      <c r="B3380" t="s">
        <v>155</v>
      </c>
      <c r="C3380" t="s">
        <v>6311</v>
      </c>
      <c r="D3380" t="s">
        <v>16235</v>
      </c>
      <c r="E3380" t="s">
        <v>19333</v>
      </c>
      <c r="F3380" t="s">
        <v>28198</v>
      </c>
      <c r="G3380" t="s">
        <v>28205</v>
      </c>
      <c r="H3380" t="s">
        <v>28214</v>
      </c>
      <c r="I3380" t="s">
        <v>3797</v>
      </c>
      <c r="J3380" t="s">
        <v>30237</v>
      </c>
      <c r="K3380" t="s">
        <v>36800</v>
      </c>
      <c r="M3380" t="s">
        <v>37129</v>
      </c>
      <c r="N3380" t="s">
        <v>40436</v>
      </c>
      <c r="O3380" t="s">
        <v>40437</v>
      </c>
      <c r="P3380">
        <v>0</v>
      </c>
      <c r="Q3380">
        <v>0</v>
      </c>
      <c r="R3380" t="s">
        <v>40439</v>
      </c>
      <c r="S3380" t="s">
        <v>40588</v>
      </c>
      <c r="T3380" t="s">
        <v>42106</v>
      </c>
      <c r="U3380" t="s">
        <v>42879</v>
      </c>
      <c r="W3380" t="s">
        <v>37129</v>
      </c>
      <c r="X3380" t="s">
        <v>40440</v>
      </c>
    </row>
    <row r="3381" spans="1:24">
      <c r="A3381">
        <f>HYPERLINK("https://www.philgeps.gov.ph/GEPSNONPILOT/Tender/SplashBidNoticeAbstractUI.aspx?menuIndex=3&amp;refID=7045335&amp;Result=3","7045335")</f>
        <v>0</v>
      </c>
      <c r="B3381" t="s">
        <v>1296</v>
      </c>
      <c r="C3381" t="s">
        <v>6312</v>
      </c>
      <c r="D3381" t="s">
        <v>16210</v>
      </c>
      <c r="E3381" t="s">
        <v>19334</v>
      </c>
      <c r="F3381" t="s">
        <v>28198</v>
      </c>
      <c r="G3381" t="s">
        <v>28205</v>
      </c>
      <c r="H3381" t="s">
        <v>28215</v>
      </c>
      <c r="I3381" t="s">
        <v>5100</v>
      </c>
      <c r="J3381" t="s">
        <v>28661</v>
      </c>
      <c r="K3381" t="s">
        <v>36689</v>
      </c>
      <c r="M3381" t="s">
        <v>38350</v>
      </c>
      <c r="N3381" t="s">
        <v>40436</v>
      </c>
      <c r="O3381" t="s">
        <v>40437</v>
      </c>
      <c r="P3381">
        <v>0</v>
      </c>
      <c r="Q3381">
        <v>1</v>
      </c>
      <c r="R3381" t="s">
        <v>40439</v>
      </c>
      <c r="S3381" t="s">
        <v>40588</v>
      </c>
      <c r="T3381" t="s">
        <v>42175</v>
      </c>
      <c r="U3381" t="s">
        <v>45548</v>
      </c>
      <c r="W3381" t="s">
        <v>38350</v>
      </c>
      <c r="X3381" t="s">
        <v>40440</v>
      </c>
    </row>
    <row r="3382" spans="1:24">
      <c r="A3382">
        <f>HYPERLINK("https://www.philgeps.gov.ph/GEPSNONPILOT/Tender/SplashBidNoticeAbstractUI.aspx?menuIndex=3&amp;refID=7045340&amp;Result=3","7045340")</f>
        <v>0</v>
      </c>
      <c r="B3382" t="s">
        <v>1245</v>
      </c>
      <c r="C3382" t="s">
        <v>6313</v>
      </c>
      <c r="D3382" t="s">
        <v>16199</v>
      </c>
      <c r="E3382" t="s">
        <v>19335</v>
      </c>
      <c r="F3382" t="s">
        <v>28198</v>
      </c>
      <c r="G3382" t="s">
        <v>28206</v>
      </c>
      <c r="H3382" t="s">
        <v>28215</v>
      </c>
      <c r="I3382" t="s">
        <v>4168</v>
      </c>
      <c r="J3382" t="s">
        <v>29346</v>
      </c>
      <c r="K3382" t="s">
        <v>36691</v>
      </c>
      <c r="M3382" t="s">
        <v>38295</v>
      </c>
      <c r="N3382" t="s">
        <v>40436</v>
      </c>
      <c r="O3382" t="s">
        <v>40437</v>
      </c>
      <c r="P3382">
        <v>0</v>
      </c>
      <c r="Q3382">
        <v>1</v>
      </c>
      <c r="R3382" t="s">
        <v>40439</v>
      </c>
      <c r="S3382" t="s">
        <v>40588</v>
      </c>
      <c r="T3382" t="s">
        <v>42098</v>
      </c>
      <c r="U3382" t="s">
        <v>45549</v>
      </c>
      <c r="W3382" t="s">
        <v>38295</v>
      </c>
      <c r="X3382" t="s">
        <v>40440</v>
      </c>
    </row>
    <row r="3383" spans="1:24">
      <c r="A3383">
        <f>HYPERLINK("https://www.philgeps.gov.ph/GEPSNONPILOT/Tender/SplashBidNoticeAbstractUI.aspx?menuIndex=3&amp;refID=7045342&amp;Result=3","7045342")</f>
        <v>0</v>
      </c>
      <c r="B3383" t="s">
        <v>1301</v>
      </c>
      <c r="C3383" t="s">
        <v>6314</v>
      </c>
      <c r="D3383" t="s">
        <v>16195</v>
      </c>
      <c r="E3383" t="s">
        <v>19336</v>
      </c>
      <c r="F3383" t="s">
        <v>28198</v>
      </c>
      <c r="G3383" t="s">
        <v>28205</v>
      </c>
      <c r="H3383" t="s">
        <v>28215</v>
      </c>
      <c r="I3383" t="s">
        <v>4219</v>
      </c>
      <c r="J3383" t="s">
        <v>30588</v>
      </c>
      <c r="K3383" t="s">
        <v>36701</v>
      </c>
      <c r="M3383" t="s">
        <v>38355</v>
      </c>
      <c r="N3383" t="s">
        <v>40436</v>
      </c>
      <c r="O3383" t="s">
        <v>40437</v>
      </c>
      <c r="P3383">
        <v>0</v>
      </c>
      <c r="Q3383">
        <v>2</v>
      </c>
      <c r="R3383" t="s">
        <v>40439</v>
      </c>
      <c r="S3383" t="s">
        <v>40588</v>
      </c>
      <c r="T3383" t="s">
        <v>42112</v>
      </c>
      <c r="U3383" t="s">
        <v>45550</v>
      </c>
      <c r="V3383" t="s">
        <v>54130</v>
      </c>
      <c r="W3383" t="s">
        <v>38355</v>
      </c>
      <c r="X3383" t="s">
        <v>40440</v>
      </c>
    </row>
    <row r="3384" spans="1:24">
      <c r="A3384">
        <f>HYPERLINK("https://www.philgeps.gov.ph/GEPSNONPILOT/Tender/SplashBidNoticeAbstractUI.aspx?menuIndex=3&amp;refID=7045350&amp;Result=3","7045350")</f>
        <v>0</v>
      </c>
      <c r="B3384" t="s">
        <v>198</v>
      </c>
      <c r="C3384" t="s">
        <v>6315</v>
      </c>
      <c r="D3384" t="s">
        <v>16230</v>
      </c>
      <c r="E3384" t="s">
        <v>19337</v>
      </c>
      <c r="F3384" t="s">
        <v>28198</v>
      </c>
      <c r="G3384" t="s">
        <v>28205</v>
      </c>
      <c r="H3384" t="s">
        <v>28215</v>
      </c>
      <c r="I3384" t="s">
        <v>5100</v>
      </c>
      <c r="J3384" t="s">
        <v>30589</v>
      </c>
      <c r="K3384" t="s">
        <v>36706</v>
      </c>
      <c r="M3384" t="s">
        <v>37173</v>
      </c>
      <c r="N3384" t="s">
        <v>40436</v>
      </c>
      <c r="O3384" t="s">
        <v>40437</v>
      </c>
      <c r="P3384">
        <v>0</v>
      </c>
      <c r="Q3384">
        <v>0</v>
      </c>
      <c r="R3384" t="s">
        <v>40439</v>
      </c>
      <c r="S3384" t="s">
        <v>40588</v>
      </c>
      <c r="T3384" t="s">
        <v>42181</v>
      </c>
      <c r="U3384" t="s">
        <v>42936</v>
      </c>
      <c r="W3384" t="s">
        <v>37173</v>
      </c>
      <c r="X3384" t="s">
        <v>40440</v>
      </c>
    </row>
    <row r="3385" spans="1:24">
      <c r="A3385">
        <f>HYPERLINK("https://www.philgeps.gov.ph/GEPSNONPILOT/Tender/SplashBidNoticeAbstractUI.aspx?menuIndex=3&amp;refID=7045345&amp;Result=3","7045345")</f>
        <v>0</v>
      </c>
      <c r="B3385" t="s">
        <v>1302</v>
      </c>
      <c r="C3385" t="s">
        <v>6316</v>
      </c>
      <c r="D3385" t="s">
        <v>16191</v>
      </c>
      <c r="E3385" t="s">
        <v>19338</v>
      </c>
      <c r="F3385" t="s">
        <v>28198</v>
      </c>
      <c r="G3385" t="s">
        <v>28205</v>
      </c>
      <c r="H3385" t="s">
        <v>28214</v>
      </c>
      <c r="I3385" t="s">
        <v>3797</v>
      </c>
      <c r="J3385" t="s">
        <v>29409</v>
      </c>
      <c r="K3385" t="s">
        <v>36689</v>
      </c>
      <c r="M3385" t="s">
        <v>38356</v>
      </c>
      <c r="N3385" t="s">
        <v>40436</v>
      </c>
      <c r="O3385" t="s">
        <v>40437</v>
      </c>
      <c r="P3385">
        <v>0</v>
      </c>
      <c r="Q3385">
        <v>0</v>
      </c>
      <c r="R3385" t="s">
        <v>40439</v>
      </c>
      <c r="S3385" t="s">
        <v>40588</v>
      </c>
      <c r="T3385" t="s">
        <v>42188</v>
      </c>
      <c r="U3385" t="s">
        <v>45551</v>
      </c>
      <c r="W3385" t="s">
        <v>38356</v>
      </c>
      <c r="X3385" t="s">
        <v>40440</v>
      </c>
    </row>
    <row r="3386" spans="1:24">
      <c r="A3386">
        <f>HYPERLINK("https://www.philgeps.gov.ph/GEPSNONPILOT/Tender/SplashBidNoticeAbstractUI.aspx?menuIndex=3&amp;refID=7045343&amp;Result=3","7045343")</f>
        <v>0</v>
      </c>
      <c r="B3386" t="s">
        <v>1303</v>
      </c>
      <c r="C3386" t="s">
        <v>6317</v>
      </c>
      <c r="D3386" t="s">
        <v>16200</v>
      </c>
      <c r="E3386" t="s">
        <v>19339</v>
      </c>
      <c r="F3386" t="s">
        <v>28198</v>
      </c>
      <c r="G3386" t="s">
        <v>28205</v>
      </c>
      <c r="H3386" t="s">
        <v>28214</v>
      </c>
      <c r="I3386" t="s">
        <v>3797</v>
      </c>
      <c r="J3386" t="s">
        <v>30590</v>
      </c>
      <c r="K3386" t="s">
        <v>36796</v>
      </c>
      <c r="M3386" t="s">
        <v>38357</v>
      </c>
      <c r="N3386" t="s">
        <v>40436</v>
      </c>
      <c r="O3386" t="s">
        <v>40437</v>
      </c>
      <c r="P3386">
        <v>0</v>
      </c>
      <c r="Q3386">
        <v>1</v>
      </c>
      <c r="R3386" t="s">
        <v>40439</v>
      </c>
      <c r="S3386" t="s">
        <v>40588</v>
      </c>
      <c r="T3386" t="s">
        <v>42361</v>
      </c>
      <c r="U3386" t="s">
        <v>45552</v>
      </c>
      <c r="V3386" t="s">
        <v>54131</v>
      </c>
      <c r="W3386" t="s">
        <v>38357</v>
      </c>
      <c r="X3386" t="s">
        <v>40440</v>
      </c>
    </row>
    <row r="3387" spans="1:24">
      <c r="A3387">
        <f>HYPERLINK("https://www.philgeps.gov.ph/GEPSNONPILOT/Tender/SplashBidNoticeAbstractUI.aspx?menuIndex=3&amp;refID=7045339&amp;Result=3","7045339")</f>
        <v>0</v>
      </c>
      <c r="B3387" t="s">
        <v>1284</v>
      </c>
      <c r="C3387" t="s">
        <v>6318</v>
      </c>
      <c r="D3387" t="s">
        <v>16199</v>
      </c>
      <c r="E3387" t="s">
        <v>19340</v>
      </c>
      <c r="F3387" t="s">
        <v>28198</v>
      </c>
      <c r="G3387" t="s">
        <v>28210</v>
      </c>
      <c r="H3387" t="s">
        <v>28215</v>
      </c>
      <c r="I3387" t="s">
        <v>4168</v>
      </c>
      <c r="J3387" t="s">
        <v>30591</v>
      </c>
      <c r="K3387" t="s">
        <v>36693</v>
      </c>
      <c r="M3387" t="s">
        <v>38337</v>
      </c>
      <c r="N3387" t="s">
        <v>40436</v>
      </c>
      <c r="O3387" t="s">
        <v>40437</v>
      </c>
      <c r="P3387">
        <v>0</v>
      </c>
      <c r="Q3387">
        <v>0</v>
      </c>
      <c r="R3387" t="s">
        <v>40439</v>
      </c>
      <c r="S3387" t="s">
        <v>40588</v>
      </c>
      <c r="T3387" t="s">
        <v>42158</v>
      </c>
      <c r="U3387" t="s">
        <v>45504</v>
      </c>
      <c r="W3387" t="s">
        <v>38337</v>
      </c>
      <c r="X3387" t="s">
        <v>40440</v>
      </c>
    </row>
    <row r="3388" spans="1:24">
      <c r="A3388">
        <f>HYPERLINK("https://www.philgeps.gov.ph/GEPSNONPILOT/Tender/SplashBidNoticeAbstractUI.aspx?menuIndex=3&amp;refID=7045347&amp;Result=3","7045347")</f>
        <v>0</v>
      </c>
      <c r="B3388" t="s">
        <v>1304</v>
      </c>
      <c r="C3388" t="s">
        <v>6319</v>
      </c>
      <c r="D3388" t="s">
        <v>16195</v>
      </c>
      <c r="E3388" t="s">
        <v>19341</v>
      </c>
      <c r="F3388" t="s">
        <v>28198</v>
      </c>
      <c r="G3388" t="s">
        <v>28206</v>
      </c>
      <c r="H3388" t="s">
        <v>28217</v>
      </c>
      <c r="I3388" t="s">
        <v>28238</v>
      </c>
      <c r="J3388" t="s">
        <v>30592</v>
      </c>
      <c r="K3388" t="s">
        <v>36688</v>
      </c>
      <c r="M3388" t="s">
        <v>38358</v>
      </c>
      <c r="N3388" t="s">
        <v>40436</v>
      </c>
      <c r="O3388" t="s">
        <v>40437</v>
      </c>
      <c r="P3388">
        <v>0</v>
      </c>
      <c r="Q3388">
        <v>1</v>
      </c>
      <c r="R3388" t="s">
        <v>40439</v>
      </c>
      <c r="S3388" t="s">
        <v>40588</v>
      </c>
      <c r="T3388" t="s">
        <v>42233</v>
      </c>
      <c r="U3388" t="s">
        <v>45553</v>
      </c>
      <c r="W3388" t="s">
        <v>38358</v>
      </c>
      <c r="X3388" t="s">
        <v>40440</v>
      </c>
    </row>
    <row r="3389" spans="1:24">
      <c r="A3389">
        <f>HYPERLINK("https://www.philgeps.gov.ph/GEPSNONPILOT/Tender/SplashBidNoticeAbstractUI.aspx?menuIndex=3&amp;refID=7045354&amp;Result=3","7045354")</f>
        <v>0</v>
      </c>
      <c r="B3389" t="s">
        <v>1296</v>
      </c>
      <c r="C3389" t="s">
        <v>6320</v>
      </c>
      <c r="D3389" t="s">
        <v>16210</v>
      </c>
      <c r="E3389" t="s">
        <v>19342</v>
      </c>
      <c r="F3389" t="s">
        <v>28198</v>
      </c>
      <c r="G3389" t="s">
        <v>28205</v>
      </c>
      <c r="H3389" t="s">
        <v>28215</v>
      </c>
      <c r="I3389" t="s">
        <v>4200</v>
      </c>
      <c r="J3389" t="s">
        <v>28415</v>
      </c>
      <c r="K3389" t="s">
        <v>36689</v>
      </c>
      <c r="M3389" t="s">
        <v>38350</v>
      </c>
      <c r="N3389" t="s">
        <v>40436</v>
      </c>
      <c r="O3389" t="s">
        <v>40437</v>
      </c>
      <c r="P3389">
        <v>0</v>
      </c>
      <c r="Q3389">
        <v>2</v>
      </c>
      <c r="R3389" t="s">
        <v>40439</v>
      </c>
      <c r="S3389" t="s">
        <v>40588</v>
      </c>
      <c r="T3389" t="s">
        <v>42175</v>
      </c>
      <c r="U3389" t="s">
        <v>45554</v>
      </c>
      <c r="W3389" t="s">
        <v>38350</v>
      </c>
      <c r="X3389" t="s">
        <v>40440</v>
      </c>
    </row>
    <row r="3390" spans="1:24">
      <c r="A3390">
        <f>HYPERLINK("https://www.philgeps.gov.ph/GEPSNONPILOT/Tender/SplashBidNoticeAbstractUI.aspx?menuIndex=3&amp;refID=7045348&amp;Result=3","7045348")</f>
        <v>0</v>
      </c>
      <c r="B3390" t="s">
        <v>1305</v>
      </c>
      <c r="C3390" t="s">
        <v>6104</v>
      </c>
      <c r="D3390" t="s">
        <v>16230</v>
      </c>
      <c r="E3390" t="s">
        <v>19343</v>
      </c>
      <c r="F3390" t="s">
        <v>28198</v>
      </c>
      <c r="G3390" t="s">
        <v>28207</v>
      </c>
      <c r="H3390" t="s">
        <v>28215</v>
      </c>
      <c r="I3390" t="s">
        <v>5082</v>
      </c>
      <c r="J3390" t="s">
        <v>30593</v>
      </c>
      <c r="K3390" t="s">
        <v>36693</v>
      </c>
      <c r="M3390" t="s">
        <v>38359</v>
      </c>
      <c r="N3390" t="s">
        <v>40436</v>
      </c>
      <c r="O3390" t="s">
        <v>40437</v>
      </c>
      <c r="P3390">
        <v>0</v>
      </c>
      <c r="Q3390">
        <v>0</v>
      </c>
      <c r="R3390" t="s">
        <v>40439</v>
      </c>
      <c r="S3390" t="s">
        <v>40588</v>
      </c>
      <c r="T3390" t="s">
        <v>42318</v>
      </c>
      <c r="U3390" t="s">
        <v>45555</v>
      </c>
      <c r="W3390" t="s">
        <v>38359</v>
      </c>
      <c r="X3390" t="s">
        <v>40440</v>
      </c>
    </row>
    <row r="3391" spans="1:24">
      <c r="A3391">
        <f>HYPERLINK("https://www.philgeps.gov.ph/GEPSNONPILOT/Tender/SplashBidNoticeAbstractUI.aspx?menuIndex=3&amp;refID=7045346&amp;Result=3","7045346")</f>
        <v>0</v>
      </c>
      <c r="B3391" t="s">
        <v>1306</v>
      </c>
      <c r="C3391" t="s">
        <v>6321</v>
      </c>
      <c r="D3391" t="s">
        <v>16227</v>
      </c>
      <c r="E3391" t="s">
        <v>19344</v>
      </c>
      <c r="F3391" t="s">
        <v>28198</v>
      </c>
      <c r="G3391" t="s">
        <v>28205</v>
      </c>
      <c r="H3391" t="s">
        <v>28214</v>
      </c>
      <c r="I3391" t="s">
        <v>3797</v>
      </c>
      <c r="J3391" t="s">
        <v>30594</v>
      </c>
      <c r="K3391" t="s">
        <v>36715</v>
      </c>
      <c r="M3391" t="s">
        <v>38360</v>
      </c>
      <c r="N3391" t="s">
        <v>40436</v>
      </c>
      <c r="O3391" t="s">
        <v>40437</v>
      </c>
      <c r="P3391">
        <v>0</v>
      </c>
      <c r="Q3391">
        <v>0</v>
      </c>
      <c r="R3391" t="s">
        <v>40439</v>
      </c>
      <c r="S3391" t="s">
        <v>40588</v>
      </c>
      <c r="T3391" t="s">
        <v>42097</v>
      </c>
      <c r="U3391" t="s">
        <v>45556</v>
      </c>
      <c r="W3391" t="s">
        <v>38360</v>
      </c>
      <c r="X3391" t="s">
        <v>40440</v>
      </c>
    </row>
    <row r="3392" spans="1:24">
      <c r="A3392">
        <f>HYPERLINK("https://www.philgeps.gov.ph/GEPSNONPILOT/Tender/SplashBidNoticeAbstractUI.aspx?menuIndex=3&amp;refID=7045344&amp;Result=3","7045344")</f>
        <v>0</v>
      </c>
      <c r="B3392" t="s">
        <v>587</v>
      </c>
      <c r="C3392" t="s">
        <v>6322</v>
      </c>
      <c r="D3392" t="s">
        <v>16230</v>
      </c>
      <c r="E3392" t="s">
        <v>19345</v>
      </c>
      <c r="F3392" t="s">
        <v>28198</v>
      </c>
      <c r="G3392" t="s">
        <v>28205</v>
      </c>
      <c r="H3392" t="s">
        <v>28214</v>
      </c>
      <c r="I3392" t="s">
        <v>8870</v>
      </c>
      <c r="J3392" t="s">
        <v>30595</v>
      </c>
      <c r="K3392" t="s">
        <v>36715</v>
      </c>
      <c r="M3392" t="s">
        <v>37576</v>
      </c>
      <c r="N3392" t="s">
        <v>40436</v>
      </c>
      <c r="O3392" t="s">
        <v>40437</v>
      </c>
      <c r="P3392">
        <v>0</v>
      </c>
      <c r="Q3392">
        <v>1</v>
      </c>
      <c r="R3392" t="s">
        <v>40439</v>
      </c>
      <c r="S3392" t="s">
        <v>40588</v>
      </c>
      <c r="T3392" t="s">
        <v>42144</v>
      </c>
      <c r="U3392" t="s">
        <v>45557</v>
      </c>
      <c r="W3392" t="s">
        <v>37576</v>
      </c>
      <c r="X3392" t="s">
        <v>40440</v>
      </c>
    </row>
    <row r="3393" spans="1:24">
      <c r="A3393">
        <f>HYPERLINK("https://www.philgeps.gov.ph/GEPSNONPILOT/Tender/SplashBidNoticeAbstractUI.aspx?menuIndex=3&amp;refID=7045367&amp;Result=3","7045367")</f>
        <v>0</v>
      </c>
      <c r="B3393" t="s">
        <v>70</v>
      </c>
      <c r="C3393" t="s">
        <v>6323</v>
      </c>
      <c r="D3393" t="s">
        <v>16214</v>
      </c>
      <c r="E3393" t="s">
        <v>19346</v>
      </c>
      <c r="F3393" t="s">
        <v>28198</v>
      </c>
      <c r="G3393" t="s">
        <v>28210</v>
      </c>
      <c r="H3393" t="s">
        <v>28215</v>
      </c>
      <c r="I3393" t="s">
        <v>4200</v>
      </c>
      <c r="J3393" t="s">
        <v>29285</v>
      </c>
      <c r="K3393" t="s">
        <v>36701</v>
      </c>
      <c r="M3393" t="s">
        <v>38348</v>
      </c>
      <c r="N3393" t="s">
        <v>40436</v>
      </c>
      <c r="O3393" t="s">
        <v>40437</v>
      </c>
      <c r="P3393">
        <v>0</v>
      </c>
      <c r="Q3393">
        <v>0</v>
      </c>
      <c r="R3393" t="s">
        <v>40439</v>
      </c>
      <c r="S3393" t="s">
        <v>40588</v>
      </c>
      <c r="T3393" t="s">
        <v>42218</v>
      </c>
      <c r="U3393" t="s">
        <v>45558</v>
      </c>
      <c r="W3393" t="s">
        <v>38348</v>
      </c>
      <c r="X3393" t="s">
        <v>40440</v>
      </c>
    </row>
    <row r="3394" spans="1:24">
      <c r="A3394">
        <f>HYPERLINK("https://www.philgeps.gov.ph/GEPSNONPILOT/Tender/SplashBidNoticeAbstractUI.aspx?menuIndex=3&amp;refID=7045361&amp;Result=3","7045361")</f>
        <v>0</v>
      </c>
      <c r="B3394" t="s">
        <v>1164</v>
      </c>
      <c r="C3394" t="s">
        <v>6324</v>
      </c>
      <c r="D3394" t="s">
        <v>16203</v>
      </c>
      <c r="E3394" t="s">
        <v>19347</v>
      </c>
      <c r="F3394" t="s">
        <v>28198</v>
      </c>
      <c r="G3394" t="s">
        <v>28205</v>
      </c>
      <c r="H3394" t="s">
        <v>28214</v>
      </c>
      <c r="I3394" t="s">
        <v>3797</v>
      </c>
      <c r="J3394" t="s">
        <v>30596</v>
      </c>
      <c r="K3394" t="s">
        <v>36694</v>
      </c>
      <c r="M3394" t="s">
        <v>38204</v>
      </c>
      <c r="N3394" t="s">
        <v>40436</v>
      </c>
      <c r="O3394" t="s">
        <v>40437</v>
      </c>
      <c r="P3394">
        <v>0</v>
      </c>
      <c r="Q3394">
        <v>1</v>
      </c>
      <c r="R3394" t="s">
        <v>40439</v>
      </c>
      <c r="S3394" t="s">
        <v>40588</v>
      </c>
      <c r="T3394" t="s">
        <v>42118</v>
      </c>
      <c r="U3394" t="s">
        <v>45559</v>
      </c>
      <c r="W3394" t="s">
        <v>38204</v>
      </c>
      <c r="X3394" t="s">
        <v>40440</v>
      </c>
    </row>
    <row r="3395" spans="1:24">
      <c r="A3395">
        <f>HYPERLINK("https://www.philgeps.gov.ph/GEPSNONPILOT/Tender/SplashBidNoticeAbstractUI.aspx?menuIndex=3&amp;refID=7045356&amp;Result=3","7045356")</f>
        <v>0</v>
      </c>
      <c r="B3395" t="s">
        <v>1307</v>
      </c>
      <c r="C3395" t="s">
        <v>6325</v>
      </c>
      <c r="D3395" t="s">
        <v>16196</v>
      </c>
      <c r="E3395" t="s">
        <v>19348</v>
      </c>
      <c r="F3395" t="s">
        <v>28198</v>
      </c>
      <c r="G3395" t="s">
        <v>28207</v>
      </c>
      <c r="H3395" t="s">
        <v>28214</v>
      </c>
      <c r="I3395" t="s">
        <v>3797</v>
      </c>
      <c r="J3395" t="s">
        <v>30597</v>
      </c>
      <c r="K3395" t="s">
        <v>36692</v>
      </c>
      <c r="M3395" t="s">
        <v>38361</v>
      </c>
      <c r="N3395" t="s">
        <v>40436</v>
      </c>
      <c r="O3395" t="s">
        <v>40437</v>
      </c>
      <c r="P3395">
        <v>0</v>
      </c>
      <c r="Q3395">
        <v>4</v>
      </c>
      <c r="R3395" t="s">
        <v>40439</v>
      </c>
      <c r="S3395" t="s">
        <v>40588</v>
      </c>
      <c r="T3395" t="s">
        <v>42155</v>
      </c>
      <c r="U3395" t="s">
        <v>45560</v>
      </c>
      <c r="W3395" t="s">
        <v>38361</v>
      </c>
      <c r="X3395" t="s">
        <v>40440</v>
      </c>
    </row>
    <row r="3396" spans="1:24">
      <c r="A3396">
        <f>HYPERLINK("https://www.philgeps.gov.ph/GEPSNONPILOT/Tender/SplashBidNoticeAbstractUI.aspx?menuIndex=3&amp;refID=7045349&amp;Result=3","7045349")</f>
        <v>0</v>
      </c>
      <c r="B3396" t="s">
        <v>1164</v>
      </c>
      <c r="C3396" t="s">
        <v>6326</v>
      </c>
      <c r="D3396" t="s">
        <v>16203</v>
      </c>
      <c r="E3396" t="s">
        <v>19349</v>
      </c>
      <c r="F3396" t="s">
        <v>28198</v>
      </c>
      <c r="G3396" t="s">
        <v>28205</v>
      </c>
      <c r="H3396" t="s">
        <v>28214</v>
      </c>
      <c r="I3396" t="s">
        <v>3797</v>
      </c>
      <c r="J3396" t="s">
        <v>30598</v>
      </c>
      <c r="K3396" t="s">
        <v>36753</v>
      </c>
      <c r="M3396" t="s">
        <v>38204</v>
      </c>
      <c r="N3396" t="s">
        <v>40436</v>
      </c>
      <c r="O3396" t="s">
        <v>40437</v>
      </c>
      <c r="P3396">
        <v>0</v>
      </c>
      <c r="Q3396">
        <v>1</v>
      </c>
      <c r="R3396" t="s">
        <v>40439</v>
      </c>
      <c r="S3396" t="s">
        <v>40588</v>
      </c>
      <c r="T3396" t="s">
        <v>42118</v>
      </c>
      <c r="U3396" t="s">
        <v>45561</v>
      </c>
      <c r="W3396" t="s">
        <v>38204</v>
      </c>
      <c r="X3396" t="s">
        <v>40440</v>
      </c>
    </row>
    <row r="3397" spans="1:24">
      <c r="A3397">
        <f>HYPERLINK("https://www.philgeps.gov.ph/GEPSNONPILOT/Tender/SplashBidNoticeAbstractUI.aspx?menuIndex=3&amp;refID=7045366&amp;Result=3","7045366")</f>
        <v>0</v>
      </c>
      <c r="B3397" t="s">
        <v>1296</v>
      </c>
      <c r="C3397" t="s">
        <v>6327</v>
      </c>
      <c r="D3397" t="s">
        <v>16210</v>
      </c>
      <c r="E3397" t="s">
        <v>19350</v>
      </c>
      <c r="F3397" t="s">
        <v>28198</v>
      </c>
      <c r="G3397" t="s">
        <v>28205</v>
      </c>
      <c r="H3397" t="s">
        <v>28215</v>
      </c>
      <c r="I3397" t="s">
        <v>4200</v>
      </c>
      <c r="J3397" t="s">
        <v>28415</v>
      </c>
      <c r="K3397" t="s">
        <v>36689</v>
      </c>
      <c r="M3397" t="s">
        <v>38350</v>
      </c>
      <c r="N3397" t="s">
        <v>40436</v>
      </c>
      <c r="O3397" t="s">
        <v>40437</v>
      </c>
      <c r="P3397">
        <v>0</v>
      </c>
      <c r="Q3397">
        <v>1</v>
      </c>
      <c r="R3397" t="s">
        <v>40439</v>
      </c>
      <c r="S3397" t="s">
        <v>40588</v>
      </c>
      <c r="T3397" t="s">
        <v>42175</v>
      </c>
      <c r="U3397" t="s">
        <v>45562</v>
      </c>
      <c r="W3397" t="s">
        <v>38350</v>
      </c>
      <c r="X3397" t="s">
        <v>40440</v>
      </c>
    </row>
    <row r="3398" spans="1:24">
      <c r="A3398">
        <f>HYPERLINK("https://www.philgeps.gov.ph/GEPSNONPILOT/Tender/SplashBidNoticeAbstractUI.aspx?menuIndex=3&amp;refID=7045352&amp;Result=3","7045352")</f>
        <v>0</v>
      </c>
      <c r="B3398" t="s">
        <v>1180</v>
      </c>
      <c r="C3398" t="s">
        <v>6328</v>
      </c>
      <c r="D3398" t="s">
        <v>16250</v>
      </c>
      <c r="E3398" t="s">
        <v>19351</v>
      </c>
      <c r="F3398" t="s">
        <v>28198</v>
      </c>
      <c r="G3398" t="s">
        <v>28205</v>
      </c>
      <c r="H3398" t="s">
        <v>28214</v>
      </c>
      <c r="I3398" t="s">
        <v>28216</v>
      </c>
      <c r="J3398" t="s">
        <v>28398</v>
      </c>
      <c r="K3398" t="s">
        <v>36715</v>
      </c>
      <c r="L3398" t="s">
        <v>1180</v>
      </c>
      <c r="M3398" t="s">
        <v>38222</v>
      </c>
      <c r="N3398" t="s">
        <v>40436</v>
      </c>
      <c r="O3398" t="s">
        <v>40437</v>
      </c>
      <c r="P3398">
        <v>0</v>
      </c>
      <c r="Q3398">
        <v>0</v>
      </c>
      <c r="R3398" t="s">
        <v>40439</v>
      </c>
      <c r="S3398" t="s">
        <v>40588</v>
      </c>
      <c r="T3398" t="s">
        <v>42133</v>
      </c>
      <c r="U3398" t="s">
        <v>45563</v>
      </c>
      <c r="W3398" t="s">
        <v>38222</v>
      </c>
      <c r="X3398" t="s">
        <v>40440</v>
      </c>
    </row>
    <row r="3399" spans="1:24">
      <c r="A3399">
        <f>HYPERLINK("https://www.philgeps.gov.ph/GEPSNONPILOT/Tender/SplashBidNoticeAbstractUI.aspx?menuIndex=3&amp;refID=7045375&amp;Result=3","7045375")</f>
        <v>0</v>
      </c>
      <c r="B3399" t="s">
        <v>1308</v>
      </c>
      <c r="C3399" t="s">
        <v>6329</v>
      </c>
      <c r="D3399" t="s">
        <v>16274</v>
      </c>
      <c r="E3399" t="s">
        <v>19352</v>
      </c>
      <c r="F3399" t="s">
        <v>28198</v>
      </c>
      <c r="G3399" t="s">
        <v>28205</v>
      </c>
      <c r="H3399" t="s">
        <v>28214</v>
      </c>
      <c r="I3399" t="s">
        <v>3797</v>
      </c>
      <c r="J3399" t="s">
        <v>28390</v>
      </c>
      <c r="K3399" t="s">
        <v>36697</v>
      </c>
      <c r="M3399" t="s">
        <v>38362</v>
      </c>
      <c r="N3399" t="s">
        <v>40436</v>
      </c>
      <c r="O3399" t="s">
        <v>40437</v>
      </c>
      <c r="P3399">
        <v>0</v>
      </c>
      <c r="Q3399">
        <v>0</v>
      </c>
      <c r="R3399" t="s">
        <v>40439</v>
      </c>
      <c r="S3399" t="s">
        <v>40588</v>
      </c>
      <c r="T3399" t="s">
        <v>42248</v>
      </c>
      <c r="U3399" t="s">
        <v>45564</v>
      </c>
      <c r="W3399" t="s">
        <v>38362</v>
      </c>
      <c r="X3399" t="s">
        <v>40440</v>
      </c>
    </row>
    <row r="3400" spans="1:24">
      <c r="A3400">
        <f>HYPERLINK("https://www.philgeps.gov.ph/GEPSNONPILOT/Tender/SplashBidNoticeAbstractUI.aspx?menuIndex=3&amp;refID=7045359&amp;Result=3","7045359")</f>
        <v>0</v>
      </c>
      <c r="B3400" t="s">
        <v>525</v>
      </c>
      <c r="C3400" t="s">
        <v>6330</v>
      </c>
      <c r="D3400" t="s">
        <v>16221</v>
      </c>
      <c r="E3400" t="s">
        <v>19353</v>
      </c>
      <c r="F3400" t="s">
        <v>28198</v>
      </c>
      <c r="G3400" t="s">
        <v>28206</v>
      </c>
      <c r="H3400" t="s">
        <v>28215</v>
      </c>
      <c r="I3400" t="s">
        <v>28234</v>
      </c>
      <c r="J3400" t="s">
        <v>30599</v>
      </c>
      <c r="K3400" t="s">
        <v>36689</v>
      </c>
      <c r="M3400" t="s">
        <v>37510</v>
      </c>
      <c r="N3400" t="s">
        <v>40436</v>
      </c>
      <c r="O3400" t="s">
        <v>40437</v>
      </c>
      <c r="P3400">
        <v>0</v>
      </c>
      <c r="Q3400">
        <v>10</v>
      </c>
      <c r="R3400" t="s">
        <v>40439</v>
      </c>
      <c r="S3400" t="s">
        <v>40588</v>
      </c>
      <c r="T3400" t="s">
        <v>42136</v>
      </c>
      <c r="U3400" t="s">
        <v>45565</v>
      </c>
      <c r="W3400" t="s">
        <v>37510</v>
      </c>
      <c r="X3400" t="s">
        <v>40440</v>
      </c>
    </row>
    <row r="3401" spans="1:24">
      <c r="A3401">
        <f>HYPERLINK("https://www.philgeps.gov.ph/GEPSNONPILOT/Tender/SplashBidNoticeAbstractUI.aspx?menuIndex=3&amp;refID=7045372&amp;Result=3","7045372")</f>
        <v>0</v>
      </c>
      <c r="B3401" t="s">
        <v>1296</v>
      </c>
      <c r="C3401" t="s">
        <v>4230</v>
      </c>
      <c r="D3401" t="s">
        <v>16210</v>
      </c>
      <c r="E3401" t="s">
        <v>19354</v>
      </c>
      <c r="F3401" t="s">
        <v>28198</v>
      </c>
      <c r="G3401" t="s">
        <v>28205</v>
      </c>
      <c r="H3401" t="s">
        <v>28215</v>
      </c>
      <c r="I3401" t="s">
        <v>4200</v>
      </c>
      <c r="J3401" t="s">
        <v>28378</v>
      </c>
      <c r="K3401" t="s">
        <v>36689</v>
      </c>
      <c r="M3401" t="s">
        <v>38350</v>
      </c>
      <c r="N3401" t="s">
        <v>40436</v>
      </c>
      <c r="O3401" t="s">
        <v>40437</v>
      </c>
      <c r="P3401">
        <v>0</v>
      </c>
      <c r="Q3401">
        <v>2</v>
      </c>
      <c r="R3401" t="s">
        <v>40439</v>
      </c>
      <c r="S3401" t="s">
        <v>40588</v>
      </c>
      <c r="T3401" t="s">
        <v>42175</v>
      </c>
      <c r="U3401" t="s">
        <v>45566</v>
      </c>
      <c r="W3401" t="s">
        <v>38350</v>
      </c>
      <c r="X3401" t="s">
        <v>40440</v>
      </c>
    </row>
    <row r="3402" spans="1:24">
      <c r="A3402">
        <f>HYPERLINK("https://www.philgeps.gov.ph/GEPSNONPILOT/Tender/SplashBidNoticeAbstractUI.aspx?menuIndex=3&amp;refID=7045351&amp;Result=3","7045351")</f>
        <v>0</v>
      </c>
      <c r="B3402" t="s">
        <v>1299</v>
      </c>
      <c r="C3402" t="s">
        <v>6331</v>
      </c>
      <c r="D3402" t="s">
        <v>16208</v>
      </c>
      <c r="E3402" t="s">
        <v>19355</v>
      </c>
      <c r="F3402" t="s">
        <v>28198</v>
      </c>
      <c r="G3402" t="s">
        <v>28206</v>
      </c>
      <c r="H3402" t="s">
        <v>28215</v>
      </c>
      <c r="I3402" t="s">
        <v>5100</v>
      </c>
      <c r="J3402" t="s">
        <v>30600</v>
      </c>
      <c r="K3402" t="s">
        <v>36698</v>
      </c>
      <c r="M3402" t="s">
        <v>38353</v>
      </c>
      <c r="N3402" t="s">
        <v>40436</v>
      </c>
      <c r="O3402" t="s">
        <v>40437</v>
      </c>
      <c r="P3402">
        <v>0</v>
      </c>
      <c r="Q3402">
        <v>0</v>
      </c>
      <c r="R3402" t="s">
        <v>40439</v>
      </c>
      <c r="S3402" t="s">
        <v>40588</v>
      </c>
      <c r="T3402" t="s">
        <v>42245</v>
      </c>
      <c r="U3402" t="s">
        <v>45567</v>
      </c>
      <c r="W3402" t="s">
        <v>38353</v>
      </c>
      <c r="X3402" t="s">
        <v>40440</v>
      </c>
    </row>
    <row r="3403" spans="1:24">
      <c r="A3403">
        <f>HYPERLINK("https://www.philgeps.gov.ph/GEPSNONPILOT/Tender/SplashBidNoticeAbstractUI.aspx?menuIndex=3&amp;refID=7045374&amp;Result=3","7045374")</f>
        <v>0</v>
      </c>
      <c r="B3403" t="s">
        <v>1306</v>
      </c>
      <c r="C3403" t="s">
        <v>6332</v>
      </c>
      <c r="D3403" t="s">
        <v>16227</v>
      </c>
      <c r="E3403" t="s">
        <v>19356</v>
      </c>
      <c r="F3403" t="s">
        <v>28198</v>
      </c>
      <c r="G3403" t="s">
        <v>28205</v>
      </c>
      <c r="H3403" t="s">
        <v>28214</v>
      </c>
      <c r="I3403" t="s">
        <v>3797</v>
      </c>
      <c r="J3403" t="s">
        <v>30601</v>
      </c>
      <c r="K3403" t="s">
        <v>36687</v>
      </c>
      <c r="M3403" t="s">
        <v>38360</v>
      </c>
      <c r="N3403" t="s">
        <v>40436</v>
      </c>
      <c r="O3403" t="s">
        <v>40437</v>
      </c>
      <c r="P3403">
        <v>0</v>
      </c>
      <c r="Q3403">
        <v>0</v>
      </c>
      <c r="R3403" t="s">
        <v>40439</v>
      </c>
      <c r="S3403" t="s">
        <v>40588</v>
      </c>
      <c r="T3403" t="s">
        <v>42097</v>
      </c>
      <c r="U3403" t="s">
        <v>45568</v>
      </c>
      <c r="W3403" t="s">
        <v>38360</v>
      </c>
      <c r="X3403" t="s">
        <v>40440</v>
      </c>
    </row>
    <row r="3404" spans="1:24">
      <c r="A3404">
        <f>HYPERLINK("https://www.philgeps.gov.ph/GEPSNONPILOT/Tender/SplashBidNoticeAbstractUI.aspx?menuIndex=3&amp;refID=7045355&amp;Result=3","7045355")</f>
        <v>0</v>
      </c>
      <c r="B3404" t="s">
        <v>1301</v>
      </c>
      <c r="C3404" t="s">
        <v>6333</v>
      </c>
      <c r="D3404" t="s">
        <v>16195</v>
      </c>
      <c r="E3404" t="s">
        <v>19357</v>
      </c>
      <c r="F3404" t="s">
        <v>28198</v>
      </c>
      <c r="G3404" t="s">
        <v>28205</v>
      </c>
      <c r="H3404" t="s">
        <v>28215</v>
      </c>
      <c r="I3404" t="s">
        <v>28298</v>
      </c>
      <c r="J3404" t="s">
        <v>29643</v>
      </c>
      <c r="K3404" t="s">
        <v>36715</v>
      </c>
      <c r="M3404" t="s">
        <v>38355</v>
      </c>
      <c r="N3404" t="s">
        <v>40436</v>
      </c>
      <c r="O3404" t="s">
        <v>40437</v>
      </c>
      <c r="P3404">
        <v>0</v>
      </c>
      <c r="Q3404">
        <v>7</v>
      </c>
      <c r="R3404" t="s">
        <v>40439</v>
      </c>
      <c r="S3404" t="s">
        <v>40588</v>
      </c>
      <c r="T3404" t="s">
        <v>42106</v>
      </c>
      <c r="U3404" t="s">
        <v>45569</v>
      </c>
      <c r="V3404" t="s">
        <v>54132</v>
      </c>
      <c r="W3404" t="s">
        <v>38355</v>
      </c>
      <c r="X3404" t="s">
        <v>40440</v>
      </c>
    </row>
    <row r="3405" spans="1:24">
      <c r="A3405">
        <f>HYPERLINK("https://www.philgeps.gov.ph/GEPSNONPILOT/Tender/SplashBidNoticeAbstractUI.aspx?menuIndex=3&amp;refID=7045386&amp;Result=3","7045386")</f>
        <v>0</v>
      </c>
      <c r="B3405" t="s">
        <v>1003</v>
      </c>
      <c r="C3405" t="s">
        <v>6334</v>
      </c>
      <c r="D3405" t="s">
        <v>16247</v>
      </c>
      <c r="E3405" t="s">
        <v>19358</v>
      </c>
      <c r="F3405" t="s">
        <v>28200</v>
      </c>
      <c r="G3405" t="s">
        <v>28210</v>
      </c>
      <c r="H3405" t="s">
        <v>28215</v>
      </c>
      <c r="I3405" t="s">
        <v>5082</v>
      </c>
      <c r="J3405" t="s">
        <v>28878</v>
      </c>
      <c r="K3405" t="s">
        <v>36688</v>
      </c>
      <c r="M3405" t="s">
        <v>38031</v>
      </c>
      <c r="N3405" t="s">
        <v>40436</v>
      </c>
      <c r="O3405" t="s">
        <v>40437</v>
      </c>
      <c r="P3405">
        <v>0</v>
      </c>
      <c r="Q3405">
        <v>1</v>
      </c>
      <c r="R3405" t="s">
        <v>40439</v>
      </c>
      <c r="S3405" t="s">
        <v>40588</v>
      </c>
      <c r="T3405" t="s">
        <v>42152</v>
      </c>
      <c r="U3405" t="s">
        <v>45570</v>
      </c>
      <c r="W3405" t="s">
        <v>38031</v>
      </c>
      <c r="X3405" t="s">
        <v>40440</v>
      </c>
    </row>
    <row r="3406" spans="1:24">
      <c r="A3406">
        <f>HYPERLINK("https://www.philgeps.gov.ph/GEPSNONPILOT/Tender/SplashBidNoticeAbstractUI.aspx?menuIndex=3&amp;refID=7045370&amp;Result=3","7045370")</f>
        <v>0</v>
      </c>
      <c r="B3406" t="s">
        <v>191</v>
      </c>
      <c r="C3406" t="s">
        <v>6335</v>
      </c>
      <c r="D3406" t="s">
        <v>16210</v>
      </c>
      <c r="E3406" t="s">
        <v>19359</v>
      </c>
      <c r="F3406" t="s">
        <v>28198</v>
      </c>
      <c r="G3406" t="s">
        <v>28210</v>
      </c>
      <c r="H3406" t="s">
        <v>28215</v>
      </c>
      <c r="I3406" t="s">
        <v>9499</v>
      </c>
      <c r="J3406" t="s">
        <v>28904</v>
      </c>
      <c r="K3406" t="s">
        <v>36688</v>
      </c>
      <c r="M3406" t="s">
        <v>37166</v>
      </c>
      <c r="N3406" t="s">
        <v>40436</v>
      </c>
      <c r="O3406" t="s">
        <v>40437</v>
      </c>
      <c r="P3406">
        <v>0</v>
      </c>
      <c r="Q3406">
        <v>9</v>
      </c>
      <c r="R3406" t="s">
        <v>40439</v>
      </c>
      <c r="S3406" t="s">
        <v>40588</v>
      </c>
      <c r="T3406" t="s">
        <v>42176</v>
      </c>
      <c r="U3406" t="s">
        <v>45571</v>
      </c>
      <c r="W3406" t="s">
        <v>55434</v>
      </c>
      <c r="X3406" t="s">
        <v>40440</v>
      </c>
    </row>
    <row r="3407" spans="1:24">
      <c r="A3407">
        <f>HYPERLINK("https://www.philgeps.gov.ph/GEPSNONPILOT/Tender/SplashBidNoticeAbstractUI.aspx?menuIndex=3&amp;refID=7045389&amp;Result=3","7045389")</f>
        <v>0</v>
      </c>
      <c r="B3407" t="s">
        <v>1122</v>
      </c>
      <c r="C3407" t="s">
        <v>6336</v>
      </c>
      <c r="D3407" t="s">
        <v>16199</v>
      </c>
      <c r="E3407" t="s">
        <v>16497</v>
      </c>
      <c r="F3407" t="s">
        <v>28198</v>
      </c>
      <c r="G3407" t="s">
        <v>28207</v>
      </c>
      <c r="H3407" t="s">
        <v>28217</v>
      </c>
      <c r="I3407" t="s">
        <v>28274</v>
      </c>
      <c r="J3407" t="s">
        <v>30006</v>
      </c>
      <c r="K3407" t="s">
        <v>36743</v>
      </c>
      <c r="M3407" t="s">
        <v>38160</v>
      </c>
      <c r="N3407" t="s">
        <v>40436</v>
      </c>
      <c r="O3407" t="s">
        <v>40437</v>
      </c>
      <c r="P3407">
        <v>0</v>
      </c>
      <c r="Q3407">
        <v>0</v>
      </c>
      <c r="R3407" t="s">
        <v>40439</v>
      </c>
      <c r="S3407" t="s">
        <v>40588</v>
      </c>
      <c r="T3407" t="s">
        <v>42131</v>
      </c>
      <c r="U3407" t="s">
        <v>45572</v>
      </c>
      <c r="W3407" t="s">
        <v>38160</v>
      </c>
      <c r="X3407" t="s">
        <v>40440</v>
      </c>
    </row>
    <row r="3408" spans="1:24">
      <c r="A3408">
        <f>HYPERLINK("https://www.philgeps.gov.ph/GEPSNONPILOT/Tender/SplashBidNoticeAbstractUI.aspx?menuIndex=3&amp;refID=7045385&amp;Result=3","7045385")</f>
        <v>0</v>
      </c>
      <c r="B3408" t="s">
        <v>585</v>
      </c>
      <c r="C3408" t="s">
        <v>6337</v>
      </c>
      <c r="D3408" t="s">
        <v>16190</v>
      </c>
      <c r="E3408" t="s">
        <v>19360</v>
      </c>
      <c r="F3408" t="s">
        <v>28198</v>
      </c>
      <c r="G3408" t="s">
        <v>28205</v>
      </c>
      <c r="H3408" t="s">
        <v>28214</v>
      </c>
      <c r="I3408" t="s">
        <v>5100</v>
      </c>
      <c r="J3408" t="s">
        <v>28352</v>
      </c>
      <c r="K3408" t="s">
        <v>36698</v>
      </c>
      <c r="M3408" t="s">
        <v>37670</v>
      </c>
      <c r="N3408" t="s">
        <v>40436</v>
      </c>
      <c r="O3408" t="s">
        <v>40437</v>
      </c>
      <c r="P3408">
        <v>0</v>
      </c>
      <c r="Q3408">
        <v>0</v>
      </c>
      <c r="R3408" t="s">
        <v>40439</v>
      </c>
      <c r="S3408" t="s">
        <v>40588</v>
      </c>
      <c r="T3408" t="s">
        <v>42362</v>
      </c>
      <c r="U3408" t="s">
        <v>45573</v>
      </c>
      <c r="W3408" t="s">
        <v>37670</v>
      </c>
      <c r="X3408" t="s">
        <v>40440</v>
      </c>
    </row>
    <row r="3409" spans="1:24">
      <c r="A3409">
        <f>HYPERLINK("https://www.philgeps.gov.ph/GEPSNONPILOT/Tender/SplashBidNoticeAbstractUI.aspx?menuIndex=3&amp;refID=7045384&amp;Result=3","7045384")</f>
        <v>0</v>
      </c>
      <c r="B3409" t="s">
        <v>580</v>
      </c>
      <c r="C3409" t="s">
        <v>6338</v>
      </c>
      <c r="D3409" t="s">
        <v>16214</v>
      </c>
      <c r="E3409" t="s">
        <v>19361</v>
      </c>
      <c r="F3409" t="s">
        <v>28198</v>
      </c>
      <c r="G3409" t="s">
        <v>28207</v>
      </c>
      <c r="H3409" t="s">
        <v>28215</v>
      </c>
      <c r="I3409" t="s">
        <v>28234</v>
      </c>
      <c r="J3409" t="s">
        <v>30602</v>
      </c>
      <c r="K3409" t="s">
        <v>36707</v>
      </c>
      <c r="M3409" t="s">
        <v>37570</v>
      </c>
      <c r="N3409" t="s">
        <v>40436</v>
      </c>
      <c r="O3409" t="s">
        <v>40437</v>
      </c>
      <c r="P3409">
        <v>0</v>
      </c>
      <c r="Q3409">
        <v>0</v>
      </c>
      <c r="R3409" t="s">
        <v>40439</v>
      </c>
      <c r="S3409" t="s">
        <v>40588</v>
      </c>
      <c r="T3409" t="s">
        <v>42188</v>
      </c>
      <c r="U3409" t="s">
        <v>45574</v>
      </c>
      <c r="W3409" t="s">
        <v>37570</v>
      </c>
      <c r="X3409" t="s">
        <v>40440</v>
      </c>
    </row>
    <row r="3410" spans="1:24">
      <c r="A3410">
        <f>HYPERLINK("https://www.philgeps.gov.ph/GEPSNONPILOT/Tender/SplashBidNoticeAbstractUI.aspx?menuIndex=3&amp;refID=7045387&amp;Result=3","7045387")</f>
        <v>0</v>
      </c>
      <c r="B3410" t="s">
        <v>1309</v>
      </c>
      <c r="C3410" t="s">
        <v>6339</v>
      </c>
      <c r="D3410" t="s">
        <v>16259</v>
      </c>
      <c r="E3410" t="s">
        <v>19362</v>
      </c>
      <c r="F3410" t="s">
        <v>28198</v>
      </c>
      <c r="G3410" t="s">
        <v>28207</v>
      </c>
      <c r="H3410" t="s">
        <v>28215</v>
      </c>
      <c r="I3410" t="s">
        <v>5082</v>
      </c>
      <c r="J3410" t="s">
        <v>30603</v>
      </c>
      <c r="K3410" t="s">
        <v>36707</v>
      </c>
      <c r="M3410" t="s">
        <v>38363</v>
      </c>
      <c r="N3410" t="s">
        <v>40436</v>
      </c>
      <c r="O3410" t="s">
        <v>40437</v>
      </c>
      <c r="P3410">
        <v>0</v>
      </c>
      <c r="Q3410">
        <v>0</v>
      </c>
      <c r="R3410" t="s">
        <v>40439</v>
      </c>
      <c r="S3410" t="s">
        <v>40588</v>
      </c>
      <c r="T3410" t="s">
        <v>42326</v>
      </c>
      <c r="U3410" t="s">
        <v>45575</v>
      </c>
      <c r="W3410" t="s">
        <v>38363</v>
      </c>
      <c r="X3410" t="s">
        <v>40440</v>
      </c>
    </row>
    <row r="3411" spans="1:24">
      <c r="A3411">
        <f>HYPERLINK("https://www.philgeps.gov.ph/GEPSNONPILOT/Tender/SplashBidNoticeAbstractUI.aspx?menuIndex=3&amp;refID=7045390&amp;Result=3","7045390")</f>
        <v>0</v>
      </c>
      <c r="B3411" t="s">
        <v>1296</v>
      </c>
      <c r="C3411" t="s">
        <v>6340</v>
      </c>
      <c r="D3411" t="s">
        <v>16210</v>
      </c>
      <c r="E3411" t="s">
        <v>19363</v>
      </c>
      <c r="F3411" t="s">
        <v>28198</v>
      </c>
      <c r="G3411" t="s">
        <v>28205</v>
      </c>
      <c r="H3411" t="s">
        <v>28215</v>
      </c>
      <c r="I3411" t="s">
        <v>5631</v>
      </c>
      <c r="J3411" t="s">
        <v>28398</v>
      </c>
      <c r="K3411" t="s">
        <v>36689</v>
      </c>
      <c r="M3411" t="s">
        <v>38350</v>
      </c>
      <c r="N3411" t="s">
        <v>40436</v>
      </c>
      <c r="O3411" t="s">
        <v>40437</v>
      </c>
      <c r="P3411">
        <v>0</v>
      </c>
      <c r="Q3411">
        <v>1</v>
      </c>
      <c r="R3411" t="s">
        <v>40439</v>
      </c>
      <c r="S3411" t="s">
        <v>40588</v>
      </c>
      <c r="T3411" t="s">
        <v>42175</v>
      </c>
      <c r="U3411" t="s">
        <v>45576</v>
      </c>
      <c r="W3411" t="s">
        <v>38350</v>
      </c>
      <c r="X3411" t="s">
        <v>40440</v>
      </c>
    </row>
    <row r="3412" spans="1:24">
      <c r="A3412">
        <f>HYPERLINK("https://www.philgeps.gov.ph/GEPSNONPILOT/Tender/SplashBidNoticeAbstractUI.aspx?menuIndex=3&amp;refID=7045382&amp;Result=3","7045382")</f>
        <v>0</v>
      </c>
      <c r="B3412" t="s">
        <v>1310</v>
      </c>
      <c r="C3412" t="s">
        <v>6341</v>
      </c>
      <c r="D3412" t="s">
        <v>16191</v>
      </c>
      <c r="E3412" t="s">
        <v>18706</v>
      </c>
      <c r="F3412" t="s">
        <v>28200</v>
      </c>
      <c r="G3412" t="s">
        <v>28206</v>
      </c>
      <c r="H3412" t="s">
        <v>28215</v>
      </c>
      <c r="I3412" t="s">
        <v>28239</v>
      </c>
      <c r="J3412" t="s">
        <v>29667</v>
      </c>
      <c r="K3412" t="s">
        <v>36689</v>
      </c>
      <c r="M3412" t="s">
        <v>38364</v>
      </c>
      <c r="N3412" t="s">
        <v>40436</v>
      </c>
      <c r="O3412" t="s">
        <v>40437</v>
      </c>
      <c r="P3412">
        <v>0</v>
      </c>
      <c r="Q3412">
        <v>1</v>
      </c>
      <c r="R3412" t="s">
        <v>40439</v>
      </c>
      <c r="S3412" t="s">
        <v>40588</v>
      </c>
      <c r="T3412" t="s">
        <v>42245</v>
      </c>
      <c r="U3412" t="s">
        <v>45577</v>
      </c>
      <c r="W3412" t="s">
        <v>38364</v>
      </c>
      <c r="X3412" t="s">
        <v>40440</v>
      </c>
    </row>
    <row r="3413" spans="1:24">
      <c r="A3413">
        <f>HYPERLINK("https://www.philgeps.gov.ph/GEPSNONPILOT/Tender/SplashBidNoticeAbstractUI.aspx?menuIndex=3&amp;refID=7045368&amp;Result=3","7045368")</f>
        <v>0</v>
      </c>
      <c r="B3413" t="s">
        <v>1311</v>
      </c>
      <c r="C3413" t="s">
        <v>6342</v>
      </c>
      <c r="D3413" t="s">
        <v>16188</v>
      </c>
      <c r="E3413" t="s">
        <v>16542</v>
      </c>
      <c r="F3413" t="s">
        <v>28198</v>
      </c>
      <c r="G3413" t="s">
        <v>28206</v>
      </c>
      <c r="H3413" t="s">
        <v>28215</v>
      </c>
      <c r="I3413" t="s">
        <v>28232</v>
      </c>
      <c r="J3413" t="s">
        <v>29667</v>
      </c>
      <c r="K3413" t="s">
        <v>36693</v>
      </c>
      <c r="M3413" t="s">
        <v>38365</v>
      </c>
      <c r="N3413" t="s">
        <v>40436</v>
      </c>
      <c r="O3413" t="s">
        <v>40437</v>
      </c>
      <c r="P3413">
        <v>0</v>
      </c>
      <c r="Q3413">
        <v>1</v>
      </c>
      <c r="R3413" t="s">
        <v>40439</v>
      </c>
      <c r="S3413" t="s">
        <v>40588</v>
      </c>
      <c r="T3413" t="s">
        <v>42167</v>
      </c>
      <c r="U3413" t="s">
        <v>45578</v>
      </c>
      <c r="V3413" t="s">
        <v>54133</v>
      </c>
      <c r="W3413" t="s">
        <v>38365</v>
      </c>
      <c r="X3413" t="s">
        <v>40440</v>
      </c>
    </row>
    <row r="3414" spans="1:24">
      <c r="A3414">
        <f>HYPERLINK("https://www.philgeps.gov.ph/GEPSNONPILOT/Tender/SplashBidNoticeAbstractUI.aspx?menuIndex=3&amp;refID=7045383&amp;Result=3","7045383")</f>
        <v>0</v>
      </c>
      <c r="B3414" t="s">
        <v>377</v>
      </c>
      <c r="C3414" t="s">
        <v>6343</v>
      </c>
      <c r="D3414" t="s">
        <v>16204</v>
      </c>
      <c r="E3414" t="s">
        <v>19364</v>
      </c>
      <c r="F3414" t="s">
        <v>28198</v>
      </c>
      <c r="G3414" t="s">
        <v>28207</v>
      </c>
      <c r="H3414" t="s">
        <v>28214</v>
      </c>
      <c r="I3414" t="s">
        <v>3797</v>
      </c>
      <c r="J3414" t="s">
        <v>30604</v>
      </c>
      <c r="K3414" t="s">
        <v>36689</v>
      </c>
      <c r="L3414" t="s">
        <v>377</v>
      </c>
      <c r="M3414" t="s">
        <v>38237</v>
      </c>
      <c r="N3414" t="s">
        <v>40436</v>
      </c>
      <c r="O3414" t="s">
        <v>40437</v>
      </c>
      <c r="P3414">
        <v>0</v>
      </c>
      <c r="Q3414">
        <v>2</v>
      </c>
      <c r="R3414" t="s">
        <v>40439</v>
      </c>
      <c r="S3414" t="s">
        <v>40588</v>
      </c>
      <c r="T3414" t="s">
        <v>42169</v>
      </c>
      <c r="U3414" t="s">
        <v>43254</v>
      </c>
      <c r="W3414" t="s">
        <v>38237</v>
      </c>
      <c r="X3414" t="s">
        <v>40440</v>
      </c>
    </row>
    <row r="3415" spans="1:24">
      <c r="A3415">
        <f>HYPERLINK("https://www.philgeps.gov.ph/GEPSNONPILOT/Tender/SplashBidNoticeAbstractUI.aspx?menuIndex=3&amp;refID=7045392&amp;Result=3","7045392")</f>
        <v>0</v>
      </c>
      <c r="B3415" t="s">
        <v>1312</v>
      </c>
      <c r="C3415" t="s">
        <v>6344</v>
      </c>
      <c r="D3415" t="s">
        <v>16216</v>
      </c>
      <c r="E3415" t="s">
        <v>17248</v>
      </c>
      <c r="F3415" t="s">
        <v>28198</v>
      </c>
      <c r="G3415" t="s">
        <v>28205</v>
      </c>
      <c r="H3415" t="s">
        <v>28215</v>
      </c>
      <c r="I3415" t="s">
        <v>8870</v>
      </c>
      <c r="J3415" t="s">
        <v>29551</v>
      </c>
      <c r="K3415" t="s">
        <v>36701</v>
      </c>
      <c r="M3415" t="s">
        <v>38366</v>
      </c>
      <c r="N3415" t="s">
        <v>40436</v>
      </c>
      <c r="O3415" t="s">
        <v>40437</v>
      </c>
      <c r="P3415">
        <v>0</v>
      </c>
      <c r="Q3415">
        <v>1</v>
      </c>
      <c r="R3415" t="s">
        <v>40439</v>
      </c>
      <c r="S3415" t="s">
        <v>40588</v>
      </c>
      <c r="T3415" t="s">
        <v>42175</v>
      </c>
      <c r="U3415" t="s">
        <v>45579</v>
      </c>
      <c r="W3415" t="s">
        <v>38366</v>
      </c>
      <c r="X3415" t="s">
        <v>40440</v>
      </c>
    </row>
    <row r="3416" spans="1:24">
      <c r="A3416">
        <f>HYPERLINK("https://www.philgeps.gov.ph/GEPSNONPILOT/Tender/SplashBidNoticeAbstractUI.aspx?menuIndex=3&amp;refID=7045391&amp;Result=3","7045391")</f>
        <v>0</v>
      </c>
      <c r="B3416" t="s">
        <v>461</v>
      </c>
      <c r="C3416" t="s">
        <v>6345</v>
      </c>
      <c r="D3416" t="s">
        <v>16208</v>
      </c>
      <c r="E3416" t="s">
        <v>19365</v>
      </c>
      <c r="F3416" t="s">
        <v>28198</v>
      </c>
      <c r="G3416" t="s">
        <v>28207</v>
      </c>
      <c r="H3416" t="s">
        <v>28215</v>
      </c>
      <c r="I3416" t="s">
        <v>8888</v>
      </c>
      <c r="J3416" t="s">
        <v>30605</v>
      </c>
      <c r="K3416" t="s">
        <v>36689</v>
      </c>
      <c r="M3416" t="s">
        <v>38367</v>
      </c>
      <c r="N3416" t="s">
        <v>40436</v>
      </c>
      <c r="O3416" t="s">
        <v>40437</v>
      </c>
      <c r="P3416">
        <v>0</v>
      </c>
      <c r="Q3416">
        <v>1</v>
      </c>
      <c r="R3416" t="s">
        <v>40439</v>
      </c>
      <c r="S3416" t="s">
        <v>40588</v>
      </c>
      <c r="T3416" t="s">
        <v>42160</v>
      </c>
      <c r="U3416" t="s">
        <v>45580</v>
      </c>
      <c r="W3416" t="s">
        <v>38367</v>
      </c>
      <c r="X3416" t="s">
        <v>40440</v>
      </c>
    </row>
    <row r="3417" spans="1:24">
      <c r="A3417">
        <f>HYPERLINK("https://www.philgeps.gov.ph/GEPSNONPILOT/Tender/SplashBidNoticeAbstractUI.aspx?menuIndex=3&amp;refID=7045380&amp;Result=3","7045380")</f>
        <v>0</v>
      </c>
      <c r="B3417" t="s">
        <v>1296</v>
      </c>
      <c r="C3417" t="s">
        <v>6346</v>
      </c>
      <c r="D3417" t="s">
        <v>16210</v>
      </c>
      <c r="E3417" t="s">
        <v>19366</v>
      </c>
      <c r="F3417" t="s">
        <v>28198</v>
      </c>
      <c r="G3417" t="s">
        <v>28205</v>
      </c>
      <c r="H3417" t="s">
        <v>28215</v>
      </c>
      <c r="I3417" t="s">
        <v>4200</v>
      </c>
      <c r="J3417" t="s">
        <v>28561</v>
      </c>
      <c r="K3417" t="s">
        <v>36689</v>
      </c>
      <c r="M3417" t="s">
        <v>38350</v>
      </c>
      <c r="N3417" t="s">
        <v>40436</v>
      </c>
      <c r="O3417" t="s">
        <v>40437</v>
      </c>
      <c r="P3417">
        <v>0</v>
      </c>
      <c r="Q3417">
        <v>1</v>
      </c>
      <c r="R3417" t="s">
        <v>40439</v>
      </c>
      <c r="S3417" t="s">
        <v>40588</v>
      </c>
      <c r="T3417" t="s">
        <v>42175</v>
      </c>
      <c r="U3417" t="s">
        <v>45581</v>
      </c>
      <c r="W3417" t="s">
        <v>38350</v>
      </c>
      <c r="X3417" t="s">
        <v>40440</v>
      </c>
    </row>
    <row r="3418" spans="1:24">
      <c r="A3418">
        <f>HYPERLINK("https://www.philgeps.gov.ph/GEPSNONPILOT/Tender/SplashBidNoticeAbstractUI.aspx?menuIndex=3&amp;refID=7045376&amp;Result=3","7045376")</f>
        <v>0</v>
      </c>
      <c r="B3418" t="s">
        <v>1299</v>
      </c>
      <c r="C3418" t="s">
        <v>6347</v>
      </c>
      <c r="D3418" t="s">
        <v>16208</v>
      </c>
      <c r="E3418" t="s">
        <v>17727</v>
      </c>
      <c r="F3418" t="s">
        <v>28198</v>
      </c>
      <c r="G3418" t="s">
        <v>28206</v>
      </c>
      <c r="H3418" t="s">
        <v>28215</v>
      </c>
      <c r="I3418" t="s">
        <v>5100</v>
      </c>
      <c r="J3418" t="s">
        <v>30606</v>
      </c>
      <c r="K3418" t="s">
        <v>36698</v>
      </c>
      <c r="M3418" t="s">
        <v>38353</v>
      </c>
      <c r="N3418" t="s">
        <v>40436</v>
      </c>
      <c r="O3418" t="s">
        <v>40437</v>
      </c>
      <c r="P3418">
        <v>0</v>
      </c>
      <c r="Q3418">
        <v>0</v>
      </c>
      <c r="R3418" t="s">
        <v>40439</v>
      </c>
      <c r="S3418" t="s">
        <v>40588</v>
      </c>
      <c r="T3418" t="s">
        <v>42245</v>
      </c>
      <c r="U3418" t="s">
        <v>45582</v>
      </c>
      <c r="W3418" t="s">
        <v>38353</v>
      </c>
      <c r="X3418" t="s">
        <v>40440</v>
      </c>
    </row>
    <row r="3419" spans="1:24">
      <c r="A3419">
        <f>HYPERLINK("https://www.philgeps.gov.ph/GEPSNONPILOT/Tender/SplashBidNoticeAbstractUI.aspx?menuIndex=3&amp;refID=7045377&amp;Result=3","7045377")</f>
        <v>0</v>
      </c>
      <c r="B3419" t="s">
        <v>1313</v>
      </c>
      <c r="C3419" t="s">
        <v>6348</v>
      </c>
      <c r="D3419" t="s">
        <v>16209</v>
      </c>
      <c r="E3419" t="s">
        <v>19367</v>
      </c>
      <c r="F3419" t="s">
        <v>28198</v>
      </c>
      <c r="G3419" t="s">
        <v>28205</v>
      </c>
      <c r="H3419" t="s">
        <v>28214</v>
      </c>
      <c r="I3419" t="s">
        <v>5100</v>
      </c>
      <c r="J3419" t="s">
        <v>28661</v>
      </c>
      <c r="K3419" t="s">
        <v>36697</v>
      </c>
      <c r="M3419" t="s">
        <v>38368</v>
      </c>
      <c r="N3419" t="s">
        <v>40436</v>
      </c>
      <c r="O3419" t="s">
        <v>40437</v>
      </c>
      <c r="P3419">
        <v>0</v>
      </c>
      <c r="Q3419">
        <v>0</v>
      </c>
      <c r="R3419" t="s">
        <v>40439</v>
      </c>
      <c r="S3419" t="s">
        <v>40588</v>
      </c>
      <c r="T3419" t="s">
        <v>42363</v>
      </c>
      <c r="U3419" t="s">
        <v>45583</v>
      </c>
      <c r="W3419" t="s">
        <v>38368</v>
      </c>
      <c r="X3419" t="s">
        <v>40440</v>
      </c>
    </row>
    <row r="3420" spans="1:24">
      <c r="A3420">
        <f>HYPERLINK("https://www.philgeps.gov.ph/GEPSNONPILOT/Tender/SplashBidNoticeAbstractUI.aspx?menuIndex=3&amp;refID=7045381&amp;Result=3","7045381")</f>
        <v>0</v>
      </c>
      <c r="B3420" t="s">
        <v>1247</v>
      </c>
      <c r="C3420" t="s">
        <v>6349</v>
      </c>
      <c r="D3420" t="s">
        <v>16210</v>
      </c>
      <c r="E3420" t="s">
        <v>19368</v>
      </c>
      <c r="F3420" t="s">
        <v>28198</v>
      </c>
      <c r="G3420" t="s">
        <v>28207</v>
      </c>
      <c r="H3420" t="s">
        <v>28215</v>
      </c>
      <c r="I3420" t="s">
        <v>4200</v>
      </c>
      <c r="J3420" t="s">
        <v>30607</v>
      </c>
      <c r="K3420" t="s">
        <v>36701</v>
      </c>
      <c r="M3420" t="s">
        <v>38369</v>
      </c>
      <c r="N3420" t="s">
        <v>40436</v>
      </c>
      <c r="O3420" t="s">
        <v>40437</v>
      </c>
      <c r="P3420">
        <v>0</v>
      </c>
      <c r="Q3420">
        <v>1</v>
      </c>
      <c r="R3420" t="s">
        <v>40439</v>
      </c>
      <c r="S3420" t="s">
        <v>40588</v>
      </c>
      <c r="T3420" t="s">
        <v>42158</v>
      </c>
      <c r="U3420" t="s">
        <v>45584</v>
      </c>
      <c r="W3420" t="s">
        <v>38369</v>
      </c>
      <c r="X3420" t="s">
        <v>40440</v>
      </c>
    </row>
    <row r="3421" spans="1:24">
      <c r="A3421">
        <f>HYPERLINK("https://www.philgeps.gov.ph/GEPSNONPILOT/Tender/SplashBidNoticeAbstractUI.aspx?menuIndex=3&amp;refID=7045378&amp;Result=3","7045378")</f>
        <v>0</v>
      </c>
      <c r="B3421" t="s">
        <v>1208</v>
      </c>
      <c r="C3421" t="s">
        <v>6350</v>
      </c>
      <c r="D3421" t="s">
        <v>16211</v>
      </c>
      <c r="E3421" t="s">
        <v>19369</v>
      </c>
      <c r="F3421" t="s">
        <v>28198</v>
      </c>
      <c r="G3421" t="s">
        <v>28207</v>
      </c>
      <c r="H3421" t="s">
        <v>28215</v>
      </c>
      <c r="I3421" t="s">
        <v>7310</v>
      </c>
      <c r="J3421" t="s">
        <v>28395</v>
      </c>
      <c r="K3421" t="s">
        <v>36707</v>
      </c>
      <c r="M3421" t="s">
        <v>38253</v>
      </c>
      <c r="N3421" t="s">
        <v>40436</v>
      </c>
      <c r="O3421" t="s">
        <v>40437</v>
      </c>
      <c r="P3421">
        <v>0</v>
      </c>
      <c r="Q3421">
        <v>5</v>
      </c>
      <c r="R3421" t="s">
        <v>40439</v>
      </c>
      <c r="S3421" t="s">
        <v>40588</v>
      </c>
      <c r="T3421" t="s">
        <v>42169</v>
      </c>
      <c r="U3421" t="s">
        <v>45585</v>
      </c>
      <c r="W3421" t="s">
        <v>38253</v>
      </c>
      <c r="X3421" t="s">
        <v>40440</v>
      </c>
    </row>
    <row r="3422" spans="1:24">
      <c r="A3422">
        <f>HYPERLINK("https://www.philgeps.gov.ph/GEPSNONPILOT/Tender/SplashBidNoticeAbstractUI.aspx?menuIndex=3&amp;refID=7045393&amp;Result=3","7045393")</f>
        <v>0</v>
      </c>
      <c r="B3422" t="s">
        <v>1263</v>
      </c>
      <c r="C3422" t="s">
        <v>6351</v>
      </c>
      <c r="D3422" t="s">
        <v>16217</v>
      </c>
      <c r="E3422" t="s">
        <v>16660</v>
      </c>
      <c r="F3422" t="s">
        <v>28198</v>
      </c>
      <c r="G3422" t="s">
        <v>28205</v>
      </c>
      <c r="H3422" t="s">
        <v>28216</v>
      </c>
      <c r="I3422" t="s">
        <v>28263</v>
      </c>
      <c r="J3422" t="s">
        <v>30608</v>
      </c>
      <c r="K3422" t="s">
        <v>36706</v>
      </c>
      <c r="M3422" t="s">
        <v>38313</v>
      </c>
      <c r="N3422" t="s">
        <v>40436</v>
      </c>
      <c r="O3422" t="s">
        <v>40437</v>
      </c>
      <c r="P3422">
        <v>0</v>
      </c>
      <c r="Q3422">
        <v>0</v>
      </c>
      <c r="R3422" t="s">
        <v>40439</v>
      </c>
      <c r="S3422" t="s">
        <v>40588</v>
      </c>
      <c r="T3422" t="s">
        <v>42175</v>
      </c>
      <c r="U3422" t="s">
        <v>45586</v>
      </c>
      <c r="W3422" t="s">
        <v>38313</v>
      </c>
      <c r="X3422" t="s">
        <v>40440</v>
      </c>
    </row>
    <row r="3423" spans="1:24">
      <c r="A3423">
        <f>HYPERLINK("https://www.philgeps.gov.ph/GEPSNONPILOT/Tender/SplashBidNoticeAbstractUI.aspx?menuIndex=3&amp;refID=7045404&amp;Result=3","7045404")</f>
        <v>0</v>
      </c>
      <c r="B3423" t="s">
        <v>1023</v>
      </c>
      <c r="C3423" t="s">
        <v>6352</v>
      </c>
      <c r="D3423" t="s">
        <v>16265</v>
      </c>
      <c r="E3423" t="s">
        <v>19370</v>
      </c>
      <c r="F3423" t="s">
        <v>28198</v>
      </c>
      <c r="G3423" t="s">
        <v>28205</v>
      </c>
      <c r="H3423" t="s">
        <v>28215</v>
      </c>
      <c r="I3423" t="s">
        <v>5082</v>
      </c>
      <c r="J3423" t="s">
        <v>30609</v>
      </c>
      <c r="K3423" t="s">
        <v>36701</v>
      </c>
      <c r="M3423" t="s">
        <v>38054</v>
      </c>
      <c r="N3423" t="s">
        <v>40436</v>
      </c>
      <c r="O3423" t="s">
        <v>40437</v>
      </c>
      <c r="P3423">
        <v>0</v>
      </c>
      <c r="Q3423">
        <v>0</v>
      </c>
      <c r="R3423" t="s">
        <v>40439</v>
      </c>
      <c r="S3423" t="s">
        <v>40588</v>
      </c>
      <c r="T3423" t="s">
        <v>42108</v>
      </c>
      <c r="U3423" t="s">
        <v>45587</v>
      </c>
      <c r="W3423" t="s">
        <v>38054</v>
      </c>
      <c r="X3423" t="s">
        <v>40440</v>
      </c>
    </row>
    <row r="3424" spans="1:24">
      <c r="A3424">
        <f>HYPERLINK("https://www.philgeps.gov.ph/GEPSNONPILOT/Tender/SplashBidNoticeAbstractUI.aspx?menuIndex=3&amp;refID=7045402&amp;Result=3","7045402")</f>
        <v>0</v>
      </c>
      <c r="B3424" t="s">
        <v>1186</v>
      </c>
      <c r="C3424" t="s">
        <v>6353</v>
      </c>
      <c r="D3424" t="s">
        <v>16199</v>
      </c>
      <c r="E3424" t="s">
        <v>17782</v>
      </c>
      <c r="F3424" t="s">
        <v>28198</v>
      </c>
      <c r="G3424" t="s">
        <v>28205</v>
      </c>
      <c r="H3424" t="s">
        <v>28215</v>
      </c>
      <c r="I3424" t="s">
        <v>6051</v>
      </c>
      <c r="J3424" t="s">
        <v>28398</v>
      </c>
      <c r="K3424" t="s">
        <v>36707</v>
      </c>
      <c r="M3424" t="s">
        <v>38228</v>
      </c>
      <c r="N3424" t="s">
        <v>40436</v>
      </c>
      <c r="O3424" t="s">
        <v>40437</v>
      </c>
      <c r="P3424">
        <v>0</v>
      </c>
      <c r="Q3424">
        <v>0</v>
      </c>
      <c r="R3424" t="s">
        <v>40439</v>
      </c>
      <c r="S3424" t="s">
        <v>40588</v>
      </c>
      <c r="T3424" t="s">
        <v>42112</v>
      </c>
      <c r="U3424" t="s">
        <v>45588</v>
      </c>
      <c r="V3424" t="s">
        <v>54134</v>
      </c>
      <c r="W3424" t="s">
        <v>38228</v>
      </c>
      <c r="X3424" t="s">
        <v>40440</v>
      </c>
    </row>
    <row r="3425" spans="1:24">
      <c r="A3425">
        <f>HYPERLINK("https://www.philgeps.gov.ph/GEPSNONPILOT/Tender/SplashBidNoticeAbstractUI.aspx?menuIndex=3&amp;refID=7045412&amp;Result=3","7045412")</f>
        <v>0</v>
      </c>
      <c r="B3425" t="s">
        <v>1314</v>
      </c>
      <c r="C3425" t="s">
        <v>6354</v>
      </c>
      <c r="D3425" t="s">
        <v>16188</v>
      </c>
      <c r="E3425" t="s">
        <v>19371</v>
      </c>
      <c r="F3425" t="s">
        <v>28198</v>
      </c>
      <c r="G3425" t="s">
        <v>28207</v>
      </c>
      <c r="H3425" t="s">
        <v>28215</v>
      </c>
      <c r="I3425" t="s">
        <v>28225</v>
      </c>
      <c r="J3425" t="s">
        <v>28378</v>
      </c>
      <c r="K3425" t="s">
        <v>36706</v>
      </c>
      <c r="M3425" t="s">
        <v>38370</v>
      </c>
      <c r="N3425" t="s">
        <v>40436</v>
      </c>
      <c r="O3425" t="s">
        <v>40437</v>
      </c>
      <c r="P3425">
        <v>0</v>
      </c>
      <c r="Q3425">
        <v>0</v>
      </c>
      <c r="R3425" t="s">
        <v>40439</v>
      </c>
      <c r="S3425" t="s">
        <v>40588</v>
      </c>
      <c r="T3425" t="s">
        <v>42158</v>
      </c>
      <c r="U3425" t="s">
        <v>45589</v>
      </c>
      <c r="V3425" t="s">
        <v>54135</v>
      </c>
      <c r="W3425" t="s">
        <v>38370</v>
      </c>
      <c r="X3425" t="s">
        <v>40440</v>
      </c>
    </row>
    <row r="3426" spans="1:24">
      <c r="A3426">
        <f>HYPERLINK("https://www.philgeps.gov.ph/GEPSNONPILOT/Tender/SplashBidNoticeAbstractUI.aspx?menuIndex=3&amp;refID=7045401&amp;Result=3","7045401")</f>
        <v>0</v>
      </c>
      <c r="B3426" t="s">
        <v>1315</v>
      </c>
      <c r="C3426" t="s">
        <v>6355</v>
      </c>
      <c r="D3426" t="s">
        <v>16260</v>
      </c>
      <c r="E3426" t="s">
        <v>19372</v>
      </c>
      <c r="F3426" t="s">
        <v>28198</v>
      </c>
      <c r="G3426" t="s">
        <v>28206</v>
      </c>
      <c r="H3426" t="s">
        <v>28215</v>
      </c>
      <c r="I3426" t="s">
        <v>5100</v>
      </c>
      <c r="J3426" t="s">
        <v>28571</v>
      </c>
      <c r="K3426" t="s">
        <v>36707</v>
      </c>
      <c r="M3426" t="s">
        <v>38371</v>
      </c>
      <c r="N3426" t="s">
        <v>40436</v>
      </c>
      <c r="O3426" t="s">
        <v>40437</v>
      </c>
      <c r="P3426">
        <v>0</v>
      </c>
      <c r="Q3426">
        <v>2</v>
      </c>
      <c r="R3426" t="s">
        <v>40439</v>
      </c>
      <c r="S3426" t="s">
        <v>40588</v>
      </c>
      <c r="T3426" t="s">
        <v>42169</v>
      </c>
      <c r="U3426" t="s">
        <v>45590</v>
      </c>
      <c r="W3426" t="s">
        <v>55479</v>
      </c>
      <c r="X3426" t="s">
        <v>40440</v>
      </c>
    </row>
    <row r="3427" spans="1:24">
      <c r="A3427">
        <f>HYPERLINK("https://www.philgeps.gov.ph/GEPSNONPILOT/Tender/SplashBidNoticeAbstractUI.aspx?menuIndex=3&amp;refID=7045400&amp;Result=3","7045400")</f>
        <v>0</v>
      </c>
      <c r="B3427" t="s">
        <v>1247</v>
      </c>
      <c r="C3427" t="s">
        <v>6356</v>
      </c>
      <c r="D3427" t="s">
        <v>16210</v>
      </c>
      <c r="E3427" t="s">
        <v>19373</v>
      </c>
      <c r="F3427" t="s">
        <v>28198</v>
      </c>
      <c r="G3427" t="s">
        <v>28207</v>
      </c>
      <c r="H3427" t="s">
        <v>28215</v>
      </c>
      <c r="I3427" t="s">
        <v>4219</v>
      </c>
      <c r="J3427" t="s">
        <v>30610</v>
      </c>
      <c r="K3427" t="s">
        <v>36701</v>
      </c>
      <c r="M3427" t="s">
        <v>38369</v>
      </c>
      <c r="N3427" t="s">
        <v>40436</v>
      </c>
      <c r="O3427" t="s">
        <v>40437</v>
      </c>
      <c r="P3427">
        <v>0</v>
      </c>
      <c r="Q3427">
        <v>4</v>
      </c>
      <c r="R3427" t="s">
        <v>40439</v>
      </c>
      <c r="S3427" t="s">
        <v>40588</v>
      </c>
      <c r="T3427" t="s">
        <v>42158</v>
      </c>
      <c r="U3427" t="s">
        <v>45584</v>
      </c>
      <c r="W3427" t="s">
        <v>38369</v>
      </c>
      <c r="X3427" t="s">
        <v>40440</v>
      </c>
    </row>
    <row r="3428" spans="1:24">
      <c r="A3428">
        <f>HYPERLINK("https://www.philgeps.gov.ph/GEPSNONPILOT/Tender/SplashBidNoticeAbstractUI.aspx?menuIndex=3&amp;refID=7045407&amp;Result=3","7045407")</f>
        <v>0</v>
      </c>
      <c r="B3428" t="s">
        <v>1316</v>
      </c>
      <c r="C3428" t="s">
        <v>6357</v>
      </c>
      <c r="D3428" t="s">
        <v>16222</v>
      </c>
      <c r="E3428" t="s">
        <v>19374</v>
      </c>
      <c r="F3428" t="s">
        <v>28198</v>
      </c>
      <c r="G3428" t="s">
        <v>28205</v>
      </c>
      <c r="H3428" t="s">
        <v>28215</v>
      </c>
      <c r="I3428" t="s">
        <v>28247</v>
      </c>
      <c r="J3428" t="s">
        <v>30526</v>
      </c>
      <c r="K3428" t="s">
        <v>36715</v>
      </c>
      <c r="M3428" t="s">
        <v>38372</v>
      </c>
      <c r="N3428" t="s">
        <v>40436</v>
      </c>
      <c r="O3428" t="s">
        <v>40437</v>
      </c>
      <c r="P3428">
        <v>0</v>
      </c>
      <c r="Q3428">
        <v>37</v>
      </c>
      <c r="R3428" t="s">
        <v>40439</v>
      </c>
      <c r="S3428" t="s">
        <v>40588</v>
      </c>
      <c r="T3428" t="s">
        <v>42143</v>
      </c>
      <c r="U3428" t="s">
        <v>45591</v>
      </c>
      <c r="W3428" t="s">
        <v>38372</v>
      </c>
      <c r="X3428" t="s">
        <v>40440</v>
      </c>
    </row>
    <row r="3429" spans="1:24">
      <c r="A3429">
        <f>HYPERLINK("https://www.philgeps.gov.ph/GEPSNONPILOT/Tender/SplashBidNoticeAbstractUI.aspx?menuIndex=3&amp;refID=7045403&amp;Result=3","7045403")</f>
        <v>0</v>
      </c>
      <c r="B3429" t="s">
        <v>1042</v>
      </c>
      <c r="C3429" t="s">
        <v>6358</v>
      </c>
      <c r="D3429" t="s">
        <v>16197</v>
      </c>
      <c r="E3429" t="s">
        <v>19375</v>
      </c>
      <c r="F3429" t="s">
        <v>28198</v>
      </c>
      <c r="G3429" t="s">
        <v>28207</v>
      </c>
      <c r="H3429" t="s">
        <v>28215</v>
      </c>
      <c r="I3429" t="s">
        <v>5791</v>
      </c>
      <c r="J3429" t="s">
        <v>30132</v>
      </c>
      <c r="K3429" t="s">
        <v>36707</v>
      </c>
      <c r="M3429" t="s">
        <v>38075</v>
      </c>
      <c r="N3429" t="s">
        <v>40436</v>
      </c>
      <c r="O3429" t="s">
        <v>40437</v>
      </c>
      <c r="P3429">
        <v>0</v>
      </c>
      <c r="Q3429">
        <v>0</v>
      </c>
      <c r="R3429" t="s">
        <v>40439</v>
      </c>
      <c r="S3429" t="s">
        <v>40588</v>
      </c>
      <c r="T3429" t="s">
        <v>42111</v>
      </c>
      <c r="U3429" t="s">
        <v>45592</v>
      </c>
      <c r="W3429" t="s">
        <v>38075</v>
      </c>
      <c r="X3429" t="s">
        <v>40440</v>
      </c>
    </row>
    <row r="3430" spans="1:24">
      <c r="A3430">
        <f>HYPERLINK("https://www.philgeps.gov.ph/GEPSNONPILOT/Tender/SplashBidNoticeAbstractUI.aspx?menuIndex=3&amp;refID=7045399&amp;Result=3","7045399")</f>
        <v>0</v>
      </c>
      <c r="B3430" t="s">
        <v>1317</v>
      </c>
      <c r="C3430" t="s">
        <v>6359</v>
      </c>
      <c r="D3430" t="s">
        <v>16214</v>
      </c>
      <c r="E3430" t="s">
        <v>19376</v>
      </c>
      <c r="F3430" t="s">
        <v>28198</v>
      </c>
      <c r="G3430" t="s">
        <v>28207</v>
      </c>
      <c r="H3430" t="s">
        <v>28215</v>
      </c>
      <c r="I3430" t="s">
        <v>28242</v>
      </c>
      <c r="J3430" t="s">
        <v>29401</v>
      </c>
      <c r="K3430" t="s">
        <v>36707</v>
      </c>
      <c r="M3430" t="s">
        <v>38373</v>
      </c>
      <c r="N3430" t="s">
        <v>40436</v>
      </c>
      <c r="O3430" t="s">
        <v>40437</v>
      </c>
      <c r="P3430">
        <v>0</v>
      </c>
      <c r="Q3430">
        <v>0</v>
      </c>
      <c r="R3430" t="s">
        <v>40439</v>
      </c>
      <c r="S3430" t="s">
        <v>40588</v>
      </c>
      <c r="T3430" t="s">
        <v>42134</v>
      </c>
      <c r="U3430" t="s">
        <v>45593</v>
      </c>
      <c r="W3430" t="s">
        <v>38373</v>
      </c>
      <c r="X3430" t="s">
        <v>40440</v>
      </c>
    </row>
    <row r="3431" spans="1:24">
      <c r="A3431">
        <f>HYPERLINK("https://www.philgeps.gov.ph/GEPSNONPILOT/Tender/SplashBidNoticeAbstractUI.aspx?menuIndex=3&amp;refID=7045398&amp;Result=3","7045398")</f>
        <v>0</v>
      </c>
      <c r="B3431" t="s">
        <v>1309</v>
      </c>
      <c r="C3431" t="s">
        <v>6360</v>
      </c>
      <c r="D3431" t="s">
        <v>16259</v>
      </c>
      <c r="E3431" t="s">
        <v>19377</v>
      </c>
      <c r="F3431" t="s">
        <v>28198</v>
      </c>
      <c r="G3431" t="s">
        <v>28207</v>
      </c>
      <c r="H3431" t="s">
        <v>28215</v>
      </c>
      <c r="I3431" t="s">
        <v>28222</v>
      </c>
      <c r="J3431" t="s">
        <v>28597</v>
      </c>
      <c r="K3431" t="s">
        <v>36707</v>
      </c>
      <c r="M3431" t="s">
        <v>38363</v>
      </c>
      <c r="N3431" t="s">
        <v>40436</v>
      </c>
      <c r="O3431" t="s">
        <v>40437</v>
      </c>
      <c r="P3431">
        <v>0</v>
      </c>
      <c r="Q3431">
        <v>0</v>
      </c>
      <c r="R3431" t="s">
        <v>40439</v>
      </c>
      <c r="S3431" t="s">
        <v>40588</v>
      </c>
      <c r="T3431" t="s">
        <v>42326</v>
      </c>
      <c r="U3431" t="s">
        <v>45594</v>
      </c>
      <c r="W3431" t="s">
        <v>38363</v>
      </c>
      <c r="X3431" t="s">
        <v>40440</v>
      </c>
    </row>
    <row r="3432" spans="1:24">
      <c r="A3432">
        <f>HYPERLINK("https://www.philgeps.gov.ph/GEPSNONPILOT/Tender/SplashBidNoticeAbstractUI.aspx?menuIndex=3&amp;refID=7045418&amp;Result=3","7045418")</f>
        <v>0</v>
      </c>
      <c r="B3432" t="s">
        <v>455</v>
      </c>
      <c r="C3432" t="s">
        <v>6361</v>
      </c>
      <c r="D3432" t="s">
        <v>16263</v>
      </c>
      <c r="E3432" t="s">
        <v>19378</v>
      </c>
      <c r="F3432" t="s">
        <v>28198</v>
      </c>
      <c r="G3432" t="s">
        <v>28205</v>
      </c>
      <c r="H3432" t="s">
        <v>28214</v>
      </c>
      <c r="I3432" t="s">
        <v>3797</v>
      </c>
      <c r="J3432" t="s">
        <v>28363</v>
      </c>
      <c r="K3432" t="s">
        <v>36689</v>
      </c>
      <c r="M3432" t="s">
        <v>37439</v>
      </c>
      <c r="N3432" t="s">
        <v>40436</v>
      </c>
      <c r="O3432" t="s">
        <v>40437</v>
      </c>
      <c r="P3432">
        <v>0</v>
      </c>
      <c r="Q3432">
        <v>0</v>
      </c>
      <c r="R3432" t="s">
        <v>40439</v>
      </c>
      <c r="S3432" t="s">
        <v>40588</v>
      </c>
      <c r="T3432" t="s">
        <v>42118</v>
      </c>
      <c r="U3432" t="s">
        <v>45025</v>
      </c>
      <c r="W3432" t="s">
        <v>37439</v>
      </c>
      <c r="X3432" t="s">
        <v>40440</v>
      </c>
    </row>
    <row r="3433" spans="1:24">
      <c r="A3433">
        <f>HYPERLINK("https://www.philgeps.gov.ph/GEPSNONPILOT/Tender/SplashBidNoticeAbstractUI.aspx?menuIndex=3&amp;refID=7045411&amp;Result=3","7045411")</f>
        <v>0</v>
      </c>
      <c r="B3433" t="s">
        <v>1284</v>
      </c>
      <c r="C3433" t="s">
        <v>6362</v>
      </c>
      <c r="D3433" t="s">
        <v>16199</v>
      </c>
      <c r="E3433" t="s">
        <v>19379</v>
      </c>
      <c r="F3433" t="s">
        <v>28198</v>
      </c>
      <c r="G3433" t="s">
        <v>28207</v>
      </c>
      <c r="H3433" t="s">
        <v>28215</v>
      </c>
      <c r="I3433" t="s">
        <v>3422</v>
      </c>
      <c r="J3433" t="s">
        <v>30611</v>
      </c>
      <c r="K3433" t="s">
        <v>36693</v>
      </c>
      <c r="M3433" t="s">
        <v>38337</v>
      </c>
      <c r="N3433" t="s">
        <v>40436</v>
      </c>
      <c r="O3433" t="s">
        <v>40437</v>
      </c>
      <c r="P3433">
        <v>0</v>
      </c>
      <c r="Q3433">
        <v>2</v>
      </c>
      <c r="R3433" t="s">
        <v>40439</v>
      </c>
      <c r="S3433" t="s">
        <v>40588</v>
      </c>
      <c r="T3433" t="s">
        <v>42158</v>
      </c>
      <c r="U3433" t="s">
        <v>45504</v>
      </c>
      <c r="W3433" t="s">
        <v>38337</v>
      </c>
      <c r="X3433" t="s">
        <v>40440</v>
      </c>
    </row>
    <row r="3434" spans="1:24">
      <c r="A3434">
        <f>HYPERLINK("https://www.philgeps.gov.ph/GEPSNONPILOT/Tender/SplashBidNoticeAbstractUI.aspx?menuIndex=3&amp;refID=7045408&amp;Result=3","7045408")</f>
        <v>0</v>
      </c>
      <c r="B3434" t="s">
        <v>191</v>
      </c>
      <c r="C3434" t="s">
        <v>6363</v>
      </c>
      <c r="D3434" t="s">
        <v>16210</v>
      </c>
      <c r="E3434" t="s">
        <v>19380</v>
      </c>
      <c r="F3434" t="s">
        <v>28198</v>
      </c>
      <c r="G3434" t="s">
        <v>28210</v>
      </c>
      <c r="H3434" t="s">
        <v>28215</v>
      </c>
      <c r="I3434" t="s">
        <v>28227</v>
      </c>
      <c r="J3434" t="s">
        <v>30612</v>
      </c>
      <c r="K3434" t="s">
        <v>36688</v>
      </c>
      <c r="M3434" t="s">
        <v>37166</v>
      </c>
      <c r="N3434" t="s">
        <v>40436</v>
      </c>
      <c r="O3434" t="s">
        <v>40437</v>
      </c>
      <c r="P3434">
        <v>0</v>
      </c>
      <c r="Q3434">
        <v>2</v>
      </c>
      <c r="R3434" t="s">
        <v>40439</v>
      </c>
      <c r="S3434" t="s">
        <v>40588</v>
      </c>
      <c r="T3434" t="s">
        <v>42176</v>
      </c>
      <c r="U3434" t="s">
        <v>45595</v>
      </c>
      <c r="W3434" t="s">
        <v>55434</v>
      </c>
      <c r="X3434" t="s">
        <v>40440</v>
      </c>
    </row>
    <row r="3435" spans="1:24">
      <c r="A3435">
        <f>HYPERLINK("https://www.philgeps.gov.ph/GEPSNONPILOT/Tender/SplashBidNoticeAbstractUI.aspx?menuIndex=3&amp;refID=7045416&amp;Result=3","7045416")</f>
        <v>0</v>
      </c>
      <c r="B3435" t="s">
        <v>1016</v>
      </c>
      <c r="C3435" t="s">
        <v>6364</v>
      </c>
      <c r="D3435" t="s">
        <v>16195</v>
      </c>
      <c r="E3435" t="s">
        <v>17597</v>
      </c>
      <c r="F3435" t="s">
        <v>28198</v>
      </c>
      <c r="G3435" t="s">
        <v>28205</v>
      </c>
      <c r="H3435" t="s">
        <v>28215</v>
      </c>
      <c r="I3435" t="s">
        <v>5100</v>
      </c>
      <c r="J3435" t="s">
        <v>30613</v>
      </c>
      <c r="K3435" t="s">
        <v>36701</v>
      </c>
      <c r="M3435" t="s">
        <v>38044</v>
      </c>
      <c r="N3435" t="s">
        <v>40436</v>
      </c>
      <c r="O3435" t="s">
        <v>40437</v>
      </c>
      <c r="P3435">
        <v>0</v>
      </c>
      <c r="Q3435">
        <v>0</v>
      </c>
      <c r="R3435" t="s">
        <v>40439</v>
      </c>
      <c r="S3435" t="s">
        <v>40588</v>
      </c>
      <c r="T3435" t="s">
        <v>42118</v>
      </c>
      <c r="U3435" t="s">
        <v>45596</v>
      </c>
      <c r="V3435" t="s">
        <v>54047</v>
      </c>
      <c r="W3435" t="s">
        <v>38044</v>
      </c>
      <c r="X3435" t="s">
        <v>40440</v>
      </c>
    </row>
    <row r="3436" spans="1:24">
      <c r="A3436">
        <f>HYPERLINK("https://www.philgeps.gov.ph/GEPSNONPILOT/Tender/SplashBidNoticeAbstractUI.aspx?menuIndex=3&amp;refID=7045410&amp;Result=3","7045410")</f>
        <v>0</v>
      </c>
      <c r="B3436" t="s">
        <v>1245</v>
      </c>
      <c r="C3436" t="s">
        <v>6365</v>
      </c>
      <c r="D3436" t="s">
        <v>16199</v>
      </c>
      <c r="E3436" t="s">
        <v>19381</v>
      </c>
      <c r="F3436" t="s">
        <v>28198</v>
      </c>
      <c r="G3436" t="s">
        <v>28206</v>
      </c>
      <c r="H3436" t="s">
        <v>28215</v>
      </c>
      <c r="I3436" t="s">
        <v>28234</v>
      </c>
      <c r="J3436" t="s">
        <v>28352</v>
      </c>
      <c r="K3436" t="s">
        <v>36691</v>
      </c>
      <c r="M3436" t="s">
        <v>38295</v>
      </c>
      <c r="N3436" t="s">
        <v>40436</v>
      </c>
      <c r="O3436" t="s">
        <v>40437</v>
      </c>
      <c r="P3436">
        <v>0</v>
      </c>
      <c r="Q3436">
        <v>0</v>
      </c>
      <c r="R3436" t="s">
        <v>40439</v>
      </c>
      <c r="S3436" t="s">
        <v>40588</v>
      </c>
      <c r="T3436" t="s">
        <v>42098</v>
      </c>
      <c r="U3436" t="s">
        <v>45597</v>
      </c>
      <c r="W3436" t="s">
        <v>38295</v>
      </c>
      <c r="X3436" t="s">
        <v>40440</v>
      </c>
    </row>
    <row r="3437" spans="1:24">
      <c r="A3437">
        <f>HYPERLINK("https://www.philgeps.gov.ph/GEPSNONPILOT/Tender/SplashBidNoticeAbstractUI.aspx?menuIndex=3&amp;refID=7045414&amp;Result=3","7045414")</f>
        <v>0</v>
      </c>
      <c r="B3437" t="s">
        <v>199</v>
      </c>
      <c r="C3437" t="s">
        <v>6366</v>
      </c>
      <c r="E3437" t="s">
        <v>19382</v>
      </c>
      <c r="F3437" t="s">
        <v>28198</v>
      </c>
      <c r="G3437" t="s">
        <v>28207</v>
      </c>
      <c r="H3437" t="s">
        <v>28215</v>
      </c>
      <c r="I3437" t="s">
        <v>28278</v>
      </c>
      <c r="J3437" t="s">
        <v>28438</v>
      </c>
      <c r="K3437" t="s">
        <v>36689</v>
      </c>
      <c r="M3437" t="s">
        <v>37174</v>
      </c>
      <c r="N3437" t="s">
        <v>40436</v>
      </c>
      <c r="O3437" t="s">
        <v>40437</v>
      </c>
      <c r="P3437">
        <v>0</v>
      </c>
      <c r="Q3437">
        <v>0</v>
      </c>
      <c r="R3437" t="s">
        <v>40439</v>
      </c>
      <c r="S3437" t="s">
        <v>40588</v>
      </c>
      <c r="T3437" t="s">
        <v>42161</v>
      </c>
      <c r="U3437" t="s">
        <v>45598</v>
      </c>
      <c r="W3437" t="s">
        <v>37174</v>
      </c>
      <c r="X3437" t="s">
        <v>40440</v>
      </c>
    </row>
    <row r="3438" spans="1:24">
      <c r="A3438">
        <f>HYPERLINK("https://www.philgeps.gov.ph/GEPSNONPILOT/Tender/SplashBidNoticeAbstractUI.aspx?menuIndex=3&amp;refID=7045397&amp;Result=3","7045397")</f>
        <v>0</v>
      </c>
      <c r="B3438" t="s">
        <v>816</v>
      </c>
      <c r="C3438" t="s">
        <v>6367</v>
      </c>
      <c r="D3438" t="s">
        <v>16200</v>
      </c>
      <c r="E3438" t="s">
        <v>19383</v>
      </c>
      <c r="F3438" t="s">
        <v>28198</v>
      </c>
      <c r="G3438" t="s">
        <v>28207</v>
      </c>
      <c r="H3438" t="s">
        <v>28215</v>
      </c>
      <c r="I3438" t="s">
        <v>28252</v>
      </c>
      <c r="J3438" t="s">
        <v>30614</v>
      </c>
      <c r="K3438" t="s">
        <v>36689</v>
      </c>
      <c r="M3438" t="s">
        <v>38374</v>
      </c>
      <c r="N3438" t="s">
        <v>40436</v>
      </c>
      <c r="O3438" t="s">
        <v>40437</v>
      </c>
      <c r="P3438">
        <v>0</v>
      </c>
      <c r="Q3438">
        <v>3</v>
      </c>
      <c r="R3438" t="s">
        <v>40439</v>
      </c>
      <c r="S3438" t="s">
        <v>40588</v>
      </c>
      <c r="T3438" t="s">
        <v>42124</v>
      </c>
      <c r="U3438" t="s">
        <v>45599</v>
      </c>
      <c r="W3438" t="s">
        <v>38374</v>
      </c>
      <c r="X3438" t="s">
        <v>40440</v>
      </c>
    </row>
    <row r="3439" spans="1:24">
      <c r="A3439">
        <f>HYPERLINK("https://www.philgeps.gov.ph/GEPSNONPILOT/Tender/SplashBidNoticeAbstractUI.aspx?menuIndex=3&amp;refID=7045417&amp;Result=3","7045417")</f>
        <v>0</v>
      </c>
      <c r="B3439" t="s">
        <v>1201</v>
      </c>
      <c r="C3439" t="s">
        <v>6368</v>
      </c>
      <c r="E3439" t="s">
        <v>19384</v>
      </c>
      <c r="F3439" t="s">
        <v>28198</v>
      </c>
      <c r="G3439" t="s">
        <v>28207</v>
      </c>
      <c r="H3439" t="s">
        <v>28215</v>
      </c>
      <c r="I3439" t="s">
        <v>4219</v>
      </c>
      <c r="J3439" t="s">
        <v>28597</v>
      </c>
      <c r="K3439" t="s">
        <v>36689</v>
      </c>
      <c r="M3439" t="s">
        <v>38246</v>
      </c>
      <c r="N3439" t="s">
        <v>40436</v>
      </c>
      <c r="O3439" t="s">
        <v>40437</v>
      </c>
      <c r="P3439">
        <v>0</v>
      </c>
      <c r="Q3439">
        <v>4</v>
      </c>
      <c r="R3439" t="s">
        <v>40439</v>
      </c>
      <c r="S3439" t="s">
        <v>40588</v>
      </c>
      <c r="T3439" t="s">
        <v>42318</v>
      </c>
      <c r="U3439" t="s">
        <v>45600</v>
      </c>
      <c r="W3439" t="s">
        <v>38246</v>
      </c>
      <c r="X3439" t="s">
        <v>40440</v>
      </c>
    </row>
    <row r="3440" spans="1:24">
      <c r="A3440">
        <f>HYPERLINK("https://www.philgeps.gov.ph/GEPSNONPILOT/Tender/SplashBidNoticeAbstractUI.aspx?menuIndex=3&amp;refID=7045415&amp;Result=3","7045415")</f>
        <v>0</v>
      </c>
      <c r="B3440" t="s">
        <v>1315</v>
      </c>
      <c r="C3440" t="s">
        <v>6369</v>
      </c>
      <c r="D3440" t="s">
        <v>16260</v>
      </c>
      <c r="E3440" t="s">
        <v>19385</v>
      </c>
      <c r="F3440" t="s">
        <v>28198</v>
      </c>
      <c r="G3440" t="s">
        <v>28207</v>
      </c>
      <c r="H3440" t="s">
        <v>28215</v>
      </c>
      <c r="I3440" t="s">
        <v>28225</v>
      </c>
      <c r="J3440" t="s">
        <v>28395</v>
      </c>
      <c r="K3440" t="s">
        <v>36707</v>
      </c>
      <c r="M3440" t="s">
        <v>38371</v>
      </c>
      <c r="N3440" t="s">
        <v>40436</v>
      </c>
      <c r="O3440" t="s">
        <v>40437</v>
      </c>
      <c r="P3440">
        <v>0</v>
      </c>
      <c r="Q3440">
        <v>11</v>
      </c>
      <c r="R3440" t="s">
        <v>40439</v>
      </c>
      <c r="S3440" t="s">
        <v>40588</v>
      </c>
      <c r="T3440" t="s">
        <v>42169</v>
      </c>
      <c r="U3440" t="s">
        <v>45601</v>
      </c>
      <c r="W3440" t="s">
        <v>55479</v>
      </c>
      <c r="X3440" t="s">
        <v>40440</v>
      </c>
    </row>
    <row r="3441" spans="1:24">
      <c r="A3441">
        <f>HYPERLINK("https://www.philgeps.gov.ph/GEPSNONPILOT/Tender/SplashBidNoticeAbstractUI.aspx?menuIndex=3&amp;refID=7045419&amp;Result=3","7045419")</f>
        <v>0</v>
      </c>
      <c r="B3441" t="s">
        <v>461</v>
      </c>
      <c r="C3441" t="s">
        <v>6345</v>
      </c>
      <c r="D3441" t="s">
        <v>16208</v>
      </c>
      <c r="E3441" t="s">
        <v>19386</v>
      </c>
      <c r="F3441" t="s">
        <v>28198</v>
      </c>
      <c r="G3441" t="s">
        <v>28207</v>
      </c>
      <c r="H3441" t="s">
        <v>28215</v>
      </c>
      <c r="I3441" t="s">
        <v>8888</v>
      </c>
      <c r="J3441" t="s">
        <v>30615</v>
      </c>
      <c r="K3441" t="s">
        <v>36689</v>
      </c>
      <c r="M3441" t="s">
        <v>38367</v>
      </c>
      <c r="N3441" t="s">
        <v>40436</v>
      </c>
      <c r="O3441" t="s">
        <v>40437</v>
      </c>
      <c r="P3441">
        <v>0</v>
      </c>
      <c r="Q3441">
        <v>2</v>
      </c>
      <c r="R3441" t="s">
        <v>40439</v>
      </c>
      <c r="S3441" t="s">
        <v>40588</v>
      </c>
      <c r="T3441" t="s">
        <v>42160</v>
      </c>
      <c r="U3441" t="s">
        <v>45602</v>
      </c>
      <c r="W3441" t="s">
        <v>38367</v>
      </c>
      <c r="X3441" t="s">
        <v>40440</v>
      </c>
    </row>
    <row r="3442" spans="1:24">
      <c r="A3442">
        <f>HYPERLINK("https://www.philgeps.gov.ph/GEPSNONPILOT/Tender/SplashBidNoticeAbstractUI.aspx?menuIndex=3&amp;refID=7045413&amp;Result=3","7045413")</f>
        <v>0</v>
      </c>
      <c r="B3442" t="s">
        <v>1241</v>
      </c>
      <c r="C3442" t="s">
        <v>6370</v>
      </c>
      <c r="D3442" t="s">
        <v>16216</v>
      </c>
      <c r="E3442" t="s">
        <v>19387</v>
      </c>
      <c r="F3442" t="s">
        <v>28198</v>
      </c>
      <c r="G3442" t="s">
        <v>28206</v>
      </c>
      <c r="H3442" t="s">
        <v>28215</v>
      </c>
      <c r="I3442" t="s">
        <v>28225</v>
      </c>
      <c r="J3442" t="s">
        <v>30616</v>
      </c>
      <c r="K3442" t="s">
        <v>36689</v>
      </c>
      <c r="M3442" t="s">
        <v>38290</v>
      </c>
      <c r="N3442" t="s">
        <v>40436</v>
      </c>
      <c r="O3442" t="s">
        <v>40437</v>
      </c>
      <c r="P3442">
        <v>0</v>
      </c>
      <c r="Q3442">
        <v>2</v>
      </c>
      <c r="R3442" t="s">
        <v>40439</v>
      </c>
      <c r="S3442" t="s">
        <v>40588</v>
      </c>
      <c r="T3442" t="s">
        <v>42303</v>
      </c>
      <c r="U3442" t="s">
        <v>45603</v>
      </c>
      <c r="W3442" t="s">
        <v>38290</v>
      </c>
      <c r="X3442" t="s">
        <v>40440</v>
      </c>
    </row>
    <row r="3443" spans="1:24">
      <c r="A3443">
        <f>HYPERLINK("https://www.philgeps.gov.ph/GEPSNONPILOT/Tender/SplashBidNoticeAbstractUI.aspx?menuIndex=3&amp;refID=7045422&amp;Result=3","7045422")</f>
        <v>0</v>
      </c>
      <c r="B3443" t="s">
        <v>1317</v>
      </c>
      <c r="C3443" t="s">
        <v>6371</v>
      </c>
      <c r="D3443" t="s">
        <v>16214</v>
      </c>
      <c r="E3443" t="s">
        <v>19388</v>
      </c>
      <c r="F3443" t="s">
        <v>28198</v>
      </c>
      <c r="G3443" t="s">
        <v>28207</v>
      </c>
      <c r="H3443" t="s">
        <v>28215</v>
      </c>
      <c r="I3443" t="s">
        <v>28305</v>
      </c>
      <c r="J3443" t="s">
        <v>30617</v>
      </c>
      <c r="K3443" t="s">
        <v>36701</v>
      </c>
      <c r="M3443" t="s">
        <v>38373</v>
      </c>
      <c r="N3443" t="s">
        <v>40436</v>
      </c>
      <c r="O3443" t="s">
        <v>40437</v>
      </c>
      <c r="P3443">
        <v>0</v>
      </c>
      <c r="Q3443">
        <v>6</v>
      </c>
      <c r="R3443" t="s">
        <v>40439</v>
      </c>
      <c r="S3443" t="s">
        <v>40588</v>
      </c>
      <c r="T3443" t="s">
        <v>42168</v>
      </c>
      <c r="U3443" t="s">
        <v>45604</v>
      </c>
      <c r="W3443" t="s">
        <v>38373</v>
      </c>
      <c r="X3443" t="s">
        <v>40440</v>
      </c>
    </row>
    <row r="3444" spans="1:24">
      <c r="A3444">
        <f>HYPERLINK("https://www.philgeps.gov.ph/GEPSNONPILOT/Tender/SplashBidNoticeAbstractUI.aspx?menuIndex=3&amp;refID=7045421&amp;Result=3","7045421")</f>
        <v>0</v>
      </c>
      <c r="B3444" t="s">
        <v>904</v>
      </c>
      <c r="C3444" t="s">
        <v>6372</v>
      </c>
      <c r="D3444" t="s">
        <v>16233</v>
      </c>
      <c r="E3444" t="s">
        <v>19389</v>
      </c>
      <c r="F3444" t="s">
        <v>28198</v>
      </c>
      <c r="G3444" t="s">
        <v>28207</v>
      </c>
      <c r="H3444" t="s">
        <v>28215</v>
      </c>
      <c r="I3444" t="s">
        <v>5791</v>
      </c>
      <c r="J3444" t="s">
        <v>28632</v>
      </c>
      <c r="K3444" t="s">
        <v>36689</v>
      </c>
      <c r="M3444" t="s">
        <v>38375</v>
      </c>
      <c r="N3444" t="s">
        <v>40436</v>
      </c>
      <c r="O3444" t="s">
        <v>40437</v>
      </c>
      <c r="P3444">
        <v>0</v>
      </c>
      <c r="Q3444">
        <v>0</v>
      </c>
      <c r="R3444" t="s">
        <v>40439</v>
      </c>
      <c r="S3444" t="s">
        <v>40588</v>
      </c>
      <c r="T3444" t="s">
        <v>42160</v>
      </c>
      <c r="U3444" t="s">
        <v>45605</v>
      </c>
      <c r="W3444" t="s">
        <v>38375</v>
      </c>
      <c r="X3444" t="s">
        <v>40440</v>
      </c>
    </row>
    <row r="3445" spans="1:24">
      <c r="A3445">
        <f>HYPERLINK("https://www.philgeps.gov.ph/GEPSNONPILOT/Tender/SplashBidNoticeAbstractUI.aspx?menuIndex=3&amp;refID=7045431&amp;Result=3","7045431")</f>
        <v>0</v>
      </c>
      <c r="B3445" t="s">
        <v>461</v>
      </c>
      <c r="C3445" t="s">
        <v>6345</v>
      </c>
      <c r="D3445" t="s">
        <v>16208</v>
      </c>
      <c r="E3445" t="s">
        <v>19390</v>
      </c>
      <c r="F3445" t="s">
        <v>28198</v>
      </c>
      <c r="G3445" t="s">
        <v>28207</v>
      </c>
      <c r="H3445" t="s">
        <v>28215</v>
      </c>
      <c r="I3445" t="s">
        <v>8888</v>
      </c>
      <c r="J3445" t="s">
        <v>30618</v>
      </c>
      <c r="K3445" t="s">
        <v>36689</v>
      </c>
      <c r="M3445" t="s">
        <v>38367</v>
      </c>
      <c r="N3445" t="s">
        <v>40436</v>
      </c>
      <c r="O3445" t="s">
        <v>40437</v>
      </c>
      <c r="P3445">
        <v>0</v>
      </c>
      <c r="Q3445">
        <v>1</v>
      </c>
      <c r="R3445" t="s">
        <v>40439</v>
      </c>
      <c r="S3445" t="s">
        <v>40588</v>
      </c>
      <c r="T3445" t="s">
        <v>42160</v>
      </c>
      <c r="U3445" t="s">
        <v>45580</v>
      </c>
      <c r="W3445" t="s">
        <v>38367</v>
      </c>
      <c r="X3445" t="s">
        <v>40440</v>
      </c>
    </row>
    <row r="3446" spans="1:24">
      <c r="A3446">
        <f>HYPERLINK("https://www.philgeps.gov.ph/GEPSNONPILOT/Tender/SplashBidNoticeAbstractUI.aspx?menuIndex=3&amp;refID=7045420&amp;Result=3","7045420")</f>
        <v>0</v>
      </c>
      <c r="B3446" t="s">
        <v>583</v>
      </c>
      <c r="C3446" t="s">
        <v>6373</v>
      </c>
      <c r="D3446" t="s">
        <v>16259</v>
      </c>
      <c r="E3446" t="s">
        <v>19391</v>
      </c>
      <c r="F3446" t="s">
        <v>28198</v>
      </c>
      <c r="G3446" t="s">
        <v>28207</v>
      </c>
      <c r="H3446" t="s">
        <v>28215</v>
      </c>
      <c r="I3446" t="s">
        <v>28246</v>
      </c>
      <c r="J3446" t="s">
        <v>30619</v>
      </c>
      <c r="K3446" t="s">
        <v>36688</v>
      </c>
      <c r="M3446" t="s">
        <v>37573</v>
      </c>
      <c r="N3446" t="s">
        <v>40436</v>
      </c>
      <c r="O3446" t="s">
        <v>40437</v>
      </c>
      <c r="P3446">
        <v>0</v>
      </c>
      <c r="Q3446">
        <v>0</v>
      </c>
      <c r="R3446" t="s">
        <v>40439</v>
      </c>
      <c r="S3446" t="s">
        <v>40588</v>
      </c>
      <c r="T3446" t="s">
        <v>42175</v>
      </c>
      <c r="U3446" t="s">
        <v>45606</v>
      </c>
      <c r="W3446" t="s">
        <v>37573</v>
      </c>
      <c r="X3446" t="s">
        <v>40440</v>
      </c>
    </row>
    <row r="3447" spans="1:24">
      <c r="A3447">
        <f>HYPERLINK("https://www.philgeps.gov.ph/GEPSNONPILOT/Tender/SplashBidNoticeAbstractUI.aspx?menuIndex=3&amp;refID=7045429&amp;Result=3","7045429")</f>
        <v>0</v>
      </c>
      <c r="B3447" t="s">
        <v>96</v>
      </c>
      <c r="C3447" t="s">
        <v>6374</v>
      </c>
      <c r="D3447" t="s">
        <v>16225</v>
      </c>
      <c r="E3447" t="s">
        <v>19392</v>
      </c>
      <c r="F3447" t="s">
        <v>28198</v>
      </c>
      <c r="G3447" t="s">
        <v>28207</v>
      </c>
      <c r="H3447" t="s">
        <v>28215</v>
      </c>
      <c r="I3447" t="s">
        <v>28225</v>
      </c>
      <c r="J3447" t="s">
        <v>28352</v>
      </c>
      <c r="K3447" t="s">
        <v>36701</v>
      </c>
      <c r="M3447" t="s">
        <v>37068</v>
      </c>
      <c r="N3447" t="s">
        <v>40436</v>
      </c>
      <c r="O3447" t="s">
        <v>40437</v>
      </c>
      <c r="P3447">
        <v>0</v>
      </c>
      <c r="Q3447">
        <v>1</v>
      </c>
      <c r="R3447" t="s">
        <v>40439</v>
      </c>
      <c r="S3447" t="s">
        <v>40588</v>
      </c>
      <c r="T3447" t="s">
        <v>42218</v>
      </c>
      <c r="U3447" t="s">
        <v>44846</v>
      </c>
      <c r="W3447" t="s">
        <v>37068</v>
      </c>
      <c r="X3447" t="s">
        <v>40440</v>
      </c>
    </row>
    <row r="3448" spans="1:24">
      <c r="A3448">
        <f>HYPERLINK("https://www.philgeps.gov.ph/GEPSNONPILOT/Tender/SplashBidNoticeAbstractUI.aspx?menuIndex=3&amp;refID=7045430&amp;Result=3","7045430")</f>
        <v>0</v>
      </c>
      <c r="B3448" t="s">
        <v>630</v>
      </c>
      <c r="C3448" t="s">
        <v>6375</v>
      </c>
      <c r="D3448" t="s">
        <v>16200</v>
      </c>
      <c r="E3448" t="s">
        <v>19393</v>
      </c>
      <c r="F3448" t="s">
        <v>28198</v>
      </c>
      <c r="G3448" t="s">
        <v>28207</v>
      </c>
      <c r="H3448" t="s">
        <v>28215</v>
      </c>
      <c r="I3448" t="s">
        <v>3422</v>
      </c>
      <c r="J3448" t="s">
        <v>30620</v>
      </c>
      <c r="K3448" t="s">
        <v>36689</v>
      </c>
      <c r="M3448" t="s">
        <v>37623</v>
      </c>
      <c r="N3448" t="s">
        <v>40436</v>
      </c>
      <c r="O3448" t="s">
        <v>40437</v>
      </c>
      <c r="P3448">
        <v>0</v>
      </c>
      <c r="Q3448">
        <v>0</v>
      </c>
      <c r="R3448" t="s">
        <v>40439</v>
      </c>
      <c r="S3448" t="s">
        <v>40588</v>
      </c>
      <c r="T3448" t="s">
        <v>42131</v>
      </c>
      <c r="U3448" t="s">
        <v>45607</v>
      </c>
      <c r="W3448" t="s">
        <v>37623</v>
      </c>
      <c r="X3448" t="s">
        <v>40440</v>
      </c>
    </row>
    <row r="3449" spans="1:24">
      <c r="A3449">
        <f>HYPERLINK("https://www.philgeps.gov.ph/GEPSNONPILOT/Tender/SplashBidNoticeAbstractUI.aspx?menuIndex=3&amp;refID=7045427&amp;Result=3","7045427")</f>
        <v>0</v>
      </c>
      <c r="B3449" t="s">
        <v>1318</v>
      </c>
      <c r="C3449" t="s">
        <v>6376</v>
      </c>
      <c r="D3449" t="s">
        <v>16196</v>
      </c>
      <c r="E3449" t="s">
        <v>19394</v>
      </c>
      <c r="F3449" t="s">
        <v>28198</v>
      </c>
      <c r="G3449" t="s">
        <v>28205</v>
      </c>
      <c r="H3449" t="s">
        <v>28215</v>
      </c>
      <c r="I3449" t="s">
        <v>5791</v>
      </c>
      <c r="J3449" t="s">
        <v>30621</v>
      </c>
      <c r="K3449" t="s">
        <v>36693</v>
      </c>
      <c r="M3449" t="s">
        <v>38376</v>
      </c>
      <c r="N3449" t="s">
        <v>40436</v>
      </c>
      <c r="O3449" t="s">
        <v>40437</v>
      </c>
      <c r="P3449">
        <v>0</v>
      </c>
      <c r="Q3449">
        <v>0</v>
      </c>
      <c r="R3449" t="s">
        <v>40439</v>
      </c>
      <c r="S3449" t="s">
        <v>40588</v>
      </c>
      <c r="T3449" t="s">
        <v>42228</v>
      </c>
      <c r="U3449" t="s">
        <v>45608</v>
      </c>
      <c r="W3449" t="s">
        <v>38376</v>
      </c>
      <c r="X3449" t="s">
        <v>40440</v>
      </c>
    </row>
    <row r="3450" spans="1:24">
      <c r="A3450">
        <f>HYPERLINK("https://www.philgeps.gov.ph/GEPSNONPILOT/Tender/SplashBidNoticeAbstractUI.aspx?menuIndex=3&amp;refID=7045428&amp;Result=3","7045428")</f>
        <v>0</v>
      </c>
      <c r="B3450" t="s">
        <v>1319</v>
      </c>
      <c r="C3450" t="s">
        <v>6377</v>
      </c>
      <c r="D3450" t="s">
        <v>16265</v>
      </c>
      <c r="E3450" t="s">
        <v>19395</v>
      </c>
      <c r="F3450" t="s">
        <v>28198</v>
      </c>
      <c r="G3450" t="s">
        <v>28207</v>
      </c>
      <c r="H3450" t="s">
        <v>28215</v>
      </c>
      <c r="I3450" t="s">
        <v>4505</v>
      </c>
      <c r="J3450" t="s">
        <v>28573</v>
      </c>
      <c r="K3450" t="s">
        <v>36707</v>
      </c>
      <c r="M3450" t="s">
        <v>38377</v>
      </c>
      <c r="N3450" t="s">
        <v>40436</v>
      </c>
      <c r="O3450" t="s">
        <v>40437</v>
      </c>
      <c r="P3450">
        <v>0</v>
      </c>
      <c r="Q3450">
        <v>4</v>
      </c>
      <c r="R3450" t="s">
        <v>40439</v>
      </c>
      <c r="S3450" t="s">
        <v>40588</v>
      </c>
      <c r="T3450" t="s">
        <v>42119</v>
      </c>
      <c r="U3450" t="s">
        <v>45609</v>
      </c>
      <c r="W3450" t="s">
        <v>38377</v>
      </c>
      <c r="X3450" t="s">
        <v>40440</v>
      </c>
    </row>
    <row r="3451" spans="1:24">
      <c r="A3451">
        <f>HYPERLINK("https://www.philgeps.gov.ph/GEPSNONPILOT/Tender/SplashBidNoticeAbstractUI.aspx?menuIndex=3&amp;refID=7045432&amp;Result=3","7045432")</f>
        <v>0</v>
      </c>
      <c r="B3451" t="s">
        <v>1223</v>
      </c>
      <c r="C3451" t="s">
        <v>6378</v>
      </c>
      <c r="D3451" t="s">
        <v>16188</v>
      </c>
      <c r="E3451" t="s">
        <v>19396</v>
      </c>
      <c r="F3451" t="s">
        <v>28198</v>
      </c>
      <c r="G3451" t="s">
        <v>28207</v>
      </c>
      <c r="H3451" t="s">
        <v>28215</v>
      </c>
      <c r="I3451" t="s">
        <v>28300</v>
      </c>
      <c r="J3451" t="s">
        <v>28593</v>
      </c>
      <c r="K3451" t="s">
        <v>36689</v>
      </c>
      <c r="M3451" t="s">
        <v>38269</v>
      </c>
      <c r="N3451" t="s">
        <v>40436</v>
      </c>
      <c r="O3451" t="s">
        <v>40437</v>
      </c>
      <c r="P3451">
        <v>0</v>
      </c>
      <c r="Q3451">
        <v>0</v>
      </c>
      <c r="R3451" t="s">
        <v>40439</v>
      </c>
      <c r="S3451" t="s">
        <v>40588</v>
      </c>
      <c r="T3451" t="s">
        <v>42348</v>
      </c>
      <c r="U3451" t="s">
        <v>45350</v>
      </c>
      <c r="W3451" t="s">
        <v>38269</v>
      </c>
      <c r="X3451" t="s">
        <v>40440</v>
      </c>
    </row>
    <row r="3452" spans="1:24">
      <c r="A3452">
        <f>HYPERLINK("https://www.philgeps.gov.ph/GEPSNONPILOT/Tender/SplashBidNoticeAbstractUI.aspx?menuIndex=3&amp;refID=7045425&amp;Result=3","7045425")</f>
        <v>0</v>
      </c>
      <c r="B3452" t="s">
        <v>1316</v>
      </c>
      <c r="C3452" t="s">
        <v>6379</v>
      </c>
      <c r="D3452" t="s">
        <v>16222</v>
      </c>
      <c r="E3452" t="s">
        <v>19397</v>
      </c>
      <c r="F3452" t="s">
        <v>28198</v>
      </c>
      <c r="G3452" t="s">
        <v>28205</v>
      </c>
      <c r="H3452" t="s">
        <v>28215</v>
      </c>
      <c r="I3452" t="s">
        <v>5103</v>
      </c>
      <c r="J3452" t="s">
        <v>30622</v>
      </c>
      <c r="K3452" t="s">
        <v>36697</v>
      </c>
      <c r="M3452" t="s">
        <v>38372</v>
      </c>
      <c r="N3452" t="s">
        <v>40436</v>
      </c>
      <c r="O3452" t="s">
        <v>40437</v>
      </c>
      <c r="P3452">
        <v>0</v>
      </c>
      <c r="Q3452">
        <v>12</v>
      </c>
      <c r="R3452" t="s">
        <v>40439</v>
      </c>
      <c r="S3452" t="s">
        <v>40588</v>
      </c>
      <c r="T3452" t="s">
        <v>42364</v>
      </c>
      <c r="U3452" t="s">
        <v>45610</v>
      </c>
      <c r="W3452" t="s">
        <v>38372</v>
      </c>
      <c r="X3452" t="s">
        <v>40440</v>
      </c>
    </row>
    <row r="3453" spans="1:24">
      <c r="A3453">
        <f>HYPERLINK("https://www.philgeps.gov.ph/GEPSNONPILOT/Tender/SplashBidNoticeAbstractUI.aspx?menuIndex=3&amp;refID=7045436&amp;Result=3","7045436")</f>
        <v>0</v>
      </c>
      <c r="B3453" t="s">
        <v>1292</v>
      </c>
      <c r="C3453" t="s">
        <v>6380</v>
      </c>
      <c r="D3453" t="s">
        <v>16195</v>
      </c>
      <c r="E3453" t="s">
        <v>16542</v>
      </c>
      <c r="F3453" t="s">
        <v>28198</v>
      </c>
      <c r="G3453" t="s">
        <v>28207</v>
      </c>
      <c r="H3453" t="s">
        <v>28215</v>
      </c>
      <c r="I3453" t="s">
        <v>5100</v>
      </c>
      <c r="J3453" t="s">
        <v>28668</v>
      </c>
      <c r="K3453" t="s">
        <v>36687</v>
      </c>
      <c r="M3453" t="s">
        <v>38345</v>
      </c>
      <c r="N3453" t="s">
        <v>40436</v>
      </c>
      <c r="O3453" t="s">
        <v>40437</v>
      </c>
      <c r="P3453">
        <v>0</v>
      </c>
      <c r="Q3453">
        <v>0</v>
      </c>
      <c r="R3453" t="s">
        <v>40439</v>
      </c>
      <c r="S3453" t="s">
        <v>40588</v>
      </c>
      <c r="T3453" t="s">
        <v>42348</v>
      </c>
      <c r="U3453" t="s">
        <v>45522</v>
      </c>
      <c r="W3453" t="s">
        <v>38345</v>
      </c>
      <c r="X3453" t="s">
        <v>40440</v>
      </c>
    </row>
    <row r="3454" spans="1:24">
      <c r="A3454">
        <f>HYPERLINK("https://www.philgeps.gov.ph/GEPSNONPILOT/Tender/SplashBidNoticeAbstractUI.aspx?menuIndex=3&amp;refID=7045433&amp;Result=3","7045433")</f>
        <v>0</v>
      </c>
      <c r="B3454" t="s">
        <v>691</v>
      </c>
      <c r="C3454" t="s">
        <v>6248</v>
      </c>
      <c r="D3454" t="s">
        <v>16254</v>
      </c>
      <c r="E3454" t="s">
        <v>19398</v>
      </c>
      <c r="F3454" t="s">
        <v>28198</v>
      </c>
      <c r="G3454" t="s">
        <v>28207</v>
      </c>
      <c r="H3454" t="s">
        <v>28215</v>
      </c>
      <c r="I3454" t="s">
        <v>28247</v>
      </c>
      <c r="J3454" t="s">
        <v>30623</v>
      </c>
      <c r="K3454" t="s">
        <v>36707</v>
      </c>
      <c r="M3454" t="s">
        <v>37690</v>
      </c>
      <c r="N3454" t="s">
        <v>40436</v>
      </c>
      <c r="O3454" t="s">
        <v>40437</v>
      </c>
      <c r="P3454">
        <v>0</v>
      </c>
      <c r="Q3454">
        <v>3</v>
      </c>
      <c r="R3454" t="s">
        <v>40439</v>
      </c>
      <c r="S3454" t="s">
        <v>40588</v>
      </c>
      <c r="T3454" t="s">
        <v>42158</v>
      </c>
      <c r="U3454" t="s">
        <v>45611</v>
      </c>
      <c r="W3454" t="s">
        <v>37690</v>
      </c>
      <c r="X3454" t="s">
        <v>40440</v>
      </c>
    </row>
    <row r="3455" spans="1:24">
      <c r="A3455">
        <f>HYPERLINK("https://www.philgeps.gov.ph/GEPSNONPILOT/Tender/SplashBidNoticeAbstractUI.aspx?menuIndex=3&amp;refID=7045441&amp;Result=3","7045441")</f>
        <v>0</v>
      </c>
      <c r="B3455" t="s">
        <v>377</v>
      </c>
      <c r="C3455" t="s">
        <v>6381</v>
      </c>
      <c r="D3455" t="s">
        <v>16204</v>
      </c>
      <c r="E3455" t="s">
        <v>19399</v>
      </c>
      <c r="F3455" t="s">
        <v>28198</v>
      </c>
      <c r="G3455" t="s">
        <v>28207</v>
      </c>
      <c r="H3455" t="s">
        <v>28215</v>
      </c>
      <c r="I3455" t="s">
        <v>28234</v>
      </c>
      <c r="J3455" t="s">
        <v>30624</v>
      </c>
      <c r="K3455" t="s">
        <v>36689</v>
      </c>
      <c r="L3455" t="s">
        <v>377</v>
      </c>
      <c r="M3455" t="s">
        <v>38237</v>
      </c>
      <c r="N3455" t="s">
        <v>40436</v>
      </c>
      <c r="O3455" t="s">
        <v>40437</v>
      </c>
      <c r="P3455">
        <v>0</v>
      </c>
      <c r="Q3455">
        <v>6</v>
      </c>
      <c r="R3455" t="s">
        <v>40439</v>
      </c>
      <c r="S3455" t="s">
        <v>40588</v>
      </c>
      <c r="T3455" t="s">
        <v>42169</v>
      </c>
      <c r="U3455" t="s">
        <v>43254</v>
      </c>
      <c r="W3455" t="s">
        <v>38237</v>
      </c>
      <c r="X3455" t="s">
        <v>40440</v>
      </c>
    </row>
    <row r="3456" spans="1:24">
      <c r="A3456">
        <f>HYPERLINK("https://www.philgeps.gov.ph/GEPSNONPILOT/Tender/SplashBidNoticeAbstractUI.aspx?menuIndex=3&amp;refID=7045440&amp;Result=3","7045440")</f>
        <v>0</v>
      </c>
      <c r="B3456" t="s">
        <v>1320</v>
      </c>
      <c r="C3456" t="s">
        <v>6382</v>
      </c>
      <c r="D3456" t="s">
        <v>16204</v>
      </c>
      <c r="E3456" t="s">
        <v>19400</v>
      </c>
      <c r="F3456" t="s">
        <v>28198</v>
      </c>
      <c r="G3456" t="s">
        <v>28206</v>
      </c>
      <c r="H3456" t="s">
        <v>28215</v>
      </c>
      <c r="I3456" t="s">
        <v>28231</v>
      </c>
      <c r="J3456" t="s">
        <v>30625</v>
      </c>
      <c r="K3456" t="s">
        <v>36801</v>
      </c>
      <c r="M3456" t="s">
        <v>38378</v>
      </c>
      <c r="N3456" t="s">
        <v>40436</v>
      </c>
      <c r="O3456" t="s">
        <v>40437</v>
      </c>
      <c r="P3456">
        <v>0</v>
      </c>
      <c r="Q3456">
        <v>1</v>
      </c>
      <c r="R3456" t="s">
        <v>40439</v>
      </c>
      <c r="S3456" t="s">
        <v>40588</v>
      </c>
      <c r="T3456" t="s">
        <v>42190</v>
      </c>
      <c r="U3456" t="s">
        <v>45612</v>
      </c>
      <c r="W3456" t="s">
        <v>38378</v>
      </c>
      <c r="X3456" t="s">
        <v>40440</v>
      </c>
    </row>
    <row r="3457" spans="1:24">
      <c r="A3457">
        <f>HYPERLINK("https://www.philgeps.gov.ph/GEPSNONPILOT/Tender/SplashBidNoticeAbstractUI.aspx?menuIndex=3&amp;refID=7045439&amp;Result=3","7045439")</f>
        <v>0</v>
      </c>
      <c r="B3457" t="s">
        <v>630</v>
      </c>
      <c r="C3457" t="s">
        <v>6383</v>
      </c>
      <c r="D3457" t="s">
        <v>16200</v>
      </c>
      <c r="E3457" t="s">
        <v>19401</v>
      </c>
      <c r="F3457" t="s">
        <v>28198</v>
      </c>
      <c r="G3457" t="s">
        <v>28207</v>
      </c>
      <c r="H3457" t="s">
        <v>28215</v>
      </c>
      <c r="I3457" t="s">
        <v>28224</v>
      </c>
      <c r="J3457" t="s">
        <v>29329</v>
      </c>
      <c r="K3457" t="s">
        <v>36689</v>
      </c>
      <c r="M3457" t="s">
        <v>37623</v>
      </c>
      <c r="N3457" t="s">
        <v>40436</v>
      </c>
      <c r="O3457" t="s">
        <v>40437</v>
      </c>
      <c r="P3457">
        <v>0</v>
      </c>
      <c r="Q3457">
        <v>2</v>
      </c>
      <c r="R3457" t="s">
        <v>40439</v>
      </c>
      <c r="S3457" t="s">
        <v>40588</v>
      </c>
      <c r="T3457" t="s">
        <v>42131</v>
      </c>
      <c r="U3457" t="s">
        <v>45613</v>
      </c>
      <c r="W3457" t="s">
        <v>37623</v>
      </c>
      <c r="X3457" t="s">
        <v>40440</v>
      </c>
    </row>
    <row r="3458" spans="1:24">
      <c r="A3458">
        <f>HYPERLINK("https://www.philgeps.gov.ph/GEPSNONPILOT/Tender/SplashBidNoticeAbstractUI.aspx?menuIndex=3&amp;refID=7045423&amp;Result=3","7045423")</f>
        <v>0</v>
      </c>
      <c r="B3458" t="s">
        <v>1321</v>
      </c>
      <c r="C3458" t="s">
        <v>6384</v>
      </c>
      <c r="D3458" t="s">
        <v>16199</v>
      </c>
      <c r="E3458" t="s">
        <v>18664</v>
      </c>
      <c r="F3458" t="s">
        <v>28202</v>
      </c>
      <c r="G3458" t="s">
        <v>28207</v>
      </c>
      <c r="H3458" t="s">
        <v>28215</v>
      </c>
      <c r="I3458" t="s">
        <v>4505</v>
      </c>
      <c r="J3458" t="s">
        <v>28486</v>
      </c>
      <c r="K3458" t="s">
        <v>36691</v>
      </c>
      <c r="M3458" t="s">
        <v>38379</v>
      </c>
      <c r="N3458" t="s">
        <v>40436</v>
      </c>
      <c r="O3458" t="s">
        <v>40437</v>
      </c>
      <c r="P3458">
        <v>0</v>
      </c>
      <c r="Q3458">
        <v>1</v>
      </c>
      <c r="R3458" t="s">
        <v>40439</v>
      </c>
      <c r="S3458" t="s">
        <v>40588</v>
      </c>
      <c r="T3458" t="s">
        <v>42133</v>
      </c>
      <c r="U3458" t="s">
        <v>45614</v>
      </c>
      <c r="W3458" t="s">
        <v>38379</v>
      </c>
      <c r="X3458" t="s">
        <v>40440</v>
      </c>
    </row>
    <row r="3459" spans="1:24">
      <c r="A3459">
        <f>HYPERLINK("https://www.philgeps.gov.ph/GEPSNONPILOT/Tender/SplashBidNoticeAbstractUI.aspx?menuIndex=3&amp;refID=7045426&amp;Result=3","7045426")</f>
        <v>0</v>
      </c>
      <c r="B3459" t="s">
        <v>66</v>
      </c>
      <c r="C3459" t="s">
        <v>6385</v>
      </c>
      <c r="D3459" t="s">
        <v>16212</v>
      </c>
      <c r="E3459" t="s">
        <v>19402</v>
      </c>
      <c r="F3459" t="s">
        <v>28198</v>
      </c>
      <c r="G3459" t="s">
        <v>28205</v>
      </c>
      <c r="H3459" t="s">
        <v>28215</v>
      </c>
      <c r="I3459" t="s">
        <v>3774</v>
      </c>
      <c r="J3459" t="s">
        <v>30626</v>
      </c>
      <c r="K3459" t="s">
        <v>36701</v>
      </c>
      <c r="M3459" t="s">
        <v>37037</v>
      </c>
      <c r="N3459" t="s">
        <v>40436</v>
      </c>
      <c r="O3459" t="s">
        <v>40437</v>
      </c>
      <c r="P3459">
        <v>0</v>
      </c>
      <c r="Q3459">
        <v>1</v>
      </c>
      <c r="R3459" t="s">
        <v>40439</v>
      </c>
      <c r="S3459" t="s">
        <v>40588</v>
      </c>
      <c r="T3459" t="s">
        <v>42118</v>
      </c>
      <c r="U3459" t="s">
        <v>45615</v>
      </c>
      <c r="W3459" t="s">
        <v>37037</v>
      </c>
      <c r="X3459" t="s">
        <v>40440</v>
      </c>
    </row>
    <row r="3460" spans="1:24">
      <c r="A3460">
        <f>HYPERLINK("https://www.philgeps.gov.ph/GEPSNONPILOT/Tender/SplashBidNoticeAbstractUI.aspx?menuIndex=3&amp;refID=7045438&amp;Result=3","7045438")</f>
        <v>0</v>
      </c>
      <c r="B3460" t="s">
        <v>1282</v>
      </c>
      <c r="C3460" t="s">
        <v>6386</v>
      </c>
      <c r="D3460" t="s">
        <v>16214</v>
      </c>
      <c r="E3460" t="s">
        <v>19403</v>
      </c>
      <c r="F3460" t="s">
        <v>28198</v>
      </c>
      <c r="G3460" t="s">
        <v>28205</v>
      </c>
      <c r="H3460" t="s">
        <v>28214</v>
      </c>
      <c r="I3460" t="s">
        <v>3797</v>
      </c>
      <c r="J3460" t="s">
        <v>29595</v>
      </c>
      <c r="K3460" t="s">
        <v>36789</v>
      </c>
      <c r="M3460" t="s">
        <v>38334</v>
      </c>
      <c r="N3460" t="s">
        <v>40436</v>
      </c>
      <c r="O3460" t="s">
        <v>40437</v>
      </c>
      <c r="P3460">
        <v>0</v>
      </c>
      <c r="Q3460">
        <v>0</v>
      </c>
      <c r="R3460" t="s">
        <v>40439</v>
      </c>
      <c r="S3460" t="s">
        <v>40588</v>
      </c>
      <c r="T3460" t="s">
        <v>42106</v>
      </c>
      <c r="U3460" t="s">
        <v>45498</v>
      </c>
      <c r="V3460" t="s">
        <v>54136</v>
      </c>
      <c r="W3460" t="s">
        <v>38334</v>
      </c>
      <c r="X3460" t="s">
        <v>40440</v>
      </c>
    </row>
    <row r="3461" spans="1:24">
      <c r="A3461">
        <f>HYPERLINK("https://www.philgeps.gov.ph/GEPSNONPILOT/Tender/SplashBidNoticeAbstractUI.aspx?menuIndex=3&amp;refID=7045437&amp;Result=3","7045437")</f>
        <v>0</v>
      </c>
      <c r="B3461" t="s">
        <v>1028</v>
      </c>
      <c r="C3461" t="s">
        <v>6387</v>
      </c>
      <c r="D3461" t="s">
        <v>16222</v>
      </c>
      <c r="E3461" t="s">
        <v>19404</v>
      </c>
      <c r="F3461" t="s">
        <v>28198</v>
      </c>
      <c r="G3461" t="s">
        <v>28205</v>
      </c>
      <c r="H3461" t="s">
        <v>28215</v>
      </c>
      <c r="I3461" t="s">
        <v>3797</v>
      </c>
      <c r="J3461" t="s">
        <v>30627</v>
      </c>
      <c r="K3461" t="s">
        <v>36688</v>
      </c>
      <c r="M3461" t="s">
        <v>38059</v>
      </c>
      <c r="N3461" t="s">
        <v>40436</v>
      </c>
      <c r="O3461" t="s">
        <v>40437</v>
      </c>
      <c r="P3461">
        <v>0</v>
      </c>
      <c r="Q3461">
        <v>0</v>
      </c>
      <c r="R3461" t="s">
        <v>40439</v>
      </c>
      <c r="S3461" t="s">
        <v>40588</v>
      </c>
      <c r="T3461" t="s">
        <v>42365</v>
      </c>
      <c r="U3461" t="s">
        <v>45616</v>
      </c>
      <c r="V3461" t="s">
        <v>54051</v>
      </c>
      <c r="W3461" t="s">
        <v>38059</v>
      </c>
      <c r="X3461" t="s">
        <v>40440</v>
      </c>
    </row>
    <row r="3462" spans="1:24">
      <c r="A3462">
        <f>HYPERLINK("https://www.philgeps.gov.ph/GEPSNONPILOT/Tender/SplashBidNoticeAbstractUI.aspx?menuIndex=3&amp;refID=7045445&amp;Result=3","7045445")</f>
        <v>0</v>
      </c>
      <c r="B3462" t="s">
        <v>1317</v>
      </c>
      <c r="C3462" t="s">
        <v>6388</v>
      </c>
      <c r="D3462" t="s">
        <v>16214</v>
      </c>
      <c r="E3462" t="s">
        <v>19405</v>
      </c>
      <c r="F3462" t="s">
        <v>28198</v>
      </c>
      <c r="G3462" t="s">
        <v>28207</v>
      </c>
      <c r="H3462" t="s">
        <v>28215</v>
      </c>
      <c r="I3462" t="s">
        <v>28238</v>
      </c>
      <c r="J3462" t="s">
        <v>28561</v>
      </c>
      <c r="K3462" t="s">
        <v>36701</v>
      </c>
      <c r="M3462" t="s">
        <v>38373</v>
      </c>
      <c r="N3462" t="s">
        <v>40436</v>
      </c>
      <c r="O3462" t="s">
        <v>40437</v>
      </c>
      <c r="P3462">
        <v>0</v>
      </c>
      <c r="Q3462">
        <v>4</v>
      </c>
      <c r="R3462" t="s">
        <v>40439</v>
      </c>
      <c r="S3462" t="s">
        <v>40588</v>
      </c>
      <c r="T3462" t="s">
        <v>42168</v>
      </c>
      <c r="U3462" t="s">
        <v>45617</v>
      </c>
      <c r="W3462" t="s">
        <v>38373</v>
      </c>
      <c r="X3462" t="s">
        <v>40440</v>
      </c>
    </row>
    <row r="3463" spans="1:24">
      <c r="A3463">
        <f>HYPERLINK("https://www.philgeps.gov.ph/GEPSNONPILOT/Tender/SplashBidNoticeAbstractUI.aspx?menuIndex=3&amp;refID=7045442&amp;Result=3","7045442")</f>
        <v>0</v>
      </c>
      <c r="B3463" t="s">
        <v>461</v>
      </c>
      <c r="C3463" t="s">
        <v>6389</v>
      </c>
      <c r="D3463" t="s">
        <v>16208</v>
      </c>
      <c r="E3463" t="s">
        <v>19406</v>
      </c>
      <c r="F3463" t="s">
        <v>28198</v>
      </c>
      <c r="G3463" t="s">
        <v>28207</v>
      </c>
      <c r="H3463" t="s">
        <v>28215</v>
      </c>
      <c r="I3463" t="s">
        <v>28225</v>
      </c>
      <c r="J3463" t="s">
        <v>30628</v>
      </c>
      <c r="K3463" t="s">
        <v>36689</v>
      </c>
      <c r="M3463" t="s">
        <v>38367</v>
      </c>
      <c r="N3463" t="s">
        <v>40436</v>
      </c>
      <c r="O3463" t="s">
        <v>40437</v>
      </c>
      <c r="P3463">
        <v>0</v>
      </c>
      <c r="Q3463">
        <v>1</v>
      </c>
      <c r="R3463" t="s">
        <v>40439</v>
      </c>
      <c r="S3463" t="s">
        <v>40588</v>
      </c>
      <c r="T3463" t="s">
        <v>42160</v>
      </c>
      <c r="U3463" t="s">
        <v>45580</v>
      </c>
      <c r="W3463" t="s">
        <v>38367</v>
      </c>
      <c r="X3463" t="s">
        <v>40440</v>
      </c>
    </row>
    <row r="3464" spans="1:24">
      <c r="A3464">
        <f>HYPERLINK("https://www.philgeps.gov.ph/GEPSNONPILOT/Tender/SplashBidNoticeAbstractUI.aspx?menuIndex=3&amp;refID=7045454&amp;Result=3","7045454")</f>
        <v>0</v>
      </c>
      <c r="B3464" t="s">
        <v>1314</v>
      </c>
      <c r="C3464" t="s">
        <v>6390</v>
      </c>
      <c r="D3464" t="s">
        <v>16188</v>
      </c>
      <c r="E3464" t="s">
        <v>19407</v>
      </c>
      <c r="F3464" t="s">
        <v>28198</v>
      </c>
      <c r="G3464" t="s">
        <v>28205</v>
      </c>
      <c r="H3464" t="s">
        <v>28215</v>
      </c>
      <c r="I3464" t="s">
        <v>4200</v>
      </c>
      <c r="J3464" t="s">
        <v>30244</v>
      </c>
      <c r="K3464" t="s">
        <v>36706</v>
      </c>
      <c r="M3464" t="s">
        <v>38370</v>
      </c>
      <c r="N3464" t="s">
        <v>40436</v>
      </c>
      <c r="O3464" t="s">
        <v>40437</v>
      </c>
      <c r="P3464">
        <v>0</v>
      </c>
      <c r="Q3464">
        <v>2</v>
      </c>
      <c r="R3464" t="s">
        <v>40439</v>
      </c>
      <c r="S3464" t="s">
        <v>40588</v>
      </c>
      <c r="T3464" t="s">
        <v>42175</v>
      </c>
      <c r="U3464" t="s">
        <v>45618</v>
      </c>
      <c r="V3464" t="s">
        <v>54137</v>
      </c>
      <c r="W3464" t="s">
        <v>38370</v>
      </c>
      <c r="X3464" t="s">
        <v>40440</v>
      </c>
    </row>
    <row r="3465" spans="1:24">
      <c r="A3465">
        <f>HYPERLINK("https://www.philgeps.gov.ph/GEPSNONPILOT/Tender/SplashBidNoticeAbstractUI.aspx?menuIndex=3&amp;refID=7045460&amp;Result=3","7045460")</f>
        <v>0</v>
      </c>
      <c r="B3465" t="s">
        <v>361</v>
      </c>
      <c r="C3465" t="s">
        <v>6391</v>
      </c>
      <c r="D3465" t="s">
        <v>16236</v>
      </c>
      <c r="E3465" t="s">
        <v>19408</v>
      </c>
      <c r="F3465" t="s">
        <v>28198</v>
      </c>
      <c r="G3465" t="s">
        <v>28209</v>
      </c>
      <c r="H3465" t="s">
        <v>28215</v>
      </c>
      <c r="I3465" t="s">
        <v>28262</v>
      </c>
      <c r="J3465" t="s">
        <v>28818</v>
      </c>
      <c r="K3465" t="s">
        <v>36707</v>
      </c>
      <c r="M3465" t="s">
        <v>37340</v>
      </c>
      <c r="N3465" t="s">
        <v>40436</v>
      </c>
      <c r="O3465" t="s">
        <v>40437</v>
      </c>
      <c r="P3465">
        <v>0</v>
      </c>
      <c r="Q3465">
        <v>2</v>
      </c>
      <c r="R3465" t="s">
        <v>40439</v>
      </c>
      <c r="S3465" t="s">
        <v>40588</v>
      </c>
      <c r="T3465" t="s">
        <v>42209</v>
      </c>
      <c r="U3465" t="s">
        <v>45619</v>
      </c>
      <c r="V3465" t="s">
        <v>54138</v>
      </c>
      <c r="W3465" t="s">
        <v>37340</v>
      </c>
      <c r="X3465" t="s">
        <v>40440</v>
      </c>
    </row>
    <row r="3466" spans="1:24">
      <c r="A3466">
        <f>HYPERLINK("https://www.philgeps.gov.ph/GEPSNONPILOT/Tender/SplashBidNoticeAbstractUI.aspx?menuIndex=3&amp;refID=7045451&amp;Result=3","7045451")</f>
        <v>0</v>
      </c>
      <c r="B3466" t="s">
        <v>1322</v>
      </c>
      <c r="C3466" t="s">
        <v>6392</v>
      </c>
      <c r="D3466" t="s">
        <v>16223</v>
      </c>
      <c r="E3466" t="s">
        <v>19409</v>
      </c>
      <c r="F3466" t="s">
        <v>28198</v>
      </c>
      <c r="G3466" t="s">
        <v>28205</v>
      </c>
      <c r="H3466" t="s">
        <v>28215</v>
      </c>
      <c r="I3466" t="s">
        <v>28234</v>
      </c>
      <c r="J3466" t="s">
        <v>30629</v>
      </c>
      <c r="K3466" t="s">
        <v>36701</v>
      </c>
      <c r="M3466" t="s">
        <v>38380</v>
      </c>
      <c r="N3466" t="s">
        <v>40436</v>
      </c>
      <c r="O3466" t="s">
        <v>40437</v>
      </c>
      <c r="P3466">
        <v>0</v>
      </c>
      <c r="Q3466">
        <v>0</v>
      </c>
      <c r="R3466" t="s">
        <v>40439</v>
      </c>
      <c r="S3466" t="s">
        <v>40588</v>
      </c>
      <c r="T3466" t="s">
        <v>42366</v>
      </c>
      <c r="U3466" t="s">
        <v>45620</v>
      </c>
      <c r="V3466" t="s">
        <v>54139</v>
      </c>
      <c r="W3466" t="s">
        <v>38380</v>
      </c>
      <c r="X3466" t="s">
        <v>40440</v>
      </c>
    </row>
    <row r="3467" spans="1:24">
      <c r="A3467">
        <f>HYPERLINK("https://www.philgeps.gov.ph/GEPSNONPILOT/Tender/SplashBidNoticeAbstractUI.aspx?menuIndex=3&amp;refID=7045461&amp;Result=3","7045461")</f>
        <v>0</v>
      </c>
      <c r="B3467" t="s">
        <v>191</v>
      </c>
      <c r="C3467" t="s">
        <v>6393</v>
      </c>
      <c r="D3467" t="s">
        <v>16210</v>
      </c>
      <c r="E3467" t="s">
        <v>19410</v>
      </c>
      <c r="F3467" t="s">
        <v>28198</v>
      </c>
      <c r="G3467" t="s">
        <v>28210</v>
      </c>
      <c r="H3467" t="s">
        <v>28215</v>
      </c>
      <c r="I3467" t="s">
        <v>28227</v>
      </c>
      <c r="J3467" t="s">
        <v>30630</v>
      </c>
      <c r="K3467" t="s">
        <v>36688</v>
      </c>
      <c r="M3467" t="s">
        <v>37166</v>
      </c>
      <c r="N3467" t="s">
        <v>40436</v>
      </c>
      <c r="O3467" t="s">
        <v>40437</v>
      </c>
      <c r="P3467">
        <v>0</v>
      </c>
      <c r="Q3467">
        <v>1</v>
      </c>
      <c r="R3467" t="s">
        <v>40439</v>
      </c>
      <c r="S3467" t="s">
        <v>40588</v>
      </c>
      <c r="T3467" t="s">
        <v>42176</v>
      </c>
      <c r="U3467" t="s">
        <v>45621</v>
      </c>
      <c r="W3467" t="s">
        <v>55434</v>
      </c>
      <c r="X3467" t="s">
        <v>40440</v>
      </c>
    </row>
    <row r="3468" spans="1:24">
      <c r="A3468">
        <f>HYPERLINK("https://www.philgeps.gov.ph/GEPSNONPILOT/Tender/SplashBidNoticeAbstractUI.aspx?menuIndex=3&amp;refID=7045452&amp;Result=3","7045452")</f>
        <v>0</v>
      </c>
      <c r="B3468" t="s">
        <v>461</v>
      </c>
      <c r="C3468" t="s">
        <v>6101</v>
      </c>
      <c r="D3468" t="s">
        <v>16208</v>
      </c>
      <c r="E3468" t="s">
        <v>19411</v>
      </c>
      <c r="F3468" t="s">
        <v>28198</v>
      </c>
      <c r="G3468" t="s">
        <v>28206</v>
      </c>
      <c r="H3468" t="s">
        <v>28215</v>
      </c>
      <c r="I3468" t="s">
        <v>4168</v>
      </c>
      <c r="J3468" t="s">
        <v>30631</v>
      </c>
      <c r="K3468" t="s">
        <v>36689</v>
      </c>
      <c r="M3468" t="s">
        <v>38367</v>
      </c>
      <c r="N3468" t="s">
        <v>40436</v>
      </c>
      <c r="O3468" t="s">
        <v>40437</v>
      </c>
      <c r="P3468">
        <v>0</v>
      </c>
      <c r="Q3468">
        <v>5</v>
      </c>
      <c r="R3468" t="s">
        <v>40439</v>
      </c>
      <c r="S3468" t="s">
        <v>40588</v>
      </c>
      <c r="T3468" t="s">
        <v>42160</v>
      </c>
      <c r="U3468" t="s">
        <v>45580</v>
      </c>
      <c r="W3468" t="s">
        <v>38367</v>
      </c>
      <c r="X3468" t="s">
        <v>40440</v>
      </c>
    </row>
    <row r="3469" spans="1:24">
      <c r="A3469">
        <f>HYPERLINK("https://www.philgeps.gov.ph/GEPSNONPILOT/Tender/SplashBidNoticeAbstractUI.aspx?menuIndex=3&amp;refID=7045447&amp;Result=3","7045447")</f>
        <v>0</v>
      </c>
      <c r="B3469" t="s">
        <v>1316</v>
      </c>
      <c r="C3469" t="s">
        <v>6394</v>
      </c>
      <c r="D3469" t="s">
        <v>16222</v>
      </c>
      <c r="E3469" t="s">
        <v>19412</v>
      </c>
      <c r="F3469" t="s">
        <v>28198</v>
      </c>
      <c r="G3469" t="s">
        <v>28205</v>
      </c>
      <c r="H3469" t="s">
        <v>28215</v>
      </c>
      <c r="I3469" t="s">
        <v>28320</v>
      </c>
      <c r="J3469" t="s">
        <v>28363</v>
      </c>
      <c r="K3469" t="s">
        <v>36694</v>
      </c>
      <c r="M3469" t="s">
        <v>38372</v>
      </c>
      <c r="N3469" t="s">
        <v>40436</v>
      </c>
      <c r="O3469" t="s">
        <v>40437</v>
      </c>
      <c r="P3469">
        <v>0</v>
      </c>
      <c r="Q3469">
        <v>4</v>
      </c>
      <c r="R3469" t="s">
        <v>40439</v>
      </c>
      <c r="S3469" t="s">
        <v>40588</v>
      </c>
      <c r="T3469" t="s">
        <v>42367</v>
      </c>
      <c r="U3469" t="s">
        <v>45622</v>
      </c>
      <c r="W3469" t="s">
        <v>38372</v>
      </c>
      <c r="X3469" t="s">
        <v>40440</v>
      </c>
    </row>
    <row r="3470" spans="1:24">
      <c r="A3470">
        <f>HYPERLINK("https://www.philgeps.gov.ph/GEPSNONPILOT/Tender/SplashBidNoticeAbstractUI.aspx?menuIndex=3&amp;refID=7045456&amp;Result=3","7045456")</f>
        <v>0</v>
      </c>
      <c r="B3470" t="s">
        <v>1323</v>
      </c>
      <c r="C3470" t="s">
        <v>6395</v>
      </c>
      <c r="D3470" t="s">
        <v>16221</v>
      </c>
      <c r="E3470" t="s">
        <v>19413</v>
      </c>
      <c r="F3470" t="s">
        <v>28198</v>
      </c>
      <c r="G3470" t="s">
        <v>28207</v>
      </c>
      <c r="H3470" t="s">
        <v>28215</v>
      </c>
      <c r="I3470" t="s">
        <v>4200</v>
      </c>
      <c r="J3470" t="s">
        <v>30632</v>
      </c>
      <c r="K3470" t="s">
        <v>36706</v>
      </c>
      <c r="M3470" t="s">
        <v>38381</v>
      </c>
      <c r="N3470" t="s">
        <v>40436</v>
      </c>
      <c r="O3470" t="s">
        <v>40437</v>
      </c>
      <c r="P3470">
        <v>0</v>
      </c>
      <c r="Q3470">
        <v>1</v>
      </c>
      <c r="R3470" t="s">
        <v>40439</v>
      </c>
      <c r="S3470" t="s">
        <v>40588</v>
      </c>
      <c r="T3470" t="s">
        <v>42161</v>
      </c>
      <c r="U3470" t="s">
        <v>45623</v>
      </c>
      <c r="W3470" t="s">
        <v>55480</v>
      </c>
      <c r="X3470" t="s">
        <v>40440</v>
      </c>
    </row>
    <row r="3471" spans="1:24">
      <c r="A3471">
        <f>HYPERLINK("https://www.philgeps.gov.ph/GEPSNONPILOT/Tender/SplashBidNoticeAbstractUI.aspx?menuIndex=3&amp;refID=7045450&amp;Result=3","7045450")</f>
        <v>0</v>
      </c>
      <c r="B3471" t="s">
        <v>1256</v>
      </c>
      <c r="C3471" t="s">
        <v>6396</v>
      </c>
      <c r="E3471" t="s">
        <v>19414</v>
      </c>
      <c r="F3471" t="s">
        <v>28198</v>
      </c>
      <c r="G3471" t="s">
        <v>28207</v>
      </c>
      <c r="H3471" t="s">
        <v>28215</v>
      </c>
      <c r="I3471" t="s">
        <v>5100</v>
      </c>
      <c r="J3471" t="s">
        <v>30633</v>
      </c>
      <c r="K3471" t="s">
        <v>36707</v>
      </c>
      <c r="M3471" t="s">
        <v>38306</v>
      </c>
      <c r="N3471" t="s">
        <v>40436</v>
      </c>
      <c r="O3471" t="s">
        <v>40437</v>
      </c>
      <c r="P3471">
        <v>0</v>
      </c>
      <c r="Q3471">
        <v>0</v>
      </c>
      <c r="R3471" t="s">
        <v>40439</v>
      </c>
      <c r="S3471" t="s">
        <v>40588</v>
      </c>
      <c r="T3471" t="s">
        <v>42131</v>
      </c>
      <c r="U3471" t="s">
        <v>42873</v>
      </c>
      <c r="W3471" t="s">
        <v>38306</v>
      </c>
      <c r="X3471" t="s">
        <v>40440</v>
      </c>
    </row>
    <row r="3472" spans="1:24">
      <c r="A3472">
        <f>HYPERLINK("https://www.philgeps.gov.ph/GEPSNONPILOT/Tender/SplashBidNoticeAbstractUI.aspx?menuIndex=3&amp;refID=7045446&amp;Result=3","7045446")</f>
        <v>0</v>
      </c>
      <c r="B3472" t="s">
        <v>1324</v>
      </c>
      <c r="C3472" t="s">
        <v>6397</v>
      </c>
      <c r="D3472" t="s">
        <v>16244</v>
      </c>
      <c r="E3472" t="s">
        <v>19415</v>
      </c>
      <c r="F3472" t="s">
        <v>28198</v>
      </c>
      <c r="G3472" t="s">
        <v>28205</v>
      </c>
      <c r="H3472" t="s">
        <v>28214</v>
      </c>
      <c r="I3472" t="s">
        <v>3797</v>
      </c>
      <c r="J3472" t="s">
        <v>28390</v>
      </c>
      <c r="K3472" t="s">
        <v>36717</v>
      </c>
      <c r="M3472" t="s">
        <v>38382</v>
      </c>
      <c r="N3472" t="s">
        <v>40436</v>
      </c>
      <c r="O3472" t="s">
        <v>40437</v>
      </c>
      <c r="P3472">
        <v>0</v>
      </c>
      <c r="Q3472">
        <v>0</v>
      </c>
      <c r="R3472" t="s">
        <v>40439</v>
      </c>
      <c r="S3472" t="s">
        <v>40588</v>
      </c>
      <c r="T3472" t="s">
        <v>42125</v>
      </c>
      <c r="U3472" t="s">
        <v>45624</v>
      </c>
      <c r="W3472" t="s">
        <v>38382</v>
      </c>
      <c r="X3472" t="s">
        <v>40440</v>
      </c>
    </row>
    <row r="3473" spans="1:24">
      <c r="A3473">
        <f>HYPERLINK("https://www.philgeps.gov.ph/GEPSNONPILOT/Tender/SplashBidNoticeAbstractUI.aspx?menuIndex=3&amp;refID=7045448&amp;Result=3","7045448")</f>
        <v>0</v>
      </c>
      <c r="B3473" t="s">
        <v>1325</v>
      </c>
      <c r="C3473" t="s">
        <v>6398</v>
      </c>
      <c r="D3473" t="s">
        <v>16216</v>
      </c>
      <c r="E3473" t="s">
        <v>19416</v>
      </c>
      <c r="F3473" t="s">
        <v>28198</v>
      </c>
      <c r="G3473" t="s">
        <v>28207</v>
      </c>
      <c r="H3473" t="s">
        <v>28215</v>
      </c>
      <c r="I3473" t="s">
        <v>5082</v>
      </c>
      <c r="J3473" t="s">
        <v>30634</v>
      </c>
      <c r="K3473" t="s">
        <v>36688</v>
      </c>
      <c r="M3473" t="s">
        <v>38383</v>
      </c>
      <c r="N3473" t="s">
        <v>40436</v>
      </c>
      <c r="O3473" t="s">
        <v>40437</v>
      </c>
      <c r="P3473">
        <v>0</v>
      </c>
      <c r="Q3473">
        <v>1</v>
      </c>
      <c r="R3473" t="s">
        <v>40439</v>
      </c>
      <c r="S3473" t="s">
        <v>40588</v>
      </c>
      <c r="T3473" t="s">
        <v>42368</v>
      </c>
      <c r="U3473" t="s">
        <v>45625</v>
      </c>
      <c r="W3473" t="s">
        <v>38383</v>
      </c>
      <c r="X3473" t="s">
        <v>40440</v>
      </c>
    </row>
    <row r="3474" spans="1:24">
      <c r="A3474">
        <f>HYPERLINK("https://www.philgeps.gov.ph/GEPSNONPILOT/Tender/SplashBidNoticeAbstractUI.aspx?menuIndex=3&amp;refID=7045457&amp;Result=3","7045457")</f>
        <v>0</v>
      </c>
      <c r="B3474" t="s">
        <v>1326</v>
      </c>
      <c r="C3474" t="s">
        <v>6399</v>
      </c>
      <c r="D3474" t="s">
        <v>16187</v>
      </c>
      <c r="E3474" t="s">
        <v>19417</v>
      </c>
      <c r="F3474" t="s">
        <v>28198</v>
      </c>
      <c r="G3474" t="s">
        <v>28207</v>
      </c>
      <c r="H3474" t="s">
        <v>28215</v>
      </c>
      <c r="I3474" t="s">
        <v>28238</v>
      </c>
      <c r="J3474" t="s">
        <v>30635</v>
      </c>
      <c r="K3474" t="s">
        <v>36689</v>
      </c>
      <c r="M3474" t="s">
        <v>38384</v>
      </c>
      <c r="N3474" t="s">
        <v>40436</v>
      </c>
      <c r="O3474" t="s">
        <v>40437</v>
      </c>
      <c r="P3474">
        <v>0</v>
      </c>
      <c r="Q3474">
        <v>5</v>
      </c>
      <c r="R3474" t="s">
        <v>40439</v>
      </c>
      <c r="S3474" t="s">
        <v>40588</v>
      </c>
      <c r="T3474" t="s">
        <v>42161</v>
      </c>
      <c r="U3474" t="s">
        <v>45626</v>
      </c>
      <c r="W3474" t="s">
        <v>38384</v>
      </c>
      <c r="X3474" t="s">
        <v>40440</v>
      </c>
    </row>
    <row r="3475" spans="1:24">
      <c r="A3475">
        <f>HYPERLINK("https://www.philgeps.gov.ph/GEPSNONPILOT/Tender/SplashBidNoticeAbstractUI.aspx?menuIndex=3&amp;refID=7045472&amp;Result=3","7045472")</f>
        <v>0</v>
      </c>
      <c r="B3475" t="s">
        <v>1327</v>
      </c>
      <c r="C3475" t="s">
        <v>6400</v>
      </c>
      <c r="D3475" t="s">
        <v>16210</v>
      </c>
      <c r="E3475" t="s">
        <v>19418</v>
      </c>
      <c r="F3475" t="s">
        <v>28198</v>
      </c>
      <c r="G3475" t="s">
        <v>28205</v>
      </c>
      <c r="H3475" t="s">
        <v>28215</v>
      </c>
      <c r="I3475" t="s">
        <v>5100</v>
      </c>
      <c r="J3475" t="s">
        <v>28345</v>
      </c>
      <c r="K3475" t="s">
        <v>36693</v>
      </c>
      <c r="M3475" t="s">
        <v>38385</v>
      </c>
      <c r="N3475" t="s">
        <v>40436</v>
      </c>
      <c r="O3475" t="s">
        <v>40437</v>
      </c>
      <c r="P3475">
        <v>0</v>
      </c>
      <c r="Q3475">
        <v>1</v>
      </c>
      <c r="R3475" t="s">
        <v>40439</v>
      </c>
      <c r="S3475" t="s">
        <v>40588</v>
      </c>
      <c r="T3475" t="s">
        <v>42133</v>
      </c>
      <c r="U3475" t="s">
        <v>45627</v>
      </c>
      <c r="W3475" t="s">
        <v>38385</v>
      </c>
      <c r="X3475" t="s">
        <v>40440</v>
      </c>
    </row>
    <row r="3476" spans="1:24">
      <c r="A3476">
        <f>HYPERLINK("https://www.philgeps.gov.ph/GEPSNONPILOT/Tender/SplashBidNoticeAbstractUI.aspx?menuIndex=3&amp;refID=7045455&amp;Result=3","7045455")</f>
        <v>0</v>
      </c>
      <c r="B3476" t="s">
        <v>1328</v>
      </c>
      <c r="C3476" t="s">
        <v>6401</v>
      </c>
      <c r="E3476" t="s">
        <v>19419</v>
      </c>
      <c r="F3476" t="s">
        <v>28198</v>
      </c>
      <c r="G3476" t="s">
        <v>28207</v>
      </c>
      <c r="H3476" t="s">
        <v>28215</v>
      </c>
      <c r="I3476" t="s">
        <v>28272</v>
      </c>
      <c r="J3476" t="s">
        <v>30636</v>
      </c>
      <c r="K3476" t="s">
        <v>36689</v>
      </c>
      <c r="M3476" t="s">
        <v>38386</v>
      </c>
      <c r="N3476" t="s">
        <v>40436</v>
      </c>
      <c r="O3476" t="s">
        <v>40437</v>
      </c>
      <c r="P3476">
        <v>0</v>
      </c>
      <c r="Q3476">
        <v>0</v>
      </c>
      <c r="R3476" t="s">
        <v>40439</v>
      </c>
      <c r="S3476" t="s">
        <v>40588</v>
      </c>
      <c r="T3476" t="s">
        <v>42169</v>
      </c>
      <c r="U3476" t="s">
        <v>45628</v>
      </c>
      <c r="W3476" t="s">
        <v>38386</v>
      </c>
      <c r="X3476" t="s">
        <v>40440</v>
      </c>
    </row>
    <row r="3477" spans="1:24">
      <c r="A3477">
        <f>HYPERLINK("https://www.philgeps.gov.ph/GEPSNONPILOT/Tender/SplashBidNoticeAbstractUI.aspx?menuIndex=3&amp;refID=7045463&amp;Result=3","7045463")</f>
        <v>0</v>
      </c>
      <c r="B3477" t="s">
        <v>1329</v>
      </c>
      <c r="C3477" t="s">
        <v>6402</v>
      </c>
      <c r="D3477" t="s">
        <v>16246</v>
      </c>
      <c r="E3477" t="s">
        <v>19420</v>
      </c>
      <c r="F3477" t="s">
        <v>28198</v>
      </c>
      <c r="G3477" t="s">
        <v>28205</v>
      </c>
      <c r="H3477" t="s">
        <v>28214</v>
      </c>
      <c r="I3477" t="s">
        <v>3797</v>
      </c>
      <c r="J3477" t="s">
        <v>30637</v>
      </c>
      <c r="K3477" t="s">
        <v>36697</v>
      </c>
      <c r="M3477" t="s">
        <v>38387</v>
      </c>
      <c r="N3477" t="s">
        <v>40436</v>
      </c>
      <c r="O3477" t="s">
        <v>40437</v>
      </c>
      <c r="P3477">
        <v>0</v>
      </c>
      <c r="Q3477">
        <v>0</v>
      </c>
      <c r="R3477" t="s">
        <v>40439</v>
      </c>
      <c r="S3477" t="s">
        <v>40588</v>
      </c>
      <c r="T3477" t="s">
        <v>42110</v>
      </c>
      <c r="U3477" t="s">
        <v>45629</v>
      </c>
      <c r="W3477" t="s">
        <v>38387</v>
      </c>
      <c r="X3477" t="s">
        <v>40440</v>
      </c>
    </row>
    <row r="3478" spans="1:24">
      <c r="A3478">
        <f>HYPERLINK("https://www.philgeps.gov.ph/GEPSNONPILOT/Tender/SplashBidNoticeAbstractUI.aspx?menuIndex=3&amp;refID=7045459&amp;Result=3","7045459")</f>
        <v>0</v>
      </c>
      <c r="B3478" t="s">
        <v>1023</v>
      </c>
      <c r="C3478" t="s">
        <v>6403</v>
      </c>
      <c r="D3478" t="s">
        <v>16265</v>
      </c>
      <c r="E3478" t="s">
        <v>19421</v>
      </c>
      <c r="F3478" t="s">
        <v>28198</v>
      </c>
      <c r="G3478" t="s">
        <v>28205</v>
      </c>
      <c r="H3478" t="s">
        <v>28215</v>
      </c>
      <c r="I3478" t="s">
        <v>28234</v>
      </c>
      <c r="J3478" t="s">
        <v>30638</v>
      </c>
      <c r="K3478" t="s">
        <v>36701</v>
      </c>
      <c r="M3478" t="s">
        <v>38054</v>
      </c>
      <c r="N3478" t="s">
        <v>40436</v>
      </c>
      <c r="O3478" t="s">
        <v>40437</v>
      </c>
      <c r="P3478">
        <v>0</v>
      </c>
      <c r="Q3478">
        <v>2</v>
      </c>
      <c r="R3478" t="s">
        <v>40439</v>
      </c>
      <c r="S3478" t="s">
        <v>40588</v>
      </c>
      <c r="T3478" t="s">
        <v>42108</v>
      </c>
      <c r="U3478" t="s">
        <v>45630</v>
      </c>
      <c r="W3478" t="s">
        <v>38054</v>
      </c>
      <c r="X3478" t="s">
        <v>40440</v>
      </c>
    </row>
    <row r="3479" spans="1:24">
      <c r="A3479">
        <f>HYPERLINK("https://www.philgeps.gov.ph/GEPSNONPILOT/Tender/SplashBidNoticeAbstractUI.aspx?menuIndex=3&amp;refID=7045473&amp;Result=3","7045473")</f>
        <v>0</v>
      </c>
      <c r="B3479" t="s">
        <v>1241</v>
      </c>
      <c r="C3479" t="s">
        <v>6404</v>
      </c>
      <c r="D3479" t="s">
        <v>16216</v>
      </c>
      <c r="E3479" t="s">
        <v>19422</v>
      </c>
      <c r="F3479" t="s">
        <v>28198</v>
      </c>
      <c r="G3479" t="s">
        <v>28206</v>
      </c>
      <c r="H3479" t="s">
        <v>28215</v>
      </c>
      <c r="I3479" t="s">
        <v>28234</v>
      </c>
      <c r="J3479" t="s">
        <v>28589</v>
      </c>
      <c r="K3479" t="s">
        <v>36689</v>
      </c>
      <c r="M3479" t="s">
        <v>38290</v>
      </c>
      <c r="N3479" t="s">
        <v>40436</v>
      </c>
      <c r="O3479" t="s">
        <v>40437</v>
      </c>
      <c r="P3479">
        <v>0</v>
      </c>
      <c r="Q3479">
        <v>3</v>
      </c>
      <c r="R3479" t="s">
        <v>40439</v>
      </c>
      <c r="S3479" t="s">
        <v>40588</v>
      </c>
      <c r="T3479" t="s">
        <v>42124</v>
      </c>
      <c r="U3479" t="s">
        <v>45631</v>
      </c>
      <c r="W3479" t="s">
        <v>38290</v>
      </c>
      <c r="X3479" t="s">
        <v>40440</v>
      </c>
    </row>
    <row r="3480" spans="1:24">
      <c r="A3480">
        <f>HYPERLINK("https://www.philgeps.gov.ph/GEPSNONPILOT/Tender/SplashBidNoticeAbstractUI.aspx?menuIndex=3&amp;refID=7045443&amp;Result=3","7045443")</f>
        <v>0</v>
      </c>
      <c r="B3480" t="s">
        <v>1330</v>
      </c>
      <c r="C3480" t="s">
        <v>6405</v>
      </c>
      <c r="D3480" t="s">
        <v>16262</v>
      </c>
      <c r="E3480" t="s">
        <v>19423</v>
      </c>
      <c r="F3480" t="s">
        <v>28198</v>
      </c>
      <c r="G3480" t="s">
        <v>28207</v>
      </c>
      <c r="H3480" t="s">
        <v>28215</v>
      </c>
      <c r="I3480" t="s">
        <v>28256</v>
      </c>
      <c r="J3480" t="s">
        <v>30639</v>
      </c>
      <c r="K3480" t="s">
        <v>36706</v>
      </c>
      <c r="M3480" t="s">
        <v>38388</v>
      </c>
      <c r="N3480" t="s">
        <v>40436</v>
      </c>
      <c r="O3480" t="s">
        <v>40437</v>
      </c>
      <c r="P3480">
        <v>0</v>
      </c>
      <c r="Q3480">
        <v>1</v>
      </c>
      <c r="R3480" t="s">
        <v>40439</v>
      </c>
      <c r="S3480" t="s">
        <v>40588</v>
      </c>
      <c r="T3480" t="s">
        <v>42369</v>
      </c>
      <c r="U3480" t="s">
        <v>45632</v>
      </c>
      <c r="W3480" t="s">
        <v>38388</v>
      </c>
      <c r="X3480" t="s">
        <v>40440</v>
      </c>
    </row>
    <row r="3481" spans="1:24">
      <c r="A3481">
        <f>HYPERLINK("https://www.philgeps.gov.ph/GEPSNONPILOT/Tender/SplashBidNoticeAbstractUI.aspx?menuIndex=3&amp;refID=7045475&amp;Result=3","7045475")</f>
        <v>0</v>
      </c>
      <c r="B3481" t="s">
        <v>468</v>
      </c>
      <c r="C3481" t="s">
        <v>6406</v>
      </c>
      <c r="D3481" t="s">
        <v>16189</v>
      </c>
      <c r="E3481" t="s">
        <v>19424</v>
      </c>
      <c r="F3481" t="s">
        <v>28198</v>
      </c>
      <c r="G3481" t="s">
        <v>28207</v>
      </c>
      <c r="H3481" t="s">
        <v>28215</v>
      </c>
      <c r="I3481" t="s">
        <v>28232</v>
      </c>
      <c r="J3481" t="s">
        <v>30640</v>
      </c>
      <c r="K3481" t="s">
        <v>36688</v>
      </c>
      <c r="M3481" t="s">
        <v>37453</v>
      </c>
      <c r="N3481" t="s">
        <v>40436</v>
      </c>
      <c r="O3481" t="s">
        <v>40437</v>
      </c>
      <c r="P3481">
        <v>0</v>
      </c>
      <c r="Q3481">
        <v>0</v>
      </c>
      <c r="R3481" t="s">
        <v>40439</v>
      </c>
      <c r="S3481" t="s">
        <v>40588</v>
      </c>
      <c r="T3481" t="s">
        <v>42190</v>
      </c>
      <c r="U3481" t="s">
        <v>45633</v>
      </c>
      <c r="W3481" t="s">
        <v>37453</v>
      </c>
      <c r="X3481" t="s">
        <v>40440</v>
      </c>
    </row>
    <row r="3482" spans="1:24">
      <c r="A3482">
        <f>HYPERLINK("https://www.philgeps.gov.ph/GEPSNONPILOT/Tender/SplashBidNoticeAbstractUI.aspx?menuIndex=3&amp;refID=7045476&amp;Result=3","7045476")</f>
        <v>0</v>
      </c>
      <c r="B3482" t="s">
        <v>1331</v>
      </c>
      <c r="C3482" t="s">
        <v>6407</v>
      </c>
      <c r="D3482" t="s">
        <v>16228</v>
      </c>
      <c r="E3482" t="s">
        <v>19425</v>
      </c>
      <c r="F3482" t="s">
        <v>28198</v>
      </c>
      <c r="G3482" t="s">
        <v>28210</v>
      </c>
      <c r="H3482" t="s">
        <v>28215</v>
      </c>
      <c r="I3482" t="s">
        <v>28298</v>
      </c>
      <c r="J3482" t="s">
        <v>29285</v>
      </c>
      <c r="K3482" t="s">
        <v>36701</v>
      </c>
      <c r="M3482" t="s">
        <v>38389</v>
      </c>
      <c r="N3482" t="s">
        <v>40436</v>
      </c>
      <c r="O3482" t="s">
        <v>40437</v>
      </c>
      <c r="P3482">
        <v>0</v>
      </c>
      <c r="Q3482">
        <v>2</v>
      </c>
      <c r="R3482" t="s">
        <v>40439</v>
      </c>
      <c r="S3482" t="s">
        <v>40588</v>
      </c>
      <c r="T3482" t="s">
        <v>42190</v>
      </c>
      <c r="U3482" t="s">
        <v>45634</v>
      </c>
      <c r="W3482" t="s">
        <v>38389</v>
      </c>
      <c r="X3482" t="s">
        <v>40440</v>
      </c>
    </row>
    <row r="3483" spans="1:24">
      <c r="A3483">
        <f>HYPERLINK("https://www.philgeps.gov.ph/GEPSNONPILOT/Tender/SplashBidNoticeAbstractUI.aspx?menuIndex=3&amp;refID=7045494&amp;Result=3","7045494")</f>
        <v>0</v>
      </c>
      <c r="B3483" t="s">
        <v>1332</v>
      </c>
      <c r="C3483" t="s">
        <v>6408</v>
      </c>
      <c r="D3483" t="s">
        <v>16200</v>
      </c>
      <c r="E3483" t="s">
        <v>6408</v>
      </c>
      <c r="F3483" t="s">
        <v>28198</v>
      </c>
      <c r="G3483" t="s">
        <v>28206</v>
      </c>
      <c r="H3483" t="s">
        <v>28215</v>
      </c>
      <c r="I3483" t="s">
        <v>4219</v>
      </c>
      <c r="J3483" t="s">
        <v>30641</v>
      </c>
      <c r="K3483" t="s">
        <v>36701</v>
      </c>
      <c r="M3483" t="s">
        <v>38390</v>
      </c>
      <c r="N3483" t="s">
        <v>40436</v>
      </c>
      <c r="O3483" t="s">
        <v>40437</v>
      </c>
      <c r="P3483">
        <v>0</v>
      </c>
      <c r="Q3483">
        <v>3</v>
      </c>
      <c r="R3483" t="s">
        <v>40439</v>
      </c>
      <c r="S3483" t="s">
        <v>40588</v>
      </c>
      <c r="T3483" t="s">
        <v>42131</v>
      </c>
      <c r="U3483" t="s">
        <v>45635</v>
      </c>
      <c r="W3483" t="s">
        <v>38390</v>
      </c>
      <c r="X3483" t="s">
        <v>40440</v>
      </c>
    </row>
    <row r="3484" spans="1:24">
      <c r="A3484">
        <f>HYPERLINK("https://www.philgeps.gov.ph/GEPSNONPILOT/Tender/SplashBidNoticeAbstractUI.aspx?menuIndex=3&amp;refID=7045493&amp;Result=3","7045493")</f>
        <v>0</v>
      </c>
      <c r="B3484" t="s">
        <v>1174</v>
      </c>
      <c r="C3484" t="s">
        <v>6409</v>
      </c>
      <c r="D3484" t="s">
        <v>16228</v>
      </c>
      <c r="E3484" t="s">
        <v>19426</v>
      </c>
      <c r="F3484" t="s">
        <v>28198</v>
      </c>
      <c r="G3484" t="s">
        <v>28205</v>
      </c>
      <c r="H3484" t="s">
        <v>28215</v>
      </c>
      <c r="I3484" t="s">
        <v>5100</v>
      </c>
      <c r="J3484" t="s">
        <v>28390</v>
      </c>
      <c r="K3484" t="s">
        <v>36706</v>
      </c>
      <c r="M3484" t="s">
        <v>38216</v>
      </c>
      <c r="N3484" t="s">
        <v>40436</v>
      </c>
      <c r="O3484" t="s">
        <v>40437</v>
      </c>
      <c r="P3484">
        <v>0</v>
      </c>
      <c r="Q3484">
        <v>0</v>
      </c>
      <c r="R3484" t="s">
        <v>40439</v>
      </c>
      <c r="S3484" t="s">
        <v>40588</v>
      </c>
      <c r="T3484" t="s">
        <v>42143</v>
      </c>
      <c r="U3484" t="s">
        <v>45208</v>
      </c>
      <c r="W3484" t="s">
        <v>38216</v>
      </c>
      <c r="X3484" t="s">
        <v>40440</v>
      </c>
    </row>
    <row r="3485" spans="1:24">
      <c r="A3485">
        <f>HYPERLINK("https://www.philgeps.gov.ph/GEPSNONPILOT/Tender/SplashBidNoticeAbstractUI.aspx?menuIndex=3&amp;refID=7045466&amp;Result=3","7045466")</f>
        <v>0</v>
      </c>
      <c r="B3485" t="s">
        <v>583</v>
      </c>
      <c r="C3485" t="s">
        <v>6410</v>
      </c>
      <c r="D3485" t="s">
        <v>16259</v>
      </c>
      <c r="E3485" t="s">
        <v>19427</v>
      </c>
      <c r="F3485" t="s">
        <v>28198</v>
      </c>
      <c r="G3485" t="s">
        <v>28207</v>
      </c>
      <c r="H3485" t="s">
        <v>28215</v>
      </c>
      <c r="I3485" t="s">
        <v>5100</v>
      </c>
      <c r="J3485" t="s">
        <v>30642</v>
      </c>
      <c r="K3485" t="s">
        <v>36688</v>
      </c>
      <c r="M3485" t="s">
        <v>37573</v>
      </c>
      <c r="N3485" t="s">
        <v>40436</v>
      </c>
      <c r="O3485" t="s">
        <v>40437</v>
      </c>
      <c r="P3485">
        <v>0</v>
      </c>
      <c r="Q3485">
        <v>0</v>
      </c>
      <c r="R3485" t="s">
        <v>40439</v>
      </c>
      <c r="S3485" t="s">
        <v>40588</v>
      </c>
      <c r="T3485" t="s">
        <v>42175</v>
      </c>
      <c r="U3485" t="s">
        <v>45636</v>
      </c>
      <c r="W3485" t="s">
        <v>37573</v>
      </c>
      <c r="X3485" t="s">
        <v>40440</v>
      </c>
    </row>
    <row r="3486" spans="1:24">
      <c r="A3486">
        <f>HYPERLINK("https://www.philgeps.gov.ph/GEPSNONPILOT/Tender/SplashBidNoticeAbstractUI.aspx?menuIndex=3&amp;refID=7045488&amp;Result=3","7045488")</f>
        <v>0</v>
      </c>
      <c r="B3486" t="s">
        <v>1313</v>
      </c>
      <c r="C3486" t="s">
        <v>6411</v>
      </c>
      <c r="D3486" t="s">
        <v>16209</v>
      </c>
      <c r="E3486" t="s">
        <v>18147</v>
      </c>
      <c r="F3486" t="s">
        <v>28198</v>
      </c>
      <c r="G3486" t="s">
        <v>28205</v>
      </c>
      <c r="H3486" t="s">
        <v>28214</v>
      </c>
      <c r="I3486" t="s">
        <v>5100</v>
      </c>
      <c r="J3486" t="s">
        <v>28398</v>
      </c>
      <c r="K3486" t="s">
        <v>36715</v>
      </c>
      <c r="M3486" t="s">
        <v>38368</v>
      </c>
      <c r="N3486" t="s">
        <v>40436</v>
      </c>
      <c r="O3486" t="s">
        <v>40437</v>
      </c>
      <c r="P3486">
        <v>0</v>
      </c>
      <c r="Q3486">
        <v>0</v>
      </c>
      <c r="R3486" t="s">
        <v>40439</v>
      </c>
      <c r="S3486" t="s">
        <v>40588</v>
      </c>
      <c r="T3486" t="s">
        <v>42363</v>
      </c>
      <c r="U3486" t="s">
        <v>45583</v>
      </c>
      <c r="W3486" t="s">
        <v>38368</v>
      </c>
      <c r="X3486" t="s">
        <v>40440</v>
      </c>
    </row>
    <row r="3487" spans="1:24">
      <c r="A3487">
        <f>HYPERLINK("https://www.philgeps.gov.ph/GEPSNONPILOT/Tender/SplashBidNoticeAbstractUI.aspx?menuIndex=3&amp;refID=7045492&amp;Result=3","7045492")</f>
        <v>0</v>
      </c>
      <c r="B3487" t="s">
        <v>1333</v>
      </c>
      <c r="C3487" t="s">
        <v>6412</v>
      </c>
      <c r="D3487" t="s">
        <v>16230</v>
      </c>
      <c r="E3487" t="s">
        <v>17254</v>
      </c>
      <c r="F3487" t="s">
        <v>28198</v>
      </c>
      <c r="G3487" t="s">
        <v>28207</v>
      </c>
      <c r="H3487" t="s">
        <v>28215</v>
      </c>
      <c r="I3487" t="s">
        <v>4219</v>
      </c>
      <c r="J3487" t="s">
        <v>29406</v>
      </c>
      <c r="K3487" t="s">
        <v>36706</v>
      </c>
      <c r="M3487" t="s">
        <v>38391</v>
      </c>
      <c r="N3487" t="s">
        <v>40436</v>
      </c>
      <c r="O3487" t="s">
        <v>40437</v>
      </c>
      <c r="P3487">
        <v>0</v>
      </c>
      <c r="Q3487">
        <v>0</v>
      </c>
      <c r="R3487" t="s">
        <v>40439</v>
      </c>
      <c r="S3487" t="s">
        <v>40588</v>
      </c>
      <c r="T3487" t="s">
        <v>42131</v>
      </c>
      <c r="U3487" t="s">
        <v>45637</v>
      </c>
      <c r="W3487" t="s">
        <v>38391</v>
      </c>
      <c r="X3487" t="s">
        <v>40440</v>
      </c>
    </row>
    <row r="3488" spans="1:24">
      <c r="A3488">
        <f>HYPERLINK("https://www.philgeps.gov.ph/GEPSNONPILOT/Tender/SplashBidNoticeAbstractUI.aspx?menuIndex=3&amp;refID=7045464&amp;Result=3","7045464")</f>
        <v>0</v>
      </c>
      <c r="B3488" t="s">
        <v>1330</v>
      </c>
      <c r="C3488" t="s">
        <v>6413</v>
      </c>
      <c r="D3488" t="s">
        <v>16262</v>
      </c>
      <c r="E3488" t="s">
        <v>19428</v>
      </c>
      <c r="F3488" t="s">
        <v>28198</v>
      </c>
      <c r="G3488" t="s">
        <v>28207</v>
      </c>
      <c r="H3488" t="s">
        <v>28215</v>
      </c>
      <c r="I3488" t="s">
        <v>28256</v>
      </c>
      <c r="J3488" t="s">
        <v>28345</v>
      </c>
      <c r="K3488" t="s">
        <v>36706</v>
      </c>
      <c r="M3488" t="s">
        <v>38388</v>
      </c>
      <c r="N3488" t="s">
        <v>40436</v>
      </c>
      <c r="O3488" t="s">
        <v>40437</v>
      </c>
      <c r="P3488">
        <v>0</v>
      </c>
      <c r="Q3488">
        <v>3</v>
      </c>
      <c r="R3488" t="s">
        <v>40439</v>
      </c>
      <c r="S3488" t="s">
        <v>40588</v>
      </c>
      <c r="T3488" t="s">
        <v>42369</v>
      </c>
      <c r="U3488" t="s">
        <v>45632</v>
      </c>
      <c r="W3488" t="s">
        <v>38388</v>
      </c>
      <c r="X3488" t="s">
        <v>40440</v>
      </c>
    </row>
    <row r="3489" spans="1:24">
      <c r="A3489">
        <f>HYPERLINK("https://www.philgeps.gov.ph/GEPSNONPILOT/Tender/SplashBidNoticeAbstractUI.aspx?menuIndex=3&amp;refID=7045486&amp;Result=3","7045486")</f>
        <v>0</v>
      </c>
      <c r="B3489" t="s">
        <v>455</v>
      </c>
      <c r="C3489" t="s">
        <v>6414</v>
      </c>
      <c r="D3489" t="s">
        <v>16263</v>
      </c>
      <c r="E3489" t="s">
        <v>19429</v>
      </c>
      <c r="F3489" t="s">
        <v>28198</v>
      </c>
      <c r="G3489" t="s">
        <v>28205</v>
      </c>
      <c r="H3489" t="s">
        <v>28214</v>
      </c>
      <c r="I3489" t="s">
        <v>3797</v>
      </c>
      <c r="J3489" t="s">
        <v>28379</v>
      </c>
      <c r="K3489" t="s">
        <v>36689</v>
      </c>
      <c r="M3489" t="s">
        <v>37439</v>
      </c>
      <c r="N3489" t="s">
        <v>40436</v>
      </c>
      <c r="O3489" t="s">
        <v>40437</v>
      </c>
      <c r="P3489">
        <v>0</v>
      </c>
      <c r="Q3489">
        <v>0</v>
      </c>
      <c r="R3489" t="s">
        <v>40439</v>
      </c>
      <c r="S3489" t="s">
        <v>40588</v>
      </c>
      <c r="T3489" t="s">
        <v>42118</v>
      </c>
      <c r="U3489" t="s">
        <v>45025</v>
      </c>
      <c r="W3489" t="s">
        <v>37439</v>
      </c>
      <c r="X3489" t="s">
        <v>40440</v>
      </c>
    </row>
    <row r="3490" spans="1:24">
      <c r="A3490">
        <f>HYPERLINK("https://www.philgeps.gov.ph/GEPSNONPILOT/Tender/SplashBidNoticeAbstractUI.aspx?menuIndex=3&amp;refID=7045485&amp;Result=3","7045485")</f>
        <v>0</v>
      </c>
      <c r="B3490" t="s">
        <v>1334</v>
      </c>
      <c r="C3490" t="s">
        <v>6415</v>
      </c>
      <c r="D3490" t="s">
        <v>16215</v>
      </c>
      <c r="E3490" t="s">
        <v>19430</v>
      </c>
      <c r="F3490" t="s">
        <v>28198</v>
      </c>
      <c r="G3490" t="s">
        <v>28205</v>
      </c>
      <c r="H3490" t="s">
        <v>28214</v>
      </c>
      <c r="I3490" t="s">
        <v>3797</v>
      </c>
      <c r="J3490" t="s">
        <v>30643</v>
      </c>
      <c r="K3490" t="s">
        <v>36717</v>
      </c>
      <c r="M3490" t="s">
        <v>38392</v>
      </c>
      <c r="N3490" t="s">
        <v>40436</v>
      </c>
      <c r="O3490" t="s">
        <v>40437</v>
      </c>
      <c r="P3490">
        <v>0</v>
      </c>
      <c r="Q3490">
        <v>2</v>
      </c>
      <c r="R3490" t="s">
        <v>40439</v>
      </c>
      <c r="S3490" t="s">
        <v>40588</v>
      </c>
      <c r="T3490" t="s">
        <v>42164</v>
      </c>
      <c r="U3490" t="s">
        <v>45638</v>
      </c>
      <c r="W3490" t="s">
        <v>38392</v>
      </c>
      <c r="X3490" t="s">
        <v>40440</v>
      </c>
    </row>
    <row r="3491" spans="1:24">
      <c r="A3491">
        <f>HYPERLINK("https://www.philgeps.gov.ph/GEPSNONPILOT/Tender/SplashBidNoticeAbstractUI.aspx?menuIndex=3&amp;refID=7045482&amp;Result=3","7045482")</f>
        <v>0</v>
      </c>
      <c r="B3491" t="s">
        <v>1023</v>
      </c>
      <c r="C3491" t="s">
        <v>6416</v>
      </c>
      <c r="D3491" t="s">
        <v>16265</v>
      </c>
      <c r="E3491" t="s">
        <v>19431</v>
      </c>
      <c r="F3491" t="s">
        <v>28198</v>
      </c>
      <c r="G3491" t="s">
        <v>28205</v>
      </c>
      <c r="H3491" t="s">
        <v>28215</v>
      </c>
      <c r="I3491" t="s">
        <v>3422</v>
      </c>
      <c r="J3491" t="s">
        <v>29157</v>
      </c>
      <c r="K3491" t="s">
        <v>36701</v>
      </c>
      <c r="M3491" t="s">
        <v>38054</v>
      </c>
      <c r="N3491" t="s">
        <v>40436</v>
      </c>
      <c r="O3491" t="s">
        <v>40437</v>
      </c>
      <c r="P3491">
        <v>0</v>
      </c>
      <c r="Q3491">
        <v>0</v>
      </c>
      <c r="R3491" t="s">
        <v>40439</v>
      </c>
      <c r="S3491" t="s">
        <v>40588</v>
      </c>
      <c r="T3491" t="s">
        <v>42108</v>
      </c>
      <c r="U3491" t="s">
        <v>45639</v>
      </c>
      <c r="W3491" t="s">
        <v>38054</v>
      </c>
      <c r="X3491" t="s">
        <v>40440</v>
      </c>
    </row>
    <row r="3492" spans="1:24">
      <c r="A3492">
        <f>HYPERLINK("https://www.philgeps.gov.ph/GEPSNONPILOT/Tender/SplashBidNoticeAbstractUI.aspx?menuIndex=3&amp;refID=7045487&amp;Result=3","7045487")</f>
        <v>0</v>
      </c>
      <c r="B3492" t="s">
        <v>1324</v>
      </c>
      <c r="C3492" t="s">
        <v>6417</v>
      </c>
      <c r="D3492" t="s">
        <v>16244</v>
      </c>
      <c r="E3492" t="s">
        <v>19432</v>
      </c>
      <c r="F3492" t="s">
        <v>28198</v>
      </c>
      <c r="G3492" t="s">
        <v>28205</v>
      </c>
      <c r="H3492" t="s">
        <v>28214</v>
      </c>
      <c r="I3492" t="s">
        <v>3797</v>
      </c>
      <c r="J3492" t="s">
        <v>30644</v>
      </c>
      <c r="K3492" t="s">
        <v>36692</v>
      </c>
      <c r="M3492" t="s">
        <v>38382</v>
      </c>
      <c r="N3492" t="s">
        <v>40436</v>
      </c>
      <c r="O3492" t="s">
        <v>40437</v>
      </c>
      <c r="P3492">
        <v>0</v>
      </c>
      <c r="Q3492">
        <v>0</v>
      </c>
      <c r="R3492" t="s">
        <v>40439</v>
      </c>
      <c r="S3492" t="s">
        <v>40588</v>
      </c>
      <c r="T3492" t="s">
        <v>42143</v>
      </c>
      <c r="U3492" t="s">
        <v>45640</v>
      </c>
      <c r="W3492" t="s">
        <v>38382</v>
      </c>
      <c r="X3492" t="s">
        <v>40440</v>
      </c>
    </row>
    <row r="3493" spans="1:24">
      <c r="A3493">
        <f>HYPERLINK("https://www.philgeps.gov.ph/GEPSNONPILOT/Tender/SplashBidNoticeAbstractUI.aspx?menuIndex=3&amp;refID=7045480&amp;Result=3","7045480")</f>
        <v>0</v>
      </c>
      <c r="B3493" t="s">
        <v>461</v>
      </c>
      <c r="C3493" t="s">
        <v>6418</v>
      </c>
      <c r="D3493" t="s">
        <v>16208</v>
      </c>
      <c r="E3493" t="s">
        <v>19433</v>
      </c>
      <c r="F3493" t="s">
        <v>28198</v>
      </c>
      <c r="G3493" t="s">
        <v>28206</v>
      </c>
      <c r="H3493" t="s">
        <v>28215</v>
      </c>
      <c r="I3493" t="s">
        <v>4219</v>
      </c>
      <c r="J3493" t="s">
        <v>28880</v>
      </c>
      <c r="K3493" t="s">
        <v>36689</v>
      </c>
      <c r="M3493" t="s">
        <v>38367</v>
      </c>
      <c r="N3493" t="s">
        <v>40436</v>
      </c>
      <c r="O3493" t="s">
        <v>40437</v>
      </c>
      <c r="P3493">
        <v>0</v>
      </c>
      <c r="Q3493">
        <v>1</v>
      </c>
      <c r="R3493" t="s">
        <v>40439</v>
      </c>
      <c r="S3493" t="s">
        <v>40588</v>
      </c>
      <c r="T3493" t="s">
        <v>42160</v>
      </c>
      <c r="U3493" t="s">
        <v>45580</v>
      </c>
      <c r="W3493" t="s">
        <v>38367</v>
      </c>
      <c r="X3493" t="s">
        <v>40440</v>
      </c>
    </row>
    <row r="3494" spans="1:24">
      <c r="A3494">
        <f>HYPERLINK("https://www.philgeps.gov.ph/GEPSNONPILOT/Tender/SplashBidNoticeAbstractUI.aspx?menuIndex=3&amp;refID=7045479&amp;Result=3","7045479")</f>
        <v>0</v>
      </c>
      <c r="B3494" t="s">
        <v>1330</v>
      </c>
      <c r="C3494" t="s">
        <v>6419</v>
      </c>
      <c r="D3494" t="s">
        <v>16262</v>
      </c>
      <c r="E3494" t="s">
        <v>19434</v>
      </c>
      <c r="F3494" t="s">
        <v>28198</v>
      </c>
      <c r="G3494" t="s">
        <v>28207</v>
      </c>
      <c r="H3494" t="s">
        <v>28215</v>
      </c>
      <c r="I3494" t="s">
        <v>3774</v>
      </c>
      <c r="J3494" t="s">
        <v>30645</v>
      </c>
      <c r="K3494" t="s">
        <v>36706</v>
      </c>
      <c r="M3494" t="s">
        <v>38388</v>
      </c>
      <c r="N3494" t="s">
        <v>40436</v>
      </c>
      <c r="O3494" t="s">
        <v>40437</v>
      </c>
      <c r="P3494">
        <v>0</v>
      </c>
      <c r="Q3494">
        <v>1</v>
      </c>
      <c r="R3494" t="s">
        <v>40439</v>
      </c>
      <c r="S3494" t="s">
        <v>40588</v>
      </c>
      <c r="T3494" t="s">
        <v>42369</v>
      </c>
      <c r="U3494" t="s">
        <v>45632</v>
      </c>
      <c r="W3494" t="s">
        <v>38388</v>
      </c>
      <c r="X3494" t="s">
        <v>40440</v>
      </c>
    </row>
    <row r="3495" spans="1:24">
      <c r="A3495">
        <f>HYPERLINK("https://www.philgeps.gov.ph/GEPSNONPILOT/Tender/SplashBidNoticeAbstractUI.aspx?menuIndex=3&amp;refID=7045489&amp;Result=3","7045489")</f>
        <v>0</v>
      </c>
      <c r="B3495" t="s">
        <v>1326</v>
      </c>
      <c r="C3495" t="s">
        <v>6420</v>
      </c>
      <c r="D3495" t="s">
        <v>16187</v>
      </c>
      <c r="E3495" t="s">
        <v>19435</v>
      </c>
      <c r="F3495" t="s">
        <v>28198</v>
      </c>
      <c r="G3495" t="s">
        <v>28207</v>
      </c>
      <c r="H3495" t="s">
        <v>28215</v>
      </c>
      <c r="I3495" t="s">
        <v>5103</v>
      </c>
      <c r="J3495" t="s">
        <v>30317</v>
      </c>
      <c r="K3495" t="s">
        <v>36689</v>
      </c>
      <c r="M3495" t="s">
        <v>38384</v>
      </c>
      <c r="N3495" t="s">
        <v>40436</v>
      </c>
      <c r="O3495" t="s">
        <v>40437</v>
      </c>
      <c r="P3495">
        <v>0</v>
      </c>
      <c r="Q3495">
        <v>10</v>
      </c>
      <c r="R3495" t="s">
        <v>40439</v>
      </c>
      <c r="S3495" t="s">
        <v>40588</v>
      </c>
      <c r="T3495" t="s">
        <v>42161</v>
      </c>
      <c r="U3495" t="s">
        <v>45641</v>
      </c>
      <c r="W3495" t="s">
        <v>38384</v>
      </c>
      <c r="X3495" t="s">
        <v>40440</v>
      </c>
    </row>
    <row r="3496" spans="1:24">
      <c r="A3496">
        <f>HYPERLINK("https://www.philgeps.gov.ph/GEPSNONPILOT/Tender/SplashBidNoticeAbstractUI.aspx?menuIndex=3&amp;refID=7045498&amp;Result=3","7045498")</f>
        <v>0</v>
      </c>
      <c r="B3496" t="s">
        <v>1335</v>
      </c>
      <c r="C3496" t="s">
        <v>6421</v>
      </c>
      <c r="D3496" t="s">
        <v>16220</v>
      </c>
      <c r="E3496" t="s">
        <v>16352</v>
      </c>
      <c r="F3496" t="s">
        <v>28198</v>
      </c>
      <c r="G3496" t="s">
        <v>28205</v>
      </c>
      <c r="H3496" t="s">
        <v>28214</v>
      </c>
      <c r="I3496" t="s">
        <v>5100</v>
      </c>
      <c r="J3496" t="s">
        <v>28363</v>
      </c>
      <c r="K3496" t="s">
        <v>36696</v>
      </c>
      <c r="M3496" t="s">
        <v>38393</v>
      </c>
      <c r="N3496" t="s">
        <v>40436</v>
      </c>
      <c r="O3496" t="s">
        <v>40437</v>
      </c>
      <c r="P3496">
        <v>0</v>
      </c>
      <c r="Q3496">
        <v>0</v>
      </c>
      <c r="R3496" t="s">
        <v>40439</v>
      </c>
      <c r="S3496" t="s">
        <v>40588</v>
      </c>
      <c r="T3496" t="s">
        <v>42370</v>
      </c>
      <c r="U3496" t="s">
        <v>45642</v>
      </c>
      <c r="W3496" t="s">
        <v>38393</v>
      </c>
      <c r="X3496" t="s">
        <v>40440</v>
      </c>
    </row>
    <row r="3497" spans="1:24">
      <c r="A3497">
        <f>HYPERLINK("https://www.philgeps.gov.ph/GEPSNONPILOT/Tender/SplashBidNoticeAbstractUI.aspx?menuIndex=3&amp;refID=7045495&amp;Result=3","7045495")</f>
        <v>0</v>
      </c>
      <c r="B3497" t="s">
        <v>1336</v>
      </c>
      <c r="C3497" t="s">
        <v>6422</v>
      </c>
      <c r="D3497" t="s">
        <v>16244</v>
      </c>
      <c r="E3497" t="s">
        <v>19436</v>
      </c>
      <c r="F3497" t="s">
        <v>28198</v>
      </c>
      <c r="G3497" t="s">
        <v>28207</v>
      </c>
      <c r="H3497" t="s">
        <v>28215</v>
      </c>
      <c r="I3497" t="s">
        <v>28239</v>
      </c>
      <c r="J3497" t="s">
        <v>30278</v>
      </c>
      <c r="K3497" t="s">
        <v>36689</v>
      </c>
      <c r="M3497" t="s">
        <v>38394</v>
      </c>
      <c r="N3497" t="s">
        <v>40436</v>
      </c>
      <c r="O3497" t="s">
        <v>40437</v>
      </c>
      <c r="P3497">
        <v>0</v>
      </c>
      <c r="Q3497">
        <v>4</v>
      </c>
      <c r="R3497" t="s">
        <v>40439</v>
      </c>
      <c r="S3497" t="s">
        <v>40588</v>
      </c>
      <c r="T3497" t="s">
        <v>42119</v>
      </c>
      <c r="U3497" t="s">
        <v>45643</v>
      </c>
      <c r="W3497" t="s">
        <v>38394</v>
      </c>
      <c r="X3497" t="s">
        <v>40440</v>
      </c>
    </row>
    <row r="3498" spans="1:24">
      <c r="A3498">
        <f>HYPERLINK("https://www.philgeps.gov.ph/GEPSNONPILOT/Tender/SplashBidNoticeAbstractUI.aspx?menuIndex=3&amp;refID=7045503&amp;Result=3","7045503")</f>
        <v>0</v>
      </c>
      <c r="B3498" t="s">
        <v>175</v>
      </c>
      <c r="C3498" t="s">
        <v>6423</v>
      </c>
      <c r="D3498" t="s">
        <v>16244</v>
      </c>
      <c r="E3498" t="s">
        <v>19437</v>
      </c>
      <c r="F3498" t="s">
        <v>28198</v>
      </c>
      <c r="G3498" t="s">
        <v>28206</v>
      </c>
      <c r="H3498" t="s">
        <v>28215</v>
      </c>
      <c r="I3498" t="s">
        <v>28243</v>
      </c>
      <c r="J3498" t="s">
        <v>30646</v>
      </c>
      <c r="K3498" t="s">
        <v>36688</v>
      </c>
      <c r="M3498" t="s">
        <v>37149</v>
      </c>
      <c r="N3498" t="s">
        <v>40436</v>
      </c>
      <c r="O3498" t="s">
        <v>40437</v>
      </c>
      <c r="P3498">
        <v>0</v>
      </c>
      <c r="Q3498">
        <v>0</v>
      </c>
      <c r="R3498" t="s">
        <v>40439</v>
      </c>
      <c r="S3498" t="s">
        <v>40588</v>
      </c>
      <c r="T3498" t="s">
        <v>42185</v>
      </c>
      <c r="U3498" t="s">
        <v>42905</v>
      </c>
      <c r="W3498" t="s">
        <v>37149</v>
      </c>
      <c r="X3498" t="s">
        <v>40440</v>
      </c>
    </row>
    <row r="3499" spans="1:24">
      <c r="A3499">
        <f>HYPERLINK("https://www.philgeps.gov.ph/GEPSNONPILOT/Tender/SplashBidNoticeAbstractUI.aspx?menuIndex=3&amp;refID=7045499&amp;Result=3","7045499")</f>
        <v>0</v>
      </c>
      <c r="B3499" t="s">
        <v>595</v>
      </c>
      <c r="C3499" t="s">
        <v>6424</v>
      </c>
      <c r="D3499" t="s">
        <v>16195</v>
      </c>
      <c r="E3499" t="s">
        <v>19438</v>
      </c>
      <c r="F3499" t="s">
        <v>28198</v>
      </c>
      <c r="G3499" t="s">
        <v>28207</v>
      </c>
      <c r="H3499" t="s">
        <v>28215</v>
      </c>
      <c r="I3499" t="s">
        <v>4200</v>
      </c>
      <c r="J3499" t="s">
        <v>30647</v>
      </c>
      <c r="K3499" t="s">
        <v>36707</v>
      </c>
      <c r="M3499" t="s">
        <v>37584</v>
      </c>
      <c r="N3499" t="s">
        <v>40436</v>
      </c>
      <c r="O3499" t="s">
        <v>40437</v>
      </c>
      <c r="P3499">
        <v>0</v>
      </c>
      <c r="Q3499">
        <v>4</v>
      </c>
      <c r="R3499" t="s">
        <v>40439</v>
      </c>
      <c r="S3499" t="s">
        <v>40588</v>
      </c>
      <c r="T3499" t="s">
        <v>42203</v>
      </c>
      <c r="U3499" t="s">
        <v>45644</v>
      </c>
      <c r="W3499" t="s">
        <v>37584</v>
      </c>
      <c r="X3499" t="s">
        <v>40440</v>
      </c>
    </row>
    <row r="3500" spans="1:24">
      <c r="A3500">
        <f>HYPERLINK("https://www.philgeps.gov.ph/GEPSNONPILOT/Tender/SplashBidNoticeAbstractUI.aspx?menuIndex=3&amp;refID=7045478&amp;Result=3","7045478")</f>
        <v>0</v>
      </c>
      <c r="B3500" t="s">
        <v>1311</v>
      </c>
      <c r="C3500" t="s">
        <v>6425</v>
      </c>
      <c r="D3500" t="s">
        <v>16188</v>
      </c>
      <c r="E3500" t="s">
        <v>17218</v>
      </c>
      <c r="F3500" t="s">
        <v>28198</v>
      </c>
      <c r="G3500" t="s">
        <v>28206</v>
      </c>
      <c r="H3500" t="s">
        <v>28215</v>
      </c>
      <c r="I3500" t="s">
        <v>28225</v>
      </c>
      <c r="J3500" t="s">
        <v>30648</v>
      </c>
      <c r="K3500" t="s">
        <v>36693</v>
      </c>
      <c r="M3500" t="s">
        <v>38365</v>
      </c>
      <c r="N3500" t="s">
        <v>40436</v>
      </c>
      <c r="O3500" t="s">
        <v>40437</v>
      </c>
      <c r="P3500">
        <v>0</v>
      </c>
      <c r="Q3500">
        <v>0</v>
      </c>
      <c r="R3500" t="s">
        <v>40439</v>
      </c>
      <c r="S3500" t="s">
        <v>40588</v>
      </c>
      <c r="T3500" t="s">
        <v>42167</v>
      </c>
      <c r="U3500" t="s">
        <v>45645</v>
      </c>
      <c r="V3500" t="s">
        <v>54133</v>
      </c>
      <c r="W3500" t="s">
        <v>38365</v>
      </c>
      <c r="X3500" t="s">
        <v>40440</v>
      </c>
    </row>
    <row r="3501" spans="1:24">
      <c r="A3501">
        <f>HYPERLINK("https://www.philgeps.gov.ph/GEPSNONPILOT/Tender/SplashBidNoticeAbstractUI.aspx?menuIndex=3&amp;refID=7045497&amp;Result=3","7045497")</f>
        <v>0</v>
      </c>
      <c r="B3501" t="s">
        <v>1337</v>
      </c>
      <c r="C3501" t="s">
        <v>6426</v>
      </c>
      <c r="D3501" t="s">
        <v>16233</v>
      </c>
      <c r="E3501" t="s">
        <v>6426</v>
      </c>
      <c r="F3501" t="s">
        <v>28198</v>
      </c>
      <c r="G3501" t="s">
        <v>28206</v>
      </c>
      <c r="H3501" t="s">
        <v>28215</v>
      </c>
      <c r="I3501" t="s">
        <v>5100</v>
      </c>
      <c r="J3501" t="s">
        <v>30649</v>
      </c>
      <c r="K3501" t="s">
        <v>36688</v>
      </c>
      <c r="M3501" t="s">
        <v>38395</v>
      </c>
      <c r="N3501" t="s">
        <v>40436</v>
      </c>
      <c r="O3501" t="s">
        <v>40437</v>
      </c>
      <c r="P3501">
        <v>0</v>
      </c>
      <c r="Q3501">
        <v>0</v>
      </c>
      <c r="R3501" t="s">
        <v>40439</v>
      </c>
      <c r="S3501" t="s">
        <v>40588</v>
      </c>
      <c r="T3501" t="s">
        <v>42233</v>
      </c>
      <c r="U3501" t="s">
        <v>45646</v>
      </c>
      <c r="W3501" t="s">
        <v>38395</v>
      </c>
      <c r="X3501" t="s">
        <v>40440</v>
      </c>
    </row>
    <row r="3502" spans="1:24">
      <c r="A3502">
        <f>HYPERLINK("https://www.philgeps.gov.ph/GEPSNONPILOT/Tender/SplashBidNoticeAbstractUI.aspx?menuIndex=3&amp;refID=7045509&amp;Result=3","7045509")</f>
        <v>0</v>
      </c>
      <c r="B3502" t="s">
        <v>1241</v>
      </c>
      <c r="C3502" t="s">
        <v>6427</v>
      </c>
      <c r="D3502" t="s">
        <v>16216</v>
      </c>
      <c r="E3502" t="s">
        <v>19439</v>
      </c>
      <c r="F3502" t="s">
        <v>28198</v>
      </c>
      <c r="G3502" t="s">
        <v>28206</v>
      </c>
      <c r="H3502" t="s">
        <v>28215</v>
      </c>
      <c r="I3502" t="s">
        <v>28225</v>
      </c>
      <c r="J3502" t="s">
        <v>30650</v>
      </c>
      <c r="K3502" t="s">
        <v>36689</v>
      </c>
      <c r="M3502" t="s">
        <v>38290</v>
      </c>
      <c r="N3502" t="s">
        <v>40436</v>
      </c>
      <c r="O3502" t="s">
        <v>40437</v>
      </c>
      <c r="P3502">
        <v>0</v>
      </c>
      <c r="Q3502">
        <v>1</v>
      </c>
      <c r="R3502" t="s">
        <v>40439</v>
      </c>
      <c r="S3502" t="s">
        <v>40588</v>
      </c>
      <c r="T3502" t="s">
        <v>42371</v>
      </c>
      <c r="U3502" t="s">
        <v>45647</v>
      </c>
      <c r="W3502" t="s">
        <v>38290</v>
      </c>
      <c r="X3502" t="s">
        <v>40440</v>
      </c>
    </row>
    <row r="3503" spans="1:24">
      <c r="A3503">
        <f>HYPERLINK("https://www.philgeps.gov.ph/GEPSNONPILOT/Tender/SplashBidNoticeAbstractUI.aspx?menuIndex=3&amp;refID=7045496&amp;Result=3","7045496")</f>
        <v>0</v>
      </c>
      <c r="B3503" t="s">
        <v>377</v>
      </c>
      <c r="C3503" t="s">
        <v>6428</v>
      </c>
      <c r="D3503" t="s">
        <v>16204</v>
      </c>
      <c r="E3503" t="s">
        <v>19440</v>
      </c>
      <c r="F3503" t="s">
        <v>28198</v>
      </c>
      <c r="G3503" t="s">
        <v>28207</v>
      </c>
      <c r="H3503" t="s">
        <v>28215</v>
      </c>
      <c r="I3503" t="s">
        <v>28234</v>
      </c>
      <c r="J3503" t="s">
        <v>30651</v>
      </c>
      <c r="K3503" t="s">
        <v>36689</v>
      </c>
      <c r="L3503" t="s">
        <v>377</v>
      </c>
      <c r="M3503" t="s">
        <v>38237</v>
      </c>
      <c r="N3503" t="s">
        <v>40436</v>
      </c>
      <c r="O3503" t="s">
        <v>40437</v>
      </c>
      <c r="P3503">
        <v>0</v>
      </c>
      <c r="Q3503">
        <v>2</v>
      </c>
      <c r="R3503" t="s">
        <v>40439</v>
      </c>
      <c r="S3503" t="s">
        <v>40588</v>
      </c>
      <c r="T3503" t="s">
        <v>42169</v>
      </c>
      <c r="U3503" t="s">
        <v>43254</v>
      </c>
      <c r="W3503" t="s">
        <v>38237</v>
      </c>
      <c r="X3503" t="s">
        <v>40440</v>
      </c>
    </row>
    <row r="3504" spans="1:24">
      <c r="A3504">
        <f>HYPERLINK("https://www.philgeps.gov.ph/GEPSNONPILOT/Tender/SplashBidNoticeAbstractUI.aspx?menuIndex=3&amp;refID=7045537&amp;Result=3","7045537")</f>
        <v>0</v>
      </c>
      <c r="B3504" t="s">
        <v>173</v>
      </c>
      <c r="C3504" t="s">
        <v>6429</v>
      </c>
      <c r="D3504" t="s">
        <v>16208</v>
      </c>
      <c r="E3504" t="s">
        <v>19441</v>
      </c>
      <c r="F3504" t="s">
        <v>28198</v>
      </c>
      <c r="G3504" t="s">
        <v>28209</v>
      </c>
      <c r="H3504" t="s">
        <v>28215</v>
      </c>
      <c r="I3504" t="s">
        <v>28222</v>
      </c>
      <c r="J3504" t="s">
        <v>30652</v>
      </c>
      <c r="K3504" t="s">
        <v>36707</v>
      </c>
      <c r="M3504" t="s">
        <v>37147</v>
      </c>
      <c r="N3504" t="s">
        <v>40436</v>
      </c>
      <c r="O3504" t="s">
        <v>40437</v>
      </c>
      <c r="P3504">
        <v>0</v>
      </c>
      <c r="Q3504">
        <v>5</v>
      </c>
      <c r="R3504" t="s">
        <v>40439</v>
      </c>
      <c r="S3504" t="s">
        <v>40588</v>
      </c>
      <c r="T3504" t="s">
        <v>42190</v>
      </c>
      <c r="U3504" t="s">
        <v>45648</v>
      </c>
      <c r="W3504" t="s">
        <v>37147</v>
      </c>
      <c r="X3504" t="s">
        <v>40440</v>
      </c>
    </row>
    <row r="3505" spans="1:24">
      <c r="A3505">
        <f>HYPERLINK("https://www.philgeps.gov.ph/GEPSNONPILOT/Tender/SplashBidNoticeAbstractUI.aspx?menuIndex=3&amp;refID=7045505&amp;Result=3","7045505")</f>
        <v>0</v>
      </c>
      <c r="B3505" t="s">
        <v>1264</v>
      </c>
      <c r="C3505" t="s">
        <v>6430</v>
      </c>
      <c r="D3505" t="s">
        <v>16209</v>
      </c>
      <c r="E3505" t="s">
        <v>19442</v>
      </c>
      <c r="F3505" t="s">
        <v>28198</v>
      </c>
      <c r="G3505" t="s">
        <v>28207</v>
      </c>
      <c r="H3505" t="s">
        <v>28215</v>
      </c>
      <c r="I3505" t="s">
        <v>28302</v>
      </c>
      <c r="J3505" t="s">
        <v>30653</v>
      </c>
      <c r="K3505" t="s">
        <v>36707</v>
      </c>
      <c r="M3505" t="s">
        <v>38314</v>
      </c>
      <c r="N3505" t="s">
        <v>40436</v>
      </c>
      <c r="O3505" t="s">
        <v>40437</v>
      </c>
      <c r="P3505">
        <v>0</v>
      </c>
      <c r="Q3505">
        <v>0</v>
      </c>
      <c r="R3505" t="s">
        <v>40439</v>
      </c>
      <c r="S3505" t="s">
        <v>40588</v>
      </c>
      <c r="T3505" t="s">
        <v>42133</v>
      </c>
      <c r="U3505" t="s">
        <v>45649</v>
      </c>
      <c r="W3505" t="s">
        <v>38314</v>
      </c>
      <c r="X3505" t="s">
        <v>40440</v>
      </c>
    </row>
    <row r="3506" spans="1:24">
      <c r="A3506">
        <f>HYPERLINK("https://www.philgeps.gov.ph/GEPSNONPILOT/Tender/SplashBidNoticeAbstractUI.aspx?menuIndex=3&amp;refID=7045533&amp;Result=3","7045533")</f>
        <v>0</v>
      </c>
      <c r="B3506" t="s">
        <v>1338</v>
      </c>
      <c r="C3506" t="s">
        <v>6431</v>
      </c>
      <c r="D3506" t="s">
        <v>16197</v>
      </c>
      <c r="E3506" t="s">
        <v>19443</v>
      </c>
      <c r="F3506" t="s">
        <v>28198</v>
      </c>
      <c r="G3506" t="s">
        <v>28207</v>
      </c>
      <c r="H3506" t="s">
        <v>28215</v>
      </c>
      <c r="I3506" t="s">
        <v>5100</v>
      </c>
      <c r="J3506" t="s">
        <v>30654</v>
      </c>
      <c r="K3506" t="s">
        <v>36701</v>
      </c>
      <c r="M3506" t="s">
        <v>38396</v>
      </c>
      <c r="N3506" t="s">
        <v>40436</v>
      </c>
      <c r="O3506" t="s">
        <v>40437</v>
      </c>
      <c r="P3506">
        <v>0</v>
      </c>
      <c r="Q3506">
        <v>0</v>
      </c>
      <c r="R3506" t="s">
        <v>40439</v>
      </c>
      <c r="S3506" t="s">
        <v>40588</v>
      </c>
      <c r="T3506" t="s">
        <v>42152</v>
      </c>
      <c r="U3506" t="s">
        <v>45650</v>
      </c>
      <c r="V3506" t="s">
        <v>54140</v>
      </c>
      <c r="W3506" t="s">
        <v>38396</v>
      </c>
      <c r="X3506" t="s">
        <v>40440</v>
      </c>
    </row>
    <row r="3507" spans="1:24">
      <c r="A3507">
        <f>HYPERLINK("https://www.philgeps.gov.ph/GEPSNONPILOT/Tender/SplashBidNoticeAbstractUI.aspx?menuIndex=3&amp;refID=7045536&amp;Result=3","7045536")</f>
        <v>0</v>
      </c>
      <c r="B3507" t="s">
        <v>70</v>
      </c>
      <c r="C3507" t="s">
        <v>6432</v>
      </c>
      <c r="D3507" t="s">
        <v>16214</v>
      </c>
      <c r="E3507" t="s">
        <v>19444</v>
      </c>
      <c r="F3507" t="s">
        <v>28198</v>
      </c>
      <c r="G3507" t="s">
        <v>28207</v>
      </c>
      <c r="H3507" t="s">
        <v>28215</v>
      </c>
      <c r="I3507" t="s">
        <v>28255</v>
      </c>
      <c r="J3507" t="s">
        <v>30655</v>
      </c>
      <c r="K3507" t="s">
        <v>36707</v>
      </c>
      <c r="M3507" t="s">
        <v>38348</v>
      </c>
      <c r="N3507" t="s">
        <v>40436</v>
      </c>
      <c r="O3507" t="s">
        <v>40437</v>
      </c>
      <c r="P3507">
        <v>0</v>
      </c>
      <c r="Q3507">
        <v>0</v>
      </c>
      <c r="R3507" t="s">
        <v>40439</v>
      </c>
      <c r="S3507" t="s">
        <v>40588</v>
      </c>
      <c r="T3507" t="s">
        <v>42218</v>
      </c>
      <c r="U3507" t="s">
        <v>45651</v>
      </c>
      <c r="W3507" t="s">
        <v>38348</v>
      </c>
      <c r="X3507" t="s">
        <v>40440</v>
      </c>
    </row>
    <row r="3508" spans="1:24">
      <c r="A3508">
        <f>HYPERLINK("https://www.philgeps.gov.ph/GEPSNONPILOT/Tender/SplashBidNoticeAbstractUI.aspx?menuIndex=3&amp;refID=7045510&amp;Result=3","7045510")</f>
        <v>0</v>
      </c>
      <c r="B3508" t="s">
        <v>361</v>
      </c>
      <c r="C3508" t="s">
        <v>6433</v>
      </c>
      <c r="D3508" t="s">
        <v>16236</v>
      </c>
      <c r="E3508" t="s">
        <v>19445</v>
      </c>
      <c r="F3508" t="s">
        <v>28198</v>
      </c>
      <c r="G3508" t="s">
        <v>28209</v>
      </c>
      <c r="H3508" t="s">
        <v>28215</v>
      </c>
      <c r="I3508" t="s">
        <v>28234</v>
      </c>
      <c r="J3508" t="s">
        <v>28642</v>
      </c>
      <c r="K3508" t="s">
        <v>36707</v>
      </c>
      <c r="M3508" t="s">
        <v>37340</v>
      </c>
      <c r="N3508" t="s">
        <v>40436</v>
      </c>
      <c r="O3508" t="s">
        <v>40437</v>
      </c>
      <c r="P3508">
        <v>0</v>
      </c>
      <c r="Q3508">
        <v>3</v>
      </c>
      <c r="R3508" t="s">
        <v>40439</v>
      </c>
      <c r="S3508" t="s">
        <v>40588</v>
      </c>
      <c r="T3508" t="s">
        <v>42209</v>
      </c>
      <c r="U3508" t="s">
        <v>45652</v>
      </c>
      <c r="V3508" t="s">
        <v>53826</v>
      </c>
      <c r="W3508" t="s">
        <v>37340</v>
      </c>
      <c r="X3508" t="s">
        <v>40440</v>
      </c>
    </row>
    <row r="3509" spans="1:24">
      <c r="A3509">
        <f>HYPERLINK("https://www.philgeps.gov.ph/GEPSNONPILOT/Tender/SplashBidNoticeAbstractUI.aspx?menuIndex=3&amp;refID=7045529&amp;Result=3","7045529")</f>
        <v>0</v>
      </c>
      <c r="B3509" t="s">
        <v>361</v>
      </c>
      <c r="C3509" t="s">
        <v>6434</v>
      </c>
      <c r="D3509" t="s">
        <v>16236</v>
      </c>
      <c r="E3509" t="s">
        <v>19446</v>
      </c>
      <c r="F3509" t="s">
        <v>28198</v>
      </c>
      <c r="G3509" t="s">
        <v>28209</v>
      </c>
      <c r="H3509" t="s">
        <v>28215</v>
      </c>
      <c r="I3509" t="s">
        <v>28234</v>
      </c>
      <c r="J3509" t="s">
        <v>28486</v>
      </c>
      <c r="K3509" t="s">
        <v>36707</v>
      </c>
      <c r="M3509" t="s">
        <v>37340</v>
      </c>
      <c r="N3509" t="s">
        <v>40436</v>
      </c>
      <c r="O3509" t="s">
        <v>40437</v>
      </c>
      <c r="P3509">
        <v>0</v>
      </c>
      <c r="Q3509">
        <v>2</v>
      </c>
      <c r="R3509" t="s">
        <v>40439</v>
      </c>
      <c r="S3509" t="s">
        <v>40588</v>
      </c>
      <c r="T3509" t="s">
        <v>42209</v>
      </c>
      <c r="U3509" t="s">
        <v>45653</v>
      </c>
      <c r="V3509" t="s">
        <v>53826</v>
      </c>
      <c r="W3509" t="s">
        <v>37340</v>
      </c>
      <c r="X3509" t="s">
        <v>40440</v>
      </c>
    </row>
    <row r="3510" spans="1:24">
      <c r="A3510">
        <f>HYPERLINK("https://www.philgeps.gov.ph/GEPSNONPILOT/Tender/SplashBidNoticeAbstractUI.aspx?menuIndex=3&amp;refID=7045531&amp;Result=3","7045531")</f>
        <v>0</v>
      </c>
      <c r="B3510" t="s">
        <v>377</v>
      </c>
      <c r="C3510" t="s">
        <v>6435</v>
      </c>
      <c r="D3510" t="s">
        <v>16204</v>
      </c>
      <c r="E3510" t="s">
        <v>19447</v>
      </c>
      <c r="F3510" t="s">
        <v>28198</v>
      </c>
      <c r="G3510" t="s">
        <v>28207</v>
      </c>
      <c r="H3510" t="s">
        <v>28215</v>
      </c>
      <c r="I3510" t="s">
        <v>28230</v>
      </c>
      <c r="J3510" t="s">
        <v>30656</v>
      </c>
      <c r="K3510" t="s">
        <v>36689</v>
      </c>
      <c r="L3510" t="s">
        <v>377</v>
      </c>
      <c r="M3510" t="s">
        <v>38237</v>
      </c>
      <c r="N3510" t="s">
        <v>40436</v>
      </c>
      <c r="O3510" t="s">
        <v>40437</v>
      </c>
      <c r="P3510">
        <v>0</v>
      </c>
      <c r="Q3510">
        <v>0</v>
      </c>
      <c r="R3510" t="s">
        <v>40439</v>
      </c>
      <c r="S3510" t="s">
        <v>40588</v>
      </c>
      <c r="T3510" t="s">
        <v>42169</v>
      </c>
      <c r="U3510" t="s">
        <v>43254</v>
      </c>
      <c r="W3510" t="s">
        <v>38237</v>
      </c>
      <c r="X3510" t="s">
        <v>40440</v>
      </c>
    </row>
    <row r="3511" spans="1:24">
      <c r="A3511">
        <f>HYPERLINK("https://www.philgeps.gov.ph/GEPSNONPILOT/Tender/SplashBidNoticeAbstractUI.aspx?menuIndex=3&amp;refID=7045507&amp;Result=3","7045507")</f>
        <v>0</v>
      </c>
      <c r="B3511" t="s">
        <v>1339</v>
      </c>
      <c r="C3511" t="s">
        <v>6436</v>
      </c>
      <c r="D3511" t="s">
        <v>16210</v>
      </c>
      <c r="E3511" t="s">
        <v>19448</v>
      </c>
      <c r="F3511" t="s">
        <v>28198</v>
      </c>
      <c r="G3511" t="s">
        <v>28205</v>
      </c>
      <c r="H3511" t="s">
        <v>28215</v>
      </c>
      <c r="I3511" t="s">
        <v>4200</v>
      </c>
      <c r="J3511" t="s">
        <v>28559</v>
      </c>
      <c r="K3511" t="s">
        <v>36689</v>
      </c>
      <c r="M3511" t="s">
        <v>38397</v>
      </c>
      <c r="N3511" t="s">
        <v>40436</v>
      </c>
      <c r="O3511" t="s">
        <v>40437</v>
      </c>
      <c r="P3511">
        <v>0</v>
      </c>
      <c r="Q3511">
        <v>0</v>
      </c>
      <c r="R3511" t="s">
        <v>40439</v>
      </c>
      <c r="S3511" t="s">
        <v>40588</v>
      </c>
      <c r="T3511" t="s">
        <v>42177</v>
      </c>
      <c r="U3511" t="s">
        <v>45654</v>
      </c>
      <c r="W3511" t="s">
        <v>38397</v>
      </c>
      <c r="X3511" t="s">
        <v>40440</v>
      </c>
    </row>
    <row r="3512" spans="1:24">
      <c r="A3512">
        <f>HYPERLINK("https://www.philgeps.gov.ph/GEPSNONPILOT/Tender/SplashBidNoticeAbstractUI.aspx?menuIndex=3&amp;refID=7045523&amp;Result=3","7045523")</f>
        <v>0</v>
      </c>
      <c r="B3512" t="s">
        <v>1340</v>
      </c>
      <c r="C3512" t="s">
        <v>6437</v>
      </c>
      <c r="D3512" t="s">
        <v>16250</v>
      </c>
      <c r="E3512" t="s">
        <v>19449</v>
      </c>
      <c r="F3512" t="s">
        <v>28198</v>
      </c>
      <c r="G3512" t="s">
        <v>28205</v>
      </c>
      <c r="H3512" t="s">
        <v>28215</v>
      </c>
      <c r="I3512" t="s">
        <v>28238</v>
      </c>
      <c r="J3512" t="s">
        <v>30657</v>
      </c>
      <c r="K3512" t="s">
        <v>36701</v>
      </c>
      <c r="M3512" t="s">
        <v>38398</v>
      </c>
      <c r="N3512" t="s">
        <v>40436</v>
      </c>
      <c r="O3512" t="s">
        <v>40437</v>
      </c>
      <c r="P3512">
        <v>0</v>
      </c>
      <c r="Q3512">
        <v>1</v>
      </c>
      <c r="R3512" t="s">
        <v>40439</v>
      </c>
      <c r="S3512" t="s">
        <v>40588</v>
      </c>
      <c r="T3512" t="s">
        <v>42299</v>
      </c>
      <c r="U3512" t="s">
        <v>45655</v>
      </c>
      <c r="V3512" t="s">
        <v>54141</v>
      </c>
      <c r="W3512" t="s">
        <v>38398</v>
      </c>
      <c r="X3512" t="s">
        <v>40440</v>
      </c>
    </row>
    <row r="3513" spans="1:24">
      <c r="A3513">
        <f>HYPERLINK("https://www.philgeps.gov.ph/GEPSNONPILOT/Tender/SplashBidNoticeAbstractUI.aspx?menuIndex=3&amp;refID=7045519&amp;Result=3","7045519")</f>
        <v>0</v>
      </c>
      <c r="B3513" t="s">
        <v>354</v>
      </c>
      <c r="C3513" t="s">
        <v>6438</v>
      </c>
      <c r="D3513" t="s">
        <v>16199</v>
      </c>
      <c r="E3513" t="s">
        <v>17090</v>
      </c>
      <c r="F3513" t="s">
        <v>28198</v>
      </c>
      <c r="G3513" t="s">
        <v>28206</v>
      </c>
      <c r="H3513" t="s">
        <v>28215</v>
      </c>
      <c r="I3513" t="s">
        <v>5100</v>
      </c>
      <c r="J3513" t="s">
        <v>28551</v>
      </c>
      <c r="K3513" t="s">
        <v>36723</v>
      </c>
      <c r="M3513" t="s">
        <v>37333</v>
      </c>
      <c r="N3513" t="s">
        <v>40436</v>
      </c>
      <c r="O3513" t="s">
        <v>40437</v>
      </c>
      <c r="P3513">
        <v>0</v>
      </c>
      <c r="Q3513">
        <v>0</v>
      </c>
      <c r="R3513" t="s">
        <v>40439</v>
      </c>
      <c r="S3513" t="s">
        <v>40588</v>
      </c>
      <c r="T3513" t="s">
        <v>42158</v>
      </c>
      <c r="U3513" t="s">
        <v>45656</v>
      </c>
      <c r="W3513" t="s">
        <v>37333</v>
      </c>
      <c r="X3513" t="s">
        <v>40440</v>
      </c>
    </row>
    <row r="3514" spans="1:24">
      <c r="A3514">
        <f>HYPERLINK("https://www.philgeps.gov.ph/GEPSNONPILOT/Tender/SplashBidNoticeAbstractUI.aspx?menuIndex=3&amp;refID=7045525&amp;Result=3","7045525")</f>
        <v>0</v>
      </c>
      <c r="B3514" t="s">
        <v>1341</v>
      </c>
      <c r="C3514" t="s">
        <v>6439</v>
      </c>
      <c r="D3514" t="s">
        <v>16188</v>
      </c>
      <c r="E3514" t="s">
        <v>19450</v>
      </c>
      <c r="F3514" t="s">
        <v>28198</v>
      </c>
      <c r="G3514" t="s">
        <v>28206</v>
      </c>
      <c r="H3514" t="s">
        <v>28215</v>
      </c>
      <c r="I3514" t="s">
        <v>5100</v>
      </c>
      <c r="J3514" t="s">
        <v>28414</v>
      </c>
      <c r="K3514" t="s">
        <v>36689</v>
      </c>
      <c r="M3514" t="s">
        <v>38399</v>
      </c>
      <c r="N3514" t="s">
        <v>40436</v>
      </c>
      <c r="O3514" t="s">
        <v>40437</v>
      </c>
      <c r="P3514">
        <v>0</v>
      </c>
      <c r="Q3514">
        <v>0</v>
      </c>
      <c r="R3514" t="s">
        <v>40439</v>
      </c>
      <c r="S3514" t="s">
        <v>40588</v>
      </c>
      <c r="T3514" t="s">
        <v>42157</v>
      </c>
      <c r="U3514" t="s">
        <v>45657</v>
      </c>
      <c r="W3514" t="s">
        <v>38399</v>
      </c>
      <c r="X3514" t="s">
        <v>40440</v>
      </c>
    </row>
    <row r="3515" spans="1:24">
      <c r="A3515">
        <f>HYPERLINK("https://www.philgeps.gov.ph/GEPSNONPILOT/Tender/SplashBidNoticeAbstractUI.aspx?menuIndex=3&amp;refID=7045504&amp;Result=3","7045504")</f>
        <v>0</v>
      </c>
      <c r="B3515" t="s">
        <v>1159</v>
      </c>
      <c r="C3515" t="s">
        <v>6440</v>
      </c>
      <c r="D3515" t="s">
        <v>16209</v>
      </c>
      <c r="E3515" t="s">
        <v>19451</v>
      </c>
      <c r="F3515" t="s">
        <v>28198</v>
      </c>
      <c r="G3515" t="s">
        <v>28206</v>
      </c>
      <c r="H3515" t="s">
        <v>28215</v>
      </c>
      <c r="I3515" t="s">
        <v>5082</v>
      </c>
      <c r="J3515" t="s">
        <v>30658</v>
      </c>
      <c r="K3515" t="s">
        <v>36689</v>
      </c>
      <c r="M3515" t="s">
        <v>38199</v>
      </c>
      <c r="N3515" t="s">
        <v>40436</v>
      </c>
      <c r="O3515" t="s">
        <v>40437</v>
      </c>
      <c r="P3515">
        <v>0</v>
      </c>
      <c r="Q3515">
        <v>1</v>
      </c>
      <c r="R3515" t="s">
        <v>40439</v>
      </c>
      <c r="S3515" t="s">
        <v>40588</v>
      </c>
      <c r="T3515" t="s">
        <v>42177</v>
      </c>
      <c r="U3515" t="s">
        <v>45658</v>
      </c>
      <c r="W3515" t="s">
        <v>38199</v>
      </c>
      <c r="X3515" t="s">
        <v>40440</v>
      </c>
    </row>
    <row r="3516" spans="1:24">
      <c r="A3516">
        <f>HYPERLINK("https://www.philgeps.gov.ph/GEPSNONPILOT/Tender/SplashBidNoticeAbstractUI.aspx?menuIndex=3&amp;refID=7045517&amp;Result=3","7045517")</f>
        <v>0</v>
      </c>
      <c r="B3516" t="s">
        <v>1342</v>
      </c>
      <c r="C3516" t="s">
        <v>6441</v>
      </c>
      <c r="D3516" t="s">
        <v>16241</v>
      </c>
      <c r="E3516" t="s">
        <v>19452</v>
      </c>
      <c r="F3516" t="s">
        <v>28198</v>
      </c>
      <c r="G3516" t="s">
        <v>28206</v>
      </c>
      <c r="H3516" t="s">
        <v>28215</v>
      </c>
      <c r="I3516" t="s">
        <v>4505</v>
      </c>
      <c r="J3516" t="s">
        <v>29839</v>
      </c>
      <c r="K3516" t="s">
        <v>36688</v>
      </c>
      <c r="M3516" t="s">
        <v>38400</v>
      </c>
      <c r="N3516" t="s">
        <v>40436</v>
      </c>
      <c r="O3516" t="s">
        <v>40437</v>
      </c>
      <c r="P3516">
        <v>0</v>
      </c>
      <c r="Q3516">
        <v>4</v>
      </c>
      <c r="R3516" t="s">
        <v>40439</v>
      </c>
      <c r="S3516" t="s">
        <v>40588</v>
      </c>
      <c r="T3516" t="s">
        <v>42184</v>
      </c>
      <c r="U3516" t="s">
        <v>45659</v>
      </c>
      <c r="V3516" t="s">
        <v>54142</v>
      </c>
      <c r="W3516" t="s">
        <v>38400</v>
      </c>
      <c r="X3516" t="s">
        <v>40440</v>
      </c>
    </row>
    <row r="3517" spans="1:24">
      <c r="A3517">
        <f>HYPERLINK("https://www.philgeps.gov.ph/GEPSNONPILOT/Tender/SplashBidNoticeAbstractUI.aspx?menuIndex=3&amp;refID=7045540&amp;Result=3","7045540")</f>
        <v>0</v>
      </c>
      <c r="B3517" t="s">
        <v>140</v>
      </c>
      <c r="C3517" t="s">
        <v>6442</v>
      </c>
      <c r="D3517" t="s">
        <v>16196</v>
      </c>
      <c r="E3517" t="s">
        <v>19453</v>
      </c>
      <c r="F3517" t="s">
        <v>28198</v>
      </c>
      <c r="G3517" t="s">
        <v>28206</v>
      </c>
      <c r="H3517" t="s">
        <v>28215</v>
      </c>
      <c r="I3517" t="s">
        <v>8888</v>
      </c>
      <c r="J3517" t="s">
        <v>28414</v>
      </c>
      <c r="K3517" t="s">
        <v>36689</v>
      </c>
      <c r="M3517" t="s">
        <v>37114</v>
      </c>
      <c r="N3517" t="s">
        <v>40436</v>
      </c>
      <c r="O3517" t="s">
        <v>40437</v>
      </c>
      <c r="P3517">
        <v>0</v>
      </c>
      <c r="Q3517">
        <v>1</v>
      </c>
      <c r="R3517" t="s">
        <v>40439</v>
      </c>
      <c r="S3517" t="s">
        <v>40588</v>
      </c>
      <c r="T3517" t="s">
        <v>42169</v>
      </c>
      <c r="U3517" t="s">
        <v>45660</v>
      </c>
      <c r="V3517" t="s">
        <v>54143</v>
      </c>
      <c r="W3517" t="s">
        <v>37114</v>
      </c>
      <c r="X3517" t="s">
        <v>40440</v>
      </c>
    </row>
    <row r="3518" spans="1:24">
      <c r="A3518">
        <f>HYPERLINK("https://www.philgeps.gov.ph/GEPSNONPILOT/Tender/SplashBidNoticeAbstractUI.aspx?menuIndex=3&amp;refID=7045521&amp;Result=3","7045521")</f>
        <v>0</v>
      </c>
      <c r="B3518" t="s">
        <v>140</v>
      </c>
      <c r="C3518" t="s">
        <v>6443</v>
      </c>
      <c r="D3518" t="s">
        <v>16196</v>
      </c>
      <c r="E3518" t="s">
        <v>19454</v>
      </c>
      <c r="F3518" t="s">
        <v>28198</v>
      </c>
      <c r="G3518" t="s">
        <v>28206</v>
      </c>
      <c r="H3518" t="s">
        <v>28215</v>
      </c>
      <c r="I3518" t="s">
        <v>28255</v>
      </c>
      <c r="J3518" t="s">
        <v>30659</v>
      </c>
      <c r="K3518" t="s">
        <v>36689</v>
      </c>
      <c r="M3518" t="s">
        <v>37114</v>
      </c>
      <c r="N3518" t="s">
        <v>40436</v>
      </c>
      <c r="O3518" t="s">
        <v>40437</v>
      </c>
      <c r="P3518">
        <v>0</v>
      </c>
      <c r="Q3518">
        <v>0</v>
      </c>
      <c r="R3518" t="s">
        <v>40439</v>
      </c>
      <c r="S3518" t="s">
        <v>40588</v>
      </c>
      <c r="T3518" t="s">
        <v>42169</v>
      </c>
      <c r="U3518" t="s">
        <v>45661</v>
      </c>
      <c r="V3518" t="s">
        <v>54144</v>
      </c>
      <c r="W3518" t="s">
        <v>37114</v>
      </c>
      <c r="X3518" t="s">
        <v>40440</v>
      </c>
    </row>
    <row r="3519" spans="1:24">
      <c r="A3519">
        <f>HYPERLINK("https://www.philgeps.gov.ph/GEPSNONPILOT/Tender/SplashBidNoticeAbstractUI.aspx?menuIndex=3&amp;refID=7045539&amp;Result=3","7045539")</f>
        <v>0</v>
      </c>
      <c r="B3519" t="s">
        <v>1288</v>
      </c>
      <c r="C3519" t="s">
        <v>6444</v>
      </c>
      <c r="D3519" t="s">
        <v>16227</v>
      </c>
      <c r="E3519" t="s">
        <v>19455</v>
      </c>
      <c r="F3519" t="s">
        <v>28200</v>
      </c>
      <c r="G3519" t="s">
        <v>28206</v>
      </c>
      <c r="H3519" t="s">
        <v>28217</v>
      </c>
      <c r="I3519" t="s">
        <v>28224</v>
      </c>
      <c r="J3519" t="s">
        <v>28623</v>
      </c>
      <c r="K3519" t="s">
        <v>36688</v>
      </c>
      <c r="M3519" t="s">
        <v>38341</v>
      </c>
      <c r="N3519" t="s">
        <v>40436</v>
      </c>
      <c r="O3519" t="s">
        <v>40437</v>
      </c>
      <c r="P3519">
        <v>0</v>
      </c>
      <c r="Q3519">
        <v>1</v>
      </c>
      <c r="R3519" t="s">
        <v>40439</v>
      </c>
      <c r="S3519" t="s">
        <v>40588</v>
      </c>
      <c r="T3519" t="s">
        <v>42302</v>
      </c>
      <c r="U3519" t="s">
        <v>45662</v>
      </c>
      <c r="W3519" t="s">
        <v>38341</v>
      </c>
      <c r="X3519" t="s">
        <v>40440</v>
      </c>
    </row>
    <row r="3520" spans="1:24">
      <c r="A3520">
        <f>HYPERLINK("https://www.philgeps.gov.ph/GEPSNONPILOT/Tender/SplashBidNoticeAbstractUI.aspx?menuIndex=3&amp;refID=7045541&amp;Result=3","7045541")</f>
        <v>0</v>
      </c>
      <c r="B3520" t="s">
        <v>1330</v>
      </c>
      <c r="C3520" t="s">
        <v>6445</v>
      </c>
      <c r="D3520" t="s">
        <v>16262</v>
      </c>
      <c r="E3520" t="s">
        <v>19456</v>
      </c>
      <c r="F3520" t="s">
        <v>28198</v>
      </c>
      <c r="G3520" t="s">
        <v>28207</v>
      </c>
      <c r="H3520" t="s">
        <v>28215</v>
      </c>
      <c r="I3520" t="s">
        <v>28225</v>
      </c>
      <c r="J3520" t="s">
        <v>30660</v>
      </c>
      <c r="K3520" t="s">
        <v>36706</v>
      </c>
      <c r="M3520" t="s">
        <v>38388</v>
      </c>
      <c r="N3520" t="s">
        <v>40436</v>
      </c>
      <c r="O3520" t="s">
        <v>40437</v>
      </c>
      <c r="P3520">
        <v>0</v>
      </c>
      <c r="Q3520">
        <v>0</v>
      </c>
      <c r="R3520" t="s">
        <v>40439</v>
      </c>
      <c r="S3520" t="s">
        <v>40588</v>
      </c>
      <c r="T3520" t="s">
        <v>42369</v>
      </c>
      <c r="U3520" t="s">
        <v>45632</v>
      </c>
      <c r="W3520" t="s">
        <v>38388</v>
      </c>
      <c r="X3520" t="s">
        <v>40440</v>
      </c>
    </row>
    <row r="3521" spans="1:24">
      <c r="A3521">
        <f>HYPERLINK("https://www.philgeps.gov.ph/GEPSNONPILOT/Tender/SplashBidNoticeAbstractUI.aspx?menuIndex=3&amp;refID=7045516&amp;Result=3","7045516")</f>
        <v>0</v>
      </c>
      <c r="B3521" t="s">
        <v>1334</v>
      </c>
      <c r="C3521" t="s">
        <v>6446</v>
      </c>
      <c r="D3521" t="s">
        <v>16215</v>
      </c>
      <c r="E3521" t="s">
        <v>19457</v>
      </c>
      <c r="F3521" t="s">
        <v>28198</v>
      </c>
      <c r="G3521" t="s">
        <v>28205</v>
      </c>
      <c r="H3521" t="s">
        <v>28214</v>
      </c>
      <c r="I3521" t="s">
        <v>3797</v>
      </c>
      <c r="J3521" t="s">
        <v>30661</v>
      </c>
      <c r="K3521" t="s">
        <v>36717</v>
      </c>
      <c r="M3521" t="s">
        <v>38392</v>
      </c>
      <c r="N3521" t="s">
        <v>40436</v>
      </c>
      <c r="O3521" t="s">
        <v>40437</v>
      </c>
      <c r="P3521">
        <v>0</v>
      </c>
      <c r="Q3521">
        <v>2</v>
      </c>
      <c r="R3521" t="s">
        <v>40439</v>
      </c>
      <c r="S3521" t="s">
        <v>40588</v>
      </c>
      <c r="T3521" t="s">
        <v>42164</v>
      </c>
      <c r="U3521" t="s">
        <v>45663</v>
      </c>
      <c r="W3521" t="s">
        <v>38392</v>
      </c>
      <c r="X3521" t="s">
        <v>40440</v>
      </c>
    </row>
    <row r="3522" spans="1:24">
      <c r="A3522">
        <f>HYPERLINK("https://www.philgeps.gov.ph/GEPSNONPILOT/Tender/SplashBidNoticeAbstractUI.aspx?menuIndex=3&amp;refID=7045554&amp;Result=3","7045554")</f>
        <v>0</v>
      </c>
      <c r="B3522" t="s">
        <v>96</v>
      </c>
      <c r="C3522" t="s">
        <v>6447</v>
      </c>
      <c r="D3522" t="s">
        <v>16225</v>
      </c>
      <c r="E3522" t="s">
        <v>19458</v>
      </c>
      <c r="F3522" t="s">
        <v>28198</v>
      </c>
      <c r="G3522" t="s">
        <v>28209</v>
      </c>
      <c r="H3522" t="s">
        <v>28215</v>
      </c>
      <c r="I3522" t="s">
        <v>28258</v>
      </c>
      <c r="J3522" t="s">
        <v>28352</v>
      </c>
      <c r="K3522" t="s">
        <v>36701</v>
      </c>
      <c r="M3522" t="s">
        <v>37068</v>
      </c>
      <c r="N3522" t="s">
        <v>40436</v>
      </c>
      <c r="O3522" t="s">
        <v>40437</v>
      </c>
      <c r="P3522">
        <v>0</v>
      </c>
      <c r="Q3522">
        <v>1</v>
      </c>
      <c r="R3522" t="s">
        <v>40439</v>
      </c>
      <c r="S3522" t="s">
        <v>40588</v>
      </c>
      <c r="T3522" t="s">
        <v>42218</v>
      </c>
      <c r="U3522" t="s">
        <v>45664</v>
      </c>
      <c r="W3522" t="s">
        <v>37068</v>
      </c>
      <c r="X3522" t="s">
        <v>40440</v>
      </c>
    </row>
    <row r="3523" spans="1:24">
      <c r="A3523">
        <f>HYPERLINK("https://www.philgeps.gov.ph/GEPSNONPILOT/Tender/SplashBidNoticeAbstractUI.aspx?menuIndex=3&amp;refID=7045511&amp;Result=3","7045511")</f>
        <v>0</v>
      </c>
      <c r="B3523" t="s">
        <v>1330</v>
      </c>
      <c r="C3523" t="s">
        <v>6448</v>
      </c>
      <c r="D3523" t="s">
        <v>16262</v>
      </c>
      <c r="E3523" t="s">
        <v>19459</v>
      </c>
      <c r="F3523" t="s">
        <v>28198</v>
      </c>
      <c r="G3523" t="s">
        <v>28207</v>
      </c>
      <c r="H3523" t="s">
        <v>28215</v>
      </c>
      <c r="I3523" t="s">
        <v>28256</v>
      </c>
      <c r="J3523" t="s">
        <v>30662</v>
      </c>
      <c r="K3523" t="s">
        <v>36706</v>
      </c>
      <c r="M3523" t="s">
        <v>38388</v>
      </c>
      <c r="N3523" t="s">
        <v>40436</v>
      </c>
      <c r="O3523" t="s">
        <v>40437</v>
      </c>
      <c r="P3523">
        <v>0</v>
      </c>
      <c r="Q3523">
        <v>4</v>
      </c>
      <c r="R3523" t="s">
        <v>40439</v>
      </c>
      <c r="S3523" t="s">
        <v>40588</v>
      </c>
      <c r="T3523" t="s">
        <v>42369</v>
      </c>
      <c r="U3523" t="s">
        <v>45632</v>
      </c>
      <c r="W3523" t="s">
        <v>38388</v>
      </c>
      <c r="X3523" t="s">
        <v>40440</v>
      </c>
    </row>
    <row r="3524" spans="1:24">
      <c r="A3524">
        <f>HYPERLINK("https://www.philgeps.gov.ph/GEPSNONPILOT/Tender/SplashBidNoticeAbstractUI.aspx?menuIndex=3&amp;refID=7045550&amp;Result=3","7045550")</f>
        <v>0</v>
      </c>
      <c r="B3524" t="s">
        <v>1343</v>
      </c>
      <c r="C3524" t="s">
        <v>6449</v>
      </c>
      <c r="D3524" t="s">
        <v>16215</v>
      </c>
      <c r="E3524" t="s">
        <v>19460</v>
      </c>
      <c r="F3524" t="s">
        <v>28198</v>
      </c>
      <c r="G3524" t="s">
        <v>28205</v>
      </c>
      <c r="H3524" t="s">
        <v>28214</v>
      </c>
      <c r="I3524" t="s">
        <v>5100</v>
      </c>
      <c r="J3524" t="s">
        <v>30663</v>
      </c>
      <c r="K3524" t="s">
        <v>36688</v>
      </c>
      <c r="M3524" t="s">
        <v>38401</v>
      </c>
      <c r="N3524" t="s">
        <v>40436</v>
      </c>
      <c r="O3524" t="s">
        <v>40437</v>
      </c>
      <c r="P3524">
        <v>0</v>
      </c>
      <c r="Q3524">
        <v>0</v>
      </c>
      <c r="R3524" t="s">
        <v>40439</v>
      </c>
      <c r="S3524" t="s">
        <v>40588</v>
      </c>
      <c r="T3524" t="s">
        <v>42175</v>
      </c>
      <c r="U3524" t="s">
        <v>45665</v>
      </c>
      <c r="W3524" t="s">
        <v>38401</v>
      </c>
      <c r="X3524" t="s">
        <v>40440</v>
      </c>
    </row>
    <row r="3525" spans="1:24">
      <c r="A3525">
        <f>HYPERLINK("https://www.philgeps.gov.ph/GEPSNONPILOT/Tender/SplashBidNoticeAbstractUI.aspx?menuIndex=3&amp;refID=7045546&amp;Result=3","7045546")</f>
        <v>0</v>
      </c>
      <c r="B3525" t="s">
        <v>1344</v>
      </c>
      <c r="C3525" t="s">
        <v>6450</v>
      </c>
      <c r="D3525" t="s">
        <v>16209</v>
      </c>
      <c r="E3525" t="s">
        <v>19461</v>
      </c>
      <c r="F3525" t="s">
        <v>28198</v>
      </c>
      <c r="G3525" t="s">
        <v>28205</v>
      </c>
      <c r="H3525" t="s">
        <v>28214</v>
      </c>
      <c r="I3525" t="s">
        <v>3797</v>
      </c>
      <c r="J3525" t="s">
        <v>28601</v>
      </c>
      <c r="K3525" t="s">
        <v>36707</v>
      </c>
      <c r="M3525" t="s">
        <v>38402</v>
      </c>
      <c r="N3525" t="s">
        <v>40436</v>
      </c>
      <c r="O3525" t="s">
        <v>40437</v>
      </c>
      <c r="P3525">
        <v>0</v>
      </c>
      <c r="Q3525">
        <v>0</v>
      </c>
      <c r="R3525" t="s">
        <v>40439</v>
      </c>
      <c r="S3525" t="s">
        <v>40588</v>
      </c>
      <c r="T3525" t="s">
        <v>42372</v>
      </c>
      <c r="U3525" t="s">
        <v>45666</v>
      </c>
      <c r="V3525" t="s">
        <v>54145</v>
      </c>
      <c r="W3525" t="s">
        <v>38402</v>
      </c>
      <c r="X3525" t="s">
        <v>40440</v>
      </c>
    </row>
    <row r="3526" spans="1:24">
      <c r="A3526">
        <f>HYPERLINK("https://www.philgeps.gov.ph/GEPSNONPILOT/Tender/SplashBidNoticeAbstractUI.aspx?menuIndex=3&amp;refID=7045556&amp;Result=3","7045556")</f>
        <v>0</v>
      </c>
      <c r="B3526" t="s">
        <v>1325</v>
      </c>
      <c r="C3526" t="s">
        <v>6451</v>
      </c>
      <c r="D3526" t="s">
        <v>16216</v>
      </c>
      <c r="E3526" t="s">
        <v>19462</v>
      </c>
      <c r="F3526" t="s">
        <v>28198</v>
      </c>
      <c r="G3526" t="s">
        <v>28207</v>
      </c>
      <c r="H3526" t="s">
        <v>28215</v>
      </c>
      <c r="I3526" t="s">
        <v>28226</v>
      </c>
      <c r="J3526" t="s">
        <v>30664</v>
      </c>
      <c r="K3526" t="s">
        <v>36688</v>
      </c>
      <c r="M3526" t="s">
        <v>38383</v>
      </c>
      <c r="N3526" t="s">
        <v>40436</v>
      </c>
      <c r="O3526" t="s">
        <v>40437</v>
      </c>
      <c r="P3526">
        <v>0</v>
      </c>
      <c r="Q3526">
        <v>1</v>
      </c>
      <c r="R3526" t="s">
        <v>40439</v>
      </c>
      <c r="S3526" t="s">
        <v>40588</v>
      </c>
      <c r="T3526" t="s">
        <v>42368</v>
      </c>
      <c r="U3526" t="s">
        <v>45625</v>
      </c>
      <c r="W3526" t="s">
        <v>38383</v>
      </c>
      <c r="X3526" t="s">
        <v>40440</v>
      </c>
    </row>
    <row r="3527" spans="1:24">
      <c r="A3527">
        <f>HYPERLINK("https://www.philgeps.gov.ph/GEPSNONPILOT/Tender/SplashBidNoticeAbstractUI.aspx?menuIndex=3&amp;refID=7045547&amp;Result=3","7045547")</f>
        <v>0</v>
      </c>
      <c r="B3527" t="s">
        <v>1345</v>
      </c>
      <c r="C3527" t="s">
        <v>6452</v>
      </c>
      <c r="D3527" t="s">
        <v>16247</v>
      </c>
      <c r="E3527" t="s">
        <v>19463</v>
      </c>
      <c r="F3527" t="s">
        <v>28198</v>
      </c>
      <c r="G3527" t="s">
        <v>28207</v>
      </c>
      <c r="H3527" t="s">
        <v>28215</v>
      </c>
      <c r="I3527" t="s">
        <v>28223</v>
      </c>
      <c r="J3527" t="s">
        <v>30665</v>
      </c>
      <c r="K3527" t="s">
        <v>36688</v>
      </c>
      <c r="M3527" t="s">
        <v>38403</v>
      </c>
      <c r="N3527" t="s">
        <v>40436</v>
      </c>
      <c r="O3527" t="s">
        <v>40437</v>
      </c>
      <c r="P3527">
        <v>0</v>
      </c>
      <c r="Q3527">
        <v>1</v>
      </c>
      <c r="R3527" t="s">
        <v>40439</v>
      </c>
      <c r="S3527" t="s">
        <v>40588</v>
      </c>
      <c r="T3527" t="s">
        <v>42103</v>
      </c>
      <c r="U3527" t="s">
        <v>45667</v>
      </c>
      <c r="W3527" t="s">
        <v>38403</v>
      </c>
      <c r="X3527" t="s">
        <v>40440</v>
      </c>
    </row>
    <row r="3528" spans="1:24">
      <c r="A3528">
        <f>HYPERLINK("https://www.philgeps.gov.ph/GEPSNONPILOT/Tender/SplashBidNoticeAbstractUI.aspx?menuIndex=3&amp;refID=7045544&amp;Result=3","7045544")</f>
        <v>0</v>
      </c>
      <c r="B3528" t="s">
        <v>779</v>
      </c>
      <c r="C3528" t="s">
        <v>4168</v>
      </c>
      <c r="D3528" t="s">
        <v>16235</v>
      </c>
      <c r="E3528" t="s">
        <v>19464</v>
      </c>
      <c r="F3528" t="s">
        <v>28198</v>
      </c>
      <c r="G3528" t="s">
        <v>28207</v>
      </c>
      <c r="H3528" t="s">
        <v>28215</v>
      </c>
      <c r="I3528" t="s">
        <v>4168</v>
      </c>
      <c r="J3528" t="s">
        <v>29737</v>
      </c>
      <c r="K3528" t="s">
        <v>36693</v>
      </c>
      <c r="M3528" t="s">
        <v>37783</v>
      </c>
      <c r="N3528" t="s">
        <v>40436</v>
      </c>
      <c r="O3528" t="s">
        <v>40437</v>
      </c>
      <c r="P3528">
        <v>0</v>
      </c>
      <c r="Q3528">
        <v>1</v>
      </c>
      <c r="R3528" t="s">
        <v>40439</v>
      </c>
      <c r="S3528" t="s">
        <v>40588</v>
      </c>
      <c r="T3528" t="s">
        <v>42190</v>
      </c>
      <c r="U3528" t="s">
        <v>44100</v>
      </c>
      <c r="W3528" t="s">
        <v>37783</v>
      </c>
      <c r="X3528" t="s">
        <v>40440</v>
      </c>
    </row>
    <row r="3529" spans="1:24">
      <c r="A3529">
        <f>HYPERLINK("https://www.philgeps.gov.ph/GEPSNONPILOT/Tender/SplashBidNoticeAbstractUI.aspx?menuIndex=3&amp;refID=7045555&amp;Result=3","7045555")</f>
        <v>0</v>
      </c>
      <c r="B3529" t="s">
        <v>1346</v>
      </c>
      <c r="C3529" t="s">
        <v>6453</v>
      </c>
      <c r="D3529" t="s">
        <v>16216</v>
      </c>
      <c r="E3529" t="s">
        <v>19465</v>
      </c>
      <c r="F3529" t="s">
        <v>28198</v>
      </c>
      <c r="G3529" t="s">
        <v>28205</v>
      </c>
      <c r="H3529" t="s">
        <v>28215</v>
      </c>
      <c r="I3529" t="s">
        <v>4200</v>
      </c>
      <c r="J3529" t="s">
        <v>28406</v>
      </c>
      <c r="K3529" t="s">
        <v>36707</v>
      </c>
      <c r="M3529" t="s">
        <v>38404</v>
      </c>
      <c r="N3529" t="s">
        <v>40436</v>
      </c>
      <c r="O3529" t="s">
        <v>40437</v>
      </c>
      <c r="P3529">
        <v>0</v>
      </c>
      <c r="Q3529">
        <v>2</v>
      </c>
      <c r="R3529" t="s">
        <v>40439</v>
      </c>
      <c r="S3529" t="s">
        <v>40588</v>
      </c>
      <c r="T3529" t="s">
        <v>42133</v>
      </c>
      <c r="U3529" t="s">
        <v>45668</v>
      </c>
      <c r="W3529" t="s">
        <v>38404</v>
      </c>
      <c r="X3529" t="s">
        <v>40440</v>
      </c>
    </row>
    <row r="3530" spans="1:24">
      <c r="A3530">
        <f>HYPERLINK("https://www.philgeps.gov.ph/GEPSNONPILOT/Tender/SplashBidNoticeAbstractUI.aspx?menuIndex=3&amp;refID=7045545&amp;Result=3","7045545")</f>
        <v>0</v>
      </c>
      <c r="B3530" t="s">
        <v>1334</v>
      </c>
      <c r="C3530" t="s">
        <v>6454</v>
      </c>
      <c r="D3530" t="s">
        <v>16215</v>
      </c>
      <c r="E3530" t="s">
        <v>19466</v>
      </c>
      <c r="F3530" t="s">
        <v>28198</v>
      </c>
      <c r="G3530" t="s">
        <v>28205</v>
      </c>
      <c r="H3530" t="s">
        <v>28215</v>
      </c>
      <c r="I3530" t="s">
        <v>28236</v>
      </c>
      <c r="J3530" t="s">
        <v>28468</v>
      </c>
      <c r="K3530" t="s">
        <v>36689</v>
      </c>
      <c r="M3530" t="s">
        <v>38392</v>
      </c>
      <c r="N3530" t="s">
        <v>40436</v>
      </c>
      <c r="O3530" t="s">
        <v>40437</v>
      </c>
      <c r="P3530">
        <v>0</v>
      </c>
      <c r="Q3530">
        <v>0</v>
      </c>
      <c r="R3530" t="s">
        <v>40439</v>
      </c>
      <c r="S3530" t="s">
        <v>40588</v>
      </c>
      <c r="T3530" t="s">
        <v>42164</v>
      </c>
      <c r="U3530" t="s">
        <v>45669</v>
      </c>
      <c r="W3530" t="s">
        <v>38392</v>
      </c>
      <c r="X3530" t="s">
        <v>40440</v>
      </c>
    </row>
    <row r="3531" spans="1:24">
      <c r="A3531">
        <f>HYPERLINK("https://www.philgeps.gov.ph/GEPSNONPILOT/Tender/SplashBidNoticeAbstractUI.aspx?menuIndex=3&amp;refID=7045563&amp;Result=3","7045563")</f>
        <v>0</v>
      </c>
      <c r="B3531" t="s">
        <v>1347</v>
      </c>
      <c r="C3531" t="s">
        <v>6455</v>
      </c>
      <c r="D3531" t="s">
        <v>16259</v>
      </c>
      <c r="E3531" t="s">
        <v>6455</v>
      </c>
      <c r="F3531" t="s">
        <v>28198</v>
      </c>
      <c r="G3531" t="s">
        <v>28206</v>
      </c>
      <c r="H3531" t="s">
        <v>28215</v>
      </c>
      <c r="I3531" t="s">
        <v>4168</v>
      </c>
      <c r="J3531" t="s">
        <v>30666</v>
      </c>
      <c r="K3531" t="s">
        <v>36707</v>
      </c>
      <c r="L3531" t="s">
        <v>1347</v>
      </c>
      <c r="M3531" t="s">
        <v>38405</v>
      </c>
      <c r="N3531" t="s">
        <v>40436</v>
      </c>
      <c r="O3531" t="s">
        <v>40437</v>
      </c>
      <c r="P3531">
        <v>0</v>
      </c>
      <c r="Q3531">
        <v>2</v>
      </c>
      <c r="R3531" t="s">
        <v>40439</v>
      </c>
      <c r="S3531" t="s">
        <v>40588</v>
      </c>
      <c r="T3531" t="s">
        <v>42161</v>
      </c>
      <c r="U3531" t="s">
        <v>45670</v>
      </c>
      <c r="W3531" t="s">
        <v>38405</v>
      </c>
      <c r="X3531" t="s">
        <v>40440</v>
      </c>
    </row>
    <row r="3532" spans="1:24">
      <c r="A3532">
        <f>HYPERLINK("https://www.philgeps.gov.ph/GEPSNONPILOT/Tender/SplashBidNoticeAbstractUI.aspx?menuIndex=3&amp;refID=7045557&amp;Result=3","7045557")</f>
        <v>0</v>
      </c>
      <c r="B3532" t="s">
        <v>1339</v>
      </c>
      <c r="C3532" t="s">
        <v>6456</v>
      </c>
      <c r="D3532" t="s">
        <v>16210</v>
      </c>
      <c r="E3532" t="s">
        <v>19467</v>
      </c>
      <c r="F3532" t="s">
        <v>28198</v>
      </c>
      <c r="G3532" t="s">
        <v>28205</v>
      </c>
      <c r="H3532" t="s">
        <v>28215</v>
      </c>
      <c r="I3532" t="s">
        <v>4200</v>
      </c>
      <c r="J3532" t="s">
        <v>28378</v>
      </c>
      <c r="K3532" t="s">
        <v>36689</v>
      </c>
      <c r="M3532" t="s">
        <v>38397</v>
      </c>
      <c r="N3532" t="s">
        <v>40436</v>
      </c>
      <c r="O3532" t="s">
        <v>40437</v>
      </c>
      <c r="P3532">
        <v>0</v>
      </c>
      <c r="Q3532">
        <v>0</v>
      </c>
      <c r="R3532" t="s">
        <v>40439</v>
      </c>
      <c r="S3532" t="s">
        <v>40588</v>
      </c>
      <c r="T3532" t="s">
        <v>42177</v>
      </c>
      <c r="U3532" t="s">
        <v>45671</v>
      </c>
      <c r="W3532" t="s">
        <v>38397</v>
      </c>
      <c r="X3532" t="s">
        <v>40440</v>
      </c>
    </row>
    <row r="3533" spans="1:24">
      <c r="A3533">
        <f>HYPERLINK("https://www.philgeps.gov.ph/GEPSNONPILOT/Tender/SplashBidNoticeAbstractUI.aspx?menuIndex=3&amp;refID=7045560&amp;Result=3","7045560")</f>
        <v>0</v>
      </c>
      <c r="B3533" t="s">
        <v>455</v>
      </c>
      <c r="C3533" t="s">
        <v>6457</v>
      </c>
      <c r="D3533" t="s">
        <v>16263</v>
      </c>
      <c r="E3533" t="s">
        <v>19468</v>
      </c>
      <c r="F3533" t="s">
        <v>28198</v>
      </c>
      <c r="G3533" t="s">
        <v>28205</v>
      </c>
      <c r="H3533" t="s">
        <v>28214</v>
      </c>
      <c r="I3533" t="s">
        <v>3797</v>
      </c>
      <c r="J3533" t="s">
        <v>29780</v>
      </c>
      <c r="K3533" t="s">
        <v>36689</v>
      </c>
      <c r="M3533" t="s">
        <v>37439</v>
      </c>
      <c r="N3533" t="s">
        <v>40436</v>
      </c>
      <c r="O3533" t="s">
        <v>40437</v>
      </c>
      <c r="P3533">
        <v>0</v>
      </c>
      <c r="Q3533">
        <v>0</v>
      </c>
      <c r="R3533" t="s">
        <v>40439</v>
      </c>
      <c r="S3533" t="s">
        <v>40588</v>
      </c>
      <c r="T3533" t="s">
        <v>42118</v>
      </c>
      <c r="U3533" t="s">
        <v>45025</v>
      </c>
      <c r="W3533" t="s">
        <v>37439</v>
      </c>
      <c r="X3533" t="s">
        <v>40440</v>
      </c>
    </row>
    <row r="3534" spans="1:24">
      <c r="A3534">
        <f>HYPERLINK("https://www.philgeps.gov.ph/GEPSNONPILOT/Tender/SplashBidNoticeAbstractUI.aspx?menuIndex=3&amp;refID=7045565&amp;Result=3","7045565")</f>
        <v>0</v>
      </c>
      <c r="B3534" t="s">
        <v>361</v>
      </c>
      <c r="C3534" t="s">
        <v>6458</v>
      </c>
      <c r="D3534" t="s">
        <v>16236</v>
      </c>
      <c r="E3534" t="s">
        <v>19469</v>
      </c>
      <c r="F3534" t="s">
        <v>28198</v>
      </c>
      <c r="G3534" t="s">
        <v>28209</v>
      </c>
      <c r="H3534" t="s">
        <v>28215</v>
      </c>
      <c r="I3534" t="s">
        <v>28234</v>
      </c>
      <c r="J3534" t="s">
        <v>28397</v>
      </c>
      <c r="K3534" t="s">
        <v>36707</v>
      </c>
      <c r="M3534" t="s">
        <v>37340</v>
      </c>
      <c r="N3534" t="s">
        <v>40436</v>
      </c>
      <c r="O3534" t="s">
        <v>40437</v>
      </c>
      <c r="P3534">
        <v>0</v>
      </c>
      <c r="Q3534">
        <v>1</v>
      </c>
      <c r="R3534" t="s">
        <v>40439</v>
      </c>
      <c r="S3534" t="s">
        <v>40588</v>
      </c>
      <c r="T3534" t="s">
        <v>42209</v>
      </c>
      <c r="U3534" t="s">
        <v>45672</v>
      </c>
      <c r="V3534" t="s">
        <v>53826</v>
      </c>
      <c r="W3534" t="s">
        <v>37340</v>
      </c>
      <c r="X3534" t="s">
        <v>40440</v>
      </c>
    </row>
    <row r="3535" spans="1:24">
      <c r="A3535">
        <f>HYPERLINK("https://www.philgeps.gov.ph/GEPSNONPILOT/Tender/SplashBidNoticeAbstractUI.aspx?menuIndex=3&amp;refID=7045561&amp;Result=3","7045561")</f>
        <v>0</v>
      </c>
      <c r="B3535" t="s">
        <v>1184</v>
      </c>
      <c r="C3535" t="s">
        <v>6459</v>
      </c>
      <c r="D3535" t="s">
        <v>16260</v>
      </c>
      <c r="E3535" t="s">
        <v>19470</v>
      </c>
      <c r="F3535" t="s">
        <v>28198</v>
      </c>
      <c r="G3535" t="s">
        <v>28207</v>
      </c>
      <c r="H3535" t="s">
        <v>28215</v>
      </c>
      <c r="I3535" t="s">
        <v>28258</v>
      </c>
      <c r="J3535" t="s">
        <v>30667</v>
      </c>
      <c r="K3535" t="s">
        <v>36706</v>
      </c>
      <c r="M3535" t="s">
        <v>38226</v>
      </c>
      <c r="N3535" t="s">
        <v>40436</v>
      </c>
      <c r="O3535" t="s">
        <v>40437</v>
      </c>
      <c r="P3535">
        <v>0</v>
      </c>
      <c r="Q3535">
        <v>8</v>
      </c>
      <c r="R3535" t="s">
        <v>40439</v>
      </c>
      <c r="S3535" t="s">
        <v>40588</v>
      </c>
      <c r="T3535" t="s">
        <v>42344</v>
      </c>
      <c r="U3535" t="s">
        <v>45229</v>
      </c>
      <c r="W3535" t="s">
        <v>38226</v>
      </c>
      <c r="X3535" t="s">
        <v>40440</v>
      </c>
    </row>
    <row r="3536" spans="1:24">
      <c r="A3536">
        <f>HYPERLINK("https://www.philgeps.gov.ph/GEPSNONPILOT/Tender/SplashBidNoticeAbstractUI.aspx?menuIndex=3&amp;refID=7045552&amp;Result=3","7045552")</f>
        <v>0</v>
      </c>
      <c r="B3536" t="s">
        <v>1348</v>
      </c>
      <c r="C3536" t="s">
        <v>6460</v>
      </c>
      <c r="E3536" t="s">
        <v>19471</v>
      </c>
      <c r="F3536" t="s">
        <v>28198</v>
      </c>
      <c r="G3536" t="s">
        <v>28207</v>
      </c>
      <c r="H3536" t="s">
        <v>28215</v>
      </c>
      <c r="I3536" t="s">
        <v>5100</v>
      </c>
      <c r="J3536" t="s">
        <v>30668</v>
      </c>
      <c r="K3536" t="s">
        <v>36691</v>
      </c>
      <c r="M3536" t="s">
        <v>38406</v>
      </c>
      <c r="N3536" t="s">
        <v>40436</v>
      </c>
      <c r="O3536" t="s">
        <v>40437</v>
      </c>
      <c r="P3536">
        <v>0</v>
      </c>
      <c r="Q3536">
        <v>0</v>
      </c>
      <c r="R3536" t="s">
        <v>40439</v>
      </c>
      <c r="S3536" t="s">
        <v>40588</v>
      </c>
      <c r="T3536" t="s">
        <v>42131</v>
      </c>
      <c r="U3536" t="s">
        <v>45673</v>
      </c>
      <c r="W3536" t="s">
        <v>38406</v>
      </c>
      <c r="X3536" t="s">
        <v>40440</v>
      </c>
    </row>
    <row r="3537" spans="1:24">
      <c r="A3537">
        <f>HYPERLINK("https://www.philgeps.gov.ph/GEPSNONPILOT/Tender/SplashBidNoticeAbstractUI.aspx?menuIndex=3&amp;refID=7045558&amp;Result=3","7045558")</f>
        <v>0</v>
      </c>
      <c r="B3537" t="s">
        <v>1260</v>
      </c>
      <c r="C3537" t="s">
        <v>6461</v>
      </c>
      <c r="D3537" t="s">
        <v>16206</v>
      </c>
      <c r="E3537" t="s">
        <v>19472</v>
      </c>
      <c r="F3537" t="s">
        <v>28198</v>
      </c>
      <c r="G3537" t="s">
        <v>28207</v>
      </c>
      <c r="H3537" t="s">
        <v>28215</v>
      </c>
      <c r="I3537" t="s">
        <v>5631</v>
      </c>
      <c r="J3537" t="s">
        <v>30669</v>
      </c>
      <c r="K3537" t="s">
        <v>36698</v>
      </c>
      <c r="M3537" t="s">
        <v>38310</v>
      </c>
      <c r="N3537" t="s">
        <v>40436</v>
      </c>
      <c r="O3537" t="s">
        <v>40437</v>
      </c>
      <c r="P3537">
        <v>0</v>
      </c>
      <c r="Q3537">
        <v>0</v>
      </c>
      <c r="R3537" t="s">
        <v>40439</v>
      </c>
      <c r="S3537" t="s">
        <v>40588</v>
      </c>
      <c r="T3537" t="s">
        <v>42326</v>
      </c>
      <c r="U3537" t="s">
        <v>45674</v>
      </c>
      <c r="W3537" t="s">
        <v>38310</v>
      </c>
      <c r="X3537" t="s">
        <v>40440</v>
      </c>
    </row>
    <row r="3538" spans="1:24">
      <c r="A3538">
        <f>HYPERLINK("https://www.philgeps.gov.ph/GEPSNONPILOT/Tender/SplashBidNoticeAbstractUI.aspx?menuIndex=3&amp;refID=7045559&amp;Result=3","7045559")</f>
        <v>0</v>
      </c>
      <c r="B3538" t="s">
        <v>1336</v>
      </c>
      <c r="C3538" t="s">
        <v>6462</v>
      </c>
      <c r="D3538" t="s">
        <v>16244</v>
      </c>
      <c r="E3538" t="s">
        <v>19473</v>
      </c>
      <c r="F3538" t="s">
        <v>28198</v>
      </c>
      <c r="G3538" t="s">
        <v>28207</v>
      </c>
      <c r="H3538" t="s">
        <v>28215</v>
      </c>
      <c r="I3538" t="s">
        <v>28251</v>
      </c>
      <c r="J3538" t="s">
        <v>28787</v>
      </c>
      <c r="K3538" t="s">
        <v>36689</v>
      </c>
      <c r="M3538" t="s">
        <v>38394</v>
      </c>
      <c r="N3538" t="s">
        <v>40436</v>
      </c>
      <c r="O3538" t="s">
        <v>40437</v>
      </c>
      <c r="P3538">
        <v>0</v>
      </c>
      <c r="Q3538">
        <v>4</v>
      </c>
      <c r="R3538" t="s">
        <v>40439</v>
      </c>
      <c r="S3538" t="s">
        <v>40588</v>
      </c>
      <c r="T3538" t="s">
        <v>42111</v>
      </c>
      <c r="U3538" t="s">
        <v>45643</v>
      </c>
      <c r="W3538" t="s">
        <v>38394</v>
      </c>
      <c r="X3538" t="s">
        <v>40440</v>
      </c>
    </row>
    <row r="3539" spans="1:24">
      <c r="A3539">
        <f>HYPERLINK("https://www.philgeps.gov.ph/GEPSNONPILOT/Tender/SplashBidNoticeAbstractUI.aspx?menuIndex=3&amp;refID=7045567&amp;Result=3","7045567")</f>
        <v>0</v>
      </c>
      <c r="B3539" t="s">
        <v>719</v>
      </c>
      <c r="C3539" t="s">
        <v>6463</v>
      </c>
      <c r="D3539" t="s">
        <v>16201</v>
      </c>
      <c r="E3539" t="s">
        <v>19474</v>
      </c>
      <c r="F3539" t="s">
        <v>28198</v>
      </c>
      <c r="G3539" t="s">
        <v>28206</v>
      </c>
      <c r="H3539" t="s">
        <v>28215</v>
      </c>
      <c r="I3539" t="s">
        <v>5100</v>
      </c>
      <c r="J3539" t="s">
        <v>30670</v>
      </c>
      <c r="K3539" t="s">
        <v>36701</v>
      </c>
      <c r="M3539" t="s">
        <v>37720</v>
      </c>
      <c r="N3539" t="s">
        <v>40436</v>
      </c>
      <c r="O3539" t="s">
        <v>40437</v>
      </c>
      <c r="P3539">
        <v>0</v>
      </c>
      <c r="Q3539">
        <v>0</v>
      </c>
      <c r="R3539" t="s">
        <v>40439</v>
      </c>
      <c r="S3539" t="s">
        <v>40588</v>
      </c>
      <c r="T3539" t="s">
        <v>42277</v>
      </c>
      <c r="U3539" t="s">
        <v>45675</v>
      </c>
      <c r="W3539" t="s">
        <v>37720</v>
      </c>
      <c r="X3539" t="s">
        <v>40440</v>
      </c>
    </row>
    <row r="3540" spans="1:24">
      <c r="A3540">
        <f>HYPERLINK("https://www.philgeps.gov.ph/GEPSNONPILOT/Tender/SplashBidNoticeAbstractUI.aspx?menuIndex=3&amp;refID=7045543&amp;Result=3","7045543")</f>
        <v>0</v>
      </c>
      <c r="B3540" t="s">
        <v>175</v>
      </c>
      <c r="C3540" t="s">
        <v>6464</v>
      </c>
      <c r="D3540" t="s">
        <v>16244</v>
      </c>
      <c r="E3540" t="s">
        <v>19475</v>
      </c>
      <c r="F3540" t="s">
        <v>28198</v>
      </c>
      <c r="G3540" t="s">
        <v>28206</v>
      </c>
      <c r="H3540" t="s">
        <v>28215</v>
      </c>
      <c r="I3540" t="s">
        <v>5100</v>
      </c>
      <c r="J3540" t="s">
        <v>30671</v>
      </c>
      <c r="K3540" t="s">
        <v>36688</v>
      </c>
      <c r="M3540" t="s">
        <v>37149</v>
      </c>
      <c r="N3540" t="s">
        <v>40436</v>
      </c>
      <c r="O3540" t="s">
        <v>40437</v>
      </c>
      <c r="P3540">
        <v>0</v>
      </c>
      <c r="Q3540">
        <v>0</v>
      </c>
      <c r="R3540" t="s">
        <v>40439</v>
      </c>
      <c r="S3540" t="s">
        <v>40588</v>
      </c>
      <c r="T3540" t="s">
        <v>42185</v>
      </c>
      <c r="U3540" t="s">
        <v>42905</v>
      </c>
      <c r="W3540" t="s">
        <v>37149</v>
      </c>
      <c r="X3540" t="s">
        <v>40440</v>
      </c>
    </row>
    <row r="3541" spans="1:24">
      <c r="A3541">
        <f>HYPERLINK("https://www.philgeps.gov.ph/GEPSNONPILOT/Tender/SplashBidNoticeAbstractUI.aspx?menuIndex=3&amp;refID=7045566&amp;Result=3","7045566")</f>
        <v>0</v>
      </c>
      <c r="B3541" t="s">
        <v>1349</v>
      </c>
      <c r="C3541" t="s">
        <v>6465</v>
      </c>
      <c r="D3541" t="s">
        <v>16249</v>
      </c>
      <c r="E3541" t="s">
        <v>19476</v>
      </c>
      <c r="F3541" t="s">
        <v>28198</v>
      </c>
      <c r="G3541" t="s">
        <v>28205</v>
      </c>
      <c r="H3541" t="s">
        <v>28214</v>
      </c>
      <c r="I3541" t="s">
        <v>3797</v>
      </c>
      <c r="J3541" t="s">
        <v>30672</v>
      </c>
      <c r="K3541" t="s">
        <v>36688</v>
      </c>
      <c r="M3541" t="s">
        <v>38407</v>
      </c>
      <c r="N3541" t="s">
        <v>40436</v>
      </c>
      <c r="O3541" t="s">
        <v>40437</v>
      </c>
      <c r="P3541">
        <v>0</v>
      </c>
      <c r="Q3541">
        <v>0</v>
      </c>
      <c r="R3541" t="s">
        <v>40439</v>
      </c>
      <c r="S3541" t="s">
        <v>40588</v>
      </c>
      <c r="T3541" t="s">
        <v>42112</v>
      </c>
      <c r="U3541" t="s">
        <v>45676</v>
      </c>
      <c r="V3541" t="s">
        <v>54146</v>
      </c>
      <c r="W3541" t="s">
        <v>38407</v>
      </c>
      <c r="X3541" t="s">
        <v>40440</v>
      </c>
    </row>
    <row r="3542" spans="1:24">
      <c r="A3542">
        <f>HYPERLINK("https://www.philgeps.gov.ph/GEPSNONPILOT/Tender/SplashBidNoticeAbstractUI.aspx?menuIndex=3&amp;refID=7045568&amp;Result=3","7045568")</f>
        <v>0</v>
      </c>
      <c r="B3542" t="s">
        <v>605</v>
      </c>
      <c r="C3542" t="s">
        <v>6466</v>
      </c>
      <c r="D3542" t="s">
        <v>16220</v>
      </c>
      <c r="E3542" t="s">
        <v>19477</v>
      </c>
      <c r="F3542" t="s">
        <v>28200</v>
      </c>
      <c r="G3542" t="s">
        <v>28207</v>
      </c>
      <c r="H3542" t="s">
        <v>28217</v>
      </c>
      <c r="I3542" t="s">
        <v>4219</v>
      </c>
      <c r="J3542" t="s">
        <v>30673</v>
      </c>
      <c r="K3542" t="s">
        <v>36688</v>
      </c>
      <c r="M3542" t="s">
        <v>37596</v>
      </c>
      <c r="N3542" t="s">
        <v>40436</v>
      </c>
      <c r="O3542" t="s">
        <v>40437</v>
      </c>
      <c r="P3542">
        <v>0</v>
      </c>
      <c r="Q3542">
        <v>1</v>
      </c>
      <c r="R3542" t="s">
        <v>40439</v>
      </c>
      <c r="S3542" t="s">
        <v>40588</v>
      </c>
      <c r="T3542" t="s">
        <v>42175</v>
      </c>
      <c r="U3542" t="s">
        <v>45677</v>
      </c>
      <c r="W3542" t="s">
        <v>37596</v>
      </c>
      <c r="X3542" t="s">
        <v>40440</v>
      </c>
    </row>
    <row r="3543" spans="1:24">
      <c r="A3543">
        <f>HYPERLINK("https://www.philgeps.gov.ph/GEPSNONPILOT/Tender/SplashBidNoticeAbstractUI.aspx?menuIndex=3&amp;refID=7045572&amp;Result=3","7045572")</f>
        <v>0</v>
      </c>
      <c r="B3543" t="s">
        <v>1350</v>
      </c>
      <c r="C3543" t="s">
        <v>6467</v>
      </c>
      <c r="D3543" t="s">
        <v>16264</v>
      </c>
      <c r="E3543" t="s">
        <v>16322</v>
      </c>
      <c r="F3543" t="s">
        <v>28198</v>
      </c>
      <c r="G3543" t="s">
        <v>28205</v>
      </c>
      <c r="H3543" t="s">
        <v>28215</v>
      </c>
      <c r="I3543" t="s">
        <v>5100</v>
      </c>
      <c r="J3543" t="s">
        <v>30674</v>
      </c>
      <c r="K3543" t="s">
        <v>36701</v>
      </c>
      <c r="M3543" t="s">
        <v>38408</v>
      </c>
      <c r="N3543" t="s">
        <v>40436</v>
      </c>
      <c r="O3543" t="s">
        <v>40437</v>
      </c>
      <c r="P3543">
        <v>0</v>
      </c>
      <c r="Q3543">
        <v>0</v>
      </c>
      <c r="R3543" t="s">
        <v>40439</v>
      </c>
      <c r="S3543" t="s">
        <v>40588</v>
      </c>
      <c r="T3543" t="s">
        <v>42134</v>
      </c>
      <c r="U3543" t="s">
        <v>45678</v>
      </c>
      <c r="W3543" t="s">
        <v>38408</v>
      </c>
      <c r="X3543" t="s">
        <v>40440</v>
      </c>
    </row>
    <row r="3544" spans="1:24">
      <c r="A3544">
        <f>HYPERLINK("https://www.philgeps.gov.ph/GEPSNONPILOT/Tender/SplashBidNoticeAbstractUI.aspx?menuIndex=3&amp;refID=7045595&amp;Result=3","7045595")</f>
        <v>0</v>
      </c>
      <c r="B3544" t="s">
        <v>1282</v>
      </c>
      <c r="C3544" t="s">
        <v>6468</v>
      </c>
      <c r="D3544" t="s">
        <v>16214</v>
      </c>
      <c r="E3544" t="s">
        <v>19478</v>
      </c>
      <c r="F3544" t="s">
        <v>28198</v>
      </c>
      <c r="G3544" t="s">
        <v>28205</v>
      </c>
      <c r="H3544" t="s">
        <v>28214</v>
      </c>
      <c r="I3544" t="s">
        <v>3797</v>
      </c>
      <c r="J3544" t="s">
        <v>29595</v>
      </c>
      <c r="K3544" t="s">
        <v>36714</v>
      </c>
      <c r="M3544" t="s">
        <v>38334</v>
      </c>
      <c r="N3544" t="s">
        <v>40436</v>
      </c>
      <c r="O3544" t="s">
        <v>40437</v>
      </c>
      <c r="P3544">
        <v>0</v>
      </c>
      <c r="Q3544">
        <v>0</v>
      </c>
      <c r="R3544" t="s">
        <v>40439</v>
      </c>
      <c r="S3544" t="s">
        <v>40588</v>
      </c>
      <c r="T3544" t="s">
        <v>42106</v>
      </c>
      <c r="U3544" t="s">
        <v>45679</v>
      </c>
      <c r="V3544" t="s">
        <v>54147</v>
      </c>
      <c r="W3544" t="s">
        <v>38334</v>
      </c>
      <c r="X3544" t="s">
        <v>40440</v>
      </c>
    </row>
    <row r="3545" spans="1:24">
      <c r="A3545">
        <f>HYPERLINK("https://www.philgeps.gov.ph/GEPSNONPILOT/Tender/SplashBidNoticeAbstractUI.aspx?menuIndex=3&amp;refID=7045594&amp;Result=3","7045594")</f>
        <v>0</v>
      </c>
      <c r="B3545" t="s">
        <v>525</v>
      </c>
      <c r="C3545" t="s">
        <v>6469</v>
      </c>
      <c r="D3545" t="s">
        <v>16221</v>
      </c>
      <c r="E3545" t="s">
        <v>19479</v>
      </c>
      <c r="F3545" t="s">
        <v>28198</v>
      </c>
      <c r="G3545" t="s">
        <v>28206</v>
      </c>
      <c r="H3545" t="s">
        <v>28215</v>
      </c>
      <c r="I3545" t="s">
        <v>28226</v>
      </c>
      <c r="J3545" t="s">
        <v>30675</v>
      </c>
      <c r="K3545" t="s">
        <v>36689</v>
      </c>
      <c r="M3545" t="s">
        <v>37510</v>
      </c>
      <c r="N3545" t="s">
        <v>40436</v>
      </c>
      <c r="O3545" t="s">
        <v>40437</v>
      </c>
      <c r="P3545">
        <v>0</v>
      </c>
      <c r="Q3545">
        <v>2</v>
      </c>
      <c r="R3545" t="s">
        <v>40439</v>
      </c>
      <c r="S3545" t="s">
        <v>40588</v>
      </c>
      <c r="T3545" t="s">
        <v>42136</v>
      </c>
      <c r="U3545" t="s">
        <v>45680</v>
      </c>
      <c r="W3545" t="s">
        <v>37510</v>
      </c>
      <c r="X3545" t="s">
        <v>40440</v>
      </c>
    </row>
    <row r="3546" spans="1:24">
      <c r="A3546">
        <f>HYPERLINK("https://www.philgeps.gov.ph/GEPSNONPILOT/Tender/SplashBidNoticeAbstractUI.aspx?menuIndex=3&amp;refID=7045576&amp;Result=3","7045576")</f>
        <v>0</v>
      </c>
      <c r="B3546" t="s">
        <v>488</v>
      </c>
      <c r="C3546" t="s">
        <v>6470</v>
      </c>
      <c r="D3546" t="s">
        <v>16193</v>
      </c>
      <c r="E3546" t="s">
        <v>19480</v>
      </c>
      <c r="F3546" t="s">
        <v>28198</v>
      </c>
      <c r="G3546" t="s">
        <v>28207</v>
      </c>
      <c r="H3546" t="s">
        <v>28215</v>
      </c>
      <c r="I3546" t="s">
        <v>5100</v>
      </c>
      <c r="J3546" t="s">
        <v>30676</v>
      </c>
      <c r="K3546" t="s">
        <v>36689</v>
      </c>
      <c r="M3546" t="s">
        <v>37473</v>
      </c>
      <c r="N3546" t="s">
        <v>40436</v>
      </c>
      <c r="O3546" t="s">
        <v>40437</v>
      </c>
      <c r="P3546">
        <v>0</v>
      </c>
      <c r="Q3546">
        <v>0</v>
      </c>
      <c r="R3546" t="s">
        <v>40439</v>
      </c>
      <c r="S3546" t="s">
        <v>40588</v>
      </c>
      <c r="T3546" t="s">
        <v>42190</v>
      </c>
      <c r="U3546" t="s">
        <v>45681</v>
      </c>
      <c r="W3546" t="s">
        <v>37473</v>
      </c>
      <c r="X3546" t="s">
        <v>40440</v>
      </c>
    </row>
    <row r="3547" spans="1:24">
      <c r="A3547">
        <f>HYPERLINK("https://www.philgeps.gov.ph/GEPSNONPILOT/Tender/SplashBidNoticeAbstractUI.aspx?menuIndex=3&amp;refID=7045591&amp;Result=3","7045591")</f>
        <v>0</v>
      </c>
      <c r="B3547" t="s">
        <v>719</v>
      </c>
      <c r="C3547" t="s">
        <v>6471</v>
      </c>
      <c r="D3547" t="s">
        <v>16201</v>
      </c>
      <c r="E3547" t="s">
        <v>19481</v>
      </c>
      <c r="F3547" t="s">
        <v>28198</v>
      </c>
      <c r="G3547" t="s">
        <v>28206</v>
      </c>
      <c r="H3547" t="s">
        <v>28215</v>
      </c>
      <c r="I3547" t="s">
        <v>5100</v>
      </c>
      <c r="J3547" t="s">
        <v>30677</v>
      </c>
      <c r="K3547" t="s">
        <v>36701</v>
      </c>
      <c r="M3547" t="s">
        <v>37720</v>
      </c>
      <c r="N3547" t="s">
        <v>40436</v>
      </c>
      <c r="O3547" t="s">
        <v>40437</v>
      </c>
      <c r="P3547">
        <v>0</v>
      </c>
      <c r="Q3547">
        <v>0</v>
      </c>
      <c r="R3547" t="s">
        <v>40439</v>
      </c>
      <c r="S3547" t="s">
        <v>40588</v>
      </c>
      <c r="T3547" t="s">
        <v>42277</v>
      </c>
      <c r="U3547" t="s">
        <v>45682</v>
      </c>
      <c r="W3547" t="s">
        <v>37720</v>
      </c>
      <c r="X3547" t="s">
        <v>40440</v>
      </c>
    </row>
    <row r="3548" spans="1:24">
      <c r="A3548">
        <f>HYPERLINK("https://www.philgeps.gov.ph/GEPSNONPILOT/Tender/SplashBidNoticeAbstractUI.aspx?menuIndex=3&amp;refID=7045593&amp;Result=3","7045593")</f>
        <v>0</v>
      </c>
      <c r="B3548" t="s">
        <v>191</v>
      </c>
      <c r="C3548" t="s">
        <v>6472</v>
      </c>
      <c r="D3548" t="s">
        <v>16235</v>
      </c>
      <c r="E3548" t="s">
        <v>19482</v>
      </c>
      <c r="F3548" t="s">
        <v>28198</v>
      </c>
      <c r="G3548" t="s">
        <v>28207</v>
      </c>
      <c r="H3548" t="s">
        <v>28215</v>
      </c>
      <c r="I3548" t="s">
        <v>28226</v>
      </c>
      <c r="J3548" t="s">
        <v>29717</v>
      </c>
      <c r="K3548" t="s">
        <v>36689</v>
      </c>
      <c r="M3548" t="s">
        <v>37166</v>
      </c>
      <c r="N3548" t="s">
        <v>40436</v>
      </c>
      <c r="O3548" t="s">
        <v>40437</v>
      </c>
      <c r="P3548">
        <v>0</v>
      </c>
      <c r="Q3548">
        <v>1</v>
      </c>
      <c r="R3548" t="s">
        <v>40439</v>
      </c>
      <c r="S3548" t="s">
        <v>40588</v>
      </c>
      <c r="T3548" t="s">
        <v>42218</v>
      </c>
      <c r="U3548" t="s">
        <v>45683</v>
      </c>
      <c r="W3548" t="s">
        <v>55434</v>
      </c>
      <c r="X3548" t="s">
        <v>40440</v>
      </c>
    </row>
    <row r="3549" spans="1:24">
      <c r="A3549">
        <f>HYPERLINK("https://www.philgeps.gov.ph/GEPSNONPILOT/Tender/SplashBidNoticeAbstractUI.aspx?menuIndex=3&amp;refID=7045590&amp;Result=3","7045590")</f>
        <v>0</v>
      </c>
      <c r="B3549" t="s">
        <v>1351</v>
      </c>
      <c r="C3549" t="s">
        <v>6473</v>
      </c>
      <c r="D3549" t="s">
        <v>16236</v>
      </c>
      <c r="E3549" t="s">
        <v>19483</v>
      </c>
      <c r="F3549" t="s">
        <v>28198</v>
      </c>
      <c r="G3549" t="s">
        <v>28210</v>
      </c>
      <c r="H3549" t="s">
        <v>28215</v>
      </c>
      <c r="I3549" t="s">
        <v>28274</v>
      </c>
      <c r="J3549" t="s">
        <v>30678</v>
      </c>
      <c r="K3549" t="s">
        <v>36689</v>
      </c>
      <c r="M3549" t="s">
        <v>38409</v>
      </c>
      <c r="N3549" t="s">
        <v>40436</v>
      </c>
      <c r="O3549" t="s">
        <v>40437</v>
      </c>
      <c r="P3549">
        <v>0</v>
      </c>
      <c r="Q3549">
        <v>1</v>
      </c>
      <c r="R3549" t="s">
        <v>40439</v>
      </c>
      <c r="S3549" t="s">
        <v>40588</v>
      </c>
      <c r="T3549" t="s">
        <v>42161</v>
      </c>
      <c r="U3549" t="s">
        <v>45684</v>
      </c>
      <c r="W3549" t="s">
        <v>38409</v>
      </c>
      <c r="X3549" t="s">
        <v>40440</v>
      </c>
    </row>
    <row r="3550" spans="1:24">
      <c r="A3550">
        <f>HYPERLINK("https://www.philgeps.gov.ph/GEPSNONPILOT/Tender/SplashBidNoticeAbstractUI.aspx?menuIndex=3&amp;refID=7045569&amp;Result=3","7045569")</f>
        <v>0</v>
      </c>
      <c r="B3550" t="s">
        <v>1339</v>
      </c>
      <c r="C3550" t="s">
        <v>6474</v>
      </c>
      <c r="D3550" t="s">
        <v>16210</v>
      </c>
      <c r="E3550" t="s">
        <v>19484</v>
      </c>
      <c r="F3550" t="s">
        <v>28198</v>
      </c>
      <c r="G3550" t="s">
        <v>28205</v>
      </c>
      <c r="H3550" t="s">
        <v>28215</v>
      </c>
      <c r="I3550" t="s">
        <v>5082</v>
      </c>
      <c r="J3550" t="s">
        <v>28345</v>
      </c>
      <c r="K3550" t="s">
        <v>36689</v>
      </c>
      <c r="M3550" t="s">
        <v>38397</v>
      </c>
      <c r="N3550" t="s">
        <v>40436</v>
      </c>
      <c r="O3550" t="s">
        <v>40437</v>
      </c>
      <c r="P3550">
        <v>0</v>
      </c>
      <c r="Q3550">
        <v>1</v>
      </c>
      <c r="R3550" t="s">
        <v>40439</v>
      </c>
      <c r="S3550" t="s">
        <v>40588</v>
      </c>
      <c r="T3550" t="s">
        <v>42175</v>
      </c>
      <c r="U3550" t="s">
        <v>45685</v>
      </c>
      <c r="W3550" t="s">
        <v>38397</v>
      </c>
      <c r="X3550" t="s">
        <v>40440</v>
      </c>
    </row>
    <row r="3551" spans="1:24">
      <c r="A3551">
        <f>HYPERLINK("https://www.philgeps.gov.ph/GEPSNONPILOT/Tender/SplashBidNoticeAbstractUI.aspx?menuIndex=3&amp;refID=7045583&amp;Result=3","7045583")</f>
        <v>0</v>
      </c>
      <c r="B3551" t="s">
        <v>1352</v>
      </c>
      <c r="C3551" t="s">
        <v>6475</v>
      </c>
      <c r="D3551" t="s">
        <v>16249</v>
      </c>
      <c r="E3551" t="s">
        <v>16322</v>
      </c>
      <c r="F3551" t="s">
        <v>28198</v>
      </c>
      <c r="G3551" t="s">
        <v>28206</v>
      </c>
      <c r="H3551" t="s">
        <v>28215</v>
      </c>
      <c r="I3551" t="s">
        <v>28219</v>
      </c>
      <c r="J3551" t="s">
        <v>28350</v>
      </c>
      <c r="K3551" t="s">
        <v>36689</v>
      </c>
      <c r="M3551" t="s">
        <v>38410</v>
      </c>
      <c r="N3551" t="s">
        <v>40436</v>
      </c>
      <c r="O3551" t="s">
        <v>40437</v>
      </c>
      <c r="P3551">
        <v>0</v>
      </c>
      <c r="Q3551">
        <v>0</v>
      </c>
      <c r="R3551" t="s">
        <v>40439</v>
      </c>
      <c r="S3551" t="s">
        <v>40588</v>
      </c>
      <c r="T3551" t="s">
        <v>42185</v>
      </c>
      <c r="U3551" t="s">
        <v>45686</v>
      </c>
      <c r="W3551" t="s">
        <v>55481</v>
      </c>
      <c r="X3551" t="s">
        <v>40440</v>
      </c>
    </row>
    <row r="3552" spans="1:24">
      <c r="A3552">
        <f>HYPERLINK("https://www.philgeps.gov.ph/GEPSNONPILOT/Tender/SplashBidNoticeAbstractUI.aspx?menuIndex=3&amp;refID=7045581&amp;Result=3","7045581")</f>
        <v>0</v>
      </c>
      <c r="B3552" t="s">
        <v>448</v>
      </c>
      <c r="C3552" t="s">
        <v>6476</v>
      </c>
      <c r="D3552" t="s">
        <v>16195</v>
      </c>
      <c r="E3552" t="s">
        <v>19485</v>
      </c>
      <c r="F3552" t="s">
        <v>28198</v>
      </c>
      <c r="G3552" t="s">
        <v>28207</v>
      </c>
      <c r="H3552" t="s">
        <v>28215</v>
      </c>
      <c r="I3552" t="s">
        <v>28259</v>
      </c>
      <c r="J3552" t="s">
        <v>30679</v>
      </c>
      <c r="K3552" t="s">
        <v>36689</v>
      </c>
      <c r="M3552" t="s">
        <v>37432</v>
      </c>
      <c r="N3552" t="s">
        <v>40436</v>
      </c>
      <c r="O3552" t="s">
        <v>40437</v>
      </c>
      <c r="P3552">
        <v>0</v>
      </c>
      <c r="Q3552">
        <v>4</v>
      </c>
      <c r="R3552" t="s">
        <v>40439</v>
      </c>
      <c r="S3552" t="s">
        <v>40588</v>
      </c>
      <c r="T3552" t="s">
        <v>42158</v>
      </c>
      <c r="U3552" t="s">
        <v>45687</v>
      </c>
      <c r="W3552" t="s">
        <v>37432</v>
      </c>
      <c r="X3552" t="s">
        <v>40440</v>
      </c>
    </row>
    <row r="3553" spans="1:24">
      <c r="A3553">
        <f>HYPERLINK("https://www.philgeps.gov.ph/GEPSNONPILOT/Tender/SplashBidNoticeAbstractUI.aspx?menuIndex=3&amp;refID=7045584&amp;Result=3","7045584")</f>
        <v>0</v>
      </c>
      <c r="B3553" t="s">
        <v>457</v>
      </c>
      <c r="C3553" t="s">
        <v>5800</v>
      </c>
      <c r="D3553" t="s">
        <v>16241</v>
      </c>
      <c r="E3553" t="s">
        <v>19486</v>
      </c>
      <c r="F3553" t="s">
        <v>28198</v>
      </c>
      <c r="G3553" t="s">
        <v>28207</v>
      </c>
      <c r="H3553" t="s">
        <v>28215</v>
      </c>
      <c r="I3553" t="s">
        <v>5082</v>
      </c>
      <c r="J3553" t="s">
        <v>29913</v>
      </c>
      <c r="K3553" t="s">
        <v>36701</v>
      </c>
      <c r="M3553" t="s">
        <v>38176</v>
      </c>
      <c r="N3553" t="s">
        <v>40436</v>
      </c>
      <c r="O3553" t="s">
        <v>40437</v>
      </c>
      <c r="P3553">
        <v>0</v>
      </c>
      <c r="Q3553">
        <v>0</v>
      </c>
      <c r="R3553" t="s">
        <v>40439</v>
      </c>
      <c r="S3553" t="s">
        <v>40588</v>
      </c>
      <c r="T3553" t="s">
        <v>42326</v>
      </c>
      <c r="U3553" t="s">
        <v>45688</v>
      </c>
      <c r="W3553" t="s">
        <v>38176</v>
      </c>
      <c r="X3553" t="s">
        <v>40440</v>
      </c>
    </row>
    <row r="3554" spans="1:24">
      <c r="A3554">
        <f>HYPERLINK("https://www.philgeps.gov.ph/GEPSNONPILOT/Tender/SplashBidNoticeAbstractUI.aspx?menuIndex=3&amp;refID=7045570&amp;Result=3","7045570")</f>
        <v>0</v>
      </c>
      <c r="B3554" t="s">
        <v>140</v>
      </c>
      <c r="C3554" t="s">
        <v>6477</v>
      </c>
      <c r="D3554" t="s">
        <v>16196</v>
      </c>
      <c r="E3554" t="s">
        <v>19487</v>
      </c>
      <c r="F3554" t="s">
        <v>28198</v>
      </c>
      <c r="G3554" t="s">
        <v>28206</v>
      </c>
      <c r="H3554" t="s">
        <v>28215</v>
      </c>
      <c r="I3554" t="s">
        <v>8888</v>
      </c>
      <c r="J3554" t="s">
        <v>30680</v>
      </c>
      <c r="K3554" t="s">
        <v>36689</v>
      </c>
      <c r="M3554" t="s">
        <v>37114</v>
      </c>
      <c r="N3554" t="s">
        <v>40436</v>
      </c>
      <c r="O3554" t="s">
        <v>40437</v>
      </c>
      <c r="P3554">
        <v>0</v>
      </c>
      <c r="Q3554">
        <v>1</v>
      </c>
      <c r="R3554" t="s">
        <v>40439</v>
      </c>
      <c r="S3554" t="s">
        <v>40588</v>
      </c>
      <c r="T3554" t="s">
        <v>42169</v>
      </c>
      <c r="U3554" t="s">
        <v>45660</v>
      </c>
      <c r="V3554" t="s">
        <v>54148</v>
      </c>
      <c r="W3554" t="s">
        <v>37114</v>
      </c>
      <c r="X3554" t="s">
        <v>40440</v>
      </c>
    </row>
    <row r="3555" spans="1:24">
      <c r="A3555">
        <f>HYPERLINK("https://www.philgeps.gov.ph/GEPSNONPILOT/Tender/SplashBidNoticeAbstractUI.aspx?menuIndex=3&amp;refID=7045585&amp;Result=3","7045585")</f>
        <v>0</v>
      </c>
      <c r="B3555" t="s">
        <v>108</v>
      </c>
      <c r="C3555" t="s">
        <v>6478</v>
      </c>
      <c r="D3555" t="s">
        <v>16190</v>
      </c>
      <c r="E3555" t="s">
        <v>16766</v>
      </c>
      <c r="F3555" t="s">
        <v>28198</v>
      </c>
      <c r="G3555" t="s">
        <v>28207</v>
      </c>
      <c r="H3555" t="s">
        <v>28215</v>
      </c>
      <c r="I3555" t="s">
        <v>28238</v>
      </c>
      <c r="J3555" t="s">
        <v>30681</v>
      </c>
      <c r="K3555" t="s">
        <v>36698</v>
      </c>
      <c r="M3555" t="s">
        <v>37388</v>
      </c>
      <c r="N3555" t="s">
        <v>40436</v>
      </c>
      <c r="O3555" t="s">
        <v>40437</v>
      </c>
      <c r="P3555">
        <v>0</v>
      </c>
      <c r="Q3555">
        <v>1</v>
      </c>
      <c r="R3555" t="s">
        <v>40439</v>
      </c>
      <c r="S3555" t="s">
        <v>40588</v>
      </c>
      <c r="T3555" t="s">
        <v>42190</v>
      </c>
      <c r="U3555" t="s">
        <v>45689</v>
      </c>
      <c r="V3555" t="s">
        <v>54149</v>
      </c>
      <c r="W3555" t="s">
        <v>37388</v>
      </c>
      <c r="X3555" t="s">
        <v>40440</v>
      </c>
    </row>
    <row r="3556" spans="1:24">
      <c r="A3556">
        <f>HYPERLINK("https://www.philgeps.gov.ph/GEPSNONPILOT/Tender/SplashBidNoticeAbstractUI.aspx?menuIndex=3&amp;refID=7045578&amp;Result=3","7045578")</f>
        <v>0</v>
      </c>
      <c r="B3556" t="s">
        <v>1353</v>
      </c>
      <c r="C3556" t="s">
        <v>6479</v>
      </c>
      <c r="D3556" t="s">
        <v>16260</v>
      </c>
      <c r="E3556" t="s">
        <v>19488</v>
      </c>
      <c r="F3556" t="s">
        <v>28198</v>
      </c>
      <c r="G3556" t="s">
        <v>28210</v>
      </c>
      <c r="H3556" t="s">
        <v>28215</v>
      </c>
      <c r="I3556" t="s">
        <v>28262</v>
      </c>
      <c r="J3556" t="s">
        <v>28345</v>
      </c>
      <c r="K3556" t="s">
        <v>36688</v>
      </c>
      <c r="M3556" t="s">
        <v>38411</v>
      </c>
      <c r="N3556" t="s">
        <v>40436</v>
      </c>
      <c r="O3556" t="s">
        <v>40437</v>
      </c>
      <c r="P3556">
        <v>0</v>
      </c>
      <c r="Q3556">
        <v>3</v>
      </c>
      <c r="R3556" t="s">
        <v>40439</v>
      </c>
      <c r="S3556" t="s">
        <v>40588</v>
      </c>
      <c r="T3556" t="s">
        <v>42373</v>
      </c>
      <c r="U3556" t="s">
        <v>45690</v>
      </c>
      <c r="W3556" t="s">
        <v>38411</v>
      </c>
      <c r="X3556" t="s">
        <v>40440</v>
      </c>
    </row>
    <row r="3557" spans="1:24">
      <c r="A3557">
        <f>HYPERLINK("https://www.philgeps.gov.ph/GEPSNONPILOT/Tender/SplashBidNoticeAbstractUI.aspx?menuIndex=3&amp;refID=7045580&amp;Result=3","7045580")</f>
        <v>0</v>
      </c>
      <c r="B3557" t="s">
        <v>1354</v>
      </c>
      <c r="C3557" t="s">
        <v>6480</v>
      </c>
      <c r="D3557" t="s">
        <v>16238</v>
      </c>
      <c r="E3557" t="s">
        <v>6480</v>
      </c>
      <c r="F3557" t="s">
        <v>28198</v>
      </c>
      <c r="G3557" t="s">
        <v>28205</v>
      </c>
      <c r="H3557" t="s">
        <v>28215</v>
      </c>
      <c r="I3557" t="s">
        <v>5791</v>
      </c>
      <c r="J3557" t="s">
        <v>30682</v>
      </c>
      <c r="K3557" t="s">
        <v>36689</v>
      </c>
      <c r="M3557" t="s">
        <v>38412</v>
      </c>
      <c r="N3557" t="s">
        <v>40436</v>
      </c>
      <c r="O3557" t="s">
        <v>40437</v>
      </c>
      <c r="P3557">
        <v>0</v>
      </c>
      <c r="Q3557">
        <v>0</v>
      </c>
      <c r="R3557" t="s">
        <v>40439</v>
      </c>
      <c r="S3557" t="s">
        <v>40588</v>
      </c>
      <c r="T3557" t="s">
        <v>42225</v>
      </c>
      <c r="U3557" t="s">
        <v>45691</v>
      </c>
      <c r="W3557" t="s">
        <v>38412</v>
      </c>
      <c r="X3557" t="s">
        <v>40440</v>
      </c>
    </row>
    <row r="3558" spans="1:24">
      <c r="A3558">
        <f>HYPERLINK("https://www.philgeps.gov.ph/GEPSNONPILOT/Tender/SplashBidNoticeAbstractUI.aspx?menuIndex=3&amp;refID=7045574&amp;Result=3","7045574")</f>
        <v>0</v>
      </c>
      <c r="B3558" t="s">
        <v>1355</v>
      </c>
      <c r="C3558" t="s">
        <v>6481</v>
      </c>
      <c r="D3558" t="s">
        <v>16210</v>
      </c>
      <c r="E3558" t="s">
        <v>19489</v>
      </c>
      <c r="F3558" t="s">
        <v>28198</v>
      </c>
      <c r="G3558" t="s">
        <v>28205</v>
      </c>
      <c r="H3558" t="s">
        <v>28214</v>
      </c>
      <c r="I3558" t="s">
        <v>3797</v>
      </c>
      <c r="J3558" t="s">
        <v>30683</v>
      </c>
      <c r="K3558" t="s">
        <v>36717</v>
      </c>
      <c r="M3558" t="s">
        <v>38413</v>
      </c>
      <c r="N3558" t="s">
        <v>40436</v>
      </c>
      <c r="O3558" t="s">
        <v>40437</v>
      </c>
      <c r="P3558">
        <v>0</v>
      </c>
      <c r="Q3558">
        <v>8</v>
      </c>
      <c r="R3558" t="s">
        <v>40439</v>
      </c>
      <c r="S3558" t="s">
        <v>40588</v>
      </c>
      <c r="T3558" t="s">
        <v>42246</v>
      </c>
      <c r="U3558" t="s">
        <v>45692</v>
      </c>
      <c r="V3558" t="s">
        <v>54150</v>
      </c>
      <c r="W3558" t="s">
        <v>38413</v>
      </c>
      <c r="X3558" t="s">
        <v>40440</v>
      </c>
    </row>
    <row r="3559" spans="1:24">
      <c r="A3559">
        <f>HYPERLINK("https://www.philgeps.gov.ph/GEPSNONPILOT/Tender/SplashBidNoticeAbstractUI.aspx?menuIndex=3&amp;refID=7045573&amp;Result=3","7045573")</f>
        <v>0</v>
      </c>
      <c r="B3559" t="s">
        <v>1338</v>
      </c>
      <c r="C3559" t="s">
        <v>6482</v>
      </c>
      <c r="D3559" t="s">
        <v>16197</v>
      </c>
      <c r="E3559" t="s">
        <v>19490</v>
      </c>
      <c r="F3559" t="s">
        <v>28198</v>
      </c>
      <c r="G3559" t="s">
        <v>28207</v>
      </c>
      <c r="H3559" t="s">
        <v>28215</v>
      </c>
      <c r="I3559" t="s">
        <v>5100</v>
      </c>
      <c r="J3559" t="s">
        <v>30684</v>
      </c>
      <c r="K3559" t="s">
        <v>36701</v>
      </c>
      <c r="M3559" t="s">
        <v>38396</v>
      </c>
      <c r="N3559" t="s">
        <v>40436</v>
      </c>
      <c r="O3559" t="s">
        <v>40437</v>
      </c>
      <c r="P3559">
        <v>0</v>
      </c>
      <c r="Q3559">
        <v>0</v>
      </c>
      <c r="R3559" t="s">
        <v>40439</v>
      </c>
      <c r="S3559" t="s">
        <v>40588</v>
      </c>
      <c r="T3559" t="s">
        <v>42152</v>
      </c>
      <c r="U3559" t="s">
        <v>45650</v>
      </c>
      <c r="V3559" t="s">
        <v>54140</v>
      </c>
      <c r="W3559" t="s">
        <v>38396</v>
      </c>
      <c r="X3559" t="s">
        <v>40440</v>
      </c>
    </row>
    <row r="3560" spans="1:24">
      <c r="A3560">
        <f>HYPERLINK("https://www.philgeps.gov.ph/GEPSNONPILOT/Tender/SplashBidNoticeAbstractUI.aspx?menuIndex=3&amp;refID=7045596&amp;Result=3","7045596")</f>
        <v>0</v>
      </c>
      <c r="B3560" t="s">
        <v>795</v>
      </c>
      <c r="C3560" t="s">
        <v>6483</v>
      </c>
      <c r="D3560" t="s">
        <v>16204</v>
      </c>
      <c r="E3560" t="s">
        <v>19491</v>
      </c>
      <c r="F3560" t="s">
        <v>28198</v>
      </c>
      <c r="G3560" t="s">
        <v>28205</v>
      </c>
      <c r="H3560" t="s">
        <v>28215</v>
      </c>
      <c r="I3560" t="s">
        <v>4168</v>
      </c>
      <c r="J3560" t="s">
        <v>30685</v>
      </c>
      <c r="K3560" t="s">
        <v>36772</v>
      </c>
      <c r="M3560" t="s">
        <v>37801</v>
      </c>
      <c r="N3560" t="s">
        <v>40436</v>
      </c>
      <c r="O3560" t="s">
        <v>40437</v>
      </c>
      <c r="P3560">
        <v>0</v>
      </c>
      <c r="Q3560">
        <v>3</v>
      </c>
      <c r="R3560" t="s">
        <v>40439</v>
      </c>
      <c r="S3560" t="s">
        <v>40588</v>
      </c>
      <c r="T3560" t="s">
        <v>42181</v>
      </c>
      <c r="U3560" t="s">
        <v>45693</v>
      </c>
      <c r="W3560" t="s">
        <v>37801</v>
      </c>
      <c r="X3560" t="s">
        <v>40440</v>
      </c>
    </row>
    <row r="3561" spans="1:24">
      <c r="A3561">
        <f>HYPERLINK("https://www.philgeps.gov.ph/GEPSNONPILOT/Tender/SplashBidNoticeAbstractUI.aspx?menuIndex=3&amp;refID=7045577&amp;Result=3","7045577")</f>
        <v>0</v>
      </c>
      <c r="B3561" t="s">
        <v>779</v>
      </c>
      <c r="C3561" t="s">
        <v>5071</v>
      </c>
      <c r="D3561" t="s">
        <v>16235</v>
      </c>
      <c r="E3561" t="s">
        <v>16729</v>
      </c>
      <c r="F3561" t="s">
        <v>28198</v>
      </c>
      <c r="G3561" t="s">
        <v>28207</v>
      </c>
      <c r="H3561" t="s">
        <v>28215</v>
      </c>
      <c r="I3561" t="s">
        <v>5071</v>
      </c>
      <c r="J3561" t="s">
        <v>30686</v>
      </c>
      <c r="K3561" t="s">
        <v>36693</v>
      </c>
      <c r="M3561" t="s">
        <v>37783</v>
      </c>
      <c r="N3561" t="s">
        <v>40436</v>
      </c>
      <c r="O3561" t="s">
        <v>40437</v>
      </c>
      <c r="P3561">
        <v>0</v>
      </c>
      <c r="Q3561">
        <v>0</v>
      </c>
      <c r="R3561" t="s">
        <v>40439</v>
      </c>
      <c r="S3561" t="s">
        <v>40588</v>
      </c>
      <c r="T3561" t="s">
        <v>42190</v>
      </c>
      <c r="U3561" t="s">
        <v>44100</v>
      </c>
      <c r="W3561" t="s">
        <v>37783</v>
      </c>
      <c r="X3561" t="s">
        <v>40440</v>
      </c>
    </row>
    <row r="3562" spans="1:24">
      <c r="A3562">
        <f>HYPERLINK("https://www.philgeps.gov.ph/GEPSNONPILOT/Tender/SplashBidNoticeAbstractUI.aspx?menuIndex=3&amp;refID=7045571&amp;Result=3","7045571")</f>
        <v>0</v>
      </c>
      <c r="B3562" t="s">
        <v>1329</v>
      </c>
      <c r="C3562" t="s">
        <v>6484</v>
      </c>
      <c r="D3562" t="s">
        <v>16246</v>
      </c>
      <c r="E3562" t="s">
        <v>19492</v>
      </c>
      <c r="F3562" t="s">
        <v>28198</v>
      </c>
      <c r="G3562" t="s">
        <v>28205</v>
      </c>
      <c r="H3562" t="s">
        <v>28214</v>
      </c>
      <c r="I3562" t="s">
        <v>3797</v>
      </c>
      <c r="J3562" t="s">
        <v>30687</v>
      </c>
      <c r="K3562" t="s">
        <v>36694</v>
      </c>
      <c r="M3562" t="s">
        <v>38387</v>
      </c>
      <c r="N3562" t="s">
        <v>40436</v>
      </c>
      <c r="O3562" t="s">
        <v>40437</v>
      </c>
      <c r="P3562">
        <v>0</v>
      </c>
      <c r="Q3562">
        <v>0</v>
      </c>
      <c r="R3562" t="s">
        <v>40439</v>
      </c>
      <c r="S3562" t="s">
        <v>40588</v>
      </c>
      <c r="T3562" t="s">
        <v>42110</v>
      </c>
      <c r="U3562" t="s">
        <v>45694</v>
      </c>
      <c r="W3562" t="s">
        <v>38387</v>
      </c>
      <c r="X3562" t="s">
        <v>40440</v>
      </c>
    </row>
    <row r="3563" spans="1:24">
      <c r="A3563">
        <f>HYPERLINK("https://www.philgeps.gov.ph/GEPSNONPILOT/Tender/SplashBidNoticeAbstractUI.aspx?menuIndex=3&amp;refID=7045613&amp;Result=3","7045613")</f>
        <v>0</v>
      </c>
      <c r="B3563" t="s">
        <v>455</v>
      </c>
      <c r="C3563" t="s">
        <v>6485</v>
      </c>
      <c r="D3563" t="s">
        <v>16263</v>
      </c>
      <c r="E3563" t="s">
        <v>19493</v>
      </c>
      <c r="F3563" t="s">
        <v>28198</v>
      </c>
      <c r="G3563" t="s">
        <v>28205</v>
      </c>
      <c r="H3563" t="s">
        <v>28214</v>
      </c>
      <c r="I3563" t="s">
        <v>3797</v>
      </c>
      <c r="J3563" t="s">
        <v>28468</v>
      </c>
      <c r="K3563" t="s">
        <v>36689</v>
      </c>
      <c r="M3563" t="s">
        <v>37439</v>
      </c>
      <c r="N3563" t="s">
        <v>40436</v>
      </c>
      <c r="O3563" t="s">
        <v>40437</v>
      </c>
      <c r="P3563">
        <v>0</v>
      </c>
      <c r="Q3563">
        <v>0</v>
      </c>
      <c r="R3563" t="s">
        <v>40439</v>
      </c>
      <c r="S3563" t="s">
        <v>40588</v>
      </c>
      <c r="T3563" t="s">
        <v>42118</v>
      </c>
      <c r="U3563" t="s">
        <v>45025</v>
      </c>
      <c r="W3563" t="s">
        <v>37439</v>
      </c>
      <c r="X3563" t="s">
        <v>40440</v>
      </c>
    </row>
    <row r="3564" spans="1:24">
      <c r="A3564">
        <f>HYPERLINK("https://www.philgeps.gov.ph/GEPSNONPILOT/Tender/SplashBidNoticeAbstractUI.aspx?menuIndex=3&amp;refID=7045611&amp;Result=3","7045611")</f>
        <v>0</v>
      </c>
      <c r="B3564" t="s">
        <v>377</v>
      </c>
      <c r="C3564" t="s">
        <v>6486</v>
      </c>
      <c r="D3564" t="s">
        <v>16204</v>
      </c>
      <c r="E3564" t="s">
        <v>19494</v>
      </c>
      <c r="F3564" t="s">
        <v>28198</v>
      </c>
      <c r="G3564" t="s">
        <v>28207</v>
      </c>
      <c r="H3564" t="s">
        <v>28215</v>
      </c>
      <c r="I3564" t="s">
        <v>4200</v>
      </c>
      <c r="J3564" t="s">
        <v>30231</v>
      </c>
      <c r="K3564" t="s">
        <v>36689</v>
      </c>
      <c r="L3564" t="s">
        <v>377</v>
      </c>
      <c r="M3564" t="s">
        <v>38237</v>
      </c>
      <c r="N3564" t="s">
        <v>40436</v>
      </c>
      <c r="O3564" t="s">
        <v>40437</v>
      </c>
      <c r="P3564">
        <v>0</v>
      </c>
      <c r="Q3564">
        <v>0</v>
      </c>
      <c r="R3564" t="s">
        <v>40439</v>
      </c>
      <c r="S3564" t="s">
        <v>40588</v>
      </c>
      <c r="T3564" t="s">
        <v>42169</v>
      </c>
      <c r="U3564" t="s">
        <v>43254</v>
      </c>
      <c r="W3564" t="s">
        <v>38237</v>
      </c>
      <c r="X3564" t="s">
        <v>40440</v>
      </c>
    </row>
    <row r="3565" spans="1:24">
      <c r="A3565">
        <f>HYPERLINK("https://www.philgeps.gov.ph/GEPSNONPILOT/Tender/SplashBidNoticeAbstractUI.aspx?menuIndex=3&amp;refID=7045602&amp;Result=3","7045602")</f>
        <v>0</v>
      </c>
      <c r="B3565" t="s">
        <v>1339</v>
      </c>
      <c r="C3565" t="s">
        <v>6487</v>
      </c>
      <c r="D3565" t="s">
        <v>16210</v>
      </c>
      <c r="E3565" t="s">
        <v>19495</v>
      </c>
      <c r="F3565" t="s">
        <v>28198</v>
      </c>
      <c r="G3565" t="s">
        <v>28206</v>
      </c>
      <c r="H3565" t="s">
        <v>28215</v>
      </c>
      <c r="I3565" t="s">
        <v>28265</v>
      </c>
      <c r="J3565" t="s">
        <v>28363</v>
      </c>
      <c r="K3565" t="s">
        <v>36689</v>
      </c>
      <c r="M3565" t="s">
        <v>38397</v>
      </c>
      <c r="N3565" t="s">
        <v>40436</v>
      </c>
      <c r="O3565" t="s">
        <v>40437</v>
      </c>
      <c r="P3565">
        <v>0</v>
      </c>
      <c r="Q3565">
        <v>1</v>
      </c>
      <c r="R3565" t="s">
        <v>40439</v>
      </c>
      <c r="S3565" t="s">
        <v>40588</v>
      </c>
      <c r="T3565" t="s">
        <v>42216</v>
      </c>
      <c r="U3565" t="s">
        <v>45695</v>
      </c>
      <c r="W3565" t="s">
        <v>38397</v>
      </c>
      <c r="X3565" t="s">
        <v>40440</v>
      </c>
    </row>
    <row r="3566" spans="1:24">
      <c r="A3566">
        <f>HYPERLINK("https://www.philgeps.gov.ph/GEPSNONPILOT/Tender/SplashBidNoticeAbstractUI.aspx?menuIndex=3&amp;refID=7045598&amp;Result=3","7045598")</f>
        <v>0</v>
      </c>
      <c r="B3566" t="s">
        <v>171</v>
      </c>
      <c r="C3566" t="s">
        <v>6488</v>
      </c>
      <c r="E3566" t="s">
        <v>19496</v>
      </c>
      <c r="F3566" t="s">
        <v>28198</v>
      </c>
      <c r="G3566" t="s">
        <v>28207</v>
      </c>
      <c r="H3566" t="s">
        <v>28215</v>
      </c>
      <c r="I3566" t="s">
        <v>28234</v>
      </c>
      <c r="J3566" t="s">
        <v>28378</v>
      </c>
      <c r="K3566" t="s">
        <v>36701</v>
      </c>
      <c r="M3566" t="s">
        <v>37145</v>
      </c>
      <c r="N3566" t="s">
        <v>40436</v>
      </c>
      <c r="O3566" t="s">
        <v>40437</v>
      </c>
      <c r="P3566">
        <v>0</v>
      </c>
      <c r="Q3566">
        <v>4</v>
      </c>
      <c r="R3566" t="s">
        <v>40439</v>
      </c>
      <c r="S3566" t="s">
        <v>40588</v>
      </c>
      <c r="T3566" t="s">
        <v>42167</v>
      </c>
      <c r="U3566" t="s">
        <v>45696</v>
      </c>
      <c r="V3566" t="s">
        <v>53823</v>
      </c>
      <c r="W3566" t="s">
        <v>39085</v>
      </c>
      <c r="X3566" t="s">
        <v>40440</v>
      </c>
    </row>
    <row r="3567" spans="1:24">
      <c r="A3567">
        <f>HYPERLINK("https://www.philgeps.gov.ph/GEPSNONPILOT/Tender/SplashBidNoticeAbstractUI.aspx?menuIndex=3&amp;refID=7045605&amp;Result=3","7045605")</f>
        <v>0</v>
      </c>
      <c r="B3567" t="s">
        <v>1260</v>
      </c>
      <c r="C3567" t="s">
        <v>6489</v>
      </c>
      <c r="D3567" t="s">
        <v>16206</v>
      </c>
      <c r="E3567" t="s">
        <v>19497</v>
      </c>
      <c r="F3567" t="s">
        <v>28198</v>
      </c>
      <c r="G3567" t="s">
        <v>28207</v>
      </c>
      <c r="H3567" t="s">
        <v>28215</v>
      </c>
      <c r="I3567" t="s">
        <v>28257</v>
      </c>
      <c r="J3567" t="s">
        <v>29490</v>
      </c>
      <c r="K3567" t="s">
        <v>36698</v>
      </c>
      <c r="M3567" t="s">
        <v>38310</v>
      </c>
      <c r="N3567" t="s">
        <v>40436</v>
      </c>
      <c r="O3567" t="s">
        <v>40437</v>
      </c>
      <c r="P3567">
        <v>0</v>
      </c>
      <c r="Q3567">
        <v>0</v>
      </c>
      <c r="R3567" t="s">
        <v>40439</v>
      </c>
      <c r="S3567" t="s">
        <v>40588</v>
      </c>
      <c r="T3567" t="s">
        <v>42326</v>
      </c>
      <c r="U3567" t="s">
        <v>45697</v>
      </c>
      <c r="W3567" t="s">
        <v>38310</v>
      </c>
      <c r="X3567" t="s">
        <v>40440</v>
      </c>
    </row>
    <row r="3568" spans="1:24">
      <c r="A3568">
        <f>HYPERLINK("https://www.philgeps.gov.ph/GEPSNONPILOT/Tender/SplashBidNoticeAbstractUI.aspx?menuIndex=3&amp;refID=7045600&amp;Result=3","7045600")</f>
        <v>0</v>
      </c>
      <c r="B3568" t="s">
        <v>278</v>
      </c>
      <c r="C3568" t="s">
        <v>6490</v>
      </c>
      <c r="D3568" t="s">
        <v>16203</v>
      </c>
      <c r="E3568" t="s">
        <v>19498</v>
      </c>
      <c r="F3568" t="s">
        <v>28198</v>
      </c>
      <c r="G3568" t="s">
        <v>28207</v>
      </c>
      <c r="H3568" t="s">
        <v>28215</v>
      </c>
      <c r="I3568" t="s">
        <v>4219</v>
      </c>
      <c r="J3568" t="s">
        <v>30688</v>
      </c>
      <c r="K3568" t="s">
        <v>36688</v>
      </c>
      <c r="M3568" t="s">
        <v>37255</v>
      </c>
      <c r="N3568" t="s">
        <v>40436</v>
      </c>
      <c r="O3568" t="s">
        <v>40437</v>
      </c>
      <c r="P3568">
        <v>0</v>
      </c>
      <c r="Q3568">
        <v>2</v>
      </c>
      <c r="R3568" t="s">
        <v>40439</v>
      </c>
      <c r="S3568" t="s">
        <v>40588</v>
      </c>
      <c r="T3568" t="s">
        <v>42161</v>
      </c>
      <c r="U3568" t="s">
        <v>43058</v>
      </c>
      <c r="W3568" t="s">
        <v>37255</v>
      </c>
      <c r="X3568" t="s">
        <v>40440</v>
      </c>
    </row>
    <row r="3569" spans="1:24">
      <c r="A3569">
        <f>HYPERLINK("https://www.philgeps.gov.ph/GEPSNONPILOT/Tender/SplashBidNoticeAbstractUI.aspx?menuIndex=3&amp;refID=7045597&amp;Result=3","7045597")</f>
        <v>0</v>
      </c>
      <c r="B3569" t="s">
        <v>361</v>
      </c>
      <c r="C3569" t="s">
        <v>6491</v>
      </c>
      <c r="D3569" t="s">
        <v>16236</v>
      </c>
      <c r="E3569" t="s">
        <v>19499</v>
      </c>
      <c r="F3569" t="s">
        <v>28198</v>
      </c>
      <c r="G3569" t="s">
        <v>28209</v>
      </c>
      <c r="H3569" t="s">
        <v>28215</v>
      </c>
      <c r="I3569" t="s">
        <v>3422</v>
      </c>
      <c r="J3569" t="s">
        <v>30689</v>
      </c>
      <c r="K3569" t="s">
        <v>36689</v>
      </c>
      <c r="M3569" t="s">
        <v>37340</v>
      </c>
      <c r="N3569" t="s">
        <v>40436</v>
      </c>
      <c r="O3569" t="s">
        <v>40437</v>
      </c>
      <c r="P3569">
        <v>0</v>
      </c>
      <c r="Q3569">
        <v>2</v>
      </c>
      <c r="R3569" t="s">
        <v>40439</v>
      </c>
      <c r="S3569" t="s">
        <v>40588</v>
      </c>
      <c r="T3569" t="s">
        <v>42209</v>
      </c>
      <c r="U3569" t="s">
        <v>45698</v>
      </c>
      <c r="V3569" t="s">
        <v>53826</v>
      </c>
      <c r="W3569" t="s">
        <v>37340</v>
      </c>
      <c r="X3569" t="s">
        <v>40440</v>
      </c>
    </row>
    <row r="3570" spans="1:24">
      <c r="A3570">
        <f>HYPERLINK("https://www.philgeps.gov.ph/GEPSNONPILOT/Tender/SplashBidNoticeAbstractUI.aspx?menuIndex=3&amp;refID=7045621&amp;Result=3","7045621")</f>
        <v>0</v>
      </c>
      <c r="B3570" t="s">
        <v>928</v>
      </c>
      <c r="C3570" t="s">
        <v>6492</v>
      </c>
      <c r="D3570" t="s">
        <v>16210</v>
      </c>
      <c r="E3570" t="s">
        <v>19500</v>
      </c>
      <c r="F3570" t="s">
        <v>28198</v>
      </c>
      <c r="G3570" t="s">
        <v>28207</v>
      </c>
      <c r="H3570" t="s">
        <v>28215</v>
      </c>
      <c r="I3570" t="s">
        <v>5103</v>
      </c>
      <c r="J3570" t="s">
        <v>30690</v>
      </c>
      <c r="K3570" t="s">
        <v>36688</v>
      </c>
      <c r="M3570" t="s">
        <v>38414</v>
      </c>
      <c r="N3570" t="s">
        <v>40436</v>
      </c>
      <c r="O3570" t="s">
        <v>40437</v>
      </c>
      <c r="P3570">
        <v>0</v>
      </c>
      <c r="Q3570">
        <v>3</v>
      </c>
      <c r="R3570" t="s">
        <v>40439</v>
      </c>
      <c r="S3570" t="s">
        <v>40588</v>
      </c>
      <c r="T3570" t="s">
        <v>42302</v>
      </c>
      <c r="U3570" t="s">
        <v>45699</v>
      </c>
      <c r="W3570" t="s">
        <v>38414</v>
      </c>
      <c r="X3570" t="s">
        <v>40440</v>
      </c>
    </row>
    <row r="3571" spans="1:24">
      <c r="A3571">
        <f>HYPERLINK("https://www.philgeps.gov.ph/GEPSNONPILOT/Tender/SplashBidNoticeAbstractUI.aspx?menuIndex=3&amp;refID=7045601&amp;Result=3","7045601")</f>
        <v>0</v>
      </c>
      <c r="B3571" t="s">
        <v>140</v>
      </c>
      <c r="C3571" t="s">
        <v>6493</v>
      </c>
      <c r="D3571" t="s">
        <v>16196</v>
      </c>
      <c r="E3571" t="s">
        <v>19501</v>
      </c>
      <c r="F3571" t="s">
        <v>28198</v>
      </c>
      <c r="G3571" t="s">
        <v>28207</v>
      </c>
      <c r="H3571" t="s">
        <v>28215</v>
      </c>
      <c r="I3571" t="s">
        <v>28225</v>
      </c>
      <c r="J3571" t="s">
        <v>30691</v>
      </c>
      <c r="K3571" t="s">
        <v>36689</v>
      </c>
      <c r="M3571" t="s">
        <v>37114</v>
      </c>
      <c r="N3571" t="s">
        <v>40436</v>
      </c>
      <c r="O3571" t="s">
        <v>40437</v>
      </c>
      <c r="P3571">
        <v>0</v>
      </c>
      <c r="Q3571">
        <v>3</v>
      </c>
      <c r="R3571" t="s">
        <v>40439</v>
      </c>
      <c r="S3571" t="s">
        <v>40588</v>
      </c>
      <c r="T3571" t="s">
        <v>42169</v>
      </c>
      <c r="U3571" t="s">
        <v>45700</v>
      </c>
      <c r="V3571" t="s">
        <v>54151</v>
      </c>
      <c r="W3571" t="s">
        <v>37114</v>
      </c>
      <c r="X3571" t="s">
        <v>40440</v>
      </c>
    </row>
    <row r="3572" spans="1:24">
      <c r="A3572">
        <f>HYPERLINK("https://www.philgeps.gov.ph/GEPSNONPILOT/Tender/SplashBidNoticeAbstractUI.aspx?menuIndex=3&amp;refID=7045619&amp;Result=3","7045619")</f>
        <v>0</v>
      </c>
      <c r="B3572" t="s">
        <v>1354</v>
      </c>
      <c r="C3572" t="s">
        <v>6494</v>
      </c>
      <c r="D3572" t="s">
        <v>16238</v>
      </c>
      <c r="E3572" t="s">
        <v>6494</v>
      </c>
      <c r="F3572" t="s">
        <v>28198</v>
      </c>
      <c r="G3572" t="s">
        <v>28205</v>
      </c>
      <c r="H3572" t="s">
        <v>28215</v>
      </c>
      <c r="I3572" t="s">
        <v>28225</v>
      </c>
      <c r="J3572" t="s">
        <v>28529</v>
      </c>
      <c r="K3572" t="s">
        <v>36701</v>
      </c>
      <c r="M3572" t="s">
        <v>38412</v>
      </c>
      <c r="N3572" t="s">
        <v>40436</v>
      </c>
      <c r="O3572" t="s">
        <v>40437</v>
      </c>
      <c r="P3572">
        <v>0</v>
      </c>
      <c r="Q3572">
        <v>1</v>
      </c>
      <c r="R3572" t="s">
        <v>40439</v>
      </c>
      <c r="S3572" t="s">
        <v>40588</v>
      </c>
      <c r="T3572" t="s">
        <v>42105</v>
      </c>
      <c r="U3572" t="s">
        <v>45701</v>
      </c>
      <c r="W3572" t="s">
        <v>38412</v>
      </c>
      <c r="X3572" t="s">
        <v>40440</v>
      </c>
    </row>
    <row r="3573" spans="1:24">
      <c r="A3573">
        <f>HYPERLINK("https://www.philgeps.gov.ph/GEPSNONPILOT/Tender/SplashBidNoticeAbstractUI.aspx?menuIndex=3&amp;refID=7045607&amp;Result=3","7045607")</f>
        <v>0</v>
      </c>
      <c r="B3573" t="s">
        <v>1338</v>
      </c>
      <c r="C3573" t="s">
        <v>6495</v>
      </c>
      <c r="D3573" t="s">
        <v>16197</v>
      </c>
      <c r="E3573" t="s">
        <v>19502</v>
      </c>
      <c r="F3573" t="s">
        <v>28198</v>
      </c>
      <c r="G3573" t="s">
        <v>28207</v>
      </c>
      <c r="H3573" t="s">
        <v>28215</v>
      </c>
      <c r="I3573" t="s">
        <v>5100</v>
      </c>
      <c r="J3573" t="s">
        <v>30692</v>
      </c>
      <c r="K3573" t="s">
        <v>36701</v>
      </c>
      <c r="M3573" t="s">
        <v>38396</v>
      </c>
      <c r="N3573" t="s">
        <v>40436</v>
      </c>
      <c r="O3573" t="s">
        <v>40437</v>
      </c>
      <c r="P3573">
        <v>0</v>
      </c>
      <c r="Q3573">
        <v>0</v>
      </c>
      <c r="R3573" t="s">
        <v>40439</v>
      </c>
      <c r="S3573" t="s">
        <v>40588</v>
      </c>
      <c r="T3573" t="s">
        <v>42175</v>
      </c>
      <c r="U3573" t="s">
        <v>45702</v>
      </c>
      <c r="V3573" t="s">
        <v>54140</v>
      </c>
      <c r="W3573" t="s">
        <v>38396</v>
      </c>
      <c r="X3573" t="s">
        <v>40440</v>
      </c>
    </row>
    <row r="3574" spans="1:24">
      <c r="A3574">
        <f>HYPERLINK("https://www.philgeps.gov.ph/GEPSNONPILOT/Tender/SplashBidNoticeAbstractUI.aspx?menuIndex=3&amp;refID=7045618&amp;Result=3","7045618")</f>
        <v>0</v>
      </c>
      <c r="B3574" t="s">
        <v>1299</v>
      </c>
      <c r="C3574" t="s">
        <v>6496</v>
      </c>
      <c r="D3574" t="s">
        <v>16208</v>
      </c>
      <c r="E3574" t="s">
        <v>16329</v>
      </c>
      <c r="F3574" t="s">
        <v>28198</v>
      </c>
      <c r="G3574" t="s">
        <v>28206</v>
      </c>
      <c r="H3574" t="s">
        <v>28215</v>
      </c>
      <c r="I3574" t="s">
        <v>5100</v>
      </c>
      <c r="J3574" t="s">
        <v>28406</v>
      </c>
      <c r="K3574" t="s">
        <v>36691</v>
      </c>
      <c r="M3574" t="s">
        <v>38353</v>
      </c>
      <c r="N3574" t="s">
        <v>40436</v>
      </c>
      <c r="O3574" t="s">
        <v>40437</v>
      </c>
      <c r="P3574">
        <v>0</v>
      </c>
      <c r="Q3574">
        <v>0</v>
      </c>
      <c r="R3574" t="s">
        <v>40439</v>
      </c>
      <c r="S3574" t="s">
        <v>40588</v>
      </c>
      <c r="T3574" t="s">
        <v>42245</v>
      </c>
      <c r="U3574" t="s">
        <v>45703</v>
      </c>
      <c r="W3574" t="s">
        <v>38353</v>
      </c>
      <c r="X3574" t="s">
        <v>40440</v>
      </c>
    </row>
    <row r="3575" spans="1:24">
      <c r="A3575">
        <f>HYPERLINK("https://www.philgeps.gov.ph/GEPSNONPILOT/Tender/SplashBidNoticeAbstractUI.aspx?menuIndex=3&amp;refID=7045614&amp;Result=3","7045614")</f>
        <v>0</v>
      </c>
      <c r="B3575" t="s">
        <v>1353</v>
      </c>
      <c r="C3575" t="s">
        <v>6497</v>
      </c>
      <c r="D3575" t="s">
        <v>16260</v>
      </c>
      <c r="E3575" t="s">
        <v>19503</v>
      </c>
      <c r="F3575" t="s">
        <v>28198</v>
      </c>
      <c r="G3575" t="s">
        <v>28210</v>
      </c>
      <c r="H3575" t="s">
        <v>28215</v>
      </c>
      <c r="I3575" t="s">
        <v>4219</v>
      </c>
      <c r="J3575" t="s">
        <v>30693</v>
      </c>
      <c r="K3575" t="s">
        <v>36688</v>
      </c>
      <c r="M3575" t="s">
        <v>38411</v>
      </c>
      <c r="N3575" t="s">
        <v>40436</v>
      </c>
      <c r="O3575" t="s">
        <v>40437</v>
      </c>
      <c r="P3575">
        <v>0</v>
      </c>
      <c r="Q3575">
        <v>1</v>
      </c>
      <c r="R3575" t="s">
        <v>40439</v>
      </c>
      <c r="S3575" t="s">
        <v>40588</v>
      </c>
      <c r="T3575" t="s">
        <v>42373</v>
      </c>
      <c r="U3575" t="s">
        <v>42638</v>
      </c>
      <c r="W3575" t="s">
        <v>38411</v>
      </c>
      <c r="X3575" t="s">
        <v>40440</v>
      </c>
    </row>
    <row r="3576" spans="1:24">
      <c r="A3576">
        <f>HYPERLINK("https://www.philgeps.gov.ph/GEPSNONPILOT/Tender/SplashBidNoticeAbstractUI.aspx?menuIndex=3&amp;refID=7045612&amp;Result=3","7045612")</f>
        <v>0</v>
      </c>
      <c r="B3576" t="s">
        <v>430</v>
      </c>
      <c r="C3576" t="s">
        <v>6498</v>
      </c>
      <c r="D3576" t="s">
        <v>16255</v>
      </c>
      <c r="E3576" t="s">
        <v>19504</v>
      </c>
      <c r="F3576" t="s">
        <v>28198</v>
      </c>
      <c r="G3576" t="s">
        <v>28205</v>
      </c>
      <c r="H3576" t="s">
        <v>28215</v>
      </c>
      <c r="I3576" t="s">
        <v>5100</v>
      </c>
      <c r="J3576" t="s">
        <v>30694</v>
      </c>
      <c r="K3576" t="s">
        <v>36701</v>
      </c>
      <c r="M3576" t="s">
        <v>37413</v>
      </c>
      <c r="N3576" t="s">
        <v>40436</v>
      </c>
      <c r="O3576" t="s">
        <v>40437</v>
      </c>
      <c r="P3576">
        <v>0</v>
      </c>
      <c r="Q3576">
        <v>0</v>
      </c>
      <c r="R3576" t="s">
        <v>40439</v>
      </c>
      <c r="S3576" t="s">
        <v>40588</v>
      </c>
      <c r="T3576" t="s">
        <v>42188</v>
      </c>
      <c r="U3576" t="s">
        <v>43044</v>
      </c>
      <c r="W3576" t="s">
        <v>37413</v>
      </c>
      <c r="X3576" t="s">
        <v>40440</v>
      </c>
    </row>
    <row r="3577" spans="1:24">
      <c r="A3577">
        <f>HYPERLINK("https://www.philgeps.gov.ph/GEPSNONPILOT/Tender/SplashBidNoticeAbstractUI.aspx?menuIndex=3&amp;refID=7045622&amp;Result=3","7045622")</f>
        <v>0</v>
      </c>
      <c r="B3577" t="s">
        <v>320</v>
      </c>
      <c r="C3577" t="s">
        <v>6499</v>
      </c>
      <c r="D3577" t="s">
        <v>16199</v>
      </c>
      <c r="E3577" t="s">
        <v>17512</v>
      </c>
      <c r="F3577" t="s">
        <v>28198</v>
      </c>
      <c r="G3577" t="s">
        <v>28207</v>
      </c>
      <c r="H3577" t="s">
        <v>28214</v>
      </c>
      <c r="I3577" t="s">
        <v>3797</v>
      </c>
      <c r="J3577" t="s">
        <v>28352</v>
      </c>
      <c r="K3577" t="s">
        <v>36689</v>
      </c>
      <c r="M3577" t="s">
        <v>37298</v>
      </c>
      <c r="N3577" t="s">
        <v>40436</v>
      </c>
      <c r="O3577" t="s">
        <v>40437</v>
      </c>
      <c r="P3577">
        <v>0</v>
      </c>
      <c r="Q3577">
        <v>0</v>
      </c>
      <c r="R3577" t="s">
        <v>40439</v>
      </c>
      <c r="S3577" t="s">
        <v>40588</v>
      </c>
      <c r="T3577" t="s">
        <v>42158</v>
      </c>
      <c r="U3577" t="s">
        <v>45704</v>
      </c>
      <c r="W3577" t="s">
        <v>37298</v>
      </c>
      <c r="X3577" t="s">
        <v>40440</v>
      </c>
    </row>
    <row r="3578" spans="1:24">
      <c r="A3578">
        <f>HYPERLINK("https://www.philgeps.gov.ph/GEPSNONPILOT/Tender/SplashBidNoticeAbstractUI.aspx?menuIndex=3&amp;refID=7045616&amp;Result=3","7045616")</f>
        <v>0</v>
      </c>
      <c r="B3578" t="s">
        <v>96</v>
      </c>
      <c r="C3578" t="s">
        <v>6500</v>
      </c>
      <c r="D3578" t="s">
        <v>16225</v>
      </c>
      <c r="E3578" t="s">
        <v>19505</v>
      </c>
      <c r="F3578" t="s">
        <v>28198</v>
      </c>
      <c r="G3578" t="s">
        <v>28209</v>
      </c>
      <c r="H3578" t="s">
        <v>28215</v>
      </c>
      <c r="I3578" t="s">
        <v>28238</v>
      </c>
      <c r="J3578" t="s">
        <v>28589</v>
      </c>
      <c r="K3578" t="s">
        <v>36715</v>
      </c>
      <c r="M3578" t="s">
        <v>37068</v>
      </c>
      <c r="N3578" t="s">
        <v>40436</v>
      </c>
      <c r="O3578" t="s">
        <v>40437</v>
      </c>
      <c r="P3578">
        <v>0</v>
      </c>
      <c r="Q3578">
        <v>0</v>
      </c>
      <c r="R3578" t="s">
        <v>40439</v>
      </c>
      <c r="S3578" t="s">
        <v>40588</v>
      </c>
      <c r="T3578" t="s">
        <v>42218</v>
      </c>
      <c r="U3578" t="s">
        <v>45664</v>
      </c>
      <c r="W3578" t="s">
        <v>37068</v>
      </c>
      <c r="X3578" t="s">
        <v>40440</v>
      </c>
    </row>
    <row r="3579" spans="1:24">
      <c r="A3579">
        <f>HYPERLINK("https://www.philgeps.gov.ph/GEPSNONPILOT/Tender/SplashBidNoticeAbstractUI.aspx?menuIndex=3&amp;refID=7045610&amp;Result=3","7045610")</f>
        <v>0</v>
      </c>
      <c r="B3579" t="s">
        <v>935</v>
      </c>
      <c r="C3579" t="s">
        <v>6501</v>
      </c>
      <c r="D3579" t="s">
        <v>16210</v>
      </c>
      <c r="E3579" t="s">
        <v>19506</v>
      </c>
      <c r="F3579" t="s">
        <v>28198</v>
      </c>
      <c r="G3579" t="s">
        <v>28205</v>
      </c>
      <c r="H3579" t="s">
        <v>28215</v>
      </c>
      <c r="I3579" t="s">
        <v>28230</v>
      </c>
      <c r="J3579" t="s">
        <v>28899</v>
      </c>
      <c r="K3579" t="s">
        <v>36689</v>
      </c>
      <c r="M3579" t="s">
        <v>38415</v>
      </c>
      <c r="N3579" t="s">
        <v>40436</v>
      </c>
      <c r="O3579" t="s">
        <v>40437</v>
      </c>
      <c r="P3579">
        <v>0</v>
      </c>
      <c r="Q3579">
        <v>6</v>
      </c>
      <c r="R3579" t="s">
        <v>40439</v>
      </c>
      <c r="S3579" t="s">
        <v>40588</v>
      </c>
      <c r="T3579" t="s">
        <v>42122</v>
      </c>
      <c r="U3579" t="s">
        <v>45705</v>
      </c>
      <c r="W3579" t="s">
        <v>38415</v>
      </c>
      <c r="X3579" t="s">
        <v>40440</v>
      </c>
    </row>
    <row r="3580" spans="1:24">
      <c r="A3580">
        <f>HYPERLINK("https://www.philgeps.gov.ph/GEPSNONPILOT/Tender/SplashBidNoticeAbstractUI.aspx?menuIndex=3&amp;refID=7045625&amp;Result=3","7045625")</f>
        <v>0</v>
      </c>
      <c r="B3580" t="s">
        <v>1099</v>
      </c>
      <c r="C3580" t="s">
        <v>6502</v>
      </c>
      <c r="D3580" t="s">
        <v>16235</v>
      </c>
      <c r="E3580" t="s">
        <v>19321</v>
      </c>
      <c r="F3580" t="s">
        <v>28198</v>
      </c>
      <c r="G3580" t="s">
        <v>28207</v>
      </c>
      <c r="H3580" t="s">
        <v>28215</v>
      </c>
      <c r="I3580" t="s">
        <v>8888</v>
      </c>
      <c r="J3580" t="s">
        <v>29093</v>
      </c>
      <c r="K3580" t="s">
        <v>36689</v>
      </c>
      <c r="M3580" t="s">
        <v>38135</v>
      </c>
      <c r="N3580" t="s">
        <v>40436</v>
      </c>
      <c r="O3580" t="s">
        <v>40437</v>
      </c>
      <c r="P3580">
        <v>0</v>
      </c>
      <c r="Q3580">
        <v>3</v>
      </c>
      <c r="R3580" t="s">
        <v>40439</v>
      </c>
      <c r="S3580" t="s">
        <v>40588</v>
      </c>
      <c r="T3580" t="s">
        <v>42326</v>
      </c>
      <c r="U3580" t="s">
        <v>45706</v>
      </c>
      <c r="W3580" t="s">
        <v>38135</v>
      </c>
      <c r="X3580" t="s">
        <v>40440</v>
      </c>
    </row>
    <row r="3581" spans="1:24">
      <c r="A3581">
        <f>HYPERLINK("https://www.philgeps.gov.ph/GEPSNONPILOT/Tender/SplashBidNoticeAbstractUI.aspx?menuIndex=3&amp;refID=7045615&amp;Result=3","7045615")</f>
        <v>0</v>
      </c>
      <c r="B3581" t="s">
        <v>719</v>
      </c>
      <c r="C3581" t="s">
        <v>6503</v>
      </c>
      <c r="D3581" t="s">
        <v>16201</v>
      </c>
      <c r="E3581" t="s">
        <v>19507</v>
      </c>
      <c r="F3581" t="s">
        <v>28198</v>
      </c>
      <c r="G3581" t="s">
        <v>28206</v>
      </c>
      <c r="H3581" t="s">
        <v>28215</v>
      </c>
      <c r="I3581" t="s">
        <v>5100</v>
      </c>
      <c r="J3581" t="s">
        <v>30695</v>
      </c>
      <c r="K3581" t="s">
        <v>36701</v>
      </c>
      <c r="M3581" t="s">
        <v>37720</v>
      </c>
      <c r="N3581" t="s">
        <v>40436</v>
      </c>
      <c r="O3581" t="s">
        <v>40437</v>
      </c>
      <c r="P3581">
        <v>0</v>
      </c>
      <c r="Q3581">
        <v>0</v>
      </c>
      <c r="R3581" t="s">
        <v>40439</v>
      </c>
      <c r="S3581" t="s">
        <v>40588</v>
      </c>
      <c r="T3581" t="s">
        <v>42277</v>
      </c>
      <c r="U3581" t="s">
        <v>45707</v>
      </c>
      <c r="W3581" t="s">
        <v>37720</v>
      </c>
      <c r="X3581" t="s">
        <v>40440</v>
      </c>
    </row>
    <row r="3582" spans="1:24">
      <c r="A3582">
        <f>HYPERLINK("https://www.philgeps.gov.ph/GEPSNONPILOT/Tender/SplashBidNoticeAbstractUI.aspx?menuIndex=3&amp;refID=7045620&amp;Result=3","7045620")</f>
        <v>0</v>
      </c>
      <c r="B3582" t="s">
        <v>1356</v>
      </c>
      <c r="C3582" t="s">
        <v>6504</v>
      </c>
      <c r="D3582" t="s">
        <v>16187</v>
      </c>
      <c r="E3582" t="s">
        <v>16522</v>
      </c>
      <c r="F3582" t="s">
        <v>28198</v>
      </c>
      <c r="G3582" t="s">
        <v>28210</v>
      </c>
      <c r="H3582" t="s">
        <v>28215</v>
      </c>
      <c r="I3582" t="s">
        <v>4168</v>
      </c>
      <c r="J3582" t="s">
        <v>28671</v>
      </c>
      <c r="K3582" t="s">
        <v>36689</v>
      </c>
      <c r="M3582" t="s">
        <v>38416</v>
      </c>
      <c r="N3582" t="s">
        <v>40436</v>
      </c>
      <c r="O3582" t="s">
        <v>40437</v>
      </c>
      <c r="P3582">
        <v>0</v>
      </c>
      <c r="Q3582">
        <v>0</v>
      </c>
      <c r="R3582" t="s">
        <v>40439</v>
      </c>
      <c r="S3582" t="s">
        <v>40588</v>
      </c>
      <c r="T3582" t="s">
        <v>42157</v>
      </c>
      <c r="U3582" t="s">
        <v>45708</v>
      </c>
      <c r="W3582" t="s">
        <v>38416</v>
      </c>
      <c r="X3582" t="s">
        <v>40440</v>
      </c>
    </row>
    <row r="3583" spans="1:24">
      <c r="A3583">
        <f>HYPERLINK("https://www.philgeps.gov.ph/GEPSNONPILOT/Tender/SplashBidNoticeAbstractUI.aspx?menuIndex=3&amp;refID=7045624&amp;Result=3","7045624")</f>
        <v>0</v>
      </c>
      <c r="B3583" t="s">
        <v>1241</v>
      </c>
      <c r="C3583" t="s">
        <v>6505</v>
      </c>
      <c r="D3583" t="s">
        <v>16216</v>
      </c>
      <c r="E3583" t="s">
        <v>19508</v>
      </c>
      <c r="F3583" t="s">
        <v>28198</v>
      </c>
      <c r="G3583" t="s">
        <v>28206</v>
      </c>
      <c r="H3583" t="s">
        <v>28215</v>
      </c>
      <c r="I3583" t="s">
        <v>8888</v>
      </c>
      <c r="J3583" t="s">
        <v>30696</v>
      </c>
      <c r="K3583" t="s">
        <v>36689</v>
      </c>
      <c r="M3583" t="s">
        <v>38290</v>
      </c>
      <c r="N3583" t="s">
        <v>40436</v>
      </c>
      <c r="O3583" t="s">
        <v>40437</v>
      </c>
      <c r="P3583">
        <v>0</v>
      </c>
      <c r="Q3583">
        <v>2</v>
      </c>
      <c r="R3583" t="s">
        <v>40439</v>
      </c>
      <c r="S3583" t="s">
        <v>40588</v>
      </c>
      <c r="T3583" t="s">
        <v>42303</v>
      </c>
      <c r="U3583" t="s">
        <v>45709</v>
      </c>
      <c r="W3583" t="s">
        <v>38290</v>
      </c>
      <c r="X3583" t="s">
        <v>40440</v>
      </c>
    </row>
    <row r="3584" spans="1:24">
      <c r="A3584">
        <f>HYPERLINK("https://www.philgeps.gov.ph/GEPSNONPILOT/Tender/SplashBidNoticeAbstractUI.aspx?menuIndex=3&amp;refID=7045651&amp;Result=3","7045651")</f>
        <v>0</v>
      </c>
      <c r="B3584" t="s">
        <v>719</v>
      </c>
      <c r="C3584" t="s">
        <v>6506</v>
      </c>
      <c r="D3584" t="s">
        <v>16201</v>
      </c>
      <c r="E3584" t="s">
        <v>19509</v>
      </c>
      <c r="F3584" t="s">
        <v>28198</v>
      </c>
      <c r="G3584" t="s">
        <v>28206</v>
      </c>
      <c r="H3584" t="s">
        <v>28215</v>
      </c>
      <c r="I3584" t="s">
        <v>5100</v>
      </c>
      <c r="J3584" t="s">
        <v>30697</v>
      </c>
      <c r="K3584" t="s">
        <v>36701</v>
      </c>
      <c r="M3584" t="s">
        <v>37720</v>
      </c>
      <c r="N3584" t="s">
        <v>40436</v>
      </c>
      <c r="O3584" t="s">
        <v>40437</v>
      </c>
      <c r="P3584">
        <v>0</v>
      </c>
      <c r="Q3584">
        <v>0</v>
      </c>
      <c r="R3584" t="s">
        <v>40439</v>
      </c>
      <c r="S3584" t="s">
        <v>40588</v>
      </c>
      <c r="T3584" t="s">
        <v>42277</v>
      </c>
      <c r="U3584" t="s">
        <v>45710</v>
      </c>
      <c r="W3584" t="s">
        <v>37720</v>
      </c>
      <c r="X3584" t="s">
        <v>40440</v>
      </c>
    </row>
    <row r="3585" spans="1:24">
      <c r="A3585">
        <f>HYPERLINK("https://www.philgeps.gov.ph/GEPSNONPILOT/Tender/SplashBidNoticeAbstractUI.aspx?menuIndex=3&amp;refID=7045626&amp;Result=3","7045626")</f>
        <v>0</v>
      </c>
      <c r="B3585" t="s">
        <v>1357</v>
      </c>
      <c r="C3585" t="s">
        <v>6507</v>
      </c>
      <c r="D3585" t="s">
        <v>16265</v>
      </c>
      <c r="E3585" t="s">
        <v>19510</v>
      </c>
      <c r="F3585" t="s">
        <v>28198</v>
      </c>
      <c r="G3585" t="s">
        <v>28207</v>
      </c>
      <c r="H3585" t="s">
        <v>28215</v>
      </c>
      <c r="I3585" t="s">
        <v>28228</v>
      </c>
      <c r="J3585" t="s">
        <v>30698</v>
      </c>
      <c r="K3585" t="s">
        <v>36706</v>
      </c>
      <c r="L3585" t="s">
        <v>1357</v>
      </c>
      <c r="M3585" t="s">
        <v>38417</v>
      </c>
      <c r="N3585" t="s">
        <v>40436</v>
      </c>
      <c r="O3585" t="s">
        <v>40437</v>
      </c>
      <c r="P3585">
        <v>0</v>
      </c>
      <c r="Q3585">
        <v>0</v>
      </c>
      <c r="R3585" t="s">
        <v>40439</v>
      </c>
      <c r="S3585" t="s">
        <v>40588</v>
      </c>
      <c r="T3585" t="s">
        <v>42158</v>
      </c>
      <c r="U3585" t="s">
        <v>45711</v>
      </c>
      <c r="W3585" t="s">
        <v>38417</v>
      </c>
      <c r="X3585" t="s">
        <v>40440</v>
      </c>
    </row>
    <row r="3586" spans="1:24">
      <c r="A3586">
        <f>HYPERLINK("https://www.philgeps.gov.ph/GEPSNONPILOT/Tender/SplashBidNoticeAbstractUI.aspx?menuIndex=3&amp;refID=7045647&amp;Result=3","7045647")</f>
        <v>0</v>
      </c>
      <c r="B3586" t="s">
        <v>1358</v>
      </c>
      <c r="C3586" t="s">
        <v>6508</v>
      </c>
      <c r="D3586" t="s">
        <v>16239</v>
      </c>
      <c r="E3586" t="s">
        <v>16909</v>
      </c>
      <c r="F3586" t="s">
        <v>28198</v>
      </c>
      <c r="G3586" t="s">
        <v>28205</v>
      </c>
      <c r="H3586" t="s">
        <v>28215</v>
      </c>
      <c r="I3586" t="s">
        <v>28238</v>
      </c>
      <c r="J3586" t="s">
        <v>29705</v>
      </c>
      <c r="K3586" t="s">
        <v>36698</v>
      </c>
      <c r="M3586" t="s">
        <v>38418</v>
      </c>
      <c r="N3586" t="s">
        <v>40436</v>
      </c>
      <c r="O3586" t="s">
        <v>40437</v>
      </c>
      <c r="P3586">
        <v>0</v>
      </c>
      <c r="Q3586">
        <v>1</v>
      </c>
      <c r="R3586" t="s">
        <v>40439</v>
      </c>
      <c r="S3586" t="s">
        <v>40588</v>
      </c>
      <c r="T3586" t="s">
        <v>42133</v>
      </c>
      <c r="U3586" t="s">
        <v>45712</v>
      </c>
      <c r="W3586" t="s">
        <v>38418</v>
      </c>
      <c r="X3586" t="s">
        <v>40440</v>
      </c>
    </row>
    <row r="3587" spans="1:24">
      <c r="A3587">
        <f>HYPERLINK("https://www.philgeps.gov.ph/GEPSNONPILOT/Tender/SplashBidNoticeAbstractUI.aspx?menuIndex=3&amp;refID=7045623&amp;Result=3","7045623")</f>
        <v>0</v>
      </c>
      <c r="B3587" t="s">
        <v>1359</v>
      </c>
      <c r="C3587" t="s">
        <v>6509</v>
      </c>
      <c r="D3587" t="s">
        <v>16187</v>
      </c>
      <c r="E3587" t="s">
        <v>19511</v>
      </c>
      <c r="F3587" t="s">
        <v>28198</v>
      </c>
      <c r="G3587" t="s">
        <v>28207</v>
      </c>
      <c r="H3587" t="s">
        <v>28215</v>
      </c>
      <c r="I3587" t="s">
        <v>28258</v>
      </c>
      <c r="J3587" t="s">
        <v>30305</v>
      </c>
      <c r="K3587" t="s">
        <v>36689</v>
      </c>
      <c r="M3587" t="s">
        <v>38419</v>
      </c>
      <c r="N3587" t="s">
        <v>40436</v>
      </c>
      <c r="O3587" t="s">
        <v>40437</v>
      </c>
      <c r="P3587">
        <v>0</v>
      </c>
      <c r="Q3587">
        <v>11</v>
      </c>
      <c r="R3587" t="s">
        <v>40439</v>
      </c>
      <c r="S3587" t="s">
        <v>40588</v>
      </c>
      <c r="T3587" t="s">
        <v>42157</v>
      </c>
      <c r="U3587" t="s">
        <v>45713</v>
      </c>
      <c r="W3587" t="s">
        <v>38419</v>
      </c>
      <c r="X3587" t="s">
        <v>40440</v>
      </c>
    </row>
    <row r="3588" spans="1:24">
      <c r="A3588">
        <f>HYPERLINK("https://www.philgeps.gov.ph/GEPSNONPILOT/Tender/SplashBidNoticeAbstractUI.aspx?menuIndex=3&amp;refID=7045645&amp;Result=3","7045645")</f>
        <v>0</v>
      </c>
      <c r="B3588" t="s">
        <v>1330</v>
      </c>
      <c r="C3588" t="s">
        <v>6510</v>
      </c>
      <c r="D3588" t="s">
        <v>16262</v>
      </c>
      <c r="E3588" t="s">
        <v>19512</v>
      </c>
      <c r="F3588" t="s">
        <v>28198</v>
      </c>
      <c r="G3588" t="s">
        <v>28207</v>
      </c>
      <c r="H3588" t="s">
        <v>28215</v>
      </c>
      <c r="I3588" t="s">
        <v>28258</v>
      </c>
      <c r="J3588" t="s">
        <v>28388</v>
      </c>
      <c r="K3588" t="s">
        <v>36706</v>
      </c>
      <c r="M3588" t="s">
        <v>38388</v>
      </c>
      <c r="N3588" t="s">
        <v>40436</v>
      </c>
      <c r="O3588" t="s">
        <v>40437</v>
      </c>
      <c r="P3588">
        <v>0</v>
      </c>
      <c r="Q3588">
        <v>1</v>
      </c>
      <c r="R3588" t="s">
        <v>40439</v>
      </c>
      <c r="S3588" t="s">
        <v>40588</v>
      </c>
      <c r="T3588" t="s">
        <v>42369</v>
      </c>
      <c r="U3588" t="s">
        <v>45632</v>
      </c>
      <c r="W3588" t="s">
        <v>38388</v>
      </c>
      <c r="X3588" t="s">
        <v>40440</v>
      </c>
    </row>
    <row r="3589" spans="1:24">
      <c r="A3589">
        <f>HYPERLINK("https://www.philgeps.gov.ph/GEPSNONPILOT/Tender/SplashBidNoticeAbstractUI.aspx?menuIndex=3&amp;refID=7045617&amp;Result=3","7045617")</f>
        <v>0</v>
      </c>
      <c r="B3589" t="s">
        <v>639</v>
      </c>
      <c r="C3589" t="s">
        <v>6511</v>
      </c>
      <c r="D3589" t="s">
        <v>16190</v>
      </c>
      <c r="E3589" t="s">
        <v>19513</v>
      </c>
      <c r="F3589" t="s">
        <v>28198</v>
      </c>
      <c r="G3589" t="s">
        <v>28207</v>
      </c>
      <c r="H3589" t="s">
        <v>28215</v>
      </c>
      <c r="I3589" t="s">
        <v>28232</v>
      </c>
      <c r="J3589" t="s">
        <v>30699</v>
      </c>
      <c r="K3589" t="s">
        <v>36698</v>
      </c>
      <c r="M3589" t="s">
        <v>37632</v>
      </c>
      <c r="N3589" t="s">
        <v>40436</v>
      </c>
      <c r="O3589" t="s">
        <v>40437</v>
      </c>
      <c r="P3589">
        <v>0</v>
      </c>
      <c r="Q3589">
        <v>1</v>
      </c>
      <c r="R3589" t="s">
        <v>40439</v>
      </c>
      <c r="S3589" t="s">
        <v>40588</v>
      </c>
      <c r="T3589" t="s">
        <v>42119</v>
      </c>
      <c r="U3589" t="s">
        <v>43761</v>
      </c>
      <c r="V3589" t="s">
        <v>54152</v>
      </c>
      <c r="W3589" t="s">
        <v>37632</v>
      </c>
      <c r="X3589" t="s">
        <v>40440</v>
      </c>
    </row>
    <row r="3590" spans="1:24">
      <c r="A3590">
        <f>HYPERLINK("https://www.philgeps.gov.ph/GEPSNONPILOT/Tender/SplashBidNoticeAbstractUI.aspx?menuIndex=3&amp;refID=7045649&amp;Result=3","7045649")</f>
        <v>0</v>
      </c>
      <c r="B3590" t="s">
        <v>199</v>
      </c>
      <c r="C3590" t="s">
        <v>6512</v>
      </c>
      <c r="E3590" t="s">
        <v>19514</v>
      </c>
      <c r="F3590" t="s">
        <v>28198</v>
      </c>
      <c r="G3590" t="s">
        <v>28207</v>
      </c>
      <c r="H3590" t="s">
        <v>28215</v>
      </c>
      <c r="I3590" t="s">
        <v>28278</v>
      </c>
      <c r="J3590" t="s">
        <v>30700</v>
      </c>
      <c r="K3590" t="s">
        <v>36689</v>
      </c>
      <c r="M3590" t="s">
        <v>37174</v>
      </c>
      <c r="N3590" t="s">
        <v>40436</v>
      </c>
      <c r="O3590" t="s">
        <v>40437</v>
      </c>
      <c r="P3590">
        <v>0</v>
      </c>
      <c r="Q3590">
        <v>0</v>
      </c>
      <c r="R3590" t="s">
        <v>40439</v>
      </c>
      <c r="S3590" t="s">
        <v>40588</v>
      </c>
      <c r="T3590" t="s">
        <v>42161</v>
      </c>
      <c r="U3590" t="s">
        <v>45714</v>
      </c>
      <c r="W3590" t="s">
        <v>37174</v>
      </c>
      <c r="X3590" t="s">
        <v>40440</v>
      </c>
    </row>
    <row r="3591" spans="1:24">
      <c r="A3591">
        <f>HYPERLINK("https://www.philgeps.gov.ph/GEPSNONPILOT/Tender/SplashBidNoticeAbstractUI.aspx?menuIndex=3&amp;refID=7045640&amp;Result=3","7045640")</f>
        <v>0</v>
      </c>
      <c r="B3591" t="s">
        <v>1322</v>
      </c>
      <c r="C3591" t="s">
        <v>6513</v>
      </c>
      <c r="D3591" t="s">
        <v>16223</v>
      </c>
      <c r="E3591" t="s">
        <v>19515</v>
      </c>
      <c r="F3591" t="s">
        <v>28198</v>
      </c>
      <c r="G3591" t="s">
        <v>28207</v>
      </c>
      <c r="H3591" t="s">
        <v>28215</v>
      </c>
      <c r="I3591" t="s">
        <v>28222</v>
      </c>
      <c r="J3591" t="s">
        <v>28373</v>
      </c>
      <c r="K3591" t="s">
        <v>36706</v>
      </c>
      <c r="M3591" t="s">
        <v>38380</v>
      </c>
      <c r="N3591" t="s">
        <v>40436</v>
      </c>
      <c r="O3591" t="s">
        <v>40437</v>
      </c>
      <c r="P3591">
        <v>0</v>
      </c>
      <c r="Q3591">
        <v>0</v>
      </c>
      <c r="R3591" t="s">
        <v>40439</v>
      </c>
      <c r="S3591" t="s">
        <v>40588</v>
      </c>
      <c r="T3591" t="s">
        <v>42169</v>
      </c>
      <c r="U3591" t="s">
        <v>45715</v>
      </c>
      <c r="W3591" t="s">
        <v>38380</v>
      </c>
      <c r="X3591" t="s">
        <v>40440</v>
      </c>
    </row>
    <row r="3592" spans="1:24">
      <c r="A3592">
        <f>HYPERLINK("https://www.philgeps.gov.ph/GEPSNONPILOT/Tender/SplashBidNoticeAbstractUI.aspx?menuIndex=3&amp;refID=7045643&amp;Result=3","7045643")</f>
        <v>0</v>
      </c>
      <c r="B3592" t="s">
        <v>1288</v>
      </c>
      <c r="C3592" t="s">
        <v>6514</v>
      </c>
      <c r="D3592" t="s">
        <v>16227</v>
      </c>
      <c r="E3592" t="s">
        <v>19516</v>
      </c>
      <c r="F3592" t="s">
        <v>28200</v>
      </c>
      <c r="G3592" t="s">
        <v>28206</v>
      </c>
      <c r="H3592" t="s">
        <v>28217</v>
      </c>
      <c r="I3592" t="s">
        <v>28224</v>
      </c>
      <c r="J3592" t="s">
        <v>30701</v>
      </c>
      <c r="K3592" t="s">
        <v>36688</v>
      </c>
      <c r="M3592" t="s">
        <v>38341</v>
      </c>
      <c r="N3592" t="s">
        <v>40436</v>
      </c>
      <c r="O3592" t="s">
        <v>40437</v>
      </c>
      <c r="P3592">
        <v>0</v>
      </c>
      <c r="Q3592">
        <v>1</v>
      </c>
      <c r="R3592" t="s">
        <v>40439</v>
      </c>
      <c r="S3592" t="s">
        <v>40588</v>
      </c>
      <c r="T3592" t="s">
        <v>42302</v>
      </c>
      <c r="U3592" t="s">
        <v>45716</v>
      </c>
      <c r="W3592" t="s">
        <v>38341</v>
      </c>
      <c r="X3592" t="s">
        <v>40440</v>
      </c>
    </row>
    <row r="3593" spans="1:24">
      <c r="A3593">
        <f>HYPERLINK("https://www.philgeps.gov.ph/GEPSNONPILOT/Tender/SplashBidNoticeAbstractUI.aspx?menuIndex=3&amp;refID=7045646&amp;Result=3","7045646")</f>
        <v>0</v>
      </c>
      <c r="B3593" t="s">
        <v>1339</v>
      </c>
      <c r="C3593" t="s">
        <v>6515</v>
      </c>
      <c r="D3593" t="s">
        <v>16210</v>
      </c>
      <c r="E3593" t="s">
        <v>19517</v>
      </c>
      <c r="F3593" t="s">
        <v>28198</v>
      </c>
      <c r="G3593" t="s">
        <v>28206</v>
      </c>
      <c r="H3593" t="s">
        <v>28215</v>
      </c>
      <c r="I3593" t="s">
        <v>8888</v>
      </c>
      <c r="J3593" t="s">
        <v>28398</v>
      </c>
      <c r="K3593" t="s">
        <v>36689</v>
      </c>
      <c r="M3593" t="s">
        <v>38397</v>
      </c>
      <c r="N3593" t="s">
        <v>40436</v>
      </c>
      <c r="O3593" t="s">
        <v>40437</v>
      </c>
      <c r="P3593">
        <v>0</v>
      </c>
      <c r="Q3593">
        <v>4</v>
      </c>
      <c r="R3593" t="s">
        <v>40439</v>
      </c>
      <c r="S3593" t="s">
        <v>40588</v>
      </c>
      <c r="T3593" t="s">
        <v>42216</v>
      </c>
      <c r="U3593" t="s">
        <v>45717</v>
      </c>
      <c r="W3593" t="s">
        <v>38397</v>
      </c>
      <c r="X3593" t="s">
        <v>40440</v>
      </c>
    </row>
    <row r="3594" spans="1:24">
      <c r="A3594">
        <f>HYPERLINK("https://www.philgeps.gov.ph/GEPSNONPILOT/Tender/SplashBidNoticeAbstractUI.aspx?menuIndex=3&amp;refID=7045652&amp;Result=3","7045652")</f>
        <v>0</v>
      </c>
      <c r="B3594" t="s">
        <v>1360</v>
      </c>
      <c r="C3594" t="s">
        <v>6516</v>
      </c>
      <c r="D3594" t="s">
        <v>16189</v>
      </c>
      <c r="E3594" t="s">
        <v>19518</v>
      </c>
      <c r="F3594" t="s">
        <v>28198</v>
      </c>
      <c r="G3594" t="s">
        <v>28206</v>
      </c>
      <c r="H3594" t="s">
        <v>28215</v>
      </c>
      <c r="I3594" t="s">
        <v>5103</v>
      </c>
      <c r="J3594" t="s">
        <v>30702</v>
      </c>
      <c r="K3594" t="s">
        <v>36691</v>
      </c>
      <c r="M3594" t="s">
        <v>38420</v>
      </c>
      <c r="N3594" t="s">
        <v>40436</v>
      </c>
      <c r="O3594" t="s">
        <v>40437</v>
      </c>
      <c r="P3594">
        <v>0</v>
      </c>
      <c r="Q3594">
        <v>0</v>
      </c>
      <c r="R3594" t="s">
        <v>40439</v>
      </c>
      <c r="S3594" t="s">
        <v>40588</v>
      </c>
      <c r="T3594" t="s">
        <v>42233</v>
      </c>
      <c r="U3594" t="s">
        <v>45718</v>
      </c>
      <c r="W3594" t="s">
        <v>38420</v>
      </c>
      <c r="X3594" t="s">
        <v>40440</v>
      </c>
    </row>
    <row r="3595" spans="1:24">
      <c r="A3595">
        <f>HYPERLINK("https://www.philgeps.gov.ph/GEPSNONPILOT/Tender/SplashBidNoticeAbstractUI.aspx?menuIndex=3&amp;refID=7045639&amp;Result=3","7045639")</f>
        <v>0</v>
      </c>
      <c r="B3595" t="s">
        <v>1348</v>
      </c>
      <c r="C3595" t="s">
        <v>6517</v>
      </c>
      <c r="D3595" t="s">
        <v>16217</v>
      </c>
      <c r="E3595" t="s">
        <v>19519</v>
      </c>
      <c r="F3595" t="s">
        <v>28198</v>
      </c>
      <c r="G3595" t="s">
        <v>28207</v>
      </c>
      <c r="H3595" t="s">
        <v>28217</v>
      </c>
      <c r="I3595" t="s">
        <v>28235</v>
      </c>
      <c r="J3595" t="s">
        <v>30703</v>
      </c>
      <c r="K3595" t="s">
        <v>36715</v>
      </c>
      <c r="M3595" t="s">
        <v>38406</v>
      </c>
      <c r="N3595" t="s">
        <v>40436</v>
      </c>
      <c r="O3595" t="s">
        <v>40437</v>
      </c>
      <c r="P3595">
        <v>0</v>
      </c>
      <c r="Q3595">
        <v>0</v>
      </c>
      <c r="R3595" t="s">
        <v>40439</v>
      </c>
      <c r="S3595" t="s">
        <v>40588</v>
      </c>
      <c r="T3595" t="s">
        <v>42131</v>
      </c>
      <c r="U3595" t="s">
        <v>45719</v>
      </c>
      <c r="W3595" t="s">
        <v>38406</v>
      </c>
      <c r="X3595" t="s">
        <v>40440</v>
      </c>
    </row>
    <row r="3596" spans="1:24">
      <c r="A3596">
        <f>HYPERLINK("https://www.philgeps.gov.ph/GEPSNONPILOT/Tender/SplashBidNoticeAbstractUI.aspx?menuIndex=3&amp;refID=7045641&amp;Result=3","7045641")</f>
        <v>0</v>
      </c>
      <c r="B3596" t="s">
        <v>695</v>
      </c>
      <c r="C3596" t="s">
        <v>6518</v>
      </c>
      <c r="D3596" t="s">
        <v>16204</v>
      </c>
      <c r="E3596" t="s">
        <v>19520</v>
      </c>
      <c r="F3596" t="s">
        <v>28198</v>
      </c>
      <c r="G3596" t="s">
        <v>28207</v>
      </c>
      <c r="H3596" t="s">
        <v>28214</v>
      </c>
      <c r="I3596" t="s">
        <v>3797</v>
      </c>
      <c r="J3596" t="s">
        <v>30704</v>
      </c>
      <c r="K3596" t="s">
        <v>36689</v>
      </c>
      <c r="M3596" t="s">
        <v>37695</v>
      </c>
      <c r="N3596" t="s">
        <v>40436</v>
      </c>
      <c r="O3596" t="s">
        <v>40437</v>
      </c>
      <c r="P3596">
        <v>0</v>
      </c>
      <c r="Q3596">
        <v>14</v>
      </c>
      <c r="R3596" t="s">
        <v>40439</v>
      </c>
      <c r="S3596" t="s">
        <v>40588</v>
      </c>
      <c r="T3596" t="s">
        <v>42218</v>
      </c>
      <c r="U3596" t="s">
        <v>45720</v>
      </c>
      <c r="W3596" t="s">
        <v>37695</v>
      </c>
      <c r="X3596" t="s">
        <v>40440</v>
      </c>
    </row>
    <row r="3597" spans="1:24">
      <c r="A3597">
        <f>HYPERLINK("https://www.philgeps.gov.ph/GEPSNONPILOT/Tender/SplashBidNoticeAbstractUI.aspx?menuIndex=3&amp;refID=7045632&amp;Result=3","7045632")</f>
        <v>0</v>
      </c>
      <c r="B3597" t="s">
        <v>1361</v>
      </c>
      <c r="C3597" t="s">
        <v>6519</v>
      </c>
      <c r="D3597" t="s">
        <v>16203</v>
      </c>
      <c r="E3597" t="s">
        <v>19521</v>
      </c>
      <c r="F3597" t="s">
        <v>28198</v>
      </c>
      <c r="G3597" t="s">
        <v>28207</v>
      </c>
      <c r="H3597" t="s">
        <v>28215</v>
      </c>
      <c r="I3597" t="s">
        <v>4219</v>
      </c>
      <c r="J3597" t="s">
        <v>30705</v>
      </c>
      <c r="K3597" t="s">
        <v>36693</v>
      </c>
      <c r="M3597" t="s">
        <v>38421</v>
      </c>
      <c r="N3597" t="s">
        <v>40436</v>
      </c>
      <c r="O3597" t="s">
        <v>40437</v>
      </c>
      <c r="P3597">
        <v>0</v>
      </c>
      <c r="Q3597">
        <v>1</v>
      </c>
      <c r="R3597" t="s">
        <v>40439</v>
      </c>
      <c r="S3597" t="s">
        <v>40588</v>
      </c>
      <c r="T3597" t="s">
        <v>42144</v>
      </c>
      <c r="U3597" t="s">
        <v>45721</v>
      </c>
      <c r="W3597" t="s">
        <v>38421</v>
      </c>
      <c r="X3597" t="s">
        <v>40440</v>
      </c>
    </row>
    <row r="3598" spans="1:24">
      <c r="A3598">
        <f>HYPERLINK("https://www.philgeps.gov.ph/GEPSNONPILOT/Tender/SplashBidNoticeAbstractUI.aspx?menuIndex=3&amp;refID=7045627&amp;Result=3","7045627")</f>
        <v>0</v>
      </c>
      <c r="B3598" t="s">
        <v>1339</v>
      </c>
      <c r="C3598" t="s">
        <v>6520</v>
      </c>
      <c r="E3598" t="s">
        <v>19522</v>
      </c>
      <c r="F3598" t="s">
        <v>28198</v>
      </c>
      <c r="G3598" t="s">
        <v>28206</v>
      </c>
      <c r="H3598" t="s">
        <v>28215</v>
      </c>
      <c r="I3598" t="s">
        <v>28265</v>
      </c>
      <c r="J3598" t="s">
        <v>28363</v>
      </c>
      <c r="K3598" t="s">
        <v>36689</v>
      </c>
      <c r="M3598" t="s">
        <v>38397</v>
      </c>
      <c r="N3598" t="s">
        <v>40436</v>
      </c>
      <c r="O3598" t="s">
        <v>40437</v>
      </c>
      <c r="P3598">
        <v>0</v>
      </c>
      <c r="Q3598">
        <v>0</v>
      </c>
      <c r="R3598" t="s">
        <v>40439</v>
      </c>
      <c r="S3598" t="s">
        <v>40588</v>
      </c>
      <c r="T3598" t="s">
        <v>42131</v>
      </c>
      <c r="U3598" t="s">
        <v>45722</v>
      </c>
      <c r="W3598" t="s">
        <v>38397</v>
      </c>
      <c r="X3598" t="s">
        <v>40440</v>
      </c>
    </row>
    <row r="3599" spans="1:24">
      <c r="A3599">
        <f>HYPERLINK("https://www.philgeps.gov.ph/GEPSNONPILOT/Tender/SplashBidNoticeAbstractUI.aspx?menuIndex=3&amp;refID=7045629&amp;Result=3","7045629")</f>
        <v>0</v>
      </c>
      <c r="B3599" t="s">
        <v>175</v>
      </c>
      <c r="C3599" t="s">
        <v>6521</v>
      </c>
      <c r="D3599" t="s">
        <v>16244</v>
      </c>
      <c r="E3599" t="s">
        <v>19523</v>
      </c>
      <c r="F3599" t="s">
        <v>28198</v>
      </c>
      <c r="G3599" t="s">
        <v>28206</v>
      </c>
      <c r="H3599" t="s">
        <v>28215</v>
      </c>
      <c r="I3599" t="s">
        <v>4200</v>
      </c>
      <c r="J3599" t="s">
        <v>30706</v>
      </c>
      <c r="K3599" t="s">
        <v>36688</v>
      </c>
      <c r="M3599" t="s">
        <v>37149</v>
      </c>
      <c r="N3599" t="s">
        <v>40436</v>
      </c>
      <c r="O3599" t="s">
        <v>40437</v>
      </c>
      <c r="P3599">
        <v>0</v>
      </c>
      <c r="Q3599">
        <v>0</v>
      </c>
      <c r="R3599" t="s">
        <v>40439</v>
      </c>
      <c r="S3599" t="s">
        <v>40588</v>
      </c>
      <c r="T3599" t="s">
        <v>42185</v>
      </c>
      <c r="U3599" t="s">
        <v>42905</v>
      </c>
      <c r="W3599" t="s">
        <v>37149</v>
      </c>
      <c r="X3599" t="s">
        <v>40440</v>
      </c>
    </row>
    <row r="3600" spans="1:24">
      <c r="A3600">
        <f>HYPERLINK("https://www.philgeps.gov.ph/GEPSNONPILOT/Tender/SplashBidNoticeAbstractUI.aspx?menuIndex=3&amp;refID=7045634&amp;Result=3","7045634")</f>
        <v>0</v>
      </c>
      <c r="B3600" t="s">
        <v>1354</v>
      </c>
      <c r="C3600" t="s">
        <v>6522</v>
      </c>
      <c r="D3600" t="s">
        <v>16238</v>
      </c>
      <c r="E3600" t="s">
        <v>19524</v>
      </c>
      <c r="F3600" t="s">
        <v>28198</v>
      </c>
      <c r="G3600" t="s">
        <v>28205</v>
      </c>
      <c r="H3600" t="s">
        <v>28215</v>
      </c>
      <c r="I3600" t="s">
        <v>28321</v>
      </c>
      <c r="J3600" t="s">
        <v>30707</v>
      </c>
      <c r="K3600" t="s">
        <v>36687</v>
      </c>
      <c r="M3600" t="s">
        <v>38412</v>
      </c>
      <c r="N3600" t="s">
        <v>40436</v>
      </c>
      <c r="O3600" t="s">
        <v>40437</v>
      </c>
      <c r="P3600">
        <v>0</v>
      </c>
      <c r="Q3600">
        <v>0</v>
      </c>
      <c r="R3600" t="s">
        <v>40439</v>
      </c>
      <c r="S3600" t="s">
        <v>40588</v>
      </c>
      <c r="T3600" t="s">
        <v>42225</v>
      </c>
      <c r="U3600" t="s">
        <v>45723</v>
      </c>
      <c r="W3600" t="s">
        <v>38412</v>
      </c>
      <c r="X3600" t="s">
        <v>40440</v>
      </c>
    </row>
    <row r="3601" spans="1:24">
      <c r="A3601">
        <f>HYPERLINK("https://www.philgeps.gov.ph/GEPSNONPILOT/Tender/SplashBidNoticeAbstractUI.aspx?menuIndex=3&amp;refID=7045630&amp;Result=3","7045630")</f>
        <v>0</v>
      </c>
      <c r="B3601" t="s">
        <v>1362</v>
      </c>
      <c r="C3601" t="s">
        <v>6523</v>
      </c>
      <c r="D3601" t="s">
        <v>16214</v>
      </c>
      <c r="E3601" t="s">
        <v>19525</v>
      </c>
      <c r="F3601" t="s">
        <v>28198</v>
      </c>
      <c r="G3601" t="s">
        <v>28207</v>
      </c>
      <c r="H3601" t="s">
        <v>28215</v>
      </c>
      <c r="I3601" t="s">
        <v>4168</v>
      </c>
      <c r="J3601" t="s">
        <v>30708</v>
      </c>
      <c r="K3601" t="s">
        <v>36701</v>
      </c>
      <c r="M3601" t="s">
        <v>38422</v>
      </c>
      <c r="N3601" t="s">
        <v>40436</v>
      </c>
      <c r="O3601" t="s">
        <v>40437</v>
      </c>
      <c r="P3601">
        <v>0</v>
      </c>
      <c r="Q3601">
        <v>1</v>
      </c>
      <c r="R3601" t="s">
        <v>40439</v>
      </c>
      <c r="S3601" t="s">
        <v>40588</v>
      </c>
      <c r="T3601" t="s">
        <v>42169</v>
      </c>
      <c r="U3601" t="s">
        <v>45724</v>
      </c>
      <c r="W3601" t="s">
        <v>38422</v>
      </c>
      <c r="X3601" t="s">
        <v>40440</v>
      </c>
    </row>
    <row r="3602" spans="1:24">
      <c r="A3602">
        <f>HYPERLINK("https://www.philgeps.gov.ph/GEPSNONPILOT/Tender/SplashBidNoticeAbstractUI.aspx?menuIndex=3&amp;refID=7045653&amp;Result=3","7045653")</f>
        <v>0</v>
      </c>
      <c r="B3602" t="s">
        <v>1363</v>
      </c>
      <c r="C3602" t="s">
        <v>6524</v>
      </c>
      <c r="D3602" t="s">
        <v>16199</v>
      </c>
      <c r="E3602" t="s">
        <v>19526</v>
      </c>
      <c r="F3602" t="s">
        <v>28198</v>
      </c>
      <c r="G3602" t="s">
        <v>28207</v>
      </c>
      <c r="H3602" t="s">
        <v>28215</v>
      </c>
      <c r="I3602" t="s">
        <v>4219</v>
      </c>
      <c r="J3602" t="s">
        <v>28373</v>
      </c>
      <c r="K3602" t="s">
        <v>36688</v>
      </c>
      <c r="M3602" t="s">
        <v>38423</v>
      </c>
      <c r="N3602" t="s">
        <v>40436</v>
      </c>
      <c r="O3602" t="s">
        <v>40437</v>
      </c>
      <c r="P3602">
        <v>0</v>
      </c>
      <c r="Q3602">
        <v>0</v>
      </c>
      <c r="R3602" t="s">
        <v>40439</v>
      </c>
      <c r="S3602" t="s">
        <v>40588</v>
      </c>
      <c r="T3602" t="s">
        <v>42177</v>
      </c>
      <c r="U3602" t="s">
        <v>45725</v>
      </c>
      <c r="W3602" t="s">
        <v>38423</v>
      </c>
      <c r="X3602" t="s">
        <v>40440</v>
      </c>
    </row>
    <row r="3603" spans="1:24">
      <c r="A3603">
        <f>HYPERLINK("https://www.philgeps.gov.ph/GEPSNONPILOT/Tender/SplashBidNoticeAbstractUI.aspx?menuIndex=3&amp;refID=7045673&amp;Result=3","7045673")</f>
        <v>0</v>
      </c>
      <c r="B3603" t="s">
        <v>70</v>
      </c>
      <c r="C3603" t="s">
        <v>6525</v>
      </c>
      <c r="D3603" t="s">
        <v>16214</v>
      </c>
      <c r="E3603" t="s">
        <v>19527</v>
      </c>
      <c r="F3603" t="s">
        <v>28198</v>
      </c>
      <c r="G3603" t="s">
        <v>28210</v>
      </c>
      <c r="H3603" t="s">
        <v>28215</v>
      </c>
      <c r="I3603" t="s">
        <v>6051</v>
      </c>
      <c r="J3603" t="s">
        <v>28547</v>
      </c>
      <c r="K3603" t="s">
        <v>36715</v>
      </c>
      <c r="M3603" t="s">
        <v>38348</v>
      </c>
      <c r="N3603" t="s">
        <v>40436</v>
      </c>
      <c r="O3603" t="s">
        <v>40437</v>
      </c>
      <c r="P3603">
        <v>0</v>
      </c>
      <c r="Q3603">
        <v>0</v>
      </c>
      <c r="R3603" t="s">
        <v>40439</v>
      </c>
      <c r="S3603" t="s">
        <v>40588</v>
      </c>
      <c r="T3603" t="s">
        <v>42218</v>
      </c>
      <c r="U3603" t="s">
        <v>45726</v>
      </c>
      <c r="W3603" t="s">
        <v>38348</v>
      </c>
      <c r="X3603" t="s">
        <v>40440</v>
      </c>
    </row>
    <row r="3604" spans="1:24">
      <c r="A3604">
        <f>HYPERLINK("https://www.philgeps.gov.ph/GEPSNONPILOT/Tender/SplashBidNoticeAbstractUI.aspx?menuIndex=3&amp;refID=7045663&amp;Result=3","7045663")</f>
        <v>0</v>
      </c>
      <c r="B3604" t="s">
        <v>1364</v>
      </c>
      <c r="C3604" t="s">
        <v>6526</v>
      </c>
      <c r="D3604" t="s">
        <v>16249</v>
      </c>
      <c r="E3604" t="s">
        <v>19528</v>
      </c>
      <c r="F3604" t="s">
        <v>28198</v>
      </c>
      <c r="G3604" t="s">
        <v>28207</v>
      </c>
      <c r="H3604" t="s">
        <v>28215</v>
      </c>
      <c r="I3604" t="s">
        <v>3774</v>
      </c>
      <c r="J3604" t="s">
        <v>28350</v>
      </c>
      <c r="K3604" t="s">
        <v>36688</v>
      </c>
      <c r="M3604" t="s">
        <v>38424</v>
      </c>
      <c r="N3604" t="s">
        <v>40436</v>
      </c>
      <c r="O3604" t="s">
        <v>40437</v>
      </c>
      <c r="P3604">
        <v>0</v>
      </c>
      <c r="Q3604">
        <v>1</v>
      </c>
      <c r="R3604" t="s">
        <v>40439</v>
      </c>
      <c r="S3604" t="s">
        <v>40588</v>
      </c>
      <c r="T3604" t="s">
        <v>42158</v>
      </c>
      <c r="U3604" t="s">
        <v>45727</v>
      </c>
      <c r="V3604" t="s">
        <v>54153</v>
      </c>
      <c r="W3604" t="s">
        <v>38424</v>
      </c>
      <c r="X3604" t="s">
        <v>40440</v>
      </c>
    </row>
    <row r="3605" spans="1:24">
      <c r="A3605">
        <f>HYPERLINK("https://www.philgeps.gov.ph/GEPSNONPILOT/Tender/SplashBidNoticeAbstractUI.aspx?menuIndex=3&amp;refID=7045671&amp;Result=3","7045671")</f>
        <v>0</v>
      </c>
      <c r="B3605" t="s">
        <v>1354</v>
      </c>
      <c r="C3605" t="s">
        <v>6527</v>
      </c>
      <c r="D3605" t="s">
        <v>16238</v>
      </c>
      <c r="E3605" t="s">
        <v>6527</v>
      </c>
      <c r="F3605" t="s">
        <v>28198</v>
      </c>
      <c r="G3605" t="s">
        <v>28205</v>
      </c>
      <c r="H3605" t="s">
        <v>28215</v>
      </c>
      <c r="I3605" t="s">
        <v>28259</v>
      </c>
      <c r="J3605" t="s">
        <v>30709</v>
      </c>
      <c r="K3605" t="s">
        <v>36701</v>
      </c>
      <c r="M3605" t="s">
        <v>38412</v>
      </c>
      <c r="N3605" t="s">
        <v>40436</v>
      </c>
      <c r="O3605" t="s">
        <v>40437</v>
      </c>
      <c r="P3605">
        <v>0</v>
      </c>
      <c r="Q3605">
        <v>1</v>
      </c>
      <c r="R3605" t="s">
        <v>40439</v>
      </c>
      <c r="S3605" t="s">
        <v>40588</v>
      </c>
      <c r="T3605" t="s">
        <v>42225</v>
      </c>
      <c r="U3605" t="s">
        <v>45728</v>
      </c>
      <c r="W3605" t="s">
        <v>38412</v>
      </c>
      <c r="X3605" t="s">
        <v>40440</v>
      </c>
    </row>
    <row r="3606" spans="1:24">
      <c r="A3606">
        <f>HYPERLINK("https://www.philgeps.gov.ph/GEPSNONPILOT/Tender/SplashBidNoticeAbstractUI.aspx?menuIndex=3&amp;refID=7045660&amp;Result=3","7045660")</f>
        <v>0</v>
      </c>
      <c r="B3606" t="s">
        <v>1329</v>
      </c>
      <c r="C3606" t="s">
        <v>6528</v>
      </c>
      <c r="D3606" t="s">
        <v>16246</v>
      </c>
      <c r="E3606" t="s">
        <v>19529</v>
      </c>
      <c r="F3606" t="s">
        <v>28198</v>
      </c>
      <c r="G3606" t="s">
        <v>28205</v>
      </c>
      <c r="H3606" t="s">
        <v>28214</v>
      </c>
      <c r="I3606" t="s">
        <v>3797</v>
      </c>
      <c r="J3606" t="s">
        <v>30710</v>
      </c>
      <c r="K3606" t="s">
        <v>36694</v>
      </c>
      <c r="M3606" t="s">
        <v>38387</v>
      </c>
      <c r="N3606" t="s">
        <v>40436</v>
      </c>
      <c r="O3606" t="s">
        <v>40437</v>
      </c>
      <c r="P3606">
        <v>0</v>
      </c>
      <c r="Q3606">
        <v>0</v>
      </c>
      <c r="R3606" t="s">
        <v>40439</v>
      </c>
      <c r="S3606" t="s">
        <v>40588</v>
      </c>
      <c r="T3606" t="s">
        <v>42110</v>
      </c>
      <c r="U3606" t="s">
        <v>45729</v>
      </c>
      <c r="W3606" t="s">
        <v>38387</v>
      </c>
      <c r="X3606" t="s">
        <v>40440</v>
      </c>
    </row>
    <row r="3607" spans="1:24">
      <c r="A3607">
        <f>HYPERLINK("https://www.philgeps.gov.ph/GEPSNONPILOT/Tender/SplashBidNoticeAbstractUI.aspx?menuIndex=3&amp;refID=7045669&amp;Result=3","7045669")</f>
        <v>0</v>
      </c>
      <c r="B3607" t="s">
        <v>1365</v>
      </c>
      <c r="C3607" t="s">
        <v>6529</v>
      </c>
      <c r="D3607" t="s">
        <v>16232</v>
      </c>
      <c r="E3607" t="s">
        <v>19530</v>
      </c>
      <c r="F3607" t="s">
        <v>28198</v>
      </c>
      <c r="G3607" t="s">
        <v>28205</v>
      </c>
      <c r="H3607" t="s">
        <v>28215</v>
      </c>
      <c r="I3607" t="s">
        <v>28256</v>
      </c>
      <c r="J3607" t="s">
        <v>29643</v>
      </c>
      <c r="K3607" t="s">
        <v>36694</v>
      </c>
      <c r="M3607" t="s">
        <v>38425</v>
      </c>
      <c r="N3607" t="s">
        <v>40436</v>
      </c>
      <c r="O3607" t="s">
        <v>40437</v>
      </c>
      <c r="P3607">
        <v>0</v>
      </c>
      <c r="Q3607">
        <v>5</v>
      </c>
      <c r="R3607" t="s">
        <v>40439</v>
      </c>
      <c r="S3607" t="s">
        <v>40588</v>
      </c>
      <c r="T3607" t="s">
        <v>42189</v>
      </c>
      <c r="U3607" t="s">
        <v>45730</v>
      </c>
      <c r="W3607" t="s">
        <v>38425</v>
      </c>
      <c r="X3607" t="s">
        <v>40440</v>
      </c>
    </row>
    <row r="3608" spans="1:24">
      <c r="A3608">
        <f>HYPERLINK("https://www.philgeps.gov.ph/GEPSNONPILOT/Tender/SplashBidNoticeAbstractUI.aspx?menuIndex=3&amp;refID=7045658&amp;Result=3","7045658")</f>
        <v>0</v>
      </c>
      <c r="B3608" t="s">
        <v>430</v>
      </c>
      <c r="C3608" t="s">
        <v>6530</v>
      </c>
      <c r="D3608" t="s">
        <v>16255</v>
      </c>
      <c r="E3608" t="s">
        <v>18312</v>
      </c>
      <c r="F3608" t="s">
        <v>28198</v>
      </c>
      <c r="G3608" t="s">
        <v>28205</v>
      </c>
      <c r="H3608" t="s">
        <v>28215</v>
      </c>
      <c r="I3608" t="s">
        <v>5100</v>
      </c>
      <c r="J3608" t="s">
        <v>30711</v>
      </c>
      <c r="K3608" t="s">
        <v>36701</v>
      </c>
      <c r="M3608" t="s">
        <v>37413</v>
      </c>
      <c r="N3608" t="s">
        <v>40436</v>
      </c>
      <c r="O3608" t="s">
        <v>40437</v>
      </c>
      <c r="P3608">
        <v>0</v>
      </c>
      <c r="Q3608">
        <v>0</v>
      </c>
      <c r="R3608" t="s">
        <v>40439</v>
      </c>
      <c r="S3608" t="s">
        <v>40588</v>
      </c>
      <c r="T3608" t="s">
        <v>42188</v>
      </c>
      <c r="U3608" t="s">
        <v>43044</v>
      </c>
      <c r="W3608" t="s">
        <v>37413</v>
      </c>
      <c r="X3608" t="s">
        <v>40440</v>
      </c>
    </row>
    <row r="3609" spans="1:24">
      <c r="A3609">
        <f>HYPERLINK("https://www.philgeps.gov.ph/GEPSNONPILOT/Tender/SplashBidNoticeAbstractUI.aspx?menuIndex=3&amp;refID=7045659&amp;Result=3","7045659")</f>
        <v>0</v>
      </c>
      <c r="B3609" t="s">
        <v>1313</v>
      </c>
      <c r="C3609" t="s">
        <v>6531</v>
      </c>
      <c r="D3609" t="s">
        <v>16209</v>
      </c>
      <c r="E3609" t="s">
        <v>17713</v>
      </c>
      <c r="F3609" t="s">
        <v>28198</v>
      </c>
      <c r="G3609" t="s">
        <v>28205</v>
      </c>
      <c r="H3609" t="s">
        <v>28214</v>
      </c>
      <c r="I3609" t="s">
        <v>5100</v>
      </c>
      <c r="J3609" t="s">
        <v>28363</v>
      </c>
      <c r="K3609" t="s">
        <v>36694</v>
      </c>
      <c r="M3609" t="s">
        <v>38368</v>
      </c>
      <c r="N3609" t="s">
        <v>40436</v>
      </c>
      <c r="O3609" t="s">
        <v>40437</v>
      </c>
      <c r="P3609">
        <v>0</v>
      </c>
      <c r="Q3609">
        <v>0</v>
      </c>
      <c r="R3609" t="s">
        <v>40439</v>
      </c>
      <c r="S3609" t="s">
        <v>40588</v>
      </c>
      <c r="T3609" t="s">
        <v>42363</v>
      </c>
      <c r="U3609" t="s">
        <v>45731</v>
      </c>
      <c r="W3609" t="s">
        <v>38368</v>
      </c>
      <c r="X3609" t="s">
        <v>40440</v>
      </c>
    </row>
    <row r="3610" spans="1:24">
      <c r="A3610">
        <f>HYPERLINK("https://www.philgeps.gov.ph/GEPSNONPILOT/Tender/SplashBidNoticeAbstractUI.aspx?menuIndex=3&amp;refID=7045657&amp;Result=3","7045657")</f>
        <v>0</v>
      </c>
      <c r="B3610" t="s">
        <v>66</v>
      </c>
      <c r="C3610" t="s">
        <v>6532</v>
      </c>
      <c r="D3610" t="s">
        <v>16212</v>
      </c>
      <c r="E3610" t="s">
        <v>19531</v>
      </c>
      <c r="F3610" t="s">
        <v>28198</v>
      </c>
      <c r="G3610" t="s">
        <v>28205</v>
      </c>
      <c r="H3610" t="s">
        <v>28215</v>
      </c>
      <c r="I3610" t="s">
        <v>28246</v>
      </c>
      <c r="J3610" t="s">
        <v>30712</v>
      </c>
      <c r="K3610" t="s">
        <v>36708</v>
      </c>
      <c r="M3610" t="s">
        <v>37037</v>
      </c>
      <c r="N3610" t="s">
        <v>40436</v>
      </c>
      <c r="O3610" t="s">
        <v>40437</v>
      </c>
      <c r="P3610">
        <v>0</v>
      </c>
      <c r="Q3610">
        <v>0</v>
      </c>
      <c r="R3610" t="s">
        <v>40439</v>
      </c>
      <c r="S3610" t="s">
        <v>40588</v>
      </c>
      <c r="T3610" t="s">
        <v>42118</v>
      </c>
      <c r="U3610" t="s">
        <v>45732</v>
      </c>
      <c r="W3610" t="s">
        <v>37037</v>
      </c>
      <c r="X3610" t="s">
        <v>40440</v>
      </c>
    </row>
    <row r="3611" spans="1:24">
      <c r="A3611">
        <f>HYPERLINK("https://www.philgeps.gov.ph/GEPSNONPILOT/Tender/SplashBidNoticeAbstractUI.aspx?menuIndex=3&amp;refID=7045680&amp;Result=3","7045680")</f>
        <v>0</v>
      </c>
      <c r="B3611" t="s">
        <v>140</v>
      </c>
      <c r="C3611" t="s">
        <v>6533</v>
      </c>
      <c r="D3611" t="s">
        <v>16196</v>
      </c>
      <c r="E3611" t="s">
        <v>19532</v>
      </c>
      <c r="F3611" t="s">
        <v>28198</v>
      </c>
      <c r="G3611" t="s">
        <v>28206</v>
      </c>
      <c r="H3611" t="s">
        <v>28215</v>
      </c>
      <c r="I3611" t="s">
        <v>28265</v>
      </c>
      <c r="J3611" t="s">
        <v>30713</v>
      </c>
      <c r="K3611" t="s">
        <v>36689</v>
      </c>
      <c r="M3611" t="s">
        <v>37114</v>
      </c>
      <c r="N3611" t="s">
        <v>40436</v>
      </c>
      <c r="O3611" t="s">
        <v>40437</v>
      </c>
      <c r="P3611">
        <v>0</v>
      </c>
      <c r="Q3611">
        <v>0</v>
      </c>
      <c r="R3611" t="s">
        <v>40439</v>
      </c>
      <c r="S3611" t="s">
        <v>40588</v>
      </c>
      <c r="T3611" t="s">
        <v>42169</v>
      </c>
      <c r="U3611" t="s">
        <v>45660</v>
      </c>
      <c r="V3611" t="s">
        <v>54154</v>
      </c>
      <c r="W3611" t="s">
        <v>37114</v>
      </c>
      <c r="X3611" t="s">
        <v>40440</v>
      </c>
    </row>
    <row r="3612" spans="1:24">
      <c r="A3612">
        <f>HYPERLINK("https://www.philgeps.gov.ph/GEPSNONPILOT/Tender/SplashBidNoticeAbstractUI.aspx?menuIndex=3&amp;refID=7045679&amp;Result=3","7045679")</f>
        <v>0</v>
      </c>
      <c r="B3612" t="s">
        <v>1263</v>
      </c>
      <c r="C3612" t="s">
        <v>6534</v>
      </c>
      <c r="D3612" t="s">
        <v>16217</v>
      </c>
      <c r="E3612" t="s">
        <v>18331</v>
      </c>
      <c r="F3612" t="s">
        <v>28198</v>
      </c>
      <c r="G3612" t="s">
        <v>28207</v>
      </c>
      <c r="H3612" t="s">
        <v>28215</v>
      </c>
      <c r="I3612" t="s">
        <v>28224</v>
      </c>
      <c r="J3612" t="s">
        <v>30714</v>
      </c>
      <c r="K3612" t="s">
        <v>36707</v>
      </c>
      <c r="M3612" t="s">
        <v>38313</v>
      </c>
      <c r="N3612" t="s">
        <v>40436</v>
      </c>
      <c r="O3612" t="s">
        <v>40437</v>
      </c>
      <c r="P3612">
        <v>0</v>
      </c>
      <c r="Q3612">
        <v>0</v>
      </c>
      <c r="R3612" t="s">
        <v>40439</v>
      </c>
      <c r="S3612" t="s">
        <v>40588</v>
      </c>
      <c r="T3612" t="s">
        <v>42131</v>
      </c>
      <c r="U3612" t="s">
        <v>45733</v>
      </c>
      <c r="W3612" t="s">
        <v>38313</v>
      </c>
      <c r="X3612" t="s">
        <v>40440</v>
      </c>
    </row>
    <row r="3613" spans="1:24">
      <c r="A3613">
        <f>HYPERLINK("https://www.philgeps.gov.ph/GEPSNONPILOT/Tender/SplashBidNoticeAbstractUI.aspx?menuIndex=3&amp;refID=7045661&amp;Result=3","7045661")</f>
        <v>0</v>
      </c>
      <c r="B3613" t="s">
        <v>179</v>
      </c>
      <c r="C3613" t="s">
        <v>6535</v>
      </c>
      <c r="D3613" t="s">
        <v>16199</v>
      </c>
      <c r="E3613" t="s">
        <v>19533</v>
      </c>
      <c r="F3613" t="s">
        <v>28198</v>
      </c>
      <c r="G3613" t="s">
        <v>28207</v>
      </c>
      <c r="H3613" t="s">
        <v>28215</v>
      </c>
      <c r="I3613" t="s">
        <v>28232</v>
      </c>
      <c r="J3613" t="s">
        <v>30715</v>
      </c>
      <c r="K3613" t="s">
        <v>36693</v>
      </c>
      <c r="M3613" t="s">
        <v>37154</v>
      </c>
      <c r="N3613" t="s">
        <v>40436</v>
      </c>
      <c r="O3613" t="s">
        <v>40437</v>
      </c>
      <c r="P3613">
        <v>0</v>
      </c>
      <c r="Q3613">
        <v>0</v>
      </c>
      <c r="R3613" t="s">
        <v>40439</v>
      </c>
      <c r="S3613" t="s">
        <v>40588</v>
      </c>
      <c r="T3613" t="s">
        <v>42158</v>
      </c>
      <c r="U3613" t="s">
        <v>45734</v>
      </c>
      <c r="W3613" t="s">
        <v>37154</v>
      </c>
      <c r="X3613" t="s">
        <v>40440</v>
      </c>
    </row>
    <row r="3614" spans="1:24">
      <c r="A3614">
        <f>HYPERLINK("https://www.philgeps.gov.ph/GEPSNONPILOT/Tender/SplashBidNoticeAbstractUI.aspx?menuIndex=3&amp;refID=7045677&amp;Result=3","7045677")</f>
        <v>0</v>
      </c>
      <c r="B3614" t="s">
        <v>1175</v>
      </c>
      <c r="C3614" t="s">
        <v>6536</v>
      </c>
      <c r="D3614" t="s">
        <v>16190</v>
      </c>
      <c r="E3614" t="s">
        <v>19534</v>
      </c>
      <c r="F3614" t="s">
        <v>28198</v>
      </c>
      <c r="G3614" t="s">
        <v>28207</v>
      </c>
      <c r="H3614" t="s">
        <v>28214</v>
      </c>
      <c r="I3614" t="s">
        <v>5100</v>
      </c>
      <c r="J3614" t="s">
        <v>30716</v>
      </c>
      <c r="K3614" t="s">
        <v>36697</v>
      </c>
      <c r="M3614" t="s">
        <v>38217</v>
      </c>
      <c r="N3614" t="s">
        <v>40436</v>
      </c>
      <c r="O3614" t="s">
        <v>40437</v>
      </c>
      <c r="P3614">
        <v>0</v>
      </c>
      <c r="Q3614">
        <v>0</v>
      </c>
      <c r="R3614" t="s">
        <v>40439</v>
      </c>
      <c r="S3614" t="s">
        <v>40588</v>
      </c>
      <c r="T3614" t="s">
        <v>42176</v>
      </c>
      <c r="U3614" t="s">
        <v>45309</v>
      </c>
      <c r="W3614" t="s">
        <v>38217</v>
      </c>
      <c r="X3614" t="s">
        <v>40440</v>
      </c>
    </row>
    <row r="3615" spans="1:24">
      <c r="A3615">
        <f>HYPERLINK("https://www.philgeps.gov.ph/GEPSNONPILOT/Tender/SplashBidNoticeAbstractUI.aspx?menuIndex=3&amp;refID=7045678&amp;Result=3","7045678")</f>
        <v>0</v>
      </c>
      <c r="B3615" t="s">
        <v>719</v>
      </c>
      <c r="C3615" t="s">
        <v>6537</v>
      </c>
      <c r="D3615" t="s">
        <v>16201</v>
      </c>
      <c r="E3615" t="s">
        <v>19535</v>
      </c>
      <c r="F3615" t="s">
        <v>28198</v>
      </c>
      <c r="G3615" t="s">
        <v>28206</v>
      </c>
      <c r="H3615" t="s">
        <v>28215</v>
      </c>
      <c r="I3615" t="s">
        <v>4219</v>
      </c>
      <c r="J3615" t="s">
        <v>30717</v>
      </c>
      <c r="K3615" t="s">
        <v>36701</v>
      </c>
      <c r="M3615" t="s">
        <v>37720</v>
      </c>
      <c r="N3615" t="s">
        <v>40436</v>
      </c>
      <c r="O3615" t="s">
        <v>40437</v>
      </c>
      <c r="P3615">
        <v>0</v>
      </c>
      <c r="Q3615">
        <v>0</v>
      </c>
      <c r="R3615" t="s">
        <v>40439</v>
      </c>
      <c r="S3615" t="s">
        <v>40588</v>
      </c>
      <c r="T3615" t="s">
        <v>42277</v>
      </c>
      <c r="U3615" t="s">
        <v>45735</v>
      </c>
      <c r="W3615" t="s">
        <v>37720</v>
      </c>
      <c r="X3615" t="s">
        <v>40440</v>
      </c>
    </row>
    <row r="3616" spans="1:24">
      <c r="A3616">
        <f>HYPERLINK("https://www.philgeps.gov.ph/GEPSNONPILOT/Tender/SplashBidNoticeAbstractUI.aspx?menuIndex=3&amp;refID=7045676&amp;Result=3","7045676")</f>
        <v>0</v>
      </c>
      <c r="B3616" t="s">
        <v>96</v>
      </c>
      <c r="C3616" t="s">
        <v>6538</v>
      </c>
      <c r="D3616" t="s">
        <v>16225</v>
      </c>
      <c r="E3616" t="s">
        <v>19536</v>
      </c>
      <c r="F3616" t="s">
        <v>28198</v>
      </c>
      <c r="G3616" t="s">
        <v>28209</v>
      </c>
      <c r="H3616" t="s">
        <v>28215</v>
      </c>
      <c r="I3616" t="s">
        <v>28279</v>
      </c>
      <c r="J3616" t="s">
        <v>28430</v>
      </c>
      <c r="K3616" t="s">
        <v>36715</v>
      </c>
      <c r="M3616" t="s">
        <v>37068</v>
      </c>
      <c r="N3616" t="s">
        <v>40436</v>
      </c>
      <c r="O3616" t="s">
        <v>40437</v>
      </c>
      <c r="P3616">
        <v>0</v>
      </c>
      <c r="Q3616">
        <v>2</v>
      </c>
      <c r="R3616" t="s">
        <v>40439</v>
      </c>
      <c r="S3616" t="s">
        <v>40588</v>
      </c>
      <c r="T3616" t="s">
        <v>42218</v>
      </c>
      <c r="U3616" t="s">
        <v>45736</v>
      </c>
      <c r="W3616" t="s">
        <v>37068</v>
      </c>
      <c r="X3616" t="s">
        <v>40440</v>
      </c>
    </row>
    <row r="3617" spans="1:24">
      <c r="A3617">
        <f>HYPERLINK("https://www.philgeps.gov.ph/GEPSNONPILOT/Tender/SplashBidNoticeAbstractUI.aspx?menuIndex=3&amp;refID=7045674&amp;Result=3","7045674")</f>
        <v>0</v>
      </c>
      <c r="B3617" t="s">
        <v>1282</v>
      </c>
      <c r="C3617" t="s">
        <v>6539</v>
      </c>
      <c r="D3617" t="s">
        <v>16214</v>
      </c>
      <c r="E3617" t="s">
        <v>19537</v>
      </c>
      <c r="F3617" t="s">
        <v>28198</v>
      </c>
      <c r="G3617" t="s">
        <v>28205</v>
      </c>
      <c r="H3617" t="s">
        <v>28214</v>
      </c>
      <c r="I3617" t="s">
        <v>3797</v>
      </c>
      <c r="J3617" t="s">
        <v>29595</v>
      </c>
      <c r="K3617" t="s">
        <v>36714</v>
      </c>
      <c r="M3617" t="s">
        <v>38334</v>
      </c>
      <c r="N3617" t="s">
        <v>40436</v>
      </c>
      <c r="O3617" t="s">
        <v>40437</v>
      </c>
      <c r="P3617">
        <v>0</v>
      </c>
      <c r="Q3617">
        <v>0</v>
      </c>
      <c r="R3617" t="s">
        <v>40439</v>
      </c>
      <c r="S3617" t="s">
        <v>40588</v>
      </c>
      <c r="T3617" t="s">
        <v>42106</v>
      </c>
      <c r="U3617" t="s">
        <v>45679</v>
      </c>
      <c r="V3617" t="s">
        <v>54155</v>
      </c>
      <c r="W3617" t="s">
        <v>38334</v>
      </c>
      <c r="X3617" t="s">
        <v>40440</v>
      </c>
    </row>
    <row r="3618" spans="1:24">
      <c r="A3618">
        <f>HYPERLINK("https://www.philgeps.gov.ph/GEPSNONPILOT/Tender/SplashBidNoticeAbstractUI.aspx?menuIndex=3&amp;refID=7045681&amp;Result=3","7045681")</f>
        <v>0</v>
      </c>
      <c r="B3618" t="s">
        <v>305</v>
      </c>
      <c r="C3618" t="s">
        <v>6540</v>
      </c>
      <c r="D3618" t="s">
        <v>16197</v>
      </c>
      <c r="E3618" t="s">
        <v>19538</v>
      </c>
      <c r="F3618" t="s">
        <v>28198</v>
      </c>
      <c r="G3618" t="s">
        <v>28205</v>
      </c>
      <c r="H3618" t="s">
        <v>28215</v>
      </c>
      <c r="I3618" t="s">
        <v>28225</v>
      </c>
      <c r="J3618" t="s">
        <v>30718</v>
      </c>
      <c r="K3618" t="s">
        <v>36701</v>
      </c>
      <c r="M3618" t="s">
        <v>37282</v>
      </c>
      <c r="N3618" t="s">
        <v>40436</v>
      </c>
      <c r="O3618" t="s">
        <v>40437</v>
      </c>
      <c r="P3618">
        <v>0</v>
      </c>
      <c r="Q3618">
        <v>9</v>
      </c>
      <c r="R3618" t="s">
        <v>40439</v>
      </c>
      <c r="S3618" t="s">
        <v>40588</v>
      </c>
      <c r="T3618" t="s">
        <v>42234</v>
      </c>
      <c r="U3618" t="s">
        <v>43102</v>
      </c>
      <c r="W3618" t="s">
        <v>37282</v>
      </c>
      <c r="X3618" t="s">
        <v>40440</v>
      </c>
    </row>
    <row r="3619" spans="1:24">
      <c r="A3619">
        <f>HYPERLINK("https://www.philgeps.gov.ph/GEPSNONPILOT/Tender/SplashBidNoticeAbstractUI.aspx?menuIndex=3&amp;refID=7045684&amp;Result=3","7045684")</f>
        <v>0</v>
      </c>
      <c r="B3619" t="s">
        <v>175</v>
      </c>
      <c r="C3619" t="s">
        <v>6541</v>
      </c>
      <c r="D3619" t="s">
        <v>16244</v>
      </c>
      <c r="E3619" t="s">
        <v>19539</v>
      </c>
      <c r="F3619" t="s">
        <v>28198</v>
      </c>
      <c r="G3619" t="s">
        <v>28206</v>
      </c>
      <c r="H3619" t="s">
        <v>28215</v>
      </c>
      <c r="I3619" t="s">
        <v>7310</v>
      </c>
      <c r="J3619" t="s">
        <v>30719</v>
      </c>
      <c r="K3619" t="s">
        <v>36688</v>
      </c>
      <c r="M3619" t="s">
        <v>37149</v>
      </c>
      <c r="N3619" t="s">
        <v>40436</v>
      </c>
      <c r="O3619" t="s">
        <v>40437</v>
      </c>
      <c r="P3619">
        <v>0</v>
      </c>
      <c r="Q3619">
        <v>0</v>
      </c>
      <c r="R3619" t="s">
        <v>40439</v>
      </c>
      <c r="S3619" t="s">
        <v>40588</v>
      </c>
      <c r="T3619" t="s">
        <v>42185</v>
      </c>
      <c r="U3619" t="s">
        <v>42905</v>
      </c>
      <c r="W3619" t="s">
        <v>37149</v>
      </c>
      <c r="X3619" t="s">
        <v>40440</v>
      </c>
    </row>
    <row r="3620" spans="1:24">
      <c r="A3620">
        <f>HYPERLINK("https://www.philgeps.gov.ph/GEPSNONPILOT/Tender/SplashBidNoticeAbstractUI.aspx?menuIndex=3&amp;refID=7045700&amp;Result=3","7045700")</f>
        <v>0</v>
      </c>
      <c r="B3620" t="s">
        <v>1366</v>
      </c>
      <c r="C3620" t="s">
        <v>6542</v>
      </c>
      <c r="D3620" t="s">
        <v>16210</v>
      </c>
      <c r="E3620" t="s">
        <v>19540</v>
      </c>
      <c r="F3620" t="s">
        <v>28198</v>
      </c>
      <c r="G3620" t="s">
        <v>28205</v>
      </c>
      <c r="H3620" t="s">
        <v>28215</v>
      </c>
      <c r="I3620" t="s">
        <v>28247</v>
      </c>
      <c r="J3620" t="s">
        <v>30720</v>
      </c>
      <c r="K3620" t="s">
        <v>36704</v>
      </c>
      <c r="M3620" t="s">
        <v>38426</v>
      </c>
      <c r="N3620" t="s">
        <v>40436</v>
      </c>
      <c r="O3620" t="s">
        <v>40437</v>
      </c>
      <c r="P3620">
        <v>0</v>
      </c>
      <c r="Q3620">
        <v>5</v>
      </c>
      <c r="R3620" t="s">
        <v>40439</v>
      </c>
      <c r="S3620" t="s">
        <v>40588</v>
      </c>
      <c r="T3620" t="s">
        <v>42175</v>
      </c>
      <c r="U3620" t="s">
        <v>45737</v>
      </c>
      <c r="W3620" t="s">
        <v>38426</v>
      </c>
      <c r="X3620" t="s">
        <v>40440</v>
      </c>
    </row>
    <row r="3621" spans="1:24">
      <c r="A3621">
        <f>HYPERLINK("https://www.philgeps.gov.ph/GEPSNONPILOT/Tender/SplashBidNoticeAbstractUI.aspx?menuIndex=3&amp;refID=7045664&amp;Result=3","7045664")</f>
        <v>0</v>
      </c>
      <c r="B3621" t="s">
        <v>1367</v>
      </c>
      <c r="C3621" t="s">
        <v>6543</v>
      </c>
      <c r="D3621" t="s">
        <v>16204</v>
      </c>
      <c r="E3621" t="s">
        <v>19541</v>
      </c>
      <c r="F3621" t="s">
        <v>28198</v>
      </c>
      <c r="G3621" t="s">
        <v>28205</v>
      </c>
      <c r="H3621" t="s">
        <v>28215</v>
      </c>
      <c r="I3621" t="s">
        <v>28249</v>
      </c>
      <c r="J3621" t="s">
        <v>30721</v>
      </c>
      <c r="K3621" t="s">
        <v>36707</v>
      </c>
      <c r="M3621" t="s">
        <v>38427</v>
      </c>
      <c r="N3621" t="s">
        <v>40436</v>
      </c>
      <c r="O3621" t="s">
        <v>40437</v>
      </c>
      <c r="P3621">
        <v>0</v>
      </c>
      <c r="Q3621">
        <v>0</v>
      </c>
      <c r="R3621" t="s">
        <v>40439</v>
      </c>
      <c r="S3621" t="s">
        <v>40588</v>
      </c>
      <c r="T3621" t="s">
        <v>42203</v>
      </c>
      <c r="U3621" t="s">
        <v>45738</v>
      </c>
      <c r="V3621" t="s">
        <v>54156</v>
      </c>
      <c r="W3621" t="s">
        <v>38427</v>
      </c>
      <c r="X3621" t="s">
        <v>40440</v>
      </c>
    </row>
    <row r="3622" spans="1:24">
      <c r="A3622">
        <f>HYPERLINK("https://www.philgeps.gov.ph/GEPSNONPILOT/Tender/SplashBidNoticeAbstractUI.aspx?menuIndex=3&amp;refID=7045682&amp;Result=3","7045682")</f>
        <v>0</v>
      </c>
      <c r="B3622" t="s">
        <v>1205</v>
      </c>
      <c r="C3622" t="s">
        <v>6544</v>
      </c>
      <c r="D3622" t="s">
        <v>16195</v>
      </c>
      <c r="E3622" t="s">
        <v>19542</v>
      </c>
      <c r="F3622" t="s">
        <v>28198</v>
      </c>
      <c r="G3622" t="s">
        <v>28205</v>
      </c>
      <c r="H3622" t="s">
        <v>28215</v>
      </c>
      <c r="I3622" t="s">
        <v>5100</v>
      </c>
      <c r="J3622" t="s">
        <v>30722</v>
      </c>
      <c r="K3622" t="s">
        <v>36706</v>
      </c>
      <c r="M3622" t="s">
        <v>38250</v>
      </c>
      <c r="N3622" t="s">
        <v>40436</v>
      </c>
      <c r="O3622" t="s">
        <v>40437</v>
      </c>
      <c r="P3622">
        <v>0</v>
      </c>
      <c r="Q3622">
        <v>0</v>
      </c>
      <c r="R3622" t="s">
        <v>40439</v>
      </c>
      <c r="S3622" t="s">
        <v>40588</v>
      </c>
      <c r="T3622" t="s">
        <v>42240</v>
      </c>
      <c r="U3622" t="s">
        <v>45739</v>
      </c>
      <c r="W3622" t="s">
        <v>38250</v>
      </c>
      <c r="X3622" t="s">
        <v>40440</v>
      </c>
    </row>
    <row r="3623" spans="1:24">
      <c r="A3623">
        <f>HYPERLINK("https://www.philgeps.gov.ph/GEPSNONPILOT/Tender/SplashBidNoticeAbstractUI.aspx?menuIndex=3&amp;refID=7045699&amp;Result=3","7045699")</f>
        <v>0</v>
      </c>
      <c r="B3623" t="s">
        <v>501</v>
      </c>
      <c r="C3623" t="s">
        <v>6545</v>
      </c>
      <c r="D3623" t="s">
        <v>16210</v>
      </c>
      <c r="E3623" t="s">
        <v>19543</v>
      </c>
      <c r="F3623" t="s">
        <v>28198</v>
      </c>
      <c r="G3623" t="s">
        <v>28207</v>
      </c>
      <c r="H3623" t="s">
        <v>28215</v>
      </c>
      <c r="I3623" t="s">
        <v>5791</v>
      </c>
      <c r="J3623" t="s">
        <v>30723</v>
      </c>
      <c r="K3623" t="s">
        <v>36688</v>
      </c>
      <c r="M3623" t="s">
        <v>38428</v>
      </c>
      <c r="N3623" t="s">
        <v>40436</v>
      </c>
      <c r="O3623" t="s">
        <v>40437</v>
      </c>
      <c r="P3623">
        <v>0</v>
      </c>
      <c r="Q3623">
        <v>0</v>
      </c>
      <c r="R3623" t="s">
        <v>40439</v>
      </c>
      <c r="S3623" t="s">
        <v>40588</v>
      </c>
      <c r="T3623" t="s">
        <v>42188</v>
      </c>
      <c r="U3623" t="s">
        <v>44786</v>
      </c>
      <c r="W3623" t="s">
        <v>38428</v>
      </c>
      <c r="X3623" t="s">
        <v>40440</v>
      </c>
    </row>
    <row r="3624" spans="1:24">
      <c r="A3624">
        <f>HYPERLINK("https://www.philgeps.gov.ph/GEPSNONPILOT/Tender/SplashBidNoticeAbstractUI.aspx?menuIndex=3&amp;refID=7045701&amp;Result=3","7045701")</f>
        <v>0</v>
      </c>
      <c r="B3624" t="s">
        <v>695</v>
      </c>
      <c r="C3624" t="s">
        <v>6546</v>
      </c>
      <c r="D3624" t="s">
        <v>16204</v>
      </c>
      <c r="E3624" t="s">
        <v>19544</v>
      </c>
      <c r="F3624" t="s">
        <v>28198</v>
      </c>
      <c r="G3624" t="s">
        <v>28207</v>
      </c>
      <c r="H3624" t="s">
        <v>28214</v>
      </c>
      <c r="I3624" t="s">
        <v>3797</v>
      </c>
      <c r="J3624" t="s">
        <v>30724</v>
      </c>
      <c r="K3624" t="s">
        <v>36689</v>
      </c>
      <c r="M3624" t="s">
        <v>37695</v>
      </c>
      <c r="N3624" t="s">
        <v>40436</v>
      </c>
      <c r="O3624" t="s">
        <v>40437</v>
      </c>
      <c r="P3624">
        <v>0</v>
      </c>
      <c r="Q3624">
        <v>16</v>
      </c>
      <c r="R3624" t="s">
        <v>40439</v>
      </c>
      <c r="S3624" t="s">
        <v>40588</v>
      </c>
      <c r="T3624" t="s">
        <v>42218</v>
      </c>
      <c r="U3624" t="s">
        <v>45740</v>
      </c>
      <c r="W3624" t="s">
        <v>37695</v>
      </c>
      <c r="X3624" t="s">
        <v>40440</v>
      </c>
    </row>
    <row r="3625" spans="1:24">
      <c r="A3625">
        <f>HYPERLINK("https://www.philgeps.gov.ph/GEPSNONPILOT/Tender/SplashBidNoticeAbstractUI.aspx?menuIndex=3&amp;refID=7045708&amp;Result=3","7045708")</f>
        <v>0</v>
      </c>
      <c r="B3625" t="s">
        <v>455</v>
      </c>
      <c r="C3625" t="s">
        <v>6547</v>
      </c>
      <c r="D3625" t="s">
        <v>16263</v>
      </c>
      <c r="E3625" t="s">
        <v>19545</v>
      </c>
      <c r="F3625" t="s">
        <v>28198</v>
      </c>
      <c r="G3625" t="s">
        <v>28205</v>
      </c>
      <c r="H3625" t="s">
        <v>28214</v>
      </c>
      <c r="I3625" t="s">
        <v>3797</v>
      </c>
      <c r="J3625" t="s">
        <v>28351</v>
      </c>
      <c r="K3625" t="s">
        <v>36689</v>
      </c>
      <c r="M3625" t="s">
        <v>37439</v>
      </c>
      <c r="N3625" t="s">
        <v>40436</v>
      </c>
      <c r="O3625" t="s">
        <v>40437</v>
      </c>
      <c r="P3625">
        <v>0</v>
      </c>
      <c r="Q3625">
        <v>0</v>
      </c>
      <c r="R3625" t="s">
        <v>40439</v>
      </c>
      <c r="S3625" t="s">
        <v>40588</v>
      </c>
      <c r="T3625" t="s">
        <v>42118</v>
      </c>
      <c r="U3625" t="s">
        <v>45025</v>
      </c>
      <c r="W3625" t="s">
        <v>37439</v>
      </c>
      <c r="X3625" t="s">
        <v>40440</v>
      </c>
    </row>
    <row r="3626" spans="1:24">
      <c r="A3626">
        <f>HYPERLINK("https://www.philgeps.gov.ph/GEPSNONPILOT/Tender/SplashBidNoticeAbstractUI.aspx?menuIndex=3&amp;refID=7045706&amp;Result=3","7045706")</f>
        <v>0</v>
      </c>
      <c r="B3626" t="s">
        <v>1338</v>
      </c>
      <c r="C3626" t="s">
        <v>6548</v>
      </c>
      <c r="D3626" t="s">
        <v>16197</v>
      </c>
      <c r="E3626" t="s">
        <v>19546</v>
      </c>
      <c r="F3626" t="s">
        <v>28198</v>
      </c>
      <c r="G3626" t="s">
        <v>28207</v>
      </c>
      <c r="H3626" t="s">
        <v>28215</v>
      </c>
      <c r="I3626" t="s">
        <v>28296</v>
      </c>
      <c r="J3626" t="s">
        <v>29392</v>
      </c>
      <c r="K3626" t="s">
        <v>36707</v>
      </c>
      <c r="M3626" t="s">
        <v>38396</v>
      </c>
      <c r="N3626" t="s">
        <v>40436</v>
      </c>
      <c r="O3626" t="s">
        <v>40437</v>
      </c>
      <c r="P3626">
        <v>0</v>
      </c>
      <c r="Q3626">
        <v>1</v>
      </c>
      <c r="R3626" t="s">
        <v>40439</v>
      </c>
      <c r="S3626" t="s">
        <v>40588</v>
      </c>
      <c r="T3626" t="s">
        <v>42152</v>
      </c>
      <c r="U3626" t="s">
        <v>45741</v>
      </c>
      <c r="V3626" t="s">
        <v>54157</v>
      </c>
      <c r="W3626" t="s">
        <v>38396</v>
      </c>
      <c r="X3626" t="s">
        <v>40440</v>
      </c>
    </row>
    <row r="3627" spans="1:24">
      <c r="A3627">
        <f>HYPERLINK("https://www.philgeps.gov.ph/GEPSNONPILOT/Tender/SplashBidNoticeAbstractUI.aspx?menuIndex=3&amp;refID=7045675&amp;Result=3","7045675")</f>
        <v>0</v>
      </c>
      <c r="B3627" t="s">
        <v>1242</v>
      </c>
      <c r="C3627" t="s">
        <v>3281</v>
      </c>
      <c r="D3627" t="s">
        <v>16258</v>
      </c>
      <c r="E3627" t="s">
        <v>19547</v>
      </c>
      <c r="F3627" t="s">
        <v>28198</v>
      </c>
      <c r="G3627" t="s">
        <v>28207</v>
      </c>
      <c r="H3627" t="s">
        <v>28215</v>
      </c>
      <c r="I3627" t="s">
        <v>5100</v>
      </c>
      <c r="J3627" t="s">
        <v>30725</v>
      </c>
      <c r="K3627" t="s">
        <v>36706</v>
      </c>
      <c r="M3627" t="s">
        <v>38291</v>
      </c>
      <c r="N3627" t="s">
        <v>40436</v>
      </c>
      <c r="O3627" t="s">
        <v>40437</v>
      </c>
      <c r="P3627">
        <v>0</v>
      </c>
      <c r="Q3627">
        <v>0</v>
      </c>
      <c r="R3627" t="s">
        <v>40439</v>
      </c>
      <c r="S3627" t="s">
        <v>40588</v>
      </c>
      <c r="T3627" t="s">
        <v>42134</v>
      </c>
      <c r="U3627" t="s">
        <v>45742</v>
      </c>
      <c r="W3627" t="s">
        <v>38291</v>
      </c>
      <c r="X3627" t="s">
        <v>40440</v>
      </c>
    </row>
    <row r="3628" spans="1:24">
      <c r="A3628">
        <f>HYPERLINK("https://www.philgeps.gov.ph/GEPSNONPILOT/Tender/SplashBidNoticeAbstractUI.aspx?menuIndex=3&amp;refID=7045698&amp;Result=3","7045698")</f>
        <v>0</v>
      </c>
      <c r="B3628" t="s">
        <v>1288</v>
      </c>
      <c r="C3628" t="s">
        <v>6549</v>
      </c>
      <c r="D3628" t="s">
        <v>16227</v>
      </c>
      <c r="E3628" t="s">
        <v>19548</v>
      </c>
      <c r="F3628" t="s">
        <v>28200</v>
      </c>
      <c r="G3628" t="s">
        <v>28206</v>
      </c>
      <c r="H3628" t="s">
        <v>28217</v>
      </c>
      <c r="I3628" t="s">
        <v>6013</v>
      </c>
      <c r="J3628" t="s">
        <v>30726</v>
      </c>
      <c r="K3628" t="s">
        <v>36688</v>
      </c>
      <c r="M3628" t="s">
        <v>38341</v>
      </c>
      <c r="N3628" t="s">
        <v>40436</v>
      </c>
      <c r="O3628" t="s">
        <v>40437</v>
      </c>
      <c r="P3628">
        <v>0</v>
      </c>
      <c r="Q3628">
        <v>1</v>
      </c>
      <c r="R3628" t="s">
        <v>40439</v>
      </c>
      <c r="S3628" t="s">
        <v>40588</v>
      </c>
      <c r="T3628" t="s">
        <v>42302</v>
      </c>
      <c r="U3628" t="s">
        <v>45743</v>
      </c>
      <c r="W3628" t="s">
        <v>38341</v>
      </c>
      <c r="X3628" t="s">
        <v>40440</v>
      </c>
    </row>
    <row r="3629" spans="1:24">
      <c r="A3629">
        <f>HYPERLINK("https://www.philgeps.gov.ph/GEPSNONPILOT/Tender/SplashBidNoticeAbstractUI.aspx?menuIndex=3&amp;refID=7045665&amp;Result=3","7045665")</f>
        <v>0</v>
      </c>
      <c r="B3629" t="s">
        <v>1237</v>
      </c>
      <c r="C3629" t="s">
        <v>3134</v>
      </c>
      <c r="E3629" t="s">
        <v>19549</v>
      </c>
      <c r="F3629" t="s">
        <v>28198</v>
      </c>
      <c r="G3629" t="s">
        <v>28205</v>
      </c>
      <c r="H3629" t="s">
        <v>28214</v>
      </c>
      <c r="I3629" t="s">
        <v>3797</v>
      </c>
      <c r="J3629" t="s">
        <v>28373</v>
      </c>
      <c r="K3629" t="s">
        <v>36688</v>
      </c>
      <c r="M3629" t="s">
        <v>38286</v>
      </c>
      <c r="N3629" t="s">
        <v>40436</v>
      </c>
      <c r="O3629" t="s">
        <v>40437</v>
      </c>
      <c r="P3629">
        <v>0</v>
      </c>
      <c r="Q3629">
        <v>0</v>
      </c>
      <c r="R3629" t="s">
        <v>40439</v>
      </c>
      <c r="S3629" t="s">
        <v>40588</v>
      </c>
      <c r="T3629" t="s">
        <v>42180</v>
      </c>
      <c r="U3629" t="s">
        <v>45744</v>
      </c>
      <c r="W3629" t="s">
        <v>38286</v>
      </c>
      <c r="X3629" t="s">
        <v>40440</v>
      </c>
    </row>
    <row r="3630" spans="1:24">
      <c r="A3630">
        <f>HYPERLINK("https://www.philgeps.gov.ph/GEPSNONPILOT/Tender/SplashBidNoticeAbstractUI.aspx?menuIndex=3&amp;refID=7045703&amp;Result=3","7045703")</f>
        <v>0</v>
      </c>
      <c r="B3630" t="s">
        <v>1354</v>
      </c>
      <c r="C3630" t="s">
        <v>6550</v>
      </c>
      <c r="D3630" t="s">
        <v>16238</v>
      </c>
      <c r="E3630" t="s">
        <v>6550</v>
      </c>
      <c r="F3630" t="s">
        <v>28198</v>
      </c>
      <c r="G3630" t="s">
        <v>28205</v>
      </c>
      <c r="H3630" t="s">
        <v>28215</v>
      </c>
      <c r="I3630" t="s">
        <v>28258</v>
      </c>
      <c r="J3630" t="s">
        <v>28673</v>
      </c>
      <c r="K3630" t="s">
        <v>36701</v>
      </c>
      <c r="M3630" t="s">
        <v>38412</v>
      </c>
      <c r="N3630" t="s">
        <v>40436</v>
      </c>
      <c r="O3630" t="s">
        <v>40437</v>
      </c>
      <c r="P3630">
        <v>0</v>
      </c>
      <c r="Q3630">
        <v>2</v>
      </c>
      <c r="R3630" t="s">
        <v>40439</v>
      </c>
      <c r="S3630" t="s">
        <v>40588</v>
      </c>
      <c r="T3630" t="s">
        <v>42225</v>
      </c>
      <c r="U3630" t="s">
        <v>45745</v>
      </c>
      <c r="W3630" t="s">
        <v>38412</v>
      </c>
      <c r="X3630" t="s">
        <v>40440</v>
      </c>
    </row>
    <row r="3631" spans="1:24">
      <c r="A3631">
        <f>HYPERLINK("https://www.philgeps.gov.ph/GEPSNONPILOT/Tender/SplashBidNoticeAbstractUI.aspx?menuIndex=3&amp;refID=7045666&amp;Result=3","7045666")</f>
        <v>0</v>
      </c>
      <c r="B3631" t="s">
        <v>1368</v>
      </c>
      <c r="C3631" t="s">
        <v>6551</v>
      </c>
      <c r="D3631" t="s">
        <v>16223</v>
      </c>
      <c r="E3631" t="s">
        <v>19550</v>
      </c>
      <c r="F3631" t="s">
        <v>28198</v>
      </c>
      <c r="G3631" t="s">
        <v>28209</v>
      </c>
      <c r="H3631" t="s">
        <v>28215</v>
      </c>
      <c r="I3631" t="s">
        <v>28224</v>
      </c>
      <c r="J3631" t="s">
        <v>30727</v>
      </c>
      <c r="K3631" t="s">
        <v>36706</v>
      </c>
      <c r="L3631" t="s">
        <v>1368</v>
      </c>
      <c r="M3631" t="s">
        <v>38429</v>
      </c>
      <c r="N3631" t="s">
        <v>40436</v>
      </c>
      <c r="O3631" t="s">
        <v>40437</v>
      </c>
      <c r="P3631">
        <v>0</v>
      </c>
      <c r="Q3631">
        <v>1</v>
      </c>
      <c r="R3631" t="s">
        <v>40439</v>
      </c>
      <c r="S3631" t="s">
        <v>40588</v>
      </c>
      <c r="T3631" t="s">
        <v>42218</v>
      </c>
      <c r="U3631" t="s">
        <v>45746</v>
      </c>
      <c r="W3631" t="s">
        <v>38429</v>
      </c>
      <c r="X3631" t="s">
        <v>40440</v>
      </c>
    </row>
    <row r="3632" spans="1:24">
      <c r="A3632">
        <f>HYPERLINK("https://www.philgeps.gov.ph/GEPSNONPILOT/Tender/SplashBidNoticeAbstractUI.aspx?menuIndex=3&amp;refID=7045697&amp;Result=3","7045697")</f>
        <v>0</v>
      </c>
      <c r="B3632" t="s">
        <v>1260</v>
      </c>
      <c r="C3632" t="s">
        <v>6552</v>
      </c>
      <c r="D3632" t="s">
        <v>16206</v>
      </c>
      <c r="E3632" t="s">
        <v>19551</v>
      </c>
      <c r="F3632" t="s">
        <v>28198</v>
      </c>
      <c r="G3632" t="s">
        <v>28207</v>
      </c>
      <c r="H3632" t="s">
        <v>28215</v>
      </c>
      <c r="I3632" t="s">
        <v>5082</v>
      </c>
      <c r="J3632" t="s">
        <v>30728</v>
      </c>
      <c r="K3632" t="s">
        <v>36698</v>
      </c>
      <c r="M3632" t="s">
        <v>38310</v>
      </c>
      <c r="N3632" t="s">
        <v>40436</v>
      </c>
      <c r="O3632" t="s">
        <v>40437</v>
      </c>
      <c r="P3632">
        <v>0</v>
      </c>
      <c r="Q3632">
        <v>1</v>
      </c>
      <c r="R3632" t="s">
        <v>40439</v>
      </c>
      <c r="S3632" t="s">
        <v>40588</v>
      </c>
      <c r="T3632" t="s">
        <v>42326</v>
      </c>
      <c r="U3632" t="s">
        <v>45747</v>
      </c>
      <c r="W3632" t="s">
        <v>38310</v>
      </c>
      <c r="X3632" t="s">
        <v>40440</v>
      </c>
    </row>
    <row r="3633" spans="1:24">
      <c r="A3633">
        <f>HYPERLINK("https://www.philgeps.gov.ph/GEPSNONPILOT/Tender/SplashBidNoticeAbstractUI.aspx?menuIndex=3&amp;refID=7045694&amp;Result=3","7045694")</f>
        <v>0</v>
      </c>
      <c r="B3633" t="s">
        <v>1369</v>
      </c>
      <c r="C3633" t="s">
        <v>6553</v>
      </c>
      <c r="D3633" t="s">
        <v>16203</v>
      </c>
      <c r="E3633" t="s">
        <v>19552</v>
      </c>
      <c r="F3633" t="s">
        <v>28198</v>
      </c>
      <c r="G3633" t="s">
        <v>28207</v>
      </c>
      <c r="H3633" t="s">
        <v>28215</v>
      </c>
      <c r="I3633" t="s">
        <v>28224</v>
      </c>
      <c r="J3633" t="s">
        <v>28345</v>
      </c>
      <c r="K3633" t="s">
        <v>36693</v>
      </c>
      <c r="M3633" t="s">
        <v>38430</v>
      </c>
      <c r="N3633" t="s">
        <v>40436</v>
      </c>
      <c r="O3633" t="s">
        <v>40437</v>
      </c>
      <c r="P3633">
        <v>0</v>
      </c>
      <c r="Q3633">
        <v>0</v>
      </c>
      <c r="R3633" t="s">
        <v>40439</v>
      </c>
      <c r="S3633" t="s">
        <v>40588</v>
      </c>
      <c r="T3633" t="s">
        <v>42190</v>
      </c>
      <c r="U3633" t="s">
        <v>45748</v>
      </c>
      <c r="W3633" t="s">
        <v>38430</v>
      </c>
      <c r="X3633" t="s">
        <v>40440</v>
      </c>
    </row>
    <row r="3634" spans="1:24">
      <c r="A3634">
        <f>HYPERLINK("https://www.philgeps.gov.ph/GEPSNONPILOT/Tender/SplashBidNoticeAbstractUI.aspx?menuIndex=3&amp;refID=7045689&amp;Result=3","7045689")</f>
        <v>0</v>
      </c>
      <c r="B3634" t="s">
        <v>1041</v>
      </c>
      <c r="C3634" t="s">
        <v>6554</v>
      </c>
      <c r="D3634" t="s">
        <v>16190</v>
      </c>
      <c r="E3634" t="s">
        <v>19553</v>
      </c>
      <c r="F3634" t="s">
        <v>28198</v>
      </c>
      <c r="G3634" t="s">
        <v>28206</v>
      </c>
      <c r="H3634" t="s">
        <v>28215</v>
      </c>
      <c r="I3634" t="s">
        <v>5100</v>
      </c>
      <c r="J3634" t="s">
        <v>30729</v>
      </c>
      <c r="K3634" t="s">
        <v>36707</v>
      </c>
      <c r="M3634" t="s">
        <v>38074</v>
      </c>
      <c r="N3634" t="s">
        <v>40436</v>
      </c>
      <c r="O3634" t="s">
        <v>40437</v>
      </c>
      <c r="P3634">
        <v>0</v>
      </c>
      <c r="Q3634">
        <v>0</v>
      </c>
      <c r="R3634" t="s">
        <v>40439</v>
      </c>
      <c r="S3634" t="s">
        <v>40588</v>
      </c>
      <c r="T3634" t="s">
        <v>42152</v>
      </c>
      <c r="U3634" t="s">
        <v>45749</v>
      </c>
      <c r="W3634" t="s">
        <v>38074</v>
      </c>
      <c r="X3634" t="s">
        <v>40440</v>
      </c>
    </row>
    <row r="3635" spans="1:24">
      <c r="A3635">
        <f>HYPERLINK("https://www.philgeps.gov.ph/GEPSNONPILOT/Tender/SplashBidNoticeAbstractUI.aspx?menuIndex=3&amp;refID=7045690&amp;Result=3","7045690")</f>
        <v>0</v>
      </c>
      <c r="B3635" t="s">
        <v>360</v>
      </c>
      <c r="C3635" t="s">
        <v>6555</v>
      </c>
      <c r="D3635" t="s">
        <v>16210</v>
      </c>
      <c r="E3635" t="s">
        <v>19554</v>
      </c>
      <c r="F3635" t="s">
        <v>28198</v>
      </c>
      <c r="G3635" t="s">
        <v>28210</v>
      </c>
      <c r="H3635" t="s">
        <v>28215</v>
      </c>
      <c r="I3635" t="s">
        <v>5082</v>
      </c>
      <c r="J3635" t="s">
        <v>29301</v>
      </c>
      <c r="K3635" t="s">
        <v>36689</v>
      </c>
      <c r="M3635" t="s">
        <v>38431</v>
      </c>
      <c r="N3635" t="s">
        <v>40436</v>
      </c>
      <c r="O3635" t="s">
        <v>40437</v>
      </c>
      <c r="P3635">
        <v>0</v>
      </c>
      <c r="Q3635">
        <v>7</v>
      </c>
      <c r="R3635" t="s">
        <v>40439</v>
      </c>
      <c r="S3635" t="s">
        <v>40588</v>
      </c>
      <c r="T3635" t="s">
        <v>42146</v>
      </c>
      <c r="U3635" t="s">
        <v>45750</v>
      </c>
      <c r="V3635" t="s">
        <v>54158</v>
      </c>
      <c r="W3635" t="s">
        <v>38431</v>
      </c>
      <c r="X3635" t="s">
        <v>40440</v>
      </c>
    </row>
    <row r="3636" spans="1:24">
      <c r="A3636">
        <f>HYPERLINK("https://www.philgeps.gov.ph/GEPSNONPILOT/Tender/SplashBidNoticeAbstractUI.aspx?menuIndex=3&amp;refID=7045692&amp;Result=3","7045692")</f>
        <v>0</v>
      </c>
      <c r="B3636" t="s">
        <v>1370</v>
      </c>
      <c r="C3636" t="s">
        <v>6556</v>
      </c>
      <c r="D3636" t="s">
        <v>16213</v>
      </c>
      <c r="E3636" t="s">
        <v>19555</v>
      </c>
      <c r="F3636" t="s">
        <v>28198</v>
      </c>
      <c r="G3636" t="s">
        <v>28207</v>
      </c>
      <c r="H3636" t="s">
        <v>28215</v>
      </c>
      <c r="I3636" t="s">
        <v>5100</v>
      </c>
      <c r="J3636" t="s">
        <v>30730</v>
      </c>
      <c r="K3636" t="s">
        <v>36706</v>
      </c>
      <c r="M3636" t="s">
        <v>38432</v>
      </c>
      <c r="N3636" t="s">
        <v>40436</v>
      </c>
      <c r="O3636" t="s">
        <v>40437</v>
      </c>
      <c r="P3636">
        <v>0</v>
      </c>
      <c r="Q3636">
        <v>1</v>
      </c>
      <c r="R3636" t="s">
        <v>40439</v>
      </c>
      <c r="S3636" t="s">
        <v>40588</v>
      </c>
      <c r="T3636" t="s">
        <v>42131</v>
      </c>
      <c r="U3636" t="s">
        <v>45751</v>
      </c>
      <c r="W3636" t="s">
        <v>38432</v>
      </c>
      <c r="X3636" t="s">
        <v>40440</v>
      </c>
    </row>
    <row r="3637" spans="1:24">
      <c r="A3637">
        <f>HYPERLINK("https://www.philgeps.gov.ph/GEPSNONPILOT/Tender/SplashBidNoticeAbstractUI.aspx?menuIndex=3&amp;refID=7045716&amp;Result=3","7045716")</f>
        <v>0</v>
      </c>
      <c r="B3637" t="s">
        <v>1371</v>
      </c>
      <c r="C3637" t="s">
        <v>3134</v>
      </c>
      <c r="E3637" t="s">
        <v>19556</v>
      </c>
      <c r="F3637" t="s">
        <v>28198</v>
      </c>
      <c r="G3637" t="s">
        <v>28205</v>
      </c>
      <c r="H3637" t="s">
        <v>28214</v>
      </c>
      <c r="I3637" t="s">
        <v>3797</v>
      </c>
      <c r="J3637" t="s">
        <v>30731</v>
      </c>
      <c r="K3637" t="s">
        <v>36802</v>
      </c>
      <c r="M3637" t="s">
        <v>38433</v>
      </c>
      <c r="N3637" t="s">
        <v>40436</v>
      </c>
      <c r="O3637" t="s">
        <v>40437</v>
      </c>
      <c r="P3637">
        <v>0</v>
      </c>
      <c r="Q3637">
        <v>0</v>
      </c>
      <c r="R3637" t="s">
        <v>40439</v>
      </c>
      <c r="S3637" t="s">
        <v>40588</v>
      </c>
      <c r="T3637" t="s">
        <v>42180</v>
      </c>
      <c r="U3637" t="s">
        <v>45752</v>
      </c>
      <c r="W3637" t="s">
        <v>38433</v>
      </c>
      <c r="X3637" t="s">
        <v>40440</v>
      </c>
    </row>
    <row r="3638" spans="1:24">
      <c r="A3638">
        <f>HYPERLINK("https://www.philgeps.gov.ph/GEPSNONPILOT/Tender/SplashBidNoticeAbstractUI.aspx?menuIndex=3&amp;refID=7045709&amp;Result=3","7045709")</f>
        <v>0</v>
      </c>
      <c r="B3638" t="s">
        <v>1140</v>
      </c>
      <c r="C3638" t="s">
        <v>6557</v>
      </c>
      <c r="D3638" t="s">
        <v>16252</v>
      </c>
      <c r="E3638" t="s">
        <v>19557</v>
      </c>
      <c r="F3638" t="s">
        <v>28198</v>
      </c>
      <c r="G3638" t="s">
        <v>28205</v>
      </c>
      <c r="H3638" t="s">
        <v>28215</v>
      </c>
      <c r="I3638" t="s">
        <v>28238</v>
      </c>
      <c r="J3638" t="s">
        <v>30669</v>
      </c>
      <c r="K3638" t="s">
        <v>36706</v>
      </c>
      <c r="M3638" t="s">
        <v>38180</v>
      </c>
      <c r="N3638" t="s">
        <v>40436</v>
      </c>
      <c r="O3638" t="s">
        <v>40437</v>
      </c>
      <c r="P3638">
        <v>0</v>
      </c>
      <c r="Q3638">
        <v>0</v>
      </c>
      <c r="R3638" t="s">
        <v>40439</v>
      </c>
      <c r="S3638" t="s">
        <v>40588</v>
      </c>
      <c r="T3638" t="s">
        <v>42337</v>
      </c>
      <c r="U3638" t="s">
        <v>45753</v>
      </c>
      <c r="W3638" t="s">
        <v>38180</v>
      </c>
      <c r="X3638" t="s">
        <v>40440</v>
      </c>
    </row>
    <row r="3639" spans="1:24">
      <c r="A3639">
        <f>HYPERLINK("https://www.philgeps.gov.ph/GEPSNONPILOT/Tender/SplashBidNoticeAbstractUI.aspx?menuIndex=3&amp;refID=7045693&amp;Result=3","7045693")</f>
        <v>0</v>
      </c>
      <c r="B3639" t="s">
        <v>1372</v>
      </c>
      <c r="C3639" t="s">
        <v>6558</v>
      </c>
      <c r="D3639" t="s">
        <v>16195</v>
      </c>
      <c r="E3639" t="s">
        <v>19558</v>
      </c>
      <c r="F3639" t="s">
        <v>28198</v>
      </c>
      <c r="G3639" t="s">
        <v>28207</v>
      </c>
      <c r="H3639" t="s">
        <v>28215</v>
      </c>
      <c r="I3639" t="s">
        <v>4219</v>
      </c>
      <c r="J3639" t="s">
        <v>30178</v>
      </c>
      <c r="K3639" t="s">
        <v>36706</v>
      </c>
      <c r="M3639" t="s">
        <v>38434</v>
      </c>
      <c r="N3639" t="s">
        <v>40436</v>
      </c>
      <c r="O3639" t="s">
        <v>40437</v>
      </c>
      <c r="P3639">
        <v>0</v>
      </c>
      <c r="Q3639">
        <v>7</v>
      </c>
      <c r="R3639" t="s">
        <v>40439</v>
      </c>
      <c r="S3639" t="s">
        <v>40588</v>
      </c>
      <c r="T3639" t="s">
        <v>42190</v>
      </c>
      <c r="U3639" t="s">
        <v>45754</v>
      </c>
      <c r="W3639" t="s">
        <v>38434</v>
      </c>
      <c r="X3639" t="s">
        <v>40440</v>
      </c>
    </row>
    <row r="3640" spans="1:24">
      <c r="A3640">
        <f>HYPERLINK("https://www.philgeps.gov.ph/GEPSNONPILOT/Tender/SplashBidNoticeAbstractUI.aspx?menuIndex=3&amp;refID=7045685&amp;Result=3","7045685")</f>
        <v>0</v>
      </c>
      <c r="B3640" t="s">
        <v>1288</v>
      </c>
      <c r="C3640" t="s">
        <v>6559</v>
      </c>
      <c r="D3640" t="s">
        <v>16227</v>
      </c>
      <c r="E3640" t="s">
        <v>19559</v>
      </c>
      <c r="F3640" t="s">
        <v>28200</v>
      </c>
      <c r="G3640" t="s">
        <v>28206</v>
      </c>
      <c r="H3640" t="s">
        <v>28217</v>
      </c>
      <c r="I3640" t="s">
        <v>6013</v>
      </c>
      <c r="J3640" t="s">
        <v>30732</v>
      </c>
      <c r="K3640" t="s">
        <v>36688</v>
      </c>
      <c r="M3640" t="s">
        <v>38341</v>
      </c>
      <c r="N3640" t="s">
        <v>40436</v>
      </c>
      <c r="O3640" t="s">
        <v>40437</v>
      </c>
      <c r="P3640">
        <v>0</v>
      </c>
      <c r="Q3640">
        <v>1</v>
      </c>
      <c r="R3640" t="s">
        <v>40439</v>
      </c>
      <c r="S3640" t="s">
        <v>40588</v>
      </c>
      <c r="T3640" t="s">
        <v>42302</v>
      </c>
      <c r="U3640" t="s">
        <v>45755</v>
      </c>
      <c r="W3640" t="s">
        <v>38341</v>
      </c>
      <c r="X3640" t="s">
        <v>40440</v>
      </c>
    </row>
    <row r="3641" spans="1:24">
      <c r="A3641">
        <f>HYPERLINK("https://www.philgeps.gov.ph/GEPSNONPILOT/Tender/SplashBidNoticeAbstractUI.aspx?menuIndex=3&amp;refID=7045702&amp;Result=3","7045702")</f>
        <v>0</v>
      </c>
      <c r="B3641" t="s">
        <v>1373</v>
      </c>
      <c r="C3641" t="s">
        <v>6560</v>
      </c>
      <c r="D3641" t="s">
        <v>16189</v>
      </c>
      <c r="E3641" t="s">
        <v>19560</v>
      </c>
      <c r="F3641" t="s">
        <v>28198</v>
      </c>
      <c r="G3641" t="s">
        <v>28207</v>
      </c>
      <c r="H3641" t="s">
        <v>28215</v>
      </c>
      <c r="I3641" t="s">
        <v>28303</v>
      </c>
      <c r="J3641" t="s">
        <v>30733</v>
      </c>
      <c r="K3641" t="s">
        <v>36701</v>
      </c>
      <c r="M3641" t="s">
        <v>38435</v>
      </c>
      <c r="N3641" t="s">
        <v>40436</v>
      </c>
      <c r="O3641" t="s">
        <v>40437</v>
      </c>
      <c r="P3641">
        <v>0</v>
      </c>
      <c r="Q3641">
        <v>0</v>
      </c>
      <c r="R3641" t="s">
        <v>40439</v>
      </c>
      <c r="S3641" t="s">
        <v>40588</v>
      </c>
      <c r="T3641" t="s">
        <v>42131</v>
      </c>
      <c r="U3641" t="s">
        <v>45756</v>
      </c>
      <c r="W3641" t="s">
        <v>38435</v>
      </c>
      <c r="X3641" t="s">
        <v>40440</v>
      </c>
    </row>
    <row r="3642" spans="1:24">
      <c r="A3642">
        <f>HYPERLINK("https://www.philgeps.gov.ph/GEPSNONPILOT/Tender/SplashBidNoticeAbstractUI.aspx?menuIndex=3&amp;refID=7045710&amp;Result=3","7045710")</f>
        <v>0</v>
      </c>
      <c r="B3642" t="s">
        <v>242</v>
      </c>
      <c r="C3642" t="s">
        <v>6561</v>
      </c>
      <c r="D3642" t="s">
        <v>16254</v>
      </c>
      <c r="E3642" t="s">
        <v>19561</v>
      </c>
      <c r="F3642" t="s">
        <v>28198</v>
      </c>
      <c r="G3642" t="s">
        <v>28209</v>
      </c>
      <c r="H3642" t="s">
        <v>28215</v>
      </c>
      <c r="I3642" t="s">
        <v>28224</v>
      </c>
      <c r="J3642" t="s">
        <v>28415</v>
      </c>
      <c r="K3642" t="s">
        <v>36707</v>
      </c>
      <c r="M3642" t="s">
        <v>37218</v>
      </c>
      <c r="N3642" t="s">
        <v>40436</v>
      </c>
      <c r="O3642" t="s">
        <v>40437</v>
      </c>
      <c r="P3642">
        <v>0</v>
      </c>
      <c r="Q3642">
        <v>0</v>
      </c>
      <c r="R3642" t="s">
        <v>40439</v>
      </c>
      <c r="S3642" t="s">
        <v>40588</v>
      </c>
      <c r="T3642" t="s">
        <v>42129</v>
      </c>
      <c r="U3642" t="s">
        <v>45757</v>
      </c>
      <c r="V3642" t="s">
        <v>54159</v>
      </c>
      <c r="W3642" t="s">
        <v>37218</v>
      </c>
      <c r="X3642" t="s">
        <v>40440</v>
      </c>
    </row>
    <row r="3643" spans="1:24">
      <c r="A3643">
        <f>HYPERLINK("https://www.philgeps.gov.ph/GEPSNONPILOT/Tender/SplashBidNoticeAbstractUI.aspx?menuIndex=3&amp;refID=7045713&amp;Result=3","7045713")</f>
        <v>0</v>
      </c>
      <c r="B3643" t="s">
        <v>1348</v>
      </c>
      <c r="C3643" t="s">
        <v>6562</v>
      </c>
      <c r="D3643" t="s">
        <v>16217</v>
      </c>
      <c r="E3643" t="s">
        <v>19562</v>
      </c>
      <c r="F3643" t="s">
        <v>28198</v>
      </c>
      <c r="G3643" t="s">
        <v>28207</v>
      </c>
      <c r="H3643" t="s">
        <v>28217</v>
      </c>
      <c r="I3643" t="s">
        <v>28235</v>
      </c>
      <c r="J3643" t="s">
        <v>30703</v>
      </c>
      <c r="K3643" t="s">
        <v>36701</v>
      </c>
      <c r="M3643" t="s">
        <v>38406</v>
      </c>
      <c r="N3643" t="s">
        <v>40436</v>
      </c>
      <c r="O3643" t="s">
        <v>40437</v>
      </c>
      <c r="P3643">
        <v>0</v>
      </c>
      <c r="Q3643">
        <v>0</v>
      </c>
      <c r="R3643" t="s">
        <v>40439</v>
      </c>
      <c r="S3643" t="s">
        <v>40588</v>
      </c>
      <c r="T3643" t="s">
        <v>42131</v>
      </c>
      <c r="U3643" t="s">
        <v>45758</v>
      </c>
      <c r="W3643" t="s">
        <v>38406</v>
      </c>
      <c r="X3643" t="s">
        <v>40440</v>
      </c>
    </row>
    <row r="3644" spans="1:24">
      <c r="A3644">
        <f>HYPERLINK("https://www.philgeps.gov.ph/GEPSNONPILOT/Tender/SplashBidNoticeAbstractUI.aspx?menuIndex=3&amp;refID=7045736&amp;Result=3","7045736")</f>
        <v>0</v>
      </c>
      <c r="B3644" t="s">
        <v>305</v>
      </c>
      <c r="C3644" t="s">
        <v>6563</v>
      </c>
      <c r="D3644" t="s">
        <v>16197</v>
      </c>
      <c r="E3644" t="s">
        <v>19563</v>
      </c>
      <c r="F3644" t="s">
        <v>28198</v>
      </c>
      <c r="G3644" t="s">
        <v>28205</v>
      </c>
      <c r="H3644" t="s">
        <v>28215</v>
      </c>
      <c r="I3644" t="s">
        <v>28256</v>
      </c>
      <c r="J3644" t="s">
        <v>30565</v>
      </c>
      <c r="K3644" t="s">
        <v>36701</v>
      </c>
      <c r="M3644" t="s">
        <v>37282</v>
      </c>
      <c r="N3644" t="s">
        <v>40436</v>
      </c>
      <c r="O3644" t="s">
        <v>40437</v>
      </c>
      <c r="P3644">
        <v>0</v>
      </c>
      <c r="Q3644">
        <v>6</v>
      </c>
      <c r="R3644" t="s">
        <v>40439</v>
      </c>
      <c r="S3644" t="s">
        <v>40588</v>
      </c>
      <c r="T3644" t="s">
        <v>42234</v>
      </c>
      <c r="U3644" t="s">
        <v>43102</v>
      </c>
      <c r="W3644" t="s">
        <v>37282</v>
      </c>
      <c r="X3644" t="s">
        <v>40440</v>
      </c>
    </row>
    <row r="3645" spans="1:24">
      <c r="A3645">
        <f>HYPERLINK("https://www.philgeps.gov.ph/GEPSNONPILOT/Tender/SplashBidNoticeAbstractUI.aspx?menuIndex=3&amp;refID=7045711&amp;Result=3","7045711")</f>
        <v>0</v>
      </c>
      <c r="B3645" t="s">
        <v>1288</v>
      </c>
      <c r="C3645" t="s">
        <v>6564</v>
      </c>
      <c r="D3645" t="s">
        <v>16227</v>
      </c>
      <c r="E3645" t="s">
        <v>19564</v>
      </c>
      <c r="F3645" t="s">
        <v>28200</v>
      </c>
      <c r="G3645" t="s">
        <v>28206</v>
      </c>
      <c r="H3645" t="s">
        <v>28217</v>
      </c>
      <c r="I3645" t="s">
        <v>6013</v>
      </c>
      <c r="J3645" t="s">
        <v>30734</v>
      </c>
      <c r="K3645" t="s">
        <v>36688</v>
      </c>
      <c r="M3645" t="s">
        <v>38341</v>
      </c>
      <c r="N3645" t="s">
        <v>40436</v>
      </c>
      <c r="O3645" t="s">
        <v>40437</v>
      </c>
      <c r="P3645">
        <v>0</v>
      </c>
      <c r="Q3645">
        <v>1</v>
      </c>
      <c r="R3645" t="s">
        <v>40439</v>
      </c>
      <c r="S3645" t="s">
        <v>40588</v>
      </c>
      <c r="T3645" t="s">
        <v>42302</v>
      </c>
      <c r="U3645" t="s">
        <v>45759</v>
      </c>
      <c r="W3645" t="s">
        <v>38341</v>
      </c>
      <c r="X3645" t="s">
        <v>40440</v>
      </c>
    </row>
    <row r="3646" spans="1:24">
      <c r="A3646">
        <f>HYPERLINK("https://www.philgeps.gov.ph/GEPSNONPILOT/Tender/SplashBidNoticeAbstractUI.aspx?menuIndex=3&amp;refID=7045732&amp;Result=3","7045732")</f>
        <v>0</v>
      </c>
      <c r="B3646" t="s">
        <v>1367</v>
      </c>
      <c r="C3646" t="s">
        <v>6565</v>
      </c>
      <c r="D3646" t="s">
        <v>16204</v>
      </c>
      <c r="E3646" t="s">
        <v>19565</v>
      </c>
      <c r="F3646" t="s">
        <v>28198</v>
      </c>
      <c r="G3646" t="s">
        <v>28205</v>
      </c>
      <c r="H3646" t="s">
        <v>28215</v>
      </c>
      <c r="I3646" t="s">
        <v>28249</v>
      </c>
      <c r="J3646" t="s">
        <v>29531</v>
      </c>
      <c r="K3646" t="s">
        <v>36707</v>
      </c>
      <c r="M3646" t="s">
        <v>38427</v>
      </c>
      <c r="N3646" t="s">
        <v>40436</v>
      </c>
      <c r="O3646" t="s">
        <v>40437</v>
      </c>
      <c r="P3646">
        <v>0</v>
      </c>
      <c r="Q3646">
        <v>0</v>
      </c>
      <c r="R3646" t="s">
        <v>40439</v>
      </c>
      <c r="S3646" t="s">
        <v>40588</v>
      </c>
      <c r="T3646" t="s">
        <v>42203</v>
      </c>
      <c r="U3646" t="s">
        <v>45760</v>
      </c>
      <c r="V3646" t="s">
        <v>54156</v>
      </c>
      <c r="W3646" t="s">
        <v>38427</v>
      </c>
      <c r="X3646" t="s">
        <v>40440</v>
      </c>
    </row>
    <row r="3647" spans="1:24">
      <c r="A3647">
        <f>HYPERLINK("https://www.philgeps.gov.ph/GEPSNONPILOT/Tender/SplashBidNoticeAbstractUI.aspx?menuIndex=3&amp;refID=7045712&amp;Result=3","7045712")</f>
        <v>0</v>
      </c>
      <c r="B3647" t="s">
        <v>175</v>
      </c>
      <c r="C3647" t="s">
        <v>6566</v>
      </c>
      <c r="D3647" t="s">
        <v>16244</v>
      </c>
      <c r="E3647" t="s">
        <v>19566</v>
      </c>
      <c r="F3647" t="s">
        <v>28198</v>
      </c>
      <c r="G3647" t="s">
        <v>28206</v>
      </c>
      <c r="H3647" t="s">
        <v>28215</v>
      </c>
      <c r="I3647" t="s">
        <v>7310</v>
      </c>
      <c r="J3647" t="s">
        <v>30735</v>
      </c>
      <c r="K3647" t="s">
        <v>36688</v>
      </c>
      <c r="M3647" t="s">
        <v>37149</v>
      </c>
      <c r="N3647" t="s">
        <v>40436</v>
      </c>
      <c r="O3647" t="s">
        <v>40437</v>
      </c>
      <c r="P3647">
        <v>0</v>
      </c>
      <c r="Q3647">
        <v>0</v>
      </c>
      <c r="R3647" t="s">
        <v>40439</v>
      </c>
      <c r="S3647" t="s">
        <v>40588</v>
      </c>
      <c r="T3647" t="s">
        <v>42185</v>
      </c>
      <c r="U3647" t="s">
        <v>45761</v>
      </c>
      <c r="W3647" t="s">
        <v>37149</v>
      </c>
      <c r="X3647" t="s">
        <v>40440</v>
      </c>
    </row>
    <row r="3648" spans="1:24">
      <c r="A3648">
        <f>HYPERLINK("https://www.philgeps.gov.ph/GEPSNONPILOT/Tender/SplashBidNoticeAbstractUI.aspx?menuIndex=3&amp;refID=7045728&amp;Result=3","7045728")</f>
        <v>0</v>
      </c>
      <c r="B3648" t="s">
        <v>1035</v>
      </c>
      <c r="C3648" t="s">
        <v>6567</v>
      </c>
      <c r="D3648" t="s">
        <v>16209</v>
      </c>
      <c r="E3648" t="s">
        <v>19567</v>
      </c>
      <c r="F3648" t="s">
        <v>28198</v>
      </c>
      <c r="G3648" t="s">
        <v>28205</v>
      </c>
      <c r="H3648" t="s">
        <v>28214</v>
      </c>
      <c r="I3648" t="s">
        <v>3797</v>
      </c>
      <c r="J3648" t="s">
        <v>30736</v>
      </c>
      <c r="K3648" t="s">
        <v>36803</v>
      </c>
      <c r="M3648" t="s">
        <v>38067</v>
      </c>
      <c r="N3648" t="s">
        <v>40436</v>
      </c>
      <c r="O3648" t="s">
        <v>40437</v>
      </c>
      <c r="P3648">
        <v>0</v>
      </c>
      <c r="Q3648">
        <v>0</v>
      </c>
      <c r="R3648" t="s">
        <v>40439</v>
      </c>
      <c r="S3648" t="s">
        <v>40588</v>
      </c>
      <c r="T3648" t="s">
        <v>42175</v>
      </c>
      <c r="U3648" t="s">
        <v>45762</v>
      </c>
      <c r="W3648" t="s">
        <v>38067</v>
      </c>
      <c r="X3648" t="s">
        <v>40440</v>
      </c>
    </row>
    <row r="3649" spans="1:24">
      <c r="A3649">
        <f>HYPERLINK("https://www.philgeps.gov.ph/GEPSNONPILOT/Tender/SplashBidNoticeAbstractUI.aspx?menuIndex=3&amp;refID=7045731&amp;Result=3","7045731")</f>
        <v>0</v>
      </c>
      <c r="B3649" t="s">
        <v>96</v>
      </c>
      <c r="C3649" t="s">
        <v>6568</v>
      </c>
      <c r="D3649" t="s">
        <v>16225</v>
      </c>
      <c r="E3649" t="s">
        <v>19568</v>
      </c>
      <c r="F3649" t="s">
        <v>28198</v>
      </c>
      <c r="G3649" t="s">
        <v>28209</v>
      </c>
      <c r="H3649" t="s">
        <v>28215</v>
      </c>
      <c r="I3649" t="s">
        <v>28224</v>
      </c>
      <c r="J3649" t="s">
        <v>30737</v>
      </c>
      <c r="K3649" t="s">
        <v>36715</v>
      </c>
      <c r="M3649" t="s">
        <v>37068</v>
      </c>
      <c r="N3649" t="s">
        <v>40436</v>
      </c>
      <c r="O3649" t="s">
        <v>40437</v>
      </c>
      <c r="P3649">
        <v>0</v>
      </c>
      <c r="Q3649">
        <v>0</v>
      </c>
      <c r="R3649" t="s">
        <v>40439</v>
      </c>
      <c r="S3649" t="s">
        <v>40588</v>
      </c>
      <c r="T3649" t="s">
        <v>42218</v>
      </c>
      <c r="U3649" t="s">
        <v>45736</v>
      </c>
      <c r="W3649" t="s">
        <v>37068</v>
      </c>
      <c r="X3649" t="s">
        <v>40440</v>
      </c>
    </row>
    <row r="3650" spans="1:24">
      <c r="A3650">
        <f>HYPERLINK("https://www.philgeps.gov.ph/GEPSNONPILOT/Tender/SplashBidNoticeAbstractUI.aspx?menuIndex=3&amp;refID=7045727&amp;Result=3","7045727")</f>
        <v>0</v>
      </c>
      <c r="B3650" t="s">
        <v>1288</v>
      </c>
      <c r="C3650" t="s">
        <v>6569</v>
      </c>
      <c r="D3650" t="s">
        <v>16227</v>
      </c>
      <c r="E3650" t="s">
        <v>19569</v>
      </c>
      <c r="F3650" t="s">
        <v>28200</v>
      </c>
      <c r="G3650" t="s">
        <v>28206</v>
      </c>
      <c r="H3650" t="s">
        <v>28215</v>
      </c>
      <c r="I3650" t="s">
        <v>28247</v>
      </c>
      <c r="J3650" t="s">
        <v>30738</v>
      </c>
      <c r="K3650" t="s">
        <v>36688</v>
      </c>
      <c r="M3650" t="s">
        <v>38341</v>
      </c>
      <c r="N3650" t="s">
        <v>40436</v>
      </c>
      <c r="O3650" t="s">
        <v>40437</v>
      </c>
      <c r="P3650">
        <v>0</v>
      </c>
      <c r="Q3650">
        <v>10</v>
      </c>
      <c r="R3650" t="s">
        <v>40439</v>
      </c>
      <c r="S3650" t="s">
        <v>40588</v>
      </c>
      <c r="T3650" t="s">
        <v>42302</v>
      </c>
      <c r="U3650" t="s">
        <v>45763</v>
      </c>
      <c r="W3650" t="s">
        <v>38341</v>
      </c>
      <c r="X3650" t="s">
        <v>40440</v>
      </c>
    </row>
    <row r="3651" spans="1:24">
      <c r="A3651">
        <f>HYPERLINK("https://www.philgeps.gov.ph/GEPSNONPILOT/Tender/SplashBidNoticeAbstractUI.aspx?menuIndex=3&amp;refID=7045715&amp;Result=3","7045715")</f>
        <v>0</v>
      </c>
      <c r="B3651" t="s">
        <v>1354</v>
      </c>
      <c r="C3651" t="s">
        <v>6570</v>
      </c>
      <c r="D3651" t="s">
        <v>16238</v>
      </c>
      <c r="E3651" t="s">
        <v>19570</v>
      </c>
      <c r="F3651" t="s">
        <v>28198</v>
      </c>
      <c r="G3651" t="s">
        <v>28205</v>
      </c>
      <c r="H3651" t="s">
        <v>28215</v>
      </c>
      <c r="I3651" t="s">
        <v>28321</v>
      </c>
      <c r="J3651" t="s">
        <v>30410</v>
      </c>
      <c r="K3651" t="s">
        <v>36689</v>
      </c>
      <c r="M3651" t="s">
        <v>38412</v>
      </c>
      <c r="N3651" t="s">
        <v>40436</v>
      </c>
      <c r="O3651" t="s">
        <v>40437</v>
      </c>
      <c r="P3651">
        <v>0</v>
      </c>
      <c r="Q3651">
        <v>0</v>
      </c>
      <c r="R3651" t="s">
        <v>40439</v>
      </c>
      <c r="S3651" t="s">
        <v>40588</v>
      </c>
      <c r="T3651" t="s">
        <v>42225</v>
      </c>
      <c r="U3651" t="s">
        <v>45764</v>
      </c>
      <c r="W3651" t="s">
        <v>38412</v>
      </c>
      <c r="X3651" t="s">
        <v>40440</v>
      </c>
    </row>
    <row r="3652" spans="1:24">
      <c r="A3652">
        <f>HYPERLINK("https://www.philgeps.gov.ph/GEPSNONPILOT/Tender/SplashBidNoticeAbstractUI.aspx?menuIndex=3&amp;refID=7045734&amp;Result=3","7045734")</f>
        <v>0</v>
      </c>
      <c r="B3652" t="s">
        <v>108</v>
      </c>
      <c r="C3652" t="s">
        <v>6571</v>
      </c>
      <c r="D3652" t="s">
        <v>16190</v>
      </c>
      <c r="E3652" t="s">
        <v>18647</v>
      </c>
      <c r="F3652" t="s">
        <v>28198</v>
      </c>
      <c r="G3652" t="s">
        <v>28207</v>
      </c>
      <c r="H3652" t="s">
        <v>28215</v>
      </c>
      <c r="I3652" t="s">
        <v>5100</v>
      </c>
      <c r="J3652" t="s">
        <v>30739</v>
      </c>
      <c r="K3652" t="s">
        <v>36698</v>
      </c>
      <c r="M3652" t="s">
        <v>37388</v>
      </c>
      <c r="N3652" t="s">
        <v>40436</v>
      </c>
      <c r="O3652" t="s">
        <v>40437</v>
      </c>
      <c r="P3652">
        <v>0</v>
      </c>
      <c r="Q3652">
        <v>0</v>
      </c>
      <c r="R3652" t="s">
        <v>40439</v>
      </c>
      <c r="S3652" t="s">
        <v>40588</v>
      </c>
      <c r="T3652" t="s">
        <v>42190</v>
      </c>
      <c r="U3652" t="s">
        <v>45765</v>
      </c>
      <c r="V3652" t="s">
        <v>54160</v>
      </c>
      <c r="W3652" t="s">
        <v>37388</v>
      </c>
      <c r="X3652" t="s">
        <v>40440</v>
      </c>
    </row>
    <row r="3653" spans="1:24">
      <c r="A3653">
        <f>HYPERLINK("https://www.philgeps.gov.ph/GEPSNONPILOT/Tender/SplashBidNoticeAbstractUI.aspx?menuIndex=3&amp;refID=7045724&amp;Result=3","7045724")</f>
        <v>0</v>
      </c>
      <c r="B3653" t="s">
        <v>1374</v>
      </c>
      <c r="C3653" t="s">
        <v>6572</v>
      </c>
      <c r="D3653" t="s">
        <v>16241</v>
      </c>
      <c r="E3653" t="s">
        <v>19571</v>
      </c>
      <c r="F3653" t="s">
        <v>28198</v>
      </c>
      <c r="G3653" t="s">
        <v>28206</v>
      </c>
      <c r="H3653" t="s">
        <v>28215</v>
      </c>
      <c r="I3653" t="s">
        <v>5082</v>
      </c>
      <c r="J3653" t="s">
        <v>28862</v>
      </c>
      <c r="K3653" t="s">
        <v>36688</v>
      </c>
      <c r="M3653" t="s">
        <v>38436</v>
      </c>
      <c r="N3653" t="s">
        <v>40436</v>
      </c>
      <c r="O3653" t="s">
        <v>40437</v>
      </c>
      <c r="P3653">
        <v>0</v>
      </c>
      <c r="Q3653">
        <v>1</v>
      </c>
      <c r="R3653" t="s">
        <v>40439</v>
      </c>
      <c r="S3653" t="s">
        <v>40588</v>
      </c>
      <c r="T3653" t="s">
        <v>42119</v>
      </c>
      <c r="U3653" t="s">
        <v>45766</v>
      </c>
      <c r="W3653" t="s">
        <v>38436</v>
      </c>
      <c r="X3653" t="s">
        <v>40440</v>
      </c>
    </row>
    <row r="3654" spans="1:24">
      <c r="A3654">
        <f>HYPERLINK("https://www.philgeps.gov.ph/GEPSNONPILOT/Tender/SplashBidNoticeAbstractUI.aspx?menuIndex=3&amp;refID=7045726&amp;Result=3","7045726")</f>
        <v>0</v>
      </c>
      <c r="B3654" t="s">
        <v>97</v>
      </c>
      <c r="C3654" t="s">
        <v>6573</v>
      </c>
      <c r="D3654" t="s">
        <v>16226</v>
      </c>
      <c r="E3654" t="s">
        <v>19572</v>
      </c>
      <c r="F3654" t="s">
        <v>28198</v>
      </c>
      <c r="G3654" t="s">
        <v>28207</v>
      </c>
      <c r="H3654" t="s">
        <v>28215</v>
      </c>
      <c r="I3654" t="s">
        <v>28243</v>
      </c>
      <c r="J3654" t="s">
        <v>30740</v>
      </c>
      <c r="K3654" t="s">
        <v>36688</v>
      </c>
      <c r="M3654" t="s">
        <v>38437</v>
      </c>
      <c r="N3654" t="s">
        <v>40436</v>
      </c>
      <c r="O3654" t="s">
        <v>40437</v>
      </c>
      <c r="P3654">
        <v>0</v>
      </c>
      <c r="Q3654">
        <v>2</v>
      </c>
      <c r="R3654" t="s">
        <v>40439</v>
      </c>
      <c r="S3654" t="s">
        <v>40588</v>
      </c>
      <c r="T3654" t="s">
        <v>42124</v>
      </c>
      <c r="U3654" t="s">
        <v>45767</v>
      </c>
      <c r="W3654" t="s">
        <v>38437</v>
      </c>
      <c r="X3654" t="s">
        <v>40440</v>
      </c>
    </row>
    <row r="3655" spans="1:24">
      <c r="A3655">
        <f>HYPERLINK("https://www.philgeps.gov.ph/GEPSNONPILOT/Tender/SplashBidNoticeAbstractUI.aspx?menuIndex=3&amp;refID=7045687&amp;Result=3","7045687")</f>
        <v>0</v>
      </c>
      <c r="B3655" t="s">
        <v>1354</v>
      </c>
      <c r="C3655" t="s">
        <v>6574</v>
      </c>
      <c r="D3655" t="s">
        <v>16238</v>
      </c>
      <c r="E3655" t="s">
        <v>19573</v>
      </c>
      <c r="F3655" t="s">
        <v>28198</v>
      </c>
      <c r="G3655" t="s">
        <v>28205</v>
      </c>
      <c r="H3655" t="s">
        <v>28215</v>
      </c>
      <c r="I3655" t="s">
        <v>28258</v>
      </c>
      <c r="J3655" t="s">
        <v>30741</v>
      </c>
      <c r="K3655" t="s">
        <v>36701</v>
      </c>
      <c r="M3655" t="s">
        <v>38412</v>
      </c>
      <c r="N3655" t="s">
        <v>40436</v>
      </c>
      <c r="O3655" t="s">
        <v>40437</v>
      </c>
      <c r="P3655">
        <v>0</v>
      </c>
      <c r="Q3655">
        <v>1</v>
      </c>
      <c r="R3655" t="s">
        <v>40439</v>
      </c>
      <c r="S3655" t="s">
        <v>40588</v>
      </c>
      <c r="T3655" t="s">
        <v>42225</v>
      </c>
      <c r="U3655" t="s">
        <v>45768</v>
      </c>
      <c r="W3655" t="s">
        <v>38412</v>
      </c>
      <c r="X3655" t="s">
        <v>40440</v>
      </c>
    </row>
    <row r="3656" spans="1:24">
      <c r="A3656">
        <f>HYPERLINK("https://www.philgeps.gov.ph/GEPSNONPILOT/Tender/SplashBidNoticeAbstractUI.aspx?menuIndex=3&amp;refID=7045720&amp;Result=3","7045720")</f>
        <v>0</v>
      </c>
      <c r="B3656" t="s">
        <v>1375</v>
      </c>
      <c r="C3656" t="s">
        <v>6575</v>
      </c>
      <c r="D3656" t="s">
        <v>16203</v>
      </c>
      <c r="E3656" t="s">
        <v>19574</v>
      </c>
      <c r="F3656" t="s">
        <v>28198</v>
      </c>
      <c r="G3656" t="s">
        <v>28207</v>
      </c>
      <c r="H3656" t="s">
        <v>28215</v>
      </c>
      <c r="I3656" t="s">
        <v>5100</v>
      </c>
      <c r="J3656" t="s">
        <v>28529</v>
      </c>
      <c r="K3656" t="s">
        <v>36706</v>
      </c>
      <c r="M3656" t="s">
        <v>38438</v>
      </c>
      <c r="N3656" t="s">
        <v>40436</v>
      </c>
      <c r="O3656" t="s">
        <v>40437</v>
      </c>
      <c r="P3656">
        <v>0</v>
      </c>
      <c r="Q3656">
        <v>0</v>
      </c>
      <c r="R3656" t="s">
        <v>40439</v>
      </c>
      <c r="S3656" t="s">
        <v>40588</v>
      </c>
      <c r="T3656" t="s">
        <v>42175</v>
      </c>
      <c r="U3656" t="s">
        <v>45769</v>
      </c>
      <c r="W3656" t="s">
        <v>38438</v>
      </c>
      <c r="X3656" t="s">
        <v>40440</v>
      </c>
    </row>
    <row r="3657" spans="1:24">
      <c r="A3657">
        <f>HYPERLINK("https://www.philgeps.gov.ph/GEPSNONPILOT/Tender/SplashBidNoticeAbstractUI.aspx?menuIndex=3&amp;refID=7045725&amp;Result=3","7045725")</f>
        <v>0</v>
      </c>
      <c r="B3657" t="s">
        <v>561</v>
      </c>
      <c r="C3657" t="s">
        <v>6576</v>
      </c>
      <c r="D3657" t="s">
        <v>16196</v>
      </c>
      <c r="E3657" t="s">
        <v>19575</v>
      </c>
      <c r="F3657" t="s">
        <v>28198</v>
      </c>
      <c r="G3657" t="s">
        <v>28207</v>
      </c>
      <c r="H3657" t="s">
        <v>28215</v>
      </c>
      <c r="I3657" t="s">
        <v>8870</v>
      </c>
      <c r="J3657" t="s">
        <v>30742</v>
      </c>
      <c r="K3657" t="s">
        <v>36691</v>
      </c>
      <c r="L3657" t="s">
        <v>561</v>
      </c>
      <c r="M3657" t="s">
        <v>37547</v>
      </c>
      <c r="N3657" t="s">
        <v>40436</v>
      </c>
      <c r="O3657" t="s">
        <v>40437</v>
      </c>
      <c r="P3657">
        <v>0</v>
      </c>
      <c r="Q3657">
        <v>0</v>
      </c>
      <c r="R3657" t="s">
        <v>40439</v>
      </c>
      <c r="S3657" t="s">
        <v>40588</v>
      </c>
      <c r="T3657" t="s">
        <v>42190</v>
      </c>
      <c r="U3657" t="s">
        <v>45770</v>
      </c>
      <c r="W3657" t="s">
        <v>37547</v>
      </c>
      <c r="X3657" t="s">
        <v>40440</v>
      </c>
    </row>
    <row r="3658" spans="1:24">
      <c r="A3658">
        <f>HYPERLINK("https://www.philgeps.gov.ph/GEPSNONPILOT/Tender/SplashBidNoticeAbstractUI.aspx?menuIndex=3&amp;refID=7045688&amp;Result=3","7045688")</f>
        <v>0</v>
      </c>
      <c r="B3658" t="s">
        <v>1348</v>
      </c>
      <c r="C3658" t="s">
        <v>6577</v>
      </c>
      <c r="E3658" t="s">
        <v>19576</v>
      </c>
      <c r="F3658" t="s">
        <v>28198</v>
      </c>
      <c r="G3658" t="s">
        <v>28207</v>
      </c>
      <c r="H3658" t="s">
        <v>28217</v>
      </c>
      <c r="I3658" t="s">
        <v>28235</v>
      </c>
      <c r="J3658" t="s">
        <v>30703</v>
      </c>
      <c r="K3658" t="s">
        <v>36701</v>
      </c>
      <c r="M3658" t="s">
        <v>38406</v>
      </c>
      <c r="N3658" t="s">
        <v>40436</v>
      </c>
      <c r="O3658" t="s">
        <v>40437</v>
      </c>
      <c r="P3658">
        <v>0</v>
      </c>
      <c r="Q3658">
        <v>0</v>
      </c>
      <c r="R3658" t="s">
        <v>40439</v>
      </c>
      <c r="S3658" t="s">
        <v>40588</v>
      </c>
      <c r="T3658" t="s">
        <v>42131</v>
      </c>
      <c r="U3658" t="s">
        <v>45771</v>
      </c>
      <c r="W3658" t="s">
        <v>38406</v>
      </c>
      <c r="X3658" t="s">
        <v>40440</v>
      </c>
    </row>
    <row r="3659" spans="1:24">
      <c r="A3659">
        <f>HYPERLINK("https://www.philgeps.gov.ph/GEPSNONPILOT/Tender/SplashBidNoticeAbstractUI.aspx?menuIndex=3&amp;refID=7045718&amp;Result=3","7045718")</f>
        <v>0</v>
      </c>
      <c r="B3659" t="s">
        <v>572</v>
      </c>
      <c r="C3659" t="s">
        <v>4802</v>
      </c>
      <c r="D3659" t="s">
        <v>16192</v>
      </c>
      <c r="E3659" t="s">
        <v>16409</v>
      </c>
      <c r="F3659" t="s">
        <v>28198</v>
      </c>
      <c r="G3659" t="s">
        <v>28207</v>
      </c>
      <c r="H3659" t="s">
        <v>28215</v>
      </c>
      <c r="I3659" t="s">
        <v>3422</v>
      </c>
      <c r="J3659" t="s">
        <v>28350</v>
      </c>
      <c r="K3659" t="s">
        <v>36701</v>
      </c>
      <c r="M3659" t="s">
        <v>37560</v>
      </c>
      <c r="N3659" t="s">
        <v>40436</v>
      </c>
      <c r="O3659" t="s">
        <v>40437</v>
      </c>
      <c r="P3659">
        <v>0</v>
      </c>
      <c r="Q3659">
        <v>0</v>
      </c>
      <c r="R3659" t="s">
        <v>40439</v>
      </c>
      <c r="S3659" t="s">
        <v>40588</v>
      </c>
      <c r="T3659" t="s">
        <v>42190</v>
      </c>
      <c r="U3659" t="s">
        <v>45772</v>
      </c>
      <c r="W3659" t="s">
        <v>37560</v>
      </c>
      <c r="X3659" t="s">
        <v>40440</v>
      </c>
    </row>
    <row r="3660" spans="1:24">
      <c r="A3660">
        <f>HYPERLINK("https://www.philgeps.gov.ph/GEPSNONPILOT/Tender/SplashBidNoticeAbstractUI.aspx?menuIndex=3&amp;refID=7045722&amp;Result=3","7045722")</f>
        <v>0</v>
      </c>
      <c r="B3660" t="s">
        <v>1307</v>
      </c>
      <c r="C3660" t="s">
        <v>6578</v>
      </c>
      <c r="D3660" t="s">
        <v>16196</v>
      </c>
      <c r="E3660" t="s">
        <v>19577</v>
      </c>
      <c r="F3660" t="s">
        <v>28198</v>
      </c>
      <c r="G3660" t="s">
        <v>28207</v>
      </c>
      <c r="H3660" t="s">
        <v>28215</v>
      </c>
      <c r="I3660" t="s">
        <v>28228</v>
      </c>
      <c r="J3660" t="s">
        <v>30743</v>
      </c>
      <c r="K3660" t="s">
        <v>36701</v>
      </c>
      <c r="M3660" t="s">
        <v>38439</v>
      </c>
      <c r="N3660" t="s">
        <v>40436</v>
      </c>
      <c r="O3660" t="s">
        <v>40437</v>
      </c>
      <c r="P3660">
        <v>0</v>
      </c>
      <c r="Q3660">
        <v>1</v>
      </c>
      <c r="R3660" t="s">
        <v>40439</v>
      </c>
      <c r="S3660" t="s">
        <v>40588</v>
      </c>
      <c r="T3660" t="s">
        <v>42169</v>
      </c>
      <c r="U3660" t="s">
        <v>45773</v>
      </c>
      <c r="W3660" t="s">
        <v>38361</v>
      </c>
      <c r="X3660" t="s">
        <v>40440</v>
      </c>
    </row>
    <row r="3661" spans="1:24">
      <c r="A3661">
        <f>HYPERLINK("https://www.philgeps.gov.ph/GEPSNONPILOT/Tender/SplashBidNoticeAbstractUI.aspx?menuIndex=3&amp;refID=7045737&amp;Result=3","7045737")</f>
        <v>0</v>
      </c>
      <c r="B3661" t="s">
        <v>1376</v>
      </c>
      <c r="C3661" t="s">
        <v>6579</v>
      </c>
      <c r="D3661" t="s">
        <v>16204</v>
      </c>
      <c r="E3661" t="s">
        <v>19578</v>
      </c>
      <c r="F3661" t="s">
        <v>28198</v>
      </c>
      <c r="G3661" t="s">
        <v>28205</v>
      </c>
      <c r="H3661" t="s">
        <v>28215</v>
      </c>
      <c r="I3661" t="s">
        <v>5100</v>
      </c>
      <c r="J3661" t="s">
        <v>30744</v>
      </c>
      <c r="K3661" t="s">
        <v>36696</v>
      </c>
      <c r="M3661" t="s">
        <v>38440</v>
      </c>
      <c r="N3661" t="s">
        <v>40436</v>
      </c>
      <c r="O3661" t="s">
        <v>40437</v>
      </c>
      <c r="P3661">
        <v>0</v>
      </c>
      <c r="Q3661">
        <v>1</v>
      </c>
      <c r="R3661" t="s">
        <v>40439</v>
      </c>
      <c r="S3661" t="s">
        <v>40588</v>
      </c>
      <c r="T3661" t="s">
        <v>42175</v>
      </c>
      <c r="U3661" t="s">
        <v>45774</v>
      </c>
      <c r="W3661" t="s">
        <v>38440</v>
      </c>
      <c r="X3661" t="s">
        <v>40440</v>
      </c>
    </row>
    <row r="3662" spans="1:24">
      <c r="A3662">
        <f>HYPERLINK("https://www.philgeps.gov.ph/GEPSNONPILOT/Tender/SplashBidNoticeAbstractUI.aspx?menuIndex=3&amp;refID=7045744&amp;Result=3","7045744")</f>
        <v>0</v>
      </c>
      <c r="B3662" t="s">
        <v>1286</v>
      </c>
      <c r="C3662" t="s">
        <v>6580</v>
      </c>
      <c r="D3662" t="s">
        <v>16228</v>
      </c>
      <c r="E3662" t="s">
        <v>19579</v>
      </c>
      <c r="F3662" t="s">
        <v>28198</v>
      </c>
      <c r="G3662" t="s">
        <v>28207</v>
      </c>
      <c r="H3662" t="s">
        <v>28215</v>
      </c>
      <c r="I3662" t="s">
        <v>28274</v>
      </c>
      <c r="J3662" t="s">
        <v>28486</v>
      </c>
      <c r="K3662" t="s">
        <v>36689</v>
      </c>
      <c r="M3662" t="s">
        <v>38339</v>
      </c>
      <c r="N3662" t="s">
        <v>40436</v>
      </c>
      <c r="O3662" t="s">
        <v>40437</v>
      </c>
      <c r="P3662">
        <v>0</v>
      </c>
      <c r="Q3662">
        <v>1</v>
      </c>
      <c r="R3662" t="s">
        <v>40439</v>
      </c>
      <c r="S3662" t="s">
        <v>40588</v>
      </c>
      <c r="T3662" t="s">
        <v>42320</v>
      </c>
      <c r="U3662" t="s">
        <v>45775</v>
      </c>
      <c r="W3662" t="s">
        <v>38339</v>
      </c>
      <c r="X3662" t="s">
        <v>40440</v>
      </c>
    </row>
    <row r="3663" spans="1:24">
      <c r="A3663">
        <f>HYPERLINK("https://www.philgeps.gov.ph/GEPSNONPILOT/Tender/SplashBidNoticeAbstractUI.aspx?menuIndex=3&amp;refID=7045739&amp;Result=3","7045739")</f>
        <v>0</v>
      </c>
      <c r="B3663" t="s">
        <v>1123</v>
      </c>
      <c r="C3663" t="s">
        <v>6581</v>
      </c>
      <c r="D3663" t="s">
        <v>16192</v>
      </c>
      <c r="E3663" t="s">
        <v>19580</v>
      </c>
      <c r="F3663" t="s">
        <v>28198</v>
      </c>
      <c r="G3663" t="s">
        <v>28206</v>
      </c>
      <c r="H3663" t="s">
        <v>28215</v>
      </c>
      <c r="I3663" t="s">
        <v>5100</v>
      </c>
      <c r="J3663" t="s">
        <v>30745</v>
      </c>
      <c r="K3663" t="s">
        <v>36688</v>
      </c>
      <c r="M3663" t="s">
        <v>38161</v>
      </c>
      <c r="N3663" t="s">
        <v>40436</v>
      </c>
      <c r="O3663" t="s">
        <v>40437</v>
      </c>
      <c r="P3663">
        <v>0</v>
      </c>
      <c r="Q3663">
        <v>0</v>
      </c>
      <c r="R3663" t="s">
        <v>40439</v>
      </c>
      <c r="S3663" t="s">
        <v>40588</v>
      </c>
      <c r="T3663" t="s">
        <v>42129</v>
      </c>
      <c r="U3663" t="s">
        <v>45776</v>
      </c>
      <c r="W3663" t="s">
        <v>38161</v>
      </c>
      <c r="X3663" t="s">
        <v>40440</v>
      </c>
    </row>
    <row r="3664" spans="1:24">
      <c r="A3664">
        <f>HYPERLINK("https://www.philgeps.gov.ph/GEPSNONPILOT/Tender/SplashBidNoticeAbstractUI.aspx?menuIndex=3&amp;refID=7045761&amp;Result=3","7045761")</f>
        <v>0</v>
      </c>
      <c r="B3664" t="s">
        <v>1133</v>
      </c>
      <c r="C3664" t="s">
        <v>6582</v>
      </c>
      <c r="D3664" t="s">
        <v>16190</v>
      </c>
      <c r="E3664" t="s">
        <v>19581</v>
      </c>
      <c r="F3664" t="s">
        <v>28198</v>
      </c>
      <c r="G3664" t="s">
        <v>28207</v>
      </c>
      <c r="H3664" t="s">
        <v>28215</v>
      </c>
      <c r="I3664" t="s">
        <v>3774</v>
      </c>
      <c r="J3664" t="s">
        <v>29251</v>
      </c>
      <c r="K3664" t="s">
        <v>36689</v>
      </c>
      <c r="M3664" t="s">
        <v>38172</v>
      </c>
      <c r="N3664" t="s">
        <v>40436</v>
      </c>
      <c r="O3664" t="s">
        <v>40437</v>
      </c>
      <c r="P3664">
        <v>0</v>
      </c>
      <c r="Q3664">
        <v>1</v>
      </c>
      <c r="R3664" t="s">
        <v>40439</v>
      </c>
      <c r="S3664" t="s">
        <v>40588</v>
      </c>
      <c r="T3664" t="s">
        <v>42133</v>
      </c>
      <c r="U3664" t="s">
        <v>45777</v>
      </c>
      <c r="W3664" t="s">
        <v>38172</v>
      </c>
      <c r="X3664" t="s">
        <v>40440</v>
      </c>
    </row>
    <row r="3665" spans="1:24">
      <c r="A3665">
        <f>HYPERLINK("https://www.philgeps.gov.ph/GEPSNONPILOT/Tender/SplashBidNoticeAbstractUI.aspx?menuIndex=3&amp;refID=7045742&amp;Result=3","7045742")</f>
        <v>0</v>
      </c>
      <c r="B3665" t="s">
        <v>1377</v>
      </c>
      <c r="C3665" t="s">
        <v>6583</v>
      </c>
      <c r="D3665" t="s">
        <v>16206</v>
      </c>
      <c r="E3665" t="s">
        <v>19582</v>
      </c>
      <c r="F3665" t="s">
        <v>28198</v>
      </c>
      <c r="G3665" t="s">
        <v>28210</v>
      </c>
      <c r="H3665" t="s">
        <v>28215</v>
      </c>
      <c r="I3665" t="s">
        <v>4222</v>
      </c>
      <c r="J3665" t="s">
        <v>30746</v>
      </c>
      <c r="K3665" t="s">
        <v>36688</v>
      </c>
      <c r="M3665" t="s">
        <v>38441</v>
      </c>
      <c r="N3665" t="s">
        <v>40436</v>
      </c>
      <c r="O3665" t="s">
        <v>40437</v>
      </c>
      <c r="P3665">
        <v>0</v>
      </c>
      <c r="Q3665">
        <v>1</v>
      </c>
      <c r="R3665" t="s">
        <v>40439</v>
      </c>
      <c r="S3665" t="s">
        <v>40588</v>
      </c>
      <c r="T3665" t="s">
        <v>42169</v>
      </c>
      <c r="U3665" t="s">
        <v>45778</v>
      </c>
      <c r="W3665" t="s">
        <v>38441</v>
      </c>
      <c r="X3665" t="s">
        <v>40440</v>
      </c>
    </row>
    <row r="3666" spans="1:24">
      <c r="A3666">
        <f>HYPERLINK("https://www.philgeps.gov.ph/GEPSNONPILOT/Tender/SplashBidNoticeAbstractUI.aspx?menuIndex=3&amp;refID=7045738&amp;Result=3","7045738")</f>
        <v>0</v>
      </c>
      <c r="B3666" t="s">
        <v>98</v>
      </c>
      <c r="C3666" t="s">
        <v>6584</v>
      </c>
      <c r="D3666" t="s">
        <v>16227</v>
      </c>
      <c r="E3666" t="s">
        <v>19583</v>
      </c>
      <c r="F3666" t="s">
        <v>28198</v>
      </c>
      <c r="G3666" t="s">
        <v>28207</v>
      </c>
      <c r="H3666" t="s">
        <v>28215</v>
      </c>
      <c r="I3666" t="s">
        <v>28225</v>
      </c>
      <c r="J3666" t="s">
        <v>30747</v>
      </c>
      <c r="K3666" t="s">
        <v>36691</v>
      </c>
      <c r="M3666" t="s">
        <v>37071</v>
      </c>
      <c r="N3666" t="s">
        <v>40436</v>
      </c>
      <c r="O3666" t="s">
        <v>40437</v>
      </c>
      <c r="P3666">
        <v>0</v>
      </c>
      <c r="Q3666">
        <v>4</v>
      </c>
      <c r="R3666" t="s">
        <v>40439</v>
      </c>
      <c r="S3666" t="s">
        <v>40588</v>
      </c>
      <c r="T3666" t="s">
        <v>42157</v>
      </c>
      <c r="U3666" t="s">
        <v>42759</v>
      </c>
      <c r="W3666" t="s">
        <v>37071</v>
      </c>
      <c r="X3666" t="s">
        <v>40440</v>
      </c>
    </row>
    <row r="3667" spans="1:24">
      <c r="A3667">
        <f>HYPERLINK("https://www.philgeps.gov.ph/GEPSNONPILOT/Tender/SplashBidNoticeAbstractUI.aspx?menuIndex=3&amp;refID=7045760&amp;Result=3","7045760")</f>
        <v>0</v>
      </c>
      <c r="B3667" t="s">
        <v>1378</v>
      </c>
      <c r="C3667" t="s">
        <v>6585</v>
      </c>
      <c r="D3667" t="s">
        <v>16200</v>
      </c>
      <c r="E3667" t="s">
        <v>17248</v>
      </c>
      <c r="F3667" t="s">
        <v>28198</v>
      </c>
      <c r="G3667" t="s">
        <v>28206</v>
      </c>
      <c r="H3667" t="s">
        <v>28215</v>
      </c>
      <c r="I3667" t="s">
        <v>5100</v>
      </c>
      <c r="J3667" t="s">
        <v>28787</v>
      </c>
      <c r="K3667" t="s">
        <v>36687</v>
      </c>
      <c r="M3667" t="s">
        <v>38442</v>
      </c>
      <c r="N3667" t="s">
        <v>40436</v>
      </c>
      <c r="O3667" t="s">
        <v>40437</v>
      </c>
      <c r="P3667">
        <v>0</v>
      </c>
      <c r="Q3667">
        <v>0</v>
      </c>
      <c r="R3667" t="s">
        <v>40439</v>
      </c>
      <c r="S3667" t="s">
        <v>40588</v>
      </c>
      <c r="T3667" t="s">
        <v>42183</v>
      </c>
      <c r="U3667" t="s">
        <v>45779</v>
      </c>
      <c r="W3667" t="s">
        <v>38442</v>
      </c>
      <c r="X3667" t="s">
        <v>40440</v>
      </c>
    </row>
    <row r="3668" spans="1:24">
      <c r="A3668">
        <f>HYPERLINK("https://www.philgeps.gov.ph/GEPSNONPILOT/Tender/SplashBidNoticeAbstractUI.aspx?menuIndex=3&amp;refID=7045758&amp;Result=3","7045758")</f>
        <v>0</v>
      </c>
      <c r="B3668" t="s">
        <v>1379</v>
      </c>
      <c r="C3668" t="s">
        <v>6586</v>
      </c>
      <c r="D3668" t="s">
        <v>16199</v>
      </c>
      <c r="E3668" t="s">
        <v>19584</v>
      </c>
      <c r="F3668" t="s">
        <v>28198</v>
      </c>
      <c r="G3668" t="s">
        <v>28207</v>
      </c>
      <c r="H3668" t="s">
        <v>28214</v>
      </c>
      <c r="I3668" t="s">
        <v>3797</v>
      </c>
      <c r="J3668" t="s">
        <v>30748</v>
      </c>
      <c r="K3668" t="s">
        <v>36707</v>
      </c>
      <c r="M3668" t="s">
        <v>38443</v>
      </c>
      <c r="N3668" t="s">
        <v>40436</v>
      </c>
      <c r="O3668" t="s">
        <v>40437</v>
      </c>
      <c r="P3668">
        <v>0</v>
      </c>
      <c r="Q3668">
        <v>0</v>
      </c>
      <c r="R3668" t="s">
        <v>40439</v>
      </c>
      <c r="S3668" t="s">
        <v>40588</v>
      </c>
      <c r="T3668" t="s">
        <v>42216</v>
      </c>
      <c r="U3668" t="s">
        <v>45780</v>
      </c>
      <c r="W3668" t="s">
        <v>38443</v>
      </c>
      <c r="X3668" t="s">
        <v>40440</v>
      </c>
    </row>
    <row r="3669" spans="1:24">
      <c r="A3669">
        <f>HYPERLINK("https://www.philgeps.gov.ph/GEPSNONPILOT/Tender/SplashBidNoticeAbstractUI.aspx?menuIndex=3&amp;refID=7045740&amp;Result=3","7045740")</f>
        <v>0</v>
      </c>
      <c r="B3669" t="s">
        <v>1370</v>
      </c>
      <c r="C3669" t="s">
        <v>6587</v>
      </c>
      <c r="D3669" t="s">
        <v>16213</v>
      </c>
      <c r="E3669" t="s">
        <v>19585</v>
      </c>
      <c r="F3669" t="s">
        <v>28198</v>
      </c>
      <c r="G3669" t="s">
        <v>28207</v>
      </c>
      <c r="H3669" t="s">
        <v>28215</v>
      </c>
      <c r="I3669" t="s">
        <v>5100</v>
      </c>
      <c r="J3669" t="s">
        <v>30749</v>
      </c>
      <c r="K3669" t="s">
        <v>36706</v>
      </c>
      <c r="M3669" t="s">
        <v>38432</v>
      </c>
      <c r="N3669" t="s">
        <v>40436</v>
      </c>
      <c r="O3669" t="s">
        <v>40437</v>
      </c>
      <c r="P3669">
        <v>0</v>
      </c>
      <c r="Q3669">
        <v>1</v>
      </c>
      <c r="R3669" t="s">
        <v>40439</v>
      </c>
      <c r="S3669" t="s">
        <v>40588</v>
      </c>
      <c r="T3669" t="s">
        <v>42131</v>
      </c>
      <c r="U3669" t="s">
        <v>45751</v>
      </c>
      <c r="W3669" t="s">
        <v>38432</v>
      </c>
      <c r="X3669" t="s">
        <v>40440</v>
      </c>
    </row>
    <row r="3670" spans="1:24">
      <c r="A3670">
        <f>HYPERLINK("https://www.philgeps.gov.ph/GEPSNONPILOT/Tender/SplashBidNoticeAbstractUI.aspx?menuIndex=3&amp;refID=7045764&amp;Result=3","7045764")</f>
        <v>0</v>
      </c>
      <c r="B3670" t="s">
        <v>1348</v>
      </c>
      <c r="C3670" t="s">
        <v>6588</v>
      </c>
      <c r="D3670" t="s">
        <v>16217</v>
      </c>
      <c r="E3670" t="s">
        <v>19586</v>
      </c>
      <c r="F3670" t="s">
        <v>28198</v>
      </c>
      <c r="G3670" t="s">
        <v>28207</v>
      </c>
      <c r="H3670" t="s">
        <v>28217</v>
      </c>
      <c r="I3670" t="s">
        <v>28235</v>
      </c>
      <c r="J3670" t="s">
        <v>30219</v>
      </c>
      <c r="K3670" t="s">
        <v>36701</v>
      </c>
      <c r="M3670" t="s">
        <v>38406</v>
      </c>
      <c r="N3670" t="s">
        <v>40436</v>
      </c>
      <c r="O3670" t="s">
        <v>40437</v>
      </c>
      <c r="P3670">
        <v>0</v>
      </c>
      <c r="Q3670">
        <v>0</v>
      </c>
      <c r="R3670" t="s">
        <v>40439</v>
      </c>
      <c r="S3670" t="s">
        <v>40588</v>
      </c>
      <c r="T3670" t="s">
        <v>42131</v>
      </c>
      <c r="U3670" t="s">
        <v>45781</v>
      </c>
      <c r="W3670" t="s">
        <v>38406</v>
      </c>
      <c r="X3670" t="s">
        <v>40440</v>
      </c>
    </row>
    <row r="3671" spans="1:24">
      <c r="A3671">
        <f>HYPERLINK("https://www.philgeps.gov.ph/GEPSNONPILOT/Tender/SplashBidNoticeAbstractUI.aspx?menuIndex=3&amp;refID=7045723&amp;Result=3","7045723")</f>
        <v>0</v>
      </c>
      <c r="B3671" t="s">
        <v>1380</v>
      </c>
      <c r="C3671" t="s">
        <v>6589</v>
      </c>
      <c r="D3671" t="s">
        <v>16192</v>
      </c>
      <c r="E3671" t="s">
        <v>19587</v>
      </c>
      <c r="F3671" t="s">
        <v>28198</v>
      </c>
      <c r="G3671" t="s">
        <v>28207</v>
      </c>
      <c r="H3671" t="s">
        <v>28215</v>
      </c>
      <c r="I3671" t="s">
        <v>5100</v>
      </c>
      <c r="J3671" t="s">
        <v>30750</v>
      </c>
      <c r="K3671" t="s">
        <v>36706</v>
      </c>
      <c r="M3671" t="s">
        <v>38444</v>
      </c>
      <c r="N3671" t="s">
        <v>40436</v>
      </c>
      <c r="O3671" t="s">
        <v>40437</v>
      </c>
      <c r="P3671">
        <v>0</v>
      </c>
      <c r="Q3671">
        <v>0</v>
      </c>
      <c r="R3671" t="s">
        <v>40439</v>
      </c>
      <c r="S3671" t="s">
        <v>40588</v>
      </c>
      <c r="T3671" t="s">
        <v>42218</v>
      </c>
      <c r="U3671" t="s">
        <v>45782</v>
      </c>
      <c r="W3671" t="s">
        <v>38444</v>
      </c>
      <c r="X3671" t="s">
        <v>40440</v>
      </c>
    </row>
    <row r="3672" spans="1:24">
      <c r="A3672">
        <f>HYPERLINK("https://www.philgeps.gov.ph/GEPSNONPILOT/Tender/SplashBidNoticeAbstractUI.aspx?menuIndex=3&amp;refID=7045755&amp;Result=3","7045755")</f>
        <v>0</v>
      </c>
      <c r="B3672" t="s">
        <v>175</v>
      </c>
      <c r="C3672" t="s">
        <v>6590</v>
      </c>
      <c r="D3672" t="s">
        <v>16244</v>
      </c>
      <c r="E3672" t="s">
        <v>19588</v>
      </c>
      <c r="F3672" t="s">
        <v>28198</v>
      </c>
      <c r="G3672" t="s">
        <v>28206</v>
      </c>
      <c r="H3672" t="s">
        <v>28215</v>
      </c>
      <c r="I3672" t="s">
        <v>4200</v>
      </c>
      <c r="J3672" t="s">
        <v>30751</v>
      </c>
      <c r="K3672" t="s">
        <v>36688</v>
      </c>
      <c r="M3672" t="s">
        <v>37149</v>
      </c>
      <c r="N3672" t="s">
        <v>40436</v>
      </c>
      <c r="O3672" t="s">
        <v>40437</v>
      </c>
      <c r="P3672">
        <v>0</v>
      </c>
      <c r="Q3672">
        <v>0</v>
      </c>
      <c r="R3672" t="s">
        <v>40439</v>
      </c>
      <c r="S3672" t="s">
        <v>40588</v>
      </c>
      <c r="T3672" t="s">
        <v>42185</v>
      </c>
      <c r="U3672" t="s">
        <v>42905</v>
      </c>
      <c r="W3672" t="s">
        <v>37149</v>
      </c>
      <c r="X3672" t="s">
        <v>40440</v>
      </c>
    </row>
    <row r="3673" spans="1:24">
      <c r="A3673">
        <f>HYPERLINK("https://www.philgeps.gov.ph/GEPSNONPILOT/Tender/SplashBidNoticeAbstractUI.aspx?menuIndex=3&amp;refID=7045756&amp;Result=3","7045756")</f>
        <v>0</v>
      </c>
      <c r="B3673" t="s">
        <v>1014</v>
      </c>
      <c r="C3673" t="s">
        <v>6591</v>
      </c>
      <c r="D3673" t="s">
        <v>16217</v>
      </c>
      <c r="E3673" t="s">
        <v>19589</v>
      </c>
      <c r="F3673" t="s">
        <v>28198</v>
      </c>
      <c r="G3673" t="s">
        <v>28207</v>
      </c>
      <c r="H3673" t="s">
        <v>28215</v>
      </c>
      <c r="I3673" t="s">
        <v>28296</v>
      </c>
      <c r="J3673" t="s">
        <v>28345</v>
      </c>
      <c r="K3673" t="s">
        <v>36701</v>
      </c>
      <c r="M3673" t="s">
        <v>38042</v>
      </c>
      <c r="N3673" t="s">
        <v>40436</v>
      </c>
      <c r="O3673" t="s">
        <v>40437</v>
      </c>
      <c r="P3673">
        <v>0</v>
      </c>
      <c r="Q3673">
        <v>0</v>
      </c>
      <c r="R3673" t="s">
        <v>40439</v>
      </c>
      <c r="S3673" t="s">
        <v>40588</v>
      </c>
      <c r="T3673" t="s">
        <v>42133</v>
      </c>
      <c r="U3673" t="s">
        <v>45783</v>
      </c>
      <c r="W3673" t="s">
        <v>38042</v>
      </c>
      <c r="X3673" t="s">
        <v>40440</v>
      </c>
    </row>
    <row r="3674" spans="1:24">
      <c r="A3674">
        <f>HYPERLINK("https://www.philgeps.gov.ph/GEPSNONPILOT/Tender/SplashBidNoticeAbstractUI.aspx?menuIndex=3&amp;refID=7045765&amp;Result=3","7045765")</f>
        <v>0</v>
      </c>
      <c r="B3674" t="s">
        <v>1381</v>
      </c>
      <c r="C3674" t="s">
        <v>6592</v>
      </c>
      <c r="D3674" t="s">
        <v>16209</v>
      </c>
      <c r="E3674" t="s">
        <v>19590</v>
      </c>
      <c r="F3674" t="s">
        <v>28198</v>
      </c>
      <c r="G3674" t="s">
        <v>28205</v>
      </c>
      <c r="H3674" t="s">
        <v>28214</v>
      </c>
      <c r="I3674" t="s">
        <v>4505</v>
      </c>
      <c r="J3674" t="s">
        <v>30752</v>
      </c>
      <c r="K3674" t="s">
        <v>36696</v>
      </c>
      <c r="M3674" t="s">
        <v>38445</v>
      </c>
      <c r="N3674" t="s">
        <v>40436</v>
      </c>
      <c r="O3674" t="s">
        <v>40437</v>
      </c>
      <c r="P3674">
        <v>0</v>
      </c>
      <c r="Q3674">
        <v>1</v>
      </c>
      <c r="R3674" t="s">
        <v>40439</v>
      </c>
      <c r="S3674" t="s">
        <v>40588</v>
      </c>
      <c r="T3674" t="s">
        <v>42234</v>
      </c>
      <c r="U3674" t="s">
        <v>45784</v>
      </c>
      <c r="W3674" t="s">
        <v>38445</v>
      </c>
      <c r="X3674" t="s">
        <v>40440</v>
      </c>
    </row>
    <row r="3675" spans="1:24">
      <c r="A3675">
        <f>HYPERLINK("https://www.philgeps.gov.ph/GEPSNONPILOT/Tender/SplashBidNoticeAbstractUI.aspx?menuIndex=3&amp;refID=7045749&amp;Result=3","7045749")</f>
        <v>0</v>
      </c>
      <c r="B3675" t="s">
        <v>1260</v>
      </c>
      <c r="C3675" t="s">
        <v>6593</v>
      </c>
      <c r="D3675" t="s">
        <v>16206</v>
      </c>
      <c r="E3675" t="s">
        <v>19591</v>
      </c>
      <c r="F3675" t="s">
        <v>28198</v>
      </c>
      <c r="G3675" t="s">
        <v>28207</v>
      </c>
      <c r="H3675" t="s">
        <v>28215</v>
      </c>
      <c r="I3675" t="s">
        <v>5082</v>
      </c>
      <c r="J3675" t="s">
        <v>30753</v>
      </c>
      <c r="K3675" t="s">
        <v>36698</v>
      </c>
      <c r="M3675" t="s">
        <v>38310</v>
      </c>
      <c r="N3675" t="s">
        <v>40436</v>
      </c>
      <c r="O3675" t="s">
        <v>40437</v>
      </c>
      <c r="P3675">
        <v>0</v>
      </c>
      <c r="Q3675">
        <v>0</v>
      </c>
      <c r="R3675" t="s">
        <v>40439</v>
      </c>
      <c r="S3675" t="s">
        <v>40588</v>
      </c>
      <c r="T3675" t="s">
        <v>42326</v>
      </c>
      <c r="U3675" t="s">
        <v>45697</v>
      </c>
      <c r="W3675" t="s">
        <v>38310</v>
      </c>
      <c r="X3675" t="s">
        <v>40440</v>
      </c>
    </row>
    <row r="3676" spans="1:24">
      <c r="A3676">
        <f>HYPERLINK("https://www.philgeps.gov.ph/GEPSNONPILOT/Tender/SplashBidNoticeAbstractUI.aspx?menuIndex=3&amp;refID=7045753&amp;Result=3","7045753")</f>
        <v>0</v>
      </c>
      <c r="B3676" t="s">
        <v>1140</v>
      </c>
      <c r="C3676" t="s">
        <v>6594</v>
      </c>
      <c r="D3676" t="s">
        <v>16252</v>
      </c>
      <c r="E3676" t="s">
        <v>19592</v>
      </c>
      <c r="F3676" t="s">
        <v>28198</v>
      </c>
      <c r="G3676" t="s">
        <v>28205</v>
      </c>
      <c r="H3676" t="s">
        <v>28215</v>
      </c>
      <c r="I3676" t="s">
        <v>5082</v>
      </c>
      <c r="J3676" t="s">
        <v>30754</v>
      </c>
      <c r="K3676" t="s">
        <v>36706</v>
      </c>
      <c r="M3676" t="s">
        <v>38180</v>
      </c>
      <c r="N3676" t="s">
        <v>40436</v>
      </c>
      <c r="O3676" t="s">
        <v>40437</v>
      </c>
      <c r="P3676">
        <v>0</v>
      </c>
      <c r="Q3676">
        <v>0</v>
      </c>
      <c r="R3676" t="s">
        <v>40439</v>
      </c>
      <c r="S3676" t="s">
        <v>40588</v>
      </c>
      <c r="T3676" t="s">
        <v>42337</v>
      </c>
      <c r="U3676" t="s">
        <v>45785</v>
      </c>
      <c r="W3676" t="s">
        <v>38180</v>
      </c>
      <c r="X3676" t="s">
        <v>40440</v>
      </c>
    </row>
    <row r="3677" spans="1:24">
      <c r="A3677">
        <f>HYPERLINK("https://www.philgeps.gov.ph/GEPSNONPILOT/Tender/SplashBidNoticeAbstractUI.aspx?menuIndex=3&amp;refID=7045747&amp;Result=3","7045747")</f>
        <v>0</v>
      </c>
      <c r="B3677" t="s">
        <v>561</v>
      </c>
      <c r="C3677" t="s">
        <v>6595</v>
      </c>
      <c r="D3677" t="s">
        <v>16196</v>
      </c>
      <c r="E3677" t="s">
        <v>19593</v>
      </c>
      <c r="F3677" t="s">
        <v>28198</v>
      </c>
      <c r="G3677" t="s">
        <v>28207</v>
      </c>
      <c r="H3677" t="s">
        <v>28215</v>
      </c>
      <c r="I3677" t="s">
        <v>3774</v>
      </c>
      <c r="J3677" t="s">
        <v>30755</v>
      </c>
      <c r="K3677" t="s">
        <v>36691</v>
      </c>
      <c r="L3677" t="s">
        <v>561</v>
      </c>
      <c r="M3677" t="s">
        <v>37547</v>
      </c>
      <c r="N3677" t="s">
        <v>40436</v>
      </c>
      <c r="O3677" t="s">
        <v>40437</v>
      </c>
      <c r="P3677">
        <v>0</v>
      </c>
      <c r="Q3677">
        <v>0</v>
      </c>
      <c r="R3677" t="s">
        <v>40439</v>
      </c>
      <c r="S3677" t="s">
        <v>40588</v>
      </c>
      <c r="T3677" t="s">
        <v>42158</v>
      </c>
      <c r="U3677" t="s">
        <v>45786</v>
      </c>
      <c r="W3677" t="s">
        <v>37547</v>
      </c>
      <c r="X3677" t="s">
        <v>40440</v>
      </c>
    </row>
    <row r="3678" spans="1:24">
      <c r="A3678">
        <f>HYPERLINK("https://www.philgeps.gov.ph/GEPSNONPILOT/Tender/SplashBidNoticeAbstractUI.aspx?menuIndex=3&amp;refID=7045746&amp;Result=3","7045746")</f>
        <v>0</v>
      </c>
      <c r="B3678" t="s">
        <v>1382</v>
      </c>
      <c r="C3678" t="s">
        <v>6596</v>
      </c>
      <c r="D3678" t="s">
        <v>16217</v>
      </c>
      <c r="E3678" t="s">
        <v>19594</v>
      </c>
      <c r="F3678" t="s">
        <v>28198</v>
      </c>
      <c r="G3678" t="s">
        <v>28206</v>
      </c>
      <c r="H3678" t="s">
        <v>28215</v>
      </c>
      <c r="I3678" t="s">
        <v>6051</v>
      </c>
      <c r="J3678" t="s">
        <v>28694</v>
      </c>
      <c r="K3678" t="s">
        <v>36701</v>
      </c>
      <c r="M3678" t="s">
        <v>38446</v>
      </c>
      <c r="N3678" t="s">
        <v>40436</v>
      </c>
      <c r="O3678" t="s">
        <v>40437</v>
      </c>
      <c r="P3678">
        <v>0</v>
      </c>
      <c r="Q3678">
        <v>0</v>
      </c>
      <c r="R3678" t="s">
        <v>40439</v>
      </c>
      <c r="S3678" t="s">
        <v>40588</v>
      </c>
      <c r="T3678" t="s">
        <v>42112</v>
      </c>
      <c r="U3678" t="s">
        <v>45787</v>
      </c>
      <c r="W3678" t="s">
        <v>38446</v>
      </c>
      <c r="X3678" t="s">
        <v>40440</v>
      </c>
    </row>
    <row r="3679" spans="1:24">
      <c r="A3679">
        <f>HYPERLINK("https://www.philgeps.gov.ph/GEPSNONPILOT/Tender/SplashBidNoticeAbstractUI.aspx?menuIndex=3&amp;refID=7045767&amp;Result=3","7045767")</f>
        <v>0</v>
      </c>
      <c r="B3679" t="s">
        <v>1023</v>
      </c>
      <c r="C3679" t="s">
        <v>6597</v>
      </c>
      <c r="D3679" t="s">
        <v>16265</v>
      </c>
      <c r="E3679" t="s">
        <v>19595</v>
      </c>
      <c r="F3679" t="s">
        <v>28198</v>
      </c>
      <c r="G3679" t="s">
        <v>28205</v>
      </c>
      <c r="H3679" t="s">
        <v>28215</v>
      </c>
      <c r="I3679" t="s">
        <v>4200</v>
      </c>
      <c r="J3679" t="s">
        <v>30756</v>
      </c>
      <c r="K3679" t="s">
        <v>36701</v>
      </c>
      <c r="M3679" t="s">
        <v>38054</v>
      </c>
      <c r="N3679" t="s">
        <v>40436</v>
      </c>
      <c r="O3679" t="s">
        <v>40437</v>
      </c>
      <c r="P3679">
        <v>0</v>
      </c>
      <c r="Q3679">
        <v>2</v>
      </c>
      <c r="R3679" t="s">
        <v>40439</v>
      </c>
      <c r="S3679" t="s">
        <v>40588</v>
      </c>
      <c r="T3679" t="s">
        <v>42108</v>
      </c>
      <c r="U3679" t="s">
        <v>45788</v>
      </c>
      <c r="W3679" t="s">
        <v>38054</v>
      </c>
      <c r="X3679" t="s">
        <v>40440</v>
      </c>
    </row>
    <row r="3680" spans="1:24">
      <c r="A3680">
        <f>HYPERLINK("https://www.philgeps.gov.ph/GEPSNONPILOT/Tender/SplashBidNoticeAbstractUI.aspx?menuIndex=3&amp;refID=7045748&amp;Result=3","7045748")</f>
        <v>0</v>
      </c>
      <c r="B3680" t="s">
        <v>1383</v>
      </c>
      <c r="C3680" t="s">
        <v>6598</v>
      </c>
      <c r="D3680" t="s">
        <v>16268</v>
      </c>
      <c r="E3680" t="s">
        <v>19596</v>
      </c>
      <c r="F3680" t="s">
        <v>28198</v>
      </c>
      <c r="G3680" t="s">
        <v>28210</v>
      </c>
      <c r="H3680" t="s">
        <v>28215</v>
      </c>
      <c r="I3680" t="s">
        <v>4219</v>
      </c>
      <c r="J3680" t="s">
        <v>30757</v>
      </c>
      <c r="K3680" t="s">
        <v>36688</v>
      </c>
      <c r="M3680" t="s">
        <v>38447</v>
      </c>
      <c r="N3680" t="s">
        <v>40436</v>
      </c>
      <c r="O3680" t="s">
        <v>40437</v>
      </c>
      <c r="P3680">
        <v>0</v>
      </c>
      <c r="Q3680">
        <v>1</v>
      </c>
      <c r="R3680" t="s">
        <v>40439</v>
      </c>
      <c r="S3680" t="s">
        <v>40588</v>
      </c>
      <c r="T3680" t="s">
        <v>42318</v>
      </c>
      <c r="U3680" t="s">
        <v>45789</v>
      </c>
      <c r="W3680" t="s">
        <v>38447</v>
      </c>
      <c r="X3680" t="s">
        <v>40440</v>
      </c>
    </row>
    <row r="3681" spans="1:24">
      <c r="A3681">
        <f>HYPERLINK("https://www.philgeps.gov.ph/GEPSNONPILOT/Tender/SplashBidNoticeAbstractUI.aspx?menuIndex=3&amp;refID=7045745&amp;Result=3","7045745")</f>
        <v>0</v>
      </c>
      <c r="B3681" t="s">
        <v>695</v>
      </c>
      <c r="C3681" t="s">
        <v>6599</v>
      </c>
      <c r="D3681" t="s">
        <v>16204</v>
      </c>
      <c r="E3681" t="s">
        <v>19597</v>
      </c>
      <c r="F3681" t="s">
        <v>28198</v>
      </c>
      <c r="G3681" t="s">
        <v>28207</v>
      </c>
      <c r="H3681" t="s">
        <v>28214</v>
      </c>
      <c r="I3681" t="s">
        <v>3797</v>
      </c>
      <c r="J3681" t="s">
        <v>30758</v>
      </c>
      <c r="K3681" t="s">
        <v>36689</v>
      </c>
      <c r="M3681" t="s">
        <v>37695</v>
      </c>
      <c r="N3681" t="s">
        <v>40436</v>
      </c>
      <c r="O3681" t="s">
        <v>40437</v>
      </c>
      <c r="P3681">
        <v>0</v>
      </c>
      <c r="Q3681">
        <v>13</v>
      </c>
      <c r="R3681" t="s">
        <v>40439</v>
      </c>
      <c r="S3681" t="s">
        <v>40588</v>
      </c>
      <c r="T3681" t="s">
        <v>42218</v>
      </c>
      <c r="U3681" t="s">
        <v>45790</v>
      </c>
      <c r="W3681" t="s">
        <v>37695</v>
      </c>
      <c r="X3681" t="s">
        <v>40440</v>
      </c>
    </row>
    <row r="3682" spans="1:24">
      <c r="A3682">
        <f>HYPERLINK("https://www.philgeps.gov.ph/GEPSNONPILOT/Tender/SplashBidNoticeAbstractUI.aspx?menuIndex=3&amp;refID=7045770&amp;Result=3","7045770")</f>
        <v>0</v>
      </c>
      <c r="B3682" t="s">
        <v>305</v>
      </c>
      <c r="C3682" t="s">
        <v>6600</v>
      </c>
      <c r="D3682" t="s">
        <v>16197</v>
      </c>
      <c r="E3682" t="s">
        <v>19598</v>
      </c>
      <c r="F3682" t="s">
        <v>28198</v>
      </c>
      <c r="G3682" t="s">
        <v>28205</v>
      </c>
      <c r="H3682" t="s">
        <v>28215</v>
      </c>
      <c r="I3682" t="s">
        <v>28262</v>
      </c>
      <c r="J3682" t="s">
        <v>30759</v>
      </c>
      <c r="K3682" t="s">
        <v>36701</v>
      </c>
      <c r="M3682" t="s">
        <v>37282</v>
      </c>
      <c r="N3682" t="s">
        <v>40436</v>
      </c>
      <c r="O3682" t="s">
        <v>40437</v>
      </c>
      <c r="P3682">
        <v>0</v>
      </c>
      <c r="Q3682">
        <v>6</v>
      </c>
      <c r="R3682" t="s">
        <v>40439</v>
      </c>
      <c r="S3682" t="s">
        <v>40588</v>
      </c>
      <c r="T3682" t="s">
        <v>42234</v>
      </c>
      <c r="U3682" t="s">
        <v>43102</v>
      </c>
      <c r="W3682" t="s">
        <v>37282</v>
      </c>
      <c r="X3682" t="s">
        <v>40440</v>
      </c>
    </row>
    <row r="3683" spans="1:24">
      <c r="A3683">
        <f>HYPERLINK("https://www.philgeps.gov.ph/GEPSNONPILOT/Tender/SplashBidNoticeAbstractUI.aspx?menuIndex=3&amp;refID=7045780&amp;Result=3","7045780")</f>
        <v>0</v>
      </c>
      <c r="B3683" t="s">
        <v>1384</v>
      </c>
      <c r="C3683" t="s">
        <v>6601</v>
      </c>
      <c r="D3683" t="s">
        <v>16210</v>
      </c>
      <c r="E3683" t="s">
        <v>19599</v>
      </c>
      <c r="F3683" t="s">
        <v>28198</v>
      </c>
      <c r="G3683" t="s">
        <v>28205</v>
      </c>
      <c r="H3683" t="s">
        <v>28215</v>
      </c>
      <c r="I3683" t="s">
        <v>28238</v>
      </c>
      <c r="J3683" t="s">
        <v>30760</v>
      </c>
      <c r="K3683" t="s">
        <v>36772</v>
      </c>
      <c r="M3683" t="s">
        <v>38448</v>
      </c>
      <c r="N3683" t="s">
        <v>40436</v>
      </c>
      <c r="O3683" t="s">
        <v>40437</v>
      </c>
      <c r="P3683">
        <v>0</v>
      </c>
      <c r="Q3683">
        <v>10</v>
      </c>
      <c r="R3683" t="s">
        <v>40439</v>
      </c>
      <c r="S3683" t="s">
        <v>40588</v>
      </c>
      <c r="T3683" t="s">
        <v>42219</v>
      </c>
      <c r="U3683" t="s">
        <v>45791</v>
      </c>
      <c r="W3683" t="s">
        <v>38448</v>
      </c>
      <c r="X3683" t="s">
        <v>40440</v>
      </c>
    </row>
    <row r="3684" spans="1:24">
      <c r="A3684">
        <f>HYPERLINK("https://www.philgeps.gov.ph/GEPSNONPILOT/Tender/SplashBidNoticeAbstractUI.aspx?menuIndex=3&amp;refID=7045769&amp;Result=3","7045769")</f>
        <v>0</v>
      </c>
      <c r="B3684" t="s">
        <v>1356</v>
      </c>
      <c r="C3684" t="s">
        <v>6602</v>
      </c>
      <c r="D3684" t="s">
        <v>16187</v>
      </c>
      <c r="E3684" t="s">
        <v>16516</v>
      </c>
      <c r="F3684" t="s">
        <v>28198</v>
      </c>
      <c r="G3684" t="s">
        <v>28205</v>
      </c>
      <c r="H3684" t="s">
        <v>28215</v>
      </c>
      <c r="I3684" t="s">
        <v>7310</v>
      </c>
      <c r="J3684" t="s">
        <v>28593</v>
      </c>
      <c r="K3684" t="s">
        <v>36689</v>
      </c>
      <c r="M3684" t="s">
        <v>38416</v>
      </c>
      <c r="N3684" t="s">
        <v>40436</v>
      </c>
      <c r="O3684" t="s">
        <v>40437</v>
      </c>
      <c r="P3684">
        <v>0</v>
      </c>
      <c r="Q3684">
        <v>1</v>
      </c>
      <c r="R3684" t="s">
        <v>40439</v>
      </c>
      <c r="S3684" t="s">
        <v>40588</v>
      </c>
      <c r="T3684" t="s">
        <v>42266</v>
      </c>
      <c r="U3684" t="s">
        <v>45792</v>
      </c>
      <c r="W3684" t="s">
        <v>38416</v>
      </c>
      <c r="X3684" t="s">
        <v>40440</v>
      </c>
    </row>
    <row r="3685" spans="1:24">
      <c r="A3685">
        <f>HYPERLINK("https://www.philgeps.gov.ph/GEPSNONPILOT/Tender/SplashBidNoticeAbstractUI.aspx?menuIndex=3&amp;refID=7045777&amp;Result=3","7045777")</f>
        <v>0</v>
      </c>
      <c r="B3685" t="s">
        <v>216</v>
      </c>
      <c r="C3685" t="s">
        <v>6603</v>
      </c>
      <c r="D3685" t="s">
        <v>16210</v>
      </c>
      <c r="E3685" t="s">
        <v>19600</v>
      </c>
      <c r="F3685" t="s">
        <v>28198</v>
      </c>
      <c r="G3685" t="s">
        <v>28207</v>
      </c>
      <c r="H3685" t="s">
        <v>28215</v>
      </c>
      <c r="I3685" t="s">
        <v>28316</v>
      </c>
      <c r="J3685" t="s">
        <v>30761</v>
      </c>
      <c r="K3685" t="s">
        <v>36707</v>
      </c>
      <c r="M3685" t="s">
        <v>37192</v>
      </c>
      <c r="N3685" t="s">
        <v>40436</v>
      </c>
      <c r="O3685" t="s">
        <v>40437</v>
      </c>
      <c r="P3685">
        <v>0</v>
      </c>
      <c r="Q3685">
        <v>0</v>
      </c>
      <c r="R3685" t="s">
        <v>40439</v>
      </c>
      <c r="S3685" t="s">
        <v>40588</v>
      </c>
      <c r="T3685" t="s">
        <v>42190</v>
      </c>
      <c r="U3685" t="s">
        <v>45793</v>
      </c>
      <c r="V3685" t="s">
        <v>53819</v>
      </c>
      <c r="W3685" t="s">
        <v>37192</v>
      </c>
      <c r="X3685" t="s">
        <v>40440</v>
      </c>
    </row>
    <row r="3686" spans="1:24">
      <c r="A3686">
        <f>HYPERLINK("https://www.philgeps.gov.ph/GEPSNONPILOT/Tender/SplashBidNoticeAbstractUI.aspx?menuIndex=3&amp;refID=7045776&amp;Result=3","7045776")</f>
        <v>0</v>
      </c>
      <c r="B3686" t="s">
        <v>1385</v>
      </c>
      <c r="C3686" t="s">
        <v>6604</v>
      </c>
      <c r="D3686" t="s">
        <v>16222</v>
      </c>
      <c r="E3686" t="s">
        <v>19601</v>
      </c>
      <c r="F3686" t="s">
        <v>28198</v>
      </c>
      <c r="G3686" t="s">
        <v>28205</v>
      </c>
      <c r="H3686" t="s">
        <v>28215</v>
      </c>
      <c r="I3686" t="s">
        <v>28247</v>
      </c>
      <c r="J3686" t="s">
        <v>30762</v>
      </c>
      <c r="K3686" t="s">
        <v>36697</v>
      </c>
      <c r="M3686" t="s">
        <v>38449</v>
      </c>
      <c r="N3686" t="s">
        <v>40436</v>
      </c>
      <c r="O3686" t="s">
        <v>40437</v>
      </c>
      <c r="P3686">
        <v>0</v>
      </c>
      <c r="Q3686">
        <v>10</v>
      </c>
      <c r="R3686" t="s">
        <v>40439</v>
      </c>
      <c r="S3686" t="s">
        <v>40588</v>
      </c>
      <c r="T3686" t="s">
        <v>42300</v>
      </c>
      <c r="U3686" t="s">
        <v>45794</v>
      </c>
      <c r="V3686" t="s">
        <v>54161</v>
      </c>
      <c r="W3686" t="s">
        <v>38449</v>
      </c>
      <c r="X3686" t="s">
        <v>40440</v>
      </c>
    </row>
    <row r="3687" spans="1:24">
      <c r="A3687">
        <f>HYPERLINK("https://www.philgeps.gov.ph/GEPSNONPILOT/Tender/SplashBidNoticeAbstractUI.aspx?menuIndex=3&amp;refID=7045771&amp;Result=3","7045771")</f>
        <v>0</v>
      </c>
      <c r="B3687" t="s">
        <v>1354</v>
      </c>
      <c r="C3687" t="s">
        <v>6605</v>
      </c>
      <c r="D3687" t="s">
        <v>16238</v>
      </c>
      <c r="E3687" t="s">
        <v>19602</v>
      </c>
      <c r="F3687" t="s">
        <v>28198</v>
      </c>
      <c r="G3687" t="s">
        <v>28205</v>
      </c>
      <c r="H3687" t="s">
        <v>28215</v>
      </c>
      <c r="I3687" t="s">
        <v>28281</v>
      </c>
      <c r="J3687" t="s">
        <v>28629</v>
      </c>
      <c r="K3687" t="s">
        <v>36701</v>
      </c>
      <c r="M3687" t="s">
        <v>38412</v>
      </c>
      <c r="N3687" t="s">
        <v>40436</v>
      </c>
      <c r="O3687" t="s">
        <v>40437</v>
      </c>
      <c r="P3687">
        <v>0</v>
      </c>
      <c r="Q3687">
        <v>1</v>
      </c>
      <c r="R3687" t="s">
        <v>40439</v>
      </c>
      <c r="S3687" t="s">
        <v>40588</v>
      </c>
      <c r="T3687" t="s">
        <v>42225</v>
      </c>
      <c r="U3687" t="s">
        <v>45795</v>
      </c>
      <c r="W3687" t="s">
        <v>38412</v>
      </c>
      <c r="X3687" t="s">
        <v>40440</v>
      </c>
    </row>
    <row r="3688" spans="1:24">
      <c r="A3688">
        <f>HYPERLINK("https://www.philgeps.gov.ph/GEPSNONPILOT/Tender/SplashBidNoticeAbstractUI.aspx?menuIndex=3&amp;refID=7045781&amp;Result=3","7045781")</f>
        <v>0</v>
      </c>
      <c r="B3688" t="s">
        <v>1386</v>
      </c>
      <c r="C3688" t="s">
        <v>6606</v>
      </c>
      <c r="D3688" t="s">
        <v>16262</v>
      </c>
      <c r="E3688" t="s">
        <v>19603</v>
      </c>
      <c r="F3688" t="s">
        <v>28198</v>
      </c>
      <c r="G3688" t="s">
        <v>28207</v>
      </c>
      <c r="H3688" t="s">
        <v>28215</v>
      </c>
      <c r="I3688" t="s">
        <v>28262</v>
      </c>
      <c r="J3688" t="s">
        <v>30763</v>
      </c>
      <c r="K3688" t="s">
        <v>36691</v>
      </c>
      <c r="M3688" t="s">
        <v>38450</v>
      </c>
      <c r="N3688" t="s">
        <v>40436</v>
      </c>
      <c r="O3688" t="s">
        <v>40437</v>
      </c>
      <c r="P3688">
        <v>0</v>
      </c>
      <c r="Q3688">
        <v>1</v>
      </c>
      <c r="R3688" t="s">
        <v>40439</v>
      </c>
      <c r="S3688" t="s">
        <v>40588</v>
      </c>
      <c r="T3688" t="s">
        <v>42161</v>
      </c>
      <c r="U3688" t="s">
        <v>45796</v>
      </c>
      <c r="W3688" t="s">
        <v>38450</v>
      </c>
      <c r="X3688" t="s">
        <v>40440</v>
      </c>
    </row>
    <row r="3689" spans="1:24">
      <c r="A3689">
        <f>HYPERLINK("https://www.philgeps.gov.ph/GEPSNONPILOT/Tender/SplashBidNoticeAbstractUI.aspx?menuIndex=3&amp;refID=7045774&amp;Result=3","7045774")</f>
        <v>0</v>
      </c>
      <c r="B3689" t="s">
        <v>1387</v>
      </c>
      <c r="C3689" t="s">
        <v>6607</v>
      </c>
      <c r="D3689" t="s">
        <v>16195</v>
      </c>
      <c r="E3689" t="s">
        <v>19604</v>
      </c>
      <c r="F3689" t="s">
        <v>28198</v>
      </c>
      <c r="G3689" t="s">
        <v>28207</v>
      </c>
      <c r="H3689" t="s">
        <v>28215</v>
      </c>
      <c r="I3689" t="s">
        <v>28247</v>
      </c>
      <c r="J3689" t="s">
        <v>30764</v>
      </c>
      <c r="K3689" t="s">
        <v>36689</v>
      </c>
      <c r="M3689" t="s">
        <v>38451</v>
      </c>
      <c r="N3689" t="s">
        <v>40436</v>
      </c>
      <c r="O3689" t="s">
        <v>40437</v>
      </c>
      <c r="P3689">
        <v>0</v>
      </c>
      <c r="Q3689">
        <v>5</v>
      </c>
      <c r="R3689" t="s">
        <v>40439</v>
      </c>
      <c r="S3689" t="s">
        <v>40588</v>
      </c>
      <c r="T3689" t="s">
        <v>42124</v>
      </c>
      <c r="U3689" t="s">
        <v>45797</v>
      </c>
      <c r="W3689" t="s">
        <v>38451</v>
      </c>
      <c r="X3689" t="s">
        <v>40440</v>
      </c>
    </row>
    <row r="3690" spans="1:24">
      <c r="A3690">
        <f>HYPERLINK("https://www.philgeps.gov.ph/GEPSNONPILOT/Tender/SplashBidNoticeAbstractUI.aspx?menuIndex=3&amp;refID=7045788&amp;Result=3","7045788")</f>
        <v>0</v>
      </c>
      <c r="B3690" t="s">
        <v>140</v>
      </c>
      <c r="C3690" t="s">
        <v>6608</v>
      </c>
      <c r="D3690" t="s">
        <v>16196</v>
      </c>
      <c r="E3690" t="s">
        <v>19605</v>
      </c>
      <c r="F3690" t="s">
        <v>28198</v>
      </c>
      <c r="G3690" t="s">
        <v>28207</v>
      </c>
      <c r="H3690" t="s">
        <v>28215</v>
      </c>
      <c r="I3690" t="s">
        <v>28225</v>
      </c>
      <c r="J3690" t="s">
        <v>29190</v>
      </c>
      <c r="K3690" t="s">
        <v>36689</v>
      </c>
      <c r="M3690" t="s">
        <v>37114</v>
      </c>
      <c r="N3690" t="s">
        <v>40436</v>
      </c>
      <c r="O3690" t="s">
        <v>40437</v>
      </c>
      <c r="P3690">
        <v>0</v>
      </c>
      <c r="Q3690">
        <v>1</v>
      </c>
      <c r="R3690" t="s">
        <v>40439</v>
      </c>
      <c r="S3690" t="s">
        <v>40588</v>
      </c>
      <c r="T3690" t="s">
        <v>42169</v>
      </c>
      <c r="U3690" t="s">
        <v>42858</v>
      </c>
      <c r="V3690" t="s">
        <v>54162</v>
      </c>
      <c r="W3690" t="s">
        <v>37114</v>
      </c>
      <c r="X3690" t="s">
        <v>40440</v>
      </c>
    </row>
    <row r="3691" spans="1:24">
      <c r="A3691">
        <f>HYPERLINK("https://www.philgeps.gov.ph/GEPSNONPILOT/Tender/SplashBidNoticeAbstractUI.aspx?menuIndex=3&amp;refID=7045775&amp;Result=3","7045775")</f>
        <v>0</v>
      </c>
      <c r="B3691" t="s">
        <v>1376</v>
      </c>
      <c r="C3691" t="s">
        <v>6609</v>
      </c>
      <c r="D3691" t="s">
        <v>16204</v>
      </c>
      <c r="E3691" t="s">
        <v>19606</v>
      </c>
      <c r="F3691" t="s">
        <v>28198</v>
      </c>
      <c r="G3691" t="s">
        <v>28205</v>
      </c>
      <c r="H3691" t="s">
        <v>28215</v>
      </c>
      <c r="I3691" t="s">
        <v>28239</v>
      </c>
      <c r="J3691" t="s">
        <v>30765</v>
      </c>
      <c r="K3691" t="s">
        <v>36696</v>
      </c>
      <c r="M3691" t="s">
        <v>38440</v>
      </c>
      <c r="N3691" t="s">
        <v>40436</v>
      </c>
      <c r="O3691" t="s">
        <v>40437</v>
      </c>
      <c r="P3691">
        <v>0</v>
      </c>
      <c r="Q3691">
        <v>1</v>
      </c>
      <c r="R3691" t="s">
        <v>40439</v>
      </c>
      <c r="S3691" t="s">
        <v>40588</v>
      </c>
      <c r="T3691" t="s">
        <v>42175</v>
      </c>
      <c r="U3691" t="s">
        <v>45774</v>
      </c>
      <c r="W3691" t="s">
        <v>38440</v>
      </c>
      <c r="X3691" t="s">
        <v>40440</v>
      </c>
    </row>
    <row r="3692" spans="1:24">
      <c r="A3692">
        <f>HYPERLINK("https://www.philgeps.gov.ph/GEPSNONPILOT/Tender/SplashBidNoticeAbstractUI.aspx?menuIndex=3&amp;refID=7045791&amp;Result=3","7045791")</f>
        <v>0</v>
      </c>
      <c r="B3692" t="s">
        <v>1388</v>
      </c>
      <c r="C3692" t="s">
        <v>6610</v>
      </c>
      <c r="D3692" t="s">
        <v>16221</v>
      </c>
      <c r="E3692" t="s">
        <v>19607</v>
      </c>
      <c r="F3692" t="s">
        <v>28198</v>
      </c>
      <c r="G3692" t="s">
        <v>28207</v>
      </c>
      <c r="H3692" t="s">
        <v>28215</v>
      </c>
      <c r="I3692" t="s">
        <v>5082</v>
      </c>
      <c r="J3692" t="s">
        <v>30766</v>
      </c>
      <c r="K3692" t="s">
        <v>36691</v>
      </c>
      <c r="M3692" t="s">
        <v>38452</v>
      </c>
      <c r="N3692" t="s">
        <v>40436</v>
      </c>
      <c r="O3692" t="s">
        <v>40437</v>
      </c>
      <c r="P3692">
        <v>0</v>
      </c>
      <c r="Q3692">
        <v>0</v>
      </c>
      <c r="R3692" t="s">
        <v>40439</v>
      </c>
      <c r="S3692" t="s">
        <v>40588</v>
      </c>
      <c r="T3692" t="s">
        <v>42318</v>
      </c>
      <c r="U3692" t="s">
        <v>45798</v>
      </c>
      <c r="W3692" t="s">
        <v>38452</v>
      </c>
      <c r="X3692" t="s">
        <v>40440</v>
      </c>
    </row>
    <row r="3693" spans="1:24">
      <c r="A3693">
        <f>HYPERLINK("https://www.philgeps.gov.ph/GEPSNONPILOT/Tender/SplashBidNoticeAbstractUI.aspx?menuIndex=3&amp;refID=7045790&amp;Result=3","7045790")</f>
        <v>0</v>
      </c>
      <c r="B3693" t="s">
        <v>1327</v>
      </c>
      <c r="C3693" t="s">
        <v>6611</v>
      </c>
      <c r="D3693" t="s">
        <v>16210</v>
      </c>
      <c r="E3693" t="s">
        <v>19608</v>
      </c>
      <c r="F3693" t="s">
        <v>28198</v>
      </c>
      <c r="G3693" t="s">
        <v>28205</v>
      </c>
      <c r="H3693" t="s">
        <v>28215</v>
      </c>
      <c r="I3693" t="s">
        <v>28281</v>
      </c>
      <c r="J3693" t="s">
        <v>30433</v>
      </c>
      <c r="K3693" t="s">
        <v>36693</v>
      </c>
      <c r="M3693" t="s">
        <v>38385</v>
      </c>
      <c r="N3693" t="s">
        <v>40436</v>
      </c>
      <c r="O3693" t="s">
        <v>40437</v>
      </c>
      <c r="P3693">
        <v>0</v>
      </c>
      <c r="Q3693">
        <v>3</v>
      </c>
      <c r="R3693" t="s">
        <v>40439</v>
      </c>
      <c r="S3693" t="s">
        <v>40588</v>
      </c>
      <c r="T3693" t="s">
        <v>42176</v>
      </c>
      <c r="U3693" t="s">
        <v>45627</v>
      </c>
      <c r="W3693" t="s">
        <v>38385</v>
      </c>
      <c r="X3693" t="s">
        <v>40440</v>
      </c>
    </row>
    <row r="3694" spans="1:24">
      <c r="A3694">
        <f>HYPERLINK("https://www.philgeps.gov.ph/GEPSNONPILOT/Tender/SplashBidNoticeAbstractUI.aspx?menuIndex=3&amp;refID=7045787&amp;Result=3","7045787")</f>
        <v>0</v>
      </c>
      <c r="B3694" t="s">
        <v>1140</v>
      </c>
      <c r="C3694" t="s">
        <v>6612</v>
      </c>
      <c r="D3694" t="s">
        <v>16252</v>
      </c>
      <c r="E3694" t="s">
        <v>19609</v>
      </c>
      <c r="F3694" t="s">
        <v>28198</v>
      </c>
      <c r="G3694" t="s">
        <v>28205</v>
      </c>
      <c r="H3694" t="s">
        <v>28215</v>
      </c>
      <c r="I3694" t="s">
        <v>5082</v>
      </c>
      <c r="J3694" t="s">
        <v>30767</v>
      </c>
      <c r="K3694" t="s">
        <v>36706</v>
      </c>
      <c r="M3694" t="s">
        <v>38180</v>
      </c>
      <c r="N3694" t="s">
        <v>40436</v>
      </c>
      <c r="O3694" t="s">
        <v>40437</v>
      </c>
      <c r="P3694">
        <v>0</v>
      </c>
      <c r="Q3694">
        <v>0</v>
      </c>
      <c r="R3694" t="s">
        <v>40439</v>
      </c>
      <c r="S3694" t="s">
        <v>40588</v>
      </c>
      <c r="T3694" t="s">
        <v>42337</v>
      </c>
      <c r="U3694" t="s">
        <v>45785</v>
      </c>
      <c r="W3694" t="s">
        <v>38180</v>
      </c>
      <c r="X3694" t="s">
        <v>40440</v>
      </c>
    </row>
    <row r="3695" spans="1:24">
      <c r="A3695">
        <f>HYPERLINK("https://www.philgeps.gov.ph/GEPSNONPILOT/Tender/SplashBidNoticeAbstractUI.aspx?menuIndex=3&amp;refID=7045773&amp;Result=3","7045773")</f>
        <v>0</v>
      </c>
      <c r="B3695" t="s">
        <v>1234</v>
      </c>
      <c r="C3695" t="s">
        <v>5071</v>
      </c>
      <c r="D3695" t="s">
        <v>16260</v>
      </c>
      <c r="E3695" t="s">
        <v>19610</v>
      </c>
      <c r="F3695" t="s">
        <v>28198</v>
      </c>
      <c r="G3695" t="s">
        <v>28207</v>
      </c>
      <c r="H3695" t="s">
        <v>28215</v>
      </c>
      <c r="I3695" t="s">
        <v>5071</v>
      </c>
      <c r="J3695" t="s">
        <v>30768</v>
      </c>
      <c r="K3695" t="s">
        <v>36688</v>
      </c>
      <c r="M3695" t="s">
        <v>38283</v>
      </c>
      <c r="N3695" t="s">
        <v>40436</v>
      </c>
      <c r="O3695" t="s">
        <v>40437</v>
      </c>
      <c r="P3695">
        <v>0</v>
      </c>
      <c r="Q3695">
        <v>1</v>
      </c>
      <c r="R3695" t="s">
        <v>40439</v>
      </c>
      <c r="S3695" t="s">
        <v>40588</v>
      </c>
      <c r="T3695" t="s">
        <v>42158</v>
      </c>
      <c r="U3695" t="s">
        <v>45799</v>
      </c>
      <c r="W3695" t="s">
        <v>38283</v>
      </c>
      <c r="X3695" t="s">
        <v>40440</v>
      </c>
    </row>
    <row r="3696" spans="1:24">
      <c r="A3696">
        <f>HYPERLINK("https://www.philgeps.gov.ph/GEPSNONPILOT/Tender/SplashBidNoticeAbstractUI.aspx?menuIndex=3&amp;refID=7045795&amp;Result=3","7045795")</f>
        <v>0</v>
      </c>
      <c r="B3696" t="s">
        <v>1389</v>
      </c>
      <c r="C3696" t="s">
        <v>6613</v>
      </c>
      <c r="D3696" t="s">
        <v>16187</v>
      </c>
      <c r="E3696" t="s">
        <v>19611</v>
      </c>
      <c r="F3696" t="s">
        <v>28198</v>
      </c>
      <c r="G3696" t="s">
        <v>28205</v>
      </c>
      <c r="H3696" t="s">
        <v>28215</v>
      </c>
      <c r="I3696" t="s">
        <v>4200</v>
      </c>
      <c r="J3696" t="s">
        <v>28415</v>
      </c>
      <c r="K3696" t="s">
        <v>36689</v>
      </c>
      <c r="M3696" t="s">
        <v>38453</v>
      </c>
      <c r="N3696" t="s">
        <v>40436</v>
      </c>
      <c r="O3696" t="s">
        <v>40437</v>
      </c>
      <c r="P3696">
        <v>0</v>
      </c>
      <c r="Q3696">
        <v>0</v>
      </c>
      <c r="R3696" t="s">
        <v>40439</v>
      </c>
      <c r="S3696" t="s">
        <v>40588</v>
      </c>
      <c r="T3696" t="s">
        <v>42209</v>
      </c>
      <c r="U3696" t="s">
        <v>45800</v>
      </c>
      <c r="W3696" t="s">
        <v>38453</v>
      </c>
      <c r="X3696" t="s">
        <v>40440</v>
      </c>
    </row>
    <row r="3697" spans="1:24">
      <c r="A3697">
        <f>HYPERLINK("https://www.philgeps.gov.ph/GEPSNONPILOT/Tender/SplashBidNoticeAbstractUI.aspx?menuIndex=3&amp;refID=7045794&amp;Result=3","7045794")</f>
        <v>0</v>
      </c>
      <c r="B3697" t="s">
        <v>70</v>
      </c>
      <c r="C3697" t="s">
        <v>6614</v>
      </c>
      <c r="D3697" t="s">
        <v>16214</v>
      </c>
      <c r="E3697" t="s">
        <v>19612</v>
      </c>
      <c r="F3697" t="s">
        <v>28198</v>
      </c>
      <c r="G3697" t="s">
        <v>28205</v>
      </c>
      <c r="H3697" t="s">
        <v>28215</v>
      </c>
      <c r="I3697" t="s">
        <v>28243</v>
      </c>
      <c r="J3697" t="s">
        <v>30769</v>
      </c>
      <c r="K3697" t="s">
        <v>36694</v>
      </c>
      <c r="M3697" t="s">
        <v>38348</v>
      </c>
      <c r="N3697" t="s">
        <v>40436</v>
      </c>
      <c r="O3697" t="s">
        <v>40437</v>
      </c>
      <c r="P3697">
        <v>0</v>
      </c>
      <c r="Q3697">
        <v>0</v>
      </c>
      <c r="R3697" t="s">
        <v>40439</v>
      </c>
      <c r="S3697" t="s">
        <v>40588</v>
      </c>
      <c r="T3697" t="s">
        <v>42133</v>
      </c>
      <c r="U3697" t="s">
        <v>45801</v>
      </c>
      <c r="W3697" t="s">
        <v>38348</v>
      </c>
      <c r="X3697" t="s">
        <v>40440</v>
      </c>
    </row>
    <row r="3698" spans="1:24">
      <c r="A3698">
        <f>HYPERLINK("https://www.philgeps.gov.ph/GEPSNONPILOT/Tender/SplashBidNoticeAbstractUI.aspx?menuIndex=3&amp;refID=7045785&amp;Result=3","7045785")</f>
        <v>0</v>
      </c>
      <c r="B3698" t="s">
        <v>360</v>
      </c>
      <c r="C3698" t="s">
        <v>6615</v>
      </c>
      <c r="D3698" t="s">
        <v>16210</v>
      </c>
      <c r="E3698" t="s">
        <v>19613</v>
      </c>
      <c r="F3698" t="s">
        <v>28198</v>
      </c>
      <c r="G3698" t="s">
        <v>28207</v>
      </c>
      <c r="H3698" t="s">
        <v>28215</v>
      </c>
      <c r="I3698" t="s">
        <v>28269</v>
      </c>
      <c r="J3698" t="s">
        <v>30770</v>
      </c>
      <c r="K3698" t="s">
        <v>36689</v>
      </c>
      <c r="M3698" t="s">
        <v>38431</v>
      </c>
      <c r="N3698" t="s">
        <v>40436</v>
      </c>
      <c r="O3698" t="s">
        <v>40437</v>
      </c>
      <c r="P3698">
        <v>0</v>
      </c>
      <c r="Q3698">
        <v>0</v>
      </c>
      <c r="R3698" t="s">
        <v>40439</v>
      </c>
      <c r="S3698" t="s">
        <v>40588</v>
      </c>
      <c r="T3698" t="s">
        <v>42160</v>
      </c>
      <c r="U3698" t="s">
        <v>45750</v>
      </c>
      <c r="V3698" t="s">
        <v>54163</v>
      </c>
      <c r="W3698" t="s">
        <v>38431</v>
      </c>
      <c r="X3698" t="s">
        <v>40440</v>
      </c>
    </row>
    <row r="3699" spans="1:24">
      <c r="A3699">
        <f>HYPERLINK("https://www.philgeps.gov.ph/GEPSNONPILOT/Tender/SplashBidNoticeAbstractUI.aspx?menuIndex=3&amp;refID=7045793&amp;Result=3","7045793")</f>
        <v>0</v>
      </c>
      <c r="B3699" t="s">
        <v>1354</v>
      </c>
      <c r="C3699" t="s">
        <v>6616</v>
      </c>
      <c r="D3699" t="s">
        <v>16238</v>
      </c>
      <c r="E3699" t="s">
        <v>6616</v>
      </c>
      <c r="F3699" t="s">
        <v>28198</v>
      </c>
      <c r="G3699" t="s">
        <v>28205</v>
      </c>
      <c r="H3699" t="s">
        <v>28215</v>
      </c>
      <c r="I3699" t="s">
        <v>4168</v>
      </c>
      <c r="J3699" t="s">
        <v>30771</v>
      </c>
      <c r="K3699" t="s">
        <v>36701</v>
      </c>
      <c r="M3699" t="s">
        <v>38412</v>
      </c>
      <c r="N3699" t="s">
        <v>40436</v>
      </c>
      <c r="O3699" t="s">
        <v>40437</v>
      </c>
      <c r="P3699">
        <v>0</v>
      </c>
      <c r="Q3699">
        <v>0</v>
      </c>
      <c r="R3699" t="s">
        <v>40439</v>
      </c>
      <c r="S3699" t="s">
        <v>40588</v>
      </c>
      <c r="T3699" t="s">
        <v>42225</v>
      </c>
      <c r="U3699" t="s">
        <v>45802</v>
      </c>
      <c r="W3699" t="s">
        <v>38412</v>
      </c>
      <c r="X3699" t="s">
        <v>40440</v>
      </c>
    </row>
    <row r="3700" spans="1:24">
      <c r="A3700">
        <f>HYPERLINK("https://www.philgeps.gov.ph/GEPSNONPILOT/Tender/SplashBidNoticeAbstractUI.aspx?menuIndex=3&amp;refID=7045789&amp;Result=3","7045789")</f>
        <v>0</v>
      </c>
      <c r="B3700" t="s">
        <v>739</v>
      </c>
      <c r="C3700" t="s">
        <v>6617</v>
      </c>
      <c r="D3700" t="s">
        <v>16187</v>
      </c>
      <c r="E3700" t="s">
        <v>19614</v>
      </c>
      <c r="F3700" t="s">
        <v>28198</v>
      </c>
      <c r="G3700" t="s">
        <v>28207</v>
      </c>
      <c r="H3700" t="s">
        <v>28215</v>
      </c>
      <c r="I3700" t="s">
        <v>28274</v>
      </c>
      <c r="J3700" t="s">
        <v>28551</v>
      </c>
      <c r="K3700" t="s">
        <v>36689</v>
      </c>
      <c r="M3700" t="s">
        <v>37742</v>
      </c>
      <c r="N3700" t="s">
        <v>40436</v>
      </c>
      <c r="O3700" t="s">
        <v>40437</v>
      </c>
      <c r="P3700">
        <v>0</v>
      </c>
      <c r="Q3700">
        <v>1</v>
      </c>
      <c r="R3700" t="s">
        <v>40439</v>
      </c>
      <c r="S3700" t="s">
        <v>40588</v>
      </c>
      <c r="T3700" t="s">
        <v>42318</v>
      </c>
      <c r="U3700" t="s">
        <v>45803</v>
      </c>
      <c r="W3700" t="s">
        <v>37742</v>
      </c>
      <c r="X3700" t="s">
        <v>40440</v>
      </c>
    </row>
    <row r="3701" spans="1:24">
      <c r="A3701">
        <f>HYPERLINK("https://www.philgeps.gov.ph/GEPSNONPILOT/Tender/SplashBidNoticeAbstractUI.aspx?menuIndex=3&amp;refID=7045772&amp;Result=3","7045772")</f>
        <v>0</v>
      </c>
      <c r="B3701" t="s">
        <v>1286</v>
      </c>
      <c r="C3701" t="s">
        <v>6618</v>
      </c>
      <c r="D3701" t="s">
        <v>16228</v>
      </c>
      <c r="E3701" t="s">
        <v>19615</v>
      </c>
      <c r="F3701" t="s">
        <v>28198</v>
      </c>
      <c r="G3701" t="s">
        <v>28207</v>
      </c>
      <c r="H3701" t="s">
        <v>28215</v>
      </c>
      <c r="I3701" t="s">
        <v>5082</v>
      </c>
      <c r="J3701" t="s">
        <v>30772</v>
      </c>
      <c r="K3701" t="s">
        <v>36689</v>
      </c>
      <c r="M3701" t="s">
        <v>38339</v>
      </c>
      <c r="N3701" t="s">
        <v>40436</v>
      </c>
      <c r="O3701" t="s">
        <v>40437</v>
      </c>
      <c r="P3701">
        <v>0</v>
      </c>
      <c r="Q3701">
        <v>1</v>
      </c>
      <c r="R3701" t="s">
        <v>40439</v>
      </c>
      <c r="S3701" t="s">
        <v>40588</v>
      </c>
      <c r="T3701" t="s">
        <v>42320</v>
      </c>
      <c r="U3701" t="s">
        <v>45775</v>
      </c>
      <c r="W3701" t="s">
        <v>38339</v>
      </c>
      <c r="X3701" t="s">
        <v>40440</v>
      </c>
    </row>
    <row r="3702" spans="1:24">
      <c r="A3702">
        <f>HYPERLINK("https://www.philgeps.gov.ph/GEPSNONPILOT/Tender/SplashBidNoticeAbstractUI.aspx?menuIndex=3&amp;refID=7045797&amp;Result=3","7045797")</f>
        <v>0</v>
      </c>
      <c r="B3702" t="s">
        <v>1390</v>
      </c>
      <c r="C3702" t="s">
        <v>6619</v>
      </c>
      <c r="D3702" t="s">
        <v>16211</v>
      </c>
      <c r="E3702" t="s">
        <v>19616</v>
      </c>
      <c r="F3702" t="s">
        <v>28198</v>
      </c>
      <c r="G3702" t="s">
        <v>28205</v>
      </c>
      <c r="H3702" t="s">
        <v>28215</v>
      </c>
      <c r="I3702" t="s">
        <v>3797</v>
      </c>
      <c r="J3702" t="s">
        <v>28379</v>
      </c>
      <c r="K3702" t="s">
        <v>36697</v>
      </c>
      <c r="M3702" t="s">
        <v>38454</v>
      </c>
      <c r="N3702" t="s">
        <v>40436</v>
      </c>
      <c r="O3702" t="s">
        <v>40437</v>
      </c>
      <c r="P3702">
        <v>0</v>
      </c>
      <c r="Q3702">
        <v>0</v>
      </c>
      <c r="R3702" t="s">
        <v>40439</v>
      </c>
      <c r="S3702" t="s">
        <v>40588</v>
      </c>
      <c r="T3702" t="s">
        <v>42259</v>
      </c>
      <c r="U3702" t="s">
        <v>45804</v>
      </c>
      <c r="W3702" t="s">
        <v>38454</v>
      </c>
      <c r="X3702" t="s">
        <v>40440</v>
      </c>
    </row>
    <row r="3703" spans="1:24">
      <c r="A3703">
        <f>HYPERLINK("https://www.philgeps.gov.ph/GEPSNONPILOT/Tender/SplashBidNoticeAbstractUI.aspx?menuIndex=3&amp;refID=7045796&amp;Result=3","7045796")</f>
        <v>0</v>
      </c>
      <c r="B3703" t="s">
        <v>1282</v>
      </c>
      <c r="C3703" t="s">
        <v>6620</v>
      </c>
      <c r="D3703" t="s">
        <v>16214</v>
      </c>
      <c r="E3703" t="s">
        <v>19617</v>
      </c>
      <c r="F3703" t="s">
        <v>28198</v>
      </c>
      <c r="G3703" t="s">
        <v>28205</v>
      </c>
      <c r="H3703" t="s">
        <v>28214</v>
      </c>
      <c r="I3703" t="s">
        <v>3797</v>
      </c>
      <c r="J3703" t="s">
        <v>29163</v>
      </c>
      <c r="K3703" t="s">
        <v>36804</v>
      </c>
      <c r="M3703" t="s">
        <v>38334</v>
      </c>
      <c r="N3703" t="s">
        <v>40436</v>
      </c>
      <c r="O3703" t="s">
        <v>40437</v>
      </c>
      <c r="P3703">
        <v>0</v>
      </c>
      <c r="Q3703">
        <v>3</v>
      </c>
      <c r="R3703" t="s">
        <v>40439</v>
      </c>
      <c r="S3703" t="s">
        <v>40588</v>
      </c>
      <c r="T3703" t="s">
        <v>42106</v>
      </c>
      <c r="U3703" t="s">
        <v>45679</v>
      </c>
      <c r="V3703" t="s">
        <v>54164</v>
      </c>
      <c r="W3703" t="s">
        <v>38334</v>
      </c>
      <c r="X3703" t="s">
        <v>40440</v>
      </c>
    </row>
    <row r="3704" spans="1:24">
      <c r="A3704">
        <f>HYPERLINK("https://www.philgeps.gov.ph/GEPSNONPILOT/Tender/SplashBidNoticeAbstractUI.aspx?menuIndex=3&amp;refID=7045798&amp;Result=3","7045798")</f>
        <v>0</v>
      </c>
      <c r="B3704" t="s">
        <v>1391</v>
      </c>
      <c r="C3704" t="s">
        <v>6621</v>
      </c>
      <c r="D3704" t="s">
        <v>16233</v>
      </c>
      <c r="E3704" t="s">
        <v>6621</v>
      </c>
      <c r="F3704" t="s">
        <v>28198</v>
      </c>
      <c r="G3704" t="s">
        <v>28210</v>
      </c>
      <c r="H3704" t="s">
        <v>28215</v>
      </c>
      <c r="I3704" t="s">
        <v>4200</v>
      </c>
      <c r="J3704" t="s">
        <v>29358</v>
      </c>
      <c r="K3704" t="s">
        <v>36689</v>
      </c>
      <c r="M3704" t="s">
        <v>38455</v>
      </c>
      <c r="N3704" t="s">
        <v>40436</v>
      </c>
      <c r="O3704" t="s">
        <v>40437</v>
      </c>
      <c r="P3704">
        <v>0</v>
      </c>
      <c r="Q3704">
        <v>0</v>
      </c>
      <c r="R3704" t="s">
        <v>40439</v>
      </c>
      <c r="S3704" t="s">
        <v>40588</v>
      </c>
      <c r="T3704" t="s">
        <v>42158</v>
      </c>
      <c r="U3704" t="s">
        <v>45805</v>
      </c>
      <c r="W3704" t="s">
        <v>38455</v>
      </c>
      <c r="X3704" t="s">
        <v>40440</v>
      </c>
    </row>
    <row r="3705" spans="1:24">
      <c r="A3705">
        <f>HYPERLINK("https://www.philgeps.gov.ph/GEPSNONPILOT/Tender/SplashBidNoticeAbstractUI.aspx?menuIndex=3&amp;refID=7045804&amp;Result=3","7045804")</f>
        <v>0</v>
      </c>
      <c r="B3705" t="s">
        <v>378</v>
      </c>
      <c r="C3705" t="s">
        <v>6622</v>
      </c>
      <c r="D3705" t="s">
        <v>16187</v>
      </c>
      <c r="E3705" t="s">
        <v>19618</v>
      </c>
      <c r="F3705" t="s">
        <v>28198</v>
      </c>
      <c r="G3705" t="s">
        <v>28205</v>
      </c>
      <c r="H3705" t="s">
        <v>28216</v>
      </c>
      <c r="I3705" t="s">
        <v>3797</v>
      </c>
      <c r="J3705" t="s">
        <v>30773</v>
      </c>
      <c r="K3705" t="s">
        <v>36689</v>
      </c>
      <c r="M3705" t="s">
        <v>37683</v>
      </c>
      <c r="N3705" t="s">
        <v>40436</v>
      </c>
      <c r="O3705" t="s">
        <v>40437</v>
      </c>
      <c r="P3705">
        <v>0</v>
      </c>
      <c r="Q3705">
        <v>0</v>
      </c>
      <c r="R3705" t="s">
        <v>40439</v>
      </c>
      <c r="S3705" t="s">
        <v>40588</v>
      </c>
      <c r="T3705" t="s">
        <v>42175</v>
      </c>
      <c r="U3705" t="s">
        <v>45806</v>
      </c>
      <c r="W3705" t="s">
        <v>37683</v>
      </c>
      <c r="X3705" t="s">
        <v>40440</v>
      </c>
    </row>
    <row r="3706" spans="1:24">
      <c r="A3706">
        <f>HYPERLINK("https://www.philgeps.gov.ph/GEPSNONPILOT/Tender/SplashBidNoticeAbstractUI.aspx?menuIndex=3&amp;refID=7045807&amp;Result=3","7045807")</f>
        <v>0</v>
      </c>
      <c r="B3706" t="s">
        <v>386</v>
      </c>
      <c r="C3706" t="s">
        <v>6623</v>
      </c>
      <c r="D3706" t="s">
        <v>16259</v>
      </c>
      <c r="E3706" t="s">
        <v>19619</v>
      </c>
      <c r="F3706" t="s">
        <v>28198</v>
      </c>
      <c r="G3706" t="s">
        <v>28207</v>
      </c>
      <c r="H3706" t="s">
        <v>28215</v>
      </c>
      <c r="I3706" t="s">
        <v>5082</v>
      </c>
      <c r="J3706" t="s">
        <v>29237</v>
      </c>
      <c r="K3706" t="s">
        <v>36688</v>
      </c>
      <c r="M3706" t="s">
        <v>37366</v>
      </c>
      <c r="N3706" t="s">
        <v>40436</v>
      </c>
      <c r="O3706" t="s">
        <v>40437</v>
      </c>
      <c r="P3706">
        <v>0</v>
      </c>
      <c r="Q3706">
        <v>1</v>
      </c>
      <c r="R3706" t="s">
        <v>40439</v>
      </c>
      <c r="S3706" t="s">
        <v>40588</v>
      </c>
      <c r="T3706" t="s">
        <v>42133</v>
      </c>
      <c r="U3706" t="s">
        <v>45807</v>
      </c>
      <c r="V3706" t="s">
        <v>53872</v>
      </c>
      <c r="W3706" t="s">
        <v>37366</v>
      </c>
      <c r="X3706" t="s">
        <v>40440</v>
      </c>
    </row>
    <row r="3707" spans="1:24">
      <c r="A3707">
        <f>HYPERLINK("https://www.philgeps.gov.ph/GEPSNONPILOT/Tender/SplashBidNoticeAbstractUI.aspx?menuIndex=3&amp;refID=7045811&amp;Result=3","7045811")</f>
        <v>0</v>
      </c>
      <c r="B3707" t="s">
        <v>1140</v>
      </c>
      <c r="C3707" t="s">
        <v>5806</v>
      </c>
      <c r="D3707" t="s">
        <v>16252</v>
      </c>
      <c r="E3707" t="s">
        <v>19620</v>
      </c>
      <c r="F3707" t="s">
        <v>28198</v>
      </c>
      <c r="G3707" t="s">
        <v>28205</v>
      </c>
      <c r="H3707" t="s">
        <v>28215</v>
      </c>
      <c r="I3707" t="s">
        <v>5082</v>
      </c>
      <c r="J3707" t="s">
        <v>30774</v>
      </c>
      <c r="K3707" t="s">
        <v>36706</v>
      </c>
      <c r="M3707" t="s">
        <v>38180</v>
      </c>
      <c r="N3707" t="s">
        <v>40436</v>
      </c>
      <c r="O3707" t="s">
        <v>40437</v>
      </c>
      <c r="P3707">
        <v>0</v>
      </c>
      <c r="Q3707">
        <v>0</v>
      </c>
      <c r="R3707" t="s">
        <v>40439</v>
      </c>
      <c r="S3707" t="s">
        <v>40588</v>
      </c>
      <c r="T3707" t="s">
        <v>42337</v>
      </c>
      <c r="U3707" t="s">
        <v>43698</v>
      </c>
      <c r="W3707" t="s">
        <v>38180</v>
      </c>
      <c r="X3707" t="s">
        <v>40440</v>
      </c>
    </row>
    <row r="3708" spans="1:24">
      <c r="A3708">
        <f>HYPERLINK("https://www.philgeps.gov.ph/GEPSNONPILOT/Tender/SplashBidNoticeAbstractUI.aspx?menuIndex=3&amp;refID=7045801&amp;Result=3","7045801")</f>
        <v>0</v>
      </c>
      <c r="B3708" t="s">
        <v>1392</v>
      </c>
      <c r="C3708" t="s">
        <v>3098</v>
      </c>
      <c r="D3708" t="s">
        <v>16239</v>
      </c>
      <c r="E3708" t="s">
        <v>19621</v>
      </c>
      <c r="F3708" t="s">
        <v>28198</v>
      </c>
      <c r="G3708" t="s">
        <v>28205</v>
      </c>
      <c r="H3708" t="s">
        <v>28215</v>
      </c>
      <c r="I3708" t="s">
        <v>5082</v>
      </c>
      <c r="J3708" t="s">
        <v>28404</v>
      </c>
      <c r="K3708" t="s">
        <v>36693</v>
      </c>
      <c r="M3708" t="s">
        <v>38456</v>
      </c>
      <c r="N3708" t="s">
        <v>40436</v>
      </c>
      <c r="O3708" t="s">
        <v>40437</v>
      </c>
      <c r="P3708">
        <v>0</v>
      </c>
      <c r="Q3708">
        <v>0</v>
      </c>
      <c r="R3708" t="s">
        <v>40439</v>
      </c>
      <c r="S3708" t="s">
        <v>40588</v>
      </c>
      <c r="T3708" t="s">
        <v>42144</v>
      </c>
      <c r="U3708" t="s">
        <v>45808</v>
      </c>
      <c r="W3708" t="s">
        <v>38456</v>
      </c>
      <c r="X3708" t="s">
        <v>40440</v>
      </c>
    </row>
    <row r="3709" spans="1:24">
      <c r="A3709">
        <f>HYPERLINK("https://www.philgeps.gov.ph/GEPSNONPILOT/Tender/SplashBidNoticeAbstractUI.aspx?menuIndex=3&amp;refID=7045800&amp;Result=3","7045800")</f>
        <v>0</v>
      </c>
      <c r="B3709" t="s">
        <v>1260</v>
      </c>
      <c r="C3709" t="s">
        <v>6624</v>
      </c>
      <c r="D3709" t="s">
        <v>16206</v>
      </c>
      <c r="E3709" t="s">
        <v>19622</v>
      </c>
      <c r="F3709" t="s">
        <v>28198</v>
      </c>
      <c r="G3709" t="s">
        <v>28207</v>
      </c>
      <c r="H3709" t="s">
        <v>28215</v>
      </c>
      <c r="I3709" t="s">
        <v>28281</v>
      </c>
      <c r="J3709" t="s">
        <v>30775</v>
      </c>
      <c r="K3709" t="s">
        <v>36698</v>
      </c>
      <c r="M3709" t="s">
        <v>38310</v>
      </c>
      <c r="N3709" t="s">
        <v>40436</v>
      </c>
      <c r="O3709" t="s">
        <v>40437</v>
      </c>
      <c r="P3709">
        <v>0</v>
      </c>
      <c r="Q3709">
        <v>1</v>
      </c>
      <c r="R3709" t="s">
        <v>40439</v>
      </c>
      <c r="S3709" t="s">
        <v>40588</v>
      </c>
      <c r="T3709" t="s">
        <v>42326</v>
      </c>
      <c r="U3709" t="s">
        <v>45809</v>
      </c>
      <c r="W3709" t="s">
        <v>38310</v>
      </c>
      <c r="X3709" t="s">
        <v>40440</v>
      </c>
    </row>
    <row r="3710" spans="1:24">
      <c r="A3710">
        <f>HYPERLINK("https://www.philgeps.gov.ph/GEPSNONPILOT/Tender/SplashBidNoticeAbstractUI.aspx?menuIndex=3&amp;refID=7045814&amp;Result=3","7045814")</f>
        <v>0</v>
      </c>
      <c r="B3710" t="s">
        <v>1393</v>
      </c>
      <c r="C3710" t="s">
        <v>6625</v>
      </c>
      <c r="D3710" t="s">
        <v>16197</v>
      </c>
      <c r="E3710" t="s">
        <v>17685</v>
      </c>
      <c r="F3710" t="s">
        <v>28198</v>
      </c>
      <c r="G3710" t="s">
        <v>28207</v>
      </c>
      <c r="H3710" t="s">
        <v>28215</v>
      </c>
      <c r="I3710" t="s">
        <v>4505</v>
      </c>
      <c r="J3710" t="s">
        <v>30776</v>
      </c>
      <c r="K3710" t="s">
        <v>36701</v>
      </c>
      <c r="M3710" t="s">
        <v>38457</v>
      </c>
      <c r="N3710" t="s">
        <v>40436</v>
      </c>
      <c r="O3710" t="s">
        <v>40437</v>
      </c>
      <c r="P3710">
        <v>0</v>
      </c>
      <c r="Q3710">
        <v>7</v>
      </c>
      <c r="R3710" t="s">
        <v>40439</v>
      </c>
      <c r="S3710" t="s">
        <v>40588</v>
      </c>
      <c r="T3710" t="s">
        <v>42348</v>
      </c>
      <c r="U3710" t="s">
        <v>45810</v>
      </c>
      <c r="W3710" t="s">
        <v>38457</v>
      </c>
      <c r="X3710" t="s">
        <v>40440</v>
      </c>
    </row>
    <row r="3711" spans="1:24">
      <c r="A3711">
        <f>HYPERLINK("https://www.philgeps.gov.ph/GEPSNONPILOT/Tender/SplashBidNoticeAbstractUI.aspx?menuIndex=3&amp;refID=7045802&amp;Result=3","7045802")</f>
        <v>0</v>
      </c>
      <c r="B3711" t="s">
        <v>1394</v>
      </c>
      <c r="C3711" t="s">
        <v>6626</v>
      </c>
      <c r="D3711" t="s">
        <v>16247</v>
      </c>
      <c r="E3711" t="s">
        <v>16526</v>
      </c>
      <c r="F3711" t="s">
        <v>28198</v>
      </c>
      <c r="G3711" t="s">
        <v>28206</v>
      </c>
      <c r="H3711" t="s">
        <v>28215</v>
      </c>
      <c r="I3711" t="s">
        <v>4505</v>
      </c>
      <c r="J3711" t="s">
        <v>28880</v>
      </c>
      <c r="K3711" t="s">
        <v>36707</v>
      </c>
      <c r="M3711" t="s">
        <v>38458</v>
      </c>
      <c r="N3711" t="s">
        <v>40436</v>
      </c>
      <c r="O3711" t="s">
        <v>40437</v>
      </c>
      <c r="P3711">
        <v>0</v>
      </c>
      <c r="Q3711">
        <v>10</v>
      </c>
      <c r="R3711" t="s">
        <v>40439</v>
      </c>
      <c r="S3711" t="s">
        <v>40588</v>
      </c>
      <c r="T3711" t="s">
        <v>42374</v>
      </c>
      <c r="U3711" t="s">
        <v>45811</v>
      </c>
      <c r="W3711" t="s">
        <v>38458</v>
      </c>
      <c r="X3711" t="s">
        <v>40440</v>
      </c>
    </row>
    <row r="3712" spans="1:24">
      <c r="A3712">
        <f>HYPERLINK("https://www.philgeps.gov.ph/GEPSNONPILOT/Tender/SplashBidNoticeAbstractUI.aspx?menuIndex=3&amp;refID=7045806&amp;Result=3","7045806")</f>
        <v>0</v>
      </c>
      <c r="B3712" t="s">
        <v>1377</v>
      </c>
      <c r="C3712" t="s">
        <v>6627</v>
      </c>
      <c r="D3712" t="s">
        <v>16206</v>
      </c>
      <c r="E3712" t="s">
        <v>19623</v>
      </c>
      <c r="F3712" t="s">
        <v>28198</v>
      </c>
      <c r="G3712" t="s">
        <v>28207</v>
      </c>
      <c r="H3712" t="s">
        <v>28215</v>
      </c>
      <c r="I3712" t="s">
        <v>5100</v>
      </c>
      <c r="J3712" t="s">
        <v>30777</v>
      </c>
      <c r="K3712" t="s">
        <v>36688</v>
      </c>
      <c r="M3712" t="s">
        <v>38441</v>
      </c>
      <c r="N3712" t="s">
        <v>40436</v>
      </c>
      <c r="O3712" t="s">
        <v>40437</v>
      </c>
      <c r="P3712">
        <v>0</v>
      </c>
      <c r="Q3712">
        <v>0</v>
      </c>
      <c r="R3712" t="s">
        <v>40439</v>
      </c>
      <c r="S3712" t="s">
        <v>40588</v>
      </c>
      <c r="T3712" t="s">
        <v>42169</v>
      </c>
      <c r="U3712" t="s">
        <v>45812</v>
      </c>
      <c r="W3712" t="s">
        <v>38441</v>
      </c>
      <c r="X3712" t="s">
        <v>40440</v>
      </c>
    </row>
    <row r="3713" spans="1:24">
      <c r="A3713">
        <f>HYPERLINK("https://www.philgeps.gov.ph/GEPSNONPILOT/Tender/SplashBidNoticeAbstractUI.aspx?menuIndex=3&amp;refID=7045821&amp;Result=3","7045821")</f>
        <v>0</v>
      </c>
      <c r="B3713" t="s">
        <v>695</v>
      </c>
      <c r="C3713" t="s">
        <v>6628</v>
      </c>
      <c r="D3713" t="s">
        <v>16204</v>
      </c>
      <c r="E3713" t="s">
        <v>19624</v>
      </c>
      <c r="F3713" t="s">
        <v>28198</v>
      </c>
      <c r="G3713" t="s">
        <v>28207</v>
      </c>
      <c r="H3713" t="s">
        <v>28214</v>
      </c>
      <c r="I3713" t="s">
        <v>3797</v>
      </c>
      <c r="J3713" t="s">
        <v>30778</v>
      </c>
      <c r="K3713" t="s">
        <v>36689</v>
      </c>
      <c r="M3713" t="s">
        <v>37695</v>
      </c>
      <c r="N3713" t="s">
        <v>40436</v>
      </c>
      <c r="O3713" t="s">
        <v>40437</v>
      </c>
      <c r="P3713">
        <v>0</v>
      </c>
      <c r="Q3713">
        <v>15</v>
      </c>
      <c r="R3713" t="s">
        <v>40439</v>
      </c>
      <c r="S3713" t="s">
        <v>40588</v>
      </c>
      <c r="T3713" t="s">
        <v>42218</v>
      </c>
      <c r="U3713" t="s">
        <v>45813</v>
      </c>
      <c r="W3713" t="s">
        <v>37695</v>
      </c>
      <c r="X3713" t="s">
        <v>40440</v>
      </c>
    </row>
    <row r="3714" spans="1:24">
      <c r="A3714">
        <f>HYPERLINK("https://www.philgeps.gov.ph/GEPSNONPILOT/Tender/SplashBidNoticeAbstractUI.aspx?menuIndex=3&amp;refID=7045810&amp;Result=3","7045810")</f>
        <v>0</v>
      </c>
      <c r="B3714" t="s">
        <v>98</v>
      </c>
      <c r="C3714" t="s">
        <v>6629</v>
      </c>
      <c r="D3714" t="s">
        <v>16227</v>
      </c>
      <c r="E3714" t="s">
        <v>19625</v>
      </c>
      <c r="F3714" t="s">
        <v>28198</v>
      </c>
      <c r="G3714" t="s">
        <v>28207</v>
      </c>
      <c r="H3714" t="s">
        <v>28215</v>
      </c>
      <c r="I3714" t="s">
        <v>28247</v>
      </c>
      <c r="J3714" t="s">
        <v>30779</v>
      </c>
      <c r="K3714" t="s">
        <v>36691</v>
      </c>
      <c r="M3714" t="s">
        <v>37071</v>
      </c>
      <c r="N3714" t="s">
        <v>40436</v>
      </c>
      <c r="O3714" t="s">
        <v>40437</v>
      </c>
      <c r="P3714">
        <v>0</v>
      </c>
      <c r="Q3714">
        <v>6</v>
      </c>
      <c r="R3714" t="s">
        <v>40439</v>
      </c>
      <c r="S3714" t="s">
        <v>40588</v>
      </c>
      <c r="T3714" t="s">
        <v>42157</v>
      </c>
      <c r="U3714" t="s">
        <v>42759</v>
      </c>
      <c r="W3714" t="s">
        <v>37071</v>
      </c>
      <c r="X3714" t="s">
        <v>40440</v>
      </c>
    </row>
    <row r="3715" spans="1:24">
      <c r="A3715">
        <f>HYPERLINK("https://www.philgeps.gov.ph/GEPSNONPILOT/Tender/SplashBidNoticeAbstractUI.aspx?menuIndex=3&amp;refID=7045817&amp;Result=3","7045817")</f>
        <v>0</v>
      </c>
      <c r="B3715" t="s">
        <v>1395</v>
      </c>
      <c r="C3715" t="s">
        <v>6630</v>
      </c>
      <c r="D3715" t="s">
        <v>16198</v>
      </c>
      <c r="E3715" t="s">
        <v>19626</v>
      </c>
      <c r="F3715" t="s">
        <v>28198</v>
      </c>
      <c r="G3715" t="s">
        <v>28207</v>
      </c>
      <c r="H3715" t="s">
        <v>28215</v>
      </c>
      <c r="I3715" t="s">
        <v>28228</v>
      </c>
      <c r="J3715" t="s">
        <v>30780</v>
      </c>
      <c r="K3715" t="s">
        <v>36693</v>
      </c>
      <c r="M3715" t="s">
        <v>38459</v>
      </c>
      <c r="N3715" t="s">
        <v>40436</v>
      </c>
      <c r="O3715" t="s">
        <v>40437</v>
      </c>
      <c r="P3715">
        <v>0</v>
      </c>
      <c r="Q3715">
        <v>0</v>
      </c>
      <c r="R3715" t="s">
        <v>40439</v>
      </c>
      <c r="S3715" t="s">
        <v>40588</v>
      </c>
      <c r="T3715" t="s">
        <v>42190</v>
      </c>
      <c r="U3715" t="s">
        <v>45814</v>
      </c>
      <c r="W3715" t="s">
        <v>38459</v>
      </c>
      <c r="X3715" t="s">
        <v>40440</v>
      </c>
    </row>
    <row r="3716" spans="1:24">
      <c r="A3716">
        <f>HYPERLINK("https://www.philgeps.gov.ph/GEPSNONPILOT/Tender/SplashBidNoticeAbstractUI.aspx?menuIndex=3&amp;refID=7045819&amp;Result=3","7045819")</f>
        <v>0</v>
      </c>
      <c r="B3716" t="s">
        <v>1389</v>
      </c>
      <c r="C3716" t="s">
        <v>6631</v>
      </c>
      <c r="D3716" t="s">
        <v>16187</v>
      </c>
      <c r="E3716" t="s">
        <v>19627</v>
      </c>
      <c r="F3716" t="s">
        <v>28198</v>
      </c>
      <c r="G3716" t="s">
        <v>28205</v>
      </c>
      <c r="H3716" t="s">
        <v>28215</v>
      </c>
      <c r="I3716" t="s">
        <v>5103</v>
      </c>
      <c r="J3716" t="s">
        <v>30781</v>
      </c>
      <c r="K3716" t="s">
        <v>36689</v>
      </c>
      <c r="M3716" t="s">
        <v>38453</v>
      </c>
      <c r="N3716" t="s">
        <v>40436</v>
      </c>
      <c r="O3716" t="s">
        <v>40437</v>
      </c>
      <c r="P3716">
        <v>0</v>
      </c>
      <c r="Q3716">
        <v>6</v>
      </c>
      <c r="R3716" t="s">
        <v>40439</v>
      </c>
      <c r="S3716" t="s">
        <v>40588</v>
      </c>
      <c r="T3716" t="s">
        <v>42209</v>
      </c>
      <c r="U3716" t="s">
        <v>45815</v>
      </c>
      <c r="W3716" t="s">
        <v>38453</v>
      </c>
      <c r="X3716" t="s">
        <v>40440</v>
      </c>
    </row>
    <row r="3717" spans="1:24">
      <c r="A3717">
        <f>HYPERLINK("https://www.philgeps.gov.ph/GEPSNONPILOT/Tender/SplashBidNoticeAbstractUI.aspx?menuIndex=3&amp;refID=7045809&amp;Result=3","7045809")</f>
        <v>0</v>
      </c>
      <c r="B3717" t="s">
        <v>1286</v>
      </c>
      <c r="C3717" t="s">
        <v>6632</v>
      </c>
      <c r="D3717" t="s">
        <v>16228</v>
      </c>
      <c r="E3717" t="s">
        <v>19628</v>
      </c>
      <c r="F3717" t="s">
        <v>28198</v>
      </c>
      <c r="G3717" t="s">
        <v>28207</v>
      </c>
      <c r="H3717" t="s">
        <v>28215</v>
      </c>
      <c r="I3717" t="s">
        <v>4168</v>
      </c>
      <c r="J3717" t="s">
        <v>28529</v>
      </c>
      <c r="K3717" t="s">
        <v>36689</v>
      </c>
      <c r="M3717" t="s">
        <v>38339</v>
      </c>
      <c r="N3717" t="s">
        <v>40436</v>
      </c>
      <c r="O3717" t="s">
        <v>40437</v>
      </c>
      <c r="P3717">
        <v>0</v>
      </c>
      <c r="Q3717">
        <v>1</v>
      </c>
      <c r="R3717" t="s">
        <v>40439</v>
      </c>
      <c r="S3717" t="s">
        <v>40588</v>
      </c>
      <c r="T3717" t="s">
        <v>42320</v>
      </c>
      <c r="U3717" t="s">
        <v>45775</v>
      </c>
      <c r="W3717" t="s">
        <v>38339</v>
      </c>
      <c r="X3717" t="s">
        <v>40440</v>
      </c>
    </row>
    <row r="3718" spans="1:24">
      <c r="A3718">
        <f>HYPERLINK("https://www.philgeps.gov.ph/GEPSNONPILOT/Tender/SplashBidNoticeAbstractUI.aspx?menuIndex=3&amp;refID=7045816&amp;Result=3","7045816")</f>
        <v>0</v>
      </c>
      <c r="B3718" t="s">
        <v>455</v>
      </c>
      <c r="C3718" t="s">
        <v>6633</v>
      </c>
      <c r="D3718" t="s">
        <v>16263</v>
      </c>
      <c r="E3718" t="s">
        <v>19629</v>
      </c>
      <c r="F3718" t="s">
        <v>28198</v>
      </c>
      <c r="G3718" t="s">
        <v>28205</v>
      </c>
      <c r="H3718" t="s">
        <v>28214</v>
      </c>
      <c r="I3718" t="s">
        <v>3797</v>
      </c>
      <c r="J3718" t="s">
        <v>28393</v>
      </c>
      <c r="K3718" t="s">
        <v>36689</v>
      </c>
      <c r="M3718" t="s">
        <v>37439</v>
      </c>
      <c r="N3718" t="s">
        <v>40436</v>
      </c>
      <c r="O3718" t="s">
        <v>40437</v>
      </c>
      <c r="P3718">
        <v>0</v>
      </c>
      <c r="Q3718">
        <v>0</v>
      </c>
      <c r="R3718" t="s">
        <v>40439</v>
      </c>
      <c r="S3718" t="s">
        <v>40588</v>
      </c>
      <c r="T3718" t="s">
        <v>42118</v>
      </c>
      <c r="U3718" t="s">
        <v>45025</v>
      </c>
      <c r="W3718" t="s">
        <v>37439</v>
      </c>
      <c r="X3718" t="s">
        <v>40440</v>
      </c>
    </row>
    <row r="3719" spans="1:24">
      <c r="A3719">
        <f>HYPERLINK("https://www.philgeps.gov.ph/GEPSNONPILOT/Tender/SplashBidNoticeAbstractUI.aspx?menuIndex=3&amp;refID=7045818&amp;Result=3","7045818")</f>
        <v>0</v>
      </c>
      <c r="B3719" t="s">
        <v>1014</v>
      </c>
      <c r="C3719" t="s">
        <v>6634</v>
      </c>
      <c r="D3719" t="s">
        <v>16217</v>
      </c>
      <c r="E3719" t="s">
        <v>19630</v>
      </c>
      <c r="F3719" t="s">
        <v>28198</v>
      </c>
      <c r="G3719" t="s">
        <v>28207</v>
      </c>
      <c r="H3719" t="s">
        <v>28215</v>
      </c>
      <c r="I3719" t="s">
        <v>5100</v>
      </c>
      <c r="J3719" t="s">
        <v>30782</v>
      </c>
      <c r="K3719" t="s">
        <v>36697</v>
      </c>
      <c r="M3719" t="s">
        <v>38042</v>
      </c>
      <c r="N3719" t="s">
        <v>40436</v>
      </c>
      <c r="O3719" t="s">
        <v>40437</v>
      </c>
      <c r="P3719">
        <v>0</v>
      </c>
      <c r="Q3719">
        <v>0</v>
      </c>
      <c r="R3719" t="s">
        <v>40439</v>
      </c>
      <c r="S3719" t="s">
        <v>40588</v>
      </c>
      <c r="T3719" t="s">
        <v>42133</v>
      </c>
      <c r="U3719" t="s">
        <v>45816</v>
      </c>
      <c r="W3719" t="s">
        <v>38042</v>
      </c>
      <c r="X3719" t="s">
        <v>40440</v>
      </c>
    </row>
    <row r="3720" spans="1:24">
      <c r="A3720">
        <f>HYPERLINK("https://www.philgeps.gov.ph/GEPSNONPILOT/Tender/SplashBidNoticeAbstractUI.aspx?menuIndex=3&amp;refID=7045803&amp;Result=3","7045803")</f>
        <v>0</v>
      </c>
      <c r="B3720" t="s">
        <v>1317</v>
      </c>
      <c r="C3720" t="s">
        <v>6635</v>
      </c>
      <c r="D3720" t="s">
        <v>16214</v>
      </c>
      <c r="E3720" t="s">
        <v>19631</v>
      </c>
      <c r="F3720" t="s">
        <v>28198</v>
      </c>
      <c r="G3720" t="s">
        <v>28207</v>
      </c>
      <c r="H3720" t="s">
        <v>28215</v>
      </c>
      <c r="I3720" t="s">
        <v>28314</v>
      </c>
      <c r="J3720" t="s">
        <v>28395</v>
      </c>
      <c r="K3720" t="s">
        <v>36701</v>
      </c>
      <c r="M3720" t="s">
        <v>38373</v>
      </c>
      <c r="N3720" t="s">
        <v>40436</v>
      </c>
      <c r="O3720" t="s">
        <v>40437</v>
      </c>
      <c r="P3720">
        <v>0</v>
      </c>
      <c r="Q3720">
        <v>0</v>
      </c>
      <c r="R3720" t="s">
        <v>40439</v>
      </c>
      <c r="S3720" t="s">
        <v>40588</v>
      </c>
      <c r="T3720" t="s">
        <v>42168</v>
      </c>
      <c r="U3720" t="s">
        <v>45817</v>
      </c>
      <c r="W3720" t="s">
        <v>38373</v>
      </c>
      <c r="X3720" t="s">
        <v>40440</v>
      </c>
    </row>
    <row r="3721" spans="1:24">
      <c r="A3721">
        <f>HYPERLINK("https://www.philgeps.gov.ph/GEPSNONPILOT/Tender/SplashBidNoticeAbstractUI.aspx?menuIndex=3&amp;refID=7045822&amp;Result=3","7045822")</f>
        <v>0</v>
      </c>
      <c r="B3721" t="s">
        <v>305</v>
      </c>
      <c r="C3721" t="s">
        <v>6636</v>
      </c>
      <c r="D3721" t="s">
        <v>16197</v>
      </c>
      <c r="E3721" t="s">
        <v>19632</v>
      </c>
      <c r="F3721" t="s">
        <v>28198</v>
      </c>
      <c r="G3721" t="s">
        <v>28205</v>
      </c>
      <c r="H3721" t="s">
        <v>28215</v>
      </c>
      <c r="I3721" t="s">
        <v>8870</v>
      </c>
      <c r="J3721" t="s">
        <v>30783</v>
      </c>
      <c r="K3721" t="s">
        <v>36694</v>
      </c>
      <c r="M3721" t="s">
        <v>37282</v>
      </c>
      <c r="N3721" t="s">
        <v>40436</v>
      </c>
      <c r="O3721" t="s">
        <v>40437</v>
      </c>
      <c r="P3721">
        <v>0</v>
      </c>
      <c r="Q3721">
        <v>3</v>
      </c>
      <c r="R3721" t="s">
        <v>40439</v>
      </c>
      <c r="S3721" t="s">
        <v>40588</v>
      </c>
      <c r="T3721" t="s">
        <v>42108</v>
      </c>
      <c r="U3721" t="s">
        <v>43102</v>
      </c>
      <c r="W3721" t="s">
        <v>37282</v>
      </c>
      <c r="X3721" t="s">
        <v>40440</v>
      </c>
    </row>
    <row r="3722" spans="1:24">
      <c r="A3722">
        <f>HYPERLINK("https://www.philgeps.gov.ph/GEPSNONPILOT/Tender/SplashBidNoticeAbstractUI.aspx?menuIndex=3&amp;refID=7045815&amp;Result=3","7045815")</f>
        <v>0</v>
      </c>
      <c r="B3722" t="s">
        <v>1396</v>
      </c>
      <c r="C3722" t="s">
        <v>6637</v>
      </c>
      <c r="D3722" t="s">
        <v>16250</v>
      </c>
      <c r="E3722" t="s">
        <v>19633</v>
      </c>
      <c r="F3722" t="s">
        <v>28198</v>
      </c>
      <c r="G3722" t="s">
        <v>28207</v>
      </c>
      <c r="H3722" t="s">
        <v>28215</v>
      </c>
      <c r="I3722" t="s">
        <v>5100</v>
      </c>
      <c r="J3722" t="s">
        <v>30676</v>
      </c>
      <c r="K3722" t="s">
        <v>36688</v>
      </c>
      <c r="M3722" t="s">
        <v>38460</v>
      </c>
      <c r="N3722" t="s">
        <v>40436</v>
      </c>
      <c r="O3722" t="s">
        <v>40437</v>
      </c>
      <c r="P3722">
        <v>0</v>
      </c>
      <c r="Q3722">
        <v>0</v>
      </c>
      <c r="R3722" t="s">
        <v>40439</v>
      </c>
      <c r="S3722" t="s">
        <v>40588</v>
      </c>
      <c r="T3722" t="s">
        <v>42218</v>
      </c>
      <c r="U3722" t="s">
        <v>45818</v>
      </c>
      <c r="V3722" t="s">
        <v>54165</v>
      </c>
      <c r="W3722" t="s">
        <v>38460</v>
      </c>
      <c r="X3722" t="s">
        <v>40440</v>
      </c>
    </row>
    <row r="3723" spans="1:24">
      <c r="A3723">
        <f>HYPERLINK("https://www.philgeps.gov.ph/GEPSNONPILOT/Tender/SplashBidNoticeAbstractUI.aspx?menuIndex=3&amp;refID=7045835&amp;Result=3","7045835")</f>
        <v>0</v>
      </c>
      <c r="B3723" t="s">
        <v>1097</v>
      </c>
      <c r="C3723" t="s">
        <v>6638</v>
      </c>
      <c r="D3723" t="s">
        <v>16187</v>
      </c>
      <c r="E3723" t="s">
        <v>19634</v>
      </c>
      <c r="F3723" t="s">
        <v>28198</v>
      </c>
      <c r="G3723" t="s">
        <v>28212</v>
      </c>
      <c r="H3723" t="s">
        <v>28214</v>
      </c>
      <c r="I3723" t="s">
        <v>3797</v>
      </c>
      <c r="J3723" t="s">
        <v>30784</v>
      </c>
      <c r="K3723" t="s">
        <v>36689</v>
      </c>
      <c r="M3723" t="s">
        <v>38461</v>
      </c>
      <c r="N3723" t="s">
        <v>40436</v>
      </c>
      <c r="O3723" t="s">
        <v>40437</v>
      </c>
      <c r="P3723">
        <v>0</v>
      </c>
      <c r="Q3723">
        <v>0</v>
      </c>
      <c r="R3723" t="s">
        <v>40439</v>
      </c>
      <c r="S3723" t="s">
        <v>40588</v>
      </c>
      <c r="T3723" t="s">
        <v>42169</v>
      </c>
      <c r="U3723" t="s">
        <v>45819</v>
      </c>
      <c r="W3723" t="s">
        <v>38461</v>
      </c>
      <c r="X3723" t="s">
        <v>40440</v>
      </c>
    </row>
    <row r="3724" spans="1:24">
      <c r="A3724">
        <f>HYPERLINK("https://www.philgeps.gov.ph/GEPSNONPILOT/Tender/SplashBidNoticeAbstractUI.aspx?menuIndex=3&amp;refID=7045827&amp;Result=3","7045827")</f>
        <v>0</v>
      </c>
      <c r="B3724" t="s">
        <v>1123</v>
      </c>
      <c r="C3724" t="s">
        <v>6639</v>
      </c>
      <c r="D3724" t="s">
        <v>16192</v>
      </c>
      <c r="E3724" t="s">
        <v>19635</v>
      </c>
      <c r="F3724" t="s">
        <v>28198</v>
      </c>
      <c r="G3724" t="s">
        <v>28206</v>
      </c>
      <c r="H3724" t="s">
        <v>28215</v>
      </c>
      <c r="I3724" t="s">
        <v>28238</v>
      </c>
      <c r="J3724" t="s">
        <v>28352</v>
      </c>
      <c r="K3724" t="s">
        <v>36688</v>
      </c>
      <c r="M3724" t="s">
        <v>38161</v>
      </c>
      <c r="N3724" t="s">
        <v>40436</v>
      </c>
      <c r="O3724" t="s">
        <v>40437</v>
      </c>
      <c r="P3724">
        <v>0</v>
      </c>
      <c r="Q3724">
        <v>0</v>
      </c>
      <c r="R3724" t="s">
        <v>40439</v>
      </c>
      <c r="S3724" t="s">
        <v>40588</v>
      </c>
      <c r="T3724" t="s">
        <v>42129</v>
      </c>
      <c r="U3724" t="s">
        <v>45820</v>
      </c>
      <c r="W3724" t="s">
        <v>38161</v>
      </c>
      <c r="X3724" t="s">
        <v>40440</v>
      </c>
    </row>
    <row r="3725" spans="1:24">
      <c r="A3725">
        <f>HYPERLINK("https://www.philgeps.gov.ph/GEPSNONPILOT/Tender/SplashBidNoticeAbstractUI.aspx?menuIndex=3&amp;refID=7045829&amp;Result=3","7045829")</f>
        <v>0</v>
      </c>
      <c r="B3725" t="s">
        <v>1397</v>
      </c>
      <c r="C3725" t="s">
        <v>6640</v>
      </c>
      <c r="D3725" t="s">
        <v>16200</v>
      </c>
      <c r="E3725" t="s">
        <v>19636</v>
      </c>
      <c r="F3725" t="s">
        <v>28198</v>
      </c>
      <c r="G3725" t="s">
        <v>28207</v>
      </c>
      <c r="H3725" t="s">
        <v>28215</v>
      </c>
      <c r="I3725" t="s">
        <v>28225</v>
      </c>
      <c r="J3725" t="s">
        <v>28378</v>
      </c>
      <c r="K3725" t="s">
        <v>36707</v>
      </c>
      <c r="M3725" t="s">
        <v>38462</v>
      </c>
      <c r="N3725" t="s">
        <v>40436</v>
      </c>
      <c r="O3725" t="s">
        <v>40437</v>
      </c>
      <c r="P3725">
        <v>0</v>
      </c>
      <c r="Q3725">
        <v>3</v>
      </c>
      <c r="R3725" t="s">
        <v>40439</v>
      </c>
      <c r="S3725" t="s">
        <v>40588</v>
      </c>
      <c r="T3725" t="s">
        <v>42161</v>
      </c>
      <c r="U3725" t="s">
        <v>45821</v>
      </c>
      <c r="W3725" t="s">
        <v>38462</v>
      </c>
      <c r="X3725" t="s">
        <v>40440</v>
      </c>
    </row>
    <row r="3726" spans="1:24">
      <c r="A3726">
        <f>HYPERLINK("https://www.philgeps.gov.ph/GEPSNONPILOT/Tender/SplashBidNoticeAbstractUI.aspx?menuIndex=3&amp;refID=7045826&amp;Result=3","7045826")</f>
        <v>0</v>
      </c>
      <c r="B3726" t="s">
        <v>140</v>
      </c>
      <c r="C3726" t="s">
        <v>6641</v>
      </c>
      <c r="D3726" t="s">
        <v>16196</v>
      </c>
      <c r="E3726" t="s">
        <v>19637</v>
      </c>
      <c r="F3726" t="s">
        <v>28198</v>
      </c>
      <c r="G3726" t="s">
        <v>28207</v>
      </c>
      <c r="H3726" t="s">
        <v>28215</v>
      </c>
      <c r="I3726" t="s">
        <v>28225</v>
      </c>
      <c r="J3726" t="s">
        <v>30785</v>
      </c>
      <c r="K3726" t="s">
        <v>36689</v>
      </c>
      <c r="M3726" t="s">
        <v>37114</v>
      </c>
      <c r="N3726" t="s">
        <v>40436</v>
      </c>
      <c r="O3726" t="s">
        <v>40437</v>
      </c>
      <c r="P3726">
        <v>0</v>
      </c>
      <c r="Q3726">
        <v>1</v>
      </c>
      <c r="R3726" t="s">
        <v>40439</v>
      </c>
      <c r="S3726" t="s">
        <v>40588</v>
      </c>
      <c r="T3726" t="s">
        <v>42169</v>
      </c>
      <c r="U3726" t="s">
        <v>45700</v>
      </c>
      <c r="V3726" t="s">
        <v>54166</v>
      </c>
      <c r="W3726" t="s">
        <v>37114</v>
      </c>
      <c r="X3726" t="s">
        <v>40440</v>
      </c>
    </row>
    <row r="3727" spans="1:24">
      <c r="A3727">
        <f>HYPERLINK("https://www.philgeps.gov.ph/GEPSNONPILOT/Tender/SplashBidNoticeAbstractUI.aspx?menuIndex=3&amp;refID=7045836&amp;Result=3","7045836")</f>
        <v>0</v>
      </c>
      <c r="B3727" t="s">
        <v>269</v>
      </c>
      <c r="C3727" t="s">
        <v>6642</v>
      </c>
      <c r="E3727" t="s">
        <v>19638</v>
      </c>
      <c r="F3727" t="s">
        <v>28198</v>
      </c>
      <c r="G3727" t="s">
        <v>28207</v>
      </c>
      <c r="H3727" t="s">
        <v>28215</v>
      </c>
      <c r="I3727" t="s">
        <v>28224</v>
      </c>
      <c r="J3727" t="s">
        <v>28519</v>
      </c>
      <c r="K3727" t="s">
        <v>36689</v>
      </c>
      <c r="M3727" t="s">
        <v>37246</v>
      </c>
      <c r="N3727" t="s">
        <v>40436</v>
      </c>
      <c r="O3727" t="s">
        <v>40437</v>
      </c>
      <c r="P3727">
        <v>0</v>
      </c>
      <c r="Q3727">
        <v>0</v>
      </c>
      <c r="R3727" t="s">
        <v>40439</v>
      </c>
      <c r="S3727" t="s">
        <v>40588</v>
      </c>
      <c r="T3727" t="s">
        <v>42131</v>
      </c>
      <c r="U3727" t="s">
        <v>45822</v>
      </c>
      <c r="W3727" t="s">
        <v>37246</v>
      </c>
      <c r="X3727" t="s">
        <v>40440</v>
      </c>
    </row>
    <row r="3728" spans="1:24">
      <c r="A3728">
        <f>HYPERLINK("https://www.philgeps.gov.ph/GEPSNONPILOT/Tender/SplashBidNoticeAbstractUI.aspx?menuIndex=3&amp;refID=7045830&amp;Result=3","7045830")</f>
        <v>0</v>
      </c>
      <c r="B3728" t="s">
        <v>216</v>
      </c>
      <c r="C3728" t="s">
        <v>6643</v>
      </c>
      <c r="D3728" t="s">
        <v>16210</v>
      </c>
      <c r="E3728" t="s">
        <v>19639</v>
      </c>
      <c r="F3728" t="s">
        <v>28198</v>
      </c>
      <c r="G3728" t="s">
        <v>28207</v>
      </c>
      <c r="H3728" t="s">
        <v>28215</v>
      </c>
      <c r="I3728" t="s">
        <v>5100</v>
      </c>
      <c r="J3728" t="s">
        <v>30786</v>
      </c>
      <c r="K3728" t="s">
        <v>36707</v>
      </c>
      <c r="M3728" t="s">
        <v>37192</v>
      </c>
      <c r="N3728" t="s">
        <v>40436</v>
      </c>
      <c r="O3728" t="s">
        <v>40437</v>
      </c>
      <c r="P3728">
        <v>0</v>
      </c>
      <c r="Q3728">
        <v>0</v>
      </c>
      <c r="R3728" t="s">
        <v>40439</v>
      </c>
      <c r="S3728" t="s">
        <v>40588</v>
      </c>
      <c r="T3728" t="s">
        <v>42190</v>
      </c>
      <c r="U3728" t="s">
        <v>45823</v>
      </c>
      <c r="V3728" t="s">
        <v>53819</v>
      </c>
      <c r="W3728" t="s">
        <v>37192</v>
      </c>
      <c r="X3728" t="s">
        <v>40440</v>
      </c>
    </row>
    <row r="3729" spans="1:24">
      <c r="A3729">
        <f>HYPERLINK("https://www.philgeps.gov.ph/GEPSNONPILOT/Tender/SplashBidNoticeAbstractUI.aspx?menuIndex=3&amp;refID=7045828&amp;Result=3","7045828")</f>
        <v>0</v>
      </c>
      <c r="B3729" t="s">
        <v>1398</v>
      </c>
      <c r="C3729" t="s">
        <v>6644</v>
      </c>
      <c r="D3729" t="s">
        <v>16210</v>
      </c>
      <c r="E3729" t="s">
        <v>19640</v>
      </c>
      <c r="F3729" t="s">
        <v>28198</v>
      </c>
      <c r="G3729" t="s">
        <v>28207</v>
      </c>
      <c r="H3729" t="s">
        <v>28215</v>
      </c>
      <c r="I3729" t="s">
        <v>8888</v>
      </c>
      <c r="J3729" t="s">
        <v>30787</v>
      </c>
      <c r="K3729" t="s">
        <v>36701</v>
      </c>
      <c r="M3729" t="s">
        <v>38463</v>
      </c>
      <c r="N3729" t="s">
        <v>40436</v>
      </c>
      <c r="O3729" t="s">
        <v>40437</v>
      </c>
      <c r="P3729">
        <v>0</v>
      </c>
      <c r="Q3729">
        <v>14</v>
      </c>
      <c r="R3729" t="s">
        <v>40439</v>
      </c>
      <c r="S3729" t="s">
        <v>40588</v>
      </c>
      <c r="T3729" t="s">
        <v>42146</v>
      </c>
      <c r="U3729" t="s">
        <v>45824</v>
      </c>
      <c r="W3729" t="s">
        <v>38463</v>
      </c>
      <c r="X3729" t="s">
        <v>40440</v>
      </c>
    </row>
    <row r="3730" spans="1:24">
      <c r="A3730">
        <f>HYPERLINK("https://www.philgeps.gov.ph/GEPSNONPILOT/Tender/SplashBidNoticeAbstractUI.aspx?menuIndex=3&amp;refID=7045823&amp;Result=3","7045823")</f>
        <v>0</v>
      </c>
      <c r="B3730" t="s">
        <v>1023</v>
      </c>
      <c r="C3730" t="s">
        <v>6645</v>
      </c>
      <c r="D3730" t="s">
        <v>16265</v>
      </c>
      <c r="E3730" t="s">
        <v>19595</v>
      </c>
      <c r="F3730" t="s">
        <v>28198</v>
      </c>
      <c r="G3730" t="s">
        <v>28205</v>
      </c>
      <c r="H3730" t="s">
        <v>28215</v>
      </c>
      <c r="I3730" t="s">
        <v>4200</v>
      </c>
      <c r="J3730" t="s">
        <v>29761</v>
      </c>
      <c r="K3730" t="s">
        <v>36701</v>
      </c>
      <c r="M3730" t="s">
        <v>38054</v>
      </c>
      <c r="N3730" t="s">
        <v>40436</v>
      </c>
      <c r="O3730" t="s">
        <v>40437</v>
      </c>
      <c r="P3730">
        <v>0</v>
      </c>
      <c r="Q3730">
        <v>2</v>
      </c>
      <c r="R3730" t="s">
        <v>40439</v>
      </c>
      <c r="S3730" t="s">
        <v>40588</v>
      </c>
      <c r="T3730" t="s">
        <v>42108</v>
      </c>
      <c r="U3730" t="s">
        <v>45788</v>
      </c>
      <c r="W3730" t="s">
        <v>38054</v>
      </c>
      <c r="X3730" t="s">
        <v>40440</v>
      </c>
    </row>
    <row r="3731" spans="1:24">
      <c r="A3731">
        <f>HYPERLINK("https://www.philgeps.gov.ph/GEPSNONPILOT/Tender/SplashBidNoticeAbstractUI.aspx?menuIndex=3&amp;refID=7045846&amp;Result=3","7045846")</f>
        <v>0</v>
      </c>
      <c r="B3731" t="s">
        <v>1399</v>
      </c>
      <c r="C3731" t="s">
        <v>3531</v>
      </c>
      <c r="E3731" t="s">
        <v>19641</v>
      </c>
      <c r="F3731" t="s">
        <v>28198</v>
      </c>
      <c r="G3731" t="s">
        <v>28207</v>
      </c>
      <c r="H3731" t="s">
        <v>28215</v>
      </c>
      <c r="I3731" t="s">
        <v>5082</v>
      </c>
      <c r="J3731" t="s">
        <v>30788</v>
      </c>
      <c r="K3731" t="s">
        <v>36701</v>
      </c>
      <c r="M3731" t="s">
        <v>38464</v>
      </c>
      <c r="N3731" t="s">
        <v>40436</v>
      </c>
      <c r="O3731" t="s">
        <v>40437</v>
      </c>
      <c r="P3731">
        <v>0</v>
      </c>
      <c r="Q3731">
        <v>1</v>
      </c>
      <c r="R3731" t="s">
        <v>40439</v>
      </c>
      <c r="S3731" t="s">
        <v>40588</v>
      </c>
      <c r="T3731" t="s">
        <v>42375</v>
      </c>
      <c r="U3731" t="s">
        <v>45825</v>
      </c>
      <c r="W3731" t="s">
        <v>38464</v>
      </c>
      <c r="X3731" t="s">
        <v>40440</v>
      </c>
    </row>
    <row r="3732" spans="1:24">
      <c r="A3732">
        <f>HYPERLINK("https://www.philgeps.gov.ph/GEPSNONPILOT/Tender/SplashBidNoticeAbstractUI.aspx?menuIndex=3&amp;refID=7045831&amp;Result=3","7045831")</f>
        <v>0</v>
      </c>
      <c r="B3732" t="s">
        <v>1039</v>
      </c>
      <c r="C3732" t="s">
        <v>6646</v>
      </c>
      <c r="D3732" t="s">
        <v>16255</v>
      </c>
      <c r="E3732" t="s">
        <v>19642</v>
      </c>
      <c r="F3732" t="s">
        <v>28198</v>
      </c>
      <c r="G3732" t="s">
        <v>28210</v>
      </c>
      <c r="H3732" t="s">
        <v>28215</v>
      </c>
      <c r="I3732" t="s">
        <v>3774</v>
      </c>
      <c r="J3732" t="s">
        <v>30789</v>
      </c>
      <c r="K3732" t="s">
        <v>36701</v>
      </c>
      <c r="M3732" t="s">
        <v>38071</v>
      </c>
      <c r="N3732" t="s">
        <v>40436</v>
      </c>
      <c r="O3732" t="s">
        <v>40437</v>
      </c>
      <c r="P3732">
        <v>0</v>
      </c>
      <c r="Q3732">
        <v>0</v>
      </c>
      <c r="R3732" t="s">
        <v>40439</v>
      </c>
      <c r="S3732" t="s">
        <v>40588</v>
      </c>
      <c r="T3732" t="s">
        <v>42158</v>
      </c>
      <c r="U3732" t="s">
        <v>45826</v>
      </c>
      <c r="W3732" t="s">
        <v>38071</v>
      </c>
      <c r="X3732" t="s">
        <v>40440</v>
      </c>
    </row>
    <row r="3733" spans="1:24">
      <c r="A3733">
        <f>HYPERLINK("https://www.philgeps.gov.ph/GEPSNONPILOT/Tender/SplashBidNoticeAbstractUI.aspx?menuIndex=3&amp;refID=7045825&amp;Result=3","7045825")</f>
        <v>0</v>
      </c>
      <c r="B3733" t="s">
        <v>1390</v>
      </c>
      <c r="C3733" t="s">
        <v>6647</v>
      </c>
      <c r="D3733" t="s">
        <v>16211</v>
      </c>
      <c r="E3733" t="s">
        <v>19643</v>
      </c>
      <c r="F3733" t="s">
        <v>28198</v>
      </c>
      <c r="G3733" t="s">
        <v>28205</v>
      </c>
      <c r="H3733" t="s">
        <v>28214</v>
      </c>
      <c r="I3733" t="s">
        <v>3797</v>
      </c>
      <c r="J3733" t="s">
        <v>28363</v>
      </c>
      <c r="K3733" t="s">
        <v>36697</v>
      </c>
      <c r="M3733" t="s">
        <v>38454</v>
      </c>
      <c r="N3733" t="s">
        <v>40436</v>
      </c>
      <c r="O3733" t="s">
        <v>40437</v>
      </c>
      <c r="P3733">
        <v>0</v>
      </c>
      <c r="Q3733">
        <v>0</v>
      </c>
      <c r="R3733" t="s">
        <v>40439</v>
      </c>
      <c r="S3733" t="s">
        <v>40588</v>
      </c>
      <c r="T3733" t="s">
        <v>42259</v>
      </c>
      <c r="U3733" t="s">
        <v>45827</v>
      </c>
      <c r="W3733" t="s">
        <v>38454</v>
      </c>
      <c r="X3733" t="s">
        <v>40440</v>
      </c>
    </row>
    <row r="3734" spans="1:24">
      <c r="A3734">
        <f>HYPERLINK("https://www.philgeps.gov.ph/GEPSNONPILOT/Tender/SplashBidNoticeAbstractUI.aspx?menuIndex=3&amp;refID=7045832&amp;Result=3","7045832")</f>
        <v>0</v>
      </c>
      <c r="B3734" t="s">
        <v>1268</v>
      </c>
      <c r="C3734" t="s">
        <v>6648</v>
      </c>
      <c r="D3734" t="s">
        <v>16228</v>
      </c>
      <c r="E3734" t="s">
        <v>19644</v>
      </c>
      <c r="F3734" t="s">
        <v>28198</v>
      </c>
      <c r="G3734" t="s">
        <v>28205</v>
      </c>
      <c r="H3734" t="s">
        <v>28215</v>
      </c>
      <c r="I3734" t="s">
        <v>3774</v>
      </c>
      <c r="J3734" t="s">
        <v>30790</v>
      </c>
      <c r="K3734" t="s">
        <v>36707</v>
      </c>
      <c r="M3734" t="s">
        <v>38318</v>
      </c>
      <c r="N3734" t="s">
        <v>40436</v>
      </c>
      <c r="O3734" t="s">
        <v>40437</v>
      </c>
      <c r="P3734">
        <v>0</v>
      </c>
      <c r="Q3734">
        <v>0</v>
      </c>
      <c r="R3734" t="s">
        <v>40439</v>
      </c>
      <c r="S3734" t="s">
        <v>40588</v>
      </c>
      <c r="T3734" t="s">
        <v>42102</v>
      </c>
      <c r="U3734" t="s">
        <v>45828</v>
      </c>
      <c r="W3734" t="s">
        <v>38318</v>
      </c>
      <c r="X3734" t="s">
        <v>40440</v>
      </c>
    </row>
    <row r="3735" spans="1:24">
      <c r="A3735">
        <f>HYPERLINK("https://www.philgeps.gov.ph/GEPSNONPILOT/Tender/SplashBidNoticeAbstractUI.aspx?menuIndex=3&amp;refID=7045824&amp;Result=3","7045824")</f>
        <v>0</v>
      </c>
      <c r="B3735" t="s">
        <v>539</v>
      </c>
      <c r="C3735" t="s">
        <v>6649</v>
      </c>
      <c r="D3735" t="s">
        <v>16210</v>
      </c>
      <c r="E3735" t="s">
        <v>19645</v>
      </c>
      <c r="F3735" t="s">
        <v>28198</v>
      </c>
      <c r="G3735" t="s">
        <v>28207</v>
      </c>
      <c r="H3735" t="s">
        <v>28215</v>
      </c>
      <c r="I3735" t="s">
        <v>28234</v>
      </c>
      <c r="J3735" t="s">
        <v>28601</v>
      </c>
      <c r="K3735" t="s">
        <v>36707</v>
      </c>
      <c r="M3735" t="s">
        <v>37525</v>
      </c>
      <c r="N3735" t="s">
        <v>40436</v>
      </c>
      <c r="O3735" t="s">
        <v>40437</v>
      </c>
      <c r="P3735">
        <v>0</v>
      </c>
      <c r="Q3735">
        <v>13</v>
      </c>
      <c r="R3735" t="s">
        <v>40439</v>
      </c>
      <c r="S3735" t="s">
        <v>40588</v>
      </c>
      <c r="T3735" t="s">
        <v>42191</v>
      </c>
      <c r="U3735" t="s">
        <v>45541</v>
      </c>
      <c r="V3735" t="s">
        <v>54127</v>
      </c>
      <c r="W3735" t="s">
        <v>37525</v>
      </c>
      <c r="X3735" t="s">
        <v>40440</v>
      </c>
    </row>
    <row r="3736" spans="1:24">
      <c r="A3736">
        <f>HYPERLINK("https://www.philgeps.gov.ph/GEPSNONPILOT/Tender/SplashBidNoticeAbstractUI.aspx?menuIndex=3&amp;refID=7045848&amp;Result=3","7045848")</f>
        <v>0</v>
      </c>
      <c r="B3736" t="s">
        <v>585</v>
      </c>
      <c r="C3736" t="s">
        <v>6650</v>
      </c>
      <c r="D3736" t="s">
        <v>16190</v>
      </c>
      <c r="E3736" t="s">
        <v>19646</v>
      </c>
      <c r="F3736" t="s">
        <v>28198</v>
      </c>
      <c r="G3736" t="s">
        <v>28205</v>
      </c>
      <c r="H3736" t="s">
        <v>28214</v>
      </c>
      <c r="I3736" t="s">
        <v>4321</v>
      </c>
      <c r="J3736" t="s">
        <v>30791</v>
      </c>
      <c r="K3736" t="s">
        <v>36698</v>
      </c>
      <c r="M3736" t="s">
        <v>37670</v>
      </c>
      <c r="N3736" t="s">
        <v>40436</v>
      </c>
      <c r="O3736" t="s">
        <v>40437</v>
      </c>
      <c r="P3736">
        <v>0</v>
      </c>
      <c r="Q3736">
        <v>0</v>
      </c>
      <c r="R3736" t="s">
        <v>40439</v>
      </c>
      <c r="S3736" t="s">
        <v>40588</v>
      </c>
      <c r="T3736" t="s">
        <v>42376</v>
      </c>
      <c r="U3736" t="s">
        <v>45829</v>
      </c>
      <c r="W3736" t="s">
        <v>37670</v>
      </c>
      <c r="X3736" t="s">
        <v>40440</v>
      </c>
    </row>
    <row r="3737" spans="1:24">
      <c r="A3737">
        <f>HYPERLINK("https://www.philgeps.gov.ph/GEPSNONPILOT/Tender/SplashBidNoticeAbstractUI.aspx?menuIndex=3&amp;refID=7045845&amp;Result=3","7045845")</f>
        <v>0</v>
      </c>
      <c r="B3737" t="s">
        <v>1286</v>
      </c>
      <c r="C3737" t="s">
        <v>6651</v>
      </c>
      <c r="D3737" t="s">
        <v>16228</v>
      </c>
      <c r="E3737" t="s">
        <v>19647</v>
      </c>
      <c r="F3737" t="s">
        <v>28198</v>
      </c>
      <c r="G3737" t="s">
        <v>28207</v>
      </c>
      <c r="H3737" t="s">
        <v>28215</v>
      </c>
      <c r="I3737" t="s">
        <v>28227</v>
      </c>
      <c r="J3737" t="s">
        <v>29486</v>
      </c>
      <c r="K3737" t="s">
        <v>36689</v>
      </c>
      <c r="M3737" t="s">
        <v>38339</v>
      </c>
      <c r="N3737" t="s">
        <v>40436</v>
      </c>
      <c r="O3737" t="s">
        <v>40437</v>
      </c>
      <c r="P3737">
        <v>0</v>
      </c>
      <c r="Q3737">
        <v>0</v>
      </c>
      <c r="R3737" t="s">
        <v>40439</v>
      </c>
      <c r="S3737" t="s">
        <v>40588</v>
      </c>
      <c r="T3737" t="s">
        <v>42320</v>
      </c>
      <c r="U3737" t="s">
        <v>45775</v>
      </c>
      <c r="W3737" t="s">
        <v>38339</v>
      </c>
      <c r="X3737" t="s">
        <v>40440</v>
      </c>
    </row>
    <row r="3738" spans="1:24">
      <c r="A3738">
        <f>HYPERLINK("https://www.philgeps.gov.ph/GEPSNONPILOT/Tender/SplashBidNoticeAbstractUI.aspx?menuIndex=3&amp;refID=7045839&amp;Result=3","7045839")</f>
        <v>0</v>
      </c>
      <c r="B3738" t="s">
        <v>1400</v>
      </c>
      <c r="C3738" t="s">
        <v>6652</v>
      </c>
      <c r="D3738" t="s">
        <v>16210</v>
      </c>
      <c r="E3738" t="s">
        <v>19648</v>
      </c>
      <c r="F3738" t="s">
        <v>28198</v>
      </c>
      <c r="G3738" t="s">
        <v>28205</v>
      </c>
      <c r="H3738" t="s">
        <v>28215</v>
      </c>
      <c r="I3738" t="s">
        <v>5100</v>
      </c>
      <c r="J3738" t="s">
        <v>28345</v>
      </c>
      <c r="K3738" t="s">
        <v>36693</v>
      </c>
      <c r="M3738" t="s">
        <v>38465</v>
      </c>
      <c r="N3738" t="s">
        <v>40436</v>
      </c>
      <c r="O3738" t="s">
        <v>40437</v>
      </c>
      <c r="P3738">
        <v>0</v>
      </c>
      <c r="Q3738">
        <v>1</v>
      </c>
      <c r="R3738" t="s">
        <v>40439</v>
      </c>
      <c r="S3738" t="s">
        <v>40588</v>
      </c>
      <c r="T3738" t="s">
        <v>42176</v>
      </c>
      <c r="U3738" t="s">
        <v>45627</v>
      </c>
      <c r="W3738" t="s">
        <v>38465</v>
      </c>
      <c r="X3738" t="s">
        <v>40440</v>
      </c>
    </row>
    <row r="3739" spans="1:24">
      <c r="A3739">
        <f>HYPERLINK("https://www.philgeps.gov.ph/GEPSNONPILOT/Tender/SplashBidNoticeAbstractUI.aspx?menuIndex=3&amp;refID=7045838&amp;Result=3","7045838")</f>
        <v>0</v>
      </c>
      <c r="B3739" t="s">
        <v>1401</v>
      </c>
      <c r="C3739" t="s">
        <v>6653</v>
      </c>
      <c r="D3739" t="s">
        <v>16195</v>
      </c>
      <c r="E3739" t="s">
        <v>6653</v>
      </c>
      <c r="F3739" t="s">
        <v>28198</v>
      </c>
      <c r="G3739" t="s">
        <v>28206</v>
      </c>
      <c r="H3739" t="s">
        <v>28215</v>
      </c>
      <c r="I3739" t="s">
        <v>5082</v>
      </c>
      <c r="J3739" t="s">
        <v>28414</v>
      </c>
      <c r="K3739" t="s">
        <v>36688</v>
      </c>
      <c r="M3739" t="s">
        <v>38466</v>
      </c>
      <c r="N3739" t="s">
        <v>40436</v>
      </c>
      <c r="O3739" t="s">
        <v>40437</v>
      </c>
      <c r="P3739">
        <v>0</v>
      </c>
      <c r="Q3739">
        <v>1</v>
      </c>
      <c r="R3739" t="s">
        <v>40439</v>
      </c>
      <c r="S3739" t="s">
        <v>40588</v>
      </c>
      <c r="T3739" t="s">
        <v>42245</v>
      </c>
      <c r="U3739" t="s">
        <v>45830</v>
      </c>
      <c r="W3739" t="s">
        <v>38466</v>
      </c>
      <c r="X3739" t="s">
        <v>40440</v>
      </c>
    </row>
    <row r="3740" spans="1:24">
      <c r="A3740">
        <f>HYPERLINK("https://www.philgeps.gov.ph/GEPSNONPILOT/Tender/SplashBidNoticeAbstractUI.aspx?menuIndex=3&amp;refID=7045849&amp;Result=3","7045849")</f>
        <v>0</v>
      </c>
      <c r="B3740" t="s">
        <v>1402</v>
      </c>
      <c r="C3740" t="s">
        <v>6654</v>
      </c>
      <c r="D3740" t="s">
        <v>16210</v>
      </c>
      <c r="E3740" t="s">
        <v>19649</v>
      </c>
      <c r="F3740" t="s">
        <v>28198</v>
      </c>
      <c r="G3740" t="s">
        <v>28205</v>
      </c>
      <c r="H3740" t="s">
        <v>28215</v>
      </c>
      <c r="I3740" t="s">
        <v>5791</v>
      </c>
      <c r="J3740" t="s">
        <v>28345</v>
      </c>
      <c r="K3740" t="s">
        <v>36688</v>
      </c>
      <c r="M3740" t="s">
        <v>38467</v>
      </c>
      <c r="N3740" t="s">
        <v>40436</v>
      </c>
      <c r="O3740" t="s">
        <v>40437</v>
      </c>
      <c r="P3740">
        <v>0</v>
      </c>
      <c r="Q3740">
        <v>0</v>
      </c>
      <c r="R3740" t="s">
        <v>40439</v>
      </c>
      <c r="S3740" t="s">
        <v>40588</v>
      </c>
      <c r="T3740" t="s">
        <v>42248</v>
      </c>
      <c r="U3740" t="s">
        <v>45831</v>
      </c>
      <c r="W3740" t="s">
        <v>38467</v>
      </c>
      <c r="X3740" t="s">
        <v>40440</v>
      </c>
    </row>
    <row r="3741" spans="1:24">
      <c r="A3741">
        <f>HYPERLINK("https://www.philgeps.gov.ph/GEPSNONPILOT/Tender/SplashBidNoticeAbstractUI.aspx?menuIndex=3&amp;refID=7045852&amp;Result=3","7045852")</f>
        <v>0</v>
      </c>
      <c r="B3741" t="s">
        <v>1354</v>
      </c>
      <c r="C3741" t="s">
        <v>6655</v>
      </c>
      <c r="D3741" t="s">
        <v>16238</v>
      </c>
      <c r="E3741" t="s">
        <v>19650</v>
      </c>
      <c r="F3741" t="s">
        <v>28198</v>
      </c>
      <c r="G3741" t="s">
        <v>28205</v>
      </c>
      <c r="H3741" t="s">
        <v>28215</v>
      </c>
      <c r="I3741" t="s">
        <v>3774</v>
      </c>
      <c r="J3741" t="s">
        <v>30792</v>
      </c>
      <c r="K3741" t="s">
        <v>36701</v>
      </c>
      <c r="M3741" t="s">
        <v>38412</v>
      </c>
      <c r="N3741" t="s">
        <v>40436</v>
      </c>
      <c r="O3741" t="s">
        <v>40437</v>
      </c>
      <c r="P3741">
        <v>0</v>
      </c>
      <c r="Q3741">
        <v>0</v>
      </c>
      <c r="R3741" t="s">
        <v>40439</v>
      </c>
      <c r="S3741" t="s">
        <v>40588</v>
      </c>
      <c r="T3741" t="s">
        <v>42225</v>
      </c>
      <c r="U3741" t="s">
        <v>45832</v>
      </c>
      <c r="W3741" t="s">
        <v>38412</v>
      </c>
      <c r="X3741" t="s">
        <v>40440</v>
      </c>
    </row>
    <row r="3742" spans="1:24">
      <c r="A3742">
        <f>HYPERLINK("https://www.philgeps.gov.ph/GEPSNONPILOT/Tender/SplashBidNoticeAbstractUI.aspx?menuIndex=3&amp;refID=7045855&amp;Result=3","7045855")</f>
        <v>0</v>
      </c>
      <c r="B3742" t="s">
        <v>695</v>
      </c>
      <c r="C3742" t="s">
        <v>6656</v>
      </c>
      <c r="D3742" t="s">
        <v>16204</v>
      </c>
      <c r="E3742" t="s">
        <v>19651</v>
      </c>
      <c r="F3742" t="s">
        <v>28198</v>
      </c>
      <c r="G3742" t="s">
        <v>28207</v>
      </c>
      <c r="H3742" t="s">
        <v>28214</v>
      </c>
      <c r="I3742" t="s">
        <v>3797</v>
      </c>
      <c r="J3742" t="s">
        <v>30793</v>
      </c>
      <c r="K3742" t="s">
        <v>36689</v>
      </c>
      <c r="M3742" t="s">
        <v>37695</v>
      </c>
      <c r="N3742" t="s">
        <v>40436</v>
      </c>
      <c r="O3742" t="s">
        <v>40437</v>
      </c>
      <c r="P3742">
        <v>0</v>
      </c>
      <c r="Q3742">
        <v>10</v>
      </c>
      <c r="R3742" t="s">
        <v>40439</v>
      </c>
      <c r="S3742" t="s">
        <v>40588</v>
      </c>
      <c r="T3742" t="s">
        <v>42218</v>
      </c>
      <c r="U3742" t="s">
        <v>45833</v>
      </c>
      <c r="W3742" t="s">
        <v>37695</v>
      </c>
      <c r="X3742" t="s">
        <v>40440</v>
      </c>
    </row>
    <row r="3743" spans="1:24">
      <c r="A3743">
        <f>HYPERLINK("https://www.philgeps.gov.ph/GEPSNONPILOT/Tender/SplashBidNoticeAbstractUI.aspx?menuIndex=3&amp;refID=7045873&amp;Result=3","7045873")</f>
        <v>0</v>
      </c>
      <c r="B3743" t="s">
        <v>1403</v>
      </c>
      <c r="C3743" t="s">
        <v>6657</v>
      </c>
      <c r="D3743" t="s">
        <v>16235</v>
      </c>
      <c r="E3743" t="s">
        <v>19652</v>
      </c>
      <c r="F3743" t="s">
        <v>28198</v>
      </c>
      <c r="G3743" t="s">
        <v>28207</v>
      </c>
      <c r="H3743" t="s">
        <v>28215</v>
      </c>
      <c r="I3743" t="s">
        <v>4222</v>
      </c>
      <c r="J3743" t="s">
        <v>28414</v>
      </c>
      <c r="K3743" t="s">
        <v>36707</v>
      </c>
      <c r="M3743" t="s">
        <v>38468</v>
      </c>
      <c r="N3743" t="s">
        <v>40436</v>
      </c>
      <c r="O3743" t="s">
        <v>40437</v>
      </c>
      <c r="P3743">
        <v>0</v>
      </c>
      <c r="Q3743">
        <v>0</v>
      </c>
      <c r="R3743" t="s">
        <v>40439</v>
      </c>
      <c r="S3743" t="s">
        <v>40588</v>
      </c>
      <c r="T3743" t="s">
        <v>42326</v>
      </c>
      <c r="U3743" t="s">
        <v>45834</v>
      </c>
      <c r="V3743" t="s">
        <v>54167</v>
      </c>
      <c r="W3743" t="s">
        <v>38468</v>
      </c>
      <c r="X3743" t="s">
        <v>40440</v>
      </c>
    </row>
    <row r="3744" spans="1:24">
      <c r="A3744">
        <f>HYPERLINK("https://www.philgeps.gov.ph/GEPSNONPILOT/Tender/SplashBidNoticeAbstractUI.aspx?menuIndex=3&amp;refID=7045870&amp;Result=3","7045870")</f>
        <v>0</v>
      </c>
      <c r="B3744" t="s">
        <v>1404</v>
      </c>
      <c r="C3744" t="s">
        <v>6658</v>
      </c>
      <c r="D3744" t="s">
        <v>16189</v>
      </c>
      <c r="E3744" t="s">
        <v>19653</v>
      </c>
      <c r="F3744" t="s">
        <v>28198</v>
      </c>
      <c r="G3744" t="s">
        <v>28207</v>
      </c>
      <c r="H3744" t="s">
        <v>28215</v>
      </c>
      <c r="I3744" t="s">
        <v>4168</v>
      </c>
      <c r="J3744" t="s">
        <v>28345</v>
      </c>
      <c r="K3744" t="s">
        <v>36689</v>
      </c>
      <c r="M3744" t="s">
        <v>38469</v>
      </c>
      <c r="N3744" t="s">
        <v>40436</v>
      </c>
      <c r="O3744" t="s">
        <v>40437</v>
      </c>
      <c r="P3744">
        <v>0</v>
      </c>
      <c r="Q3744">
        <v>1</v>
      </c>
      <c r="R3744" t="s">
        <v>40439</v>
      </c>
      <c r="S3744" t="s">
        <v>40588</v>
      </c>
      <c r="T3744" t="s">
        <v>42158</v>
      </c>
      <c r="U3744" t="s">
        <v>45835</v>
      </c>
      <c r="W3744" t="s">
        <v>55482</v>
      </c>
      <c r="X3744" t="s">
        <v>40440</v>
      </c>
    </row>
    <row r="3745" spans="1:24">
      <c r="A3745">
        <f>HYPERLINK("https://www.philgeps.gov.ph/GEPSNONPILOT/Tender/SplashBidNoticeAbstractUI.aspx?menuIndex=3&amp;refID=7045858&amp;Result=3","7045858")</f>
        <v>0</v>
      </c>
      <c r="B3745" t="s">
        <v>1405</v>
      </c>
      <c r="C3745" t="s">
        <v>6659</v>
      </c>
      <c r="D3745" t="s">
        <v>16210</v>
      </c>
      <c r="E3745" t="s">
        <v>19654</v>
      </c>
      <c r="F3745" t="s">
        <v>28198</v>
      </c>
      <c r="G3745" t="s">
        <v>28207</v>
      </c>
      <c r="H3745" t="s">
        <v>28215</v>
      </c>
      <c r="I3745" t="s">
        <v>28234</v>
      </c>
      <c r="J3745" t="s">
        <v>28413</v>
      </c>
      <c r="K3745" t="s">
        <v>36715</v>
      </c>
      <c r="M3745" t="s">
        <v>38470</v>
      </c>
      <c r="N3745" t="s">
        <v>40436</v>
      </c>
      <c r="O3745" t="s">
        <v>40437</v>
      </c>
      <c r="P3745">
        <v>0</v>
      </c>
      <c r="Q3745">
        <v>7</v>
      </c>
      <c r="R3745" t="s">
        <v>40439</v>
      </c>
      <c r="S3745" t="s">
        <v>40588</v>
      </c>
      <c r="T3745" t="s">
        <v>42152</v>
      </c>
      <c r="U3745" t="s">
        <v>45836</v>
      </c>
      <c r="W3745" t="s">
        <v>38470</v>
      </c>
      <c r="X3745" t="s">
        <v>40440</v>
      </c>
    </row>
    <row r="3746" spans="1:24">
      <c r="A3746">
        <f>HYPERLINK("https://www.philgeps.gov.ph/GEPSNONPILOT/Tender/SplashBidNoticeAbstractUI.aspx?menuIndex=3&amp;refID=7045868&amp;Result=3","7045868")</f>
        <v>0</v>
      </c>
      <c r="B3746" t="s">
        <v>1406</v>
      </c>
      <c r="C3746" t="s">
        <v>6660</v>
      </c>
      <c r="D3746" t="s">
        <v>16196</v>
      </c>
      <c r="E3746" t="s">
        <v>16296</v>
      </c>
      <c r="F3746" t="s">
        <v>28198</v>
      </c>
      <c r="G3746" t="s">
        <v>28205</v>
      </c>
      <c r="H3746" t="s">
        <v>28215</v>
      </c>
      <c r="I3746" t="s">
        <v>5100</v>
      </c>
      <c r="J3746" t="s">
        <v>30794</v>
      </c>
      <c r="K3746" t="s">
        <v>36688</v>
      </c>
      <c r="M3746" t="s">
        <v>38471</v>
      </c>
      <c r="N3746" t="s">
        <v>40436</v>
      </c>
      <c r="O3746" t="s">
        <v>40437</v>
      </c>
      <c r="P3746">
        <v>0</v>
      </c>
      <c r="Q3746">
        <v>0</v>
      </c>
      <c r="R3746" t="s">
        <v>40439</v>
      </c>
      <c r="S3746" t="s">
        <v>40588</v>
      </c>
      <c r="T3746" t="s">
        <v>42180</v>
      </c>
      <c r="U3746" t="s">
        <v>45837</v>
      </c>
      <c r="W3746" t="s">
        <v>38471</v>
      </c>
      <c r="X3746" t="s">
        <v>40440</v>
      </c>
    </row>
    <row r="3747" spans="1:24">
      <c r="A3747">
        <f>HYPERLINK("https://www.philgeps.gov.ph/GEPSNONPILOT/Tender/SplashBidNoticeAbstractUI.aspx?menuIndex=3&amp;refID=7045869&amp;Result=3","7045869")</f>
        <v>0</v>
      </c>
      <c r="B3747" t="s">
        <v>1400</v>
      </c>
      <c r="C3747" t="s">
        <v>6661</v>
      </c>
      <c r="D3747" t="s">
        <v>16210</v>
      </c>
      <c r="E3747" t="s">
        <v>19655</v>
      </c>
      <c r="F3747" t="s">
        <v>28198</v>
      </c>
      <c r="G3747" t="s">
        <v>28205</v>
      </c>
      <c r="H3747" t="s">
        <v>28215</v>
      </c>
      <c r="I3747" t="s">
        <v>5100</v>
      </c>
      <c r="J3747" t="s">
        <v>28361</v>
      </c>
      <c r="K3747" t="s">
        <v>36693</v>
      </c>
      <c r="M3747" t="s">
        <v>38465</v>
      </c>
      <c r="N3747" t="s">
        <v>40436</v>
      </c>
      <c r="O3747" t="s">
        <v>40437</v>
      </c>
      <c r="P3747">
        <v>0</v>
      </c>
      <c r="Q3747">
        <v>1</v>
      </c>
      <c r="R3747" t="s">
        <v>40439</v>
      </c>
      <c r="S3747" t="s">
        <v>40588</v>
      </c>
      <c r="T3747" t="s">
        <v>42176</v>
      </c>
      <c r="U3747" t="s">
        <v>45627</v>
      </c>
      <c r="W3747" t="s">
        <v>38465</v>
      </c>
      <c r="X3747" t="s">
        <v>40440</v>
      </c>
    </row>
    <row r="3748" spans="1:24">
      <c r="A3748">
        <f>HYPERLINK("https://www.philgeps.gov.ph/GEPSNONPILOT/Tender/SplashBidNoticeAbstractUI.aspx?menuIndex=3&amp;refID=7045866&amp;Result=3","7045866")</f>
        <v>0</v>
      </c>
      <c r="B3748" t="s">
        <v>216</v>
      </c>
      <c r="C3748" t="s">
        <v>6662</v>
      </c>
      <c r="D3748" t="s">
        <v>16210</v>
      </c>
      <c r="E3748" t="s">
        <v>19656</v>
      </c>
      <c r="F3748" t="s">
        <v>28198</v>
      </c>
      <c r="G3748" t="s">
        <v>28207</v>
      </c>
      <c r="H3748" t="s">
        <v>28215</v>
      </c>
      <c r="I3748" t="s">
        <v>5100</v>
      </c>
      <c r="J3748" t="s">
        <v>30795</v>
      </c>
      <c r="K3748" t="s">
        <v>36707</v>
      </c>
      <c r="M3748" t="s">
        <v>37192</v>
      </c>
      <c r="N3748" t="s">
        <v>40436</v>
      </c>
      <c r="O3748" t="s">
        <v>40437</v>
      </c>
      <c r="P3748">
        <v>0</v>
      </c>
      <c r="Q3748">
        <v>3</v>
      </c>
      <c r="R3748" t="s">
        <v>40439</v>
      </c>
      <c r="S3748" t="s">
        <v>40588</v>
      </c>
      <c r="T3748" t="s">
        <v>42131</v>
      </c>
      <c r="U3748" t="s">
        <v>45838</v>
      </c>
      <c r="V3748" t="s">
        <v>53819</v>
      </c>
      <c r="W3748" t="s">
        <v>37192</v>
      </c>
      <c r="X3748" t="s">
        <v>40440</v>
      </c>
    </row>
    <row r="3749" spans="1:24">
      <c r="A3749">
        <f>HYPERLINK("https://www.philgeps.gov.ph/GEPSNONPILOT/Tender/SplashBidNoticeAbstractUI.aspx?menuIndex=3&amp;refID=7045856&amp;Result=3","7045856")</f>
        <v>0</v>
      </c>
      <c r="B3749" t="s">
        <v>1123</v>
      </c>
      <c r="C3749" t="s">
        <v>5820</v>
      </c>
      <c r="D3749" t="s">
        <v>16192</v>
      </c>
      <c r="E3749" t="s">
        <v>19657</v>
      </c>
      <c r="F3749" t="s">
        <v>28198</v>
      </c>
      <c r="G3749" t="s">
        <v>28206</v>
      </c>
      <c r="H3749" t="s">
        <v>28215</v>
      </c>
      <c r="I3749" t="s">
        <v>28258</v>
      </c>
      <c r="J3749" t="s">
        <v>28671</v>
      </c>
      <c r="K3749" t="s">
        <v>36688</v>
      </c>
      <c r="M3749" t="s">
        <v>38161</v>
      </c>
      <c r="N3749" t="s">
        <v>40436</v>
      </c>
      <c r="O3749" t="s">
        <v>40437</v>
      </c>
      <c r="P3749">
        <v>0</v>
      </c>
      <c r="Q3749">
        <v>0</v>
      </c>
      <c r="R3749" t="s">
        <v>40439</v>
      </c>
      <c r="S3749" t="s">
        <v>40588</v>
      </c>
      <c r="T3749" t="s">
        <v>42129</v>
      </c>
      <c r="U3749" t="s">
        <v>45839</v>
      </c>
      <c r="W3749" t="s">
        <v>38161</v>
      </c>
      <c r="X3749" t="s">
        <v>40440</v>
      </c>
    </row>
    <row r="3750" spans="1:24">
      <c r="A3750">
        <f>HYPERLINK("https://www.philgeps.gov.ph/GEPSNONPILOT/Tender/SplashBidNoticeAbstractUI.aspx?menuIndex=3&amp;refID=7045864&amp;Result=3","7045864")</f>
        <v>0</v>
      </c>
      <c r="B3750" t="s">
        <v>140</v>
      </c>
      <c r="C3750" t="s">
        <v>6663</v>
      </c>
      <c r="D3750" t="s">
        <v>16196</v>
      </c>
      <c r="E3750" t="s">
        <v>19658</v>
      </c>
      <c r="F3750" t="s">
        <v>28198</v>
      </c>
      <c r="G3750" t="s">
        <v>28207</v>
      </c>
      <c r="H3750" t="s">
        <v>28215</v>
      </c>
      <c r="I3750" t="s">
        <v>5100</v>
      </c>
      <c r="J3750" t="s">
        <v>30796</v>
      </c>
      <c r="K3750" t="s">
        <v>36689</v>
      </c>
      <c r="M3750" t="s">
        <v>37114</v>
      </c>
      <c r="N3750" t="s">
        <v>40436</v>
      </c>
      <c r="O3750" t="s">
        <v>40437</v>
      </c>
      <c r="P3750">
        <v>0</v>
      </c>
      <c r="Q3750">
        <v>0</v>
      </c>
      <c r="R3750" t="s">
        <v>40439</v>
      </c>
      <c r="S3750" t="s">
        <v>40588</v>
      </c>
      <c r="T3750" t="s">
        <v>42169</v>
      </c>
      <c r="U3750" t="s">
        <v>45840</v>
      </c>
      <c r="V3750" t="s">
        <v>54168</v>
      </c>
      <c r="W3750" t="s">
        <v>37114</v>
      </c>
      <c r="X3750" t="s">
        <v>40440</v>
      </c>
    </row>
    <row r="3751" spans="1:24">
      <c r="A3751">
        <f>HYPERLINK("https://www.philgeps.gov.ph/GEPSNONPILOT/Tender/SplashBidNoticeAbstractUI.aspx?menuIndex=3&amp;refID=7045865&amp;Result=3","7045865")</f>
        <v>0</v>
      </c>
      <c r="B3751" t="s">
        <v>1407</v>
      </c>
      <c r="C3751" t="s">
        <v>6664</v>
      </c>
      <c r="D3751" t="s">
        <v>16248</v>
      </c>
      <c r="E3751" t="s">
        <v>19659</v>
      </c>
      <c r="F3751" t="s">
        <v>28198</v>
      </c>
      <c r="G3751" t="s">
        <v>28205</v>
      </c>
      <c r="H3751" t="s">
        <v>28215</v>
      </c>
      <c r="I3751" t="s">
        <v>4200</v>
      </c>
      <c r="J3751" t="s">
        <v>30797</v>
      </c>
      <c r="K3751" t="s">
        <v>36708</v>
      </c>
      <c r="M3751" t="s">
        <v>38472</v>
      </c>
      <c r="N3751" t="s">
        <v>40436</v>
      </c>
      <c r="O3751" t="s">
        <v>40437</v>
      </c>
      <c r="P3751">
        <v>0</v>
      </c>
      <c r="Q3751">
        <v>0</v>
      </c>
      <c r="R3751" t="s">
        <v>40439</v>
      </c>
      <c r="S3751" t="s">
        <v>40588</v>
      </c>
      <c r="T3751" t="s">
        <v>42225</v>
      </c>
      <c r="U3751" t="s">
        <v>45841</v>
      </c>
      <c r="W3751" t="s">
        <v>38472</v>
      </c>
      <c r="X3751" t="s">
        <v>40440</v>
      </c>
    </row>
    <row r="3752" spans="1:24">
      <c r="A3752">
        <f>HYPERLINK("https://www.philgeps.gov.ph/GEPSNONPILOT/Tender/SplashBidNoticeAbstractUI.aspx?menuIndex=3&amp;refID=7045853&amp;Result=3","7045853")</f>
        <v>0</v>
      </c>
      <c r="B3752" t="s">
        <v>1408</v>
      </c>
      <c r="C3752" t="s">
        <v>6665</v>
      </c>
      <c r="D3752" t="s">
        <v>16200</v>
      </c>
      <c r="E3752" t="s">
        <v>19660</v>
      </c>
      <c r="F3752" t="s">
        <v>28198</v>
      </c>
      <c r="G3752" t="s">
        <v>28207</v>
      </c>
      <c r="H3752" t="s">
        <v>28217</v>
      </c>
      <c r="I3752" t="s">
        <v>6786</v>
      </c>
      <c r="J3752" t="s">
        <v>28388</v>
      </c>
      <c r="K3752" t="s">
        <v>36735</v>
      </c>
      <c r="M3752" t="s">
        <v>38473</v>
      </c>
      <c r="N3752" t="s">
        <v>40436</v>
      </c>
      <c r="O3752" t="s">
        <v>40437</v>
      </c>
      <c r="P3752">
        <v>0</v>
      </c>
      <c r="Q3752">
        <v>1</v>
      </c>
      <c r="R3752" t="s">
        <v>40439</v>
      </c>
      <c r="S3752" t="s">
        <v>40588</v>
      </c>
      <c r="T3752" t="s">
        <v>42097</v>
      </c>
      <c r="U3752" t="s">
        <v>45842</v>
      </c>
      <c r="W3752" t="s">
        <v>55483</v>
      </c>
      <c r="X3752" t="s">
        <v>40440</v>
      </c>
    </row>
    <row r="3753" spans="1:24">
      <c r="A3753">
        <f>HYPERLINK("https://www.philgeps.gov.ph/GEPSNONPILOT/Tender/SplashBidNoticeAbstractUI.aspx?menuIndex=3&amp;refID=7045874&amp;Result=3","7045874")</f>
        <v>0</v>
      </c>
      <c r="B3753" t="s">
        <v>1401</v>
      </c>
      <c r="C3753" t="s">
        <v>6653</v>
      </c>
      <c r="D3753" t="s">
        <v>16195</v>
      </c>
      <c r="E3753" t="s">
        <v>6653</v>
      </c>
      <c r="F3753" t="s">
        <v>28198</v>
      </c>
      <c r="G3753" t="s">
        <v>28206</v>
      </c>
      <c r="H3753" t="s">
        <v>28215</v>
      </c>
      <c r="I3753" t="s">
        <v>5082</v>
      </c>
      <c r="J3753" t="s">
        <v>28691</v>
      </c>
      <c r="K3753" t="s">
        <v>36688</v>
      </c>
      <c r="M3753" t="s">
        <v>38466</v>
      </c>
      <c r="N3753" t="s">
        <v>40436</v>
      </c>
      <c r="O3753" t="s">
        <v>40437</v>
      </c>
      <c r="P3753">
        <v>0</v>
      </c>
      <c r="Q3753">
        <v>0</v>
      </c>
      <c r="R3753" t="s">
        <v>40439</v>
      </c>
      <c r="S3753" t="s">
        <v>40588</v>
      </c>
      <c r="T3753" t="s">
        <v>42245</v>
      </c>
      <c r="U3753" t="s">
        <v>45843</v>
      </c>
      <c r="W3753" t="s">
        <v>38466</v>
      </c>
      <c r="X3753" t="s">
        <v>40440</v>
      </c>
    </row>
    <row r="3754" spans="1:24">
      <c r="A3754">
        <f>HYPERLINK("https://www.philgeps.gov.ph/GEPSNONPILOT/Tender/SplashBidNoticeAbstractUI.aspx?menuIndex=3&amp;refID=7045861&amp;Result=3","7045861")</f>
        <v>0</v>
      </c>
      <c r="B3754" t="s">
        <v>540</v>
      </c>
      <c r="C3754" t="s">
        <v>6666</v>
      </c>
      <c r="D3754" t="s">
        <v>16210</v>
      </c>
      <c r="E3754" t="s">
        <v>19661</v>
      </c>
      <c r="F3754" t="s">
        <v>28198</v>
      </c>
      <c r="G3754" t="s">
        <v>28207</v>
      </c>
      <c r="H3754" t="s">
        <v>28215</v>
      </c>
      <c r="I3754" t="s">
        <v>4200</v>
      </c>
      <c r="J3754" t="s">
        <v>30798</v>
      </c>
      <c r="K3754" t="s">
        <v>36693</v>
      </c>
      <c r="M3754" t="s">
        <v>37526</v>
      </c>
      <c r="N3754" t="s">
        <v>40436</v>
      </c>
      <c r="O3754" t="s">
        <v>40437</v>
      </c>
      <c r="P3754">
        <v>0</v>
      </c>
      <c r="Q3754">
        <v>0</v>
      </c>
      <c r="R3754" t="s">
        <v>40439</v>
      </c>
      <c r="S3754" t="s">
        <v>40588</v>
      </c>
      <c r="T3754" t="s">
        <v>42131</v>
      </c>
      <c r="U3754" t="s">
        <v>45844</v>
      </c>
      <c r="V3754" t="s">
        <v>53914</v>
      </c>
      <c r="W3754" t="s">
        <v>37526</v>
      </c>
      <c r="X3754" t="s">
        <v>40440</v>
      </c>
    </row>
    <row r="3755" spans="1:24">
      <c r="A3755">
        <f>HYPERLINK("https://www.philgeps.gov.ph/GEPSNONPILOT/Tender/SplashBidNoticeAbstractUI.aspx?menuIndex=3&amp;refID=7045875&amp;Result=3","7045875")</f>
        <v>0</v>
      </c>
      <c r="B3755" t="s">
        <v>1409</v>
      </c>
      <c r="C3755" t="s">
        <v>6667</v>
      </c>
      <c r="D3755" t="s">
        <v>16196</v>
      </c>
      <c r="E3755" t="s">
        <v>19662</v>
      </c>
      <c r="F3755" t="s">
        <v>28198</v>
      </c>
      <c r="G3755" t="s">
        <v>28207</v>
      </c>
      <c r="H3755" t="s">
        <v>28215</v>
      </c>
      <c r="I3755" t="s">
        <v>28263</v>
      </c>
      <c r="J3755" t="s">
        <v>30799</v>
      </c>
      <c r="K3755" t="s">
        <v>36689</v>
      </c>
      <c r="M3755" t="s">
        <v>38474</v>
      </c>
      <c r="N3755" t="s">
        <v>40436</v>
      </c>
      <c r="O3755" t="s">
        <v>40437</v>
      </c>
      <c r="P3755">
        <v>0</v>
      </c>
      <c r="Q3755">
        <v>0</v>
      </c>
      <c r="R3755" t="s">
        <v>40439</v>
      </c>
      <c r="S3755" t="s">
        <v>40588</v>
      </c>
      <c r="T3755" t="s">
        <v>42169</v>
      </c>
      <c r="U3755" t="s">
        <v>45845</v>
      </c>
      <c r="W3755" t="s">
        <v>38474</v>
      </c>
      <c r="X3755" t="s">
        <v>40440</v>
      </c>
    </row>
    <row r="3756" spans="1:24">
      <c r="A3756">
        <f>HYPERLINK("https://www.philgeps.gov.ph/GEPSNONPILOT/Tender/SplashBidNoticeAbstractUI.aspx?menuIndex=3&amp;refID=7045854&amp;Result=3","7045854")</f>
        <v>0</v>
      </c>
      <c r="B3756" t="s">
        <v>1410</v>
      </c>
      <c r="C3756" t="s">
        <v>6668</v>
      </c>
      <c r="D3756" t="s">
        <v>16210</v>
      </c>
      <c r="E3756" t="s">
        <v>19663</v>
      </c>
      <c r="F3756" t="s">
        <v>28198</v>
      </c>
      <c r="G3756" t="s">
        <v>28206</v>
      </c>
      <c r="H3756" t="s">
        <v>28215</v>
      </c>
      <c r="I3756" t="s">
        <v>28225</v>
      </c>
      <c r="J3756" t="s">
        <v>29120</v>
      </c>
      <c r="K3756" t="s">
        <v>36688</v>
      </c>
      <c r="M3756" t="s">
        <v>38475</v>
      </c>
      <c r="N3756" t="s">
        <v>40436</v>
      </c>
      <c r="O3756" t="s">
        <v>40437</v>
      </c>
      <c r="P3756">
        <v>0</v>
      </c>
      <c r="Q3756">
        <v>4</v>
      </c>
      <c r="R3756" t="s">
        <v>40439</v>
      </c>
      <c r="S3756" t="s">
        <v>40588</v>
      </c>
      <c r="T3756" t="s">
        <v>42185</v>
      </c>
      <c r="U3756" t="s">
        <v>45846</v>
      </c>
      <c r="V3756" t="s">
        <v>54169</v>
      </c>
      <c r="W3756" t="s">
        <v>38475</v>
      </c>
      <c r="X3756" t="s">
        <v>40440</v>
      </c>
    </row>
    <row r="3757" spans="1:24">
      <c r="A3757">
        <f>HYPERLINK("https://www.philgeps.gov.ph/GEPSNONPILOT/Tender/SplashBidNoticeAbstractUI.aspx?menuIndex=3&amp;refID=7045877&amp;Result=3","7045877")</f>
        <v>0</v>
      </c>
      <c r="B3757" t="s">
        <v>1260</v>
      </c>
      <c r="C3757" t="s">
        <v>6669</v>
      </c>
      <c r="D3757" t="s">
        <v>16206</v>
      </c>
      <c r="E3757" t="s">
        <v>19664</v>
      </c>
      <c r="F3757" t="s">
        <v>28198</v>
      </c>
      <c r="G3757" t="s">
        <v>28207</v>
      </c>
      <c r="H3757" t="s">
        <v>28215</v>
      </c>
      <c r="I3757" t="s">
        <v>5082</v>
      </c>
      <c r="J3757" t="s">
        <v>30800</v>
      </c>
      <c r="K3757" t="s">
        <v>36698</v>
      </c>
      <c r="M3757" t="s">
        <v>38310</v>
      </c>
      <c r="N3757" t="s">
        <v>40436</v>
      </c>
      <c r="O3757" t="s">
        <v>40437</v>
      </c>
      <c r="P3757">
        <v>0</v>
      </c>
      <c r="Q3757">
        <v>0</v>
      </c>
      <c r="R3757" t="s">
        <v>40439</v>
      </c>
      <c r="S3757" t="s">
        <v>40588</v>
      </c>
      <c r="T3757" t="s">
        <v>42326</v>
      </c>
      <c r="U3757" t="s">
        <v>45747</v>
      </c>
      <c r="W3757" t="s">
        <v>38310</v>
      </c>
      <c r="X3757" t="s">
        <v>40440</v>
      </c>
    </row>
    <row r="3758" spans="1:24">
      <c r="A3758">
        <f>HYPERLINK("https://www.philgeps.gov.ph/GEPSNONPILOT/Tender/SplashBidNoticeAbstractUI.aspx?menuIndex=3&amp;refID=7045842&amp;Result=3","7045842")</f>
        <v>0</v>
      </c>
      <c r="B3758" t="s">
        <v>1384</v>
      </c>
      <c r="C3758" t="s">
        <v>6670</v>
      </c>
      <c r="D3758" t="s">
        <v>16210</v>
      </c>
      <c r="E3758" t="s">
        <v>19665</v>
      </c>
      <c r="F3758" t="s">
        <v>28198</v>
      </c>
      <c r="G3758" t="s">
        <v>28205</v>
      </c>
      <c r="H3758" t="s">
        <v>28215</v>
      </c>
      <c r="I3758" t="s">
        <v>28305</v>
      </c>
      <c r="J3758" t="s">
        <v>30801</v>
      </c>
      <c r="K3758" t="s">
        <v>36728</v>
      </c>
      <c r="M3758" t="s">
        <v>38448</v>
      </c>
      <c r="N3758" t="s">
        <v>40436</v>
      </c>
      <c r="O3758" t="s">
        <v>40437</v>
      </c>
      <c r="P3758">
        <v>0</v>
      </c>
      <c r="Q3758">
        <v>1</v>
      </c>
      <c r="R3758" t="s">
        <v>40439</v>
      </c>
      <c r="S3758" t="s">
        <v>40588</v>
      </c>
      <c r="T3758" t="s">
        <v>42219</v>
      </c>
      <c r="U3758" t="s">
        <v>45847</v>
      </c>
      <c r="W3758" t="s">
        <v>38448</v>
      </c>
      <c r="X3758" t="s">
        <v>40440</v>
      </c>
    </row>
    <row r="3759" spans="1:24">
      <c r="A3759">
        <f>HYPERLINK("https://www.philgeps.gov.ph/GEPSNONPILOT/Tender/SplashBidNoticeAbstractUI.aspx?menuIndex=3&amp;refID=7045862&amp;Result=3","7045862")</f>
        <v>0</v>
      </c>
      <c r="B3759" t="s">
        <v>358</v>
      </c>
      <c r="C3759" t="s">
        <v>6671</v>
      </c>
      <c r="D3759" t="s">
        <v>16260</v>
      </c>
      <c r="E3759" t="s">
        <v>6671</v>
      </c>
      <c r="F3759" t="s">
        <v>28198</v>
      </c>
      <c r="G3759" t="s">
        <v>28207</v>
      </c>
      <c r="H3759" t="s">
        <v>28215</v>
      </c>
      <c r="I3759" t="s">
        <v>4200</v>
      </c>
      <c r="J3759" t="s">
        <v>30802</v>
      </c>
      <c r="K3759" t="s">
        <v>36706</v>
      </c>
      <c r="M3759" t="s">
        <v>37337</v>
      </c>
      <c r="N3759" t="s">
        <v>40436</v>
      </c>
      <c r="O3759" t="s">
        <v>40437</v>
      </c>
      <c r="P3759">
        <v>0</v>
      </c>
      <c r="Q3759">
        <v>5</v>
      </c>
      <c r="R3759" t="s">
        <v>40439</v>
      </c>
      <c r="S3759" t="s">
        <v>40588</v>
      </c>
      <c r="T3759" t="s">
        <v>42158</v>
      </c>
      <c r="U3759" t="s">
        <v>45848</v>
      </c>
      <c r="W3759" t="s">
        <v>37337</v>
      </c>
      <c r="X3759" t="s">
        <v>40440</v>
      </c>
    </row>
    <row r="3760" spans="1:24">
      <c r="A3760">
        <f>HYPERLINK("https://www.philgeps.gov.ph/GEPSNONPILOT/Tender/SplashBidNoticeAbstractUI.aspx?menuIndex=3&amp;refID=7045887&amp;Result=3","7045887")</f>
        <v>0</v>
      </c>
      <c r="B3760" t="s">
        <v>1286</v>
      </c>
      <c r="C3760" t="s">
        <v>6672</v>
      </c>
      <c r="D3760" t="s">
        <v>16228</v>
      </c>
      <c r="E3760" t="s">
        <v>19666</v>
      </c>
      <c r="F3760" t="s">
        <v>28198</v>
      </c>
      <c r="G3760" t="s">
        <v>28207</v>
      </c>
      <c r="H3760" t="s">
        <v>28215</v>
      </c>
      <c r="I3760" t="s">
        <v>5082</v>
      </c>
      <c r="J3760" t="s">
        <v>29938</v>
      </c>
      <c r="K3760" t="s">
        <v>36689</v>
      </c>
      <c r="M3760" t="s">
        <v>38339</v>
      </c>
      <c r="N3760" t="s">
        <v>40436</v>
      </c>
      <c r="O3760" t="s">
        <v>40437</v>
      </c>
      <c r="P3760">
        <v>0</v>
      </c>
      <c r="Q3760">
        <v>0</v>
      </c>
      <c r="R3760" t="s">
        <v>40439</v>
      </c>
      <c r="S3760" t="s">
        <v>40588</v>
      </c>
      <c r="T3760" t="s">
        <v>42320</v>
      </c>
      <c r="U3760" t="s">
        <v>45775</v>
      </c>
      <c r="W3760" t="s">
        <v>38339</v>
      </c>
      <c r="X3760" t="s">
        <v>40440</v>
      </c>
    </row>
    <row r="3761" spans="1:24">
      <c r="A3761">
        <f>HYPERLINK("https://www.philgeps.gov.ph/GEPSNONPILOT/Tender/SplashBidNoticeAbstractUI.aspx?menuIndex=3&amp;refID=7045876&amp;Result=3","7045876")</f>
        <v>0</v>
      </c>
      <c r="B3761" t="s">
        <v>1157</v>
      </c>
      <c r="C3761" t="s">
        <v>6673</v>
      </c>
      <c r="D3761" t="s">
        <v>16193</v>
      </c>
      <c r="E3761" t="s">
        <v>19667</v>
      </c>
      <c r="F3761" t="s">
        <v>28198</v>
      </c>
      <c r="G3761" t="s">
        <v>28205</v>
      </c>
      <c r="H3761" t="s">
        <v>28215</v>
      </c>
      <c r="I3761" t="s">
        <v>5082</v>
      </c>
      <c r="J3761" t="s">
        <v>30803</v>
      </c>
      <c r="K3761" t="s">
        <v>36689</v>
      </c>
      <c r="M3761" t="s">
        <v>38197</v>
      </c>
      <c r="N3761" t="s">
        <v>40436</v>
      </c>
      <c r="O3761" t="s">
        <v>40437</v>
      </c>
      <c r="P3761">
        <v>0</v>
      </c>
      <c r="Q3761">
        <v>0</v>
      </c>
      <c r="R3761" t="s">
        <v>40439</v>
      </c>
      <c r="S3761" t="s">
        <v>40588</v>
      </c>
      <c r="T3761" t="s">
        <v>42133</v>
      </c>
      <c r="U3761" t="s">
        <v>45849</v>
      </c>
      <c r="W3761" t="s">
        <v>55484</v>
      </c>
      <c r="X3761" t="s">
        <v>40440</v>
      </c>
    </row>
    <row r="3762" spans="1:24">
      <c r="A3762">
        <f>HYPERLINK("https://www.philgeps.gov.ph/GEPSNONPILOT/Tender/SplashBidNoticeAbstractUI.aspx?menuIndex=3&amp;refID=7045886&amp;Result=3","7045886")</f>
        <v>0</v>
      </c>
      <c r="B3762" t="s">
        <v>1411</v>
      </c>
      <c r="C3762" t="s">
        <v>6674</v>
      </c>
      <c r="D3762" t="s">
        <v>16195</v>
      </c>
      <c r="E3762" t="s">
        <v>19668</v>
      </c>
      <c r="F3762" t="s">
        <v>28198</v>
      </c>
      <c r="G3762" t="s">
        <v>28207</v>
      </c>
      <c r="H3762" t="s">
        <v>28215</v>
      </c>
      <c r="I3762" t="s">
        <v>8888</v>
      </c>
      <c r="J3762" t="s">
        <v>30804</v>
      </c>
      <c r="K3762" t="s">
        <v>36706</v>
      </c>
      <c r="M3762" t="s">
        <v>38476</v>
      </c>
      <c r="N3762" t="s">
        <v>40436</v>
      </c>
      <c r="O3762" t="s">
        <v>40437</v>
      </c>
      <c r="P3762">
        <v>0</v>
      </c>
      <c r="Q3762">
        <v>0</v>
      </c>
      <c r="R3762" t="s">
        <v>40439</v>
      </c>
      <c r="S3762" t="s">
        <v>40588</v>
      </c>
      <c r="T3762" t="s">
        <v>42158</v>
      </c>
      <c r="U3762" t="s">
        <v>45850</v>
      </c>
      <c r="V3762" t="s">
        <v>54170</v>
      </c>
      <c r="W3762" t="s">
        <v>38476</v>
      </c>
      <c r="X3762" t="s">
        <v>40440</v>
      </c>
    </row>
    <row r="3763" spans="1:24">
      <c r="A3763">
        <f>HYPERLINK("https://www.philgeps.gov.ph/GEPSNONPILOT/Tender/SplashBidNoticeAbstractUI.aspx?menuIndex=3&amp;refID=7045888&amp;Result=3","7045888")</f>
        <v>0</v>
      </c>
      <c r="B3763" t="s">
        <v>1365</v>
      </c>
      <c r="C3763" t="s">
        <v>6675</v>
      </c>
      <c r="D3763" t="s">
        <v>16232</v>
      </c>
      <c r="E3763" t="s">
        <v>19669</v>
      </c>
      <c r="F3763" t="s">
        <v>28198</v>
      </c>
      <c r="G3763" t="s">
        <v>28205</v>
      </c>
      <c r="H3763" t="s">
        <v>28215</v>
      </c>
      <c r="I3763" t="s">
        <v>28247</v>
      </c>
      <c r="J3763" t="s">
        <v>30805</v>
      </c>
      <c r="K3763" t="s">
        <v>36694</v>
      </c>
      <c r="M3763" t="s">
        <v>38425</v>
      </c>
      <c r="N3763" t="s">
        <v>40436</v>
      </c>
      <c r="O3763" t="s">
        <v>40437</v>
      </c>
      <c r="P3763">
        <v>0</v>
      </c>
      <c r="Q3763">
        <v>25</v>
      </c>
      <c r="R3763" t="s">
        <v>40439</v>
      </c>
      <c r="S3763" t="s">
        <v>40588</v>
      </c>
      <c r="T3763" t="s">
        <v>42189</v>
      </c>
      <c r="U3763" t="s">
        <v>45851</v>
      </c>
      <c r="W3763" t="s">
        <v>38425</v>
      </c>
      <c r="X3763" t="s">
        <v>40440</v>
      </c>
    </row>
    <row r="3764" spans="1:24">
      <c r="A3764">
        <f>HYPERLINK("https://www.philgeps.gov.ph/GEPSNONPILOT/Tender/SplashBidNoticeAbstractUI.aspx?menuIndex=3&amp;refID=7045902&amp;Result=3","7045902")</f>
        <v>0</v>
      </c>
      <c r="B3764" t="s">
        <v>464</v>
      </c>
      <c r="C3764" t="s">
        <v>6676</v>
      </c>
      <c r="D3764" t="s">
        <v>16214</v>
      </c>
      <c r="E3764" t="s">
        <v>19670</v>
      </c>
      <c r="F3764" t="s">
        <v>28198</v>
      </c>
      <c r="G3764" t="s">
        <v>28205</v>
      </c>
      <c r="H3764" t="s">
        <v>28214</v>
      </c>
      <c r="I3764" t="s">
        <v>4200</v>
      </c>
      <c r="J3764" t="s">
        <v>28629</v>
      </c>
      <c r="K3764" t="s">
        <v>36694</v>
      </c>
      <c r="M3764" t="s">
        <v>37449</v>
      </c>
      <c r="N3764" t="s">
        <v>40436</v>
      </c>
      <c r="O3764" t="s">
        <v>40437</v>
      </c>
      <c r="P3764">
        <v>0</v>
      </c>
      <c r="Q3764">
        <v>0</v>
      </c>
      <c r="R3764" t="s">
        <v>40439</v>
      </c>
      <c r="S3764" t="s">
        <v>40588</v>
      </c>
      <c r="T3764" t="s">
        <v>42229</v>
      </c>
      <c r="U3764" t="s">
        <v>45852</v>
      </c>
      <c r="W3764" t="s">
        <v>37449</v>
      </c>
      <c r="X3764" t="s">
        <v>40440</v>
      </c>
    </row>
    <row r="3765" spans="1:24">
      <c r="A3765">
        <f>HYPERLINK("https://www.philgeps.gov.ph/GEPSNONPILOT/Tender/SplashBidNoticeAbstractUI.aspx?menuIndex=3&amp;refID=7045889&amp;Result=3","7045889")</f>
        <v>0</v>
      </c>
      <c r="B3765" t="s">
        <v>1157</v>
      </c>
      <c r="C3765" t="s">
        <v>6677</v>
      </c>
      <c r="D3765" t="s">
        <v>16193</v>
      </c>
      <c r="E3765" t="s">
        <v>19671</v>
      </c>
      <c r="F3765" t="s">
        <v>28198</v>
      </c>
      <c r="G3765" t="s">
        <v>28205</v>
      </c>
      <c r="H3765" t="s">
        <v>28215</v>
      </c>
      <c r="I3765" t="s">
        <v>4168</v>
      </c>
      <c r="J3765" t="s">
        <v>30806</v>
      </c>
      <c r="K3765" t="s">
        <v>36689</v>
      </c>
      <c r="M3765" t="s">
        <v>38197</v>
      </c>
      <c r="N3765" t="s">
        <v>40436</v>
      </c>
      <c r="O3765" t="s">
        <v>40437</v>
      </c>
      <c r="P3765">
        <v>0</v>
      </c>
      <c r="Q3765">
        <v>1</v>
      </c>
      <c r="R3765" t="s">
        <v>40439</v>
      </c>
      <c r="S3765" t="s">
        <v>40588</v>
      </c>
      <c r="T3765" t="s">
        <v>42133</v>
      </c>
      <c r="U3765" t="s">
        <v>45853</v>
      </c>
      <c r="W3765" t="s">
        <v>55484</v>
      </c>
      <c r="X3765" t="s">
        <v>40440</v>
      </c>
    </row>
    <row r="3766" spans="1:24">
      <c r="A3766">
        <f>HYPERLINK("https://www.philgeps.gov.ph/GEPSNONPILOT/Tender/SplashBidNoticeAbstractUI.aspx?menuIndex=3&amp;refID=7045880&amp;Result=3","7045880")</f>
        <v>0</v>
      </c>
      <c r="B3766" t="s">
        <v>770</v>
      </c>
      <c r="C3766" t="s">
        <v>6678</v>
      </c>
      <c r="D3766" t="s">
        <v>16199</v>
      </c>
      <c r="E3766" t="s">
        <v>19672</v>
      </c>
      <c r="F3766" t="s">
        <v>28198</v>
      </c>
      <c r="G3766" t="s">
        <v>28207</v>
      </c>
      <c r="H3766" t="s">
        <v>28215</v>
      </c>
      <c r="I3766" t="s">
        <v>28221</v>
      </c>
      <c r="J3766" t="s">
        <v>28887</v>
      </c>
      <c r="K3766" t="s">
        <v>36698</v>
      </c>
      <c r="M3766" t="s">
        <v>37773</v>
      </c>
      <c r="N3766" t="s">
        <v>40436</v>
      </c>
      <c r="O3766" t="s">
        <v>40437</v>
      </c>
      <c r="P3766">
        <v>0</v>
      </c>
      <c r="Q3766">
        <v>0</v>
      </c>
      <c r="R3766" t="s">
        <v>40439</v>
      </c>
      <c r="S3766" t="s">
        <v>40588</v>
      </c>
      <c r="T3766" t="s">
        <v>42169</v>
      </c>
      <c r="U3766" t="s">
        <v>43006</v>
      </c>
      <c r="W3766" t="s">
        <v>37773</v>
      </c>
      <c r="X3766" t="s">
        <v>40440</v>
      </c>
    </row>
    <row r="3767" spans="1:24">
      <c r="A3767">
        <f>HYPERLINK("https://www.philgeps.gov.ph/GEPSNONPILOT/Tender/SplashBidNoticeAbstractUI.aspx?menuIndex=3&amp;refID=7045901&amp;Result=3","7045901")</f>
        <v>0</v>
      </c>
      <c r="B3767" t="s">
        <v>1412</v>
      </c>
      <c r="C3767" t="s">
        <v>6679</v>
      </c>
      <c r="D3767" t="s">
        <v>16221</v>
      </c>
      <c r="E3767" t="s">
        <v>19673</v>
      </c>
      <c r="F3767" t="s">
        <v>28198</v>
      </c>
      <c r="G3767" t="s">
        <v>28206</v>
      </c>
      <c r="H3767" t="s">
        <v>28215</v>
      </c>
      <c r="I3767" t="s">
        <v>4168</v>
      </c>
      <c r="J3767" t="s">
        <v>28345</v>
      </c>
      <c r="K3767" t="s">
        <v>36701</v>
      </c>
      <c r="M3767" t="s">
        <v>38477</v>
      </c>
      <c r="N3767" t="s">
        <v>40436</v>
      </c>
      <c r="O3767" t="s">
        <v>40437</v>
      </c>
      <c r="P3767">
        <v>0</v>
      </c>
      <c r="Q3767">
        <v>2</v>
      </c>
      <c r="R3767" t="s">
        <v>40439</v>
      </c>
      <c r="S3767" t="s">
        <v>40588</v>
      </c>
      <c r="T3767" t="s">
        <v>42163</v>
      </c>
      <c r="U3767" t="s">
        <v>45854</v>
      </c>
      <c r="W3767" t="s">
        <v>38477</v>
      </c>
      <c r="X3767" t="s">
        <v>40440</v>
      </c>
    </row>
    <row r="3768" spans="1:24">
      <c r="A3768">
        <f>HYPERLINK("https://www.philgeps.gov.ph/GEPSNONPILOT/Tender/SplashBidNoticeAbstractUI.aspx?menuIndex=3&amp;refID=7045860&amp;Result=3","7045860")</f>
        <v>0</v>
      </c>
      <c r="B3768" t="s">
        <v>1394</v>
      </c>
      <c r="C3768" t="s">
        <v>6680</v>
      </c>
      <c r="D3768" t="s">
        <v>16247</v>
      </c>
      <c r="E3768" t="s">
        <v>16322</v>
      </c>
      <c r="F3768" t="s">
        <v>28198</v>
      </c>
      <c r="G3768" t="s">
        <v>28206</v>
      </c>
      <c r="H3768" t="s">
        <v>28215</v>
      </c>
      <c r="I3768" t="s">
        <v>4505</v>
      </c>
      <c r="J3768" t="s">
        <v>30807</v>
      </c>
      <c r="K3768" t="s">
        <v>36707</v>
      </c>
      <c r="M3768" t="s">
        <v>38458</v>
      </c>
      <c r="N3768" t="s">
        <v>40436</v>
      </c>
      <c r="O3768" t="s">
        <v>40437</v>
      </c>
      <c r="P3768">
        <v>0</v>
      </c>
      <c r="Q3768">
        <v>14</v>
      </c>
      <c r="R3768" t="s">
        <v>40439</v>
      </c>
      <c r="S3768" t="s">
        <v>40588</v>
      </c>
      <c r="T3768" t="s">
        <v>42277</v>
      </c>
      <c r="U3768" t="s">
        <v>45855</v>
      </c>
      <c r="W3768" t="s">
        <v>38458</v>
      </c>
      <c r="X3768" t="s">
        <v>40440</v>
      </c>
    </row>
    <row r="3769" spans="1:24">
      <c r="A3769">
        <f>HYPERLINK("https://www.philgeps.gov.ph/GEPSNONPILOT/Tender/SplashBidNoticeAbstractUI.aspx?menuIndex=3&amp;refID=7045879&amp;Result=3","7045879")</f>
        <v>0</v>
      </c>
      <c r="B3769" t="s">
        <v>1413</v>
      </c>
      <c r="C3769" t="s">
        <v>6681</v>
      </c>
      <c r="D3769" t="s">
        <v>16198</v>
      </c>
      <c r="E3769" t="s">
        <v>19674</v>
      </c>
      <c r="F3769" t="s">
        <v>28198</v>
      </c>
      <c r="G3769" t="s">
        <v>28205</v>
      </c>
      <c r="H3769" t="s">
        <v>28215</v>
      </c>
      <c r="I3769" t="s">
        <v>5100</v>
      </c>
      <c r="J3769" t="s">
        <v>30808</v>
      </c>
      <c r="K3769" t="s">
        <v>36694</v>
      </c>
      <c r="M3769" t="s">
        <v>38478</v>
      </c>
      <c r="N3769" t="s">
        <v>40436</v>
      </c>
      <c r="O3769" t="s">
        <v>40437</v>
      </c>
      <c r="P3769">
        <v>0</v>
      </c>
      <c r="Q3769">
        <v>0</v>
      </c>
      <c r="R3769" t="s">
        <v>40439</v>
      </c>
      <c r="S3769" t="s">
        <v>40588</v>
      </c>
      <c r="T3769" t="s">
        <v>42248</v>
      </c>
      <c r="U3769" t="s">
        <v>45856</v>
      </c>
      <c r="W3769" t="s">
        <v>38478</v>
      </c>
      <c r="X3769" t="s">
        <v>40440</v>
      </c>
    </row>
    <row r="3770" spans="1:24">
      <c r="A3770">
        <f>HYPERLINK("https://www.philgeps.gov.ph/GEPSNONPILOT/Tender/SplashBidNoticeAbstractUI.aspx?menuIndex=3&amp;refID=7045859&amp;Result=3","7045859")</f>
        <v>0</v>
      </c>
      <c r="B3770" t="s">
        <v>1140</v>
      </c>
      <c r="C3770" t="s">
        <v>6682</v>
      </c>
      <c r="D3770" t="s">
        <v>16252</v>
      </c>
      <c r="E3770" t="s">
        <v>19675</v>
      </c>
      <c r="F3770" t="s">
        <v>28198</v>
      </c>
      <c r="G3770" t="s">
        <v>28205</v>
      </c>
      <c r="H3770" t="s">
        <v>28215</v>
      </c>
      <c r="I3770" t="s">
        <v>3422</v>
      </c>
      <c r="J3770" t="s">
        <v>30809</v>
      </c>
      <c r="K3770" t="s">
        <v>36706</v>
      </c>
      <c r="M3770" t="s">
        <v>38180</v>
      </c>
      <c r="N3770" t="s">
        <v>40436</v>
      </c>
      <c r="O3770" t="s">
        <v>40437</v>
      </c>
      <c r="P3770">
        <v>0</v>
      </c>
      <c r="Q3770">
        <v>0</v>
      </c>
      <c r="R3770" t="s">
        <v>40439</v>
      </c>
      <c r="S3770" t="s">
        <v>40588</v>
      </c>
      <c r="T3770" t="s">
        <v>42337</v>
      </c>
      <c r="U3770" t="s">
        <v>45857</v>
      </c>
      <c r="W3770" t="s">
        <v>38180</v>
      </c>
      <c r="X3770" t="s">
        <v>40440</v>
      </c>
    </row>
    <row r="3771" spans="1:24">
      <c r="A3771">
        <f>HYPERLINK("https://www.philgeps.gov.ph/GEPSNONPILOT/Tender/SplashBidNoticeAbstractUI.aspx?menuIndex=3&amp;refID=7045899&amp;Result=3","7045899")</f>
        <v>0</v>
      </c>
      <c r="B3771" t="s">
        <v>1394</v>
      </c>
      <c r="C3771" t="s">
        <v>6683</v>
      </c>
      <c r="D3771" t="s">
        <v>16247</v>
      </c>
      <c r="E3771" t="s">
        <v>16522</v>
      </c>
      <c r="F3771" t="s">
        <v>28198</v>
      </c>
      <c r="G3771" t="s">
        <v>28206</v>
      </c>
      <c r="H3771" t="s">
        <v>28215</v>
      </c>
      <c r="I3771" t="s">
        <v>4505</v>
      </c>
      <c r="J3771" t="s">
        <v>30810</v>
      </c>
      <c r="K3771" t="s">
        <v>36707</v>
      </c>
      <c r="M3771" t="s">
        <v>38458</v>
      </c>
      <c r="N3771" t="s">
        <v>40436</v>
      </c>
      <c r="O3771" t="s">
        <v>40437</v>
      </c>
      <c r="P3771">
        <v>0</v>
      </c>
      <c r="Q3771">
        <v>13</v>
      </c>
      <c r="R3771" t="s">
        <v>40439</v>
      </c>
      <c r="S3771" t="s">
        <v>40588</v>
      </c>
      <c r="T3771" t="s">
        <v>42277</v>
      </c>
      <c r="U3771" t="s">
        <v>45858</v>
      </c>
      <c r="W3771" t="s">
        <v>38458</v>
      </c>
      <c r="X3771" t="s">
        <v>40440</v>
      </c>
    </row>
    <row r="3772" spans="1:24">
      <c r="A3772">
        <f>HYPERLINK("https://www.philgeps.gov.ph/GEPSNONPILOT/Tender/SplashBidNoticeAbstractUI.aspx?menuIndex=3&amp;refID=7045897&amp;Result=3","7045897")</f>
        <v>0</v>
      </c>
      <c r="B3772" t="s">
        <v>1403</v>
      </c>
      <c r="C3772" t="s">
        <v>4999</v>
      </c>
      <c r="D3772" t="s">
        <v>16235</v>
      </c>
      <c r="E3772" t="s">
        <v>19676</v>
      </c>
      <c r="F3772" t="s">
        <v>28198</v>
      </c>
      <c r="G3772" t="s">
        <v>28207</v>
      </c>
      <c r="H3772" t="s">
        <v>28215</v>
      </c>
      <c r="I3772" t="s">
        <v>28224</v>
      </c>
      <c r="J3772" t="s">
        <v>30811</v>
      </c>
      <c r="K3772" t="s">
        <v>36707</v>
      </c>
      <c r="M3772" t="s">
        <v>38468</v>
      </c>
      <c r="N3772" t="s">
        <v>40436</v>
      </c>
      <c r="O3772" t="s">
        <v>40437</v>
      </c>
      <c r="P3772">
        <v>0</v>
      </c>
      <c r="Q3772">
        <v>0</v>
      </c>
      <c r="R3772" t="s">
        <v>40439</v>
      </c>
      <c r="S3772" t="s">
        <v>40588</v>
      </c>
      <c r="T3772" t="s">
        <v>42326</v>
      </c>
      <c r="U3772" t="s">
        <v>45859</v>
      </c>
      <c r="V3772" t="s">
        <v>54167</v>
      </c>
      <c r="W3772" t="s">
        <v>38468</v>
      </c>
      <c r="X3772" t="s">
        <v>40440</v>
      </c>
    </row>
    <row r="3773" spans="1:24">
      <c r="A3773">
        <f>HYPERLINK("https://www.philgeps.gov.ph/GEPSNONPILOT/Tender/SplashBidNoticeAbstractUI.aspx?menuIndex=3&amp;refID=7045840&amp;Result=3","7045840")</f>
        <v>0</v>
      </c>
      <c r="B3773" t="s">
        <v>1140</v>
      </c>
      <c r="C3773" t="s">
        <v>6684</v>
      </c>
      <c r="D3773" t="s">
        <v>16252</v>
      </c>
      <c r="E3773" t="s">
        <v>19677</v>
      </c>
      <c r="F3773" t="s">
        <v>28198</v>
      </c>
      <c r="G3773" t="s">
        <v>28205</v>
      </c>
      <c r="H3773" t="s">
        <v>28215</v>
      </c>
      <c r="I3773" t="s">
        <v>5082</v>
      </c>
      <c r="J3773" t="s">
        <v>30812</v>
      </c>
      <c r="K3773" t="s">
        <v>36706</v>
      </c>
      <c r="M3773" t="s">
        <v>38180</v>
      </c>
      <c r="N3773" t="s">
        <v>40436</v>
      </c>
      <c r="O3773" t="s">
        <v>40437</v>
      </c>
      <c r="P3773">
        <v>0</v>
      </c>
      <c r="Q3773">
        <v>0</v>
      </c>
      <c r="R3773" t="s">
        <v>40439</v>
      </c>
      <c r="S3773" t="s">
        <v>40588</v>
      </c>
      <c r="T3773" t="s">
        <v>42337</v>
      </c>
      <c r="U3773" t="s">
        <v>43698</v>
      </c>
      <c r="W3773" t="s">
        <v>38180</v>
      </c>
      <c r="X3773" t="s">
        <v>40440</v>
      </c>
    </row>
    <row r="3774" spans="1:24">
      <c r="A3774">
        <f>HYPERLINK("https://www.philgeps.gov.ph/GEPSNONPILOT/Tender/SplashBidNoticeAbstractUI.aspx?menuIndex=3&amp;refID=7045908&amp;Result=3","7045908")</f>
        <v>0</v>
      </c>
      <c r="B3774" t="s">
        <v>1385</v>
      </c>
      <c r="C3774" t="s">
        <v>6685</v>
      </c>
      <c r="D3774" t="s">
        <v>16222</v>
      </c>
      <c r="E3774" t="s">
        <v>19678</v>
      </c>
      <c r="F3774" t="s">
        <v>28198</v>
      </c>
      <c r="G3774" t="s">
        <v>28205</v>
      </c>
      <c r="H3774" t="s">
        <v>28215</v>
      </c>
      <c r="I3774" t="s">
        <v>28247</v>
      </c>
      <c r="J3774" t="s">
        <v>28363</v>
      </c>
      <c r="K3774" t="s">
        <v>36697</v>
      </c>
      <c r="M3774" t="s">
        <v>38449</v>
      </c>
      <c r="N3774" t="s">
        <v>40436</v>
      </c>
      <c r="O3774" t="s">
        <v>40437</v>
      </c>
      <c r="P3774">
        <v>0</v>
      </c>
      <c r="Q3774">
        <v>21</v>
      </c>
      <c r="R3774" t="s">
        <v>40439</v>
      </c>
      <c r="S3774" t="s">
        <v>40588</v>
      </c>
      <c r="T3774" t="s">
        <v>42300</v>
      </c>
      <c r="U3774" t="s">
        <v>45860</v>
      </c>
      <c r="V3774" t="s">
        <v>54161</v>
      </c>
      <c r="W3774" t="s">
        <v>38449</v>
      </c>
      <c r="X3774" t="s">
        <v>40440</v>
      </c>
    </row>
    <row r="3775" spans="1:24">
      <c r="A3775">
        <f>HYPERLINK("https://www.philgeps.gov.ph/GEPSNONPILOT/Tender/SplashBidNoticeAbstractUI.aspx?menuIndex=3&amp;refID=7045893&amp;Result=3","7045893")</f>
        <v>0</v>
      </c>
      <c r="B3775" t="s">
        <v>1395</v>
      </c>
      <c r="C3775" t="s">
        <v>6686</v>
      </c>
      <c r="D3775" t="s">
        <v>16198</v>
      </c>
      <c r="E3775" t="s">
        <v>19511</v>
      </c>
      <c r="F3775" t="s">
        <v>28198</v>
      </c>
      <c r="G3775" t="s">
        <v>28207</v>
      </c>
      <c r="H3775" t="s">
        <v>28215</v>
      </c>
      <c r="I3775" t="s">
        <v>3422</v>
      </c>
      <c r="J3775" t="s">
        <v>29598</v>
      </c>
      <c r="K3775" t="s">
        <v>36693</v>
      </c>
      <c r="M3775" t="s">
        <v>38459</v>
      </c>
      <c r="N3775" t="s">
        <v>40436</v>
      </c>
      <c r="O3775" t="s">
        <v>40437</v>
      </c>
      <c r="P3775">
        <v>0</v>
      </c>
      <c r="Q3775">
        <v>0</v>
      </c>
      <c r="R3775" t="s">
        <v>40439</v>
      </c>
      <c r="S3775" t="s">
        <v>40588</v>
      </c>
      <c r="T3775" t="s">
        <v>42190</v>
      </c>
      <c r="U3775" t="s">
        <v>45861</v>
      </c>
      <c r="W3775" t="s">
        <v>38459</v>
      </c>
      <c r="X3775" t="s">
        <v>40440</v>
      </c>
    </row>
    <row r="3776" spans="1:24">
      <c r="A3776">
        <f>HYPERLINK("https://www.philgeps.gov.ph/GEPSNONPILOT/Tender/SplashBidNoticeAbstractUI.aspx?menuIndex=3&amp;refID=7045891&amp;Result=3","7045891")</f>
        <v>0</v>
      </c>
      <c r="B3776" t="s">
        <v>1414</v>
      </c>
      <c r="C3776" t="s">
        <v>6687</v>
      </c>
      <c r="D3776" t="s">
        <v>16221</v>
      </c>
      <c r="E3776" t="s">
        <v>19679</v>
      </c>
      <c r="F3776" t="s">
        <v>28198</v>
      </c>
      <c r="G3776" t="s">
        <v>28205</v>
      </c>
      <c r="H3776" t="s">
        <v>28215</v>
      </c>
      <c r="I3776" t="s">
        <v>8870</v>
      </c>
      <c r="J3776" t="s">
        <v>28406</v>
      </c>
      <c r="K3776" t="s">
        <v>36691</v>
      </c>
      <c r="M3776" t="s">
        <v>38479</v>
      </c>
      <c r="N3776" t="s">
        <v>40436</v>
      </c>
      <c r="O3776" t="s">
        <v>40437</v>
      </c>
      <c r="P3776">
        <v>0</v>
      </c>
      <c r="Q3776">
        <v>0</v>
      </c>
      <c r="R3776" t="s">
        <v>40439</v>
      </c>
      <c r="S3776" t="s">
        <v>40588</v>
      </c>
      <c r="T3776" t="s">
        <v>42175</v>
      </c>
      <c r="U3776" t="s">
        <v>45862</v>
      </c>
      <c r="W3776" t="s">
        <v>38479</v>
      </c>
      <c r="X3776" t="s">
        <v>40440</v>
      </c>
    </row>
    <row r="3777" spans="1:24">
      <c r="A3777">
        <f>HYPERLINK("https://www.philgeps.gov.ph/GEPSNONPILOT/Tender/SplashBidNoticeAbstractUI.aspx?menuIndex=3&amp;refID=7045910&amp;Result=3","7045910")</f>
        <v>0</v>
      </c>
      <c r="B3777" t="s">
        <v>1157</v>
      </c>
      <c r="C3777" t="s">
        <v>6688</v>
      </c>
      <c r="D3777" t="s">
        <v>16193</v>
      </c>
      <c r="E3777" t="s">
        <v>17883</v>
      </c>
      <c r="F3777" t="s">
        <v>28198</v>
      </c>
      <c r="G3777" t="s">
        <v>28205</v>
      </c>
      <c r="H3777" t="s">
        <v>28215</v>
      </c>
      <c r="I3777" t="s">
        <v>8888</v>
      </c>
      <c r="J3777" t="s">
        <v>30813</v>
      </c>
      <c r="K3777" t="s">
        <v>36689</v>
      </c>
      <c r="M3777" t="s">
        <v>38197</v>
      </c>
      <c r="N3777" t="s">
        <v>40436</v>
      </c>
      <c r="O3777" t="s">
        <v>40437</v>
      </c>
      <c r="P3777">
        <v>0</v>
      </c>
      <c r="Q3777">
        <v>5</v>
      </c>
      <c r="R3777" t="s">
        <v>40439</v>
      </c>
      <c r="S3777" t="s">
        <v>40588</v>
      </c>
      <c r="T3777" t="s">
        <v>42133</v>
      </c>
      <c r="U3777" t="s">
        <v>45863</v>
      </c>
      <c r="W3777" t="s">
        <v>55484</v>
      </c>
      <c r="X3777" t="s">
        <v>40440</v>
      </c>
    </row>
    <row r="3778" spans="1:24">
      <c r="A3778">
        <f>HYPERLINK("https://www.philgeps.gov.ph/GEPSNONPILOT/Tender/SplashBidNoticeAbstractUI.aspx?menuIndex=3&amp;refID=7045892&amp;Result=3","7045892")</f>
        <v>0</v>
      </c>
      <c r="B3778" t="s">
        <v>109</v>
      </c>
      <c r="C3778" t="s">
        <v>6689</v>
      </c>
      <c r="D3778" t="s">
        <v>16188</v>
      </c>
      <c r="E3778" t="s">
        <v>19680</v>
      </c>
      <c r="F3778" t="s">
        <v>28198</v>
      </c>
      <c r="G3778" t="s">
        <v>28205</v>
      </c>
      <c r="H3778" t="s">
        <v>28214</v>
      </c>
      <c r="I3778" t="s">
        <v>3797</v>
      </c>
      <c r="J3778" t="s">
        <v>28921</v>
      </c>
      <c r="K3778" t="s">
        <v>36697</v>
      </c>
      <c r="M3778" t="s">
        <v>37083</v>
      </c>
      <c r="N3778" t="s">
        <v>40436</v>
      </c>
      <c r="O3778" t="s">
        <v>40437</v>
      </c>
      <c r="P3778">
        <v>0</v>
      </c>
      <c r="Q3778">
        <v>2</v>
      </c>
      <c r="R3778" t="s">
        <v>40439</v>
      </c>
      <c r="S3778" t="s">
        <v>40588</v>
      </c>
      <c r="T3778" t="s">
        <v>42150</v>
      </c>
      <c r="U3778" t="s">
        <v>45864</v>
      </c>
      <c r="V3778" t="s">
        <v>54171</v>
      </c>
      <c r="W3778" t="s">
        <v>37083</v>
      </c>
      <c r="X3778" t="s">
        <v>40440</v>
      </c>
    </row>
    <row r="3779" spans="1:24">
      <c r="A3779">
        <f>HYPERLINK("https://www.philgeps.gov.ph/GEPSNONPILOT/Tender/SplashBidNoticeAbstractUI.aspx?menuIndex=3&amp;refID=7045896&amp;Result=3","7045896")</f>
        <v>0</v>
      </c>
      <c r="B3779" t="s">
        <v>1157</v>
      </c>
      <c r="C3779" t="s">
        <v>6690</v>
      </c>
      <c r="D3779" t="s">
        <v>16193</v>
      </c>
      <c r="E3779" t="s">
        <v>19681</v>
      </c>
      <c r="F3779" t="s">
        <v>28198</v>
      </c>
      <c r="G3779" t="s">
        <v>28205</v>
      </c>
      <c r="H3779" t="s">
        <v>28215</v>
      </c>
      <c r="I3779" t="s">
        <v>5082</v>
      </c>
      <c r="J3779" t="s">
        <v>30814</v>
      </c>
      <c r="K3779" t="s">
        <v>36689</v>
      </c>
      <c r="M3779" t="s">
        <v>38197</v>
      </c>
      <c r="N3779" t="s">
        <v>40436</v>
      </c>
      <c r="O3779" t="s">
        <v>40437</v>
      </c>
      <c r="P3779">
        <v>0</v>
      </c>
      <c r="Q3779">
        <v>0</v>
      </c>
      <c r="R3779" t="s">
        <v>40439</v>
      </c>
      <c r="S3779" t="s">
        <v>40588</v>
      </c>
      <c r="T3779" t="s">
        <v>42133</v>
      </c>
      <c r="U3779" t="s">
        <v>45865</v>
      </c>
      <c r="W3779" t="s">
        <v>55484</v>
      </c>
      <c r="X3779" t="s">
        <v>40440</v>
      </c>
    </row>
    <row r="3780" spans="1:24">
      <c r="A3780">
        <f>HYPERLINK("https://www.philgeps.gov.ph/GEPSNONPILOT/Tender/SplashBidNoticeAbstractUI.aspx?menuIndex=3&amp;refID=7045923&amp;Result=3","7045923")</f>
        <v>0</v>
      </c>
      <c r="B3780" t="s">
        <v>1415</v>
      </c>
      <c r="C3780" t="s">
        <v>6691</v>
      </c>
      <c r="D3780" t="s">
        <v>16241</v>
      </c>
      <c r="E3780" t="s">
        <v>19682</v>
      </c>
      <c r="F3780" t="s">
        <v>28200</v>
      </c>
      <c r="G3780" t="s">
        <v>28206</v>
      </c>
      <c r="H3780" t="s">
        <v>28215</v>
      </c>
      <c r="I3780" t="s">
        <v>4200</v>
      </c>
      <c r="J3780" t="s">
        <v>30815</v>
      </c>
      <c r="K3780" t="s">
        <v>36689</v>
      </c>
      <c r="M3780" t="s">
        <v>38480</v>
      </c>
      <c r="N3780" t="s">
        <v>40436</v>
      </c>
      <c r="O3780" t="s">
        <v>40437</v>
      </c>
      <c r="P3780">
        <v>0</v>
      </c>
      <c r="Q3780">
        <v>3</v>
      </c>
      <c r="R3780" t="s">
        <v>40439</v>
      </c>
      <c r="S3780" t="s">
        <v>40588</v>
      </c>
      <c r="T3780" t="s">
        <v>42175</v>
      </c>
      <c r="U3780" t="s">
        <v>45866</v>
      </c>
      <c r="W3780" t="s">
        <v>38480</v>
      </c>
      <c r="X3780" t="s">
        <v>40440</v>
      </c>
    </row>
    <row r="3781" spans="1:24">
      <c r="A3781">
        <f>HYPERLINK("https://www.philgeps.gov.ph/GEPSNONPILOT/Tender/SplashBidNoticeAbstractUI.aspx?menuIndex=3&amp;refID=7045921&amp;Result=3","7045921")</f>
        <v>0</v>
      </c>
      <c r="B3781" t="s">
        <v>1157</v>
      </c>
      <c r="C3781" t="s">
        <v>6692</v>
      </c>
      <c r="D3781" t="s">
        <v>16193</v>
      </c>
      <c r="E3781" t="s">
        <v>19683</v>
      </c>
      <c r="F3781" t="s">
        <v>28198</v>
      </c>
      <c r="G3781" t="s">
        <v>28205</v>
      </c>
      <c r="H3781" t="s">
        <v>28215</v>
      </c>
      <c r="I3781" t="s">
        <v>8888</v>
      </c>
      <c r="J3781" t="s">
        <v>30816</v>
      </c>
      <c r="K3781" t="s">
        <v>36689</v>
      </c>
      <c r="M3781" t="s">
        <v>38197</v>
      </c>
      <c r="N3781" t="s">
        <v>40436</v>
      </c>
      <c r="O3781" t="s">
        <v>40437</v>
      </c>
      <c r="P3781">
        <v>0</v>
      </c>
      <c r="Q3781">
        <v>2</v>
      </c>
      <c r="R3781" t="s">
        <v>40439</v>
      </c>
      <c r="S3781" t="s">
        <v>40588</v>
      </c>
      <c r="T3781" t="s">
        <v>42133</v>
      </c>
      <c r="U3781" t="s">
        <v>45867</v>
      </c>
      <c r="W3781" t="s">
        <v>55484</v>
      </c>
      <c r="X3781" t="s">
        <v>40440</v>
      </c>
    </row>
    <row r="3782" spans="1:24">
      <c r="A3782">
        <f>HYPERLINK("https://www.philgeps.gov.ph/GEPSNONPILOT/Tender/SplashBidNoticeAbstractUI.aspx?menuIndex=3&amp;refID=7045904&amp;Result=3","7045904")</f>
        <v>0</v>
      </c>
      <c r="B3782" t="s">
        <v>1416</v>
      </c>
      <c r="C3782" t="s">
        <v>6693</v>
      </c>
      <c r="D3782" t="s">
        <v>16261</v>
      </c>
      <c r="E3782" t="s">
        <v>19684</v>
      </c>
      <c r="F3782" t="s">
        <v>28198</v>
      </c>
      <c r="G3782" t="s">
        <v>28207</v>
      </c>
      <c r="H3782" t="s">
        <v>28216</v>
      </c>
      <c r="I3782" t="s">
        <v>28322</v>
      </c>
      <c r="J3782" t="s">
        <v>28694</v>
      </c>
      <c r="K3782" t="s">
        <v>36694</v>
      </c>
      <c r="M3782" t="s">
        <v>38481</v>
      </c>
      <c r="N3782" t="s">
        <v>40436</v>
      </c>
      <c r="O3782" t="s">
        <v>40437</v>
      </c>
      <c r="P3782">
        <v>0</v>
      </c>
      <c r="Q3782">
        <v>3</v>
      </c>
      <c r="R3782" t="s">
        <v>40439</v>
      </c>
      <c r="S3782" t="s">
        <v>40588</v>
      </c>
      <c r="T3782" t="s">
        <v>42131</v>
      </c>
      <c r="U3782" t="s">
        <v>45868</v>
      </c>
      <c r="W3782" t="s">
        <v>38481</v>
      </c>
      <c r="X3782" t="s">
        <v>40440</v>
      </c>
    </row>
    <row r="3783" spans="1:24">
      <c r="A3783">
        <f>HYPERLINK("https://www.philgeps.gov.ph/GEPSNONPILOT/Tender/SplashBidNoticeAbstractUI.aspx?menuIndex=3&amp;refID=7045918&amp;Result=3","7045918")</f>
        <v>0</v>
      </c>
      <c r="B3783" t="s">
        <v>1268</v>
      </c>
      <c r="C3783" t="s">
        <v>6694</v>
      </c>
      <c r="D3783" t="s">
        <v>16228</v>
      </c>
      <c r="E3783" t="s">
        <v>19685</v>
      </c>
      <c r="F3783" t="s">
        <v>28198</v>
      </c>
      <c r="G3783" t="s">
        <v>28205</v>
      </c>
      <c r="H3783" t="s">
        <v>28215</v>
      </c>
      <c r="I3783" t="s">
        <v>3774</v>
      </c>
      <c r="J3783" t="s">
        <v>30817</v>
      </c>
      <c r="K3783" t="s">
        <v>36707</v>
      </c>
      <c r="M3783" t="s">
        <v>38318</v>
      </c>
      <c r="N3783" t="s">
        <v>40436</v>
      </c>
      <c r="O3783" t="s">
        <v>40437</v>
      </c>
      <c r="P3783">
        <v>0</v>
      </c>
      <c r="Q3783">
        <v>0</v>
      </c>
      <c r="R3783" t="s">
        <v>40439</v>
      </c>
      <c r="S3783" t="s">
        <v>40588</v>
      </c>
      <c r="T3783" t="s">
        <v>42102</v>
      </c>
      <c r="U3783" t="s">
        <v>45869</v>
      </c>
      <c r="W3783" t="s">
        <v>38318</v>
      </c>
      <c r="X3783" t="s">
        <v>40440</v>
      </c>
    </row>
    <row r="3784" spans="1:24">
      <c r="A3784">
        <f>HYPERLINK("https://www.philgeps.gov.ph/GEPSNONPILOT/Tender/SplashBidNoticeAbstractUI.aspx?menuIndex=3&amp;refID=7045894&amp;Result=3","7045894")</f>
        <v>0</v>
      </c>
      <c r="B3784" t="s">
        <v>1417</v>
      </c>
      <c r="C3784" t="s">
        <v>6695</v>
      </c>
      <c r="D3784" t="s">
        <v>16260</v>
      </c>
      <c r="E3784" t="s">
        <v>19686</v>
      </c>
      <c r="F3784" t="s">
        <v>28198</v>
      </c>
      <c r="G3784" t="s">
        <v>28210</v>
      </c>
      <c r="H3784" t="s">
        <v>28215</v>
      </c>
      <c r="I3784" t="s">
        <v>28234</v>
      </c>
      <c r="J3784" t="s">
        <v>30818</v>
      </c>
      <c r="K3784" t="s">
        <v>36707</v>
      </c>
      <c r="M3784" t="s">
        <v>38482</v>
      </c>
      <c r="N3784" t="s">
        <v>40436</v>
      </c>
      <c r="O3784" t="s">
        <v>40437</v>
      </c>
      <c r="P3784">
        <v>0</v>
      </c>
      <c r="Q3784">
        <v>16</v>
      </c>
      <c r="R3784" t="s">
        <v>40439</v>
      </c>
      <c r="S3784" t="s">
        <v>40588</v>
      </c>
      <c r="T3784" t="s">
        <v>42157</v>
      </c>
      <c r="U3784" t="s">
        <v>45870</v>
      </c>
      <c r="W3784" t="s">
        <v>38482</v>
      </c>
      <c r="X3784" t="s">
        <v>40440</v>
      </c>
    </row>
    <row r="3785" spans="1:24">
      <c r="A3785">
        <f>HYPERLINK("https://www.philgeps.gov.ph/GEPSNONPILOT/Tender/SplashBidNoticeAbstractUI.aspx?menuIndex=3&amp;refID=7045919&amp;Result=3","7045919")</f>
        <v>0</v>
      </c>
      <c r="B3785" t="s">
        <v>431</v>
      </c>
      <c r="C3785" t="s">
        <v>6696</v>
      </c>
      <c r="D3785" t="s">
        <v>16213</v>
      </c>
      <c r="E3785" t="s">
        <v>19687</v>
      </c>
      <c r="F3785" t="s">
        <v>28198</v>
      </c>
      <c r="G3785" t="s">
        <v>28207</v>
      </c>
      <c r="H3785" t="s">
        <v>28215</v>
      </c>
      <c r="I3785" t="s">
        <v>3422</v>
      </c>
      <c r="J3785" t="s">
        <v>30819</v>
      </c>
      <c r="K3785" t="s">
        <v>36689</v>
      </c>
      <c r="L3785" t="s">
        <v>431</v>
      </c>
      <c r="M3785" t="s">
        <v>37414</v>
      </c>
      <c r="N3785" t="s">
        <v>40436</v>
      </c>
      <c r="O3785" t="s">
        <v>40437</v>
      </c>
      <c r="P3785">
        <v>0</v>
      </c>
      <c r="Q3785">
        <v>1</v>
      </c>
      <c r="R3785" t="s">
        <v>40439</v>
      </c>
      <c r="S3785" t="s">
        <v>40588</v>
      </c>
      <c r="T3785" t="s">
        <v>42119</v>
      </c>
      <c r="U3785" t="s">
        <v>45468</v>
      </c>
      <c r="W3785" t="s">
        <v>37414</v>
      </c>
      <c r="X3785" t="s">
        <v>40440</v>
      </c>
    </row>
    <row r="3786" spans="1:24">
      <c r="A3786">
        <f>HYPERLINK("https://www.philgeps.gov.ph/GEPSNONPILOT/Tender/SplashBidNoticeAbstractUI.aspx?menuIndex=3&amp;refID=7045915&amp;Result=3","7045915")</f>
        <v>0</v>
      </c>
      <c r="B3786" t="s">
        <v>168</v>
      </c>
      <c r="C3786" t="s">
        <v>6697</v>
      </c>
      <c r="D3786" t="s">
        <v>16196</v>
      </c>
      <c r="E3786" t="s">
        <v>19688</v>
      </c>
      <c r="F3786" t="s">
        <v>28198</v>
      </c>
      <c r="G3786" t="s">
        <v>28207</v>
      </c>
      <c r="H3786" t="s">
        <v>28215</v>
      </c>
      <c r="I3786" t="s">
        <v>28227</v>
      </c>
      <c r="J3786" t="s">
        <v>30820</v>
      </c>
      <c r="K3786" t="s">
        <v>36701</v>
      </c>
      <c r="M3786" t="s">
        <v>37142</v>
      </c>
      <c r="N3786" t="s">
        <v>40436</v>
      </c>
      <c r="O3786" t="s">
        <v>40437</v>
      </c>
      <c r="P3786">
        <v>0</v>
      </c>
      <c r="Q3786">
        <v>1</v>
      </c>
      <c r="R3786" t="s">
        <v>40439</v>
      </c>
      <c r="S3786" t="s">
        <v>40588</v>
      </c>
      <c r="T3786" t="s">
        <v>42157</v>
      </c>
      <c r="U3786" t="s">
        <v>44266</v>
      </c>
      <c r="W3786" t="s">
        <v>55464</v>
      </c>
      <c r="X3786" t="s">
        <v>40440</v>
      </c>
    </row>
    <row r="3787" spans="1:24">
      <c r="A3787">
        <f>HYPERLINK("https://www.philgeps.gov.ph/GEPSNONPILOT/Tender/SplashBidNoticeAbstractUI.aspx?menuIndex=3&amp;refID=7045916&amp;Result=3","7045916")</f>
        <v>0</v>
      </c>
      <c r="B3787" t="s">
        <v>1398</v>
      </c>
      <c r="C3787" t="s">
        <v>6698</v>
      </c>
      <c r="D3787" t="s">
        <v>16210</v>
      </c>
      <c r="E3787" t="s">
        <v>19689</v>
      </c>
      <c r="F3787" t="s">
        <v>28198</v>
      </c>
      <c r="G3787" t="s">
        <v>28207</v>
      </c>
      <c r="H3787" t="s">
        <v>28215</v>
      </c>
      <c r="I3787" t="s">
        <v>28220</v>
      </c>
      <c r="J3787" t="s">
        <v>30821</v>
      </c>
      <c r="K3787" t="s">
        <v>36707</v>
      </c>
      <c r="M3787" t="s">
        <v>38463</v>
      </c>
      <c r="N3787" t="s">
        <v>40436</v>
      </c>
      <c r="O3787" t="s">
        <v>40437</v>
      </c>
      <c r="P3787">
        <v>0</v>
      </c>
      <c r="Q3787">
        <v>13</v>
      </c>
      <c r="R3787" t="s">
        <v>40439</v>
      </c>
      <c r="S3787" t="s">
        <v>40588</v>
      </c>
      <c r="T3787" t="s">
        <v>42146</v>
      </c>
      <c r="U3787" t="s">
        <v>45824</v>
      </c>
      <c r="W3787" t="s">
        <v>38463</v>
      </c>
      <c r="X3787" t="s">
        <v>40440</v>
      </c>
    </row>
    <row r="3788" spans="1:24">
      <c r="A3788">
        <f>HYPERLINK("https://www.philgeps.gov.ph/GEPSNONPILOT/Tender/SplashBidNoticeAbstractUI.aspx?menuIndex=3&amp;refID=7045909&amp;Result=3","7045909")</f>
        <v>0</v>
      </c>
      <c r="B3788" t="s">
        <v>1140</v>
      </c>
      <c r="C3788" t="s">
        <v>6699</v>
      </c>
      <c r="D3788" t="s">
        <v>16252</v>
      </c>
      <c r="E3788" t="s">
        <v>19690</v>
      </c>
      <c r="F3788" t="s">
        <v>28198</v>
      </c>
      <c r="G3788" t="s">
        <v>28205</v>
      </c>
      <c r="H3788" t="s">
        <v>28215</v>
      </c>
      <c r="I3788" t="s">
        <v>5103</v>
      </c>
      <c r="J3788" t="s">
        <v>28884</v>
      </c>
      <c r="K3788" t="s">
        <v>36706</v>
      </c>
      <c r="M3788" t="s">
        <v>38180</v>
      </c>
      <c r="N3788" t="s">
        <v>40436</v>
      </c>
      <c r="O3788" t="s">
        <v>40437</v>
      </c>
      <c r="P3788">
        <v>0</v>
      </c>
      <c r="Q3788">
        <v>0</v>
      </c>
      <c r="R3788" t="s">
        <v>40439</v>
      </c>
      <c r="S3788" t="s">
        <v>40588</v>
      </c>
      <c r="T3788" t="s">
        <v>42337</v>
      </c>
      <c r="U3788" t="s">
        <v>45871</v>
      </c>
      <c r="W3788" t="s">
        <v>38180</v>
      </c>
      <c r="X3788" t="s">
        <v>40440</v>
      </c>
    </row>
    <row r="3789" spans="1:24">
      <c r="A3789">
        <f>HYPERLINK("https://www.philgeps.gov.ph/GEPSNONPILOT/Tender/SplashBidNoticeAbstractUI.aspx?menuIndex=3&amp;refID=7045920&amp;Result=3","7045920")</f>
        <v>0</v>
      </c>
      <c r="B3789" t="s">
        <v>463</v>
      </c>
      <c r="C3789" t="s">
        <v>6700</v>
      </c>
      <c r="D3789" t="s">
        <v>16203</v>
      </c>
      <c r="E3789" t="s">
        <v>19691</v>
      </c>
      <c r="F3789" t="s">
        <v>28198</v>
      </c>
      <c r="G3789" t="s">
        <v>28205</v>
      </c>
      <c r="H3789" t="s">
        <v>28214</v>
      </c>
      <c r="I3789" t="s">
        <v>3797</v>
      </c>
      <c r="J3789" t="s">
        <v>28899</v>
      </c>
      <c r="K3789" t="s">
        <v>36692</v>
      </c>
      <c r="M3789" t="s">
        <v>37448</v>
      </c>
      <c r="N3789" t="s">
        <v>40436</v>
      </c>
      <c r="O3789" t="s">
        <v>40437</v>
      </c>
      <c r="P3789">
        <v>0</v>
      </c>
      <c r="Q3789">
        <v>0</v>
      </c>
      <c r="R3789" t="s">
        <v>40439</v>
      </c>
      <c r="S3789" t="s">
        <v>40588</v>
      </c>
      <c r="T3789" t="s">
        <v>42248</v>
      </c>
      <c r="U3789" t="s">
        <v>45872</v>
      </c>
      <c r="V3789" t="s">
        <v>54172</v>
      </c>
      <c r="W3789" t="s">
        <v>37448</v>
      </c>
      <c r="X3789" t="s">
        <v>40440</v>
      </c>
    </row>
    <row r="3790" spans="1:24">
      <c r="A3790">
        <f>HYPERLINK("https://www.philgeps.gov.ph/GEPSNONPILOT/Tender/SplashBidNoticeAbstractUI.aspx?menuIndex=3&amp;refID=7045917&amp;Result=3","7045917")</f>
        <v>0</v>
      </c>
      <c r="B3790" t="s">
        <v>1396</v>
      </c>
      <c r="C3790" t="s">
        <v>6701</v>
      </c>
      <c r="D3790" t="s">
        <v>16250</v>
      </c>
      <c r="E3790" t="s">
        <v>19692</v>
      </c>
      <c r="F3790" t="s">
        <v>28198</v>
      </c>
      <c r="G3790" t="s">
        <v>28207</v>
      </c>
      <c r="H3790" t="s">
        <v>28215</v>
      </c>
      <c r="I3790" t="s">
        <v>5100</v>
      </c>
      <c r="J3790" t="s">
        <v>30822</v>
      </c>
      <c r="K3790" t="s">
        <v>36688</v>
      </c>
      <c r="M3790" t="s">
        <v>38460</v>
      </c>
      <c r="N3790" t="s">
        <v>40436</v>
      </c>
      <c r="O3790" t="s">
        <v>40437</v>
      </c>
      <c r="P3790">
        <v>0</v>
      </c>
      <c r="Q3790">
        <v>0</v>
      </c>
      <c r="R3790" t="s">
        <v>40439</v>
      </c>
      <c r="S3790" t="s">
        <v>40588</v>
      </c>
      <c r="T3790" t="s">
        <v>42218</v>
      </c>
      <c r="U3790" t="s">
        <v>45873</v>
      </c>
      <c r="V3790" t="s">
        <v>54165</v>
      </c>
      <c r="W3790" t="s">
        <v>38460</v>
      </c>
      <c r="X3790" t="s">
        <v>40440</v>
      </c>
    </row>
    <row r="3791" spans="1:24">
      <c r="A3791">
        <f>HYPERLINK("https://www.philgeps.gov.ph/GEPSNONPILOT/Tender/SplashBidNoticeAbstractUI.aspx?menuIndex=3&amp;refID=7045913&amp;Result=3","7045913")</f>
        <v>0</v>
      </c>
      <c r="B3791" t="s">
        <v>386</v>
      </c>
      <c r="C3791" t="s">
        <v>6702</v>
      </c>
      <c r="D3791" t="s">
        <v>16259</v>
      </c>
      <c r="E3791" t="s">
        <v>19693</v>
      </c>
      <c r="F3791" t="s">
        <v>28198</v>
      </c>
      <c r="G3791" t="s">
        <v>28205</v>
      </c>
      <c r="H3791" t="s">
        <v>28215</v>
      </c>
      <c r="I3791" t="s">
        <v>28227</v>
      </c>
      <c r="J3791" t="s">
        <v>30823</v>
      </c>
      <c r="K3791" t="s">
        <v>36688</v>
      </c>
      <c r="M3791" t="s">
        <v>37366</v>
      </c>
      <c r="N3791" t="s">
        <v>40436</v>
      </c>
      <c r="O3791" t="s">
        <v>40437</v>
      </c>
      <c r="P3791">
        <v>0</v>
      </c>
      <c r="Q3791">
        <v>0</v>
      </c>
      <c r="R3791" t="s">
        <v>40439</v>
      </c>
      <c r="S3791" t="s">
        <v>40588</v>
      </c>
      <c r="T3791" t="s">
        <v>42123</v>
      </c>
      <c r="U3791" t="s">
        <v>43270</v>
      </c>
      <c r="V3791" t="s">
        <v>53872</v>
      </c>
      <c r="W3791" t="s">
        <v>37366</v>
      </c>
      <c r="X3791" t="s">
        <v>40440</v>
      </c>
    </row>
    <row r="3792" spans="1:24">
      <c r="A3792">
        <f>HYPERLINK("https://www.philgeps.gov.ph/GEPSNONPILOT/Tender/SplashBidNoticeAbstractUI.aspx?menuIndex=3&amp;refID=7045932&amp;Result=3","7045932")</f>
        <v>0</v>
      </c>
      <c r="B3792" t="s">
        <v>1157</v>
      </c>
      <c r="C3792" t="s">
        <v>6703</v>
      </c>
      <c r="D3792" t="s">
        <v>16193</v>
      </c>
      <c r="E3792" t="s">
        <v>19694</v>
      </c>
      <c r="F3792" t="s">
        <v>28198</v>
      </c>
      <c r="G3792" t="s">
        <v>28205</v>
      </c>
      <c r="H3792" t="s">
        <v>28215</v>
      </c>
      <c r="I3792" t="s">
        <v>28234</v>
      </c>
      <c r="J3792" t="s">
        <v>30824</v>
      </c>
      <c r="K3792" t="s">
        <v>36689</v>
      </c>
      <c r="M3792" t="s">
        <v>38197</v>
      </c>
      <c r="N3792" t="s">
        <v>40436</v>
      </c>
      <c r="O3792" t="s">
        <v>40437</v>
      </c>
      <c r="P3792">
        <v>0</v>
      </c>
      <c r="Q3792">
        <v>2</v>
      </c>
      <c r="R3792" t="s">
        <v>40439</v>
      </c>
      <c r="S3792" t="s">
        <v>40588</v>
      </c>
      <c r="T3792" t="s">
        <v>42133</v>
      </c>
      <c r="U3792" t="s">
        <v>45874</v>
      </c>
      <c r="W3792" t="s">
        <v>55484</v>
      </c>
      <c r="X3792" t="s">
        <v>40440</v>
      </c>
    </row>
    <row r="3793" spans="1:24">
      <c r="A3793">
        <f>HYPERLINK("https://www.philgeps.gov.ph/GEPSNONPILOT/Tender/SplashBidNoticeAbstractUI.aspx?menuIndex=3&amp;refID=7045930&amp;Result=3","7045930")</f>
        <v>0</v>
      </c>
      <c r="B3793" t="s">
        <v>99</v>
      </c>
      <c r="C3793" t="s">
        <v>6704</v>
      </c>
      <c r="D3793" t="s">
        <v>16211</v>
      </c>
      <c r="E3793" t="s">
        <v>19695</v>
      </c>
      <c r="F3793" t="s">
        <v>28198</v>
      </c>
      <c r="G3793" t="s">
        <v>28205</v>
      </c>
      <c r="H3793" t="s">
        <v>28214</v>
      </c>
      <c r="I3793" t="s">
        <v>3797</v>
      </c>
      <c r="J3793" t="s">
        <v>28379</v>
      </c>
      <c r="K3793" t="s">
        <v>36697</v>
      </c>
      <c r="M3793" t="s">
        <v>37072</v>
      </c>
      <c r="N3793" t="s">
        <v>40436</v>
      </c>
      <c r="O3793" t="s">
        <v>40437</v>
      </c>
      <c r="P3793">
        <v>0</v>
      </c>
      <c r="Q3793">
        <v>0</v>
      </c>
      <c r="R3793" t="s">
        <v>40439</v>
      </c>
      <c r="S3793" t="s">
        <v>40588</v>
      </c>
      <c r="T3793" t="s">
        <v>42377</v>
      </c>
      <c r="U3793" t="s">
        <v>45875</v>
      </c>
      <c r="W3793" t="s">
        <v>37072</v>
      </c>
      <c r="X3793" t="s">
        <v>40440</v>
      </c>
    </row>
    <row r="3794" spans="1:24">
      <c r="A3794">
        <f>HYPERLINK("https://www.philgeps.gov.ph/GEPSNONPILOT/Tender/SplashBidNoticeAbstractUI.aspx?menuIndex=3&amp;refID=7045931&amp;Result=3","7045931")</f>
        <v>0</v>
      </c>
      <c r="B3794" t="s">
        <v>1418</v>
      </c>
      <c r="C3794" t="s">
        <v>6705</v>
      </c>
      <c r="D3794" t="s">
        <v>16210</v>
      </c>
      <c r="E3794" t="s">
        <v>17186</v>
      </c>
      <c r="F3794" t="s">
        <v>28198</v>
      </c>
      <c r="G3794" t="s">
        <v>28206</v>
      </c>
      <c r="H3794" t="s">
        <v>28215</v>
      </c>
      <c r="I3794" t="s">
        <v>28238</v>
      </c>
      <c r="J3794" t="s">
        <v>29356</v>
      </c>
      <c r="K3794" t="s">
        <v>36689</v>
      </c>
      <c r="M3794" t="s">
        <v>38483</v>
      </c>
      <c r="N3794" t="s">
        <v>40436</v>
      </c>
      <c r="O3794" t="s">
        <v>40437</v>
      </c>
      <c r="P3794">
        <v>0</v>
      </c>
      <c r="Q3794">
        <v>5</v>
      </c>
      <c r="R3794" t="s">
        <v>40439</v>
      </c>
      <c r="S3794" t="s">
        <v>40588</v>
      </c>
      <c r="T3794" t="s">
        <v>42131</v>
      </c>
      <c r="U3794" t="s">
        <v>45876</v>
      </c>
      <c r="W3794" t="s">
        <v>38483</v>
      </c>
      <c r="X3794" t="s">
        <v>40440</v>
      </c>
    </row>
    <row r="3795" spans="1:24">
      <c r="A3795">
        <f>HYPERLINK("https://www.philgeps.gov.ph/GEPSNONPILOT/Tender/SplashBidNoticeAbstractUI.aspx?menuIndex=3&amp;refID=7045924&amp;Result=3","7045924")</f>
        <v>0</v>
      </c>
      <c r="B3795" t="s">
        <v>470</v>
      </c>
      <c r="C3795" t="s">
        <v>6706</v>
      </c>
      <c r="E3795" t="s">
        <v>19696</v>
      </c>
      <c r="F3795" t="s">
        <v>28198</v>
      </c>
      <c r="G3795" t="s">
        <v>28210</v>
      </c>
      <c r="H3795" t="s">
        <v>28215</v>
      </c>
      <c r="I3795" t="s">
        <v>5082</v>
      </c>
      <c r="J3795" t="s">
        <v>29016</v>
      </c>
      <c r="K3795" t="s">
        <v>36689</v>
      </c>
      <c r="M3795" t="s">
        <v>37455</v>
      </c>
      <c r="N3795" t="s">
        <v>40436</v>
      </c>
      <c r="O3795" t="s">
        <v>40437</v>
      </c>
      <c r="P3795">
        <v>0</v>
      </c>
      <c r="Q3795">
        <v>1</v>
      </c>
      <c r="R3795" t="s">
        <v>40439</v>
      </c>
      <c r="S3795" t="s">
        <v>40588</v>
      </c>
      <c r="T3795" t="s">
        <v>42103</v>
      </c>
      <c r="U3795" t="s">
        <v>45877</v>
      </c>
      <c r="W3795" t="s">
        <v>37455</v>
      </c>
      <c r="X3795" t="s">
        <v>40440</v>
      </c>
    </row>
    <row r="3796" spans="1:24">
      <c r="A3796">
        <f>HYPERLINK("https://www.philgeps.gov.ph/GEPSNONPILOT/Tender/SplashBidNoticeAbstractUI.aspx?menuIndex=3&amp;refID=7045936&amp;Result=3","7045936")</f>
        <v>0</v>
      </c>
      <c r="B3796" t="s">
        <v>335</v>
      </c>
      <c r="C3796" t="s">
        <v>6707</v>
      </c>
      <c r="D3796" t="s">
        <v>16221</v>
      </c>
      <c r="E3796" t="s">
        <v>19697</v>
      </c>
      <c r="F3796" t="s">
        <v>28198</v>
      </c>
      <c r="G3796" t="s">
        <v>28206</v>
      </c>
      <c r="H3796" t="s">
        <v>28215</v>
      </c>
      <c r="I3796" t="s">
        <v>4200</v>
      </c>
      <c r="J3796" t="s">
        <v>30825</v>
      </c>
      <c r="K3796" t="s">
        <v>36694</v>
      </c>
      <c r="M3796" t="s">
        <v>37313</v>
      </c>
      <c r="N3796" t="s">
        <v>40436</v>
      </c>
      <c r="O3796" t="s">
        <v>40437</v>
      </c>
      <c r="P3796">
        <v>0</v>
      </c>
      <c r="Q3796">
        <v>0</v>
      </c>
      <c r="R3796" t="s">
        <v>40439</v>
      </c>
      <c r="S3796" t="s">
        <v>40588</v>
      </c>
      <c r="T3796" t="s">
        <v>42124</v>
      </c>
      <c r="U3796" t="s">
        <v>45878</v>
      </c>
      <c r="W3796" t="s">
        <v>55444</v>
      </c>
      <c r="X3796" t="s">
        <v>40440</v>
      </c>
    </row>
    <row r="3797" spans="1:24">
      <c r="A3797">
        <f>HYPERLINK("https://www.philgeps.gov.ph/GEPSNONPILOT/Tender/SplashBidNoticeAbstractUI.aspx?menuIndex=3&amp;refID=7045912&amp;Result=3","7045912")</f>
        <v>0</v>
      </c>
      <c r="B3797" t="s">
        <v>1123</v>
      </c>
      <c r="C3797" t="s">
        <v>6708</v>
      </c>
      <c r="D3797" t="s">
        <v>16192</v>
      </c>
      <c r="E3797" t="s">
        <v>19698</v>
      </c>
      <c r="F3797" t="s">
        <v>28198</v>
      </c>
      <c r="G3797" t="s">
        <v>28206</v>
      </c>
      <c r="H3797" t="s">
        <v>28215</v>
      </c>
      <c r="I3797" t="s">
        <v>28228</v>
      </c>
      <c r="J3797" t="s">
        <v>30826</v>
      </c>
      <c r="K3797" t="s">
        <v>36688</v>
      </c>
      <c r="M3797" t="s">
        <v>38161</v>
      </c>
      <c r="N3797" t="s">
        <v>40436</v>
      </c>
      <c r="O3797" t="s">
        <v>40437</v>
      </c>
      <c r="P3797">
        <v>0</v>
      </c>
      <c r="Q3797">
        <v>0</v>
      </c>
      <c r="R3797" t="s">
        <v>40439</v>
      </c>
      <c r="S3797" t="s">
        <v>40588</v>
      </c>
      <c r="T3797" t="s">
        <v>42129</v>
      </c>
      <c r="U3797" t="s">
        <v>45879</v>
      </c>
      <c r="W3797" t="s">
        <v>38161</v>
      </c>
      <c r="X3797" t="s">
        <v>40440</v>
      </c>
    </row>
    <row r="3798" spans="1:24">
      <c r="A3798">
        <f>HYPERLINK("https://www.philgeps.gov.ph/GEPSNONPILOT/Tender/SplashBidNoticeAbstractUI.aspx?menuIndex=3&amp;refID=7045927&amp;Result=3","7045927")</f>
        <v>0</v>
      </c>
      <c r="B3798" t="s">
        <v>264</v>
      </c>
      <c r="C3798" t="s">
        <v>6709</v>
      </c>
      <c r="D3798" t="s">
        <v>16209</v>
      </c>
      <c r="E3798" t="s">
        <v>19699</v>
      </c>
      <c r="F3798" t="s">
        <v>28198</v>
      </c>
      <c r="G3798" t="s">
        <v>28207</v>
      </c>
      <c r="H3798" t="s">
        <v>28215</v>
      </c>
      <c r="I3798" t="s">
        <v>6051</v>
      </c>
      <c r="J3798" t="s">
        <v>28529</v>
      </c>
      <c r="K3798" t="s">
        <v>36698</v>
      </c>
      <c r="L3798" t="s">
        <v>264</v>
      </c>
      <c r="M3798" t="s">
        <v>37240</v>
      </c>
      <c r="N3798" t="s">
        <v>40436</v>
      </c>
      <c r="O3798" t="s">
        <v>40437</v>
      </c>
      <c r="P3798">
        <v>0</v>
      </c>
      <c r="Q3798">
        <v>0</v>
      </c>
      <c r="R3798" t="s">
        <v>40439</v>
      </c>
      <c r="S3798" t="s">
        <v>40588</v>
      </c>
      <c r="T3798" t="s">
        <v>42179</v>
      </c>
      <c r="U3798" t="s">
        <v>45880</v>
      </c>
      <c r="W3798" t="s">
        <v>37240</v>
      </c>
      <c r="X3798" t="s">
        <v>40440</v>
      </c>
    </row>
    <row r="3799" spans="1:24">
      <c r="A3799">
        <f>HYPERLINK("https://www.philgeps.gov.ph/GEPSNONPILOT/Tender/SplashBidNoticeAbstractUI.aspx?menuIndex=3&amp;refID=7045911&amp;Result=3","7045911")</f>
        <v>0</v>
      </c>
      <c r="B3799" t="s">
        <v>778</v>
      </c>
      <c r="C3799" t="s">
        <v>6710</v>
      </c>
      <c r="D3799" t="s">
        <v>16221</v>
      </c>
      <c r="E3799" t="s">
        <v>19700</v>
      </c>
      <c r="F3799" t="s">
        <v>28198</v>
      </c>
      <c r="G3799" t="s">
        <v>28207</v>
      </c>
      <c r="H3799" t="s">
        <v>28215</v>
      </c>
      <c r="I3799" t="s">
        <v>28224</v>
      </c>
      <c r="J3799" t="s">
        <v>30827</v>
      </c>
      <c r="K3799" t="s">
        <v>36688</v>
      </c>
      <c r="M3799" t="s">
        <v>37782</v>
      </c>
      <c r="N3799" t="s">
        <v>40436</v>
      </c>
      <c r="O3799" t="s">
        <v>40437</v>
      </c>
      <c r="P3799">
        <v>0</v>
      </c>
      <c r="Q3799">
        <v>2</v>
      </c>
      <c r="R3799" t="s">
        <v>40439</v>
      </c>
      <c r="S3799" t="s">
        <v>40588</v>
      </c>
      <c r="T3799" t="s">
        <v>42131</v>
      </c>
      <c r="U3799" t="s">
        <v>45881</v>
      </c>
      <c r="W3799" t="s">
        <v>37782</v>
      </c>
      <c r="X3799" t="s">
        <v>40440</v>
      </c>
    </row>
    <row r="3800" spans="1:24">
      <c r="A3800">
        <f>HYPERLINK("https://www.philgeps.gov.ph/GEPSNONPILOT/Tender/SplashBidNoticeAbstractUI.aspx?menuIndex=3&amp;refID=7045937&amp;Result=3","7045937")</f>
        <v>0</v>
      </c>
      <c r="B3800" t="s">
        <v>1260</v>
      </c>
      <c r="C3800" t="s">
        <v>6711</v>
      </c>
      <c r="D3800" t="s">
        <v>16206</v>
      </c>
      <c r="E3800" t="s">
        <v>19701</v>
      </c>
      <c r="F3800" t="s">
        <v>28198</v>
      </c>
      <c r="G3800" t="s">
        <v>28207</v>
      </c>
      <c r="H3800" t="s">
        <v>28215</v>
      </c>
      <c r="I3800" t="s">
        <v>3422</v>
      </c>
      <c r="J3800" t="s">
        <v>28529</v>
      </c>
      <c r="K3800" t="s">
        <v>36698</v>
      </c>
      <c r="M3800" t="s">
        <v>38310</v>
      </c>
      <c r="N3800" t="s">
        <v>40436</v>
      </c>
      <c r="O3800" t="s">
        <v>40437</v>
      </c>
      <c r="P3800">
        <v>0</v>
      </c>
      <c r="Q3800">
        <v>0</v>
      </c>
      <c r="R3800" t="s">
        <v>40439</v>
      </c>
      <c r="S3800" t="s">
        <v>40588</v>
      </c>
      <c r="T3800" t="s">
        <v>42326</v>
      </c>
      <c r="U3800" t="s">
        <v>45882</v>
      </c>
      <c r="W3800" t="s">
        <v>38310</v>
      </c>
      <c r="X3800" t="s">
        <v>40440</v>
      </c>
    </row>
    <row r="3801" spans="1:24">
      <c r="A3801">
        <f>HYPERLINK("https://www.philgeps.gov.ph/GEPSNONPILOT/Tender/SplashBidNoticeAbstractUI.aspx?menuIndex=3&amp;refID=7045929&amp;Result=3","7045929")</f>
        <v>0</v>
      </c>
      <c r="B3801" t="s">
        <v>1419</v>
      </c>
      <c r="C3801" t="s">
        <v>6712</v>
      </c>
      <c r="D3801" t="s">
        <v>16199</v>
      </c>
      <c r="E3801" t="s">
        <v>19702</v>
      </c>
      <c r="F3801" t="s">
        <v>28198</v>
      </c>
      <c r="G3801" t="s">
        <v>28207</v>
      </c>
      <c r="H3801" t="s">
        <v>28217</v>
      </c>
      <c r="I3801" t="s">
        <v>28278</v>
      </c>
      <c r="J3801" t="s">
        <v>28360</v>
      </c>
      <c r="K3801" t="s">
        <v>36688</v>
      </c>
      <c r="M3801" t="s">
        <v>38484</v>
      </c>
      <c r="N3801" t="s">
        <v>40436</v>
      </c>
      <c r="O3801" t="s">
        <v>40437</v>
      </c>
      <c r="P3801">
        <v>0</v>
      </c>
      <c r="Q3801">
        <v>1</v>
      </c>
      <c r="R3801" t="s">
        <v>40439</v>
      </c>
      <c r="S3801" t="s">
        <v>40588</v>
      </c>
      <c r="T3801" t="s">
        <v>42161</v>
      </c>
      <c r="U3801" t="s">
        <v>45883</v>
      </c>
      <c r="W3801" t="s">
        <v>38484</v>
      </c>
      <c r="X3801" t="s">
        <v>40440</v>
      </c>
    </row>
    <row r="3802" spans="1:24">
      <c r="A3802">
        <f>HYPERLINK("https://www.philgeps.gov.ph/GEPSNONPILOT/Tender/SplashBidNoticeAbstractUI.aspx?menuIndex=3&amp;refID=7045942&amp;Result=3","7045942")</f>
        <v>0</v>
      </c>
      <c r="B3802" t="s">
        <v>1241</v>
      </c>
      <c r="C3802" t="s">
        <v>6713</v>
      </c>
      <c r="D3802" t="s">
        <v>16216</v>
      </c>
      <c r="E3802" t="s">
        <v>19703</v>
      </c>
      <c r="F3802" t="s">
        <v>28198</v>
      </c>
      <c r="G3802" t="s">
        <v>28206</v>
      </c>
      <c r="H3802" t="s">
        <v>28215</v>
      </c>
      <c r="I3802" t="s">
        <v>28225</v>
      </c>
      <c r="J3802" t="s">
        <v>30828</v>
      </c>
      <c r="K3802" t="s">
        <v>36689</v>
      </c>
      <c r="M3802" t="s">
        <v>38290</v>
      </c>
      <c r="N3802" t="s">
        <v>40436</v>
      </c>
      <c r="O3802" t="s">
        <v>40437</v>
      </c>
      <c r="P3802">
        <v>0</v>
      </c>
      <c r="Q3802">
        <v>3</v>
      </c>
      <c r="R3802" t="s">
        <v>40439</v>
      </c>
      <c r="S3802" t="s">
        <v>40588</v>
      </c>
      <c r="T3802" t="s">
        <v>42303</v>
      </c>
      <c r="U3802" t="s">
        <v>45884</v>
      </c>
      <c r="W3802" t="s">
        <v>38290</v>
      </c>
      <c r="X3802" t="s">
        <v>40440</v>
      </c>
    </row>
    <row r="3803" spans="1:24">
      <c r="A3803">
        <f>HYPERLINK("https://www.philgeps.gov.ph/GEPSNONPILOT/Tender/SplashBidNoticeAbstractUI.aspx?menuIndex=3&amp;refID=7045940&amp;Result=3","7045940")</f>
        <v>0</v>
      </c>
      <c r="B3803" t="s">
        <v>1397</v>
      </c>
      <c r="C3803" t="s">
        <v>6714</v>
      </c>
      <c r="D3803" t="s">
        <v>16200</v>
      </c>
      <c r="E3803" t="s">
        <v>19704</v>
      </c>
      <c r="F3803" t="s">
        <v>28198</v>
      </c>
      <c r="G3803" t="s">
        <v>28207</v>
      </c>
      <c r="H3803" t="s">
        <v>28215</v>
      </c>
      <c r="I3803" t="s">
        <v>5100</v>
      </c>
      <c r="J3803" t="s">
        <v>30829</v>
      </c>
      <c r="K3803" t="s">
        <v>36707</v>
      </c>
      <c r="M3803" t="s">
        <v>38462</v>
      </c>
      <c r="N3803" t="s">
        <v>40436</v>
      </c>
      <c r="O3803" t="s">
        <v>40437</v>
      </c>
      <c r="P3803">
        <v>0</v>
      </c>
      <c r="Q3803">
        <v>0</v>
      </c>
      <c r="R3803" t="s">
        <v>40439</v>
      </c>
      <c r="S3803" t="s">
        <v>40588</v>
      </c>
      <c r="T3803" t="s">
        <v>42161</v>
      </c>
      <c r="U3803" t="s">
        <v>45885</v>
      </c>
      <c r="W3803" t="s">
        <v>38462</v>
      </c>
      <c r="X3803" t="s">
        <v>40440</v>
      </c>
    </row>
    <row r="3804" spans="1:24">
      <c r="A3804">
        <f>HYPERLINK("https://www.philgeps.gov.ph/GEPSNONPILOT/Tender/SplashBidNoticeAbstractUI.aspx?menuIndex=3&amp;refID=7045938&amp;Result=3","7045938")</f>
        <v>0</v>
      </c>
      <c r="B3804" t="s">
        <v>1420</v>
      </c>
      <c r="C3804" t="s">
        <v>6715</v>
      </c>
      <c r="D3804" t="s">
        <v>16188</v>
      </c>
      <c r="E3804" t="s">
        <v>19705</v>
      </c>
      <c r="F3804" t="s">
        <v>28198</v>
      </c>
      <c r="G3804" t="s">
        <v>28206</v>
      </c>
      <c r="H3804" t="s">
        <v>28217</v>
      </c>
      <c r="I3804" t="s">
        <v>28272</v>
      </c>
      <c r="J3804" t="s">
        <v>28702</v>
      </c>
      <c r="K3804" t="s">
        <v>36698</v>
      </c>
      <c r="M3804" t="s">
        <v>38485</v>
      </c>
      <c r="N3804" t="s">
        <v>40436</v>
      </c>
      <c r="O3804" t="s">
        <v>40437</v>
      </c>
      <c r="P3804">
        <v>0</v>
      </c>
      <c r="Q3804">
        <v>0</v>
      </c>
      <c r="R3804" t="s">
        <v>40439</v>
      </c>
      <c r="S3804" t="s">
        <v>40588</v>
      </c>
      <c r="T3804" t="s">
        <v>42180</v>
      </c>
      <c r="U3804" t="s">
        <v>45886</v>
      </c>
      <c r="W3804" t="s">
        <v>38485</v>
      </c>
      <c r="X3804" t="s">
        <v>40440</v>
      </c>
    </row>
    <row r="3805" spans="1:24">
      <c r="A3805">
        <f>HYPERLINK("https://www.philgeps.gov.ph/GEPSNONPILOT/Tender/SplashBidNoticeAbstractUI.aspx?menuIndex=3&amp;refID=7045922&amp;Result=3","7045922")</f>
        <v>0</v>
      </c>
      <c r="B3805" t="s">
        <v>1391</v>
      </c>
      <c r="C3805" t="s">
        <v>6716</v>
      </c>
      <c r="D3805" t="s">
        <v>16233</v>
      </c>
      <c r="E3805" t="s">
        <v>6716</v>
      </c>
      <c r="F3805" t="s">
        <v>28198</v>
      </c>
      <c r="G3805" t="s">
        <v>28210</v>
      </c>
      <c r="H3805" t="s">
        <v>28215</v>
      </c>
      <c r="I3805" t="s">
        <v>3774</v>
      </c>
      <c r="J3805" t="s">
        <v>28378</v>
      </c>
      <c r="K3805" t="s">
        <v>36689</v>
      </c>
      <c r="M3805" t="s">
        <v>38455</v>
      </c>
      <c r="N3805" t="s">
        <v>40436</v>
      </c>
      <c r="O3805" t="s">
        <v>40437</v>
      </c>
      <c r="P3805">
        <v>0</v>
      </c>
      <c r="Q3805">
        <v>0</v>
      </c>
      <c r="R3805" t="s">
        <v>40439</v>
      </c>
      <c r="S3805" t="s">
        <v>40588</v>
      </c>
      <c r="T3805" t="s">
        <v>42158</v>
      </c>
      <c r="U3805" t="s">
        <v>45887</v>
      </c>
      <c r="W3805" t="s">
        <v>38455</v>
      </c>
      <c r="X3805" t="s">
        <v>40440</v>
      </c>
    </row>
    <row r="3806" spans="1:24">
      <c r="A3806">
        <f>HYPERLINK("https://www.philgeps.gov.ph/GEPSNONPILOT/Tender/SplashBidNoticeAbstractUI.aspx?menuIndex=3&amp;refID=7045944&amp;Result=3","7045944")</f>
        <v>0</v>
      </c>
      <c r="B3806" t="s">
        <v>1421</v>
      </c>
      <c r="C3806" t="s">
        <v>6717</v>
      </c>
      <c r="D3806" t="s">
        <v>16230</v>
      </c>
      <c r="E3806" t="s">
        <v>19706</v>
      </c>
      <c r="F3806" t="s">
        <v>28198</v>
      </c>
      <c r="G3806" t="s">
        <v>28210</v>
      </c>
      <c r="H3806" t="s">
        <v>28215</v>
      </c>
      <c r="I3806" t="s">
        <v>28237</v>
      </c>
      <c r="J3806" t="s">
        <v>30830</v>
      </c>
      <c r="K3806" t="s">
        <v>36698</v>
      </c>
      <c r="M3806" t="s">
        <v>38486</v>
      </c>
      <c r="N3806" t="s">
        <v>40436</v>
      </c>
      <c r="O3806" t="s">
        <v>40437</v>
      </c>
      <c r="P3806">
        <v>0</v>
      </c>
      <c r="Q3806">
        <v>1</v>
      </c>
      <c r="R3806" t="s">
        <v>40439</v>
      </c>
      <c r="S3806" t="s">
        <v>40588</v>
      </c>
      <c r="T3806" t="s">
        <v>42161</v>
      </c>
      <c r="U3806" t="s">
        <v>45888</v>
      </c>
      <c r="W3806" t="s">
        <v>38486</v>
      </c>
      <c r="X3806" t="s">
        <v>40440</v>
      </c>
    </row>
    <row r="3807" spans="1:24">
      <c r="A3807">
        <f>HYPERLINK("https://www.philgeps.gov.ph/GEPSNONPILOT/Tender/SplashBidNoticeAbstractUI.aspx?menuIndex=3&amp;refID=7045948&amp;Result=3","7045948")</f>
        <v>0</v>
      </c>
      <c r="B3807" t="s">
        <v>1422</v>
      </c>
      <c r="C3807" t="s">
        <v>6718</v>
      </c>
      <c r="D3807" t="s">
        <v>16247</v>
      </c>
      <c r="E3807" t="s">
        <v>19707</v>
      </c>
      <c r="F3807" t="s">
        <v>28198</v>
      </c>
      <c r="G3807" t="s">
        <v>28205</v>
      </c>
      <c r="H3807" t="s">
        <v>28215</v>
      </c>
      <c r="I3807" t="s">
        <v>28234</v>
      </c>
      <c r="J3807" t="s">
        <v>28404</v>
      </c>
      <c r="K3807" t="s">
        <v>36701</v>
      </c>
      <c r="M3807" t="s">
        <v>38487</v>
      </c>
      <c r="N3807" t="s">
        <v>40436</v>
      </c>
      <c r="O3807" t="s">
        <v>40437</v>
      </c>
      <c r="P3807">
        <v>0</v>
      </c>
      <c r="Q3807">
        <v>6</v>
      </c>
      <c r="R3807" t="s">
        <v>40439</v>
      </c>
      <c r="S3807" t="s">
        <v>40588</v>
      </c>
      <c r="T3807" t="s">
        <v>42183</v>
      </c>
      <c r="U3807" t="s">
        <v>45889</v>
      </c>
      <c r="V3807" t="s">
        <v>54173</v>
      </c>
      <c r="W3807" t="s">
        <v>38487</v>
      </c>
      <c r="X3807" t="s">
        <v>40440</v>
      </c>
    </row>
    <row r="3808" spans="1:24">
      <c r="A3808">
        <f>HYPERLINK("https://www.philgeps.gov.ph/GEPSNONPILOT/Tender/SplashBidNoticeAbstractUI.aspx?menuIndex=3&amp;refID=7045941&amp;Result=3","7045941")</f>
        <v>0</v>
      </c>
      <c r="B3808" t="s">
        <v>1423</v>
      </c>
      <c r="C3808" t="s">
        <v>6719</v>
      </c>
      <c r="D3808" t="s">
        <v>16209</v>
      </c>
      <c r="E3808" t="s">
        <v>18331</v>
      </c>
      <c r="F3808" t="s">
        <v>28198</v>
      </c>
      <c r="G3808" t="s">
        <v>28207</v>
      </c>
      <c r="H3808" t="s">
        <v>28215</v>
      </c>
      <c r="I3808" t="s">
        <v>4219</v>
      </c>
      <c r="J3808" t="s">
        <v>30831</v>
      </c>
      <c r="K3808" t="s">
        <v>36688</v>
      </c>
      <c r="M3808" t="s">
        <v>38488</v>
      </c>
      <c r="N3808" t="s">
        <v>40436</v>
      </c>
      <c r="O3808" t="s">
        <v>40437</v>
      </c>
      <c r="P3808">
        <v>0</v>
      </c>
      <c r="Q3808">
        <v>0</v>
      </c>
      <c r="R3808" t="s">
        <v>40439</v>
      </c>
      <c r="S3808" t="s">
        <v>40588</v>
      </c>
      <c r="T3808" t="s">
        <v>42218</v>
      </c>
      <c r="U3808" t="s">
        <v>45890</v>
      </c>
      <c r="W3808" t="s">
        <v>38488</v>
      </c>
      <c r="X3808" t="s">
        <v>40440</v>
      </c>
    </row>
    <row r="3809" spans="1:24">
      <c r="A3809">
        <f>HYPERLINK("https://www.philgeps.gov.ph/GEPSNONPILOT/Tender/SplashBidNoticeAbstractUI.aspx?menuIndex=3&amp;refID=7045939&amp;Result=3","7045939")</f>
        <v>0</v>
      </c>
      <c r="B3809" t="s">
        <v>540</v>
      </c>
      <c r="C3809" t="s">
        <v>6720</v>
      </c>
      <c r="D3809" t="s">
        <v>16210</v>
      </c>
      <c r="E3809" t="s">
        <v>19708</v>
      </c>
      <c r="F3809" t="s">
        <v>28198</v>
      </c>
      <c r="G3809" t="s">
        <v>28207</v>
      </c>
      <c r="H3809" t="s">
        <v>28215</v>
      </c>
      <c r="I3809" t="s">
        <v>28225</v>
      </c>
      <c r="J3809" t="s">
        <v>28884</v>
      </c>
      <c r="K3809" t="s">
        <v>36693</v>
      </c>
      <c r="M3809" t="s">
        <v>37526</v>
      </c>
      <c r="N3809" t="s">
        <v>40436</v>
      </c>
      <c r="O3809" t="s">
        <v>40437</v>
      </c>
      <c r="P3809">
        <v>0</v>
      </c>
      <c r="Q3809">
        <v>1</v>
      </c>
      <c r="R3809" t="s">
        <v>40439</v>
      </c>
      <c r="S3809" t="s">
        <v>40588</v>
      </c>
      <c r="T3809" t="s">
        <v>42131</v>
      </c>
      <c r="U3809" t="s">
        <v>45891</v>
      </c>
      <c r="V3809" t="s">
        <v>53914</v>
      </c>
      <c r="W3809" t="s">
        <v>37526</v>
      </c>
      <c r="X3809" t="s">
        <v>40440</v>
      </c>
    </row>
    <row r="3810" spans="1:24">
      <c r="A3810">
        <f>HYPERLINK("https://www.philgeps.gov.ph/GEPSNONPILOT/Tender/SplashBidNoticeAbstractUI.aspx?menuIndex=3&amp;refID=7045943&amp;Result=3","7045943")</f>
        <v>0</v>
      </c>
      <c r="B3810" t="s">
        <v>1281</v>
      </c>
      <c r="C3810" t="s">
        <v>6721</v>
      </c>
      <c r="D3810" t="s">
        <v>16190</v>
      </c>
      <c r="E3810" t="s">
        <v>19709</v>
      </c>
      <c r="F3810" t="s">
        <v>28198</v>
      </c>
      <c r="G3810" t="s">
        <v>28207</v>
      </c>
      <c r="H3810" t="s">
        <v>28215</v>
      </c>
      <c r="I3810" t="s">
        <v>5631</v>
      </c>
      <c r="J3810" t="s">
        <v>28862</v>
      </c>
      <c r="K3810" t="s">
        <v>36701</v>
      </c>
      <c r="M3810" t="s">
        <v>38333</v>
      </c>
      <c r="N3810" t="s">
        <v>40436</v>
      </c>
      <c r="O3810" t="s">
        <v>40437</v>
      </c>
      <c r="P3810">
        <v>0</v>
      </c>
      <c r="Q3810">
        <v>0</v>
      </c>
      <c r="R3810" t="s">
        <v>40439</v>
      </c>
      <c r="S3810" t="s">
        <v>40588</v>
      </c>
      <c r="T3810" t="s">
        <v>42158</v>
      </c>
      <c r="U3810" t="s">
        <v>45497</v>
      </c>
      <c r="V3810" t="s">
        <v>54123</v>
      </c>
      <c r="W3810" t="s">
        <v>38333</v>
      </c>
      <c r="X3810" t="s">
        <v>40440</v>
      </c>
    </row>
    <row r="3811" spans="1:24">
      <c r="A3811">
        <f>HYPERLINK("https://www.philgeps.gov.ph/GEPSNONPILOT/Tender/SplashBidNoticeAbstractUI.aspx?menuIndex=3&amp;refID=7045950&amp;Result=3","7045950")</f>
        <v>0</v>
      </c>
      <c r="B3811" t="s">
        <v>1424</v>
      </c>
      <c r="C3811" t="s">
        <v>6722</v>
      </c>
      <c r="D3811" t="s">
        <v>16250</v>
      </c>
      <c r="E3811" t="s">
        <v>19710</v>
      </c>
      <c r="F3811" t="s">
        <v>28198</v>
      </c>
      <c r="G3811" t="s">
        <v>28205</v>
      </c>
      <c r="H3811" t="s">
        <v>28215</v>
      </c>
      <c r="I3811" t="s">
        <v>6051</v>
      </c>
      <c r="J3811" t="s">
        <v>28395</v>
      </c>
      <c r="K3811" t="s">
        <v>36715</v>
      </c>
      <c r="M3811" t="s">
        <v>38489</v>
      </c>
      <c r="N3811" t="s">
        <v>40436</v>
      </c>
      <c r="O3811" t="s">
        <v>40437</v>
      </c>
      <c r="P3811">
        <v>0</v>
      </c>
      <c r="Q3811">
        <v>3</v>
      </c>
      <c r="R3811" t="s">
        <v>40439</v>
      </c>
      <c r="S3811" t="s">
        <v>40588</v>
      </c>
      <c r="T3811" t="s">
        <v>42144</v>
      </c>
      <c r="U3811" t="s">
        <v>45892</v>
      </c>
      <c r="W3811" t="s">
        <v>38489</v>
      </c>
      <c r="X3811" t="s">
        <v>40440</v>
      </c>
    </row>
    <row r="3812" spans="1:24">
      <c r="A3812">
        <f>HYPERLINK("https://www.philgeps.gov.ph/GEPSNONPILOT/Tender/SplashBidNoticeAbstractUI.aspx?menuIndex=3&amp;refID=7045963&amp;Result=3","7045963")</f>
        <v>0</v>
      </c>
      <c r="B3812" t="s">
        <v>703</v>
      </c>
      <c r="C3812" t="s">
        <v>6723</v>
      </c>
      <c r="D3812" t="s">
        <v>16240</v>
      </c>
      <c r="E3812" t="s">
        <v>19711</v>
      </c>
      <c r="F3812" t="s">
        <v>28198</v>
      </c>
      <c r="G3812" t="s">
        <v>28207</v>
      </c>
      <c r="H3812" t="s">
        <v>28215</v>
      </c>
      <c r="I3812" t="s">
        <v>5791</v>
      </c>
      <c r="J3812" t="s">
        <v>30832</v>
      </c>
      <c r="K3812" t="s">
        <v>36691</v>
      </c>
      <c r="M3812" t="s">
        <v>37703</v>
      </c>
      <c r="N3812" t="s">
        <v>40436</v>
      </c>
      <c r="O3812" t="s">
        <v>40437</v>
      </c>
      <c r="P3812">
        <v>0</v>
      </c>
      <c r="Q3812">
        <v>0</v>
      </c>
      <c r="R3812" t="s">
        <v>40439</v>
      </c>
      <c r="S3812" t="s">
        <v>40588</v>
      </c>
      <c r="T3812" t="s">
        <v>42161</v>
      </c>
      <c r="U3812" t="s">
        <v>43914</v>
      </c>
      <c r="W3812" t="s">
        <v>37703</v>
      </c>
      <c r="X3812" t="s">
        <v>40440</v>
      </c>
    </row>
    <row r="3813" spans="1:24">
      <c r="A3813">
        <f>HYPERLINK("https://www.philgeps.gov.ph/GEPSNONPILOT/Tender/SplashBidNoticeAbstractUI.aspx?menuIndex=3&amp;refID=7045961&amp;Result=3","7045961")</f>
        <v>0</v>
      </c>
      <c r="B3813" t="s">
        <v>1123</v>
      </c>
      <c r="C3813" t="s">
        <v>5760</v>
      </c>
      <c r="D3813" t="s">
        <v>16192</v>
      </c>
      <c r="E3813" t="s">
        <v>19712</v>
      </c>
      <c r="F3813" t="s">
        <v>28198</v>
      </c>
      <c r="G3813" t="s">
        <v>28206</v>
      </c>
      <c r="H3813" t="s">
        <v>28215</v>
      </c>
      <c r="I3813" t="s">
        <v>5082</v>
      </c>
      <c r="J3813" t="s">
        <v>28354</v>
      </c>
      <c r="K3813" t="s">
        <v>36688</v>
      </c>
      <c r="M3813" t="s">
        <v>38161</v>
      </c>
      <c r="N3813" t="s">
        <v>40436</v>
      </c>
      <c r="O3813" t="s">
        <v>40437</v>
      </c>
      <c r="P3813">
        <v>0</v>
      </c>
      <c r="Q3813">
        <v>0</v>
      </c>
      <c r="R3813" t="s">
        <v>40439</v>
      </c>
      <c r="S3813" t="s">
        <v>40588</v>
      </c>
      <c r="T3813" t="s">
        <v>42129</v>
      </c>
      <c r="U3813" t="s">
        <v>45893</v>
      </c>
      <c r="W3813" t="s">
        <v>38161</v>
      </c>
      <c r="X3813" t="s">
        <v>40440</v>
      </c>
    </row>
    <row r="3814" spans="1:24">
      <c r="A3814">
        <f>HYPERLINK("https://www.philgeps.gov.ph/GEPSNONPILOT/Tender/SplashBidNoticeAbstractUI.aspx?menuIndex=3&amp;refID=7045951&amp;Result=3","7045951")</f>
        <v>0</v>
      </c>
      <c r="B3814" t="s">
        <v>1425</v>
      </c>
      <c r="C3814" t="s">
        <v>6724</v>
      </c>
      <c r="D3814" t="s">
        <v>16223</v>
      </c>
      <c r="E3814" t="s">
        <v>18664</v>
      </c>
      <c r="F3814" t="s">
        <v>28198</v>
      </c>
      <c r="G3814" t="s">
        <v>28205</v>
      </c>
      <c r="H3814" t="s">
        <v>28215</v>
      </c>
      <c r="I3814" t="s">
        <v>4505</v>
      </c>
      <c r="J3814" t="s">
        <v>30833</v>
      </c>
      <c r="K3814" t="s">
        <v>36706</v>
      </c>
      <c r="M3814" t="s">
        <v>38490</v>
      </c>
      <c r="N3814" t="s">
        <v>40436</v>
      </c>
      <c r="O3814" t="s">
        <v>40437</v>
      </c>
      <c r="P3814">
        <v>0</v>
      </c>
      <c r="Q3814">
        <v>1</v>
      </c>
      <c r="R3814" t="s">
        <v>40439</v>
      </c>
      <c r="S3814" t="s">
        <v>40588</v>
      </c>
      <c r="T3814" t="s">
        <v>42279</v>
      </c>
      <c r="U3814" t="s">
        <v>45894</v>
      </c>
      <c r="W3814" t="s">
        <v>40160</v>
      </c>
      <c r="X3814" t="s">
        <v>40440</v>
      </c>
    </row>
    <row r="3815" spans="1:24">
      <c r="A3815">
        <f>HYPERLINK("https://www.philgeps.gov.ph/GEPSNONPILOT/Tender/SplashBidNoticeAbstractUI.aspx?menuIndex=3&amp;refID=7045958&amp;Result=3","7045958")</f>
        <v>0</v>
      </c>
      <c r="B3815" t="s">
        <v>1311</v>
      </c>
      <c r="C3815" t="s">
        <v>6725</v>
      </c>
      <c r="D3815" t="s">
        <v>16188</v>
      </c>
      <c r="E3815" t="s">
        <v>19713</v>
      </c>
      <c r="F3815" t="s">
        <v>28198</v>
      </c>
      <c r="G3815" t="s">
        <v>28206</v>
      </c>
      <c r="H3815" t="s">
        <v>28215</v>
      </c>
      <c r="I3815" t="s">
        <v>28219</v>
      </c>
      <c r="J3815" t="s">
        <v>30009</v>
      </c>
      <c r="K3815" t="s">
        <v>36693</v>
      </c>
      <c r="M3815" t="s">
        <v>38365</v>
      </c>
      <c r="N3815" t="s">
        <v>40436</v>
      </c>
      <c r="O3815" t="s">
        <v>40437</v>
      </c>
      <c r="P3815">
        <v>0</v>
      </c>
      <c r="Q3815">
        <v>0</v>
      </c>
      <c r="R3815" t="s">
        <v>40439</v>
      </c>
      <c r="S3815" t="s">
        <v>40588</v>
      </c>
      <c r="T3815" t="s">
        <v>42167</v>
      </c>
      <c r="U3815" t="s">
        <v>45895</v>
      </c>
      <c r="V3815" t="s">
        <v>54133</v>
      </c>
      <c r="W3815" t="s">
        <v>38365</v>
      </c>
      <c r="X3815" t="s">
        <v>40440</v>
      </c>
    </row>
    <row r="3816" spans="1:24">
      <c r="A3816">
        <f>HYPERLINK("https://www.philgeps.gov.ph/GEPSNONPILOT/Tender/SplashBidNoticeAbstractUI.aspx?menuIndex=3&amp;refID=7045960&amp;Result=3","7045960")</f>
        <v>0</v>
      </c>
      <c r="B3816" t="s">
        <v>1063</v>
      </c>
      <c r="C3816" t="s">
        <v>6726</v>
      </c>
      <c r="D3816" t="s">
        <v>16188</v>
      </c>
      <c r="E3816" t="s">
        <v>19714</v>
      </c>
      <c r="F3816" t="s">
        <v>28198</v>
      </c>
      <c r="G3816" t="s">
        <v>28205</v>
      </c>
      <c r="H3816" t="s">
        <v>28215</v>
      </c>
      <c r="I3816" t="s">
        <v>28222</v>
      </c>
      <c r="J3816" t="s">
        <v>28430</v>
      </c>
      <c r="K3816" t="s">
        <v>36689</v>
      </c>
      <c r="M3816" t="s">
        <v>38491</v>
      </c>
      <c r="N3816" t="s">
        <v>40436</v>
      </c>
      <c r="O3816" t="s">
        <v>40437</v>
      </c>
      <c r="P3816">
        <v>0</v>
      </c>
      <c r="Q3816">
        <v>2</v>
      </c>
      <c r="R3816" t="s">
        <v>40439</v>
      </c>
      <c r="S3816" t="s">
        <v>40588</v>
      </c>
      <c r="T3816" t="s">
        <v>42203</v>
      </c>
      <c r="U3816" t="s">
        <v>45896</v>
      </c>
      <c r="W3816" t="s">
        <v>38491</v>
      </c>
      <c r="X3816" t="s">
        <v>40440</v>
      </c>
    </row>
    <row r="3817" spans="1:24">
      <c r="A3817">
        <f>HYPERLINK("https://www.philgeps.gov.ph/GEPSNONPILOT/Tender/SplashBidNoticeAbstractUI.aspx?menuIndex=3&amp;refID=7045956&amp;Result=3","7045956")</f>
        <v>0</v>
      </c>
      <c r="B3817" t="s">
        <v>1157</v>
      </c>
      <c r="C3817" t="s">
        <v>6727</v>
      </c>
      <c r="D3817" t="s">
        <v>16193</v>
      </c>
      <c r="E3817" t="s">
        <v>19715</v>
      </c>
      <c r="F3817" t="s">
        <v>28198</v>
      </c>
      <c r="G3817" t="s">
        <v>28205</v>
      </c>
      <c r="H3817" t="s">
        <v>28215</v>
      </c>
      <c r="I3817" t="s">
        <v>5082</v>
      </c>
      <c r="J3817" t="s">
        <v>30834</v>
      </c>
      <c r="K3817" t="s">
        <v>36689</v>
      </c>
      <c r="M3817" t="s">
        <v>38197</v>
      </c>
      <c r="N3817" t="s">
        <v>40436</v>
      </c>
      <c r="O3817" t="s">
        <v>40437</v>
      </c>
      <c r="P3817">
        <v>0</v>
      </c>
      <c r="Q3817">
        <v>0</v>
      </c>
      <c r="R3817" t="s">
        <v>40439</v>
      </c>
      <c r="S3817" t="s">
        <v>40588</v>
      </c>
      <c r="T3817" t="s">
        <v>42133</v>
      </c>
      <c r="U3817" t="s">
        <v>45897</v>
      </c>
      <c r="W3817" t="s">
        <v>55484</v>
      </c>
      <c r="X3817" t="s">
        <v>40440</v>
      </c>
    </row>
    <row r="3818" spans="1:24">
      <c r="A3818">
        <f>HYPERLINK("https://www.philgeps.gov.ph/GEPSNONPILOT/Tender/SplashBidNoticeAbstractUI.aspx?menuIndex=3&amp;refID=7045959&amp;Result=3","7045959")</f>
        <v>0</v>
      </c>
      <c r="B3818" t="s">
        <v>1286</v>
      </c>
      <c r="C3818" t="s">
        <v>6728</v>
      </c>
      <c r="D3818" t="s">
        <v>16228</v>
      </c>
      <c r="E3818" t="s">
        <v>19716</v>
      </c>
      <c r="F3818" t="s">
        <v>28198</v>
      </c>
      <c r="G3818" t="s">
        <v>28207</v>
      </c>
      <c r="H3818" t="s">
        <v>28215</v>
      </c>
      <c r="I3818" t="s">
        <v>28234</v>
      </c>
      <c r="J3818" t="s">
        <v>30835</v>
      </c>
      <c r="K3818" t="s">
        <v>36689</v>
      </c>
      <c r="M3818" t="s">
        <v>38339</v>
      </c>
      <c r="N3818" t="s">
        <v>40436</v>
      </c>
      <c r="O3818" t="s">
        <v>40437</v>
      </c>
      <c r="P3818">
        <v>0</v>
      </c>
      <c r="Q3818">
        <v>1</v>
      </c>
      <c r="R3818" t="s">
        <v>40439</v>
      </c>
      <c r="S3818" t="s">
        <v>40588</v>
      </c>
      <c r="T3818" t="s">
        <v>42320</v>
      </c>
      <c r="U3818" t="s">
        <v>45775</v>
      </c>
      <c r="W3818" t="s">
        <v>38339</v>
      </c>
      <c r="X3818" t="s">
        <v>40440</v>
      </c>
    </row>
    <row r="3819" spans="1:24">
      <c r="A3819">
        <f>HYPERLINK("https://www.philgeps.gov.ph/GEPSNONPILOT/Tender/SplashBidNoticeAbstractUI.aspx?menuIndex=3&amp;refID=7045955&amp;Result=3","7045955")</f>
        <v>0</v>
      </c>
      <c r="B3819" t="s">
        <v>1395</v>
      </c>
      <c r="C3819" t="s">
        <v>6729</v>
      </c>
      <c r="D3819" t="s">
        <v>16198</v>
      </c>
      <c r="E3819" t="s">
        <v>19717</v>
      </c>
      <c r="F3819" t="s">
        <v>28198</v>
      </c>
      <c r="G3819" t="s">
        <v>28207</v>
      </c>
      <c r="H3819" t="s">
        <v>28215</v>
      </c>
      <c r="I3819" t="s">
        <v>28234</v>
      </c>
      <c r="J3819" t="s">
        <v>29346</v>
      </c>
      <c r="K3819" t="s">
        <v>36706</v>
      </c>
      <c r="M3819" t="s">
        <v>38459</v>
      </c>
      <c r="N3819" t="s">
        <v>40436</v>
      </c>
      <c r="O3819" t="s">
        <v>40437</v>
      </c>
      <c r="P3819">
        <v>0</v>
      </c>
      <c r="Q3819">
        <v>1</v>
      </c>
      <c r="R3819" t="s">
        <v>40439</v>
      </c>
      <c r="S3819" t="s">
        <v>40588</v>
      </c>
      <c r="T3819" t="s">
        <v>42190</v>
      </c>
      <c r="U3819" t="s">
        <v>45898</v>
      </c>
      <c r="W3819" t="s">
        <v>38459</v>
      </c>
      <c r="X3819" t="s">
        <v>40440</v>
      </c>
    </row>
    <row r="3820" spans="1:24">
      <c r="A3820">
        <f>HYPERLINK("https://www.philgeps.gov.ph/GEPSNONPILOT/Tender/SplashBidNoticeAbstractUI.aspx?menuIndex=3&amp;refID=7045957&amp;Result=3","7045957")</f>
        <v>0</v>
      </c>
      <c r="B3820" t="s">
        <v>1426</v>
      </c>
      <c r="C3820" t="s">
        <v>6730</v>
      </c>
      <c r="D3820" t="s">
        <v>16216</v>
      </c>
      <c r="E3820" t="s">
        <v>19718</v>
      </c>
      <c r="F3820" t="s">
        <v>28198</v>
      </c>
      <c r="G3820" t="s">
        <v>28207</v>
      </c>
      <c r="H3820" t="s">
        <v>28215</v>
      </c>
      <c r="I3820" t="s">
        <v>5100</v>
      </c>
      <c r="J3820" t="s">
        <v>28551</v>
      </c>
      <c r="K3820" t="s">
        <v>36706</v>
      </c>
      <c r="M3820" t="s">
        <v>38492</v>
      </c>
      <c r="N3820" t="s">
        <v>40436</v>
      </c>
      <c r="O3820" t="s">
        <v>40437</v>
      </c>
      <c r="P3820">
        <v>0</v>
      </c>
      <c r="Q3820">
        <v>0</v>
      </c>
      <c r="R3820" t="s">
        <v>40439</v>
      </c>
      <c r="S3820" t="s">
        <v>40588</v>
      </c>
      <c r="T3820" t="s">
        <v>42373</v>
      </c>
      <c r="U3820" t="s">
        <v>45899</v>
      </c>
      <c r="V3820" t="s">
        <v>54174</v>
      </c>
      <c r="W3820" t="s">
        <v>38492</v>
      </c>
      <c r="X3820" t="s">
        <v>40440</v>
      </c>
    </row>
    <row r="3821" spans="1:24">
      <c r="A3821">
        <f>HYPERLINK("https://www.philgeps.gov.ph/GEPSNONPILOT/Tender/SplashBidNoticeAbstractUI.aspx?menuIndex=3&amp;refID=7045954&amp;Result=3","7045954")</f>
        <v>0</v>
      </c>
      <c r="B3821" t="s">
        <v>619</v>
      </c>
      <c r="C3821" t="s">
        <v>6731</v>
      </c>
      <c r="D3821" t="s">
        <v>16190</v>
      </c>
      <c r="E3821" t="s">
        <v>19719</v>
      </c>
      <c r="F3821" t="s">
        <v>28199</v>
      </c>
      <c r="G3821" t="s">
        <v>28210</v>
      </c>
      <c r="H3821" t="s">
        <v>28215</v>
      </c>
      <c r="I3821" t="s">
        <v>28302</v>
      </c>
      <c r="J3821" t="s">
        <v>28878</v>
      </c>
      <c r="K3821" t="s">
        <v>36691</v>
      </c>
      <c r="M3821" t="s">
        <v>37611</v>
      </c>
      <c r="N3821" t="s">
        <v>40436</v>
      </c>
      <c r="O3821" t="s">
        <v>40437</v>
      </c>
      <c r="P3821">
        <v>0</v>
      </c>
      <c r="Q3821">
        <v>0</v>
      </c>
      <c r="R3821" t="s">
        <v>40439</v>
      </c>
      <c r="S3821" t="s">
        <v>40588</v>
      </c>
      <c r="T3821" t="s">
        <v>42175</v>
      </c>
      <c r="U3821" t="s">
        <v>45900</v>
      </c>
      <c r="W3821" t="s">
        <v>37611</v>
      </c>
      <c r="X3821" t="s">
        <v>40440</v>
      </c>
    </row>
    <row r="3822" spans="1:24">
      <c r="A3822">
        <f>HYPERLINK("https://www.philgeps.gov.ph/GEPSNONPILOT/Tender/SplashBidNoticeAbstractUI.aspx?menuIndex=3&amp;refID=7045964&amp;Result=3","7045964")</f>
        <v>0</v>
      </c>
      <c r="B3822" t="s">
        <v>1157</v>
      </c>
      <c r="C3822" t="s">
        <v>6732</v>
      </c>
      <c r="D3822" t="s">
        <v>16193</v>
      </c>
      <c r="E3822" t="s">
        <v>19720</v>
      </c>
      <c r="F3822" t="s">
        <v>28198</v>
      </c>
      <c r="G3822" t="s">
        <v>28205</v>
      </c>
      <c r="H3822" t="s">
        <v>28215</v>
      </c>
      <c r="I3822" t="s">
        <v>5100</v>
      </c>
      <c r="J3822" t="s">
        <v>30836</v>
      </c>
      <c r="K3822" t="s">
        <v>36689</v>
      </c>
      <c r="M3822" t="s">
        <v>38197</v>
      </c>
      <c r="N3822" t="s">
        <v>40436</v>
      </c>
      <c r="O3822" t="s">
        <v>40437</v>
      </c>
      <c r="P3822">
        <v>0</v>
      </c>
      <c r="Q3822">
        <v>1</v>
      </c>
      <c r="R3822" t="s">
        <v>40439</v>
      </c>
      <c r="S3822" t="s">
        <v>40588</v>
      </c>
      <c r="T3822" t="s">
        <v>42133</v>
      </c>
      <c r="U3822" t="s">
        <v>45901</v>
      </c>
      <c r="W3822" t="s">
        <v>55484</v>
      </c>
      <c r="X3822" t="s">
        <v>40440</v>
      </c>
    </row>
    <row r="3823" spans="1:24">
      <c r="A3823">
        <f>HYPERLINK("https://www.philgeps.gov.ph/GEPSNONPILOT/Tender/SplashBidNoticeAbstractUI.aspx?menuIndex=3&amp;refID=7045982&amp;Result=3","7045982")</f>
        <v>0</v>
      </c>
      <c r="B3823" t="s">
        <v>1157</v>
      </c>
      <c r="C3823" t="s">
        <v>6733</v>
      </c>
      <c r="D3823" t="s">
        <v>16193</v>
      </c>
      <c r="E3823" t="s">
        <v>19721</v>
      </c>
      <c r="F3823" t="s">
        <v>28198</v>
      </c>
      <c r="G3823" t="s">
        <v>28205</v>
      </c>
      <c r="H3823" t="s">
        <v>28215</v>
      </c>
      <c r="I3823" t="s">
        <v>5100</v>
      </c>
      <c r="J3823" t="s">
        <v>30837</v>
      </c>
      <c r="K3823" t="s">
        <v>36689</v>
      </c>
      <c r="M3823" t="s">
        <v>38197</v>
      </c>
      <c r="N3823" t="s">
        <v>40436</v>
      </c>
      <c r="O3823" t="s">
        <v>40437</v>
      </c>
      <c r="P3823">
        <v>0</v>
      </c>
      <c r="Q3823">
        <v>0</v>
      </c>
      <c r="R3823" t="s">
        <v>40439</v>
      </c>
      <c r="S3823" t="s">
        <v>40588</v>
      </c>
      <c r="T3823" t="s">
        <v>42133</v>
      </c>
      <c r="U3823" t="s">
        <v>45902</v>
      </c>
      <c r="W3823" t="s">
        <v>55484</v>
      </c>
      <c r="X3823" t="s">
        <v>40440</v>
      </c>
    </row>
    <row r="3824" spans="1:24">
      <c r="A3824">
        <f>HYPERLINK("https://www.philgeps.gov.ph/GEPSNONPILOT/Tender/SplashBidNoticeAbstractUI.aspx?menuIndex=3&amp;refID=7045968&amp;Result=3","7045968")</f>
        <v>0</v>
      </c>
      <c r="B3824" t="s">
        <v>1390</v>
      </c>
      <c r="C3824" t="s">
        <v>6734</v>
      </c>
      <c r="D3824" t="s">
        <v>16211</v>
      </c>
      <c r="E3824" t="s">
        <v>19722</v>
      </c>
      <c r="F3824" t="s">
        <v>28198</v>
      </c>
      <c r="G3824" t="s">
        <v>28205</v>
      </c>
      <c r="H3824" t="s">
        <v>28215</v>
      </c>
      <c r="I3824" t="s">
        <v>5100</v>
      </c>
      <c r="J3824" t="s">
        <v>30838</v>
      </c>
      <c r="K3824" t="s">
        <v>36707</v>
      </c>
      <c r="M3824" t="s">
        <v>38454</v>
      </c>
      <c r="N3824" t="s">
        <v>40436</v>
      </c>
      <c r="O3824" t="s">
        <v>40437</v>
      </c>
      <c r="P3824">
        <v>0</v>
      </c>
      <c r="Q3824">
        <v>0</v>
      </c>
      <c r="R3824" t="s">
        <v>40439</v>
      </c>
      <c r="S3824" t="s">
        <v>40588</v>
      </c>
      <c r="T3824" t="s">
        <v>42259</v>
      </c>
      <c r="U3824" t="s">
        <v>45903</v>
      </c>
      <c r="W3824" t="s">
        <v>38454</v>
      </c>
      <c r="X3824" t="s">
        <v>40440</v>
      </c>
    </row>
    <row r="3825" spans="1:24">
      <c r="A3825">
        <f>HYPERLINK("https://www.philgeps.gov.ph/GEPSNONPILOT/Tender/SplashBidNoticeAbstractUI.aspx?menuIndex=3&amp;refID=7045980&amp;Result=3","7045980")</f>
        <v>0</v>
      </c>
      <c r="B3825" t="s">
        <v>1222</v>
      </c>
      <c r="C3825" t="s">
        <v>6735</v>
      </c>
      <c r="D3825" t="s">
        <v>16236</v>
      </c>
      <c r="E3825" t="s">
        <v>19723</v>
      </c>
      <c r="F3825" t="s">
        <v>28198</v>
      </c>
      <c r="G3825" t="s">
        <v>28205</v>
      </c>
      <c r="H3825" t="s">
        <v>28214</v>
      </c>
      <c r="I3825" t="s">
        <v>3797</v>
      </c>
      <c r="J3825" t="s">
        <v>28398</v>
      </c>
      <c r="K3825" t="s">
        <v>36709</v>
      </c>
      <c r="M3825" t="s">
        <v>38268</v>
      </c>
      <c r="N3825" t="s">
        <v>40436</v>
      </c>
      <c r="O3825" t="s">
        <v>40437</v>
      </c>
      <c r="P3825">
        <v>0</v>
      </c>
      <c r="Q3825">
        <v>0</v>
      </c>
      <c r="R3825" t="s">
        <v>40439</v>
      </c>
      <c r="S3825" t="s">
        <v>40588</v>
      </c>
      <c r="T3825" t="s">
        <v>42106</v>
      </c>
      <c r="U3825" t="s">
        <v>45904</v>
      </c>
      <c r="W3825" t="s">
        <v>38268</v>
      </c>
      <c r="X3825" t="s">
        <v>40440</v>
      </c>
    </row>
    <row r="3826" spans="1:24">
      <c r="A3826">
        <f>HYPERLINK("https://www.philgeps.gov.ph/GEPSNONPILOT/Tender/SplashBidNoticeAbstractUI.aspx?menuIndex=3&amp;refID=7045976&amp;Result=3","7045976")</f>
        <v>0</v>
      </c>
      <c r="B3826" t="s">
        <v>1157</v>
      </c>
      <c r="C3826" t="s">
        <v>6736</v>
      </c>
      <c r="D3826" t="s">
        <v>16193</v>
      </c>
      <c r="E3826" t="s">
        <v>19724</v>
      </c>
      <c r="F3826" t="s">
        <v>28198</v>
      </c>
      <c r="G3826" t="s">
        <v>28205</v>
      </c>
      <c r="H3826" t="s">
        <v>28215</v>
      </c>
      <c r="I3826" t="s">
        <v>28227</v>
      </c>
      <c r="J3826" t="s">
        <v>30839</v>
      </c>
      <c r="K3826" t="s">
        <v>36689</v>
      </c>
      <c r="M3826" t="s">
        <v>38197</v>
      </c>
      <c r="N3826" t="s">
        <v>40436</v>
      </c>
      <c r="O3826" t="s">
        <v>40437</v>
      </c>
      <c r="P3826">
        <v>0</v>
      </c>
      <c r="Q3826">
        <v>0</v>
      </c>
      <c r="R3826" t="s">
        <v>40439</v>
      </c>
      <c r="S3826" t="s">
        <v>40588</v>
      </c>
      <c r="T3826" t="s">
        <v>42133</v>
      </c>
      <c r="U3826" t="s">
        <v>45905</v>
      </c>
      <c r="W3826" t="s">
        <v>55484</v>
      </c>
      <c r="X3826" t="s">
        <v>40440</v>
      </c>
    </row>
    <row r="3827" spans="1:24">
      <c r="A3827">
        <f>HYPERLINK("https://www.philgeps.gov.ph/GEPSNONPILOT/Tender/SplashBidNoticeAbstractUI.aspx?menuIndex=3&amp;refID=7045981&amp;Result=3","7045981")</f>
        <v>0</v>
      </c>
      <c r="B3827" t="s">
        <v>1427</v>
      </c>
      <c r="C3827" t="s">
        <v>6737</v>
      </c>
      <c r="D3827" t="s">
        <v>16260</v>
      </c>
      <c r="E3827" t="s">
        <v>16873</v>
      </c>
      <c r="F3827" t="s">
        <v>28198</v>
      </c>
      <c r="G3827" t="s">
        <v>28205</v>
      </c>
      <c r="H3827" t="s">
        <v>28215</v>
      </c>
      <c r="I3827" t="s">
        <v>28300</v>
      </c>
      <c r="J3827" t="s">
        <v>28561</v>
      </c>
      <c r="K3827" t="s">
        <v>36707</v>
      </c>
      <c r="M3827" t="s">
        <v>38493</v>
      </c>
      <c r="N3827" t="s">
        <v>40436</v>
      </c>
      <c r="O3827" t="s">
        <v>40437</v>
      </c>
      <c r="P3827">
        <v>0</v>
      </c>
      <c r="Q3827">
        <v>0</v>
      </c>
      <c r="R3827" t="s">
        <v>40439</v>
      </c>
      <c r="S3827" t="s">
        <v>40588</v>
      </c>
      <c r="T3827" t="s">
        <v>42152</v>
      </c>
      <c r="U3827" t="s">
        <v>45906</v>
      </c>
      <c r="W3827" t="s">
        <v>38493</v>
      </c>
      <c r="X3827" t="s">
        <v>40440</v>
      </c>
    </row>
    <row r="3828" spans="1:24">
      <c r="A3828">
        <f>HYPERLINK("https://www.philgeps.gov.ph/GEPSNONPILOT/Tender/SplashBidNoticeAbstractUI.aspx?menuIndex=3&amp;refID=7045967&amp;Result=3","7045967")</f>
        <v>0</v>
      </c>
      <c r="B3828" t="s">
        <v>1254</v>
      </c>
      <c r="C3828" t="s">
        <v>6738</v>
      </c>
      <c r="D3828" t="s">
        <v>16201</v>
      </c>
      <c r="E3828" t="s">
        <v>19725</v>
      </c>
      <c r="F3828" t="s">
        <v>28198</v>
      </c>
      <c r="G3828" t="s">
        <v>28207</v>
      </c>
      <c r="H3828" t="s">
        <v>28215</v>
      </c>
      <c r="I3828" t="s">
        <v>5100</v>
      </c>
      <c r="J3828" t="s">
        <v>30840</v>
      </c>
      <c r="K3828" t="s">
        <v>36693</v>
      </c>
      <c r="M3828" t="s">
        <v>38304</v>
      </c>
      <c r="N3828" t="s">
        <v>40436</v>
      </c>
      <c r="O3828" t="s">
        <v>40437</v>
      </c>
      <c r="P3828">
        <v>0</v>
      </c>
      <c r="Q3828">
        <v>0</v>
      </c>
      <c r="R3828" t="s">
        <v>40439</v>
      </c>
      <c r="S3828" t="s">
        <v>40588</v>
      </c>
      <c r="T3828" t="s">
        <v>42158</v>
      </c>
      <c r="U3828" t="s">
        <v>45907</v>
      </c>
      <c r="W3828" t="s">
        <v>38304</v>
      </c>
      <c r="X3828" t="s">
        <v>40440</v>
      </c>
    </row>
    <row r="3829" spans="1:24">
      <c r="A3829">
        <f>HYPERLINK("https://www.philgeps.gov.ph/GEPSNONPILOT/Tender/SplashBidNoticeAbstractUI.aspx?menuIndex=3&amp;refID=7045979&amp;Result=3","7045979")</f>
        <v>0</v>
      </c>
      <c r="B3829" t="s">
        <v>332</v>
      </c>
      <c r="C3829" t="s">
        <v>6739</v>
      </c>
      <c r="E3829" t="s">
        <v>19726</v>
      </c>
      <c r="F3829" t="s">
        <v>28198</v>
      </c>
      <c r="G3829" t="s">
        <v>28207</v>
      </c>
      <c r="H3829" t="s">
        <v>28215</v>
      </c>
      <c r="I3829" t="s">
        <v>5791</v>
      </c>
      <c r="J3829" t="s">
        <v>30841</v>
      </c>
      <c r="K3829" t="s">
        <v>36689</v>
      </c>
      <c r="M3829" t="s">
        <v>37310</v>
      </c>
      <c r="N3829" t="s">
        <v>40436</v>
      </c>
      <c r="O3829" t="s">
        <v>40437</v>
      </c>
      <c r="P3829">
        <v>0</v>
      </c>
      <c r="Q3829">
        <v>0</v>
      </c>
      <c r="R3829" t="s">
        <v>40439</v>
      </c>
      <c r="S3829" t="s">
        <v>40588</v>
      </c>
      <c r="T3829" t="s">
        <v>42176</v>
      </c>
      <c r="U3829" t="s">
        <v>45908</v>
      </c>
      <c r="W3829" t="s">
        <v>37310</v>
      </c>
      <c r="X3829" t="s">
        <v>40440</v>
      </c>
    </row>
    <row r="3830" spans="1:24">
      <c r="A3830">
        <f>HYPERLINK("https://www.philgeps.gov.ph/GEPSNONPILOT/Tender/SplashBidNoticeAbstractUI.aspx?menuIndex=3&amp;refID=7045974&amp;Result=3","7045974")</f>
        <v>0</v>
      </c>
      <c r="B3830" t="s">
        <v>1428</v>
      </c>
      <c r="C3830" t="s">
        <v>6740</v>
      </c>
      <c r="D3830" t="s">
        <v>16223</v>
      </c>
      <c r="E3830" t="s">
        <v>18071</v>
      </c>
      <c r="F3830" t="s">
        <v>28198</v>
      </c>
      <c r="G3830" t="s">
        <v>28205</v>
      </c>
      <c r="H3830" t="s">
        <v>28215</v>
      </c>
      <c r="I3830" t="s">
        <v>5100</v>
      </c>
      <c r="J3830" t="s">
        <v>30842</v>
      </c>
      <c r="K3830" t="s">
        <v>36688</v>
      </c>
      <c r="L3830" t="s">
        <v>1428</v>
      </c>
      <c r="M3830" t="s">
        <v>38494</v>
      </c>
      <c r="N3830" t="s">
        <v>40436</v>
      </c>
      <c r="O3830" t="s">
        <v>40437</v>
      </c>
      <c r="P3830">
        <v>0</v>
      </c>
      <c r="Q3830">
        <v>0</v>
      </c>
      <c r="R3830" t="s">
        <v>40439</v>
      </c>
      <c r="S3830" t="s">
        <v>40588</v>
      </c>
      <c r="T3830" t="s">
        <v>42176</v>
      </c>
      <c r="U3830" t="s">
        <v>45909</v>
      </c>
      <c r="W3830" t="s">
        <v>38494</v>
      </c>
      <c r="X3830" t="s">
        <v>40440</v>
      </c>
    </row>
    <row r="3831" spans="1:24">
      <c r="A3831">
        <f>HYPERLINK("https://www.philgeps.gov.ph/GEPSNONPILOT/Tender/SplashBidNoticeAbstractUI.aspx?menuIndex=3&amp;refID=7045983&amp;Result=3","7045983")</f>
        <v>0</v>
      </c>
      <c r="B3831" t="s">
        <v>660</v>
      </c>
      <c r="C3831" t="s">
        <v>6741</v>
      </c>
      <c r="D3831" t="s">
        <v>16188</v>
      </c>
      <c r="E3831" t="s">
        <v>19727</v>
      </c>
      <c r="F3831" t="s">
        <v>28198</v>
      </c>
      <c r="G3831" t="s">
        <v>28207</v>
      </c>
      <c r="H3831" t="s">
        <v>28215</v>
      </c>
      <c r="I3831" t="s">
        <v>5082</v>
      </c>
      <c r="J3831" t="s">
        <v>30843</v>
      </c>
      <c r="K3831" t="s">
        <v>36689</v>
      </c>
      <c r="M3831" t="s">
        <v>37656</v>
      </c>
      <c r="N3831" t="s">
        <v>40436</v>
      </c>
      <c r="O3831" t="s">
        <v>40437</v>
      </c>
      <c r="P3831">
        <v>0</v>
      </c>
      <c r="Q3831">
        <v>0</v>
      </c>
      <c r="R3831" t="s">
        <v>40439</v>
      </c>
      <c r="S3831" t="s">
        <v>40588</v>
      </c>
      <c r="T3831" t="s">
        <v>42228</v>
      </c>
      <c r="U3831" t="s">
        <v>45018</v>
      </c>
      <c r="W3831" t="s">
        <v>37656</v>
      </c>
      <c r="X3831" t="s">
        <v>40440</v>
      </c>
    </row>
    <row r="3832" spans="1:24">
      <c r="A3832">
        <f>HYPERLINK("https://www.philgeps.gov.ph/GEPSNONPILOT/Tender/SplashBidNoticeAbstractUI.aspx?menuIndex=3&amp;refID=7045969&amp;Result=3","7045969")</f>
        <v>0</v>
      </c>
      <c r="B3832" t="s">
        <v>1429</v>
      </c>
      <c r="C3832" t="s">
        <v>6742</v>
      </c>
      <c r="D3832" t="s">
        <v>16210</v>
      </c>
      <c r="E3832" t="s">
        <v>19728</v>
      </c>
      <c r="F3832" t="s">
        <v>28198</v>
      </c>
      <c r="G3832" t="s">
        <v>28207</v>
      </c>
      <c r="H3832" t="s">
        <v>28215</v>
      </c>
      <c r="I3832" t="s">
        <v>5103</v>
      </c>
      <c r="J3832" t="s">
        <v>30844</v>
      </c>
      <c r="K3832" t="s">
        <v>36688</v>
      </c>
      <c r="M3832" t="s">
        <v>38495</v>
      </c>
      <c r="N3832" t="s">
        <v>40436</v>
      </c>
      <c r="O3832" t="s">
        <v>40437</v>
      </c>
      <c r="P3832">
        <v>0</v>
      </c>
      <c r="Q3832">
        <v>7</v>
      </c>
      <c r="R3832" t="s">
        <v>40439</v>
      </c>
      <c r="S3832" t="s">
        <v>40588</v>
      </c>
      <c r="T3832" t="s">
        <v>42129</v>
      </c>
      <c r="U3832" t="s">
        <v>45910</v>
      </c>
      <c r="W3832" t="s">
        <v>38495</v>
      </c>
      <c r="X3832" t="s">
        <v>40440</v>
      </c>
    </row>
    <row r="3833" spans="1:24">
      <c r="A3833">
        <f>HYPERLINK("https://www.philgeps.gov.ph/GEPSNONPILOT/Tender/SplashBidNoticeAbstractUI.aspx?menuIndex=3&amp;refID=7045977&amp;Result=3","7045977")</f>
        <v>0</v>
      </c>
      <c r="B3833" t="s">
        <v>1241</v>
      </c>
      <c r="C3833" t="s">
        <v>6743</v>
      </c>
      <c r="D3833" t="s">
        <v>16216</v>
      </c>
      <c r="E3833" t="s">
        <v>19729</v>
      </c>
      <c r="F3833" t="s">
        <v>28198</v>
      </c>
      <c r="G3833" t="s">
        <v>28206</v>
      </c>
      <c r="H3833" t="s">
        <v>28215</v>
      </c>
      <c r="I3833" t="s">
        <v>28225</v>
      </c>
      <c r="J3833" t="s">
        <v>30845</v>
      </c>
      <c r="K3833" t="s">
        <v>36689</v>
      </c>
      <c r="M3833" t="s">
        <v>38290</v>
      </c>
      <c r="N3833" t="s">
        <v>40436</v>
      </c>
      <c r="O3833" t="s">
        <v>40437</v>
      </c>
      <c r="P3833">
        <v>0</v>
      </c>
      <c r="Q3833">
        <v>0</v>
      </c>
      <c r="R3833" t="s">
        <v>40439</v>
      </c>
      <c r="S3833" t="s">
        <v>40588</v>
      </c>
      <c r="T3833" t="s">
        <v>42303</v>
      </c>
      <c r="U3833" t="s">
        <v>45911</v>
      </c>
      <c r="W3833" t="s">
        <v>38290</v>
      </c>
      <c r="X3833" t="s">
        <v>40440</v>
      </c>
    </row>
    <row r="3834" spans="1:24">
      <c r="A3834">
        <f>HYPERLINK("https://www.philgeps.gov.ph/GEPSNONPILOT/Tender/SplashBidNoticeAbstractUI.aspx?menuIndex=3&amp;refID=7045973&amp;Result=3","7045973")</f>
        <v>0</v>
      </c>
      <c r="B3834" t="s">
        <v>427</v>
      </c>
      <c r="C3834" t="s">
        <v>6744</v>
      </c>
      <c r="D3834" t="s">
        <v>16195</v>
      </c>
      <c r="E3834" t="s">
        <v>19730</v>
      </c>
      <c r="F3834" t="s">
        <v>28198</v>
      </c>
      <c r="G3834" t="s">
        <v>28206</v>
      </c>
      <c r="H3834" t="s">
        <v>28215</v>
      </c>
      <c r="I3834" t="s">
        <v>5071</v>
      </c>
      <c r="J3834" t="s">
        <v>29093</v>
      </c>
      <c r="K3834" t="s">
        <v>36688</v>
      </c>
      <c r="M3834" t="s">
        <v>38496</v>
      </c>
      <c r="N3834" t="s">
        <v>40436</v>
      </c>
      <c r="O3834" t="s">
        <v>40437</v>
      </c>
      <c r="P3834">
        <v>0</v>
      </c>
      <c r="Q3834">
        <v>1</v>
      </c>
      <c r="R3834" t="s">
        <v>40439</v>
      </c>
      <c r="S3834" t="s">
        <v>40588</v>
      </c>
      <c r="T3834" t="s">
        <v>42131</v>
      </c>
      <c r="U3834" t="s">
        <v>45912</v>
      </c>
      <c r="W3834" t="s">
        <v>38496</v>
      </c>
      <c r="X3834" t="s">
        <v>40440</v>
      </c>
    </row>
    <row r="3835" spans="1:24">
      <c r="A3835">
        <f>HYPERLINK("https://www.philgeps.gov.ph/GEPSNONPILOT/Tender/SplashBidNoticeAbstractUI.aspx?menuIndex=3&amp;refID=7045971&amp;Result=3","7045971")</f>
        <v>0</v>
      </c>
      <c r="B3835" t="s">
        <v>386</v>
      </c>
      <c r="C3835" t="s">
        <v>6745</v>
      </c>
      <c r="D3835" t="s">
        <v>16259</v>
      </c>
      <c r="E3835" t="s">
        <v>19731</v>
      </c>
      <c r="F3835" t="s">
        <v>28198</v>
      </c>
      <c r="G3835" t="s">
        <v>28207</v>
      </c>
      <c r="H3835" t="s">
        <v>28215</v>
      </c>
      <c r="I3835" t="s">
        <v>5082</v>
      </c>
      <c r="J3835" t="s">
        <v>29705</v>
      </c>
      <c r="K3835" t="s">
        <v>36688</v>
      </c>
      <c r="M3835" t="s">
        <v>37366</v>
      </c>
      <c r="N3835" t="s">
        <v>40436</v>
      </c>
      <c r="O3835" t="s">
        <v>40437</v>
      </c>
      <c r="P3835">
        <v>0</v>
      </c>
      <c r="Q3835">
        <v>1</v>
      </c>
      <c r="R3835" t="s">
        <v>40439</v>
      </c>
      <c r="S3835" t="s">
        <v>40588</v>
      </c>
      <c r="T3835" t="s">
        <v>42133</v>
      </c>
      <c r="U3835" t="s">
        <v>45807</v>
      </c>
      <c r="V3835" t="s">
        <v>53872</v>
      </c>
      <c r="W3835" t="s">
        <v>37366</v>
      </c>
      <c r="X3835" t="s">
        <v>40440</v>
      </c>
    </row>
    <row r="3836" spans="1:24">
      <c r="A3836">
        <f>HYPERLINK("https://www.philgeps.gov.ph/GEPSNONPILOT/Tender/SplashBidNoticeAbstractUI.aspx?menuIndex=3&amp;refID=7045988&amp;Result=3","7045988")</f>
        <v>0</v>
      </c>
      <c r="B3836" t="s">
        <v>1071</v>
      </c>
      <c r="C3836" t="s">
        <v>6746</v>
      </c>
      <c r="D3836" t="s">
        <v>16223</v>
      </c>
      <c r="E3836" t="s">
        <v>19732</v>
      </c>
      <c r="F3836" t="s">
        <v>28198</v>
      </c>
      <c r="G3836" t="s">
        <v>28207</v>
      </c>
      <c r="H3836" t="s">
        <v>28216</v>
      </c>
      <c r="I3836" t="s">
        <v>28216</v>
      </c>
      <c r="J3836" t="s">
        <v>30733</v>
      </c>
      <c r="K3836" t="s">
        <v>36705</v>
      </c>
      <c r="M3836" t="s">
        <v>38105</v>
      </c>
      <c r="N3836" t="s">
        <v>40436</v>
      </c>
      <c r="O3836" t="s">
        <v>40437</v>
      </c>
      <c r="P3836">
        <v>0</v>
      </c>
      <c r="Q3836">
        <v>2</v>
      </c>
      <c r="R3836" t="s">
        <v>40439</v>
      </c>
      <c r="S3836" t="s">
        <v>40588</v>
      </c>
      <c r="T3836" t="s">
        <v>42326</v>
      </c>
      <c r="U3836" t="s">
        <v>45913</v>
      </c>
      <c r="W3836" t="s">
        <v>38105</v>
      </c>
      <c r="X3836" t="s">
        <v>40440</v>
      </c>
    </row>
    <row r="3837" spans="1:24">
      <c r="A3837">
        <f>HYPERLINK("https://www.philgeps.gov.ph/GEPSNONPILOT/Tender/SplashBidNoticeAbstractUI.aspx?menuIndex=3&amp;refID=7045984&amp;Result=3","7045984")</f>
        <v>0</v>
      </c>
      <c r="B3837" t="s">
        <v>658</v>
      </c>
      <c r="C3837" t="s">
        <v>6747</v>
      </c>
      <c r="D3837" t="s">
        <v>16264</v>
      </c>
      <c r="E3837" t="s">
        <v>19733</v>
      </c>
      <c r="F3837" t="s">
        <v>28198</v>
      </c>
      <c r="G3837" t="s">
        <v>28206</v>
      </c>
      <c r="H3837" t="s">
        <v>28215</v>
      </c>
      <c r="I3837" t="s">
        <v>28238</v>
      </c>
      <c r="J3837" t="s">
        <v>30846</v>
      </c>
      <c r="K3837" t="s">
        <v>36707</v>
      </c>
      <c r="M3837" t="s">
        <v>37654</v>
      </c>
      <c r="N3837" t="s">
        <v>40436</v>
      </c>
      <c r="O3837" t="s">
        <v>40437</v>
      </c>
      <c r="P3837">
        <v>0</v>
      </c>
      <c r="Q3837">
        <v>1</v>
      </c>
      <c r="R3837" t="s">
        <v>40439</v>
      </c>
      <c r="S3837" t="s">
        <v>40588</v>
      </c>
      <c r="T3837" t="s">
        <v>42378</v>
      </c>
      <c r="U3837" t="s">
        <v>45914</v>
      </c>
      <c r="W3837" t="s">
        <v>37654</v>
      </c>
      <c r="X3837" t="s">
        <v>40440</v>
      </c>
    </row>
    <row r="3838" spans="1:24">
      <c r="A3838">
        <f>HYPERLINK("https://www.philgeps.gov.ph/GEPSNONPILOT/Tender/SplashBidNoticeAbstractUI.aspx?menuIndex=3&amp;refID=7045972&amp;Result=3","7045972")</f>
        <v>0</v>
      </c>
      <c r="B3838" t="s">
        <v>1398</v>
      </c>
      <c r="C3838" t="s">
        <v>6748</v>
      </c>
      <c r="D3838" t="s">
        <v>16210</v>
      </c>
      <c r="E3838" t="s">
        <v>19734</v>
      </c>
      <c r="F3838" t="s">
        <v>28198</v>
      </c>
      <c r="G3838" t="s">
        <v>28207</v>
      </c>
      <c r="H3838" t="s">
        <v>28215</v>
      </c>
      <c r="I3838" t="s">
        <v>28258</v>
      </c>
      <c r="J3838" t="s">
        <v>30847</v>
      </c>
      <c r="K3838" t="s">
        <v>36701</v>
      </c>
      <c r="M3838" t="s">
        <v>38463</v>
      </c>
      <c r="N3838" t="s">
        <v>40436</v>
      </c>
      <c r="O3838" t="s">
        <v>40437</v>
      </c>
      <c r="P3838">
        <v>0</v>
      </c>
      <c r="Q3838">
        <v>24</v>
      </c>
      <c r="R3838" t="s">
        <v>40439</v>
      </c>
      <c r="S3838" t="s">
        <v>40588</v>
      </c>
      <c r="T3838" t="s">
        <v>42146</v>
      </c>
      <c r="U3838" t="s">
        <v>45824</v>
      </c>
      <c r="W3838" t="s">
        <v>38463</v>
      </c>
      <c r="X3838" t="s">
        <v>40440</v>
      </c>
    </row>
    <row r="3839" spans="1:24">
      <c r="A3839">
        <f>HYPERLINK("https://www.philgeps.gov.ph/GEPSNONPILOT/Tender/SplashBidNoticeAbstractUI.aspx?menuIndex=3&amp;refID=7045970&amp;Result=3","7045970")</f>
        <v>0</v>
      </c>
      <c r="B3839" t="s">
        <v>1140</v>
      </c>
      <c r="C3839" t="s">
        <v>6749</v>
      </c>
      <c r="D3839" t="s">
        <v>16252</v>
      </c>
      <c r="E3839" t="s">
        <v>19735</v>
      </c>
      <c r="F3839" t="s">
        <v>28198</v>
      </c>
      <c r="G3839" t="s">
        <v>28205</v>
      </c>
      <c r="H3839" t="s">
        <v>28215</v>
      </c>
      <c r="I3839" t="s">
        <v>5082</v>
      </c>
      <c r="J3839" t="s">
        <v>30848</v>
      </c>
      <c r="K3839" t="s">
        <v>36706</v>
      </c>
      <c r="M3839" t="s">
        <v>38180</v>
      </c>
      <c r="N3839" t="s">
        <v>40436</v>
      </c>
      <c r="O3839" t="s">
        <v>40437</v>
      </c>
      <c r="P3839">
        <v>0</v>
      </c>
      <c r="Q3839">
        <v>0</v>
      </c>
      <c r="R3839" t="s">
        <v>40439</v>
      </c>
      <c r="S3839" t="s">
        <v>40588</v>
      </c>
      <c r="T3839" t="s">
        <v>42337</v>
      </c>
      <c r="U3839" t="s">
        <v>43698</v>
      </c>
      <c r="W3839" t="s">
        <v>38180</v>
      </c>
      <c r="X3839" t="s">
        <v>40440</v>
      </c>
    </row>
    <row r="3840" spans="1:24">
      <c r="A3840">
        <f>HYPERLINK("https://www.philgeps.gov.ph/GEPSNONPILOT/Tender/SplashBidNoticeAbstractUI.aspx?menuIndex=3&amp;refID=7045987&amp;Result=3","7045987")</f>
        <v>0</v>
      </c>
      <c r="B3840" t="s">
        <v>1419</v>
      </c>
      <c r="C3840" t="s">
        <v>6750</v>
      </c>
      <c r="D3840" t="s">
        <v>16199</v>
      </c>
      <c r="E3840" t="s">
        <v>19736</v>
      </c>
      <c r="F3840" t="s">
        <v>28198</v>
      </c>
      <c r="G3840" t="s">
        <v>28207</v>
      </c>
      <c r="H3840" t="s">
        <v>28215</v>
      </c>
      <c r="I3840" t="s">
        <v>5082</v>
      </c>
      <c r="J3840" t="s">
        <v>28422</v>
      </c>
      <c r="K3840" t="s">
        <v>36691</v>
      </c>
      <c r="M3840" t="s">
        <v>38484</v>
      </c>
      <c r="N3840" t="s">
        <v>40436</v>
      </c>
      <c r="O3840" t="s">
        <v>40437</v>
      </c>
      <c r="P3840">
        <v>0</v>
      </c>
      <c r="Q3840">
        <v>3</v>
      </c>
      <c r="R3840" t="s">
        <v>40439</v>
      </c>
      <c r="S3840" t="s">
        <v>40588</v>
      </c>
      <c r="T3840" t="s">
        <v>42161</v>
      </c>
      <c r="U3840" t="s">
        <v>45915</v>
      </c>
      <c r="W3840" t="s">
        <v>38484</v>
      </c>
      <c r="X3840" t="s">
        <v>40440</v>
      </c>
    </row>
    <row r="3841" spans="1:24">
      <c r="A3841">
        <f>HYPERLINK("https://www.philgeps.gov.ph/GEPSNONPILOT/Tender/SplashBidNoticeAbstractUI.aspx?menuIndex=3&amp;refID=7045989&amp;Result=3","7045989")</f>
        <v>0</v>
      </c>
      <c r="B3841" t="s">
        <v>1385</v>
      </c>
      <c r="C3841" t="s">
        <v>6751</v>
      </c>
      <c r="D3841" t="s">
        <v>16222</v>
      </c>
      <c r="E3841" t="s">
        <v>19737</v>
      </c>
      <c r="F3841" t="s">
        <v>28198</v>
      </c>
      <c r="G3841" t="s">
        <v>28205</v>
      </c>
      <c r="H3841" t="s">
        <v>28215</v>
      </c>
      <c r="I3841" t="s">
        <v>28247</v>
      </c>
      <c r="J3841" t="s">
        <v>30849</v>
      </c>
      <c r="K3841" t="s">
        <v>36697</v>
      </c>
      <c r="M3841" t="s">
        <v>38449</v>
      </c>
      <c r="N3841" t="s">
        <v>40436</v>
      </c>
      <c r="O3841" t="s">
        <v>40437</v>
      </c>
      <c r="P3841">
        <v>0</v>
      </c>
      <c r="Q3841">
        <v>7</v>
      </c>
      <c r="R3841" t="s">
        <v>40439</v>
      </c>
      <c r="S3841" t="s">
        <v>40588</v>
      </c>
      <c r="T3841" t="s">
        <v>42300</v>
      </c>
      <c r="U3841" t="s">
        <v>45916</v>
      </c>
      <c r="V3841" t="s">
        <v>54161</v>
      </c>
      <c r="W3841" t="s">
        <v>38449</v>
      </c>
      <c r="X3841" t="s">
        <v>40440</v>
      </c>
    </row>
    <row r="3842" spans="1:24">
      <c r="A3842">
        <f>HYPERLINK("https://www.philgeps.gov.ph/GEPSNONPILOT/Tender/SplashBidNoticeAbstractUI.aspx?menuIndex=3&amp;refID=7046003&amp;Result=3","7046003")</f>
        <v>0</v>
      </c>
      <c r="B3842" t="s">
        <v>1430</v>
      </c>
      <c r="C3842" t="s">
        <v>6752</v>
      </c>
      <c r="D3842" t="s">
        <v>16196</v>
      </c>
      <c r="E3842" t="s">
        <v>19738</v>
      </c>
      <c r="F3842" t="s">
        <v>28198</v>
      </c>
      <c r="G3842" t="s">
        <v>28206</v>
      </c>
      <c r="H3842" t="s">
        <v>28215</v>
      </c>
      <c r="I3842" t="s">
        <v>28247</v>
      </c>
      <c r="J3842" t="s">
        <v>30850</v>
      </c>
      <c r="K3842" t="s">
        <v>36708</v>
      </c>
      <c r="M3842" t="s">
        <v>38497</v>
      </c>
      <c r="N3842" t="s">
        <v>40436</v>
      </c>
      <c r="O3842" t="s">
        <v>40437</v>
      </c>
      <c r="P3842">
        <v>0</v>
      </c>
      <c r="Q3842">
        <v>5</v>
      </c>
      <c r="R3842" t="s">
        <v>40439</v>
      </c>
      <c r="S3842" t="s">
        <v>40588</v>
      </c>
      <c r="T3842" t="s">
        <v>42245</v>
      </c>
      <c r="U3842" t="s">
        <v>45917</v>
      </c>
      <c r="W3842" t="s">
        <v>38497</v>
      </c>
      <c r="X3842" t="s">
        <v>40440</v>
      </c>
    </row>
    <row r="3843" spans="1:24">
      <c r="A3843">
        <f>HYPERLINK("https://www.philgeps.gov.ph/GEPSNONPILOT/Tender/SplashBidNoticeAbstractUI.aspx?menuIndex=3&amp;refID=7045998&amp;Result=3","7045998")</f>
        <v>0</v>
      </c>
      <c r="B3843" t="s">
        <v>1431</v>
      </c>
      <c r="C3843" t="s">
        <v>6753</v>
      </c>
      <c r="D3843" t="s">
        <v>16209</v>
      </c>
      <c r="E3843" t="s">
        <v>19739</v>
      </c>
      <c r="F3843" t="s">
        <v>28198</v>
      </c>
      <c r="G3843" t="s">
        <v>28207</v>
      </c>
      <c r="H3843" t="s">
        <v>28215</v>
      </c>
      <c r="I3843" t="s">
        <v>4505</v>
      </c>
      <c r="J3843" t="s">
        <v>28345</v>
      </c>
      <c r="K3843" t="s">
        <v>36688</v>
      </c>
      <c r="M3843" t="s">
        <v>38498</v>
      </c>
      <c r="N3843" t="s">
        <v>40436</v>
      </c>
      <c r="O3843" t="s">
        <v>40437</v>
      </c>
      <c r="P3843">
        <v>0</v>
      </c>
      <c r="Q3843">
        <v>1</v>
      </c>
      <c r="R3843" t="s">
        <v>40439</v>
      </c>
      <c r="S3843" t="s">
        <v>40588</v>
      </c>
      <c r="T3843" t="s">
        <v>42158</v>
      </c>
      <c r="U3843" t="s">
        <v>45918</v>
      </c>
      <c r="W3843" t="s">
        <v>38498</v>
      </c>
      <c r="X3843" t="s">
        <v>40440</v>
      </c>
    </row>
    <row r="3844" spans="1:24">
      <c r="A3844">
        <f>HYPERLINK("https://www.philgeps.gov.ph/GEPSNONPILOT/Tender/SplashBidNoticeAbstractUI.aspx?menuIndex=3&amp;refID=7045994&amp;Result=3","7045994")</f>
        <v>0</v>
      </c>
      <c r="B3844" t="s">
        <v>332</v>
      </c>
      <c r="C3844" t="s">
        <v>6754</v>
      </c>
      <c r="E3844" t="s">
        <v>19740</v>
      </c>
      <c r="F3844" t="s">
        <v>28198</v>
      </c>
      <c r="G3844" t="s">
        <v>28207</v>
      </c>
      <c r="H3844" t="s">
        <v>28215</v>
      </c>
      <c r="I3844" t="s">
        <v>28228</v>
      </c>
      <c r="J3844" t="s">
        <v>28626</v>
      </c>
      <c r="K3844" t="s">
        <v>36689</v>
      </c>
      <c r="M3844" t="s">
        <v>37310</v>
      </c>
      <c r="N3844" t="s">
        <v>40436</v>
      </c>
      <c r="O3844" t="s">
        <v>40437</v>
      </c>
      <c r="P3844">
        <v>0</v>
      </c>
      <c r="Q3844">
        <v>0</v>
      </c>
      <c r="R3844" t="s">
        <v>40439</v>
      </c>
      <c r="S3844" t="s">
        <v>40588</v>
      </c>
      <c r="T3844" t="s">
        <v>42176</v>
      </c>
      <c r="U3844" t="s">
        <v>45919</v>
      </c>
      <c r="W3844" t="s">
        <v>37310</v>
      </c>
      <c r="X3844" t="s">
        <v>40440</v>
      </c>
    </row>
    <row r="3845" spans="1:24">
      <c r="A3845">
        <f>HYPERLINK("https://www.philgeps.gov.ph/GEPSNONPILOT/Tender/SplashBidNoticeAbstractUI.aspx?menuIndex=3&amp;refID=7046006&amp;Result=3","7046006")</f>
        <v>0</v>
      </c>
      <c r="B3845" t="s">
        <v>1432</v>
      </c>
      <c r="C3845" t="s">
        <v>6755</v>
      </c>
      <c r="D3845" t="s">
        <v>16203</v>
      </c>
      <c r="E3845" t="s">
        <v>19741</v>
      </c>
      <c r="F3845" t="s">
        <v>28198</v>
      </c>
      <c r="G3845" t="s">
        <v>28207</v>
      </c>
      <c r="H3845" t="s">
        <v>28215</v>
      </c>
      <c r="I3845" t="s">
        <v>5100</v>
      </c>
      <c r="J3845" t="s">
        <v>30851</v>
      </c>
      <c r="K3845" t="s">
        <v>36708</v>
      </c>
      <c r="M3845" t="s">
        <v>38499</v>
      </c>
      <c r="N3845" t="s">
        <v>40436</v>
      </c>
      <c r="O3845" t="s">
        <v>40437</v>
      </c>
      <c r="P3845">
        <v>0</v>
      </c>
      <c r="Q3845">
        <v>0</v>
      </c>
      <c r="R3845" t="s">
        <v>40439</v>
      </c>
      <c r="S3845" t="s">
        <v>40588</v>
      </c>
      <c r="T3845" t="s">
        <v>42169</v>
      </c>
      <c r="U3845" t="s">
        <v>45920</v>
      </c>
      <c r="W3845" t="s">
        <v>38499</v>
      </c>
      <c r="X3845" t="s">
        <v>40440</v>
      </c>
    </row>
    <row r="3846" spans="1:24">
      <c r="A3846">
        <f>HYPERLINK("https://www.philgeps.gov.ph/GEPSNONPILOT/Tender/SplashBidNoticeAbstractUI.aspx?menuIndex=3&amp;refID=7045985&amp;Result=3","7045985")</f>
        <v>0</v>
      </c>
      <c r="B3846" t="s">
        <v>1433</v>
      </c>
      <c r="C3846" t="s">
        <v>6756</v>
      </c>
      <c r="D3846" t="s">
        <v>16203</v>
      </c>
      <c r="E3846" t="s">
        <v>19742</v>
      </c>
      <c r="F3846" t="s">
        <v>28198</v>
      </c>
      <c r="G3846" t="s">
        <v>28207</v>
      </c>
      <c r="H3846" t="s">
        <v>28215</v>
      </c>
      <c r="I3846" t="s">
        <v>3422</v>
      </c>
      <c r="J3846" t="s">
        <v>28406</v>
      </c>
      <c r="K3846" t="s">
        <v>36689</v>
      </c>
      <c r="M3846" t="s">
        <v>38500</v>
      </c>
      <c r="N3846" t="s">
        <v>40436</v>
      </c>
      <c r="O3846" t="s">
        <v>40437</v>
      </c>
      <c r="P3846">
        <v>0</v>
      </c>
      <c r="Q3846">
        <v>2</v>
      </c>
      <c r="R3846" t="s">
        <v>40439</v>
      </c>
      <c r="S3846" t="s">
        <v>40588</v>
      </c>
      <c r="T3846" t="s">
        <v>42161</v>
      </c>
      <c r="U3846" t="s">
        <v>45921</v>
      </c>
      <c r="W3846" t="s">
        <v>38500</v>
      </c>
      <c r="X3846" t="s">
        <v>40440</v>
      </c>
    </row>
    <row r="3847" spans="1:24">
      <c r="A3847">
        <f>HYPERLINK("https://www.philgeps.gov.ph/GEPSNONPILOT/Tender/SplashBidNoticeAbstractUI.aspx?menuIndex=3&amp;refID=7045997&amp;Result=3","7045997")</f>
        <v>0</v>
      </c>
      <c r="B3847" t="s">
        <v>489</v>
      </c>
      <c r="C3847" t="s">
        <v>6757</v>
      </c>
      <c r="D3847" t="s">
        <v>16190</v>
      </c>
      <c r="E3847" t="s">
        <v>16766</v>
      </c>
      <c r="F3847" t="s">
        <v>28198</v>
      </c>
      <c r="G3847" t="s">
        <v>28206</v>
      </c>
      <c r="H3847" t="s">
        <v>28215</v>
      </c>
      <c r="I3847" t="s">
        <v>5656</v>
      </c>
      <c r="J3847" t="s">
        <v>30023</v>
      </c>
      <c r="K3847" t="s">
        <v>36689</v>
      </c>
      <c r="M3847" t="s">
        <v>37474</v>
      </c>
      <c r="N3847" t="s">
        <v>40436</v>
      </c>
      <c r="O3847" t="s">
        <v>40437</v>
      </c>
      <c r="P3847">
        <v>0</v>
      </c>
      <c r="Q3847">
        <v>0</v>
      </c>
      <c r="R3847" t="s">
        <v>40439</v>
      </c>
      <c r="S3847" t="s">
        <v>40588</v>
      </c>
      <c r="T3847" t="s">
        <v>42245</v>
      </c>
      <c r="U3847" t="s">
        <v>45922</v>
      </c>
      <c r="W3847" t="s">
        <v>37474</v>
      </c>
      <c r="X3847" t="s">
        <v>40440</v>
      </c>
    </row>
    <row r="3848" spans="1:24">
      <c r="A3848">
        <f>HYPERLINK("https://www.philgeps.gov.ph/GEPSNONPILOT/Tender/SplashBidNoticeAbstractUI.aspx?menuIndex=3&amp;refID=7045991&amp;Result=3","7045991")</f>
        <v>0</v>
      </c>
      <c r="B3848" t="s">
        <v>108</v>
      </c>
      <c r="C3848" t="s">
        <v>6758</v>
      </c>
      <c r="D3848" t="s">
        <v>16190</v>
      </c>
      <c r="E3848" t="s">
        <v>16639</v>
      </c>
      <c r="F3848" t="s">
        <v>28198</v>
      </c>
      <c r="G3848" t="s">
        <v>28207</v>
      </c>
      <c r="H3848" t="s">
        <v>28215</v>
      </c>
      <c r="I3848" t="s">
        <v>4200</v>
      </c>
      <c r="J3848" t="s">
        <v>30852</v>
      </c>
      <c r="K3848" t="s">
        <v>36698</v>
      </c>
      <c r="M3848" t="s">
        <v>37388</v>
      </c>
      <c r="N3848" t="s">
        <v>40436</v>
      </c>
      <c r="O3848" t="s">
        <v>40437</v>
      </c>
      <c r="P3848">
        <v>0</v>
      </c>
      <c r="Q3848">
        <v>0</v>
      </c>
      <c r="R3848" t="s">
        <v>40439</v>
      </c>
      <c r="S3848" t="s">
        <v>40588</v>
      </c>
      <c r="T3848" t="s">
        <v>42190</v>
      </c>
      <c r="U3848" t="s">
        <v>45923</v>
      </c>
      <c r="V3848" t="s">
        <v>54160</v>
      </c>
      <c r="W3848" t="s">
        <v>37388</v>
      </c>
      <c r="X3848" t="s">
        <v>40440</v>
      </c>
    </row>
    <row r="3849" spans="1:24">
      <c r="A3849">
        <f>HYPERLINK("https://www.philgeps.gov.ph/GEPSNONPILOT/Tender/SplashBidNoticeAbstractUI.aspx?menuIndex=3&amp;refID=7045993&amp;Result=3","7045993")</f>
        <v>0</v>
      </c>
      <c r="B3849" t="s">
        <v>1157</v>
      </c>
      <c r="C3849" t="s">
        <v>6759</v>
      </c>
      <c r="D3849" t="s">
        <v>16193</v>
      </c>
      <c r="E3849" t="s">
        <v>19743</v>
      </c>
      <c r="F3849" t="s">
        <v>28198</v>
      </c>
      <c r="G3849" t="s">
        <v>28205</v>
      </c>
      <c r="H3849" t="s">
        <v>28215</v>
      </c>
      <c r="I3849" t="s">
        <v>5100</v>
      </c>
      <c r="J3849" t="s">
        <v>30853</v>
      </c>
      <c r="K3849" t="s">
        <v>36689</v>
      </c>
      <c r="M3849" t="s">
        <v>38197</v>
      </c>
      <c r="N3849" t="s">
        <v>40436</v>
      </c>
      <c r="O3849" t="s">
        <v>40437</v>
      </c>
      <c r="P3849">
        <v>0</v>
      </c>
      <c r="Q3849">
        <v>0</v>
      </c>
      <c r="R3849" t="s">
        <v>40439</v>
      </c>
      <c r="S3849" t="s">
        <v>40588</v>
      </c>
      <c r="T3849" t="s">
        <v>42133</v>
      </c>
      <c r="U3849" t="s">
        <v>45924</v>
      </c>
      <c r="W3849" t="s">
        <v>55484</v>
      </c>
      <c r="X3849" t="s">
        <v>40440</v>
      </c>
    </row>
    <row r="3850" spans="1:24">
      <c r="A3850">
        <f>HYPERLINK("https://www.philgeps.gov.ph/GEPSNONPILOT/Tender/SplashBidNoticeAbstractUI.aspx?menuIndex=3&amp;refID=7045990&amp;Result=3","7045990")</f>
        <v>0</v>
      </c>
      <c r="B3850" t="s">
        <v>1434</v>
      </c>
      <c r="C3850" t="s">
        <v>4230</v>
      </c>
      <c r="D3850" t="s">
        <v>16209</v>
      </c>
      <c r="E3850" t="s">
        <v>19744</v>
      </c>
      <c r="F3850" t="s">
        <v>28200</v>
      </c>
      <c r="G3850" t="s">
        <v>28205</v>
      </c>
      <c r="H3850" t="s">
        <v>28215</v>
      </c>
      <c r="I3850" t="s">
        <v>5082</v>
      </c>
      <c r="J3850" t="s">
        <v>30854</v>
      </c>
      <c r="K3850" t="s">
        <v>36688</v>
      </c>
      <c r="M3850" t="s">
        <v>38501</v>
      </c>
      <c r="N3850" t="s">
        <v>40436</v>
      </c>
      <c r="O3850" t="s">
        <v>40437</v>
      </c>
      <c r="P3850">
        <v>0</v>
      </c>
      <c r="Q3850">
        <v>0</v>
      </c>
      <c r="R3850" t="s">
        <v>40439</v>
      </c>
      <c r="S3850" t="s">
        <v>40588</v>
      </c>
      <c r="T3850" t="s">
        <v>42108</v>
      </c>
      <c r="U3850" t="s">
        <v>45925</v>
      </c>
      <c r="V3850" t="s">
        <v>54175</v>
      </c>
      <c r="W3850" t="s">
        <v>38501</v>
      </c>
      <c r="X3850" t="s">
        <v>40440</v>
      </c>
    </row>
    <row r="3851" spans="1:24">
      <c r="A3851">
        <f>HYPERLINK("https://www.philgeps.gov.ph/GEPSNONPILOT/Tender/SplashBidNoticeAbstractUI.aspx?menuIndex=3&amp;refID=7045992&amp;Result=3","7045992")</f>
        <v>0</v>
      </c>
      <c r="B3851" t="s">
        <v>1435</v>
      </c>
      <c r="C3851" t="s">
        <v>6760</v>
      </c>
      <c r="D3851" t="s">
        <v>16199</v>
      </c>
      <c r="E3851" t="s">
        <v>18038</v>
      </c>
      <c r="F3851" t="s">
        <v>28198</v>
      </c>
      <c r="G3851" t="s">
        <v>28210</v>
      </c>
      <c r="H3851" t="s">
        <v>28215</v>
      </c>
      <c r="I3851" t="s">
        <v>4505</v>
      </c>
      <c r="J3851" t="s">
        <v>30855</v>
      </c>
      <c r="K3851" t="s">
        <v>36693</v>
      </c>
      <c r="M3851" t="s">
        <v>38502</v>
      </c>
      <c r="N3851" t="s">
        <v>40436</v>
      </c>
      <c r="O3851" t="s">
        <v>40437</v>
      </c>
      <c r="P3851">
        <v>0</v>
      </c>
      <c r="Q3851">
        <v>14</v>
      </c>
      <c r="R3851" t="s">
        <v>40439</v>
      </c>
      <c r="S3851" t="s">
        <v>40588</v>
      </c>
      <c r="T3851" t="s">
        <v>42131</v>
      </c>
      <c r="U3851" t="s">
        <v>45926</v>
      </c>
      <c r="W3851" t="s">
        <v>38502</v>
      </c>
      <c r="X3851" t="s">
        <v>40440</v>
      </c>
    </row>
    <row r="3852" spans="1:24">
      <c r="A3852">
        <f>HYPERLINK("https://www.philgeps.gov.ph/GEPSNONPILOT/Tender/SplashBidNoticeAbstractUI.aspx?menuIndex=3&amp;refID=7046012&amp;Result=3","7046012")</f>
        <v>0</v>
      </c>
      <c r="B3852" t="s">
        <v>1311</v>
      </c>
      <c r="C3852" t="s">
        <v>6761</v>
      </c>
      <c r="D3852" t="s">
        <v>16188</v>
      </c>
      <c r="E3852" t="s">
        <v>17596</v>
      </c>
      <c r="F3852" t="s">
        <v>28198</v>
      </c>
      <c r="G3852" t="s">
        <v>28206</v>
      </c>
      <c r="H3852" t="s">
        <v>28215</v>
      </c>
      <c r="I3852" t="s">
        <v>5100</v>
      </c>
      <c r="J3852" t="s">
        <v>30856</v>
      </c>
      <c r="K3852" t="s">
        <v>36693</v>
      </c>
      <c r="M3852" t="s">
        <v>38365</v>
      </c>
      <c r="N3852" t="s">
        <v>40436</v>
      </c>
      <c r="O3852" t="s">
        <v>40437</v>
      </c>
      <c r="P3852">
        <v>0</v>
      </c>
      <c r="Q3852">
        <v>0</v>
      </c>
      <c r="R3852" t="s">
        <v>40439</v>
      </c>
      <c r="S3852" t="s">
        <v>40588</v>
      </c>
      <c r="T3852" t="s">
        <v>42167</v>
      </c>
      <c r="U3852" t="s">
        <v>45927</v>
      </c>
      <c r="V3852" t="s">
        <v>54133</v>
      </c>
      <c r="W3852" t="s">
        <v>38365</v>
      </c>
      <c r="X3852" t="s">
        <v>40440</v>
      </c>
    </row>
    <row r="3853" spans="1:24">
      <c r="A3853">
        <f>HYPERLINK("https://www.philgeps.gov.ph/GEPSNONPILOT/Tender/SplashBidNoticeAbstractUI.aspx?menuIndex=3&amp;refID=7046004&amp;Result=3","7046004")</f>
        <v>0</v>
      </c>
      <c r="B3853" t="s">
        <v>1140</v>
      </c>
      <c r="C3853" t="s">
        <v>6762</v>
      </c>
      <c r="D3853" t="s">
        <v>16252</v>
      </c>
      <c r="E3853" t="s">
        <v>19745</v>
      </c>
      <c r="F3853" t="s">
        <v>28198</v>
      </c>
      <c r="G3853" t="s">
        <v>28205</v>
      </c>
      <c r="H3853" t="s">
        <v>28215</v>
      </c>
      <c r="I3853" t="s">
        <v>5082</v>
      </c>
      <c r="J3853" t="s">
        <v>30857</v>
      </c>
      <c r="K3853" t="s">
        <v>36706</v>
      </c>
      <c r="M3853" t="s">
        <v>38180</v>
      </c>
      <c r="N3853" t="s">
        <v>40436</v>
      </c>
      <c r="O3853" t="s">
        <v>40437</v>
      </c>
      <c r="P3853">
        <v>0</v>
      </c>
      <c r="Q3853">
        <v>0</v>
      </c>
      <c r="R3853" t="s">
        <v>40439</v>
      </c>
      <c r="S3853" t="s">
        <v>40588</v>
      </c>
      <c r="T3853" t="s">
        <v>42337</v>
      </c>
      <c r="U3853" t="s">
        <v>43698</v>
      </c>
      <c r="W3853" t="s">
        <v>38180</v>
      </c>
      <c r="X3853" t="s">
        <v>40440</v>
      </c>
    </row>
    <row r="3854" spans="1:24">
      <c r="A3854">
        <f>HYPERLINK("https://www.philgeps.gov.ph/GEPSNONPILOT/Tender/SplashBidNoticeAbstractUI.aspx?menuIndex=3&amp;refID=7046013&amp;Result=3","7046013")</f>
        <v>0</v>
      </c>
      <c r="B3854" t="s">
        <v>400</v>
      </c>
      <c r="C3854" t="s">
        <v>6763</v>
      </c>
      <c r="D3854" t="s">
        <v>16210</v>
      </c>
      <c r="E3854" t="s">
        <v>19746</v>
      </c>
      <c r="F3854" t="s">
        <v>28198</v>
      </c>
      <c r="G3854" t="s">
        <v>28207</v>
      </c>
      <c r="H3854" t="s">
        <v>28215</v>
      </c>
      <c r="I3854" t="s">
        <v>3422</v>
      </c>
      <c r="J3854" t="s">
        <v>30439</v>
      </c>
      <c r="K3854" t="s">
        <v>36689</v>
      </c>
      <c r="M3854" t="s">
        <v>37380</v>
      </c>
      <c r="N3854" t="s">
        <v>40436</v>
      </c>
      <c r="O3854" t="s">
        <v>40437</v>
      </c>
      <c r="P3854">
        <v>0</v>
      </c>
      <c r="Q3854">
        <v>3</v>
      </c>
      <c r="R3854" t="s">
        <v>40439</v>
      </c>
      <c r="S3854" t="s">
        <v>40588</v>
      </c>
      <c r="T3854" t="s">
        <v>42216</v>
      </c>
      <c r="U3854" t="s">
        <v>43296</v>
      </c>
      <c r="W3854" t="s">
        <v>37380</v>
      </c>
      <c r="X3854" t="s">
        <v>40440</v>
      </c>
    </row>
    <row r="3855" spans="1:24">
      <c r="A3855">
        <f>HYPERLINK("https://www.philgeps.gov.ph/GEPSNONPILOT/Tender/SplashBidNoticeAbstractUI.aspx?menuIndex=3&amp;refID=7046015&amp;Result=3","7046015")</f>
        <v>0</v>
      </c>
      <c r="B3855" t="s">
        <v>1398</v>
      </c>
      <c r="C3855" t="s">
        <v>6764</v>
      </c>
      <c r="D3855" t="s">
        <v>16210</v>
      </c>
      <c r="E3855" t="s">
        <v>19747</v>
      </c>
      <c r="F3855" t="s">
        <v>28198</v>
      </c>
      <c r="G3855" t="s">
        <v>28207</v>
      </c>
      <c r="H3855" t="s">
        <v>28215</v>
      </c>
      <c r="I3855" t="s">
        <v>4168</v>
      </c>
      <c r="J3855" t="s">
        <v>28601</v>
      </c>
      <c r="K3855" t="s">
        <v>36707</v>
      </c>
      <c r="M3855" t="s">
        <v>38463</v>
      </c>
      <c r="N3855" t="s">
        <v>40436</v>
      </c>
      <c r="O3855" t="s">
        <v>40437</v>
      </c>
      <c r="P3855">
        <v>0</v>
      </c>
      <c r="Q3855">
        <v>8</v>
      </c>
      <c r="R3855" t="s">
        <v>40439</v>
      </c>
      <c r="S3855" t="s">
        <v>40588</v>
      </c>
      <c r="T3855" t="s">
        <v>42146</v>
      </c>
      <c r="U3855" t="s">
        <v>45824</v>
      </c>
      <c r="W3855" t="s">
        <v>38463</v>
      </c>
      <c r="X3855" t="s">
        <v>40440</v>
      </c>
    </row>
    <row r="3856" spans="1:24">
      <c r="A3856">
        <f>HYPERLINK("https://www.philgeps.gov.ph/GEPSNONPILOT/Tender/SplashBidNoticeAbstractUI.aspx?menuIndex=3&amp;refID=7046009&amp;Result=3","7046009")</f>
        <v>0</v>
      </c>
      <c r="B3856" t="s">
        <v>1436</v>
      </c>
      <c r="C3856" t="s">
        <v>6765</v>
      </c>
      <c r="D3856" t="s">
        <v>16274</v>
      </c>
      <c r="E3856" t="s">
        <v>19748</v>
      </c>
      <c r="F3856" t="s">
        <v>28198</v>
      </c>
      <c r="G3856" t="s">
        <v>28205</v>
      </c>
      <c r="H3856" t="s">
        <v>28214</v>
      </c>
      <c r="I3856" t="s">
        <v>3797</v>
      </c>
      <c r="J3856" t="s">
        <v>28921</v>
      </c>
      <c r="K3856" t="s">
        <v>36697</v>
      </c>
      <c r="M3856" t="s">
        <v>38503</v>
      </c>
      <c r="N3856" t="s">
        <v>40436</v>
      </c>
      <c r="O3856" t="s">
        <v>40437</v>
      </c>
      <c r="P3856">
        <v>0</v>
      </c>
      <c r="Q3856">
        <v>0</v>
      </c>
      <c r="R3856" t="s">
        <v>40439</v>
      </c>
      <c r="S3856" t="s">
        <v>40588</v>
      </c>
      <c r="T3856" t="s">
        <v>42105</v>
      </c>
      <c r="U3856" t="s">
        <v>45928</v>
      </c>
      <c r="W3856" t="s">
        <v>38503</v>
      </c>
      <c r="X3856" t="s">
        <v>40440</v>
      </c>
    </row>
    <row r="3857" spans="1:24">
      <c r="A3857">
        <f>HYPERLINK("https://www.philgeps.gov.ph/GEPSNONPILOT/Tender/SplashBidNoticeAbstractUI.aspx?menuIndex=3&amp;refID=7046000&amp;Result=3","7046000")</f>
        <v>0</v>
      </c>
      <c r="B3857" t="s">
        <v>264</v>
      </c>
      <c r="C3857" t="s">
        <v>6766</v>
      </c>
      <c r="D3857" t="s">
        <v>16209</v>
      </c>
      <c r="E3857" t="s">
        <v>19749</v>
      </c>
      <c r="F3857" t="s">
        <v>28198</v>
      </c>
      <c r="G3857" t="s">
        <v>28210</v>
      </c>
      <c r="H3857" t="s">
        <v>28215</v>
      </c>
      <c r="I3857" t="s">
        <v>5103</v>
      </c>
      <c r="J3857" t="s">
        <v>30858</v>
      </c>
      <c r="K3857" t="s">
        <v>36698</v>
      </c>
      <c r="L3857" t="s">
        <v>264</v>
      </c>
      <c r="M3857" t="s">
        <v>37240</v>
      </c>
      <c r="N3857" t="s">
        <v>40436</v>
      </c>
      <c r="O3857" t="s">
        <v>40437</v>
      </c>
      <c r="P3857">
        <v>0</v>
      </c>
      <c r="Q3857">
        <v>0</v>
      </c>
      <c r="R3857" t="s">
        <v>40439</v>
      </c>
      <c r="S3857" t="s">
        <v>40588</v>
      </c>
      <c r="T3857" t="s">
        <v>42179</v>
      </c>
      <c r="U3857" t="s">
        <v>45929</v>
      </c>
      <c r="W3857" t="s">
        <v>37240</v>
      </c>
      <c r="X3857" t="s">
        <v>40440</v>
      </c>
    </row>
    <row r="3858" spans="1:24">
      <c r="A3858">
        <f>HYPERLINK("https://www.philgeps.gov.ph/GEPSNONPILOT/Tender/SplashBidNoticeAbstractUI.aspx?menuIndex=3&amp;refID=7046016&amp;Result=3","7046016")</f>
        <v>0</v>
      </c>
      <c r="B3858" t="s">
        <v>393</v>
      </c>
      <c r="C3858" t="s">
        <v>6767</v>
      </c>
      <c r="D3858" t="s">
        <v>16199</v>
      </c>
      <c r="E3858" t="s">
        <v>19750</v>
      </c>
      <c r="F3858" t="s">
        <v>28198</v>
      </c>
      <c r="G3858" t="s">
        <v>28206</v>
      </c>
      <c r="H3858" t="s">
        <v>28215</v>
      </c>
      <c r="I3858" t="s">
        <v>28257</v>
      </c>
      <c r="J3858" t="s">
        <v>30859</v>
      </c>
      <c r="K3858" t="s">
        <v>36691</v>
      </c>
      <c r="M3858" t="s">
        <v>37373</v>
      </c>
      <c r="N3858" t="s">
        <v>40436</v>
      </c>
      <c r="O3858" t="s">
        <v>40437</v>
      </c>
      <c r="P3858">
        <v>0</v>
      </c>
      <c r="Q3858">
        <v>0</v>
      </c>
      <c r="R3858" t="s">
        <v>40439</v>
      </c>
      <c r="S3858" t="s">
        <v>40588</v>
      </c>
      <c r="T3858" t="s">
        <v>42157</v>
      </c>
      <c r="U3858" t="s">
        <v>45930</v>
      </c>
      <c r="W3858" t="s">
        <v>37373</v>
      </c>
      <c r="X3858" t="s">
        <v>40440</v>
      </c>
    </row>
    <row r="3859" spans="1:24">
      <c r="A3859">
        <f>HYPERLINK("https://www.philgeps.gov.ph/GEPSNONPILOT/Tender/SplashBidNoticeAbstractUI.aspx?menuIndex=3&amp;refID=7046002&amp;Result=3","7046002")</f>
        <v>0</v>
      </c>
      <c r="B3859" t="s">
        <v>1366</v>
      </c>
      <c r="C3859" t="s">
        <v>6768</v>
      </c>
      <c r="D3859" t="s">
        <v>16210</v>
      </c>
      <c r="E3859" t="s">
        <v>19751</v>
      </c>
      <c r="F3859" t="s">
        <v>28198</v>
      </c>
      <c r="G3859" t="s">
        <v>28205</v>
      </c>
      <c r="H3859" t="s">
        <v>28217</v>
      </c>
      <c r="I3859" t="s">
        <v>3797</v>
      </c>
      <c r="J3859" t="s">
        <v>28414</v>
      </c>
      <c r="K3859" t="s">
        <v>36704</v>
      </c>
      <c r="M3859" t="s">
        <v>38426</v>
      </c>
      <c r="N3859" t="s">
        <v>40436</v>
      </c>
      <c r="O3859" t="s">
        <v>40437</v>
      </c>
      <c r="P3859">
        <v>0</v>
      </c>
      <c r="Q3859">
        <v>2</v>
      </c>
      <c r="R3859" t="s">
        <v>40439</v>
      </c>
      <c r="S3859" t="s">
        <v>40588</v>
      </c>
      <c r="T3859" t="s">
        <v>42379</v>
      </c>
      <c r="U3859" t="s">
        <v>45931</v>
      </c>
      <c r="W3859" t="s">
        <v>38426</v>
      </c>
      <c r="X3859" t="s">
        <v>40440</v>
      </c>
    </row>
    <row r="3860" spans="1:24">
      <c r="A3860">
        <f>HYPERLINK("https://www.philgeps.gov.ph/GEPSNONPILOT/Tender/SplashBidNoticeAbstractUI.aspx?menuIndex=3&amp;refID=7046014&amp;Result=3","7046014")</f>
        <v>0</v>
      </c>
      <c r="B3860" t="s">
        <v>1437</v>
      </c>
      <c r="C3860" t="s">
        <v>6769</v>
      </c>
      <c r="D3860" t="s">
        <v>16199</v>
      </c>
      <c r="E3860" t="s">
        <v>19752</v>
      </c>
      <c r="F3860" t="s">
        <v>28198</v>
      </c>
      <c r="G3860" t="s">
        <v>28205</v>
      </c>
      <c r="H3860" t="s">
        <v>28214</v>
      </c>
      <c r="I3860" t="s">
        <v>3797</v>
      </c>
      <c r="J3860" t="s">
        <v>30860</v>
      </c>
      <c r="K3860" t="s">
        <v>36799</v>
      </c>
      <c r="M3860" t="s">
        <v>38504</v>
      </c>
      <c r="N3860" t="s">
        <v>40436</v>
      </c>
      <c r="O3860" t="s">
        <v>40437</v>
      </c>
      <c r="P3860">
        <v>0</v>
      </c>
      <c r="Q3860">
        <v>1</v>
      </c>
      <c r="R3860" t="s">
        <v>40439</v>
      </c>
      <c r="S3860" t="s">
        <v>40588</v>
      </c>
      <c r="T3860" t="s">
        <v>42143</v>
      </c>
      <c r="U3860" t="s">
        <v>45932</v>
      </c>
      <c r="V3860" t="s">
        <v>54176</v>
      </c>
      <c r="W3860" t="s">
        <v>38504</v>
      </c>
      <c r="X3860" t="s">
        <v>40440</v>
      </c>
    </row>
    <row r="3861" spans="1:24">
      <c r="A3861">
        <f>HYPERLINK("https://www.philgeps.gov.ph/GEPSNONPILOT/Tender/SplashBidNoticeAbstractUI.aspx?menuIndex=3&amp;refID=7046008&amp;Result=3","7046008")</f>
        <v>0</v>
      </c>
      <c r="B3861" t="s">
        <v>1313</v>
      </c>
      <c r="C3861" t="s">
        <v>6770</v>
      </c>
      <c r="D3861" t="s">
        <v>16209</v>
      </c>
      <c r="E3861" t="s">
        <v>19753</v>
      </c>
      <c r="F3861" t="s">
        <v>28198</v>
      </c>
      <c r="G3861" t="s">
        <v>28205</v>
      </c>
      <c r="H3861" t="s">
        <v>28214</v>
      </c>
      <c r="I3861" t="s">
        <v>5100</v>
      </c>
      <c r="J3861" t="s">
        <v>30861</v>
      </c>
      <c r="K3861" t="s">
        <v>36715</v>
      </c>
      <c r="M3861" t="s">
        <v>38368</v>
      </c>
      <c r="N3861" t="s">
        <v>40436</v>
      </c>
      <c r="O3861" t="s">
        <v>40437</v>
      </c>
      <c r="P3861">
        <v>0</v>
      </c>
      <c r="Q3861">
        <v>0</v>
      </c>
      <c r="R3861" t="s">
        <v>40439</v>
      </c>
      <c r="S3861" t="s">
        <v>40588</v>
      </c>
      <c r="T3861" t="s">
        <v>42363</v>
      </c>
      <c r="U3861" t="s">
        <v>45933</v>
      </c>
      <c r="W3861" t="s">
        <v>38368</v>
      </c>
      <c r="X3861" t="s">
        <v>40440</v>
      </c>
    </row>
    <row r="3862" spans="1:24">
      <c r="A3862">
        <f>HYPERLINK("https://www.philgeps.gov.ph/GEPSNONPILOT/Tender/SplashBidNoticeAbstractUI.aspx?menuIndex=3&amp;refID=7046018&amp;Result=3","7046018")</f>
        <v>0</v>
      </c>
      <c r="B3862" t="s">
        <v>464</v>
      </c>
      <c r="C3862" t="s">
        <v>6771</v>
      </c>
      <c r="D3862" t="s">
        <v>16214</v>
      </c>
      <c r="E3862" t="s">
        <v>19754</v>
      </c>
      <c r="F3862" t="s">
        <v>28198</v>
      </c>
      <c r="G3862" t="s">
        <v>28205</v>
      </c>
      <c r="H3862" t="s">
        <v>28215</v>
      </c>
      <c r="I3862" t="s">
        <v>5082</v>
      </c>
      <c r="J3862" t="s">
        <v>30862</v>
      </c>
      <c r="K3862" t="s">
        <v>36694</v>
      </c>
      <c r="M3862" t="s">
        <v>37449</v>
      </c>
      <c r="N3862" t="s">
        <v>40436</v>
      </c>
      <c r="O3862" t="s">
        <v>40437</v>
      </c>
      <c r="P3862">
        <v>0</v>
      </c>
      <c r="Q3862">
        <v>2</v>
      </c>
      <c r="R3862" t="s">
        <v>40439</v>
      </c>
      <c r="S3862" t="s">
        <v>40588</v>
      </c>
      <c r="T3862" t="s">
        <v>42229</v>
      </c>
      <c r="U3862" t="s">
        <v>45934</v>
      </c>
      <c r="W3862" t="s">
        <v>37449</v>
      </c>
      <c r="X3862" t="s">
        <v>40440</v>
      </c>
    </row>
    <row r="3863" spans="1:24">
      <c r="A3863">
        <f>HYPERLINK("https://www.philgeps.gov.ph/GEPSNONPILOT/Tender/SplashBidNoticeAbstractUI.aspx?menuIndex=3&amp;refID=7046036&amp;Result=3","7046036")</f>
        <v>0</v>
      </c>
      <c r="B3863" t="s">
        <v>205</v>
      </c>
      <c r="C3863" t="s">
        <v>6772</v>
      </c>
      <c r="D3863" t="s">
        <v>16209</v>
      </c>
      <c r="E3863" t="s">
        <v>19755</v>
      </c>
      <c r="F3863" t="s">
        <v>28198</v>
      </c>
      <c r="G3863" t="s">
        <v>28205</v>
      </c>
      <c r="H3863" t="s">
        <v>28214</v>
      </c>
      <c r="I3863" t="s">
        <v>3797</v>
      </c>
      <c r="J3863" t="s">
        <v>30863</v>
      </c>
      <c r="K3863" t="s">
        <v>36710</v>
      </c>
      <c r="M3863" t="s">
        <v>37181</v>
      </c>
      <c r="N3863" t="s">
        <v>40436</v>
      </c>
      <c r="O3863" t="s">
        <v>40437</v>
      </c>
      <c r="P3863">
        <v>0</v>
      </c>
      <c r="Q3863">
        <v>0</v>
      </c>
      <c r="R3863" t="s">
        <v>40439</v>
      </c>
      <c r="S3863" t="s">
        <v>40588</v>
      </c>
      <c r="T3863" t="s">
        <v>42181</v>
      </c>
      <c r="U3863" t="s">
        <v>45935</v>
      </c>
      <c r="W3863" t="s">
        <v>37181</v>
      </c>
      <c r="X3863" t="s">
        <v>40440</v>
      </c>
    </row>
    <row r="3864" spans="1:24">
      <c r="A3864">
        <f>HYPERLINK("https://www.philgeps.gov.ph/GEPSNONPILOT/Tender/SplashBidNoticeAbstractUI.aspx?menuIndex=3&amp;refID=7046027&amp;Result=3","7046027")</f>
        <v>0</v>
      </c>
      <c r="B3864" t="s">
        <v>1421</v>
      </c>
      <c r="C3864" t="s">
        <v>6773</v>
      </c>
      <c r="D3864" t="s">
        <v>16230</v>
      </c>
      <c r="E3864" t="s">
        <v>19706</v>
      </c>
      <c r="F3864" t="s">
        <v>28198</v>
      </c>
      <c r="G3864" t="s">
        <v>28210</v>
      </c>
      <c r="H3864" t="s">
        <v>28215</v>
      </c>
      <c r="I3864" t="s">
        <v>28237</v>
      </c>
      <c r="J3864" t="s">
        <v>30864</v>
      </c>
      <c r="K3864" t="s">
        <v>36698</v>
      </c>
      <c r="M3864" t="s">
        <v>38486</v>
      </c>
      <c r="N3864" t="s">
        <v>40436</v>
      </c>
      <c r="O3864" t="s">
        <v>40437</v>
      </c>
      <c r="P3864">
        <v>0</v>
      </c>
      <c r="Q3864">
        <v>1</v>
      </c>
      <c r="R3864" t="s">
        <v>40439</v>
      </c>
      <c r="S3864" t="s">
        <v>40588</v>
      </c>
      <c r="T3864" t="s">
        <v>42161</v>
      </c>
      <c r="U3864" t="s">
        <v>45936</v>
      </c>
      <c r="W3864" t="s">
        <v>38486</v>
      </c>
      <c r="X3864" t="s">
        <v>40440</v>
      </c>
    </row>
    <row r="3865" spans="1:24">
      <c r="A3865">
        <f>HYPERLINK("https://www.philgeps.gov.ph/GEPSNONPILOT/Tender/SplashBidNoticeAbstractUI.aspx?menuIndex=3&amp;refID=7046024&amp;Result=3","7046024")</f>
        <v>0</v>
      </c>
      <c r="B3865" t="s">
        <v>103</v>
      </c>
      <c r="C3865" t="s">
        <v>6774</v>
      </c>
      <c r="D3865" t="s">
        <v>16230</v>
      </c>
      <c r="E3865" t="s">
        <v>19756</v>
      </c>
      <c r="F3865" t="s">
        <v>28198</v>
      </c>
      <c r="G3865" t="s">
        <v>28206</v>
      </c>
      <c r="H3865" t="s">
        <v>28215</v>
      </c>
      <c r="I3865" t="s">
        <v>5100</v>
      </c>
      <c r="J3865" t="s">
        <v>30865</v>
      </c>
      <c r="K3865" t="s">
        <v>36706</v>
      </c>
      <c r="M3865" t="s">
        <v>37077</v>
      </c>
      <c r="N3865" t="s">
        <v>40436</v>
      </c>
      <c r="O3865" t="s">
        <v>40437</v>
      </c>
      <c r="P3865">
        <v>0</v>
      </c>
      <c r="Q3865">
        <v>0</v>
      </c>
      <c r="R3865" t="s">
        <v>40439</v>
      </c>
      <c r="S3865" t="s">
        <v>40588</v>
      </c>
      <c r="T3865" t="s">
        <v>42158</v>
      </c>
      <c r="U3865" t="s">
        <v>45937</v>
      </c>
      <c r="V3865" t="s">
        <v>54177</v>
      </c>
      <c r="W3865" t="s">
        <v>37077</v>
      </c>
      <c r="X3865" t="s">
        <v>40440</v>
      </c>
    </row>
    <row r="3866" spans="1:24">
      <c r="A3866">
        <f>HYPERLINK("https://www.philgeps.gov.ph/GEPSNONPILOT/Tender/SplashBidNoticeAbstractUI.aspx?menuIndex=3&amp;refID=7046022&amp;Result=3","7046022")</f>
        <v>0</v>
      </c>
      <c r="B3866" t="s">
        <v>658</v>
      </c>
      <c r="C3866" t="s">
        <v>6775</v>
      </c>
      <c r="D3866" t="s">
        <v>16264</v>
      </c>
      <c r="E3866" t="s">
        <v>19757</v>
      </c>
      <c r="F3866" t="s">
        <v>28198</v>
      </c>
      <c r="G3866" t="s">
        <v>28207</v>
      </c>
      <c r="H3866" t="s">
        <v>28215</v>
      </c>
      <c r="I3866" t="s">
        <v>28265</v>
      </c>
      <c r="J3866" t="s">
        <v>30866</v>
      </c>
      <c r="K3866" t="s">
        <v>36707</v>
      </c>
      <c r="M3866" t="s">
        <v>37654</v>
      </c>
      <c r="N3866" t="s">
        <v>40436</v>
      </c>
      <c r="O3866" t="s">
        <v>40437</v>
      </c>
      <c r="P3866">
        <v>0</v>
      </c>
      <c r="Q3866">
        <v>0</v>
      </c>
      <c r="R3866" t="s">
        <v>40439</v>
      </c>
      <c r="S3866" t="s">
        <v>40588</v>
      </c>
      <c r="T3866" t="s">
        <v>42266</v>
      </c>
      <c r="U3866" t="s">
        <v>45938</v>
      </c>
      <c r="W3866" t="s">
        <v>37654</v>
      </c>
      <c r="X3866" t="s">
        <v>40440</v>
      </c>
    </row>
    <row r="3867" spans="1:24">
      <c r="A3867">
        <f>HYPERLINK("https://www.philgeps.gov.ph/GEPSNONPILOT/Tender/SplashBidNoticeAbstractUI.aspx?menuIndex=3&amp;refID=7046026&amp;Result=3","7046026")</f>
        <v>0</v>
      </c>
      <c r="B3867" t="s">
        <v>332</v>
      </c>
      <c r="C3867" t="s">
        <v>6776</v>
      </c>
      <c r="E3867" t="s">
        <v>19758</v>
      </c>
      <c r="F3867" t="s">
        <v>28198</v>
      </c>
      <c r="G3867" t="s">
        <v>28207</v>
      </c>
      <c r="H3867" t="s">
        <v>28215</v>
      </c>
      <c r="I3867" t="s">
        <v>8888</v>
      </c>
      <c r="J3867" t="s">
        <v>30867</v>
      </c>
      <c r="K3867" t="s">
        <v>36689</v>
      </c>
      <c r="M3867" t="s">
        <v>37310</v>
      </c>
      <c r="N3867" t="s">
        <v>40436</v>
      </c>
      <c r="O3867" t="s">
        <v>40437</v>
      </c>
      <c r="P3867">
        <v>0</v>
      </c>
      <c r="Q3867">
        <v>1</v>
      </c>
      <c r="R3867" t="s">
        <v>40439</v>
      </c>
      <c r="S3867" t="s">
        <v>40588</v>
      </c>
      <c r="T3867" t="s">
        <v>42176</v>
      </c>
      <c r="U3867" t="s">
        <v>45939</v>
      </c>
      <c r="W3867" t="s">
        <v>37310</v>
      </c>
      <c r="X3867" t="s">
        <v>40440</v>
      </c>
    </row>
    <row r="3868" spans="1:24">
      <c r="A3868">
        <f>HYPERLINK("https://www.philgeps.gov.ph/GEPSNONPILOT/Tender/SplashBidNoticeAbstractUI.aspx?menuIndex=3&amp;refID=7046030&amp;Result=3","7046030")</f>
        <v>0</v>
      </c>
      <c r="B3868" t="s">
        <v>1234</v>
      </c>
      <c r="C3868" t="s">
        <v>6777</v>
      </c>
      <c r="D3868" t="s">
        <v>16260</v>
      </c>
      <c r="E3868" t="s">
        <v>19759</v>
      </c>
      <c r="F3868" t="s">
        <v>28198</v>
      </c>
      <c r="G3868" t="s">
        <v>28207</v>
      </c>
      <c r="H3868" t="s">
        <v>28215</v>
      </c>
      <c r="I3868" t="s">
        <v>5100</v>
      </c>
      <c r="J3868" t="s">
        <v>30868</v>
      </c>
      <c r="K3868" t="s">
        <v>36688</v>
      </c>
      <c r="M3868" t="s">
        <v>38283</v>
      </c>
      <c r="N3868" t="s">
        <v>40436</v>
      </c>
      <c r="O3868" t="s">
        <v>40437</v>
      </c>
      <c r="P3868">
        <v>0</v>
      </c>
      <c r="Q3868">
        <v>0</v>
      </c>
      <c r="R3868" t="s">
        <v>40439</v>
      </c>
      <c r="S3868" t="s">
        <v>40588</v>
      </c>
      <c r="T3868" t="s">
        <v>42158</v>
      </c>
      <c r="U3868" t="s">
        <v>45940</v>
      </c>
      <c r="W3868" t="s">
        <v>38283</v>
      </c>
      <c r="X3868" t="s">
        <v>40440</v>
      </c>
    </row>
    <row r="3869" spans="1:24">
      <c r="A3869">
        <f>HYPERLINK("https://www.philgeps.gov.ph/GEPSNONPILOT/Tender/SplashBidNoticeAbstractUI.aspx?menuIndex=3&amp;refID=7046023&amp;Result=3","7046023")</f>
        <v>0</v>
      </c>
      <c r="B3869" t="s">
        <v>1157</v>
      </c>
      <c r="C3869" t="s">
        <v>6778</v>
      </c>
      <c r="D3869" t="s">
        <v>16193</v>
      </c>
      <c r="E3869" t="s">
        <v>19760</v>
      </c>
      <c r="F3869" t="s">
        <v>28198</v>
      </c>
      <c r="G3869" t="s">
        <v>28205</v>
      </c>
      <c r="H3869" t="s">
        <v>28215</v>
      </c>
      <c r="I3869" t="s">
        <v>5100</v>
      </c>
      <c r="J3869" t="s">
        <v>30869</v>
      </c>
      <c r="K3869" t="s">
        <v>36689</v>
      </c>
      <c r="M3869" t="s">
        <v>38197</v>
      </c>
      <c r="N3869" t="s">
        <v>40436</v>
      </c>
      <c r="O3869" t="s">
        <v>40437</v>
      </c>
      <c r="P3869">
        <v>0</v>
      </c>
      <c r="Q3869">
        <v>0</v>
      </c>
      <c r="R3869" t="s">
        <v>40439</v>
      </c>
      <c r="S3869" t="s">
        <v>40588</v>
      </c>
      <c r="T3869" t="s">
        <v>42139</v>
      </c>
      <c r="U3869" t="s">
        <v>45941</v>
      </c>
      <c r="W3869" t="s">
        <v>55484</v>
      </c>
      <c r="X3869" t="s">
        <v>40440</v>
      </c>
    </row>
    <row r="3870" spans="1:24">
      <c r="A3870">
        <f>HYPERLINK("https://www.philgeps.gov.ph/GEPSNONPILOT/Tender/SplashBidNoticeAbstractUI.aspx?menuIndex=3&amp;refID=7046019&amp;Result=3","7046019")</f>
        <v>0</v>
      </c>
      <c r="B3870" t="s">
        <v>386</v>
      </c>
      <c r="C3870" t="s">
        <v>6779</v>
      </c>
      <c r="D3870" t="s">
        <v>16259</v>
      </c>
      <c r="E3870" t="s">
        <v>19761</v>
      </c>
      <c r="F3870" t="s">
        <v>28198</v>
      </c>
      <c r="G3870" t="s">
        <v>28207</v>
      </c>
      <c r="H3870" t="s">
        <v>28215</v>
      </c>
      <c r="I3870" t="s">
        <v>4222</v>
      </c>
      <c r="J3870" t="s">
        <v>28368</v>
      </c>
      <c r="K3870" t="s">
        <v>36688</v>
      </c>
      <c r="M3870" t="s">
        <v>37366</v>
      </c>
      <c r="N3870" t="s">
        <v>40436</v>
      </c>
      <c r="O3870" t="s">
        <v>40437</v>
      </c>
      <c r="P3870">
        <v>0</v>
      </c>
      <c r="Q3870">
        <v>0</v>
      </c>
      <c r="R3870" t="s">
        <v>40439</v>
      </c>
      <c r="S3870" t="s">
        <v>40588</v>
      </c>
      <c r="T3870" t="s">
        <v>42133</v>
      </c>
      <c r="U3870" t="s">
        <v>45807</v>
      </c>
      <c r="V3870" t="s">
        <v>53872</v>
      </c>
      <c r="W3870" t="s">
        <v>37366</v>
      </c>
      <c r="X3870" t="s">
        <v>40440</v>
      </c>
    </row>
    <row r="3871" spans="1:24">
      <c r="A3871">
        <f>HYPERLINK("https://www.philgeps.gov.ph/GEPSNONPILOT/Tender/SplashBidNoticeAbstractUI.aspx?menuIndex=3&amp;refID=7046046&amp;Result=3","7046046")</f>
        <v>0</v>
      </c>
      <c r="B3871" t="s">
        <v>332</v>
      </c>
      <c r="C3871" t="s">
        <v>6780</v>
      </c>
      <c r="E3871" t="s">
        <v>19762</v>
      </c>
      <c r="F3871" t="s">
        <v>28198</v>
      </c>
      <c r="G3871" t="s">
        <v>28207</v>
      </c>
      <c r="H3871" t="s">
        <v>28215</v>
      </c>
      <c r="I3871" t="s">
        <v>28234</v>
      </c>
      <c r="J3871" t="s">
        <v>28438</v>
      </c>
      <c r="K3871" t="s">
        <v>36689</v>
      </c>
      <c r="M3871" t="s">
        <v>37310</v>
      </c>
      <c r="N3871" t="s">
        <v>40436</v>
      </c>
      <c r="O3871" t="s">
        <v>40437</v>
      </c>
      <c r="P3871">
        <v>0</v>
      </c>
      <c r="Q3871">
        <v>0</v>
      </c>
      <c r="R3871" t="s">
        <v>40439</v>
      </c>
      <c r="S3871" t="s">
        <v>40588</v>
      </c>
      <c r="T3871" t="s">
        <v>42176</v>
      </c>
      <c r="U3871" t="s">
        <v>45942</v>
      </c>
      <c r="W3871" t="s">
        <v>37310</v>
      </c>
      <c r="X3871" t="s">
        <v>40440</v>
      </c>
    </row>
    <row r="3872" spans="1:24">
      <c r="A3872">
        <f>HYPERLINK("https://www.philgeps.gov.ph/GEPSNONPILOT/Tender/SplashBidNoticeAbstractUI.aspx?menuIndex=3&amp;refID=7046020&amp;Result=3","7046020")</f>
        <v>0</v>
      </c>
      <c r="B3872" t="s">
        <v>1438</v>
      </c>
      <c r="C3872" t="s">
        <v>6781</v>
      </c>
      <c r="D3872" t="s">
        <v>16206</v>
      </c>
      <c r="E3872" t="s">
        <v>19763</v>
      </c>
      <c r="F3872" t="s">
        <v>28198</v>
      </c>
      <c r="G3872" t="s">
        <v>28207</v>
      </c>
      <c r="H3872" t="s">
        <v>28215</v>
      </c>
      <c r="I3872" t="s">
        <v>4168</v>
      </c>
      <c r="J3872" t="s">
        <v>28679</v>
      </c>
      <c r="K3872" t="s">
        <v>36689</v>
      </c>
      <c r="M3872" t="s">
        <v>38505</v>
      </c>
      <c r="N3872" t="s">
        <v>40436</v>
      </c>
      <c r="O3872" t="s">
        <v>40437</v>
      </c>
      <c r="P3872">
        <v>0</v>
      </c>
      <c r="Q3872">
        <v>0</v>
      </c>
      <c r="R3872" t="s">
        <v>40439</v>
      </c>
      <c r="S3872" t="s">
        <v>40588</v>
      </c>
      <c r="T3872" t="s">
        <v>42190</v>
      </c>
      <c r="U3872" t="s">
        <v>45943</v>
      </c>
      <c r="W3872" t="s">
        <v>38505</v>
      </c>
      <c r="X3872" t="s">
        <v>40440</v>
      </c>
    </row>
    <row r="3873" spans="1:24">
      <c r="A3873">
        <f>HYPERLINK("https://www.philgeps.gov.ph/GEPSNONPILOT/Tender/SplashBidNoticeAbstractUI.aspx?menuIndex=3&amp;refID=7046038&amp;Result=3","7046038")</f>
        <v>0</v>
      </c>
      <c r="B3873" t="s">
        <v>1254</v>
      </c>
      <c r="C3873" t="s">
        <v>6782</v>
      </c>
      <c r="D3873" t="s">
        <v>16201</v>
      </c>
      <c r="E3873" t="s">
        <v>19764</v>
      </c>
      <c r="F3873" t="s">
        <v>28198</v>
      </c>
      <c r="G3873" t="s">
        <v>28207</v>
      </c>
      <c r="H3873" t="s">
        <v>28215</v>
      </c>
      <c r="I3873" t="s">
        <v>5100</v>
      </c>
      <c r="J3873" t="s">
        <v>28880</v>
      </c>
      <c r="K3873" t="s">
        <v>36693</v>
      </c>
      <c r="M3873" t="s">
        <v>38304</v>
      </c>
      <c r="N3873" t="s">
        <v>40436</v>
      </c>
      <c r="O3873" t="s">
        <v>40437</v>
      </c>
      <c r="P3873">
        <v>0</v>
      </c>
      <c r="Q3873">
        <v>0</v>
      </c>
      <c r="R3873" t="s">
        <v>40439</v>
      </c>
      <c r="S3873" t="s">
        <v>40588</v>
      </c>
      <c r="T3873" t="s">
        <v>42158</v>
      </c>
      <c r="U3873" t="s">
        <v>45944</v>
      </c>
      <c r="W3873" t="s">
        <v>38304</v>
      </c>
      <c r="X3873" t="s">
        <v>40440</v>
      </c>
    </row>
    <row r="3874" spans="1:24">
      <c r="A3874">
        <f>HYPERLINK("https://www.philgeps.gov.ph/GEPSNONPILOT/Tender/SplashBidNoticeAbstractUI.aspx?menuIndex=3&amp;refID=7046035&amp;Result=3","7046035")</f>
        <v>0</v>
      </c>
      <c r="B3874" t="s">
        <v>1268</v>
      </c>
      <c r="C3874" t="s">
        <v>6783</v>
      </c>
      <c r="D3874" t="s">
        <v>16228</v>
      </c>
      <c r="E3874" t="s">
        <v>19765</v>
      </c>
      <c r="F3874" t="s">
        <v>28198</v>
      </c>
      <c r="G3874" t="s">
        <v>28205</v>
      </c>
      <c r="H3874" t="s">
        <v>28215</v>
      </c>
      <c r="I3874" t="s">
        <v>28248</v>
      </c>
      <c r="J3874" t="s">
        <v>28361</v>
      </c>
      <c r="K3874" t="s">
        <v>36707</v>
      </c>
      <c r="M3874" t="s">
        <v>38318</v>
      </c>
      <c r="N3874" t="s">
        <v>40436</v>
      </c>
      <c r="O3874" t="s">
        <v>40437</v>
      </c>
      <c r="P3874">
        <v>0</v>
      </c>
      <c r="Q3874">
        <v>2</v>
      </c>
      <c r="R3874" t="s">
        <v>40439</v>
      </c>
      <c r="S3874" t="s">
        <v>40588</v>
      </c>
      <c r="T3874" t="s">
        <v>42102</v>
      </c>
      <c r="U3874" t="s">
        <v>45945</v>
      </c>
      <c r="W3874" t="s">
        <v>38318</v>
      </c>
      <c r="X3874" t="s">
        <v>40440</v>
      </c>
    </row>
    <row r="3875" spans="1:24">
      <c r="A3875">
        <f>HYPERLINK("https://www.philgeps.gov.ph/GEPSNONPILOT/Tender/SplashBidNoticeAbstractUI.aspx?menuIndex=3&amp;refID=7046041&amp;Result=3","7046041")</f>
        <v>0</v>
      </c>
      <c r="B3875" t="s">
        <v>269</v>
      </c>
      <c r="C3875" t="s">
        <v>6784</v>
      </c>
      <c r="D3875" t="s">
        <v>16202</v>
      </c>
      <c r="E3875" t="s">
        <v>19766</v>
      </c>
      <c r="F3875" t="s">
        <v>28198</v>
      </c>
      <c r="G3875" t="s">
        <v>28207</v>
      </c>
      <c r="H3875" t="s">
        <v>28215</v>
      </c>
      <c r="I3875" t="s">
        <v>4200</v>
      </c>
      <c r="J3875" t="s">
        <v>28862</v>
      </c>
      <c r="K3875" t="s">
        <v>36689</v>
      </c>
      <c r="M3875" t="s">
        <v>37246</v>
      </c>
      <c r="N3875" t="s">
        <v>40436</v>
      </c>
      <c r="O3875" t="s">
        <v>40437</v>
      </c>
      <c r="P3875">
        <v>0</v>
      </c>
      <c r="Q3875">
        <v>0</v>
      </c>
      <c r="R3875" t="s">
        <v>40439</v>
      </c>
      <c r="S3875" t="s">
        <v>40588</v>
      </c>
      <c r="T3875" t="s">
        <v>42131</v>
      </c>
      <c r="U3875" t="s">
        <v>45946</v>
      </c>
      <c r="W3875" t="s">
        <v>37246</v>
      </c>
      <c r="X3875" t="s">
        <v>40440</v>
      </c>
    </row>
    <row r="3876" spans="1:24">
      <c r="A3876">
        <f>HYPERLINK("https://www.philgeps.gov.ph/GEPSNONPILOT/Tender/SplashBidNoticeAbstractUI.aspx?menuIndex=3&amp;refID=7046037&amp;Result=3","7046037")</f>
        <v>0</v>
      </c>
      <c r="B3876" t="s">
        <v>1140</v>
      </c>
      <c r="C3876" t="s">
        <v>6785</v>
      </c>
      <c r="D3876" t="s">
        <v>16252</v>
      </c>
      <c r="E3876" t="s">
        <v>19767</v>
      </c>
      <c r="F3876" t="s">
        <v>28198</v>
      </c>
      <c r="G3876" t="s">
        <v>28205</v>
      </c>
      <c r="H3876" t="s">
        <v>28215</v>
      </c>
      <c r="I3876" t="s">
        <v>5071</v>
      </c>
      <c r="J3876" t="s">
        <v>30870</v>
      </c>
      <c r="K3876" t="s">
        <v>36706</v>
      </c>
      <c r="M3876" t="s">
        <v>38180</v>
      </c>
      <c r="N3876" t="s">
        <v>40436</v>
      </c>
      <c r="O3876" t="s">
        <v>40437</v>
      </c>
      <c r="P3876">
        <v>0</v>
      </c>
      <c r="Q3876">
        <v>0</v>
      </c>
      <c r="R3876" t="s">
        <v>40439</v>
      </c>
      <c r="S3876" t="s">
        <v>40588</v>
      </c>
      <c r="T3876" t="s">
        <v>42337</v>
      </c>
      <c r="U3876" t="s">
        <v>45785</v>
      </c>
      <c r="W3876" t="s">
        <v>38180</v>
      </c>
      <c r="X3876" t="s">
        <v>40440</v>
      </c>
    </row>
    <row r="3877" spans="1:24">
      <c r="A3877">
        <f>HYPERLINK("https://www.philgeps.gov.ph/GEPSNONPILOT/Tender/SplashBidNoticeAbstractUI.aspx?menuIndex=3&amp;refID=7046034&amp;Result=3","7046034")</f>
        <v>0</v>
      </c>
      <c r="B3877" t="s">
        <v>1439</v>
      </c>
      <c r="C3877" t="s">
        <v>6786</v>
      </c>
      <c r="D3877" t="s">
        <v>16210</v>
      </c>
      <c r="E3877" t="s">
        <v>19768</v>
      </c>
      <c r="F3877" t="s">
        <v>28198</v>
      </c>
      <c r="G3877" t="s">
        <v>28207</v>
      </c>
      <c r="H3877" t="s">
        <v>28215</v>
      </c>
      <c r="I3877" t="s">
        <v>6786</v>
      </c>
      <c r="J3877" t="s">
        <v>30871</v>
      </c>
      <c r="K3877" t="s">
        <v>36688</v>
      </c>
      <c r="M3877" t="s">
        <v>38506</v>
      </c>
      <c r="N3877" t="s">
        <v>40436</v>
      </c>
      <c r="O3877" t="s">
        <v>40437</v>
      </c>
      <c r="P3877">
        <v>0</v>
      </c>
      <c r="Q3877">
        <v>3</v>
      </c>
      <c r="R3877" t="s">
        <v>40439</v>
      </c>
      <c r="S3877" t="s">
        <v>40588</v>
      </c>
      <c r="T3877" t="s">
        <v>42158</v>
      </c>
      <c r="U3877" t="s">
        <v>45947</v>
      </c>
      <c r="W3877" t="s">
        <v>38506</v>
      </c>
      <c r="X3877" t="s">
        <v>40440</v>
      </c>
    </row>
    <row r="3878" spans="1:24">
      <c r="A3878">
        <f>HYPERLINK("https://www.philgeps.gov.ph/GEPSNONPILOT/Tender/SplashBidNoticeAbstractUI.aspx?menuIndex=3&amp;refID=7046040&amp;Result=3","7046040")</f>
        <v>0</v>
      </c>
      <c r="B3878" t="s">
        <v>1366</v>
      </c>
      <c r="C3878" t="s">
        <v>6768</v>
      </c>
      <c r="D3878" t="s">
        <v>16210</v>
      </c>
      <c r="E3878" t="s">
        <v>19769</v>
      </c>
      <c r="F3878" t="s">
        <v>28198</v>
      </c>
      <c r="G3878" t="s">
        <v>28205</v>
      </c>
      <c r="H3878" t="s">
        <v>28217</v>
      </c>
      <c r="I3878" t="s">
        <v>3797</v>
      </c>
      <c r="J3878" t="s">
        <v>28414</v>
      </c>
      <c r="K3878" t="s">
        <v>36704</v>
      </c>
      <c r="M3878" t="s">
        <v>38426</v>
      </c>
      <c r="N3878" t="s">
        <v>40436</v>
      </c>
      <c r="O3878" t="s">
        <v>40437</v>
      </c>
      <c r="P3878">
        <v>0</v>
      </c>
      <c r="Q3878">
        <v>1</v>
      </c>
      <c r="R3878" t="s">
        <v>40439</v>
      </c>
      <c r="S3878" t="s">
        <v>40588</v>
      </c>
      <c r="T3878" t="s">
        <v>42379</v>
      </c>
      <c r="U3878" t="s">
        <v>45948</v>
      </c>
      <c r="W3878" t="s">
        <v>38426</v>
      </c>
      <c r="X3878" t="s">
        <v>40440</v>
      </c>
    </row>
    <row r="3879" spans="1:24">
      <c r="A3879">
        <f>HYPERLINK("https://www.philgeps.gov.ph/GEPSNONPILOT/Tender/SplashBidNoticeAbstractUI.aspx?menuIndex=3&amp;refID=7046045&amp;Result=3","7046045")</f>
        <v>0</v>
      </c>
      <c r="B3879" t="s">
        <v>658</v>
      </c>
      <c r="C3879" t="s">
        <v>6787</v>
      </c>
      <c r="D3879" t="s">
        <v>16264</v>
      </c>
      <c r="E3879" t="s">
        <v>19770</v>
      </c>
      <c r="F3879" t="s">
        <v>28198</v>
      </c>
      <c r="G3879" t="s">
        <v>28206</v>
      </c>
      <c r="H3879" t="s">
        <v>28215</v>
      </c>
      <c r="I3879" t="s">
        <v>4219</v>
      </c>
      <c r="J3879" t="s">
        <v>30872</v>
      </c>
      <c r="K3879" t="s">
        <v>36707</v>
      </c>
      <c r="M3879" t="s">
        <v>37654</v>
      </c>
      <c r="N3879" t="s">
        <v>40436</v>
      </c>
      <c r="O3879" t="s">
        <v>40437</v>
      </c>
      <c r="P3879">
        <v>0</v>
      </c>
      <c r="Q3879">
        <v>1</v>
      </c>
      <c r="R3879" t="s">
        <v>40439</v>
      </c>
      <c r="S3879" t="s">
        <v>40588</v>
      </c>
      <c r="T3879" t="s">
        <v>42266</v>
      </c>
      <c r="U3879" t="s">
        <v>45949</v>
      </c>
      <c r="W3879" t="s">
        <v>37654</v>
      </c>
      <c r="X3879" t="s">
        <v>40440</v>
      </c>
    </row>
    <row r="3880" spans="1:24">
      <c r="A3880">
        <f>HYPERLINK("https://www.philgeps.gov.ph/GEPSNONPILOT/Tender/SplashBidNoticeAbstractUI.aspx?menuIndex=3&amp;refID=7046049&amp;Result=3","7046049")</f>
        <v>0</v>
      </c>
      <c r="B3880" t="s">
        <v>703</v>
      </c>
      <c r="C3880" t="s">
        <v>6788</v>
      </c>
      <c r="D3880" t="s">
        <v>16240</v>
      </c>
      <c r="E3880" t="s">
        <v>19771</v>
      </c>
      <c r="F3880" t="s">
        <v>28198</v>
      </c>
      <c r="G3880" t="s">
        <v>28210</v>
      </c>
      <c r="H3880" t="s">
        <v>28215</v>
      </c>
      <c r="I3880" t="s">
        <v>28238</v>
      </c>
      <c r="J3880" t="s">
        <v>28406</v>
      </c>
      <c r="K3880" t="s">
        <v>36691</v>
      </c>
      <c r="M3880" t="s">
        <v>37703</v>
      </c>
      <c r="N3880" t="s">
        <v>40436</v>
      </c>
      <c r="O3880" t="s">
        <v>40437</v>
      </c>
      <c r="P3880">
        <v>0</v>
      </c>
      <c r="Q3880">
        <v>0</v>
      </c>
      <c r="R3880" t="s">
        <v>40439</v>
      </c>
      <c r="S3880" t="s">
        <v>40588</v>
      </c>
      <c r="T3880" t="s">
        <v>42161</v>
      </c>
      <c r="U3880" t="s">
        <v>43914</v>
      </c>
      <c r="W3880" t="s">
        <v>37703</v>
      </c>
      <c r="X3880" t="s">
        <v>40440</v>
      </c>
    </row>
    <row r="3881" spans="1:24">
      <c r="A3881">
        <f>HYPERLINK("https://www.philgeps.gov.ph/GEPSNONPILOT/Tender/SplashBidNoticeAbstractUI.aspx?menuIndex=3&amp;refID=7046031&amp;Result=3","7046031")</f>
        <v>0</v>
      </c>
      <c r="B3881" t="s">
        <v>1395</v>
      </c>
      <c r="C3881" t="s">
        <v>6789</v>
      </c>
      <c r="D3881" t="s">
        <v>16198</v>
      </c>
      <c r="E3881" t="s">
        <v>19772</v>
      </c>
      <c r="F3881" t="s">
        <v>28198</v>
      </c>
      <c r="G3881" t="s">
        <v>28207</v>
      </c>
      <c r="H3881" t="s">
        <v>28215</v>
      </c>
      <c r="I3881" t="s">
        <v>28225</v>
      </c>
      <c r="J3881" t="s">
        <v>28350</v>
      </c>
      <c r="K3881" t="s">
        <v>36706</v>
      </c>
      <c r="M3881" t="s">
        <v>38459</v>
      </c>
      <c r="N3881" t="s">
        <v>40436</v>
      </c>
      <c r="O3881" t="s">
        <v>40437</v>
      </c>
      <c r="P3881">
        <v>0</v>
      </c>
      <c r="Q3881">
        <v>1</v>
      </c>
      <c r="R3881" t="s">
        <v>40439</v>
      </c>
      <c r="S3881" t="s">
        <v>40588</v>
      </c>
      <c r="T3881" t="s">
        <v>42190</v>
      </c>
      <c r="U3881" t="s">
        <v>45950</v>
      </c>
      <c r="W3881" t="s">
        <v>38459</v>
      </c>
      <c r="X3881" t="s">
        <v>40440</v>
      </c>
    </row>
    <row r="3882" spans="1:24">
      <c r="A3882">
        <f>HYPERLINK("https://www.philgeps.gov.ph/GEPSNONPILOT/Tender/SplashBidNoticeAbstractUI.aspx?menuIndex=3&amp;refID=7046053&amp;Result=3","7046053")</f>
        <v>0</v>
      </c>
      <c r="B3882" t="s">
        <v>1385</v>
      </c>
      <c r="C3882" t="s">
        <v>6790</v>
      </c>
      <c r="D3882" t="s">
        <v>16222</v>
      </c>
      <c r="E3882" t="s">
        <v>19773</v>
      </c>
      <c r="F3882" t="s">
        <v>28198</v>
      </c>
      <c r="G3882" t="s">
        <v>28205</v>
      </c>
      <c r="H3882" t="s">
        <v>28215</v>
      </c>
      <c r="I3882" t="s">
        <v>28247</v>
      </c>
      <c r="J3882" t="s">
        <v>30873</v>
      </c>
      <c r="K3882" t="s">
        <v>36697</v>
      </c>
      <c r="M3882" t="s">
        <v>38449</v>
      </c>
      <c r="N3882" t="s">
        <v>40436</v>
      </c>
      <c r="O3882" t="s">
        <v>40437</v>
      </c>
      <c r="P3882">
        <v>0</v>
      </c>
      <c r="Q3882">
        <v>3</v>
      </c>
      <c r="R3882" t="s">
        <v>40439</v>
      </c>
      <c r="S3882" t="s">
        <v>40588</v>
      </c>
      <c r="T3882" t="s">
        <v>42300</v>
      </c>
      <c r="U3882" t="s">
        <v>45951</v>
      </c>
      <c r="V3882" t="s">
        <v>54161</v>
      </c>
      <c r="W3882" t="s">
        <v>38449</v>
      </c>
      <c r="X3882" t="s">
        <v>40440</v>
      </c>
    </row>
    <row r="3883" spans="1:24">
      <c r="A3883">
        <f>HYPERLINK("https://www.philgeps.gov.ph/GEPSNONPILOT/Tender/SplashBidNoticeAbstractUI.aspx?menuIndex=3&amp;refID=7046054&amp;Result=3","7046054")</f>
        <v>0</v>
      </c>
      <c r="B3883" t="s">
        <v>1252</v>
      </c>
      <c r="C3883" t="s">
        <v>6791</v>
      </c>
      <c r="D3883" t="s">
        <v>16203</v>
      </c>
      <c r="E3883" t="s">
        <v>19774</v>
      </c>
      <c r="F3883" t="s">
        <v>28198</v>
      </c>
      <c r="G3883" t="s">
        <v>28207</v>
      </c>
      <c r="H3883" t="s">
        <v>28215</v>
      </c>
      <c r="I3883" t="s">
        <v>8888</v>
      </c>
      <c r="J3883" t="s">
        <v>30874</v>
      </c>
      <c r="K3883" t="s">
        <v>36691</v>
      </c>
      <c r="M3883" t="s">
        <v>38302</v>
      </c>
      <c r="N3883" t="s">
        <v>40436</v>
      </c>
      <c r="O3883" t="s">
        <v>40437</v>
      </c>
      <c r="P3883">
        <v>0</v>
      </c>
      <c r="Q3883">
        <v>0</v>
      </c>
      <c r="R3883" t="s">
        <v>40439</v>
      </c>
      <c r="S3883" t="s">
        <v>40588</v>
      </c>
      <c r="T3883" t="s">
        <v>42169</v>
      </c>
      <c r="U3883" t="s">
        <v>45952</v>
      </c>
      <c r="V3883" t="s">
        <v>54121</v>
      </c>
      <c r="W3883" t="s">
        <v>38302</v>
      </c>
      <c r="X3883" t="s">
        <v>40440</v>
      </c>
    </row>
    <row r="3884" spans="1:24">
      <c r="A3884">
        <f>HYPERLINK("https://www.philgeps.gov.ph/GEPSNONPILOT/Tender/SplashBidNoticeAbstractUI.aspx?menuIndex=3&amp;refID=7046033&amp;Result=3","7046033")</f>
        <v>0</v>
      </c>
      <c r="B3884" t="s">
        <v>318</v>
      </c>
      <c r="C3884" t="s">
        <v>6792</v>
      </c>
      <c r="D3884" t="s">
        <v>16241</v>
      </c>
      <c r="E3884" t="s">
        <v>19078</v>
      </c>
      <c r="F3884" t="s">
        <v>28198</v>
      </c>
      <c r="G3884" t="s">
        <v>28207</v>
      </c>
      <c r="H3884" t="s">
        <v>28215</v>
      </c>
      <c r="I3884" t="s">
        <v>28243</v>
      </c>
      <c r="J3884" t="s">
        <v>28587</v>
      </c>
      <c r="K3884" t="s">
        <v>36707</v>
      </c>
      <c r="M3884" t="s">
        <v>37296</v>
      </c>
      <c r="N3884" t="s">
        <v>40436</v>
      </c>
      <c r="O3884" t="s">
        <v>40437</v>
      </c>
      <c r="P3884">
        <v>0</v>
      </c>
      <c r="Q3884">
        <v>3</v>
      </c>
      <c r="R3884" t="s">
        <v>40439</v>
      </c>
      <c r="S3884" t="s">
        <v>40588</v>
      </c>
      <c r="T3884" t="s">
        <v>42169</v>
      </c>
      <c r="U3884" t="s">
        <v>45953</v>
      </c>
      <c r="V3884" t="s">
        <v>54178</v>
      </c>
      <c r="W3884" t="s">
        <v>37296</v>
      </c>
      <c r="X3884" t="s">
        <v>40440</v>
      </c>
    </row>
    <row r="3885" spans="1:24">
      <c r="A3885">
        <f>HYPERLINK("https://www.philgeps.gov.ph/GEPSNONPILOT/Tender/SplashBidNoticeAbstractUI.aspx?menuIndex=3&amp;refID=7046047&amp;Result=3","7046047")</f>
        <v>0</v>
      </c>
      <c r="B3885" t="s">
        <v>1440</v>
      </c>
      <c r="C3885" t="s">
        <v>6793</v>
      </c>
      <c r="D3885" t="s">
        <v>16204</v>
      </c>
      <c r="E3885" t="s">
        <v>6793</v>
      </c>
      <c r="F3885" t="s">
        <v>28198</v>
      </c>
      <c r="G3885" t="s">
        <v>28206</v>
      </c>
      <c r="H3885" t="s">
        <v>28215</v>
      </c>
      <c r="I3885" t="s">
        <v>4321</v>
      </c>
      <c r="J3885" t="s">
        <v>28887</v>
      </c>
      <c r="K3885" t="s">
        <v>36693</v>
      </c>
      <c r="M3885" t="s">
        <v>38507</v>
      </c>
      <c r="N3885" t="s">
        <v>40436</v>
      </c>
      <c r="O3885" t="s">
        <v>40437</v>
      </c>
      <c r="P3885">
        <v>0</v>
      </c>
      <c r="Q3885">
        <v>0</v>
      </c>
      <c r="R3885" t="s">
        <v>40439</v>
      </c>
      <c r="S3885" t="s">
        <v>40588</v>
      </c>
      <c r="T3885" t="s">
        <v>42277</v>
      </c>
      <c r="U3885" t="s">
        <v>45954</v>
      </c>
      <c r="W3885" t="s">
        <v>38507</v>
      </c>
      <c r="X3885" t="s">
        <v>40440</v>
      </c>
    </row>
    <row r="3886" spans="1:24">
      <c r="A3886">
        <f>HYPERLINK("https://www.philgeps.gov.ph/GEPSNONPILOT/Tender/SplashBidNoticeAbstractUI.aspx?menuIndex=3&amp;refID=7046048&amp;Result=3","7046048")</f>
        <v>0</v>
      </c>
      <c r="B3886" t="s">
        <v>660</v>
      </c>
      <c r="C3886" t="s">
        <v>6794</v>
      </c>
      <c r="D3886" t="s">
        <v>16188</v>
      </c>
      <c r="E3886" t="s">
        <v>19775</v>
      </c>
      <c r="F3886" t="s">
        <v>28198</v>
      </c>
      <c r="G3886" t="s">
        <v>28207</v>
      </c>
      <c r="H3886" t="s">
        <v>28215</v>
      </c>
      <c r="I3886" t="s">
        <v>28257</v>
      </c>
      <c r="J3886" t="s">
        <v>30875</v>
      </c>
      <c r="K3886" t="s">
        <v>36689</v>
      </c>
      <c r="M3886" t="s">
        <v>37656</v>
      </c>
      <c r="N3886" t="s">
        <v>40436</v>
      </c>
      <c r="O3886" t="s">
        <v>40437</v>
      </c>
      <c r="P3886">
        <v>0</v>
      </c>
      <c r="Q3886">
        <v>0</v>
      </c>
      <c r="R3886" t="s">
        <v>40439</v>
      </c>
      <c r="S3886" t="s">
        <v>40588</v>
      </c>
      <c r="T3886" t="s">
        <v>42228</v>
      </c>
      <c r="U3886" t="s">
        <v>45018</v>
      </c>
      <c r="W3886" t="s">
        <v>37656</v>
      </c>
      <c r="X3886" t="s">
        <v>40440</v>
      </c>
    </row>
    <row r="3887" spans="1:24">
      <c r="A3887">
        <f>HYPERLINK("https://www.philgeps.gov.ph/GEPSNONPILOT/Tender/SplashBidNoticeAbstractUI.aspx?menuIndex=3&amp;refID=7046059&amp;Result=3","7046059")</f>
        <v>0</v>
      </c>
      <c r="B3887" t="s">
        <v>1441</v>
      </c>
      <c r="C3887" t="s">
        <v>6795</v>
      </c>
      <c r="E3887" t="s">
        <v>19776</v>
      </c>
      <c r="F3887" t="s">
        <v>28198</v>
      </c>
      <c r="G3887" t="s">
        <v>28207</v>
      </c>
      <c r="H3887" t="s">
        <v>28215</v>
      </c>
      <c r="I3887" t="s">
        <v>28268</v>
      </c>
      <c r="J3887" t="s">
        <v>28661</v>
      </c>
      <c r="K3887" t="s">
        <v>36689</v>
      </c>
      <c r="M3887" t="s">
        <v>38508</v>
      </c>
      <c r="N3887" t="s">
        <v>40436</v>
      </c>
      <c r="O3887" t="s">
        <v>40437</v>
      </c>
      <c r="P3887">
        <v>0</v>
      </c>
      <c r="Q3887">
        <v>3</v>
      </c>
      <c r="R3887" t="s">
        <v>40439</v>
      </c>
      <c r="S3887" t="s">
        <v>40588</v>
      </c>
      <c r="T3887" t="s">
        <v>42161</v>
      </c>
      <c r="U3887" t="s">
        <v>45955</v>
      </c>
      <c r="W3887" t="s">
        <v>38508</v>
      </c>
      <c r="X3887" t="s">
        <v>40440</v>
      </c>
    </row>
    <row r="3888" spans="1:24">
      <c r="A3888">
        <f>HYPERLINK("https://www.philgeps.gov.ph/GEPSNONPILOT/Tender/SplashBidNoticeAbstractUI.aspx?menuIndex=3&amp;refID=7046061&amp;Result=3","7046061")</f>
        <v>0</v>
      </c>
      <c r="B3888" t="s">
        <v>1442</v>
      </c>
      <c r="C3888" t="s">
        <v>6796</v>
      </c>
      <c r="D3888" t="s">
        <v>16191</v>
      </c>
      <c r="E3888" t="s">
        <v>19777</v>
      </c>
      <c r="F3888" t="s">
        <v>28198</v>
      </c>
      <c r="G3888" t="s">
        <v>28205</v>
      </c>
      <c r="H3888" t="s">
        <v>28214</v>
      </c>
      <c r="I3888" t="s">
        <v>3797</v>
      </c>
      <c r="J3888" t="s">
        <v>30876</v>
      </c>
      <c r="K3888" t="s">
        <v>36802</v>
      </c>
      <c r="M3888" t="s">
        <v>38509</v>
      </c>
      <c r="N3888" t="s">
        <v>40436</v>
      </c>
      <c r="O3888" t="s">
        <v>40437</v>
      </c>
      <c r="P3888">
        <v>0</v>
      </c>
      <c r="Q3888">
        <v>1</v>
      </c>
      <c r="R3888" t="s">
        <v>40439</v>
      </c>
      <c r="S3888" t="s">
        <v>40588</v>
      </c>
      <c r="T3888" t="s">
        <v>42128</v>
      </c>
      <c r="U3888" t="s">
        <v>45956</v>
      </c>
      <c r="W3888" t="s">
        <v>38509</v>
      </c>
      <c r="X3888" t="s">
        <v>40440</v>
      </c>
    </row>
    <row r="3889" spans="1:24">
      <c r="A3889">
        <f>HYPERLINK("https://www.philgeps.gov.ph/GEPSNONPILOT/Tender/SplashBidNoticeAbstractUI.aspx?menuIndex=3&amp;refID=7046058&amp;Result=3","7046058")</f>
        <v>0</v>
      </c>
      <c r="B3889" t="s">
        <v>1311</v>
      </c>
      <c r="C3889" t="s">
        <v>6797</v>
      </c>
      <c r="D3889" t="s">
        <v>16188</v>
      </c>
      <c r="E3889" t="s">
        <v>19778</v>
      </c>
      <c r="F3889" t="s">
        <v>28198</v>
      </c>
      <c r="G3889" t="s">
        <v>28206</v>
      </c>
      <c r="H3889" t="s">
        <v>28215</v>
      </c>
      <c r="I3889" t="s">
        <v>4321</v>
      </c>
      <c r="J3889" t="s">
        <v>30877</v>
      </c>
      <c r="K3889" t="s">
        <v>36693</v>
      </c>
      <c r="M3889" t="s">
        <v>38365</v>
      </c>
      <c r="N3889" t="s">
        <v>40436</v>
      </c>
      <c r="O3889" t="s">
        <v>40437</v>
      </c>
      <c r="P3889">
        <v>0</v>
      </c>
      <c r="Q3889">
        <v>0</v>
      </c>
      <c r="R3889" t="s">
        <v>40439</v>
      </c>
      <c r="S3889" t="s">
        <v>40588</v>
      </c>
      <c r="T3889" t="s">
        <v>42167</v>
      </c>
      <c r="U3889" t="s">
        <v>45957</v>
      </c>
      <c r="V3889" t="s">
        <v>54133</v>
      </c>
      <c r="W3889" t="s">
        <v>38365</v>
      </c>
      <c r="X3889" t="s">
        <v>40440</v>
      </c>
    </row>
    <row r="3890" spans="1:24">
      <c r="A3890">
        <f>HYPERLINK("https://www.philgeps.gov.ph/GEPSNONPILOT/Tender/SplashBidNoticeAbstractUI.aspx?menuIndex=3&amp;refID=7046057&amp;Result=3","7046057")</f>
        <v>0</v>
      </c>
      <c r="B3890" t="s">
        <v>885</v>
      </c>
      <c r="C3890" t="s">
        <v>6798</v>
      </c>
      <c r="D3890" t="s">
        <v>16195</v>
      </c>
      <c r="E3890" t="s">
        <v>19779</v>
      </c>
      <c r="F3890" t="s">
        <v>28198</v>
      </c>
      <c r="G3890" t="s">
        <v>28207</v>
      </c>
      <c r="H3890" t="s">
        <v>28215</v>
      </c>
      <c r="I3890" t="s">
        <v>28238</v>
      </c>
      <c r="J3890" t="s">
        <v>28415</v>
      </c>
      <c r="K3890" t="s">
        <v>36694</v>
      </c>
      <c r="M3890" t="s">
        <v>37901</v>
      </c>
      <c r="N3890" t="s">
        <v>40436</v>
      </c>
      <c r="O3890" t="s">
        <v>40437</v>
      </c>
      <c r="P3890">
        <v>0</v>
      </c>
      <c r="Q3890">
        <v>3</v>
      </c>
      <c r="R3890" t="s">
        <v>40439</v>
      </c>
      <c r="S3890" t="s">
        <v>40588</v>
      </c>
      <c r="T3890" t="s">
        <v>42218</v>
      </c>
      <c r="U3890" t="s">
        <v>45958</v>
      </c>
      <c r="W3890" t="s">
        <v>37901</v>
      </c>
      <c r="X3890" t="s">
        <v>40440</v>
      </c>
    </row>
    <row r="3891" spans="1:24">
      <c r="A3891">
        <f>HYPERLINK("https://www.philgeps.gov.ph/GEPSNONPILOT/Tender/SplashBidNoticeAbstractUI.aspx?menuIndex=3&amp;refID=7046063&amp;Result=3","7046063")</f>
        <v>0</v>
      </c>
      <c r="B3891" t="s">
        <v>1443</v>
      </c>
      <c r="C3891" t="s">
        <v>6799</v>
      </c>
      <c r="D3891" t="s">
        <v>16223</v>
      </c>
      <c r="E3891" t="s">
        <v>19780</v>
      </c>
      <c r="F3891" t="s">
        <v>28198</v>
      </c>
      <c r="G3891" t="s">
        <v>28206</v>
      </c>
      <c r="H3891" t="s">
        <v>28215</v>
      </c>
      <c r="I3891" t="s">
        <v>28251</v>
      </c>
      <c r="J3891" t="s">
        <v>28530</v>
      </c>
      <c r="K3891" t="s">
        <v>36688</v>
      </c>
      <c r="M3891" t="s">
        <v>38510</v>
      </c>
      <c r="N3891" t="s">
        <v>40436</v>
      </c>
      <c r="O3891" t="s">
        <v>40437</v>
      </c>
      <c r="P3891">
        <v>0</v>
      </c>
      <c r="Q3891">
        <v>2</v>
      </c>
      <c r="R3891" t="s">
        <v>40439</v>
      </c>
      <c r="S3891" t="s">
        <v>40588</v>
      </c>
      <c r="T3891" t="s">
        <v>42245</v>
      </c>
      <c r="U3891" t="s">
        <v>45959</v>
      </c>
      <c r="W3891" t="s">
        <v>38510</v>
      </c>
      <c r="X3891" t="s">
        <v>40440</v>
      </c>
    </row>
    <row r="3892" spans="1:24">
      <c r="A3892">
        <f>HYPERLINK("https://www.philgeps.gov.ph/GEPSNONPILOT/Tender/SplashBidNoticeAbstractUI.aspx?menuIndex=3&amp;refID=7046060&amp;Result=3","7046060")</f>
        <v>0</v>
      </c>
      <c r="B3892" t="s">
        <v>1140</v>
      </c>
      <c r="C3892" t="s">
        <v>6800</v>
      </c>
      <c r="D3892" t="s">
        <v>16252</v>
      </c>
      <c r="E3892" t="s">
        <v>19781</v>
      </c>
      <c r="F3892" t="s">
        <v>28198</v>
      </c>
      <c r="G3892" t="s">
        <v>28205</v>
      </c>
      <c r="H3892" t="s">
        <v>28215</v>
      </c>
      <c r="I3892" t="s">
        <v>5103</v>
      </c>
      <c r="J3892" t="s">
        <v>30041</v>
      </c>
      <c r="K3892" t="s">
        <v>36706</v>
      </c>
      <c r="M3892" t="s">
        <v>38180</v>
      </c>
      <c r="N3892" t="s">
        <v>40436</v>
      </c>
      <c r="O3892" t="s">
        <v>40437</v>
      </c>
      <c r="P3892">
        <v>0</v>
      </c>
      <c r="Q3892">
        <v>0</v>
      </c>
      <c r="R3892" t="s">
        <v>40439</v>
      </c>
      <c r="S3892" t="s">
        <v>40588</v>
      </c>
      <c r="T3892" t="s">
        <v>42337</v>
      </c>
      <c r="U3892" t="s">
        <v>45960</v>
      </c>
      <c r="W3892" t="s">
        <v>38180</v>
      </c>
      <c r="X3892" t="s">
        <v>40440</v>
      </c>
    </row>
    <row r="3893" spans="1:24">
      <c r="A3893">
        <f>HYPERLINK("https://www.philgeps.gov.ph/GEPSNONPILOT/Tender/SplashBidNoticeAbstractUI.aspx?menuIndex=3&amp;refID=7046070&amp;Result=3","7046070")</f>
        <v>0</v>
      </c>
      <c r="B3893" t="s">
        <v>1123</v>
      </c>
      <c r="C3893" t="s">
        <v>6801</v>
      </c>
      <c r="D3893" t="s">
        <v>16192</v>
      </c>
      <c r="E3893" t="s">
        <v>19782</v>
      </c>
      <c r="F3893" t="s">
        <v>28198</v>
      </c>
      <c r="G3893" t="s">
        <v>28206</v>
      </c>
      <c r="H3893" t="s">
        <v>28215</v>
      </c>
      <c r="I3893" t="s">
        <v>5082</v>
      </c>
      <c r="J3893" t="s">
        <v>30878</v>
      </c>
      <c r="K3893" t="s">
        <v>36688</v>
      </c>
      <c r="M3893" t="s">
        <v>38161</v>
      </c>
      <c r="N3893" t="s">
        <v>40436</v>
      </c>
      <c r="O3893" t="s">
        <v>40437</v>
      </c>
      <c r="P3893">
        <v>0</v>
      </c>
      <c r="Q3893">
        <v>0</v>
      </c>
      <c r="R3893" t="s">
        <v>40439</v>
      </c>
      <c r="S3893" t="s">
        <v>40588</v>
      </c>
      <c r="T3893" t="s">
        <v>42129</v>
      </c>
      <c r="U3893" t="s">
        <v>45961</v>
      </c>
      <c r="W3893" t="s">
        <v>38161</v>
      </c>
      <c r="X3893" t="s">
        <v>40440</v>
      </c>
    </row>
    <row r="3894" spans="1:24">
      <c r="A3894">
        <f>HYPERLINK("https://www.philgeps.gov.ph/GEPSNONPILOT/Tender/SplashBidNoticeAbstractUI.aspx?menuIndex=3&amp;refID=7046050&amp;Result=3","7046050")</f>
        <v>0</v>
      </c>
      <c r="B3894" t="s">
        <v>1444</v>
      </c>
      <c r="C3894" t="s">
        <v>6802</v>
      </c>
      <c r="D3894" t="s">
        <v>16191</v>
      </c>
      <c r="E3894" t="s">
        <v>16473</v>
      </c>
      <c r="F3894" t="s">
        <v>28198</v>
      </c>
      <c r="G3894" t="s">
        <v>28205</v>
      </c>
      <c r="H3894" t="s">
        <v>28215</v>
      </c>
      <c r="I3894" t="s">
        <v>28222</v>
      </c>
      <c r="J3894" t="s">
        <v>28398</v>
      </c>
      <c r="K3894" t="s">
        <v>36688</v>
      </c>
      <c r="M3894" t="s">
        <v>38511</v>
      </c>
      <c r="N3894" t="s">
        <v>40436</v>
      </c>
      <c r="O3894" t="s">
        <v>40437</v>
      </c>
      <c r="P3894">
        <v>0</v>
      </c>
      <c r="Q3894">
        <v>2</v>
      </c>
      <c r="R3894" t="s">
        <v>40439</v>
      </c>
      <c r="S3894" t="s">
        <v>40588</v>
      </c>
      <c r="T3894" t="s">
        <v>42133</v>
      </c>
      <c r="U3894" t="s">
        <v>45962</v>
      </c>
      <c r="W3894" t="s">
        <v>38511</v>
      </c>
      <c r="X3894" t="s">
        <v>40440</v>
      </c>
    </row>
    <row r="3895" spans="1:24">
      <c r="A3895">
        <f>HYPERLINK("https://www.philgeps.gov.ph/GEPSNONPILOT/Tender/SplashBidNoticeAbstractUI.aspx?menuIndex=3&amp;refID=7046069&amp;Result=3","7046069")</f>
        <v>0</v>
      </c>
      <c r="B3895" t="s">
        <v>1268</v>
      </c>
      <c r="C3895" t="s">
        <v>6803</v>
      </c>
      <c r="D3895" t="s">
        <v>16228</v>
      </c>
      <c r="E3895" t="s">
        <v>19783</v>
      </c>
      <c r="F3895" t="s">
        <v>28198</v>
      </c>
      <c r="G3895" t="s">
        <v>28205</v>
      </c>
      <c r="H3895" t="s">
        <v>28215</v>
      </c>
      <c r="I3895" t="s">
        <v>8888</v>
      </c>
      <c r="J3895" t="s">
        <v>30879</v>
      </c>
      <c r="K3895" t="s">
        <v>36707</v>
      </c>
      <c r="M3895" t="s">
        <v>38318</v>
      </c>
      <c r="N3895" t="s">
        <v>40436</v>
      </c>
      <c r="O3895" t="s">
        <v>40437</v>
      </c>
      <c r="P3895">
        <v>0</v>
      </c>
      <c r="Q3895">
        <v>0</v>
      </c>
      <c r="R3895" t="s">
        <v>40439</v>
      </c>
      <c r="S3895" t="s">
        <v>40588</v>
      </c>
      <c r="T3895" t="s">
        <v>42118</v>
      </c>
      <c r="U3895" t="s">
        <v>45963</v>
      </c>
      <c r="W3895" t="s">
        <v>38318</v>
      </c>
      <c r="X3895" t="s">
        <v>40440</v>
      </c>
    </row>
    <row r="3896" spans="1:24">
      <c r="A3896">
        <f>HYPERLINK("https://www.philgeps.gov.ph/GEPSNONPILOT/Tender/SplashBidNoticeAbstractUI.aspx?menuIndex=3&amp;refID=7046055&amp;Result=3","7046055")</f>
        <v>0</v>
      </c>
      <c r="B3896" t="s">
        <v>386</v>
      </c>
      <c r="C3896" t="s">
        <v>6804</v>
      </c>
      <c r="D3896" t="s">
        <v>16259</v>
      </c>
      <c r="E3896" t="s">
        <v>19784</v>
      </c>
      <c r="F3896" t="s">
        <v>28198</v>
      </c>
      <c r="G3896" t="s">
        <v>28207</v>
      </c>
      <c r="H3896" t="s">
        <v>28215</v>
      </c>
      <c r="I3896" t="s">
        <v>28251</v>
      </c>
      <c r="J3896" t="s">
        <v>28414</v>
      </c>
      <c r="K3896" t="s">
        <v>36688</v>
      </c>
      <c r="M3896" t="s">
        <v>37366</v>
      </c>
      <c r="N3896" t="s">
        <v>40436</v>
      </c>
      <c r="O3896" t="s">
        <v>40437</v>
      </c>
      <c r="P3896">
        <v>0</v>
      </c>
      <c r="Q3896">
        <v>3</v>
      </c>
      <c r="R3896" t="s">
        <v>40439</v>
      </c>
      <c r="S3896" t="s">
        <v>40588</v>
      </c>
      <c r="T3896" t="s">
        <v>42133</v>
      </c>
      <c r="U3896" t="s">
        <v>43270</v>
      </c>
      <c r="V3896" t="s">
        <v>53872</v>
      </c>
      <c r="W3896" t="s">
        <v>37366</v>
      </c>
      <c r="X3896" t="s">
        <v>40440</v>
      </c>
    </row>
    <row r="3897" spans="1:24">
      <c r="A3897">
        <f>HYPERLINK("https://www.philgeps.gov.ph/GEPSNONPILOT/Tender/SplashBidNoticeAbstractUI.aspx?menuIndex=3&amp;refID=7046066&amp;Result=3","7046066")</f>
        <v>0</v>
      </c>
      <c r="B3897" t="s">
        <v>1063</v>
      </c>
      <c r="C3897" t="s">
        <v>6805</v>
      </c>
      <c r="D3897" t="s">
        <v>16188</v>
      </c>
      <c r="E3897" t="s">
        <v>19785</v>
      </c>
      <c r="F3897" t="s">
        <v>28198</v>
      </c>
      <c r="G3897" t="s">
        <v>28205</v>
      </c>
      <c r="H3897" t="s">
        <v>28215</v>
      </c>
      <c r="I3897" t="s">
        <v>28234</v>
      </c>
      <c r="J3897" t="s">
        <v>28415</v>
      </c>
      <c r="K3897" t="s">
        <v>36689</v>
      </c>
      <c r="M3897" t="s">
        <v>38491</v>
      </c>
      <c r="N3897" t="s">
        <v>40436</v>
      </c>
      <c r="O3897" t="s">
        <v>40437</v>
      </c>
      <c r="P3897">
        <v>0</v>
      </c>
      <c r="Q3897">
        <v>5</v>
      </c>
      <c r="R3897" t="s">
        <v>40439</v>
      </c>
      <c r="S3897" t="s">
        <v>40588</v>
      </c>
      <c r="T3897" t="s">
        <v>42203</v>
      </c>
      <c r="U3897" t="s">
        <v>45964</v>
      </c>
      <c r="W3897" t="s">
        <v>38491</v>
      </c>
      <c r="X3897" t="s">
        <v>40440</v>
      </c>
    </row>
    <row r="3898" spans="1:24">
      <c r="A3898">
        <f>HYPERLINK("https://www.philgeps.gov.ph/GEPSNONPILOT/Tender/SplashBidNoticeAbstractUI.aspx?menuIndex=3&amp;refID=7046071&amp;Result=3","7046071")</f>
        <v>0</v>
      </c>
      <c r="B3898" t="s">
        <v>1440</v>
      </c>
      <c r="C3898" t="s">
        <v>6806</v>
      </c>
      <c r="D3898" t="s">
        <v>16204</v>
      </c>
      <c r="E3898" t="s">
        <v>6806</v>
      </c>
      <c r="F3898" t="s">
        <v>28198</v>
      </c>
      <c r="G3898" t="s">
        <v>28206</v>
      </c>
      <c r="H3898" t="s">
        <v>28215</v>
      </c>
      <c r="I3898" t="s">
        <v>4168</v>
      </c>
      <c r="J3898" t="s">
        <v>28589</v>
      </c>
      <c r="K3898" t="s">
        <v>36693</v>
      </c>
      <c r="M3898" t="s">
        <v>38507</v>
      </c>
      <c r="N3898" t="s">
        <v>40436</v>
      </c>
      <c r="O3898" t="s">
        <v>40437</v>
      </c>
      <c r="P3898">
        <v>0</v>
      </c>
      <c r="Q3898">
        <v>1</v>
      </c>
      <c r="R3898" t="s">
        <v>40439</v>
      </c>
      <c r="S3898" t="s">
        <v>40588</v>
      </c>
      <c r="T3898" t="s">
        <v>42277</v>
      </c>
      <c r="U3898" t="s">
        <v>45954</v>
      </c>
      <c r="W3898" t="s">
        <v>38507</v>
      </c>
      <c r="X3898" t="s">
        <v>40440</v>
      </c>
    </row>
    <row r="3899" spans="1:24">
      <c r="A3899">
        <f>HYPERLINK("https://www.philgeps.gov.ph/GEPSNONPILOT/Tender/SplashBidNoticeAbstractUI.aspx?menuIndex=3&amp;refID=7046064&amp;Result=3","7046064")</f>
        <v>0</v>
      </c>
      <c r="B3899" t="s">
        <v>1398</v>
      </c>
      <c r="C3899" t="s">
        <v>6807</v>
      </c>
      <c r="D3899" t="s">
        <v>16210</v>
      </c>
      <c r="E3899" t="s">
        <v>19786</v>
      </c>
      <c r="F3899" t="s">
        <v>28198</v>
      </c>
      <c r="G3899" t="s">
        <v>28207</v>
      </c>
      <c r="H3899" t="s">
        <v>28215</v>
      </c>
      <c r="I3899" t="s">
        <v>28222</v>
      </c>
      <c r="J3899" t="s">
        <v>30237</v>
      </c>
      <c r="K3899" t="s">
        <v>36701</v>
      </c>
      <c r="M3899" t="s">
        <v>38463</v>
      </c>
      <c r="N3899" t="s">
        <v>40436</v>
      </c>
      <c r="O3899" t="s">
        <v>40437</v>
      </c>
      <c r="P3899">
        <v>0</v>
      </c>
      <c r="Q3899">
        <v>13</v>
      </c>
      <c r="R3899" t="s">
        <v>40439</v>
      </c>
      <c r="S3899" t="s">
        <v>40588</v>
      </c>
      <c r="T3899" t="s">
        <v>42146</v>
      </c>
      <c r="U3899" t="s">
        <v>45824</v>
      </c>
      <c r="W3899" t="s">
        <v>38463</v>
      </c>
      <c r="X3899" t="s">
        <v>40440</v>
      </c>
    </row>
    <row r="3900" spans="1:24">
      <c r="A3900">
        <f>HYPERLINK("https://www.philgeps.gov.ph/GEPSNONPILOT/Tender/SplashBidNoticeAbstractUI.aspx?menuIndex=3&amp;refID=7046073&amp;Result=3","7046073")</f>
        <v>0</v>
      </c>
      <c r="B3900" t="s">
        <v>463</v>
      </c>
      <c r="C3900" t="s">
        <v>6808</v>
      </c>
      <c r="D3900" t="s">
        <v>16203</v>
      </c>
      <c r="E3900" t="s">
        <v>19787</v>
      </c>
      <c r="F3900" t="s">
        <v>28198</v>
      </c>
      <c r="G3900" t="s">
        <v>28205</v>
      </c>
      <c r="H3900" t="s">
        <v>28214</v>
      </c>
      <c r="I3900" t="s">
        <v>3797</v>
      </c>
      <c r="J3900" t="s">
        <v>30880</v>
      </c>
      <c r="K3900" t="s">
        <v>36694</v>
      </c>
      <c r="M3900" t="s">
        <v>37448</v>
      </c>
      <c r="N3900" t="s">
        <v>40436</v>
      </c>
      <c r="O3900" t="s">
        <v>40437</v>
      </c>
      <c r="P3900">
        <v>0</v>
      </c>
      <c r="Q3900">
        <v>0</v>
      </c>
      <c r="R3900" t="s">
        <v>40439</v>
      </c>
      <c r="S3900" t="s">
        <v>40588</v>
      </c>
      <c r="T3900" t="s">
        <v>42248</v>
      </c>
      <c r="U3900" t="s">
        <v>45965</v>
      </c>
      <c r="V3900" t="s">
        <v>54179</v>
      </c>
      <c r="W3900" t="s">
        <v>37448</v>
      </c>
      <c r="X3900" t="s">
        <v>40440</v>
      </c>
    </row>
    <row r="3901" spans="1:24">
      <c r="A3901">
        <f>HYPERLINK("https://www.philgeps.gov.ph/GEPSNONPILOT/Tender/SplashBidNoticeAbstractUI.aspx?menuIndex=3&amp;refID=7046068&amp;Result=3","7046068")</f>
        <v>0</v>
      </c>
      <c r="B3901" t="s">
        <v>1445</v>
      </c>
      <c r="C3901" t="s">
        <v>6809</v>
      </c>
      <c r="D3901" t="s">
        <v>16187</v>
      </c>
      <c r="E3901" t="s">
        <v>19788</v>
      </c>
      <c r="F3901" t="s">
        <v>28198</v>
      </c>
      <c r="G3901" t="s">
        <v>28205</v>
      </c>
      <c r="H3901" t="s">
        <v>28215</v>
      </c>
      <c r="I3901" t="s">
        <v>28247</v>
      </c>
      <c r="J3901" t="s">
        <v>29409</v>
      </c>
      <c r="K3901" t="s">
        <v>36688</v>
      </c>
      <c r="M3901" t="s">
        <v>38512</v>
      </c>
      <c r="N3901" t="s">
        <v>40436</v>
      </c>
      <c r="O3901" t="s">
        <v>40437</v>
      </c>
      <c r="P3901">
        <v>0</v>
      </c>
      <c r="Q3901">
        <v>6</v>
      </c>
      <c r="R3901" t="s">
        <v>40439</v>
      </c>
      <c r="S3901" t="s">
        <v>40588</v>
      </c>
      <c r="T3901" t="s">
        <v>42139</v>
      </c>
      <c r="U3901" t="s">
        <v>45966</v>
      </c>
      <c r="W3901" t="s">
        <v>38512</v>
      </c>
      <c r="X3901" t="s">
        <v>40440</v>
      </c>
    </row>
    <row r="3902" spans="1:24">
      <c r="A3902">
        <f>HYPERLINK("https://www.philgeps.gov.ph/GEPSNONPILOT/Tender/SplashBidNoticeAbstractUI.aspx?menuIndex=3&amp;refID=7046065&amp;Result=3","7046065")</f>
        <v>0</v>
      </c>
      <c r="B3902" t="s">
        <v>1023</v>
      </c>
      <c r="C3902" t="s">
        <v>6810</v>
      </c>
      <c r="D3902" t="s">
        <v>16265</v>
      </c>
      <c r="E3902" t="s">
        <v>19789</v>
      </c>
      <c r="F3902" t="s">
        <v>28198</v>
      </c>
      <c r="G3902" t="s">
        <v>28205</v>
      </c>
      <c r="H3902" t="s">
        <v>28215</v>
      </c>
      <c r="I3902" t="s">
        <v>28224</v>
      </c>
      <c r="J3902" t="s">
        <v>28352</v>
      </c>
      <c r="K3902" t="s">
        <v>36701</v>
      </c>
      <c r="M3902" t="s">
        <v>38054</v>
      </c>
      <c r="N3902" t="s">
        <v>40436</v>
      </c>
      <c r="O3902" t="s">
        <v>40437</v>
      </c>
      <c r="P3902">
        <v>0</v>
      </c>
      <c r="Q3902">
        <v>1</v>
      </c>
      <c r="R3902" t="s">
        <v>40439</v>
      </c>
      <c r="S3902" t="s">
        <v>40588</v>
      </c>
      <c r="T3902" t="s">
        <v>42108</v>
      </c>
      <c r="U3902" t="s">
        <v>45967</v>
      </c>
      <c r="W3902" t="s">
        <v>38054</v>
      </c>
      <c r="X3902" t="s">
        <v>40440</v>
      </c>
    </row>
    <row r="3903" spans="1:24">
      <c r="A3903">
        <f>HYPERLINK("https://www.philgeps.gov.ph/GEPSNONPILOT/Tender/SplashBidNoticeAbstractUI.aspx?menuIndex=3&amp;refID=7046088&amp;Result=3","7046088")</f>
        <v>0</v>
      </c>
      <c r="B3903" t="s">
        <v>1438</v>
      </c>
      <c r="C3903" t="s">
        <v>6811</v>
      </c>
      <c r="D3903" t="s">
        <v>16206</v>
      </c>
      <c r="E3903" t="s">
        <v>19790</v>
      </c>
      <c r="F3903" t="s">
        <v>28198</v>
      </c>
      <c r="G3903" t="s">
        <v>28207</v>
      </c>
      <c r="H3903" t="s">
        <v>28215</v>
      </c>
      <c r="I3903" t="s">
        <v>28256</v>
      </c>
      <c r="J3903" t="s">
        <v>30881</v>
      </c>
      <c r="K3903" t="s">
        <v>36689</v>
      </c>
      <c r="M3903" t="s">
        <v>38505</v>
      </c>
      <c r="N3903" t="s">
        <v>40436</v>
      </c>
      <c r="O3903" t="s">
        <v>40437</v>
      </c>
      <c r="P3903">
        <v>0</v>
      </c>
      <c r="Q3903">
        <v>5</v>
      </c>
      <c r="R3903" t="s">
        <v>40439</v>
      </c>
      <c r="S3903" t="s">
        <v>40588</v>
      </c>
      <c r="T3903" t="s">
        <v>42190</v>
      </c>
      <c r="U3903" t="s">
        <v>45968</v>
      </c>
      <c r="W3903" t="s">
        <v>38505</v>
      </c>
      <c r="X3903" t="s">
        <v>40440</v>
      </c>
    </row>
    <row r="3904" spans="1:24">
      <c r="A3904">
        <f>HYPERLINK("https://www.philgeps.gov.ph/GEPSNONPILOT/Tender/SplashBidNoticeAbstractUI.aspx?menuIndex=3&amp;refID=7046083&amp;Result=3","7046083")</f>
        <v>0</v>
      </c>
      <c r="B3904" t="s">
        <v>197</v>
      </c>
      <c r="C3904" t="s">
        <v>6812</v>
      </c>
      <c r="D3904" t="s">
        <v>16196</v>
      </c>
      <c r="E3904" t="s">
        <v>19791</v>
      </c>
      <c r="F3904" t="s">
        <v>28198</v>
      </c>
      <c r="G3904" t="s">
        <v>28207</v>
      </c>
      <c r="H3904" t="s">
        <v>28215</v>
      </c>
      <c r="I3904" t="s">
        <v>4200</v>
      </c>
      <c r="J3904" t="s">
        <v>30882</v>
      </c>
      <c r="K3904" t="s">
        <v>36688</v>
      </c>
      <c r="M3904" t="s">
        <v>37172</v>
      </c>
      <c r="N3904" t="s">
        <v>40436</v>
      </c>
      <c r="O3904" t="s">
        <v>40437</v>
      </c>
      <c r="P3904">
        <v>0</v>
      </c>
      <c r="Q3904">
        <v>0</v>
      </c>
      <c r="R3904" t="s">
        <v>40439</v>
      </c>
      <c r="S3904" t="s">
        <v>40588</v>
      </c>
      <c r="T3904" t="s">
        <v>42375</v>
      </c>
      <c r="U3904" t="s">
        <v>45969</v>
      </c>
      <c r="V3904" t="s">
        <v>54180</v>
      </c>
      <c r="W3904" t="s">
        <v>37172</v>
      </c>
      <c r="X3904" t="s">
        <v>40440</v>
      </c>
    </row>
    <row r="3905" spans="1:24">
      <c r="A3905">
        <f>HYPERLINK("https://www.philgeps.gov.ph/GEPSNONPILOT/Tender/SplashBidNoticeAbstractUI.aspx?menuIndex=3&amp;refID=7046093&amp;Result=3","7046093")</f>
        <v>0</v>
      </c>
      <c r="B3905" t="s">
        <v>175</v>
      </c>
      <c r="C3905" t="s">
        <v>6813</v>
      </c>
      <c r="D3905" t="s">
        <v>16244</v>
      </c>
      <c r="E3905" t="s">
        <v>19792</v>
      </c>
      <c r="F3905" t="s">
        <v>28198</v>
      </c>
      <c r="G3905" t="s">
        <v>28206</v>
      </c>
      <c r="H3905" t="s">
        <v>28215</v>
      </c>
      <c r="I3905" t="s">
        <v>4200</v>
      </c>
      <c r="J3905" t="s">
        <v>30883</v>
      </c>
      <c r="K3905" t="s">
        <v>36688</v>
      </c>
      <c r="M3905" t="s">
        <v>37149</v>
      </c>
      <c r="N3905" t="s">
        <v>40436</v>
      </c>
      <c r="O3905" t="s">
        <v>40437</v>
      </c>
      <c r="P3905">
        <v>0</v>
      </c>
      <c r="Q3905">
        <v>0</v>
      </c>
      <c r="R3905" t="s">
        <v>40439</v>
      </c>
      <c r="S3905" t="s">
        <v>40588</v>
      </c>
      <c r="T3905" t="s">
        <v>42185</v>
      </c>
      <c r="U3905" t="s">
        <v>42905</v>
      </c>
      <c r="W3905" t="s">
        <v>37149</v>
      </c>
      <c r="X3905" t="s">
        <v>40440</v>
      </c>
    </row>
    <row r="3906" spans="1:24">
      <c r="A3906">
        <f>HYPERLINK("https://www.philgeps.gov.ph/GEPSNONPILOT/Tender/SplashBidNoticeAbstractUI.aspx?menuIndex=3&amp;refID=7046089&amp;Result=3","7046089")</f>
        <v>0</v>
      </c>
      <c r="B3906" t="s">
        <v>660</v>
      </c>
      <c r="C3906" t="s">
        <v>6814</v>
      </c>
      <c r="D3906" t="s">
        <v>16188</v>
      </c>
      <c r="E3906" t="s">
        <v>19793</v>
      </c>
      <c r="F3906" t="s">
        <v>28198</v>
      </c>
      <c r="G3906" t="s">
        <v>28207</v>
      </c>
      <c r="H3906" t="s">
        <v>28215</v>
      </c>
      <c r="I3906" t="s">
        <v>3422</v>
      </c>
      <c r="J3906" t="s">
        <v>30884</v>
      </c>
      <c r="K3906" t="s">
        <v>36689</v>
      </c>
      <c r="M3906" t="s">
        <v>37656</v>
      </c>
      <c r="N3906" t="s">
        <v>40436</v>
      </c>
      <c r="O3906" t="s">
        <v>40437</v>
      </c>
      <c r="P3906">
        <v>0</v>
      </c>
      <c r="Q3906">
        <v>0</v>
      </c>
      <c r="R3906" t="s">
        <v>40439</v>
      </c>
      <c r="S3906" t="s">
        <v>40588</v>
      </c>
      <c r="T3906" t="s">
        <v>42228</v>
      </c>
      <c r="U3906" t="s">
        <v>45018</v>
      </c>
      <c r="W3906" t="s">
        <v>37656</v>
      </c>
      <c r="X3906" t="s">
        <v>40440</v>
      </c>
    </row>
    <row r="3907" spans="1:24">
      <c r="A3907">
        <f>HYPERLINK("https://www.philgeps.gov.ph/GEPSNONPILOT/Tender/SplashBidNoticeAbstractUI.aspx?menuIndex=3&amp;refID=7046095&amp;Result=3","7046095")</f>
        <v>0</v>
      </c>
      <c r="B3907" t="s">
        <v>1241</v>
      </c>
      <c r="C3907" t="s">
        <v>6815</v>
      </c>
      <c r="D3907" t="s">
        <v>16216</v>
      </c>
      <c r="E3907" t="s">
        <v>19097</v>
      </c>
      <c r="F3907" t="s">
        <v>28198</v>
      </c>
      <c r="G3907" t="s">
        <v>28206</v>
      </c>
      <c r="H3907" t="s">
        <v>28215</v>
      </c>
      <c r="I3907" t="s">
        <v>28227</v>
      </c>
      <c r="J3907" t="s">
        <v>30885</v>
      </c>
      <c r="K3907" t="s">
        <v>36689</v>
      </c>
      <c r="M3907" t="s">
        <v>38290</v>
      </c>
      <c r="N3907" t="s">
        <v>40436</v>
      </c>
      <c r="O3907" t="s">
        <v>40437</v>
      </c>
      <c r="P3907">
        <v>0</v>
      </c>
      <c r="Q3907">
        <v>0</v>
      </c>
      <c r="R3907" t="s">
        <v>40439</v>
      </c>
      <c r="S3907" t="s">
        <v>40588</v>
      </c>
      <c r="T3907" t="s">
        <v>42303</v>
      </c>
      <c r="U3907" t="s">
        <v>45970</v>
      </c>
      <c r="W3907" t="s">
        <v>38290</v>
      </c>
      <c r="X3907" t="s">
        <v>40440</v>
      </c>
    </row>
    <row r="3908" spans="1:24">
      <c r="A3908">
        <f>HYPERLINK("https://www.philgeps.gov.ph/GEPSNONPILOT/Tender/SplashBidNoticeAbstractUI.aspx?menuIndex=3&amp;refID=7046085&amp;Result=3","7046085")</f>
        <v>0</v>
      </c>
      <c r="B3908" t="s">
        <v>1446</v>
      </c>
      <c r="C3908" t="s">
        <v>6816</v>
      </c>
      <c r="D3908" t="s">
        <v>16235</v>
      </c>
      <c r="E3908" t="s">
        <v>19794</v>
      </c>
      <c r="F3908" t="s">
        <v>28198</v>
      </c>
      <c r="G3908" t="s">
        <v>28206</v>
      </c>
      <c r="H3908" t="s">
        <v>28215</v>
      </c>
      <c r="I3908" t="s">
        <v>28225</v>
      </c>
      <c r="J3908" t="s">
        <v>30886</v>
      </c>
      <c r="K3908" t="s">
        <v>36706</v>
      </c>
      <c r="M3908" t="s">
        <v>38513</v>
      </c>
      <c r="N3908" t="s">
        <v>40436</v>
      </c>
      <c r="O3908" t="s">
        <v>40437</v>
      </c>
      <c r="P3908">
        <v>0</v>
      </c>
      <c r="Q3908">
        <v>3</v>
      </c>
      <c r="R3908" t="s">
        <v>40439</v>
      </c>
      <c r="S3908" t="s">
        <v>40588</v>
      </c>
      <c r="T3908" t="s">
        <v>42160</v>
      </c>
      <c r="U3908" t="s">
        <v>45971</v>
      </c>
      <c r="V3908" t="s">
        <v>54181</v>
      </c>
      <c r="W3908" t="s">
        <v>38513</v>
      </c>
      <c r="X3908" t="s">
        <v>40440</v>
      </c>
    </row>
    <row r="3909" spans="1:24">
      <c r="A3909">
        <f>HYPERLINK("https://www.philgeps.gov.ph/GEPSNONPILOT/Tender/SplashBidNoticeAbstractUI.aspx?menuIndex=3&amp;refID=7046092&amp;Result=3","7046092")</f>
        <v>0</v>
      </c>
      <c r="B3909" t="s">
        <v>1447</v>
      </c>
      <c r="C3909" t="s">
        <v>6817</v>
      </c>
      <c r="D3909" t="s">
        <v>16190</v>
      </c>
      <c r="E3909" t="s">
        <v>19795</v>
      </c>
      <c r="F3909" t="s">
        <v>28200</v>
      </c>
      <c r="G3909" t="s">
        <v>28207</v>
      </c>
      <c r="H3909" t="s">
        <v>28215</v>
      </c>
      <c r="I3909" t="s">
        <v>5100</v>
      </c>
      <c r="J3909" t="s">
        <v>30887</v>
      </c>
      <c r="K3909" t="s">
        <v>36701</v>
      </c>
      <c r="M3909" t="s">
        <v>38514</v>
      </c>
      <c r="N3909" t="s">
        <v>40436</v>
      </c>
      <c r="O3909" t="s">
        <v>40437</v>
      </c>
      <c r="P3909">
        <v>0</v>
      </c>
      <c r="Q3909">
        <v>0</v>
      </c>
      <c r="R3909" t="s">
        <v>40439</v>
      </c>
      <c r="S3909" t="s">
        <v>40588</v>
      </c>
      <c r="T3909" t="s">
        <v>42271</v>
      </c>
      <c r="U3909" t="s">
        <v>45972</v>
      </c>
      <c r="W3909" t="s">
        <v>38514</v>
      </c>
      <c r="X3909" t="s">
        <v>40440</v>
      </c>
    </row>
    <row r="3910" spans="1:24">
      <c r="A3910">
        <f>HYPERLINK("https://www.philgeps.gov.ph/GEPSNONPILOT/Tender/SplashBidNoticeAbstractUI.aspx?menuIndex=3&amp;refID=7046084&amp;Result=3","7046084")</f>
        <v>0</v>
      </c>
      <c r="B3910" t="s">
        <v>1385</v>
      </c>
      <c r="C3910" t="s">
        <v>6818</v>
      </c>
      <c r="D3910" t="s">
        <v>16222</v>
      </c>
      <c r="E3910" t="s">
        <v>19796</v>
      </c>
      <c r="F3910" t="s">
        <v>28198</v>
      </c>
      <c r="G3910" t="s">
        <v>28205</v>
      </c>
      <c r="H3910" t="s">
        <v>28215</v>
      </c>
      <c r="I3910" t="s">
        <v>28247</v>
      </c>
      <c r="J3910" t="s">
        <v>28393</v>
      </c>
      <c r="K3910" t="s">
        <v>36697</v>
      </c>
      <c r="M3910" t="s">
        <v>38449</v>
      </c>
      <c r="N3910" t="s">
        <v>40436</v>
      </c>
      <c r="O3910" t="s">
        <v>40437</v>
      </c>
      <c r="P3910">
        <v>0</v>
      </c>
      <c r="Q3910">
        <v>4</v>
      </c>
      <c r="R3910" t="s">
        <v>40439</v>
      </c>
      <c r="S3910" t="s">
        <v>40588</v>
      </c>
      <c r="T3910" t="s">
        <v>42300</v>
      </c>
      <c r="U3910" t="s">
        <v>45973</v>
      </c>
      <c r="V3910" t="s">
        <v>54161</v>
      </c>
      <c r="W3910" t="s">
        <v>38449</v>
      </c>
      <c r="X3910" t="s">
        <v>40440</v>
      </c>
    </row>
    <row r="3911" spans="1:24">
      <c r="A3911">
        <f>HYPERLINK("https://www.philgeps.gov.ph/GEPSNONPILOT/Tender/SplashBidNoticeAbstractUI.aspx?menuIndex=3&amp;refID=7046080&amp;Result=3","7046080")</f>
        <v>0</v>
      </c>
      <c r="B3911" t="s">
        <v>1442</v>
      </c>
      <c r="C3911" t="s">
        <v>6819</v>
      </c>
      <c r="D3911" t="s">
        <v>16191</v>
      </c>
      <c r="E3911" t="s">
        <v>19797</v>
      </c>
      <c r="F3911" t="s">
        <v>28198</v>
      </c>
      <c r="G3911" t="s">
        <v>28205</v>
      </c>
      <c r="H3911" t="s">
        <v>28214</v>
      </c>
      <c r="I3911" t="s">
        <v>3797</v>
      </c>
      <c r="J3911" t="s">
        <v>30888</v>
      </c>
      <c r="K3911" t="s">
        <v>36719</v>
      </c>
      <c r="M3911" t="s">
        <v>38509</v>
      </c>
      <c r="N3911" t="s">
        <v>40436</v>
      </c>
      <c r="O3911" t="s">
        <v>40437</v>
      </c>
      <c r="P3911">
        <v>0</v>
      </c>
      <c r="Q3911">
        <v>1</v>
      </c>
      <c r="R3911" t="s">
        <v>40439</v>
      </c>
      <c r="S3911" t="s">
        <v>40588</v>
      </c>
      <c r="T3911" t="s">
        <v>42128</v>
      </c>
      <c r="U3911" t="s">
        <v>45956</v>
      </c>
      <c r="W3911" t="s">
        <v>38509</v>
      </c>
      <c r="X3911" t="s">
        <v>40440</v>
      </c>
    </row>
    <row r="3912" spans="1:24">
      <c r="A3912">
        <f>HYPERLINK("https://www.philgeps.gov.ph/GEPSNONPILOT/Tender/SplashBidNoticeAbstractUI.aspx?menuIndex=3&amp;refID=7046082&amp;Result=3","7046082")</f>
        <v>0</v>
      </c>
      <c r="B3912" t="s">
        <v>1440</v>
      </c>
      <c r="C3912" t="s">
        <v>6820</v>
      </c>
      <c r="D3912" t="s">
        <v>16204</v>
      </c>
      <c r="E3912" t="s">
        <v>6820</v>
      </c>
      <c r="F3912" t="s">
        <v>28198</v>
      </c>
      <c r="G3912" t="s">
        <v>28206</v>
      </c>
      <c r="H3912" t="s">
        <v>28215</v>
      </c>
      <c r="I3912" t="s">
        <v>5082</v>
      </c>
      <c r="J3912" t="s">
        <v>30213</v>
      </c>
      <c r="K3912" t="s">
        <v>36693</v>
      </c>
      <c r="M3912" t="s">
        <v>38507</v>
      </c>
      <c r="N3912" t="s">
        <v>40436</v>
      </c>
      <c r="O3912" t="s">
        <v>40437</v>
      </c>
      <c r="P3912">
        <v>0</v>
      </c>
      <c r="Q3912">
        <v>0</v>
      </c>
      <c r="R3912" t="s">
        <v>40439</v>
      </c>
      <c r="S3912" t="s">
        <v>40588</v>
      </c>
      <c r="T3912" t="s">
        <v>42277</v>
      </c>
      <c r="U3912" t="s">
        <v>45954</v>
      </c>
      <c r="W3912" t="s">
        <v>38507</v>
      </c>
      <c r="X3912" t="s">
        <v>40440</v>
      </c>
    </row>
    <row r="3913" spans="1:24">
      <c r="A3913">
        <f>HYPERLINK("https://www.philgeps.gov.ph/GEPSNONPILOT/Tender/SplashBidNoticeAbstractUI.aspx?menuIndex=3&amp;refID=7046101&amp;Result=3","7046101")</f>
        <v>0</v>
      </c>
      <c r="B3913" t="s">
        <v>1214</v>
      </c>
      <c r="C3913" t="s">
        <v>6821</v>
      </c>
      <c r="D3913" t="s">
        <v>16187</v>
      </c>
      <c r="E3913" t="s">
        <v>19270</v>
      </c>
      <c r="F3913" t="s">
        <v>28198</v>
      </c>
      <c r="G3913" t="s">
        <v>28205</v>
      </c>
      <c r="H3913" t="s">
        <v>28214</v>
      </c>
      <c r="I3913" t="s">
        <v>8870</v>
      </c>
      <c r="J3913" t="s">
        <v>30546</v>
      </c>
      <c r="K3913" t="s">
        <v>36715</v>
      </c>
      <c r="M3913" t="s">
        <v>38259</v>
      </c>
      <c r="N3913" t="s">
        <v>40436</v>
      </c>
      <c r="O3913" t="s">
        <v>40437</v>
      </c>
      <c r="P3913">
        <v>0</v>
      </c>
      <c r="Q3913">
        <v>0</v>
      </c>
      <c r="R3913" t="s">
        <v>40439</v>
      </c>
      <c r="S3913" t="s">
        <v>40588</v>
      </c>
      <c r="T3913" t="s">
        <v>42261</v>
      </c>
      <c r="U3913" t="s">
        <v>45974</v>
      </c>
      <c r="W3913" t="s">
        <v>38259</v>
      </c>
      <c r="X3913" t="s">
        <v>40440</v>
      </c>
    </row>
    <row r="3914" spans="1:24">
      <c r="A3914">
        <f>HYPERLINK("https://www.philgeps.gov.ph/GEPSNONPILOT/Tender/SplashBidNoticeAbstractUI.aspx?menuIndex=3&amp;refID=7046097&amp;Result=3","7046097")</f>
        <v>0</v>
      </c>
      <c r="B3914" t="s">
        <v>1448</v>
      </c>
      <c r="C3914" t="s">
        <v>6822</v>
      </c>
      <c r="D3914" t="s">
        <v>16271</v>
      </c>
      <c r="E3914" t="s">
        <v>19798</v>
      </c>
      <c r="F3914" t="s">
        <v>28198</v>
      </c>
      <c r="G3914" t="s">
        <v>28205</v>
      </c>
      <c r="H3914" t="s">
        <v>28215</v>
      </c>
      <c r="I3914" t="s">
        <v>5100</v>
      </c>
      <c r="J3914" t="s">
        <v>30889</v>
      </c>
      <c r="K3914" t="s">
        <v>36701</v>
      </c>
      <c r="M3914" t="s">
        <v>38515</v>
      </c>
      <c r="N3914" t="s">
        <v>40436</v>
      </c>
      <c r="O3914" t="s">
        <v>40437</v>
      </c>
      <c r="P3914">
        <v>0</v>
      </c>
      <c r="Q3914">
        <v>0</v>
      </c>
      <c r="R3914" t="s">
        <v>40439</v>
      </c>
      <c r="S3914" t="s">
        <v>40588</v>
      </c>
      <c r="T3914" t="s">
        <v>42133</v>
      </c>
      <c r="U3914" t="s">
        <v>45975</v>
      </c>
      <c r="W3914" t="s">
        <v>38515</v>
      </c>
      <c r="X3914" t="s">
        <v>40440</v>
      </c>
    </row>
    <row r="3915" spans="1:24">
      <c r="A3915">
        <f>HYPERLINK("https://www.philgeps.gov.ph/GEPSNONPILOT/Tender/SplashBidNoticeAbstractUI.aspx?menuIndex=3&amp;refID=7046076&amp;Result=3","7046076")</f>
        <v>0</v>
      </c>
      <c r="B3915" t="s">
        <v>1426</v>
      </c>
      <c r="C3915" t="s">
        <v>6823</v>
      </c>
      <c r="D3915" t="s">
        <v>16216</v>
      </c>
      <c r="E3915" t="s">
        <v>19799</v>
      </c>
      <c r="F3915" t="s">
        <v>28198</v>
      </c>
      <c r="G3915" t="s">
        <v>28207</v>
      </c>
      <c r="H3915" t="s">
        <v>28215</v>
      </c>
      <c r="I3915" t="s">
        <v>4222</v>
      </c>
      <c r="J3915" t="s">
        <v>30890</v>
      </c>
      <c r="K3915" t="s">
        <v>36706</v>
      </c>
      <c r="M3915" t="s">
        <v>38492</v>
      </c>
      <c r="N3915" t="s">
        <v>40436</v>
      </c>
      <c r="O3915" t="s">
        <v>40437</v>
      </c>
      <c r="P3915">
        <v>0</v>
      </c>
      <c r="Q3915">
        <v>0</v>
      </c>
      <c r="R3915" t="s">
        <v>40439</v>
      </c>
      <c r="S3915" t="s">
        <v>40588</v>
      </c>
      <c r="T3915" t="s">
        <v>42373</v>
      </c>
      <c r="U3915" t="s">
        <v>45976</v>
      </c>
      <c r="V3915" t="s">
        <v>54174</v>
      </c>
      <c r="W3915" t="s">
        <v>38492</v>
      </c>
      <c r="X3915" t="s">
        <v>40440</v>
      </c>
    </row>
    <row r="3916" spans="1:24">
      <c r="A3916">
        <f>HYPERLINK("https://www.philgeps.gov.ph/GEPSNONPILOT/Tender/SplashBidNoticeAbstractUI.aspx?menuIndex=3&amp;refID=7046099&amp;Result=3","7046099")</f>
        <v>0</v>
      </c>
      <c r="B3916" t="s">
        <v>1225</v>
      </c>
      <c r="C3916" t="s">
        <v>6824</v>
      </c>
      <c r="D3916" t="s">
        <v>16236</v>
      </c>
      <c r="E3916" t="s">
        <v>19800</v>
      </c>
      <c r="F3916" t="s">
        <v>28198</v>
      </c>
      <c r="G3916" t="s">
        <v>28207</v>
      </c>
      <c r="H3916" t="s">
        <v>28215</v>
      </c>
      <c r="I3916" t="s">
        <v>28274</v>
      </c>
      <c r="J3916" t="s">
        <v>30891</v>
      </c>
      <c r="K3916" t="s">
        <v>36701</v>
      </c>
      <c r="M3916" t="s">
        <v>38273</v>
      </c>
      <c r="N3916" t="s">
        <v>40436</v>
      </c>
      <c r="O3916" t="s">
        <v>40437</v>
      </c>
      <c r="P3916">
        <v>0</v>
      </c>
      <c r="Q3916">
        <v>0</v>
      </c>
      <c r="R3916" t="s">
        <v>40439</v>
      </c>
      <c r="S3916" t="s">
        <v>40588</v>
      </c>
      <c r="T3916" t="s">
        <v>42129</v>
      </c>
      <c r="U3916" t="s">
        <v>45977</v>
      </c>
      <c r="V3916" t="s">
        <v>54116</v>
      </c>
      <c r="W3916" t="s">
        <v>38273</v>
      </c>
      <c r="X3916" t="s">
        <v>40440</v>
      </c>
    </row>
    <row r="3917" spans="1:24">
      <c r="A3917">
        <f>HYPERLINK("https://www.philgeps.gov.ph/GEPSNONPILOT/Tender/SplashBidNoticeAbstractUI.aspx?menuIndex=3&amp;refID=7046102&amp;Result=3","7046102")</f>
        <v>0</v>
      </c>
      <c r="B3917" t="s">
        <v>1023</v>
      </c>
      <c r="C3917" t="s">
        <v>6825</v>
      </c>
      <c r="D3917" t="s">
        <v>16265</v>
      </c>
      <c r="E3917" t="s">
        <v>19801</v>
      </c>
      <c r="F3917" t="s">
        <v>28198</v>
      </c>
      <c r="G3917" t="s">
        <v>28205</v>
      </c>
      <c r="H3917" t="s">
        <v>28215</v>
      </c>
      <c r="I3917" t="s">
        <v>28224</v>
      </c>
      <c r="J3917" t="s">
        <v>30892</v>
      </c>
      <c r="K3917" t="s">
        <v>36701</v>
      </c>
      <c r="M3917" t="s">
        <v>38054</v>
      </c>
      <c r="N3917" t="s">
        <v>40436</v>
      </c>
      <c r="O3917" t="s">
        <v>40437</v>
      </c>
      <c r="P3917">
        <v>0</v>
      </c>
      <c r="Q3917">
        <v>0</v>
      </c>
      <c r="R3917" t="s">
        <v>40439</v>
      </c>
      <c r="S3917" t="s">
        <v>40588</v>
      </c>
      <c r="T3917" t="s">
        <v>42108</v>
      </c>
      <c r="U3917" t="s">
        <v>45978</v>
      </c>
      <c r="W3917" t="s">
        <v>38054</v>
      </c>
      <c r="X3917" t="s">
        <v>40440</v>
      </c>
    </row>
    <row r="3918" spans="1:24">
      <c r="A3918">
        <f>HYPERLINK("https://www.philgeps.gov.ph/GEPSNONPILOT/Tender/SplashBidNoticeAbstractUI.aspx?menuIndex=3&amp;refID=7046103&amp;Result=3","7046103")</f>
        <v>0</v>
      </c>
      <c r="B3918" t="s">
        <v>1123</v>
      </c>
      <c r="C3918" t="s">
        <v>6801</v>
      </c>
      <c r="D3918" t="s">
        <v>16192</v>
      </c>
      <c r="E3918" t="s">
        <v>19802</v>
      </c>
      <c r="F3918" t="s">
        <v>28198</v>
      </c>
      <c r="G3918" t="s">
        <v>28206</v>
      </c>
      <c r="H3918" t="s">
        <v>28215</v>
      </c>
      <c r="I3918" t="s">
        <v>5082</v>
      </c>
      <c r="J3918" t="s">
        <v>30893</v>
      </c>
      <c r="K3918" t="s">
        <v>36688</v>
      </c>
      <c r="M3918" t="s">
        <v>38161</v>
      </c>
      <c r="N3918" t="s">
        <v>40436</v>
      </c>
      <c r="O3918" t="s">
        <v>40437</v>
      </c>
      <c r="P3918">
        <v>0</v>
      </c>
      <c r="Q3918">
        <v>0</v>
      </c>
      <c r="R3918" t="s">
        <v>40439</v>
      </c>
      <c r="S3918" t="s">
        <v>40588</v>
      </c>
      <c r="T3918" t="s">
        <v>42129</v>
      </c>
      <c r="U3918" t="s">
        <v>45979</v>
      </c>
      <c r="W3918" t="s">
        <v>38161</v>
      </c>
      <c r="X3918" t="s">
        <v>40440</v>
      </c>
    </row>
    <row r="3919" spans="1:24">
      <c r="A3919">
        <f>HYPERLINK("https://www.philgeps.gov.ph/GEPSNONPILOT/Tender/SplashBidNoticeAbstractUI.aspx?menuIndex=3&amp;refID=7046096&amp;Result=3","7046096")</f>
        <v>0</v>
      </c>
      <c r="B3919" t="s">
        <v>1449</v>
      </c>
      <c r="C3919" t="s">
        <v>6826</v>
      </c>
      <c r="D3919" t="s">
        <v>16189</v>
      </c>
      <c r="E3919" t="s">
        <v>19803</v>
      </c>
      <c r="F3919" t="s">
        <v>28198</v>
      </c>
      <c r="G3919" t="s">
        <v>28205</v>
      </c>
      <c r="H3919" t="s">
        <v>28214</v>
      </c>
      <c r="I3919" t="s">
        <v>3797</v>
      </c>
      <c r="J3919" t="s">
        <v>30894</v>
      </c>
      <c r="K3919" t="s">
        <v>36736</v>
      </c>
      <c r="M3919" t="s">
        <v>38516</v>
      </c>
      <c r="N3919" t="s">
        <v>40436</v>
      </c>
      <c r="O3919" t="s">
        <v>40437</v>
      </c>
      <c r="P3919">
        <v>0</v>
      </c>
      <c r="Q3919">
        <v>0</v>
      </c>
      <c r="R3919" t="s">
        <v>40439</v>
      </c>
      <c r="S3919" t="s">
        <v>40588</v>
      </c>
      <c r="T3919" t="s">
        <v>42180</v>
      </c>
      <c r="U3919" t="s">
        <v>45980</v>
      </c>
      <c r="W3919" t="s">
        <v>38516</v>
      </c>
      <c r="X3919" t="s">
        <v>40440</v>
      </c>
    </row>
    <row r="3920" spans="1:24">
      <c r="A3920">
        <f>HYPERLINK("https://www.philgeps.gov.ph/GEPSNONPILOT/Tender/SplashBidNoticeAbstractUI.aspx?menuIndex=3&amp;refID=7046098&amp;Result=3","7046098")</f>
        <v>0</v>
      </c>
      <c r="B3920" t="s">
        <v>1450</v>
      </c>
      <c r="C3920" t="s">
        <v>6827</v>
      </c>
      <c r="D3920" t="s">
        <v>16241</v>
      </c>
      <c r="E3920" t="s">
        <v>16591</v>
      </c>
      <c r="F3920" t="s">
        <v>28198</v>
      </c>
      <c r="G3920" t="s">
        <v>28207</v>
      </c>
      <c r="H3920" t="s">
        <v>28214</v>
      </c>
      <c r="I3920" t="s">
        <v>3797</v>
      </c>
      <c r="J3920" t="s">
        <v>28406</v>
      </c>
      <c r="K3920" t="s">
        <v>36720</v>
      </c>
      <c r="M3920" t="s">
        <v>38517</v>
      </c>
      <c r="N3920" t="s">
        <v>40436</v>
      </c>
      <c r="O3920" t="s">
        <v>40437</v>
      </c>
      <c r="P3920">
        <v>0</v>
      </c>
      <c r="Q3920">
        <v>0</v>
      </c>
      <c r="R3920" t="s">
        <v>40439</v>
      </c>
      <c r="S3920" t="s">
        <v>40588</v>
      </c>
      <c r="T3920" t="s">
        <v>42213</v>
      </c>
      <c r="U3920" t="s">
        <v>45981</v>
      </c>
      <c r="W3920" t="s">
        <v>38517</v>
      </c>
      <c r="X3920" t="s">
        <v>40440</v>
      </c>
    </row>
    <row r="3921" spans="1:24">
      <c r="A3921">
        <f>HYPERLINK("https://www.philgeps.gov.ph/GEPSNONPILOT/Tender/SplashBidNoticeAbstractUI.aspx?menuIndex=3&amp;refID=7046119&amp;Result=3","7046119")</f>
        <v>0</v>
      </c>
      <c r="B3921" t="s">
        <v>732</v>
      </c>
      <c r="C3921" t="s">
        <v>6828</v>
      </c>
      <c r="E3921" t="s">
        <v>19804</v>
      </c>
      <c r="F3921" t="s">
        <v>28198</v>
      </c>
      <c r="G3921" t="s">
        <v>28207</v>
      </c>
      <c r="H3921" t="s">
        <v>28215</v>
      </c>
      <c r="I3921" t="s">
        <v>28274</v>
      </c>
      <c r="J3921" t="s">
        <v>30895</v>
      </c>
      <c r="K3921" t="s">
        <v>36689</v>
      </c>
      <c r="M3921" t="s">
        <v>37733</v>
      </c>
      <c r="N3921" t="s">
        <v>40436</v>
      </c>
      <c r="O3921" t="s">
        <v>40437</v>
      </c>
      <c r="P3921">
        <v>0</v>
      </c>
      <c r="Q3921">
        <v>2</v>
      </c>
      <c r="R3921" t="s">
        <v>40439</v>
      </c>
      <c r="S3921" t="s">
        <v>40588</v>
      </c>
      <c r="T3921" t="s">
        <v>42158</v>
      </c>
      <c r="U3921" t="s">
        <v>45982</v>
      </c>
      <c r="V3921" t="s">
        <v>53961</v>
      </c>
      <c r="W3921" t="s">
        <v>37733</v>
      </c>
      <c r="X3921" t="s">
        <v>40440</v>
      </c>
    </row>
    <row r="3922" spans="1:24">
      <c r="A3922">
        <f>HYPERLINK("https://www.philgeps.gov.ph/GEPSNONPILOT/Tender/SplashBidNoticeAbstractUI.aspx?menuIndex=3&amp;refID=7046077&amp;Result=3","7046077")</f>
        <v>0</v>
      </c>
      <c r="B3922" t="s">
        <v>1451</v>
      </c>
      <c r="C3922" t="s">
        <v>6829</v>
      </c>
      <c r="D3922" t="s">
        <v>16199</v>
      </c>
      <c r="E3922" t="s">
        <v>19805</v>
      </c>
      <c r="F3922" t="s">
        <v>28198</v>
      </c>
      <c r="G3922" t="s">
        <v>28205</v>
      </c>
      <c r="H3922" t="s">
        <v>28214</v>
      </c>
      <c r="I3922" t="s">
        <v>3797</v>
      </c>
      <c r="J3922" t="s">
        <v>30896</v>
      </c>
      <c r="K3922" t="s">
        <v>36715</v>
      </c>
      <c r="M3922" t="s">
        <v>38518</v>
      </c>
      <c r="N3922" t="s">
        <v>40436</v>
      </c>
      <c r="O3922" t="s">
        <v>40437</v>
      </c>
      <c r="P3922">
        <v>0</v>
      </c>
      <c r="Q3922">
        <v>2</v>
      </c>
      <c r="R3922" t="s">
        <v>40439</v>
      </c>
      <c r="S3922" t="s">
        <v>40588</v>
      </c>
      <c r="T3922" t="s">
        <v>42152</v>
      </c>
      <c r="U3922" t="s">
        <v>45983</v>
      </c>
      <c r="W3922" t="s">
        <v>38518</v>
      </c>
      <c r="X3922" t="s">
        <v>40440</v>
      </c>
    </row>
    <row r="3923" spans="1:24">
      <c r="A3923">
        <f>HYPERLINK("https://www.philgeps.gov.ph/GEPSNONPILOT/Tender/SplashBidNoticeAbstractUI.aspx?menuIndex=3&amp;refID=7046109&amp;Result=3","7046109")</f>
        <v>0</v>
      </c>
      <c r="B3923" t="s">
        <v>1442</v>
      </c>
      <c r="C3923" t="s">
        <v>6830</v>
      </c>
      <c r="D3923" t="s">
        <v>16191</v>
      </c>
      <c r="E3923" t="s">
        <v>19806</v>
      </c>
      <c r="F3923" t="s">
        <v>28198</v>
      </c>
      <c r="G3923" t="s">
        <v>28205</v>
      </c>
      <c r="H3923" t="s">
        <v>28214</v>
      </c>
      <c r="I3923" t="s">
        <v>3797</v>
      </c>
      <c r="J3923" t="s">
        <v>30897</v>
      </c>
      <c r="K3923" t="s">
        <v>36786</v>
      </c>
      <c r="M3923" t="s">
        <v>38509</v>
      </c>
      <c r="N3923" t="s">
        <v>40436</v>
      </c>
      <c r="O3923" t="s">
        <v>40437</v>
      </c>
      <c r="P3923">
        <v>0</v>
      </c>
      <c r="Q3923">
        <v>0</v>
      </c>
      <c r="R3923" t="s">
        <v>40439</v>
      </c>
      <c r="S3923" t="s">
        <v>40588</v>
      </c>
      <c r="T3923" t="s">
        <v>42110</v>
      </c>
      <c r="U3923" t="s">
        <v>45956</v>
      </c>
      <c r="W3923" t="s">
        <v>38509</v>
      </c>
      <c r="X3923" t="s">
        <v>40440</v>
      </c>
    </row>
    <row r="3924" spans="1:24">
      <c r="A3924">
        <f>HYPERLINK("https://www.philgeps.gov.ph/GEPSNONPILOT/Tender/SplashBidNoticeAbstractUI.aspx?menuIndex=3&amp;refID=7046118&amp;Result=3","7046118")</f>
        <v>0</v>
      </c>
      <c r="B3924" t="s">
        <v>1452</v>
      </c>
      <c r="C3924" t="s">
        <v>6831</v>
      </c>
      <c r="E3924" t="s">
        <v>19807</v>
      </c>
      <c r="F3924" t="s">
        <v>28200</v>
      </c>
      <c r="G3924" t="s">
        <v>28207</v>
      </c>
      <c r="H3924" t="s">
        <v>28215</v>
      </c>
      <c r="I3924" t="s">
        <v>8888</v>
      </c>
      <c r="J3924" t="s">
        <v>29957</v>
      </c>
      <c r="K3924" t="s">
        <v>36689</v>
      </c>
      <c r="M3924" t="s">
        <v>38519</v>
      </c>
      <c r="N3924" t="s">
        <v>40436</v>
      </c>
      <c r="O3924" t="s">
        <v>40437</v>
      </c>
      <c r="P3924">
        <v>0</v>
      </c>
      <c r="Q3924">
        <v>0</v>
      </c>
      <c r="R3924" t="s">
        <v>40439</v>
      </c>
      <c r="S3924" t="s">
        <v>40588</v>
      </c>
      <c r="T3924" t="s">
        <v>42102</v>
      </c>
      <c r="U3924" t="s">
        <v>45984</v>
      </c>
      <c r="W3924" t="s">
        <v>38519</v>
      </c>
      <c r="X3924" t="s">
        <v>40440</v>
      </c>
    </row>
    <row r="3925" spans="1:24">
      <c r="A3925">
        <f>HYPERLINK("https://www.philgeps.gov.ph/GEPSNONPILOT/Tender/SplashBidNoticeAbstractUI.aspx?menuIndex=3&amp;refID=7046116&amp;Result=3","7046116")</f>
        <v>0</v>
      </c>
      <c r="B3925" t="s">
        <v>1019</v>
      </c>
      <c r="C3925" t="s">
        <v>6832</v>
      </c>
      <c r="D3925" t="s">
        <v>16202</v>
      </c>
      <c r="E3925" t="s">
        <v>19808</v>
      </c>
      <c r="F3925" t="s">
        <v>28198</v>
      </c>
      <c r="G3925" t="s">
        <v>28207</v>
      </c>
      <c r="H3925" t="s">
        <v>28215</v>
      </c>
      <c r="I3925" t="s">
        <v>5082</v>
      </c>
      <c r="J3925" t="s">
        <v>30898</v>
      </c>
      <c r="K3925" t="s">
        <v>36707</v>
      </c>
      <c r="M3925" t="s">
        <v>38048</v>
      </c>
      <c r="N3925" t="s">
        <v>40436</v>
      </c>
      <c r="O3925" t="s">
        <v>40437</v>
      </c>
      <c r="P3925">
        <v>0</v>
      </c>
      <c r="Q3925">
        <v>1</v>
      </c>
      <c r="R3925" t="s">
        <v>40439</v>
      </c>
      <c r="S3925" t="s">
        <v>40588</v>
      </c>
      <c r="T3925" t="s">
        <v>42158</v>
      </c>
      <c r="U3925" t="s">
        <v>45985</v>
      </c>
      <c r="W3925" t="s">
        <v>38048</v>
      </c>
      <c r="X3925" t="s">
        <v>40440</v>
      </c>
    </row>
    <row r="3926" spans="1:24">
      <c r="A3926">
        <f>HYPERLINK("https://www.philgeps.gov.ph/GEPSNONPILOT/Tender/SplashBidNoticeAbstractUI.aspx?menuIndex=3&amp;refID=7046105&amp;Result=3","7046105")</f>
        <v>0</v>
      </c>
      <c r="B3926" t="s">
        <v>1063</v>
      </c>
      <c r="C3926" t="s">
        <v>6833</v>
      </c>
      <c r="D3926" t="s">
        <v>16188</v>
      </c>
      <c r="E3926" t="s">
        <v>19809</v>
      </c>
      <c r="F3926" t="s">
        <v>28198</v>
      </c>
      <c r="G3926" t="s">
        <v>28205</v>
      </c>
      <c r="H3926" t="s">
        <v>28215</v>
      </c>
      <c r="I3926" t="s">
        <v>28225</v>
      </c>
      <c r="J3926" t="s">
        <v>30899</v>
      </c>
      <c r="K3926" t="s">
        <v>36689</v>
      </c>
      <c r="M3926" t="s">
        <v>38491</v>
      </c>
      <c r="N3926" t="s">
        <v>40436</v>
      </c>
      <c r="O3926" t="s">
        <v>40437</v>
      </c>
      <c r="P3926">
        <v>0</v>
      </c>
      <c r="Q3926">
        <v>6</v>
      </c>
      <c r="R3926" t="s">
        <v>40439</v>
      </c>
      <c r="S3926" t="s">
        <v>40588</v>
      </c>
      <c r="T3926" t="s">
        <v>42203</v>
      </c>
      <c r="U3926" t="s">
        <v>45986</v>
      </c>
      <c r="W3926" t="s">
        <v>38491</v>
      </c>
      <c r="X3926" t="s">
        <v>40440</v>
      </c>
    </row>
    <row r="3927" spans="1:24">
      <c r="A3927">
        <f>HYPERLINK("https://www.philgeps.gov.ph/GEPSNONPILOT/Tender/SplashBidNoticeAbstractUI.aspx?menuIndex=3&amp;refID=7046114&amp;Result=3","7046114")</f>
        <v>0</v>
      </c>
      <c r="B3927" t="s">
        <v>418</v>
      </c>
      <c r="C3927" t="s">
        <v>6834</v>
      </c>
      <c r="D3927" t="s">
        <v>16230</v>
      </c>
      <c r="E3927" t="s">
        <v>19810</v>
      </c>
      <c r="F3927" t="s">
        <v>28198</v>
      </c>
      <c r="G3927" t="s">
        <v>28207</v>
      </c>
      <c r="H3927" t="s">
        <v>28215</v>
      </c>
      <c r="I3927" t="s">
        <v>6786</v>
      </c>
      <c r="J3927" t="s">
        <v>30900</v>
      </c>
      <c r="K3927" t="s">
        <v>36701</v>
      </c>
      <c r="M3927" t="s">
        <v>37400</v>
      </c>
      <c r="N3927" t="s">
        <v>40436</v>
      </c>
      <c r="O3927" t="s">
        <v>40437</v>
      </c>
      <c r="P3927">
        <v>0</v>
      </c>
      <c r="Q3927">
        <v>1</v>
      </c>
      <c r="R3927" t="s">
        <v>40439</v>
      </c>
      <c r="S3927" t="s">
        <v>40588</v>
      </c>
      <c r="T3927" t="s">
        <v>42169</v>
      </c>
      <c r="U3927" t="s">
        <v>45987</v>
      </c>
      <c r="W3927" t="s">
        <v>37400</v>
      </c>
      <c r="X3927" t="s">
        <v>40440</v>
      </c>
    </row>
    <row r="3928" spans="1:24">
      <c r="A3928">
        <f>HYPERLINK("https://www.philgeps.gov.ph/GEPSNONPILOT/Tender/SplashBidNoticeAbstractUI.aspx?menuIndex=3&amp;refID=7046115&amp;Result=3","7046115")</f>
        <v>0</v>
      </c>
      <c r="B3928" t="s">
        <v>1147</v>
      </c>
      <c r="C3928" t="s">
        <v>6835</v>
      </c>
      <c r="D3928" t="s">
        <v>16213</v>
      </c>
      <c r="E3928" t="s">
        <v>19811</v>
      </c>
      <c r="F3928" t="s">
        <v>28198</v>
      </c>
      <c r="G3928" t="s">
        <v>28207</v>
      </c>
      <c r="H3928" t="s">
        <v>28214</v>
      </c>
      <c r="I3928" t="s">
        <v>3797</v>
      </c>
      <c r="J3928" t="s">
        <v>28378</v>
      </c>
      <c r="K3928" t="s">
        <v>36704</v>
      </c>
      <c r="M3928" t="s">
        <v>38187</v>
      </c>
      <c r="N3928" t="s">
        <v>40436</v>
      </c>
      <c r="O3928" t="s">
        <v>40437</v>
      </c>
      <c r="P3928">
        <v>0</v>
      </c>
      <c r="Q3928">
        <v>0</v>
      </c>
      <c r="R3928" t="s">
        <v>40439</v>
      </c>
      <c r="S3928" t="s">
        <v>40588</v>
      </c>
      <c r="T3928" t="s">
        <v>42190</v>
      </c>
      <c r="U3928" t="s">
        <v>45988</v>
      </c>
      <c r="W3928" t="s">
        <v>38187</v>
      </c>
      <c r="X3928" t="s">
        <v>40440</v>
      </c>
    </row>
    <row r="3929" spans="1:24">
      <c r="A3929">
        <f>HYPERLINK("https://www.philgeps.gov.ph/GEPSNONPILOT/Tender/SplashBidNoticeAbstractUI.aspx?menuIndex=3&amp;refID=7046104&amp;Result=3","7046104")</f>
        <v>0</v>
      </c>
      <c r="B3929" t="s">
        <v>491</v>
      </c>
      <c r="C3929" t="s">
        <v>6836</v>
      </c>
      <c r="E3929" t="s">
        <v>19812</v>
      </c>
      <c r="F3929" t="s">
        <v>28198</v>
      </c>
      <c r="G3929" t="s">
        <v>28207</v>
      </c>
      <c r="H3929" t="s">
        <v>28215</v>
      </c>
      <c r="I3929" t="s">
        <v>28225</v>
      </c>
      <c r="J3929" t="s">
        <v>30901</v>
      </c>
      <c r="K3929" t="s">
        <v>36689</v>
      </c>
      <c r="M3929" t="s">
        <v>37476</v>
      </c>
      <c r="N3929" t="s">
        <v>40436</v>
      </c>
      <c r="O3929" t="s">
        <v>40437</v>
      </c>
      <c r="P3929">
        <v>0</v>
      </c>
      <c r="Q3929">
        <v>3</v>
      </c>
      <c r="R3929" t="s">
        <v>40439</v>
      </c>
      <c r="S3929" t="s">
        <v>40588</v>
      </c>
      <c r="T3929" t="s">
        <v>42133</v>
      </c>
      <c r="U3929" t="s">
        <v>45989</v>
      </c>
      <c r="W3929" t="s">
        <v>37476</v>
      </c>
      <c r="X3929" t="s">
        <v>40440</v>
      </c>
    </row>
    <row r="3930" spans="1:24">
      <c r="A3930">
        <f>HYPERLINK("https://www.philgeps.gov.ph/GEPSNONPILOT/Tender/SplashBidNoticeAbstractUI.aspx?menuIndex=3&amp;refID=7046110&amp;Result=3","7046110")</f>
        <v>0</v>
      </c>
      <c r="B3930" t="s">
        <v>1453</v>
      </c>
      <c r="C3930" t="s">
        <v>6837</v>
      </c>
      <c r="D3930" t="s">
        <v>16210</v>
      </c>
      <c r="E3930" t="s">
        <v>19813</v>
      </c>
      <c r="F3930" t="s">
        <v>28198</v>
      </c>
      <c r="G3930" t="s">
        <v>28206</v>
      </c>
      <c r="H3930" t="s">
        <v>28215</v>
      </c>
      <c r="I3930" t="s">
        <v>28225</v>
      </c>
      <c r="J3930" t="s">
        <v>28415</v>
      </c>
      <c r="K3930" t="s">
        <v>36689</v>
      </c>
      <c r="M3930" t="s">
        <v>38520</v>
      </c>
      <c r="N3930" t="s">
        <v>40436</v>
      </c>
      <c r="O3930" t="s">
        <v>40437</v>
      </c>
      <c r="P3930">
        <v>0</v>
      </c>
      <c r="Q3930">
        <v>16</v>
      </c>
      <c r="R3930" t="s">
        <v>40439</v>
      </c>
      <c r="S3930" t="s">
        <v>40588</v>
      </c>
      <c r="T3930" t="s">
        <v>42185</v>
      </c>
      <c r="U3930" t="s">
        <v>45990</v>
      </c>
      <c r="W3930" t="s">
        <v>38520</v>
      </c>
      <c r="X3930" t="s">
        <v>40440</v>
      </c>
    </row>
    <row r="3931" spans="1:24">
      <c r="A3931">
        <f>HYPERLINK("https://www.philgeps.gov.ph/GEPSNONPILOT/Tender/SplashBidNoticeAbstractUI.aspx?menuIndex=3&amp;refID=7046111&amp;Result=3","7046111")</f>
        <v>0</v>
      </c>
      <c r="B3931" t="s">
        <v>1088</v>
      </c>
      <c r="C3931" t="s">
        <v>6838</v>
      </c>
      <c r="D3931" t="s">
        <v>16244</v>
      </c>
      <c r="E3931" t="s">
        <v>19814</v>
      </c>
      <c r="F3931" t="s">
        <v>28198</v>
      </c>
      <c r="G3931" t="s">
        <v>28207</v>
      </c>
      <c r="H3931" t="s">
        <v>28215</v>
      </c>
      <c r="I3931" t="s">
        <v>5791</v>
      </c>
      <c r="J3931" t="s">
        <v>30902</v>
      </c>
      <c r="K3931" t="s">
        <v>36688</v>
      </c>
      <c r="M3931" t="s">
        <v>38123</v>
      </c>
      <c r="N3931" t="s">
        <v>40436</v>
      </c>
      <c r="O3931" t="s">
        <v>40437</v>
      </c>
      <c r="P3931">
        <v>0</v>
      </c>
      <c r="Q3931">
        <v>1</v>
      </c>
      <c r="R3931" t="s">
        <v>40439</v>
      </c>
      <c r="S3931" t="s">
        <v>40588</v>
      </c>
      <c r="T3931" t="s">
        <v>42190</v>
      </c>
      <c r="U3931" t="s">
        <v>45991</v>
      </c>
      <c r="W3931" t="s">
        <v>55472</v>
      </c>
      <c r="X3931" t="s">
        <v>40440</v>
      </c>
    </row>
    <row r="3932" spans="1:24">
      <c r="A3932">
        <f>HYPERLINK("https://www.philgeps.gov.ph/GEPSNONPILOT/Tender/SplashBidNoticeAbstractUI.aspx?menuIndex=3&amp;refID=7046107&amp;Result=3","7046107")</f>
        <v>0</v>
      </c>
      <c r="B3932" t="s">
        <v>747</v>
      </c>
      <c r="C3932" t="s">
        <v>6839</v>
      </c>
      <c r="D3932" t="s">
        <v>16230</v>
      </c>
      <c r="E3932" t="s">
        <v>19815</v>
      </c>
      <c r="F3932" t="s">
        <v>28198</v>
      </c>
      <c r="G3932" t="s">
        <v>28206</v>
      </c>
      <c r="H3932" t="s">
        <v>28215</v>
      </c>
      <c r="I3932" t="s">
        <v>5791</v>
      </c>
      <c r="J3932" t="s">
        <v>30276</v>
      </c>
      <c r="K3932" t="s">
        <v>36689</v>
      </c>
      <c r="M3932" t="s">
        <v>37750</v>
      </c>
      <c r="N3932" t="s">
        <v>40436</v>
      </c>
      <c r="O3932" t="s">
        <v>40437</v>
      </c>
      <c r="P3932">
        <v>0</v>
      </c>
      <c r="Q3932">
        <v>0</v>
      </c>
      <c r="R3932" t="s">
        <v>40439</v>
      </c>
      <c r="S3932" t="s">
        <v>40588</v>
      </c>
      <c r="T3932" t="s">
        <v>42245</v>
      </c>
      <c r="U3932" t="s">
        <v>45992</v>
      </c>
      <c r="W3932" t="s">
        <v>37750</v>
      </c>
      <c r="X3932" t="s">
        <v>40440</v>
      </c>
    </row>
    <row r="3933" spans="1:24">
      <c r="A3933">
        <f>HYPERLINK("https://www.philgeps.gov.ph/GEPSNONPILOT/Tender/SplashBidNoticeAbstractUI.aspx?menuIndex=3&amp;refID=7046131&amp;Result=3","7046131")</f>
        <v>0</v>
      </c>
      <c r="B3933" t="s">
        <v>386</v>
      </c>
      <c r="C3933" t="s">
        <v>6840</v>
      </c>
      <c r="D3933" t="s">
        <v>16259</v>
      </c>
      <c r="E3933" t="s">
        <v>19816</v>
      </c>
      <c r="F3933" t="s">
        <v>28198</v>
      </c>
      <c r="G3933" t="s">
        <v>28207</v>
      </c>
      <c r="H3933" t="s">
        <v>28215</v>
      </c>
      <c r="I3933" t="s">
        <v>28251</v>
      </c>
      <c r="J3933" t="s">
        <v>29346</v>
      </c>
      <c r="K3933" t="s">
        <v>36688</v>
      </c>
      <c r="M3933" t="s">
        <v>37366</v>
      </c>
      <c r="N3933" t="s">
        <v>40436</v>
      </c>
      <c r="O3933" t="s">
        <v>40437</v>
      </c>
      <c r="P3933">
        <v>0</v>
      </c>
      <c r="Q3933">
        <v>5</v>
      </c>
      <c r="R3933" t="s">
        <v>40439</v>
      </c>
      <c r="S3933" t="s">
        <v>40588</v>
      </c>
      <c r="T3933" t="s">
        <v>42133</v>
      </c>
      <c r="U3933" t="s">
        <v>45807</v>
      </c>
      <c r="V3933" t="s">
        <v>53872</v>
      </c>
      <c r="W3933" t="s">
        <v>37366</v>
      </c>
      <c r="X3933" t="s">
        <v>40440</v>
      </c>
    </row>
    <row r="3934" spans="1:24">
      <c r="A3934">
        <f>HYPERLINK("https://www.philgeps.gov.ph/GEPSNONPILOT/Tender/SplashBidNoticeAbstractUI.aspx?menuIndex=3&amp;refID=7046117&amp;Result=3","7046117")</f>
        <v>0</v>
      </c>
      <c r="B3934" t="s">
        <v>561</v>
      </c>
      <c r="C3934" t="s">
        <v>6841</v>
      </c>
      <c r="D3934" t="s">
        <v>16196</v>
      </c>
      <c r="E3934" t="s">
        <v>19817</v>
      </c>
      <c r="F3934" t="s">
        <v>28198</v>
      </c>
      <c r="G3934" t="s">
        <v>28205</v>
      </c>
      <c r="H3934" t="s">
        <v>28214</v>
      </c>
      <c r="I3934" t="s">
        <v>3797</v>
      </c>
      <c r="J3934" t="s">
        <v>28398</v>
      </c>
      <c r="K3934" t="s">
        <v>36711</v>
      </c>
      <c r="L3934" t="s">
        <v>561</v>
      </c>
      <c r="M3934" t="s">
        <v>37547</v>
      </c>
      <c r="N3934" t="s">
        <v>40436</v>
      </c>
      <c r="O3934" t="s">
        <v>40437</v>
      </c>
      <c r="P3934">
        <v>0</v>
      </c>
      <c r="Q3934">
        <v>32</v>
      </c>
      <c r="R3934" t="s">
        <v>40439</v>
      </c>
      <c r="S3934" t="s">
        <v>40588</v>
      </c>
      <c r="T3934" t="s">
        <v>42133</v>
      </c>
      <c r="U3934" t="s">
        <v>45993</v>
      </c>
      <c r="W3934" t="s">
        <v>37547</v>
      </c>
      <c r="X3934" t="s">
        <v>40440</v>
      </c>
    </row>
    <row r="3935" spans="1:24">
      <c r="A3935">
        <f>HYPERLINK("https://www.philgeps.gov.ph/GEPSNONPILOT/Tender/SplashBidNoticeAbstractUI.aspx?menuIndex=3&amp;refID=7046124&amp;Result=3","7046124")</f>
        <v>0</v>
      </c>
      <c r="B3935" t="s">
        <v>1385</v>
      </c>
      <c r="C3935" t="s">
        <v>6842</v>
      </c>
      <c r="D3935" t="s">
        <v>16222</v>
      </c>
      <c r="E3935" t="s">
        <v>19818</v>
      </c>
      <c r="F3935" t="s">
        <v>28198</v>
      </c>
      <c r="G3935" t="s">
        <v>28205</v>
      </c>
      <c r="H3935" t="s">
        <v>28215</v>
      </c>
      <c r="I3935" t="s">
        <v>28247</v>
      </c>
      <c r="J3935" t="s">
        <v>29479</v>
      </c>
      <c r="K3935" t="s">
        <v>36697</v>
      </c>
      <c r="M3935" t="s">
        <v>38449</v>
      </c>
      <c r="N3935" t="s">
        <v>40436</v>
      </c>
      <c r="O3935" t="s">
        <v>40437</v>
      </c>
      <c r="P3935">
        <v>0</v>
      </c>
      <c r="Q3935">
        <v>3</v>
      </c>
      <c r="R3935" t="s">
        <v>40439</v>
      </c>
      <c r="S3935" t="s">
        <v>40588</v>
      </c>
      <c r="T3935" t="s">
        <v>42300</v>
      </c>
      <c r="U3935" t="s">
        <v>45994</v>
      </c>
      <c r="V3935" t="s">
        <v>54161</v>
      </c>
      <c r="W3935" t="s">
        <v>38449</v>
      </c>
      <c r="X3935" t="s">
        <v>40440</v>
      </c>
    </row>
    <row r="3936" spans="1:24">
      <c r="A3936">
        <f>HYPERLINK("https://www.philgeps.gov.ph/GEPSNONPILOT/Tender/SplashBidNoticeAbstractUI.aspx?menuIndex=3&amp;refID=7046120&amp;Result=3","7046120")</f>
        <v>0</v>
      </c>
      <c r="B3936" t="s">
        <v>1454</v>
      </c>
      <c r="C3936" t="s">
        <v>6843</v>
      </c>
      <c r="D3936" t="s">
        <v>16196</v>
      </c>
      <c r="E3936" t="s">
        <v>19819</v>
      </c>
      <c r="F3936" t="s">
        <v>28198</v>
      </c>
      <c r="G3936" t="s">
        <v>28205</v>
      </c>
      <c r="H3936" t="s">
        <v>28214</v>
      </c>
      <c r="I3936" t="s">
        <v>3797</v>
      </c>
      <c r="J3936" t="s">
        <v>28345</v>
      </c>
      <c r="K3936" t="s">
        <v>36701</v>
      </c>
      <c r="M3936" t="s">
        <v>38521</v>
      </c>
      <c r="N3936" t="s">
        <v>40436</v>
      </c>
      <c r="O3936" t="s">
        <v>40437</v>
      </c>
      <c r="P3936">
        <v>0</v>
      </c>
      <c r="Q3936">
        <v>0</v>
      </c>
      <c r="R3936" t="s">
        <v>40439</v>
      </c>
      <c r="S3936" t="s">
        <v>40588</v>
      </c>
      <c r="T3936" t="s">
        <v>42177</v>
      </c>
      <c r="U3936" t="s">
        <v>45995</v>
      </c>
      <c r="W3936" t="s">
        <v>38521</v>
      </c>
      <c r="X3936" t="s">
        <v>40440</v>
      </c>
    </row>
    <row r="3937" spans="1:24">
      <c r="A3937">
        <f>HYPERLINK("https://www.philgeps.gov.ph/GEPSNONPILOT/Tender/SplashBidNoticeAbstractUI.aspx?menuIndex=3&amp;refID=7046129&amp;Result=3","7046129")</f>
        <v>0</v>
      </c>
      <c r="B3937" t="s">
        <v>1442</v>
      </c>
      <c r="C3937" t="s">
        <v>6844</v>
      </c>
      <c r="D3937" t="s">
        <v>16191</v>
      </c>
      <c r="E3937" t="s">
        <v>19820</v>
      </c>
      <c r="F3937" t="s">
        <v>28198</v>
      </c>
      <c r="G3937" t="s">
        <v>28205</v>
      </c>
      <c r="H3937" t="s">
        <v>28214</v>
      </c>
      <c r="I3937" t="s">
        <v>3797</v>
      </c>
      <c r="J3937" t="s">
        <v>30903</v>
      </c>
      <c r="K3937" t="s">
        <v>36805</v>
      </c>
      <c r="M3937" t="s">
        <v>38509</v>
      </c>
      <c r="N3937" t="s">
        <v>40436</v>
      </c>
      <c r="O3937" t="s">
        <v>40437</v>
      </c>
      <c r="P3937">
        <v>0</v>
      </c>
      <c r="Q3937">
        <v>0</v>
      </c>
      <c r="R3937" t="s">
        <v>40439</v>
      </c>
      <c r="S3937" t="s">
        <v>40588</v>
      </c>
      <c r="T3937" t="s">
        <v>42110</v>
      </c>
      <c r="U3937" t="s">
        <v>45956</v>
      </c>
      <c r="W3937" t="s">
        <v>38509</v>
      </c>
      <c r="X3937" t="s">
        <v>40440</v>
      </c>
    </row>
    <row r="3938" spans="1:24">
      <c r="A3938">
        <f>HYPERLINK("https://www.philgeps.gov.ph/GEPSNONPILOT/Tender/SplashBidNoticeAbstractUI.aspx?menuIndex=3&amp;refID=7046123&amp;Result=3","7046123")</f>
        <v>0</v>
      </c>
      <c r="B3938" t="s">
        <v>660</v>
      </c>
      <c r="C3938" t="s">
        <v>6845</v>
      </c>
      <c r="D3938" t="s">
        <v>16188</v>
      </c>
      <c r="E3938" t="s">
        <v>19821</v>
      </c>
      <c r="F3938" t="s">
        <v>28198</v>
      </c>
      <c r="G3938" t="s">
        <v>28207</v>
      </c>
      <c r="H3938" t="s">
        <v>28215</v>
      </c>
      <c r="I3938" t="s">
        <v>3422</v>
      </c>
      <c r="J3938" t="s">
        <v>28373</v>
      </c>
      <c r="K3938" t="s">
        <v>36689</v>
      </c>
      <c r="M3938" t="s">
        <v>37656</v>
      </c>
      <c r="N3938" t="s">
        <v>40436</v>
      </c>
      <c r="O3938" t="s">
        <v>40437</v>
      </c>
      <c r="P3938">
        <v>0</v>
      </c>
      <c r="Q3938">
        <v>0</v>
      </c>
      <c r="R3938" t="s">
        <v>40439</v>
      </c>
      <c r="S3938" t="s">
        <v>40588</v>
      </c>
      <c r="T3938" t="s">
        <v>42228</v>
      </c>
      <c r="U3938" t="s">
        <v>45018</v>
      </c>
      <c r="W3938" t="s">
        <v>37656</v>
      </c>
      <c r="X3938" t="s">
        <v>40440</v>
      </c>
    </row>
    <row r="3939" spans="1:24">
      <c r="A3939">
        <f>HYPERLINK("https://www.philgeps.gov.ph/GEPSNONPILOT/Tender/SplashBidNoticeAbstractUI.aspx?menuIndex=3&amp;refID=7046126&amp;Result=3","7046126")</f>
        <v>0</v>
      </c>
      <c r="B3939" t="s">
        <v>1023</v>
      </c>
      <c r="C3939" t="s">
        <v>6846</v>
      </c>
      <c r="D3939" t="s">
        <v>16265</v>
      </c>
      <c r="E3939" t="s">
        <v>19822</v>
      </c>
      <c r="F3939" t="s">
        <v>28198</v>
      </c>
      <c r="G3939" t="s">
        <v>28205</v>
      </c>
      <c r="H3939" t="s">
        <v>28215</v>
      </c>
      <c r="I3939" t="s">
        <v>3422</v>
      </c>
      <c r="J3939" t="s">
        <v>30904</v>
      </c>
      <c r="K3939" t="s">
        <v>36701</v>
      </c>
      <c r="M3939" t="s">
        <v>38054</v>
      </c>
      <c r="N3939" t="s">
        <v>40436</v>
      </c>
      <c r="O3939" t="s">
        <v>40437</v>
      </c>
      <c r="P3939">
        <v>0</v>
      </c>
      <c r="Q3939">
        <v>0</v>
      </c>
      <c r="R3939" t="s">
        <v>40439</v>
      </c>
      <c r="S3939" t="s">
        <v>40588</v>
      </c>
      <c r="T3939" t="s">
        <v>42108</v>
      </c>
      <c r="U3939" t="s">
        <v>45996</v>
      </c>
      <c r="W3939" t="s">
        <v>38054</v>
      </c>
      <c r="X3939" t="s">
        <v>40440</v>
      </c>
    </row>
    <row r="3940" spans="1:24">
      <c r="A3940">
        <f>HYPERLINK("https://www.philgeps.gov.ph/GEPSNONPILOT/Tender/SplashBidNoticeAbstractUI.aspx?menuIndex=3&amp;refID=7046121&amp;Result=3","7046121")</f>
        <v>0</v>
      </c>
      <c r="B3940" t="s">
        <v>1063</v>
      </c>
      <c r="C3940" t="s">
        <v>6847</v>
      </c>
      <c r="D3940" t="s">
        <v>16188</v>
      </c>
      <c r="E3940" t="s">
        <v>19823</v>
      </c>
      <c r="F3940" t="s">
        <v>28198</v>
      </c>
      <c r="G3940" t="s">
        <v>28205</v>
      </c>
      <c r="H3940" t="s">
        <v>28215</v>
      </c>
      <c r="I3940" t="s">
        <v>28227</v>
      </c>
      <c r="J3940" t="s">
        <v>30905</v>
      </c>
      <c r="K3940" t="s">
        <v>36689</v>
      </c>
      <c r="M3940" t="s">
        <v>38491</v>
      </c>
      <c r="N3940" t="s">
        <v>40436</v>
      </c>
      <c r="O3940" t="s">
        <v>40437</v>
      </c>
      <c r="P3940">
        <v>0</v>
      </c>
      <c r="Q3940">
        <v>2</v>
      </c>
      <c r="R3940" t="s">
        <v>40439</v>
      </c>
      <c r="S3940" t="s">
        <v>40588</v>
      </c>
      <c r="T3940" t="s">
        <v>42203</v>
      </c>
      <c r="U3940" t="s">
        <v>45997</v>
      </c>
      <c r="W3940" t="s">
        <v>38491</v>
      </c>
      <c r="X3940" t="s">
        <v>40440</v>
      </c>
    </row>
    <row r="3941" spans="1:24">
      <c r="A3941">
        <f>HYPERLINK("https://www.philgeps.gov.ph/GEPSNONPILOT/Tender/SplashBidNoticeAbstractUI.aspx?menuIndex=3&amp;refID=7046134&amp;Result=3","7046134")</f>
        <v>0</v>
      </c>
      <c r="B3941" t="s">
        <v>1455</v>
      </c>
      <c r="C3941" t="s">
        <v>6848</v>
      </c>
      <c r="D3941" t="s">
        <v>16204</v>
      </c>
      <c r="E3941" t="s">
        <v>6848</v>
      </c>
      <c r="F3941" t="s">
        <v>28198</v>
      </c>
      <c r="G3941" t="s">
        <v>28207</v>
      </c>
      <c r="H3941" t="s">
        <v>28215</v>
      </c>
      <c r="I3941" t="s">
        <v>5100</v>
      </c>
      <c r="J3941" t="s">
        <v>30906</v>
      </c>
      <c r="K3941" t="s">
        <v>36689</v>
      </c>
      <c r="M3941" t="s">
        <v>38522</v>
      </c>
      <c r="N3941" t="s">
        <v>40436</v>
      </c>
      <c r="O3941" t="s">
        <v>40437</v>
      </c>
      <c r="P3941">
        <v>0</v>
      </c>
      <c r="Q3941">
        <v>0</v>
      </c>
      <c r="R3941" t="s">
        <v>40439</v>
      </c>
      <c r="S3941" t="s">
        <v>40588</v>
      </c>
      <c r="T3941" t="s">
        <v>42273</v>
      </c>
      <c r="U3941" t="s">
        <v>45998</v>
      </c>
      <c r="W3941" t="s">
        <v>38522</v>
      </c>
      <c r="X3941" t="s">
        <v>40440</v>
      </c>
    </row>
    <row r="3942" spans="1:24">
      <c r="A3942">
        <f>HYPERLINK("https://www.philgeps.gov.ph/GEPSNONPILOT/Tender/SplashBidNoticeAbstractUI.aspx?menuIndex=3&amp;refID=7046122&amp;Result=3","7046122")</f>
        <v>0</v>
      </c>
      <c r="B3942" t="s">
        <v>1235</v>
      </c>
      <c r="C3942" t="s">
        <v>6849</v>
      </c>
      <c r="E3942" t="s">
        <v>19824</v>
      </c>
      <c r="F3942" t="s">
        <v>28198</v>
      </c>
      <c r="G3942" t="s">
        <v>28205</v>
      </c>
      <c r="H3942" t="s">
        <v>28215</v>
      </c>
      <c r="I3942" t="s">
        <v>28224</v>
      </c>
      <c r="J3942" t="s">
        <v>30907</v>
      </c>
      <c r="K3942" t="s">
        <v>36689</v>
      </c>
      <c r="M3942" t="s">
        <v>38284</v>
      </c>
      <c r="N3942" t="s">
        <v>40436</v>
      </c>
      <c r="O3942" t="s">
        <v>40437</v>
      </c>
      <c r="P3942">
        <v>0</v>
      </c>
      <c r="Q3942">
        <v>3</v>
      </c>
      <c r="R3942" t="s">
        <v>40439</v>
      </c>
      <c r="S3942" t="s">
        <v>40588</v>
      </c>
      <c r="T3942" t="s">
        <v>42319</v>
      </c>
      <c r="U3942" t="s">
        <v>45999</v>
      </c>
      <c r="V3942" t="s">
        <v>54182</v>
      </c>
      <c r="W3942" t="s">
        <v>38284</v>
      </c>
      <c r="X3942" t="s">
        <v>40440</v>
      </c>
    </row>
    <row r="3943" spans="1:24">
      <c r="A3943">
        <f>HYPERLINK("https://www.philgeps.gov.ph/GEPSNONPILOT/Tender/SplashBidNoticeAbstractUI.aspx?menuIndex=3&amp;refID=7046150&amp;Result=3","7046150")</f>
        <v>0</v>
      </c>
      <c r="B3943" t="s">
        <v>1436</v>
      </c>
      <c r="C3943" t="s">
        <v>6850</v>
      </c>
      <c r="D3943" t="s">
        <v>16274</v>
      </c>
      <c r="E3943" t="s">
        <v>19825</v>
      </c>
      <c r="F3943" t="s">
        <v>28198</v>
      </c>
      <c r="G3943" t="s">
        <v>28205</v>
      </c>
      <c r="H3943" t="s">
        <v>28214</v>
      </c>
      <c r="I3943" t="s">
        <v>3797</v>
      </c>
      <c r="J3943" t="s">
        <v>30908</v>
      </c>
      <c r="K3943" t="s">
        <v>36806</v>
      </c>
      <c r="M3943" t="s">
        <v>38503</v>
      </c>
      <c r="N3943" t="s">
        <v>40436</v>
      </c>
      <c r="O3943" t="s">
        <v>40437</v>
      </c>
      <c r="P3943">
        <v>0</v>
      </c>
      <c r="Q3943">
        <v>0</v>
      </c>
      <c r="R3943" t="s">
        <v>40439</v>
      </c>
      <c r="S3943" t="s">
        <v>40588</v>
      </c>
      <c r="T3943" t="s">
        <v>42303</v>
      </c>
      <c r="U3943" t="s">
        <v>46000</v>
      </c>
      <c r="W3943" t="s">
        <v>38503</v>
      </c>
      <c r="X3943" t="s">
        <v>40440</v>
      </c>
    </row>
    <row r="3944" spans="1:24">
      <c r="A3944">
        <f>HYPERLINK("https://www.philgeps.gov.ph/GEPSNONPILOT/Tender/SplashBidNoticeAbstractUI.aspx?menuIndex=3&amp;refID=7046132&amp;Result=3","7046132")</f>
        <v>0</v>
      </c>
      <c r="B3944" t="s">
        <v>1311</v>
      </c>
      <c r="C3944" t="s">
        <v>6474</v>
      </c>
      <c r="D3944" t="s">
        <v>16188</v>
      </c>
      <c r="E3944" t="s">
        <v>17479</v>
      </c>
      <c r="F3944" t="s">
        <v>28198</v>
      </c>
      <c r="G3944" t="s">
        <v>28206</v>
      </c>
      <c r="H3944" t="s">
        <v>28215</v>
      </c>
      <c r="I3944" t="s">
        <v>5082</v>
      </c>
      <c r="J3944" t="s">
        <v>30909</v>
      </c>
      <c r="K3944" t="s">
        <v>36693</v>
      </c>
      <c r="M3944" t="s">
        <v>38365</v>
      </c>
      <c r="N3944" t="s">
        <v>40436</v>
      </c>
      <c r="O3944" t="s">
        <v>40437</v>
      </c>
      <c r="P3944">
        <v>0</v>
      </c>
      <c r="Q3944">
        <v>0</v>
      </c>
      <c r="R3944" t="s">
        <v>40439</v>
      </c>
      <c r="S3944" t="s">
        <v>40588</v>
      </c>
      <c r="T3944" t="s">
        <v>42167</v>
      </c>
      <c r="U3944" t="s">
        <v>46001</v>
      </c>
      <c r="V3944" t="s">
        <v>54133</v>
      </c>
      <c r="W3944" t="s">
        <v>38365</v>
      </c>
      <c r="X3944" t="s">
        <v>40440</v>
      </c>
    </row>
    <row r="3945" spans="1:24">
      <c r="A3945">
        <f>HYPERLINK("https://www.philgeps.gov.ph/GEPSNONPILOT/Tender/SplashBidNoticeAbstractUI.aspx?menuIndex=3&amp;refID=7046143&amp;Result=3","7046143")</f>
        <v>0</v>
      </c>
      <c r="B3945" t="s">
        <v>1427</v>
      </c>
      <c r="C3945" t="s">
        <v>6851</v>
      </c>
      <c r="D3945" t="s">
        <v>16260</v>
      </c>
      <c r="E3945" t="s">
        <v>18576</v>
      </c>
      <c r="F3945" t="s">
        <v>28198</v>
      </c>
      <c r="G3945" t="s">
        <v>28207</v>
      </c>
      <c r="H3945" t="s">
        <v>28215</v>
      </c>
      <c r="I3945" t="s">
        <v>5100</v>
      </c>
      <c r="J3945" t="s">
        <v>30910</v>
      </c>
      <c r="K3945" t="s">
        <v>36691</v>
      </c>
      <c r="M3945" t="s">
        <v>38493</v>
      </c>
      <c r="N3945" t="s">
        <v>40436</v>
      </c>
      <c r="O3945" t="s">
        <v>40437</v>
      </c>
      <c r="P3945">
        <v>0</v>
      </c>
      <c r="Q3945">
        <v>0</v>
      </c>
      <c r="R3945" t="s">
        <v>40439</v>
      </c>
      <c r="S3945" t="s">
        <v>40588</v>
      </c>
      <c r="T3945" t="s">
        <v>42380</v>
      </c>
      <c r="U3945" t="s">
        <v>46002</v>
      </c>
      <c r="W3945" t="s">
        <v>38493</v>
      </c>
      <c r="X3945" t="s">
        <v>40440</v>
      </c>
    </row>
    <row r="3946" spans="1:24">
      <c r="A3946">
        <f>HYPERLINK("https://www.philgeps.gov.ph/GEPSNONPILOT/Tender/SplashBidNoticeAbstractUI.aspx?menuIndex=3&amp;refID=7046146&amp;Result=3","7046146")</f>
        <v>0</v>
      </c>
      <c r="B3946" t="s">
        <v>1456</v>
      </c>
      <c r="C3946" t="s">
        <v>6852</v>
      </c>
      <c r="D3946" t="s">
        <v>16264</v>
      </c>
      <c r="E3946" t="s">
        <v>19826</v>
      </c>
      <c r="F3946" t="s">
        <v>28198</v>
      </c>
      <c r="G3946" t="s">
        <v>28205</v>
      </c>
      <c r="H3946" t="s">
        <v>28216</v>
      </c>
      <c r="I3946" t="s">
        <v>28216</v>
      </c>
      <c r="J3946" t="s">
        <v>28379</v>
      </c>
      <c r="K3946" t="s">
        <v>36697</v>
      </c>
      <c r="M3946" t="s">
        <v>38523</v>
      </c>
      <c r="N3946" t="s">
        <v>40436</v>
      </c>
      <c r="O3946" t="s">
        <v>40437</v>
      </c>
      <c r="P3946">
        <v>0</v>
      </c>
      <c r="Q3946">
        <v>7</v>
      </c>
      <c r="R3946" t="s">
        <v>40439</v>
      </c>
      <c r="S3946" t="s">
        <v>40588</v>
      </c>
      <c r="T3946" t="s">
        <v>42122</v>
      </c>
      <c r="U3946" t="s">
        <v>46003</v>
      </c>
      <c r="W3946" t="s">
        <v>38523</v>
      </c>
      <c r="X3946" t="s">
        <v>40440</v>
      </c>
    </row>
    <row r="3947" spans="1:24">
      <c r="A3947">
        <f>HYPERLINK("https://www.philgeps.gov.ph/GEPSNONPILOT/Tender/SplashBidNoticeAbstractUI.aspx?menuIndex=3&amp;refID=7046151&amp;Result=3","7046151")</f>
        <v>0</v>
      </c>
      <c r="B3947" t="s">
        <v>1442</v>
      </c>
      <c r="C3947" t="s">
        <v>6853</v>
      </c>
      <c r="D3947" t="s">
        <v>16191</v>
      </c>
      <c r="E3947" t="s">
        <v>19827</v>
      </c>
      <c r="F3947" t="s">
        <v>28198</v>
      </c>
      <c r="G3947" t="s">
        <v>28205</v>
      </c>
      <c r="H3947" t="s">
        <v>28214</v>
      </c>
      <c r="I3947" t="s">
        <v>3797</v>
      </c>
      <c r="J3947" t="s">
        <v>30911</v>
      </c>
      <c r="K3947" t="s">
        <v>36739</v>
      </c>
      <c r="M3947" t="s">
        <v>38509</v>
      </c>
      <c r="N3947" t="s">
        <v>40436</v>
      </c>
      <c r="O3947" t="s">
        <v>40437</v>
      </c>
      <c r="P3947">
        <v>0</v>
      </c>
      <c r="Q3947">
        <v>1</v>
      </c>
      <c r="R3947" t="s">
        <v>40439</v>
      </c>
      <c r="S3947" t="s">
        <v>40588</v>
      </c>
      <c r="T3947" t="s">
        <v>42128</v>
      </c>
      <c r="U3947" t="s">
        <v>45956</v>
      </c>
      <c r="W3947" t="s">
        <v>38509</v>
      </c>
      <c r="X3947" t="s">
        <v>40440</v>
      </c>
    </row>
    <row r="3948" spans="1:24">
      <c r="A3948">
        <f>HYPERLINK("https://www.philgeps.gov.ph/GEPSNONPILOT/Tender/SplashBidNoticeAbstractUI.aspx?menuIndex=3&amp;refID=7046145&amp;Result=3","7046145")</f>
        <v>0</v>
      </c>
      <c r="B3948" t="s">
        <v>561</v>
      </c>
      <c r="C3948" t="s">
        <v>6854</v>
      </c>
      <c r="D3948" t="s">
        <v>16196</v>
      </c>
      <c r="E3948" t="s">
        <v>19828</v>
      </c>
      <c r="F3948" t="s">
        <v>28198</v>
      </c>
      <c r="G3948" t="s">
        <v>28205</v>
      </c>
      <c r="H3948" t="s">
        <v>28214</v>
      </c>
      <c r="I3948" t="s">
        <v>3797</v>
      </c>
      <c r="J3948" t="s">
        <v>28398</v>
      </c>
      <c r="K3948" t="s">
        <v>36711</v>
      </c>
      <c r="L3948" t="s">
        <v>561</v>
      </c>
      <c r="M3948" t="s">
        <v>37547</v>
      </c>
      <c r="N3948" t="s">
        <v>40436</v>
      </c>
      <c r="O3948" t="s">
        <v>40437</v>
      </c>
      <c r="P3948">
        <v>0</v>
      </c>
      <c r="Q3948">
        <v>33</v>
      </c>
      <c r="R3948" t="s">
        <v>40439</v>
      </c>
      <c r="S3948" t="s">
        <v>40588</v>
      </c>
      <c r="T3948" t="s">
        <v>42238</v>
      </c>
      <c r="U3948" t="s">
        <v>46004</v>
      </c>
      <c r="W3948" t="s">
        <v>37547</v>
      </c>
      <c r="X3948" t="s">
        <v>40440</v>
      </c>
    </row>
    <row r="3949" spans="1:24">
      <c r="A3949">
        <f>HYPERLINK("https://www.philgeps.gov.ph/GEPSNONPILOT/Tender/SplashBidNoticeAbstractUI.aspx?menuIndex=3&amp;refID=7046147&amp;Result=3","7046147")</f>
        <v>0</v>
      </c>
      <c r="B3949" t="s">
        <v>1140</v>
      </c>
      <c r="C3949" t="s">
        <v>6855</v>
      </c>
      <c r="D3949" t="s">
        <v>16252</v>
      </c>
      <c r="E3949" t="s">
        <v>19829</v>
      </c>
      <c r="F3949" t="s">
        <v>28198</v>
      </c>
      <c r="G3949" t="s">
        <v>28205</v>
      </c>
      <c r="H3949" t="s">
        <v>28215</v>
      </c>
      <c r="I3949" t="s">
        <v>3422</v>
      </c>
      <c r="J3949" t="s">
        <v>29450</v>
      </c>
      <c r="K3949" t="s">
        <v>36706</v>
      </c>
      <c r="M3949" t="s">
        <v>38180</v>
      </c>
      <c r="N3949" t="s">
        <v>40436</v>
      </c>
      <c r="O3949" t="s">
        <v>40437</v>
      </c>
      <c r="P3949">
        <v>0</v>
      </c>
      <c r="Q3949">
        <v>0</v>
      </c>
      <c r="R3949" t="s">
        <v>40439</v>
      </c>
      <c r="S3949" t="s">
        <v>40588</v>
      </c>
      <c r="T3949" t="s">
        <v>42337</v>
      </c>
      <c r="U3949" t="s">
        <v>46005</v>
      </c>
      <c r="W3949" t="s">
        <v>38180</v>
      </c>
      <c r="X3949" t="s">
        <v>40440</v>
      </c>
    </row>
    <row r="3950" spans="1:24">
      <c r="A3950">
        <f>HYPERLINK("https://www.philgeps.gov.ph/GEPSNONPILOT/Tender/SplashBidNoticeAbstractUI.aspx?menuIndex=3&amp;refID=7046137&amp;Result=3","7046137")</f>
        <v>0</v>
      </c>
      <c r="B3950" t="s">
        <v>1457</v>
      </c>
      <c r="C3950" t="s">
        <v>6856</v>
      </c>
      <c r="D3950" t="s">
        <v>16223</v>
      </c>
      <c r="E3950" t="s">
        <v>19830</v>
      </c>
      <c r="F3950" t="s">
        <v>28198</v>
      </c>
      <c r="G3950" t="s">
        <v>28205</v>
      </c>
      <c r="H3950" t="s">
        <v>28214</v>
      </c>
      <c r="I3950" t="s">
        <v>3797</v>
      </c>
      <c r="J3950" t="s">
        <v>28398</v>
      </c>
      <c r="K3950" t="s">
        <v>36694</v>
      </c>
      <c r="M3950" t="s">
        <v>38524</v>
      </c>
      <c r="N3950" t="s">
        <v>40436</v>
      </c>
      <c r="O3950" t="s">
        <v>40437</v>
      </c>
      <c r="P3950">
        <v>0</v>
      </c>
      <c r="Q3950">
        <v>0</v>
      </c>
      <c r="R3950" t="s">
        <v>40439</v>
      </c>
      <c r="S3950" t="s">
        <v>40588</v>
      </c>
      <c r="T3950" t="s">
        <v>42134</v>
      </c>
      <c r="U3950" t="s">
        <v>46006</v>
      </c>
      <c r="W3950" t="s">
        <v>38524</v>
      </c>
      <c r="X3950" t="s">
        <v>40440</v>
      </c>
    </row>
    <row r="3951" spans="1:24">
      <c r="A3951">
        <f>HYPERLINK("https://www.philgeps.gov.ph/GEPSNONPILOT/Tender/SplashBidNoticeAbstractUI.aspx?menuIndex=3&amp;refID=7046138&amp;Result=3","7046138")</f>
        <v>0</v>
      </c>
      <c r="B3951" t="s">
        <v>1448</v>
      </c>
      <c r="C3951" t="s">
        <v>6857</v>
      </c>
      <c r="D3951" t="s">
        <v>16271</v>
      </c>
      <c r="E3951" t="s">
        <v>19831</v>
      </c>
      <c r="F3951" t="s">
        <v>28198</v>
      </c>
      <c r="G3951" t="s">
        <v>28205</v>
      </c>
      <c r="H3951" t="s">
        <v>28217</v>
      </c>
      <c r="I3951" t="s">
        <v>28236</v>
      </c>
      <c r="J3951" t="s">
        <v>30912</v>
      </c>
      <c r="K3951" t="s">
        <v>36701</v>
      </c>
      <c r="M3951" t="s">
        <v>38515</v>
      </c>
      <c r="N3951" t="s">
        <v>40436</v>
      </c>
      <c r="O3951" t="s">
        <v>40437</v>
      </c>
      <c r="P3951">
        <v>0</v>
      </c>
      <c r="Q3951">
        <v>1</v>
      </c>
      <c r="R3951" t="s">
        <v>40439</v>
      </c>
      <c r="S3951" t="s">
        <v>40588</v>
      </c>
      <c r="T3951" t="s">
        <v>42234</v>
      </c>
      <c r="U3951" t="s">
        <v>46007</v>
      </c>
      <c r="W3951" t="s">
        <v>38515</v>
      </c>
      <c r="X3951" t="s">
        <v>40440</v>
      </c>
    </row>
    <row r="3952" spans="1:24">
      <c r="A3952">
        <f>HYPERLINK("https://www.philgeps.gov.ph/GEPSNONPILOT/Tender/SplashBidNoticeAbstractUI.aspx?menuIndex=3&amp;refID=7046159&amp;Result=3","7046159")</f>
        <v>0</v>
      </c>
      <c r="B3952" t="s">
        <v>1458</v>
      </c>
      <c r="C3952" t="s">
        <v>6858</v>
      </c>
      <c r="D3952" t="s">
        <v>16192</v>
      </c>
      <c r="E3952" t="s">
        <v>19832</v>
      </c>
      <c r="F3952" t="s">
        <v>28198</v>
      </c>
      <c r="G3952" t="s">
        <v>28205</v>
      </c>
      <c r="H3952" t="s">
        <v>28215</v>
      </c>
      <c r="I3952" t="s">
        <v>28222</v>
      </c>
      <c r="J3952" t="s">
        <v>30913</v>
      </c>
      <c r="K3952" t="s">
        <v>36694</v>
      </c>
      <c r="M3952" t="s">
        <v>38525</v>
      </c>
      <c r="N3952" t="s">
        <v>40436</v>
      </c>
      <c r="O3952" t="s">
        <v>40437</v>
      </c>
      <c r="P3952">
        <v>0</v>
      </c>
      <c r="Q3952">
        <v>5</v>
      </c>
      <c r="R3952" t="s">
        <v>40439</v>
      </c>
      <c r="S3952" t="s">
        <v>40588</v>
      </c>
      <c r="T3952" t="s">
        <v>42101</v>
      </c>
      <c r="U3952" t="s">
        <v>46008</v>
      </c>
      <c r="V3952" t="s">
        <v>54183</v>
      </c>
      <c r="W3952" t="s">
        <v>38525</v>
      </c>
      <c r="X3952" t="s">
        <v>40440</v>
      </c>
    </row>
    <row r="3953" spans="1:24">
      <c r="A3953">
        <f>HYPERLINK("https://www.philgeps.gov.ph/GEPSNONPILOT/Tender/SplashBidNoticeAbstractUI.aspx?menuIndex=3&amp;refID=7046149&amp;Result=3","7046149")</f>
        <v>0</v>
      </c>
      <c r="B3953" t="s">
        <v>108</v>
      </c>
      <c r="C3953" t="s">
        <v>6859</v>
      </c>
      <c r="D3953" t="s">
        <v>16190</v>
      </c>
      <c r="E3953" t="s">
        <v>18038</v>
      </c>
      <c r="F3953" t="s">
        <v>28198</v>
      </c>
      <c r="G3953" t="s">
        <v>28207</v>
      </c>
      <c r="H3953" t="s">
        <v>28215</v>
      </c>
      <c r="I3953" t="s">
        <v>4222</v>
      </c>
      <c r="J3953" t="s">
        <v>28878</v>
      </c>
      <c r="K3953" t="s">
        <v>36698</v>
      </c>
      <c r="M3953" t="s">
        <v>37388</v>
      </c>
      <c r="N3953" t="s">
        <v>40436</v>
      </c>
      <c r="O3953" t="s">
        <v>40437</v>
      </c>
      <c r="P3953">
        <v>0</v>
      </c>
      <c r="Q3953">
        <v>0</v>
      </c>
      <c r="R3953" t="s">
        <v>40439</v>
      </c>
      <c r="S3953" t="s">
        <v>40588</v>
      </c>
      <c r="T3953" t="s">
        <v>42190</v>
      </c>
      <c r="U3953" t="s">
        <v>46009</v>
      </c>
      <c r="V3953" t="s">
        <v>54149</v>
      </c>
      <c r="W3953" t="s">
        <v>37388</v>
      </c>
      <c r="X3953" t="s">
        <v>40440</v>
      </c>
    </row>
    <row r="3954" spans="1:24">
      <c r="A3954">
        <f>HYPERLINK("https://www.philgeps.gov.ph/GEPSNONPILOT/Tender/SplashBidNoticeAbstractUI.aspx?menuIndex=3&amp;refID=7046158&amp;Result=3","7046158")</f>
        <v>0</v>
      </c>
      <c r="B3954" t="s">
        <v>525</v>
      </c>
      <c r="C3954" t="s">
        <v>6860</v>
      </c>
      <c r="D3954" t="s">
        <v>16221</v>
      </c>
      <c r="E3954" t="s">
        <v>19833</v>
      </c>
      <c r="F3954" t="s">
        <v>28198</v>
      </c>
      <c r="G3954" t="s">
        <v>28206</v>
      </c>
      <c r="H3954" t="s">
        <v>28215</v>
      </c>
      <c r="I3954" t="s">
        <v>28279</v>
      </c>
      <c r="J3954" t="s">
        <v>28889</v>
      </c>
      <c r="K3954" t="s">
        <v>36689</v>
      </c>
      <c r="M3954" t="s">
        <v>37510</v>
      </c>
      <c r="N3954" t="s">
        <v>40436</v>
      </c>
      <c r="O3954" t="s">
        <v>40437</v>
      </c>
      <c r="P3954">
        <v>0</v>
      </c>
      <c r="Q3954">
        <v>3</v>
      </c>
      <c r="R3954" t="s">
        <v>40439</v>
      </c>
      <c r="S3954" t="s">
        <v>40588</v>
      </c>
      <c r="T3954" t="s">
        <v>42136</v>
      </c>
      <c r="U3954" t="s">
        <v>46010</v>
      </c>
      <c r="W3954" t="s">
        <v>37510</v>
      </c>
      <c r="X3954" t="s">
        <v>40440</v>
      </c>
    </row>
    <row r="3955" spans="1:24">
      <c r="A3955">
        <f>HYPERLINK("https://www.philgeps.gov.ph/GEPSNONPILOT/Tender/SplashBidNoticeAbstractUI.aspx?menuIndex=3&amp;refID=7046135&amp;Result=3","7046135")</f>
        <v>0</v>
      </c>
      <c r="B3955" t="s">
        <v>1365</v>
      </c>
      <c r="C3955" t="s">
        <v>6861</v>
      </c>
      <c r="D3955" t="s">
        <v>16232</v>
      </c>
      <c r="E3955" t="s">
        <v>19834</v>
      </c>
      <c r="F3955" t="s">
        <v>28198</v>
      </c>
      <c r="G3955" t="s">
        <v>28205</v>
      </c>
      <c r="H3955" t="s">
        <v>28215</v>
      </c>
      <c r="I3955" t="s">
        <v>28247</v>
      </c>
      <c r="J3955" t="s">
        <v>28351</v>
      </c>
      <c r="K3955" t="s">
        <v>36694</v>
      </c>
      <c r="M3955" t="s">
        <v>38425</v>
      </c>
      <c r="N3955" t="s">
        <v>40436</v>
      </c>
      <c r="O3955" t="s">
        <v>40437</v>
      </c>
      <c r="P3955">
        <v>0</v>
      </c>
      <c r="Q3955">
        <v>19</v>
      </c>
      <c r="R3955" t="s">
        <v>40439</v>
      </c>
      <c r="S3955" t="s">
        <v>40588</v>
      </c>
      <c r="T3955" t="s">
        <v>42189</v>
      </c>
      <c r="U3955" t="s">
        <v>46011</v>
      </c>
      <c r="W3955" t="s">
        <v>38425</v>
      </c>
      <c r="X3955" t="s">
        <v>40440</v>
      </c>
    </row>
    <row r="3956" spans="1:24">
      <c r="A3956">
        <f>HYPERLINK("https://www.philgeps.gov.ph/GEPSNONPILOT/Tender/SplashBidNoticeAbstractUI.aspx?menuIndex=3&amp;refID=7046142&amp;Result=3","7046142")</f>
        <v>0</v>
      </c>
      <c r="B3956" t="s">
        <v>1459</v>
      </c>
      <c r="C3956" t="s">
        <v>6196</v>
      </c>
      <c r="E3956" t="s">
        <v>16322</v>
      </c>
      <c r="F3956" t="s">
        <v>28198</v>
      </c>
      <c r="G3956" t="s">
        <v>28205</v>
      </c>
      <c r="H3956" t="s">
        <v>28215</v>
      </c>
      <c r="I3956" t="s">
        <v>28246</v>
      </c>
      <c r="J3956" t="s">
        <v>30914</v>
      </c>
      <c r="K3956" t="s">
        <v>36689</v>
      </c>
      <c r="M3956" t="s">
        <v>38526</v>
      </c>
      <c r="N3956" t="s">
        <v>40436</v>
      </c>
      <c r="O3956" t="s">
        <v>40437</v>
      </c>
      <c r="P3956">
        <v>0</v>
      </c>
      <c r="Q3956">
        <v>0</v>
      </c>
      <c r="R3956" t="s">
        <v>40439</v>
      </c>
      <c r="S3956" t="s">
        <v>40588</v>
      </c>
      <c r="T3956" t="s">
        <v>42188</v>
      </c>
      <c r="U3956" t="s">
        <v>46012</v>
      </c>
      <c r="W3956" t="s">
        <v>38526</v>
      </c>
      <c r="X3956" t="s">
        <v>40440</v>
      </c>
    </row>
    <row r="3957" spans="1:24">
      <c r="A3957">
        <f>HYPERLINK("https://www.philgeps.gov.ph/GEPSNONPILOT/Tender/SplashBidNoticeAbstractUI.aspx?menuIndex=3&amp;refID=7046157&amp;Result=3","7046157")</f>
        <v>0</v>
      </c>
      <c r="B3957" t="s">
        <v>916</v>
      </c>
      <c r="C3957" t="s">
        <v>6862</v>
      </c>
      <c r="D3957" t="s">
        <v>16210</v>
      </c>
      <c r="E3957" t="s">
        <v>19835</v>
      </c>
      <c r="F3957" t="s">
        <v>28198</v>
      </c>
      <c r="G3957" t="s">
        <v>28205</v>
      </c>
      <c r="H3957" t="s">
        <v>28215</v>
      </c>
      <c r="I3957" t="s">
        <v>28245</v>
      </c>
      <c r="J3957" t="s">
        <v>28837</v>
      </c>
      <c r="K3957" t="s">
        <v>36701</v>
      </c>
      <c r="M3957" t="s">
        <v>38527</v>
      </c>
      <c r="N3957" t="s">
        <v>40436</v>
      </c>
      <c r="O3957" t="s">
        <v>40437</v>
      </c>
      <c r="P3957">
        <v>0</v>
      </c>
      <c r="Q3957">
        <v>0</v>
      </c>
      <c r="R3957" t="s">
        <v>40439</v>
      </c>
      <c r="S3957" t="s">
        <v>40588</v>
      </c>
      <c r="T3957" t="s">
        <v>42125</v>
      </c>
      <c r="U3957" t="s">
        <v>46013</v>
      </c>
      <c r="W3957" t="s">
        <v>38527</v>
      </c>
      <c r="X3957" t="s">
        <v>40440</v>
      </c>
    </row>
    <row r="3958" spans="1:24">
      <c r="A3958">
        <f>HYPERLINK("https://www.philgeps.gov.ph/GEPSNONPILOT/Tender/SplashBidNoticeAbstractUI.aspx?menuIndex=3&amp;refID=7046154&amp;Result=3","7046154")</f>
        <v>0</v>
      </c>
      <c r="B3958" t="s">
        <v>1450</v>
      </c>
      <c r="C3958" t="s">
        <v>6863</v>
      </c>
      <c r="D3958" t="s">
        <v>16241</v>
      </c>
      <c r="E3958" t="s">
        <v>16586</v>
      </c>
      <c r="F3958" t="s">
        <v>28198</v>
      </c>
      <c r="G3958" t="s">
        <v>28207</v>
      </c>
      <c r="H3958" t="s">
        <v>28214</v>
      </c>
      <c r="I3958" t="s">
        <v>3797</v>
      </c>
      <c r="J3958" t="s">
        <v>28378</v>
      </c>
      <c r="K3958" t="s">
        <v>36687</v>
      </c>
      <c r="M3958" t="s">
        <v>38517</v>
      </c>
      <c r="N3958" t="s">
        <v>40436</v>
      </c>
      <c r="O3958" t="s">
        <v>40437</v>
      </c>
      <c r="P3958">
        <v>0</v>
      </c>
      <c r="Q3958">
        <v>0</v>
      </c>
      <c r="R3958" t="s">
        <v>40439</v>
      </c>
      <c r="S3958" t="s">
        <v>40588</v>
      </c>
      <c r="T3958" t="s">
        <v>42213</v>
      </c>
      <c r="U3958" t="s">
        <v>46014</v>
      </c>
      <c r="W3958" t="s">
        <v>38517</v>
      </c>
      <c r="X3958" t="s">
        <v>40440</v>
      </c>
    </row>
    <row r="3959" spans="1:24">
      <c r="A3959">
        <f>HYPERLINK("https://www.philgeps.gov.ph/GEPSNONPILOT/Tender/SplashBidNoticeAbstractUI.aspx?menuIndex=3&amp;refID=7046141&amp;Result=3","7046141")</f>
        <v>0</v>
      </c>
      <c r="B3959" t="s">
        <v>1460</v>
      </c>
      <c r="C3959" t="s">
        <v>6864</v>
      </c>
      <c r="D3959" t="s">
        <v>16230</v>
      </c>
      <c r="E3959" t="s">
        <v>19836</v>
      </c>
      <c r="F3959" t="s">
        <v>28198</v>
      </c>
      <c r="G3959" t="s">
        <v>28205</v>
      </c>
      <c r="H3959" t="s">
        <v>28214</v>
      </c>
      <c r="I3959" t="s">
        <v>3797</v>
      </c>
      <c r="J3959" t="s">
        <v>29163</v>
      </c>
      <c r="K3959" t="s">
        <v>36724</v>
      </c>
      <c r="M3959" t="s">
        <v>38528</v>
      </c>
      <c r="N3959" t="s">
        <v>40436</v>
      </c>
      <c r="O3959" t="s">
        <v>40437</v>
      </c>
      <c r="P3959">
        <v>0</v>
      </c>
      <c r="Q3959">
        <v>1</v>
      </c>
      <c r="R3959" t="s">
        <v>40439</v>
      </c>
      <c r="S3959" t="s">
        <v>40588</v>
      </c>
      <c r="T3959" t="s">
        <v>42106</v>
      </c>
      <c r="U3959" t="s">
        <v>46015</v>
      </c>
      <c r="W3959" t="s">
        <v>38528</v>
      </c>
      <c r="X3959" t="s">
        <v>40440</v>
      </c>
    </row>
    <row r="3960" spans="1:24">
      <c r="A3960">
        <f>HYPERLINK("https://www.philgeps.gov.ph/GEPSNONPILOT/Tender/SplashBidNoticeAbstractUI.aspx?menuIndex=3&amp;refID=7046155&amp;Result=3","7046155")</f>
        <v>0</v>
      </c>
      <c r="B3960" t="s">
        <v>1011</v>
      </c>
      <c r="C3960" t="s">
        <v>6865</v>
      </c>
      <c r="D3960" t="s">
        <v>16226</v>
      </c>
      <c r="E3960" t="s">
        <v>19837</v>
      </c>
      <c r="F3960" t="s">
        <v>28198</v>
      </c>
      <c r="G3960" t="s">
        <v>28207</v>
      </c>
      <c r="H3960" t="s">
        <v>28215</v>
      </c>
      <c r="I3960" t="s">
        <v>5100</v>
      </c>
      <c r="J3960" t="s">
        <v>30915</v>
      </c>
      <c r="K3960" t="s">
        <v>36688</v>
      </c>
      <c r="M3960" t="s">
        <v>38039</v>
      </c>
      <c r="N3960" t="s">
        <v>40436</v>
      </c>
      <c r="O3960" t="s">
        <v>40437</v>
      </c>
      <c r="P3960">
        <v>0</v>
      </c>
      <c r="Q3960">
        <v>1</v>
      </c>
      <c r="R3960" t="s">
        <v>40439</v>
      </c>
      <c r="S3960" t="s">
        <v>40588</v>
      </c>
      <c r="T3960" t="s">
        <v>42158</v>
      </c>
      <c r="U3960" t="s">
        <v>46016</v>
      </c>
      <c r="W3960" t="s">
        <v>38039</v>
      </c>
      <c r="X3960" t="s">
        <v>40440</v>
      </c>
    </row>
    <row r="3961" spans="1:24">
      <c r="A3961">
        <f>HYPERLINK("https://www.philgeps.gov.ph/GEPSNONPILOT/Tender/SplashBidNoticeAbstractUI.aspx?menuIndex=3&amp;refID=7046160&amp;Result=3","7046160")</f>
        <v>0</v>
      </c>
      <c r="B3961" t="s">
        <v>1411</v>
      </c>
      <c r="C3961" t="s">
        <v>6866</v>
      </c>
      <c r="D3961" t="s">
        <v>16195</v>
      </c>
      <c r="E3961" t="s">
        <v>19838</v>
      </c>
      <c r="F3961" t="s">
        <v>28198</v>
      </c>
      <c r="G3961" t="s">
        <v>28207</v>
      </c>
      <c r="H3961" t="s">
        <v>28215</v>
      </c>
      <c r="I3961" t="s">
        <v>28248</v>
      </c>
      <c r="J3961" t="s">
        <v>28369</v>
      </c>
      <c r="K3961" t="s">
        <v>36706</v>
      </c>
      <c r="M3961" t="s">
        <v>38476</v>
      </c>
      <c r="N3961" t="s">
        <v>40436</v>
      </c>
      <c r="O3961" t="s">
        <v>40437</v>
      </c>
      <c r="P3961">
        <v>0</v>
      </c>
      <c r="Q3961">
        <v>4</v>
      </c>
      <c r="R3961" t="s">
        <v>40439</v>
      </c>
      <c r="S3961" t="s">
        <v>40588</v>
      </c>
      <c r="T3961" t="s">
        <v>42158</v>
      </c>
      <c r="U3961" t="s">
        <v>46017</v>
      </c>
      <c r="V3961" t="s">
        <v>54184</v>
      </c>
      <c r="W3961" t="s">
        <v>38476</v>
      </c>
      <c r="X3961" t="s">
        <v>40440</v>
      </c>
    </row>
    <row r="3962" spans="1:24">
      <c r="A3962">
        <f>HYPERLINK("https://www.philgeps.gov.ph/GEPSNONPILOT/Tender/SplashBidNoticeAbstractUI.aspx?menuIndex=3&amp;refID=7046152&amp;Result=3","7046152")</f>
        <v>0</v>
      </c>
      <c r="B3962" t="s">
        <v>1063</v>
      </c>
      <c r="C3962" t="s">
        <v>6867</v>
      </c>
      <c r="D3962" t="s">
        <v>16188</v>
      </c>
      <c r="E3962" t="s">
        <v>19839</v>
      </c>
      <c r="F3962" t="s">
        <v>28198</v>
      </c>
      <c r="G3962" t="s">
        <v>28205</v>
      </c>
      <c r="H3962" t="s">
        <v>28215</v>
      </c>
      <c r="I3962" t="s">
        <v>28254</v>
      </c>
      <c r="J3962" t="s">
        <v>30916</v>
      </c>
      <c r="K3962" t="s">
        <v>36689</v>
      </c>
      <c r="M3962" t="s">
        <v>38491</v>
      </c>
      <c r="N3962" t="s">
        <v>40436</v>
      </c>
      <c r="O3962" t="s">
        <v>40437</v>
      </c>
      <c r="P3962">
        <v>0</v>
      </c>
      <c r="Q3962">
        <v>3</v>
      </c>
      <c r="R3962" t="s">
        <v>40439</v>
      </c>
      <c r="S3962" t="s">
        <v>40588</v>
      </c>
      <c r="T3962" t="s">
        <v>42203</v>
      </c>
      <c r="U3962" t="s">
        <v>46018</v>
      </c>
      <c r="W3962" t="s">
        <v>38491</v>
      </c>
      <c r="X3962" t="s">
        <v>40440</v>
      </c>
    </row>
    <row r="3963" spans="1:24">
      <c r="A3963">
        <f>HYPERLINK("https://www.philgeps.gov.ph/GEPSNONPILOT/Tender/SplashBidNoticeAbstractUI.aspx?menuIndex=3&amp;refID=7046165&amp;Result=3","7046165")</f>
        <v>0</v>
      </c>
      <c r="B3963" t="s">
        <v>1019</v>
      </c>
      <c r="C3963" t="s">
        <v>6868</v>
      </c>
      <c r="D3963" t="s">
        <v>16202</v>
      </c>
      <c r="E3963" t="s">
        <v>19840</v>
      </c>
      <c r="F3963" t="s">
        <v>28198</v>
      </c>
      <c r="G3963" t="s">
        <v>28207</v>
      </c>
      <c r="H3963" t="s">
        <v>28215</v>
      </c>
      <c r="I3963" t="s">
        <v>28238</v>
      </c>
      <c r="J3963" t="s">
        <v>30917</v>
      </c>
      <c r="K3963" t="s">
        <v>36701</v>
      </c>
      <c r="M3963" t="s">
        <v>38048</v>
      </c>
      <c r="N3963" t="s">
        <v>40436</v>
      </c>
      <c r="O3963" t="s">
        <v>40437</v>
      </c>
      <c r="P3963">
        <v>0</v>
      </c>
      <c r="Q3963">
        <v>4</v>
      </c>
      <c r="R3963" t="s">
        <v>40439</v>
      </c>
      <c r="S3963" t="s">
        <v>40588</v>
      </c>
      <c r="T3963" t="s">
        <v>42158</v>
      </c>
      <c r="U3963" t="s">
        <v>45985</v>
      </c>
      <c r="W3963" t="s">
        <v>38048</v>
      </c>
      <c r="X3963" t="s">
        <v>40440</v>
      </c>
    </row>
    <row r="3964" spans="1:24">
      <c r="A3964">
        <f>HYPERLINK("https://www.philgeps.gov.ph/GEPSNONPILOT/Tender/SplashBidNoticeAbstractUI.aspx?menuIndex=3&amp;refID=7046169&amp;Result=3","7046169")</f>
        <v>0</v>
      </c>
      <c r="B3964" t="s">
        <v>1063</v>
      </c>
      <c r="C3964" t="s">
        <v>6869</v>
      </c>
      <c r="D3964" t="s">
        <v>16188</v>
      </c>
      <c r="E3964" t="s">
        <v>19841</v>
      </c>
      <c r="F3964" t="s">
        <v>28198</v>
      </c>
      <c r="G3964" t="s">
        <v>28205</v>
      </c>
      <c r="H3964" t="s">
        <v>28215</v>
      </c>
      <c r="I3964" t="s">
        <v>28265</v>
      </c>
      <c r="J3964" t="s">
        <v>30918</v>
      </c>
      <c r="K3964" t="s">
        <v>36689</v>
      </c>
      <c r="M3964" t="s">
        <v>38491</v>
      </c>
      <c r="N3964" t="s">
        <v>40436</v>
      </c>
      <c r="O3964" t="s">
        <v>40437</v>
      </c>
      <c r="P3964">
        <v>0</v>
      </c>
      <c r="Q3964">
        <v>0</v>
      </c>
      <c r="R3964" t="s">
        <v>40439</v>
      </c>
      <c r="S3964" t="s">
        <v>40588</v>
      </c>
      <c r="T3964" t="s">
        <v>42203</v>
      </c>
      <c r="U3964" t="s">
        <v>46019</v>
      </c>
      <c r="W3964" t="s">
        <v>38491</v>
      </c>
      <c r="X3964" t="s">
        <v>40440</v>
      </c>
    </row>
    <row r="3965" spans="1:24">
      <c r="A3965">
        <f>HYPERLINK("https://www.philgeps.gov.ph/GEPSNONPILOT/Tender/SplashBidNoticeAbstractUI.aspx?menuIndex=3&amp;refID=7046164&amp;Result=3","7046164")</f>
        <v>0</v>
      </c>
      <c r="B3965" t="s">
        <v>386</v>
      </c>
      <c r="C3965" t="s">
        <v>6870</v>
      </c>
      <c r="D3965" t="s">
        <v>16259</v>
      </c>
      <c r="E3965" t="s">
        <v>19842</v>
      </c>
      <c r="F3965" t="s">
        <v>28198</v>
      </c>
      <c r="G3965" t="s">
        <v>28207</v>
      </c>
      <c r="H3965" t="s">
        <v>28215</v>
      </c>
      <c r="I3965" t="s">
        <v>28257</v>
      </c>
      <c r="J3965" t="s">
        <v>28694</v>
      </c>
      <c r="K3965" t="s">
        <v>36688</v>
      </c>
      <c r="M3965" t="s">
        <v>37366</v>
      </c>
      <c r="N3965" t="s">
        <v>40436</v>
      </c>
      <c r="O3965" t="s">
        <v>40437</v>
      </c>
      <c r="P3965">
        <v>0</v>
      </c>
      <c r="Q3965">
        <v>1</v>
      </c>
      <c r="R3965" t="s">
        <v>40439</v>
      </c>
      <c r="S3965" t="s">
        <v>40588</v>
      </c>
      <c r="T3965" t="s">
        <v>42133</v>
      </c>
      <c r="U3965" t="s">
        <v>45807</v>
      </c>
      <c r="V3965" t="s">
        <v>53872</v>
      </c>
      <c r="W3965" t="s">
        <v>37366</v>
      </c>
      <c r="X3965" t="s">
        <v>40440</v>
      </c>
    </row>
    <row r="3966" spans="1:24">
      <c r="A3966">
        <f>HYPERLINK("https://www.philgeps.gov.ph/GEPSNONPILOT/Tender/SplashBidNoticeAbstractUI.aspx?menuIndex=3&amp;refID=7046171&amp;Result=3","7046171")</f>
        <v>0</v>
      </c>
      <c r="B3966" t="s">
        <v>463</v>
      </c>
      <c r="C3966" t="s">
        <v>6871</v>
      </c>
      <c r="D3966" t="s">
        <v>16203</v>
      </c>
      <c r="E3966" t="s">
        <v>19843</v>
      </c>
      <c r="F3966" t="s">
        <v>28198</v>
      </c>
      <c r="G3966" t="s">
        <v>28205</v>
      </c>
      <c r="H3966" t="s">
        <v>28214</v>
      </c>
      <c r="I3966" t="s">
        <v>3797</v>
      </c>
      <c r="J3966" t="s">
        <v>28378</v>
      </c>
      <c r="K3966" t="s">
        <v>36695</v>
      </c>
      <c r="M3966" t="s">
        <v>37448</v>
      </c>
      <c r="N3966" t="s">
        <v>40436</v>
      </c>
      <c r="O3966" t="s">
        <v>40437</v>
      </c>
      <c r="P3966">
        <v>0</v>
      </c>
      <c r="Q3966">
        <v>0</v>
      </c>
      <c r="R3966" t="s">
        <v>40439</v>
      </c>
      <c r="S3966" t="s">
        <v>40588</v>
      </c>
      <c r="T3966" t="s">
        <v>42248</v>
      </c>
      <c r="U3966" t="s">
        <v>46020</v>
      </c>
      <c r="V3966" t="s">
        <v>54093</v>
      </c>
      <c r="W3966" t="s">
        <v>37448</v>
      </c>
      <c r="X3966" t="s">
        <v>40440</v>
      </c>
    </row>
    <row r="3967" spans="1:24">
      <c r="A3967">
        <f>HYPERLINK("https://www.philgeps.gov.ph/GEPSNONPILOT/Tender/SplashBidNoticeAbstractUI.aspx?menuIndex=3&amp;refID=7046166&amp;Result=3","7046166")</f>
        <v>0</v>
      </c>
      <c r="B3967" t="s">
        <v>360</v>
      </c>
      <c r="C3967" t="s">
        <v>6872</v>
      </c>
      <c r="D3967" t="s">
        <v>16210</v>
      </c>
      <c r="E3967" t="s">
        <v>19844</v>
      </c>
      <c r="F3967" t="s">
        <v>28198</v>
      </c>
      <c r="G3967" t="s">
        <v>28207</v>
      </c>
      <c r="H3967" t="s">
        <v>28215</v>
      </c>
      <c r="I3967" t="s">
        <v>5631</v>
      </c>
      <c r="J3967" t="s">
        <v>28386</v>
      </c>
      <c r="K3967" t="s">
        <v>36701</v>
      </c>
      <c r="M3967" t="s">
        <v>38529</v>
      </c>
      <c r="N3967" t="s">
        <v>40436</v>
      </c>
      <c r="O3967" t="s">
        <v>40437</v>
      </c>
      <c r="P3967">
        <v>0</v>
      </c>
      <c r="Q3967">
        <v>3</v>
      </c>
      <c r="R3967" t="s">
        <v>40439</v>
      </c>
      <c r="S3967" t="s">
        <v>40588</v>
      </c>
      <c r="T3967" t="s">
        <v>42326</v>
      </c>
      <c r="U3967" t="s">
        <v>43217</v>
      </c>
      <c r="V3967" t="s">
        <v>54185</v>
      </c>
      <c r="W3967" t="s">
        <v>38529</v>
      </c>
      <c r="X3967" t="s">
        <v>40440</v>
      </c>
    </row>
    <row r="3968" spans="1:24">
      <c r="A3968">
        <f>HYPERLINK("https://www.philgeps.gov.ph/GEPSNONPILOT/Tender/SplashBidNoticeAbstractUI.aspx?menuIndex=3&amp;refID=7046162&amp;Result=3","7046162")</f>
        <v>0</v>
      </c>
      <c r="B3968" t="s">
        <v>1023</v>
      </c>
      <c r="C3968" t="s">
        <v>6873</v>
      </c>
      <c r="D3968" t="s">
        <v>16265</v>
      </c>
      <c r="E3968" t="s">
        <v>19822</v>
      </c>
      <c r="F3968" t="s">
        <v>28198</v>
      </c>
      <c r="G3968" t="s">
        <v>28205</v>
      </c>
      <c r="H3968" t="s">
        <v>28215</v>
      </c>
      <c r="I3968" t="s">
        <v>5082</v>
      </c>
      <c r="J3968" t="s">
        <v>30919</v>
      </c>
      <c r="K3968" t="s">
        <v>36701</v>
      </c>
      <c r="M3968" t="s">
        <v>38054</v>
      </c>
      <c r="N3968" t="s">
        <v>40436</v>
      </c>
      <c r="O3968" t="s">
        <v>40437</v>
      </c>
      <c r="P3968">
        <v>0</v>
      </c>
      <c r="Q3968">
        <v>0</v>
      </c>
      <c r="R3968" t="s">
        <v>40439</v>
      </c>
      <c r="S3968" t="s">
        <v>40588</v>
      </c>
      <c r="T3968" t="s">
        <v>42108</v>
      </c>
      <c r="U3968" t="s">
        <v>45996</v>
      </c>
      <c r="W3968" t="s">
        <v>38054</v>
      </c>
      <c r="X3968" t="s">
        <v>40440</v>
      </c>
    </row>
    <row r="3969" spans="1:24">
      <c r="A3969">
        <f>HYPERLINK("https://www.philgeps.gov.ph/GEPSNONPILOT/Tender/SplashBidNoticeAbstractUI.aspx?menuIndex=3&amp;refID=7046163&amp;Result=3","7046163")</f>
        <v>0</v>
      </c>
      <c r="B3969" t="s">
        <v>1385</v>
      </c>
      <c r="C3969" t="s">
        <v>6874</v>
      </c>
      <c r="D3969" t="s">
        <v>16222</v>
      </c>
      <c r="E3969" t="s">
        <v>19845</v>
      </c>
      <c r="F3969" t="s">
        <v>28198</v>
      </c>
      <c r="G3969" t="s">
        <v>28205</v>
      </c>
      <c r="H3969" t="s">
        <v>28215</v>
      </c>
      <c r="I3969" t="s">
        <v>28247</v>
      </c>
      <c r="J3969" t="s">
        <v>30920</v>
      </c>
      <c r="K3969" t="s">
        <v>36697</v>
      </c>
      <c r="M3969" t="s">
        <v>38449</v>
      </c>
      <c r="N3969" t="s">
        <v>40436</v>
      </c>
      <c r="O3969" t="s">
        <v>40437</v>
      </c>
      <c r="P3969">
        <v>0</v>
      </c>
      <c r="Q3969">
        <v>7</v>
      </c>
      <c r="R3969" t="s">
        <v>40439</v>
      </c>
      <c r="S3969" t="s">
        <v>40588</v>
      </c>
      <c r="T3969" t="s">
        <v>42300</v>
      </c>
      <c r="U3969" t="s">
        <v>46021</v>
      </c>
      <c r="V3969" t="s">
        <v>54161</v>
      </c>
      <c r="W3969" t="s">
        <v>38449</v>
      </c>
      <c r="X3969" t="s">
        <v>40440</v>
      </c>
    </row>
    <row r="3970" spans="1:24">
      <c r="A3970">
        <f>HYPERLINK("https://www.philgeps.gov.ph/GEPSNONPILOT/Tender/SplashBidNoticeAbstractUI.aspx?menuIndex=3&amp;refID=7046183&amp;Result=3","7046183")</f>
        <v>0</v>
      </c>
      <c r="B3970" t="s">
        <v>916</v>
      </c>
      <c r="C3970" t="s">
        <v>6875</v>
      </c>
      <c r="D3970" t="s">
        <v>16210</v>
      </c>
      <c r="E3970" t="s">
        <v>19846</v>
      </c>
      <c r="F3970" t="s">
        <v>28198</v>
      </c>
      <c r="G3970" t="s">
        <v>28205</v>
      </c>
      <c r="H3970" t="s">
        <v>28215</v>
      </c>
      <c r="I3970" t="s">
        <v>28247</v>
      </c>
      <c r="J3970" t="s">
        <v>30921</v>
      </c>
      <c r="K3970" t="s">
        <v>36692</v>
      </c>
      <c r="M3970" t="s">
        <v>38527</v>
      </c>
      <c r="N3970" t="s">
        <v>40436</v>
      </c>
      <c r="O3970" t="s">
        <v>40437</v>
      </c>
      <c r="P3970">
        <v>0</v>
      </c>
      <c r="Q3970">
        <v>10</v>
      </c>
      <c r="R3970" t="s">
        <v>40439</v>
      </c>
      <c r="S3970" t="s">
        <v>40588</v>
      </c>
      <c r="T3970" t="s">
        <v>42125</v>
      </c>
      <c r="U3970" t="s">
        <v>46022</v>
      </c>
      <c r="W3970" t="s">
        <v>38527</v>
      </c>
      <c r="X3970" t="s">
        <v>40440</v>
      </c>
    </row>
    <row r="3971" spans="1:24">
      <c r="A3971">
        <f>HYPERLINK("https://www.philgeps.gov.ph/GEPSNONPILOT/Tender/SplashBidNoticeAbstractUI.aspx?menuIndex=3&amp;refID=7046161&amp;Result=3","7046161")</f>
        <v>0</v>
      </c>
      <c r="B3971" t="s">
        <v>1461</v>
      </c>
      <c r="C3971" t="s">
        <v>6876</v>
      </c>
      <c r="D3971" t="s">
        <v>16238</v>
      </c>
      <c r="E3971" t="s">
        <v>19847</v>
      </c>
      <c r="F3971" t="s">
        <v>28198</v>
      </c>
      <c r="G3971" t="s">
        <v>28207</v>
      </c>
      <c r="H3971" t="s">
        <v>28215</v>
      </c>
      <c r="I3971" t="s">
        <v>4200</v>
      </c>
      <c r="J3971" t="s">
        <v>30922</v>
      </c>
      <c r="K3971" t="s">
        <v>36687</v>
      </c>
      <c r="M3971" t="s">
        <v>38530</v>
      </c>
      <c r="N3971" t="s">
        <v>40436</v>
      </c>
      <c r="O3971" t="s">
        <v>40437</v>
      </c>
      <c r="P3971">
        <v>0</v>
      </c>
      <c r="Q3971">
        <v>0</v>
      </c>
      <c r="R3971" t="s">
        <v>40439</v>
      </c>
      <c r="S3971" t="s">
        <v>40588</v>
      </c>
      <c r="T3971" t="s">
        <v>42133</v>
      </c>
      <c r="U3971" t="s">
        <v>46023</v>
      </c>
      <c r="W3971" t="s">
        <v>38530</v>
      </c>
      <c r="X3971" t="s">
        <v>40440</v>
      </c>
    </row>
    <row r="3972" spans="1:24">
      <c r="A3972">
        <f>HYPERLINK("https://www.philgeps.gov.ph/GEPSNONPILOT/Tender/SplashBidNoticeAbstractUI.aspx?menuIndex=3&amp;refID=7046167&amp;Result=3","7046167")</f>
        <v>0</v>
      </c>
      <c r="B3972" t="s">
        <v>1462</v>
      </c>
      <c r="C3972" t="s">
        <v>6877</v>
      </c>
      <c r="D3972" t="s">
        <v>16210</v>
      </c>
      <c r="E3972" t="s">
        <v>19848</v>
      </c>
      <c r="F3972" t="s">
        <v>28198</v>
      </c>
      <c r="G3972" t="s">
        <v>28207</v>
      </c>
      <c r="H3972" t="s">
        <v>28217</v>
      </c>
      <c r="I3972" t="s">
        <v>28274</v>
      </c>
      <c r="J3972" t="s">
        <v>30923</v>
      </c>
      <c r="K3972" t="s">
        <v>36694</v>
      </c>
      <c r="M3972" t="s">
        <v>38531</v>
      </c>
      <c r="N3972" t="s">
        <v>40436</v>
      </c>
      <c r="O3972" t="s">
        <v>40437</v>
      </c>
      <c r="P3972">
        <v>0</v>
      </c>
      <c r="Q3972">
        <v>3</v>
      </c>
      <c r="R3972" t="s">
        <v>40439</v>
      </c>
      <c r="S3972" t="s">
        <v>40588</v>
      </c>
      <c r="T3972" t="s">
        <v>42203</v>
      </c>
      <c r="U3972" t="s">
        <v>46024</v>
      </c>
      <c r="W3972" t="s">
        <v>38531</v>
      </c>
      <c r="X3972" t="s">
        <v>40440</v>
      </c>
    </row>
    <row r="3973" spans="1:24">
      <c r="A3973">
        <f>HYPERLINK("https://www.philgeps.gov.ph/GEPSNONPILOT/Tender/SplashBidNoticeAbstractUI.aspx?menuIndex=3&amp;refID=7046177&amp;Result=3","7046177")</f>
        <v>0</v>
      </c>
      <c r="B3973" t="s">
        <v>1213</v>
      </c>
      <c r="C3973" t="s">
        <v>6878</v>
      </c>
      <c r="D3973" t="s">
        <v>16203</v>
      </c>
      <c r="E3973" t="s">
        <v>18457</v>
      </c>
      <c r="F3973" t="s">
        <v>28198</v>
      </c>
      <c r="G3973" t="s">
        <v>28205</v>
      </c>
      <c r="H3973" t="s">
        <v>28215</v>
      </c>
      <c r="I3973" t="s">
        <v>28222</v>
      </c>
      <c r="J3973" t="s">
        <v>30924</v>
      </c>
      <c r="K3973" t="s">
        <v>36697</v>
      </c>
      <c r="M3973" t="s">
        <v>38258</v>
      </c>
      <c r="N3973" t="s">
        <v>40436</v>
      </c>
      <c r="O3973" t="s">
        <v>40437</v>
      </c>
      <c r="P3973">
        <v>0</v>
      </c>
      <c r="Q3973">
        <v>5</v>
      </c>
      <c r="R3973" t="s">
        <v>40439</v>
      </c>
      <c r="S3973" t="s">
        <v>40588</v>
      </c>
      <c r="T3973" t="s">
        <v>42118</v>
      </c>
      <c r="U3973" t="s">
        <v>46025</v>
      </c>
      <c r="W3973" t="s">
        <v>38258</v>
      </c>
      <c r="X3973" t="s">
        <v>40440</v>
      </c>
    </row>
    <row r="3974" spans="1:24">
      <c r="A3974">
        <f>HYPERLINK("https://www.philgeps.gov.ph/GEPSNONPILOT/Tender/SplashBidNoticeAbstractUI.aspx?menuIndex=3&amp;refID=7046182&amp;Result=3","7046182")</f>
        <v>0</v>
      </c>
      <c r="B3974" t="s">
        <v>1463</v>
      </c>
      <c r="C3974" t="s">
        <v>6879</v>
      </c>
      <c r="D3974" t="s">
        <v>16230</v>
      </c>
      <c r="E3974" t="s">
        <v>19849</v>
      </c>
      <c r="F3974" t="s">
        <v>28198</v>
      </c>
      <c r="G3974" t="s">
        <v>28207</v>
      </c>
      <c r="H3974" t="s">
        <v>28215</v>
      </c>
      <c r="I3974" t="s">
        <v>28265</v>
      </c>
      <c r="J3974" t="s">
        <v>30925</v>
      </c>
      <c r="K3974" t="s">
        <v>36707</v>
      </c>
      <c r="M3974" t="s">
        <v>38532</v>
      </c>
      <c r="N3974" t="s">
        <v>40436</v>
      </c>
      <c r="O3974" t="s">
        <v>40437</v>
      </c>
      <c r="P3974">
        <v>0</v>
      </c>
      <c r="Q3974">
        <v>0</v>
      </c>
      <c r="R3974" t="s">
        <v>40439</v>
      </c>
      <c r="S3974" t="s">
        <v>40588</v>
      </c>
      <c r="T3974" t="s">
        <v>42190</v>
      </c>
      <c r="U3974" t="s">
        <v>46026</v>
      </c>
      <c r="W3974" t="s">
        <v>38532</v>
      </c>
      <c r="X3974" t="s">
        <v>40440</v>
      </c>
    </row>
    <row r="3975" spans="1:24">
      <c r="A3975">
        <f>HYPERLINK("https://www.philgeps.gov.ph/GEPSNONPILOT/Tender/SplashBidNoticeAbstractUI.aspx?menuIndex=3&amp;refID=7046176&amp;Result=3","7046176")</f>
        <v>0</v>
      </c>
      <c r="B3975" t="s">
        <v>1222</v>
      </c>
      <c r="C3975" t="s">
        <v>3845</v>
      </c>
      <c r="D3975" t="s">
        <v>16236</v>
      </c>
      <c r="E3975" t="s">
        <v>19850</v>
      </c>
      <c r="F3975" t="s">
        <v>28198</v>
      </c>
      <c r="G3975" t="s">
        <v>28207</v>
      </c>
      <c r="H3975" t="s">
        <v>28215</v>
      </c>
      <c r="I3975" t="s">
        <v>5100</v>
      </c>
      <c r="J3975" t="s">
        <v>30926</v>
      </c>
      <c r="K3975" t="s">
        <v>36691</v>
      </c>
      <c r="M3975" t="s">
        <v>38268</v>
      </c>
      <c r="N3975" t="s">
        <v>40436</v>
      </c>
      <c r="O3975" t="s">
        <v>40437</v>
      </c>
      <c r="P3975">
        <v>0</v>
      </c>
      <c r="Q3975">
        <v>0</v>
      </c>
      <c r="R3975" t="s">
        <v>40439</v>
      </c>
      <c r="S3975" t="s">
        <v>40588</v>
      </c>
      <c r="T3975" t="s">
        <v>42190</v>
      </c>
      <c r="U3975" t="s">
        <v>46027</v>
      </c>
      <c r="W3975" t="s">
        <v>38268</v>
      </c>
      <c r="X3975" t="s">
        <v>40440</v>
      </c>
    </row>
    <row r="3976" spans="1:24">
      <c r="A3976">
        <f>HYPERLINK("https://www.philgeps.gov.ph/GEPSNONPILOT/Tender/SplashBidNoticeAbstractUI.aspx?menuIndex=3&amp;refID=7046173&amp;Result=3","7046173")</f>
        <v>0</v>
      </c>
      <c r="B3976" t="s">
        <v>1464</v>
      </c>
      <c r="C3976" t="s">
        <v>6880</v>
      </c>
      <c r="D3976" t="s">
        <v>16218</v>
      </c>
      <c r="E3976" t="s">
        <v>19851</v>
      </c>
      <c r="F3976" t="s">
        <v>28198</v>
      </c>
      <c r="G3976" t="s">
        <v>28206</v>
      </c>
      <c r="H3976" t="s">
        <v>28215</v>
      </c>
      <c r="I3976" t="s">
        <v>3774</v>
      </c>
      <c r="J3976" t="s">
        <v>30927</v>
      </c>
      <c r="K3976" t="s">
        <v>36707</v>
      </c>
      <c r="M3976" t="s">
        <v>38533</v>
      </c>
      <c r="N3976" t="s">
        <v>40436</v>
      </c>
      <c r="O3976" t="s">
        <v>40437</v>
      </c>
      <c r="P3976">
        <v>0</v>
      </c>
      <c r="Q3976">
        <v>1</v>
      </c>
      <c r="R3976" t="s">
        <v>40439</v>
      </c>
      <c r="S3976" t="s">
        <v>40588</v>
      </c>
      <c r="T3976" t="s">
        <v>42233</v>
      </c>
      <c r="U3976" t="s">
        <v>46028</v>
      </c>
      <c r="W3976" t="s">
        <v>38533</v>
      </c>
      <c r="X3976" t="s">
        <v>40440</v>
      </c>
    </row>
    <row r="3977" spans="1:24">
      <c r="A3977">
        <f>HYPERLINK("https://www.philgeps.gov.ph/GEPSNONPILOT/Tender/SplashBidNoticeAbstractUI.aspx?menuIndex=3&amp;refID=7046178&amp;Result=3","7046178")</f>
        <v>0</v>
      </c>
      <c r="B3977" t="s">
        <v>1063</v>
      </c>
      <c r="C3977" t="s">
        <v>6881</v>
      </c>
      <c r="D3977" t="s">
        <v>16188</v>
      </c>
      <c r="E3977" t="s">
        <v>6881</v>
      </c>
      <c r="F3977" t="s">
        <v>28198</v>
      </c>
      <c r="G3977" t="s">
        <v>28205</v>
      </c>
      <c r="H3977" t="s">
        <v>28214</v>
      </c>
      <c r="I3977" t="s">
        <v>28235</v>
      </c>
      <c r="J3977" t="s">
        <v>30928</v>
      </c>
      <c r="K3977" t="s">
        <v>36689</v>
      </c>
      <c r="M3977" t="s">
        <v>38534</v>
      </c>
      <c r="N3977" t="s">
        <v>40436</v>
      </c>
      <c r="O3977" t="s">
        <v>40437</v>
      </c>
      <c r="P3977">
        <v>0</v>
      </c>
      <c r="Q3977">
        <v>0</v>
      </c>
      <c r="R3977" t="s">
        <v>40439</v>
      </c>
      <c r="S3977" t="s">
        <v>40588</v>
      </c>
      <c r="T3977" t="s">
        <v>42299</v>
      </c>
      <c r="U3977" t="s">
        <v>46029</v>
      </c>
      <c r="W3977" t="s">
        <v>38534</v>
      </c>
      <c r="X3977" t="s">
        <v>40440</v>
      </c>
    </row>
    <row r="3978" spans="1:24">
      <c r="A3978">
        <f>HYPERLINK("https://www.philgeps.gov.ph/GEPSNONPILOT/Tender/SplashBidNoticeAbstractUI.aspx?menuIndex=3&amp;refID=7046185&amp;Result=3","7046185")</f>
        <v>0</v>
      </c>
      <c r="B3978" t="s">
        <v>1449</v>
      </c>
      <c r="C3978" t="s">
        <v>6882</v>
      </c>
      <c r="D3978" t="s">
        <v>16189</v>
      </c>
      <c r="E3978" t="s">
        <v>19852</v>
      </c>
      <c r="F3978" t="s">
        <v>28198</v>
      </c>
      <c r="G3978" t="s">
        <v>28205</v>
      </c>
      <c r="H3978" t="s">
        <v>28214</v>
      </c>
      <c r="I3978" t="s">
        <v>28242</v>
      </c>
      <c r="J3978" t="s">
        <v>28378</v>
      </c>
      <c r="K3978" t="s">
        <v>36707</v>
      </c>
      <c r="M3978" t="s">
        <v>38516</v>
      </c>
      <c r="N3978" t="s">
        <v>40436</v>
      </c>
      <c r="O3978" t="s">
        <v>40437</v>
      </c>
      <c r="P3978">
        <v>0</v>
      </c>
      <c r="Q3978">
        <v>0</v>
      </c>
      <c r="R3978" t="s">
        <v>40439</v>
      </c>
      <c r="S3978" t="s">
        <v>40588</v>
      </c>
      <c r="T3978" t="s">
        <v>42180</v>
      </c>
      <c r="U3978" t="s">
        <v>46030</v>
      </c>
      <c r="W3978" t="s">
        <v>38516</v>
      </c>
      <c r="X3978" t="s">
        <v>40440</v>
      </c>
    </row>
    <row r="3979" spans="1:24">
      <c r="A3979">
        <f>HYPERLINK("https://www.philgeps.gov.ph/GEPSNONPILOT/Tender/SplashBidNoticeAbstractUI.aspx?menuIndex=3&amp;refID=7046179&amp;Result=3","7046179")</f>
        <v>0</v>
      </c>
      <c r="B3979" t="s">
        <v>561</v>
      </c>
      <c r="C3979" t="s">
        <v>6883</v>
      </c>
      <c r="D3979" t="s">
        <v>16196</v>
      </c>
      <c r="E3979" t="s">
        <v>19853</v>
      </c>
      <c r="F3979" t="s">
        <v>28198</v>
      </c>
      <c r="G3979" t="s">
        <v>28205</v>
      </c>
      <c r="H3979" t="s">
        <v>28214</v>
      </c>
      <c r="I3979" t="s">
        <v>3797</v>
      </c>
      <c r="J3979" t="s">
        <v>28363</v>
      </c>
      <c r="K3979" t="s">
        <v>36736</v>
      </c>
      <c r="L3979" t="s">
        <v>561</v>
      </c>
      <c r="M3979" t="s">
        <v>37547</v>
      </c>
      <c r="N3979" t="s">
        <v>40436</v>
      </c>
      <c r="O3979" t="s">
        <v>40437</v>
      </c>
      <c r="P3979">
        <v>0</v>
      </c>
      <c r="Q3979">
        <v>37</v>
      </c>
      <c r="R3979" t="s">
        <v>40439</v>
      </c>
      <c r="S3979" t="s">
        <v>40588</v>
      </c>
      <c r="T3979" t="s">
        <v>42106</v>
      </c>
      <c r="U3979" t="s">
        <v>46031</v>
      </c>
      <c r="W3979" t="s">
        <v>37547</v>
      </c>
      <c r="X3979" t="s">
        <v>40440</v>
      </c>
    </row>
    <row r="3980" spans="1:24">
      <c r="A3980">
        <f>HYPERLINK("https://www.philgeps.gov.ph/GEPSNONPILOT/Tender/SplashBidNoticeAbstractUI.aspx?menuIndex=3&amp;refID=7046170&amp;Result=3","7046170")</f>
        <v>0</v>
      </c>
      <c r="B3980" t="s">
        <v>1455</v>
      </c>
      <c r="C3980" t="s">
        <v>6884</v>
      </c>
      <c r="D3980" t="s">
        <v>16204</v>
      </c>
      <c r="E3980" t="s">
        <v>6884</v>
      </c>
      <c r="F3980" t="s">
        <v>28198</v>
      </c>
      <c r="G3980" t="s">
        <v>28207</v>
      </c>
      <c r="H3980" t="s">
        <v>28215</v>
      </c>
      <c r="I3980" t="s">
        <v>4505</v>
      </c>
      <c r="J3980" t="s">
        <v>30929</v>
      </c>
      <c r="K3980" t="s">
        <v>36689</v>
      </c>
      <c r="M3980" t="s">
        <v>38522</v>
      </c>
      <c r="N3980" t="s">
        <v>40436</v>
      </c>
      <c r="O3980" t="s">
        <v>40437</v>
      </c>
      <c r="P3980">
        <v>0</v>
      </c>
      <c r="Q3980">
        <v>3</v>
      </c>
      <c r="R3980" t="s">
        <v>40439</v>
      </c>
      <c r="S3980" t="s">
        <v>40588</v>
      </c>
      <c r="T3980" t="s">
        <v>42273</v>
      </c>
      <c r="U3980" t="s">
        <v>46032</v>
      </c>
      <c r="W3980" t="s">
        <v>38522</v>
      </c>
      <c r="X3980" t="s">
        <v>40440</v>
      </c>
    </row>
    <row r="3981" spans="1:24">
      <c r="A3981">
        <f>HYPERLINK("https://www.philgeps.gov.ph/GEPSNONPILOT/Tender/SplashBidNoticeAbstractUI.aspx?menuIndex=3&amp;refID=7046184&amp;Result=3","7046184")</f>
        <v>0</v>
      </c>
      <c r="B3981" t="s">
        <v>1465</v>
      </c>
      <c r="C3981" t="s">
        <v>6885</v>
      </c>
      <c r="D3981" t="s">
        <v>16223</v>
      </c>
      <c r="E3981" t="s">
        <v>18719</v>
      </c>
      <c r="F3981" t="s">
        <v>28198</v>
      </c>
      <c r="G3981" t="s">
        <v>28205</v>
      </c>
      <c r="H3981" t="s">
        <v>28215</v>
      </c>
      <c r="I3981" t="s">
        <v>5100</v>
      </c>
      <c r="J3981" t="s">
        <v>30930</v>
      </c>
      <c r="K3981" t="s">
        <v>36688</v>
      </c>
      <c r="L3981" t="s">
        <v>1465</v>
      </c>
      <c r="M3981" t="s">
        <v>38535</v>
      </c>
      <c r="N3981" t="s">
        <v>40436</v>
      </c>
      <c r="O3981" t="s">
        <v>40437</v>
      </c>
      <c r="P3981">
        <v>0</v>
      </c>
      <c r="Q3981">
        <v>0</v>
      </c>
      <c r="R3981" t="s">
        <v>40439</v>
      </c>
      <c r="S3981" t="s">
        <v>40588</v>
      </c>
      <c r="T3981" t="s">
        <v>42144</v>
      </c>
      <c r="U3981" t="s">
        <v>46033</v>
      </c>
      <c r="W3981" t="s">
        <v>38535</v>
      </c>
      <c r="X3981" t="s">
        <v>40440</v>
      </c>
    </row>
    <row r="3982" spans="1:24">
      <c r="A3982">
        <f>HYPERLINK("https://www.philgeps.gov.ph/GEPSNONPILOT/Tender/SplashBidNoticeAbstractUI.aspx?menuIndex=3&amp;refID=7046199&amp;Result=3","7046199")</f>
        <v>0</v>
      </c>
      <c r="B3982" t="s">
        <v>1466</v>
      </c>
      <c r="C3982" t="s">
        <v>6886</v>
      </c>
      <c r="D3982" t="s">
        <v>16235</v>
      </c>
      <c r="E3982" t="s">
        <v>19854</v>
      </c>
      <c r="F3982" t="s">
        <v>28198</v>
      </c>
      <c r="G3982" t="s">
        <v>28205</v>
      </c>
      <c r="H3982" t="s">
        <v>28215</v>
      </c>
      <c r="I3982" t="s">
        <v>28220</v>
      </c>
      <c r="J3982" t="s">
        <v>28699</v>
      </c>
      <c r="K3982" t="s">
        <v>36689</v>
      </c>
      <c r="M3982" t="s">
        <v>38536</v>
      </c>
      <c r="N3982" t="s">
        <v>40436</v>
      </c>
      <c r="O3982" t="s">
        <v>40437</v>
      </c>
      <c r="P3982">
        <v>0</v>
      </c>
      <c r="Q3982">
        <v>15</v>
      </c>
      <c r="R3982" t="s">
        <v>40439</v>
      </c>
      <c r="S3982" t="s">
        <v>40588</v>
      </c>
      <c r="T3982" t="s">
        <v>42118</v>
      </c>
      <c r="U3982" t="s">
        <v>46034</v>
      </c>
      <c r="W3982" t="s">
        <v>38536</v>
      </c>
      <c r="X3982" t="s">
        <v>40440</v>
      </c>
    </row>
    <row r="3983" spans="1:24">
      <c r="A3983">
        <f>HYPERLINK("https://www.philgeps.gov.ph/GEPSNONPILOT/Tender/SplashBidNoticeAbstractUI.aspx?menuIndex=3&amp;refID=7046187&amp;Result=3","7046187")</f>
        <v>0</v>
      </c>
      <c r="B3983" t="s">
        <v>1281</v>
      </c>
      <c r="C3983" t="s">
        <v>6887</v>
      </c>
      <c r="D3983" t="s">
        <v>16190</v>
      </c>
      <c r="E3983" t="s">
        <v>19855</v>
      </c>
      <c r="F3983" t="s">
        <v>28198</v>
      </c>
      <c r="G3983" t="s">
        <v>28207</v>
      </c>
      <c r="H3983" t="s">
        <v>28215</v>
      </c>
      <c r="I3983" t="s">
        <v>28227</v>
      </c>
      <c r="J3983" t="s">
        <v>30931</v>
      </c>
      <c r="K3983" t="s">
        <v>36701</v>
      </c>
      <c r="M3983" t="s">
        <v>38333</v>
      </c>
      <c r="N3983" t="s">
        <v>40436</v>
      </c>
      <c r="O3983" t="s">
        <v>40437</v>
      </c>
      <c r="P3983">
        <v>0</v>
      </c>
      <c r="Q3983">
        <v>0</v>
      </c>
      <c r="R3983" t="s">
        <v>40439</v>
      </c>
      <c r="S3983" t="s">
        <v>40588</v>
      </c>
      <c r="T3983" t="s">
        <v>42158</v>
      </c>
      <c r="U3983" t="s">
        <v>46035</v>
      </c>
      <c r="V3983" t="s">
        <v>54123</v>
      </c>
      <c r="W3983" t="s">
        <v>38333</v>
      </c>
      <c r="X3983" t="s">
        <v>40440</v>
      </c>
    </row>
    <row r="3984" spans="1:24">
      <c r="A3984">
        <f>HYPERLINK("https://www.philgeps.gov.ph/GEPSNONPILOT/Tender/SplashBidNoticeAbstractUI.aspx?menuIndex=3&amp;refID=7046174&amp;Result=3","7046174")</f>
        <v>0</v>
      </c>
      <c r="B3984" t="s">
        <v>1163</v>
      </c>
      <c r="C3984" t="s">
        <v>6888</v>
      </c>
      <c r="D3984" t="s">
        <v>16209</v>
      </c>
      <c r="E3984" t="s">
        <v>19856</v>
      </c>
      <c r="F3984" t="s">
        <v>28198</v>
      </c>
      <c r="G3984" t="s">
        <v>28207</v>
      </c>
      <c r="H3984" t="s">
        <v>28215</v>
      </c>
      <c r="I3984" t="s">
        <v>3422</v>
      </c>
      <c r="J3984" t="s">
        <v>28597</v>
      </c>
      <c r="K3984" t="s">
        <v>36707</v>
      </c>
      <c r="M3984" t="s">
        <v>38203</v>
      </c>
      <c r="N3984" t="s">
        <v>40436</v>
      </c>
      <c r="O3984" t="s">
        <v>40437</v>
      </c>
      <c r="P3984">
        <v>0</v>
      </c>
      <c r="Q3984">
        <v>1</v>
      </c>
      <c r="R3984" t="s">
        <v>40439</v>
      </c>
      <c r="S3984" t="s">
        <v>40588</v>
      </c>
      <c r="T3984" t="s">
        <v>42158</v>
      </c>
      <c r="U3984" t="s">
        <v>46036</v>
      </c>
      <c r="W3984" t="s">
        <v>38203</v>
      </c>
      <c r="X3984" t="s">
        <v>40440</v>
      </c>
    </row>
    <row r="3985" spans="1:24">
      <c r="A3985">
        <f>HYPERLINK("https://www.philgeps.gov.ph/GEPSNONPILOT/Tender/SplashBidNoticeAbstractUI.aspx?menuIndex=3&amp;refID=7046168&amp;Result=3","7046168")</f>
        <v>0</v>
      </c>
      <c r="B3985" t="s">
        <v>1449</v>
      </c>
      <c r="C3985" t="s">
        <v>6889</v>
      </c>
      <c r="D3985" t="s">
        <v>16189</v>
      </c>
      <c r="E3985" t="s">
        <v>19857</v>
      </c>
      <c r="F3985" t="s">
        <v>28198</v>
      </c>
      <c r="G3985" t="s">
        <v>28205</v>
      </c>
      <c r="H3985" t="s">
        <v>28215</v>
      </c>
      <c r="I3985" t="s">
        <v>28232</v>
      </c>
      <c r="J3985" t="s">
        <v>30932</v>
      </c>
      <c r="K3985" t="s">
        <v>36693</v>
      </c>
      <c r="M3985" t="s">
        <v>38516</v>
      </c>
      <c r="N3985" t="s">
        <v>40436</v>
      </c>
      <c r="O3985" t="s">
        <v>40437</v>
      </c>
      <c r="P3985">
        <v>0</v>
      </c>
      <c r="Q3985">
        <v>2</v>
      </c>
      <c r="R3985" t="s">
        <v>40439</v>
      </c>
      <c r="S3985" t="s">
        <v>40588</v>
      </c>
      <c r="T3985" t="s">
        <v>42180</v>
      </c>
      <c r="U3985" t="s">
        <v>46037</v>
      </c>
      <c r="W3985" t="s">
        <v>38516</v>
      </c>
      <c r="X3985" t="s">
        <v>40440</v>
      </c>
    </row>
    <row r="3986" spans="1:24">
      <c r="A3986">
        <f>HYPERLINK("https://www.philgeps.gov.ph/GEPSNONPILOT/Tender/SplashBidNoticeAbstractUI.aspx?menuIndex=3&amp;refID=7046197&amp;Result=3","7046197")</f>
        <v>0</v>
      </c>
      <c r="B3986" t="s">
        <v>1467</v>
      </c>
      <c r="C3986" t="s">
        <v>6890</v>
      </c>
      <c r="D3986" t="s">
        <v>16265</v>
      </c>
      <c r="E3986" t="s">
        <v>19858</v>
      </c>
      <c r="F3986" t="s">
        <v>28198</v>
      </c>
      <c r="G3986" t="s">
        <v>28207</v>
      </c>
      <c r="H3986" t="s">
        <v>28215</v>
      </c>
      <c r="I3986" t="s">
        <v>5100</v>
      </c>
      <c r="J3986" t="s">
        <v>30933</v>
      </c>
      <c r="K3986" t="s">
        <v>36693</v>
      </c>
      <c r="M3986" t="s">
        <v>38537</v>
      </c>
      <c r="N3986" t="s">
        <v>40436</v>
      </c>
      <c r="O3986" t="s">
        <v>40437</v>
      </c>
      <c r="P3986">
        <v>0</v>
      </c>
      <c r="Q3986">
        <v>0</v>
      </c>
      <c r="R3986" t="s">
        <v>40439</v>
      </c>
      <c r="S3986" t="s">
        <v>40588</v>
      </c>
      <c r="T3986" t="s">
        <v>42131</v>
      </c>
      <c r="U3986" t="s">
        <v>46038</v>
      </c>
      <c r="W3986" t="s">
        <v>38537</v>
      </c>
      <c r="X3986" t="s">
        <v>40440</v>
      </c>
    </row>
    <row r="3987" spans="1:24">
      <c r="A3987">
        <f>HYPERLINK("https://www.philgeps.gov.ph/GEPSNONPILOT/Tender/SplashBidNoticeAbstractUI.aspx?menuIndex=3&amp;refID=7046196&amp;Result=3","7046196")</f>
        <v>0</v>
      </c>
      <c r="B3987" t="s">
        <v>44</v>
      </c>
      <c r="C3987" t="s">
        <v>6891</v>
      </c>
      <c r="D3987" t="s">
        <v>16200</v>
      </c>
      <c r="E3987" t="s">
        <v>19859</v>
      </c>
      <c r="F3987" t="s">
        <v>28198</v>
      </c>
      <c r="G3987" t="s">
        <v>28205</v>
      </c>
      <c r="H3987" t="s">
        <v>28215</v>
      </c>
      <c r="I3987" t="s">
        <v>28222</v>
      </c>
      <c r="J3987" t="s">
        <v>28699</v>
      </c>
      <c r="K3987" t="s">
        <v>36701</v>
      </c>
      <c r="M3987" t="s">
        <v>37014</v>
      </c>
      <c r="N3987" t="s">
        <v>40436</v>
      </c>
      <c r="O3987" t="s">
        <v>40437</v>
      </c>
      <c r="P3987">
        <v>0</v>
      </c>
      <c r="Q3987">
        <v>6</v>
      </c>
      <c r="R3987" t="s">
        <v>40439</v>
      </c>
      <c r="S3987" t="s">
        <v>40588</v>
      </c>
      <c r="T3987" t="s">
        <v>42246</v>
      </c>
      <c r="U3987" t="s">
        <v>42665</v>
      </c>
      <c r="W3987" t="s">
        <v>37014</v>
      </c>
      <c r="X3987" t="s">
        <v>40440</v>
      </c>
    </row>
    <row r="3988" spans="1:24">
      <c r="A3988">
        <f>HYPERLINK("https://www.philgeps.gov.ph/GEPSNONPILOT/Tender/SplashBidNoticeAbstractUI.aspx?menuIndex=3&amp;refID=7046189&amp;Result=3","7046189")</f>
        <v>0</v>
      </c>
      <c r="B3988" t="s">
        <v>386</v>
      </c>
      <c r="C3988" t="s">
        <v>6892</v>
      </c>
      <c r="D3988" t="s">
        <v>16259</v>
      </c>
      <c r="E3988" t="s">
        <v>19860</v>
      </c>
      <c r="F3988" t="s">
        <v>28198</v>
      </c>
      <c r="G3988" t="s">
        <v>28207</v>
      </c>
      <c r="H3988" t="s">
        <v>28215</v>
      </c>
      <c r="I3988" t="s">
        <v>28228</v>
      </c>
      <c r="J3988" t="s">
        <v>30934</v>
      </c>
      <c r="K3988" t="s">
        <v>36697</v>
      </c>
      <c r="M3988" t="s">
        <v>37366</v>
      </c>
      <c r="N3988" t="s">
        <v>40436</v>
      </c>
      <c r="O3988" t="s">
        <v>40437</v>
      </c>
      <c r="P3988">
        <v>0</v>
      </c>
      <c r="Q3988">
        <v>0</v>
      </c>
      <c r="R3988" t="s">
        <v>40439</v>
      </c>
      <c r="S3988" t="s">
        <v>40588</v>
      </c>
      <c r="T3988" t="s">
        <v>42133</v>
      </c>
      <c r="U3988" t="s">
        <v>45807</v>
      </c>
      <c r="V3988" t="s">
        <v>53872</v>
      </c>
      <c r="W3988" t="s">
        <v>37366</v>
      </c>
      <c r="X3988" t="s">
        <v>40440</v>
      </c>
    </row>
    <row r="3989" spans="1:24">
      <c r="A3989">
        <f>HYPERLINK("https://www.philgeps.gov.ph/GEPSNONPILOT/Tender/SplashBidNoticeAbstractUI.aspx?menuIndex=3&amp;refID=7046195&amp;Result=3","7046195")</f>
        <v>0</v>
      </c>
      <c r="B3989" t="s">
        <v>1468</v>
      </c>
      <c r="C3989" t="s">
        <v>6893</v>
      </c>
      <c r="D3989" t="s">
        <v>16202</v>
      </c>
      <c r="E3989" t="s">
        <v>19861</v>
      </c>
      <c r="F3989" t="s">
        <v>28198</v>
      </c>
      <c r="G3989" t="s">
        <v>28206</v>
      </c>
      <c r="H3989" t="s">
        <v>28215</v>
      </c>
      <c r="I3989" t="s">
        <v>4505</v>
      </c>
      <c r="J3989" t="s">
        <v>29025</v>
      </c>
      <c r="K3989" t="s">
        <v>36706</v>
      </c>
      <c r="M3989" t="s">
        <v>38538</v>
      </c>
      <c r="N3989" t="s">
        <v>40436</v>
      </c>
      <c r="O3989" t="s">
        <v>40437</v>
      </c>
      <c r="P3989">
        <v>0</v>
      </c>
      <c r="Q3989">
        <v>1</v>
      </c>
      <c r="R3989" t="s">
        <v>40439</v>
      </c>
      <c r="S3989" t="s">
        <v>40588</v>
      </c>
      <c r="T3989" t="s">
        <v>42152</v>
      </c>
      <c r="U3989" t="s">
        <v>46039</v>
      </c>
      <c r="W3989" t="s">
        <v>38538</v>
      </c>
      <c r="X3989" t="s">
        <v>40440</v>
      </c>
    </row>
    <row r="3990" spans="1:24">
      <c r="A3990">
        <f>HYPERLINK("https://www.philgeps.gov.ph/GEPSNONPILOT/Tender/SplashBidNoticeAbstractUI.aspx?menuIndex=3&amp;refID=7046209&amp;Result=3","7046209")</f>
        <v>0</v>
      </c>
      <c r="B3990" t="s">
        <v>1469</v>
      </c>
      <c r="C3990" t="s">
        <v>6894</v>
      </c>
      <c r="D3990" t="s">
        <v>16234</v>
      </c>
      <c r="E3990" t="s">
        <v>19862</v>
      </c>
      <c r="F3990" t="s">
        <v>28198</v>
      </c>
      <c r="G3990" t="s">
        <v>28207</v>
      </c>
      <c r="H3990" t="s">
        <v>28215</v>
      </c>
      <c r="I3990" t="s">
        <v>28237</v>
      </c>
      <c r="J3990" t="s">
        <v>29358</v>
      </c>
      <c r="K3990" t="s">
        <v>36706</v>
      </c>
      <c r="M3990" t="s">
        <v>38539</v>
      </c>
      <c r="N3990" t="s">
        <v>40436</v>
      </c>
      <c r="O3990" t="s">
        <v>40437</v>
      </c>
      <c r="P3990">
        <v>0</v>
      </c>
      <c r="Q3990">
        <v>2</v>
      </c>
      <c r="R3990" t="s">
        <v>40439</v>
      </c>
      <c r="S3990" t="s">
        <v>40588</v>
      </c>
      <c r="T3990" t="s">
        <v>42158</v>
      </c>
      <c r="U3990" t="s">
        <v>46040</v>
      </c>
      <c r="W3990" t="s">
        <v>38539</v>
      </c>
      <c r="X3990" t="s">
        <v>40440</v>
      </c>
    </row>
    <row r="3991" spans="1:24">
      <c r="A3991">
        <f>HYPERLINK("https://www.philgeps.gov.ph/GEPSNONPILOT/Tender/SplashBidNoticeAbstractUI.aspx?menuIndex=3&amp;refID=7046193&amp;Result=3","7046193")</f>
        <v>0</v>
      </c>
      <c r="B3991" t="s">
        <v>1063</v>
      </c>
      <c r="C3991" t="s">
        <v>6895</v>
      </c>
      <c r="D3991" t="s">
        <v>16188</v>
      </c>
      <c r="E3991" t="s">
        <v>19863</v>
      </c>
      <c r="F3991" t="s">
        <v>28198</v>
      </c>
      <c r="G3991" t="s">
        <v>28205</v>
      </c>
      <c r="H3991" t="s">
        <v>28215</v>
      </c>
      <c r="I3991" t="s">
        <v>4200</v>
      </c>
      <c r="J3991" t="s">
        <v>28406</v>
      </c>
      <c r="K3991" t="s">
        <v>36689</v>
      </c>
      <c r="M3991" t="s">
        <v>38491</v>
      </c>
      <c r="N3991" t="s">
        <v>40436</v>
      </c>
      <c r="O3991" t="s">
        <v>40437</v>
      </c>
      <c r="P3991">
        <v>0</v>
      </c>
      <c r="Q3991">
        <v>3</v>
      </c>
      <c r="R3991" t="s">
        <v>40439</v>
      </c>
      <c r="S3991" t="s">
        <v>40588</v>
      </c>
      <c r="T3991" t="s">
        <v>42203</v>
      </c>
      <c r="U3991" t="s">
        <v>46041</v>
      </c>
      <c r="W3991" t="s">
        <v>38491</v>
      </c>
      <c r="X3991" t="s">
        <v>40440</v>
      </c>
    </row>
    <row r="3992" spans="1:24">
      <c r="A3992">
        <f>HYPERLINK("https://www.philgeps.gov.ph/GEPSNONPILOT/Tender/SplashBidNoticeAbstractUI.aspx?menuIndex=3&amp;refID=7046202&amp;Result=3","7046202")</f>
        <v>0</v>
      </c>
      <c r="B3992" t="s">
        <v>1398</v>
      </c>
      <c r="C3992" t="s">
        <v>6807</v>
      </c>
      <c r="D3992" t="s">
        <v>16210</v>
      </c>
      <c r="E3992" t="s">
        <v>19864</v>
      </c>
      <c r="F3992" t="s">
        <v>28198</v>
      </c>
      <c r="G3992" t="s">
        <v>28207</v>
      </c>
      <c r="H3992" t="s">
        <v>28215</v>
      </c>
      <c r="I3992" t="s">
        <v>28222</v>
      </c>
      <c r="J3992" t="s">
        <v>30935</v>
      </c>
      <c r="K3992" t="s">
        <v>36701</v>
      </c>
      <c r="M3992" t="s">
        <v>38463</v>
      </c>
      <c r="N3992" t="s">
        <v>40436</v>
      </c>
      <c r="O3992" t="s">
        <v>40437</v>
      </c>
      <c r="P3992">
        <v>0</v>
      </c>
      <c r="Q3992">
        <v>8</v>
      </c>
      <c r="R3992" t="s">
        <v>40439</v>
      </c>
      <c r="S3992" t="s">
        <v>40588</v>
      </c>
      <c r="T3992" t="s">
        <v>42146</v>
      </c>
      <c r="U3992" t="s">
        <v>45824</v>
      </c>
      <c r="W3992" t="s">
        <v>38463</v>
      </c>
      <c r="X3992" t="s">
        <v>40440</v>
      </c>
    </row>
    <row r="3993" spans="1:24">
      <c r="A3993">
        <f>HYPERLINK("https://www.philgeps.gov.ph/GEPSNONPILOT/Tender/SplashBidNoticeAbstractUI.aspx?menuIndex=3&amp;refID=7046201&amp;Result=3","7046201")</f>
        <v>0</v>
      </c>
      <c r="B3993" t="s">
        <v>1470</v>
      </c>
      <c r="C3993" t="s">
        <v>6896</v>
      </c>
      <c r="D3993" t="s">
        <v>16210</v>
      </c>
      <c r="E3993" t="s">
        <v>18555</v>
      </c>
      <c r="F3993" t="s">
        <v>28198</v>
      </c>
      <c r="G3993" t="s">
        <v>28206</v>
      </c>
      <c r="H3993" t="s">
        <v>28215</v>
      </c>
      <c r="I3993" t="s">
        <v>4200</v>
      </c>
      <c r="J3993" t="s">
        <v>30936</v>
      </c>
      <c r="K3993" t="s">
        <v>36689</v>
      </c>
      <c r="M3993" t="s">
        <v>38540</v>
      </c>
      <c r="N3993" t="s">
        <v>40436</v>
      </c>
      <c r="O3993" t="s">
        <v>40437</v>
      </c>
      <c r="P3993">
        <v>0</v>
      </c>
      <c r="Q3993">
        <v>1</v>
      </c>
      <c r="R3993" t="s">
        <v>40439</v>
      </c>
      <c r="S3993" t="s">
        <v>40588</v>
      </c>
      <c r="T3993" t="s">
        <v>42185</v>
      </c>
      <c r="U3993" t="s">
        <v>46042</v>
      </c>
      <c r="W3993" t="s">
        <v>38540</v>
      </c>
      <c r="X3993" t="s">
        <v>40440</v>
      </c>
    </row>
    <row r="3994" spans="1:24">
      <c r="A3994">
        <f>HYPERLINK("https://www.philgeps.gov.ph/GEPSNONPILOT/Tender/SplashBidNoticeAbstractUI.aspx?menuIndex=3&amp;refID=7046203&amp;Result=3","7046203")</f>
        <v>0</v>
      </c>
      <c r="B3994" t="s">
        <v>197</v>
      </c>
      <c r="C3994" t="s">
        <v>6897</v>
      </c>
      <c r="D3994" t="s">
        <v>16196</v>
      </c>
      <c r="E3994" t="s">
        <v>19865</v>
      </c>
      <c r="F3994" t="s">
        <v>28198</v>
      </c>
      <c r="G3994" t="s">
        <v>28207</v>
      </c>
      <c r="H3994" t="s">
        <v>28215</v>
      </c>
      <c r="I3994" t="s">
        <v>5791</v>
      </c>
      <c r="J3994" t="s">
        <v>29329</v>
      </c>
      <c r="K3994" t="s">
        <v>36688</v>
      </c>
      <c r="M3994" t="s">
        <v>37172</v>
      </c>
      <c r="N3994" t="s">
        <v>40436</v>
      </c>
      <c r="O3994" t="s">
        <v>40437</v>
      </c>
      <c r="P3994">
        <v>0</v>
      </c>
      <c r="Q3994">
        <v>0</v>
      </c>
      <c r="R3994" t="s">
        <v>40439</v>
      </c>
      <c r="S3994" t="s">
        <v>40588</v>
      </c>
      <c r="T3994" t="s">
        <v>42158</v>
      </c>
      <c r="U3994" t="s">
        <v>46043</v>
      </c>
      <c r="V3994" t="s">
        <v>54186</v>
      </c>
      <c r="W3994" t="s">
        <v>37172</v>
      </c>
      <c r="X3994" t="s">
        <v>40440</v>
      </c>
    </row>
    <row r="3995" spans="1:24">
      <c r="A3995">
        <f>HYPERLINK("https://www.philgeps.gov.ph/GEPSNONPILOT/Tender/SplashBidNoticeAbstractUI.aspx?menuIndex=3&amp;refID=7046208&amp;Result=3","7046208")</f>
        <v>0</v>
      </c>
      <c r="B3995" t="s">
        <v>1455</v>
      </c>
      <c r="C3995" t="s">
        <v>6898</v>
      </c>
      <c r="D3995" t="s">
        <v>16204</v>
      </c>
      <c r="E3995" t="s">
        <v>6898</v>
      </c>
      <c r="F3995" t="s">
        <v>28198</v>
      </c>
      <c r="G3995" t="s">
        <v>28207</v>
      </c>
      <c r="H3995" t="s">
        <v>28215</v>
      </c>
      <c r="I3995" t="s">
        <v>4505</v>
      </c>
      <c r="J3995" t="s">
        <v>30937</v>
      </c>
      <c r="K3995" t="s">
        <v>36689</v>
      </c>
      <c r="M3995" t="s">
        <v>38522</v>
      </c>
      <c r="N3995" t="s">
        <v>40436</v>
      </c>
      <c r="O3995" t="s">
        <v>40437</v>
      </c>
      <c r="P3995">
        <v>0</v>
      </c>
      <c r="Q3995">
        <v>5</v>
      </c>
      <c r="R3995" t="s">
        <v>40439</v>
      </c>
      <c r="S3995" t="s">
        <v>40588</v>
      </c>
      <c r="T3995" t="s">
        <v>42273</v>
      </c>
      <c r="U3995" t="s">
        <v>46044</v>
      </c>
      <c r="W3995" t="s">
        <v>38522</v>
      </c>
      <c r="X3995" t="s">
        <v>40440</v>
      </c>
    </row>
    <row r="3996" spans="1:24">
      <c r="A3996">
        <f>HYPERLINK("https://www.philgeps.gov.ph/GEPSNONPILOT/Tender/SplashBidNoticeAbstractUI.aspx?menuIndex=3&amp;refID=7046188&amp;Result=3","7046188")</f>
        <v>0</v>
      </c>
      <c r="B3996" t="s">
        <v>1455</v>
      </c>
      <c r="C3996" t="s">
        <v>6899</v>
      </c>
      <c r="D3996" t="s">
        <v>16204</v>
      </c>
      <c r="E3996" t="s">
        <v>19866</v>
      </c>
      <c r="F3996" t="s">
        <v>28198</v>
      </c>
      <c r="G3996" t="s">
        <v>28207</v>
      </c>
      <c r="H3996" t="s">
        <v>28215</v>
      </c>
      <c r="I3996" t="s">
        <v>4505</v>
      </c>
      <c r="J3996" t="s">
        <v>30938</v>
      </c>
      <c r="K3996" t="s">
        <v>36689</v>
      </c>
      <c r="M3996" t="s">
        <v>38522</v>
      </c>
      <c r="N3996" t="s">
        <v>40436</v>
      </c>
      <c r="O3996" t="s">
        <v>40437</v>
      </c>
      <c r="P3996">
        <v>0</v>
      </c>
      <c r="Q3996">
        <v>7</v>
      </c>
      <c r="R3996" t="s">
        <v>40439</v>
      </c>
      <c r="S3996" t="s">
        <v>40588</v>
      </c>
      <c r="T3996" t="s">
        <v>42273</v>
      </c>
      <c r="U3996" t="s">
        <v>46045</v>
      </c>
      <c r="W3996" t="s">
        <v>38522</v>
      </c>
      <c r="X3996" t="s">
        <v>40440</v>
      </c>
    </row>
    <row r="3997" spans="1:24">
      <c r="A3997">
        <f>HYPERLINK("https://www.philgeps.gov.ph/GEPSNONPILOT/Tender/SplashBidNoticeAbstractUI.aspx?menuIndex=3&amp;refID=7046211&amp;Result=3","7046211")</f>
        <v>0</v>
      </c>
      <c r="B3997" t="s">
        <v>1385</v>
      </c>
      <c r="C3997" t="s">
        <v>6900</v>
      </c>
      <c r="D3997" t="s">
        <v>16222</v>
      </c>
      <c r="E3997" t="s">
        <v>19867</v>
      </c>
      <c r="F3997" t="s">
        <v>28198</v>
      </c>
      <c r="G3997" t="s">
        <v>28205</v>
      </c>
      <c r="H3997" t="s">
        <v>28215</v>
      </c>
      <c r="I3997" t="s">
        <v>28247</v>
      </c>
      <c r="J3997" t="s">
        <v>28379</v>
      </c>
      <c r="K3997" t="s">
        <v>36694</v>
      </c>
      <c r="M3997" t="s">
        <v>38449</v>
      </c>
      <c r="N3997" t="s">
        <v>40436</v>
      </c>
      <c r="O3997" t="s">
        <v>40437</v>
      </c>
      <c r="P3997">
        <v>0</v>
      </c>
      <c r="Q3997">
        <v>7</v>
      </c>
      <c r="R3997" t="s">
        <v>40439</v>
      </c>
      <c r="S3997" t="s">
        <v>40588</v>
      </c>
      <c r="T3997" t="s">
        <v>42381</v>
      </c>
      <c r="U3997" t="s">
        <v>46046</v>
      </c>
      <c r="V3997" t="s">
        <v>54161</v>
      </c>
      <c r="W3997" t="s">
        <v>38449</v>
      </c>
      <c r="X3997" t="s">
        <v>40440</v>
      </c>
    </row>
    <row r="3998" spans="1:24">
      <c r="A3998">
        <f>HYPERLINK("https://www.philgeps.gov.ph/GEPSNONPILOT/Tender/SplashBidNoticeAbstractUI.aspx?menuIndex=3&amp;refID=7046192&amp;Result=3","7046192")</f>
        <v>0</v>
      </c>
      <c r="B3998" t="s">
        <v>1023</v>
      </c>
      <c r="C3998" t="s">
        <v>6901</v>
      </c>
      <c r="D3998" t="s">
        <v>16265</v>
      </c>
      <c r="E3998" t="s">
        <v>19868</v>
      </c>
      <c r="F3998" t="s">
        <v>28198</v>
      </c>
      <c r="G3998" t="s">
        <v>28205</v>
      </c>
      <c r="H3998" t="s">
        <v>28215</v>
      </c>
      <c r="I3998" t="s">
        <v>3422</v>
      </c>
      <c r="J3998" t="s">
        <v>30939</v>
      </c>
      <c r="K3998" t="s">
        <v>36701</v>
      </c>
      <c r="M3998" t="s">
        <v>38054</v>
      </c>
      <c r="N3998" t="s">
        <v>40436</v>
      </c>
      <c r="O3998" t="s">
        <v>40437</v>
      </c>
      <c r="P3998">
        <v>0</v>
      </c>
      <c r="Q3998">
        <v>0</v>
      </c>
      <c r="R3998" t="s">
        <v>40439</v>
      </c>
      <c r="S3998" t="s">
        <v>40588</v>
      </c>
      <c r="T3998" t="s">
        <v>42108</v>
      </c>
      <c r="U3998" t="s">
        <v>46047</v>
      </c>
      <c r="W3998" t="s">
        <v>38054</v>
      </c>
      <c r="X3998" t="s">
        <v>40440</v>
      </c>
    </row>
    <row r="3999" spans="1:24">
      <c r="A3999">
        <f>HYPERLINK("https://www.philgeps.gov.ph/GEPSNONPILOT/Tender/SplashBidNoticeAbstractUI.aspx?menuIndex=3&amp;refID=7046204&amp;Result=3","7046204")</f>
        <v>0</v>
      </c>
      <c r="B3999" t="s">
        <v>848</v>
      </c>
      <c r="C3999" t="s">
        <v>6902</v>
      </c>
      <c r="D3999" t="s">
        <v>16219</v>
      </c>
      <c r="E3999" t="s">
        <v>19869</v>
      </c>
      <c r="F3999" t="s">
        <v>28198</v>
      </c>
      <c r="G3999" t="s">
        <v>28209</v>
      </c>
      <c r="H3999" t="s">
        <v>28214</v>
      </c>
      <c r="I3999" t="s">
        <v>3797</v>
      </c>
      <c r="J3999" t="s">
        <v>30940</v>
      </c>
      <c r="K3999" t="s">
        <v>36689</v>
      </c>
      <c r="M3999" t="s">
        <v>38541</v>
      </c>
      <c r="N3999" t="s">
        <v>40436</v>
      </c>
      <c r="O3999" t="s">
        <v>40437</v>
      </c>
      <c r="P3999">
        <v>0</v>
      </c>
      <c r="Q3999">
        <v>0</v>
      </c>
      <c r="R3999" t="s">
        <v>40439</v>
      </c>
      <c r="S3999" t="s">
        <v>40588</v>
      </c>
      <c r="T3999" t="s">
        <v>42133</v>
      </c>
      <c r="U3999" t="s">
        <v>46048</v>
      </c>
      <c r="W3999" t="s">
        <v>38541</v>
      </c>
      <c r="X3999" t="s">
        <v>40440</v>
      </c>
    </row>
    <row r="4000" spans="1:24">
      <c r="A4000">
        <f>HYPERLINK("https://www.philgeps.gov.ph/GEPSNONPILOT/Tender/SplashBidNoticeAbstractUI.aspx?menuIndex=3&amp;refID=7046213&amp;Result=3","7046213")</f>
        <v>0</v>
      </c>
      <c r="B4000" t="s">
        <v>848</v>
      </c>
      <c r="C4000" t="s">
        <v>6903</v>
      </c>
      <c r="D4000" t="s">
        <v>16219</v>
      </c>
      <c r="E4000" t="s">
        <v>19870</v>
      </c>
      <c r="F4000" t="s">
        <v>28198</v>
      </c>
      <c r="G4000" t="s">
        <v>28209</v>
      </c>
      <c r="H4000" t="s">
        <v>28214</v>
      </c>
      <c r="I4000" t="s">
        <v>3797</v>
      </c>
      <c r="J4000" t="s">
        <v>29692</v>
      </c>
      <c r="K4000" t="s">
        <v>36689</v>
      </c>
      <c r="M4000" t="s">
        <v>38541</v>
      </c>
      <c r="N4000" t="s">
        <v>40436</v>
      </c>
      <c r="O4000" t="s">
        <v>40437</v>
      </c>
      <c r="P4000">
        <v>0</v>
      </c>
      <c r="Q4000">
        <v>0</v>
      </c>
      <c r="R4000" t="s">
        <v>40439</v>
      </c>
      <c r="S4000" t="s">
        <v>40588</v>
      </c>
      <c r="T4000" t="s">
        <v>42133</v>
      </c>
      <c r="U4000" t="s">
        <v>46049</v>
      </c>
      <c r="W4000" t="s">
        <v>38541</v>
      </c>
      <c r="X4000" t="s">
        <v>40440</v>
      </c>
    </row>
    <row r="4001" spans="1:24">
      <c r="A4001">
        <f>HYPERLINK("https://www.philgeps.gov.ph/GEPSNONPILOT/Tender/SplashBidNoticeAbstractUI.aspx?menuIndex=3&amp;refID=7046229&amp;Result=3","7046229")</f>
        <v>0</v>
      </c>
      <c r="B4001" t="s">
        <v>101</v>
      </c>
      <c r="C4001" t="s">
        <v>6904</v>
      </c>
      <c r="D4001" t="s">
        <v>16200</v>
      </c>
      <c r="E4001" t="s">
        <v>19871</v>
      </c>
      <c r="F4001" t="s">
        <v>28198</v>
      </c>
      <c r="G4001" t="s">
        <v>28207</v>
      </c>
      <c r="H4001" t="s">
        <v>28215</v>
      </c>
      <c r="I4001" t="s">
        <v>28228</v>
      </c>
      <c r="J4001" t="s">
        <v>30941</v>
      </c>
      <c r="K4001" t="s">
        <v>36706</v>
      </c>
      <c r="M4001" t="s">
        <v>37075</v>
      </c>
      <c r="N4001" t="s">
        <v>40436</v>
      </c>
      <c r="O4001" t="s">
        <v>40437</v>
      </c>
      <c r="P4001">
        <v>0</v>
      </c>
      <c r="Q4001">
        <v>0</v>
      </c>
      <c r="R4001" t="s">
        <v>40439</v>
      </c>
      <c r="S4001" t="s">
        <v>40588</v>
      </c>
      <c r="T4001" t="s">
        <v>42158</v>
      </c>
      <c r="U4001" t="s">
        <v>46050</v>
      </c>
      <c r="V4001" t="s">
        <v>53799</v>
      </c>
      <c r="W4001" t="s">
        <v>37075</v>
      </c>
      <c r="X4001" t="s">
        <v>40440</v>
      </c>
    </row>
    <row r="4002" spans="1:24">
      <c r="A4002">
        <f>HYPERLINK("https://www.philgeps.gov.ph/GEPSNONPILOT/Tender/SplashBidNoticeAbstractUI.aspx?menuIndex=3&amp;refID=7046200&amp;Result=3","7046200")</f>
        <v>0</v>
      </c>
      <c r="B4002" t="s">
        <v>1471</v>
      </c>
      <c r="C4002" t="s">
        <v>6905</v>
      </c>
      <c r="E4002" t="s">
        <v>19872</v>
      </c>
      <c r="F4002" t="s">
        <v>28198</v>
      </c>
      <c r="G4002" t="s">
        <v>28207</v>
      </c>
      <c r="H4002" t="s">
        <v>28215</v>
      </c>
      <c r="I4002" t="s">
        <v>4168</v>
      </c>
      <c r="J4002" t="s">
        <v>30942</v>
      </c>
      <c r="K4002" t="s">
        <v>36689</v>
      </c>
      <c r="M4002" t="s">
        <v>38542</v>
      </c>
      <c r="N4002" t="s">
        <v>40436</v>
      </c>
      <c r="O4002" t="s">
        <v>40437</v>
      </c>
      <c r="P4002">
        <v>0</v>
      </c>
      <c r="Q4002">
        <v>7</v>
      </c>
      <c r="R4002" t="s">
        <v>40439</v>
      </c>
      <c r="S4002" t="s">
        <v>40588</v>
      </c>
      <c r="T4002" t="s">
        <v>42103</v>
      </c>
      <c r="U4002" t="s">
        <v>46051</v>
      </c>
      <c r="W4002" t="s">
        <v>38542</v>
      </c>
      <c r="X4002" t="s">
        <v>40440</v>
      </c>
    </row>
    <row r="4003" spans="1:24">
      <c r="A4003">
        <f>HYPERLINK("https://www.philgeps.gov.ph/GEPSNONPILOT/Tender/SplashBidNoticeAbstractUI.aspx?menuIndex=3&amp;refID=7046225&amp;Result=3","7046225")</f>
        <v>0</v>
      </c>
      <c r="B4003" t="s">
        <v>386</v>
      </c>
      <c r="C4003" t="s">
        <v>6906</v>
      </c>
      <c r="D4003" t="s">
        <v>16259</v>
      </c>
      <c r="E4003" t="s">
        <v>19873</v>
      </c>
      <c r="F4003" t="s">
        <v>28198</v>
      </c>
      <c r="G4003" t="s">
        <v>28207</v>
      </c>
      <c r="H4003" t="s">
        <v>28215</v>
      </c>
      <c r="I4003" t="s">
        <v>8870</v>
      </c>
      <c r="J4003" t="s">
        <v>28406</v>
      </c>
      <c r="K4003" t="s">
        <v>36688</v>
      </c>
      <c r="M4003" t="s">
        <v>37366</v>
      </c>
      <c r="N4003" t="s">
        <v>40436</v>
      </c>
      <c r="O4003" t="s">
        <v>40437</v>
      </c>
      <c r="P4003">
        <v>0</v>
      </c>
      <c r="Q4003">
        <v>2</v>
      </c>
      <c r="R4003" t="s">
        <v>40439</v>
      </c>
      <c r="S4003" t="s">
        <v>40588</v>
      </c>
      <c r="T4003" t="s">
        <v>42133</v>
      </c>
      <c r="U4003" t="s">
        <v>45807</v>
      </c>
      <c r="V4003" t="s">
        <v>53872</v>
      </c>
      <c r="W4003" t="s">
        <v>37366</v>
      </c>
      <c r="X4003" t="s">
        <v>40440</v>
      </c>
    </row>
    <row r="4004" spans="1:24">
      <c r="A4004">
        <f>HYPERLINK("https://www.philgeps.gov.ph/GEPSNONPILOT/Tender/SplashBidNoticeAbstractUI.aspx?menuIndex=3&amp;refID=7046212&amp;Result=3","7046212")</f>
        <v>0</v>
      </c>
      <c r="B4004" t="s">
        <v>561</v>
      </c>
      <c r="C4004" t="s">
        <v>6907</v>
      </c>
      <c r="D4004" t="s">
        <v>16196</v>
      </c>
      <c r="E4004" t="s">
        <v>19874</v>
      </c>
      <c r="F4004" t="s">
        <v>28198</v>
      </c>
      <c r="G4004" t="s">
        <v>28205</v>
      </c>
      <c r="H4004" t="s">
        <v>28214</v>
      </c>
      <c r="I4004" t="s">
        <v>3797</v>
      </c>
      <c r="J4004" t="s">
        <v>28398</v>
      </c>
      <c r="K4004" t="s">
        <v>36711</v>
      </c>
      <c r="L4004" t="s">
        <v>561</v>
      </c>
      <c r="M4004" t="s">
        <v>37547</v>
      </c>
      <c r="N4004" t="s">
        <v>40436</v>
      </c>
      <c r="O4004" t="s">
        <v>40437</v>
      </c>
      <c r="P4004">
        <v>0</v>
      </c>
      <c r="Q4004">
        <v>33</v>
      </c>
      <c r="R4004" t="s">
        <v>40439</v>
      </c>
      <c r="S4004" t="s">
        <v>40588</v>
      </c>
      <c r="T4004" t="s">
        <v>42177</v>
      </c>
      <c r="U4004" t="s">
        <v>46052</v>
      </c>
      <c r="W4004" t="s">
        <v>37547</v>
      </c>
      <c r="X4004" t="s">
        <v>40440</v>
      </c>
    </row>
    <row r="4005" spans="1:24">
      <c r="A4005">
        <f>HYPERLINK("https://www.philgeps.gov.ph/GEPSNONPILOT/Tender/SplashBidNoticeAbstractUI.aspx?menuIndex=3&amp;refID=7046207&amp;Result=3","7046207")</f>
        <v>0</v>
      </c>
      <c r="B4005" t="s">
        <v>1472</v>
      </c>
      <c r="C4005" t="s">
        <v>6908</v>
      </c>
      <c r="D4005" t="s">
        <v>16260</v>
      </c>
      <c r="E4005" t="s">
        <v>16522</v>
      </c>
      <c r="F4005" t="s">
        <v>28198</v>
      </c>
      <c r="G4005" t="s">
        <v>28207</v>
      </c>
      <c r="H4005" t="s">
        <v>28215</v>
      </c>
      <c r="I4005" t="s">
        <v>28296</v>
      </c>
      <c r="J4005" t="s">
        <v>30943</v>
      </c>
      <c r="K4005" t="s">
        <v>36693</v>
      </c>
      <c r="M4005" t="s">
        <v>38543</v>
      </c>
      <c r="N4005" t="s">
        <v>40436</v>
      </c>
      <c r="O4005" t="s">
        <v>40437</v>
      </c>
      <c r="P4005">
        <v>0</v>
      </c>
      <c r="Q4005">
        <v>1</v>
      </c>
      <c r="R4005" t="s">
        <v>40439</v>
      </c>
      <c r="S4005" t="s">
        <v>40588</v>
      </c>
      <c r="T4005" t="s">
        <v>42169</v>
      </c>
      <c r="U4005" t="s">
        <v>46053</v>
      </c>
      <c r="W4005" t="s">
        <v>38543</v>
      </c>
      <c r="X4005" t="s">
        <v>40440</v>
      </c>
    </row>
    <row r="4006" spans="1:24">
      <c r="A4006">
        <f>HYPERLINK("https://www.philgeps.gov.ph/GEPSNONPILOT/Tender/SplashBidNoticeAbstractUI.aspx?menuIndex=3&amp;refID=7046226&amp;Result=3","7046226")</f>
        <v>0</v>
      </c>
      <c r="B4006" t="s">
        <v>1448</v>
      </c>
      <c r="C4006" t="s">
        <v>6909</v>
      </c>
      <c r="D4006" t="s">
        <v>16271</v>
      </c>
      <c r="E4006" t="s">
        <v>19875</v>
      </c>
      <c r="F4006" t="s">
        <v>28198</v>
      </c>
      <c r="G4006" t="s">
        <v>28205</v>
      </c>
      <c r="H4006" t="s">
        <v>28215</v>
      </c>
      <c r="I4006" t="s">
        <v>4321</v>
      </c>
      <c r="J4006" t="s">
        <v>30944</v>
      </c>
      <c r="K4006" t="s">
        <v>36701</v>
      </c>
      <c r="M4006" t="s">
        <v>38515</v>
      </c>
      <c r="N4006" t="s">
        <v>40436</v>
      </c>
      <c r="O4006" t="s">
        <v>40437</v>
      </c>
      <c r="P4006">
        <v>0</v>
      </c>
      <c r="Q4006">
        <v>0</v>
      </c>
      <c r="R4006" t="s">
        <v>40439</v>
      </c>
      <c r="S4006" t="s">
        <v>40588</v>
      </c>
      <c r="T4006" t="s">
        <v>42133</v>
      </c>
      <c r="U4006" t="s">
        <v>46054</v>
      </c>
      <c r="W4006" t="s">
        <v>38515</v>
      </c>
      <c r="X4006" t="s">
        <v>40440</v>
      </c>
    </row>
    <row r="4007" spans="1:24">
      <c r="A4007">
        <f>HYPERLINK("https://www.philgeps.gov.ph/GEPSNONPILOT/Tender/SplashBidNoticeAbstractUI.aspx?menuIndex=3&amp;refID=7046224&amp;Result=3","7046224")</f>
        <v>0</v>
      </c>
      <c r="B4007" t="s">
        <v>1473</v>
      </c>
      <c r="C4007" t="s">
        <v>6910</v>
      </c>
      <c r="E4007" t="s">
        <v>19876</v>
      </c>
      <c r="F4007" t="s">
        <v>28198</v>
      </c>
      <c r="G4007" t="s">
        <v>28205</v>
      </c>
      <c r="H4007" t="s">
        <v>28214</v>
      </c>
      <c r="I4007" t="s">
        <v>3797</v>
      </c>
      <c r="J4007" t="s">
        <v>30945</v>
      </c>
      <c r="K4007" t="s">
        <v>36689</v>
      </c>
      <c r="M4007" t="s">
        <v>38544</v>
      </c>
      <c r="N4007" t="s">
        <v>40436</v>
      </c>
      <c r="O4007" t="s">
        <v>40437</v>
      </c>
      <c r="P4007">
        <v>0</v>
      </c>
      <c r="Q4007">
        <v>0</v>
      </c>
      <c r="R4007" t="s">
        <v>40439</v>
      </c>
      <c r="S4007" t="s">
        <v>40588</v>
      </c>
      <c r="T4007" t="s">
        <v>42106</v>
      </c>
      <c r="U4007" t="s">
        <v>46055</v>
      </c>
      <c r="W4007" t="s">
        <v>38544</v>
      </c>
      <c r="X4007" t="s">
        <v>40440</v>
      </c>
    </row>
    <row r="4008" spans="1:24">
      <c r="A4008">
        <f>HYPERLINK("https://www.philgeps.gov.ph/GEPSNONPILOT/Tender/SplashBidNoticeAbstractUI.aspx?menuIndex=3&amp;refID=7046222&amp;Result=3","7046222")</f>
        <v>0</v>
      </c>
      <c r="B4008" t="s">
        <v>1474</v>
      </c>
      <c r="C4008" t="s">
        <v>6911</v>
      </c>
      <c r="D4008" t="s">
        <v>16203</v>
      </c>
      <c r="E4008" t="s">
        <v>19877</v>
      </c>
      <c r="F4008" t="s">
        <v>28198</v>
      </c>
      <c r="G4008" t="s">
        <v>28207</v>
      </c>
      <c r="H4008" t="s">
        <v>28215</v>
      </c>
      <c r="I4008" t="s">
        <v>28274</v>
      </c>
      <c r="J4008" t="s">
        <v>30946</v>
      </c>
      <c r="K4008" t="s">
        <v>36691</v>
      </c>
      <c r="M4008" t="s">
        <v>38545</v>
      </c>
      <c r="N4008" t="s">
        <v>40436</v>
      </c>
      <c r="O4008" t="s">
        <v>40437</v>
      </c>
      <c r="P4008">
        <v>0</v>
      </c>
      <c r="Q4008">
        <v>0</v>
      </c>
      <c r="R4008" t="s">
        <v>40439</v>
      </c>
      <c r="S4008" t="s">
        <v>40588</v>
      </c>
      <c r="T4008" t="s">
        <v>42332</v>
      </c>
      <c r="U4008" t="s">
        <v>46056</v>
      </c>
      <c r="W4008" t="s">
        <v>38545</v>
      </c>
      <c r="X4008" t="s">
        <v>40440</v>
      </c>
    </row>
    <row r="4009" spans="1:24">
      <c r="A4009">
        <f>HYPERLINK("https://www.philgeps.gov.ph/GEPSNONPILOT/Tender/SplashBidNoticeAbstractUI.aspx?menuIndex=3&amp;refID=7046230&amp;Result=3","7046230")</f>
        <v>0</v>
      </c>
      <c r="B4009" t="s">
        <v>1475</v>
      </c>
      <c r="C4009" t="s">
        <v>6912</v>
      </c>
      <c r="D4009" t="s">
        <v>16196</v>
      </c>
      <c r="E4009" t="s">
        <v>19878</v>
      </c>
      <c r="F4009" t="s">
        <v>28198</v>
      </c>
      <c r="G4009" t="s">
        <v>28205</v>
      </c>
      <c r="H4009" t="s">
        <v>28214</v>
      </c>
      <c r="I4009" t="s">
        <v>3797</v>
      </c>
      <c r="J4009" t="s">
        <v>30947</v>
      </c>
      <c r="K4009" t="s">
        <v>36807</v>
      </c>
      <c r="M4009" t="s">
        <v>38546</v>
      </c>
      <c r="N4009" t="s">
        <v>40436</v>
      </c>
      <c r="O4009" t="s">
        <v>40437</v>
      </c>
      <c r="P4009">
        <v>0</v>
      </c>
      <c r="Q4009">
        <v>6</v>
      </c>
      <c r="R4009" t="s">
        <v>40439</v>
      </c>
      <c r="S4009" t="s">
        <v>40588</v>
      </c>
      <c r="T4009" t="s">
        <v>42382</v>
      </c>
      <c r="U4009" t="s">
        <v>46057</v>
      </c>
      <c r="W4009" t="s">
        <v>55485</v>
      </c>
      <c r="X4009" t="s">
        <v>40440</v>
      </c>
    </row>
    <row r="4010" spans="1:24">
      <c r="A4010">
        <f>HYPERLINK("https://www.philgeps.gov.ph/GEPSNONPILOT/Tender/SplashBidNoticeAbstractUI.aspx?menuIndex=3&amp;refID=7046219&amp;Result=3","7046219")</f>
        <v>0</v>
      </c>
      <c r="B4010" t="s">
        <v>1476</v>
      </c>
      <c r="C4010" t="s">
        <v>6913</v>
      </c>
      <c r="D4010" t="s">
        <v>16244</v>
      </c>
      <c r="E4010" t="s">
        <v>19879</v>
      </c>
      <c r="F4010" t="s">
        <v>28198</v>
      </c>
      <c r="G4010" t="s">
        <v>28207</v>
      </c>
      <c r="H4010" t="s">
        <v>28215</v>
      </c>
      <c r="I4010" t="s">
        <v>5082</v>
      </c>
      <c r="J4010" t="s">
        <v>28775</v>
      </c>
      <c r="K4010" t="s">
        <v>36688</v>
      </c>
      <c r="M4010" t="s">
        <v>38547</v>
      </c>
      <c r="N4010" t="s">
        <v>40436</v>
      </c>
      <c r="O4010" t="s">
        <v>40437</v>
      </c>
      <c r="P4010">
        <v>0</v>
      </c>
      <c r="Q4010">
        <v>0</v>
      </c>
      <c r="R4010" t="s">
        <v>40439</v>
      </c>
      <c r="S4010" t="s">
        <v>40588</v>
      </c>
      <c r="T4010" t="s">
        <v>42161</v>
      </c>
      <c r="U4010" t="s">
        <v>46058</v>
      </c>
      <c r="V4010" t="s">
        <v>54187</v>
      </c>
      <c r="W4010" t="s">
        <v>38547</v>
      </c>
      <c r="X4010" t="s">
        <v>40440</v>
      </c>
    </row>
    <row r="4011" spans="1:24">
      <c r="A4011">
        <f>HYPERLINK("https://www.philgeps.gov.ph/GEPSNONPILOT/Tender/SplashBidNoticeAbstractUI.aspx?menuIndex=3&amp;refID=7046228&amp;Result=3","7046228")</f>
        <v>0</v>
      </c>
      <c r="B4011" t="s">
        <v>1264</v>
      </c>
      <c r="C4011" t="s">
        <v>6914</v>
      </c>
      <c r="D4011" t="s">
        <v>16209</v>
      </c>
      <c r="E4011" t="s">
        <v>19880</v>
      </c>
      <c r="F4011" t="s">
        <v>28198</v>
      </c>
      <c r="G4011" t="s">
        <v>28207</v>
      </c>
      <c r="H4011" t="s">
        <v>28215</v>
      </c>
      <c r="I4011" t="s">
        <v>28234</v>
      </c>
      <c r="J4011" t="s">
        <v>28389</v>
      </c>
      <c r="K4011" t="s">
        <v>36707</v>
      </c>
      <c r="M4011" t="s">
        <v>38314</v>
      </c>
      <c r="N4011" t="s">
        <v>40436</v>
      </c>
      <c r="O4011" t="s">
        <v>40437</v>
      </c>
      <c r="P4011">
        <v>0</v>
      </c>
      <c r="Q4011">
        <v>0</v>
      </c>
      <c r="R4011" t="s">
        <v>40439</v>
      </c>
      <c r="S4011" t="s">
        <v>40588</v>
      </c>
      <c r="T4011" t="s">
        <v>42133</v>
      </c>
      <c r="U4011" t="s">
        <v>45649</v>
      </c>
      <c r="W4011" t="s">
        <v>38314</v>
      </c>
      <c r="X4011" t="s">
        <v>40440</v>
      </c>
    </row>
    <row r="4012" spans="1:24">
      <c r="A4012">
        <f>HYPERLINK("https://www.philgeps.gov.ph/GEPSNONPILOT/Tender/SplashBidNoticeAbstractUI.aspx?menuIndex=3&amp;refID=7046215&amp;Result=3","7046215")</f>
        <v>0</v>
      </c>
      <c r="B4012" t="s">
        <v>1453</v>
      </c>
      <c r="C4012" t="s">
        <v>6915</v>
      </c>
      <c r="D4012" t="s">
        <v>16210</v>
      </c>
      <c r="E4012" t="s">
        <v>19881</v>
      </c>
      <c r="F4012" t="s">
        <v>28198</v>
      </c>
      <c r="G4012" t="s">
        <v>28206</v>
      </c>
      <c r="H4012" t="s">
        <v>28215</v>
      </c>
      <c r="I4012" t="s">
        <v>8888</v>
      </c>
      <c r="J4012" t="s">
        <v>30948</v>
      </c>
      <c r="K4012" t="s">
        <v>36689</v>
      </c>
      <c r="M4012" t="s">
        <v>38520</v>
      </c>
      <c r="N4012" t="s">
        <v>40436</v>
      </c>
      <c r="O4012" t="s">
        <v>40437</v>
      </c>
      <c r="P4012">
        <v>0</v>
      </c>
      <c r="Q4012">
        <v>2</v>
      </c>
      <c r="R4012" t="s">
        <v>40439</v>
      </c>
      <c r="S4012" t="s">
        <v>40588</v>
      </c>
      <c r="T4012" t="s">
        <v>42185</v>
      </c>
      <c r="U4012" t="s">
        <v>46059</v>
      </c>
      <c r="W4012" t="s">
        <v>38520</v>
      </c>
      <c r="X4012" t="s">
        <v>40440</v>
      </c>
    </row>
    <row r="4013" spans="1:24">
      <c r="A4013">
        <f>HYPERLINK("https://www.philgeps.gov.ph/GEPSNONPILOT/Tender/SplashBidNoticeAbstractUI.aspx?menuIndex=3&amp;refID=7046238&amp;Result=3","7046238")</f>
        <v>0</v>
      </c>
      <c r="B4013" t="s">
        <v>732</v>
      </c>
      <c r="C4013" t="s">
        <v>6916</v>
      </c>
      <c r="E4013" t="s">
        <v>19882</v>
      </c>
      <c r="F4013" t="s">
        <v>28198</v>
      </c>
      <c r="G4013" t="s">
        <v>28207</v>
      </c>
      <c r="H4013" t="s">
        <v>28215</v>
      </c>
      <c r="I4013" t="s">
        <v>28258</v>
      </c>
      <c r="J4013" t="s">
        <v>30949</v>
      </c>
      <c r="K4013" t="s">
        <v>36689</v>
      </c>
      <c r="M4013" t="s">
        <v>37733</v>
      </c>
      <c r="N4013" t="s">
        <v>40436</v>
      </c>
      <c r="O4013" t="s">
        <v>40437</v>
      </c>
      <c r="P4013">
        <v>0</v>
      </c>
      <c r="Q4013">
        <v>20</v>
      </c>
      <c r="R4013" t="s">
        <v>40439</v>
      </c>
      <c r="S4013" t="s">
        <v>40588</v>
      </c>
      <c r="T4013" t="s">
        <v>42158</v>
      </c>
      <c r="U4013" t="s">
        <v>46060</v>
      </c>
      <c r="V4013" t="s">
        <v>53961</v>
      </c>
      <c r="W4013" t="s">
        <v>37733</v>
      </c>
      <c r="X4013" t="s">
        <v>40440</v>
      </c>
    </row>
    <row r="4014" spans="1:24">
      <c r="A4014">
        <f>HYPERLINK("https://www.philgeps.gov.ph/GEPSNONPILOT/Tender/SplashBidNoticeAbstractUI.aspx?menuIndex=3&amp;refID=7046237&amp;Result=3","7046237")</f>
        <v>0</v>
      </c>
      <c r="B4014" t="s">
        <v>1349</v>
      </c>
      <c r="C4014" t="s">
        <v>6917</v>
      </c>
      <c r="D4014" t="s">
        <v>16249</v>
      </c>
      <c r="E4014" t="s">
        <v>19883</v>
      </c>
      <c r="F4014" t="s">
        <v>28198</v>
      </c>
      <c r="G4014" t="s">
        <v>28205</v>
      </c>
      <c r="H4014" t="s">
        <v>28214</v>
      </c>
      <c r="I4014" t="s">
        <v>3797</v>
      </c>
      <c r="J4014" t="s">
        <v>28589</v>
      </c>
      <c r="K4014" t="s">
        <v>36688</v>
      </c>
      <c r="M4014" t="s">
        <v>38407</v>
      </c>
      <c r="N4014" t="s">
        <v>40436</v>
      </c>
      <c r="O4014" t="s">
        <v>40437</v>
      </c>
      <c r="P4014">
        <v>0</v>
      </c>
      <c r="Q4014">
        <v>0</v>
      </c>
      <c r="R4014" t="s">
        <v>40439</v>
      </c>
      <c r="S4014" t="s">
        <v>40588</v>
      </c>
      <c r="T4014" t="s">
        <v>42112</v>
      </c>
      <c r="U4014" t="s">
        <v>46061</v>
      </c>
      <c r="V4014" t="s">
        <v>54188</v>
      </c>
      <c r="W4014" t="s">
        <v>38407</v>
      </c>
      <c r="X4014" t="s">
        <v>40440</v>
      </c>
    </row>
    <row r="4015" spans="1:24">
      <c r="A4015">
        <f>HYPERLINK("https://www.philgeps.gov.ph/GEPSNONPILOT/Tender/SplashBidNoticeAbstractUI.aspx?menuIndex=3&amp;refID=7046221&amp;Result=3","7046221")</f>
        <v>0</v>
      </c>
      <c r="B4015" t="s">
        <v>1463</v>
      </c>
      <c r="C4015" t="s">
        <v>6918</v>
      </c>
      <c r="D4015" t="s">
        <v>16230</v>
      </c>
      <c r="E4015" t="s">
        <v>19884</v>
      </c>
      <c r="F4015" t="s">
        <v>28198</v>
      </c>
      <c r="G4015" t="s">
        <v>28207</v>
      </c>
      <c r="H4015" t="s">
        <v>28215</v>
      </c>
      <c r="I4015" t="s">
        <v>4321</v>
      </c>
      <c r="J4015" t="s">
        <v>30950</v>
      </c>
      <c r="K4015" t="s">
        <v>36707</v>
      </c>
      <c r="M4015" t="s">
        <v>38532</v>
      </c>
      <c r="N4015" t="s">
        <v>40436</v>
      </c>
      <c r="O4015" t="s">
        <v>40437</v>
      </c>
      <c r="P4015">
        <v>0</v>
      </c>
      <c r="Q4015">
        <v>1</v>
      </c>
      <c r="R4015" t="s">
        <v>40439</v>
      </c>
      <c r="S4015" t="s">
        <v>40588</v>
      </c>
      <c r="T4015" t="s">
        <v>42190</v>
      </c>
      <c r="U4015" t="s">
        <v>46062</v>
      </c>
      <c r="W4015" t="s">
        <v>38532</v>
      </c>
      <c r="X4015" t="s">
        <v>40440</v>
      </c>
    </row>
    <row r="4016" spans="1:24">
      <c r="A4016">
        <f>HYPERLINK("https://www.philgeps.gov.ph/GEPSNONPILOT/Tender/SplashBidNoticeAbstractUI.aspx?menuIndex=3&amp;refID=7046233&amp;Result=3","7046233")</f>
        <v>0</v>
      </c>
      <c r="B4016" t="s">
        <v>1477</v>
      </c>
      <c r="C4016" t="s">
        <v>6919</v>
      </c>
      <c r="D4016" t="s">
        <v>16197</v>
      </c>
      <c r="E4016" t="s">
        <v>19075</v>
      </c>
      <c r="F4016" t="s">
        <v>28198</v>
      </c>
      <c r="G4016" t="s">
        <v>28207</v>
      </c>
      <c r="H4016" t="s">
        <v>28215</v>
      </c>
      <c r="I4016" t="s">
        <v>8870</v>
      </c>
      <c r="J4016" t="s">
        <v>28364</v>
      </c>
      <c r="K4016" t="s">
        <v>36701</v>
      </c>
      <c r="M4016" t="s">
        <v>38548</v>
      </c>
      <c r="N4016" t="s">
        <v>40436</v>
      </c>
      <c r="O4016" t="s">
        <v>40437</v>
      </c>
      <c r="P4016">
        <v>0</v>
      </c>
      <c r="Q4016">
        <v>1</v>
      </c>
      <c r="R4016" t="s">
        <v>40439</v>
      </c>
      <c r="S4016" t="s">
        <v>40588</v>
      </c>
      <c r="T4016" t="s">
        <v>42103</v>
      </c>
      <c r="U4016" t="s">
        <v>46063</v>
      </c>
      <c r="W4016" t="s">
        <v>38548</v>
      </c>
      <c r="X4016" t="s">
        <v>40440</v>
      </c>
    </row>
    <row r="4017" spans="1:24">
      <c r="A4017">
        <f>HYPERLINK("https://www.philgeps.gov.ph/GEPSNONPILOT/Tender/SplashBidNoticeAbstractUI.aspx?menuIndex=3&amp;refID=7046218&amp;Result=3","7046218")</f>
        <v>0</v>
      </c>
      <c r="B4017" t="s">
        <v>1023</v>
      </c>
      <c r="C4017" t="s">
        <v>6920</v>
      </c>
      <c r="D4017" t="s">
        <v>16265</v>
      </c>
      <c r="E4017" t="s">
        <v>19868</v>
      </c>
      <c r="F4017" t="s">
        <v>28198</v>
      </c>
      <c r="G4017" t="s">
        <v>28205</v>
      </c>
      <c r="H4017" t="s">
        <v>28215</v>
      </c>
      <c r="I4017" t="s">
        <v>28285</v>
      </c>
      <c r="J4017" t="s">
        <v>28538</v>
      </c>
      <c r="K4017" t="s">
        <v>36701</v>
      </c>
      <c r="M4017" t="s">
        <v>38054</v>
      </c>
      <c r="N4017" t="s">
        <v>40436</v>
      </c>
      <c r="O4017" t="s">
        <v>40437</v>
      </c>
      <c r="P4017">
        <v>0</v>
      </c>
      <c r="Q4017">
        <v>0</v>
      </c>
      <c r="R4017" t="s">
        <v>40439</v>
      </c>
      <c r="S4017" t="s">
        <v>40588</v>
      </c>
      <c r="T4017" t="s">
        <v>42108</v>
      </c>
      <c r="U4017" t="s">
        <v>46047</v>
      </c>
      <c r="W4017" t="s">
        <v>38054</v>
      </c>
      <c r="X4017" t="s">
        <v>40440</v>
      </c>
    </row>
    <row r="4018" spans="1:24">
      <c r="A4018">
        <f>HYPERLINK("https://www.philgeps.gov.ph/GEPSNONPILOT/Tender/SplashBidNoticeAbstractUI.aspx?menuIndex=3&amp;refID=7046234&amp;Result=3","7046234")</f>
        <v>0</v>
      </c>
      <c r="B4018" t="s">
        <v>1395</v>
      </c>
      <c r="C4018" t="s">
        <v>6921</v>
      </c>
      <c r="D4018" t="s">
        <v>16198</v>
      </c>
      <c r="E4018" t="s">
        <v>19885</v>
      </c>
      <c r="F4018" t="s">
        <v>28198</v>
      </c>
      <c r="G4018" t="s">
        <v>28207</v>
      </c>
      <c r="H4018" t="s">
        <v>28215</v>
      </c>
      <c r="I4018" t="s">
        <v>28225</v>
      </c>
      <c r="J4018" t="s">
        <v>28887</v>
      </c>
      <c r="K4018" t="s">
        <v>36706</v>
      </c>
      <c r="M4018" t="s">
        <v>38459</v>
      </c>
      <c r="N4018" t="s">
        <v>40436</v>
      </c>
      <c r="O4018" t="s">
        <v>40437</v>
      </c>
      <c r="P4018">
        <v>0</v>
      </c>
      <c r="Q4018">
        <v>1</v>
      </c>
      <c r="R4018" t="s">
        <v>40439</v>
      </c>
      <c r="S4018" t="s">
        <v>40588</v>
      </c>
      <c r="T4018" t="s">
        <v>42190</v>
      </c>
      <c r="U4018" t="s">
        <v>46064</v>
      </c>
      <c r="W4018" t="s">
        <v>38459</v>
      </c>
      <c r="X4018" t="s">
        <v>40440</v>
      </c>
    </row>
    <row r="4019" spans="1:24">
      <c r="A4019">
        <f>HYPERLINK("https://www.philgeps.gov.ph/GEPSNONPILOT/Tender/SplashBidNoticeAbstractUI.aspx?menuIndex=3&amp;refID=7046232&amp;Result=3","7046232")</f>
        <v>0</v>
      </c>
      <c r="B4019" t="s">
        <v>1227</v>
      </c>
      <c r="C4019" t="s">
        <v>6922</v>
      </c>
      <c r="D4019" t="s">
        <v>16210</v>
      </c>
      <c r="E4019" t="s">
        <v>19886</v>
      </c>
      <c r="F4019" t="s">
        <v>28198</v>
      </c>
      <c r="G4019" t="s">
        <v>28207</v>
      </c>
      <c r="H4019" t="s">
        <v>28215</v>
      </c>
      <c r="I4019" t="s">
        <v>5103</v>
      </c>
      <c r="J4019" t="s">
        <v>28345</v>
      </c>
      <c r="K4019" t="s">
        <v>36701</v>
      </c>
      <c r="M4019" t="s">
        <v>38275</v>
      </c>
      <c r="N4019" t="s">
        <v>40436</v>
      </c>
      <c r="O4019" t="s">
        <v>40437</v>
      </c>
      <c r="Q4019">
        <v>20</v>
      </c>
      <c r="R4019" t="s">
        <v>40439</v>
      </c>
      <c r="S4019" t="s">
        <v>40594</v>
      </c>
      <c r="T4019" t="s">
        <v>42169</v>
      </c>
      <c r="U4019" t="s">
        <v>46065</v>
      </c>
      <c r="V4019" t="s">
        <v>54113</v>
      </c>
      <c r="W4019" t="s">
        <v>38275</v>
      </c>
      <c r="X4019" t="s">
        <v>40440</v>
      </c>
    </row>
    <row r="4020" spans="1:24">
      <c r="A4020">
        <f>HYPERLINK("https://www.philgeps.gov.ph/GEPSNONPILOT/Tender/SplashBidNoticeAbstractUI.aspx?menuIndex=3&amp;refID=7046216&amp;Result=3","7046216")</f>
        <v>0</v>
      </c>
      <c r="B4020" t="s">
        <v>108</v>
      </c>
      <c r="C4020" t="s">
        <v>6923</v>
      </c>
      <c r="D4020" t="s">
        <v>16190</v>
      </c>
      <c r="E4020" t="s">
        <v>16684</v>
      </c>
      <c r="F4020" t="s">
        <v>28198</v>
      </c>
      <c r="G4020" t="s">
        <v>28207</v>
      </c>
      <c r="H4020" t="s">
        <v>28215</v>
      </c>
      <c r="I4020" t="s">
        <v>8888</v>
      </c>
      <c r="J4020" t="s">
        <v>30041</v>
      </c>
      <c r="K4020" t="s">
        <v>36698</v>
      </c>
      <c r="M4020" t="s">
        <v>37388</v>
      </c>
      <c r="N4020" t="s">
        <v>40436</v>
      </c>
      <c r="O4020" t="s">
        <v>40437</v>
      </c>
      <c r="P4020">
        <v>0</v>
      </c>
      <c r="Q4020">
        <v>0</v>
      </c>
      <c r="R4020" t="s">
        <v>40439</v>
      </c>
      <c r="S4020" t="s">
        <v>40588</v>
      </c>
      <c r="T4020" t="s">
        <v>42190</v>
      </c>
      <c r="U4020" t="s">
        <v>46066</v>
      </c>
      <c r="V4020" t="s">
        <v>54149</v>
      </c>
      <c r="W4020" t="s">
        <v>37388</v>
      </c>
      <c r="X4020" t="s">
        <v>40440</v>
      </c>
    </row>
    <row r="4021" spans="1:24">
      <c r="A4021">
        <f>HYPERLINK("https://www.philgeps.gov.ph/GEPSNONPILOT/Tender/SplashBidNoticeAbstractUI.aspx?menuIndex=3&amp;refID=7046214&amp;Result=3","7046214")</f>
        <v>0</v>
      </c>
      <c r="B4021" t="s">
        <v>1478</v>
      </c>
      <c r="C4021" t="s">
        <v>6924</v>
      </c>
      <c r="D4021" t="s">
        <v>16233</v>
      </c>
      <c r="E4021" t="s">
        <v>19887</v>
      </c>
      <c r="F4021" t="s">
        <v>28198</v>
      </c>
      <c r="G4021" t="s">
        <v>28207</v>
      </c>
      <c r="H4021" t="s">
        <v>28215</v>
      </c>
      <c r="I4021" t="s">
        <v>5100</v>
      </c>
      <c r="J4021" t="s">
        <v>30951</v>
      </c>
      <c r="K4021" t="s">
        <v>36689</v>
      </c>
      <c r="M4021" t="s">
        <v>38549</v>
      </c>
      <c r="N4021" t="s">
        <v>40436</v>
      </c>
      <c r="O4021" t="s">
        <v>40437</v>
      </c>
      <c r="P4021">
        <v>0</v>
      </c>
      <c r="Q4021">
        <v>0</v>
      </c>
      <c r="R4021" t="s">
        <v>40439</v>
      </c>
      <c r="S4021" t="s">
        <v>40588</v>
      </c>
      <c r="T4021" t="s">
        <v>42119</v>
      </c>
      <c r="U4021" t="s">
        <v>46067</v>
      </c>
      <c r="W4021" t="s">
        <v>38549</v>
      </c>
      <c r="X4021" t="s">
        <v>40440</v>
      </c>
    </row>
    <row r="4022" spans="1:24">
      <c r="A4022">
        <f>HYPERLINK("https://www.philgeps.gov.ph/GEPSNONPILOT/Tender/SplashBidNoticeAbstractUI.aspx?menuIndex=3&amp;refID=7046243&amp;Result=3","7046243")</f>
        <v>0</v>
      </c>
      <c r="B4022" t="s">
        <v>1196</v>
      </c>
      <c r="C4022" t="s">
        <v>6925</v>
      </c>
      <c r="D4022" t="s">
        <v>16188</v>
      </c>
      <c r="E4022" t="s">
        <v>19888</v>
      </c>
      <c r="F4022" t="s">
        <v>28198</v>
      </c>
      <c r="G4022" t="s">
        <v>28207</v>
      </c>
      <c r="H4022" t="s">
        <v>28215</v>
      </c>
      <c r="I4022" t="s">
        <v>28228</v>
      </c>
      <c r="J4022" t="s">
        <v>30428</v>
      </c>
      <c r="K4022" t="s">
        <v>36687</v>
      </c>
      <c r="M4022" t="s">
        <v>38240</v>
      </c>
      <c r="N4022" t="s">
        <v>40436</v>
      </c>
      <c r="O4022" t="s">
        <v>40437</v>
      </c>
      <c r="P4022">
        <v>0</v>
      </c>
      <c r="Q4022">
        <v>0</v>
      </c>
      <c r="R4022" t="s">
        <v>40439</v>
      </c>
      <c r="S4022" t="s">
        <v>40588</v>
      </c>
      <c r="T4022" t="s">
        <v>42177</v>
      </c>
      <c r="U4022" t="s">
        <v>46068</v>
      </c>
      <c r="W4022" t="s">
        <v>38240</v>
      </c>
      <c r="X4022" t="s">
        <v>40440</v>
      </c>
    </row>
    <row r="4023" spans="1:24">
      <c r="A4023">
        <f>HYPERLINK("https://www.philgeps.gov.ph/GEPSNONPILOT/Tender/SplashBidNoticeAbstractUI.aspx?menuIndex=3&amp;refID=7046239&amp;Result=3","7046239")</f>
        <v>0</v>
      </c>
      <c r="B4023" t="s">
        <v>670</v>
      </c>
      <c r="C4023" t="s">
        <v>6926</v>
      </c>
      <c r="E4023" t="s">
        <v>19889</v>
      </c>
      <c r="F4023" t="s">
        <v>28198</v>
      </c>
      <c r="G4023" t="s">
        <v>28205</v>
      </c>
      <c r="H4023" t="s">
        <v>28214</v>
      </c>
      <c r="I4023" t="s">
        <v>3797</v>
      </c>
      <c r="J4023" t="s">
        <v>30952</v>
      </c>
      <c r="K4023" t="s">
        <v>36808</v>
      </c>
      <c r="M4023" t="s">
        <v>37666</v>
      </c>
      <c r="N4023" t="s">
        <v>40436</v>
      </c>
      <c r="O4023" t="s">
        <v>40437</v>
      </c>
      <c r="P4023">
        <v>0</v>
      </c>
      <c r="Q4023">
        <v>0</v>
      </c>
      <c r="R4023" t="s">
        <v>40439</v>
      </c>
      <c r="S4023" t="s">
        <v>40588</v>
      </c>
      <c r="T4023" t="s">
        <v>42248</v>
      </c>
      <c r="U4023" t="s">
        <v>46069</v>
      </c>
      <c r="W4023" t="s">
        <v>37666</v>
      </c>
      <c r="X4023" t="s">
        <v>40440</v>
      </c>
    </row>
    <row r="4024" spans="1:24">
      <c r="A4024">
        <f>HYPERLINK("https://www.philgeps.gov.ph/GEPSNONPILOT/Tender/SplashBidNoticeAbstractUI.aspx?menuIndex=3&amp;refID=7046262&amp;Result=3","7046262")</f>
        <v>0</v>
      </c>
      <c r="B4024" t="s">
        <v>1479</v>
      </c>
      <c r="C4024" t="s">
        <v>6927</v>
      </c>
      <c r="D4024" t="s">
        <v>16203</v>
      </c>
      <c r="E4024" t="s">
        <v>19890</v>
      </c>
      <c r="F4024" t="s">
        <v>28198</v>
      </c>
      <c r="G4024" t="s">
        <v>28207</v>
      </c>
      <c r="H4024" t="s">
        <v>28215</v>
      </c>
      <c r="I4024" t="s">
        <v>28228</v>
      </c>
      <c r="J4024" t="s">
        <v>30953</v>
      </c>
      <c r="K4024" t="s">
        <v>36756</v>
      </c>
      <c r="M4024" t="s">
        <v>38550</v>
      </c>
      <c r="N4024" t="s">
        <v>40436</v>
      </c>
      <c r="O4024" t="s">
        <v>40437</v>
      </c>
      <c r="P4024">
        <v>0</v>
      </c>
      <c r="Q4024">
        <v>0</v>
      </c>
      <c r="R4024" t="s">
        <v>40439</v>
      </c>
      <c r="S4024" t="s">
        <v>40588</v>
      </c>
      <c r="T4024" t="s">
        <v>42131</v>
      </c>
      <c r="U4024" t="s">
        <v>46070</v>
      </c>
      <c r="W4024" t="s">
        <v>38550</v>
      </c>
      <c r="X4024" t="s">
        <v>40440</v>
      </c>
    </row>
    <row r="4025" spans="1:24">
      <c r="A4025">
        <f>HYPERLINK("https://www.philgeps.gov.ph/GEPSNONPILOT/Tender/SplashBidNoticeAbstractUI.aspx?menuIndex=3&amp;refID=7046240&amp;Result=3","7046240")</f>
        <v>0</v>
      </c>
      <c r="B4025" t="s">
        <v>1480</v>
      </c>
      <c r="C4025" t="s">
        <v>6928</v>
      </c>
      <c r="D4025" t="s">
        <v>16193</v>
      </c>
      <c r="E4025" t="s">
        <v>19891</v>
      </c>
      <c r="F4025" t="s">
        <v>28198</v>
      </c>
      <c r="G4025" t="s">
        <v>28205</v>
      </c>
      <c r="H4025" t="s">
        <v>28215</v>
      </c>
      <c r="I4025" t="s">
        <v>28227</v>
      </c>
      <c r="J4025" t="s">
        <v>30954</v>
      </c>
      <c r="K4025" t="s">
        <v>36689</v>
      </c>
      <c r="M4025" t="s">
        <v>38551</v>
      </c>
      <c r="N4025" t="s">
        <v>40436</v>
      </c>
      <c r="O4025" t="s">
        <v>40437</v>
      </c>
      <c r="P4025">
        <v>0</v>
      </c>
      <c r="Q4025">
        <v>2</v>
      </c>
      <c r="R4025" t="s">
        <v>40439</v>
      </c>
      <c r="S4025" t="s">
        <v>40588</v>
      </c>
      <c r="T4025" t="s">
        <v>42144</v>
      </c>
      <c r="U4025" t="s">
        <v>46071</v>
      </c>
      <c r="V4025" t="s">
        <v>54189</v>
      </c>
      <c r="W4025" t="s">
        <v>38551</v>
      </c>
      <c r="X4025" t="s">
        <v>40440</v>
      </c>
    </row>
    <row r="4026" spans="1:24">
      <c r="A4026">
        <f>HYPERLINK("https://www.philgeps.gov.ph/GEPSNONPILOT/Tender/SplashBidNoticeAbstractUI.aspx?menuIndex=3&amp;refID=7046258&amp;Result=3","7046258")</f>
        <v>0</v>
      </c>
      <c r="B4026" t="s">
        <v>1385</v>
      </c>
      <c r="C4026" t="s">
        <v>6929</v>
      </c>
      <c r="D4026" t="s">
        <v>16222</v>
      </c>
      <c r="E4026" t="s">
        <v>19892</v>
      </c>
      <c r="F4026" t="s">
        <v>28198</v>
      </c>
      <c r="G4026" t="s">
        <v>28205</v>
      </c>
      <c r="H4026" t="s">
        <v>28215</v>
      </c>
      <c r="I4026" t="s">
        <v>28247</v>
      </c>
      <c r="J4026" t="s">
        <v>30955</v>
      </c>
      <c r="K4026" t="s">
        <v>36694</v>
      </c>
      <c r="M4026" t="s">
        <v>38449</v>
      </c>
      <c r="N4026" t="s">
        <v>40436</v>
      </c>
      <c r="O4026" t="s">
        <v>40437</v>
      </c>
      <c r="P4026">
        <v>0</v>
      </c>
      <c r="Q4026">
        <v>10</v>
      </c>
      <c r="R4026" t="s">
        <v>40439</v>
      </c>
      <c r="S4026" t="s">
        <v>40588</v>
      </c>
      <c r="T4026" t="s">
        <v>42381</v>
      </c>
      <c r="U4026" t="s">
        <v>46072</v>
      </c>
      <c r="V4026" t="s">
        <v>54161</v>
      </c>
      <c r="W4026" t="s">
        <v>38449</v>
      </c>
      <c r="X4026" t="s">
        <v>40440</v>
      </c>
    </row>
    <row r="4027" spans="1:24">
      <c r="A4027">
        <f>HYPERLINK("https://www.philgeps.gov.ph/GEPSNONPILOT/Tender/SplashBidNoticeAbstractUI.aspx?menuIndex=3&amp;refID=7046263&amp;Result=3","7046263")</f>
        <v>0</v>
      </c>
      <c r="B4027" t="s">
        <v>1365</v>
      </c>
      <c r="C4027" t="s">
        <v>6930</v>
      </c>
      <c r="D4027" t="s">
        <v>16232</v>
      </c>
      <c r="E4027" t="s">
        <v>19893</v>
      </c>
      <c r="F4027" t="s">
        <v>28198</v>
      </c>
      <c r="G4027" t="s">
        <v>28207</v>
      </c>
      <c r="H4027" t="s">
        <v>28215</v>
      </c>
      <c r="I4027" t="s">
        <v>28249</v>
      </c>
      <c r="J4027" t="s">
        <v>30956</v>
      </c>
      <c r="K4027" t="s">
        <v>36706</v>
      </c>
      <c r="M4027" t="s">
        <v>38552</v>
      </c>
      <c r="N4027" t="s">
        <v>40436</v>
      </c>
      <c r="O4027" t="s">
        <v>40437</v>
      </c>
      <c r="P4027">
        <v>0</v>
      </c>
      <c r="Q4027">
        <v>0</v>
      </c>
      <c r="R4027" t="s">
        <v>40439</v>
      </c>
      <c r="S4027" t="s">
        <v>40588</v>
      </c>
      <c r="T4027" t="s">
        <v>42317</v>
      </c>
      <c r="U4027" t="s">
        <v>46073</v>
      </c>
      <c r="W4027" t="s">
        <v>38552</v>
      </c>
      <c r="X4027" t="s">
        <v>40440</v>
      </c>
    </row>
    <row r="4028" spans="1:24">
      <c r="A4028">
        <f>HYPERLINK("https://www.philgeps.gov.ph/GEPSNONPILOT/Tender/SplashBidNoticeAbstractUI.aspx?menuIndex=3&amp;refID=7046245&amp;Result=3","7046245")</f>
        <v>0</v>
      </c>
      <c r="B4028" t="s">
        <v>691</v>
      </c>
      <c r="C4028" t="s">
        <v>6931</v>
      </c>
      <c r="D4028" t="s">
        <v>16254</v>
      </c>
      <c r="E4028" t="s">
        <v>16972</v>
      </c>
      <c r="F4028" t="s">
        <v>28198</v>
      </c>
      <c r="G4028" t="s">
        <v>28207</v>
      </c>
      <c r="H4028" t="s">
        <v>28215</v>
      </c>
      <c r="I4028" t="s">
        <v>28247</v>
      </c>
      <c r="J4028" t="s">
        <v>30957</v>
      </c>
      <c r="K4028" t="s">
        <v>36707</v>
      </c>
      <c r="M4028" t="s">
        <v>37690</v>
      </c>
      <c r="N4028" t="s">
        <v>40436</v>
      </c>
      <c r="O4028" t="s">
        <v>40437</v>
      </c>
      <c r="P4028">
        <v>0</v>
      </c>
      <c r="Q4028">
        <v>2</v>
      </c>
      <c r="R4028" t="s">
        <v>40439</v>
      </c>
      <c r="S4028" t="s">
        <v>40588</v>
      </c>
      <c r="T4028" t="s">
        <v>42158</v>
      </c>
      <c r="U4028" t="s">
        <v>46074</v>
      </c>
      <c r="W4028" t="s">
        <v>37690</v>
      </c>
      <c r="X4028" t="s">
        <v>40440</v>
      </c>
    </row>
    <row r="4029" spans="1:24">
      <c r="A4029">
        <f>HYPERLINK("https://www.philgeps.gov.ph/GEPSNONPILOT/Tender/SplashBidNoticeAbstractUI.aspx?menuIndex=3&amp;refID=7046261&amp;Result=3","7046261")</f>
        <v>0</v>
      </c>
      <c r="B4029" t="s">
        <v>1398</v>
      </c>
      <c r="C4029" t="s">
        <v>6932</v>
      </c>
      <c r="D4029" t="s">
        <v>16210</v>
      </c>
      <c r="E4029" t="s">
        <v>19894</v>
      </c>
      <c r="F4029" t="s">
        <v>28198</v>
      </c>
      <c r="G4029" t="s">
        <v>28207</v>
      </c>
      <c r="H4029" t="s">
        <v>28215</v>
      </c>
      <c r="I4029" t="s">
        <v>28298</v>
      </c>
      <c r="J4029" t="s">
        <v>30958</v>
      </c>
      <c r="K4029" t="s">
        <v>36715</v>
      </c>
      <c r="M4029" t="s">
        <v>38463</v>
      </c>
      <c r="N4029" t="s">
        <v>40436</v>
      </c>
      <c r="O4029" t="s">
        <v>40437</v>
      </c>
      <c r="P4029">
        <v>0</v>
      </c>
      <c r="Q4029">
        <v>12</v>
      </c>
      <c r="R4029" t="s">
        <v>40439</v>
      </c>
      <c r="S4029" t="s">
        <v>40588</v>
      </c>
      <c r="T4029" t="s">
        <v>42146</v>
      </c>
      <c r="U4029" t="s">
        <v>45824</v>
      </c>
      <c r="W4029" t="s">
        <v>38463</v>
      </c>
      <c r="X4029" t="s">
        <v>40440</v>
      </c>
    </row>
    <row r="4030" spans="1:24">
      <c r="A4030">
        <f>HYPERLINK("https://www.philgeps.gov.ph/GEPSNONPILOT/Tender/SplashBidNoticeAbstractUI.aspx?menuIndex=3&amp;refID=7046255&amp;Result=3","7046255")</f>
        <v>0</v>
      </c>
      <c r="B4030" t="s">
        <v>587</v>
      </c>
      <c r="C4030" t="s">
        <v>6933</v>
      </c>
      <c r="D4030" t="s">
        <v>16230</v>
      </c>
      <c r="E4030" t="s">
        <v>19895</v>
      </c>
      <c r="F4030" t="s">
        <v>28198</v>
      </c>
      <c r="G4030" t="s">
        <v>28205</v>
      </c>
      <c r="H4030" t="s">
        <v>28215</v>
      </c>
      <c r="I4030" t="s">
        <v>28238</v>
      </c>
      <c r="J4030" t="s">
        <v>30959</v>
      </c>
      <c r="K4030" t="s">
        <v>36707</v>
      </c>
      <c r="M4030" t="s">
        <v>37576</v>
      </c>
      <c r="N4030" t="s">
        <v>40436</v>
      </c>
      <c r="O4030" t="s">
        <v>40437</v>
      </c>
      <c r="P4030">
        <v>0</v>
      </c>
      <c r="Q4030">
        <v>2</v>
      </c>
      <c r="R4030" t="s">
        <v>40439</v>
      </c>
      <c r="S4030" t="s">
        <v>40588</v>
      </c>
      <c r="T4030" t="s">
        <v>42229</v>
      </c>
      <c r="U4030" t="s">
        <v>46075</v>
      </c>
      <c r="W4030" t="s">
        <v>37576</v>
      </c>
      <c r="X4030" t="s">
        <v>40440</v>
      </c>
    </row>
    <row r="4031" spans="1:24">
      <c r="A4031">
        <f>HYPERLINK("https://www.philgeps.gov.ph/GEPSNONPILOT/Tender/SplashBidNoticeAbstractUI.aspx?menuIndex=3&amp;refID=7046259&amp;Result=3","7046259")</f>
        <v>0</v>
      </c>
      <c r="B4031" t="s">
        <v>1017</v>
      </c>
      <c r="C4031" t="s">
        <v>6934</v>
      </c>
      <c r="D4031" t="s">
        <v>16190</v>
      </c>
      <c r="E4031" t="s">
        <v>19896</v>
      </c>
      <c r="F4031" t="s">
        <v>28198</v>
      </c>
      <c r="G4031" t="s">
        <v>28207</v>
      </c>
      <c r="H4031" t="s">
        <v>28215</v>
      </c>
      <c r="I4031" t="s">
        <v>28259</v>
      </c>
      <c r="J4031" t="s">
        <v>28389</v>
      </c>
      <c r="K4031" t="s">
        <v>36689</v>
      </c>
      <c r="M4031" t="s">
        <v>38046</v>
      </c>
      <c r="N4031" t="s">
        <v>40436</v>
      </c>
      <c r="O4031" t="s">
        <v>40437</v>
      </c>
      <c r="P4031">
        <v>0</v>
      </c>
      <c r="Q4031">
        <v>1</v>
      </c>
      <c r="R4031" t="s">
        <v>40439</v>
      </c>
      <c r="S4031" t="s">
        <v>40588</v>
      </c>
      <c r="T4031" t="s">
        <v>42169</v>
      </c>
      <c r="U4031" t="s">
        <v>44697</v>
      </c>
      <c r="W4031" t="s">
        <v>38046</v>
      </c>
      <c r="X4031" t="s">
        <v>40440</v>
      </c>
    </row>
    <row r="4032" spans="1:24">
      <c r="A4032">
        <f>HYPERLINK("https://www.philgeps.gov.ph/GEPSNONPILOT/Tender/SplashBidNoticeAbstractUI.aspx?menuIndex=3&amp;refID=7046256&amp;Result=3","7046256")</f>
        <v>0</v>
      </c>
      <c r="B4032" t="s">
        <v>561</v>
      </c>
      <c r="C4032" t="s">
        <v>6935</v>
      </c>
      <c r="D4032" t="s">
        <v>16196</v>
      </c>
      <c r="E4032" t="s">
        <v>19897</v>
      </c>
      <c r="F4032" t="s">
        <v>28198</v>
      </c>
      <c r="G4032" t="s">
        <v>28205</v>
      </c>
      <c r="H4032" t="s">
        <v>28214</v>
      </c>
      <c r="I4032" t="s">
        <v>3797</v>
      </c>
      <c r="J4032" t="s">
        <v>28347</v>
      </c>
      <c r="K4032" t="s">
        <v>36690</v>
      </c>
      <c r="L4032" t="s">
        <v>561</v>
      </c>
      <c r="M4032" t="s">
        <v>37547</v>
      </c>
      <c r="N4032" t="s">
        <v>40436</v>
      </c>
      <c r="O4032" t="s">
        <v>40437</v>
      </c>
      <c r="P4032">
        <v>0</v>
      </c>
      <c r="Q4032">
        <v>39</v>
      </c>
      <c r="R4032" t="s">
        <v>40439</v>
      </c>
      <c r="S4032" t="s">
        <v>40588</v>
      </c>
      <c r="T4032" t="s">
        <v>42118</v>
      </c>
      <c r="U4032" t="s">
        <v>46076</v>
      </c>
      <c r="W4032" t="s">
        <v>37547</v>
      </c>
      <c r="X4032" t="s">
        <v>40440</v>
      </c>
    </row>
    <row r="4033" spans="1:24">
      <c r="A4033">
        <f>HYPERLINK("https://www.philgeps.gov.ph/GEPSNONPILOT/Tender/SplashBidNoticeAbstractUI.aspx?menuIndex=3&amp;refID=7046268&amp;Result=3","7046268")</f>
        <v>0</v>
      </c>
      <c r="B4033" t="s">
        <v>1067</v>
      </c>
      <c r="C4033" t="s">
        <v>6936</v>
      </c>
      <c r="D4033" t="s">
        <v>16244</v>
      </c>
      <c r="E4033" t="s">
        <v>19898</v>
      </c>
      <c r="F4033" t="s">
        <v>28198</v>
      </c>
      <c r="G4033" t="s">
        <v>28206</v>
      </c>
      <c r="H4033" t="s">
        <v>28215</v>
      </c>
      <c r="I4033" t="s">
        <v>9499</v>
      </c>
      <c r="J4033" t="s">
        <v>30960</v>
      </c>
      <c r="K4033" t="s">
        <v>36701</v>
      </c>
      <c r="M4033" t="s">
        <v>38100</v>
      </c>
      <c r="N4033" t="s">
        <v>40436</v>
      </c>
      <c r="O4033" t="s">
        <v>40437</v>
      </c>
      <c r="P4033">
        <v>0</v>
      </c>
      <c r="Q4033">
        <v>0</v>
      </c>
      <c r="R4033" t="s">
        <v>40439</v>
      </c>
      <c r="S4033" t="s">
        <v>40588</v>
      </c>
      <c r="T4033" t="s">
        <v>42103</v>
      </c>
      <c r="U4033" t="s">
        <v>46077</v>
      </c>
      <c r="W4033" t="s">
        <v>38100</v>
      </c>
      <c r="X4033" t="s">
        <v>40440</v>
      </c>
    </row>
    <row r="4034" spans="1:24">
      <c r="A4034">
        <f>HYPERLINK("https://www.philgeps.gov.ph/GEPSNONPILOT/Tender/SplashBidNoticeAbstractUI.aspx?menuIndex=3&amp;refID=7046251&amp;Result=3","7046251")</f>
        <v>0</v>
      </c>
      <c r="B4034" t="s">
        <v>1481</v>
      </c>
      <c r="C4034" t="s">
        <v>6937</v>
      </c>
      <c r="D4034" t="s">
        <v>16210</v>
      </c>
      <c r="E4034" t="s">
        <v>19899</v>
      </c>
      <c r="F4034" t="s">
        <v>28198</v>
      </c>
      <c r="G4034" t="s">
        <v>28207</v>
      </c>
      <c r="H4034" t="s">
        <v>28215</v>
      </c>
      <c r="I4034" t="s">
        <v>5100</v>
      </c>
      <c r="J4034" t="s">
        <v>30961</v>
      </c>
      <c r="K4034" t="s">
        <v>36693</v>
      </c>
      <c r="M4034" t="s">
        <v>38553</v>
      </c>
      <c r="N4034" t="s">
        <v>40436</v>
      </c>
      <c r="O4034" t="s">
        <v>40437</v>
      </c>
      <c r="P4034">
        <v>0</v>
      </c>
      <c r="Q4034">
        <v>0</v>
      </c>
      <c r="R4034" t="s">
        <v>40439</v>
      </c>
      <c r="S4034" t="s">
        <v>40588</v>
      </c>
      <c r="T4034" t="s">
        <v>42158</v>
      </c>
      <c r="U4034" t="s">
        <v>46078</v>
      </c>
      <c r="W4034" t="s">
        <v>38553</v>
      </c>
      <c r="X4034" t="s">
        <v>40440</v>
      </c>
    </row>
    <row r="4035" spans="1:24">
      <c r="A4035">
        <f>HYPERLINK("https://www.philgeps.gov.ph/GEPSNONPILOT/Tender/SplashBidNoticeAbstractUI.aspx?menuIndex=3&amp;refID=7046265&amp;Result=3","7046265")</f>
        <v>0</v>
      </c>
      <c r="B4035" t="s">
        <v>1470</v>
      </c>
      <c r="C4035" t="s">
        <v>6938</v>
      </c>
      <c r="D4035" t="s">
        <v>16210</v>
      </c>
      <c r="E4035" t="s">
        <v>19900</v>
      </c>
      <c r="F4035" t="s">
        <v>28198</v>
      </c>
      <c r="G4035" t="s">
        <v>28206</v>
      </c>
      <c r="H4035" t="s">
        <v>28215</v>
      </c>
      <c r="I4035" t="s">
        <v>4200</v>
      </c>
      <c r="J4035" t="s">
        <v>30962</v>
      </c>
      <c r="K4035" t="s">
        <v>36689</v>
      </c>
      <c r="M4035" t="s">
        <v>38540</v>
      </c>
      <c r="N4035" t="s">
        <v>40436</v>
      </c>
      <c r="O4035" t="s">
        <v>40437</v>
      </c>
      <c r="P4035">
        <v>0</v>
      </c>
      <c r="Q4035">
        <v>4</v>
      </c>
      <c r="R4035" t="s">
        <v>40439</v>
      </c>
      <c r="S4035" t="s">
        <v>40588</v>
      </c>
      <c r="T4035" t="s">
        <v>42185</v>
      </c>
      <c r="U4035" t="s">
        <v>46042</v>
      </c>
      <c r="W4035" t="s">
        <v>38540</v>
      </c>
      <c r="X4035" t="s">
        <v>40440</v>
      </c>
    </row>
    <row r="4036" spans="1:24">
      <c r="A4036">
        <f>HYPERLINK("https://www.philgeps.gov.ph/GEPSNONPILOT/Tender/SplashBidNoticeAbstractUI.aspx?menuIndex=3&amp;refID=7046264&amp;Result=3","7046264")</f>
        <v>0</v>
      </c>
      <c r="B4036" t="s">
        <v>1478</v>
      </c>
      <c r="C4036" t="s">
        <v>6939</v>
      </c>
      <c r="D4036" t="s">
        <v>16233</v>
      </c>
      <c r="E4036" t="s">
        <v>19901</v>
      </c>
      <c r="F4036" t="s">
        <v>28198</v>
      </c>
      <c r="G4036" t="s">
        <v>28207</v>
      </c>
      <c r="H4036" t="s">
        <v>28215</v>
      </c>
      <c r="I4036" t="s">
        <v>5100</v>
      </c>
      <c r="J4036" t="s">
        <v>28436</v>
      </c>
      <c r="K4036" t="s">
        <v>36689</v>
      </c>
      <c r="M4036" t="s">
        <v>38549</v>
      </c>
      <c r="N4036" t="s">
        <v>40436</v>
      </c>
      <c r="O4036" t="s">
        <v>40437</v>
      </c>
      <c r="P4036">
        <v>0</v>
      </c>
      <c r="Q4036">
        <v>0</v>
      </c>
      <c r="R4036" t="s">
        <v>40439</v>
      </c>
      <c r="S4036" t="s">
        <v>40588</v>
      </c>
      <c r="T4036" t="s">
        <v>42119</v>
      </c>
      <c r="U4036" t="s">
        <v>46067</v>
      </c>
      <c r="W4036" t="s">
        <v>38549</v>
      </c>
      <c r="X4036" t="s">
        <v>40440</v>
      </c>
    </row>
    <row r="4037" spans="1:24">
      <c r="A4037">
        <f>HYPERLINK("https://www.philgeps.gov.ph/GEPSNONPILOT/Tender/SplashBidNoticeAbstractUI.aspx?menuIndex=3&amp;refID=7046248&amp;Result=3","7046248")</f>
        <v>0</v>
      </c>
      <c r="B4037" t="s">
        <v>1023</v>
      </c>
      <c r="C4037" t="s">
        <v>6940</v>
      </c>
      <c r="D4037" t="s">
        <v>16265</v>
      </c>
      <c r="E4037" t="s">
        <v>19868</v>
      </c>
      <c r="F4037" t="s">
        <v>28198</v>
      </c>
      <c r="G4037" t="s">
        <v>28205</v>
      </c>
      <c r="H4037" t="s">
        <v>28215</v>
      </c>
      <c r="I4037" t="s">
        <v>5082</v>
      </c>
      <c r="J4037" t="s">
        <v>30963</v>
      </c>
      <c r="K4037" t="s">
        <v>36701</v>
      </c>
      <c r="M4037" t="s">
        <v>38054</v>
      </c>
      <c r="N4037" t="s">
        <v>40436</v>
      </c>
      <c r="O4037" t="s">
        <v>40437</v>
      </c>
      <c r="P4037">
        <v>0</v>
      </c>
      <c r="Q4037">
        <v>0</v>
      </c>
      <c r="R4037" t="s">
        <v>40439</v>
      </c>
      <c r="S4037" t="s">
        <v>40588</v>
      </c>
      <c r="T4037" t="s">
        <v>42108</v>
      </c>
      <c r="U4037" t="s">
        <v>46047</v>
      </c>
      <c r="W4037" t="s">
        <v>38054</v>
      </c>
      <c r="X4037" t="s">
        <v>40440</v>
      </c>
    </row>
    <row r="4038" spans="1:24">
      <c r="A4038">
        <f>HYPERLINK("https://www.philgeps.gov.ph/GEPSNONPILOT/Tender/SplashBidNoticeAbstractUI.aspx?menuIndex=3&amp;refID=7046246&amp;Result=3","7046246")</f>
        <v>0</v>
      </c>
      <c r="B4038" t="s">
        <v>301</v>
      </c>
      <c r="C4038" t="s">
        <v>6941</v>
      </c>
      <c r="D4038" t="s">
        <v>16244</v>
      </c>
      <c r="E4038" t="s">
        <v>16586</v>
      </c>
      <c r="F4038" t="s">
        <v>28198</v>
      </c>
      <c r="G4038" t="s">
        <v>28207</v>
      </c>
      <c r="H4038" t="s">
        <v>28215</v>
      </c>
      <c r="I4038" t="s">
        <v>4168</v>
      </c>
      <c r="J4038" t="s">
        <v>30964</v>
      </c>
      <c r="K4038" t="s">
        <v>36701</v>
      </c>
      <c r="M4038" t="s">
        <v>37278</v>
      </c>
      <c r="N4038" t="s">
        <v>40436</v>
      </c>
      <c r="O4038" t="s">
        <v>40437</v>
      </c>
      <c r="P4038">
        <v>0</v>
      </c>
      <c r="Q4038">
        <v>1</v>
      </c>
      <c r="R4038" t="s">
        <v>40439</v>
      </c>
      <c r="S4038" t="s">
        <v>40588</v>
      </c>
      <c r="T4038" t="s">
        <v>42190</v>
      </c>
      <c r="U4038" t="s">
        <v>46079</v>
      </c>
      <c r="W4038" t="s">
        <v>37278</v>
      </c>
      <c r="X4038" t="s">
        <v>40440</v>
      </c>
    </row>
    <row r="4039" spans="1:24">
      <c r="A4039">
        <f>HYPERLINK("https://www.philgeps.gov.ph/GEPSNONPILOT/Tender/SplashBidNoticeAbstractUI.aspx?menuIndex=3&amp;refID=7046269&amp;Result=3","7046269")</f>
        <v>0</v>
      </c>
      <c r="B4039" t="s">
        <v>697</v>
      </c>
      <c r="C4039" t="s">
        <v>6942</v>
      </c>
      <c r="D4039" t="s">
        <v>16210</v>
      </c>
      <c r="E4039" t="s">
        <v>16570</v>
      </c>
      <c r="F4039" t="s">
        <v>28198</v>
      </c>
      <c r="G4039" t="s">
        <v>28207</v>
      </c>
      <c r="H4039" t="s">
        <v>28215</v>
      </c>
      <c r="I4039" t="s">
        <v>28225</v>
      </c>
      <c r="J4039" t="s">
        <v>28797</v>
      </c>
      <c r="K4039" t="s">
        <v>36701</v>
      </c>
      <c r="M4039" t="s">
        <v>37697</v>
      </c>
      <c r="N4039" t="s">
        <v>40436</v>
      </c>
      <c r="O4039" t="s">
        <v>40437</v>
      </c>
      <c r="P4039">
        <v>0</v>
      </c>
      <c r="Q4039">
        <v>17</v>
      </c>
      <c r="R4039" t="s">
        <v>40439</v>
      </c>
      <c r="S4039" t="s">
        <v>40588</v>
      </c>
      <c r="T4039" t="s">
        <v>42169</v>
      </c>
      <c r="U4039" t="s">
        <v>46080</v>
      </c>
      <c r="W4039" t="s">
        <v>37697</v>
      </c>
      <c r="X4039" t="s">
        <v>40440</v>
      </c>
    </row>
    <row r="4040" spans="1:24">
      <c r="A4040">
        <f>HYPERLINK("https://www.philgeps.gov.ph/GEPSNONPILOT/Tender/SplashBidNoticeAbstractUI.aspx?menuIndex=3&amp;refID=7046247&amp;Result=3","7046247")</f>
        <v>0</v>
      </c>
      <c r="B4040" t="s">
        <v>1482</v>
      </c>
      <c r="C4040" t="s">
        <v>6943</v>
      </c>
      <c r="D4040" t="s">
        <v>16195</v>
      </c>
      <c r="E4040" t="s">
        <v>19902</v>
      </c>
      <c r="F4040" t="s">
        <v>28198</v>
      </c>
      <c r="G4040" t="s">
        <v>28206</v>
      </c>
      <c r="H4040" t="s">
        <v>28215</v>
      </c>
      <c r="I4040" t="s">
        <v>4219</v>
      </c>
      <c r="J4040" t="s">
        <v>30965</v>
      </c>
      <c r="K4040" t="s">
        <v>36693</v>
      </c>
      <c r="M4040" t="s">
        <v>38554</v>
      </c>
      <c r="N4040" t="s">
        <v>40436</v>
      </c>
      <c r="O4040" t="s">
        <v>40437</v>
      </c>
      <c r="P4040">
        <v>0</v>
      </c>
      <c r="Q4040">
        <v>1</v>
      </c>
      <c r="R4040" t="s">
        <v>40439</v>
      </c>
      <c r="S4040" t="s">
        <v>40588</v>
      </c>
      <c r="T4040" t="s">
        <v>42124</v>
      </c>
      <c r="U4040" t="s">
        <v>46081</v>
      </c>
      <c r="W4040" t="s">
        <v>38554</v>
      </c>
      <c r="X4040" t="s">
        <v>40440</v>
      </c>
    </row>
    <row r="4041" spans="1:24">
      <c r="A4041">
        <f>HYPERLINK("https://www.philgeps.gov.ph/GEPSNONPILOT/Tender/SplashBidNoticeAbstractUI.aspx?menuIndex=3&amp;refID=7046270&amp;Result=3","7046270")</f>
        <v>0</v>
      </c>
      <c r="B4041" t="s">
        <v>456</v>
      </c>
      <c r="C4041" t="s">
        <v>6944</v>
      </c>
      <c r="D4041" t="s">
        <v>16190</v>
      </c>
      <c r="E4041" t="s">
        <v>19903</v>
      </c>
      <c r="F4041" t="s">
        <v>28198</v>
      </c>
      <c r="G4041" t="s">
        <v>28207</v>
      </c>
      <c r="H4041" t="s">
        <v>28215</v>
      </c>
      <c r="I4041" t="s">
        <v>5103</v>
      </c>
      <c r="J4041" t="s">
        <v>29806</v>
      </c>
      <c r="K4041" t="s">
        <v>36688</v>
      </c>
      <c r="M4041" t="s">
        <v>37440</v>
      </c>
      <c r="N4041" t="s">
        <v>40436</v>
      </c>
      <c r="O4041" t="s">
        <v>40437</v>
      </c>
      <c r="P4041">
        <v>0</v>
      </c>
      <c r="Q4041">
        <v>1</v>
      </c>
      <c r="R4041" t="s">
        <v>40439</v>
      </c>
      <c r="S4041" t="s">
        <v>40588</v>
      </c>
      <c r="T4041" t="s">
        <v>42216</v>
      </c>
      <c r="U4041" t="s">
        <v>46082</v>
      </c>
      <c r="W4041" t="s">
        <v>37440</v>
      </c>
      <c r="X4041" t="s">
        <v>40440</v>
      </c>
    </row>
    <row r="4042" spans="1:24">
      <c r="A4042">
        <f>HYPERLINK("https://www.philgeps.gov.ph/GEPSNONPILOT/Tender/SplashBidNoticeAbstractUI.aspx?menuIndex=3&amp;refID=7046249&amp;Result=3","7046249")</f>
        <v>0</v>
      </c>
      <c r="B4042" t="s">
        <v>636</v>
      </c>
      <c r="C4042" t="s">
        <v>6945</v>
      </c>
      <c r="D4042" t="s">
        <v>16223</v>
      </c>
      <c r="E4042" t="s">
        <v>19904</v>
      </c>
      <c r="F4042" t="s">
        <v>28198</v>
      </c>
      <c r="G4042" t="s">
        <v>28205</v>
      </c>
      <c r="H4042" t="s">
        <v>28215</v>
      </c>
      <c r="I4042" t="s">
        <v>4219</v>
      </c>
      <c r="J4042" t="s">
        <v>30966</v>
      </c>
      <c r="K4042" t="s">
        <v>36701</v>
      </c>
      <c r="M4042" t="s">
        <v>37629</v>
      </c>
      <c r="N4042" t="s">
        <v>40436</v>
      </c>
      <c r="O4042" t="s">
        <v>40437</v>
      </c>
      <c r="P4042">
        <v>0</v>
      </c>
      <c r="Q4042">
        <v>0</v>
      </c>
      <c r="R4042" t="s">
        <v>40439</v>
      </c>
      <c r="S4042" t="s">
        <v>40588</v>
      </c>
      <c r="T4042" t="s">
        <v>42112</v>
      </c>
      <c r="U4042" t="s">
        <v>46083</v>
      </c>
      <c r="W4042" t="s">
        <v>37629</v>
      </c>
      <c r="X4042" t="s">
        <v>40440</v>
      </c>
    </row>
    <row r="4043" spans="1:24">
      <c r="A4043">
        <f>HYPERLINK("https://www.philgeps.gov.ph/GEPSNONPILOT/Tender/SplashBidNoticeAbstractUI.aspx?menuIndex=3&amp;refID=7046281&amp;Result=3","7046281")</f>
        <v>0</v>
      </c>
      <c r="B4043" t="s">
        <v>1023</v>
      </c>
      <c r="C4043" t="s">
        <v>6946</v>
      </c>
      <c r="D4043" t="s">
        <v>16265</v>
      </c>
      <c r="E4043" t="s">
        <v>19868</v>
      </c>
      <c r="F4043" t="s">
        <v>28198</v>
      </c>
      <c r="G4043" t="s">
        <v>28205</v>
      </c>
      <c r="H4043" t="s">
        <v>28215</v>
      </c>
      <c r="I4043" t="s">
        <v>28243</v>
      </c>
      <c r="J4043" t="s">
        <v>30967</v>
      </c>
      <c r="K4043" t="s">
        <v>36701</v>
      </c>
      <c r="M4043" t="s">
        <v>38054</v>
      </c>
      <c r="N4043" t="s">
        <v>40436</v>
      </c>
      <c r="O4043" t="s">
        <v>40437</v>
      </c>
      <c r="P4043">
        <v>0</v>
      </c>
      <c r="Q4043">
        <v>0</v>
      </c>
      <c r="R4043" t="s">
        <v>40439</v>
      </c>
      <c r="S4043" t="s">
        <v>40588</v>
      </c>
      <c r="T4043" t="s">
        <v>42108</v>
      </c>
      <c r="U4043" t="s">
        <v>46047</v>
      </c>
      <c r="W4043" t="s">
        <v>38054</v>
      </c>
      <c r="X4043" t="s">
        <v>40440</v>
      </c>
    </row>
    <row r="4044" spans="1:24">
      <c r="A4044">
        <f>HYPERLINK("https://www.philgeps.gov.ph/GEPSNONPILOT/Tender/SplashBidNoticeAbstractUI.aspx?menuIndex=3&amp;refID=7046280&amp;Result=3","7046280")</f>
        <v>0</v>
      </c>
      <c r="B4044" t="s">
        <v>643</v>
      </c>
      <c r="C4044" t="s">
        <v>6947</v>
      </c>
      <c r="D4044" t="s">
        <v>16267</v>
      </c>
      <c r="E4044" t="s">
        <v>19905</v>
      </c>
      <c r="F4044" t="s">
        <v>28198</v>
      </c>
      <c r="G4044" t="s">
        <v>28205</v>
      </c>
      <c r="H4044" t="s">
        <v>28214</v>
      </c>
      <c r="I4044" t="s">
        <v>3797</v>
      </c>
      <c r="J4044" t="s">
        <v>30968</v>
      </c>
      <c r="K4044" t="s">
        <v>36798</v>
      </c>
      <c r="M4044" t="s">
        <v>37636</v>
      </c>
      <c r="N4044" t="s">
        <v>40436</v>
      </c>
      <c r="O4044" t="s">
        <v>40437</v>
      </c>
      <c r="P4044">
        <v>0</v>
      </c>
      <c r="Q4044">
        <v>0</v>
      </c>
      <c r="R4044" t="s">
        <v>40439</v>
      </c>
      <c r="S4044" t="s">
        <v>40588</v>
      </c>
      <c r="T4044" t="s">
        <v>42171</v>
      </c>
      <c r="U4044" t="s">
        <v>46084</v>
      </c>
      <c r="W4044" t="s">
        <v>37636</v>
      </c>
      <c r="X4044" t="s">
        <v>40440</v>
      </c>
    </row>
    <row r="4045" spans="1:24">
      <c r="A4045">
        <f>HYPERLINK("https://www.philgeps.gov.ph/GEPSNONPILOT/Tender/SplashBidNoticeAbstractUI.aspx?menuIndex=3&amp;refID=7046278&amp;Result=3","7046278")</f>
        <v>0</v>
      </c>
      <c r="B4045" t="s">
        <v>1483</v>
      </c>
      <c r="C4045" t="s">
        <v>6948</v>
      </c>
      <c r="D4045" t="s">
        <v>16199</v>
      </c>
      <c r="E4045" t="s">
        <v>16516</v>
      </c>
      <c r="F4045" t="s">
        <v>28198</v>
      </c>
      <c r="G4045" t="s">
        <v>28205</v>
      </c>
      <c r="H4045" t="s">
        <v>28214</v>
      </c>
      <c r="I4045" t="s">
        <v>3797</v>
      </c>
      <c r="J4045" t="s">
        <v>30969</v>
      </c>
      <c r="K4045" t="s">
        <v>36723</v>
      </c>
      <c r="M4045" t="s">
        <v>38555</v>
      </c>
      <c r="N4045" t="s">
        <v>40436</v>
      </c>
      <c r="O4045" t="s">
        <v>40437</v>
      </c>
      <c r="P4045">
        <v>0</v>
      </c>
      <c r="Q4045">
        <v>0</v>
      </c>
      <c r="R4045" t="s">
        <v>40439</v>
      </c>
      <c r="S4045" t="s">
        <v>40588</v>
      </c>
      <c r="T4045" t="s">
        <v>42106</v>
      </c>
      <c r="U4045" t="s">
        <v>46085</v>
      </c>
      <c r="V4045" t="s">
        <v>54190</v>
      </c>
      <c r="W4045" t="s">
        <v>38555</v>
      </c>
      <c r="X4045" t="s">
        <v>40440</v>
      </c>
    </row>
    <row r="4046" spans="1:24">
      <c r="A4046">
        <f>HYPERLINK("https://www.philgeps.gov.ph/GEPSNONPILOT/Tender/SplashBidNoticeAbstractUI.aspx?menuIndex=3&amp;refID=7046257&amp;Result=3","7046257")</f>
        <v>0</v>
      </c>
      <c r="B4046" t="s">
        <v>1474</v>
      </c>
      <c r="C4046" t="s">
        <v>6949</v>
      </c>
      <c r="D4046" t="s">
        <v>16203</v>
      </c>
      <c r="E4046" t="s">
        <v>19877</v>
      </c>
      <c r="F4046" t="s">
        <v>28198</v>
      </c>
      <c r="G4046" t="s">
        <v>28207</v>
      </c>
      <c r="H4046" t="s">
        <v>28215</v>
      </c>
      <c r="I4046" t="s">
        <v>28274</v>
      </c>
      <c r="J4046" t="s">
        <v>30970</v>
      </c>
      <c r="K4046" t="s">
        <v>36691</v>
      </c>
      <c r="M4046" t="s">
        <v>38545</v>
      </c>
      <c r="N4046" t="s">
        <v>40436</v>
      </c>
      <c r="O4046" t="s">
        <v>40437</v>
      </c>
      <c r="P4046">
        <v>0</v>
      </c>
      <c r="Q4046">
        <v>0</v>
      </c>
      <c r="R4046" t="s">
        <v>40439</v>
      </c>
      <c r="S4046" t="s">
        <v>40588</v>
      </c>
      <c r="T4046" t="s">
        <v>42169</v>
      </c>
      <c r="U4046" t="s">
        <v>43338</v>
      </c>
      <c r="W4046" t="s">
        <v>38545</v>
      </c>
      <c r="X4046" t="s">
        <v>40440</v>
      </c>
    </row>
    <row r="4047" spans="1:24">
      <c r="A4047">
        <f>HYPERLINK("https://www.philgeps.gov.ph/GEPSNONPILOT/Tender/SplashBidNoticeAbstractUI.aspx?menuIndex=3&amp;refID=7046276&amp;Result=3","7046276")</f>
        <v>0</v>
      </c>
      <c r="B4047" t="s">
        <v>1281</v>
      </c>
      <c r="C4047" t="s">
        <v>6950</v>
      </c>
      <c r="D4047" t="s">
        <v>16190</v>
      </c>
      <c r="E4047" t="s">
        <v>19906</v>
      </c>
      <c r="F4047" t="s">
        <v>28198</v>
      </c>
      <c r="G4047" t="s">
        <v>28207</v>
      </c>
      <c r="H4047" t="s">
        <v>28215</v>
      </c>
      <c r="I4047" t="s">
        <v>28227</v>
      </c>
      <c r="J4047" t="s">
        <v>30971</v>
      </c>
      <c r="K4047" t="s">
        <v>36701</v>
      </c>
      <c r="M4047" t="s">
        <v>38333</v>
      </c>
      <c r="N4047" t="s">
        <v>40436</v>
      </c>
      <c r="O4047" t="s">
        <v>40437</v>
      </c>
      <c r="P4047">
        <v>0</v>
      </c>
      <c r="Q4047">
        <v>0</v>
      </c>
      <c r="R4047" t="s">
        <v>40439</v>
      </c>
      <c r="S4047" t="s">
        <v>40588</v>
      </c>
      <c r="T4047" t="s">
        <v>42158</v>
      </c>
      <c r="U4047" t="s">
        <v>45497</v>
      </c>
      <c r="V4047" t="s">
        <v>54123</v>
      </c>
      <c r="W4047" t="s">
        <v>38333</v>
      </c>
      <c r="X4047" t="s">
        <v>40440</v>
      </c>
    </row>
    <row r="4048" spans="1:24">
      <c r="A4048">
        <f>HYPERLINK("https://www.philgeps.gov.ph/GEPSNONPILOT/Tender/SplashBidNoticeAbstractUI.aspx?menuIndex=3&amp;refID=7046277&amp;Result=3","7046277")</f>
        <v>0</v>
      </c>
      <c r="B4048" t="s">
        <v>1019</v>
      </c>
      <c r="C4048" t="s">
        <v>6951</v>
      </c>
      <c r="D4048" t="s">
        <v>16202</v>
      </c>
      <c r="E4048" t="s">
        <v>19907</v>
      </c>
      <c r="F4048" t="s">
        <v>28198</v>
      </c>
      <c r="G4048" t="s">
        <v>28207</v>
      </c>
      <c r="H4048" t="s">
        <v>28215</v>
      </c>
      <c r="I4048" t="s">
        <v>28238</v>
      </c>
      <c r="J4048" t="s">
        <v>30972</v>
      </c>
      <c r="K4048" t="s">
        <v>36701</v>
      </c>
      <c r="M4048" t="s">
        <v>38048</v>
      </c>
      <c r="N4048" t="s">
        <v>40436</v>
      </c>
      <c r="O4048" t="s">
        <v>40437</v>
      </c>
      <c r="P4048">
        <v>0</v>
      </c>
      <c r="Q4048">
        <v>2</v>
      </c>
      <c r="R4048" t="s">
        <v>40439</v>
      </c>
      <c r="S4048" t="s">
        <v>40588</v>
      </c>
      <c r="T4048" t="s">
        <v>42158</v>
      </c>
      <c r="U4048" t="s">
        <v>46086</v>
      </c>
      <c r="W4048" t="s">
        <v>38048</v>
      </c>
      <c r="X4048" t="s">
        <v>40440</v>
      </c>
    </row>
    <row r="4049" spans="1:24">
      <c r="A4049">
        <f>HYPERLINK("https://www.philgeps.gov.ph/GEPSNONPILOT/Tender/SplashBidNoticeAbstractUI.aspx?menuIndex=3&amp;refID=7046274&amp;Result=3","7046274")</f>
        <v>0</v>
      </c>
      <c r="B4049" t="s">
        <v>1259</v>
      </c>
      <c r="C4049" t="s">
        <v>6952</v>
      </c>
      <c r="D4049" t="s">
        <v>16219</v>
      </c>
      <c r="E4049" t="s">
        <v>19908</v>
      </c>
      <c r="F4049" t="s">
        <v>28198</v>
      </c>
      <c r="G4049" t="s">
        <v>28207</v>
      </c>
      <c r="H4049" t="s">
        <v>28215</v>
      </c>
      <c r="I4049" t="s">
        <v>28224</v>
      </c>
      <c r="J4049" t="s">
        <v>28414</v>
      </c>
      <c r="K4049" t="s">
        <v>36689</v>
      </c>
      <c r="M4049" t="s">
        <v>38309</v>
      </c>
      <c r="N4049" t="s">
        <v>40436</v>
      </c>
      <c r="O4049" t="s">
        <v>40437</v>
      </c>
      <c r="P4049">
        <v>0</v>
      </c>
      <c r="Q4049">
        <v>0</v>
      </c>
      <c r="R4049" t="s">
        <v>40439</v>
      </c>
      <c r="S4049" t="s">
        <v>40588</v>
      </c>
      <c r="T4049" t="s">
        <v>42320</v>
      </c>
      <c r="U4049" t="s">
        <v>46087</v>
      </c>
      <c r="W4049" t="s">
        <v>38309</v>
      </c>
      <c r="X4049" t="s">
        <v>40440</v>
      </c>
    </row>
    <row r="4050" spans="1:24">
      <c r="A4050">
        <f>HYPERLINK("https://www.philgeps.gov.ph/GEPSNONPILOT/Tender/SplashBidNoticeAbstractUI.aspx?menuIndex=3&amp;refID=7046279&amp;Result=3","7046279")</f>
        <v>0</v>
      </c>
      <c r="B4050" t="s">
        <v>1484</v>
      </c>
      <c r="C4050" t="s">
        <v>6953</v>
      </c>
      <c r="D4050" t="s">
        <v>16246</v>
      </c>
      <c r="E4050" t="s">
        <v>19909</v>
      </c>
      <c r="F4050" t="s">
        <v>28198</v>
      </c>
      <c r="G4050" t="s">
        <v>28207</v>
      </c>
      <c r="H4050" t="s">
        <v>28215</v>
      </c>
      <c r="I4050" t="s">
        <v>28227</v>
      </c>
      <c r="J4050" t="s">
        <v>30973</v>
      </c>
      <c r="K4050" t="s">
        <v>36693</v>
      </c>
      <c r="M4050" t="s">
        <v>38556</v>
      </c>
      <c r="N4050" t="s">
        <v>40436</v>
      </c>
      <c r="O4050" t="s">
        <v>40437</v>
      </c>
      <c r="P4050">
        <v>0</v>
      </c>
      <c r="Q4050">
        <v>0</v>
      </c>
      <c r="R4050" t="s">
        <v>40439</v>
      </c>
      <c r="S4050" t="s">
        <v>40588</v>
      </c>
      <c r="T4050" t="s">
        <v>42158</v>
      </c>
      <c r="U4050" t="s">
        <v>46088</v>
      </c>
      <c r="V4050" t="s">
        <v>54051</v>
      </c>
      <c r="W4050" t="s">
        <v>38556</v>
      </c>
      <c r="X4050" t="s">
        <v>40440</v>
      </c>
    </row>
    <row r="4051" spans="1:24">
      <c r="A4051">
        <f>HYPERLINK("https://www.philgeps.gov.ph/GEPSNONPILOT/Tender/SplashBidNoticeAbstractUI.aspx?menuIndex=3&amp;refID=7046275&amp;Result=3","7046275")</f>
        <v>0</v>
      </c>
      <c r="B4051" t="s">
        <v>1485</v>
      </c>
      <c r="C4051" t="s">
        <v>6954</v>
      </c>
      <c r="D4051" t="s">
        <v>16216</v>
      </c>
      <c r="E4051" t="s">
        <v>19910</v>
      </c>
      <c r="F4051" t="s">
        <v>28198</v>
      </c>
      <c r="G4051" t="s">
        <v>28207</v>
      </c>
      <c r="H4051" t="s">
        <v>28215</v>
      </c>
      <c r="I4051" t="s">
        <v>5100</v>
      </c>
      <c r="J4051" t="s">
        <v>30974</v>
      </c>
      <c r="K4051" t="s">
        <v>36691</v>
      </c>
      <c r="M4051" t="s">
        <v>38557</v>
      </c>
      <c r="N4051" t="s">
        <v>40436</v>
      </c>
      <c r="O4051" t="s">
        <v>40437</v>
      </c>
      <c r="P4051">
        <v>0</v>
      </c>
      <c r="Q4051">
        <v>1</v>
      </c>
      <c r="R4051" t="s">
        <v>40439</v>
      </c>
      <c r="S4051" t="s">
        <v>40588</v>
      </c>
      <c r="T4051" t="s">
        <v>42169</v>
      </c>
      <c r="U4051" t="s">
        <v>46089</v>
      </c>
      <c r="W4051" t="s">
        <v>38557</v>
      </c>
      <c r="X4051" t="s">
        <v>40440</v>
      </c>
    </row>
    <row r="4052" spans="1:24">
      <c r="A4052">
        <f>HYPERLINK("https://www.philgeps.gov.ph/GEPSNONPILOT/Tender/SplashBidNoticeAbstractUI.aspx?menuIndex=3&amp;refID=7046286&amp;Result=3","7046286")</f>
        <v>0</v>
      </c>
      <c r="B4052" t="s">
        <v>670</v>
      </c>
      <c r="C4052" t="s">
        <v>6955</v>
      </c>
      <c r="E4052" t="s">
        <v>19911</v>
      </c>
      <c r="F4052" t="s">
        <v>28198</v>
      </c>
      <c r="G4052" t="s">
        <v>28205</v>
      </c>
      <c r="H4052" t="s">
        <v>28214</v>
      </c>
      <c r="I4052" t="s">
        <v>3797</v>
      </c>
      <c r="J4052" t="s">
        <v>30975</v>
      </c>
      <c r="K4052" t="s">
        <v>36808</v>
      </c>
      <c r="M4052" t="s">
        <v>37666</v>
      </c>
      <c r="N4052" t="s">
        <v>40436</v>
      </c>
      <c r="O4052" t="s">
        <v>40437</v>
      </c>
      <c r="P4052">
        <v>0</v>
      </c>
      <c r="Q4052">
        <v>0</v>
      </c>
      <c r="R4052" t="s">
        <v>40439</v>
      </c>
      <c r="S4052" t="s">
        <v>40588</v>
      </c>
      <c r="T4052" t="s">
        <v>42248</v>
      </c>
      <c r="U4052" t="s">
        <v>46090</v>
      </c>
      <c r="W4052" t="s">
        <v>37666</v>
      </c>
      <c r="X4052" t="s">
        <v>40440</v>
      </c>
    </row>
    <row r="4053" spans="1:24">
      <c r="A4053">
        <f>HYPERLINK("https://www.philgeps.gov.ph/GEPSNONPILOT/Tender/SplashBidNoticeAbstractUI.aspx?menuIndex=3&amp;refID=7046284&amp;Result=3","7046284")</f>
        <v>0</v>
      </c>
      <c r="B4053" t="s">
        <v>1447</v>
      </c>
      <c r="C4053" t="s">
        <v>6956</v>
      </c>
      <c r="D4053" t="s">
        <v>16190</v>
      </c>
      <c r="E4053" t="s">
        <v>19912</v>
      </c>
      <c r="F4053" t="s">
        <v>28200</v>
      </c>
      <c r="G4053" t="s">
        <v>28206</v>
      </c>
      <c r="H4053" t="s">
        <v>28215</v>
      </c>
      <c r="I4053" t="s">
        <v>5082</v>
      </c>
      <c r="J4053" t="s">
        <v>30976</v>
      </c>
      <c r="K4053" t="s">
        <v>36701</v>
      </c>
      <c r="M4053" t="s">
        <v>38514</v>
      </c>
      <c r="N4053" t="s">
        <v>40436</v>
      </c>
      <c r="O4053" t="s">
        <v>40437</v>
      </c>
      <c r="P4053">
        <v>0</v>
      </c>
      <c r="Q4053">
        <v>1</v>
      </c>
      <c r="R4053" t="s">
        <v>40439</v>
      </c>
      <c r="S4053" t="s">
        <v>40588</v>
      </c>
      <c r="T4053" t="s">
        <v>42271</v>
      </c>
      <c r="U4053" t="s">
        <v>46091</v>
      </c>
      <c r="W4053" t="s">
        <v>38514</v>
      </c>
      <c r="X4053" t="s">
        <v>40440</v>
      </c>
    </row>
    <row r="4054" spans="1:24">
      <c r="A4054">
        <f>HYPERLINK("https://www.philgeps.gov.ph/GEPSNONPILOT/Tender/SplashBidNoticeAbstractUI.aspx?menuIndex=3&amp;refID=7046287&amp;Result=3","7046287")</f>
        <v>0</v>
      </c>
      <c r="B4054" t="s">
        <v>1486</v>
      </c>
      <c r="C4054" t="s">
        <v>6957</v>
      </c>
      <c r="D4054" t="s">
        <v>16210</v>
      </c>
      <c r="E4054" t="s">
        <v>19913</v>
      </c>
      <c r="F4054" t="s">
        <v>28198</v>
      </c>
      <c r="G4054" t="s">
        <v>28207</v>
      </c>
      <c r="H4054" t="s">
        <v>28215</v>
      </c>
      <c r="I4054" t="s">
        <v>5103</v>
      </c>
      <c r="J4054" t="s">
        <v>28397</v>
      </c>
      <c r="K4054" t="s">
        <v>36687</v>
      </c>
      <c r="M4054" t="s">
        <v>38558</v>
      </c>
      <c r="N4054" t="s">
        <v>40436</v>
      </c>
      <c r="O4054" t="s">
        <v>40437</v>
      </c>
      <c r="P4054">
        <v>0</v>
      </c>
      <c r="Q4054">
        <v>22</v>
      </c>
      <c r="R4054" t="s">
        <v>40439</v>
      </c>
      <c r="S4054" t="s">
        <v>40588</v>
      </c>
      <c r="T4054" t="s">
        <v>42158</v>
      </c>
      <c r="U4054" t="s">
        <v>46092</v>
      </c>
      <c r="V4054" t="s">
        <v>54191</v>
      </c>
      <c r="W4054" t="s">
        <v>38558</v>
      </c>
      <c r="X4054" t="s">
        <v>40440</v>
      </c>
    </row>
    <row r="4055" spans="1:24">
      <c r="A4055">
        <f>HYPERLINK("https://www.philgeps.gov.ph/GEPSNONPILOT/Tender/SplashBidNoticeAbstractUI.aspx?menuIndex=3&amp;refID=7046272&amp;Result=3","7046272")</f>
        <v>0</v>
      </c>
      <c r="B4055" t="s">
        <v>100</v>
      </c>
      <c r="C4055" t="s">
        <v>6958</v>
      </c>
      <c r="D4055" t="s">
        <v>16228</v>
      </c>
      <c r="E4055" t="s">
        <v>19914</v>
      </c>
      <c r="F4055" t="s">
        <v>28198</v>
      </c>
      <c r="G4055" t="s">
        <v>28207</v>
      </c>
      <c r="H4055" t="s">
        <v>28215</v>
      </c>
      <c r="I4055" t="s">
        <v>3422</v>
      </c>
      <c r="J4055" t="s">
        <v>28345</v>
      </c>
      <c r="K4055" t="s">
        <v>36701</v>
      </c>
      <c r="M4055" t="s">
        <v>38559</v>
      </c>
      <c r="N4055" t="s">
        <v>40436</v>
      </c>
      <c r="O4055" t="s">
        <v>40437</v>
      </c>
      <c r="P4055">
        <v>0</v>
      </c>
      <c r="Q4055">
        <v>0</v>
      </c>
      <c r="R4055" t="s">
        <v>40439</v>
      </c>
      <c r="S4055" t="s">
        <v>40588</v>
      </c>
      <c r="T4055" t="s">
        <v>42190</v>
      </c>
      <c r="U4055" t="s">
        <v>46093</v>
      </c>
      <c r="W4055" t="s">
        <v>38559</v>
      </c>
      <c r="X4055" t="s">
        <v>40440</v>
      </c>
    </row>
    <row r="4056" spans="1:24">
      <c r="A4056">
        <f>HYPERLINK("https://www.philgeps.gov.ph/GEPSNONPILOT/Tender/SplashBidNoticeAbstractUI.aspx?menuIndex=3&amp;refID=7046273&amp;Result=3","7046273")</f>
        <v>0</v>
      </c>
      <c r="B4056" t="s">
        <v>1011</v>
      </c>
      <c r="C4056" t="s">
        <v>6959</v>
      </c>
      <c r="D4056" t="s">
        <v>16226</v>
      </c>
      <c r="E4056" t="s">
        <v>17881</v>
      </c>
      <c r="F4056" t="s">
        <v>28198</v>
      </c>
      <c r="G4056" t="s">
        <v>28205</v>
      </c>
      <c r="H4056" t="s">
        <v>28215</v>
      </c>
      <c r="I4056" t="s">
        <v>5082</v>
      </c>
      <c r="J4056" t="s">
        <v>30977</v>
      </c>
      <c r="K4056" t="s">
        <v>36707</v>
      </c>
      <c r="M4056" t="s">
        <v>38039</v>
      </c>
      <c r="N4056" t="s">
        <v>40436</v>
      </c>
      <c r="O4056" t="s">
        <v>40437</v>
      </c>
      <c r="P4056">
        <v>0</v>
      </c>
      <c r="Q4056">
        <v>2</v>
      </c>
      <c r="R4056" t="s">
        <v>40439</v>
      </c>
      <c r="S4056" t="s">
        <v>40588</v>
      </c>
      <c r="T4056" t="s">
        <v>42246</v>
      </c>
      <c r="U4056" t="s">
        <v>46094</v>
      </c>
      <c r="W4056" t="s">
        <v>38039</v>
      </c>
      <c r="X4056" t="s">
        <v>40440</v>
      </c>
    </row>
    <row r="4057" spans="1:24">
      <c r="A4057">
        <f>HYPERLINK("https://www.philgeps.gov.ph/GEPSNONPILOT/Tender/SplashBidNoticeAbstractUI.aspx?menuIndex=3&amp;refID=7046282&amp;Result=3","7046282")</f>
        <v>0</v>
      </c>
      <c r="B4057" t="s">
        <v>812</v>
      </c>
      <c r="C4057" t="s">
        <v>6960</v>
      </c>
      <c r="D4057" t="s">
        <v>16210</v>
      </c>
      <c r="E4057" t="s">
        <v>19915</v>
      </c>
      <c r="F4057" t="s">
        <v>28198</v>
      </c>
      <c r="G4057" t="s">
        <v>28207</v>
      </c>
      <c r="H4057" t="s">
        <v>28215</v>
      </c>
      <c r="I4057" t="s">
        <v>28276</v>
      </c>
      <c r="J4057" t="s">
        <v>28642</v>
      </c>
      <c r="K4057" t="s">
        <v>36689</v>
      </c>
      <c r="M4057" t="s">
        <v>38560</v>
      </c>
      <c r="N4057" t="s">
        <v>40436</v>
      </c>
      <c r="O4057" t="s">
        <v>40437</v>
      </c>
      <c r="P4057">
        <v>0</v>
      </c>
      <c r="Q4057">
        <v>1</v>
      </c>
      <c r="R4057" t="s">
        <v>40439</v>
      </c>
      <c r="S4057" t="s">
        <v>40588</v>
      </c>
      <c r="T4057" t="s">
        <v>42216</v>
      </c>
      <c r="U4057" t="s">
        <v>44167</v>
      </c>
      <c r="W4057" t="s">
        <v>55461</v>
      </c>
      <c r="X4057" t="s">
        <v>40440</v>
      </c>
    </row>
    <row r="4058" spans="1:24">
      <c r="A4058">
        <f>HYPERLINK("https://www.philgeps.gov.ph/GEPSNONPILOT/Tender/SplashBidNoticeAbstractUI.aspx?menuIndex=3&amp;refID=7046291&amp;Result=3","7046291")</f>
        <v>0</v>
      </c>
      <c r="B4058" t="s">
        <v>1395</v>
      </c>
      <c r="C4058" t="s">
        <v>6961</v>
      </c>
      <c r="D4058" t="s">
        <v>16198</v>
      </c>
      <c r="E4058" t="s">
        <v>19341</v>
      </c>
      <c r="F4058" t="s">
        <v>28198</v>
      </c>
      <c r="G4058" t="s">
        <v>28207</v>
      </c>
      <c r="H4058" t="s">
        <v>28215</v>
      </c>
      <c r="I4058" t="s">
        <v>28234</v>
      </c>
      <c r="J4058" t="s">
        <v>30978</v>
      </c>
      <c r="K4058" t="s">
        <v>36706</v>
      </c>
      <c r="M4058" t="s">
        <v>38459</v>
      </c>
      <c r="N4058" t="s">
        <v>40436</v>
      </c>
      <c r="O4058" t="s">
        <v>40437</v>
      </c>
      <c r="P4058">
        <v>0</v>
      </c>
      <c r="Q4058">
        <v>1</v>
      </c>
      <c r="R4058" t="s">
        <v>40439</v>
      </c>
      <c r="S4058" t="s">
        <v>40588</v>
      </c>
      <c r="T4058" t="s">
        <v>42190</v>
      </c>
      <c r="U4058" t="s">
        <v>46095</v>
      </c>
      <c r="W4058" t="s">
        <v>38459</v>
      </c>
      <c r="X4058" t="s">
        <v>40440</v>
      </c>
    </row>
    <row r="4059" spans="1:24">
      <c r="A4059">
        <f>HYPERLINK("https://www.philgeps.gov.ph/GEPSNONPILOT/Tender/SplashBidNoticeAbstractUI.aspx?menuIndex=3&amp;refID=7046288&amp;Result=3","7046288")</f>
        <v>0</v>
      </c>
      <c r="B4059" t="s">
        <v>587</v>
      </c>
      <c r="C4059" t="s">
        <v>6962</v>
      </c>
      <c r="D4059" t="s">
        <v>16230</v>
      </c>
      <c r="E4059" t="s">
        <v>19916</v>
      </c>
      <c r="F4059" t="s">
        <v>28198</v>
      </c>
      <c r="G4059" t="s">
        <v>28205</v>
      </c>
      <c r="H4059" t="s">
        <v>28215</v>
      </c>
      <c r="I4059" t="s">
        <v>28280</v>
      </c>
      <c r="J4059" t="s">
        <v>30979</v>
      </c>
      <c r="K4059" t="s">
        <v>36707</v>
      </c>
      <c r="M4059" t="s">
        <v>37576</v>
      </c>
      <c r="N4059" t="s">
        <v>40436</v>
      </c>
      <c r="O4059" t="s">
        <v>40437</v>
      </c>
      <c r="P4059">
        <v>0</v>
      </c>
      <c r="Q4059">
        <v>1</v>
      </c>
      <c r="R4059" t="s">
        <v>40439</v>
      </c>
      <c r="S4059" t="s">
        <v>40588</v>
      </c>
      <c r="T4059" t="s">
        <v>42229</v>
      </c>
      <c r="U4059" t="s">
        <v>46096</v>
      </c>
      <c r="W4059" t="s">
        <v>37576</v>
      </c>
      <c r="X4059" t="s">
        <v>40440</v>
      </c>
    </row>
    <row r="4060" spans="1:24">
      <c r="A4060">
        <f>HYPERLINK("https://www.philgeps.gov.ph/GEPSNONPILOT/Tender/SplashBidNoticeAbstractUI.aspx?menuIndex=3&amp;refID=7046290&amp;Result=3","7046290")</f>
        <v>0</v>
      </c>
      <c r="B4060" t="s">
        <v>1487</v>
      </c>
      <c r="C4060" t="s">
        <v>6963</v>
      </c>
      <c r="D4060" t="s">
        <v>16200</v>
      </c>
      <c r="E4060" t="s">
        <v>19917</v>
      </c>
      <c r="F4060" t="s">
        <v>28198</v>
      </c>
      <c r="G4060" t="s">
        <v>28207</v>
      </c>
      <c r="H4060" t="s">
        <v>28215</v>
      </c>
      <c r="I4060" t="s">
        <v>4168</v>
      </c>
      <c r="J4060" t="s">
        <v>30980</v>
      </c>
      <c r="K4060" t="s">
        <v>36706</v>
      </c>
      <c r="M4060" t="s">
        <v>38561</v>
      </c>
      <c r="N4060" t="s">
        <v>40436</v>
      </c>
      <c r="O4060" t="s">
        <v>40437</v>
      </c>
      <c r="P4060">
        <v>0</v>
      </c>
      <c r="Q4060">
        <v>0</v>
      </c>
      <c r="R4060" t="s">
        <v>40439</v>
      </c>
      <c r="S4060" t="s">
        <v>40588</v>
      </c>
      <c r="T4060" t="s">
        <v>42190</v>
      </c>
      <c r="U4060" t="s">
        <v>44775</v>
      </c>
      <c r="V4060" t="s">
        <v>54192</v>
      </c>
      <c r="W4060" t="s">
        <v>38561</v>
      </c>
      <c r="X4060" t="s">
        <v>40440</v>
      </c>
    </row>
    <row r="4061" spans="1:24">
      <c r="A4061">
        <f>HYPERLINK("https://www.philgeps.gov.ph/GEPSNONPILOT/Tender/SplashBidNoticeAbstractUI.aspx?menuIndex=3&amp;refID=7046293&amp;Result=3","7046293")</f>
        <v>0</v>
      </c>
      <c r="B4061" t="s">
        <v>1488</v>
      </c>
      <c r="C4061" t="s">
        <v>6964</v>
      </c>
      <c r="D4061" t="s">
        <v>16226</v>
      </c>
      <c r="E4061" t="s">
        <v>19918</v>
      </c>
      <c r="F4061" t="s">
        <v>28198</v>
      </c>
      <c r="G4061" t="s">
        <v>28207</v>
      </c>
      <c r="H4061" t="s">
        <v>28215</v>
      </c>
      <c r="I4061" t="s">
        <v>28265</v>
      </c>
      <c r="J4061" t="s">
        <v>30751</v>
      </c>
      <c r="K4061" t="s">
        <v>36691</v>
      </c>
      <c r="M4061" t="s">
        <v>38562</v>
      </c>
      <c r="N4061" t="s">
        <v>40436</v>
      </c>
      <c r="O4061" t="s">
        <v>40437</v>
      </c>
      <c r="P4061">
        <v>0</v>
      </c>
      <c r="Q4061">
        <v>0</v>
      </c>
      <c r="R4061" t="s">
        <v>40439</v>
      </c>
      <c r="S4061" t="s">
        <v>40588</v>
      </c>
      <c r="T4061" t="s">
        <v>42158</v>
      </c>
      <c r="U4061" t="s">
        <v>46097</v>
      </c>
      <c r="W4061" t="s">
        <v>38562</v>
      </c>
      <c r="X4061" t="s">
        <v>40440</v>
      </c>
    </row>
    <row r="4062" spans="1:24">
      <c r="A4062">
        <f>HYPERLINK("https://www.philgeps.gov.ph/GEPSNONPILOT/Tender/SplashBidNoticeAbstractUI.aspx?menuIndex=3&amp;refID=7046292&amp;Result=3","7046292")</f>
        <v>0</v>
      </c>
      <c r="B4062" t="s">
        <v>1305</v>
      </c>
      <c r="C4062" t="s">
        <v>6104</v>
      </c>
      <c r="D4062" t="s">
        <v>16230</v>
      </c>
      <c r="E4062" t="s">
        <v>19919</v>
      </c>
      <c r="F4062" t="s">
        <v>28198</v>
      </c>
      <c r="G4062" t="s">
        <v>28207</v>
      </c>
      <c r="H4062" t="s">
        <v>28215</v>
      </c>
      <c r="I4062" t="s">
        <v>5082</v>
      </c>
      <c r="J4062" t="s">
        <v>30981</v>
      </c>
      <c r="K4062" t="s">
        <v>36693</v>
      </c>
      <c r="M4062" t="s">
        <v>38359</v>
      </c>
      <c r="N4062" t="s">
        <v>40436</v>
      </c>
      <c r="O4062" t="s">
        <v>40437</v>
      </c>
      <c r="P4062">
        <v>0</v>
      </c>
      <c r="Q4062">
        <v>0</v>
      </c>
      <c r="R4062" t="s">
        <v>40439</v>
      </c>
      <c r="S4062" t="s">
        <v>40588</v>
      </c>
      <c r="T4062" t="s">
        <v>42161</v>
      </c>
      <c r="U4062" t="s">
        <v>46098</v>
      </c>
      <c r="W4062" t="s">
        <v>38359</v>
      </c>
      <c r="X4062" t="s">
        <v>40440</v>
      </c>
    </row>
    <row r="4063" spans="1:24">
      <c r="A4063">
        <f>HYPERLINK("https://www.philgeps.gov.ph/GEPSNONPILOT/Tender/SplashBidNoticeAbstractUI.aspx?menuIndex=3&amp;refID=7046303&amp;Result=3","7046303")</f>
        <v>0</v>
      </c>
      <c r="B4063" t="s">
        <v>670</v>
      </c>
      <c r="C4063" t="s">
        <v>6965</v>
      </c>
      <c r="E4063" t="s">
        <v>19920</v>
      </c>
      <c r="F4063" t="s">
        <v>28198</v>
      </c>
      <c r="G4063" t="s">
        <v>28205</v>
      </c>
      <c r="H4063" t="s">
        <v>28214</v>
      </c>
      <c r="I4063" t="s">
        <v>3797</v>
      </c>
      <c r="J4063" t="s">
        <v>30982</v>
      </c>
      <c r="K4063" t="s">
        <v>36737</v>
      </c>
      <c r="M4063" t="s">
        <v>37666</v>
      </c>
      <c r="N4063" t="s">
        <v>40436</v>
      </c>
      <c r="O4063" t="s">
        <v>40437</v>
      </c>
      <c r="P4063">
        <v>0</v>
      </c>
      <c r="Q4063">
        <v>0</v>
      </c>
      <c r="R4063" t="s">
        <v>40439</v>
      </c>
      <c r="S4063" t="s">
        <v>40588</v>
      </c>
      <c r="T4063" t="s">
        <v>42248</v>
      </c>
      <c r="U4063" t="s">
        <v>46099</v>
      </c>
      <c r="W4063" t="s">
        <v>37666</v>
      </c>
      <c r="X4063" t="s">
        <v>40440</v>
      </c>
    </row>
    <row r="4064" spans="1:24">
      <c r="A4064">
        <f>HYPERLINK("https://www.philgeps.gov.ph/GEPSNONPILOT/Tender/SplashBidNoticeAbstractUI.aspx?menuIndex=3&amp;refID=7046311&amp;Result=3","7046311")</f>
        <v>0</v>
      </c>
      <c r="B4064" t="s">
        <v>643</v>
      </c>
      <c r="C4064" t="s">
        <v>6966</v>
      </c>
      <c r="D4064" t="s">
        <v>16267</v>
      </c>
      <c r="E4064" t="s">
        <v>19921</v>
      </c>
      <c r="F4064" t="s">
        <v>28198</v>
      </c>
      <c r="G4064" t="s">
        <v>28205</v>
      </c>
      <c r="H4064" t="s">
        <v>28214</v>
      </c>
      <c r="I4064" t="s">
        <v>3797</v>
      </c>
      <c r="J4064" t="s">
        <v>30983</v>
      </c>
      <c r="K4064" t="s">
        <v>36734</v>
      </c>
      <c r="M4064" t="s">
        <v>37636</v>
      </c>
      <c r="N4064" t="s">
        <v>40436</v>
      </c>
      <c r="O4064" t="s">
        <v>40437</v>
      </c>
      <c r="P4064">
        <v>0</v>
      </c>
      <c r="Q4064">
        <v>0</v>
      </c>
      <c r="R4064" t="s">
        <v>40439</v>
      </c>
      <c r="S4064" t="s">
        <v>40588</v>
      </c>
      <c r="T4064" t="s">
        <v>42171</v>
      </c>
      <c r="U4064" t="s">
        <v>46100</v>
      </c>
      <c r="W4064" t="s">
        <v>37636</v>
      </c>
      <c r="X4064" t="s">
        <v>40440</v>
      </c>
    </row>
    <row r="4065" spans="1:24">
      <c r="A4065">
        <f>HYPERLINK("https://www.philgeps.gov.ph/GEPSNONPILOT/Tender/SplashBidNoticeAbstractUI.aspx?menuIndex=3&amp;refID=7046289&amp;Result=3","7046289")</f>
        <v>0</v>
      </c>
      <c r="B4065" t="s">
        <v>1489</v>
      </c>
      <c r="C4065" t="s">
        <v>6967</v>
      </c>
      <c r="D4065" t="s">
        <v>16238</v>
      </c>
      <c r="E4065" t="s">
        <v>19922</v>
      </c>
      <c r="F4065" t="s">
        <v>28198</v>
      </c>
      <c r="G4065" t="s">
        <v>28205</v>
      </c>
      <c r="H4065" t="s">
        <v>28214</v>
      </c>
      <c r="I4065" t="s">
        <v>3797</v>
      </c>
      <c r="J4065" t="s">
        <v>28398</v>
      </c>
      <c r="K4065" t="s">
        <v>36694</v>
      </c>
      <c r="L4065" t="s">
        <v>1489</v>
      </c>
      <c r="M4065" t="s">
        <v>38563</v>
      </c>
      <c r="N4065" t="s">
        <v>40436</v>
      </c>
      <c r="O4065" t="s">
        <v>40437</v>
      </c>
      <c r="P4065">
        <v>0</v>
      </c>
      <c r="Q4065">
        <v>0</v>
      </c>
      <c r="R4065" t="s">
        <v>40439</v>
      </c>
      <c r="S4065" t="s">
        <v>40588</v>
      </c>
      <c r="T4065" t="s">
        <v>42112</v>
      </c>
      <c r="U4065" t="s">
        <v>46101</v>
      </c>
      <c r="W4065" t="s">
        <v>38563</v>
      </c>
      <c r="X4065" t="s">
        <v>40440</v>
      </c>
    </row>
    <row r="4066" spans="1:24">
      <c r="A4066">
        <f>HYPERLINK("https://www.philgeps.gov.ph/GEPSNONPILOT/Tender/SplashBidNoticeAbstractUI.aspx?menuIndex=3&amp;refID=7046310&amp;Result=3","7046310")</f>
        <v>0</v>
      </c>
      <c r="B4066" t="s">
        <v>108</v>
      </c>
      <c r="C4066" t="s">
        <v>6968</v>
      </c>
      <c r="D4066" t="s">
        <v>16190</v>
      </c>
      <c r="E4066" t="s">
        <v>17186</v>
      </c>
      <c r="F4066" t="s">
        <v>28198</v>
      </c>
      <c r="G4066" t="s">
        <v>28207</v>
      </c>
      <c r="H4066" t="s">
        <v>28215</v>
      </c>
      <c r="I4066" t="s">
        <v>5071</v>
      </c>
      <c r="J4066" t="s">
        <v>28539</v>
      </c>
      <c r="K4066" t="s">
        <v>36698</v>
      </c>
      <c r="M4066" t="s">
        <v>37388</v>
      </c>
      <c r="N4066" t="s">
        <v>40436</v>
      </c>
      <c r="O4066" t="s">
        <v>40437</v>
      </c>
      <c r="P4066">
        <v>0</v>
      </c>
      <c r="Q4066">
        <v>0</v>
      </c>
      <c r="R4066" t="s">
        <v>40439</v>
      </c>
      <c r="S4066" t="s">
        <v>40588</v>
      </c>
      <c r="T4066" t="s">
        <v>42190</v>
      </c>
      <c r="U4066" t="s">
        <v>46102</v>
      </c>
      <c r="V4066" t="s">
        <v>54149</v>
      </c>
      <c r="W4066" t="s">
        <v>37388</v>
      </c>
      <c r="X4066" t="s">
        <v>40440</v>
      </c>
    </row>
    <row r="4067" spans="1:24">
      <c r="A4067">
        <f>HYPERLINK("https://www.philgeps.gov.ph/GEPSNONPILOT/Tender/SplashBidNoticeAbstractUI.aspx?menuIndex=3&amp;refID=7046294&amp;Result=3","7046294")</f>
        <v>0</v>
      </c>
      <c r="B4067" t="s">
        <v>489</v>
      </c>
      <c r="C4067" t="s">
        <v>6969</v>
      </c>
      <c r="E4067" t="s">
        <v>18647</v>
      </c>
      <c r="F4067" t="s">
        <v>28198</v>
      </c>
      <c r="G4067" t="s">
        <v>28206</v>
      </c>
      <c r="H4067" t="s">
        <v>28215</v>
      </c>
      <c r="I4067" t="s">
        <v>5082</v>
      </c>
      <c r="J4067" t="s">
        <v>30984</v>
      </c>
      <c r="K4067" t="s">
        <v>36689</v>
      </c>
      <c r="M4067" t="s">
        <v>37474</v>
      </c>
      <c r="N4067" t="s">
        <v>40436</v>
      </c>
      <c r="O4067" t="s">
        <v>40437</v>
      </c>
      <c r="P4067">
        <v>0</v>
      </c>
      <c r="Q4067">
        <v>0</v>
      </c>
      <c r="R4067" t="s">
        <v>40439</v>
      </c>
      <c r="S4067" t="s">
        <v>40588</v>
      </c>
      <c r="T4067" t="s">
        <v>42245</v>
      </c>
      <c r="U4067" t="s">
        <v>46103</v>
      </c>
      <c r="W4067" t="s">
        <v>37474</v>
      </c>
      <c r="X4067" t="s">
        <v>40440</v>
      </c>
    </row>
    <row r="4068" spans="1:24">
      <c r="A4068">
        <f>HYPERLINK("https://www.philgeps.gov.ph/GEPSNONPILOT/Tender/SplashBidNoticeAbstractUI.aspx?menuIndex=3&amp;refID=7046307&amp;Result=3","7046307")</f>
        <v>0</v>
      </c>
      <c r="B4068" t="s">
        <v>691</v>
      </c>
      <c r="C4068" t="s">
        <v>6970</v>
      </c>
      <c r="D4068" t="s">
        <v>16254</v>
      </c>
      <c r="E4068" t="s">
        <v>19923</v>
      </c>
      <c r="F4068" t="s">
        <v>28198</v>
      </c>
      <c r="G4068" t="s">
        <v>28207</v>
      </c>
      <c r="H4068" t="s">
        <v>28215</v>
      </c>
      <c r="I4068" t="s">
        <v>28258</v>
      </c>
      <c r="J4068" t="s">
        <v>30985</v>
      </c>
      <c r="K4068" t="s">
        <v>36707</v>
      </c>
      <c r="M4068" t="s">
        <v>37690</v>
      </c>
      <c r="N4068" t="s">
        <v>40436</v>
      </c>
      <c r="O4068" t="s">
        <v>40437</v>
      </c>
      <c r="P4068">
        <v>0</v>
      </c>
      <c r="Q4068">
        <v>6</v>
      </c>
      <c r="R4068" t="s">
        <v>40439</v>
      </c>
      <c r="S4068" t="s">
        <v>40588</v>
      </c>
      <c r="T4068" t="s">
        <v>42158</v>
      </c>
      <c r="U4068" t="s">
        <v>46104</v>
      </c>
      <c r="W4068" t="s">
        <v>37690</v>
      </c>
      <c r="X4068" t="s">
        <v>40440</v>
      </c>
    </row>
    <row r="4069" spans="1:24">
      <c r="A4069">
        <f>HYPERLINK("https://www.philgeps.gov.ph/GEPSNONPILOT/Tender/SplashBidNoticeAbstractUI.aspx?menuIndex=3&amp;refID=7046301&amp;Result=3","7046301")</f>
        <v>0</v>
      </c>
      <c r="B4069" t="s">
        <v>744</v>
      </c>
      <c r="C4069" t="s">
        <v>6971</v>
      </c>
      <c r="D4069" t="s">
        <v>16190</v>
      </c>
      <c r="E4069" t="s">
        <v>19924</v>
      </c>
      <c r="F4069" t="s">
        <v>28198</v>
      </c>
      <c r="G4069" t="s">
        <v>28205</v>
      </c>
      <c r="H4069" t="s">
        <v>28215</v>
      </c>
      <c r="I4069" t="s">
        <v>4168</v>
      </c>
      <c r="J4069" t="s">
        <v>28864</v>
      </c>
      <c r="K4069" t="s">
        <v>36689</v>
      </c>
      <c r="M4069" t="s">
        <v>37747</v>
      </c>
      <c r="N4069" t="s">
        <v>40436</v>
      </c>
      <c r="O4069" t="s">
        <v>40437</v>
      </c>
      <c r="P4069">
        <v>0</v>
      </c>
      <c r="Q4069">
        <v>2</v>
      </c>
      <c r="R4069" t="s">
        <v>40439</v>
      </c>
      <c r="S4069" t="s">
        <v>40588</v>
      </c>
      <c r="T4069" t="s">
        <v>42383</v>
      </c>
      <c r="U4069" t="s">
        <v>46105</v>
      </c>
      <c r="W4069" t="s">
        <v>37747</v>
      </c>
      <c r="X4069" t="s">
        <v>40440</v>
      </c>
    </row>
    <row r="4070" spans="1:24">
      <c r="A4070">
        <f>HYPERLINK("https://www.philgeps.gov.ph/GEPSNONPILOT/Tender/SplashBidNoticeAbstractUI.aspx?menuIndex=3&amp;refID=7046306&amp;Result=3","7046306")</f>
        <v>0</v>
      </c>
      <c r="B4070" t="s">
        <v>335</v>
      </c>
      <c r="C4070" t="s">
        <v>6972</v>
      </c>
      <c r="D4070" t="s">
        <v>16221</v>
      </c>
      <c r="E4070" t="s">
        <v>19925</v>
      </c>
      <c r="F4070" t="s">
        <v>28198</v>
      </c>
      <c r="G4070" t="s">
        <v>28207</v>
      </c>
      <c r="H4070" t="s">
        <v>28215</v>
      </c>
      <c r="I4070" t="s">
        <v>4200</v>
      </c>
      <c r="J4070" t="s">
        <v>30986</v>
      </c>
      <c r="K4070" t="s">
        <v>36697</v>
      </c>
      <c r="M4070" t="s">
        <v>37313</v>
      </c>
      <c r="N4070" t="s">
        <v>40436</v>
      </c>
      <c r="O4070" t="s">
        <v>40437</v>
      </c>
      <c r="P4070">
        <v>0</v>
      </c>
      <c r="Q4070">
        <v>0</v>
      </c>
      <c r="R4070" t="s">
        <v>40439</v>
      </c>
      <c r="S4070" t="s">
        <v>40588</v>
      </c>
      <c r="T4070" t="s">
        <v>42124</v>
      </c>
      <c r="U4070" t="s">
        <v>46106</v>
      </c>
      <c r="W4070" t="s">
        <v>55444</v>
      </c>
      <c r="X4070" t="s">
        <v>40440</v>
      </c>
    </row>
    <row r="4071" spans="1:24">
      <c r="A4071">
        <f>HYPERLINK("https://www.philgeps.gov.ph/GEPSNONPILOT/Tender/SplashBidNoticeAbstractUI.aspx?menuIndex=3&amp;refID=7046309&amp;Result=3","7046309")</f>
        <v>0</v>
      </c>
      <c r="B4071" t="s">
        <v>245</v>
      </c>
      <c r="C4071" t="s">
        <v>6973</v>
      </c>
      <c r="D4071" t="s">
        <v>16210</v>
      </c>
      <c r="E4071" t="s">
        <v>19926</v>
      </c>
      <c r="F4071" t="s">
        <v>28198</v>
      </c>
      <c r="G4071" t="s">
        <v>28207</v>
      </c>
      <c r="H4071" t="s">
        <v>28215</v>
      </c>
      <c r="I4071" t="s">
        <v>28230</v>
      </c>
      <c r="J4071" t="s">
        <v>28414</v>
      </c>
      <c r="K4071" t="s">
        <v>36705</v>
      </c>
      <c r="M4071" t="s">
        <v>37221</v>
      </c>
      <c r="N4071" t="s">
        <v>40436</v>
      </c>
      <c r="O4071" t="s">
        <v>40437</v>
      </c>
      <c r="P4071">
        <v>0</v>
      </c>
      <c r="Q4071">
        <v>3</v>
      </c>
      <c r="R4071" t="s">
        <v>40439</v>
      </c>
      <c r="S4071" t="s">
        <v>40588</v>
      </c>
      <c r="T4071" t="s">
        <v>42158</v>
      </c>
      <c r="U4071" t="s">
        <v>46107</v>
      </c>
      <c r="W4071" t="s">
        <v>37221</v>
      </c>
      <c r="X4071" t="s">
        <v>40440</v>
      </c>
    </row>
    <row r="4072" spans="1:24">
      <c r="A4072">
        <f>HYPERLINK("https://www.philgeps.gov.ph/GEPSNONPILOT/Tender/SplashBidNoticeAbstractUI.aspx?menuIndex=3&amp;refID=7046304&amp;Result=3","7046304")</f>
        <v>0</v>
      </c>
      <c r="B4072" t="s">
        <v>853</v>
      </c>
      <c r="C4072" t="s">
        <v>6974</v>
      </c>
      <c r="D4072" t="s">
        <v>16218</v>
      </c>
      <c r="E4072" t="s">
        <v>18647</v>
      </c>
      <c r="F4072" t="s">
        <v>28198</v>
      </c>
      <c r="G4072" t="s">
        <v>28207</v>
      </c>
      <c r="H4072" t="s">
        <v>28215</v>
      </c>
      <c r="I4072" t="s">
        <v>4200</v>
      </c>
      <c r="J4072" t="s">
        <v>28414</v>
      </c>
      <c r="K4072" t="s">
        <v>36688</v>
      </c>
      <c r="M4072" t="s">
        <v>37864</v>
      </c>
      <c r="N4072" t="s">
        <v>40436</v>
      </c>
      <c r="O4072" t="s">
        <v>40437</v>
      </c>
      <c r="P4072">
        <v>0</v>
      </c>
      <c r="Q4072">
        <v>1</v>
      </c>
      <c r="R4072" t="s">
        <v>40439</v>
      </c>
      <c r="S4072" t="s">
        <v>40588</v>
      </c>
      <c r="T4072" t="s">
        <v>42302</v>
      </c>
      <c r="U4072" t="s">
        <v>46108</v>
      </c>
      <c r="W4072" t="s">
        <v>37864</v>
      </c>
      <c r="X4072" t="s">
        <v>40440</v>
      </c>
    </row>
    <row r="4073" spans="1:24">
      <c r="A4073">
        <f>HYPERLINK("https://www.philgeps.gov.ph/GEPSNONPILOT/Tender/SplashBidNoticeAbstractUI.aspx?menuIndex=3&amp;refID=7046298&amp;Result=3","7046298")</f>
        <v>0</v>
      </c>
      <c r="B4073" t="s">
        <v>386</v>
      </c>
      <c r="C4073" t="s">
        <v>6177</v>
      </c>
      <c r="D4073" t="s">
        <v>16259</v>
      </c>
      <c r="E4073" t="s">
        <v>19927</v>
      </c>
      <c r="F4073" t="s">
        <v>28198</v>
      </c>
      <c r="G4073" t="s">
        <v>28207</v>
      </c>
      <c r="H4073" t="s">
        <v>28215</v>
      </c>
      <c r="I4073" t="s">
        <v>28228</v>
      </c>
      <c r="J4073" t="s">
        <v>28350</v>
      </c>
      <c r="K4073" t="s">
        <v>36697</v>
      </c>
      <c r="M4073" t="s">
        <v>37366</v>
      </c>
      <c r="N4073" t="s">
        <v>40436</v>
      </c>
      <c r="O4073" t="s">
        <v>40437</v>
      </c>
      <c r="P4073">
        <v>0</v>
      </c>
      <c r="Q4073">
        <v>0</v>
      </c>
      <c r="R4073" t="s">
        <v>40439</v>
      </c>
      <c r="S4073" t="s">
        <v>40588</v>
      </c>
      <c r="T4073" t="s">
        <v>42133</v>
      </c>
      <c r="U4073" t="s">
        <v>43270</v>
      </c>
      <c r="V4073" t="s">
        <v>53872</v>
      </c>
      <c r="W4073" t="s">
        <v>37366</v>
      </c>
      <c r="X4073" t="s">
        <v>40440</v>
      </c>
    </row>
    <row r="4074" spans="1:24">
      <c r="A4074">
        <f>HYPERLINK("https://www.philgeps.gov.ph/GEPSNONPILOT/Tender/SplashBidNoticeAbstractUI.aspx?menuIndex=3&amp;refID=7046315&amp;Result=3","7046315")</f>
        <v>0</v>
      </c>
      <c r="B4074" t="s">
        <v>1490</v>
      </c>
      <c r="C4074" t="s">
        <v>6975</v>
      </c>
      <c r="D4074" t="s">
        <v>16221</v>
      </c>
      <c r="E4074" t="s">
        <v>19928</v>
      </c>
      <c r="F4074" t="s">
        <v>28198</v>
      </c>
      <c r="G4074" t="s">
        <v>28207</v>
      </c>
      <c r="H4074" t="s">
        <v>28214</v>
      </c>
      <c r="I4074" t="s">
        <v>3797</v>
      </c>
      <c r="J4074" t="s">
        <v>30987</v>
      </c>
      <c r="K4074" t="s">
        <v>36689</v>
      </c>
      <c r="M4074" t="s">
        <v>38564</v>
      </c>
      <c r="N4074" t="s">
        <v>40436</v>
      </c>
      <c r="O4074" t="s">
        <v>40437</v>
      </c>
      <c r="P4074">
        <v>0</v>
      </c>
      <c r="Q4074">
        <v>0</v>
      </c>
      <c r="R4074" t="s">
        <v>40439</v>
      </c>
      <c r="S4074" t="s">
        <v>40588</v>
      </c>
      <c r="T4074" t="s">
        <v>42262</v>
      </c>
      <c r="U4074" t="s">
        <v>46109</v>
      </c>
      <c r="W4074" t="s">
        <v>38564</v>
      </c>
      <c r="X4074" t="s">
        <v>40440</v>
      </c>
    </row>
    <row r="4075" spans="1:24">
      <c r="A4075">
        <f>HYPERLINK("https://www.philgeps.gov.ph/GEPSNONPILOT/Tender/SplashBidNoticeAbstractUI.aspx?menuIndex=3&amp;refID=7046305&amp;Result=3","7046305")</f>
        <v>0</v>
      </c>
      <c r="B4075" t="s">
        <v>1259</v>
      </c>
      <c r="C4075" t="s">
        <v>6976</v>
      </c>
      <c r="D4075" t="s">
        <v>16219</v>
      </c>
      <c r="E4075" t="s">
        <v>19929</v>
      </c>
      <c r="F4075" t="s">
        <v>28198</v>
      </c>
      <c r="G4075" t="s">
        <v>28207</v>
      </c>
      <c r="H4075" t="s">
        <v>28215</v>
      </c>
      <c r="I4075" t="s">
        <v>4168</v>
      </c>
      <c r="J4075" t="s">
        <v>28430</v>
      </c>
      <c r="K4075" t="s">
        <v>36689</v>
      </c>
      <c r="M4075" t="s">
        <v>38309</v>
      </c>
      <c r="N4075" t="s">
        <v>40436</v>
      </c>
      <c r="O4075" t="s">
        <v>40437</v>
      </c>
      <c r="P4075">
        <v>0</v>
      </c>
      <c r="Q4075">
        <v>0</v>
      </c>
      <c r="R4075" t="s">
        <v>40439</v>
      </c>
      <c r="S4075" t="s">
        <v>40588</v>
      </c>
      <c r="T4075" t="s">
        <v>42320</v>
      </c>
      <c r="U4075" t="s">
        <v>46087</v>
      </c>
      <c r="W4075" t="s">
        <v>38309</v>
      </c>
      <c r="X4075" t="s">
        <v>40440</v>
      </c>
    </row>
    <row r="4076" spans="1:24">
      <c r="A4076">
        <f>HYPERLINK("https://www.philgeps.gov.ph/GEPSNONPILOT/Tender/SplashBidNoticeAbstractUI.aspx?menuIndex=3&amp;refID=7046296&amp;Result=3","7046296")</f>
        <v>0</v>
      </c>
      <c r="B4076" t="s">
        <v>587</v>
      </c>
      <c r="C4076" t="s">
        <v>6977</v>
      </c>
      <c r="D4076" t="s">
        <v>16230</v>
      </c>
      <c r="E4076" t="s">
        <v>19930</v>
      </c>
      <c r="F4076" t="s">
        <v>28198</v>
      </c>
      <c r="G4076" t="s">
        <v>28207</v>
      </c>
      <c r="H4076" t="s">
        <v>28215</v>
      </c>
      <c r="I4076" t="s">
        <v>4200</v>
      </c>
      <c r="J4076" t="s">
        <v>30988</v>
      </c>
      <c r="K4076" t="s">
        <v>36707</v>
      </c>
      <c r="M4076" t="s">
        <v>38565</v>
      </c>
      <c r="N4076" t="s">
        <v>40436</v>
      </c>
      <c r="O4076" t="s">
        <v>40437</v>
      </c>
      <c r="P4076">
        <v>0</v>
      </c>
      <c r="Q4076">
        <v>0</v>
      </c>
      <c r="R4076" t="s">
        <v>40439</v>
      </c>
      <c r="S4076" t="s">
        <v>40588</v>
      </c>
      <c r="T4076" t="s">
        <v>42218</v>
      </c>
      <c r="U4076" t="s">
        <v>46110</v>
      </c>
      <c r="W4076" t="s">
        <v>38565</v>
      </c>
      <c r="X4076" t="s">
        <v>40440</v>
      </c>
    </row>
    <row r="4077" spans="1:24">
      <c r="A4077">
        <f>HYPERLINK("https://www.philgeps.gov.ph/GEPSNONPILOT/Tender/SplashBidNoticeAbstractUI.aspx?menuIndex=3&amp;refID=7046319&amp;Result=3","7046319")</f>
        <v>0</v>
      </c>
      <c r="B4077" t="s">
        <v>1491</v>
      </c>
      <c r="C4077" t="s">
        <v>6978</v>
      </c>
      <c r="D4077" t="s">
        <v>16233</v>
      </c>
      <c r="E4077" t="s">
        <v>19441</v>
      </c>
      <c r="F4077" t="s">
        <v>28198</v>
      </c>
      <c r="G4077" t="s">
        <v>28205</v>
      </c>
      <c r="H4077" t="s">
        <v>28217</v>
      </c>
      <c r="I4077" t="s">
        <v>5100</v>
      </c>
      <c r="J4077" t="s">
        <v>28361</v>
      </c>
      <c r="K4077" t="s">
        <v>36701</v>
      </c>
      <c r="M4077" t="s">
        <v>38566</v>
      </c>
      <c r="N4077" t="s">
        <v>40436</v>
      </c>
      <c r="O4077" t="s">
        <v>40437</v>
      </c>
      <c r="P4077">
        <v>0</v>
      </c>
      <c r="Q4077">
        <v>0</v>
      </c>
      <c r="R4077" t="s">
        <v>40439</v>
      </c>
      <c r="S4077" t="s">
        <v>40588</v>
      </c>
      <c r="T4077" t="s">
        <v>42121</v>
      </c>
      <c r="U4077" t="s">
        <v>46111</v>
      </c>
      <c r="W4077" t="s">
        <v>38566</v>
      </c>
      <c r="X4077" t="s">
        <v>40440</v>
      </c>
    </row>
    <row r="4078" spans="1:24">
      <c r="A4078">
        <f>HYPERLINK("https://www.philgeps.gov.ph/GEPSNONPILOT/Tender/SplashBidNoticeAbstractUI.aspx?menuIndex=3&amp;refID=7046316&amp;Result=3","7046316")</f>
        <v>0</v>
      </c>
      <c r="B4078" t="s">
        <v>501</v>
      </c>
      <c r="C4078" t="s">
        <v>6979</v>
      </c>
      <c r="D4078" t="s">
        <v>16210</v>
      </c>
      <c r="E4078" t="s">
        <v>19931</v>
      </c>
      <c r="F4078" t="s">
        <v>28198</v>
      </c>
      <c r="G4078" t="s">
        <v>28207</v>
      </c>
      <c r="H4078" t="s">
        <v>28215</v>
      </c>
      <c r="I4078" t="s">
        <v>28238</v>
      </c>
      <c r="J4078" t="s">
        <v>30989</v>
      </c>
      <c r="K4078" t="s">
        <v>36688</v>
      </c>
      <c r="M4078" t="s">
        <v>38072</v>
      </c>
      <c r="N4078" t="s">
        <v>40436</v>
      </c>
      <c r="O4078" t="s">
        <v>40437</v>
      </c>
      <c r="P4078">
        <v>0</v>
      </c>
      <c r="Q4078">
        <v>1</v>
      </c>
      <c r="R4078" t="s">
        <v>40439</v>
      </c>
      <c r="S4078" t="s">
        <v>40588</v>
      </c>
      <c r="T4078" t="s">
        <v>42188</v>
      </c>
      <c r="U4078" t="s">
        <v>46112</v>
      </c>
      <c r="W4078" t="s">
        <v>38072</v>
      </c>
      <c r="X4078" t="s">
        <v>40440</v>
      </c>
    </row>
    <row r="4079" spans="1:24">
      <c r="A4079">
        <f>HYPERLINK("https://www.philgeps.gov.ph/GEPSNONPILOT/Tender/SplashBidNoticeAbstractUI.aspx?menuIndex=3&amp;refID=7046312&amp;Result=3","7046312")</f>
        <v>0</v>
      </c>
      <c r="B4079" t="s">
        <v>1480</v>
      </c>
      <c r="C4079" t="s">
        <v>6980</v>
      </c>
      <c r="D4079" t="s">
        <v>16193</v>
      </c>
      <c r="E4079" t="s">
        <v>19932</v>
      </c>
      <c r="F4079" t="s">
        <v>28198</v>
      </c>
      <c r="G4079" t="s">
        <v>28205</v>
      </c>
      <c r="H4079" t="s">
        <v>28215</v>
      </c>
      <c r="I4079" t="s">
        <v>28227</v>
      </c>
      <c r="J4079" t="s">
        <v>30990</v>
      </c>
      <c r="K4079" t="s">
        <v>36689</v>
      </c>
      <c r="M4079" t="s">
        <v>38551</v>
      </c>
      <c r="N4079" t="s">
        <v>40436</v>
      </c>
      <c r="O4079" t="s">
        <v>40437</v>
      </c>
      <c r="P4079">
        <v>0</v>
      </c>
      <c r="Q4079">
        <v>2</v>
      </c>
      <c r="R4079" t="s">
        <v>40439</v>
      </c>
      <c r="S4079" t="s">
        <v>40588</v>
      </c>
      <c r="T4079" t="s">
        <v>42144</v>
      </c>
      <c r="U4079" t="s">
        <v>46071</v>
      </c>
      <c r="V4079" t="s">
        <v>54189</v>
      </c>
      <c r="W4079" t="s">
        <v>38551</v>
      </c>
      <c r="X4079" t="s">
        <v>40440</v>
      </c>
    </row>
    <row r="4080" spans="1:24">
      <c r="A4080">
        <f>HYPERLINK("https://www.philgeps.gov.ph/GEPSNONPILOT/Tender/SplashBidNoticeAbstractUI.aspx?menuIndex=3&amp;refID=7046299&amp;Result=3","7046299")</f>
        <v>0</v>
      </c>
      <c r="B4080" t="s">
        <v>1458</v>
      </c>
      <c r="C4080" t="s">
        <v>6981</v>
      </c>
      <c r="D4080" t="s">
        <v>16192</v>
      </c>
      <c r="E4080" t="s">
        <v>19933</v>
      </c>
      <c r="F4080" t="s">
        <v>28198</v>
      </c>
      <c r="G4080" t="s">
        <v>28205</v>
      </c>
      <c r="H4080" t="s">
        <v>28214</v>
      </c>
      <c r="I4080" t="s">
        <v>28245</v>
      </c>
      <c r="J4080" t="s">
        <v>30991</v>
      </c>
      <c r="K4080" t="s">
        <v>36809</v>
      </c>
      <c r="M4080" t="s">
        <v>38525</v>
      </c>
      <c r="N4080" t="s">
        <v>40436</v>
      </c>
      <c r="O4080" t="s">
        <v>40437</v>
      </c>
      <c r="P4080">
        <v>0</v>
      </c>
      <c r="Q4080">
        <v>3</v>
      </c>
      <c r="R4080" t="s">
        <v>40439</v>
      </c>
      <c r="S4080" t="s">
        <v>40588</v>
      </c>
      <c r="T4080" t="s">
        <v>42384</v>
      </c>
      <c r="U4080" t="s">
        <v>46113</v>
      </c>
      <c r="V4080" t="s">
        <v>54193</v>
      </c>
      <c r="W4080" t="s">
        <v>38525</v>
      </c>
      <c r="X4080" t="s">
        <v>40440</v>
      </c>
    </row>
    <row r="4081" spans="1:24">
      <c r="A4081">
        <f>HYPERLINK("https://www.philgeps.gov.ph/GEPSNONPILOT/Tender/SplashBidNoticeAbstractUI.aspx?menuIndex=3&amp;refID=7046317&amp;Result=3","7046317")</f>
        <v>0</v>
      </c>
      <c r="B4081" t="s">
        <v>1106</v>
      </c>
      <c r="C4081" t="s">
        <v>6982</v>
      </c>
      <c r="D4081" t="s">
        <v>16210</v>
      </c>
      <c r="E4081" t="s">
        <v>19934</v>
      </c>
      <c r="F4081" t="s">
        <v>28198</v>
      </c>
      <c r="G4081" t="s">
        <v>28207</v>
      </c>
      <c r="H4081" t="s">
        <v>28215</v>
      </c>
      <c r="I4081" t="s">
        <v>28234</v>
      </c>
      <c r="J4081" t="s">
        <v>30992</v>
      </c>
      <c r="K4081" t="s">
        <v>36689</v>
      </c>
      <c r="M4081" t="s">
        <v>38142</v>
      </c>
      <c r="N4081" t="s">
        <v>40436</v>
      </c>
      <c r="O4081" t="s">
        <v>40437</v>
      </c>
      <c r="P4081">
        <v>0</v>
      </c>
      <c r="Q4081">
        <v>19</v>
      </c>
      <c r="R4081" t="s">
        <v>40439</v>
      </c>
      <c r="S4081" t="s">
        <v>40588</v>
      </c>
      <c r="T4081" t="s">
        <v>42156</v>
      </c>
      <c r="U4081" t="s">
        <v>46114</v>
      </c>
      <c r="W4081" t="s">
        <v>38142</v>
      </c>
      <c r="X4081" t="s">
        <v>40440</v>
      </c>
    </row>
    <row r="4082" spans="1:24">
      <c r="A4082">
        <f>HYPERLINK("https://www.philgeps.gov.ph/GEPSNONPILOT/Tender/SplashBidNoticeAbstractUI.aspx?menuIndex=3&amp;refID=7046321&amp;Result=3","7046321")</f>
        <v>0</v>
      </c>
      <c r="B4082" t="s">
        <v>1488</v>
      </c>
      <c r="C4082" t="s">
        <v>6983</v>
      </c>
      <c r="D4082" t="s">
        <v>16226</v>
      </c>
      <c r="E4082" t="s">
        <v>19935</v>
      </c>
      <c r="F4082" t="s">
        <v>28198</v>
      </c>
      <c r="G4082" t="s">
        <v>28207</v>
      </c>
      <c r="H4082" t="s">
        <v>28215</v>
      </c>
      <c r="I4082" t="s">
        <v>5082</v>
      </c>
      <c r="J4082" t="s">
        <v>30993</v>
      </c>
      <c r="K4082" t="s">
        <v>36691</v>
      </c>
      <c r="M4082" t="s">
        <v>38562</v>
      </c>
      <c r="N4082" t="s">
        <v>40436</v>
      </c>
      <c r="O4082" t="s">
        <v>40437</v>
      </c>
      <c r="P4082">
        <v>0</v>
      </c>
      <c r="Q4082">
        <v>1</v>
      </c>
      <c r="R4082" t="s">
        <v>40439</v>
      </c>
      <c r="S4082" t="s">
        <v>40588</v>
      </c>
      <c r="T4082" t="s">
        <v>42158</v>
      </c>
      <c r="U4082" t="s">
        <v>46115</v>
      </c>
      <c r="W4082" t="s">
        <v>38562</v>
      </c>
      <c r="X4082" t="s">
        <v>40440</v>
      </c>
    </row>
    <row r="4083" spans="1:24">
      <c r="A4083">
        <f>HYPERLINK("https://www.philgeps.gov.ph/GEPSNONPILOT/Tender/SplashBidNoticeAbstractUI.aspx?menuIndex=3&amp;refID=7046335&amp;Result=3","7046335")</f>
        <v>0</v>
      </c>
      <c r="B4083" t="s">
        <v>1477</v>
      </c>
      <c r="C4083" t="s">
        <v>6984</v>
      </c>
      <c r="D4083" t="s">
        <v>16197</v>
      </c>
      <c r="E4083" t="s">
        <v>19936</v>
      </c>
      <c r="F4083" t="s">
        <v>28198</v>
      </c>
      <c r="G4083" t="s">
        <v>28210</v>
      </c>
      <c r="H4083" t="s">
        <v>28215</v>
      </c>
      <c r="I4083" t="s">
        <v>3774</v>
      </c>
      <c r="J4083" t="s">
        <v>30994</v>
      </c>
      <c r="K4083" t="s">
        <v>36701</v>
      </c>
      <c r="M4083" t="s">
        <v>38548</v>
      </c>
      <c r="N4083" t="s">
        <v>40436</v>
      </c>
      <c r="O4083" t="s">
        <v>40437</v>
      </c>
      <c r="P4083">
        <v>0</v>
      </c>
      <c r="Q4083">
        <v>0</v>
      </c>
      <c r="R4083" t="s">
        <v>40439</v>
      </c>
      <c r="S4083" t="s">
        <v>40588</v>
      </c>
      <c r="T4083" t="s">
        <v>42103</v>
      </c>
      <c r="U4083" t="s">
        <v>46063</v>
      </c>
      <c r="W4083" t="s">
        <v>38548</v>
      </c>
      <c r="X4083" t="s">
        <v>40440</v>
      </c>
    </row>
    <row r="4084" spans="1:24">
      <c r="A4084">
        <f>HYPERLINK("https://www.philgeps.gov.ph/GEPSNONPILOT/Tender/SplashBidNoticeAbstractUI.aspx?menuIndex=3&amp;refID=7046333&amp;Result=3","7046333")</f>
        <v>0</v>
      </c>
      <c r="B4084" t="s">
        <v>744</v>
      </c>
      <c r="C4084" t="s">
        <v>6985</v>
      </c>
      <c r="D4084" t="s">
        <v>16190</v>
      </c>
      <c r="E4084" t="s">
        <v>19937</v>
      </c>
      <c r="F4084" t="s">
        <v>28198</v>
      </c>
      <c r="G4084" t="s">
        <v>28205</v>
      </c>
      <c r="H4084" t="s">
        <v>28215</v>
      </c>
      <c r="I4084" t="s">
        <v>5100</v>
      </c>
      <c r="J4084" t="s">
        <v>30995</v>
      </c>
      <c r="K4084" t="s">
        <v>36689</v>
      </c>
      <c r="M4084" t="s">
        <v>37747</v>
      </c>
      <c r="N4084" t="s">
        <v>40436</v>
      </c>
      <c r="O4084" t="s">
        <v>40437</v>
      </c>
      <c r="P4084">
        <v>0</v>
      </c>
      <c r="Q4084">
        <v>0</v>
      </c>
      <c r="R4084" t="s">
        <v>40439</v>
      </c>
      <c r="S4084" t="s">
        <v>40588</v>
      </c>
      <c r="T4084" t="s">
        <v>42383</v>
      </c>
      <c r="U4084" t="s">
        <v>46116</v>
      </c>
      <c r="W4084" t="s">
        <v>37747</v>
      </c>
      <c r="X4084" t="s">
        <v>40440</v>
      </c>
    </row>
    <row r="4085" spans="1:24">
      <c r="A4085">
        <f>HYPERLINK("https://www.philgeps.gov.ph/GEPSNONPILOT/Tender/SplashBidNoticeAbstractUI.aspx?menuIndex=3&amp;refID=7046330&amp;Result=3","7046330")</f>
        <v>0</v>
      </c>
      <c r="B4085" t="s">
        <v>1487</v>
      </c>
      <c r="C4085" t="s">
        <v>6986</v>
      </c>
      <c r="D4085" t="s">
        <v>16200</v>
      </c>
      <c r="E4085" t="s">
        <v>19938</v>
      </c>
      <c r="F4085" t="s">
        <v>28198</v>
      </c>
      <c r="G4085" t="s">
        <v>28207</v>
      </c>
      <c r="H4085" t="s">
        <v>28215</v>
      </c>
      <c r="I4085" t="s">
        <v>3774</v>
      </c>
      <c r="J4085" t="s">
        <v>30996</v>
      </c>
      <c r="K4085" t="s">
        <v>36706</v>
      </c>
      <c r="M4085" t="s">
        <v>38561</v>
      </c>
      <c r="N4085" t="s">
        <v>40436</v>
      </c>
      <c r="O4085" t="s">
        <v>40437</v>
      </c>
      <c r="P4085">
        <v>0</v>
      </c>
      <c r="Q4085">
        <v>0</v>
      </c>
      <c r="R4085" t="s">
        <v>40439</v>
      </c>
      <c r="S4085" t="s">
        <v>40588</v>
      </c>
      <c r="T4085" t="s">
        <v>42190</v>
      </c>
      <c r="U4085" t="s">
        <v>46117</v>
      </c>
      <c r="V4085" t="s">
        <v>54192</v>
      </c>
      <c r="W4085" t="s">
        <v>38561</v>
      </c>
      <c r="X4085" t="s">
        <v>40440</v>
      </c>
    </row>
    <row r="4086" spans="1:24">
      <c r="A4086">
        <f>HYPERLINK("https://www.philgeps.gov.ph/GEPSNONPILOT/Tender/SplashBidNoticeAbstractUI.aspx?menuIndex=3&amp;refID=7046341&amp;Result=3","7046341")</f>
        <v>0</v>
      </c>
      <c r="B4086" t="s">
        <v>1201</v>
      </c>
      <c r="C4086" t="s">
        <v>6987</v>
      </c>
      <c r="E4086" t="s">
        <v>19939</v>
      </c>
      <c r="F4086" t="s">
        <v>28198</v>
      </c>
      <c r="G4086" t="s">
        <v>28207</v>
      </c>
      <c r="H4086" t="s">
        <v>28215</v>
      </c>
      <c r="I4086" t="s">
        <v>28280</v>
      </c>
      <c r="J4086" t="s">
        <v>30997</v>
      </c>
      <c r="K4086" t="s">
        <v>36689</v>
      </c>
      <c r="M4086" t="s">
        <v>38246</v>
      </c>
      <c r="N4086" t="s">
        <v>40436</v>
      </c>
      <c r="O4086" t="s">
        <v>40437</v>
      </c>
      <c r="P4086">
        <v>0</v>
      </c>
      <c r="Q4086">
        <v>0</v>
      </c>
      <c r="R4086" t="s">
        <v>40439</v>
      </c>
      <c r="S4086" t="s">
        <v>40588</v>
      </c>
      <c r="T4086" t="s">
        <v>42318</v>
      </c>
      <c r="U4086" t="s">
        <v>46118</v>
      </c>
      <c r="W4086" t="s">
        <v>38246</v>
      </c>
      <c r="X4086" t="s">
        <v>40440</v>
      </c>
    </row>
    <row r="4087" spans="1:24">
      <c r="A4087">
        <f>HYPERLINK("https://www.philgeps.gov.ph/GEPSNONPILOT/Tender/SplashBidNoticeAbstractUI.aspx?menuIndex=3&amp;refID=7046328&amp;Result=3","7046328")</f>
        <v>0</v>
      </c>
      <c r="B4087" t="s">
        <v>834</v>
      </c>
      <c r="C4087" t="s">
        <v>6988</v>
      </c>
      <c r="D4087" t="s">
        <v>16190</v>
      </c>
      <c r="E4087" t="s">
        <v>19940</v>
      </c>
      <c r="F4087" t="s">
        <v>28198</v>
      </c>
      <c r="G4087" t="s">
        <v>28207</v>
      </c>
      <c r="H4087" t="s">
        <v>28215</v>
      </c>
      <c r="I4087" t="s">
        <v>3774</v>
      </c>
      <c r="J4087" t="s">
        <v>30998</v>
      </c>
      <c r="K4087" t="s">
        <v>36706</v>
      </c>
      <c r="M4087" t="s">
        <v>37846</v>
      </c>
      <c r="N4087" t="s">
        <v>40436</v>
      </c>
      <c r="O4087" t="s">
        <v>40437</v>
      </c>
      <c r="P4087">
        <v>0</v>
      </c>
      <c r="Q4087">
        <v>1</v>
      </c>
      <c r="R4087" t="s">
        <v>40439</v>
      </c>
      <c r="S4087" t="s">
        <v>40588</v>
      </c>
      <c r="T4087" t="s">
        <v>42131</v>
      </c>
      <c r="U4087" t="s">
        <v>46119</v>
      </c>
      <c r="W4087" t="s">
        <v>37846</v>
      </c>
      <c r="X4087" t="s">
        <v>40440</v>
      </c>
    </row>
    <row r="4088" spans="1:24">
      <c r="A4088">
        <f>HYPERLINK("https://www.philgeps.gov.ph/GEPSNONPILOT/Tender/SplashBidNoticeAbstractUI.aspx?menuIndex=3&amp;refID=7046325&amp;Result=3","7046325")</f>
        <v>0</v>
      </c>
      <c r="B4088" t="s">
        <v>1492</v>
      </c>
      <c r="C4088" t="s">
        <v>6989</v>
      </c>
      <c r="D4088" t="s">
        <v>16196</v>
      </c>
      <c r="E4088" t="s">
        <v>19941</v>
      </c>
      <c r="F4088" t="s">
        <v>28198</v>
      </c>
      <c r="G4088" t="s">
        <v>28207</v>
      </c>
      <c r="H4088" t="s">
        <v>28215</v>
      </c>
      <c r="I4088" t="s">
        <v>28266</v>
      </c>
      <c r="J4088" t="s">
        <v>28652</v>
      </c>
      <c r="K4088" t="s">
        <v>36707</v>
      </c>
      <c r="M4088" t="s">
        <v>38567</v>
      </c>
      <c r="N4088" t="s">
        <v>40436</v>
      </c>
      <c r="O4088" t="s">
        <v>40437</v>
      </c>
      <c r="P4088">
        <v>0</v>
      </c>
      <c r="Q4088">
        <v>4</v>
      </c>
      <c r="R4088" t="s">
        <v>40439</v>
      </c>
      <c r="S4088" t="s">
        <v>40588</v>
      </c>
      <c r="T4088" t="s">
        <v>42169</v>
      </c>
      <c r="U4088" t="s">
        <v>46120</v>
      </c>
      <c r="W4088" t="s">
        <v>38567</v>
      </c>
      <c r="X4088" t="s">
        <v>40440</v>
      </c>
    </row>
    <row r="4089" spans="1:24">
      <c r="A4089">
        <f>HYPERLINK("https://www.philgeps.gov.ph/GEPSNONPILOT/Tender/SplashBidNoticeAbstractUI.aspx?menuIndex=3&amp;refID=7046331&amp;Result=3","7046331")</f>
        <v>0</v>
      </c>
      <c r="B4089" t="s">
        <v>1259</v>
      </c>
      <c r="C4089" t="s">
        <v>6990</v>
      </c>
      <c r="D4089" t="s">
        <v>16219</v>
      </c>
      <c r="E4089" t="s">
        <v>19942</v>
      </c>
      <c r="F4089" t="s">
        <v>28198</v>
      </c>
      <c r="G4089" t="s">
        <v>28207</v>
      </c>
      <c r="H4089" t="s">
        <v>28215</v>
      </c>
      <c r="I4089" t="s">
        <v>28222</v>
      </c>
      <c r="J4089" t="s">
        <v>28373</v>
      </c>
      <c r="K4089" t="s">
        <v>36689</v>
      </c>
      <c r="M4089" t="s">
        <v>38309</v>
      </c>
      <c r="N4089" t="s">
        <v>40436</v>
      </c>
      <c r="O4089" t="s">
        <v>40437</v>
      </c>
      <c r="P4089">
        <v>0</v>
      </c>
      <c r="Q4089">
        <v>0</v>
      </c>
      <c r="R4089" t="s">
        <v>40439</v>
      </c>
      <c r="S4089" t="s">
        <v>40588</v>
      </c>
      <c r="T4089" t="s">
        <v>42320</v>
      </c>
      <c r="U4089" t="s">
        <v>46087</v>
      </c>
      <c r="W4089" t="s">
        <v>38309</v>
      </c>
      <c r="X4089" t="s">
        <v>40440</v>
      </c>
    </row>
    <row r="4090" spans="1:24">
      <c r="A4090">
        <f>HYPERLINK("https://www.philgeps.gov.ph/GEPSNONPILOT/Tender/SplashBidNoticeAbstractUI.aspx?menuIndex=3&amp;refID=7046339&amp;Result=3","7046339")</f>
        <v>0</v>
      </c>
      <c r="B4090" t="s">
        <v>832</v>
      </c>
      <c r="C4090" t="s">
        <v>6991</v>
      </c>
      <c r="D4090" t="s">
        <v>16187</v>
      </c>
      <c r="E4090" t="s">
        <v>19943</v>
      </c>
      <c r="F4090" t="s">
        <v>28198</v>
      </c>
      <c r="G4090" t="s">
        <v>28207</v>
      </c>
      <c r="H4090" t="s">
        <v>28215</v>
      </c>
      <c r="I4090" t="s">
        <v>28251</v>
      </c>
      <c r="J4090" t="s">
        <v>30999</v>
      </c>
      <c r="K4090" t="s">
        <v>36723</v>
      </c>
      <c r="M4090" t="s">
        <v>37844</v>
      </c>
      <c r="N4090" t="s">
        <v>40436</v>
      </c>
      <c r="O4090" t="s">
        <v>40437</v>
      </c>
      <c r="P4090">
        <v>0</v>
      </c>
      <c r="Q4090">
        <v>0</v>
      </c>
      <c r="R4090" t="s">
        <v>40439</v>
      </c>
      <c r="S4090" t="s">
        <v>40588</v>
      </c>
      <c r="T4090" t="s">
        <v>42158</v>
      </c>
      <c r="U4090" t="s">
        <v>46121</v>
      </c>
      <c r="W4090" t="s">
        <v>37844</v>
      </c>
      <c r="X4090" t="s">
        <v>40440</v>
      </c>
    </row>
    <row r="4091" spans="1:24">
      <c r="A4091">
        <f>HYPERLINK("https://www.philgeps.gov.ph/GEPSNONPILOT/Tender/SplashBidNoticeAbstractUI.aspx?menuIndex=3&amp;refID=7046324&amp;Result=3","7046324")</f>
        <v>0</v>
      </c>
      <c r="B4091" t="s">
        <v>1493</v>
      </c>
      <c r="C4091" t="s">
        <v>6992</v>
      </c>
      <c r="D4091" t="s">
        <v>16190</v>
      </c>
      <c r="E4091" t="s">
        <v>16322</v>
      </c>
      <c r="F4091" t="s">
        <v>28198</v>
      </c>
      <c r="G4091" t="s">
        <v>28207</v>
      </c>
      <c r="H4091" t="s">
        <v>28215</v>
      </c>
      <c r="I4091" t="s">
        <v>5656</v>
      </c>
      <c r="J4091" t="s">
        <v>31000</v>
      </c>
      <c r="K4091" t="s">
        <v>36691</v>
      </c>
      <c r="L4091" t="s">
        <v>1493</v>
      </c>
      <c r="M4091" t="s">
        <v>38568</v>
      </c>
      <c r="N4091" t="s">
        <v>40436</v>
      </c>
      <c r="O4091" t="s">
        <v>40437</v>
      </c>
      <c r="P4091">
        <v>0</v>
      </c>
      <c r="Q4091">
        <v>0</v>
      </c>
      <c r="R4091" t="s">
        <v>40439</v>
      </c>
      <c r="S4091" t="s">
        <v>40588</v>
      </c>
      <c r="T4091" t="s">
        <v>42216</v>
      </c>
      <c r="U4091" t="s">
        <v>46122</v>
      </c>
      <c r="V4091" t="s">
        <v>54194</v>
      </c>
      <c r="W4091" t="s">
        <v>38568</v>
      </c>
      <c r="X4091" t="s">
        <v>40440</v>
      </c>
    </row>
    <row r="4092" spans="1:24">
      <c r="A4092">
        <f>HYPERLINK("https://www.philgeps.gov.ph/GEPSNONPILOT/Tender/SplashBidNoticeAbstractUI.aspx?menuIndex=3&amp;refID=7046326&amp;Result=3","7046326")</f>
        <v>0</v>
      </c>
      <c r="B4092" t="s">
        <v>1365</v>
      </c>
      <c r="C4092" t="s">
        <v>6993</v>
      </c>
      <c r="D4092" t="s">
        <v>16232</v>
      </c>
      <c r="E4092" t="s">
        <v>19944</v>
      </c>
      <c r="F4092" t="s">
        <v>28198</v>
      </c>
      <c r="G4092" t="s">
        <v>28206</v>
      </c>
      <c r="H4092" t="s">
        <v>28215</v>
      </c>
      <c r="I4092" t="s">
        <v>28258</v>
      </c>
      <c r="J4092" t="s">
        <v>31001</v>
      </c>
      <c r="K4092" t="s">
        <v>36706</v>
      </c>
      <c r="M4092" t="s">
        <v>38552</v>
      </c>
      <c r="N4092" t="s">
        <v>40436</v>
      </c>
      <c r="O4092" t="s">
        <v>40437</v>
      </c>
      <c r="P4092">
        <v>0</v>
      </c>
      <c r="Q4092">
        <v>2</v>
      </c>
      <c r="R4092" t="s">
        <v>40439</v>
      </c>
      <c r="S4092" t="s">
        <v>40588</v>
      </c>
      <c r="T4092" t="s">
        <v>42385</v>
      </c>
      <c r="U4092" t="s">
        <v>46123</v>
      </c>
      <c r="W4092" t="s">
        <v>38552</v>
      </c>
      <c r="X4092" t="s">
        <v>40440</v>
      </c>
    </row>
    <row r="4093" spans="1:24">
      <c r="A4093">
        <f>HYPERLINK("https://www.philgeps.gov.ph/GEPSNONPILOT/Tender/SplashBidNoticeAbstractUI.aspx?menuIndex=3&amp;refID=7046347&amp;Result=3","7046347")</f>
        <v>0</v>
      </c>
      <c r="B4093" t="s">
        <v>1480</v>
      </c>
      <c r="C4093" t="s">
        <v>6994</v>
      </c>
      <c r="D4093" t="s">
        <v>16193</v>
      </c>
      <c r="E4093" t="s">
        <v>19945</v>
      </c>
      <c r="F4093" t="s">
        <v>28198</v>
      </c>
      <c r="G4093" t="s">
        <v>28205</v>
      </c>
      <c r="H4093" t="s">
        <v>28215</v>
      </c>
      <c r="I4093" t="s">
        <v>28225</v>
      </c>
      <c r="J4093" t="s">
        <v>31002</v>
      </c>
      <c r="K4093" t="s">
        <v>36689</v>
      </c>
      <c r="M4093" t="s">
        <v>38551</v>
      </c>
      <c r="N4093" t="s">
        <v>40436</v>
      </c>
      <c r="O4093" t="s">
        <v>40437</v>
      </c>
      <c r="P4093">
        <v>0</v>
      </c>
      <c r="Q4093">
        <v>6</v>
      </c>
      <c r="R4093" t="s">
        <v>40439</v>
      </c>
      <c r="S4093" t="s">
        <v>40588</v>
      </c>
      <c r="T4093" t="s">
        <v>42144</v>
      </c>
      <c r="U4093" t="s">
        <v>46071</v>
      </c>
      <c r="V4093" t="s">
        <v>54189</v>
      </c>
      <c r="W4093" t="s">
        <v>38551</v>
      </c>
      <c r="X4093" t="s">
        <v>40440</v>
      </c>
    </row>
    <row r="4094" spans="1:24">
      <c r="A4094">
        <f>HYPERLINK("https://www.philgeps.gov.ph/GEPSNONPILOT/Tender/SplashBidNoticeAbstractUI.aspx?menuIndex=3&amp;refID=7046346&amp;Result=3","7046346")</f>
        <v>0</v>
      </c>
      <c r="B4094" t="s">
        <v>1488</v>
      </c>
      <c r="C4094" t="s">
        <v>6995</v>
      </c>
      <c r="D4094" t="s">
        <v>16226</v>
      </c>
      <c r="E4094" t="s">
        <v>19946</v>
      </c>
      <c r="F4094" t="s">
        <v>28198</v>
      </c>
      <c r="G4094" t="s">
        <v>28207</v>
      </c>
      <c r="H4094" t="s">
        <v>28215</v>
      </c>
      <c r="I4094" t="s">
        <v>8888</v>
      </c>
      <c r="J4094" t="s">
        <v>28378</v>
      </c>
      <c r="K4094" t="s">
        <v>36691</v>
      </c>
      <c r="M4094" t="s">
        <v>38562</v>
      </c>
      <c r="N4094" t="s">
        <v>40436</v>
      </c>
      <c r="O4094" t="s">
        <v>40437</v>
      </c>
      <c r="P4094">
        <v>0</v>
      </c>
      <c r="Q4094">
        <v>1</v>
      </c>
      <c r="R4094" t="s">
        <v>40439</v>
      </c>
      <c r="S4094" t="s">
        <v>40588</v>
      </c>
      <c r="T4094" t="s">
        <v>42158</v>
      </c>
      <c r="U4094" t="s">
        <v>46124</v>
      </c>
      <c r="W4094" t="s">
        <v>38562</v>
      </c>
      <c r="X4094" t="s">
        <v>40440</v>
      </c>
    </row>
    <row r="4095" spans="1:24">
      <c r="A4095">
        <f>HYPERLINK("https://www.philgeps.gov.ph/GEPSNONPILOT/Tender/SplashBidNoticeAbstractUI.aspx?menuIndex=3&amp;refID=7046340&amp;Result=3","7046340")</f>
        <v>0</v>
      </c>
      <c r="B4095" t="s">
        <v>1494</v>
      </c>
      <c r="C4095" t="s">
        <v>6996</v>
      </c>
      <c r="D4095" t="s">
        <v>16247</v>
      </c>
      <c r="E4095" t="s">
        <v>19947</v>
      </c>
      <c r="F4095" t="s">
        <v>28198</v>
      </c>
      <c r="G4095" t="s">
        <v>28210</v>
      </c>
      <c r="H4095" t="s">
        <v>28215</v>
      </c>
      <c r="I4095" t="s">
        <v>4168</v>
      </c>
      <c r="J4095" t="s">
        <v>31003</v>
      </c>
      <c r="K4095" t="s">
        <v>36688</v>
      </c>
      <c r="M4095" t="s">
        <v>38569</v>
      </c>
      <c r="N4095" t="s">
        <v>40436</v>
      </c>
      <c r="O4095" t="s">
        <v>40437</v>
      </c>
      <c r="P4095">
        <v>0</v>
      </c>
      <c r="Q4095">
        <v>8</v>
      </c>
      <c r="R4095" t="s">
        <v>40439</v>
      </c>
      <c r="S4095" t="s">
        <v>40588</v>
      </c>
      <c r="T4095" t="s">
        <v>42326</v>
      </c>
      <c r="U4095" t="s">
        <v>46125</v>
      </c>
      <c r="W4095" t="s">
        <v>38569</v>
      </c>
      <c r="X4095" t="s">
        <v>40440</v>
      </c>
    </row>
    <row r="4096" spans="1:24">
      <c r="A4096">
        <f>HYPERLINK("https://www.philgeps.gov.ph/GEPSNONPILOT/Tender/SplashBidNoticeAbstractUI.aspx?menuIndex=3&amp;refID=7046336&amp;Result=3","7046336")</f>
        <v>0</v>
      </c>
      <c r="B4096" t="s">
        <v>726</v>
      </c>
      <c r="C4096" t="s">
        <v>6997</v>
      </c>
      <c r="D4096" t="s">
        <v>16210</v>
      </c>
      <c r="E4096" t="s">
        <v>19948</v>
      </c>
      <c r="F4096" t="s">
        <v>28198</v>
      </c>
      <c r="G4096" t="s">
        <v>28207</v>
      </c>
      <c r="H4096" t="s">
        <v>28215</v>
      </c>
      <c r="I4096" t="s">
        <v>28295</v>
      </c>
      <c r="J4096" t="s">
        <v>28397</v>
      </c>
      <c r="K4096" t="s">
        <v>36707</v>
      </c>
      <c r="M4096" t="s">
        <v>37727</v>
      </c>
      <c r="N4096" t="s">
        <v>40436</v>
      </c>
      <c r="O4096" t="s">
        <v>40437</v>
      </c>
      <c r="P4096">
        <v>0</v>
      </c>
      <c r="Q4096">
        <v>8</v>
      </c>
      <c r="R4096" t="s">
        <v>40439</v>
      </c>
      <c r="S4096" t="s">
        <v>40588</v>
      </c>
      <c r="T4096" t="s">
        <v>42169</v>
      </c>
      <c r="U4096" t="s">
        <v>46126</v>
      </c>
      <c r="V4096" t="s">
        <v>53960</v>
      </c>
      <c r="W4096" t="s">
        <v>37727</v>
      </c>
      <c r="X4096" t="s">
        <v>40440</v>
      </c>
    </row>
    <row r="4097" spans="1:24">
      <c r="A4097">
        <f>HYPERLINK("https://www.philgeps.gov.ph/GEPSNONPILOT/Tender/SplashBidNoticeAbstractUI.aspx?menuIndex=3&amp;refID=7046343&amp;Result=3","7046343")</f>
        <v>0</v>
      </c>
      <c r="B4097" t="s">
        <v>809</v>
      </c>
      <c r="C4097" t="s">
        <v>6998</v>
      </c>
      <c r="D4097" t="s">
        <v>16260</v>
      </c>
      <c r="E4097" t="s">
        <v>19949</v>
      </c>
      <c r="F4097" t="s">
        <v>28198</v>
      </c>
      <c r="G4097" t="s">
        <v>28207</v>
      </c>
      <c r="H4097" t="s">
        <v>28215</v>
      </c>
      <c r="I4097" t="s">
        <v>5100</v>
      </c>
      <c r="J4097" t="s">
        <v>31004</v>
      </c>
      <c r="K4097" t="s">
        <v>36689</v>
      </c>
      <c r="M4097" t="s">
        <v>37818</v>
      </c>
      <c r="N4097" t="s">
        <v>40436</v>
      </c>
      <c r="O4097" t="s">
        <v>40437</v>
      </c>
      <c r="P4097">
        <v>0</v>
      </c>
      <c r="Q4097">
        <v>1</v>
      </c>
      <c r="R4097" t="s">
        <v>40439</v>
      </c>
      <c r="S4097" t="s">
        <v>40588</v>
      </c>
      <c r="T4097" t="s">
        <v>42169</v>
      </c>
      <c r="U4097" t="s">
        <v>46127</v>
      </c>
      <c r="W4097" t="s">
        <v>37818</v>
      </c>
      <c r="X4097" t="s">
        <v>40440</v>
      </c>
    </row>
    <row r="4098" spans="1:24">
      <c r="A4098">
        <f>HYPERLINK("https://www.philgeps.gov.ph/GEPSNONPILOT/Tender/SplashBidNoticeAbstractUI.aspx?menuIndex=3&amp;refID=7046344&amp;Result=3","7046344")</f>
        <v>0</v>
      </c>
      <c r="B4098" t="s">
        <v>1258</v>
      </c>
      <c r="C4098" t="s">
        <v>6999</v>
      </c>
      <c r="D4098" t="s">
        <v>16200</v>
      </c>
      <c r="E4098" t="s">
        <v>19950</v>
      </c>
      <c r="F4098" t="s">
        <v>28198</v>
      </c>
      <c r="G4098" t="s">
        <v>28205</v>
      </c>
      <c r="H4098" t="s">
        <v>28215</v>
      </c>
      <c r="I4098" t="s">
        <v>5100</v>
      </c>
      <c r="J4098" t="s">
        <v>31005</v>
      </c>
      <c r="K4098" t="s">
        <v>36688</v>
      </c>
      <c r="M4098" t="s">
        <v>38308</v>
      </c>
      <c r="N4098" t="s">
        <v>40436</v>
      </c>
      <c r="O4098" t="s">
        <v>40437</v>
      </c>
      <c r="P4098">
        <v>0</v>
      </c>
      <c r="Q4098">
        <v>1</v>
      </c>
      <c r="R4098" t="s">
        <v>40439</v>
      </c>
      <c r="S4098" t="s">
        <v>40588</v>
      </c>
      <c r="T4098" t="s">
        <v>42222</v>
      </c>
      <c r="U4098" t="s">
        <v>46128</v>
      </c>
      <c r="W4098" t="s">
        <v>38308</v>
      </c>
      <c r="X4098" t="s">
        <v>40440</v>
      </c>
    </row>
    <row r="4099" spans="1:24">
      <c r="A4099">
        <f>HYPERLINK("https://www.philgeps.gov.ph/GEPSNONPILOT/Tender/SplashBidNoticeAbstractUI.aspx?menuIndex=3&amp;refID=7046320&amp;Result=3","7046320")</f>
        <v>0</v>
      </c>
      <c r="B4099" t="s">
        <v>1495</v>
      </c>
      <c r="C4099" t="s">
        <v>7000</v>
      </c>
      <c r="D4099" t="s">
        <v>16192</v>
      </c>
      <c r="E4099" t="s">
        <v>19951</v>
      </c>
      <c r="F4099" t="s">
        <v>28198</v>
      </c>
      <c r="G4099" t="s">
        <v>28207</v>
      </c>
      <c r="H4099" t="s">
        <v>28215</v>
      </c>
      <c r="I4099" t="s">
        <v>4168</v>
      </c>
      <c r="J4099" t="s">
        <v>28694</v>
      </c>
      <c r="K4099" t="s">
        <v>36706</v>
      </c>
      <c r="M4099" t="s">
        <v>38570</v>
      </c>
      <c r="N4099" t="s">
        <v>40436</v>
      </c>
      <c r="O4099" t="s">
        <v>40437</v>
      </c>
      <c r="P4099">
        <v>0</v>
      </c>
      <c r="Q4099">
        <v>3</v>
      </c>
      <c r="R4099" t="s">
        <v>40439</v>
      </c>
      <c r="S4099" t="s">
        <v>40588</v>
      </c>
      <c r="T4099" t="s">
        <v>42218</v>
      </c>
      <c r="U4099" t="s">
        <v>46129</v>
      </c>
      <c r="W4099" t="s">
        <v>38570</v>
      </c>
      <c r="X4099" t="s">
        <v>40440</v>
      </c>
    </row>
    <row r="4100" spans="1:24">
      <c r="A4100">
        <f>HYPERLINK("https://www.philgeps.gov.ph/GEPSNONPILOT/Tender/SplashBidNoticeAbstractUI.aspx?menuIndex=3&amp;refID=7046322&amp;Result=3","7046322")</f>
        <v>0</v>
      </c>
      <c r="B4100" t="s">
        <v>1496</v>
      </c>
      <c r="C4100" t="s">
        <v>7001</v>
      </c>
      <c r="D4100" t="s">
        <v>16249</v>
      </c>
      <c r="E4100" t="s">
        <v>16660</v>
      </c>
      <c r="F4100" t="s">
        <v>28198</v>
      </c>
      <c r="G4100" t="s">
        <v>28205</v>
      </c>
      <c r="H4100" t="s">
        <v>28215</v>
      </c>
      <c r="I4100" t="s">
        <v>5100</v>
      </c>
      <c r="J4100" t="s">
        <v>28661</v>
      </c>
      <c r="K4100" t="s">
        <v>36701</v>
      </c>
      <c r="M4100" t="s">
        <v>38571</v>
      </c>
      <c r="N4100" t="s">
        <v>40436</v>
      </c>
      <c r="O4100" t="s">
        <v>40437</v>
      </c>
      <c r="P4100">
        <v>0</v>
      </c>
      <c r="Q4100">
        <v>0</v>
      </c>
      <c r="R4100" t="s">
        <v>40439</v>
      </c>
      <c r="S4100" t="s">
        <v>40588</v>
      </c>
      <c r="T4100" t="s">
        <v>42177</v>
      </c>
      <c r="U4100" t="s">
        <v>46130</v>
      </c>
      <c r="W4100" t="s">
        <v>38571</v>
      </c>
      <c r="X4100" t="s">
        <v>40440</v>
      </c>
    </row>
    <row r="4101" spans="1:24">
      <c r="A4101">
        <f>HYPERLINK("https://www.philgeps.gov.ph/GEPSNONPILOT/Tender/SplashBidNoticeAbstractUI.aspx?menuIndex=3&amp;refID=7046345&amp;Result=3","7046345")</f>
        <v>0</v>
      </c>
      <c r="B4101" t="s">
        <v>1497</v>
      </c>
      <c r="C4101" t="s">
        <v>7002</v>
      </c>
      <c r="D4101" t="s">
        <v>16211</v>
      </c>
      <c r="E4101" t="s">
        <v>19952</v>
      </c>
      <c r="F4101" t="s">
        <v>28198</v>
      </c>
      <c r="G4101" t="s">
        <v>28205</v>
      </c>
      <c r="H4101" t="s">
        <v>28215</v>
      </c>
      <c r="I4101" t="s">
        <v>28225</v>
      </c>
      <c r="J4101" t="s">
        <v>31006</v>
      </c>
      <c r="K4101" t="s">
        <v>36688</v>
      </c>
      <c r="M4101" t="s">
        <v>38572</v>
      </c>
      <c r="N4101" t="s">
        <v>40436</v>
      </c>
      <c r="O4101" t="s">
        <v>40437</v>
      </c>
      <c r="P4101">
        <v>0</v>
      </c>
      <c r="Q4101">
        <v>3</v>
      </c>
      <c r="R4101" t="s">
        <v>40439</v>
      </c>
      <c r="S4101" t="s">
        <v>40588</v>
      </c>
      <c r="T4101" t="s">
        <v>42144</v>
      </c>
      <c r="U4101" t="s">
        <v>46131</v>
      </c>
      <c r="V4101" t="s">
        <v>54195</v>
      </c>
      <c r="W4101" t="s">
        <v>38572</v>
      </c>
      <c r="X4101" t="s">
        <v>40440</v>
      </c>
    </row>
    <row r="4102" spans="1:24">
      <c r="A4102">
        <f>HYPERLINK("https://www.philgeps.gov.ph/GEPSNONPILOT/Tender/SplashBidNoticeAbstractUI.aspx?menuIndex=3&amp;refID=7046348&amp;Result=3","7046348")</f>
        <v>0</v>
      </c>
      <c r="B4102" t="s">
        <v>1498</v>
      </c>
      <c r="C4102" t="s">
        <v>7003</v>
      </c>
      <c r="D4102" t="s">
        <v>16189</v>
      </c>
      <c r="E4102" t="s">
        <v>19953</v>
      </c>
      <c r="F4102" t="s">
        <v>28198</v>
      </c>
      <c r="G4102" t="s">
        <v>28205</v>
      </c>
      <c r="H4102" t="s">
        <v>28214</v>
      </c>
      <c r="I4102" t="s">
        <v>3797</v>
      </c>
      <c r="J4102" t="s">
        <v>31007</v>
      </c>
      <c r="K4102" t="s">
        <v>36786</v>
      </c>
      <c r="M4102" t="s">
        <v>38573</v>
      </c>
      <c r="N4102" t="s">
        <v>40436</v>
      </c>
      <c r="O4102" t="s">
        <v>40437</v>
      </c>
      <c r="P4102">
        <v>0</v>
      </c>
      <c r="Q4102">
        <v>0</v>
      </c>
      <c r="R4102" t="s">
        <v>40439</v>
      </c>
      <c r="S4102" t="s">
        <v>40588</v>
      </c>
      <c r="T4102" t="s">
        <v>42180</v>
      </c>
      <c r="U4102" t="s">
        <v>46132</v>
      </c>
      <c r="W4102" t="s">
        <v>38573</v>
      </c>
      <c r="X4102" t="s">
        <v>40440</v>
      </c>
    </row>
    <row r="4103" spans="1:24">
      <c r="A4103">
        <f>HYPERLINK("https://www.philgeps.gov.ph/GEPSNONPILOT/Tender/SplashBidNoticeAbstractUI.aspx?menuIndex=3&amp;refID=7046351&amp;Result=3","7046351")</f>
        <v>0</v>
      </c>
      <c r="B4103" t="s">
        <v>670</v>
      </c>
      <c r="C4103" t="s">
        <v>7004</v>
      </c>
      <c r="E4103" t="s">
        <v>19954</v>
      </c>
      <c r="F4103" t="s">
        <v>28198</v>
      </c>
      <c r="G4103" t="s">
        <v>28205</v>
      </c>
      <c r="H4103" t="s">
        <v>28214</v>
      </c>
      <c r="I4103" t="s">
        <v>3797</v>
      </c>
      <c r="J4103" t="s">
        <v>31008</v>
      </c>
      <c r="K4103" t="s">
        <v>36810</v>
      </c>
      <c r="M4103" t="s">
        <v>37666</v>
      </c>
      <c r="N4103" t="s">
        <v>40436</v>
      </c>
      <c r="O4103" t="s">
        <v>40437</v>
      </c>
      <c r="P4103">
        <v>0</v>
      </c>
      <c r="Q4103">
        <v>0</v>
      </c>
      <c r="R4103" t="s">
        <v>40439</v>
      </c>
      <c r="S4103" t="s">
        <v>40588</v>
      </c>
      <c r="T4103" t="s">
        <v>42248</v>
      </c>
      <c r="U4103" t="s">
        <v>46099</v>
      </c>
      <c r="W4103" t="s">
        <v>37666</v>
      </c>
      <c r="X4103" t="s">
        <v>40440</v>
      </c>
    </row>
    <row r="4104" spans="1:24">
      <c r="A4104">
        <f>HYPERLINK("https://www.philgeps.gov.ph/GEPSNONPILOT/Tender/SplashBidNoticeAbstractUI.aspx?menuIndex=3&amp;refID=7046362&amp;Result=3","7046362")</f>
        <v>0</v>
      </c>
      <c r="B4104" t="s">
        <v>781</v>
      </c>
      <c r="C4104" t="s">
        <v>7005</v>
      </c>
      <c r="D4104" t="s">
        <v>16200</v>
      </c>
      <c r="E4104" t="s">
        <v>19955</v>
      </c>
      <c r="F4104" t="s">
        <v>28198</v>
      </c>
      <c r="G4104" t="s">
        <v>28206</v>
      </c>
      <c r="H4104" t="s">
        <v>28216</v>
      </c>
      <c r="I4104" t="s">
        <v>5103</v>
      </c>
      <c r="J4104" t="s">
        <v>31009</v>
      </c>
      <c r="K4104" t="s">
        <v>36689</v>
      </c>
      <c r="M4104" t="s">
        <v>37785</v>
      </c>
      <c r="N4104" t="s">
        <v>40436</v>
      </c>
      <c r="O4104" t="s">
        <v>40437</v>
      </c>
      <c r="P4104">
        <v>0</v>
      </c>
      <c r="Q4104">
        <v>1</v>
      </c>
      <c r="R4104" t="s">
        <v>40439</v>
      </c>
      <c r="S4104" t="s">
        <v>40588</v>
      </c>
      <c r="T4104" t="s">
        <v>42277</v>
      </c>
      <c r="U4104" t="s">
        <v>44084</v>
      </c>
      <c r="W4104" t="s">
        <v>37785</v>
      </c>
      <c r="X4104" t="s">
        <v>40440</v>
      </c>
    </row>
    <row r="4105" spans="1:24">
      <c r="A4105">
        <f>HYPERLINK("https://www.philgeps.gov.ph/GEPSNONPILOT/Tender/SplashBidNoticeAbstractUI.aspx?menuIndex=3&amp;refID=7046369&amp;Result=3","7046369")</f>
        <v>0</v>
      </c>
      <c r="B4105" t="s">
        <v>1499</v>
      </c>
      <c r="C4105" t="s">
        <v>7006</v>
      </c>
      <c r="D4105" t="s">
        <v>16211</v>
      </c>
      <c r="E4105" t="s">
        <v>19956</v>
      </c>
      <c r="F4105" t="s">
        <v>28198</v>
      </c>
      <c r="G4105" t="s">
        <v>28207</v>
      </c>
      <c r="H4105" t="s">
        <v>28215</v>
      </c>
      <c r="I4105" t="s">
        <v>5082</v>
      </c>
      <c r="J4105" t="s">
        <v>31010</v>
      </c>
      <c r="K4105" t="s">
        <v>36707</v>
      </c>
      <c r="M4105" t="s">
        <v>38574</v>
      </c>
      <c r="N4105" t="s">
        <v>40436</v>
      </c>
      <c r="O4105" t="s">
        <v>40437</v>
      </c>
      <c r="P4105">
        <v>0</v>
      </c>
      <c r="Q4105">
        <v>0</v>
      </c>
      <c r="R4105" t="s">
        <v>40439</v>
      </c>
      <c r="S4105" t="s">
        <v>40588</v>
      </c>
      <c r="T4105" t="s">
        <v>42131</v>
      </c>
      <c r="U4105" t="s">
        <v>46133</v>
      </c>
      <c r="W4105" t="s">
        <v>38574</v>
      </c>
      <c r="X4105" t="s">
        <v>40440</v>
      </c>
    </row>
    <row r="4106" spans="1:24">
      <c r="A4106">
        <f>HYPERLINK("https://www.philgeps.gov.ph/GEPSNONPILOT/Tender/SplashBidNoticeAbstractUI.aspx?menuIndex=3&amp;refID=7046359&amp;Result=3","7046359")</f>
        <v>0</v>
      </c>
      <c r="B4106" t="s">
        <v>1500</v>
      </c>
      <c r="C4106" t="s">
        <v>7007</v>
      </c>
      <c r="D4106" t="s">
        <v>16213</v>
      </c>
      <c r="E4106" t="s">
        <v>19957</v>
      </c>
      <c r="F4106" t="s">
        <v>28198</v>
      </c>
      <c r="G4106" t="s">
        <v>28205</v>
      </c>
      <c r="H4106" t="s">
        <v>28215</v>
      </c>
      <c r="I4106" t="s">
        <v>28227</v>
      </c>
      <c r="J4106" t="s">
        <v>31011</v>
      </c>
      <c r="K4106" t="s">
        <v>36701</v>
      </c>
      <c r="M4106" t="s">
        <v>38575</v>
      </c>
      <c r="N4106" t="s">
        <v>40436</v>
      </c>
      <c r="O4106" t="s">
        <v>40437</v>
      </c>
      <c r="P4106">
        <v>0</v>
      </c>
      <c r="Q4106">
        <v>0</v>
      </c>
      <c r="R4106" t="s">
        <v>40439</v>
      </c>
      <c r="S4106" t="s">
        <v>40588</v>
      </c>
      <c r="T4106" t="s">
        <v>42244</v>
      </c>
      <c r="U4106" t="s">
        <v>46134</v>
      </c>
      <c r="W4106" t="s">
        <v>38575</v>
      </c>
      <c r="X4106" t="s">
        <v>40440</v>
      </c>
    </row>
    <row r="4107" spans="1:24">
      <c r="A4107">
        <f>HYPERLINK("https://www.philgeps.gov.ph/GEPSNONPILOT/Tender/SplashBidNoticeAbstractUI.aspx?menuIndex=3&amp;refID=7046358&amp;Result=3","7046358")</f>
        <v>0</v>
      </c>
      <c r="B4107" t="s">
        <v>1453</v>
      </c>
      <c r="C4107" t="s">
        <v>7008</v>
      </c>
      <c r="D4107" t="s">
        <v>16210</v>
      </c>
      <c r="E4107" t="s">
        <v>19958</v>
      </c>
      <c r="F4107" t="s">
        <v>28198</v>
      </c>
      <c r="G4107" t="s">
        <v>28206</v>
      </c>
      <c r="H4107" t="s">
        <v>28215</v>
      </c>
      <c r="I4107" t="s">
        <v>4219</v>
      </c>
      <c r="J4107" t="s">
        <v>31009</v>
      </c>
      <c r="K4107" t="s">
        <v>36689</v>
      </c>
      <c r="M4107" t="s">
        <v>38520</v>
      </c>
      <c r="N4107" t="s">
        <v>40436</v>
      </c>
      <c r="O4107" t="s">
        <v>40437</v>
      </c>
      <c r="P4107">
        <v>0</v>
      </c>
      <c r="Q4107">
        <v>8</v>
      </c>
      <c r="R4107" t="s">
        <v>40439</v>
      </c>
      <c r="S4107" t="s">
        <v>40588</v>
      </c>
      <c r="T4107" t="s">
        <v>42185</v>
      </c>
      <c r="U4107" t="s">
        <v>46135</v>
      </c>
      <c r="W4107" t="s">
        <v>38520</v>
      </c>
      <c r="X4107" t="s">
        <v>40440</v>
      </c>
    </row>
    <row r="4108" spans="1:24">
      <c r="A4108">
        <f>HYPERLINK("https://www.philgeps.gov.ph/GEPSNONPILOT/Tender/SplashBidNoticeAbstractUI.aspx?menuIndex=3&amp;refID=7046360&amp;Result=3","7046360")</f>
        <v>0</v>
      </c>
      <c r="B4108" t="s">
        <v>1489</v>
      </c>
      <c r="C4108" t="s">
        <v>7009</v>
      </c>
      <c r="D4108" t="s">
        <v>16238</v>
      </c>
      <c r="E4108" t="s">
        <v>19959</v>
      </c>
      <c r="F4108" t="s">
        <v>28198</v>
      </c>
      <c r="G4108" t="s">
        <v>28205</v>
      </c>
      <c r="H4108" t="s">
        <v>28215</v>
      </c>
      <c r="I4108" t="s">
        <v>28254</v>
      </c>
      <c r="J4108" t="s">
        <v>31012</v>
      </c>
      <c r="K4108" t="s">
        <v>36688</v>
      </c>
      <c r="L4108" t="s">
        <v>1489</v>
      </c>
      <c r="M4108" t="s">
        <v>38563</v>
      </c>
      <c r="N4108" t="s">
        <v>40436</v>
      </c>
      <c r="O4108" t="s">
        <v>40437</v>
      </c>
      <c r="P4108">
        <v>0</v>
      </c>
      <c r="Q4108">
        <v>1</v>
      </c>
      <c r="R4108" t="s">
        <v>40439</v>
      </c>
      <c r="S4108" t="s">
        <v>40588</v>
      </c>
      <c r="T4108" t="s">
        <v>42112</v>
      </c>
      <c r="U4108" t="s">
        <v>46136</v>
      </c>
      <c r="W4108" t="s">
        <v>38563</v>
      </c>
      <c r="X4108" t="s">
        <v>40440</v>
      </c>
    </row>
    <row r="4109" spans="1:24">
      <c r="A4109">
        <f>HYPERLINK("https://www.philgeps.gov.ph/GEPSNONPILOT/Tender/SplashBidNoticeAbstractUI.aspx?menuIndex=3&amp;refID=7046354&amp;Result=3","7046354")</f>
        <v>0</v>
      </c>
      <c r="B4109" t="s">
        <v>197</v>
      </c>
      <c r="C4109" t="s">
        <v>7010</v>
      </c>
      <c r="D4109" t="s">
        <v>16196</v>
      </c>
      <c r="E4109" t="s">
        <v>19960</v>
      </c>
      <c r="F4109" t="s">
        <v>28198</v>
      </c>
      <c r="G4109" t="s">
        <v>28207</v>
      </c>
      <c r="H4109" t="s">
        <v>28215</v>
      </c>
      <c r="I4109" t="s">
        <v>5791</v>
      </c>
      <c r="J4109" t="s">
        <v>28691</v>
      </c>
      <c r="K4109" t="s">
        <v>36688</v>
      </c>
      <c r="M4109" t="s">
        <v>37172</v>
      </c>
      <c r="N4109" t="s">
        <v>40436</v>
      </c>
      <c r="O4109" t="s">
        <v>40437</v>
      </c>
      <c r="P4109">
        <v>0</v>
      </c>
      <c r="Q4109">
        <v>0</v>
      </c>
      <c r="R4109" t="s">
        <v>40439</v>
      </c>
      <c r="S4109" t="s">
        <v>40588</v>
      </c>
      <c r="T4109" t="s">
        <v>42141</v>
      </c>
      <c r="U4109" t="s">
        <v>46137</v>
      </c>
      <c r="V4109" t="s">
        <v>54196</v>
      </c>
      <c r="W4109" t="s">
        <v>37172</v>
      </c>
      <c r="X4109" t="s">
        <v>40440</v>
      </c>
    </row>
    <row r="4110" spans="1:24">
      <c r="A4110">
        <f>HYPERLINK("https://www.philgeps.gov.ph/GEPSNONPILOT/Tender/SplashBidNoticeAbstractUI.aspx?menuIndex=3&amp;refID=7046356&amp;Result=3","7046356")</f>
        <v>0</v>
      </c>
      <c r="B4110" t="s">
        <v>1496</v>
      </c>
      <c r="C4110" t="s">
        <v>7011</v>
      </c>
      <c r="D4110" t="s">
        <v>16249</v>
      </c>
      <c r="E4110" t="s">
        <v>19961</v>
      </c>
      <c r="F4110" t="s">
        <v>28198</v>
      </c>
      <c r="G4110" t="s">
        <v>28205</v>
      </c>
      <c r="H4110" t="s">
        <v>28214</v>
      </c>
      <c r="I4110" t="s">
        <v>3797</v>
      </c>
      <c r="J4110" t="s">
        <v>31013</v>
      </c>
      <c r="K4110" t="s">
        <v>36709</v>
      </c>
      <c r="M4110" t="s">
        <v>38571</v>
      </c>
      <c r="N4110" t="s">
        <v>40436</v>
      </c>
      <c r="O4110" t="s">
        <v>40437</v>
      </c>
      <c r="P4110">
        <v>0</v>
      </c>
      <c r="Q4110">
        <v>0</v>
      </c>
      <c r="R4110" t="s">
        <v>40439</v>
      </c>
      <c r="S4110" t="s">
        <v>40588</v>
      </c>
      <c r="T4110" t="s">
        <v>42320</v>
      </c>
      <c r="U4110" t="s">
        <v>46138</v>
      </c>
      <c r="W4110" t="s">
        <v>38571</v>
      </c>
      <c r="X4110" t="s">
        <v>40440</v>
      </c>
    </row>
    <row r="4111" spans="1:24">
      <c r="A4111">
        <f>HYPERLINK("https://www.philgeps.gov.ph/GEPSNONPILOT/Tender/SplashBidNoticeAbstractUI.aspx?menuIndex=3&amp;refID=7046353&amp;Result=3","7046353")</f>
        <v>0</v>
      </c>
      <c r="B4111" t="s">
        <v>1501</v>
      </c>
      <c r="C4111" t="s">
        <v>7012</v>
      </c>
      <c r="D4111" t="s">
        <v>16192</v>
      </c>
      <c r="E4111" t="s">
        <v>19962</v>
      </c>
      <c r="F4111" t="s">
        <v>28198</v>
      </c>
      <c r="G4111" t="s">
        <v>28207</v>
      </c>
      <c r="H4111" t="s">
        <v>28215</v>
      </c>
      <c r="I4111" t="s">
        <v>5100</v>
      </c>
      <c r="J4111" t="s">
        <v>31014</v>
      </c>
      <c r="K4111" t="s">
        <v>36689</v>
      </c>
      <c r="M4111" t="s">
        <v>38576</v>
      </c>
      <c r="N4111" t="s">
        <v>40436</v>
      </c>
      <c r="O4111" t="s">
        <v>40437</v>
      </c>
      <c r="P4111">
        <v>0</v>
      </c>
      <c r="Q4111">
        <v>0</v>
      </c>
      <c r="R4111" t="s">
        <v>40439</v>
      </c>
      <c r="S4111" t="s">
        <v>40588</v>
      </c>
      <c r="T4111" t="s">
        <v>42213</v>
      </c>
      <c r="U4111" t="s">
        <v>46139</v>
      </c>
      <c r="W4111" t="s">
        <v>38576</v>
      </c>
      <c r="X4111" t="s">
        <v>40440</v>
      </c>
    </row>
    <row r="4112" spans="1:24">
      <c r="A4112">
        <f>HYPERLINK("https://www.philgeps.gov.ph/GEPSNONPILOT/Tender/SplashBidNoticeAbstractUI.aspx?menuIndex=3&amp;refID=7046357&amp;Result=3","7046357")</f>
        <v>0</v>
      </c>
      <c r="B4112" t="s">
        <v>1259</v>
      </c>
      <c r="C4112" t="s">
        <v>7013</v>
      </c>
      <c r="D4112" t="s">
        <v>16219</v>
      </c>
      <c r="E4112" t="s">
        <v>19963</v>
      </c>
      <c r="F4112" t="s">
        <v>28198</v>
      </c>
      <c r="G4112" t="s">
        <v>28207</v>
      </c>
      <c r="H4112" t="s">
        <v>28215</v>
      </c>
      <c r="I4112" t="s">
        <v>28224</v>
      </c>
      <c r="J4112" t="s">
        <v>31015</v>
      </c>
      <c r="K4112" t="s">
        <v>36689</v>
      </c>
      <c r="M4112" t="s">
        <v>38309</v>
      </c>
      <c r="N4112" t="s">
        <v>40436</v>
      </c>
      <c r="O4112" t="s">
        <v>40437</v>
      </c>
      <c r="P4112">
        <v>0</v>
      </c>
      <c r="Q4112">
        <v>1</v>
      </c>
      <c r="R4112" t="s">
        <v>40439</v>
      </c>
      <c r="S4112" t="s">
        <v>40588</v>
      </c>
      <c r="T4112" t="s">
        <v>42320</v>
      </c>
      <c r="U4112" t="s">
        <v>46087</v>
      </c>
      <c r="W4112" t="s">
        <v>38309</v>
      </c>
      <c r="X4112" t="s">
        <v>40440</v>
      </c>
    </row>
    <row r="4113" spans="1:24">
      <c r="A4113">
        <f>HYPERLINK("https://www.philgeps.gov.ph/GEPSNONPILOT/Tender/SplashBidNoticeAbstractUI.aspx?menuIndex=3&amp;refID=7046377&amp;Result=3","7046377")</f>
        <v>0</v>
      </c>
      <c r="B4113" t="s">
        <v>1258</v>
      </c>
      <c r="C4113" t="s">
        <v>7014</v>
      </c>
      <c r="D4113" t="s">
        <v>16200</v>
      </c>
      <c r="E4113" t="s">
        <v>19964</v>
      </c>
      <c r="F4113" t="s">
        <v>28198</v>
      </c>
      <c r="G4113" t="s">
        <v>28205</v>
      </c>
      <c r="H4113" t="s">
        <v>28215</v>
      </c>
      <c r="I4113" t="s">
        <v>4219</v>
      </c>
      <c r="J4113" t="s">
        <v>31016</v>
      </c>
      <c r="K4113" t="s">
        <v>36688</v>
      </c>
      <c r="M4113" t="s">
        <v>38308</v>
      </c>
      <c r="N4113" t="s">
        <v>40436</v>
      </c>
      <c r="O4113" t="s">
        <v>40437</v>
      </c>
      <c r="Q4113">
        <v>2</v>
      </c>
      <c r="R4113" t="s">
        <v>40439</v>
      </c>
      <c r="S4113" t="s">
        <v>40595</v>
      </c>
      <c r="T4113" t="s">
        <v>42222</v>
      </c>
      <c r="U4113" t="s">
        <v>46140</v>
      </c>
      <c r="W4113" t="s">
        <v>38308</v>
      </c>
      <c r="X4113" t="s">
        <v>40440</v>
      </c>
    </row>
    <row r="4114" spans="1:24">
      <c r="A4114">
        <f>HYPERLINK("https://www.philgeps.gov.ph/GEPSNONPILOT/Tender/SplashBidNoticeAbstractUI.aspx?menuIndex=3&amp;refID=7046372&amp;Result=3","7046372")</f>
        <v>0</v>
      </c>
      <c r="B4114" t="s">
        <v>816</v>
      </c>
      <c r="C4114" t="s">
        <v>7015</v>
      </c>
      <c r="D4114" t="s">
        <v>16200</v>
      </c>
      <c r="E4114" t="s">
        <v>19965</v>
      </c>
      <c r="F4114" t="s">
        <v>28198</v>
      </c>
      <c r="G4114" t="s">
        <v>28209</v>
      </c>
      <c r="H4114" t="s">
        <v>28215</v>
      </c>
      <c r="I4114" t="s">
        <v>4219</v>
      </c>
      <c r="J4114" t="s">
        <v>31017</v>
      </c>
      <c r="K4114" t="s">
        <v>36689</v>
      </c>
      <c r="M4114" t="s">
        <v>37828</v>
      </c>
      <c r="N4114" t="s">
        <v>40436</v>
      </c>
      <c r="O4114" t="s">
        <v>40437</v>
      </c>
      <c r="P4114">
        <v>0</v>
      </c>
      <c r="Q4114">
        <v>3</v>
      </c>
      <c r="R4114" t="s">
        <v>40439</v>
      </c>
      <c r="S4114" t="s">
        <v>40588</v>
      </c>
      <c r="T4114" t="s">
        <v>42169</v>
      </c>
      <c r="U4114" t="s">
        <v>46141</v>
      </c>
      <c r="V4114" t="s">
        <v>54197</v>
      </c>
      <c r="W4114" t="s">
        <v>37828</v>
      </c>
      <c r="X4114" t="s">
        <v>40440</v>
      </c>
    </row>
    <row r="4115" spans="1:24">
      <c r="A4115">
        <f>HYPERLINK("https://www.philgeps.gov.ph/GEPSNONPILOT/Tender/SplashBidNoticeAbstractUI.aspx?menuIndex=3&amp;refID=7046368&amp;Result=3","7046368")</f>
        <v>0</v>
      </c>
      <c r="B4115" t="s">
        <v>1502</v>
      </c>
      <c r="C4115" t="s">
        <v>7016</v>
      </c>
      <c r="D4115" t="s">
        <v>16190</v>
      </c>
      <c r="E4115" t="s">
        <v>19966</v>
      </c>
      <c r="F4115" t="s">
        <v>28198</v>
      </c>
      <c r="G4115" t="s">
        <v>28207</v>
      </c>
      <c r="H4115" t="s">
        <v>28215</v>
      </c>
      <c r="I4115" t="s">
        <v>5100</v>
      </c>
      <c r="J4115" t="s">
        <v>31018</v>
      </c>
      <c r="K4115" t="s">
        <v>36688</v>
      </c>
      <c r="M4115" t="s">
        <v>38577</v>
      </c>
      <c r="N4115" t="s">
        <v>40436</v>
      </c>
      <c r="O4115" t="s">
        <v>40437</v>
      </c>
      <c r="P4115">
        <v>0</v>
      </c>
      <c r="Q4115">
        <v>0</v>
      </c>
      <c r="R4115" t="s">
        <v>40439</v>
      </c>
      <c r="S4115" t="s">
        <v>40588</v>
      </c>
      <c r="T4115" t="s">
        <v>42216</v>
      </c>
      <c r="U4115" t="s">
        <v>46142</v>
      </c>
      <c r="W4115" t="s">
        <v>38577</v>
      </c>
      <c r="X4115" t="s">
        <v>40440</v>
      </c>
    </row>
    <row r="4116" spans="1:24">
      <c r="A4116">
        <f>HYPERLINK("https://www.philgeps.gov.ph/GEPSNONPILOT/Tender/SplashBidNoticeAbstractUI.aspx?menuIndex=3&amp;refID=7046378&amp;Result=3","7046378")</f>
        <v>0</v>
      </c>
      <c r="B4116" t="s">
        <v>893</v>
      </c>
      <c r="C4116" t="s">
        <v>7017</v>
      </c>
      <c r="D4116" t="s">
        <v>16246</v>
      </c>
      <c r="E4116" t="s">
        <v>19967</v>
      </c>
      <c r="F4116" t="s">
        <v>28198</v>
      </c>
      <c r="G4116" t="s">
        <v>28206</v>
      </c>
      <c r="H4116" t="s">
        <v>28215</v>
      </c>
      <c r="I4116" t="s">
        <v>4200</v>
      </c>
      <c r="J4116" t="s">
        <v>31019</v>
      </c>
      <c r="K4116" t="s">
        <v>36688</v>
      </c>
      <c r="M4116" t="s">
        <v>37909</v>
      </c>
      <c r="N4116" t="s">
        <v>40436</v>
      </c>
      <c r="O4116" t="s">
        <v>40437</v>
      </c>
      <c r="P4116">
        <v>0</v>
      </c>
      <c r="Q4116">
        <v>4</v>
      </c>
      <c r="R4116" t="s">
        <v>40439</v>
      </c>
      <c r="S4116" t="s">
        <v>40588</v>
      </c>
      <c r="T4116" t="s">
        <v>42102</v>
      </c>
      <c r="U4116" t="s">
        <v>46143</v>
      </c>
      <c r="W4116" t="s">
        <v>37909</v>
      </c>
      <c r="X4116" t="s">
        <v>40440</v>
      </c>
    </row>
    <row r="4117" spans="1:24">
      <c r="A4117">
        <f>HYPERLINK("https://www.philgeps.gov.ph/GEPSNONPILOT/Tender/SplashBidNoticeAbstractUI.aspx?menuIndex=3&amp;refID=7046375&amp;Result=3","7046375")</f>
        <v>0</v>
      </c>
      <c r="B4117" t="s">
        <v>489</v>
      </c>
      <c r="C4117" t="s">
        <v>7018</v>
      </c>
      <c r="E4117" t="s">
        <v>16639</v>
      </c>
      <c r="F4117" t="s">
        <v>28198</v>
      </c>
      <c r="G4117" t="s">
        <v>28206</v>
      </c>
      <c r="H4117" t="s">
        <v>28215</v>
      </c>
      <c r="I4117" t="s">
        <v>4321</v>
      </c>
      <c r="J4117" t="s">
        <v>31020</v>
      </c>
      <c r="K4117" t="s">
        <v>36689</v>
      </c>
      <c r="M4117" t="s">
        <v>37474</v>
      </c>
      <c r="N4117" t="s">
        <v>40436</v>
      </c>
      <c r="O4117" t="s">
        <v>40437</v>
      </c>
      <c r="P4117">
        <v>0</v>
      </c>
      <c r="Q4117">
        <v>1</v>
      </c>
      <c r="R4117" t="s">
        <v>40439</v>
      </c>
      <c r="S4117" t="s">
        <v>40588</v>
      </c>
      <c r="T4117" t="s">
        <v>42245</v>
      </c>
      <c r="U4117" t="s">
        <v>46144</v>
      </c>
      <c r="W4117" t="s">
        <v>37474</v>
      </c>
      <c r="X4117" t="s">
        <v>40440</v>
      </c>
    </row>
    <row r="4118" spans="1:24">
      <c r="A4118">
        <f>HYPERLINK("https://www.philgeps.gov.ph/GEPSNONPILOT/Tender/SplashBidNoticeAbstractUI.aspx?menuIndex=3&amp;refID=7046373&amp;Result=3","7046373")</f>
        <v>0</v>
      </c>
      <c r="B4118" t="s">
        <v>1503</v>
      </c>
      <c r="C4118" t="s">
        <v>7019</v>
      </c>
      <c r="D4118" t="s">
        <v>16255</v>
      </c>
      <c r="E4118" t="s">
        <v>19968</v>
      </c>
      <c r="F4118" t="s">
        <v>28198</v>
      </c>
      <c r="G4118" t="s">
        <v>28206</v>
      </c>
      <c r="H4118" t="s">
        <v>28215</v>
      </c>
      <c r="I4118" t="s">
        <v>28291</v>
      </c>
      <c r="J4118" t="s">
        <v>29358</v>
      </c>
      <c r="K4118" t="s">
        <v>36691</v>
      </c>
      <c r="M4118" t="s">
        <v>38578</v>
      </c>
      <c r="N4118" t="s">
        <v>40436</v>
      </c>
      <c r="O4118" t="s">
        <v>40437</v>
      </c>
      <c r="P4118">
        <v>0</v>
      </c>
      <c r="Q4118">
        <v>0</v>
      </c>
      <c r="R4118" t="s">
        <v>40439</v>
      </c>
      <c r="S4118" t="s">
        <v>40588</v>
      </c>
      <c r="T4118" t="s">
        <v>42245</v>
      </c>
      <c r="U4118" t="s">
        <v>46145</v>
      </c>
      <c r="W4118" t="s">
        <v>38578</v>
      </c>
      <c r="X4118" t="s">
        <v>40440</v>
      </c>
    </row>
    <row r="4119" spans="1:24">
      <c r="A4119">
        <f>HYPERLINK("https://www.philgeps.gov.ph/GEPSNONPILOT/Tender/SplashBidNoticeAbstractUI.aspx?menuIndex=3&amp;refID=7046388&amp;Result=3","7046388")</f>
        <v>0</v>
      </c>
      <c r="B4119" t="s">
        <v>1504</v>
      </c>
      <c r="C4119" t="s">
        <v>7020</v>
      </c>
      <c r="D4119" t="s">
        <v>16203</v>
      </c>
      <c r="E4119" t="s">
        <v>19969</v>
      </c>
      <c r="F4119" t="s">
        <v>28198</v>
      </c>
      <c r="G4119" t="s">
        <v>28209</v>
      </c>
      <c r="H4119" t="s">
        <v>28214</v>
      </c>
      <c r="I4119" t="s">
        <v>3797</v>
      </c>
      <c r="J4119" t="s">
        <v>29598</v>
      </c>
      <c r="K4119" t="s">
        <v>36811</v>
      </c>
      <c r="M4119" t="s">
        <v>38579</v>
      </c>
      <c r="N4119" t="s">
        <v>40436</v>
      </c>
      <c r="O4119" t="s">
        <v>40437</v>
      </c>
      <c r="P4119">
        <v>0</v>
      </c>
      <c r="Q4119">
        <v>0</v>
      </c>
      <c r="R4119" t="s">
        <v>40439</v>
      </c>
      <c r="S4119" t="s">
        <v>40588</v>
      </c>
      <c r="T4119" t="s">
        <v>42160</v>
      </c>
      <c r="U4119" t="s">
        <v>46146</v>
      </c>
      <c r="V4119" t="s">
        <v>54093</v>
      </c>
      <c r="W4119" t="s">
        <v>38579</v>
      </c>
      <c r="X4119" t="s">
        <v>40440</v>
      </c>
    </row>
    <row r="4120" spans="1:24">
      <c r="A4120">
        <f>HYPERLINK("https://www.philgeps.gov.ph/GEPSNONPILOT/Tender/SplashBidNoticeAbstractUI.aspx?menuIndex=3&amp;refID=7046365&amp;Result=3","7046365")</f>
        <v>0</v>
      </c>
      <c r="B4120" t="s">
        <v>285</v>
      </c>
      <c r="C4120" t="s">
        <v>7021</v>
      </c>
      <c r="D4120" t="s">
        <v>16203</v>
      </c>
      <c r="E4120" t="s">
        <v>19970</v>
      </c>
      <c r="F4120" t="s">
        <v>28198</v>
      </c>
      <c r="G4120" t="s">
        <v>28207</v>
      </c>
      <c r="H4120" t="s">
        <v>28215</v>
      </c>
      <c r="I4120" t="s">
        <v>3422</v>
      </c>
      <c r="J4120" t="s">
        <v>28679</v>
      </c>
      <c r="K4120" t="s">
        <v>36689</v>
      </c>
      <c r="M4120" t="s">
        <v>37569</v>
      </c>
      <c r="N4120" t="s">
        <v>40436</v>
      </c>
      <c r="O4120" t="s">
        <v>40437</v>
      </c>
      <c r="P4120">
        <v>0</v>
      </c>
      <c r="Q4120">
        <v>3</v>
      </c>
      <c r="R4120" t="s">
        <v>40439</v>
      </c>
      <c r="S4120" t="s">
        <v>40588</v>
      </c>
      <c r="T4120" t="s">
        <v>42190</v>
      </c>
      <c r="U4120" t="s">
        <v>46147</v>
      </c>
      <c r="W4120" t="s">
        <v>37569</v>
      </c>
      <c r="X4120" t="s">
        <v>40440</v>
      </c>
    </row>
    <row r="4121" spans="1:24">
      <c r="A4121">
        <f>HYPERLINK("https://www.philgeps.gov.ph/GEPSNONPILOT/Tender/SplashBidNoticeAbstractUI.aspx?menuIndex=3&amp;refID=7046386&amp;Result=3","7046386")</f>
        <v>0</v>
      </c>
      <c r="B4121" t="s">
        <v>643</v>
      </c>
      <c r="C4121" t="s">
        <v>7022</v>
      </c>
      <c r="D4121" t="s">
        <v>16267</v>
      </c>
      <c r="E4121" t="s">
        <v>19971</v>
      </c>
      <c r="F4121" t="s">
        <v>28198</v>
      </c>
      <c r="G4121" t="s">
        <v>28205</v>
      </c>
      <c r="H4121" t="s">
        <v>28214</v>
      </c>
      <c r="I4121" t="s">
        <v>3797</v>
      </c>
      <c r="J4121" t="s">
        <v>31021</v>
      </c>
      <c r="K4121" t="s">
        <v>36708</v>
      </c>
      <c r="M4121" t="s">
        <v>37636</v>
      </c>
      <c r="N4121" t="s">
        <v>40436</v>
      </c>
      <c r="O4121" t="s">
        <v>40437</v>
      </c>
      <c r="P4121">
        <v>0</v>
      </c>
      <c r="Q4121">
        <v>0</v>
      </c>
      <c r="R4121" t="s">
        <v>40439</v>
      </c>
      <c r="S4121" t="s">
        <v>40588</v>
      </c>
      <c r="T4121" t="s">
        <v>42171</v>
      </c>
      <c r="U4121" t="s">
        <v>46148</v>
      </c>
      <c r="W4121" t="s">
        <v>37636</v>
      </c>
      <c r="X4121" t="s">
        <v>40440</v>
      </c>
    </row>
    <row r="4122" spans="1:24">
      <c r="A4122">
        <f>HYPERLINK("https://www.philgeps.gov.ph/GEPSNONPILOT/Tender/SplashBidNoticeAbstractUI.aspx?menuIndex=3&amp;refID=7046385&amp;Result=3","7046385")</f>
        <v>0</v>
      </c>
      <c r="B4122" t="s">
        <v>1320</v>
      </c>
      <c r="C4122" t="s">
        <v>7023</v>
      </c>
      <c r="D4122" t="s">
        <v>16204</v>
      </c>
      <c r="E4122" t="s">
        <v>19972</v>
      </c>
      <c r="F4122" t="s">
        <v>28198</v>
      </c>
      <c r="G4122" t="s">
        <v>28206</v>
      </c>
      <c r="H4122" t="s">
        <v>28215</v>
      </c>
      <c r="I4122" t="s">
        <v>28250</v>
      </c>
      <c r="J4122" t="s">
        <v>31022</v>
      </c>
      <c r="K4122" t="s">
        <v>36698</v>
      </c>
      <c r="M4122" t="s">
        <v>38378</v>
      </c>
      <c r="N4122" t="s">
        <v>40436</v>
      </c>
      <c r="O4122" t="s">
        <v>40437</v>
      </c>
      <c r="P4122">
        <v>0</v>
      </c>
      <c r="Q4122">
        <v>1</v>
      </c>
      <c r="R4122" t="s">
        <v>40439</v>
      </c>
      <c r="S4122" t="s">
        <v>40588</v>
      </c>
      <c r="T4122" t="s">
        <v>42190</v>
      </c>
      <c r="U4122" t="s">
        <v>46149</v>
      </c>
      <c r="W4122" t="s">
        <v>38378</v>
      </c>
      <c r="X4122" t="s">
        <v>40440</v>
      </c>
    </row>
    <row r="4123" spans="1:24">
      <c r="A4123">
        <f>HYPERLINK("https://www.philgeps.gov.ph/GEPSNONPILOT/Tender/SplashBidNoticeAbstractUI.aspx?menuIndex=3&amp;refID=7046383&amp;Result=3","7046383")</f>
        <v>0</v>
      </c>
      <c r="B4123" t="s">
        <v>983</v>
      </c>
      <c r="C4123" t="s">
        <v>7024</v>
      </c>
      <c r="D4123" t="s">
        <v>16232</v>
      </c>
      <c r="E4123" t="s">
        <v>19973</v>
      </c>
      <c r="F4123" t="s">
        <v>28198</v>
      </c>
      <c r="G4123" t="s">
        <v>28207</v>
      </c>
      <c r="H4123" t="s">
        <v>28215</v>
      </c>
      <c r="I4123" t="s">
        <v>4321</v>
      </c>
      <c r="J4123" t="s">
        <v>31023</v>
      </c>
      <c r="K4123" t="s">
        <v>36701</v>
      </c>
      <c r="M4123" t="s">
        <v>38010</v>
      </c>
      <c r="N4123" t="s">
        <v>40436</v>
      </c>
      <c r="O4123" t="s">
        <v>40437</v>
      </c>
      <c r="P4123">
        <v>0</v>
      </c>
      <c r="Q4123">
        <v>0</v>
      </c>
      <c r="R4123" t="s">
        <v>40439</v>
      </c>
      <c r="S4123" t="s">
        <v>40588</v>
      </c>
      <c r="T4123" t="s">
        <v>42103</v>
      </c>
      <c r="U4123" t="s">
        <v>46150</v>
      </c>
      <c r="W4123" t="s">
        <v>38010</v>
      </c>
      <c r="X4123" t="s">
        <v>40440</v>
      </c>
    </row>
    <row r="4124" spans="1:24">
      <c r="A4124">
        <f>HYPERLINK("https://www.philgeps.gov.ph/GEPSNONPILOT/Tender/SplashBidNoticeAbstractUI.aspx?menuIndex=3&amp;refID=7046387&amp;Result=3","7046387")</f>
        <v>0</v>
      </c>
      <c r="B4124" t="s">
        <v>1031</v>
      </c>
      <c r="C4124" t="s">
        <v>7025</v>
      </c>
      <c r="D4124" t="s">
        <v>16242</v>
      </c>
      <c r="E4124" t="s">
        <v>19974</v>
      </c>
      <c r="F4124" t="s">
        <v>28198</v>
      </c>
      <c r="G4124" t="s">
        <v>28206</v>
      </c>
      <c r="H4124" t="s">
        <v>28215</v>
      </c>
      <c r="I4124" t="s">
        <v>28225</v>
      </c>
      <c r="J4124" t="s">
        <v>28486</v>
      </c>
      <c r="K4124" t="s">
        <v>36688</v>
      </c>
      <c r="M4124" t="s">
        <v>38063</v>
      </c>
      <c r="N4124" t="s">
        <v>40436</v>
      </c>
      <c r="O4124" t="s">
        <v>40437</v>
      </c>
      <c r="P4124">
        <v>0</v>
      </c>
      <c r="Q4124">
        <v>9</v>
      </c>
      <c r="R4124" t="s">
        <v>40439</v>
      </c>
      <c r="S4124" t="s">
        <v>40588</v>
      </c>
      <c r="T4124" t="s">
        <v>42190</v>
      </c>
      <c r="U4124" t="s">
        <v>46151</v>
      </c>
      <c r="V4124" t="s">
        <v>54198</v>
      </c>
      <c r="W4124" t="s">
        <v>38063</v>
      </c>
      <c r="X4124" t="s">
        <v>40440</v>
      </c>
    </row>
    <row r="4125" spans="1:24">
      <c r="A4125">
        <f>HYPERLINK("https://www.philgeps.gov.ph/GEPSNONPILOT/Tender/SplashBidNoticeAbstractUI.aspx?menuIndex=3&amp;refID=7046363&amp;Result=3","7046363")</f>
        <v>0</v>
      </c>
      <c r="B4125" t="s">
        <v>1365</v>
      </c>
      <c r="C4125" t="s">
        <v>7026</v>
      </c>
      <c r="D4125" t="s">
        <v>16232</v>
      </c>
      <c r="E4125" t="s">
        <v>19975</v>
      </c>
      <c r="F4125" t="s">
        <v>28198</v>
      </c>
      <c r="G4125" t="s">
        <v>28207</v>
      </c>
      <c r="H4125" t="s">
        <v>28215</v>
      </c>
      <c r="I4125" t="s">
        <v>28258</v>
      </c>
      <c r="J4125" t="s">
        <v>28345</v>
      </c>
      <c r="K4125" t="s">
        <v>36707</v>
      </c>
      <c r="M4125" t="s">
        <v>38552</v>
      </c>
      <c r="N4125" t="s">
        <v>40436</v>
      </c>
      <c r="O4125" t="s">
        <v>40437</v>
      </c>
      <c r="P4125">
        <v>0</v>
      </c>
      <c r="Q4125">
        <v>2</v>
      </c>
      <c r="R4125" t="s">
        <v>40439</v>
      </c>
      <c r="S4125" t="s">
        <v>40588</v>
      </c>
      <c r="T4125" t="s">
        <v>42317</v>
      </c>
      <c r="U4125" t="s">
        <v>46152</v>
      </c>
      <c r="W4125" t="s">
        <v>38552</v>
      </c>
      <c r="X4125" t="s">
        <v>40440</v>
      </c>
    </row>
    <row r="4126" spans="1:24">
      <c r="A4126">
        <f>HYPERLINK("https://www.philgeps.gov.ph/GEPSNONPILOT/Tender/SplashBidNoticeAbstractUI.aspx?menuIndex=3&amp;refID=7046366&amp;Result=3","7046366")</f>
        <v>0</v>
      </c>
      <c r="B4126" t="s">
        <v>1497</v>
      </c>
      <c r="C4126" t="s">
        <v>7027</v>
      </c>
      <c r="D4126" t="s">
        <v>16211</v>
      </c>
      <c r="E4126" t="s">
        <v>19976</v>
      </c>
      <c r="F4126" t="s">
        <v>28198</v>
      </c>
      <c r="G4126" t="s">
        <v>28205</v>
      </c>
      <c r="H4126" t="s">
        <v>28215</v>
      </c>
      <c r="I4126" t="s">
        <v>28227</v>
      </c>
      <c r="J4126" t="s">
        <v>31024</v>
      </c>
      <c r="K4126" t="s">
        <v>36688</v>
      </c>
      <c r="M4126" t="s">
        <v>38572</v>
      </c>
      <c r="N4126" t="s">
        <v>40436</v>
      </c>
      <c r="O4126" t="s">
        <v>40437</v>
      </c>
      <c r="P4126">
        <v>0</v>
      </c>
      <c r="Q4126">
        <v>0</v>
      </c>
      <c r="R4126" t="s">
        <v>40439</v>
      </c>
      <c r="S4126" t="s">
        <v>40588</v>
      </c>
      <c r="T4126" t="s">
        <v>42144</v>
      </c>
      <c r="U4126" t="s">
        <v>46153</v>
      </c>
      <c r="V4126" t="s">
        <v>54199</v>
      </c>
      <c r="W4126" t="s">
        <v>38572</v>
      </c>
      <c r="X4126" t="s">
        <v>40440</v>
      </c>
    </row>
    <row r="4127" spans="1:24">
      <c r="A4127">
        <f>HYPERLINK("https://www.philgeps.gov.ph/GEPSNONPILOT/Tender/SplashBidNoticeAbstractUI.aspx?menuIndex=3&amp;refID=7046384&amp;Result=3","7046384")</f>
        <v>0</v>
      </c>
      <c r="B4127" t="s">
        <v>1505</v>
      </c>
      <c r="C4127" t="s">
        <v>7028</v>
      </c>
      <c r="D4127" t="s">
        <v>16258</v>
      </c>
      <c r="E4127" t="s">
        <v>19977</v>
      </c>
      <c r="F4127" t="s">
        <v>28198</v>
      </c>
      <c r="G4127" t="s">
        <v>28205</v>
      </c>
      <c r="H4127" t="s">
        <v>28214</v>
      </c>
      <c r="I4127" t="s">
        <v>28242</v>
      </c>
      <c r="J4127" t="s">
        <v>28468</v>
      </c>
      <c r="K4127" t="s">
        <v>36715</v>
      </c>
      <c r="M4127" t="s">
        <v>38580</v>
      </c>
      <c r="N4127" t="s">
        <v>40436</v>
      </c>
      <c r="O4127" t="s">
        <v>40437</v>
      </c>
      <c r="P4127">
        <v>0</v>
      </c>
      <c r="Q4127">
        <v>3</v>
      </c>
      <c r="R4127" t="s">
        <v>40439</v>
      </c>
      <c r="S4127" t="s">
        <v>40588</v>
      </c>
      <c r="T4127" t="s">
        <v>42386</v>
      </c>
      <c r="U4127" t="s">
        <v>46154</v>
      </c>
      <c r="W4127" t="s">
        <v>38580</v>
      </c>
      <c r="X4127" t="s">
        <v>40440</v>
      </c>
    </row>
    <row r="4128" spans="1:24">
      <c r="A4128">
        <f>HYPERLINK("https://www.philgeps.gov.ph/GEPSNONPILOT/Tender/SplashBidNoticeAbstractUI.aspx?menuIndex=3&amp;refID=7046382&amp;Result=3","7046382")</f>
        <v>0</v>
      </c>
      <c r="B4128" t="s">
        <v>1042</v>
      </c>
      <c r="C4128" t="s">
        <v>7029</v>
      </c>
      <c r="D4128" t="s">
        <v>16197</v>
      </c>
      <c r="E4128" t="s">
        <v>19978</v>
      </c>
      <c r="F4128" t="s">
        <v>28198</v>
      </c>
      <c r="G4128" t="s">
        <v>28207</v>
      </c>
      <c r="H4128" t="s">
        <v>28215</v>
      </c>
      <c r="I4128" t="s">
        <v>6013</v>
      </c>
      <c r="J4128" t="s">
        <v>28415</v>
      </c>
      <c r="K4128" t="s">
        <v>36706</v>
      </c>
      <c r="M4128" t="s">
        <v>38075</v>
      </c>
      <c r="N4128" t="s">
        <v>40436</v>
      </c>
      <c r="O4128" t="s">
        <v>40437</v>
      </c>
      <c r="P4128">
        <v>0</v>
      </c>
      <c r="Q4128">
        <v>0</v>
      </c>
      <c r="R4128" t="s">
        <v>40439</v>
      </c>
      <c r="S4128" t="s">
        <v>40588</v>
      </c>
      <c r="T4128" t="s">
        <v>42111</v>
      </c>
      <c r="U4128" t="s">
        <v>46155</v>
      </c>
      <c r="W4128" t="s">
        <v>38075</v>
      </c>
      <c r="X4128" t="s">
        <v>40440</v>
      </c>
    </row>
    <row r="4129" spans="1:24">
      <c r="A4129">
        <f>HYPERLINK("https://www.philgeps.gov.ph/GEPSNONPILOT/Tender/SplashBidNoticeAbstractUI.aspx?menuIndex=3&amp;refID=7046350&amp;Result=3","7046350")</f>
        <v>0</v>
      </c>
      <c r="B4129" t="s">
        <v>1047</v>
      </c>
      <c r="C4129" t="s">
        <v>7030</v>
      </c>
      <c r="D4129" t="s">
        <v>16219</v>
      </c>
      <c r="E4129" t="s">
        <v>19979</v>
      </c>
      <c r="F4129" t="s">
        <v>28198</v>
      </c>
      <c r="G4129" t="s">
        <v>28207</v>
      </c>
      <c r="H4129" t="s">
        <v>28215</v>
      </c>
      <c r="I4129" t="s">
        <v>4321</v>
      </c>
      <c r="J4129" t="s">
        <v>31025</v>
      </c>
      <c r="K4129" t="s">
        <v>36689</v>
      </c>
      <c r="M4129" t="s">
        <v>38080</v>
      </c>
      <c r="N4129" t="s">
        <v>40436</v>
      </c>
      <c r="O4129" t="s">
        <v>40437</v>
      </c>
      <c r="P4129">
        <v>0</v>
      </c>
      <c r="Q4129">
        <v>0</v>
      </c>
      <c r="R4129" t="s">
        <v>40439</v>
      </c>
      <c r="S4129" t="s">
        <v>40588</v>
      </c>
      <c r="T4129" t="s">
        <v>42161</v>
      </c>
      <c r="U4129" t="s">
        <v>46156</v>
      </c>
      <c r="W4129" t="s">
        <v>38080</v>
      </c>
      <c r="X4129" t="s">
        <v>40440</v>
      </c>
    </row>
    <row r="4130" spans="1:24">
      <c r="A4130">
        <f>HYPERLINK("https://www.philgeps.gov.ph/GEPSNONPILOT/Tender/SplashBidNoticeAbstractUI.aspx?menuIndex=3&amp;refID=7046401&amp;Result=3","7046401")</f>
        <v>0</v>
      </c>
      <c r="B4130" t="s">
        <v>1506</v>
      </c>
      <c r="C4130" t="s">
        <v>4415</v>
      </c>
      <c r="D4130" t="s">
        <v>16200</v>
      </c>
      <c r="E4130" t="s">
        <v>16322</v>
      </c>
      <c r="F4130" t="s">
        <v>28198</v>
      </c>
      <c r="G4130" t="s">
        <v>28207</v>
      </c>
      <c r="H4130" t="s">
        <v>28215</v>
      </c>
      <c r="I4130" t="s">
        <v>5100</v>
      </c>
      <c r="J4130" t="s">
        <v>31026</v>
      </c>
      <c r="K4130" t="s">
        <v>36689</v>
      </c>
      <c r="M4130" t="s">
        <v>38581</v>
      </c>
      <c r="N4130" t="s">
        <v>40436</v>
      </c>
      <c r="O4130" t="s">
        <v>40437</v>
      </c>
      <c r="P4130">
        <v>0</v>
      </c>
      <c r="Q4130">
        <v>1</v>
      </c>
      <c r="R4130" t="s">
        <v>40439</v>
      </c>
      <c r="S4130" t="s">
        <v>40588</v>
      </c>
      <c r="T4130" t="s">
        <v>42169</v>
      </c>
      <c r="U4130" t="s">
        <v>46157</v>
      </c>
      <c r="W4130" t="s">
        <v>38581</v>
      </c>
      <c r="X4130" t="s">
        <v>40440</v>
      </c>
    </row>
    <row r="4131" spans="1:24">
      <c r="A4131">
        <f>HYPERLINK("https://www.philgeps.gov.ph/GEPSNONPILOT/Tender/SplashBidNoticeAbstractUI.aspx?menuIndex=3&amp;refID=7046381&amp;Result=3","7046381")</f>
        <v>0</v>
      </c>
      <c r="B4131" t="s">
        <v>670</v>
      </c>
      <c r="C4131" t="s">
        <v>7031</v>
      </c>
      <c r="E4131" t="s">
        <v>19980</v>
      </c>
      <c r="F4131" t="s">
        <v>28198</v>
      </c>
      <c r="G4131" t="s">
        <v>28205</v>
      </c>
      <c r="H4131" t="s">
        <v>28214</v>
      </c>
      <c r="I4131" t="s">
        <v>3797</v>
      </c>
      <c r="J4131" t="s">
        <v>31027</v>
      </c>
      <c r="K4131" t="s">
        <v>36694</v>
      </c>
      <c r="M4131" t="s">
        <v>37666</v>
      </c>
      <c r="N4131" t="s">
        <v>40436</v>
      </c>
      <c r="O4131" t="s">
        <v>40437</v>
      </c>
      <c r="P4131">
        <v>0</v>
      </c>
      <c r="Q4131">
        <v>0</v>
      </c>
      <c r="R4131" t="s">
        <v>40439</v>
      </c>
      <c r="S4131" t="s">
        <v>40588</v>
      </c>
      <c r="T4131" t="s">
        <v>42248</v>
      </c>
      <c r="U4131" t="s">
        <v>46090</v>
      </c>
      <c r="W4131" t="s">
        <v>37666</v>
      </c>
      <c r="X4131" t="s">
        <v>40440</v>
      </c>
    </row>
    <row r="4132" spans="1:24">
      <c r="A4132">
        <f>HYPERLINK("https://www.philgeps.gov.ph/GEPSNONPILOT/Tender/SplashBidNoticeAbstractUI.aspx?menuIndex=3&amp;refID=7046395&amp;Result=3","7046395")</f>
        <v>0</v>
      </c>
      <c r="B4132" t="s">
        <v>1467</v>
      </c>
      <c r="C4132" t="s">
        <v>7032</v>
      </c>
      <c r="D4132" t="s">
        <v>16265</v>
      </c>
      <c r="E4132" t="s">
        <v>19981</v>
      </c>
      <c r="F4132" t="s">
        <v>28198</v>
      </c>
      <c r="G4132" t="s">
        <v>28205</v>
      </c>
      <c r="H4132" t="s">
        <v>28215</v>
      </c>
      <c r="I4132" t="s">
        <v>28220</v>
      </c>
      <c r="J4132" t="s">
        <v>29432</v>
      </c>
      <c r="K4132" t="s">
        <v>36701</v>
      </c>
      <c r="M4132" t="s">
        <v>38537</v>
      </c>
      <c r="N4132" t="s">
        <v>40436</v>
      </c>
      <c r="O4132" t="s">
        <v>40437</v>
      </c>
      <c r="P4132">
        <v>0</v>
      </c>
      <c r="Q4132">
        <v>3</v>
      </c>
      <c r="R4132" t="s">
        <v>40439</v>
      </c>
      <c r="S4132" t="s">
        <v>40588</v>
      </c>
      <c r="T4132" t="s">
        <v>42125</v>
      </c>
      <c r="U4132" t="s">
        <v>46158</v>
      </c>
      <c r="W4132" t="s">
        <v>38537</v>
      </c>
      <c r="X4132" t="s">
        <v>40440</v>
      </c>
    </row>
    <row r="4133" spans="1:24">
      <c r="A4133">
        <f>HYPERLINK("https://www.philgeps.gov.ph/GEPSNONPILOT/Tender/SplashBidNoticeAbstractUI.aspx?menuIndex=3&amp;refID=7046396&amp;Result=3","7046396")</f>
        <v>0</v>
      </c>
      <c r="B4133" t="s">
        <v>1134</v>
      </c>
      <c r="C4133" t="s">
        <v>7033</v>
      </c>
      <c r="E4133" t="s">
        <v>19982</v>
      </c>
      <c r="F4133" t="s">
        <v>28198</v>
      </c>
      <c r="G4133" t="s">
        <v>28206</v>
      </c>
      <c r="H4133" t="s">
        <v>28215</v>
      </c>
      <c r="I4133" t="s">
        <v>5100</v>
      </c>
      <c r="J4133" t="s">
        <v>31028</v>
      </c>
      <c r="K4133" t="s">
        <v>36707</v>
      </c>
      <c r="M4133" t="s">
        <v>38173</v>
      </c>
      <c r="N4133" t="s">
        <v>40436</v>
      </c>
      <c r="O4133" t="s">
        <v>40437</v>
      </c>
      <c r="P4133">
        <v>0</v>
      </c>
      <c r="Q4133">
        <v>1</v>
      </c>
      <c r="R4133" t="s">
        <v>40439</v>
      </c>
      <c r="S4133" t="s">
        <v>40588</v>
      </c>
      <c r="T4133" t="s">
        <v>42144</v>
      </c>
      <c r="U4133" t="s">
        <v>46159</v>
      </c>
      <c r="V4133" t="s">
        <v>54200</v>
      </c>
      <c r="W4133" t="s">
        <v>38173</v>
      </c>
      <c r="X4133" t="s">
        <v>40440</v>
      </c>
    </row>
    <row r="4134" spans="1:24">
      <c r="A4134">
        <f>HYPERLINK("https://www.philgeps.gov.ph/GEPSNONPILOT/Tender/SplashBidNoticeAbstractUI.aspx?menuIndex=3&amp;refID=7046393&amp;Result=3","7046393")</f>
        <v>0</v>
      </c>
      <c r="B4134" t="s">
        <v>1047</v>
      </c>
      <c r="C4134" t="s">
        <v>7034</v>
      </c>
      <c r="D4134" t="s">
        <v>16219</v>
      </c>
      <c r="E4134" t="s">
        <v>19983</v>
      </c>
      <c r="F4134" t="s">
        <v>28198</v>
      </c>
      <c r="G4134" t="s">
        <v>28205</v>
      </c>
      <c r="H4134" t="s">
        <v>28215</v>
      </c>
      <c r="I4134" t="s">
        <v>5082</v>
      </c>
      <c r="J4134" t="s">
        <v>31029</v>
      </c>
      <c r="K4134" t="s">
        <v>36689</v>
      </c>
      <c r="M4134" t="s">
        <v>38080</v>
      </c>
      <c r="N4134" t="s">
        <v>40436</v>
      </c>
      <c r="O4134" t="s">
        <v>40437</v>
      </c>
      <c r="P4134">
        <v>0</v>
      </c>
      <c r="Q4134">
        <v>0</v>
      </c>
      <c r="R4134" t="s">
        <v>40439</v>
      </c>
      <c r="S4134" t="s">
        <v>40588</v>
      </c>
      <c r="T4134" t="s">
        <v>42144</v>
      </c>
      <c r="U4134" t="s">
        <v>46160</v>
      </c>
      <c r="W4134" t="s">
        <v>38080</v>
      </c>
      <c r="X4134" t="s">
        <v>40440</v>
      </c>
    </row>
    <row r="4135" spans="1:24">
      <c r="A4135">
        <f>HYPERLINK("https://www.philgeps.gov.ph/GEPSNONPILOT/Tender/SplashBidNoticeAbstractUI.aspx?menuIndex=3&amp;refID=7046400&amp;Result=3","7046400")</f>
        <v>0</v>
      </c>
      <c r="B4135" t="s">
        <v>1491</v>
      </c>
      <c r="C4135" t="s">
        <v>7035</v>
      </c>
      <c r="D4135" t="s">
        <v>16233</v>
      </c>
      <c r="E4135" t="s">
        <v>19984</v>
      </c>
      <c r="F4135" t="s">
        <v>28198</v>
      </c>
      <c r="G4135" t="s">
        <v>28205</v>
      </c>
      <c r="H4135" t="s">
        <v>28217</v>
      </c>
      <c r="I4135" t="s">
        <v>5100</v>
      </c>
      <c r="J4135" t="s">
        <v>31030</v>
      </c>
      <c r="K4135" t="s">
        <v>36694</v>
      </c>
      <c r="M4135" t="s">
        <v>38566</v>
      </c>
      <c r="N4135" t="s">
        <v>40436</v>
      </c>
      <c r="O4135" t="s">
        <v>40437</v>
      </c>
      <c r="P4135">
        <v>0</v>
      </c>
      <c r="Q4135">
        <v>0</v>
      </c>
      <c r="R4135" t="s">
        <v>40439</v>
      </c>
      <c r="S4135" t="s">
        <v>40588</v>
      </c>
      <c r="T4135" t="s">
        <v>42387</v>
      </c>
      <c r="U4135" t="s">
        <v>46111</v>
      </c>
      <c r="W4135" t="s">
        <v>38566</v>
      </c>
      <c r="X4135" t="s">
        <v>40440</v>
      </c>
    </row>
    <row r="4136" spans="1:24">
      <c r="A4136">
        <f>HYPERLINK("https://www.philgeps.gov.ph/GEPSNONPILOT/Tender/SplashBidNoticeAbstractUI.aspx?menuIndex=3&amp;refID=7046392&amp;Result=3","7046392")</f>
        <v>0</v>
      </c>
      <c r="B4136" t="s">
        <v>1507</v>
      </c>
      <c r="C4136" t="s">
        <v>7036</v>
      </c>
      <c r="D4136" t="s">
        <v>16200</v>
      </c>
      <c r="E4136" t="s">
        <v>19985</v>
      </c>
      <c r="F4136" t="s">
        <v>28198</v>
      </c>
      <c r="G4136" t="s">
        <v>28207</v>
      </c>
      <c r="H4136" t="s">
        <v>28215</v>
      </c>
      <c r="I4136" t="s">
        <v>28225</v>
      </c>
      <c r="J4136" t="s">
        <v>31031</v>
      </c>
      <c r="K4136" t="s">
        <v>36701</v>
      </c>
      <c r="M4136" t="s">
        <v>38582</v>
      </c>
      <c r="N4136" t="s">
        <v>40436</v>
      </c>
      <c r="O4136" t="s">
        <v>40437</v>
      </c>
      <c r="P4136">
        <v>0</v>
      </c>
      <c r="Q4136">
        <v>5</v>
      </c>
      <c r="R4136" t="s">
        <v>40439</v>
      </c>
      <c r="S4136" t="s">
        <v>40588</v>
      </c>
      <c r="T4136" t="s">
        <v>42161</v>
      </c>
      <c r="U4136" t="s">
        <v>46161</v>
      </c>
      <c r="W4136" t="s">
        <v>38582</v>
      </c>
      <c r="X4136" t="s">
        <v>40440</v>
      </c>
    </row>
    <row r="4137" spans="1:24">
      <c r="A4137">
        <f>HYPERLINK("https://www.philgeps.gov.ph/GEPSNONPILOT/Tender/SplashBidNoticeAbstractUI.aspx?menuIndex=3&amp;refID=7046380&amp;Result=3","7046380")</f>
        <v>0</v>
      </c>
      <c r="B4137" t="s">
        <v>1163</v>
      </c>
      <c r="C4137" t="s">
        <v>7037</v>
      </c>
      <c r="D4137" t="s">
        <v>16209</v>
      </c>
      <c r="E4137" t="s">
        <v>19986</v>
      </c>
      <c r="F4137" t="s">
        <v>28198</v>
      </c>
      <c r="G4137" t="s">
        <v>28207</v>
      </c>
      <c r="H4137" t="s">
        <v>28217</v>
      </c>
      <c r="I4137" t="s">
        <v>3797</v>
      </c>
      <c r="J4137" t="s">
        <v>31032</v>
      </c>
      <c r="K4137" t="s">
        <v>36701</v>
      </c>
      <c r="M4137" t="s">
        <v>38203</v>
      </c>
      <c r="N4137" t="s">
        <v>40436</v>
      </c>
      <c r="O4137" t="s">
        <v>40437</v>
      </c>
      <c r="P4137">
        <v>0</v>
      </c>
      <c r="Q4137">
        <v>0</v>
      </c>
      <c r="R4137" t="s">
        <v>40439</v>
      </c>
      <c r="S4137" t="s">
        <v>40588</v>
      </c>
      <c r="T4137" t="s">
        <v>42133</v>
      </c>
      <c r="U4137" t="s">
        <v>46162</v>
      </c>
      <c r="W4137" t="s">
        <v>38203</v>
      </c>
      <c r="X4137" t="s">
        <v>40440</v>
      </c>
    </row>
    <row r="4138" spans="1:24">
      <c r="A4138">
        <f>HYPERLINK("https://www.philgeps.gov.ph/GEPSNONPILOT/Tender/SplashBidNoticeAbstractUI.aspx?menuIndex=3&amp;refID=7046403&amp;Result=3","7046403")</f>
        <v>0</v>
      </c>
      <c r="B4138" t="s">
        <v>472</v>
      </c>
      <c r="C4138" t="s">
        <v>7038</v>
      </c>
      <c r="D4138" t="s">
        <v>16258</v>
      </c>
      <c r="E4138" t="s">
        <v>19987</v>
      </c>
      <c r="F4138" t="s">
        <v>28198</v>
      </c>
      <c r="G4138" t="s">
        <v>28205</v>
      </c>
      <c r="H4138" t="s">
        <v>28215</v>
      </c>
      <c r="I4138" t="s">
        <v>4168</v>
      </c>
      <c r="J4138" t="s">
        <v>28694</v>
      </c>
      <c r="K4138" t="s">
        <v>36707</v>
      </c>
      <c r="M4138" t="s">
        <v>37457</v>
      </c>
      <c r="N4138" t="s">
        <v>40436</v>
      </c>
      <c r="O4138" t="s">
        <v>40437</v>
      </c>
      <c r="P4138">
        <v>0</v>
      </c>
      <c r="Q4138">
        <v>0</v>
      </c>
      <c r="R4138" t="s">
        <v>40439</v>
      </c>
      <c r="S4138" t="s">
        <v>40588</v>
      </c>
      <c r="T4138" t="s">
        <v>42112</v>
      </c>
      <c r="U4138" t="s">
        <v>46163</v>
      </c>
      <c r="W4138" t="s">
        <v>37457</v>
      </c>
      <c r="X4138" t="s">
        <v>40440</v>
      </c>
    </row>
    <row r="4139" spans="1:24">
      <c r="A4139">
        <f>HYPERLINK("https://www.philgeps.gov.ph/GEPSNONPILOT/Tender/SplashBidNoticeAbstractUI.aspx?menuIndex=3&amp;refID=7046390&amp;Result=3","7046390")</f>
        <v>0</v>
      </c>
      <c r="B4139" t="s">
        <v>1497</v>
      </c>
      <c r="C4139" t="s">
        <v>7039</v>
      </c>
      <c r="D4139" t="s">
        <v>16211</v>
      </c>
      <c r="E4139" t="s">
        <v>19988</v>
      </c>
      <c r="F4139" t="s">
        <v>28198</v>
      </c>
      <c r="G4139" t="s">
        <v>28205</v>
      </c>
      <c r="H4139" t="s">
        <v>28215</v>
      </c>
      <c r="I4139" t="s">
        <v>3774</v>
      </c>
      <c r="J4139" t="s">
        <v>29206</v>
      </c>
      <c r="K4139" t="s">
        <v>36688</v>
      </c>
      <c r="M4139" t="s">
        <v>38572</v>
      </c>
      <c r="N4139" t="s">
        <v>40436</v>
      </c>
      <c r="O4139" t="s">
        <v>40437</v>
      </c>
      <c r="P4139">
        <v>0</v>
      </c>
      <c r="Q4139">
        <v>0</v>
      </c>
      <c r="R4139" t="s">
        <v>40439</v>
      </c>
      <c r="S4139" t="s">
        <v>40588</v>
      </c>
      <c r="T4139" t="s">
        <v>42144</v>
      </c>
      <c r="U4139" t="s">
        <v>46164</v>
      </c>
      <c r="V4139" t="s">
        <v>54201</v>
      </c>
      <c r="W4139" t="s">
        <v>38572</v>
      </c>
      <c r="X4139" t="s">
        <v>40440</v>
      </c>
    </row>
    <row r="4140" spans="1:24">
      <c r="A4140">
        <f>HYPERLINK("https://www.philgeps.gov.ph/GEPSNONPILOT/Tender/SplashBidNoticeAbstractUI.aspx?menuIndex=3&amp;refID=7046417&amp;Result=3","7046417")</f>
        <v>0</v>
      </c>
      <c r="B4140" t="s">
        <v>65</v>
      </c>
      <c r="C4140" t="s">
        <v>7040</v>
      </c>
      <c r="D4140" t="s">
        <v>16210</v>
      </c>
      <c r="E4140" t="s">
        <v>19989</v>
      </c>
      <c r="F4140" t="s">
        <v>28198</v>
      </c>
      <c r="G4140" t="s">
        <v>28205</v>
      </c>
      <c r="H4140" t="s">
        <v>28214</v>
      </c>
      <c r="I4140" t="s">
        <v>3797</v>
      </c>
      <c r="J4140" t="s">
        <v>31033</v>
      </c>
      <c r="K4140" t="s">
        <v>36742</v>
      </c>
      <c r="M4140" t="s">
        <v>38583</v>
      </c>
      <c r="N4140" t="s">
        <v>40436</v>
      </c>
      <c r="O4140" t="s">
        <v>40437</v>
      </c>
      <c r="P4140">
        <v>0</v>
      </c>
      <c r="Q4140">
        <v>9</v>
      </c>
      <c r="R4140" t="s">
        <v>40439</v>
      </c>
      <c r="S4140" t="s">
        <v>40588</v>
      </c>
      <c r="T4140" t="s">
        <v>42125</v>
      </c>
      <c r="U4140" t="s">
        <v>46165</v>
      </c>
      <c r="W4140" t="s">
        <v>38583</v>
      </c>
      <c r="X4140" t="s">
        <v>40440</v>
      </c>
    </row>
    <row r="4141" spans="1:24">
      <c r="A4141">
        <f>HYPERLINK("https://www.philgeps.gov.ph/GEPSNONPILOT/Tender/SplashBidNoticeAbstractUI.aspx?menuIndex=3&amp;refID=7046397&amp;Result=3","7046397")</f>
        <v>0</v>
      </c>
      <c r="B4141" t="s">
        <v>1492</v>
      </c>
      <c r="C4141" t="s">
        <v>7041</v>
      </c>
      <c r="D4141" t="s">
        <v>16196</v>
      </c>
      <c r="E4141" t="s">
        <v>19990</v>
      </c>
      <c r="F4141" t="s">
        <v>28198</v>
      </c>
      <c r="G4141" t="s">
        <v>28207</v>
      </c>
      <c r="H4141" t="s">
        <v>28217</v>
      </c>
      <c r="I4141" t="s">
        <v>28266</v>
      </c>
      <c r="J4141" t="s">
        <v>28386</v>
      </c>
      <c r="K4141" t="s">
        <v>36707</v>
      </c>
      <c r="M4141" t="s">
        <v>38567</v>
      </c>
      <c r="N4141" t="s">
        <v>40436</v>
      </c>
      <c r="O4141" t="s">
        <v>40437</v>
      </c>
      <c r="P4141">
        <v>0</v>
      </c>
      <c r="Q4141">
        <v>1</v>
      </c>
      <c r="R4141" t="s">
        <v>40439</v>
      </c>
      <c r="S4141" t="s">
        <v>40588</v>
      </c>
      <c r="T4141" t="s">
        <v>42169</v>
      </c>
      <c r="U4141" t="s">
        <v>46166</v>
      </c>
      <c r="W4141" t="s">
        <v>38567</v>
      </c>
      <c r="X4141" t="s">
        <v>40440</v>
      </c>
    </row>
    <row r="4142" spans="1:24">
      <c r="A4142">
        <f>HYPERLINK("https://www.philgeps.gov.ph/GEPSNONPILOT/Tender/SplashBidNoticeAbstractUI.aspx?menuIndex=3&amp;refID=7046413&amp;Result=3","7046413")</f>
        <v>0</v>
      </c>
      <c r="B4142" t="s">
        <v>1508</v>
      </c>
      <c r="C4142" t="s">
        <v>7042</v>
      </c>
      <c r="D4142" t="s">
        <v>16203</v>
      </c>
      <c r="E4142" t="s">
        <v>19991</v>
      </c>
      <c r="F4142" t="s">
        <v>28198</v>
      </c>
      <c r="G4142" t="s">
        <v>28207</v>
      </c>
      <c r="H4142" t="s">
        <v>28215</v>
      </c>
      <c r="I4142" t="s">
        <v>28237</v>
      </c>
      <c r="J4142" t="s">
        <v>31034</v>
      </c>
      <c r="K4142" t="s">
        <v>36701</v>
      </c>
      <c r="M4142" t="s">
        <v>38584</v>
      </c>
      <c r="N4142" t="s">
        <v>40436</v>
      </c>
      <c r="O4142" t="s">
        <v>40437</v>
      </c>
      <c r="P4142">
        <v>0</v>
      </c>
      <c r="Q4142">
        <v>2</v>
      </c>
      <c r="R4142" t="s">
        <v>40439</v>
      </c>
      <c r="S4142" t="s">
        <v>40588</v>
      </c>
      <c r="T4142" t="s">
        <v>42375</v>
      </c>
      <c r="U4142" t="s">
        <v>46167</v>
      </c>
      <c r="W4142" t="s">
        <v>38584</v>
      </c>
      <c r="X4142" t="s">
        <v>40440</v>
      </c>
    </row>
    <row r="4143" spans="1:24">
      <c r="A4143">
        <f>HYPERLINK("https://www.philgeps.gov.ph/GEPSNONPILOT/Tender/SplashBidNoticeAbstractUI.aspx?menuIndex=3&amp;refID=7046414&amp;Result=3","7046414")</f>
        <v>0</v>
      </c>
      <c r="B4143" t="s">
        <v>1497</v>
      </c>
      <c r="C4143" t="s">
        <v>7002</v>
      </c>
      <c r="D4143" t="s">
        <v>16211</v>
      </c>
      <c r="E4143" t="s">
        <v>19992</v>
      </c>
      <c r="F4143" t="s">
        <v>28198</v>
      </c>
      <c r="G4143" t="s">
        <v>28205</v>
      </c>
      <c r="H4143" t="s">
        <v>28215</v>
      </c>
      <c r="I4143" t="s">
        <v>28225</v>
      </c>
      <c r="J4143" t="s">
        <v>31035</v>
      </c>
      <c r="K4143" t="s">
        <v>36688</v>
      </c>
      <c r="M4143" t="s">
        <v>38572</v>
      </c>
      <c r="N4143" t="s">
        <v>40436</v>
      </c>
      <c r="O4143" t="s">
        <v>40437</v>
      </c>
      <c r="P4143">
        <v>0</v>
      </c>
      <c r="Q4143">
        <v>1</v>
      </c>
      <c r="R4143" t="s">
        <v>40439</v>
      </c>
      <c r="S4143" t="s">
        <v>40588</v>
      </c>
      <c r="T4143" t="s">
        <v>42144</v>
      </c>
      <c r="U4143" t="s">
        <v>46168</v>
      </c>
      <c r="V4143" t="s">
        <v>54202</v>
      </c>
      <c r="W4143" t="s">
        <v>38572</v>
      </c>
      <c r="X4143" t="s">
        <v>40440</v>
      </c>
    </row>
    <row r="4144" spans="1:24">
      <c r="A4144">
        <f>HYPERLINK("https://www.philgeps.gov.ph/GEPSNONPILOT/Tender/SplashBidNoticeAbstractUI.aspx?menuIndex=3&amp;refID=7046412&amp;Result=3","7046412")</f>
        <v>0</v>
      </c>
      <c r="B4144" t="s">
        <v>1466</v>
      </c>
      <c r="C4144" t="s">
        <v>7043</v>
      </c>
      <c r="D4144" t="s">
        <v>16235</v>
      </c>
      <c r="E4144" t="s">
        <v>19993</v>
      </c>
      <c r="F4144" t="s">
        <v>28198</v>
      </c>
      <c r="G4144" t="s">
        <v>28207</v>
      </c>
      <c r="H4144" t="s">
        <v>28215</v>
      </c>
      <c r="I4144" t="s">
        <v>28220</v>
      </c>
      <c r="J4144" t="s">
        <v>28398</v>
      </c>
      <c r="K4144" t="s">
        <v>36689</v>
      </c>
      <c r="M4144" t="s">
        <v>38536</v>
      </c>
      <c r="N4144" t="s">
        <v>40436</v>
      </c>
      <c r="O4144" t="s">
        <v>40437</v>
      </c>
      <c r="P4144">
        <v>0</v>
      </c>
      <c r="Q4144">
        <v>17</v>
      </c>
      <c r="R4144" t="s">
        <v>40439</v>
      </c>
      <c r="S4144" t="s">
        <v>40588</v>
      </c>
      <c r="T4144" t="s">
        <v>42175</v>
      </c>
      <c r="U4144" t="s">
        <v>46169</v>
      </c>
      <c r="W4144" t="s">
        <v>38536</v>
      </c>
      <c r="X4144" t="s">
        <v>40440</v>
      </c>
    </row>
    <row r="4145" spans="1:24">
      <c r="A4145">
        <f>HYPERLINK("https://www.philgeps.gov.ph/GEPSNONPILOT/Tender/SplashBidNoticeAbstractUI.aspx?menuIndex=3&amp;refID=7046416&amp;Result=3","7046416")</f>
        <v>0</v>
      </c>
      <c r="B4145" t="s">
        <v>1509</v>
      </c>
      <c r="C4145" t="s">
        <v>7044</v>
      </c>
      <c r="D4145" t="s">
        <v>16262</v>
      </c>
      <c r="E4145" t="s">
        <v>19994</v>
      </c>
      <c r="F4145" t="s">
        <v>28198</v>
      </c>
      <c r="G4145" t="s">
        <v>28208</v>
      </c>
      <c r="H4145" t="s">
        <v>28214</v>
      </c>
      <c r="I4145" t="s">
        <v>3797</v>
      </c>
      <c r="J4145" t="s">
        <v>31036</v>
      </c>
      <c r="K4145" t="s">
        <v>36692</v>
      </c>
      <c r="M4145" t="s">
        <v>38585</v>
      </c>
      <c r="N4145" t="s">
        <v>40436</v>
      </c>
      <c r="O4145" t="s">
        <v>40437</v>
      </c>
      <c r="P4145">
        <v>0</v>
      </c>
      <c r="Q4145">
        <v>0</v>
      </c>
      <c r="R4145" t="s">
        <v>40439</v>
      </c>
      <c r="S4145" t="s">
        <v>40588</v>
      </c>
      <c r="T4145" t="s">
        <v>42108</v>
      </c>
      <c r="U4145" t="s">
        <v>46170</v>
      </c>
      <c r="V4145" t="s">
        <v>54203</v>
      </c>
      <c r="W4145" t="s">
        <v>55486</v>
      </c>
      <c r="X4145" t="s">
        <v>40440</v>
      </c>
    </row>
    <row r="4146" spans="1:24">
      <c r="A4146">
        <f>HYPERLINK("https://www.philgeps.gov.ph/GEPSNONPILOT/Tender/SplashBidNoticeAbstractUI.aspx?menuIndex=3&amp;refID=7046409&amp;Result=3","7046409")</f>
        <v>0</v>
      </c>
      <c r="B4146" t="s">
        <v>1106</v>
      </c>
      <c r="C4146" t="s">
        <v>7045</v>
      </c>
      <c r="D4146" t="s">
        <v>16210</v>
      </c>
      <c r="E4146" t="s">
        <v>19995</v>
      </c>
      <c r="F4146" t="s">
        <v>28198</v>
      </c>
      <c r="G4146" t="s">
        <v>28207</v>
      </c>
      <c r="H4146" t="s">
        <v>28215</v>
      </c>
      <c r="I4146" t="s">
        <v>28274</v>
      </c>
      <c r="J4146" t="s">
        <v>28361</v>
      </c>
      <c r="K4146" t="s">
        <v>36689</v>
      </c>
      <c r="M4146" t="s">
        <v>38142</v>
      </c>
      <c r="N4146" t="s">
        <v>40436</v>
      </c>
      <c r="O4146" t="s">
        <v>40437</v>
      </c>
      <c r="P4146">
        <v>0</v>
      </c>
      <c r="Q4146">
        <v>2</v>
      </c>
      <c r="R4146" t="s">
        <v>40439</v>
      </c>
      <c r="S4146" t="s">
        <v>40588</v>
      </c>
      <c r="T4146" t="s">
        <v>42156</v>
      </c>
      <c r="U4146" t="s">
        <v>46171</v>
      </c>
      <c r="W4146" t="s">
        <v>38142</v>
      </c>
      <c r="X4146" t="s">
        <v>40440</v>
      </c>
    </row>
    <row r="4147" spans="1:24">
      <c r="A4147">
        <f>HYPERLINK("https://www.philgeps.gov.ph/GEPSNONPILOT/Tender/SplashBidNoticeAbstractUI.aspx?menuIndex=3&amp;refID=7046418&amp;Result=3","7046418")</f>
        <v>0</v>
      </c>
      <c r="B4147" t="s">
        <v>1299</v>
      </c>
      <c r="C4147" t="s">
        <v>7046</v>
      </c>
      <c r="D4147" t="s">
        <v>16208</v>
      </c>
      <c r="E4147" t="s">
        <v>19996</v>
      </c>
      <c r="F4147" t="s">
        <v>28198</v>
      </c>
      <c r="G4147" t="s">
        <v>28206</v>
      </c>
      <c r="H4147" t="s">
        <v>28215</v>
      </c>
      <c r="I4147" t="s">
        <v>5100</v>
      </c>
      <c r="J4147" t="s">
        <v>31037</v>
      </c>
      <c r="K4147" t="s">
        <v>36691</v>
      </c>
      <c r="M4147" t="s">
        <v>38353</v>
      </c>
      <c r="N4147" t="s">
        <v>40436</v>
      </c>
      <c r="O4147" t="s">
        <v>40437</v>
      </c>
      <c r="P4147">
        <v>0</v>
      </c>
      <c r="Q4147">
        <v>0</v>
      </c>
      <c r="R4147" t="s">
        <v>40439</v>
      </c>
      <c r="S4147" t="s">
        <v>40588</v>
      </c>
      <c r="T4147" t="s">
        <v>42245</v>
      </c>
      <c r="U4147" t="s">
        <v>46172</v>
      </c>
      <c r="W4147" t="s">
        <v>38353</v>
      </c>
      <c r="X4147" t="s">
        <v>40440</v>
      </c>
    </row>
    <row r="4148" spans="1:24">
      <c r="A4148">
        <f>HYPERLINK("https://www.philgeps.gov.ph/GEPSNONPILOT/Tender/SplashBidNoticeAbstractUI.aspx?menuIndex=3&amp;refID=7046404&amp;Result=3","7046404")</f>
        <v>0</v>
      </c>
      <c r="B4148" t="s">
        <v>1042</v>
      </c>
      <c r="C4148" t="s">
        <v>7047</v>
      </c>
      <c r="D4148" t="s">
        <v>16197</v>
      </c>
      <c r="E4148" t="s">
        <v>19997</v>
      </c>
      <c r="F4148" t="s">
        <v>28198</v>
      </c>
      <c r="G4148" t="s">
        <v>28207</v>
      </c>
      <c r="H4148" t="s">
        <v>28215</v>
      </c>
      <c r="I4148" t="s">
        <v>6013</v>
      </c>
      <c r="J4148" t="s">
        <v>28415</v>
      </c>
      <c r="K4148" t="s">
        <v>36706</v>
      </c>
      <c r="M4148" t="s">
        <v>38075</v>
      </c>
      <c r="N4148" t="s">
        <v>40436</v>
      </c>
      <c r="O4148" t="s">
        <v>40437</v>
      </c>
      <c r="P4148">
        <v>0</v>
      </c>
      <c r="Q4148">
        <v>0</v>
      </c>
      <c r="R4148" t="s">
        <v>40439</v>
      </c>
      <c r="S4148" t="s">
        <v>40588</v>
      </c>
      <c r="T4148" t="s">
        <v>42111</v>
      </c>
      <c r="U4148" t="s">
        <v>46173</v>
      </c>
      <c r="W4148" t="s">
        <v>38075</v>
      </c>
      <c r="X4148" t="s">
        <v>40440</v>
      </c>
    </row>
    <row r="4149" spans="1:24">
      <c r="A4149">
        <f>HYPERLINK("https://www.philgeps.gov.ph/GEPSNONPILOT/Tender/SplashBidNoticeAbstractUI.aspx?menuIndex=3&amp;refID=7046411&amp;Result=3","7046411")</f>
        <v>0</v>
      </c>
      <c r="B4149" t="s">
        <v>1510</v>
      </c>
      <c r="C4149" t="s">
        <v>7048</v>
      </c>
      <c r="D4149" t="s">
        <v>16187</v>
      </c>
      <c r="E4149" t="s">
        <v>19998</v>
      </c>
      <c r="F4149" t="s">
        <v>28198</v>
      </c>
      <c r="G4149" t="s">
        <v>28205</v>
      </c>
      <c r="H4149" t="s">
        <v>28214</v>
      </c>
      <c r="I4149" t="s">
        <v>8870</v>
      </c>
      <c r="J4149" t="s">
        <v>28378</v>
      </c>
      <c r="K4149" t="s">
        <v>36708</v>
      </c>
      <c r="M4149" t="s">
        <v>38586</v>
      </c>
      <c r="N4149" t="s">
        <v>40436</v>
      </c>
      <c r="O4149" t="s">
        <v>40437</v>
      </c>
      <c r="P4149">
        <v>0</v>
      </c>
      <c r="Q4149">
        <v>0</v>
      </c>
      <c r="R4149" t="s">
        <v>40439</v>
      </c>
      <c r="S4149" t="s">
        <v>40588</v>
      </c>
      <c r="T4149" t="s">
        <v>42203</v>
      </c>
      <c r="U4149" t="s">
        <v>46174</v>
      </c>
      <c r="W4149" t="s">
        <v>38586</v>
      </c>
      <c r="X4149" t="s">
        <v>40440</v>
      </c>
    </row>
    <row r="4150" spans="1:24">
      <c r="A4150">
        <f>HYPERLINK("https://www.philgeps.gov.ph/GEPSNONPILOT/Tender/SplashBidNoticeAbstractUI.aspx?menuIndex=3&amp;refID=7046389&amp;Result=3","7046389")</f>
        <v>0</v>
      </c>
      <c r="B4150" t="s">
        <v>1480</v>
      </c>
      <c r="C4150" t="s">
        <v>7049</v>
      </c>
      <c r="D4150" t="s">
        <v>16193</v>
      </c>
      <c r="E4150" t="s">
        <v>19999</v>
      </c>
      <c r="F4150" t="s">
        <v>28198</v>
      </c>
      <c r="G4150" t="s">
        <v>28205</v>
      </c>
      <c r="H4150" t="s">
        <v>28215</v>
      </c>
      <c r="I4150" t="s">
        <v>4168</v>
      </c>
      <c r="J4150" t="s">
        <v>29576</v>
      </c>
      <c r="K4150" t="s">
        <v>36689</v>
      </c>
      <c r="M4150" t="s">
        <v>38551</v>
      </c>
      <c r="N4150" t="s">
        <v>40436</v>
      </c>
      <c r="O4150" t="s">
        <v>40437</v>
      </c>
      <c r="P4150">
        <v>0</v>
      </c>
      <c r="Q4150">
        <v>3</v>
      </c>
      <c r="R4150" t="s">
        <v>40439</v>
      </c>
      <c r="S4150" t="s">
        <v>40588</v>
      </c>
      <c r="T4150" t="s">
        <v>42144</v>
      </c>
      <c r="U4150" t="s">
        <v>46071</v>
      </c>
      <c r="V4150" t="s">
        <v>54189</v>
      </c>
      <c r="W4150" t="s">
        <v>38551</v>
      </c>
      <c r="X4150" t="s">
        <v>40440</v>
      </c>
    </row>
    <row r="4151" spans="1:24">
      <c r="A4151">
        <f>HYPERLINK("https://www.philgeps.gov.ph/GEPSNONPILOT/Tender/SplashBidNoticeAbstractUI.aspx?menuIndex=3&amp;refID=7046428&amp;Result=3","7046428")</f>
        <v>0</v>
      </c>
      <c r="B4151" t="s">
        <v>670</v>
      </c>
      <c r="C4151" t="s">
        <v>7050</v>
      </c>
      <c r="E4151" t="s">
        <v>20000</v>
      </c>
      <c r="F4151" t="s">
        <v>28198</v>
      </c>
      <c r="G4151" t="s">
        <v>28205</v>
      </c>
      <c r="H4151" t="s">
        <v>28214</v>
      </c>
      <c r="I4151" t="s">
        <v>3797</v>
      </c>
      <c r="J4151" t="s">
        <v>31038</v>
      </c>
      <c r="K4151" t="s">
        <v>36812</v>
      </c>
      <c r="M4151" t="s">
        <v>37666</v>
      </c>
      <c r="N4151" t="s">
        <v>40436</v>
      </c>
      <c r="O4151" t="s">
        <v>40437</v>
      </c>
      <c r="P4151">
        <v>0</v>
      </c>
      <c r="Q4151">
        <v>0</v>
      </c>
      <c r="R4151" t="s">
        <v>40439</v>
      </c>
      <c r="S4151" t="s">
        <v>40588</v>
      </c>
      <c r="T4151" t="s">
        <v>42248</v>
      </c>
      <c r="U4151" t="s">
        <v>46069</v>
      </c>
      <c r="W4151" t="s">
        <v>37666</v>
      </c>
      <c r="X4151" t="s">
        <v>40440</v>
      </c>
    </row>
    <row r="4152" spans="1:24">
      <c r="A4152">
        <f>HYPERLINK("https://www.philgeps.gov.ph/GEPSNONPILOT/Tender/SplashBidNoticeAbstractUI.aspx?menuIndex=3&amp;refID=7046408&amp;Result=3","7046408")</f>
        <v>0</v>
      </c>
      <c r="B4152" t="s">
        <v>1494</v>
      </c>
      <c r="C4152" t="s">
        <v>7051</v>
      </c>
      <c r="D4152" t="s">
        <v>16247</v>
      </c>
      <c r="E4152" t="s">
        <v>18873</v>
      </c>
      <c r="F4152" t="s">
        <v>28198</v>
      </c>
      <c r="G4152" t="s">
        <v>28210</v>
      </c>
      <c r="H4152" t="s">
        <v>28215</v>
      </c>
      <c r="I4152" t="s">
        <v>4168</v>
      </c>
      <c r="J4152" t="s">
        <v>28345</v>
      </c>
      <c r="K4152" t="s">
        <v>36688</v>
      </c>
      <c r="M4152" t="s">
        <v>38569</v>
      </c>
      <c r="N4152" t="s">
        <v>40436</v>
      </c>
      <c r="O4152" t="s">
        <v>40437</v>
      </c>
      <c r="P4152">
        <v>0</v>
      </c>
      <c r="Q4152">
        <v>1</v>
      </c>
      <c r="R4152" t="s">
        <v>40439</v>
      </c>
      <c r="S4152" t="s">
        <v>40588</v>
      </c>
      <c r="T4152" t="s">
        <v>42326</v>
      </c>
      <c r="U4152" t="s">
        <v>46175</v>
      </c>
      <c r="W4152" t="s">
        <v>38569</v>
      </c>
      <c r="X4152" t="s">
        <v>40440</v>
      </c>
    </row>
    <row r="4153" spans="1:24">
      <c r="A4153">
        <f>HYPERLINK("https://www.philgeps.gov.ph/GEPSNONPILOT/Tender/SplashBidNoticeAbstractUI.aspx?menuIndex=3&amp;refID=7046379&amp;Result=3","7046379")</f>
        <v>0</v>
      </c>
      <c r="B4153" t="s">
        <v>1511</v>
      </c>
      <c r="C4153" t="s">
        <v>7052</v>
      </c>
      <c r="E4153" t="s">
        <v>20001</v>
      </c>
      <c r="F4153" t="s">
        <v>28198</v>
      </c>
      <c r="G4153" t="s">
        <v>28206</v>
      </c>
      <c r="H4153" t="s">
        <v>28215</v>
      </c>
      <c r="I4153" t="s">
        <v>5082</v>
      </c>
      <c r="J4153" t="s">
        <v>31039</v>
      </c>
      <c r="K4153" t="s">
        <v>36689</v>
      </c>
      <c r="M4153" t="s">
        <v>38587</v>
      </c>
      <c r="N4153" t="s">
        <v>40436</v>
      </c>
      <c r="O4153" t="s">
        <v>40437</v>
      </c>
      <c r="P4153">
        <v>0</v>
      </c>
      <c r="Q4153">
        <v>1</v>
      </c>
      <c r="R4153" t="s">
        <v>40439</v>
      </c>
      <c r="S4153" t="s">
        <v>40588</v>
      </c>
      <c r="T4153" t="s">
        <v>42142</v>
      </c>
      <c r="U4153" t="s">
        <v>46176</v>
      </c>
      <c r="W4153" t="s">
        <v>38587</v>
      </c>
      <c r="X4153" t="s">
        <v>40440</v>
      </c>
    </row>
    <row r="4154" spans="1:24">
      <c r="A4154">
        <f>HYPERLINK("https://www.philgeps.gov.ph/GEPSNONPILOT/Tender/SplashBidNoticeAbstractUI.aspx?menuIndex=3&amp;refID=7046407&amp;Result=3","7046407")</f>
        <v>0</v>
      </c>
      <c r="B4154" t="s">
        <v>1440</v>
      </c>
      <c r="C4154" t="s">
        <v>7053</v>
      </c>
      <c r="D4154" t="s">
        <v>16204</v>
      </c>
      <c r="E4154" t="s">
        <v>7053</v>
      </c>
      <c r="F4154" t="s">
        <v>28198</v>
      </c>
      <c r="G4154" t="s">
        <v>28206</v>
      </c>
      <c r="H4154" t="s">
        <v>28215</v>
      </c>
      <c r="I4154" t="s">
        <v>5103</v>
      </c>
      <c r="J4154" t="s">
        <v>29420</v>
      </c>
      <c r="K4154" t="s">
        <v>36693</v>
      </c>
      <c r="M4154" t="s">
        <v>38507</v>
      </c>
      <c r="N4154" t="s">
        <v>40436</v>
      </c>
      <c r="O4154" t="s">
        <v>40437</v>
      </c>
      <c r="P4154">
        <v>0</v>
      </c>
      <c r="Q4154">
        <v>6</v>
      </c>
      <c r="R4154" t="s">
        <v>40439</v>
      </c>
      <c r="S4154" t="s">
        <v>40588</v>
      </c>
      <c r="T4154" t="s">
        <v>42277</v>
      </c>
      <c r="U4154" t="s">
        <v>45954</v>
      </c>
      <c r="W4154" t="s">
        <v>38507</v>
      </c>
      <c r="X4154" t="s">
        <v>40440</v>
      </c>
    </row>
    <row r="4155" spans="1:24">
      <c r="A4155">
        <f>HYPERLINK("https://www.philgeps.gov.ph/GEPSNONPILOT/Tender/SplashBidNoticeAbstractUI.aspx?menuIndex=3&amp;refID=7046423&amp;Result=3","7046423")</f>
        <v>0</v>
      </c>
      <c r="B4155" t="s">
        <v>1499</v>
      </c>
      <c r="C4155" t="s">
        <v>7054</v>
      </c>
      <c r="D4155" t="s">
        <v>16211</v>
      </c>
      <c r="E4155" t="s">
        <v>20002</v>
      </c>
      <c r="F4155" t="s">
        <v>28198</v>
      </c>
      <c r="G4155" t="s">
        <v>28207</v>
      </c>
      <c r="H4155" t="s">
        <v>28215</v>
      </c>
      <c r="I4155" t="s">
        <v>5082</v>
      </c>
      <c r="J4155" t="s">
        <v>31040</v>
      </c>
      <c r="K4155" t="s">
        <v>36707</v>
      </c>
      <c r="M4155" t="s">
        <v>38574</v>
      </c>
      <c r="N4155" t="s">
        <v>40436</v>
      </c>
      <c r="O4155" t="s">
        <v>40437</v>
      </c>
      <c r="P4155">
        <v>0</v>
      </c>
      <c r="Q4155">
        <v>0</v>
      </c>
      <c r="R4155" t="s">
        <v>40439</v>
      </c>
      <c r="S4155" t="s">
        <v>40588</v>
      </c>
      <c r="T4155" t="s">
        <v>42131</v>
      </c>
      <c r="U4155" t="s">
        <v>46133</v>
      </c>
      <c r="W4155" t="s">
        <v>38574</v>
      </c>
      <c r="X4155" t="s">
        <v>40440</v>
      </c>
    </row>
    <row r="4156" spans="1:24">
      <c r="A4156">
        <f>HYPERLINK("https://www.philgeps.gov.ph/GEPSNONPILOT/Tender/SplashBidNoticeAbstractUI.aspx?menuIndex=3&amp;refID=7046426&amp;Result=3","7046426")</f>
        <v>0</v>
      </c>
      <c r="B4156" t="s">
        <v>65</v>
      </c>
      <c r="C4156" t="s">
        <v>7055</v>
      </c>
      <c r="D4156" t="s">
        <v>16210</v>
      </c>
      <c r="E4156" t="s">
        <v>19531</v>
      </c>
      <c r="F4156" t="s">
        <v>28198</v>
      </c>
      <c r="G4156" t="s">
        <v>28207</v>
      </c>
      <c r="H4156" t="s">
        <v>28215</v>
      </c>
      <c r="I4156" t="s">
        <v>28293</v>
      </c>
      <c r="J4156" t="s">
        <v>31041</v>
      </c>
      <c r="K4156" t="s">
        <v>36689</v>
      </c>
      <c r="M4156" t="s">
        <v>37036</v>
      </c>
      <c r="N4156" t="s">
        <v>40436</v>
      </c>
      <c r="O4156" t="s">
        <v>40437</v>
      </c>
      <c r="P4156">
        <v>0</v>
      </c>
      <c r="Q4156">
        <v>2</v>
      </c>
      <c r="R4156" t="s">
        <v>40439</v>
      </c>
      <c r="S4156" t="s">
        <v>40588</v>
      </c>
      <c r="T4156" t="s">
        <v>42134</v>
      </c>
      <c r="U4156" t="s">
        <v>46177</v>
      </c>
      <c r="V4156" t="s">
        <v>53786</v>
      </c>
      <c r="W4156" t="s">
        <v>37036</v>
      </c>
      <c r="X4156" t="s">
        <v>40440</v>
      </c>
    </row>
    <row r="4157" spans="1:24">
      <c r="A4157">
        <f>HYPERLINK("https://www.philgeps.gov.ph/GEPSNONPILOT/Tender/SplashBidNoticeAbstractUI.aspx?menuIndex=3&amp;refID=7046419&amp;Result=3","7046419")</f>
        <v>0</v>
      </c>
      <c r="B4157" t="s">
        <v>781</v>
      </c>
      <c r="C4157" t="s">
        <v>7056</v>
      </c>
      <c r="D4157" t="s">
        <v>16200</v>
      </c>
      <c r="E4157" t="s">
        <v>20003</v>
      </c>
      <c r="F4157" t="s">
        <v>28198</v>
      </c>
      <c r="G4157" t="s">
        <v>28206</v>
      </c>
      <c r="H4157" t="s">
        <v>28215</v>
      </c>
      <c r="I4157" t="s">
        <v>5100</v>
      </c>
      <c r="J4157" t="s">
        <v>31042</v>
      </c>
      <c r="K4157" t="s">
        <v>36689</v>
      </c>
      <c r="M4157" t="s">
        <v>37785</v>
      </c>
      <c r="N4157" t="s">
        <v>40436</v>
      </c>
      <c r="O4157" t="s">
        <v>40437</v>
      </c>
      <c r="P4157">
        <v>0</v>
      </c>
      <c r="Q4157">
        <v>0</v>
      </c>
      <c r="R4157" t="s">
        <v>40439</v>
      </c>
      <c r="S4157" t="s">
        <v>40588</v>
      </c>
      <c r="T4157" t="s">
        <v>42277</v>
      </c>
      <c r="U4157" t="s">
        <v>46178</v>
      </c>
      <c r="W4157" t="s">
        <v>37785</v>
      </c>
      <c r="X4157" t="s">
        <v>40440</v>
      </c>
    </row>
    <row r="4158" spans="1:24">
      <c r="A4158">
        <f>HYPERLINK("https://www.philgeps.gov.ph/GEPSNONPILOT/Tender/SplashBidNoticeAbstractUI.aspx?menuIndex=3&amp;refID=7046427&amp;Result=3","7046427")</f>
        <v>0</v>
      </c>
      <c r="B4158" t="s">
        <v>1047</v>
      </c>
      <c r="C4158" t="s">
        <v>7057</v>
      </c>
      <c r="D4158" t="s">
        <v>16219</v>
      </c>
      <c r="E4158" t="s">
        <v>20004</v>
      </c>
      <c r="F4158" t="s">
        <v>28198</v>
      </c>
      <c r="G4158" t="s">
        <v>28205</v>
      </c>
      <c r="H4158" t="s">
        <v>28215</v>
      </c>
      <c r="I4158" t="s">
        <v>5082</v>
      </c>
      <c r="J4158" t="s">
        <v>29283</v>
      </c>
      <c r="K4158" t="s">
        <v>36689</v>
      </c>
      <c r="M4158" t="s">
        <v>38080</v>
      </c>
      <c r="N4158" t="s">
        <v>40436</v>
      </c>
      <c r="O4158" t="s">
        <v>40437</v>
      </c>
      <c r="P4158">
        <v>0</v>
      </c>
      <c r="Q4158">
        <v>0</v>
      </c>
      <c r="R4158" t="s">
        <v>40439</v>
      </c>
      <c r="S4158" t="s">
        <v>40588</v>
      </c>
      <c r="T4158" t="s">
        <v>42144</v>
      </c>
      <c r="U4158" t="s">
        <v>46160</v>
      </c>
      <c r="W4158" t="s">
        <v>38080</v>
      </c>
      <c r="X4158" t="s">
        <v>40440</v>
      </c>
    </row>
    <row r="4159" spans="1:24">
      <c r="A4159">
        <f>HYPERLINK("https://www.philgeps.gov.ph/GEPSNONPILOT/Tender/SplashBidNoticeAbstractUI.aspx?menuIndex=3&amp;refID=7046424&amp;Result=3","7046424")</f>
        <v>0</v>
      </c>
      <c r="B4159" t="s">
        <v>1259</v>
      </c>
      <c r="C4159" t="s">
        <v>7058</v>
      </c>
      <c r="D4159" t="s">
        <v>16219</v>
      </c>
      <c r="E4159" t="s">
        <v>20005</v>
      </c>
      <c r="F4159" t="s">
        <v>28198</v>
      </c>
      <c r="G4159" t="s">
        <v>28207</v>
      </c>
      <c r="H4159" t="s">
        <v>28215</v>
      </c>
      <c r="I4159" t="s">
        <v>5631</v>
      </c>
      <c r="J4159" t="s">
        <v>31043</v>
      </c>
      <c r="K4159" t="s">
        <v>36689</v>
      </c>
      <c r="M4159" t="s">
        <v>38309</v>
      </c>
      <c r="N4159" t="s">
        <v>40436</v>
      </c>
      <c r="O4159" t="s">
        <v>40437</v>
      </c>
      <c r="P4159">
        <v>0</v>
      </c>
      <c r="Q4159">
        <v>0</v>
      </c>
      <c r="R4159" t="s">
        <v>40439</v>
      </c>
      <c r="S4159" t="s">
        <v>40588</v>
      </c>
      <c r="T4159" t="s">
        <v>42320</v>
      </c>
      <c r="U4159" t="s">
        <v>46087</v>
      </c>
      <c r="W4159" t="s">
        <v>38309</v>
      </c>
      <c r="X4159" t="s">
        <v>40440</v>
      </c>
    </row>
    <row r="4160" spans="1:24">
      <c r="A4160">
        <f>HYPERLINK("https://www.philgeps.gov.ph/GEPSNONPILOT/Tender/SplashBidNoticeAbstractUI.aspx?menuIndex=3&amp;refID=7046421&amp;Result=3","7046421")</f>
        <v>0</v>
      </c>
      <c r="B4160" t="s">
        <v>360</v>
      </c>
      <c r="C4160" t="s">
        <v>7059</v>
      </c>
      <c r="D4160" t="s">
        <v>16210</v>
      </c>
      <c r="E4160" t="s">
        <v>20006</v>
      </c>
      <c r="F4160" t="s">
        <v>28198</v>
      </c>
      <c r="G4160" t="s">
        <v>28205</v>
      </c>
      <c r="H4160" t="s">
        <v>28215</v>
      </c>
      <c r="I4160" t="s">
        <v>28255</v>
      </c>
      <c r="J4160" t="s">
        <v>31044</v>
      </c>
      <c r="K4160" t="s">
        <v>36689</v>
      </c>
      <c r="M4160" t="s">
        <v>38588</v>
      </c>
      <c r="N4160" t="s">
        <v>40436</v>
      </c>
      <c r="O4160" t="s">
        <v>40437</v>
      </c>
      <c r="P4160">
        <v>0</v>
      </c>
      <c r="Q4160">
        <v>3</v>
      </c>
      <c r="R4160" t="s">
        <v>40439</v>
      </c>
      <c r="S4160" t="s">
        <v>40588</v>
      </c>
      <c r="T4160" t="s">
        <v>42107</v>
      </c>
      <c r="U4160" t="s">
        <v>46179</v>
      </c>
      <c r="V4160" t="s">
        <v>54204</v>
      </c>
      <c r="W4160" t="s">
        <v>38588</v>
      </c>
      <c r="X4160" t="s">
        <v>40440</v>
      </c>
    </row>
    <row r="4161" spans="1:24">
      <c r="A4161">
        <f>HYPERLINK("https://www.philgeps.gov.ph/GEPSNONPILOT/Tender/SplashBidNoticeAbstractUI.aspx?menuIndex=3&amp;refID=7046430&amp;Result=3","7046430")</f>
        <v>0</v>
      </c>
      <c r="B4161" t="s">
        <v>1458</v>
      </c>
      <c r="C4161" t="s">
        <v>7060</v>
      </c>
      <c r="D4161" t="s">
        <v>16192</v>
      </c>
      <c r="E4161" t="s">
        <v>20007</v>
      </c>
      <c r="F4161" t="s">
        <v>28198</v>
      </c>
      <c r="G4161" t="s">
        <v>28205</v>
      </c>
      <c r="H4161" t="s">
        <v>28215</v>
      </c>
      <c r="I4161" t="s">
        <v>28224</v>
      </c>
      <c r="J4161" t="s">
        <v>31045</v>
      </c>
      <c r="K4161" t="s">
        <v>36696</v>
      </c>
      <c r="M4161" t="s">
        <v>38525</v>
      </c>
      <c r="N4161" t="s">
        <v>40436</v>
      </c>
      <c r="O4161" t="s">
        <v>40437</v>
      </c>
      <c r="P4161">
        <v>0</v>
      </c>
      <c r="Q4161">
        <v>2</v>
      </c>
      <c r="R4161" t="s">
        <v>40439</v>
      </c>
      <c r="S4161" t="s">
        <v>40588</v>
      </c>
      <c r="T4161" t="s">
        <v>42388</v>
      </c>
      <c r="U4161" t="s">
        <v>46180</v>
      </c>
      <c r="V4161" t="s">
        <v>54193</v>
      </c>
      <c r="W4161" t="s">
        <v>38525</v>
      </c>
      <c r="X4161" t="s">
        <v>40440</v>
      </c>
    </row>
    <row r="4162" spans="1:24">
      <c r="A4162">
        <f>HYPERLINK("https://www.philgeps.gov.ph/GEPSNONPILOT/Tender/SplashBidNoticeAbstractUI.aspx?menuIndex=3&amp;refID=7046420&amp;Result=3","7046420")</f>
        <v>0</v>
      </c>
      <c r="B4162" t="s">
        <v>332</v>
      </c>
      <c r="C4162" t="s">
        <v>7061</v>
      </c>
      <c r="E4162" t="s">
        <v>20008</v>
      </c>
      <c r="F4162" t="s">
        <v>28198</v>
      </c>
      <c r="G4162" t="s">
        <v>28205</v>
      </c>
      <c r="H4162" t="s">
        <v>28215</v>
      </c>
      <c r="I4162" t="s">
        <v>28257</v>
      </c>
      <c r="J4162" t="s">
        <v>31046</v>
      </c>
      <c r="K4162" t="s">
        <v>36689</v>
      </c>
      <c r="M4162" t="s">
        <v>37310</v>
      </c>
      <c r="N4162" t="s">
        <v>40436</v>
      </c>
      <c r="O4162" t="s">
        <v>40437</v>
      </c>
      <c r="P4162">
        <v>0</v>
      </c>
      <c r="Q4162">
        <v>0</v>
      </c>
      <c r="R4162" t="s">
        <v>40439</v>
      </c>
      <c r="S4162" t="s">
        <v>40588</v>
      </c>
      <c r="T4162" t="s">
        <v>42110</v>
      </c>
      <c r="U4162" t="s">
        <v>46181</v>
      </c>
      <c r="W4162" t="s">
        <v>37310</v>
      </c>
      <c r="X4162" t="s">
        <v>40440</v>
      </c>
    </row>
    <row r="4163" spans="1:24">
      <c r="A4163">
        <f>HYPERLINK("https://www.philgeps.gov.ph/GEPSNONPILOT/Tender/SplashBidNoticeAbstractUI.aspx?menuIndex=3&amp;refID=7046440&amp;Result=3","7046440")</f>
        <v>0</v>
      </c>
      <c r="B4163" t="s">
        <v>386</v>
      </c>
      <c r="C4163" t="s">
        <v>7062</v>
      </c>
      <c r="D4163" t="s">
        <v>16259</v>
      </c>
      <c r="E4163" t="s">
        <v>20009</v>
      </c>
      <c r="F4163" t="s">
        <v>28198</v>
      </c>
      <c r="G4163" t="s">
        <v>28207</v>
      </c>
      <c r="H4163" t="s">
        <v>28215</v>
      </c>
      <c r="I4163" t="s">
        <v>5631</v>
      </c>
      <c r="J4163" t="s">
        <v>31047</v>
      </c>
      <c r="K4163" t="s">
        <v>36688</v>
      </c>
      <c r="M4163" t="s">
        <v>37366</v>
      </c>
      <c r="N4163" t="s">
        <v>40436</v>
      </c>
      <c r="O4163" t="s">
        <v>40437</v>
      </c>
      <c r="P4163">
        <v>0</v>
      </c>
      <c r="Q4163">
        <v>0</v>
      </c>
      <c r="R4163" t="s">
        <v>40439</v>
      </c>
      <c r="S4163" t="s">
        <v>40588</v>
      </c>
      <c r="T4163" t="s">
        <v>42133</v>
      </c>
      <c r="U4163" t="s">
        <v>43270</v>
      </c>
      <c r="V4163" t="s">
        <v>53872</v>
      </c>
      <c r="W4163" t="s">
        <v>37366</v>
      </c>
      <c r="X4163" t="s">
        <v>40440</v>
      </c>
    </row>
    <row r="4164" spans="1:24">
      <c r="A4164">
        <f>HYPERLINK("https://www.philgeps.gov.ph/GEPSNONPILOT/Tender/SplashBidNoticeAbstractUI.aspx?menuIndex=3&amp;refID=7046432&amp;Result=3","7046432")</f>
        <v>0</v>
      </c>
      <c r="B4164" t="s">
        <v>1512</v>
      </c>
      <c r="C4164" t="s">
        <v>7063</v>
      </c>
      <c r="D4164" t="s">
        <v>16254</v>
      </c>
      <c r="E4164" t="s">
        <v>20010</v>
      </c>
      <c r="F4164" t="s">
        <v>28198</v>
      </c>
      <c r="G4164" t="s">
        <v>28205</v>
      </c>
      <c r="H4164" t="s">
        <v>28215</v>
      </c>
      <c r="I4164" t="s">
        <v>8888</v>
      </c>
      <c r="J4164" t="s">
        <v>31048</v>
      </c>
      <c r="K4164" t="s">
        <v>36689</v>
      </c>
      <c r="L4164" t="s">
        <v>1512</v>
      </c>
      <c r="M4164" t="s">
        <v>38589</v>
      </c>
      <c r="N4164" t="s">
        <v>40436</v>
      </c>
      <c r="O4164" t="s">
        <v>40437</v>
      </c>
      <c r="P4164">
        <v>0</v>
      </c>
      <c r="Q4164">
        <v>0</v>
      </c>
      <c r="R4164" t="s">
        <v>40439</v>
      </c>
      <c r="S4164" t="s">
        <v>40588</v>
      </c>
      <c r="T4164" t="s">
        <v>42115</v>
      </c>
      <c r="U4164" t="s">
        <v>46182</v>
      </c>
      <c r="W4164" t="s">
        <v>38589</v>
      </c>
      <c r="X4164" t="s">
        <v>40440</v>
      </c>
    </row>
    <row r="4165" spans="1:24">
      <c r="A4165">
        <f>HYPERLINK("https://www.philgeps.gov.ph/GEPSNONPILOT/Tender/SplashBidNoticeAbstractUI.aspx?menuIndex=3&amp;refID=7046434&amp;Result=3","7046434")</f>
        <v>0</v>
      </c>
      <c r="B4165" t="s">
        <v>1495</v>
      </c>
      <c r="C4165" t="s">
        <v>7064</v>
      </c>
      <c r="D4165" t="s">
        <v>16192</v>
      </c>
      <c r="E4165" t="s">
        <v>20011</v>
      </c>
      <c r="F4165" t="s">
        <v>28198</v>
      </c>
      <c r="G4165" t="s">
        <v>28207</v>
      </c>
      <c r="H4165" t="s">
        <v>28215</v>
      </c>
      <c r="I4165" t="s">
        <v>3422</v>
      </c>
      <c r="J4165" t="s">
        <v>29012</v>
      </c>
      <c r="K4165" t="s">
        <v>36698</v>
      </c>
      <c r="M4165" t="s">
        <v>38570</v>
      </c>
      <c r="N4165" t="s">
        <v>40436</v>
      </c>
      <c r="O4165" t="s">
        <v>40437</v>
      </c>
      <c r="P4165">
        <v>0</v>
      </c>
      <c r="Q4165">
        <v>0</v>
      </c>
      <c r="R4165" t="s">
        <v>40439</v>
      </c>
      <c r="S4165" t="s">
        <v>40588</v>
      </c>
      <c r="T4165" t="s">
        <v>42218</v>
      </c>
      <c r="U4165" t="s">
        <v>46183</v>
      </c>
      <c r="W4165" t="s">
        <v>38570</v>
      </c>
      <c r="X4165" t="s">
        <v>40440</v>
      </c>
    </row>
    <row r="4166" spans="1:24">
      <c r="A4166">
        <f>HYPERLINK("https://www.philgeps.gov.ph/GEPSNONPILOT/Tender/SplashBidNoticeAbstractUI.aspx?menuIndex=3&amp;refID=7046456&amp;Result=3","7046456")</f>
        <v>0</v>
      </c>
      <c r="B4166" t="s">
        <v>1513</v>
      </c>
      <c r="C4166" t="s">
        <v>7065</v>
      </c>
      <c r="D4166" t="s">
        <v>16200</v>
      </c>
      <c r="E4166" t="s">
        <v>20012</v>
      </c>
      <c r="F4166" t="s">
        <v>28198</v>
      </c>
      <c r="G4166" t="s">
        <v>28206</v>
      </c>
      <c r="H4166" t="s">
        <v>28215</v>
      </c>
      <c r="I4166" t="s">
        <v>4321</v>
      </c>
      <c r="J4166" t="s">
        <v>31049</v>
      </c>
      <c r="K4166" t="s">
        <v>36691</v>
      </c>
      <c r="M4166" t="s">
        <v>38590</v>
      </c>
      <c r="N4166" t="s">
        <v>40436</v>
      </c>
      <c r="O4166" t="s">
        <v>40437</v>
      </c>
      <c r="P4166">
        <v>0</v>
      </c>
      <c r="Q4166">
        <v>0</v>
      </c>
      <c r="R4166" t="s">
        <v>40439</v>
      </c>
      <c r="S4166" t="s">
        <v>40588</v>
      </c>
      <c r="T4166" t="s">
        <v>42378</v>
      </c>
      <c r="U4166" t="s">
        <v>46184</v>
      </c>
      <c r="V4166" t="s">
        <v>54205</v>
      </c>
      <c r="W4166" t="s">
        <v>38590</v>
      </c>
      <c r="X4166" t="s">
        <v>40440</v>
      </c>
    </row>
    <row r="4167" spans="1:24">
      <c r="A4167">
        <f>HYPERLINK("https://www.philgeps.gov.ph/GEPSNONPILOT/Tender/SplashBidNoticeAbstractUI.aspx?menuIndex=3&amp;refID=7046431&amp;Result=3","7046431")</f>
        <v>0</v>
      </c>
      <c r="B4167" t="s">
        <v>832</v>
      </c>
      <c r="C4167" t="s">
        <v>7066</v>
      </c>
      <c r="D4167" t="s">
        <v>16187</v>
      </c>
      <c r="E4167" t="s">
        <v>20013</v>
      </c>
      <c r="F4167" t="s">
        <v>28198</v>
      </c>
      <c r="G4167" t="s">
        <v>28205</v>
      </c>
      <c r="H4167" t="s">
        <v>28214</v>
      </c>
      <c r="I4167" t="s">
        <v>3797</v>
      </c>
      <c r="J4167" t="s">
        <v>31050</v>
      </c>
      <c r="K4167" t="s">
        <v>36709</v>
      </c>
      <c r="M4167" t="s">
        <v>37844</v>
      </c>
      <c r="N4167" t="s">
        <v>40436</v>
      </c>
      <c r="O4167" t="s">
        <v>40437</v>
      </c>
      <c r="P4167">
        <v>0</v>
      </c>
      <c r="Q4167">
        <v>0</v>
      </c>
      <c r="R4167" t="s">
        <v>40439</v>
      </c>
      <c r="S4167" t="s">
        <v>40588</v>
      </c>
      <c r="T4167" t="s">
        <v>42133</v>
      </c>
      <c r="U4167" t="s">
        <v>46185</v>
      </c>
      <c r="W4167" t="s">
        <v>37844</v>
      </c>
      <c r="X4167" t="s">
        <v>40440</v>
      </c>
    </row>
    <row r="4168" spans="1:24">
      <c r="A4168">
        <f>HYPERLINK("https://www.philgeps.gov.ph/GEPSNONPILOT/Tender/SplashBidNoticeAbstractUI.aspx?menuIndex=3&amp;refID=7046455&amp;Result=3","7046455")</f>
        <v>0</v>
      </c>
      <c r="B4168" t="s">
        <v>643</v>
      </c>
      <c r="C4168" t="s">
        <v>7067</v>
      </c>
      <c r="D4168" t="s">
        <v>16267</v>
      </c>
      <c r="E4168" t="s">
        <v>20014</v>
      </c>
      <c r="F4168" t="s">
        <v>28198</v>
      </c>
      <c r="G4168" t="s">
        <v>28205</v>
      </c>
      <c r="H4168" t="s">
        <v>28215</v>
      </c>
      <c r="I4168" t="s">
        <v>5100</v>
      </c>
      <c r="J4168" t="s">
        <v>31051</v>
      </c>
      <c r="K4168" t="s">
        <v>36769</v>
      </c>
      <c r="M4168" t="s">
        <v>37636</v>
      </c>
      <c r="N4168" t="s">
        <v>40436</v>
      </c>
      <c r="O4168" t="s">
        <v>40437</v>
      </c>
      <c r="P4168">
        <v>0</v>
      </c>
      <c r="Q4168">
        <v>0</v>
      </c>
      <c r="R4168" t="s">
        <v>40439</v>
      </c>
      <c r="S4168" t="s">
        <v>40588</v>
      </c>
      <c r="T4168" t="s">
        <v>42171</v>
      </c>
      <c r="U4168" t="s">
        <v>46186</v>
      </c>
      <c r="W4168" t="s">
        <v>37636</v>
      </c>
      <c r="X4168" t="s">
        <v>40440</v>
      </c>
    </row>
    <row r="4169" spans="1:24">
      <c r="A4169">
        <f>HYPERLINK("https://www.philgeps.gov.ph/GEPSNONPILOT/Tender/SplashBidNoticeAbstractUI.aspx?menuIndex=3&amp;refID=7046439&amp;Result=3","7046439")</f>
        <v>0</v>
      </c>
      <c r="B4169" t="s">
        <v>346</v>
      </c>
      <c r="C4169" t="s">
        <v>7068</v>
      </c>
      <c r="D4169" t="s">
        <v>16217</v>
      </c>
      <c r="E4169" t="s">
        <v>20015</v>
      </c>
      <c r="F4169" t="s">
        <v>28198</v>
      </c>
      <c r="G4169" t="s">
        <v>28205</v>
      </c>
      <c r="H4169" t="s">
        <v>28214</v>
      </c>
      <c r="I4169" t="s">
        <v>3797</v>
      </c>
      <c r="J4169" t="s">
        <v>28363</v>
      </c>
      <c r="K4169" t="s">
        <v>36737</v>
      </c>
      <c r="M4169" t="s">
        <v>37325</v>
      </c>
      <c r="N4169" t="s">
        <v>40436</v>
      </c>
      <c r="O4169" t="s">
        <v>40437</v>
      </c>
      <c r="P4169">
        <v>0</v>
      </c>
      <c r="Q4169">
        <v>0</v>
      </c>
      <c r="R4169" t="s">
        <v>40439</v>
      </c>
      <c r="S4169" t="s">
        <v>40588</v>
      </c>
      <c r="T4169" t="s">
        <v>42168</v>
      </c>
      <c r="U4169" t="s">
        <v>46187</v>
      </c>
      <c r="W4169" t="s">
        <v>37325</v>
      </c>
      <c r="X4169" t="s">
        <v>40440</v>
      </c>
    </row>
    <row r="4170" spans="1:24">
      <c r="A4170">
        <f>HYPERLINK("https://www.philgeps.gov.ph/GEPSNONPILOT/Tender/SplashBidNoticeAbstractUI.aspx?menuIndex=3&amp;refID=7046452&amp;Result=3","7046452")</f>
        <v>0</v>
      </c>
      <c r="B4170" t="s">
        <v>285</v>
      </c>
      <c r="C4170" t="s">
        <v>7069</v>
      </c>
      <c r="E4170" t="s">
        <v>20016</v>
      </c>
      <c r="F4170" t="s">
        <v>28198</v>
      </c>
      <c r="G4170" t="s">
        <v>28207</v>
      </c>
      <c r="H4170" t="s">
        <v>28215</v>
      </c>
      <c r="I4170" t="s">
        <v>3422</v>
      </c>
      <c r="J4170" t="s">
        <v>28350</v>
      </c>
      <c r="K4170" t="s">
        <v>36689</v>
      </c>
      <c r="M4170" t="s">
        <v>37262</v>
      </c>
      <c r="N4170" t="s">
        <v>40436</v>
      </c>
      <c r="O4170" t="s">
        <v>40437</v>
      </c>
      <c r="P4170">
        <v>0</v>
      </c>
      <c r="Q4170">
        <v>2</v>
      </c>
      <c r="R4170" t="s">
        <v>40439</v>
      </c>
      <c r="S4170" t="s">
        <v>40588</v>
      </c>
      <c r="T4170" t="s">
        <v>42131</v>
      </c>
      <c r="U4170" t="s">
        <v>46188</v>
      </c>
      <c r="W4170" t="s">
        <v>37262</v>
      </c>
      <c r="X4170" t="s">
        <v>40440</v>
      </c>
    </row>
    <row r="4171" spans="1:24">
      <c r="A4171">
        <f>HYPERLINK("https://www.philgeps.gov.ph/GEPSNONPILOT/Tender/SplashBidNoticeAbstractUI.aspx?menuIndex=3&amp;refID=7046457&amp;Result=3","7046457")</f>
        <v>0</v>
      </c>
      <c r="B4171" t="s">
        <v>1514</v>
      </c>
      <c r="C4171" t="s">
        <v>3778</v>
      </c>
      <c r="D4171" t="s">
        <v>16188</v>
      </c>
      <c r="E4171" t="s">
        <v>20017</v>
      </c>
      <c r="F4171" t="s">
        <v>28198</v>
      </c>
      <c r="G4171" t="s">
        <v>28205</v>
      </c>
      <c r="H4171" t="s">
        <v>28214</v>
      </c>
      <c r="I4171" t="s">
        <v>3797</v>
      </c>
      <c r="J4171" t="s">
        <v>28363</v>
      </c>
      <c r="K4171" t="s">
        <v>36697</v>
      </c>
      <c r="M4171" t="s">
        <v>38591</v>
      </c>
      <c r="N4171" t="s">
        <v>40436</v>
      </c>
      <c r="O4171" t="s">
        <v>40437</v>
      </c>
      <c r="P4171">
        <v>0</v>
      </c>
      <c r="Q4171">
        <v>0</v>
      </c>
      <c r="R4171" t="s">
        <v>40439</v>
      </c>
      <c r="S4171" t="s">
        <v>40588</v>
      </c>
      <c r="T4171" t="s">
        <v>42389</v>
      </c>
      <c r="U4171" t="s">
        <v>46189</v>
      </c>
      <c r="W4171" t="s">
        <v>38591</v>
      </c>
      <c r="X4171" t="s">
        <v>40440</v>
      </c>
    </row>
    <row r="4172" spans="1:24">
      <c r="A4172">
        <f>HYPERLINK("https://www.philgeps.gov.ph/GEPSNONPILOT/Tender/SplashBidNoticeAbstractUI.aspx?menuIndex=3&amp;refID=7046441&amp;Result=3","7046441")</f>
        <v>0</v>
      </c>
      <c r="B4172" t="s">
        <v>527</v>
      </c>
      <c r="C4172" t="s">
        <v>7070</v>
      </c>
      <c r="D4172" t="s">
        <v>16199</v>
      </c>
      <c r="E4172" t="s">
        <v>17267</v>
      </c>
      <c r="F4172" t="s">
        <v>28198</v>
      </c>
      <c r="G4172" t="s">
        <v>28207</v>
      </c>
      <c r="H4172" t="s">
        <v>28215</v>
      </c>
      <c r="I4172" t="s">
        <v>28258</v>
      </c>
      <c r="J4172" t="s">
        <v>29346</v>
      </c>
      <c r="K4172" t="s">
        <v>36707</v>
      </c>
      <c r="M4172" t="s">
        <v>37512</v>
      </c>
      <c r="N4172" t="s">
        <v>40436</v>
      </c>
      <c r="O4172" t="s">
        <v>40437</v>
      </c>
      <c r="P4172">
        <v>0</v>
      </c>
      <c r="Q4172">
        <v>3</v>
      </c>
      <c r="R4172" t="s">
        <v>40439</v>
      </c>
      <c r="S4172" t="s">
        <v>40588</v>
      </c>
      <c r="T4172" t="s">
        <v>42161</v>
      </c>
      <c r="U4172" t="s">
        <v>46190</v>
      </c>
      <c r="W4172" t="s">
        <v>37512</v>
      </c>
      <c r="X4172" t="s">
        <v>40440</v>
      </c>
    </row>
    <row r="4173" spans="1:24">
      <c r="A4173">
        <f>HYPERLINK("https://www.philgeps.gov.ph/GEPSNONPILOT/Tender/SplashBidNoticeAbstractUI.aspx?menuIndex=3&amp;refID=7046453&amp;Result=3","7046453")</f>
        <v>0</v>
      </c>
      <c r="B4173" t="s">
        <v>1509</v>
      </c>
      <c r="C4173" t="s">
        <v>7071</v>
      </c>
      <c r="D4173" t="s">
        <v>16262</v>
      </c>
      <c r="E4173" t="s">
        <v>20018</v>
      </c>
      <c r="F4173" t="s">
        <v>28198</v>
      </c>
      <c r="G4173" t="s">
        <v>28208</v>
      </c>
      <c r="H4173" t="s">
        <v>28214</v>
      </c>
      <c r="I4173" t="s">
        <v>3797</v>
      </c>
      <c r="J4173" t="s">
        <v>31052</v>
      </c>
      <c r="K4173" t="s">
        <v>36798</v>
      </c>
      <c r="M4173" t="s">
        <v>38585</v>
      </c>
      <c r="N4173" t="s">
        <v>40436</v>
      </c>
      <c r="O4173" t="s">
        <v>40437</v>
      </c>
      <c r="P4173">
        <v>0</v>
      </c>
      <c r="Q4173">
        <v>0</v>
      </c>
      <c r="R4173" t="s">
        <v>40439</v>
      </c>
      <c r="S4173" t="s">
        <v>40588</v>
      </c>
      <c r="T4173" t="s">
        <v>42108</v>
      </c>
      <c r="U4173" t="s">
        <v>46170</v>
      </c>
      <c r="V4173" t="s">
        <v>54206</v>
      </c>
      <c r="W4173" t="s">
        <v>55486</v>
      </c>
      <c r="X4173" t="s">
        <v>40440</v>
      </c>
    </row>
    <row r="4174" spans="1:24">
      <c r="A4174">
        <f>HYPERLINK("https://www.philgeps.gov.ph/GEPSNONPILOT/Tender/SplashBidNoticeAbstractUI.aspx?menuIndex=3&amp;refID=7046433&amp;Result=3","7046433")</f>
        <v>0</v>
      </c>
      <c r="B4174" t="s">
        <v>1515</v>
      </c>
      <c r="C4174" t="s">
        <v>7072</v>
      </c>
      <c r="D4174" t="s">
        <v>16241</v>
      </c>
      <c r="E4174" t="s">
        <v>20019</v>
      </c>
      <c r="F4174" t="s">
        <v>28198</v>
      </c>
      <c r="G4174" t="s">
        <v>28207</v>
      </c>
      <c r="H4174" t="s">
        <v>28215</v>
      </c>
      <c r="I4174" t="s">
        <v>4505</v>
      </c>
      <c r="J4174" t="s">
        <v>31053</v>
      </c>
      <c r="K4174" t="s">
        <v>36689</v>
      </c>
      <c r="M4174" t="s">
        <v>38592</v>
      </c>
      <c r="N4174" t="s">
        <v>40436</v>
      </c>
      <c r="O4174" t="s">
        <v>40437</v>
      </c>
      <c r="P4174">
        <v>0</v>
      </c>
      <c r="Q4174">
        <v>4</v>
      </c>
      <c r="R4174" t="s">
        <v>40439</v>
      </c>
      <c r="S4174" t="s">
        <v>40588</v>
      </c>
      <c r="T4174" t="s">
        <v>42169</v>
      </c>
      <c r="U4174" t="s">
        <v>46191</v>
      </c>
      <c r="W4174" t="s">
        <v>38592</v>
      </c>
      <c r="X4174" t="s">
        <v>40440</v>
      </c>
    </row>
    <row r="4175" spans="1:24">
      <c r="A4175">
        <f>HYPERLINK("https://www.philgeps.gov.ph/GEPSNONPILOT/Tender/SplashBidNoticeAbstractUI.aspx?menuIndex=3&amp;refID=7046458&amp;Result=3","7046458")</f>
        <v>0</v>
      </c>
      <c r="B4175" t="s">
        <v>79</v>
      </c>
      <c r="C4175" t="s">
        <v>7073</v>
      </c>
      <c r="D4175" t="s">
        <v>16208</v>
      </c>
      <c r="E4175" t="s">
        <v>20020</v>
      </c>
      <c r="F4175" t="s">
        <v>28198</v>
      </c>
      <c r="G4175" t="s">
        <v>28205</v>
      </c>
      <c r="H4175" t="s">
        <v>28215</v>
      </c>
      <c r="I4175" t="s">
        <v>6013</v>
      </c>
      <c r="J4175" t="s">
        <v>31054</v>
      </c>
      <c r="K4175" t="s">
        <v>36701</v>
      </c>
      <c r="M4175" t="s">
        <v>37051</v>
      </c>
      <c r="N4175" t="s">
        <v>40436</v>
      </c>
      <c r="O4175" t="s">
        <v>40437</v>
      </c>
      <c r="P4175">
        <v>0</v>
      </c>
      <c r="Q4175">
        <v>1</v>
      </c>
      <c r="R4175" t="s">
        <v>40439</v>
      </c>
      <c r="S4175" t="s">
        <v>40588</v>
      </c>
      <c r="T4175" t="s">
        <v>42390</v>
      </c>
      <c r="U4175" t="s">
        <v>46192</v>
      </c>
      <c r="W4175" t="s">
        <v>37051</v>
      </c>
      <c r="X4175" t="s">
        <v>40440</v>
      </c>
    </row>
    <row r="4176" spans="1:24">
      <c r="A4176">
        <f>HYPERLINK("https://www.philgeps.gov.ph/GEPSNONPILOT/Tender/SplashBidNoticeAbstractUI.aspx?menuIndex=3&amp;refID=7046443&amp;Result=3","7046443")</f>
        <v>0</v>
      </c>
      <c r="B4176" t="s">
        <v>685</v>
      </c>
      <c r="C4176" t="s">
        <v>7074</v>
      </c>
      <c r="D4176" t="s">
        <v>16199</v>
      </c>
      <c r="E4176" t="s">
        <v>20021</v>
      </c>
      <c r="F4176" t="s">
        <v>28198</v>
      </c>
      <c r="G4176" t="s">
        <v>28205</v>
      </c>
      <c r="H4176" t="s">
        <v>28214</v>
      </c>
      <c r="I4176" t="s">
        <v>3797</v>
      </c>
      <c r="J4176" t="s">
        <v>28415</v>
      </c>
      <c r="K4176" t="s">
        <v>36813</v>
      </c>
      <c r="M4176" t="s">
        <v>37684</v>
      </c>
      <c r="N4176" t="s">
        <v>40436</v>
      </c>
      <c r="O4176" t="s">
        <v>40437</v>
      </c>
      <c r="P4176">
        <v>0</v>
      </c>
      <c r="Q4176">
        <v>0</v>
      </c>
      <c r="R4176" t="s">
        <v>40439</v>
      </c>
      <c r="S4176" t="s">
        <v>40588</v>
      </c>
      <c r="T4176" t="s">
        <v>42102</v>
      </c>
      <c r="U4176" t="s">
        <v>46193</v>
      </c>
      <c r="W4176" t="s">
        <v>37684</v>
      </c>
      <c r="X4176" t="s">
        <v>40440</v>
      </c>
    </row>
    <row r="4177" spans="1:24">
      <c r="A4177">
        <f>HYPERLINK("https://www.philgeps.gov.ph/GEPSNONPILOT/Tender/SplashBidNoticeAbstractUI.aspx?menuIndex=3&amp;refID=7046450&amp;Result=3","7046450")</f>
        <v>0</v>
      </c>
      <c r="B4177" t="s">
        <v>1499</v>
      </c>
      <c r="C4177" t="s">
        <v>7075</v>
      </c>
      <c r="D4177" t="s">
        <v>16211</v>
      </c>
      <c r="E4177" t="s">
        <v>20022</v>
      </c>
      <c r="F4177" t="s">
        <v>28198</v>
      </c>
      <c r="G4177" t="s">
        <v>28207</v>
      </c>
      <c r="H4177" t="s">
        <v>28215</v>
      </c>
      <c r="I4177" t="s">
        <v>5082</v>
      </c>
      <c r="J4177" t="s">
        <v>31055</v>
      </c>
      <c r="K4177" t="s">
        <v>36707</v>
      </c>
      <c r="M4177" t="s">
        <v>38574</v>
      </c>
      <c r="N4177" t="s">
        <v>40436</v>
      </c>
      <c r="O4177" t="s">
        <v>40437</v>
      </c>
      <c r="P4177">
        <v>0</v>
      </c>
      <c r="Q4177">
        <v>0</v>
      </c>
      <c r="R4177" t="s">
        <v>40439</v>
      </c>
      <c r="S4177" t="s">
        <v>40588</v>
      </c>
      <c r="T4177" t="s">
        <v>42131</v>
      </c>
      <c r="U4177" t="s">
        <v>46194</v>
      </c>
      <c r="W4177" t="s">
        <v>38574</v>
      </c>
      <c r="X4177" t="s">
        <v>40440</v>
      </c>
    </row>
    <row r="4178" spans="1:24">
      <c r="A4178">
        <f>HYPERLINK("https://www.philgeps.gov.ph/GEPSNONPILOT/Tender/SplashBidNoticeAbstractUI.aspx?menuIndex=3&amp;refID=7046446&amp;Result=3","7046446")</f>
        <v>0</v>
      </c>
      <c r="B4178" t="s">
        <v>832</v>
      </c>
      <c r="C4178" t="s">
        <v>7076</v>
      </c>
      <c r="D4178" t="s">
        <v>16187</v>
      </c>
      <c r="E4178" t="s">
        <v>20023</v>
      </c>
      <c r="F4178" t="s">
        <v>28198</v>
      </c>
      <c r="G4178" t="s">
        <v>28205</v>
      </c>
      <c r="H4178" t="s">
        <v>28214</v>
      </c>
      <c r="I4178" t="s">
        <v>3797</v>
      </c>
      <c r="J4178" t="s">
        <v>31056</v>
      </c>
      <c r="K4178" t="s">
        <v>36701</v>
      </c>
      <c r="M4178" t="s">
        <v>37844</v>
      </c>
      <c r="N4178" t="s">
        <v>40436</v>
      </c>
      <c r="O4178" t="s">
        <v>40437</v>
      </c>
      <c r="P4178">
        <v>0</v>
      </c>
      <c r="Q4178">
        <v>0</v>
      </c>
      <c r="R4178" t="s">
        <v>40439</v>
      </c>
      <c r="S4178" t="s">
        <v>40588</v>
      </c>
      <c r="T4178" t="s">
        <v>42175</v>
      </c>
      <c r="U4178" t="s">
        <v>46195</v>
      </c>
      <c r="W4178" t="s">
        <v>37844</v>
      </c>
      <c r="X4178" t="s">
        <v>40440</v>
      </c>
    </row>
    <row r="4179" spans="1:24">
      <c r="A4179">
        <f>HYPERLINK("https://www.philgeps.gov.ph/GEPSNONPILOT/Tender/SplashBidNoticeAbstractUI.aspx?menuIndex=3&amp;refID=7046438&amp;Result=3","7046438")</f>
        <v>0</v>
      </c>
      <c r="B4179" t="s">
        <v>1516</v>
      </c>
      <c r="C4179" t="s">
        <v>7077</v>
      </c>
      <c r="D4179" t="s">
        <v>16213</v>
      </c>
      <c r="E4179" t="s">
        <v>16352</v>
      </c>
      <c r="F4179" t="s">
        <v>28198</v>
      </c>
      <c r="G4179" t="s">
        <v>28205</v>
      </c>
      <c r="H4179" t="s">
        <v>28214</v>
      </c>
      <c r="I4179" t="s">
        <v>3797</v>
      </c>
      <c r="J4179" t="s">
        <v>28699</v>
      </c>
      <c r="K4179" t="s">
        <v>36694</v>
      </c>
      <c r="M4179" t="s">
        <v>38593</v>
      </c>
      <c r="N4179" t="s">
        <v>40436</v>
      </c>
      <c r="O4179" t="s">
        <v>40437</v>
      </c>
      <c r="P4179">
        <v>0</v>
      </c>
      <c r="Q4179">
        <v>0</v>
      </c>
      <c r="R4179" t="s">
        <v>40439</v>
      </c>
      <c r="S4179" t="s">
        <v>40588</v>
      </c>
      <c r="T4179" t="s">
        <v>42125</v>
      </c>
      <c r="U4179" t="s">
        <v>46196</v>
      </c>
      <c r="W4179" t="s">
        <v>38593</v>
      </c>
      <c r="X4179" t="s">
        <v>40440</v>
      </c>
    </row>
    <row r="4180" spans="1:24">
      <c r="A4180">
        <f>HYPERLINK("https://www.philgeps.gov.ph/GEPSNONPILOT/Tender/SplashBidNoticeAbstractUI.aspx?menuIndex=3&amp;refID=7046449&amp;Result=3","7046449")</f>
        <v>0</v>
      </c>
      <c r="B4180" t="s">
        <v>875</v>
      </c>
      <c r="C4180" t="s">
        <v>7078</v>
      </c>
      <c r="D4180" t="s">
        <v>16218</v>
      </c>
      <c r="E4180" t="s">
        <v>20024</v>
      </c>
      <c r="F4180" t="s">
        <v>28198</v>
      </c>
      <c r="G4180" t="s">
        <v>28207</v>
      </c>
      <c r="H4180" t="s">
        <v>28215</v>
      </c>
      <c r="I4180" t="s">
        <v>5100</v>
      </c>
      <c r="J4180" t="s">
        <v>30182</v>
      </c>
      <c r="K4180" t="s">
        <v>36701</v>
      </c>
      <c r="M4180" t="s">
        <v>37890</v>
      </c>
      <c r="N4180" t="s">
        <v>40436</v>
      </c>
      <c r="O4180" t="s">
        <v>40437</v>
      </c>
      <c r="P4180">
        <v>0</v>
      </c>
      <c r="Q4180">
        <v>0</v>
      </c>
      <c r="R4180" t="s">
        <v>40439</v>
      </c>
      <c r="S4180" t="s">
        <v>40588</v>
      </c>
      <c r="T4180" t="s">
        <v>42161</v>
      </c>
      <c r="U4180" t="s">
        <v>46197</v>
      </c>
      <c r="W4180" t="s">
        <v>37890</v>
      </c>
      <c r="X4180" t="s">
        <v>40440</v>
      </c>
    </row>
    <row r="4181" spans="1:24">
      <c r="A4181">
        <f>HYPERLINK("https://www.philgeps.gov.ph/GEPSNONPILOT/Tender/SplashBidNoticeAbstractUI.aspx?menuIndex=3&amp;refID=7046451&amp;Result=3","7046451")</f>
        <v>0</v>
      </c>
      <c r="B4181" t="s">
        <v>456</v>
      </c>
      <c r="C4181" t="s">
        <v>7079</v>
      </c>
      <c r="D4181" t="s">
        <v>16190</v>
      </c>
      <c r="E4181" t="s">
        <v>20025</v>
      </c>
      <c r="F4181" t="s">
        <v>28198</v>
      </c>
      <c r="G4181" t="s">
        <v>28207</v>
      </c>
      <c r="H4181" t="s">
        <v>28215</v>
      </c>
      <c r="I4181" t="s">
        <v>28248</v>
      </c>
      <c r="J4181" t="s">
        <v>31057</v>
      </c>
      <c r="K4181" t="s">
        <v>36688</v>
      </c>
      <c r="M4181" t="s">
        <v>37440</v>
      </c>
      <c r="N4181" t="s">
        <v>40436</v>
      </c>
      <c r="O4181" t="s">
        <v>40437</v>
      </c>
      <c r="P4181">
        <v>0</v>
      </c>
      <c r="Q4181">
        <v>2</v>
      </c>
      <c r="R4181" t="s">
        <v>40439</v>
      </c>
      <c r="S4181" t="s">
        <v>40588</v>
      </c>
      <c r="T4181" t="s">
        <v>42216</v>
      </c>
      <c r="U4181" t="s">
        <v>46198</v>
      </c>
      <c r="W4181" t="s">
        <v>37440</v>
      </c>
      <c r="X4181" t="s">
        <v>40440</v>
      </c>
    </row>
    <row r="4182" spans="1:24">
      <c r="A4182">
        <f>HYPERLINK("https://www.philgeps.gov.ph/GEPSNONPILOT/Tender/SplashBidNoticeAbstractUI.aspx?menuIndex=3&amp;refID=7046470&amp;Result=3","7046470")</f>
        <v>0</v>
      </c>
      <c r="B4182" t="s">
        <v>740</v>
      </c>
      <c r="C4182" t="s">
        <v>7080</v>
      </c>
      <c r="D4182" t="s">
        <v>16189</v>
      </c>
      <c r="E4182" t="s">
        <v>20026</v>
      </c>
      <c r="F4182" t="s">
        <v>28198</v>
      </c>
      <c r="G4182" t="s">
        <v>28207</v>
      </c>
      <c r="H4182" t="s">
        <v>28215</v>
      </c>
      <c r="I4182" t="s">
        <v>5791</v>
      </c>
      <c r="J4182" t="s">
        <v>31058</v>
      </c>
      <c r="K4182" t="s">
        <v>36691</v>
      </c>
      <c r="M4182" t="s">
        <v>38594</v>
      </c>
      <c r="N4182" t="s">
        <v>40436</v>
      </c>
      <c r="O4182" t="s">
        <v>40437</v>
      </c>
      <c r="P4182">
        <v>0</v>
      </c>
      <c r="Q4182">
        <v>0</v>
      </c>
      <c r="R4182" t="s">
        <v>40439</v>
      </c>
      <c r="S4182" t="s">
        <v>40588</v>
      </c>
      <c r="T4182" t="s">
        <v>42169</v>
      </c>
      <c r="U4182" t="s">
        <v>46199</v>
      </c>
      <c r="W4182" t="s">
        <v>38594</v>
      </c>
      <c r="X4182" t="s">
        <v>40440</v>
      </c>
    </row>
    <row r="4183" spans="1:24">
      <c r="A4183">
        <f>HYPERLINK("https://www.philgeps.gov.ph/GEPSNONPILOT/Tender/SplashBidNoticeAbstractUI.aspx?menuIndex=3&amp;refID=7046466&amp;Result=3","7046466")</f>
        <v>0</v>
      </c>
      <c r="B4183" t="s">
        <v>1494</v>
      </c>
      <c r="C4183" t="s">
        <v>7081</v>
      </c>
      <c r="D4183" t="s">
        <v>16247</v>
      </c>
      <c r="E4183" t="s">
        <v>17031</v>
      </c>
      <c r="F4183" t="s">
        <v>28198</v>
      </c>
      <c r="G4183" t="s">
        <v>28210</v>
      </c>
      <c r="H4183" t="s">
        <v>28215</v>
      </c>
      <c r="I4183" t="s">
        <v>4219</v>
      </c>
      <c r="J4183" t="s">
        <v>31059</v>
      </c>
      <c r="K4183" t="s">
        <v>36688</v>
      </c>
      <c r="M4183" t="s">
        <v>38569</v>
      </c>
      <c r="N4183" t="s">
        <v>40436</v>
      </c>
      <c r="O4183" t="s">
        <v>40437</v>
      </c>
      <c r="P4183">
        <v>0</v>
      </c>
      <c r="Q4183">
        <v>2</v>
      </c>
      <c r="R4183" t="s">
        <v>40439</v>
      </c>
      <c r="S4183" t="s">
        <v>40588</v>
      </c>
      <c r="T4183" t="s">
        <v>42326</v>
      </c>
      <c r="U4183" t="s">
        <v>46200</v>
      </c>
      <c r="W4183" t="s">
        <v>38569</v>
      </c>
      <c r="X4183" t="s">
        <v>40440</v>
      </c>
    </row>
    <row r="4184" spans="1:24">
      <c r="A4184">
        <f>HYPERLINK("https://www.philgeps.gov.ph/GEPSNONPILOT/Tender/SplashBidNoticeAbstractUI.aspx?menuIndex=3&amp;refID=7046461&amp;Result=3","7046461")</f>
        <v>0</v>
      </c>
      <c r="B4184" t="s">
        <v>1047</v>
      </c>
      <c r="C4184" t="s">
        <v>7082</v>
      </c>
      <c r="D4184" t="s">
        <v>16219</v>
      </c>
      <c r="E4184" t="s">
        <v>20027</v>
      </c>
      <c r="F4184" t="s">
        <v>28198</v>
      </c>
      <c r="G4184" t="s">
        <v>28205</v>
      </c>
      <c r="H4184" t="s">
        <v>28215</v>
      </c>
      <c r="I4184" t="s">
        <v>5082</v>
      </c>
      <c r="J4184" t="s">
        <v>31060</v>
      </c>
      <c r="K4184" t="s">
        <v>36689</v>
      </c>
      <c r="M4184" t="s">
        <v>38080</v>
      </c>
      <c r="N4184" t="s">
        <v>40436</v>
      </c>
      <c r="O4184" t="s">
        <v>40437</v>
      </c>
      <c r="P4184">
        <v>0</v>
      </c>
      <c r="Q4184">
        <v>0</v>
      </c>
      <c r="R4184" t="s">
        <v>40439</v>
      </c>
      <c r="S4184" t="s">
        <v>40588</v>
      </c>
      <c r="T4184" t="s">
        <v>42144</v>
      </c>
      <c r="U4184" t="s">
        <v>46160</v>
      </c>
      <c r="W4184" t="s">
        <v>38080</v>
      </c>
      <c r="X4184" t="s">
        <v>40440</v>
      </c>
    </row>
    <row r="4185" spans="1:24">
      <c r="A4185">
        <f>HYPERLINK("https://www.philgeps.gov.ph/GEPSNONPILOT/Tender/SplashBidNoticeAbstractUI.aspx?menuIndex=3&amp;refID=7046459&amp;Result=3","7046459")</f>
        <v>0</v>
      </c>
      <c r="B4185" t="s">
        <v>578</v>
      </c>
      <c r="C4185" t="s">
        <v>7083</v>
      </c>
      <c r="D4185" t="s">
        <v>16187</v>
      </c>
      <c r="E4185" t="s">
        <v>20028</v>
      </c>
      <c r="F4185" t="s">
        <v>28198</v>
      </c>
      <c r="G4185" t="s">
        <v>28205</v>
      </c>
      <c r="H4185" t="s">
        <v>28215</v>
      </c>
      <c r="I4185" t="s">
        <v>4200</v>
      </c>
      <c r="J4185" t="s">
        <v>31061</v>
      </c>
      <c r="K4185" t="s">
        <v>36689</v>
      </c>
      <c r="M4185" t="s">
        <v>37567</v>
      </c>
      <c r="N4185" t="s">
        <v>40436</v>
      </c>
      <c r="O4185" t="s">
        <v>40437</v>
      </c>
      <c r="P4185">
        <v>0</v>
      </c>
      <c r="Q4185">
        <v>0</v>
      </c>
      <c r="R4185" t="s">
        <v>40439</v>
      </c>
      <c r="S4185" t="s">
        <v>40588</v>
      </c>
      <c r="T4185" t="s">
        <v>42217</v>
      </c>
      <c r="U4185" t="s">
        <v>46201</v>
      </c>
      <c r="W4185" t="s">
        <v>37567</v>
      </c>
      <c r="X4185" t="s">
        <v>40440</v>
      </c>
    </row>
    <row r="4186" spans="1:24">
      <c r="A4186">
        <f>HYPERLINK("https://www.philgeps.gov.ph/GEPSNONPILOT/Tender/SplashBidNoticeAbstractUI.aspx?menuIndex=3&amp;refID=7046463&amp;Result=3","7046463")</f>
        <v>0</v>
      </c>
      <c r="B4186" t="s">
        <v>816</v>
      </c>
      <c r="C4186" t="s">
        <v>7084</v>
      </c>
      <c r="D4186" t="s">
        <v>16200</v>
      </c>
      <c r="E4186" t="s">
        <v>20029</v>
      </c>
      <c r="F4186" t="s">
        <v>28198</v>
      </c>
      <c r="G4186" t="s">
        <v>28209</v>
      </c>
      <c r="H4186" t="s">
        <v>28215</v>
      </c>
      <c r="I4186" t="s">
        <v>28247</v>
      </c>
      <c r="J4186" t="s">
        <v>31062</v>
      </c>
      <c r="K4186" t="s">
        <v>36689</v>
      </c>
      <c r="M4186" t="s">
        <v>37828</v>
      </c>
      <c r="N4186" t="s">
        <v>40436</v>
      </c>
      <c r="O4186" t="s">
        <v>40437</v>
      </c>
      <c r="P4186">
        <v>0</v>
      </c>
      <c r="Q4186">
        <v>8</v>
      </c>
      <c r="R4186" t="s">
        <v>40439</v>
      </c>
      <c r="S4186" t="s">
        <v>40588</v>
      </c>
      <c r="T4186" t="s">
        <v>42169</v>
      </c>
      <c r="U4186" t="s">
        <v>46202</v>
      </c>
      <c r="V4186" t="s">
        <v>54207</v>
      </c>
      <c r="W4186" t="s">
        <v>37828</v>
      </c>
      <c r="X4186" t="s">
        <v>40440</v>
      </c>
    </row>
    <row r="4187" spans="1:24">
      <c r="A4187">
        <f>HYPERLINK("https://www.philgeps.gov.ph/GEPSNONPILOT/Tender/SplashBidNoticeAbstractUI.aspx?menuIndex=3&amp;refID=7046481&amp;Result=3","7046481")</f>
        <v>0</v>
      </c>
      <c r="B4187" t="s">
        <v>175</v>
      </c>
      <c r="C4187" t="s">
        <v>7085</v>
      </c>
      <c r="D4187" t="s">
        <v>16244</v>
      </c>
      <c r="E4187" t="s">
        <v>20030</v>
      </c>
      <c r="F4187" t="s">
        <v>28198</v>
      </c>
      <c r="G4187" t="s">
        <v>28206</v>
      </c>
      <c r="H4187" t="s">
        <v>28215</v>
      </c>
      <c r="I4187" t="s">
        <v>4200</v>
      </c>
      <c r="J4187" t="s">
        <v>31063</v>
      </c>
      <c r="K4187" t="s">
        <v>36688</v>
      </c>
      <c r="M4187" t="s">
        <v>37149</v>
      </c>
      <c r="N4187" t="s">
        <v>40436</v>
      </c>
      <c r="O4187" t="s">
        <v>40437</v>
      </c>
      <c r="P4187">
        <v>0</v>
      </c>
      <c r="Q4187">
        <v>0</v>
      </c>
      <c r="R4187" t="s">
        <v>40439</v>
      </c>
      <c r="S4187" t="s">
        <v>40588</v>
      </c>
      <c r="T4187" t="s">
        <v>42185</v>
      </c>
      <c r="U4187" t="s">
        <v>42905</v>
      </c>
      <c r="W4187" t="s">
        <v>37149</v>
      </c>
      <c r="X4187" t="s">
        <v>40440</v>
      </c>
    </row>
    <row r="4188" spans="1:24">
      <c r="A4188">
        <f>HYPERLINK("https://www.philgeps.gov.ph/GEPSNONPILOT/Tender/SplashBidNoticeAbstractUI.aspx?menuIndex=3&amp;refID=7046462&amp;Result=3","7046462")</f>
        <v>0</v>
      </c>
      <c r="B4188" t="s">
        <v>501</v>
      </c>
      <c r="C4188" t="s">
        <v>7086</v>
      </c>
      <c r="D4188" t="s">
        <v>16210</v>
      </c>
      <c r="E4188" t="s">
        <v>20031</v>
      </c>
      <c r="F4188" t="s">
        <v>28198</v>
      </c>
      <c r="G4188" t="s">
        <v>28210</v>
      </c>
      <c r="H4188" t="s">
        <v>28215</v>
      </c>
      <c r="I4188" t="s">
        <v>5082</v>
      </c>
      <c r="J4188" t="s">
        <v>31064</v>
      </c>
      <c r="K4188" t="s">
        <v>36688</v>
      </c>
      <c r="M4188" t="s">
        <v>38072</v>
      </c>
      <c r="N4188" t="s">
        <v>40436</v>
      </c>
      <c r="O4188" t="s">
        <v>40437</v>
      </c>
      <c r="P4188">
        <v>0</v>
      </c>
      <c r="Q4188">
        <v>0</v>
      </c>
      <c r="R4188" t="s">
        <v>40439</v>
      </c>
      <c r="S4188" t="s">
        <v>40588</v>
      </c>
      <c r="T4188" t="s">
        <v>42188</v>
      </c>
      <c r="U4188" t="s">
        <v>46203</v>
      </c>
      <c r="W4188" t="s">
        <v>38072</v>
      </c>
      <c r="X4188" t="s">
        <v>40440</v>
      </c>
    </row>
    <row r="4189" spans="1:24">
      <c r="A4189">
        <f>HYPERLINK("https://www.philgeps.gov.ph/GEPSNONPILOT/Tender/SplashBidNoticeAbstractUI.aspx?menuIndex=3&amp;refID=7046464&amp;Result=3","7046464")</f>
        <v>0</v>
      </c>
      <c r="B4189" t="s">
        <v>832</v>
      </c>
      <c r="C4189" t="s">
        <v>7087</v>
      </c>
      <c r="D4189" t="s">
        <v>16187</v>
      </c>
      <c r="E4189" t="s">
        <v>20032</v>
      </c>
      <c r="F4189" t="s">
        <v>28198</v>
      </c>
      <c r="G4189" t="s">
        <v>28205</v>
      </c>
      <c r="H4189" t="s">
        <v>28214</v>
      </c>
      <c r="I4189" t="s">
        <v>3797</v>
      </c>
      <c r="J4189" t="s">
        <v>31065</v>
      </c>
      <c r="K4189" t="s">
        <v>36701</v>
      </c>
      <c r="M4189" t="s">
        <v>37844</v>
      </c>
      <c r="N4189" t="s">
        <v>40436</v>
      </c>
      <c r="O4189" t="s">
        <v>40437</v>
      </c>
      <c r="P4189">
        <v>0</v>
      </c>
      <c r="Q4189">
        <v>0</v>
      </c>
      <c r="R4189" t="s">
        <v>40439</v>
      </c>
      <c r="S4189" t="s">
        <v>40588</v>
      </c>
      <c r="T4189" t="s">
        <v>42175</v>
      </c>
      <c r="U4189" t="s">
        <v>46204</v>
      </c>
      <c r="W4189" t="s">
        <v>37844</v>
      </c>
      <c r="X4189" t="s">
        <v>40440</v>
      </c>
    </row>
    <row r="4190" spans="1:24">
      <c r="A4190">
        <f>HYPERLINK("https://www.philgeps.gov.ph/GEPSNONPILOT/Tender/SplashBidNoticeAbstractUI.aspx?menuIndex=3&amp;refID=7046478&amp;Result=3","7046478")</f>
        <v>0</v>
      </c>
      <c r="B4190" t="s">
        <v>1216</v>
      </c>
      <c r="C4190" t="s">
        <v>7088</v>
      </c>
      <c r="D4190" t="s">
        <v>16230</v>
      </c>
      <c r="E4190" t="s">
        <v>20033</v>
      </c>
      <c r="F4190" t="s">
        <v>28198</v>
      </c>
      <c r="G4190" t="s">
        <v>28207</v>
      </c>
      <c r="H4190" t="s">
        <v>28215</v>
      </c>
      <c r="I4190" t="s">
        <v>28243</v>
      </c>
      <c r="J4190" t="s">
        <v>29081</v>
      </c>
      <c r="K4190" t="s">
        <v>36689</v>
      </c>
      <c r="M4190" t="s">
        <v>38261</v>
      </c>
      <c r="N4190" t="s">
        <v>40436</v>
      </c>
      <c r="O4190" t="s">
        <v>40437</v>
      </c>
      <c r="P4190">
        <v>0</v>
      </c>
      <c r="Q4190">
        <v>0</v>
      </c>
      <c r="R4190" t="s">
        <v>40439</v>
      </c>
      <c r="S4190" t="s">
        <v>40588</v>
      </c>
      <c r="T4190" t="s">
        <v>42340</v>
      </c>
      <c r="U4190" t="s">
        <v>46205</v>
      </c>
      <c r="W4190" t="s">
        <v>38261</v>
      </c>
      <c r="X4190" t="s">
        <v>40440</v>
      </c>
    </row>
    <row r="4191" spans="1:24">
      <c r="A4191">
        <f>HYPERLINK("https://www.philgeps.gov.ph/GEPSNONPILOT/Tender/SplashBidNoticeAbstractUI.aspx?menuIndex=3&amp;refID=7046479&amp;Result=3","7046479")</f>
        <v>0</v>
      </c>
      <c r="B4191" t="s">
        <v>1517</v>
      </c>
      <c r="C4191" t="s">
        <v>7089</v>
      </c>
      <c r="E4191" t="s">
        <v>20034</v>
      </c>
      <c r="F4191" t="s">
        <v>28198</v>
      </c>
      <c r="G4191" t="s">
        <v>28207</v>
      </c>
      <c r="H4191" t="s">
        <v>28215</v>
      </c>
      <c r="I4191" t="s">
        <v>5071</v>
      </c>
      <c r="J4191" t="s">
        <v>28425</v>
      </c>
      <c r="K4191" t="s">
        <v>36689</v>
      </c>
      <c r="M4191" t="s">
        <v>38595</v>
      </c>
      <c r="N4191" t="s">
        <v>40436</v>
      </c>
      <c r="O4191" t="s">
        <v>40437</v>
      </c>
      <c r="P4191">
        <v>0</v>
      </c>
      <c r="Q4191">
        <v>0</v>
      </c>
      <c r="R4191" t="s">
        <v>40439</v>
      </c>
      <c r="S4191" t="s">
        <v>40588</v>
      </c>
      <c r="T4191" t="s">
        <v>42169</v>
      </c>
      <c r="U4191" t="s">
        <v>46206</v>
      </c>
      <c r="V4191" t="s">
        <v>54208</v>
      </c>
      <c r="W4191" t="s">
        <v>38595</v>
      </c>
      <c r="X4191" t="s">
        <v>40440</v>
      </c>
    </row>
    <row r="4192" spans="1:24">
      <c r="A4192">
        <f>HYPERLINK("https://www.philgeps.gov.ph/GEPSNONPILOT/Tender/SplashBidNoticeAbstractUI.aspx?menuIndex=3&amp;refID=7046476&amp;Result=3","7046476")</f>
        <v>0</v>
      </c>
      <c r="B4192" t="s">
        <v>1518</v>
      </c>
      <c r="C4192" t="s">
        <v>7090</v>
      </c>
      <c r="D4192" t="s">
        <v>16203</v>
      </c>
      <c r="E4192" t="s">
        <v>20035</v>
      </c>
      <c r="F4192" t="s">
        <v>28198</v>
      </c>
      <c r="G4192" t="s">
        <v>28207</v>
      </c>
      <c r="H4192" t="s">
        <v>28215</v>
      </c>
      <c r="I4192" t="s">
        <v>4219</v>
      </c>
      <c r="J4192" t="s">
        <v>28504</v>
      </c>
      <c r="K4192" t="s">
        <v>36706</v>
      </c>
      <c r="M4192" t="s">
        <v>38596</v>
      </c>
      <c r="N4192" t="s">
        <v>40436</v>
      </c>
      <c r="O4192" t="s">
        <v>40437</v>
      </c>
      <c r="P4192">
        <v>0</v>
      </c>
      <c r="Q4192">
        <v>0</v>
      </c>
      <c r="R4192" t="s">
        <v>40439</v>
      </c>
      <c r="S4192" t="s">
        <v>40588</v>
      </c>
      <c r="T4192" t="s">
        <v>42218</v>
      </c>
      <c r="U4192" t="s">
        <v>46207</v>
      </c>
      <c r="W4192" t="s">
        <v>38596</v>
      </c>
      <c r="X4192" t="s">
        <v>40440</v>
      </c>
    </row>
    <row r="4193" spans="1:24">
      <c r="A4193">
        <f>HYPERLINK("https://www.philgeps.gov.ph/GEPSNONPILOT/Tender/SplashBidNoticeAbstractUI.aspx?menuIndex=3&amp;refID=7046467&amp;Result=3","7046467")</f>
        <v>0</v>
      </c>
      <c r="B4193" t="s">
        <v>1497</v>
      </c>
      <c r="C4193" t="s">
        <v>7091</v>
      </c>
      <c r="D4193" t="s">
        <v>16211</v>
      </c>
      <c r="E4193" t="s">
        <v>20036</v>
      </c>
      <c r="F4193" t="s">
        <v>28198</v>
      </c>
      <c r="G4193" t="s">
        <v>28205</v>
      </c>
      <c r="H4193" t="s">
        <v>28215</v>
      </c>
      <c r="I4193" t="s">
        <v>28249</v>
      </c>
      <c r="J4193" t="s">
        <v>28623</v>
      </c>
      <c r="K4193" t="s">
        <v>36688</v>
      </c>
      <c r="M4193" t="s">
        <v>38572</v>
      </c>
      <c r="N4193" t="s">
        <v>40436</v>
      </c>
      <c r="O4193" t="s">
        <v>40437</v>
      </c>
      <c r="P4193">
        <v>0</v>
      </c>
      <c r="Q4193">
        <v>0</v>
      </c>
      <c r="R4193" t="s">
        <v>40439</v>
      </c>
      <c r="S4193" t="s">
        <v>40588</v>
      </c>
      <c r="T4193" t="s">
        <v>42144</v>
      </c>
      <c r="U4193" t="s">
        <v>46208</v>
      </c>
      <c r="V4193" t="s">
        <v>54209</v>
      </c>
      <c r="W4193" t="s">
        <v>38572</v>
      </c>
      <c r="X4193" t="s">
        <v>40440</v>
      </c>
    </row>
    <row r="4194" spans="1:24">
      <c r="A4194">
        <f>HYPERLINK("https://www.philgeps.gov.ph/GEPSNONPILOT/Tender/SplashBidNoticeAbstractUI.aspx?menuIndex=3&amp;refID=7046477&amp;Result=3","7046477")</f>
        <v>0</v>
      </c>
      <c r="B4194" t="s">
        <v>1272</v>
      </c>
      <c r="C4194" t="s">
        <v>7092</v>
      </c>
      <c r="D4194" t="s">
        <v>16202</v>
      </c>
      <c r="E4194" t="s">
        <v>20037</v>
      </c>
      <c r="F4194" t="s">
        <v>28198</v>
      </c>
      <c r="G4194" t="s">
        <v>28207</v>
      </c>
      <c r="H4194" t="s">
        <v>28215</v>
      </c>
      <c r="I4194" t="s">
        <v>5631</v>
      </c>
      <c r="J4194" t="s">
        <v>31066</v>
      </c>
      <c r="K4194" t="s">
        <v>36707</v>
      </c>
      <c r="M4194" t="s">
        <v>38324</v>
      </c>
      <c r="N4194" t="s">
        <v>40436</v>
      </c>
      <c r="O4194" t="s">
        <v>40437</v>
      </c>
      <c r="P4194">
        <v>0</v>
      </c>
      <c r="Q4194">
        <v>0</v>
      </c>
      <c r="R4194" t="s">
        <v>40439</v>
      </c>
      <c r="S4194" t="s">
        <v>40588</v>
      </c>
      <c r="T4194" t="s">
        <v>42158</v>
      </c>
      <c r="U4194" t="s">
        <v>46209</v>
      </c>
      <c r="W4194" t="s">
        <v>38324</v>
      </c>
      <c r="X4194" t="s">
        <v>40440</v>
      </c>
    </row>
    <row r="4195" spans="1:24">
      <c r="A4195">
        <f>HYPERLINK("https://www.philgeps.gov.ph/GEPSNONPILOT/Tender/SplashBidNoticeAbstractUI.aspx?menuIndex=3&amp;refID=7046475&amp;Result=3","7046475")</f>
        <v>0</v>
      </c>
      <c r="B4195" t="s">
        <v>1519</v>
      </c>
      <c r="C4195" t="s">
        <v>7083</v>
      </c>
      <c r="D4195" t="s">
        <v>16187</v>
      </c>
      <c r="E4195" t="s">
        <v>20028</v>
      </c>
      <c r="F4195" t="s">
        <v>28198</v>
      </c>
      <c r="G4195" t="s">
        <v>28205</v>
      </c>
      <c r="H4195" t="s">
        <v>28215</v>
      </c>
      <c r="I4195" t="s">
        <v>4200</v>
      </c>
      <c r="J4195" t="s">
        <v>28345</v>
      </c>
      <c r="K4195" t="s">
        <v>36689</v>
      </c>
      <c r="M4195" t="s">
        <v>38597</v>
      </c>
      <c r="N4195" t="s">
        <v>40436</v>
      </c>
      <c r="O4195" t="s">
        <v>40437</v>
      </c>
      <c r="P4195">
        <v>0</v>
      </c>
      <c r="Q4195">
        <v>0</v>
      </c>
      <c r="R4195" t="s">
        <v>40439</v>
      </c>
      <c r="S4195" t="s">
        <v>40588</v>
      </c>
      <c r="T4195" t="s">
        <v>42229</v>
      </c>
      <c r="U4195" t="s">
        <v>46210</v>
      </c>
      <c r="W4195" t="s">
        <v>38597</v>
      </c>
      <c r="X4195" t="s">
        <v>40440</v>
      </c>
    </row>
    <row r="4196" spans="1:24">
      <c r="A4196">
        <f>HYPERLINK("https://www.philgeps.gov.ph/GEPSNONPILOT/Tender/SplashBidNoticeAbstractUI.aspx?menuIndex=3&amp;refID=7046471&amp;Result=3","7046471")</f>
        <v>0</v>
      </c>
      <c r="B4196" t="s">
        <v>386</v>
      </c>
      <c r="C4196" t="s">
        <v>7093</v>
      </c>
      <c r="D4196" t="s">
        <v>16259</v>
      </c>
      <c r="E4196" t="s">
        <v>20038</v>
      </c>
      <c r="F4196" t="s">
        <v>28198</v>
      </c>
      <c r="G4196" t="s">
        <v>28207</v>
      </c>
      <c r="H4196" t="s">
        <v>28215</v>
      </c>
      <c r="I4196" t="s">
        <v>28251</v>
      </c>
      <c r="J4196" t="s">
        <v>29109</v>
      </c>
      <c r="K4196" t="s">
        <v>36688</v>
      </c>
      <c r="M4196" t="s">
        <v>37366</v>
      </c>
      <c r="N4196" t="s">
        <v>40436</v>
      </c>
      <c r="O4196" t="s">
        <v>40437</v>
      </c>
      <c r="P4196">
        <v>0</v>
      </c>
      <c r="Q4196">
        <v>2</v>
      </c>
      <c r="R4196" t="s">
        <v>40439</v>
      </c>
      <c r="S4196" t="s">
        <v>40588</v>
      </c>
      <c r="T4196" t="s">
        <v>42133</v>
      </c>
      <c r="U4196" t="s">
        <v>45807</v>
      </c>
      <c r="V4196" t="s">
        <v>53872</v>
      </c>
      <c r="W4196" t="s">
        <v>37366</v>
      </c>
      <c r="X4196" t="s">
        <v>40440</v>
      </c>
    </row>
    <row r="4197" spans="1:24">
      <c r="A4197">
        <f>HYPERLINK("https://www.philgeps.gov.ph/GEPSNONPILOT/Tender/SplashBidNoticeAbstractUI.aspx?menuIndex=3&amp;refID=7046474&amp;Result=3","7046474")</f>
        <v>0</v>
      </c>
      <c r="B4197" t="s">
        <v>346</v>
      </c>
      <c r="C4197" t="s">
        <v>7094</v>
      </c>
      <c r="D4197" t="s">
        <v>16217</v>
      </c>
      <c r="E4197" t="s">
        <v>20039</v>
      </c>
      <c r="F4197" t="s">
        <v>28198</v>
      </c>
      <c r="G4197" t="s">
        <v>28205</v>
      </c>
      <c r="H4197" t="s">
        <v>28214</v>
      </c>
      <c r="I4197" t="s">
        <v>3797</v>
      </c>
      <c r="J4197" t="s">
        <v>28379</v>
      </c>
      <c r="K4197" t="s">
        <v>36737</v>
      </c>
      <c r="M4197" t="s">
        <v>37325</v>
      </c>
      <c r="N4197" t="s">
        <v>40436</v>
      </c>
      <c r="O4197" t="s">
        <v>40437</v>
      </c>
      <c r="Q4197">
        <v>0</v>
      </c>
      <c r="R4197" t="s">
        <v>40439</v>
      </c>
      <c r="S4197" t="s">
        <v>40596</v>
      </c>
      <c r="T4197" t="s">
        <v>42168</v>
      </c>
      <c r="U4197" t="s">
        <v>46211</v>
      </c>
      <c r="W4197" t="s">
        <v>37325</v>
      </c>
      <c r="X4197" t="s">
        <v>40440</v>
      </c>
    </row>
    <row r="4198" spans="1:24">
      <c r="A4198">
        <f>HYPERLINK("https://www.philgeps.gov.ph/GEPSNONPILOT/Tender/SplashBidNoticeAbstractUI.aspx?menuIndex=3&amp;refID=7046486&amp;Result=3","7046486")</f>
        <v>0</v>
      </c>
      <c r="B4198" t="s">
        <v>1142</v>
      </c>
      <c r="C4198" t="s">
        <v>7095</v>
      </c>
      <c r="D4198" t="s">
        <v>16223</v>
      </c>
      <c r="E4198" t="s">
        <v>20040</v>
      </c>
      <c r="F4198" t="s">
        <v>28200</v>
      </c>
      <c r="G4198" t="s">
        <v>28206</v>
      </c>
      <c r="H4198" t="s">
        <v>28215</v>
      </c>
      <c r="I4198" t="s">
        <v>28229</v>
      </c>
      <c r="J4198" t="s">
        <v>31067</v>
      </c>
      <c r="K4198" t="s">
        <v>36706</v>
      </c>
      <c r="M4198" t="s">
        <v>38182</v>
      </c>
      <c r="N4198" t="s">
        <v>40436</v>
      </c>
      <c r="O4198" t="s">
        <v>40437</v>
      </c>
      <c r="P4198">
        <v>0</v>
      </c>
      <c r="Q4198">
        <v>1</v>
      </c>
      <c r="R4198" t="s">
        <v>40439</v>
      </c>
      <c r="S4198" t="s">
        <v>40588</v>
      </c>
      <c r="T4198" t="s">
        <v>42234</v>
      </c>
      <c r="U4198" t="s">
        <v>46212</v>
      </c>
      <c r="W4198" t="s">
        <v>38182</v>
      </c>
      <c r="X4198" t="s">
        <v>40440</v>
      </c>
    </row>
    <row r="4199" spans="1:24">
      <c r="A4199">
        <f>HYPERLINK("https://www.philgeps.gov.ph/GEPSNONPILOT/Tender/SplashBidNoticeAbstractUI.aspx?menuIndex=3&amp;refID=7046482&amp;Result=3","7046482")</f>
        <v>0</v>
      </c>
      <c r="B4199" t="s">
        <v>832</v>
      </c>
      <c r="C4199" t="s">
        <v>7096</v>
      </c>
      <c r="D4199" t="s">
        <v>16187</v>
      </c>
      <c r="E4199" t="s">
        <v>20041</v>
      </c>
      <c r="F4199" t="s">
        <v>28198</v>
      </c>
      <c r="G4199" t="s">
        <v>28205</v>
      </c>
      <c r="H4199" t="s">
        <v>28214</v>
      </c>
      <c r="I4199" t="s">
        <v>3797</v>
      </c>
      <c r="J4199" t="s">
        <v>31068</v>
      </c>
      <c r="K4199" t="s">
        <v>36701</v>
      </c>
      <c r="M4199" t="s">
        <v>37844</v>
      </c>
      <c r="N4199" t="s">
        <v>40436</v>
      </c>
      <c r="O4199" t="s">
        <v>40437</v>
      </c>
      <c r="P4199">
        <v>0</v>
      </c>
      <c r="Q4199">
        <v>0</v>
      </c>
      <c r="R4199" t="s">
        <v>40439</v>
      </c>
      <c r="S4199" t="s">
        <v>40588</v>
      </c>
      <c r="T4199" t="s">
        <v>42175</v>
      </c>
      <c r="U4199" t="s">
        <v>46213</v>
      </c>
      <c r="W4199" t="s">
        <v>37844</v>
      </c>
      <c r="X4199" t="s">
        <v>40440</v>
      </c>
    </row>
    <row r="4200" spans="1:24">
      <c r="A4200">
        <f>HYPERLINK("https://www.philgeps.gov.ph/GEPSNONPILOT/Tender/SplashBidNoticeAbstractUI.aspx?menuIndex=3&amp;refID=7046487&amp;Result=3","7046487")</f>
        <v>0</v>
      </c>
      <c r="B4200" t="s">
        <v>1509</v>
      </c>
      <c r="C4200" t="s">
        <v>7097</v>
      </c>
      <c r="D4200" t="s">
        <v>16262</v>
      </c>
      <c r="E4200" t="s">
        <v>20042</v>
      </c>
      <c r="F4200" t="s">
        <v>28198</v>
      </c>
      <c r="G4200" t="s">
        <v>28208</v>
      </c>
      <c r="H4200" t="s">
        <v>28214</v>
      </c>
      <c r="I4200" t="s">
        <v>3797</v>
      </c>
      <c r="J4200" t="s">
        <v>31069</v>
      </c>
      <c r="K4200" t="s">
        <v>36697</v>
      </c>
      <c r="M4200" t="s">
        <v>38585</v>
      </c>
      <c r="N4200" t="s">
        <v>40436</v>
      </c>
      <c r="O4200" t="s">
        <v>40437</v>
      </c>
      <c r="P4200">
        <v>0</v>
      </c>
      <c r="Q4200">
        <v>0</v>
      </c>
      <c r="R4200" t="s">
        <v>40439</v>
      </c>
      <c r="S4200" t="s">
        <v>40588</v>
      </c>
      <c r="T4200" t="s">
        <v>42108</v>
      </c>
      <c r="U4200" t="s">
        <v>46170</v>
      </c>
      <c r="V4200" t="s">
        <v>54203</v>
      </c>
      <c r="W4200" t="s">
        <v>55486</v>
      </c>
      <c r="X4200" t="s">
        <v>40440</v>
      </c>
    </row>
    <row r="4201" spans="1:24">
      <c r="A4201">
        <f>HYPERLINK("https://www.philgeps.gov.ph/GEPSNONPILOT/Tender/SplashBidNoticeAbstractUI.aspx?menuIndex=3&amp;refID=7046472&amp;Result=3","7046472")</f>
        <v>0</v>
      </c>
      <c r="B4201" t="s">
        <v>1499</v>
      </c>
      <c r="C4201" t="s">
        <v>7098</v>
      </c>
      <c r="D4201" t="s">
        <v>16211</v>
      </c>
      <c r="E4201" t="s">
        <v>20043</v>
      </c>
      <c r="F4201" t="s">
        <v>28198</v>
      </c>
      <c r="G4201" t="s">
        <v>28207</v>
      </c>
      <c r="H4201" t="s">
        <v>28215</v>
      </c>
      <c r="I4201" t="s">
        <v>5082</v>
      </c>
      <c r="J4201" t="s">
        <v>31070</v>
      </c>
      <c r="K4201" t="s">
        <v>36707</v>
      </c>
      <c r="M4201" t="s">
        <v>38574</v>
      </c>
      <c r="N4201" t="s">
        <v>40436</v>
      </c>
      <c r="O4201" t="s">
        <v>40437</v>
      </c>
      <c r="P4201">
        <v>0</v>
      </c>
      <c r="Q4201">
        <v>0</v>
      </c>
      <c r="R4201" t="s">
        <v>40439</v>
      </c>
      <c r="S4201" t="s">
        <v>40588</v>
      </c>
      <c r="T4201" t="s">
        <v>42131</v>
      </c>
      <c r="U4201" t="s">
        <v>46133</v>
      </c>
      <c r="W4201" t="s">
        <v>38574</v>
      </c>
      <c r="X4201" t="s">
        <v>40440</v>
      </c>
    </row>
    <row r="4202" spans="1:24">
      <c r="A4202">
        <f>HYPERLINK("https://www.philgeps.gov.ph/GEPSNONPILOT/Tender/SplashBidNoticeAbstractUI.aspx?menuIndex=3&amp;refID=7046493&amp;Result=3","7046493")</f>
        <v>0</v>
      </c>
      <c r="B4202" t="s">
        <v>269</v>
      </c>
      <c r="C4202" t="s">
        <v>7099</v>
      </c>
      <c r="D4202" t="s">
        <v>16202</v>
      </c>
      <c r="E4202" t="s">
        <v>16755</v>
      </c>
      <c r="F4202" t="s">
        <v>28198</v>
      </c>
      <c r="G4202" t="s">
        <v>28207</v>
      </c>
      <c r="H4202" t="s">
        <v>28215</v>
      </c>
      <c r="I4202" t="s">
        <v>28279</v>
      </c>
      <c r="J4202" t="s">
        <v>31071</v>
      </c>
      <c r="K4202" t="s">
        <v>36689</v>
      </c>
      <c r="M4202" t="s">
        <v>37246</v>
      </c>
      <c r="N4202" t="s">
        <v>40436</v>
      </c>
      <c r="O4202" t="s">
        <v>40437</v>
      </c>
      <c r="P4202">
        <v>0</v>
      </c>
      <c r="Q4202">
        <v>2</v>
      </c>
      <c r="R4202" t="s">
        <v>40439</v>
      </c>
      <c r="S4202" t="s">
        <v>40588</v>
      </c>
      <c r="T4202" t="s">
        <v>42131</v>
      </c>
      <c r="U4202" t="s">
        <v>46214</v>
      </c>
      <c r="W4202" t="s">
        <v>37246</v>
      </c>
      <c r="X4202" t="s">
        <v>40440</v>
      </c>
    </row>
    <row r="4203" spans="1:24">
      <c r="A4203">
        <f>HYPERLINK("https://www.philgeps.gov.ph/GEPSNONPILOT/Tender/SplashBidNoticeAbstractUI.aspx?menuIndex=3&amp;refID=7046483&amp;Result=3","7046483")</f>
        <v>0</v>
      </c>
      <c r="B4203" t="s">
        <v>1462</v>
      </c>
      <c r="C4203" t="s">
        <v>7100</v>
      </c>
      <c r="D4203" t="s">
        <v>16210</v>
      </c>
      <c r="E4203" t="s">
        <v>20044</v>
      </c>
      <c r="F4203" t="s">
        <v>28198</v>
      </c>
      <c r="G4203" t="s">
        <v>28207</v>
      </c>
      <c r="H4203" t="s">
        <v>28215</v>
      </c>
      <c r="I4203" t="s">
        <v>4219</v>
      </c>
      <c r="J4203" t="s">
        <v>29738</v>
      </c>
      <c r="K4203" t="s">
        <v>36688</v>
      </c>
      <c r="M4203" t="s">
        <v>38531</v>
      </c>
      <c r="N4203" t="s">
        <v>40436</v>
      </c>
      <c r="O4203" t="s">
        <v>40437</v>
      </c>
      <c r="P4203">
        <v>0</v>
      </c>
      <c r="Q4203">
        <v>6</v>
      </c>
      <c r="R4203" t="s">
        <v>40439</v>
      </c>
      <c r="S4203" t="s">
        <v>40588</v>
      </c>
      <c r="T4203" t="s">
        <v>42203</v>
      </c>
      <c r="U4203" t="s">
        <v>44499</v>
      </c>
      <c r="W4203" t="s">
        <v>38531</v>
      </c>
      <c r="X4203" t="s">
        <v>40440</v>
      </c>
    </row>
    <row r="4204" spans="1:24">
      <c r="A4204">
        <f>HYPERLINK("https://www.philgeps.gov.ph/GEPSNONPILOT/Tender/SplashBidNoticeAbstractUI.aspx?menuIndex=3&amp;refID=7046473&amp;Result=3","7046473")</f>
        <v>0</v>
      </c>
      <c r="B4204" t="s">
        <v>1019</v>
      </c>
      <c r="C4204" t="s">
        <v>6951</v>
      </c>
      <c r="D4204" t="s">
        <v>16202</v>
      </c>
      <c r="E4204" t="s">
        <v>20045</v>
      </c>
      <c r="F4204" t="s">
        <v>28198</v>
      </c>
      <c r="G4204" t="s">
        <v>28207</v>
      </c>
      <c r="H4204" t="s">
        <v>28215</v>
      </c>
      <c r="I4204" t="s">
        <v>28238</v>
      </c>
      <c r="J4204" t="s">
        <v>28360</v>
      </c>
      <c r="K4204" t="s">
        <v>36701</v>
      </c>
      <c r="M4204" t="s">
        <v>38048</v>
      </c>
      <c r="N4204" t="s">
        <v>40436</v>
      </c>
      <c r="O4204" t="s">
        <v>40437</v>
      </c>
      <c r="P4204">
        <v>0</v>
      </c>
      <c r="Q4204">
        <v>3</v>
      </c>
      <c r="R4204" t="s">
        <v>40439</v>
      </c>
      <c r="S4204" t="s">
        <v>40588</v>
      </c>
      <c r="T4204" t="s">
        <v>42158</v>
      </c>
      <c r="U4204" t="s">
        <v>46215</v>
      </c>
      <c r="W4204" t="s">
        <v>38048</v>
      </c>
      <c r="X4204" t="s">
        <v>40440</v>
      </c>
    </row>
    <row r="4205" spans="1:24">
      <c r="A4205">
        <f>HYPERLINK("https://www.philgeps.gov.ph/GEPSNONPILOT/Tender/SplashBidNoticeAbstractUI.aspx?menuIndex=3&amp;refID=7046491&amp;Result=3","7046491")</f>
        <v>0</v>
      </c>
      <c r="B4205" t="s">
        <v>1520</v>
      </c>
      <c r="C4205" t="s">
        <v>7101</v>
      </c>
      <c r="D4205" t="s">
        <v>16189</v>
      </c>
      <c r="E4205" t="s">
        <v>20046</v>
      </c>
      <c r="F4205" t="s">
        <v>28198</v>
      </c>
      <c r="G4205" t="s">
        <v>28207</v>
      </c>
      <c r="H4205" t="s">
        <v>28215</v>
      </c>
      <c r="I4205" t="s">
        <v>28220</v>
      </c>
      <c r="J4205" t="s">
        <v>31072</v>
      </c>
      <c r="K4205" t="s">
        <v>36701</v>
      </c>
      <c r="M4205" t="s">
        <v>38598</v>
      </c>
      <c r="N4205" t="s">
        <v>40436</v>
      </c>
      <c r="O4205" t="s">
        <v>40437</v>
      </c>
      <c r="Q4205">
        <v>12</v>
      </c>
      <c r="R4205" t="s">
        <v>40439</v>
      </c>
      <c r="S4205" t="s">
        <v>40597</v>
      </c>
      <c r="T4205" t="s">
        <v>42124</v>
      </c>
      <c r="U4205" t="s">
        <v>46216</v>
      </c>
      <c r="W4205" t="s">
        <v>38598</v>
      </c>
      <c r="X4205" t="s">
        <v>40440</v>
      </c>
    </row>
    <row r="4206" spans="1:24">
      <c r="A4206">
        <f>HYPERLINK("https://www.philgeps.gov.ph/GEPSNONPILOT/Tender/SplashBidNoticeAbstractUI.aspx?menuIndex=3&amp;refID=7046492&amp;Result=3","7046492")</f>
        <v>0</v>
      </c>
      <c r="B4206" t="s">
        <v>156</v>
      </c>
      <c r="C4206" t="s">
        <v>7102</v>
      </c>
      <c r="D4206" t="s">
        <v>16239</v>
      </c>
      <c r="E4206" t="s">
        <v>20047</v>
      </c>
      <c r="F4206" t="s">
        <v>28198</v>
      </c>
      <c r="G4206" t="s">
        <v>28206</v>
      </c>
      <c r="H4206" t="s">
        <v>28217</v>
      </c>
      <c r="I4206" t="s">
        <v>5100</v>
      </c>
      <c r="J4206" t="s">
        <v>31073</v>
      </c>
      <c r="K4206" t="s">
        <v>36688</v>
      </c>
      <c r="M4206" t="s">
        <v>37130</v>
      </c>
      <c r="N4206" t="s">
        <v>40436</v>
      </c>
      <c r="O4206" t="s">
        <v>40437</v>
      </c>
      <c r="P4206">
        <v>0</v>
      </c>
      <c r="Q4206">
        <v>0</v>
      </c>
      <c r="R4206" t="s">
        <v>40439</v>
      </c>
      <c r="S4206" t="s">
        <v>40588</v>
      </c>
      <c r="T4206" t="s">
        <v>42233</v>
      </c>
      <c r="U4206" t="s">
        <v>42881</v>
      </c>
      <c r="W4206" t="s">
        <v>37130</v>
      </c>
      <c r="X4206" t="s">
        <v>40440</v>
      </c>
    </row>
    <row r="4207" spans="1:24">
      <c r="A4207">
        <f>HYPERLINK("https://www.philgeps.gov.ph/GEPSNONPILOT/Tender/SplashBidNoticeAbstractUI.aspx?menuIndex=3&amp;refID=7046469&amp;Result=3","7046469")</f>
        <v>0</v>
      </c>
      <c r="B4207" t="s">
        <v>1299</v>
      </c>
      <c r="C4207" t="s">
        <v>7103</v>
      </c>
      <c r="D4207" t="s">
        <v>16208</v>
      </c>
      <c r="E4207" t="s">
        <v>20048</v>
      </c>
      <c r="F4207" t="s">
        <v>28198</v>
      </c>
      <c r="G4207" t="s">
        <v>28206</v>
      </c>
      <c r="H4207" t="s">
        <v>28215</v>
      </c>
      <c r="I4207" t="s">
        <v>3422</v>
      </c>
      <c r="J4207" t="s">
        <v>28589</v>
      </c>
      <c r="K4207" t="s">
        <v>36691</v>
      </c>
      <c r="M4207" t="s">
        <v>38353</v>
      </c>
      <c r="N4207" t="s">
        <v>40436</v>
      </c>
      <c r="O4207" t="s">
        <v>40437</v>
      </c>
      <c r="P4207">
        <v>0</v>
      </c>
      <c r="Q4207">
        <v>0</v>
      </c>
      <c r="R4207" t="s">
        <v>40439</v>
      </c>
      <c r="S4207" t="s">
        <v>40588</v>
      </c>
      <c r="T4207" t="s">
        <v>42245</v>
      </c>
      <c r="U4207" t="s">
        <v>46217</v>
      </c>
      <c r="W4207" t="s">
        <v>38353</v>
      </c>
      <c r="X4207" t="s">
        <v>40440</v>
      </c>
    </row>
    <row r="4208" spans="1:24">
      <c r="A4208">
        <f>HYPERLINK("https://www.philgeps.gov.ph/GEPSNONPILOT/Tender/SplashBidNoticeAbstractUI.aspx?menuIndex=3&amp;refID=7046494&amp;Result=3","7046494")</f>
        <v>0</v>
      </c>
      <c r="B4208" t="s">
        <v>1521</v>
      </c>
      <c r="C4208" t="s">
        <v>7104</v>
      </c>
      <c r="D4208" t="s">
        <v>16216</v>
      </c>
      <c r="E4208" t="s">
        <v>20049</v>
      </c>
      <c r="F4208" t="s">
        <v>28198</v>
      </c>
      <c r="G4208" t="s">
        <v>28207</v>
      </c>
      <c r="H4208" t="s">
        <v>28215</v>
      </c>
      <c r="I4208" t="s">
        <v>4200</v>
      </c>
      <c r="J4208" t="s">
        <v>31074</v>
      </c>
      <c r="K4208" t="s">
        <v>36707</v>
      </c>
      <c r="M4208" t="s">
        <v>38599</v>
      </c>
      <c r="N4208" t="s">
        <v>40436</v>
      </c>
      <c r="O4208" t="s">
        <v>40437</v>
      </c>
      <c r="P4208">
        <v>0</v>
      </c>
      <c r="Q4208">
        <v>2</v>
      </c>
      <c r="R4208" t="s">
        <v>40439</v>
      </c>
      <c r="S4208" t="s">
        <v>40588</v>
      </c>
      <c r="T4208" t="s">
        <v>42176</v>
      </c>
      <c r="U4208" t="s">
        <v>46218</v>
      </c>
      <c r="W4208" t="s">
        <v>38599</v>
      </c>
      <c r="X4208" t="s">
        <v>40440</v>
      </c>
    </row>
    <row r="4209" spans="1:24">
      <c r="A4209">
        <f>HYPERLINK("https://www.philgeps.gov.ph/GEPSNONPILOT/Tender/SplashBidNoticeAbstractUI.aspx?menuIndex=3&amp;refID=7046468&amp;Result=3","7046468")</f>
        <v>0</v>
      </c>
      <c r="B4209" t="s">
        <v>1281</v>
      </c>
      <c r="C4209" t="s">
        <v>7105</v>
      </c>
      <c r="D4209" t="s">
        <v>16190</v>
      </c>
      <c r="E4209" t="s">
        <v>20050</v>
      </c>
      <c r="F4209" t="s">
        <v>28198</v>
      </c>
      <c r="G4209" t="s">
        <v>28207</v>
      </c>
      <c r="H4209" t="s">
        <v>28215</v>
      </c>
      <c r="I4209" t="s">
        <v>4321</v>
      </c>
      <c r="J4209" t="s">
        <v>31075</v>
      </c>
      <c r="K4209" t="s">
        <v>36701</v>
      </c>
      <c r="M4209" t="s">
        <v>38333</v>
      </c>
      <c r="N4209" t="s">
        <v>40436</v>
      </c>
      <c r="O4209" t="s">
        <v>40437</v>
      </c>
      <c r="P4209">
        <v>0</v>
      </c>
      <c r="Q4209">
        <v>0</v>
      </c>
      <c r="R4209" t="s">
        <v>40439</v>
      </c>
      <c r="S4209" t="s">
        <v>40588</v>
      </c>
      <c r="T4209" t="s">
        <v>42158</v>
      </c>
      <c r="U4209" t="s">
        <v>45497</v>
      </c>
      <c r="V4209" t="s">
        <v>54123</v>
      </c>
      <c r="W4209" t="s">
        <v>38333</v>
      </c>
      <c r="X4209" t="s">
        <v>40440</v>
      </c>
    </row>
    <row r="4210" spans="1:24">
      <c r="A4210">
        <f>HYPERLINK("https://www.philgeps.gov.ph/GEPSNONPILOT/Tender/SplashBidNoticeAbstractUI.aspx?menuIndex=3&amp;refID=7046489&amp;Result=3","7046489")</f>
        <v>0</v>
      </c>
      <c r="B4210" t="s">
        <v>1516</v>
      </c>
      <c r="C4210" t="s">
        <v>7106</v>
      </c>
      <c r="D4210" t="s">
        <v>16213</v>
      </c>
      <c r="E4210" t="s">
        <v>16424</v>
      </c>
      <c r="F4210" t="s">
        <v>28198</v>
      </c>
      <c r="G4210" t="s">
        <v>28205</v>
      </c>
      <c r="H4210" t="s">
        <v>28214</v>
      </c>
      <c r="I4210" t="s">
        <v>3797</v>
      </c>
      <c r="J4210" t="s">
        <v>28347</v>
      </c>
      <c r="K4210" t="s">
        <v>36697</v>
      </c>
      <c r="M4210" t="s">
        <v>38593</v>
      </c>
      <c r="N4210" t="s">
        <v>40436</v>
      </c>
      <c r="O4210" t="s">
        <v>40437</v>
      </c>
      <c r="P4210">
        <v>0</v>
      </c>
      <c r="Q4210">
        <v>0</v>
      </c>
      <c r="R4210" t="s">
        <v>40439</v>
      </c>
      <c r="S4210" t="s">
        <v>40588</v>
      </c>
      <c r="T4210" t="s">
        <v>42125</v>
      </c>
      <c r="U4210" t="s">
        <v>46219</v>
      </c>
      <c r="W4210" t="s">
        <v>38593</v>
      </c>
      <c r="X4210" t="s">
        <v>40440</v>
      </c>
    </row>
    <row r="4211" spans="1:24">
      <c r="A4211">
        <f>HYPERLINK("https://www.philgeps.gov.ph/GEPSNONPILOT/Tender/SplashBidNoticeAbstractUI.aspx?menuIndex=3&amp;refID=7046502&amp;Result=3","7046502")</f>
        <v>0</v>
      </c>
      <c r="B4211" t="s">
        <v>1497</v>
      </c>
      <c r="C4211" t="s">
        <v>7107</v>
      </c>
      <c r="D4211" t="s">
        <v>16211</v>
      </c>
      <c r="E4211" t="s">
        <v>20051</v>
      </c>
      <c r="F4211" t="s">
        <v>28198</v>
      </c>
      <c r="G4211" t="s">
        <v>28205</v>
      </c>
      <c r="H4211" t="s">
        <v>28215</v>
      </c>
      <c r="I4211" t="s">
        <v>28227</v>
      </c>
      <c r="J4211" t="s">
        <v>31076</v>
      </c>
      <c r="K4211" t="s">
        <v>36688</v>
      </c>
      <c r="M4211" t="s">
        <v>38572</v>
      </c>
      <c r="N4211" t="s">
        <v>40436</v>
      </c>
      <c r="O4211" t="s">
        <v>40437</v>
      </c>
      <c r="P4211">
        <v>0</v>
      </c>
      <c r="Q4211">
        <v>0</v>
      </c>
      <c r="R4211" t="s">
        <v>40439</v>
      </c>
      <c r="S4211" t="s">
        <v>40588</v>
      </c>
      <c r="T4211" t="s">
        <v>42144</v>
      </c>
      <c r="U4211" t="s">
        <v>46220</v>
      </c>
      <c r="V4211" t="s">
        <v>54210</v>
      </c>
      <c r="W4211" t="s">
        <v>38572</v>
      </c>
      <c r="X4211" t="s">
        <v>40440</v>
      </c>
    </row>
    <row r="4212" spans="1:24">
      <c r="A4212">
        <f>HYPERLINK("https://www.philgeps.gov.ph/GEPSNONPILOT/Tender/SplashBidNoticeAbstractUI.aspx?menuIndex=3&amp;refID=7046504&amp;Result=3","7046504")</f>
        <v>0</v>
      </c>
      <c r="B4212" t="s">
        <v>832</v>
      </c>
      <c r="C4212" t="s">
        <v>7108</v>
      </c>
      <c r="D4212" t="s">
        <v>16187</v>
      </c>
      <c r="E4212" t="s">
        <v>20052</v>
      </c>
      <c r="F4212" t="s">
        <v>28198</v>
      </c>
      <c r="G4212" t="s">
        <v>28205</v>
      </c>
      <c r="H4212" t="s">
        <v>28214</v>
      </c>
      <c r="I4212" t="s">
        <v>3797</v>
      </c>
      <c r="J4212" t="s">
        <v>31065</v>
      </c>
      <c r="K4212" t="s">
        <v>36701</v>
      </c>
      <c r="M4212" t="s">
        <v>37844</v>
      </c>
      <c r="N4212" t="s">
        <v>40436</v>
      </c>
      <c r="O4212" t="s">
        <v>40437</v>
      </c>
      <c r="P4212">
        <v>0</v>
      </c>
      <c r="Q4212">
        <v>0</v>
      </c>
      <c r="R4212" t="s">
        <v>40439</v>
      </c>
      <c r="S4212" t="s">
        <v>40588</v>
      </c>
      <c r="T4212" t="s">
        <v>42175</v>
      </c>
      <c r="U4212" t="s">
        <v>46221</v>
      </c>
      <c r="W4212" t="s">
        <v>37844</v>
      </c>
      <c r="X4212" t="s">
        <v>40440</v>
      </c>
    </row>
    <row r="4213" spans="1:24">
      <c r="A4213">
        <f>HYPERLINK("https://www.philgeps.gov.ph/GEPSNONPILOT/Tender/SplashBidNoticeAbstractUI.aspx?menuIndex=3&amp;refID=7046500&amp;Result=3","7046500")</f>
        <v>0</v>
      </c>
      <c r="B4213" t="s">
        <v>740</v>
      </c>
      <c r="C4213" t="s">
        <v>7109</v>
      </c>
      <c r="D4213" t="s">
        <v>16189</v>
      </c>
      <c r="E4213" t="s">
        <v>20053</v>
      </c>
      <c r="F4213" t="s">
        <v>28198</v>
      </c>
      <c r="G4213" t="s">
        <v>28207</v>
      </c>
      <c r="H4213" t="s">
        <v>28215</v>
      </c>
      <c r="I4213" t="s">
        <v>28227</v>
      </c>
      <c r="J4213" t="s">
        <v>28345</v>
      </c>
      <c r="K4213" t="s">
        <v>36691</v>
      </c>
      <c r="M4213" t="s">
        <v>38594</v>
      </c>
      <c r="N4213" t="s">
        <v>40436</v>
      </c>
      <c r="O4213" t="s">
        <v>40437</v>
      </c>
      <c r="P4213">
        <v>0</v>
      </c>
      <c r="Q4213">
        <v>0</v>
      </c>
      <c r="R4213" t="s">
        <v>40439</v>
      </c>
      <c r="S4213" t="s">
        <v>40588</v>
      </c>
      <c r="T4213" t="s">
        <v>42169</v>
      </c>
      <c r="U4213" t="s">
        <v>46222</v>
      </c>
      <c r="W4213" t="s">
        <v>38594</v>
      </c>
      <c r="X4213" t="s">
        <v>40440</v>
      </c>
    </row>
    <row r="4214" spans="1:24">
      <c r="A4214">
        <f>HYPERLINK("https://www.philgeps.gov.ph/GEPSNONPILOT/Tender/SplashBidNoticeAbstractUI.aspx?menuIndex=3&amp;refID=7046498&amp;Result=3","7046498")</f>
        <v>0</v>
      </c>
      <c r="B4214" t="s">
        <v>1522</v>
      </c>
      <c r="C4214" t="s">
        <v>7110</v>
      </c>
      <c r="D4214" t="s">
        <v>16264</v>
      </c>
      <c r="E4214" t="s">
        <v>20054</v>
      </c>
      <c r="F4214" t="s">
        <v>28198</v>
      </c>
      <c r="G4214" t="s">
        <v>28210</v>
      </c>
      <c r="H4214" t="s">
        <v>28215</v>
      </c>
      <c r="I4214" t="s">
        <v>28234</v>
      </c>
      <c r="J4214" t="s">
        <v>28880</v>
      </c>
      <c r="K4214" t="s">
        <v>36707</v>
      </c>
      <c r="M4214" t="s">
        <v>38600</v>
      </c>
      <c r="N4214" t="s">
        <v>40436</v>
      </c>
      <c r="O4214" t="s">
        <v>40437</v>
      </c>
      <c r="P4214">
        <v>0</v>
      </c>
      <c r="Q4214">
        <v>2</v>
      </c>
      <c r="R4214" t="s">
        <v>40439</v>
      </c>
      <c r="S4214" t="s">
        <v>40588</v>
      </c>
      <c r="T4214" t="s">
        <v>42218</v>
      </c>
      <c r="U4214" t="s">
        <v>46223</v>
      </c>
      <c r="W4214" t="s">
        <v>38600</v>
      </c>
      <c r="X4214" t="s">
        <v>40440</v>
      </c>
    </row>
    <row r="4215" spans="1:24">
      <c r="A4215">
        <f>HYPERLINK("https://www.philgeps.gov.ph/GEPSNONPILOT/Tender/SplashBidNoticeAbstractUI.aspx?menuIndex=3&amp;refID=7046503&amp;Result=3","7046503")</f>
        <v>0</v>
      </c>
      <c r="B4215" t="s">
        <v>1523</v>
      </c>
      <c r="C4215" t="s">
        <v>7111</v>
      </c>
      <c r="D4215" t="s">
        <v>16254</v>
      </c>
      <c r="E4215" t="s">
        <v>19358</v>
      </c>
      <c r="F4215" t="s">
        <v>28200</v>
      </c>
      <c r="G4215" t="s">
        <v>28205</v>
      </c>
      <c r="H4215" t="s">
        <v>28215</v>
      </c>
      <c r="I4215" t="s">
        <v>5100</v>
      </c>
      <c r="J4215" t="s">
        <v>31077</v>
      </c>
      <c r="K4215" t="s">
        <v>36692</v>
      </c>
      <c r="M4215" t="s">
        <v>38601</v>
      </c>
      <c r="N4215" t="s">
        <v>40436</v>
      </c>
      <c r="O4215" t="s">
        <v>40437</v>
      </c>
      <c r="P4215">
        <v>0</v>
      </c>
      <c r="Q4215">
        <v>0</v>
      </c>
      <c r="R4215" t="s">
        <v>40439</v>
      </c>
      <c r="S4215" t="s">
        <v>40588</v>
      </c>
      <c r="T4215" t="s">
        <v>42248</v>
      </c>
      <c r="U4215" t="s">
        <v>46224</v>
      </c>
      <c r="W4215" t="s">
        <v>38601</v>
      </c>
      <c r="X4215" t="s">
        <v>40440</v>
      </c>
    </row>
    <row r="4216" spans="1:24">
      <c r="A4216">
        <f>HYPERLINK("https://www.philgeps.gov.ph/GEPSNONPILOT/Tender/SplashBidNoticeAbstractUI.aspx?menuIndex=3&amp;refID=7046495&amp;Result=3","7046495")</f>
        <v>0</v>
      </c>
      <c r="B4216" t="s">
        <v>1524</v>
      </c>
      <c r="C4216" t="s">
        <v>7112</v>
      </c>
      <c r="D4216" t="s">
        <v>16268</v>
      </c>
      <c r="E4216" t="s">
        <v>20055</v>
      </c>
      <c r="F4216" t="s">
        <v>28198</v>
      </c>
      <c r="G4216" t="s">
        <v>28207</v>
      </c>
      <c r="H4216" t="s">
        <v>28214</v>
      </c>
      <c r="I4216" t="s">
        <v>28255</v>
      </c>
      <c r="J4216" t="s">
        <v>31078</v>
      </c>
      <c r="K4216" t="s">
        <v>36784</v>
      </c>
      <c r="M4216" t="s">
        <v>38602</v>
      </c>
      <c r="N4216" t="s">
        <v>40436</v>
      </c>
      <c r="O4216" t="s">
        <v>40437</v>
      </c>
      <c r="P4216">
        <v>0</v>
      </c>
      <c r="Q4216">
        <v>0</v>
      </c>
      <c r="R4216" t="s">
        <v>40439</v>
      </c>
      <c r="S4216" t="s">
        <v>40588</v>
      </c>
      <c r="T4216" t="s">
        <v>42176</v>
      </c>
      <c r="U4216" t="s">
        <v>46225</v>
      </c>
      <c r="W4216" t="s">
        <v>38602</v>
      </c>
      <c r="X4216" t="s">
        <v>40440</v>
      </c>
    </row>
    <row r="4217" spans="1:24">
      <c r="A4217">
        <f>HYPERLINK("https://www.philgeps.gov.ph/GEPSNONPILOT/Tender/SplashBidNoticeAbstractUI.aspx?menuIndex=3&amp;refID=7046496&amp;Result=3","7046496")</f>
        <v>0</v>
      </c>
      <c r="B4217" t="s">
        <v>489</v>
      </c>
      <c r="C4217" t="s">
        <v>7113</v>
      </c>
      <c r="E4217" t="s">
        <v>18038</v>
      </c>
      <c r="F4217" t="s">
        <v>28198</v>
      </c>
      <c r="G4217" t="s">
        <v>28206</v>
      </c>
      <c r="H4217" t="s">
        <v>28215</v>
      </c>
      <c r="I4217" t="s">
        <v>4505</v>
      </c>
      <c r="J4217" t="s">
        <v>29304</v>
      </c>
      <c r="K4217" t="s">
        <v>36689</v>
      </c>
      <c r="M4217" t="s">
        <v>37474</v>
      </c>
      <c r="N4217" t="s">
        <v>40436</v>
      </c>
      <c r="O4217" t="s">
        <v>40437</v>
      </c>
      <c r="P4217">
        <v>0</v>
      </c>
      <c r="Q4217">
        <v>1</v>
      </c>
      <c r="R4217" t="s">
        <v>40439</v>
      </c>
      <c r="S4217" t="s">
        <v>40588</v>
      </c>
      <c r="T4217" t="s">
        <v>42245</v>
      </c>
      <c r="U4217" t="s">
        <v>46226</v>
      </c>
      <c r="W4217" t="s">
        <v>37474</v>
      </c>
      <c r="X4217" t="s">
        <v>40440</v>
      </c>
    </row>
    <row r="4218" spans="1:24">
      <c r="A4218">
        <f>HYPERLINK("https://www.philgeps.gov.ph/GEPSNONPILOT/Tender/SplashBidNoticeAbstractUI.aspx?menuIndex=3&amp;refID=7046488&amp;Result=3","7046488")</f>
        <v>0</v>
      </c>
      <c r="B4218" t="s">
        <v>1271</v>
      </c>
      <c r="C4218" t="s">
        <v>7114</v>
      </c>
      <c r="D4218" t="s">
        <v>16211</v>
      </c>
      <c r="E4218" t="s">
        <v>20056</v>
      </c>
      <c r="F4218" t="s">
        <v>28198</v>
      </c>
      <c r="G4218" t="s">
        <v>28207</v>
      </c>
      <c r="H4218" t="s">
        <v>28215</v>
      </c>
      <c r="I4218" t="s">
        <v>28237</v>
      </c>
      <c r="J4218" t="s">
        <v>28751</v>
      </c>
      <c r="K4218" t="s">
        <v>36688</v>
      </c>
      <c r="M4218" t="s">
        <v>38323</v>
      </c>
      <c r="N4218" t="s">
        <v>40436</v>
      </c>
      <c r="O4218" t="s">
        <v>40437</v>
      </c>
      <c r="P4218">
        <v>0</v>
      </c>
      <c r="Q4218">
        <v>1</v>
      </c>
      <c r="R4218" t="s">
        <v>40439</v>
      </c>
      <c r="S4218" t="s">
        <v>40588</v>
      </c>
      <c r="T4218" t="s">
        <v>42142</v>
      </c>
      <c r="U4218" t="s">
        <v>46227</v>
      </c>
      <c r="W4218" t="s">
        <v>38323</v>
      </c>
      <c r="X4218" t="s">
        <v>40440</v>
      </c>
    </row>
    <row r="4219" spans="1:24">
      <c r="A4219">
        <f>HYPERLINK("https://www.philgeps.gov.ph/GEPSNONPILOT/Tender/SplashBidNoticeAbstractUI.aspx?menuIndex=3&amp;refID=7046499&amp;Result=3","7046499")</f>
        <v>0</v>
      </c>
      <c r="B4219" t="s">
        <v>1525</v>
      </c>
      <c r="C4219" t="s">
        <v>7083</v>
      </c>
      <c r="D4219" t="s">
        <v>16187</v>
      </c>
      <c r="E4219" t="s">
        <v>20028</v>
      </c>
      <c r="F4219" t="s">
        <v>28198</v>
      </c>
      <c r="G4219" t="s">
        <v>28205</v>
      </c>
      <c r="H4219" t="s">
        <v>28215</v>
      </c>
      <c r="I4219" t="s">
        <v>4200</v>
      </c>
      <c r="J4219" t="s">
        <v>31079</v>
      </c>
      <c r="K4219" t="s">
        <v>36689</v>
      </c>
      <c r="M4219" t="s">
        <v>38603</v>
      </c>
      <c r="N4219" t="s">
        <v>40436</v>
      </c>
      <c r="O4219" t="s">
        <v>40437</v>
      </c>
      <c r="P4219">
        <v>0</v>
      </c>
      <c r="Q4219">
        <v>0</v>
      </c>
      <c r="R4219" t="s">
        <v>40439</v>
      </c>
      <c r="S4219" t="s">
        <v>40588</v>
      </c>
      <c r="T4219" t="s">
        <v>42391</v>
      </c>
      <c r="U4219" t="s">
        <v>46228</v>
      </c>
      <c r="W4219" t="s">
        <v>38603</v>
      </c>
      <c r="X4219" t="s">
        <v>40440</v>
      </c>
    </row>
    <row r="4220" spans="1:24">
      <c r="A4220">
        <f>HYPERLINK("https://www.philgeps.gov.ph/GEPSNONPILOT/Tender/SplashBidNoticeAbstractUI.aspx?menuIndex=3&amp;refID=7046505&amp;Result=3","7046505")</f>
        <v>0</v>
      </c>
      <c r="B4220" t="s">
        <v>1526</v>
      </c>
      <c r="C4220" t="s">
        <v>3173</v>
      </c>
      <c r="D4220" t="s">
        <v>16245</v>
      </c>
      <c r="E4220" t="s">
        <v>20057</v>
      </c>
      <c r="F4220" t="s">
        <v>28198</v>
      </c>
      <c r="G4220" t="s">
        <v>28207</v>
      </c>
      <c r="H4220" t="s">
        <v>28215</v>
      </c>
      <c r="I4220" t="s">
        <v>5082</v>
      </c>
      <c r="J4220" t="s">
        <v>28529</v>
      </c>
      <c r="K4220" t="s">
        <v>36689</v>
      </c>
      <c r="M4220" t="s">
        <v>38604</v>
      </c>
      <c r="N4220" t="s">
        <v>40436</v>
      </c>
      <c r="O4220" t="s">
        <v>40437</v>
      </c>
      <c r="P4220">
        <v>0</v>
      </c>
      <c r="Q4220">
        <v>0</v>
      </c>
      <c r="R4220" t="s">
        <v>40439</v>
      </c>
      <c r="S4220" t="s">
        <v>40588</v>
      </c>
      <c r="T4220" t="s">
        <v>42111</v>
      </c>
      <c r="U4220" t="s">
        <v>46229</v>
      </c>
      <c r="W4220" t="s">
        <v>38604</v>
      </c>
      <c r="X4220" t="s">
        <v>40440</v>
      </c>
    </row>
    <row r="4221" spans="1:24">
      <c r="A4221">
        <f>HYPERLINK("https://www.philgeps.gov.ph/GEPSNONPILOT/Tender/SplashBidNoticeAbstractUI.aspx?menuIndex=3&amp;refID=7046490&amp;Result=3","7046490")</f>
        <v>0</v>
      </c>
      <c r="B4221" t="s">
        <v>643</v>
      </c>
      <c r="C4221" t="s">
        <v>7115</v>
      </c>
      <c r="D4221" t="s">
        <v>16267</v>
      </c>
      <c r="E4221" t="s">
        <v>20058</v>
      </c>
      <c r="F4221" t="s">
        <v>28198</v>
      </c>
      <c r="G4221" t="s">
        <v>28205</v>
      </c>
      <c r="H4221" t="s">
        <v>28214</v>
      </c>
      <c r="I4221" t="s">
        <v>3797</v>
      </c>
      <c r="J4221" t="s">
        <v>31080</v>
      </c>
      <c r="K4221" t="s">
        <v>36730</v>
      </c>
      <c r="M4221" t="s">
        <v>37636</v>
      </c>
      <c r="N4221" t="s">
        <v>40436</v>
      </c>
      <c r="O4221" t="s">
        <v>40437</v>
      </c>
      <c r="P4221">
        <v>0</v>
      </c>
      <c r="Q4221">
        <v>0</v>
      </c>
      <c r="R4221" t="s">
        <v>40439</v>
      </c>
      <c r="S4221" t="s">
        <v>40588</v>
      </c>
      <c r="T4221" t="s">
        <v>42171</v>
      </c>
      <c r="U4221" t="s">
        <v>46230</v>
      </c>
      <c r="W4221" t="s">
        <v>37636</v>
      </c>
      <c r="X4221" t="s">
        <v>40440</v>
      </c>
    </row>
    <row r="4222" spans="1:24">
      <c r="A4222">
        <f>HYPERLINK("https://www.philgeps.gov.ph/GEPSNONPILOT/Tender/SplashBidNoticeAbstractUI.aspx?menuIndex=3&amp;refID=7046497&amp;Result=3","7046497")</f>
        <v>0</v>
      </c>
      <c r="B4222" t="s">
        <v>1527</v>
      </c>
      <c r="C4222" t="s">
        <v>7116</v>
      </c>
      <c r="D4222" t="s">
        <v>16213</v>
      </c>
      <c r="E4222" t="s">
        <v>16766</v>
      </c>
      <c r="F4222" t="s">
        <v>28198</v>
      </c>
      <c r="G4222" t="s">
        <v>28210</v>
      </c>
      <c r="H4222" t="s">
        <v>28215</v>
      </c>
      <c r="I4222" t="s">
        <v>28225</v>
      </c>
      <c r="J4222" t="s">
        <v>31081</v>
      </c>
      <c r="K4222" t="s">
        <v>36691</v>
      </c>
      <c r="M4222" t="s">
        <v>38605</v>
      </c>
      <c r="N4222" t="s">
        <v>40436</v>
      </c>
      <c r="O4222" t="s">
        <v>40437</v>
      </c>
      <c r="P4222">
        <v>0</v>
      </c>
      <c r="Q4222">
        <v>10</v>
      </c>
      <c r="R4222" t="s">
        <v>40439</v>
      </c>
      <c r="S4222" t="s">
        <v>40588</v>
      </c>
      <c r="T4222" t="s">
        <v>42169</v>
      </c>
      <c r="U4222" t="s">
        <v>46231</v>
      </c>
      <c r="W4222" t="s">
        <v>38605</v>
      </c>
      <c r="X4222" t="s">
        <v>40440</v>
      </c>
    </row>
    <row r="4223" spans="1:24">
      <c r="A4223">
        <f>HYPERLINK("https://www.philgeps.gov.ph/GEPSNONPILOT/Tender/SplashBidNoticeAbstractUI.aspx?menuIndex=3&amp;refID=7046513&amp;Result=3","7046513")</f>
        <v>0</v>
      </c>
      <c r="B4223" t="s">
        <v>1520</v>
      </c>
      <c r="C4223" t="s">
        <v>7117</v>
      </c>
      <c r="D4223" t="s">
        <v>16189</v>
      </c>
      <c r="E4223" t="s">
        <v>20059</v>
      </c>
      <c r="F4223" t="s">
        <v>28198</v>
      </c>
      <c r="G4223" t="s">
        <v>28207</v>
      </c>
      <c r="H4223" t="s">
        <v>28215</v>
      </c>
      <c r="I4223" t="s">
        <v>28311</v>
      </c>
      <c r="J4223" t="s">
        <v>29190</v>
      </c>
      <c r="K4223" t="s">
        <v>36701</v>
      </c>
      <c r="M4223" t="s">
        <v>38598</v>
      </c>
      <c r="N4223" t="s">
        <v>40436</v>
      </c>
      <c r="O4223" t="s">
        <v>40437</v>
      </c>
      <c r="P4223">
        <v>0</v>
      </c>
      <c r="Q4223">
        <v>2</v>
      </c>
      <c r="R4223" t="s">
        <v>40439</v>
      </c>
      <c r="S4223" t="s">
        <v>40588</v>
      </c>
      <c r="T4223" t="s">
        <v>42124</v>
      </c>
      <c r="U4223" t="s">
        <v>46216</v>
      </c>
      <c r="W4223" t="s">
        <v>38598</v>
      </c>
      <c r="X4223" t="s">
        <v>40440</v>
      </c>
    </row>
    <row r="4224" spans="1:24">
      <c r="A4224">
        <f>HYPERLINK("https://www.philgeps.gov.ph/GEPSNONPILOT/Tender/SplashBidNoticeAbstractUI.aspx?menuIndex=3&amp;refID=7046508&amp;Result=3","7046508")</f>
        <v>0</v>
      </c>
      <c r="B4224" t="s">
        <v>1439</v>
      </c>
      <c r="C4224" t="s">
        <v>7118</v>
      </c>
      <c r="D4224" t="s">
        <v>16210</v>
      </c>
      <c r="E4224" t="s">
        <v>20060</v>
      </c>
      <c r="F4224" t="s">
        <v>28198</v>
      </c>
      <c r="G4224" t="s">
        <v>28207</v>
      </c>
      <c r="H4224" t="s">
        <v>28215</v>
      </c>
      <c r="I4224" t="s">
        <v>5100</v>
      </c>
      <c r="J4224" t="s">
        <v>31082</v>
      </c>
      <c r="K4224" t="s">
        <v>36715</v>
      </c>
      <c r="M4224" t="s">
        <v>38506</v>
      </c>
      <c r="N4224" t="s">
        <v>40436</v>
      </c>
      <c r="O4224" t="s">
        <v>40437</v>
      </c>
      <c r="P4224">
        <v>0</v>
      </c>
      <c r="Q4224">
        <v>0</v>
      </c>
      <c r="R4224" t="s">
        <v>40439</v>
      </c>
      <c r="S4224" t="s">
        <v>40588</v>
      </c>
      <c r="T4224" t="s">
        <v>42158</v>
      </c>
      <c r="U4224" t="s">
        <v>46232</v>
      </c>
      <c r="W4224" t="s">
        <v>38506</v>
      </c>
      <c r="X4224" t="s">
        <v>40440</v>
      </c>
    </row>
    <row r="4225" spans="1:24">
      <c r="A4225">
        <f>HYPERLINK("https://www.philgeps.gov.ph/GEPSNONPILOT/Tender/SplashBidNoticeAbstractUI.aspx?menuIndex=3&amp;refID=7046510&amp;Result=3","7046510")</f>
        <v>0</v>
      </c>
      <c r="B4225" t="s">
        <v>199</v>
      </c>
      <c r="C4225" t="s">
        <v>7119</v>
      </c>
      <c r="E4225" t="s">
        <v>20061</v>
      </c>
      <c r="F4225" t="s">
        <v>28198</v>
      </c>
      <c r="G4225" t="s">
        <v>28206</v>
      </c>
      <c r="H4225" t="s">
        <v>28215</v>
      </c>
      <c r="I4225" t="s">
        <v>4200</v>
      </c>
      <c r="J4225" t="s">
        <v>31083</v>
      </c>
      <c r="K4225" t="s">
        <v>36689</v>
      </c>
      <c r="M4225" t="s">
        <v>37174</v>
      </c>
      <c r="N4225" t="s">
        <v>40436</v>
      </c>
      <c r="O4225" t="s">
        <v>40437</v>
      </c>
      <c r="P4225">
        <v>0</v>
      </c>
      <c r="Q4225">
        <v>1</v>
      </c>
      <c r="R4225" t="s">
        <v>40439</v>
      </c>
      <c r="S4225" t="s">
        <v>40588</v>
      </c>
      <c r="T4225" t="s">
        <v>42161</v>
      </c>
      <c r="U4225" t="s">
        <v>46233</v>
      </c>
      <c r="W4225" t="s">
        <v>37174</v>
      </c>
      <c r="X4225" t="s">
        <v>40440</v>
      </c>
    </row>
    <row r="4226" spans="1:24">
      <c r="A4226">
        <f>HYPERLINK("https://www.philgeps.gov.ph/GEPSNONPILOT/Tender/SplashBidNoticeAbstractUI.aspx?menuIndex=3&amp;refID=7046519&amp;Result=3","7046519")</f>
        <v>0</v>
      </c>
      <c r="B4226" t="s">
        <v>1528</v>
      </c>
      <c r="C4226" t="s">
        <v>7120</v>
      </c>
      <c r="D4226" t="s">
        <v>16230</v>
      </c>
      <c r="E4226" t="s">
        <v>20062</v>
      </c>
      <c r="F4226" t="s">
        <v>28200</v>
      </c>
      <c r="G4226" t="s">
        <v>28205</v>
      </c>
      <c r="H4226" t="s">
        <v>28215</v>
      </c>
      <c r="I4226" t="s">
        <v>5791</v>
      </c>
      <c r="J4226" t="s">
        <v>31084</v>
      </c>
      <c r="K4226" t="s">
        <v>36756</v>
      </c>
      <c r="M4226" t="s">
        <v>38606</v>
      </c>
      <c r="N4226" t="s">
        <v>40436</v>
      </c>
      <c r="O4226" t="s">
        <v>40437</v>
      </c>
      <c r="P4226">
        <v>0</v>
      </c>
      <c r="Q4226">
        <v>1</v>
      </c>
      <c r="R4226" t="s">
        <v>40439</v>
      </c>
      <c r="S4226" t="s">
        <v>40588</v>
      </c>
      <c r="T4226" t="s">
        <v>42125</v>
      </c>
      <c r="U4226" t="s">
        <v>46234</v>
      </c>
      <c r="W4226" t="s">
        <v>38606</v>
      </c>
      <c r="X4226" t="s">
        <v>40440</v>
      </c>
    </row>
    <row r="4227" spans="1:24">
      <c r="A4227">
        <f>HYPERLINK("https://www.philgeps.gov.ph/GEPSNONPILOT/Tender/SplashBidNoticeAbstractUI.aspx?menuIndex=3&amp;refID=7046506&amp;Result=3","7046506")</f>
        <v>0</v>
      </c>
      <c r="B4227" t="s">
        <v>386</v>
      </c>
      <c r="C4227" t="s">
        <v>7121</v>
      </c>
      <c r="D4227" t="s">
        <v>16259</v>
      </c>
      <c r="E4227" t="s">
        <v>20063</v>
      </c>
      <c r="F4227" t="s">
        <v>28198</v>
      </c>
      <c r="G4227" t="s">
        <v>28207</v>
      </c>
      <c r="H4227" t="s">
        <v>28215</v>
      </c>
      <c r="I4227" t="s">
        <v>28227</v>
      </c>
      <c r="J4227" t="s">
        <v>31085</v>
      </c>
      <c r="K4227" t="s">
        <v>36688</v>
      </c>
      <c r="M4227" t="s">
        <v>37366</v>
      </c>
      <c r="N4227" t="s">
        <v>40436</v>
      </c>
      <c r="O4227" t="s">
        <v>40437</v>
      </c>
      <c r="P4227">
        <v>0</v>
      </c>
      <c r="Q4227">
        <v>0</v>
      </c>
      <c r="R4227" t="s">
        <v>40439</v>
      </c>
      <c r="S4227" t="s">
        <v>40588</v>
      </c>
      <c r="T4227" t="s">
        <v>42133</v>
      </c>
      <c r="U4227" t="s">
        <v>45807</v>
      </c>
      <c r="V4227" t="s">
        <v>53872</v>
      </c>
      <c r="W4227" t="s">
        <v>37366</v>
      </c>
      <c r="X4227" t="s">
        <v>40440</v>
      </c>
    </row>
    <row r="4228" spans="1:24">
      <c r="A4228">
        <f>HYPERLINK("https://www.philgeps.gov.ph/GEPSNONPILOT/Tender/SplashBidNoticeAbstractUI.aspx?menuIndex=3&amp;refID=7046514&amp;Result=3","7046514")</f>
        <v>0</v>
      </c>
      <c r="B4228" t="s">
        <v>1529</v>
      </c>
      <c r="C4228" t="s">
        <v>7122</v>
      </c>
      <c r="D4228" t="s">
        <v>16196</v>
      </c>
      <c r="E4228" t="s">
        <v>20064</v>
      </c>
      <c r="F4228" t="s">
        <v>28198</v>
      </c>
      <c r="G4228" t="s">
        <v>28206</v>
      </c>
      <c r="H4228" t="s">
        <v>28215</v>
      </c>
      <c r="I4228" t="s">
        <v>4168</v>
      </c>
      <c r="J4228" t="s">
        <v>31086</v>
      </c>
      <c r="K4228" t="s">
        <v>36707</v>
      </c>
      <c r="M4228" t="s">
        <v>38607</v>
      </c>
      <c r="N4228" t="s">
        <v>40436</v>
      </c>
      <c r="O4228" t="s">
        <v>40437</v>
      </c>
      <c r="P4228">
        <v>0</v>
      </c>
      <c r="Q4228">
        <v>1</v>
      </c>
      <c r="R4228" t="s">
        <v>40439</v>
      </c>
      <c r="S4228" t="s">
        <v>40588</v>
      </c>
      <c r="T4228" t="s">
        <v>42184</v>
      </c>
      <c r="U4228" t="s">
        <v>46235</v>
      </c>
      <c r="W4228" t="s">
        <v>38607</v>
      </c>
      <c r="X4228" t="s">
        <v>40440</v>
      </c>
    </row>
    <row r="4229" spans="1:24">
      <c r="A4229">
        <f>HYPERLINK("https://www.philgeps.gov.ph/GEPSNONPILOT/Tender/SplashBidNoticeAbstractUI.aspx?menuIndex=3&amp;refID=7046517&amp;Result=3","7046517")</f>
        <v>0</v>
      </c>
      <c r="B4229" t="s">
        <v>1530</v>
      </c>
      <c r="C4229" t="s">
        <v>7123</v>
      </c>
      <c r="D4229" t="s">
        <v>16187</v>
      </c>
      <c r="E4229" t="s">
        <v>20065</v>
      </c>
      <c r="F4229" t="s">
        <v>28198</v>
      </c>
      <c r="G4229" t="s">
        <v>28205</v>
      </c>
      <c r="H4229" t="s">
        <v>28214</v>
      </c>
      <c r="I4229" t="s">
        <v>3797</v>
      </c>
      <c r="J4229" t="s">
        <v>31087</v>
      </c>
      <c r="K4229" t="s">
        <v>36687</v>
      </c>
      <c r="M4229" t="s">
        <v>38608</v>
      </c>
      <c r="N4229" t="s">
        <v>40436</v>
      </c>
      <c r="O4229" t="s">
        <v>40437</v>
      </c>
      <c r="P4229">
        <v>0</v>
      </c>
      <c r="Q4229">
        <v>0</v>
      </c>
      <c r="R4229" t="s">
        <v>40439</v>
      </c>
      <c r="S4229" t="s">
        <v>40588</v>
      </c>
      <c r="T4229" t="s">
        <v>42392</v>
      </c>
      <c r="U4229" t="s">
        <v>46236</v>
      </c>
      <c r="W4229" t="s">
        <v>38608</v>
      </c>
      <c r="X4229" t="s">
        <v>40440</v>
      </c>
    </row>
    <row r="4230" spans="1:24">
      <c r="A4230">
        <f>HYPERLINK("https://www.philgeps.gov.ph/GEPSNONPILOT/Tender/SplashBidNoticeAbstractUI.aspx?menuIndex=3&amp;refID=7046511&amp;Result=3","7046511")</f>
        <v>0</v>
      </c>
      <c r="B4230" t="s">
        <v>1047</v>
      </c>
      <c r="C4230" t="s">
        <v>7124</v>
      </c>
      <c r="D4230" t="s">
        <v>16219</v>
      </c>
      <c r="E4230" t="s">
        <v>20066</v>
      </c>
      <c r="F4230" t="s">
        <v>28198</v>
      </c>
      <c r="G4230" t="s">
        <v>28205</v>
      </c>
      <c r="H4230" t="s">
        <v>28215</v>
      </c>
      <c r="I4230" t="s">
        <v>5082</v>
      </c>
      <c r="J4230" t="s">
        <v>31088</v>
      </c>
      <c r="K4230" t="s">
        <v>36689</v>
      </c>
      <c r="M4230" t="s">
        <v>38080</v>
      </c>
      <c r="N4230" t="s">
        <v>40436</v>
      </c>
      <c r="O4230" t="s">
        <v>40437</v>
      </c>
      <c r="P4230">
        <v>0</v>
      </c>
      <c r="Q4230">
        <v>0</v>
      </c>
      <c r="R4230" t="s">
        <v>40439</v>
      </c>
      <c r="S4230" t="s">
        <v>40588</v>
      </c>
      <c r="T4230" t="s">
        <v>42144</v>
      </c>
      <c r="U4230" t="s">
        <v>46160</v>
      </c>
      <c r="W4230" t="s">
        <v>38080</v>
      </c>
      <c r="X4230" t="s">
        <v>40440</v>
      </c>
    </row>
    <row r="4231" spans="1:24">
      <c r="A4231">
        <f>HYPERLINK("https://www.philgeps.gov.ph/GEPSNONPILOT/Tender/SplashBidNoticeAbstractUI.aspx?menuIndex=3&amp;refID=7046527&amp;Result=3","7046527")</f>
        <v>0</v>
      </c>
      <c r="B4231" t="s">
        <v>156</v>
      </c>
      <c r="C4231" t="s">
        <v>7125</v>
      </c>
      <c r="D4231" t="s">
        <v>16239</v>
      </c>
      <c r="E4231" t="s">
        <v>20067</v>
      </c>
      <c r="F4231" t="s">
        <v>28198</v>
      </c>
      <c r="G4231" t="s">
        <v>28207</v>
      </c>
      <c r="H4231" t="s">
        <v>28217</v>
      </c>
      <c r="I4231" t="s">
        <v>5100</v>
      </c>
      <c r="J4231" t="s">
        <v>31089</v>
      </c>
      <c r="K4231" t="s">
        <v>36688</v>
      </c>
      <c r="M4231" t="s">
        <v>37130</v>
      </c>
      <c r="N4231" t="s">
        <v>40436</v>
      </c>
      <c r="O4231" t="s">
        <v>40437</v>
      </c>
      <c r="P4231">
        <v>0</v>
      </c>
      <c r="Q4231">
        <v>0</v>
      </c>
      <c r="R4231" t="s">
        <v>40439</v>
      </c>
      <c r="S4231" t="s">
        <v>40588</v>
      </c>
      <c r="T4231" t="s">
        <v>42158</v>
      </c>
      <c r="U4231" t="s">
        <v>42881</v>
      </c>
      <c r="W4231" t="s">
        <v>37130</v>
      </c>
      <c r="X4231" t="s">
        <v>40440</v>
      </c>
    </row>
    <row r="4232" spans="1:24">
      <c r="A4232">
        <f>HYPERLINK("https://www.philgeps.gov.ph/GEPSNONPILOT/Tender/SplashBidNoticeAbstractUI.aspx?menuIndex=3&amp;refID=7046516&amp;Result=3","7046516")</f>
        <v>0</v>
      </c>
      <c r="B4232" t="s">
        <v>1531</v>
      </c>
      <c r="C4232" t="s">
        <v>7126</v>
      </c>
      <c r="D4232" t="s">
        <v>16212</v>
      </c>
      <c r="E4232" t="s">
        <v>20068</v>
      </c>
      <c r="F4232" t="s">
        <v>28198</v>
      </c>
      <c r="G4232" t="s">
        <v>28207</v>
      </c>
      <c r="H4232" t="s">
        <v>28215</v>
      </c>
      <c r="I4232" t="s">
        <v>28294</v>
      </c>
      <c r="J4232" t="s">
        <v>30726</v>
      </c>
      <c r="K4232" t="s">
        <v>36701</v>
      </c>
      <c r="M4232" t="s">
        <v>38609</v>
      </c>
      <c r="N4232" t="s">
        <v>40436</v>
      </c>
      <c r="O4232" t="s">
        <v>40437</v>
      </c>
      <c r="P4232">
        <v>0</v>
      </c>
      <c r="Q4232">
        <v>0</v>
      </c>
      <c r="R4232" t="s">
        <v>40439</v>
      </c>
      <c r="S4232" t="s">
        <v>40588</v>
      </c>
      <c r="T4232" t="s">
        <v>42318</v>
      </c>
      <c r="U4232" t="s">
        <v>46237</v>
      </c>
      <c r="W4232" t="s">
        <v>38609</v>
      </c>
      <c r="X4232" t="s">
        <v>40440</v>
      </c>
    </row>
    <row r="4233" spans="1:24">
      <c r="A4233">
        <f>HYPERLINK("https://www.philgeps.gov.ph/GEPSNONPILOT/Tender/SplashBidNoticeAbstractUI.aspx?menuIndex=3&amp;refID=7046518&amp;Result=3","7046518")</f>
        <v>0</v>
      </c>
      <c r="B4233" t="s">
        <v>1532</v>
      </c>
      <c r="C4233" t="s">
        <v>7127</v>
      </c>
      <c r="D4233" t="s">
        <v>16199</v>
      </c>
      <c r="E4233" t="s">
        <v>16505</v>
      </c>
      <c r="F4233" t="s">
        <v>28198</v>
      </c>
      <c r="G4233" t="s">
        <v>28205</v>
      </c>
      <c r="H4233" t="s">
        <v>28214</v>
      </c>
      <c r="I4233" t="s">
        <v>5100</v>
      </c>
      <c r="J4233" t="s">
        <v>28694</v>
      </c>
      <c r="K4233" t="s">
        <v>36688</v>
      </c>
      <c r="M4233" t="s">
        <v>38610</v>
      </c>
      <c r="N4233" t="s">
        <v>40436</v>
      </c>
      <c r="O4233" t="s">
        <v>40437</v>
      </c>
      <c r="P4233">
        <v>0</v>
      </c>
      <c r="Q4233">
        <v>0</v>
      </c>
      <c r="R4233" t="s">
        <v>40439</v>
      </c>
      <c r="S4233" t="s">
        <v>40588</v>
      </c>
      <c r="T4233" t="s">
        <v>42152</v>
      </c>
      <c r="U4233" t="s">
        <v>46238</v>
      </c>
      <c r="W4233" t="s">
        <v>38610</v>
      </c>
      <c r="X4233" t="s">
        <v>40440</v>
      </c>
    </row>
    <row r="4234" spans="1:24">
      <c r="A4234">
        <f>HYPERLINK("https://www.philgeps.gov.ph/GEPSNONPILOT/Tender/SplashBidNoticeAbstractUI.aspx?menuIndex=3&amp;refID=7046512&amp;Result=3","7046512")</f>
        <v>0</v>
      </c>
      <c r="B4234" t="s">
        <v>1533</v>
      </c>
      <c r="C4234" t="s">
        <v>7128</v>
      </c>
      <c r="D4234" t="s">
        <v>16236</v>
      </c>
      <c r="E4234" t="s">
        <v>20069</v>
      </c>
      <c r="F4234" t="s">
        <v>28198</v>
      </c>
      <c r="G4234" t="s">
        <v>28207</v>
      </c>
      <c r="H4234" t="s">
        <v>28215</v>
      </c>
      <c r="I4234" t="s">
        <v>28275</v>
      </c>
      <c r="J4234" t="s">
        <v>28694</v>
      </c>
      <c r="K4234" t="s">
        <v>36691</v>
      </c>
      <c r="M4234" t="s">
        <v>38611</v>
      </c>
      <c r="N4234" t="s">
        <v>40436</v>
      </c>
      <c r="O4234" t="s">
        <v>40437</v>
      </c>
      <c r="P4234">
        <v>0</v>
      </c>
      <c r="Q4234">
        <v>0</v>
      </c>
      <c r="R4234" t="s">
        <v>40439</v>
      </c>
      <c r="S4234" t="s">
        <v>40588</v>
      </c>
      <c r="T4234" t="s">
        <v>42216</v>
      </c>
      <c r="U4234" t="s">
        <v>46239</v>
      </c>
      <c r="V4234" t="s">
        <v>54211</v>
      </c>
      <c r="W4234" t="s">
        <v>38611</v>
      </c>
      <c r="X4234" t="s">
        <v>40440</v>
      </c>
    </row>
    <row r="4235" spans="1:24">
      <c r="A4235">
        <f>HYPERLINK("https://www.philgeps.gov.ph/GEPSNONPILOT/Tender/SplashBidNoticeAbstractUI.aspx?menuIndex=3&amp;refID=7046525&amp;Result=3","7046525")</f>
        <v>0</v>
      </c>
      <c r="B4235" t="s">
        <v>501</v>
      </c>
      <c r="C4235" t="s">
        <v>7129</v>
      </c>
      <c r="D4235" t="s">
        <v>16210</v>
      </c>
      <c r="E4235" t="s">
        <v>20070</v>
      </c>
      <c r="F4235" t="s">
        <v>28198</v>
      </c>
      <c r="G4235" t="s">
        <v>28207</v>
      </c>
      <c r="H4235" t="s">
        <v>28215</v>
      </c>
      <c r="I4235" t="s">
        <v>3797</v>
      </c>
      <c r="J4235" t="s">
        <v>31090</v>
      </c>
      <c r="K4235" t="s">
        <v>36784</v>
      </c>
      <c r="M4235" t="s">
        <v>38428</v>
      </c>
      <c r="N4235" t="s">
        <v>40436</v>
      </c>
      <c r="O4235" t="s">
        <v>40437</v>
      </c>
      <c r="P4235">
        <v>0</v>
      </c>
      <c r="Q4235">
        <v>1</v>
      </c>
      <c r="R4235" t="s">
        <v>40439</v>
      </c>
      <c r="S4235" t="s">
        <v>40588</v>
      </c>
      <c r="T4235" t="s">
        <v>42188</v>
      </c>
      <c r="U4235" t="s">
        <v>46240</v>
      </c>
      <c r="W4235" t="s">
        <v>38428</v>
      </c>
      <c r="X4235" t="s">
        <v>40440</v>
      </c>
    </row>
    <row r="4236" spans="1:24">
      <c r="A4236">
        <f>HYPERLINK("https://www.philgeps.gov.ph/GEPSNONPILOT/Tender/SplashBidNoticeAbstractUI.aspx?menuIndex=3&amp;refID=7046509&amp;Result=3","7046509")</f>
        <v>0</v>
      </c>
      <c r="B4236" t="s">
        <v>1023</v>
      </c>
      <c r="C4236" t="s">
        <v>7130</v>
      </c>
      <c r="D4236" t="s">
        <v>16265</v>
      </c>
      <c r="E4236" t="s">
        <v>20071</v>
      </c>
      <c r="F4236" t="s">
        <v>28198</v>
      </c>
      <c r="G4236" t="s">
        <v>28205</v>
      </c>
      <c r="H4236" t="s">
        <v>28215</v>
      </c>
      <c r="I4236" t="s">
        <v>3422</v>
      </c>
      <c r="J4236" t="s">
        <v>31091</v>
      </c>
      <c r="K4236" t="s">
        <v>36701</v>
      </c>
      <c r="M4236" t="s">
        <v>38054</v>
      </c>
      <c r="N4236" t="s">
        <v>40436</v>
      </c>
      <c r="O4236" t="s">
        <v>40437</v>
      </c>
      <c r="P4236">
        <v>0</v>
      </c>
      <c r="Q4236">
        <v>0</v>
      </c>
      <c r="R4236" t="s">
        <v>40439</v>
      </c>
      <c r="S4236" t="s">
        <v>40588</v>
      </c>
      <c r="T4236" t="s">
        <v>42108</v>
      </c>
      <c r="U4236" t="s">
        <v>46241</v>
      </c>
      <c r="W4236" t="s">
        <v>38054</v>
      </c>
      <c r="X4236" t="s">
        <v>40440</v>
      </c>
    </row>
    <row r="4237" spans="1:24">
      <c r="A4237">
        <f>HYPERLINK("https://www.philgeps.gov.ph/GEPSNONPILOT/Tender/SplashBidNoticeAbstractUI.aspx?menuIndex=3&amp;refID=7046524&amp;Result=3","7046524")</f>
        <v>0</v>
      </c>
      <c r="B4237" t="s">
        <v>1281</v>
      </c>
      <c r="C4237" t="s">
        <v>7131</v>
      </c>
      <c r="D4237" t="s">
        <v>16190</v>
      </c>
      <c r="E4237" t="s">
        <v>20072</v>
      </c>
      <c r="F4237" t="s">
        <v>28198</v>
      </c>
      <c r="G4237" t="s">
        <v>28207</v>
      </c>
      <c r="H4237" t="s">
        <v>28214</v>
      </c>
      <c r="I4237" t="s">
        <v>3797</v>
      </c>
      <c r="J4237" t="s">
        <v>31092</v>
      </c>
      <c r="K4237" t="s">
        <v>36701</v>
      </c>
      <c r="M4237" t="s">
        <v>38333</v>
      </c>
      <c r="N4237" t="s">
        <v>40436</v>
      </c>
      <c r="O4237" t="s">
        <v>40437</v>
      </c>
      <c r="P4237">
        <v>0</v>
      </c>
      <c r="Q4237">
        <v>0</v>
      </c>
      <c r="R4237" t="s">
        <v>40439</v>
      </c>
      <c r="S4237" t="s">
        <v>40588</v>
      </c>
      <c r="T4237" t="s">
        <v>42158</v>
      </c>
      <c r="U4237" t="s">
        <v>45497</v>
      </c>
      <c r="V4237" t="s">
        <v>54123</v>
      </c>
      <c r="W4237" t="s">
        <v>38333</v>
      </c>
      <c r="X4237" t="s">
        <v>40440</v>
      </c>
    </row>
    <row r="4238" spans="1:24">
      <c r="A4238">
        <f>HYPERLINK("https://www.philgeps.gov.ph/GEPSNONPILOT/Tender/SplashBidNoticeAbstractUI.aspx?menuIndex=3&amp;refID=7046526&amp;Result=3","7046526")</f>
        <v>0</v>
      </c>
      <c r="B4238" t="s">
        <v>1534</v>
      </c>
      <c r="C4238" t="s">
        <v>7132</v>
      </c>
      <c r="E4238" t="s">
        <v>20073</v>
      </c>
      <c r="F4238" t="s">
        <v>28198</v>
      </c>
      <c r="G4238" t="s">
        <v>28207</v>
      </c>
      <c r="H4238" t="s">
        <v>28215</v>
      </c>
      <c r="I4238" t="s">
        <v>28243</v>
      </c>
      <c r="J4238" t="s">
        <v>31093</v>
      </c>
      <c r="K4238" t="s">
        <v>36689</v>
      </c>
      <c r="M4238" t="s">
        <v>38612</v>
      </c>
      <c r="N4238" t="s">
        <v>40436</v>
      </c>
      <c r="O4238" t="s">
        <v>40437</v>
      </c>
      <c r="P4238">
        <v>0</v>
      </c>
      <c r="Q4238">
        <v>0</v>
      </c>
      <c r="R4238" t="s">
        <v>40439</v>
      </c>
      <c r="S4238" t="s">
        <v>40588</v>
      </c>
      <c r="T4238" t="s">
        <v>42190</v>
      </c>
      <c r="U4238" t="s">
        <v>42630</v>
      </c>
      <c r="W4238" t="s">
        <v>38612</v>
      </c>
      <c r="X4238" t="s">
        <v>40440</v>
      </c>
    </row>
    <row r="4239" spans="1:24">
      <c r="A4239">
        <f>HYPERLINK("https://www.philgeps.gov.ph/GEPSNONPILOT/Tender/SplashBidNoticeAbstractUI.aspx?menuIndex=3&amp;refID=7046522&amp;Result=3","7046522")</f>
        <v>0</v>
      </c>
      <c r="B4239" t="s">
        <v>176</v>
      </c>
      <c r="C4239" t="s">
        <v>7133</v>
      </c>
      <c r="D4239" t="s">
        <v>16217</v>
      </c>
      <c r="E4239" t="s">
        <v>20074</v>
      </c>
      <c r="F4239" t="s">
        <v>28198</v>
      </c>
      <c r="G4239" t="s">
        <v>28207</v>
      </c>
      <c r="H4239" t="s">
        <v>28215</v>
      </c>
      <c r="I4239" t="s">
        <v>28225</v>
      </c>
      <c r="J4239" t="s">
        <v>28430</v>
      </c>
      <c r="K4239" t="s">
        <v>36706</v>
      </c>
      <c r="M4239" t="s">
        <v>37150</v>
      </c>
      <c r="N4239" t="s">
        <v>40436</v>
      </c>
      <c r="O4239" t="s">
        <v>40437</v>
      </c>
      <c r="P4239">
        <v>0</v>
      </c>
      <c r="Q4239">
        <v>3</v>
      </c>
      <c r="R4239" t="s">
        <v>40439</v>
      </c>
      <c r="S4239" t="s">
        <v>40588</v>
      </c>
      <c r="T4239" t="s">
        <v>42112</v>
      </c>
      <c r="U4239" t="s">
        <v>46242</v>
      </c>
      <c r="W4239" t="s">
        <v>37150</v>
      </c>
      <c r="X4239" t="s">
        <v>40440</v>
      </c>
    </row>
    <row r="4240" spans="1:24">
      <c r="A4240">
        <f>HYPERLINK("https://www.philgeps.gov.ph/GEPSNONPILOT/Tender/SplashBidNoticeAbstractUI.aspx?menuIndex=3&amp;refID=7046521&amp;Result=3","7046521")</f>
        <v>0</v>
      </c>
      <c r="B4240" t="s">
        <v>860</v>
      </c>
      <c r="C4240" t="s">
        <v>7134</v>
      </c>
      <c r="D4240" t="s">
        <v>16199</v>
      </c>
      <c r="E4240" t="s">
        <v>16860</v>
      </c>
      <c r="F4240" t="s">
        <v>28198</v>
      </c>
      <c r="G4240" t="s">
        <v>28210</v>
      </c>
      <c r="H4240" t="s">
        <v>28215</v>
      </c>
      <c r="I4240" t="s">
        <v>4168</v>
      </c>
      <c r="J4240" t="s">
        <v>29012</v>
      </c>
      <c r="K4240" t="s">
        <v>36688</v>
      </c>
      <c r="M4240" t="s">
        <v>37872</v>
      </c>
      <c r="N4240" t="s">
        <v>40436</v>
      </c>
      <c r="O4240" t="s">
        <v>40437</v>
      </c>
      <c r="P4240">
        <v>0</v>
      </c>
      <c r="Q4240">
        <v>0</v>
      </c>
      <c r="R4240" t="s">
        <v>40439</v>
      </c>
      <c r="S4240" t="s">
        <v>40588</v>
      </c>
      <c r="T4240" t="s">
        <v>42131</v>
      </c>
      <c r="U4240" t="s">
        <v>46243</v>
      </c>
      <c r="W4240" t="s">
        <v>37872</v>
      </c>
      <c r="X4240" t="s">
        <v>40440</v>
      </c>
    </row>
    <row r="4241" spans="1:24">
      <c r="A4241">
        <f>HYPERLINK("https://www.philgeps.gov.ph/GEPSNONPILOT/Tender/SplashBidNoticeAbstractUI.aspx?menuIndex=3&amp;refID=7046523&amp;Result=3","7046523")</f>
        <v>0</v>
      </c>
      <c r="B4241" t="s">
        <v>1509</v>
      </c>
      <c r="C4241" t="s">
        <v>7135</v>
      </c>
      <c r="D4241" t="s">
        <v>16262</v>
      </c>
      <c r="E4241" t="s">
        <v>20075</v>
      </c>
      <c r="F4241" t="s">
        <v>28198</v>
      </c>
      <c r="G4241" t="s">
        <v>28208</v>
      </c>
      <c r="H4241" t="s">
        <v>28214</v>
      </c>
      <c r="I4241" t="s">
        <v>3797</v>
      </c>
      <c r="J4241" t="s">
        <v>31094</v>
      </c>
      <c r="K4241" t="s">
        <v>36697</v>
      </c>
      <c r="M4241" t="s">
        <v>38585</v>
      </c>
      <c r="N4241" t="s">
        <v>40436</v>
      </c>
      <c r="O4241" t="s">
        <v>40437</v>
      </c>
      <c r="P4241">
        <v>0</v>
      </c>
      <c r="Q4241">
        <v>0</v>
      </c>
      <c r="R4241" t="s">
        <v>40439</v>
      </c>
      <c r="S4241" t="s">
        <v>40588</v>
      </c>
      <c r="T4241" t="s">
        <v>42108</v>
      </c>
      <c r="U4241" t="s">
        <v>46170</v>
      </c>
      <c r="V4241" t="s">
        <v>54212</v>
      </c>
      <c r="W4241" t="s">
        <v>55486</v>
      </c>
      <c r="X4241" t="s">
        <v>40440</v>
      </c>
    </row>
    <row r="4242" spans="1:24">
      <c r="A4242">
        <f>HYPERLINK("https://www.philgeps.gov.ph/GEPSNONPILOT/Tender/SplashBidNoticeAbstractUI.aspx?menuIndex=3&amp;refID=7046528&amp;Result=3","7046528")</f>
        <v>0</v>
      </c>
      <c r="B4242" t="s">
        <v>1497</v>
      </c>
      <c r="C4242" t="s">
        <v>7136</v>
      </c>
      <c r="D4242" t="s">
        <v>16211</v>
      </c>
      <c r="E4242" t="s">
        <v>20076</v>
      </c>
      <c r="F4242" t="s">
        <v>28198</v>
      </c>
      <c r="G4242" t="s">
        <v>28205</v>
      </c>
      <c r="H4242" t="s">
        <v>28215</v>
      </c>
      <c r="I4242" t="s">
        <v>28227</v>
      </c>
      <c r="J4242" t="s">
        <v>31095</v>
      </c>
      <c r="K4242" t="s">
        <v>36688</v>
      </c>
      <c r="M4242" t="s">
        <v>38572</v>
      </c>
      <c r="N4242" t="s">
        <v>40436</v>
      </c>
      <c r="O4242" t="s">
        <v>40437</v>
      </c>
      <c r="P4242">
        <v>0</v>
      </c>
      <c r="Q4242">
        <v>0</v>
      </c>
      <c r="R4242" t="s">
        <v>40439</v>
      </c>
      <c r="S4242" t="s">
        <v>40588</v>
      </c>
      <c r="T4242" t="s">
        <v>42144</v>
      </c>
      <c r="U4242" t="s">
        <v>46244</v>
      </c>
      <c r="V4242" t="s">
        <v>54213</v>
      </c>
      <c r="W4242" t="s">
        <v>38572</v>
      </c>
      <c r="X4242" t="s">
        <v>40440</v>
      </c>
    </row>
    <row r="4243" spans="1:24">
      <c r="A4243">
        <f>HYPERLINK("https://www.philgeps.gov.ph/GEPSNONPILOT/Tender/SplashBidNoticeAbstractUI.aspx?menuIndex=3&amp;refID=7046529&amp;Result=3","7046529")</f>
        <v>0</v>
      </c>
      <c r="B4243" t="s">
        <v>1019</v>
      </c>
      <c r="C4243" t="s">
        <v>7137</v>
      </c>
      <c r="D4243" t="s">
        <v>16202</v>
      </c>
      <c r="E4243" t="s">
        <v>20077</v>
      </c>
      <c r="F4243" t="s">
        <v>28198</v>
      </c>
      <c r="G4243" t="s">
        <v>28207</v>
      </c>
      <c r="H4243" t="s">
        <v>28215</v>
      </c>
      <c r="I4243" t="s">
        <v>28238</v>
      </c>
      <c r="J4243" t="s">
        <v>31096</v>
      </c>
      <c r="K4243" t="s">
        <v>36701</v>
      </c>
      <c r="M4243" t="s">
        <v>38048</v>
      </c>
      <c r="N4243" t="s">
        <v>40436</v>
      </c>
      <c r="O4243" t="s">
        <v>40437</v>
      </c>
      <c r="P4243">
        <v>0</v>
      </c>
      <c r="Q4243">
        <v>2</v>
      </c>
      <c r="R4243" t="s">
        <v>40439</v>
      </c>
      <c r="S4243" t="s">
        <v>40588</v>
      </c>
      <c r="T4243" t="s">
        <v>42158</v>
      </c>
      <c r="U4243" t="s">
        <v>46215</v>
      </c>
      <c r="W4243" t="s">
        <v>38048</v>
      </c>
      <c r="X4243" t="s">
        <v>40440</v>
      </c>
    </row>
    <row r="4244" spans="1:24">
      <c r="A4244">
        <f>HYPERLINK("https://www.philgeps.gov.ph/GEPSNONPILOT/Tender/SplashBidNoticeAbstractUI.aspx?menuIndex=3&amp;refID=7046536&amp;Result=3","7046536")</f>
        <v>0</v>
      </c>
      <c r="B4244" t="s">
        <v>1535</v>
      </c>
      <c r="C4244" t="s">
        <v>7138</v>
      </c>
      <c r="D4244" t="s">
        <v>16244</v>
      </c>
      <c r="E4244" t="s">
        <v>16685</v>
      </c>
      <c r="F4244" t="s">
        <v>28198</v>
      </c>
      <c r="G4244" t="s">
        <v>28206</v>
      </c>
      <c r="H4244" t="s">
        <v>28215</v>
      </c>
      <c r="I4244" t="s">
        <v>4505</v>
      </c>
      <c r="J4244" t="s">
        <v>30016</v>
      </c>
      <c r="K4244" t="s">
        <v>36701</v>
      </c>
      <c r="M4244" t="s">
        <v>38613</v>
      </c>
      <c r="N4244" t="s">
        <v>40436</v>
      </c>
      <c r="O4244" t="s">
        <v>40437</v>
      </c>
      <c r="P4244">
        <v>0</v>
      </c>
      <c r="Q4244">
        <v>12</v>
      </c>
      <c r="R4244" t="s">
        <v>40439</v>
      </c>
      <c r="S4244" t="s">
        <v>40588</v>
      </c>
      <c r="T4244" t="s">
        <v>42352</v>
      </c>
      <c r="U4244" t="s">
        <v>46245</v>
      </c>
      <c r="W4244" t="s">
        <v>38613</v>
      </c>
      <c r="X4244" t="s">
        <v>40440</v>
      </c>
    </row>
    <row r="4245" spans="1:24">
      <c r="A4245">
        <f>HYPERLINK("https://www.philgeps.gov.ph/GEPSNONPILOT/Tender/SplashBidNoticeAbstractUI.aspx?menuIndex=3&amp;refID=7046539&amp;Result=3","7046539")</f>
        <v>0</v>
      </c>
      <c r="B4245" t="s">
        <v>634</v>
      </c>
      <c r="C4245" t="s">
        <v>7139</v>
      </c>
      <c r="D4245" t="s">
        <v>16255</v>
      </c>
      <c r="E4245" t="s">
        <v>20078</v>
      </c>
      <c r="F4245" t="s">
        <v>28198</v>
      </c>
      <c r="G4245" t="s">
        <v>28205</v>
      </c>
      <c r="H4245" t="s">
        <v>28214</v>
      </c>
      <c r="I4245" t="s">
        <v>3797</v>
      </c>
      <c r="J4245" t="s">
        <v>28363</v>
      </c>
      <c r="K4245" t="s">
        <v>36690</v>
      </c>
      <c r="M4245" t="s">
        <v>37627</v>
      </c>
      <c r="N4245" t="s">
        <v>40436</v>
      </c>
      <c r="O4245" t="s">
        <v>40437</v>
      </c>
      <c r="P4245">
        <v>0</v>
      </c>
      <c r="Q4245">
        <v>3</v>
      </c>
      <c r="R4245" t="s">
        <v>40439</v>
      </c>
      <c r="S4245" t="s">
        <v>40588</v>
      </c>
      <c r="T4245" t="s">
        <v>42299</v>
      </c>
      <c r="U4245" t="s">
        <v>46246</v>
      </c>
      <c r="W4245" t="s">
        <v>37627</v>
      </c>
      <c r="X4245" t="s">
        <v>40440</v>
      </c>
    </row>
    <row r="4246" spans="1:24">
      <c r="A4246">
        <f>HYPERLINK("https://www.philgeps.gov.ph/GEPSNONPILOT/Tender/SplashBidNoticeAbstractUI.aspx?menuIndex=3&amp;refID=7046533&amp;Result=3","7046533")</f>
        <v>0</v>
      </c>
      <c r="B4246" t="s">
        <v>1507</v>
      </c>
      <c r="C4246" t="s">
        <v>7140</v>
      </c>
      <c r="D4246" t="s">
        <v>16200</v>
      </c>
      <c r="E4246" t="s">
        <v>20079</v>
      </c>
      <c r="F4246" t="s">
        <v>28198</v>
      </c>
      <c r="G4246" t="s">
        <v>28207</v>
      </c>
      <c r="H4246" t="s">
        <v>28215</v>
      </c>
      <c r="I4246" t="s">
        <v>28225</v>
      </c>
      <c r="J4246" t="s">
        <v>31097</v>
      </c>
      <c r="K4246" t="s">
        <v>36701</v>
      </c>
      <c r="M4246" t="s">
        <v>38582</v>
      </c>
      <c r="N4246" t="s">
        <v>40436</v>
      </c>
      <c r="O4246" t="s">
        <v>40437</v>
      </c>
      <c r="P4246">
        <v>0</v>
      </c>
      <c r="Q4246">
        <v>2</v>
      </c>
      <c r="R4246" t="s">
        <v>40439</v>
      </c>
      <c r="S4246" t="s">
        <v>40588</v>
      </c>
      <c r="T4246" t="s">
        <v>42131</v>
      </c>
      <c r="U4246" t="s">
        <v>46161</v>
      </c>
      <c r="W4246" t="s">
        <v>38582</v>
      </c>
      <c r="X4246" t="s">
        <v>40440</v>
      </c>
    </row>
    <row r="4247" spans="1:24">
      <c r="A4247">
        <f>HYPERLINK("https://www.philgeps.gov.ph/GEPSNONPILOT/Tender/SplashBidNoticeAbstractUI.aspx?menuIndex=3&amp;refID=7046535&amp;Result=3","7046535")</f>
        <v>0</v>
      </c>
      <c r="B4247" t="s">
        <v>1524</v>
      </c>
      <c r="C4247" t="s">
        <v>7141</v>
      </c>
      <c r="D4247" t="s">
        <v>16246</v>
      </c>
      <c r="E4247" t="s">
        <v>20080</v>
      </c>
      <c r="F4247" t="s">
        <v>28198</v>
      </c>
      <c r="G4247" t="s">
        <v>28207</v>
      </c>
      <c r="H4247" t="s">
        <v>28214</v>
      </c>
      <c r="I4247" t="s">
        <v>28255</v>
      </c>
      <c r="J4247" t="s">
        <v>31098</v>
      </c>
      <c r="K4247" t="s">
        <v>36789</v>
      </c>
      <c r="M4247" t="s">
        <v>38602</v>
      </c>
      <c r="N4247" t="s">
        <v>40436</v>
      </c>
      <c r="O4247" t="s">
        <v>40437</v>
      </c>
      <c r="P4247">
        <v>0</v>
      </c>
      <c r="Q4247">
        <v>0</v>
      </c>
      <c r="R4247" t="s">
        <v>40439</v>
      </c>
      <c r="S4247" t="s">
        <v>40588</v>
      </c>
      <c r="T4247" t="s">
        <v>42176</v>
      </c>
      <c r="U4247" t="s">
        <v>46247</v>
      </c>
      <c r="W4247" t="s">
        <v>38602</v>
      </c>
      <c r="X4247" t="s">
        <v>40440</v>
      </c>
    </row>
    <row r="4248" spans="1:24">
      <c r="A4248">
        <f>HYPERLINK("https://www.philgeps.gov.ph/GEPSNONPILOT/Tender/SplashBidNoticeAbstractUI.aspx?menuIndex=3&amp;refID=7046532&amp;Result=3","7046532")</f>
        <v>0</v>
      </c>
      <c r="B4248" t="s">
        <v>249</v>
      </c>
      <c r="C4248" t="s">
        <v>7142</v>
      </c>
      <c r="D4248" t="s">
        <v>16254</v>
      </c>
      <c r="E4248" t="s">
        <v>20081</v>
      </c>
      <c r="F4248" t="s">
        <v>28198</v>
      </c>
      <c r="G4248" t="s">
        <v>28207</v>
      </c>
      <c r="H4248" t="s">
        <v>28215</v>
      </c>
      <c r="I4248" t="s">
        <v>28323</v>
      </c>
      <c r="J4248" t="s">
        <v>31099</v>
      </c>
      <c r="K4248" t="s">
        <v>36688</v>
      </c>
      <c r="L4248" t="s">
        <v>249</v>
      </c>
      <c r="M4248" t="s">
        <v>37225</v>
      </c>
      <c r="N4248" t="s">
        <v>40436</v>
      </c>
      <c r="O4248" t="s">
        <v>40437</v>
      </c>
      <c r="P4248">
        <v>0</v>
      </c>
      <c r="Q4248">
        <v>0</v>
      </c>
      <c r="R4248" t="s">
        <v>40439</v>
      </c>
      <c r="S4248" t="s">
        <v>40588</v>
      </c>
      <c r="T4248" t="s">
        <v>42163</v>
      </c>
      <c r="U4248" t="s">
        <v>46248</v>
      </c>
      <c r="V4248" t="s">
        <v>53834</v>
      </c>
      <c r="W4248" t="s">
        <v>37225</v>
      </c>
      <c r="X4248" t="s">
        <v>40440</v>
      </c>
    </row>
    <row r="4249" spans="1:24">
      <c r="A4249">
        <f>HYPERLINK("https://www.philgeps.gov.ph/GEPSNONPILOT/Tender/SplashBidNoticeAbstractUI.aspx?menuIndex=3&amp;refID=7046537&amp;Result=3","7046537")</f>
        <v>0</v>
      </c>
      <c r="B4249" t="s">
        <v>1522</v>
      </c>
      <c r="C4249" t="s">
        <v>7143</v>
      </c>
      <c r="D4249" t="s">
        <v>16264</v>
      </c>
      <c r="E4249" t="s">
        <v>20082</v>
      </c>
      <c r="F4249" t="s">
        <v>28198</v>
      </c>
      <c r="G4249" t="s">
        <v>28210</v>
      </c>
      <c r="H4249" t="s">
        <v>28215</v>
      </c>
      <c r="I4249" t="s">
        <v>28234</v>
      </c>
      <c r="J4249" t="s">
        <v>31100</v>
      </c>
      <c r="K4249" t="s">
        <v>36707</v>
      </c>
      <c r="M4249" t="s">
        <v>38600</v>
      </c>
      <c r="N4249" t="s">
        <v>40436</v>
      </c>
      <c r="O4249" t="s">
        <v>40437</v>
      </c>
      <c r="P4249">
        <v>0</v>
      </c>
      <c r="Q4249">
        <v>3</v>
      </c>
      <c r="R4249" t="s">
        <v>40439</v>
      </c>
      <c r="S4249" t="s">
        <v>40588</v>
      </c>
      <c r="T4249" t="s">
        <v>42218</v>
      </c>
      <c r="U4249" t="s">
        <v>46249</v>
      </c>
      <c r="W4249" t="s">
        <v>38600</v>
      </c>
      <c r="X4249" t="s">
        <v>40440</v>
      </c>
    </row>
    <row r="4250" spans="1:24">
      <c r="A4250">
        <f>HYPERLINK("https://www.philgeps.gov.ph/GEPSNONPILOT/Tender/SplashBidNoticeAbstractUI.aspx?menuIndex=3&amp;refID=7046552&amp;Result=3","7046552")</f>
        <v>0</v>
      </c>
      <c r="B4250" t="s">
        <v>862</v>
      </c>
      <c r="C4250" t="s">
        <v>7144</v>
      </c>
      <c r="D4250" t="s">
        <v>16248</v>
      </c>
      <c r="E4250" t="s">
        <v>20083</v>
      </c>
      <c r="F4250" t="s">
        <v>28198</v>
      </c>
      <c r="G4250" t="s">
        <v>28205</v>
      </c>
      <c r="H4250" t="s">
        <v>28214</v>
      </c>
      <c r="I4250" t="s">
        <v>3797</v>
      </c>
      <c r="J4250" t="s">
        <v>31101</v>
      </c>
      <c r="K4250" t="s">
        <v>36814</v>
      </c>
      <c r="L4250" t="s">
        <v>862</v>
      </c>
      <c r="M4250" t="s">
        <v>37874</v>
      </c>
      <c r="N4250" t="s">
        <v>40436</v>
      </c>
      <c r="O4250" t="s">
        <v>40437</v>
      </c>
      <c r="P4250">
        <v>0</v>
      </c>
      <c r="Q4250">
        <v>0</v>
      </c>
      <c r="R4250" t="s">
        <v>40439</v>
      </c>
      <c r="S4250" t="s">
        <v>40588</v>
      </c>
      <c r="T4250" t="s">
        <v>42106</v>
      </c>
      <c r="U4250" t="s">
        <v>46250</v>
      </c>
      <c r="V4250" t="s">
        <v>54214</v>
      </c>
      <c r="W4250" t="s">
        <v>37874</v>
      </c>
      <c r="X4250" t="s">
        <v>40440</v>
      </c>
    </row>
    <row r="4251" spans="1:24">
      <c r="A4251">
        <f>HYPERLINK("https://www.philgeps.gov.ph/GEPSNONPILOT/Tender/SplashBidNoticeAbstractUI.aspx?menuIndex=3&amp;refID=7046534&amp;Result=3","7046534")</f>
        <v>0</v>
      </c>
      <c r="B4251" t="s">
        <v>670</v>
      </c>
      <c r="C4251" t="s">
        <v>7145</v>
      </c>
      <c r="E4251" t="s">
        <v>20084</v>
      </c>
      <c r="F4251" t="s">
        <v>28198</v>
      </c>
      <c r="G4251" t="s">
        <v>28205</v>
      </c>
      <c r="H4251" t="s">
        <v>28214</v>
      </c>
      <c r="I4251" t="s">
        <v>3797</v>
      </c>
      <c r="J4251" t="s">
        <v>31102</v>
      </c>
      <c r="K4251" t="s">
        <v>36815</v>
      </c>
      <c r="M4251" t="s">
        <v>37666</v>
      </c>
      <c r="N4251" t="s">
        <v>40436</v>
      </c>
      <c r="O4251" t="s">
        <v>40437</v>
      </c>
      <c r="P4251">
        <v>0</v>
      </c>
      <c r="Q4251">
        <v>0</v>
      </c>
      <c r="R4251" t="s">
        <v>40439</v>
      </c>
      <c r="S4251" t="s">
        <v>40588</v>
      </c>
      <c r="T4251" t="s">
        <v>42248</v>
      </c>
      <c r="U4251" t="s">
        <v>46251</v>
      </c>
      <c r="W4251" t="s">
        <v>37666</v>
      </c>
      <c r="X4251" t="s">
        <v>40440</v>
      </c>
    </row>
    <row r="4252" spans="1:24">
      <c r="A4252">
        <f>HYPERLINK("https://www.philgeps.gov.ph/GEPSNONPILOT/Tender/SplashBidNoticeAbstractUI.aspx?menuIndex=3&amp;refID=7046550&amp;Result=3","7046550")</f>
        <v>0</v>
      </c>
      <c r="B4252" t="s">
        <v>1216</v>
      </c>
      <c r="C4252" t="s">
        <v>7146</v>
      </c>
      <c r="D4252" t="s">
        <v>16230</v>
      </c>
      <c r="E4252" t="s">
        <v>19387</v>
      </c>
      <c r="F4252" t="s">
        <v>28198</v>
      </c>
      <c r="G4252" t="s">
        <v>28207</v>
      </c>
      <c r="H4252" t="s">
        <v>28215</v>
      </c>
      <c r="I4252" t="s">
        <v>5100</v>
      </c>
      <c r="J4252" t="s">
        <v>31103</v>
      </c>
      <c r="K4252" t="s">
        <v>36689</v>
      </c>
      <c r="M4252" t="s">
        <v>38261</v>
      </c>
      <c r="N4252" t="s">
        <v>40436</v>
      </c>
      <c r="O4252" t="s">
        <v>40437</v>
      </c>
      <c r="P4252">
        <v>0</v>
      </c>
      <c r="Q4252">
        <v>0</v>
      </c>
      <c r="R4252" t="s">
        <v>40439</v>
      </c>
      <c r="S4252" t="s">
        <v>40588</v>
      </c>
      <c r="T4252" t="s">
        <v>42340</v>
      </c>
      <c r="U4252" t="s">
        <v>46252</v>
      </c>
      <c r="W4252" t="s">
        <v>38261</v>
      </c>
      <c r="X4252" t="s">
        <v>40440</v>
      </c>
    </row>
    <row r="4253" spans="1:24">
      <c r="A4253">
        <f>HYPERLINK("https://www.philgeps.gov.ph/GEPSNONPILOT/Tender/SplashBidNoticeAbstractUI.aspx?menuIndex=3&amp;refID=7046542&amp;Result=3","7046542")</f>
        <v>0</v>
      </c>
      <c r="B4253" t="s">
        <v>403</v>
      </c>
      <c r="C4253" t="s">
        <v>7147</v>
      </c>
      <c r="D4253" t="s">
        <v>16188</v>
      </c>
      <c r="E4253" t="s">
        <v>20085</v>
      </c>
      <c r="F4253" t="s">
        <v>28198</v>
      </c>
      <c r="G4253" t="s">
        <v>28205</v>
      </c>
      <c r="H4253" t="s">
        <v>28214</v>
      </c>
      <c r="I4253" t="s">
        <v>3797</v>
      </c>
      <c r="J4253" t="s">
        <v>28699</v>
      </c>
      <c r="K4253" t="s">
        <v>36694</v>
      </c>
      <c r="M4253" t="s">
        <v>37384</v>
      </c>
      <c r="N4253" t="s">
        <v>40436</v>
      </c>
      <c r="O4253" t="s">
        <v>40437</v>
      </c>
      <c r="P4253">
        <v>0</v>
      </c>
      <c r="Q4253">
        <v>0</v>
      </c>
      <c r="R4253" t="s">
        <v>40439</v>
      </c>
      <c r="S4253" t="s">
        <v>40588</v>
      </c>
      <c r="T4253" t="s">
        <v>42219</v>
      </c>
      <c r="U4253" t="s">
        <v>46253</v>
      </c>
      <c r="W4253" t="s">
        <v>37384</v>
      </c>
      <c r="X4253" t="s">
        <v>40440</v>
      </c>
    </row>
    <row r="4254" spans="1:24">
      <c r="A4254">
        <f>HYPERLINK("https://www.philgeps.gov.ph/GEPSNONPILOT/Tender/SplashBidNoticeAbstractUI.aspx?menuIndex=3&amp;refID=7046541&amp;Result=3","7046541")</f>
        <v>0</v>
      </c>
      <c r="B4254" t="s">
        <v>1532</v>
      </c>
      <c r="C4254" t="s">
        <v>7148</v>
      </c>
      <c r="D4254" t="s">
        <v>16199</v>
      </c>
      <c r="E4254" t="s">
        <v>16501</v>
      </c>
      <c r="F4254" t="s">
        <v>28198</v>
      </c>
      <c r="G4254" t="s">
        <v>28205</v>
      </c>
      <c r="H4254" t="s">
        <v>28214</v>
      </c>
      <c r="I4254" t="s">
        <v>5100</v>
      </c>
      <c r="J4254" t="s">
        <v>29401</v>
      </c>
      <c r="K4254" t="s">
        <v>36706</v>
      </c>
      <c r="M4254" t="s">
        <v>38610</v>
      </c>
      <c r="N4254" t="s">
        <v>40436</v>
      </c>
      <c r="O4254" t="s">
        <v>40437</v>
      </c>
      <c r="P4254">
        <v>0</v>
      </c>
      <c r="Q4254">
        <v>0</v>
      </c>
      <c r="R4254" t="s">
        <v>40439</v>
      </c>
      <c r="S4254" t="s">
        <v>40588</v>
      </c>
      <c r="T4254" t="s">
        <v>42152</v>
      </c>
      <c r="U4254" t="s">
        <v>46254</v>
      </c>
      <c r="W4254" t="s">
        <v>38610</v>
      </c>
      <c r="X4254" t="s">
        <v>40440</v>
      </c>
    </row>
    <row r="4255" spans="1:24">
      <c r="A4255">
        <f>HYPERLINK("https://www.philgeps.gov.ph/GEPSNONPILOT/Tender/SplashBidNoticeAbstractUI.aspx?menuIndex=3&amp;refID=7046545&amp;Result=3","7046545")</f>
        <v>0</v>
      </c>
      <c r="B4255" t="s">
        <v>1536</v>
      </c>
      <c r="C4255" t="s">
        <v>7149</v>
      </c>
      <c r="D4255" t="s">
        <v>16222</v>
      </c>
      <c r="E4255" t="s">
        <v>20086</v>
      </c>
      <c r="F4255" t="s">
        <v>28198</v>
      </c>
      <c r="G4255" t="s">
        <v>28205</v>
      </c>
      <c r="H4255" t="s">
        <v>28215</v>
      </c>
      <c r="I4255" t="s">
        <v>8888</v>
      </c>
      <c r="J4255" t="s">
        <v>31104</v>
      </c>
      <c r="K4255" t="s">
        <v>36689</v>
      </c>
      <c r="M4255" t="s">
        <v>38614</v>
      </c>
      <c r="N4255" t="s">
        <v>40436</v>
      </c>
      <c r="O4255" t="s">
        <v>40437</v>
      </c>
      <c r="P4255">
        <v>0</v>
      </c>
      <c r="Q4255">
        <v>5</v>
      </c>
      <c r="R4255" t="s">
        <v>40439</v>
      </c>
      <c r="S4255" t="s">
        <v>40588</v>
      </c>
      <c r="T4255" t="s">
        <v>42176</v>
      </c>
      <c r="U4255" t="s">
        <v>46255</v>
      </c>
      <c r="W4255" t="s">
        <v>38614</v>
      </c>
      <c r="X4255" t="s">
        <v>40440</v>
      </c>
    </row>
    <row r="4256" spans="1:24">
      <c r="A4256">
        <f>HYPERLINK("https://www.philgeps.gov.ph/GEPSNONPILOT/Tender/SplashBidNoticeAbstractUI.aspx?menuIndex=3&amp;refID=7046546&amp;Result=3","7046546")</f>
        <v>0</v>
      </c>
      <c r="B4256" t="s">
        <v>1494</v>
      </c>
      <c r="C4256" t="s">
        <v>7150</v>
      </c>
      <c r="D4256" t="s">
        <v>16277</v>
      </c>
      <c r="E4256" t="s">
        <v>17443</v>
      </c>
      <c r="F4256" t="s">
        <v>28198</v>
      </c>
      <c r="G4256" t="s">
        <v>28210</v>
      </c>
      <c r="H4256" t="s">
        <v>28215</v>
      </c>
      <c r="I4256" t="s">
        <v>4168</v>
      </c>
      <c r="J4256" t="s">
        <v>31105</v>
      </c>
      <c r="K4256" t="s">
        <v>36688</v>
      </c>
      <c r="M4256" t="s">
        <v>38569</v>
      </c>
      <c r="N4256" t="s">
        <v>40436</v>
      </c>
      <c r="O4256" t="s">
        <v>40437</v>
      </c>
      <c r="P4256">
        <v>0</v>
      </c>
      <c r="Q4256">
        <v>3</v>
      </c>
      <c r="R4256" t="s">
        <v>40439</v>
      </c>
      <c r="S4256" t="s">
        <v>40588</v>
      </c>
      <c r="T4256" t="s">
        <v>42326</v>
      </c>
      <c r="U4256" t="s">
        <v>46256</v>
      </c>
      <c r="W4256" t="s">
        <v>38569</v>
      </c>
      <c r="X4256" t="s">
        <v>40440</v>
      </c>
    </row>
    <row r="4257" spans="1:24">
      <c r="A4257">
        <f>HYPERLINK("https://www.philgeps.gov.ph/GEPSNONPILOT/Tender/SplashBidNoticeAbstractUI.aspx?menuIndex=3&amp;refID=7046547&amp;Result=3","7046547")</f>
        <v>0</v>
      </c>
      <c r="B4257" t="s">
        <v>1502</v>
      </c>
      <c r="C4257" t="s">
        <v>7151</v>
      </c>
      <c r="D4257" t="s">
        <v>16190</v>
      </c>
      <c r="E4257" t="s">
        <v>20087</v>
      </c>
      <c r="F4257" t="s">
        <v>28198</v>
      </c>
      <c r="G4257" t="s">
        <v>28207</v>
      </c>
      <c r="H4257" t="s">
        <v>28215</v>
      </c>
      <c r="I4257" t="s">
        <v>4219</v>
      </c>
      <c r="J4257" t="s">
        <v>31106</v>
      </c>
      <c r="K4257" t="s">
        <v>36688</v>
      </c>
      <c r="M4257" t="s">
        <v>38577</v>
      </c>
      <c r="N4257" t="s">
        <v>40436</v>
      </c>
      <c r="O4257" t="s">
        <v>40437</v>
      </c>
      <c r="P4257">
        <v>0</v>
      </c>
      <c r="Q4257">
        <v>1</v>
      </c>
      <c r="R4257" t="s">
        <v>40439</v>
      </c>
      <c r="S4257" t="s">
        <v>40588</v>
      </c>
      <c r="T4257" t="s">
        <v>42216</v>
      </c>
      <c r="U4257" t="s">
        <v>46257</v>
      </c>
      <c r="W4257" t="s">
        <v>38577</v>
      </c>
      <c r="X4257" t="s">
        <v>40440</v>
      </c>
    </row>
    <row r="4258" spans="1:24">
      <c r="A4258">
        <f>HYPERLINK("https://www.philgeps.gov.ph/GEPSNONPILOT/Tender/SplashBidNoticeAbstractUI.aspx?menuIndex=3&amp;refID=7046543&amp;Result=3","7046543")</f>
        <v>0</v>
      </c>
      <c r="B4258" t="s">
        <v>1387</v>
      </c>
      <c r="C4258" t="s">
        <v>7152</v>
      </c>
      <c r="D4258" t="s">
        <v>16195</v>
      </c>
      <c r="E4258" t="s">
        <v>20088</v>
      </c>
      <c r="F4258" t="s">
        <v>28198</v>
      </c>
      <c r="G4258" t="s">
        <v>28207</v>
      </c>
      <c r="H4258" t="s">
        <v>28215</v>
      </c>
      <c r="I4258" t="s">
        <v>28247</v>
      </c>
      <c r="J4258" t="s">
        <v>31107</v>
      </c>
      <c r="K4258" t="s">
        <v>36689</v>
      </c>
      <c r="M4258" t="s">
        <v>38451</v>
      </c>
      <c r="N4258" t="s">
        <v>40436</v>
      </c>
      <c r="O4258" t="s">
        <v>40437</v>
      </c>
      <c r="P4258">
        <v>0</v>
      </c>
      <c r="Q4258">
        <v>3</v>
      </c>
      <c r="R4258" t="s">
        <v>40439</v>
      </c>
      <c r="S4258" t="s">
        <v>40588</v>
      </c>
      <c r="T4258" t="s">
        <v>42124</v>
      </c>
      <c r="U4258" t="s">
        <v>46258</v>
      </c>
      <c r="W4258" t="s">
        <v>38451</v>
      </c>
      <c r="X4258" t="s">
        <v>40440</v>
      </c>
    </row>
    <row r="4259" spans="1:24">
      <c r="A4259">
        <f>HYPERLINK("https://www.philgeps.gov.ph/GEPSNONPILOT/Tender/SplashBidNoticeAbstractUI.aspx?menuIndex=3&amp;refID=7046553&amp;Result=3","7046553")</f>
        <v>0</v>
      </c>
      <c r="B4259" t="s">
        <v>1537</v>
      </c>
      <c r="C4259" t="s">
        <v>7153</v>
      </c>
      <c r="D4259" t="s">
        <v>16200</v>
      </c>
      <c r="E4259" t="s">
        <v>20089</v>
      </c>
      <c r="F4259" t="s">
        <v>28198</v>
      </c>
      <c r="G4259" t="s">
        <v>28205</v>
      </c>
      <c r="H4259" t="s">
        <v>28215</v>
      </c>
      <c r="I4259" t="s">
        <v>5100</v>
      </c>
      <c r="J4259" t="s">
        <v>31108</v>
      </c>
      <c r="K4259" t="s">
        <v>36707</v>
      </c>
      <c r="M4259" t="s">
        <v>38615</v>
      </c>
      <c r="N4259" t="s">
        <v>40436</v>
      </c>
      <c r="O4259" t="s">
        <v>40437</v>
      </c>
      <c r="P4259">
        <v>0</v>
      </c>
      <c r="Q4259">
        <v>0</v>
      </c>
      <c r="R4259" t="s">
        <v>40439</v>
      </c>
      <c r="S4259" t="s">
        <v>40588</v>
      </c>
      <c r="T4259" t="s">
        <v>42121</v>
      </c>
      <c r="U4259" t="s">
        <v>46259</v>
      </c>
      <c r="W4259" t="s">
        <v>38615</v>
      </c>
      <c r="X4259" t="s">
        <v>40440</v>
      </c>
    </row>
    <row r="4260" spans="1:24">
      <c r="A4260">
        <f>HYPERLINK("https://www.philgeps.gov.ph/GEPSNONPILOT/Tender/SplashBidNoticeAbstractUI.aspx?menuIndex=3&amp;refID=7046544&amp;Result=3","7046544")</f>
        <v>0</v>
      </c>
      <c r="B4260" t="s">
        <v>832</v>
      </c>
      <c r="C4260" t="s">
        <v>7154</v>
      </c>
      <c r="D4260" t="s">
        <v>16187</v>
      </c>
      <c r="E4260" t="s">
        <v>20090</v>
      </c>
      <c r="F4260" t="s">
        <v>28198</v>
      </c>
      <c r="G4260" t="s">
        <v>28205</v>
      </c>
      <c r="H4260" t="s">
        <v>28214</v>
      </c>
      <c r="I4260" t="s">
        <v>3797</v>
      </c>
      <c r="J4260" t="s">
        <v>31109</v>
      </c>
      <c r="K4260" t="s">
        <v>36701</v>
      </c>
      <c r="M4260" t="s">
        <v>37844</v>
      </c>
      <c r="N4260" t="s">
        <v>40436</v>
      </c>
      <c r="O4260" t="s">
        <v>40437</v>
      </c>
      <c r="P4260">
        <v>0</v>
      </c>
      <c r="Q4260">
        <v>0</v>
      </c>
      <c r="R4260" t="s">
        <v>40439</v>
      </c>
      <c r="S4260" t="s">
        <v>40588</v>
      </c>
      <c r="T4260" t="s">
        <v>42175</v>
      </c>
      <c r="U4260" t="s">
        <v>46260</v>
      </c>
      <c r="W4260" t="s">
        <v>37844</v>
      </c>
      <c r="X4260" t="s">
        <v>40440</v>
      </c>
    </row>
    <row r="4261" spans="1:24">
      <c r="A4261">
        <f>HYPERLINK("https://www.philgeps.gov.ph/GEPSNONPILOT/Tender/SplashBidNoticeAbstractUI.aspx?menuIndex=3&amp;refID=7046549&amp;Result=3","7046549")</f>
        <v>0</v>
      </c>
      <c r="B4261" t="s">
        <v>1538</v>
      </c>
      <c r="C4261" t="s">
        <v>7155</v>
      </c>
      <c r="E4261" t="s">
        <v>20091</v>
      </c>
      <c r="F4261" t="s">
        <v>28198</v>
      </c>
      <c r="G4261" t="s">
        <v>28207</v>
      </c>
      <c r="H4261" t="s">
        <v>28215</v>
      </c>
      <c r="I4261" t="s">
        <v>8888</v>
      </c>
      <c r="J4261" t="s">
        <v>28597</v>
      </c>
      <c r="K4261" t="s">
        <v>36707</v>
      </c>
      <c r="M4261" t="s">
        <v>38616</v>
      </c>
      <c r="N4261" t="s">
        <v>40436</v>
      </c>
      <c r="O4261" t="s">
        <v>40437</v>
      </c>
      <c r="P4261">
        <v>0</v>
      </c>
      <c r="Q4261">
        <v>0</v>
      </c>
      <c r="R4261" t="s">
        <v>40439</v>
      </c>
      <c r="S4261" t="s">
        <v>40588</v>
      </c>
      <c r="T4261" t="s">
        <v>42190</v>
      </c>
      <c r="U4261" t="s">
        <v>46261</v>
      </c>
      <c r="W4261" t="s">
        <v>38616</v>
      </c>
      <c r="X4261" t="s">
        <v>40440</v>
      </c>
    </row>
    <row r="4262" spans="1:24">
      <c r="A4262">
        <f>HYPERLINK("https://www.philgeps.gov.ph/GEPSNONPILOT/Tender/SplashBidNoticeAbstractUI.aspx?menuIndex=3&amp;refID=7046556&amp;Result=3","7046556")</f>
        <v>0</v>
      </c>
      <c r="B4262" t="s">
        <v>1411</v>
      </c>
      <c r="C4262" t="s">
        <v>7156</v>
      </c>
      <c r="D4262" t="s">
        <v>16195</v>
      </c>
      <c r="E4262" t="s">
        <v>20092</v>
      </c>
      <c r="F4262" t="s">
        <v>28198</v>
      </c>
      <c r="G4262" t="s">
        <v>28207</v>
      </c>
      <c r="H4262" t="s">
        <v>28215</v>
      </c>
      <c r="I4262" t="s">
        <v>28257</v>
      </c>
      <c r="J4262" t="s">
        <v>28436</v>
      </c>
      <c r="K4262" t="s">
        <v>36706</v>
      </c>
      <c r="M4262" t="s">
        <v>38476</v>
      </c>
      <c r="N4262" t="s">
        <v>40436</v>
      </c>
      <c r="O4262" t="s">
        <v>40437</v>
      </c>
      <c r="P4262">
        <v>0</v>
      </c>
      <c r="Q4262">
        <v>3</v>
      </c>
      <c r="R4262" t="s">
        <v>40439</v>
      </c>
      <c r="S4262" t="s">
        <v>40588</v>
      </c>
      <c r="T4262" t="s">
        <v>42158</v>
      </c>
      <c r="U4262" t="s">
        <v>46262</v>
      </c>
      <c r="V4262" t="s">
        <v>54215</v>
      </c>
      <c r="W4262" t="s">
        <v>38476</v>
      </c>
      <c r="X4262" t="s">
        <v>40440</v>
      </c>
    </row>
    <row r="4263" spans="1:24">
      <c r="A4263">
        <f>HYPERLINK("https://www.philgeps.gov.ph/GEPSNONPILOT/Tender/SplashBidNoticeAbstractUI.aspx?menuIndex=3&amp;refID=7046555&amp;Result=3","7046555")</f>
        <v>0</v>
      </c>
      <c r="B4263" t="s">
        <v>1539</v>
      </c>
      <c r="C4263" t="s">
        <v>7157</v>
      </c>
      <c r="D4263" t="s">
        <v>16245</v>
      </c>
      <c r="E4263" t="s">
        <v>20093</v>
      </c>
      <c r="F4263" t="s">
        <v>28198</v>
      </c>
      <c r="G4263" t="s">
        <v>28207</v>
      </c>
      <c r="H4263" t="s">
        <v>28215</v>
      </c>
      <c r="I4263" t="s">
        <v>5082</v>
      </c>
      <c r="J4263" t="s">
        <v>28878</v>
      </c>
      <c r="K4263" t="s">
        <v>36688</v>
      </c>
      <c r="M4263" t="s">
        <v>38617</v>
      </c>
      <c r="N4263" t="s">
        <v>40436</v>
      </c>
      <c r="O4263" t="s">
        <v>40437</v>
      </c>
      <c r="P4263">
        <v>0</v>
      </c>
      <c r="Q4263">
        <v>0</v>
      </c>
      <c r="R4263" t="s">
        <v>40439</v>
      </c>
      <c r="S4263" t="s">
        <v>40588</v>
      </c>
      <c r="T4263" t="s">
        <v>42131</v>
      </c>
      <c r="U4263" t="s">
        <v>46263</v>
      </c>
      <c r="W4263" t="s">
        <v>38617</v>
      </c>
      <c r="X4263" t="s">
        <v>40440</v>
      </c>
    </row>
    <row r="4264" spans="1:24">
      <c r="A4264">
        <f>HYPERLINK("https://www.philgeps.gov.ph/GEPSNONPILOT/Tender/SplashBidNoticeAbstractUI.aspx?menuIndex=3&amp;refID=7046538&amp;Result=3","7046538")</f>
        <v>0</v>
      </c>
      <c r="B4264" t="s">
        <v>924</v>
      </c>
      <c r="C4264" t="s">
        <v>7158</v>
      </c>
      <c r="E4264" t="s">
        <v>20094</v>
      </c>
      <c r="F4264" t="s">
        <v>28198</v>
      </c>
      <c r="G4264" t="s">
        <v>28205</v>
      </c>
      <c r="H4264" t="s">
        <v>28216</v>
      </c>
      <c r="I4264" t="s">
        <v>28216</v>
      </c>
      <c r="J4264" t="s">
        <v>31110</v>
      </c>
      <c r="K4264" t="s">
        <v>36700</v>
      </c>
      <c r="M4264" t="s">
        <v>38618</v>
      </c>
      <c r="N4264" t="s">
        <v>40436</v>
      </c>
      <c r="O4264" t="s">
        <v>40437</v>
      </c>
      <c r="P4264">
        <v>0</v>
      </c>
      <c r="Q4264">
        <v>9</v>
      </c>
      <c r="R4264" t="s">
        <v>40439</v>
      </c>
      <c r="S4264" t="s">
        <v>40588</v>
      </c>
      <c r="T4264" t="s">
        <v>42102</v>
      </c>
      <c r="U4264" t="s">
        <v>46264</v>
      </c>
      <c r="W4264" t="s">
        <v>38618</v>
      </c>
      <c r="X4264" t="s">
        <v>40440</v>
      </c>
    </row>
    <row r="4265" spans="1:24">
      <c r="A4265">
        <f>HYPERLINK("https://www.philgeps.gov.ph/GEPSNONPILOT/Tender/SplashBidNoticeAbstractUI.aspx?menuIndex=3&amp;refID=7046576&amp;Result=3","7046576")</f>
        <v>0</v>
      </c>
      <c r="B4265" t="s">
        <v>1540</v>
      </c>
      <c r="C4265" t="s">
        <v>7159</v>
      </c>
      <c r="D4265" t="s">
        <v>16221</v>
      </c>
      <c r="E4265" t="s">
        <v>17900</v>
      </c>
      <c r="F4265" t="s">
        <v>28198</v>
      </c>
      <c r="G4265" t="s">
        <v>28205</v>
      </c>
      <c r="H4265" t="s">
        <v>28214</v>
      </c>
      <c r="I4265" t="s">
        <v>3797</v>
      </c>
      <c r="J4265" t="s">
        <v>28393</v>
      </c>
      <c r="K4265" t="s">
        <v>36687</v>
      </c>
      <c r="M4265" t="s">
        <v>38619</v>
      </c>
      <c r="N4265" t="s">
        <v>40436</v>
      </c>
      <c r="O4265" t="s">
        <v>40437</v>
      </c>
      <c r="P4265">
        <v>0</v>
      </c>
      <c r="Q4265">
        <v>0</v>
      </c>
      <c r="R4265" t="s">
        <v>40439</v>
      </c>
      <c r="S4265" t="s">
        <v>40588</v>
      </c>
      <c r="T4265" t="s">
        <v>42134</v>
      </c>
      <c r="U4265" t="s">
        <v>46265</v>
      </c>
      <c r="W4265" t="s">
        <v>38619</v>
      </c>
      <c r="X4265" t="s">
        <v>40440</v>
      </c>
    </row>
    <row r="4266" spans="1:24">
      <c r="A4266">
        <f>HYPERLINK("https://www.philgeps.gov.ph/GEPSNONPILOT/Tender/SplashBidNoticeAbstractUI.aspx?menuIndex=3&amp;refID=7046574&amp;Result=3","7046574")</f>
        <v>0</v>
      </c>
      <c r="B4266" t="s">
        <v>1536</v>
      </c>
      <c r="C4266" t="s">
        <v>7160</v>
      </c>
      <c r="D4266" t="s">
        <v>16222</v>
      </c>
      <c r="E4266" t="s">
        <v>20095</v>
      </c>
      <c r="F4266" t="s">
        <v>28198</v>
      </c>
      <c r="G4266" t="s">
        <v>28207</v>
      </c>
      <c r="H4266" t="s">
        <v>28215</v>
      </c>
      <c r="I4266" t="s">
        <v>3774</v>
      </c>
      <c r="J4266" t="s">
        <v>28900</v>
      </c>
      <c r="K4266" t="s">
        <v>36689</v>
      </c>
      <c r="M4266" t="s">
        <v>38614</v>
      </c>
      <c r="N4266" t="s">
        <v>40436</v>
      </c>
      <c r="O4266" t="s">
        <v>40437</v>
      </c>
      <c r="P4266">
        <v>0</v>
      </c>
      <c r="Q4266">
        <v>0</v>
      </c>
      <c r="R4266" t="s">
        <v>40439</v>
      </c>
      <c r="S4266" t="s">
        <v>40588</v>
      </c>
      <c r="T4266" t="s">
        <v>42176</v>
      </c>
      <c r="U4266" t="s">
        <v>46255</v>
      </c>
      <c r="W4266" t="s">
        <v>38614</v>
      </c>
      <c r="X4266" t="s">
        <v>40440</v>
      </c>
    </row>
    <row r="4267" spans="1:24">
      <c r="A4267">
        <f>HYPERLINK("https://www.philgeps.gov.ph/GEPSNONPILOT/Tender/SplashBidNoticeAbstractUI.aspx?menuIndex=3&amp;refID=7046554&amp;Result=3","7046554")</f>
        <v>0</v>
      </c>
      <c r="B4267" t="s">
        <v>1532</v>
      </c>
      <c r="C4267" t="s">
        <v>7161</v>
      </c>
      <c r="D4267" t="s">
        <v>16199</v>
      </c>
      <c r="E4267" t="s">
        <v>16507</v>
      </c>
      <c r="F4267" t="s">
        <v>28198</v>
      </c>
      <c r="G4267" t="s">
        <v>28205</v>
      </c>
      <c r="H4267" t="s">
        <v>28214</v>
      </c>
      <c r="I4267" t="s">
        <v>5100</v>
      </c>
      <c r="J4267" t="s">
        <v>29401</v>
      </c>
      <c r="K4267" t="s">
        <v>36707</v>
      </c>
      <c r="M4267" t="s">
        <v>38610</v>
      </c>
      <c r="N4267" t="s">
        <v>40436</v>
      </c>
      <c r="O4267" t="s">
        <v>40437</v>
      </c>
      <c r="P4267">
        <v>0</v>
      </c>
      <c r="Q4267">
        <v>0</v>
      </c>
      <c r="R4267" t="s">
        <v>40439</v>
      </c>
      <c r="S4267" t="s">
        <v>40588</v>
      </c>
      <c r="T4267" t="s">
        <v>42152</v>
      </c>
      <c r="U4267" t="s">
        <v>46266</v>
      </c>
      <c r="W4267" t="s">
        <v>38610</v>
      </c>
      <c r="X4267" t="s">
        <v>40440</v>
      </c>
    </row>
    <row r="4268" spans="1:24">
      <c r="A4268">
        <f>HYPERLINK("https://www.philgeps.gov.ph/GEPSNONPILOT/Tender/SplashBidNoticeAbstractUI.aspx?menuIndex=3&amp;refID=7046557&amp;Result=3","7046557")</f>
        <v>0</v>
      </c>
      <c r="B4268" t="s">
        <v>1047</v>
      </c>
      <c r="C4268" t="s">
        <v>7162</v>
      </c>
      <c r="D4268" t="s">
        <v>16219</v>
      </c>
      <c r="E4268" t="s">
        <v>20096</v>
      </c>
      <c r="F4268" t="s">
        <v>28198</v>
      </c>
      <c r="G4268" t="s">
        <v>28207</v>
      </c>
      <c r="H4268" t="s">
        <v>28215</v>
      </c>
      <c r="I4268" t="s">
        <v>28258</v>
      </c>
      <c r="J4268" t="s">
        <v>31111</v>
      </c>
      <c r="K4268" t="s">
        <v>36689</v>
      </c>
      <c r="M4268" t="s">
        <v>38080</v>
      </c>
      <c r="N4268" t="s">
        <v>40436</v>
      </c>
      <c r="O4268" t="s">
        <v>40437</v>
      </c>
      <c r="P4268">
        <v>0</v>
      </c>
      <c r="Q4268">
        <v>0</v>
      </c>
      <c r="R4268" t="s">
        <v>40439</v>
      </c>
      <c r="S4268" t="s">
        <v>40588</v>
      </c>
      <c r="T4268" t="s">
        <v>42161</v>
      </c>
      <c r="U4268" t="s">
        <v>46267</v>
      </c>
      <c r="W4268" t="s">
        <v>38080</v>
      </c>
      <c r="X4268" t="s">
        <v>40440</v>
      </c>
    </row>
    <row r="4269" spans="1:24">
      <c r="A4269">
        <f>HYPERLINK("https://www.philgeps.gov.ph/GEPSNONPILOT/Tender/SplashBidNoticeAbstractUI.aspx?menuIndex=3&amp;refID=7046573&amp;Result=3","7046573")</f>
        <v>0</v>
      </c>
      <c r="B4269" t="s">
        <v>832</v>
      </c>
      <c r="C4269" t="s">
        <v>7163</v>
      </c>
      <c r="D4269" t="s">
        <v>16187</v>
      </c>
      <c r="E4269" t="s">
        <v>20097</v>
      </c>
      <c r="F4269" t="s">
        <v>28198</v>
      </c>
      <c r="G4269" t="s">
        <v>28205</v>
      </c>
      <c r="H4269" t="s">
        <v>28214</v>
      </c>
      <c r="I4269" t="s">
        <v>3797</v>
      </c>
      <c r="J4269" t="s">
        <v>31112</v>
      </c>
      <c r="K4269" t="s">
        <v>36701</v>
      </c>
      <c r="M4269" t="s">
        <v>37844</v>
      </c>
      <c r="N4269" t="s">
        <v>40436</v>
      </c>
      <c r="O4269" t="s">
        <v>40437</v>
      </c>
      <c r="P4269">
        <v>0</v>
      </c>
      <c r="Q4269">
        <v>0</v>
      </c>
      <c r="R4269" t="s">
        <v>40439</v>
      </c>
      <c r="S4269" t="s">
        <v>40588</v>
      </c>
      <c r="T4269" t="s">
        <v>42175</v>
      </c>
      <c r="U4269" t="s">
        <v>46268</v>
      </c>
      <c r="W4269" t="s">
        <v>37844</v>
      </c>
      <c r="X4269" t="s">
        <v>40440</v>
      </c>
    </row>
    <row r="4270" spans="1:24">
      <c r="A4270">
        <f>HYPERLINK("https://www.philgeps.gov.ph/GEPSNONPILOT/Tender/SplashBidNoticeAbstractUI.aspx?menuIndex=3&amp;refID=7046568&amp;Result=3","7046568")</f>
        <v>0</v>
      </c>
      <c r="B4270" t="s">
        <v>1516</v>
      </c>
      <c r="C4270" t="s">
        <v>7164</v>
      </c>
      <c r="D4270" t="s">
        <v>16213</v>
      </c>
      <c r="E4270" t="s">
        <v>18093</v>
      </c>
      <c r="F4270" t="s">
        <v>28198</v>
      </c>
      <c r="G4270" t="s">
        <v>28205</v>
      </c>
      <c r="H4270" t="s">
        <v>28214</v>
      </c>
      <c r="I4270" t="s">
        <v>3797</v>
      </c>
      <c r="J4270" t="s">
        <v>28683</v>
      </c>
      <c r="K4270" t="s">
        <v>36717</v>
      </c>
      <c r="M4270" t="s">
        <v>38593</v>
      </c>
      <c r="N4270" t="s">
        <v>40436</v>
      </c>
      <c r="O4270" t="s">
        <v>40437</v>
      </c>
      <c r="P4270">
        <v>0</v>
      </c>
      <c r="Q4270">
        <v>0</v>
      </c>
      <c r="R4270" t="s">
        <v>40439</v>
      </c>
      <c r="S4270" t="s">
        <v>40588</v>
      </c>
      <c r="T4270" t="s">
        <v>42125</v>
      </c>
      <c r="U4270" t="s">
        <v>46269</v>
      </c>
      <c r="W4270" t="s">
        <v>38593</v>
      </c>
      <c r="X4270" t="s">
        <v>40440</v>
      </c>
    </row>
    <row r="4271" spans="1:24">
      <c r="A4271">
        <f>HYPERLINK("https://www.philgeps.gov.ph/GEPSNONPILOT/Tender/SplashBidNoticeAbstractUI.aspx?menuIndex=3&amp;refID=7046575&amp;Result=3","7046575")</f>
        <v>0</v>
      </c>
      <c r="B4271" t="s">
        <v>1541</v>
      </c>
      <c r="C4271" t="s">
        <v>7165</v>
      </c>
      <c r="D4271" t="s">
        <v>16202</v>
      </c>
      <c r="E4271" t="s">
        <v>17400</v>
      </c>
      <c r="F4271" t="s">
        <v>28198</v>
      </c>
      <c r="G4271" t="s">
        <v>28207</v>
      </c>
      <c r="H4271" t="s">
        <v>28215</v>
      </c>
      <c r="I4271" t="s">
        <v>28246</v>
      </c>
      <c r="J4271" t="s">
        <v>31113</v>
      </c>
      <c r="K4271" t="s">
        <v>36707</v>
      </c>
      <c r="M4271" t="s">
        <v>38620</v>
      </c>
      <c r="N4271" t="s">
        <v>40436</v>
      </c>
      <c r="O4271" t="s">
        <v>40437</v>
      </c>
      <c r="P4271">
        <v>0</v>
      </c>
      <c r="Q4271">
        <v>0</v>
      </c>
      <c r="R4271" t="s">
        <v>40439</v>
      </c>
      <c r="S4271" t="s">
        <v>40588</v>
      </c>
      <c r="T4271" t="s">
        <v>42332</v>
      </c>
      <c r="U4271" t="s">
        <v>46270</v>
      </c>
      <c r="V4271" t="s">
        <v>54216</v>
      </c>
      <c r="W4271" t="s">
        <v>38620</v>
      </c>
      <c r="X4271" t="s">
        <v>40440</v>
      </c>
    </row>
    <row r="4272" spans="1:24">
      <c r="A4272">
        <f>HYPERLINK("https://www.philgeps.gov.ph/GEPSNONPILOT/Tender/SplashBidNoticeAbstractUI.aspx?menuIndex=3&amp;refID=7046567&amp;Result=3","7046567")</f>
        <v>0</v>
      </c>
      <c r="B4272" t="s">
        <v>670</v>
      </c>
      <c r="C4272" t="s">
        <v>7166</v>
      </c>
      <c r="E4272" t="s">
        <v>20098</v>
      </c>
      <c r="F4272" t="s">
        <v>28198</v>
      </c>
      <c r="G4272" t="s">
        <v>28205</v>
      </c>
      <c r="H4272" t="s">
        <v>28215</v>
      </c>
      <c r="I4272" t="s">
        <v>28239</v>
      </c>
      <c r="J4272" t="s">
        <v>31114</v>
      </c>
      <c r="K4272" t="s">
        <v>36709</v>
      </c>
      <c r="M4272" t="s">
        <v>37666</v>
      </c>
      <c r="N4272" t="s">
        <v>40436</v>
      </c>
      <c r="O4272" t="s">
        <v>40437</v>
      </c>
      <c r="P4272">
        <v>0</v>
      </c>
      <c r="Q4272">
        <v>9</v>
      </c>
      <c r="R4272" t="s">
        <v>40439</v>
      </c>
      <c r="S4272" t="s">
        <v>40588</v>
      </c>
      <c r="T4272" t="s">
        <v>42248</v>
      </c>
      <c r="U4272" t="s">
        <v>46271</v>
      </c>
      <c r="W4272" t="s">
        <v>37666</v>
      </c>
      <c r="X4272" t="s">
        <v>40440</v>
      </c>
    </row>
    <row r="4273" spans="1:24">
      <c r="A4273">
        <f>HYPERLINK("https://www.philgeps.gov.ph/GEPSNONPILOT/Tender/SplashBidNoticeAbstractUI.aspx?menuIndex=3&amp;refID=7046579&amp;Result=3","7046579")</f>
        <v>0</v>
      </c>
      <c r="B4273" t="s">
        <v>1023</v>
      </c>
      <c r="C4273" t="s">
        <v>7167</v>
      </c>
      <c r="D4273" t="s">
        <v>16265</v>
      </c>
      <c r="E4273" t="s">
        <v>20099</v>
      </c>
      <c r="F4273" t="s">
        <v>28198</v>
      </c>
      <c r="G4273" t="s">
        <v>28205</v>
      </c>
      <c r="H4273" t="s">
        <v>28215</v>
      </c>
      <c r="I4273" t="s">
        <v>28228</v>
      </c>
      <c r="J4273" t="s">
        <v>31115</v>
      </c>
      <c r="K4273" t="s">
        <v>36701</v>
      </c>
      <c r="M4273" t="s">
        <v>38054</v>
      </c>
      <c r="N4273" t="s">
        <v>40436</v>
      </c>
      <c r="O4273" t="s">
        <v>40437</v>
      </c>
      <c r="P4273">
        <v>0</v>
      </c>
      <c r="Q4273">
        <v>0</v>
      </c>
      <c r="R4273" t="s">
        <v>40439</v>
      </c>
      <c r="S4273" t="s">
        <v>40588</v>
      </c>
      <c r="T4273" t="s">
        <v>42108</v>
      </c>
      <c r="U4273" t="s">
        <v>46272</v>
      </c>
      <c r="W4273" t="s">
        <v>38054</v>
      </c>
      <c r="X4273" t="s">
        <v>40440</v>
      </c>
    </row>
    <row r="4274" spans="1:24">
      <c r="A4274">
        <f>HYPERLINK("https://www.philgeps.gov.ph/GEPSNONPILOT/Tender/SplashBidNoticeAbstractUI.aspx?menuIndex=3&amp;refID=7046570&amp;Result=3","7046570")</f>
        <v>0</v>
      </c>
      <c r="B4274" t="s">
        <v>1488</v>
      </c>
      <c r="C4274" t="s">
        <v>7168</v>
      </c>
      <c r="D4274" t="s">
        <v>16226</v>
      </c>
      <c r="E4274" t="s">
        <v>20100</v>
      </c>
      <c r="F4274" t="s">
        <v>28198</v>
      </c>
      <c r="G4274" t="s">
        <v>28207</v>
      </c>
      <c r="H4274" t="s">
        <v>28215</v>
      </c>
      <c r="I4274" t="s">
        <v>5082</v>
      </c>
      <c r="J4274" t="s">
        <v>30171</v>
      </c>
      <c r="K4274" t="s">
        <v>36691</v>
      </c>
      <c r="M4274" t="s">
        <v>38562</v>
      </c>
      <c r="N4274" t="s">
        <v>40436</v>
      </c>
      <c r="O4274" t="s">
        <v>40437</v>
      </c>
      <c r="P4274">
        <v>0</v>
      </c>
      <c r="Q4274">
        <v>0</v>
      </c>
      <c r="R4274" t="s">
        <v>40439</v>
      </c>
      <c r="S4274" t="s">
        <v>40588</v>
      </c>
      <c r="T4274" t="s">
        <v>42158</v>
      </c>
      <c r="U4274" t="s">
        <v>46273</v>
      </c>
      <c r="W4274" t="s">
        <v>38562</v>
      </c>
      <c r="X4274" t="s">
        <v>40440</v>
      </c>
    </row>
    <row r="4275" spans="1:24">
      <c r="A4275">
        <f>HYPERLINK("https://www.philgeps.gov.ph/GEPSNONPILOT/Tender/SplashBidNoticeAbstractUI.aspx?menuIndex=3&amp;refID=7046564&amp;Result=3","7046564")</f>
        <v>0</v>
      </c>
      <c r="B4275" t="s">
        <v>685</v>
      </c>
      <c r="C4275" t="s">
        <v>7169</v>
      </c>
      <c r="D4275" t="s">
        <v>16199</v>
      </c>
      <c r="E4275" t="s">
        <v>20101</v>
      </c>
      <c r="F4275" t="s">
        <v>28198</v>
      </c>
      <c r="G4275" t="s">
        <v>28205</v>
      </c>
      <c r="H4275" t="s">
        <v>28214</v>
      </c>
      <c r="I4275" t="s">
        <v>3797</v>
      </c>
      <c r="J4275" t="s">
        <v>28415</v>
      </c>
      <c r="K4275" t="s">
        <v>36816</v>
      </c>
      <c r="M4275" t="s">
        <v>37684</v>
      </c>
      <c r="N4275" t="s">
        <v>40436</v>
      </c>
      <c r="O4275" t="s">
        <v>40437</v>
      </c>
      <c r="P4275">
        <v>0</v>
      </c>
      <c r="Q4275">
        <v>0</v>
      </c>
      <c r="R4275" t="s">
        <v>40439</v>
      </c>
      <c r="S4275" t="s">
        <v>40588</v>
      </c>
      <c r="T4275" t="s">
        <v>42112</v>
      </c>
      <c r="U4275" t="s">
        <v>46274</v>
      </c>
      <c r="W4275" t="s">
        <v>37684</v>
      </c>
      <c r="X4275" t="s">
        <v>40440</v>
      </c>
    </row>
    <row r="4276" spans="1:24">
      <c r="A4276">
        <f>HYPERLINK("https://www.philgeps.gov.ph/GEPSNONPILOT/Tender/SplashBidNoticeAbstractUI.aspx?menuIndex=3&amp;refID=7046562&amp;Result=3","7046562")</f>
        <v>0</v>
      </c>
      <c r="B4276" t="s">
        <v>1536</v>
      </c>
      <c r="C4276" t="s">
        <v>7170</v>
      </c>
      <c r="D4276" t="s">
        <v>16222</v>
      </c>
      <c r="E4276" t="s">
        <v>20102</v>
      </c>
      <c r="F4276" t="s">
        <v>28198</v>
      </c>
      <c r="G4276" t="s">
        <v>28207</v>
      </c>
      <c r="H4276" t="s">
        <v>28215</v>
      </c>
      <c r="I4276" t="s">
        <v>3422</v>
      </c>
      <c r="J4276" t="s">
        <v>31116</v>
      </c>
      <c r="K4276" t="s">
        <v>36689</v>
      </c>
      <c r="M4276" t="s">
        <v>38614</v>
      </c>
      <c r="N4276" t="s">
        <v>40436</v>
      </c>
      <c r="O4276" t="s">
        <v>40437</v>
      </c>
      <c r="P4276">
        <v>0</v>
      </c>
      <c r="Q4276">
        <v>1</v>
      </c>
      <c r="R4276" t="s">
        <v>40439</v>
      </c>
      <c r="S4276" t="s">
        <v>40588</v>
      </c>
      <c r="T4276" t="s">
        <v>42176</v>
      </c>
      <c r="U4276" t="s">
        <v>46255</v>
      </c>
      <c r="W4276" t="s">
        <v>38614</v>
      </c>
      <c r="X4276" t="s">
        <v>40440</v>
      </c>
    </row>
    <row r="4277" spans="1:24">
      <c r="A4277">
        <f>HYPERLINK("https://www.philgeps.gov.ph/GEPSNONPILOT/Tender/SplashBidNoticeAbstractUI.aspx?menuIndex=3&amp;refID=7046577&amp;Result=3","7046577")</f>
        <v>0</v>
      </c>
      <c r="B4277" t="s">
        <v>1532</v>
      </c>
      <c r="C4277" t="s">
        <v>7171</v>
      </c>
      <c r="D4277" t="s">
        <v>16199</v>
      </c>
      <c r="E4277" t="s">
        <v>16503</v>
      </c>
      <c r="F4277" t="s">
        <v>28198</v>
      </c>
      <c r="G4277" t="s">
        <v>28205</v>
      </c>
      <c r="H4277" t="s">
        <v>28214</v>
      </c>
      <c r="I4277" t="s">
        <v>5100</v>
      </c>
      <c r="J4277" t="s">
        <v>28953</v>
      </c>
      <c r="K4277" t="s">
        <v>36706</v>
      </c>
      <c r="M4277" t="s">
        <v>38610</v>
      </c>
      <c r="N4277" t="s">
        <v>40436</v>
      </c>
      <c r="O4277" t="s">
        <v>40437</v>
      </c>
      <c r="P4277">
        <v>0</v>
      </c>
      <c r="Q4277">
        <v>0</v>
      </c>
      <c r="R4277" t="s">
        <v>40439</v>
      </c>
      <c r="S4277" t="s">
        <v>40588</v>
      </c>
      <c r="T4277" t="s">
        <v>42137</v>
      </c>
      <c r="U4277" t="s">
        <v>46275</v>
      </c>
      <c r="W4277" t="s">
        <v>38610</v>
      </c>
      <c r="X4277" t="s">
        <v>40440</v>
      </c>
    </row>
    <row r="4278" spans="1:24">
      <c r="A4278">
        <f>HYPERLINK("https://www.philgeps.gov.ph/GEPSNONPILOT/Tender/SplashBidNoticeAbstractUI.aspx?menuIndex=3&amp;refID=7046561&amp;Result=3","7046561")</f>
        <v>0</v>
      </c>
      <c r="B4278" t="s">
        <v>832</v>
      </c>
      <c r="C4278" t="s">
        <v>7172</v>
      </c>
      <c r="D4278" t="s">
        <v>16187</v>
      </c>
      <c r="E4278" t="s">
        <v>20103</v>
      </c>
      <c r="F4278" t="s">
        <v>28198</v>
      </c>
      <c r="G4278" t="s">
        <v>28205</v>
      </c>
      <c r="H4278" t="s">
        <v>28214</v>
      </c>
      <c r="I4278" t="s">
        <v>3797</v>
      </c>
      <c r="J4278" t="s">
        <v>31117</v>
      </c>
      <c r="K4278" t="s">
        <v>36701</v>
      </c>
      <c r="M4278" t="s">
        <v>37844</v>
      </c>
      <c r="N4278" t="s">
        <v>40436</v>
      </c>
      <c r="O4278" t="s">
        <v>40437</v>
      </c>
      <c r="P4278">
        <v>0</v>
      </c>
      <c r="Q4278">
        <v>0</v>
      </c>
      <c r="R4278" t="s">
        <v>40439</v>
      </c>
      <c r="S4278" t="s">
        <v>40588</v>
      </c>
      <c r="T4278" t="s">
        <v>42133</v>
      </c>
      <c r="U4278" t="s">
        <v>46276</v>
      </c>
      <c r="W4278" t="s">
        <v>37844</v>
      </c>
      <c r="X4278" t="s">
        <v>40440</v>
      </c>
    </row>
    <row r="4279" spans="1:24">
      <c r="A4279">
        <f>HYPERLINK("https://www.philgeps.gov.ph/GEPSNONPILOT/Tender/SplashBidNoticeAbstractUI.aspx?menuIndex=3&amp;refID=7046559&amp;Result=3","7046559")</f>
        <v>0</v>
      </c>
      <c r="B4279" t="s">
        <v>111</v>
      </c>
      <c r="C4279" t="s">
        <v>7173</v>
      </c>
      <c r="D4279" t="s">
        <v>16232</v>
      </c>
      <c r="E4279" t="s">
        <v>20104</v>
      </c>
      <c r="F4279" t="s">
        <v>28198</v>
      </c>
      <c r="G4279" t="s">
        <v>28207</v>
      </c>
      <c r="H4279" t="s">
        <v>28215</v>
      </c>
      <c r="I4279" t="s">
        <v>6051</v>
      </c>
      <c r="J4279" t="s">
        <v>28661</v>
      </c>
      <c r="K4279" t="s">
        <v>36694</v>
      </c>
      <c r="M4279" t="s">
        <v>37085</v>
      </c>
      <c r="N4279" t="s">
        <v>40436</v>
      </c>
      <c r="O4279" t="s">
        <v>40437</v>
      </c>
      <c r="P4279">
        <v>0</v>
      </c>
      <c r="Q4279">
        <v>2</v>
      </c>
      <c r="R4279" t="s">
        <v>40439</v>
      </c>
      <c r="S4279" t="s">
        <v>40588</v>
      </c>
      <c r="T4279" t="s">
        <v>42111</v>
      </c>
      <c r="U4279" t="s">
        <v>46277</v>
      </c>
      <c r="W4279" t="s">
        <v>37085</v>
      </c>
      <c r="X4279" t="s">
        <v>40440</v>
      </c>
    </row>
    <row r="4280" spans="1:24">
      <c r="A4280">
        <f>HYPERLINK("https://www.philgeps.gov.ph/GEPSNONPILOT/Tender/SplashBidNoticeAbstractUI.aspx?menuIndex=3&amp;refID=7046598&amp;Result=3","7046598")</f>
        <v>0</v>
      </c>
      <c r="B4280" t="s">
        <v>1507</v>
      </c>
      <c r="C4280" t="s">
        <v>7174</v>
      </c>
      <c r="D4280" t="s">
        <v>16200</v>
      </c>
      <c r="E4280" t="s">
        <v>20105</v>
      </c>
      <c r="F4280" t="s">
        <v>28198</v>
      </c>
      <c r="G4280" t="s">
        <v>28207</v>
      </c>
      <c r="H4280" t="s">
        <v>28215</v>
      </c>
      <c r="I4280" t="s">
        <v>28265</v>
      </c>
      <c r="J4280" t="s">
        <v>31118</v>
      </c>
      <c r="K4280" t="s">
        <v>36701</v>
      </c>
      <c r="M4280" t="s">
        <v>38582</v>
      </c>
      <c r="N4280" t="s">
        <v>40436</v>
      </c>
      <c r="O4280" t="s">
        <v>40437</v>
      </c>
      <c r="P4280">
        <v>0</v>
      </c>
      <c r="Q4280">
        <v>0</v>
      </c>
      <c r="R4280" t="s">
        <v>40439</v>
      </c>
      <c r="S4280" t="s">
        <v>40588</v>
      </c>
      <c r="T4280" t="s">
        <v>42161</v>
      </c>
      <c r="U4280" t="s">
        <v>46161</v>
      </c>
      <c r="W4280" t="s">
        <v>38582</v>
      </c>
      <c r="X4280" t="s">
        <v>40440</v>
      </c>
    </row>
    <row r="4281" spans="1:24">
      <c r="A4281">
        <f>HYPERLINK("https://www.philgeps.gov.ph/GEPSNONPILOT/Tender/SplashBidNoticeAbstractUI.aspx?menuIndex=3&amp;refID=7046581&amp;Result=3","7046581")</f>
        <v>0</v>
      </c>
      <c r="B4281" t="s">
        <v>862</v>
      </c>
      <c r="C4281" t="s">
        <v>7175</v>
      </c>
      <c r="D4281" t="s">
        <v>16248</v>
      </c>
      <c r="E4281" t="s">
        <v>20106</v>
      </c>
      <c r="F4281" t="s">
        <v>28198</v>
      </c>
      <c r="G4281" t="s">
        <v>28205</v>
      </c>
      <c r="H4281" t="s">
        <v>28214</v>
      </c>
      <c r="I4281" t="s">
        <v>3797</v>
      </c>
      <c r="J4281" t="s">
        <v>31119</v>
      </c>
      <c r="K4281" t="s">
        <v>36817</v>
      </c>
      <c r="L4281" t="s">
        <v>862</v>
      </c>
      <c r="M4281" t="s">
        <v>37874</v>
      </c>
      <c r="N4281" t="s">
        <v>40436</v>
      </c>
      <c r="O4281" t="s">
        <v>40437</v>
      </c>
      <c r="P4281">
        <v>0</v>
      </c>
      <c r="Q4281">
        <v>0</v>
      </c>
      <c r="R4281" t="s">
        <v>40439</v>
      </c>
      <c r="S4281" t="s">
        <v>40588</v>
      </c>
      <c r="T4281" t="s">
        <v>42106</v>
      </c>
      <c r="U4281" t="s">
        <v>46278</v>
      </c>
      <c r="V4281" t="s">
        <v>54217</v>
      </c>
      <c r="W4281" t="s">
        <v>37874</v>
      </c>
      <c r="X4281" t="s">
        <v>40440</v>
      </c>
    </row>
    <row r="4282" spans="1:24">
      <c r="A4282">
        <f>HYPERLINK("https://www.philgeps.gov.ph/GEPSNONPILOT/Tender/SplashBidNoticeAbstractUI.aspx?menuIndex=3&amp;refID=7046566&amp;Result=3","7046566")</f>
        <v>0</v>
      </c>
      <c r="B4282" t="s">
        <v>1216</v>
      </c>
      <c r="C4282" t="s">
        <v>7176</v>
      </c>
      <c r="D4282" t="s">
        <v>16230</v>
      </c>
      <c r="E4282" t="s">
        <v>20107</v>
      </c>
      <c r="F4282" t="s">
        <v>28198</v>
      </c>
      <c r="G4282" t="s">
        <v>28207</v>
      </c>
      <c r="H4282" t="s">
        <v>28215</v>
      </c>
      <c r="I4282" t="s">
        <v>4200</v>
      </c>
      <c r="J4282" t="s">
        <v>28594</v>
      </c>
      <c r="K4282" t="s">
        <v>36689</v>
      </c>
      <c r="M4282" t="s">
        <v>38261</v>
      </c>
      <c r="N4282" t="s">
        <v>40436</v>
      </c>
      <c r="O4282" t="s">
        <v>40437</v>
      </c>
      <c r="P4282">
        <v>0</v>
      </c>
      <c r="Q4282">
        <v>0</v>
      </c>
      <c r="R4282" t="s">
        <v>40439</v>
      </c>
      <c r="S4282" t="s">
        <v>40588</v>
      </c>
      <c r="T4282" t="s">
        <v>42340</v>
      </c>
      <c r="U4282" t="s">
        <v>46279</v>
      </c>
      <c r="W4282" t="s">
        <v>38261</v>
      </c>
      <c r="X4282" t="s">
        <v>40440</v>
      </c>
    </row>
    <row r="4283" spans="1:24">
      <c r="A4283">
        <f>HYPERLINK("https://www.philgeps.gov.ph/GEPSNONPILOT/Tender/SplashBidNoticeAbstractUI.aspx?menuIndex=3&amp;refID=7046582&amp;Result=3","7046582")</f>
        <v>0</v>
      </c>
      <c r="B4283" t="s">
        <v>1542</v>
      </c>
      <c r="C4283" t="s">
        <v>7177</v>
      </c>
      <c r="D4283" t="s">
        <v>16187</v>
      </c>
      <c r="E4283" t="s">
        <v>20065</v>
      </c>
      <c r="F4283" t="s">
        <v>28198</v>
      </c>
      <c r="G4283" t="s">
        <v>28205</v>
      </c>
      <c r="H4283" t="s">
        <v>28214</v>
      </c>
      <c r="I4283" t="s">
        <v>3797</v>
      </c>
      <c r="J4283" t="s">
        <v>28345</v>
      </c>
      <c r="K4283" t="s">
        <v>36701</v>
      </c>
      <c r="M4283" t="s">
        <v>38621</v>
      </c>
      <c r="N4283" t="s">
        <v>40436</v>
      </c>
      <c r="O4283" t="s">
        <v>40437</v>
      </c>
      <c r="P4283">
        <v>0</v>
      </c>
      <c r="Q4283">
        <v>0</v>
      </c>
      <c r="R4283" t="s">
        <v>40439</v>
      </c>
      <c r="S4283" t="s">
        <v>40588</v>
      </c>
      <c r="T4283" t="s">
        <v>42229</v>
      </c>
      <c r="U4283" t="s">
        <v>46280</v>
      </c>
      <c r="W4283" t="s">
        <v>38621</v>
      </c>
      <c r="X4283" t="s">
        <v>40440</v>
      </c>
    </row>
    <row r="4284" spans="1:24">
      <c r="A4284">
        <f>HYPERLINK("https://www.philgeps.gov.ph/GEPSNONPILOT/Tender/SplashBidNoticeAbstractUI.aspx?menuIndex=3&amp;refID=7046597&amp;Result=3","7046597")</f>
        <v>0</v>
      </c>
      <c r="B4284" t="s">
        <v>1524</v>
      </c>
      <c r="C4284" t="s">
        <v>7178</v>
      </c>
      <c r="D4284" t="s">
        <v>16249</v>
      </c>
      <c r="E4284" t="s">
        <v>20108</v>
      </c>
      <c r="F4284" t="s">
        <v>28198</v>
      </c>
      <c r="G4284" t="s">
        <v>28207</v>
      </c>
      <c r="H4284" t="s">
        <v>28214</v>
      </c>
      <c r="I4284" t="s">
        <v>28255</v>
      </c>
      <c r="J4284" t="s">
        <v>31120</v>
      </c>
      <c r="K4284" t="s">
        <v>36720</v>
      </c>
      <c r="M4284" t="s">
        <v>38602</v>
      </c>
      <c r="N4284" t="s">
        <v>40436</v>
      </c>
      <c r="O4284" t="s">
        <v>40437</v>
      </c>
      <c r="P4284">
        <v>0</v>
      </c>
      <c r="Q4284">
        <v>0</v>
      </c>
      <c r="R4284" t="s">
        <v>40439</v>
      </c>
      <c r="S4284" t="s">
        <v>40588</v>
      </c>
      <c r="T4284" t="s">
        <v>42176</v>
      </c>
      <c r="U4284" t="s">
        <v>46281</v>
      </c>
      <c r="W4284" t="s">
        <v>38602</v>
      </c>
      <c r="X4284" t="s">
        <v>40440</v>
      </c>
    </row>
    <row r="4285" spans="1:24">
      <c r="A4285">
        <f>HYPERLINK("https://www.philgeps.gov.ph/GEPSNONPILOT/Tender/SplashBidNoticeAbstractUI.aspx?menuIndex=3&amp;refID=7046595&amp;Result=3","7046595")</f>
        <v>0</v>
      </c>
      <c r="B4285" t="s">
        <v>1543</v>
      </c>
      <c r="C4285" t="s">
        <v>7179</v>
      </c>
      <c r="D4285" t="s">
        <v>16210</v>
      </c>
      <c r="E4285" t="s">
        <v>20109</v>
      </c>
      <c r="F4285" t="s">
        <v>28198</v>
      </c>
      <c r="G4285" t="s">
        <v>28206</v>
      </c>
      <c r="H4285" t="s">
        <v>28215</v>
      </c>
      <c r="I4285" t="s">
        <v>5082</v>
      </c>
      <c r="J4285" t="s">
        <v>31121</v>
      </c>
      <c r="K4285" t="s">
        <v>36693</v>
      </c>
      <c r="M4285" t="s">
        <v>38622</v>
      </c>
      <c r="N4285" t="s">
        <v>40436</v>
      </c>
      <c r="O4285" t="s">
        <v>40437</v>
      </c>
      <c r="P4285">
        <v>0</v>
      </c>
      <c r="Q4285">
        <v>3</v>
      </c>
      <c r="R4285" t="s">
        <v>40439</v>
      </c>
      <c r="S4285" t="s">
        <v>40588</v>
      </c>
      <c r="T4285" t="s">
        <v>42152</v>
      </c>
      <c r="U4285" t="s">
        <v>43855</v>
      </c>
      <c r="W4285" t="s">
        <v>38622</v>
      </c>
      <c r="X4285" t="s">
        <v>40440</v>
      </c>
    </row>
    <row r="4286" spans="1:24">
      <c r="A4286">
        <f>HYPERLINK("https://www.philgeps.gov.ph/GEPSNONPILOT/Tender/SplashBidNoticeAbstractUI.aspx?menuIndex=3&amp;refID=7046565&amp;Result=3","7046565")</f>
        <v>0</v>
      </c>
      <c r="B4286" t="s">
        <v>1522</v>
      </c>
      <c r="C4286" t="s">
        <v>7180</v>
      </c>
      <c r="D4286" t="s">
        <v>16264</v>
      </c>
      <c r="E4286" t="s">
        <v>20110</v>
      </c>
      <c r="F4286" t="s">
        <v>28198</v>
      </c>
      <c r="G4286" t="s">
        <v>28210</v>
      </c>
      <c r="H4286" t="s">
        <v>28215</v>
      </c>
      <c r="I4286" t="s">
        <v>28234</v>
      </c>
      <c r="J4286" t="s">
        <v>30266</v>
      </c>
      <c r="K4286" t="s">
        <v>36707</v>
      </c>
      <c r="M4286" t="s">
        <v>38600</v>
      </c>
      <c r="N4286" t="s">
        <v>40436</v>
      </c>
      <c r="O4286" t="s">
        <v>40437</v>
      </c>
      <c r="P4286">
        <v>0</v>
      </c>
      <c r="Q4286">
        <v>1</v>
      </c>
      <c r="R4286" t="s">
        <v>40439</v>
      </c>
      <c r="S4286" t="s">
        <v>40588</v>
      </c>
      <c r="T4286" t="s">
        <v>42218</v>
      </c>
      <c r="U4286" t="s">
        <v>46282</v>
      </c>
      <c r="W4286" t="s">
        <v>38600</v>
      </c>
      <c r="X4286" t="s">
        <v>40440</v>
      </c>
    </row>
    <row r="4287" spans="1:24">
      <c r="A4287">
        <f>HYPERLINK("https://www.philgeps.gov.ph/GEPSNONPILOT/Tender/SplashBidNoticeAbstractUI.aspx?menuIndex=3&amp;refID=7046580&amp;Result=3","7046580")</f>
        <v>0</v>
      </c>
      <c r="B4287" t="s">
        <v>1466</v>
      </c>
      <c r="C4287" t="s">
        <v>7181</v>
      </c>
      <c r="D4287" t="s">
        <v>16235</v>
      </c>
      <c r="E4287" t="s">
        <v>20111</v>
      </c>
      <c r="F4287" t="s">
        <v>28198</v>
      </c>
      <c r="G4287" t="s">
        <v>28206</v>
      </c>
      <c r="H4287" t="s">
        <v>28215</v>
      </c>
      <c r="I4287" t="s">
        <v>28220</v>
      </c>
      <c r="J4287" t="s">
        <v>31122</v>
      </c>
      <c r="K4287" t="s">
        <v>36689</v>
      </c>
      <c r="M4287" t="s">
        <v>38536</v>
      </c>
      <c r="N4287" t="s">
        <v>40436</v>
      </c>
      <c r="O4287" t="s">
        <v>40437</v>
      </c>
      <c r="P4287">
        <v>0</v>
      </c>
      <c r="Q4287">
        <v>5</v>
      </c>
      <c r="R4287" t="s">
        <v>40439</v>
      </c>
      <c r="S4287" t="s">
        <v>40588</v>
      </c>
      <c r="T4287" t="s">
        <v>42175</v>
      </c>
      <c r="U4287" t="s">
        <v>46283</v>
      </c>
      <c r="W4287" t="s">
        <v>38536</v>
      </c>
      <c r="X4287" t="s">
        <v>40440</v>
      </c>
    </row>
    <row r="4288" spans="1:24">
      <c r="A4288">
        <f>HYPERLINK("https://www.philgeps.gov.ph/GEPSNONPILOT/Tender/SplashBidNoticeAbstractUI.aspx?menuIndex=3&amp;refID=7046594&amp;Result=3","7046594")</f>
        <v>0</v>
      </c>
      <c r="B4288" t="s">
        <v>745</v>
      </c>
      <c r="C4288" t="s">
        <v>7182</v>
      </c>
      <c r="D4288" t="s">
        <v>16187</v>
      </c>
      <c r="E4288" t="s">
        <v>20112</v>
      </c>
      <c r="F4288" t="s">
        <v>28198</v>
      </c>
      <c r="G4288" t="s">
        <v>28206</v>
      </c>
      <c r="H4288" t="s">
        <v>28217</v>
      </c>
      <c r="I4288" t="s">
        <v>28254</v>
      </c>
      <c r="J4288" t="s">
        <v>28354</v>
      </c>
      <c r="K4288" t="s">
        <v>36688</v>
      </c>
      <c r="M4288" t="s">
        <v>37748</v>
      </c>
      <c r="N4288" t="s">
        <v>40436</v>
      </c>
      <c r="O4288" t="s">
        <v>40437</v>
      </c>
      <c r="P4288">
        <v>0</v>
      </c>
      <c r="Q4288">
        <v>0</v>
      </c>
      <c r="R4288" t="s">
        <v>40439</v>
      </c>
      <c r="S4288" t="s">
        <v>40588</v>
      </c>
      <c r="T4288" t="s">
        <v>42160</v>
      </c>
      <c r="U4288" t="s">
        <v>46284</v>
      </c>
      <c r="W4288" t="s">
        <v>37748</v>
      </c>
      <c r="X4288" t="s">
        <v>40440</v>
      </c>
    </row>
    <row r="4289" spans="1:24">
      <c r="A4289">
        <f>HYPERLINK("https://www.philgeps.gov.ph/GEPSNONPILOT/Tender/SplashBidNoticeAbstractUI.aspx?menuIndex=3&amp;refID=7046589&amp;Result=3","7046589")</f>
        <v>0</v>
      </c>
      <c r="B4289" t="s">
        <v>1047</v>
      </c>
      <c r="C4289" t="s">
        <v>7183</v>
      </c>
      <c r="D4289" t="s">
        <v>16219</v>
      </c>
      <c r="E4289" t="s">
        <v>20113</v>
      </c>
      <c r="F4289" t="s">
        <v>28198</v>
      </c>
      <c r="G4289" t="s">
        <v>28205</v>
      </c>
      <c r="H4289" t="s">
        <v>28215</v>
      </c>
      <c r="I4289" t="s">
        <v>4168</v>
      </c>
      <c r="J4289" t="s">
        <v>28352</v>
      </c>
      <c r="K4289" t="s">
        <v>36689</v>
      </c>
      <c r="M4289" t="s">
        <v>38080</v>
      </c>
      <c r="N4289" t="s">
        <v>40436</v>
      </c>
      <c r="O4289" t="s">
        <v>40437</v>
      </c>
      <c r="P4289">
        <v>0</v>
      </c>
      <c r="Q4289">
        <v>0</v>
      </c>
      <c r="R4289" t="s">
        <v>40439</v>
      </c>
      <c r="S4289" t="s">
        <v>40588</v>
      </c>
      <c r="T4289" t="s">
        <v>42144</v>
      </c>
      <c r="U4289" t="s">
        <v>46160</v>
      </c>
      <c r="W4289" t="s">
        <v>38080</v>
      </c>
      <c r="X4289" t="s">
        <v>40440</v>
      </c>
    </row>
    <row r="4290" spans="1:24">
      <c r="A4290">
        <f>HYPERLINK("https://www.philgeps.gov.ph/GEPSNONPILOT/Tender/SplashBidNoticeAbstractUI.aspx?menuIndex=3&amp;refID=7046602&amp;Result=3","7046602")</f>
        <v>0</v>
      </c>
      <c r="B4290" t="s">
        <v>1540</v>
      </c>
      <c r="C4290" t="s">
        <v>7184</v>
      </c>
      <c r="D4290" t="s">
        <v>16221</v>
      </c>
      <c r="E4290" t="s">
        <v>20114</v>
      </c>
      <c r="F4290" t="s">
        <v>28198</v>
      </c>
      <c r="G4290" t="s">
        <v>28205</v>
      </c>
      <c r="H4290" t="s">
        <v>28215</v>
      </c>
      <c r="I4290" t="s">
        <v>28239</v>
      </c>
      <c r="J4290" t="s">
        <v>29160</v>
      </c>
      <c r="K4290" t="s">
        <v>36706</v>
      </c>
      <c r="M4290" t="s">
        <v>38619</v>
      </c>
      <c r="N4290" t="s">
        <v>40436</v>
      </c>
      <c r="O4290" t="s">
        <v>40437</v>
      </c>
      <c r="P4290">
        <v>0</v>
      </c>
      <c r="Q4290">
        <v>2</v>
      </c>
      <c r="R4290" t="s">
        <v>40439</v>
      </c>
      <c r="S4290" t="s">
        <v>40588</v>
      </c>
      <c r="T4290" t="s">
        <v>42134</v>
      </c>
      <c r="U4290" t="s">
        <v>46285</v>
      </c>
      <c r="W4290" t="s">
        <v>38619</v>
      </c>
      <c r="X4290" t="s">
        <v>40440</v>
      </c>
    </row>
    <row r="4291" spans="1:24">
      <c r="A4291">
        <f>HYPERLINK("https://www.philgeps.gov.ph/GEPSNONPILOT/Tender/SplashBidNoticeAbstractUI.aspx?menuIndex=3&amp;refID=7046593&amp;Result=3","7046593")</f>
        <v>0</v>
      </c>
      <c r="B4291" t="s">
        <v>1039</v>
      </c>
      <c r="C4291" t="s">
        <v>7185</v>
      </c>
      <c r="D4291" t="s">
        <v>16255</v>
      </c>
      <c r="E4291" t="s">
        <v>20115</v>
      </c>
      <c r="F4291" t="s">
        <v>28198</v>
      </c>
      <c r="G4291" t="s">
        <v>28207</v>
      </c>
      <c r="H4291" t="s">
        <v>28215</v>
      </c>
      <c r="I4291" t="s">
        <v>4222</v>
      </c>
      <c r="J4291" t="s">
        <v>31123</v>
      </c>
      <c r="K4291" t="s">
        <v>36701</v>
      </c>
      <c r="M4291" t="s">
        <v>38071</v>
      </c>
      <c r="N4291" t="s">
        <v>40436</v>
      </c>
      <c r="O4291" t="s">
        <v>40437</v>
      </c>
      <c r="P4291">
        <v>0</v>
      </c>
      <c r="Q4291">
        <v>1</v>
      </c>
      <c r="R4291" t="s">
        <v>40439</v>
      </c>
      <c r="S4291" t="s">
        <v>40588</v>
      </c>
      <c r="T4291" t="s">
        <v>42158</v>
      </c>
      <c r="U4291" t="s">
        <v>46286</v>
      </c>
      <c r="W4291" t="s">
        <v>38071</v>
      </c>
      <c r="X4291" t="s">
        <v>40440</v>
      </c>
    </row>
    <row r="4292" spans="1:24">
      <c r="A4292">
        <f>HYPERLINK("https://www.philgeps.gov.ph/GEPSNONPILOT/Tender/SplashBidNoticeAbstractUI.aspx?menuIndex=3&amp;refID=7046588&amp;Result=3","7046588")</f>
        <v>0</v>
      </c>
      <c r="B4292" t="s">
        <v>704</v>
      </c>
      <c r="C4292" t="s">
        <v>7186</v>
      </c>
      <c r="D4292" t="s">
        <v>16200</v>
      </c>
      <c r="E4292" t="s">
        <v>20116</v>
      </c>
      <c r="F4292" t="s">
        <v>28198</v>
      </c>
      <c r="G4292" t="s">
        <v>28210</v>
      </c>
      <c r="H4292" t="s">
        <v>28215</v>
      </c>
      <c r="I4292" t="s">
        <v>4219</v>
      </c>
      <c r="J4292" t="s">
        <v>31124</v>
      </c>
      <c r="K4292" t="s">
        <v>36688</v>
      </c>
      <c r="M4292" t="s">
        <v>37704</v>
      </c>
      <c r="N4292" t="s">
        <v>40436</v>
      </c>
      <c r="O4292" t="s">
        <v>40437</v>
      </c>
      <c r="P4292">
        <v>0</v>
      </c>
      <c r="Q4292">
        <v>2</v>
      </c>
      <c r="R4292" t="s">
        <v>40439</v>
      </c>
      <c r="S4292" t="s">
        <v>40588</v>
      </c>
      <c r="T4292" t="s">
        <v>42131</v>
      </c>
      <c r="U4292" t="s">
        <v>43915</v>
      </c>
      <c r="V4292" t="s">
        <v>53955</v>
      </c>
      <c r="W4292" t="s">
        <v>37704</v>
      </c>
      <c r="X4292" t="s">
        <v>40440</v>
      </c>
    </row>
    <row r="4293" spans="1:24">
      <c r="A4293">
        <f>HYPERLINK("https://www.philgeps.gov.ph/GEPSNONPILOT/Tender/SplashBidNoticeAbstractUI.aspx?menuIndex=3&amp;refID=7046601&amp;Result=3","7046601")</f>
        <v>0</v>
      </c>
      <c r="B4293" t="s">
        <v>892</v>
      </c>
      <c r="C4293" t="s">
        <v>7187</v>
      </c>
      <c r="D4293" t="s">
        <v>16195</v>
      </c>
      <c r="E4293" t="s">
        <v>20117</v>
      </c>
      <c r="F4293" t="s">
        <v>28198</v>
      </c>
      <c r="G4293" t="s">
        <v>28205</v>
      </c>
      <c r="H4293" t="s">
        <v>28215</v>
      </c>
      <c r="I4293" t="s">
        <v>28256</v>
      </c>
      <c r="J4293" t="s">
        <v>31125</v>
      </c>
      <c r="K4293" t="s">
        <v>36689</v>
      </c>
      <c r="M4293" t="s">
        <v>37908</v>
      </c>
      <c r="N4293" t="s">
        <v>40436</v>
      </c>
      <c r="O4293" t="s">
        <v>40437</v>
      </c>
      <c r="P4293">
        <v>0</v>
      </c>
      <c r="Q4293">
        <v>48</v>
      </c>
      <c r="R4293" t="s">
        <v>40439</v>
      </c>
      <c r="S4293" t="s">
        <v>40588</v>
      </c>
      <c r="T4293" t="s">
        <v>42106</v>
      </c>
      <c r="U4293" t="s">
        <v>46287</v>
      </c>
      <c r="W4293" t="s">
        <v>37908</v>
      </c>
      <c r="X4293" t="s">
        <v>40440</v>
      </c>
    </row>
    <row r="4294" spans="1:24">
      <c r="A4294">
        <f>HYPERLINK("https://www.philgeps.gov.ph/GEPSNONPILOT/Tender/SplashBidNoticeAbstractUI.aspx?menuIndex=3&amp;refID=7046590&amp;Result=3","7046590")</f>
        <v>0</v>
      </c>
      <c r="B4294" t="s">
        <v>1544</v>
      </c>
      <c r="C4294" t="s">
        <v>7188</v>
      </c>
      <c r="D4294" t="s">
        <v>16207</v>
      </c>
      <c r="E4294" t="s">
        <v>7188</v>
      </c>
      <c r="F4294" t="s">
        <v>28198</v>
      </c>
      <c r="G4294" t="s">
        <v>28205</v>
      </c>
      <c r="H4294" t="s">
        <v>28215</v>
      </c>
      <c r="I4294" t="s">
        <v>28222</v>
      </c>
      <c r="J4294" t="s">
        <v>28730</v>
      </c>
      <c r="K4294" t="s">
        <v>36707</v>
      </c>
      <c r="M4294" t="s">
        <v>38623</v>
      </c>
      <c r="N4294" t="s">
        <v>40436</v>
      </c>
      <c r="O4294" t="s">
        <v>40437</v>
      </c>
      <c r="P4294">
        <v>0</v>
      </c>
      <c r="Q4294">
        <v>7</v>
      </c>
      <c r="R4294" t="s">
        <v>40439</v>
      </c>
      <c r="S4294" t="s">
        <v>40588</v>
      </c>
      <c r="T4294" t="s">
        <v>42135</v>
      </c>
      <c r="U4294" t="s">
        <v>46288</v>
      </c>
      <c r="W4294" t="s">
        <v>38623</v>
      </c>
      <c r="X4294" t="s">
        <v>40440</v>
      </c>
    </row>
    <row r="4295" spans="1:24">
      <c r="A4295">
        <f>HYPERLINK("https://www.philgeps.gov.ph/GEPSNONPILOT/Tender/SplashBidNoticeAbstractUI.aspx?menuIndex=3&amp;refID=7046591&amp;Result=3","7046591")</f>
        <v>0</v>
      </c>
      <c r="B4295" t="s">
        <v>1533</v>
      </c>
      <c r="C4295" t="s">
        <v>7189</v>
      </c>
      <c r="D4295" t="s">
        <v>16236</v>
      </c>
      <c r="E4295" t="s">
        <v>20118</v>
      </c>
      <c r="F4295" t="s">
        <v>28198</v>
      </c>
      <c r="G4295" t="s">
        <v>28207</v>
      </c>
      <c r="H4295" t="s">
        <v>28215</v>
      </c>
      <c r="I4295" t="s">
        <v>28284</v>
      </c>
      <c r="J4295" t="s">
        <v>28414</v>
      </c>
      <c r="K4295" t="s">
        <v>36691</v>
      </c>
      <c r="M4295" t="s">
        <v>38611</v>
      </c>
      <c r="N4295" t="s">
        <v>40436</v>
      </c>
      <c r="O4295" t="s">
        <v>40437</v>
      </c>
      <c r="P4295">
        <v>0</v>
      </c>
      <c r="Q4295">
        <v>0</v>
      </c>
      <c r="R4295" t="s">
        <v>40439</v>
      </c>
      <c r="S4295" t="s">
        <v>40588</v>
      </c>
      <c r="T4295" t="s">
        <v>42216</v>
      </c>
      <c r="U4295" t="s">
        <v>46289</v>
      </c>
      <c r="V4295" t="s">
        <v>54211</v>
      </c>
      <c r="W4295" t="s">
        <v>38611</v>
      </c>
      <c r="X4295" t="s">
        <v>40440</v>
      </c>
    </row>
    <row r="4296" spans="1:24">
      <c r="A4296">
        <f>HYPERLINK("https://www.philgeps.gov.ph/GEPSNONPILOT/Tender/SplashBidNoticeAbstractUI.aspx?menuIndex=3&amp;refID=7046584&amp;Result=3","7046584")</f>
        <v>0</v>
      </c>
      <c r="B4296" t="s">
        <v>751</v>
      </c>
      <c r="C4296" t="s">
        <v>7190</v>
      </c>
      <c r="D4296" t="s">
        <v>16187</v>
      </c>
      <c r="E4296" t="s">
        <v>7190</v>
      </c>
      <c r="F4296" t="s">
        <v>28198</v>
      </c>
      <c r="G4296" t="s">
        <v>28207</v>
      </c>
      <c r="H4296" t="s">
        <v>28215</v>
      </c>
      <c r="I4296" t="s">
        <v>28225</v>
      </c>
      <c r="J4296" t="s">
        <v>31126</v>
      </c>
      <c r="K4296" t="s">
        <v>36689</v>
      </c>
      <c r="M4296" t="s">
        <v>37754</v>
      </c>
      <c r="N4296" t="s">
        <v>40436</v>
      </c>
      <c r="O4296" t="s">
        <v>40437</v>
      </c>
      <c r="P4296">
        <v>0</v>
      </c>
      <c r="Q4296">
        <v>1</v>
      </c>
      <c r="R4296" t="s">
        <v>40439</v>
      </c>
      <c r="S4296" t="s">
        <v>40588</v>
      </c>
      <c r="T4296" t="s">
        <v>42131</v>
      </c>
      <c r="U4296" t="s">
        <v>44037</v>
      </c>
      <c r="W4296" t="s">
        <v>37754</v>
      </c>
      <c r="X4296" t="s">
        <v>40440</v>
      </c>
    </row>
    <row r="4297" spans="1:24">
      <c r="A4297">
        <f>HYPERLINK("https://www.philgeps.gov.ph/GEPSNONPILOT/Tender/SplashBidNoticeAbstractUI.aspx?menuIndex=3&amp;refID=7046614&amp;Result=3","7046614")</f>
        <v>0</v>
      </c>
      <c r="B4297" t="s">
        <v>176</v>
      </c>
      <c r="C4297" t="s">
        <v>7133</v>
      </c>
      <c r="D4297" t="s">
        <v>16217</v>
      </c>
      <c r="E4297" t="s">
        <v>20119</v>
      </c>
      <c r="F4297" t="s">
        <v>28198</v>
      </c>
      <c r="G4297" t="s">
        <v>28207</v>
      </c>
      <c r="H4297" t="s">
        <v>28215</v>
      </c>
      <c r="I4297" t="s">
        <v>28225</v>
      </c>
      <c r="J4297" t="s">
        <v>31127</v>
      </c>
      <c r="K4297" t="s">
        <v>36706</v>
      </c>
      <c r="M4297" t="s">
        <v>37150</v>
      </c>
      <c r="N4297" t="s">
        <v>40436</v>
      </c>
      <c r="O4297" t="s">
        <v>40437</v>
      </c>
      <c r="P4297">
        <v>0</v>
      </c>
      <c r="Q4297">
        <v>1</v>
      </c>
      <c r="R4297" t="s">
        <v>40439</v>
      </c>
      <c r="S4297" t="s">
        <v>40588</v>
      </c>
      <c r="T4297" t="s">
        <v>42112</v>
      </c>
      <c r="U4297" t="s">
        <v>46290</v>
      </c>
      <c r="W4297" t="s">
        <v>37150</v>
      </c>
      <c r="X4297" t="s">
        <v>40440</v>
      </c>
    </row>
    <row r="4298" spans="1:24">
      <c r="A4298">
        <f>HYPERLINK("https://www.philgeps.gov.ph/GEPSNONPILOT/Tender/SplashBidNoticeAbstractUI.aspx?menuIndex=3&amp;refID=7046615&amp;Result=3","7046615")</f>
        <v>0</v>
      </c>
      <c r="B4298" t="s">
        <v>169</v>
      </c>
      <c r="C4298" t="s">
        <v>7191</v>
      </c>
      <c r="D4298" t="s">
        <v>16243</v>
      </c>
      <c r="E4298" t="s">
        <v>20120</v>
      </c>
      <c r="F4298" t="s">
        <v>28198</v>
      </c>
      <c r="G4298" t="s">
        <v>28205</v>
      </c>
      <c r="H4298" t="s">
        <v>28214</v>
      </c>
      <c r="I4298" t="s">
        <v>3797</v>
      </c>
      <c r="J4298" t="s">
        <v>31128</v>
      </c>
      <c r="K4298" t="s">
        <v>36818</v>
      </c>
      <c r="M4298" t="s">
        <v>37143</v>
      </c>
      <c r="N4298" t="s">
        <v>40436</v>
      </c>
      <c r="O4298" t="s">
        <v>40437</v>
      </c>
      <c r="P4298">
        <v>0</v>
      </c>
      <c r="Q4298">
        <v>0</v>
      </c>
      <c r="R4298" t="s">
        <v>40439</v>
      </c>
      <c r="S4298" t="s">
        <v>40588</v>
      </c>
      <c r="T4298" t="s">
        <v>42107</v>
      </c>
      <c r="U4298" t="s">
        <v>46291</v>
      </c>
      <c r="W4298" t="s">
        <v>37143</v>
      </c>
      <c r="X4298" t="s">
        <v>40440</v>
      </c>
    </row>
    <row r="4299" spans="1:24">
      <c r="A4299">
        <f>HYPERLINK("https://www.philgeps.gov.ph/GEPSNONPILOT/Tender/SplashBidNoticeAbstractUI.aspx?menuIndex=3&amp;refID=7046600&amp;Result=3","7046600")</f>
        <v>0</v>
      </c>
      <c r="B4299" t="s">
        <v>1216</v>
      </c>
      <c r="C4299" t="s">
        <v>7192</v>
      </c>
      <c r="D4299" t="s">
        <v>16230</v>
      </c>
      <c r="E4299" t="s">
        <v>20121</v>
      </c>
      <c r="F4299" t="s">
        <v>28198</v>
      </c>
      <c r="G4299" t="s">
        <v>28207</v>
      </c>
      <c r="H4299" t="s">
        <v>28215</v>
      </c>
      <c r="I4299" t="s">
        <v>28238</v>
      </c>
      <c r="J4299" t="s">
        <v>28373</v>
      </c>
      <c r="K4299" t="s">
        <v>36689</v>
      </c>
      <c r="M4299" t="s">
        <v>38261</v>
      </c>
      <c r="N4299" t="s">
        <v>40436</v>
      </c>
      <c r="O4299" t="s">
        <v>40437</v>
      </c>
      <c r="P4299">
        <v>0</v>
      </c>
      <c r="Q4299">
        <v>1</v>
      </c>
      <c r="R4299" t="s">
        <v>40439</v>
      </c>
      <c r="S4299" t="s">
        <v>40588</v>
      </c>
      <c r="T4299" t="s">
        <v>42340</v>
      </c>
      <c r="U4299" t="s">
        <v>46292</v>
      </c>
      <c r="W4299" t="s">
        <v>38261</v>
      </c>
      <c r="X4299" t="s">
        <v>40440</v>
      </c>
    </row>
    <row r="4300" spans="1:24">
      <c r="A4300">
        <f>HYPERLINK("https://www.philgeps.gov.ph/GEPSNONPILOT/Tender/SplashBidNoticeAbstractUI.aspx?menuIndex=3&amp;refID=7046585&amp;Result=3","7046585")</f>
        <v>0</v>
      </c>
      <c r="B4300" t="s">
        <v>1409</v>
      </c>
      <c r="C4300" t="s">
        <v>7193</v>
      </c>
      <c r="D4300" t="s">
        <v>16196</v>
      </c>
      <c r="E4300" t="s">
        <v>20122</v>
      </c>
      <c r="F4300" t="s">
        <v>28198</v>
      </c>
      <c r="G4300" t="s">
        <v>28207</v>
      </c>
      <c r="H4300" t="s">
        <v>28215</v>
      </c>
      <c r="I4300" t="s">
        <v>28257</v>
      </c>
      <c r="J4300" t="s">
        <v>28691</v>
      </c>
      <c r="K4300" t="s">
        <v>36689</v>
      </c>
      <c r="M4300" t="s">
        <v>38474</v>
      </c>
      <c r="N4300" t="s">
        <v>40436</v>
      </c>
      <c r="O4300" t="s">
        <v>40437</v>
      </c>
      <c r="P4300">
        <v>0</v>
      </c>
      <c r="Q4300">
        <v>1</v>
      </c>
      <c r="R4300" t="s">
        <v>40439</v>
      </c>
      <c r="S4300" t="s">
        <v>40588</v>
      </c>
      <c r="T4300" t="s">
        <v>42352</v>
      </c>
      <c r="U4300" t="s">
        <v>46293</v>
      </c>
      <c r="W4300" t="s">
        <v>38474</v>
      </c>
      <c r="X4300" t="s">
        <v>40440</v>
      </c>
    </row>
    <row r="4301" spans="1:24">
      <c r="A4301">
        <f>HYPERLINK("https://www.philgeps.gov.ph/GEPSNONPILOT/Tender/SplashBidNoticeAbstractUI.aspx?menuIndex=3&amp;refID=7046609&amp;Result=3","7046609")</f>
        <v>0</v>
      </c>
      <c r="B4301" t="s">
        <v>704</v>
      </c>
      <c r="C4301" t="s">
        <v>7194</v>
      </c>
      <c r="D4301" t="s">
        <v>16200</v>
      </c>
      <c r="E4301" t="s">
        <v>20123</v>
      </c>
      <c r="F4301" t="s">
        <v>28198</v>
      </c>
      <c r="G4301" t="s">
        <v>28206</v>
      </c>
      <c r="H4301" t="s">
        <v>28215</v>
      </c>
      <c r="I4301" t="s">
        <v>5082</v>
      </c>
      <c r="J4301" t="s">
        <v>31129</v>
      </c>
      <c r="K4301" t="s">
        <v>36688</v>
      </c>
      <c r="M4301" t="s">
        <v>37704</v>
      </c>
      <c r="N4301" t="s">
        <v>40436</v>
      </c>
      <c r="O4301" t="s">
        <v>40437</v>
      </c>
      <c r="P4301">
        <v>0</v>
      </c>
      <c r="Q4301">
        <v>3</v>
      </c>
      <c r="R4301" t="s">
        <v>40439</v>
      </c>
      <c r="S4301" t="s">
        <v>40588</v>
      </c>
      <c r="T4301" t="s">
        <v>42131</v>
      </c>
      <c r="U4301" t="s">
        <v>43915</v>
      </c>
      <c r="W4301" t="s">
        <v>37704</v>
      </c>
      <c r="X4301" t="s">
        <v>40440</v>
      </c>
    </row>
    <row r="4302" spans="1:24">
      <c r="A4302">
        <f>HYPERLINK("https://www.philgeps.gov.ph/GEPSNONPILOT/Tender/SplashBidNoticeAbstractUI.aspx?menuIndex=3&amp;refID=7046611&amp;Result=3","7046611")</f>
        <v>0</v>
      </c>
      <c r="B4302" t="s">
        <v>1216</v>
      </c>
      <c r="C4302" t="s">
        <v>7195</v>
      </c>
      <c r="D4302" t="s">
        <v>16230</v>
      </c>
      <c r="E4302" t="s">
        <v>20124</v>
      </c>
      <c r="F4302" t="s">
        <v>28198</v>
      </c>
      <c r="G4302" t="s">
        <v>28207</v>
      </c>
      <c r="H4302" t="s">
        <v>28215</v>
      </c>
      <c r="I4302" t="s">
        <v>28243</v>
      </c>
      <c r="J4302" t="s">
        <v>28373</v>
      </c>
      <c r="K4302" t="s">
        <v>36689</v>
      </c>
      <c r="M4302" t="s">
        <v>38261</v>
      </c>
      <c r="N4302" t="s">
        <v>40436</v>
      </c>
      <c r="O4302" t="s">
        <v>40437</v>
      </c>
      <c r="P4302">
        <v>0</v>
      </c>
      <c r="Q4302">
        <v>1</v>
      </c>
      <c r="R4302" t="s">
        <v>40439</v>
      </c>
      <c r="S4302" t="s">
        <v>40588</v>
      </c>
      <c r="T4302" t="s">
        <v>42340</v>
      </c>
      <c r="U4302" t="s">
        <v>46294</v>
      </c>
      <c r="W4302" t="s">
        <v>38261</v>
      </c>
      <c r="X4302" t="s">
        <v>40440</v>
      </c>
    </row>
    <row r="4303" spans="1:24">
      <c r="A4303">
        <f>HYPERLINK("https://www.philgeps.gov.ph/GEPSNONPILOT/Tender/SplashBidNoticeAbstractUI.aspx?menuIndex=3&amp;refID=7046608&amp;Result=3","7046608")</f>
        <v>0</v>
      </c>
      <c r="B4303" t="s">
        <v>862</v>
      </c>
      <c r="C4303" t="s">
        <v>7196</v>
      </c>
      <c r="D4303" t="s">
        <v>16248</v>
      </c>
      <c r="E4303" t="s">
        <v>20125</v>
      </c>
      <c r="F4303" t="s">
        <v>28198</v>
      </c>
      <c r="G4303" t="s">
        <v>28205</v>
      </c>
      <c r="H4303" t="s">
        <v>28214</v>
      </c>
      <c r="I4303" t="s">
        <v>3797</v>
      </c>
      <c r="J4303" t="s">
        <v>31130</v>
      </c>
      <c r="K4303" t="s">
        <v>36819</v>
      </c>
      <c r="L4303" t="s">
        <v>862</v>
      </c>
      <c r="M4303" t="s">
        <v>37874</v>
      </c>
      <c r="N4303" t="s">
        <v>40436</v>
      </c>
      <c r="O4303" t="s">
        <v>40437</v>
      </c>
      <c r="P4303">
        <v>0</v>
      </c>
      <c r="Q4303">
        <v>0</v>
      </c>
      <c r="R4303" t="s">
        <v>40439</v>
      </c>
      <c r="S4303" t="s">
        <v>40588</v>
      </c>
      <c r="T4303" t="s">
        <v>42106</v>
      </c>
      <c r="U4303" t="s">
        <v>46295</v>
      </c>
      <c r="V4303" t="s">
        <v>54218</v>
      </c>
      <c r="W4303" t="s">
        <v>37874</v>
      </c>
      <c r="X4303" t="s">
        <v>40440</v>
      </c>
    </row>
    <row r="4304" spans="1:24">
      <c r="A4304">
        <f>HYPERLINK("https://www.philgeps.gov.ph/GEPSNONPILOT/Tender/SplashBidNoticeAbstractUI.aspx?menuIndex=3&amp;refID=7046603&amp;Result=3","7046603")</f>
        <v>0</v>
      </c>
      <c r="B4304" t="s">
        <v>1545</v>
      </c>
      <c r="C4304" t="s">
        <v>7197</v>
      </c>
      <c r="D4304" t="s">
        <v>16199</v>
      </c>
      <c r="E4304" t="s">
        <v>20126</v>
      </c>
      <c r="F4304" t="s">
        <v>28198</v>
      </c>
      <c r="G4304" t="s">
        <v>28206</v>
      </c>
      <c r="H4304" t="s">
        <v>28215</v>
      </c>
      <c r="I4304" t="s">
        <v>4168</v>
      </c>
      <c r="J4304" t="s">
        <v>29016</v>
      </c>
      <c r="K4304" t="s">
        <v>36688</v>
      </c>
      <c r="M4304" t="s">
        <v>38624</v>
      </c>
      <c r="N4304" t="s">
        <v>40436</v>
      </c>
      <c r="O4304" t="s">
        <v>40437</v>
      </c>
      <c r="P4304">
        <v>0</v>
      </c>
      <c r="Q4304">
        <v>4</v>
      </c>
      <c r="R4304" t="s">
        <v>40439</v>
      </c>
      <c r="S4304" t="s">
        <v>40588</v>
      </c>
      <c r="T4304" t="s">
        <v>42184</v>
      </c>
      <c r="U4304" t="s">
        <v>46296</v>
      </c>
      <c r="W4304" t="s">
        <v>38624</v>
      </c>
      <c r="X4304" t="s">
        <v>40440</v>
      </c>
    </row>
    <row r="4305" spans="1:24">
      <c r="A4305">
        <f>HYPERLINK("https://www.philgeps.gov.ph/GEPSNONPILOT/Tender/SplashBidNoticeAbstractUI.aspx?menuIndex=3&amp;refID=7046606&amp;Result=3","7046606")</f>
        <v>0</v>
      </c>
      <c r="B4305" t="s">
        <v>748</v>
      </c>
      <c r="C4305" t="s">
        <v>7198</v>
      </c>
      <c r="D4305" t="s">
        <v>16203</v>
      </c>
      <c r="E4305" t="s">
        <v>20127</v>
      </c>
      <c r="F4305" t="s">
        <v>28198</v>
      </c>
      <c r="G4305" t="s">
        <v>28207</v>
      </c>
      <c r="H4305" t="s">
        <v>28215</v>
      </c>
      <c r="I4305" t="s">
        <v>28224</v>
      </c>
      <c r="J4305" t="s">
        <v>31131</v>
      </c>
      <c r="K4305" t="s">
        <v>36707</v>
      </c>
      <c r="M4305" t="s">
        <v>38625</v>
      </c>
      <c r="N4305" t="s">
        <v>40436</v>
      </c>
      <c r="O4305" t="s">
        <v>40437</v>
      </c>
      <c r="P4305">
        <v>0</v>
      </c>
      <c r="Q4305">
        <v>1</v>
      </c>
      <c r="R4305" t="s">
        <v>40439</v>
      </c>
      <c r="S4305" t="s">
        <v>40588</v>
      </c>
      <c r="T4305" t="s">
        <v>42158</v>
      </c>
      <c r="U4305" t="s">
        <v>46297</v>
      </c>
      <c r="W4305" t="s">
        <v>38625</v>
      </c>
      <c r="X4305" t="s">
        <v>40440</v>
      </c>
    </row>
    <row r="4306" spans="1:24">
      <c r="A4306">
        <f>HYPERLINK("https://www.philgeps.gov.ph/GEPSNONPILOT/Tender/SplashBidNoticeAbstractUI.aspx?menuIndex=3&amp;refID=7046612&amp;Result=3","7046612")</f>
        <v>0</v>
      </c>
      <c r="B4306" t="s">
        <v>1532</v>
      </c>
      <c r="C4306" t="s">
        <v>7199</v>
      </c>
      <c r="D4306" t="s">
        <v>16199</v>
      </c>
      <c r="E4306" t="s">
        <v>16510</v>
      </c>
      <c r="F4306" t="s">
        <v>28198</v>
      </c>
      <c r="G4306" t="s">
        <v>28205</v>
      </c>
      <c r="H4306" t="s">
        <v>28214</v>
      </c>
      <c r="I4306" t="s">
        <v>5100</v>
      </c>
      <c r="J4306" t="s">
        <v>29598</v>
      </c>
      <c r="K4306" t="s">
        <v>36706</v>
      </c>
      <c r="M4306" t="s">
        <v>38610</v>
      </c>
      <c r="N4306" t="s">
        <v>40436</v>
      </c>
      <c r="O4306" t="s">
        <v>40437</v>
      </c>
      <c r="P4306">
        <v>0</v>
      </c>
      <c r="Q4306">
        <v>0</v>
      </c>
      <c r="R4306" t="s">
        <v>40439</v>
      </c>
      <c r="S4306" t="s">
        <v>40588</v>
      </c>
      <c r="T4306" t="s">
        <v>42152</v>
      </c>
      <c r="U4306" t="s">
        <v>46298</v>
      </c>
      <c r="W4306" t="s">
        <v>38610</v>
      </c>
      <c r="X4306" t="s">
        <v>40440</v>
      </c>
    </row>
    <row r="4307" spans="1:24">
      <c r="A4307">
        <f>HYPERLINK("https://www.philgeps.gov.ph/GEPSNONPILOT/Tender/SplashBidNoticeAbstractUI.aspx?menuIndex=3&amp;refID=7046623&amp;Result=3","7046623")</f>
        <v>0</v>
      </c>
      <c r="B4307" t="s">
        <v>1046</v>
      </c>
      <c r="C4307" t="s">
        <v>7200</v>
      </c>
      <c r="D4307" t="s">
        <v>16189</v>
      </c>
      <c r="E4307" t="s">
        <v>20128</v>
      </c>
      <c r="F4307" t="s">
        <v>28198</v>
      </c>
      <c r="G4307" t="s">
        <v>28206</v>
      </c>
      <c r="H4307" t="s">
        <v>28215</v>
      </c>
      <c r="I4307" t="s">
        <v>4168</v>
      </c>
      <c r="J4307" t="s">
        <v>31132</v>
      </c>
      <c r="K4307" t="s">
        <v>36689</v>
      </c>
      <c r="M4307" t="s">
        <v>38079</v>
      </c>
      <c r="N4307" t="s">
        <v>40436</v>
      </c>
      <c r="O4307" t="s">
        <v>40437</v>
      </c>
      <c r="P4307">
        <v>0</v>
      </c>
      <c r="Q4307">
        <v>3</v>
      </c>
      <c r="R4307" t="s">
        <v>40439</v>
      </c>
      <c r="S4307" t="s">
        <v>40588</v>
      </c>
      <c r="T4307" t="s">
        <v>42190</v>
      </c>
      <c r="U4307" t="s">
        <v>46299</v>
      </c>
      <c r="V4307" t="s">
        <v>54078</v>
      </c>
      <c r="W4307" t="s">
        <v>38079</v>
      </c>
      <c r="X4307" t="s">
        <v>40440</v>
      </c>
    </row>
    <row r="4308" spans="1:24">
      <c r="A4308">
        <f>HYPERLINK("https://www.philgeps.gov.ph/GEPSNONPILOT/Tender/SplashBidNoticeAbstractUI.aspx?menuIndex=3&amp;refID=7046583&amp;Result=3","7046583")</f>
        <v>0</v>
      </c>
      <c r="B4308" t="s">
        <v>401</v>
      </c>
      <c r="C4308" t="s">
        <v>7201</v>
      </c>
      <c r="D4308" t="s">
        <v>16223</v>
      </c>
      <c r="E4308" t="s">
        <v>17018</v>
      </c>
      <c r="F4308" t="s">
        <v>28198</v>
      </c>
      <c r="G4308" t="s">
        <v>28207</v>
      </c>
      <c r="H4308" t="s">
        <v>28215</v>
      </c>
      <c r="I4308" t="s">
        <v>28269</v>
      </c>
      <c r="J4308" t="s">
        <v>30041</v>
      </c>
      <c r="K4308" t="s">
        <v>36691</v>
      </c>
      <c r="M4308" t="s">
        <v>37382</v>
      </c>
      <c r="N4308" t="s">
        <v>40436</v>
      </c>
      <c r="O4308" t="s">
        <v>40437</v>
      </c>
      <c r="P4308">
        <v>0</v>
      </c>
      <c r="Q4308">
        <v>0</v>
      </c>
      <c r="R4308" t="s">
        <v>40439</v>
      </c>
      <c r="S4308" t="s">
        <v>40588</v>
      </c>
      <c r="T4308" t="s">
        <v>42158</v>
      </c>
      <c r="U4308" t="s">
        <v>46300</v>
      </c>
      <c r="W4308" t="s">
        <v>37382</v>
      </c>
      <c r="X4308" t="s">
        <v>40440</v>
      </c>
    </row>
    <row r="4309" spans="1:24">
      <c r="A4309">
        <f>HYPERLINK("https://www.philgeps.gov.ph/GEPSNONPILOT/Tender/SplashBidNoticeAbstractUI.aspx?menuIndex=3&amp;refID=7046607&amp;Result=3","7046607")</f>
        <v>0</v>
      </c>
      <c r="B4309" t="s">
        <v>1546</v>
      </c>
      <c r="C4309" t="s">
        <v>7202</v>
      </c>
      <c r="D4309" t="s">
        <v>16196</v>
      </c>
      <c r="E4309" t="s">
        <v>20129</v>
      </c>
      <c r="F4309" t="s">
        <v>28198</v>
      </c>
      <c r="G4309" t="s">
        <v>28211</v>
      </c>
      <c r="H4309" t="s">
        <v>28216</v>
      </c>
      <c r="I4309" t="s">
        <v>28216</v>
      </c>
      <c r="J4309" t="s">
        <v>31133</v>
      </c>
      <c r="K4309" t="s">
        <v>36690</v>
      </c>
      <c r="M4309" t="s">
        <v>38626</v>
      </c>
      <c r="N4309" t="s">
        <v>40436</v>
      </c>
      <c r="O4309" t="s">
        <v>40437</v>
      </c>
      <c r="P4309">
        <v>0</v>
      </c>
      <c r="Q4309">
        <v>4</v>
      </c>
      <c r="R4309" t="s">
        <v>40439</v>
      </c>
      <c r="S4309" t="s">
        <v>40588</v>
      </c>
      <c r="T4309" t="s">
        <v>42393</v>
      </c>
      <c r="U4309" t="s">
        <v>46301</v>
      </c>
      <c r="W4309" t="s">
        <v>38626</v>
      </c>
      <c r="X4309" t="s">
        <v>40440</v>
      </c>
    </row>
    <row r="4310" spans="1:24">
      <c r="A4310">
        <f>HYPERLINK("https://www.philgeps.gov.ph/GEPSNONPILOT/Tender/SplashBidNoticeAbstractUI.aspx?menuIndex=3&amp;refID=7046624&amp;Result=3","7046624")</f>
        <v>0</v>
      </c>
      <c r="B4310" t="s">
        <v>455</v>
      </c>
      <c r="C4310" t="s">
        <v>7203</v>
      </c>
      <c r="D4310" t="s">
        <v>16263</v>
      </c>
      <c r="E4310" t="s">
        <v>20130</v>
      </c>
      <c r="F4310" t="s">
        <v>28198</v>
      </c>
      <c r="G4310" t="s">
        <v>28205</v>
      </c>
      <c r="H4310" t="s">
        <v>28215</v>
      </c>
      <c r="I4310" t="s">
        <v>28239</v>
      </c>
      <c r="J4310" t="s">
        <v>31134</v>
      </c>
      <c r="K4310" t="s">
        <v>36689</v>
      </c>
      <c r="M4310" t="s">
        <v>37439</v>
      </c>
      <c r="N4310" t="s">
        <v>40436</v>
      </c>
      <c r="O4310" t="s">
        <v>40437</v>
      </c>
      <c r="P4310">
        <v>0</v>
      </c>
      <c r="Q4310">
        <v>4</v>
      </c>
      <c r="R4310" t="s">
        <v>40439</v>
      </c>
      <c r="S4310" t="s">
        <v>40588</v>
      </c>
      <c r="T4310" t="s">
        <v>42118</v>
      </c>
      <c r="U4310" t="s">
        <v>46302</v>
      </c>
      <c r="W4310" t="s">
        <v>37439</v>
      </c>
      <c r="X4310" t="s">
        <v>40440</v>
      </c>
    </row>
    <row r="4311" spans="1:24">
      <c r="A4311">
        <f>HYPERLINK("https://www.philgeps.gov.ph/GEPSNONPILOT/Tender/SplashBidNoticeAbstractUI.aspx?menuIndex=3&amp;refID=7046620&amp;Result=3","7046620")</f>
        <v>0</v>
      </c>
      <c r="B4311" t="s">
        <v>659</v>
      </c>
      <c r="C4311" t="s">
        <v>7204</v>
      </c>
      <c r="D4311" t="s">
        <v>16235</v>
      </c>
      <c r="E4311" t="s">
        <v>18664</v>
      </c>
      <c r="F4311" t="s">
        <v>28198</v>
      </c>
      <c r="G4311" t="s">
        <v>28207</v>
      </c>
      <c r="H4311" t="s">
        <v>28214</v>
      </c>
      <c r="I4311" t="s">
        <v>3797</v>
      </c>
      <c r="J4311" t="s">
        <v>28398</v>
      </c>
      <c r="K4311" t="s">
        <v>36717</v>
      </c>
      <c r="M4311" t="s">
        <v>37655</v>
      </c>
      <c r="N4311" t="s">
        <v>40436</v>
      </c>
      <c r="O4311" t="s">
        <v>40437</v>
      </c>
      <c r="P4311">
        <v>0</v>
      </c>
      <c r="Q4311">
        <v>0</v>
      </c>
      <c r="R4311" t="s">
        <v>40439</v>
      </c>
      <c r="S4311" t="s">
        <v>40588</v>
      </c>
      <c r="T4311" t="s">
        <v>42169</v>
      </c>
      <c r="U4311" t="s">
        <v>46303</v>
      </c>
      <c r="W4311" t="s">
        <v>37655</v>
      </c>
      <c r="X4311" t="s">
        <v>40440</v>
      </c>
    </row>
    <row r="4312" spans="1:24">
      <c r="A4312">
        <f>HYPERLINK("https://www.philgeps.gov.ph/GEPSNONPILOT/Tender/SplashBidNoticeAbstractUI.aspx?menuIndex=3&amp;refID=7046613&amp;Result=3","7046613")</f>
        <v>0</v>
      </c>
      <c r="B4312" t="s">
        <v>832</v>
      </c>
      <c r="C4312" t="s">
        <v>7205</v>
      </c>
      <c r="D4312" t="s">
        <v>16225</v>
      </c>
      <c r="E4312" t="s">
        <v>20131</v>
      </c>
      <c r="F4312" t="s">
        <v>28198</v>
      </c>
      <c r="G4312" t="s">
        <v>28205</v>
      </c>
      <c r="H4312" t="s">
        <v>28215</v>
      </c>
      <c r="I4312" t="s">
        <v>28265</v>
      </c>
      <c r="J4312" t="s">
        <v>31135</v>
      </c>
      <c r="K4312" t="s">
        <v>36693</v>
      </c>
      <c r="M4312" t="s">
        <v>37844</v>
      </c>
      <c r="N4312" t="s">
        <v>40436</v>
      </c>
      <c r="O4312" t="s">
        <v>40437</v>
      </c>
      <c r="Q4312">
        <v>0</v>
      </c>
      <c r="R4312" t="s">
        <v>40439</v>
      </c>
      <c r="S4312" t="s">
        <v>40598</v>
      </c>
      <c r="T4312" t="s">
        <v>42098</v>
      </c>
      <c r="U4312" t="s">
        <v>46304</v>
      </c>
      <c r="W4312" t="s">
        <v>37844</v>
      </c>
      <c r="X4312" t="s">
        <v>40440</v>
      </c>
    </row>
    <row r="4313" spans="1:24">
      <c r="A4313">
        <f>HYPERLINK("https://www.philgeps.gov.ph/GEPSNONPILOT/Tender/SplashBidNoticeAbstractUI.aspx?menuIndex=3&amp;refID=7046617&amp;Result=3","7046617")</f>
        <v>0</v>
      </c>
      <c r="B4313" t="s">
        <v>1524</v>
      </c>
      <c r="C4313" t="s">
        <v>7206</v>
      </c>
      <c r="D4313" t="s">
        <v>16249</v>
      </c>
      <c r="E4313" t="s">
        <v>20132</v>
      </c>
      <c r="F4313" t="s">
        <v>28198</v>
      </c>
      <c r="G4313" t="s">
        <v>28207</v>
      </c>
      <c r="H4313" t="s">
        <v>28214</v>
      </c>
      <c r="I4313" t="s">
        <v>28255</v>
      </c>
      <c r="J4313" t="s">
        <v>31136</v>
      </c>
      <c r="K4313" t="s">
        <v>36748</v>
      </c>
      <c r="M4313" t="s">
        <v>38602</v>
      </c>
      <c r="N4313" t="s">
        <v>40436</v>
      </c>
      <c r="O4313" t="s">
        <v>40437</v>
      </c>
      <c r="P4313">
        <v>0</v>
      </c>
      <c r="Q4313">
        <v>0</v>
      </c>
      <c r="R4313" t="s">
        <v>40439</v>
      </c>
      <c r="S4313" t="s">
        <v>40588</v>
      </c>
      <c r="T4313" t="s">
        <v>42176</v>
      </c>
      <c r="U4313" t="s">
        <v>46305</v>
      </c>
      <c r="W4313" t="s">
        <v>38602</v>
      </c>
      <c r="X4313" t="s">
        <v>40440</v>
      </c>
    </row>
    <row r="4314" spans="1:24">
      <c r="A4314">
        <f>HYPERLINK("https://www.philgeps.gov.ph/GEPSNONPILOT/Tender/SplashBidNoticeAbstractUI.aspx?menuIndex=3&amp;refID=7046618&amp;Result=3","7046618")</f>
        <v>0</v>
      </c>
      <c r="B4314" t="s">
        <v>1547</v>
      </c>
      <c r="C4314" t="s">
        <v>7207</v>
      </c>
      <c r="D4314" t="s">
        <v>16234</v>
      </c>
      <c r="E4314" t="s">
        <v>20133</v>
      </c>
      <c r="F4314" t="s">
        <v>28198</v>
      </c>
      <c r="G4314" t="s">
        <v>28207</v>
      </c>
      <c r="H4314" t="s">
        <v>28215</v>
      </c>
      <c r="I4314" t="s">
        <v>28234</v>
      </c>
      <c r="J4314" t="s">
        <v>28616</v>
      </c>
      <c r="K4314" t="s">
        <v>36689</v>
      </c>
      <c r="M4314" t="s">
        <v>38627</v>
      </c>
      <c r="N4314" t="s">
        <v>40436</v>
      </c>
      <c r="O4314" t="s">
        <v>40437</v>
      </c>
      <c r="P4314">
        <v>0</v>
      </c>
      <c r="Q4314">
        <v>1</v>
      </c>
      <c r="R4314" t="s">
        <v>40439</v>
      </c>
      <c r="S4314" t="s">
        <v>40588</v>
      </c>
      <c r="T4314" t="s">
        <v>42169</v>
      </c>
      <c r="U4314" t="s">
        <v>46306</v>
      </c>
      <c r="W4314" t="s">
        <v>55487</v>
      </c>
      <c r="X4314" t="s">
        <v>40440</v>
      </c>
    </row>
    <row r="4315" spans="1:24">
      <c r="A4315">
        <f>HYPERLINK("https://www.philgeps.gov.ph/GEPSNONPILOT/Tender/SplashBidNoticeAbstractUI.aspx?menuIndex=3&amp;refID=7046599&amp;Result=3","7046599")</f>
        <v>0</v>
      </c>
      <c r="B4315" t="s">
        <v>1548</v>
      </c>
      <c r="C4315" t="s">
        <v>7208</v>
      </c>
      <c r="D4315" t="s">
        <v>16197</v>
      </c>
      <c r="E4315" t="s">
        <v>20134</v>
      </c>
      <c r="F4315" t="s">
        <v>28198</v>
      </c>
      <c r="G4315" t="s">
        <v>28206</v>
      </c>
      <c r="H4315" t="s">
        <v>28215</v>
      </c>
      <c r="I4315" t="s">
        <v>4219</v>
      </c>
      <c r="J4315" t="s">
        <v>31137</v>
      </c>
      <c r="K4315" t="s">
        <v>36691</v>
      </c>
      <c r="M4315" t="s">
        <v>38628</v>
      </c>
      <c r="N4315" t="s">
        <v>40436</v>
      </c>
      <c r="O4315" t="s">
        <v>40437</v>
      </c>
      <c r="P4315">
        <v>0</v>
      </c>
      <c r="Q4315">
        <v>0</v>
      </c>
      <c r="R4315" t="s">
        <v>40439</v>
      </c>
      <c r="S4315" t="s">
        <v>40588</v>
      </c>
      <c r="T4315" t="s">
        <v>42245</v>
      </c>
      <c r="U4315" t="s">
        <v>46307</v>
      </c>
      <c r="V4315" t="s">
        <v>54219</v>
      </c>
      <c r="W4315" t="s">
        <v>38628</v>
      </c>
      <c r="X4315" t="s">
        <v>40440</v>
      </c>
    </row>
    <row r="4316" spans="1:24">
      <c r="A4316">
        <f>HYPERLINK("https://www.philgeps.gov.ph/GEPSNONPILOT/Tender/SplashBidNoticeAbstractUI.aspx?menuIndex=3&amp;refID=7046619&amp;Result=3","7046619")</f>
        <v>0</v>
      </c>
      <c r="B4316" t="s">
        <v>1536</v>
      </c>
      <c r="C4316" t="s">
        <v>7209</v>
      </c>
      <c r="D4316" t="s">
        <v>16222</v>
      </c>
      <c r="E4316" t="s">
        <v>20135</v>
      </c>
      <c r="F4316" t="s">
        <v>28198</v>
      </c>
      <c r="G4316" t="s">
        <v>28205</v>
      </c>
      <c r="H4316" t="s">
        <v>28214</v>
      </c>
      <c r="I4316" t="s">
        <v>3797</v>
      </c>
      <c r="J4316" t="s">
        <v>31138</v>
      </c>
      <c r="K4316" t="s">
        <v>36689</v>
      </c>
      <c r="M4316" t="s">
        <v>38629</v>
      </c>
      <c r="N4316" t="s">
        <v>40436</v>
      </c>
      <c r="O4316" t="s">
        <v>40437</v>
      </c>
      <c r="P4316">
        <v>0</v>
      </c>
      <c r="Q4316">
        <v>0</v>
      </c>
      <c r="R4316" t="s">
        <v>40439</v>
      </c>
      <c r="S4316" t="s">
        <v>40588</v>
      </c>
      <c r="T4316" t="s">
        <v>42110</v>
      </c>
      <c r="U4316" t="s">
        <v>46255</v>
      </c>
      <c r="W4316" t="s">
        <v>38629</v>
      </c>
      <c r="X4316" t="s">
        <v>40440</v>
      </c>
    </row>
    <row r="4317" spans="1:24">
      <c r="A4317">
        <f>HYPERLINK("https://www.philgeps.gov.ph/GEPSNONPILOT/Tender/SplashBidNoticeAbstractUI.aspx?menuIndex=3&amp;refID=7046616&amp;Result=3","7046616")</f>
        <v>0</v>
      </c>
      <c r="B4317" t="s">
        <v>1529</v>
      </c>
      <c r="C4317" t="s">
        <v>7210</v>
      </c>
      <c r="D4317" t="s">
        <v>16196</v>
      </c>
      <c r="E4317" t="s">
        <v>20136</v>
      </c>
      <c r="F4317" t="s">
        <v>28198</v>
      </c>
      <c r="G4317" t="s">
        <v>28206</v>
      </c>
      <c r="H4317" t="s">
        <v>28215</v>
      </c>
      <c r="I4317" t="s">
        <v>28225</v>
      </c>
      <c r="J4317" t="s">
        <v>31139</v>
      </c>
      <c r="K4317" t="s">
        <v>36707</v>
      </c>
      <c r="M4317" t="s">
        <v>38607</v>
      </c>
      <c r="N4317" t="s">
        <v>40436</v>
      </c>
      <c r="O4317" t="s">
        <v>40437</v>
      </c>
      <c r="P4317">
        <v>0</v>
      </c>
      <c r="Q4317">
        <v>2</v>
      </c>
      <c r="R4317" t="s">
        <v>40439</v>
      </c>
      <c r="S4317" t="s">
        <v>40588</v>
      </c>
      <c r="T4317" t="s">
        <v>42184</v>
      </c>
      <c r="U4317" t="s">
        <v>46235</v>
      </c>
      <c r="W4317" t="s">
        <v>38607</v>
      </c>
      <c r="X4317" t="s">
        <v>40440</v>
      </c>
    </row>
    <row r="4318" spans="1:24">
      <c r="A4318">
        <f>HYPERLINK("https://www.philgeps.gov.ph/GEPSNONPILOT/Tender/SplashBidNoticeAbstractUI.aspx?menuIndex=3&amp;refID=7046596&amp;Result=3","7046596")</f>
        <v>0</v>
      </c>
      <c r="B4318" t="s">
        <v>832</v>
      </c>
      <c r="C4318" t="s">
        <v>7211</v>
      </c>
      <c r="D4318" t="s">
        <v>16187</v>
      </c>
      <c r="E4318" t="s">
        <v>20137</v>
      </c>
      <c r="F4318" t="s">
        <v>28198</v>
      </c>
      <c r="G4318" t="s">
        <v>28205</v>
      </c>
      <c r="H4318" t="s">
        <v>28214</v>
      </c>
      <c r="I4318" t="s">
        <v>3797</v>
      </c>
      <c r="J4318" t="s">
        <v>31140</v>
      </c>
      <c r="K4318" t="s">
        <v>36701</v>
      </c>
      <c r="M4318" t="s">
        <v>37844</v>
      </c>
      <c r="N4318" t="s">
        <v>40436</v>
      </c>
      <c r="O4318" t="s">
        <v>40437</v>
      </c>
      <c r="P4318">
        <v>0</v>
      </c>
      <c r="Q4318">
        <v>0</v>
      </c>
      <c r="R4318" t="s">
        <v>40439</v>
      </c>
      <c r="S4318" t="s">
        <v>40588</v>
      </c>
      <c r="T4318" t="s">
        <v>42175</v>
      </c>
      <c r="U4318" t="s">
        <v>46308</v>
      </c>
      <c r="W4318" t="s">
        <v>37844</v>
      </c>
      <c r="X4318" t="s">
        <v>40440</v>
      </c>
    </row>
    <row r="4319" spans="1:24">
      <c r="A4319">
        <f>HYPERLINK("https://www.philgeps.gov.ph/GEPSNONPILOT/Tender/SplashBidNoticeAbstractUI.aspx?menuIndex=3&amp;refID=7046604&amp;Result=3","7046604")</f>
        <v>0</v>
      </c>
      <c r="B4319" t="s">
        <v>1549</v>
      </c>
      <c r="C4319" t="s">
        <v>7212</v>
      </c>
      <c r="D4319" t="s">
        <v>16204</v>
      </c>
      <c r="E4319" t="s">
        <v>20138</v>
      </c>
      <c r="F4319" t="s">
        <v>28198</v>
      </c>
      <c r="G4319" t="s">
        <v>28207</v>
      </c>
      <c r="H4319" t="s">
        <v>28215</v>
      </c>
      <c r="I4319" t="s">
        <v>28257</v>
      </c>
      <c r="J4319" t="s">
        <v>28378</v>
      </c>
      <c r="K4319" t="s">
        <v>36707</v>
      </c>
      <c r="M4319" t="s">
        <v>38630</v>
      </c>
      <c r="N4319" t="s">
        <v>40436</v>
      </c>
      <c r="O4319" t="s">
        <v>40437</v>
      </c>
      <c r="P4319">
        <v>0</v>
      </c>
      <c r="Q4319">
        <v>4</v>
      </c>
      <c r="R4319" t="s">
        <v>40439</v>
      </c>
      <c r="S4319" t="s">
        <v>40588</v>
      </c>
      <c r="T4319" t="s">
        <v>42158</v>
      </c>
      <c r="U4319" t="s">
        <v>46309</v>
      </c>
      <c r="W4319" t="s">
        <v>38630</v>
      </c>
      <c r="X4319" t="s">
        <v>40440</v>
      </c>
    </row>
    <row r="4320" spans="1:24">
      <c r="A4320">
        <f>HYPERLINK("https://www.philgeps.gov.ph/GEPSNONPILOT/Tender/SplashBidNoticeAbstractUI.aspx?menuIndex=3&amp;refID=7046625&amp;Result=3","7046625")</f>
        <v>0</v>
      </c>
      <c r="B4320" t="s">
        <v>748</v>
      </c>
      <c r="C4320" t="s">
        <v>7213</v>
      </c>
      <c r="D4320" t="s">
        <v>16203</v>
      </c>
      <c r="E4320" t="s">
        <v>20139</v>
      </c>
      <c r="F4320" t="s">
        <v>28198</v>
      </c>
      <c r="G4320" t="s">
        <v>28207</v>
      </c>
      <c r="H4320" t="s">
        <v>28215</v>
      </c>
      <c r="I4320" t="s">
        <v>5103</v>
      </c>
      <c r="J4320" t="s">
        <v>28414</v>
      </c>
      <c r="K4320" t="s">
        <v>36707</v>
      </c>
      <c r="M4320" t="s">
        <v>38625</v>
      </c>
      <c r="N4320" t="s">
        <v>40436</v>
      </c>
      <c r="O4320" t="s">
        <v>40437</v>
      </c>
      <c r="P4320">
        <v>0</v>
      </c>
      <c r="Q4320">
        <v>6</v>
      </c>
      <c r="R4320" t="s">
        <v>40439</v>
      </c>
      <c r="S4320" t="s">
        <v>40588</v>
      </c>
      <c r="T4320" t="s">
        <v>42103</v>
      </c>
      <c r="U4320" t="s">
        <v>46297</v>
      </c>
      <c r="W4320" t="s">
        <v>38625</v>
      </c>
      <c r="X4320" t="s">
        <v>40440</v>
      </c>
    </row>
    <row r="4321" spans="1:24">
      <c r="A4321">
        <f>HYPERLINK("https://www.philgeps.gov.ph/GEPSNONPILOT/Tender/SplashBidNoticeAbstractUI.aspx?menuIndex=3&amp;refID=7046605&amp;Result=3","7046605")</f>
        <v>0</v>
      </c>
      <c r="B4321" t="s">
        <v>268</v>
      </c>
      <c r="C4321" t="s">
        <v>7214</v>
      </c>
      <c r="D4321" t="s">
        <v>16209</v>
      </c>
      <c r="E4321" t="s">
        <v>20140</v>
      </c>
      <c r="F4321" t="s">
        <v>28198</v>
      </c>
      <c r="G4321" t="s">
        <v>28207</v>
      </c>
      <c r="H4321" t="s">
        <v>28215</v>
      </c>
      <c r="I4321" t="s">
        <v>28238</v>
      </c>
      <c r="J4321" t="s">
        <v>28350</v>
      </c>
      <c r="K4321" t="s">
        <v>36689</v>
      </c>
      <c r="M4321" t="s">
        <v>37244</v>
      </c>
      <c r="N4321" t="s">
        <v>40436</v>
      </c>
      <c r="O4321" t="s">
        <v>40437</v>
      </c>
      <c r="P4321">
        <v>0</v>
      </c>
      <c r="Q4321">
        <v>2</v>
      </c>
      <c r="R4321" t="s">
        <v>40439</v>
      </c>
      <c r="S4321" t="s">
        <v>40588</v>
      </c>
      <c r="T4321" t="s">
        <v>42158</v>
      </c>
      <c r="U4321" t="s">
        <v>43038</v>
      </c>
      <c r="W4321" t="s">
        <v>37244</v>
      </c>
      <c r="X4321" t="s">
        <v>40440</v>
      </c>
    </row>
    <row r="4322" spans="1:24">
      <c r="A4322">
        <f>HYPERLINK("https://www.philgeps.gov.ph/GEPSNONPILOT/Tender/SplashBidNoticeAbstractUI.aspx?menuIndex=3&amp;refID=7046622&amp;Result=3","7046622")</f>
        <v>0</v>
      </c>
      <c r="B4322" t="s">
        <v>1216</v>
      </c>
      <c r="C4322" t="s">
        <v>7215</v>
      </c>
      <c r="D4322" t="s">
        <v>16230</v>
      </c>
      <c r="E4322" t="s">
        <v>20141</v>
      </c>
      <c r="F4322" t="s">
        <v>28198</v>
      </c>
      <c r="G4322" t="s">
        <v>28207</v>
      </c>
      <c r="H4322" t="s">
        <v>28215</v>
      </c>
      <c r="I4322" t="s">
        <v>28243</v>
      </c>
      <c r="J4322" t="s">
        <v>28414</v>
      </c>
      <c r="K4322" t="s">
        <v>36689</v>
      </c>
      <c r="M4322" t="s">
        <v>38261</v>
      </c>
      <c r="N4322" t="s">
        <v>40436</v>
      </c>
      <c r="O4322" t="s">
        <v>40437</v>
      </c>
      <c r="P4322">
        <v>0</v>
      </c>
      <c r="Q4322">
        <v>0</v>
      </c>
      <c r="R4322" t="s">
        <v>40439</v>
      </c>
      <c r="S4322" t="s">
        <v>40588</v>
      </c>
      <c r="T4322" t="s">
        <v>42340</v>
      </c>
      <c r="U4322" t="s">
        <v>46310</v>
      </c>
      <c r="W4322" t="s">
        <v>38261</v>
      </c>
      <c r="X4322" t="s">
        <v>40440</v>
      </c>
    </row>
    <row r="4323" spans="1:24">
      <c r="A4323">
        <f>HYPERLINK("https://www.philgeps.gov.ph/GEPSNONPILOT/Tender/SplashBidNoticeAbstractUI.aspx?menuIndex=3&amp;refID=7046638&amp;Result=3","7046638")</f>
        <v>0</v>
      </c>
      <c r="B4323" t="s">
        <v>1023</v>
      </c>
      <c r="C4323" t="s">
        <v>7216</v>
      </c>
      <c r="D4323" t="s">
        <v>16265</v>
      </c>
      <c r="E4323" t="s">
        <v>20142</v>
      </c>
      <c r="F4323" t="s">
        <v>28198</v>
      </c>
      <c r="G4323" t="s">
        <v>28205</v>
      </c>
      <c r="H4323" t="s">
        <v>28215</v>
      </c>
      <c r="I4323" t="s">
        <v>28224</v>
      </c>
      <c r="J4323" t="s">
        <v>31141</v>
      </c>
      <c r="K4323" t="s">
        <v>36701</v>
      </c>
      <c r="M4323" t="s">
        <v>38054</v>
      </c>
      <c r="N4323" t="s">
        <v>40436</v>
      </c>
      <c r="O4323" t="s">
        <v>40437</v>
      </c>
      <c r="P4323">
        <v>0</v>
      </c>
      <c r="Q4323">
        <v>0</v>
      </c>
      <c r="R4323" t="s">
        <v>40439</v>
      </c>
      <c r="S4323" t="s">
        <v>40588</v>
      </c>
      <c r="T4323" t="s">
        <v>42108</v>
      </c>
      <c r="U4323" t="s">
        <v>46311</v>
      </c>
      <c r="W4323" t="s">
        <v>38054</v>
      </c>
      <c r="X4323" t="s">
        <v>40440</v>
      </c>
    </row>
    <row r="4324" spans="1:24">
      <c r="A4324">
        <f>HYPERLINK("https://www.philgeps.gov.ph/GEPSNONPILOT/Tender/SplashBidNoticeAbstractUI.aspx?menuIndex=3&amp;refID=7046637&amp;Result=3","7046637")</f>
        <v>0</v>
      </c>
      <c r="B4324" t="s">
        <v>898</v>
      </c>
      <c r="C4324" t="s">
        <v>7217</v>
      </c>
      <c r="D4324" t="s">
        <v>16216</v>
      </c>
      <c r="E4324" t="s">
        <v>19367</v>
      </c>
      <c r="F4324" t="s">
        <v>28198</v>
      </c>
      <c r="G4324" t="s">
        <v>28209</v>
      </c>
      <c r="H4324" t="s">
        <v>28214</v>
      </c>
      <c r="I4324" t="s">
        <v>3797</v>
      </c>
      <c r="J4324" t="s">
        <v>31142</v>
      </c>
      <c r="K4324" t="s">
        <v>36703</v>
      </c>
      <c r="M4324" t="s">
        <v>37914</v>
      </c>
      <c r="N4324" t="s">
        <v>40436</v>
      </c>
      <c r="O4324" t="s">
        <v>40437</v>
      </c>
      <c r="P4324">
        <v>0</v>
      </c>
      <c r="Q4324">
        <v>0</v>
      </c>
      <c r="R4324" t="s">
        <v>40439</v>
      </c>
      <c r="S4324" t="s">
        <v>40588</v>
      </c>
      <c r="T4324" t="s">
        <v>42318</v>
      </c>
      <c r="U4324" t="s">
        <v>46312</v>
      </c>
      <c r="V4324" t="s">
        <v>54220</v>
      </c>
      <c r="W4324" t="s">
        <v>37914</v>
      </c>
      <c r="X4324" t="s">
        <v>40440</v>
      </c>
    </row>
    <row r="4325" spans="1:24">
      <c r="A4325">
        <f>HYPERLINK("https://www.philgeps.gov.ph/GEPSNONPILOT/Tender/SplashBidNoticeAbstractUI.aspx?menuIndex=3&amp;refID=7046630&amp;Result=3","7046630")</f>
        <v>0</v>
      </c>
      <c r="B4325" t="s">
        <v>1547</v>
      </c>
      <c r="C4325" t="s">
        <v>7218</v>
      </c>
      <c r="D4325" t="s">
        <v>16234</v>
      </c>
      <c r="E4325" t="s">
        <v>20143</v>
      </c>
      <c r="F4325" t="s">
        <v>28198</v>
      </c>
      <c r="G4325" t="s">
        <v>28207</v>
      </c>
      <c r="H4325" t="s">
        <v>28215</v>
      </c>
      <c r="I4325" t="s">
        <v>5103</v>
      </c>
      <c r="J4325" t="s">
        <v>31143</v>
      </c>
      <c r="K4325" t="s">
        <v>36689</v>
      </c>
      <c r="M4325" t="s">
        <v>38627</v>
      </c>
      <c r="N4325" t="s">
        <v>40436</v>
      </c>
      <c r="O4325" t="s">
        <v>40437</v>
      </c>
      <c r="P4325">
        <v>0</v>
      </c>
      <c r="Q4325">
        <v>8</v>
      </c>
      <c r="R4325" t="s">
        <v>40439</v>
      </c>
      <c r="S4325" t="s">
        <v>40588</v>
      </c>
      <c r="T4325" t="s">
        <v>42169</v>
      </c>
      <c r="U4325" t="s">
        <v>46306</v>
      </c>
      <c r="W4325" t="s">
        <v>55487</v>
      </c>
      <c r="X4325" t="s">
        <v>40440</v>
      </c>
    </row>
    <row r="4326" spans="1:24">
      <c r="A4326">
        <f>HYPERLINK("https://www.philgeps.gov.ph/GEPSNONPILOT/Tender/SplashBidNoticeAbstractUI.aspx?menuIndex=3&amp;refID=7046627&amp;Result=3","7046627")</f>
        <v>0</v>
      </c>
      <c r="B4326" t="s">
        <v>1516</v>
      </c>
      <c r="C4326" t="s">
        <v>7219</v>
      </c>
      <c r="D4326" t="s">
        <v>16213</v>
      </c>
      <c r="E4326" t="s">
        <v>17230</v>
      </c>
      <c r="F4326" t="s">
        <v>28198</v>
      </c>
      <c r="G4326" t="s">
        <v>28205</v>
      </c>
      <c r="H4326" t="s">
        <v>28214</v>
      </c>
      <c r="I4326" t="s">
        <v>3797</v>
      </c>
      <c r="J4326" t="s">
        <v>28683</v>
      </c>
      <c r="K4326" t="s">
        <v>36717</v>
      </c>
      <c r="M4326" t="s">
        <v>38593</v>
      </c>
      <c r="N4326" t="s">
        <v>40436</v>
      </c>
      <c r="O4326" t="s">
        <v>40437</v>
      </c>
      <c r="P4326">
        <v>0</v>
      </c>
      <c r="Q4326">
        <v>0</v>
      </c>
      <c r="R4326" t="s">
        <v>40439</v>
      </c>
      <c r="S4326" t="s">
        <v>40588</v>
      </c>
      <c r="T4326" t="s">
        <v>42125</v>
      </c>
      <c r="U4326" t="s">
        <v>46313</v>
      </c>
      <c r="W4326" t="s">
        <v>38593</v>
      </c>
      <c r="X4326" t="s">
        <v>40440</v>
      </c>
    </row>
    <row r="4327" spans="1:24">
      <c r="A4327">
        <f>HYPERLINK("https://www.philgeps.gov.ph/GEPSNONPILOT/Tender/SplashBidNoticeAbstractUI.aspx?menuIndex=3&amp;refID=7046636&amp;Result=3","7046636")</f>
        <v>0</v>
      </c>
      <c r="B4327" t="s">
        <v>1088</v>
      </c>
      <c r="C4327" t="s">
        <v>7220</v>
      </c>
      <c r="D4327" t="s">
        <v>16244</v>
      </c>
      <c r="E4327" t="s">
        <v>20144</v>
      </c>
      <c r="F4327" t="s">
        <v>28198</v>
      </c>
      <c r="G4327" t="s">
        <v>28210</v>
      </c>
      <c r="H4327" t="s">
        <v>28215</v>
      </c>
      <c r="I4327" t="s">
        <v>5082</v>
      </c>
      <c r="J4327" t="s">
        <v>31144</v>
      </c>
      <c r="K4327" t="s">
        <v>36688</v>
      </c>
      <c r="M4327" t="s">
        <v>38123</v>
      </c>
      <c r="N4327" t="s">
        <v>40436</v>
      </c>
      <c r="O4327" t="s">
        <v>40437</v>
      </c>
      <c r="P4327">
        <v>0</v>
      </c>
      <c r="Q4327">
        <v>0</v>
      </c>
      <c r="R4327" t="s">
        <v>40439</v>
      </c>
      <c r="S4327" t="s">
        <v>40588</v>
      </c>
      <c r="T4327" t="s">
        <v>42190</v>
      </c>
      <c r="U4327" t="s">
        <v>46314</v>
      </c>
      <c r="W4327" t="s">
        <v>55472</v>
      </c>
      <c r="X4327" t="s">
        <v>40440</v>
      </c>
    </row>
    <row r="4328" spans="1:24">
      <c r="A4328">
        <f>HYPERLINK("https://www.philgeps.gov.ph/GEPSNONPILOT/Tender/SplashBidNoticeAbstractUI.aspx?menuIndex=3&amp;refID=7046631&amp;Result=3","7046631")</f>
        <v>0</v>
      </c>
      <c r="B4328" t="s">
        <v>1259</v>
      </c>
      <c r="C4328" t="s">
        <v>7221</v>
      </c>
      <c r="D4328" t="s">
        <v>16219</v>
      </c>
      <c r="E4328" t="s">
        <v>20145</v>
      </c>
      <c r="F4328" t="s">
        <v>28198</v>
      </c>
      <c r="G4328" t="s">
        <v>28207</v>
      </c>
      <c r="H4328" t="s">
        <v>28215</v>
      </c>
      <c r="I4328" t="s">
        <v>4219</v>
      </c>
      <c r="J4328" t="s">
        <v>31145</v>
      </c>
      <c r="K4328" t="s">
        <v>36689</v>
      </c>
      <c r="M4328" t="s">
        <v>38309</v>
      </c>
      <c r="N4328" t="s">
        <v>40436</v>
      </c>
      <c r="O4328" t="s">
        <v>40437</v>
      </c>
      <c r="P4328">
        <v>0</v>
      </c>
      <c r="Q4328">
        <v>0</v>
      </c>
      <c r="R4328" t="s">
        <v>40439</v>
      </c>
      <c r="S4328" t="s">
        <v>40588</v>
      </c>
      <c r="T4328" t="s">
        <v>42320</v>
      </c>
      <c r="U4328" t="s">
        <v>46087</v>
      </c>
      <c r="W4328" t="s">
        <v>38309</v>
      </c>
      <c r="X4328" t="s">
        <v>40440</v>
      </c>
    </row>
    <row r="4329" spans="1:24">
      <c r="A4329">
        <f>HYPERLINK("https://www.philgeps.gov.ph/GEPSNONPILOT/Tender/SplashBidNoticeAbstractUI.aspx?menuIndex=3&amp;refID=7046629&amp;Result=3","7046629")</f>
        <v>0</v>
      </c>
      <c r="B4329" t="s">
        <v>1536</v>
      </c>
      <c r="C4329" t="s">
        <v>7222</v>
      </c>
      <c r="D4329" t="s">
        <v>16222</v>
      </c>
      <c r="E4329" t="s">
        <v>20146</v>
      </c>
      <c r="F4329" t="s">
        <v>28198</v>
      </c>
      <c r="G4329" t="s">
        <v>28205</v>
      </c>
      <c r="H4329" t="s">
        <v>28214</v>
      </c>
      <c r="I4329" t="s">
        <v>3797</v>
      </c>
      <c r="J4329" t="s">
        <v>31146</v>
      </c>
      <c r="K4329" t="s">
        <v>36689</v>
      </c>
      <c r="M4329" t="s">
        <v>38629</v>
      </c>
      <c r="N4329" t="s">
        <v>40436</v>
      </c>
      <c r="O4329" t="s">
        <v>40437</v>
      </c>
      <c r="P4329">
        <v>0</v>
      </c>
      <c r="Q4329">
        <v>0</v>
      </c>
      <c r="R4329" t="s">
        <v>40439</v>
      </c>
      <c r="S4329" t="s">
        <v>40588</v>
      </c>
      <c r="T4329" t="s">
        <v>42110</v>
      </c>
      <c r="U4329" t="s">
        <v>46255</v>
      </c>
      <c r="W4329" t="s">
        <v>38629</v>
      </c>
      <c r="X4329" t="s">
        <v>40440</v>
      </c>
    </row>
    <row r="4330" spans="1:24">
      <c r="A4330">
        <f>HYPERLINK("https://www.philgeps.gov.ph/GEPSNONPILOT/Tender/SplashBidNoticeAbstractUI.aspx?menuIndex=3&amp;refID=7046635&amp;Result=3","7046635")</f>
        <v>0</v>
      </c>
      <c r="B4330" t="s">
        <v>1550</v>
      </c>
      <c r="C4330" t="s">
        <v>7223</v>
      </c>
      <c r="D4330" t="s">
        <v>16192</v>
      </c>
      <c r="E4330" t="s">
        <v>20147</v>
      </c>
      <c r="F4330" t="s">
        <v>28198</v>
      </c>
      <c r="G4330" t="s">
        <v>28207</v>
      </c>
      <c r="H4330" t="s">
        <v>28215</v>
      </c>
      <c r="I4330" t="s">
        <v>28245</v>
      </c>
      <c r="J4330" t="s">
        <v>31147</v>
      </c>
      <c r="K4330" t="s">
        <v>36707</v>
      </c>
      <c r="M4330" t="s">
        <v>38631</v>
      </c>
      <c r="N4330" t="s">
        <v>40436</v>
      </c>
      <c r="O4330" t="s">
        <v>40437</v>
      </c>
      <c r="P4330">
        <v>0</v>
      </c>
      <c r="Q4330">
        <v>0</v>
      </c>
      <c r="R4330" t="s">
        <v>40439</v>
      </c>
      <c r="S4330" t="s">
        <v>40588</v>
      </c>
      <c r="T4330" t="s">
        <v>42158</v>
      </c>
      <c r="U4330" t="s">
        <v>46315</v>
      </c>
      <c r="V4330" t="s">
        <v>43987</v>
      </c>
      <c r="W4330" t="s">
        <v>38631</v>
      </c>
      <c r="X4330" t="s">
        <v>40440</v>
      </c>
    </row>
    <row r="4331" spans="1:24">
      <c r="A4331">
        <f>HYPERLINK("https://www.philgeps.gov.ph/GEPSNONPILOT/Tender/SplashBidNoticeAbstractUI.aspx?menuIndex=3&amp;refID=7046645&amp;Result=3","7046645")</f>
        <v>0</v>
      </c>
      <c r="B4331" t="s">
        <v>1551</v>
      </c>
      <c r="C4331" t="s">
        <v>7224</v>
      </c>
      <c r="D4331" t="s">
        <v>16187</v>
      </c>
      <c r="E4331" t="s">
        <v>20065</v>
      </c>
      <c r="F4331" t="s">
        <v>28198</v>
      </c>
      <c r="G4331" t="s">
        <v>28205</v>
      </c>
      <c r="H4331" t="s">
        <v>28214</v>
      </c>
      <c r="I4331" t="s">
        <v>3797</v>
      </c>
      <c r="J4331" t="s">
        <v>31148</v>
      </c>
      <c r="K4331" t="s">
        <v>36694</v>
      </c>
      <c r="M4331" t="s">
        <v>38632</v>
      </c>
      <c r="N4331" t="s">
        <v>40436</v>
      </c>
      <c r="O4331" t="s">
        <v>40437</v>
      </c>
      <c r="P4331">
        <v>0</v>
      </c>
      <c r="Q4331">
        <v>0</v>
      </c>
      <c r="R4331" t="s">
        <v>40439</v>
      </c>
      <c r="S4331" t="s">
        <v>40588</v>
      </c>
      <c r="T4331" t="s">
        <v>42122</v>
      </c>
      <c r="U4331" t="s">
        <v>46316</v>
      </c>
      <c r="W4331" t="s">
        <v>38632</v>
      </c>
      <c r="X4331" t="s">
        <v>40440</v>
      </c>
    </row>
    <row r="4332" spans="1:24">
      <c r="A4332">
        <f>HYPERLINK("https://www.philgeps.gov.ph/GEPSNONPILOT/Tender/SplashBidNoticeAbstractUI.aspx?menuIndex=3&amp;refID=7046647&amp;Result=3","7046647")</f>
        <v>0</v>
      </c>
      <c r="B4332" t="s">
        <v>704</v>
      </c>
      <c r="C4332" t="s">
        <v>7225</v>
      </c>
      <c r="D4332" t="s">
        <v>16200</v>
      </c>
      <c r="E4332" t="s">
        <v>20148</v>
      </c>
      <c r="F4332" t="s">
        <v>28198</v>
      </c>
      <c r="G4332" t="s">
        <v>28207</v>
      </c>
      <c r="H4332" t="s">
        <v>28215</v>
      </c>
      <c r="I4332" t="s">
        <v>5631</v>
      </c>
      <c r="J4332" t="s">
        <v>29029</v>
      </c>
      <c r="K4332" t="s">
        <v>36688</v>
      </c>
      <c r="M4332" t="s">
        <v>37704</v>
      </c>
      <c r="N4332" t="s">
        <v>40436</v>
      </c>
      <c r="O4332" t="s">
        <v>40437</v>
      </c>
      <c r="P4332">
        <v>0</v>
      </c>
      <c r="Q4332">
        <v>0</v>
      </c>
      <c r="R4332" t="s">
        <v>40439</v>
      </c>
      <c r="S4332" t="s">
        <v>40588</v>
      </c>
      <c r="T4332" t="s">
        <v>42131</v>
      </c>
      <c r="U4332" t="s">
        <v>43915</v>
      </c>
      <c r="W4332" t="s">
        <v>37704</v>
      </c>
      <c r="X4332" t="s">
        <v>40440</v>
      </c>
    </row>
    <row r="4333" spans="1:24">
      <c r="A4333">
        <f>HYPERLINK("https://www.philgeps.gov.ph/GEPSNONPILOT/Tender/SplashBidNoticeAbstractUI.aspx?menuIndex=3&amp;refID=7046642&amp;Result=3","7046642")</f>
        <v>0</v>
      </c>
      <c r="B4333" t="s">
        <v>1536</v>
      </c>
      <c r="C4333" t="s">
        <v>7226</v>
      </c>
      <c r="D4333" t="s">
        <v>16222</v>
      </c>
      <c r="E4333" t="s">
        <v>20149</v>
      </c>
      <c r="F4333" t="s">
        <v>28198</v>
      </c>
      <c r="G4333" t="s">
        <v>28205</v>
      </c>
      <c r="H4333" t="s">
        <v>28214</v>
      </c>
      <c r="I4333" t="s">
        <v>3797</v>
      </c>
      <c r="J4333" t="s">
        <v>31149</v>
      </c>
      <c r="K4333" t="s">
        <v>36689</v>
      </c>
      <c r="M4333" t="s">
        <v>38629</v>
      </c>
      <c r="N4333" t="s">
        <v>40436</v>
      </c>
      <c r="O4333" t="s">
        <v>40437</v>
      </c>
      <c r="P4333">
        <v>0</v>
      </c>
      <c r="Q4333">
        <v>0</v>
      </c>
      <c r="R4333" t="s">
        <v>40439</v>
      </c>
      <c r="S4333" t="s">
        <v>40588</v>
      </c>
      <c r="T4333" t="s">
        <v>42110</v>
      </c>
      <c r="U4333" t="s">
        <v>46255</v>
      </c>
      <c r="W4333" t="s">
        <v>38629</v>
      </c>
      <c r="X4333" t="s">
        <v>40440</v>
      </c>
    </row>
    <row r="4334" spans="1:24">
      <c r="A4334">
        <f>HYPERLINK("https://www.philgeps.gov.ph/GEPSNONPILOT/Tender/SplashBidNoticeAbstractUI.aspx?menuIndex=3&amp;refID=7046633&amp;Result=3","7046633")</f>
        <v>0</v>
      </c>
      <c r="B4334" t="s">
        <v>1507</v>
      </c>
      <c r="C4334" t="s">
        <v>7227</v>
      </c>
      <c r="D4334" t="s">
        <v>16200</v>
      </c>
      <c r="E4334" t="s">
        <v>20150</v>
      </c>
      <c r="F4334" t="s">
        <v>28198</v>
      </c>
      <c r="G4334" t="s">
        <v>28207</v>
      </c>
      <c r="H4334" t="s">
        <v>28215</v>
      </c>
      <c r="I4334" t="s">
        <v>28230</v>
      </c>
      <c r="J4334" t="s">
        <v>31150</v>
      </c>
      <c r="K4334" t="s">
        <v>36701</v>
      </c>
      <c r="M4334" t="s">
        <v>38582</v>
      </c>
      <c r="N4334" t="s">
        <v>40436</v>
      </c>
      <c r="O4334" t="s">
        <v>40437</v>
      </c>
      <c r="P4334">
        <v>0</v>
      </c>
      <c r="Q4334">
        <v>0</v>
      </c>
      <c r="R4334" t="s">
        <v>40439</v>
      </c>
      <c r="S4334" t="s">
        <v>40588</v>
      </c>
      <c r="T4334" t="s">
        <v>42161</v>
      </c>
      <c r="U4334" t="s">
        <v>46161</v>
      </c>
      <c r="W4334" t="s">
        <v>38582</v>
      </c>
      <c r="X4334" t="s">
        <v>40440</v>
      </c>
    </row>
    <row r="4335" spans="1:24">
      <c r="A4335">
        <f>HYPERLINK("https://www.philgeps.gov.ph/GEPSNONPILOT/Tender/SplashBidNoticeAbstractUI.aspx?menuIndex=3&amp;refID=7046644&amp;Result=3","7046644")</f>
        <v>0</v>
      </c>
      <c r="B4335" t="s">
        <v>1552</v>
      </c>
      <c r="C4335" t="s">
        <v>7228</v>
      </c>
      <c r="D4335" t="s">
        <v>16222</v>
      </c>
      <c r="E4335" t="s">
        <v>20151</v>
      </c>
      <c r="F4335" t="s">
        <v>28198</v>
      </c>
      <c r="G4335" t="s">
        <v>28205</v>
      </c>
      <c r="H4335" t="s">
        <v>28215</v>
      </c>
      <c r="I4335" t="s">
        <v>28246</v>
      </c>
      <c r="J4335" t="s">
        <v>31151</v>
      </c>
      <c r="K4335" t="s">
        <v>36701</v>
      </c>
      <c r="M4335" t="s">
        <v>38633</v>
      </c>
      <c r="N4335" t="s">
        <v>40436</v>
      </c>
      <c r="O4335" t="s">
        <v>40437</v>
      </c>
      <c r="P4335">
        <v>0</v>
      </c>
      <c r="Q4335">
        <v>0</v>
      </c>
      <c r="R4335" t="s">
        <v>40439</v>
      </c>
      <c r="S4335" t="s">
        <v>40588</v>
      </c>
      <c r="T4335" t="s">
        <v>42295</v>
      </c>
      <c r="U4335" t="s">
        <v>46317</v>
      </c>
      <c r="W4335" t="s">
        <v>38633</v>
      </c>
      <c r="X4335" t="s">
        <v>40440</v>
      </c>
    </row>
    <row r="4336" spans="1:24">
      <c r="A4336">
        <f>HYPERLINK("https://www.philgeps.gov.ph/GEPSNONPILOT/Tender/SplashBidNoticeAbstractUI.aspx?menuIndex=3&amp;refID=7046640&amp;Result=3","7046640")</f>
        <v>0</v>
      </c>
      <c r="B4336" t="s">
        <v>1532</v>
      </c>
      <c r="C4336" t="s">
        <v>7229</v>
      </c>
      <c r="D4336" t="s">
        <v>16199</v>
      </c>
      <c r="E4336" t="s">
        <v>16511</v>
      </c>
      <c r="F4336" t="s">
        <v>28198</v>
      </c>
      <c r="G4336" t="s">
        <v>28205</v>
      </c>
      <c r="H4336" t="s">
        <v>28214</v>
      </c>
      <c r="I4336" t="s">
        <v>5100</v>
      </c>
      <c r="J4336" t="s">
        <v>31152</v>
      </c>
      <c r="K4336" t="s">
        <v>36707</v>
      </c>
      <c r="M4336" t="s">
        <v>38610</v>
      </c>
      <c r="N4336" t="s">
        <v>40436</v>
      </c>
      <c r="O4336" t="s">
        <v>40437</v>
      </c>
      <c r="P4336">
        <v>0</v>
      </c>
      <c r="Q4336">
        <v>0</v>
      </c>
      <c r="R4336" t="s">
        <v>40439</v>
      </c>
      <c r="S4336" t="s">
        <v>40588</v>
      </c>
      <c r="T4336" t="s">
        <v>42152</v>
      </c>
      <c r="U4336" t="s">
        <v>46318</v>
      </c>
      <c r="W4336" t="s">
        <v>38610</v>
      </c>
      <c r="X4336" t="s">
        <v>40440</v>
      </c>
    </row>
    <row r="4337" spans="1:24">
      <c r="A4337">
        <f>HYPERLINK("https://www.philgeps.gov.ph/GEPSNONPILOT/Tender/SplashBidNoticeAbstractUI.aspx?menuIndex=3&amp;refID=7046648&amp;Result=3","7046648")</f>
        <v>0</v>
      </c>
      <c r="B4337" t="s">
        <v>116</v>
      </c>
      <c r="C4337" t="s">
        <v>7230</v>
      </c>
      <c r="D4337" t="s">
        <v>16207</v>
      </c>
      <c r="E4337" t="s">
        <v>20152</v>
      </c>
      <c r="F4337" t="s">
        <v>28198</v>
      </c>
      <c r="G4337" t="s">
        <v>28205</v>
      </c>
      <c r="H4337" t="s">
        <v>28215</v>
      </c>
      <c r="I4337" t="s">
        <v>28222</v>
      </c>
      <c r="J4337" t="s">
        <v>31153</v>
      </c>
      <c r="K4337" t="s">
        <v>36707</v>
      </c>
      <c r="M4337" t="s">
        <v>38634</v>
      </c>
      <c r="N4337" t="s">
        <v>40436</v>
      </c>
      <c r="O4337" t="s">
        <v>40437</v>
      </c>
      <c r="P4337">
        <v>0</v>
      </c>
      <c r="Q4337">
        <v>4</v>
      </c>
      <c r="R4337" t="s">
        <v>40439</v>
      </c>
      <c r="S4337" t="s">
        <v>40588</v>
      </c>
      <c r="T4337" t="s">
        <v>42110</v>
      </c>
      <c r="U4337" t="s">
        <v>46319</v>
      </c>
      <c r="W4337" t="s">
        <v>38634</v>
      </c>
      <c r="X4337" t="s">
        <v>40440</v>
      </c>
    </row>
    <row r="4338" spans="1:24">
      <c r="A4338">
        <f>HYPERLINK("https://www.philgeps.gov.ph/GEPSNONPILOT/Tender/SplashBidNoticeAbstractUI.aspx?menuIndex=3&amp;refID=7046641&amp;Result=3","7046641")</f>
        <v>0</v>
      </c>
      <c r="B4338" t="s">
        <v>489</v>
      </c>
      <c r="C4338" t="s">
        <v>7231</v>
      </c>
      <c r="E4338" t="s">
        <v>16684</v>
      </c>
      <c r="F4338" t="s">
        <v>28198</v>
      </c>
      <c r="G4338" t="s">
        <v>28206</v>
      </c>
      <c r="H4338" t="s">
        <v>28215</v>
      </c>
      <c r="I4338" t="s">
        <v>5656</v>
      </c>
      <c r="J4338" t="s">
        <v>31154</v>
      </c>
      <c r="K4338" t="s">
        <v>36689</v>
      </c>
      <c r="M4338" t="s">
        <v>37474</v>
      </c>
      <c r="N4338" t="s">
        <v>40436</v>
      </c>
      <c r="O4338" t="s">
        <v>40437</v>
      </c>
      <c r="P4338">
        <v>0</v>
      </c>
      <c r="Q4338">
        <v>0</v>
      </c>
      <c r="R4338" t="s">
        <v>40439</v>
      </c>
      <c r="S4338" t="s">
        <v>40588</v>
      </c>
      <c r="T4338" t="s">
        <v>42245</v>
      </c>
      <c r="U4338" t="s">
        <v>46320</v>
      </c>
      <c r="W4338" t="s">
        <v>37474</v>
      </c>
      <c r="X4338" t="s">
        <v>40440</v>
      </c>
    </row>
    <row r="4339" spans="1:24">
      <c r="A4339">
        <f>HYPERLINK("https://www.philgeps.gov.ph/GEPSNONPILOT/Tender/SplashBidNoticeAbstractUI.aspx?menuIndex=3&amp;refID=7046662&amp;Result=3","7046662")</f>
        <v>0</v>
      </c>
      <c r="B4339" t="s">
        <v>455</v>
      </c>
      <c r="C4339" t="s">
        <v>7232</v>
      </c>
      <c r="D4339" t="s">
        <v>16263</v>
      </c>
      <c r="E4339" t="s">
        <v>20153</v>
      </c>
      <c r="F4339" t="s">
        <v>28198</v>
      </c>
      <c r="G4339" t="s">
        <v>28205</v>
      </c>
      <c r="H4339" t="s">
        <v>28215</v>
      </c>
      <c r="I4339" t="s">
        <v>5082</v>
      </c>
      <c r="J4339" t="s">
        <v>31155</v>
      </c>
      <c r="K4339" t="s">
        <v>36689</v>
      </c>
      <c r="M4339" t="s">
        <v>37439</v>
      </c>
      <c r="N4339" t="s">
        <v>40436</v>
      </c>
      <c r="O4339" t="s">
        <v>40437</v>
      </c>
      <c r="P4339">
        <v>0</v>
      </c>
      <c r="Q4339">
        <v>3</v>
      </c>
      <c r="R4339" t="s">
        <v>40439</v>
      </c>
      <c r="S4339" t="s">
        <v>40588</v>
      </c>
      <c r="T4339" t="s">
        <v>42118</v>
      </c>
      <c r="U4339" t="s">
        <v>46302</v>
      </c>
      <c r="W4339" t="s">
        <v>37439</v>
      </c>
      <c r="X4339" t="s">
        <v>40440</v>
      </c>
    </row>
    <row r="4340" spans="1:24">
      <c r="A4340">
        <f>HYPERLINK("https://www.philgeps.gov.ph/GEPSNONPILOT/Tender/SplashBidNoticeAbstractUI.aspx?menuIndex=3&amp;refID=7046639&amp;Result=3","7046639")</f>
        <v>0</v>
      </c>
      <c r="B4340" t="s">
        <v>1553</v>
      </c>
      <c r="C4340" t="s">
        <v>7233</v>
      </c>
      <c r="D4340" t="s">
        <v>16247</v>
      </c>
      <c r="E4340" t="s">
        <v>20154</v>
      </c>
      <c r="F4340" t="s">
        <v>28198</v>
      </c>
      <c r="G4340" t="s">
        <v>28206</v>
      </c>
      <c r="H4340" t="s">
        <v>28215</v>
      </c>
      <c r="I4340" t="s">
        <v>4505</v>
      </c>
      <c r="J4340" t="s">
        <v>28361</v>
      </c>
      <c r="K4340" t="s">
        <v>36701</v>
      </c>
      <c r="M4340" t="s">
        <v>38635</v>
      </c>
      <c r="N4340" t="s">
        <v>40436</v>
      </c>
      <c r="O4340" t="s">
        <v>40437</v>
      </c>
      <c r="P4340">
        <v>0</v>
      </c>
      <c r="Q4340">
        <v>6</v>
      </c>
      <c r="R4340" t="s">
        <v>40439</v>
      </c>
      <c r="S4340" t="s">
        <v>40588</v>
      </c>
      <c r="T4340" t="s">
        <v>42205</v>
      </c>
      <c r="U4340" t="s">
        <v>46321</v>
      </c>
      <c r="W4340" t="s">
        <v>38635</v>
      </c>
      <c r="X4340" t="s">
        <v>40440</v>
      </c>
    </row>
    <row r="4341" spans="1:24">
      <c r="A4341">
        <f>HYPERLINK("https://www.philgeps.gov.ph/GEPSNONPILOT/Tender/SplashBidNoticeAbstractUI.aspx?menuIndex=3&amp;refID=7046661&amp;Result=3","7046661")</f>
        <v>0</v>
      </c>
      <c r="B4341" t="s">
        <v>1554</v>
      </c>
      <c r="C4341" t="s">
        <v>7234</v>
      </c>
      <c r="D4341" t="s">
        <v>16215</v>
      </c>
      <c r="E4341" t="s">
        <v>20155</v>
      </c>
      <c r="F4341" t="s">
        <v>28198</v>
      </c>
      <c r="G4341" t="s">
        <v>28207</v>
      </c>
      <c r="H4341" t="s">
        <v>28215</v>
      </c>
      <c r="I4341" t="s">
        <v>28324</v>
      </c>
      <c r="J4341" t="s">
        <v>31156</v>
      </c>
      <c r="K4341" t="s">
        <v>36774</v>
      </c>
      <c r="M4341" t="s">
        <v>38636</v>
      </c>
      <c r="N4341" t="s">
        <v>40436</v>
      </c>
      <c r="O4341" t="s">
        <v>40437</v>
      </c>
      <c r="P4341">
        <v>0</v>
      </c>
      <c r="Q4341">
        <v>1</v>
      </c>
      <c r="R4341" t="s">
        <v>40439</v>
      </c>
      <c r="S4341" t="s">
        <v>40588</v>
      </c>
      <c r="T4341" t="s">
        <v>42169</v>
      </c>
      <c r="U4341" t="s">
        <v>46322</v>
      </c>
      <c r="V4341" t="s">
        <v>54221</v>
      </c>
      <c r="W4341" t="s">
        <v>38636</v>
      </c>
      <c r="X4341" t="s">
        <v>40440</v>
      </c>
    </row>
    <row r="4342" spans="1:24">
      <c r="A4342">
        <f>HYPERLINK("https://www.philgeps.gov.ph/GEPSNONPILOT/Tender/SplashBidNoticeAbstractUI.aspx?menuIndex=3&amp;refID=7046660&amp;Result=3","7046660")</f>
        <v>0</v>
      </c>
      <c r="B4342" t="s">
        <v>1536</v>
      </c>
      <c r="C4342" t="s">
        <v>7235</v>
      </c>
      <c r="D4342" t="s">
        <v>16222</v>
      </c>
      <c r="E4342" t="s">
        <v>20156</v>
      </c>
      <c r="F4342" t="s">
        <v>28198</v>
      </c>
      <c r="G4342" t="s">
        <v>28205</v>
      </c>
      <c r="H4342" t="s">
        <v>28214</v>
      </c>
      <c r="I4342" t="s">
        <v>3797</v>
      </c>
      <c r="J4342" t="s">
        <v>31157</v>
      </c>
      <c r="K4342" t="s">
        <v>36689</v>
      </c>
      <c r="M4342" t="s">
        <v>38629</v>
      </c>
      <c r="N4342" t="s">
        <v>40436</v>
      </c>
      <c r="O4342" t="s">
        <v>40437</v>
      </c>
      <c r="P4342">
        <v>0</v>
      </c>
      <c r="Q4342">
        <v>0</v>
      </c>
      <c r="R4342" t="s">
        <v>40439</v>
      </c>
      <c r="S4342" t="s">
        <v>40588</v>
      </c>
      <c r="T4342" t="s">
        <v>42110</v>
      </c>
      <c r="U4342" t="s">
        <v>46255</v>
      </c>
      <c r="W4342" t="s">
        <v>38629</v>
      </c>
      <c r="X4342" t="s">
        <v>40440</v>
      </c>
    </row>
    <row r="4343" spans="1:24">
      <c r="A4343">
        <f>HYPERLINK("https://www.philgeps.gov.ph/GEPSNONPILOT/Tender/SplashBidNoticeAbstractUI.aspx?menuIndex=3&amp;refID=7046643&amp;Result=3","7046643")</f>
        <v>0</v>
      </c>
      <c r="B4343" t="s">
        <v>1555</v>
      </c>
      <c r="C4343" t="s">
        <v>3595</v>
      </c>
      <c r="D4343" t="s">
        <v>16239</v>
      </c>
      <c r="E4343" t="s">
        <v>20157</v>
      </c>
      <c r="F4343" t="s">
        <v>28198</v>
      </c>
      <c r="G4343" t="s">
        <v>28207</v>
      </c>
      <c r="H4343" t="s">
        <v>28215</v>
      </c>
      <c r="I4343" t="s">
        <v>5100</v>
      </c>
      <c r="J4343" t="s">
        <v>31158</v>
      </c>
      <c r="K4343" t="s">
        <v>36707</v>
      </c>
      <c r="M4343" t="s">
        <v>38637</v>
      </c>
      <c r="N4343" t="s">
        <v>40436</v>
      </c>
      <c r="O4343" t="s">
        <v>40437</v>
      </c>
      <c r="P4343">
        <v>0</v>
      </c>
      <c r="Q4343">
        <v>0</v>
      </c>
      <c r="R4343" t="s">
        <v>40439</v>
      </c>
      <c r="S4343" t="s">
        <v>40588</v>
      </c>
      <c r="T4343" t="s">
        <v>42158</v>
      </c>
      <c r="U4343" t="s">
        <v>46323</v>
      </c>
      <c r="V4343" t="s">
        <v>54222</v>
      </c>
      <c r="W4343" t="s">
        <v>38637</v>
      </c>
      <c r="X4343" t="s">
        <v>40440</v>
      </c>
    </row>
    <row r="4344" spans="1:24">
      <c r="A4344">
        <f>HYPERLINK("https://www.philgeps.gov.ph/GEPSNONPILOT/Tender/SplashBidNoticeAbstractUI.aspx?menuIndex=3&amp;refID=7046658&amp;Result=3","7046658")</f>
        <v>0</v>
      </c>
      <c r="B4344" t="s">
        <v>1516</v>
      </c>
      <c r="C4344" t="s">
        <v>7236</v>
      </c>
      <c r="D4344" t="s">
        <v>16213</v>
      </c>
      <c r="E4344" t="s">
        <v>18126</v>
      </c>
      <c r="F4344" t="s">
        <v>28198</v>
      </c>
      <c r="G4344" t="s">
        <v>28205</v>
      </c>
      <c r="H4344" t="s">
        <v>28214</v>
      </c>
      <c r="I4344" t="s">
        <v>3797</v>
      </c>
      <c r="J4344" t="s">
        <v>28415</v>
      </c>
      <c r="K4344" t="s">
        <v>36709</v>
      </c>
      <c r="M4344" t="s">
        <v>38593</v>
      </c>
      <c r="N4344" t="s">
        <v>40436</v>
      </c>
      <c r="O4344" t="s">
        <v>40437</v>
      </c>
      <c r="P4344">
        <v>0</v>
      </c>
      <c r="Q4344">
        <v>0</v>
      </c>
      <c r="R4344" t="s">
        <v>40439</v>
      </c>
      <c r="S4344" t="s">
        <v>40588</v>
      </c>
      <c r="T4344" t="s">
        <v>42125</v>
      </c>
      <c r="U4344" t="s">
        <v>46324</v>
      </c>
      <c r="W4344" t="s">
        <v>38593</v>
      </c>
      <c r="X4344" t="s">
        <v>40440</v>
      </c>
    </row>
    <row r="4345" spans="1:24">
      <c r="A4345">
        <f>HYPERLINK("https://www.philgeps.gov.ph/GEPSNONPILOT/Tender/SplashBidNoticeAbstractUI.aspx?menuIndex=3&amp;refID=7046657&amp;Result=3","7046657")</f>
        <v>0</v>
      </c>
      <c r="B4345" t="s">
        <v>1556</v>
      </c>
      <c r="C4345" t="s">
        <v>5903</v>
      </c>
      <c r="D4345" t="s">
        <v>16268</v>
      </c>
      <c r="E4345" t="s">
        <v>20158</v>
      </c>
      <c r="F4345" t="s">
        <v>28198</v>
      </c>
      <c r="G4345" t="s">
        <v>28205</v>
      </c>
      <c r="H4345" t="s">
        <v>28215</v>
      </c>
      <c r="I4345" t="s">
        <v>8888</v>
      </c>
      <c r="J4345" t="s">
        <v>31159</v>
      </c>
      <c r="K4345" t="s">
        <v>36701</v>
      </c>
      <c r="M4345" t="s">
        <v>38638</v>
      </c>
      <c r="N4345" t="s">
        <v>40436</v>
      </c>
      <c r="O4345" t="s">
        <v>40437</v>
      </c>
      <c r="P4345">
        <v>0</v>
      </c>
      <c r="Q4345">
        <v>1</v>
      </c>
      <c r="R4345" t="s">
        <v>40439</v>
      </c>
      <c r="S4345" t="s">
        <v>40588</v>
      </c>
      <c r="T4345" t="s">
        <v>42176</v>
      </c>
      <c r="U4345" t="s">
        <v>46325</v>
      </c>
      <c r="W4345" t="s">
        <v>38638</v>
      </c>
      <c r="X4345" t="s">
        <v>40440</v>
      </c>
    </row>
    <row r="4346" spans="1:24">
      <c r="A4346">
        <f>HYPERLINK("https://www.philgeps.gov.ph/GEPSNONPILOT/Tender/SplashBidNoticeAbstractUI.aspx?menuIndex=3&amp;refID=7046656&amp;Result=3","7046656")</f>
        <v>0</v>
      </c>
      <c r="B4346" t="s">
        <v>748</v>
      </c>
      <c r="C4346" t="s">
        <v>7237</v>
      </c>
      <c r="D4346" t="s">
        <v>16203</v>
      </c>
      <c r="E4346" t="s">
        <v>20159</v>
      </c>
      <c r="F4346" t="s">
        <v>28198</v>
      </c>
      <c r="G4346" t="s">
        <v>28205</v>
      </c>
      <c r="H4346" t="s">
        <v>28215</v>
      </c>
      <c r="I4346" t="s">
        <v>5100</v>
      </c>
      <c r="J4346" t="s">
        <v>31160</v>
      </c>
      <c r="K4346" t="s">
        <v>36701</v>
      </c>
      <c r="M4346" t="s">
        <v>37751</v>
      </c>
      <c r="N4346" t="s">
        <v>40436</v>
      </c>
      <c r="O4346" t="s">
        <v>40437</v>
      </c>
      <c r="P4346">
        <v>0</v>
      </c>
      <c r="Q4346">
        <v>2</v>
      </c>
      <c r="R4346" t="s">
        <v>40439</v>
      </c>
      <c r="S4346" t="s">
        <v>40588</v>
      </c>
      <c r="T4346" t="s">
        <v>42394</v>
      </c>
      <c r="U4346" t="s">
        <v>44030</v>
      </c>
      <c r="V4346" t="s">
        <v>53964</v>
      </c>
      <c r="W4346" t="s">
        <v>37751</v>
      </c>
      <c r="X4346" t="s">
        <v>40440</v>
      </c>
    </row>
    <row r="4347" spans="1:24">
      <c r="A4347">
        <f>HYPERLINK("https://www.philgeps.gov.ph/GEPSNONPILOT/Tender/SplashBidNoticeAbstractUI.aspx?menuIndex=3&amp;refID=7046663&amp;Result=3","7046663")</f>
        <v>0</v>
      </c>
      <c r="B4347" t="s">
        <v>1557</v>
      </c>
      <c r="C4347" t="s">
        <v>7238</v>
      </c>
      <c r="D4347" t="s">
        <v>16204</v>
      </c>
      <c r="E4347" t="s">
        <v>20160</v>
      </c>
      <c r="F4347" t="s">
        <v>28198</v>
      </c>
      <c r="G4347" t="s">
        <v>28207</v>
      </c>
      <c r="H4347" t="s">
        <v>28217</v>
      </c>
      <c r="I4347" t="s">
        <v>6786</v>
      </c>
      <c r="J4347" t="s">
        <v>31161</v>
      </c>
      <c r="K4347" t="s">
        <v>36705</v>
      </c>
      <c r="M4347" t="s">
        <v>38639</v>
      </c>
      <c r="N4347" t="s">
        <v>40436</v>
      </c>
      <c r="O4347" t="s">
        <v>40437</v>
      </c>
      <c r="P4347">
        <v>0</v>
      </c>
      <c r="Q4347">
        <v>0</v>
      </c>
      <c r="R4347" t="s">
        <v>40439</v>
      </c>
      <c r="S4347" t="s">
        <v>40588</v>
      </c>
      <c r="T4347" t="s">
        <v>42124</v>
      </c>
      <c r="U4347" t="s">
        <v>46326</v>
      </c>
      <c r="W4347" t="s">
        <v>38639</v>
      </c>
      <c r="X4347" t="s">
        <v>40440</v>
      </c>
    </row>
    <row r="4348" spans="1:24">
      <c r="A4348">
        <f>HYPERLINK("https://www.philgeps.gov.ph/GEPSNONPILOT/Tender/SplashBidNoticeAbstractUI.aspx?menuIndex=3&amp;refID=7046670&amp;Result=3","7046670")</f>
        <v>0</v>
      </c>
      <c r="B4348" t="s">
        <v>176</v>
      </c>
      <c r="C4348" t="s">
        <v>7239</v>
      </c>
      <c r="D4348" t="s">
        <v>16217</v>
      </c>
      <c r="E4348" t="s">
        <v>20161</v>
      </c>
      <c r="F4348" t="s">
        <v>28198</v>
      </c>
      <c r="G4348" t="s">
        <v>28207</v>
      </c>
      <c r="H4348" t="s">
        <v>28215</v>
      </c>
      <c r="I4348" t="s">
        <v>28253</v>
      </c>
      <c r="J4348" t="s">
        <v>28352</v>
      </c>
      <c r="K4348" t="s">
        <v>36701</v>
      </c>
      <c r="M4348" t="s">
        <v>37150</v>
      </c>
      <c r="N4348" t="s">
        <v>40436</v>
      </c>
      <c r="O4348" t="s">
        <v>40437</v>
      </c>
      <c r="P4348">
        <v>0</v>
      </c>
      <c r="Q4348">
        <v>1</v>
      </c>
      <c r="R4348" t="s">
        <v>40439</v>
      </c>
      <c r="S4348" t="s">
        <v>40588</v>
      </c>
      <c r="T4348" t="s">
        <v>42112</v>
      </c>
      <c r="U4348" t="s">
        <v>46327</v>
      </c>
      <c r="W4348" t="s">
        <v>37150</v>
      </c>
      <c r="X4348" t="s">
        <v>40440</v>
      </c>
    </row>
    <row r="4349" spans="1:24">
      <c r="A4349">
        <f>HYPERLINK("https://www.philgeps.gov.ph/GEPSNONPILOT/Tender/SplashBidNoticeAbstractUI.aspx?menuIndex=3&amp;refID=7046659&amp;Result=3","7046659")</f>
        <v>0</v>
      </c>
      <c r="B4349" t="s">
        <v>704</v>
      </c>
      <c r="C4349" t="s">
        <v>7240</v>
      </c>
      <c r="D4349" t="s">
        <v>16200</v>
      </c>
      <c r="E4349" t="s">
        <v>20162</v>
      </c>
      <c r="F4349" t="s">
        <v>28198</v>
      </c>
      <c r="G4349" t="s">
        <v>28210</v>
      </c>
      <c r="H4349" t="s">
        <v>28215</v>
      </c>
      <c r="I4349" t="s">
        <v>4219</v>
      </c>
      <c r="J4349" t="s">
        <v>31162</v>
      </c>
      <c r="K4349" t="s">
        <v>36688</v>
      </c>
      <c r="M4349" t="s">
        <v>37704</v>
      </c>
      <c r="N4349" t="s">
        <v>40436</v>
      </c>
      <c r="O4349" t="s">
        <v>40437</v>
      </c>
      <c r="P4349">
        <v>0</v>
      </c>
      <c r="Q4349">
        <v>3</v>
      </c>
      <c r="R4349" t="s">
        <v>40439</v>
      </c>
      <c r="S4349" t="s">
        <v>40588</v>
      </c>
      <c r="T4349" t="s">
        <v>42131</v>
      </c>
      <c r="U4349" t="s">
        <v>43915</v>
      </c>
      <c r="V4349" t="s">
        <v>53955</v>
      </c>
      <c r="W4349" t="s">
        <v>37704</v>
      </c>
      <c r="X4349" t="s">
        <v>40440</v>
      </c>
    </row>
    <row r="4350" spans="1:24">
      <c r="A4350">
        <f>HYPERLINK("https://www.philgeps.gov.ph/GEPSNONPILOT/Tender/SplashBidNoticeAbstractUI.aspx?menuIndex=3&amp;refID=7046634&amp;Result=3","7046634")</f>
        <v>0</v>
      </c>
      <c r="B4350" t="s">
        <v>940</v>
      </c>
      <c r="C4350" t="s">
        <v>7241</v>
      </c>
      <c r="D4350" t="s">
        <v>16223</v>
      </c>
      <c r="E4350" t="s">
        <v>20163</v>
      </c>
      <c r="F4350" t="s">
        <v>28198</v>
      </c>
      <c r="G4350" t="s">
        <v>28205</v>
      </c>
      <c r="H4350" t="s">
        <v>28215</v>
      </c>
      <c r="I4350" t="s">
        <v>28280</v>
      </c>
      <c r="J4350" t="s">
        <v>31163</v>
      </c>
      <c r="K4350" t="s">
        <v>36733</v>
      </c>
      <c r="M4350" t="s">
        <v>37963</v>
      </c>
      <c r="N4350" t="s">
        <v>40436</v>
      </c>
      <c r="O4350" t="s">
        <v>40437</v>
      </c>
      <c r="Q4350">
        <v>3</v>
      </c>
      <c r="R4350" t="s">
        <v>40439</v>
      </c>
      <c r="S4350" t="s">
        <v>40599</v>
      </c>
      <c r="T4350" t="s">
        <v>42143</v>
      </c>
      <c r="U4350" t="s">
        <v>46328</v>
      </c>
      <c r="V4350" t="s">
        <v>54223</v>
      </c>
      <c r="W4350" t="s">
        <v>37963</v>
      </c>
      <c r="X4350" t="s">
        <v>40440</v>
      </c>
    </row>
    <row r="4351" spans="1:24">
      <c r="A4351">
        <f>HYPERLINK("https://www.philgeps.gov.ph/GEPSNONPILOT/Tender/SplashBidNoticeAbstractUI.aspx?menuIndex=3&amp;refID=7046669&amp;Result=3","7046669")</f>
        <v>0</v>
      </c>
      <c r="B4351" t="s">
        <v>1507</v>
      </c>
      <c r="C4351" t="s">
        <v>7242</v>
      </c>
      <c r="D4351" t="s">
        <v>16200</v>
      </c>
      <c r="E4351" t="s">
        <v>20164</v>
      </c>
      <c r="F4351" t="s">
        <v>28198</v>
      </c>
      <c r="G4351" t="s">
        <v>28207</v>
      </c>
      <c r="H4351" t="s">
        <v>28215</v>
      </c>
      <c r="I4351" t="s">
        <v>28230</v>
      </c>
      <c r="J4351" t="s">
        <v>31164</v>
      </c>
      <c r="K4351" t="s">
        <v>36701</v>
      </c>
      <c r="M4351" t="s">
        <v>38582</v>
      </c>
      <c r="N4351" t="s">
        <v>40436</v>
      </c>
      <c r="O4351" t="s">
        <v>40437</v>
      </c>
      <c r="P4351">
        <v>0</v>
      </c>
      <c r="Q4351">
        <v>0</v>
      </c>
      <c r="R4351" t="s">
        <v>40439</v>
      </c>
      <c r="S4351" t="s">
        <v>40588</v>
      </c>
      <c r="T4351" t="s">
        <v>42161</v>
      </c>
      <c r="U4351" t="s">
        <v>46161</v>
      </c>
      <c r="W4351" t="s">
        <v>38582</v>
      </c>
      <c r="X4351" t="s">
        <v>40440</v>
      </c>
    </row>
    <row r="4352" spans="1:24">
      <c r="A4352">
        <f>HYPERLINK("https://www.philgeps.gov.ph/GEPSNONPILOT/Tender/SplashBidNoticeAbstractUI.aspx?menuIndex=3&amp;refID=7046655&amp;Result=3","7046655")</f>
        <v>0</v>
      </c>
      <c r="B4352" t="s">
        <v>1558</v>
      </c>
      <c r="C4352" t="s">
        <v>5537</v>
      </c>
      <c r="D4352" t="s">
        <v>16217</v>
      </c>
      <c r="E4352" t="s">
        <v>16504</v>
      </c>
      <c r="F4352" t="s">
        <v>28198</v>
      </c>
      <c r="G4352" t="s">
        <v>28205</v>
      </c>
      <c r="H4352" t="s">
        <v>28215</v>
      </c>
      <c r="I4352" t="s">
        <v>5082</v>
      </c>
      <c r="J4352" t="s">
        <v>31165</v>
      </c>
      <c r="K4352" t="s">
        <v>36707</v>
      </c>
      <c r="M4352" t="s">
        <v>38640</v>
      </c>
      <c r="N4352" t="s">
        <v>40436</v>
      </c>
      <c r="O4352" t="s">
        <v>40437</v>
      </c>
      <c r="P4352">
        <v>0</v>
      </c>
      <c r="Q4352">
        <v>0</v>
      </c>
      <c r="R4352" t="s">
        <v>40439</v>
      </c>
      <c r="S4352" t="s">
        <v>40588</v>
      </c>
      <c r="T4352" t="s">
        <v>42240</v>
      </c>
      <c r="U4352" t="s">
        <v>46329</v>
      </c>
      <c r="W4352" t="s">
        <v>38640</v>
      </c>
      <c r="X4352" t="s">
        <v>40440</v>
      </c>
    </row>
    <row r="4353" spans="1:24">
      <c r="A4353">
        <f>HYPERLINK("https://www.philgeps.gov.ph/GEPSNONPILOT/Tender/SplashBidNoticeAbstractUI.aspx?menuIndex=3&amp;refID=7046665&amp;Result=3","7046665")</f>
        <v>0</v>
      </c>
      <c r="B4353" t="s">
        <v>1553</v>
      </c>
      <c r="C4353" t="s">
        <v>7243</v>
      </c>
      <c r="D4353" t="s">
        <v>16247</v>
      </c>
      <c r="E4353" t="s">
        <v>20165</v>
      </c>
      <c r="F4353" t="s">
        <v>28198</v>
      </c>
      <c r="G4353" t="s">
        <v>28206</v>
      </c>
      <c r="H4353" t="s">
        <v>28215</v>
      </c>
      <c r="I4353" t="s">
        <v>4505</v>
      </c>
      <c r="J4353" t="s">
        <v>28597</v>
      </c>
      <c r="K4353" t="s">
        <v>36701</v>
      </c>
      <c r="M4353" t="s">
        <v>38635</v>
      </c>
      <c r="N4353" t="s">
        <v>40436</v>
      </c>
      <c r="O4353" t="s">
        <v>40437</v>
      </c>
      <c r="P4353">
        <v>0</v>
      </c>
      <c r="Q4353">
        <v>9</v>
      </c>
      <c r="R4353" t="s">
        <v>40439</v>
      </c>
      <c r="S4353" t="s">
        <v>40588</v>
      </c>
      <c r="T4353" t="s">
        <v>42277</v>
      </c>
      <c r="U4353" t="s">
        <v>46330</v>
      </c>
      <c r="W4353" t="s">
        <v>38635</v>
      </c>
      <c r="X4353" t="s">
        <v>40440</v>
      </c>
    </row>
    <row r="4354" spans="1:24">
      <c r="A4354">
        <f>HYPERLINK("https://www.philgeps.gov.ph/GEPSNONPILOT/Tender/SplashBidNoticeAbstractUI.aspx?menuIndex=3&amp;refID=7046626&amp;Result=3","7046626")</f>
        <v>0</v>
      </c>
      <c r="B4354" t="s">
        <v>1559</v>
      </c>
      <c r="C4354" t="s">
        <v>7244</v>
      </c>
      <c r="D4354" t="s">
        <v>16254</v>
      </c>
      <c r="E4354" t="s">
        <v>20166</v>
      </c>
      <c r="F4354" t="s">
        <v>28198</v>
      </c>
      <c r="G4354" t="s">
        <v>28205</v>
      </c>
      <c r="H4354" t="s">
        <v>28214</v>
      </c>
      <c r="I4354" t="s">
        <v>3797</v>
      </c>
      <c r="J4354" t="s">
        <v>31166</v>
      </c>
      <c r="K4354" t="s">
        <v>36717</v>
      </c>
      <c r="M4354" t="s">
        <v>38641</v>
      </c>
      <c r="N4354" t="s">
        <v>40436</v>
      </c>
      <c r="O4354" t="s">
        <v>40437</v>
      </c>
      <c r="P4354">
        <v>0</v>
      </c>
      <c r="Q4354">
        <v>1</v>
      </c>
      <c r="R4354" t="s">
        <v>40439</v>
      </c>
      <c r="S4354" t="s">
        <v>40588</v>
      </c>
      <c r="T4354" t="s">
        <v>42106</v>
      </c>
      <c r="U4354" t="s">
        <v>46331</v>
      </c>
      <c r="W4354" t="s">
        <v>38641</v>
      </c>
      <c r="X4354" t="s">
        <v>40440</v>
      </c>
    </row>
    <row r="4355" spans="1:24">
      <c r="A4355">
        <f>HYPERLINK("https://www.philgeps.gov.ph/GEPSNONPILOT/Tender/SplashBidNoticeAbstractUI.aspx?menuIndex=3&amp;refID=7046652&amp;Result=3","7046652")</f>
        <v>0</v>
      </c>
      <c r="B4355" t="s">
        <v>1536</v>
      </c>
      <c r="C4355" t="s">
        <v>7245</v>
      </c>
      <c r="D4355" t="s">
        <v>16222</v>
      </c>
      <c r="E4355" t="s">
        <v>20167</v>
      </c>
      <c r="F4355" t="s">
        <v>28198</v>
      </c>
      <c r="G4355" t="s">
        <v>28205</v>
      </c>
      <c r="H4355" t="s">
        <v>28214</v>
      </c>
      <c r="I4355" t="s">
        <v>3797</v>
      </c>
      <c r="J4355" t="s">
        <v>31167</v>
      </c>
      <c r="K4355" t="s">
        <v>36689</v>
      </c>
      <c r="M4355" t="s">
        <v>38629</v>
      </c>
      <c r="N4355" t="s">
        <v>40436</v>
      </c>
      <c r="O4355" t="s">
        <v>40437</v>
      </c>
      <c r="P4355">
        <v>0</v>
      </c>
      <c r="Q4355">
        <v>0</v>
      </c>
      <c r="R4355" t="s">
        <v>40439</v>
      </c>
      <c r="S4355" t="s">
        <v>40588</v>
      </c>
      <c r="T4355" t="s">
        <v>42110</v>
      </c>
      <c r="U4355" t="s">
        <v>46255</v>
      </c>
      <c r="W4355" t="s">
        <v>38629</v>
      </c>
      <c r="X4355" t="s">
        <v>40440</v>
      </c>
    </row>
    <row r="4356" spans="1:24">
      <c r="A4356">
        <f>HYPERLINK("https://www.philgeps.gov.ph/GEPSNONPILOT/Tender/SplashBidNoticeAbstractUI.aspx?menuIndex=3&amp;refID=7046651&amp;Result=3","7046651")</f>
        <v>0</v>
      </c>
      <c r="B4356" t="s">
        <v>1225</v>
      </c>
      <c r="C4356" t="s">
        <v>7246</v>
      </c>
      <c r="D4356" t="s">
        <v>16236</v>
      </c>
      <c r="E4356" t="s">
        <v>19800</v>
      </c>
      <c r="F4356" t="s">
        <v>28198</v>
      </c>
      <c r="G4356" t="s">
        <v>28207</v>
      </c>
      <c r="H4356" t="s">
        <v>28215</v>
      </c>
      <c r="I4356" t="s">
        <v>28274</v>
      </c>
      <c r="J4356" t="s">
        <v>28414</v>
      </c>
      <c r="K4356" t="s">
        <v>36701</v>
      </c>
      <c r="M4356" t="s">
        <v>38273</v>
      </c>
      <c r="N4356" t="s">
        <v>40436</v>
      </c>
      <c r="O4356" t="s">
        <v>40437</v>
      </c>
      <c r="P4356">
        <v>0</v>
      </c>
      <c r="Q4356">
        <v>0</v>
      </c>
      <c r="R4356" t="s">
        <v>40439</v>
      </c>
      <c r="S4356" t="s">
        <v>40588</v>
      </c>
      <c r="T4356" t="s">
        <v>42129</v>
      </c>
      <c r="U4356" t="s">
        <v>46332</v>
      </c>
      <c r="V4356" t="s">
        <v>54111</v>
      </c>
      <c r="W4356" t="s">
        <v>38273</v>
      </c>
      <c r="X4356" t="s">
        <v>40440</v>
      </c>
    </row>
    <row r="4357" spans="1:24">
      <c r="A4357">
        <f>HYPERLINK("https://www.philgeps.gov.ph/GEPSNONPILOT/Tender/SplashBidNoticeAbstractUI.aspx?menuIndex=3&amp;refID=7046666&amp;Result=3","7046666")</f>
        <v>0</v>
      </c>
      <c r="B4357" t="s">
        <v>1047</v>
      </c>
      <c r="C4357" t="s">
        <v>7247</v>
      </c>
      <c r="D4357" t="s">
        <v>16219</v>
      </c>
      <c r="E4357" t="s">
        <v>20168</v>
      </c>
      <c r="F4357" t="s">
        <v>28198</v>
      </c>
      <c r="G4357" t="s">
        <v>28205</v>
      </c>
      <c r="H4357" t="s">
        <v>28215</v>
      </c>
      <c r="I4357" t="s">
        <v>4168</v>
      </c>
      <c r="J4357" t="s">
        <v>28352</v>
      </c>
      <c r="K4357" t="s">
        <v>36689</v>
      </c>
      <c r="M4357" t="s">
        <v>38080</v>
      </c>
      <c r="N4357" t="s">
        <v>40436</v>
      </c>
      <c r="O4357" t="s">
        <v>40437</v>
      </c>
      <c r="P4357">
        <v>0</v>
      </c>
      <c r="Q4357">
        <v>0</v>
      </c>
      <c r="R4357" t="s">
        <v>40439</v>
      </c>
      <c r="S4357" t="s">
        <v>40588</v>
      </c>
      <c r="T4357" t="s">
        <v>42144</v>
      </c>
      <c r="U4357" t="s">
        <v>46160</v>
      </c>
      <c r="W4357" t="s">
        <v>38080</v>
      </c>
      <c r="X4357" t="s">
        <v>40440</v>
      </c>
    </row>
    <row r="4358" spans="1:24">
      <c r="A4358">
        <f>HYPERLINK("https://www.philgeps.gov.ph/GEPSNONPILOT/Tender/SplashBidNoticeAbstractUI.aspx?menuIndex=3&amp;refID=7046649&amp;Result=3","7046649")</f>
        <v>0</v>
      </c>
      <c r="B4358" t="s">
        <v>1560</v>
      </c>
      <c r="C4358" t="s">
        <v>7248</v>
      </c>
      <c r="D4358" t="s">
        <v>16190</v>
      </c>
      <c r="E4358" t="s">
        <v>20169</v>
      </c>
      <c r="F4358" t="s">
        <v>28198</v>
      </c>
      <c r="G4358" t="s">
        <v>28207</v>
      </c>
      <c r="H4358" t="s">
        <v>28215</v>
      </c>
      <c r="I4358" t="s">
        <v>4219</v>
      </c>
      <c r="J4358" t="s">
        <v>31168</v>
      </c>
      <c r="K4358" t="s">
        <v>36688</v>
      </c>
      <c r="L4358" t="s">
        <v>1560</v>
      </c>
      <c r="M4358" t="s">
        <v>38642</v>
      </c>
      <c r="N4358" t="s">
        <v>40436</v>
      </c>
      <c r="O4358" t="s">
        <v>40437</v>
      </c>
      <c r="P4358">
        <v>0</v>
      </c>
      <c r="Q4358">
        <v>0</v>
      </c>
      <c r="R4358" t="s">
        <v>40439</v>
      </c>
      <c r="S4358" t="s">
        <v>40588</v>
      </c>
      <c r="T4358" t="s">
        <v>42161</v>
      </c>
      <c r="U4358" t="s">
        <v>46333</v>
      </c>
      <c r="W4358" t="s">
        <v>38642</v>
      </c>
      <c r="X4358" t="s">
        <v>40440</v>
      </c>
    </row>
    <row r="4359" spans="1:24">
      <c r="A4359">
        <f>HYPERLINK("https://www.philgeps.gov.ph/GEPSNONPILOT/Tender/SplashBidNoticeAbstractUI.aspx?menuIndex=3&amp;refID=7046664&amp;Result=3","7046664")</f>
        <v>0</v>
      </c>
      <c r="B4359" t="s">
        <v>1561</v>
      </c>
      <c r="C4359" t="s">
        <v>7249</v>
      </c>
      <c r="D4359" t="s">
        <v>16234</v>
      </c>
      <c r="E4359" t="s">
        <v>17674</v>
      </c>
      <c r="F4359" t="s">
        <v>28198</v>
      </c>
      <c r="G4359" t="s">
        <v>28205</v>
      </c>
      <c r="H4359" t="s">
        <v>28214</v>
      </c>
      <c r="I4359" t="s">
        <v>3797</v>
      </c>
      <c r="J4359" t="s">
        <v>31169</v>
      </c>
      <c r="K4359" t="s">
        <v>36692</v>
      </c>
      <c r="M4359" t="s">
        <v>38643</v>
      </c>
      <c r="N4359" t="s">
        <v>40436</v>
      </c>
      <c r="O4359" t="s">
        <v>40437</v>
      </c>
      <c r="P4359">
        <v>0</v>
      </c>
      <c r="Q4359">
        <v>1</v>
      </c>
      <c r="R4359" t="s">
        <v>40439</v>
      </c>
      <c r="S4359" t="s">
        <v>40588</v>
      </c>
      <c r="T4359" t="s">
        <v>42395</v>
      </c>
      <c r="U4359" t="s">
        <v>46334</v>
      </c>
      <c r="V4359" t="s">
        <v>54224</v>
      </c>
      <c r="W4359" t="s">
        <v>38643</v>
      </c>
      <c r="X4359" t="s">
        <v>40440</v>
      </c>
    </row>
    <row r="4360" spans="1:24">
      <c r="A4360">
        <f>HYPERLINK("https://www.philgeps.gov.ph/GEPSNONPILOT/Tender/SplashBidNoticeAbstractUI.aspx?menuIndex=3&amp;refID=7046672&amp;Result=3","7046672")</f>
        <v>0</v>
      </c>
      <c r="B4360" t="s">
        <v>1562</v>
      </c>
      <c r="C4360" t="s">
        <v>7250</v>
      </c>
      <c r="D4360" t="s">
        <v>16200</v>
      </c>
      <c r="E4360" t="s">
        <v>20170</v>
      </c>
      <c r="F4360" t="s">
        <v>28198</v>
      </c>
      <c r="G4360" t="s">
        <v>28207</v>
      </c>
      <c r="H4360" t="s">
        <v>28215</v>
      </c>
      <c r="I4360" t="s">
        <v>5082</v>
      </c>
      <c r="J4360" t="s">
        <v>28373</v>
      </c>
      <c r="K4360" t="s">
        <v>36707</v>
      </c>
      <c r="M4360" t="s">
        <v>38644</v>
      </c>
      <c r="N4360" t="s">
        <v>40436</v>
      </c>
      <c r="O4360" t="s">
        <v>40437</v>
      </c>
      <c r="P4360">
        <v>0</v>
      </c>
      <c r="Q4360">
        <v>1</v>
      </c>
      <c r="R4360" t="s">
        <v>40439</v>
      </c>
      <c r="S4360" t="s">
        <v>40588</v>
      </c>
      <c r="T4360" t="s">
        <v>42169</v>
      </c>
      <c r="U4360" t="s">
        <v>46335</v>
      </c>
      <c r="W4360" t="s">
        <v>38644</v>
      </c>
      <c r="X4360" t="s">
        <v>40440</v>
      </c>
    </row>
    <row r="4361" spans="1:24">
      <c r="A4361">
        <f>HYPERLINK("https://www.philgeps.gov.ph/GEPSNONPILOT/Tender/SplashBidNoticeAbstractUI.aspx?menuIndex=3&amp;refID=7046650&amp;Result=3","7046650")</f>
        <v>0</v>
      </c>
      <c r="B4361" t="s">
        <v>1032</v>
      </c>
      <c r="C4361" t="s">
        <v>7251</v>
      </c>
      <c r="D4361" t="s">
        <v>16195</v>
      </c>
      <c r="E4361" t="s">
        <v>17020</v>
      </c>
      <c r="F4361" t="s">
        <v>28198</v>
      </c>
      <c r="G4361" t="s">
        <v>28207</v>
      </c>
      <c r="H4361" t="s">
        <v>28217</v>
      </c>
      <c r="I4361" t="s">
        <v>28247</v>
      </c>
      <c r="J4361" t="s">
        <v>28362</v>
      </c>
      <c r="K4361" t="s">
        <v>36701</v>
      </c>
      <c r="M4361" t="s">
        <v>38064</v>
      </c>
      <c r="N4361" t="s">
        <v>40436</v>
      </c>
      <c r="O4361" t="s">
        <v>40437</v>
      </c>
      <c r="P4361">
        <v>0</v>
      </c>
      <c r="Q4361">
        <v>3</v>
      </c>
      <c r="R4361" t="s">
        <v>40439</v>
      </c>
      <c r="S4361" t="s">
        <v>40588</v>
      </c>
      <c r="T4361" t="s">
        <v>42131</v>
      </c>
      <c r="U4361" t="s">
        <v>46336</v>
      </c>
      <c r="W4361" t="s">
        <v>38064</v>
      </c>
      <c r="X4361" t="s">
        <v>40440</v>
      </c>
    </row>
    <row r="4362" spans="1:24">
      <c r="A4362">
        <f>HYPERLINK("https://www.philgeps.gov.ph/GEPSNONPILOT/Tender/SplashBidNoticeAbstractUI.aspx?menuIndex=3&amp;refID=7046673&amp;Result=3","7046673")</f>
        <v>0</v>
      </c>
      <c r="B4362" t="s">
        <v>1216</v>
      </c>
      <c r="C4362" t="s">
        <v>7252</v>
      </c>
      <c r="D4362" t="s">
        <v>16230</v>
      </c>
      <c r="E4362" t="s">
        <v>20171</v>
      </c>
      <c r="F4362" t="s">
        <v>28198</v>
      </c>
      <c r="G4362" t="s">
        <v>28207</v>
      </c>
      <c r="H4362" t="s">
        <v>28215</v>
      </c>
      <c r="I4362" t="s">
        <v>5100</v>
      </c>
      <c r="J4362" t="s">
        <v>31170</v>
      </c>
      <c r="K4362" t="s">
        <v>36689</v>
      </c>
      <c r="M4362" t="s">
        <v>38261</v>
      </c>
      <c r="N4362" t="s">
        <v>40436</v>
      </c>
      <c r="O4362" t="s">
        <v>40437</v>
      </c>
      <c r="P4362">
        <v>0</v>
      </c>
      <c r="Q4362">
        <v>0</v>
      </c>
      <c r="R4362" t="s">
        <v>40439</v>
      </c>
      <c r="S4362" t="s">
        <v>40588</v>
      </c>
      <c r="T4362" t="s">
        <v>42340</v>
      </c>
      <c r="U4362" t="s">
        <v>46337</v>
      </c>
      <c r="W4362" t="s">
        <v>38261</v>
      </c>
      <c r="X4362" t="s">
        <v>40440</v>
      </c>
    </row>
    <row r="4363" spans="1:24">
      <c r="A4363">
        <f>HYPERLINK("https://www.philgeps.gov.ph/GEPSNONPILOT/Tender/SplashBidNoticeAbstractUI.aspx?menuIndex=3&amp;refID=7046668&amp;Result=3","7046668")</f>
        <v>0</v>
      </c>
      <c r="B4363" t="s">
        <v>1023</v>
      </c>
      <c r="C4363" t="s">
        <v>7253</v>
      </c>
      <c r="D4363" t="s">
        <v>16265</v>
      </c>
      <c r="E4363" t="s">
        <v>20142</v>
      </c>
      <c r="F4363" t="s">
        <v>28198</v>
      </c>
      <c r="G4363" t="s">
        <v>28205</v>
      </c>
      <c r="H4363" t="s">
        <v>28215</v>
      </c>
      <c r="I4363" t="s">
        <v>28249</v>
      </c>
      <c r="J4363" t="s">
        <v>31171</v>
      </c>
      <c r="K4363" t="s">
        <v>36701</v>
      </c>
      <c r="M4363" t="s">
        <v>38054</v>
      </c>
      <c r="N4363" t="s">
        <v>40436</v>
      </c>
      <c r="O4363" t="s">
        <v>40437</v>
      </c>
      <c r="P4363">
        <v>0</v>
      </c>
      <c r="Q4363">
        <v>0</v>
      </c>
      <c r="R4363" t="s">
        <v>40439</v>
      </c>
      <c r="S4363" t="s">
        <v>40588</v>
      </c>
      <c r="T4363" t="s">
        <v>42108</v>
      </c>
      <c r="U4363" t="s">
        <v>46311</v>
      </c>
      <c r="W4363" t="s">
        <v>38054</v>
      </c>
      <c r="X4363" t="s">
        <v>40440</v>
      </c>
    </row>
    <row r="4364" spans="1:24">
      <c r="A4364">
        <f>HYPERLINK("https://www.philgeps.gov.ph/GEPSNONPILOT/Tender/SplashBidNoticeAbstractUI.aspx?menuIndex=3&amp;refID=7046679&amp;Result=3","7046679")</f>
        <v>0</v>
      </c>
      <c r="B4364" t="s">
        <v>500</v>
      </c>
      <c r="C4364" t="s">
        <v>7254</v>
      </c>
      <c r="D4364" t="s">
        <v>16190</v>
      </c>
      <c r="E4364" t="s">
        <v>20172</v>
      </c>
      <c r="F4364" t="s">
        <v>28198</v>
      </c>
      <c r="G4364" t="s">
        <v>28207</v>
      </c>
      <c r="H4364" t="s">
        <v>28215</v>
      </c>
      <c r="I4364" t="s">
        <v>28259</v>
      </c>
      <c r="J4364" t="s">
        <v>31172</v>
      </c>
      <c r="K4364" t="s">
        <v>36701</v>
      </c>
      <c r="M4364" t="s">
        <v>37485</v>
      </c>
      <c r="N4364" t="s">
        <v>40436</v>
      </c>
      <c r="O4364" t="s">
        <v>40437</v>
      </c>
      <c r="P4364">
        <v>0</v>
      </c>
      <c r="Q4364">
        <v>2</v>
      </c>
      <c r="R4364" t="s">
        <v>40439</v>
      </c>
      <c r="S4364" t="s">
        <v>40588</v>
      </c>
      <c r="T4364" t="s">
        <v>42133</v>
      </c>
      <c r="U4364" t="s">
        <v>44163</v>
      </c>
      <c r="W4364" t="s">
        <v>37485</v>
      </c>
      <c r="X4364" t="s">
        <v>40440</v>
      </c>
    </row>
    <row r="4365" spans="1:24">
      <c r="A4365">
        <f>HYPERLINK("https://www.philgeps.gov.ph/GEPSNONPILOT/Tender/SplashBidNoticeAbstractUI.aspx?menuIndex=3&amp;refID=7046684&amp;Result=3","7046684")</f>
        <v>0</v>
      </c>
      <c r="B4365" t="s">
        <v>1563</v>
      </c>
      <c r="C4365" t="s">
        <v>7255</v>
      </c>
      <c r="D4365" t="s">
        <v>16218</v>
      </c>
      <c r="E4365" t="s">
        <v>20173</v>
      </c>
      <c r="F4365" t="s">
        <v>28198</v>
      </c>
      <c r="G4365" t="s">
        <v>28207</v>
      </c>
      <c r="H4365" t="s">
        <v>28216</v>
      </c>
      <c r="I4365" t="s">
        <v>5103</v>
      </c>
      <c r="J4365" t="s">
        <v>31173</v>
      </c>
      <c r="K4365" t="s">
        <v>36707</v>
      </c>
      <c r="M4365" t="s">
        <v>38645</v>
      </c>
      <c r="N4365" t="s">
        <v>40436</v>
      </c>
      <c r="O4365" t="s">
        <v>40437</v>
      </c>
      <c r="P4365">
        <v>0</v>
      </c>
      <c r="Q4365">
        <v>10</v>
      </c>
      <c r="R4365" t="s">
        <v>40439</v>
      </c>
      <c r="S4365" t="s">
        <v>40588</v>
      </c>
      <c r="T4365" t="s">
        <v>42169</v>
      </c>
      <c r="U4365" t="s">
        <v>46338</v>
      </c>
      <c r="W4365" t="s">
        <v>38645</v>
      </c>
      <c r="X4365" t="s">
        <v>40440</v>
      </c>
    </row>
    <row r="4366" spans="1:24">
      <c r="A4366">
        <f>HYPERLINK("https://www.philgeps.gov.ph/GEPSNONPILOT/Tender/SplashBidNoticeAbstractUI.aspx?menuIndex=3&amp;refID=7046677&amp;Result=3","7046677")</f>
        <v>0</v>
      </c>
      <c r="B4366" t="s">
        <v>704</v>
      </c>
      <c r="C4366" t="s">
        <v>7256</v>
      </c>
      <c r="D4366" t="s">
        <v>16200</v>
      </c>
      <c r="E4366" t="s">
        <v>20174</v>
      </c>
      <c r="F4366" t="s">
        <v>28198</v>
      </c>
      <c r="G4366" t="s">
        <v>28210</v>
      </c>
      <c r="H4366" t="s">
        <v>28215</v>
      </c>
      <c r="I4366" t="s">
        <v>4219</v>
      </c>
      <c r="J4366" t="s">
        <v>31174</v>
      </c>
      <c r="K4366" t="s">
        <v>36688</v>
      </c>
      <c r="M4366" t="s">
        <v>37704</v>
      </c>
      <c r="N4366" t="s">
        <v>40436</v>
      </c>
      <c r="O4366" t="s">
        <v>40437</v>
      </c>
      <c r="P4366">
        <v>0</v>
      </c>
      <c r="Q4366">
        <v>5</v>
      </c>
      <c r="R4366" t="s">
        <v>40439</v>
      </c>
      <c r="S4366" t="s">
        <v>40588</v>
      </c>
      <c r="T4366" t="s">
        <v>42131</v>
      </c>
      <c r="U4366" t="s">
        <v>43915</v>
      </c>
      <c r="V4366" t="s">
        <v>53955</v>
      </c>
      <c r="W4366" t="s">
        <v>37704</v>
      </c>
      <c r="X4366" t="s">
        <v>40440</v>
      </c>
    </row>
    <row r="4367" spans="1:24">
      <c r="A4367">
        <f>HYPERLINK("https://www.philgeps.gov.ph/GEPSNONPILOT/Tender/SplashBidNoticeAbstractUI.aspx?menuIndex=3&amp;refID=7046681&amp;Result=3","7046681")</f>
        <v>0</v>
      </c>
      <c r="B4367" t="s">
        <v>940</v>
      </c>
      <c r="C4367" t="s">
        <v>7257</v>
      </c>
      <c r="D4367" t="s">
        <v>16278</v>
      </c>
      <c r="E4367" t="s">
        <v>20175</v>
      </c>
      <c r="F4367" t="s">
        <v>28198</v>
      </c>
      <c r="G4367" t="s">
        <v>28205</v>
      </c>
      <c r="H4367" t="s">
        <v>28215</v>
      </c>
      <c r="I4367" t="s">
        <v>28280</v>
      </c>
      <c r="J4367" t="s">
        <v>29331</v>
      </c>
      <c r="K4367" t="s">
        <v>36697</v>
      </c>
      <c r="M4367" t="s">
        <v>37963</v>
      </c>
      <c r="N4367" t="s">
        <v>40436</v>
      </c>
      <c r="O4367" t="s">
        <v>40437</v>
      </c>
      <c r="Q4367">
        <v>6</v>
      </c>
      <c r="R4367" t="s">
        <v>40439</v>
      </c>
      <c r="S4367" t="s">
        <v>40600</v>
      </c>
      <c r="T4367" t="s">
        <v>42212</v>
      </c>
      <c r="U4367" t="s">
        <v>46339</v>
      </c>
      <c r="V4367" t="s">
        <v>54225</v>
      </c>
      <c r="W4367" t="s">
        <v>37963</v>
      </c>
      <c r="X4367" t="s">
        <v>40440</v>
      </c>
    </row>
    <row r="4368" spans="1:24">
      <c r="A4368">
        <f>HYPERLINK("https://www.philgeps.gov.ph/GEPSNONPILOT/Tender/SplashBidNoticeAbstractUI.aspx?menuIndex=3&amp;refID=7046676&amp;Result=3","7046676")</f>
        <v>0</v>
      </c>
      <c r="B4368" t="s">
        <v>1564</v>
      </c>
      <c r="C4368" t="s">
        <v>7258</v>
      </c>
      <c r="D4368" t="s">
        <v>16195</v>
      </c>
      <c r="E4368" t="s">
        <v>20176</v>
      </c>
      <c r="F4368" t="s">
        <v>28198</v>
      </c>
      <c r="G4368" t="s">
        <v>28208</v>
      </c>
      <c r="H4368" t="s">
        <v>28216</v>
      </c>
      <c r="I4368" t="s">
        <v>28263</v>
      </c>
      <c r="J4368" t="s">
        <v>31175</v>
      </c>
      <c r="K4368" t="s">
        <v>36692</v>
      </c>
      <c r="M4368" t="s">
        <v>38646</v>
      </c>
      <c r="N4368" t="s">
        <v>40436</v>
      </c>
      <c r="O4368" t="s">
        <v>40437</v>
      </c>
      <c r="P4368">
        <v>0</v>
      </c>
      <c r="Q4368">
        <v>0</v>
      </c>
      <c r="R4368" t="s">
        <v>40439</v>
      </c>
      <c r="S4368" t="s">
        <v>40588</v>
      </c>
      <c r="T4368" t="s">
        <v>42175</v>
      </c>
      <c r="U4368" t="s">
        <v>46340</v>
      </c>
      <c r="W4368" t="s">
        <v>38646</v>
      </c>
      <c r="X4368" t="s">
        <v>40440</v>
      </c>
    </row>
    <row r="4369" spans="1:24">
      <c r="A4369">
        <f>HYPERLINK("https://www.philgeps.gov.ph/GEPSNONPILOT/Tender/SplashBidNoticeAbstractUI.aspx?menuIndex=3&amp;refID=7046678&amp;Result=3","7046678")</f>
        <v>0</v>
      </c>
      <c r="B4369" t="s">
        <v>1555</v>
      </c>
      <c r="C4369" t="s">
        <v>3595</v>
      </c>
      <c r="D4369" t="s">
        <v>16239</v>
      </c>
      <c r="E4369" t="s">
        <v>20177</v>
      </c>
      <c r="F4369" t="s">
        <v>28198</v>
      </c>
      <c r="G4369" t="s">
        <v>28207</v>
      </c>
      <c r="H4369" t="s">
        <v>28215</v>
      </c>
      <c r="I4369" t="s">
        <v>5100</v>
      </c>
      <c r="J4369" t="s">
        <v>31176</v>
      </c>
      <c r="K4369" t="s">
        <v>36707</v>
      </c>
      <c r="M4369" t="s">
        <v>38637</v>
      </c>
      <c r="N4369" t="s">
        <v>40436</v>
      </c>
      <c r="O4369" t="s">
        <v>40437</v>
      </c>
      <c r="P4369">
        <v>0</v>
      </c>
      <c r="Q4369">
        <v>0</v>
      </c>
      <c r="R4369" t="s">
        <v>40439</v>
      </c>
      <c r="S4369" t="s">
        <v>40588</v>
      </c>
      <c r="T4369" t="s">
        <v>42158</v>
      </c>
      <c r="U4369" t="s">
        <v>46341</v>
      </c>
      <c r="V4369" t="s">
        <v>54222</v>
      </c>
      <c r="W4369" t="s">
        <v>38637</v>
      </c>
      <c r="X4369" t="s">
        <v>40440</v>
      </c>
    </row>
    <row r="4370" spans="1:24">
      <c r="A4370">
        <f>HYPERLINK("https://www.philgeps.gov.ph/GEPSNONPILOT/Tender/SplashBidNoticeAbstractUI.aspx?menuIndex=3&amp;refID=7046691&amp;Result=3","7046691")</f>
        <v>0</v>
      </c>
      <c r="B4370" t="s">
        <v>1507</v>
      </c>
      <c r="C4370" t="s">
        <v>7259</v>
      </c>
      <c r="D4370" t="s">
        <v>16200</v>
      </c>
      <c r="E4370" t="s">
        <v>20178</v>
      </c>
      <c r="F4370" t="s">
        <v>28198</v>
      </c>
      <c r="G4370" t="s">
        <v>28207</v>
      </c>
      <c r="H4370" t="s">
        <v>28215</v>
      </c>
      <c r="I4370" t="s">
        <v>28230</v>
      </c>
      <c r="J4370" t="s">
        <v>28671</v>
      </c>
      <c r="K4370" t="s">
        <v>36701</v>
      </c>
      <c r="M4370" t="s">
        <v>38582</v>
      </c>
      <c r="N4370" t="s">
        <v>40436</v>
      </c>
      <c r="O4370" t="s">
        <v>40437</v>
      </c>
      <c r="P4370">
        <v>0</v>
      </c>
      <c r="Q4370">
        <v>0</v>
      </c>
      <c r="R4370" t="s">
        <v>40439</v>
      </c>
      <c r="S4370" t="s">
        <v>40588</v>
      </c>
      <c r="T4370" t="s">
        <v>42161</v>
      </c>
      <c r="U4370" t="s">
        <v>46161</v>
      </c>
      <c r="W4370" t="s">
        <v>38582</v>
      </c>
      <c r="X4370" t="s">
        <v>40440</v>
      </c>
    </row>
    <row r="4371" spans="1:24">
      <c r="A4371">
        <f>HYPERLINK("https://www.philgeps.gov.ph/GEPSNONPILOT/Tender/SplashBidNoticeAbstractUI.aspx?menuIndex=3&amp;refID=7046682&amp;Result=3","7046682")</f>
        <v>0</v>
      </c>
      <c r="B4371" t="s">
        <v>1565</v>
      </c>
      <c r="C4371" t="s">
        <v>7260</v>
      </c>
      <c r="D4371" t="s">
        <v>16195</v>
      </c>
      <c r="E4371" t="s">
        <v>20179</v>
      </c>
      <c r="F4371" t="s">
        <v>28198</v>
      </c>
      <c r="G4371" t="s">
        <v>28210</v>
      </c>
      <c r="H4371" t="s">
        <v>28215</v>
      </c>
      <c r="I4371" t="s">
        <v>4219</v>
      </c>
      <c r="J4371" t="s">
        <v>28378</v>
      </c>
      <c r="K4371" t="s">
        <v>36706</v>
      </c>
      <c r="M4371" t="s">
        <v>38647</v>
      </c>
      <c r="N4371" t="s">
        <v>40436</v>
      </c>
      <c r="O4371" t="s">
        <v>40437</v>
      </c>
      <c r="P4371">
        <v>0</v>
      </c>
      <c r="Q4371">
        <v>2</v>
      </c>
      <c r="R4371" t="s">
        <v>40439</v>
      </c>
      <c r="S4371" t="s">
        <v>40588</v>
      </c>
      <c r="T4371" t="s">
        <v>42134</v>
      </c>
      <c r="U4371" t="s">
        <v>46342</v>
      </c>
      <c r="W4371" t="s">
        <v>38647</v>
      </c>
      <c r="X4371" t="s">
        <v>40440</v>
      </c>
    </row>
    <row r="4372" spans="1:24">
      <c r="A4372">
        <f>HYPERLINK("https://www.philgeps.gov.ph/GEPSNONPILOT/Tender/SplashBidNoticeAbstractUI.aspx?menuIndex=3&amp;refID=7046675&amp;Result=3","7046675")</f>
        <v>0</v>
      </c>
      <c r="B4372" t="s">
        <v>1019</v>
      </c>
      <c r="C4372" t="s">
        <v>7261</v>
      </c>
      <c r="D4372" t="s">
        <v>16202</v>
      </c>
      <c r="E4372" t="s">
        <v>20180</v>
      </c>
      <c r="F4372" t="s">
        <v>28198</v>
      </c>
      <c r="G4372" t="s">
        <v>28207</v>
      </c>
      <c r="H4372" t="s">
        <v>28215</v>
      </c>
      <c r="I4372" t="s">
        <v>28238</v>
      </c>
      <c r="J4372" t="s">
        <v>31177</v>
      </c>
      <c r="K4372" t="s">
        <v>36701</v>
      </c>
      <c r="M4372" t="s">
        <v>38048</v>
      </c>
      <c r="N4372" t="s">
        <v>40436</v>
      </c>
      <c r="O4372" t="s">
        <v>40437</v>
      </c>
      <c r="P4372">
        <v>0</v>
      </c>
      <c r="Q4372">
        <v>3</v>
      </c>
      <c r="R4372" t="s">
        <v>40439</v>
      </c>
      <c r="S4372" t="s">
        <v>40588</v>
      </c>
      <c r="T4372" t="s">
        <v>42158</v>
      </c>
      <c r="U4372" t="s">
        <v>45985</v>
      </c>
      <c r="W4372" t="s">
        <v>38048</v>
      </c>
      <c r="X4372" t="s">
        <v>40440</v>
      </c>
    </row>
    <row r="4373" spans="1:24">
      <c r="A4373">
        <f>HYPERLINK("https://www.philgeps.gov.ph/GEPSNONPILOT/Tender/SplashBidNoticeAbstractUI.aspx?menuIndex=3&amp;refID=7046689&amp;Result=3","7046689")</f>
        <v>0</v>
      </c>
      <c r="B4373" t="s">
        <v>1566</v>
      </c>
      <c r="C4373" t="s">
        <v>7262</v>
      </c>
      <c r="D4373" t="s">
        <v>16210</v>
      </c>
      <c r="E4373" t="s">
        <v>20181</v>
      </c>
      <c r="F4373" t="s">
        <v>28198</v>
      </c>
      <c r="G4373" t="s">
        <v>28205</v>
      </c>
      <c r="H4373" t="s">
        <v>28215</v>
      </c>
      <c r="I4373" t="s">
        <v>28238</v>
      </c>
      <c r="J4373" t="s">
        <v>31178</v>
      </c>
      <c r="K4373" t="s">
        <v>36697</v>
      </c>
      <c r="M4373" t="s">
        <v>38648</v>
      </c>
      <c r="N4373" t="s">
        <v>40436</v>
      </c>
      <c r="O4373" t="s">
        <v>40437</v>
      </c>
      <c r="P4373">
        <v>0</v>
      </c>
      <c r="Q4373">
        <v>12</v>
      </c>
      <c r="R4373" t="s">
        <v>40439</v>
      </c>
      <c r="S4373" t="s">
        <v>40588</v>
      </c>
      <c r="T4373" t="s">
        <v>42104</v>
      </c>
      <c r="U4373" t="s">
        <v>46343</v>
      </c>
      <c r="W4373" t="s">
        <v>38648</v>
      </c>
      <c r="X4373" t="s">
        <v>40440</v>
      </c>
    </row>
    <row r="4374" spans="1:24">
      <c r="A4374">
        <f>HYPERLINK("https://www.philgeps.gov.ph/GEPSNONPILOT/Tender/SplashBidNoticeAbstractUI.aspx?menuIndex=3&amp;refID=7046688&amp;Result=3","7046688")</f>
        <v>0</v>
      </c>
      <c r="B4374" t="s">
        <v>1553</v>
      </c>
      <c r="C4374" t="s">
        <v>7263</v>
      </c>
      <c r="D4374" t="s">
        <v>16247</v>
      </c>
      <c r="E4374" t="s">
        <v>20182</v>
      </c>
      <c r="F4374" t="s">
        <v>28198</v>
      </c>
      <c r="G4374" t="s">
        <v>28206</v>
      </c>
      <c r="H4374" t="s">
        <v>28215</v>
      </c>
      <c r="I4374" t="s">
        <v>4505</v>
      </c>
      <c r="J4374" t="s">
        <v>28395</v>
      </c>
      <c r="K4374" t="s">
        <v>36701</v>
      </c>
      <c r="M4374" t="s">
        <v>38635</v>
      </c>
      <c r="N4374" t="s">
        <v>40436</v>
      </c>
      <c r="O4374" t="s">
        <v>40437</v>
      </c>
      <c r="P4374">
        <v>0</v>
      </c>
      <c r="Q4374">
        <v>9</v>
      </c>
      <c r="R4374" t="s">
        <v>40439</v>
      </c>
      <c r="S4374" t="s">
        <v>40588</v>
      </c>
      <c r="T4374" t="s">
        <v>42378</v>
      </c>
      <c r="U4374" t="s">
        <v>46344</v>
      </c>
      <c r="W4374" t="s">
        <v>38635</v>
      </c>
      <c r="X4374" t="s">
        <v>40440</v>
      </c>
    </row>
    <row r="4375" spans="1:24">
      <c r="A4375">
        <f>HYPERLINK("https://www.philgeps.gov.ph/GEPSNONPILOT/Tender/SplashBidNoticeAbstractUI.aspx?menuIndex=3&amp;refID=7046680&amp;Result=3","7046680")</f>
        <v>0</v>
      </c>
      <c r="B4375" t="s">
        <v>1507</v>
      </c>
      <c r="C4375" t="s">
        <v>7264</v>
      </c>
      <c r="D4375" t="s">
        <v>16200</v>
      </c>
      <c r="E4375" t="s">
        <v>20183</v>
      </c>
      <c r="F4375" t="s">
        <v>28198</v>
      </c>
      <c r="G4375" t="s">
        <v>28207</v>
      </c>
      <c r="H4375" t="s">
        <v>28215</v>
      </c>
      <c r="I4375" t="s">
        <v>28230</v>
      </c>
      <c r="J4375" t="s">
        <v>31179</v>
      </c>
      <c r="K4375" t="s">
        <v>36701</v>
      </c>
      <c r="M4375" t="s">
        <v>38582</v>
      </c>
      <c r="N4375" t="s">
        <v>40436</v>
      </c>
      <c r="O4375" t="s">
        <v>40437</v>
      </c>
      <c r="P4375">
        <v>0</v>
      </c>
      <c r="Q4375">
        <v>0</v>
      </c>
      <c r="R4375" t="s">
        <v>40439</v>
      </c>
      <c r="S4375" t="s">
        <v>40588</v>
      </c>
      <c r="T4375" t="s">
        <v>42161</v>
      </c>
      <c r="U4375" t="s">
        <v>46161</v>
      </c>
      <c r="W4375" t="s">
        <v>38582</v>
      </c>
      <c r="X4375" t="s">
        <v>40440</v>
      </c>
    </row>
    <row r="4376" spans="1:24">
      <c r="A4376">
        <f>HYPERLINK("https://www.philgeps.gov.ph/GEPSNONPILOT/Tender/SplashBidNoticeAbstractUI.aspx?menuIndex=3&amp;refID=7046690&amp;Result=3","7046690")</f>
        <v>0</v>
      </c>
      <c r="B4376" t="s">
        <v>1516</v>
      </c>
      <c r="C4376" t="s">
        <v>7265</v>
      </c>
      <c r="D4376" t="s">
        <v>16213</v>
      </c>
      <c r="E4376" t="s">
        <v>16307</v>
      </c>
      <c r="F4376" t="s">
        <v>28198</v>
      </c>
      <c r="G4376" t="s">
        <v>28205</v>
      </c>
      <c r="H4376" t="s">
        <v>28215</v>
      </c>
      <c r="I4376" t="s">
        <v>4168</v>
      </c>
      <c r="J4376" t="s">
        <v>28601</v>
      </c>
      <c r="K4376" t="s">
        <v>36701</v>
      </c>
      <c r="M4376" t="s">
        <v>38593</v>
      </c>
      <c r="N4376" t="s">
        <v>40436</v>
      </c>
      <c r="O4376" t="s">
        <v>40437</v>
      </c>
      <c r="P4376">
        <v>0</v>
      </c>
      <c r="Q4376">
        <v>1</v>
      </c>
      <c r="R4376" t="s">
        <v>40439</v>
      </c>
      <c r="S4376" t="s">
        <v>40588</v>
      </c>
      <c r="T4376" t="s">
        <v>42125</v>
      </c>
      <c r="U4376" t="s">
        <v>46345</v>
      </c>
      <c r="W4376" t="s">
        <v>38593</v>
      </c>
      <c r="X4376" t="s">
        <v>40440</v>
      </c>
    </row>
    <row r="4377" spans="1:24">
      <c r="A4377">
        <f>HYPERLINK("https://www.philgeps.gov.ph/GEPSNONPILOT/Tender/SplashBidNoticeAbstractUI.aspx?menuIndex=3&amp;refID=7046683&amp;Result=3","7046683")</f>
        <v>0</v>
      </c>
      <c r="B4377" t="s">
        <v>1102</v>
      </c>
      <c r="C4377" t="s">
        <v>7266</v>
      </c>
      <c r="D4377" t="s">
        <v>16217</v>
      </c>
      <c r="E4377" t="s">
        <v>20184</v>
      </c>
      <c r="F4377" t="s">
        <v>28198</v>
      </c>
      <c r="G4377" t="s">
        <v>28205</v>
      </c>
      <c r="H4377" t="s">
        <v>28215</v>
      </c>
      <c r="I4377" t="s">
        <v>3774</v>
      </c>
      <c r="J4377" t="s">
        <v>31180</v>
      </c>
      <c r="K4377" t="s">
        <v>36701</v>
      </c>
      <c r="L4377" t="s">
        <v>1102</v>
      </c>
      <c r="M4377" t="s">
        <v>38138</v>
      </c>
      <c r="N4377" t="s">
        <v>40436</v>
      </c>
      <c r="O4377" t="s">
        <v>40437</v>
      </c>
      <c r="P4377">
        <v>0</v>
      </c>
      <c r="Q4377">
        <v>2</v>
      </c>
      <c r="R4377" t="s">
        <v>40439</v>
      </c>
      <c r="S4377" t="s">
        <v>40588</v>
      </c>
      <c r="T4377" t="s">
        <v>42133</v>
      </c>
      <c r="U4377" t="s">
        <v>46346</v>
      </c>
      <c r="W4377" t="s">
        <v>38138</v>
      </c>
      <c r="X4377" t="s">
        <v>40440</v>
      </c>
    </row>
    <row r="4378" spans="1:24">
      <c r="A4378">
        <f>HYPERLINK("https://www.philgeps.gov.ph/GEPSNONPILOT/Tender/SplashBidNoticeAbstractUI.aspx?menuIndex=3&amp;refID=7046686&amp;Result=3","7046686")</f>
        <v>0</v>
      </c>
      <c r="B4378" t="s">
        <v>935</v>
      </c>
      <c r="C4378" t="s">
        <v>7267</v>
      </c>
      <c r="D4378" t="s">
        <v>16210</v>
      </c>
      <c r="E4378" t="s">
        <v>20185</v>
      </c>
      <c r="F4378" t="s">
        <v>28198</v>
      </c>
      <c r="G4378" t="s">
        <v>28207</v>
      </c>
      <c r="H4378" t="s">
        <v>28215</v>
      </c>
      <c r="I4378" t="s">
        <v>28282</v>
      </c>
      <c r="J4378" t="s">
        <v>31181</v>
      </c>
      <c r="K4378" t="s">
        <v>36689</v>
      </c>
      <c r="M4378" t="s">
        <v>38649</v>
      </c>
      <c r="N4378" t="s">
        <v>40436</v>
      </c>
      <c r="O4378" t="s">
        <v>40437</v>
      </c>
      <c r="P4378">
        <v>0</v>
      </c>
      <c r="Q4378">
        <v>4</v>
      </c>
      <c r="R4378" t="s">
        <v>40439</v>
      </c>
      <c r="S4378" t="s">
        <v>40588</v>
      </c>
      <c r="T4378" t="s">
        <v>42262</v>
      </c>
      <c r="U4378" t="s">
        <v>46347</v>
      </c>
      <c r="W4378" t="s">
        <v>38649</v>
      </c>
      <c r="X4378" t="s">
        <v>40440</v>
      </c>
    </row>
    <row r="4379" spans="1:24">
      <c r="A4379">
        <f>HYPERLINK("https://www.philgeps.gov.ph/GEPSNONPILOT/Tender/SplashBidNoticeAbstractUI.aspx?menuIndex=3&amp;refID=7046696&amp;Result=3","7046696")</f>
        <v>0</v>
      </c>
      <c r="B4379" t="s">
        <v>1567</v>
      </c>
      <c r="C4379" t="s">
        <v>7268</v>
      </c>
      <c r="D4379" t="s">
        <v>16210</v>
      </c>
      <c r="E4379" t="s">
        <v>20186</v>
      </c>
      <c r="F4379" t="s">
        <v>28198</v>
      </c>
      <c r="G4379" t="s">
        <v>28207</v>
      </c>
      <c r="H4379" t="s">
        <v>28215</v>
      </c>
      <c r="I4379" t="s">
        <v>28247</v>
      </c>
      <c r="J4379" t="s">
        <v>28395</v>
      </c>
      <c r="K4379" t="s">
        <v>36688</v>
      </c>
      <c r="M4379" t="s">
        <v>38650</v>
      </c>
      <c r="N4379" t="s">
        <v>40436</v>
      </c>
      <c r="O4379" t="s">
        <v>40437</v>
      </c>
      <c r="P4379">
        <v>0</v>
      </c>
      <c r="Q4379">
        <v>23</v>
      </c>
      <c r="R4379" t="s">
        <v>40439</v>
      </c>
      <c r="S4379" t="s">
        <v>40588</v>
      </c>
      <c r="T4379" t="s">
        <v>42169</v>
      </c>
      <c r="U4379" t="s">
        <v>46348</v>
      </c>
      <c r="W4379" t="s">
        <v>38650</v>
      </c>
      <c r="X4379" t="s">
        <v>40440</v>
      </c>
    </row>
    <row r="4380" spans="1:24">
      <c r="A4380">
        <f>HYPERLINK("https://www.philgeps.gov.ph/GEPSNONPILOT/Tender/SplashBidNoticeAbstractUI.aspx?menuIndex=3&amp;refID=7046685&amp;Result=3","7046685")</f>
        <v>0</v>
      </c>
      <c r="B4380" t="s">
        <v>1568</v>
      </c>
      <c r="C4380" t="s">
        <v>7269</v>
      </c>
      <c r="D4380" t="s">
        <v>16219</v>
      </c>
      <c r="E4380" t="s">
        <v>20187</v>
      </c>
      <c r="F4380" t="s">
        <v>28198</v>
      </c>
      <c r="G4380" t="s">
        <v>28206</v>
      </c>
      <c r="H4380" t="s">
        <v>28215</v>
      </c>
      <c r="I4380" t="s">
        <v>5631</v>
      </c>
      <c r="J4380" t="s">
        <v>28708</v>
      </c>
      <c r="K4380" t="s">
        <v>36701</v>
      </c>
      <c r="M4380" t="s">
        <v>38651</v>
      </c>
      <c r="N4380" t="s">
        <v>40436</v>
      </c>
      <c r="O4380" t="s">
        <v>40437</v>
      </c>
      <c r="P4380">
        <v>0</v>
      </c>
      <c r="Q4380">
        <v>0</v>
      </c>
      <c r="R4380" t="s">
        <v>40439</v>
      </c>
      <c r="S4380" t="s">
        <v>40588</v>
      </c>
      <c r="T4380" t="s">
        <v>42245</v>
      </c>
      <c r="U4380" t="s">
        <v>46349</v>
      </c>
      <c r="W4380" t="s">
        <v>38651</v>
      </c>
      <c r="X4380" t="s">
        <v>40440</v>
      </c>
    </row>
    <row r="4381" spans="1:24">
      <c r="A4381">
        <f>HYPERLINK("https://www.philgeps.gov.ph/GEPSNONPILOT/Tender/SplashBidNoticeAbstractUI.aspx?menuIndex=3&amp;refID=7046687&amp;Result=3","7046687")</f>
        <v>0</v>
      </c>
      <c r="B4381" t="s">
        <v>1521</v>
      </c>
      <c r="C4381" t="s">
        <v>7270</v>
      </c>
      <c r="D4381" t="s">
        <v>16216</v>
      </c>
      <c r="E4381" t="s">
        <v>20188</v>
      </c>
      <c r="F4381" t="s">
        <v>28198</v>
      </c>
      <c r="G4381" t="s">
        <v>28206</v>
      </c>
      <c r="H4381" t="s">
        <v>28215</v>
      </c>
      <c r="I4381" t="s">
        <v>28257</v>
      </c>
      <c r="J4381" t="s">
        <v>28386</v>
      </c>
      <c r="K4381" t="s">
        <v>36707</v>
      </c>
      <c r="M4381" t="s">
        <v>38599</v>
      </c>
      <c r="N4381" t="s">
        <v>40436</v>
      </c>
      <c r="O4381" t="s">
        <v>40437</v>
      </c>
      <c r="P4381">
        <v>0</v>
      </c>
      <c r="Q4381">
        <v>1</v>
      </c>
      <c r="R4381" t="s">
        <v>40439</v>
      </c>
      <c r="S4381" t="s">
        <v>40588</v>
      </c>
      <c r="T4381" t="s">
        <v>42176</v>
      </c>
      <c r="U4381" t="s">
        <v>46350</v>
      </c>
      <c r="W4381" t="s">
        <v>38599</v>
      </c>
      <c r="X4381" t="s">
        <v>40440</v>
      </c>
    </row>
    <row r="4382" spans="1:24">
      <c r="A4382">
        <f>HYPERLINK("https://www.philgeps.gov.ph/GEPSNONPILOT/Tender/SplashBidNoticeAbstractUI.aspx?menuIndex=3&amp;refID=7046694&amp;Result=3","7046694")</f>
        <v>0</v>
      </c>
      <c r="B4382" t="s">
        <v>1023</v>
      </c>
      <c r="C4382" t="s">
        <v>7271</v>
      </c>
      <c r="D4382" t="s">
        <v>16265</v>
      </c>
      <c r="E4382" t="s">
        <v>20189</v>
      </c>
      <c r="F4382" t="s">
        <v>28198</v>
      </c>
      <c r="G4382" t="s">
        <v>28205</v>
      </c>
      <c r="H4382" t="s">
        <v>28215</v>
      </c>
      <c r="I4382" t="s">
        <v>4200</v>
      </c>
      <c r="J4382" t="s">
        <v>31182</v>
      </c>
      <c r="K4382" t="s">
        <v>36701</v>
      </c>
      <c r="M4382" t="s">
        <v>38054</v>
      </c>
      <c r="N4382" t="s">
        <v>40436</v>
      </c>
      <c r="O4382" t="s">
        <v>40437</v>
      </c>
      <c r="P4382">
        <v>0</v>
      </c>
      <c r="Q4382">
        <v>0</v>
      </c>
      <c r="R4382" t="s">
        <v>40439</v>
      </c>
      <c r="S4382" t="s">
        <v>40588</v>
      </c>
      <c r="T4382" t="s">
        <v>42108</v>
      </c>
      <c r="U4382" t="s">
        <v>46351</v>
      </c>
      <c r="W4382" t="s">
        <v>38054</v>
      </c>
      <c r="X4382" t="s">
        <v>40440</v>
      </c>
    </row>
    <row r="4383" spans="1:24">
      <c r="A4383">
        <f>HYPERLINK("https://www.philgeps.gov.ph/GEPSNONPILOT/Tender/SplashBidNoticeAbstractUI.aspx?menuIndex=3&amp;refID=7046695&amp;Result=3","7046695")</f>
        <v>0</v>
      </c>
      <c r="B4383" t="s">
        <v>940</v>
      </c>
      <c r="C4383" t="s">
        <v>7272</v>
      </c>
      <c r="D4383" t="s">
        <v>16278</v>
      </c>
      <c r="E4383" t="s">
        <v>20190</v>
      </c>
      <c r="F4383" t="s">
        <v>28198</v>
      </c>
      <c r="G4383" t="s">
        <v>28205</v>
      </c>
      <c r="H4383" t="s">
        <v>28215</v>
      </c>
      <c r="I4383" t="s">
        <v>9499</v>
      </c>
      <c r="J4383" t="s">
        <v>31183</v>
      </c>
      <c r="K4383" t="s">
        <v>36694</v>
      </c>
      <c r="M4383" t="s">
        <v>37963</v>
      </c>
      <c r="N4383" t="s">
        <v>40436</v>
      </c>
      <c r="O4383" t="s">
        <v>40437</v>
      </c>
      <c r="Q4383">
        <v>15</v>
      </c>
      <c r="R4383" t="s">
        <v>40439</v>
      </c>
      <c r="S4383" t="s">
        <v>40601</v>
      </c>
      <c r="T4383" t="s">
        <v>42212</v>
      </c>
      <c r="U4383" t="s">
        <v>46339</v>
      </c>
      <c r="V4383" t="s">
        <v>54226</v>
      </c>
      <c r="W4383" t="s">
        <v>37963</v>
      </c>
      <c r="X4383" t="s">
        <v>40440</v>
      </c>
    </row>
    <row r="4384" spans="1:24">
      <c r="A4384">
        <f>HYPERLINK("https://www.philgeps.gov.ph/GEPSNONPILOT/Tender/SplashBidNoticeAbstractUI.aspx?menuIndex=3&amp;refID=7046706&amp;Result=3","7046706")</f>
        <v>0</v>
      </c>
      <c r="B4384" t="s">
        <v>1569</v>
      </c>
      <c r="C4384" t="s">
        <v>7273</v>
      </c>
      <c r="D4384" t="s">
        <v>16189</v>
      </c>
      <c r="E4384" t="s">
        <v>20191</v>
      </c>
      <c r="F4384" t="s">
        <v>28198</v>
      </c>
      <c r="G4384" t="s">
        <v>28207</v>
      </c>
      <c r="H4384" t="s">
        <v>28215</v>
      </c>
      <c r="I4384" t="s">
        <v>28251</v>
      </c>
      <c r="J4384" t="s">
        <v>31184</v>
      </c>
      <c r="K4384" t="s">
        <v>36689</v>
      </c>
      <c r="M4384" t="s">
        <v>38652</v>
      </c>
      <c r="N4384" t="s">
        <v>40436</v>
      </c>
      <c r="O4384" t="s">
        <v>40437</v>
      </c>
      <c r="P4384">
        <v>0</v>
      </c>
      <c r="Q4384">
        <v>8</v>
      </c>
      <c r="R4384" t="s">
        <v>40439</v>
      </c>
      <c r="S4384" t="s">
        <v>40588</v>
      </c>
      <c r="T4384" t="s">
        <v>42158</v>
      </c>
      <c r="U4384" t="s">
        <v>46352</v>
      </c>
      <c r="W4384" t="s">
        <v>38652</v>
      </c>
      <c r="X4384" t="s">
        <v>40440</v>
      </c>
    </row>
    <row r="4385" spans="1:24">
      <c r="A4385">
        <f>HYPERLINK("https://www.philgeps.gov.ph/GEPSNONPILOT/Tender/SplashBidNoticeAbstractUI.aspx?menuIndex=3&amp;refID=7046697&amp;Result=3","7046697")</f>
        <v>0</v>
      </c>
      <c r="B4385" t="s">
        <v>1556</v>
      </c>
      <c r="C4385" t="s">
        <v>7274</v>
      </c>
      <c r="D4385" t="s">
        <v>16268</v>
      </c>
      <c r="E4385" t="s">
        <v>20192</v>
      </c>
      <c r="F4385" t="s">
        <v>28198</v>
      </c>
      <c r="G4385" t="s">
        <v>28205</v>
      </c>
      <c r="H4385" t="s">
        <v>28215</v>
      </c>
      <c r="I4385" t="s">
        <v>3774</v>
      </c>
      <c r="J4385" t="s">
        <v>31185</v>
      </c>
      <c r="K4385" t="s">
        <v>36701</v>
      </c>
      <c r="M4385" t="s">
        <v>38638</v>
      </c>
      <c r="N4385" t="s">
        <v>40436</v>
      </c>
      <c r="O4385" t="s">
        <v>40437</v>
      </c>
      <c r="P4385">
        <v>0</v>
      </c>
      <c r="Q4385">
        <v>1</v>
      </c>
      <c r="R4385" t="s">
        <v>40439</v>
      </c>
      <c r="S4385" t="s">
        <v>40588</v>
      </c>
      <c r="T4385" t="s">
        <v>42176</v>
      </c>
      <c r="U4385" t="s">
        <v>46353</v>
      </c>
      <c r="W4385" t="s">
        <v>38638</v>
      </c>
      <c r="X4385" t="s">
        <v>40440</v>
      </c>
    </row>
    <row r="4386" spans="1:24">
      <c r="A4386">
        <f>HYPERLINK("https://www.philgeps.gov.ph/GEPSNONPILOT/Tender/SplashBidNoticeAbstractUI.aspx?menuIndex=3&amp;refID=7046703&amp;Result=3","7046703")</f>
        <v>0</v>
      </c>
      <c r="B4386" t="s">
        <v>732</v>
      </c>
      <c r="C4386" t="s">
        <v>7275</v>
      </c>
      <c r="E4386" t="s">
        <v>20193</v>
      </c>
      <c r="F4386" t="s">
        <v>28198</v>
      </c>
      <c r="G4386" t="s">
        <v>28207</v>
      </c>
      <c r="H4386" t="s">
        <v>28215</v>
      </c>
      <c r="I4386" t="s">
        <v>3797</v>
      </c>
      <c r="J4386" t="s">
        <v>31186</v>
      </c>
      <c r="K4386" t="s">
        <v>36689</v>
      </c>
      <c r="M4386" t="s">
        <v>37733</v>
      </c>
      <c r="N4386" t="s">
        <v>40436</v>
      </c>
      <c r="O4386" t="s">
        <v>40437</v>
      </c>
      <c r="P4386">
        <v>0</v>
      </c>
      <c r="Q4386">
        <v>1</v>
      </c>
      <c r="R4386" t="s">
        <v>40439</v>
      </c>
      <c r="S4386" t="s">
        <v>40588</v>
      </c>
      <c r="T4386" t="s">
        <v>42158</v>
      </c>
      <c r="U4386" t="s">
        <v>46354</v>
      </c>
      <c r="V4386" t="s">
        <v>53961</v>
      </c>
      <c r="W4386" t="s">
        <v>37733</v>
      </c>
      <c r="X4386" t="s">
        <v>40440</v>
      </c>
    </row>
    <row r="4387" spans="1:24">
      <c r="A4387">
        <f>HYPERLINK("https://www.philgeps.gov.ph/GEPSNONPILOT/Tender/SplashBidNoticeAbstractUI.aspx?menuIndex=3&amp;refID=7046716&amp;Result=3","7046716")</f>
        <v>0</v>
      </c>
      <c r="B4387" t="s">
        <v>1567</v>
      </c>
      <c r="C4387" t="s">
        <v>7276</v>
      </c>
      <c r="D4387" t="s">
        <v>16210</v>
      </c>
      <c r="E4387" t="s">
        <v>20194</v>
      </c>
      <c r="F4387" t="s">
        <v>28198</v>
      </c>
      <c r="G4387" t="s">
        <v>28207</v>
      </c>
      <c r="H4387" t="s">
        <v>28215</v>
      </c>
      <c r="I4387" t="s">
        <v>28247</v>
      </c>
      <c r="J4387" t="s">
        <v>28415</v>
      </c>
      <c r="K4387" t="s">
        <v>36688</v>
      </c>
      <c r="M4387" t="s">
        <v>38650</v>
      </c>
      <c r="N4387" t="s">
        <v>40436</v>
      </c>
      <c r="O4387" t="s">
        <v>40437</v>
      </c>
      <c r="P4387">
        <v>0</v>
      </c>
      <c r="Q4387">
        <v>17</v>
      </c>
      <c r="R4387" t="s">
        <v>40439</v>
      </c>
      <c r="S4387" t="s">
        <v>40588</v>
      </c>
      <c r="T4387" t="s">
        <v>42169</v>
      </c>
      <c r="U4387" t="s">
        <v>46355</v>
      </c>
      <c r="W4387" t="s">
        <v>38650</v>
      </c>
      <c r="X4387" t="s">
        <v>40440</v>
      </c>
    </row>
    <row r="4388" spans="1:24">
      <c r="A4388">
        <f>HYPERLINK("https://www.philgeps.gov.ph/GEPSNONPILOT/Tender/SplashBidNoticeAbstractUI.aspx?menuIndex=3&amp;refID=7046699&amp;Result=3","7046699")</f>
        <v>0</v>
      </c>
      <c r="B4388" t="s">
        <v>1102</v>
      </c>
      <c r="C4388" t="s">
        <v>7277</v>
      </c>
      <c r="D4388" t="s">
        <v>16217</v>
      </c>
      <c r="E4388" t="s">
        <v>20195</v>
      </c>
      <c r="F4388" t="s">
        <v>28198</v>
      </c>
      <c r="G4388" t="s">
        <v>28205</v>
      </c>
      <c r="H4388" t="s">
        <v>28215</v>
      </c>
      <c r="I4388" t="s">
        <v>28228</v>
      </c>
      <c r="J4388" t="s">
        <v>31187</v>
      </c>
      <c r="K4388" t="s">
        <v>36701</v>
      </c>
      <c r="L4388" t="s">
        <v>1102</v>
      </c>
      <c r="M4388" t="s">
        <v>38138</v>
      </c>
      <c r="N4388" t="s">
        <v>40436</v>
      </c>
      <c r="O4388" t="s">
        <v>40437</v>
      </c>
      <c r="P4388">
        <v>0</v>
      </c>
      <c r="Q4388">
        <v>0</v>
      </c>
      <c r="R4388" t="s">
        <v>40439</v>
      </c>
      <c r="S4388" t="s">
        <v>40588</v>
      </c>
      <c r="T4388" t="s">
        <v>42133</v>
      </c>
      <c r="U4388" t="s">
        <v>46356</v>
      </c>
      <c r="W4388" t="s">
        <v>38138</v>
      </c>
      <c r="X4388" t="s">
        <v>40440</v>
      </c>
    </row>
    <row r="4389" spans="1:24">
      <c r="A4389">
        <f>HYPERLINK("https://www.philgeps.gov.ph/GEPSNONPILOT/Tender/SplashBidNoticeAbstractUI.aspx?menuIndex=3&amp;refID=7046714&amp;Result=3","7046714")</f>
        <v>0</v>
      </c>
      <c r="B4389" t="s">
        <v>1570</v>
      </c>
      <c r="C4389" t="s">
        <v>7278</v>
      </c>
      <c r="D4389" t="s">
        <v>16210</v>
      </c>
      <c r="E4389" t="s">
        <v>20196</v>
      </c>
      <c r="F4389" t="s">
        <v>28198</v>
      </c>
      <c r="G4389" t="s">
        <v>28205</v>
      </c>
      <c r="H4389" t="s">
        <v>28215</v>
      </c>
      <c r="I4389" t="s">
        <v>5082</v>
      </c>
      <c r="J4389" t="s">
        <v>31188</v>
      </c>
      <c r="K4389" t="s">
        <v>36689</v>
      </c>
      <c r="M4389" t="s">
        <v>38653</v>
      </c>
      <c r="N4389" t="s">
        <v>40436</v>
      </c>
      <c r="O4389" t="s">
        <v>40437</v>
      </c>
      <c r="P4389">
        <v>0</v>
      </c>
      <c r="Q4389">
        <v>7</v>
      </c>
      <c r="R4389" t="s">
        <v>40439</v>
      </c>
      <c r="S4389" t="s">
        <v>40588</v>
      </c>
      <c r="T4389" t="s">
        <v>42108</v>
      </c>
      <c r="U4389" t="s">
        <v>46357</v>
      </c>
      <c r="W4389" t="s">
        <v>38653</v>
      </c>
      <c r="X4389" t="s">
        <v>40440</v>
      </c>
    </row>
    <row r="4390" spans="1:24">
      <c r="A4390">
        <f>HYPERLINK("https://www.philgeps.gov.ph/GEPSNONPILOT/Tender/SplashBidNoticeAbstractUI.aspx?menuIndex=3&amp;refID=7046717&amp;Result=3","7046717")</f>
        <v>0</v>
      </c>
      <c r="B4390" t="s">
        <v>1558</v>
      </c>
      <c r="C4390" t="s">
        <v>7279</v>
      </c>
      <c r="D4390" t="s">
        <v>16217</v>
      </c>
      <c r="E4390" t="s">
        <v>16502</v>
      </c>
      <c r="F4390" t="s">
        <v>28198</v>
      </c>
      <c r="G4390" t="s">
        <v>28205</v>
      </c>
      <c r="H4390" t="s">
        <v>28215</v>
      </c>
      <c r="I4390" t="s">
        <v>4219</v>
      </c>
      <c r="J4390" t="s">
        <v>31189</v>
      </c>
      <c r="K4390" t="s">
        <v>36707</v>
      </c>
      <c r="M4390" t="s">
        <v>38640</v>
      </c>
      <c r="N4390" t="s">
        <v>40436</v>
      </c>
      <c r="O4390" t="s">
        <v>40437</v>
      </c>
      <c r="P4390">
        <v>0</v>
      </c>
      <c r="Q4390">
        <v>2</v>
      </c>
      <c r="R4390" t="s">
        <v>40439</v>
      </c>
      <c r="S4390" t="s">
        <v>40588</v>
      </c>
      <c r="T4390" t="s">
        <v>42240</v>
      </c>
      <c r="U4390" t="s">
        <v>46358</v>
      </c>
      <c r="W4390" t="s">
        <v>38640</v>
      </c>
      <c r="X4390" t="s">
        <v>40440</v>
      </c>
    </row>
    <row r="4391" spans="1:24">
      <c r="A4391">
        <f>HYPERLINK("https://www.philgeps.gov.ph/GEPSNONPILOT/Tender/SplashBidNoticeAbstractUI.aspx?menuIndex=3&amp;refID=7046712&amp;Result=3","7046712")</f>
        <v>0</v>
      </c>
      <c r="B4391" t="s">
        <v>1102</v>
      </c>
      <c r="C4391" t="s">
        <v>7280</v>
      </c>
      <c r="D4391" t="s">
        <v>16217</v>
      </c>
      <c r="E4391" t="s">
        <v>20197</v>
      </c>
      <c r="F4391" t="s">
        <v>28198</v>
      </c>
      <c r="G4391" t="s">
        <v>28205</v>
      </c>
      <c r="H4391" t="s">
        <v>28215</v>
      </c>
      <c r="I4391" t="s">
        <v>28228</v>
      </c>
      <c r="J4391" t="s">
        <v>31190</v>
      </c>
      <c r="K4391" t="s">
        <v>36701</v>
      </c>
      <c r="L4391" t="s">
        <v>1102</v>
      </c>
      <c r="M4391" t="s">
        <v>38138</v>
      </c>
      <c r="N4391" t="s">
        <v>40436</v>
      </c>
      <c r="O4391" t="s">
        <v>40437</v>
      </c>
      <c r="P4391">
        <v>0</v>
      </c>
      <c r="Q4391">
        <v>0</v>
      </c>
      <c r="R4391" t="s">
        <v>40439</v>
      </c>
      <c r="S4391" t="s">
        <v>40588</v>
      </c>
      <c r="T4391" t="s">
        <v>42133</v>
      </c>
      <c r="U4391" t="s">
        <v>46359</v>
      </c>
      <c r="W4391" t="s">
        <v>38138</v>
      </c>
      <c r="X4391" t="s">
        <v>40440</v>
      </c>
    </row>
    <row r="4392" spans="1:24">
      <c r="A4392">
        <f>HYPERLINK("https://www.philgeps.gov.ph/GEPSNONPILOT/Tender/SplashBidNoticeAbstractUI.aspx?menuIndex=3&amp;refID=7046700&amp;Result=3","7046700")</f>
        <v>0</v>
      </c>
      <c r="B4392" t="s">
        <v>935</v>
      </c>
      <c r="C4392" t="s">
        <v>7281</v>
      </c>
      <c r="D4392" t="s">
        <v>16210</v>
      </c>
      <c r="E4392" t="s">
        <v>20198</v>
      </c>
      <c r="F4392" t="s">
        <v>28198</v>
      </c>
      <c r="G4392" t="s">
        <v>28207</v>
      </c>
      <c r="H4392" t="s">
        <v>28215</v>
      </c>
      <c r="I4392" t="s">
        <v>7310</v>
      </c>
      <c r="J4392" t="s">
        <v>28661</v>
      </c>
      <c r="K4392" t="s">
        <v>36697</v>
      </c>
      <c r="M4392" t="s">
        <v>38649</v>
      </c>
      <c r="N4392" t="s">
        <v>40436</v>
      </c>
      <c r="O4392" t="s">
        <v>40437</v>
      </c>
      <c r="P4392">
        <v>0</v>
      </c>
      <c r="Q4392">
        <v>7</v>
      </c>
      <c r="R4392" t="s">
        <v>40439</v>
      </c>
      <c r="S4392" t="s">
        <v>40588</v>
      </c>
      <c r="T4392" t="s">
        <v>42262</v>
      </c>
      <c r="U4392" t="s">
        <v>46347</v>
      </c>
      <c r="W4392" t="s">
        <v>38649</v>
      </c>
      <c r="X4392" t="s">
        <v>40440</v>
      </c>
    </row>
    <row r="4393" spans="1:24">
      <c r="A4393">
        <f>HYPERLINK("https://www.philgeps.gov.ph/GEPSNONPILOT/Tender/SplashBidNoticeAbstractUI.aspx?menuIndex=3&amp;refID=7046698&amp;Result=3","7046698")</f>
        <v>0</v>
      </c>
      <c r="B4393" t="s">
        <v>1567</v>
      </c>
      <c r="C4393" t="s">
        <v>7282</v>
      </c>
      <c r="D4393" t="s">
        <v>16210</v>
      </c>
      <c r="E4393" t="s">
        <v>19508</v>
      </c>
      <c r="F4393" t="s">
        <v>28198</v>
      </c>
      <c r="G4393" t="s">
        <v>28207</v>
      </c>
      <c r="H4393" t="s">
        <v>28215</v>
      </c>
      <c r="I4393" t="s">
        <v>28247</v>
      </c>
      <c r="J4393" t="s">
        <v>28378</v>
      </c>
      <c r="K4393" t="s">
        <v>36688</v>
      </c>
      <c r="M4393" t="s">
        <v>38650</v>
      </c>
      <c r="N4393" t="s">
        <v>40436</v>
      </c>
      <c r="O4393" t="s">
        <v>40437</v>
      </c>
      <c r="P4393">
        <v>0</v>
      </c>
      <c r="Q4393">
        <v>16</v>
      </c>
      <c r="R4393" t="s">
        <v>40439</v>
      </c>
      <c r="S4393" t="s">
        <v>40588</v>
      </c>
      <c r="T4393" t="s">
        <v>42169</v>
      </c>
      <c r="U4393" t="s">
        <v>46360</v>
      </c>
      <c r="W4393" t="s">
        <v>38650</v>
      </c>
      <c r="X4393" t="s">
        <v>40440</v>
      </c>
    </row>
    <row r="4394" spans="1:24">
      <c r="A4394">
        <f>HYPERLINK("https://www.philgeps.gov.ph/GEPSNONPILOT/Tender/SplashBidNoticeAbstractUI.aspx?menuIndex=3&amp;refID=7046702&amp;Result=3","7046702")</f>
        <v>0</v>
      </c>
      <c r="B4394" t="s">
        <v>1567</v>
      </c>
      <c r="C4394" t="s">
        <v>7283</v>
      </c>
      <c r="D4394" t="s">
        <v>16210</v>
      </c>
      <c r="E4394" t="s">
        <v>19729</v>
      </c>
      <c r="F4394" t="s">
        <v>28198</v>
      </c>
      <c r="G4394" t="s">
        <v>28207</v>
      </c>
      <c r="H4394" t="s">
        <v>28215</v>
      </c>
      <c r="I4394" t="s">
        <v>28247</v>
      </c>
      <c r="J4394" t="s">
        <v>28378</v>
      </c>
      <c r="K4394" t="s">
        <v>36688</v>
      </c>
      <c r="M4394" t="s">
        <v>38650</v>
      </c>
      <c r="N4394" t="s">
        <v>40436</v>
      </c>
      <c r="O4394" t="s">
        <v>40437</v>
      </c>
      <c r="P4394">
        <v>0</v>
      </c>
      <c r="Q4394">
        <v>15</v>
      </c>
      <c r="R4394" t="s">
        <v>40439</v>
      </c>
      <c r="S4394" t="s">
        <v>40588</v>
      </c>
      <c r="T4394" t="s">
        <v>42169</v>
      </c>
      <c r="U4394" t="s">
        <v>46361</v>
      </c>
      <c r="W4394" t="s">
        <v>38650</v>
      </c>
      <c r="X4394" t="s">
        <v>40440</v>
      </c>
    </row>
    <row r="4395" spans="1:24">
      <c r="A4395">
        <f>HYPERLINK("https://www.philgeps.gov.ph/GEPSNONPILOT/Tender/SplashBidNoticeAbstractUI.aspx?menuIndex=3&amp;refID=7046713&amp;Result=3","7046713")</f>
        <v>0</v>
      </c>
      <c r="B4395" t="s">
        <v>790</v>
      </c>
      <c r="C4395" t="s">
        <v>7284</v>
      </c>
      <c r="D4395" t="s">
        <v>16221</v>
      </c>
      <c r="E4395" t="s">
        <v>16500</v>
      </c>
      <c r="F4395" t="s">
        <v>28198</v>
      </c>
      <c r="G4395" t="s">
        <v>28205</v>
      </c>
      <c r="H4395" t="s">
        <v>28215</v>
      </c>
      <c r="I4395" t="s">
        <v>5100</v>
      </c>
      <c r="J4395" t="s">
        <v>31191</v>
      </c>
      <c r="K4395" t="s">
        <v>36723</v>
      </c>
      <c r="L4395" t="s">
        <v>790</v>
      </c>
      <c r="M4395" t="s">
        <v>37796</v>
      </c>
      <c r="N4395" t="s">
        <v>40436</v>
      </c>
      <c r="O4395" t="s">
        <v>40437</v>
      </c>
      <c r="P4395">
        <v>0</v>
      </c>
      <c r="Q4395">
        <v>3</v>
      </c>
      <c r="R4395" t="s">
        <v>40439</v>
      </c>
      <c r="S4395" t="s">
        <v>40588</v>
      </c>
      <c r="T4395" t="s">
        <v>42102</v>
      </c>
      <c r="U4395" t="s">
        <v>46362</v>
      </c>
      <c r="W4395" t="s">
        <v>37796</v>
      </c>
      <c r="X4395" t="s">
        <v>40440</v>
      </c>
    </row>
    <row r="4396" spans="1:24">
      <c r="A4396">
        <f>HYPERLINK("https://www.philgeps.gov.ph/GEPSNONPILOT/Tender/SplashBidNoticeAbstractUI.aspx?menuIndex=3&amp;refID=7046710&amp;Result=3","7046710")</f>
        <v>0</v>
      </c>
      <c r="B4396" t="s">
        <v>1571</v>
      </c>
      <c r="C4396" t="s">
        <v>7285</v>
      </c>
      <c r="E4396" t="s">
        <v>20199</v>
      </c>
      <c r="F4396" t="s">
        <v>28198</v>
      </c>
      <c r="G4396" t="s">
        <v>28207</v>
      </c>
      <c r="H4396" t="s">
        <v>28215</v>
      </c>
      <c r="I4396" t="s">
        <v>4200</v>
      </c>
      <c r="J4396" t="s">
        <v>31192</v>
      </c>
      <c r="K4396" t="s">
        <v>36689</v>
      </c>
      <c r="M4396" t="s">
        <v>38654</v>
      </c>
      <c r="N4396" t="s">
        <v>40436</v>
      </c>
      <c r="O4396" t="s">
        <v>40437</v>
      </c>
      <c r="P4396">
        <v>0</v>
      </c>
      <c r="Q4396">
        <v>23</v>
      </c>
      <c r="R4396" t="s">
        <v>40439</v>
      </c>
      <c r="S4396" t="s">
        <v>40588</v>
      </c>
      <c r="T4396" t="s">
        <v>42124</v>
      </c>
      <c r="U4396" t="s">
        <v>46363</v>
      </c>
      <c r="W4396" t="s">
        <v>38654</v>
      </c>
      <c r="X4396" t="s">
        <v>40440</v>
      </c>
    </row>
    <row r="4397" spans="1:24">
      <c r="A4397">
        <f>HYPERLINK("https://www.philgeps.gov.ph/GEPSNONPILOT/Tender/SplashBidNoticeAbstractUI.aspx?menuIndex=3&amp;refID=7046709&amp;Result=3","7046709")</f>
        <v>0</v>
      </c>
      <c r="B4397" t="s">
        <v>1567</v>
      </c>
      <c r="C4397" t="s">
        <v>7286</v>
      </c>
      <c r="D4397" t="s">
        <v>16210</v>
      </c>
      <c r="E4397" t="s">
        <v>19439</v>
      </c>
      <c r="F4397" t="s">
        <v>28198</v>
      </c>
      <c r="G4397" t="s">
        <v>28207</v>
      </c>
      <c r="H4397" t="s">
        <v>28215</v>
      </c>
      <c r="I4397" t="s">
        <v>28247</v>
      </c>
      <c r="J4397" t="s">
        <v>28378</v>
      </c>
      <c r="K4397" t="s">
        <v>36688</v>
      </c>
      <c r="M4397" t="s">
        <v>38650</v>
      </c>
      <c r="N4397" t="s">
        <v>40436</v>
      </c>
      <c r="O4397" t="s">
        <v>40437</v>
      </c>
      <c r="P4397">
        <v>0</v>
      </c>
      <c r="Q4397">
        <v>16</v>
      </c>
      <c r="R4397" t="s">
        <v>40439</v>
      </c>
      <c r="S4397" t="s">
        <v>40588</v>
      </c>
      <c r="T4397" t="s">
        <v>42169</v>
      </c>
      <c r="U4397" t="s">
        <v>46364</v>
      </c>
      <c r="W4397" t="s">
        <v>38650</v>
      </c>
      <c r="X4397" t="s">
        <v>40440</v>
      </c>
    </row>
    <row r="4398" spans="1:24">
      <c r="A4398">
        <f>HYPERLINK("https://www.philgeps.gov.ph/GEPSNONPILOT/Tender/SplashBidNoticeAbstractUI.aspx?menuIndex=3&amp;refID=7046701&amp;Result=3","7046701")</f>
        <v>0</v>
      </c>
      <c r="B4398" t="s">
        <v>1284</v>
      </c>
      <c r="C4398" t="s">
        <v>7287</v>
      </c>
      <c r="D4398" t="s">
        <v>16199</v>
      </c>
      <c r="E4398" t="s">
        <v>20200</v>
      </c>
      <c r="F4398" t="s">
        <v>28198</v>
      </c>
      <c r="G4398" t="s">
        <v>28207</v>
      </c>
      <c r="H4398" t="s">
        <v>28215</v>
      </c>
      <c r="I4398" t="s">
        <v>28238</v>
      </c>
      <c r="J4398" t="s">
        <v>31193</v>
      </c>
      <c r="K4398" t="s">
        <v>36693</v>
      </c>
      <c r="M4398" t="s">
        <v>38337</v>
      </c>
      <c r="N4398" t="s">
        <v>40436</v>
      </c>
      <c r="O4398" t="s">
        <v>40437</v>
      </c>
      <c r="P4398">
        <v>0</v>
      </c>
      <c r="Q4398">
        <v>5</v>
      </c>
      <c r="R4398" t="s">
        <v>40439</v>
      </c>
      <c r="S4398" t="s">
        <v>40588</v>
      </c>
      <c r="T4398" t="s">
        <v>42158</v>
      </c>
      <c r="U4398" t="s">
        <v>45504</v>
      </c>
      <c r="W4398" t="s">
        <v>38337</v>
      </c>
      <c r="X4398" t="s">
        <v>40440</v>
      </c>
    </row>
    <row r="4399" spans="1:24">
      <c r="A4399">
        <f>HYPERLINK("https://www.philgeps.gov.ph/GEPSNONPILOT/Tender/SplashBidNoticeAbstractUI.aspx?menuIndex=3&amp;refID=7046711&amp;Result=3","7046711")</f>
        <v>0</v>
      </c>
      <c r="B4399" t="s">
        <v>1572</v>
      </c>
      <c r="C4399" t="s">
        <v>7288</v>
      </c>
      <c r="D4399" t="s">
        <v>16199</v>
      </c>
      <c r="E4399" t="s">
        <v>20201</v>
      </c>
      <c r="F4399" t="s">
        <v>28198</v>
      </c>
      <c r="G4399" t="s">
        <v>28207</v>
      </c>
      <c r="H4399" t="s">
        <v>28215</v>
      </c>
      <c r="I4399" t="s">
        <v>4168</v>
      </c>
      <c r="J4399" t="s">
        <v>31194</v>
      </c>
      <c r="K4399" t="s">
        <v>36689</v>
      </c>
      <c r="M4399" t="s">
        <v>38655</v>
      </c>
      <c r="N4399" t="s">
        <v>40436</v>
      </c>
      <c r="O4399" t="s">
        <v>40437</v>
      </c>
      <c r="P4399">
        <v>0</v>
      </c>
      <c r="Q4399">
        <v>2</v>
      </c>
      <c r="R4399" t="s">
        <v>40439</v>
      </c>
      <c r="S4399" t="s">
        <v>40588</v>
      </c>
      <c r="T4399" t="s">
        <v>42158</v>
      </c>
      <c r="U4399" t="s">
        <v>46365</v>
      </c>
      <c r="W4399" t="s">
        <v>38655</v>
      </c>
      <c r="X4399" t="s">
        <v>40440</v>
      </c>
    </row>
    <row r="4400" spans="1:24">
      <c r="A4400">
        <f>HYPERLINK("https://www.philgeps.gov.ph/GEPSNONPILOT/Tender/SplashBidNoticeAbstractUI.aspx?menuIndex=3&amp;refID=7046707&amp;Result=3","7046707")</f>
        <v>0</v>
      </c>
      <c r="B4400" t="s">
        <v>1566</v>
      </c>
      <c r="C4400" t="s">
        <v>7289</v>
      </c>
      <c r="D4400" t="s">
        <v>16210</v>
      </c>
      <c r="E4400" t="s">
        <v>20202</v>
      </c>
      <c r="F4400" t="s">
        <v>28198</v>
      </c>
      <c r="G4400" t="s">
        <v>28205</v>
      </c>
      <c r="H4400" t="s">
        <v>28214</v>
      </c>
      <c r="I4400" t="s">
        <v>3797</v>
      </c>
      <c r="J4400" t="s">
        <v>31195</v>
      </c>
      <c r="K4400" t="s">
        <v>36697</v>
      </c>
      <c r="M4400" t="s">
        <v>38648</v>
      </c>
      <c r="N4400" t="s">
        <v>40436</v>
      </c>
      <c r="O4400" t="s">
        <v>40437</v>
      </c>
      <c r="P4400">
        <v>0</v>
      </c>
      <c r="Q4400">
        <v>4</v>
      </c>
      <c r="R4400" t="s">
        <v>40439</v>
      </c>
      <c r="S4400" t="s">
        <v>40588</v>
      </c>
      <c r="T4400" t="s">
        <v>42349</v>
      </c>
      <c r="U4400" t="s">
        <v>46366</v>
      </c>
      <c r="W4400" t="s">
        <v>38648</v>
      </c>
      <c r="X4400" t="s">
        <v>40440</v>
      </c>
    </row>
    <row r="4401" spans="1:24">
      <c r="A4401">
        <f>HYPERLINK("https://www.philgeps.gov.ph/GEPSNONPILOT/Tender/SplashBidNoticeAbstractUI.aspx?menuIndex=3&amp;refID=7046708&amp;Result=3","7046708")</f>
        <v>0</v>
      </c>
      <c r="B4401" t="s">
        <v>1553</v>
      </c>
      <c r="C4401" t="s">
        <v>7290</v>
      </c>
      <c r="D4401" t="s">
        <v>16247</v>
      </c>
      <c r="E4401" t="s">
        <v>20203</v>
      </c>
      <c r="F4401" t="s">
        <v>28198</v>
      </c>
      <c r="G4401" t="s">
        <v>28206</v>
      </c>
      <c r="H4401" t="s">
        <v>28215</v>
      </c>
      <c r="I4401" t="s">
        <v>28222</v>
      </c>
      <c r="J4401" t="s">
        <v>28691</v>
      </c>
      <c r="K4401" t="s">
        <v>36688</v>
      </c>
      <c r="M4401" t="s">
        <v>38635</v>
      </c>
      <c r="N4401" t="s">
        <v>40436</v>
      </c>
      <c r="O4401" t="s">
        <v>40437</v>
      </c>
      <c r="P4401">
        <v>0</v>
      </c>
      <c r="Q4401">
        <v>0</v>
      </c>
      <c r="R4401" t="s">
        <v>40439</v>
      </c>
      <c r="S4401" t="s">
        <v>40588</v>
      </c>
      <c r="T4401" t="s">
        <v>42396</v>
      </c>
      <c r="U4401" t="s">
        <v>46367</v>
      </c>
      <c r="W4401" t="s">
        <v>38635</v>
      </c>
      <c r="X4401" t="s">
        <v>40440</v>
      </c>
    </row>
    <row r="4402" spans="1:24">
      <c r="A4402">
        <f>HYPERLINK("https://www.philgeps.gov.ph/GEPSNONPILOT/Tender/SplashBidNoticeAbstractUI.aspx?menuIndex=3&amp;refID=7046719&amp;Result=3","7046719")</f>
        <v>0</v>
      </c>
      <c r="B4402" t="s">
        <v>1569</v>
      </c>
      <c r="C4402" t="s">
        <v>7291</v>
      </c>
      <c r="D4402" t="s">
        <v>16189</v>
      </c>
      <c r="E4402" t="s">
        <v>20204</v>
      </c>
      <c r="F4402" t="s">
        <v>28198</v>
      </c>
      <c r="G4402" t="s">
        <v>28207</v>
      </c>
      <c r="H4402" t="s">
        <v>28215</v>
      </c>
      <c r="I4402" t="s">
        <v>28256</v>
      </c>
      <c r="J4402" t="s">
        <v>28687</v>
      </c>
      <c r="K4402" t="s">
        <v>36689</v>
      </c>
      <c r="M4402" t="s">
        <v>38652</v>
      </c>
      <c r="N4402" t="s">
        <v>40436</v>
      </c>
      <c r="O4402" t="s">
        <v>40437</v>
      </c>
      <c r="P4402">
        <v>0</v>
      </c>
      <c r="Q4402">
        <v>7</v>
      </c>
      <c r="R4402" t="s">
        <v>40439</v>
      </c>
      <c r="S4402" t="s">
        <v>40588</v>
      </c>
      <c r="T4402" t="s">
        <v>42158</v>
      </c>
      <c r="U4402" t="s">
        <v>46368</v>
      </c>
      <c r="W4402" t="s">
        <v>38652</v>
      </c>
      <c r="X4402" t="s">
        <v>40440</v>
      </c>
    </row>
    <row r="4403" spans="1:24">
      <c r="A4403">
        <f>HYPERLINK("https://www.philgeps.gov.ph/GEPSNONPILOT/Tender/SplashBidNoticeAbstractUI.aspx?menuIndex=3&amp;refID=7046728&amp;Result=3","7046728")</f>
        <v>0</v>
      </c>
      <c r="B4403" t="s">
        <v>1535</v>
      </c>
      <c r="C4403" t="s">
        <v>7292</v>
      </c>
      <c r="D4403" t="s">
        <v>16244</v>
      </c>
      <c r="E4403" t="s">
        <v>20205</v>
      </c>
      <c r="F4403" t="s">
        <v>28198</v>
      </c>
      <c r="G4403" t="s">
        <v>28206</v>
      </c>
      <c r="H4403" t="s">
        <v>28215</v>
      </c>
      <c r="I4403" t="s">
        <v>4505</v>
      </c>
      <c r="J4403" t="s">
        <v>31196</v>
      </c>
      <c r="K4403" t="s">
        <v>36701</v>
      </c>
      <c r="M4403" t="s">
        <v>38613</v>
      </c>
      <c r="N4403" t="s">
        <v>40436</v>
      </c>
      <c r="O4403" t="s">
        <v>40437</v>
      </c>
      <c r="P4403">
        <v>0</v>
      </c>
      <c r="Q4403">
        <v>13</v>
      </c>
      <c r="R4403" t="s">
        <v>40439</v>
      </c>
      <c r="S4403" t="s">
        <v>40588</v>
      </c>
      <c r="T4403" t="s">
        <v>42169</v>
      </c>
      <c r="U4403" t="s">
        <v>46369</v>
      </c>
      <c r="W4403" t="s">
        <v>38613</v>
      </c>
      <c r="X4403" t="s">
        <v>40440</v>
      </c>
    </row>
    <row r="4404" spans="1:24">
      <c r="A4404">
        <f>HYPERLINK("https://www.philgeps.gov.ph/GEPSNONPILOT/Tender/SplashBidNoticeAbstractUI.aspx?menuIndex=3&amp;refID=7046718&amp;Result=3","7046718")</f>
        <v>0</v>
      </c>
      <c r="B4404" t="s">
        <v>1573</v>
      </c>
      <c r="C4404" t="s">
        <v>7293</v>
      </c>
      <c r="D4404" t="s">
        <v>16264</v>
      </c>
      <c r="E4404" t="s">
        <v>17298</v>
      </c>
      <c r="F4404" t="s">
        <v>28200</v>
      </c>
      <c r="G4404" t="s">
        <v>28205</v>
      </c>
      <c r="H4404" t="s">
        <v>28215</v>
      </c>
      <c r="I4404" t="s">
        <v>28228</v>
      </c>
      <c r="J4404" t="s">
        <v>31197</v>
      </c>
      <c r="K4404" t="s">
        <v>36701</v>
      </c>
      <c r="M4404" t="s">
        <v>38656</v>
      </c>
      <c r="N4404" t="s">
        <v>40436</v>
      </c>
      <c r="O4404" t="s">
        <v>40437</v>
      </c>
      <c r="P4404">
        <v>0</v>
      </c>
      <c r="Q4404">
        <v>1</v>
      </c>
      <c r="R4404" t="s">
        <v>40439</v>
      </c>
      <c r="S4404" t="s">
        <v>40588</v>
      </c>
      <c r="T4404" t="s">
        <v>42296</v>
      </c>
      <c r="U4404" t="s">
        <v>46370</v>
      </c>
      <c r="W4404" t="s">
        <v>38656</v>
      </c>
      <c r="X4404" t="s">
        <v>40440</v>
      </c>
    </row>
    <row r="4405" spans="1:24">
      <c r="A4405">
        <f>HYPERLINK("https://www.philgeps.gov.ph/GEPSNONPILOT/Tender/SplashBidNoticeAbstractUI.aspx?menuIndex=3&amp;refID=7046720&amp;Result=3","7046720")</f>
        <v>0</v>
      </c>
      <c r="B4405" t="s">
        <v>1574</v>
      </c>
      <c r="C4405" t="s">
        <v>7294</v>
      </c>
      <c r="D4405" t="s">
        <v>16202</v>
      </c>
      <c r="E4405" t="s">
        <v>20206</v>
      </c>
      <c r="F4405" t="s">
        <v>28198</v>
      </c>
      <c r="G4405" t="s">
        <v>28207</v>
      </c>
      <c r="H4405" t="s">
        <v>28215</v>
      </c>
      <c r="I4405" t="s">
        <v>5100</v>
      </c>
      <c r="J4405" t="s">
        <v>31198</v>
      </c>
      <c r="K4405" t="s">
        <v>36691</v>
      </c>
      <c r="M4405" t="s">
        <v>38657</v>
      </c>
      <c r="N4405" t="s">
        <v>40436</v>
      </c>
      <c r="O4405" t="s">
        <v>40437</v>
      </c>
      <c r="P4405">
        <v>0</v>
      </c>
      <c r="Q4405">
        <v>1</v>
      </c>
      <c r="R4405" t="s">
        <v>40439</v>
      </c>
      <c r="S4405" t="s">
        <v>40588</v>
      </c>
      <c r="T4405" t="s">
        <v>42158</v>
      </c>
      <c r="U4405" t="s">
        <v>46371</v>
      </c>
      <c r="W4405" t="s">
        <v>38657</v>
      </c>
      <c r="X4405" t="s">
        <v>40440</v>
      </c>
    </row>
    <row r="4406" spans="1:24">
      <c r="A4406">
        <f>HYPERLINK("https://www.philgeps.gov.ph/GEPSNONPILOT/Tender/SplashBidNoticeAbstractUI.aspx?menuIndex=3&amp;refID=7046726&amp;Result=3","7046726")</f>
        <v>0</v>
      </c>
      <c r="B4406" t="s">
        <v>1575</v>
      </c>
      <c r="C4406" t="s">
        <v>5800</v>
      </c>
      <c r="D4406" t="s">
        <v>16221</v>
      </c>
      <c r="E4406" t="s">
        <v>17713</v>
      </c>
      <c r="F4406" t="s">
        <v>28198</v>
      </c>
      <c r="G4406" t="s">
        <v>28210</v>
      </c>
      <c r="H4406" t="s">
        <v>28217</v>
      </c>
      <c r="I4406" t="s">
        <v>4219</v>
      </c>
      <c r="J4406" t="s">
        <v>28414</v>
      </c>
      <c r="K4406" t="s">
        <v>36707</v>
      </c>
      <c r="M4406" t="s">
        <v>38658</v>
      </c>
      <c r="N4406" t="s">
        <v>40436</v>
      </c>
      <c r="O4406" t="s">
        <v>40437</v>
      </c>
      <c r="P4406">
        <v>0</v>
      </c>
      <c r="Q4406">
        <v>3</v>
      </c>
      <c r="R4406" t="s">
        <v>40439</v>
      </c>
      <c r="S4406" t="s">
        <v>40588</v>
      </c>
      <c r="T4406" t="s">
        <v>42160</v>
      </c>
      <c r="U4406" t="s">
        <v>46372</v>
      </c>
      <c r="W4406" t="s">
        <v>38658</v>
      </c>
      <c r="X4406" t="s">
        <v>40440</v>
      </c>
    </row>
    <row r="4407" spans="1:24">
      <c r="A4407">
        <f>HYPERLINK("https://www.philgeps.gov.ph/GEPSNONPILOT/Tender/SplashBidNoticeAbstractUI.aspx?menuIndex=3&amp;refID=7046742&amp;Result=3","7046742")</f>
        <v>0</v>
      </c>
      <c r="B4407" t="s">
        <v>659</v>
      </c>
      <c r="C4407" t="s">
        <v>7295</v>
      </c>
      <c r="D4407" t="s">
        <v>16235</v>
      </c>
      <c r="E4407" t="s">
        <v>20207</v>
      </c>
      <c r="F4407" t="s">
        <v>28198</v>
      </c>
      <c r="G4407" t="s">
        <v>28207</v>
      </c>
      <c r="H4407" t="s">
        <v>28215</v>
      </c>
      <c r="I4407" t="s">
        <v>28258</v>
      </c>
      <c r="J4407" t="s">
        <v>28593</v>
      </c>
      <c r="K4407" t="s">
        <v>36701</v>
      </c>
      <c r="M4407" t="s">
        <v>37655</v>
      </c>
      <c r="N4407" t="s">
        <v>40436</v>
      </c>
      <c r="O4407" t="s">
        <v>40437</v>
      </c>
      <c r="P4407">
        <v>0</v>
      </c>
      <c r="Q4407">
        <v>2</v>
      </c>
      <c r="R4407" t="s">
        <v>40439</v>
      </c>
      <c r="S4407" t="s">
        <v>40588</v>
      </c>
      <c r="T4407" t="s">
        <v>42169</v>
      </c>
      <c r="U4407" t="s">
        <v>46373</v>
      </c>
      <c r="W4407" t="s">
        <v>37655</v>
      </c>
      <c r="X4407" t="s">
        <v>40440</v>
      </c>
    </row>
    <row r="4408" spans="1:24">
      <c r="A4408">
        <f>HYPERLINK("https://www.philgeps.gov.ph/GEPSNONPILOT/Tender/SplashBidNoticeAbstractUI.aspx?menuIndex=3&amp;refID=7046741&amp;Result=3","7046741")</f>
        <v>0</v>
      </c>
      <c r="B4408" t="s">
        <v>1576</v>
      </c>
      <c r="C4408" t="s">
        <v>7296</v>
      </c>
      <c r="D4408" t="s">
        <v>16194</v>
      </c>
      <c r="E4408" t="s">
        <v>20208</v>
      </c>
      <c r="F4408" t="s">
        <v>28198</v>
      </c>
      <c r="G4408" t="s">
        <v>28205</v>
      </c>
      <c r="H4408" t="s">
        <v>28215</v>
      </c>
      <c r="I4408" t="s">
        <v>28259</v>
      </c>
      <c r="J4408" t="s">
        <v>31199</v>
      </c>
      <c r="K4408" t="s">
        <v>36694</v>
      </c>
      <c r="M4408" t="s">
        <v>38659</v>
      </c>
      <c r="N4408" t="s">
        <v>40436</v>
      </c>
      <c r="O4408" t="s">
        <v>40437</v>
      </c>
      <c r="P4408">
        <v>0</v>
      </c>
      <c r="Q4408">
        <v>5</v>
      </c>
      <c r="R4408" t="s">
        <v>40439</v>
      </c>
      <c r="S4408" t="s">
        <v>40588</v>
      </c>
      <c r="T4408" t="s">
        <v>42327</v>
      </c>
      <c r="U4408" t="s">
        <v>46374</v>
      </c>
      <c r="W4408" t="s">
        <v>38659</v>
      </c>
      <c r="X4408" t="s">
        <v>40440</v>
      </c>
    </row>
    <row r="4409" spans="1:24">
      <c r="A4409">
        <f>HYPERLINK("https://www.philgeps.gov.ph/GEPSNONPILOT/Tender/SplashBidNoticeAbstractUI.aspx?menuIndex=3&amp;refID=7046727&amp;Result=3","7046727")</f>
        <v>0</v>
      </c>
      <c r="B4409" t="s">
        <v>659</v>
      </c>
      <c r="C4409" t="s">
        <v>7297</v>
      </c>
      <c r="D4409" t="s">
        <v>16235</v>
      </c>
      <c r="E4409" t="s">
        <v>16606</v>
      </c>
      <c r="F4409" t="s">
        <v>28198</v>
      </c>
      <c r="G4409" t="s">
        <v>28207</v>
      </c>
      <c r="H4409" t="s">
        <v>28215</v>
      </c>
      <c r="I4409" t="s">
        <v>4200</v>
      </c>
      <c r="J4409" t="s">
        <v>28406</v>
      </c>
      <c r="K4409" t="s">
        <v>36701</v>
      </c>
      <c r="M4409" t="s">
        <v>37655</v>
      </c>
      <c r="N4409" t="s">
        <v>40436</v>
      </c>
      <c r="O4409" t="s">
        <v>40437</v>
      </c>
      <c r="P4409">
        <v>0</v>
      </c>
      <c r="Q4409">
        <v>0</v>
      </c>
      <c r="R4409" t="s">
        <v>40439</v>
      </c>
      <c r="S4409" t="s">
        <v>40588</v>
      </c>
      <c r="T4409" t="s">
        <v>42169</v>
      </c>
      <c r="U4409" t="s">
        <v>46375</v>
      </c>
      <c r="W4409" t="s">
        <v>37655</v>
      </c>
      <c r="X4409" t="s">
        <v>40440</v>
      </c>
    </row>
    <row r="4410" spans="1:24">
      <c r="A4410">
        <f>HYPERLINK("https://www.philgeps.gov.ph/GEPSNONPILOT/Tender/SplashBidNoticeAbstractUI.aspx?menuIndex=3&amp;refID=7046738&amp;Result=3","7046738")</f>
        <v>0</v>
      </c>
      <c r="B4410" t="s">
        <v>1567</v>
      </c>
      <c r="C4410" t="s">
        <v>7298</v>
      </c>
      <c r="D4410" t="s">
        <v>16210</v>
      </c>
      <c r="E4410" t="s">
        <v>20107</v>
      </c>
      <c r="F4410" t="s">
        <v>28198</v>
      </c>
      <c r="G4410" t="s">
        <v>28207</v>
      </c>
      <c r="H4410" t="s">
        <v>28215</v>
      </c>
      <c r="I4410" t="s">
        <v>28247</v>
      </c>
      <c r="J4410" t="s">
        <v>28398</v>
      </c>
      <c r="K4410" t="s">
        <v>36688</v>
      </c>
      <c r="M4410" t="s">
        <v>38650</v>
      </c>
      <c r="N4410" t="s">
        <v>40436</v>
      </c>
      <c r="O4410" t="s">
        <v>40437</v>
      </c>
      <c r="P4410">
        <v>0</v>
      </c>
      <c r="Q4410">
        <v>20</v>
      </c>
      <c r="R4410" t="s">
        <v>40439</v>
      </c>
      <c r="S4410" t="s">
        <v>40588</v>
      </c>
      <c r="T4410" t="s">
        <v>42169</v>
      </c>
      <c r="U4410" t="s">
        <v>46376</v>
      </c>
      <c r="W4410" t="s">
        <v>38650</v>
      </c>
      <c r="X4410" t="s">
        <v>40440</v>
      </c>
    </row>
    <row r="4411" spans="1:24">
      <c r="A4411">
        <f>HYPERLINK("https://www.philgeps.gov.ph/GEPSNONPILOT/Tender/SplashBidNoticeAbstractUI.aspx?menuIndex=3&amp;refID=7046739&amp;Result=3","7046739")</f>
        <v>0</v>
      </c>
      <c r="B4411" t="s">
        <v>1577</v>
      </c>
      <c r="C4411" t="s">
        <v>7299</v>
      </c>
      <c r="D4411" t="s">
        <v>16232</v>
      </c>
      <c r="E4411" t="s">
        <v>20209</v>
      </c>
      <c r="F4411" t="s">
        <v>28198</v>
      </c>
      <c r="G4411" t="s">
        <v>28205</v>
      </c>
      <c r="H4411" t="s">
        <v>28215</v>
      </c>
      <c r="I4411" t="s">
        <v>28261</v>
      </c>
      <c r="J4411" t="s">
        <v>31200</v>
      </c>
      <c r="K4411" t="s">
        <v>36689</v>
      </c>
      <c r="M4411" t="s">
        <v>38660</v>
      </c>
      <c r="N4411" t="s">
        <v>40436</v>
      </c>
      <c r="O4411" t="s">
        <v>40437</v>
      </c>
      <c r="P4411">
        <v>0</v>
      </c>
      <c r="Q4411">
        <v>0</v>
      </c>
      <c r="R4411" t="s">
        <v>40439</v>
      </c>
      <c r="S4411" t="s">
        <v>40588</v>
      </c>
      <c r="T4411" t="s">
        <v>42320</v>
      </c>
      <c r="U4411" t="s">
        <v>46377</v>
      </c>
      <c r="W4411" t="s">
        <v>55488</v>
      </c>
      <c r="X4411" t="s">
        <v>40440</v>
      </c>
    </row>
    <row r="4412" spans="1:24">
      <c r="A4412">
        <f>HYPERLINK("https://www.philgeps.gov.ph/GEPSNONPILOT/Tender/SplashBidNoticeAbstractUI.aspx?menuIndex=3&amp;refID=7046736&amp;Result=3","7046736")</f>
        <v>0</v>
      </c>
      <c r="B4412" t="s">
        <v>1578</v>
      </c>
      <c r="C4412" t="s">
        <v>7300</v>
      </c>
      <c r="D4412" t="s">
        <v>16209</v>
      </c>
      <c r="E4412" t="s">
        <v>18197</v>
      </c>
      <c r="F4412" t="s">
        <v>28198</v>
      </c>
      <c r="G4412" t="s">
        <v>28207</v>
      </c>
      <c r="H4412" t="s">
        <v>28215</v>
      </c>
      <c r="I4412" t="s">
        <v>28220</v>
      </c>
      <c r="J4412" t="s">
        <v>31201</v>
      </c>
      <c r="K4412" t="s">
        <v>36694</v>
      </c>
      <c r="M4412" t="s">
        <v>38661</v>
      </c>
      <c r="N4412" t="s">
        <v>40436</v>
      </c>
      <c r="O4412" t="s">
        <v>40437</v>
      </c>
      <c r="P4412">
        <v>0</v>
      </c>
      <c r="Q4412">
        <v>3</v>
      </c>
      <c r="R4412" t="s">
        <v>40439</v>
      </c>
      <c r="S4412" t="s">
        <v>40588</v>
      </c>
      <c r="T4412" t="s">
        <v>42158</v>
      </c>
      <c r="U4412" t="s">
        <v>46378</v>
      </c>
      <c r="W4412" t="s">
        <v>38661</v>
      </c>
      <c r="X4412" t="s">
        <v>40440</v>
      </c>
    </row>
    <row r="4413" spans="1:24">
      <c r="A4413">
        <f>HYPERLINK("https://www.philgeps.gov.ph/GEPSNONPILOT/Tender/SplashBidNoticeAbstractUI.aspx?menuIndex=3&amp;refID=7046722&amp;Result=3","7046722")</f>
        <v>0</v>
      </c>
      <c r="B4413" t="s">
        <v>1567</v>
      </c>
      <c r="C4413" t="s">
        <v>7301</v>
      </c>
      <c r="D4413" t="s">
        <v>16210</v>
      </c>
      <c r="E4413" t="s">
        <v>20210</v>
      </c>
      <c r="F4413" t="s">
        <v>28198</v>
      </c>
      <c r="G4413" t="s">
        <v>28207</v>
      </c>
      <c r="H4413" t="s">
        <v>28215</v>
      </c>
      <c r="I4413" t="s">
        <v>28247</v>
      </c>
      <c r="J4413" t="s">
        <v>28415</v>
      </c>
      <c r="K4413" t="s">
        <v>36688</v>
      </c>
      <c r="M4413" t="s">
        <v>38650</v>
      </c>
      <c r="N4413" t="s">
        <v>40436</v>
      </c>
      <c r="O4413" t="s">
        <v>40437</v>
      </c>
      <c r="P4413">
        <v>0</v>
      </c>
      <c r="Q4413">
        <v>22</v>
      </c>
      <c r="R4413" t="s">
        <v>40439</v>
      </c>
      <c r="S4413" t="s">
        <v>40588</v>
      </c>
      <c r="T4413" t="s">
        <v>42169</v>
      </c>
      <c r="U4413" t="s">
        <v>46379</v>
      </c>
      <c r="W4413" t="s">
        <v>38650</v>
      </c>
      <c r="X4413" t="s">
        <v>40440</v>
      </c>
    </row>
    <row r="4414" spans="1:24">
      <c r="A4414">
        <f>HYPERLINK("https://www.philgeps.gov.ph/GEPSNONPILOT/Tender/SplashBidNoticeAbstractUI.aspx?menuIndex=3&amp;refID=7046734&amp;Result=3","7046734")</f>
        <v>0</v>
      </c>
      <c r="B4414" t="s">
        <v>1572</v>
      </c>
      <c r="C4414" t="s">
        <v>7302</v>
      </c>
      <c r="D4414" t="s">
        <v>16199</v>
      </c>
      <c r="E4414" t="s">
        <v>20211</v>
      </c>
      <c r="F4414" t="s">
        <v>28198</v>
      </c>
      <c r="G4414" t="s">
        <v>28207</v>
      </c>
      <c r="H4414" t="s">
        <v>28215</v>
      </c>
      <c r="I4414" t="s">
        <v>5082</v>
      </c>
      <c r="J4414" t="s">
        <v>31202</v>
      </c>
      <c r="K4414" t="s">
        <v>36689</v>
      </c>
      <c r="M4414" t="s">
        <v>38655</v>
      </c>
      <c r="N4414" t="s">
        <v>40436</v>
      </c>
      <c r="O4414" t="s">
        <v>40437</v>
      </c>
      <c r="P4414">
        <v>0</v>
      </c>
      <c r="Q4414">
        <v>0</v>
      </c>
      <c r="R4414" t="s">
        <v>40439</v>
      </c>
      <c r="S4414" t="s">
        <v>40588</v>
      </c>
      <c r="T4414" t="s">
        <v>42158</v>
      </c>
      <c r="U4414" t="s">
        <v>46380</v>
      </c>
      <c r="W4414" t="s">
        <v>38655</v>
      </c>
      <c r="X4414" t="s">
        <v>40440</v>
      </c>
    </row>
    <row r="4415" spans="1:24">
      <c r="A4415">
        <f>HYPERLINK("https://www.philgeps.gov.ph/GEPSNONPILOT/Tender/SplashBidNoticeAbstractUI.aspx?menuIndex=3&amp;refID=7046740&amp;Result=3","7046740")</f>
        <v>0</v>
      </c>
      <c r="B4415" t="s">
        <v>1579</v>
      </c>
      <c r="C4415" t="s">
        <v>7303</v>
      </c>
      <c r="D4415" t="s">
        <v>16219</v>
      </c>
      <c r="E4415" t="s">
        <v>20212</v>
      </c>
      <c r="F4415" t="s">
        <v>28198</v>
      </c>
      <c r="G4415" t="s">
        <v>28205</v>
      </c>
      <c r="H4415" t="s">
        <v>28214</v>
      </c>
      <c r="I4415" t="s">
        <v>3797</v>
      </c>
      <c r="J4415" t="s">
        <v>28351</v>
      </c>
      <c r="K4415" t="s">
        <v>36692</v>
      </c>
      <c r="M4415" t="s">
        <v>38662</v>
      </c>
      <c r="N4415" t="s">
        <v>40436</v>
      </c>
      <c r="O4415" t="s">
        <v>40437</v>
      </c>
      <c r="P4415">
        <v>0</v>
      </c>
      <c r="Q4415">
        <v>1</v>
      </c>
      <c r="R4415" t="s">
        <v>40439</v>
      </c>
      <c r="S4415" t="s">
        <v>40588</v>
      </c>
      <c r="T4415" t="s">
        <v>42125</v>
      </c>
      <c r="U4415" t="s">
        <v>46381</v>
      </c>
      <c r="W4415" t="s">
        <v>38662</v>
      </c>
      <c r="X4415" t="s">
        <v>40440</v>
      </c>
    </row>
    <row r="4416" spans="1:24">
      <c r="A4416">
        <f>HYPERLINK("https://www.philgeps.gov.ph/GEPSNONPILOT/Tender/SplashBidNoticeAbstractUI.aspx?menuIndex=3&amp;refID=7046724&amp;Result=3","7046724")</f>
        <v>0</v>
      </c>
      <c r="B4416" t="s">
        <v>1580</v>
      </c>
      <c r="C4416" t="s">
        <v>7304</v>
      </c>
      <c r="E4416" t="s">
        <v>20213</v>
      </c>
      <c r="F4416" t="s">
        <v>28198</v>
      </c>
      <c r="G4416" t="s">
        <v>28207</v>
      </c>
      <c r="H4416" t="s">
        <v>28215</v>
      </c>
      <c r="I4416" t="s">
        <v>28295</v>
      </c>
      <c r="J4416" t="s">
        <v>31203</v>
      </c>
      <c r="K4416" t="s">
        <v>36689</v>
      </c>
      <c r="M4416" t="s">
        <v>38663</v>
      </c>
      <c r="N4416" t="s">
        <v>40436</v>
      </c>
      <c r="O4416" t="s">
        <v>40437</v>
      </c>
      <c r="P4416">
        <v>0</v>
      </c>
      <c r="Q4416">
        <v>2</v>
      </c>
      <c r="R4416" t="s">
        <v>40439</v>
      </c>
      <c r="S4416" t="s">
        <v>40588</v>
      </c>
      <c r="T4416" t="s">
        <v>42190</v>
      </c>
      <c r="U4416" t="s">
        <v>46382</v>
      </c>
      <c r="W4416" t="s">
        <v>38663</v>
      </c>
      <c r="X4416" t="s">
        <v>40440</v>
      </c>
    </row>
    <row r="4417" spans="1:24">
      <c r="A4417">
        <f>HYPERLINK("https://www.philgeps.gov.ph/GEPSNONPILOT/Tender/SplashBidNoticeAbstractUI.aspx?menuIndex=3&amp;refID=7046733&amp;Result=3","7046733")</f>
        <v>0</v>
      </c>
      <c r="B4417" t="s">
        <v>1567</v>
      </c>
      <c r="C4417" t="s">
        <v>7305</v>
      </c>
      <c r="D4417" t="s">
        <v>16210</v>
      </c>
      <c r="E4417" t="s">
        <v>20033</v>
      </c>
      <c r="F4417" t="s">
        <v>28198</v>
      </c>
      <c r="G4417" t="s">
        <v>28207</v>
      </c>
      <c r="H4417" t="s">
        <v>28215</v>
      </c>
      <c r="I4417" t="s">
        <v>28247</v>
      </c>
      <c r="J4417" t="s">
        <v>29190</v>
      </c>
      <c r="K4417" t="s">
        <v>36688</v>
      </c>
      <c r="M4417" t="s">
        <v>38650</v>
      </c>
      <c r="N4417" t="s">
        <v>40436</v>
      </c>
      <c r="O4417" t="s">
        <v>40437</v>
      </c>
      <c r="P4417">
        <v>0</v>
      </c>
      <c r="Q4417">
        <v>15</v>
      </c>
      <c r="R4417" t="s">
        <v>40439</v>
      </c>
      <c r="S4417" t="s">
        <v>40588</v>
      </c>
      <c r="T4417" t="s">
        <v>42169</v>
      </c>
      <c r="U4417" t="s">
        <v>46383</v>
      </c>
      <c r="W4417" t="s">
        <v>38650</v>
      </c>
      <c r="X4417" t="s">
        <v>40440</v>
      </c>
    </row>
    <row r="4418" spans="1:24">
      <c r="A4418">
        <f>HYPERLINK("https://www.philgeps.gov.ph/GEPSNONPILOT/Tender/SplashBidNoticeAbstractUI.aspx?menuIndex=3&amp;refID=7046737&amp;Result=3","7046737")</f>
        <v>0</v>
      </c>
      <c r="B4418" t="s">
        <v>1567</v>
      </c>
      <c r="C4418" t="s">
        <v>7306</v>
      </c>
      <c r="D4418" t="s">
        <v>16210</v>
      </c>
      <c r="E4418" t="s">
        <v>19387</v>
      </c>
      <c r="F4418" t="s">
        <v>28198</v>
      </c>
      <c r="G4418" t="s">
        <v>28207</v>
      </c>
      <c r="H4418" t="s">
        <v>28215</v>
      </c>
      <c r="I4418" t="s">
        <v>28247</v>
      </c>
      <c r="J4418" t="s">
        <v>28406</v>
      </c>
      <c r="K4418" t="s">
        <v>36688</v>
      </c>
      <c r="M4418" t="s">
        <v>38650</v>
      </c>
      <c r="N4418" t="s">
        <v>40436</v>
      </c>
      <c r="O4418" t="s">
        <v>40437</v>
      </c>
      <c r="P4418">
        <v>0</v>
      </c>
      <c r="Q4418">
        <v>18</v>
      </c>
      <c r="R4418" t="s">
        <v>40439</v>
      </c>
      <c r="S4418" t="s">
        <v>40588</v>
      </c>
      <c r="T4418" t="s">
        <v>42169</v>
      </c>
      <c r="U4418" t="s">
        <v>46384</v>
      </c>
      <c r="W4418" t="s">
        <v>38650</v>
      </c>
      <c r="X4418" t="s">
        <v>40440</v>
      </c>
    </row>
    <row r="4419" spans="1:24">
      <c r="A4419">
        <f>HYPERLINK("https://www.philgeps.gov.ph/GEPSNONPILOT/Tender/SplashBidNoticeAbstractUI.aspx?menuIndex=3&amp;refID=7046743&amp;Result=3","7046743")</f>
        <v>0</v>
      </c>
      <c r="B4419" t="s">
        <v>1567</v>
      </c>
      <c r="C4419" t="s">
        <v>7307</v>
      </c>
      <c r="D4419" t="s">
        <v>16210</v>
      </c>
      <c r="E4419" t="s">
        <v>20121</v>
      </c>
      <c r="F4419" t="s">
        <v>28198</v>
      </c>
      <c r="G4419" t="s">
        <v>28207</v>
      </c>
      <c r="H4419" t="s">
        <v>28215</v>
      </c>
      <c r="I4419" t="s">
        <v>28247</v>
      </c>
      <c r="J4419" t="s">
        <v>28694</v>
      </c>
      <c r="K4419" t="s">
        <v>36688</v>
      </c>
      <c r="M4419" t="s">
        <v>38650</v>
      </c>
      <c r="N4419" t="s">
        <v>40436</v>
      </c>
      <c r="O4419" t="s">
        <v>40437</v>
      </c>
      <c r="P4419">
        <v>0</v>
      </c>
      <c r="Q4419">
        <v>9</v>
      </c>
      <c r="R4419" t="s">
        <v>40439</v>
      </c>
      <c r="S4419" t="s">
        <v>40588</v>
      </c>
      <c r="T4419" t="s">
        <v>42169</v>
      </c>
      <c r="U4419" t="s">
        <v>46385</v>
      </c>
      <c r="W4419" t="s">
        <v>38650</v>
      </c>
      <c r="X4419" t="s">
        <v>40440</v>
      </c>
    </row>
    <row r="4420" spans="1:24">
      <c r="A4420">
        <f>HYPERLINK("https://www.philgeps.gov.ph/GEPSNONPILOT/Tender/SplashBidNoticeAbstractUI.aspx?menuIndex=3&amp;refID=7046731&amp;Result=3","7046731")</f>
        <v>0</v>
      </c>
      <c r="B4420" t="s">
        <v>571</v>
      </c>
      <c r="C4420" t="s">
        <v>7308</v>
      </c>
      <c r="D4420" t="s">
        <v>16210</v>
      </c>
      <c r="E4420" t="s">
        <v>18505</v>
      </c>
      <c r="F4420" t="s">
        <v>28198</v>
      </c>
      <c r="G4420" t="s">
        <v>28205</v>
      </c>
      <c r="H4420" t="s">
        <v>28215</v>
      </c>
      <c r="I4420" t="s">
        <v>28220</v>
      </c>
      <c r="J4420" t="s">
        <v>31204</v>
      </c>
      <c r="K4420" t="s">
        <v>36697</v>
      </c>
      <c r="M4420" t="s">
        <v>38664</v>
      </c>
      <c r="N4420" t="s">
        <v>40436</v>
      </c>
      <c r="O4420" t="s">
        <v>40437</v>
      </c>
      <c r="P4420">
        <v>0</v>
      </c>
      <c r="Q4420">
        <v>35</v>
      </c>
      <c r="R4420" t="s">
        <v>40439</v>
      </c>
      <c r="S4420" t="s">
        <v>40588</v>
      </c>
      <c r="T4420" t="s">
        <v>42108</v>
      </c>
      <c r="U4420" t="s">
        <v>46386</v>
      </c>
      <c r="W4420" t="s">
        <v>38664</v>
      </c>
      <c r="X4420" t="s">
        <v>40440</v>
      </c>
    </row>
    <row r="4421" spans="1:24">
      <c r="A4421">
        <f>HYPERLINK("https://www.philgeps.gov.ph/GEPSNONPILOT/Tender/SplashBidNoticeAbstractUI.aspx?menuIndex=3&amp;refID=7046747&amp;Result=3","7046747")</f>
        <v>0</v>
      </c>
      <c r="B4421" t="s">
        <v>1577</v>
      </c>
      <c r="C4421" t="s">
        <v>7309</v>
      </c>
      <c r="D4421" t="s">
        <v>16232</v>
      </c>
      <c r="E4421" t="s">
        <v>20214</v>
      </c>
      <c r="F4421" t="s">
        <v>28198</v>
      </c>
      <c r="G4421" t="s">
        <v>28205</v>
      </c>
      <c r="H4421" t="s">
        <v>28215</v>
      </c>
      <c r="I4421" t="s">
        <v>5082</v>
      </c>
      <c r="J4421" t="s">
        <v>31205</v>
      </c>
      <c r="K4421" t="s">
        <v>36689</v>
      </c>
      <c r="M4421" t="s">
        <v>38660</v>
      </c>
      <c r="N4421" t="s">
        <v>40436</v>
      </c>
      <c r="O4421" t="s">
        <v>40437</v>
      </c>
      <c r="P4421">
        <v>0</v>
      </c>
      <c r="Q4421">
        <v>1</v>
      </c>
      <c r="R4421" t="s">
        <v>40439</v>
      </c>
      <c r="S4421" t="s">
        <v>40588</v>
      </c>
      <c r="T4421" t="s">
        <v>42320</v>
      </c>
      <c r="U4421" t="s">
        <v>46387</v>
      </c>
      <c r="W4421" t="s">
        <v>55488</v>
      </c>
      <c r="X4421" t="s">
        <v>40440</v>
      </c>
    </row>
    <row r="4422" spans="1:24">
      <c r="A4422">
        <f>HYPERLINK("https://www.philgeps.gov.ph/GEPSNONPILOT/Tender/SplashBidNoticeAbstractUI.aspx?menuIndex=3&amp;refID=7046744&amp;Result=3","7046744")</f>
        <v>0</v>
      </c>
      <c r="B4422" t="s">
        <v>315</v>
      </c>
      <c r="C4422" t="s">
        <v>7310</v>
      </c>
      <c r="D4422" t="s">
        <v>16191</v>
      </c>
      <c r="E4422" t="s">
        <v>20215</v>
      </c>
      <c r="F4422" t="s">
        <v>28198</v>
      </c>
      <c r="G4422" t="s">
        <v>28206</v>
      </c>
      <c r="H4422" t="s">
        <v>28215</v>
      </c>
      <c r="I4422" t="s">
        <v>7310</v>
      </c>
      <c r="J4422" t="s">
        <v>28566</v>
      </c>
      <c r="K4422" t="s">
        <v>36691</v>
      </c>
      <c r="M4422" t="s">
        <v>38665</v>
      </c>
      <c r="N4422" t="s">
        <v>40436</v>
      </c>
      <c r="O4422" t="s">
        <v>40437</v>
      </c>
      <c r="P4422">
        <v>0</v>
      </c>
      <c r="Q4422">
        <v>6</v>
      </c>
      <c r="R4422" t="s">
        <v>40439</v>
      </c>
      <c r="S4422" t="s">
        <v>40588</v>
      </c>
      <c r="T4422" t="s">
        <v>42185</v>
      </c>
      <c r="U4422" t="s">
        <v>46388</v>
      </c>
      <c r="W4422" t="s">
        <v>38665</v>
      </c>
      <c r="X4422" t="s">
        <v>40440</v>
      </c>
    </row>
    <row r="4423" spans="1:24">
      <c r="A4423">
        <f>HYPERLINK("https://www.philgeps.gov.ph/GEPSNONPILOT/Tender/SplashBidNoticeAbstractUI.aspx?menuIndex=3&amp;refID=7046725&amp;Result=3","7046725")</f>
        <v>0</v>
      </c>
      <c r="B4423" t="s">
        <v>1567</v>
      </c>
      <c r="C4423" t="s">
        <v>7311</v>
      </c>
      <c r="D4423" t="s">
        <v>16210</v>
      </c>
      <c r="E4423" t="s">
        <v>19097</v>
      </c>
      <c r="F4423" t="s">
        <v>28198</v>
      </c>
      <c r="G4423" t="s">
        <v>28207</v>
      </c>
      <c r="H4423" t="s">
        <v>28215</v>
      </c>
      <c r="I4423" t="s">
        <v>28234</v>
      </c>
      <c r="J4423" t="s">
        <v>28361</v>
      </c>
      <c r="K4423" t="s">
        <v>36688</v>
      </c>
      <c r="M4423" t="s">
        <v>38650</v>
      </c>
      <c r="N4423" t="s">
        <v>40436</v>
      </c>
      <c r="O4423" t="s">
        <v>40437</v>
      </c>
      <c r="P4423">
        <v>0</v>
      </c>
      <c r="Q4423">
        <v>16</v>
      </c>
      <c r="R4423" t="s">
        <v>40439</v>
      </c>
      <c r="S4423" t="s">
        <v>40588</v>
      </c>
      <c r="T4423" t="s">
        <v>42169</v>
      </c>
      <c r="U4423" t="s">
        <v>46389</v>
      </c>
      <c r="W4423" t="s">
        <v>38650</v>
      </c>
      <c r="X4423" t="s">
        <v>40440</v>
      </c>
    </row>
    <row r="4424" spans="1:24">
      <c r="A4424">
        <f>HYPERLINK("https://www.philgeps.gov.ph/GEPSNONPILOT/Tender/SplashBidNoticeAbstractUI.aspx?menuIndex=3&amp;refID=7046758&amp;Result=3","7046758")</f>
        <v>0</v>
      </c>
      <c r="B4424" t="s">
        <v>1581</v>
      </c>
      <c r="C4424" t="s">
        <v>7312</v>
      </c>
      <c r="D4424" t="s">
        <v>16220</v>
      </c>
      <c r="E4424" t="s">
        <v>20216</v>
      </c>
      <c r="F4424" t="s">
        <v>28198</v>
      </c>
      <c r="G4424" t="s">
        <v>28205</v>
      </c>
      <c r="H4424" t="s">
        <v>28215</v>
      </c>
      <c r="I4424" t="s">
        <v>3774</v>
      </c>
      <c r="J4424" t="s">
        <v>31206</v>
      </c>
      <c r="K4424" t="s">
        <v>36701</v>
      </c>
      <c r="M4424" t="s">
        <v>38666</v>
      </c>
      <c r="N4424" t="s">
        <v>40436</v>
      </c>
      <c r="O4424" t="s">
        <v>40437</v>
      </c>
      <c r="P4424">
        <v>0</v>
      </c>
      <c r="Q4424">
        <v>2</v>
      </c>
      <c r="R4424" t="s">
        <v>40439</v>
      </c>
      <c r="S4424" t="s">
        <v>40588</v>
      </c>
      <c r="T4424" t="s">
        <v>42320</v>
      </c>
      <c r="U4424" t="s">
        <v>46390</v>
      </c>
      <c r="W4424" t="s">
        <v>38666</v>
      </c>
      <c r="X4424" t="s">
        <v>40440</v>
      </c>
    </row>
    <row r="4425" spans="1:24">
      <c r="A4425">
        <f>HYPERLINK("https://www.philgeps.gov.ph/GEPSNONPILOT/Tender/SplashBidNoticeAbstractUI.aspx?menuIndex=3&amp;refID=7046745&amp;Result=3","7046745")</f>
        <v>0</v>
      </c>
      <c r="B4425" t="s">
        <v>1572</v>
      </c>
      <c r="C4425" t="s">
        <v>7313</v>
      </c>
      <c r="D4425" t="s">
        <v>16199</v>
      </c>
      <c r="E4425" t="s">
        <v>20217</v>
      </c>
      <c r="F4425" t="s">
        <v>28198</v>
      </c>
      <c r="G4425" t="s">
        <v>28207</v>
      </c>
      <c r="H4425" t="s">
        <v>28215</v>
      </c>
      <c r="I4425" t="s">
        <v>5082</v>
      </c>
      <c r="J4425" t="s">
        <v>31207</v>
      </c>
      <c r="K4425" t="s">
        <v>36689</v>
      </c>
      <c r="M4425" t="s">
        <v>38655</v>
      </c>
      <c r="N4425" t="s">
        <v>40436</v>
      </c>
      <c r="O4425" t="s">
        <v>40437</v>
      </c>
      <c r="P4425">
        <v>0</v>
      </c>
      <c r="Q4425">
        <v>0</v>
      </c>
      <c r="R4425" t="s">
        <v>40439</v>
      </c>
      <c r="S4425" t="s">
        <v>40588</v>
      </c>
      <c r="T4425" t="s">
        <v>42158</v>
      </c>
      <c r="U4425" t="s">
        <v>46391</v>
      </c>
      <c r="W4425" t="s">
        <v>38655</v>
      </c>
      <c r="X4425" t="s">
        <v>40440</v>
      </c>
    </row>
    <row r="4426" spans="1:24">
      <c r="A4426">
        <f>HYPERLINK("https://www.philgeps.gov.ph/GEPSNONPILOT/Tender/SplashBidNoticeAbstractUI.aspx?menuIndex=3&amp;refID=7046723&amp;Result=3","7046723")</f>
        <v>0</v>
      </c>
      <c r="B4426" t="s">
        <v>1561</v>
      </c>
      <c r="C4426" t="s">
        <v>7314</v>
      </c>
      <c r="D4426" t="s">
        <v>16234</v>
      </c>
      <c r="E4426" t="s">
        <v>20218</v>
      </c>
      <c r="F4426" t="s">
        <v>28198</v>
      </c>
      <c r="G4426" t="s">
        <v>28205</v>
      </c>
      <c r="H4426" t="s">
        <v>28214</v>
      </c>
      <c r="I4426" t="s">
        <v>3797</v>
      </c>
      <c r="J4426" t="s">
        <v>31208</v>
      </c>
      <c r="K4426" t="s">
        <v>36692</v>
      </c>
      <c r="M4426" t="s">
        <v>38643</v>
      </c>
      <c r="N4426" t="s">
        <v>40436</v>
      </c>
      <c r="O4426" t="s">
        <v>40437</v>
      </c>
      <c r="P4426">
        <v>0</v>
      </c>
      <c r="Q4426">
        <v>2</v>
      </c>
      <c r="R4426" t="s">
        <v>40439</v>
      </c>
      <c r="S4426" t="s">
        <v>40588</v>
      </c>
      <c r="T4426" t="s">
        <v>42395</v>
      </c>
      <c r="U4426" t="s">
        <v>46392</v>
      </c>
      <c r="V4426" t="s">
        <v>54227</v>
      </c>
      <c r="W4426" t="s">
        <v>38643</v>
      </c>
      <c r="X4426" t="s">
        <v>40440</v>
      </c>
    </row>
    <row r="4427" spans="1:24">
      <c r="A4427">
        <f>HYPERLINK("https://www.philgeps.gov.ph/GEPSNONPILOT/Tender/SplashBidNoticeAbstractUI.aspx?menuIndex=3&amp;refID=7046763&amp;Result=3","7046763")</f>
        <v>0</v>
      </c>
      <c r="B4427" t="s">
        <v>1582</v>
      </c>
      <c r="C4427" t="s">
        <v>7315</v>
      </c>
      <c r="D4427" t="s">
        <v>16191</v>
      </c>
      <c r="E4427" t="s">
        <v>16516</v>
      </c>
      <c r="F4427" t="s">
        <v>28198</v>
      </c>
      <c r="G4427" t="s">
        <v>28207</v>
      </c>
      <c r="H4427" t="s">
        <v>28215</v>
      </c>
      <c r="I4427" t="s">
        <v>28238</v>
      </c>
      <c r="J4427" t="s">
        <v>31209</v>
      </c>
      <c r="K4427" t="s">
        <v>36691</v>
      </c>
      <c r="M4427" t="s">
        <v>38667</v>
      </c>
      <c r="N4427" t="s">
        <v>40436</v>
      </c>
      <c r="O4427" t="s">
        <v>40437</v>
      </c>
      <c r="P4427">
        <v>0</v>
      </c>
      <c r="Q4427">
        <v>0</v>
      </c>
      <c r="R4427" t="s">
        <v>40439</v>
      </c>
      <c r="S4427" t="s">
        <v>40588</v>
      </c>
      <c r="T4427" t="s">
        <v>42161</v>
      </c>
      <c r="U4427" t="s">
        <v>46393</v>
      </c>
      <c r="W4427" t="s">
        <v>38667</v>
      </c>
      <c r="X4427" t="s">
        <v>40440</v>
      </c>
    </row>
    <row r="4428" spans="1:24">
      <c r="A4428">
        <f>HYPERLINK("https://www.philgeps.gov.ph/GEPSNONPILOT/Tender/SplashBidNoticeAbstractUI.aspx?menuIndex=3&amp;refID=7046761&amp;Result=3","7046761")</f>
        <v>0</v>
      </c>
      <c r="B4428" t="s">
        <v>659</v>
      </c>
      <c r="C4428" t="s">
        <v>7316</v>
      </c>
      <c r="D4428" t="s">
        <v>16235</v>
      </c>
      <c r="E4428" t="s">
        <v>20219</v>
      </c>
      <c r="F4428" t="s">
        <v>28198</v>
      </c>
      <c r="G4428" t="s">
        <v>28207</v>
      </c>
      <c r="H4428" t="s">
        <v>28215</v>
      </c>
      <c r="I4428" t="s">
        <v>4168</v>
      </c>
      <c r="J4428" t="s">
        <v>28414</v>
      </c>
      <c r="K4428" t="s">
        <v>36707</v>
      </c>
      <c r="M4428" t="s">
        <v>37655</v>
      </c>
      <c r="N4428" t="s">
        <v>40436</v>
      </c>
      <c r="O4428" t="s">
        <v>40437</v>
      </c>
      <c r="P4428">
        <v>0</v>
      </c>
      <c r="Q4428">
        <v>0</v>
      </c>
      <c r="R4428" t="s">
        <v>40439</v>
      </c>
      <c r="S4428" t="s">
        <v>40588</v>
      </c>
      <c r="T4428" t="s">
        <v>42169</v>
      </c>
      <c r="U4428" t="s">
        <v>46394</v>
      </c>
      <c r="W4428" t="s">
        <v>37655</v>
      </c>
      <c r="X4428" t="s">
        <v>40440</v>
      </c>
    </row>
    <row r="4429" spans="1:24">
      <c r="A4429">
        <f>HYPERLINK("https://www.philgeps.gov.ph/GEPSNONPILOT/Tender/SplashBidNoticeAbstractUI.aspx?menuIndex=3&amp;refID=7046748&amp;Result=3","7046748")</f>
        <v>0</v>
      </c>
      <c r="B4429" t="s">
        <v>1438</v>
      </c>
      <c r="C4429" t="s">
        <v>7317</v>
      </c>
      <c r="D4429" t="s">
        <v>16206</v>
      </c>
      <c r="E4429" t="s">
        <v>20220</v>
      </c>
      <c r="F4429" t="s">
        <v>28198</v>
      </c>
      <c r="G4429" t="s">
        <v>28207</v>
      </c>
      <c r="H4429" t="s">
        <v>28215</v>
      </c>
      <c r="I4429" t="s">
        <v>5082</v>
      </c>
      <c r="J4429" t="s">
        <v>31210</v>
      </c>
      <c r="K4429" t="s">
        <v>36689</v>
      </c>
      <c r="M4429" t="s">
        <v>38505</v>
      </c>
      <c r="N4429" t="s">
        <v>40436</v>
      </c>
      <c r="O4429" t="s">
        <v>40437</v>
      </c>
      <c r="P4429">
        <v>0</v>
      </c>
      <c r="Q4429">
        <v>0</v>
      </c>
      <c r="R4429" t="s">
        <v>40439</v>
      </c>
      <c r="S4429" t="s">
        <v>40588</v>
      </c>
      <c r="T4429" t="s">
        <v>42190</v>
      </c>
      <c r="U4429" t="s">
        <v>46395</v>
      </c>
      <c r="W4429" t="s">
        <v>38505</v>
      </c>
      <c r="X4429" t="s">
        <v>40440</v>
      </c>
    </row>
    <row r="4430" spans="1:24">
      <c r="A4430">
        <f>HYPERLINK("https://www.philgeps.gov.ph/GEPSNONPILOT/Tender/SplashBidNoticeAbstractUI.aspx?menuIndex=3&amp;refID=7046759&amp;Result=3","7046759")</f>
        <v>0</v>
      </c>
      <c r="B4430" t="s">
        <v>1567</v>
      </c>
      <c r="C4430" t="s">
        <v>7318</v>
      </c>
      <c r="D4430" t="s">
        <v>16210</v>
      </c>
      <c r="E4430" t="s">
        <v>20124</v>
      </c>
      <c r="F4430" t="s">
        <v>28198</v>
      </c>
      <c r="G4430" t="s">
        <v>28207</v>
      </c>
      <c r="H4430" t="s">
        <v>28215</v>
      </c>
      <c r="I4430" t="s">
        <v>28247</v>
      </c>
      <c r="J4430" t="s">
        <v>28378</v>
      </c>
      <c r="K4430" t="s">
        <v>36688</v>
      </c>
      <c r="M4430" t="s">
        <v>38650</v>
      </c>
      <c r="N4430" t="s">
        <v>40436</v>
      </c>
      <c r="O4430" t="s">
        <v>40437</v>
      </c>
      <c r="P4430">
        <v>0</v>
      </c>
      <c r="Q4430">
        <v>18</v>
      </c>
      <c r="R4430" t="s">
        <v>40439</v>
      </c>
      <c r="S4430" t="s">
        <v>40588</v>
      </c>
      <c r="T4430" t="s">
        <v>42169</v>
      </c>
      <c r="U4430" t="s">
        <v>46396</v>
      </c>
      <c r="W4430" t="s">
        <v>38650</v>
      </c>
      <c r="X4430" t="s">
        <v>40440</v>
      </c>
    </row>
    <row r="4431" spans="1:24">
      <c r="A4431">
        <f>HYPERLINK("https://www.philgeps.gov.ph/GEPSNONPILOT/Tender/SplashBidNoticeAbstractUI.aspx?menuIndex=3&amp;refID=7046762&amp;Result=3","7046762")</f>
        <v>0</v>
      </c>
      <c r="B4431" t="s">
        <v>1567</v>
      </c>
      <c r="C4431" t="s">
        <v>7319</v>
      </c>
      <c r="D4431" t="s">
        <v>16210</v>
      </c>
      <c r="E4431" t="s">
        <v>20141</v>
      </c>
      <c r="F4431" t="s">
        <v>28198</v>
      </c>
      <c r="G4431" t="s">
        <v>28207</v>
      </c>
      <c r="H4431" t="s">
        <v>28215</v>
      </c>
      <c r="I4431" t="s">
        <v>28247</v>
      </c>
      <c r="J4431" t="s">
        <v>28373</v>
      </c>
      <c r="K4431" t="s">
        <v>36688</v>
      </c>
      <c r="M4431" t="s">
        <v>38650</v>
      </c>
      <c r="N4431" t="s">
        <v>40436</v>
      </c>
      <c r="O4431" t="s">
        <v>40437</v>
      </c>
      <c r="P4431">
        <v>0</v>
      </c>
      <c r="Q4431">
        <v>10</v>
      </c>
      <c r="R4431" t="s">
        <v>40439</v>
      </c>
      <c r="S4431" t="s">
        <v>40588</v>
      </c>
      <c r="T4431" t="s">
        <v>42169</v>
      </c>
      <c r="U4431" t="s">
        <v>46397</v>
      </c>
      <c r="W4431" t="s">
        <v>38650</v>
      </c>
      <c r="X4431" t="s">
        <v>40440</v>
      </c>
    </row>
    <row r="4432" spans="1:24">
      <c r="A4432">
        <f>HYPERLINK("https://www.philgeps.gov.ph/GEPSNONPILOT/Tender/SplashBidNoticeAbstractUI.aspx?menuIndex=3&amp;refID=7046753&amp;Result=3","7046753")</f>
        <v>0</v>
      </c>
      <c r="B4432" t="s">
        <v>1583</v>
      </c>
      <c r="C4432" t="s">
        <v>7320</v>
      </c>
      <c r="D4432" t="s">
        <v>16250</v>
      </c>
      <c r="E4432" t="s">
        <v>20221</v>
      </c>
      <c r="F4432" t="s">
        <v>28198</v>
      </c>
      <c r="G4432" t="s">
        <v>28205</v>
      </c>
      <c r="H4432" t="s">
        <v>28215</v>
      </c>
      <c r="I4432" t="s">
        <v>28234</v>
      </c>
      <c r="J4432" t="s">
        <v>31211</v>
      </c>
      <c r="K4432" t="s">
        <v>36693</v>
      </c>
      <c r="M4432" t="s">
        <v>38668</v>
      </c>
      <c r="N4432" t="s">
        <v>40436</v>
      </c>
      <c r="O4432" t="s">
        <v>40437</v>
      </c>
      <c r="P4432">
        <v>0</v>
      </c>
      <c r="Q4432">
        <v>0</v>
      </c>
      <c r="R4432" t="s">
        <v>40439</v>
      </c>
      <c r="S4432" t="s">
        <v>40588</v>
      </c>
      <c r="T4432" t="s">
        <v>42152</v>
      </c>
      <c r="U4432" t="s">
        <v>46398</v>
      </c>
      <c r="W4432" t="s">
        <v>38668</v>
      </c>
      <c r="X4432" t="s">
        <v>40440</v>
      </c>
    </row>
    <row r="4433" spans="1:24">
      <c r="A4433">
        <f>HYPERLINK("https://www.philgeps.gov.ph/GEPSNONPILOT/Tender/SplashBidNoticeAbstractUI.aspx?menuIndex=3&amp;refID=7046760&amp;Result=3","7046760")</f>
        <v>0</v>
      </c>
      <c r="B4433" t="s">
        <v>701</v>
      </c>
      <c r="C4433" t="s">
        <v>7321</v>
      </c>
      <c r="D4433" t="s">
        <v>16254</v>
      </c>
      <c r="E4433" t="s">
        <v>20222</v>
      </c>
      <c r="F4433" t="s">
        <v>28198</v>
      </c>
      <c r="G4433" t="s">
        <v>28207</v>
      </c>
      <c r="H4433" t="s">
        <v>28215</v>
      </c>
      <c r="I4433" t="s">
        <v>5100</v>
      </c>
      <c r="J4433" t="s">
        <v>31212</v>
      </c>
      <c r="K4433" t="s">
        <v>36707</v>
      </c>
      <c r="M4433" t="s">
        <v>37701</v>
      </c>
      <c r="N4433" t="s">
        <v>40436</v>
      </c>
      <c r="O4433" t="s">
        <v>40437</v>
      </c>
      <c r="P4433">
        <v>0</v>
      </c>
      <c r="Q4433">
        <v>0</v>
      </c>
      <c r="R4433" t="s">
        <v>40439</v>
      </c>
      <c r="S4433" t="s">
        <v>40588</v>
      </c>
      <c r="T4433" t="s">
        <v>42191</v>
      </c>
      <c r="U4433" t="s">
        <v>46399</v>
      </c>
      <c r="W4433" t="s">
        <v>37701</v>
      </c>
      <c r="X4433" t="s">
        <v>40440</v>
      </c>
    </row>
    <row r="4434" spans="1:24">
      <c r="A4434">
        <f>HYPERLINK("https://www.philgeps.gov.ph/GEPSNONPILOT/Tender/SplashBidNoticeAbstractUI.aspx?menuIndex=3&amp;refID=7046757&amp;Result=3","7046757")</f>
        <v>0</v>
      </c>
      <c r="B4434" t="s">
        <v>1577</v>
      </c>
      <c r="C4434" t="s">
        <v>7322</v>
      </c>
      <c r="D4434" t="s">
        <v>16232</v>
      </c>
      <c r="E4434" t="s">
        <v>20223</v>
      </c>
      <c r="F4434" t="s">
        <v>28198</v>
      </c>
      <c r="G4434" t="s">
        <v>28205</v>
      </c>
      <c r="H4434" t="s">
        <v>28215</v>
      </c>
      <c r="I4434" t="s">
        <v>5071</v>
      </c>
      <c r="J4434" t="s">
        <v>31213</v>
      </c>
      <c r="K4434" t="s">
        <v>36689</v>
      </c>
      <c r="M4434" t="s">
        <v>38660</v>
      </c>
      <c r="N4434" t="s">
        <v>40436</v>
      </c>
      <c r="O4434" t="s">
        <v>40437</v>
      </c>
      <c r="P4434">
        <v>0</v>
      </c>
      <c r="Q4434">
        <v>0</v>
      </c>
      <c r="R4434" t="s">
        <v>40439</v>
      </c>
      <c r="S4434" t="s">
        <v>40588</v>
      </c>
      <c r="T4434" t="s">
        <v>42320</v>
      </c>
      <c r="U4434" t="s">
        <v>46400</v>
      </c>
      <c r="W4434" t="s">
        <v>55488</v>
      </c>
      <c r="X4434" t="s">
        <v>40440</v>
      </c>
    </row>
    <row r="4435" spans="1:24">
      <c r="A4435">
        <f>HYPERLINK("https://www.philgeps.gov.ph/GEPSNONPILOT/Tender/SplashBidNoticeAbstractUI.aspx?menuIndex=3&amp;refID=7046751&amp;Result=3","7046751")</f>
        <v>0</v>
      </c>
      <c r="B4435" t="s">
        <v>1584</v>
      </c>
      <c r="C4435" t="s">
        <v>7323</v>
      </c>
      <c r="D4435" t="s">
        <v>16199</v>
      </c>
      <c r="E4435" t="s">
        <v>20224</v>
      </c>
      <c r="F4435" t="s">
        <v>28198</v>
      </c>
      <c r="G4435" t="s">
        <v>28207</v>
      </c>
      <c r="H4435" t="s">
        <v>28215</v>
      </c>
      <c r="I4435" t="s">
        <v>28253</v>
      </c>
      <c r="J4435" t="s">
        <v>28985</v>
      </c>
      <c r="K4435" t="s">
        <v>36691</v>
      </c>
      <c r="M4435" t="s">
        <v>38669</v>
      </c>
      <c r="N4435" t="s">
        <v>40436</v>
      </c>
      <c r="O4435" t="s">
        <v>40437</v>
      </c>
      <c r="P4435">
        <v>0</v>
      </c>
      <c r="Q4435">
        <v>1</v>
      </c>
      <c r="R4435" t="s">
        <v>40439</v>
      </c>
      <c r="S4435" t="s">
        <v>40588</v>
      </c>
      <c r="T4435" t="s">
        <v>42161</v>
      </c>
      <c r="U4435" t="s">
        <v>46401</v>
      </c>
      <c r="W4435" t="s">
        <v>38669</v>
      </c>
      <c r="X4435" t="s">
        <v>40440</v>
      </c>
    </row>
    <row r="4436" spans="1:24">
      <c r="A4436">
        <f>HYPERLINK("https://www.philgeps.gov.ph/GEPSNONPILOT/Tender/SplashBidNoticeAbstractUI.aspx?menuIndex=3&amp;refID=7046750&amp;Result=3","7046750")</f>
        <v>0</v>
      </c>
      <c r="B4436" t="s">
        <v>785</v>
      </c>
      <c r="C4436" t="s">
        <v>7324</v>
      </c>
      <c r="E4436" t="s">
        <v>20225</v>
      </c>
      <c r="F4436" t="s">
        <v>28198</v>
      </c>
      <c r="G4436" t="s">
        <v>28207</v>
      </c>
      <c r="H4436" t="s">
        <v>28215</v>
      </c>
      <c r="I4436" t="s">
        <v>28220</v>
      </c>
      <c r="J4436" t="s">
        <v>31214</v>
      </c>
      <c r="K4436" t="s">
        <v>36689</v>
      </c>
      <c r="M4436" t="s">
        <v>37790</v>
      </c>
      <c r="N4436" t="s">
        <v>40436</v>
      </c>
      <c r="O4436" t="s">
        <v>40437</v>
      </c>
      <c r="P4436">
        <v>0</v>
      </c>
      <c r="Q4436">
        <v>6</v>
      </c>
      <c r="R4436" t="s">
        <v>40439</v>
      </c>
      <c r="S4436" t="s">
        <v>40588</v>
      </c>
      <c r="T4436" t="s">
        <v>42169</v>
      </c>
      <c r="U4436" t="s">
        <v>46402</v>
      </c>
      <c r="W4436" t="s">
        <v>37790</v>
      </c>
      <c r="X4436" t="s">
        <v>40440</v>
      </c>
    </row>
    <row r="4437" spans="1:24">
      <c r="A4437">
        <f>HYPERLINK("https://www.philgeps.gov.ph/GEPSNONPILOT/Tender/SplashBidNoticeAbstractUI.aspx?menuIndex=3&amp;refID=7046756&amp;Result=3","7046756")</f>
        <v>0</v>
      </c>
      <c r="B4437" t="s">
        <v>1023</v>
      </c>
      <c r="C4437" t="s">
        <v>7325</v>
      </c>
      <c r="D4437" t="s">
        <v>16265</v>
      </c>
      <c r="E4437" t="s">
        <v>20226</v>
      </c>
      <c r="F4437" t="s">
        <v>28198</v>
      </c>
      <c r="G4437" t="s">
        <v>28205</v>
      </c>
      <c r="H4437" t="s">
        <v>28215</v>
      </c>
      <c r="I4437" t="s">
        <v>5791</v>
      </c>
      <c r="J4437" t="s">
        <v>28398</v>
      </c>
      <c r="K4437" t="s">
        <v>36701</v>
      </c>
      <c r="M4437" t="s">
        <v>38054</v>
      </c>
      <c r="N4437" t="s">
        <v>40436</v>
      </c>
      <c r="O4437" t="s">
        <v>40437</v>
      </c>
      <c r="P4437">
        <v>0</v>
      </c>
      <c r="Q4437">
        <v>0</v>
      </c>
      <c r="R4437" t="s">
        <v>40439</v>
      </c>
      <c r="S4437" t="s">
        <v>40588</v>
      </c>
      <c r="T4437" t="s">
        <v>42108</v>
      </c>
      <c r="U4437" t="s">
        <v>46403</v>
      </c>
      <c r="W4437" t="s">
        <v>38054</v>
      </c>
      <c r="X4437" t="s">
        <v>40440</v>
      </c>
    </row>
    <row r="4438" spans="1:24">
      <c r="A4438">
        <f>HYPERLINK("https://www.philgeps.gov.ph/GEPSNONPILOT/Tender/SplashBidNoticeAbstractUI.aspx?menuIndex=3&amp;refID=7046752&amp;Result=3","7046752")</f>
        <v>0</v>
      </c>
      <c r="B4438" t="s">
        <v>1577</v>
      </c>
      <c r="C4438" t="s">
        <v>7326</v>
      </c>
      <c r="D4438" t="s">
        <v>16232</v>
      </c>
      <c r="E4438" t="s">
        <v>20223</v>
      </c>
      <c r="F4438" t="s">
        <v>28198</v>
      </c>
      <c r="G4438" t="s">
        <v>28205</v>
      </c>
      <c r="H4438" t="s">
        <v>28215</v>
      </c>
      <c r="I4438" t="s">
        <v>5082</v>
      </c>
      <c r="J4438" t="s">
        <v>31215</v>
      </c>
      <c r="K4438" t="s">
        <v>36689</v>
      </c>
      <c r="M4438" t="s">
        <v>38660</v>
      </c>
      <c r="N4438" t="s">
        <v>40436</v>
      </c>
      <c r="O4438" t="s">
        <v>40437</v>
      </c>
      <c r="P4438">
        <v>0</v>
      </c>
      <c r="Q4438">
        <v>1</v>
      </c>
      <c r="R4438" t="s">
        <v>40439</v>
      </c>
      <c r="S4438" t="s">
        <v>40588</v>
      </c>
      <c r="T4438" t="s">
        <v>42320</v>
      </c>
      <c r="U4438" t="s">
        <v>46404</v>
      </c>
      <c r="W4438" t="s">
        <v>55488</v>
      </c>
      <c r="X4438" t="s">
        <v>40440</v>
      </c>
    </row>
    <row r="4439" spans="1:24">
      <c r="A4439">
        <f>HYPERLINK("https://www.philgeps.gov.ph/GEPSNONPILOT/Tender/SplashBidNoticeAbstractUI.aspx?menuIndex=3&amp;refID=7046778&amp;Result=3","7046778")</f>
        <v>0</v>
      </c>
      <c r="B4439" t="s">
        <v>1585</v>
      </c>
      <c r="C4439" t="s">
        <v>7327</v>
      </c>
      <c r="D4439" t="s">
        <v>16208</v>
      </c>
      <c r="E4439" t="s">
        <v>20227</v>
      </c>
      <c r="F4439" t="s">
        <v>28198</v>
      </c>
      <c r="G4439" t="s">
        <v>28205</v>
      </c>
      <c r="H4439" t="s">
        <v>28214</v>
      </c>
      <c r="I4439" t="s">
        <v>3797</v>
      </c>
      <c r="J4439" t="s">
        <v>31216</v>
      </c>
      <c r="K4439" t="s">
        <v>36690</v>
      </c>
      <c r="M4439" t="s">
        <v>38670</v>
      </c>
      <c r="N4439" t="s">
        <v>40436</v>
      </c>
      <c r="O4439" t="s">
        <v>40437</v>
      </c>
      <c r="P4439">
        <v>0</v>
      </c>
      <c r="Q4439">
        <v>0</v>
      </c>
      <c r="R4439" t="s">
        <v>40439</v>
      </c>
      <c r="S4439" t="s">
        <v>40588</v>
      </c>
      <c r="T4439" t="s">
        <v>42246</v>
      </c>
      <c r="U4439" t="s">
        <v>46405</v>
      </c>
      <c r="W4439" t="s">
        <v>38670</v>
      </c>
      <c r="X4439" t="s">
        <v>40440</v>
      </c>
    </row>
    <row r="4440" spans="1:24">
      <c r="A4440">
        <f>HYPERLINK("https://www.philgeps.gov.ph/GEPSNONPILOT/Tender/SplashBidNoticeAbstractUI.aspx?menuIndex=3&amp;refID=7046755&amp;Result=3","7046755")</f>
        <v>0</v>
      </c>
      <c r="B4440" t="s">
        <v>1019</v>
      </c>
      <c r="C4440" t="s">
        <v>7328</v>
      </c>
      <c r="D4440" t="s">
        <v>16202</v>
      </c>
      <c r="E4440" t="s">
        <v>20228</v>
      </c>
      <c r="F4440" t="s">
        <v>28198</v>
      </c>
      <c r="G4440" t="s">
        <v>28207</v>
      </c>
      <c r="H4440" t="s">
        <v>28215</v>
      </c>
      <c r="I4440" t="s">
        <v>28238</v>
      </c>
      <c r="J4440" t="s">
        <v>31217</v>
      </c>
      <c r="K4440" t="s">
        <v>36701</v>
      </c>
      <c r="M4440" t="s">
        <v>38048</v>
      </c>
      <c r="N4440" t="s">
        <v>40436</v>
      </c>
      <c r="O4440" t="s">
        <v>40437</v>
      </c>
      <c r="P4440">
        <v>0</v>
      </c>
      <c r="Q4440">
        <v>4</v>
      </c>
      <c r="R4440" t="s">
        <v>40439</v>
      </c>
      <c r="S4440" t="s">
        <v>40588</v>
      </c>
      <c r="T4440" t="s">
        <v>42158</v>
      </c>
      <c r="U4440" t="s">
        <v>46086</v>
      </c>
      <c r="W4440" t="s">
        <v>38048</v>
      </c>
      <c r="X4440" t="s">
        <v>40440</v>
      </c>
    </row>
    <row r="4441" spans="1:24">
      <c r="A4441">
        <f>HYPERLINK("https://www.philgeps.gov.ph/GEPSNONPILOT/Tender/SplashBidNoticeAbstractUI.aspx?menuIndex=3&amp;refID=7046764&amp;Result=3","7046764")</f>
        <v>0</v>
      </c>
      <c r="B4441" t="s">
        <v>1032</v>
      </c>
      <c r="C4441" t="s">
        <v>7329</v>
      </c>
      <c r="D4441" t="s">
        <v>16240</v>
      </c>
      <c r="E4441" t="s">
        <v>17449</v>
      </c>
      <c r="F4441" t="s">
        <v>28198</v>
      </c>
      <c r="G4441" t="s">
        <v>28207</v>
      </c>
      <c r="H4441" t="s">
        <v>28215</v>
      </c>
      <c r="I4441" t="s">
        <v>4200</v>
      </c>
      <c r="J4441" t="s">
        <v>28378</v>
      </c>
      <c r="K4441" t="s">
        <v>36701</v>
      </c>
      <c r="M4441" t="s">
        <v>38064</v>
      </c>
      <c r="N4441" t="s">
        <v>40436</v>
      </c>
      <c r="O4441" t="s">
        <v>40437</v>
      </c>
      <c r="P4441">
        <v>0</v>
      </c>
      <c r="Q4441">
        <v>3</v>
      </c>
      <c r="R4441" t="s">
        <v>40439</v>
      </c>
      <c r="S4441" t="s">
        <v>40588</v>
      </c>
      <c r="T4441" t="s">
        <v>42160</v>
      </c>
      <c r="U4441" t="s">
        <v>46406</v>
      </c>
      <c r="W4441" t="s">
        <v>38064</v>
      </c>
      <c r="X4441" t="s">
        <v>40440</v>
      </c>
    </row>
    <row r="4442" spans="1:24">
      <c r="A4442">
        <f>HYPERLINK("https://www.philgeps.gov.ph/GEPSNONPILOT/Tender/SplashBidNoticeAbstractUI.aspx?menuIndex=3&amp;refID=7046777&amp;Result=3","7046777")</f>
        <v>0</v>
      </c>
      <c r="B4442" t="s">
        <v>1576</v>
      </c>
      <c r="C4442" t="s">
        <v>7330</v>
      </c>
      <c r="D4442" t="s">
        <v>16194</v>
      </c>
      <c r="E4442" t="s">
        <v>20229</v>
      </c>
      <c r="F4442" t="s">
        <v>28198</v>
      </c>
      <c r="G4442" t="s">
        <v>28205</v>
      </c>
      <c r="H4442" t="s">
        <v>28215</v>
      </c>
      <c r="I4442" t="s">
        <v>28234</v>
      </c>
      <c r="J4442" t="s">
        <v>31218</v>
      </c>
      <c r="K4442" t="s">
        <v>36694</v>
      </c>
      <c r="M4442" t="s">
        <v>38659</v>
      </c>
      <c r="N4442" t="s">
        <v>40436</v>
      </c>
      <c r="O4442" t="s">
        <v>40437</v>
      </c>
      <c r="P4442">
        <v>0</v>
      </c>
      <c r="Q4442">
        <v>6</v>
      </c>
      <c r="R4442" t="s">
        <v>40439</v>
      </c>
      <c r="S4442" t="s">
        <v>40588</v>
      </c>
      <c r="T4442" t="s">
        <v>42118</v>
      </c>
      <c r="U4442" t="s">
        <v>46407</v>
      </c>
      <c r="W4442" t="s">
        <v>38659</v>
      </c>
      <c r="X4442" t="s">
        <v>40440</v>
      </c>
    </row>
    <row r="4443" spans="1:24">
      <c r="A4443">
        <f>HYPERLINK("https://www.philgeps.gov.ph/GEPSNONPILOT/Tender/SplashBidNoticeAbstractUI.aspx?menuIndex=3&amp;refID=7046781&amp;Result=3","7046781")</f>
        <v>0</v>
      </c>
      <c r="B4443" t="s">
        <v>1586</v>
      </c>
      <c r="C4443" t="s">
        <v>7331</v>
      </c>
      <c r="D4443" t="s">
        <v>16227</v>
      </c>
      <c r="E4443" t="s">
        <v>20230</v>
      </c>
      <c r="F4443" t="s">
        <v>28198</v>
      </c>
      <c r="G4443" t="s">
        <v>28207</v>
      </c>
      <c r="H4443" t="s">
        <v>28215</v>
      </c>
      <c r="I4443" t="s">
        <v>28224</v>
      </c>
      <c r="J4443" t="s">
        <v>28388</v>
      </c>
      <c r="K4443" t="s">
        <v>36706</v>
      </c>
      <c r="M4443" t="s">
        <v>38671</v>
      </c>
      <c r="N4443" t="s">
        <v>40436</v>
      </c>
      <c r="O4443" t="s">
        <v>40437</v>
      </c>
      <c r="P4443">
        <v>0</v>
      </c>
      <c r="Q4443">
        <v>3</v>
      </c>
      <c r="R4443" t="s">
        <v>40439</v>
      </c>
      <c r="S4443" t="s">
        <v>40588</v>
      </c>
      <c r="T4443" t="s">
        <v>42190</v>
      </c>
      <c r="U4443" t="s">
        <v>46408</v>
      </c>
      <c r="W4443" t="s">
        <v>55489</v>
      </c>
      <c r="X4443" t="s">
        <v>40440</v>
      </c>
    </row>
    <row r="4444" spans="1:24">
      <c r="A4444">
        <f>HYPERLINK("https://www.philgeps.gov.ph/GEPSNONPILOT/Tender/SplashBidNoticeAbstractUI.aspx?menuIndex=3&amp;refID=7046775&amp;Result=3","7046775")</f>
        <v>0</v>
      </c>
      <c r="B4444" t="s">
        <v>1023</v>
      </c>
      <c r="C4444" t="s">
        <v>7332</v>
      </c>
      <c r="D4444" t="s">
        <v>16265</v>
      </c>
      <c r="E4444" t="s">
        <v>20231</v>
      </c>
      <c r="F4444" t="s">
        <v>28198</v>
      </c>
      <c r="G4444" t="s">
        <v>28205</v>
      </c>
      <c r="H4444" t="s">
        <v>28215</v>
      </c>
      <c r="I4444" t="s">
        <v>28257</v>
      </c>
      <c r="J4444" t="s">
        <v>31219</v>
      </c>
      <c r="K4444" t="s">
        <v>36701</v>
      </c>
      <c r="M4444" t="s">
        <v>38054</v>
      </c>
      <c r="N4444" t="s">
        <v>40436</v>
      </c>
      <c r="O4444" t="s">
        <v>40437</v>
      </c>
      <c r="P4444">
        <v>0</v>
      </c>
      <c r="Q4444">
        <v>0</v>
      </c>
      <c r="R4444" t="s">
        <v>40439</v>
      </c>
      <c r="S4444" t="s">
        <v>40588</v>
      </c>
      <c r="T4444" t="s">
        <v>42108</v>
      </c>
      <c r="U4444" t="s">
        <v>46409</v>
      </c>
      <c r="W4444" t="s">
        <v>38054</v>
      </c>
      <c r="X4444" t="s">
        <v>40440</v>
      </c>
    </row>
    <row r="4445" spans="1:24">
      <c r="A4445">
        <f>HYPERLINK("https://www.philgeps.gov.ph/GEPSNONPILOT/Tender/SplashBidNoticeAbstractUI.aspx?menuIndex=3&amp;refID=7046779&amp;Result=3","7046779")</f>
        <v>0</v>
      </c>
      <c r="B4445" t="s">
        <v>1578</v>
      </c>
      <c r="C4445" t="s">
        <v>7333</v>
      </c>
      <c r="D4445" t="s">
        <v>16209</v>
      </c>
      <c r="E4445" t="s">
        <v>20232</v>
      </c>
      <c r="F4445" t="s">
        <v>28198</v>
      </c>
      <c r="G4445" t="s">
        <v>28207</v>
      </c>
      <c r="H4445" t="s">
        <v>28215</v>
      </c>
      <c r="I4445" t="s">
        <v>28258</v>
      </c>
      <c r="J4445" t="s">
        <v>31220</v>
      </c>
      <c r="K4445" t="s">
        <v>36697</v>
      </c>
      <c r="M4445" t="s">
        <v>38661</v>
      </c>
      <c r="N4445" t="s">
        <v>40436</v>
      </c>
      <c r="O4445" t="s">
        <v>40437</v>
      </c>
      <c r="P4445">
        <v>0</v>
      </c>
      <c r="Q4445">
        <v>2</v>
      </c>
      <c r="R4445" t="s">
        <v>40439</v>
      </c>
      <c r="S4445" t="s">
        <v>40588</v>
      </c>
      <c r="T4445" t="s">
        <v>42158</v>
      </c>
      <c r="U4445" t="s">
        <v>46410</v>
      </c>
      <c r="W4445" t="s">
        <v>38661</v>
      </c>
      <c r="X4445" t="s">
        <v>40440</v>
      </c>
    </row>
    <row r="4446" spans="1:24">
      <c r="A4446">
        <f>HYPERLINK("https://www.philgeps.gov.ph/GEPSNONPILOT/Tender/SplashBidNoticeAbstractUI.aspx?menuIndex=3&amp;refID=7046769&amp;Result=3","7046769")</f>
        <v>0</v>
      </c>
      <c r="B4446" t="s">
        <v>1587</v>
      </c>
      <c r="C4446" t="s">
        <v>7334</v>
      </c>
      <c r="D4446" t="s">
        <v>16213</v>
      </c>
      <c r="E4446" t="s">
        <v>20233</v>
      </c>
      <c r="F4446" t="s">
        <v>28198</v>
      </c>
      <c r="G4446" t="s">
        <v>28206</v>
      </c>
      <c r="H4446" t="s">
        <v>28215</v>
      </c>
      <c r="I4446" t="s">
        <v>28265</v>
      </c>
      <c r="J4446" t="s">
        <v>29103</v>
      </c>
      <c r="K4446" t="s">
        <v>36693</v>
      </c>
      <c r="M4446" t="s">
        <v>38672</v>
      </c>
      <c r="N4446" t="s">
        <v>40436</v>
      </c>
      <c r="O4446" t="s">
        <v>40437</v>
      </c>
      <c r="Q4446">
        <v>1</v>
      </c>
      <c r="R4446" t="s">
        <v>40439</v>
      </c>
      <c r="S4446" t="s">
        <v>40602</v>
      </c>
      <c r="T4446" t="s">
        <v>42318</v>
      </c>
      <c r="U4446" t="s">
        <v>46411</v>
      </c>
      <c r="V4446" t="s">
        <v>54228</v>
      </c>
      <c r="W4446" t="s">
        <v>38672</v>
      </c>
      <c r="X4446" t="s">
        <v>40440</v>
      </c>
    </row>
    <row r="4447" spans="1:24">
      <c r="A4447">
        <f>HYPERLINK("https://www.philgeps.gov.ph/GEPSNONPILOT/Tender/SplashBidNoticeAbstractUI.aspx?menuIndex=3&amp;refID=7046776&amp;Result=3","7046776")</f>
        <v>0</v>
      </c>
      <c r="B4447" t="s">
        <v>1586</v>
      </c>
      <c r="C4447" t="s">
        <v>7335</v>
      </c>
      <c r="D4447" t="s">
        <v>16227</v>
      </c>
      <c r="E4447" t="s">
        <v>20234</v>
      </c>
      <c r="F4447" t="s">
        <v>28198</v>
      </c>
      <c r="G4447" t="s">
        <v>28207</v>
      </c>
      <c r="H4447" t="s">
        <v>28215</v>
      </c>
      <c r="I4447" t="s">
        <v>28224</v>
      </c>
      <c r="J4447" t="s">
        <v>31221</v>
      </c>
      <c r="K4447" t="s">
        <v>36706</v>
      </c>
      <c r="M4447" t="s">
        <v>38671</v>
      </c>
      <c r="N4447" t="s">
        <v>40436</v>
      </c>
      <c r="O4447" t="s">
        <v>40437</v>
      </c>
      <c r="P4447">
        <v>0</v>
      </c>
      <c r="Q4447">
        <v>4</v>
      </c>
      <c r="R4447" t="s">
        <v>40439</v>
      </c>
      <c r="S4447" t="s">
        <v>40588</v>
      </c>
      <c r="T4447" t="s">
        <v>42190</v>
      </c>
      <c r="U4447" t="s">
        <v>46408</v>
      </c>
      <c r="W4447" t="s">
        <v>55489</v>
      </c>
      <c r="X4447" t="s">
        <v>40440</v>
      </c>
    </row>
    <row r="4448" spans="1:24">
      <c r="A4448">
        <f>HYPERLINK("https://www.philgeps.gov.ph/GEPSNONPILOT/Tender/SplashBidNoticeAbstractUI.aspx?menuIndex=3&amp;refID=7046746&amp;Result=3","7046746")</f>
        <v>0</v>
      </c>
      <c r="B4448" t="s">
        <v>1580</v>
      </c>
      <c r="C4448" t="s">
        <v>7336</v>
      </c>
      <c r="E4448" t="s">
        <v>20235</v>
      </c>
      <c r="F4448" t="s">
        <v>28198</v>
      </c>
      <c r="G4448" t="s">
        <v>28207</v>
      </c>
      <c r="H4448" t="s">
        <v>28215</v>
      </c>
      <c r="I4448" t="s">
        <v>28268</v>
      </c>
      <c r="J4448" t="s">
        <v>28665</v>
      </c>
      <c r="K4448" t="s">
        <v>36689</v>
      </c>
      <c r="M4448" t="s">
        <v>38663</v>
      </c>
      <c r="N4448" t="s">
        <v>40436</v>
      </c>
      <c r="O4448" t="s">
        <v>40437</v>
      </c>
      <c r="P4448">
        <v>0</v>
      </c>
      <c r="Q4448">
        <v>0</v>
      </c>
      <c r="R4448" t="s">
        <v>40439</v>
      </c>
      <c r="S4448" t="s">
        <v>40588</v>
      </c>
      <c r="T4448" t="s">
        <v>42190</v>
      </c>
      <c r="U4448" t="s">
        <v>46382</v>
      </c>
      <c r="W4448" t="s">
        <v>38663</v>
      </c>
      <c r="X4448" t="s">
        <v>40440</v>
      </c>
    </row>
    <row r="4449" spans="1:24">
      <c r="A4449">
        <f>HYPERLINK("https://www.philgeps.gov.ph/GEPSNONPILOT/Tender/SplashBidNoticeAbstractUI.aspx?menuIndex=3&amp;refID=7046767&amp;Result=3","7046767")</f>
        <v>0</v>
      </c>
      <c r="B4449" t="s">
        <v>1023</v>
      </c>
      <c r="C4449" t="s">
        <v>7337</v>
      </c>
      <c r="D4449" t="s">
        <v>16265</v>
      </c>
      <c r="E4449" t="s">
        <v>20236</v>
      </c>
      <c r="F4449" t="s">
        <v>28198</v>
      </c>
      <c r="G4449" t="s">
        <v>28205</v>
      </c>
      <c r="H4449" t="s">
        <v>28215</v>
      </c>
      <c r="I4449" t="s">
        <v>3774</v>
      </c>
      <c r="J4449" t="s">
        <v>29490</v>
      </c>
      <c r="K4449" t="s">
        <v>36701</v>
      </c>
      <c r="M4449" t="s">
        <v>38054</v>
      </c>
      <c r="N4449" t="s">
        <v>40436</v>
      </c>
      <c r="O4449" t="s">
        <v>40437</v>
      </c>
      <c r="P4449">
        <v>0</v>
      </c>
      <c r="Q4449">
        <v>0</v>
      </c>
      <c r="R4449" t="s">
        <v>40439</v>
      </c>
      <c r="S4449" t="s">
        <v>40588</v>
      </c>
      <c r="T4449" t="s">
        <v>42108</v>
      </c>
      <c r="U4449" t="s">
        <v>46412</v>
      </c>
      <c r="W4449" t="s">
        <v>38054</v>
      </c>
      <c r="X4449" t="s">
        <v>40440</v>
      </c>
    </row>
    <row r="4450" spans="1:24">
      <c r="A4450">
        <f>HYPERLINK("https://www.philgeps.gov.ph/GEPSNONPILOT/Tender/SplashBidNoticeAbstractUI.aspx?menuIndex=3&amp;refID=7046772&amp;Result=3","7046772")</f>
        <v>0</v>
      </c>
      <c r="B4450" t="s">
        <v>788</v>
      </c>
      <c r="C4450" t="s">
        <v>7338</v>
      </c>
      <c r="D4450" t="s">
        <v>16262</v>
      </c>
      <c r="E4450" t="s">
        <v>20237</v>
      </c>
      <c r="F4450" t="s">
        <v>28198</v>
      </c>
      <c r="G4450" t="s">
        <v>28205</v>
      </c>
      <c r="H4450" t="s">
        <v>28215</v>
      </c>
      <c r="I4450" t="s">
        <v>5631</v>
      </c>
      <c r="J4450" t="s">
        <v>31222</v>
      </c>
      <c r="K4450" t="s">
        <v>36691</v>
      </c>
      <c r="M4450" t="s">
        <v>37793</v>
      </c>
      <c r="N4450" t="s">
        <v>40436</v>
      </c>
      <c r="O4450" t="s">
        <v>40437</v>
      </c>
      <c r="P4450">
        <v>0</v>
      </c>
      <c r="Q4450">
        <v>0</v>
      </c>
      <c r="R4450" t="s">
        <v>40439</v>
      </c>
      <c r="S4450" t="s">
        <v>40588</v>
      </c>
      <c r="T4450" t="s">
        <v>42134</v>
      </c>
      <c r="U4450" t="s">
        <v>44111</v>
      </c>
      <c r="V4450" t="s">
        <v>54229</v>
      </c>
      <c r="W4450" t="s">
        <v>37793</v>
      </c>
      <c r="X4450" t="s">
        <v>40440</v>
      </c>
    </row>
    <row r="4451" spans="1:24">
      <c r="A4451">
        <f>HYPERLINK("https://www.philgeps.gov.ph/GEPSNONPILOT/Tender/SplashBidNoticeAbstractUI.aspx?menuIndex=3&amp;refID=7046770&amp;Result=3","7046770")</f>
        <v>0</v>
      </c>
      <c r="B4451" t="s">
        <v>315</v>
      </c>
      <c r="C4451" t="s">
        <v>4168</v>
      </c>
      <c r="D4451" t="s">
        <v>16191</v>
      </c>
      <c r="E4451" t="s">
        <v>20238</v>
      </c>
      <c r="F4451" t="s">
        <v>28198</v>
      </c>
      <c r="G4451" t="s">
        <v>28206</v>
      </c>
      <c r="H4451" t="s">
        <v>28215</v>
      </c>
      <c r="I4451" t="s">
        <v>4168</v>
      </c>
      <c r="J4451" t="s">
        <v>28414</v>
      </c>
      <c r="K4451" t="s">
        <v>36691</v>
      </c>
      <c r="M4451" t="s">
        <v>38665</v>
      </c>
      <c r="N4451" t="s">
        <v>40436</v>
      </c>
      <c r="O4451" t="s">
        <v>40437</v>
      </c>
      <c r="P4451">
        <v>0</v>
      </c>
      <c r="Q4451">
        <v>2</v>
      </c>
      <c r="R4451" t="s">
        <v>40439</v>
      </c>
      <c r="S4451" t="s">
        <v>40588</v>
      </c>
      <c r="T4451" t="s">
        <v>42185</v>
      </c>
      <c r="U4451" t="s">
        <v>46413</v>
      </c>
      <c r="W4451" t="s">
        <v>38665</v>
      </c>
      <c r="X4451" t="s">
        <v>40440</v>
      </c>
    </row>
    <row r="4452" spans="1:24">
      <c r="A4452">
        <f>HYPERLINK("https://www.philgeps.gov.ph/GEPSNONPILOT/Tender/SplashBidNoticeAbstractUI.aspx?menuIndex=3&amp;refID=7046749&amp;Result=3","7046749")</f>
        <v>0</v>
      </c>
      <c r="B4452" t="s">
        <v>1581</v>
      </c>
      <c r="C4452" t="s">
        <v>7339</v>
      </c>
      <c r="D4452" t="s">
        <v>16220</v>
      </c>
      <c r="E4452" t="s">
        <v>20239</v>
      </c>
      <c r="F4452" t="s">
        <v>28198</v>
      </c>
      <c r="G4452" t="s">
        <v>28205</v>
      </c>
      <c r="H4452" t="s">
        <v>28215</v>
      </c>
      <c r="I4452" t="s">
        <v>4168</v>
      </c>
      <c r="J4452" t="s">
        <v>31223</v>
      </c>
      <c r="K4452" t="s">
        <v>36701</v>
      </c>
      <c r="M4452" t="s">
        <v>38666</v>
      </c>
      <c r="N4452" t="s">
        <v>40436</v>
      </c>
      <c r="O4452" t="s">
        <v>40437</v>
      </c>
      <c r="P4452">
        <v>0</v>
      </c>
      <c r="Q4452">
        <v>2</v>
      </c>
      <c r="R4452" t="s">
        <v>40439</v>
      </c>
      <c r="S4452" t="s">
        <v>40588</v>
      </c>
      <c r="T4452" t="s">
        <v>42320</v>
      </c>
      <c r="U4452" t="s">
        <v>46414</v>
      </c>
      <c r="W4452" t="s">
        <v>38666</v>
      </c>
      <c r="X4452" t="s">
        <v>40440</v>
      </c>
    </row>
    <row r="4453" spans="1:24">
      <c r="A4453">
        <f>HYPERLINK("https://www.philgeps.gov.ph/GEPSNONPILOT/Tender/SplashBidNoticeAbstractUI.aspx?menuIndex=3&amp;refID=7046789&amp;Result=3","7046789")</f>
        <v>0</v>
      </c>
      <c r="B4453" t="s">
        <v>1588</v>
      </c>
      <c r="C4453" t="s">
        <v>7340</v>
      </c>
      <c r="D4453" t="s">
        <v>16210</v>
      </c>
      <c r="E4453" t="s">
        <v>20240</v>
      </c>
      <c r="F4453" t="s">
        <v>28198</v>
      </c>
      <c r="G4453" t="s">
        <v>28207</v>
      </c>
      <c r="H4453" t="s">
        <v>28215</v>
      </c>
      <c r="I4453" t="s">
        <v>28255</v>
      </c>
      <c r="J4453" t="s">
        <v>28414</v>
      </c>
      <c r="K4453" t="s">
        <v>36689</v>
      </c>
      <c r="M4453" t="s">
        <v>38673</v>
      </c>
      <c r="N4453" t="s">
        <v>40436</v>
      </c>
      <c r="O4453" t="s">
        <v>40437</v>
      </c>
      <c r="P4453">
        <v>0</v>
      </c>
      <c r="Q4453">
        <v>0</v>
      </c>
      <c r="R4453" t="s">
        <v>40439</v>
      </c>
      <c r="S4453" t="s">
        <v>40588</v>
      </c>
      <c r="T4453" t="s">
        <v>42216</v>
      </c>
      <c r="U4453" t="s">
        <v>46415</v>
      </c>
      <c r="W4453" t="s">
        <v>38673</v>
      </c>
      <c r="X4453" t="s">
        <v>40440</v>
      </c>
    </row>
    <row r="4454" spans="1:24">
      <c r="A4454">
        <f>HYPERLINK("https://www.philgeps.gov.ph/GEPSNONPILOT/Tender/SplashBidNoticeAbstractUI.aspx?menuIndex=3&amp;refID=7046768&amp;Result=3","7046768")</f>
        <v>0</v>
      </c>
      <c r="B4454" t="s">
        <v>1295</v>
      </c>
      <c r="C4454" t="s">
        <v>7341</v>
      </c>
      <c r="D4454" t="s">
        <v>16192</v>
      </c>
      <c r="E4454" t="s">
        <v>16526</v>
      </c>
      <c r="F4454" t="s">
        <v>28198</v>
      </c>
      <c r="G4454" t="s">
        <v>28205</v>
      </c>
      <c r="H4454" t="s">
        <v>28215</v>
      </c>
      <c r="I4454" t="s">
        <v>5100</v>
      </c>
      <c r="J4454" t="s">
        <v>31224</v>
      </c>
      <c r="K4454" t="s">
        <v>36701</v>
      </c>
      <c r="M4454" t="s">
        <v>38349</v>
      </c>
      <c r="N4454" t="s">
        <v>40436</v>
      </c>
      <c r="O4454" t="s">
        <v>40437</v>
      </c>
      <c r="P4454">
        <v>0</v>
      </c>
      <c r="Q4454">
        <v>0</v>
      </c>
      <c r="R4454" t="s">
        <v>40439</v>
      </c>
      <c r="S4454" t="s">
        <v>40588</v>
      </c>
      <c r="T4454" t="s">
        <v>42121</v>
      </c>
      <c r="U4454" t="s">
        <v>46416</v>
      </c>
      <c r="W4454" t="s">
        <v>38349</v>
      </c>
      <c r="X4454" t="s">
        <v>40440</v>
      </c>
    </row>
    <row r="4455" spans="1:24">
      <c r="A4455">
        <f>HYPERLINK("https://www.philgeps.gov.ph/GEPSNONPILOT/Tender/SplashBidNoticeAbstractUI.aspx?menuIndex=3&amp;refID=7046788&amp;Result=3","7046788")</f>
        <v>0</v>
      </c>
      <c r="B4455" t="s">
        <v>1023</v>
      </c>
      <c r="C4455" t="s">
        <v>7342</v>
      </c>
      <c r="D4455" t="s">
        <v>16265</v>
      </c>
      <c r="E4455" t="s">
        <v>20241</v>
      </c>
      <c r="F4455" t="s">
        <v>28198</v>
      </c>
      <c r="G4455" t="s">
        <v>28205</v>
      </c>
      <c r="H4455" t="s">
        <v>28215</v>
      </c>
      <c r="I4455" t="s">
        <v>3422</v>
      </c>
      <c r="J4455" t="s">
        <v>31225</v>
      </c>
      <c r="K4455" t="s">
        <v>36701</v>
      </c>
      <c r="M4455" t="s">
        <v>38054</v>
      </c>
      <c r="N4455" t="s">
        <v>40436</v>
      </c>
      <c r="O4455" t="s">
        <v>40437</v>
      </c>
      <c r="P4455">
        <v>0</v>
      </c>
      <c r="Q4455">
        <v>0</v>
      </c>
      <c r="R4455" t="s">
        <v>40439</v>
      </c>
      <c r="S4455" t="s">
        <v>40588</v>
      </c>
      <c r="T4455" t="s">
        <v>42108</v>
      </c>
      <c r="U4455" t="s">
        <v>46417</v>
      </c>
      <c r="W4455" t="s">
        <v>38054</v>
      </c>
      <c r="X4455" t="s">
        <v>40440</v>
      </c>
    </row>
    <row r="4456" spans="1:24">
      <c r="A4456">
        <f>HYPERLINK("https://www.philgeps.gov.ph/GEPSNONPILOT/Tender/SplashBidNoticeAbstractUI.aspx?menuIndex=3&amp;refID=7046787&amp;Result=3","7046787")</f>
        <v>0</v>
      </c>
      <c r="B4456" t="s">
        <v>1586</v>
      </c>
      <c r="C4456" t="s">
        <v>7343</v>
      </c>
      <c r="D4456" t="s">
        <v>16241</v>
      </c>
      <c r="E4456" t="s">
        <v>20242</v>
      </c>
      <c r="F4456" t="s">
        <v>28198</v>
      </c>
      <c r="G4456" t="s">
        <v>28212</v>
      </c>
      <c r="H4456" t="s">
        <v>28215</v>
      </c>
      <c r="I4456" t="s">
        <v>28224</v>
      </c>
      <c r="J4456" t="s">
        <v>30500</v>
      </c>
      <c r="K4456" t="s">
        <v>36706</v>
      </c>
      <c r="M4456" t="s">
        <v>38671</v>
      </c>
      <c r="N4456" t="s">
        <v>40436</v>
      </c>
      <c r="O4456" t="s">
        <v>40437</v>
      </c>
      <c r="P4456">
        <v>0</v>
      </c>
      <c r="Q4456">
        <v>2</v>
      </c>
      <c r="R4456" t="s">
        <v>40439</v>
      </c>
      <c r="S4456" t="s">
        <v>40588</v>
      </c>
      <c r="T4456" t="s">
        <v>42190</v>
      </c>
      <c r="U4456" t="s">
        <v>46408</v>
      </c>
      <c r="W4456" t="s">
        <v>55489</v>
      </c>
      <c r="X4456" t="s">
        <v>40440</v>
      </c>
    </row>
    <row r="4457" spans="1:24">
      <c r="A4457">
        <f>HYPERLINK("https://www.philgeps.gov.ph/GEPSNONPILOT/Tender/SplashBidNoticeAbstractUI.aspx?menuIndex=3&amp;refID=7046782&amp;Result=3","7046782")</f>
        <v>0</v>
      </c>
      <c r="B4457" t="s">
        <v>1589</v>
      </c>
      <c r="C4457" t="s">
        <v>7344</v>
      </c>
      <c r="D4457" t="s">
        <v>16191</v>
      </c>
      <c r="E4457" t="s">
        <v>16516</v>
      </c>
      <c r="F4457" t="s">
        <v>28198</v>
      </c>
      <c r="G4457" t="s">
        <v>28207</v>
      </c>
      <c r="H4457" t="s">
        <v>28215</v>
      </c>
      <c r="I4457" t="s">
        <v>4505</v>
      </c>
      <c r="J4457" t="s">
        <v>31226</v>
      </c>
      <c r="K4457" t="s">
        <v>36691</v>
      </c>
      <c r="M4457" t="s">
        <v>38674</v>
      </c>
      <c r="N4457" t="s">
        <v>40436</v>
      </c>
      <c r="O4457" t="s">
        <v>40437</v>
      </c>
      <c r="P4457">
        <v>0</v>
      </c>
      <c r="Q4457">
        <v>2</v>
      </c>
      <c r="R4457" t="s">
        <v>40439</v>
      </c>
      <c r="S4457" t="s">
        <v>40588</v>
      </c>
      <c r="T4457" t="s">
        <v>42161</v>
      </c>
      <c r="U4457" t="s">
        <v>46418</v>
      </c>
      <c r="W4457" t="s">
        <v>38674</v>
      </c>
      <c r="X4457" t="s">
        <v>40440</v>
      </c>
    </row>
    <row r="4458" spans="1:24">
      <c r="A4458">
        <f>HYPERLINK("https://www.philgeps.gov.ph/GEPSNONPILOT/Tender/SplashBidNoticeAbstractUI.aspx?menuIndex=3&amp;refID=7046784&amp;Result=3","7046784")</f>
        <v>0</v>
      </c>
      <c r="B4458" t="s">
        <v>350</v>
      </c>
      <c r="C4458" t="s">
        <v>7345</v>
      </c>
      <c r="D4458" t="s">
        <v>16223</v>
      </c>
      <c r="E4458" t="s">
        <v>17190</v>
      </c>
      <c r="F4458" t="s">
        <v>28198</v>
      </c>
      <c r="G4458" t="s">
        <v>28205</v>
      </c>
      <c r="H4458" t="s">
        <v>28214</v>
      </c>
      <c r="I4458" t="s">
        <v>28242</v>
      </c>
      <c r="J4458" t="s">
        <v>31227</v>
      </c>
      <c r="K4458" t="s">
        <v>36697</v>
      </c>
      <c r="M4458" t="s">
        <v>37329</v>
      </c>
      <c r="N4458" t="s">
        <v>40436</v>
      </c>
      <c r="O4458" t="s">
        <v>40437</v>
      </c>
      <c r="P4458">
        <v>0</v>
      </c>
      <c r="Q4458">
        <v>0</v>
      </c>
      <c r="R4458" t="s">
        <v>40439</v>
      </c>
      <c r="S4458" t="s">
        <v>40588</v>
      </c>
      <c r="T4458" t="s">
        <v>42106</v>
      </c>
      <c r="U4458" t="s">
        <v>46419</v>
      </c>
      <c r="W4458" t="s">
        <v>37329</v>
      </c>
      <c r="X4458" t="s">
        <v>40440</v>
      </c>
    </row>
    <row r="4459" spans="1:24">
      <c r="A4459">
        <f>HYPERLINK("https://www.philgeps.gov.ph/GEPSNONPILOT/Tender/SplashBidNoticeAbstractUI.aspx?menuIndex=3&amp;refID=7046792&amp;Result=3","7046792")</f>
        <v>0</v>
      </c>
      <c r="B4459" t="s">
        <v>926</v>
      </c>
      <c r="C4459" t="s">
        <v>7346</v>
      </c>
      <c r="D4459" t="s">
        <v>16242</v>
      </c>
      <c r="E4459" t="s">
        <v>20243</v>
      </c>
      <c r="F4459" t="s">
        <v>28198</v>
      </c>
      <c r="G4459" t="s">
        <v>28205</v>
      </c>
      <c r="H4459" t="s">
        <v>28214</v>
      </c>
      <c r="I4459" t="s">
        <v>3797</v>
      </c>
      <c r="J4459" t="s">
        <v>29692</v>
      </c>
      <c r="K4459" t="s">
        <v>36799</v>
      </c>
      <c r="M4459" t="s">
        <v>37945</v>
      </c>
      <c r="N4459" t="s">
        <v>40436</v>
      </c>
      <c r="O4459" t="s">
        <v>40437</v>
      </c>
      <c r="P4459">
        <v>0</v>
      </c>
      <c r="Q4459">
        <v>0</v>
      </c>
      <c r="R4459" t="s">
        <v>40439</v>
      </c>
      <c r="S4459" t="s">
        <v>40588</v>
      </c>
      <c r="T4459" t="s">
        <v>42106</v>
      </c>
      <c r="U4459" t="s">
        <v>46420</v>
      </c>
      <c r="V4459" t="s">
        <v>54230</v>
      </c>
      <c r="W4459" t="s">
        <v>37945</v>
      </c>
      <c r="X4459" t="s">
        <v>40440</v>
      </c>
    </row>
    <row r="4460" spans="1:24">
      <c r="A4460">
        <f>HYPERLINK("https://www.philgeps.gov.ph/GEPSNONPILOT/Tender/SplashBidNoticeAbstractUI.aspx?menuIndex=3&amp;refID=7046766&amp;Result=3","7046766")</f>
        <v>0</v>
      </c>
      <c r="B4460" t="s">
        <v>310</v>
      </c>
      <c r="C4460" t="s">
        <v>7347</v>
      </c>
      <c r="D4460" t="s">
        <v>16202</v>
      </c>
      <c r="E4460" t="s">
        <v>20244</v>
      </c>
      <c r="F4460" t="s">
        <v>28198</v>
      </c>
      <c r="G4460" t="s">
        <v>28205</v>
      </c>
      <c r="H4460" t="s">
        <v>28215</v>
      </c>
      <c r="I4460" t="s">
        <v>5100</v>
      </c>
      <c r="J4460" t="s">
        <v>31228</v>
      </c>
      <c r="K4460" t="s">
        <v>36689</v>
      </c>
      <c r="L4460" t="s">
        <v>310</v>
      </c>
      <c r="M4460" t="s">
        <v>37288</v>
      </c>
      <c r="N4460" t="s">
        <v>40436</v>
      </c>
      <c r="O4460" t="s">
        <v>40437</v>
      </c>
      <c r="P4460">
        <v>0</v>
      </c>
      <c r="Q4460">
        <v>2</v>
      </c>
      <c r="R4460" t="s">
        <v>40439</v>
      </c>
      <c r="S4460" t="s">
        <v>40588</v>
      </c>
      <c r="T4460" t="s">
        <v>42122</v>
      </c>
      <c r="U4460" t="s">
        <v>43114</v>
      </c>
      <c r="W4460" t="s">
        <v>37288</v>
      </c>
      <c r="X4460" t="s">
        <v>40440</v>
      </c>
    </row>
    <row r="4461" spans="1:24">
      <c r="A4461">
        <f>HYPERLINK("https://www.philgeps.gov.ph/GEPSNONPILOT/Tender/SplashBidNoticeAbstractUI.aspx?menuIndex=3&amp;refID=7046785&amp;Result=3","7046785")</f>
        <v>0</v>
      </c>
      <c r="B4461" t="s">
        <v>1586</v>
      </c>
      <c r="C4461" t="s">
        <v>7348</v>
      </c>
      <c r="D4461" t="s">
        <v>16227</v>
      </c>
      <c r="E4461" t="s">
        <v>20245</v>
      </c>
      <c r="F4461" t="s">
        <v>28198</v>
      </c>
      <c r="G4461" t="s">
        <v>28206</v>
      </c>
      <c r="H4461" t="s">
        <v>28215</v>
      </c>
      <c r="I4461" t="s">
        <v>28302</v>
      </c>
      <c r="J4461" t="s">
        <v>29919</v>
      </c>
      <c r="K4461" t="s">
        <v>36706</v>
      </c>
      <c r="M4461" t="s">
        <v>38671</v>
      </c>
      <c r="N4461" t="s">
        <v>40436</v>
      </c>
      <c r="O4461" t="s">
        <v>40437</v>
      </c>
      <c r="P4461">
        <v>0</v>
      </c>
      <c r="Q4461">
        <v>12</v>
      </c>
      <c r="R4461" t="s">
        <v>40439</v>
      </c>
      <c r="S4461" t="s">
        <v>40588</v>
      </c>
      <c r="T4461" t="s">
        <v>42190</v>
      </c>
      <c r="U4461" t="s">
        <v>46408</v>
      </c>
      <c r="W4461" t="s">
        <v>55489</v>
      </c>
      <c r="X4461" t="s">
        <v>40440</v>
      </c>
    </row>
    <row r="4462" spans="1:24">
      <c r="A4462">
        <f>HYPERLINK("https://www.philgeps.gov.ph/GEPSNONPILOT/Tender/SplashBidNoticeAbstractUI.aspx?menuIndex=3&amp;refID=7046805&amp;Result=3","7046805")</f>
        <v>0</v>
      </c>
      <c r="B4462" t="s">
        <v>1590</v>
      </c>
      <c r="C4462" t="s">
        <v>7349</v>
      </c>
      <c r="D4462" t="s">
        <v>16210</v>
      </c>
      <c r="E4462" t="s">
        <v>20246</v>
      </c>
      <c r="F4462" t="s">
        <v>28198</v>
      </c>
      <c r="G4462" t="s">
        <v>28205</v>
      </c>
      <c r="H4462" t="s">
        <v>28217</v>
      </c>
      <c r="I4462" t="s">
        <v>4200</v>
      </c>
      <c r="J4462" t="s">
        <v>28661</v>
      </c>
      <c r="K4462" t="s">
        <v>36707</v>
      </c>
      <c r="M4462" t="s">
        <v>38675</v>
      </c>
      <c r="N4462" t="s">
        <v>40436</v>
      </c>
      <c r="O4462" t="s">
        <v>40437</v>
      </c>
      <c r="P4462">
        <v>0</v>
      </c>
      <c r="Q4462">
        <v>1</v>
      </c>
      <c r="R4462" t="s">
        <v>40439</v>
      </c>
      <c r="S4462" t="s">
        <v>40588</v>
      </c>
      <c r="T4462" t="s">
        <v>42134</v>
      </c>
      <c r="U4462" t="s">
        <v>46421</v>
      </c>
      <c r="V4462" t="s">
        <v>54231</v>
      </c>
      <c r="W4462" t="s">
        <v>38675</v>
      </c>
      <c r="X4462" t="s">
        <v>40440</v>
      </c>
    </row>
    <row r="4463" spans="1:24">
      <c r="A4463">
        <f>HYPERLINK("https://www.philgeps.gov.ph/GEPSNONPILOT/Tender/SplashBidNoticeAbstractUI.aspx?menuIndex=3&amp;refID=7046804&amp;Result=3","7046804")</f>
        <v>0</v>
      </c>
      <c r="B4463" t="s">
        <v>1583</v>
      </c>
      <c r="C4463" t="s">
        <v>7350</v>
      </c>
      <c r="D4463" t="s">
        <v>16250</v>
      </c>
      <c r="E4463" t="s">
        <v>20247</v>
      </c>
      <c r="F4463" t="s">
        <v>28198</v>
      </c>
      <c r="G4463" t="s">
        <v>28205</v>
      </c>
      <c r="H4463" t="s">
        <v>28215</v>
      </c>
      <c r="I4463" t="s">
        <v>28234</v>
      </c>
      <c r="J4463" t="s">
        <v>29289</v>
      </c>
      <c r="K4463" t="s">
        <v>36693</v>
      </c>
      <c r="M4463" t="s">
        <v>38668</v>
      </c>
      <c r="N4463" t="s">
        <v>40436</v>
      </c>
      <c r="O4463" t="s">
        <v>40437</v>
      </c>
      <c r="P4463">
        <v>0</v>
      </c>
      <c r="Q4463">
        <v>0</v>
      </c>
      <c r="R4463" t="s">
        <v>40439</v>
      </c>
      <c r="S4463" t="s">
        <v>40588</v>
      </c>
      <c r="T4463" t="s">
        <v>42152</v>
      </c>
      <c r="U4463" t="s">
        <v>46422</v>
      </c>
      <c r="W4463" t="s">
        <v>38668</v>
      </c>
      <c r="X4463" t="s">
        <v>40440</v>
      </c>
    </row>
    <row r="4464" spans="1:24">
      <c r="A4464">
        <f>HYPERLINK("https://www.philgeps.gov.ph/GEPSNONPILOT/Tender/SplashBidNoticeAbstractUI.aspx?menuIndex=3&amp;refID=7046794&amp;Result=3","7046794")</f>
        <v>0</v>
      </c>
      <c r="B4464" t="s">
        <v>1585</v>
      </c>
      <c r="C4464" t="s">
        <v>7351</v>
      </c>
      <c r="D4464" t="s">
        <v>16208</v>
      </c>
      <c r="E4464" t="s">
        <v>20248</v>
      </c>
      <c r="F4464" t="s">
        <v>28198</v>
      </c>
      <c r="G4464" t="s">
        <v>28205</v>
      </c>
      <c r="H4464" t="s">
        <v>28214</v>
      </c>
      <c r="I4464" t="s">
        <v>3797</v>
      </c>
      <c r="J4464" t="s">
        <v>29566</v>
      </c>
      <c r="K4464" t="s">
        <v>36692</v>
      </c>
      <c r="M4464" t="s">
        <v>38670</v>
      </c>
      <c r="N4464" t="s">
        <v>40436</v>
      </c>
      <c r="O4464" t="s">
        <v>40437</v>
      </c>
      <c r="P4464">
        <v>0</v>
      </c>
      <c r="Q4464">
        <v>0</v>
      </c>
      <c r="R4464" t="s">
        <v>40439</v>
      </c>
      <c r="S4464" t="s">
        <v>40588</v>
      </c>
      <c r="T4464" t="s">
        <v>42246</v>
      </c>
      <c r="U4464" t="s">
        <v>46405</v>
      </c>
      <c r="W4464" t="s">
        <v>38670</v>
      </c>
      <c r="X4464" t="s">
        <v>40440</v>
      </c>
    </row>
    <row r="4465" spans="1:24">
      <c r="A4465">
        <f>HYPERLINK("https://www.philgeps.gov.ph/GEPSNONPILOT/Tender/SplashBidNoticeAbstractUI.aspx?menuIndex=3&amp;refID=7046783&amp;Result=3","7046783")</f>
        <v>0</v>
      </c>
      <c r="B4465" t="s">
        <v>1023</v>
      </c>
      <c r="C4465" t="s">
        <v>7352</v>
      </c>
      <c r="D4465" t="s">
        <v>16265</v>
      </c>
      <c r="E4465" t="s">
        <v>20249</v>
      </c>
      <c r="F4465" t="s">
        <v>28198</v>
      </c>
      <c r="G4465" t="s">
        <v>28205</v>
      </c>
      <c r="H4465" t="s">
        <v>28215</v>
      </c>
      <c r="I4465" t="s">
        <v>28222</v>
      </c>
      <c r="J4465" t="s">
        <v>28468</v>
      </c>
      <c r="K4465" t="s">
        <v>36701</v>
      </c>
      <c r="M4465" t="s">
        <v>38054</v>
      </c>
      <c r="N4465" t="s">
        <v>40436</v>
      </c>
      <c r="O4465" t="s">
        <v>40437</v>
      </c>
      <c r="P4465">
        <v>0</v>
      </c>
      <c r="Q4465">
        <v>4</v>
      </c>
      <c r="R4465" t="s">
        <v>40439</v>
      </c>
      <c r="S4465" t="s">
        <v>40588</v>
      </c>
      <c r="T4465" t="s">
        <v>42108</v>
      </c>
      <c r="U4465" t="s">
        <v>46423</v>
      </c>
      <c r="W4465" t="s">
        <v>38054</v>
      </c>
      <c r="X4465" t="s">
        <v>40440</v>
      </c>
    </row>
    <row r="4466" spans="1:24">
      <c r="A4466">
        <f>HYPERLINK("https://www.philgeps.gov.ph/GEPSNONPILOT/Tender/SplashBidNoticeAbstractUI.aspx?menuIndex=3&amp;refID=7046795&amp;Result=3","7046795")</f>
        <v>0</v>
      </c>
      <c r="B4466" t="s">
        <v>1586</v>
      </c>
      <c r="C4466" t="s">
        <v>7353</v>
      </c>
      <c r="D4466" t="s">
        <v>16224</v>
      </c>
      <c r="E4466" t="s">
        <v>20250</v>
      </c>
      <c r="F4466" t="s">
        <v>28198</v>
      </c>
      <c r="G4466" t="s">
        <v>28207</v>
      </c>
      <c r="H4466" t="s">
        <v>28215</v>
      </c>
      <c r="I4466" t="s">
        <v>28246</v>
      </c>
      <c r="J4466" t="s">
        <v>28413</v>
      </c>
      <c r="K4466" t="s">
        <v>36706</v>
      </c>
      <c r="M4466" t="s">
        <v>38671</v>
      </c>
      <c r="N4466" t="s">
        <v>40436</v>
      </c>
      <c r="O4466" t="s">
        <v>40437</v>
      </c>
      <c r="P4466">
        <v>0</v>
      </c>
      <c r="Q4466">
        <v>0</v>
      </c>
      <c r="R4466" t="s">
        <v>40439</v>
      </c>
      <c r="S4466" t="s">
        <v>40588</v>
      </c>
      <c r="T4466" t="s">
        <v>42190</v>
      </c>
      <c r="U4466" t="s">
        <v>46408</v>
      </c>
      <c r="W4466" t="s">
        <v>55489</v>
      </c>
      <c r="X4466" t="s">
        <v>40440</v>
      </c>
    </row>
    <row r="4467" spans="1:24">
      <c r="A4467">
        <f>HYPERLINK("https://www.philgeps.gov.ph/GEPSNONPILOT/Tender/SplashBidNoticeAbstractUI.aspx?menuIndex=3&amp;refID=7046803&amp;Result=3","7046803")</f>
        <v>0</v>
      </c>
      <c r="B4467" t="s">
        <v>926</v>
      </c>
      <c r="C4467" t="s">
        <v>7354</v>
      </c>
      <c r="D4467" t="s">
        <v>16242</v>
      </c>
      <c r="E4467" t="s">
        <v>20251</v>
      </c>
      <c r="F4467" t="s">
        <v>28198</v>
      </c>
      <c r="G4467" t="s">
        <v>28205</v>
      </c>
      <c r="H4467" t="s">
        <v>28214</v>
      </c>
      <c r="I4467" t="s">
        <v>3797</v>
      </c>
      <c r="J4467" t="s">
        <v>29595</v>
      </c>
      <c r="K4467" t="s">
        <v>36724</v>
      </c>
      <c r="M4467" t="s">
        <v>37945</v>
      </c>
      <c r="N4467" t="s">
        <v>40436</v>
      </c>
      <c r="O4467" t="s">
        <v>40437</v>
      </c>
      <c r="P4467">
        <v>0</v>
      </c>
      <c r="Q4467">
        <v>0</v>
      </c>
      <c r="R4467" t="s">
        <v>40439</v>
      </c>
      <c r="S4467" t="s">
        <v>40588</v>
      </c>
      <c r="T4467" t="s">
        <v>42106</v>
      </c>
      <c r="U4467" t="s">
        <v>46424</v>
      </c>
      <c r="V4467" t="s">
        <v>54232</v>
      </c>
      <c r="W4467" t="s">
        <v>37945</v>
      </c>
      <c r="X4467" t="s">
        <v>40440</v>
      </c>
    </row>
    <row r="4468" spans="1:24">
      <c r="A4468">
        <f>HYPERLINK("https://www.philgeps.gov.ph/GEPSNONPILOT/Tender/SplashBidNoticeAbstractUI.aspx?menuIndex=3&amp;refID=7046800&amp;Result=3","7046800")</f>
        <v>0</v>
      </c>
      <c r="B4468" t="s">
        <v>994</v>
      </c>
      <c r="C4468" t="s">
        <v>4438</v>
      </c>
      <c r="E4468" t="s">
        <v>20252</v>
      </c>
      <c r="F4468" t="s">
        <v>28198</v>
      </c>
      <c r="G4468" t="s">
        <v>28206</v>
      </c>
      <c r="H4468" t="s">
        <v>28215</v>
      </c>
      <c r="I4468" t="s">
        <v>28234</v>
      </c>
      <c r="J4468" t="s">
        <v>28589</v>
      </c>
      <c r="K4468" t="s">
        <v>36689</v>
      </c>
      <c r="M4468" t="s">
        <v>38676</v>
      </c>
      <c r="N4468" t="s">
        <v>40436</v>
      </c>
      <c r="O4468" t="s">
        <v>40437</v>
      </c>
      <c r="P4468">
        <v>0</v>
      </c>
      <c r="Q4468">
        <v>12</v>
      </c>
      <c r="R4468" t="s">
        <v>40439</v>
      </c>
      <c r="S4468" t="s">
        <v>40588</v>
      </c>
      <c r="T4468" t="s">
        <v>42233</v>
      </c>
      <c r="U4468" t="s">
        <v>46425</v>
      </c>
      <c r="W4468" t="s">
        <v>38676</v>
      </c>
      <c r="X4468" t="s">
        <v>40440</v>
      </c>
    </row>
    <row r="4469" spans="1:24">
      <c r="A4469">
        <f>HYPERLINK("https://www.philgeps.gov.ph/GEPSNONPILOT/Tender/SplashBidNoticeAbstractUI.aspx?menuIndex=3&amp;refID=7046796&amp;Result=3","7046796")</f>
        <v>0</v>
      </c>
      <c r="B4469" t="s">
        <v>1023</v>
      </c>
      <c r="C4469" t="s">
        <v>7355</v>
      </c>
      <c r="D4469" t="s">
        <v>16265</v>
      </c>
      <c r="E4469" t="s">
        <v>20241</v>
      </c>
      <c r="F4469" t="s">
        <v>28198</v>
      </c>
      <c r="G4469" t="s">
        <v>28205</v>
      </c>
      <c r="H4469" t="s">
        <v>28215</v>
      </c>
      <c r="I4469" t="s">
        <v>28285</v>
      </c>
      <c r="J4469" t="s">
        <v>31229</v>
      </c>
      <c r="K4469" t="s">
        <v>36701</v>
      </c>
      <c r="M4469" t="s">
        <v>38054</v>
      </c>
      <c r="N4469" t="s">
        <v>40436</v>
      </c>
      <c r="O4469" t="s">
        <v>40437</v>
      </c>
      <c r="P4469">
        <v>0</v>
      </c>
      <c r="Q4469">
        <v>0</v>
      </c>
      <c r="R4469" t="s">
        <v>40439</v>
      </c>
      <c r="S4469" t="s">
        <v>40588</v>
      </c>
      <c r="T4469" t="s">
        <v>42108</v>
      </c>
      <c r="U4469" t="s">
        <v>46417</v>
      </c>
      <c r="W4469" t="s">
        <v>38054</v>
      </c>
      <c r="X4469" t="s">
        <v>40440</v>
      </c>
    </row>
    <row r="4470" spans="1:24">
      <c r="A4470">
        <f>HYPERLINK("https://www.philgeps.gov.ph/GEPSNONPILOT/Tender/SplashBidNoticeAbstractUI.aspx?menuIndex=3&amp;refID=7046818&amp;Result=3","7046818")</f>
        <v>0</v>
      </c>
      <c r="B4470" t="s">
        <v>1590</v>
      </c>
      <c r="C4470" t="s">
        <v>7356</v>
      </c>
      <c r="D4470" t="s">
        <v>16210</v>
      </c>
      <c r="E4470" t="s">
        <v>20253</v>
      </c>
      <c r="F4470" t="s">
        <v>28198</v>
      </c>
      <c r="G4470" t="s">
        <v>28205</v>
      </c>
      <c r="H4470" t="s">
        <v>28217</v>
      </c>
      <c r="I4470" t="s">
        <v>4200</v>
      </c>
      <c r="J4470" t="s">
        <v>28787</v>
      </c>
      <c r="K4470" t="s">
        <v>36707</v>
      </c>
      <c r="M4470" t="s">
        <v>38675</v>
      </c>
      <c r="N4470" t="s">
        <v>40436</v>
      </c>
      <c r="O4470" t="s">
        <v>40437</v>
      </c>
      <c r="P4470">
        <v>0</v>
      </c>
      <c r="Q4470">
        <v>1</v>
      </c>
      <c r="R4470" t="s">
        <v>40439</v>
      </c>
      <c r="S4470" t="s">
        <v>40588</v>
      </c>
      <c r="T4470" t="s">
        <v>42133</v>
      </c>
      <c r="U4470" t="s">
        <v>46426</v>
      </c>
      <c r="V4470" t="s">
        <v>54231</v>
      </c>
      <c r="W4470" t="s">
        <v>38675</v>
      </c>
      <c r="X4470" t="s">
        <v>40440</v>
      </c>
    </row>
    <row r="4471" spans="1:24">
      <c r="A4471">
        <f>HYPERLINK("https://www.philgeps.gov.ph/GEPSNONPILOT/Tender/SplashBidNoticeAbstractUI.aspx?menuIndex=3&amp;refID=7046801&amp;Result=3","7046801")</f>
        <v>0</v>
      </c>
      <c r="B4471" t="s">
        <v>926</v>
      </c>
      <c r="C4471" t="s">
        <v>7357</v>
      </c>
      <c r="D4471" t="s">
        <v>16242</v>
      </c>
      <c r="E4471" t="s">
        <v>20254</v>
      </c>
      <c r="F4471" t="s">
        <v>28198</v>
      </c>
      <c r="G4471" t="s">
        <v>28205</v>
      </c>
      <c r="H4471" t="s">
        <v>28214</v>
      </c>
      <c r="I4471" t="s">
        <v>3797</v>
      </c>
      <c r="J4471" t="s">
        <v>29595</v>
      </c>
      <c r="K4471" t="s">
        <v>36724</v>
      </c>
      <c r="M4471" t="s">
        <v>37945</v>
      </c>
      <c r="N4471" t="s">
        <v>40436</v>
      </c>
      <c r="O4471" t="s">
        <v>40437</v>
      </c>
      <c r="P4471">
        <v>0</v>
      </c>
      <c r="Q4471">
        <v>1</v>
      </c>
      <c r="R4471" t="s">
        <v>40439</v>
      </c>
      <c r="S4471" t="s">
        <v>40588</v>
      </c>
      <c r="T4471" t="s">
        <v>42106</v>
      </c>
      <c r="U4471" t="s">
        <v>46427</v>
      </c>
      <c r="V4471" t="s">
        <v>54233</v>
      </c>
      <c r="W4471" t="s">
        <v>37945</v>
      </c>
      <c r="X4471" t="s">
        <v>40440</v>
      </c>
    </row>
    <row r="4472" spans="1:24">
      <c r="A4472">
        <f>HYPERLINK("https://www.philgeps.gov.ph/GEPSNONPILOT/Tender/SplashBidNoticeAbstractUI.aspx?menuIndex=3&amp;refID=7046797&amp;Result=3","7046797")</f>
        <v>0</v>
      </c>
      <c r="B4472" t="s">
        <v>1586</v>
      </c>
      <c r="C4472" t="s">
        <v>7358</v>
      </c>
      <c r="D4472" t="s">
        <v>16224</v>
      </c>
      <c r="E4472" t="s">
        <v>20255</v>
      </c>
      <c r="F4472" t="s">
        <v>28198</v>
      </c>
      <c r="G4472" t="s">
        <v>28207</v>
      </c>
      <c r="H4472" t="s">
        <v>28215</v>
      </c>
      <c r="I4472" t="s">
        <v>28246</v>
      </c>
      <c r="J4472" t="s">
        <v>28576</v>
      </c>
      <c r="K4472" t="s">
        <v>36706</v>
      </c>
      <c r="M4472" t="s">
        <v>38671</v>
      </c>
      <c r="N4472" t="s">
        <v>40436</v>
      </c>
      <c r="O4472" t="s">
        <v>40437</v>
      </c>
      <c r="P4472">
        <v>0</v>
      </c>
      <c r="Q4472">
        <v>1</v>
      </c>
      <c r="R4472" t="s">
        <v>40439</v>
      </c>
      <c r="S4472" t="s">
        <v>40588</v>
      </c>
      <c r="T4472" t="s">
        <v>42190</v>
      </c>
      <c r="U4472" t="s">
        <v>46408</v>
      </c>
      <c r="W4472" t="s">
        <v>55489</v>
      </c>
      <c r="X4472" t="s">
        <v>40440</v>
      </c>
    </row>
    <row r="4473" spans="1:24">
      <c r="A4473">
        <f>HYPERLINK("https://www.philgeps.gov.ph/GEPSNONPILOT/Tender/SplashBidNoticeAbstractUI.aspx?menuIndex=3&amp;refID=7046815&amp;Result=3","7046815")</f>
        <v>0</v>
      </c>
      <c r="B4473" t="s">
        <v>1591</v>
      </c>
      <c r="C4473" t="s">
        <v>7359</v>
      </c>
      <c r="D4473" t="s">
        <v>16244</v>
      </c>
      <c r="E4473" t="s">
        <v>20256</v>
      </c>
      <c r="F4473" t="s">
        <v>28198</v>
      </c>
      <c r="G4473" t="s">
        <v>28207</v>
      </c>
      <c r="H4473" t="s">
        <v>28215</v>
      </c>
      <c r="I4473" t="s">
        <v>28224</v>
      </c>
      <c r="J4473" t="s">
        <v>31230</v>
      </c>
      <c r="K4473" t="s">
        <v>36693</v>
      </c>
      <c r="M4473" t="s">
        <v>38677</v>
      </c>
      <c r="N4473" t="s">
        <v>40436</v>
      </c>
      <c r="O4473" t="s">
        <v>40437</v>
      </c>
      <c r="P4473">
        <v>0</v>
      </c>
      <c r="Q4473">
        <v>2</v>
      </c>
      <c r="R4473" t="s">
        <v>40439</v>
      </c>
      <c r="S4473" t="s">
        <v>40588</v>
      </c>
      <c r="T4473" t="s">
        <v>42141</v>
      </c>
      <c r="U4473" t="s">
        <v>46428</v>
      </c>
      <c r="W4473" t="s">
        <v>38677</v>
      </c>
      <c r="X4473" t="s">
        <v>40440</v>
      </c>
    </row>
    <row r="4474" spans="1:24">
      <c r="A4474">
        <f>HYPERLINK("https://www.philgeps.gov.ph/GEPSNONPILOT/Tender/SplashBidNoticeAbstractUI.aspx?menuIndex=3&amp;refID=7046817&amp;Result=3","7046817")</f>
        <v>0</v>
      </c>
      <c r="B4474" t="s">
        <v>1592</v>
      </c>
      <c r="C4474" t="s">
        <v>7360</v>
      </c>
      <c r="D4474" t="s">
        <v>16195</v>
      </c>
      <c r="E4474" t="s">
        <v>20257</v>
      </c>
      <c r="F4474" t="s">
        <v>28198</v>
      </c>
      <c r="G4474" t="s">
        <v>28207</v>
      </c>
      <c r="H4474" t="s">
        <v>28215</v>
      </c>
      <c r="I4474" t="s">
        <v>28224</v>
      </c>
      <c r="J4474" t="s">
        <v>31231</v>
      </c>
      <c r="K4474" t="s">
        <v>36688</v>
      </c>
      <c r="L4474" t="s">
        <v>1592</v>
      </c>
      <c r="M4474" t="s">
        <v>38678</v>
      </c>
      <c r="N4474" t="s">
        <v>40436</v>
      </c>
      <c r="O4474" t="s">
        <v>40437</v>
      </c>
      <c r="P4474">
        <v>0</v>
      </c>
      <c r="Q4474">
        <v>3</v>
      </c>
      <c r="R4474" t="s">
        <v>40439</v>
      </c>
      <c r="S4474" t="s">
        <v>40588</v>
      </c>
      <c r="T4474" t="s">
        <v>42190</v>
      </c>
      <c r="U4474" t="s">
        <v>46429</v>
      </c>
      <c r="W4474" t="s">
        <v>38678</v>
      </c>
      <c r="X4474" t="s">
        <v>40440</v>
      </c>
    </row>
    <row r="4475" spans="1:24">
      <c r="A4475">
        <f>HYPERLINK("https://www.philgeps.gov.ph/GEPSNONPILOT/Tender/SplashBidNoticeAbstractUI.aspx?menuIndex=3&amp;refID=7046799&amp;Result=3","7046799")</f>
        <v>0</v>
      </c>
      <c r="B4475" t="s">
        <v>1023</v>
      </c>
      <c r="C4475" t="s">
        <v>7361</v>
      </c>
      <c r="D4475" t="s">
        <v>16265</v>
      </c>
      <c r="E4475" t="s">
        <v>20241</v>
      </c>
      <c r="F4475" t="s">
        <v>28198</v>
      </c>
      <c r="G4475" t="s">
        <v>28205</v>
      </c>
      <c r="H4475" t="s">
        <v>28215</v>
      </c>
      <c r="I4475" t="s">
        <v>28285</v>
      </c>
      <c r="J4475" t="s">
        <v>31232</v>
      </c>
      <c r="K4475" t="s">
        <v>36701</v>
      </c>
      <c r="M4475" t="s">
        <v>38054</v>
      </c>
      <c r="N4475" t="s">
        <v>40436</v>
      </c>
      <c r="O4475" t="s">
        <v>40437</v>
      </c>
      <c r="P4475">
        <v>0</v>
      </c>
      <c r="Q4475">
        <v>0</v>
      </c>
      <c r="R4475" t="s">
        <v>40439</v>
      </c>
      <c r="S4475" t="s">
        <v>40588</v>
      </c>
      <c r="T4475" t="s">
        <v>42108</v>
      </c>
      <c r="U4475" t="s">
        <v>46417</v>
      </c>
      <c r="W4475" t="s">
        <v>38054</v>
      </c>
      <c r="X4475" t="s">
        <v>40440</v>
      </c>
    </row>
    <row r="4476" spans="1:24">
      <c r="A4476">
        <f>HYPERLINK("https://www.philgeps.gov.ph/GEPSNONPILOT/Tender/SplashBidNoticeAbstractUI.aspx?menuIndex=3&amp;refID=7046798&amp;Result=3","7046798")</f>
        <v>0</v>
      </c>
      <c r="B4476" t="s">
        <v>1405</v>
      </c>
      <c r="C4476" t="s">
        <v>7362</v>
      </c>
      <c r="D4476" t="s">
        <v>16210</v>
      </c>
      <c r="E4476" t="s">
        <v>20258</v>
      </c>
      <c r="F4476" t="s">
        <v>28198</v>
      </c>
      <c r="G4476" t="s">
        <v>28207</v>
      </c>
      <c r="H4476" t="s">
        <v>28215</v>
      </c>
      <c r="I4476" t="s">
        <v>5082</v>
      </c>
      <c r="J4476" t="s">
        <v>31233</v>
      </c>
      <c r="K4476" t="s">
        <v>36701</v>
      </c>
      <c r="M4476" t="s">
        <v>38679</v>
      </c>
      <c r="N4476" t="s">
        <v>40436</v>
      </c>
      <c r="O4476" t="s">
        <v>40437</v>
      </c>
      <c r="P4476">
        <v>0</v>
      </c>
      <c r="Q4476">
        <v>4</v>
      </c>
      <c r="R4476" t="s">
        <v>40439</v>
      </c>
      <c r="S4476" t="s">
        <v>40588</v>
      </c>
      <c r="T4476" t="s">
        <v>42152</v>
      </c>
      <c r="U4476" t="s">
        <v>46430</v>
      </c>
      <c r="W4476" t="s">
        <v>38679</v>
      </c>
      <c r="X4476" t="s">
        <v>40440</v>
      </c>
    </row>
    <row r="4477" spans="1:24">
      <c r="A4477">
        <f>HYPERLINK("https://www.philgeps.gov.ph/GEPSNONPILOT/Tender/SplashBidNoticeAbstractUI.aspx?menuIndex=3&amp;refID=7046807&amp;Result=3","7046807")</f>
        <v>0</v>
      </c>
      <c r="B4477" t="s">
        <v>1591</v>
      </c>
      <c r="C4477" t="s">
        <v>7359</v>
      </c>
      <c r="D4477" t="s">
        <v>16244</v>
      </c>
      <c r="E4477" t="s">
        <v>20259</v>
      </c>
      <c r="F4477" t="s">
        <v>28198</v>
      </c>
      <c r="G4477" t="s">
        <v>28207</v>
      </c>
      <c r="H4477" t="s">
        <v>28215</v>
      </c>
      <c r="I4477" t="s">
        <v>28224</v>
      </c>
      <c r="J4477" t="s">
        <v>31234</v>
      </c>
      <c r="K4477" t="s">
        <v>36693</v>
      </c>
      <c r="M4477" t="s">
        <v>38677</v>
      </c>
      <c r="N4477" t="s">
        <v>40436</v>
      </c>
      <c r="O4477" t="s">
        <v>40437</v>
      </c>
      <c r="P4477">
        <v>0</v>
      </c>
      <c r="Q4477">
        <v>2</v>
      </c>
      <c r="R4477" t="s">
        <v>40439</v>
      </c>
      <c r="S4477" t="s">
        <v>40588</v>
      </c>
      <c r="T4477" t="s">
        <v>42141</v>
      </c>
      <c r="U4477" t="s">
        <v>46431</v>
      </c>
      <c r="W4477" t="s">
        <v>38677</v>
      </c>
      <c r="X4477" t="s">
        <v>40440</v>
      </c>
    </row>
    <row r="4478" spans="1:24">
      <c r="A4478">
        <f>HYPERLINK("https://www.philgeps.gov.ph/GEPSNONPILOT/Tender/SplashBidNoticeAbstractUI.aspx?menuIndex=3&amp;refID=7046806&amp;Result=3","7046806")</f>
        <v>0</v>
      </c>
      <c r="B4478" t="s">
        <v>1593</v>
      </c>
      <c r="C4478" t="s">
        <v>7363</v>
      </c>
      <c r="D4478" t="s">
        <v>16215</v>
      </c>
      <c r="E4478" t="s">
        <v>20260</v>
      </c>
      <c r="F4478" t="s">
        <v>28198</v>
      </c>
      <c r="G4478" t="s">
        <v>28206</v>
      </c>
      <c r="H4478" t="s">
        <v>28215</v>
      </c>
      <c r="I4478" t="s">
        <v>28237</v>
      </c>
      <c r="J4478" t="s">
        <v>28354</v>
      </c>
      <c r="K4478" t="s">
        <v>36689</v>
      </c>
      <c r="M4478" t="s">
        <v>38680</v>
      </c>
      <c r="N4478" t="s">
        <v>40436</v>
      </c>
      <c r="O4478" t="s">
        <v>40437</v>
      </c>
      <c r="P4478">
        <v>0</v>
      </c>
      <c r="Q4478">
        <v>0</v>
      </c>
      <c r="R4478" t="s">
        <v>40439</v>
      </c>
      <c r="S4478" t="s">
        <v>40588</v>
      </c>
      <c r="T4478" t="s">
        <v>42119</v>
      </c>
      <c r="U4478" t="s">
        <v>46432</v>
      </c>
      <c r="W4478" t="s">
        <v>38680</v>
      </c>
      <c r="X4478" t="s">
        <v>40440</v>
      </c>
    </row>
    <row r="4479" spans="1:24">
      <c r="A4479">
        <f>HYPERLINK("https://www.philgeps.gov.ph/GEPSNONPILOT/Tender/SplashBidNoticeAbstractUI.aspx?menuIndex=3&amp;refID=7046819&amp;Result=3","7046819")</f>
        <v>0</v>
      </c>
      <c r="B4479" t="s">
        <v>1590</v>
      </c>
      <c r="C4479" t="s">
        <v>7364</v>
      </c>
      <c r="D4479" t="s">
        <v>16210</v>
      </c>
      <c r="E4479" t="s">
        <v>20261</v>
      </c>
      <c r="F4479" t="s">
        <v>28198</v>
      </c>
      <c r="G4479" t="s">
        <v>28205</v>
      </c>
      <c r="H4479" t="s">
        <v>28217</v>
      </c>
      <c r="I4479" t="s">
        <v>4200</v>
      </c>
      <c r="J4479" t="s">
        <v>28787</v>
      </c>
      <c r="K4479" t="s">
        <v>36707</v>
      </c>
      <c r="M4479" t="s">
        <v>38675</v>
      </c>
      <c r="N4479" t="s">
        <v>40436</v>
      </c>
      <c r="O4479" t="s">
        <v>40437</v>
      </c>
      <c r="P4479">
        <v>0</v>
      </c>
      <c r="Q4479">
        <v>1</v>
      </c>
      <c r="R4479" t="s">
        <v>40439</v>
      </c>
      <c r="S4479" t="s">
        <v>40588</v>
      </c>
      <c r="T4479" t="s">
        <v>42397</v>
      </c>
      <c r="U4479" t="s">
        <v>46433</v>
      </c>
      <c r="V4479" t="s">
        <v>54231</v>
      </c>
      <c r="W4479" t="s">
        <v>38675</v>
      </c>
      <c r="X4479" t="s">
        <v>40440</v>
      </c>
    </row>
    <row r="4480" spans="1:24">
      <c r="A4480">
        <f>HYPERLINK("https://www.philgeps.gov.ph/GEPSNONPILOT/Tender/SplashBidNoticeAbstractUI.aspx?menuIndex=3&amp;refID=7046808&amp;Result=3","7046808")</f>
        <v>0</v>
      </c>
      <c r="B4480" t="s">
        <v>1590</v>
      </c>
      <c r="C4480" t="s">
        <v>7365</v>
      </c>
      <c r="D4480" t="s">
        <v>16210</v>
      </c>
      <c r="E4480" t="s">
        <v>20262</v>
      </c>
      <c r="F4480" t="s">
        <v>28198</v>
      </c>
      <c r="G4480" t="s">
        <v>28205</v>
      </c>
      <c r="H4480" t="s">
        <v>28217</v>
      </c>
      <c r="I4480" t="s">
        <v>4200</v>
      </c>
      <c r="J4480" t="s">
        <v>28406</v>
      </c>
      <c r="K4480" t="s">
        <v>36688</v>
      </c>
      <c r="M4480" t="s">
        <v>38675</v>
      </c>
      <c r="N4480" t="s">
        <v>40436</v>
      </c>
      <c r="O4480" t="s">
        <v>40437</v>
      </c>
      <c r="P4480">
        <v>0</v>
      </c>
      <c r="Q4480">
        <v>1</v>
      </c>
      <c r="R4480" t="s">
        <v>40439</v>
      </c>
      <c r="S4480" t="s">
        <v>40588</v>
      </c>
      <c r="T4480" t="s">
        <v>42228</v>
      </c>
      <c r="U4480" t="s">
        <v>46434</v>
      </c>
      <c r="V4480" t="s">
        <v>54231</v>
      </c>
      <c r="W4480" t="s">
        <v>38675</v>
      </c>
      <c r="X4480" t="s">
        <v>40440</v>
      </c>
    </row>
    <row r="4481" spans="1:24">
      <c r="A4481">
        <f>HYPERLINK("https://www.philgeps.gov.ph/GEPSNONPILOT/Tender/SplashBidNoticeAbstractUI.aspx?menuIndex=3&amp;refID=7046834&amp;Result=3","7046834")</f>
        <v>0</v>
      </c>
      <c r="B4481" t="s">
        <v>1594</v>
      </c>
      <c r="C4481" t="s">
        <v>7366</v>
      </c>
      <c r="E4481" t="s">
        <v>20263</v>
      </c>
      <c r="F4481" t="s">
        <v>28198</v>
      </c>
      <c r="G4481" t="s">
        <v>28207</v>
      </c>
      <c r="H4481" t="s">
        <v>28215</v>
      </c>
      <c r="I4481" t="s">
        <v>4200</v>
      </c>
      <c r="J4481" t="s">
        <v>28378</v>
      </c>
      <c r="K4481" t="s">
        <v>36707</v>
      </c>
      <c r="M4481" t="s">
        <v>38681</v>
      </c>
      <c r="N4481" t="s">
        <v>40436</v>
      </c>
      <c r="O4481" t="s">
        <v>40437</v>
      </c>
      <c r="P4481">
        <v>0</v>
      </c>
      <c r="Q4481">
        <v>0</v>
      </c>
      <c r="R4481" t="s">
        <v>40439</v>
      </c>
      <c r="S4481" t="s">
        <v>40588</v>
      </c>
      <c r="T4481" t="s">
        <v>42190</v>
      </c>
      <c r="U4481" t="s">
        <v>46435</v>
      </c>
      <c r="W4481" t="s">
        <v>38681</v>
      </c>
      <c r="X4481" t="s">
        <v>40440</v>
      </c>
    </row>
    <row r="4482" spans="1:24">
      <c r="A4482">
        <f>HYPERLINK("https://www.philgeps.gov.ph/GEPSNONPILOT/Tender/SplashBidNoticeAbstractUI.aspx?menuIndex=3&amp;refID=7046812&amp;Result=3","7046812")</f>
        <v>0</v>
      </c>
      <c r="B4482" t="s">
        <v>926</v>
      </c>
      <c r="C4482" t="s">
        <v>7367</v>
      </c>
      <c r="D4482" t="s">
        <v>16242</v>
      </c>
      <c r="E4482" t="s">
        <v>20264</v>
      </c>
      <c r="F4482" t="s">
        <v>28198</v>
      </c>
      <c r="G4482" t="s">
        <v>28205</v>
      </c>
      <c r="H4482" t="s">
        <v>28214</v>
      </c>
      <c r="I4482" t="s">
        <v>3797</v>
      </c>
      <c r="J4482" t="s">
        <v>31235</v>
      </c>
      <c r="K4482" t="s">
        <v>36710</v>
      </c>
      <c r="M4482" t="s">
        <v>37945</v>
      </c>
      <c r="N4482" t="s">
        <v>40436</v>
      </c>
      <c r="O4482" t="s">
        <v>40437</v>
      </c>
      <c r="P4482">
        <v>0</v>
      </c>
      <c r="Q4482">
        <v>1</v>
      </c>
      <c r="R4482" t="s">
        <v>40439</v>
      </c>
      <c r="S4482" t="s">
        <v>40588</v>
      </c>
      <c r="T4482" t="s">
        <v>42106</v>
      </c>
      <c r="U4482" t="s">
        <v>46436</v>
      </c>
      <c r="V4482" t="s">
        <v>54234</v>
      </c>
      <c r="W4482" t="s">
        <v>37945</v>
      </c>
      <c r="X4482" t="s">
        <v>40440</v>
      </c>
    </row>
    <row r="4483" spans="1:24">
      <c r="A4483">
        <f>HYPERLINK("https://www.philgeps.gov.ph/GEPSNONPILOT/Tender/SplashBidNoticeAbstractUI.aspx?menuIndex=3&amp;refID=7046830&amp;Result=3","7046830")</f>
        <v>0</v>
      </c>
      <c r="B4483" t="s">
        <v>1595</v>
      </c>
      <c r="C4483" t="s">
        <v>7368</v>
      </c>
      <c r="D4483" t="s">
        <v>16247</v>
      </c>
      <c r="E4483" t="s">
        <v>20265</v>
      </c>
      <c r="F4483" t="s">
        <v>28198</v>
      </c>
      <c r="G4483" t="s">
        <v>28206</v>
      </c>
      <c r="H4483" t="s">
        <v>28215</v>
      </c>
      <c r="I4483" t="s">
        <v>4219</v>
      </c>
      <c r="J4483" t="s">
        <v>31236</v>
      </c>
      <c r="K4483" t="s">
        <v>36689</v>
      </c>
      <c r="M4483" t="s">
        <v>38682</v>
      </c>
      <c r="N4483" t="s">
        <v>40436</v>
      </c>
      <c r="O4483" t="s">
        <v>40437</v>
      </c>
      <c r="P4483">
        <v>0</v>
      </c>
      <c r="Q4483">
        <v>3</v>
      </c>
      <c r="R4483" t="s">
        <v>40439</v>
      </c>
      <c r="S4483" t="s">
        <v>40588</v>
      </c>
      <c r="T4483" t="s">
        <v>42161</v>
      </c>
      <c r="U4483" t="s">
        <v>46437</v>
      </c>
      <c r="W4483" t="s">
        <v>38682</v>
      </c>
      <c r="X4483" t="s">
        <v>40440</v>
      </c>
    </row>
    <row r="4484" spans="1:24">
      <c r="A4484">
        <f>HYPERLINK("https://www.philgeps.gov.ph/GEPSNONPILOT/Tender/SplashBidNoticeAbstractUI.aspx?menuIndex=3&amp;refID=7046813&amp;Result=3","7046813")</f>
        <v>0</v>
      </c>
      <c r="B4484" t="s">
        <v>1590</v>
      </c>
      <c r="C4484" t="s">
        <v>7369</v>
      </c>
      <c r="D4484" t="s">
        <v>16210</v>
      </c>
      <c r="E4484" t="s">
        <v>20266</v>
      </c>
      <c r="F4484" t="s">
        <v>28198</v>
      </c>
      <c r="G4484" t="s">
        <v>28206</v>
      </c>
      <c r="H4484" t="s">
        <v>28217</v>
      </c>
      <c r="I4484" t="s">
        <v>4200</v>
      </c>
      <c r="J4484" t="s">
        <v>28352</v>
      </c>
      <c r="K4484" t="s">
        <v>36688</v>
      </c>
      <c r="M4484" t="s">
        <v>38675</v>
      </c>
      <c r="N4484" t="s">
        <v>40436</v>
      </c>
      <c r="O4484" t="s">
        <v>40437</v>
      </c>
      <c r="P4484">
        <v>0</v>
      </c>
      <c r="Q4484">
        <v>1</v>
      </c>
      <c r="R4484" t="s">
        <v>40439</v>
      </c>
      <c r="S4484" t="s">
        <v>40588</v>
      </c>
      <c r="T4484" t="s">
        <v>42375</v>
      </c>
      <c r="U4484" t="s">
        <v>46438</v>
      </c>
      <c r="V4484" t="s">
        <v>54231</v>
      </c>
      <c r="W4484" t="s">
        <v>38675</v>
      </c>
      <c r="X4484" t="s">
        <v>40440</v>
      </c>
    </row>
    <row r="4485" spans="1:24">
      <c r="A4485">
        <f>HYPERLINK("https://www.philgeps.gov.ph/GEPSNONPILOT/Tender/SplashBidNoticeAbstractUI.aspx?menuIndex=3&amp;refID=7046831&amp;Result=3","7046831")</f>
        <v>0</v>
      </c>
      <c r="B4485" t="s">
        <v>1596</v>
      </c>
      <c r="C4485" t="s">
        <v>7370</v>
      </c>
      <c r="D4485" t="s">
        <v>16203</v>
      </c>
      <c r="E4485" t="s">
        <v>20267</v>
      </c>
      <c r="F4485" t="s">
        <v>28198</v>
      </c>
      <c r="G4485" t="s">
        <v>28205</v>
      </c>
      <c r="H4485" t="s">
        <v>28214</v>
      </c>
      <c r="I4485" t="s">
        <v>3797</v>
      </c>
      <c r="J4485" t="s">
        <v>31237</v>
      </c>
      <c r="K4485" t="s">
        <v>36707</v>
      </c>
      <c r="M4485" t="s">
        <v>38683</v>
      </c>
      <c r="N4485" t="s">
        <v>40436</v>
      </c>
      <c r="O4485" t="s">
        <v>40437</v>
      </c>
      <c r="P4485">
        <v>0</v>
      </c>
      <c r="Q4485">
        <v>0</v>
      </c>
      <c r="R4485" t="s">
        <v>40439</v>
      </c>
      <c r="S4485" t="s">
        <v>40588</v>
      </c>
      <c r="T4485" t="s">
        <v>42278</v>
      </c>
      <c r="U4485" t="s">
        <v>46439</v>
      </c>
      <c r="W4485" t="s">
        <v>38683</v>
      </c>
      <c r="X4485" t="s">
        <v>40440</v>
      </c>
    </row>
    <row r="4486" spans="1:24">
      <c r="A4486">
        <f>HYPERLINK("https://www.philgeps.gov.ph/GEPSNONPILOT/Tender/SplashBidNoticeAbstractUI.aspx?menuIndex=3&amp;refID=7046827&amp;Result=3","7046827")</f>
        <v>0</v>
      </c>
      <c r="B4486" t="s">
        <v>1596</v>
      </c>
      <c r="C4486" t="s">
        <v>7371</v>
      </c>
      <c r="D4486" t="s">
        <v>16203</v>
      </c>
      <c r="E4486" t="s">
        <v>20268</v>
      </c>
      <c r="F4486" t="s">
        <v>28198</v>
      </c>
      <c r="G4486" t="s">
        <v>28205</v>
      </c>
      <c r="H4486" t="s">
        <v>28214</v>
      </c>
      <c r="I4486" t="s">
        <v>3797</v>
      </c>
      <c r="J4486" t="s">
        <v>29705</v>
      </c>
      <c r="K4486" t="s">
        <v>36704</v>
      </c>
      <c r="M4486" t="s">
        <v>38683</v>
      </c>
      <c r="N4486" t="s">
        <v>40436</v>
      </c>
      <c r="O4486" t="s">
        <v>40437</v>
      </c>
      <c r="P4486">
        <v>0</v>
      </c>
      <c r="Q4486">
        <v>0</v>
      </c>
      <c r="R4486" t="s">
        <v>40439</v>
      </c>
      <c r="S4486" t="s">
        <v>40588</v>
      </c>
      <c r="T4486" t="s">
        <v>42278</v>
      </c>
      <c r="U4486" t="s">
        <v>46440</v>
      </c>
      <c r="W4486" t="s">
        <v>38683</v>
      </c>
      <c r="X4486" t="s">
        <v>40440</v>
      </c>
    </row>
    <row r="4487" spans="1:24">
      <c r="A4487">
        <f>HYPERLINK("https://www.philgeps.gov.ph/GEPSNONPILOT/Tender/SplashBidNoticeAbstractUI.aspx?menuIndex=3&amp;refID=7046823&amp;Result=3","7046823")</f>
        <v>0</v>
      </c>
      <c r="B4487" t="s">
        <v>1590</v>
      </c>
      <c r="C4487" t="s">
        <v>7372</v>
      </c>
      <c r="D4487" t="s">
        <v>16210</v>
      </c>
      <c r="E4487" t="s">
        <v>20269</v>
      </c>
      <c r="F4487" t="s">
        <v>28198</v>
      </c>
      <c r="G4487" t="s">
        <v>28205</v>
      </c>
      <c r="H4487" t="s">
        <v>28217</v>
      </c>
      <c r="I4487" t="s">
        <v>4200</v>
      </c>
      <c r="J4487" t="s">
        <v>28398</v>
      </c>
      <c r="K4487" t="s">
        <v>36707</v>
      </c>
      <c r="M4487" t="s">
        <v>38675</v>
      </c>
      <c r="N4487" t="s">
        <v>40436</v>
      </c>
      <c r="O4487" t="s">
        <v>40437</v>
      </c>
      <c r="P4487">
        <v>0</v>
      </c>
      <c r="Q4487">
        <v>3</v>
      </c>
      <c r="R4487" t="s">
        <v>40439</v>
      </c>
      <c r="S4487" t="s">
        <v>40588</v>
      </c>
      <c r="T4487" t="s">
        <v>42238</v>
      </c>
      <c r="U4487" t="s">
        <v>46438</v>
      </c>
      <c r="V4487" t="s">
        <v>54231</v>
      </c>
      <c r="W4487" t="s">
        <v>38675</v>
      </c>
      <c r="X4487" t="s">
        <v>40440</v>
      </c>
    </row>
    <row r="4488" spans="1:24">
      <c r="A4488">
        <f>HYPERLINK("https://www.philgeps.gov.ph/GEPSNONPILOT/Tender/SplashBidNoticeAbstractUI.aspx?menuIndex=3&amp;refID=7046822&amp;Result=3","7046822")</f>
        <v>0</v>
      </c>
      <c r="B4488" t="s">
        <v>1597</v>
      </c>
      <c r="C4488" t="s">
        <v>7373</v>
      </c>
      <c r="D4488" t="s">
        <v>16216</v>
      </c>
      <c r="E4488" t="s">
        <v>16473</v>
      </c>
      <c r="F4488" t="s">
        <v>28198</v>
      </c>
      <c r="G4488" t="s">
        <v>28205</v>
      </c>
      <c r="H4488" t="s">
        <v>28214</v>
      </c>
      <c r="I4488" t="s">
        <v>3797</v>
      </c>
      <c r="J4488" t="s">
        <v>31238</v>
      </c>
      <c r="K4488" t="s">
        <v>36701</v>
      </c>
      <c r="M4488" t="s">
        <v>38684</v>
      </c>
      <c r="N4488" t="s">
        <v>40436</v>
      </c>
      <c r="O4488" t="s">
        <v>40437</v>
      </c>
      <c r="P4488">
        <v>0</v>
      </c>
      <c r="Q4488">
        <v>2</v>
      </c>
      <c r="R4488" t="s">
        <v>40439</v>
      </c>
      <c r="S4488" t="s">
        <v>40588</v>
      </c>
      <c r="T4488" t="s">
        <v>42152</v>
      </c>
      <c r="U4488" t="s">
        <v>46441</v>
      </c>
      <c r="W4488" t="s">
        <v>38684</v>
      </c>
      <c r="X4488" t="s">
        <v>40440</v>
      </c>
    </row>
    <row r="4489" spans="1:24">
      <c r="A4489">
        <f>HYPERLINK("https://www.philgeps.gov.ph/GEPSNONPILOT/Tender/SplashBidNoticeAbstractUI.aspx?menuIndex=3&amp;refID=7046845&amp;Result=3","7046845")</f>
        <v>0</v>
      </c>
      <c r="B4489" t="s">
        <v>1516</v>
      </c>
      <c r="C4489" t="s">
        <v>7374</v>
      </c>
      <c r="D4489" t="s">
        <v>16213</v>
      </c>
      <c r="E4489" t="s">
        <v>18192</v>
      </c>
      <c r="F4489" t="s">
        <v>28198</v>
      </c>
      <c r="G4489" t="s">
        <v>28205</v>
      </c>
      <c r="H4489" t="s">
        <v>28214</v>
      </c>
      <c r="I4489" t="s">
        <v>3797</v>
      </c>
      <c r="J4489" t="s">
        <v>28351</v>
      </c>
      <c r="K4489" t="s">
        <v>36717</v>
      </c>
      <c r="M4489" t="s">
        <v>38593</v>
      </c>
      <c r="N4489" t="s">
        <v>40436</v>
      </c>
      <c r="O4489" t="s">
        <v>40437</v>
      </c>
      <c r="P4489">
        <v>0</v>
      </c>
      <c r="Q4489">
        <v>0</v>
      </c>
      <c r="R4489" t="s">
        <v>40439</v>
      </c>
      <c r="S4489" t="s">
        <v>40588</v>
      </c>
      <c r="T4489" t="s">
        <v>42125</v>
      </c>
      <c r="U4489" t="s">
        <v>46442</v>
      </c>
      <c r="W4489" t="s">
        <v>38593</v>
      </c>
      <c r="X4489" t="s">
        <v>40440</v>
      </c>
    </row>
    <row r="4490" spans="1:24">
      <c r="A4490">
        <f>HYPERLINK("https://www.philgeps.gov.ph/GEPSNONPILOT/Tender/SplashBidNoticeAbstractUI.aspx?menuIndex=3&amp;refID=7046829&amp;Result=3","7046829")</f>
        <v>0</v>
      </c>
      <c r="B4490" t="s">
        <v>1598</v>
      </c>
      <c r="C4490" t="s">
        <v>7375</v>
      </c>
      <c r="D4490" t="s">
        <v>16221</v>
      </c>
      <c r="E4490" t="s">
        <v>20270</v>
      </c>
      <c r="F4490" t="s">
        <v>28198</v>
      </c>
      <c r="G4490" t="s">
        <v>28210</v>
      </c>
      <c r="H4490" t="s">
        <v>28215</v>
      </c>
      <c r="I4490" t="s">
        <v>4168</v>
      </c>
      <c r="J4490" t="s">
        <v>31239</v>
      </c>
      <c r="K4490" t="s">
        <v>36701</v>
      </c>
      <c r="L4490" t="s">
        <v>1598</v>
      </c>
      <c r="M4490" t="s">
        <v>38685</v>
      </c>
      <c r="N4490" t="s">
        <v>40436</v>
      </c>
      <c r="O4490" t="s">
        <v>40437</v>
      </c>
      <c r="P4490">
        <v>0</v>
      </c>
      <c r="Q4490">
        <v>12</v>
      </c>
      <c r="R4490" t="s">
        <v>40439</v>
      </c>
      <c r="S4490" t="s">
        <v>40588</v>
      </c>
      <c r="T4490" t="s">
        <v>42124</v>
      </c>
      <c r="U4490" t="s">
        <v>46443</v>
      </c>
      <c r="W4490" t="s">
        <v>38685</v>
      </c>
      <c r="X4490" t="s">
        <v>40440</v>
      </c>
    </row>
    <row r="4491" spans="1:24">
      <c r="A4491">
        <f>HYPERLINK("https://www.philgeps.gov.ph/GEPSNONPILOT/Tender/SplashBidNoticeAbstractUI.aspx?menuIndex=3&amp;refID=7046835&amp;Result=3","7046835")</f>
        <v>0</v>
      </c>
      <c r="B4491" t="s">
        <v>1591</v>
      </c>
      <c r="C4491" t="s">
        <v>7376</v>
      </c>
      <c r="D4491" t="s">
        <v>16244</v>
      </c>
      <c r="E4491" t="s">
        <v>20271</v>
      </c>
      <c r="F4491" t="s">
        <v>28198</v>
      </c>
      <c r="G4491" t="s">
        <v>28207</v>
      </c>
      <c r="H4491" t="s">
        <v>28215</v>
      </c>
      <c r="I4491" t="s">
        <v>28224</v>
      </c>
      <c r="J4491" t="s">
        <v>31240</v>
      </c>
      <c r="K4491" t="s">
        <v>36693</v>
      </c>
      <c r="M4491" t="s">
        <v>38677</v>
      </c>
      <c r="N4491" t="s">
        <v>40436</v>
      </c>
      <c r="O4491" t="s">
        <v>40437</v>
      </c>
      <c r="P4491">
        <v>0</v>
      </c>
      <c r="Q4491">
        <v>2</v>
      </c>
      <c r="R4491" t="s">
        <v>40439</v>
      </c>
      <c r="S4491" t="s">
        <v>40588</v>
      </c>
      <c r="T4491" t="s">
        <v>42141</v>
      </c>
      <c r="U4491" t="s">
        <v>46444</v>
      </c>
      <c r="W4491" t="s">
        <v>38677</v>
      </c>
      <c r="X4491" t="s">
        <v>40440</v>
      </c>
    </row>
    <row r="4492" spans="1:24">
      <c r="A4492">
        <f>HYPERLINK("https://www.philgeps.gov.ph/GEPSNONPILOT/Tender/SplashBidNoticeAbstractUI.aspx?menuIndex=3&amp;refID=7046825&amp;Result=3","7046825")</f>
        <v>0</v>
      </c>
      <c r="B4492" t="s">
        <v>1599</v>
      </c>
      <c r="C4492" t="s">
        <v>7377</v>
      </c>
      <c r="D4492" t="s">
        <v>16217</v>
      </c>
      <c r="E4492" t="s">
        <v>20272</v>
      </c>
      <c r="F4492" t="s">
        <v>28198</v>
      </c>
      <c r="G4492" t="s">
        <v>28209</v>
      </c>
      <c r="H4492" t="s">
        <v>28215</v>
      </c>
      <c r="I4492" t="s">
        <v>4200</v>
      </c>
      <c r="J4492" t="s">
        <v>31241</v>
      </c>
      <c r="K4492" t="s">
        <v>36706</v>
      </c>
      <c r="M4492" t="s">
        <v>38686</v>
      </c>
      <c r="N4492" t="s">
        <v>40436</v>
      </c>
      <c r="O4492" t="s">
        <v>40437</v>
      </c>
      <c r="P4492">
        <v>0</v>
      </c>
      <c r="Q4492">
        <v>0</v>
      </c>
      <c r="R4492" t="s">
        <v>40439</v>
      </c>
      <c r="S4492" t="s">
        <v>40588</v>
      </c>
      <c r="T4492" t="s">
        <v>42318</v>
      </c>
      <c r="U4492" t="s">
        <v>46445</v>
      </c>
      <c r="W4492" t="s">
        <v>38686</v>
      </c>
      <c r="X4492" t="s">
        <v>40440</v>
      </c>
    </row>
    <row r="4493" spans="1:24">
      <c r="A4493">
        <f>HYPERLINK("https://www.philgeps.gov.ph/GEPSNONPILOT/Tender/SplashBidNoticeAbstractUI.aspx?menuIndex=3&amp;refID=7046843&amp;Result=3","7046843")</f>
        <v>0</v>
      </c>
      <c r="B4493" t="s">
        <v>1600</v>
      </c>
      <c r="C4493" t="s">
        <v>7378</v>
      </c>
      <c r="D4493" t="s">
        <v>16210</v>
      </c>
      <c r="E4493" t="s">
        <v>20273</v>
      </c>
      <c r="F4493" t="s">
        <v>28198</v>
      </c>
      <c r="G4493" t="s">
        <v>28207</v>
      </c>
      <c r="H4493" t="s">
        <v>28217</v>
      </c>
      <c r="I4493" t="s">
        <v>28220</v>
      </c>
      <c r="J4493" t="s">
        <v>28430</v>
      </c>
      <c r="K4493" t="s">
        <v>36705</v>
      </c>
      <c r="M4493" t="s">
        <v>38687</v>
      </c>
      <c r="N4493" t="s">
        <v>40436</v>
      </c>
      <c r="O4493" t="s">
        <v>40437</v>
      </c>
      <c r="P4493">
        <v>0</v>
      </c>
      <c r="Q4493">
        <v>2</v>
      </c>
      <c r="R4493" t="s">
        <v>40439</v>
      </c>
      <c r="S4493" t="s">
        <v>40588</v>
      </c>
      <c r="T4493" t="s">
        <v>42216</v>
      </c>
      <c r="U4493" t="s">
        <v>46446</v>
      </c>
      <c r="W4493" t="s">
        <v>38687</v>
      </c>
      <c r="X4493" t="s">
        <v>40440</v>
      </c>
    </row>
    <row r="4494" spans="1:24">
      <c r="A4494">
        <f>HYPERLINK("https://www.philgeps.gov.ph/GEPSNONPILOT/Tender/SplashBidNoticeAbstractUI.aspx?menuIndex=3&amp;refID=7046828&amp;Result=3","7046828")</f>
        <v>0</v>
      </c>
      <c r="B4494" t="s">
        <v>1601</v>
      </c>
      <c r="C4494" t="s">
        <v>7379</v>
      </c>
      <c r="D4494" t="s">
        <v>16211</v>
      </c>
      <c r="E4494" t="s">
        <v>7379</v>
      </c>
      <c r="F4494" t="s">
        <v>28198</v>
      </c>
      <c r="G4494" t="s">
        <v>28205</v>
      </c>
      <c r="H4494" t="s">
        <v>28215</v>
      </c>
      <c r="I4494" t="s">
        <v>8870</v>
      </c>
      <c r="J4494" t="s">
        <v>28406</v>
      </c>
      <c r="K4494" t="s">
        <v>36707</v>
      </c>
      <c r="M4494" t="s">
        <v>38688</v>
      </c>
      <c r="N4494" t="s">
        <v>40436</v>
      </c>
      <c r="O4494" t="s">
        <v>40437</v>
      </c>
      <c r="P4494">
        <v>0</v>
      </c>
      <c r="Q4494">
        <v>0</v>
      </c>
      <c r="R4494" t="s">
        <v>40439</v>
      </c>
      <c r="S4494" t="s">
        <v>40588</v>
      </c>
      <c r="T4494" t="s">
        <v>42133</v>
      </c>
      <c r="U4494" t="s">
        <v>46447</v>
      </c>
      <c r="W4494" t="s">
        <v>38688</v>
      </c>
      <c r="X4494" t="s">
        <v>40440</v>
      </c>
    </row>
    <row r="4495" spans="1:24">
      <c r="A4495">
        <f>HYPERLINK("https://www.philgeps.gov.ph/GEPSNONPILOT/Tender/SplashBidNoticeAbstractUI.aspx?menuIndex=3&amp;refID=7046839&amp;Result=3","7046839")</f>
        <v>0</v>
      </c>
      <c r="B4495" t="s">
        <v>952</v>
      </c>
      <c r="C4495" t="s">
        <v>7380</v>
      </c>
      <c r="D4495" t="s">
        <v>16214</v>
      </c>
      <c r="E4495" t="s">
        <v>20274</v>
      </c>
      <c r="F4495" t="s">
        <v>28198</v>
      </c>
      <c r="G4495" t="s">
        <v>28207</v>
      </c>
      <c r="H4495" t="s">
        <v>28215</v>
      </c>
      <c r="I4495" t="s">
        <v>28254</v>
      </c>
      <c r="J4495" t="s">
        <v>29346</v>
      </c>
      <c r="K4495" t="s">
        <v>36701</v>
      </c>
      <c r="M4495" t="s">
        <v>37976</v>
      </c>
      <c r="N4495" t="s">
        <v>40436</v>
      </c>
      <c r="O4495" t="s">
        <v>40437</v>
      </c>
      <c r="P4495">
        <v>0</v>
      </c>
      <c r="Q4495">
        <v>2</v>
      </c>
      <c r="R4495" t="s">
        <v>40439</v>
      </c>
      <c r="S4495" t="s">
        <v>40588</v>
      </c>
      <c r="T4495" t="s">
        <v>42193</v>
      </c>
      <c r="U4495" t="s">
        <v>46448</v>
      </c>
      <c r="W4495" t="s">
        <v>37976</v>
      </c>
      <c r="X4495" t="s">
        <v>40440</v>
      </c>
    </row>
    <row r="4496" spans="1:24">
      <c r="A4496">
        <f>HYPERLINK("https://www.philgeps.gov.ph/GEPSNONPILOT/Tender/SplashBidNoticeAbstractUI.aspx?menuIndex=3&amp;refID=7046833&amp;Result=3","7046833")</f>
        <v>0</v>
      </c>
      <c r="B4496" t="s">
        <v>1602</v>
      </c>
      <c r="C4496" t="s">
        <v>7381</v>
      </c>
      <c r="D4496" t="s">
        <v>16226</v>
      </c>
      <c r="E4496" t="s">
        <v>20275</v>
      </c>
      <c r="F4496" t="s">
        <v>28198</v>
      </c>
      <c r="G4496" t="s">
        <v>28205</v>
      </c>
      <c r="H4496" t="s">
        <v>28215</v>
      </c>
      <c r="I4496" t="s">
        <v>5100</v>
      </c>
      <c r="J4496" t="s">
        <v>31242</v>
      </c>
      <c r="K4496" t="s">
        <v>36694</v>
      </c>
      <c r="M4496" t="s">
        <v>38689</v>
      </c>
      <c r="N4496" t="s">
        <v>40436</v>
      </c>
      <c r="O4496" t="s">
        <v>40437</v>
      </c>
      <c r="P4496">
        <v>0</v>
      </c>
      <c r="Q4496">
        <v>0</v>
      </c>
      <c r="R4496" t="s">
        <v>40439</v>
      </c>
      <c r="S4496" t="s">
        <v>40588</v>
      </c>
      <c r="T4496" t="s">
        <v>42320</v>
      </c>
      <c r="U4496" t="s">
        <v>46449</v>
      </c>
      <c r="W4496" t="s">
        <v>55490</v>
      </c>
      <c r="X4496" t="s">
        <v>40440</v>
      </c>
    </row>
    <row r="4497" spans="1:24">
      <c r="A4497">
        <f>HYPERLINK("https://www.philgeps.gov.ph/GEPSNONPILOT/Tender/SplashBidNoticeAbstractUI.aspx?menuIndex=3&amp;refID=7046842&amp;Result=3","7046842")</f>
        <v>0</v>
      </c>
      <c r="B4497" t="s">
        <v>1603</v>
      </c>
      <c r="C4497" t="s">
        <v>7382</v>
      </c>
      <c r="D4497" t="s">
        <v>16187</v>
      </c>
      <c r="E4497" t="s">
        <v>17564</v>
      </c>
      <c r="F4497" t="s">
        <v>28198</v>
      </c>
      <c r="G4497" t="s">
        <v>28206</v>
      </c>
      <c r="H4497" t="s">
        <v>28215</v>
      </c>
      <c r="I4497" t="s">
        <v>4321</v>
      </c>
      <c r="J4497" t="s">
        <v>28352</v>
      </c>
      <c r="K4497" t="s">
        <v>36689</v>
      </c>
      <c r="M4497" t="s">
        <v>38690</v>
      </c>
      <c r="N4497" t="s">
        <v>40436</v>
      </c>
      <c r="O4497" t="s">
        <v>40437</v>
      </c>
      <c r="P4497">
        <v>0</v>
      </c>
      <c r="Q4497">
        <v>1</v>
      </c>
      <c r="R4497" t="s">
        <v>40439</v>
      </c>
      <c r="S4497" t="s">
        <v>40588</v>
      </c>
      <c r="T4497" t="s">
        <v>42158</v>
      </c>
      <c r="U4497" t="s">
        <v>46450</v>
      </c>
      <c r="W4497" t="s">
        <v>38690</v>
      </c>
      <c r="X4497" t="s">
        <v>40440</v>
      </c>
    </row>
    <row r="4498" spans="1:24">
      <c r="A4498">
        <f>HYPERLINK("https://www.philgeps.gov.ph/GEPSNONPILOT/Tender/SplashBidNoticeAbstractUI.aspx?menuIndex=3&amp;refID=7046837&amp;Result=3","7046837")</f>
        <v>0</v>
      </c>
      <c r="B4498" t="s">
        <v>1604</v>
      </c>
      <c r="C4498" t="s">
        <v>7383</v>
      </c>
      <c r="D4498" t="s">
        <v>16204</v>
      </c>
      <c r="E4498" t="s">
        <v>20276</v>
      </c>
      <c r="F4498" t="s">
        <v>28198</v>
      </c>
      <c r="G4498" t="s">
        <v>28205</v>
      </c>
      <c r="H4498" t="s">
        <v>28215</v>
      </c>
      <c r="I4498" t="s">
        <v>28227</v>
      </c>
      <c r="J4498" t="s">
        <v>31243</v>
      </c>
      <c r="K4498" t="s">
        <v>36688</v>
      </c>
      <c r="M4498" t="s">
        <v>38691</v>
      </c>
      <c r="N4498" t="s">
        <v>40436</v>
      </c>
      <c r="O4498" t="s">
        <v>40437</v>
      </c>
      <c r="P4498">
        <v>0</v>
      </c>
      <c r="Q4498">
        <v>1</v>
      </c>
      <c r="R4498" t="s">
        <v>40439</v>
      </c>
      <c r="S4498" t="s">
        <v>40588</v>
      </c>
      <c r="T4498" t="s">
        <v>42133</v>
      </c>
      <c r="U4498" t="s">
        <v>46451</v>
      </c>
      <c r="W4498" t="s">
        <v>38691</v>
      </c>
      <c r="X4498" t="s">
        <v>40440</v>
      </c>
    </row>
    <row r="4499" spans="1:24">
      <c r="A4499">
        <f>HYPERLINK("https://www.philgeps.gov.ph/GEPSNONPILOT/Tender/SplashBidNoticeAbstractUI.aspx?menuIndex=3&amp;refID=7046847&amp;Result=3","7046847")</f>
        <v>0</v>
      </c>
      <c r="B4499" t="s">
        <v>1603</v>
      </c>
      <c r="C4499" t="s">
        <v>7384</v>
      </c>
      <c r="D4499" t="s">
        <v>16187</v>
      </c>
      <c r="E4499" t="s">
        <v>17633</v>
      </c>
      <c r="F4499" t="s">
        <v>28198</v>
      </c>
      <c r="G4499" t="s">
        <v>28206</v>
      </c>
      <c r="H4499" t="s">
        <v>28215</v>
      </c>
      <c r="I4499" t="s">
        <v>4168</v>
      </c>
      <c r="J4499" t="s">
        <v>28878</v>
      </c>
      <c r="K4499" t="s">
        <v>36689</v>
      </c>
      <c r="M4499" t="s">
        <v>38690</v>
      </c>
      <c r="N4499" t="s">
        <v>40436</v>
      </c>
      <c r="O4499" t="s">
        <v>40437</v>
      </c>
      <c r="P4499">
        <v>0</v>
      </c>
      <c r="Q4499">
        <v>1</v>
      </c>
      <c r="R4499" t="s">
        <v>40439</v>
      </c>
      <c r="S4499" t="s">
        <v>40588</v>
      </c>
      <c r="T4499" t="s">
        <v>42158</v>
      </c>
      <c r="U4499" t="s">
        <v>46452</v>
      </c>
      <c r="W4499" t="s">
        <v>38690</v>
      </c>
      <c r="X4499" t="s">
        <v>40440</v>
      </c>
    </row>
    <row r="4500" spans="1:24">
      <c r="A4500">
        <f>HYPERLINK("https://www.philgeps.gov.ph/GEPSNONPILOT/Tender/SplashBidNoticeAbstractUI.aspx?menuIndex=3&amp;refID=7046841&amp;Result=3","7046841")</f>
        <v>0</v>
      </c>
      <c r="B4500" t="s">
        <v>928</v>
      </c>
      <c r="C4500" t="s">
        <v>7385</v>
      </c>
      <c r="D4500" t="s">
        <v>16210</v>
      </c>
      <c r="E4500" t="s">
        <v>20277</v>
      </c>
      <c r="F4500" t="s">
        <v>28198</v>
      </c>
      <c r="G4500" t="s">
        <v>28207</v>
      </c>
      <c r="H4500" t="s">
        <v>28215</v>
      </c>
      <c r="I4500" t="s">
        <v>28248</v>
      </c>
      <c r="J4500" t="s">
        <v>29029</v>
      </c>
      <c r="K4500" t="s">
        <v>36691</v>
      </c>
      <c r="M4500" t="s">
        <v>37948</v>
      </c>
      <c r="N4500" t="s">
        <v>40436</v>
      </c>
      <c r="O4500" t="s">
        <v>40437</v>
      </c>
      <c r="P4500">
        <v>0</v>
      </c>
      <c r="Q4500">
        <v>3</v>
      </c>
      <c r="R4500" t="s">
        <v>40439</v>
      </c>
      <c r="S4500" t="s">
        <v>40588</v>
      </c>
      <c r="T4500" t="s">
        <v>42141</v>
      </c>
      <c r="U4500" t="s">
        <v>46453</v>
      </c>
      <c r="W4500" t="s">
        <v>37948</v>
      </c>
      <c r="X4500" t="s">
        <v>40440</v>
      </c>
    </row>
    <row r="4501" spans="1:24">
      <c r="A4501">
        <f>HYPERLINK("https://www.philgeps.gov.ph/GEPSNONPILOT/Tender/SplashBidNoticeAbstractUI.aspx?menuIndex=3&amp;refID=7046820&amp;Result=3","7046820")</f>
        <v>0</v>
      </c>
      <c r="B4501" t="s">
        <v>1605</v>
      </c>
      <c r="C4501" t="s">
        <v>7386</v>
      </c>
      <c r="D4501" t="s">
        <v>16238</v>
      </c>
      <c r="E4501" t="s">
        <v>20278</v>
      </c>
      <c r="F4501" t="s">
        <v>28198</v>
      </c>
      <c r="G4501" t="s">
        <v>28205</v>
      </c>
      <c r="H4501" t="s">
        <v>28215</v>
      </c>
      <c r="I4501" t="s">
        <v>4219</v>
      </c>
      <c r="J4501" t="s">
        <v>31244</v>
      </c>
      <c r="K4501" t="s">
        <v>36707</v>
      </c>
      <c r="M4501" t="s">
        <v>38692</v>
      </c>
      <c r="N4501" t="s">
        <v>40436</v>
      </c>
      <c r="O4501" t="s">
        <v>40437</v>
      </c>
      <c r="P4501">
        <v>0</v>
      </c>
      <c r="Q4501">
        <v>2</v>
      </c>
      <c r="R4501" t="s">
        <v>40439</v>
      </c>
      <c r="S4501" t="s">
        <v>40588</v>
      </c>
      <c r="T4501" t="s">
        <v>42176</v>
      </c>
      <c r="U4501" t="s">
        <v>46454</v>
      </c>
      <c r="W4501" t="s">
        <v>38692</v>
      </c>
      <c r="X4501" t="s">
        <v>40440</v>
      </c>
    </row>
    <row r="4502" spans="1:24">
      <c r="A4502">
        <f>HYPERLINK("https://www.philgeps.gov.ph/GEPSNONPILOT/Tender/SplashBidNoticeAbstractUI.aspx?menuIndex=3&amp;refID=7046860&amp;Result=3","7046860")</f>
        <v>0</v>
      </c>
      <c r="B4502" t="s">
        <v>1593</v>
      </c>
      <c r="C4502" t="s">
        <v>7387</v>
      </c>
      <c r="D4502" t="s">
        <v>16215</v>
      </c>
      <c r="E4502" t="s">
        <v>20279</v>
      </c>
      <c r="F4502" t="s">
        <v>28198</v>
      </c>
      <c r="G4502" t="s">
        <v>28206</v>
      </c>
      <c r="H4502" t="s">
        <v>28215</v>
      </c>
      <c r="I4502" t="s">
        <v>28257</v>
      </c>
      <c r="J4502" t="s">
        <v>29172</v>
      </c>
      <c r="K4502" t="s">
        <v>36689</v>
      </c>
      <c r="M4502" t="s">
        <v>38680</v>
      </c>
      <c r="N4502" t="s">
        <v>40436</v>
      </c>
      <c r="O4502" t="s">
        <v>40437</v>
      </c>
      <c r="P4502">
        <v>0</v>
      </c>
      <c r="Q4502">
        <v>0</v>
      </c>
      <c r="R4502" t="s">
        <v>40439</v>
      </c>
      <c r="S4502" t="s">
        <v>40588</v>
      </c>
      <c r="T4502" t="s">
        <v>42136</v>
      </c>
      <c r="U4502" t="s">
        <v>46455</v>
      </c>
      <c r="W4502" t="s">
        <v>38680</v>
      </c>
      <c r="X4502" t="s">
        <v>40440</v>
      </c>
    </row>
    <row r="4503" spans="1:24">
      <c r="A4503">
        <f>HYPERLINK("https://www.philgeps.gov.ph/GEPSNONPILOT/Tender/SplashBidNoticeAbstractUI.aspx?menuIndex=3&amp;refID=7046840&amp;Result=3","7046840")</f>
        <v>0</v>
      </c>
      <c r="B4503" t="s">
        <v>1591</v>
      </c>
      <c r="C4503" t="s">
        <v>7388</v>
      </c>
      <c r="D4503" t="s">
        <v>16244</v>
      </c>
      <c r="E4503" t="s">
        <v>20280</v>
      </c>
      <c r="F4503" t="s">
        <v>28198</v>
      </c>
      <c r="G4503" t="s">
        <v>28207</v>
      </c>
      <c r="H4503" t="s">
        <v>28215</v>
      </c>
      <c r="I4503" t="s">
        <v>28224</v>
      </c>
      <c r="J4503" t="s">
        <v>31245</v>
      </c>
      <c r="K4503" t="s">
        <v>36693</v>
      </c>
      <c r="M4503" t="s">
        <v>38677</v>
      </c>
      <c r="N4503" t="s">
        <v>40436</v>
      </c>
      <c r="O4503" t="s">
        <v>40437</v>
      </c>
      <c r="P4503">
        <v>0</v>
      </c>
      <c r="Q4503">
        <v>1</v>
      </c>
      <c r="R4503" t="s">
        <v>40439</v>
      </c>
      <c r="S4503" t="s">
        <v>40588</v>
      </c>
      <c r="T4503" t="s">
        <v>42141</v>
      </c>
      <c r="U4503" t="s">
        <v>46456</v>
      </c>
      <c r="W4503" t="s">
        <v>38677</v>
      </c>
      <c r="X4503" t="s">
        <v>40440</v>
      </c>
    </row>
    <row r="4504" spans="1:24">
      <c r="A4504">
        <f>HYPERLINK("https://www.philgeps.gov.ph/GEPSNONPILOT/Tender/SplashBidNoticeAbstractUI.aspx?menuIndex=3&amp;refID=7046862&amp;Result=3","7046862")</f>
        <v>0</v>
      </c>
      <c r="B4504" t="s">
        <v>1516</v>
      </c>
      <c r="C4504" t="s">
        <v>7389</v>
      </c>
      <c r="D4504" t="s">
        <v>16213</v>
      </c>
      <c r="E4504" t="s">
        <v>20281</v>
      </c>
      <c r="F4504" t="s">
        <v>28198</v>
      </c>
      <c r="G4504" t="s">
        <v>28205</v>
      </c>
      <c r="H4504" t="s">
        <v>28215</v>
      </c>
      <c r="I4504" t="s">
        <v>8888</v>
      </c>
      <c r="J4504" t="s">
        <v>28378</v>
      </c>
      <c r="K4504" t="s">
        <v>36707</v>
      </c>
      <c r="M4504" t="s">
        <v>38593</v>
      </c>
      <c r="N4504" t="s">
        <v>40436</v>
      </c>
      <c r="O4504" t="s">
        <v>40437</v>
      </c>
      <c r="P4504">
        <v>0</v>
      </c>
      <c r="Q4504">
        <v>0</v>
      </c>
      <c r="R4504" t="s">
        <v>40439</v>
      </c>
      <c r="S4504" t="s">
        <v>40588</v>
      </c>
      <c r="T4504" t="s">
        <v>42125</v>
      </c>
      <c r="U4504" t="s">
        <v>46457</v>
      </c>
      <c r="W4504" t="s">
        <v>38593</v>
      </c>
      <c r="X4504" t="s">
        <v>40440</v>
      </c>
    </row>
    <row r="4505" spans="1:24">
      <c r="A4505">
        <f>HYPERLINK("https://www.philgeps.gov.ph/GEPSNONPILOT/Tender/SplashBidNoticeAbstractUI.aspx?menuIndex=3&amp;refID=7046857&amp;Result=3","7046857")</f>
        <v>0</v>
      </c>
      <c r="B4505" t="s">
        <v>1606</v>
      </c>
      <c r="C4505" t="s">
        <v>7390</v>
      </c>
      <c r="D4505" t="s">
        <v>16227</v>
      </c>
      <c r="E4505" t="s">
        <v>17948</v>
      </c>
      <c r="F4505" t="s">
        <v>28198</v>
      </c>
      <c r="G4505" t="s">
        <v>28207</v>
      </c>
      <c r="H4505" t="s">
        <v>28215</v>
      </c>
      <c r="I4505" t="s">
        <v>28257</v>
      </c>
      <c r="J4505" t="s">
        <v>31246</v>
      </c>
      <c r="K4505" t="s">
        <v>36691</v>
      </c>
      <c r="M4505" t="s">
        <v>38693</v>
      </c>
      <c r="N4505" t="s">
        <v>40436</v>
      </c>
      <c r="O4505" t="s">
        <v>40437</v>
      </c>
      <c r="P4505">
        <v>0</v>
      </c>
      <c r="Q4505">
        <v>0</v>
      </c>
      <c r="R4505" t="s">
        <v>40439</v>
      </c>
      <c r="S4505" t="s">
        <v>40588</v>
      </c>
      <c r="T4505" t="s">
        <v>42169</v>
      </c>
      <c r="U4505" t="s">
        <v>46458</v>
      </c>
      <c r="W4505" t="s">
        <v>38693</v>
      </c>
      <c r="X4505" t="s">
        <v>40440</v>
      </c>
    </row>
    <row r="4506" spans="1:24">
      <c r="A4506">
        <f>HYPERLINK("https://www.philgeps.gov.ph/GEPSNONPILOT/Tender/SplashBidNoticeAbstractUI.aspx?menuIndex=3&amp;refID=7046852&amp;Result=3","7046852")</f>
        <v>0</v>
      </c>
      <c r="B4506" t="s">
        <v>928</v>
      </c>
      <c r="C4506" t="s">
        <v>7391</v>
      </c>
      <c r="D4506" t="s">
        <v>16210</v>
      </c>
      <c r="E4506" t="s">
        <v>20282</v>
      </c>
      <c r="F4506" t="s">
        <v>28198</v>
      </c>
      <c r="G4506" t="s">
        <v>28207</v>
      </c>
      <c r="H4506" t="s">
        <v>28215</v>
      </c>
      <c r="I4506" t="s">
        <v>5071</v>
      </c>
      <c r="J4506" t="s">
        <v>29957</v>
      </c>
      <c r="K4506" t="s">
        <v>36691</v>
      </c>
      <c r="M4506" t="s">
        <v>37948</v>
      </c>
      <c r="N4506" t="s">
        <v>40436</v>
      </c>
      <c r="O4506" t="s">
        <v>40437</v>
      </c>
      <c r="P4506">
        <v>0</v>
      </c>
      <c r="Q4506">
        <v>5</v>
      </c>
      <c r="R4506" t="s">
        <v>40439</v>
      </c>
      <c r="S4506" t="s">
        <v>40588</v>
      </c>
      <c r="T4506" t="s">
        <v>42141</v>
      </c>
      <c r="U4506" t="s">
        <v>46459</v>
      </c>
      <c r="W4506" t="s">
        <v>37948</v>
      </c>
      <c r="X4506" t="s">
        <v>40440</v>
      </c>
    </row>
    <row r="4507" spans="1:24">
      <c r="A4507">
        <f>HYPERLINK("https://www.philgeps.gov.ph/GEPSNONPILOT/Tender/SplashBidNoticeAbstractUI.aspx?menuIndex=3&amp;refID=7046854&amp;Result=3","7046854")</f>
        <v>0</v>
      </c>
      <c r="B4507" t="s">
        <v>1593</v>
      </c>
      <c r="C4507" t="s">
        <v>7392</v>
      </c>
      <c r="D4507" t="s">
        <v>16215</v>
      </c>
      <c r="E4507" t="s">
        <v>20283</v>
      </c>
      <c r="F4507" t="s">
        <v>28198</v>
      </c>
      <c r="G4507" t="s">
        <v>28206</v>
      </c>
      <c r="H4507" t="s">
        <v>28215</v>
      </c>
      <c r="I4507" t="s">
        <v>28251</v>
      </c>
      <c r="J4507" t="s">
        <v>28671</v>
      </c>
      <c r="K4507" t="s">
        <v>36689</v>
      </c>
      <c r="M4507" t="s">
        <v>38680</v>
      </c>
      <c r="N4507" t="s">
        <v>40436</v>
      </c>
      <c r="O4507" t="s">
        <v>40437</v>
      </c>
      <c r="P4507">
        <v>0</v>
      </c>
      <c r="Q4507">
        <v>0</v>
      </c>
      <c r="R4507" t="s">
        <v>40439</v>
      </c>
      <c r="S4507" t="s">
        <v>40588</v>
      </c>
      <c r="T4507" t="s">
        <v>42103</v>
      </c>
      <c r="U4507" t="s">
        <v>46460</v>
      </c>
      <c r="W4507" t="s">
        <v>38680</v>
      </c>
      <c r="X4507" t="s">
        <v>40440</v>
      </c>
    </row>
    <row r="4508" spans="1:24">
      <c r="A4508">
        <f>HYPERLINK("https://www.philgeps.gov.ph/GEPSNONPILOT/Tender/SplashBidNoticeAbstractUI.aspx?menuIndex=3&amp;refID=7046850&amp;Result=3","7046850")</f>
        <v>0</v>
      </c>
      <c r="B4508" t="s">
        <v>1607</v>
      </c>
      <c r="C4508" t="s">
        <v>7393</v>
      </c>
      <c r="D4508" t="s">
        <v>16210</v>
      </c>
      <c r="E4508" t="s">
        <v>20284</v>
      </c>
      <c r="F4508" t="s">
        <v>28198</v>
      </c>
      <c r="G4508" t="s">
        <v>28205</v>
      </c>
      <c r="H4508" t="s">
        <v>28215</v>
      </c>
      <c r="I4508" t="s">
        <v>28231</v>
      </c>
      <c r="J4508" t="s">
        <v>31247</v>
      </c>
      <c r="K4508" t="s">
        <v>36689</v>
      </c>
      <c r="M4508" t="s">
        <v>38694</v>
      </c>
      <c r="N4508" t="s">
        <v>40436</v>
      </c>
      <c r="O4508" t="s">
        <v>40437</v>
      </c>
      <c r="P4508">
        <v>0</v>
      </c>
      <c r="Q4508">
        <v>1</v>
      </c>
      <c r="R4508" t="s">
        <v>40439</v>
      </c>
      <c r="S4508" t="s">
        <v>40588</v>
      </c>
      <c r="T4508" t="s">
        <v>42125</v>
      </c>
      <c r="U4508" t="s">
        <v>46461</v>
      </c>
      <c r="W4508" t="s">
        <v>38694</v>
      </c>
      <c r="X4508" t="s">
        <v>40440</v>
      </c>
    </row>
    <row r="4509" spans="1:24">
      <c r="A4509">
        <f>HYPERLINK("https://www.philgeps.gov.ph/GEPSNONPILOT/Tender/SplashBidNoticeAbstractUI.aspx?menuIndex=3&amp;refID=7046853&amp;Result=3","7046853")</f>
        <v>0</v>
      </c>
      <c r="B4509" t="s">
        <v>1608</v>
      </c>
      <c r="C4509" t="s">
        <v>7394</v>
      </c>
      <c r="D4509" t="s">
        <v>16202</v>
      </c>
      <c r="E4509" t="s">
        <v>20285</v>
      </c>
      <c r="F4509" t="s">
        <v>28198</v>
      </c>
      <c r="G4509" t="s">
        <v>28205</v>
      </c>
      <c r="H4509" t="s">
        <v>28215</v>
      </c>
      <c r="I4509" t="s">
        <v>4321</v>
      </c>
      <c r="J4509" t="s">
        <v>28398</v>
      </c>
      <c r="K4509" t="s">
        <v>36692</v>
      </c>
      <c r="M4509" t="s">
        <v>38695</v>
      </c>
      <c r="N4509" t="s">
        <v>40436</v>
      </c>
      <c r="O4509" t="s">
        <v>40437</v>
      </c>
      <c r="P4509">
        <v>0</v>
      </c>
      <c r="Q4509">
        <v>1</v>
      </c>
      <c r="R4509" t="s">
        <v>40439</v>
      </c>
      <c r="S4509" t="s">
        <v>40588</v>
      </c>
      <c r="T4509" t="s">
        <v>42398</v>
      </c>
      <c r="U4509" t="s">
        <v>46462</v>
      </c>
      <c r="W4509" t="s">
        <v>38695</v>
      </c>
      <c r="X4509" t="s">
        <v>40440</v>
      </c>
    </row>
    <row r="4510" spans="1:24">
      <c r="A4510">
        <f>HYPERLINK("https://www.philgeps.gov.ph/GEPSNONPILOT/Tender/SplashBidNoticeAbstractUI.aspx?menuIndex=3&amp;refID=7046851&amp;Result=3","7046851")</f>
        <v>0</v>
      </c>
      <c r="B4510" t="s">
        <v>914</v>
      </c>
      <c r="C4510" t="s">
        <v>5107</v>
      </c>
      <c r="D4510" t="s">
        <v>16210</v>
      </c>
      <c r="E4510" t="s">
        <v>20286</v>
      </c>
      <c r="F4510" t="s">
        <v>28198</v>
      </c>
      <c r="G4510" t="s">
        <v>28207</v>
      </c>
      <c r="H4510" t="s">
        <v>28215</v>
      </c>
      <c r="I4510" t="s">
        <v>5082</v>
      </c>
      <c r="J4510" t="s">
        <v>31248</v>
      </c>
      <c r="K4510" t="s">
        <v>36701</v>
      </c>
      <c r="M4510" t="s">
        <v>37933</v>
      </c>
      <c r="N4510" t="s">
        <v>40436</v>
      </c>
      <c r="O4510" t="s">
        <v>40437</v>
      </c>
      <c r="P4510">
        <v>0</v>
      </c>
      <c r="Q4510">
        <v>9</v>
      </c>
      <c r="R4510" t="s">
        <v>40439</v>
      </c>
      <c r="S4510" t="s">
        <v>40588</v>
      </c>
      <c r="T4510" t="s">
        <v>42169</v>
      </c>
      <c r="U4510" t="s">
        <v>46463</v>
      </c>
      <c r="V4510" t="s">
        <v>54235</v>
      </c>
      <c r="W4510" t="s">
        <v>37933</v>
      </c>
      <c r="X4510" t="s">
        <v>40440</v>
      </c>
    </row>
    <row r="4511" spans="1:24">
      <c r="A4511">
        <f>HYPERLINK("https://www.philgeps.gov.ph/GEPSNONPILOT/Tender/SplashBidNoticeAbstractUI.aspx?menuIndex=3&amp;refID=7046867&amp;Result=3","7046867")</f>
        <v>0</v>
      </c>
      <c r="B4511" t="s">
        <v>1609</v>
      </c>
      <c r="C4511" t="s">
        <v>7395</v>
      </c>
      <c r="D4511" t="s">
        <v>16260</v>
      </c>
      <c r="E4511" t="s">
        <v>20287</v>
      </c>
      <c r="F4511" t="s">
        <v>28198</v>
      </c>
      <c r="G4511" t="s">
        <v>28205</v>
      </c>
      <c r="H4511" t="s">
        <v>28214</v>
      </c>
      <c r="I4511" t="s">
        <v>3797</v>
      </c>
      <c r="J4511" t="s">
        <v>31249</v>
      </c>
      <c r="K4511" t="s">
        <v>36702</v>
      </c>
      <c r="M4511" t="s">
        <v>38696</v>
      </c>
      <c r="N4511" t="s">
        <v>40436</v>
      </c>
      <c r="O4511" t="s">
        <v>40437</v>
      </c>
      <c r="P4511">
        <v>0</v>
      </c>
      <c r="Q4511">
        <v>1</v>
      </c>
      <c r="R4511" t="s">
        <v>40439</v>
      </c>
      <c r="S4511" t="s">
        <v>40588</v>
      </c>
      <c r="T4511" t="s">
        <v>42106</v>
      </c>
      <c r="U4511" t="s">
        <v>46464</v>
      </c>
      <c r="W4511" t="s">
        <v>38696</v>
      </c>
      <c r="X4511" t="s">
        <v>40440</v>
      </c>
    </row>
    <row r="4512" spans="1:24">
      <c r="A4512">
        <f>HYPERLINK("https://www.philgeps.gov.ph/GEPSNONPILOT/Tender/SplashBidNoticeAbstractUI.aspx?menuIndex=3&amp;refID=7046866&amp;Result=3","7046866")</f>
        <v>0</v>
      </c>
      <c r="B4512" t="s">
        <v>1610</v>
      </c>
      <c r="C4512" t="s">
        <v>7396</v>
      </c>
      <c r="E4512" t="s">
        <v>20288</v>
      </c>
      <c r="F4512" t="s">
        <v>28198</v>
      </c>
      <c r="G4512" t="s">
        <v>28207</v>
      </c>
      <c r="H4512" t="s">
        <v>28215</v>
      </c>
      <c r="I4512" t="s">
        <v>28230</v>
      </c>
      <c r="J4512" t="s">
        <v>28350</v>
      </c>
      <c r="K4512" t="s">
        <v>36689</v>
      </c>
      <c r="M4512" t="s">
        <v>38697</v>
      </c>
      <c r="N4512" t="s">
        <v>40436</v>
      </c>
      <c r="O4512" t="s">
        <v>40437</v>
      </c>
      <c r="P4512">
        <v>0</v>
      </c>
      <c r="Q4512">
        <v>1</v>
      </c>
      <c r="R4512" t="s">
        <v>40439</v>
      </c>
      <c r="S4512" t="s">
        <v>40588</v>
      </c>
      <c r="T4512" t="s">
        <v>42161</v>
      </c>
      <c r="U4512" t="s">
        <v>46465</v>
      </c>
      <c r="W4512" t="s">
        <v>38697</v>
      </c>
      <c r="X4512" t="s">
        <v>40440</v>
      </c>
    </row>
    <row r="4513" spans="1:24">
      <c r="A4513">
        <f>HYPERLINK("https://www.philgeps.gov.ph/GEPSNONPILOT/Tender/SplashBidNoticeAbstractUI.aspx?menuIndex=3&amp;refID=7046864&amp;Result=3","7046864")</f>
        <v>0</v>
      </c>
      <c r="B4513" t="s">
        <v>1600</v>
      </c>
      <c r="C4513" t="s">
        <v>7397</v>
      </c>
      <c r="D4513" t="s">
        <v>16210</v>
      </c>
      <c r="E4513" t="s">
        <v>20289</v>
      </c>
      <c r="F4513" t="s">
        <v>28198</v>
      </c>
      <c r="G4513" t="s">
        <v>28207</v>
      </c>
      <c r="H4513" t="s">
        <v>28217</v>
      </c>
      <c r="I4513" t="s">
        <v>28220</v>
      </c>
      <c r="J4513" t="s">
        <v>28345</v>
      </c>
      <c r="K4513" t="s">
        <v>36705</v>
      </c>
      <c r="M4513" t="s">
        <v>38687</v>
      </c>
      <c r="N4513" t="s">
        <v>40436</v>
      </c>
      <c r="O4513" t="s">
        <v>40437</v>
      </c>
      <c r="P4513">
        <v>0</v>
      </c>
      <c r="Q4513">
        <v>2</v>
      </c>
      <c r="R4513" t="s">
        <v>40439</v>
      </c>
      <c r="S4513" t="s">
        <v>40588</v>
      </c>
      <c r="T4513" t="s">
        <v>42216</v>
      </c>
      <c r="U4513" t="s">
        <v>46446</v>
      </c>
      <c r="W4513" t="s">
        <v>38687</v>
      </c>
      <c r="X4513" t="s">
        <v>40440</v>
      </c>
    </row>
    <row r="4514" spans="1:24">
      <c r="A4514">
        <f>HYPERLINK("https://www.philgeps.gov.ph/GEPSNONPILOT/Tender/SplashBidNoticeAbstractUI.aspx?menuIndex=3&amp;refID=7046868&amp;Result=3","7046868")</f>
        <v>0</v>
      </c>
      <c r="B4514" t="s">
        <v>1611</v>
      </c>
      <c r="C4514" t="s">
        <v>7398</v>
      </c>
      <c r="D4514" t="s">
        <v>16210</v>
      </c>
      <c r="E4514" t="s">
        <v>20290</v>
      </c>
      <c r="F4514" t="s">
        <v>28198</v>
      </c>
      <c r="G4514" t="s">
        <v>28205</v>
      </c>
      <c r="H4514" t="s">
        <v>28215</v>
      </c>
      <c r="I4514" t="s">
        <v>4200</v>
      </c>
      <c r="J4514" t="s">
        <v>31250</v>
      </c>
      <c r="K4514" t="s">
        <v>36706</v>
      </c>
      <c r="M4514" t="s">
        <v>38698</v>
      </c>
      <c r="N4514" t="s">
        <v>40436</v>
      </c>
      <c r="O4514" t="s">
        <v>40437</v>
      </c>
      <c r="P4514">
        <v>0</v>
      </c>
      <c r="Q4514">
        <v>0</v>
      </c>
      <c r="R4514" t="s">
        <v>40439</v>
      </c>
      <c r="S4514" t="s">
        <v>40588</v>
      </c>
      <c r="T4514" t="s">
        <v>42180</v>
      </c>
      <c r="U4514" t="s">
        <v>46466</v>
      </c>
      <c r="W4514" t="s">
        <v>38698</v>
      </c>
      <c r="X4514" t="s">
        <v>40440</v>
      </c>
    </row>
    <row r="4515" spans="1:24">
      <c r="A4515">
        <f>HYPERLINK("https://www.philgeps.gov.ph/GEPSNONPILOT/Tender/SplashBidNoticeAbstractUI.aspx?menuIndex=3&amp;refID=7046848&amp;Result=3","7046848")</f>
        <v>0</v>
      </c>
      <c r="B4515" t="s">
        <v>1612</v>
      </c>
      <c r="C4515" t="s">
        <v>7399</v>
      </c>
      <c r="D4515" t="s">
        <v>16232</v>
      </c>
      <c r="E4515" t="s">
        <v>20291</v>
      </c>
      <c r="F4515" t="s">
        <v>28198</v>
      </c>
      <c r="G4515" t="s">
        <v>28205</v>
      </c>
      <c r="H4515" t="s">
        <v>28215</v>
      </c>
      <c r="I4515" t="s">
        <v>28228</v>
      </c>
      <c r="J4515" t="s">
        <v>31251</v>
      </c>
      <c r="K4515" t="s">
        <v>36707</v>
      </c>
      <c r="M4515" t="s">
        <v>38699</v>
      </c>
      <c r="N4515" t="s">
        <v>40436</v>
      </c>
      <c r="O4515" t="s">
        <v>40437</v>
      </c>
      <c r="P4515">
        <v>0</v>
      </c>
      <c r="Q4515">
        <v>0</v>
      </c>
      <c r="R4515" t="s">
        <v>40439</v>
      </c>
      <c r="S4515" t="s">
        <v>40588</v>
      </c>
      <c r="T4515" t="s">
        <v>42108</v>
      </c>
      <c r="U4515" t="s">
        <v>46467</v>
      </c>
      <c r="W4515" t="s">
        <v>38699</v>
      </c>
      <c r="X4515" t="s">
        <v>40440</v>
      </c>
    </row>
    <row r="4516" spans="1:24">
      <c r="A4516">
        <f>HYPERLINK("https://www.philgeps.gov.ph/GEPSNONPILOT/Tender/SplashBidNoticeAbstractUI.aspx?menuIndex=3&amp;refID=7046865&amp;Result=3","7046865")</f>
        <v>0</v>
      </c>
      <c r="B4516" t="s">
        <v>1608</v>
      </c>
      <c r="C4516" t="s">
        <v>7400</v>
      </c>
      <c r="D4516" t="s">
        <v>16202</v>
      </c>
      <c r="E4516" t="s">
        <v>20292</v>
      </c>
      <c r="F4516" t="s">
        <v>28198</v>
      </c>
      <c r="G4516" t="s">
        <v>28205</v>
      </c>
      <c r="H4516" t="s">
        <v>28214</v>
      </c>
      <c r="I4516" t="s">
        <v>4505</v>
      </c>
      <c r="J4516" t="s">
        <v>28361</v>
      </c>
      <c r="K4516" t="s">
        <v>36692</v>
      </c>
      <c r="M4516" t="s">
        <v>38695</v>
      </c>
      <c r="N4516" t="s">
        <v>40436</v>
      </c>
      <c r="O4516" t="s">
        <v>40437</v>
      </c>
      <c r="P4516">
        <v>0</v>
      </c>
      <c r="Q4516">
        <v>0</v>
      </c>
      <c r="R4516" t="s">
        <v>40439</v>
      </c>
      <c r="S4516" t="s">
        <v>40588</v>
      </c>
      <c r="T4516" t="s">
        <v>42183</v>
      </c>
      <c r="U4516" t="s">
        <v>46468</v>
      </c>
      <c r="W4516" t="s">
        <v>38695</v>
      </c>
      <c r="X4516" t="s">
        <v>40440</v>
      </c>
    </row>
    <row r="4517" spans="1:24">
      <c r="A4517">
        <f>HYPERLINK("https://www.philgeps.gov.ph/GEPSNONPILOT/Tender/SplashBidNoticeAbstractUI.aspx?menuIndex=3&amp;refID=7046858&amp;Result=3","7046858")</f>
        <v>0</v>
      </c>
      <c r="B4517" t="s">
        <v>1612</v>
      </c>
      <c r="C4517" t="s">
        <v>7401</v>
      </c>
      <c r="D4517" t="s">
        <v>16232</v>
      </c>
      <c r="E4517" t="s">
        <v>20293</v>
      </c>
      <c r="F4517" t="s">
        <v>28198</v>
      </c>
      <c r="G4517" t="s">
        <v>28205</v>
      </c>
      <c r="H4517" t="s">
        <v>28214</v>
      </c>
      <c r="I4517" t="s">
        <v>3797</v>
      </c>
      <c r="J4517" t="s">
        <v>31252</v>
      </c>
      <c r="K4517" t="s">
        <v>36767</v>
      </c>
      <c r="M4517" t="s">
        <v>38699</v>
      </c>
      <c r="N4517" t="s">
        <v>40436</v>
      </c>
      <c r="O4517" t="s">
        <v>40437</v>
      </c>
      <c r="P4517">
        <v>0</v>
      </c>
      <c r="Q4517">
        <v>0</v>
      </c>
      <c r="R4517" t="s">
        <v>40439</v>
      </c>
      <c r="S4517" t="s">
        <v>40588</v>
      </c>
      <c r="T4517" t="s">
        <v>42110</v>
      </c>
      <c r="U4517" t="s">
        <v>46469</v>
      </c>
      <c r="W4517" t="s">
        <v>38699</v>
      </c>
      <c r="X4517" t="s">
        <v>40440</v>
      </c>
    </row>
    <row r="4518" spans="1:24">
      <c r="A4518">
        <f>HYPERLINK("https://www.philgeps.gov.ph/GEPSNONPILOT/Tender/SplashBidNoticeAbstractUI.aspx?menuIndex=3&amp;refID=7046849&amp;Result=3","7046849")</f>
        <v>0</v>
      </c>
      <c r="B4518" t="s">
        <v>1591</v>
      </c>
      <c r="C4518" t="s">
        <v>7402</v>
      </c>
      <c r="D4518" t="s">
        <v>16244</v>
      </c>
      <c r="E4518" t="s">
        <v>20294</v>
      </c>
      <c r="F4518" t="s">
        <v>28198</v>
      </c>
      <c r="G4518" t="s">
        <v>28207</v>
      </c>
      <c r="H4518" t="s">
        <v>28215</v>
      </c>
      <c r="I4518" t="s">
        <v>28261</v>
      </c>
      <c r="J4518" t="s">
        <v>31253</v>
      </c>
      <c r="K4518" t="s">
        <v>36693</v>
      </c>
      <c r="M4518" t="s">
        <v>38677</v>
      </c>
      <c r="N4518" t="s">
        <v>40436</v>
      </c>
      <c r="O4518" t="s">
        <v>40437</v>
      </c>
      <c r="P4518">
        <v>0</v>
      </c>
      <c r="Q4518">
        <v>1</v>
      </c>
      <c r="R4518" t="s">
        <v>40439</v>
      </c>
      <c r="S4518" t="s">
        <v>40588</v>
      </c>
      <c r="T4518" t="s">
        <v>42141</v>
      </c>
      <c r="U4518" t="s">
        <v>46470</v>
      </c>
      <c r="W4518" t="s">
        <v>38677</v>
      </c>
      <c r="X4518" t="s">
        <v>40440</v>
      </c>
    </row>
    <row r="4519" spans="1:24">
      <c r="A4519">
        <f>HYPERLINK("https://www.philgeps.gov.ph/GEPSNONPILOT/Tender/SplashBidNoticeAbstractUI.aspx?menuIndex=3&amp;refID=7046855&amp;Result=3","7046855")</f>
        <v>0</v>
      </c>
      <c r="B4519" t="s">
        <v>1612</v>
      </c>
      <c r="C4519" t="s">
        <v>7403</v>
      </c>
      <c r="D4519" t="s">
        <v>16232</v>
      </c>
      <c r="E4519" t="s">
        <v>20295</v>
      </c>
      <c r="F4519" t="s">
        <v>28198</v>
      </c>
      <c r="G4519" t="s">
        <v>28205</v>
      </c>
      <c r="H4519" t="s">
        <v>28215</v>
      </c>
      <c r="I4519" t="s">
        <v>3774</v>
      </c>
      <c r="J4519" t="s">
        <v>28862</v>
      </c>
      <c r="K4519" t="s">
        <v>36707</v>
      </c>
      <c r="M4519" t="s">
        <v>38699</v>
      </c>
      <c r="N4519" t="s">
        <v>40436</v>
      </c>
      <c r="O4519" t="s">
        <v>40437</v>
      </c>
      <c r="P4519">
        <v>0</v>
      </c>
      <c r="Q4519">
        <v>0</v>
      </c>
      <c r="R4519" t="s">
        <v>40439</v>
      </c>
      <c r="S4519" t="s">
        <v>40588</v>
      </c>
      <c r="T4519" t="s">
        <v>42108</v>
      </c>
      <c r="U4519" t="s">
        <v>46471</v>
      </c>
      <c r="W4519" t="s">
        <v>38699</v>
      </c>
      <c r="X4519" t="s">
        <v>40440</v>
      </c>
    </row>
    <row r="4520" spans="1:24">
      <c r="A4520">
        <f>HYPERLINK("https://www.philgeps.gov.ph/GEPSNONPILOT/Tender/SplashBidNoticeAbstractUI.aspx?menuIndex=3&amp;refID=7046875&amp;Result=3","7046875")</f>
        <v>0</v>
      </c>
      <c r="B4520" t="s">
        <v>1606</v>
      </c>
      <c r="C4520" t="s">
        <v>7404</v>
      </c>
      <c r="D4520" t="s">
        <v>16227</v>
      </c>
      <c r="E4520" t="s">
        <v>20296</v>
      </c>
      <c r="F4520" t="s">
        <v>28198</v>
      </c>
      <c r="G4520" t="s">
        <v>28207</v>
      </c>
      <c r="H4520" t="s">
        <v>28215</v>
      </c>
      <c r="I4520" t="s">
        <v>28257</v>
      </c>
      <c r="J4520" t="s">
        <v>31254</v>
      </c>
      <c r="K4520" t="s">
        <v>36691</v>
      </c>
      <c r="M4520" t="s">
        <v>38693</v>
      </c>
      <c r="N4520" t="s">
        <v>40436</v>
      </c>
      <c r="O4520" t="s">
        <v>40437</v>
      </c>
      <c r="P4520">
        <v>0</v>
      </c>
      <c r="Q4520">
        <v>0</v>
      </c>
      <c r="R4520" t="s">
        <v>40439</v>
      </c>
      <c r="S4520" t="s">
        <v>40588</v>
      </c>
      <c r="T4520" t="s">
        <v>42169</v>
      </c>
      <c r="U4520" t="s">
        <v>46458</v>
      </c>
      <c r="W4520" t="s">
        <v>38693</v>
      </c>
      <c r="X4520" t="s">
        <v>40440</v>
      </c>
    </row>
    <row r="4521" spans="1:24">
      <c r="A4521">
        <f>HYPERLINK("https://www.philgeps.gov.ph/GEPSNONPILOT/Tender/SplashBidNoticeAbstractUI.aspx?menuIndex=3&amp;refID=7046871&amp;Result=3","7046871")</f>
        <v>0</v>
      </c>
      <c r="B4521" t="s">
        <v>1613</v>
      </c>
      <c r="C4521" t="s">
        <v>7405</v>
      </c>
      <c r="D4521" t="s">
        <v>16199</v>
      </c>
      <c r="E4521" t="s">
        <v>20297</v>
      </c>
      <c r="F4521" t="s">
        <v>28198</v>
      </c>
      <c r="G4521" t="s">
        <v>28205</v>
      </c>
      <c r="H4521" t="s">
        <v>28214</v>
      </c>
      <c r="I4521" t="s">
        <v>5100</v>
      </c>
      <c r="J4521" t="s">
        <v>28413</v>
      </c>
      <c r="K4521" t="s">
        <v>36688</v>
      </c>
      <c r="M4521" t="s">
        <v>38700</v>
      </c>
      <c r="N4521" t="s">
        <v>40436</v>
      </c>
      <c r="O4521" t="s">
        <v>40437</v>
      </c>
      <c r="P4521">
        <v>0</v>
      </c>
      <c r="Q4521">
        <v>0</v>
      </c>
      <c r="R4521" t="s">
        <v>40439</v>
      </c>
      <c r="S4521" t="s">
        <v>40588</v>
      </c>
      <c r="T4521" t="s">
        <v>42175</v>
      </c>
      <c r="U4521" t="s">
        <v>46472</v>
      </c>
      <c r="W4521" t="s">
        <v>38700</v>
      </c>
      <c r="X4521" t="s">
        <v>40440</v>
      </c>
    </row>
    <row r="4522" spans="1:24">
      <c r="A4522">
        <f>HYPERLINK("https://www.philgeps.gov.ph/GEPSNONPILOT/Tender/SplashBidNoticeAbstractUI.aspx?menuIndex=3&amp;refID=7046863&amp;Result=3","7046863")</f>
        <v>0</v>
      </c>
      <c r="B4522" t="s">
        <v>1614</v>
      </c>
      <c r="C4522" t="s">
        <v>7406</v>
      </c>
      <c r="D4522" t="s">
        <v>16222</v>
      </c>
      <c r="E4522" t="s">
        <v>16537</v>
      </c>
      <c r="F4522" t="s">
        <v>28200</v>
      </c>
      <c r="G4522" t="s">
        <v>28205</v>
      </c>
      <c r="H4522" t="s">
        <v>28215</v>
      </c>
      <c r="I4522" t="s">
        <v>5100</v>
      </c>
      <c r="J4522" t="s">
        <v>31255</v>
      </c>
      <c r="K4522" t="s">
        <v>36706</v>
      </c>
      <c r="M4522" t="s">
        <v>38701</v>
      </c>
      <c r="N4522" t="s">
        <v>40436</v>
      </c>
      <c r="O4522" t="s">
        <v>40437</v>
      </c>
      <c r="P4522">
        <v>0</v>
      </c>
      <c r="Q4522">
        <v>1</v>
      </c>
      <c r="R4522" t="s">
        <v>40439</v>
      </c>
      <c r="S4522" t="s">
        <v>40588</v>
      </c>
      <c r="T4522" t="s">
        <v>42234</v>
      </c>
      <c r="U4522" t="s">
        <v>46473</v>
      </c>
      <c r="W4522" t="s">
        <v>38701</v>
      </c>
      <c r="X4522" t="s">
        <v>40440</v>
      </c>
    </row>
    <row r="4523" spans="1:24">
      <c r="A4523">
        <f>HYPERLINK("https://www.philgeps.gov.ph/GEPSNONPILOT/Tender/SplashBidNoticeAbstractUI.aspx?menuIndex=3&amp;refID=7046874&amp;Result=3","7046874")</f>
        <v>0</v>
      </c>
      <c r="B4523" t="s">
        <v>1609</v>
      </c>
      <c r="C4523" t="s">
        <v>7407</v>
      </c>
      <c r="D4523" t="s">
        <v>16260</v>
      </c>
      <c r="E4523" t="s">
        <v>18038</v>
      </c>
      <c r="F4523" t="s">
        <v>28198</v>
      </c>
      <c r="G4523" t="s">
        <v>28205</v>
      </c>
      <c r="H4523" t="s">
        <v>28214</v>
      </c>
      <c r="I4523" t="s">
        <v>3797</v>
      </c>
      <c r="J4523" t="s">
        <v>31256</v>
      </c>
      <c r="K4523" t="s">
        <v>36816</v>
      </c>
      <c r="M4523" t="s">
        <v>38696</v>
      </c>
      <c r="N4523" t="s">
        <v>40436</v>
      </c>
      <c r="O4523" t="s">
        <v>40437</v>
      </c>
      <c r="P4523">
        <v>0</v>
      </c>
      <c r="Q4523">
        <v>0</v>
      </c>
      <c r="R4523" t="s">
        <v>40439</v>
      </c>
      <c r="S4523" t="s">
        <v>40588</v>
      </c>
      <c r="T4523" t="s">
        <v>42106</v>
      </c>
      <c r="U4523" t="s">
        <v>46474</v>
      </c>
      <c r="W4523" t="s">
        <v>38696</v>
      </c>
      <c r="X4523" t="s">
        <v>40440</v>
      </c>
    </row>
    <row r="4524" spans="1:24">
      <c r="A4524">
        <f>HYPERLINK("https://www.philgeps.gov.ph/GEPSNONPILOT/Tender/SplashBidNoticeAbstractUI.aspx?menuIndex=3&amp;refID=7046873&amp;Result=3","7046873")</f>
        <v>0</v>
      </c>
      <c r="B4524" t="s">
        <v>1615</v>
      </c>
      <c r="C4524" t="s">
        <v>7408</v>
      </c>
      <c r="D4524" t="s">
        <v>16274</v>
      </c>
      <c r="E4524" t="s">
        <v>20298</v>
      </c>
      <c r="F4524" t="s">
        <v>28198</v>
      </c>
      <c r="G4524" t="s">
        <v>28205</v>
      </c>
      <c r="H4524" t="s">
        <v>28214</v>
      </c>
      <c r="I4524" t="s">
        <v>3797</v>
      </c>
      <c r="J4524" t="s">
        <v>28398</v>
      </c>
      <c r="K4524" t="s">
        <v>36701</v>
      </c>
      <c r="M4524" t="s">
        <v>38702</v>
      </c>
      <c r="N4524" t="s">
        <v>40436</v>
      </c>
      <c r="O4524" t="s">
        <v>40437</v>
      </c>
      <c r="P4524">
        <v>0</v>
      </c>
      <c r="Q4524">
        <v>1</v>
      </c>
      <c r="R4524" t="s">
        <v>40439</v>
      </c>
      <c r="S4524" t="s">
        <v>40588</v>
      </c>
      <c r="T4524" t="s">
        <v>42098</v>
      </c>
      <c r="U4524" t="s">
        <v>46475</v>
      </c>
      <c r="W4524" t="s">
        <v>55491</v>
      </c>
      <c r="X4524" t="s">
        <v>40440</v>
      </c>
    </row>
    <row r="4525" spans="1:24">
      <c r="A4525">
        <f>HYPERLINK("https://www.philgeps.gov.ph/GEPSNONPILOT/Tender/SplashBidNoticeAbstractUI.aspx?menuIndex=3&amp;refID=7046878&amp;Result=3","7046878")</f>
        <v>0</v>
      </c>
      <c r="B4525" t="s">
        <v>1616</v>
      </c>
      <c r="C4525" t="s">
        <v>7409</v>
      </c>
      <c r="D4525" t="s">
        <v>16260</v>
      </c>
      <c r="E4525" t="s">
        <v>20299</v>
      </c>
      <c r="F4525" t="s">
        <v>28198</v>
      </c>
      <c r="G4525" t="s">
        <v>28207</v>
      </c>
      <c r="H4525" t="s">
        <v>28215</v>
      </c>
      <c r="I4525" t="s">
        <v>28238</v>
      </c>
      <c r="J4525" t="s">
        <v>31257</v>
      </c>
      <c r="K4525" t="s">
        <v>36687</v>
      </c>
      <c r="M4525" t="s">
        <v>38703</v>
      </c>
      <c r="N4525" t="s">
        <v>40436</v>
      </c>
      <c r="O4525" t="s">
        <v>40437</v>
      </c>
      <c r="P4525">
        <v>0</v>
      </c>
      <c r="Q4525">
        <v>5</v>
      </c>
      <c r="R4525" t="s">
        <v>40439</v>
      </c>
      <c r="S4525" t="s">
        <v>40588</v>
      </c>
      <c r="T4525" t="s">
        <v>42158</v>
      </c>
      <c r="U4525" t="s">
        <v>46476</v>
      </c>
      <c r="V4525" t="s">
        <v>54236</v>
      </c>
      <c r="W4525" t="s">
        <v>38703</v>
      </c>
      <c r="X4525" t="s">
        <v>40440</v>
      </c>
    </row>
    <row r="4526" spans="1:24">
      <c r="A4526">
        <f>HYPERLINK("https://www.philgeps.gov.ph/GEPSNONPILOT/Tender/SplashBidNoticeAbstractUI.aspx?menuIndex=3&amp;refID=7046861&amp;Result=3","7046861")</f>
        <v>0</v>
      </c>
      <c r="B4526" t="s">
        <v>1612</v>
      </c>
      <c r="C4526" t="s">
        <v>7410</v>
      </c>
      <c r="D4526" t="s">
        <v>16232</v>
      </c>
      <c r="E4526" t="s">
        <v>20300</v>
      </c>
      <c r="F4526" t="s">
        <v>28198</v>
      </c>
      <c r="G4526" t="s">
        <v>28205</v>
      </c>
      <c r="H4526" t="s">
        <v>28214</v>
      </c>
      <c r="I4526" t="s">
        <v>3797</v>
      </c>
      <c r="J4526" t="s">
        <v>31258</v>
      </c>
      <c r="K4526" t="s">
        <v>36753</v>
      </c>
      <c r="M4526" t="s">
        <v>38699</v>
      </c>
      <c r="N4526" t="s">
        <v>40436</v>
      </c>
      <c r="O4526" t="s">
        <v>40437</v>
      </c>
      <c r="P4526">
        <v>0</v>
      </c>
      <c r="Q4526">
        <v>1</v>
      </c>
      <c r="R4526" t="s">
        <v>40439</v>
      </c>
      <c r="S4526" t="s">
        <v>40588</v>
      </c>
      <c r="T4526" t="s">
        <v>42110</v>
      </c>
      <c r="U4526" t="s">
        <v>46477</v>
      </c>
      <c r="W4526" t="s">
        <v>38699</v>
      </c>
      <c r="X4526" t="s">
        <v>40440</v>
      </c>
    </row>
    <row r="4527" spans="1:24">
      <c r="A4527">
        <f>HYPERLINK("https://www.philgeps.gov.ph/GEPSNONPILOT/Tender/SplashBidNoticeAbstractUI.aspx?menuIndex=3&amp;refID=7046880&amp;Result=3","7046880")</f>
        <v>0</v>
      </c>
      <c r="B4527" t="s">
        <v>1212</v>
      </c>
      <c r="C4527" t="s">
        <v>7411</v>
      </c>
      <c r="D4527" t="s">
        <v>16264</v>
      </c>
      <c r="E4527" t="s">
        <v>20301</v>
      </c>
      <c r="F4527" t="s">
        <v>28198</v>
      </c>
      <c r="G4527" t="s">
        <v>28207</v>
      </c>
      <c r="H4527" t="s">
        <v>28214</v>
      </c>
      <c r="I4527" t="s">
        <v>3797</v>
      </c>
      <c r="J4527" t="s">
        <v>30367</v>
      </c>
      <c r="K4527" t="s">
        <v>36701</v>
      </c>
      <c r="M4527" t="s">
        <v>38257</v>
      </c>
      <c r="N4527" t="s">
        <v>40436</v>
      </c>
      <c r="O4527" t="s">
        <v>40437</v>
      </c>
      <c r="P4527">
        <v>0</v>
      </c>
      <c r="Q4527">
        <v>0</v>
      </c>
      <c r="R4527" t="s">
        <v>40439</v>
      </c>
      <c r="S4527" t="s">
        <v>40588</v>
      </c>
      <c r="T4527" t="s">
        <v>42131</v>
      </c>
      <c r="U4527" t="s">
        <v>46478</v>
      </c>
      <c r="W4527" t="s">
        <v>38257</v>
      </c>
      <c r="X4527" t="s">
        <v>40440</v>
      </c>
    </row>
    <row r="4528" spans="1:24">
      <c r="A4528">
        <f>HYPERLINK("https://www.philgeps.gov.ph/GEPSNONPILOT/Tender/SplashBidNoticeAbstractUI.aspx?menuIndex=3&amp;refID=7046877&amp;Result=3","7046877")</f>
        <v>0</v>
      </c>
      <c r="B4528" t="s">
        <v>1591</v>
      </c>
      <c r="C4528" t="s">
        <v>7412</v>
      </c>
      <c r="D4528" t="s">
        <v>16244</v>
      </c>
      <c r="E4528" t="s">
        <v>20302</v>
      </c>
      <c r="F4528" t="s">
        <v>28198</v>
      </c>
      <c r="G4528" t="s">
        <v>28207</v>
      </c>
      <c r="H4528" t="s">
        <v>28215</v>
      </c>
      <c r="I4528" t="s">
        <v>6013</v>
      </c>
      <c r="J4528" t="s">
        <v>31259</v>
      </c>
      <c r="K4528" t="s">
        <v>36693</v>
      </c>
      <c r="M4528" t="s">
        <v>38677</v>
      </c>
      <c r="N4528" t="s">
        <v>40436</v>
      </c>
      <c r="O4528" t="s">
        <v>40437</v>
      </c>
      <c r="P4528">
        <v>0</v>
      </c>
      <c r="Q4528">
        <v>0</v>
      </c>
      <c r="R4528" t="s">
        <v>40439</v>
      </c>
      <c r="S4528" t="s">
        <v>40588</v>
      </c>
      <c r="T4528" t="s">
        <v>42131</v>
      </c>
      <c r="U4528" t="s">
        <v>46479</v>
      </c>
      <c r="W4528" t="s">
        <v>38677</v>
      </c>
      <c r="X4528" t="s">
        <v>40440</v>
      </c>
    </row>
    <row r="4529" spans="1:24">
      <c r="A4529">
        <f>HYPERLINK("https://www.philgeps.gov.ph/GEPSNONPILOT/Tender/SplashBidNoticeAbstractUI.aspx?menuIndex=3&amp;refID=7046879&amp;Result=3","7046879")</f>
        <v>0</v>
      </c>
      <c r="B4529" t="s">
        <v>1617</v>
      </c>
      <c r="C4529" t="s">
        <v>5821</v>
      </c>
      <c r="D4529" t="s">
        <v>16210</v>
      </c>
      <c r="E4529" t="s">
        <v>20303</v>
      </c>
      <c r="F4529" t="s">
        <v>28198</v>
      </c>
      <c r="G4529" t="s">
        <v>28207</v>
      </c>
      <c r="H4529" t="s">
        <v>28215</v>
      </c>
      <c r="I4529" t="s">
        <v>28247</v>
      </c>
      <c r="J4529" t="s">
        <v>30178</v>
      </c>
      <c r="K4529" t="s">
        <v>36689</v>
      </c>
      <c r="M4529" t="s">
        <v>38704</v>
      </c>
      <c r="N4529" t="s">
        <v>40436</v>
      </c>
      <c r="O4529" t="s">
        <v>40437</v>
      </c>
      <c r="P4529">
        <v>0</v>
      </c>
      <c r="Q4529">
        <v>18</v>
      </c>
      <c r="R4529" t="s">
        <v>40439</v>
      </c>
      <c r="S4529" t="s">
        <v>40588</v>
      </c>
      <c r="T4529" t="s">
        <v>42103</v>
      </c>
      <c r="U4529" t="s">
        <v>46476</v>
      </c>
      <c r="W4529" t="s">
        <v>38704</v>
      </c>
      <c r="X4529" t="s">
        <v>40440</v>
      </c>
    </row>
    <row r="4530" spans="1:24">
      <c r="A4530">
        <f>HYPERLINK("https://www.philgeps.gov.ph/GEPSNONPILOT/Tender/SplashBidNoticeAbstractUI.aspx?menuIndex=3&amp;refID=7046893&amp;Result=3","7046893")</f>
        <v>0</v>
      </c>
      <c r="B4530" t="s">
        <v>1618</v>
      </c>
      <c r="C4530" t="s">
        <v>7413</v>
      </c>
      <c r="D4530" t="s">
        <v>16215</v>
      </c>
      <c r="E4530" t="s">
        <v>20304</v>
      </c>
      <c r="F4530" t="s">
        <v>28198</v>
      </c>
      <c r="G4530" t="s">
        <v>28207</v>
      </c>
      <c r="H4530" t="s">
        <v>28215</v>
      </c>
      <c r="I4530" t="s">
        <v>28234</v>
      </c>
      <c r="J4530" t="s">
        <v>31260</v>
      </c>
      <c r="K4530" t="s">
        <v>36689</v>
      </c>
      <c r="M4530" t="s">
        <v>38705</v>
      </c>
      <c r="N4530" t="s">
        <v>40436</v>
      </c>
      <c r="O4530" t="s">
        <v>40437</v>
      </c>
      <c r="P4530">
        <v>0</v>
      </c>
      <c r="Q4530">
        <v>0</v>
      </c>
      <c r="R4530" t="s">
        <v>40439</v>
      </c>
      <c r="S4530" t="s">
        <v>40588</v>
      </c>
      <c r="T4530" t="s">
        <v>42158</v>
      </c>
      <c r="U4530" t="s">
        <v>46480</v>
      </c>
      <c r="W4530" t="s">
        <v>55492</v>
      </c>
      <c r="X4530" t="s">
        <v>40440</v>
      </c>
    </row>
    <row r="4531" spans="1:24">
      <c r="A4531">
        <f>HYPERLINK("https://www.philgeps.gov.ph/GEPSNONPILOT/Tender/SplashBidNoticeAbstractUI.aspx?menuIndex=3&amp;refID=7046870&amp;Result=3","7046870")</f>
        <v>0</v>
      </c>
      <c r="B4531" t="s">
        <v>1619</v>
      </c>
      <c r="C4531" t="s">
        <v>7414</v>
      </c>
      <c r="D4531" t="s">
        <v>16190</v>
      </c>
      <c r="E4531" t="s">
        <v>20305</v>
      </c>
      <c r="F4531" t="s">
        <v>28198</v>
      </c>
      <c r="G4531" t="s">
        <v>28207</v>
      </c>
      <c r="H4531" t="s">
        <v>28215</v>
      </c>
      <c r="I4531" t="s">
        <v>5656</v>
      </c>
      <c r="J4531" t="s">
        <v>31261</v>
      </c>
      <c r="K4531" t="s">
        <v>36707</v>
      </c>
      <c r="M4531" t="s">
        <v>38706</v>
      </c>
      <c r="N4531" t="s">
        <v>40436</v>
      </c>
      <c r="O4531" t="s">
        <v>40437</v>
      </c>
      <c r="P4531">
        <v>0</v>
      </c>
      <c r="Q4531">
        <v>0</v>
      </c>
      <c r="R4531" t="s">
        <v>40439</v>
      </c>
      <c r="S4531" t="s">
        <v>40588</v>
      </c>
      <c r="T4531" t="s">
        <v>42190</v>
      </c>
      <c r="U4531" t="s">
        <v>46481</v>
      </c>
      <c r="W4531" t="s">
        <v>38706</v>
      </c>
      <c r="X4531" t="s">
        <v>40440</v>
      </c>
    </row>
    <row r="4532" spans="1:24">
      <c r="A4532">
        <f>HYPERLINK("https://www.philgeps.gov.ph/GEPSNONPILOT/Tender/SplashBidNoticeAbstractUI.aspx?menuIndex=3&amp;refID=7046895&amp;Result=3","7046895")</f>
        <v>0</v>
      </c>
      <c r="B4532" t="s">
        <v>1593</v>
      </c>
      <c r="C4532" t="s">
        <v>7415</v>
      </c>
      <c r="D4532" t="s">
        <v>16215</v>
      </c>
      <c r="E4532" t="s">
        <v>20306</v>
      </c>
      <c r="F4532" t="s">
        <v>28198</v>
      </c>
      <c r="G4532" t="s">
        <v>28206</v>
      </c>
      <c r="H4532" t="s">
        <v>28215</v>
      </c>
      <c r="I4532" t="s">
        <v>28235</v>
      </c>
      <c r="J4532" t="s">
        <v>28642</v>
      </c>
      <c r="K4532" t="s">
        <v>36689</v>
      </c>
      <c r="M4532" t="s">
        <v>38680</v>
      </c>
      <c r="N4532" t="s">
        <v>40436</v>
      </c>
      <c r="O4532" t="s">
        <v>40437</v>
      </c>
      <c r="P4532">
        <v>0</v>
      </c>
      <c r="Q4532">
        <v>0</v>
      </c>
      <c r="R4532" t="s">
        <v>40439</v>
      </c>
      <c r="S4532" t="s">
        <v>40588</v>
      </c>
      <c r="T4532" t="s">
        <v>42160</v>
      </c>
      <c r="U4532" t="s">
        <v>46482</v>
      </c>
      <c r="W4532" t="s">
        <v>38680</v>
      </c>
      <c r="X4532" t="s">
        <v>40440</v>
      </c>
    </row>
    <row r="4533" spans="1:24">
      <c r="A4533">
        <f>HYPERLINK("https://www.philgeps.gov.ph/GEPSNONPILOT/Tender/SplashBidNoticeAbstractUI.aspx?menuIndex=3&amp;refID=7046889&amp;Result=3","7046889")</f>
        <v>0</v>
      </c>
      <c r="B4533" t="s">
        <v>1591</v>
      </c>
      <c r="C4533" t="s">
        <v>7416</v>
      </c>
      <c r="D4533" t="s">
        <v>16244</v>
      </c>
      <c r="E4533" t="s">
        <v>20307</v>
      </c>
      <c r="F4533" t="s">
        <v>28198</v>
      </c>
      <c r="G4533" t="s">
        <v>28207</v>
      </c>
      <c r="H4533" t="s">
        <v>28215</v>
      </c>
      <c r="I4533" t="s">
        <v>28246</v>
      </c>
      <c r="J4533" t="s">
        <v>28597</v>
      </c>
      <c r="K4533" t="s">
        <v>36693</v>
      </c>
      <c r="M4533" t="s">
        <v>38677</v>
      </c>
      <c r="N4533" t="s">
        <v>40436</v>
      </c>
      <c r="O4533" t="s">
        <v>40437</v>
      </c>
      <c r="P4533">
        <v>0</v>
      </c>
      <c r="Q4533">
        <v>0</v>
      </c>
      <c r="R4533" t="s">
        <v>40439</v>
      </c>
      <c r="S4533" t="s">
        <v>40588</v>
      </c>
      <c r="T4533" t="s">
        <v>42141</v>
      </c>
      <c r="U4533" t="s">
        <v>46483</v>
      </c>
      <c r="W4533" t="s">
        <v>38677</v>
      </c>
      <c r="X4533" t="s">
        <v>40440</v>
      </c>
    </row>
    <row r="4534" spans="1:24">
      <c r="A4534">
        <f>HYPERLINK("https://www.philgeps.gov.ph/GEPSNONPILOT/Tender/SplashBidNoticeAbstractUI.aspx?menuIndex=3&amp;refID=7046883&amp;Result=3","7046883")</f>
        <v>0</v>
      </c>
      <c r="B4534" t="s">
        <v>65</v>
      </c>
      <c r="C4534" t="s">
        <v>7417</v>
      </c>
      <c r="D4534" t="s">
        <v>16210</v>
      </c>
      <c r="E4534" t="s">
        <v>20308</v>
      </c>
      <c r="F4534" t="s">
        <v>28198</v>
      </c>
      <c r="G4534" t="s">
        <v>28207</v>
      </c>
      <c r="H4534" t="s">
        <v>28215</v>
      </c>
      <c r="I4534" t="s">
        <v>4200</v>
      </c>
      <c r="J4534" t="s">
        <v>31262</v>
      </c>
      <c r="K4534" t="s">
        <v>36689</v>
      </c>
      <c r="M4534" t="s">
        <v>38707</v>
      </c>
      <c r="N4534" t="s">
        <v>40436</v>
      </c>
      <c r="O4534" t="s">
        <v>40437</v>
      </c>
      <c r="P4534">
        <v>0</v>
      </c>
      <c r="Q4534">
        <v>0</v>
      </c>
      <c r="R4534" t="s">
        <v>40439</v>
      </c>
      <c r="S4534" t="s">
        <v>40588</v>
      </c>
      <c r="T4534" t="s">
        <v>42137</v>
      </c>
      <c r="U4534" t="s">
        <v>46484</v>
      </c>
      <c r="W4534" t="s">
        <v>38707</v>
      </c>
      <c r="X4534" t="s">
        <v>40440</v>
      </c>
    </row>
    <row r="4535" spans="1:24">
      <c r="A4535">
        <f>HYPERLINK("https://www.philgeps.gov.ph/GEPSNONPILOT/Tender/SplashBidNoticeAbstractUI.aspx?menuIndex=3&amp;refID=7046888&amp;Result=3","7046888")</f>
        <v>0</v>
      </c>
      <c r="B4535" t="s">
        <v>65</v>
      </c>
      <c r="C4535" t="s">
        <v>7418</v>
      </c>
      <c r="D4535" t="s">
        <v>16210</v>
      </c>
      <c r="E4535" t="s">
        <v>20309</v>
      </c>
      <c r="F4535" t="s">
        <v>28198</v>
      </c>
      <c r="G4535" t="s">
        <v>28207</v>
      </c>
      <c r="H4535" t="s">
        <v>28215</v>
      </c>
      <c r="I4535" t="s">
        <v>5100</v>
      </c>
      <c r="J4535" t="s">
        <v>31263</v>
      </c>
      <c r="K4535" t="s">
        <v>36689</v>
      </c>
      <c r="M4535" t="s">
        <v>38707</v>
      </c>
      <c r="N4535" t="s">
        <v>40436</v>
      </c>
      <c r="O4535" t="s">
        <v>40437</v>
      </c>
      <c r="P4535">
        <v>0</v>
      </c>
      <c r="Q4535">
        <v>0</v>
      </c>
      <c r="R4535" t="s">
        <v>40439</v>
      </c>
      <c r="S4535" t="s">
        <v>40588</v>
      </c>
      <c r="T4535" t="s">
        <v>42137</v>
      </c>
      <c r="U4535" t="s">
        <v>46485</v>
      </c>
      <c r="W4535" t="s">
        <v>38707</v>
      </c>
      <c r="X4535" t="s">
        <v>40440</v>
      </c>
    </row>
    <row r="4536" spans="1:24">
      <c r="A4536">
        <f>HYPERLINK("https://www.philgeps.gov.ph/GEPSNONPILOT/Tender/SplashBidNoticeAbstractUI.aspx?menuIndex=3&amp;refID=7046892&amp;Result=3","7046892")</f>
        <v>0</v>
      </c>
      <c r="B4536" t="s">
        <v>1619</v>
      </c>
      <c r="C4536" t="s">
        <v>7419</v>
      </c>
      <c r="D4536" t="s">
        <v>16190</v>
      </c>
      <c r="E4536" t="s">
        <v>20310</v>
      </c>
      <c r="F4536" t="s">
        <v>28198</v>
      </c>
      <c r="G4536" t="s">
        <v>28207</v>
      </c>
      <c r="H4536" t="s">
        <v>28215</v>
      </c>
      <c r="I4536" t="s">
        <v>5656</v>
      </c>
      <c r="J4536" t="s">
        <v>31264</v>
      </c>
      <c r="K4536" t="s">
        <v>36707</v>
      </c>
      <c r="M4536" t="s">
        <v>38706</v>
      </c>
      <c r="N4536" t="s">
        <v>40436</v>
      </c>
      <c r="O4536" t="s">
        <v>40437</v>
      </c>
      <c r="P4536">
        <v>0</v>
      </c>
      <c r="Q4536">
        <v>0</v>
      </c>
      <c r="R4536" t="s">
        <v>40439</v>
      </c>
      <c r="S4536" t="s">
        <v>40588</v>
      </c>
      <c r="T4536" t="s">
        <v>42158</v>
      </c>
      <c r="U4536" t="s">
        <v>46486</v>
      </c>
      <c r="W4536" t="s">
        <v>38706</v>
      </c>
      <c r="X4536" t="s">
        <v>40440</v>
      </c>
    </row>
    <row r="4537" spans="1:24">
      <c r="A4537">
        <f>HYPERLINK("https://www.philgeps.gov.ph/GEPSNONPILOT/Tender/SplashBidNoticeAbstractUI.aspx?menuIndex=3&amp;refID=7046886&amp;Result=3","7046886")</f>
        <v>0</v>
      </c>
      <c r="B4537" t="s">
        <v>1618</v>
      </c>
      <c r="C4537" t="s">
        <v>7420</v>
      </c>
      <c r="D4537" t="s">
        <v>16215</v>
      </c>
      <c r="E4537" t="s">
        <v>20311</v>
      </c>
      <c r="F4537" t="s">
        <v>28198</v>
      </c>
      <c r="G4537" t="s">
        <v>28207</v>
      </c>
      <c r="H4537" t="s">
        <v>28215</v>
      </c>
      <c r="I4537" t="s">
        <v>28234</v>
      </c>
      <c r="J4537" t="s">
        <v>31265</v>
      </c>
      <c r="K4537" t="s">
        <v>36689</v>
      </c>
      <c r="M4537" t="s">
        <v>38705</v>
      </c>
      <c r="N4537" t="s">
        <v>40436</v>
      </c>
      <c r="O4537" t="s">
        <v>40437</v>
      </c>
      <c r="P4537">
        <v>0</v>
      </c>
      <c r="Q4537">
        <v>1</v>
      </c>
      <c r="R4537" t="s">
        <v>40439</v>
      </c>
      <c r="S4537" t="s">
        <v>40588</v>
      </c>
      <c r="T4537" t="s">
        <v>42158</v>
      </c>
      <c r="U4537" t="s">
        <v>46487</v>
      </c>
      <c r="W4537" t="s">
        <v>55492</v>
      </c>
      <c r="X4537" t="s">
        <v>40440</v>
      </c>
    </row>
    <row r="4538" spans="1:24">
      <c r="A4538">
        <f>HYPERLINK("https://www.philgeps.gov.ph/GEPSNONPILOT/Tender/SplashBidNoticeAbstractUI.aspx?menuIndex=3&amp;refID=7046894&amp;Result=3","7046894")</f>
        <v>0</v>
      </c>
      <c r="B4538" t="s">
        <v>1617</v>
      </c>
      <c r="C4538" t="s">
        <v>5821</v>
      </c>
      <c r="D4538" t="s">
        <v>16210</v>
      </c>
      <c r="E4538" t="s">
        <v>20312</v>
      </c>
      <c r="F4538" t="s">
        <v>28198</v>
      </c>
      <c r="G4538" t="s">
        <v>28207</v>
      </c>
      <c r="H4538" t="s">
        <v>28215</v>
      </c>
      <c r="I4538" t="s">
        <v>28247</v>
      </c>
      <c r="J4538" t="s">
        <v>30797</v>
      </c>
      <c r="K4538" t="s">
        <v>36689</v>
      </c>
      <c r="M4538" t="s">
        <v>38704</v>
      </c>
      <c r="N4538" t="s">
        <v>40436</v>
      </c>
      <c r="O4538" t="s">
        <v>40437</v>
      </c>
      <c r="P4538">
        <v>0</v>
      </c>
      <c r="Q4538">
        <v>17</v>
      </c>
      <c r="R4538" t="s">
        <v>40439</v>
      </c>
      <c r="S4538" t="s">
        <v>40588</v>
      </c>
      <c r="T4538" t="s">
        <v>42103</v>
      </c>
      <c r="U4538" t="s">
        <v>46476</v>
      </c>
      <c r="W4538" t="s">
        <v>38704</v>
      </c>
      <c r="X4538" t="s">
        <v>40440</v>
      </c>
    </row>
    <row r="4539" spans="1:24">
      <c r="A4539">
        <f>HYPERLINK("https://www.philgeps.gov.ph/GEPSNONPILOT/Tender/SplashBidNoticeAbstractUI.aspx?menuIndex=3&amp;refID=7046869&amp;Result=3","7046869")</f>
        <v>0</v>
      </c>
      <c r="B4539" t="s">
        <v>1615</v>
      </c>
      <c r="C4539" t="s">
        <v>7421</v>
      </c>
      <c r="D4539" t="s">
        <v>16274</v>
      </c>
      <c r="E4539" t="s">
        <v>20313</v>
      </c>
      <c r="F4539" t="s">
        <v>28198</v>
      </c>
      <c r="G4539" t="s">
        <v>28205</v>
      </c>
      <c r="H4539" t="s">
        <v>28214</v>
      </c>
      <c r="I4539" t="s">
        <v>3797</v>
      </c>
      <c r="J4539" t="s">
        <v>30991</v>
      </c>
      <c r="K4539" t="s">
        <v>36717</v>
      </c>
      <c r="M4539" t="s">
        <v>38702</v>
      </c>
      <c r="N4539" t="s">
        <v>40436</v>
      </c>
      <c r="O4539" t="s">
        <v>40437</v>
      </c>
      <c r="P4539">
        <v>0</v>
      </c>
      <c r="Q4539">
        <v>1</v>
      </c>
      <c r="R4539" t="s">
        <v>40439</v>
      </c>
      <c r="S4539" t="s">
        <v>40588</v>
      </c>
      <c r="T4539" t="s">
        <v>42296</v>
      </c>
      <c r="U4539" t="s">
        <v>46488</v>
      </c>
      <c r="W4539" t="s">
        <v>55491</v>
      </c>
      <c r="X4539" t="s">
        <v>40440</v>
      </c>
    </row>
    <row r="4540" spans="1:24">
      <c r="A4540">
        <f>HYPERLINK("https://www.philgeps.gov.ph/GEPSNONPILOT/Tender/SplashBidNoticeAbstractUI.aspx?menuIndex=3&amp;refID=7046916&amp;Result=3","7046916")</f>
        <v>0</v>
      </c>
      <c r="B4540" t="s">
        <v>1591</v>
      </c>
      <c r="C4540" t="s">
        <v>7422</v>
      </c>
      <c r="D4540" t="s">
        <v>16244</v>
      </c>
      <c r="E4540" t="s">
        <v>20314</v>
      </c>
      <c r="F4540" t="s">
        <v>28198</v>
      </c>
      <c r="G4540" t="s">
        <v>28207</v>
      </c>
      <c r="H4540" t="s">
        <v>28215</v>
      </c>
      <c r="I4540" t="s">
        <v>28246</v>
      </c>
      <c r="J4540" t="s">
        <v>28398</v>
      </c>
      <c r="K4540" t="s">
        <v>36693</v>
      </c>
      <c r="M4540" t="s">
        <v>38677</v>
      </c>
      <c r="N4540" t="s">
        <v>40436</v>
      </c>
      <c r="O4540" t="s">
        <v>40437</v>
      </c>
      <c r="P4540">
        <v>0</v>
      </c>
      <c r="Q4540">
        <v>0</v>
      </c>
      <c r="R4540" t="s">
        <v>40439</v>
      </c>
      <c r="S4540" t="s">
        <v>40588</v>
      </c>
      <c r="T4540" t="s">
        <v>42141</v>
      </c>
      <c r="U4540" t="s">
        <v>46489</v>
      </c>
      <c r="W4540" t="s">
        <v>38677</v>
      </c>
      <c r="X4540" t="s">
        <v>40440</v>
      </c>
    </row>
    <row r="4541" spans="1:24">
      <c r="A4541">
        <f>HYPERLINK("https://www.philgeps.gov.ph/GEPSNONPILOT/Tender/SplashBidNoticeAbstractUI.aspx?menuIndex=3&amp;refID=7046896&amp;Result=3","7046896")</f>
        <v>0</v>
      </c>
      <c r="B4541" t="s">
        <v>1600</v>
      </c>
      <c r="C4541" t="s">
        <v>7423</v>
      </c>
      <c r="D4541" t="s">
        <v>16210</v>
      </c>
      <c r="E4541" t="s">
        <v>20315</v>
      </c>
      <c r="F4541" t="s">
        <v>28198</v>
      </c>
      <c r="G4541" t="s">
        <v>28207</v>
      </c>
      <c r="H4541" t="s">
        <v>28217</v>
      </c>
      <c r="I4541" t="s">
        <v>7310</v>
      </c>
      <c r="J4541" t="s">
        <v>31266</v>
      </c>
      <c r="K4541" t="s">
        <v>36756</v>
      </c>
      <c r="M4541" t="s">
        <v>38687</v>
      </c>
      <c r="N4541" t="s">
        <v>40436</v>
      </c>
      <c r="O4541" t="s">
        <v>40437</v>
      </c>
      <c r="P4541">
        <v>0</v>
      </c>
      <c r="Q4541">
        <v>1</v>
      </c>
      <c r="R4541" t="s">
        <v>40439</v>
      </c>
      <c r="S4541" t="s">
        <v>40588</v>
      </c>
      <c r="T4541" t="s">
        <v>42216</v>
      </c>
      <c r="U4541" t="s">
        <v>46446</v>
      </c>
      <c r="W4541" t="s">
        <v>38687</v>
      </c>
      <c r="X4541" t="s">
        <v>40440</v>
      </c>
    </row>
    <row r="4542" spans="1:24">
      <c r="A4542">
        <f>HYPERLINK("https://www.philgeps.gov.ph/GEPSNONPILOT/Tender/SplashBidNoticeAbstractUI.aspx?menuIndex=3&amp;refID=7046913&amp;Result=3","7046913")</f>
        <v>0</v>
      </c>
      <c r="B4542" t="s">
        <v>249</v>
      </c>
      <c r="C4542" t="s">
        <v>7424</v>
      </c>
      <c r="D4542" t="s">
        <v>16254</v>
      </c>
      <c r="E4542" t="s">
        <v>20316</v>
      </c>
      <c r="F4542" t="s">
        <v>28198</v>
      </c>
      <c r="G4542" t="s">
        <v>28205</v>
      </c>
      <c r="H4542" t="s">
        <v>28215</v>
      </c>
      <c r="I4542" t="s">
        <v>8870</v>
      </c>
      <c r="J4542" t="s">
        <v>31267</v>
      </c>
      <c r="K4542" t="s">
        <v>36697</v>
      </c>
      <c r="L4542" t="s">
        <v>249</v>
      </c>
      <c r="M4542" t="s">
        <v>37225</v>
      </c>
      <c r="N4542" t="s">
        <v>40436</v>
      </c>
      <c r="O4542" t="s">
        <v>40437</v>
      </c>
      <c r="P4542">
        <v>0</v>
      </c>
      <c r="Q4542">
        <v>0</v>
      </c>
      <c r="R4542" t="s">
        <v>40439</v>
      </c>
      <c r="S4542" t="s">
        <v>40588</v>
      </c>
      <c r="T4542" t="s">
        <v>42320</v>
      </c>
      <c r="U4542" t="s">
        <v>46490</v>
      </c>
      <c r="V4542" t="s">
        <v>54237</v>
      </c>
      <c r="W4542" t="s">
        <v>37225</v>
      </c>
      <c r="X4542" t="s">
        <v>40440</v>
      </c>
    </row>
    <row r="4543" spans="1:24">
      <c r="A4543">
        <f>HYPERLINK("https://www.philgeps.gov.ph/GEPSNONPILOT/Tender/SplashBidNoticeAbstractUI.aspx?menuIndex=3&amp;refID=7046897&amp;Result=3","7046897")</f>
        <v>0</v>
      </c>
      <c r="B4543" t="s">
        <v>1593</v>
      </c>
      <c r="C4543" t="s">
        <v>7425</v>
      </c>
      <c r="D4543" t="s">
        <v>16215</v>
      </c>
      <c r="E4543" t="s">
        <v>20317</v>
      </c>
      <c r="F4543" t="s">
        <v>28198</v>
      </c>
      <c r="G4543" t="s">
        <v>28206</v>
      </c>
      <c r="H4543" t="s">
        <v>28215</v>
      </c>
      <c r="I4543" t="s">
        <v>4168</v>
      </c>
      <c r="J4543" t="s">
        <v>28519</v>
      </c>
      <c r="K4543" t="s">
        <v>36689</v>
      </c>
      <c r="M4543" t="s">
        <v>38680</v>
      </c>
      <c r="N4543" t="s">
        <v>40436</v>
      </c>
      <c r="O4543" t="s">
        <v>40437</v>
      </c>
      <c r="P4543">
        <v>0</v>
      </c>
      <c r="Q4543">
        <v>0</v>
      </c>
      <c r="R4543" t="s">
        <v>40439</v>
      </c>
      <c r="S4543" t="s">
        <v>40588</v>
      </c>
      <c r="T4543" t="s">
        <v>42129</v>
      </c>
      <c r="U4543" t="s">
        <v>46491</v>
      </c>
      <c r="W4543" t="s">
        <v>38680</v>
      </c>
      <c r="X4543" t="s">
        <v>40440</v>
      </c>
    </row>
    <row r="4544" spans="1:24">
      <c r="A4544">
        <f>HYPERLINK("https://www.philgeps.gov.ph/GEPSNONPILOT/Tender/SplashBidNoticeAbstractUI.aspx?menuIndex=3&amp;refID=7046914&amp;Result=3","7046914")</f>
        <v>0</v>
      </c>
      <c r="B4544" t="s">
        <v>935</v>
      </c>
      <c r="C4544" t="s">
        <v>7426</v>
      </c>
      <c r="D4544" t="s">
        <v>16210</v>
      </c>
      <c r="E4544" t="s">
        <v>20318</v>
      </c>
      <c r="F4544" t="s">
        <v>28198</v>
      </c>
      <c r="G4544" t="s">
        <v>28205</v>
      </c>
      <c r="H4544" t="s">
        <v>28215</v>
      </c>
      <c r="I4544" t="s">
        <v>28291</v>
      </c>
      <c r="J4544" t="s">
        <v>31268</v>
      </c>
      <c r="K4544" t="s">
        <v>36756</v>
      </c>
      <c r="M4544" t="s">
        <v>38708</v>
      </c>
      <c r="N4544" t="s">
        <v>40436</v>
      </c>
      <c r="O4544" t="s">
        <v>40437</v>
      </c>
      <c r="P4544">
        <v>0</v>
      </c>
      <c r="Q4544">
        <v>6</v>
      </c>
      <c r="R4544" t="s">
        <v>40439</v>
      </c>
      <c r="S4544" t="s">
        <v>40588</v>
      </c>
      <c r="T4544" t="s">
        <v>42122</v>
      </c>
      <c r="U4544" t="s">
        <v>46492</v>
      </c>
      <c r="W4544" t="s">
        <v>38708</v>
      </c>
      <c r="X4544" t="s">
        <v>40440</v>
      </c>
    </row>
    <row r="4545" spans="1:24">
      <c r="A4545">
        <f>HYPERLINK("https://www.philgeps.gov.ph/GEPSNONPILOT/Tender/SplashBidNoticeAbstractUI.aspx?menuIndex=3&amp;refID=7046882&amp;Result=3","7046882")</f>
        <v>0</v>
      </c>
      <c r="B4545" t="s">
        <v>1609</v>
      </c>
      <c r="C4545" t="s">
        <v>7427</v>
      </c>
      <c r="D4545" t="s">
        <v>16260</v>
      </c>
      <c r="E4545" t="s">
        <v>16684</v>
      </c>
      <c r="F4545" t="s">
        <v>28198</v>
      </c>
      <c r="G4545" t="s">
        <v>28205</v>
      </c>
      <c r="H4545" t="s">
        <v>28214</v>
      </c>
      <c r="I4545" t="s">
        <v>3797</v>
      </c>
      <c r="J4545" t="s">
        <v>31269</v>
      </c>
      <c r="K4545" t="s">
        <v>36816</v>
      </c>
      <c r="M4545" t="s">
        <v>38696</v>
      </c>
      <c r="N4545" t="s">
        <v>40436</v>
      </c>
      <c r="O4545" t="s">
        <v>40437</v>
      </c>
      <c r="P4545">
        <v>0</v>
      </c>
      <c r="Q4545">
        <v>1</v>
      </c>
      <c r="R4545" t="s">
        <v>40439</v>
      </c>
      <c r="S4545" t="s">
        <v>40588</v>
      </c>
      <c r="T4545" t="s">
        <v>42106</v>
      </c>
      <c r="U4545" t="s">
        <v>46493</v>
      </c>
      <c r="W4545" t="s">
        <v>38696</v>
      </c>
      <c r="X4545" t="s">
        <v>40440</v>
      </c>
    </row>
    <row r="4546" spans="1:24">
      <c r="A4546">
        <f>HYPERLINK("https://www.philgeps.gov.ph/GEPSNONPILOT/Tender/SplashBidNoticeAbstractUI.aspx?menuIndex=3&amp;refID=7046915&amp;Result=3","7046915")</f>
        <v>0</v>
      </c>
      <c r="B4546" t="s">
        <v>763</v>
      </c>
      <c r="C4546" t="s">
        <v>7428</v>
      </c>
      <c r="D4546" t="s">
        <v>16210</v>
      </c>
      <c r="E4546" t="s">
        <v>20319</v>
      </c>
      <c r="F4546" t="s">
        <v>28198</v>
      </c>
      <c r="G4546" t="s">
        <v>28207</v>
      </c>
      <c r="H4546" t="s">
        <v>28215</v>
      </c>
      <c r="I4546" t="s">
        <v>28244</v>
      </c>
      <c r="J4546" t="s">
        <v>28382</v>
      </c>
      <c r="K4546" t="s">
        <v>36689</v>
      </c>
      <c r="M4546" t="s">
        <v>37766</v>
      </c>
      <c r="N4546" t="s">
        <v>40436</v>
      </c>
      <c r="O4546" t="s">
        <v>40437</v>
      </c>
      <c r="P4546">
        <v>0</v>
      </c>
      <c r="Q4546">
        <v>2</v>
      </c>
      <c r="R4546" t="s">
        <v>40439</v>
      </c>
      <c r="S4546" t="s">
        <v>40588</v>
      </c>
      <c r="T4546" t="s">
        <v>42169</v>
      </c>
      <c r="U4546" t="s">
        <v>46494</v>
      </c>
      <c r="W4546" t="s">
        <v>37766</v>
      </c>
      <c r="X4546" t="s">
        <v>40440</v>
      </c>
    </row>
    <row r="4547" spans="1:24">
      <c r="A4547">
        <f>HYPERLINK("https://www.philgeps.gov.ph/GEPSNONPILOT/Tender/SplashBidNoticeAbstractUI.aspx?menuIndex=3&amp;refID=7046885&amp;Result=3","7046885")</f>
        <v>0</v>
      </c>
      <c r="B4547" t="s">
        <v>1593</v>
      </c>
      <c r="C4547" t="s">
        <v>7429</v>
      </c>
      <c r="D4547" t="s">
        <v>16215</v>
      </c>
      <c r="E4547" t="s">
        <v>20320</v>
      </c>
      <c r="F4547" t="s">
        <v>28198</v>
      </c>
      <c r="G4547" t="s">
        <v>28206</v>
      </c>
      <c r="H4547" t="s">
        <v>28215</v>
      </c>
      <c r="I4547" t="s">
        <v>28262</v>
      </c>
      <c r="J4547" t="s">
        <v>30041</v>
      </c>
      <c r="K4547" t="s">
        <v>36689</v>
      </c>
      <c r="M4547" t="s">
        <v>38680</v>
      </c>
      <c r="N4547" t="s">
        <v>40436</v>
      </c>
      <c r="O4547" t="s">
        <v>40437</v>
      </c>
      <c r="P4547">
        <v>0</v>
      </c>
      <c r="Q4547">
        <v>0</v>
      </c>
      <c r="R4547" t="s">
        <v>40439</v>
      </c>
      <c r="S4547" t="s">
        <v>40588</v>
      </c>
      <c r="T4547" t="s">
        <v>42159</v>
      </c>
      <c r="U4547" t="s">
        <v>46495</v>
      </c>
      <c r="W4547" t="s">
        <v>38680</v>
      </c>
      <c r="X4547" t="s">
        <v>40440</v>
      </c>
    </row>
    <row r="4548" spans="1:24">
      <c r="A4548">
        <f>HYPERLINK("https://www.philgeps.gov.ph/GEPSNONPILOT/Tender/SplashBidNoticeAbstractUI.aspx?menuIndex=3&amp;refID=7046911&amp;Result=3","7046911")</f>
        <v>0</v>
      </c>
      <c r="B4548" t="s">
        <v>1620</v>
      </c>
      <c r="C4548" t="s">
        <v>7430</v>
      </c>
      <c r="D4548" t="s">
        <v>16193</v>
      </c>
      <c r="E4548" t="s">
        <v>20321</v>
      </c>
      <c r="F4548" t="s">
        <v>28198</v>
      </c>
      <c r="G4548" t="s">
        <v>28205</v>
      </c>
      <c r="H4548" t="s">
        <v>28214</v>
      </c>
      <c r="I4548" t="s">
        <v>3797</v>
      </c>
      <c r="J4548" t="s">
        <v>31270</v>
      </c>
      <c r="K4548" t="s">
        <v>36694</v>
      </c>
      <c r="M4548" t="s">
        <v>38709</v>
      </c>
      <c r="N4548" t="s">
        <v>40436</v>
      </c>
      <c r="O4548" t="s">
        <v>40437</v>
      </c>
      <c r="P4548">
        <v>0</v>
      </c>
      <c r="Q4548">
        <v>0</v>
      </c>
      <c r="R4548" t="s">
        <v>40439</v>
      </c>
      <c r="S4548" t="s">
        <v>40588</v>
      </c>
      <c r="T4548" t="s">
        <v>42248</v>
      </c>
      <c r="U4548" t="s">
        <v>46496</v>
      </c>
      <c r="V4548" t="s">
        <v>54238</v>
      </c>
      <c r="W4548" t="s">
        <v>38709</v>
      </c>
      <c r="X4548" t="s">
        <v>40440</v>
      </c>
    </row>
    <row r="4549" spans="1:24">
      <c r="A4549">
        <f>HYPERLINK("https://www.philgeps.gov.ph/GEPSNONPILOT/Tender/SplashBidNoticeAbstractUI.aspx?menuIndex=3&amp;refID=7046910&amp;Result=3","7046910")</f>
        <v>0</v>
      </c>
      <c r="B4549" t="s">
        <v>1621</v>
      </c>
      <c r="C4549" t="s">
        <v>7431</v>
      </c>
      <c r="D4549" t="s">
        <v>16196</v>
      </c>
      <c r="E4549" t="s">
        <v>20322</v>
      </c>
      <c r="F4549" t="s">
        <v>28198</v>
      </c>
      <c r="G4549" t="s">
        <v>28205</v>
      </c>
      <c r="H4549" t="s">
        <v>28214</v>
      </c>
      <c r="I4549" t="s">
        <v>3797</v>
      </c>
      <c r="J4549" t="s">
        <v>31271</v>
      </c>
      <c r="K4549" t="s">
        <v>36692</v>
      </c>
      <c r="M4549" t="s">
        <v>38710</v>
      </c>
      <c r="N4549" t="s">
        <v>40436</v>
      </c>
      <c r="O4549" t="s">
        <v>40437</v>
      </c>
      <c r="P4549">
        <v>0</v>
      </c>
      <c r="Q4549">
        <v>25</v>
      </c>
      <c r="R4549" t="s">
        <v>40439</v>
      </c>
      <c r="S4549" t="s">
        <v>40588</v>
      </c>
      <c r="T4549" t="s">
        <v>42098</v>
      </c>
      <c r="U4549" t="s">
        <v>46497</v>
      </c>
      <c r="V4549" t="s">
        <v>54239</v>
      </c>
      <c r="W4549" t="s">
        <v>38710</v>
      </c>
      <c r="X4549" t="s">
        <v>40440</v>
      </c>
    </row>
    <row r="4550" spans="1:24">
      <c r="A4550">
        <f>HYPERLINK("https://www.philgeps.gov.ph/GEPSNONPILOT/Tender/SplashBidNoticeAbstractUI.aspx?menuIndex=3&amp;refID=7046924&amp;Result=3","7046924")</f>
        <v>0</v>
      </c>
      <c r="B4550" t="s">
        <v>1622</v>
      </c>
      <c r="C4550" t="s">
        <v>7432</v>
      </c>
      <c r="D4550" t="s">
        <v>16210</v>
      </c>
      <c r="E4550" t="s">
        <v>20323</v>
      </c>
      <c r="F4550" t="s">
        <v>28198</v>
      </c>
      <c r="G4550" t="s">
        <v>28207</v>
      </c>
      <c r="H4550" t="s">
        <v>28215</v>
      </c>
      <c r="I4550" t="s">
        <v>4168</v>
      </c>
      <c r="J4550" t="s">
        <v>31272</v>
      </c>
      <c r="K4550" t="s">
        <v>36698</v>
      </c>
      <c r="M4550" t="s">
        <v>38711</v>
      </c>
      <c r="N4550" t="s">
        <v>40436</v>
      </c>
      <c r="O4550" t="s">
        <v>40437</v>
      </c>
      <c r="P4550">
        <v>0</v>
      </c>
      <c r="Q4550">
        <v>4</v>
      </c>
      <c r="R4550" t="s">
        <v>40439</v>
      </c>
      <c r="S4550" t="s">
        <v>40588</v>
      </c>
      <c r="T4550" t="s">
        <v>42169</v>
      </c>
      <c r="U4550" t="s">
        <v>46498</v>
      </c>
      <c r="V4550" t="s">
        <v>54240</v>
      </c>
      <c r="W4550" t="s">
        <v>38711</v>
      </c>
      <c r="X4550" t="s">
        <v>40440</v>
      </c>
    </row>
    <row r="4551" spans="1:24">
      <c r="A4551">
        <f>HYPERLINK("https://www.philgeps.gov.ph/GEPSNONPILOT/Tender/SplashBidNoticeAbstractUI.aspx?menuIndex=3&amp;refID=7046909&amp;Result=3","7046909")</f>
        <v>0</v>
      </c>
      <c r="B4551" t="s">
        <v>1591</v>
      </c>
      <c r="C4551" t="s">
        <v>7433</v>
      </c>
      <c r="D4551" t="s">
        <v>16244</v>
      </c>
      <c r="E4551" t="s">
        <v>20324</v>
      </c>
      <c r="F4551" t="s">
        <v>28198</v>
      </c>
      <c r="G4551" t="s">
        <v>28207</v>
      </c>
      <c r="H4551" t="s">
        <v>28215</v>
      </c>
      <c r="I4551" t="s">
        <v>28246</v>
      </c>
      <c r="J4551" t="s">
        <v>28363</v>
      </c>
      <c r="K4551" t="s">
        <v>36693</v>
      </c>
      <c r="M4551" t="s">
        <v>38677</v>
      </c>
      <c r="N4551" t="s">
        <v>40436</v>
      </c>
      <c r="O4551" t="s">
        <v>40437</v>
      </c>
      <c r="P4551">
        <v>0</v>
      </c>
      <c r="Q4551">
        <v>0</v>
      </c>
      <c r="R4551" t="s">
        <v>40439</v>
      </c>
      <c r="S4551" t="s">
        <v>40588</v>
      </c>
      <c r="T4551" t="s">
        <v>42141</v>
      </c>
      <c r="U4551" t="s">
        <v>46499</v>
      </c>
      <c r="W4551" t="s">
        <v>38677</v>
      </c>
      <c r="X4551" t="s">
        <v>40440</v>
      </c>
    </row>
    <row r="4552" spans="1:24">
      <c r="A4552">
        <f>HYPERLINK("https://www.philgeps.gov.ph/GEPSNONPILOT/Tender/SplashBidNoticeAbstractUI.aspx?menuIndex=3&amp;refID=7046906&amp;Result=3","7046906")</f>
        <v>0</v>
      </c>
      <c r="B4552" t="s">
        <v>1623</v>
      </c>
      <c r="C4552" t="s">
        <v>7434</v>
      </c>
      <c r="D4552" t="s">
        <v>16187</v>
      </c>
      <c r="E4552" t="s">
        <v>17935</v>
      </c>
      <c r="F4552" t="s">
        <v>28200</v>
      </c>
      <c r="G4552" t="s">
        <v>28206</v>
      </c>
      <c r="H4552" t="s">
        <v>28215</v>
      </c>
      <c r="I4552" t="s">
        <v>5082</v>
      </c>
      <c r="J4552" t="s">
        <v>31273</v>
      </c>
      <c r="K4552" t="s">
        <v>36688</v>
      </c>
      <c r="M4552" t="s">
        <v>38712</v>
      </c>
      <c r="N4552" t="s">
        <v>40436</v>
      </c>
      <c r="O4552" t="s">
        <v>40437</v>
      </c>
      <c r="P4552">
        <v>0</v>
      </c>
      <c r="Q4552">
        <v>0</v>
      </c>
      <c r="R4552" t="s">
        <v>40439</v>
      </c>
      <c r="S4552" t="s">
        <v>40588</v>
      </c>
      <c r="T4552" t="s">
        <v>42131</v>
      </c>
      <c r="U4552" t="s">
        <v>46500</v>
      </c>
      <c r="W4552" t="s">
        <v>38712</v>
      </c>
      <c r="X4552" t="s">
        <v>40440</v>
      </c>
    </row>
    <row r="4553" spans="1:24">
      <c r="A4553">
        <f>HYPERLINK("https://www.philgeps.gov.ph/GEPSNONPILOT/Tender/SplashBidNoticeAbstractUI.aspx?menuIndex=3&amp;refID=7046918&amp;Result=3","7046918")</f>
        <v>0</v>
      </c>
      <c r="B4553" t="s">
        <v>1619</v>
      </c>
      <c r="C4553" t="s">
        <v>7435</v>
      </c>
      <c r="D4553" t="s">
        <v>16190</v>
      </c>
      <c r="E4553" t="s">
        <v>20325</v>
      </c>
      <c r="F4553" t="s">
        <v>28198</v>
      </c>
      <c r="G4553" t="s">
        <v>28207</v>
      </c>
      <c r="H4553" t="s">
        <v>28217</v>
      </c>
      <c r="I4553" t="s">
        <v>5100</v>
      </c>
      <c r="J4553" t="s">
        <v>31274</v>
      </c>
      <c r="K4553" t="s">
        <v>36707</v>
      </c>
      <c r="M4553" t="s">
        <v>38706</v>
      </c>
      <c r="N4553" t="s">
        <v>40436</v>
      </c>
      <c r="O4553" t="s">
        <v>40437</v>
      </c>
      <c r="P4553">
        <v>0</v>
      </c>
      <c r="Q4553">
        <v>0</v>
      </c>
      <c r="R4553" t="s">
        <v>40439</v>
      </c>
      <c r="S4553" t="s">
        <v>40588</v>
      </c>
      <c r="T4553" t="s">
        <v>42158</v>
      </c>
      <c r="U4553" t="s">
        <v>46501</v>
      </c>
      <c r="W4553" t="s">
        <v>38706</v>
      </c>
      <c r="X4553" t="s">
        <v>40440</v>
      </c>
    </row>
    <row r="4554" spans="1:24">
      <c r="A4554">
        <f>HYPERLINK("https://www.philgeps.gov.ph/GEPSNONPILOT/Tender/SplashBidNoticeAbstractUI.aspx?menuIndex=3&amp;refID=7046923&amp;Result=3","7046923")</f>
        <v>0</v>
      </c>
      <c r="B4554" t="s">
        <v>1591</v>
      </c>
      <c r="C4554" t="s">
        <v>7436</v>
      </c>
      <c r="D4554" t="s">
        <v>16244</v>
      </c>
      <c r="E4554" t="s">
        <v>20326</v>
      </c>
      <c r="F4554" t="s">
        <v>28198</v>
      </c>
      <c r="G4554" t="s">
        <v>28207</v>
      </c>
      <c r="H4554" t="s">
        <v>28215</v>
      </c>
      <c r="I4554" t="s">
        <v>28246</v>
      </c>
      <c r="J4554" t="s">
        <v>28361</v>
      </c>
      <c r="K4554" t="s">
        <v>36693</v>
      </c>
      <c r="M4554" t="s">
        <v>38677</v>
      </c>
      <c r="N4554" t="s">
        <v>40436</v>
      </c>
      <c r="O4554" t="s">
        <v>40437</v>
      </c>
      <c r="P4554">
        <v>0</v>
      </c>
      <c r="Q4554">
        <v>1</v>
      </c>
      <c r="R4554" t="s">
        <v>40439</v>
      </c>
      <c r="S4554" t="s">
        <v>40588</v>
      </c>
      <c r="T4554" t="s">
        <v>42141</v>
      </c>
      <c r="U4554" t="s">
        <v>46502</v>
      </c>
      <c r="W4554" t="s">
        <v>38677</v>
      </c>
      <c r="X4554" t="s">
        <v>40440</v>
      </c>
    </row>
    <row r="4555" spans="1:24">
      <c r="A4555">
        <f>HYPERLINK("https://www.philgeps.gov.ph/GEPSNONPILOT/Tender/SplashBidNoticeAbstractUI.aspx?menuIndex=3&amp;refID=7046905&amp;Result=3","7046905")</f>
        <v>0</v>
      </c>
      <c r="B4555" t="s">
        <v>1591</v>
      </c>
      <c r="C4555" t="s">
        <v>7437</v>
      </c>
      <c r="D4555" t="s">
        <v>16244</v>
      </c>
      <c r="E4555" t="s">
        <v>20327</v>
      </c>
      <c r="F4555" t="s">
        <v>28198</v>
      </c>
      <c r="G4555" t="s">
        <v>28207</v>
      </c>
      <c r="H4555" t="s">
        <v>28215</v>
      </c>
      <c r="I4555" t="s">
        <v>28246</v>
      </c>
      <c r="J4555" t="s">
        <v>28361</v>
      </c>
      <c r="K4555" t="s">
        <v>36693</v>
      </c>
      <c r="M4555" t="s">
        <v>38677</v>
      </c>
      <c r="N4555" t="s">
        <v>40436</v>
      </c>
      <c r="O4555" t="s">
        <v>40437</v>
      </c>
      <c r="P4555">
        <v>0</v>
      </c>
      <c r="Q4555">
        <v>0</v>
      </c>
      <c r="R4555" t="s">
        <v>40439</v>
      </c>
      <c r="S4555" t="s">
        <v>40588</v>
      </c>
      <c r="T4555" t="s">
        <v>42141</v>
      </c>
      <c r="U4555" t="s">
        <v>46503</v>
      </c>
      <c r="W4555" t="s">
        <v>38677</v>
      </c>
      <c r="X4555" t="s">
        <v>40440</v>
      </c>
    </row>
    <row r="4556" spans="1:24">
      <c r="A4556">
        <f>HYPERLINK("https://www.philgeps.gov.ph/GEPSNONPILOT/Tender/SplashBidNoticeAbstractUI.aspx?menuIndex=3&amp;refID=7046919&amp;Result=3","7046919")</f>
        <v>0</v>
      </c>
      <c r="B4556" t="s">
        <v>1624</v>
      </c>
      <c r="C4556" t="s">
        <v>7438</v>
      </c>
      <c r="E4556" t="s">
        <v>20328</v>
      </c>
      <c r="F4556" t="s">
        <v>28198</v>
      </c>
      <c r="G4556" t="s">
        <v>28206</v>
      </c>
      <c r="H4556" t="s">
        <v>28215</v>
      </c>
      <c r="I4556" t="s">
        <v>4200</v>
      </c>
      <c r="J4556" t="s">
        <v>28345</v>
      </c>
      <c r="K4556" t="s">
        <v>36691</v>
      </c>
      <c r="M4556" t="s">
        <v>38713</v>
      </c>
      <c r="N4556" t="s">
        <v>40436</v>
      </c>
      <c r="O4556" t="s">
        <v>40437</v>
      </c>
      <c r="P4556">
        <v>0</v>
      </c>
      <c r="Q4556">
        <v>5</v>
      </c>
      <c r="R4556" t="s">
        <v>40439</v>
      </c>
      <c r="S4556" t="s">
        <v>40588</v>
      </c>
      <c r="T4556" t="s">
        <v>42131</v>
      </c>
      <c r="U4556" t="s">
        <v>46504</v>
      </c>
      <c r="W4556" t="s">
        <v>38713</v>
      </c>
      <c r="X4556" t="s">
        <v>40440</v>
      </c>
    </row>
    <row r="4557" spans="1:24">
      <c r="A4557">
        <f>HYPERLINK("https://www.philgeps.gov.ph/GEPSNONPILOT/Tender/SplashBidNoticeAbstractUI.aspx?menuIndex=3&amp;refID=7046929&amp;Result=3","7046929")</f>
        <v>0</v>
      </c>
      <c r="B4557" t="s">
        <v>1625</v>
      </c>
      <c r="C4557" t="s">
        <v>7439</v>
      </c>
      <c r="D4557" t="s">
        <v>16235</v>
      </c>
      <c r="E4557" t="s">
        <v>20329</v>
      </c>
      <c r="F4557" t="s">
        <v>28200</v>
      </c>
      <c r="G4557" t="s">
        <v>28205</v>
      </c>
      <c r="H4557" t="s">
        <v>28214</v>
      </c>
      <c r="I4557" t="s">
        <v>3797</v>
      </c>
      <c r="J4557" t="s">
        <v>31275</v>
      </c>
      <c r="K4557" t="s">
        <v>36694</v>
      </c>
      <c r="M4557" t="s">
        <v>38714</v>
      </c>
      <c r="N4557" t="s">
        <v>40436</v>
      </c>
      <c r="O4557" t="s">
        <v>40437</v>
      </c>
      <c r="P4557">
        <v>0</v>
      </c>
      <c r="Q4557">
        <v>0</v>
      </c>
      <c r="R4557" t="s">
        <v>40439</v>
      </c>
      <c r="S4557" t="s">
        <v>40588</v>
      </c>
      <c r="T4557" t="s">
        <v>42399</v>
      </c>
      <c r="U4557" t="s">
        <v>46505</v>
      </c>
      <c r="W4557" t="s">
        <v>38714</v>
      </c>
      <c r="X4557" t="s">
        <v>40440</v>
      </c>
    </row>
    <row r="4558" spans="1:24">
      <c r="A4558">
        <f>HYPERLINK("https://www.philgeps.gov.ph/GEPSNONPILOT/Tender/SplashBidNoticeAbstractUI.aspx?menuIndex=3&amp;refID=7046926&amp;Result=3","7046926")</f>
        <v>0</v>
      </c>
      <c r="B4558" t="s">
        <v>1621</v>
      </c>
      <c r="C4558" t="s">
        <v>7440</v>
      </c>
      <c r="D4558" t="s">
        <v>16196</v>
      </c>
      <c r="E4558" t="s">
        <v>20330</v>
      </c>
      <c r="F4558" t="s">
        <v>28198</v>
      </c>
      <c r="G4558" t="s">
        <v>28205</v>
      </c>
      <c r="H4558" t="s">
        <v>28214</v>
      </c>
      <c r="I4558" t="s">
        <v>3797</v>
      </c>
      <c r="J4558" t="s">
        <v>31276</v>
      </c>
      <c r="K4558" t="s">
        <v>36694</v>
      </c>
      <c r="M4558" t="s">
        <v>38710</v>
      </c>
      <c r="N4558" t="s">
        <v>40436</v>
      </c>
      <c r="O4558" t="s">
        <v>40437</v>
      </c>
      <c r="P4558">
        <v>0</v>
      </c>
      <c r="Q4558">
        <v>17</v>
      </c>
      <c r="R4558" t="s">
        <v>40439</v>
      </c>
      <c r="S4558" t="s">
        <v>40588</v>
      </c>
      <c r="T4558" t="s">
        <v>42175</v>
      </c>
      <c r="U4558" t="s">
        <v>46506</v>
      </c>
      <c r="V4558" t="s">
        <v>54241</v>
      </c>
      <c r="W4558" t="s">
        <v>38710</v>
      </c>
      <c r="X4558" t="s">
        <v>40440</v>
      </c>
    </row>
    <row r="4559" spans="1:24">
      <c r="A4559">
        <f>HYPERLINK("https://www.philgeps.gov.ph/GEPSNONPILOT/Tender/SplashBidNoticeAbstractUI.aspx?menuIndex=3&amp;refID=7046902&amp;Result=3","7046902")</f>
        <v>0</v>
      </c>
      <c r="B4559" t="s">
        <v>1618</v>
      </c>
      <c r="C4559" t="s">
        <v>7441</v>
      </c>
      <c r="D4559" t="s">
        <v>16215</v>
      </c>
      <c r="E4559" t="s">
        <v>20331</v>
      </c>
      <c r="F4559" t="s">
        <v>28198</v>
      </c>
      <c r="G4559" t="s">
        <v>28207</v>
      </c>
      <c r="H4559" t="s">
        <v>28215</v>
      </c>
      <c r="I4559" t="s">
        <v>28234</v>
      </c>
      <c r="J4559" t="s">
        <v>31277</v>
      </c>
      <c r="K4559" t="s">
        <v>36689</v>
      </c>
      <c r="M4559" t="s">
        <v>38705</v>
      </c>
      <c r="N4559" t="s">
        <v>40436</v>
      </c>
      <c r="O4559" t="s">
        <v>40437</v>
      </c>
      <c r="P4559">
        <v>0</v>
      </c>
      <c r="Q4559">
        <v>0</v>
      </c>
      <c r="R4559" t="s">
        <v>40439</v>
      </c>
      <c r="S4559" t="s">
        <v>40588</v>
      </c>
      <c r="T4559" t="s">
        <v>42158</v>
      </c>
      <c r="U4559" t="s">
        <v>46487</v>
      </c>
      <c r="W4559" t="s">
        <v>55492</v>
      </c>
      <c r="X4559" t="s">
        <v>40440</v>
      </c>
    </row>
    <row r="4560" spans="1:24">
      <c r="A4560">
        <f>HYPERLINK("https://www.philgeps.gov.ph/GEPSNONPILOT/Tender/SplashBidNoticeAbstractUI.aspx?menuIndex=3&amp;refID=7046936&amp;Result=3","7046936")</f>
        <v>0</v>
      </c>
      <c r="B4560" t="s">
        <v>1626</v>
      </c>
      <c r="C4560" t="s">
        <v>7442</v>
      </c>
      <c r="D4560" t="s">
        <v>16218</v>
      </c>
      <c r="E4560" t="s">
        <v>20332</v>
      </c>
      <c r="F4560" t="s">
        <v>28198</v>
      </c>
      <c r="G4560" t="s">
        <v>28207</v>
      </c>
      <c r="H4560" t="s">
        <v>28215</v>
      </c>
      <c r="I4560" t="s">
        <v>28265</v>
      </c>
      <c r="J4560" t="s">
        <v>31278</v>
      </c>
      <c r="K4560" t="s">
        <v>36691</v>
      </c>
      <c r="M4560" t="s">
        <v>38715</v>
      </c>
      <c r="N4560" t="s">
        <v>40436</v>
      </c>
      <c r="O4560" t="s">
        <v>40437</v>
      </c>
      <c r="P4560">
        <v>0</v>
      </c>
      <c r="Q4560">
        <v>0</v>
      </c>
      <c r="R4560" t="s">
        <v>40439</v>
      </c>
      <c r="S4560" t="s">
        <v>40588</v>
      </c>
      <c r="T4560" t="s">
        <v>42176</v>
      </c>
      <c r="U4560" t="s">
        <v>46507</v>
      </c>
      <c r="W4560" t="s">
        <v>38715</v>
      </c>
      <c r="X4560" t="s">
        <v>40440</v>
      </c>
    </row>
    <row r="4561" spans="1:24">
      <c r="A4561">
        <f>HYPERLINK("https://www.philgeps.gov.ph/GEPSNONPILOT/Tender/SplashBidNoticeAbstractUI.aspx?menuIndex=3&amp;refID=7046917&amp;Result=3","7046917")</f>
        <v>0</v>
      </c>
      <c r="B4561" t="s">
        <v>1617</v>
      </c>
      <c r="C4561" t="s">
        <v>7443</v>
      </c>
      <c r="D4561" t="s">
        <v>16210</v>
      </c>
      <c r="E4561" t="s">
        <v>20333</v>
      </c>
      <c r="F4561" t="s">
        <v>28198</v>
      </c>
      <c r="G4561" t="s">
        <v>28207</v>
      </c>
      <c r="H4561" t="s">
        <v>28215</v>
      </c>
      <c r="I4561" t="s">
        <v>28247</v>
      </c>
      <c r="J4561" t="s">
        <v>28694</v>
      </c>
      <c r="K4561" t="s">
        <v>36689</v>
      </c>
      <c r="M4561" t="s">
        <v>38704</v>
      </c>
      <c r="N4561" t="s">
        <v>40436</v>
      </c>
      <c r="O4561" t="s">
        <v>40437</v>
      </c>
      <c r="P4561">
        <v>0</v>
      </c>
      <c r="Q4561">
        <v>4</v>
      </c>
      <c r="R4561" t="s">
        <v>40439</v>
      </c>
      <c r="S4561" t="s">
        <v>40588</v>
      </c>
      <c r="T4561" t="s">
        <v>42103</v>
      </c>
      <c r="U4561" t="s">
        <v>46476</v>
      </c>
      <c r="W4561" t="s">
        <v>38704</v>
      </c>
      <c r="X4561" t="s">
        <v>40440</v>
      </c>
    </row>
    <row r="4562" spans="1:24">
      <c r="A4562">
        <f>HYPERLINK("https://www.philgeps.gov.ph/GEPSNONPILOT/Tender/SplashBidNoticeAbstractUI.aspx?menuIndex=3&amp;refID=7046898&amp;Result=3","7046898")</f>
        <v>0</v>
      </c>
      <c r="B4562" t="s">
        <v>1618</v>
      </c>
      <c r="C4562" t="s">
        <v>7444</v>
      </c>
      <c r="D4562" t="s">
        <v>16215</v>
      </c>
      <c r="E4562" t="s">
        <v>17007</v>
      </c>
      <c r="F4562" t="s">
        <v>28198</v>
      </c>
      <c r="G4562" t="s">
        <v>28207</v>
      </c>
      <c r="H4562" t="s">
        <v>28215</v>
      </c>
      <c r="I4562" t="s">
        <v>28234</v>
      </c>
      <c r="J4562" t="s">
        <v>31279</v>
      </c>
      <c r="K4562" t="s">
        <v>36689</v>
      </c>
      <c r="M4562" t="s">
        <v>38705</v>
      </c>
      <c r="N4562" t="s">
        <v>40436</v>
      </c>
      <c r="O4562" t="s">
        <v>40437</v>
      </c>
      <c r="P4562">
        <v>0</v>
      </c>
      <c r="Q4562">
        <v>2</v>
      </c>
      <c r="R4562" t="s">
        <v>40439</v>
      </c>
      <c r="S4562" t="s">
        <v>40588</v>
      </c>
      <c r="T4562" t="s">
        <v>42158</v>
      </c>
      <c r="U4562" t="s">
        <v>46508</v>
      </c>
      <c r="W4562" t="s">
        <v>55492</v>
      </c>
      <c r="X4562" t="s">
        <v>40440</v>
      </c>
    </row>
    <row r="4563" spans="1:24">
      <c r="A4563">
        <f>HYPERLINK("https://www.philgeps.gov.ph/GEPSNONPILOT/Tender/SplashBidNoticeAbstractUI.aspx?menuIndex=3&amp;refID=7046933&amp;Result=3","7046933")</f>
        <v>0</v>
      </c>
      <c r="B4563" t="s">
        <v>1617</v>
      </c>
      <c r="C4563" t="s">
        <v>7445</v>
      </c>
      <c r="D4563" t="s">
        <v>16210</v>
      </c>
      <c r="E4563" t="s">
        <v>20334</v>
      </c>
      <c r="F4563" t="s">
        <v>28198</v>
      </c>
      <c r="G4563" t="s">
        <v>28207</v>
      </c>
      <c r="H4563" t="s">
        <v>28215</v>
      </c>
      <c r="I4563" t="s">
        <v>28247</v>
      </c>
      <c r="J4563" t="s">
        <v>28416</v>
      </c>
      <c r="K4563" t="s">
        <v>36689</v>
      </c>
      <c r="M4563" t="s">
        <v>38704</v>
      </c>
      <c r="N4563" t="s">
        <v>40436</v>
      </c>
      <c r="O4563" t="s">
        <v>40437</v>
      </c>
      <c r="P4563">
        <v>0</v>
      </c>
      <c r="Q4563">
        <v>7</v>
      </c>
      <c r="R4563" t="s">
        <v>40439</v>
      </c>
      <c r="S4563" t="s">
        <v>40588</v>
      </c>
      <c r="T4563" t="s">
        <v>42103</v>
      </c>
      <c r="U4563" t="s">
        <v>46476</v>
      </c>
      <c r="W4563" t="s">
        <v>38704</v>
      </c>
      <c r="X4563" t="s">
        <v>40440</v>
      </c>
    </row>
    <row r="4564" spans="1:24">
      <c r="A4564">
        <f>HYPERLINK("https://www.philgeps.gov.ph/GEPSNONPILOT/Tender/SplashBidNoticeAbstractUI.aspx?menuIndex=3&amp;refID=7046930&amp;Result=3","7046930")</f>
        <v>0</v>
      </c>
      <c r="B4564" t="s">
        <v>763</v>
      </c>
      <c r="C4564" t="s">
        <v>7446</v>
      </c>
      <c r="E4564" t="s">
        <v>20335</v>
      </c>
      <c r="F4564" t="s">
        <v>28198</v>
      </c>
      <c r="G4564" t="s">
        <v>28210</v>
      </c>
      <c r="H4564" t="s">
        <v>28215</v>
      </c>
      <c r="I4564" t="s">
        <v>28288</v>
      </c>
      <c r="J4564" t="s">
        <v>28511</v>
      </c>
      <c r="K4564" t="s">
        <v>36689</v>
      </c>
      <c r="M4564" t="s">
        <v>37766</v>
      </c>
      <c r="N4564" t="s">
        <v>40436</v>
      </c>
      <c r="O4564" t="s">
        <v>40437</v>
      </c>
      <c r="P4564">
        <v>0</v>
      </c>
      <c r="Q4564">
        <v>1</v>
      </c>
      <c r="R4564" t="s">
        <v>40439</v>
      </c>
      <c r="S4564" t="s">
        <v>40588</v>
      </c>
      <c r="T4564" t="s">
        <v>42169</v>
      </c>
      <c r="U4564" t="s">
        <v>46509</v>
      </c>
      <c r="W4564" t="s">
        <v>37766</v>
      </c>
      <c r="X4564" t="s">
        <v>40440</v>
      </c>
    </row>
    <row r="4565" spans="1:24">
      <c r="A4565">
        <f>HYPERLINK("https://www.philgeps.gov.ph/GEPSNONPILOT/Tender/SplashBidNoticeAbstractUI.aspx?menuIndex=3&amp;refID=7046904&amp;Result=3","7046904")</f>
        <v>0</v>
      </c>
      <c r="B4565" t="s">
        <v>1617</v>
      </c>
      <c r="C4565" t="s">
        <v>7447</v>
      </c>
      <c r="D4565" t="s">
        <v>16210</v>
      </c>
      <c r="E4565" t="s">
        <v>20336</v>
      </c>
      <c r="F4565" t="s">
        <v>28198</v>
      </c>
      <c r="G4565" t="s">
        <v>28207</v>
      </c>
      <c r="H4565" t="s">
        <v>28215</v>
      </c>
      <c r="I4565" t="s">
        <v>28247</v>
      </c>
      <c r="J4565" t="s">
        <v>29599</v>
      </c>
      <c r="K4565" t="s">
        <v>36689</v>
      </c>
      <c r="M4565" t="s">
        <v>38704</v>
      </c>
      <c r="N4565" t="s">
        <v>40436</v>
      </c>
      <c r="O4565" t="s">
        <v>40437</v>
      </c>
      <c r="P4565">
        <v>0</v>
      </c>
      <c r="Q4565">
        <v>3</v>
      </c>
      <c r="R4565" t="s">
        <v>40439</v>
      </c>
      <c r="S4565" t="s">
        <v>40588</v>
      </c>
      <c r="T4565" t="s">
        <v>42103</v>
      </c>
      <c r="U4565" t="s">
        <v>46476</v>
      </c>
      <c r="W4565" t="s">
        <v>38704</v>
      </c>
      <c r="X4565" t="s">
        <v>40440</v>
      </c>
    </row>
    <row r="4566" spans="1:24">
      <c r="A4566">
        <f>HYPERLINK("https://www.philgeps.gov.ph/GEPSNONPILOT/Tender/SplashBidNoticeAbstractUI.aspx?menuIndex=3&amp;refID=7046908&amp;Result=3","7046908")</f>
        <v>0</v>
      </c>
      <c r="B4566" t="s">
        <v>1617</v>
      </c>
      <c r="C4566" t="s">
        <v>5821</v>
      </c>
      <c r="D4566" t="s">
        <v>16210</v>
      </c>
      <c r="E4566" t="s">
        <v>20337</v>
      </c>
      <c r="F4566" t="s">
        <v>28198</v>
      </c>
      <c r="G4566" t="s">
        <v>28207</v>
      </c>
      <c r="H4566" t="s">
        <v>28215</v>
      </c>
      <c r="I4566" t="s">
        <v>28247</v>
      </c>
      <c r="J4566" t="s">
        <v>28719</v>
      </c>
      <c r="K4566" t="s">
        <v>36689</v>
      </c>
      <c r="M4566" t="s">
        <v>38704</v>
      </c>
      <c r="N4566" t="s">
        <v>40436</v>
      </c>
      <c r="O4566" t="s">
        <v>40437</v>
      </c>
      <c r="P4566">
        <v>0</v>
      </c>
      <c r="Q4566">
        <v>15</v>
      </c>
      <c r="R4566" t="s">
        <v>40439</v>
      </c>
      <c r="S4566" t="s">
        <v>40588</v>
      </c>
      <c r="T4566" t="s">
        <v>42103</v>
      </c>
      <c r="U4566" t="s">
        <v>46476</v>
      </c>
      <c r="W4566" t="s">
        <v>38704</v>
      </c>
      <c r="X4566" t="s">
        <v>40440</v>
      </c>
    </row>
    <row r="4567" spans="1:24">
      <c r="A4567">
        <f>HYPERLINK("https://www.philgeps.gov.ph/GEPSNONPILOT/Tender/SplashBidNoticeAbstractUI.aspx?menuIndex=3&amp;refID=7046953&amp;Result=3","7046953")</f>
        <v>0</v>
      </c>
      <c r="B4567" t="s">
        <v>1619</v>
      </c>
      <c r="C4567" t="s">
        <v>7448</v>
      </c>
      <c r="D4567" t="s">
        <v>16190</v>
      </c>
      <c r="E4567" t="s">
        <v>20338</v>
      </c>
      <c r="F4567" t="s">
        <v>28198</v>
      </c>
      <c r="G4567" t="s">
        <v>28207</v>
      </c>
      <c r="H4567" t="s">
        <v>28217</v>
      </c>
      <c r="I4567" t="s">
        <v>28225</v>
      </c>
      <c r="J4567" t="s">
        <v>31280</v>
      </c>
      <c r="K4567" t="s">
        <v>36687</v>
      </c>
      <c r="M4567" t="s">
        <v>38706</v>
      </c>
      <c r="N4567" t="s">
        <v>40436</v>
      </c>
      <c r="O4567" t="s">
        <v>40437</v>
      </c>
      <c r="P4567">
        <v>0</v>
      </c>
      <c r="Q4567">
        <v>1</v>
      </c>
      <c r="R4567" t="s">
        <v>40439</v>
      </c>
      <c r="S4567" t="s">
        <v>40588</v>
      </c>
      <c r="T4567" t="s">
        <v>42131</v>
      </c>
      <c r="U4567" t="s">
        <v>46510</v>
      </c>
      <c r="W4567" t="s">
        <v>38706</v>
      </c>
      <c r="X4567" t="s">
        <v>40440</v>
      </c>
    </row>
    <row r="4568" spans="1:24">
      <c r="A4568">
        <f>HYPERLINK("https://www.philgeps.gov.ph/GEPSNONPILOT/Tender/SplashBidNoticeAbstractUI.aspx?menuIndex=3&amp;refID=7046949&amp;Result=3","7046949")</f>
        <v>0</v>
      </c>
      <c r="B4568" t="s">
        <v>1622</v>
      </c>
      <c r="C4568" t="s">
        <v>7449</v>
      </c>
      <c r="D4568" t="s">
        <v>16210</v>
      </c>
      <c r="E4568" t="s">
        <v>20339</v>
      </c>
      <c r="F4568" t="s">
        <v>28198</v>
      </c>
      <c r="G4568" t="s">
        <v>28210</v>
      </c>
      <c r="H4568" t="s">
        <v>28215</v>
      </c>
      <c r="I4568" t="s">
        <v>5082</v>
      </c>
      <c r="J4568" t="s">
        <v>31281</v>
      </c>
      <c r="K4568" t="s">
        <v>36698</v>
      </c>
      <c r="M4568" t="s">
        <v>38711</v>
      </c>
      <c r="N4568" t="s">
        <v>40436</v>
      </c>
      <c r="O4568" t="s">
        <v>40437</v>
      </c>
      <c r="P4568">
        <v>0</v>
      </c>
      <c r="Q4568">
        <v>4</v>
      </c>
      <c r="R4568" t="s">
        <v>40439</v>
      </c>
      <c r="S4568" t="s">
        <v>40588</v>
      </c>
      <c r="T4568" t="s">
        <v>42169</v>
      </c>
      <c r="U4568" t="s">
        <v>46498</v>
      </c>
      <c r="V4568" t="s">
        <v>54240</v>
      </c>
      <c r="W4568" t="s">
        <v>38711</v>
      </c>
      <c r="X4568" t="s">
        <v>40440</v>
      </c>
    </row>
    <row r="4569" spans="1:24">
      <c r="A4569">
        <f>HYPERLINK("https://www.philgeps.gov.ph/GEPSNONPILOT/Tender/SplashBidNoticeAbstractUI.aspx?menuIndex=3&amp;refID=7046956&amp;Result=3","7046956")</f>
        <v>0</v>
      </c>
      <c r="B4569" t="s">
        <v>1600</v>
      </c>
      <c r="C4569" t="s">
        <v>7450</v>
      </c>
      <c r="D4569" t="s">
        <v>16210</v>
      </c>
      <c r="E4569" t="s">
        <v>20340</v>
      </c>
      <c r="F4569" t="s">
        <v>28198</v>
      </c>
      <c r="G4569" t="s">
        <v>28207</v>
      </c>
      <c r="H4569" t="s">
        <v>28215</v>
      </c>
      <c r="I4569" t="s">
        <v>28225</v>
      </c>
      <c r="J4569" t="s">
        <v>31282</v>
      </c>
      <c r="K4569" t="s">
        <v>36689</v>
      </c>
      <c r="M4569" t="s">
        <v>38687</v>
      </c>
      <c r="N4569" t="s">
        <v>40436</v>
      </c>
      <c r="O4569" t="s">
        <v>40437</v>
      </c>
      <c r="P4569">
        <v>0</v>
      </c>
      <c r="Q4569">
        <v>2</v>
      </c>
      <c r="R4569" t="s">
        <v>40439</v>
      </c>
      <c r="S4569" t="s">
        <v>40588</v>
      </c>
      <c r="T4569" t="s">
        <v>42216</v>
      </c>
      <c r="U4569" t="s">
        <v>46446</v>
      </c>
      <c r="W4569" t="s">
        <v>38687</v>
      </c>
      <c r="X4569" t="s">
        <v>40440</v>
      </c>
    </row>
    <row r="4570" spans="1:24">
      <c r="A4570">
        <f>HYPERLINK("https://www.philgeps.gov.ph/GEPSNONPILOT/Tender/SplashBidNoticeAbstractUI.aspx?menuIndex=3&amp;refID=7046947&amp;Result=3","7046947")</f>
        <v>0</v>
      </c>
      <c r="B4570" t="s">
        <v>763</v>
      </c>
      <c r="C4570" t="s">
        <v>6101</v>
      </c>
      <c r="D4570" t="s">
        <v>16210</v>
      </c>
      <c r="E4570" t="s">
        <v>20341</v>
      </c>
      <c r="F4570" t="s">
        <v>28198</v>
      </c>
      <c r="G4570" t="s">
        <v>28210</v>
      </c>
      <c r="H4570" t="s">
        <v>28215</v>
      </c>
      <c r="I4570" t="s">
        <v>4168</v>
      </c>
      <c r="J4570" t="s">
        <v>28862</v>
      </c>
      <c r="K4570" t="s">
        <v>36689</v>
      </c>
      <c r="M4570" t="s">
        <v>37766</v>
      </c>
      <c r="N4570" t="s">
        <v>40436</v>
      </c>
      <c r="O4570" t="s">
        <v>40437</v>
      </c>
      <c r="P4570">
        <v>0</v>
      </c>
      <c r="Q4570">
        <v>6</v>
      </c>
      <c r="R4570" t="s">
        <v>40439</v>
      </c>
      <c r="S4570" t="s">
        <v>40588</v>
      </c>
      <c r="T4570" t="s">
        <v>42169</v>
      </c>
      <c r="U4570" t="s">
        <v>46511</v>
      </c>
      <c r="W4570" t="s">
        <v>37766</v>
      </c>
      <c r="X4570" t="s">
        <v>40440</v>
      </c>
    </row>
    <row r="4571" spans="1:24">
      <c r="A4571">
        <f>HYPERLINK("https://www.philgeps.gov.ph/GEPSNONPILOT/Tender/SplashBidNoticeAbstractUI.aspx?menuIndex=3&amp;refID=7046927&amp;Result=3","7046927")</f>
        <v>0</v>
      </c>
      <c r="B4571" t="s">
        <v>1600</v>
      </c>
      <c r="C4571" t="s">
        <v>7451</v>
      </c>
      <c r="D4571" t="s">
        <v>16210</v>
      </c>
      <c r="E4571" t="s">
        <v>20342</v>
      </c>
      <c r="F4571" t="s">
        <v>28198</v>
      </c>
      <c r="G4571" t="s">
        <v>28207</v>
      </c>
      <c r="H4571" t="s">
        <v>28217</v>
      </c>
      <c r="I4571" t="s">
        <v>5631</v>
      </c>
      <c r="J4571" t="s">
        <v>31283</v>
      </c>
      <c r="K4571" t="s">
        <v>36756</v>
      </c>
      <c r="M4571" t="s">
        <v>38687</v>
      </c>
      <c r="N4571" t="s">
        <v>40436</v>
      </c>
      <c r="O4571" t="s">
        <v>40437</v>
      </c>
      <c r="P4571">
        <v>0</v>
      </c>
      <c r="Q4571">
        <v>1</v>
      </c>
      <c r="R4571" t="s">
        <v>40439</v>
      </c>
      <c r="S4571" t="s">
        <v>40588</v>
      </c>
      <c r="T4571" t="s">
        <v>42216</v>
      </c>
      <c r="U4571" t="s">
        <v>46446</v>
      </c>
      <c r="W4571" t="s">
        <v>38687</v>
      </c>
      <c r="X4571" t="s">
        <v>40440</v>
      </c>
    </row>
    <row r="4572" spans="1:24">
      <c r="A4572">
        <f>HYPERLINK("https://www.philgeps.gov.ph/GEPSNONPILOT/Tender/SplashBidNoticeAbstractUI.aspx?menuIndex=3&amp;refID=7046955&amp;Result=3","7046955")</f>
        <v>0</v>
      </c>
      <c r="B4572" t="s">
        <v>1627</v>
      </c>
      <c r="C4572" t="s">
        <v>7452</v>
      </c>
      <c r="D4572" t="s">
        <v>16195</v>
      </c>
      <c r="E4572" t="s">
        <v>20343</v>
      </c>
      <c r="F4572" t="s">
        <v>28198</v>
      </c>
      <c r="G4572" t="s">
        <v>28205</v>
      </c>
      <c r="H4572" t="s">
        <v>28215</v>
      </c>
      <c r="I4572" t="s">
        <v>28222</v>
      </c>
      <c r="J4572" t="s">
        <v>29291</v>
      </c>
      <c r="K4572" t="s">
        <v>36701</v>
      </c>
      <c r="M4572" t="s">
        <v>38716</v>
      </c>
      <c r="N4572" t="s">
        <v>40436</v>
      </c>
      <c r="O4572" t="s">
        <v>40437</v>
      </c>
      <c r="P4572">
        <v>0</v>
      </c>
      <c r="Q4572">
        <v>4</v>
      </c>
      <c r="R4572" t="s">
        <v>40439</v>
      </c>
      <c r="S4572" t="s">
        <v>40588</v>
      </c>
      <c r="T4572" t="s">
        <v>42143</v>
      </c>
      <c r="U4572" t="s">
        <v>46512</v>
      </c>
      <c r="W4572" t="s">
        <v>38716</v>
      </c>
      <c r="X4572" t="s">
        <v>40440</v>
      </c>
    </row>
    <row r="4573" spans="1:24">
      <c r="A4573">
        <f>HYPERLINK("https://www.philgeps.gov.ph/GEPSNONPILOT/Tender/SplashBidNoticeAbstractUI.aspx?menuIndex=3&amp;refID=7046946&amp;Result=3","7046946")</f>
        <v>0</v>
      </c>
      <c r="B4573" t="s">
        <v>1619</v>
      </c>
      <c r="C4573" t="s">
        <v>7453</v>
      </c>
      <c r="D4573" t="s">
        <v>16190</v>
      </c>
      <c r="E4573" t="s">
        <v>20344</v>
      </c>
      <c r="F4573" t="s">
        <v>28198</v>
      </c>
      <c r="G4573" t="s">
        <v>28207</v>
      </c>
      <c r="H4573" t="s">
        <v>28215</v>
      </c>
      <c r="I4573" t="s">
        <v>5100</v>
      </c>
      <c r="J4573" t="s">
        <v>31284</v>
      </c>
      <c r="K4573" t="s">
        <v>36707</v>
      </c>
      <c r="M4573" t="s">
        <v>38706</v>
      </c>
      <c r="N4573" t="s">
        <v>40436</v>
      </c>
      <c r="O4573" t="s">
        <v>40437</v>
      </c>
      <c r="P4573">
        <v>0</v>
      </c>
      <c r="Q4573">
        <v>0</v>
      </c>
      <c r="R4573" t="s">
        <v>40439</v>
      </c>
      <c r="S4573" t="s">
        <v>40588</v>
      </c>
      <c r="T4573" t="s">
        <v>42161</v>
      </c>
      <c r="U4573" t="s">
        <v>46513</v>
      </c>
      <c r="W4573" t="s">
        <v>38706</v>
      </c>
      <c r="X4573" t="s">
        <v>40440</v>
      </c>
    </row>
    <row r="4574" spans="1:24">
      <c r="A4574">
        <f>HYPERLINK("https://www.philgeps.gov.ph/GEPSNONPILOT/Tender/SplashBidNoticeAbstractUI.aspx?menuIndex=3&amp;refID=7046954&amp;Result=3","7046954")</f>
        <v>0</v>
      </c>
      <c r="B4574" t="s">
        <v>1625</v>
      </c>
      <c r="C4574" t="s">
        <v>7454</v>
      </c>
      <c r="D4574" t="s">
        <v>16235</v>
      </c>
      <c r="E4574" t="s">
        <v>20345</v>
      </c>
      <c r="F4574" t="s">
        <v>28198</v>
      </c>
      <c r="G4574" t="s">
        <v>28205</v>
      </c>
      <c r="H4574" t="s">
        <v>28214</v>
      </c>
      <c r="I4574" t="s">
        <v>3797</v>
      </c>
      <c r="J4574" t="s">
        <v>31285</v>
      </c>
      <c r="K4574" t="s">
        <v>36694</v>
      </c>
      <c r="M4574" t="s">
        <v>38714</v>
      </c>
      <c r="N4574" t="s">
        <v>40436</v>
      </c>
      <c r="O4574" t="s">
        <v>40437</v>
      </c>
      <c r="P4574">
        <v>0</v>
      </c>
      <c r="Q4574">
        <v>0</v>
      </c>
      <c r="R4574" t="s">
        <v>40439</v>
      </c>
      <c r="S4574" t="s">
        <v>40588</v>
      </c>
      <c r="T4574" t="s">
        <v>42399</v>
      </c>
      <c r="U4574" t="s">
        <v>46514</v>
      </c>
      <c r="W4574" t="s">
        <v>38714</v>
      </c>
      <c r="X4574" t="s">
        <v>40440</v>
      </c>
    </row>
    <row r="4575" spans="1:24">
      <c r="A4575">
        <f>HYPERLINK("https://www.philgeps.gov.ph/GEPSNONPILOT/Tender/SplashBidNoticeAbstractUI.aspx?menuIndex=3&amp;refID=7046943&amp;Result=3","7046943")</f>
        <v>0</v>
      </c>
      <c r="B4575" t="s">
        <v>943</v>
      </c>
      <c r="C4575" t="s">
        <v>7455</v>
      </c>
      <c r="D4575" t="s">
        <v>16193</v>
      </c>
      <c r="E4575" t="s">
        <v>20346</v>
      </c>
      <c r="F4575" t="s">
        <v>28198</v>
      </c>
      <c r="G4575" t="s">
        <v>28206</v>
      </c>
      <c r="H4575" t="s">
        <v>28215</v>
      </c>
      <c r="I4575" t="s">
        <v>28278</v>
      </c>
      <c r="J4575" t="s">
        <v>31286</v>
      </c>
      <c r="K4575" t="s">
        <v>36688</v>
      </c>
      <c r="M4575" t="s">
        <v>38717</v>
      </c>
      <c r="N4575" t="s">
        <v>40436</v>
      </c>
      <c r="O4575" t="s">
        <v>40437</v>
      </c>
      <c r="P4575">
        <v>0</v>
      </c>
      <c r="Q4575">
        <v>0</v>
      </c>
      <c r="R4575" t="s">
        <v>40439</v>
      </c>
      <c r="S4575" t="s">
        <v>40588</v>
      </c>
      <c r="T4575" t="s">
        <v>42176</v>
      </c>
      <c r="U4575" t="s">
        <v>46515</v>
      </c>
      <c r="W4575" t="s">
        <v>38717</v>
      </c>
      <c r="X4575" t="s">
        <v>40440</v>
      </c>
    </row>
    <row r="4576" spans="1:24">
      <c r="A4576">
        <f>HYPERLINK("https://www.philgeps.gov.ph/GEPSNONPILOT/Tender/SplashBidNoticeAbstractUI.aspx?menuIndex=3&amp;refID=7046942&amp;Result=3","7046942")</f>
        <v>0</v>
      </c>
      <c r="B4576" t="s">
        <v>1628</v>
      </c>
      <c r="C4576" t="s">
        <v>7456</v>
      </c>
      <c r="D4576" t="s">
        <v>16200</v>
      </c>
      <c r="E4576" t="s">
        <v>20347</v>
      </c>
      <c r="F4576" t="s">
        <v>28198</v>
      </c>
      <c r="G4576" t="s">
        <v>28205</v>
      </c>
      <c r="H4576" t="s">
        <v>28214</v>
      </c>
      <c r="I4576" t="s">
        <v>3797</v>
      </c>
      <c r="J4576" t="s">
        <v>31287</v>
      </c>
      <c r="K4576" t="s">
        <v>36694</v>
      </c>
      <c r="M4576" t="s">
        <v>38718</v>
      </c>
      <c r="N4576" t="s">
        <v>40436</v>
      </c>
      <c r="O4576" t="s">
        <v>40437</v>
      </c>
      <c r="P4576">
        <v>0</v>
      </c>
      <c r="Q4576">
        <v>1</v>
      </c>
      <c r="R4576" t="s">
        <v>40439</v>
      </c>
      <c r="S4576" t="s">
        <v>40588</v>
      </c>
      <c r="T4576" t="s">
        <v>42110</v>
      </c>
      <c r="U4576" t="s">
        <v>46516</v>
      </c>
      <c r="W4576" t="s">
        <v>38718</v>
      </c>
      <c r="X4576" t="s">
        <v>40440</v>
      </c>
    </row>
    <row r="4577" spans="1:24">
      <c r="A4577">
        <f>HYPERLINK("https://www.philgeps.gov.ph/GEPSNONPILOT/Tender/SplashBidNoticeAbstractUI.aspx?menuIndex=3&amp;refID=7046944&amp;Result=3","7046944")</f>
        <v>0</v>
      </c>
      <c r="B4577" t="s">
        <v>1618</v>
      </c>
      <c r="C4577" t="s">
        <v>7457</v>
      </c>
      <c r="D4577" t="s">
        <v>16215</v>
      </c>
      <c r="E4577" t="s">
        <v>20348</v>
      </c>
      <c r="F4577" t="s">
        <v>28198</v>
      </c>
      <c r="G4577" t="s">
        <v>28207</v>
      </c>
      <c r="H4577" t="s">
        <v>28215</v>
      </c>
      <c r="I4577" t="s">
        <v>28234</v>
      </c>
      <c r="J4577" t="s">
        <v>31288</v>
      </c>
      <c r="K4577" t="s">
        <v>36689</v>
      </c>
      <c r="M4577" t="s">
        <v>38705</v>
      </c>
      <c r="N4577" t="s">
        <v>40436</v>
      </c>
      <c r="O4577" t="s">
        <v>40437</v>
      </c>
      <c r="P4577">
        <v>0</v>
      </c>
      <c r="Q4577">
        <v>1</v>
      </c>
      <c r="R4577" t="s">
        <v>40439</v>
      </c>
      <c r="S4577" t="s">
        <v>40588</v>
      </c>
      <c r="T4577" t="s">
        <v>42158</v>
      </c>
      <c r="U4577" t="s">
        <v>46487</v>
      </c>
      <c r="W4577" t="s">
        <v>55492</v>
      </c>
      <c r="X4577" t="s">
        <v>40440</v>
      </c>
    </row>
    <row r="4578" spans="1:24">
      <c r="A4578">
        <f>HYPERLINK("https://www.philgeps.gov.ph/GEPSNONPILOT/Tender/SplashBidNoticeAbstractUI.aspx?menuIndex=3&amp;refID=7046938&amp;Result=3","7046938")</f>
        <v>0</v>
      </c>
      <c r="B4578" t="s">
        <v>1617</v>
      </c>
      <c r="C4578" t="s">
        <v>7458</v>
      </c>
      <c r="D4578" t="s">
        <v>16210</v>
      </c>
      <c r="E4578" t="s">
        <v>20349</v>
      </c>
      <c r="F4578" t="s">
        <v>28198</v>
      </c>
      <c r="G4578" t="s">
        <v>28207</v>
      </c>
      <c r="H4578" t="s">
        <v>28215</v>
      </c>
      <c r="I4578" t="s">
        <v>28247</v>
      </c>
      <c r="J4578" t="s">
        <v>28386</v>
      </c>
      <c r="K4578" t="s">
        <v>36689</v>
      </c>
      <c r="M4578" t="s">
        <v>38704</v>
      </c>
      <c r="N4578" t="s">
        <v>40436</v>
      </c>
      <c r="O4578" t="s">
        <v>40437</v>
      </c>
      <c r="P4578">
        <v>0</v>
      </c>
      <c r="Q4578">
        <v>8</v>
      </c>
      <c r="R4578" t="s">
        <v>40439</v>
      </c>
      <c r="S4578" t="s">
        <v>40588</v>
      </c>
      <c r="T4578" t="s">
        <v>42103</v>
      </c>
      <c r="U4578" t="s">
        <v>46476</v>
      </c>
      <c r="W4578" t="s">
        <v>38704</v>
      </c>
      <c r="X4578" t="s">
        <v>40440</v>
      </c>
    </row>
    <row r="4579" spans="1:24">
      <c r="A4579">
        <f>HYPERLINK("https://www.philgeps.gov.ph/GEPSNONPILOT/Tender/SplashBidNoticeAbstractUI.aspx?menuIndex=3&amp;refID=7046940&amp;Result=3","7046940")</f>
        <v>0</v>
      </c>
      <c r="B4579" t="s">
        <v>1629</v>
      </c>
      <c r="C4579" t="s">
        <v>7459</v>
      </c>
      <c r="D4579" t="s">
        <v>16210</v>
      </c>
      <c r="E4579" t="s">
        <v>16519</v>
      </c>
      <c r="F4579" t="s">
        <v>28198</v>
      </c>
      <c r="G4579" t="s">
        <v>28205</v>
      </c>
      <c r="H4579" t="s">
        <v>28215</v>
      </c>
      <c r="I4579" t="s">
        <v>4200</v>
      </c>
      <c r="J4579" t="s">
        <v>28393</v>
      </c>
      <c r="K4579" t="s">
        <v>36693</v>
      </c>
      <c r="M4579" t="s">
        <v>38719</v>
      </c>
      <c r="N4579" t="s">
        <v>40436</v>
      </c>
      <c r="O4579" t="s">
        <v>40437</v>
      </c>
      <c r="P4579">
        <v>0</v>
      </c>
      <c r="Q4579">
        <v>3</v>
      </c>
      <c r="R4579" t="s">
        <v>40439</v>
      </c>
      <c r="S4579" t="s">
        <v>40588</v>
      </c>
      <c r="T4579" t="s">
        <v>42134</v>
      </c>
      <c r="U4579" t="s">
        <v>46517</v>
      </c>
      <c r="W4579" t="s">
        <v>38719</v>
      </c>
      <c r="X4579" t="s">
        <v>40440</v>
      </c>
    </row>
    <row r="4580" spans="1:24">
      <c r="A4580">
        <f>HYPERLINK("https://www.philgeps.gov.ph/GEPSNONPILOT/Tender/SplashBidNoticeAbstractUI.aspx?menuIndex=3&amp;refID=7046945&amp;Result=3","7046945")</f>
        <v>0</v>
      </c>
      <c r="B4580" t="s">
        <v>1617</v>
      </c>
      <c r="C4580" t="s">
        <v>5821</v>
      </c>
      <c r="D4580" t="s">
        <v>16210</v>
      </c>
      <c r="E4580" t="s">
        <v>16343</v>
      </c>
      <c r="F4580" t="s">
        <v>28198</v>
      </c>
      <c r="G4580" t="s">
        <v>28207</v>
      </c>
      <c r="H4580" t="s">
        <v>28215</v>
      </c>
      <c r="I4580" t="s">
        <v>28247</v>
      </c>
      <c r="J4580" t="s">
        <v>31289</v>
      </c>
      <c r="K4580" t="s">
        <v>36689</v>
      </c>
      <c r="M4580" t="s">
        <v>38704</v>
      </c>
      <c r="N4580" t="s">
        <v>40436</v>
      </c>
      <c r="O4580" t="s">
        <v>40437</v>
      </c>
      <c r="P4580">
        <v>0</v>
      </c>
      <c r="Q4580">
        <v>17</v>
      </c>
      <c r="R4580" t="s">
        <v>40439</v>
      </c>
      <c r="S4580" t="s">
        <v>40588</v>
      </c>
      <c r="T4580" t="s">
        <v>42103</v>
      </c>
      <c r="U4580" t="s">
        <v>46476</v>
      </c>
      <c r="W4580" t="s">
        <v>38704</v>
      </c>
      <c r="X4580" t="s">
        <v>40440</v>
      </c>
    </row>
    <row r="4581" spans="1:24">
      <c r="A4581">
        <f>HYPERLINK("https://www.philgeps.gov.ph/GEPSNONPILOT/Tender/SplashBidNoticeAbstractUI.aspx?menuIndex=3&amp;refID=7046957&amp;Result=3","7046957")</f>
        <v>0</v>
      </c>
      <c r="B4581" t="s">
        <v>763</v>
      </c>
      <c r="C4581" t="s">
        <v>6101</v>
      </c>
      <c r="D4581" t="s">
        <v>16210</v>
      </c>
      <c r="E4581" t="s">
        <v>20350</v>
      </c>
      <c r="F4581" t="s">
        <v>28198</v>
      </c>
      <c r="G4581" t="s">
        <v>28210</v>
      </c>
      <c r="H4581" t="s">
        <v>28215</v>
      </c>
      <c r="I4581" t="s">
        <v>4168</v>
      </c>
      <c r="J4581" t="s">
        <v>28862</v>
      </c>
      <c r="K4581" t="s">
        <v>36689</v>
      </c>
      <c r="M4581" t="s">
        <v>37766</v>
      </c>
      <c r="N4581" t="s">
        <v>40436</v>
      </c>
      <c r="O4581" t="s">
        <v>40437</v>
      </c>
      <c r="P4581">
        <v>0</v>
      </c>
      <c r="Q4581">
        <v>6</v>
      </c>
      <c r="R4581" t="s">
        <v>40439</v>
      </c>
      <c r="S4581" t="s">
        <v>40588</v>
      </c>
      <c r="T4581" t="s">
        <v>42169</v>
      </c>
      <c r="U4581" t="s">
        <v>46518</v>
      </c>
      <c r="W4581" t="s">
        <v>37766</v>
      </c>
      <c r="X4581" t="s">
        <v>40440</v>
      </c>
    </row>
    <row r="4582" spans="1:24">
      <c r="A4582">
        <f>HYPERLINK("https://www.philgeps.gov.ph/GEPSNONPILOT/Tender/SplashBidNoticeAbstractUI.aspx?menuIndex=3&amp;refID=7046941&amp;Result=3","7046941")</f>
        <v>0</v>
      </c>
      <c r="B4582" t="s">
        <v>1618</v>
      </c>
      <c r="C4582" t="s">
        <v>7460</v>
      </c>
      <c r="D4582" t="s">
        <v>16215</v>
      </c>
      <c r="E4582" t="s">
        <v>20351</v>
      </c>
      <c r="F4582" t="s">
        <v>28198</v>
      </c>
      <c r="G4582" t="s">
        <v>28207</v>
      </c>
      <c r="H4582" t="s">
        <v>28215</v>
      </c>
      <c r="I4582" t="s">
        <v>28234</v>
      </c>
      <c r="J4582" t="s">
        <v>31290</v>
      </c>
      <c r="K4582" t="s">
        <v>36689</v>
      </c>
      <c r="M4582" t="s">
        <v>38705</v>
      </c>
      <c r="N4582" t="s">
        <v>40436</v>
      </c>
      <c r="O4582" t="s">
        <v>40437</v>
      </c>
      <c r="P4582">
        <v>0</v>
      </c>
      <c r="Q4582">
        <v>0</v>
      </c>
      <c r="R4582" t="s">
        <v>40439</v>
      </c>
      <c r="S4582" t="s">
        <v>40588</v>
      </c>
      <c r="T4582" t="s">
        <v>42158</v>
      </c>
      <c r="U4582" t="s">
        <v>46519</v>
      </c>
      <c r="W4582" t="s">
        <v>55492</v>
      </c>
      <c r="X4582" t="s">
        <v>40440</v>
      </c>
    </row>
    <row r="4583" spans="1:24">
      <c r="A4583">
        <f>HYPERLINK("https://www.philgeps.gov.ph/GEPSNONPILOT/Tender/SplashBidNoticeAbstractUI.aspx?menuIndex=3&amp;refID=7046972&amp;Result=3","7046972")</f>
        <v>0</v>
      </c>
      <c r="B4583" t="s">
        <v>1617</v>
      </c>
      <c r="C4583" t="s">
        <v>7461</v>
      </c>
      <c r="D4583" t="s">
        <v>16210</v>
      </c>
      <c r="E4583" t="s">
        <v>17246</v>
      </c>
      <c r="F4583" t="s">
        <v>28198</v>
      </c>
      <c r="G4583" t="s">
        <v>28207</v>
      </c>
      <c r="H4583" t="s">
        <v>28217</v>
      </c>
      <c r="I4583" t="s">
        <v>28255</v>
      </c>
      <c r="J4583" t="s">
        <v>31291</v>
      </c>
      <c r="K4583" t="s">
        <v>36688</v>
      </c>
      <c r="M4583" t="s">
        <v>38704</v>
      </c>
      <c r="N4583" t="s">
        <v>40436</v>
      </c>
      <c r="O4583" t="s">
        <v>40437</v>
      </c>
      <c r="P4583">
        <v>0</v>
      </c>
      <c r="Q4583">
        <v>1</v>
      </c>
      <c r="R4583" t="s">
        <v>40439</v>
      </c>
      <c r="S4583" t="s">
        <v>40588</v>
      </c>
      <c r="T4583" t="s">
        <v>42103</v>
      </c>
      <c r="U4583" t="s">
        <v>46476</v>
      </c>
      <c r="W4583" t="s">
        <v>38704</v>
      </c>
      <c r="X4583" t="s">
        <v>40440</v>
      </c>
    </row>
    <row r="4584" spans="1:24">
      <c r="A4584">
        <f>HYPERLINK("https://www.philgeps.gov.ph/GEPSNONPILOT/Tender/SplashBidNoticeAbstractUI.aspx?menuIndex=3&amp;refID=7046964&amp;Result=3","7046964")</f>
        <v>0</v>
      </c>
      <c r="B4584" t="s">
        <v>1617</v>
      </c>
      <c r="C4584" t="s">
        <v>5821</v>
      </c>
      <c r="D4584" t="s">
        <v>16210</v>
      </c>
      <c r="E4584" t="s">
        <v>20352</v>
      </c>
      <c r="F4584" t="s">
        <v>28198</v>
      </c>
      <c r="G4584" t="s">
        <v>28207</v>
      </c>
      <c r="H4584" t="s">
        <v>28215</v>
      </c>
      <c r="I4584" t="s">
        <v>28247</v>
      </c>
      <c r="J4584" t="s">
        <v>31292</v>
      </c>
      <c r="K4584" t="s">
        <v>36689</v>
      </c>
      <c r="M4584" t="s">
        <v>38704</v>
      </c>
      <c r="N4584" t="s">
        <v>40436</v>
      </c>
      <c r="O4584" t="s">
        <v>40437</v>
      </c>
      <c r="P4584">
        <v>0</v>
      </c>
      <c r="Q4584">
        <v>15</v>
      </c>
      <c r="R4584" t="s">
        <v>40439</v>
      </c>
      <c r="S4584" t="s">
        <v>40588</v>
      </c>
      <c r="T4584" t="s">
        <v>42103</v>
      </c>
      <c r="U4584" t="s">
        <v>46476</v>
      </c>
      <c r="W4584" t="s">
        <v>38704</v>
      </c>
      <c r="X4584" t="s">
        <v>40440</v>
      </c>
    </row>
    <row r="4585" spans="1:24">
      <c r="A4585">
        <f>HYPERLINK("https://www.philgeps.gov.ph/GEPSNONPILOT/Tender/SplashBidNoticeAbstractUI.aspx?menuIndex=3&amp;refID=7046963&amp;Result=3","7046963")</f>
        <v>0</v>
      </c>
      <c r="B4585" t="s">
        <v>1630</v>
      </c>
      <c r="C4585" t="s">
        <v>7462</v>
      </c>
      <c r="D4585" t="s">
        <v>16246</v>
      </c>
      <c r="E4585" t="s">
        <v>20353</v>
      </c>
      <c r="F4585" t="s">
        <v>28198</v>
      </c>
      <c r="G4585" t="s">
        <v>28205</v>
      </c>
      <c r="H4585" t="s">
        <v>28215</v>
      </c>
      <c r="I4585" t="s">
        <v>5082</v>
      </c>
      <c r="J4585" t="s">
        <v>31293</v>
      </c>
      <c r="K4585" t="s">
        <v>36706</v>
      </c>
      <c r="M4585" t="s">
        <v>38720</v>
      </c>
      <c r="N4585" t="s">
        <v>40436</v>
      </c>
      <c r="O4585" t="s">
        <v>40437</v>
      </c>
      <c r="P4585">
        <v>0</v>
      </c>
      <c r="Q4585">
        <v>0</v>
      </c>
      <c r="R4585" t="s">
        <v>40439</v>
      </c>
      <c r="S4585" t="s">
        <v>40588</v>
      </c>
      <c r="T4585" t="s">
        <v>42176</v>
      </c>
      <c r="U4585" t="s">
        <v>46520</v>
      </c>
      <c r="W4585" t="s">
        <v>38720</v>
      </c>
      <c r="X4585" t="s">
        <v>40440</v>
      </c>
    </row>
    <row r="4586" spans="1:24">
      <c r="A4586">
        <f>HYPERLINK("https://www.philgeps.gov.ph/GEPSNONPILOT/Tender/SplashBidNoticeAbstractUI.aspx?menuIndex=3&amp;refID=7046973&amp;Result=3","7046973")</f>
        <v>0</v>
      </c>
      <c r="B4586" t="s">
        <v>1600</v>
      </c>
      <c r="C4586" t="s">
        <v>7463</v>
      </c>
      <c r="D4586" t="s">
        <v>16210</v>
      </c>
      <c r="E4586" t="s">
        <v>20354</v>
      </c>
      <c r="F4586" t="s">
        <v>28198</v>
      </c>
      <c r="G4586" t="s">
        <v>28207</v>
      </c>
      <c r="H4586" t="s">
        <v>28215</v>
      </c>
      <c r="I4586" t="s">
        <v>28225</v>
      </c>
      <c r="J4586" t="s">
        <v>28350</v>
      </c>
      <c r="K4586" t="s">
        <v>36689</v>
      </c>
      <c r="M4586" t="s">
        <v>38687</v>
      </c>
      <c r="N4586" t="s">
        <v>40436</v>
      </c>
      <c r="O4586" t="s">
        <v>40437</v>
      </c>
      <c r="P4586">
        <v>0</v>
      </c>
      <c r="Q4586">
        <v>0</v>
      </c>
      <c r="R4586" t="s">
        <v>40439</v>
      </c>
      <c r="S4586" t="s">
        <v>40588</v>
      </c>
      <c r="T4586" t="s">
        <v>42216</v>
      </c>
      <c r="U4586" t="s">
        <v>46446</v>
      </c>
      <c r="W4586" t="s">
        <v>38687</v>
      </c>
      <c r="X4586" t="s">
        <v>40440</v>
      </c>
    </row>
    <row r="4587" spans="1:24">
      <c r="A4587">
        <f>HYPERLINK("https://www.philgeps.gov.ph/GEPSNONPILOT/Tender/SplashBidNoticeAbstractUI.aspx?menuIndex=3&amp;refID=7046965&amp;Result=3","7046965")</f>
        <v>0</v>
      </c>
      <c r="B4587" t="s">
        <v>763</v>
      </c>
      <c r="C4587" t="s">
        <v>6101</v>
      </c>
      <c r="D4587" t="s">
        <v>16210</v>
      </c>
      <c r="E4587" t="s">
        <v>20355</v>
      </c>
      <c r="F4587" t="s">
        <v>28198</v>
      </c>
      <c r="G4587" t="s">
        <v>28210</v>
      </c>
      <c r="H4587" t="s">
        <v>28215</v>
      </c>
      <c r="I4587" t="s">
        <v>4168</v>
      </c>
      <c r="J4587" t="s">
        <v>28386</v>
      </c>
      <c r="K4587" t="s">
        <v>36689</v>
      </c>
      <c r="M4587" t="s">
        <v>37766</v>
      </c>
      <c r="N4587" t="s">
        <v>40436</v>
      </c>
      <c r="O4587" t="s">
        <v>40437</v>
      </c>
      <c r="P4587">
        <v>0</v>
      </c>
      <c r="Q4587">
        <v>6</v>
      </c>
      <c r="R4587" t="s">
        <v>40439</v>
      </c>
      <c r="S4587" t="s">
        <v>40588</v>
      </c>
      <c r="T4587" t="s">
        <v>42169</v>
      </c>
      <c r="U4587" t="s">
        <v>46521</v>
      </c>
      <c r="W4587" t="s">
        <v>37766</v>
      </c>
      <c r="X4587" t="s">
        <v>40440</v>
      </c>
    </row>
    <row r="4588" spans="1:24">
      <c r="A4588">
        <f>HYPERLINK("https://www.philgeps.gov.ph/GEPSNONPILOT/Tender/SplashBidNoticeAbstractUI.aspx?menuIndex=3&amp;refID=7046961&amp;Result=3","7046961")</f>
        <v>0</v>
      </c>
      <c r="B4588" t="s">
        <v>1619</v>
      </c>
      <c r="C4588" t="s">
        <v>7464</v>
      </c>
      <c r="D4588" t="s">
        <v>16190</v>
      </c>
      <c r="E4588" t="s">
        <v>20356</v>
      </c>
      <c r="F4588" t="s">
        <v>28198</v>
      </c>
      <c r="G4588" t="s">
        <v>28207</v>
      </c>
      <c r="H4588" t="s">
        <v>28217</v>
      </c>
      <c r="I4588" t="s">
        <v>5103</v>
      </c>
      <c r="J4588" t="s">
        <v>31294</v>
      </c>
      <c r="K4588" t="s">
        <v>36687</v>
      </c>
      <c r="M4588" t="s">
        <v>38706</v>
      </c>
      <c r="N4588" t="s">
        <v>40436</v>
      </c>
      <c r="O4588" t="s">
        <v>40437</v>
      </c>
      <c r="P4588">
        <v>0</v>
      </c>
      <c r="Q4588">
        <v>1</v>
      </c>
      <c r="R4588" t="s">
        <v>40439</v>
      </c>
      <c r="S4588" t="s">
        <v>40588</v>
      </c>
      <c r="T4588" t="s">
        <v>42161</v>
      </c>
      <c r="U4588" t="s">
        <v>46522</v>
      </c>
      <c r="W4588" t="s">
        <v>38706</v>
      </c>
      <c r="X4588" t="s">
        <v>40440</v>
      </c>
    </row>
    <row r="4589" spans="1:24">
      <c r="A4589">
        <f>HYPERLINK("https://www.philgeps.gov.ph/GEPSNONPILOT/Tender/SplashBidNoticeAbstractUI.aspx?menuIndex=3&amp;refID=7046962&amp;Result=3","7046962")</f>
        <v>0</v>
      </c>
      <c r="B4589" t="s">
        <v>1129</v>
      </c>
      <c r="C4589" t="s">
        <v>7465</v>
      </c>
      <c r="D4589" t="s">
        <v>16199</v>
      </c>
      <c r="E4589" t="s">
        <v>16696</v>
      </c>
      <c r="F4589" t="s">
        <v>28198</v>
      </c>
      <c r="G4589" t="s">
        <v>28205</v>
      </c>
      <c r="H4589" t="s">
        <v>28215</v>
      </c>
      <c r="I4589" t="s">
        <v>28234</v>
      </c>
      <c r="J4589" t="s">
        <v>31295</v>
      </c>
      <c r="K4589" t="s">
        <v>36717</v>
      </c>
      <c r="M4589" t="s">
        <v>38167</v>
      </c>
      <c r="N4589" t="s">
        <v>40436</v>
      </c>
      <c r="O4589" t="s">
        <v>40437</v>
      </c>
      <c r="P4589">
        <v>0</v>
      </c>
      <c r="Q4589">
        <v>16</v>
      </c>
      <c r="R4589" t="s">
        <v>40439</v>
      </c>
      <c r="S4589" t="s">
        <v>40588</v>
      </c>
      <c r="T4589" t="s">
        <v>42390</v>
      </c>
      <c r="U4589" t="s">
        <v>46523</v>
      </c>
      <c r="W4589" t="s">
        <v>38167</v>
      </c>
      <c r="X4589" t="s">
        <v>40440</v>
      </c>
    </row>
    <row r="4590" spans="1:24">
      <c r="A4590">
        <f>HYPERLINK("https://www.philgeps.gov.ph/GEPSNONPILOT/Tender/SplashBidNoticeAbstractUI.aspx?menuIndex=3&amp;refID=7046960&amp;Result=3","7046960")</f>
        <v>0</v>
      </c>
      <c r="B4590" t="s">
        <v>1631</v>
      </c>
      <c r="C4590" t="s">
        <v>7466</v>
      </c>
      <c r="D4590" t="s">
        <v>16210</v>
      </c>
      <c r="E4590" t="s">
        <v>20357</v>
      </c>
      <c r="F4590" t="s">
        <v>28200</v>
      </c>
      <c r="G4590" t="s">
        <v>28212</v>
      </c>
      <c r="H4590" t="s">
        <v>28215</v>
      </c>
      <c r="I4590" t="s">
        <v>28239</v>
      </c>
      <c r="J4590" t="s">
        <v>28561</v>
      </c>
      <c r="K4590" t="s">
        <v>36693</v>
      </c>
      <c r="M4590" t="s">
        <v>38721</v>
      </c>
      <c r="N4590" t="s">
        <v>40436</v>
      </c>
      <c r="O4590" t="s">
        <v>40437</v>
      </c>
      <c r="P4590">
        <v>0</v>
      </c>
      <c r="Q4590">
        <v>4</v>
      </c>
      <c r="R4590" t="s">
        <v>40439</v>
      </c>
      <c r="S4590" t="s">
        <v>40588</v>
      </c>
      <c r="T4590" t="s">
        <v>42177</v>
      </c>
      <c r="U4590" t="s">
        <v>46524</v>
      </c>
      <c r="W4590" t="s">
        <v>38721</v>
      </c>
      <c r="X4590" t="s">
        <v>40440</v>
      </c>
    </row>
    <row r="4591" spans="1:24">
      <c r="A4591">
        <f>HYPERLINK("https://www.philgeps.gov.ph/GEPSNONPILOT/Tender/SplashBidNoticeAbstractUI.aspx?menuIndex=3&amp;refID=7046966&amp;Result=3","7046966")</f>
        <v>0</v>
      </c>
      <c r="B4591" t="s">
        <v>1632</v>
      </c>
      <c r="C4591" t="s">
        <v>7467</v>
      </c>
      <c r="D4591" t="s">
        <v>16245</v>
      </c>
      <c r="E4591" t="s">
        <v>20358</v>
      </c>
      <c r="F4591" t="s">
        <v>28198</v>
      </c>
      <c r="G4591" t="s">
        <v>28210</v>
      </c>
      <c r="H4591" t="s">
        <v>28215</v>
      </c>
      <c r="I4591" t="s">
        <v>28234</v>
      </c>
      <c r="J4591" t="s">
        <v>28430</v>
      </c>
      <c r="K4591" t="s">
        <v>36706</v>
      </c>
      <c r="M4591" t="s">
        <v>38722</v>
      </c>
      <c r="N4591" t="s">
        <v>40436</v>
      </c>
      <c r="O4591" t="s">
        <v>40437</v>
      </c>
      <c r="P4591">
        <v>0</v>
      </c>
      <c r="Q4591">
        <v>2</v>
      </c>
      <c r="R4591" t="s">
        <v>40439</v>
      </c>
      <c r="S4591" t="s">
        <v>40588</v>
      </c>
      <c r="T4591" t="s">
        <v>42131</v>
      </c>
      <c r="U4591" t="s">
        <v>46525</v>
      </c>
      <c r="W4591" t="s">
        <v>38722</v>
      </c>
      <c r="X4591" t="s">
        <v>40440</v>
      </c>
    </row>
    <row r="4592" spans="1:24">
      <c r="A4592">
        <f>HYPERLINK("https://www.philgeps.gov.ph/GEPSNONPILOT/Tender/SplashBidNoticeAbstractUI.aspx?menuIndex=3&amp;refID=7046974&amp;Result=3","7046974")</f>
        <v>0</v>
      </c>
      <c r="B4592" t="s">
        <v>763</v>
      </c>
      <c r="C4592" t="s">
        <v>7468</v>
      </c>
      <c r="D4592" t="s">
        <v>16210</v>
      </c>
      <c r="E4592" t="s">
        <v>20359</v>
      </c>
      <c r="F4592" t="s">
        <v>28198</v>
      </c>
      <c r="G4592" t="s">
        <v>28207</v>
      </c>
      <c r="H4592" t="s">
        <v>28215</v>
      </c>
      <c r="I4592" t="s">
        <v>28253</v>
      </c>
      <c r="J4592" t="s">
        <v>28593</v>
      </c>
      <c r="K4592" t="s">
        <v>36689</v>
      </c>
      <c r="M4592" t="s">
        <v>37766</v>
      </c>
      <c r="N4592" t="s">
        <v>40436</v>
      </c>
      <c r="O4592" t="s">
        <v>40437</v>
      </c>
      <c r="P4592">
        <v>0</v>
      </c>
      <c r="Q4592">
        <v>1</v>
      </c>
      <c r="R4592" t="s">
        <v>40439</v>
      </c>
      <c r="S4592" t="s">
        <v>40588</v>
      </c>
      <c r="T4592" t="s">
        <v>42169</v>
      </c>
      <c r="U4592" t="s">
        <v>46526</v>
      </c>
      <c r="W4592" t="s">
        <v>37766</v>
      </c>
      <c r="X4592" t="s">
        <v>40440</v>
      </c>
    </row>
    <row r="4593" spans="1:24">
      <c r="A4593">
        <f>HYPERLINK("https://www.philgeps.gov.ph/GEPSNONPILOT/Tender/SplashBidNoticeAbstractUI.aspx?menuIndex=3&amp;refID=7046978&amp;Result=3","7046978")</f>
        <v>0</v>
      </c>
      <c r="B4593" t="s">
        <v>227</v>
      </c>
      <c r="C4593" t="s">
        <v>7469</v>
      </c>
      <c r="D4593" t="s">
        <v>16193</v>
      </c>
      <c r="E4593" t="s">
        <v>20360</v>
      </c>
      <c r="F4593" t="s">
        <v>28198</v>
      </c>
      <c r="G4593" t="s">
        <v>28205</v>
      </c>
      <c r="H4593" t="s">
        <v>28214</v>
      </c>
      <c r="I4593" t="s">
        <v>3797</v>
      </c>
      <c r="J4593" t="s">
        <v>31296</v>
      </c>
      <c r="K4593" t="s">
        <v>36720</v>
      </c>
      <c r="M4593" t="s">
        <v>38723</v>
      </c>
      <c r="N4593" t="s">
        <v>40436</v>
      </c>
      <c r="O4593" t="s">
        <v>40437</v>
      </c>
      <c r="P4593">
        <v>0</v>
      </c>
      <c r="Q4593">
        <v>0</v>
      </c>
      <c r="R4593" t="s">
        <v>40439</v>
      </c>
      <c r="S4593" t="s">
        <v>40588</v>
      </c>
      <c r="T4593" t="s">
        <v>42133</v>
      </c>
      <c r="U4593" t="s">
        <v>46527</v>
      </c>
      <c r="W4593" t="s">
        <v>38731</v>
      </c>
      <c r="X4593" t="s">
        <v>40440</v>
      </c>
    </row>
    <row r="4594" spans="1:24">
      <c r="A4594">
        <f>HYPERLINK("https://www.philgeps.gov.ph/GEPSNONPILOT/Tender/SplashBidNoticeAbstractUI.aspx?menuIndex=3&amp;refID=7046970&amp;Result=3","7046970")</f>
        <v>0</v>
      </c>
      <c r="B4594" t="s">
        <v>1631</v>
      </c>
      <c r="C4594" t="s">
        <v>7470</v>
      </c>
      <c r="D4594" t="s">
        <v>16210</v>
      </c>
      <c r="E4594" t="s">
        <v>17441</v>
      </c>
      <c r="F4594" t="s">
        <v>28200</v>
      </c>
      <c r="G4594" t="s">
        <v>28212</v>
      </c>
      <c r="H4594" t="s">
        <v>28215</v>
      </c>
      <c r="I4594" t="s">
        <v>28232</v>
      </c>
      <c r="J4594" t="s">
        <v>28393</v>
      </c>
      <c r="K4594" t="s">
        <v>36693</v>
      </c>
      <c r="M4594" t="s">
        <v>38721</v>
      </c>
      <c r="N4594" t="s">
        <v>40436</v>
      </c>
      <c r="O4594" t="s">
        <v>40437</v>
      </c>
      <c r="P4594">
        <v>0</v>
      </c>
      <c r="Q4594">
        <v>3</v>
      </c>
      <c r="R4594" t="s">
        <v>40439</v>
      </c>
      <c r="S4594" t="s">
        <v>40588</v>
      </c>
      <c r="T4594" t="s">
        <v>42177</v>
      </c>
      <c r="U4594" t="s">
        <v>46528</v>
      </c>
      <c r="W4594" t="s">
        <v>38721</v>
      </c>
      <c r="X4594" t="s">
        <v>40440</v>
      </c>
    </row>
    <row r="4595" spans="1:24">
      <c r="A4595">
        <f>HYPERLINK("https://www.philgeps.gov.ph/GEPSNONPILOT/Tender/SplashBidNoticeAbstractUI.aspx?menuIndex=3&amp;refID=7046977&amp;Result=3","7046977")</f>
        <v>0</v>
      </c>
      <c r="B4595" t="s">
        <v>962</v>
      </c>
      <c r="C4595" t="s">
        <v>7471</v>
      </c>
      <c r="D4595" t="s">
        <v>16230</v>
      </c>
      <c r="E4595" t="s">
        <v>7471</v>
      </c>
      <c r="F4595" t="s">
        <v>28198</v>
      </c>
      <c r="G4595" t="s">
        <v>28207</v>
      </c>
      <c r="H4595" t="s">
        <v>28215</v>
      </c>
      <c r="I4595" t="s">
        <v>5100</v>
      </c>
      <c r="J4595" t="s">
        <v>31297</v>
      </c>
      <c r="K4595" t="s">
        <v>36706</v>
      </c>
      <c r="M4595" t="s">
        <v>37988</v>
      </c>
      <c r="N4595" t="s">
        <v>40436</v>
      </c>
      <c r="O4595" t="s">
        <v>40437</v>
      </c>
      <c r="P4595">
        <v>0</v>
      </c>
      <c r="Q4595">
        <v>0</v>
      </c>
      <c r="R4595" t="s">
        <v>40439</v>
      </c>
      <c r="S4595" t="s">
        <v>40588</v>
      </c>
      <c r="T4595" t="s">
        <v>42131</v>
      </c>
      <c r="U4595" t="s">
        <v>46529</v>
      </c>
      <c r="W4595" t="s">
        <v>37988</v>
      </c>
      <c r="X4595" t="s">
        <v>40440</v>
      </c>
    </row>
    <row r="4596" spans="1:24">
      <c r="A4596">
        <f>HYPERLINK("https://www.philgeps.gov.ph/GEPSNONPILOT/Tender/SplashBidNoticeAbstractUI.aspx?menuIndex=3&amp;refID=7046979&amp;Result=3","7046979")</f>
        <v>0</v>
      </c>
      <c r="B4596" t="s">
        <v>1600</v>
      </c>
      <c r="C4596" t="s">
        <v>7472</v>
      </c>
      <c r="D4596" t="s">
        <v>16210</v>
      </c>
      <c r="E4596" t="s">
        <v>20361</v>
      </c>
      <c r="F4596" t="s">
        <v>28198</v>
      </c>
      <c r="G4596" t="s">
        <v>28207</v>
      </c>
      <c r="H4596" t="s">
        <v>28215</v>
      </c>
      <c r="I4596" t="s">
        <v>28225</v>
      </c>
      <c r="J4596" t="s">
        <v>28880</v>
      </c>
      <c r="K4596" t="s">
        <v>36689</v>
      </c>
      <c r="M4596" t="s">
        <v>38687</v>
      </c>
      <c r="N4596" t="s">
        <v>40436</v>
      </c>
      <c r="O4596" t="s">
        <v>40437</v>
      </c>
      <c r="P4596">
        <v>0</v>
      </c>
      <c r="Q4596">
        <v>0</v>
      </c>
      <c r="R4596" t="s">
        <v>40439</v>
      </c>
      <c r="S4596" t="s">
        <v>40588</v>
      </c>
      <c r="T4596" t="s">
        <v>42216</v>
      </c>
      <c r="U4596" t="s">
        <v>46446</v>
      </c>
      <c r="W4596" t="s">
        <v>38687</v>
      </c>
      <c r="X4596" t="s">
        <v>40440</v>
      </c>
    </row>
    <row r="4597" spans="1:24">
      <c r="A4597">
        <f>HYPERLINK("https://www.philgeps.gov.ph/GEPSNONPILOT/Tender/SplashBidNoticeAbstractUI.aspx?menuIndex=3&amp;refID=7046971&amp;Result=3","7046971")</f>
        <v>0</v>
      </c>
      <c r="B4597" t="s">
        <v>763</v>
      </c>
      <c r="C4597" t="s">
        <v>7473</v>
      </c>
      <c r="D4597" t="s">
        <v>16210</v>
      </c>
      <c r="E4597" t="s">
        <v>20362</v>
      </c>
      <c r="F4597" t="s">
        <v>28198</v>
      </c>
      <c r="G4597" t="s">
        <v>28207</v>
      </c>
      <c r="H4597" t="s">
        <v>28215</v>
      </c>
      <c r="I4597" t="s">
        <v>28253</v>
      </c>
      <c r="J4597" t="s">
        <v>31298</v>
      </c>
      <c r="K4597" t="s">
        <v>36689</v>
      </c>
      <c r="M4597" t="s">
        <v>37766</v>
      </c>
      <c r="N4597" t="s">
        <v>40436</v>
      </c>
      <c r="O4597" t="s">
        <v>40437</v>
      </c>
      <c r="P4597">
        <v>0</v>
      </c>
      <c r="Q4597">
        <v>1</v>
      </c>
      <c r="R4597" t="s">
        <v>40439</v>
      </c>
      <c r="S4597" t="s">
        <v>40588</v>
      </c>
      <c r="T4597" t="s">
        <v>42169</v>
      </c>
      <c r="U4597" t="s">
        <v>46530</v>
      </c>
      <c r="W4597" t="s">
        <v>37766</v>
      </c>
      <c r="X4597" t="s">
        <v>40440</v>
      </c>
    </row>
    <row r="4598" spans="1:24">
      <c r="A4598">
        <f>HYPERLINK("https://www.philgeps.gov.ph/GEPSNONPILOT/Tender/SplashBidNoticeAbstractUI.aspx?menuIndex=3&amp;refID=7046975&amp;Result=3","7046975")</f>
        <v>0</v>
      </c>
      <c r="B4598" t="s">
        <v>1633</v>
      </c>
      <c r="C4598" t="s">
        <v>7474</v>
      </c>
      <c r="D4598" t="s">
        <v>16235</v>
      </c>
      <c r="E4598" t="s">
        <v>20363</v>
      </c>
      <c r="F4598" t="s">
        <v>28198</v>
      </c>
      <c r="G4598" t="s">
        <v>28205</v>
      </c>
      <c r="H4598" t="s">
        <v>28214</v>
      </c>
      <c r="I4598" t="s">
        <v>3797</v>
      </c>
      <c r="J4598" t="s">
        <v>28379</v>
      </c>
      <c r="K4598" t="s">
        <v>36715</v>
      </c>
      <c r="M4598" t="s">
        <v>38724</v>
      </c>
      <c r="N4598" t="s">
        <v>40436</v>
      </c>
      <c r="O4598" t="s">
        <v>40437</v>
      </c>
      <c r="P4598">
        <v>0</v>
      </c>
      <c r="Q4598">
        <v>0</v>
      </c>
      <c r="R4598" t="s">
        <v>40439</v>
      </c>
      <c r="S4598" t="s">
        <v>40588</v>
      </c>
      <c r="T4598" t="s">
        <v>42175</v>
      </c>
      <c r="U4598" t="s">
        <v>46531</v>
      </c>
      <c r="V4598" t="s">
        <v>54242</v>
      </c>
      <c r="W4598" t="s">
        <v>38724</v>
      </c>
      <c r="X4598" t="s">
        <v>40440</v>
      </c>
    </row>
    <row r="4599" spans="1:24">
      <c r="A4599">
        <f>HYPERLINK("https://www.philgeps.gov.ph/GEPSNONPILOT/Tender/SplashBidNoticeAbstractUI.aspx?menuIndex=3&amp;refID=7046981&amp;Result=3","7046981")</f>
        <v>0</v>
      </c>
      <c r="B4599" t="s">
        <v>1627</v>
      </c>
      <c r="C4599" t="s">
        <v>7475</v>
      </c>
      <c r="D4599" t="s">
        <v>16195</v>
      </c>
      <c r="E4599" t="s">
        <v>20364</v>
      </c>
      <c r="F4599" t="s">
        <v>28198</v>
      </c>
      <c r="G4599" t="s">
        <v>28205</v>
      </c>
      <c r="H4599" t="s">
        <v>28214</v>
      </c>
      <c r="I4599" t="s">
        <v>3797</v>
      </c>
      <c r="J4599" t="s">
        <v>28415</v>
      </c>
      <c r="K4599" t="s">
        <v>36701</v>
      </c>
      <c r="M4599" t="s">
        <v>38716</v>
      </c>
      <c r="N4599" t="s">
        <v>40436</v>
      </c>
      <c r="O4599" t="s">
        <v>40437</v>
      </c>
      <c r="P4599">
        <v>0</v>
      </c>
      <c r="Q4599">
        <v>0</v>
      </c>
      <c r="R4599" t="s">
        <v>40439</v>
      </c>
      <c r="S4599" t="s">
        <v>40588</v>
      </c>
      <c r="T4599" t="s">
        <v>42143</v>
      </c>
      <c r="U4599" t="s">
        <v>46532</v>
      </c>
      <c r="W4599" t="s">
        <v>38716</v>
      </c>
      <c r="X4599" t="s">
        <v>40440</v>
      </c>
    </row>
    <row r="4600" spans="1:24">
      <c r="A4600">
        <f>HYPERLINK("https://www.philgeps.gov.ph/GEPSNONPILOT/Tender/SplashBidNoticeAbstractUI.aspx?menuIndex=3&amp;refID=7046959&amp;Result=3","7046959")</f>
        <v>0</v>
      </c>
      <c r="B4600" t="s">
        <v>1617</v>
      </c>
      <c r="C4600" t="s">
        <v>7476</v>
      </c>
      <c r="D4600" t="s">
        <v>16210</v>
      </c>
      <c r="E4600" t="s">
        <v>20365</v>
      </c>
      <c r="F4600" t="s">
        <v>28198</v>
      </c>
      <c r="G4600" t="s">
        <v>28207</v>
      </c>
      <c r="H4600" t="s">
        <v>28215</v>
      </c>
      <c r="I4600" t="s">
        <v>28247</v>
      </c>
      <c r="J4600" t="s">
        <v>28694</v>
      </c>
      <c r="K4600" t="s">
        <v>36689</v>
      </c>
      <c r="M4600" t="s">
        <v>38704</v>
      </c>
      <c r="N4600" t="s">
        <v>40436</v>
      </c>
      <c r="O4600" t="s">
        <v>40437</v>
      </c>
      <c r="P4600">
        <v>0</v>
      </c>
      <c r="Q4600">
        <v>13</v>
      </c>
      <c r="R4600" t="s">
        <v>40439</v>
      </c>
      <c r="S4600" t="s">
        <v>40588</v>
      </c>
      <c r="T4600" t="s">
        <v>42103</v>
      </c>
      <c r="U4600" t="s">
        <v>46476</v>
      </c>
      <c r="W4600" t="s">
        <v>38704</v>
      </c>
      <c r="X4600" t="s">
        <v>40440</v>
      </c>
    </row>
    <row r="4601" spans="1:24">
      <c r="A4601">
        <f>HYPERLINK("https://www.philgeps.gov.ph/GEPSNONPILOT/Tender/SplashBidNoticeAbstractUI.aspx?menuIndex=3&amp;refID=7046982&amp;Result=3","7046982")</f>
        <v>0</v>
      </c>
      <c r="B4601" t="s">
        <v>1634</v>
      </c>
      <c r="C4601" t="s">
        <v>7477</v>
      </c>
      <c r="E4601" t="s">
        <v>20366</v>
      </c>
      <c r="F4601" t="s">
        <v>28198</v>
      </c>
      <c r="G4601" t="s">
        <v>28206</v>
      </c>
      <c r="H4601" t="s">
        <v>28215</v>
      </c>
      <c r="I4601" t="s">
        <v>28234</v>
      </c>
      <c r="J4601" t="s">
        <v>28378</v>
      </c>
      <c r="K4601" t="s">
        <v>36701</v>
      </c>
      <c r="M4601" t="s">
        <v>38725</v>
      </c>
      <c r="N4601" t="s">
        <v>40436</v>
      </c>
      <c r="O4601" t="s">
        <v>40437</v>
      </c>
      <c r="P4601">
        <v>0</v>
      </c>
      <c r="Q4601">
        <v>7</v>
      </c>
      <c r="R4601" t="s">
        <v>40439</v>
      </c>
      <c r="S4601" t="s">
        <v>40588</v>
      </c>
      <c r="T4601" t="s">
        <v>42378</v>
      </c>
      <c r="U4601" t="s">
        <v>46533</v>
      </c>
      <c r="W4601" t="s">
        <v>38725</v>
      </c>
      <c r="X4601" t="s">
        <v>40440</v>
      </c>
    </row>
    <row r="4602" spans="1:24">
      <c r="A4602">
        <f>HYPERLINK("https://www.philgeps.gov.ph/GEPSNONPILOT/Tender/SplashBidNoticeAbstractUI.aspx?menuIndex=3&amp;refID=7046969&amp;Result=3","7046969")</f>
        <v>0</v>
      </c>
      <c r="B4602" t="s">
        <v>1635</v>
      </c>
      <c r="C4602" t="s">
        <v>7478</v>
      </c>
      <c r="D4602" t="s">
        <v>16197</v>
      </c>
      <c r="E4602" t="s">
        <v>18331</v>
      </c>
      <c r="F4602" t="s">
        <v>28198</v>
      </c>
      <c r="G4602" t="s">
        <v>28205</v>
      </c>
      <c r="H4602" t="s">
        <v>28215</v>
      </c>
      <c r="I4602" t="s">
        <v>28242</v>
      </c>
      <c r="J4602" t="s">
        <v>28468</v>
      </c>
      <c r="K4602" t="s">
        <v>36694</v>
      </c>
      <c r="M4602" t="s">
        <v>38726</v>
      </c>
      <c r="N4602" t="s">
        <v>40436</v>
      </c>
      <c r="O4602" t="s">
        <v>40437</v>
      </c>
      <c r="P4602">
        <v>0</v>
      </c>
      <c r="Q4602">
        <v>2</v>
      </c>
      <c r="R4602" t="s">
        <v>40439</v>
      </c>
      <c r="S4602" t="s">
        <v>40588</v>
      </c>
      <c r="T4602" t="s">
        <v>42400</v>
      </c>
      <c r="U4602" t="s">
        <v>46534</v>
      </c>
      <c r="V4602" t="s">
        <v>54243</v>
      </c>
      <c r="W4602" t="s">
        <v>38726</v>
      </c>
      <c r="X4602" t="s">
        <v>40440</v>
      </c>
    </row>
    <row r="4603" spans="1:24">
      <c r="A4603">
        <f>HYPERLINK("https://www.philgeps.gov.ph/GEPSNONPILOT/Tender/SplashBidNoticeAbstractUI.aspx?menuIndex=3&amp;refID=7046980&amp;Result=3","7046980")</f>
        <v>0</v>
      </c>
      <c r="B4603" t="s">
        <v>1633</v>
      </c>
      <c r="C4603" t="s">
        <v>7479</v>
      </c>
      <c r="D4603" t="s">
        <v>16235</v>
      </c>
      <c r="E4603" t="s">
        <v>20367</v>
      </c>
      <c r="F4603" t="s">
        <v>28198</v>
      </c>
      <c r="G4603" t="s">
        <v>28205</v>
      </c>
      <c r="H4603" t="s">
        <v>28214</v>
      </c>
      <c r="I4603" t="s">
        <v>3797</v>
      </c>
      <c r="J4603" t="s">
        <v>31299</v>
      </c>
      <c r="K4603" t="s">
        <v>36820</v>
      </c>
      <c r="M4603" t="s">
        <v>38724</v>
      </c>
      <c r="N4603" t="s">
        <v>40436</v>
      </c>
      <c r="O4603" t="s">
        <v>40437</v>
      </c>
      <c r="P4603">
        <v>0</v>
      </c>
      <c r="Q4603">
        <v>0</v>
      </c>
      <c r="R4603" t="s">
        <v>40439</v>
      </c>
      <c r="S4603" t="s">
        <v>40588</v>
      </c>
      <c r="T4603" t="s">
        <v>42175</v>
      </c>
      <c r="U4603" t="s">
        <v>46535</v>
      </c>
      <c r="V4603" t="s">
        <v>54242</v>
      </c>
      <c r="W4603" t="s">
        <v>38724</v>
      </c>
      <c r="X4603" t="s">
        <v>40440</v>
      </c>
    </row>
    <row r="4604" spans="1:24">
      <c r="A4604">
        <f>HYPERLINK("https://www.philgeps.gov.ph/GEPSNONPILOT/Tender/SplashBidNoticeAbstractUI.aspx?menuIndex=3&amp;refID=7046983&amp;Result=3","7046983")</f>
        <v>0</v>
      </c>
      <c r="B4604" t="s">
        <v>1636</v>
      </c>
      <c r="C4604" t="s">
        <v>7480</v>
      </c>
      <c r="D4604" t="s">
        <v>16209</v>
      </c>
      <c r="E4604" t="s">
        <v>20368</v>
      </c>
      <c r="F4604" t="s">
        <v>28198</v>
      </c>
      <c r="G4604" t="s">
        <v>28205</v>
      </c>
      <c r="H4604" t="s">
        <v>28215</v>
      </c>
      <c r="I4604" t="s">
        <v>28228</v>
      </c>
      <c r="J4604" t="s">
        <v>31300</v>
      </c>
      <c r="K4604" t="s">
        <v>36689</v>
      </c>
      <c r="M4604" t="s">
        <v>38727</v>
      </c>
      <c r="N4604" t="s">
        <v>40436</v>
      </c>
      <c r="O4604" t="s">
        <v>40437</v>
      </c>
      <c r="P4604">
        <v>0</v>
      </c>
      <c r="Q4604">
        <v>0</v>
      </c>
      <c r="R4604" t="s">
        <v>40439</v>
      </c>
      <c r="S4604" t="s">
        <v>40588</v>
      </c>
      <c r="T4604" t="s">
        <v>42177</v>
      </c>
      <c r="U4604" t="s">
        <v>46536</v>
      </c>
      <c r="W4604" t="s">
        <v>38727</v>
      </c>
      <c r="X4604" t="s">
        <v>40440</v>
      </c>
    </row>
    <row r="4605" spans="1:24">
      <c r="A4605">
        <f>HYPERLINK("https://www.philgeps.gov.ph/GEPSNONPILOT/Tender/SplashBidNoticeAbstractUI.aspx?menuIndex=3&amp;refID=7046986&amp;Result=3","7046986")</f>
        <v>0</v>
      </c>
      <c r="B4605" t="s">
        <v>1633</v>
      </c>
      <c r="C4605" t="s">
        <v>7481</v>
      </c>
      <c r="D4605" t="s">
        <v>16235</v>
      </c>
      <c r="E4605" t="s">
        <v>20369</v>
      </c>
      <c r="F4605" t="s">
        <v>28198</v>
      </c>
      <c r="G4605" t="s">
        <v>28205</v>
      </c>
      <c r="H4605" t="s">
        <v>28214</v>
      </c>
      <c r="I4605" t="s">
        <v>3797</v>
      </c>
      <c r="J4605" t="s">
        <v>29608</v>
      </c>
      <c r="K4605" t="s">
        <v>36697</v>
      </c>
      <c r="M4605" t="s">
        <v>38724</v>
      </c>
      <c r="N4605" t="s">
        <v>40436</v>
      </c>
      <c r="O4605" t="s">
        <v>40437</v>
      </c>
      <c r="P4605">
        <v>0</v>
      </c>
      <c r="Q4605">
        <v>0</v>
      </c>
      <c r="R4605" t="s">
        <v>40439</v>
      </c>
      <c r="S4605" t="s">
        <v>40588</v>
      </c>
      <c r="T4605" t="s">
        <v>42133</v>
      </c>
      <c r="U4605" t="s">
        <v>46531</v>
      </c>
      <c r="V4605" t="s">
        <v>54242</v>
      </c>
      <c r="W4605" t="s">
        <v>38724</v>
      </c>
      <c r="X4605" t="s">
        <v>40440</v>
      </c>
    </row>
    <row r="4606" spans="1:24">
      <c r="A4606">
        <f>HYPERLINK("https://www.philgeps.gov.ph/GEPSNONPILOT/Tender/SplashBidNoticeAbstractUI.aspx?menuIndex=3&amp;refID=7046992&amp;Result=3","7046992")</f>
        <v>0</v>
      </c>
      <c r="B4606" t="s">
        <v>1637</v>
      </c>
      <c r="C4606" t="s">
        <v>7482</v>
      </c>
      <c r="D4606" t="s">
        <v>16190</v>
      </c>
      <c r="E4606" t="s">
        <v>17685</v>
      </c>
      <c r="F4606" t="s">
        <v>28198</v>
      </c>
      <c r="G4606" t="s">
        <v>28207</v>
      </c>
      <c r="H4606" t="s">
        <v>28215</v>
      </c>
      <c r="I4606" t="s">
        <v>4219</v>
      </c>
      <c r="J4606" t="s">
        <v>31301</v>
      </c>
      <c r="K4606" t="s">
        <v>36691</v>
      </c>
      <c r="M4606" t="s">
        <v>38728</v>
      </c>
      <c r="N4606" t="s">
        <v>40436</v>
      </c>
      <c r="O4606" t="s">
        <v>40437</v>
      </c>
      <c r="P4606">
        <v>0</v>
      </c>
      <c r="Q4606">
        <v>1</v>
      </c>
      <c r="R4606" t="s">
        <v>40439</v>
      </c>
      <c r="S4606" t="s">
        <v>40588</v>
      </c>
      <c r="T4606" t="s">
        <v>42131</v>
      </c>
      <c r="U4606" t="s">
        <v>46537</v>
      </c>
      <c r="W4606" t="s">
        <v>38728</v>
      </c>
      <c r="X4606" t="s">
        <v>40440</v>
      </c>
    </row>
    <row r="4607" spans="1:24">
      <c r="A4607">
        <f>HYPERLINK("https://www.philgeps.gov.ph/GEPSNONPILOT/Tender/SplashBidNoticeAbstractUI.aspx?menuIndex=3&amp;refID=7046987&amp;Result=3","7046987")</f>
        <v>0</v>
      </c>
      <c r="B4607" t="s">
        <v>1627</v>
      </c>
      <c r="C4607" t="s">
        <v>7483</v>
      </c>
      <c r="D4607" t="s">
        <v>16195</v>
      </c>
      <c r="E4607" t="s">
        <v>20370</v>
      </c>
      <c r="F4607" t="s">
        <v>28198</v>
      </c>
      <c r="G4607" t="s">
        <v>28205</v>
      </c>
      <c r="H4607" t="s">
        <v>28214</v>
      </c>
      <c r="I4607" t="s">
        <v>3797</v>
      </c>
      <c r="J4607" t="s">
        <v>28415</v>
      </c>
      <c r="K4607" t="s">
        <v>36701</v>
      </c>
      <c r="M4607" t="s">
        <v>38716</v>
      </c>
      <c r="N4607" t="s">
        <v>40436</v>
      </c>
      <c r="O4607" t="s">
        <v>40437</v>
      </c>
      <c r="P4607">
        <v>0</v>
      </c>
      <c r="Q4607">
        <v>1</v>
      </c>
      <c r="R4607" t="s">
        <v>40439</v>
      </c>
      <c r="S4607" t="s">
        <v>40588</v>
      </c>
      <c r="T4607" t="s">
        <v>42143</v>
      </c>
      <c r="U4607" t="s">
        <v>46538</v>
      </c>
      <c r="W4607" t="s">
        <v>38716</v>
      </c>
      <c r="X4607" t="s">
        <v>40440</v>
      </c>
    </row>
    <row r="4608" spans="1:24">
      <c r="A4608">
        <f>HYPERLINK("https://www.philgeps.gov.ph/GEPSNONPILOT/Tender/SplashBidNoticeAbstractUI.aspx?menuIndex=3&amp;refID=7046990&amp;Result=3","7046990")</f>
        <v>0</v>
      </c>
      <c r="B4608" t="s">
        <v>1638</v>
      </c>
      <c r="C4608" t="s">
        <v>7484</v>
      </c>
      <c r="D4608" t="s">
        <v>16193</v>
      </c>
      <c r="E4608" t="s">
        <v>20371</v>
      </c>
      <c r="F4608" t="s">
        <v>28198</v>
      </c>
      <c r="G4608" t="s">
        <v>28205</v>
      </c>
      <c r="H4608" t="s">
        <v>28215</v>
      </c>
      <c r="I4608" t="s">
        <v>28234</v>
      </c>
      <c r="J4608" t="s">
        <v>31302</v>
      </c>
      <c r="K4608" t="s">
        <v>36689</v>
      </c>
      <c r="M4608" t="s">
        <v>38729</v>
      </c>
      <c r="N4608" t="s">
        <v>40436</v>
      </c>
      <c r="O4608" t="s">
        <v>40437</v>
      </c>
      <c r="P4608">
        <v>0</v>
      </c>
      <c r="Q4608">
        <v>3</v>
      </c>
      <c r="R4608" t="s">
        <v>40439</v>
      </c>
      <c r="S4608" t="s">
        <v>40588</v>
      </c>
      <c r="T4608" t="s">
        <v>42106</v>
      </c>
      <c r="U4608" t="s">
        <v>46539</v>
      </c>
      <c r="W4608" t="s">
        <v>38729</v>
      </c>
      <c r="X4608" t="s">
        <v>40440</v>
      </c>
    </row>
    <row r="4609" spans="1:24">
      <c r="A4609">
        <f>HYPERLINK("https://www.philgeps.gov.ph/GEPSNONPILOT/Tender/SplashBidNoticeAbstractUI.aspx?menuIndex=3&amp;refID=7046989&amp;Result=3","7046989")</f>
        <v>0</v>
      </c>
      <c r="B4609" t="s">
        <v>1129</v>
      </c>
      <c r="C4609" t="s">
        <v>7485</v>
      </c>
      <c r="D4609" t="s">
        <v>16199</v>
      </c>
      <c r="E4609" t="s">
        <v>20372</v>
      </c>
      <c r="F4609" t="s">
        <v>28198</v>
      </c>
      <c r="G4609" t="s">
        <v>28205</v>
      </c>
      <c r="H4609" t="s">
        <v>28215</v>
      </c>
      <c r="I4609" t="s">
        <v>28233</v>
      </c>
      <c r="J4609" t="s">
        <v>28390</v>
      </c>
      <c r="K4609" t="s">
        <v>36717</v>
      </c>
      <c r="M4609" t="s">
        <v>38167</v>
      </c>
      <c r="N4609" t="s">
        <v>40436</v>
      </c>
      <c r="O4609" t="s">
        <v>40437</v>
      </c>
      <c r="P4609">
        <v>0</v>
      </c>
      <c r="Q4609">
        <v>15</v>
      </c>
      <c r="R4609" t="s">
        <v>40439</v>
      </c>
      <c r="S4609" t="s">
        <v>40588</v>
      </c>
      <c r="T4609" t="s">
        <v>42106</v>
      </c>
      <c r="U4609" t="s">
        <v>46540</v>
      </c>
      <c r="W4609" t="s">
        <v>38167</v>
      </c>
      <c r="X4609" t="s">
        <v>40440</v>
      </c>
    </row>
    <row r="4610" spans="1:24">
      <c r="A4610">
        <f>HYPERLINK("https://www.philgeps.gov.ph/GEPSNONPILOT/Tender/SplashBidNoticeAbstractUI.aspx?menuIndex=3&amp;refID=7046991&amp;Result=3","7046991")</f>
        <v>0</v>
      </c>
      <c r="B4610" t="s">
        <v>1636</v>
      </c>
      <c r="C4610" t="s">
        <v>7486</v>
      </c>
      <c r="D4610" t="s">
        <v>16209</v>
      </c>
      <c r="E4610" t="s">
        <v>20373</v>
      </c>
      <c r="F4610" t="s">
        <v>28198</v>
      </c>
      <c r="G4610" t="s">
        <v>28207</v>
      </c>
      <c r="H4610" t="s">
        <v>28215</v>
      </c>
      <c r="I4610" t="s">
        <v>5791</v>
      </c>
      <c r="J4610" t="s">
        <v>28539</v>
      </c>
      <c r="K4610" t="s">
        <v>36689</v>
      </c>
      <c r="M4610" t="s">
        <v>38727</v>
      </c>
      <c r="N4610" t="s">
        <v>40436</v>
      </c>
      <c r="O4610" t="s">
        <v>40437</v>
      </c>
      <c r="P4610">
        <v>0</v>
      </c>
      <c r="Q4610">
        <v>0</v>
      </c>
      <c r="R4610" t="s">
        <v>40439</v>
      </c>
      <c r="S4610" t="s">
        <v>40588</v>
      </c>
      <c r="T4610" t="s">
        <v>42190</v>
      </c>
      <c r="U4610" t="s">
        <v>46541</v>
      </c>
      <c r="W4610" t="s">
        <v>38727</v>
      </c>
      <c r="X4610" t="s">
        <v>40440</v>
      </c>
    </row>
    <row r="4611" spans="1:24">
      <c r="A4611">
        <f>HYPERLINK("https://www.philgeps.gov.ph/GEPSNONPILOT/Tender/SplashBidNoticeAbstractUI.aspx?menuIndex=3&amp;refID=7046999&amp;Result=3","7046999")</f>
        <v>0</v>
      </c>
      <c r="B4611" t="s">
        <v>1638</v>
      </c>
      <c r="C4611" t="s">
        <v>7487</v>
      </c>
      <c r="D4611" t="s">
        <v>16193</v>
      </c>
      <c r="E4611" t="s">
        <v>20374</v>
      </c>
      <c r="F4611" t="s">
        <v>28198</v>
      </c>
      <c r="G4611" t="s">
        <v>28205</v>
      </c>
      <c r="H4611" t="s">
        <v>28215</v>
      </c>
      <c r="I4611" t="s">
        <v>28222</v>
      </c>
      <c r="J4611" t="s">
        <v>31303</v>
      </c>
      <c r="K4611" t="s">
        <v>36689</v>
      </c>
      <c r="M4611" t="s">
        <v>38729</v>
      </c>
      <c r="N4611" t="s">
        <v>40436</v>
      </c>
      <c r="O4611" t="s">
        <v>40437</v>
      </c>
      <c r="P4611">
        <v>0</v>
      </c>
      <c r="Q4611">
        <v>3</v>
      </c>
      <c r="R4611" t="s">
        <v>40439</v>
      </c>
      <c r="S4611" t="s">
        <v>40588</v>
      </c>
      <c r="T4611" t="s">
        <v>42106</v>
      </c>
      <c r="U4611" t="s">
        <v>46542</v>
      </c>
      <c r="W4611" t="s">
        <v>38729</v>
      </c>
      <c r="X4611" t="s">
        <v>40440</v>
      </c>
    </row>
    <row r="4612" spans="1:24">
      <c r="A4612">
        <f>HYPERLINK("https://www.philgeps.gov.ph/GEPSNONPILOT/Tender/SplashBidNoticeAbstractUI.aspx?menuIndex=3&amp;refID=7046984&amp;Result=3","7046984")</f>
        <v>0</v>
      </c>
      <c r="B4612" t="s">
        <v>1627</v>
      </c>
      <c r="C4612" t="s">
        <v>7488</v>
      </c>
      <c r="D4612" t="s">
        <v>16195</v>
      </c>
      <c r="E4612" t="s">
        <v>20375</v>
      </c>
      <c r="F4612" t="s">
        <v>28198</v>
      </c>
      <c r="G4612" t="s">
        <v>28205</v>
      </c>
      <c r="H4612" t="s">
        <v>28214</v>
      </c>
      <c r="I4612" t="s">
        <v>3797</v>
      </c>
      <c r="J4612" t="s">
        <v>31304</v>
      </c>
      <c r="K4612" t="s">
        <v>36701</v>
      </c>
      <c r="M4612" t="s">
        <v>38716</v>
      </c>
      <c r="N4612" t="s">
        <v>40436</v>
      </c>
      <c r="O4612" t="s">
        <v>40437</v>
      </c>
      <c r="P4612">
        <v>0</v>
      </c>
      <c r="Q4612">
        <v>1</v>
      </c>
      <c r="R4612" t="s">
        <v>40439</v>
      </c>
      <c r="S4612" t="s">
        <v>40588</v>
      </c>
      <c r="T4612" t="s">
        <v>42143</v>
      </c>
      <c r="U4612" t="s">
        <v>46543</v>
      </c>
      <c r="W4612" t="s">
        <v>38716</v>
      </c>
      <c r="X4612" t="s">
        <v>40440</v>
      </c>
    </row>
    <row r="4613" spans="1:24">
      <c r="A4613">
        <f>HYPERLINK("https://www.philgeps.gov.ph/GEPSNONPILOT/Tender/SplashBidNoticeAbstractUI.aspx?menuIndex=3&amp;refID=7046997&amp;Result=3","7046997")</f>
        <v>0</v>
      </c>
      <c r="B4613" t="s">
        <v>1638</v>
      </c>
      <c r="C4613" t="s">
        <v>7489</v>
      </c>
      <c r="D4613" t="s">
        <v>16193</v>
      </c>
      <c r="E4613" t="s">
        <v>20376</v>
      </c>
      <c r="F4613" t="s">
        <v>28198</v>
      </c>
      <c r="G4613" t="s">
        <v>28205</v>
      </c>
      <c r="H4613" t="s">
        <v>28215</v>
      </c>
      <c r="I4613" t="s">
        <v>28234</v>
      </c>
      <c r="J4613" t="s">
        <v>29409</v>
      </c>
      <c r="K4613" t="s">
        <v>36689</v>
      </c>
      <c r="M4613" t="s">
        <v>38729</v>
      </c>
      <c r="N4613" t="s">
        <v>40436</v>
      </c>
      <c r="O4613" t="s">
        <v>40437</v>
      </c>
      <c r="P4613">
        <v>0</v>
      </c>
      <c r="Q4613">
        <v>7</v>
      </c>
      <c r="R4613" t="s">
        <v>40439</v>
      </c>
      <c r="S4613" t="s">
        <v>40588</v>
      </c>
      <c r="T4613" t="s">
        <v>42106</v>
      </c>
      <c r="U4613" t="s">
        <v>46544</v>
      </c>
      <c r="W4613" t="s">
        <v>38729</v>
      </c>
      <c r="X4613" t="s">
        <v>40440</v>
      </c>
    </row>
    <row r="4614" spans="1:24">
      <c r="A4614">
        <f>HYPERLINK("https://www.philgeps.gov.ph/GEPSNONPILOT/Tender/SplashBidNoticeAbstractUI.aspx?menuIndex=3&amp;refID=7047000&amp;Result=3","7047000")</f>
        <v>0</v>
      </c>
      <c r="B4614" t="s">
        <v>1639</v>
      </c>
      <c r="C4614" t="s">
        <v>7490</v>
      </c>
      <c r="D4614" t="s">
        <v>16209</v>
      </c>
      <c r="E4614" t="s">
        <v>20377</v>
      </c>
      <c r="F4614" t="s">
        <v>28198</v>
      </c>
      <c r="G4614" t="s">
        <v>28205</v>
      </c>
      <c r="H4614" t="s">
        <v>28214</v>
      </c>
      <c r="I4614" t="s">
        <v>3797</v>
      </c>
      <c r="J4614" t="s">
        <v>28393</v>
      </c>
      <c r="K4614" t="s">
        <v>36687</v>
      </c>
      <c r="M4614" t="s">
        <v>38730</v>
      </c>
      <c r="N4614" t="s">
        <v>40436</v>
      </c>
      <c r="O4614" t="s">
        <v>40437</v>
      </c>
      <c r="P4614">
        <v>0</v>
      </c>
      <c r="Q4614">
        <v>0</v>
      </c>
      <c r="R4614" t="s">
        <v>40439</v>
      </c>
      <c r="S4614" t="s">
        <v>40588</v>
      </c>
      <c r="T4614" t="s">
        <v>42112</v>
      </c>
      <c r="U4614" t="s">
        <v>46545</v>
      </c>
      <c r="W4614" t="s">
        <v>38730</v>
      </c>
      <c r="X4614" t="s">
        <v>40440</v>
      </c>
    </row>
    <row r="4615" spans="1:24">
      <c r="A4615">
        <f>HYPERLINK("https://www.philgeps.gov.ph/GEPSNONPILOT/Tender/SplashBidNoticeAbstractUI.aspx?menuIndex=3&amp;refID=7046976&amp;Result=3","7046976")</f>
        <v>0</v>
      </c>
      <c r="B4615" t="s">
        <v>1631</v>
      </c>
      <c r="C4615" t="s">
        <v>7491</v>
      </c>
      <c r="D4615" t="s">
        <v>16210</v>
      </c>
      <c r="E4615" t="s">
        <v>17458</v>
      </c>
      <c r="F4615" t="s">
        <v>28200</v>
      </c>
      <c r="G4615" t="s">
        <v>28212</v>
      </c>
      <c r="H4615" t="s">
        <v>28215</v>
      </c>
      <c r="I4615" t="s">
        <v>8870</v>
      </c>
      <c r="J4615" t="s">
        <v>28378</v>
      </c>
      <c r="K4615" t="s">
        <v>36693</v>
      </c>
      <c r="M4615" t="s">
        <v>38721</v>
      </c>
      <c r="N4615" t="s">
        <v>40436</v>
      </c>
      <c r="O4615" t="s">
        <v>40437</v>
      </c>
      <c r="P4615">
        <v>0</v>
      </c>
      <c r="Q4615">
        <v>2</v>
      </c>
      <c r="R4615" t="s">
        <v>40439</v>
      </c>
      <c r="S4615" t="s">
        <v>40588</v>
      </c>
      <c r="T4615" t="s">
        <v>42177</v>
      </c>
      <c r="U4615" t="s">
        <v>46546</v>
      </c>
      <c r="W4615" t="s">
        <v>38721</v>
      </c>
      <c r="X4615" t="s">
        <v>40440</v>
      </c>
    </row>
    <row r="4616" spans="1:24">
      <c r="A4616">
        <f>HYPERLINK("https://www.philgeps.gov.ph/GEPSNONPILOT/Tender/SplashBidNoticeAbstractUI.aspx?menuIndex=3&amp;refID=7046996&amp;Result=3","7046996")</f>
        <v>0</v>
      </c>
      <c r="B4616" t="s">
        <v>1627</v>
      </c>
      <c r="C4616" t="s">
        <v>7492</v>
      </c>
      <c r="D4616" t="s">
        <v>16195</v>
      </c>
      <c r="E4616" t="s">
        <v>20378</v>
      </c>
      <c r="F4616" t="s">
        <v>28198</v>
      </c>
      <c r="G4616" t="s">
        <v>28205</v>
      </c>
      <c r="H4616" t="s">
        <v>28215</v>
      </c>
      <c r="I4616" t="s">
        <v>28222</v>
      </c>
      <c r="J4616" t="s">
        <v>31305</v>
      </c>
      <c r="K4616" t="s">
        <v>36701</v>
      </c>
      <c r="M4616" t="s">
        <v>38716</v>
      </c>
      <c r="N4616" t="s">
        <v>40436</v>
      </c>
      <c r="O4616" t="s">
        <v>40437</v>
      </c>
      <c r="P4616">
        <v>0</v>
      </c>
      <c r="Q4616">
        <v>5</v>
      </c>
      <c r="R4616" t="s">
        <v>40439</v>
      </c>
      <c r="S4616" t="s">
        <v>40588</v>
      </c>
      <c r="T4616" t="s">
        <v>42143</v>
      </c>
      <c r="U4616" t="s">
        <v>46547</v>
      </c>
      <c r="W4616" t="s">
        <v>38716</v>
      </c>
      <c r="X4616" t="s">
        <v>40440</v>
      </c>
    </row>
    <row r="4617" spans="1:24">
      <c r="A4617">
        <f>HYPERLINK("https://www.philgeps.gov.ph/GEPSNONPILOT/Tender/SplashBidNoticeAbstractUI.aspx?menuIndex=3&amp;refID=7046998&amp;Result=3","7046998")</f>
        <v>0</v>
      </c>
      <c r="B4617" t="s">
        <v>1637</v>
      </c>
      <c r="C4617" t="s">
        <v>7493</v>
      </c>
      <c r="D4617" t="s">
        <v>16190</v>
      </c>
      <c r="E4617" t="s">
        <v>17001</v>
      </c>
      <c r="F4617" t="s">
        <v>28198</v>
      </c>
      <c r="G4617" t="s">
        <v>28207</v>
      </c>
      <c r="H4617" t="s">
        <v>28215</v>
      </c>
      <c r="I4617" t="s">
        <v>5103</v>
      </c>
      <c r="J4617" t="s">
        <v>30041</v>
      </c>
      <c r="K4617" t="s">
        <v>36691</v>
      </c>
      <c r="M4617" t="s">
        <v>38728</v>
      </c>
      <c r="N4617" t="s">
        <v>40436</v>
      </c>
      <c r="O4617" t="s">
        <v>40437</v>
      </c>
      <c r="P4617">
        <v>0</v>
      </c>
      <c r="Q4617">
        <v>0</v>
      </c>
      <c r="R4617" t="s">
        <v>40439</v>
      </c>
      <c r="S4617" t="s">
        <v>40588</v>
      </c>
      <c r="T4617" t="s">
        <v>42131</v>
      </c>
      <c r="U4617" t="s">
        <v>46548</v>
      </c>
      <c r="W4617" t="s">
        <v>38728</v>
      </c>
      <c r="X4617" t="s">
        <v>40440</v>
      </c>
    </row>
    <row r="4618" spans="1:24">
      <c r="A4618">
        <f>HYPERLINK("https://www.philgeps.gov.ph/GEPSNONPILOT/Tender/SplashBidNoticeAbstractUI.aspx?menuIndex=3&amp;refID=7046994&amp;Result=3","7046994")</f>
        <v>0</v>
      </c>
      <c r="B4618" t="s">
        <v>1637</v>
      </c>
      <c r="C4618" t="s">
        <v>7494</v>
      </c>
      <c r="D4618" t="s">
        <v>16190</v>
      </c>
      <c r="E4618" t="s">
        <v>17820</v>
      </c>
      <c r="F4618" t="s">
        <v>28198</v>
      </c>
      <c r="G4618" t="s">
        <v>28207</v>
      </c>
      <c r="H4618" t="s">
        <v>28215</v>
      </c>
      <c r="I4618" t="s">
        <v>28227</v>
      </c>
      <c r="J4618" t="s">
        <v>31306</v>
      </c>
      <c r="K4618" t="s">
        <v>36691</v>
      </c>
      <c r="M4618" t="s">
        <v>38728</v>
      </c>
      <c r="N4618" t="s">
        <v>40436</v>
      </c>
      <c r="O4618" t="s">
        <v>40437</v>
      </c>
      <c r="P4618">
        <v>0</v>
      </c>
      <c r="Q4618">
        <v>0</v>
      </c>
      <c r="R4618" t="s">
        <v>40439</v>
      </c>
      <c r="S4618" t="s">
        <v>40588</v>
      </c>
      <c r="T4618" t="s">
        <v>42131</v>
      </c>
      <c r="U4618" t="s">
        <v>46549</v>
      </c>
      <c r="W4618" t="s">
        <v>38728</v>
      </c>
      <c r="X4618" t="s">
        <v>40440</v>
      </c>
    </row>
    <row r="4619" spans="1:24">
      <c r="A4619">
        <f>HYPERLINK("https://www.philgeps.gov.ph/GEPSNONPILOT/Tender/SplashBidNoticeAbstractUI.aspx?menuIndex=3&amp;refID=7046985&amp;Result=3","7046985")</f>
        <v>0</v>
      </c>
      <c r="B4619" t="s">
        <v>227</v>
      </c>
      <c r="C4619" t="s">
        <v>7495</v>
      </c>
      <c r="D4619" t="s">
        <v>16193</v>
      </c>
      <c r="E4619" t="s">
        <v>20379</v>
      </c>
      <c r="F4619" t="s">
        <v>28198</v>
      </c>
      <c r="G4619" t="s">
        <v>28205</v>
      </c>
      <c r="H4619" t="s">
        <v>28214</v>
      </c>
      <c r="I4619" t="s">
        <v>3797</v>
      </c>
      <c r="J4619" t="s">
        <v>31307</v>
      </c>
      <c r="K4619" t="s">
        <v>36708</v>
      </c>
      <c r="M4619" t="s">
        <v>38731</v>
      </c>
      <c r="N4619" t="s">
        <v>40436</v>
      </c>
      <c r="O4619" t="s">
        <v>40437</v>
      </c>
      <c r="P4619">
        <v>0</v>
      </c>
      <c r="Q4619">
        <v>0</v>
      </c>
      <c r="R4619" t="s">
        <v>40439</v>
      </c>
      <c r="S4619" t="s">
        <v>40588</v>
      </c>
      <c r="T4619" t="s">
        <v>42133</v>
      </c>
      <c r="U4619" t="s">
        <v>46550</v>
      </c>
      <c r="W4619" t="s">
        <v>38731</v>
      </c>
      <c r="X4619" t="s">
        <v>40440</v>
      </c>
    </row>
    <row r="4620" spans="1:24">
      <c r="A4620">
        <f>HYPERLINK("https://www.philgeps.gov.ph/GEPSNONPILOT/Tender/SplashBidNoticeAbstractUI.aspx?menuIndex=3&amp;refID=7046995&amp;Result=3","7046995")</f>
        <v>0</v>
      </c>
      <c r="B4620" t="s">
        <v>1640</v>
      </c>
      <c r="C4620" t="s">
        <v>7496</v>
      </c>
      <c r="D4620" t="s">
        <v>16200</v>
      </c>
      <c r="E4620" t="s">
        <v>20380</v>
      </c>
      <c r="F4620" t="s">
        <v>28198</v>
      </c>
      <c r="G4620" t="s">
        <v>28207</v>
      </c>
      <c r="H4620" t="s">
        <v>28215</v>
      </c>
      <c r="I4620" t="s">
        <v>28325</v>
      </c>
      <c r="J4620" t="s">
        <v>29103</v>
      </c>
      <c r="K4620" t="s">
        <v>36701</v>
      </c>
      <c r="M4620" t="s">
        <v>38732</v>
      </c>
      <c r="N4620" t="s">
        <v>40436</v>
      </c>
      <c r="O4620" t="s">
        <v>40437</v>
      </c>
      <c r="P4620">
        <v>0</v>
      </c>
      <c r="Q4620">
        <v>0</v>
      </c>
      <c r="R4620" t="s">
        <v>40439</v>
      </c>
      <c r="S4620" t="s">
        <v>40588</v>
      </c>
      <c r="T4620" t="s">
        <v>42190</v>
      </c>
      <c r="U4620" t="s">
        <v>46551</v>
      </c>
      <c r="W4620" t="s">
        <v>38732</v>
      </c>
      <c r="X4620" t="s">
        <v>40440</v>
      </c>
    </row>
    <row r="4621" spans="1:24">
      <c r="A4621">
        <f>HYPERLINK("https://www.philgeps.gov.ph/GEPSNONPILOT/Tender/SplashBidNoticeAbstractUI.aspx?menuIndex=3&amp;refID=7046993&amp;Result=3","7046993")</f>
        <v>0</v>
      </c>
      <c r="B4621" t="s">
        <v>1638</v>
      </c>
      <c r="C4621" t="s">
        <v>7497</v>
      </c>
      <c r="D4621" t="s">
        <v>16193</v>
      </c>
      <c r="E4621" t="s">
        <v>20381</v>
      </c>
      <c r="F4621" t="s">
        <v>28198</v>
      </c>
      <c r="G4621" t="s">
        <v>28205</v>
      </c>
      <c r="H4621" t="s">
        <v>28215</v>
      </c>
      <c r="I4621" t="s">
        <v>28222</v>
      </c>
      <c r="J4621" t="s">
        <v>31308</v>
      </c>
      <c r="K4621" t="s">
        <v>36689</v>
      </c>
      <c r="M4621" t="s">
        <v>38729</v>
      </c>
      <c r="N4621" t="s">
        <v>40436</v>
      </c>
      <c r="O4621" t="s">
        <v>40437</v>
      </c>
      <c r="P4621">
        <v>0</v>
      </c>
      <c r="Q4621">
        <v>2</v>
      </c>
      <c r="R4621" t="s">
        <v>40439</v>
      </c>
      <c r="S4621" t="s">
        <v>40588</v>
      </c>
      <c r="T4621" t="s">
        <v>42106</v>
      </c>
      <c r="U4621" t="s">
        <v>46552</v>
      </c>
      <c r="W4621" t="s">
        <v>38729</v>
      </c>
      <c r="X4621" t="s">
        <v>40440</v>
      </c>
    </row>
    <row r="4622" spans="1:24">
      <c r="A4622">
        <f>HYPERLINK("https://www.philgeps.gov.ph/GEPSNONPILOT/Tender/SplashBidNoticeAbstractUI.aspx?menuIndex=3&amp;refID=7047001&amp;Result=3","7047001")</f>
        <v>0</v>
      </c>
      <c r="B4622" t="s">
        <v>585</v>
      </c>
      <c r="C4622" t="s">
        <v>7498</v>
      </c>
      <c r="D4622" t="s">
        <v>16190</v>
      </c>
      <c r="E4622" t="s">
        <v>20382</v>
      </c>
      <c r="F4622" t="s">
        <v>28198</v>
      </c>
      <c r="G4622" t="s">
        <v>28207</v>
      </c>
      <c r="H4622" t="s">
        <v>28215</v>
      </c>
      <c r="I4622" t="s">
        <v>5082</v>
      </c>
      <c r="J4622" t="s">
        <v>30669</v>
      </c>
      <c r="K4622" t="s">
        <v>36698</v>
      </c>
      <c r="M4622" t="s">
        <v>37670</v>
      </c>
      <c r="N4622" t="s">
        <v>40436</v>
      </c>
      <c r="O4622" t="s">
        <v>40437</v>
      </c>
      <c r="P4622">
        <v>0</v>
      </c>
      <c r="Q4622">
        <v>0</v>
      </c>
      <c r="R4622" t="s">
        <v>40439</v>
      </c>
      <c r="S4622" t="s">
        <v>40588</v>
      </c>
      <c r="T4622" t="s">
        <v>42376</v>
      </c>
      <c r="U4622" t="s">
        <v>46553</v>
      </c>
      <c r="W4622" t="s">
        <v>37670</v>
      </c>
      <c r="X4622" t="s">
        <v>40440</v>
      </c>
    </row>
    <row r="4623" spans="1:24">
      <c r="A4623">
        <f>HYPERLINK("https://www.philgeps.gov.ph/GEPSNONPILOT/Tender/SplashBidNoticeAbstractUI.aspx?menuIndex=3&amp;refID=7047019&amp;Result=3","7047019")</f>
        <v>0</v>
      </c>
      <c r="B4623" t="s">
        <v>1641</v>
      </c>
      <c r="C4623" t="s">
        <v>7499</v>
      </c>
      <c r="D4623" t="s">
        <v>16204</v>
      </c>
      <c r="E4623" t="s">
        <v>18049</v>
      </c>
      <c r="F4623" t="s">
        <v>28198</v>
      </c>
      <c r="G4623" t="s">
        <v>28205</v>
      </c>
      <c r="H4623" t="s">
        <v>28214</v>
      </c>
      <c r="I4623" t="s">
        <v>5100</v>
      </c>
      <c r="J4623" t="s">
        <v>28804</v>
      </c>
      <c r="K4623" t="s">
        <v>36688</v>
      </c>
      <c r="M4623" t="s">
        <v>38733</v>
      </c>
      <c r="N4623" t="s">
        <v>40436</v>
      </c>
      <c r="O4623" t="s">
        <v>40437</v>
      </c>
      <c r="P4623">
        <v>0</v>
      </c>
      <c r="Q4623">
        <v>1</v>
      </c>
      <c r="R4623" t="s">
        <v>40439</v>
      </c>
      <c r="S4623" t="s">
        <v>40588</v>
      </c>
      <c r="T4623" t="s">
        <v>42175</v>
      </c>
      <c r="U4623" t="s">
        <v>46554</v>
      </c>
      <c r="W4623" t="s">
        <v>38733</v>
      </c>
      <c r="X4623" t="s">
        <v>40440</v>
      </c>
    </row>
    <row r="4624" spans="1:24">
      <c r="A4624">
        <f>HYPERLINK("https://www.philgeps.gov.ph/GEPSNONPILOT/Tender/SplashBidNoticeAbstractUI.aspx?menuIndex=3&amp;refID=7047005&amp;Result=3","7047005")</f>
        <v>0</v>
      </c>
      <c r="B4624" t="s">
        <v>1642</v>
      </c>
      <c r="C4624" t="s">
        <v>7500</v>
      </c>
      <c r="E4624" t="s">
        <v>20383</v>
      </c>
      <c r="F4624" t="s">
        <v>28198</v>
      </c>
      <c r="G4624" t="s">
        <v>28207</v>
      </c>
      <c r="H4624" t="s">
        <v>28217</v>
      </c>
      <c r="I4624" t="s">
        <v>28268</v>
      </c>
      <c r="J4624" t="s">
        <v>29120</v>
      </c>
      <c r="K4624" t="s">
        <v>36703</v>
      </c>
      <c r="M4624" t="s">
        <v>38734</v>
      </c>
      <c r="N4624" t="s">
        <v>40436</v>
      </c>
      <c r="O4624" t="s">
        <v>40437</v>
      </c>
      <c r="P4624">
        <v>0</v>
      </c>
      <c r="Q4624">
        <v>5</v>
      </c>
      <c r="R4624" t="s">
        <v>40439</v>
      </c>
      <c r="S4624" t="s">
        <v>40588</v>
      </c>
      <c r="T4624" t="s">
        <v>42161</v>
      </c>
      <c r="U4624" t="s">
        <v>46555</v>
      </c>
      <c r="W4624" t="s">
        <v>38734</v>
      </c>
      <c r="X4624" t="s">
        <v>40440</v>
      </c>
    </row>
    <row r="4625" spans="1:24">
      <c r="A4625">
        <f>HYPERLINK("https://www.philgeps.gov.ph/GEPSNONPILOT/Tender/SplashBidNoticeAbstractUI.aspx?menuIndex=3&amp;refID=7047004&amp;Result=3","7047004")</f>
        <v>0</v>
      </c>
      <c r="B4625" t="s">
        <v>1637</v>
      </c>
      <c r="C4625" t="s">
        <v>7501</v>
      </c>
      <c r="D4625" t="s">
        <v>16190</v>
      </c>
      <c r="E4625" t="s">
        <v>17890</v>
      </c>
      <c r="F4625" t="s">
        <v>28198</v>
      </c>
      <c r="G4625" t="s">
        <v>28207</v>
      </c>
      <c r="H4625" t="s">
        <v>28215</v>
      </c>
      <c r="I4625" t="s">
        <v>28225</v>
      </c>
      <c r="J4625" t="s">
        <v>31309</v>
      </c>
      <c r="K4625" t="s">
        <v>36691</v>
      </c>
      <c r="M4625" t="s">
        <v>38728</v>
      </c>
      <c r="N4625" t="s">
        <v>40436</v>
      </c>
      <c r="O4625" t="s">
        <v>40437</v>
      </c>
      <c r="P4625">
        <v>0</v>
      </c>
      <c r="Q4625">
        <v>3</v>
      </c>
      <c r="R4625" t="s">
        <v>40439</v>
      </c>
      <c r="S4625" t="s">
        <v>40588</v>
      </c>
      <c r="T4625" t="s">
        <v>42131</v>
      </c>
      <c r="U4625" t="s">
        <v>46556</v>
      </c>
      <c r="W4625" t="s">
        <v>38728</v>
      </c>
      <c r="X4625" t="s">
        <v>40440</v>
      </c>
    </row>
    <row r="4626" spans="1:24">
      <c r="A4626">
        <f>HYPERLINK("https://www.philgeps.gov.ph/GEPSNONPILOT/Tender/SplashBidNoticeAbstractUI.aspx?menuIndex=3&amp;refID=7047007&amp;Result=3","7047007")</f>
        <v>0</v>
      </c>
      <c r="B4626" t="s">
        <v>1643</v>
      </c>
      <c r="C4626" t="s">
        <v>7502</v>
      </c>
      <c r="D4626" t="s">
        <v>16199</v>
      </c>
      <c r="E4626" t="s">
        <v>20384</v>
      </c>
      <c r="F4626" t="s">
        <v>28198</v>
      </c>
      <c r="G4626" t="s">
        <v>28205</v>
      </c>
      <c r="H4626" t="s">
        <v>28215</v>
      </c>
      <c r="I4626" t="s">
        <v>5100</v>
      </c>
      <c r="J4626" t="s">
        <v>28406</v>
      </c>
      <c r="K4626" t="s">
        <v>36707</v>
      </c>
      <c r="M4626" t="s">
        <v>38735</v>
      </c>
      <c r="N4626" t="s">
        <v>40436</v>
      </c>
      <c r="O4626" t="s">
        <v>40437</v>
      </c>
      <c r="P4626">
        <v>0</v>
      </c>
      <c r="Q4626">
        <v>1</v>
      </c>
      <c r="R4626" t="s">
        <v>40439</v>
      </c>
      <c r="S4626" t="s">
        <v>40588</v>
      </c>
      <c r="T4626" t="s">
        <v>42134</v>
      </c>
      <c r="U4626" t="s">
        <v>46557</v>
      </c>
      <c r="W4626" t="s">
        <v>38735</v>
      </c>
      <c r="X4626" t="s">
        <v>40440</v>
      </c>
    </row>
    <row r="4627" spans="1:24">
      <c r="A4627">
        <f>HYPERLINK("https://www.philgeps.gov.ph/GEPSNONPILOT/Tender/SplashBidNoticeAbstractUI.aspx?menuIndex=3&amp;refID=7047003&amp;Result=3","7047003")</f>
        <v>0</v>
      </c>
      <c r="B4627" t="s">
        <v>1638</v>
      </c>
      <c r="C4627" t="s">
        <v>7503</v>
      </c>
      <c r="D4627" t="s">
        <v>16193</v>
      </c>
      <c r="E4627" t="s">
        <v>20385</v>
      </c>
      <c r="F4627" t="s">
        <v>28198</v>
      </c>
      <c r="G4627" t="s">
        <v>28205</v>
      </c>
      <c r="H4627" t="s">
        <v>28215</v>
      </c>
      <c r="I4627" t="s">
        <v>28248</v>
      </c>
      <c r="J4627" t="s">
        <v>31310</v>
      </c>
      <c r="K4627" t="s">
        <v>36689</v>
      </c>
      <c r="M4627" t="s">
        <v>38729</v>
      </c>
      <c r="N4627" t="s">
        <v>40436</v>
      </c>
      <c r="O4627" t="s">
        <v>40437</v>
      </c>
      <c r="P4627">
        <v>0</v>
      </c>
      <c r="Q4627">
        <v>4</v>
      </c>
      <c r="R4627" t="s">
        <v>40439</v>
      </c>
      <c r="S4627" t="s">
        <v>40588</v>
      </c>
      <c r="T4627" t="s">
        <v>42133</v>
      </c>
      <c r="U4627" t="s">
        <v>46558</v>
      </c>
      <c r="W4627" t="s">
        <v>38729</v>
      </c>
      <c r="X4627" t="s">
        <v>40440</v>
      </c>
    </row>
    <row r="4628" spans="1:24">
      <c r="A4628">
        <f>HYPERLINK("https://www.philgeps.gov.ph/GEPSNONPILOT/Tender/SplashBidNoticeAbstractUI.aspx?menuIndex=3&amp;refID=7047015&amp;Result=3","7047015")</f>
        <v>0</v>
      </c>
      <c r="B4628" t="s">
        <v>1644</v>
      </c>
      <c r="C4628" t="s">
        <v>7504</v>
      </c>
      <c r="D4628" t="s">
        <v>16207</v>
      </c>
      <c r="E4628" t="s">
        <v>20386</v>
      </c>
      <c r="F4628" t="s">
        <v>28198</v>
      </c>
      <c r="G4628" t="s">
        <v>28206</v>
      </c>
      <c r="H4628" t="s">
        <v>28215</v>
      </c>
      <c r="I4628" t="s">
        <v>5100</v>
      </c>
      <c r="J4628" t="s">
        <v>29401</v>
      </c>
      <c r="K4628" t="s">
        <v>36706</v>
      </c>
      <c r="M4628" t="s">
        <v>38736</v>
      </c>
      <c r="N4628" t="s">
        <v>40436</v>
      </c>
      <c r="O4628" t="s">
        <v>40437</v>
      </c>
      <c r="P4628">
        <v>0</v>
      </c>
      <c r="Q4628">
        <v>0</v>
      </c>
      <c r="R4628" t="s">
        <v>40439</v>
      </c>
      <c r="S4628" t="s">
        <v>40588</v>
      </c>
      <c r="T4628" t="s">
        <v>42142</v>
      </c>
      <c r="U4628" t="s">
        <v>46559</v>
      </c>
      <c r="W4628" t="s">
        <v>38736</v>
      </c>
      <c r="X4628" t="s">
        <v>40440</v>
      </c>
    </row>
    <row r="4629" spans="1:24">
      <c r="A4629">
        <f>HYPERLINK("https://www.philgeps.gov.ph/GEPSNONPILOT/Tender/SplashBidNoticeAbstractUI.aspx?menuIndex=3&amp;refID=7047013&amp;Result=3","7047013")</f>
        <v>0</v>
      </c>
      <c r="B4629" t="s">
        <v>1638</v>
      </c>
      <c r="C4629" t="s">
        <v>7505</v>
      </c>
      <c r="D4629" t="s">
        <v>16193</v>
      </c>
      <c r="E4629" t="s">
        <v>20387</v>
      </c>
      <c r="F4629" t="s">
        <v>28198</v>
      </c>
      <c r="G4629" t="s">
        <v>28205</v>
      </c>
      <c r="H4629" t="s">
        <v>28215</v>
      </c>
      <c r="I4629" t="s">
        <v>4219</v>
      </c>
      <c r="J4629" t="s">
        <v>31311</v>
      </c>
      <c r="K4629" t="s">
        <v>36689</v>
      </c>
      <c r="M4629" t="s">
        <v>38729</v>
      </c>
      <c r="N4629" t="s">
        <v>40436</v>
      </c>
      <c r="O4629" t="s">
        <v>40437</v>
      </c>
      <c r="P4629">
        <v>0</v>
      </c>
      <c r="Q4629">
        <v>0</v>
      </c>
      <c r="R4629" t="s">
        <v>40439</v>
      </c>
      <c r="S4629" t="s">
        <v>40588</v>
      </c>
      <c r="T4629" t="s">
        <v>42133</v>
      </c>
      <c r="U4629" t="s">
        <v>46560</v>
      </c>
      <c r="W4629" t="s">
        <v>38729</v>
      </c>
      <c r="X4629" t="s">
        <v>40440</v>
      </c>
    </row>
    <row r="4630" spans="1:24">
      <c r="A4630">
        <f>HYPERLINK("https://www.philgeps.gov.ph/GEPSNONPILOT/Tender/SplashBidNoticeAbstractUI.aspx?menuIndex=3&amp;refID=7047026&amp;Result=3","7047026")</f>
        <v>0</v>
      </c>
      <c r="B4630" t="s">
        <v>1640</v>
      </c>
      <c r="C4630" t="s">
        <v>7506</v>
      </c>
      <c r="D4630" t="s">
        <v>16200</v>
      </c>
      <c r="E4630" t="s">
        <v>20388</v>
      </c>
      <c r="F4630" t="s">
        <v>28198</v>
      </c>
      <c r="G4630" t="s">
        <v>28207</v>
      </c>
      <c r="H4630" t="s">
        <v>28215</v>
      </c>
      <c r="I4630" t="s">
        <v>28325</v>
      </c>
      <c r="J4630" t="s">
        <v>31312</v>
      </c>
      <c r="K4630" t="s">
        <v>36701</v>
      </c>
      <c r="M4630" t="s">
        <v>38732</v>
      </c>
      <c r="N4630" t="s">
        <v>40436</v>
      </c>
      <c r="O4630" t="s">
        <v>40437</v>
      </c>
      <c r="P4630">
        <v>0</v>
      </c>
      <c r="Q4630">
        <v>0</v>
      </c>
      <c r="R4630" t="s">
        <v>40439</v>
      </c>
      <c r="S4630" t="s">
        <v>40588</v>
      </c>
      <c r="T4630" t="s">
        <v>42190</v>
      </c>
      <c r="U4630" t="s">
        <v>46561</v>
      </c>
      <c r="W4630" t="s">
        <v>38732</v>
      </c>
      <c r="X4630" t="s">
        <v>40440</v>
      </c>
    </row>
    <row r="4631" spans="1:24">
      <c r="A4631">
        <f>HYPERLINK("https://www.philgeps.gov.ph/GEPSNONPILOT/Tender/SplashBidNoticeAbstractUI.aspx?menuIndex=3&amp;refID=7047002&amp;Result=3","7047002")</f>
        <v>0</v>
      </c>
      <c r="B4631" t="s">
        <v>1627</v>
      </c>
      <c r="C4631" t="s">
        <v>7507</v>
      </c>
      <c r="D4631" t="s">
        <v>16195</v>
      </c>
      <c r="E4631" t="s">
        <v>20389</v>
      </c>
      <c r="F4631" t="s">
        <v>28198</v>
      </c>
      <c r="G4631" t="s">
        <v>28205</v>
      </c>
      <c r="H4631" t="s">
        <v>28215</v>
      </c>
      <c r="I4631" t="s">
        <v>3422</v>
      </c>
      <c r="J4631" t="s">
        <v>31313</v>
      </c>
      <c r="K4631" t="s">
        <v>36765</v>
      </c>
      <c r="M4631" t="s">
        <v>38716</v>
      </c>
      <c r="N4631" t="s">
        <v>40436</v>
      </c>
      <c r="O4631" t="s">
        <v>40437</v>
      </c>
      <c r="P4631">
        <v>0</v>
      </c>
      <c r="Q4631">
        <v>0</v>
      </c>
      <c r="R4631" t="s">
        <v>40439</v>
      </c>
      <c r="S4631" t="s">
        <v>40588</v>
      </c>
      <c r="T4631" t="s">
        <v>42143</v>
      </c>
      <c r="U4631" t="s">
        <v>46562</v>
      </c>
      <c r="W4631" t="s">
        <v>38716</v>
      </c>
      <c r="X4631" t="s">
        <v>40440</v>
      </c>
    </row>
    <row r="4632" spans="1:24">
      <c r="A4632">
        <f>HYPERLINK("https://www.philgeps.gov.ph/GEPSNONPILOT/Tender/SplashBidNoticeAbstractUI.aspx?menuIndex=3&amp;refID=7047014&amp;Result=3","7047014")</f>
        <v>0</v>
      </c>
      <c r="B4632" t="s">
        <v>1645</v>
      </c>
      <c r="C4632" t="s">
        <v>7508</v>
      </c>
      <c r="D4632" t="s">
        <v>16247</v>
      </c>
      <c r="E4632" t="s">
        <v>20390</v>
      </c>
      <c r="F4632" t="s">
        <v>28198</v>
      </c>
      <c r="G4632" t="s">
        <v>28206</v>
      </c>
      <c r="H4632" t="s">
        <v>28215</v>
      </c>
      <c r="I4632" t="s">
        <v>4505</v>
      </c>
      <c r="J4632" t="s">
        <v>29893</v>
      </c>
      <c r="K4632" t="s">
        <v>36707</v>
      </c>
      <c r="M4632" t="s">
        <v>38737</v>
      </c>
      <c r="N4632" t="s">
        <v>40436</v>
      </c>
      <c r="O4632" t="s">
        <v>40437</v>
      </c>
      <c r="P4632">
        <v>0</v>
      </c>
      <c r="Q4632">
        <v>10</v>
      </c>
      <c r="R4632" t="s">
        <v>40439</v>
      </c>
      <c r="S4632" t="s">
        <v>40588</v>
      </c>
      <c r="T4632" t="s">
        <v>42350</v>
      </c>
      <c r="U4632" t="s">
        <v>46563</v>
      </c>
      <c r="W4632" t="s">
        <v>38737</v>
      </c>
      <c r="X4632" t="s">
        <v>40440</v>
      </c>
    </row>
    <row r="4633" spans="1:24">
      <c r="A4633">
        <f>HYPERLINK("https://www.philgeps.gov.ph/GEPSNONPILOT/Tender/SplashBidNoticeAbstractUI.aspx?menuIndex=3&amp;refID=7047022&amp;Result=3","7047022")</f>
        <v>0</v>
      </c>
      <c r="B4633" t="s">
        <v>1638</v>
      </c>
      <c r="C4633" t="s">
        <v>7509</v>
      </c>
      <c r="D4633" t="s">
        <v>16193</v>
      </c>
      <c r="E4633" t="s">
        <v>20391</v>
      </c>
      <c r="F4633" t="s">
        <v>28198</v>
      </c>
      <c r="G4633" t="s">
        <v>28205</v>
      </c>
      <c r="H4633" t="s">
        <v>28215</v>
      </c>
      <c r="I4633" t="s">
        <v>4168</v>
      </c>
      <c r="J4633" t="s">
        <v>31314</v>
      </c>
      <c r="K4633" t="s">
        <v>36689</v>
      </c>
      <c r="M4633" t="s">
        <v>38729</v>
      </c>
      <c r="N4633" t="s">
        <v>40436</v>
      </c>
      <c r="O4633" t="s">
        <v>40437</v>
      </c>
      <c r="P4633">
        <v>0</v>
      </c>
      <c r="Q4633">
        <v>0</v>
      </c>
      <c r="R4633" t="s">
        <v>40439</v>
      </c>
      <c r="S4633" t="s">
        <v>40588</v>
      </c>
      <c r="T4633" t="s">
        <v>42133</v>
      </c>
      <c r="U4633" t="s">
        <v>46564</v>
      </c>
      <c r="W4633" t="s">
        <v>38729</v>
      </c>
      <c r="X4633" t="s">
        <v>40440</v>
      </c>
    </row>
    <row r="4634" spans="1:24">
      <c r="A4634">
        <f>HYPERLINK("https://www.philgeps.gov.ph/GEPSNONPILOT/Tender/SplashBidNoticeAbstractUI.aspx?menuIndex=3&amp;refID=7047025&amp;Result=3","7047025")</f>
        <v>0</v>
      </c>
      <c r="B4634" t="s">
        <v>1205</v>
      </c>
      <c r="C4634" t="s">
        <v>7510</v>
      </c>
      <c r="D4634" t="s">
        <v>16195</v>
      </c>
      <c r="E4634" t="s">
        <v>20392</v>
      </c>
      <c r="F4634" t="s">
        <v>28198</v>
      </c>
      <c r="G4634" t="s">
        <v>28209</v>
      </c>
      <c r="H4634" t="s">
        <v>28215</v>
      </c>
      <c r="I4634" t="s">
        <v>4168</v>
      </c>
      <c r="J4634" t="s">
        <v>31315</v>
      </c>
      <c r="K4634" t="s">
        <v>36707</v>
      </c>
      <c r="M4634" t="s">
        <v>38738</v>
      </c>
      <c r="N4634" t="s">
        <v>40436</v>
      </c>
      <c r="O4634" t="s">
        <v>40437</v>
      </c>
      <c r="P4634">
        <v>0</v>
      </c>
      <c r="Q4634">
        <v>0</v>
      </c>
      <c r="R4634" t="s">
        <v>40439</v>
      </c>
      <c r="S4634" t="s">
        <v>40588</v>
      </c>
      <c r="T4634" t="s">
        <v>42169</v>
      </c>
      <c r="U4634" t="s">
        <v>46565</v>
      </c>
      <c r="W4634" t="s">
        <v>38738</v>
      </c>
      <c r="X4634" t="s">
        <v>40440</v>
      </c>
    </row>
    <row r="4635" spans="1:24">
      <c r="A4635">
        <f>HYPERLINK("https://www.philgeps.gov.ph/GEPSNONPILOT/Tender/SplashBidNoticeAbstractUI.aspx?menuIndex=3&amp;refID=7047009&amp;Result=3","7047009")</f>
        <v>0</v>
      </c>
      <c r="B4635" t="s">
        <v>1640</v>
      </c>
      <c r="C4635" t="s">
        <v>7511</v>
      </c>
      <c r="D4635" t="s">
        <v>16200</v>
      </c>
      <c r="E4635" t="s">
        <v>20393</v>
      </c>
      <c r="F4635" t="s">
        <v>28198</v>
      </c>
      <c r="G4635" t="s">
        <v>28207</v>
      </c>
      <c r="H4635" t="s">
        <v>28215</v>
      </c>
      <c r="I4635" t="s">
        <v>28325</v>
      </c>
      <c r="J4635" t="s">
        <v>29965</v>
      </c>
      <c r="K4635" t="s">
        <v>36701</v>
      </c>
      <c r="M4635" t="s">
        <v>38732</v>
      </c>
      <c r="N4635" t="s">
        <v>40436</v>
      </c>
      <c r="O4635" t="s">
        <v>40437</v>
      </c>
      <c r="P4635">
        <v>0</v>
      </c>
      <c r="Q4635">
        <v>0</v>
      </c>
      <c r="R4635" t="s">
        <v>40439</v>
      </c>
      <c r="S4635" t="s">
        <v>40588</v>
      </c>
      <c r="T4635" t="s">
        <v>42190</v>
      </c>
      <c r="U4635" t="s">
        <v>46566</v>
      </c>
      <c r="W4635" t="s">
        <v>38732</v>
      </c>
      <c r="X4635" t="s">
        <v>40440</v>
      </c>
    </row>
    <row r="4636" spans="1:24">
      <c r="A4636">
        <f>HYPERLINK("https://www.philgeps.gov.ph/GEPSNONPILOT/Tender/SplashBidNoticeAbstractUI.aspx?menuIndex=3&amp;refID=7047020&amp;Result=3","7047020")</f>
        <v>0</v>
      </c>
      <c r="B4636" t="s">
        <v>1627</v>
      </c>
      <c r="C4636" t="s">
        <v>7512</v>
      </c>
      <c r="D4636" t="s">
        <v>16195</v>
      </c>
      <c r="E4636" t="s">
        <v>20394</v>
      </c>
      <c r="F4636" t="s">
        <v>28198</v>
      </c>
      <c r="G4636" t="s">
        <v>28205</v>
      </c>
      <c r="H4636" t="s">
        <v>28215</v>
      </c>
      <c r="I4636" t="s">
        <v>28258</v>
      </c>
      <c r="J4636" t="s">
        <v>28868</v>
      </c>
      <c r="K4636" t="s">
        <v>36701</v>
      </c>
      <c r="M4636" t="s">
        <v>38716</v>
      </c>
      <c r="N4636" t="s">
        <v>40436</v>
      </c>
      <c r="O4636" t="s">
        <v>40437</v>
      </c>
      <c r="P4636">
        <v>0</v>
      </c>
      <c r="Q4636">
        <v>2</v>
      </c>
      <c r="R4636" t="s">
        <v>40439</v>
      </c>
      <c r="S4636" t="s">
        <v>40588</v>
      </c>
      <c r="T4636" t="s">
        <v>42143</v>
      </c>
      <c r="U4636" t="s">
        <v>46567</v>
      </c>
      <c r="W4636" t="s">
        <v>38716</v>
      </c>
      <c r="X4636" t="s">
        <v>40440</v>
      </c>
    </row>
    <row r="4637" spans="1:24">
      <c r="A4637">
        <f>HYPERLINK("https://www.philgeps.gov.ph/GEPSNONPILOT/Tender/SplashBidNoticeAbstractUI.aspx?menuIndex=3&amp;refID=7047021&amp;Result=3","7047021")</f>
        <v>0</v>
      </c>
      <c r="B4637" t="s">
        <v>1212</v>
      </c>
      <c r="C4637" t="s">
        <v>7513</v>
      </c>
      <c r="D4637" t="s">
        <v>16264</v>
      </c>
      <c r="E4637" t="s">
        <v>20395</v>
      </c>
      <c r="F4637" t="s">
        <v>28198</v>
      </c>
      <c r="G4637" t="s">
        <v>28205</v>
      </c>
      <c r="H4637" t="s">
        <v>28217</v>
      </c>
      <c r="I4637" t="s">
        <v>28231</v>
      </c>
      <c r="J4637" t="s">
        <v>29763</v>
      </c>
      <c r="K4637" t="s">
        <v>36756</v>
      </c>
      <c r="M4637" t="s">
        <v>38257</v>
      </c>
      <c r="N4637" t="s">
        <v>40436</v>
      </c>
      <c r="O4637" t="s">
        <v>40437</v>
      </c>
      <c r="P4637">
        <v>0</v>
      </c>
      <c r="Q4637">
        <v>0</v>
      </c>
      <c r="R4637" t="s">
        <v>40439</v>
      </c>
      <c r="S4637" t="s">
        <v>40588</v>
      </c>
      <c r="T4637" t="s">
        <v>42248</v>
      </c>
      <c r="U4637" t="s">
        <v>46568</v>
      </c>
      <c r="W4637" t="s">
        <v>38257</v>
      </c>
      <c r="X4637" t="s">
        <v>40440</v>
      </c>
    </row>
    <row r="4638" spans="1:24">
      <c r="A4638">
        <f>HYPERLINK("https://www.philgeps.gov.ph/GEPSNONPILOT/Tender/SplashBidNoticeAbstractUI.aspx?menuIndex=3&amp;refID=7047016&amp;Result=3","7047016")</f>
        <v>0</v>
      </c>
      <c r="B4638" t="s">
        <v>315</v>
      </c>
      <c r="C4638" t="s">
        <v>7514</v>
      </c>
      <c r="E4638" t="s">
        <v>20396</v>
      </c>
      <c r="F4638" t="s">
        <v>28198</v>
      </c>
      <c r="G4638" t="s">
        <v>28210</v>
      </c>
      <c r="H4638" t="s">
        <v>28215</v>
      </c>
      <c r="I4638" t="s">
        <v>28252</v>
      </c>
      <c r="J4638" t="s">
        <v>28486</v>
      </c>
      <c r="K4638" t="s">
        <v>36693</v>
      </c>
      <c r="M4638" t="s">
        <v>38739</v>
      </c>
      <c r="N4638" t="s">
        <v>40436</v>
      </c>
      <c r="O4638" t="s">
        <v>40437</v>
      </c>
      <c r="P4638">
        <v>0</v>
      </c>
      <c r="Q4638">
        <v>3</v>
      </c>
      <c r="R4638" t="s">
        <v>40439</v>
      </c>
      <c r="S4638" t="s">
        <v>40588</v>
      </c>
      <c r="T4638" t="s">
        <v>42158</v>
      </c>
      <c r="U4638" t="s">
        <v>46569</v>
      </c>
      <c r="W4638" t="s">
        <v>38739</v>
      </c>
      <c r="X4638" t="s">
        <v>40440</v>
      </c>
    </row>
    <row r="4639" spans="1:24">
      <c r="A4639">
        <f>HYPERLINK("https://www.philgeps.gov.ph/GEPSNONPILOT/Tender/SplashBidNoticeAbstractUI.aspx?menuIndex=3&amp;refID=7047024&amp;Result=3","7047024")</f>
        <v>0</v>
      </c>
      <c r="B4639" t="s">
        <v>1643</v>
      </c>
      <c r="C4639" t="s">
        <v>7515</v>
      </c>
      <c r="D4639" t="s">
        <v>16199</v>
      </c>
      <c r="E4639" t="s">
        <v>20397</v>
      </c>
      <c r="F4639" t="s">
        <v>28198</v>
      </c>
      <c r="G4639" t="s">
        <v>28205</v>
      </c>
      <c r="H4639" t="s">
        <v>28215</v>
      </c>
      <c r="I4639" t="s">
        <v>5100</v>
      </c>
      <c r="J4639" t="s">
        <v>31316</v>
      </c>
      <c r="K4639" t="s">
        <v>36707</v>
      </c>
      <c r="M4639" t="s">
        <v>38735</v>
      </c>
      <c r="N4639" t="s">
        <v>40436</v>
      </c>
      <c r="O4639" t="s">
        <v>40437</v>
      </c>
      <c r="P4639">
        <v>0</v>
      </c>
      <c r="Q4639">
        <v>1</v>
      </c>
      <c r="R4639" t="s">
        <v>40439</v>
      </c>
      <c r="S4639" t="s">
        <v>40588</v>
      </c>
      <c r="T4639" t="s">
        <v>42134</v>
      </c>
      <c r="U4639" t="s">
        <v>46570</v>
      </c>
      <c r="W4639" t="s">
        <v>38735</v>
      </c>
      <c r="X4639" t="s">
        <v>40440</v>
      </c>
    </row>
    <row r="4640" spans="1:24">
      <c r="A4640">
        <f>HYPERLINK("https://www.philgeps.gov.ph/GEPSNONPILOT/Tender/SplashBidNoticeAbstractUI.aspx?menuIndex=3&amp;refID=7047023&amp;Result=3","7047023")</f>
        <v>0</v>
      </c>
      <c r="B4640" t="s">
        <v>1646</v>
      </c>
      <c r="C4640" t="s">
        <v>7516</v>
      </c>
      <c r="D4640" t="s">
        <v>16208</v>
      </c>
      <c r="E4640" t="s">
        <v>20398</v>
      </c>
      <c r="F4640" t="s">
        <v>28198</v>
      </c>
      <c r="G4640" t="s">
        <v>28207</v>
      </c>
      <c r="H4640" t="s">
        <v>28217</v>
      </c>
      <c r="I4640" t="s">
        <v>3422</v>
      </c>
      <c r="J4640" t="s">
        <v>28631</v>
      </c>
      <c r="K4640" t="s">
        <v>36723</v>
      </c>
      <c r="M4640" t="s">
        <v>38740</v>
      </c>
      <c r="N4640" t="s">
        <v>40436</v>
      </c>
      <c r="O4640" t="s">
        <v>40437</v>
      </c>
      <c r="P4640">
        <v>0</v>
      </c>
      <c r="Q4640">
        <v>0</v>
      </c>
      <c r="R4640" t="s">
        <v>40439</v>
      </c>
      <c r="S4640" t="s">
        <v>40588</v>
      </c>
      <c r="T4640" t="s">
        <v>42158</v>
      </c>
      <c r="U4640" t="s">
        <v>46571</v>
      </c>
      <c r="W4640" t="s">
        <v>38740</v>
      </c>
      <c r="X4640" t="s">
        <v>40440</v>
      </c>
    </row>
    <row r="4641" spans="1:24">
      <c r="A4641">
        <f>HYPERLINK("https://www.philgeps.gov.ph/GEPSNONPILOT/Tender/SplashBidNoticeAbstractUI.aspx?menuIndex=3&amp;refID=7047028&amp;Result=3","7047028")</f>
        <v>0</v>
      </c>
      <c r="B4641" t="s">
        <v>1647</v>
      </c>
      <c r="C4641" t="s">
        <v>7517</v>
      </c>
      <c r="D4641" t="s">
        <v>16207</v>
      </c>
      <c r="E4641" t="s">
        <v>20399</v>
      </c>
      <c r="F4641" t="s">
        <v>28198</v>
      </c>
      <c r="G4641" t="s">
        <v>28206</v>
      </c>
      <c r="H4641" t="s">
        <v>28215</v>
      </c>
      <c r="I4641" t="s">
        <v>4200</v>
      </c>
      <c r="J4641" t="s">
        <v>28397</v>
      </c>
      <c r="K4641" t="s">
        <v>36693</v>
      </c>
      <c r="M4641" t="s">
        <v>38741</v>
      </c>
      <c r="N4641" t="s">
        <v>40436</v>
      </c>
      <c r="O4641" t="s">
        <v>40437</v>
      </c>
      <c r="P4641">
        <v>0</v>
      </c>
      <c r="Q4641">
        <v>0</v>
      </c>
      <c r="R4641" t="s">
        <v>40439</v>
      </c>
      <c r="S4641" t="s">
        <v>40588</v>
      </c>
      <c r="T4641" t="s">
        <v>42184</v>
      </c>
      <c r="U4641" t="s">
        <v>46572</v>
      </c>
      <c r="W4641" t="s">
        <v>38741</v>
      </c>
      <c r="X4641" t="s">
        <v>40440</v>
      </c>
    </row>
    <row r="4642" spans="1:24">
      <c r="A4642">
        <f>HYPERLINK("https://www.philgeps.gov.ph/GEPSNONPILOT/Tender/SplashBidNoticeAbstractUI.aspx?menuIndex=3&amp;refID=7047006&amp;Result=3","7047006")</f>
        <v>0</v>
      </c>
      <c r="B4642" t="s">
        <v>1640</v>
      </c>
      <c r="C4642" t="s">
        <v>7518</v>
      </c>
      <c r="D4642" t="s">
        <v>16200</v>
      </c>
      <c r="E4642" t="s">
        <v>20400</v>
      </c>
      <c r="F4642" t="s">
        <v>28198</v>
      </c>
      <c r="G4642" t="s">
        <v>28207</v>
      </c>
      <c r="H4642" t="s">
        <v>28215</v>
      </c>
      <c r="I4642" t="s">
        <v>28325</v>
      </c>
      <c r="J4642" t="s">
        <v>31317</v>
      </c>
      <c r="K4642" t="s">
        <v>36701</v>
      </c>
      <c r="M4642" t="s">
        <v>38732</v>
      </c>
      <c r="N4642" t="s">
        <v>40436</v>
      </c>
      <c r="O4642" t="s">
        <v>40437</v>
      </c>
      <c r="P4642">
        <v>0</v>
      </c>
      <c r="Q4642">
        <v>3</v>
      </c>
      <c r="R4642" t="s">
        <v>40439</v>
      </c>
      <c r="S4642" t="s">
        <v>40588</v>
      </c>
      <c r="T4642" t="s">
        <v>42190</v>
      </c>
      <c r="U4642" t="s">
        <v>46573</v>
      </c>
      <c r="W4642" t="s">
        <v>38732</v>
      </c>
      <c r="X4642" t="s">
        <v>40440</v>
      </c>
    </row>
    <row r="4643" spans="1:24">
      <c r="A4643">
        <f>HYPERLINK("https://www.philgeps.gov.ph/GEPSNONPILOT/Tender/SplashBidNoticeAbstractUI.aspx?menuIndex=3&amp;refID=7047029&amp;Result=3","7047029")</f>
        <v>0</v>
      </c>
      <c r="B4643" t="s">
        <v>116</v>
      </c>
      <c r="C4643" t="s">
        <v>7519</v>
      </c>
      <c r="D4643" t="s">
        <v>16207</v>
      </c>
      <c r="E4643" t="s">
        <v>20401</v>
      </c>
      <c r="F4643" t="s">
        <v>28198</v>
      </c>
      <c r="G4643" t="s">
        <v>28207</v>
      </c>
      <c r="H4643" t="s">
        <v>28217</v>
      </c>
      <c r="I4643" t="s">
        <v>5631</v>
      </c>
      <c r="J4643" t="s">
        <v>31318</v>
      </c>
      <c r="K4643" t="s">
        <v>36706</v>
      </c>
      <c r="M4643" t="s">
        <v>37090</v>
      </c>
      <c r="N4643" t="s">
        <v>40436</v>
      </c>
      <c r="O4643" t="s">
        <v>40437</v>
      </c>
      <c r="P4643">
        <v>0</v>
      </c>
      <c r="Q4643">
        <v>0</v>
      </c>
      <c r="R4643" t="s">
        <v>40439</v>
      </c>
      <c r="S4643" t="s">
        <v>40588</v>
      </c>
      <c r="T4643" t="s">
        <v>42158</v>
      </c>
      <c r="U4643" t="s">
        <v>46574</v>
      </c>
      <c r="W4643" t="s">
        <v>37090</v>
      </c>
      <c r="X4643" t="s">
        <v>40440</v>
      </c>
    </row>
    <row r="4644" spans="1:24">
      <c r="A4644">
        <f>HYPERLINK("https://www.philgeps.gov.ph/GEPSNONPILOT/Tender/SplashBidNoticeAbstractUI.aspx?menuIndex=3&amp;refID=7047037&amp;Result=3","7047037")</f>
        <v>0</v>
      </c>
      <c r="B4644" t="s">
        <v>1212</v>
      </c>
      <c r="C4644" t="s">
        <v>7520</v>
      </c>
      <c r="D4644" t="s">
        <v>16264</v>
      </c>
      <c r="E4644" t="s">
        <v>20402</v>
      </c>
      <c r="F4644" t="s">
        <v>28198</v>
      </c>
      <c r="G4644" t="s">
        <v>28207</v>
      </c>
      <c r="H4644" t="s">
        <v>28214</v>
      </c>
      <c r="I4644" t="s">
        <v>3797</v>
      </c>
      <c r="J4644" t="s">
        <v>31319</v>
      </c>
      <c r="K4644" t="s">
        <v>36687</v>
      </c>
      <c r="M4644" t="s">
        <v>38257</v>
      </c>
      <c r="N4644" t="s">
        <v>40436</v>
      </c>
      <c r="O4644" t="s">
        <v>40437</v>
      </c>
      <c r="P4644">
        <v>0</v>
      </c>
      <c r="Q4644">
        <v>0</v>
      </c>
      <c r="R4644" t="s">
        <v>40439</v>
      </c>
      <c r="S4644" t="s">
        <v>40588</v>
      </c>
      <c r="T4644" t="s">
        <v>42131</v>
      </c>
      <c r="U4644" t="s">
        <v>46575</v>
      </c>
      <c r="W4644" t="s">
        <v>38257</v>
      </c>
      <c r="X4644" t="s">
        <v>40440</v>
      </c>
    </row>
    <row r="4645" spans="1:24">
      <c r="A4645">
        <f>HYPERLINK("https://www.philgeps.gov.ph/GEPSNONPILOT/Tender/SplashBidNoticeAbstractUI.aspx?menuIndex=3&amp;refID=7047036&amp;Result=3","7047036")</f>
        <v>0</v>
      </c>
      <c r="B4645" t="s">
        <v>1648</v>
      </c>
      <c r="C4645" t="s">
        <v>7521</v>
      </c>
      <c r="D4645" t="s">
        <v>16190</v>
      </c>
      <c r="E4645" t="s">
        <v>18615</v>
      </c>
      <c r="F4645" t="s">
        <v>28201</v>
      </c>
      <c r="G4645" t="s">
        <v>28205</v>
      </c>
      <c r="H4645" t="s">
        <v>28215</v>
      </c>
      <c r="I4645" t="s">
        <v>28222</v>
      </c>
      <c r="J4645" t="s">
        <v>28415</v>
      </c>
      <c r="K4645" t="s">
        <v>36688</v>
      </c>
      <c r="M4645" t="s">
        <v>38742</v>
      </c>
      <c r="N4645" t="s">
        <v>40436</v>
      </c>
      <c r="O4645" t="s">
        <v>40437</v>
      </c>
      <c r="P4645">
        <v>0</v>
      </c>
      <c r="Q4645">
        <v>0</v>
      </c>
      <c r="R4645" t="s">
        <v>40439</v>
      </c>
      <c r="S4645" t="s">
        <v>40588</v>
      </c>
      <c r="T4645" t="s">
        <v>42246</v>
      </c>
      <c r="U4645" t="s">
        <v>46576</v>
      </c>
      <c r="W4645" t="s">
        <v>38742</v>
      </c>
      <c r="X4645" t="s">
        <v>40440</v>
      </c>
    </row>
    <row r="4646" spans="1:24">
      <c r="A4646">
        <f>HYPERLINK("https://www.philgeps.gov.ph/GEPSNONPILOT/Tender/SplashBidNoticeAbstractUI.aspx?menuIndex=3&amp;refID=7047030&amp;Result=3","7047030")</f>
        <v>0</v>
      </c>
      <c r="B4646" t="s">
        <v>1390</v>
      </c>
      <c r="C4646" t="s">
        <v>7522</v>
      </c>
      <c r="D4646" t="s">
        <v>16211</v>
      </c>
      <c r="E4646" t="s">
        <v>20403</v>
      </c>
      <c r="F4646" t="s">
        <v>28198</v>
      </c>
      <c r="G4646" t="s">
        <v>28205</v>
      </c>
      <c r="H4646" t="s">
        <v>28215</v>
      </c>
      <c r="I4646" t="s">
        <v>28228</v>
      </c>
      <c r="J4646" t="s">
        <v>28561</v>
      </c>
      <c r="K4646" t="s">
        <v>36701</v>
      </c>
      <c r="M4646" t="s">
        <v>38454</v>
      </c>
      <c r="N4646" t="s">
        <v>40436</v>
      </c>
      <c r="O4646" t="s">
        <v>40437</v>
      </c>
      <c r="P4646">
        <v>0</v>
      </c>
      <c r="Q4646">
        <v>0</v>
      </c>
      <c r="R4646" t="s">
        <v>40439</v>
      </c>
      <c r="S4646" t="s">
        <v>40588</v>
      </c>
      <c r="T4646" t="s">
        <v>42259</v>
      </c>
      <c r="U4646" t="s">
        <v>46577</v>
      </c>
      <c r="W4646" t="s">
        <v>38454</v>
      </c>
      <c r="X4646" t="s">
        <v>40440</v>
      </c>
    </row>
    <row r="4647" spans="1:24">
      <c r="A4647">
        <f>HYPERLINK("https://www.philgeps.gov.ph/GEPSNONPILOT/Tender/SplashBidNoticeAbstractUI.aspx?menuIndex=3&amp;refID=7047027&amp;Result=3","7047027")</f>
        <v>0</v>
      </c>
      <c r="B4647" t="s">
        <v>1649</v>
      </c>
      <c r="C4647" t="s">
        <v>7523</v>
      </c>
      <c r="D4647" t="s">
        <v>16266</v>
      </c>
      <c r="E4647" t="s">
        <v>20404</v>
      </c>
      <c r="F4647" t="s">
        <v>28198</v>
      </c>
      <c r="G4647" t="s">
        <v>28207</v>
      </c>
      <c r="H4647" t="s">
        <v>28215</v>
      </c>
      <c r="I4647" t="s">
        <v>28234</v>
      </c>
      <c r="J4647" t="s">
        <v>28360</v>
      </c>
      <c r="K4647" t="s">
        <v>36707</v>
      </c>
      <c r="M4647" t="s">
        <v>38743</v>
      </c>
      <c r="N4647" t="s">
        <v>40436</v>
      </c>
      <c r="O4647" t="s">
        <v>40437</v>
      </c>
      <c r="P4647">
        <v>0</v>
      </c>
      <c r="Q4647">
        <v>5</v>
      </c>
      <c r="R4647" t="s">
        <v>40439</v>
      </c>
      <c r="S4647" t="s">
        <v>40588</v>
      </c>
      <c r="T4647" t="s">
        <v>42190</v>
      </c>
      <c r="U4647" t="s">
        <v>46578</v>
      </c>
      <c r="W4647" t="s">
        <v>38743</v>
      </c>
      <c r="X4647" t="s">
        <v>40440</v>
      </c>
    </row>
    <row r="4648" spans="1:24">
      <c r="A4648">
        <f>HYPERLINK("https://www.philgeps.gov.ph/GEPSNONPILOT/Tender/SplashBidNoticeAbstractUI.aspx?menuIndex=3&amp;refID=7047033&amp;Result=3","7047033")</f>
        <v>0</v>
      </c>
      <c r="B4648" t="s">
        <v>988</v>
      </c>
      <c r="C4648" t="s">
        <v>7524</v>
      </c>
      <c r="D4648" t="s">
        <v>16193</v>
      </c>
      <c r="E4648" t="s">
        <v>18444</v>
      </c>
      <c r="F4648" t="s">
        <v>28198</v>
      </c>
      <c r="G4648" t="s">
        <v>28207</v>
      </c>
      <c r="H4648" t="s">
        <v>28215</v>
      </c>
      <c r="I4648" t="s">
        <v>4200</v>
      </c>
      <c r="J4648" t="s">
        <v>29940</v>
      </c>
      <c r="K4648" t="s">
        <v>36689</v>
      </c>
      <c r="M4648" t="s">
        <v>38015</v>
      </c>
      <c r="N4648" t="s">
        <v>40436</v>
      </c>
      <c r="O4648" t="s">
        <v>40437</v>
      </c>
      <c r="P4648">
        <v>0</v>
      </c>
      <c r="Q4648">
        <v>1</v>
      </c>
      <c r="R4648" t="s">
        <v>40439</v>
      </c>
      <c r="S4648" t="s">
        <v>40588</v>
      </c>
      <c r="T4648" t="s">
        <v>42190</v>
      </c>
      <c r="U4648" t="s">
        <v>44668</v>
      </c>
      <c r="W4648" t="s">
        <v>38015</v>
      </c>
      <c r="X4648" t="s">
        <v>40440</v>
      </c>
    </row>
    <row r="4649" spans="1:24">
      <c r="A4649">
        <f>HYPERLINK("https://www.philgeps.gov.ph/GEPSNONPILOT/Tender/SplashBidNoticeAbstractUI.aspx?menuIndex=3&amp;refID=7047032&amp;Result=3","7047032")</f>
        <v>0</v>
      </c>
      <c r="B4649" t="s">
        <v>1646</v>
      </c>
      <c r="C4649" t="s">
        <v>7516</v>
      </c>
      <c r="D4649" t="s">
        <v>16208</v>
      </c>
      <c r="E4649" t="s">
        <v>20405</v>
      </c>
      <c r="F4649" t="s">
        <v>28198</v>
      </c>
      <c r="G4649" t="s">
        <v>28207</v>
      </c>
      <c r="H4649" t="s">
        <v>28217</v>
      </c>
      <c r="I4649" t="s">
        <v>3422</v>
      </c>
      <c r="J4649" t="s">
        <v>29329</v>
      </c>
      <c r="K4649" t="s">
        <v>36723</v>
      </c>
      <c r="M4649" t="s">
        <v>38740</v>
      </c>
      <c r="N4649" t="s">
        <v>40436</v>
      </c>
      <c r="O4649" t="s">
        <v>40437</v>
      </c>
      <c r="P4649">
        <v>0</v>
      </c>
      <c r="Q4649">
        <v>0</v>
      </c>
      <c r="R4649" t="s">
        <v>40439</v>
      </c>
      <c r="S4649" t="s">
        <v>40588</v>
      </c>
      <c r="T4649" t="s">
        <v>42158</v>
      </c>
      <c r="U4649" t="s">
        <v>46579</v>
      </c>
      <c r="W4649" t="s">
        <v>38740</v>
      </c>
      <c r="X4649" t="s">
        <v>40440</v>
      </c>
    </row>
    <row r="4650" spans="1:24">
      <c r="A4650">
        <f>HYPERLINK("https://www.philgeps.gov.ph/GEPSNONPILOT/Tender/SplashBidNoticeAbstractUI.aspx?menuIndex=3&amp;refID=7047041&amp;Result=3","7047041")</f>
        <v>0</v>
      </c>
      <c r="B4650" t="s">
        <v>1640</v>
      </c>
      <c r="C4650" t="s">
        <v>7525</v>
      </c>
      <c r="D4650" t="s">
        <v>16200</v>
      </c>
      <c r="E4650" t="s">
        <v>20406</v>
      </c>
      <c r="F4650" t="s">
        <v>28198</v>
      </c>
      <c r="G4650" t="s">
        <v>28207</v>
      </c>
      <c r="H4650" t="s">
        <v>28215</v>
      </c>
      <c r="I4650" t="s">
        <v>28325</v>
      </c>
      <c r="J4650" t="s">
        <v>31312</v>
      </c>
      <c r="K4650" t="s">
        <v>36701</v>
      </c>
      <c r="M4650" t="s">
        <v>38732</v>
      </c>
      <c r="N4650" t="s">
        <v>40436</v>
      </c>
      <c r="O4650" t="s">
        <v>40437</v>
      </c>
      <c r="P4650">
        <v>0</v>
      </c>
      <c r="Q4650">
        <v>0</v>
      </c>
      <c r="R4650" t="s">
        <v>40439</v>
      </c>
      <c r="S4650" t="s">
        <v>40588</v>
      </c>
      <c r="T4650" t="s">
        <v>42190</v>
      </c>
      <c r="U4650" t="s">
        <v>46580</v>
      </c>
      <c r="W4650" t="s">
        <v>38732</v>
      </c>
      <c r="X4650" t="s">
        <v>40440</v>
      </c>
    </row>
    <row r="4651" spans="1:24">
      <c r="A4651">
        <f>HYPERLINK("https://www.philgeps.gov.ph/GEPSNONPILOT/Tender/SplashBidNoticeAbstractUI.aspx?menuIndex=3&amp;refID=7047034&amp;Result=3","7047034")</f>
        <v>0</v>
      </c>
      <c r="B4651" t="s">
        <v>1639</v>
      </c>
      <c r="C4651" t="s">
        <v>7526</v>
      </c>
      <c r="D4651" t="s">
        <v>16209</v>
      </c>
      <c r="E4651" t="s">
        <v>20407</v>
      </c>
      <c r="F4651" t="s">
        <v>28198</v>
      </c>
      <c r="G4651" t="s">
        <v>28205</v>
      </c>
      <c r="H4651" t="s">
        <v>28215</v>
      </c>
      <c r="I4651" t="s">
        <v>28222</v>
      </c>
      <c r="J4651" t="s">
        <v>28468</v>
      </c>
      <c r="K4651" t="s">
        <v>36691</v>
      </c>
      <c r="M4651" t="s">
        <v>38730</v>
      </c>
      <c r="N4651" t="s">
        <v>40436</v>
      </c>
      <c r="O4651" t="s">
        <v>40437</v>
      </c>
      <c r="P4651">
        <v>0</v>
      </c>
      <c r="Q4651">
        <v>3</v>
      </c>
      <c r="R4651" t="s">
        <v>40439</v>
      </c>
      <c r="S4651" t="s">
        <v>40588</v>
      </c>
      <c r="T4651" t="s">
        <v>42106</v>
      </c>
      <c r="U4651" t="s">
        <v>46581</v>
      </c>
      <c r="W4651" t="s">
        <v>38730</v>
      </c>
      <c r="X4651" t="s">
        <v>40440</v>
      </c>
    </row>
    <row r="4652" spans="1:24">
      <c r="A4652">
        <f>HYPERLINK("https://www.philgeps.gov.ph/GEPSNONPILOT/Tender/SplashBidNoticeAbstractUI.aspx?menuIndex=3&amp;refID=7047031&amp;Result=3","7047031")</f>
        <v>0</v>
      </c>
      <c r="B4652" t="s">
        <v>1638</v>
      </c>
      <c r="C4652" t="s">
        <v>7527</v>
      </c>
      <c r="D4652" t="s">
        <v>16193</v>
      </c>
      <c r="E4652" t="s">
        <v>20408</v>
      </c>
      <c r="F4652" t="s">
        <v>28198</v>
      </c>
      <c r="G4652" t="s">
        <v>28205</v>
      </c>
      <c r="H4652" t="s">
        <v>28215</v>
      </c>
      <c r="I4652" t="s">
        <v>28259</v>
      </c>
      <c r="J4652" t="s">
        <v>31320</v>
      </c>
      <c r="K4652" t="s">
        <v>36689</v>
      </c>
      <c r="M4652" t="s">
        <v>38729</v>
      </c>
      <c r="N4652" t="s">
        <v>40436</v>
      </c>
      <c r="O4652" t="s">
        <v>40437</v>
      </c>
      <c r="P4652">
        <v>0</v>
      </c>
      <c r="Q4652">
        <v>2</v>
      </c>
      <c r="R4652" t="s">
        <v>40439</v>
      </c>
      <c r="S4652" t="s">
        <v>40588</v>
      </c>
      <c r="T4652" t="s">
        <v>42133</v>
      </c>
      <c r="U4652" t="s">
        <v>46582</v>
      </c>
      <c r="W4652" t="s">
        <v>38729</v>
      </c>
      <c r="X4652" t="s">
        <v>40440</v>
      </c>
    </row>
    <row r="4653" spans="1:24">
      <c r="A4653">
        <f>HYPERLINK("https://www.philgeps.gov.ph/GEPSNONPILOT/Tender/SplashBidNoticeAbstractUI.aspx?menuIndex=3&amp;refID=7047038&amp;Result=3","7047038")</f>
        <v>0</v>
      </c>
      <c r="B4653" t="s">
        <v>1647</v>
      </c>
      <c r="C4653" t="s">
        <v>7528</v>
      </c>
      <c r="D4653" t="s">
        <v>16207</v>
      </c>
      <c r="E4653" t="s">
        <v>20409</v>
      </c>
      <c r="F4653" t="s">
        <v>28198</v>
      </c>
      <c r="G4653" t="s">
        <v>28206</v>
      </c>
      <c r="H4653" t="s">
        <v>28215</v>
      </c>
      <c r="I4653" t="s">
        <v>4200</v>
      </c>
      <c r="J4653" t="s">
        <v>28386</v>
      </c>
      <c r="K4653" t="s">
        <v>36693</v>
      </c>
      <c r="M4653" t="s">
        <v>38741</v>
      </c>
      <c r="N4653" t="s">
        <v>40436</v>
      </c>
      <c r="O4653" t="s">
        <v>40437</v>
      </c>
      <c r="P4653">
        <v>0</v>
      </c>
      <c r="Q4653">
        <v>1</v>
      </c>
      <c r="R4653" t="s">
        <v>40439</v>
      </c>
      <c r="S4653" t="s">
        <v>40588</v>
      </c>
      <c r="T4653" t="s">
        <v>42245</v>
      </c>
      <c r="U4653" t="s">
        <v>46583</v>
      </c>
      <c r="W4653" t="s">
        <v>38741</v>
      </c>
      <c r="X4653" t="s">
        <v>40440</v>
      </c>
    </row>
    <row r="4654" spans="1:24">
      <c r="A4654">
        <f>HYPERLINK("https://www.philgeps.gov.ph/GEPSNONPILOT/Tender/SplashBidNoticeAbstractUI.aspx?menuIndex=3&amp;refID=7047039&amp;Result=3","7047039")</f>
        <v>0</v>
      </c>
      <c r="B4654" t="s">
        <v>973</v>
      </c>
      <c r="C4654" t="s">
        <v>7529</v>
      </c>
      <c r="D4654" t="s">
        <v>16230</v>
      </c>
      <c r="E4654" t="s">
        <v>20410</v>
      </c>
      <c r="F4654" t="s">
        <v>28198</v>
      </c>
      <c r="G4654" t="s">
        <v>28207</v>
      </c>
      <c r="H4654" t="s">
        <v>28215</v>
      </c>
      <c r="I4654" t="s">
        <v>5656</v>
      </c>
      <c r="J4654" t="s">
        <v>31321</v>
      </c>
      <c r="K4654" t="s">
        <v>36693</v>
      </c>
      <c r="M4654" t="s">
        <v>37999</v>
      </c>
      <c r="N4654" t="s">
        <v>40436</v>
      </c>
      <c r="O4654" t="s">
        <v>40437</v>
      </c>
      <c r="P4654">
        <v>0</v>
      </c>
      <c r="Q4654">
        <v>0</v>
      </c>
      <c r="R4654" t="s">
        <v>40439</v>
      </c>
      <c r="S4654" t="s">
        <v>40588</v>
      </c>
      <c r="T4654" t="s">
        <v>42161</v>
      </c>
      <c r="U4654" t="s">
        <v>46584</v>
      </c>
      <c r="V4654" t="s">
        <v>54244</v>
      </c>
      <c r="W4654" t="s">
        <v>37999</v>
      </c>
      <c r="X4654" t="s">
        <v>40440</v>
      </c>
    </row>
    <row r="4655" spans="1:24">
      <c r="A4655">
        <f>HYPERLINK("https://www.philgeps.gov.ph/GEPSNONPILOT/Tender/SplashBidNoticeAbstractUI.aspx?menuIndex=3&amp;refID=7047040&amp;Result=3","7047040")</f>
        <v>0</v>
      </c>
      <c r="B4655" t="s">
        <v>315</v>
      </c>
      <c r="C4655" t="s">
        <v>7514</v>
      </c>
      <c r="D4655" t="s">
        <v>16191</v>
      </c>
      <c r="E4655" t="s">
        <v>20411</v>
      </c>
      <c r="F4655" t="s">
        <v>28198</v>
      </c>
      <c r="G4655" t="s">
        <v>28206</v>
      </c>
      <c r="H4655" t="s">
        <v>28215</v>
      </c>
      <c r="I4655" t="s">
        <v>28225</v>
      </c>
      <c r="J4655" t="s">
        <v>28414</v>
      </c>
      <c r="K4655" t="s">
        <v>36693</v>
      </c>
      <c r="M4655" t="s">
        <v>38739</v>
      </c>
      <c r="N4655" t="s">
        <v>40436</v>
      </c>
      <c r="O4655" t="s">
        <v>40437</v>
      </c>
      <c r="P4655">
        <v>0</v>
      </c>
      <c r="Q4655">
        <v>3</v>
      </c>
      <c r="R4655" t="s">
        <v>40439</v>
      </c>
      <c r="S4655" t="s">
        <v>40588</v>
      </c>
      <c r="T4655" t="s">
        <v>42158</v>
      </c>
      <c r="U4655" t="s">
        <v>46585</v>
      </c>
      <c r="W4655" t="s">
        <v>38739</v>
      </c>
      <c r="X4655" t="s">
        <v>40440</v>
      </c>
    </row>
    <row r="4656" spans="1:24">
      <c r="A4656">
        <f>HYPERLINK("https://www.philgeps.gov.ph/GEPSNONPILOT/Tender/SplashBidNoticeAbstractUI.aspx?menuIndex=3&amp;refID=7047046&amp;Result=3","7047046")</f>
        <v>0</v>
      </c>
      <c r="B4656" t="s">
        <v>988</v>
      </c>
      <c r="C4656" t="s">
        <v>5356</v>
      </c>
      <c r="D4656" t="s">
        <v>16191</v>
      </c>
      <c r="E4656" t="s">
        <v>18453</v>
      </c>
      <c r="F4656" t="s">
        <v>28198</v>
      </c>
      <c r="G4656" t="s">
        <v>28206</v>
      </c>
      <c r="H4656" t="s">
        <v>28215</v>
      </c>
      <c r="I4656" t="s">
        <v>4200</v>
      </c>
      <c r="J4656" t="s">
        <v>31322</v>
      </c>
      <c r="K4656" t="s">
        <v>36689</v>
      </c>
      <c r="M4656" t="s">
        <v>38015</v>
      </c>
      <c r="N4656" t="s">
        <v>40436</v>
      </c>
      <c r="O4656" t="s">
        <v>40437</v>
      </c>
      <c r="P4656">
        <v>0</v>
      </c>
      <c r="Q4656">
        <v>0</v>
      </c>
      <c r="R4656" t="s">
        <v>40439</v>
      </c>
      <c r="S4656" t="s">
        <v>40588</v>
      </c>
      <c r="T4656" t="s">
        <v>42190</v>
      </c>
      <c r="U4656" t="s">
        <v>44677</v>
      </c>
      <c r="W4656" t="s">
        <v>38015</v>
      </c>
      <c r="X4656" t="s">
        <v>40440</v>
      </c>
    </row>
    <row r="4657" spans="1:24">
      <c r="A4657">
        <f>HYPERLINK("https://www.philgeps.gov.ph/GEPSNONPILOT/Tender/SplashBidNoticeAbstractUI.aspx?menuIndex=3&amp;refID=7047043&amp;Result=3","7047043")</f>
        <v>0</v>
      </c>
      <c r="B4657" t="s">
        <v>1638</v>
      </c>
      <c r="C4657" t="s">
        <v>7530</v>
      </c>
      <c r="D4657" t="s">
        <v>16193</v>
      </c>
      <c r="E4657" t="s">
        <v>20412</v>
      </c>
      <c r="F4657" t="s">
        <v>28198</v>
      </c>
      <c r="G4657" t="s">
        <v>28205</v>
      </c>
      <c r="H4657" t="s">
        <v>28215</v>
      </c>
      <c r="I4657" t="s">
        <v>4168</v>
      </c>
      <c r="J4657" t="s">
        <v>31323</v>
      </c>
      <c r="K4657" t="s">
        <v>36689</v>
      </c>
      <c r="M4657" t="s">
        <v>38729</v>
      </c>
      <c r="N4657" t="s">
        <v>40436</v>
      </c>
      <c r="O4657" t="s">
        <v>40437</v>
      </c>
      <c r="P4657">
        <v>0</v>
      </c>
      <c r="Q4657">
        <v>1</v>
      </c>
      <c r="R4657" t="s">
        <v>40439</v>
      </c>
      <c r="S4657" t="s">
        <v>40588</v>
      </c>
      <c r="T4657" t="s">
        <v>42133</v>
      </c>
      <c r="U4657" t="s">
        <v>46586</v>
      </c>
      <c r="W4657" t="s">
        <v>38729</v>
      </c>
      <c r="X4657" t="s">
        <v>40440</v>
      </c>
    </row>
    <row r="4658" spans="1:24">
      <c r="A4658">
        <f>HYPERLINK("https://www.philgeps.gov.ph/GEPSNONPILOT/Tender/SplashBidNoticeAbstractUI.aspx?menuIndex=3&amp;refID=7047047&amp;Result=3","7047047")</f>
        <v>0</v>
      </c>
      <c r="B4658" t="s">
        <v>118</v>
      </c>
      <c r="C4658" t="s">
        <v>7531</v>
      </c>
      <c r="D4658" t="s">
        <v>16191</v>
      </c>
      <c r="E4658" t="s">
        <v>7531</v>
      </c>
      <c r="F4658" t="s">
        <v>28198</v>
      </c>
      <c r="G4658" t="s">
        <v>28207</v>
      </c>
      <c r="H4658" t="s">
        <v>28215</v>
      </c>
      <c r="I4658" t="s">
        <v>28221</v>
      </c>
      <c r="J4658" t="s">
        <v>31324</v>
      </c>
      <c r="K4658" t="s">
        <v>36701</v>
      </c>
      <c r="M4658" t="s">
        <v>37092</v>
      </c>
      <c r="N4658" t="s">
        <v>40436</v>
      </c>
      <c r="O4658" t="s">
        <v>40437</v>
      </c>
      <c r="P4658">
        <v>0</v>
      </c>
      <c r="Q4658">
        <v>0</v>
      </c>
      <c r="R4658" t="s">
        <v>40439</v>
      </c>
      <c r="S4658" t="s">
        <v>40588</v>
      </c>
      <c r="T4658" t="s">
        <v>42190</v>
      </c>
      <c r="U4658" t="s">
        <v>46587</v>
      </c>
      <c r="W4658" t="s">
        <v>37092</v>
      </c>
      <c r="X4658" t="s">
        <v>40440</v>
      </c>
    </row>
    <row r="4659" spans="1:24">
      <c r="A4659">
        <f>HYPERLINK("https://www.philgeps.gov.ph/GEPSNONPILOT/Tender/SplashBidNoticeAbstractUI.aspx?menuIndex=3&amp;refID=7047044&amp;Result=3","7047044")</f>
        <v>0</v>
      </c>
      <c r="B4659" t="s">
        <v>1650</v>
      </c>
      <c r="C4659" t="s">
        <v>6474</v>
      </c>
      <c r="D4659" t="s">
        <v>16210</v>
      </c>
      <c r="E4659" t="s">
        <v>20413</v>
      </c>
      <c r="F4659" t="s">
        <v>28198</v>
      </c>
      <c r="G4659" t="s">
        <v>28207</v>
      </c>
      <c r="H4659" t="s">
        <v>28215</v>
      </c>
      <c r="I4659" t="s">
        <v>5082</v>
      </c>
      <c r="J4659" t="s">
        <v>31325</v>
      </c>
      <c r="K4659" t="s">
        <v>36691</v>
      </c>
      <c r="M4659" t="s">
        <v>38744</v>
      </c>
      <c r="N4659" t="s">
        <v>40436</v>
      </c>
      <c r="O4659" t="s">
        <v>40437</v>
      </c>
      <c r="P4659">
        <v>0</v>
      </c>
      <c r="Q4659">
        <v>5</v>
      </c>
      <c r="R4659" t="s">
        <v>40439</v>
      </c>
      <c r="S4659" t="s">
        <v>40588</v>
      </c>
      <c r="T4659" t="s">
        <v>42190</v>
      </c>
      <c r="U4659" t="s">
        <v>42638</v>
      </c>
      <c r="W4659" t="s">
        <v>38744</v>
      </c>
      <c r="X4659" t="s">
        <v>40440</v>
      </c>
    </row>
    <row r="4660" spans="1:24">
      <c r="A4660">
        <f>HYPERLINK("https://www.philgeps.gov.ph/GEPSNONPILOT/Tender/SplashBidNoticeAbstractUI.aspx?menuIndex=3&amp;refID=7047049&amp;Result=3","7047049")</f>
        <v>0</v>
      </c>
      <c r="B4660" t="s">
        <v>1639</v>
      </c>
      <c r="C4660" t="s">
        <v>7532</v>
      </c>
      <c r="D4660" t="s">
        <v>16209</v>
      </c>
      <c r="E4660" t="s">
        <v>20414</v>
      </c>
      <c r="F4660" t="s">
        <v>28198</v>
      </c>
      <c r="G4660" t="s">
        <v>28205</v>
      </c>
      <c r="H4660" t="s">
        <v>28215</v>
      </c>
      <c r="I4660" t="s">
        <v>28222</v>
      </c>
      <c r="J4660" t="s">
        <v>31326</v>
      </c>
      <c r="K4660" t="s">
        <v>36691</v>
      </c>
      <c r="M4660" t="s">
        <v>38730</v>
      </c>
      <c r="N4660" t="s">
        <v>40436</v>
      </c>
      <c r="O4660" t="s">
        <v>40437</v>
      </c>
      <c r="P4660">
        <v>0</v>
      </c>
      <c r="Q4660">
        <v>2</v>
      </c>
      <c r="R4660" t="s">
        <v>40439</v>
      </c>
      <c r="S4660" t="s">
        <v>40588</v>
      </c>
      <c r="T4660" t="s">
        <v>42106</v>
      </c>
      <c r="U4660" t="s">
        <v>46588</v>
      </c>
      <c r="W4660" t="s">
        <v>38730</v>
      </c>
      <c r="X4660" t="s">
        <v>40440</v>
      </c>
    </row>
    <row r="4661" spans="1:24">
      <c r="A4661">
        <f>HYPERLINK("https://www.philgeps.gov.ph/GEPSNONPILOT/Tender/SplashBidNoticeAbstractUI.aspx?menuIndex=3&amp;refID=7047050&amp;Result=3","7047050")</f>
        <v>0</v>
      </c>
      <c r="B4661" t="s">
        <v>935</v>
      </c>
      <c r="C4661" t="s">
        <v>7533</v>
      </c>
      <c r="D4661" t="s">
        <v>16210</v>
      </c>
      <c r="E4661" t="s">
        <v>20415</v>
      </c>
      <c r="F4661" t="s">
        <v>28198</v>
      </c>
      <c r="G4661" t="s">
        <v>28205</v>
      </c>
      <c r="H4661" t="s">
        <v>28215</v>
      </c>
      <c r="I4661" t="s">
        <v>28291</v>
      </c>
      <c r="J4661" t="s">
        <v>29369</v>
      </c>
      <c r="K4661" t="s">
        <v>36756</v>
      </c>
      <c r="M4661" t="s">
        <v>38708</v>
      </c>
      <c r="N4661" t="s">
        <v>40436</v>
      </c>
      <c r="O4661" t="s">
        <v>40437</v>
      </c>
      <c r="P4661">
        <v>0</v>
      </c>
      <c r="Q4661">
        <v>5</v>
      </c>
      <c r="R4661" t="s">
        <v>40439</v>
      </c>
      <c r="S4661" t="s">
        <v>40588</v>
      </c>
      <c r="T4661" t="s">
        <v>42122</v>
      </c>
      <c r="U4661" t="s">
        <v>46589</v>
      </c>
      <c r="W4661" t="s">
        <v>38708</v>
      </c>
      <c r="X4661" t="s">
        <v>40440</v>
      </c>
    </row>
    <row r="4662" spans="1:24">
      <c r="A4662">
        <f>HYPERLINK("https://www.philgeps.gov.ph/GEPSNONPILOT/Tender/SplashBidNoticeAbstractUI.aspx?menuIndex=3&amp;refID=7047048&amp;Result=3","7047048")</f>
        <v>0</v>
      </c>
      <c r="B4662" t="s">
        <v>1141</v>
      </c>
      <c r="C4662" t="s">
        <v>7534</v>
      </c>
      <c r="D4662" t="s">
        <v>16261</v>
      </c>
      <c r="E4662" t="s">
        <v>20416</v>
      </c>
      <c r="F4662" t="s">
        <v>28198</v>
      </c>
      <c r="G4662" t="s">
        <v>28205</v>
      </c>
      <c r="H4662" t="s">
        <v>28214</v>
      </c>
      <c r="I4662" t="s">
        <v>3797</v>
      </c>
      <c r="J4662" t="s">
        <v>31327</v>
      </c>
      <c r="K4662" t="s">
        <v>36748</v>
      </c>
      <c r="M4662" t="s">
        <v>38181</v>
      </c>
      <c r="N4662" t="s">
        <v>40436</v>
      </c>
      <c r="O4662" t="s">
        <v>40437</v>
      </c>
      <c r="P4662">
        <v>0</v>
      </c>
      <c r="Q4662">
        <v>0</v>
      </c>
      <c r="R4662" t="s">
        <v>40439</v>
      </c>
      <c r="S4662" t="s">
        <v>40588</v>
      </c>
      <c r="T4662" t="s">
        <v>42108</v>
      </c>
      <c r="U4662" t="s">
        <v>46590</v>
      </c>
      <c r="W4662" t="s">
        <v>38181</v>
      </c>
      <c r="X4662" t="s">
        <v>40440</v>
      </c>
    </row>
    <row r="4663" spans="1:24">
      <c r="A4663">
        <f>HYPERLINK("https://www.philgeps.gov.ph/GEPSNONPILOT/Tender/SplashBidNoticeAbstractUI.aspx?menuIndex=3&amp;refID=7047055&amp;Result=3","7047055")</f>
        <v>0</v>
      </c>
      <c r="B4663" t="s">
        <v>988</v>
      </c>
      <c r="C4663" t="s">
        <v>7535</v>
      </c>
      <c r="D4663" t="s">
        <v>16191</v>
      </c>
      <c r="E4663" t="s">
        <v>20417</v>
      </c>
      <c r="F4663" t="s">
        <v>28198</v>
      </c>
      <c r="G4663" t="s">
        <v>28207</v>
      </c>
      <c r="H4663" t="s">
        <v>28215</v>
      </c>
      <c r="I4663" t="s">
        <v>4200</v>
      </c>
      <c r="J4663" t="s">
        <v>31328</v>
      </c>
      <c r="K4663" t="s">
        <v>36689</v>
      </c>
      <c r="M4663" t="s">
        <v>38015</v>
      </c>
      <c r="N4663" t="s">
        <v>40436</v>
      </c>
      <c r="O4663" t="s">
        <v>40437</v>
      </c>
      <c r="P4663">
        <v>0</v>
      </c>
      <c r="Q4663">
        <v>0</v>
      </c>
      <c r="R4663" t="s">
        <v>40439</v>
      </c>
      <c r="S4663" t="s">
        <v>40588</v>
      </c>
      <c r="T4663" t="s">
        <v>42190</v>
      </c>
      <c r="U4663" t="s">
        <v>46591</v>
      </c>
      <c r="W4663" t="s">
        <v>38015</v>
      </c>
      <c r="X4663" t="s">
        <v>40440</v>
      </c>
    </row>
    <row r="4664" spans="1:24">
      <c r="A4664">
        <f>HYPERLINK("https://www.philgeps.gov.ph/GEPSNONPILOT/Tender/SplashBidNoticeAbstractUI.aspx?menuIndex=3&amp;refID=7047051&amp;Result=3","7047051")</f>
        <v>0</v>
      </c>
      <c r="B4664" t="s">
        <v>1638</v>
      </c>
      <c r="C4664" t="s">
        <v>7536</v>
      </c>
      <c r="D4664" t="s">
        <v>16193</v>
      </c>
      <c r="E4664" t="s">
        <v>20418</v>
      </c>
      <c r="F4664" t="s">
        <v>28198</v>
      </c>
      <c r="G4664" t="s">
        <v>28205</v>
      </c>
      <c r="H4664" t="s">
        <v>28215</v>
      </c>
      <c r="I4664" t="s">
        <v>4168</v>
      </c>
      <c r="J4664" t="s">
        <v>29401</v>
      </c>
      <c r="K4664" t="s">
        <v>36689</v>
      </c>
      <c r="M4664" t="s">
        <v>38729</v>
      </c>
      <c r="N4664" t="s">
        <v>40436</v>
      </c>
      <c r="O4664" t="s">
        <v>40437</v>
      </c>
      <c r="P4664">
        <v>0</v>
      </c>
      <c r="Q4664">
        <v>0</v>
      </c>
      <c r="R4664" t="s">
        <v>40439</v>
      </c>
      <c r="S4664" t="s">
        <v>40588</v>
      </c>
      <c r="T4664" t="s">
        <v>42133</v>
      </c>
      <c r="U4664" t="s">
        <v>46592</v>
      </c>
      <c r="W4664" t="s">
        <v>38729</v>
      </c>
      <c r="X4664" t="s">
        <v>40440</v>
      </c>
    </row>
    <row r="4665" spans="1:24">
      <c r="A4665">
        <f>HYPERLINK("https://www.philgeps.gov.ph/GEPSNONPILOT/Tender/SplashBidNoticeAbstractUI.aspx?menuIndex=3&amp;refID=7047054&amp;Result=3","7047054")</f>
        <v>0</v>
      </c>
      <c r="B4665" t="s">
        <v>1651</v>
      </c>
      <c r="C4665" t="s">
        <v>7537</v>
      </c>
      <c r="E4665" t="s">
        <v>20419</v>
      </c>
      <c r="F4665" t="s">
        <v>28198</v>
      </c>
      <c r="G4665" t="s">
        <v>28210</v>
      </c>
      <c r="H4665" t="s">
        <v>28215</v>
      </c>
      <c r="I4665" t="s">
        <v>28225</v>
      </c>
      <c r="J4665" t="s">
        <v>31329</v>
      </c>
      <c r="K4665" t="s">
        <v>36688</v>
      </c>
      <c r="M4665" t="s">
        <v>38745</v>
      </c>
      <c r="N4665" t="s">
        <v>40436</v>
      </c>
      <c r="O4665" t="s">
        <v>40437</v>
      </c>
      <c r="P4665">
        <v>0</v>
      </c>
      <c r="Q4665">
        <v>0</v>
      </c>
      <c r="R4665" t="s">
        <v>40439</v>
      </c>
      <c r="S4665" t="s">
        <v>40588</v>
      </c>
      <c r="T4665" t="s">
        <v>42375</v>
      </c>
      <c r="U4665" t="s">
        <v>46593</v>
      </c>
      <c r="V4665" t="s">
        <v>54245</v>
      </c>
      <c r="W4665" t="s">
        <v>38745</v>
      </c>
      <c r="X4665" t="s">
        <v>40440</v>
      </c>
    </row>
    <row r="4666" spans="1:24">
      <c r="A4666">
        <f>HYPERLINK("https://www.philgeps.gov.ph/GEPSNONPILOT/Tender/SplashBidNoticeAbstractUI.aspx?menuIndex=3&amp;refID=7047069&amp;Result=3","7047069")</f>
        <v>0</v>
      </c>
      <c r="B4666" t="s">
        <v>844</v>
      </c>
      <c r="C4666" t="s">
        <v>7538</v>
      </c>
      <c r="D4666" t="s">
        <v>16210</v>
      </c>
      <c r="E4666" t="s">
        <v>18007</v>
      </c>
      <c r="F4666" t="s">
        <v>28198</v>
      </c>
      <c r="G4666" t="s">
        <v>28207</v>
      </c>
      <c r="H4666" t="s">
        <v>28215</v>
      </c>
      <c r="I4666" t="s">
        <v>28222</v>
      </c>
      <c r="J4666" t="s">
        <v>30231</v>
      </c>
      <c r="K4666" t="s">
        <v>36706</v>
      </c>
      <c r="M4666" t="s">
        <v>37856</v>
      </c>
      <c r="N4666" t="s">
        <v>40436</v>
      </c>
      <c r="O4666" t="s">
        <v>40437</v>
      </c>
      <c r="P4666">
        <v>0</v>
      </c>
      <c r="Q4666">
        <v>3</v>
      </c>
      <c r="R4666" t="s">
        <v>40439</v>
      </c>
      <c r="S4666" t="s">
        <v>40588</v>
      </c>
      <c r="T4666" t="s">
        <v>42158</v>
      </c>
      <c r="U4666" t="s">
        <v>46594</v>
      </c>
      <c r="W4666" t="s">
        <v>37856</v>
      </c>
      <c r="X4666" t="s">
        <v>40440</v>
      </c>
    </row>
    <row r="4667" spans="1:24">
      <c r="A4667">
        <f>HYPERLINK("https://www.philgeps.gov.ph/GEPSNONPILOT/Tender/SplashBidNoticeAbstractUI.aspx?menuIndex=3&amp;refID=7047066&amp;Result=3","7047066")</f>
        <v>0</v>
      </c>
      <c r="B4667" t="s">
        <v>1651</v>
      </c>
      <c r="C4667" t="s">
        <v>7539</v>
      </c>
      <c r="E4667" t="s">
        <v>20420</v>
      </c>
      <c r="F4667" t="s">
        <v>28198</v>
      </c>
      <c r="G4667" t="s">
        <v>28207</v>
      </c>
      <c r="H4667" t="s">
        <v>28215</v>
      </c>
      <c r="I4667" t="s">
        <v>3774</v>
      </c>
      <c r="J4667" t="s">
        <v>31330</v>
      </c>
      <c r="K4667" t="s">
        <v>36688</v>
      </c>
      <c r="M4667" t="s">
        <v>38745</v>
      </c>
      <c r="N4667" t="s">
        <v>40436</v>
      </c>
      <c r="O4667" t="s">
        <v>40437</v>
      </c>
      <c r="P4667">
        <v>0</v>
      </c>
      <c r="Q4667">
        <v>0</v>
      </c>
      <c r="R4667" t="s">
        <v>40439</v>
      </c>
      <c r="S4667" t="s">
        <v>40588</v>
      </c>
      <c r="T4667" t="s">
        <v>42375</v>
      </c>
      <c r="U4667" t="s">
        <v>46595</v>
      </c>
      <c r="V4667" t="s">
        <v>54245</v>
      </c>
      <c r="W4667" t="s">
        <v>38745</v>
      </c>
      <c r="X4667" t="s">
        <v>40440</v>
      </c>
    </row>
    <row r="4668" spans="1:24">
      <c r="A4668">
        <f>HYPERLINK("https://www.philgeps.gov.ph/GEPSNONPILOT/Tender/SplashBidNoticeAbstractUI.aspx?menuIndex=3&amp;refID=7047053&amp;Result=3","7047053")</f>
        <v>0</v>
      </c>
      <c r="B4668" t="s">
        <v>1645</v>
      </c>
      <c r="C4668" t="s">
        <v>7540</v>
      </c>
      <c r="D4668" t="s">
        <v>16247</v>
      </c>
      <c r="E4668" t="s">
        <v>20421</v>
      </c>
      <c r="F4668" t="s">
        <v>28198</v>
      </c>
      <c r="G4668" t="s">
        <v>28206</v>
      </c>
      <c r="H4668" t="s">
        <v>28215</v>
      </c>
      <c r="I4668" t="s">
        <v>4505</v>
      </c>
      <c r="J4668" t="s">
        <v>31331</v>
      </c>
      <c r="K4668" t="s">
        <v>36707</v>
      </c>
      <c r="M4668" t="s">
        <v>38737</v>
      </c>
      <c r="N4668" t="s">
        <v>40436</v>
      </c>
      <c r="O4668" t="s">
        <v>40437</v>
      </c>
      <c r="P4668">
        <v>0</v>
      </c>
      <c r="Q4668">
        <v>3</v>
      </c>
      <c r="R4668" t="s">
        <v>40439</v>
      </c>
      <c r="S4668" t="s">
        <v>40588</v>
      </c>
      <c r="T4668" t="s">
        <v>42350</v>
      </c>
      <c r="U4668" t="s">
        <v>46563</v>
      </c>
      <c r="W4668" t="s">
        <v>38737</v>
      </c>
      <c r="X4668" t="s">
        <v>40440</v>
      </c>
    </row>
    <row r="4669" spans="1:24">
      <c r="A4669">
        <f>HYPERLINK("https://www.philgeps.gov.ph/GEPSNONPILOT/Tender/SplashBidNoticeAbstractUI.aspx?menuIndex=3&amp;refID=7047071&amp;Result=3","7047071")</f>
        <v>0</v>
      </c>
      <c r="B4669" t="s">
        <v>1652</v>
      </c>
      <c r="C4669" t="s">
        <v>7541</v>
      </c>
      <c r="D4669" t="s">
        <v>16216</v>
      </c>
      <c r="E4669" t="s">
        <v>20422</v>
      </c>
      <c r="F4669" t="s">
        <v>28198</v>
      </c>
      <c r="G4669" t="s">
        <v>28207</v>
      </c>
      <c r="H4669" t="s">
        <v>28215</v>
      </c>
      <c r="I4669" t="s">
        <v>28258</v>
      </c>
      <c r="J4669" t="s">
        <v>31332</v>
      </c>
      <c r="K4669" t="s">
        <v>36688</v>
      </c>
      <c r="M4669" t="s">
        <v>38746</v>
      </c>
      <c r="N4669" t="s">
        <v>40436</v>
      </c>
      <c r="O4669" t="s">
        <v>40437</v>
      </c>
      <c r="P4669">
        <v>0</v>
      </c>
      <c r="Q4669">
        <v>5</v>
      </c>
      <c r="R4669" t="s">
        <v>40439</v>
      </c>
      <c r="S4669" t="s">
        <v>40588</v>
      </c>
      <c r="T4669" t="s">
        <v>42111</v>
      </c>
      <c r="U4669" t="s">
        <v>46596</v>
      </c>
      <c r="W4669" t="s">
        <v>38746</v>
      </c>
      <c r="X4669" t="s">
        <v>40440</v>
      </c>
    </row>
    <row r="4670" spans="1:24">
      <c r="A4670">
        <f>HYPERLINK("https://www.philgeps.gov.ph/GEPSNONPILOT/Tender/SplashBidNoticeAbstractUI.aspx?menuIndex=3&amp;refID=7047065&amp;Result=3","7047065")</f>
        <v>0</v>
      </c>
      <c r="B4670" t="s">
        <v>1141</v>
      </c>
      <c r="C4670" t="s">
        <v>7542</v>
      </c>
      <c r="D4670" t="s">
        <v>16261</v>
      </c>
      <c r="E4670" t="s">
        <v>20423</v>
      </c>
      <c r="F4670" t="s">
        <v>28198</v>
      </c>
      <c r="G4670" t="s">
        <v>28205</v>
      </c>
      <c r="H4670" t="s">
        <v>28214</v>
      </c>
      <c r="I4670" t="s">
        <v>3797</v>
      </c>
      <c r="J4670" t="s">
        <v>31333</v>
      </c>
      <c r="K4670" t="s">
        <v>36701</v>
      </c>
      <c r="M4670" t="s">
        <v>38181</v>
      </c>
      <c r="N4670" t="s">
        <v>40436</v>
      </c>
      <c r="O4670" t="s">
        <v>40437</v>
      </c>
      <c r="P4670">
        <v>0</v>
      </c>
      <c r="Q4670">
        <v>0</v>
      </c>
      <c r="R4670" t="s">
        <v>40439</v>
      </c>
      <c r="S4670" t="s">
        <v>40588</v>
      </c>
      <c r="T4670" t="s">
        <v>42108</v>
      </c>
      <c r="U4670" t="s">
        <v>46597</v>
      </c>
      <c r="W4670" t="s">
        <v>38181</v>
      </c>
      <c r="X4670" t="s">
        <v>40440</v>
      </c>
    </row>
    <row r="4671" spans="1:24">
      <c r="A4671">
        <f>HYPERLINK("https://www.philgeps.gov.ph/GEPSNONPILOT/Tender/SplashBidNoticeAbstractUI.aspx?menuIndex=3&amp;refID=7047062&amp;Result=3","7047062")</f>
        <v>0</v>
      </c>
      <c r="B4671" t="s">
        <v>988</v>
      </c>
      <c r="C4671" t="s">
        <v>7543</v>
      </c>
      <c r="D4671" t="s">
        <v>16191</v>
      </c>
      <c r="E4671" t="s">
        <v>20424</v>
      </c>
      <c r="F4671" t="s">
        <v>28198</v>
      </c>
      <c r="G4671" t="s">
        <v>28207</v>
      </c>
      <c r="H4671" t="s">
        <v>28215</v>
      </c>
      <c r="I4671" t="s">
        <v>28224</v>
      </c>
      <c r="J4671" t="s">
        <v>31334</v>
      </c>
      <c r="K4671" t="s">
        <v>36689</v>
      </c>
      <c r="M4671" t="s">
        <v>38015</v>
      </c>
      <c r="N4671" t="s">
        <v>40436</v>
      </c>
      <c r="O4671" t="s">
        <v>40437</v>
      </c>
      <c r="P4671">
        <v>0</v>
      </c>
      <c r="Q4671">
        <v>1</v>
      </c>
      <c r="R4671" t="s">
        <v>40439</v>
      </c>
      <c r="S4671" t="s">
        <v>40588</v>
      </c>
      <c r="T4671" t="s">
        <v>42190</v>
      </c>
      <c r="U4671" t="s">
        <v>46598</v>
      </c>
      <c r="W4671" t="s">
        <v>38015</v>
      </c>
      <c r="X4671" t="s">
        <v>40440</v>
      </c>
    </row>
    <row r="4672" spans="1:24">
      <c r="A4672">
        <f>HYPERLINK("https://www.philgeps.gov.ph/GEPSNONPILOT/Tender/SplashBidNoticeAbstractUI.aspx?menuIndex=3&amp;refID=7047067&amp;Result=3","7047067")</f>
        <v>0</v>
      </c>
      <c r="B4672" t="s">
        <v>1638</v>
      </c>
      <c r="C4672" t="s">
        <v>7544</v>
      </c>
      <c r="D4672" t="s">
        <v>16193</v>
      </c>
      <c r="E4672" t="s">
        <v>20425</v>
      </c>
      <c r="F4672" t="s">
        <v>28198</v>
      </c>
      <c r="G4672" t="s">
        <v>28205</v>
      </c>
      <c r="H4672" t="s">
        <v>28215</v>
      </c>
      <c r="I4672" t="s">
        <v>28234</v>
      </c>
      <c r="J4672" t="s">
        <v>31335</v>
      </c>
      <c r="K4672" t="s">
        <v>36689</v>
      </c>
      <c r="M4672" t="s">
        <v>38729</v>
      </c>
      <c r="N4672" t="s">
        <v>40436</v>
      </c>
      <c r="O4672" t="s">
        <v>40437</v>
      </c>
      <c r="P4672">
        <v>0</v>
      </c>
      <c r="Q4672">
        <v>0</v>
      </c>
      <c r="R4672" t="s">
        <v>40439</v>
      </c>
      <c r="S4672" t="s">
        <v>40588</v>
      </c>
      <c r="T4672" t="s">
        <v>42133</v>
      </c>
      <c r="U4672" t="s">
        <v>46599</v>
      </c>
      <c r="W4672" t="s">
        <v>38729</v>
      </c>
      <c r="X4672" t="s">
        <v>40440</v>
      </c>
    </row>
    <row r="4673" spans="1:24">
      <c r="A4673">
        <f>HYPERLINK("https://www.philgeps.gov.ph/GEPSNONPILOT/Tender/SplashBidNoticeAbstractUI.aspx?menuIndex=3&amp;refID=7047061&amp;Result=3","7047061")</f>
        <v>0</v>
      </c>
      <c r="B4673" t="s">
        <v>1652</v>
      </c>
      <c r="C4673" t="s">
        <v>7545</v>
      </c>
      <c r="D4673" t="s">
        <v>16216</v>
      </c>
      <c r="E4673" t="s">
        <v>20426</v>
      </c>
      <c r="F4673" t="s">
        <v>28198</v>
      </c>
      <c r="G4673" t="s">
        <v>28207</v>
      </c>
      <c r="H4673" t="s">
        <v>28215</v>
      </c>
      <c r="I4673" t="s">
        <v>28300</v>
      </c>
      <c r="J4673" t="s">
        <v>29775</v>
      </c>
      <c r="K4673" t="s">
        <v>36688</v>
      </c>
      <c r="M4673" t="s">
        <v>38746</v>
      </c>
      <c r="N4673" t="s">
        <v>40436</v>
      </c>
      <c r="O4673" t="s">
        <v>40437</v>
      </c>
      <c r="P4673">
        <v>0</v>
      </c>
      <c r="Q4673">
        <v>1</v>
      </c>
      <c r="R4673" t="s">
        <v>40439</v>
      </c>
      <c r="S4673" t="s">
        <v>40588</v>
      </c>
      <c r="T4673" t="s">
        <v>42111</v>
      </c>
      <c r="U4673" t="s">
        <v>46600</v>
      </c>
      <c r="W4673" t="s">
        <v>38746</v>
      </c>
      <c r="X4673" t="s">
        <v>40440</v>
      </c>
    </row>
    <row r="4674" spans="1:24">
      <c r="A4674">
        <f>HYPERLINK("https://www.philgeps.gov.ph/GEPSNONPILOT/Tender/SplashBidNoticeAbstractUI.aspx?menuIndex=3&amp;refID=7047073&amp;Result=3","7047073")</f>
        <v>0</v>
      </c>
      <c r="B4674" t="s">
        <v>585</v>
      </c>
      <c r="C4674" t="s">
        <v>7546</v>
      </c>
      <c r="D4674" t="s">
        <v>16190</v>
      </c>
      <c r="E4674" t="s">
        <v>20427</v>
      </c>
      <c r="F4674" t="s">
        <v>28198</v>
      </c>
      <c r="G4674" t="s">
        <v>28207</v>
      </c>
      <c r="H4674" t="s">
        <v>28215</v>
      </c>
      <c r="I4674" t="s">
        <v>28258</v>
      </c>
      <c r="J4674" t="s">
        <v>29738</v>
      </c>
      <c r="K4674" t="s">
        <v>36698</v>
      </c>
      <c r="M4674" t="s">
        <v>37670</v>
      </c>
      <c r="N4674" t="s">
        <v>40436</v>
      </c>
      <c r="O4674" t="s">
        <v>40437</v>
      </c>
      <c r="P4674">
        <v>0</v>
      </c>
      <c r="Q4674">
        <v>1</v>
      </c>
      <c r="R4674" t="s">
        <v>40439</v>
      </c>
      <c r="S4674" t="s">
        <v>40588</v>
      </c>
      <c r="T4674" t="s">
        <v>42376</v>
      </c>
      <c r="U4674" t="s">
        <v>46601</v>
      </c>
      <c r="W4674" t="s">
        <v>37670</v>
      </c>
      <c r="X4674" t="s">
        <v>40440</v>
      </c>
    </row>
    <row r="4675" spans="1:24">
      <c r="A4675">
        <f>HYPERLINK("https://www.philgeps.gov.ph/GEPSNONPILOT/Tender/SplashBidNoticeAbstractUI.aspx?menuIndex=3&amp;refID=7047070&amp;Result=3","7047070")</f>
        <v>0</v>
      </c>
      <c r="B4675" t="s">
        <v>1653</v>
      </c>
      <c r="C4675" t="s">
        <v>7547</v>
      </c>
      <c r="D4675" t="s">
        <v>16199</v>
      </c>
      <c r="E4675" t="s">
        <v>20428</v>
      </c>
      <c r="F4675" t="s">
        <v>28198</v>
      </c>
      <c r="G4675" t="s">
        <v>28205</v>
      </c>
      <c r="H4675" t="s">
        <v>28215</v>
      </c>
      <c r="I4675" t="s">
        <v>5100</v>
      </c>
      <c r="J4675" t="s">
        <v>31336</v>
      </c>
      <c r="K4675" t="s">
        <v>36707</v>
      </c>
      <c r="M4675" t="s">
        <v>38747</v>
      </c>
      <c r="N4675" t="s">
        <v>40436</v>
      </c>
      <c r="O4675" t="s">
        <v>40437</v>
      </c>
      <c r="P4675">
        <v>0</v>
      </c>
      <c r="Q4675">
        <v>1</v>
      </c>
      <c r="R4675" t="s">
        <v>40439</v>
      </c>
      <c r="S4675" t="s">
        <v>40588</v>
      </c>
      <c r="T4675" t="s">
        <v>42134</v>
      </c>
      <c r="U4675" t="s">
        <v>46602</v>
      </c>
      <c r="W4675" t="s">
        <v>38747</v>
      </c>
      <c r="X4675" t="s">
        <v>40440</v>
      </c>
    </row>
    <row r="4676" spans="1:24">
      <c r="A4676">
        <f>HYPERLINK("https://www.philgeps.gov.ph/GEPSNONPILOT/Tender/SplashBidNoticeAbstractUI.aspx?menuIndex=3&amp;refID=7047058&amp;Result=3","7047058")</f>
        <v>0</v>
      </c>
      <c r="B4676" t="s">
        <v>1650</v>
      </c>
      <c r="C4676" t="s">
        <v>7548</v>
      </c>
      <c r="D4676" t="s">
        <v>16210</v>
      </c>
      <c r="E4676" t="s">
        <v>20429</v>
      </c>
      <c r="F4676" t="s">
        <v>28198</v>
      </c>
      <c r="G4676" t="s">
        <v>28207</v>
      </c>
      <c r="H4676" t="s">
        <v>28215</v>
      </c>
      <c r="I4676" t="s">
        <v>4200</v>
      </c>
      <c r="J4676" t="s">
        <v>30776</v>
      </c>
      <c r="K4676" t="s">
        <v>36691</v>
      </c>
      <c r="M4676" t="s">
        <v>38744</v>
      </c>
      <c r="N4676" t="s">
        <v>40436</v>
      </c>
      <c r="O4676" t="s">
        <v>40437</v>
      </c>
      <c r="P4676">
        <v>0</v>
      </c>
      <c r="Q4676">
        <v>12</v>
      </c>
      <c r="R4676" t="s">
        <v>40439</v>
      </c>
      <c r="S4676" t="s">
        <v>40588</v>
      </c>
      <c r="T4676" t="s">
        <v>42340</v>
      </c>
      <c r="U4676" t="s">
        <v>46603</v>
      </c>
      <c r="W4676" t="s">
        <v>38744</v>
      </c>
      <c r="X4676" t="s">
        <v>40440</v>
      </c>
    </row>
    <row r="4677" spans="1:24">
      <c r="A4677">
        <f>HYPERLINK("https://www.philgeps.gov.ph/GEPSNONPILOT/Tender/SplashBidNoticeAbstractUI.aspx?menuIndex=3&amp;refID=7047060&amp;Result=3","7047060")</f>
        <v>0</v>
      </c>
      <c r="B4677" t="s">
        <v>1462</v>
      </c>
      <c r="C4677" t="s">
        <v>7549</v>
      </c>
      <c r="D4677" t="s">
        <v>16210</v>
      </c>
      <c r="E4677" t="s">
        <v>20430</v>
      </c>
      <c r="F4677" t="s">
        <v>28198</v>
      </c>
      <c r="G4677" t="s">
        <v>28207</v>
      </c>
      <c r="H4677" t="s">
        <v>28215</v>
      </c>
      <c r="I4677" t="s">
        <v>4168</v>
      </c>
      <c r="J4677" t="s">
        <v>29269</v>
      </c>
      <c r="K4677" t="s">
        <v>36701</v>
      </c>
      <c r="M4677" t="s">
        <v>38531</v>
      </c>
      <c r="N4677" t="s">
        <v>40436</v>
      </c>
      <c r="O4677" t="s">
        <v>40437</v>
      </c>
      <c r="P4677">
        <v>0</v>
      </c>
      <c r="Q4677">
        <v>6</v>
      </c>
      <c r="R4677" t="s">
        <v>40439</v>
      </c>
      <c r="S4677" t="s">
        <v>40588</v>
      </c>
      <c r="T4677" t="s">
        <v>42203</v>
      </c>
      <c r="U4677" t="s">
        <v>46604</v>
      </c>
      <c r="W4677" t="s">
        <v>38531</v>
      </c>
      <c r="X4677" t="s">
        <v>40440</v>
      </c>
    </row>
    <row r="4678" spans="1:24">
      <c r="A4678">
        <f>HYPERLINK("https://www.philgeps.gov.ph/GEPSNONPILOT/Tender/SplashBidNoticeAbstractUI.aspx?menuIndex=3&amp;refID=7047056&amp;Result=3","7047056")</f>
        <v>0</v>
      </c>
      <c r="B4678" t="s">
        <v>1638</v>
      </c>
      <c r="C4678" t="s">
        <v>7550</v>
      </c>
      <c r="D4678" t="s">
        <v>16193</v>
      </c>
      <c r="E4678" t="s">
        <v>20431</v>
      </c>
      <c r="F4678" t="s">
        <v>28198</v>
      </c>
      <c r="G4678" t="s">
        <v>28205</v>
      </c>
      <c r="H4678" t="s">
        <v>28215</v>
      </c>
      <c r="I4678" t="s">
        <v>28234</v>
      </c>
      <c r="J4678" t="s">
        <v>31337</v>
      </c>
      <c r="K4678" t="s">
        <v>36689</v>
      </c>
      <c r="M4678" t="s">
        <v>38729</v>
      </c>
      <c r="N4678" t="s">
        <v>40436</v>
      </c>
      <c r="O4678" t="s">
        <v>40437</v>
      </c>
      <c r="P4678">
        <v>0</v>
      </c>
      <c r="Q4678">
        <v>0</v>
      </c>
      <c r="R4678" t="s">
        <v>40439</v>
      </c>
      <c r="S4678" t="s">
        <v>40588</v>
      </c>
      <c r="T4678" t="s">
        <v>42133</v>
      </c>
      <c r="U4678" t="s">
        <v>46605</v>
      </c>
      <c r="W4678" t="s">
        <v>38729</v>
      </c>
      <c r="X4678" t="s">
        <v>40440</v>
      </c>
    </row>
    <row r="4679" spans="1:24">
      <c r="A4679">
        <f>HYPERLINK("https://www.philgeps.gov.ph/GEPSNONPILOT/Tender/SplashBidNoticeAbstractUI.aspx?menuIndex=3&amp;refID=7047057&amp;Result=3","7047057")</f>
        <v>0</v>
      </c>
      <c r="B4679" t="s">
        <v>118</v>
      </c>
      <c r="C4679" t="s">
        <v>7551</v>
      </c>
      <c r="D4679" t="s">
        <v>16191</v>
      </c>
      <c r="E4679" t="s">
        <v>7551</v>
      </c>
      <c r="F4679" t="s">
        <v>28198</v>
      </c>
      <c r="G4679" t="s">
        <v>28206</v>
      </c>
      <c r="H4679" t="s">
        <v>28215</v>
      </c>
      <c r="I4679" t="s">
        <v>5791</v>
      </c>
      <c r="J4679" t="s">
        <v>29285</v>
      </c>
      <c r="K4679" t="s">
        <v>36701</v>
      </c>
      <c r="M4679" t="s">
        <v>37092</v>
      </c>
      <c r="N4679" t="s">
        <v>40436</v>
      </c>
      <c r="O4679" t="s">
        <v>40437</v>
      </c>
      <c r="P4679">
        <v>0</v>
      </c>
      <c r="Q4679">
        <v>0</v>
      </c>
      <c r="R4679" t="s">
        <v>40439</v>
      </c>
      <c r="S4679" t="s">
        <v>40588</v>
      </c>
      <c r="T4679" t="s">
        <v>42190</v>
      </c>
      <c r="U4679" t="s">
        <v>46606</v>
      </c>
      <c r="W4679" t="s">
        <v>37092</v>
      </c>
      <c r="X4679" t="s">
        <v>40440</v>
      </c>
    </row>
    <row r="4680" spans="1:24">
      <c r="A4680">
        <f>HYPERLINK("https://www.philgeps.gov.ph/GEPSNONPILOT/Tender/SplashBidNoticeAbstractUI.aspx?menuIndex=3&amp;refID=7047072&amp;Result=3","7047072")</f>
        <v>0</v>
      </c>
      <c r="B4680" t="s">
        <v>1141</v>
      </c>
      <c r="C4680" t="s">
        <v>7552</v>
      </c>
      <c r="D4680" t="s">
        <v>16261</v>
      </c>
      <c r="E4680" t="s">
        <v>20432</v>
      </c>
      <c r="F4680" t="s">
        <v>28198</v>
      </c>
      <c r="G4680" t="s">
        <v>28205</v>
      </c>
      <c r="H4680" t="s">
        <v>28214</v>
      </c>
      <c r="I4680" t="s">
        <v>3797</v>
      </c>
      <c r="J4680" t="s">
        <v>28561</v>
      </c>
      <c r="K4680" t="s">
        <v>36820</v>
      </c>
      <c r="M4680" t="s">
        <v>38181</v>
      </c>
      <c r="N4680" t="s">
        <v>40436</v>
      </c>
      <c r="O4680" t="s">
        <v>40437</v>
      </c>
      <c r="P4680">
        <v>0</v>
      </c>
      <c r="Q4680">
        <v>0</v>
      </c>
      <c r="R4680" t="s">
        <v>40439</v>
      </c>
      <c r="S4680" t="s">
        <v>40588</v>
      </c>
      <c r="T4680" t="s">
        <v>42108</v>
      </c>
      <c r="U4680" t="s">
        <v>46607</v>
      </c>
      <c r="W4680" t="s">
        <v>38181</v>
      </c>
      <c r="X4680" t="s">
        <v>40440</v>
      </c>
    </row>
    <row r="4681" spans="1:24">
      <c r="A4681">
        <f>HYPERLINK("https://www.philgeps.gov.ph/GEPSNONPILOT/Tender/SplashBidNoticeAbstractUI.aspx?menuIndex=3&amp;refID=7047074&amp;Result=3","7047074")</f>
        <v>0</v>
      </c>
      <c r="B4681" t="s">
        <v>1651</v>
      </c>
      <c r="C4681" t="s">
        <v>7553</v>
      </c>
      <c r="E4681" t="s">
        <v>20433</v>
      </c>
      <c r="F4681" t="s">
        <v>28198</v>
      </c>
      <c r="G4681" t="s">
        <v>28207</v>
      </c>
      <c r="H4681" t="s">
        <v>28215</v>
      </c>
      <c r="I4681" t="s">
        <v>5100</v>
      </c>
      <c r="J4681" t="s">
        <v>31338</v>
      </c>
      <c r="K4681" t="s">
        <v>36688</v>
      </c>
      <c r="M4681" t="s">
        <v>38745</v>
      </c>
      <c r="N4681" t="s">
        <v>40436</v>
      </c>
      <c r="O4681" t="s">
        <v>40437</v>
      </c>
      <c r="P4681">
        <v>0</v>
      </c>
      <c r="Q4681">
        <v>0</v>
      </c>
      <c r="R4681" t="s">
        <v>40439</v>
      </c>
      <c r="S4681" t="s">
        <v>40588</v>
      </c>
      <c r="T4681" t="s">
        <v>42190</v>
      </c>
      <c r="U4681" t="s">
        <v>46608</v>
      </c>
      <c r="V4681" t="s">
        <v>54245</v>
      </c>
      <c r="W4681" t="s">
        <v>38745</v>
      </c>
      <c r="X4681" t="s">
        <v>40440</v>
      </c>
    </row>
    <row r="4682" spans="1:24">
      <c r="A4682">
        <f>HYPERLINK("https://www.philgeps.gov.ph/GEPSNONPILOT/Tender/SplashBidNoticeAbstractUI.aspx?menuIndex=3&amp;refID=7047063&amp;Result=3","7047063")</f>
        <v>0</v>
      </c>
      <c r="B4682" t="s">
        <v>1638</v>
      </c>
      <c r="C4682" t="s">
        <v>7554</v>
      </c>
      <c r="D4682" t="s">
        <v>16193</v>
      </c>
      <c r="E4682" t="s">
        <v>20434</v>
      </c>
      <c r="F4682" t="s">
        <v>28198</v>
      </c>
      <c r="G4682" t="s">
        <v>28205</v>
      </c>
      <c r="H4682" t="s">
        <v>28215</v>
      </c>
      <c r="I4682" t="s">
        <v>28258</v>
      </c>
      <c r="J4682" t="s">
        <v>31339</v>
      </c>
      <c r="K4682" t="s">
        <v>36689</v>
      </c>
      <c r="M4682" t="s">
        <v>38729</v>
      </c>
      <c r="N4682" t="s">
        <v>40436</v>
      </c>
      <c r="O4682" t="s">
        <v>40437</v>
      </c>
      <c r="P4682">
        <v>0</v>
      </c>
      <c r="Q4682">
        <v>4</v>
      </c>
      <c r="R4682" t="s">
        <v>40439</v>
      </c>
      <c r="S4682" t="s">
        <v>40588</v>
      </c>
      <c r="T4682" t="s">
        <v>42133</v>
      </c>
      <c r="U4682" t="s">
        <v>46609</v>
      </c>
      <c r="W4682" t="s">
        <v>38729</v>
      </c>
      <c r="X4682" t="s">
        <v>40440</v>
      </c>
    </row>
    <row r="4683" spans="1:24">
      <c r="A4683">
        <f>HYPERLINK("https://www.philgeps.gov.ph/GEPSNONPILOT/Tender/SplashBidNoticeAbstractUI.aspx?menuIndex=3&amp;refID=7047084&amp;Result=3","7047084")</f>
        <v>0</v>
      </c>
      <c r="B4683" t="s">
        <v>1627</v>
      </c>
      <c r="C4683" t="s">
        <v>7555</v>
      </c>
      <c r="D4683" t="s">
        <v>16195</v>
      </c>
      <c r="E4683" t="s">
        <v>20435</v>
      </c>
      <c r="F4683" t="s">
        <v>28198</v>
      </c>
      <c r="G4683" t="s">
        <v>28207</v>
      </c>
      <c r="H4683" t="s">
        <v>28215</v>
      </c>
      <c r="I4683" t="s">
        <v>28299</v>
      </c>
      <c r="J4683" t="s">
        <v>31340</v>
      </c>
      <c r="K4683" t="s">
        <v>36701</v>
      </c>
      <c r="M4683" t="s">
        <v>38716</v>
      </c>
      <c r="N4683" t="s">
        <v>40436</v>
      </c>
      <c r="O4683" t="s">
        <v>40437</v>
      </c>
      <c r="P4683">
        <v>0</v>
      </c>
      <c r="Q4683">
        <v>1</v>
      </c>
      <c r="R4683" t="s">
        <v>40439</v>
      </c>
      <c r="S4683" t="s">
        <v>40588</v>
      </c>
      <c r="T4683" t="s">
        <v>42158</v>
      </c>
      <c r="U4683" t="s">
        <v>46610</v>
      </c>
      <c r="W4683" t="s">
        <v>38716</v>
      </c>
      <c r="X4683" t="s">
        <v>40440</v>
      </c>
    </row>
    <row r="4684" spans="1:24">
      <c r="A4684">
        <f>HYPERLINK("https://www.philgeps.gov.ph/GEPSNONPILOT/Tender/SplashBidNoticeAbstractUI.aspx?menuIndex=3&amp;refID=7047077&amp;Result=3","7047077")</f>
        <v>0</v>
      </c>
      <c r="B4684" t="s">
        <v>1654</v>
      </c>
      <c r="C4684" t="s">
        <v>7556</v>
      </c>
      <c r="D4684" t="s">
        <v>16209</v>
      </c>
      <c r="E4684" t="s">
        <v>20436</v>
      </c>
      <c r="F4684" t="s">
        <v>28198</v>
      </c>
      <c r="G4684" t="s">
        <v>28205</v>
      </c>
      <c r="H4684" t="s">
        <v>28214</v>
      </c>
      <c r="I4684" t="s">
        <v>3797</v>
      </c>
      <c r="J4684" t="s">
        <v>28566</v>
      </c>
      <c r="K4684" t="s">
        <v>36706</v>
      </c>
      <c r="M4684" t="s">
        <v>38748</v>
      </c>
      <c r="N4684" t="s">
        <v>40436</v>
      </c>
      <c r="O4684" t="s">
        <v>40437</v>
      </c>
      <c r="P4684">
        <v>0</v>
      </c>
      <c r="Q4684">
        <v>0</v>
      </c>
      <c r="R4684" t="s">
        <v>40439</v>
      </c>
      <c r="S4684" t="s">
        <v>40588</v>
      </c>
      <c r="T4684" t="s">
        <v>42102</v>
      </c>
      <c r="U4684" t="s">
        <v>46611</v>
      </c>
      <c r="W4684" t="s">
        <v>38748</v>
      </c>
      <c r="X4684" t="s">
        <v>40440</v>
      </c>
    </row>
    <row r="4685" spans="1:24">
      <c r="A4685">
        <f>HYPERLINK("https://www.philgeps.gov.ph/GEPSNONPILOT/Tender/SplashBidNoticeAbstractUI.aspx?menuIndex=3&amp;refID=7047083&amp;Result=3","7047083")</f>
        <v>0</v>
      </c>
      <c r="B4685" t="s">
        <v>1640</v>
      </c>
      <c r="C4685" t="s">
        <v>7525</v>
      </c>
      <c r="D4685" t="s">
        <v>16200</v>
      </c>
      <c r="E4685" t="s">
        <v>20437</v>
      </c>
      <c r="F4685" t="s">
        <v>28198</v>
      </c>
      <c r="G4685" t="s">
        <v>28207</v>
      </c>
      <c r="H4685" t="s">
        <v>28215</v>
      </c>
      <c r="I4685" t="s">
        <v>28325</v>
      </c>
      <c r="J4685" t="s">
        <v>29752</v>
      </c>
      <c r="K4685" t="s">
        <v>36701</v>
      </c>
      <c r="M4685" t="s">
        <v>38732</v>
      </c>
      <c r="N4685" t="s">
        <v>40436</v>
      </c>
      <c r="O4685" t="s">
        <v>40437</v>
      </c>
      <c r="P4685">
        <v>0</v>
      </c>
      <c r="Q4685">
        <v>0</v>
      </c>
      <c r="R4685" t="s">
        <v>40439</v>
      </c>
      <c r="S4685" t="s">
        <v>40588</v>
      </c>
      <c r="T4685" t="s">
        <v>42190</v>
      </c>
      <c r="U4685" t="s">
        <v>46580</v>
      </c>
      <c r="W4685" t="s">
        <v>38732</v>
      </c>
      <c r="X4685" t="s">
        <v>40440</v>
      </c>
    </row>
    <row r="4686" spans="1:24">
      <c r="A4686">
        <f>HYPERLINK("https://www.philgeps.gov.ph/GEPSNONPILOT/Tender/SplashBidNoticeAbstractUI.aspx?menuIndex=3&amp;refID=7047081&amp;Result=3","7047081")</f>
        <v>0</v>
      </c>
      <c r="B4686" t="s">
        <v>988</v>
      </c>
      <c r="C4686" t="s">
        <v>7557</v>
      </c>
      <c r="D4686" t="s">
        <v>16191</v>
      </c>
      <c r="E4686" t="s">
        <v>20438</v>
      </c>
      <c r="F4686" t="s">
        <v>28198</v>
      </c>
      <c r="G4686" t="s">
        <v>28206</v>
      </c>
      <c r="H4686" t="s">
        <v>28215</v>
      </c>
      <c r="I4686" t="s">
        <v>4200</v>
      </c>
      <c r="J4686" t="s">
        <v>31341</v>
      </c>
      <c r="K4686" t="s">
        <v>36689</v>
      </c>
      <c r="M4686" t="s">
        <v>38015</v>
      </c>
      <c r="N4686" t="s">
        <v>40436</v>
      </c>
      <c r="O4686" t="s">
        <v>40437</v>
      </c>
      <c r="P4686">
        <v>0</v>
      </c>
      <c r="Q4686">
        <v>0</v>
      </c>
      <c r="R4686" t="s">
        <v>40439</v>
      </c>
      <c r="S4686" t="s">
        <v>40588</v>
      </c>
      <c r="T4686" t="s">
        <v>42190</v>
      </c>
      <c r="U4686" t="s">
        <v>46612</v>
      </c>
      <c r="W4686" t="s">
        <v>38015</v>
      </c>
      <c r="X4686" t="s">
        <v>40440</v>
      </c>
    </row>
    <row r="4687" spans="1:24">
      <c r="A4687">
        <f>HYPERLINK("https://www.philgeps.gov.ph/GEPSNONPILOT/Tender/SplashBidNoticeAbstractUI.aspx?menuIndex=3&amp;refID=7047087&amp;Result=3","7047087")</f>
        <v>0</v>
      </c>
      <c r="B4687" t="s">
        <v>1390</v>
      </c>
      <c r="C4687" t="s">
        <v>7558</v>
      </c>
      <c r="D4687" t="s">
        <v>16211</v>
      </c>
      <c r="E4687" t="s">
        <v>20439</v>
      </c>
      <c r="F4687" t="s">
        <v>28202</v>
      </c>
      <c r="G4687" t="s">
        <v>28205</v>
      </c>
      <c r="H4687" t="s">
        <v>28215</v>
      </c>
      <c r="I4687" t="s">
        <v>28229</v>
      </c>
      <c r="J4687" t="s">
        <v>31342</v>
      </c>
      <c r="K4687" t="s">
        <v>36701</v>
      </c>
      <c r="M4687" t="s">
        <v>38454</v>
      </c>
      <c r="N4687" t="s">
        <v>40436</v>
      </c>
      <c r="O4687" t="s">
        <v>40437</v>
      </c>
      <c r="P4687">
        <v>0</v>
      </c>
      <c r="Q4687">
        <v>2</v>
      </c>
      <c r="R4687" t="s">
        <v>40439</v>
      </c>
      <c r="S4687" t="s">
        <v>40588</v>
      </c>
      <c r="T4687" t="s">
        <v>42259</v>
      </c>
      <c r="U4687" t="s">
        <v>46613</v>
      </c>
      <c r="W4687" t="s">
        <v>38454</v>
      </c>
      <c r="X4687" t="s">
        <v>40440</v>
      </c>
    </row>
    <row r="4688" spans="1:24">
      <c r="A4688">
        <f>HYPERLINK("https://www.philgeps.gov.ph/GEPSNONPILOT/Tender/SplashBidNoticeAbstractUI.aspx?menuIndex=3&amp;refID=7047076&amp;Result=3","7047076")</f>
        <v>0</v>
      </c>
      <c r="B4688" t="s">
        <v>1627</v>
      </c>
      <c r="C4688" t="s">
        <v>7559</v>
      </c>
      <c r="D4688" t="s">
        <v>16195</v>
      </c>
      <c r="E4688" t="s">
        <v>20440</v>
      </c>
      <c r="F4688" t="s">
        <v>28198</v>
      </c>
      <c r="G4688" t="s">
        <v>28207</v>
      </c>
      <c r="H4688" t="s">
        <v>28215</v>
      </c>
      <c r="I4688" t="s">
        <v>28234</v>
      </c>
      <c r="J4688" t="s">
        <v>28352</v>
      </c>
      <c r="K4688" t="s">
        <v>36701</v>
      </c>
      <c r="M4688" t="s">
        <v>38716</v>
      </c>
      <c r="N4688" t="s">
        <v>40436</v>
      </c>
      <c r="O4688" t="s">
        <v>40437</v>
      </c>
      <c r="P4688">
        <v>0</v>
      </c>
      <c r="Q4688">
        <v>4</v>
      </c>
      <c r="R4688" t="s">
        <v>40439</v>
      </c>
      <c r="S4688" t="s">
        <v>40588</v>
      </c>
      <c r="T4688" t="s">
        <v>42158</v>
      </c>
      <c r="U4688" t="s">
        <v>46614</v>
      </c>
      <c r="W4688" t="s">
        <v>38716</v>
      </c>
      <c r="X4688" t="s">
        <v>40440</v>
      </c>
    </row>
    <row r="4689" spans="1:24">
      <c r="A4689">
        <f>HYPERLINK("https://www.philgeps.gov.ph/GEPSNONPILOT/Tender/SplashBidNoticeAbstractUI.aspx?menuIndex=3&amp;refID=7047080&amp;Result=3","7047080")</f>
        <v>0</v>
      </c>
      <c r="B4689" t="s">
        <v>1654</v>
      </c>
      <c r="C4689" t="s">
        <v>7560</v>
      </c>
      <c r="D4689" t="s">
        <v>16209</v>
      </c>
      <c r="E4689" t="s">
        <v>20441</v>
      </c>
      <c r="F4689" t="s">
        <v>28198</v>
      </c>
      <c r="G4689" t="s">
        <v>28205</v>
      </c>
      <c r="H4689" t="s">
        <v>28214</v>
      </c>
      <c r="I4689" t="s">
        <v>3797</v>
      </c>
      <c r="J4689" t="s">
        <v>28414</v>
      </c>
      <c r="K4689" t="s">
        <v>36688</v>
      </c>
      <c r="M4689" t="s">
        <v>38748</v>
      </c>
      <c r="N4689" t="s">
        <v>40436</v>
      </c>
      <c r="O4689" t="s">
        <v>40437</v>
      </c>
      <c r="P4689">
        <v>0</v>
      </c>
      <c r="Q4689">
        <v>0</v>
      </c>
      <c r="R4689" t="s">
        <v>40439</v>
      </c>
      <c r="S4689" t="s">
        <v>40588</v>
      </c>
      <c r="T4689" t="s">
        <v>42102</v>
      </c>
      <c r="U4689" t="s">
        <v>46615</v>
      </c>
      <c r="W4689" t="s">
        <v>38748</v>
      </c>
      <c r="X4689" t="s">
        <v>40440</v>
      </c>
    </row>
    <row r="4690" spans="1:24">
      <c r="A4690">
        <f>HYPERLINK("https://www.philgeps.gov.ph/GEPSNONPILOT/Tender/SplashBidNoticeAbstractUI.aspx?menuIndex=3&amp;refID=7047079&amp;Result=3","7047079")</f>
        <v>0</v>
      </c>
      <c r="B4690" t="s">
        <v>1652</v>
      </c>
      <c r="C4690" t="s">
        <v>7561</v>
      </c>
      <c r="D4690" t="s">
        <v>16216</v>
      </c>
      <c r="E4690" t="s">
        <v>20442</v>
      </c>
      <c r="F4690" t="s">
        <v>28198</v>
      </c>
      <c r="G4690" t="s">
        <v>28207</v>
      </c>
      <c r="H4690" t="s">
        <v>28215</v>
      </c>
      <c r="I4690" t="s">
        <v>5631</v>
      </c>
      <c r="J4690" t="s">
        <v>31343</v>
      </c>
      <c r="K4690" t="s">
        <v>36688</v>
      </c>
      <c r="M4690" t="s">
        <v>38746</v>
      </c>
      <c r="N4690" t="s">
        <v>40436</v>
      </c>
      <c r="O4690" t="s">
        <v>40437</v>
      </c>
      <c r="P4690">
        <v>0</v>
      </c>
      <c r="Q4690">
        <v>0</v>
      </c>
      <c r="R4690" t="s">
        <v>40439</v>
      </c>
      <c r="S4690" t="s">
        <v>40588</v>
      </c>
      <c r="T4690" t="s">
        <v>42111</v>
      </c>
      <c r="U4690" t="s">
        <v>46616</v>
      </c>
      <c r="W4690" t="s">
        <v>38746</v>
      </c>
      <c r="X4690" t="s">
        <v>40440</v>
      </c>
    </row>
    <row r="4691" spans="1:24">
      <c r="A4691">
        <f>HYPERLINK("https://www.philgeps.gov.ph/GEPSNONPILOT/Tender/SplashBidNoticeAbstractUI.aspx?menuIndex=3&amp;refID=7047095&amp;Result=3","7047095")</f>
        <v>0</v>
      </c>
      <c r="B4691" t="s">
        <v>1640</v>
      </c>
      <c r="C4691" t="s">
        <v>7562</v>
      </c>
      <c r="D4691" t="s">
        <v>16200</v>
      </c>
      <c r="E4691" t="s">
        <v>20443</v>
      </c>
      <c r="F4691" t="s">
        <v>28198</v>
      </c>
      <c r="G4691" t="s">
        <v>28207</v>
      </c>
      <c r="H4691" t="s">
        <v>28215</v>
      </c>
      <c r="I4691" t="s">
        <v>28325</v>
      </c>
      <c r="J4691" t="s">
        <v>31344</v>
      </c>
      <c r="K4691" t="s">
        <v>36701</v>
      </c>
      <c r="M4691" t="s">
        <v>38732</v>
      </c>
      <c r="N4691" t="s">
        <v>40436</v>
      </c>
      <c r="O4691" t="s">
        <v>40437</v>
      </c>
      <c r="P4691">
        <v>0</v>
      </c>
      <c r="Q4691">
        <v>0</v>
      </c>
      <c r="R4691" t="s">
        <v>40439</v>
      </c>
      <c r="S4691" t="s">
        <v>40588</v>
      </c>
      <c r="T4691" t="s">
        <v>42190</v>
      </c>
      <c r="U4691" t="s">
        <v>46617</v>
      </c>
      <c r="W4691" t="s">
        <v>38732</v>
      </c>
      <c r="X4691" t="s">
        <v>40440</v>
      </c>
    </row>
    <row r="4692" spans="1:24">
      <c r="A4692">
        <f>HYPERLINK("https://www.philgeps.gov.ph/GEPSNONPILOT/Tender/SplashBidNoticeAbstractUI.aspx?menuIndex=3&amp;refID=7047094&amp;Result=3","7047094")</f>
        <v>0</v>
      </c>
      <c r="B4692" t="s">
        <v>1655</v>
      </c>
      <c r="C4692" t="s">
        <v>7563</v>
      </c>
      <c r="D4692" t="s">
        <v>16203</v>
      </c>
      <c r="E4692" t="s">
        <v>20444</v>
      </c>
      <c r="F4692" t="s">
        <v>28198</v>
      </c>
      <c r="G4692" t="s">
        <v>28209</v>
      </c>
      <c r="H4692" t="s">
        <v>28215</v>
      </c>
      <c r="I4692" t="s">
        <v>5100</v>
      </c>
      <c r="J4692" t="s">
        <v>31345</v>
      </c>
      <c r="K4692" t="s">
        <v>36707</v>
      </c>
      <c r="M4692" t="s">
        <v>38749</v>
      </c>
      <c r="N4692" t="s">
        <v>40436</v>
      </c>
      <c r="O4692" t="s">
        <v>40437</v>
      </c>
      <c r="P4692">
        <v>0</v>
      </c>
      <c r="Q4692">
        <v>0</v>
      </c>
      <c r="R4692" t="s">
        <v>40439</v>
      </c>
      <c r="S4692" t="s">
        <v>40588</v>
      </c>
      <c r="T4692" t="s">
        <v>42133</v>
      </c>
      <c r="U4692" t="s">
        <v>46618</v>
      </c>
      <c r="W4692" t="s">
        <v>38749</v>
      </c>
      <c r="X4692" t="s">
        <v>40440</v>
      </c>
    </row>
    <row r="4693" spans="1:24">
      <c r="A4693">
        <f>HYPERLINK("https://www.philgeps.gov.ph/GEPSNONPILOT/Tender/SplashBidNoticeAbstractUI.aspx?menuIndex=3&amp;refID=7047075&amp;Result=3","7047075")</f>
        <v>0</v>
      </c>
      <c r="B4693" t="s">
        <v>988</v>
      </c>
      <c r="C4693" t="s">
        <v>7564</v>
      </c>
      <c r="D4693" t="s">
        <v>16191</v>
      </c>
      <c r="E4693" t="s">
        <v>20445</v>
      </c>
      <c r="F4693" t="s">
        <v>28198</v>
      </c>
      <c r="G4693" t="s">
        <v>28206</v>
      </c>
      <c r="H4693" t="s">
        <v>28215</v>
      </c>
      <c r="I4693" t="s">
        <v>4200</v>
      </c>
      <c r="J4693" t="s">
        <v>31346</v>
      </c>
      <c r="K4693" t="s">
        <v>36689</v>
      </c>
      <c r="M4693" t="s">
        <v>38015</v>
      </c>
      <c r="N4693" t="s">
        <v>40436</v>
      </c>
      <c r="O4693" t="s">
        <v>40437</v>
      </c>
      <c r="P4693">
        <v>0</v>
      </c>
      <c r="Q4693">
        <v>0</v>
      </c>
      <c r="R4693" t="s">
        <v>40439</v>
      </c>
      <c r="S4693" t="s">
        <v>40588</v>
      </c>
      <c r="T4693" t="s">
        <v>42190</v>
      </c>
      <c r="U4693" t="s">
        <v>46612</v>
      </c>
      <c r="W4693" t="s">
        <v>38015</v>
      </c>
      <c r="X4693" t="s">
        <v>40440</v>
      </c>
    </row>
    <row r="4694" spans="1:24">
      <c r="A4694">
        <f>HYPERLINK("https://www.philgeps.gov.ph/GEPSNONPILOT/Tender/SplashBidNoticeAbstractUI.aspx?menuIndex=3&amp;refID=7047085&amp;Result=3","7047085")</f>
        <v>0</v>
      </c>
      <c r="B4694" t="s">
        <v>1652</v>
      </c>
      <c r="C4694" t="s">
        <v>7565</v>
      </c>
      <c r="D4694" t="s">
        <v>16216</v>
      </c>
      <c r="E4694" t="s">
        <v>20446</v>
      </c>
      <c r="F4694" t="s">
        <v>28198</v>
      </c>
      <c r="G4694" t="s">
        <v>28207</v>
      </c>
      <c r="H4694" t="s">
        <v>28215</v>
      </c>
      <c r="I4694" t="s">
        <v>5631</v>
      </c>
      <c r="J4694" t="s">
        <v>28430</v>
      </c>
      <c r="K4694" t="s">
        <v>36688</v>
      </c>
      <c r="M4694" t="s">
        <v>38746</v>
      </c>
      <c r="N4694" t="s">
        <v>40436</v>
      </c>
      <c r="O4694" t="s">
        <v>40437</v>
      </c>
      <c r="P4694">
        <v>0</v>
      </c>
      <c r="Q4694">
        <v>1</v>
      </c>
      <c r="R4694" t="s">
        <v>40439</v>
      </c>
      <c r="S4694" t="s">
        <v>40588</v>
      </c>
      <c r="T4694" t="s">
        <v>42111</v>
      </c>
      <c r="U4694" t="s">
        <v>46619</v>
      </c>
      <c r="W4694" t="s">
        <v>38746</v>
      </c>
      <c r="X4694" t="s">
        <v>40440</v>
      </c>
    </row>
    <row r="4695" spans="1:24">
      <c r="A4695">
        <f>HYPERLINK("https://www.philgeps.gov.ph/GEPSNONPILOT/Tender/SplashBidNoticeAbstractUI.aspx?menuIndex=3&amp;refID=7047093&amp;Result=3","7047093")</f>
        <v>0</v>
      </c>
      <c r="B4695" t="s">
        <v>1652</v>
      </c>
      <c r="C4695" t="s">
        <v>7566</v>
      </c>
      <c r="D4695" t="s">
        <v>16216</v>
      </c>
      <c r="E4695" t="s">
        <v>20447</v>
      </c>
      <c r="F4695" t="s">
        <v>28198</v>
      </c>
      <c r="G4695" t="s">
        <v>28207</v>
      </c>
      <c r="H4695" t="s">
        <v>28215</v>
      </c>
      <c r="I4695" t="s">
        <v>4200</v>
      </c>
      <c r="J4695" t="s">
        <v>28352</v>
      </c>
      <c r="K4695" t="s">
        <v>36696</v>
      </c>
      <c r="M4695" t="s">
        <v>38746</v>
      </c>
      <c r="N4695" t="s">
        <v>40436</v>
      </c>
      <c r="O4695" t="s">
        <v>40437</v>
      </c>
      <c r="P4695">
        <v>0</v>
      </c>
      <c r="Q4695">
        <v>0</v>
      </c>
      <c r="R4695" t="s">
        <v>40439</v>
      </c>
      <c r="S4695" t="s">
        <v>40588</v>
      </c>
      <c r="T4695" t="s">
        <v>42111</v>
      </c>
      <c r="U4695" t="s">
        <v>46620</v>
      </c>
      <c r="W4695" t="s">
        <v>38746</v>
      </c>
      <c r="X4695" t="s">
        <v>40440</v>
      </c>
    </row>
    <row r="4696" spans="1:24">
      <c r="A4696">
        <f>HYPERLINK("https://www.philgeps.gov.ph/GEPSNONPILOT/Tender/SplashBidNoticeAbstractUI.aspx?menuIndex=3&amp;refID=7047082&amp;Result=3","7047082")</f>
        <v>0</v>
      </c>
      <c r="B4696" t="s">
        <v>1651</v>
      </c>
      <c r="C4696" t="s">
        <v>7567</v>
      </c>
      <c r="E4696" t="s">
        <v>20448</v>
      </c>
      <c r="F4696" t="s">
        <v>28198</v>
      </c>
      <c r="G4696" t="s">
        <v>28207</v>
      </c>
      <c r="H4696" t="s">
        <v>28215</v>
      </c>
      <c r="I4696" t="s">
        <v>4200</v>
      </c>
      <c r="J4696" t="s">
        <v>31347</v>
      </c>
      <c r="K4696" t="s">
        <v>36688</v>
      </c>
      <c r="M4696" t="s">
        <v>38745</v>
      </c>
      <c r="N4696" t="s">
        <v>40436</v>
      </c>
      <c r="O4696" t="s">
        <v>40437</v>
      </c>
      <c r="P4696">
        <v>0</v>
      </c>
      <c r="Q4696">
        <v>0</v>
      </c>
      <c r="R4696" t="s">
        <v>40439</v>
      </c>
      <c r="S4696" t="s">
        <v>40588</v>
      </c>
      <c r="T4696" t="s">
        <v>42190</v>
      </c>
      <c r="U4696" t="s">
        <v>46621</v>
      </c>
      <c r="V4696" t="s">
        <v>54245</v>
      </c>
      <c r="W4696" t="s">
        <v>38745</v>
      </c>
      <c r="X4696" t="s">
        <v>40440</v>
      </c>
    </row>
    <row r="4697" spans="1:24">
      <c r="A4697">
        <f>HYPERLINK("https://www.philgeps.gov.ph/GEPSNONPILOT/Tender/SplashBidNoticeAbstractUI.aspx?menuIndex=3&amp;refID=7047091&amp;Result=3","7047091")</f>
        <v>0</v>
      </c>
      <c r="B4697" t="s">
        <v>1640</v>
      </c>
      <c r="C4697" t="s">
        <v>7568</v>
      </c>
      <c r="D4697" t="s">
        <v>16200</v>
      </c>
      <c r="E4697" t="s">
        <v>20449</v>
      </c>
      <c r="F4697" t="s">
        <v>28198</v>
      </c>
      <c r="G4697" t="s">
        <v>28207</v>
      </c>
      <c r="H4697" t="s">
        <v>28215</v>
      </c>
      <c r="I4697" t="s">
        <v>28325</v>
      </c>
      <c r="J4697" t="s">
        <v>31348</v>
      </c>
      <c r="K4697" t="s">
        <v>36701</v>
      </c>
      <c r="M4697" t="s">
        <v>38732</v>
      </c>
      <c r="N4697" t="s">
        <v>40436</v>
      </c>
      <c r="O4697" t="s">
        <v>40437</v>
      </c>
      <c r="P4697">
        <v>0</v>
      </c>
      <c r="Q4697">
        <v>0</v>
      </c>
      <c r="R4697" t="s">
        <v>40439</v>
      </c>
      <c r="S4697" t="s">
        <v>40588</v>
      </c>
      <c r="T4697" t="s">
        <v>42190</v>
      </c>
      <c r="U4697" t="s">
        <v>46622</v>
      </c>
      <c r="W4697" t="s">
        <v>38732</v>
      </c>
      <c r="X4697" t="s">
        <v>40440</v>
      </c>
    </row>
    <row r="4698" spans="1:24">
      <c r="A4698">
        <f>HYPERLINK("https://www.philgeps.gov.ph/GEPSNONPILOT/Tender/SplashBidNoticeAbstractUI.aspx?menuIndex=3&amp;refID=7047088&amp;Result=3","7047088")</f>
        <v>0</v>
      </c>
      <c r="B4698" t="s">
        <v>1655</v>
      </c>
      <c r="C4698" t="s">
        <v>7563</v>
      </c>
      <c r="D4698" t="s">
        <v>16203</v>
      </c>
      <c r="E4698" t="s">
        <v>20450</v>
      </c>
      <c r="F4698" t="s">
        <v>28198</v>
      </c>
      <c r="G4698" t="s">
        <v>28209</v>
      </c>
      <c r="H4698" t="s">
        <v>28215</v>
      </c>
      <c r="I4698" t="s">
        <v>5100</v>
      </c>
      <c r="J4698" t="s">
        <v>31349</v>
      </c>
      <c r="K4698" t="s">
        <v>36707</v>
      </c>
      <c r="M4698" t="s">
        <v>38749</v>
      </c>
      <c r="N4698" t="s">
        <v>40436</v>
      </c>
      <c r="O4698" t="s">
        <v>40437</v>
      </c>
      <c r="P4698">
        <v>0</v>
      </c>
      <c r="Q4698">
        <v>0</v>
      </c>
      <c r="R4698" t="s">
        <v>40439</v>
      </c>
      <c r="S4698" t="s">
        <v>40588</v>
      </c>
      <c r="T4698" t="s">
        <v>42133</v>
      </c>
      <c r="U4698" t="s">
        <v>46623</v>
      </c>
      <c r="W4698" t="s">
        <v>38749</v>
      </c>
      <c r="X4698" t="s">
        <v>40440</v>
      </c>
    </row>
    <row r="4699" spans="1:24">
      <c r="A4699">
        <f>HYPERLINK("https://www.philgeps.gov.ph/GEPSNONPILOT/Tender/SplashBidNoticeAbstractUI.aspx?menuIndex=3&amp;refID=7047092&amp;Result=3","7047092")</f>
        <v>0</v>
      </c>
      <c r="B4699" t="s">
        <v>988</v>
      </c>
      <c r="C4699" t="s">
        <v>7569</v>
      </c>
      <c r="D4699" t="s">
        <v>16191</v>
      </c>
      <c r="E4699" t="s">
        <v>20451</v>
      </c>
      <c r="F4699" t="s">
        <v>28198</v>
      </c>
      <c r="G4699" t="s">
        <v>28206</v>
      </c>
      <c r="H4699" t="s">
        <v>28215</v>
      </c>
      <c r="I4699" t="s">
        <v>4200</v>
      </c>
      <c r="J4699" t="s">
        <v>31350</v>
      </c>
      <c r="K4699" t="s">
        <v>36689</v>
      </c>
      <c r="M4699" t="s">
        <v>38015</v>
      </c>
      <c r="N4699" t="s">
        <v>40436</v>
      </c>
      <c r="O4699" t="s">
        <v>40437</v>
      </c>
      <c r="P4699">
        <v>0</v>
      </c>
      <c r="Q4699">
        <v>1</v>
      </c>
      <c r="R4699" t="s">
        <v>40439</v>
      </c>
      <c r="S4699" t="s">
        <v>40588</v>
      </c>
      <c r="T4699" t="s">
        <v>42131</v>
      </c>
      <c r="U4699" t="s">
        <v>46612</v>
      </c>
      <c r="W4699" t="s">
        <v>38015</v>
      </c>
      <c r="X4699" t="s">
        <v>40440</v>
      </c>
    </row>
    <row r="4700" spans="1:24">
      <c r="A4700">
        <f>HYPERLINK("https://www.philgeps.gov.ph/GEPSNONPILOT/Tender/SplashBidNoticeAbstractUI.aspx?menuIndex=3&amp;refID=7047090&amp;Result=3","7047090")</f>
        <v>0</v>
      </c>
      <c r="B4700" t="s">
        <v>1656</v>
      </c>
      <c r="C4700" t="s">
        <v>7570</v>
      </c>
      <c r="D4700" t="s">
        <v>16199</v>
      </c>
      <c r="E4700" t="s">
        <v>20452</v>
      </c>
      <c r="F4700" t="s">
        <v>28198</v>
      </c>
      <c r="G4700" t="s">
        <v>28205</v>
      </c>
      <c r="H4700" t="s">
        <v>28215</v>
      </c>
      <c r="I4700" t="s">
        <v>5100</v>
      </c>
      <c r="J4700" t="s">
        <v>31351</v>
      </c>
      <c r="K4700" t="s">
        <v>36707</v>
      </c>
      <c r="M4700" t="s">
        <v>38750</v>
      </c>
      <c r="N4700" t="s">
        <v>40436</v>
      </c>
      <c r="O4700" t="s">
        <v>40437</v>
      </c>
      <c r="P4700">
        <v>0</v>
      </c>
      <c r="Q4700">
        <v>2</v>
      </c>
      <c r="R4700" t="s">
        <v>40439</v>
      </c>
      <c r="S4700" t="s">
        <v>40588</v>
      </c>
      <c r="T4700" t="s">
        <v>42134</v>
      </c>
      <c r="U4700" t="s">
        <v>46624</v>
      </c>
      <c r="W4700" t="s">
        <v>38750</v>
      </c>
      <c r="X4700" t="s">
        <v>40440</v>
      </c>
    </row>
    <row r="4701" spans="1:24">
      <c r="A4701">
        <f>HYPERLINK("https://www.philgeps.gov.ph/GEPSNONPILOT/Tender/SplashBidNoticeAbstractUI.aspx?menuIndex=3&amp;refID=7047096&amp;Result=3","7047096")</f>
        <v>0</v>
      </c>
      <c r="B4701" t="s">
        <v>1651</v>
      </c>
      <c r="C4701" t="s">
        <v>7571</v>
      </c>
      <c r="E4701" t="s">
        <v>20453</v>
      </c>
      <c r="F4701" t="s">
        <v>28198</v>
      </c>
      <c r="G4701" t="s">
        <v>28207</v>
      </c>
      <c r="H4701" t="s">
        <v>28215</v>
      </c>
      <c r="I4701" t="s">
        <v>28265</v>
      </c>
      <c r="J4701" t="s">
        <v>31352</v>
      </c>
      <c r="K4701" t="s">
        <v>36688</v>
      </c>
      <c r="M4701" t="s">
        <v>38745</v>
      </c>
      <c r="N4701" t="s">
        <v>40436</v>
      </c>
      <c r="O4701" t="s">
        <v>40437</v>
      </c>
      <c r="P4701">
        <v>0</v>
      </c>
      <c r="Q4701">
        <v>0</v>
      </c>
      <c r="R4701" t="s">
        <v>40439</v>
      </c>
      <c r="S4701" t="s">
        <v>40588</v>
      </c>
      <c r="T4701" t="s">
        <v>42190</v>
      </c>
      <c r="U4701" t="s">
        <v>46625</v>
      </c>
      <c r="V4701" t="s">
        <v>54245</v>
      </c>
      <c r="W4701" t="s">
        <v>38745</v>
      </c>
      <c r="X4701" t="s">
        <v>40440</v>
      </c>
    </row>
    <row r="4702" spans="1:24">
      <c r="A4702">
        <f>HYPERLINK("https://www.philgeps.gov.ph/GEPSNONPILOT/Tender/SplashBidNoticeAbstractUI.aspx?menuIndex=3&amp;refID=7047089&amp;Result=3","7047089")</f>
        <v>0</v>
      </c>
      <c r="B4702" t="s">
        <v>1651</v>
      </c>
      <c r="C4702" t="s">
        <v>7572</v>
      </c>
      <c r="E4702" t="s">
        <v>20454</v>
      </c>
      <c r="F4702" t="s">
        <v>28198</v>
      </c>
      <c r="G4702" t="s">
        <v>28207</v>
      </c>
      <c r="H4702" t="s">
        <v>28215</v>
      </c>
      <c r="I4702" t="s">
        <v>5082</v>
      </c>
      <c r="J4702" t="s">
        <v>31353</v>
      </c>
      <c r="K4702" t="s">
        <v>36688</v>
      </c>
      <c r="M4702" t="s">
        <v>38745</v>
      </c>
      <c r="N4702" t="s">
        <v>40436</v>
      </c>
      <c r="O4702" t="s">
        <v>40437</v>
      </c>
      <c r="P4702">
        <v>0</v>
      </c>
      <c r="Q4702">
        <v>1</v>
      </c>
      <c r="R4702" t="s">
        <v>40439</v>
      </c>
      <c r="S4702" t="s">
        <v>40588</v>
      </c>
      <c r="T4702" t="s">
        <v>42190</v>
      </c>
      <c r="U4702" t="s">
        <v>46626</v>
      </c>
      <c r="V4702" t="s">
        <v>54245</v>
      </c>
      <c r="W4702" t="s">
        <v>38745</v>
      </c>
      <c r="X4702" t="s">
        <v>40440</v>
      </c>
    </row>
    <row r="4703" spans="1:24">
      <c r="A4703">
        <f>HYPERLINK("https://www.philgeps.gov.ph/GEPSNONPILOT/Tender/SplashBidNoticeAbstractUI.aspx?menuIndex=3&amp;refID=7047107&amp;Result=3","7047107")</f>
        <v>0</v>
      </c>
      <c r="B4703" t="s">
        <v>1637</v>
      </c>
      <c r="C4703" t="s">
        <v>7573</v>
      </c>
      <c r="D4703" t="s">
        <v>16190</v>
      </c>
      <c r="E4703" t="s">
        <v>16560</v>
      </c>
      <c r="F4703" t="s">
        <v>28198</v>
      </c>
      <c r="G4703" t="s">
        <v>28207</v>
      </c>
      <c r="H4703" t="s">
        <v>28216</v>
      </c>
      <c r="I4703" t="s">
        <v>28274</v>
      </c>
      <c r="J4703" t="s">
        <v>31354</v>
      </c>
      <c r="K4703" t="s">
        <v>36693</v>
      </c>
      <c r="M4703" t="s">
        <v>38728</v>
      </c>
      <c r="N4703" t="s">
        <v>40436</v>
      </c>
      <c r="O4703" t="s">
        <v>40437</v>
      </c>
      <c r="P4703">
        <v>0</v>
      </c>
      <c r="Q4703">
        <v>0</v>
      </c>
      <c r="R4703" t="s">
        <v>40439</v>
      </c>
      <c r="S4703" t="s">
        <v>40588</v>
      </c>
      <c r="T4703" t="s">
        <v>42131</v>
      </c>
      <c r="U4703" t="s">
        <v>46627</v>
      </c>
      <c r="W4703" t="s">
        <v>38728</v>
      </c>
      <c r="X4703" t="s">
        <v>40440</v>
      </c>
    </row>
    <row r="4704" spans="1:24">
      <c r="A4704">
        <f>HYPERLINK("https://www.philgeps.gov.ph/GEPSNONPILOT/Tender/SplashBidNoticeAbstractUI.aspx?menuIndex=3&amp;refID=7047103&amp;Result=3","7047103")</f>
        <v>0</v>
      </c>
      <c r="B4704" t="s">
        <v>1652</v>
      </c>
      <c r="C4704" t="s">
        <v>7574</v>
      </c>
      <c r="D4704" t="s">
        <v>16216</v>
      </c>
      <c r="E4704" t="s">
        <v>20455</v>
      </c>
      <c r="F4704" t="s">
        <v>28198</v>
      </c>
      <c r="G4704" t="s">
        <v>28207</v>
      </c>
      <c r="H4704" t="s">
        <v>28215</v>
      </c>
      <c r="I4704" t="s">
        <v>28227</v>
      </c>
      <c r="J4704" t="s">
        <v>31355</v>
      </c>
      <c r="K4704" t="s">
        <v>36688</v>
      </c>
      <c r="M4704" t="s">
        <v>38746</v>
      </c>
      <c r="N4704" t="s">
        <v>40436</v>
      </c>
      <c r="O4704" t="s">
        <v>40437</v>
      </c>
      <c r="P4704">
        <v>0</v>
      </c>
      <c r="Q4704">
        <v>2</v>
      </c>
      <c r="R4704" t="s">
        <v>40439</v>
      </c>
      <c r="S4704" t="s">
        <v>40588</v>
      </c>
      <c r="T4704" t="s">
        <v>42111</v>
      </c>
      <c r="U4704" t="s">
        <v>46628</v>
      </c>
      <c r="W4704" t="s">
        <v>38746</v>
      </c>
      <c r="X4704" t="s">
        <v>40440</v>
      </c>
    </row>
    <row r="4705" spans="1:24">
      <c r="A4705">
        <f>HYPERLINK("https://www.philgeps.gov.ph/GEPSNONPILOT/Tender/SplashBidNoticeAbstractUI.aspx?menuIndex=3&amp;refID=7047102&amp;Result=3","7047102")</f>
        <v>0</v>
      </c>
      <c r="B4705" t="s">
        <v>1640</v>
      </c>
      <c r="C4705" t="s">
        <v>7575</v>
      </c>
      <c r="D4705" t="s">
        <v>16200</v>
      </c>
      <c r="E4705" t="s">
        <v>20456</v>
      </c>
      <c r="F4705" t="s">
        <v>28198</v>
      </c>
      <c r="G4705" t="s">
        <v>28207</v>
      </c>
      <c r="H4705" t="s">
        <v>28215</v>
      </c>
      <c r="I4705" t="s">
        <v>28325</v>
      </c>
      <c r="J4705" t="s">
        <v>31356</v>
      </c>
      <c r="K4705" t="s">
        <v>36701</v>
      </c>
      <c r="M4705" t="s">
        <v>38732</v>
      </c>
      <c r="N4705" t="s">
        <v>40436</v>
      </c>
      <c r="O4705" t="s">
        <v>40437</v>
      </c>
      <c r="P4705">
        <v>0</v>
      </c>
      <c r="Q4705">
        <v>0</v>
      </c>
      <c r="R4705" t="s">
        <v>40439</v>
      </c>
      <c r="S4705" t="s">
        <v>40588</v>
      </c>
      <c r="T4705" t="s">
        <v>42190</v>
      </c>
      <c r="U4705" t="s">
        <v>46629</v>
      </c>
      <c r="W4705" t="s">
        <v>38732</v>
      </c>
      <c r="X4705" t="s">
        <v>40440</v>
      </c>
    </row>
    <row r="4706" spans="1:24">
      <c r="A4706">
        <f>HYPERLINK("https://www.philgeps.gov.ph/GEPSNONPILOT/Tender/SplashBidNoticeAbstractUI.aspx?menuIndex=3&amp;refID=7047100&amp;Result=3","7047100")</f>
        <v>0</v>
      </c>
      <c r="B4706" t="s">
        <v>907</v>
      </c>
      <c r="C4706" t="s">
        <v>7576</v>
      </c>
      <c r="D4706" t="s">
        <v>16227</v>
      </c>
      <c r="E4706" t="s">
        <v>20457</v>
      </c>
      <c r="F4706" t="s">
        <v>28198</v>
      </c>
      <c r="G4706" t="s">
        <v>28207</v>
      </c>
      <c r="H4706" t="s">
        <v>28215</v>
      </c>
      <c r="I4706" t="s">
        <v>4200</v>
      </c>
      <c r="J4706" t="s">
        <v>31357</v>
      </c>
      <c r="K4706" t="s">
        <v>36689</v>
      </c>
      <c r="M4706" t="s">
        <v>37925</v>
      </c>
      <c r="N4706" t="s">
        <v>40436</v>
      </c>
      <c r="O4706" t="s">
        <v>40437</v>
      </c>
      <c r="P4706">
        <v>0</v>
      </c>
      <c r="Q4706">
        <v>1</v>
      </c>
      <c r="R4706" t="s">
        <v>40439</v>
      </c>
      <c r="S4706" t="s">
        <v>40588</v>
      </c>
      <c r="T4706" t="s">
        <v>42158</v>
      </c>
      <c r="U4706" t="s">
        <v>46630</v>
      </c>
      <c r="W4706" t="s">
        <v>37925</v>
      </c>
      <c r="X4706" t="s">
        <v>40440</v>
      </c>
    </row>
    <row r="4707" spans="1:24">
      <c r="A4707">
        <f>HYPERLINK("https://www.philgeps.gov.ph/GEPSNONPILOT/Tender/SplashBidNoticeAbstractUI.aspx?menuIndex=3&amp;refID=7047104&amp;Result=3","7047104")</f>
        <v>0</v>
      </c>
      <c r="B4707" t="s">
        <v>1655</v>
      </c>
      <c r="C4707" t="s">
        <v>7563</v>
      </c>
      <c r="D4707" t="s">
        <v>16203</v>
      </c>
      <c r="E4707" t="s">
        <v>20458</v>
      </c>
      <c r="F4707" t="s">
        <v>28198</v>
      </c>
      <c r="G4707" t="s">
        <v>28209</v>
      </c>
      <c r="H4707" t="s">
        <v>28215</v>
      </c>
      <c r="I4707" t="s">
        <v>5100</v>
      </c>
      <c r="J4707" t="s">
        <v>31358</v>
      </c>
      <c r="K4707" t="s">
        <v>36707</v>
      </c>
      <c r="M4707" t="s">
        <v>38749</v>
      </c>
      <c r="N4707" t="s">
        <v>40436</v>
      </c>
      <c r="O4707" t="s">
        <v>40437</v>
      </c>
      <c r="P4707">
        <v>0</v>
      </c>
      <c r="Q4707">
        <v>0</v>
      </c>
      <c r="R4707" t="s">
        <v>40439</v>
      </c>
      <c r="S4707" t="s">
        <v>40588</v>
      </c>
      <c r="T4707" t="s">
        <v>42133</v>
      </c>
      <c r="U4707" t="s">
        <v>46631</v>
      </c>
      <c r="W4707" t="s">
        <v>38749</v>
      </c>
      <c r="X4707" t="s">
        <v>40440</v>
      </c>
    </row>
    <row r="4708" spans="1:24">
      <c r="A4708">
        <f>HYPERLINK("https://www.philgeps.gov.ph/GEPSNONPILOT/Tender/SplashBidNoticeAbstractUI.aspx?menuIndex=3&amp;refID=7047098&amp;Result=3","7047098")</f>
        <v>0</v>
      </c>
      <c r="B4708" t="s">
        <v>988</v>
      </c>
      <c r="C4708" t="s">
        <v>7577</v>
      </c>
      <c r="D4708" t="s">
        <v>16221</v>
      </c>
      <c r="E4708" t="s">
        <v>20459</v>
      </c>
      <c r="F4708" t="s">
        <v>28198</v>
      </c>
      <c r="G4708" t="s">
        <v>28207</v>
      </c>
      <c r="H4708" t="s">
        <v>28215</v>
      </c>
      <c r="I4708" t="s">
        <v>28246</v>
      </c>
      <c r="J4708" t="s">
        <v>29432</v>
      </c>
      <c r="K4708" t="s">
        <v>36689</v>
      </c>
      <c r="M4708" t="s">
        <v>38015</v>
      </c>
      <c r="N4708" t="s">
        <v>40436</v>
      </c>
      <c r="O4708" t="s">
        <v>40437</v>
      </c>
      <c r="P4708">
        <v>0</v>
      </c>
      <c r="Q4708">
        <v>0</v>
      </c>
      <c r="R4708" t="s">
        <v>40439</v>
      </c>
      <c r="S4708" t="s">
        <v>40588</v>
      </c>
      <c r="T4708" t="s">
        <v>42190</v>
      </c>
      <c r="U4708" t="s">
        <v>46632</v>
      </c>
      <c r="W4708" t="s">
        <v>38015</v>
      </c>
      <c r="X4708" t="s">
        <v>40440</v>
      </c>
    </row>
    <row r="4709" spans="1:24">
      <c r="A4709">
        <f>HYPERLINK("https://www.philgeps.gov.ph/GEPSNONPILOT/Tender/SplashBidNoticeAbstractUI.aspx?menuIndex=3&amp;refID=7047105&amp;Result=3","7047105")</f>
        <v>0</v>
      </c>
      <c r="B4709" t="s">
        <v>1640</v>
      </c>
      <c r="C4709" t="s">
        <v>7575</v>
      </c>
      <c r="D4709" t="s">
        <v>16200</v>
      </c>
      <c r="E4709" t="s">
        <v>20460</v>
      </c>
      <c r="F4709" t="s">
        <v>28198</v>
      </c>
      <c r="G4709" t="s">
        <v>28207</v>
      </c>
      <c r="H4709" t="s">
        <v>28215</v>
      </c>
      <c r="I4709" t="s">
        <v>28325</v>
      </c>
      <c r="J4709" t="s">
        <v>31359</v>
      </c>
      <c r="K4709" t="s">
        <v>36701</v>
      </c>
      <c r="M4709" t="s">
        <v>38732</v>
      </c>
      <c r="N4709" t="s">
        <v>40436</v>
      </c>
      <c r="O4709" t="s">
        <v>40437</v>
      </c>
      <c r="P4709">
        <v>0</v>
      </c>
      <c r="Q4709">
        <v>0</v>
      </c>
      <c r="R4709" t="s">
        <v>40439</v>
      </c>
      <c r="S4709" t="s">
        <v>40588</v>
      </c>
      <c r="T4709" t="s">
        <v>42131</v>
      </c>
      <c r="U4709" t="s">
        <v>46629</v>
      </c>
      <c r="W4709" t="s">
        <v>38732</v>
      </c>
      <c r="X4709" t="s">
        <v>40440</v>
      </c>
    </row>
    <row r="4710" spans="1:24">
      <c r="A4710">
        <f>HYPERLINK("https://www.philgeps.gov.ph/GEPSNONPILOT/Tender/SplashBidNoticeAbstractUI.aspx?menuIndex=3&amp;refID=7047119&amp;Result=3","7047119")</f>
        <v>0</v>
      </c>
      <c r="B4710" t="s">
        <v>1657</v>
      </c>
      <c r="C4710" t="s">
        <v>7578</v>
      </c>
      <c r="D4710" t="s">
        <v>16260</v>
      </c>
      <c r="E4710" t="s">
        <v>20461</v>
      </c>
      <c r="F4710" t="s">
        <v>28198</v>
      </c>
      <c r="G4710" t="s">
        <v>28206</v>
      </c>
      <c r="H4710" t="s">
        <v>28215</v>
      </c>
      <c r="I4710" t="s">
        <v>28234</v>
      </c>
      <c r="J4710" t="s">
        <v>31360</v>
      </c>
      <c r="K4710" t="s">
        <v>36689</v>
      </c>
      <c r="M4710" t="s">
        <v>38751</v>
      </c>
      <c r="N4710" t="s">
        <v>40436</v>
      </c>
      <c r="O4710" t="s">
        <v>40437</v>
      </c>
      <c r="P4710">
        <v>0</v>
      </c>
      <c r="Q4710">
        <v>1</v>
      </c>
      <c r="R4710" t="s">
        <v>40439</v>
      </c>
      <c r="S4710" t="s">
        <v>40588</v>
      </c>
      <c r="T4710" t="s">
        <v>42205</v>
      </c>
      <c r="U4710" t="s">
        <v>46633</v>
      </c>
      <c r="V4710" t="s">
        <v>54246</v>
      </c>
      <c r="W4710" t="s">
        <v>38751</v>
      </c>
      <c r="X4710" t="s">
        <v>40440</v>
      </c>
    </row>
    <row r="4711" spans="1:24">
      <c r="A4711">
        <f>HYPERLINK("https://www.philgeps.gov.ph/GEPSNONPILOT/Tender/SplashBidNoticeAbstractUI.aspx?menuIndex=3&amp;refID=7047099&amp;Result=3","7047099")</f>
        <v>0</v>
      </c>
      <c r="B4711" t="s">
        <v>737</v>
      </c>
      <c r="C4711" t="s">
        <v>7579</v>
      </c>
      <c r="E4711" t="s">
        <v>20462</v>
      </c>
      <c r="F4711" t="s">
        <v>28198</v>
      </c>
      <c r="G4711" t="s">
        <v>28207</v>
      </c>
      <c r="H4711" t="s">
        <v>28215</v>
      </c>
      <c r="I4711" t="s">
        <v>5791</v>
      </c>
      <c r="J4711" t="s">
        <v>31361</v>
      </c>
      <c r="K4711" t="s">
        <v>36689</v>
      </c>
      <c r="M4711" t="s">
        <v>37887</v>
      </c>
      <c r="N4711" t="s">
        <v>40436</v>
      </c>
      <c r="O4711" t="s">
        <v>40437</v>
      </c>
      <c r="P4711">
        <v>0</v>
      </c>
      <c r="Q4711">
        <v>0</v>
      </c>
      <c r="R4711" t="s">
        <v>40439</v>
      </c>
      <c r="S4711" t="s">
        <v>40588</v>
      </c>
      <c r="T4711" t="s">
        <v>42169</v>
      </c>
      <c r="U4711" t="s">
        <v>46634</v>
      </c>
      <c r="V4711" t="s">
        <v>54247</v>
      </c>
      <c r="W4711" t="s">
        <v>37887</v>
      </c>
      <c r="X4711" t="s">
        <v>40440</v>
      </c>
    </row>
    <row r="4712" spans="1:24">
      <c r="A4712">
        <f>HYPERLINK("https://www.philgeps.gov.ph/GEPSNONPILOT/Tender/SplashBidNoticeAbstractUI.aspx?menuIndex=3&amp;refID=7047106&amp;Result=3","7047106")</f>
        <v>0</v>
      </c>
      <c r="B4712" t="s">
        <v>1271</v>
      </c>
      <c r="C4712" t="s">
        <v>7580</v>
      </c>
      <c r="D4712" t="s">
        <v>16211</v>
      </c>
      <c r="E4712" t="s">
        <v>20463</v>
      </c>
      <c r="F4712" t="s">
        <v>28198</v>
      </c>
      <c r="G4712" t="s">
        <v>28207</v>
      </c>
      <c r="H4712" t="s">
        <v>28215</v>
      </c>
      <c r="I4712" t="s">
        <v>4219</v>
      </c>
      <c r="J4712" t="s">
        <v>28593</v>
      </c>
      <c r="K4712" t="s">
        <v>36688</v>
      </c>
      <c r="M4712" t="s">
        <v>38323</v>
      </c>
      <c r="N4712" t="s">
        <v>40436</v>
      </c>
      <c r="O4712" t="s">
        <v>40437</v>
      </c>
      <c r="P4712">
        <v>0</v>
      </c>
      <c r="Q4712">
        <v>2</v>
      </c>
      <c r="R4712" t="s">
        <v>40439</v>
      </c>
      <c r="S4712" t="s">
        <v>40588</v>
      </c>
      <c r="T4712" t="s">
        <v>42180</v>
      </c>
      <c r="U4712" t="s">
        <v>46635</v>
      </c>
      <c r="W4712" t="s">
        <v>38323</v>
      </c>
      <c r="X4712" t="s">
        <v>40440</v>
      </c>
    </row>
    <row r="4713" spans="1:24">
      <c r="A4713">
        <f>HYPERLINK("https://www.philgeps.gov.ph/GEPSNONPILOT/Tender/SplashBidNoticeAbstractUI.aspx?menuIndex=3&amp;refID=7047117&amp;Result=3","7047117")</f>
        <v>0</v>
      </c>
      <c r="B4713" t="s">
        <v>907</v>
      </c>
      <c r="C4713" t="s">
        <v>7581</v>
      </c>
      <c r="D4713" t="s">
        <v>16227</v>
      </c>
      <c r="E4713" t="s">
        <v>20464</v>
      </c>
      <c r="F4713" t="s">
        <v>28198</v>
      </c>
      <c r="G4713" t="s">
        <v>28207</v>
      </c>
      <c r="H4713" t="s">
        <v>28215</v>
      </c>
      <c r="I4713" t="s">
        <v>28225</v>
      </c>
      <c r="J4713" t="s">
        <v>31362</v>
      </c>
      <c r="K4713" t="s">
        <v>36689</v>
      </c>
      <c r="M4713" t="s">
        <v>37925</v>
      </c>
      <c r="N4713" t="s">
        <v>40436</v>
      </c>
      <c r="O4713" t="s">
        <v>40437</v>
      </c>
      <c r="P4713">
        <v>0</v>
      </c>
      <c r="Q4713">
        <v>1</v>
      </c>
      <c r="R4713" t="s">
        <v>40439</v>
      </c>
      <c r="S4713" t="s">
        <v>40588</v>
      </c>
      <c r="T4713" t="s">
        <v>42158</v>
      </c>
      <c r="U4713" t="s">
        <v>46636</v>
      </c>
      <c r="W4713" t="s">
        <v>37925</v>
      </c>
      <c r="X4713" t="s">
        <v>40440</v>
      </c>
    </row>
    <row r="4714" spans="1:24">
      <c r="A4714">
        <f>HYPERLINK("https://www.philgeps.gov.ph/GEPSNONPILOT/Tender/SplashBidNoticeAbstractUI.aspx?menuIndex=3&amp;refID=7047115&amp;Result=3","7047115")</f>
        <v>0</v>
      </c>
      <c r="B4714" t="s">
        <v>706</v>
      </c>
      <c r="C4714" t="s">
        <v>7582</v>
      </c>
      <c r="D4714" t="s">
        <v>16202</v>
      </c>
      <c r="E4714" t="s">
        <v>20465</v>
      </c>
      <c r="F4714" t="s">
        <v>28198</v>
      </c>
      <c r="G4714" t="s">
        <v>28207</v>
      </c>
      <c r="H4714" t="s">
        <v>28215</v>
      </c>
      <c r="I4714" t="s">
        <v>4200</v>
      </c>
      <c r="J4714" t="s">
        <v>28345</v>
      </c>
      <c r="K4714" t="s">
        <v>36698</v>
      </c>
      <c r="M4714" t="s">
        <v>37706</v>
      </c>
      <c r="N4714" t="s">
        <v>40436</v>
      </c>
      <c r="O4714" t="s">
        <v>40437</v>
      </c>
      <c r="P4714">
        <v>0</v>
      </c>
      <c r="Q4714">
        <v>0</v>
      </c>
      <c r="R4714" t="s">
        <v>40439</v>
      </c>
      <c r="S4714" t="s">
        <v>40588</v>
      </c>
      <c r="T4714" t="s">
        <v>42340</v>
      </c>
      <c r="U4714" t="s">
        <v>46637</v>
      </c>
      <c r="W4714" t="s">
        <v>37706</v>
      </c>
      <c r="X4714" t="s">
        <v>40440</v>
      </c>
    </row>
    <row r="4715" spans="1:24">
      <c r="A4715">
        <f>HYPERLINK("https://www.philgeps.gov.ph/GEPSNONPILOT/Tender/SplashBidNoticeAbstractUI.aspx?menuIndex=3&amp;refID=7047111&amp;Result=3","7047111")</f>
        <v>0</v>
      </c>
      <c r="B4715" t="s">
        <v>907</v>
      </c>
      <c r="C4715" t="s">
        <v>7583</v>
      </c>
      <c r="D4715" t="s">
        <v>16227</v>
      </c>
      <c r="E4715" t="s">
        <v>20466</v>
      </c>
      <c r="F4715" t="s">
        <v>28198</v>
      </c>
      <c r="G4715" t="s">
        <v>28207</v>
      </c>
      <c r="H4715" t="s">
        <v>28215</v>
      </c>
      <c r="I4715" t="s">
        <v>4200</v>
      </c>
      <c r="J4715" t="s">
        <v>29208</v>
      </c>
      <c r="K4715" t="s">
        <v>36689</v>
      </c>
      <c r="M4715" t="s">
        <v>37925</v>
      </c>
      <c r="N4715" t="s">
        <v>40436</v>
      </c>
      <c r="O4715" t="s">
        <v>40437</v>
      </c>
      <c r="P4715">
        <v>0</v>
      </c>
      <c r="Q4715">
        <v>3</v>
      </c>
      <c r="R4715" t="s">
        <v>40439</v>
      </c>
      <c r="S4715" t="s">
        <v>40588</v>
      </c>
      <c r="T4715" t="s">
        <v>42158</v>
      </c>
      <c r="U4715" t="s">
        <v>46638</v>
      </c>
      <c r="W4715" t="s">
        <v>37925</v>
      </c>
      <c r="X4715" t="s">
        <v>40440</v>
      </c>
    </row>
    <row r="4716" spans="1:24">
      <c r="A4716">
        <f>HYPERLINK("https://www.philgeps.gov.ph/GEPSNONPILOT/Tender/SplashBidNoticeAbstractUI.aspx?menuIndex=3&amp;refID=7047116&amp;Result=3","7047116")</f>
        <v>0</v>
      </c>
      <c r="B4716" t="s">
        <v>1658</v>
      </c>
      <c r="C4716" t="s">
        <v>7584</v>
      </c>
      <c r="D4716" t="s">
        <v>16210</v>
      </c>
      <c r="E4716" t="s">
        <v>20467</v>
      </c>
      <c r="F4716" t="s">
        <v>28198</v>
      </c>
      <c r="G4716" t="s">
        <v>28207</v>
      </c>
      <c r="H4716" t="s">
        <v>28215</v>
      </c>
      <c r="I4716" t="s">
        <v>4200</v>
      </c>
      <c r="J4716" t="s">
        <v>30219</v>
      </c>
      <c r="K4716" t="s">
        <v>36693</v>
      </c>
      <c r="M4716" t="s">
        <v>38752</v>
      </c>
      <c r="N4716" t="s">
        <v>40436</v>
      </c>
      <c r="O4716" t="s">
        <v>40437</v>
      </c>
      <c r="P4716">
        <v>0</v>
      </c>
      <c r="Q4716">
        <v>2</v>
      </c>
      <c r="R4716" t="s">
        <v>40439</v>
      </c>
      <c r="S4716" t="s">
        <v>40588</v>
      </c>
      <c r="T4716" t="s">
        <v>42401</v>
      </c>
      <c r="U4716" t="s">
        <v>46639</v>
      </c>
      <c r="V4716" t="s">
        <v>46639</v>
      </c>
      <c r="W4716" t="s">
        <v>38752</v>
      </c>
      <c r="X4716" t="s">
        <v>40440</v>
      </c>
    </row>
    <row r="4717" spans="1:24">
      <c r="A4717">
        <f>HYPERLINK("https://www.philgeps.gov.ph/GEPSNONPILOT/Tender/SplashBidNoticeAbstractUI.aspx?menuIndex=3&amp;refID=7047112&amp;Result=3","7047112")</f>
        <v>0</v>
      </c>
      <c r="B4717" t="s">
        <v>1640</v>
      </c>
      <c r="C4717" t="s">
        <v>7585</v>
      </c>
      <c r="D4717" t="s">
        <v>16200</v>
      </c>
      <c r="E4717" t="s">
        <v>20468</v>
      </c>
      <c r="F4717" t="s">
        <v>28198</v>
      </c>
      <c r="G4717" t="s">
        <v>28207</v>
      </c>
      <c r="H4717" t="s">
        <v>28215</v>
      </c>
      <c r="I4717" t="s">
        <v>28325</v>
      </c>
      <c r="J4717" t="s">
        <v>31363</v>
      </c>
      <c r="K4717" t="s">
        <v>36701</v>
      </c>
      <c r="M4717" t="s">
        <v>38732</v>
      </c>
      <c r="N4717" t="s">
        <v>40436</v>
      </c>
      <c r="O4717" t="s">
        <v>40437</v>
      </c>
      <c r="P4717">
        <v>0</v>
      </c>
      <c r="Q4717">
        <v>0</v>
      </c>
      <c r="R4717" t="s">
        <v>40439</v>
      </c>
      <c r="S4717" t="s">
        <v>40588</v>
      </c>
      <c r="T4717" t="s">
        <v>42190</v>
      </c>
      <c r="U4717" t="s">
        <v>46640</v>
      </c>
      <c r="W4717" t="s">
        <v>38732</v>
      </c>
      <c r="X4717" t="s">
        <v>40440</v>
      </c>
    </row>
    <row r="4718" spans="1:24">
      <c r="A4718">
        <f>HYPERLINK("https://www.philgeps.gov.ph/GEPSNONPILOT/Tender/SplashBidNoticeAbstractUI.aspx?menuIndex=3&amp;refID=7047114&amp;Result=3","7047114")</f>
        <v>0</v>
      </c>
      <c r="B4718" t="s">
        <v>1657</v>
      </c>
      <c r="C4718" t="s">
        <v>7586</v>
      </c>
      <c r="D4718" t="s">
        <v>16260</v>
      </c>
      <c r="E4718" t="s">
        <v>20469</v>
      </c>
      <c r="F4718" t="s">
        <v>28198</v>
      </c>
      <c r="G4718" t="s">
        <v>28206</v>
      </c>
      <c r="H4718" t="s">
        <v>28215</v>
      </c>
      <c r="I4718" t="s">
        <v>4219</v>
      </c>
      <c r="J4718" t="s">
        <v>29737</v>
      </c>
      <c r="K4718" t="s">
        <v>36689</v>
      </c>
      <c r="M4718" t="s">
        <v>38751</v>
      </c>
      <c r="N4718" t="s">
        <v>40436</v>
      </c>
      <c r="O4718" t="s">
        <v>40437</v>
      </c>
      <c r="P4718">
        <v>0</v>
      </c>
      <c r="Q4718">
        <v>0</v>
      </c>
      <c r="R4718" t="s">
        <v>40439</v>
      </c>
      <c r="S4718" t="s">
        <v>40588</v>
      </c>
      <c r="T4718" t="s">
        <v>42205</v>
      </c>
      <c r="U4718" t="s">
        <v>46641</v>
      </c>
      <c r="V4718" t="s">
        <v>54246</v>
      </c>
      <c r="W4718" t="s">
        <v>38751</v>
      </c>
      <c r="X4718" t="s">
        <v>40440</v>
      </c>
    </row>
    <row r="4719" spans="1:24">
      <c r="A4719">
        <f>HYPERLINK("https://www.philgeps.gov.ph/GEPSNONPILOT/Tender/SplashBidNoticeAbstractUI.aspx?menuIndex=3&amp;refID=7047113&amp;Result=3","7047113")</f>
        <v>0</v>
      </c>
      <c r="B4719" t="s">
        <v>1659</v>
      </c>
      <c r="C4719" t="s">
        <v>7587</v>
      </c>
      <c r="D4719" t="s">
        <v>16194</v>
      </c>
      <c r="E4719" t="s">
        <v>20470</v>
      </c>
      <c r="F4719" t="s">
        <v>28198</v>
      </c>
      <c r="G4719" t="s">
        <v>28207</v>
      </c>
      <c r="H4719" t="s">
        <v>28215</v>
      </c>
      <c r="I4719" t="s">
        <v>28234</v>
      </c>
      <c r="J4719" t="s">
        <v>28694</v>
      </c>
      <c r="K4719" t="s">
        <v>36691</v>
      </c>
      <c r="M4719" t="s">
        <v>38753</v>
      </c>
      <c r="N4719" t="s">
        <v>40436</v>
      </c>
      <c r="O4719" t="s">
        <v>40437</v>
      </c>
      <c r="P4719">
        <v>0</v>
      </c>
      <c r="Q4719">
        <v>2</v>
      </c>
      <c r="R4719" t="s">
        <v>40439</v>
      </c>
      <c r="S4719" t="s">
        <v>40588</v>
      </c>
      <c r="T4719" t="s">
        <v>42131</v>
      </c>
      <c r="U4719" t="s">
        <v>46642</v>
      </c>
      <c r="W4719" t="s">
        <v>38753</v>
      </c>
      <c r="X4719" t="s">
        <v>40440</v>
      </c>
    </row>
    <row r="4720" spans="1:24">
      <c r="A4720">
        <f>HYPERLINK("https://www.philgeps.gov.ph/GEPSNONPILOT/Tender/SplashBidNoticeAbstractUI.aspx?menuIndex=3&amp;refID=7047120&amp;Result=3","7047120")</f>
        <v>0</v>
      </c>
      <c r="B4720" t="s">
        <v>227</v>
      </c>
      <c r="C4720" t="s">
        <v>7588</v>
      </c>
      <c r="D4720" t="s">
        <v>16193</v>
      </c>
      <c r="E4720" t="s">
        <v>20471</v>
      </c>
      <c r="F4720" t="s">
        <v>28198</v>
      </c>
      <c r="G4720" t="s">
        <v>28205</v>
      </c>
      <c r="H4720" t="s">
        <v>28214</v>
      </c>
      <c r="I4720" t="s">
        <v>3797</v>
      </c>
      <c r="J4720" t="s">
        <v>31364</v>
      </c>
      <c r="K4720" t="s">
        <v>36778</v>
      </c>
      <c r="M4720" t="s">
        <v>38723</v>
      </c>
      <c r="N4720" t="s">
        <v>40436</v>
      </c>
      <c r="O4720" t="s">
        <v>40437</v>
      </c>
      <c r="P4720">
        <v>0</v>
      </c>
      <c r="Q4720">
        <v>0</v>
      </c>
      <c r="R4720" t="s">
        <v>40439</v>
      </c>
      <c r="S4720" t="s">
        <v>40588</v>
      </c>
      <c r="T4720" t="s">
        <v>42134</v>
      </c>
      <c r="U4720" t="s">
        <v>46643</v>
      </c>
      <c r="W4720" t="s">
        <v>38731</v>
      </c>
      <c r="X4720" t="s">
        <v>40440</v>
      </c>
    </row>
    <row r="4721" spans="1:24">
      <c r="A4721">
        <f>HYPERLINK("https://www.philgeps.gov.ph/GEPSNONPILOT/Tender/SplashBidNoticeAbstractUI.aspx?menuIndex=3&amp;refID=7047109&amp;Result=3","7047109")</f>
        <v>0</v>
      </c>
      <c r="B4721" t="s">
        <v>1658</v>
      </c>
      <c r="C4721" t="s">
        <v>7589</v>
      </c>
      <c r="D4721" t="s">
        <v>16210</v>
      </c>
      <c r="E4721" t="s">
        <v>20467</v>
      </c>
      <c r="F4721" t="s">
        <v>28198</v>
      </c>
      <c r="G4721" t="s">
        <v>28207</v>
      </c>
      <c r="H4721" t="s">
        <v>28215</v>
      </c>
      <c r="I4721" t="s">
        <v>4200</v>
      </c>
      <c r="J4721" t="s">
        <v>30442</v>
      </c>
      <c r="K4721" t="s">
        <v>36693</v>
      </c>
      <c r="M4721" t="s">
        <v>38752</v>
      </c>
      <c r="N4721" t="s">
        <v>40436</v>
      </c>
      <c r="O4721" t="s">
        <v>40437</v>
      </c>
      <c r="P4721">
        <v>0</v>
      </c>
      <c r="Q4721">
        <v>7</v>
      </c>
      <c r="R4721" t="s">
        <v>40439</v>
      </c>
      <c r="S4721" t="s">
        <v>40588</v>
      </c>
      <c r="T4721" t="s">
        <v>42401</v>
      </c>
      <c r="U4721" t="s">
        <v>46644</v>
      </c>
      <c r="V4721" t="s">
        <v>46644</v>
      </c>
      <c r="W4721" t="s">
        <v>38752</v>
      </c>
      <c r="X4721" t="s">
        <v>40440</v>
      </c>
    </row>
    <row r="4722" spans="1:24">
      <c r="A4722">
        <f>HYPERLINK("https://www.philgeps.gov.ph/GEPSNONPILOT/Tender/SplashBidNoticeAbstractUI.aspx?menuIndex=3&amp;refID=7047125&amp;Result=3","7047125")</f>
        <v>0</v>
      </c>
      <c r="B4722" t="s">
        <v>988</v>
      </c>
      <c r="C4722" t="s">
        <v>7590</v>
      </c>
      <c r="D4722" t="s">
        <v>16191</v>
      </c>
      <c r="E4722" t="s">
        <v>20472</v>
      </c>
      <c r="F4722" t="s">
        <v>28198</v>
      </c>
      <c r="G4722" t="s">
        <v>28207</v>
      </c>
      <c r="H4722" t="s">
        <v>28215</v>
      </c>
      <c r="I4722" t="s">
        <v>28285</v>
      </c>
      <c r="J4722" t="s">
        <v>28922</v>
      </c>
      <c r="K4722" t="s">
        <v>36689</v>
      </c>
      <c r="M4722" t="s">
        <v>38015</v>
      </c>
      <c r="N4722" t="s">
        <v>40436</v>
      </c>
      <c r="O4722" t="s">
        <v>40437</v>
      </c>
      <c r="P4722">
        <v>0</v>
      </c>
      <c r="Q4722">
        <v>0</v>
      </c>
      <c r="R4722" t="s">
        <v>40439</v>
      </c>
      <c r="S4722" t="s">
        <v>40588</v>
      </c>
      <c r="T4722" t="s">
        <v>42190</v>
      </c>
      <c r="U4722" t="s">
        <v>46645</v>
      </c>
      <c r="V4722" t="s">
        <v>54039</v>
      </c>
      <c r="W4722" t="s">
        <v>38015</v>
      </c>
      <c r="X4722" t="s">
        <v>40440</v>
      </c>
    </row>
    <row r="4723" spans="1:24">
      <c r="A4723">
        <f>HYPERLINK("https://www.philgeps.gov.ph/GEPSNONPILOT/Tender/SplashBidNoticeAbstractUI.aspx?menuIndex=3&amp;refID=7047124&amp;Result=3","7047124")</f>
        <v>0</v>
      </c>
      <c r="B4723" t="s">
        <v>1660</v>
      </c>
      <c r="C4723" t="s">
        <v>7591</v>
      </c>
      <c r="E4723" t="s">
        <v>20473</v>
      </c>
      <c r="F4723" t="s">
        <v>28198</v>
      </c>
      <c r="G4723" t="s">
        <v>28207</v>
      </c>
      <c r="H4723" t="s">
        <v>28215</v>
      </c>
      <c r="I4723" t="s">
        <v>5100</v>
      </c>
      <c r="J4723" t="s">
        <v>29488</v>
      </c>
      <c r="K4723" t="s">
        <v>36701</v>
      </c>
      <c r="M4723" t="s">
        <v>38754</v>
      </c>
      <c r="N4723" t="s">
        <v>40436</v>
      </c>
      <c r="O4723" t="s">
        <v>40437</v>
      </c>
      <c r="P4723">
        <v>0</v>
      </c>
      <c r="Q4723">
        <v>0</v>
      </c>
      <c r="R4723" t="s">
        <v>40439</v>
      </c>
      <c r="S4723" t="s">
        <v>40588</v>
      </c>
      <c r="T4723" t="s">
        <v>42175</v>
      </c>
      <c r="U4723" t="s">
        <v>46646</v>
      </c>
      <c r="W4723" t="s">
        <v>38754</v>
      </c>
      <c r="X4723" t="s">
        <v>40440</v>
      </c>
    </row>
    <row r="4724" spans="1:24">
      <c r="A4724">
        <f>HYPERLINK("https://www.philgeps.gov.ph/GEPSNONPILOT/Tender/SplashBidNoticeAbstractUI.aspx?menuIndex=3&amp;refID=7047108&amp;Result=3","7047108")</f>
        <v>0</v>
      </c>
      <c r="B4724" t="s">
        <v>1652</v>
      </c>
      <c r="C4724" t="s">
        <v>7592</v>
      </c>
      <c r="D4724" t="s">
        <v>16216</v>
      </c>
      <c r="E4724" t="s">
        <v>20474</v>
      </c>
      <c r="F4724" t="s">
        <v>28198</v>
      </c>
      <c r="G4724" t="s">
        <v>28210</v>
      </c>
      <c r="H4724" t="s">
        <v>28215</v>
      </c>
      <c r="I4724" t="s">
        <v>4168</v>
      </c>
      <c r="J4724" t="s">
        <v>31365</v>
      </c>
      <c r="K4724" t="s">
        <v>36688</v>
      </c>
      <c r="M4724" t="s">
        <v>38746</v>
      </c>
      <c r="N4724" t="s">
        <v>40436</v>
      </c>
      <c r="O4724" t="s">
        <v>40437</v>
      </c>
      <c r="P4724">
        <v>0</v>
      </c>
      <c r="Q4724">
        <v>4</v>
      </c>
      <c r="R4724" t="s">
        <v>40439</v>
      </c>
      <c r="S4724" t="s">
        <v>40588</v>
      </c>
      <c r="T4724" t="s">
        <v>42111</v>
      </c>
      <c r="U4724" t="s">
        <v>46647</v>
      </c>
      <c r="W4724" t="s">
        <v>38746</v>
      </c>
      <c r="X4724" t="s">
        <v>40440</v>
      </c>
    </row>
    <row r="4725" spans="1:24">
      <c r="A4725">
        <f>HYPERLINK("https://www.philgeps.gov.ph/GEPSNONPILOT/Tender/SplashBidNoticeAbstractUI.aspx?menuIndex=3&amp;refID=7047121&amp;Result=3","7047121")</f>
        <v>0</v>
      </c>
      <c r="B4725" t="s">
        <v>1661</v>
      </c>
      <c r="C4725" t="s">
        <v>3173</v>
      </c>
      <c r="D4725" t="s">
        <v>16216</v>
      </c>
      <c r="E4725" t="s">
        <v>16530</v>
      </c>
      <c r="F4725" t="s">
        <v>28198</v>
      </c>
      <c r="G4725" t="s">
        <v>28210</v>
      </c>
      <c r="H4725" t="s">
        <v>28215</v>
      </c>
      <c r="I4725" t="s">
        <v>5082</v>
      </c>
      <c r="J4725" t="s">
        <v>28529</v>
      </c>
      <c r="K4725" t="s">
        <v>36688</v>
      </c>
      <c r="M4725" t="s">
        <v>38755</v>
      </c>
      <c r="N4725" t="s">
        <v>40436</v>
      </c>
      <c r="O4725" t="s">
        <v>40437</v>
      </c>
      <c r="P4725">
        <v>0</v>
      </c>
      <c r="Q4725">
        <v>2</v>
      </c>
      <c r="R4725" t="s">
        <v>40439</v>
      </c>
      <c r="S4725" t="s">
        <v>40588</v>
      </c>
      <c r="T4725" t="s">
        <v>42131</v>
      </c>
      <c r="U4725" t="s">
        <v>46648</v>
      </c>
      <c r="W4725" t="s">
        <v>38755</v>
      </c>
      <c r="X4725" t="s">
        <v>40440</v>
      </c>
    </row>
    <row r="4726" spans="1:24">
      <c r="A4726">
        <f>HYPERLINK("https://www.philgeps.gov.ph/GEPSNONPILOT/Tender/SplashBidNoticeAbstractUI.aspx?menuIndex=3&amp;refID=7047126&amp;Result=3","7047126")</f>
        <v>0</v>
      </c>
      <c r="B4726" t="s">
        <v>1662</v>
      </c>
      <c r="C4726" t="s">
        <v>7593</v>
      </c>
      <c r="D4726" t="s">
        <v>16204</v>
      </c>
      <c r="E4726" t="s">
        <v>20475</v>
      </c>
      <c r="F4726" t="s">
        <v>28198</v>
      </c>
      <c r="G4726" t="s">
        <v>28205</v>
      </c>
      <c r="H4726" t="s">
        <v>28215</v>
      </c>
      <c r="I4726" t="s">
        <v>28239</v>
      </c>
      <c r="J4726" t="s">
        <v>28415</v>
      </c>
      <c r="K4726" t="s">
        <v>36688</v>
      </c>
      <c r="M4726" t="s">
        <v>38756</v>
      </c>
      <c r="N4726" t="s">
        <v>40436</v>
      </c>
      <c r="O4726" t="s">
        <v>40437</v>
      </c>
      <c r="P4726">
        <v>0</v>
      </c>
      <c r="Q4726">
        <v>3</v>
      </c>
      <c r="R4726" t="s">
        <v>40439</v>
      </c>
      <c r="S4726" t="s">
        <v>40588</v>
      </c>
      <c r="T4726" t="s">
        <v>42180</v>
      </c>
      <c r="U4726" t="s">
        <v>46649</v>
      </c>
      <c r="W4726" t="s">
        <v>38756</v>
      </c>
      <c r="X4726" t="s">
        <v>40440</v>
      </c>
    </row>
    <row r="4727" spans="1:24">
      <c r="A4727">
        <f>HYPERLINK("https://www.philgeps.gov.ph/GEPSNONPILOT/Tender/SplashBidNoticeAbstractUI.aspx?menuIndex=3&amp;refID=7047127&amp;Result=3","7047127")</f>
        <v>0</v>
      </c>
      <c r="B4727" t="s">
        <v>988</v>
      </c>
      <c r="C4727" t="s">
        <v>7594</v>
      </c>
      <c r="D4727" t="s">
        <v>16191</v>
      </c>
      <c r="E4727" t="s">
        <v>20476</v>
      </c>
      <c r="F4727" t="s">
        <v>28198</v>
      </c>
      <c r="G4727" t="s">
        <v>28207</v>
      </c>
      <c r="H4727" t="s">
        <v>28215</v>
      </c>
      <c r="I4727" t="s">
        <v>3422</v>
      </c>
      <c r="J4727" t="s">
        <v>29023</v>
      </c>
      <c r="K4727" t="s">
        <v>36689</v>
      </c>
      <c r="M4727" t="s">
        <v>38015</v>
      </c>
      <c r="N4727" t="s">
        <v>40436</v>
      </c>
      <c r="O4727" t="s">
        <v>40437</v>
      </c>
      <c r="P4727">
        <v>0</v>
      </c>
      <c r="Q4727">
        <v>1</v>
      </c>
      <c r="R4727" t="s">
        <v>40439</v>
      </c>
      <c r="S4727" t="s">
        <v>40588</v>
      </c>
      <c r="T4727" t="s">
        <v>42190</v>
      </c>
      <c r="U4727" t="s">
        <v>46650</v>
      </c>
      <c r="V4727" t="s">
        <v>54039</v>
      </c>
      <c r="W4727" t="s">
        <v>38015</v>
      </c>
      <c r="X4727" t="s">
        <v>40440</v>
      </c>
    </row>
    <row r="4728" spans="1:24">
      <c r="A4728">
        <f>HYPERLINK("https://www.philgeps.gov.ph/GEPSNONPILOT/Tender/SplashBidNoticeAbstractUI.aspx?menuIndex=3&amp;refID=7047123&amp;Result=3","7047123")</f>
        <v>0</v>
      </c>
      <c r="B4728" t="s">
        <v>1657</v>
      </c>
      <c r="C4728" t="s">
        <v>7595</v>
      </c>
      <c r="D4728" t="s">
        <v>16260</v>
      </c>
      <c r="E4728" t="s">
        <v>20477</v>
      </c>
      <c r="F4728" t="s">
        <v>28198</v>
      </c>
      <c r="G4728" t="s">
        <v>28206</v>
      </c>
      <c r="H4728" t="s">
        <v>28215</v>
      </c>
      <c r="I4728" t="s">
        <v>28234</v>
      </c>
      <c r="J4728" t="s">
        <v>31366</v>
      </c>
      <c r="K4728" t="s">
        <v>36689</v>
      </c>
      <c r="M4728" t="s">
        <v>38751</v>
      </c>
      <c r="N4728" t="s">
        <v>40436</v>
      </c>
      <c r="O4728" t="s">
        <v>40437</v>
      </c>
      <c r="P4728">
        <v>0</v>
      </c>
      <c r="Q4728">
        <v>0</v>
      </c>
      <c r="R4728" t="s">
        <v>40439</v>
      </c>
      <c r="S4728" t="s">
        <v>40588</v>
      </c>
      <c r="T4728" t="s">
        <v>42205</v>
      </c>
      <c r="U4728" t="s">
        <v>46651</v>
      </c>
      <c r="V4728" t="s">
        <v>54246</v>
      </c>
      <c r="W4728" t="s">
        <v>38751</v>
      </c>
      <c r="X4728" t="s">
        <v>40440</v>
      </c>
    </row>
    <row r="4729" spans="1:24">
      <c r="A4729">
        <f>HYPERLINK("https://www.philgeps.gov.ph/GEPSNONPILOT/Tender/SplashBidNoticeAbstractUI.aspx?menuIndex=3&amp;refID=7047128&amp;Result=3","7047128")</f>
        <v>0</v>
      </c>
      <c r="B4729" t="s">
        <v>1657</v>
      </c>
      <c r="C4729" t="s">
        <v>7596</v>
      </c>
      <c r="D4729" t="s">
        <v>16260</v>
      </c>
      <c r="E4729" t="s">
        <v>20478</v>
      </c>
      <c r="F4729" t="s">
        <v>28198</v>
      </c>
      <c r="G4729" t="s">
        <v>28205</v>
      </c>
      <c r="H4729" t="s">
        <v>28214</v>
      </c>
      <c r="I4729" t="s">
        <v>3797</v>
      </c>
      <c r="J4729" t="s">
        <v>28395</v>
      </c>
      <c r="K4729" t="s">
        <v>36795</v>
      </c>
      <c r="M4729" t="s">
        <v>38751</v>
      </c>
      <c r="N4729" t="s">
        <v>40436</v>
      </c>
      <c r="O4729" t="s">
        <v>40437</v>
      </c>
      <c r="P4729">
        <v>0</v>
      </c>
      <c r="Q4729">
        <v>0</v>
      </c>
      <c r="R4729" t="s">
        <v>40439</v>
      </c>
      <c r="S4729" t="s">
        <v>40588</v>
      </c>
      <c r="T4729" t="s">
        <v>42177</v>
      </c>
      <c r="U4729" t="s">
        <v>46652</v>
      </c>
      <c r="V4729" t="s">
        <v>54248</v>
      </c>
      <c r="W4729" t="s">
        <v>38751</v>
      </c>
      <c r="X4729" t="s">
        <v>40440</v>
      </c>
    </row>
    <row r="4730" spans="1:24">
      <c r="A4730">
        <f>HYPERLINK("https://www.philgeps.gov.ph/GEPSNONPILOT/Tender/SplashBidNoticeAbstractUI.aspx?menuIndex=3&amp;refID=7047132&amp;Result=3","7047132")</f>
        <v>0</v>
      </c>
      <c r="B4730" t="s">
        <v>1663</v>
      </c>
      <c r="C4730" t="s">
        <v>7597</v>
      </c>
      <c r="D4730" t="s">
        <v>16197</v>
      </c>
      <c r="E4730" t="s">
        <v>16352</v>
      </c>
      <c r="F4730" t="s">
        <v>28198</v>
      </c>
      <c r="G4730" t="s">
        <v>28207</v>
      </c>
      <c r="H4730" t="s">
        <v>28215</v>
      </c>
      <c r="I4730" t="s">
        <v>4219</v>
      </c>
      <c r="J4730" t="s">
        <v>28350</v>
      </c>
      <c r="K4730" t="s">
        <v>36698</v>
      </c>
      <c r="M4730" t="s">
        <v>38757</v>
      </c>
      <c r="N4730" t="s">
        <v>40436</v>
      </c>
      <c r="O4730" t="s">
        <v>40437</v>
      </c>
      <c r="P4730">
        <v>0</v>
      </c>
      <c r="Q4730">
        <v>0</v>
      </c>
      <c r="R4730" t="s">
        <v>40439</v>
      </c>
      <c r="S4730" t="s">
        <v>40588</v>
      </c>
      <c r="T4730" t="s">
        <v>42169</v>
      </c>
      <c r="U4730" t="s">
        <v>46653</v>
      </c>
      <c r="W4730" t="s">
        <v>38757</v>
      </c>
      <c r="X4730" t="s">
        <v>40440</v>
      </c>
    </row>
    <row r="4731" spans="1:24">
      <c r="A4731">
        <f>HYPERLINK("https://www.philgeps.gov.ph/GEPSNONPILOT/Tender/SplashBidNoticeAbstractUI.aspx?menuIndex=3&amp;refID=7047144&amp;Result=3","7047144")</f>
        <v>0</v>
      </c>
      <c r="B4731" t="s">
        <v>1664</v>
      </c>
      <c r="C4731" t="s">
        <v>3173</v>
      </c>
      <c r="D4731" t="s">
        <v>16216</v>
      </c>
      <c r="E4731" t="s">
        <v>20479</v>
      </c>
      <c r="F4731" t="s">
        <v>28198</v>
      </c>
      <c r="G4731" t="s">
        <v>28210</v>
      </c>
      <c r="H4731" t="s">
        <v>28215</v>
      </c>
      <c r="I4731" t="s">
        <v>5082</v>
      </c>
      <c r="J4731" t="s">
        <v>28529</v>
      </c>
      <c r="K4731" t="s">
        <v>36688</v>
      </c>
      <c r="M4731" t="s">
        <v>38758</v>
      </c>
      <c r="N4731" t="s">
        <v>40436</v>
      </c>
      <c r="O4731" t="s">
        <v>40437</v>
      </c>
      <c r="P4731">
        <v>0</v>
      </c>
      <c r="Q4731">
        <v>3</v>
      </c>
      <c r="R4731" t="s">
        <v>40439</v>
      </c>
      <c r="S4731" t="s">
        <v>40588</v>
      </c>
      <c r="T4731" t="s">
        <v>42111</v>
      </c>
      <c r="U4731" t="s">
        <v>46654</v>
      </c>
      <c r="W4731" t="s">
        <v>38758</v>
      </c>
      <c r="X4731" t="s">
        <v>40440</v>
      </c>
    </row>
    <row r="4732" spans="1:24">
      <c r="A4732">
        <f>HYPERLINK("https://www.philgeps.gov.ph/GEPSNONPILOT/Tender/SplashBidNoticeAbstractUI.aspx?menuIndex=3&amp;refID=7047143&amp;Result=3","7047143")</f>
        <v>0</v>
      </c>
      <c r="B4732" t="s">
        <v>1665</v>
      </c>
      <c r="C4732" t="s">
        <v>7598</v>
      </c>
      <c r="D4732" t="s">
        <v>16210</v>
      </c>
      <c r="E4732" t="s">
        <v>16519</v>
      </c>
      <c r="F4732" t="s">
        <v>28198</v>
      </c>
      <c r="G4732" t="s">
        <v>28205</v>
      </c>
      <c r="H4732" t="s">
        <v>28215</v>
      </c>
      <c r="I4732" t="s">
        <v>4200</v>
      </c>
      <c r="J4732" t="s">
        <v>31367</v>
      </c>
      <c r="K4732" t="s">
        <v>36693</v>
      </c>
      <c r="M4732" t="s">
        <v>38759</v>
      </c>
      <c r="N4732" t="s">
        <v>40436</v>
      </c>
      <c r="O4732" t="s">
        <v>40437</v>
      </c>
      <c r="P4732">
        <v>0</v>
      </c>
      <c r="Q4732">
        <v>2</v>
      </c>
      <c r="R4732" t="s">
        <v>40439</v>
      </c>
      <c r="S4732" t="s">
        <v>40588</v>
      </c>
      <c r="T4732" t="s">
        <v>42133</v>
      </c>
      <c r="U4732" t="s">
        <v>46655</v>
      </c>
      <c r="W4732" t="s">
        <v>38759</v>
      </c>
      <c r="X4732" t="s">
        <v>40440</v>
      </c>
    </row>
    <row r="4733" spans="1:24">
      <c r="A4733">
        <f>HYPERLINK("https://www.philgeps.gov.ph/GEPSNONPILOT/Tender/SplashBidNoticeAbstractUI.aspx?menuIndex=3&amp;refID=7047142&amp;Result=3","7047142")</f>
        <v>0</v>
      </c>
      <c r="B4733" t="s">
        <v>1662</v>
      </c>
      <c r="C4733" t="s">
        <v>7599</v>
      </c>
      <c r="D4733" t="s">
        <v>16204</v>
      </c>
      <c r="E4733" t="s">
        <v>20480</v>
      </c>
      <c r="F4733" t="s">
        <v>28198</v>
      </c>
      <c r="G4733" t="s">
        <v>28205</v>
      </c>
      <c r="H4733" t="s">
        <v>28217</v>
      </c>
      <c r="I4733" t="s">
        <v>28274</v>
      </c>
      <c r="J4733" t="s">
        <v>30638</v>
      </c>
      <c r="K4733" t="s">
        <v>36688</v>
      </c>
      <c r="M4733" t="s">
        <v>38756</v>
      </c>
      <c r="N4733" t="s">
        <v>40436</v>
      </c>
      <c r="O4733" t="s">
        <v>40437</v>
      </c>
      <c r="P4733">
        <v>0</v>
      </c>
      <c r="Q4733">
        <v>0</v>
      </c>
      <c r="R4733" t="s">
        <v>40439</v>
      </c>
      <c r="S4733" t="s">
        <v>40588</v>
      </c>
      <c r="T4733" t="s">
        <v>42180</v>
      </c>
      <c r="U4733" t="s">
        <v>46649</v>
      </c>
      <c r="W4733" t="s">
        <v>38756</v>
      </c>
      <c r="X4733" t="s">
        <v>40440</v>
      </c>
    </row>
    <row r="4734" spans="1:24">
      <c r="A4734">
        <f>HYPERLINK("https://www.philgeps.gov.ph/GEPSNONPILOT/Tender/SplashBidNoticeAbstractUI.aspx?menuIndex=3&amp;refID=7047122&amp;Result=3","7047122")</f>
        <v>0</v>
      </c>
      <c r="B4734" t="s">
        <v>1657</v>
      </c>
      <c r="C4734" t="s">
        <v>7578</v>
      </c>
      <c r="D4734" t="s">
        <v>16260</v>
      </c>
      <c r="E4734" t="s">
        <v>20481</v>
      </c>
      <c r="F4734" t="s">
        <v>28198</v>
      </c>
      <c r="G4734" t="s">
        <v>28206</v>
      </c>
      <c r="H4734" t="s">
        <v>28215</v>
      </c>
      <c r="I4734" t="s">
        <v>28234</v>
      </c>
      <c r="J4734" t="s">
        <v>31368</v>
      </c>
      <c r="K4734" t="s">
        <v>36689</v>
      </c>
      <c r="M4734" t="s">
        <v>38751</v>
      </c>
      <c r="N4734" t="s">
        <v>40436</v>
      </c>
      <c r="O4734" t="s">
        <v>40437</v>
      </c>
      <c r="P4734">
        <v>0</v>
      </c>
      <c r="Q4734">
        <v>1</v>
      </c>
      <c r="R4734" t="s">
        <v>40439</v>
      </c>
      <c r="S4734" t="s">
        <v>40588</v>
      </c>
      <c r="T4734" t="s">
        <v>42205</v>
      </c>
      <c r="U4734" t="s">
        <v>46633</v>
      </c>
      <c r="V4734" t="s">
        <v>54246</v>
      </c>
      <c r="W4734" t="s">
        <v>38751</v>
      </c>
      <c r="X4734" t="s">
        <v>40440</v>
      </c>
    </row>
    <row r="4735" spans="1:24">
      <c r="A4735">
        <f>HYPERLINK("https://www.philgeps.gov.ph/GEPSNONPILOT/Tender/SplashBidNoticeAbstractUI.aspx?menuIndex=3&amp;refID=7047146&amp;Result=3","7047146")</f>
        <v>0</v>
      </c>
      <c r="B4735" t="s">
        <v>1664</v>
      </c>
      <c r="C4735" t="s">
        <v>7600</v>
      </c>
      <c r="D4735" t="s">
        <v>16216</v>
      </c>
      <c r="E4735" t="s">
        <v>16657</v>
      </c>
      <c r="F4735" t="s">
        <v>28198</v>
      </c>
      <c r="G4735" t="s">
        <v>28207</v>
      </c>
      <c r="H4735" t="s">
        <v>28215</v>
      </c>
      <c r="I4735" t="s">
        <v>28227</v>
      </c>
      <c r="J4735" t="s">
        <v>31369</v>
      </c>
      <c r="K4735" t="s">
        <v>36688</v>
      </c>
      <c r="M4735" t="s">
        <v>38758</v>
      </c>
      <c r="N4735" t="s">
        <v>40436</v>
      </c>
      <c r="O4735" t="s">
        <v>40437</v>
      </c>
      <c r="P4735">
        <v>0</v>
      </c>
      <c r="Q4735">
        <v>1</v>
      </c>
      <c r="R4735" t="s">
        <v>40439</v>
      </c>
      <c r="S4735" t="s">
        <v>40588</v>
      </c>
      <c r="T4735" t="s">
        <v>42111</v>
      </c>
      <c r="U4735" t="s">
        <v>46656</v>
      </c>
      <c r="W4735" t="s">
        <v>38758</v>
      </c>
      <c r="X4735" t="s">
        <v>40440</v>
      </c>
    </row>
    <row r="4736" spans="1:24">
      <c r="A4736">
        <f>HYPERLINK("https://www.philgeps.gov.ph/GEPSNONPILOT/Tender/SplashBidNoticeAbstractUI.aspx?menuIndex=3&amp;refID=7047137&amp;Result=3","7047137")</f>
        <v>0</v>
      </c>
      <c r="B4736" t="s">
        <v>988</v>
      </c>
      <c r="C4736" t="s">
        <v>7601</v>
      </c>
      <c r="D4736" t="s">
        <v>16187</v>
      </c>
      <c r="E4736" t="s">
        <v>20482</v>
      </c>
      <c r="F4736" t="s">
        <v>28198</v>
      </c>
      <c r="G4736" t="s">
        <v>28207</v>
      </c>
      <c r="H4736" t="s">
        <v>28215</v>
      </c>
      <c r="I4736" t="s">
        <v>3422</v>
      </c>
      <c r="J4736" t="s">
        <v>29105</v>
      </c>
      <c r="K4736" t="s">
        <v>36689</v>
      </c>
      <c r="M4736" t="s">
        <v>38015</v>
      </c>
      <c r="N4736" t="s">
        <v>40436</v>
      </c>
      <c r="O4736" t="s">
        <v>40437</v>
      </c>
      <c r="P4736">
        <v>0</v>
      </c>
      <c r="Q4736">
        <v>1</v>
      </c>
      <c r="R4736" t="s">
        <v>40439</v>
      </c>
      <c r="S4736" t="s">
        <v>40588</v>
      </c>
      <c r="T4736" t="s">
        <v>42190</v>
      </c>
      <c r="U4736" t="s">
        <v>46657</v>
      </c>
      <c r="V4736" t="s">
        <v>54039</v>
      </c>
      <c r="W4736" t="s">
        <v>38015</v>
      </c>
      <c r="X4736" t="s">
        <v>40440</v>
      </c>
    </row>
    <row r="4737" spans="1:24">
      <c r="A4737">
        <f>HYPERLINK("https://www.philgeps.gov.ph/GEPSNONPILOT/Tender/SplashBidNoticeAbstractUI.aspx?menuIndex=3&amp;refID=7047130&amp;Result=3","7047130")</f>
        <v>0</v>
      </c>
      <c r="B4737" t="s">
        <v>1666</v>
      </c>
      <c r="C4737" t="s">
        <v>3173</v>
      </c>
      <c r="D4737" t="s">
        <v>16216</v>
      </c>
      <c r="E4737" t="s">
        <v>16322</v>
      </c>
      <c r="F4737" t="s">
        <v>28198</v>
      </c>
      <c r="G4737" t="s">
        <v>28210</v>
      </c>
      <c r="H4737" t="s">
        <v>28215</v>
      </c>
      <c r="I4737" t="s">
        <v>5082</v>
      </c>
      <c r="J4737" t="s">
        <v>28354</v>
      </c>
      <c r="K4737" t="s">
        <v>36688</v>
      </c>
      <c r="M4737" t="s">
        <v>38760</v>
      </c>
      <c r="N4737" t="s">
        <v>40436</v>
      </c>
      <c r="O4737" t="s">
        <v>40437</v>
      </c>
      <c r="P4737">
        <v>0</v>
      </c>
      <c r="Q4737">
        <v>3</v>
      </c>
      <c r="R4737" t="s">
        <v>40439</v>
      </c>
      <c r="S4737" t="s">
        <v>40588</v>
      </c>
      <c r="T4737" t="s">
        <v>42131</v>
      </c>
      <c r="U4737" t="s">
        <v>46658</v>
      </c>
      <c r="W4737" t="s">
        <v>38760</v>
      </c>
      <c r="X4737" t="s">
        <v>40440</v>
      </c>
    </row>
    <row r="4738" spans="1:24">
      <c r="A4738">
        <f>HYPERLINK("https://www.philgeps.gov.ph/GEPSNONPILOT/Tender/SplashBidNoticeAbstractUI.aspx?menuIndex=3&amp;refID=7047133&amp;Result=3","7047133")</f>
        <v>0</v>
      </c>
      <c r="B4738" t="s">
        <v>1657</v>
      </c>
      <c r="C4738" t="s">
        <v>7602</v>
      </c>
      <c r="D4738" t="s">
        <v>16260</v>
      </c>
      <c r="E4738" t="s">
        <v>20483</v>
      </c>
      <c r="F4738" t="s">
        <v>28198</v>
      </c>
      <c r="G4738" t="s">
        <v>28205</v>
      </c>
      <c r="H4738" t="s">
        <v>28214</v>
      </c>
      <c r="I4738" t="s">
        <v>3797</v>
      </c>
      <c r="J4738" t="s">
        <v>31370</v>
      </c>
      <c r="K4738" t="s">
        <v>36795</v>
      </c>
      <c r="M4738" t="s">
        <v>38751</v>
      </c>
      <c r="N4738" t="s">
        <v>40436</v>
      </c>
      <c r="O4738" t="s">
        <v>40437</v>
      </c>
      <c r="P4738">
        <v>0</v>
      </c>
      <c r="Q4738">
        <v>0</v>
      </c>
      <c r="R4738" t="s">
        <v>40439</v>
      </c>
      <c r="S4738" t="s">
        <v>40588</v>
      </c>
      <c r="T4738" t="s">
        <v>42177</v>
      </c>
      <c r="U4738" t="s">
        <v>46659</v>
      </c>
      <c r="V4738" t="s">
        <v>54248</v>
      </c>
      <c r="W4738" t="s">
        <v>38751</v>
      </c>
      <c r="X4738" t="s">
        <v>40440</v>
      </c>
    </row>
    <row r="4739" spans="1:24">
      <c r="A4739">
        <f>HYPERLINK("https://www.philgeps.gov.ph/GEPSNONPILOT/Tender/SplashBidNoticeAbstractUI.aspx?menuIndex=3&amp;refID=7047129&amp;Result=3","7047129")</f>
        <v>0</v>
      </c>
      <c r="B4739" t="s">
        <v>988</v>
      </c>
      <c r="C4739" t="s">
        <v>7603</v>
      </c>
      <c r="D4739" t="s">
        <v>16239</v>
      </c>
      <c r="E4739" t="s">
        <v>20484</v>
      </c>
      <c r="F4739" t="s">
        <v>28198</v>
      </c>
      <c r="G4739" t="s">
        <v>28207</v>
      </c>
      <c r="H4739" t="s">
        <v>28215</v>
      </c>
      <c r="I4739" t="s">
        <v>3422</v>
      </c>
      <c r="J4739" t="s">
        <v>29105</v>
      </c>
      <c r="K4739" t="s">
        <v>36689</v>
      </c>
      <c r="M4739" t="s">
        <v>38015</v>
      </c>
      <c r="N4739" t="s">
        <v>40436</v>
      </c>
      <c r="O4739" t="s">
        <v>40437</v>
      </c>
      <c r="P4739">
        <v>0</v>
      </c>
      <c r="Q4739">
        <v>1</v>
      </c>
      <c r="R4739" t="s">
        <v>40439</v>
      </c>
      <c r="S4739" t="s">
        <v>40588</v>
      </c>
      <c r="T4739" t="s">
        <v>42190</v>
      </c>
      <c r="U4739" t="s">
        <v>46660</v>
      </c>
      <c r="V4739" t="s">
        <v>54039</v>
      </c>
      <c r="W4739" t="s">
        <v>38015</v>
      </c>
      <c r="X4739" t="s">
        <v>40440</v>
      </c>
    </row>
    <row r="4740" spans="1:24">
      <c r="A4740">
        <f>HYPERLINK("https://www.philgeps.gov.ph/GEPSNONPILOT/Tender/SplashBidNoticeAbstractUI.aspx?menuIndex=3&amp;refID=6938443&amp;Result=3","6938443")</f>
        <v>0</v>
      </c>
      <c r="B4740" t="s">
        <v>686</v>
      </c>
      <c r="C4740" t="s">
        <v>7604</v>
      </c>
      <c r="D4740" t="s">
        <v>16195</v>
      </c>
      <c r="E4740" t="s">
        <v>20485</v>
      </c>
      <c r="F4740" t="s">
        <v>28198</v>
      </c>
      <c r="G4740" t="s">
        <v>28205</v>
      </c>
      <c r="H4740" t="s">
        <v>28214</v>
      </c>
      <c r="I4740" t="s">
        <v>3797</v>
      </c>
      <c r="J4740" t="s">
        <v>31371</v>
      </c>
      <c r="K4740" t="s">
        <v>36733</v>
      </c>
      <c r="M4740" t="s">
        <v>38761</v>
      </c>
      <c r="N4740" t="s">
        <v>40436</v>
      </c>
      <c r="O4740" t="s">
        <v>40437</v>
      </c>
      <c r="P4740">
        <v>0</v>
      </c>
      <c r="Q4740">
        <v>0</v>
      </c>
      <c r="R4740" t="s">
        <v>40440</v>
      </c>
      <c r="S4740" t="s">
        <v>40603</v>
      </c>
      <c r="T4740" t="s">
        <v>42197</v>
      </c>
      <c r="U4740" t="s">
        <v>46661</v>
      </c>
      <c r="W4740" t="s">
        <v>38761</v>
      </c>
      <c r="X4740" t="s">
        <v>40511</v>
      </c>
    </row>
    <row r="4741" spans="1:24">
      <c r="A4741">
        <f>HYPERLINK("https://www.philgeps.gov.ph/GEPSNONPILOT/Tender/SplashBidNoticeAbstractUI.aspx?menuIndex=3&amp;refID=6906548&amp;Result=3","6906548")</f>
        <v>0</v>
      </c>
      <c r="B4741" t="s">
        <v>121</v>
      </c>
      <c r="C4741" t="s">
        <v>7605</v>
      </c>
      <c r="D4741" t="s">
        <v>16207</v>
      </c>
      <c r="E4741" t="s">
        <v>20486</v>
      </c>
      <c r="F4741" t="s">
        <v>28198</v>
      </c>
      <c r="G4741" t="s">
        <v>28207</v>
      </c>
      <c r="H4741" t="s">
        <v>28215</v>
      </c>
      <c r="I4741" t="s">
        <v>4200</v>
      </c>
      <c r="J4741" t="s">
        <v>31372</v>
      </c>
      <c r="K4741" t="s">
        <v>36706</v>
      </c>
      <c r="M4741" t="s">
        <v>38147</v>
      </c>
      <c r="N4741" t="s">
        <v>40436</v>
      </c>
      <c r="O4741" t="s">
        <v>40437</v>
      </c>
      <c r="P4741">
        <v>0</v>
      </c>
      <c r="Q4741">
        <v>0</v>
      </c>
      <c r="R4741" t="s">
        <v>40440</v>
      </c>
      <c r="S4741" t="s">
        <v>40603</v>
      </c>
      <c r="T4741" t="s">
        <v>42233</v>
      </c>
      <c r="U4741" t="s">
        <v>46662</v>
      </c>
      <c r="W4741" t="s">
        <v>38147</v>
      </c>
      <c r="X4741" t="s">
        <v>40522</v>
      </c>
    </row>
    <row r="4742" spans="1:24">
      <c r="A4742">
        <f>HYPERLINK("https://www.philgeps.gov.ph/GEPSNONPILOT/Tender/SplashBidNoticeAbstractUI.aspx?menuIndex=3&amp;refID=7047136&amp;Result=3","7047136")</f>
        <v>0</v>
      </c>
      <c r="B4742" t="s">
        <v>1662</v>
      </c>
      <c r="C4742" t="s">
        <v>7606</v>
      </c>
      <c r="E4742" t="s">
        <v>20487</v>
      </c>
      <c r="F4742" t="s">
        <v>28198</v>
      </c>
      <c r="G4742" t="s">
        <v>28205</v>
      </c>
      <c r="H4742" t="s">
        <v>28215</v>
      </c>
      <c r="I4742" t="s">
        <v>28227</v>
      </c>
      <c r="J4742" t="s">
        <v>31373</v>
      </c>
      <c r="K4742" t="s">
        <v>36688</v>
      </c>
      <c r="M4742" t="s">
        <v>38756</v>
      </c>
      <c r="N4742" t="s">
        <v>40436</v>
      </c>
      <c r="O4742" t="s">
        <v>40437</v>
      </c>
      <c r="P4742">
        <v>0</v>
      </c>
      <c r="Q4742">
        <v>1</v>
      </c>
      <c r="R4742" t="s">
        <v>40439</v>
      </c>
      <c r="S4742" t="s">
        <v>40588</v>
      </c>
      <c r="T4742" t="s">
        <v>42180</v>
      </c>
      <c r="U4742" t="s">
        <v>46663</v>
      </c>
      <c r="W4742" t="s">
        <v>38756</v>
      </c>
      <c r="X4742" t="s">
        <v>40440</v>
      </c>
    </row>
    <row r="4743" spans="1:24">
      <c r="A4743">
        <f>HYPERLINK("https://www.philgeps.gov.ph/GEPSNONPILOT/Tender/SplashBidNoticeAbstractUI.aspx?menuIndex=3&amp;refID=7047139&amp;Result=3","7047139")</f>
        <v>0</v>
      </c>
      <c r="B4743" t="s">
        <v>1663</v>
      </c>
      <c r="C4743" t="s">
        <v>7597</v>
      </c>
      <c r="D4743" t="s">
        <v>16197</v>
      </c>
      <c r="E4743" t="s">
        <v>16352</v>
      </c>
      <c r="F4743" t="s">
        <v>28198</v>
      </c>
      <c r="G4743" t="s">
        <v>28207</v>
      </c>
      <c r="H4743" t="s">
        <v>28215</v>
      </c>
      <c r="I4743" t="s">
        <v>4219</v>
      </c>
      <c r="J4743" t="s">
        <v>28352</v>
      </c>
      <c r="K4743" t="s">
        <v>36698</v>
      </c>
      <c r="M4743" t="s">
        <v>38757</v>
      </c>
      <c r="N4743" t="s">
        <v>40436</v>
      </c>
      <c r="O4743" t="s">
        <v>40437</v>
      </c>
      <c r="P4743">
        <v>0</v>
      </c>
      <c r="Q4743">
        <v>0</v>
      </c>
      <c r="R4743" t="s">
        <v>40439</v>
      </c>
      <c r="S4743" t="s">
        <v>40588</v>
      </c>
      <c r="T4743" t="s">
        <v>42169</v>
      </c>
      <c r="U4743" t="s">
        <v>46664</v>
      </c>
      <c r="W4743" t="s">
        <v>38757</v>
      </c>
      <c r="X4743" t="s">
        <v>40440</v>
      </c>
    </row>
    <row r="4744" spans="1:24">
      <c r="A4744">
        <f>HYPERLINK("https://www.philgeps.gov.ph/GEPSNONPILOT/Tender/SplashBidNoticeAbstractUI.aspx?menuIndex=3&amp;refID=7047148&amp;Result=3","7047148")</f>
        <v>0</v>
      </c>
      <c r="B4744" t="s">
        <v>1662</v>
      </c>
      <c r="C4744" t="s">
        <v>7607</v>
      </c>
      <c r="D4744" t="s">
        <v>16204</v>
      </c>
      <c r="E4744" t="s">
        <v>20488</v>
      </c>
      <c r="F4744" t="s">
        <v>28198</v>
      </c>
      <c r="G4744" t="s">
        <v>28210</v>
      </c>
      <c r="H4744" t="s">
        <v>28215</v>
      </c>
      <c r="I4744" t="s">
        <v>28236</v>
      </c>
      <c r="J4744" t="s">
        <v>31374</v>
      </c>
      <c r="K4744" t="s">
        <v>36688</v>
      </c>
      <c r="M4744" t="s">
        <v>38756</v>
      </c>
      <c r="N4744" t="s">
        <v>40436</v>
      </c>
      <c r="O4744" t="s">
        <v>40437</v>
      </c>
      <c r="P4744">
        <v>0</v>
      </c>
      <c r="Q4744">
        <v>0</v>
      </c>
      <c r="R4744" t="s">
        <v>40439</v>
      </c>
      <c r="S4744" t="s">
        <v>40588</v>
      </c>
      <c r="T4744" t="s">
        <v>42180</v>
      </c>
      <c r="U4744" t="s">
        <v>46649</v>
      </c>
      <c r="W4744" t="s">
        <v>38756</v>
      </c>
      <c r="X4744" t="s">
        <v>40440</v>
      </c>
    </row>
    <row r="4745" spans="1:24">
      <c r="A4745">
        <f>HYPERLINK("https://www.philgeps.gov.ph/GEPSNONPILOT/Tender/SplashBidNoticeAbstractUI.aspx?menuIndex=3&amp;refID=7018755&amp;Result=3","7018755")</f>
        <v>0</v>
      </c>
      <c r="B4745" t="s">
        <v>1667</v>
      </c>
      <c r="C4745" t="s">
        <v>7608</v>
      </c>
      <c r="D4745" t="s">
        <v>16210</v>
      </c>
      <c r="E4745" t="s">
        <v>16350</v>
      </c>
      <c r="F4745" t="s">
        <v>28200</v>
      </c>
      <c r="G4745" t="s">
        <v>28207</v>
      </c>
      <c r="H4745" t="s">
        <v>28214</v>
      </c>
      <c r="I4745" t="s">
        <v>3797</v>
      </c>
      <c r="J4745" t="s">
        <v>28404</v>
      </c>
      <c r="K4745" t="s">
        <v>36701</v>
      </c>
      <c r="M4745" t="s">
        <v>38762</v>
      </c>
      <c r="N4745" t="s">
        <v>40436</v>
      </c>
      <c r="O4745" t="s">
        <v>40437</v>
      </c>
      <c r="P4745">
        <v>0</v>
      </c>
      <c r="Q4745">
        <v>5</v>
      </c>
      <c r="R4745" t="s">
        <v>40440</v>
      </c>
      <c r="S4745" t="s">
        <v>40603</v>
      </c>
      <c r="T4745" t="s">
        <v>42159</v>
      </c>
      <c r="U4745" t="s">
        <v>46665</v>
      </c>
      <c r="W4745" t="s">
        <v>38762</v>
      </c>
      <c r="X4745" t="s">
        <v>40456</v>
      </c>
    </row>
    <row r="4746" spans="1:24">
      <c r="A4746">
        <f>HYPERLINK("https://www.philgeps.gov.ph/GEPSNONPILOT/Tender/SplashBidNoticeAbstractUI.aspx?menuIndex=3&amp;refID=7017395&amp;Result=3","7017395")</f>
        <v>0</v>
      </c>
      <c r="B4746" t="s">
        <v>1668</v>
      </c>
      <c r="C4746" t="s">
        <v>7609</v>
      </c>
      <c r="D4746" t="s">
        <v>16193</v>
      </c>
      <c r="E4746" t="s">
        <v>20489</v>
      </c>
      <c r="F4746" t="s">
        <v>28198</v>
      </c>
      <c r="G4746" t="s">
        <v>28205</v>
      </c>
      <c r="H4746" t="s">
        <v>28214</v>
      </c>
      <c r="I4746" t="s">
        <v>3797</v>
      </c>
      <c r="J4746" t="s">
        <v>31375</v>
      </c>
      <c r="K4746" t="s">
        <v>36761</v>
      </c>
      <c r="M4746" t="s">
        <v>38763</v>
      </c>
      <c r="N4746" t="s">
        <v>40436</v>
      </c>
      <c r="O4746" t="s">
        <v>40437</v>
      </c>
      <c r="P4746">
        <v>0</v>
      </c>
      <c r="Q4746">
        <v>0</v>
      </c>
      <c r="R4746" t="s">
        <v>40440</v>
      </c>
      <c r="S4746" t="s">
        <v>40603</v>
      </c>
      <c r="T4746" t="s">
        <v>42135</v>
      </c>
      <c r="U4746" t="s">
        <v>46666</v>
      </c>
      <c r="V4746" t="s">
        <v>54249</v>
      </c>
      <c r="W4746" t="s">
        <v>38763</v>
      </c>
      <c r="X4746" t="s">
        <v>40457</v>
      </c>
    </row>
    <row r="4747" spans="1:24">
      <c r="A4747">
        <f>HYPERLINK("https://www.philgeps.gov.ph/GEPSNONPILOT/Tender/SplashBidNoticeAbstractUI.aspx?menuIndex=3&amp;refID=6938950&amp;Result=3","6938950")</f>
        <v>0</v>
      </c>
      <c r="B4747" t="s">
        <v>785</v>
      </c>
      <c r="C4747" t="s">
        <v>7610</v>
      </c>
      <c r="E4747" t="s">
        <v>20490</v>
      </c>
      <c r="F4747" t="s">
        <v>28198</v>
      </c>
      <c r="G4747" t="s">
        <v>28205</v>
      </c>
      <c r="H4747" t="s">
        <v>28215</v>
      </c>
      <c r="I4747" t="s">
        <v>28220</v>
      </c>
      <c r="J4747" t="s">
        <v>28561</v>
      </c>
      <c r="K4747" t="s">
        <v>36689</v>
      </c>
      <c r="M4747" t="s">
        <v>37790</v>
      </c>
      <c r="N4747" t="s">
        <v>40436</v>
      </c>
      <c r="O4747" t="s">
        <v>40437</v>
      </c>
      <c r="P4747">
        <v>0</v>
      </c>
      <c r="Q4747">
        <v>10</v>
      </c>
      <c r="R4747" t="s">
        <v>40440</v>
      </c>
      <c r="S4747" t="s">
        <v>40603</v>
      </c>
      <c r="T4747" t="s">
        <v>42248</v>
      </c>
      <c r="U4747" t="s">
        <v>46667</v>
      </c>
      <c r="W4747" t="s">
        <v>37790</v>
      </c>
      <c r="X4747" t="s">
        <v>40511</v>
      </c>
    </row>
    <row r="4748" spans="1:24">
      <c r="A4748">
        <f>HYPERLINK("https://www.philgeps.gov.ph/GEPSNONPILOT/Tender/SplashBidNoticeAbstractUI.aspx?menuIndex=3&amp;refID=7025885&amp;Result=3","7025885")</f>
        <v>0</v>
      </c>
      <c r="B4748" t="s">
        <v>1669</v>
      </c>
      <c r="C4748" t="s">
        <v>7611</v>
      </c>
      <c r="D4748" t="s">
        <v>16192</v>
      </c>
      <c r="E4748" t="s">
        <v>20491</v>
      </c>
      <c r="F4748" t="s">
        <v>28198</v>
      </c>
      <c r="G4748" t="s">
        <v>28207</v>
      </c>
      <c r="H4748" t="s">
        <v>28215</v>
      </c>
      <c r="I4748" t="s">
        <v>3422</v>
      </c>
      <c r="J4748" t="s">
        <v>28594</v>
      </c>
      <c r="K4748" t="s">
        <v>36689</v>
      </c>
      <c r="M4748" t="s">
        <v>38764</v>
      </c>
      <c r="N4748" t="s">
        <v>40436</v>
      </c>
      <c r="O4748" t="s">
        <v>40437</v>
      </c>
      <c r="P4748">
        <v>0</v>
      </c>
      <c r="Q4748">
        <v>0</v>
      </c>
      <c r="R4748" t="s">
        <v>40440</v>
      </c>
      <c r="S4748" t="s">
        <v>40603</v>
      </c>
      <c r="T4748" t="s">
        <v>42205</v>
      </c>
      <c r="U4748" t="s">
        <v>46668</v>
      </c>
      <c r="W4748" t="s">
        <v>38764</v>
      </c>
      <c r="X4748" t="s">
        <v>40452</v>
      </c>
    </row>
    <row r="4749" spans="1:24">
      <c r="A4749">
        <f>HYPERLINK("https://www.philgeps.gov.ph/GEPSNONPILOT/Tender/SplashBidNoticeAbstractUI.aspx?menuIndex=3&amp;refID=7003765&amp;Result=3","7003765")</f>
        <v>0</v>
      </c>
      <c r="B4749" t="s">
        <v>1670</v>
      </c>
      <c r="C4749" t="s">
        <v>7612</v>
      </c>
      <c r="D4749" t="s">
        <v>16258</v>
      </c>
      <c r="E4749" t="s">
        <v>20492</v>
      </c>
      <c r="F4749" t="s">
        <v>28198</v>
      </c>
      <c r="G4749" t="s">
        <v>28205</v>
      </c>
      <c r="H4749" t="s">
        <v>28215</v>
      </c>
      <c r="I4749" t="s">
        <v>28234</v>
      </c>
      <c r="J4749" t="s">
        <v>29401</v>
      </c>
      <c r="K4749" t="s">
        <v>36706</v>
      </c>
      <c r="M4749" t="s">
        <v>38765</v>
      </c>
      <c r="N4749" t="s">
        <v>40436</v>
      </c>
      <c r="O4749" t="s">
        <v>40437</v>
      </c>
      <c r="P4749">
        <v>0</v>
      </c>
      <c r="Q4749">
        <v>0</v>
      </c>
      <c r="R4749" t="s">
        <v>40440</v>
      </c>
      <c r="S4749" t="s">
        <v>40603</v>
      </c>
      <c r="T4749" t="s">
        <v>42124</v>
      </c>
      <c r="U4749" t="s">
        <v>46669</v>
      </c>
      <c r="V4749" t="s">
        <v>54250</v>
      </c>
      <c r="W4749" t="s">
        <v>38765</v>
      </c>
      <c r="X4749" t="s">
        <v>40465</v>
      </c>
    </row>
    <row r="4750" spans="1:24">
      <c r="A4750">
        <f>HYPERLINK("https://www.philgeps.gov.ph/GEPSNONPILOT/Tender/SplashBidNoticeAbstractUI.aspx?menuIndex=3&amp;refID=7021346&amp;Result=3","7021346")</f>
        <v>0</v>
      </c>
      <c r="B4750" t="s">
        <v>1671</v>
      </c>
      <c r="C4750" t="s">
        <v>7613</v>
      </c>
      <c r="D4750" t="s">
        <v>16210</v>
      </c>
      <c r="E4750" t="s">
        <v>16473</v>
      </c>
      <c r="F4750" t="s">
        <v>28198</v>
      </c>
      <c r="G4750" t="s">
        <v>28206</v>
      </c>
      <c r="H4750" t="s">
        <v>28215</v>
      </c>
      <c r="I4750" t="s">
        <v>5100</v>
      </c>
      <c r="J4750" t="s">
        <v>28345</v>
      </c>
      <c r="K4750" t="s">
        <v>36693</v>
      </c>
      <c r="M4750" t="s">
        <v>38766</v>
      </c>
      <c r="N4750" t="s">
        <v>40436</v>
      </c>
      <c r="O4750" t="s">
        <v>40437</v>
      </c>
      <c r="P4750">
        <v>0</v>
      </c>
      <c r="Q4750">
        <v>3</v>
      </c>
      <c r="R4750" t="s">
        <v>40440</v>
      </c>
      <c r="S4750" t="s">
        <v>40603</v>
      </c>
      <c r="T4750" t="s">
        <v>42131</v>
      </c>
      <c r="U4750" t="s">
        <v>46670</v>
      </c>
      <c r="W4750" t="s">
        <v>38766</v>
      </c>
      <c r="X4750" t="s">
        <v>40454</v>
      </c>
    </row>
    <row r="4751" spans="1:24">
      <c r="A4751">
        <f>HYPERLINK("https://www.philgeps.gov.ph/GEPSNONPILOT/Tender/SplashBidNoticeAbstractUI.aspx?menuIndex=3&amp;refID=6938960&amp;Result=3","6938960")</f>
        <v>0</v>
      </c>
      <c r="B4751" t="s">
        <v>785</v>
      </c>
      <c r="C4751" t="s">
        <v>7614</v>
      </c>
      <c r="E4751" t="s">
        <v>20493</v>
      </c>
      <c r="F4751" t="s">
        <v>28198</v>
      </c>
      <c r="G4751" t="s">
        <v>28205</v>
      </c>
      <c r="H4751" t="s">
        <v>28215</v>
      </c>
      <c r="I4751" t="s">
        <v>28220</v>
      </c>
      <c r="J4751" t="s">
        <v>28363</v>
      </c>
      <c r="K4751" t="s">
        <v>36689</v>
      </c>
      <c r="M4751" t="s">
        <v>37790</v>
      </c>
      <c r="N4751" t="s">
        <v>40436</v>
      </c>
      <c r="O4751" t="s">
        <v>40437</v>
      </c>
      <c r="P4751">
        <v>0</v>
      </c>
      <c r="Q4751">
        <v>19</v>
      </c>
      <c r="R4751" t="s">
        <v>40440</v>
      </c>
      <c r="S4751" t="s">
        <v>40603</v>
      </c>
      <c r="T4751" t="s">
        <v>42248</v>
      </c>
      <c r="U4751" t="s">
        <v>46667</v>
      </c>
      <c r="W4751" t="s">
        <v>37790</v>
      </c>
      <c r="X4751" t="s">
        <v>40511</v>
      </c>
    </row>
    <row r="4752" spans="1:24">
      <c r="A4752">
        <f>HYPERLINK("https://www.philgeps.gov.ph/GEPSNONPILOT/Tender/SplashBidNoticeAbstractUI.aspx?menuIndex=3&amp;refID=7025930&amp;Result=3","7025930")</f>
        <v>0</v>
      </c>
      <c r="B4752" t="s">
        <v>1669</v>
      </c>
      <c r="C4752" t="s">
        <v>7615</v>
      </c>
      <c r="D4752" t="s">
        <v>16192</v>
      </c>
      <c r="E4752" t="s">
        <v>20494</v>
      </c>
      <c r="F4752" t="s">
        <v>28198</v>
      </c>
      <c r="G4752" t="s">
        <v>28206</v>
      </c>
      <c r="H4752" t="s">
        <v>28215</v>
      </c>
      <c r="I4752" t="s">
        <v>3774</v>
      </c>
      <c r="J4752" t="s">
        <v>31376</v>
      </c>
      <c r="K4752" t="s">
        <v>36689</v>
      </c>
      <c r="M4752" t="s">
        <v>38764</v>
      </c>
      <c r="N4752" t="s">
        <v>40436</v>
      </c>
      <c r="O4752" t="s">
        <v>40437</v>
      </c>
      <c r="P4752">
        <v>0</v>
      </c>
      <c r="Q4752">
        <v>1</v>
      </c>
      <c r="R4752" t="s">
        <v>40440</v>
      </c>
      <c r="S4752" t="s">
        <v>40603</v>
      </c>
      <c r="T4752" t="s">
        <v>42205</v>
      </c>
      <c r="U4752" t="s">
        <v>46671</v>
      </c>
      <c r="W4752" t="s">
        <v>38764</v>
      </c>
      <c r="X4752" t="s">
        <v>40452</v>
      </c>
    </row>
    <row r="4753" spans="1:24">
      <c r="A4753">
        <f>HYPERLINK("https://www.philgeps.gov.ph/GEPSNONPILOT/Tender/SplashBidNoticeAbstractUI.aspx?menuIndex=3&amp;refID=6938942&amp;Result=3","6938942")</f>
        <v>0</v>
      </c>
      <c r="B4753" t="s">
        <v>785</v>
      </c>
      <c r="C4753" t="s">
        <v>7616</v>
      </c>
      <c r="E4753" t="s">
        <v>20495</v>
      </c>
      <c r="F4753" t="s">
        <v>28198</v>
      </c>
      <c r="G4753" t="s">
        <v>28205</v>
      </c>
      <c r="H4753" t="s">
        <v>28215</v>
      </c>
      <c r="I4753" t="s">
        <v>28256</v>
      </c>
      <c r="J4753" t="s">
        <v>29763</v>
      </c>
      <c r="K4753" t="s">
        <v>36689</v>
      </c>
      <c r="M4753" t="s">
        <v>37790</v>
      </c>
      <c r="N4753" t="s">
        <v>40436</v>
      </c>
      <c r="O4753" t="s">
        <v>40437</v>
      </c>
      <c r="P4753">
        <v>0</v>
      </c>
      <c r="Q4753">
        <v>16</v>
      </c>
      <c r="R4753" t="s">
        <v>40440</v>
      </c>
      <c r="S4753" t="s">
        <v>40603</v>
      </c>
      <c r="T4753" t="s">
        <v>42248</v>
      </c>
      <c r="U4753" t="s">
        <v>46667</v>
      </c>
      <c r="W4753" t="s">
        <v>37790</v>
      </c>
      <c r="X4753" t="s">
        <v>40511</v>
      </c>
    </row>
    <row r="4754" spans="1:24">
      <c r="A4754">
        <f>HYPERLINK("https://www.philgeps.gov.ph/GEPSNONPILOT/Tender/SplashBidNoticeAbstractUI.aspx?menuIndex=3&amp;refID=7025973&amp;Result=3","7025973")</f>
        <v>0</v>
      </c>
      <c r="B4754" t="s">
        <v>1669</v>
      </c>
      <c r="C4754" t="s">
        <v>7617</v>
      </c>
      <c r="D4754" t="s">
        <v>16192</v>
      </c>
      <c r="E4754" t="s">
        <v>20496</v>
      </c>
      <c r="F4754" t="s">
        <v>28198</v>
      </c>
      <c r="G4754" t="s">
        <v>28207</v>
      </c>
      <c r="H4754" t="s">
        <v>28215</v>
      </c>
      <c r="I4754" t="s">
        <v>4200</v>
      </c>
      <c r="J4754" t="s">
        <v>28378</v>
      </c>
      <c r="K4754" t="s">
        <v>36689</v>
      </c>
      <c r="M4754" t="s">
        <v>38764</v>
      </c>
      <c r="N4754" t="s">
        <v>40436</v>
      </c>
      <c r="O4754" t="s">
        <v>40437</v>
      </c>
      <c r="P4754">
        <v>0</v>
      </c>
      <c r="Q4754">
        <v>0</v>
      </c>
      <c r="R4754" t="s">
        <v>40440</v>
      </c>
      <c r="S4754" t="s">
        <v>40603</v>
      </c>
      <c r="T4754" t="s">
        <v>42205</v>
      </c>
      <c r="U4754" t="s">
        <v>46671</v>
      </c>
      <c r="W4754" t="s">
        <v>38764</v>
      </c>
      <c r="X4754" t="s">
        <v>40452</v>
      </c>
    </row>
    <row r="4755" spans="1:24">
      <c r="A4755">
        <f>HYPERLINK("https://www.philgeps.gov.ph/GEPSNONPILOT/Tender/SplashBidNoticeAbstractUI.aspx?menuIndex=3&amp;refID=7025858&amp;Result=3","7025858")</f>
        <v>0</v>
      </c>
      <c r="B4755" t="s">
        <v>1669</v>
      </c>
      <c r="C4755" t="s">
        <v>7618</v>
      </c>
      <c r="D4755" t="s">
        <v>16192</v>
      </c>
      <c r="E4755" t="s">
        <v>20497</v>
      </c>
      <c r="F4755" t="s">
        <v>28198</v>
      </c>
      <c r="G4755" t="s">
        <v>28210</v>
      </c>
      <c r="H4755" t="s">
        <v>28215</v>
      </c>
      <c r="I4755" t="s">
        <v>4219</v>
      </c>
      <c r="J4755" t="s">
        <v>31377</v>
      </c>
      <c r="K4755" t="s">
        <v>36689</v>
      </c>
      <c r="M4755" t="s">
        <v>38764</v>
      </c>
      <c r="N4755" t="s">
        <v>40436</v>
      </c>
      <c r="O4755" t="s">
        <v>40437</v>
      </c>
      <c r="P4755">
        <v>0</v>
      </c>
      <c r="Q4755">
        <v>0</v>
      </c>
      <c r="R4755" t="s">
        <v>40440</v>
      </c>
      <c r="S4755" t="s">
        <v>40603</v>
      </c>
      <c r="T4755" t="s">
        <v>42205</v>
      </c>
      <c r="U4755" t="s">
        <v>46668</v>
      </c>
      <c r="W4755" t="s">
        <v>38764</v>
      </c>
      <c r="X4755" t="s">
        <v>40452</v>
      </c>
    </row>
    <row r="4756" spans="1:24">
      <c r="A4756">
        <f>HYPERLINK("https://www.philgeps.gov.ph/GEPSNONPILOT/Tender/SplashBidNoticeAbstractUI.aspx?menuIndex=3&amp;refID=7026039&amp;Result=3","7026039")</f>
        <v>0</v>
      </c>
      <c r="B4756" t="s">
        <v>1669</v>
      </c>
      <c r="C4756" t="s">
        <v>7619</v>
      </c>
      <c r="D4756" t="s">
        <v>16192</v>
      </c>
      <c r="E4756" t="s">
        <v>20498</v>
      </c>
      <c r="F4756" t="s">
        <v>28198</v>
      </c>
      <c r="G4756" t="s">
        <v>28207</v>
      </c>
      <c r="H4756" t="s">
        <v>28215</v>
      </c>
      <c r="I4756" t="s">
        <v>4200</v>
      </c>
      <c r="J4756" t="s">
        <v>30262</v>
      </c>
      <c r="K4756" t="s">
        <v>36689</v>
      </c>
      <c r="M4756" t="s">
        <v>38764</v>
      </c>
      <c r="N4756" t="s">
        <v>40436</v>
      </c>
      <c r="O4756" t="s">
        <v>40437</v>
      </c>
      <c r="P4756">
        <v>0</v>
      </c>
      <c r="Q4756">
        <v>1</v>
      </c>
      <c r="R4756" t="s">
        <v>40440</v>
      </c>
      <c r="S4756" t="s">
        <v>40603</v>
      </c>
      <c r="T4756" t="s">
        <v>42205</v>
      </c>
      <c r="U4756" t="s">
        <v>46672</v>
      </c>
      <c r="W4756" t="s">
        <v>38764</v>
      </c>
      <c r="X4756" t="s">
        <v>40452</v>
      </c>
    </row>
    <row r="4757" spans="1:24">
      <c r="A4757">
        <f>HYPERLINK("https://www.philgeps.gov.ph/GEPSNONPILOT/Tender/SplashBidNoticeAbstractUI.aspx?menuIndex=3&amp;refID=7025906&amp;Result=3","7025906")</f>
        <v>0</v>
      </c>
      <c r="B4757" t="s">
        <v>1669</v>
      </c>
      <c r="C4757" t="s">
        <v>7620</v>
      </c>
      <c r="D4757" t="s">
        <v>16192</v>
      </c>
      <c r="E4757" t="s">
        <v>20499</v>
      </c>
      <c r="F4757" t="s">
        <v>28198</v>
      </c>
      <c r="G4757" t="s">
        <v>28207</v>
      </c>
      <c r="H4757" t="s">
        <v>28215</v>
      </c>
      <c r="I4757" t="s">
        <v>4200</v>
      </c>
      <c r="J4757" t="s">
        <v>31378</v>
      </c>
      <c r="K4757" t="s">
        <v>36689</v>
      </c>
      <c r="M4757" t="s">
        <v>38764</v>
      </c>
      <c r="N4757" t="s">
        <v>40436</v>
      </c>
      <c r="O4757" t="s">
        <v>40437</v>
      </c>
      <c r="P4757">
        <v>0</v>
      </c>
      <c r="Q4757">
        <v>0</v>
      </c>
      <c r="R4757" t="s">
        <v>40440</v>
      </c>
      <c r="S4757" t="s">
        <v>40603</v>
      </c>
      <c r="T4757" t="s">
        <v>42205</v>
      </c>
      <c r="U4757" t="s">
        <v>46673</v>
      </c>
      <c r="W4757" t="s">
        <v>38764</v>
      </c>
      <c r="X4757" t="s">
        <v>40452</v>
      </c>
    </row>
    <row r="4758" spans="1:24">
      <c r="A4758">
        <f>HYPERLINK("https://www.philgeps.gov.ph/GEPSNONPILOT/Tender/SplashBidNoticeAbstractUI.aspx?menuIndex=3&amp;refID=7028693&amp;Result=3","7028693")</f>
        <v>0</v>
      </c>
      <c r="B4758" t="s">
        <v>1237</v>
      </c>
      <c r="C4758" t="s">
        <v>3134</v>
      </c>
      <c r="E4758" t="s">
        <v>20500</v>
      </c>
      <c r="F4758" t="s">
        <v>28198</v>
      </c>
      <c r="G4758" t="s">
        <v>28205</v>
      </c>
      <c r="H4758" t="s">
        <v>28214</v>
      </c>
      <c r="I4758" t="s">
        <v>3797</v>
      </c>
      <c r="J4758" t="s">
        <v>28345</v>
      </c>
      <c r="K4758" t="s">
        <v>36702</v>
      </c>
      <c r="M4758" t="s">
        <v>38286</v>
      </c>
      <c r="N4758" t="s">
        <v>40436</v>
      </c>
      <c r="O4758" t="s">
        <v>40437</v>
      </c>
      <c r="P4758">
        <v>0</v>
      </c>
      <c r="Q4758">
        <v>0</v>
      </c>
      <c r="R4758" t="s">
        <v>40440</v>
      </c>
      <c r="S4758" t="s">
        <v>40603</v>
      </c>
      <c r="T4758" t="s">
        <v>42142</v>
      </c>
      <c r="U4758" t="s">
        <v>46674</v>
      </c>
      <c r="W4758" t="s">
        <v>38286</v>
      </c>
      <c r="X4758" t="s">
        <v>40451</v>
      </c>
    </row>
    <row r="4759" spans="1:24">
      <c r="A4759">
        <f>HYPERLINK("https://www.philgeps.gov.ph/GEPSNONPILOT/Tender/SplashBidNoticeAbstractUI.aspx?menuIndex=3&amp;refID=7026009&amp;Result=3","7026009")</f>
        <v>0</v>
      </c>
      <c r="B4759" t="s">
        <v>1669</v>
      </c>
      <c r="C4759" t="s">
        <v>7621</v>
      </c>
      <c r="D4759" t="s">
        <v>16192</v>
      </c>
      <c r="E4759" t="s">
        <v>20501</v>
      </c>
      <c r="F4759" t="s">
        <v>28198</v>
      </c>
      <c r="G4759" t="s">
        <v>28207</v>
      </c>
      <c r="H4759" t="s">
        <v>28215</v>
      </c>
      <c r="I4759" t="s">
        <v>8888</v>
      </c>
      <c r="J4759" t="s">
        <v>28361</v>
      </c>
      <c r="K4759" t="s">
        <v>36689</v>
      </c>
      <c r="M4759" t="s">
        <v>38764</v>
      </c>
      <c r="N4759" t="s">
        <v>40436</v>
      </c>
      <c r="O4759" t="s">
        <v>40437</v>
      </c>
      <c r="P4759">
        <v>0</v>
      </c>
      <c r="Q4759">
        <v>2</v>
      </c>
      <c r="R4759" t="s">
        <v>40440</v>
      </c>
      <c r="S4759" t="s">
        <v>40603</v>
      </c>
      <c r="T4759" t="s">
        <v>42205</v>
      </c>
      <c r="U4759" t="s">
        <v>46675</v>
      </c>
      <c r="W4759" t="s">
        <v>38764</v>
      </c>
      <c r="X4759" t="s">
        <v>40452</v>
      </c>
    </row>
    <row r="4760" spans="1:24">
      <c r="A4760">
        <f>HYPERLINK("https://www.philgeps.gov.ph/GEPSNONPILOT/Tender/SplashBidNoticeAbstractUI.aspx?menuIndex=3&amp;refID=7025955&amp;Result=3","7025955")</f>
        <v>0</v>
      </c>
      <c r="B4760" t="s">
        <v>1669</v>
      </c>
      <c r="C4760" t="s">
        <v>7622</v>
      </c>
      <c r="D4760" t="s">
        <v>16192</v>
      </c>
      <c r="E4760" t="s">
        <v>20502</v>
      </c>
      <c r="F4760" t="s">
        <v>28198</v>
      </c>
      <c r="G4760" t="s">
        <v>28207</v>
      </c>
      <c r="H4760" t="s">
        <v>28215</v>
      </c>
      <c r="I4760" t="s">
        <v>5791</v>
      </c>
      <c r="J4760" t="s">
        <v>31379</v>
      </c>
      <c r="K4760" t="s">
        <v>36689</v>
      </c>
      <c r="M4760" t="s">
        <v>38764</v>
      </c>
      <c r="N4760" t="s">
        <v>40436</v>
      </c>
      <c r="O4760" t="s">
        <v>40437</v>
      </c>
      <c r="P4760">
        <v>0</v>
      </c>
      <c r="Q4760">
        <v>0</v>
      </c>
      <c r="R4760" t="s">
        <v>40440</v>
      </c>
      <c r="S4760" t="s">
        <v>40603</v>
      </c>
      <c r="T4760" t="s">
        <v>42205</v>
      </c>
      <c r="U4760" t="s">
        <v>46676</v>
      </c>
      <c r="W4760" t="s">
        <v>38764</v>
      </c>
      <c r="X4760" t="s">
        <v>40452</v>
      </c>
    </row>
    <row r="4761" spans="1:24">
      <c r="A4761">
        <f>HYPERLINK("https://www.philgeps.gov.ph/GEPSNONPILOT/Tender/SplashBidNoticeAbstractUI.aspx?menuIndex=3&amp;refID=7027411&amp;Result=3","7027411")</f>
        <v>0</v>
      </c>
      <c r="B4761" t="s">
        <v>1672</v>
      </c>
      <c r="C4761" t="s">
        <v>7623</v>
      </c>
      <c r="D4761" t="s">
        <v>16192</v>
      </c>
      <c r="E4761" t="s">
        <v>17265</v>
      </c>
      <c r="F4761" t="s">
        <v>28198</v>
      </c>
      <c r="G4761" t="s">
        <v>28206</v>
      </c>
      <c r="H4761" t="s">
        <v>28215</v>
      </c>
      <c r="I4761" t="s">
        <v>4219</v>
      </c>
      <c r="J4761" t="s">
        <v>31380</v>
      </c>
      <c r="K4761" t="s">
        <v>36688</v>
      </c>
      <c r="M4761" t="s">
        <v>38767</v>
      </c>
      <c r="N4761" t="s">
        <v>40436</v>
      </c>
      <c r="O4761" t="s">
        <v>40437</v>
      </c>
      <c r="P4761">
        <v>0</v>
      </c>
      <c r="Q4761">
        <v>2</v>
      </c>
      <c r="R4761" t="s">
        <v>40440</v>
      </c>
      <c r="S4761" t="s">
        <v>40603</v>
      </c>
      <c r="T4761" t="s">
        <v>42205</v>
      </c>
      <c r="U4761" t="s">
        <v>46677</v>
      </c>
      <c r="W4761" t="s">
        <v>38767</v>
      </c>
      <c r="X4761" t="s">
        <v>40451</v>
      </c>
    </row>
    <row r="4762" spans="1:24">
      <c r="A4762">
        <f>HYPERLINK("https://www.philgeps.gov.ph/GEPSNONPILOT/Tender/SplashBidNoticeAbstractUI.aspx?menuIndex=3&amp;refID=7029810&amp;Result=3","7029810")</f>
        <v>0</v>
      </c>
      <c r="B4762" t="s">
        <v>1673</v>
      </c>
      <c r="C4762" t="s">
        <v>4670</v>
      </c>
      <c r="D4762" t="s">
        <v>16251</v>
      </c>
      <c r="E4762" t="s">
        <v>20503</v>
      </c>
      <c r="F4762" t="s">
        <v>28198</v>
      </c>
      <c r="G4762" t="s">
        <v>28205</v>
      </c>
      <c r="H4762" t="s">
        <v>28214</v>
      </c>
      <c r="I4762" t="s">
        <v>3797</v>
      </c>
      <c r="J4762" t="s">
        <v>31381</v>
      </c>
      <c r="K4762" t="s">
        <v>36697</v>
      </c>
      <c r="M4762" t="s">
        <v>38768</v>
      </c>
      <c r="N4762" t="s">
        <v>40436</v>
      </c>
      <c r="O4762" t="s">
        <v>40437</v>
      </c>
      <c r="P4762">
        <v>0</v>
      </c>
      <c r="Q4762">
        <v>2</v>
      </c>
      <c r="R4762" t="s">
        <v>40440</v>
      </c>
      <c r="S4762" t="s">
        <v>40603</v>
      </c>
      <c r="T4762" t="s">
        <v>42299</v>
      </c>
      <c r="U4762" t="s">
        <v>46678</v>
      </c>
      <c r="W4762" t="s">
        <v>38768</v>
      </c>
      <c r="X4762" t="s">
        <v>40450</v>
      </c>
    </row>
    <row r="4763" spans="1:24">
      <c r="A4763">
        <f>HYPERLINK("https://www.philgeps.gov.ph/GEPSNONPILOT/Tender/SplashBidNoticeAbstractUI.aspx?menuIndex=3&amp;refID=7028722&amp;Result=3","7028722")</f>
        <v>0</v>
      </c>
      <c r="B4763" t="s">
        <v>1237</v>
      </c>
      <c r="C4763" t="s">
        <v>3134</v>
      </c>
      <c r="E4763" t="s">
        <v>20504</v>
      </c>
      <c r="F4763" t="s">
        <v>28198</v>
      </c>
      <c r="G4763" t="s">
        <v>28205</v>
      </c>
      <c r="H4763" t="s">
        <v>28214</v>
      </c>
      <c r="I4763" t="s">
        <v>3797</v>
      </c>
      <c r="J4763" t="s">
        <v>28362</v>
      </c>
      <c r="K4763" t="s">
        <v>36707</v>
      </c>
      <c r="M4763" t="s">
        <v>38286</v>
      </c>
      <c r="N4763" t="s">
        <v>40436</v>
      </c>
      <c r="O4763" t="s">
        <v>40437</v>
      </c>
      <c r="P4763">
        <v>0</v>
      </c>
      <c r="Q4763">
        <v>0</v>
      </c>
      <c r="R4763" t="s">
        <v>40440</v>
      </c>
      <c r="S4763" t="s">
        <v>40603</v>
      </c>
      <c r="T4763" t="s">
        <v>42142</v>
      </c>
      <c r="U4763" t="s">
        <v>46679</v>
      </c>
      <c r="W4763" t="s">
        <v>38286</v>
      </c>
      <c r="X4763" t="s">
        <v>40451</v>
      </c>
    </row>
    <row r="4764" spans="1:24">
      <c r="A4764">
        <f>HYPERLINK("https://www.philgeps.gov.ph/GEPSNONPILOT/Tender/SplashBidNoticeAbstractUI.aspx?menuIndex=3&amp;refID=7029815&amp;Result=3","7029815")</f>
        <v>0</v>
      </c>
      <c r="B4764" t="s">
        <v>1673</v>
      </c>
      <c r="C4764" t="s">
        <v>7624</v>
      </c>
      <c r="D4764" t="s">
        <v>16251</v>
      </c>
      <c r="E4764" t="s">
        <v>20505</v>
      </c>
      <c r="F4764" t="s">
        <v>28198</v>
      </c>
      <c r="G4764" t="s">
        <v>28205</v>
      </c>
      <c r="H4764" t="s">
        <v>28214</v>
      </c>
      <c r="I4764" t="s">
        <v>3797</v>
      </c>
      <c r="J4764" t="s">
        <v>31382</v>
      </c>
      <c r="K4764" t="s">
        <v>36737</v>
      </c>
      <c r="M4764" t="s">
        <v>38768</v>
      </c>
      <c r="N4764" t="s">
        <v>40436</v>
      </c>
      <c r="O4764" t="s">
        <v>40437</v>
      </c>
      <c r="P4764">
        <v>0</v>
      </c>
      <c r="Q4764">
        <v>1</v>
      </c>
      <c r="R4764" t="s">
        <v>40440</v>
      </c>
      <c r="S4764" t="s">
        <v>40603</v>
      </c>
      <c r="T4764" t="s">
        <v>42299</v>
      </c>
      <c r="U4764" t="s">
        <v>46680</v>
      </c>
      <c r="W4764" t="s">
        <v>38768</v>
      </c>
      <c r="X4764" t="s">
        <v>40450</v>
      </c>
    </row>
    <row r="4765" spans="1:24">
      <c r="A4765">
        <f>HYPERLINK("https://www.philgeps.gov.ph/GEPSNONPILOT/Tender/SplashBidNoticeAbstractUI.aspx?menuIndex=3&amp;refID=7034806&amp;Result=3","7034806")</f>
        <v>0</v>
      </c>
      <c r="B4765" t="s">
        <v>64</v>
      </c>
      <c r="C4765" t="s">
        <v>7625</v>
      </c>
      <c r="E4765" t="s">
        <v>20506</v>
      </c>
      <c r="F4765" t="s">
        <v>28198</v>
      </c>
      <c r="G4765" t="s">
        <v>28205</v>
      </c>
      <c r="H4765" t="s">
        <v>28215</v>
      </c>
      <c r="I4765" t="s">
        <v>3774</v>
      </c>
      <c r="J4765" t="s">
        <v>31383</v>
      </c>
      <c r="K4765" t="s">
        <v>36687</v>
      </c>
      <c r="M4765" t="s">
        <v>37035</v>
      </c>
      <c r="N4765" t="s">
        <v>40436</v>
      </c>
      <c r="O4765" t="s">
        <v>40437</v>
      </c>
      <c r="P4765">
        <v>0</v>
      </c>
      <c r="Q4765">
        <v>0</v>
      </c>
      <c r="R4765" t="s">
        <v>40440</v>
      </c>
      <c r="S4765" t="s">
        <v>40603</v>
      </c>
      <c r="T4765" t="s">
        <v>42179</v>
      </c>
      <c r="U4765" t="s">
        <v>46681</v>
      </c>
      <c r="W4765" t="s">
        <v>37035</v>
      </c>
      <c r="X4765" t="s">
        <v>40447</v>
      </c>
    </row>
    <row r="4766" spans="1:24">
      <c r="A4766">
        <f>HYPERLINK("https://www.philgeps.gov.ph/GEPSNONPILOT/Tender/SplashBidNoticeAbstractUI.aspx?menuIndex=3&amp;refID=7029812&amp;Result=3","7029812")</f>
        <v>0</v>
      </c>
      <c r="B4766" t="s">
        <v>1673</v>
      </c>
      <c r="C4766" t="s">
        <v>7626</v>
      </c>
      <c r="D4766" t="s">
        <v>16251</v>
      </c>
      <c r="E4766" t="s">
        <v>20507</v>
      </c>
      <c r="F4766" t="s">
        <v>28198</v>
      </c>
      <c r="G4766" t="s">
        <v>28205</v>
      </c>
      <c r="H4766" t="s">
        <v>28214</v>
      </c>
      <c r="I4766" t="s">
        <v>3797</v>
      </c>
      <c r="J4766" t="s">
        <v>31384</v>
      </c>
      <c r="K4766" t="s">
        <v>36694</v>
      </c>
      <c r="M4766" t="s">
        <v>38768</v>
      </c>
      <c r="N4766" t="s">
        <v>40436</v>
      </c>
      <c r="O4766" t="s">
        <v>40437</v>
      </c>
      <c r="P4766">
        <v>0</v>
      </c>
      <c r="Q4766">
        <v>1</v>
      </c>
      <c r="R4766" t="s">
        <v>40440</v>
      </c>
      <c r="S4766" t="s">
        <v>40603</v>
      </c>
      <c r="T4766" t="s">
        <v>42299</v>
      </c>
      <c r="U4766" t="s">
        <v>46682</v>
      </c>
      <c r="W4766" t="s">
        <v>38768</v>
      </c>
      <c r="X4766" t="s">
        <v>40450</v>
      </c>
    </row>
    <row r="4767" spans="1:24">
      <c r="A4767">
        <f>HYPERLINK("https://www.philgeps.gov.ph/GEPSNONPILOT/Tender/SplashBidNoticeAbstractUI.aspx?menuIndex=3&amp;refID=7033928&amp;Result=3","7033928")</f>
        <v>0</v>
      </c>
      <c r="B4767" t="s">
        <v>1674</v>
      </c>
      <c r="C4767" t="s">
        <v>7627</v>
      </c>
      <c r="D4767" t="s">
        <v>16209</v>
      </c>
      <c r="E4767" t="s">
        <v>16322</v>
      </c>
      <c r="F4767" t="s">
        <v>28198</v>
      </c>
      <c r="G4767" t="s">
        <v>28210</v>
      </c>
      <c r="H4767" t="s">
        <v>28215</v>
      </c>
      <c r="I4767" t="s">
        <v>4321</v>
      </c>
      <c r="J4767" t="s">
        <v>28378</v>
      </c>
      <c r="K4767" t="s">
        <v>36691</v>
      </c>
      <c r="M4767" t="s">
        <v>38769</v>
      </c>
      <c r="N4767" t="s">
        <v>40436</v>
      </c>
      <c r="O4767" t="s">
        <v>40437</v>
      </c>
      <c r="P4767">
        <v>0</v>
      </c>
      <c r="Q4767">
        <v>1</v>
      </c>
      <c r="R4767" t="s">
        <v>40440</v>
      </c>
      <c r="S4767" t="s">
        <v>40603</v>
      </c>
      <c r="T4767" t="s">
        <v>42245</v>
      </c>
      <c r="U4767" t="s">
        <v>46683</v>
      </c>
      <c r="W4767" t="s">
        <v>38769</v>
      </c>
      <c r="X4767" t="s">
        <v>40447</v>
      </c>
    </row>
    <row r="4768" spans="1:24">
      <c r="A4768">
        <f>HYPERLINK("https://www.philgeps.gov.ph/GEPSNONPILOT/Tender/SplashBidNoticeAbstractUI.aspx?menuIndex=3&amp;refID=7032022&amp;Result=3","7032022")</f>
        <v>0</v>
      </c>
      <c r="B4768" t="s">
        <v>664</v>
      </c>
      <c r="C4768" t="s">
        <v>7628</v>
      </c>
      <c r="D4768" t="s">
        <v>16260</v>
      </c>
      <c r="E4768" t="s">
        <v>20508</v>
      </c>
      <c r="F4768" t="s">
        <v>28198</v>
      </c>
      <c r="G4768" t="s">
        <v>28205</v>
      </c>
      <c r="H4768" t="s">
        <v>28214</v>
      </c>
      <c r="I4768" t="s">
        <v>3797</v>
      </c>
      <c r="J4768" t="s">
        <v>31385</v>
      </c>
      <c r="K4768" t="s">
        <v>36800</v>
      </c>
      <c r="M4768" t="s">
        <v>38770</v>
      </c>
      <c r="N4768" t="s">
        <v>40436</v>
      </c>
      <c r="O4768" t="s">
        <v>40437</v>
      </c>
      <c r="P4768">
        <v>0</v>
      </c>
      <c r="Q4768">
        <v>3</v>
      </c>
      <c r="R4768" t="s">
        <v>40440</v>
      </c>
      <c r="S4768" t="s">
        <v>40603</v>
      </c>
      <c r="T4768" t="s">
        <v>42259</v>
      </c>
      <c r="U4768" t="s">
        <v>46684</v>
      </c>
      <c r="W4768" t="s">
        <v>38770</v>
      </c>
      <c r="X4768" t="s">
        <v>40449</v>
      </c>
    </row>
    <row r="4769" spans="1:24">
      <c r="A4769">
        <f>HYPERLINK("https://www.philgeps.gov.ph/GEPSNONPILOT/Tender/SplashBidNoticeAbstractUI.aspx?menuIndex=3&amp;refID=7029832&amp;Result=3","7029832")</f>
        <v>0</v>
      </c>
      <c r="B4769" t="s">
        <v>1675</v>
      </c>
      <c r="C4769" t="s">
        <v>7629</v>
      </c>
      <c r="D4769" t="s">
        <v>16197</v>
      </c>
      <c r="E4769" t="s">
        <v>20509</v>
      </c>
      <c r="F4769" t="s">
        <v>28198</v>
      </c>
      <c r="G4769" t="s">
        <v>28207</v>
      </c>
      <c r="H4769" t="s">
        <v>28215</v>
      </c>
      <c r="I4769" t="s">
        <v>5100</v>
      </c>
      <c r="J4769" t="s">
        <v>31386</v>
      </c>
      <c r="K4769" t="s">
        <v>36701</v>
      </c>
      <c r="M4769" t="s">
        <v>38771</v>
      </c>
      <c r="N4769" t="s">
        <v>40436</v>
      </c>
      <c r="O4769" t="s">
        <v>40437</v>
      </c>
      <c r="P4769">
        <v>0</v>
      </c>
      <c r="Q4769">
        <v>0</v>
      </c>
      <c r="R4769" t="s">
        <v>40440</v>
      </c>
      <c r="S4769" t="s">
        <v>40603</v>
      </c>
      <c r="T4769" t="s">
        <v>42124</v>
      </c>
      <c r="U4769" t="s">
        <v>46685</v>
      </c>
      <c r="W4769" t="s">
        <v>38771</v>
      </c>
      <c r="X4769" t="s">
        <v>40450</v>
      </c>
    </row>
    <row r="4770" spans="1:24">
      <c r="A4770">
        <f>HYPERLINK("https://www.philgeps.gov.ph/GEPSNONPILOT/Tender/SplashBidNoticeAbstractUI.aspx?menuIndex=3&amp;refID=7035500&amp;Result=3","7035500")</f>
        <v>0</v>
      </c>
      <c r="B4770" t="s">
        <v>1676</v>
      </c>
      <c r="C4770" t="s">
        <v>7630</v>
      </c>
      <c r="D4770" t="s">
        <v>16199</v>
      </c>
      <c r="E4770" t="s">
        <v>20510</v>
      </c>
      <c r="F4770" t="s">
        <v>28198</v>
      </c>
      <c r="G4770" t="s">
        <v>28205</v>
      </c>
      <c r="H4770" t="s">
        <v>28215</v>
      </c>
      <c r="I4770" t="s">
        <v>4321</v>
      </c>
      <c r="J4770" t="s">
        <v>28561</v>
      </c>
      <c r="K4770" t="s">
        <v>36689</v>
      </c>
      <c r="M4770" t="s">
        <v>38772</v>
      </c>
      <c r="N4770" t="s">
        <v>40436</v>
      </c>
      <c r="O4770" t="s">
        <v>40437</v>
      </c>
      <c r="P4770">
        <v>0</v>
      </c>
      <c r="Q4770">
        <v>0</v>
      </c>
      <c r="R4770" t="s">
        <v>40440</v>
      </c>
      <c r="S4770" t="s">
        <v>40603</v>
      </c>
      <c r="T4770" t="s">
        <v>42146</v>
      </c>
      <c r="U4770" t="s">
        <v>46686</v>
      </c>
      <c r="V4770" t="s">
        <v>54251</v>
      </c>
      <c r="W4770" t="s">
        <v>38772</v>
      </c>
      <c r="X4770" t="s">
        <v>40446</v>
      </c>
    </row>
    <row r="4771" spans="1:24">
      <c r="A4771">
        <f>HYPERLINK("https://www.philgeps.gov.ph/GEPSNONPILOT/Tender/SplashBidNoticeAbstractUI.aspx?menuIndex=3&amp;refID=7035625&amp;Result=3","7035625")</f>
        <v>0</v>
      </c>
      <c r="B4771" t="s">
        <v>34</v>
      </c>
      <c r="C4771" t="s">
        <v>7631</v>
      </c>
      <c r="D4771" t="s">
        <v>16195</v>
      </c>
      <c r="E4771" t="s">
        <v>20511</v>
      </c>
      <c r="F4771" t="s">
        <v>28198</v>
      </c>
      <c r="G4771" t="s">
        <v>28205</v>
      </c>
      <c r="H4771" t="s">
        <v>28215</v>
      </c>
      <c r="I4771" t="s">
        <v>8888</v>
      </c>
      <c r="J4771" t="s">
        <v>31387</v>
      </c>
      <c r="K4771" t="s">
        <v>36696</v>
      </c>
      <c r="M4771" t="s">
        <v>37015</v>
      </c>
      <c r="N4771" t="s">
        <v>40436</v>
      </c>
      <c r="O4771" t="s">
        <v>40437</v>
      </c>
      <c r="Q4771">
        <v>2</v>
      </c>
      <c r="R4771" t="s">
        <v>40440</v>
      </c>
      <c r="S4771" t="s">
        <v>40604</v>
      </c>
      <c r="T4771" t="s">
        <v>42179</v>
      </c>
      <c r="U4771" t="s">
        <v>46687</v>
      </c>
      <c r="V4771" t="s">
        <v>53779</v>
      </c>
      <c r="W4771" t="s">
        <v>37015</v>
      </c>
      <c r="X4771" t="s">
        <v>40446</v>
      </c>
    </row>
    <row r="4772" spans="1:24">
      <c r="A4772">
        <f>HYPERLINK("https://www.philgeps.gov.ph/GEPSNONPILOT/Tender/SplashBidNoticeAbstractUI.aspx?menuIndex=3&amp;refID=7034834&amp;Result=3","7034834")</f>
        <v>0</v>
      </c>
      <c r="B4772" t="s">
        <v>64</v>
      </c>
      <c r="C4772" t="s">
        <v>7632</v>
      </c>
      <c r="D4772" t="s">
        <v>16201</v>
      </c>
      <c r="E4772" t="s">
        <v>20512</v>
      </c>
      <c r="F4772" t="s">
        <v>28198</v>
      </c>
      <c r="G4772" t="s">
        <v>28205</v>
      </c>
      <c r="H4772" t="s">
        <v>28215</v>
      </c>
      <c r="I4772" t="s">
        <v>4168</v>
      </c>
      <c r="J4772" t="s">
        <v>28393</v>
      </c>
      <c r="K4772" t="s">
        <v>36687</v>
      </c>
      <c r="M4772" t="s">
        <v>37035</v>
      </c>
      <c r="N4772" t="s">
        <v>40436</v>
      </c>
      <c r="O4772" t="s">
        <v>40437</v>
      </c>
      <c r="P4772">
        <v>0</v>
      </c>
      <c r="Q4772">
        <v>5</v>
      </c>
      <c r="R4772" t="s">
        <v>40440</v>
      </c>
      <c r="S4772" t="s">
        <v>40603</v>
      </c>
      <c r="T4772" t="s">
        <v>42179</v>
      </c>
      <c r="U4772" t="s">
        <v>46681</v>
      </c>
      <c r="W4772" t="s">
        <v>37035</v>
      </c>
      <c r="X4772" t="s">
        <v>40447</v>
      </c>
    </row>
    <row r="4773" spans="1:24">
      <c r="A4773">
        <f>HYPERLINK("https://www.philgeps.gov.ph/GEPSNONPILOT/Tender/SplashBidNoticeAbstractUI.aspx?menuIndex=3&amp;refID=7035781&amp;Result=3","7035781")</f>
        <v>0</v>
      </c>
      <c r="B4773" t="s">
        <v>34</v>
      </c>
      <c r="C4773" t="s">
        <v>7633</v>
      </c>
      <c r="D4773" t="s">
        <v>16195</v>
      </c>
      <c r="E4773" t="s">
        <v>20513</v>
      </c>
      <c r="F4773" t="s">
        <v>28198</v>
      </c>
      <c r="G4773" t="s">
        <v>28205</v>
      </c>
      <c r="H4773" t="s">
        <v>28215</v>
      </c>
      <c r="I4773" t="s">
        <v>28225</v>
      </c>
      <c r="J4773" t="s">
        <v>31388</v>
      </c>
      <c r="K4773" t="s">
        <v>36696</v>
      </c>
      <c r="M4773" t="s">
        <v>37015</v>
      </c>
      <c r="N4773" t="s">
        <v>40436</v>
      </c>
      <c r="O4773" t="s">
        <v>40437</v>
      </c>
      <c r="Q4773">
        <v>7</v>
      </c>
      <c r="R4773" t="s">
        <v>40440</v>
      </c>
      <c r="S4773" t="s">
        <v>40605</v>
      </c>
      <c r="T4773" t="s">
        <v>42179</v>
      </c>
      <c r="U4773" t="s">
        <v>46688</v>
      </c>
      <c r="V4773" t="s">
        <v>53779</v>
      </c>
      <c r="W4773" t="s">
        <v>37015</v>
      </c>
      <c r="X4773" t="s">
        <v>40446</v>
      </c>
    </row>
    <row r="4774" spans="1:24">
      <c r="A4774">
        <f>HYPERLINK("https://www.philgeps.gov.ph/GEPSNONPILOT/Tender/SplashBidNoticeAbstractUI.aspx?menuIndex=3&amp;refID=7035532&amp;Result=3","7035532")</f>
        <v>0</v>
      </c>
      <c r="B4774" t="s">
        <v>1669</v>
      </c>
      <c r="C4774" t="s">
        <v>7634</v>
      </c>
      <c r="D4774" t="s">
        <v>16192</v>
      </c>
      <c r="E4774" t="s">
        <v>20514</v>
      </c>
      <c r="F4774" t="s">
        <v>28198</v>
      </c>
      <c r="G4774" t="s">
        <v>28207</v>
      </c>
      <c r="H4774" t="s">
        <v>28215</v>
      </c>
      <c r="I4774" t="s">
        <v>4200</v>
      </c>
      <c r="J4774" t="s">
        <v>31389</v>
      </c>
      <c r="K4774" t="s">
        <v>36689</v>
      </c>
      <c r="M4774" t="s">
        <v>38764</v>
      </c>
      <c r="N4774" t="s">
        <v>40436</v>
      </c>
      <c r="O4774" t="s">
        <v>40437</v>
      </c>
      <c r="P4774">
        <v>0</v>
      </c>
      <c r="Q4774">
        <v>0</v>
      </c>
      <c r="R4774" t="s">
        <v>40440</v>
      </c>
      <c r="S4774" t="s">
        <v>40603</v>
      </c>
      <c r="T4774" t="s">
        <v>42205</v>
      </c>
      <c r="U4774" t="s">
        <v>46689</v>
      </c>
      <c r="W4774" t="s">
        <v>38764</v>
      </c>
      <c r="X4774" t="s">
        <v>40446</v>
      </c>
    </row>
    <row r="4775" spans="1:24">
      <c r="A4775">
        <f>HYPERLINK("https://www.philgeps.gov.ph/GEPSNONPILOT/Tender/SplashBidNoticeAbstractUI.aspx?menuIndex=3&amp;refID=7034946&amp;Result=3","7034946")</f>
        <v>0</v>
      </c>
      <c r="B4775" t="s">
        <v>64</v>
      </c>
      <c r="C4775" t="s">
        <v>7635</v>
      </c>
      <c r="D4775" t="s">
        <v>16201</v>
      </c>
      <c r="E4775" t="s">
        <v>20515</v>
      </c>
      <c r="F4775" t="s">
        <v>28198</v>
      </c>
      <c r="G4775" t="s">
        <v>28205</v>
      </c>
      <c r="H4775" t="s">
        <v>28215</v>
      </c>
      <c r="I4775" t="s">
        <v>28234</v>
      </c>
      <c r="J4775" t="s">
        <v>31390</v>
      </c>
      <c r="K4775" t="s">
        <v>36687</v>
      </c>
      <c r="M4775" t="s">
        <v>37035</v>
      </c>
      <c r="N4775" t="s">
        <v>40436</v>
      </c>
      <c r="O4775" t="s">
        <v>40437</v>
      </c>
      <c r="P4775">
        <v>0</v>
      </c>
      <c r="Q4775">
        <v>1</v>
      </c>
      <c r="R4775" t="s">
        <v>40440</v>
      </c>
      <c r="S4775" t="s">
        <v>40603</v>
      </c>
      <c r="T4775" t="s">
        <v>42179</v>
      </c>
      <c r="U4775" t="s">
        <v>46681</v>
      </c>
      <c r="W4775" t="s">
        <v>37035</v>
      </c>
      <c r="X4775" t="s">
        <v>40447</v>
      </c>
    </row>
    <row r="4776" spans="1:24">
      <c r="A4776">
        <f>HYPERLINK("https://www.philgeps.gov.ph/GEPSNONPILOT/Tender/SplashBidNoticeAbstractUI.aspx?menuIndex=3&amp;refID=7034934&amp;Result=3","7034934")</f>
        <v>0</v>
      </c>
      <c r="B4776" t="s">
        <v>64</v>
      </c>
      <c r="C4776" t="s">
        <v>7636</v>
      </c>
      <c r="D4776" t="s">
        <v>16201</v>
      </c>
      <c r="E4776" t="s">
        <v>20516</v>
      </c>
      <c r="F4776" t="s">
        <v>28198</v>
      </c>
      <c r="G4776" t="s">
        <v>28205</v>
      </c>
      <c r="H4776" t="s">
        <v>28215</v>
      </c>
      <c r="I4776" t="s">
        <v>4168</v>
      </c>
      <c r="J4776" t="s">
        <v>28393</v>
      </c>
      <c r="K4776" t="s">
        <v>36687</v>
      </c>
      <c r="M4776" t="s">
        <v>37035</v>
      </c>
      <c r="N4776" t="s">
        <v>40436</v>
      </c>
      <c r="O4776" t="s">
        <v>40437</v>
      </c>
      <c r="P4776">
        <v>0</v>
      </c>
      <c r="Q4776">
        <v>4</v>
      </c>
      <c r="R4776" t="s">
        <v>40440</v>
      </c>
      <c r="S4776" t="s">
        <v>40603</v>
      </c>
      <c r="T4776" t="s">
        <v>42179</v>
      </c>
      <c r="U4776" t="s">
        <v>46681</v>
      </c>
      <c r="W4776" t="s">
        <v>37035</v>
      </c>
      <c r="X4776" t="s">
        <v>40447</v>
      </c>
    </row>
    <row r="4777" spans="1:24">
      <c r="A4777">
        <f>HYPERLINK("https://www.philgeps.gov.ph/GEPSNONPILOT/Tender/SplashBidNoticeAbstractUI.aspx?menuIndex=3&amp;refID=7034952&amp;Result=3","7034952")</f>
        <v>0</v>
      </c>
      <c r="B4777" t="s">
        <v>64</v>
      </c>
      <c r="C4777" t="s">
        <v>7637</v>
      </c>
      <c r="D4777" t="s">
        <v>16201</v>
      </c>
      <c r="E4777" t="s">
        <v>20517</v>
      </c>
      <c r="F4777" t="s">
        <v>28198</v>
      </c>
      <c r="G4777" t="s">
        <v>28205</v>
      </c>
      <c r="H4777" t="s">
        <v>28215</v>
      </c>
      <c r="I4777" t="s">
        <v>4219</v>
      </c>
      <c r="J4777" t="s">
        <v>31391</v>
      </c>
      <c r="K4777" t="s">
        <v>36687</v>
      </c>
      <c r="M4777" t="s">
        <v>37035</v>
      </c>
      <c r="N4777" t="s">
        <v>40436</v>
      </c>
      <c r="O4777" t="s">
        <v>40437</v>
      </c>
      <c r="P4777">
        <v>0</v>
      </c>
      <c r="Q4777">
        <v>2</v>
      </c>
      <c r="R4777" t="s">
        <v>40440</v>
      </c>
      <c r="S4777" t="s">
        <v>40603</v>
      </c>
      <c r="T4777" t="s">
        <v>42179</v>
      </c>
      <c r="U4777" t="s">
        <v>46681</v>
      </c>
      <c r="W4777" t="s">
        <v>37035</v>
      </c>
      <c r="X4777" t="s">
        <v>40447</v>
      </c>
    </row>
    <row r="4778" spans="1:24">
      <c r="A4778">
        <f>HYPERLINK("https://www.philgeps.gov.ph/GEPSNONPILOT/Tender/SplashBidNoticeAbstractUI.aspx?menuIndex=3&amp;refID=7034923&amp;Result=3","7034923")</f>
        <v>0</v>
      </c>
      <c r="B4778" t="s">
        <v>64</v>
      </c>
      <c r="C4778" t="s">
        <v>7638</v>
      </c>
      <c r="D4778" t="s">
        <v>16201</v>
      </c>
      <c r="E4778" t="s">
        <v>20518</v>
      </c>
      <c r="F4778" t="s">
        <v>28198</v>
      </c>
      <c r="G4778" t="s">
        <v>28205</v>
      </c>
      <c r="H4778" t="s">
        <v>28215</v>
      </c>
      <c r="I4778" t="s">
        <v>4219</v>
      </c>
      <c r="J4778" t="s">
        <v>31392</v>
      </c>
      <c r="K4778" t="s">
        <v>36687</v>
      </c>
      <c r="M4778" t="s">
        <v>37035</v>
      </c>
      <c r="N4778" t="s">
        <v>40436</v>
      </c>
      <c r="O4778" t="s">
        <v>40437</v>
      </c>
      <c r="P4778">
        <v>0</v>
      </c>
      <c r="Q4778">
        <v>2</v>
      </c>
      <c r="R4778" t="s">
        <v>40440</v>
      </c>
      <c r="S4778" t="s">
        <v>40603</v>
      </c>
      <c r="T4778" t="s">
        <v>42179</v>
      </c>
      <c r="U4778" t="s">
        <v>46681</v>
      </c>
      <c r="W4778" t="s">
        <v>37035</v>
      </c>
      <c r="X4778" t="s">
        <v>40447</v>
      </c>
    </row>
    <row r="4779" spans="1:24">
      <c r="A4779">
        <f>HYPERLINK("https://www.philgeps.gov.ph/GEPSNONPILOT/Tender/SplashBidNoticeAbstractUI.aspx?menuIndex=3&amp;refID=7035899&amp;Result=3","7035899")</f>
        <v>0</v>
      </c>
      <c r="B4779" t="s">
        <v>34</v>
      </c>
      <c r="C4779" t="s">
        <v>7639</v>
      </c>
      <c r="D4779" t="s">
        <v>16195</v>
      </c>
      <c r="E4779" t="s">
        <v>20519</v>
      </c>
      <c r="F4779" t="s">
        <v>28198</v>
      </c>
      <c r="G4779" t="s">
        <v>28205</v>
      </c>
      <c r="H4779" t="s">
        <v>28215</v>
      </c>
      <c r="I4779" t="s">
        <v>28247</v>
      </c>
      <c r="J4779" t="s">
        <v>31393</v>
      </c>
      <c r="K4779" t="s">
        <v>36696</v>
      </c>
      <c r="M4779" t="s">
        <v>37015</v>
      </c>
      <c r="N4779" t="s">
        <v>40436</v>
      </c>
      <c r="O4779" t="s">
        <v>40437</v>
      </c>
      <c r="Q4779">
        <v>3</v>
      </c>
      <c r="R4779" t="s">
        <v>40440</v>
      </c>
      <c r="S4779" t="s">
        <v>40606</v>
      </c>
      <c r="T4779" t="s">
        <v>42179</v>
      </c>
      <c r="U4779" t="s">
        <v>46690</v>
      </c>
      <c r="V4779" t="s">
        <v>53779</v>
      </c>
      <c r="W4779" t="s">
        <v>37015</v>
      </c>
      <c r="X4779" t="s">
        <v>40446</v>
      </c>
    </row>
    <row r="4780" spans="1:24">
      <c r="A4780">
        <f>HYPERLINK("https://www.philgeps.gov.ph/GEPSNONPILOT/Tender/SplashBidNoticeAbstractUI.aspx?menuIndex=3&amp;refID=7035922&amp;Result=3","7035922")</f>
        <v>0</v>
      </c>
      <c r="B4780" t="s">
        <v>34</v>
      </c>
      <c r="C4780" t="s">
        <v>7640</v>
      </c>
      <c r="D4780" t="s">
        <v>16195</v>
      </c>
      <c r="E4780" t="s">
        <v>20520</v>
      </c>
      <c r="F4780" t="s">
        <v>28198</v>
      </c>
      <c r="G4780" t="s">
        <v>28205</v>
      </c>
      <c r="H4780" t="s">
        <v>28215</v>
      </c>
      <c r="I4780" t="s">
        <v>28247</v>
      </c>
      <c r="J4780" t="s">
        <v>28702</v>
      </c>
      <c r="K4780" t="s">
        <v>36696</v>
      </c>
      <c r="M4780" t="s">
        <v>37015</v>
      </c>
      <c r="N4780" t="s">
        <v>40436</v>
      </c>
      <c r="O4780" t="s">
        <v>40437</v>
      </c>
      <c r="Q4780">
        <v>2</v>
      </c>
      <c r="R4780" t="s">
        <v>40440</v>
      </c>
      <c r="S4780" t="s">
        <v>40607</v>
      </c>
      <c r="T4780" t="s">
        <v>42179</v>
      </c>
      <c r="U4780" t="s">
        <v>46691</v>
      </c>
      <c r="V4780" t="s">
        <v>53779</v>
      </c>
      <c r="W4780" t="s">
        <v>37015</v>
      </c>
      <c r="X4780" t="s">
        <v>40446</v>
      </c>
    </row>
    <row r="4781" spans="1:24">
      <c r="A4781">
        <f>HYPERLINK("https://www.philgeps.gov.ph/GEPSNONPILOT/Tender/SplashBidNoticeAbstractUI.aspx?menuIndex=3&amp;refID=7035963&amp;Result=3","7035963")</f>
        <v>0</v>
      </c>
      <c r="B4781" t="s">
        <v>34</v>
      </c>
      <c r="C4781" t="s">
        <v>7641</v>
      </c>
      <c r="D4781" t="s">
        <v>16195</v>
      </c>
      <c r="E4781" t="s">
        <v>20521</v>
      </c>
      <c r="F4781" t="s">
        <v>28198</v>
      </c>
      <c r="G4781" t="s">
        <v>28205</v>
      </c>
      <c r="H4781" t="s">
        <v>28215</v>
      </c>
      <c r="I4781" t="s">
        <v>28247</v>
      </c>
      <c r="J4781" t="s">
        <v>31394</v>
      </c>
      <c r="K4781" t="s">
        <v>36696</v>
      </c>
      <c r="M4781" t="s">
        <v>37015</v>
      </c>
      <c r="N4781" t="s">
        <v>40436</v>
      </c>
      <c r="O4781" t="s">
        <v>40437</v>
      </c>
      <c r="Q4781">
        <v>2</v>
      </c>
      <c r="R4781" t="s">
        <v>40440</v>
      </c>
      <c r="S4781" t="s">
        <v>40599</v>
      </c>
      <c r="T4781" t="s">
        <v>42179</v>
      </c>
      <c r="U4781" t="s">
        <v>46692</v>
      </c>
      <c r="V4781" t="s">
        <v>53779</v>
      </c>
      <c r="W4781" t="s">
        <v>37015</v>
      </c>
      <c r="X4781" t="s">
        <v>40446</v>
      </c>
    </row>
    <row r="4782" spans="1:24">
      <c r="A4782">
        <f>HYPERLINK("https://www.philgeps.gov.ph/GEPSNONPILOT/Tender/SplashBidNoticeAbstractUI.aspx?menuIndex=3&amp;refID=7035823&amp;Result=3","7035823")</f>
        <v>0</v>
      </c>
      <c r="B4782" t="s">
        <v>34</v>
      </c>
      <c r="C4782" t="s">
        <v>7642</v>
      </c>
      <c r="D4782" t="s">
        <v>16195</v>
      </c>
      <c r="E4782" t="s">
        <v>20522</v>
      </c>
      <c r="F4782" t="s">
        <v>28198</v>
      </c>
      <c r="G4782" t="s">
        <v>28205</v>
      </c>
      <c r="H4782" t="s">
        <v>28215</v>
      </c>
      <c r="I4782" t="s">
        <v>28247</v>
      </c>
      <c r="J4782" t="s">
        <v>31395</v>
      </c>
      <c r="K4782" t="s">
        <v>36696</v>
      </c>
      <c r="M4782" t="s">
        <v>37015</v>
      </c>
      <c r="N4782" t="s">
        <v>40436</v>
      </c>
      <c r="O4782" t="s">
        <v>40437</v>
      </c>
      <c r="Q4782">
        <v>3</v>
      </c>
      <c r="R4782" t="s">
        <v>40440</v>
      </c>
      <c r="S4782" t="s">
        <v>40608</v>
      </c>
      <c r="T4782" t="s">
        <v>42179</v>
      </c>
      <c r="U4782" t="s">
        <v>46693</v>
      </c>
      <c r="V4782" t="s">
        <v>53779</v>
      </c>
      <c r="W4782" t="s">
        <v>37015</v>
      </c>
      <c r="X4782" t="s">
        <v>40446</v>
      </c>
    </row>
    <row r="4783" spans="1:24">
      <c r="A4783">
        <f>HYPERLINK("https://www.philgeps.gov.ph/GEPSNONPILOT/Tender/SplashBidNoticeAbstractUI.aspx?menuIndex=3&amp;refID=7038667&amp;Result=3","7038667")</f>
        <v>0</v>
      </c>
      <c r="B4783" t="s">
        <v>54</v>
      </c>
      <c r="C4783" t="s">
        <v>7643</v>
      </c>
      <c r="E4783" t="s">
        <v>20523</v>
      </c>
      <c r="F4783" t="s">
        <v>28198</v>
      </c>
      <c r="G4783" t="s">
        <v>28209</v>
      </c>
      <c r="H4783" t="s">
        <v>28215</v>
      </c>
      <c r="I4783" t="s">
        <v>28243</v>
      </c>
      <c r="J4783" t="s">
        <v>31396</v>
      </c>
      <c r="K4783" t="s">
        <v>36701</v>
      </c>
      <c r="M4783" t="s">
        <v>37025</v>
      </c>
      <c r="N4783" t="s">
        <v>40436</v>
      </c>
      <c r="O4783" t="s">
        <v>40437</v>
      </c>
      <c r="P4783">
        <v>0</v>
      </c>
      <c r="Q4783">
        <v>3</v>
      </c>
      <c r="R4783" t="s">
        <v>40440</v>
      </c>
      <c r="S4783" t="s">
        <v>40603</v>
      </c>
      <c r="T4783" t="s">
        <v>42190</v>
      </c>
      <c r="U4783" t="s">
        <v>46694</v>
      </c>
      <c r="W4783" t="s">
        <v>37025</v>
      </c>
      <c r="X4783" t="s">
        <v>40445</v>
      </c>
    </row>
    <row r="4784" spans="1:24">
      <c r="A4784">
        <f>HYPERLINK("https://www.philgeps.gov.ph/GEPSNONPILOT/Tender/SplashBidNoticeAbstractUI.aspx?menuIndex=3&amp;refID=7035947&amp;Result=3","7035947")</f>
        <v>0</v>
      </c>
      <c r="B4784" t="s">
        <v>34</v>
      </c>
      <c r="C4784" t="s">
        <v>7644</v>
      </c>
      <c r="D4784" t="s">
        <v>16195</v>
      </c>
      <c r="E4784" t="s">
        <v>20524</v>
      </c>
      <c r="F4784" t="s">
        <v>28198</v>
      </c>
      <c r="G4784" t="s">
        <v>28205</v>
      </c>
      <c r="H4784" t="s">
        <v>28215</v>
      </c>
      <c r="I4784" t="s">
        <v>8888</v>
      </c>
      <c r="J4784" t="s">
        <v>31397</v>
      </c>
      <c r="K4784" t="s">
        <v>36696</v>
      </c>
      <c r="M4784" t="s">
        <v>37015</v>
      </c>
      <c r="N4784" t="s">
        <v>40436</v>
      </c>
      <c r="O4784" t="s">
        <v>40437</v>
      </c>
      <c r="Q4784">
        <v>3</v>
      </c>
      <c r="R4784" t="s">
        <v>40440</v>
      </c>
      <c r="S4784" t="s">
        <v>40609</v>
      </c>
      <c r="T4784" t="s">
        <v>42179</v>
      </c>
      <c r="U4784" t="s">
        <v>46695</v>
      </c>
      <c r="V4784" t="s">
        <v>53779</v>
      </c>
      <c r="W4784" t="s">
        <v>37015</v>
      </c>
      <c r="X4784" t="s">
        <v>40446</v>
      </c>
    </row>
    <row r="4785" spans="1:24">
      <c r="A4785">
        <f>HYPERLINK("https://www.philgeps.gov.ph/GEPSNONPILOT/Tender/SplashBidNoticeAbstractUI.aspx?menuIndex=3&amp;refID=7037625&amp;Result=3","7037625")</f>
        <v>0</v>
      </c>
      <c r="B4785" t="s">
        <v>501</v>
      </c>
      <c r="C4785" t="s">
        <v>7645</v>
      </c>
      <c r="D4785" t="s">
        <v>16210</v>
      </c>
      <c r="E4785" t="s">
        <v>20525</v>
      </c>
      <c r="F4785" t="s">
        <v>28198</v>
      </c>
      <c r="G4785" t="s">
        <v>28207</v>
      </c>
      <c r="H4785" t="s">
        <v>28215</v>
      </c>
      <c r="I4785" t="s">
        <v>28271</v>
      </c>
      <c r="J4785" t="s">
        <v>31398</v>
      </c>
      <c r="K4785" t="s">
        <v>36688</v>
      </c>
      <c r="M4785" t="s">
        <v>38428</v>
      </c>
      <c r="N4785" t="s">
        <v>40436</v>
      </c>
      <c r="O4785" t="s">
        <v>40437</v>
      </c>
      <c r="P4785">
        <v>0</v>
      </c>
      <c r="Q4785">
        <v>2</v>
      </c>
      <c r="R4785" t="s">
        <v>40440</v>
      </c>
      <c r="S4785" t="s">
        <v>40603</v>
      </c>
      <c r="T4785" t="s">
        <v>42233</v>
      </c>
      <c r="U4785" t="s">
        <v>46696</v>
      </c>
      <c r="W4785" t="s">
        <v>38428</v>
      </c>
      <c r="X4785" t="s">
        <v>40446</v>
      </c>
    </row>
    <row r="4786" spans="1:24">
      <c r="A4786">
        <f>HYPERLINK("https://www.philgeps.gov.ph/GEPSNONPILOT/Tender/SplashBidNoticeAbstractUI.aspx?menuIndex=3&amp;refID=7037690&amp;Result=3","7037690")</f>
        <v>0</v>
      </c>
      <c r="B4786" t="s">
        <v>501</v>
      </c>
      <c r="C4786" t="s">
        <v>7646</v>
      </c>
      <c r="D4786" t="s">
        <v>16210</v>
      </c>
      <c r="E4786" t="s">
        <v>20526</v>
      </c>
      <c r="F4786" t="s">
        <v>28198</v>
      </c>
      <c r="G4786" t="s">
        <v>28207</v>
      </c>
      <c r="H4786" t="s">
        <v>28215</v>
      </c>
      <c r="I4786" t="s">
        <v>5082</v>
      </c>
      <c r="J4786" t="s">
        <v>31399</v>
      </c>
      <c r="K4786" t="s">
        <v>36688</v>
      </c>
      <c r="M4786" t="s">
        <v>38428</v>
      </c>
      <c r="N4786" t="s">
        <v>40436</v>
      </c>
      <c r="O4786" t="s">
        <v>40437</v>
      </c>
      <c r="P4786">
        <v>0</v>
      </c>
      <c r="Q4786">
        <v>0</v>
      </c>
      <c r="R4786" t="s">
        <v>40440</v>
      </c>
      <c r="S4786" t="s">
        <v>40603</v>
      </c>
      <c r="T4786" t="s">
        <v>42233</v>
      </c>
      <c r="U4786" t="s">
        <v>42638</v>
      </c>
      <c r="W4786" t="s">
        <v>38428</v>
      </c>
      <c r="X4786" t="s">
        <v>40446</v>
      </c>
    </row>
    <row r="4787" spans="1:24">
      <c r="A4787">
        <f>HYPERLINK("https://www.philgeps.gov.ph/GEPSNONPILOT/Tender/SplashBidNoticeAbstractUI.aspx?menuIndex=3&amp;refID=7036516&amp;Result=3","7036516")</f>
        <v>0</v>
      </c>
      <c r="B4787" t="s">
        <v>525</v>
      </c>
      <c r="C4787" t="s">
        <v>7647</v>
      </c>
      <c r="D4787" t="s">
        <v>16221</v>
      </c>
      <c r="E4787" t="s">
        <v>20527</v>
      </c>
      <c r="F4787" t="s">
        <v>28198</v>
      </c>
      <c r="G4787" t="s">
        <v>28205</v>
      </c>
      <c r="H4787" t="s">
        <v>28215</v>
      </c>
      <c r="I4787" t="s">
        <v>28234</v>
      </c>
      <c r="J4787" t="s">
        <v>31400</v>
      </c>
      <c r="K4787" t="s">
        <v>36689</v>
      </c>
      <c r="M4787" t="s">
        <v>37510</v>
      </c>
      <c r="N4787" t="s">
        <v>40436</v>
      </c>
      <c r="O4787" t="s">
        <v>40437</v>
      </c>
      <c r="P4787">
        <v>0</v>
      </c>
      <c r="Q4787">
        <v>14</v>
      </c>
      <c r="R4787" t="s">
        <v>40440</v>
      </c>
      <c r="S4787" t="s">
        <v>40603</v>
      </c>
      <c r="T4787" t="s">
        <v>42106</v>
      </c>
      <c r="U4787" t="s">
        <v>46697</v>
      </c>
      <c r="W4787" t="s">
        <v>37510</v>
      </c>
      <c r="X4787" t="s">
        <v>40446</v>
      </c>
    </row>
    <row r="4788" spans="1:24">
      <c r="A4788">
        <f>HYPERLINK("https://www.philgeps.gov.ph/GEPSNONPILOT/Tender/SplashBidNoticeAbstractUI.aspx?menuIndex=3&amp;refID=7035939&amp;Result=3","7035939")</f>
        <v>0</v>
      </c>
      <c r="B4788" t="s">
        <v>34</v>
      </c>
      <c r="C4788" t="s">
        <v>7648</v>
      </c>
      <c r="D4788" t="s">
        <v>16195</v>
      </c>
      <c r="E4788" t="s">
        <v>20528</v>
      </c>
      <c r="F4788" t="s">
        <v>28198</v>
      </c>
      <c r="G4788" t="s">
        <v>28205</v>
      </c>
      <c r="H4788" t="s">
        <v>28215</v>
      </c>
      <c r="I4788" t="s">
        <v>28247</v>
      </c>
      <c r="J4788" t="s">
        <v>28430</v>
      </c>
      <c r="K4788" t="s">
        <v>36696</v>
      </c>
      <c r="M4788" t="s">
        <v>37015</v>
      </c>
      <c r="N4788" t="s">
        <v>40436</v>
      </c>
      <c r="O4788" t="s">
        <v>40437</v>
      </c>
      <c r="Q4788">
        <v>4</v>
      </c>
      <c r="R4788" t="s">
        <v>40440</v>
      </c>
      <c r="S4788" t="s">
        <v>40584</v>
      </c>
      <c r="T4788" t="s">
        <v>42179</v>
      </c>
      <c r="U4788" t="s">
        <v>46698</v>
      </c>
      <c r="V4788" t="s">
        <v>53779</v>
      </c>
      <c r="W4788" t="s">
        <v>37015</v>
      </c>
      <c r="X4788" t="s">
        <v>40446</v>
      </c>
    </row>
    <row r="4789" spans="1:24">
      <c r="A4789">
        <f>HYPERLINK("https://www.philgeps.gov.ph/GEPSNONPILOT/Tender/SplashBidNoticeAbstractUI.aspx?menuIndex=3&amp;refID=7037160&amp;Result=3","7037160")</f>
        <v>0</v>
      </c>
      <c r="B4789" t="s">
        <v>1669</v>
      </c>
      <c r="C4789" t="s">
        <v>7649</v>
      </c>
      <c r="D4789" t="s">
        <v>16192</v>
      </c>
      <c r="E4789" t="s">
        <v>20529</v>
      </c>
      <c r="F4789" t="s">
        <v>28198</v>
      </c>
      <c r="G4789" t="s">
        <v>28207</v>
      </c>
      <c r="H4789" t="s">
        <v>28215</v>
      </c>
      <c r="I4789" t="s">
        <v>3774</v>
      </c>
      <c r="J4789" t="s">
        <v>31401</v>
      </c>
      <c r="K4789" t="s">
        <v>36689</v>
      </c>
      <c r="M4789" t="s">
        <v>38764</v>
      </c>
      <c r="N4789" t="s">
        <v>40436</v>
      </c>
      <c r="O4789" t="s">
        <v>40437</v>
      </c>
      <c r="P4789">
        <v>0</v>
      </c>
      <c r="Q4789">
        <v>1</v>
      </c>
      <c r="R4789" t="s">
        <v>40440</v>
      </c>
      <c r="S4789" t="s">
        <v>40603</v>
      </c>
      <c r="T4789" t="s">
        <v>42205</v>
      </c>
      <c r="U4789" t="s">
        <v>46699</v>
      </c>
      <c r="W4789" t="s">
        <v>38764</v>
      </c>
      <c r="X4789" t="s">
        <v>40446</v>
      </c>
    </row>
    <row r="4790" spans="1:24">
      <c r="A4790">
        <f>HYPERLINK("https://www.philgeps.gov.ph/GEPSNONPILOT/Tender/SplashBidNoticeAbstractUI.aspx?menuIndex=3&amp;refID=7036167&amp;Result=3","7036167")</f>
        <v>0</v>
      </c>
      <c r="B4790" t="s">
        <v>525</v>
      </c>
      <c r="C4790" t="s">
        <v>7650</v>
      </c>
      <c r="D4790" t="s">
        <v>16221</v>
      </c>
      <c r="E4790" t="s">
        <v>20530</v>
      </c>
      <c r="F4790" t="s">
        <v>28198</v>
      </c>
      <c r="G4790" t="s">
        <v>28205</v>
      </c>
      <c r="H4790" t="s">
        <v>28214</v>
      </c>
      <c r="I4790" t="s">
        <v>3797</v>
      </c>
      <c r="J4790" t="s">
        <v>28379</v>
      </c>
      <c r="K4790" t="s">
        <v>36689</v>
      </c>
      <c r="M4790" t="s">
        <v>37510</v>
      </c>
      <c r="N4790" t="s">
        <v>40436</v>
      </c>
      <c r="O4790" t="s">
        <v>40437</v>
      </c>
      <c r="P4790">
        <v>0</v>
      </c>
      <c r="Q4790">
        <v>0</v>
      </c>
      <c r="R4790" t="s">
        <v>40440</v>
      </c>
      <c r="S4790" t="s">
        <v>40603</v>
      </c>
      <c r="T4790" t="s">
        <v>42139</v>
      </c>
      <c r="U4790" t="s">
        <v>46700</v>
      </c>
      <c r="W4790" t="s">
        <v>37510</v>
      </c>
      <c r="X4790" t="s">
        <v>40446</v>
      </c>
    </row>
    <row r="4791" spans="1:24">
      <c r="A4791">
        <f>HYPERLINK("https://www.philgeps.gov.ph/GEPSNONPILOT/Tender/SplashBidNoticeAbstractUI.aspx?menuIndex=3&amp;refID=7035997&amp;Result=3","7035997")</f>
        <v>0</v>
      </c>
      <c r="B4791" t="s">
        <v>34</v>
      </c>
      <c r="C4791" t="s">
        <v>7651</v>
      </c>
      <c r="D4791" t="s">
        <v>16195</v>
      </c>
      <c r="E4791" t="s">
        <v>20531</v>
      </c>
      <c r="F4791" t="s">
        <v>28198</v>
      </c>
      <c r="G4791" t="s">
        <v>28205</v>
      </c>
      <c r="H4791" t="s">
        <v>28215</v>
      </c>
      <c r="I4791" t="s">
        <v>28247</v>
      </c>
      <c r="J4791" t="s">
        <v>31402</v>
      </c>
      <c r="K4791" t="s">
        <v>36696</v>
      </c>
      <c r="M4791" t="s">
        <v>37015</v>
      </c>
      <c r="N4791" t="s">
        <v>40436</v>
      </c>
      <c r="O4791" t="s">
        <v>40437</v>
      </c>
      <c r="Q4791">
        <v>2</v>
      </c>
      <c r="R4791" t="s">
        <v>40440</v>
      </c>
      <c r="S4791" t="s">
        <v>40610</v>
      </c>
      <c r="T4791" t="s">
        <v>42179</v>
      </c>
      <c r="U4791" t="s">
        <v>46701</v>
      </c>
      <c r="V4791" t="s">
        <v>53779</v>
      </c>
      <c r="W4791" t="s">
        <v>37015</v>
      </c>
      <c r="X4791" t="s">
        <v>40446</v>
      </c>
    </row>
    <row r="4792" spans="1:24">
      <c r="A4792">
        <f>HYPERLINK("https://www.philgeps.gov.ph/GEPSNONPILOT/Tender/SplashBidNoticeAbstractUI.aspx?menuIndex=3&amp;refID=7037096&amp;Result=3","7037096")</f>
        <v>0</v>
      </c>
      <c r="B4792" t="s">
        <v>1677</v>
      </c>
      <c r="C4792" t="s">
        <v>7652</v>
      </c>
      <c r="D4792" t="s">
        <v>16209</v>
      </c>
      <c r="E4792" t="s">
        <v>20532</v>
      </c>
      <c r="F4792" t="s">
        <v>28198</v>
      </c>
      <c r="G4792" t="s">
        <v>28205</v>
      </c>
      <c r="H4792" t="s">
        <v>28215</v>
      </c>
      <c r="I4792" t="s">
        <v>28228</v>
      </c>
      <c r="J4792" t="s">
        <v>31403</v>
      </c>
      <c r="K4792" t="s">
        <v>36728</v>
      </c>
      <c r="M4792" t="s">
        <v>38773</v>
      </c>
      <c r="N4792" t="s">
        <v>40436</v>
      </c>
      <c r="O4792" t="s">
        <v>40437</v>
      </c>
      <c r="P4792">
        <v>0</v>
      </c>
      <c r="Q4792">
        <v>2</v>
      </c>
      <c r="R4792" t="s">
        <v>40440</v>
      </c>
      <c r="S4792" t="s">
        <v>40603</v>
      </c>
      <c r="T4792" t="s">
        <v>42257</v>
      </c>
      <c r="U4792" t="s">
        <v>46702</v>
      </c>
      <c r="W4792" t="s">
        <v>38773</v>
      </c>
      <c r="X4792" t="s">
        <v>40446</v>
      </c>
    </row>
    <row r="4793" spans="1:24">
      <c r="A4793">
        <f>HYPERLINK("https://www.philgeps.gov.ph/GEPSNONPILOT/Tender/SplashBidNoticeAbstractUI.aspx?menuIndex=3&amp;refID=7035976&amp;Result=3","7035976")</f>
        <v>0</v>
      </c>
      <c r="B4793" t="s">
        <v>34</v>
      </c>
      <c r="C4793" t="s">
        <v>7653</v>
      </c>
      <c r="D4793" t="s">
        <v>16195</v>
      </c>
      <c r="E4793" t="s">
        <v>20533</v>
      </c>
      <c r="F4793" t="s">
        <v>28198</v>
      </c>
      <c r="G4793" t="s">
        <v>28205</v>
      </c>
      <c r="H4793" t="s">
        <v>28215</v>
      </c>
      <c r="I4793" t="s">
        <v>28247</v>
      </c>
      <c r="J4793" t="s">
        <v>31404</v>
      </c>
      <c r="K4793" t="s">
        <v>36696</v>
      </c>
      <c r="M4793" t="s">
        <v>37015</v>
      </c>
      <c r="N4793" t="s">
        <v>40436</v>
      </c>
      <c r="O4793" t="s">
        <v>40437</v>
      </c>
      <c r="Q4793">
        <v>2</v>
      </c>
      <c r="R4793" t="s">
        <v>40440</v>
      </c>
      <c r="S4793" t="s">
        <v>40586</v>
      </c>
      <c r="T4793" t="s">
        <v>42179</v>
      </c>
      <c r="U4793" t="s">
        <v>46703</v>
      </c>
      <c r="V4793" t="s">
        <v>54252</v>
      </c>
      <c r="W4793" t="s">
        <v>37015</v>
      </c>
      <c r="X4793" t="s">
        <v>40446</v>
      </c>
    </row>
    <row r="4794" spans="1:24">
      <c r="A4794">
        <f>HYPERLINK("https://www.philgeps.gov.ph/GEPSNONPILOT/Tender/SplashBidNoticeAbstractUI.aspx?menuIndex=3&amp;refID=7037734&amp;Result=3","7037734")</f>
        <v>0</v>
      </c>
      <c r="B4794" t="s">
        <v>501</v>
      </c>
      <c r="C4794" t="s">
        <v>7654</v>
      </c>
      <c r="D4794" t="s">
        <v>16210</v>
      </c>
      <c r="E4794" t="s">
        <v>20534</v>
      </c>
      <c r="F4794" t="s">
        <v>28198</v>
      </c>
      <c r="G4794" t="s">
        <v>28207</v>
      </c>
      <c r="H4794" t="s">
        <v>28215</v>
      </c>
      <c r="I4794" t="s">
        <v>28248</v>
      </c>
      <c r="J4794" t="s">
        <v>28985</v>
      </c>
      <c r="K4794" t="s">
        <v>36689</v>
      </c>
      <c r="M4794" t="s">
        <v>38428</v>
      </c>
      <c r="N4794" t="s">
        <v>40436</v>
      </c>
      <c r="O4794" t="s">
        <v>40437</v>
      </c>
      <c r="P4794">
        <v>0</v>
      </c>
      <c r="Q4794">
        <v>2</v>
      </c>
      <c r="R4794" t="s">
        <v>40440</v>
      </c>
      <c r="S4794" t="s">
        <v>40603</v>
      </c>
      <c r="T4794" t="s">
        <v>42233</v>
      </c>
      <c r="U4794" t="s">
        <v>46704</v>
      </c>
      <c r="W4794" t="s">
        <v>38428</v>
      </c>
      <c r="X4794" t="s">
        <v>40446</v>
      </c>
    </row>
    <row r="4795" spans="1:24">
      <c r="A4795">
        <f>HYPERLINK("https://www.philgeps.gov.ph/GEPSNONPILOT/Tender/SplashBidNoticeAbstractUI.aspx?menuIndex=3&amp;refID=7039079&amp;Result=3","7039079")</f>
        <v>0</v>
      </c>
      <c r="B4795" t="s">
        <v>1678</v>
      </c>
      <c r="C4795" t="s">
        <v>7655</v>
      </c>
      <c r="D4795" t="s">
        <v>16192</v>
      </c>
      <c r="E4795" t="s">
        <v>20535</v>
      </c>
      <c r="F4795" t="s">
        <v>28198</v>
      </c>
      <c r="G4795" t="s">
        <v>28207</v>
      </c>
      <c r="H4795" t="s">
        <v>28215</v>
      </c>
      <c r="I4795" t="s">
        <v>28238</v>
      </c>
      <c r="J4795" t="s">
        <v>29206</v>
      </c>
      <c r="K4795" t="s">
        <v>36693</v>
      </c>
      <c r="M4795" t="s">
        <v>38774</v>
      </c>
      <c r="N4795" t="s">
        <v>40436</v>
      </c>
      <c r="O4795" t="s">
        <v>40437</v>
      </c>
      <c r="P4795">
        <v>0</v>
      </c>
      <c r="Q4795">
        <v>0</v>
      </c>
      <c r="R4795" t="s">
        <v>40440</v>
      </c>
      <c r="S4795" t="s">
        <v>40603</v>
      </c>
      <c r="T4795" t="s">
        <v>42350</v>
      </c>
      <c r="U4795" t="s">
        <v>46705</v>
      </c>
      <c r="W4795" t="s">
        <v>38774</v>
      </c>
      <c r="X4795" t="s">
        <v>40445</v>
      </c>
    </row>
    <row r="4796" spans="1:24">
      <c r="A4796">
        <f>HYPERLINK("https://www.philgeps.gov.ph/GEPSNONPILOT/Tender/SplashBidNoticeAbstractUI.aspx?menuIndex=3&amp;refID=7038266&amp;Result=3","7038266")</f>
        <v>0</v>
      </c>
      <c r="B4796" t="s">
        <v>501</v>
      </c>
      <c r="C4796" t="s">
        <v>7656</v>
      </c>
      <c r="D4796" t="s">
        <v>16210</v>
      </c>
      <c r="E4796" t="s">
        <v>20536</v>
      </c>
      <c r="F4796" t="s">
        <v>28198</v>
      </c>
      <c r="G4796" t="s">
        <v>28207</v>
      </c>
      <c r="H4796" t="s">
        <v>28215</v>
      </c>
      <c r="I4796" t="s">
        <v>28232</v>
      </c>
      <c r="J4796" t="s">
        <v>28571</v>
      </c>
      <c r="K4796" t="s">
        <v>36689</v>
      </c>
      <c r="M4796" t="s">
        <v>38072</v>
      </c>
      <c r="N4796" t="s">
        <v>40436</v>
      </c>
      <c r="O4796" t="s">
        <v>40437</v>
      </c>
      <c r="P4796">
        <v>0</v>
      </c>
      <c r="Q4796">
        <v>0</v>
      </c>
      <c r="R4796" t="s">
        <v>40440</v>
      </c>
      <c r="S4796" t="s">
        <v>40603</v>
      </c>
      <c r="T4796" t="s">
        <v>42233</v>
      </c>
      <c r="U4796" t="s">
        <v>46706</v>
      </c>
      <c r="W4796" t="s">
        <v>38072</v>
      </c>
      <c r="X4796" t="s">
        <v>40445</v>
      </c>
    </row>
    <row r="4797" spans="1:24">
      <c r="A4797">
        <f>HYPERLINK("https://www.philgeps.gov.ph/GEPSNONPILOT/Tender/SplashBidNoticeAbstractUI.aspx?menuIndex=3&amp;refID=7038368&amp;Result=3","7038368")</f>
        <v>0</v>
      </c>
      <c r="B4797" t="s">
        <v>501</v>
      </c>
      <c r="C4797" t="s">
        <v>7657</v>
      </c>
      <c r="D4797" t="s">
        <v>16210</v>
      </c>
      <c r="E4797" t="s">
        <v>20537</v>
      </c>
      <c r="F4797" t="s">
        <v>28198</v>
      </c>
      <c r="G4797" t="s">
        <v>28207</v>
      </c>
      <c r="H4797" t="s">
        <v>28215</v>
      </c>
      <c r="I4797" t="s">
        <v>4200</v>
      </c>
      <c r="J4797" t="s">
        <v>31405</v>
      </c>
      <c r="K4797" t="s">
        <v>36689</v>
      </c>
      <c r="M4797" t="s">
        <v>38072</v>
      </c>
      <c r="N4797" t="s">
        <v>40436</v>
      </c>
      <c r="O4797" t="s">
        <v>40437</v>
      </c>
      <c r="P4797">
        <v>0</v>
      </c>
      <c r="Q4797">
        <v>0</v>
      </c>
      <c r="R4797" t="s">
        <v>40440</v>
      </c>
      <c r="S4797" t="s">
        <v>40603</v>
      </c>
      <c r="T4797" t="s">
        <v>42233</v>
      </c>
      <c r="U4797" t="s">
        <v>43664</v>
      </c>
      <c r="W4797" t="s">
        <v>38072</v>
      </c>
      <c r="X4797" t="s">
        <v>40445</v>
      </c>
    </row>
    <row r="4798" spans="1:24">
      <c r="A4798">
        <f>HYPERLINK("https://www.philgeps.gov.ph/GEPSNONPILOT/Tender/SplashBidNoticeAbstractUI.aspx?menuIndex=3&amp;refID=7039067&amp;Result=3","7039067")</f>
        <v>0</v>
      </c>
      <c r="B4798" t="s">
        <v>1678</v>
      </c>
      <c r="C4798" t="s">
        <v>7658</v>
      </c>
      <c r="D4798" t="s">
        <v>16192</v>
      </c>
      <c r="E4798" t="s">
        <v>20538</v>
      </c>
      <c r="F4798" t="s">
        <v>28198</v>
      </c>
      <c r="G4798" t="s">
        <v>28207</v>
      </c>
      <c r="H4798" t="s">
        <v>28215</v>
      </c>
      <c r="I4798" t="s">
        <v>3422</v>
      </c>
      <c r="J4798" t="s">
        <v>31406</v>
      </c>
      <c r="K4798" t="s">
        <v>36693</v>
      </c>
      <c r="M4798" t="s">
        <v>38774</v>
      </c>
      <c r="N4798" t="s">
        <v>40436</v>
      </c>
      <c r="O4798" t="s">
        <v>40437</v>
      </c>
      <c r="P4798">
        <v>0</v>
      </c>
      <c r="Q4798">
        <v>0</v>
      </c>
      <c r="R4798" t="s">
        <v>40440</v>
      </c>
      <c r="S4798" t="s">
        <v>40603</v>
      </c>
      <c r="T4798" t="s">
        <v>42350</v>
      </c>
      <c r="U4798" t="s">
        <v>45857</v>
      </c>
      <c r="W4798" t="s">
        <v>38774</v>
      </c>
      <c r="X4798" t="s">
        <v>40445</v>
      </c>
    </row>
    <row r="4799" spans="1:24">
      <c r="A4799">
        <f>HYPERLINK("https://www.philgeps.gov.ph/GEPSNONPILOT/Tender/SplashBidNoticeAbstractUI.aspx?menuIndex=3&amp;refID=7038988&amp;Result=3","7038988")</f>
        <v>0</v>
      </c>
      <c r="B4799" t="s">
        <v>435</v>
      </c>
      <c r="C4799" t="s">
        <v>7659</v>
      </c>
      <c r="D4799" t="s">
        <v>16254</v>
      </c>
      <c r="E4799" t="s">
        <v>20539</v>
      </c>
      <c r="F4799" t="s">
        <v>28198</v>
      </c>
      <c r="G4799" t="s">
        <v>28206</v>
      </c>
      <c r="H4799" t="s">
        <v>28215</v>
      </c>
      <c r="I4799" t="s">
        <v>28227</v>
      </c>
      <c r="J4799" t="s">
        <v>28430</v>
      </c>
      <c r="K4799" t="s">
        <v>36689</v>
      </c>
      <c r="M4799" t="s">
        <v>37418</v>
      </c>
      <c r="N4799" t="s">
        <v>40436</v>
      </c>
      <c r="O4799" t="s">
        <v>40437</v>
      </c>
      <c r="P4799">
        <v>0</v>
      </c>
      <c r="Q4799">
        <v>0</v>
      </c>
      <c r="R4799" t="s">
        <v>40440</v>
      </c>
      <c r="S4799" t="s">
        <v>40603</v>
      </c>
      <c r="T4799" t="s">
        <v>42103</v>
      </c>
      <c r="U4799" t="s">
        <v>46707</v>
      </c>
      <c r="W4799" t="s">
        <v>55447</v>
      </c>
      <c r="X4799" t="s">
        <v>40445</v>
      </c>
    </row>
    <row r="4800" spans="1:24">
      <c r="A4800">
        <f>HYPERLINK("https://www.philgeps.gov.ph/GEPSNONPILOT/Tender/SplashBidNoticeAbstractUI.aspx?menuIndex=3&amp;refID=7039090&amp;Result=3","7039090")</f>
        <v>0</v>
      </c>
      <c r="B4800" t="s">
        <v>1678</v>
      </c>
      <c r="C4800" t="s">
        <v>7660</v>
      </c>
      <c r="D4800" t="s">
        <v>16192</v>
      </c>
      <c r="E4800" t="s">
        <v>20540</v>
      </c>
      <c r="F4800" t="s">
        <v>28198</v>
      </c>
      <c r="G4800" t="s">
        <v>28207</v>
      </c>
      <c r="H4800" t="s">
        <v>28215</v>
      </c>
      <c r="I4800" t="s">
        <v>28228</v>
      </c>
      <c r="J4800" t="s">
        <v>31407</v>
      </c>
      <c r="K4800" t="s">
        <v>36693</v>
      </c>
      <c r="M4800" t="s">
        <v>38774</v>
      </c>
      <c r="N4800" t="s">
        <v>40436</v>
      </c>
      <c r="O4800" t="s">
        <v>40437</v>
      </c>
      <c r="P4800">
        <v>0</v>
      </c>
      <c r="Q4800">
        <v>0</v>
      </c>
      <c r="R4800" t="s">
        <v>40440</v>
      </c>
      <c r="S4800" t="s">
        <v>40603</v>
      </c>
      <c r="T4800" t="s">
        <v>42350</v>
      </c>
      <c r="U4800" t="s">
        <v>46708</v>
      </c>
      <c r="W4800" t="s">
        <v>38774</v>
      </c>
      <c r="X4800" t="s">
        <v>40445</v>
      </c>
    </row>
    <row r="4801" spans="1:24">
      <c r="A4801">
        <f>HYPERLINK("https://www.philgeps.gov.ph/GEPSNONPILOT/Tender/SplashBidNoticeAbstractUI.aspx?menuIndex=3&amp;refID=7039097&amp;Result=3","7039097")</f>
        <v>0</v>
      </c>
      <c r="B4801" t="s">
        <v>1678</v>
      </c>
      <c r="C4801" t="s">
        <v>7661</v>
      </c>
      <c r="D4801" t="s">
        <v>16192</v>
      </c>
      <c r="E4801" t="s">
        <v>20541</v>
      </c>
      <c r="F4801" t="s">
        <v>28198</v>
      </c>
      <c r="G4801" t="s">
        <v>28207</v>
      </c>
      <c r="H4801" t="s">
        <v>28215</v>
      </c>
      <c r="I4801" t="s">
        <v>3774</v>
      </c>
      <c r="J4801" t="s">
        <v>29322</v>
      </c>
      <c r="K4801" t="s">
        <v>36693</v>
      </c>
      <c r="M4801" t="s">
        <v>38774</v>
      </c>
      <c r="N4801" t="s">
        <v>40436</v>
      </c>
      <c r="O4801" t="s">
        <v>40437</v>
      </c>
      <c r="P4801">
        <v>0</v>
      </c>
      <c r="Q4801">
        <v>1</v>
      </c>
      <c r="R4801" t="s">
        <v>40440</v>
      </c>
      <c r="S4801" t="s">
        <v>40603</v>
      </c>
      <c r="T4801" t="s">
        <v>42350</v>
      </c>
      <c r="U4801" t="s">
        <v>46709</v>
      </c>
      <c r="W4801" t="s">
        <v>38774</v>
      </c>
      <c r="X4801" t="s">
        <v>40445</v>
      </c>
    </row>
    <row r="4802" spans="1:24">
      <c r="A4802">
        <f>HYPERLINK("https://www.philgeps.gov.ph/GEPSNONPILOT/Tender/SplashBidNoticeAbstractUI.aspx?menuIndex=3&amp;refID=7038709&amp;Result=3","7038709")</f>
        <v>0</v>
      </c>
      <c r="B4802" t="s">
        <v>54</v>
      </c>
      <c r="C4802" t="s">
        <v>7662</v>
      </c>
      <c r="D4802" t="s">
        <v>16196</v>
      </c>
      <c r="E4802" t="s">
        <v>20542</v>
      </c>
      <c r="F4802" t="s">
        <v>28198</v>
      </c>
      <c r="G4802" t="s">
        <v>28209</v>
      </c>
      <c r="H4802" t="s">
        <v>28215</v>
      </c>
      <c r="I4802" t="s">
        <v>28224</v>
      </c>
      <c r="J4802" t="s">
        <v>31408</v>
      </c>
      <c r="K4802" t="s">
        <v>36707</v>
      </c>
      <c r="M4802" t="s">
        <v>37025</v>
      </c>
      <c r="N4802" t="s">
        <v>40436</v>
      </c>
      <c r="O4802" t="s">
        <v>40437</v>
      </c>
      <c r="P4802">
        <v>0</v>
      </c>
      <c r="Q4802">
        <v>0</v>
      </c>
      <c r="R4802" t="s">
        <v>40440</v>
      </c>
      <c r="S4802" t="s">
        <v>40603</v>
      </c>
      <c r="T4802" t="s">
        <v>42190</v>
      </c>
      <c r="U4802" t="s">
        <v>46710</v>
      </c>
      <c r="W4802" t="s">
        <v>37025</v>
      </c>
      <c r="X4802" t="s">
        <v>40445</v>
      </c>
    </row>
    <row r="4803" spans="1:24">
      <c r="A4803">
        <f>HYPERLINK("https://www.philgeps.gov.ph/GEPSNONPILOT/Tender/SplashBidNoticeAbstractUI.aspx?menuIndex=3&amp;refID=7038928&amp;Result=3","7038928")</f>
        <v>0</v>
      </c>
      <c r="B4803" t="s">
        <v>595</v>
      </c>
      <c r="C4803" t="s">
        <v>7663</v>
      </c>
      <c r="D4803" t="s">
        <v>16195</v>
      </c>
      <c r="E4803" t="s">
        <v>20543</v>
      </c>
      <c r="F4803" t="s">
        <v>28198</v>
      </c>
      <c r="G4803" t="s">
        <v>28205</v>
      </c>
      <c r="H4803" t="s">
        <v>28215</v>
      </c>
      <c r="I4803" t="s">
        <v>28243</v>
      </c>
      <c r="J4803" t="s">
        <v>29546</v>
      </c>
      <c r="K4803" t="s">
        <v>36694</v>
      </c>
      <c r="M4803" t="s">
        <v>37713</v>
      </c>
      <c r="N4803" t="s">
        <v>40436</v>
      </c>
      <c r="O4803" t="s">
        <v>40437</v>
      </c>
      <c r="P4803">
        <v>0</v>
      </c>
      <c r="Q4803">
        <v>1</v>
      </c>
      <c r="R4803" t="s">
        <v>40440</v>
      </c>
      <c r="S4803" t="s">
        <v>40603</v>
      </c>
      <c r="T4803" t="s">
        <v>42139</v>
      </c>
      <c r="U4803" t="s">
        <v>46711</v>
      </c>
      <c r="W4803" t="s">
        <v>37713</v>
      </c>
      <c r="X4803" t="s">
        <v>40445</v>
      </c>
    </row>
    <row r="4804" spans="1:24">
      <c r="A4804">
        <f>HYPERLINK("https://www.philgeps.gov.ph/GEPSNONPILOT/Tender/SplashBidNoticeAbstractUI.aspx?menuIndex=3&amp;refID=7039464&amp;Result=3","7039464")</f>
        <v>0</v>
      </c>
      <c r="B4804" t="s">
        <v>1679</v>
      </c>
      <c r="C4804" t="s">
        <v>7664</v>
      </c>
      <c r="D4804" t="s">
        <v>16200</v>
      </c>
      <c r="E4804" t="s">
        <v>20544</v>
      </c>
      <c r="F4804" t="s">
        <v>28200</v>
      </c>
      <c r="G4804" t="s">
        <v>28205</v>
      </c>
      <c r="H4804" t="s">
        <v>28217</v>
      </c>
      <c r="I4804" t="s">
        <v>28231</v>
      </c>
      <c r="J4804" t="s">
        <v>31409</v>
      </c>
      <c r="K4804" t="s">
        <v>36781</v>
      </c>
      <c r="M4804" t="s">
        <v>38775</v>
      </c>
      <c r="N4804" t="s">
        <v>40436</v>
      </c>
      <c r="O4804" t="s">
        <v>40437</v>
      </c>
      <c r="P4804">
        <v>0</v>
      </c>
      <c r="Q4804">
        <v>1</v>
      </c>
      <c r="R4804" t="s">
        <v>40440</v>
      </c>
      <c r="S4804" t="s">
        <v>40603</v>
      </c>
      <c r="T4804" t="s">
        <v>42248</v>
      </c>
      <c r="U4804" t="s">
        <v>46712</v>
      </c>
      <c r="W4804" t="s">
        <v>38775</v>
      </c>
      <c r="X4804" t="s">
        <v>40445</v>
      </c>
    </row>
    <row r="4805" spans="1:24">
      <c r="A4805">
        <f>HYPERLINK("https://www.philgeps.gov.ph/GEPSNONPILOT/Tender/SplashBidNoticeAbstractUI.aspx?menuIndex=3&amp;refID=7040312&amp;Result=3","7040312")</f>
        <v>0</v>
      </c>
      <c r="B4805" t="s">
        <v>121</v>
      </c>
      <c r="C4805" t="s">
        <v>7665</v>
      </c>
      <c r="D4805" t="s">
        <v>16207</v>
      </c>
      <c r="E4805" t="s">
        <v>20545</v>
      </c>
      <c r="F4805" t="s">
        <v>28198</v>
      </c>
      <c r="G4805" t="s">
        <v>28207</v>
      </c>
      <c r="H4805" t="s">
        <v>28215</v>
      </c>
      <c r="I4805" t="s">
        <v>5631</v>
      </c>
      <c r="J4805" t="s">
        <v>31410</v>
      </c>
      <c r="K4805" t="s">
        <v>36706</v>
      </c>
      <c r="M4805" t="s">
        <v>38147</v>
      </c>
      <c r="N4805" t="s">
        <v>40436</v>
      </c>
      <c r="O4805" t="s">
        <v>40437</v>
      </c>
      <c r="P4805">
        <v>0</v>
      </c>
      <c r="Q4805">
        <v>0</v>
      </c>
      <c r="R4805" t="s">
        <v>40440</v>
      </c>
      <c r="S4805" t="s">
        <v>40603</v>
      </c>
      <c r="T4805" t="s">
        <v>42233</v>
      </c>
      <c r="U4805" t="s">
        <v>46713</v>
      </c>
      <c r="W4805" t="s">
        <v>38147</v>
      </c>
      <c r="X4805" t="s">
        <v>40445</v>
      </c>
    </row>
    <row r="4806" spans="1:24">
      <c r="A4806">
        <f>HYPERLINK("https://www.philgeps.gov.ph/GEPSNONPILOT/Tender/SplashBidNoticeAbstractUI.aspx?menuIndex=3&amp;refID=7040331&amp;Result=3","7040331")</f>
        <v>0</v>
      </c>
      <c r="B4806" t="s">
        <v>1680</v>
      </c>
      <c r="C4806" t="s">
        <v>7666</v>
      </c>
      <c r="E4806" t="s">
        <v>20546</v>
      </c>
      <c r="F4806" t="s">
        <v>28198</v>
      </c>
      <c r="G4806" t="s">
        <v>28205</v>
      </c>
      <c r="H4806" t="s">
        <v>28214</v>
      </c>
      <c r="I4806" t="s">
        <v>3797</v>
      </c>
      <c r="J4806" t="s">
        <v>31411</v>
      </c>
      <c r="K4806" t="s">
        <v>36689</v>
      </c>
      <c r="M4806" t="s">
        <v>38776</v>
      </c>
      <c r="N4806" t="s">
        <v>40436</v>
      </c>
      <c r="O4806" t="s">
        <v>40437</v>
      </c>
      <c r="P4806">
        <v>0</v>
      </c>
      <c r="Q4806">
        <v>3</v>
      </c>
      <c r="R4806" t="s">
        <v>40440</v>
      </c>
      <c r="S4806" t="s">
        <v>40603</v>
      </c>
      <c r="T4806" t="s">
        <v>42125</v>
      </c>
      <c r="U4806" t="s">
        <v>46714</v>
      </c>
      <c r="W4806" t="s">
        <v>38776</v>
      </c>
      <c r="X4806" t="s">
        <v>40445</v>
      </c>
    </row>
    <row r="4807" spans="1:24">
      <c r="A4807">
        <f>HYPERLINK("https://www.philgeps.gov.ph/GEPSNONPILOT/Tender/SplashBidNoticeAbstractUI.aspx?menuIndex=3&amp;refID=7040241&amp;Result=3","7040241")</f>
        <v>0</v>
      </c>
      <c r="B4807" t="s">
        <v>121</v>
      </c>
      <c r="C4807" t="s">
        <v>7665</v>
      </c>
      <c r="D4807" t="s">
        <v>16207</v>
      </c>
      <c r="E4807" t="s">
        <v>20547</v>
      </c>
      <c r="F4807" t="s">
        <v>28198</v>
      </c>
      <c r="G4807" t="s">
        <v>28207</v>
      </c>
      <c r="H4807" t="s">
        <v>28215</v>
      </c>
      <c r="I4807" t="s">
        <v>5631</v>
      </c>
      <c r="J4807" t="s">
        <v>31412</v>
      </c>
      <c r="K4807" t="s">
        <v>36706</v>
      </c>
      <c r="M4807" t="s">
        <v>38147</v>
      </c>
      <c r="N4807" t="s">
        <v>40436</v>
      </c>
      <c r="O4807" t="s">
        <v>40437</v>
      </c>
      <c r="P4807">
        <v>0</v>
      </c>
      <c r="Q4807">
        <v>0</v>
      </c>
      <c r="R4807" t="s">
        <v>40440</v>
      </c>
      <c r="S4807" t="s">
        <v>40603</v>
      </c>
      <c r="T4807" t="s">
        <v>42233</v>
      </c>
      <c r="U4807" t="s">
        <v>46715</v>
      </c>
      <c r="W4807" t="s">
        <v>38147</v>
      </c>
      <c r="X4807" t="s">
        <v>40445</v>
      </c>
    </row>
    <row r="4808" spans="1:24">
      <c r="A4808">
        <f>HYPERLINK("https://www.philgeps.gov.ph/GEPSNONPILOT/Tender/SplashBidNoticeAbstractUI.aspx?menuIndex=3&amp;refID=7040396&amp;Result=3","7040396")</f>
        <v>0</v>
      </c>
      <c r="B4808" t="s">
        <v>121</v>
      </c>
      <c r="C4808" t="s">
        <v>7667</v>
      </c>
      <c r="D4808" t="s">
        <v>16207</v>
      </c>
      <c r="E4808" t="s">
        <v>20548</v>
      </c>
      <c r="F4808" t="s">
        <v>28198</v>
      </c>
      <c r="G4808" t="s">
        <v>28207</v>
      </c>
      <c r="H4808" t="s">
        <v>28215</v>
      </c>
      <c r="I4808" t="s">
        <v>5631</v>
      </c>
      <c r="J4808" t="s">
        <v>31413</v>
      </c>
      <c r="K4808" t="s">
        <v>36706</v>
      </c>
      <c r="M4808" t="s">
        <v>38147</v>
      </c>
      <c r="N4808" t="s">
        <v>40436</v>
      </c>
      <c r="O4808" t="s">
        <v>40437</v>
      </c>
      <c r="P4808">
        <v>0</v>
      </c>
      <c r="Q4808">
        <v>0</v>
      </c>
      <c r="R4808" t="s">
        <v>40440</v>
      </c>
      <c r="S4808" t="s">
        <v>40603</v>
      </c>
      <c r="T4808" t="s">
        <v>42233</v>
      </c>
      <c r="U4808" t="s">
        <v>46716</v>
      </c>
      <c r="W4808" t="s">
        <v>38147</v>
      </c>
      <c r="X4808" t="s">
        <v>40445</v>
      </c>
    </row>
    <row r="4809" spans="1:24">
      <c r="A4809">
        <f>HYPERLINK("https://www.philgeps.gov.ph/GEPSNONPILOT/Tender/SplashBidNoticeAbstractUI.aspx?menuIndex=3&amp;refID=7039868&amp;Result=3","7039868")</f>
        <v>0</v>
      </c>
      <c r="B4809" t="s">
        <v>501</v>
      </c>
      <c r="C4809" t="s">
        <v>7668</v>
      </c>
      <c r="D4809" t="s">
        <v>16210</v>
      </c>
      <c r="E4809" t="s">
        <v>20549</v>
      </c>
      <c r="F4809" t="s">
        <v>28198</v>
      </c>
      <c r="G4809" t="s">
        <v>28207</v>
      </c>
      <c r="H4809" t="s">
        <v>28215</v>
      </c>
      <c r="I4809" t="s">
        <v>5082</v>
      </c>
      <c r="J4809" t="s">
        <v>31414</v>
      </c>
      <c r="K4809" t="s">
        <v>36689</v>
      </c>
      <c r="M4809" t="s">
        <v>38072</v>
      </c>
      <c r="N4809" t="s">
        <v>40436</v>
      </c>
      <c r="O4809" t="s">
        <v>40437</v>
      </c>
      <c r="P4809">
        <v>0</v>
      </c>
      <c r="Q4809">
        <v>1</v>
      </c>
      <c r="R4809" t="s">
        <v>40440</v>
      </c>
      <c r="S4809" t="s">
        <v>40603</v>
      </c>
      <c r="T4809" t="s">
        <v>42233</v>
      </c>
      <c r="U4809" t="s">
        <v>42638</v>
      </c>
      <c r="W4809" t="s">
        <v>38072</v>
      </c>
      <c r="X4809" t="s">
        <v>40445</v>
      </c>
    </row>
    <row r="4810" spans="1:24">
      <c r="A4810">
        <f>HYPERLINK("https://www.philgeps.gov.ph/GEPSNONPILOT/Tender/SplashBidNoticeAbstractUI.aspx?menuIndex=3&amp;refID=7041031&amp;Result=3","7041031")</f>
        <v>0</v>
      </c>
      <c r="B4810" t="s">
        <v>1449</v>
      </c>
      <c r="C4810" t="s">
        <v>7669</v>
      </c>
      <c r="D4810" t="s">
        <v>16189</v>
      </c>
      <c r="E4810" t="s">
        <v>20550</v>
      </c>
      <c r="F4810" t="s">
        <v>28198</v>
      </c>
      <c r="G4810" t="s">
        <v>28205</v>
      </c>
      <c r="H4810" t="s">
        <v>28214</v>
      </c>
      <c r="I4810" t="s">
        <v>3797</v>
      </c>
      <c r="J4810" t="s">
        <v>31415</v>
      </c>
      <c r="K4810" t="s">
        <v>36821</v>
      </c>
      <c r="M4810" t="s">
        <v>38516</v>
      </c>
      <c r="N4810" t="s">
        <v>40436</v>
      </c>
      <c r="O4810" t="s">
        <v>40437</v>
      </c>
      <c r="P4810">
        <v>0</v>
      </c>
      <c r="Q4810">
        <v>0</v>
      </c>
      <c r="R4810" t="s">
        <v>40440</v>
      </c>
      <c r="S4810" t="s">
        <v>40603</v>
      </c>
      <c r="T4810" t="s">
        <v>42130</v>
      </c>
      <c r="U4810" t="s">
        <v>46717</v>
      </c>
      <c r="W4810" t="s">
        <v>38516</v>
      </c>
      <c r="X4810" t="s">
        <v>40444</v>
      </c>
    </row>
    <row r="4811" spans="1:24">
      <c r="A4811">
        <f>HYPERLINK("https://www.philgeps.gov.ph/GEPSNONPILOT/Tender/SplashBidNoticeAbstractUI.aspx?menuIndex=3&amp;refID=7040181&amp;Result=3","7040181")</f>
        <v>0</v>
      </c>
      <c r="B4811" t="s">
        <v>121</v>
      </c>
      <c r="C4811" t="s">
        <v>7670</v>
      </c>
      <c r="D4811" t="s">
        <v>16207</v>
      </c>
      <c r="E4811" t="s">
        <v>20551</v>
      </c>
      <c r="F4811" t="s">
        <v>28198</v>
      </c>
      <c r="G4811" t="s">
        <v>28207</v>
      </c>
      <c r="H4811" t="s">
        <v>28215</v>
      </c>
      <c r="I4811" t="s">
        <v>5631</v>
      </c>
      <c r="J4811" t="s">
        <v>31416</v>
      </c>
      <c r="K4811" t="s">
        <v>36706</v>
      </c>
      <c r="M4811" t="s">
        <v>38147</v>
      </c>
      <c r="N4811" t="s">
        <v>40436</v>
      </c>
      <c r="O4811" t="s">
        <v>40437</v>
      </c>
      <c r="P4811">
        <v>0</v>
      </c>
      <c r="Q4811">
        <v>1</v>
      </c>
      <c r="R4811" t="s">
        <v>40440</v>
      </c>
      <c r="S4811" t="s">
        <v>40603</v>
      </c>
      <c r="T4811" t="s">
        <v>42233</v>
      </c>
      <c r="U4811" t="s">
        <v>46718</v>
      </c>
      <c r="W4811" t="s">
        <v>38147</v>
      </c>
      <c r="X4811" t="s">
        <v>40445</v>
      </c>
    </row>
    <row r="4812" spans="1:24">
      <c r="A4812">
        <f>HYPERLINK("https://www.philgeps.gov.ph/GEPSNONPILOT/Tender/SplashBidNoticeAbstractUI.aspx?menuIndex=3&amp;refID=7040286&amp;Result=3","7040286")</f>
        <v>0</v>
      </c>
      <c r="B4812" t="s">
        <v>121</v>
      </c>
      <c r="C4812" t="s">
        <v>7671</v>
      </c>
      <c r="D4812" t="s">
        <v>16207</v>
      </c>
      <c r="E4812" t="s">
        <v>20552</v>
      </c>
      <c r="F4812" t="s">
        <v>28198</v>
      </c>
      <c r="G4812" t="s">
        <v>28207</v>
      </c>
      <c r="H4812" t="s">
        <v>28215</v>
      </c>
      <c r="I4812" t="s">
        <v>5631</v>
      </c>
      <c r="J4812" t="s">
        <v>31417</v>
      </c>
      <c r="K4812" t="s">
        <v>36706</v>
      </c>
      <c r="M4812" t="s">
        <v>38147</v>
      </c>
      <c r="N4812" t="s">
        <v>40436</v>
      </c>
      <c r="O4812" t="s">
        <v>40437</v>
      </c>
      <c r="P4812">
        <v>0</v>
      </c>
      <c r="Q4812">
        <v>0</v>
      </c>
      <c r="R4812" t="s">
        <v>40440</v>
      </c>
      <c r="S4812" t="s">
        <v>40603</v>
      </c>
      <c r="T4812" t="s">
        <v>42233</v>
      </c>
      <c r="U4812" t="s">
        <v>46719</v>
      </c>
      <c r="W4812" t="s">
        <v>38147</v>
      </c>
      <c r="X4812" t="s">
        <v>40445</v>
      </c>
    </row>
    <row r="4813" spans="1:24">
      <c r="A4813">
        <f>HYPERLINK("https://www.philgeps.gov.ph/GEPSNONPILOT/Tender/SplashBidNoticeAbstractUI.aspx?menuIndex=3&amp;refID=7040222&amp;Result=3","7040222")</f>
        <v>0</v>
      </c>
      <c r="B4813" t="s">
        <v>121</v>
      </c>
      <c r="C4813" t="s">
        <v>7665</v>
      </c>
      <c r="D4813" t="s">
        <v>16207</v>
      </c>
      <c r="E4813" t="s">
        <v>20553</v>
      </c>
      <c r="F4813" t="s">
        <v>28198</v>
      </c>
      <c r="G4813" t="s">
        <v>28207</v>
      </c>
      <c r="H4813" t="s">
        <v>28215</v>
      </c>
      <c r="I4813" t="s">
        <v>5631</v>
      </c>
      <c r="J4813" t="s">
        <v>31418</v>
      </c>
      <c r="K4813" t="s">
        <v>36706</v>
      </c>
      <c r="M4813" t="s">
        <v>38147</v>
      </c>
      <c r="N4813" t="s">
        <v>40436</v>
      </c>
      <c r="O4813" t="s">
        <v>40437</v>
      </c>
      <c r="P4813">
        <v>0</v>
      </c>
      <c r="Q4813">
        <v>0</v>
      </c>
      <c r="R4813" t="s">
        <v>40440</v>
      </c>
      <c r="S4813" t="s">
        <v>40603</v>
      </c>
      <c r="T4813" t="s">
        <v>42233</v>
      </c>
      <c r="U4813" t="s">
        <v>46720</v>
      </c>
      <c r="W4813" t="s">
        <v>38147</v>
      </c>
      <c r="X4813" t="s">
        <v>40445</v>
      </c>
    </row>
    <row r="4814" spans="1:24">
      <c r="A4814">
        <f>HYPERLINK("https://www.philgeps.gov.ph/GEPSNONPILOT/Tender/SplashBidNoticeAbstractUI.aspx?menuIndex=3&amp;refID=7040373&amp;Result=3","7040373")</f>
        <v>0</v>
      </c>
      <c r="B4814" t="s">
        <v>664</v>
      </c>
      <c r="C4814" t="s">
        <v>7672</v>
      </c>
      <c r="D4814" t="s">
        <v>16260</v>
      </c>
      <c r="E4814" t="s">
        <v>20554</v>
      </c>
      <c r="F4814" t="s">
        <v>28198</v>
      </c>
      <c r="G4814" t="s">
        <v>28205</v>
      </c>
      <c r="H4814" t="s">
        <v>28214</v>
      </c>
      <c r="I4814" t="s">
        <v>3797</v>
      </c>
      <c r="J4814" t="s">
        <v>31419</v>
      </c>
      <c r="K4814" t="s">
        <v>36811</v>
      </c>
      <c r="M4814" t="s">
        <v>38770</v>
      </c>
      <c r="N4814" t="s">
        <v>40436</v>
      </c>
      <c r="O4814" t="s">
        <v>40437</v>
      </c>
      <c r="P4814">
        <v>0</v>
      </c>
      <c r="Q4814">
        <v>0</v>
      </c>
      <c r="R4814" t="s">
        <v>40440</v>
      </c>
      <c r="S4814" t="s">
        <v>40603</v>
      </c>
      <c r="T4814" t="s">
        <v>42124</v>
      </c>
      <c r="U4814" t="s">
        <v>46684</v>
      </c>
      <c r="W4814" t="s">
        <v>38770</v>
      </c>
      <c r="X4814" t="s">
        <v>40445</v>
      </c>
    </row>
    <row r="4815" spans="1:24">
      <c r="A4815">
        <f>HYPERLINK("https://www.philgeps.gov.ph/GEPSNONPILOT/Tender/SplashBidNoticeAbstractUI.aspx?menuIndex=3&amp;refID=7040988&amp;Result=3","7040988")</f>
        <v>0</v>
      </c>
      <c r="B4815" t="s">
        <v>1681</v>
      </c>
      <c r="C4815" t="s">
        <v>7673</v>
      </c>
      <c r="D4815" t="s">
        <v>16199</v>
      </c>
      <c r="E4815" t="s">
        <v>20297</v>
      </c>
      <c r="F4815" t="s">
        <v>28198</v>
      </c>
      <c r="G4815" t="s">
        <v>28205</v>
      </c>
      <c r="H4815" t="s">
        <v>28214</v>
      </c>
      <c r="I4815" t="s">
        <v>5100</v>
      </c>
      <c r="J4815" t="s">
        <v>29016</v>
      </c>
      <c r="K4815" t="s">
        <v>36688</v>
      </c>
      <c r="M4815" t="s">
        <v>38777</v>
      </c>
      <c r="N4815" t="s">
        <v>40436</v>
      </c>
      <c r="O4815" t="s">
        <v>40437</v>
      </c>
      <c r="P4815">
        <v>0</v>
      </c>
      <c r="Q4815">
        <v>0</v>
      </c>
      <c r="R4815" t="s">
        <v>40440</v>
      </c>
      <c r="S4815" t="s">
        <v>40603</v>
      </c>
      <c r="T4815" t="s">
        <v>42111</v>
      </c>
      <c r="U4815" t="s">
        <v>46721</v>
      </c>
      <c r="W4815" t="s">
        <v>38777</v>
      </c>
      <c r="X4815" t="s">
        <v>40444</v>
      </c>
    </row>
    <row r="4816" spans="1:24">
      <c r="A4816">
        <f>HYPERLINK("https://www.philgeps.gov.ph/GEPSNONPILOT/Tender/SplashBidNoticeAbstractUI.aspx?menuIndex=3&amp;refID=7040960&amp;Result=3","7040960")</f>
        <v>0</v>
      </c>
      <c r="B4816" t="s">
        <v>1682</v>
      </c>
      <c r="C4816" t="s">
        <v>7674</v>
      </c>
      <c r="D4816" t="s">
        <v>16214</v>
      </c>
      <c r="E4816" t="s">
        <v>20555</v>
      </c>
      <c r="F4816" t="s">
        <v>28198</v>
      </c>
      <c r="G4816" t="s">
        <v>28205</v>
      </c>
      <c r="H4816" t="s">
        <v>28214</v>
      </c>
      <c r="I4816" t="s">
        <v>28255</v>
      </c>
      <c r="J4816" t="s">
        <v>31420</v>
      </c>
      <c r="K4816" t="s">
        <v>36692</v>
      </c>
      <c r="M4816" t="s">
        <v>38778</v>
      </c>
      <c r="N4816" t="s">
        <v>40436</v>
      </c>
      <c r="O4816" t="s">
        <v>40437</v>
      </c>
      <c r="P4816">
        <v>0</v>
      </c>
      <c r="Q4816">
        <v>3</v>
      </c>
      <c r="R4816" t="s">
        <v>40440</v>
      </c>
      <c r="S4816" t="s">
        <v>40603</v>
      </c>
      <c r="T4816" t="s">
        <v>42118</v>
      </c>
      <c r="U4816" t="s">
        <v>46722</v>
      </c>
      <c r="V4816" t="s">
        <v>54253</v>
      </c>
      <c r="W4816" t="s">
        <v>38778</v>
      </c>
      <c r="X4816" t="s">
        <v>40445</v>
      </c>
    </row>
    <row r="4817" spans="1:24">
      <c r="A4817">
        <f>HYPERLINK("https://www.philgeps.gov.ph/GEPSNONPILOT/Tender/SplashBidNoticeAbstractUI.aspx?menuIndex=3&amp;refID=7041014&amp;Result=3","7041014")</f>
        <v>0</v>
      </c>
      <c r="B4817" t="s">
        <v>1683</v>
      </c>
      <c r="C4817" t="s">
        <v>7675</v>
      </c>
      <c r="D4817" t="s">
        <v>16223</v>
      </c>
      <c r="E4817" t="s">
        <v>20556</v>
      </c>
      <c r="F4817" t="s">
        <v>28198</v>
      </c>
      <c r="G4817" t="s">
        <v>28205</v>
      </c>
      <c r="H4817" t="s">
        <v>28214</v>
      </c>
      <c r="I4817" t="s">
        <v>3797</v>
      </c>
      <c r="J4817" t="s">
        <v>28378</v>
      </c>
      <c r="K4817" t="s">
        <v>36694</v>
      </c>
      <c r="M4817" t="s">
        <v>38779</v>
      </c>
      <c r="N4817" t="s">
        <v>40436</v>
      </c>
      <c r="O4817" t="s">
        <v>40437</v>
      </c>
      <c r="P4817">
        <v>0</v>
      </c>
      <c r="Q4817">
        <v>0</v>
      </c>
      <c r="R4817" t="s">
        <v>40440</v>
      </c>
      <c r="S4817" t="s">
        <v>40603</v>
      </c>
      <c r="T4817" t="s">
        <v>42119</v>
      </c>
      <c r="U4817" t="s">
        <v>46723</v>
      </c>
      <c r="W4817" t="s">
        <v>38779</v>
      </c>
      <c r="X4817" t="s">
        <v>40444</v>
      </c>
    </row>
    <row r="4818" spans="1:24">
      <c r="A4818">
        <f>HYPERLINK("https://www.philgeps.gov.ph/GEPSNONPILOT/Tender/SplashBidNoticeAbstractUI.aspx?menuIndex=3&amp;refID=7040403&amp;Result=3","7040403")</f>
        <v>0</v>
      </c>
      <c r="B4818" t="s">
        <v>664</v>
      </c>
      <c r="C4818" t="s">
        <v>7676</v>
      </c>
      <c r="D4818" t="s">
        <v>16260</v>
      </c>
      <c r="E4818" t="s">
        <v>20557</v>
      </c>
      <c r="F4818" t="s">
        <v>28198</v>
      </c>
      <c r="G4818" t="s">
        <v>28205</v>
      </c>
      <c r="H4818" t="s">
        <v>28214</v>
      </c>
      <c r="I4818" t="s">
        <v>3797</v>
      </c>
      <c r="J4818" t="s">
        <v>31421</v>
      </c>
      <c r="K4818" t="s">
        <v>36778</v>
      </c>
      <c r="M4818" t="s">
        <v>38770</v>
      </c>
      <c r="N4818" t="s">
        <v>40436</v>
      </c>
      <c r="O4818" t="s">
        <v>40437</v>
      </c>
      <c r="P4818">
        <v>0</v>
      </c>
      <c r="Q4818">
        <v>0</v>
      </c>
      <c r="R4818" t="s">
        <v>40440</v>
      </c>
      <c r="S4818" t="s">
        <v>40603</v>
      </c>
      <c r="T4818" t="s">
        <v>42124</v>
      </c>
      <c r="U4818" t="s">
        <v>46684</v>
      </c>
      <c r="W4818" t="s">
        <v>38770</v>
      </c>
      <c r="X4818" t="s">
        <v>40445</v>
      </c>
    </row>
    <row r="4819" spans="1:24">
      <c r="A4819">
        <f>HYPERLINK("https://www.philgeps.gov.ph/GEPSNONPILOT/Tender/SplashBidNoticeAbstractUI.aspx?menuIndex=3&amp;refID=7040516&amp;Result=3","7040516")</f>
        <v>0</v>
      </c>
      <c r="B4819" t="s">
        <v>664</v>
      </c>
      <c r="C4819" t="s">
        <v>7677</v>
      </c>
      <c r="D4819" t="s">
        <v>16260</v>
      </c>
      <c r="E4819" t="s">
        <v>20558</v>
      </c>
      <c r="F4819" t="s">
        <v>28198</v>
      </c>
      <c r="G4819" t="s">
        <v>28205</v>
      </c>
      <c r="H4819" t="s">
        <v>28214</v>
      </c>
      <c r="I4819" t="s">
        <v>3797</v>
      </c>
      <c r="J4819" t="s">
        <v>31422</v>
      </c>
      <c r="K4819" t="s">
        <v>36687</v>
      </c>
      <c r="M4819" t="s">
        <v>38770</v>
      </c>
      <c r="N4819" t="s">
        <v>40436</v>
      </c>
      <c r="O4819" t="s">
        <v>40437</v>
      </c>
      <c r="P4819">
        <v>0</v>
      </c>
      <c r="Q4819">
        <v>0</v>
      </c>
      <c r="R4819" t="s">
        <v>40440</v>
      </c>
      <c r="S4819" t="s">
        <v>40603</v>
      </c>
      <c r="T4819" t="s">
        <v>42124</v>
      </c>
      <c r="U4819" t="s">
        <v>46684</v>
      </c>
      <c r="W4819" t="s">
        <v>38770</v>
      </c>
      <c r="X4819" t="s">
        <v>40445</v>
      </c>
    </row>
    <row r="4820" spans="1:24">
      <c r="A4820">
        <f>HYPERLINK("https://www.philgeps.gov.ph/GEPSNONPILOT/Tender/SplashBidNoticeAbstractUI.aspx?menuIndex=3&amp;refID=7040316&amp;Result=3","7040316")</f>
        <v>0</v>
      </c>
      <c r="B4820" t="s">
        <v>664</v>
      </c>
      <c r="C4820" t="s">
        <v>7678</v>
      </c>
      <c r="D4820" t="s">
        <v>16260</v>
      </c>
      <c r="E4820" t="s">
        <v>20559</v>
      </c>
      <c r="F4820" t="s">
        <v>28198</v>
      </c>
      <c r="G4820" t="s">
        <v>28205</v>
      </c>
      <c r="H4820" t="s">
        <v>28214</v>
      </c>
      <c r="I4820" t="s">
        <v>3797</v>
      </c>
      <c r="J4820" t="s">
        <v>28576</v>
      </c>
      <c r="K4820" t="s">
        <v>36822</v>
      </c>
      <c r="M4820" t="s">
        <v>38770</v>
      </c>
      <c r="N4820" t="s">
        <v>40436</v>
      </c>
      <c r="O4820" t="s">
        <v>40437</v>
      </c>
      <c r="P4820">
        <v>0</v>
      </c>
      <c r="Q4820">
        <v>0</v>
      </c>
      <c r="R4820" t="s">
        <v>40440</v>
      </c>
      <c r="S4820" t="s">
        <v>40603</v>
      </c>
      <c r="T4820" t="s">
        <v>42124</v>
      </c>
      <c r="U4820" t="s">
        <v>46684</v>
      </c>
      <c r="W4820" t="s">
        <v>38770</v>
      </c>
      <c r="X4820" t="s">
        <v>40445</v>
      </c>
    </row>
    <row r="4821" spans="1:24">
      <c r="A4821">
        <f>HYPERLINK("https://www.philgeps.gov.ph/GEPSNONPILOT/Tender/SplashBidNoticeAbstractUI.aspx?menuIndex=3&amp;refID=7040475&amp;Result=3","7040475")</f>
        <v>0</v>
      </c>
      <c r="B4821" t="s">
        <v>664</v>
      </c>
      <c r="C4821" t="s">
        <v>7679</v>
      </c>
      <c r="D4821" t="s">
        <v>16260</v>
      </c>
      <c r="E4821" t="s">
        <v>20560</v>
      </c>
      <c r="F4821" t="s">
        <v>28198</v>
      </c>
      <c r="G4821" t="s">
        <v>28205</v>
      </c>
      <c r="H4821" t="s">
        <v>28214</v>
      </c>
      <c r="I4821" t="s">
        <v>3797</v>
      </c>
      <c r="J4821" t="s">
        <v>28345</v>
      </c>
      <c r="K4821" t="s">
        <v>36695</v>
      </c>
      <c r="M4821" t="s">
        <v>38770</v>
      </c>
      <c r="N4821" t="s">
        <v>40436</v>
      </c>
      <c r="O4821" t="s">
        <v>40437</v>
      </c>
      <c r="P4821">
        <v>0</v>
      </c>
      <c r="Q4821">
        <v>0</v>
      </c>
      <c r="R4821" t="s">
        <v>40440</v>
      </c>
      <c r="S4821" t="s">
        <v>40603</v>
      </c>
      <c r="T4821" t="s">
        <v>42124</v>
      </c>
      <c r="U4821" t="s">
        <v>46684</v>
      </c>
      <c r="W4821" t="s">
        <v>38770</v>
      </c>
      <c r="X4821" t="s">
        <v>40445</v>
      </c>
    </row>
    <row r="4822" spans="1:24">
      <c r="A4822">
        <f>HYPERLINK("https://www.philgeps.gov.ph/GEPSNONPILOT/Tender/SplashBidNoticeAbstractUI.aspx?menuIndex=3&amp;refID=7041032&amp;Result=3","7041032")</f>
        <v>0</v>
      </c>
      <c r="B4822" t="s">
        <v>1683</v>
      </c>
      <c r="C4822" t="s">
        <v>7680</v>
      </c>
      <c r="D4822" t="s">
        <v>16223</v>
      </c>
      <c r="E4822" t="s">
        <v>20561</v>
      </c>
      <c r="F4822" t="s">
        <v>28198</v>
      </c>
      <c r="G4822" t="s">
        <v>28205</v>
      </c>
      <c r="H4822" t="s">
        <v>28214</v>
      </c>
      <c r="I4822" t="s">
        <v>3797</v>
      </c>
      <c r="J4822" t="s">
        <v>28378</v>
      </c>
      <c r="K4822" t="s">
        <v>36694</v>
      </c>
      <c r="M4822" t="s">
        <v>38779</v>
      </c>
      <c r="N4822" t="s">
        <v>40436</v>
      </c>
      <c r="O4822" t="s">
        <v>40437</v>
      </c>
      <c r="P4822">
        <v>0</v>
      </c>
      <c r="Q4822">
        <v>0</v>
      </c>
      <c r="R4822" t="s">
        <v>40440</v>
      </c>
      <c r="S4822" t="s">
        <v>40603</v>
      </c>
      <c r="T4822" t="s">
        <v>42119</v>
      </c>
      <c r="U4822" t="s">
        <v>46723</v>
      </c>
      <c r="W4822" t="s">
        <v>38779</v>
      </c>
      <c r="X4822" t="s">
        <v>40444</v>
      </c>
    </row>
    <row r="4823" spans="1:24">
      <c r="A4823">
        <f>HYPERLINK("https://www.philgeps.gov.ph/GEPSNONPILOT/Tender/SplashBidNoticeAbstractUI.aspx?menuIndex=3&amp;refID=7041086&amp;Result=3","7041086")</f>
        <v>0</v>
      </c>
      <c r="B4823" t="s">
        <v>1684</v>
      </c>
      <c r="C4823" t="s">
        <v>7681</v>
      </c>
      <c r="D4823" t="s">
        <v>16268</v>
      </c>
      <c r="E4823" t="s">
        <v>20562</v>
      </c>
      <c r="F4823" t="s">
        <v>28198</v>
      </c>
      <c r="G4823" t="s">
        <v>28206</v>
      </c>
      <c r="H4823" t="s">
        <v>28215</v>
      </c>
      <c r="I4823" t="s">
        <v>28221</v>
      </c>
      <c r="J4823" t="s">
        <v>31423</v>
      </c>
      <c r="K4823" t="s">
        <v>36707</v>
      </c>
      <c r="M4823" t="s">
        <v>38780</v>
      </c>
      <c r="N4823" t="s">
        <v>40436</v>
      </c>
      <c r="O4823" t="s">
        <v>40437</v>
      </c>
      <c r="P4823">
        <v>0</v>
      </c>
      <c r="Q4823">
        <v>1</v>
      </c>
      <c r="R4823" t="s">
        <v>40440</v>
      </c>
      <c r="S4823" t="s">
        <v>40603</v>
      </c>
      <c r="T4823" t="s">
        <v>42153</v>
      </c>
      <c r="U4823" t="s">
        <v>46724</v>
      </c>
      <c r="V4823" t="s">
        <v>54254</v>
      </c>
      <c r="W4823" t="s">
        <v>38780</v>
      </c>
      <c r="X4823" t="s">
        <v>40444</v>
      </c>
    </row>
    <row r="4824" spans="1:24">
      <c r="A4824">
        <f>HYPERLINK("https://www.philgeps.gov.ph/GEPSNONPILOT/Tender/SplashBidNoticeAbstractUI.aspx?menuIndex=3&amp;refID=7041073&amp;Result=3","7041073")</f>
        <v>0</v>
      </c>
      <c r="B4824" t="s">
        <v>34</v>
      </c>
      <c r="C4824" t="s">
        <v>7682</v>
      </c>
      <c r="D4824" t="s">
        <v>16195</v>
      </c>
      <c r="E4824" t="s">
        <v>20563</v>
      </c>
      <c r="F4824" t="s">
        <v>28198</v>
      </c>
      <c r="G4824" t="s">
        <v>28205</v>
      </c>
      <c r="H4824" t="s">
        <v>28215</v>
      </c>
      <c r="I4824" t="s">
        <v>5082</v>
      </c>
      <c r="J4824" t="s">
        <v>31424</v>
      </c>
      <c r="K4824" t="s">
        <v>36696</v>
      </c>
      <c r="M4824" t="s">
        <v>37015</v>
      </c>
      <c r="N4824" t="s">
        <v>40436</v>
      </c>
      <c r="O4824" t="s">
        <v>40437</v>
      </c>
      <c r="Q4824">
        <v>0</v>
      </c>
      <c r="R4824" t="s">
        <v>40440</v>
      </c>
      <c r="S4824" t="s">
        <v>40611</v>
      </c>
      <c r="T4824" t="s">
        <v>42179</v>
      </c>
      <c r="U4824" t="s">
        <v>46725</v>
      </c>
      <c r="V4824" t="s">
        <v>54255</v>
      </c>
      <c r="W4824" t="s">
        <v>37015</v>
      </c>
      <c r="X4824" t="s">
        <v>40444</v>
      </c>
    </row>
    <row r="4825" spans="1:24">
      <c r="A4825">
        <f>HYPERLINK("https://www.philgeps.gov.ph/GEPSNONPILOT/Tender/SplashBidNoticeAbstractUI.aspx?menuIndex=3&amp;refID=7041118&amp;Result=3","7041118")</f>
        <v>0</v>
      </c>
      <c r="B4825" t="s">
        <v>1683</v>
      </c>
      <c r="C4825" t="s">
        <v>7683</v>
      </c>
      <c r="D4825" t="s">
        <v>16223</v>
      </c>
      <c r="E4825" t="s">
        <v>20564</v>
      </c>
      <c r="F4825" t="s">
        <v>28198</v>
      </c>
      <c r="G4825" t="s">
        <v>28205</v>
      </c>
      <c r="H4825" t="s">
        <v>28214</v>
      </c>
      <c r="I4825" t="s">
        <v>3797</v>
      </c>
      <c r="J4825" t="s">
        <v>28378</v>
      </c>
      <c r="K4825" t="s">
        <v>36694</v>
      </c>
      <c r="M4825" t="s">
        <v>38779</v>
      </c>
      <c r="N4825" t="s">
        <v>40436</v>
      </c>
      <c r="O4825" t="s">
        <v>40437</v>
      </c>
      <c r="P4825">
        <v>0</v>
      </c>
      <c r="Q4825">
        <v>0</v>
      </c>
      <c r="R4825" t="s">
        <v>40440</v>
      </c>
      <c r="S4825" t="s">
        <v>40603</v>
      </c>
      <c r="T4825" t="s">
        <v>42119</v>
      </c>
      <c r="U4825" t="s">
        <v>46723</v>
      </c>
      <c r="W4825" t="s">
        <v>38779</v>
      </c>
      <c r="X4825" t="s">
        <v>40444</v>
      </c>
    </row>
    <row r="4826" spans="1:24">
      <c r="A4826">
        <f>HYPERLINK("https://www.philgeps.gov.ph/GEPSNONPILOT/Tender/SplashBidNoticeAbstractUI.aspx?menuIndex=3&amp;refID=7041056&amp;Result=3","7041056")</f>
        <v>0</v>
      </c>
      <c r="B4826" t="s">
        <v>204</v>
      </c>
      <c r="C4826" t="s">
        <v>7684</v>
      </c>
      <c r="D4826" t="s">
        <v>16187</v>
      </c>
      <c r="E4826" t="s">
        <v>20565</v>
      </c>
      <c r="F4826" t="s">
        <v>28198</v>
      </c>
      <c r="G4826" t="s">
        <v>28207</v>
      </c>
      <c r="H4826" t="s">
        <v>28215</v>
      </c>
      <c r="I4826" t="s">
        <v>28253</v>
      </c>
      <c r="J4826" t="s">
        <v>31425</v>
      </c>
      <c r="K4826" t="s">
        <v>36701</v>
      </c>
      <c r="M4826" t="s">
        <v>37180</v>
      </c>
      <c r="N4826" t="s">
        <v>40436</v>
      </c>
      <c r="O4826" t="s">
        <v>40437</v>
      </c>
      <c r="P4826">
        <v>0</v>
      </c>
      <c r="Q4826">
        <v>1</v>
      </c>
      <c r="R4826" t="s">
        <v>40440</v>
      </c>
      <c r="S4826" t="s">
        <v>40603</v>
      </c>
      <c r="T4826" t="s">
        <v>42160</v>
      </c>
      <c r="U4826" t="s">
        <v>46726</v>
      </c>
      <c r="W4826" t="s">
        <v>37180</v>
      </c>
      <c r="X4826" t="s">
        <v>40444</v>
      </c>
    </row>
    <row r="4827" spans="1:24">
      <c r="A4827">
        <f>HYPERLINK("https://www.philgeps.gov.ph/GEPSNONPILOT/Tender/SplashBidNoticeAbstractUI.aspx?menuIndex=3&amp;refID=7041120&amp;Result=3","7041120")</f>
        <v>0</v>
      </c>
      <c r="B4827" t="s">
        <v>816</v>
      </c>
      <c r="C4827" t="s">
        <v>7685</v>
      </c>
      <c r="D4827" t="s">
        <v>16200</v>
      </c>
      <c r="E4827" t="s">
        <v>20566</v>
      </c>
      <c r="F4827" t="s">
        <v>28198</v>
      </c>
      <c r="G4827" t="s">
        <v>28207</v>
      </c>
      <c r="H4827" t="s">
        <v>28215</v>
      </c>
      <c r="I4827" t="s">
        <v>28224</v>
      </c>
      <c r="J4827" t="s">
        <v>31426</v>
      </c>
      <c r="K4827" t="s">
        <v>36689</v>
      </c>
      <c r="M4827" t="s">
        <v>38781</v>
      </c>
      <c r="N4827" t="s">
        <v>40436</v>
      </c>
      <c r="O4827" t="s">
        <v>40437</v>
      </c>
      <c r="P4827">
        <v>0</v>
      </c>
      <c r="Q4827">
        <v>2</v>
      </c>
      <c r="R4827" t="s">
        <v>40440</v>
      </c>
      <c r="S4827" t="s">
        <v>40603</v>
      </c>
      <c r="T4827" t="s">
        <v>42185</v>
      </c>
      <c r="U4827" t="s">
        <v>46727</v>
      </c>
      <c r="W4827" t="s">
        <v>38781</v>
      </c>
      <c r="X4827" t="s">
        <v>40444</v>
      </c>
    </row>
    <row r="4828" spans="1:24">
      <c r="A4828">
        <f>HYPERLINK("https://www.philgeps.gov.ph/GEPSNONPILOT/Tender/SplashBidNoticeAbstractUI.aspx?menuIndex=3&amp;refID=7041102&amp;Result=3","7041102")</f>
        <v>0</v>
      </c>
      <c r="B4828" t="s">
        <v>1685</v>
      </c>
      <c r="C4828" t="s">
        <v>7686</v>
      </c>
      <c r="D4828" t="s">
        <v>16223</v>
      </c>
      <c r="E4828" t="s">
        <v>20567</v>
      </c>
      <c r="F4828" t="s">
        <v>28198</v>
      </c>
      <c r="G4828" t="s">
        <v>28206</v>
      </c>
      <c r="H4828" t="s">
        <v>28215</v>
      </c>
      <c r="I4828" t="s">
        <v>4505</v>
      </c>
      <c r="J4828" t="s">
        <v>28345</v>
      </c>
      <c r="K4828" t="s">
        <v>36701</v>
      </c>
      <c r="M4828" t="s">
        <v>38782</v>
      </c>
      <c r="N4828" t="s">
        <v>40436</v>
      </c>
      <c r="O4828" t="s">
        <v>40437</v>
      </c>
      <c r="P4828">
        <v>0</v>
      </c>
      <c r="Q4828">
        <v>3</v>
      </c>
      <c r="R4828" t="s">
        <v>40440</v>
      </c>
      <c r="S4828" t="s">
        <v>40603</v>
      </c>
      <c r="T4828" t="s">
        <v>42350</v>
      </c>
      <c r="U4828" t="s">
        <v>46728</v>
      </c>
      <c r="W4828" t="s">
        <v>38782</v>
      </c>
      <c r="X4828" t="s">
        <v>40444</v>
      </c>
    </row>
    <row r="4829" spans="1:24">
      <c r="A4829">
        <f>HYPERLINK("https://www.philgeps.gov.ph/GEPSNONPILOT/Tender/SplashBidNoticeAbstractUI.aspx?menuIndex=3&amp;refID=7041115&amp;Result=3","7041115")</f>
        <v>0</v>
      </c>
      <c r="B4829" t="s">
        <v>1686</v>
      </c>
      <c r="C4829" t="s">
        <v>7687</v>
      </c>
      <c r="D4829" t="s">
        <v>16216</v>
      </c>
      <c r="E4829" t="s">
        <v>19465</v>
      </c>
      <c r="F4829" t="s">
        <v>28198</v>
      </c>
      <c r="G4829" t="s">
        <v>28205</v>
      </c>
      <c r="H4829" t="s">
        <v>28215</v>
      </c>
      <c r="I4829" t="s">
        <v>28222</v>
      </c>
      <c r="J4829" t="s">
        <v>28694</v>
      </c>
      <c r="K4829" t="s">
        <v>36707</v>
      </c>
      <c r="M4829" t="s">
        <v>38783</v>
      </c>
      <c r="N4829" t="s">
        <v>40436</v>
      </c>
      <c r="O4829" t="s">
        <v>40437</v>
      </c>
      <c r="P4829">
        <v>0</v>
      </c>
      <c r="Q4829">
        <v>1</v>
      </c>
      <c r="R4829" t="s">
        <v>40440</v>
      </c>
      <c r="S4829" t="s">
        <v>40603</v>
      </c>
      <c r="T4829" t="s">
        <v>42103</v>
      </c>
      <c r="U4829" t="s">
        <v>46729</v>
      </c>
      <c r="W4829" t="s">
        <v>38783</v>
      </c>
      <c r="X4829" t="s">
        <v>40444</v>
      </c>
    </row>
    <row r="4830" spans="1:24">
      <c r="A4830">
        <f>HYPERLINK("https://www.philgeps.gov.ph/GEPSNONPILOT/Tender/SplashBidNoticeAbstractUI.aspx?menuIndex=3&amp;refID=7041099&amp;Result=3","7041099")</f>
        <v>0</v>
      </c>
      <c r="B4830" t="s">
        <v>1687</v>
      </c>
      <c r="C4830" t="s">
        <v>7688</v>
      </c>
      <c r="D4830" t="s">
        <v>16200</v>
      </c>
      <c r="E4830" t="s">
        <v>20568</v>
      </c>
      <c r="F4830" t="s">
        <v>28198</v>
      </c>
      <c r="G4830" t="s">
        <v>28206</v>
      </c>
      <c r="H4830" t="s">
        <v>28215</v>
      </c>
      <c r="I4830" t="s">
        <v>28229</v>
      </c>
      <c r="J4830" t="s">
        <v>31427</v>
      </c>
      <c r="K4830" t="s">
        <v>36687</v>
      </c>
      <c r="M4830" t="s">
        <v>38784</v>
      </c>
      <c r="N4830" t="s">
        <v>40436</v>
      </c>
      <c r="O4830" t="s">
        <v>40437</v>
      </c>
      <c r="P4830">
        <v>0</v>
      </c>
      <c r="Q4830">
        <v>2</v>
      </c>
      <c r="R4830" t="s">
        <v>40440</v>
      </c>
      <c r="S4830" t="s">
        <v>40603</v>
      </c>
      <c r="T4830" t="s">
        <v>42233</v>
      </c>
      <c r="U4830" t="s">
        <v>46730</v>
      </c>
      <c r="W4830" t="s">
        <v>38784</v>
      </c>
      <c r="X4830" t="s">
        <v>40444</v>
      </c>
    </row>
    <row r="4831" spans="1:24">
      <c r="A4831">
        <f>HYPERLINK("https://www.philgeps.gov.ph/GEPSNONPILOT/Tender/SplashBidNoticeAbstractUI.aspx?menuIndex=3&amp;refID=7041098&amp;Result=3","7041098")</f>
        <v>0</v>
      </c>
      <c r="B4831" t="s">
        <v>34</v>
      </c>
      <c r="C4831" t="s">
        <v>7689</v>
      </c>
      <c r="D4831" t="s">
        <v>16195</v>
      </c>
      <c r="E4831" t="s">
        <v>20569</v>
      </c>
      <c r="F4831" t="s">
        <v>28198</v>
      </c>
      <c r="G4831" t="s">
        <v>28205</v>
      </c>
      <c r="H4831" t="s">
        <v>28215</v>
      </c>
      <c r="I4831" t="s">
        <v>8888</v>
      </c>
      <c r="J4831" t="s">
        <v>30667</v>
      </c>
      <c r="K4831" t="s">
        <v>36696</v>
      </c>
      <c r="M4831" t="s">
        <v>37015</v>
      </c>
      <c r="N4831" t="s">
        <v>40436</v>
      </c>
      <c r="O4831" t="s">
        <v>40437</v>
      </c>
      <c r="Q4831">
        <v>3</v>
      </c>
      <c r="R4831" t="s">
        <v>40440</v>
      </c>
      <c r="S4831" t="s">
        <v>40612</v>
      </c>
      <c r="T4831" t="s">
        <v>42179</v>
      </c>
      <c r="U4831" t="s">
        <v>46731</v>
      </c>
      <c r="V4831" t="s">
        <v>53784</v>
      </c>
      <c r="W4831" t="s">
        <v>37015</v>
      </c>
      <c r="X4831" t="s">
        <v>40444</v>
      </c>
    </row>
    <row r="4832" spans="1:24">
      <c r="A4832">
        <f>HYPERLINK("https://www.philgeps.gov.ph/GEPSNONPILOT/Tender/SplashBidNoticeAbstractUI.aspx?menuIndex=3&amp;refID=7041114&amp;Result=3","7041114")</f>
        <v>0</v>
      </c>
      <c r="B4832" t="s">
        <v>34</v>
      </c>
      <c r="C4832" t="s">
        <v>7690</v>
      </c>
      <c r="D4832" t="s">
        <v>16195</v>
      </c>
      <c r="E4832" t="s">
        <v>20570</v>
      </c>
      <c r="F4832" t="s">
        <v>28198</v>
      </c>
      <c r="G4832" t="s">
        <v>28205</v>
      </c>
      <c r="H4832" t="s">
        <v>28215</v>
      </c>
      <c r="I4832" t="s">
        <v>28247</v>
      </c>
      <c r="J4832" t="s">
        <v>31192</v>
      </c>
      <c r="K4832" t="s">
        <v>36696</v>
      </c>
      <c r="M4832" t="s">
        <v>37015</v>
      </c>
      <c r="N4832" t="s">
        <v>40436</v>
      </c>
      <c r="O4832" t="s">
        <v>40437</v>
      </c>
      <c r="Q4832">
        <v>4</v>
      </c>
      <c r="R4832" t="s">
        <v>40440</v>
      </c>
      <c r="S4832" t="s">
        <v>40613</v>
      </c>
      <c r="T4832" t="s">
        <v>42179</v>
      </c>
      <c r="U4832" t="s">
        <v>46732</v>
      </c>
      <c r="V4832" t="s">
        <v>53784</v>
      </c>
      <c r="W4832" t="s">
        <v>37015</v>
      </c>
      <c r="X4832" t="s">
        <v>40444</v>
      </c>
    </row>
    <row r="4833" spans="1:24">
      <c r="A4833">
        <f>HYPERLINK("https://www.philgeps.gov.ph/GEPSNONPILOT/Tender/SplashBidNoticeAbstractUI.aspx?menuIndex=3&amp;refID=7041097&amp;Result=3","7041097")</f>
        <v>0</v>
      </c>
      <c r="B4833" t="s">
        <v>1683</v>
      </c>
      <c r="C4833" t="s">
        <v>7691</v>
      </c>
      <c r="D4833" t="s">
        <v>16223</v>
      </c>
      <c r="E4833" t="s">
        <v>20571</v>
      </c>
      <c r="F4833" t="s">
        <v>28198</v>
      </c>
      <c r="G4833" t="s">
        <v>28205</v>
      </c>
      <c r="H4833" t="s">
        <v>28214</v>
      </c>
      <c r="I4833" t="s">
        <v>3797</v>
      </c>
      <c r="J4833" t="s">
        <v>28378</v>
      </c>
      <c r="K4833" t="s">
        <v>36694</v>
      </c>
      <c r="M4833" t="s">
        <v>38779</v>
      </c>
      <c r="N4833" t="s">
        <v>40436</v>
      </c>
      <c r="O4833" t="s">
        <v>40437</v>
      </c>
      <c r="P4833">
        <v>0</v>
      </c>
      <c r="Q4833">
        <v>0</v>
      </c>
      <c r="R4833" t="s">
        <v>40440</v>
      </c>
      <c r="S4833" t="s">
        <v>40603</v>
      </c>
      <c r="T4833" t="s">
        <v>42119</v>
      </c>
      <c r="U4833" t="s">
        <v>46723</v>
      </c>
      <c r="W4833" t="s">
        <v>38779</v>
      </c>
      <c r="X4833" t="s">
        <v>40444</v>
      </c>
    </row>
    <row r="4834" spans="1:24">
      <c r="A4834">
        <f>HYPERLINK("https://www.philgeps.gov.ph/GEPSNONPILOT/Tender/SplashBidNoticeAbstractUI.aspx?menuIndex=3&amp;refID=7041105&amp;Result=3","7041105")</f>
        <v>0</v>
      </c>
      <c r="B4834" t="s">
        <v>34</v>
      </c>
      <c r="C4834" t="s">
        <v>7692</v>
      </c>
      <c r="D4834" t="s">
        <v>16195</v>
      </c>
      <c r="E4834" t="s">
        <v>20572</v>
      </c>
      <c r="F4834" t="s">
        <v>28198</v>
      </c>
      <c r="G4834" t="s">
        <v>28205</v>
      </c>
      <c r="H4834" t="s">
        <v>28215</v>
      </c>
      <c r="I4834" t="s">
        <v>5071</v>
      </c>
      <c r="J4834" t="s">
        <v>31428</v>
      </c>
      <c r="K4834" t="s">
        <v>36696</v>
      </c>
      <c r="M4834" t="s">
        <v>37015</v>
      </c>
      <c r="N4834" t="s">
        <v>40436</v>
      </c>
      <c r="O4834" t="s">
        <v>40437</v>
      </c>
      <c r="Q4834">
        <v>0</v>
      </c>
      <c r="R4834" t="s">
        <v>40440</v>
      </c>
      <c r="S4834" t="s">
        <v>40614</v>
      </c>
      <c r="T4834" t="s">
        <v>42179</v>
      </c>
      <c r="U4834" t="s">
        <v>46733</v>
      </c>
      <c r="V4834" t="s">
        <v>53784</v>
      </c>
      <c r="W4834" t="s">
        <v>37015</v>
      </c>
      <c r="X4834" t="s">
        <v>40444</v>
      </c>
    </row>
    <row r="4835" spans="1:24">
      <c r="A4835">
        <f>HYPERLINK("https://www.philgeps.gov.ph/GEPSNONPILOT/Tender/SplashBidNoticeAbstractUI.aspx?menuIndex=3&amp;refID=7041084&amp;Result=3","7041084")</f>
        <v>0</v>
      </c>
      <c r="B4835" t="s">
        <v>34</v>
      </c>
      <c r="C4835" t="s">
        <v>7693</v>
      </c>
      <c r="D4835" t="s">
        <v>16195</v>
      </c>
      <c r="E4835" t="s">
        <v>20573</v>
      </c>
      <c r="F4835" t="s">
        <v>28198</v>
      </c>
      <c r="G4835" t="s">
        <v>28205</v>
      </c>
      <c r="H4835" t="s">
        <v>28215</v>
      </c>
      <c r="I4835" t="s">
        <v>8888</v>
      </c>
      <c r="J4835" t="s">
        <v>28511</v>
      </c>
      <c r="K4835" t="s">
        <v>36696</v>
      </c>
      <c r="M4835" t="s">
        <v>37015</v>
      </c>
      <c r="N4835" t="s">
        <v>40436</v>
      </c>
      <c r="O4835" t="s">
        <v>40437</v>
      </c>
      <c r="Q4835">
        <v>1</v>
      </c>
      <c r="R4835" t="s">
        <v>40440</v>
      </c>
      <c r="S4835" t="s">
        <v>40615</v>
      </c>
      <c r="T4835" t="s">
        <v>42179</v>
      </c>
      <c r="U4835" t="s">
        <v>46734</v>
      </c>
      <c r="V4835" t="s">
        <v>53784</v>
      </c>
      <c r="W4835" t="s">
        <v>37015</v>
      </c>
      <c r="X4835" t="s">
        <v>40444</v>
      </c>
    </row>
    <row r="4836" spans="1:24">
      <c r="A4836">
        <f>HYPERLINK("https://www.philgeps.gov.ph/GEPSNONPILOT/Tender/SplashBidNoticeAbstractUI.aspx?menuIndex=3&amp;refID=7041094&amp;Result=3","7041094")</f>
        <v>0</v>
      </c>
      <c r="B4836" t="s">
        <v>1688</v>
      </c>
      <c r="C4836" t="s">
        <v>7694</v>
      </c>
      <c r="D4836" t="s">
        <v>16265</v>
      </c>
      <c r="E4836" t="s">
        <v>20574</v>
      </c>
      <c r="F4836" t="s">
        <v>28198</v>
      </c>
      <c r="G4836" t="s">
        <v>28205</v>
      </c>
      <c r="H4836" t="s">
        <v>28214</v>
      </c>
      <c r="I4836" t="s">
        <v>3797</v>
      </c>
      <c r="J4836" t="s">
        <v>28398</v>
      </c>
      <c r="K4836" t="s">
        <v>36694</v>
      </c>
      <c r="M4836" t="s">
        <v>38785</v>
      </c>
      <c r="N4836" t="s">
        <v>40436</v>
      </c>
      <c r="O4836" t="s">
        <v>40437</v>
      </c>
      <c r="P4836">
        <v>0</v>
      </c>
      <c r="Q4836">
        <v>0</v>
      </c>
      <c r="R4836" t="s">
        <v>40440</v>
      </c>
      <c r="S4836" t="s">
        <v>40603</v>
      </c>
      <c r="T4836" t="s">
        <v>42133</v>
      </c>
      <c r="U4836" t="s">
        <v>46735</v>
      </c>
      <c r="W4836" t="s">
        <v>38785</v>
      </c>
      <c r="X4836" t="s">
        <v>40444</v>
      </c>
    </row>
    <row r="4837" spans="1:24">
      <c r="A4837">
        <f>HYPERLINK("https://www.philgeps.gov.ph/GEPSNONPILOT/Tender/SplashBidNoticeAbstractUI.aspx?menuIndex=3&amp;refID=7041130&amp;Result=3","7041130")</f>
        <v>0</v>
      </c>
      <c r="B4837" t="s">
        <v>34</v>
      </c>
      <c r="C4837" t="s">
        <v>7695</v>
      </c>
      <c r="D4837" t="s">
        <v>16195</v>
      </c>
      <c r="E4837" t="s">
        <v>20575</v>
      </c>
      <c r="F4837" t="s">
        <v>28198</v>
      </c>
      <c r="G4837" t="s">
        <v>28205</v>
      </c>
      <c r="H4837" t="s">
        <v>28215</v>
      </c>
      <c r="I4837" t="s">
        <v>28247</v>
      </c>
      <c r="J4837" t="s">
        <v>31429</v>
      </c>
      <c r="K4837" t="s">
        <v>36696</v>
      </c>
      <c r="M4837" t="s">
        <v>37015</v>
      </c>
      <c r="N4837" t="s">
        <v>40436</v>
      </c>
      <c r="O4837" t="s">
        <v>40437</v>
      </c>
      <c r="Q4837">
        <v>2</v>
      </c>
      <c r="R4837" t="s">
        <v>40440</v>
      </c>
      <c r="S4837" t="s">
        <v>40616</v>
      </c>
      <c r="T4837" t="s">
        <v>42179</v>
      </c>
      <c r="U4837" t="s">
        <v>46736</v>
      </c>
      <c r="V4837" t="s">
        <v>53784</v>
      </c>
      <c r="W4837" t="s">
        <v>37015</v>
      </c>
      <c r="X4837" t="s">
        <v>40444</v>
      </c>
    </row>
    <row r="4838" spans="1:24">
      <c r="A4838">
        <f>HYPERLINK("https://www.philgeps.gov.ph/GEPSNONPILOT/Tender/SplashBidNoticeAbstractUI.aspx?menuIndex=3&amp;refID=7041125&amp;Result=3","7041125")</f>
        <v>0</v>
      </c>
      <c r="B4838" t="s">
        <v>34</v>
      </c>
      <c r="C4838" t="s">
        <v>7696</v>
      </c>
      <c r="D4838" t="s">
        <v>16195</v>
      </c>
      <c r="E4838" t="s">
        <v>20576</v>
      </c>
      <c r="F4838" t="s">
        <v>28198</v>
      </c>
      <c r="G4838" t="s">
        <v>28205</v>
      </c>
      <c r="H4838" t="s">
        <v>28215</v>
      </c>
      <c r="I4838" t="s">
        <v>28247</v>
      </c>
      <c r="J4838" t="s">
        <v>29160</v>
      </c>
      <c r="K4838" t="s">
        <v>36696</v>
      </c>
      <c r="M4838" t="s">
        <v>37015</v>
      </c>
      <c r="N4838" t="s">
        <v>40436</v>
      </c>
      <c r="O4838" t="s">
        <v>40437</v>
      </c>
      <c r="Q4838">
        <v>2</v>
      </c>
      <c r="R4838" t="s">
        <v>40440</v>
      </c>
      <c r="S4838" t="s">
        <v>40617</v>
      </c>
      <c r="T4838" t="s">
        <v>42179</v>
      </c>
      <c r="U4838" t="s">
        <v>46737</v>
      </c>
      <c r="V4838" t="s">
        <v>53784</v>
      </c>
      <c r="W4838" t="s">
        <v>37015</v>
      </c>
      <c r="X4838" t="s">
        <v>40444</v>
      </c>
    </row>
    <row r="4839" spans="1:24">
      <c r="A4839">
        <f>HYPERLINK("https://www.philgeps.gov.ph/GEPSNONPILOT/Tender/SplashBidNoticeAbstractUI.aspx?menuIndex=3&amp;refID=7041068&amp;Result=3","7041068")</f>
        <v>0</v>
      </c>
      <c r="B4839" t="s">
        <v>34</v>
      </c>
      <c r="C4839" t="s">
        <v>7697</v>
      </c>
      <c r="D4839" t="s">
        <v>16195</v>
      </c>
      <c r="E4839" t="s">
        <v>20577</v>
      </c>
      <c r="F4839" t="s">
        <v>28198</v>
      </c>
      <c r="G4839" t="s">
        <v>28205</v>
      </c>
      <c r="H4839" t="s">
        <v>28215</v>
      </c>
      <c r="I4839" t="s">
        <v>28236</v>
      </c>
      <c r="J4839" t="s">
        <v>31430</v>
      </c>
      <c r="K4839" t="s">
        <v>36697</v>
      </c>
      <c r="M4839" t="s">
        <v>38786</v>
      </c>
      <c r="N4839" t="s">
        <v>40436</v>
      </c>
      <c r="O4839" t="s">
        <v>40437</v>
      </c>
      <c r="P4839">
        <v>0</v>
      </c>
      <c r="Q4839">
        <v>0</v>
      </c>
      <c r="R4839" t="s">
        <v>40440</v>
      </c>
      <c r="S4839" t="s">
        <v>40603</v>
      </c>
      <c r="T4839" t="s">
        <v>42281</v>
      </c>
      <c r="U4839" t="s">
        <v>46738</v>
      </c>
      <c r="V4839" t="s">
        <v>53784</v>
      </c>
      <c r="W4839" t="s">
        <v>38786</v>
      </c>
      <c r="X4839" t="s">
        <v>40444</v>
      </c>
    </row>
    <row r="4840" spans="1:24">
      <c r="A4840">
        <f>HYPERLINK("https://www.philgeps.gov.ph/GEPSNONPILOT/Tender/SplashBidNoticeAbstractUI.aspx?menuIndex=3&amp;refID=7041129&amp;Result=3","7041129")</f>
        <v>0</v>
      </c>
      <c r="B4840" t="s">
        <v>204</v>
      </c>
      <c r="C4840" t="s">
        <v>7698</v>
      </c>
      <c r="D4840" t="s">
        <v>16187</v>
      </c>
      <c r="E4840" t="s">
        <v>20578</v>
      </c>
      <c r="F4840" t="s">
        <v>28198</v>
      </c>
      <c r="G4840" t="s">
        <v>28207</v>
      </c>
      <c r="H4840" t="s">
        <v>28215</v>
      </c>
      <c r="I4840" t="s">
        <v>28234</v>
      </c>
      <c r="J4840" t="s">
        <v>31431</v>
      </c>
      <c r="K4840" t="s">
        <v>36701</v>
      </c>
      <c r="M4840" t="s">
        <v>37180</v>
      </c>
      <c r="N4840" t="s">
        <v>40436</v>
      </c>
      <c r="O4840" t="s">
        <v>40437</v>
      </c>
      <c r="P4840">
        <v>0</v>
      </c>
      <c r="Q4840">
        <v>1</v>
      </c>
      <c r="R4840" t="s">
        <v>40440</v>
      </c>
      <c r="S4840" t="s">
        <v>40603</v>
      </c>
      <c r="T4840" t="s">
        <v>42205</v>
      </c>
      <c r="U4840" t="s">
        <v>46739</v>
      </c>
      <c r="W4840" t="s">
        <v>37180</v>
      </c>
      <c r="X4840" t="s">
        <v>40444</v>
      </c>
    </row>
    <row r="4841" spans="1:24">
      <c r="A4841">
        <f>HYPERLINK("https://www.philgeps.gov.ph/GEPSNONPILOT/Tender/SplashBidNoticeAbstractUI.aspx?menuIndex=3&amp;refID=7041058&amp;Result=3","7041058")</f>
        <v>0</v>
      </c>
      <c r="B4841" t="s">
        <v>1683</v>
      </c>
      <c r="C4841" t="s">
        <v>7699</v>
      </c>
      <c r="D4841" t="s">
        <v>16223</v>
      </c>
      <c r="E4841" t="s">
        <v>20579</v>
      </c>
      <c r="F4841" t="s">
        <v>28198</v>
      </c>
      <c r="G4841" t="s">
        <v>28205</v>
      </c>
      <c r="H4841" t="s">
        <v>28214</v>
      </c>
      <c r="I4841" t="s">
        <v>3797</v>
      </c>
      <c r="J4841" t="s">
        <v>31432</v>
      </c>
      <c r="K4841" t="s">
        <v>36823</v>
      </c>
      <c r="M4841" t="s">
        <v>38779</v>
      </c>
      <c r="N4841" t="s">
        <v>40436</v>
      </c>
      <c r="O4841" t="s">
        <v>40437</v>
      </c>
      <c r="P4841">
        <v>0</v>
      </c>
      <c r="Q4841">
        <v>0</v>
      </c>
      <c r="R4841" t="s">
        <v>40440</v>
      </c>
      <c r="S4841" t="s">
        <v>40603</v>
      </c>
      <c r="T4841" t="s">
        <v>42119</v>
      </c>
      <c r="U4841" t="s">
        <v>46723</v>
      </c>
      <c r="W4841" t="s">
        <v>38779</v>
      </c>
      <c r="X4841" t="s">
        <v>40444</v>
      </c>
    </row>
    <row r="4842" spans="1:24">
      <c r="A4842">
        <f>HYPERLINK("https://www.philgeps.gov.ph/GEPSNONPILOT/Tender/SplashBidNoticeAbstractUI.aspx?menuIndex=3&amp;refID=7041137&amp;Result=3","7041137")</f>
        <v>0</v>
      </c>
      <c r="B4842" t="s">
        <v>1683</v>
      </c>
      <c r="C4842" t="s">
        <v>7700</v>
      </c>
      <c r="D4842" t="s">
        <v>16223</v>
      </c>
      <c r="E4842" t="s">
        <v>16685</v>
      </c>
      <c r="F4842" t="s">
        <v>28198</v>
      </c>
      <c r="G4842" t="s">
        <v>28205</v>
      </c>
      <c r="H4842" t="s">
        <v>28214</v>
      </c>
      <c r="I4842" t="s">
        <v>3797</v>
      </c>
      <c r="J4842" t="s">
        <v>28378</v>
      </c>
      <c r="K4842" t="s">
        <v>36694</v>
      </c>
      <c r="M4842" t="s">
        <v>38779</v>
      </c>
      <c r="N4842" t="s">
        <v>40436</v>
      </c>
      <c r="O4842" t="s">
        <v>40437</v>
      </c>
      <c r="P4842">
        <v>0</v>
      </c>
      <c r="Q4842">
        <v>0</v>
      </c>
      <c r="R4842" t="s">
        <v>40440</v>
      </c>
      <c r="S4842" t="s">
        <v>40603</v>
      </c>
      <c r="T4842" t="s">
        <v>42119</v>
      </c>
      <c r="U4842" t="s">
        <v>46723</v>
      </c>
      <c r="W4842" t="s">
        <v>38779</v>
      </c>
      <c r="X4842" t="s">
        <v>40444</v>
      </c>
    </row>
    <row r="4843" spans="1:24">
      <c r="A4843">
        <f>HYPERLINK("https://www.philgeps.gov.ph/GEPSNONPILOT/Tender/SplashBidNoticeAbstractUI.aspx?menuIndex=3&amp;refID=7041135&amp;Result=3","7041135")</f>
        <v>0</v>
      </c>
      <c r="B4843" t="s">
        <v>361</v>
      </c>
      <c r="C4843" t="s">
        <v>7701</v>
      </c>
      <c r="D4843" t="s">
        <v>16236</v>
      </c>
      <c r="E4843" t="s">
        <v>20580</v>
      </c>
      <c r="F4843" t="s">
        <v>28198</v>
      </c>
      <c r="G4843" t="s">
        <v>28205</v>
      </c>
      <c r="H4843" t="s">
        <v>28214</v>
      </c>
      <c r="I4843" t="s">
        <v>3797</v>
      </c>
      <c r="J4843" t="s">
        <v>31433</v>
      </c>
      <c r="K4843" t="s">
        <v>36791</v>
      </c>
      <c r="M4843" t="s">
        <v>38787</v>
      </c>
      <c r="N4843" t="s">
        <v>40436</v>
      </c>
      <c r="O4843" t="s">
        <v>40437</v>
      </c>
      <c r="P4843">
        <v>0</v>
      </c>
      <c r="Q4843">
        <v>0</v>
      </c>
      <c r="R4843" t="s">
        <v>40440</v>
      </c>
      <c r="S4843" t="s">
        <v>40603</v>
      </c>
      <c r="T4843" t="s">
        <v>42128</v>
      </c>
      <c r="U4843" t="s">
        <v>46740</v>
      </c>
      <c r="V4843" t="s">
        <v>54256</v>
      </c>
      <c r="W4843" t="s">
        <v>38787</v>
      </c>
      <c r="X4843" t="s">
        <v>40444</v>
      </c>
    </row>
    <row r="4844" spans="1:24">
      <c r="A4844">
        <f>HYPERLINK("https://www.philgeps.gov.ph/GEPSNONPILOT/Tender/SplashBidNoticeAbstractUI.aspx?menuIndex=3&amp;refID=7041158&amp;Result=3","7041158")</f>
        <v>0</v>
      </c>
      <c r="B4844" t="s">
        <v>405</v>
      </c>
      <c r="C4844" t="s">
        <v>7702</v>
      </c>
      <c r="D4844" t="s">
        <v>16191</v>
      </c>
      <c r="E4844" t="s">
        <v>20581</v>
      </c>
      <c r="F4844" t="s">
        <v>28198</v>
      </c>
      <c r="G4844" t="s">
        <v>28207</v>
      </c>
      <c r="H4844" t="s">
        <v>28215</v>
      </c>
      <c r="I4844" t="s">
        <v>28232</v>
      </c>
      <c r="J4844" t="s">
        <v>28589</v>
      </c>
      <c r="K4844" t="s">
        <v>36688</v>
      </c>
      <c r="M4844" t="s">
        <v>37386</v>
      </c>
      <c r="N4844" t="s">
        <v>40436</v>
      </c>
      <c r="O4844" t="s">
        <v>40437</v>
      </c>
      <c r="P4844">
        <v>0</v>
      </c>
      <c r="Q4844">
        <v>2</v>
      </c>
      <c r="R4844" t="s">
        <v>40440</v>
      </c>
      <c r="S4844" t="s">
        <v>40603</v>
      </c>
      <c r="T4844" t="s">
        <v>42245</v>
      </c>
      <c r="U4844" t="s">
        <v>43307</v>
      </c>
      <c r="W4844" t="s">
        <v>37386</v>
      </c>
      <c r="X4844" t="s">
        <v>40444</v>
      </c>
    </row>
    <row r="4845" spans="1:24">
      <c r="A4845">
        <f>HYPERLINK("https://www.philgeps.gov.ph/GEPSNONPILOT/Tender/SplashBidNoticeAbstractUI.aspx?menuIndex=3&amp;refID=7041174&amp;Result=3","7041174")</f>
        <v>0</v>
      </c>
      <c r="B4845" t="s">
        <v>1204</v>
      </c>
      <c r="C4845" t="s">
        <v>7703</v>
      </c>
      <c r="D4845" t="s">
        <v>16200</v>
      </c>
      <c r="E4845" t="s">
        <v>19413</v>
      </c>
      <c r="F4845" t="s">
        <v>28198</v>
      </c>
      <c r="G4845" t="s">
        <v>28207</v>
      </c>
      <c r="H4845" t="s">
        <v>28215</v>
      </c>
      <c r="I4845" t="s">
        <v>5082</v>
      </c>
      <c r="J4845" t="s">
        <v>31434</v>
      </c>
      <c r="K4845" t="s">
        <v>36706</v>
      </c>
      <c r="M4845" t="s">
        <v>38249</v>
      </c>
      <c r="N4845" t="s">
        <v>40436</v>
      </c>
      <c r="O4845" t="s">
        <v>40437</v>
      </c>
      <c r="P4845">
        <v>0</v>
      </c>
      <c r="Q4845">
        <v>7</v>
      </c>
      <c r="R4845" t="s">
        <v>40440</v>
      </c>
      <c r="S4845" t="s">
        <v>40603</v>
      </c>
      <c r="T4845" t="s">
        <v>42124</v>
      </c>
      <c r="U4845" t="s">
        <v>46741</v>
      </c>
      <c r="W4845" t="s">
        <v>38249</v>
      </c>
      <c r="X4845" t="s">
        <v>40444</v>
      </c>
    </row>
    <row r="4846" spans="1:24">
      <c r="A4846">
        <f>HYPERLINK("https://www.philgeps.gov.ph/GEPSNONPILOT/Tender/SplashBidNoticeAbstractUI.aspx?menuIndex=3&amp;refID=7041156&amp;Result=3","7041156")</f>
        <v>0</v>
      </c>
      <c r="B4846" t="s">
        <v>34</v>
      </c>
      <c r="C4846" t="s">
        <v>7704</v>
      </c>
      <c r="D4846" t="s">
        <v>16195</v>
      </c>
      <c r="E4846" t="s">
        <v>20582</v>
      </c>
      <c r="F4846" t="s">
        <v>28198</v>
      </c>
      <c r="G4846" t="s">
        <v>28205</v>
      </c>
      <c r="H4846" t="s">
        <v>28215</v>
      </c>
      <c r="I4846" t="s">
        <v>28247</v>
      </c>
      <c r="J4846" t="s">
        <v>31435</v>
      </c>
      <c r="K4846" t="s">
        <v>36696</v>
      </c>
      <c r="M4846" t="s">
        <v>37015</v>
      </c>
      <c r="N4846" t="s">
        <v>40436</v>
      </c>
      <c r="O4846" t="s">
        <v>40437</v>
      </c>
      <c r="Q4846">
        <v>3</v>
      </c>
      <c r="R4846" t="s">
        <v>40440</v>
      </c>
      <c r="S4846" t="s">
        <v>40618</v>
      </c>
      <c r="T4846" t="s">
        <v>42179</v>
      </c>
      <c r="U4846" t="s">
        <v>46742</v>
      </c>
      <c r="V4846" t="s">
        <v>53784</v>
      </c>
      <c r="W4846" t="s">
        <v>37015</v>
      </c>
      <c r="X4846" t="s">
        <v>40444</v>
      </c>
    </row>
    <row r="4847" spans="1:24">
      <c r="A4847">
        <f>HYPERLINK("https://www.philgeps.gov.ph/GEPSNONPILOT/Tender/SplashBidNoticeAbstractUI.aspx?menuIndex=3&amp;refID=7041187&amp;Result=3","7041187")</f>
        <v>0</v>
      </c>
      <c r="B4847" t="s">
        <v>361</v>
      </c>
      <c r="C4847" t="s">
        <v>7705</v>
      </c>
      <c r="D4847" t="s">
        <v>16236</v>
      </c>
      <c r="E4847" t="s">
        <v>20583</v>
      </c>
      <c r="F4847" t="s">
        <v>28198</v>
      </c>
      <c r="G4847" t="s">
        <v>28205</v>
      </c>
      <c r="H4847" t="s">
        <v>28214</v>
      </c>
      <c r="I4847" t="s">
        <v>3797</v>
      </c>
      <c r="J4847" t="s">
        <v>31436</v>
      </c>
      <c r="K4847" t="s">
        <v>36699</v>
      </c>
      <c r="M4847" t="s">
        <v>38787</v>
      </c>
      <c r="N4847" t="s">
        <v>40436</v>
      </c>
      <c r="O4847" t="s">
        <v>40437</v>
      </c>
      <c r="P4847">
        <v>0</v>
      </c>
      <c r="Q4847">
        <v>0</v>
      </c>
      <c r="R4847" t="s">
        <v>40440</v>
      </c>
      <c r="S4847" t="s">
        <v>40603</v>
      </c>
      <c r="T4847" t="s">
        <v>42128</v>
      </c>
      <c r="U4847" t="s">
        <v>46743</v>
      </c>
      <c r="V4847" t="s">
        <v>54257</v>
      </c>
      <c r="W4847" t="s">
        <v>38787</v>
      </c>
      <c r="X4847" t="s">
        <v>40444</v>
      </c>
    </row>
    <row r="4848" spans="1:24">
      <c r="A4848">
        <f>HYPERLINK("https://www.philgeps.gov.ph/GEPSNONPILOT/Tender/SplashBidNoticeAbstractUI.aspx?menuIndex=3&amp;refID=7041146&amp;Result=3","7041146")</f>
        <v>0</v>
      </c>
      <c r="B4848" t="s">
        <v>34</v>
      </c>
      <c r="C4848" t="s">
        <v>7706</v>
      </c>
      <c r="D4848" t="s">
        <v>16195</v>
      </c>
      <c r="E4848" t="s">
        <v>20584</v>
      </c>
      <c r="F4848" t="s">
        <v>28198</v>
      </c>
      <c r="G4848" t="s">
        <v>28205</v>
      </c>
      <c r="H4848" t="s">
        <v>28215</v>
      </c>
      <c r="I4848" t="s">
        <v>28225</v>
      </c>
      <c r="J4848" t="s">
        <v>31437</v>
      </c>
      <c r="K4848" t="s">
        <v>36696</v>
      </c>
      <c r="M4848" t="s">
        <v>37015</v>
      </c>
      <c r="N4848" t="s">
        <v>40436</v>
      </c>
      <c r="O4848" t="s">
        <v>40437</v>
      </c>
      <c r="Q4848">
        <v>4</v>
      </c>
      <c r="R4848" t="s">
        <v>40440</v>
      </c>
      <c r="S4848" t="s">
        <v>40619</v>
      </c>
      <c r="T4848" t="s">
        <v>42179</v>
      </c>
      <c r="U4848" t="s">
        <v>46744</v>
      </c>
      <c r="V4848" t="s">
        <v>53784</v>
      </c>
      <c r="W4848" t="s">
        <v>37015</v>
      </c>
      <c r="X4848" t="s">
        <v>40444</v>
      </c>
    </row>
    <row r="4849" spans="1:24">
      <c r="A4849">
        <f>HYPERLINK("https://www.philgeps.gov.ph/GEPSNONPILOT/Tender/SplashBidNoticeAbstractUI.aspx?menuIndex=3&amp;refID=7041149&amp;Result=3","7041149")</f>
        <v>0</v>
      </c>
      <c r="B4849" t="s">
        <v>361</v>
      </c>
      <c r="C4849" t="s">
        <v>7707</v>
      </c>
      <c r="D4849" t="s">
        <v>16236</v>
      </c>
      <c r="E4849" t="s">
        <v>20585</v>
      </c>
      <c r="F4849" t="s">
        <v>28198</v>
      </c>
      <c r="G4849" t="s">
        <v>28205</v>
      </c>
      <c r="H4849" t="s">
        <v>28214</v>
      </c>
      <c r="I4849" t="s">
        <v>3797</v>
      </c>
      <c r="J4849" t="s">
        <v>31438</v>
      </c>
      <c r="K4849" t="s">
        <v>36786</v>
      </c>
      <c r="M4849" t="s">
        <v>38787</v>
      </c>
      <c r="N4849" t="s">
        <v>40436</v>
      </c>
      <c r="O4849" t="s">
        <v>40437</v>
      </c>
      <c r="P4849">
        <v>0</v>
      </c>
      <c r="Q4849">
        <v>1</v>
      </c>
      <c r="R4849" t="s">
        <v>40440</v>
      </c>
      <c r="S4849" t="s">
        <v>40603</v>
      </c>
      <c r="T4849" t="s">
        <v>42128</v>
      </c>
      <c r="U4849" t="s">
        <v>46745</v>
      </c>
      <c r="V4849" t="s">
        <v>54258</v>
      </c>
      <c r="W4849" t="s">
        <v>38787</v>
      </c>
      <c r="X4849" t="s">
        <v>40444</v>
      </c>
    </row>
    <row r="4850" spans="1:24">
      <c r="A4850">
        <f>HYPERLINK("https://www.philgeps.gov.ph/GEPSNONPILOT/Tender/SplashBidNoticeAbstractUI.aspx?menuIndex=3&amp;refID=7041163&amp;Result=3","7041163")</f>
        <v>0</v>
      </c>
      <c r="B4850" t="s">
        <v>1683</v>
      </c>
      <c r="C4850" t="s">
        <v>7708</v>
      </c>
      <c r="D4850" t="s">
        <v>16223</v>
      </c>
      <c r="E4850" t="s">
        <v>20205</v>
      </c>
      <c r="F4850" t="s">
        <v>28198</v>
      </c>
      <c r="G4850" t="s">
        <v>28205</v>
      </c>
      <c r="H4850" t="s">
        <v>28214</v>
      </c>
      <c r="I4850" t="s">
        <v>3797</v>
      </c>
      <c r="J4850" t="s">
        <v>29190</v>
      </c>
      <c r="K4850" t="s">
        <v>36777</v>
      </c>
      <c r="M4850" t="s">
        <v>38779</v>
      </c>
      <c r="N4850" t="s">
        <v>40436</v>
      </c>
      <c r="O4850" t="s">
        <v>40437</v>
      </c>
      <c r="P4850">
        <v>0</v>
      </c>
      <c r="Q4850">
        <v>0</v>
      </c>
      <c r="R4850" t="s">
        <v>40440</v>
      </c>
      <c r="S4850" t="s">
        <v>40603</v>
      </c>
      <c r="T4850" t="s">
        <v>42119</v>
      </c>
      <c r="U4850" t="s">
        <v>46723</v>
      </c>
      <c r="W4850" t="s">
        <v>38779</v>
      </c>
      <c r="X4850" t="s">
        <v>40444</v>
      </c>
    </row>
    <row r="4851" spans="1:24">
      <c r="A4851">
        <f>HYPERLINK("https://www.philgeps.gov.ph/GEPSNONPILOT/Tender/SplashBidNoticeAbstractUI.aspx?menuIndex=3&amp;refID=7041215&amp;Result=3","7041215")</f>
        <v>0</v>
      </c>
      <c r="B4851" t="s">
        <v>261</v>
      </c>
      <c r="C4851" t="s">
        <v>7709</v>
      </c>
      <c r="D4851" t="s">
        <v>16237</v>
      </c>
      <c r="E4851" t="s">
        <v>20586</v>
      </c>
      <c r="F4851" t="s">
        <v>28198</v>
      </c>
      <c r="G4851" t="s">
        <v>28206</v>
      </c>
      <c r="H4851" t="s">
        <v>28215</v>
      </c>
      <c r="I4851" t="s">
        <v>4505</v>
      </c>
      <c r="J4851" t="s">
        <v>28900</v>
      </c>
      <c r="K4851" t="s">
        <v>36707</v>
      </c>
      <c r="M4851" t="s">
        <v>37237</v>
      </c>
      <c r="N4851" t="s">
        <v>40436</v>
      </c>
      <c r="O4851" t="s">
        <v>40437</v>
      </c>
      <c r="P4851">
        <v>0</v>
      </c>
      <c r="Q4851">
        <v>3</v>
      </c>
      <c r="R4851" t="s">
        <v>40440</v>
      </c>
      <c r="S4851" t="s">
        <v>40603</v>
      </c>
      <c r="T4851" t="s">
        <v>42233</v>
      </c>
      <c r="U4851" t="s">
        <v>46746</v>
      </c>
      <c r="W4851" t="s">
        <v>37237</v>
      </c>
      <c r="X4851" t="s">
        <v>40444</v>
      </c>
    </row>
    <row r="4852" spans="1:24">
      <c r="A4852">
        <f>HYPERLINK("https://www.philgeps.gov.ph/GEPSNONPILOT/Tender/SplashBidNoticeAbstractUI.aspx?menuIndex=3&amp;refID=7041246&amp;Result=3","7041246")</f>
        <v>0</v>
      </c>
      <c r="B4852" t="s">
        <v>1685</v>
      </c>
      <c r="C4852" t="s">
        <v>7710</v>
      </c>
      <c r="D4852" t="s">
        <v>16223</v>
      </c>
      <c r="E4852" t="s">
        <v>20587</v>
      </c>
      <c r="F4852" t="s">
        <v>28198</v>
      </c>
      <c r="G4852" t="s">
        <v>28206</v>
      </c>
      <c r="H4852" t="s">
        <v>28215</v>
      </c>
      <c r="I4852" t="s">
        <v>4505</v>
      </c>
      <c r="J4852" t="s">
        <v>28691</v>
      </c>
      <c r="K4852" t="s">
        <v>36701</v>
      </c>
      <c r="M4852" t="s">
        <v>38782</v>
      </c>
      <c r="N4852" t="s">
        <v>40436</v>
      </c>
      <c r="O4852" t="s">
        <v>40437</v>
      </c>
      <c r="P4852">
        <v>0</v>
      </c>
      <c r="Q4852">
        <v>2</v>
      </c>
      <c r="R4852" t="s">
        <v>40440</v>
      </c>
      <c r="S4852" t="s">
        <v>40603</v>
      </c>
      <c r="T4852" t="s">
        <v>42245</v>
      </c>
      <c r="U4852" t="s">
        <v>46747</v>
      </c>
      <c r="W4852" t="s">
        <v>38782</v>
      </c>
      <c r="X4852" t="s">
        <v>40444</v>
      </c>
    </row>
    <row r="4853" spans="1:24">
      <c r="A4853">
        <f>HYPERLINK("https://www.philgeps.gov.ph/GEPSNONPILOT/Tender/SplashBidNoticeAbstractUI.aspx?menuIndex=3&amp;refID=7041202&amp;Result=3","7041202")</f>
        <v>0</v>
      </c>
      <c r="B4853" t="s">
        <v>361</v>
      </c>
      <c r="C4853" t="s">
        <v>7711</v>
      </c>
      <c r="D4853" t="s">
        <v>16236</v>
      </c>
      <c r="E4853" t="s">
        <v>20588</v>
      </c>
      <c r="F4853" t="s">
        <v>28198</v>
      </c>
      <c r="G4853" t="s">
        <v>28205</v>
      </c>
      <c r="H4853" t="s">
        <v>28214</v>
      </c>
      <c r="I4853" t="s">
        <v>3797</v>
      </c>
      <c r="J4853" t="s">
        <v>31439</v>
      </c>
      <c r="K4853" t="s">
        <v>36766</v>
      </c>
      <c r="M4853" t="s">
        <v>38787</v>
      </c>
      <c r="N4853" t="s">
        <v>40436</v>
      </c>
      <c r="O4853" t="s">
        <v>40437</v>
      </c>
      <c r="P4853">
        <v>0</v>
      </c>
      <c r="Q4853">
        <v>0</v>
      </c>
      <c r="R4853" t="s">
        <v>40440</v>
      </c>
      <c r="S4853" t="s">
        <v>40603</v>
      </c>
      <c r="T4853" t="s">
        <v>42128</v>
      </c>
      <c r="U4853" t="s">
        <v>46748</v>
      </c>
      <c r="V4853" t="s">
        <v>54259</v>
      </c>
      <c r="W4853" t="s">
        <v>38787</v>
      </c>
      <c r="X4853" t="s">
        <v>40444</v>
      </c>
    </row>
    <row r="4854" spans="1:24">
      <c r="A4854">
        <f>HYPERLINK("https://www.philgeps.gov.ph/GEPSNONPILOT/Tender/SplashBidNoticeAbstractUI.aspx?menuIndex=3&amp;refID=7041194&amp;Result=3","7041194")</f>
        <v>0</v>
      </c>
      <c r="B4854" t="s">
        <v>1683</v>
      </c>
      <c r="C4854" t="s">
        <v>7712</v>
      </c>
      <c r="D4854" t="s">
        <v>16223</v>
      </c>
      <c r="E4854" t="s">
        <v>20589</v>
      </c>
      <c r="F4854" t="s">
        <v>28198</v>
      </c>
      <c r="G4854" t="s">
        <v>28205</v>
      </c>
      <c r="H4854" t="s">
        <v>28214</v>
      </c>
      <c r="I4854" t="s">
        <v>3797</v>
      </c>
      <c r="J4854" t="s">
        <v>28661</v>
      </c>
      <c r="K4854" t="s">
        <v>36724</v>
      </c>
      <c r="M4854" t="s">
        <v>38779</v>
      </c>
      <c r="N4854" t="s">
        <v>40436</v>
      </c>
      <c r="O4854" t="s">
        <v>40437</v>
      </c>
      <c r="P4854">
        <v>0</v>
      </c>
      <c r="Q4854">
        <v>0</v>
      </c>
      <c r="R4854" t="s">
        <v>40440</v>
      </c>
      <c r="S4854" t="s">
        <v>40603</v>
      </c>
      <c r="T4854" t="s">
        <v>42119</v>
      </c>
      <c r="U4854" t="s">
        <v>46723</v>
      </c>
      <c r="W4854" t="s">
        <v>38779</v>
      </c>
      <c r="X4854" t="s">
        <v>40444</v>
      </c>
    </row>
    <row r="4855" spans="1:24">
      <c r="A4855">
        <f>HYPERLINK("https://www.philgeps.gov.ph/GEPSNONPILOT/Tender/SplashBidNoticeAbstractUI.aspx?menuIndex=3&amp;refID=7041227&amp;Result=3","7041227")</f>
        <v>0</v>
      </c>
      <c r="B4855" t="s">
        <v>361</v>
      </c>
      <c r="C4855" t="s">
        <v>7713</v>
      </c>
      <c r="D4855" t="s">
        <v>16236</v>
      </c>
      <c r="E4855" t="s">
        <v>20590</v>
      </c>
      <c r="F4855" t="s">
        <v>28198</v>
      </c>
      <c r="G4855" t="s">
        <v>28205</v>
      </c>
      <c r="H4855" t="s">
        <v>28214</v>
      </c>
      <c r="I4855" t="s">
        <v>3797</v>
      </c>
      <c r="J4855" t="s">
        <v>31440</v>
      </c>
      <c r="K4855" t="s">
        <v>36695</v>
      </c>
      <c r="M4855" t="s">
        <v>38787</v>
      </c>
      <c r="N4855" t="s">
        <v>40436</v>
      </c>
      <c r="O4855" t="s">
        <v>40437</v>
      </c>
      <c r="P4855">
        <v>0</v>
      </c>
      <c r="Q4855">
        <v>0</v>
      </c>
      <c r="R4855" t="s">
        <v>40440</v>
      </c>
      <c r="S4855" t="s">
        <v>40603</v>
      </c>
      <c r="T4855" t="s">
        <v>42128</v>
      </c>
      <c r="U4855" t="s">
        <v>46749</v>
      </c>
      <c r="V4855" t="s">
        <v>54260</v>
      </c>
      <c r="W4855" t="s">
        <v>38787</v>
      </c>
      <c r="X4855" t="s">
        <v>40444</v>
      </c>
    </row>
    <row r="4856" spans="1:24">
      <c r="A4856">
        <f>HYPERLINK("https://www.philgeps.gov.ph/GEPSNONPILOT/Tender/SplashBidNoticeAbstractUI.aspx?menuIndex=3&amp;refID=7041216&amp;Result=3","7041216")</f>
        <v>0</v>
      </c>
      <c r="B4856" t="s">
        <v>1689</v>
      </c>
      <c r="C4856" t="s">
        <v>7714</v>
      </c>
      <c r="D4856" t="s">
        <v>16266</v>
      </c>
      <c r="E4856" t="s">
        <v>20591</v>
      </c>
      <c r="F4856" t="s">
        <v>28198</v>
      </c>
      <c r="G4856" t="s">
        <v>28209</v>
      </c>
      <c r="H4856" t="s">
        <v>28215</v>
      </c>
      <c r="I4856" t="s">
        <v>28290</v>
      </c>
      <c r="J4856" t="s">
        <v>31441</v>
      </c>
      <c r="K4856" t="s">
        <v>36707</v>
      </c>
      <c r="L4856" t="s">
        <v>1689</v>
      </c>
      <c r="M4856" t="s">
        <v>38788</v>
      </c>
      <c r="N4856" t="s">
        <v>40436</v>
      </c>
      <c r="O4856" t="s">
        <v>40437</v>
      </c>
      <c r="P4856">
        <v>0</v>
      </c>
      <c r="Q4856">
        <v>10</v>
      </c>
      <c r="R4856" t="s">
        <v>40440</v>
      </c>
      <c r="S4856" t="s">
        <v>40603</v>
      </c>
      <c r="T4856" t="s">
        <v>42185</v>
      </c>
      <c r="U4856" t="s">
        <v>46750</v>
      </c>
      <c r="V4856" t="s">
        <v>54261</v>
      </c>
      <c r="W4856" t="s">
        <v>38788</v>
      </c>
      <c r="X4856" t="s">
        <v>40444</v>
      </c>
    </row>
    <row r="4857" spans="1:24">
      <c r="A4857">
        <f>HYPERLINK("https://www.philgeps.gov.ph/GEPSNONPILOT/Tender/SplashBidNoticeAbstractUI.aspx?menuIndex=3&amp;refID=7041196&amp;Result=3","7041196")</f>
        <v>0</v>
      </c>
      <c r="B4857" t="s">
        <v>92</v>
      </c>
      <c r="C4857" t="s">
        <v>7715</v>
      </c>
      <c r="D4857" t="s">
        <v>16203</v>
      </c>
      <c r="E4857" t="s">
        <v>20592</v>
      </c>
      <c r="F4857" t="s">
        <v>28198</v>
      </c>
      <c r="G4857" t="s">
        <v>28207</v>
      </c>
      <c r="H4857" t="s">
        <v>28215</v>
      </c>
      <c r="I4857" t="s">
        <v>28251</v>
      </c>
      <c r="J4857" t="s">
        <v>30231</v>
      </c>
      <c r="K4857" t="s">
        <v>36706</v>
      </c>
      <c r="M4857" t="s">
        <v>37064</v>
      </c>
      <c r="N4857" t="s">
        <v>40436</v>
      </c>
      <c r="O4857" t="s">
        <v>40437</v>
      </c>
      <c r="P4857">
        <v>0</v>
      </c>
      <c r="Q4857">
        <v>1</v>
      </c>
      <c r="R4857" t="s">
        <v>40440</v>
      </c>
      <c r="S4857" t="s">
        <v>40603</v>
      </c>
      <c r="T4857" t="s">
        <v>42233</v>
      </c>
      <c r="U4857" t="s">
        <v>46751</v>
      </c>
      <c r="W4857" t="s">
        <v>37064</v>
      </c>
      <c r="X4857" t="s">
        <v>40444</v>
      </c>
    </row>
    <row r="4858" spans="1:24">
      <c r="A4858">
        <f>HYPERLINK("https://www.philgeps.gov.ph/GEPSNONPILOT/Tender/SplashBidNoticeAbstractUI.aspx?menuIndex=3&amp;refID=7041214&amp;Result=3","7041214")</f>
        <v>0</v>
      </c>
      <c r="B4858" t="s">
        <v>361</v>
      </c>
      <c r="C4858" t="s">
        <v>7716</v>
      </c>
      <c r="D4858" t="s">
        <v>16236</v>
      </c>
      <c r="E4858" t="s">
        <v>20593</v>
      </c>
      <c r="F4858" t="s">
        <v>28198</v>
      </c>
      <c r="G4858" t="s">
        <v>28205</v>
      </c>
      <c r="H4858" t="s">
        <v>28214</v>
      </c>
      <c r="I4858" t="s">
        <v>3797</v>
      </c>
      <c r="J4858" t="s">
        <v>31442</v>
      </c>
      <c r="K4858" t="s">
        <v>36824</v>
      </c>
      <c r="M4858" t="s">
        <v>38787</v>
      </c>
      <c r="N4858" t="s">
        <v>40436</v>
      </c>
      <c r="O4858" t="s">
        <v>40437</v>
      </c>
      <c r="P4858">
        <v>0</v>
      </c>
      <c r="Q4858">
        <v>0</v>
      </c>
      <c r="R4858" t="s">
        <v>40440</v>
      </c>
      <c r="S4858" t="s">
        <v>40603</v>
      </c>
      <c r="T4858" t="s">
        <v>42128</v>
      </c>
      <c r="U4858" t="s">
        <v>46752</v>
      </c>
      <c r="V4858" t="s">
        <v>54262</v>
      </c>
      <c r="W4858" t="s">
        <v>38787</v>
      </c>
      <c r="X4858" t="s">
        <v>40444</v>
      </c>
    </row>
    <row r="4859" spans="1:24">
      <c r="A4859">
        <f>HYPERLINK("https://www.philgeps.gov.ph/GEPSNONPILOT/Tender/SplashBidNoticeAbstractUI.aspx?menuIndex=3&amp;refID=7041188&amp;Result=3","7041188")</f>
        <v>0</v>
      </c>
      <c r="B4859" t="s">
        <v>1690</v>
      </c>
      <c r="C4859" t="s">
        <v>7717</v>
      </c>
      <c r="D4859" t="s">
        <v>16258</v>
      </c>
      <c r="E4859" t="s">
        <v>20594</v>
      </c>
      <c r="F4859" t="s">
        <v>28198</v>
      </c>
      <c r="G4859" t="s">
        <v>28205</v>
      </c>
      <c r="H4859" t="s">
        <v>28214</v>
      </c>
      <c r="I4859" t="s">
        <v>3797</v>
      </c>
      <c r="J4859" t="s">
        <v>31443</v>
      </c>
      <c r="K4859" t="s">
        <v>36692</v>
      </c>
      <c r="M4859" t="s">
        <v>38789</v>
      </c>
      <c r="N4859" t="s">
        <v>40436</v>
      </c>
      <c r="O4859" t="s">
        <v>40437</v>
      </c>
      <c r="P4859">
        <v>0</v>
      </c>
      <c r="Q4859">
        <v>0</v>
      </c>
      <c r="R4859" t="s">
        <v>40440</v>
      </c>
      <c r="S4859" t="s">
        <v>40603</v>
      </c>
      <c r="T4859" t="s">
        <v>42118</v>
      </c>
      <c r="U4859" t="s">
        <v>46753</v>
      </c>
      <c r="V4859" t="s">
        <v>54263</v>
      </c>
      <c r="W4859" t="s">
        <v>38789</v>
      </c>
      <c r="X4859" t="s">
        <v>40444</v>
      </c>
    </row>
    <row r="4860" spans="1:24">
      <c r="A4860">
        <f>HYPERLINK("https://www.philgeps.gov.ph/GEPSNONPILOT/Tender/SplashBidNoticeAbstractUI.aspx?menuIndex=3&amp;refID=7041249&amp;Result=3","7041249")</f>
        <v>0</v>
      </c>
      <c r="B4860" t="s">
        <v>1239</v>
      </c>
      <c r="C4860" t="s">
        <v>7718</v>
      </c>
      <c r="D4860" t="s">
        <v>16210</v>
      </c>
      <c r="E4860" t="s">
        <v>20595</v>
      </c>
      <c r="F4860" t="s">
        <v>28198</v>
      </c>
      <c r="G4860" t="s">
        <v>28207</v>
      </c>
      <c r="H4860" t="s">
        <v>28215</v>
      </c>
      <c r="I4860" t="s">
        <v>8870</v>
      </c>
      <c r="J4860" t="s">
        <v>28360</v>
      </c>
      <c r="K4860" t="s">
        <v>36701</v>
      </c>
      <c r="M4860" t="s">
        <v>38790</v>
      </c>
      <c r="N4860" t="s">
        <v>40436</v>
      </c>
      <c r="O4860" t="s">
        <v>40437</v>
      </c>
      <c r="P4860">
        <v>0</v>
      </c>
      <c r="Q4860">
        <v>11</v>
      </c>
      <c r="R4860" t="s">
        <v>40440</v>
      </c>
      <c r="S4860" t="s">
        <v>40603</v>
      </c>
      <c r="T4860" t="s">
        <v>42233</v>
      </c>
      <c r="U4860" t="s">
        <v>46754</v>
      </c>
      <c r="W4860" t="s">
        <v>38790</v>
      </c>
      <c r="X4860" t="s">
        <v>40444</v>
      </c>
    </row>
    <row r="4861" spans="1:24">
      <c r="A4861">
        <f>HYPERLINK("https://www.philgeps.gov.ph/GEPSNONPILOT/Tender/SplashBidNoticeAbstractUI.aspx?menuIndex=3&amp;refID=7041171&amp;Result=3","7041171")</f>
        <v>0</v>
      </c>
      <c r="B4861" t="s">
        <v>361</v>
      </c>
      <c r="C4861" t="s">
        <v>7719</v>
      </c>
      <c r="D4861" t="s">
        <v>16236</v>
      </c>
      <c r="E4861" t="s">
        <v>20596</v>
      </c>
      <c r="F4861" t="s">
        <v>28198</v>
      </c>
      <c r="G4861" t="s">
        <v>28205</v>
      </c>
      <c r="H4861" t="s">
        <v>28214</v>
      </c>
      <c r="I4861" t="s">
        <v>3797</v>
      </c>
      <c r="J4861" t="s">
        <v>31444</v>
      </c>
      <c r="K4861" t="s">
        <v>36703</v>
      </c>
      <c r="M4861" t="s">
        <v>38787</v>
      </c>
      <c r="N4861" t="s">
        <v>40436</v>
      </c>
      <c r="O4861" t="s">
        <v>40437</v>
      </c>
      <c r="P4861">
        <v>0</v>
      </c>
      <c r="Q4861">
        <v>0</v>
      </c>
      <c r="R4861" t="s">
        <v>40440</v>
      </c>
      <c r="S4861" t="s">
        <v>40603</v>
      </c>
      <c r="T4861" t="s">
        <v>42128</v>
      </c>
      <c r="U4861" t="s">
        <v>46755</v>
      </c>
      <c r="V4861" t="s">
        <v>54264</v>
      </c>
      <c r="W4861" t="s">
        <v>38787</v>
      </c>
      <c r="X4861" t="s">
        <v>40444</v>
      </c>
    </row>
    <row r="4862" spans="1:24">
      <c r="A4862">
        <f>HYPERLINK("https://www.philgeps.gov.ph/GEPSNONPILOT/Tender/SplashBidNoticeAbstractUI.aspx?menuIndex=3&amp;refID=7041161&amp;Result=3","7041161")</f>
        <v>0</v>
      </c>
      <c r="B4862" t="s">
        <v>361</v>
      </c>
      <c r="C4862" t="s">
        <v>7720</v>
      </c>
      <c r="D4862" t="s">
        <v>16236</v>
      </c>
      <c r="E4862" t="s">
        <v>20597</v>
      </c>
      <c r="F4862" t="s">
        <v>28198</v>
      </c>
      <c r="G4862" t="s">
        <v>28205</v>
      </c>
      <c r="H4862" t="s">
        <v>28214</v>
      </c>
      <c r="I4862" t="s">
        <v>3797</v>
      </c>
      <c r="J4862" t="s">
        <v>31445</v>
      </c>
      <c r="K4862" t="s">
        <v>36739</v>
      </c>
      <c r="M4862" t="s">
        <v>38787</v>
      </c>
      <c r="N4862" t="s">
        <v>40436</v>
      </c>
      <c r="O4862" t="s">
        <v>40437</v>
      </c>
      <c r="P4862">
        <v>0</v>
      </c>
      <c r="Q4862">
        <v>0</v>
      </c>
      <c r="R4862" t="s">
        <v>40440</v>
      </c>
      <c r="S4862" t="s">
        <v>40603</v>
      </c>
      <c r="T4862" t="s">
        <v>42128</v>
      </c>
      <c r="U4862" t="s">
        <v>46756</v>
      </c>
      <c r="V4862" t="s">
        <v>54265</v>
      </c>
      <c r="W4862" t="s">
        <v>38787</v>
      </c>
      <c r="X4862" t="s">
        <v>40444</v>
      </c>
    </row>
    <row r="4863" spans="1:24">
      <c r="A4863">
        <f>HYPERLINK("https://www.philgeps.gov.ph/GEPSNONPILOT/Tender/SplashBidNoticeAbstractUI.aspx?menuIndex=3&amp;refID=7041296&amp;Result=3","7041296")</f>
        <v>0</v>
      </c>
      <c r="B4863" t="s">
        <v>1691</v>
      </c>
      <c r="C4863" t="s">
        <v>7721</v>
      </c>
      <c r="D4863" t="s">
        <v>16188</v>
      </c>
      <c r="E4863" t="s">
        <v>20598</v>
      </c>
      <c r="F4863" t="s">
        <v>28198</v>
      </c>
      <c r="G4863" t="s">
        <v>28207</v>
      </c>
      <c r="H4863" t="s">
        <v>28215</v>
      </c>
      <c r="I4863" t="s">
        <v>3774</v>
      </c>
      <c r="J4863" t="s">
        <v>31446</v>
      </c>
      <c r="K4863" t="s">
        <v>36689</v>
      </c>
      <c r="M4863" t="s">
        <v>38791</v>
      </c>
      <c r="N4863" t="s">
        <v>40436</v>
      </c>
      <c r="O4863" t="s">
        <v>40437</v>
      </c>
      <c r="P4863">
        <v>0</v>
      </c>
      <c r="Q4863">
        <v>0</v>
      </c>
      <c r="R4863" t="s">
        <v>40440</v>
      </c>
      <c r="S4863" t="s">
        <v>40603</v>
      </c>
      <c r="T4863" t="s">
        <v>42245</v>
      </c>
      <c r="U4863" t="s">
        <v>46757</v>
      </c>
      <c r="W4863" t="s">
        <v>38791</v>
      </c>
      <c r="X4863" t="s">
        <v>40444</v>
      </c>
    </row>
    <row r="4864" spans="1:24">
      <c r="A4864">
        <f>HYPERLINK("https://www.philgeps.gov.ph/GEPSNONPILOT/Tender/SplashBidNoticeAbstractUI.aspx?menuIndex=3&amp;refID=7041342&amp;Result=3","7041342")</f>
        <v>0</v>
      </c>
      <c r="B4864" t="s">
        <v>34</v>
      </c>
      <c r="C4864" t="s">
        <v>7722</v>
      </c>
      <c r="D4864" t="s">
        <v>16195</v>
      </c>
      <c r="E4864" t="s">
        <v>20599</v>
      </c>
      <c r="F4864" t="s">
        <v>28198</v>
      </c>
      <c r="G4864" t="s">
        <v>28205</v>
      </c>
      <c r="H4864" t="s">
        <v>28215</v>
      </c>
      <c r="I4864" t="s">
        <v>28247</v>
      </c>
      <c r="J4864" t="s">
        <v>28629</v>
      </c>
      <c r="K4864" t="s">
        <v>36696</v>
      </c>
      <c r="M4864" t="s">
        <v>37015</v>
      </c>
      <c r="N4864" t="s">
        <v>40436</v>
      </c>
      <c r="O4864" t="s">
        <v>40437</v>
      </c>
      <c r="Q4864">
        <v>5</v>
      </c>
      <c r="R4864" t="s">
        <v>40440</v>
      </c>
      <c r="S4864" t="s">
        <v>40620</v>
      </c>
      <c r="T4864" t="s">
        <v>42179</v>
      </c>
      <c r="U4864" t="s">
        <v>46758</v>
      </c>
      <c r="V4864" t="s">
        <v>53784</v>
      </c>
      <c r="W4864" t="s">
        <v>37015</v>
      </c>
      <c r="X4864" t="s">
        <v>40444</v>
      </c>
    </row>
    <row r="4865" spans="1:24">
      <c r="A4865">
        <f>HYPERLINK("https://www.philgeps.gov.ph/GEPSNONPILOT/Tender/SplashBidNoticeAbstractUI.aspx?menuIndex=3&amp;refID=7041337&amp;Result=3","7041337")</f>
        <v>0</v>
      </c>
      <c r="B4865" t="s">
        <v>1692</v>
      </c>
      <c r="C4865" t="s">
        <v>7723</v>
      </c>
      <c r="D4865" t="s">
        <v>16209</v>
      </c>
      <c r="E4865" t="s">
        <v>20600</v>
      </c>
      <c r="F4865" t="s">
        <v>28198</v>
      </c>
      <c r="G4865" t="s">
        <v>28207</v>
      </c>
      <c r="H4865" t="s">
        <v>28215</v>
      </c>
      <c r="I4865" t="s">
        <v>28252</v>
      </c>
      <c r="J4865" t="s">
        <v>28694</v>
      </c>
      <c r="K4865" t="s">
        <v>36701</v>
      </c>
      <c r="M4865" t="s">
        <v>38792</v>
      </c>
      <c r="N4865" t="s">
        <v>40436</v>
      </c>
      <c r="O4865" t="s">
        <v>40437</v>
      </c>
      <c r="P4865">
        <v>0</v>
      </c>
      <c r="Q4865">
        <v>2</v>
      </c>
      <c r="R4865" t="s">
        <v>40440</v>
      </c>
      <c r="S4865" t="s">
        <v>40603</v>
      </c>
      <c r="T4865" t="s">
        <v>42277</v>
      </c>
      <c r="U4865" t="s">
        <v>46759</v>
      </c>
      <c r="V4865" t="s">
        <v>54266</v>
      </c>
      <c r="W4865" t="s">
        <v>38792</v>
      </c>
      <c r="X4865" t="s">
        <v>40444</v>
      </c>
    </row>
    <row r="4866" spans="1:24">
      <c r="A4866">
        <f>HYPERLINK("https://www.philgeps.gov.ph/GEPSNONPILOT/Tender/SplashBidNoticeAbstractUI.aspx?menuIndex=3&amp;refID=7041273&amp;Result=3","7041273")</f>
        <v>0</v>
      </c>
      <c r="B4866" t="s">
        <v>1691</v>
      </c>
      <c r="C4866" t="s">
        <v>7724</v>
      </c>
      <c r="D4866" t="s">
        <v>16188</v>
      </c>
      <c r="E4866" t="s">
        <v>20601</v>
      </c>
      <c r="F4866" t="s">
        <v>28198</v>
      </c>
      <c r="G4866" t="s">
        <v>28207</v>
      </c>
      <c r="H4866" t="s">
        <v>28215</v>
      </c>
      <c r="I4866" t="s">
        <v>28238</v>
      </c>
      <c r="J4866" t="s">
        <v>31447</v>
      </c>
      <c r="K4866" t="s">
        <v>36689</v>
      </c>
      <c r="M4866" t="s">
        <v>38791</v>
      </c>
      <c r="N4866" t="s">
        <v>40436</v>
      </c>
      <c r="O4866" t="s">
        <v>40437</v>
      </c>
      <c r="P4866">
        <v>0</v>
      </c>
      <c r="Q4866">
        <v>7</v>
      </c>
      <c r="R4866" t="s">
        <v>40440</v>
      </c>
      <c r="S4866" t="s">
        <v>40603</v>
      </c>
      <c r="T4866" t="s">
        <v>42245</v>
      </c>
      <c r="U4866" t="s">
        <v>46760</v>
      </c>
      <c r="W4866" t="s">
        <v>38791</v>
      </c>
      <c r="X4866" t="s">
        <v>40444</v>
      </c>
    </row>
    <row r="4867" spans="1:24">
      <c r="A4867">
        <f>HYPERLINK("https://www.philgeps.gov.ph/GEPSNONPILOT/Tender/SplashBidNoticeAbstractUI.aspx?menuIndex=3&amp;refID=7041309&amp;Result=3","7041309")</f>
        <v>0</v>
      </c>
      <c r="B4867" t="s">
        <v>1689</v>
      </c>
      <c r="C4867" t="s">
        <v>7725</v>
      </c>
      <c r="D4867" t="s">
        <v>16266</v>
      </c>
      <c r="E4867" t="s">
        <v>20602</v>
      </c>
      <c r="F4867" t="s">
        <v>28198</v>
      </c>
      <c r="G4867" t="s">
        <v>28209</v>
      </c>
      <c r="H4867" t="s">
        <v>28215</v>
      </c>
      <c r="I4867" t="s">
        <v>28290</v>
      </c>
      <c r="J4867" t="s">
        <v>29608</v>
      </c>
      <c r="K4867" t="s">
        <v>36707</v>
      </c>
      <c r="L4867" t="s">
        <v>1689</v>
      </c>
      <c r="M4867" t="s">
        <v>38788</v>
      </c>
      <c r="N4867" t="s">
        <v>40436</v>
      </c>
      <c r="O4867" t="s">
        <v>40437</v>
      </c>
      <c r="P4867">
        <v>0</v>
      </c>
      <c r="Q4867">
        <v>10</v>
      </c>
      <c r="R4867" t="s">
        <v>40440</v>
      </c>
      <c r="S4867" t="s">
        <v>40603</v>
      </c>
      <c r="T4867" t="s">
        <v>42185</v>
      </c>
      <c r="U4867" t="s">
        <v>46750</v>
      </c>
      <c r="V4867" t="s">
        <v>54261</v>
      </c>
      <c r="W4867" t="s">
        <v>38788</v>
      </c>
      <c r="X4867" t="s">
        <v>40444</v>
      </c>
    </row>
    <row r="4868" spans="1:24">
      <c r="A4868">
        <f>HYPERLINK("https://www.philgeps.gov.ph/GEPSNONPILOT/Tender/SplashBidNoticeAbstractUI.aspx?menuIndex=3&amp;refID=7041254&amp;Result=3","7041254")</f>
        <v>0</v>
      </c>
      <c r="B4868" t="s">
        <v>161</v>
      </c>
      <c r="C4868" t="s">
        <v>7726</v>
      </c>
      <c r="D4868" t="s">
        <v>16235</v>
      </c>
      <c r="E4868" t="s">
        <v>20603</v>
      </c>
      <c r="F4868" t="s">
        <v>28198</v>
      </c>
      <c r="G4868" t="s">
        <v>28207</v>
      </c>
      <c r="H4868" t="s">
        <v>28215</v>
      </c>
      <c r="I4868" t="s">
        <v>5100</v>
      </c>
      <c r="J4868" t="s">
        <v>31448</v>
      </c>
      <c r="K4868" t="s">
        <v>36707</v>
      </c>
      <c r="M4868" t="s">
        <v>37135</v>
      </c>
      <c r="N4868" t="s">
        <v>40436</v>
      </c>
      <c r="O4868" t="s">
        <v>40437</v>
      </c>
      <c r="P4868">
        <v>0</v>
      </c>
      <c r="Q4868">
        <v>0</v>
      </c>
      <c r="R4868" t="s">
        <v>40440</v>
      </c>
      <c r="S4868" t="s">
        <v>40603</v>
      </c>
      <c r="T4868" t="s">
        <v>42233</v>
      </c>
      <c r="U4868" t="s">
        <v>42887</v>
      </c>
      <c r="W4868" t="s">
        <v>37135</v>
      </c>
      <c r="X4868" t="s">
        <v>40444</v>
      </c>
    </row>
    <row r="4869" spans="1:24">
      <c r="A4869">
        <f>HYPERLINK("https://www.philgeps.gov.ph/GEPSNONPILOT/Tender/SplashBidNoticeAbstractUI.aspx?menuIndex=3&amp;refID=7041350&amp;Result=3","7041350")</f>
        <v>0</v>
      </c>
      <c r="B4869" t="s">
        <v>118</v>
      </c>
      <c r="C4869" t="s">
        <v>7727</v>
      </c>
      <c r="D4869" t="s">
        <v>16191</v>
      </c>
      <c r="E4869" t="s">
        <v>7727</v>
      </c>
      <c r="F4869" t="s">
        <v>28198</v>
      </c>
      <c r="G4869" t="s">
        <v>28207</v>
      </c>
      <c r="H4869" t="s">
        <v>28215</v>
      </c>
      <c r="I4869" t="s">
        <v>4200</v>
      </c>
      <c r="J4869" t="s">
        <v>31449</v>
      </c>
      <c r="K4869" t="s">
        <v>36701</v>
      </c>
      <c r="M4869" t="s">
        <v>37092</v>
      </c>
      <c r="N4869" t="s">
        <v>40436</v>
      </c>
      <c r="O4869" t="s">
        <v>40437</v>
      </c>
      <c r="P4869">
        <v>0</v>
      </c>
      <c r="Q4869">
        <v>1</v>
      </c>
      <c r="R4869" t="s">
        <v>40440</v>
      </c>
      <c r="S4869" t="s">
        <v>40603</v>
      </c>
      <c r="T4869" t="s">
        <v>42205</v>
      </c>
      <c r="U4869" t="s">
        <v>46761</v>
      </c>
      <c r="W4869" t="s">
        <v>37092</v>
      </c>
      <c r="X4869" t="s">
        <v>40444</v>
      </c>
    </row>
    <row r="4870" spans="1:24">
      <c r="A4870">
        <f>HYPERLINK("https://www.philgeps.gov.ph/GEPSNONPILOT/Tender/SplashBidNoticeAbstractUI.aspx?menuIndex=3&amp;refID=7041252&amp;Result=3","7041252")</f>
        <v>0</v>
      </c>
      <c r="B4870" t="s">
        <v>65</v>
      </c>
      <c r="C4870" t="s">
        <v>7728</v>
      </c>
      <c r="D4870" t="s">
        <v>16210</v>
      </c>
      <c r="E4870" t="s">
        <v>20604</v>
      </c>
      <c r="F4870" t="s">
        <v>28198</v>
      </c>
      <c r="G4870" t="s">
        <v>28207</v>
      </c>
      <c r="H4870" t="s">
        <v>28215</v>
      </c>
      <c r="I4870" t="s">
        <v>28275</v>
      </c>
      <c r="J4870" t="s">
        <v>31450</v>
      </c>
      <c r="K4870" t="s">
        <v>36689</v>
      </c>
      <c r="M4870" t="s">
        <v>37789</v>
      </c>
      <c r="N4870" t="s">
        <v>40436</v>
      </c>
      <c r="O4870" t="s">
        <v>40437</v>
      </c>
      <c r="P4870">
        <v>0</v>
      </c>
      <c r="Q4870">
        <v>1</v>
      </c>
      <c r="R4870" t="s">
        <v>40440</v>
      </c>
      <c r="S4870" t="s">
        <v>40603</v>
      </c>
      <c r="T4870" t="s">
        <v>42119</v>
      </c>
      <c r="U4870" t="s">
        <v>46762</v>
      </c>
      <c r="W4870" t="s">
        <v>37789</v>
      </c>
      <c r="X4870" t="s">
        <v>40444</v>
      </c>
    </row>
    <row r="4871" spans="1:24">
      <c r="A4871">
        <f>HYPERLINK("https://www.philgeps.gov.ph/GEPSNONPILOT/Tender/SplashBidNoticeAbstractUI.aspx?menuIndex=3&amp;refID=7041349&amp;Result=3","7041349")</f>
        <v>0</v>
      </c>
      <c r="B4871" t="s">
        <v>34</v>
      </c>
      <c r="C4871" t="s">
        <v>7729</v>
      </c>
      <c r="D4871" t="s">
        <v>16195</v>
      </c>
      <c r="E4871" t="s">
        <v>20605</v>
      </c>
      <c r="F4871" t="s">
        <v>28198</v>
      </c>
      <c r="G4871" t="s">
        <v>28205</v>
      </c>
      <c r="H4871" t="s">
        <v>28215</v>
      </c>
      <c r="I4871" t="s">
        <v>5082</v>
      </c>
      <c r="J4871" t="s">
        <v>31451</v>
      </c>
      <c r="K4871" t="s">
        <v>36696</v>
      </c>
      <c r="M4871" t="s">
        <v>37015</v>
      </c>
      <c r="N4871" t="s">
        <v>40436</v>
      </c>
      <c r="O4871" t="s">
        <v>40437</v>
      </c>
      <c r="Q4871">
        <v>0</v>
      </c>
      <c r="R4871" t="s">
        <v>40440</v>
      </c>
      <c r="S4871" t="s">
        <v>40621</v>
      </c>
      <c r="T4871" t="s">
        <v>42179</v>
      </c>
      <c r="U4871" t="s">
        <v>46763</v>
      </c>
      <c r="V4871" t="s">
        <v>53784</v>
      </c>
      <c r="W4871" t="s">
        <v>37015</v>
      </c>
      <c r="X4871" t="s">
        <v>40444</v>
      </c>
    </row>
    <row r="4872" spans="1:24">
      <c r="A4872">
        <f>HYPERLINK("https://www.philgeps.gov.ph/GEPSNONPILOT/Tender/SplashBidNoticeAbstractUI.aspx?menuIndex=3&amp;refID=7041340&amp;Result=3","7041340")</f>
        <v>0</v>
      </c>
      <c r="B4872" t="s">
        <v>1691</v>
      </c>
      <c r="C4872" t="s">
        <v>7730</v>
      </c>
      <c r="D4872" t="s">
        <v>16188</v>
      </c>
      <c r="E4872" t="s">
        <v>20606</v>
      </c>
      <c r="F4872" t="s">
        <v>28198</v>
      </c>
      <c r="G4872" t="s">
        <v>28207</v>
      </c>
      <c r="H4872" t="s">
        <v>28215</v>
      </c>
      <c r="I4872" t="s">
        <v>28225</v>
      </c>
      <c r="J4872" t="s">
        <v>31452</v>
      </c>
      <c r="K4872" t="s">
        <v>36689</v>
      </c>
      <c r="M4872" t="s">
        <v>38791</v>
      </c>
      <c r="N4872" t="s">
        <v>40436</v>
      </c>
      <c r="O4872" t="s">
        <v>40437</v>
      </c>
      <c r="P4872">
        <v>0</v>
      </c>
      <c r="Q4872">
        <v>15</v>
      </c>
      <c r="R4872" t="s">
        <v>40440</v>
      </c>
      <c r="S4872" t="s">
        <v>40603</v>
      </c>
      <c r="T4872" t="s">
        <v>42245</v>
      </c>
      <c r="U4872" t="s">
        <v>46757</v>
      </c>
      <c r="W4872" t="s">
        <v>38791</v>
      </c>
      <c r="X4872" t="s">
        <v>40444</v>
      </c>
    </row>
    <row r="4873" spans="1:24">
      <c r="A4873">
        <f>HYPERLINK("https://www.philgeps.gov.ph/GEPSNONPILOT/Tender/SplashBidNoticeAbstractUI.aspx?menuIndex=3&amp;refID=7041397&amp;Result=3","7041397")</f>
        <v>0</v>
      </c>
      <c r="B4873" t="s">
        <v>595</v>
      </c>
      <c r="C4873" t="s">
        <v>7731</v>
      </c>
      <c r="D4873" t="s">
        <v>16195</v>
      </c>
      <c r="E4873" t="s">
        <v>20607</v>
      </c>
      <c r="F4873" t="s">
        <v>28198</v>
      </c>
      <c r="G4873" t="s">
        <v>28205</v>
      </c>
      <c r="H4873" t="s">
        <v>28215</v>
      </c>
      <c r="I4873" t="s">
        <v>28243</v>
      </c>
      <c r="J4873" t="s">
        <v>31453</v>
      </c>
      <c r="K4873" t="s">
        <v>36694</v>
      </c>
      <c r="M4873" t="s">
        <v>37713</v>
      </c>
      <c r="N4873" t="s">
        <v>40436</v>
      </c>
      <c r="O4873" t="s">
        <v>40437</v>
      </c>
      <c r="P4873">
        <v>0</v>
      </c>
      <c r="Q4873">
        <v>2</v>
      </c>
      <c r="R4873" t="s">
        <v>40440</v>
      </c>
      <c r="S4873" t="s">
        <v>40603</v>
      </c>
      <c r="T4873" t="s">
        <v>42139</v>
      </c>
      <c r="U4873" t="s">
        <v>46764</v>
      </c>
      <c r="W4873" t="s">
        <v>37713</v>
      </c>
      <c r="X4873" t="s">
        <v>40444</v>
      </c>
    </row>
    <row r="4874" spans="1:24">
      <c r="A4874">
        <f>HYPERLINK("https://www.philgeps.gov.ph/GEPSNONPILOT/Tender/SplashBidNoticeAbstractUI.aspx?menuIndex=3&amp;refID=7041250&amp;Result=3","7041250")</f>
        <v>0</v>
      </c>
      <c r="B4874" t="s">
        <v>1691</v>
      </c>
      <c r="C4874" t="s">
        <v>7732</v>
      </c>
      <c r="D4874" t="s">
        <v>16188</v>
      </c>
      <c r="E4874" t="s">
        <v>20608</v>
      </c>
      <c r="F4874" t="s">
        <v>28198</v>
      </c>
      <c r="G4874" t="s">
        <v>28207</v>
      </c>
      <c r="H4874" t="s">
        <v>28215</v>
      </c>
      <c r="I4874" t="s">
        <v>28234</v>
      </c>
      <c r="J4874" t="s">
        <v>31454</v>
      </c>
      <c r="K4874" t="s">
        <v>36689</v>
      </c>
      <c r="M4874" t="s">
        <v>38791</v>
      </c>
      <c r="N4874" t="s">
        <v>40436</v>
      </c>
      <c r="O4874" t="s">
        <v>40437</v>
      </c>
      <c r="P4874">
        <v>0</v>
      </c>
      <c r="Q4874">
        <v>9</v>
      </c>
      <c r="R4874" t="s">
        <v>40440</v>
      </c>
      <c r="S4874" t="s">
        <v>40603</v>
      </c>
      <c r="T4874" t="s">
        <v>42262</v>
      </c>
      <c r="U4874" t="s">
        <v>46765</v>
      </c>
      <c r="W4874" t="s">
        <v>38791</v>
      </c>
      <c r="X4874" t="s">
        <v>40444</v>
      </c>
    </row>
    <row r="4875" spans="1:24">
      <c r="A4875">
        <f>HYPERLINK("https://www.philgeps.gov.ph/GEPSNONPILOT/Tender/SplashBidNoticeAbstractUI.aspx?menuIndex=3&amp;refID=7041360&amp;Result=3","7041360")</f>
        <v>0</v>
      </c>
      <c r="B4875" t="s">
        <v>34</v>
      </c>
      <c r="C4875" t="s">
        <v>7733</v>
      </c>
      <c r="D4875" t="s">
        <v>16195</v>
      </c>
      <c r="E4875" t="s">
        <v>20609</v>
      </c>
      <c r="F4875" t="s">
        <v>28198</v>
      </c>
      <c r="G4875" t="s">
        <v>28205</v>
      </c>
      <c r="H4875" t="s">
        <v>28215</v>
      </c>
      <c r="I4875" t="s">
        <v>28247</v>
      </c>
      <c r="J4875" t="s">
        <v>31455</v>
      </c>
      <c r="K4875" t="s">
        <v>36696</v>
      </c>
      <c r="M4875" t="s">
        <v>37015</v>
      </c>
      <c r="N4875" t="s">
        <v>40436</v>
      </c>
      <c r="O4875" t="s">
        <v>40437</v>
      </c>
      <c r="Q4875">
        <v>5</v>
      </c>
      <c r="R4875" t="s">
        <v>40440</v>
      </c>
      <c r="S4875" t="s">
        <v>40622</v>
      </c>
      <c r="T4875" t="s">
        <v>42179</v>
      </c>
      <c r="U4875" t="s">
        <v>46766</v>
      </c>
      <c r="V4875" t="s">
        <v>53784</v>
      </c>
      <c r="W4875" t="s">
        <v>37015</v>
      </c>
      <c r="X4875" t="s">
        <v>40444</v>
      </c>
    </row>
    <row r="4876" spans="1:24">
      <c r="A4876">
        <f>HYPERLINK("https://www.philgeps.gov.ph/GEPSNONPILOT/Tender/SplashBidNoticeAbstractUI.aspx?menuIndex=3&amp;refID=7041353&amp;Result=3","7041353")</f>
        <v>0</v>
      </c>
      <c r="B4876" t="s">
        <v>204</v>
      </c>
      <c r="C4876" t="s">
        <v>7734</v>
      </c>
      <c r="D4876" t="s">
        <v>16187</v>
      </c>
      <c r="E4876" t="s">
        <v>20610</v>
      </c>
      <c r="F4876" t="s">
        <v>28198</v>
      </c>
      <c r="G4876" t="s">
        <v>28205</v>
      </c>
      <c r="H4876" t="s">
        <v>28215</v>
      </c>
      <c r="I4876" t="s">
        <v>28307</v>
      </c>
      <c r="J4876" t="s">
        <v>28543</v>
      </c>
      <c r="K4876" t="s">
        <v>36701</v>
      </c>
      <c r="M4876" t="s">
        <v>37180</v>
      </c>
      <c r="N4876" t="s">
        <v>40436</v>
      </c>
      <c r="O4876" t="s">
        <v>40437</v>
      </c>
      <c r="P4876">
        <v>0</v>
      </c>
      <c r="Q4876">
        <v>2</v>
      </c>
      <c r="R4876" t="s">
        <v>40440</v>
      </c>
      <c r="S4876" t="s">
        <v>40603</v>
      </c>
      <c r="T4876" t="s">
        <v>42097</v>
      </c>
      <c r="U4876" t="s">
        <v>46767</v>
      </c>
      <c r="W4876" t="s">
        <v>37180</v>
      </c>
      <c r="X4876" t="s">
        <v>40444</v>
      </c>
    </row>
    <row r="4877" spans="1:24">
      <c r="A4877">
        <f>HYPERLINK("https://www.philgeps.gov.ph/GEPSNONPILOT/Tender/SplashBidNoticeAbstractUI.aspx?menuIndex=3&amp;refID=7041325&amp;Result=3","7041325")</f>
        <v>0</v>
      </c>
      <c r="B4877" t="s">
        <v>34</v>
      </c>
      <c r="C4877" t="s">
        <v>7735</v>
      </c>
      <c r="D4877" t="s">
        <v>16195</v>
      </c>
      <c r="E4877" t="s">
        <v>20611</v>
      </c>
      <c r="F4877" t="s">
        <v>28198</v>
      </c>
      <c r="G4877" t="s">
        <v>28205</v>
      </c>
      <c r="H4877" t="s">
        <v>28215</v>
      </c>
      <c r="I4877" t="s">
        <v>28225</v>
      </c>
      <c r="J4877" t="s">
        <v>31456</v>
      </c>
      <c r="K4877" t="s">
        <v>36696</v>
      </c>
      <c r="M4877" t="s">
        <v>37015</v>
      </c>
      <c r="N4877" t="s">
        <v>40436</v>
      </c>
      <c r="O4877" t="s">
        <v>40437</v>
      </c>
      <c r="Q4877">
        <v>4</v>
      </c>
      <c r="R4877" t="s">
        <v>40440</v>
      </c>
      <c r="S4877" t="s">
        <v>40623</v>
      </c>
      <c r="T4877" t="s">
        <v>42179</v>
      </c>
      <c r="U4877" t="s">
        <v>46768</v>
      </c>
      <c r="V4877" t="s">
        <v>53784</v>
      </c>
      <c r="W4877" t="s">
        <v>37015</v>
      </c>
      <c r="X4877" t="s">
        <v>40444</v>
      </c>
    </row>
    <row r="4878" spans="1:24">
      <c r="A4878">
        <f>HYPERLINK("https://www.philgeps.gov.ph/GEPSNONPILOT/Tender/SplashBidNoticeAbstractUI.aspx?menuIndex=3&amp;refID=7041380&amp;Result=3","7041380")</f>
        <v>0</v>
      </c>
      <c r="B4878" t="s">
        <v>1691</v>
      </c>
      <c r="C4878" t="s">
        <v>7736</v>
      </c>
      <c r="D4878" t="s">
        <v>16188</v>
      </c>
      <c r="E4878" t="s">
        <v>20612</v>
      </c>
      <c r="F4878" t="s">
        <v>28198</v>
      </c>
      <c r="G4878" t="s">
        <v>28207</v>
      </c>
      <c r="H4878" t="s">
        <v>28215</v>
      </c>
      <c r="I4878" t="s">
        <v>28254</v>
      </c>
      <c r="J4878" t="s">
        <v>31457</v>
      </c>
      <c r="K4878" t="s">
        <v>36689</v>
      </c>
      <c r="M4878" t="s">
        <v>38791</v>
      </c>
      <c r="N4878" t="s">
        <v>40436</v>
      </c>
      <c r="O4878" t="s">
        <v>40437</v>
      </c>
      <c r="P4878">
        <v>0</v>
      </c>
      <c r="Q4878">
        <v>2</v>
      </c>
      <c r="R4878" t="s">
        <v>40440</v>
      </c>
      <c r="S4878" t="s">
        <v>40603</v>
      </c>
      <c r="T4878" t="s">
        <v>42245</v>
      </c>
      <c r="U4878" t="s">
        <v>46769</v>
      </c>
      <c r="W4878" t="s">
        <v>38791</v>
      </c>
      <c r="X4878" t="s">
        <v>40444</v>
      </c>
    </row>
    <row r="4879" spans="1:24">
      <c r="A4879">
        <f>HYPERLINK("https://www.philgeps.gov.ph/GEPSNONPILOT/Tender/SplashBidNoticeAbstractUI.aspx?menuIndex=3&amp;refID=7041263&amp;Result=3","7041263")</f>
        <v>0</v>
      </c>
      <c r="B4879" t="s">
        <v>1691</v>
      </c>
      <c r="C4879" t="s">
        <v>7737</v>
      </c>
      <c r="D4879" t="s">
        <v>16188</v>
      </c>
      <c r="E4879" t="s">
        <v>20613</v>
      </c>
      <c r="F4879" t="s">
        <v>28198</v>
      </c>
      <c r="G4879" t="s">
        <v>28207</v>
      </c>
      <c r="H4879" t="s">
        <v>28215</v>
      </c>
      <c r="I4879" t="s">
        <v>28248</v>
      </c>
      <c r="J4879" t="s">
        <v>29339</v>
      </c>
      <c r="K4879" t="s">
        <v>36689</v>
      </c>
      <c r="M4879" t="s">
        <v>38791</v>
      </c>
      <c r="N4879" t="s">
        <v>40436</v>
      </c>
      <c r="O4879" t="s">
        <v>40437</v>
      </c>
      <c r="P4879">
        <v>0</v>
      </c>
      <c r="Q4879">
        <v>5</v>
      </c>
      <c r="R4879" t="s">
        <v>40440</v>
      </c>
      <c r="S4879" t="s">
        <v>40603</v>
      </c>
      <c r="T4879" t="s">
        <v>42245</v>
      </c>
      <c r="U4879" t="s">
        <v>46757</v>
      </c>
      <c r="W4879" t="s">
        <v>38791</v>
      </c>
      <c r="X4879" t="s">
        <v>40444</v>
      </c>
    </row>
    <row r="4880" spans="1:24">
      <c r="A4880">
        <f>HYPERLINK("https://www.philgeps.gov.ph/GEPSNONPILOT/Tender/SplashBidNoticeAbstractUI.aspx?menuIndex=3&amp;refID=7041359&amp;Result=3","7041359")</f>
        <v>0</v>
      </c>
      <c r="B4880" t="s">
        <v>816</v>
      </c>
      <c r="C4880" t="s">
        <v>7738</v>
      </c>
      <c r="D4880" t="s">
        <v>16200</v>
      </c>
      <c r="E4880" t="s">
        <v>20614</v>
      </c>
      <c r="F4880" t="s">
        <v>28198</v>
      </c>
      <c r="G4880" t="s">
        <v>28207</v>
      </c>
      <c r="H4880" t="s">
        <v>28215</v>
      </c>
      <c r="I4880" t="s">
        <v>28295</v>
      </c>
      <c r="J4880" t="s">
        <v>31458</v>
      </c>
      <c r="K4880" t="s">
        <v>36689</v>
      </c>
      <c r="M4880" t="s">
        <v>38793</v>
      </c>
      <c r="N4880" t="s">
        <v>40436</v>
      </c>
      <c r="O4880" t="s">
        <v>40437</v>
      </c>
      <c r="P4880">
        <v>0</v>
      </c>
      <c r="Q4880">
        <v>6</v>
      </c>
      <c r="R4880" t="s">
        <v>40440</v>
      </c>
      <c r="S4880" t="s">
        <v>40603</v>
      </c>
      <c r="T4880" t="s">
        <v>42185</v>
      </c>
      <c r="U4880" t="s">
        <v>46770</v>
      </c>
      <c r="W4880" t="s">
        <v>38793</v>
      </c>
      <c r="X4880" t="s">
        <v>40444</v>
      </c>
    </row>
    <row r="4881" spans="1:24">
      <c r="A4881">
        <f>HYPERLINK("https://www.philgeps.gov.ph/GEPSNONPILOT/Tender/SplashBidNoticeAbstractUI.aspx?menuIndex=3&amp;refID=7041265&amp;Result=3","7041265")</f>
        <v>0</v>
      </c>
      <c r="B4881" t="s">
        <v>34</v>
      </c>
      <c r="C4881" t="s">
        <v>7739</v>
      </c>
      <c r="D4881" t="s">
        <v>16195</v>
      </c>
      <c r="E4881" t="s">
        <v>20615</v>
      </c>
      <c r="F4881" t="s">
        <v>28198</v>
      </c>
      <c r="G4881" t="s">
        <v>28205</v>
      </c>
      <c r="H4881" t="s">
        <v>28214</v>
      </c>
      <c r="I4881" t="s">
        <v>3797</v>
      </c>
      <c r="J4881" t="s">
        <v>29159</v>
      </c>
      <c r="K4881" t="s">
        <v>36717</v>
      </c>
      <c r="M4881" t="s">
        <v>38786</v>
      </c>
      <c r="N4881" t="s">
        <v>40436</v>
      </c>
      <c r="O4881" t="s">
        <v>40437</v>
      </c>
      <c r="P4881">
        <v>0</v>
      </c>
      <c r="Q4881">
        <v>0</v>
      </c>
      <c r="R4881" t="s">
        <v>40440</v>
      </c>
      <c r="S4881" t="s">
        <v>40603</v>
      </c>
      <c r="T4881" t="s">
        <v>42107</v>
      </c>
      <c r="U4881" t="s">
        <v>46771</v>
      </c>
      <c r="V4881" t="s">
        <v>53826</v>
      </c>
      <c r="W4881" t="s">
        <v>38786</v>
      </c>
      <c r="X4881" t="s">
        <v>40444</v>
      </c>
    </row>
    <row r="4882" spans="1:24">
      <c r="A4882">
        <f>HYPERLINK("https://www.philgeps.gov.ph/GEPSNONPILOT/Tender/SplashBidNoticeAbstractUI.aspx?menuIndex=3&amp;refID=7041405&amp;Result=3","7041405")</f>
        <v>0</v>
      </c>
      <c r="B4882" t="s">
        <v>1651</v>
      </c>
      <c r="C4882" t="s">
        <v>7740</v>
      </c>
      <c r="D4882" t="s">
        <v>16210</v>
      </c>
      <c r="E4882" t="s">
        <v>20616</v>
      </c>
      <c r="F4882" t="s">
        <v>28198</v>
      </c>
      <c r="G4882" t="s">
        <v>28207</v>
      </c>
      <c r="H4882" t="s">
        <v>28215</v>
      </c>
      <c r="I4882" t="s">
        <v>28265</v>
      </c>
      <c r="J4882" t="s">
        <v>31459</v>
      </c>
      <c r="K4882" t="s">
        <v>36688</v>
      </c>
      <c r="M4882" t="s">
        <v>37092</v>
      </c>
      <c r="N4882" t="s">
        <v>40436</v>
      </c>
      <c r="O4882" t="s">
        <v>40437</v>
      </c>
      <c r="P4882">
        <v>0</v>
      </c>
      <c r="Q4882">
        <v>0</v>
      </c>
      <c r="R4882" t="s">
        <v>40440</v>
      </c>
      <c r="S4882" t="s">
        <v>40603</v>
      </c>
      <c r="T4882" t="s">
        <v>42233</v>
      </c>
      <c r="U4882" t="s">
        <v>46772</v>
      </c>
      <c r="V4882" t="s">
        <v>54267</v>
      </c>
      <c r="W4882" t="s">
        <v>37092</v>
      </c>
      <c r="X4882" t="s">
        <v>40444</v>
      </c>
    </row>
    <row r="4883" spans="1:24">
      <c r="A4883">
        <f>HYPERLINK("https://www.philgeps.gov.ph/GEPSNONPILOT/Tender/SplashBidNoticeAbstractUI.aspx?menuIndex=3&amp;refID=7041401&amp;Result=3","7041401")</f>
        <v>0</v>
      </c>
      <c r="B4883" t="s">
        <v>478</v>
      </c>
      <c r="C4883" t="s">
        <v>7741</v>
      </c>
      <c r="D4883" t="s">
        <v>16223</v>
      </c>
      <c r="E4883" t="s">
        <v>16501</v>
      </c>
      <c r="F4883" t="s">
        <v>28198</v>
      </c>
      <c r="G4883" t="s">
        <v>28205</v>
      </c>
      <c r="H4883" t="s">
        <v>28215</v>
      </c>
      <c r="I4883" t="s">
        <v>4168</v>
      </c>
      <c r="J4883" t="s">
        <v>31460</v>
      </c>
      <c r="K4883" t="s">
        <v>36707</v>
      </c>
      <c r="M4883" t="s">
        <v>37463</v>
      </c>
      <c r="N4883" t="s">
        <v>40436</v>
      </c>
      <c r="O4883" t="s">
        <v>40437</v>
      </c>
      <c r="Q4883">
        <v>3</v>
      </c>
      <c r="R4883" t="s">
        <v>40440</v>
      </c>
      <c r="S4883" t="s">
        <v>40624</v>
      </c>
      <c r="T4883" t="s">
        <v>42228</v>
      </c>
      <c r="U4883" t="s">
        <v>46773</v>
      </c>
      <c r="V4883" t="s">
        <v>54268</v>
      </c>
      <c r="W4883" t="s">
        <v>37463</v>
      </c>
      <c r="X4883" t="s">
        <v>40444</v>
      </c>
    </row>
    <row r="4884" spans="1:24">
      <c r="A4884">
        <f>HYPERLINK("https://www.philgeps.gov.ph/GEPSNONPILOT/Tender/SplashBidNoticeAbstractUI.aspx?menuIndex=3&amp;refID=7041459&amp;Result=3","7041459")</f>
        <v>0</v>
      </c>
      <c r="B4884" t="s">
        <v>1693</v>
      </c>
      <c r="C4884" t="s">
        <v>7742</v>
      </c>
      <c r="D4884" t="s">
        <v>16187</v>
      </c>
      <c r="E4884" t="s">
        <v>20065</v>
      </c>
      <c r="F4884" t="s">
        <v>28198</v>
      </c>
      <c r="G4884" t="s">
        <v>28205</v>
      </c>
      <c r="H4884" t="s">
        <v>28215</v>
      </c>
      <c r="I4884" t="s">
        <v>5631</v>
      </c>
      <c r="J4884" t="s">
        <v>28345</v>
      </c>
      <c r="K4884" t="s">
        <v>36707</v>
      </c>
      <c r="M4884" t="s">
        <v>38794</v>
      </c>
      <c r="N4884" t="s">
        <v>40436</v>
      </c>
      <c r="O4884" t="s">
        <v>40437</v>
      </c>
      <c r="P4884">
        <v>0</v>
      </c>
      <c r="Q4884">
        <v>0</v>
      </c>
      <c r="R4884" t="s">
        <v>40440</v>
      </c>
      <c r="S4884" t="s">
        <v>40603</v>
      </c>
      <c r="T4884" t="s">
        <v>42176</v>
      </c>
      <c r="U4884" t="s">
        <v>46774</v>
      </c>
      <c r="W4884" t="s">
        <v>38794</v>
      </c>
      <c r="X4884" t="s">
        <v>40444</v>
      </c>
    </row>
    <row r="4885" spans="1:24">
      <c r="A4885">
        <f>HYPERLINK("https://www.philgeps.gov.ph/GEPSNONPILOT/Tender/SplashBidNoticeAbstractUI.aspx?menuIndex=3&amp;refID=7041484&amp;Result=3","7041484")</f>
        <v>0</v>
      </c>
      <c r="B4885" t="s">
        <v>1497</v>
      </c>
      <c r="C4885" t="s">
        <v>7743</v>
      </c>
      <c r="D4885" t="s">
        <v>16211</v>
      </c>
      <c r="E4885" t="s">
        <v>20617</v>
      </c>
      <c r="F4885" t="s">
        <v>28198</v>
      </c>
      <c r="G4885" t="s">
        <v>28207</v>
      </c>
      <c r="H4885" t="s">
        <v>28215</v>
      </c>
      <c r="I4885" t="s">
        <v>28271</v>
      </c>
      <c r="J4885" t="s">
        <v>28597</v>
      </c>
      <c r="K4885" t="s">
        <v>36688</v>
      </c>
      <c r="M4885" t="s">
        <v>38572</v>
      </c>
      <c r="N4885" t="s">
        <v>40436</v>
      </c>
      <c r="O4885" t="s">
        <v>40437</v>
      </c>
      <c r="P4885">
        <v>0</v>
      </c>
      <c r="Q4885">
        <v>3</v>
      </c>
      <c r="R4885" t="s">
        <v>40440</v>
      </c>
      <c r="S4885" t="s">
        <v>40603</v>
      </c>
      <c r="T4885" t="s">
        <v>42184</v>
      </c>
      <c r="U4885" t="s">
        <v>46775</v>
      </c>
      <c r="W4885" t="s">
        <v>38572</v>
      </c>
      <c r="X4885" t="s">
        <v>40444</v>
      </c>
    </row>
    <row r="4886" spans="1:24">
      <c r="A4886">
        <f>HYPERLINK("https://www.philgeps.gov.ph/GEPSNONPILOT/Tender/SplashBidNoticeAbstractUI.aspx?menuIndex=3&amp;refID=7041483&amp;Result=3","7041483")</f>
        <v>0</v>
      </c>
      <c r="B4886" t="s">
        <v>1693</v>
      </c>
      <c r="C4886" t="s">
        <v>7744</v>
      </c>
      <c r="D4886" t="s">
        <v>16187</v>
      </c>
      <c r="E4886" t="s">
        <v>20065</v>
      </c>
      <c r="F4886" t="s">
        <v>28198</v>
      </c>
      <c r="G4886" t="s">
        <v>28205</v>
      </c>
      <c r="H4886" t="s">
        <v>28214</v>
      </c>
      <c r="I4886" t="s">
        <v>3797</v>
      </c>
      <c r="J4886" t="s">
        <v>29261</v>
      </c>
      <c r="K4886" t="s">
        <v>36701</v>
      </c>
      <c r="M4886" t="s">
        <v>38794</v>
      </c>
      <c r="N4886" t="s">
        <v>40436</v>
      </c>
      <c r="O4886" t="s">
        <v>40437</v>
      </c>
      <c r="P4886">
        <v>0</v>
      </c>
      <c r="Q4886">
        <v>0</v>
      </c>
      <c r="R4886" t="s">
        <v>40440</v>
      </c>
      <c r="S4886" t="s">
        <v>40603</v>
      </c>
      <c r="T4886" t="s">
        <v>42402</v>
      </c>
      <c r="U4886" t="s">
        <v>46776</v>
      </c>
      <c r="W4886" t="s">
        <v>38794</v>
      </c>
      <c r="X4886" t="s">
        <v>40444</v>
      </c>
    </row>
    <row r="4887" spans="1:24">
      <c r="A4887">
        <f>HYPERLINK("https://www.philgeps.gov.ph/GEPSNONPILOT/Tender/SplashBidNoticeAbstractUI.aspx?menuIndex=3&amp;refID=7041473&amp;Result=3","7041473")</f>
        <v>0</v>
      </c>
      <c r="B4887" t="s">
        <v>1694</v>
      </c>
      <c r="C4887" t="s">
        <v>7745</v>
      </c>
      <c r="D4887" t="s">
        <v>16266</v>
      </c>
      <c r="E4887" t="s">
        <v>20618</v>
      </c>
      <c r="F4887" t="s">
        <v>28198</v>
      </c>
      <c r="G4887" t="s">
        <v>28205</v>
      </c>
      <c r="H4887" t="s">
        <v>28215</v>
      </c>
      <c r="I4887" t="s">
        <v>28227</v>
      </c>
      <c r="J4887" t="s">
        <v>31461</v>
      </c>
      <c r="K4887" t="s">
        <v>36706</v>
      </c>
      <c r="M4887" t="s">
        <v>38795</v>
      </c>
      <c r="N4887" t="s">
        <v>40436</v>
      </c>
      <c r="O4887" t="s">
        <v>40437</v>
      </c>
      <c r="P4887">
        <v>0</v>
      </c>
      <c r="Q4887">
        <v>0</v>
      </c>
      <c r="R4887" t="s">
        <v>40440</v>
      </c>
      <c r="S4887" t="s">
        <v>40603</v>
      </c>
      <c r="T4887" t="s">
        <v>42133</v>
      </c>
      <c r="U4887" t="s">
        <v>44576</v>
      </c>
      <c r="W4887" t="s">
        <v>38795</v>
      </c>
      <c r="X4887" t="s">
        <v>40444</v>
      </c>
    </row>
    <row r="4888" spans="1:24">
      <c r="A4888">
        <f>HYPERLINK("https://www.philgeps.gov.ph/GEPSNONPILOT/Tender/SplashBidNoticeAbstractUI.aspx?menuIndex=3&amp;refID=7041412&amp;Result=3","7041412")</f>
        <v>0</v>
      </c>
      <c r="B4888" t="s">
        <v>1349</v>
      </c>
      <c r="C4888" t="s">
        <v>3173</v>
      </c>
      <c r="D4888" t="s">
        <v>16249</v>
      </c>
      <c r="E4888" t="s">
        <v>20619</v>
      </c>
      <c r="F4888" t="s">
        <v>28198</v>
      </c>
      <c r="G4888" t="s">
        <v>28207</v>
      </c>
      <c r="H4888" t="s">
        <v>28215</v>
      </c>
      <c r="I4888" t="s">
        <v>5082</v>
      </c>
      <c r="J4888" t="s">
        <v>31462</v>
      </c>
      <c r="K4888" t="s">
        <v>36688</v>
      </c>
      <c r="M4888" t="s">
        <v>38407</v>
      </c>
      <c r="N4888" t="s">
        <v>40436</v>
      </c>
      <c r="O4888" t="s">
        <v>40437</v>
      </c>
      <c r="P4888">
        <v>0</v>
      </c>
      <c r="Q4888">
        <v>2</v>
      </c>
      <c r="R4888" t="s">
        <v>40440</v>
      </c>
      <c r="S4888" t="s">
        <v>40603</v>
      </c>
      <c r="T4888" t="s">
        <v>42233</v>
      </c>
      <c r="U4888" t="s">
        <v>46777</v>
      </c>
      <c r="V4888" t="s">
        <v>54269</v>
      </c>
      <c r="W4888" t="s">
        <v>38407</v>
      </c>
      <c r="X4888" t="s">
        <v>40444</v>
      </c>
    </row>
    <row r="4889" spans="1:24">
      <c r="A4889">
        <f>HYPERLINK("https://www.philgeps.gov.ph/GEPSNONPILOT/Tender/SplashBidNoticeAbstractUI.aspx?menuIndex=3&amp;refID=7041551&amp;Result=3","7041551")</f>
        <v>0</v>
      </c>
      <c r="B4889" t="s">
        <v>1695</v>
      </c>
      <c r="C4889" t="s">
        <v>7746</v>
      </c>
      <c r="D4889" t="s">
        <v>16235</v>
      </c>
      <c r="E4889" t="s">
        <v>20620</v>
      </c>
      <c r="F4889" t="s">
        <v>28198</v>
      </c>
      <c r="G4889" t="s">
        <v>28207</v>
      </c>
      <c r="H4889" t="s">
        <v>28215</v>
      </c>
      <c r="I4889" t="s">
        <v>28227</v>
      </c>
      <c r="J4889" t="s">
        <v>31463</v>
      </c>
      <c r="K4889" t="s">
        <v>36691</v>
      </c>
      <c r="M4889" t="s">
        <v>38796</v>
      </c>
      <c r="N4889" t="s">
        <v>40436</v>
      </c>
      <c r="O4889" t="s">
        <v>40437</v>
      </c>
      <c r="P4889">
        <v>0</v>
      </c>
      <c r="Q4889">
        <v>1</v>
      </c>
      <c r="R4889" t="s">
        <v>40440</v>
      </c>
      <c r="S4889" t="s">
        <v>40603</v>
      </c>
      <c r="T4889" t="s">
        <v>42184</v>
      </c>
      <c r="U4889" t="s">
        <v>45725</v>
      </c>
      <c r="W4889" t="s">
        <v>38796</v>
      </c>
      <c r="X4889" t="s">
        <v>40444</v>
      </c>
    </row>
    <row r="4890" spans="1:24">
      <c r="A4890">
        <f>HYPERLINK("https://www.philgeps.gov.ph/GEPSNONPILOT/Tender/SplashBidNoticeAbstractUI.aspx?menuIndex=3&amp;refID=7041408&amp;Result=3","7041408")</f>
        <v>0</v>
      </c>
      <c r="B4890" t="s">
        <v>1691</v>
      </c>
      <c r="C4890" t="s">
        <v>7747</v>
      </c>
      <c r="D4890" t="s">
        <v>16188</v>
      </c>
      <c r="E4890" t="s">
        <v>20621</v>
      </c>
      <c r="F4890" t="s">
        <v>28198</v>
      </c>
      <c r="G4890" t="s">
        <v>28207</v>
      </c>
      <c r="H4890" t="s">
        <v>28215</v>
      </c>
      <c r="I4890" t="s">
        <v>28254</v>
      </c>
      <c r="J4890" t="s">
        <v>28772</v>
      </c>
      <c r="K4890" t="s">
        <v>36689</v>
      </c>
      <c r="M4890" t="s">
        <v>38791</v>
      </c>
      <c r="N4890" t="s">
        <v>40436</v>
      </c>
      <c r="O4890" t="s">
        <v>40437</v>
      </c>
      <c r="P4890">
        <v>0</v>
      </c>
      <c r="Q4890">
        <v>1</v>
      </c>
      <c r="R4890" t="s">
        <v>40440</v>
      </c>
      <c r="S4890" t="s">
        <v>40603</v>
      </c>
      <c r="T4890" t="s">
        <v>42245</v>
      </c>
      <c r="U4890" t="s">
        <v>46778</v>
      </c>
      <c r="W4890" t="s">
        <v>38791</v>
      </c>
      <c r="X4890" t="s">
        <v>40444</v>
      </c>
    </row>
    <row r="4891" spans="1:24">
      <c r="A4891">
        <f>HYPERLINK("https://www.philgeps.gov.ph/GEPSNONPILOT/Tender/SplashBidNoticeAbstractUI.aspx?menuIndex=3&amp;refID=7041452&amp;Result=3","7041452")</f>
        <v>0</v>
      </c>
      <c r="B4891" t="s">
        <v>1076</v>
      </c>
      <c r="C4891" t="s">
        <v>7748</v>
      </c>
      <c r="D4891" t="s">
        <v>16193</v>
      </c>
      <c r="E4891" t="s">
        <v>20622</v>
      </c>
      <c r="F4891" t="s">
        <v>28198</v>
      </c>
      <c r="G4891" t="s">
        <v>28205</v>
      </c>
      <c r="H4891" t="s">
        <v>28215</v>
      </c>
      <c r="I4891" t="s">
        <v>28249</v>
      </c>
      <c r="J4891" t="s">
        <v>28393</v>
      </c>
      <c r="K4891" t="s">
        <v>36689</v>
      </c>
      <c r="M4891" t="s">
        <v>38110</v>
      </c>
      <c r="N4891" t="s">
        <v>40436</v>
      </c>
      <c r="O4891" t="s">
        <v>40437</v>
      </c>
      <c r="P4891">
        <v>0</v>
      </c>
      <c r="Q4891">
        <v>0</v>
      </c>
      <c r="R4891" t="s">
        <v>40440</v>
      </c>
      <c r="S4891" t="s">
        <v>40603</v>
      </c>
      <c r="T4891" t="s">
        <v>42134</v>
      </c>
      <c r="U4891" t="s">
        <v>46779</v>
      </c>
      <c r="V4891" t="s">
        <v>53826</v>
      </c>
      <c r="W4891" t="s">
        <v>38110</v>
      </c>
      <c r="X4891" t="s">
        <v>40444</v>
      </c>
    </row>
    <row r="4892" spans="1:24">
      <c r="A4892">
        <f>HYPERLINK("https://www.philgeps.gov.ph/GEPSNONPILOT/Tender/SplashBidNoticeAbstractUI.aspx?menuIndex=3&amp;refID=7041429&amp;Result=3","7041429")</f>
        <v>0</v>
      </c>
      <c r="B4892" t="s">
        <v>1691</v>
      </c>
      <c r="C4892" t="s">
        <v>7749</v>
      </c>
      <c r="D4892" t="s">
        <v>16188</v>
      </c>
      <c r="E4892" t="s">
        <v>20623</v>
      </c>
      <c r="F4892" t="s">
        <v>28198</v>
      </c>
      <c r="G4892" t="s">
        <v>28207</v>
      </c>
      <c r="H4892" t="s">
        <v>28215</v>
      </c>
      <c r="I4892" t="s">
        <v>4200</v>
      </c>
      <c r="J4892" t="s">
        <v>31464</v>
      </c>
      <c r="K4892" t="s">
        <v>36689</v>
      </c>
      <c r="M4892" t="s">
        <v>38791</v>
      </c>
      <c r="N4892" t="s">
        <v>40436</v>
      </c>
      <c r="O4892" t="s">
        <v>40437</v>
      </c>
      <c r="P4892">
        <v>0</v>
      </c>
      <c r="Q4892">
        <v>0</v>
      </c>
      <c r="R4892" t="s">
        <v>40440</v>
      </c>
      <c r="S4892" t="s">
        <v>40603</v>
      </c>
      <c r="T4892" t="s">
        <v>42245</v>
      </c>
      <c r="U4892" t="s">
        <v>46757</v>
      </c>
      <c r="W4892" t="s">
        <v>38791</v>
      </c>
      <c r="X4892" t="s">
        <v>40444</v>
      </c>
    </row>
    <row r="4893" spans="1:24">
      <c r="A4893">
        <f>HYPERLINK("https://www.philgeps.gov.ph/GEPSNONPILOT/Tender/SplashBidNoticeAbstractUI.aspx?menuIndex=3&amp;refID=7041534&amp;Result=3","7041534")</f>
        <v>0</v>
      </c>
      <c r="B4893" t="s">
        <v>243</v>
      </c>
      <c r="C4893" t="s">
        <v>7750</v>
      </c>
      <c r="D4893" t="s">
        <v>16193</v>
      </c>
      <c r="E4893" t="s">
        <v>20624</v>
      </c>
      <c r="F4893" t="s">
        <v>28198</v>
      </c>
      <c r="G4893" t="s">
        <v>28205</v>
      </c>
      <c r="H4893" t="s">
        <v>28214</v>
      </c>
      <c r="I4893" t="s">
        <v>3797</v>
      </c>
      <c r="J4893" t="s">
        <v>31465</v>
      </c>
      <c r="K4893" t="s">
        <v>36707</v>
      </c>
      <c r="M4893" t="s">
        <v>37219</v>
      </c>
      <c r="N4893" t="s">
        <v>40436</v>
      </c>
      <c r="O4893" t="s">
        <v>40437</v>
      </c>
      <c r="P4893">
        <v>0</v>
      </c>
      <c r="Q4893">
        <v>0</v>
      </c>
      <c r="R4893" t="s">
        <v>40440</v>
      </c>
      <c r="S4893" t="s">
        <v>40603</v>
      </c>
      <c r="T4893" t="s">
        <v>42133</v>
      </c>
      <c r="U4893" t="s">
        <v>46780</v>
      </c>
      <c r="V4893" t="s">
        <v>53921</v>
      </c>
      <c r="W4893" t="s">
        <v>37219</v>
      </c>
      <c r="X4893" t="s">
        <v>40444</v>
      </c>
    </row>
    <row r="4894" spans="1:24">
      <c r="A4894">
        <f>HYPERLINK("https://www.philgeps.gov.ph/GEPSNONPILOT/Tender/SplashBidNoticeAbstractUI.aspx?menuIndex=3&amp;refID=7041527&amp;Result=3","7041527")</f>
        <v>0</v>
      </c>
      <c r="B4894" t="s">
        <v>1694</v>
      </c>
      <c r="C4894" t="s">
        <v>7751</v>
      </c>
      <c r="D4894" t="s">
        <v>16266</v>
      </c>
      <c r="E4894" t="s">
        <v>20625</v>
      </c>
      <c r="F4894" t="s">
        <v>28198</v>
      </c>
      <c r="G4894" t="s">
        <v>28205</v>
      </c>
      <c r="H4894" t="s">
        <v>28215</v>
      </c>
      <c r="I4894" t="s">
        <v>28227</v>
      </c>
      <c r="J4894" t="s">
        <v>31466</v>
      </c>
      <c r="K4894" t="s">
        <v>36706</v>
      </c>
      <c r="M4894" t="s">
        <v>38795</v>
      </c>
      <c r="N4894" t="s">
        <v>40436</v>
      </c>
      <c r="O4894" t="s">
        <v>40437</v>
      </c>
      <c r="P4894">
        <v>0</v>
      </c>
      <c r="Q4894">
        <v>0</v>
      </c>
      <c r="R4894" t="s">
        <v>40440</v>
      </c>
      <c r="S4894" t="s">
        <v>40603</v>
      </c>
      <c r="T4894" t="s">
        <v>42133</v>
      </c>
      <c r="U4894" t="s">
        <v>44576</v>
      </c>
      <c r="W4894" t="s">
        <v>38795</v>
      </c>
      <c r="X4894" t="s">
        <v>40444</v>
      </c>
    </row>
    <row r="4895" spans="1:24">
      <c r="A4895">
        <f>HYPERLINK("https://www.philgeps.gov.ph/GEPSNONPILOT/Tender/SplashBidNoticeAbstractUI.aspx?menuIndex=3&amp;refID=7041520&amp;Result=3","7041520")</f>
        <v>0</v>
      </c>
      <c r="B4895" t="s">
        <v>233</v>
      </c>
      <c r="C4895" t="s">
        <v>7752</v>
      </c>
      <c r="E4895" t="s">
        <v>20626</v>
      </c>
      <c r="F4895" t="s">
        <v>28198</v>
      </c>
      <c r="G4895" t="s">
        <v>28207</v>
      </c>
      <c r="H4895" t="s">
        <v>28215</v>
      </c>
      <c r="I4895" t="s">
        <v>28228</v>
      </c>
      <c r="J4895" t="s">
        <v>28864</v>
      </c>
      <c r="K4895" t="s">
        <v>36688</v>
      </c>
      <c r="M4895" t="s">
        <v>37209</v>
      </c>
      <c r="N4895" t="s">
        <v>40436</v>
      </c>
      <c r="O4895" t="s">
        <v>40437</v>
      </c>
      <c r="P4895">
        <v>0</v>
      </c>
      <c r="Q4895">
        <v>0</v>
      </c>
      <c r="R4895" t="s">
        <v>40440</v>
      </c>
      <c r="S4895" t="s">
        <v>40603</v>
      </c>
      <c r="T4895" t="s">
        <v>42185</v>
      </c>
      <c r="U4895" t="s">
        <v>46781</v>
      </c>
      <c r="W4895" t="s">
        <v>37209</v>
      </c>
      <c r="X4895" t="s">
        <v>40444</v>
      </c>
    </row>
    <row r="4896" spans="1:24">
      <c r="A4896">
        <f>HYPERLINK("https://www.philgeps.gov.ph/GEPSNONPILOT/Tender/SplashBidNoticeAbstractUI.aspx?menuIndex=3&amp;refID=7041539&amp;Result=3","7041539")</f>
        <v>0</v>
      </c>
      <c r="B4896" t="s">
        <v>1076</v>
      </c>
      <c r="C4896" t="s">
        <v>7753</v>
      </c>
      <c r="D4896" t="s">
        <v>16193</v>
      </c>
      <c r="E4896" t="s">
        <v>20627</v>
      </c>
      <c r="F4896" t="s">
        <v>28198</v>
      </c>
      <c r="G4896" t="s">
        <v>28205</v>
      </c>
      <c r="H4896" t="s">
        <v>28215</v>
      </c>
      <c r="I4896" t="s">
        <v>28224</v>
      </c>
      <c r="J4896" t="s">
        <v>28561</v>
      </c>
      <c r="K4896" t="s">
        <v>36689</v>
      </c>
      <c r="M4896" t="s">
        <v>38110</v>
      </c>
      <c r="N4896" t="s">
        <v>40436</v>
      </c>
      <c r="O4896" t="s">
        <v>40437</v>
      </c>
      <c r="P4896">
        <v>0</v>
      </c>
      <c r="Q4896">
        <v>2</v>
      </c>
      <c r="R4896" t="s">
        <v>40440</v>
      </c>
      <c r="S4896" t="s">
        <v>40603</v>
      </c>
      <c r="T4896" t="s">
        <v>42403</v>
      </c>
      <c r="U4896" t="s">
        <v>46782</v>
      </c>
      <c r="V4896" t="s">
        <v>53826</v>
      </c>
      <c r="W4896" t="s">
        <v>38110</v>
      </c>
      <c r="X4896" t="s">
        <v>40444</v>
      </c>
    </row>
    <row r="4897" spans="1:24">
      <c r="A4897">
        <f>HYPERLINK("https://www.philgeps.gov.ph/GEPSNONPILOT/Tender/SplashBidNoticeAbstractUI.aspx?menuIndex=3&amp;refID=7041497&amp;Result=3","7041497")</f>
        <v>0</v>
      </c>
      <c r="B4897" t="s">
        <v>1691</v>
      </c>
      <c r="C4897" t="s">
        <v>7754</v>
      </c>
      <c r="D4897" t="s">
        <v>16188</v>
      </c>
      <c r="E4897" t="s">
        <v>20628</v>
      </c>
      <c r="F4897" t="s">
        <v>28198</v>
      </c>
      <c r="G4897" t="s">
        <v>28207</v>
      </c>
      <c r="H4897" t="s">
        <v>28215</v>
      </c>
      <c r="I4897" t="s">
        <v>28258</v>
      </c>
      <c r="J4897" t="s">
        <v>31467</v>
      </c>
      <c r="K4897" t="s">
        <v>36689</v>
      </c>
      <c r="M4897" t="s">
        <v>38791</v>
      </c>
      <c r="N4897" t="s">
        <v>40436</v>
      </c>
      <c r="O4897" t="s">
        <v>40437</v>
      </c>
      <c r="P4897">
        <v>0</v>
      </c>
      <c r="Q4897">
        <v>4</v>
      </c>
      <c r="R4897" t="s">
        <v>40440</v>
      </c>
      <c r="S4897" t="s">
        <v>40603</v>
      </c>
      <c r="T4897" t="s">
        <v>42245</v>
      </c>
      <c r="U4897" t="s">
        <v>46757</v>
      </c>
      <c r="W4897" t="s">
        <v>38791</v>
      </c>
      <c r="X4897" t="s">
        <v>40444</v>
      </c>
    </row>
    <row r="4898" spans="1:24">
      <c r="A4898">
        <f>HYPERLINK("https://www.philgeps.gov.ph/GEPSNONPILOT/Tender/SplashBidNoticeAbstractUI.aspx?menuIndex=3&amp;refID=7041549&amp;Result=3","7041549")</f>
        <v>0</v>
      </c>
      <c r="B4898" t="s">
        <v>243</v>
      </c>
      <c r="C4898" t="s">
        <v>7755</v>
      </c>
      <c r="D4898" t="s">
        <v>16193</v>
      </c>
      <c r="E4898" t="s">
        <v>20629</v>
      </c>
      <c r="F4898" t="s">
        <v>28198</v>
      </c>
      <c r="G4898" t="s">
        <v>28205</v>
      </c>
      <c r="H4898" t="s">
        <v>28214</v>
      </c>
      <c r="I4898" t="s">
        <v>3797</v>
      </c>
      <c r="J4898" t="s">
        <v>31468</v>
      </c>
      <c r="K4898" t="s">
        <v>36707</v>
      </c>
      <c r="M4898" t="s">
        <v>37219</v>
      </c>
      <c r="N4898" t="s">
        <v>40436</v>
      </c>
      <c r="O4898" t="s">
        <v>40437</v>
      </c>
      <c r="P4898">
        <v>0</v>
      </c>
      <c r="Q4898">
        <v>0</v>
      </c>
      <c r="R4898" t="s">
        <v>40440</v>
      </c>
      <c r="S4898" t="s">
        <v>40603</v>
      </c>
      <c r="T4898" t="s">
        <v>42133</v>
      </c>
      <c r="U4898" t="s">
        <v>46783</v>
      </c>
      <c r="V4898" t="s">
        <v>53830</v>
      </c>
      <c r="W4898" t="s">
        <v>37219</v>
      </c>
      <c r="X4898" t="s">
        <v>40444</v>
      </c>
    </row>
    <row r="4899" spans="1:24">
      <c r="A4899">
        <f>HYPERLINK("https://www.philgeps.gov.ph/GEPSNONPILOT/Tender/SplashBidNoticeAbstractUI.aspx?menuIndex=3&amp;refID=7041545&amp;Result=3","7041545")</f>
        <v>0</v>
      </c>
      <c r="B4899" t="s">
        <v>1694</v>
      </c>
      <c r="C4899" t="s">
        <v>7756</v>
      </c>
      <c r="D4899" t="s">
        <v>16266</v>
      </c>
      <c r="E4899" t="s">
        <v>20630</v>
      </c>
      <c r="F4899" t="s">
        <v>28198</v>
      </c>
      <c r="G4899" t="s">
        <v>28205</v>
      </c>
      <c r="H4899" t="s">
        <v>28215</v>
      </c>
      <c r="I4899" t="s">
        <v>28227</v>
      </c>
      <c r="J4899" t="s">
        <v>31461</v>
      </c>
      <c r="K4899" t="s">
        <v>36706</v>
      </c>
      <c r="M4899" t="s">
        <v>38795</v>
      </c>
      <c r="N4899" t="s">
        <v>40436</v>
      </c>
      <c r="O4899" t="s">
        <v>40437</v>
      </c>
      <c r="P4899">
        <v>0</v>
      </c>
      <c r="Q4899">
        <v>0</v>
      </c>
      <c r="R4899" t="s">
        <v>40440</v>
      </c>
      <c r="S4899" t="s">
        <v>40603</v>
      </c>
      <c r="T4899" t="s">
        <v>42133</v>
      </c>
      <c r="U4899" t="s">
        <v>44576</v>
      </c>
      <c r="W4899" t="s">
        <v>38795</v>
      </c>
      <c r="X4899" t="s">
        <v>40444</v>
      </c>
    </row>
    <row r="4900" spans="1:24">
      <c r="A4900">
        <f>HYPERLINK("https://www.philgeps.gov.ph/GEPSNONPILOT/Tender/SplashBidNoticeAbstractUI.aspx?menuIndex=3&amp;refID=7041458&amp;Result=3","7041458")</f>
        <v>0</v>
      </c>
      <c r="B4900" t="s">
        <v>1691</v>
      </c>
      <c r="C4900" t="s">
        <v>7757</v>
      </c>
      <c r="D4900" t="s">
        <v>16188</v>
      </c>
      <c r="E4900" t="s">
        <v>20631</v>
      </c>
      <c r="F4900" t="s">
        <v>28198</v>
      </c>
      <c r="G4900" t="s">
        <v>28207</v>
      </c>
      <c r="H4900" t="s">
        <v>28215</v>
      </c>
      <c r="I4900" t="s">
        <v>4222</v>
      </c>
      <c r="J4900" t="s">
        <v>31469</v>
      </c>
      <c r="K4900" t="s">
        <v>36689</v>
      </c>
      <c r="M4900" t="s">
        <v>38791</v>
      </c>
      <c r="N4900" t="s">
        <v>40436</v>
      </c>
      <c r="O4900" t="s">
        <v>40437</v>
      </c>
      <c r="P4900">
        <v>0</v>
      </c>
      <c r="Q4900">
        <v>1</v>
      </c>
      <c r="R4900" t="s">
        <v>40440</v>
      </c>
      <c r="S4900" t="s">
        <v>40603</v>
      </c>
      <c r="T4900" t="s">
        <v>42245</v>
      </c>
      <c r="U4900" t="s">
        <v>46757</v>
      </c>
      <c r="W4900" t="s">
        <v>38791</v>
      </c>
      <c r="X4900" t="s">
        <v>40444</v>
      </c>
    </row>
    <row r="4901" spans="1:24">
      <c r="A4901">
        <f>HYPERLINK("https://www.philgeps.gov.ph/GEPSNONPILOT/Tender/SplashBidNoticeAbstractUI.aspx?menuIndex=3&amp;refID=7041410&amp;Result=3","7041410")</f>
        <v>0</v>
      </c>
      <c r="B4901" t="s">
        <v>1696</v>
      </c>
      <c r="C4901" t="s">
        <v>7758</v>
      </c>
      <c r="D4901" t="s">
        <v>16206</v>
      </c>
      <c r="E4901" t="s">
        <v>17248</v>
      </c>
      <c r="F4901" t="s">
        <v>28201</v>
      </c>
      <c r="G4901" t="s">
        <v>28205</v>
      </c>
      <c r="H4901" t="s">
        <v>28214</v>
      </c>
      <c r="I4901" t="s">
        <v>3797</v>
      </c>
      <c r="J4901" t="s">
        <v>28378</v>
      </c>
      <c r="K4901" t="s">
        <v>36701</v>
      </c>
      <c r="M4901" t="s">
        <v>38797</v>
      </c>
      <c r="N4901" t="s">
        <v>40436</v>
      </c>
      <c r="O4901" t="s">
        <v>40437</v>
      </c>
      <c r="P4901">
        <v>0</v>
      </c>
      <c r="Q4901">
        <v>0</v>
      </c>
      <c r="R4901" t="s">
        <v>40440</v>
      </c>
      <c r="S4901" t="s">
        <v>40603</v>
      </c>
      <c r="T4901" t="s">
        <v>42404</v>
      </c>
      <c r="U4901" t="s">
        <v>46784</v>
      </c>
      <c r="W4901" t="s">
        <v>38797</v>
      </c>
      <c r="X4901" t="s">
        <v>40444</v>
      </c>
    </row>
    <row r="4902" spans="1:24">
      <c r="A4902">
        <f>HYPERLINK("https://www.philgeps.gov.ph/GEPSNONPILOT/Tender/SplashBidNoticeAbstractUI.aspx?menuIndex=3&amp;refID=7041560&amp;Result=3","7041560")</f>
        <v>0</v>
      </c>
      <c r="B4902" t="s">
        <v>243</v>
      </c>
      <c r="C4902" t="s">
        <v>7759</v>
      </c>
      <c r="D4902" t="s">
        <v>16193</v>
      </c>
      <c r="E4902" t="s">
        <v>20632</v>
      </c>
      <c r="F4902" t="s">
        <v>28198</v>
      </c>
      <c r="G4902" t="s">
        <v>28205</v>
      </c>
      <c r="H4902" t="s">
        <v>28214</v>
      </c>
      <c r="I4902" t="s">
        <v>3797</v>
      </c>
      <c r="J4902" t="s">
        <v>31470</v>
      </c>
      <c r="K4902" t="s">
        <v>36707</v>
      </c>
      <c r="M4902" t="s">
        <v>37219</v>
      </c>
      <c r="N4902" t="s">
        <v>40436</v>
      </c>
      <c r="O4902" t="s">
        <v>40437</v>
      </c>
      <c r="P4902">
        <v>0</v>
      </c>
      <c r="Q4902">
        <v>0</v>
      </c>
      <c r="R4902" t="s">
        <v>40440</v>
      </c>
      <c r="S4902" t="s">
        <v>40603</v>
      </c>
      <c r="T4902" t="s">
        <v>42133</v>
      </c>
      <c r="U4902" t="s">
        <v>46783</v>
      </c>
      <c r="V4902" t="s">
        <v>53830</v>
      </c>
      <c r="W4902" t="s">
        <v>37219</v>
      </c>
      <c r="X4902" t="s">
        <v>40444</v>
      </c>
    </row>
    <row r="4903" spans="1:24">
      <c r="A4903">
        <f>HYPERLINK("https://www.philgeps.gov.ph/GEPSNONPILOT/Tender/SplashBidNoticeAbstractUI.aspx?menuIndex=3&amp;refID=7041592&amp;Result=3","7041592")</f>
        <v>0</v>
      </c>
      <c r="B4903" t="s">
        <v>1694</v>
      </c>
      <c r="C4903" t="s">
        <v>7760</v>
      </c>
      <c r="D4903" t="s">
        <v>16266</v>
      </c>
      <c r="E4903" t="s">
        <v>20633</v>
      </c>
      <c r="F4903" t="s">
        <v>28198</v>
      </c>
      <c r="G4903" t="s">
        <v>28205</v>
      </c>
      <c r="H4903" t="s">
        <v>28215</v>
      </c>
      <c r="I4903" t="s">
        <v>28227</v>
      </c>
      <c r="J4903" t="s">
        <v>31471</v>
      </c>
      <c r="K4903" t="s">
        <v>36706</v>
      </c>
      <c r="M4903" t="s">
        <v>38795</v>
      </c>
      <c r="N4903" t="s">
        <v>40436</v>
      </c>
      <c r="O4903" t="s">
        <v>40437</v>
      </c>
      <c r="P4903">
        <v>0</v>
      </c>
      <c r="Q4903">
        <v>0</v>
      </c>
      <c r="R4903" t="s">
        <v>40440</v>
      </c>
      <c r="S4903" t="s">
        <v>40603</v>
      </c>
      <c r="T4903" t="s">
        <v>42133</v>
      </c>
      <c r="U4903" t="s">
        <v>44576</v>
      </c>
      <c r="W4903" t="s">
        <v>38795</v>
      </c>
      <c r="X4903" t="s">
        <v>40444</v>
      </c>
    </row>
    <row r="4904" spans="1:24">
      <c r="A4904">
        <f>HYPERLINK("https://www.philgeps.gov.ph/GEPSNONPILOT/Tender/SplashBidNoticeAbstractUI.aspx?menuIndex=3&amp;refID=7041570&amp;Result=3","7041570")</f>
        <v>0</v>
      </c>
      <c r="B4904" t="s">
        <v>243</v>
      </c>
      <c r="C4904" t="s">
        <v>7761</v>
      </c>
      <c r="D4904" t="s">
        <v>16193</v>
      </c>
      <c r="E4904" t="s">
        <v>20634</v>
      </c>
      <c r="F4904" t="s">
        <v>28198</v>
      </c>
      <c r="G4904" t="s">
        <v>28205</v>
      </c>
      <c r="H4904" t="s">
        <v>28214</v>
      </c>
      <c r="I4904" t="s">
        <v>3797</v>
      </c>
      <c r="J4904" t="s">
        <v>31468</v>
      </c>
      <c r="K4904" t="s">
        <v>36707</v>
      </c>
      <c r="M4904" t="s">
        <v>37219</v>
      </c>
      <c r="N4904" t="s">
        <v>40436</v>
      </c>
      <c r="O4904" t="s">
        <v>40437</v>
      </c>
      <c r="P4904">
        <v>0</v>
      </c>
      <c r="Q4904">
        <v>0</v>
      </c>
      <c r="R4904" t="s">
        <v>40440</v>
      </c>
      <c r="S4904" t="s">
        <v>40603</v>
      </c>
      <c r="T4904" t="s">
        <v>42133</v>
      </c>
      <c r="U4904" t="s">
        <v>46783</v>
      </c>
      <c r="V4904" t="s">
        <v>53830</v>
      </c>
      <c r="W4904" t="s">
        <v>37219</v>
      </c>
      <c r="X4904" t="s">
        <v>40444</v>
      </c>
    </row>
    <row r="4905" spans="1:24">
      <c r="A4905">
        <f>HYPERLINK("https://www.philgeps.gov.ph/GEPSNONPILOT/Tender/SplashBidNoticeAbstractUI.aspx?menuIndex=3&amp;refID=7041577&amp;Result=3","7041577")</f>
        <v>0</v>
      </c>
      <c r="B4905" t="s">
        <v>501</v>
      </c>
      <c r="C4905" t="s">
        <v>7762</v>
      </c>
      <c r="D4905" t="s">
        <v>16210</v>
      </c>
      <c r="E4905" t="s">
        <v>20635</v>
      </c>
      <c r="F4905" t="s">
        <v>28198</v>
      </c>
      <c r="G4905" t="s">
        <v>28207</v>
      </c>
      <c r="H4905" t="s">
        <v>28215</v>
      </c>
      <c r="I4905" t="s">
        <v>3774</v>
      </c>
      <c r="J4905" t="s">
        <v>31472</v>
      </c>
      <c r="K4905" t="s">
        <v>36689</v>
      </c>
      <c r="M4905" t="s">
        <v>38236</v>
      </c>
      <c r="N4905" t="s">
        <v>40436</v>
      </c>
      <c r="O4905" t="s">
        <v>40437</v>
      </c>
      <c r="P4905">
        <v>0</v>
      </c>
      <c r="Q4905">
        <v>0</v>
      </c>
      <c r="R4905" t="s">
        <v>40440</v>
      </c>
      <c r="S4905" t="s">
        <v>40603</v>
      </c>
      <c r="T4905" t="s">
        <v>42233</v>
      </c>
      <c r="U4905" t="s">
        <v>46785</v>
      </c>
      <c r="W4905" t="s">
        <v>38236</v>
      </c>
      <c r="X4905" t="s">
        <v>40444</v>
      </c>
    </row>
    <row r="4906" spans="1:24">
      <c r="A4906">
        <f>HYPERLINK("https://www.philgeps.gov.ph/GEPSNONPILOT/Tender/SplashBidNoticeAbstractUI.aspx?menuIndex=3&amp;refID=7041611&amp;Result=3","7041611")</f>
        <v>0</v>
      </c>
      <c r="B4906" t="s">
        <v>1697</v>
      </c>
      <c r="C4906" t="s">
        <v>7763</v>
      </c>
      <c r="D4906" t="s">
        <v>16221</v>
      </c>
      <c r="E4906" t="s">
        <v>20636</v>
      </c>
      <c r="F4906" t="s">
        <v>28198</v>
      </c>
      <c r="G4906" t="s">
        <v>28206</v>
      </c>
      <c r="H4906" t="s">
        <v>28215</v>
      </c>
      <c r="I4906" t="s">
        <v>28261</v>
      </c>
      <c r="J4906" t="s">
        <v>28597</v>
      </c>
      <c r="K4906" t="s">
        <v>36688</v>
      </c>
      <c r="M4906" t="s">
        <v>38798</v>
      </c>
      <c r="N4906" t="s">
        <v>40436</v>
      </c>
      <c r="O4906" t="s">
        <v>40437</v>
      </c>
      <c r="P4906">
        <v>0</v>
      </c>
      <c r="Q4906">
        <v>1</v>
      </c>
      <c r="R4906" t="s">
        <v>40440</v>
      </c>
      <c r="S4906" t="s">
        <v>40603</v>
      </c>
      <c r="T4906" t="s">
        <v>42238</v>
      </c>
      <c r="U4906" t="s">
        <v>46786</v>
      </c>
      <c r="W4906" t="s">
        <v>38798</v>
      </c>
      <c r="X4906" t="s">
        <v>40444</v>
      </c>
    </row>
    <row r="4907" spans="1:24">
      <c r="A4907">
        <f>HYPERLINK("https://www.philgeps.gov.ph/GEPSNONPILOT/Tender/SplashBidNoticeAbstractUI.aspx?menuIndex=3&amp;refID=7041654&amp;Result=3","7041654")</f>
        <v>0</v>
      </c>
      <c r="B4907" t="s">
        <v>501</v>
      </c>
      <c r="C4907" t="s">
        <v>7764</v>
      </c>
      <c r="D4907" t="s">
        <v>16210</v>
      </c>
      <c r="E4907" t="s">
        <v>20637</v>
      </c>
      <c r="F4907" t="s">
        <v>28198</v>
      </c>
      <c r="G4907" t="s">
        <v>28207</v>
      </c>
      <c r="H4907" t="s">
        <v>28215</v>
      </c>
      <c r="I4907" t="s">
        <v>3797</v>
      </c>
      <c r="J4907" t="s">
        <v>31473</v>
      </c>
      <c r="K4907" t="s">
        <v>36689</v>
      </c>
      <c r="M4907" t="s">
        <v>38236</v>
      </c>
      <c r="N4907" t="s">
        <v>40436</v>
      </c>
      <c r="O4907" t="s">
        <v>40437</v>
      </c>
      <c r="P4907">
        <v>0</v>
      </c>
      <c r="Q4907">
        <v>0</v>
      </c>
      <c r="R4907" t="s">
        <v>40440</v>
      </c>
      <c r="S4907" t="s">
        <v>40603</v>
      </c>
      <c r="T4907" t="s">
        <v>42233</v>
      </c>
      <c r="U4907" t="s">
        <v>43486</v>
      </c>
      <c r="W4907" t="s">
        <v>38236</v>
      </c>
      <c r="X4907" t="s">
        <v>40444</v>
      </c>
    </row>
    <row r="4908" spans="1:24">
      <c r="A4908">
        <f>HYPERLINK("https://www.philgeps.gov.ph/GEPSNONPILOT/Tender/SplashBidNoticeAbstractUI.aspx?menuIndex=3&amp;refID=7041640&amp;Result=3","7041640")</f>
        <v>0</v>
      </c>
      <c r="B4908" t="s">
        <v>1698</v>
      </c>
      <c r="C4908" t="s">
        <v>7765</v>
      </c>
      <c r="D4908" t="s">
        <v>16233</v>
      </c>
      <c r="E4908" t="s">
        <v>20638</v>
      </c>
      <c r="F4908" t="s">
        <v>28198</v>
      </c>
      <c r="G4908" t="s">
        <v>28207</v>
      </c>
      <c r="H4908" t="s">
        <v>28215</v>
      </c>
      <c r="I4908" t="s">
        <v>28220</v>
      </c>
      <c r="J4908" t="s">
        <v>30162</v>
      </c>
      <c r="K4908" t="s">
        <v>36688</v>
      </c>
      <c r="L4908" t="s">
        <v>1698</v>
      </c>
      <c r="M4908" t="s">
        <v>38799</v>
      </c>
      <c r="N4908" t="s">
        <v>40436</v>
      </c>
      <c r="O4908" t="s">
        <v>40437</v>
      </c>
      <c r="P4908">
        <v>0</v>
      </c>
      <c r="Q4908">
        <v>2</v>
      </c>
      <c r="R4908" t="s">
        <v>40440</v>
      </c>
      <c r="S4908" t="s">
        <v>40603</v>
      </c>
      <c r="T4908" t="s">
        <v>42144</v>
      </c>
      <c r="U4908" t="s">
        <v>46787</v>
      </c>
      <c r="V4908" t="s">
        <v>54270</v>
      </c>
      <c r="W4908" t="s">
        <v>38799</v>
      </c>
      <c r="X4908" t="s">
        <v>40444</v>
      </c>
    </row>
    <row r="4909" spans="1:24">
      <c r="A4909">
        <f>HYPERLINK("https://www.philgeps.gov.ph/GEPSNONPILOT/Tender/SplashBidNoticeAbstractUI.aspx?menuIndex=3&amp;refID=7041608&amp;Result=3","7041608")</f>
        <v>0</v>
      </c>
      <c r="B4909" t="s">
        <v>1699</v>
      </c>
      <c r="C4909" t="s">
        <v>3134</v>
      </c>
      <c r="D4909" t="s">
        <v>16198</v>
      </c>
      <c r="E4909" t="s">
        <v>20639</v>
      </c>
      <c r="F4909" t="s">
        <v>28198</v>
      </c>
      <c r="G4909" t="s">
        <v>28205</v>
      </c>
      <c r="H4909" t="s">
        <v>28214</v>
      </c>
      <c r="I4909" t="s">
        <v>3797</v>
      </c>
      <c r="J4909" t="s">
        <v>28345</v>
      </c>
      <c r="K4909" t="s">
        <v>36702</v>
      </c>
      <c r="M4909" t="s">
        <v>38800</v>
      </c>
      <c r="N4909" t="s">
        <v>40436</v>
      </c>
      <c r="O4909" t="s">
        <v>40437</v>
      </c>
      <c r="P4909">
        <v>0</v>
      </c>
      <c r="Q4909">
        <v>0</v>
      </c>
      <c r="R4909" t="s">
        <v>40440</v>
      </c>
      <c r="S4909" t="s">
        <v>40603</v>
      </c>
      <c r="T4909" t="s">
        <v>42103</v>
      </c>
      <c r="U4909" t="s">
        <v>46788</v>
      </c>
      <c r="W4909" t="s">
        <v>38800</v>
      </c>
      <c r="X4909" t="s">
        <v>40444</v>
      </c>
    </row>
    <row r="4910" spans="1:24">
      <c r="A4910">
        <f>HYPERLINK("https://www.philgeps.gov.ph/GEPSNONPILOT/Tender/SplashBidNoticeAbstractUI.aspx?menuIndex=3&amp;refID=7041607&amp;Result=3","7041607")</f>
        <v>0</v>
      </c>
      <c r="B4910" t="s">
        <v>501</v>
      </c>
      <c r="C4910" t="s">
        <v>7766</v>
      </c>
      <c r="D4910" t="s">
        <v>16210</v>
      </c>
      <c r="E4910" t="s">
        <v>20640</v>
      </c>
      <c r="F4910" t="s">
        <v>28198</v>
      </c>
      <c r="G4910" t="s">
        <v>28207</v>
      </c>
      <c r="H4910" t="s">
        <v>28215</v>
      </c>
      <c r="I4910" t="s">
        <v>4200</v>
      </c>
      <c r="J4910" t="s">
        <v>31474</v>
      </c>
      <c r="K4910" t="s">
        <v>36689</v>
      </c>
      <c r="M4910" t="s">
        <v>38236</v>
      </c>
      <c r="N4910" t="s">
        <v>40436</v>
      </c>
      <c r="O4910" t="s">
        <v>40437</v>
      </c>
      <c r="P4910">
        <v>0</v>
      </c>
      <c r="Q4910">
        <v>0</v>
      </c>
      <c r="R4910" t="s">
        <v>40440</v>
      </c>
      <c r="S4910" t="s">
        <v>40603</v>
      </c>
      <c r="T4910" t="s">
        <v>42245</v>
      </c>
      <c r="U4910" t="s">
        <v>43664</v>
      </c>
      <c r="W4910" t="s">
        <v>38236</v>
      </c>
      <c r="X4910" t="s">
        <v>40444</v>
      </c>
    </row>
    <row r="4911" spans="1:24">
      <c r="A4911">
        <f>HYPERLINK("https://www.philgeps.gov.ph/GEPSNONPILOT/Tender/SplashBidNoticeAbstractUI.aspx?menuIndex=3&amp;refID=7041614&amp;Result=3","7041614")</f>
        <v>0</v>
      </c>
      <c r="B4911" t="s">
        <v>1700</v>
      </c>
      <c r="C4911" t="s">
        <v>7767</v>
      </c>
      <c r="D4911" t="s">
        <v>16266</v>
      </c>
      <c r="E4911" t="s">
        <v>20641</v>
      </c>
      <c r="F4911" t="s">
        <v>28198</v>
      </c>
      <c r="G4911" t="s">
        <v>28207</v>
      </c>
      <c r="H4911" t="s">
        <v>28215</v>
      </c>
      <c r="I4911" t="s">
        <v>28265</v>
      </c>
      <c r="J4911" t="s">
        <v>31475</v>
      </c>
      <c r="K4911" t="s">
        <v>36707</v>
      </c>
      <c r="M4911" t="s">
        <v>38801</v>
      </c>
      <c r="N4911" t="s">
        <v>40436</v>
      </c>
      <c r="O4911" t="s">
        <v>40437</v>
      </c>
      <c r="P4911">
        <v>0</v>
      </c>
      <c r="Q4911">
        <v>0</v>
      </c>
      <c r="R4911" t="s">
        <v>40440</v>
      </c>
      <c r="S4911" t="s">
        <v>40603</v>
      </c>
      <c r="T4911" t="s">
        <v>42129</v>
      </c>
      <c r="U4911" t="s">
        <v>46789</v>
      </c>
      <c r="W4911" t="s">
        <v>38801</v>
      </c>
      <c r="X4911" t="s">
        <v>40444</v>
      </c>
    </row>
    <row r="4912" spans="1:24">
      <c r="A4912">
        <f>HYPERLINK("https://www.philgeps.gov.ph/GEPSNONPILOT/Tender/SplashBidNoticeAbstractUI.aspx?menuIndex=3&amp;refID=7041704&amp;Result=3","7041704")</f>
        <v>0</v>
      </c>
      <c r="B4912" t="s">
        <v>501</v>
      </c>
      <c r="C4912" t="s">
        <v>7768</v>
      </c>
      <c r="D4912" t="s">
        <v>16210</v>
      </c>
      <c r="E4912" t="s">
        <v>20642</v>
      </c>
      <c r="F4912" t="s">
        <v>28198</v>
      </c>
      <c r="G4912" t="s">
        <v>28207</v>
      </c>
      <c r="H4912" t="s">
        <v>28215</v>
      </c>
      <c r="I4912" t="s">
        <v>3797</v>
      </c>
      <c r="J4912" t="s">
        <v>28406</v>
      </c>
      <c r="K4912" t="s">
        <v>36689</v>
      </c>
      <c r="M4912" t="s">
        <v>38236</v>
      </c>
      <c r="N4912" t="s">
        <v>40436</v>
      </c>
      <c r="O4912" t="s">
        <v>40437</v>
      </c>
      <c r="P4912">
        <v>0</v>
      </c>
      <c r="Q4912">
        <v>0</v>
      </c>
      <c r="R4912" t="s">
        <v>40440</v>
      </c>
      <c r="S4912" t="s">
        <v>40603</v>
      </c>
      <c r="T4912" t="s">
        <v>42233</v>
      </c>
      <c r="U4912" t="s">
        <v>46240</v>
      </c>
      <c r="W4912" t="s">
        <v>38236</v>
      </c>
      <c r="X4912" t="s">
        <v>40444</v>
      </c>
    </row>
    <row r="4913" spans="1:24">
      <c r="A4913">
        <f>HYPERLINK("https://www.philgeps.gov.ph/GEPSNONPILOT/Tender/SplashBidNoticeAbstractUI.aspx?menuIndex=3&amp;refID=7041630&amp;Result=3","7041630")</f>
        <v>0</v>
      </c>
      <c r="B4913" t="s">
        <v>1700</v>
      </c>
      <c r="C4913" t="s">
        <v>7769</v>
      </c>
      <c r="D4913" t="s">
        <v>16266</v>
      </c>
      <c r="E4913" t="s">
        <v>20643</v>
      </c>
      <c r="F4913" t="s">
        <v>28198</v>
      </c>
      <c r="G4913" t="s">
        <v>28207</v>
      </c>
      <c r="H4913" t="s">
        <v>28215</v>
      </c>
      <c r="I4913" t="s">
        <v>28265</v>
      </c>
      <c r="J4913" t="s">
        <v>28350</v>
      </c>
      <c r="K4913" t="s">
        <v>36707</v>
      </c>
      <c r="M4913" t="s">
        <v>38801</v>
      </c>
      <c r="N4913" t="s">
        <v>40436</v>
      </c>
      <c r="O4913" t="s">
        <v>40437</v>
      </c>
      <c r="P4913">
        <v>0</v>
      </c>
      <c r="Q4913">
        <v>0</v>
      </c>
      <c r="R4913" t="s">
        <v>40440</v>
      </c>
      <c r="S4913" t="s">
        <v>40603</v>
      </c>
      <c r="T4913" t="s">
        <v>42129</v>
      </c>
      <c r="U4913" t="s">
        <v>46790</v>
      </c>
      <c r="W4913" t="s">
        <v>38801</v>
      </c>
      <c r="X4913" t="s">
        <v>40444</v>
      </c>
    </row>
    <row r="4914" spans="1:24">
      <c r="A4914">
        <f>HYPERLINK("https://www.philgeps.gov.ph/GEPSNONPILOT/Tender/SplashBidNoticeAbstractUI.aspx?menuIndex=3&amp;refID=7041690&amp;Result=3","7041690")</f>
        <v>0</v>
      </c>
      <c r="B4914" t="s">
        <v>1700</v>
      </c>
      <c r="C4914" t="s">
        <v>7770</v>
      </c>
      <c r="D4914" t="s">
        <v>16266</v>
      </c>
      <c r="E4914" t="s">
        <v>20644</v>
      </c>
      <c r="F4914" t="s">
        <v>28198</v>
      </c>
      <c r="G4914" t="s">
        <v>28207</v>
      </c>
      <c r="H4914" t="s">
        <v>28215</v>
      </c>
      <c r="I4914" t="s">
        <v>28265</v>
      </c>
      <c r="J4914" t="s">
        <v>31476</v>
      </c>
      <c r="K4914" t="s">
        <v>36707</v>
      </c>
      <c r="M4914" t="s">
        <v>38801</v>
      </c>
      <c r="N4914" t="s">
        <v>40436</v>
      </c>
      <c r="O4914" t="s">
        <v>40437</v>
      </c>
      <c r="P4914">
        <v>0</v>
      </c>
      <c r="Q4914">
        <v>0</v>
      </c>
      <c r="R4914" t="s">
        <v>40440</v>
      </c>
      <c r="S4914" t="s">
        <v>40603</v>
      </c>
      <c r="T4914" t="s">
        <v>42111</v>
      </c>
      <c r="U4914" t="s">
        <v>46791</v>
      </c>
      <c r="W4914" t="s">
        <v>38801</v>
      </c>
      <c r="X4914" t="s">
        <v>40444</v>
      </c>
    </row>
    <row r="4915" spans="1:24">
      <c r="A4915">
        <f>HYPERLINK("https://www.philgeps.gov.ph/GEPSNONPILOT/Tender/SplashBidNoticeAbstractUI.aspx?menuIndex=3&amp;refID=7041625&amp;Result=3","7041625")</f>
        <v>0</v>
      </c>
      <c r="B4915" t="s">
        <v>1695</v>
      </c>
      <c r="C4915" t="s">
        <v>7771</v>
      </c>
      <c r="D4915" t="s">
        <v>16235</v>
      </c>
      <c r="E4915" t="s">
        <v>20645</v>
      </c>
      <c r="F4915" t="s">
        <v>28198</v>
      </c>
      <c r="G4915" t="s">
        <v>28207</v>
      </c>
      <c r="H4915" t="s">
        <v>28215</v>
      </c>
      <c r="I4915" t="s">
        <v>28227</v>
      </c>
      <c r="J4915" t="s">
        <v>31477</v>
      </c>
      <c r="K4915" t="s">
        <v>36691</v>
      </c>
      <c r="M4915" t="s">
        <v>38796</v>
      </c>
      <c r="N4915" t="s">
        <v>40436</v>
      </c>
      <c r="O4915" t="s">
        <v>40437</v>
      </c>
      <c r="P4915">
        <v>0</v>
      </c>
      <c r="Q4915">
        <v>1</v>
      </c>
      <c r="R4915" t="s">
        <v>40440</v>
      </c>
      <c r="S4915" t="s">
        <v>40603</v>
      </c>
      <c r="T4915" t="s">
        <v>42184</v>
      </c>
      <c r="U4915" t="s">
        <v>45725</v>
      </c>
      <c r="W4915" t="s">
        <v>38796</v>
      </c>
      <c r="X4915" t="s">
        <v>40444</v>
      </c>
    </row>
    <row r="4916" spans="1:24">
      <c r="A4916">
        <f>HYPERLINK("https://www.philgeps.gov.ph/GEPSNONPILOT/Tender/SplashBidNoticeAbstractUI.aspx?menuIndex=3&amp;refID=7041718&amp;Result=3","7041718")</f>
        <v>0</v>
      </c>
      <c r="B4916" t="s">
        <v>169</v>
      </c>
      <c r="C4916" t="s">
        <v>7772</v>
      </c>
      <c r="D4916" t="s">
        <v>16243</v>
      </c>
      <c r="E4916" t="s">
        <v>20646</v>
      </c>
      <c r="F4916" t="s">
        <v>28198</v>
      </c>
      <c r="G4916" t="s">
        <v>28205</v>
      </c>
      <c r="H4916" t="s">
        <v>28215</v>
      </c>
      <c r="I4916" t="s">
        <v>4219</v>
      </c>
      <c r="J4916" t="s">
        <v>31478</v>
      </c>
      <c r="K4916" t="s">
        <v>36701</v>
      </c>
      <c r="M4916" t="s">
        <v>38802</v>
      </c>
      <c r="N4916" t="s">
        <v>40436</v>
      </c>
      <c r="O4916" t="s">
        <v>40437</v>
      </c>
      <c r="P4916">
        <v>0</v>
      </c>
      <c r="Q4916">
        <v>2</v>
      </c>
      <c r="R4916" t="s">
        <v>40440</v>
      </c>
      <c r="S4916" t="s">
        <v>40603</v>
      </c>
      <c r="T4916" t="s">
        <v>42142</v>
      </c>
      <c r="U4916" t="s">
        <v>46792</v>
      </c>
      <c r="W4916" t="s">
        <v>38802</v>
      </c>
      <c r="X4916" t="s">
        <v>40444</v>
      </c>
    </row>
    <row r="4917" spans="1:24">
      <c r="A4917">
        <f>HYPERLINK("https://www.philgeps.gov.ph/GEPSNONPILOT/Tender/SplashBidNoticeAbstractUI.aspx?menuIndex=3&amp;refID=7041661&amp;Result=3","7041661")</f>
        <v>0</v>
      </c>
      <c r="B4917" t="s">
        <v>1700</v>
      </c>
      <c r="C4917" t="s">
        <v>7773</v>
      </c>
      <c r="D4917" t="s">
        <v>16266</v>
      </c>
      <c r="E4917" t="s">
        <v>20647</v>
      </c>
      <c r="F4917" t="s">
        <v>28198</v>
      </c>
      <c r="G4917" t="s">
        <v>28207</v>
      </c>
      <c r="H4917" t="s">
        <v>28215</v>
      </c>
      <c r="I4917" t="s">
        <v>28281</v>
      </c>
      <c r="J4917" t="s">
        <v>28373</v>
      </c>
      <c r="K4917" t="s">
        <v>36707</v>
      </c>
      <c r="M4917" t="s">
        <v>38801</v>
      </c>
      <c r="N4917" t="s">
        <v>40436</v>
      </c>
      <c r="O4917" t="s">
        <v>40437</v>
      </c>
      <c r="P4917">
        <v>0</v>
      </c>
      <c r="Q4917">
        <v>9</v>
      </c>
      <c r="R4917" t="s">
        <v>40440</v>
      </c>
      <c r="S4917" t="s">
        <v>40603</v>
      </c>
      <c r="T4917" t="s">
        <v>42129</v>
      </c>
      <c r="U4917" t="s">
        <v>46793</v>
      </c>
      <c r="W4917" t="s">
        <v>38801</v>
      </c>
      <c r="X4917" t="s">
        <v>40444</v>
      </c>
    </row>
    <row r="4918" spans="1:24">
      <c r="A4918">
        <f>HYPERLINK("https://www.philgeps.gov.ph/GEPSNONPILOT/Tender/SplashBidNoticeAbstractUI.aspx?menuIndex=3&amp;refID=7041615&amp;Result=3","7041615")</f>
        <v>0</v>
      </c>
      <c r="B4918" t="s">
        <v>1114</v>
      </c>
      <c r="C4918" t="s">
        <v>7774</v>
      </c>
      <c r="D4918" t="s">
        <v>16228</v>
      </c>
      <c r="E4918" t="s">
        <v>20648</v>
      </c>
      <c r="F4918" t="s">
        <v>28198</v>
      </c>
      <c r="G4918" t="s">
        <v>28205</v>
      </c>
      <c r="H4918" t="s">
        <v>28215</v>
      </c>
      <c r="I4918" t="s">
        <v>28234</v>
      </c>
      <c r="J4918" t="s">
        <v>31479</v>
      </c>
      <c r="K4918" t="s">
        <v>36707</v>
      </c>
      <c r="M4918" t="s">
        <v>38803</v>
      </c>
      <c r="N4918" t="s">
        <v>40436</v>
      </c>
      <c r="O4918" t="s">
        <v>40437</v>
      </c>
      <c r="P4918">
        <v>0</v>
      </c>
      <c r="Q4918">
        <v>4</v>
      </c>
      <c r="R4918" t="s">
        <v>40440</v>
      </c>
      <c r="S4918" t="s">
        <v>40603</v>
      </c>
      <c r="T4918" t="s">
        <v>42110</v>
      </c>
      <c r="U4918" t="s">
        <v>46794</v>
      </c>
      <c r="W4918" t="s">
        <v>38803</v>
      </c>
      <c r="X4918" t="s">
        <v>40444</v>
      </c>
    </row>
    <row r="4919" spans="1:24">
      <c r="A4919">
        <f>HYPERLINK("https://www.philgeps.gov.ph/GEPSNONPILOT/Tender/SplashBidNoticeAbstractUI.aspx?menuIndex=3&amp;refID=7041701&amp;Result=3","7041701")</f>
        <v>0</v>
      </c>
      <c r="B4919" t="s">
        <v>1114</v>
      </c>
      <c r="C4919" t="s">
        <v>7775</v>
      </c>
      <c r="D4919" t="s">
        <v>16228</v>
      </c>
      <c r="E4919" t="s">
        <v>20649</v>
      </c>
      <c r="F4919" t="s">
        <v>28198</v>
      </c>
      <c r="G4919" t="s">
        <v>28207</v>
      </c>
      <c r="H4919" t="s">
        <v>28215</v>
      </c>
      <c r="I4919" t="s">
        <v>5631</v>
      </c>
      <c r="J4919" t="s">
        <v>31480</v>
      </c>
      <c r="K4919" t="s">
        <v>36688</v>
      </c>
      <c r="M4919" t="s">
        <v>38803</v>
      </c>
      <c r="N4919" t="s">
        <v>40436</v>
      </c>
      <c r="O4919" t="s">
        <v>40437</v>
      </c>
      <c r="P4919">
        <v>0</v>
      </c>
      <c r="Q4919">
        <v>0</v>
      </c>
      <c r="R4919" t="s">
        <v>40440</v>
      </c>
      <c r="S4919" t="s">
        <v>40603</v>
      </c>
      <c r="T4919" t="s">
        <v>42176</v>
      </c>
      <c r="U4919" t="s">
        <v>46795</v>
      </c>
      <c r="W4919" t="s">
        <v>38803</v>
      </c>
      <c r="X4919" t="s">
        <v>40444</v>
      </c>
    </row>
    <row r="4920" spans="1:24">
      <c r="A4920">
        <f>HYPERLINK("https://www.philgeps.gov.ph/GEPSNONPILOT/Tender/SplashBidNoticeAbstractUI.aspx?menuIndex=3&amp;refID=7041675&amp;Result=3","7041675")</f>
        <v>0</v>
      </c>
      <c r="B4920" t="s">
        <v>1701</v>
      </c>
      <c r="C4920" t="s">
        <v>7776</v>
      </c>
      <c r="D4920" t="s">
        <v>16191</v>
      </c>
      <c r="E4920" t="s">
        <v>20650</v>
      </c>
      <c r="F4920" t="s">
        <v>28198</v>
      </c>
      <c r="G4920" t="s">
        <v>28207</v>
      </c>
      <c r="H4920" t="s">
        <v>28215</v>
      </c>
      <c r="I4920" t="s">
        <v>28257</v>
      </c>
      <c r="J4920" t="s">
        <v>28368</v>
      </c>
      <c r="K4920" t="s">
        <v>36689</v>
      </c>
      <c r="M4920" t="s">
        <v>38804</v>
      </c>
      <c r="N4920" t="s">
        <v>40436</v>
      </c>
      <c r="O4920" t="s">
        <v>40437</v>
      </c>
      <c r="P4920">
        <v>0</v>
      </c>
      <c r="Q4920">
        <v>4</v>
      </c>
      <c r="R4920" t="s">
        <v>40440</v>
      </c>
      <c r="S4920" t="s">
        <v>40603</v>
      </c>
      <c r="T4920" t="s">
        <v>42205</v>
      </c>
      <c r="U4920" t="s">
        <v>46796</v>
      </c>
      <c r="W4920" t="s">
        <v>38804</v>
      </c>
      <c r="X4920" t="s">
        <v>40444</v>
      </c>
    </row>
    <row r="4921" spans="1:24">
      <c r="A4921">
        <f>HYPERLINK("https://www.philgeps.gov.ph/GEPSNONPILOT/Tender/SplashBidNoticeAbstractUI.aspx?menuIndex=3&amp;refID=7041759&amp;Result=3","7041759")</f>
        <v>0</v>
      </c>
      <c r="B4921" t="s">
        <v>1702</v>
      </c>
      <c r="C4921" t="s">
        <v>7777</v>
      </c>
      <c r="D4921" t="s">
        <v>16190</v>
      </c>
      <c r="E4921" t="s">
        <v>20651</v>
      </c>
      <c r="F4921" t="s">
        <v>28198</v>
      </c>
      <c r="G4921" t="s">
        <v>28207</v>
      </c>
      <c r="H4921" t="s">
        <v>28215</v>
      </c>
      <c r="I4921" t="s">
        <v>28326</v>
      </c>
      <c r="J4921" t="s">
        <v>29678</v>
      </c>
      <c r="K4921" t="s">
        <v>36756</v>
      </c>
      <c r="M4921" t="s">
        <v>38805</v>
      </c>
      <c r="N4921" t="s">
        <v>40436</v>
      </c>
      <c r="O4921" t="s">
        <v>40437</v>
      </c>
      <c r="P4921">
        <v>0</v>
      </c>
      <c r="Q4921">
        <v>0</v>
      </c>
      <c r="R4921" t="s">
        <v>40440</v>
      </c>
      <c r="S4921" t="s">
        <v>40603</v>
      </c>
      <c r="T4921" t="s">
        <v>42133</v>
      </c>
      <c r="U4921" t="s">
        <v>46797</v>
      </c>
      <c r="W4921" t="s">
        <v>38805</v>
      </c>
      <c r="X4921" t="s">
        <v>40444</v>
      </c>
    </row>
    <row r="4922" spans="1:24">
      <c r="A4922">
        <f>HYPERLINK("https://www.philgeps.gov.ph/GEPSNONPILOT/Tender/SplashBidNoticeAbstractUI.aspx?menuIndex=3&amp;refID=7041670&amp;Result=3","7041670")</f>
        <v>0</v>
      </c>
      <c r="B4922" t="s">
        <v>1114</v>
      </c>
      <c r="C4922" t="s">
        <v>7778</v>
      </c>
      <c r="D4922" t="s">
        <v>16228</v>
      </c>
      <c r="E4922" t="s">
        <v>20652</v>
      </c>
      <c r="F4922" t="s">
        <v>28198</v>
      </c>
      <c r="G4922" t="s">
        <v>28207</v>
      </c>
      <c r="H4922" t="s">
        <v>28215</v>
      </c>
      <c r="I4922" t="s">
        <v>5631</v>
      </c>
      <c r="J4922" t="s">
        <v>31481</v>
      </c>
      <c r="K4922" t="s">
        <v>36688</v>
      </c>
      <c r="M4922" t="s">
        <v>38803</v>
      </c>
      <c r="N4922" t="s">
        <v>40436</v>
      </c>
      <c r="O4922" t="s">
        <v>40437</v>
      </c>
      <c r="P4922">
        <v>0</v>
      </c>
      <c r="Q4922">
        <v>0</v>
      </c>
      <c r="R4922" t="s">
        <v>40440</v>
      </c>
      <c r="S4922" t="s">
        <v>40603</v>
      </c>
      <c r="T4922" t="s">
        <v>42176</v>
      </c>
      <c r="U4922" t="s">
        <v>46798</v>
      </c>
      <c r="W4922" t="s">
        <v>38803</v>
      </c>
      <c r="X4922" t="s">
        <v>40444</v>
      </c>
    </row>
    <row r="4923" spans="1:24">
      <c r="A4923">
        <f>HYPERLINK("https://www.philgeps.gov.ph/GEPSNONPILOT/Tender/SplashBidNoticeAbstractUI.aspx?menuIndex=3&amp;refID=7041770&amp;Result=3","7041770")</f>
        <v>0</v>
      </c>
      <c r="B4923" t="s">
        <v>223</v>
      </c>
      <c r="C4923" t="s">
        <v>7779</v>
      </c>
      <c r="D4923" t="s">
        <v>16217</v>
      </c>
      <c r="E4923" t="s">
        <v>20653</v>
      </c>
      <c r="F4923" t="s">
        <v>28198</v>
      </c>
      <c r="G4923" t="s">
        <v>28207</v>
      </c>
      <c r="H4923" t="s">
        <v>28215</v>
      </c>
      <c r="I4923" t="s">
        <v>3422</v>
      </c>
      <c r="J4923" t="s">
        <v>30620</v>
      </c>
      <c r="K4923" t="s">
        <v>36688</v>
      </c>
      <c r="M4923" t="s">
        <v>37199</v>
      </c>
      <c r="N4923" t="s">
        <v>40436</v>
      </c>
      <c r="O4923" t="s">
        <v>40437</v>
      </c>
      <c r="P4923">
        <v>0</v>
      </c>
      <c r="Q4923">
        <v>0</v>
      </c>
      <c r="R4923" t="s">
        <v>40440</v>
      </c>
      <c r="S4923" t="s">
        <v>40603</v>
      </c>
      <c r="T4923" t="s">
        <v>42184</v>
      </c>
      <c r="U4923" t="s">
        <v>42970</v>
      </c>
      <c r="W4923" t="s">
        <v>55438</v>
      </c>
      <c r="X4923" t="s">
        <v>40444</v>
      </c>
    </row>
    <row r="4924" spans="1:24">
      <c r="A4924">
        <f>HYPERLINK("https://www.philgeps.gov.ph/GEPSNONPILOT/Tender/SplashBidNoticeAbstractUI.aspx?menuIndex=3&amp;refID=7041820&amp;Result=3","7041820")</f>
        <v>0</v>
      </c>
      <c r="B4924" t="s">
        <v>223</v>
      </c>
      <c r="C4924" t="s">
        <v>3480</v>
      </c>
      <c r="D4924" t="s">
        <v>16217</v>
      </c>
      <c r="E4924" t="s">
        <v>20654</v>
      </c>
      <c r="F4924" t="s">
        <v>28198</v>
      </c>
      <c r="G4924" t="s">
        <v>28207</v>
      </c>
      <c r="H4924" t="s">
        <v>28215</v>
      </c>
      <c r="I4924" t="s">
        <v>28228</v>
      </c>
      <c r="J4924" t="s">
        <v>28805</v>
      </c>
      <c r="K4924" t="s">
        <v>36688</v>
      </c>
      <c r="M4924" t="s">
        <v>37199</v>
      </c>
      <c r="N4924" t="s">
        <v>40436</v>
      </c>
      <c r="O4924" t="s">
        <v>40437</v>
      </c>
      <c r="P4924">
        <v>0</v>
      </c>
      <c r="Q4924">
        <v>0</v>
      </c>
      <c r="R4924" t="s">
        <v>40440</v>
      </c>
      <c r="S4924" t="s">
        <v>40603</v>
      </c>
      <c r="T4924" t="s">
        <v>42184</v>
      </c>
      <c r="U4924" t="s">
        <v>42970</v>
      </c>
      <c r="W4924" t="s">
        <v>55438</v>
      </c>
      <c r="X4924" t="s">
        <v>40444</v>
      </c>
    </row>
    <row r="4925" spans="1:24">
      <c r="A4925">
        <f>HYPERLINK("https://www.philgeps.gov.ph/GEPSNONPILOT/Tender/SplashBidNoticeAbstractUI.aspx?menuIndex=3&amp;refID=7041915&amp;Result=3","7041915")</f>
        <v>0</v>
      </c>
      <c r="B4925" t="s">
        <v>1703</v>
      </c>
      <c r="C4925" t="s">
        <v>7780</v>
      </c>
      <c r="D4925" t="s">
        <v>16195</v>
      </c>
      <c r="E4925" t="s">
        <v>20655</v>
      </c>
      <c r="F4925" t="s">
        <v>28198</v>
      </c>
      <c r="G4925" t="s">
        <v>28205</v>
      </c>
      <c r="H4925" t="s">
        <v>28215</v>
      </c>
      <c r="I4925" t="s">
        <v>5100</v>
      </c>
      <c r="J4925" t="s">
        <v>31482</v>
      </c>
      <c r="K4925" t="s">
        <v>36701</v>
      </c>
      <c r="M4925" t="s">
        <v>38806</v>
      </c>
      <c r="N4925" t="s">
        <v>40436</v>
      </c>
      <c r="O4925" t="s">
        <v>40437</v>
      </c>
      <c r="P4925">
        <v>0</v>
      </c>
      <c r="Q4925">
        <v>0</v>
      </c>
      <c r="R4925" t="s">
        <v>40440</v>
      </c>
      <c r="S4925" t="s">
        <v>40603</v>
      </c>
      <c r="T4925" t="s">
        <v>42405</v>
      </c>
      <c r="U4925" t="s">
        <v>46799</v>
      </c>
      <c r="W4925" t="s">
        <v>38806</v>
      </c>
      <c r="X4925" t="s">
        <v>40444</v>
      </c>
    </row>
    <row r="4926" spans="1:24">
      <c r="A4926">
        <f>HYPERLINK("https://www.philgeps.gov.ph/GEPSNONPILOT/Tender/SplashBidNoticeAbstractUI.aspx?menuIndex=3&amp;refID=7041778&amp;Result=3","7041778")</f>
        <v>0</v>
      </c>
      <c r="B4926" t="s">
        <v>1114</v>
      </c>
      <c r="C4926" t="s">
        <v>7781</v>
      </c>
      <c r="D4926" t="s">
        <v>16228</v>
      </c>
      <c r="E4926" t="s">
        <v>20656</v>
      </c>
      <c r="F4926" t="s">
        <v>28198</v>
      </c>
      <c r="G4926" t="s">
        <v>28207</v>
      </c>
      <c r="H4926" t="s">
        <v>28215</v>
      </c>
      <c r="I4926" t="s">
        <v>28234</v>
      </c>
      <c r="J4926" t="s">
        <v>29346</v>
      </c>
      <c r="K4926" t="s">
        <v>36688</v>
      </c>
      <c r="M4926" t="s">
        <v>38803</v>
      </c>
      <c r="N4926" t="s">
        <v>40436</v>
      </c>
      <c r="O4926" t="s">
        <v>40437</v>
      </c>
      <c r="P4926">
        <v>0</v>
      </c>
      <c r="Q4926">
        <v>3</v>
      </c>
      <c r="R4926" t="s">
        <v>40440</v>
      </c>
      <c r="S4926" t="s">
        <v>40603</v>
      </c>
      <c r="T4926" t="s">
        <v>42176</v>
      </c>
      <c r="U4926" t="s">
        <v>46800</v>
      </c>
      <c r="W4926" t="s">
        <v>38803</v>
      </c>
      <c r="X4926" t="s">
        <v>40444</v>
      </c>
    </row>
    <row r="4927" spans="1:24">
      <c r="A4927">
        <f>HYPERLINK("https://www.philgeps.gov.ph/GEPSNONPILOT/Tender/SplashBidNoticeAbstractUI.aspx?menuIndex=3&amp;refID=7041800&amp;Result=3","7041800")</f>
        <v>0</v>
      </c>
      <c r="B4927" t="s">
        <v>72</v>
      </c>
      <c r="C4927" t="s">
        <v>7782</v>
      </c>
      <c r="D4927" t="s">
        <v>16216</v>
      </c>
      <c r="E4927" t="s">
        <v>20657</v>
      </c>
      <c r="F4927" t="s">
        <v>28198</v>
      </c>
      <c r="G4927" t="s">
        <v>28207</v>
      </c>
      <c r="H4927" t="s">
        <v>28215</v>
      </c>
      <c r="I4927" t="s">
        <v>5791</v>
      </c>
      <c r="J4927" t="s">
        <v>31483</v>
      </c>
      <c r="K4927" t="s">
        <v>36701</v>
      </c>
      <c r="M4927" t="s">
        <v>38170</v>
      </c>
      <c r="N4927" t="s">
        <v>40436</v>
      </c>
      <c r="O4927" t="s">
        <v>40437</v>
      </c>
      <c r="P4927">
        <v>0</v>
      </c>
      <c r="Q4927">
        <v>0</v>
      </c>
      <c r="R4927" t="s">
        <v>40440</v>
      </c>
      <c r="S4927" t="s">
        <v>40603</v>
      </c>
      <c r="T4927" t="s">
        <v>42277</v>
      </c>
      <c r="U4927" t="s">
        <v>46801</v>
      </c>
      <c r="W4927" t="s">
        <v>38170</v>
      </c>
      <c r="X4927" t="s">
        <v>40444</v>
      </c>
    </row>
    <row r="4928" spans="1:24">
      <c r="A4928">
        <f>HYPERLINK("https://www.philgeps.gov.ph/GEPSNONPILOT/Tender/SplashBidNoticeAbstractUI.aspx?menuIndex=3&amp;refID=7041918&amp;Result=3","7041918")</f>
        <v>0</v>
      </c>
      <c r="B4928" t="s">
        <v>223</v>
      </c>
      <c r="C4928" t="s">
        <v>3480</v>
      </c>
      <c r="D4928" t="s">
        <v>16217</v>
      </c>
      <c r="E4928" t="s">
        <v>20658</v>
      </c>
      <c r="F4928" t="s">
        <v>28198</v>
      </c>
      <c r="G4928" t="s">
        <v>28207</v>
      </c>
      <c r="H4928" t="s">
        <v>28215</v>
      </c>
      <c r="I4928" t="s">
        <v>28228</v>
      </c>
      <c r="J4928" t="s">
        <v>28632</v>
      </c>
      <c r="K4928" t="s">
        <v>36688</v>
      </c>
      <c r="M4928" t="s">
        <v>37199</v>
      </c>
      <c r="N4928" t="s">
        <v>40436</v>
      </c>
      <c r="O4928" t="s">
        <v>40437</v>
      </c>
      <c r="P4928">
        <v>0</v>
      </c>
      <c r="Q4928">
        <v>0</v>
      </c>
      <c r="R4928" t="s">
        <v>40440</v>
      </c>
      <c r="S4928" t="s">
        <v>40603</v>
      </c>
      <c r="T4928" t="s">
        <v>42184</v>
      </c>
      <c r="U4928" t="s">
        <v>42970</v>
      </c>
      <c r="W4928" t="s">
        <v>55438</v>
      </c>
      <c r="X4928" t="s">
        <v>40444</v>
      </c>
    </row>
    <row r="4929" spans="1:24">
      <c r="A4929">
        <f>HYPERLINK("https://www.philgeps.gov.ph/GEPSNONPILOT/Tender/SplashBidNoticeAbstractUI.aspx?menuIndex=3&amp;refID=7041865&amp;Result=3","7041865")</f>
        <v>0</v>
      </c>
      <c r="B4929" t="s">
        <v>1046</v>
      </c>
      <c r="C4929" t="s">
        <v>7783</v>
      </c>
      <c r="D4929" t="s">
        <v>16216</v>
      </c>
      <c r="E4929" t="s">
        <v>20659</v>
      </c>
      <c r="F4929" t="s">
        <v>28198</v>
      </c>
      <c r="G4929" t="s">
        <v>28206</v>
      </c>
      <c r="H4929" t="s">
        <v>28215</v>
      </c>
      <c r="I4929" t="s">
        <v>28249</v>
      </c>
      <c r="J4929" t="s">
        <v>29845</v>
      </c>
      <c r="K4929" t="s">
        <v>36689</v>
      </c>
      <c r="M4929" t="s">
        <v>38079</v>
      </c>
      <c r="N4929" t="s">
        <v>40436</v>
      </c>
      <c r="O4929" t="s">
        <v>40437</v>
      </c>
      <c r="P4929">
        <v>0</v>
      </c>
      <c r="Q4929">
        <v>0</v>
      </c>
      <c r="R4929" t="s">
        <v>40440</v>
      </c>
      <c r="S4929" t="s">
        <v>40603</v>
      </c>
      <c r="T4929" t="s">
        <v>42184</v>
      </c>
      <c r="U4929" t="s">
        <v>46802</v>
      </c>
      <c r="V4929" t="s">
        <v>54078</v>
      </c>
      <c r="W4929" t="s">
        <v>38079</v>
      </c>
      <c r="X4929" t="s">
        <v>40444</v>
      </c>
    </row>
    <row r="4930" spans="1:24">
      <c r="A4930">
        <f>HYPERLINK("https://www.philgeps.gov.ph/GEPSNONPILOT/Tender/SplashBidNoticeAbstractUI.aspx?menuIndex=3&amp;refID=7041905&amp;Result=3","7041905")</f>
        <v>0</v>
      </c>
      <c r="B4930" t="s">
        <v>1206</v>
      </c>
      <c r="C4930" t="s">
        <v>4168</v>
      </c>
      <c r="D4930" t="s">
        <v>16203</v>
      </c>
      <c r="E4930" t="s">
        <v>20660</v>
      </c>
      <c r="F4930" t="s">
        <v>28198</v>
      </c>
      <c r="G4930" t="s">
        <v>28210</v>
      </c>
      <c r="H4930" t="s">
        <v>28215</v>
      </c>
      <c r="I4930" t="s">
        <v>4168</v>
      </c>
      <c r="J4930" t="s">
        <v>31484</v>
      </c>
      <c r="K4930" t="s">
        <v>36701</v>
      </c>
      <c r="M4930" t="s">
        <v>38251</v>
      </c>
      <c r="N4930" t="s">
        <v>40436</v>
      </c>
      <c r="O4930" t="s">
        <v>40437</v>
      </c>
      <c r="P4930">
        <v>0</v>
      </c>
      <c r="Q4930">
        <v>5</v>
      </c>
      <c r="R4930" t="s">
        <v>40440</v>
      </c>
      <c r="S4930" t="s">
        <v>40603</v>
      </c>
      <c r="T4930" t="s">
        <v>42184</v>
      </c>
      <c r="U4930" t="s">
        <v>46803</v>
      </c>
      <c r="W4930" t="s">
        <v>38251</v>
      </c>
      <c r="X4930" t="s">
        <v>40444</v>
      </c>
    </row>
    <row r="4931" spans="1:24">
      <c r="A4931">
        <f>HYPERLINK("https://www.philgeps.gov.ph/GEPSNONPILOT/Tender/SplashBidNoticeAbstractUI.aspx?menuIndex=3&amp;refID=7041844&amp;Result=3","7041844")</f>
        <v>0</v>
      </c>
      <c r="B4931" t="s">
        <v>1046</v>
      </c>
      <c r="C4931" t="s">
        <v>7784</v>
      </c>
      <c r="D4931" t="s">
        <v>16199</v>
      </c>
      <c r="E4931" t="s">
        <v>20661</v>
      </c>
      <c r="F4931" t="s">
        <v>28198</v>
      </c>
      <c r="G4931" t="s">
        <v>28206</v>
      </c>
      <c r="H4931" t="s">
        <v>28215</v>
      </c>
      <c r="I4931" t="s">
        <v>28249</v>
      </c>
      <c r="J4931" t="s">
        <v>31485</v>
      </c>
      <c r="K4931" t="s">
        <v>36689</v>
      </c>
      <c r="M4931" t="s">
        <v>38079</v>
      </c>
      <c r="N4931" t="s">
        <v>40436</v>
      </c>
      <c r="O4931" t="s">
        <v>40437</v>
      </c>
      <c r="P4931">
        <v>0</v>
      </c>
      <c r="Q4931">
        <v>0</v>
      </c>
      <c r="R4931" t="s">
        <v>40440</v>
      </c>
      <c r="S4931" t="s">
        <v>40603</v>
      </c>
      <c r="T4931" t="s">
        <v>42184</v>
      </c>
      <c r="U4931" t="s">
        <v>46804</v>
      </c>
      <c r="V4931" t="s">
        <v>54078</v>
      </c>
      <c r="W4931" t="s">
        <v>38079</v>
      </c>
      <c r="X4931" t="s">
        <v>40444</v>
      </c>
    </row>
    <row r="4932" spans="1:24">
      <c r="A4932">
        <f>HYPERLINK("https://www.philgeps.gov.ph/GEPSNONPILOT/Tender/SplashBidNoticeAbstractUI.aspx?menuIndex=3&amp;refID=7041914&amp;Result=3","7041914")</f>
        <v>0</v>
      </c>
      <c r="B4932" t="s">
        <v>1206</v>
      </c>
      <c r="C4932" t="s">
        <v>4219</v>
      </c>
      <c r="D4932" t="s">
        <v>16203</v>
      </c>
      <c r="E4932" t="s">
        <v>20662</v>
      </c>
      <c r="F4932" t="s">
        <v>28198</v>
      </c>
      <c r="G4932" t="s">
        <v>28210</v>
      </c>
      <c r="H4932" t="s">
        <v>28215</v>
      </c>
      <c r="I4932" t="s">
        <v>4219</v>
      </c>
      <c r="J4932" t="s">
        <v>31486</v>
      </c>
      <c r="K4932" t="s">
        <v>36701</v>
      </c>
      <c r="M4932" t="s">
        <v>38251</v>
      </c>
      <c r="N4932" t="s">
        <v>40436</v>
      </c>
      <c r="O4932" t="s">
        <v>40437</v>
      </c>
      <c r="P4932">
        <v>0</v>
      </c>
      <c r="Q4932">
        <v>5</v>
      </c>
      <c r="R4932" t="s">
        <v>40440</v>
      </c>
      <c r="S4932" t="s">
        <v>40603</v>
      </c>
      <c r="T4932" t="s">
        <v>42184</v>
      </c>
      <c r="U4932" t="s">
        <v>46805</v>
      </c>
      <c r="W4932" t="s">
        <v>38251</v>
      </c>
      <c r="X4932" t="s">
        <v>40444</v>
      </c>
    </row>
    <row r="4933" spans="1:24">
      <c r="A4933">
        <f>HYPERLINK("https://www.philgeps.gov.ph/GEPSNONPILOT/Tender/SplashBidNoticeAbstractUI.aspx?menuIndex=3&amp;refID=7041886&amp;Result=3","7041886")</f>
        <v>0</v>
      </c>
      <c r="B4933" t="s">
        <v>1046</v>
      </c>
      <c r="C4933" t="s">
        <v>7785</v>
      </c>
      <c r="D4933" t="s">
        <v>16199</v>
      </c>
      <c r="E4933" t="s">
        <v>20663</v>
      </c>
      <c r="F4933" t="s">
        <v>28198</v>
      </c>
      <c r="G4933" t="s">
        <v>28206</v>
      </c>
      <c r="H4933" t="s">
        <v>28215</v>
      </c>
      <c r="I4933" t="s">
        <v>4200</v>
      </c>
      <c r="J4933" t="s">
        <v>29120</v>
      </c>
      <c r="K4933" t="s">
        <v>36689</v>
      </c>
      <c r="M4933" t="s">
        <v>38079</v>
      </c>
      <c r="N4933" t="s">
        <v>40436</v>
      </c>
      <c r="O4933" t="s">
        <v>40437</v>
      </c>
      <c r="P4933">
        <v>0</v>
      </c>
      <c r="Q4933">
        <v>4</v>
      </c>
      <c r="R4933" t="s">
        <v>40440</v>
      </c>
      <c r="S4933" t="s">
        <v>40603</v>
      </c>
      <c r="T4933" t="s">
        <v>42184</v>
      </c>
      <c r="U4933" t="s">
        <v>46806</v>
      </c>
      <c r="V4933" t="s">
        <v>54078</v>
      </c>
      <c r="W4933" t="s">
        <v>38079</v>
      </c>
      <c r="X4933" t="s">
        <v>40444</v>
      </c>
    </row>
    <row r="4934" spans="1:24">
      <c r="A4934">
        <f>HYPERLINK("https://www.philgeps.gov.ph/GEPSNONPILOT/Tender/SplashBidNoticeAbstractUI.aspx?menuIndex=3&amp;refID=7041839&amp;Result=3","7041839")</f>
        <v>0</v>
      </c>
      <c r="B4934" t="s">
        <v>1704</v>
      </c>
      <c r="C4934" t="s">
        <v>7786</v>
      </c>
      <c r="D4934" t="s">
        <v>16193</v>
      </c>
      <c r="E4934" t="s">
        <v>20664</v>
      </c>
      <c r="F4934" t="s">
        <v>28198</v>
      </c>
      <c r="G4934" t="s">
        <v>28207</v>
      </c>
      <c r="H4934" t="s">
        <v>28215</v>
      </c>
      <c r="I4934" t="s">
        <v>3774</v>
      </c>
      <c r="J4934" t="s">
        <v>28597</v>
      </c>
      <c r="K4934" t="s">
        <v>36707</v>
      </c>
      <c r="M4934" t="s">
        <v>38807</v>
      </c>
      <c r="N4934" t="s">
        <v>40436</v>
      </c>
      <c r="O4934" t="s">
        <v>40437</v>
      </c>
      <c r="P4934">
        <v>0</v>
      </c>
      <c r="Q4934">
        <v>0</v>
      </c>
      <c r="R4934" t="s">
        <v>40440</v>
      </c>
      <c r="S4934" t="s">
        <v>40603</v>
      </c>
      <c r="T4934" t="s">
        <v>42185</v>
      </c>
      <c r="U4934" t="s">
        <v>46807</v>
      </c>
      <c r="W4934" t="s">
        <v>38807</v>
      </c>
      <c r="X4934" t="s">
        <v>40444</v>
      </c>
    </row>
    <row r="4935" spans="1:24">
      <c r="A4935">
        <f>HYPERLINK("https://www.philgeps.gov.ph/GEPSNONPILOT/Tender/SplashBidNoticeAbstractUI.aspx?menuIndex=3&amp;refID=7041908&amp;Result=3","7041908")</f>
        <v>0</v>
      </c>
      <c r="B4935" t="s">
        <v>194</v>
      </c>
      <c r="C4935" t="s">
        <v>7787</v>
      </c>
      <c r="D4935" t="s">
        <v>16189</v>
      </c>
      <c r="E4935" t="s">
        <v>20665</v>
      </c>
      <c r="F4935" t="s">
        <v>28198</v>
      </c>
      <c r="G4935" t="s">
        <v>28205</v>
      </c>
      <c r="H4935" t="s">
        <v>28215</v>
      </c>
      <c r="I4935" t="s">
        <v>28220</v>
      </c>
      <c r="J4935" t="s">
        <v>28654</v>
      </c>
      <c r="K4935" t="s">
        <v>36689</v>
      </c>
      <c r="M4935" t="s">
        <v>37169</v>
      </c>
      <c r="N4935" t="s">
        <v>40436</v>
      </c>
      <c r="O4935" t="s">
        <v>40437</v>
      </c>
      <c r="P4935">
        <v>0</v>
      </c>
      <c r="Q4935">
        <v>11</v>
      </c>
      <c r="R4935" t="s">
        <v>40440</v>
      </c>
      <c r="S4935" t="s">
        <v>40603</v>
      </c>
      <c r="T4935" t="s">
        <v>42118</v>
      </c>
      <c r="U4935" t="s">
        <v>46808</v>
      </c>
      <c r="W4935" t="s">
        <v>37169</v>
      </c>
      <c r="X4935" t="s">
        <v>40444</v>
      </c>
    </row>
    <row r="4936" spans="1:24">
      <c r="A4936">
        <f>HYPERLINK("https://www.philgeps.gov.ph/GEPSNONPILOT/Tender/SplashBidNoticeAbstractUI.aspx?menuIndex=3&amp;refID=7041948&amp;Result=3","7041948")</f>
        <v>0</v>
      </c>
      <c r="B4936" t="s">
        <v>1705</v>
      </c>
      <c r="C4936" t="s">
        <v>7788</v>
      </c>
      <c r="D4936" t="s">
        <v>16192</v>
      </c>
      <c r="E4936" t="s">
        <v>20666</v>
      </c>
      <c r="F4936" t="s">
        <v>28198</v>
      </c>
      <c r="G4936" t="s">
        <v>28205</v>
      </c>
      <c r="H4936" t="s">
        <v>28215</v>
      </c>
      <c r="I4936" t="s">
        <v>28234</v>
      </c>
      <c r="J4936" t="s">
        <v>31487</v>
      </c>
      <c r="K4936" t="s">
        <v>36718</v>
      </c>
      <c r="M4936" t="s">
        <v>38808</v>
      </c>
      <c r="N4936" t="s">
        <v>40436</v>
      </c>
      <c r="O4936" t="s">
        <v>40437</v>
      </c>
      <c r="P4936">
        <v>0</v>
      </c>
      <c r="Q4936">
        <v>0</v>
      </c>
      <c r="R4936" t="s">
        <v>40440</v>
      </c>
      <c r="S4936" t="s">
        <v>40603</v>
      </c>
      <c r="T4936" t="s">
        <v>42119</v>
      </c>
      <c r="U4936" t="s">
        <v>46809</v>
      </c>
      <c r="V4936" t="s">
        <v>54271</v>
      </c>
      <c r="W4936" t="s">
        <v>38808</v>
      </c>
      <c r="X4936" t="s">
        <v>40444</v>
      </c>
    </row>
    <row r="4937" spans="1:24">
      <c r="A4937">
        <f>HYPERLINK("https://www.philgeps.gov.ph/GEPSNONPILOT/Tender/SplashBidNoticeAbstractUI.aspx?menuIndex=3&amp;refID=7041922&amp;Result=3","7041922")</f>
        <v>0</v>
      </c>
      <c r="B4937" t="s">
        <v>1046</v>
      </c>
      <c r="C4937" t="s">
        <v>7789</v>
      </c>
      <c r="D4937" t="s">
        <v>16189</v>
      </c>
      <c r="E4937" t="s">
        <v>20667</v>
      </c>
      <c r="F4937" t="s">
        <v>28198</v>
      </c>
      <c r="G4937" t="s">
        <v>28206</v>
      </c>
      <c r="H4937" t="s">
        <v>28215</v>
      </c>
      <c r="I4937" t="s">
        <v>3774</v>
      </c>
      <c r="J4937" t="s">
        <v>31488</v>
      </c>
      <c r="K4937" t="s">
        <v>36689</v>
      </c>
      <c r="M4937" t="s">
        <v>38079</v>
      </c>
      <c r="N4937" t="s">
        <v>40436</v>
      </c>
      <c r="O4937" t="s">
        <v>40437</v>
      </c>
      <c r="P4937">
        <v>0</v>
      </c>
      <c r="Q4937">
        <v>1</v>
      </c>
      <c r="R4937" t="s">
        <v>40440</v>
      </c>
      <c r="S4937" t="s">
        <v>40603</v>
      </c>
      <c r="T4937" t="s">
        <v>42184</v>
      </c>
      <c r="U4937" t="s">
        <v>46810</v>
      </c>
      <c r="V4937" t="s">
        <v>54078</v>
      </c>
      <c r="W4937" t="s">
        <v>38079</v>
      </c>
      <c r="X4937" t="s">
        <v>40444</v>
      </c>
    </row>
    <row r="4938" spans="1:24">
      <c r="A4938">
        <f>HYPERLINK("https://www.philgeps.gov.ph/GEPSNONPILOT/Tender/SplashBidNoticeAbstractUI.aspx?menuIndex=3&amp;refID=7041877&amp;Result=3","7041877")</f>
        <v>0</v>
      </c>
      <c r="B4938" t="s">
        <v>1046</v>
      </c>
      <c r="C4938" t="s">
        <v>7790</v>
      </c>
      <c r="D4938" t="s">
        <v>16216</v>
      </c>
      <c r="E4938" t="s">
        <v>20668</v>
      </c>
      <c r="F4938" t="s">
        <v>28198</v>
      </c>
      <c r="G4938" t="s">
        <v>28206</v>
      </c>
      <c r="H4938" t="s">
        <v>28215</v>
      </c>
      <c r="I4938" t="s">
        <v>28249</v>
      </c>
      <c r="J4938" t="s">
        <v>28404</v>
      </c>
      <c r="K4938" t="s">
        <v>36689</v>
      </c>
      <c r="M4938" t="s">
        <v>38079</v>
      </c>
      <c r="N4938" t="s">
        <v>40436</v>
      </c>
      <c r="O4938" t="s">
        <v>40437</v>
      </c>
      <c r="P4938">
        <v>0</v>
      </c>
      <c r="Q4938">
        <v>0</v>
      </c>
      <c r="R4938" t="s">
        <v>40440</v>
      </c>
      <c r="S4938" t="s">
        <v>40603</v>
      </c>
      <c r="T4938" t="s">
        <v>42184</v>
      </c>
      <c r="U4938" t="s">
        <v>46811</v>
      </c>
      <c r="V4938" t="s">
        <v>54078</v>
      </c>
      <c r="W4938" t="s">
        <v>38079</v>
      </c>
      <c r="X4938" t="s">
        <v>40444</v>
      </c>
    </row>
    <row r="4939" spans="1:24">
      <c r="A4939">
        <f>HYPERLINK("https://www.philgeps.gov.ph/GEPSNONPILOT/Tender/SplashBidNoticeAbstractUI.aspx?menuIndex=3&amp;refID=7041939&amp;Result=3","7041939")</f>
        <v>0</v>
      </c>
      <c r="B4939" t="s">
        <v>1078</v>
      </c>
      <c r="C4939" t="s">
        <v>7791</v>
      </c>
      <c r="D4939" t="s">
        <v>16210</v>
      </c>
      <c r="E4939" t="s">
        <v>20669</v>
      </c>
      <c r="F4939" t="s">
        <v>28198</v>
      </c>
      <c r="G4939" t="s">
        <v>28205</v>
      </c>
      <c r="H4939" t="s">
        <v>28215</v>
      </c>
      <c r="I4939" t="s">
        <v>28257</v>
      </c>
      <c r="J4939" t="s">
        <v>31489</v>
      </c>
      <c r="K4939" t="s">
        <v>36701</v>
      </c>
      <c r="M4939" t="s">
        <v>38809</v>
      </c>
      <c r="N4939" t="s">
        <v>40436</v>
      </c>
      <c r="O4939" t="s">
        <v>40437</v>
      </c>
      <c r="P4939">
        <v>0</v>
      </c>
      <c r="Q4939">
        <v>3</v>
      </c>
      <c r="R4939" t="s">
        <v>40440</v>
      </c>
      <c r="S4939" t="s">
        <v>40603</v>
      </c>
      <c r="T4939" t="s">
        <v>42406</v>
      </c>
      <c r="U4939" t="s">
        <v>46812</v>
      </c>
      <c r="W4939" t="s">
        <v>38809</v>
      </c>
      <c r="X4939" t="s">
        <v>40444</v>
      </c>
    </row>
    <row r="4940" spans="1:24">
      <c r="A4940">
        <f>HYPERLINK("https://www.philgeps.gov.ph/GEPSNONPILOT/Tender/SplashBidNoticeAbstractUI.aspx?menuIndex=3&amp;refID=7041972&amp;Result=3","7041972")</f>
        <v>0</v>
      </c>
      <c r="B4940" t="s">
        <v>535</v>
      </c>
      <c r="C4940" t="s">
        <v>7792</v>
      </c>
      <c r="D4940" t="s">
        <v>16210</v>
      </c>
      <c r="E4940" t="s">
        <v>20670</v>
      </c>
      <c r="F4940" t="s">
        <v>28198</v>
      </c>
      <c r="G4940" t="s">
        <v>28207</v>
      </c>
      <c r="H4940" t="s">
        <v>28215</v>
      </c>
      <c r="I4940" t="s">
        <v>28257</v>
      </c>
      <c r="J4940" t="s">
        <v>31490</v>
      </c>
      <c r="K4940" t="s">
        <v>36707</v>
      </c>
      <c r="M4940" t="s">
        <v>37521</v>
      </c>
      <c r="N4940" t="s">
        <v>40436</v>
      </c>
      <c r="O4940" t="s">
        <v>40437</v>
      </c>
      <c r="P4940">
        <v>0</v>
      </c>
      <c r="Q4940">
        <v>5</v>
      </c>
      <c r="R4940" t="s">
        <v>40440</v>
      </c>
      <c r="S4940" t="s">
        <v>40603</v>
      </c>
      <c r="T4940" t="s">
        <v>42185</v>
      </c>
      <c r="U4940" t="s">
        <v>46813</v>
      </c>
      <c r="V4940" t="s">
        <v>53908</v>
      </c>
      <c r="W4940" t="s">
        <v>37521</v>
      </c>
      <c r="X4940" t="s">
        <v>40444</v>
      </c>
    </row>
    <row r="4941" spans="1:24">
      <c r="A4941">
        <f>HYPERLINK("https://www.philgeps.gov.ph/GEPSNONPILOT/Tender/SplashBidNoticeAbstractUI.aspx?menuIndex=3&amp;refID=7042006&amp;Result=3","7042006")</f>
        <v>0</v>
      </c>
      <c r="B4941" t="s">
        <v>1206</v>
      </c>
      <c r="C4941" t="s">
        <v>7793</v>
      </c>
      <c r="D4941" t="s">
        <v>16203</v>
      </c>
      <c r="E4941" t="s">
        <v>20671</v>
      </c>
      <c r="F4941" t="s">
        <v>28198</v>
      </c>
      <c r="G4941" t="s">
        <v>28207</v>
      </c>
      <c r="H4941" t="s">
        <v>28215</v>
      </c>
      <c r="I4941" t="s">
        <v>28257</v>
      </c>
      <c r="J4941" t="s">
        <v>31491</v>
      </c>
      <c r="K4941" t="s">
        <v>36701</v>
      </c>
      <c r="M4941" t="s">
        <v>38251</v>
      </c>
      <c r="N4941" t="s">
        <v>40436</v>
      </c>
      <c r="O4941" t="s">
        <v>40437</v>
      </c>
      <c r="P4941">
        <v>0</v>
      </c>
      <c r="Q4941">
        <v>2</v>
      </c>
      <c r="R4941" t="s">
        <v>40440</v>
      </c>
      <c r="S4941" t="s">
        <v>40603</v>
      </c>
      <c r="T4941" t="s">
        <v>42184</v>
      </c>
      <c r="U4941" t="s">
        <v>46814</v>
      </c>
      <c r="W4941" t="s">
        <v>38251</v>
      </c>
      <c r="X4941" t="s">
        <v>40444</v>
      </c>
    </row>
    <row r="4942" spans="1:24">
      <c r="A4942">
        <f>HYPERLINK("https://www.philgeps.gov.ph/GEPSNONPILOT/Tender/SplashBidNoticeAbstractUI.aspx?menuIndex=3&amp;refID=7042027&amp;Result=3","7042027")</f>
        <v>0</v>
      </c>
      <c r="B4942" t="s">
        <v>1705</v>
      </c>
      <c r="C4942" t="s">
        <v>7794</v>
      </c>
      <c r="D4942" t="s">
        <v>16192</v>
      </c>
      <c r="E4942" t="s">
        <v>20672</v>
      </c>
      <c r="F4942" t="s">
        <v>28198</v>
      </c>
      <c r="G4942" t="s">
        <v>28205</v>
      </c>
      <c r="H4942" t="s">
        <v>28215</v>
      </c>
      <c r="I4942" t="s">
        <v>28228</v>
      </c>
      <c r="J4942" t="s">
        <v>31492</v>
      </c>
      <c r="K4942" t="s">
        <v>36718</v>
      </c>
      <c r="M4942" t="s">
        <v>38808</v>
      </c>
      <c r="N4942" t="s">
        <v>40436</v>
      </c>
      <c r="O4942" t="s">
        <v>40437</v>
      </c>
      <c r="P4942">
        <v>0</v>
      </c>
      <c r="Q4942">
        <v>0</v>
      </c>
      <c r="R4942" t="s">
        <v>40440</v>
      </c>
      <c r="S4942" t="s">
        <v>40603</v>
      </c>
      <c r="T4942" t="s">
        <v>42119</v>
      </c>
      <c r="U4942" t="s">
        <v>46815</v>
      </c>
      <c r="V4942" t="s">
        <v>54272</v>
      </c>
      <c r="W4942" t="s">
        <v>38808</v>
      </c>
      <c r="X4942" t="s">
        <v>40444</v>
      </c>
    </row>
    <row r="4943" spans="1:24">
      <c r="A4943">
        <f>HYPERLINK("https://www.philgeps.gov.ph/GEPSNONPILOT/Tender/SplashBidNoticeAbstractUI.aspx?menuIndex=3&amp;refID=7042011&amp;Result=3","7042011")</f>
        <v>0</v>
      </c>
      <c r="B4943" t="s">
        <v>1701</v>
      </c>
      <c r="C4943" t="s">
        <v>7795</v>
      </c>
      <c r="D4943" t="s">
        <v>16191</v>
      </c>
      <c r="E4943" t="s">
        <v>20673</v>
      </c>
      <c r="F4943" t="s">
        <v>28198</v>
      </c>
      <c r="G4943" t="s">
        <v>28205</v>
      </c>
      <c r="H4943" t="s">
        <v>28215</v>
      </c>
      <c r="I4943" t="s">
        <v>28234</v>
      </c>
      <c r="J4943" t="s">
        <v>30243</v>
      </c>
      <c r="K4943" t="s">
        <v>36707</v>
      </c>
      <c r="M4943" t="s">
        <v>38804</v>
      </c>
      <c r="N4943" t="s">
        <v>40436</v>
      </c>
      <c r="O4943" t="s">
        <v>40437</v>
      </c>
      <c r="P4943">
        <v>0</v>
      </c>
      <c r="Q4943">
        <v>2</v>
      </c>
      <c r="R4943" t="s">
        <v>40440</v>
      </c>
      <c r="S4943" t="s">
        <v>40603</v>
      </c>
      <c r="T4943" t="s">
        <v>42119</v>
      </c>
      <c r="U4943" t="s">
        <v>46816</v>
      </c>
      <c r="W4943" t="s">
        <v>38804</v>
      </c>
      <c r="X4943" t="s">
        <v>40444</v>
      </c>
    </row>
    <row r="4944" spans="1:24">
      <c r="A4944">
        <f>HYPERLINK("https://www.philgeps.gov.ph/GEPSNONPILOT/Tender/SplashBidNoticeAbstractUI.aspx?menuIndex=3&amp;refID=7042014&amp;Result=3","7042014")</f>
        <v>0</v>
      </c>
      <c r="B4944" t="s">
        <v>461</v>
      </c>
      <c r="C4944" t="s">
        <v>7796</v>
      </c>
      <c r="D4944" t="s">
        <v>16208</v>
      </c>
      <c r="E4944" t="s">
        <v>20674</v>
      </c>
      <c r="F4944" t="s">
        <v>28198</v>
      </c>
      <c r="G4944" t="s">
        <v>28209</v>
      </c>
      <c r="H4944" t="s">
        <v>28215</v>
      </c>
      <c r="I4944" t="s">
        <v>28247</v>
      </c>
      <c r="J4944" t="s">
        <v>31493</v>
      </c>
      <c r="K4944" t="s">
        <v>36689</v>
      </c>
      <c r="M4944" t="s">
        <v>38367</v>
      </c>
      <c r="N4944" t="s">
        <v>40436</v>
      </c>
      <c r="O4944" t="s">
        <v>40437</v>
      </c>
      <c r="P4944">
        <v>0</v>
      </c>
      <c r="Q4944">
        <v>12</v>
      </c>
      <c r="R4944" t="s">
        <v>40440</v>
      </c>
      <c r="S4944" t="s">
        <v>40603</v>
      </c>
      <c r="T4944" t="s">
        <v>42133</v>
      </c>
      <c r="U4944" t="s">
        <v>46817</v>
      </c>
      <c r="W4944" t="s">
        <v>38367</v>
      </c>
      <c r="X4944" t="s">
        <v>40444</v>
      </c>
    </row>
    <row r="4945" spans="1:24">
      <c r="A4945">
        <f>HYPERLINK("https://www.philgeps.gov.ph/GEPSNONPILOT/Tender/SplashBidNoticeAbstractUI.aspx?menuIndex=3&amp;refID=7041981&amp;Result=3","7041981")</f>
        <v>0</v>
      </c>
      <c r="B4945" t="s">
        <v>1046</v>
      </c>
      <c r="C4945" t="s">
        <v>7797</v>
      </c>
      <c r="D4945" t="s">
        <v>16189</v>
      </c>
      <c r="E4945" t="s">
        <v>20675</v>
      </c>
      <c r="F4945" t="s">
        <v>28198</v>
      </c>
      <c r="G4945" t="s">
        <v>28210</v>
      </c>
      <c r="H4945" t="s">
        <v>28215</v>
      </c>
      <c r="I4945" t="s">
        <v>5082</v>
      </c>
      <c r="J4945" t="s">
        <v>31494</v>
      </c>
      <c r="K4945" t="s">
        <v>36689</v>
      </c>
      <c r="M4945" t="s">
        <v>38079</v>
      </c>
      <c r="N4945" t="s">
        <v>40436</v>
      </c>
      <c r="O4945" t="s">
        <v>40437</v>
      </c>
      <c r="P4945">
        <v>0</v>
      </c>
      <c r="Q4945">
        <v>1</v>
      </c>
      <c r="R4945" t="s">
        <v>40440</v>
      </c>
      <c r="S4945" t="s">
        <v>40603</v>
      </c>
      <c r="T4945" t="s">
        <v>42184</v>
      </c>
      <c r="U4945" t="s">
        <v>46818</v>
      </c>
      <c r="V4945" t="s">
        <v>54078</v>
      </c>
      <c r="W4945" t="s">
        <v>38079</v>
      </c>
      <c r="X4945" t="s">
        <v>40444</v>
      </c>
    </row>
    <row r="4946" spans="1:24">
      <c r="A4946">
        <f>HYPERLINK("https://www.philgeps.gov.ph/GEPSNONPILOT/Tender/SplashBidNoticeAbstractUI.aspx?menuIndex=3&amp;refID=7042137&amp;Result=3","7042137")</f>
        <v>0</v>
      </c>
      <c r="B4946" t="s">
        <v>1158</v>
      </c>
      <c r="C4946" t="s">
        <v>7798</v>
      </c>
      <c r="E4946" t="s">
        <v>20676</v>
      </c>
      <c r="F4946" t="s">
        <v>28198</v>
      </c>
      <c r="G4946" t="s">
        <v>28205</v>
      </c>
      <c r="H4946" t="s">
        <v>28215</v>
      </c>
      <c r="I4946" t="s">
        <v>28247</v>
      </c>
      <c r="J4946" t="s">
        <v>31495</v>
      </c>
      <c r="K4946" t="s">
        <v>36689</v>
      </c>
      <c r="M4946" t="s">
        <v>38810</v>
      </c>
      <c r="N4946" t="s">
        <v>40436</v>
      </c>
      <c r="O4946" t="s">
        <v>40437</v>
      </c>
      <c r="P4946">
        <v>0</v>
      </c>
      <c r="Q4946">
        <v>34</v>
      </c>
      <c r="R4946" t="s">
        <v>40440</v>
      </c>
      <c r="S4946" t="s">
        <v>40603</v>
      </c>
      <c r="T4946" t="s">
        <v>42259</v>
      </c>
      <c r="U4946" t="s">
        <v>46819</v>
      </c>
      <c r="W4946" t="s">
        <v>38810</v>
      </c>
      <c r="X4946" t="s">
        <v>40444</v>
      </c>
    </row>
    <row r="4947" spans="1:24">
      <c r="A4947">
        <f>HYPERLINK("https://www.philgeps.gov.ph/GEPSNONPILOT/Tender/SplashBidNoticeAbstractUI.aspx?menuIndex=3&amp;refID=7042207&amp;Result=3","7042207")</f>
        <v>0</v>
      </c>
      <c r="B4947" t="s">
        <v>223</v>
      </c>
      <c r="C4947" t="s">
        <v>3480</v>
      </c>
      <c r="D4947" t="s">
        <v>16217</v>
      </c>
      <c r="E4947" t="s">
        <v>20677</v>
      </c>
      <c r="F4947" t="s">
        <v>28198</v>
      </c>
      <c r="G4947" t="s">
        <v>28207</v>
      </c>
      <c r="H4947" t="s">
        <v>28215</v>
      </c>
      <c r="I4947" t="s">
        <v>28228</v>
      </c>
      <c r="J4947" t="s">
        <v>28606</v>
      </c>
      <c r="K4947" t="s">
        <v>36688</v>
      </c>
      <c r="M4947" t="s">
        <v>37199</v>
      </c>
      <c r="N4947" t="s">
        <v>40436</v>
      </c>
      <c r="O4947" t="s">
        <v>40437</v>
      </c>
      <c r="P4947">
        <v>0</v>
      </c>
      <c r="Q4947">
        <v>0</v>
      </c>
      <c r="R4947" t="s">
        <v>40440</v>
      </c>
      <c r="S4947" t="s">
        <v>40603</v>
      </c>
      <c r="T4947" t="s">
        <v>42184</v>
      </c>
      <c r="U4947" t="s">
        <v>42970</v>
      </c>
      <c r="W4947" t="s">
        <v>55438</v>
      </c>
      <c r="X4947" t="s">
        <v>40444</v>
      </c>
    </row>
    <row r="4948" spans="1:24">
      <c r="A4948">
        <f>HYPERLINK("https://www.philgeps.gov.ph/GEPSNONPILOT/Tender/SplashBidNoticeAbstractUI.aspx?menuIndex=3&amp;refID=7042157&amp;Result=3","7042157")</f>
        <v>0</v>
      </c>
      <c r="B4948" t="s">
        <v>1692</v>
      </c>
      <c r="C4948" t="s">
        <v>7799</v>
      </c>
      <c r="D4948" t="s">
        <v>16209</v>
      </c>
      <c r="E4948" t="s">
        <v>20678</v>
      </c>
      <c r="F4948" t="s">
        <v>28198</v>
      </c>
      <c r="G4948" t="s">
        <v>28207</v>
      </c>
      <c r="H4948" t="s">
        <v>28215</v>
      </c>
      <c r="I4948" t="s">
        <v>28227</v>
      </c>
      <c r="J4948" t="s">
        <v>29374</v>
      </c>
      <c r="K4948" t="s">
        <v>36695</v>
      </c>
      <c r="M4948" t="s">
        <v>38792</v>
      </c>
      <c r="N4948" t="s">
        <v>40436</v>
      </c>
      <c r="O4948" t="s">
        <v>40437</v>
      </c>
      <c r="P4948">
        <v>0</v>
      </c>
      <c r="Q4948">
        <v>1</v>
      </c>
      <c r="R4948" t="s">
        <v>40440</v>
      </c>
      <c r="S4948" t="s">
        <v>40603</v>
      </c>
      <c r="T4948" t="s">
        <v>42277</v>
      </c>
      <c r="U4948" t="s">
        <v>46820</v>
      </c>
      <c r="V4948" t="s">
        <v>54273</v>
      </c>
      <c r="W4948" t="s">
        <v>38792</v>
      </c>
      <c r="X4948" t="s">
        <v>40444</v>
      </c>
    </row>
    <row r="4949" spans="1:24">
      <c r="A4949">
        <f>HYPERLINK("https://www.philgeps.gov.ph/GEPSNONPILOT/Tender/SplashBidNoticeAbstractUI.aspx?menuIndex=3&amp;refID=7041979&amp;Result=3","7041979")</f>
        <v>0</v>
      </c>
      <c r="B4949" t="s">
        <v>1501</v>
      </c>
      <c r="C4949" t="s">
        <v>7800</v>
      </c>
      <c r="D4949" t="s">
        <v>16192</v>
      </c>
      <c r="E4949" t="s">
        <v>20679</v>
      </c>
      <c r="F4949" t="s">
        <v>28198</v>
      </c>
      <c r="G4949" t="s">
        <v>28207</v>
      </c>
      <c r="H4949" t="s">
        <v>28215</v>
      </c>
      <c r="I4949" t="s">
        <v>28247</v>
      </c>
      <c r="J4949" t="s">
        <v>31496</v>
      </c>
      <c r="K4949" t="s">
        <v>36689</v>
      </c>
      <c r="M4949" t="s">
        <v>38576</v>
      </c>
      <c r="N4949" t="s">
        <v>40436</v>
      </c>
      <c r="O4949" t="s">
        <v>40437</v>
      </c>
      <c r="P4949">
        <v>0</v>
      </c>
      <c r="Q4949">
        <v>7</v>
      </c>
      <c r="R4949" t="s">
        <v>40440</v>
      </c>
      <c r="S4949" t="s">
        <v>40603</v>
      </c>
      <c r="T4949" t="s">
        <v>42169</v>
      </c>
      <c r="U4949" t="s">
        <v>46821</v>
      </c>
      <c r="W4949" t="s">
        <v>38576</v>
      </c>
      <c r="X4949" t="s">
        <v>40444</v>
      </c>
    </row>
    <row r="4950" spans="1:24">
      <c r="A4950">
        <f>HYPERLINK("https://www.philgeps.gov.ph/GEPSNONPILOT/Tender/SplashBidNoticeAbstractUI.aspx?menuIndex=3&amp;refID=7042028&amp;Result=3","7042028")</f>
        <v>0</v>
      </c>
      <c r="B4950" t="s">
        <v>1046</v>
      </c>
      <c r="C4950" t="s">
        <v>7801</v>
      </c>
      <c r="E4950" t="s">
        <v>20680</v>
      </c>
      <c r="F4950" t="s">
        <v>28198</v>
      </c>
      <c r="G4950" t="s">
        <v>28207</v>
      </c>
      <c r="H4950" t="s">
        <v>28215</v>
      </c>
      <c r="I4950" t="s">
        <v>28274</v>
      </c>
      <c r="J4950" t="s">
        <v>31497</v>
      </c>
      <c r="K4950" t="s">
        <v>36689</v>
      </c>
      <c r="M4950" t="s">
        <v>38079</v>
      </c>
      <c r="N4950" t="s">
        <v>40436</v>
      </c>
      <c r="O4950" t="s">
        <v>40437</v>
      </c>
      <c r="P4950">
        <v>0</v>
      </c>
      <c r="Q4950">
        <v>0</v>
      </c>
      <c r="R4950" t="s">
        <v>40440</v>
      </c>
      <c r="S4950" t="s">
        <v>40603</v>
      </c>
      <c r="T4950" t="s">
        <v>42184</v>
      </c>
      <c r="U4950" t="s">
        <v>46822</v>
      </c>
      <c r="V4950" t="s">
        <v>54078</v>
      </c>
      <c r="W4950" t="s">
        <v>38079</v>
      </c>
      <c r="X4950" t="s">
        <v>40444</v>
      </c>
    </row>
    <row r="4951" spans="1:24">
      <c r="A4951">
        <f>HYPERLINK("https://www.philgeps.gov.ph/GEPSNONPILOT/Tender/SplashBidNoticeAbstractUI.aspx?menuIndex=3&amp;refID=7042077&amp;Result=3","7042077")</f>
        <v>0</v>
      </c>
      <c r="B4951" t="s">
        <v>1701</v>
      </c>
      <c r="C4951" t="s">
        <v>7802</v>
      </c>
      <c r="D4951" t="s">
        <v>16191</v>
      </c>
      <c r="E4951" t="s">
        <v>20681</v>
      </c>
      <c r="F4951" t="s">
        <v>28198</v>
      </c>
      <c r="G4951" t="s">
        <v>28205</v>
      </c>
      <c r="H4951" t="s">
        <v>28214</v>
      </c>
      <c r="I4951" t="s">
        <v>3797</v>
      </c>
      <c r="J4951" t="s">
        <v>31498</v>
      </c>
      <c r="K4951" t="s">
        <v>36708</v>
      </c>
      <c r="M4951" t="s">
        <v>38804</v>
      </c>
      <c r="N4951" t="s">
        <v>40436</v>
      </c>
      <c r="O4951" t="s">
        <v>40437</v>
      </c>
      <c r="P4951">
        <v>0</v>
      </c>
      <c r="Q4951">
        <v>0</v>
      </c>
      <c r="R4951" t="s">
        <v>40440</v>
      </c>
      <c r="S4951" t="s">
        <v>40603</v>
      </c>
      <c r="T4951" t="s">
        <v>42119</v>
      </c>
      <c r="U4951" t="s">
        <v>46823</v>
      </c>
      <c r="W4951" t="s">
        <v>38804</v>
      </c>
      <c r="X4951" t="s">
        <v>40444</v>
      </c>
    </row>
    <row r="4952" spans="1:24">
      <c r="A4952">
        <f>HYPERLINK("https://www.philgeps.gov.ph/GEPSNONPILOT/Tender/SplashBidNoticeAbstractUI.aspx?menuIndex=3&amp;refID=7042109&amp;Result=3","7042109")</f>
        <v>0</v>
      </c>
      <c r="B4952" t="s">
        <v>1046</v>
      </c>
      <c r="C4952" t="s">
        <v>7803</v>
      </c>
      <c r="D4952" t="s">
        <v>16189</v>
      </c>
      <c r="E4952" t="s">
        <v>20682</v>
      </c>
      <c r="F4952" t="s">
        <v>28198</v>
      </c>
      <c r="G4952" t="s">
        <v>28207</v>
      </c>
      <c r="H4952" t="s">
        <v>28215</v>
      </c>
      <c r="I4952" t="s">
        <v>28230</v>
      </c>
      <c r="J4952" t="s">
        <v>28763</v>
      </c>
      <c r="K4952" t="s">
        <v>36689</v>
      </c>
      <c r="M4952" t="s">
        <v>38079</v>
      </c>
      <c r="N4952" t="s">
        <v>40436</v>
      </c>
      <c r="O4952" t="s">
        <v>40437</v>
      </c>
      <c r="P4952">
        <v>0</v>
      </c>
      <c r="Q4952">
        <v>0</v>
      </c>
      <c r="R4952" t="s">
        <v>40440</v>
      </c>
      <c r="S4952" t="s">
        <v>40603</v>
      </c>
      <c r="T4952" t="s">
        <v>42184</v>
      </c>
      <c r="U4952" t="s">
        <v>46824</v>
      </c>
      <c r="V4952" t="s">
        <v>54078</v>
      </c>
      <c r="W4952" t="s">
        <v>38079</v>
      </c>
      <c r="X4952" t="s">
        <v>40444</v>
      </c>
    </row>
    <row r="4953" spans="1:24">
      <c r="A4953">
        <f>HYPERLINK("https://www.philgeps.gov.ph/GEPSNONPILOT/Tender/SplashBidNoticeAbstractUI.aspx?menuIndex=3&amp;refID=7042177&amp;Result=3","7042177")</f>
        <v>0</v>
      </c>
      <c r="B4953" t="s">
        <v>1034</v>
      </c>
      <c r="C4953" t="s">
        <v>7804</v>
      </c>
      <c r="D4953" t="s">
        <v>16213</v>
      </c>
      <c r="E4953" t="s">
        <v>20683</v>
      </c>
      <c r="F4953" t="s">
        <v>28198</v>
      </c>
      <c r="G4953" t="s">
        <v>28205</v>
      </c>
      <c r="H4953" t="s">
        <v>28214</v>
      </c>
      <c r="I4953" t="s">
        <v>3797</v>
      </c>
      <c r="J4953" t="s">
        <v>31499</v>
      </c>
      <c r="K4953" t="s">
        <v>36692</v>
      </c>
      <c r="M4953" t="s">
        <v>38066</v>
      </c>
      <c r="N4953" t="s">
        <v>40436</v>
      </c>
      <c r="O4953" t="s">
        <v>40437</v>
      </c>
      <c r="P4953">
        <v>0</v>
      </c>
      <c r="Q4953">
        <v>0</v>
      </c>
      <c r="R4953" t="s">
        <v>40440</v>
      </c>
      <c r="S4953" t="s">
        <v>40603</v>
      </c>
      <c r="T4953" t="s">
        <v>42248</v>
      </c>
      <c r="U4953" t="s">
        <v>46825</v>
      </c>
      <c r="W4953" t="s">
        <v>38066</v>
      </c>
      <c r="X4953" t="s">
        <v>40444</v>
      </c>
    </row>
    <row r="4954" spans="1:24">
      <c r="A4954">
        <f>HYPERLINK("https://www.philgeps.gov.ph/GEPSNONPILOT/Tender/SplashBidNoticeAbstractUI.aspx?menuIndex=3&amp;refID=7042070&amp;Result=3","7042070")</f>
        <v>0</v>
      </c>
      <c r="B4954" t="s">
        <v>1705</v>
      </c>
      <c r="C4954" t="s">
        <v>7805</v>
      </c>
      <c r="D4954" t="s">
        <v>16192</v>
      </c>
      <c r="E4954" t="s">
        <v>20684</v>
      </c>
      <c r="F4954" t="s">
        <v>28198</v>
      </c>
      <c r="G4954" t="s">
        <v>28205</v>
      </c>
      <c r="H4954" t="s">
        <v>28215</v>
      </c>
      <c r="I4954" t="s">
        <v>5631</v>
      </c>
      <c r="J4954" t="s">
        <v>31500</v>
      </c>
      <c r="K4954" t="s">
        <v>36718</v>
      </c>
      <c r="M4954" t="s">
        <v>38808</v>
      </c>
      <c r="N4954" t="s">
        <v>40436</v>
      </c>
      <c r="O4954" t="s">
        <v>40437</v>
      </c>
      <c r="Q4954">
        <v>0</v>
      </c>
      <c r="R4954" t="s">
        <v>40440</v>
      </c>
      <c r="S4954" t="s">
        <v>40625</v>
      </c>
      <c r="T4954" t="s">
        <v>42119</v>
      </c>
      <c r="U4954" t="s">
        <v>46826</v>
      </c>
      <c r="V4954" t="s">
        <v>54271</v>
      </c>
      <c r="W4954" t="s">
        <v>38808</v>
      </c>
      <c r="X4954" t="s">
        <v>40444</v>
      </c>
    </row>
    <row r="4955" spans="1:24">
      <c r="A4955">
        <f>HYPERLINK("https://www.philgeps.gov.ph/GEPSNONPILOT/Tender/SplashBidNoticeAbstractUI.aspx?menuIndex=3&amp;refID=7042035&amp;Result=3","7042035")</f>
        <v>0</v>
      </c>
      <c r="B4955" t="s">
        <v>1701</v>
      </c>
      <c r="C4955" t="s">
        <v>3551</v>
      </c>
      <c r="D4955" t="s">
        <v>16191</v>
      </c>
      <c r="E4955" t="s">
        <v>20685</v>
      </c>
      <c r="F4955" t="s">
        <v>28198</v>
      </c>
      <c r="G4955" t="s">
        <v>28205</v>
      </c>
      <c r="H4955" t="s">
        <v>28215</v>
      </c>
      <c r="I4955" t="s">
        <v>8888</v>
      </c>
      <c r="J4955" t="s">
        <v>31501</v>
      </c>
      <c r="K4955" t="s">
        <v>36707</v>
      </c>
      <c r="M4955" t="s">
        <v>38804</v>
      </c>
      <c r="N4955" t="s">
        <v>40436</v>
      </c>
      <c r="O4955" t="s">
        <v>40437</v>
      </c>
      <c r="P4955">
        <v>0</v>
      </c>
      <c r="Q4955">
        <v>4</v>
      </c>
      <c r="R4955" t="s">
        <v>40440</v>
      </c>
      <c r="S4955" t="s">
        <v>40603</v>
      </c>
      <c r="T4955" t="s">
        <v>42119</v>
      </c>
      <c r="U4955" t="s">
        <v>46827</v>
      </c>
      <c r="W4955" t="s">
        <v>38804</v>
      </c>
      <c r="X4955" t="s">
        <v>40444</v>
      </c>
    </row>
    <row r="4956" spans="1:24">
      <c r="A4956">
        <f>HYPERLINK("https://www.philgeps.gov.ph/GEPSNONPILOT/Tender/SplashBidNoticeAbstractUI.aspx?menuIndex=3&amp;refID=7042081&amp;Result=3","7042081")</f>
        <v>0</v>
      </c>
      <c r="B4956" t="s">
        <v>101</v>
      </c>
      <c r="C4956" t="s">
        <v>7806</v>
      </c>
      <c r="D4956" t="s">
        <v>16200</v>
      </c>
      <c r="E4956" t="s">
        <v>20686</v>
      </c>
      <c r="F4956" t="s">
        <v>28198</v>
      </c>
      <c r="G4956" t="s">
        <v>28205</v>
      </c>
      <c r="H4956" t="s">
        <v>28215</v>
      </c>
      <c r="I4956" t="s">
        <v>28225</v>
      </c>
      <c r="J4956" t="s">
        <v>28345</v>
      </c>
      <c r="K4956" t="s">
        <v>36701</v>
      </c>
      <c r="M4956" t="s">
        <v>37075</v>
      </c>
      <c r="N4956" t="s">
        <v>40436</v>
      </c>
      <c r="O4956" t="s">
        <v>40437</v>
      </c>
      <c r="P4956">
        <v>0</v>
      </c>
      <c r="Q4956">
        <v>1</v>
      </c>
      <c r="R4956" t="s">
        <v>40440</v>
      </c>
      <c r="S4956" t="s">
        <v>40603</v>
      </c>
      <c r="T4956" t="s">
        <v>42108</v>
      </c>
      <c r="U4956" t="s">
        <v>46828</v>
      </c>
      <c r="V4956" t="s">
        <v>53799</v>
      </c>
      <c r="W4956" t="s">
        <v>37075</v>
      </c>
      <c r="X4956" t="s">
        <v>40444</v>
      </c>
    </row>
    <row r="4957" spans="1:24">
      <c r="A4957">
        <f>HYPERLINK("https://www.philgeps.gov.ph/GEPSNONPILOT/Tender/SplashBidNoticeAbstractUI.aspx?menuIndex=3&amp;refID=7042248&amp;Result=3","7042248")</f>
        <v>0</v>
      </c>
      <c r="B4957" t="s">
        <v>1706</v>
      </c>
      <c r="C4957" t="s">
        <v>7807</v>
      </c>
      <c r="D4957" t="s">
        <v>16203</v>
      </c>
      <c r="E4957" t="s">
        <v>20687</v>
      </c>
      <c r="F4957" t="s">
        <v>28198</v>
      </c>
      <c r="G4957" t="s">
        <v>28205</v>
      </c>
      <c r="H4957" t="s">
        <v>28214</v>
      </c>
      <c r="I4957" t="s">
        <v>3797</v>
      </c>
      <c r="J4957" t="s">
        <v>29620</v>
      </c>
      <c r="K4957" t="s">
        <v>36747</v>
      </c>
      <c r="M4957" t="s">
        <v>38811</v>
      </c>
      <c r="N4957" t="s">
        <v>40436</v>
      </c>
      <c r="O4957" t="s">
        <v>40437</v>
      </c>
      <c r="P4957">
        <v>0</v>
      </c>
      <c r="Q4957">
        <v>0</v>
      </c>
      <c r="R4957" t="s">
        <v>40440</v>
      </c>
      <c r="S4957" t="s">
        <v>40603</v>
      </c>
      <c r="T4957" t="s">
        <v>42103</v>
      </c>
      <c r="U4957" t="s">
        <v>46829</v>
      </c>
      <c r="W4957" t="s">
        <v>38811</v>
      </c>
      <c r="X4957" t="s">
        <v>40444</v>
      </c>
    </row>
    <row r="4958" spans="1:24">
      <c r="A4958">
        <f>HYPERLINK("https://www.philgeps.gov.ph/GEPSNONPILOT/Tender/SplashBidNoticeAbstractUI.aspx?menuIndex=3&amp;refID=7041932&amp;Result=3","7041932")</f>
        <v>0</v>
      </c>
      <c r="B4958" t="s">
        <v>1707</v>
      </c>
      <c r="C4958" t="s">
        <v>7808</v>
      </c>
      <c r="D4958" t="s">
        <v>16234</v>
      </c>
      <c r="E4958" t="s">
        <v>20688</v>
      </c>
      <c r="F4958" t="s">
        <v>28198</v>
      </c>
      <c r="G4958" t="s">
        <v>28206</v>
      </c>
      <c r="H4958" t="s">
        <v>28215</v>
      </c>
      <c r="I4958" t="s">
        <v>28238</v>
      </c>
      <c r="J4958" t="s">
        <v>31502</v>
      </c>
      <c r="K4958" t="s">
        <v>36706</v>
      </c>
      <c r="L4958" t="s">
        <v>1707</v>
      </c>
      <c r="M4958" t="s">
        <v>38812</v>
      </c>
      <c r="N4958" t="s">
        <v>40436</v>
      </c>
      <c r="O4958" t="s">
        <v>40437</v>
      </c>
      <c r="P4958">
        <v>0</v>
      </c>
      <c r="Q4958">
        <v>5</v>
      </c>
      <c r="R4958" t="s">
        <v>40440</v>
      </c>
      <c r="S4958" t="s">
        <v>40603</v>
      </c>
      <c r="T4958" t="s">
        <v>42184</v>
      </c>
      <c r="U4958" t="s">
        <v>46830</v>
      </c>
      <c r="V4958" t="s">
        <v>54274</v>
      </c>
      <c r="W4958" t="s">
        <v>38812</v>
      </c>
      <c r="X4958" t="s">
        <v>40444</v>
      </c>
    </row>
    <row r="4959" spans="1:24">
      <c r="A4959">
        <f>HYPERLINK("https://www.philgeps.gov.ph/GEPSNONPILOT/Tender/SplashBidNoticeAbstractUI.aspx?menuIndex=3&amp;refID=7042036&amp;Result=3","7042036")</f>
        <v>0</v>
      </c>
      <c r="B4959" t="s">
        <v>1206</v>
      </c>
      <c r="C4959" t="s">
        <v>5653</v>
      </c>
      <c r="D4959" t="s">
        <v>16203</v>
      </c>
      <c r="E4959" t="s">
        <v>20689</v>
      </c>
      <c r="F4959" t="s">
        <v>28198</v>
      </c>
      <c r="G4959" t="s">
        <v>28207</v>
      </c>
      <c r="H4959" t="s">
        <v>28215</v>
      </c>
      <c r="I4959" t="s">
        <v>28225</v>
      </c>
      <c r="J4959" t="s">
        <v>29531</v>
      </c>
      <c r="K4959" t="s">
        <v>36701</v>
      </c>
      <c r="M4959" t="s">
        <v>38251</v>
      </c>
      <c r="N4959" t="s">
        <v>40436</v>
      </c>
      <c r="O4959" t="s">
        <v>40437</v>
      </c>
      <c r="P4959">
        <v>0</v>
      </c>
      <c r="Q4959">
        <v>7</v>
      </c>
      <c r="R4959" t="s">
        <v>40440</v>
      </c>
      <c r="S4959" t="s">
        <v>40603</v>
      </c>
      <c r="T4959" t="s">
        <v>42184</v>
      </c>
      <c r="U4959" t="s">
        <v>46831</v>
      </c>
      <c r="W4959" t="s">
        <v>38251</v>
      </c>
      <c r="X4959" t="s">
        <v>40444</v>
      </c>
    </row>
    <row r="4960" spans="1:24">
      <c r="A4960">
        <f>HYPERLINK("https://www.philgeps.gov.ph/GEPSNONPILOT/Tender/SplashBidNoticeAbstractUI.aspx?menuIndex=3&amp;refID=7042056&amp;Result=3","7042056")</f>
        <v>0</v>
      </c>
      <c r="B4960" t="s">
        <v>889</v>
      </c>
      <c r="C4960" t="s">
        <v>7809</v>
      </c>
      <c r="D4960" t="s">
        <v>16227</v>
      </c>
      <c r="E4960" t="s">
        <v>20690</v>
      </c>
      <c r="F4960" t="s">
        <v>28198</v>
      </c>
      <c r="G4960" t="s">
        <v>28207</v>
      </c>
      <c r="H4960" t="s">
        <v>28215</v>
      </c>
      <c r="I4960" t="s">
        <v>28238</v>
      </c>
      <c r="J4960" t="s">
        <v>30012</v>
      </c>
      <c r="K4960" t="s">
        <v>36706</v>
      </c>
      <c r="M4960" t="s">
        <v>37905</v>
      </c>
      <c r="N4960" t="s">
        <v>40436</v>
      </c>
      <c r="O4960" t="s">
        <v>40437</v>
      </c>
      <c r="P4960">
        <v>0</v>
      </c>
      <c r="Q4960">
        <v>2</v>
      </c>
      <c r="R4960" t="s">
        <v>40440</v>
      </c>
      <c r="S4960" t="s">
        <v>40603</v>
      </c>
      <c r="T4960" t="s">
        <v>42185</v>
      </c>
      <c r="U4960" t="s">
        <v>46832</v>
      </c>
      <c r="W4960" t="s">
        <v>37905</v>
      </c>
      <c r="X4960" t="s">
        <v>40444</v>
      </c>
    </row>
    <row r="4961" spans="1:24">
      <c r="A4961">
        <f>HYPERLINK("https://www.philgeps.gov.ph/GEPSNONPILOT/Tender/SplashBidNoticeAbstractUI.aspx?menuIndex=3&amp;refID=7042295&amp;Result=3","7042295")</f>
        <v>0</v>
      </c>
      <c r="B4961" t="s">
        <v>1708</v>
      </c>
      <c r="C4961" t="s">
        <v>7810</v>
      </c>
      <c r="E4961" t="s">
        <v>17032</v>
      </c>
      <c r="F4961" t="s">
        <v>28198</v>
      </c>
      <c r="G4961" t="s">
        <v>28205</v>
      </c>
      <c r="H4961" t="s">
        <v>28214</v>
      </c>
      <c r="I4961" t="s">
        <v>3797</v>
      </c>
      <c r="J4961" t="s">
        <v>28373</v>
      </c>
      <c r="K4961" t="s">
        <v>36697</v>
      </c>
      <c r="M4961" t="s">
        <v>38813</v>
      </c>
      <c r="N4961" t="s">
        <v>40436</v>
      </c>
      <c r="O4961" t="s">
        <v>40437</v>
      </c>
      <c r="P4961">
        <v>0</v>
      </c>
      <c r="Q4961">
        <v>0</v>
      </c>
      <c r="R4961" t="s">
        <v>40440</v>
      </c>
      <c r="S4961" t="s">
        <v>40603</v>
      </c>
      <c r="T4961" t="s">
        <v>42103</v>
      </c>
      <c r="U4961" t="s">
        <v>46833</v>
      </c>
      <c r="W4961" t="s">
        <v>38813</v>
      </c>
      <c r="X4961" t="s">
        <v>40444</v>
      </c>
    </row>
    <row r="4962" spans="1:24">
      <c r="A4962">
        <f>HYPERLINK("https://www.philgeps.gov.ph/GEPSNONPILOT/Tender/SplashBidNoticeAbstractUI.aspx?menuIndex=3&amp;refID=7042419&amp;Result=3","7042419")</f>
        <v>0</v>
      </c>
      <c r="B4962" t="s">
        <v>1709</v>
      </c>
      <c r="C4962" t="s">
        <v>7811</v>
      </c>
      <c r="D4962" t="s">
        <v>16268</v>
      </c>
      <c r="E4962" t="s">
        <v>20691</v>
      </c>
      <c r="F4962" t="s">
        <v>28198</v>
      </c>
      <c r="G4962" t="s">
        <v>28210</v>
      </c>
      <c r="H4962" t="s">
        <v>28215</v>
      </c>
      <c r="I4962" t="s">
        <v>4200</v>
      </c>
      <c r="J4962" t="s">
        <v>31503</v>
      </c>
      <c r="K4962" t="s">
        <v>36701</v>
      </c>
      <c r="M4962" t="s">
        <v>38814</v>
      </c>
      <c r="N4962" t="s">
        <v>40436</v>
      </c>
      <c r="O4962" t="s">
        <v>40437</v>
      </c>
      <c r="P4962">
        <v>0</v>
      </c>
      <c r="Q4962">
        <v>4</v>
      </c>
      <c r="R4962" t="s">
        <v>40440</v>
      </c>
      <c r="S4962" t="s">
        <v>40603</v>
      </c>
      <c r="T4962" t="s">
        <v>42152</v>
      </c>
      <c r="U4962" t="s">
        <v>46834</v>
      </c>
      <c r="V4962" t="s">
        <v>54275</v>
      </c>
      <c r="W4962" t="s">
        <v>38814</v>
      </c>
      <c r="X4962" t="s">
        <v>40444</v>
      </c>
    </row>
    <row r="4963" spans="1:24">
      <c r="A4963">
        <f>HYPERLINK("https://www.philgeps.gov.ph/GEPSNONPILOT/Tender/SplashBidNoticeAbstractUI.aspx?menuIndex=3&amp;refID=7042396&amp;Result=3","7042396")</f>
        <v>0</v>
      </c>
      <c r="B4963" t="s">
        <v>1710</v>
      </c>
      <c r="C4963" t="s">
        <v>7812</v>
      </c>
      <c r="D4963" t="s">
        <v>16210</v>
      </c>
      <c r="E4963" t="s">
        <v>20692</v>
      </c>
      <c r="F4963" t="s">
        <v>28198</v>
      </c>
      <c r="G4963" t="s">
        <v>28205</v>
      </c>
      <c r="H4963" t="s">
        <v>28215</v>
      </c>
      <c r="I4963" t="s">
        <v>5100</v>
      </c>
      <c r="J4963" t="s">
        <v>31504</v>
      </c>
      <c r="K4963" t="s">
        <v>36701</v>
      </c>
      <c r="M4963" t="s">
        <v>38815</v>
      </c>
      <c r="N4963" t="s">
        <v>40436</v>
      </c>
      <c r="O4963" t="s">
        <v>40437</v>
      </c>
      <c r="P4963">
        <v>0</v>
      </c>
      <c r="Q4963">
        <v>3</v>
      </c>
      <c r="R4963" t="s">
        <v>40440</v>
      </c>
      <c r="S4963" t="s">
        <v>40603</v>
      </c>
      <c r="T4963" t="s">
        <v>42106</v>
      </c>
      <c r="U4963" t="s">
        <v>46835</v>
      </c>
      <c r="W4963" t="s">
        <v>38815</v>
      </c>
      <c r="X4963" t="s">
        <v>40444</v>
      </c>
    </row>
    <row r="4964" spans="1:24">
      <c r="A4964">
        <f>HYPERLINK("https://www.philgeps.gov.ph/GEPSNONPILOT/Tender/SplashBidNoticeAbstractUI.aspx?menuIndex=3&amp;refID=7042226&amp;Result=3","7042226")</f>
        <v>0</v>
      </c>
      <c r="B4964" t="s">
        <v>1705</v>
      </c>
      <c r="C4964" t="s">
        <v>7813</v>
      </c>
      <c r="D4964" t="s">
        <v>16192</v>
      </c>
      <c r="E4964" t="s">
        <v>20693</v>
      </c>
      <c r="F4964" t="s">
        <v>28198</v>
      </c>
      <c r="G4964" t="s">
        <v>28205</v>
      </c>
      <c r="H4964" t="s">
        <v>28214</v>
      </c>
      <c r="I4964" t="s">
        <v>3797</v>
      </c>
      <c r="J4964" t="s">
        <v>31505</v>
      </c>
      <c r="K4964" t="s">
        <v>36825</v>
      </c>
      <c r="M4964" t="s">
        <v>38808</v>
      </c>
      <c r="N4964" t="s">
        <v>40436</v>
      </c>
      <c r="O4964" t="s">
        <v>40437</v>
      </c>
      <c r="P4964">
        <v>0</v>
      </c>
      <c r="Q4964">
        <v>2</v>
      </c>
      <c r="R4964" t="s">
        <v>40440</v>
      </c>
      <c r="S4964" t="s">
        <v>40603</v>
      </c>
      <c r="T4964" t="s">
        <v>42118</v>
      </c>
      <c r="U4964" t="s">
        <v>46836</v>
      </c>
      <c r="V4964" t="s">
        <v>54271</v>
      </c>
      <c r="W4964" t="s">
        <v>38808</v>
      </c>
      <c r="X4964" t="s">
        <v>40444</v>
      </c>
    </row>
    <row r="4965" spans="1:24">
      <c r="A4965">
        <f>HYPERLINK("https://www.philgeps.gov.ph/GEPSNONPILOT/Tender/SplashBidNoticeAbstractUI.aspx?menuIndex=3&amp;refID=7042241&amp;Result=3","7042241")</f>
        <v>0</v>
      </c>
      <c r="B4965" t="s">
        <v>1711</v>
      </c>
      <c r="C4965" t="s">
        <v>7814</v>
      </c>
      <c r="D4965" t="s">
        <v>16211</v>
      </c>
      <c r="E4965" t="s">
        <v>20694</v>
      </c>
      <c r="F4965" t="s">
        <v>28198</v>
      </c>
      <c r="G4965" t="s">
        <v>28205</v>
      </c>
      <c r="H4965" t="s">
        <v>28215</v>
      </c>
      <c r="I4965" t="s">
        <v>4219</v>
      </c>
      <c r="J4965" t="s">
        <v>31506</v>
      </c>
      <c r="K4965" t="s">
        <v>36701</v>
      </c>
      <c r="M4965" t="s">
        <v>38816</v>
      </c>
      <c r="N4965" t="s">
        <v>40436</v>
      </c>
      <c r="O4965" t="s">
        <v>40437</v>
      </c>
      <c r="P4965">
        <v>0</v>
      </c>
      <c r="Q4965">
        <v>3</v>
      </c>
      <c r="R4965" t="s">
        <v>40440</v>
      </c>
      <c r="S4965" t="s">
        <v>40603</v>
      </c>
      <c r="T4965" t="s">
        <v>42279</v>
      </c>
      <c r="U4965" t="s">
        <v>46837</v>
      </c>
      <c r="W4965" t="s">
        <v>38816</v>
      </c>
      <c r="X4965" t="s">
        <v>40444</v>
      </c>
    </row>
    <row r="4966" spans="1:24">
      <c r="A4966">
        <f>HYPERLINK("https://www.philgeps.gov.ph/GEPSNONPILOT/Tender/SplashBidNoticeAbstractUI.aspx?menuIndex=3&amp;refID=7042220&amp;Result=3","7042220")</f>
        <v>0</v>
      </c>
      <c r="B4966" t="s">
        <v>916</v>
      </c>
      <c r="C4966" t="s">
        <v>7815</v>
      </c>
      <c r="D4966" t="s">
        <v>16210</v>
      </c>
      <c r="E4966" t="s">
        <v>20695</v>
      </c>
      <c r="F4966" t="s">
        <v>28198</v>
      </c>
      <c r="G4966" t="s">
        <v>28205</v>
      </c>
      <c r="H4966" t="s">
        <v>28215</v>
      </c>
      <c r="I4966" t="s">
        <v>8888</v>
      </c>
      <c r="J4966" t="s">
        <v>31507</v>
      </c>
      <c r="K4966" t="s">
        <v>36697</v>
      </c>
      <c r="M4966" t="s">
        <v>38817</v>
      </c>
      <c r="N4966" t="s">
        <v>40436</v>
      </c>
      <c r="O4966" t="s">
        <v>40437</v>
      </c>
      <c r="P4966">
        <v>0</v>
      </c>
      <c r="Q4966">
        <v>14</v>
      </c>
      <c r="R4966" t="s">
        <v>40440</v>
      </c>
      <c r="S4966" t="s">
        <v>40603</v>
      </c>
      <c r="T4966" t="s">
        <v>42125</v>
      </c>
      <c r="U4966" t="s">
        <v>46838</v>
      </c>
      <c r="W4966" t="s">
        <v>38817</v>
      </c>
      <c r="X4966" t="s">
        <v>40444</v>
      </c>
    </row>
    <row r="4967" spans="1:24">
      <c r="A4967">
        <f>HYPERLINK("https://www.philgeps.gov.ph/GEPSNONPILOT/Tender/SplashBidNoticeAbstractUI.aspx?menuIndex=3&amp;refID=7042394&amp;Result=3","7042394")</f>
        <v>0</v>
      </c>
      <c r="B4967" t="s">
        <v>1712</v>
      </c>
      <c r="C4967" t="s">
        <v>7816</v>
      </c>
      <c r="D4967" t="s">
        <v>16244</v>
      </c>
      <c r="E4967" t="s">
        <v>20696</v>
      </c>
      <c r="F4967" t="s">
        <v>28198</v>
      </c>
      <c r="G4967" t="s">
        <v>28205</v>
      </c>
      <c r="H4967" t="s">
        <v>28214</v>
      </c>
      <c r="I4967" t="s">
        <v>3797</v>
      </c>
      <c r="J4967" t="s">
        <v>31508</v>
      </c>
      <c r="K4967" t="s">
        <v>36692</v>
      </c>
      <c r="M4967" t="s">
        <v>38818</v>
      </c>
      <c r="N4967" t="s">
        <v>40436</v>
      </c>
      <c r="O4967" t="s">
        <v>40437</v>
      </c>
      <c r="P4967">
        <v>0</v>
      </c>
      <c r="Q4967">
        <v>0</v>
      </c>
      <c r="R4967" t="s">
        <v>40440</v>
      </c>
      <c r="S4967" t="s">
        <v>40603</v>
      </c>
      <c r="T4967" t="s">
        <v>42123</v>
      </c>
      <c r="U4967" t="s">
        <v>46839</v>
      </c>
      <c r="W4967" t="s">
        <v>38818</v>
      </c>
      <c r="X4967" t="s">
        <v>40444</v>
      </c>
    </row>
    <row r="4968" spans="1:24">
      <c r="A4968">
        <f>HYPERLINK("https://www.philgeps.gov.ph/GEPSNONPILOT/Tender/SplashBidNoticeAbstractUI.aspx?menuIndex=3&amp;refID=7042397&amp;Result=3","7042397")</f>
        <v>0</v>
      </c>
      <c r="B4968" t="s">
        <v>1713</v>
      </c>
      <c r="C4968" t="s">
        <v>7817</v>
      </c>
      <c r="D4968" t="s">
        <v>16252</v>
      </c>
      <c r="E4968" t="s">
        <v>20697</v>
      </c>
      <c r="F4968" t="s">
        <v>28198</v>
      </c>
      <c r="G4968" t="s">
        <v>28205</v>
      </c>
      <c r="H4968" t="s">
        <v>28215</v>
      </c>
      <c r="I4968" t="s">
        <v>28230</v>
      </c>
      <c r="J4968" t="s">
        <v>31509</v>
      </c>
      <c r="K4968" t="s">
        <v>36707</v>
      </c>
      <c r="M4968" t="s">
        <v>38819</v>
      </c>
      <c r="N4968" t="s">
        <v>40436</v>
      </c>
      <c r="O4968" t="s">
        <v>40437</v>
      </c>
      <c r="P4968">
        <v>0</v>
      </c>
      <c r="Q4968">
        <v>0</v>
      </c>
      <c r="R4968" t="s">
        <v>40440</v>
      </c>
      <c r="S4968" t="s">
        <v>40603</v>
      </c>
      <c r="T4968" t="s">
        <v>42119</v>
      </c>
      <c r="U4968" t="s">
        <v>46840</v>
      </c>
      <c r="W4968" t="s">
        <v>38819</v>
      </c>
      <c r="X4968" t="s">
        <v>40444</v>
      </c>
    </row>
    <row r="4969" spans="1:24">
      <c r="A4969">
        <f>HYPERLINK("https://www.philgeps.gov.ph/GEPSNONPILOT/Tender/SplashBidNoticeAbstractUI.aspx?menuIndex=3&amp;refID=7042233&amp;Result=3","7042233")</f>
        <v>0</v>
      </c>
      <c r="B4969" t="s">
        <v>1714</v>
      </c>
      <c r="C4969" t="s">
        <v>7818</v>
      </c>
      <c r="D4969" t="s">
        <v>16217</v>
      </c>
      <c r="E4969" t="s">
        <v>7818</v>
      </c>
      <c r="F4969" t="s">
        <v>28198</v>
      </c>
      <c r="G4969" t="s">
        <v>28207</v>
      </c>
      <c r="H4969" t="s">
        <v>28215</v>
      </c>
      <c r="I4969" t="s">
        <v>4219</v>
      </c>
      <c r="J4969" t="s">
        <v>31510</v>
      </c>
      <c r="K4969" t="s">
        <v>36688</v>
      </c>
      <c r="M4969" t="s">
        <v>38820</v>
      </c>
      <c r="N4969" t="s">
        <v>40436</v>
      </c>
      <c r="O4969" t="s">
        <v>40437</v>
      </c>
      <c r="P4969">
        <v>0</v>
      </c>
      <c r="Q4969">
        <v>2</v>
      </c>
      <c r="R4969" t="s">
        <v>40440</v>
      </c>
      <c r="S4969" t="s">
        <v>40603</v>
      </c>
      <c r="T4969" t="s">
        <v>42175</v>
      </c>
      <c r="U4969" t="s">
        <v>46841</v>
      </c>
      <c r="W4969" t="s">
        <v>38820</v>
      </c>
      <c r="X4969" t="s">
        <v>40444</v>
      </c>
    </row>
    <row r="4970" spans="1:24">
      <c r="A4970">
        <f>HYPERLINK("https://www.philgeps.gov.ph/GEPSNONPILOT/Tender/SplashBidNoticeAbstractUI.aspx?menuIndex=3&amp;refID=7042422&amp;Result=3","7042422")</f>
        <v>0</v>
      </c>
      <c r="B4970" t="s">
        <v>1369</v>
      </c>
      <c r="C4970" t="s">
        <v>7819</v>
      </c>
      <c r="D4970" t="s">
        <v>16203</v>
      </c>
      <c r="E4970" t="s">
        <v>20698</v>
      </c>
      <c r="F4970" t="s">
        <v>28198</v>
      </c>
      <c r="G4970" t="s">
        <v>28205</v>
      </c>
      <c r="H4970" t="s">
        <v>28214</v>
      </c>
      <c r="I4970" t="s">
        <v>3797</v>
      </c>
      <c r="J4970" t="s">
        <v>28395</v>
      </c>
      <c r="K4970" t="s">
        <v>36701</v>
      </c>
      <c r="M4970" t="s">
        <v>38430</v>
      </c>
      <c r="N4970" t="s">
        <v>40436</v>
      </c>
      <c r="O4970" t="s">
        <v>40437</v>
      </c>
      <c r="P4970">
        <v>0</v>
      </c>
      <c r="Q4970">
        <v>0</v>
      </c>
      <c r="R4970" t="s">
        <v>40440</v>
      </c>
      <c r="S4970" t="s">
        <v>40603</v>
      </c>
      <c r="T4970" t="s">
        <v>42103</v>
      </c>
      <c r="U4970" t="s">
        <v>46842</v>
      </c>
      <c r="W4970" t="s">
        <v>38430</v>
      </c>
      <c r="X4970" t="s">
        <v>40444</v>
      </c>
    </row>
    <row r="4971" spans="1:24">
      <c r="A4971">
        <f>HYPERLINK("https://www.philgeps.gov.ph/GEPSNONPILOT/Tender/SplashBidNoticeAbstractUI.aspx?menuIndex=3&amp;refID=7042385&amp;Result=3","7042385")</f>
        <v>0</v>
      </c>
      <c r="B4971" t="s">
        <v>1709</v>
      </c>
      <c r="C4971" t="s">
        <v>7820</v>
      </c>
      <c r="D4971" t="s">
        <v>16268</v>
      </c>
      <c r="E4971" t="s">
        <v>20699</v>
      </c>
      <c r="F4971" t="s">
        <v>28198</v>
      </c>
      <c r="G4971" t="s">
        <v>28210</v>
      </c>
      <c r="H4971" t="s">
        <v>28215</v>
      </c>
      <c r="I4971" t="s">
        <v>4200</v>
      </c>
      <c r="J4971" t="s">
        <v>31511</v>
      </c>
      <c r="K4971" t="s">
        <v>36701</v>
      </c>
      <c r="M4971" t="s">
        <v>38814</v>
      </c>
      <c r="N4971" t="s">
        <v>40436</v>
      </c>
      <c r="O4971" t="s">
        <v>40437</v>
      </c>
      <c r="P4971">
        <v>0</v>
      </c>
      <c r="Q4971">
        <v>2</v>
      </c>
      <c r="R4971" t="s">
        <v>40440</v>
      </c>
      <c r="S4971" t="s">
        <v>40603</v>
      </c>
      <c r="T4971" t="s">
        <v>42152</v>
      </c>
      <c r="U4971" t="s">
        <v>46843</v>
      </c>
      <c r="V4971" t="s">
        <v>54276</v>
      </c>
      <c r="W4971" t="s">
        <v>38814</v>
      </c>
      <c r="X4971" t="s">
        <v>40444</v>
      </c>
    </row>
    <row r="4972" spans="1:24">
      <c r="A4972">
        <f>HYPERLINK("https://www.philgeps.gov.ph/GEPSNONPILOT/Tender/SplashBidNoticeAbstractUI.aspx?menuIndex=3&amp;refID=7042446&amp;Result=3","7042446")</f>
        <v>0</v>
      </c>
      <c r="B4972" t="s">
        <v>1713</v>
      </c>
      <c r="C4972" t="s">
        <v>7821</v>
      </c>
      <c r="D4972" t="s">
        <v>16252</v>
      </c>
      <c r="E4972" t="s">
        <v>20700</v>
      </c>
      <c r="F4972" t="s">
        <v>28198</v>
      </c>
      <c r="G4972" t="s">
        <v>28205</v>
      </c>
      <c r="H4972" t="s">
        <v>28215</v>
      </c>
      <c r="I4972" t="s">
        <v>28238</v>
      </c>
      <c r="J4972" t="s">
        <v>28373</v>
      </c>
      <c r="K4972" t="s">
        <v>36701</v>
      </c>
      <c r="M4972" t="s">
        <v>38819</v>
      </c>
      <c r="N4972" t="s">
        <v>40436</v>
      </c>
      <c r="O4972" t="s">
        <v>40437</v>
      </c>
      <c r="P4972">
        <v>0</v>
      </c>
      <c r="Q4972">
        <v>5</v>
      </c>
      <c r="R4972" t="s">
        <v>40440</v>
      </c>
      <c r="S4972" t="s">
        <v>40603</v>
      </c>
      <c r="T4972" t="s">
        <v>42119</v>
      </c>
      <c r="U4972" t="s">
        <v>46844</v>
      </c>
      <c r="W4972" t="s">
        <v>38819</v>
      </c>
      <c r="X4972" t="s">
        <v>40444</v>
      </c>
    </row>
    <row r="4973" spans="1:24">
      <c r="A4973">
        <f>HYPERLINK("https://www.philgeps.gov.ph/GEPSNONPILOT/Tender/SplashBidNoticeAbstractUI.aspx?menuIndex=3&amp;refID=7042371&amp;Result=3","7042371")</f>
        <v>0</v>
      </c>
      <c r="B4973" t="s">
        <v>1709</v>
      </c>
      <c r="C4973" t="s">
        <v>7822</v>
      </c>
      <c r="D4973" t="s">
        <v>16268</v>
      </c>
      <c r="E4973" t="s">
        <v>20701</v>
      </c>
      <c r="F4973" t="s">
        <v>28198</v>
      </c>
      <c r="G4973" t="s">
        <v>28207</v>
      </c>
      <c r="H4973" t="s">
        <v>28215</v>
      </c>
      <c r="I4973" t="s">
        <v>28274</v>
      </c>
      <c r="J4973" t="s">
        <v>28361</v>
      </c>
      <c r="K4973" t="s">
        <v>36701</v>
      </c>
      <c r="M4973" t="s">
        <v>38814</v>
      </c>
      <c r="N4973" t="s">
        <v>40436</v>
      </c>
      <c r="O4973" t="s">
        <v>40437</v>
      </c>
      <c r="P4973">
        <v>0</v>
      </c>
      <c r="Q4973">
        <v>1</v>
      </c>
      <c r="R4973" t="s">
        <v>40440</v>
      </c>
      <c r="S4973" t="s">
        <v>40603</v>
      </c>
      <c r="T4973" t="s">
        <v>42137</v>
      </c>
      <c r="U4973" t="s">
        <v>46845</v>
      </c>
      <c r="V4973" t="s">
        <v>54277</v>
      </c>
      <c r="W4973" t="s">
        <v>38814</v>
      </c>
      <c r="X4973" t="s">
        <v>40444</v>
      </c>
    </row>
    <row r="4974" spans="1:24">
      <c r="A4974">
        <f>HYPERLINK("https://www.philgeps.gov.ph/GEPSNONPILOT/Tender/SplashBidNoticeAbstractUI.aspx?menuIndex=3&amp;refID=7042329&amp;Result=3","7042329")</f>
        <v>0</v>
      </c>
      <c r="B4974" t="s">
        <v>320</v>
      </c>
      <c r="C4974" t="s">
        <v>7823</v>
      </c>
      <c r="D4974" t="s">
        <v>16199</v>
      </c>
      <c r="E4974" t="s">
        <v>17020</v>
      </c>
      <c r="F4974" t="s">
        <v>28198</v>
      </c>
      <c r="G4974" t="s">
        <v>28206</v>
      </c>
      <c r="H4974" t="s">
        <v>28215</v>
      </c>
      <c r="I4974" t="s">
        <v>28237</v>
      </c>
      <c r="J4974" t="s">
        <v>31512</v>
      </c>
      <c r="K4974" t="s">
        <v>36689</v>
      </c>
      <c r="M4974" t="s">
        <v>37298</v>
      </c>
      <c r="N4974" t="s">
        <v>40436</v>
      </c>
      <c r="O4974" t="s">
        <v>40437</v>
      </c>
      <c r="P4974">
        <v>0</v>
      </c>
      <c r="Q4974">
        <v>0</v>
      </c>
      <c r="R4974" t="s">
        <v>40440</v>
      </c>
      <c r="S4974" t="s">
        <v>40603</v>
      </c>
      <c r="T4974" t="s">
        <v>42233</v>
      </c>
      <c r="U4974" t="s">
        <v>46846</v>
      </c>
      <c r="W4974" t="s">
        <v>37298</v>
      </c>
      <c r="X4974" t="s">
        <v>40444</v>
      </c>
    </row>
    <row r="4975" spans="1:24">
      <c r="A4975">
        <f>HYPERLINK("https://www.philgeps.gov.ph/GEPSNONPILOT/Tender/SplashBidNoticeAbstractUI.aspx?menuIndex=3&amp;refID=7042425&amp;Result=3","7042425")</f>
        <v>0</v>
      </c>
      <c r="B4975" t="s">
        <v>1078</v>
      </c>
      <c r="C4975" t="s">
        <v>7824</v>
      </c>
      <c r="D4975" t="s">
        <v>16210</v>
      </c>
      <c r="E4975" t="s">
        <v>20702</v>
      </c>
      <c r="F4975" t="s">
        <v>28198</v>
      </c>
      <c r="G4975" t="s">
        <v>28207</v>
      </c>
      <c r="H4975" t="s">
        <v>28215</v>
      </c>
      <c r="I4975" t="s">
        <v>28225</v>
      </c>
      <c r="J4975" t="s">
        <v>31513</v>
      </c>
      <c r="K4975" t="s">
        <v>36701</v>
      </c>
      <c r="M4975" t="s">
        <v>38821</v>
      </c>
      <c r="N4975" t="s">
        <v>40436</v>
      </c>
      <c r="O4975" t="s">
        <v>40437</v>
      </c>
      <c r="P4975">
        <v>0</v>
      </c>
      <c r="Q4975">
        <v>8</v>
      </c>
      <c r="R4975" t="s">
        <v>40440</v>
      </c>
      <c r="S4975" t="s">
        <v>40603</v>
      </c>
      <c r="T4975" t="s">
        <v>42245</v>
      </c>
      <c r="U4975" t="s">
        <v>46847</v>
      </c>
      <c r="W4975" t="s">
        <v>38821</v>
      </c>
      <c r="X4975" t="s">
        <v>40444</v>
      </c>
    </row>
    <row r="4976" spans="1:24">
      <c r="A4976">
        <f>HYPERLINK("https://www.philgeps.gov.ph/GEPSNONPILOT/Tender/SplashBidNoticeAbstractUI.aspx?menuIndex=3&amp;refID=7042426&amp;Result=3","7042426")</f>
        <v>0</v>
      </c>
      <c r="B4976" t="s">
        <v>1713</v>
      </c>
      <c r="C4976" t="s">
        <v>7825</v>
      </c>
      <c r="D4976" t="s">
        <v>16252</v>
      </c>
      <c r="E4976" t="s">
        <v>20703</v>
      </c>
      <c r="F4976" t="s">
        <v>28198</v>
      </c>
      <c r="G4976" t="s">
        <v>28205</v>
      </c>
      <c r="H4976" t="s">
        <v>28215</v>
      </c>
      <c r="I4976" t="s">
        <v>8888</v>
      </c>
      <c r="J4976" t="s">
        <v>31514</v>
      </c>
      <c r="K4976" t="s">
        <v>36687</v>
      </c>
      <c r="M4976" t="s">
        <v>38819</v>
      </c>
      <c r="N4976" t="s">
        <v>40436</v>
      </c>
      <c r="O4976" t="s">
        <v>40437</v>
      </c>
      <c r="P4976">
        <v>0</v>
      </c>
      <c r="Q4976">
        <v>3</v>
      </c>
      <c r="R4976" t="s">
        <v>40440</v>
      </c>
      <c r="S4976" t="s">
        <v>40603</v>
      </c>
      <c r="T4976" t="s">
        <v>42119</v>
      </c>
      <c r="U4976" t="s">
        <v>46848</v>
      </c>
      <c r="W4976" t="s">
        <v>38819</v>
      </c>
      <c r="X4976" t="s">
        <v>40444</v>
      </c>
    </row>
    <row r="4977" spans="1:24">
      <c r="A4977">
        <f>HYPERLINK("https://www.philgeps.gov.ph/GEPSNONPILOT/Tender/SplashBidNoticeAbstractUI.aspx?menuIndex=3&amp;refID=7042310&amp;Result=3","7042310")</f>
        <v>0</v>
      </c>
      <c r="B4977" t="s">
        <v>1709</v>
      </c>
      <c r="C4977" t="s">
        <v>7826</v>
      </c>
      <c r="D4977" t="s">
        <v>16246</v>
      </c>
      <c r="E4977" t="s">
        <v>20704</v>
      </c>
      <c r="F4977" t="s">
        <v>28198</v>
      </c>
      <c r="G4977" t="s">
        <v>28210</v>
      </c>
      <c r="H4977" t="s">
        <v>28215</v>
      </c>
      <c r="I4977" t="s">
        <v>4200</v>
      </c>
      <c r="J4977" t="s">
        <v>31515</v>
      </c>
      <c r="K4977" t="s">
        <v>36701</v>
      </c>
      <c r="M4977" t="s">
        <v>38814</v>
      </c>
      <c r="N4977" t="s">
        <v>40436</v>
      </c>
      <c r="O4977" t="s">
        <v>40437</v>
      </c>
      <c r="P4977">
        <v>0</v>
      </c>
      <c r="Q4977">
        <v>5</v>
      </c>
      <c r="R4977" t="s">
        <v>40440</v>
      </c>
      <c r="S4977" t="s">
        <v>40603</v>
      </c>
      <c r="T4977" t="s">
        <v>42152</v>
      </c>
      <c r="U4977" t="s">
        <v>46849</v>
      </c>
      <c r="V4977" t="s">
        <v>54278</v>
      </c>
      <c r="W4977" t="s">
        <v>38814</v>
      </c>
      <c r="X4977" t="s">
        <v>40444</v>
      </c>
    </row>
    <row r="4978" spans="1:24">
      <c r="A4978">
        <f>HYPERLINK("https://www.philgeps.gov.ph/GEPSNONPILOT/Tender/SplashBidNoticeAbstractUI.aspx?menuIndex=3&amp;refID=7042352&amp;Result=3","7042352")</f>
        <v>0</v>
      </c>
      <c r="B4978" t="s">
        <v>1715</v>
      </c>
      <c r="C4978" t="s">
        <v>7827</v>
      </c>
      <c r="D4978" t="s">
        <v>16187</v>
      </c>
      <c r="E4978" t="s">
        <v>20705</v>
      </c>
      <c r="F4978" t="s">
        <v>28198</v>
      </c>
      <c r="G4978" t="s">
        <v>28205</v>
      </c>
      <c r="H4978" t="s">
        <v>28215</v>
      </c>
      <c r="I4978" t="s">
        <v>4200</v>
      </c>
      <c r="J4978" t="s">
        <v>28967</v>
      </c>
      <c r="K4978" t="s">
        <v>36689</v>
      </c>
      <c r="M4978" t="s">
        <v>38822</v>
      </c>
      <c r="N4978" t="s">
        <v>40436</v>
      </c>
      <c r="O4978" t="s">
        <v>40437</v>
      </c>
      <c r="P4978">
        <v>0</v>
      </c>
      <c r="Q4978">
        <v>0</v>
      </c>
      <c r="R4978" t="s">
        <v>40440</v>
      </c>
      <c r="S4978" t="s">
        <v>40603</v>
      </c>
      <c r="T4978" t="s">
        <v>42137</v>
      </c>
      <c r="U4978" t="s">
        <v>46850</v>
      </c>
      <c r="W4978" t="s">
        <v>38822</v>
      </c>
      <c r="X4978" t="s">
        <v>40444</v>
      </c>
    </row>
    <row r="4979" spans="1:24">
      <c r="A4979">
        <f>HYPERLINK("https://www.philgeps.gov.ph/GEPSNONPILOT/Tender/SplashBidNoticeAbstractUI.aspx?menuIndex=3&amp;refID=7042325&amp;Result=3","7042325")</f>
        <v>0</v>
      </c>
      <c r="B4979" t="s">
        <v>1716</v>
      </c>
      <c r="C4979" t="s">
        <v>7828</v>
      </c>
      <c r="D4979" t="s">
        <v>16187</v>
      </c>
      <c r="E4979" t="s">
        <v>20028</v>
      </c>
      <c r="F4979" t="s">
        <v>28198</v>
      </c>
      <c r="G4979" t="s">
        <v>28205</v>
      </c>
      <c r="H4979" t="s">
        <v>28215</v>
      </c>
      <c r="I4979" t="s">
        <v>4200</v>
      </c>
      <c r="J4979" t="s">
        <v>31516</v>
      </c>
      <c r="K4979" t="s">
        <v>36689</v>
      </c>
      <c r="M4979" t="s">
        <v>38823</v>
      </c>
      <c r="N4979" t="s">
        <v>40436</v>
      </c>
      <c r="O4979" t="s">
        <v>40437</v>
      </c>
      <c r="P4979">
        <v>0</v>
      </c>
      <c r="Q4979">
        <v>0</v>
      </c>
      <c r="R4979" t="s">
        <v>40440</v>
      </c>
      <c r="S4979" t="s">
        <v>40603</v>
      </c>
      <c r="T4979" t="s">
        <v>42176</v>
      </c>
      <c r="U4979" t="s">
        <v>46851</v>
      </c>
      <c r="W4979" t="s">
        <v>38823</v>
      </c>
      <c r="X4979" t="s">
        <v>40444</v>
      </c>
    </row>
    <row r="4980" spans="1:24">
      <c r="A4980">
        <f>HYPERLINK("https://www.philgeps.gov.ph/GEPSNONPILOT/Tender/SplashBidNoticeAbstractUI.aspx?menuIndex=3&amp;refID=7042454&amp;Result=3","7042454")</f>
        <v>0</v>
      </c>
      <c r="B4980" t="s">
        <v>1717</v>
      </c>
      <c r="C4980" t="s">
        <v>7829</v>
      </c>
      <c r="D4980" t="s">
        <v>16210</v>
      </c>
      <c r="E4980" t="s">
        <v>20706</v>
      </c>
      <c r="F4980" t="s">
        <v>28198</v>
      </c>
      <c r="G4980" t="s">
        <v>28206</v>
      </c>
      <c r="H4980" t="s">
        <v>28215</v>
      </c>
      <c r="I4980" t="s">
        <v>4200</v>
      </c>
      <c r="J4980" t="s">
        <v>31517</v>
      </c>
      <c r="K4980" t="s">
        <v>36688</v>
      </c>
      <c r="M4980" t="s">
        <v>38824</v>
      </c>
      <c r="N4980" t="s">
        <v>40436</v>
      </c>
      <c r="O4980" t="s">
        <v>40437</v>
      </c>
      <c r="P4980">
        <v>0</v>
      </c>
      <c r="Q4980">
        <v>1</v>
      </c>
      <c r="R4980" t="s">
        <v>40440</v>
      </c>
      <c r="S4980" t="s">
        <v>40603</v>
      </c>
      <c r="T4980" t="s">
        <v>42175</v>
      </c>
      <c r="U4980" t="s">
        <v>46852</v>
      </c>
      <c r="W4980" t="s">
        <v>38824</v>
      </c>
      <c r="X4980" t="s">
        <v>40444</v>
      </c>
    </row>
    <row r="4981" spans="1:24">
      <c r="A4981">
        <f>HYPERLINK("https://www.philgeps.gov.ph/GEPSNONPILOT/Tender/SplashBidNoticeAbstractUI.aspx?menuIndex=3&amp;refID=7042312&amp;Result=3","7042312")</f>
        <v>0</v>
      </c>
      <c r="B4981" t="s">
        <v>766</v>
      </c>
      <c r="C4981" t="s">
        <v>7830</v>
      </c>
      <c r="D4981" t="s">
        <v>16219</v>
      </c>
      <c r="E4981" t="s">
        <v>20707</v>
      </c>
      <c r="F4981" t="s">
        <v>28198</v>
      </c>
      <c r="G4981" t="s">
        <v>28205</v>
      </c>
      <c r="H4981" t="s">
        <v>28215</v>
      </c>
      <c r="I4981" t="s">
        <v>28238</v>
      </c>
      <c r="J4981" t="s">
        <v>31518</v>
      </c>
      <c r="K4981" t="s">
        <v>36701</v>
      </c>
      <c r="M4981" t="s">
        <v>38825</v>
      </c>
      <c r="N4981" t="s">
        <v>40436</v>
      </c>
      <c r="O4981" t="s">
        <v>40437</v>
      </c>
      <c r="P4981">
        <v>0</v>
      </c>
      <c r="Q4981">
        <v>4</v>
      </c>
      <c r="R4981" t="s">
        <v>40440</v>
      </c>
      <c r="S4981" t="s">
        <v>40603</v>
      </c>
      <c r="T4981" t="s">
        <v>42108</v>
      </c>
      <c r="U4981" t="s">
        <v>46853</v>
      </c>
      <c r="W4981" t="s">
        <v>38825</v>
      </c>
      <c r="X4981" t="s">
        <v>40444</v>
      </c>
    </row>
    <row r="4982" spans="1:24">
      <c r="A4982">
        <f>HYPERLINK("https://www.philgeps.gov.ph/GEPSNONPILOT/Tender/SplashBidNoticeAbstractUI.aspx?menuIndex=3&amp;refID=7042339&amp;Result=3","7042339")</f>
        <v>0</v>
      </c>
      <c r="B4982" t="s">
        <v>1715</v>
      </c>
      <c r="C4982" t="s">
        <v>7083</v>
      </c>
      <c r="D4982" t="s">
        <v>16187</v>
      </c>
      <c r="E4982" t="s">
        <v>20028</v>
      </c>
      <c r="F4982" t="s">
        <v>28198</v>
      </c>
      <c r="G4982" t="s">
        <v>28205</v>
      </c>
      <c r="H4982" t="s">
        <v>28215</v>
      </c>
      <c r="I4982" t="s">
        <v>4200</v>
      </c>
      <c r="J4982" t="s">
        <v>28804</v>
      </c>
      <c r="K4982" t="s">
        <v>36689</v>
      </c>
      <c r="M4982" t="s">
        <v>38822</v>
      </c>
      <c r="N4982" t="s">
        <v>40436</v>
      </c>
      <c r="O4982" t="s">
        <v>40437</v>
      </c>
      <c r="P4982">
        <v>0</v>
      </c>
      <c r="Q4982">
        <v>0</v>
      </c>
      <c r="R4982" t="s">
        <v>40440</v>
      </c>
      <c r="S4982" t="s">
        <v>40603</v>
      </c>
      <c r="T4982" t="s">
        <v>42137</v>
      </c>
      <c r="U4982" t="s">
        <v>46854</v>
      </c>
      <c r="W4982" t="s">
        <v>38822</v>
      </c>
      <c r="X4982" t="s">
        <v>40444</v>
      </c>
    </row>
    <row r="4983" spans="1:24">
      <c r="A4983">
        <f>HYPERLINK("https://www.philgeps.gov.ph/GEPSNONPILOT/Tender/SplashBidNoticeAbstractUI.aspx?menuIndex=3&amp;refID=7042485&amp;Result=3","7042485")</f>
        <v>0</v>
      </c>
      <c r="B4983" t="s">
        <v>195</v>
      </c>
      <c r="C4983" t="s">
        <v>7831</v>
      </c>
      <c r="D4983" t="s">
        <v>16200</v>
      </c>
      <c r="E4983" t="s">
        <v>16766</v>
      </c>
      <c r="F4983" t="s">
        <v>28198</v>
      </c>
      <c r="G4983" t="s">
        <v>28205</v>
      </c>
      <c r="H4983" t="s">
        <v>28214</v>
      </c>
      <c r="I4983" t="s">
        <v>28260</v>
      </c>
      <c r="J4983" t="s">
        <v>28390</v>
      </c>
      <c r="K4983" t="s">
        <v>36701</v>
      </c>
      <c r="M4983" t="s">
        <v>37170</v>
      </c>
      <c r="N4983" t="s">
        <v>40436</v>
      </c>
      <c r="O4983" t="s">
        <v>40437</v>
      </c>
      <c r="P4983">
        <v>0</v>
      </c>
      <c r="Q4983">
        <v>0</v>
      </c>
      <c r="R4983" t="s">
        <v>40440</v>
      </c>
      <c r="S4983" t="s">
        <v>40603</v>
      </c>
      <c r="T4983" t="s">
        <v>42248</v>
      </c>
      <c r="U4983" t="s">
        <v>46855</v>
      </c>
      <c r="W4983" t="s">
        <v>37170</v>
      </c>
      <c r="X4983" t="s">
        <v>40444</v>
      </c>
    </row>
    <row r="4984" spans="1:24">
      <c r="A4984">
        <f>HYPERLINK("https://www.philgeps.gov.ph/GEPSNONPILOT/Tender/SplashBidNoticeAbstractUI.aspx?menuIndex=3&amp;refID=7042539&amp;Result=3","7042539")</f>
        <v>0</v>
      </c>
      <c r="B4984" t="s">
        <v>1713</v>
      </c>
      <c r="C4984" t="s">
        <v>7832</v>
      </c>
      <c r="D4984" t="s">
        <v>16252</v>
      </c>
      <c r="E4984" t="s">
        <v>20708</v>
      </c>
      <c r="F4984" t="s">
        <v>28198</v>
      </c>
      <c r="G4984" t="s">
        <v>28205</v>
      </c>
      <c r="H4984" t="s">
        <v>28215</v>
      </c>
      <c r="I4984" t="s">
        <v>4168</v>
      </c>
      <c r="J4984" t="s">
        <v>28804</v>
      </c>
      <c r="K4984" t="s">
        <v>36701</v>
      </c>
      <c r="M4984" t="s">
        <v>38819</v>
      </c>
      <c r="N4984" t="s">
        <v>40436</v>
      </c>
      <c r="O4984" t="s">
        <v>40437</v>
      </c>
      <c r="P4984">
        <v>0</v>
      </c>
      <c r="Q4984">
        <v>1</v>
      </c>
      <c r="R4984" t="s">
        <v>40440</v>
      </c>
      <c r="S4984" t="s">
        <v>40603</v>
      </c>
      <c r="T4984" t="s">
        <v>42119</v>
      </c>
      <c r="U4984" t="s">
        <v>46856</v>
      </c>
      <c r="W4984" t="s">
        <v>38819</v>
      </c>
      <c r="X4984" t="s">
        <v>40444</v>
      </c>
    </row>
    <row r="4985" spans="1:24">
      <c r="A4985">
        <f>HYPERLINK("https://www.philgeps.gov.ph/GEPSNONPILOT/Tender/SplashBidNoticeAbstractUI.aspx?menuIndex=3&amp;refID=7042471&amp;Result=3","7042471")</f>
        <v>0</v>
      </c>
      <c r="B4985" t="s">
        <v>1713</v>
      </c>
      <c r="C4985" t="s">
        <v>7833</v>
      </c>
      <c r="D4985" t="s">
        <v>16252</v>
      </c>
      <c r="E4985" t="s">
        <v>20709</v>
      </c>
      <c r="F4985" t="s">
        <v>28198</v>
      </c>
      <c r="G4985" t="s">
        <v>28205</v>
      </c>
      <c r="H4985" t="s">
        <v>28215</v>
      </c>
      <c r="I4985" t="s">
        <v>5791</v>
      </c>
      <c r="J4985" t="s">
        <v>31519</v>
      </c>
      <c r="K4985" t="s">
        <v>36707</v>
      </c>
      <c r="M4985" t="s">
        <v>38819</v>
      </c>
      <c r="N4985" t="s">
        <v>40436</v>
      </c>
      <c r="O4985" t="s">
        <v>40437</v>
      </c>
      <c r="P4985">
        <v>0</v>
      </c>
      <c r="Q4985">
        <v>1</v>
      </c>
      <c r="R4985" t="s">
        <v>40440</v>
      </c>
      <c r="S4985" t="s">
        <v>40603</v>
      </c>
      <c r="T4985" t="s">
        <v>42119</v>
      </c>
      <c r="U4985" t="s">
        <v>46857</v>
      </c>
      <c r="W4985" t="s">
        <v>38819</v>
      </c>
      <c r="X4985" t="s">
        <v>40444</v>
      </c>
    </row>
    <row r="4986" spans="1:24">
      <c r="A4986">
        <f>HYPERLINK("https://www.philgeps.gov.ph/GEPSNONPILOT/Tender/SplashBidNoticeAbstractUI.aspx?menuIndex=3&amp;refID=7042534&amp;Result=3","7042534")</f>
        <v>0</v>
      </c>
      <c r="B4986" t="s">
        <v>1713</v>
      </c>
      <c r="C4986" t="s">
        <v>7834</v>
      </c>
      <c r="D4986" t="s">
        <v>16252</v>
      </c>
      <c r="E4986" t="s">
        <v>20710</v>
      </c>
      <c r="F4986" t="s">
        <v>28198</v>
      </c>
      <c r="G4986" t="s">
        <v>28205</v>
      </c>
      <c r="H4986" t="s">
        <v>28215</v>
      </c>
      <c r="I4986" t="s">
        <v>4168</v>
      </c>
      <c r="J4986" t="s">
        <v>28406</v>
      </c>
      <c r="K4986" t="s">
        <v>36701</v>
      </c>
      <c r="M4986" t="s">
        <v>38819</v>
      </c>
      <c r="N4986" t="s">
        <v>40436</v>
      </c>
      <c r="O4986" t="s">
        <v>40437</v>
      </c>
      <c r="P4986">
        <v>0</v>
      </c>
      <c r="Q4986">
        <v>7</v>
      </c>
      <c r="R4986" t="s">
        <v>40440</v>
      </c>
      <c r="S4986" t="s">
        <v>40603</v>
      </c>
      <c r="T4986" t="s">
        <v>42119</v>
      </c>
      <c r="U4986" t="s">
        <v>46858</v>
      </c>
      <c r="W4986" t="s">
        <v>38819</v>
      </c>
      <c r="X4986" t="s">
        <v>40444</v>
      </c>
    </row>
    <row r="4987" spans="1:24">
      <c r="A4987">
        <f>HYPERLINK("https://www.philgeps.gov.ph/GEPSNONPILOT/Tender/SplashBidNoticeAbstractUI.aspx?menuIndex=3&amp;refID=7042478&amp;Result=3","7042478")</f>
        <v>0</v>
      </c>
      <c r="B4987" t="s">
        <v>1713</v>
      </c>
      <c r="C4987" t="s">
        <v>7835</v>
      </c>
      <c r="D4987" t="s">
        <v>16252</v>
      </c>
      <c r="E4987" t="s">
        <v>20711</v>
      </c>
      <c r="F4987" t="s">
        <v>28198</v>
      </c>
      <c r="G4987" t="s">
        <v>28205</v>
      </c>
      <c r="H4987" t="s">
        <v>28215</v>
      </c>
      <c r="I4987" t="s">
        <v>4200</v>
      </c>
      <c r="J4987" t="s">
        <v>31520</v>
      </c>
      <c r="K4987" t="s">
        <v>36707</v>
      </c>
      <c r="M4987" t="s">
        <v>38819</v>
      </c>
      <c r="N4987" t="s">
        <v>40436</v>
      </c>
      <c r="O4987" t="s">
        <v>40437</v>
      </c>
      <c r="P4987">
        <v>0</v>
      </c>
      <c r="Q4987">
        <v>0</v>
      </c>
      <c r="R4987" t="s">
        <v>40440</v>
      </c>
      <c r="S4987" t="s">
        <v>40603</v>
      </c>
      <c r="T4987" t="s">
        <v>42119</v>
      </c>
      <c r="U4987" t="s">
        <v>46859</v>
      </c>
      <c r="W4987" t="s">
        <v>38819</v>
      </c>
      <c r="X4987" t="s">
        <v>40444</v>
      </c>
    </row>
    <row r="4988" spans="1:24">
      <c r="A4988">
        <f>HYPERLINK("https://www.philgeps.gov.ph/GEPSNONPILOT/Tender/SplashBidNoticeAbstractUI.aspx?menuIndex=3&amp;refID=7042531&amp;Result=3","7042531")</f>
        <v>0</v>
      </c>
      <c r="B4988" t="s">
        <v>1710</v>
      </c>
      <c r="C4988" t="s">
        <v>7836</v>
      </c>
      <c r="D4988" t="s">
        <v>16210</v>
      </c>
      <c r="E4988" t="s">
        <v>20712</v>
      </c>
      <c r="F4988" t="s">
        <v>28198</v>
      </c>
      <c r="G4988" t="s">
        <v>28205</v>
      </c>
      <c r="H4988" t="s">
        <v>28215</v>
      </c>
      <c r="I4988" t="s">
        <v>5100</v>
      </c>
      <c r="J4988" t="s">
        <v>28347</v>
      </c>
      <c r="K4988" t="s">
        <v>36701</v>
      </c>
      <c r="M4988" t="s">
        <v>38815</v>
      </c>
      <c r="N4988" t="s">
        <v>40436</v>
      </c>
      <c r="O4988" t="s">
        <v>40437</v>
      </c>
      <c r="P4988">
        <v>0</v>
      </c>
      <c r="Q4988">
        <v>4</v>
      </c>
      <c r="R4988" t="s">
        <v>40440</v>
      </c>
      <c r="S4988" t="s">
        <v>40603</v>
      </c>
      <c r="T4988" t="s">
        <v>42106</v>
      </c>
      <c r="U4988" t="s">
        <v>46860</v>
      </c>
      <c r="W4988" t="s">
        <v>38815</v>
      </c>
      <c r="X4988" t="s">
        <v>40444</v>
      </c>
    </row>
    <row r="4989" spans="1:24">
      <c r="A4989">
        <f>HYPERLINK("https://www.philgeps.gov.ph/GEPSNONPILOT/Tender/SplashBidNoticeAbstractUI.aspx?menuIndex=3&amp;refID=7042509&amp;Result=3","7042509")</f>
        <v>0</v>
      </c>
      <c r="B4989" t="s">
        <v>1713</v>
      </c>
      <c r="C4989" t="s">
        <v>7837</v>
      </c>
      <c r="D4989" t="s">
        <v>16252</v>
      </c>
      <c r="E4989" t="s">
        <v>20713</v>
      </c>
      <c r="F4989" t="s">
        <v>28198</v>
      </c>
      <c r="G4989" t="s">
        <v>28205</v>
      </c>
      <c r="H4989" t="s">
        <v>28215</v>
      </c>
      <c r="I4989" t="s">
        <v>28238</v>
      </c>
      <c r="J4989" t="s">
        <v>29600</v>
      </c>
      <c r="K4989" t="s">
        <v>36701</v>
      </c>
      <c r="M4989" t="s">
        <v>38819</v>
      </c>
      <c r="N4989" t="s">
        <v>40436</v>
      </c>
      <c r="O4989" t="s">
        <v>40437</v>
      </c>
      <c r="P4989">
        <v>0</v>
      </c>
      <c r="Q4989">
        <v>5</v>
      </c>
      <c r="R4989" t="s">
        <v>40440</v>
      </c>
      <c r="S4989" t="s">
        <v>40603</v>
      </c>
      <c r="T4989" t="s">
        <v>42119</v>
      </c>
      <c r="U4989" t="s">
        <v>46861</v>
      </c>
      <c r="W4989" t="s">
        <v>38819</v>
      </c>
      <c r="X4989" t="s">
        <v>40444</v>
      </c>
    </row>
    <row r="4990" spans="1:24">
      <c r="A4990">
        <f>HYPERLINK("https://www.philgeps.gov.ph/GEPSNONPILOT/Tender/SplashBidNoticeAbstractUI.aspx?menuIndex=3&amp;refID=7042470&amp;Result=3","7042470")</f>
        <v>0</v>
      </c>
      <c r="B4990" t="s">
        <v>195</v>
      </c>
      <c r="C4990" t="s">
        <v>7838</v>
      </c>
      <c r="D4990" t="s">
        <v>16200</v>
      </c>
      <c r="E4990" t="s">
        <v>16473</v>
      </c>
      <c r="F4990" t="s">
        <v>28198</v>
      </c>
      <c r="G4990" t="s">
        <v>28205</v>
      </c>
      <c r="H4990" t="s">
        <v>28214</v>
      </c>
      <c r="I4990" t="s">
        <v>28260</v>
      </c>
      <c r="J4990" t="s">
        <v>28363</v>
      </c>
      <c r="K4990" t="s">
        <v>36701</v>
      </c>
      <c r="M4990" t="s">
        <v>37170</v>
      </c>
      <c r="N4990" t="s">
        <v>40436</v>
      </c>
      <c r="O4990" t="s">
        <v>40437</v>
      </c>
      <c r="P4990">
        <v>0</v>
      </c>
      <c r="Q4990">
        <v>1</v>
      </c>
      <c r="R4990" t="s">
        <v>40440</v>
      </c>
      <c r="S4990" t="s">
        <v>40603</v>
      </c>
      <c r="T4990" t="s">
        <v>42129</v>
      </c>
      <c r="U4990" t="s">
        <v>46855</v>
      </c>
      <c r="W4990" t="s">
        <v>37170</v>
      </c>
      <c r="X4990" t="s">
        <v>40444</v>
      </c>
    </row>
    <row r="4991" spans="1:24">
      <c r="A4991">
        <f>HYPERLINK("https://www.philgeps.gov.ph/GEPSNONPILOT/Tender/SplashBidNoticeAbstractUI.aspx?menuIndex=3&amp;refID=7042535&amp;Result=3","7042535")</f>
        <v>0</v>
      </c>
      <c r="B4991" t="s">
        <v>501</v>
      </c>
      <c r="C4991" t="s">
        <v>7839</v>
      </c>
      <c r="D4991" t="s">
        <v>16210</v>
      </c>
      <c r="E4991" t="s">
        <v>20714</v>
      </c>
      <c r="F4991" t="s">
        <v>28198</v>
      </c>
      <c r="G4991" t="s">
        <v>28207</v>
      </c>
      <c r="H4991" t="s">
        <v>28215</v>
      </c>
      <c r="I4991" t="s">
        <v>4200</v>
      </c>
      <c r="J4991" t="s">
        <v>31521</v>
      </c>
      <c r="K4991" t="s">
        <v>36689</v>
      </c>
      <c r="M4991" t="s">
        <v>38072</v>
      </c>
      <c r="N4991" t="s">
        <v>40436</v>
      </c>
      <c r="O4991" t="s">
        <v>40437</v>
      </c>
      <c r="P4991">
        <v>0</v>
      </c>
      <c r="Q4991">
        <v>0</v>
      </c>
      <c r="R4991" t="s">
        <v>40440</v>
      </c>
      <c r="S4991" t="s">
        <v>40603</v>
      </c>
      <c r="T4991" t="s">
        <v>42233</v>
      </c>
      <c r="U4991" t="s">
        <v>43664</v>
      </c>
      <c r="W4991" t="s">
        <v>38072</v>
      </c>
      <c r="X4991" t="s">
        <v>40444</v>
      </c>
    </row>
    <row r="4992" spans="1:24">
      <c r="A4992">
        <f>HYPERLINK("https://www.philgeps.gov.ph/GEPSNONPILOT/Tender/SplashBidNoticeAbstractUI.aspx?menuIndex=3&amp;refID=7042481&amp;Result=3","7042481")</f>
        <v>0</v>
      </c>
      <c r="B4992" t="s">
        <v>1369</v>
      </c>
      <c r="C4992" t="s">
        <v>7840</v>
      </c>
      <c r="D4992" t="s">
        <v>16203</v>
      </c>
      <c r="E4992" t="s">
        <v>20715</v>
      </c>
      <c r="F4992" t="s">
        <v>28198</v>
      </c>
      <c r="G4992" t="s">
        <v>28205</v>
      </c>
      <c r="H4992" t="s">
        <v>28214</v>
      </c>
      <c r="I4992" t="s">
        <v>3797</v>
      </c>
      <c r="J4992" t="s">
        <v>28395</v>
      </c>
      <c r="K4992" t="s">
        <v>36701</v>
      </c>
      <c r="M4992" t="s">
        <v>38430</v>
      </c>
      <c r="N4992" t="s">
        <v>40436</v>
      </c>
      <c r="O4992" t="s">
        <v>40437</v>
      </c>
      <c r="P4992">
        <v>0</v>
      </c>
      <c r="Q4992">
        <v>0</v>
      </c>
      <c r="R4992" t="s">
        <v>40440</v>
      </c>
      <c r="S4992" t="s">
        <v>40603</v>
      </c>
      <c r="T4992" t="s">
        <v>42103</v>
      </c>
      <c r="U4992" t="s">
        <v>46862</v>
      </c>
      <c r="W4992" t="s">
        <v>38430</v>
      </c>
      <c r="X4992" t="s">
        <v>40444</v>
      </c>
    </row>
    <row r="4993" spans="1:24">
      <c r="A4993">
        <f>HYPERLINK("https://www.philgeps.gov.ph/GEPSNONPILOT/Tender/SplashBidNoticeAbstractUI.aspx?menuIndex=3&amp;refID=7042495&amp;Result=3","7042495")</f>
        <v>0</v>
      </c>
      <c r="B4993" t="s">
        <v>1713</v>
      </c>
      <c r="C4993" t="s">
        <v>7841</v>
      </c>
      <c r="D4993" t="s">
        <v>16252</v>
      </c>
      <c r="E4993" t="s">
        <v>20716</v>
      </c>
      <c r="F4993" t="s">
        <v>28198</v>
      </c>
      <c r="G4993" t="s">
        <v>28205</v>
      </c>
      <c r="H4993" t="s">
        <v>28215</v>
      </c>
      <c r="I4993" t="s">
        <v>28222</v>
      </c>
      <c r="J4993" t="s">
        <v>28530</v>
      </c>
      <c r="K4993" t="s">
        <v>36701</v>
      </c>
      <c r="M4993" t="s">
        <v>38819</v>
      </c>
      <c r="N4993" t="s">
        <v>40436</v>
      </c>
      <c r="O4993" t="s">
        <v>40437</v>
      </c>
      <c r="P4993">
        <v>0</v>
      </c>
      <c r="Q4993">
        <v>1</v>
      </c>
      <c r="R4993" t="s">
        <v>40440</v>
      </c>
      <c r="S4993" t="s">
        <v>40603</v>
      </c>
      <c r="T4993" t="s">
        <v>42119</v>
      </c>
      <c r="U4993" t="s">
        <v>46863</v>
      </c>
      <c r="W4993" t="s">
        <v>38819</v>
      </c>
      <c r="X4993" t="s">
        <v>40444</v>
      </c>
    </row>
    <row r="4994" spans="1:24">
      <c r="A4994">
        <f>HYPERLINK("https://www.philgeps.gov.ph/GEPSNONPILOT/Tender/SplashBidNoticeAbstractUI.aspx?menuIndex=3&amp;refID=7042562&amp;Result=3","7042562")</f>
        <v>0</v>
      </c>
      <c r="B4994" t="s">
        <v>1713</v>
      </c>
      <c r="C4994" t="s">
        <v>7842</v>
      </c>
      <c r="D4994" t="s">
        <v>16252</v>
      </c>
      <c r="E4994" t="s">
        <v>20717</v>
      </c>
      <c r="F4994" t="s">
        <v>28198</v>
      </c>
      <c r="G4994" t="s">
        <v>28205</v>
      </c>
      <c r="H4994" t="s">
        <v>28215</v>
      </c>
      <c r="I4994" t="s">
        <v>3774</v>
      </c>
      <c r="J4994" t="s">
        <v>31522</v>
      </c>
      <c r="K4994" t="s">
        <v>36687</v>
      </c>
      <c r="M4994" t="s">
        <v>38819</v>
      </c>
      <c r="N4994" t="s">
        <v>40436</v>
      </c>
      <c r="O4994" t="s">
        <v>40437</v>
      </c>
      <c r="P4994">
        <v>0</v>
      </c>
      <c r="Q4994">
        <v>2</v>
      </c>
      <c r="R4994" t="s">
        <v>40440</v>
      </c>
      <c r="S4994" t="s">
        <v>40603</v>
      </c>
      <c r="T4994" t="s">
        <v>42119</v>
      </c>
      <c r="U4994" t="s">
        <v>46864</v>
      </c>
      <c r="W4994" t="s">
        <v>38819</v>
      </c>
      <c r="X4994" t="s">
        <v>40444</v>
      </c>
    </row>
    <row r="4995" spans="1:24">
      <c r="A4995">
        <f>HYPERLINK("https://www.philgeps.gov.ph/GEPSNONPILOT/Tender/SplashBidNoticeAbstractUI.aspx?menuIndex=3&amp;refID=7042556&amp;Result=3","7042556")</f>
        <v>0</v>
      </c>
      <c r="B4995" t="s">
        <v>1718</v>
      </c>
      <c r="C4995" t="s">
        <v>7843</v>
      </c>
      <c r="D4995" t="s">
        <v>16187</v>
      </c>
      <c r="E4995" t="s">
        <v>20718</v>
      </c>
      <c r="F4995" t="s">
        <v>28198</v>
      </c>
      <c r="G4995" t="s">
        <v>28205</v>
      </c>
      <c r="H4995" t="s">
        <v>28215</v>
      </c>
      <c r="I4995" t="s">
        <v>4200</v>
      </c>
      <c r="J4995" t="s">
        <v>29792</v>
      </c>
      <c r="K4995" t="s">
        <v>36689</v>
      </c>
      <c r="M4995" t="s">
        <v>38826</v>
      </c>
      <c r="N4995" t="s">
        <v>40436</v>
      </c>
      <c r="O4995" t="s">
        <v>40437</v>
      </c>
      <c r="P4995">
        <v>0</v>
      </c>
      <c r="Q4995">
        <v>1</v>
      </c>
      <c r="R4995" t="s">
        <v>40440</v>
      </c>
      <c r="S4995" t="s">
        <v>40603</v>
      </c>
      <c r="T4995" t="s">
        <v>42144</v>
      </c>
      <c r="U4995" t="s">
        <v>46865</v>
      </c>
      <c r="W4995" t="s">
        <v>38826</v>
      </c>
      <c r="X4995" t="s">
        <v>40444</v>
      </c>
    </row>
    <row r="4996" spans="1:24">
      <c r="A4996">
        <f>HYPERLINK("https://www.philgeps.gov.ph/GEPSNONPILOT/Tender/SplashBidNoticeAbstractUI.aspx?menuIndex=3&amp;refID=7042513&amp;Result=3","7042513")</f>
        <v>0</v>
      </c>
      <c r="B4996" t="s">
        <v>1719</v>
      </c>
      <c r="C4996" t="s">
        <v>7844</v>
      </c>
      <c r="D4996" t="s">
        <v>16210</v>
      </c>
      <c r="E4996" t="s">
        <v>20719</v>
      </c>
      <c r="F4996" t="s">
        <v>28198</v>
      </c>
      <c r="G4996" t="s">
        <v>28205</v>
      </c>
      <c r="H4996" t="s">
        <v>28215</v>
      </c>
      <c r="I4996" t="s">
        <v>5082</v>
      </c>
      <c r="J4996" t="s">
        <v>31523</v>
      </c>
      <c r="K4996" t="s">
        <v>36723</v>
      </c>
      <c r="M4996" t="s">
        <v>38827</v>
      </c>
      <c r="N4996" t="s">
        <v>40436</v>
      </c>
      <c r="O4996" t="s">
        <v>40437</v>
      </c>
      <c r="P4996">
        <v>0</v>
      </c>
      <c r="Q4996">
        <v>6</v>
      </c>
      <c r="R4996" t="s">
        <v>40440</v>
      </c>
      <c r="S4996" t="s">
        <v>40603</v>
      </c>
      <c r="T4996" t="s">
        <v>42370</v>
      </c>
      <c r="U4996" t="s">
        <v>46866</v>
      </c>
      <c r="W4996" t="s">
        <v>38827</v>
      </c>
      <c r="X4996" t="s">
        <v>40444</v>
      </c>
    </row>
    <row r="4997" spans="1:24">
      <c r="A4997">
        <f>HYPERLINK("https://www.philgeps.gov.ph/GEPSNONPILOT/Tender/SplashBidNoticeAbstractUI.aspx?menuIndex=3&amp;refID=7042521&amp;Result=3","7042521")</f>
        <v>0</v>
      </c>
      <c r="B4997" t="s">
        <v>1720</v>
      </c>
      <c r="C4997" t="s">
        <v>7845</v>
      </c>
      <c r="D4997" t="s">
        <v>16226</v>
      </c>
      <c r="E4997" t="s">
        <v>20720</v>
      </c>
      <c r="F4997" t="s">
        <v>28200</v>
      </c>
      <c r="G4997" t="s">
        <v>28205</v>
      </c>
      <c r="H4997" t="s">
        <v>28214</v>
      </c>
      <c r="I4997" t="s">
        <v>3797</v>
      </c>
      <c r="J4997" t="s">
        <v>28345</v>
      </c>
      <c r="K4997" t="s">
        <v>36706</v>
      </c>
      <c r="M4997" t="s">
        <v>38828</v>
      </c>
      <c r="N4997" t="s">
        <v>40436</v>
      </c>
      <c r="O4997" t="s">
        <v>40437</v>
      </c>
      <c r="P4997">
        <v>0</v>
      </c>
      <c r="Q4997">
        <v>1</v>
      </c>
      <c r="R4997" t="s">
        <v>40440</v>
      </c>
      <c r="S4997" t="s">
        <v>40603</v>
      </c>
      <c r="T4997" t="s">
        <v>42306</v>
      </c>
      <c r="U4997" t="s">
        <v>46867</v>
      </c>
      <c r="V4997" t="s">
        <v>54279</v>
      </c>
      <c r="W4997" t="s">
        <v>38828</v>
      </c>
      <c r="X4997" t="s">
        <v>40444</v>
      </c>
    </row>
    <row r="4998" spans="1:24">
      <c r="A4998">
        <f>HYPERLINK("https://www.philgeps.gov.ph/GEPSNONPILOT/Tender/SplashBidNoticeAbstractUI.aspx?menuIndex=3&amp;refID=7042549&amp;Result=3","7042549")</f>
        <v>0</v>
      </c>
      <c r="B4998" t="s">
        <v>1718</v>
      </c>
      <c r="C4998" t="s">
        <v>7846</v>
      </c>
      <c r="D4998" t="s">
        <v>16187</v>
      </c>
      <c r="E4998" t="s">
        <v>20721</v>
      </c>
      <c r="F4998" t="s">
        <v>28198</v>
      </c>
      <c r="G4998" t="s">
        <v>28205</v>
      </c>
      <c r="H4998" t="s">
        <v>28215</v>
      </c>
      <c r="I4998" t="s">
        <v>4200</v>
      </c>
      <c r="J4998" t="s">
        <v>28559</v>
      </c>
      <c r="K4998" t="s">
        <v>36689</v>
      </c>
      <c r="M4998" t="s">
        <v>38826</v>
      </c>
      <c r="N4998" t="s">
        <v>40436</v>
      </c>
      <c r="O4998" t="s">
        <v>40437</v>
      </c>
      <c r="P4998">
        <v>0</v>
      </c>
      <c r="Q4998">
        <v>0</v>
      </c>
      <c r="R4998" t="s">
        <v>40440</v>
      </c>
      <c r="S4998" t="s">
        <v>40603</v>
      </c>
      <c r="T4998" t="s">
        <v>42144</v>
      </c>
      <c r="U4998" t="s">
        <v>46868</v>
      </c>
      <c r="W4998" t="s">
        <v>38826</v>
      </c>
      <c r="X4998" t="s">
        <v>40444</v>
      </c>
    </row>
    <row r="4999" spans="1:24">
      <c r="A4999">
        <f>HYPERLINK("https://www.philgeps.gov.ph/GEPSNONPILOT/Tender/SplashBidNoticeAbstractUI.aspx?menuIndex=3&amp;refID=7042541&amp;Result=3","7042541")</f>
        <v>0</v>
      </c>
      <c r="B4999" t="s">
        <v>595</v>
      </c>
      <c r="C4999" t="s">
        <v>4253</v>
      </c>
      <c r="D4999" t="s">
        <v>16255</v>
      </c>
      <c r="E4999" t="s">
        <v>20722</v>
      </c>
      <c r="F4999" t="s">
        <v>28198</v>
      </c>
      <c r="G4999" t="s">
        <v>28207</v>
      </c>
      <c r="H4999" t="s">
        <v>28215</v>
      </c>
      <c r="I4999" t="s">
        <v>4200</v>
      </c>
      <c r="J4999" t="s">
        <v>28694</v>
      </c>
      <c r="K4999" t="s">
        <v>36707</v>
      </c>
      <c r="M4999" t="s">
        <v>37584</v>
      </c>
      <c r="N4999" t="s">
        <v>40436</v>
      </c>
      <c r="O4999" t="s">
        <v>40437</v>
      </c>
      <c r="P4999">
        <v>0</v>
      </c>
      <c r="Q4999">
        <v>2</v>
      </c>
      <c r="R4999" t="s">
        <v>40440</v>
      </c>
      <c r="S4999" t="s">
        <v>40603</v>
      </c>
      <c r="T4999" t="s">
        <v>42159</v>
      </c>
      <c r="U4999" t="s">
        <v>46869</v>
      </c>
      <c r="W4999" t="s">
        <v>37584</v>
      </c>
      <c r="X4999" t="s">
        <v>40444</v>
      </c>
    </row>
    <row r="5000" spans="1:24">
      <c r="A5000">
        <f>HYPERLINK("https://www.philgeps.gov.ph/GEPSNONPILOT/Tender/SplashBidNoticeAbstractUI.aspx?menuIndex=3&amp;refID=7042568&amp;Result=3","7042568")</f>
        <v>0</v>
      </c>
      <c r="B5000" t="s">
        <v>501</v>
      </c>
      <c r="C5000" t="s">
        <v>7847</v>
      </c>
      <c r="D5000" t="s">
        <v>16210</v>
      </c>
      <c r="E5000" t="s">
        <v>20723</v>
      </c>
      <c r="F5000" t="s">
        <v>28198</v>
      </c>
      <c r="G5000" t="s">
        <v>28207</v>
      </c>
      <c r="H5000" t="s">
        <v>28215</v>
      </c>
      <c r="I5000" t="s">
        <v>28258</v>
      </c>
      <c r="J5000" t="s">
        <v>28922</v>
      </c>
      <c r="K5000" t="s">
        <v>36689</v>
      </c>
      <c r="M5000" t="s">
        <v>38072</v>
      </c>
      <c r="N5000" t="s">
        <v>40436</v>
      </c>
      <c r="O5000" t="s">
        <v>40437</v>
      </c>
      <c r="P5000">
        <v>0</v>
      </c>
      <c r="Q5000">
        <v>11</v>
      </c>
      <c r="R5000" t="s">
        <v>40440</v>
      </c>
      <c r="S5000" t="s">
        <v>40603</v>
      </c>
      <c r="T5000" t="s">
        <v>42233</v>
      </c>
      <c r="U5000" t="s">
        <v>46870</v>
      </c>
      <c r="W5000" t="s">
        <v>38072</v>
      </c>
      <c r="X5000" t="s">
        <v>40444</v>
      </c>
    </row>
    <row r="5001" spans="1:24">
      <c r="A5001">
        <f>HYPERLINK("https://www.philgeps.gov.ph/GEPSNONPILOT/Tender/SplashBidNoticeAbstractUI.aspx?menuIndex=3&amp;refID=7042540&amp;Result=3","7042540")</f>
        <v>0</v>
      </c>
      <c r="B5001" t="s">
        <v>1718</v>
      </c>
      <c r="C5001" t="s">
        <v>7827</v>
      </c>
      <c r="D5001" t="s">
        <v>16187</v>
      </c>
      <c r="E5001" t="s">
        <v>20724</v>
      </c>
      <c r="F5001" t="s">
        <v>28198</v>
      </c>
      <c r="G5001" t="s">
        <v>28205</v>
      </c>
      <c r="H5001" t="s">
        <v>28215</v>
      </c>
      <c r="I5001" t="s">
        <v>4200</v>
      </c>
      <c r="J5001" t="s">
        <v>28345</v>
      </c>
      <c r="K5001" t="s">
        <v>36689</v>
      </c>
      <c r="M5001" t="s">
        <v>38826</v>
      </c>
      <c r="N5001" t="s">
        <v>40436</v>
      </c>
      <c r="O5001" t="s">
        <v>40437</v>
      </c>
      <c r="P5001">
        <v>0</v>
      </c>
      <c r="Q5001">
        <v>0</v>
      </c>
      <c r="R5001" t="s">
        <v>40440</v>
      </c>
      <c r="S5001" t="s">
        <v>40603</v>
      </c>
      <c r="T5001" t="s">
        <v>42144</v>
      </c>
      <c r="U5001" t="s">
        <v>46871</v>
      </c>
      <c r="W5001" t="s">
        <v>38826</v>
      </c>
      <c r="X5001" t="s">
        <v>40444</v>
      </c>
    </row>
    <row r="5002" spans="1:24">
      <c r="A5002">
        <f>HYPERLINK("https://www.philgeps.gov.ph/GEPSNONPILOT/Tender/SplashBidNoticeAbstractUI.aspx?menuIndex=3&amp;refID=7042596&amp;Result=3","7042596")</f>
        <v>0</v>
      </c>
      <c r="B5002" t="s">
        <v>1713</v>
      </c>
      <c r="C5002" t="s">
        <v>7848</v>
      </c>
      <c r="D5002" t="s">
        <v>16252</v>
      </c>
      <c r="E5002" t="s">
        <v>20725</v>
      </c>
      <c r="F5002" t="s">
        <v>28198</v>
      </c>
      <c r="G5002" t="s">
        <v>28205</v>
      </c>
      <c r="H5002" t="s">
        <v>28215</v>
      </c>
      <c r="I5002" t="s">
        <v>28224</v>
      </c>
      <c r="J5002" t="s">
        <v>31524</v>
      </c>
      <c r="K5002" t="s">
        <v>36707</v>
      </c>
      <c r="M5002" t="s">
        <v>38819</v>
      </c>
      <c r="N5002" t="s">
        <v>40436</v>
      </c>
      <c r="O5002" t="s">
        <v>40437</v>
      </c>
      <c r="P5002">
        <v>0</v>
      </c>
      <c r="Q5002">
        <v>0</v>
      </c>
      <c r="R5002" t="s">
        <v>40440</v>
      </c>
      <c r="S5002" t="s">
        <v>40603</v>
      </c>
      <c r="T5002" t="s">
        <v>42119</v>
      </c>
      <c r="U5002" t="s">
        <v>46872</v>
      </c>
      <c r="W5002" t="s">
        <v>38819</v>
      </c>
      <c r="X5002" t="s">
        <v>40444</v>
      </c>
    </row>
    <row r="5003" spans="1:24">
      <c r="A5003">
        <f>HYPERLINK("https://www.philgeps.gov.ph/GEPSNONPILOT/Tender/SplashBidNoticeAbstractUI.aspx?menuIndex=3&amp;refID=7042467&amp;Result=3","7042467")</f>
        <v>0</v>
      </c>
      <c r="B5003" t="s">
        <v>1709</v>
      </c>
      <c r="C5003" t="s">
        <v>7849</v>
      </c>
      <c r="D5003" t="s">
        <v>16268</v>
      </c>
      <c r="E5003" t="s">
        <v>20726</v>
      </c>
      <c r="F5003" t="s">
        <v>28198</v>
      </c>
      <c r="G5003" t="s">
        <v>28207</v>
      </c>
      <c r="H5003" t="s">
        <v>28215</v>
      </c>
      <c r="I5003" t="s">
        <v>28274</v>
      </c>
      <c r="J5003" t="s">
        <v>28967</v>
      </c>
      <c r="K5003" t="s">
        <v>36701</v>
      </c>
      <c r="M5003" t="s">
        <v>38814</v>
      </c>
      <c r="N5003" t="s">
        <v>40436</v>
      </c>
      <c r="O5003" t="s">
        <v>40437</v>
      </c>
      <c r="P5003">
        <v>0</v>
      </c>
      <c r="Q5003">
        <v>2</v>
      </c>
      <c r="R5003" t="s">
        <v>40440</v>
      </c>
      <c r="S5003" t="s">
        <v>40603</v>
      </c>
      <c r="T5003" t="s">
        <v>42152</v>
      </c>
      <c r="U5003" t="s">
        <v>46873</v>
      </c>
      <c r="V5003" t="s">
        <v>54280</v>
      </c>
      <c r="W5003" t="s">
        <v>38814</v>
      </c>
      <c r="X5003" t="s">
        <v>40444</v>
      </c>
    </row>
    <row r="5004" spans="1:24">
      <c r="A5004">
        <f>HYPERLINK("https://www.philgeps.gov.ph/GEPSNONPILOT/Tender/SplashBidNoticeAbstractUI.aspx?menuIndex=3&amp;refID=7042576&amp;Result=3","7042576")</f>
        <v>0</v>
      </c>
      <c r="B5004" t="s">
        <v>320</v>
      </c>
      <c r="C5004" t="s">
        <v>7850</v>
      </c>
      <c r="D5004" t="s">
        <v>16199</v>
      </c>
      <c r="E5004" t="s">
        <v>17020</v>
      </c>
      <c r="F5004" t="s">
        <v>28198</v>
      </c>
      <c r="G5004" t="s">
        <v>28206</v>
      </c>
      <c r="H5004" t="s">
        <v>28215</v>
      </c>
      <c r="I5004" t="s">
        <v>5082</v>
      </c>
      <c r="J5004" t="s">
        <v>31525</v>
      </c>
      <c r="K5004" t="s">
        <v>36689</v>
      </c>
      <c r="M5004" t="s">
        <v>37298</v>
      </c>
      <c r="N5004" t="s">
        <v>40436</v>
      </c>
      <c r="O5004" t="s">
        <v>40437</v>
      </c>
      <c r="P5004">
        <v>0</v>
      </c>
      <c r="Q5004">
        <v>0</v>
      </c>
      <c r="R5004" t="s">
        <v>40440</v>
      </c>
      <c r="S5004" t="s">
        <v>40603</v>
      </c>
      <c r="T5004" t="s">
        <v>42233</v>
      </c>
      <c r="U5004" t="s">
        <v>46874</v>
      </c>
      <c r="W5004" t="s">
        <v>37298</v>
      </c>
      <c r="X5004" t="s">
        <v>40444</v>
      </c>
    </row>
    <row r="5005" spans="1:24">
      <c r="A5005">
        <f>HYPERLINK("https://www.philgeps.gov.ph/GEPSNONPILOT/Tender/SplashBidNoticeAbstractUI.aspx?menuIndex=3&amp;refID=7042571&amp;Result=3","7042571")</f>
        <v>0</v>
      </c>
      <c r="B5005" t="s">
        <v>1721</v>
      </c>
      <c r="C5005" t="s">
        <v>7851</v>
      </c>
      <c r="D5005" t="s">
        <v>16196</v>
      </c>
      <c r="E5005" t="s">
        <v>20727</v>
      </c>
      <c r="F5005" t="s">
        <v>28198</v>
      </c>
      <c r="G5005" t="s">
        <v>28207</v>
      </c>
      <c r="H5005" t="s">
        <v>28215</v>
      </c>
      <c r="I5005" t="s">
        <v>28227</v>
      </c>
      <c r="J5005" t="s">
        <v>31526</v>
      </c>
      <c r="K5005" t="s">
        <v>36689</v>
      </c>
      <c r="M5005" t="s">
        <v>38829</v>
      </c>
      <c r="N5005" t="s">
        <v>40436</v>
      </c>
      <c r="O5005" t="s">
        <v>40437</v>
      </c>
      <c r="P5005">
        <v>0</v>
      </c>
      <c r="Q5005">
        <v>3</v>
      </c>
      <c r="R5005" t="s">
        <v>40440</v>
      </c>
      <c r="S5005" t="s">
        <v>40603</v>
      </c>
      <c r="T5005" t="s">
        <v>42185</v>
      </c>
      <c r="U5005" t="s">
        <v>46875</v>
      </c>
      <c r="W5005" t="s">
        <v>38829</v>
      </c>
      <c r="X5005" t="s">
        <v>40444</v>
      </c>
    </row>
    <row r="5006" spans="1:24">
      <c r="A5006">
        <f>HYPERLINK("https://www.philgeps.gov.ph/GEPSNONPILOT/Tender/SplashBidNoticeAbstractUI.aspx?menuIndex=3&amp;refID=7042579&amp;Result=3","7042579")</f>
        <v>0</v>
      </c>
      <c r="B5006" t="s">
        <v>116</v>
      </c>
      <c r="C5006" t="s">
        <v>7852</v>
      </c>
      <c r="D5006" t="s">
        <v>16207</v>
      </c>
      <c r="E5006" t="s">
        <v>20728</v>
      </c>
      <c r="F5006" t="s">
        <v>28198</v>
      </c>
      <c r="G5006" t="s">
        <v>28207</v>
      </c>
      <c r="H5006" t="s">
        <v>28215</v>
      </c>
      <c r="I5006" t="s">
        <v>4200</v>
      </c>
      <c r="J5006" t="s">
        <v>28363</v>
      </c>
      <c r="K5006" t="s">
        <v>36706</v>
      </c>
      <c r="M5006" t="s">
        <v>37090</v>
      </c>
      <c r="N5006" t="s">
        <v>40436</v>
      </c>
      <c r="O5006" t="s">
        <v>40437</v>
      </c>
      <c r="P5006">
        <v>0</v>
      </c>
      <c r="Q5006">
        <v>4</v>
      </c>
      <c r="R5006" t="s">
        <v>40440</v>
      </c>
      <c r="S5006" t="s">
        <v>40603</v>
      </c>
      <c r="T5006" t="s">
        <v>42233</v>
      </c>
      <c r="U5006" t="s">
        <v>46876</v>
      </c>
      <c r="W5006" t="s">
        <v>37090</v>
      </c>
      <c r="X5006" t="s">
        <v>40444</v>
      </c>
    </row>
    <row r="5007" spans="1:24">
      <c r="A5007">
        <f>HYPERLINK("https://www.philgeps.gov.ph/GEPSNONPILOT/Tender/SplashBidNoticeAbstractUI.aspx?menuIndex=3&amp;refID=7042577&amp;Result=3","7042577")</f>
        <v>0</v>
      </c>
      <c r="B5007" t="s">
        <v>1713</v>
      </c>
      <c r="C5007" t="s">
        <v>7853</v>
      </c>
      <c r="E5007" t="s">
        <v>20729</v>
      </c>
      <c r="F5007" t="s">
        <v>28198</v>
      </c>
      <c r="G5007" t="s">
        <v>28205</v>
      </c>
      <c r="H5007" t="s">
        <v>28215</v>
      </c>
      <c r="I5007" t="s">
        <v>28303</v>
      </c>
      <c r="J5007" t="s">
        <v>28345</v>
      </c>
      <c r="K5007" t="s">
        <v>36707</v>
      </c>
      <c r="M5007" t="s">
        <v>38819</v>
      </c>
      <c r="N5007" t="s">
        <v>40436</v>
      </c>
      <c r="O5007" t="s">
        <v>40437</v>
      </c>
      <c r="P5007">
        <v>0</v>
      </c>
      <c r="Q5007">
        <v>3</v>
      </c>
      <c r="R5007" t="s">
        <v>40440</v>
      </c>
      <c r="S5007" t="s">
        <v>40603</v>
      </c>
      <c r="T5007" t="s">
        <v>42119</v>
      </c>
      <c r="U5007" t="s">
        <v>46877</v>
      </c>
      <c r="W5007" t="s">
        <v>38819</v>
      </c>
      <c r="X5007" t="s">
        <v>40444</v>
      </c>
    </row>
    <row r="5008" spans="1:24">
      <c r="A5008">
        <f>HYPERLINK("https://www.philgeps.gov.ph/GEPSNONPILOT/Tender/SplashBidNoticeAbstractUI.aspx?menuIndex=3&amp;refID=7042632&amp;Result=3","7042632")</f>
        <v>0</v>
      </c>
      <c r="B5008" t="s">
        <v>840</v>
      </c>
      <c r="C5008" t="s">
        <v>7854</v>
      </c>
      <c r="E5008" t="s">
        <v>20730</v>
      </c>
      <c r="F5008" t="s">
        <v>28198</v>
      </c>
      <c r="G5008" t="s">
        <v>28205</v>
      </c>
      <c r="H5008" t="s">
        <v>28215</v>
      </c>
      <c r="I5008" t="s">
        <v>28311</v>
      </c>
      <c r="J5008" t="s">
        <v>31527</v>
      </c>
      <c r="K5008" t="s">
        <v>36689</v>
      </c>
      <c r="M5008" t="s">
        <v>38830</v>
      </c>
      <c r="N5008" t="s">
        <v>40436</v>
      </c>
      <c r="O5008" t="s">
        <v>40437</v>
      </c>
      <c r="Q5008">
        <v>6</v>
      </c>
      <c r="R5008" t="s">
        <v>40440</v>
      </c>
      <c r="S5008" t="s">
        <v>40626</v>
      </c>
      <c r="T5008" t="s">
        <v>42407</v>
      </c>
      <c r="U5008" t="s">
        <v>46878</v>
      </c>
      <c r="W5008" t="s">
        <v>38830</v>
      </c>
      <c r="X5008" t="s">
        <v>40444</v>
      </c>
    </row>
    <row r="5009" spans="1:24">
      <c r="A5009">
        <f>HYPERLINK("https://www.philgeps.gov.ph/GEPSNONPILOT/Tender/SplashBidNoticeAbstractUI.aspx?menuIndex=3&amp;refID=7042663&amp;Result=3","7042663")</f>
        <v>0</v>
      </c>
      <c r="B5009" t="s">
        <v>1722</v>
      </c>
      <c r="C5009" t="s">
        <v>7855</v>
      </c>
      <c r="D5009" t="s">
        <v>16200</v>
      </c>
      <c r="E5009" t="s">
        <v>20731</v>
      </c>
      <c r="F5009" t="s">
        <v>28198</v>
      </c>
      <c r="G5009" t="s">
        <v>28205</v>
      </c>
      <c r="H5009" t="s">
        <v>28215</v>
      </c>
      <c r="I5009" t="s">
        <v>28238</v>
      </c>
      <c r="J5009" t="s">
        <v>31528</v>
      </c>
      <c r="K5009" t="s">
        <v>36701</v>
      </c>
      <c r="M5009" t="s">
        <v>38831</v>
      </c>
      <c r="N5009" t="s">
        <v>40436</v>
      </c>
      <c r="O5009" t="s">
        <v>40437</v>
      </c>
      <c r="P5009">
        <v>0</v>
      </c>
      <c r="Q5009">
        <v>6</v>
      </c>
      <c r="R5009" t="s">
        <v>40440</v>
      </c>
      <c r="S5009" t="s">
        <v>40603</v>
      </c>
      <c r="T5009" t="s">
        <v>42111</v>
      </c>
      <c r="U5009" t="s">
        <v>46879</v>
      </c>
      <c r="V5009" t="s">
        <v>54281</v>
      </c>
      <c r="W5009" t="s">
        <v>38831</v>
      </c>
      <c r="X5009" t="s">
        <v>40444</v>
      </c>
    </row>
    <row r="5010" spans="1:24">
      <c r="A5010">
        <f>HYPERLINK("https://www.philgeps.gov.ph/GEPSNONPILOT/Tender/SplashBidNoticeAbstractUI.aspx?menuIndex=3&amp;refID=7042612&amp;Result=3","7042612")</f>
        <v>0</v>
      </c>
      <c r="B5010" t="s">
        <v>1723</v>
      </c>
      <c r="C5010" t="s">
        <v>7856</v>
      </c>
      <c r="D5010" t="s">
        <v>16196</v>
      </c>
      <c r="E5010" t="s">
        <v>20732</v>
      </c>
      <c r="F5010" t="s">
        <v>28198</v>
      </c>
      <c r="G5010" t="s">
        <v>28205</v>
      </c>
      <c r="H5010" t="s">
        <v>28215</v>
      </c>
      <c r="I5010" t="s">
        <v>28239</v>
      </c>
      <c r="J5010" t="s">
        <v>28430</v>
      </c>
      <c r="K5010" t="s">
        <v>36701</v>
      </c>
      <c r="M5010" t="s">
        <v>38832</v>
      </c>
      <c r="N5010" t="s">
        <v>40436</v>
      </c>
      <c r="O5010" t="s">
        <v>40437</v>
      </c>
      <c r="P5010">
        <v>0</v>
      </c>
      <c r="Q5010">
        <v>0</v>
      </c>
      <c r="R5010" t="s">
        <v>40440</v>
      </c>
      <c r="S5010" t="s">
        <v>40603</v>
      </c>
      <c r="T5010" t="s">
        <v>42124</v>
      </c>
      <c r="U5010" t="s">
        <v>46880</v>
      </c>
      <c r="W5010" t="s">
        <v>38832</v>
      </c>
      <c r="X5010" t="s">
        <v>40444</v>
      </c>
    </row>
    <row r="5011" spans="1:24">
      <c r="A5011">
        <f>HYPERLINK("https://www.philgeps.gov.ph/GEPSNONPILOT/Tender/SplashBidNoticeAbstractUI.aspx?menuIndex=3&amp;refID=7042622&amp;Result=3","7042622")</f>
        <v>0</v>
      </c>
      <c r="B5011" t="s">
        <v>116</v>
      </c>
      <c r="C5011" t="s">
        <v>7857</v>
      </c>
      <c r="D5011" t="s">
        <v>16207</v>
      </c>
      <c r="E5011" t="s">
        <v>20733</v>
      </c>
      <c r="F5011" t="s">
        <v>28198</v>
      </c>
      <c r="G5011" t="s">
        <v>28207</v>
      </c>
      <c r="H5011" t="s">
        <v>28215</v>
      </c>
      <c r="I5011" t="s">
        <v>4200</v>
      </c>
      <c r="J5011" t="s">
        <v>28345</v>
      </c>
      <c r="K5011" t="s">
        <v>36706</v>
      </c>
      <c r="M5011" t="s">
        <v>37090</v>
      </c>
      <c r="N5011" t="s">
        <v>40436</v>
      </c>
      <c r="O5011" t="s">
        <v>40437</v>
      </c>
      <c r="P5011">
        <v>0</v>
      </c>
      <c r="Q5011">
        <v>1</v>
      </c>
      <c r="R5011" t="s">
        <v>40440</v>
      </c>
      <c r="S5011" t="s">
        <v>40603</v>
      </c>
      <c r="T5011" t="s">
        <v>42233</v>
      </c>
      <c r="U5011" t="s">
        <v>46881</v>
      </c>
      <c r="W5011" t="s">
        <v>37090</v>
      </c>
      <c r="X5011" t="s">
        <v>40444</v>
      </c>
    </row>
    <row r="5012" spans="1:24">
      <c r="A5012">
        <f>HYPERLINK("https://www.philgeps.gov.ph/GEPSNONPILOT/Tender/SplashBidNoticeAbstractUI.aspx?menuIndex=3&amp;refID=7042604&amp;Result=3","7042604")</f>
        <v>0</v>
      </c>
      <c r="B5012" t="s">
        <v>1711</v>
      </c>
      <c r="C5012" t="s">
        <v>7858</v>
      </c>
      <c r="D5012" t="s">
        <v>16211</v>
      </c>
      <c r="E5012" t="s">
        <v>20734</v>
      </c>
      <c r="F5012" t="s">
        <v>28198</v>
      </c>
      <c r="G5012" t="s">
        <v>28205</v>
      </c>
      <c r="H5012" t="s">
        <v>28215</v>
      </c>
      <c r="I5012" t="s">
        <v>4219</v>
      </c>
      <c r="J5012" t="s">
        <v>31529</v>
      </c>
      <c r="K5012" t="s">
        <v>36701</v>
      </c>
      <c r="M5012" t="s">
        <v>38816</v>
      </c>
      <c r="N5012" t="s">
        <v>40436</v>
      </c>
      <c r="O5012" t="s">
        <v>40437</v>
      </c>
      <c r="P5012">
        <v>0</v>
      </c>
      <c r="Q5012">
        <v>3</v>
      </c>
      <c r="R5012" t="s">
        <v>40440</v>
      </c>
      <c r="S5012" t="s">
        <v>40603</v>
      </c>
      <c r="T5012" t="s">
        <v>42279</v>
      </c>
      <c r="U5012" t="s">
        <v>46837</v>
      </c>
      <c r="W5012" t="s">
        <v>38816</v>
      </c>
      <c r="X5012" t="s">
        <v>40444</v>
      </c>
    </row>
    <row r="5013" spans="1:24">
      <c r="A5013">
        <f>HYPERLINK("https://www.philgeps.gov.ph/GEPSNONPILOT/Tender/SplashBidNoticeAbstractUI.aspx?menuIndex=3&amp;refID=7042655&amp;Result=3","7042655")</f>
        <v>0</v>
      </c>
      <c r="B5013" t="s">
        <v>1724</v>
      </c>
      <c r="C5013" t="s">
        <v>7859</v>
      </c>
      <c r="D5013" t="s">
        <v>16187</v>
      </c>
      <c r="E5013" t="s">
        <v>18443</v>
      </c>
      <c r="F5013" t="s">
        <v>28198</v>
      </c>
      <c r="G5013" t="s">
        <v>28205</v>
      </c>
      <c r="H5013" t="s">
        <v>28215</v>
      </c>
      <c r="I5013" t="s">
        <v>4200</v>
      </c>
      <c r="J5013" t="s">
        <v>28406</v>
      </c>
      <c r="K5013" t="s">
        <v>36689</v>
      </c>
      <c r="M5013" t="s">
        <v>38833</v>
      </c>
      <c r="N5013" t="s">
        <v>40436</v>
      </c>
      <c r="O5013" t="s">
        <v>40437</v>
      </c>
      <c r="P5013">
        <v>0</v>
      </c>
      <c r="Q5013">
        <v>2</v>
      </c>
      <c r="R5013" t="s">
        <v>40440</v>
      </c>
      <c r="S5013" t="s">
        <v>40603</v>
      </c>
      <c r="T5013" t="s">
        <v>42229</v>
      </c>
      <c r="U5013" t="s">
        <v>46882</v>
      </c>
      <c r="W5013" t="s">
        <v>38833</v>
      </c>
      <c r="X5013" t="s">
        <v>40444</v>
      </c>
    </row>
    <row r="5014" spans="1:24">
      <c r="A5014">
        <f>HYPERLINK("https://www.philgeps.gov.ph/GEPSNONPILOT/Tender/SplashBidNoticeAbstractUI.aspx?menuIndex=3&amp;refID=7042636&amp;Result=3","7042636")</f>
        <v>0</v>
      </c>
      <c r="B5014" t="s">
        <v>1725</v>
      </c>
      <c r="C5014" t="s">
        <v>7860</v>
      </c>
      <c r="E5014" t="s">
        <v>20735</v>
      </c>
      <c r="F5014" t="s">
        <v>28198</v>
      </c>
      <c r="G5014" t="s">
        <v>28205</v>
      </c>
      <c r="H5014" t="s">
        <v>28215</v>
      </c>
      <c r="I5014" t="s">
        <v>28234</v>
      </c>
      <c r="J5014" t="s">
        <v>31530</v>
      </c>
      <c r="K5014" t="s">
        <v>36689</v>
      </c>
      <c r="M5014" t="s">
        <v>38834</v>
      </c>
      <c r="N5014" t="s">
        <v>40436</v>
      </c>
      <c r="O5014" t="s">
        <v>40437</v>
      </c>
      <c r="Q5014">
        <v>18</v>
      </c>
      <c r="R5014" t="s">
        <v>40440</v>
      </c>
      <c r="S5014" t="s">
        <v>40627</v>
      </c>
      <c r="T5014" t="s">
        <v>42106</v>
      </c>
      <c r="U5014" t="s">
        <v>46883</v>
      </c>
      <c r="W5014" t="s">
        <v>38834</v>
      </c>
      <c r="X5014" t="s">
        <v>40444</v>
      </c>
    </row>
    <row r="5015" spans="1:24">
      <c r="A5015">
        <f>HYPERLINK("https://www.philgeps.gov.ph/GEPSNONPILOT/Tender/SplashBidNoticeAbstractUI.aspx?menuIndex=3&amp;refID=7042600&amp;Result=3","7042600")</f>
        <v>0</v>
      </c>
      <c r="B5015" t="s">
        <v>116</v>
      </c>
      <c r="C5015" t="s">
        <v>7861</v>
      </c>
      <c r="D5015" t="s">
        <v>16207</v>
      </c>
      <c r="E5015" t="s">
        <v>20736</v>
      </c>
      <c r="F5015" t="s">
        <v>28198</v>
      </c>
      <c r="G5015" t="s">
        <v>28207</v>
      </c>
      <c r="H5015" t="s">
        <v>28215</v>
      </c>
      <c r="I5015" t="s">
        <v>4200</v>
      </c>
      <c r="J5015" t="s">
        <v>31531</v>
      </c>
      <c r="K5015" t="s">
        <v>36706</v>
      </c>
      <c r="M5015" t="s">
        <v>37090</v>
      </c>
      <c r="N5015" t="s">
        <v>40436</v>
      </c>
      <c r="O5015" t="s">
        <v>40437</v>
      </c>
      <c r="P5015">
        <v>0</v>
      </c>
      <c r="Q5015">
        <v>0</v>
      </c>
      <c r="R5015" t="s">
        <v>40440</v>
      </c>
      <c r="S5015" t="s">
        <v>40603</v>
      </c>
      <c r="T5015" t="s">
        <v>42233</v>
      </c>
      <c r="U5015" t="s">
        <v>46884</v>
      </c>
      <c r="W5015" t="s">
        <v>37090</v>
      </c>
      <c r="X5015" t="s">
        <v>40444</v>
      </c>
    </row>
    <row r="5016" spans="1:24">
      <c r="A5016">
        <f>HYPERLINK("https://www.philgeps.gov.ph/GEPSNONPILOT/Tender/SplashBidNoticeAbstractUI.aspx?menuIndex=3&amp;refID=7042610&amp;Result=3","7042610")</f>
        <v>0</v>
      </c>
      <c r="B5016" t="s">
        <v>1726</v>
      </c>
      <c r="C5016" t="s">
        <v>7862</v>
      </c>
      <c r="E5016" t="s">
        <v>20737</v>
      </c>
      <c r="F5016" t="s">
        <v>28198</v>
      </c>
      <c r="G5016" t="s">
        <v>28211</v>
      </c>
      <c r="H5016" t="s">
        <v>28216</v>
      </c>
      <c r="I5016" t="s">
        <v>28216</v>
      </c>
      <c r="J5016" t="s">
        <v>29291</v>
      </c>
      <c r="K5016" t="s">
        <v>36689</v>
      </c>
      <c r="M5016" t="s">
        <v>38835</v>
      </c>
      <c r="N5016" t="s">
        <v>40436</v>
      </c>
      <c r="O5016" t="s">
        <v>40437</v>
      </c>
      <c r="P5016">
        <v>0</v>
      </c>
      <c r="Q5016">
        <v>2</v>
      </c>
      <c r="R5016" t="s">
        <v>40440</v>
      </c>
      <c r="S5016" t="s">
        <v>40603</v>
      </c>
      <c r="T5016" t="s">
        <v>42408</v>
      </c>
      <c r="U5016" t="s">
        <v>46885</v>
      </c>
      <c r="W5016" t="s">
        <v>38835</v>
      </c>
      <c r="X5016" t="s">
        <v>40444</v>
      </c>
    </row>
    <row r="5017" spans="1:24">
      <c r="A5017">
        <f>HYPERLINK("https://www.philgeps.gov.ph/GEPSNONPILOT/Tender/SplashBidNoticeAbstractUI.aspx?menuIndex=3&amp;refID=7042673&amp;Result=3","7042673")</f>
        <v>0</v>
      </c>
      <c r="B5017" t="s">
        <v>116</v>
      </c>
      <c r="C5017" t="s">
        <v>7863</v>
      </c>
      <c r="D5017" t="s">
        <v>16207</v>
      </c>
      <c r="E5017" t="s">
        <v>20738</v>
      </c>
      <c r="F5017" t="s">
        <v>28198</v>
      </c>
      <c r="G5017" t="s">
        <v>28207</v>
      </c>
      <c r="H5017" t="s">
        <v>28215</v>
      </c>
      <c r="I5017" t="s">
        <v>5082</v>
      </c>
      <c r="J5017" t="s">
        <v>28398</v>
      </c>
      <c r="K5017" t="s">
        <v>36706</v>
      </c>
      <c r="M5017" t="s">
        <v>37090</v>
      </c>
      <c r="N5017" t="s">
        <v>40436</v>
      </c>
      <c r="O5017" t="s">
        <v>40437</v>
      </c>
      <c r="P5017">
        <v>0</v>
      </c>
      <c r="Q5017">
        <v>7</v>
      </c>
      <c r="R5017" t="s">
        <v>40440</v>
      </c>
      <c r="S5017" t="s">
        <v>40603</v>
      </c>
      <c r="T5017" t="s">
        <v>42233</v>
      </c>
      <c r="U5017" t="s">
        <v>46886</v>
      </c>
      <c r="W5017" t="s">
        <v>37090</v>
      </c>
      <c r="X5017" t="s">
        <v>40444</v>
      </c>
    </row>
    <row r="5018" spans="1:24">
      <c r="A5018">
        <f>HYPERLINK("https://www.philgeps.gov.ph/GEPSNONPILOT/Tender/SplashBidNoticeAbstractUI.aspx?menuIndex=3&amp;refID=7042611&amp;Result=3","7042611")</f>
        <v>0</v>
      </c>
      <c r="B5018" t="s">
        <v>1713</v>
      </c>
      <c r="C5018" t="s">
        <v>7864</v>
      </c>
      <c r="D5018" t="s">
        <v>16252</v>
      </c>
      <c r="E5018" t="s">
        <v>20739</v>
      </c>
      <c r="F5018" t="s">
        <v>28198</v>
      </c>
      <c r="G5018" t="s">
        <v>28205</v>
      </c>
      <c r="H5018" t="s">
        <v>28215</v>
      </c>
      <c r="I5018" t="s">
        <v>5791</v>
      </c>
      <c r="J5018" t="s">
        <v>31532</v>
      </c>
      <c r="K5018" t="s">
        <v>36802</v>
      </c>
      <c r="M5018" t="s">
        <v>38819</v>
      </c>
      <c r="N5018" t="s">
        <v>40436</v>
      </c>
      <c r="O5018" t="s">
        <v>40437</v>
      </c>
      <c r="P5018">
        <v>0</v>
      </c>
      <c r="Q5018">
        <v>0</v>
      </c>
      <c r="R5018" t="s">
        <v>40440</v>
      </c>
      <c r="S5018" t="s">
        <v>40603</v>
      </c>
      <c r="T5018" t="s">
        <v>42119</v>
      </c>
      <c r="U5018" t="s">
        <v>46887</v>
      </c>
      <c r="W5018" t="s">
        <v>38819</v>
      </c>
      <c r="X5018" t="s">
        <v>40444</v>
      </c>
    </row>
    <row r="5019" spans="1:24">
      <c r="A5019">
        <f>HYPERLINK("https://www.philgeps.gov.ph/GEPSNONPILOT/Tender/SplashBidNoticeAbstractUI.aspx?menuIndex=3&amp;refID=7042603&amp;Result=3","7042603")</f>
        <v>0</v>
      </c>
      <c r="B5019" t="s">
        <v>320</v>
      </c>
      <c r="C5019" t="s">
        <v>7865</v>
      </c>
      <c r="D5019" t="s">
        <v>16199</v>
      </c>
      <c r="E5019" t="s">
        <v>17449</v>
      </c>
      <c r="F5019" t="s">
        <v>28198</v>
      </c>
      <c r="G5019" t="s">
        <v>28207</v>
      </c>
      <c r="H5019" t="s">
        <v>28216</v>
      </c>
      <c r="I5019" t="s">
        <v>28274</v>
      </c>
      <c r="J5019" t="s">
        <v>28354</v>
      </c>
      <c r="K5019" t="s">
        <v>36689</v>
      </c>
      <c r="M5019" t="s">
        <v>37298</v>
      </c>
      <c r="N5019" t="s">
        <v>40436</v>
      </c>
      <c r="O5019" t="s">
        <v>40437</v>
      </c>
      <c r="P5019">
        <v>0</v>
      </c>
      <c r="Q5019">
        <v>0</v>
      </c>
      <c r="R5019" t="s">
        <v>40440</v>
      </c>
      <c r="S5019" t="s">
        <v>40603</v>
      </c>
      <c r="T5019" t="s">
        <v>42233</v>
      </c>
      <c r="U5019" t="s">
        <v>46888</v>
      </c>
      <c r="W5019" t="s">
        <v>37298</v>
      </c>
      <c r="X5019" t="s">
        <v>40444</v>
      </c>
    </row>
    <row r="5020" spans="1:24">
      <c r="A5020">
        <f>HYPERLINK("https://www.philgeps.gov.ph/GEPSNONPILOT/Tender/SplashBidNoticeAbstractUI.aspx?menuIndex=3&amp;refID=7042783&amp;Result=3","7042783")</f>
        <v>0</v>
      </c>
      <c r="B5020" t="s">
        <v>785</v>
      </c>
      <c r="C5020" t="s">
        <v>7866</v>
      </c>
      <c r="E5020" t="s">
        <v>20740</v>
      </c>
      <c r="F5020" t="s">
        <v>28198</v>
      </c>
      <c r="G5020" t="s">
        <v>28205</v>
      </c>
      <c r="H5020" t="s">
        <v>28215</v>
      </c>
      <c r="I5020" t="s">
        <v>28220</v>
      </c>
      <c r="J5020" t="s">
        <v>30308</v>
      </c>
      <c r="K5020" t="s">
        <v>36689</v>
      </c>
      <c r="M5020" t="s">
        <v>37816</v>
      </c>
      <c r="N5020" t="s">
        <v>40436</v>
      </c>
      <c r="O5020" t="s">
        <v>40437</v>
      </c>
      <c r="P5020">
        <v>0</v>
      </c>
      <c r="Q5020">
        <v>11</v>
      </c>
      <c r="R5020" t="s">
        <v>40440</v>
      </c>
      <c r="S5020" t="s">
        <v>40603</v>
      </c>
      <c r="T5020" t="s">
        <v>42181</v>
      </c>
      <c r="U5020" t="s">
        <v>46667</v>
      </c>
      <c r="W5020" t="s">
        <v>37816</v>
      </c>
      <c r="X5020" t="s">
        <v>40444</v>
      </c>
    </row>
    <row r="5021" spans="1:24">
      <c r="A5021">
        <f>HYPERLINK("https://www.philgeps.gov.ph/GEPSNONPILOT/Tender/SplashBidNoticeAbstractUI.aspx?menuIndex=3&amp;refID=7042590&amp;Result=3","7042590")</f>
        <v>0</v>
      </c>
      <c r="B5021" t="s">
        <v>1713</v>
      </c>
      <c r="C5021" t="s">
        <v>7867</v>
      </c>
      <c r="D5021" t="s">
        <v>16252</v>
      </c>
      <c r="E5021" t="s">
        <v>20741</v>
      </c>
      <c r="F5021" t="s">
        <v>28198</v>
      </c>
      <c r="G5021" t="s">
        <v>28205</v>
      </c>
      <c r="H5021" t="s">
        <v>28215</v>
      </c>
      <c r="I5021" t="s">
        <v>4168</v>
      </c>
      <c r="J5021" t="s">
        <v>29706</v>
      </c>
      <c r="K5021" t="s">
        <v>36701</v>
      </c>
      <c r="M5021" t="s">
        <v>38819</v>
      </c>
      <c r="N5021" t="s">
        <v>40436</v>
      </c>
      <c r="O5021" t="s">
        <v>40437</v>
      </c>
      <c r="P5021">
        <v>0</v>
      </c>
      <c r="Q5021">
        <v>3</v>
      </c>
      <c r="R5021" t="s">
        <v>40440</v>
      </c>
      <c r="S5021" t="s">
        <v>40603</v>
      </c>
      <c r="T5021" t="s">
        <v>42119</v>
      </c>
      <c r="U5021" t="s">
        <v>46889</v>
      </c>
      <c r="W5021" t="s">
        <v>38819</v>
      </c>
      <c r="X5021" t="s">
        <v>40444</v>
      </c>
    </row>
    <row r="5022" spans="1:24">
      <c r="A5022">
        <f>HYPERLINK("https://www.philgeps.gov.ph/GEPSNONPILOT/Tender/SplashBidNoticeAbstractUI.aspx?menuIndex=3&amp;refID=7042601&amp;Result=3","7042601")</f>
        <v>0</v>
      </c>
      <c r="B5022" t="s">
        <v>1725</v>
      </c>
      <c r="C5022" t="s">
        <v>7868</v>
      </c>
      <c r="E5022" t="s">
        <v>20742</v>
      </c>
      <c r="F5022" t="s">
        <v>28198</v>
      </c>
      <c r="G5022" t="s">
        <v>28205</v>
      </c>
      <c r="H5022" t="s">
        <v>28215</v>
      </c>
      <c r="I5022" t="s">
        <v>28234</v>
      </c>
      <c r="J5022" t="s">
        <v>31533</v>
      </c>
      <c r="K5022" t="s">
        <v>36689</v>
      </c>
      <c r="M5022" t="s">
        <v>38834</v>
      </c>
      <c r="N5022" t="s">
        <v>40436</v>
      </c>
      <c r="O5022" t="s">
        <v>40437</v>
      </c>
      <c r="P5022">
        <v>0</v>
      </c>
      <c r="Q5022">
        <v>18</v>
      </c>
      <c r="R5022" t="s">
        <v>40440</v>
      </c>
      <c r="S5022" t="s">
        <v>40603</v>
      </c>
      <c r="T5022" t="s">
        <v>42259</v>
      </c>
      <c r="U5022" t="s">
        <v>46890</v>
      </c>
      <c r="W5022" t="s">
        <v>38834</v>
      </c>
      <c r="X5022" t="s">
        <v>40444</v>
      </c>
    </row>
    <row r="5023" spans="1:24">
      <c r="A5023">
        <f>HYPERLINK("https://www.philgeps.gov.ph/GEPSNONPILOT/Tender/SplashBidNoticeAbstractUI.aspx?menuIndex=3&amp;refID=7042754&amp;Result=3","7042754")</f>
        <v>0</v>
      </c>
      <c r="B5023" t="s">
        <v>116</v>
      </c>
      <c r="C5023" t="s">
        <v>7852</v>
      </c>
      <c r="D5023" t="s">
        <v>16207</v>
      </c>
      <c r="E5023" t="s">
        <v>20743</v>
      </c>
      <c r="F5023" t="s">
        <v>28198</v>
      </c>
      <c r="G5023" t="s">
        <v>28207</v>
      </c>
      <c r="H5023" t="s">
        <v>28215</v>
      </c>
      <c r="I5023" t="s">
        <v>4200</v>
      </c>
      <c r="J5023" t="s">
        <v>28645</v>
      </c>
      <c r="K5023" t="s">
        <v>36706</v>
      </c>
      <c r="M5023" t="s">
        <v>37090</v>
      </c>
      <c r="N5023" t="s">
        <v>40436</v>
      </c>
      <c r="O5023" t="s">
        <v>40437</v>
      </c>
      <c r="P5023">
        <v>0</v>
      </c>
      <c r="Q5023">
        <v>3</v>
      </c>
      <c r="R5023" t="s">
        <v>40440</v>
      </c>
      <c r="S5023" t="s">
        <v>40603</v>
      </c>
      <c r="T5023" t="s">
        <v>42233</v>
      </c>
      <c r="U5023" t="s">
        <v>46891</v>
      </c>
      <c r="W5023" t="s">
        <v>37090</v>
      </c>
      <c r="X5023" t="s">
        <v>40444</v>
      </c>
    </row>
    <row r="5024" spans="1:24">
      <c r="A5024">
        <f>HYPERLINK("https://www.philgeps.gov.ph/GEPSNONPILOT/Tender/SplashBidNoticeAbstractUI.aspx?menuIndex=3&amp;refID=7042598&amp;Result=3","7042598")</f>
        <v>0</v>
      </c>
      <c r="B5024" t="s">
        <v>501</v>
      </c>
      <c r="C5024" t="s">
        <v>7869</v>
      </c>
      <c r="D5024" t="s">
        <v>16210</v>
      </c>
      <c r="E5024" t="s">
        <v>20744</v>
      </c>
      <c r="F5024" t="s">
        <v>28198</v>
      </c>
      <c r="G5024" t="s">
        <v>28207</v>
      </c>
      <c r="H5024" t="s">
        <v>28215</v>
      </c>
      <c r="I5024" t="s">
        <v>4200</v>
      </c>
      <c r="J5024" t="s">
        <v>31534</v>
      </c>
      <c r="K5024" t="s">
        <v>36689</v>
      </c>
      <c r="M5024" t="s">
        <v>38072</v>
      </c>
      <c r="N5024" t="s">
        <v>40436</v>
      </c>
      <c r="O5024" t="s">
        <v>40437</v>
      </c>
      <c r="P5024">
        <v>0</v>
      </c>
      <c r="Q5024">
        <v>0</v>
      </c>
      <c r="R5024" t="s">
        <v>40440</v>
      </c>
      <c r="S5024" t="s">
        <v>40603</v>
      </c>
      <c r="T5024" t="s">
        <v>42233</v>
      </c>
      <c r="U5024" t="s">
        <v>43664</v>
      </c>
      <c r="W5024" t="s">
        <v>38072</v>
      </c>
      <c r="X5024" t="s">
        <v>40444</v>
      </c>
    </row>
    <row r="5025" spans="1:24">
      <c r="A5025">
        <f>HYPERLINK("https://www.philgeps.gov.ph/GEPSNONPILOT/Tender/SplashBidNoticeAbstractUI.aspx?menuIndex=3&amp;refID=7042746&amp;Result=3","7042746")</f>
        <v>0</v>
      </c>
      <c r="B5025" t="s">
        <v>740</v>
      </c>
      <c r="C5025" t="s">
        <v>7870</v>
      </c>
      <c r="D5025" t="s">
        <v>16189</v>
      </c>
      <c r="E5025" t="s">
        <v>20745</v>
      </c>
      <c r="F5025" t="s">
        <v>28198</v>
      </c>
      <c r="G5025" t="s">
        <v>28207</v>
      </c>
      <c r="H5025" t="s">
        <v>28215</v>
      </c>
      <c r="I5025" t="s">
        <v>28220</v>
      </c>
      <c r="J5025" t="s">
        <v>31535</v>
      </c>
      <c r="K5025" t="s">
        <v>36691</v>
      </c>
      <c r="M5025" t="s">
        <v>38594</v>
      </c>
      <c r="N5025" t="s">
        <v>40436</v>
      </c>
      <c r="O5025" t="s">
        <v>40437</v>
      </c>
      <c r="P5025">
        <v>0</v>
      </c>
      <c r="Q5025">
        <v>3</v>
      </c>
      <c r="R5025" t="s">
        <v>40440</v>
      </c>
      <c r="S5025" t="s">
        <v>40603</v>
      </c>
      <c r="T5025" t="s">
        <v>42185</v>
      </c>
      <c r="U5025" t="s">
        <v>46892</v>
      </c>
      <c r="W5025" t="s">
        <v>38594</v>
      </c>
      <c r="X5025" t="s">
        <v>40444</v>
      </c>
    </row>
    <row r="5026" spans="1:24">
      <c r="A5026">
        <f>HYPERLINK("https://www.philgeps.gov.ph/GEPSNONPILOT/Tender/SplashBidNoticeAbstractUI.aspx?menuIndex=3&amp;refID=7042857&amp;Result=3","7042857")</f>
        <v>0</v>
      </c>
      <c r="B5026" t="s">
        <v>767</v>
      </c>
      <c r="C5026" t="s">
        <v>7871</v>
      </c>
      <c r="E5026" t="s">
        <v>20746</v>
      </c>
      <c r="F5026" t="s">
        <v>28198</v>
      </c>
      <c r="G5026" t="s">
        <v>28205</v>
      </c>
      <c r="H5026" t="s">
        <v>28215</v>
      </c>
      <c r="I5026" t="s">
        <v>28300</v>
      </c>
      <c r="J5026" t="s">
        <v>28829</v>
      </c>
      <c r="K5026" t="s">
        <v>36689</v>
      </c>
      <c r="M5026" t="s">
        <v>37770</v>
      </c>
      <c r="N5026" t="s">
        <v>40436</v>
      </c>
      <c r="O5026" t="s">
        <v>40437</v>
      </c>
      <c r="P5026">
        <v>0</v>
      </c>
      <c r="Q5026">
        <v>1</v>
      </c>
      <c r="R5026" t="s">
        <v>40440</v>
      </c>
      <c r="S5026" t="s">
        <v>40603</v>
      </c>
      <c r="T5026" t="s">
        <v>42111</v>
      </c>
      <c r="U5026" t="s">
        <v>46893</v>
      </c>
      <c r="W5026" t="s">
        <v>37770</v>
      </c>
      <c r="X5026" t="s">
        <v>40444</v>
      </c>
    </row>
    <row r="5027" spans="1:24">
      <c r="A5027">
        <f>HYPERLINK("https://www.philgeps.gov.ph/GEPSNONPILOT/Tender/SplashBidNoticeAbstractUI.aspx?menuIndex=3&amp;refID=7042856&amp;Result=3","7042856")</f>
        <v>0</v>
      </c>
      <c r="B5027" t="s">
        <v>1727</v>
      </c>
      <c r="C5027" t="s">
        <v>7872</v>
      </c>
      <c r="D5027" t="s">
        <v>16203</v>
      </c>
      <c r="E5027" t="s">
        <v>20747</v>
      </c>
      <c r="F5027" t="s">
        <v>28198</v>
      </c>
      <c r="G5027" t="s">
        <v>28205</v>
      </c>
      <c r="H5027" t="s">
        <v>28214</v>
      </c>
      <c r="I5027" t="s">
        <v>3797</v>
      </c>
      <c r="J5027" t="s">
        <v>31536</v>
      </c>
      <c r="K5027" t="s">
        <v>36733</v>
      </c>
      <c r="M5027" t="s">
        <v>38836</v>
      </c>
      <c r="N5027" t="s">
        <v>40436</v>
      </c>
      <c r="O5027" t="s">
        <v>40437</v>
      </c>
      <c r="P5027">
        <v>0</v>
      </c>
      <c r="Q5027">
        <v>0</v>
      </c>
      <c r="R5027" t="s">
        <v>40440</v>
      </c>
      <c r="S5027" t="s">
        <v>40603</v>
      </c>
      <c r="T5027" t="s">
        <v>42171</v>
      </c>
      <c r="U5027" t="s">
        <v>46894</v>
      </c>
      <c r="W5027" t="s">
        <v>38836</v>
      </c>
      <c r="X5027" t="s">
        <v>40444</v>
      </c>
    </row>
    <row r="5028" spans="1:24">
      <c r="A5028">
        <f>HYPERLINK("https://www.philgeps.gov.ph/GEPSNONPILOT/Tender/SplashBidNoticeAbstractUI.aspx?menuIndex=3&amp;refID=7042753&amp;Result=3","7042753")</f>
        <v>0</v>
      </c>
      <c r="B5028" t="s">
        <v>785</v>
      </c>
      <c r="C5028" t="s">
        <v>7873</v>
      </c>
      <c r="E5028" t="s">
        <v>20748</v>
      </c>
      <c r="F5028" t="s">
        <v>28198</v>
      </c>
      <c r="G5028" t="s">
        <v>28205</v>
      </c>
      <c r="H5028" t="s">
        <v>28215</v>
      </c>
      <c r="I5028" t="s">
        <v>28220</v>
      </c>
      <c r="J5028" t="s">
        <v>29763</v>
      </c>
      <c r="K5028" t="s">
        <v>36689</v>
      </c>
      <c r="M5028" t="s">
        <v>37790</v>
      </c>
      <c r="N5028" t="s">
        <v>40436</v>
      </c>
      <c r="O5028" t="s">
        <v>40437</v>
      </c>
      <c r="P5028">
        <v>0</v>
      </c>
      <c r="Q5028">
        <v>13</v>
      </c>
      <c r="R5028" t="s">
        <v>40440</v>
      </c>
      <c r="S5028" t="s">
        <v>40603</v>
      </c>
      <c r="T5028" t="s">
        <v>42248</v>
      </c>
      <c r="U5028" t="s">
        <v>46667</v>
      </c>
      <c r="W5028" t="s">
        <v>37790</v>
      </c>
      <c r="X5028" t="s">
        <v>40444</v>
      </c>
    </row>
    <row r="5029" spans="1:24">
      <c r="A5029">
        <f>HYPERLINK("https://www.philgeps.gov.ph/GEPSNONPILOT/Tender/SplashBidNoticeAbstractUI.aspx?menuIndex=3&amp;refID=7042839&amp;Result=3","7042839")</f>
        <v>0</v>
      </c>
      <c r="B5029" t="s">
        <v>118</v>
      </c>
      <c r="C5029" t="s">
        <v>4200</v>
      </c>
      <c r="D5029" t="s">
        <v>16191</v>
      </c>
      <c r="E5029" t="s">
        <v>20749</v>
      </c>
      <c r="F5029" t="s">
        <v>28198</v>
      </c>
      <c r="G5029" t="s">
        <v>28207</v>
      </c>
      <c r="H5029" t="s">
        <v>28215</v>
      </c>
      <c r="I5029" t="s">
        <v>4200</v>
      </c>
      <c r="J5029" t="s">
        <v>31537</v>
      </c>
      <c r="K5029" t="s">
        <v>36701</v>
      </c>
      <c r="M5029" t="s">
        <v>37092</v>
      </c>
      <c r="N5029" t="s">
        <v>40436</v>
      </c>
      <c r="O5029" t="s">
        <v>40437</v>
      </c>
      <c r="P5029">
        <v>0</v>
      </c>
      <c r="Q5029">
        <v>0</v>
      </c>
      <c r="R5029" t="s">
        <v>40440</v>
      </c>
      <c r="S5029" t="s">
        <v>40603</v>
      </c>
      <c r="T5029" t="s">
        <v>42205</v>
      </c>
      <c r="U5029" t="s">
        <v>46895</v>
      </c>
      <c r="W5029" t="s">
        <v>37092</v>
      </c>
      <c r="X5029" t="s">
        <v>40444</v>
      </c>
    </row>
    <row r="5030" spans="1:24">
      <c r="A5030">
        <f>HYPERLINK("https://www.philgeps.gov.ph/GEPSNONPILOT/Tender/SplashBidNoticeAbstractUI.aspx?menuIndex=3&amp;refID=7042842&amp;Result=3","7042842")</f>
        <v>0</v>
      </c>
      <c r="B5030" t="s">
        <v>1727</v>
      </c>
      <c r="C5030" t="s">
        <v>7874</v>
      </c>
      <c r="D5030" t="s">
        <v>16203</v>
      </c>
      <c r="E5030" t="s">
        <v>20750</v>
      </c>
      <c r="F5030" t="s">
        <v>28198</v>
      </c>
      <c r="G5030" t="s">
        <v>28205</v>
      </c>
      <c r="H5030" t="s">
        <v>28214</v>
      </c>
      <c r="I5030" t="s">
        <v>3797</v>
      </c>
      <c r="J5030" t="s">
        <v>31538</v>
      </c>
      <c r="K5030" t="s">
        <v>36733</v>
      </c>
      <c r="M5030" t="s">
        <v>38836</v>
      </c>
      <c r="N5030" t="s">
        <v>40436</v>
      </c>
      <c r="O5030" t="s">
        <v>40437</v>
      </c>
      <c r="P5030">
        <v>0</v>
      </c>
      <c r="Q5030">
        <v>1</v>
      </c>
      <c r="R5030" t="s">
        <v>40440</v>
      </c>
      <c r="S5030" t="s">
        <v>40603</v>
      </c>
      <c r="T5030" t="s">
        <v>42171</v>
      </c>
      <c r="U5030" t="s">
        <v>46896</v>
      </c>
      <c r="W5030" t="s">
        <v>38836</v>
      </c>
      <c r="X5030" t="s">
        <v>40444</v>
      </c>
    </row>
    <row r="5031" spans="1:24">
      <c r="A5031">
        <f>HYPERLINK("https://www.philgeps.gov.ph/GEPSNONPILOT/Tender/SplashBidNoticeAbstractUI.aspx?menuIndex=3&amp;refID=7042741&amp;Result=3","7042741")</f>
        <v>0</v>
      </c>
      <c r="B5031" t="s">
        <v>1649</v>
      </c>
      <c r="C5031" t="s">
        <v>7875</v>
      </c>
      <c r="D5031" t="s">
        <v>16266</v>
      </c>
      <c r="E5031" t="s">
        <v>20751</v>
      </c>
      <c r="F5031" t="s">
        <v>28198</v>
      </c>
      <c r="G5031" t="s">
        <v>28207</v>
      </c>
      <c r="H5031" t="s">
        <v>28215</v>
      </c>
      <c r="I5031" t="s">
        <v>28234</v>
      </c>
      <c r="J5031" t="s">
        <v>30335</v>
      </c>
      <c r="K5031" t="s">
        <v>36706</v>
      </c>
      <c r="M5031" t="s">
        <v>38743</v>
      </c>
      <c r="N5031" t="s">
        <v>40436</v>
      </c>
      <c r="O5031" t="s">
        <v>40437</v>
      </c>
      <c r="P5031">
        <v>0</v>
      </c>
      <c r="Q5031">
        <v>1</v>
      </c>
      <c r="R5031" t="s">
        <v>40440</v>
      </c>
      <c r="S5031" t="s">
        <v>40603</v>
      </c>
      <c r="T5031" t="s">
        <v>42185</v>
      </c>
      <c r="U5031" t="s">
        <v>46897</v>
      </c>
      <c r="W5031" t="s">
        <v>38743</v>
      </c>
      <c r="X5031" t="s">
        <v>40444</v>
      </c>
    </row>
    <row r="5032" spans="1:24">
      <c r="A5032">
        <f>HYPERLINK("https://www.philgeps.gov.ph/GEPSNONPILOT/Tender/SplashBidNoticeAbstractUI.aspx?menuIndex=3&amp;refID=7042785&amp;Result=3","7042785")</f>
        <v>0</v>
      </c>
      <c r="B5032" t="s">
        <v>116</v>
      </c>
      <c r="C5032" t="s">
        <v>7876</v>
      </c>
      <c r="E5032" t="s">
        <v>20752</v>
      </c>
      <c r="F5032" t="s">
        <v>28198</v>
      </c>
      <c r="G5032" t="s">
        <v>28207</v>
      </c>
      <c r="H5032" t="s">
        <v>28215</v>
      </c>
      <c r="I5032" t="s">
        <v>4200</v>
      </c>
      <c r="J5032" t="s">
        <v>29220</v>
      </c>
      <c r="K5032" t="s">
        <v>36706</v>
      </c>
      <c r="N5032" t="s">
        <v>40436</v>
      </c>
      <c r="O5032" t="s">
        <v>40437</v>
      </c>
      <c r="P5032">
        <v>0</v>
      </c>
      <c r="Q5032">
        <v>5</v>
      </c>
      <c r="R5032" t="s">
        <v>40440</v>
      </c>
      <c r="S5032" t="s">
        <v>40603</v>
      </c>
      <c r="T5032" t="s">
        <v>42233</v>
      </c>
      <c r="U5032" t="s">
        <v>46898</v>
      </c>
      <c r="W5032" t="s">
        <v>37090</v>
      </c>
      <c r="X5032" t="s">
        <v>40444</v>
      </c>
    </row>
    <row r="5033" spans="1:24">
      <c r="A5033">
        <f>HYPERLINK("https://www.philgeps.gov.ph/GEPSNONPILOT/Tender/SplashBidNoticeAbstractUI.aspx?menuIndex=3&amp;refID=7042809&amp;Result=3","7042809")</f>
        <v>0</v>
      </c>
      <c r="B5033" t="s">
        <v>1728</v>
      </c>
      <c r="C5033" t="s">
        <v>7877</v>
      </c>
      <c r="D5033" t="s">
        <v>16195</v>
      </c>
      <c r="E5033" t="s">
        <v>20753</v>
      </c>
      <c r="F5033" t="s">
        <v>28198</v>
      </c>
      <c r="G5033" t="s">
        <v>28205</v>
      </c>
      <c r="H5033" t="s">
        <v>28215</v>
      </c>
      <c r="I5033" t="s">
        <v>28298</v>
      </c>
      <c r="J5033" t="s">
        <v>31539</v>
      </c>
      <c r="K5033" t="s">
        <v>36706</v>
      </c>
      <c r="M5033" t="s">
        <v>38837</v>
      </c>
      <c r="N5033" t="s">
        <v>40436</v>
      </c>
      <c r="O5033" t="s">
        <v>40437</v>
      </c>
      <c r="P5033">
        <v>0</v>
      </c>
      <c r="Q5033">
        <v>6</v>
      </c>
      <c r="R5033" t="s">
        <v>40440</v>
      </c>
      <c r="S5033" t="s">
        <v>40603</v>
      </c>
      <c r="T5033" t="s">
        <v>42103</v>
      </c>
      <c r="U5033" t="s">
        <v>46899</v>
      </c>
      <c r="V5033" t="s">
        <v>54282</v>
      </c>
      <c r="W5033" t="s">
        <v>38837</v>
      </c>
      <c r="X5033" t="s">
        <v>40444</v>
      </c>
    </row>
    <row r="5034" spans="1:24">
      <c r="A5034">
        <f>HYPERLINK("https://www.philgeps.gov.ph/GEPSNONPILOT/Tender/SplashBidNoticeAbstractUI.aspx?menuIndex=3&amp;refID=7042725&amp;Result=3","7042725")</f>
        <v>0</v>
      </c>
      <c r="B5034" t="s">
        <v>116</v>
      </c>
      <c r="C5034" t="s">
        <v>7878</v>
      </c>
      <c r="D5034" t="s">
        <v>16207</v>
      </c>
      <c r="E5034" t="s">
        <v>20754</v>
      </c>
      <c r="F5034" t="s">
        <v>28198</v>
      </c>
      <c r="G5034" t="s">
        <v>28207</v>
      </c>
      <c r="H5034" t="s">
        <v>28215</v>
      </c>
      <c r="I5034" t="s">
        <v>4200</v>
      </c>
      <c r="J5034" t="s">
        <v>29190</v>
      </c>
      <c r="K5034" t="s">
        <v>36706</v>
      </c>
      <c r="M5034" t="s">
        <v>37090</v>
      </c>
      <c r="N5034" t="s">
        <v>40436</v>
      </c>
      <c r="O5034" t="s">
        <v>40437</v>
      </c>
      <c r="P5034">
        <v>0</v>
      </c>
      <c r="Q5034">
        <v>1</v>
      </c>
      <c r="R5034" t="s">
        <v>40440</v>
      </c>
      <c r="S5034" t="s">
        <v>40603</v>
      </c>
      <c r="T5034" t="s">
        <v>42233</v>
      </c>
      <c r="U5034" t="s">
        <v>46900</v>
      </c>
      <c r="W5034" t="s">
        <v>37090</v>
      </c>
      <c r="X5034" t="s">
        <v>40444</v>
      </c>
    </row>
    <row r="5035" spans="1:24">
      <c r="A5035">
        <f>HYPERLINK("https://www.philgeps.gov.ph/GEPSNONPILOT/Tender/SplashBidNoticeAbstractUI.aspx?menuIndex=3&amp;refID=7042724&amp;Result=3","7042724")</f>
        <v>0</v>
      </c>
      <c r="B5035" t="s">
        <v>740</v>
      </c>
      <c r="C5035" t="s">
        <v>7879</v>
      </c>
      <c r="D5035" t="s">
        <v>16189</v>
      </c>
      <c r="E5035" t="s">
        <v>20755</v>
      </c>
      <c r="F5035" t="s">
        <v>28198</v>
      </c>
      <c r="G5035" t="s">
        <v>28207</v>
      </c>
      <c r="H5035" t="s">
        <v>28215</v>
      </c>
      <c r="I5035" t="s">
        <v>8888</v>
      </c>
      <c r="J5035" t="s">
        <v>28772</v>
      </c>
      <c r="K5035" t="s">
        <v>36691</v>
      </c>
      <c r="M5035" t="s">
        <v>38594</v>
      </c>
      <c r="N5035" t="s">
        <v>40436</v>
      </c>
      <c r="O5035" t="s">
        <v>40437</v>
      </c>
      <c r="P5035">
        <v>0</v>
      </c>
      <c r="Q5035">
        <v>2</v>
      </c>
      <c r="R5035" t="s">
        <v>40440</v>
      </c>
      <c r="S5035" t="s">
        <v>40603</v>
      </c>
      <c r="T5035" t="s">
        <v>42185</v>
      </c>
      <c r="U5035" t="s">
        <v>46901</v>
      </c>
      <c r="W5035" t="s">
        <v>38594</v>
      </c>
      <c r="X5035" t="s">
        <v>40444</v>
      </c>
    </row>
    <row r="5036" spans="1:24">
      <c r="A5036">
        <f>HYPERLINK("https://www.philgeps.gov.ph/GEPSNONPILOT/Tender/SplashBidNoticeAbstractUI.aspx?menuIndex=3&amp;refID=7042831&amp;Result=3","7042831")</f>
        <v>0</v>
      </c>
      <c r="B5036" t="s">
        <v>1729</v>
      </c>
      <c r="C5036" t="s">
        <v>7880</v>
      </c>
      <c r="D5036" t="s">
        <v>16249</v>
      </c>
      <c r="E5036" t="s">
        <v>20756</v>
      </c>
      <c r="F5036" t="s">
        <v>28198</v>
      </c>
      <c r="G5036" t="s">
        <v>28207</v>
      </c>
      <c r="H5036" t="s">
        <v>28215</v>
      </c>
      <c r="I5036" t="s">
        <v>8888</v>
      </c>
      <c r="J5036" t="s">
        <v>31540</v>
      </c>
      <c r="K5036" t="s">
        <v>36707</v>
      </c>
      <c r="M5036" t="s">
        <v>38838</v>
      </c>
      <c r="N5036" t="s">
        <v>40436</v>
      </c>
      <c r="O5036" t="s">
        <v>40437</v>
      </c>
      <c r="P5036">
        <v>0</v>
      </c>
      <c r="Q5036">
        <v>3</v>
      </c>
      <c r="R5036" t="s">
        <v>40440</v>
      </c>
      <c r="S5036" t="s">
        <v>40603</v>
      </c>
      <c r="T5036" t="s">
        <v>42233</v>
      </c>
      <c r="U5036" t="s">
        <v>46902</v>
      </c>
      <c r="W5036" t="s">
        <v>55493</v>
      </c>
      <c r="X5036" t="s">
        <v>40444</v>
      </c>
    </row>
    <row r="5037" spans="1:24">
      <c r="A5037">
        <f>HYPERLINK("https://www.philgeps.gov.ph/GEPSNONPILOT/Tender/SplashBidNoticeAbstractUI.aspx?menuIndex=3&amp;refID=7042712&amp;Result=3","7042712")</f>
        <v>0</v>
      </c>
      <c r="B5037" t="s">
        <v>1722</v>
      </c>
      <c r="C5037" t="s">
        <v>7881</v>
      </c>
      <c r="D5037" t="s">
        <v>16200</v>
      </c>
      <c r="E5037" t="s">
        <v>20757</v>
      </c>
      <c r="F5037" t="s">
        <v>28198</v>
      </c>
      <c r="G5037" t="s">
        <v>28205</v>
      </c>
      <c r="H5037" t="s">
        <v>28215</v>
      </c>
      <c r="I5037" t="s">
        <v>5100</v>
      </c>
      <c r="J5037" t="s">
        <v>31541</v>
      </c>
      <c r="K5037" t="s">
        <v>36701</v>
      </c>
      <c r="M5037" t="s">
        <v>38831</v>
      </c>
      <c r="N5037" t="s">
        <v>40436</v>
      </c>
      <c r="O5037" t="s">
        <v>40437</v>
      </c>
      <c r="P5037">
        <v>0</v>
      </c>
      <c r="Q5037">
        <v>0</v>
      </c>
      <c r="R5037" t="s">
        <v>40440</v>
      </c>
      <c r="S5037" t="s">
        <v>40603</v>
      </c>
      <c r="T5037" t="s">
        <v>42111</v>
      </c>
      <c r="U5037" t="s">
        <v>46903</v>
      </c>
      <c r="V5037" t="s">
        <v>54281</v>
      </c>
      <c r="W5037" t="s">
        <v>38831</v>
      </c>
      <c r="X5037" t="s">
        <v>40444</v>
      </c>
    </row>
    <row r="5038" spans="1:24">
      <c r="A5038">
        <f>HYPERLINK("https://www.philgeps.gov.ph/GEPSNONPILOT/Tender/SplashBidNoticeAbstractUI.aspx?menuIndex=3&amp;refID=7042705&amp;Result=3","7042705")</f>
        <v>0</v>
      </c>
      <c r="B5038" t="s">
        <v>1711</v>
      </c>
      <c r="C5038" t="s">
        <v>7882</v>
      </c>
      <c r="D5038" t="s">
        <v>16211</v>
      </c>
      <c r="E5038" t="s">
        <v>20758</v>
      </c>
      <c r="F5038" t="s">
        <v>28198</v>
      </c>
      <c r="G5038" t="s">
        <v>28205</v>
      </c>
      <c r="H5038" t="s">
        <v>28215</v>
      </c>
      <c r="I5038" t="s">
        <v>3774</v>
      </c>
      <c r="J5038" t="s">
        <v>31542</v>
      </c>
      <c r="K5038" t="s">
        <v>36701</v>
      </c>
      <c r="M5038" t="s">
        <v>38816</v>
      </c>
      <c r="N5038" t="s">
        <v>40436</v>
      </c>
      <c r="O5038" t="s">
        <v>40437</v>
      </c>
      <c r="P5038">
        <v>0</v>
      </c>
      <c r="Q5038">
        <v>0</v>
      </c>
      <c r="R5038" t="s">
        <v>40440</v>
      </c>
      <c r="S5038" t="s">
        <v>40603</v>
      </c>
      <c r="T5038" t="s">
        <v>42279</v>
      </c>
      <c r="U5038" t="s">
        <v>46837</v>
      </c>
      <c r="W5038" t="s">
        <v>38816</v>
      </c>
      <c r="X5038" t="s">
        <v>40444</v>
      </c>
    </row>
    <row r="5039" spans="1:24">
      <c r="A5039">
        <f>HYPERLINK("https://www.philgeps.gov.ph/GEPSNONPILOT/Tender/SplashBidNoticeAbstractUI.aspx?menuIndex=3&amp;refID=7042701&amp;Result=3","7042701")</f>
        <v>0</v>
      </c>
      <c r="B5039" t="s">
        <v>116</v>
      </c>
      <c r="C5039" t="s">
        <v>7883</v>
      </c>
      <c r="D5039" t="s">
        <v>16207</v>
      </c>
      <c r="E5039" t="s">
        <v>20759</v>
      </c>
      <c r="F5039" t="s">
        <v>28198</v>
      </c>
      <c r="G5039" t="s">
        <v>28207</v>
      </c>
      <c r="H5039" t="s">
        <v>28215</v>
      </c>
      <c r="I5039" t="s">
        <v>4200</v>
      </c>
      <c r="J5039" t="s">
        <v>28350</v>
      </c>
      <c r="K5039" t="s">
        <v>36706</v>
      </c>
      <c r="M5039" t="s">
        <v>37090</v>
      </c>
      <c r="N5039" t="s">
        <v>40436</v>
      </c>
      <c r="O5039" t="s">
        <v>40437</v>
      </c>
      <c r="P5039">
        <v>0</v>
      </c>
      <c r="Q5039">
        <v>1</v>
      </c>
      <c r="R5039" t="s">
        <v>40440</v>
      </c>
      <c r="S5039" t="s">
        <v>40603</v>
      </c>
      <c r="T5039" t="s">
        <v>42233</v>
      </c>
      <c r="U5039" t="s">
        <v>46904</v>
      </c>
      <c r="W5039" t="s">
        <v>37090</v>
      </c>
      <c r="X5039" t="s">
        <v>40444</v>
      </c>
    </row>
    <row r="5040" spans="1:24">
      <c r="A5040">
        <f>HYPERLINK("https://www.philgeps.gov.ph/GEPSNONPILOT/Tender/SplashBidNoticeAbstractUI.aspx?menuIndex=3&amp;refID=7042860&amp;Result=3","7042860")</f>
        <v>0</v>
      </c>
      <c r="B5040" t="s">
        <v>785</v>
      </c>
      <c r="C5040" t="s">
        <v>7884</v>
      </c>
      <c r="E5040" t="s">
        <v>20760</v>
      </c>
      <c r="F5040" t="s">
        <v>28198</v>
      </c>
      <c r="G5040" t="s">
        <v>28205</v>
      </c>
      <c r="H5040" t="s">
        <v>28215</v>
      </c>
      <c r="I5040" t="s">
        <v>28220</v>
      </c>
      <c r="J5040" t="s">
        <v>28548</v>
      </c>
      <c r="K5040" t="s">
        <v>36689</v>
      </c>
      <c r="M5040" t="s">
        <v>37816</v>
      </c>
      <c r="N5040" t="s">
        <v>40436</v>
      </c>
      <c r="O5040" t="s">
        <v>40437</v>
      </c>
      <c r="P5040">
        <v>0</v>
      </c>
      <c r="Q5040">
        <v>8</v>
      </c>
      <c r="R5040" t="s">
        <v>40440</v>
      </c>
      <c r="S5040" t="s">
        <v>40603</v>
      </c>
      <c r="T5040" t="s">
        <v>42181</v>
      </c>
      <c r="U5040" t="s">
        <v>46667</v>
      </c>
      <c r="W5040" t="s">
        <v>37816</v>
      </c>
      <c r="X5040" t="s">
        <v>40444</v>
      </c>
    </row>
    <row r="5041" spans="1:24">
      <c r="A5041">
        <f>HYPERLINK("https://www.philgeps.gov.ph/GEPSNONPILOT/Tender/SplashBidNoticeAbstractUI.aspx?menuIndex=3&amp;refID=7042719&amp;Result=3","7042719")</f>
        <v>0</v>
      </c>
      <c r="B5041" t="s">
        <v>1729</v>
      </c>
      <c r="C5041" t="s">
        <v>7885</v>
      </c>
      <c r="D5041" t="s">
        <v>16249</v>
      </c>
      <c r="E5041" t="s">
        <v>20761</v>
      </c>
      <c r="F5041" t="s">
        <v>28198</v>
      </c>
      <c r="G5041" t="s">
        <v>28207</v>
      </c>
      <c r="H5041" t="s">
        <v>28215</v>
      </c>
      <c r="I5041" t="s">
        <v>28225</v>
      </c>
      <c r="J5041" t="s">
        <v>31543</v>
      </c>
      <c r="K5041" t="s">
        <v>36707</v>
      </c>
      <c r="M5041" t="s">
        <v>38838</v>
      </c>
      <c r="N5041" t="s">
        <v>40436</v>
      </c>
      <c r="O5041" t="s">
        <v>40437</v>
      </c>
      <c r="P5041">
        <v>0</v>
      </c>
      <c r="Q5041">
        <v>1</v>
      </c>
      <c r="R5041" t="s">
        <v>40440</v>
      </c>
      <c r="S5041" t="s">
        <v>40603</v>
      </c>
      <c r="T5041" t="s">
        <v>42233</v>
      </c>
      <c r="U5041" t="s">
        <v>46905</v>
      </c>
      <c r="W5041" t="s">
        <v>55493</v>
      </c>
      <c r="X5041" t="s">
        <v>40444</v>
      </c>
    </row>
    <row r="5042" spans="1:24">
      <c r="A5042">
        <f>HYPERLINK("https://www.philgeps.gov.ph/GEPSNONPILOT/Tender/SplashBidNoticeAbstractUI.aspx?menuIndex=3&amp;refID=7042924&amp;Result=3","7042924")</f>
        <v>0</v>
      </c>
      <c r="B5042" t="s">
        <v>97</v>
      </c>
      <c r="C5042" t="s">
        <v>7886</v>
      </c>
      <c r="D5042" t="s">
        <v>16226</v>
      </c>
      <c r="E5042" t="s">
        <v>20762</v>
      </c>
      <c r="F5042" t="s">
        <v>28198</v>
      </c>
      <c r="G5042" t="s">
        <v>28205</v>
      </c>
      <c r="H5042" t="s">
        <v>28215</v>
      </c>
      <c r="I5042" t="s">
        <v>5082</v>
      </c>
      <c r="J5042" t="s">
        <v>31544</v>
      </c>
      <c r="K5042" t="s">
        <v>36689</v>
      </c>
      <c r="M5042" t="s">
        <v>38839</v>
      </c>
      <c r="N5042" t="s">
        <v>40436</v>
      </c>
      <c r="O5042" t="s">
        <v>40437</v>
      </c>
      <c r="P5042">
        <v>0</v>
      </c>
      <c r="Q5042">
        <v>6</v>
      </c>
      <c r="R5042" t="s">
        <v>40440</v>
      </c>
      <c r="S5042" t="s">
        <v>40603</v>
      </c>
      <c r="T5042" t="s">
        <v>42129</v>
      </c>
      <c r="U5042" t="s">
        <v>46906</v>
      </c>
      <c r="W5042" t="s">
        <v>38839</v>
      </c>
      <c r="X5042" t="s">
        <v>40444</v>
      </c>
    </row>
    <row r="5043" spans="1:24">
      <c r="A5043">
        <f>HYPERLINK("https://www.philgeps.gov.ph/GEPSNONPILOT/Tender/SplashBidNoticeAbstractUI.aspx?menuIndex=3&amp;refID=7042889&amp;Result=3","7042889")</f>
        <v>0</v>
      </c>
      <c r="B5043" t="s">
        <v>785</v>
      </c>
      <c r="C5043" t="s">
        <v>7887</v>
      </c>
      <c r="E5043" t="s">
        <v>20763</v>
      </c>
      <c r="F5043" t="s">
        <v>28198</v>
      </c>
      <c r="G5043" t="s">
        <v>28205</v>
      </c>
      <c r="H5043" t="s">
        <v>28215</v>
      </c>
      <c r="I5043" t="s">
        <v>28220</v>
      </c>
      <c r="J5043" t="s">
        <v>28393</v>
      </c>
      <c r="K5043" t="s">
        <v>36689</v>
      </c>
      <c r="M5043" t="s">
        <v>37816</v>
      </c>
      <c r="N5043" t="s">
        <v>40436</v>
      </c>
      <c r="O5043" t="s">
        <v>40437</v>
      </c>
      <c r="P5043">
        <v>0</v>
      </c>
      <c r="Q5043">
        <v>9</v>
      </c>
      <c r="R5043" t="s">
        <v>40440</v>
      </c>
      <c r="S5043" t="s">
        <v>40603</v>
      </c>
      <c r="T5043" t="s">
        <v>42181</v>
      </c>
      <c r="U5043" t="s">
        <v>46667</v>
      </c>
      <c r="W5043" t="s">
        <v>37816</v>
      </c>
      <c r="X5043" t="s">
        <v>40444</v>
      </c>
    </row>
    <row r="5044" spans="1:24">
      <c r="A5044">
        <f>HYPERLINK("https://www.philgeps.gov.ph/GEPSNONPILOT/Tender/SplashBidNoticeAbstractUI.aspx?menuIndex=3&amp;refID=7042684&amp;Result=3","7042684")</f>
        <v>0</v>
      </c>
      <c r="B5044" t="s">
        <v>840</v>
      </c>
      <c r="C5044" t="s">
        <v>7888</v>
      </c>
      <c r="E5044" t="s">
        <v>20764</v>
      </c>
      <c r="F5044" t="s">
        <v>28198</v>
      </c>
      <c r="G5044" t="s">
        <v>28205</v>
      </c>
      <c r="H5044" t="s">
        <v>28215</v>
      </c>
      <c r="I5044" t="s">
        <v>28256</v>
      </c>
      <c r="J5044" t="s">
        <v>31545</v>
      </c>
      <c r="K5044" t="s">
        <v>36689</v>
      </c>
      <c r="M5044" t="s">
        <v>38830</v>
      </c>
      <c r="N5044" t="s">
        <v>40436</v>
      </c>
      <c r="O5044" t="s">
        <v>40437</v>
      </c>
      <c r="Q5044">
        <v>45</v>
      </c>
      <c r="R5044" t="s">
        <v>40440</v>
      </c>
      <c r="S5044" t="s">
        <v>40628</v>
      </c>
      <c r="T5044" t="s">
        <v>42382</v>
      </c>
      <c r="U5044" t="s">
        <v>46907</v>
      </c>
      <c r="W5044" t="s">
        <v>38830</v>
      </c>
      <c r="X5044" t="s">
        <v>40444</v>
      </c>
    </row>
    <row r="5045" spans="1:24">
      <c r="A5045">
        <f>HYPERLINK("https://www.philgeps.gov.ph/GEPSNONPILOT/Tender/SplashBidNoticeAbstractUI.aspx?menuIndex=3&amp;refID=7042912&amp;Result=3","7042912")</f>
        <v>0</v>
      </c>
      <c r="B5045" t="s">
        <v>97</v>
      </c>
      <c r="C5045" t="s">
        <v>7889</v>
      </c>
      <c r="D5045" t="s">
        <v>16226</v>
      </c>
      <c r="E5045" t="s">
        <v>20765</v>
      </c>
      <c r="F5045" t="s">
        <v>28198</v>
      </c>
      <c r="G5045" t="s">
        <v>28205</v>
      </c>
      <c r="H5045" t="s">
        <v>28215</v>
      </c>
      <c r="I5045" t="s">
        <v>28257</v>
      </c>
      <c r="J5045" t="s">
        <v>28378</v>
      </c>
      <c r="K5045" t="s">
        <v>36689</v>
      </c>
      <c r="M5045" t="s">
        <v>38839</v>
      </c>
      <c r="N5045" t="s">
        <v>40436</v>
      </c>
      <c r="O5045" t="s">
        <v>40437</v>
      </c>
      <c r="P5045">
        <v>0</v>
      </c>
      <c r="Q5045">
        <v>0</v>
      </c>
      <c r="R5045" t="s">
        <v>40440</v>
      </c>
      <c r="S5045" t="s">
        <v>40603</v>
      </c>
      <c r="T5045" t="s">
        <v>42129</v>
      </c>
      <c r="U5045" t="s">
        <v>46908</v>
      </c>
      <c r="W5045" t="s">
        <v>38839</v>
      </c>
      <c r="X5045" t="s">
        <v>40444</v>
      </c>
    </row>
    <row r="5046" spans="1:24">
      <c r="A5046">
        <f>HYPERLINK("https://www.philgeps.gov.ph/GEPSNONPILOT/Tender/SplashBidNoticeAbstractUI.aspx?menuIndex=3&amp;refID=7042871&amp;Result=3","7042871")</f>
        <v>0</v>
      </c>
      <c r="B5046" t="s">
        <v>1727</v>
      </c>
      <c r="C5046" t="s">
        <v>7890</v>
      </c>
      <c r="D5046" t="s">
        <v>16203</v>
      </c>
      <c r="E5046" t="s">
        <v>20766</v>
      </c>
      <c r="F5046" t="s">
        <v>28198</v>
      </c>
      <c r="G5046" t="s">
        <v>28205</v>
      </c>
      <c r="H5046" t="s">
        <v>28214</v>
      </c>
      <c r="I5046" t="s">
        <v>3797</v>
      </c>
      <c r="J5046" t="s">
        <v>31546</v>
      </c>
      <c r="K5046" t="s">
        <v>36692</v>
      </c>
      <c r="M5046" t="s">
        <v>38836</v>
      </c>
      <c r="N5046" t="s">
        <v>40436</v>
      </c>
      <c r="O5046" t="s">
        <v>40437</v>
      </c>
      <c r="P5046">
        <v>0</v>
      </c>
      <c r="Q5046">
        <v>0</v>
      </c>
      <c r="R5046" t="s">
        <v>40440</v>
      </c>
      <c r="S5046" t="s">
        <v>40603</v>
      </c>
      <c r="T5046" t="s">
        <v>42171</v>
      </c>
      <c r="U5046" t="s">
        <v>46909</v>
      </c>
      <c r="W5046" t="s">
        <v>38836</v>
      </c>
      <c r="X5046" t="s">
        <v>40444</v>
      </c>
    </row>
    <row r="5047" spans="1:24">
      <c r="A5047">
        <f>HYPERLINK("https://www.philgeps.gov.ph/GEPSNONPILOT/Tender/SplashBidNoticeAbstractUI.aspx?menuIndex=3&amp;refID=7042892&amp;Result=3","7042892")</f>
        <v>0</v>
      </c>
      <c r="B5047" t="s">
        <v>1730</v>
      </c>
      <c r="C5047" t="s">
        <v>7891</v>
      </c>
      <c r="E5047" t="s">
        <v>20767</v>
      </c>
      <c r="F5047" t="s">
        <v>28198</v>
      </c>
      <c r="G5047" t="s">
        <v>28205</v>
      </c>
      <c r="H5047" t="s">
        <v>28215</v>
      </c>
      <c r="I5047" t="s">
        <v>28247</v>
      </c>
      <c r="J5047" t="s">
        <v>28371</v>
      </c>
      <c r="K5047" t="s">
        <v>36694</v>
      </c>
      <c r="M5047" t="s">
        <v>38840</v>
      </c>
      <c r="N5047" t="s">
        <v>40436</v>
      </c>
      <c r="O5047" t="s">
        <v>40437</v>
      </c>
      <c r="P5047">
        <v>0</v>
      </c>
      <c r="Q5047">
        <v>38</v>
      </c>
      <c r="R5047" t="s">
        <v>40440</v>
      </c>
      <c r="S5047" t="s">
        <v>40603</v>
      </c>
      <c r="T5047" t="s">
        <v>42409</v>
      </c>
      <c r="U5047" t="s">
        <v>46910</v>
      </c>
      <c r="W5047" t="s">
        <v>38840</v>
      </c>
      <c r="X5047" t="s">
        <v>40444</v>
      </c>
    </row>
    <row r="5048" spans="1:24">
      <c r="A5048">
        <f>HYPERLINK("https://www.philgeps.gov.ph/GEPSNONPILOT/Tender/SplashBidNoticeAbstractUI.aspx?menuIndex=3&amp;refID=7042878&amp;Result=3","7042878")</f>
        <v>0</v>
      </c>
      <c r="B5048" t="s">
        <v>767</v>
      </c>
      <c r="C5048" t="s">
        <v>7892</v>
      </c>
      <c r="E5048" t="s">
        <v>20768</v>
      </c>
      <c r="F5048" t="s">
        <v>28198</v>
      </c>
      <c r="G5048" t="s">
        <v>28205</v>
      </c>
      <c r="H5048" t="s">
        <v>28214</v>
      </c>
      <c r="I5048" t="s">
        <v>8870</v>
      </c>
      <c r="J5048" t="s">
        <v>31547</v>
      </c>
      <c r="K5048" t="s">
        <v>36689</v>
      </c>
      <c r="M5048" t="s">
        <v>37770</v>
      </c>
      <c r="N5048" t="s">
        <v>40436</v>
      </c>
      <c r="O5048" t="s">
        <v>40437</v>
      </c>
      <c r="P5048">
        <v>0</v>
      </c>
      <c r="Q5048">
        <v>4</v>
      </c>
      <c r="R5048" t="s">
        <v>40440</v>
      </c>
      <c r="S5048" t="s">
        <v>40603</v>
      </c>
      <c r="T5048" t="s">
        <v>42111</v>
      </c>
      <c r="U5048" t="s">
        <v>46911</v>
      </c>
      <c r="W5048" t="s">
        <v>37770</v>
      </c>
      <c r="X5048" t="s">
        <v>40444</v>
      </c>
    </row>
    <row r="5049" spans="1:24">
      <c r="A5049">
        <f>HYPERLINK("https://www.philgeps.gov.ph/GEPSNONPILOT/Tender/SplashBidNoticeAbstractUI.aspx?menuIndex=3&amp;refID=7042863&amp;Result=3","7042863")</f>
        <v>0</v>
      </c>
      <c r="B5049" t="s">
        <v>1728</v>
      </c>
      <c r="C5049" t="s">
        <v>7893</v>
      </c>
      <c r="D5049" t="s">
        <v>16195</v>
      </c>
      <c r="E5049" t="s">
        <v>20769</v>
      </c>
      <c r="F5049" t="s">
        <v>28198</v>
      </c>
      <c r="G5049" t="s">
        <v>28205</v>
      </c>
      <c r="H5049" t="s">
        <v>28215</v>
      </c>
      <c r="I5049" t="s">
        <v>28236</v>
      </c>
      <c r="J5049" t="s">
        <v>31548</v>
      </c>
      <c r="K5049" t="s">
        <v>36687</v>
      </c>
      <c r="M5049" t="s">
        <v>38837</v>
      </c>
      <c r="N5049" t="s">
        <v>40436</v>
      </c>
      <c r="O5049" t="s">
        <v>40437</v>
      </c>
      <c r="P5049">
        <v>0</v>
      </c>
      <c r="Q5049">
        <v>3</v>
      </c>
      <c r="R5049" t="s">
        <v>40440</v>
      </c>
      <c r="S5049" t="s">
        <v>40603</v>
      </c>
      <c r="T5049" t="s">
        <v>42103</v>
      </c>
      <c r="U5049" t="s">
        <v>46912</v>
      </c>
      <c r="V5049" t="s">
        <v>54283</v>
      </c>
      <c r="W5049" t="s">
        <v>38837</v>
      </c>
      <c r="X5049" t="s">
        <v>40444</v>
      </c>
    </row>
    <row r="5050" spans="1:24">
      <c r="A5050">
        <f>HYPERLINK("https://www.philgeps.gov.ph/GEPSNONPILOT/Tender/SplashBidNoticeAbstractUI.aspx?menuIndex=3&amp;refID=7042938&amp;Result=3","7042938")</f>
        <v>0</v>
      </c>
      <c r="B5050" t="s">
        <v>571</v>
      </c>
      <c r="C5050" t="s">
        <v>7894</v>
      </c>
      <c r="D5050" t="s">
        <v>16210</v>
      </c>
      <c r="E5050" t="s">
        <v>16757</v>
      </c>
      <c r="F5050" t="s">
        <v>28198</v>
      </c>
      <c r="G5050" t="s">
        <v>28205</v>
      </c>
      <c r="H5050" t="s">
        <v>28215</v>
      </c>
      <c r="I5050" t="s">
        <v>28220</v>
      </c>
      <c r="J5050" t="s">
        <v>30991</v>
      </c>
      <c r="K5050" t="s">
        <v>36697</v>
      </c>
      <c r="M5050" t="s">
        <v>38664</v>
      </c>
      <c r="N5050" t="s">
        <v>40436</v>
      </c>
      <c r="O5050" t="s">
        <v>40437</v>
      </c>
      <c r="Q5050">
        <v>11</v>
      </c>
      <c r="R5050" t="s">
        <v>40440</v>
      </c>
      <c r="S5050" t="s">
        <v>40598</v>
      </c>
      <c r="T5050" t="s">
        <v>42106</v>
      </c>
      <c r="U5050" t="s">
        <v>46913</v>
      </c>
      <c r="W5050" t="s">
        <v>38664</v>
      </c>
      <c r="X5050" t="s">
        <v>40444</v>
      </c>
    </row>
    <row r="5051" spans="1:24">
      <c r="A5051">
        <f>HYPERLINK("https://www.philgeps.gov.ph/GEPSNONPILOT/Tender/SplashBidNoticeAbstractUI.aspx?menuIndex=3&amp;refID=7042862&amp;Result=3","7042862")</f>
        <v>0</v>
      </c>
      <c r="B5051" t="s">
        <v>1730</v>
      </c>
      <c r="C5051" t="s">
        <v>7891</v>
      </c>
      <c r="E5051" t="s">
        <v>20770</v>
      </c>
      <c r="F5051" t="s">
        <v>28198</v>
      </c>
      <c r="G5051" t="s">
        <v>28205</v>
      </c>
      <c r="H5051" t="s">
        <v>28215</v>
      </c>
      <c r="I5051" t="s">
        <v>28247</v>
      </c>
      <c r="J5051" t="s">
        <v>31549</v>
      </c>
      <c r="K5051" t="s">
        <v>36694</v>
      </c>
      <c r="M5051" t="s">
        <v>38840</v>
      </c>
      <c r="N5051" t="s">
        <v>40436</v>
      </c>
      <c r="O5051" t="s">
        <v>40437</v>
      </c>
      <c r="P5051">
        <v>0</v>
      </c>
      <c r="Q5051">
        <v>41</v>
      </c>
      <c r="R5051" t="s">
        <v>40440</v>
      </c>
      <c r="S5051" t="s">
        <v>40603</v>
      </c>
      <c r="T5051" t="s">
        <v>42410</v>
      </c>
      <c r="U5051" t="s">
        <v>46910</v>
      </c>
      <c r="W5051" t="s">
        <v>38840</v>
      </c>
      <c r="X5051" t="s">
        <v>40444</v>
      </c>
    </row>
    <row r="5052" spans="1:24">
      <c r="A5052">
        <f>HYPERLINK("https://www.philgeps.gov.ph/GEPSNONPILOT/Tender/SplashBidNoticeAbstractUI.aspx?menuIndex=3&amp;refID=7042867&amp;Result=3","7042867")</f>
        <v>0</v>
      </c>
      <c r="B5052" t="s">
        <v>767</v>
      </c>
      <c r="C5052" t="s">
        <v>7895</v>
      </c>
      <c r="E5052" t="s">
        <v>20771</v>
      </c>
      <c r="F5052" t="s">
        <v>28198</v>
      </c>
      <c r="G5052" t="s">
        <v>28205</v>
      </c>
      <c r="H5052" t="s">
        <v>28215</v>
      </c>
      <c r="I5052" t="s">
        <v>28300</v>
      </c>
      <c r="J5052" t="s">
        <v>28699</v>
      </c>
      <c r="K5052" t="s">
        <v>36689</v>
      </c>
      <c r="M5052" t="s">
        <v>37770</v>
      </c>
      <c r="N5052" t="s">
        <v>40436</v>
      </c>
      <c r="O5052" t="s">
        <v>40437</v>
      </c>
      <c r="P5052">
        <v>0</v>
      </c>
      <c r="Q5052">
        <v>5</v>
      </c>
      <c r="R5052" t="s">
        <v>40440</v>
      </c>
      <c r="S5052" t="s">
        <v>40603</v>
      </c>
      <c r="T5052" t="s">
        <v>42111</v>
      </c>
      <c r="U5052" t="s">
        <v>46914</v>
      </c>
      <c r="W5052" t="s">
        <v>37770</v>
      </c>
      <c r="X5052" t="s">
        <v>40444</v>
      </c>
    </row>
    <row r="5053" spans="1:24">
      <c r="A5053">
        <f>HYPERLINK("https://www.philgeps.gov.ph/GEPSNONPILOT/Tender/SplashBidNoticeAbstractUI.aspx?menuIndex=3&amp;refID=7042940&amp;Result=3","7042940")</f>
        <v>0</v>
      </c>
      <c r="B5053" t="s">
        <v>1425</v>
      </c>
      <c r="C5053" t="s">
        <v>7896</v>
      </c>
      <c r="D5053" t="s">
        <v>16223</v>
      </c>
      <c r="E5053" t="s">
        <v>20772</v>
      </c>
      <c r="F5053" t="s">
        <v>28198</v>
      </c>
      <c r="G5053" t="s">
        <v>28205</v>
      </c>
      <c r="H5053" t="s">
        <v>28215</v>
      </c>
      <c r="I5053" t="s">
        <v>5100</v>
      </c>
      <c r="J5053" t="s">
        <v>31550</v>
      </c>
      <c r="K5053" t="s">
        <v>36706</v>
      </c>
      <c r="M5053" t="s">
        <v>38841</v>
      </c>
      <c r="N5053" t="s">
        <v>40436</v>
      </c>
      <c r="O5053" t="s">
        <v>40437</v>
      </c>
      <c r="P5053">
        <v>0</v>
      </c>
      <c r="Q5053">
        <v>0</v>
      </c>
      <c r="R5053" t="s">
        <v>40440</v>
      </c>
      <c r="S5053" t="s">
        <v>40603</v>
      </c>
      <c r="T5053" t="s">
        <v>42234</v>
      </c>
      <c r="U5053" t="s">
        <v>46915</v>
      </c>
      <c r="W5053" t="s">
        <v>40160</v>
      </c>
      <c r="X5053" t="s">
        <v>40444</v>
      </c>
    </row>
    <row r="5054" spans="1:24">
      <c r="A5054">
        <f>HYPERLINK("https://www.philgeps.gov.ph/GEPSNONPILOT/Tender/SplashBidNoticeAbstractUI.aspx?menuIndex=3&amp;refID=7042866&amp;Result=3","7042866")</f>
        <v>0</v>
      </c>
      <c r="B5054" t="s">
        <v>118</v>
      </c>
      <c r="C5054" t="s">
        <v>4200</v>
      </c>
      <c r="D5054" t="s">
        <v>16191</v>
      </c>
      <c r="E5054" t="s">
        <v>20773</v>
      </c>
      <c r="F5054" t="s">
        <v>28198</v>
      </c>
      <c r="G5054" t="s">
        <v>28207</v>
      </c>
      <c r="H5054" t="s">
        <v>28215</v>
      </c>
      <c r="I5054" t="s">
        <v>4200</v>
      </c>
      <c r="J5054" t="s">
        <v>31551</v>
      </c>
      <c r="K5054" t="s">
        <v>36701</v>
      </c>
      <c r="M5054" t="s">
        <v>37092</v>
      </c>
      <c r="N5054" t="s">
        <v>40436</v>
      </c>
      <c r="O5054" t="s">
        <v>40437</v>
      </c>
      <c r="P5054">
        <v>0</v>
      </c>
      <c r="Q5054">
        <v>0</v>
      </c>
      <c r="R5054" t="s">
        <v>40440</v>
      </c>
      <c r="S5054" t="s">
        <v>40603</v>
      </c>
      <c r="T5054" t="s">
        <v>42205</v>
      </c>
      <c r="U5054" t="s">
        <v>46916</v>
      </c>
      <c r="W5054" t="s">
        <v>37092</v>
      </c>
      <c r="X5054" t="s">
        <v>40444</v>
      </c>
    </row>
    <row r="5055" spans="1:24">
      <c r="A5055">
        <f>HYPERLINK("https://www.philgeps.gov.ph/GEPSNONPILOT/Tender/SplashBidNoticeAbstractUI.aspx?menuIndex=3&amp;refID=7042960&amp;Result=3","7042960")</f>
        <v>0</v>
      </c>
      <c r="B5055" t="s">
        <v>571</v>
      </c>
      <c r="C5055" t="s">
        <v>7897</v>
      </c>
      <c r="D5055" t="s">
        <v>16210</v>
      </c>
      <c r="E5055" t="s">
        <v>16751</v>
      </c>
      <c r="F5055" t="s">
        <v>28198</v>
      </c>
      <c r="G5055" t="s">
        <v>28205</v>
      </c>
      <c r="H5055" t="s">
        <v>28215</v>
      </c>
      <c r="I5055" t="s">
        <v>28220</v>
      </c>
      <c r="J5055" t="s">
        <v>28699</v>
      </c>
      <c r="K5055" t="s">
        <v>36697</v>
      </c>
      <c r="M5055" t="s">
        <v>38664</v>
      </c>
      <c r="N5055" t="s">
        <v>40436</v>
      </c>
      <c r="O5055" t="s">
        <v>40437</v>
      </c>
      <c r="Q5055">
        <v>16</v>
      </c>
      <c r="R5055" t="s">
        <v>40440</v>
      </c>
      <c r="S5055" t="s">
        <v>40629</v>
      </c>
      <c r="T5055" t="s">
        <v>42327</v>
      </c>
      <c r="U5055" t="s">
        <v>46917</v>
      </c>
      <c r="W5055" t="s">
        <v>38664</v>
      </c>
      <c r="X5055" t="s">
        <v>40444</v>
      </c>
    </row>
    <row r="5056" spans="1:24">
      <c r="A5056">
        <f>HYPERLINK("https://www.philgeps.gov.ph/GEPSNONPILOT/Tender/SplashBidNoticeAbstractUI.aspx?menuIndex=3&amp;refID=7042897&amp;Result=3","7042897")</f>
        <v>0</v>
      </c>
      <c r="B5056" t="s">
        <v>97</v>
      </c>
      <c r="C5056" t="s">
        <v>7898</v>
      </c>
      <c r="D5056" t="s">
        <v>16226</v>
      </c>
      <c r="E5056" t="s">
        <v>20774</v>
      </c>
      <c r="F5056" t="s">
        <v>28198</v>
      </c>
      <c r="G5056" t="s">
        <v>28205</v>
      </c>
      <c r="H5056" t="s">
        <v>28215</v>
      </c>
      <c r="I5056" t="s">
        <v>28281</v>
      </c>
      <c r="J5056" t="s">
        <v>28415</v>
      </c>
      <c r="K5056" t="s">
        <v>36689</v>
      </c>
      <c r="M5056" t="s">
        <v>38839</v>
      </c>
      <c r="N5056" t="s">
        <v>40436</v>
      </c>
      <c r="O5056" t="s">
        <v>40437</v>
      </c>
      <c r="P5056">
        <v>0</v>
      </c>
      <c r="Q5056">
        <v>2</v>
      </c>
      <c r="R5056" t="s">
        <v>40440</v>
      </c>
      <c r="S5056" t="s">
        <v>40603</v>
      </c>
      <c r="T5056" t="s">
        <v>42129</v>
      </c>
      <c r="U5056" t="s">
        <v>46918</v>
      </c>
      <c r="W5056" t="s">
        <v>38839</v>
      </c>
      <c r="X5056" t="s">
        <v>40444</v>
      </c>
    </row>
    <row r="5057" spans="1:24">
      <c r="A5057">
        <f>HYPERLINK("https://www.philgeps.gov.ph/GEPSNONPILOT/Tender/SplashBidNoticeAbstractUI.aspx?menuIndex=3&amp;refID=7042963&amp;Result=3","7042963")</f>
        <v>0</v>
      </c>
      <c r="B5057" t="s">
        <v>1729</v>
      </c>
      <c r="C5057" t="s">
        <v>7899</v>
      </c>
      <c r="D5057" t="s">
        <v>16249</v>
      </c>
      <c r="E5057" t="s">
        <v>20775</v>
      </c>
      <c r="F5057" t="s">
        <v>28198</v>
      </c>
      <c r="G5057" t="s">
        <v>28207</v>
      </c>
      <c r="H5057" t="s">
        <v>28215</v>
      </c>
      <c r="I5057" t="s">
        <v>8888</v>
      </c>
      <c r="J5057" t="s">
        <v>31552</v>
      </c>
      <c r="K5057" t="s">
        <v>36707</v>
      </c>
      <c r="M5057" t="s">
        <v>38838</v>
      </c>
      <c r="N5057" t="s">
        <v>40436</v>
      </c>
      <c r="O5057" t="s">
        <v>40437</v>
      </c>
      <c r="P5057">
        <v>0</v>
      </c>
      <c r="Q5057">
        <v>1</v>
      </c>
      <c r="R5057" t="s">
        <v>40440</v>
      </c>
      <c r="S5057" t="s">
        <v>40603</v>
      </c>
      <c r="T5057" t="s">
        <v>42233</v>
      </c>
      <c r="U5057" t="s">
        <v>46919</v>
      </c>
      <c r="W5057" t="s">
        <v>55493</v>
      </c>
      <c r="X5057" t="s">
        <v>40444</v>
      </c>
    </row>
    <row r="5058" spans="1:24">
      <c r="A5058">
        <f>HYPERLINK("https://www.philgeps.gov.ph/GEPSNONPILOT/Tender/SplashBidNoticeAbstractUI.aspx?menuIndex=3&amp;refID=7042907&amp;Result=3","7042907")</f>
        <v>0</v>
      </c>
      <c r="B5058" t="s">
        <v>785</v>
      </c>
      <c r="C5058" t="s">
        <v>7900</v>
      </c>
      <c r="E5058" t="s">
        <v>20776</v>
      </c>
      <c r="F5058" t="s">
        <v>28198</v>
      </c>
      <c r="G5058" t="s">
        <v>28205</v>
      </c>
      <c r="H5058" t="s">
        <v>28215</v>
      </c>
      <c r="I5058" t="s">
        <v>28220</v>
      </c>
      <c r="J5058" t="s">
        <v>29620</v>
      </c>
      <c r="K5058" t="s">
        <v>36689</v>
      </c>
      <c r="M5058" t="s">
        <v>37816</v>
      </c>
      <c r="N5058" t="s">
        <v>40436</v>
      </c>
      <c r="O5058" t="s">
        <v>40437</v>
      </c>
      <c r="P5058">
        <v>0</v>
      </c>
      <c r="Q5058">
        <v>9</v>
      </c>
      <c r="R5058" t="s">
        <v>40440</v>
      </c>
      <c r="S5058" t="s">
        <v>40603</v>
      </c>
      <c r="T5058" t="s">
        <v>42181</v>
      </c>
      <c r="U5058" t="s">
        <v>46667</v>
      </c>
      <c r="W5058" t="s">
        <v>37816</v>
      </c>
      <c r="X5058" t="s">
        <v>40444</v>
      </c>
    </row>
    <row r="5059" spans="1:24">
      <c r="A5059">
        <f>HYPERLINK("https://www.philgeps.gov.ph/GEPSNONPILOT/Tender/SplashBidNoticeAbstractUI.aspx?menuIndex=3&amp;refID=7042973&amp;Result=3","7042973")</f>
        <v>0</v>
      </c>
      <c r="B5059" t="s">
        <v>1731</v>
      </c>
      <c r="C5059" t="s">
        <v>7901</v>
      </c>
      <c r="D5059" t="s">
        <v>16193</v>
      </c>
      <c r="E5059" t="s">
        <v>20777</v>
      </c>
      <c r="F5059" t="s">
        <v>28198</v>
      </c>
      <c r="G5059" t="s">
        <v>28210</v>
      </c>
      <c r="H5059" t="s">
        <v>28215</v>
      </c>
      <c r="I5059" t="s">
        <v>5082</v>
      </c>
      <c r="J5059" t="s">
        <v>31553</v>
      </c>
      <c r="K5059" t="s">
        <v>36707</v>
      </c>
      <c r="M5059" t="s">
        <v>38842</v>
      </c>
      <c r="N5059" t="s">
        <v>40436</v>
      </c>
      <c r="O5059" t="s">
        <v>40437</v>
      </c>
      <c r="P5059">
        <v>0</v>
      </c>
      <c r="Q5059">
        <v>1</v>
      </c>
      <c r="R5059" t="s">
        <v>40440</v>
      </c>
      <c r="S5059" t="s">
        <v>40603</v>
      </c>
      <c r="T5059" t="s">
        <v>42190</v>
      </c>
      <c r="U5059" t="s">
        <v>46920</v>
      </c>
      <c r="W5059" t="s">
        <v>38842</v>
      </c>
      <c r="X5059" t="s">
        <v>40444</v>
      </c>
    </row>
    <row r="5060" spans="1:24">
      <c r="A5060">
        <f>HYPERLINK("https://www.philgeps.gov.ph/GEPSNONPILOT/Tender/SplashBidNoticeAbstractUI.aspx?menuIndex=3&amp;refID=7042957&amp;Result=3","7042957")</f>
        <v>0</v>
      </c>
      <c r="B5060" t="s">
        <v>1731</v>
      </c>
      <c r="C5060" t="s">
        <v>3325</v>
      </c>
      <c r="D5060" t="s">
        <v>16193</v>
      </c>
      <c r="E5060" t="s">
        <v>20778</v>
      </c>
      <c r="F5060" t="s">
        <v>28198</v>
      </c>
      <c r="G5060" t="s">
        <v>28210</v>
      </c>
      <c r="H5060" t="s">
        <v>28215</v>
      </c>
      <c r="I5060" t="s">
        <v>5071</v>
      </c>
      <c r="J5060" t="s">
        <v>31554</v>
      </c>
      <c r="K5060" t="s">
        <v>36707</v>
      </c>
      <c r="M5060" t="s">
        <v>38842</v>
      </c>
      <c r="N5060" t="s">
        <v>40436</v>
      </c>
      <c r="O5060" t="s">
        <v>40437</v>
      </c>
      <c r="P5060">
        <v>0</v>
      </c>
      <c r="Q5060">
        <v>3</v>
      </c>
      <c r="R5060" t="s">
        <v>40440</v>
      </c>
      <c r="S5060" t="s">
        <v>40603</v>
      </c>
      <c r="T5060" t="s">
        <v>42190</v>
      </c>
      <c r="U5060" t="s">
        <v>46920</v>
      </c>
      <c r="W5060" t="s">
        <v>38842</v>
      </c>
      <c r="X5060" t="s">
        <v>40444</v>
      </c>
    </row>
    <row r="5061" spans="1:24">
      <c r="A5061">
        <f>HYPERLINK("https://www.philgeps.gov.ph/GEPSNONPILOT/Tender/SplashBidNoticeAbstractUI.aspx?menuIndex=3&amp;refID=7042974&amp;Result=3","7042974")</f>
        <v>0</v>
      </c>
      <c r="B5061" t="s">
        <v>116</v>
      </c>
      <c r="C5061" t="s">
        <v>7902</v>
      </c>
      <c r="D5061" t="s">
        <v>16207</v>
      </c>
      <c r="E5061" t="s">
        <v>20779</v>
      </c>
      <c r="F5061" t="s">
        <v>28198</v>
      </c>
      <c r="G5061" t="s">
        <v>28207</v>
      </c>
      <c r="H5061" t="s">
        <v>28215</v>
      </c>
      <c r="I5061" t="s">
        <v>4200</v>
      </c>
      <c r="J5061" t="s">
        <v>28864</v>
      </c>
      <c r="K5061" t="s">
        <v>36706</v>
      </c>
      <c r="M5061" t="s">
        <v>37090</v>
      </c>
      <c r="N5061" t="s">
        <v>40436</v>
      </c>
      <c r="O5061" t="s">
        <v>40437</v>
      </c>
      <c r="P5061">
        <v>0</v>
      </c>
      <c r="Q5061">
        <v>0</v>
      </c>
      <c r="R5061" t="s">
        <v>40440</v>
      </c>
      <c r="S5061" t="s">
        <v>40603</v>
      </c>
      <c r="T5061" t="s">
        <v>42233</v>
      </c>
      <c r="U5061" t="s">
        <v>46921</v>
      </c>
      <c r="W5061" t="s">
        <v>37090</v>
      </c>
      <c r="X5061" t="s">
        <v>40444</v>
      </c>
    </row>
    <row r="5062" spans="1:24">
      <c r="A5062">
        <f>HYPERLINK("https://www.philgeps.gov.ph/GEPSNONPILOT/Tender/SplashBidNoticeAbstractUI.aspx?menuIndex=3&amp;refID=7042951&amp;Result=3","7042951")</f>
        <v>0</v>
      </c>
      <c r="B5062" t="s">
        <v>116</v>
      </c>
      <c r="C5062" t="s">
        <v>7903</v>
      </c>
      <c r="D5062" t="s">
        <v>16207</v>
      </c>
      <c r="E5062" t="s">
        <v>20752</v>
      </c>
      <c r="F5062" t="s">
        <v>28198</v>
      </c>
      <c r="G5062" t="s">
        <v>28207</v>
      </c>
      <c r="H5062" t="s">
        <v>28215</v>
      </c>
      <c r="I5062" t="s">
        <v>4200</v>
      </c>
      <c r="J5062" t="s">
        <v>29220</v>
      </c>
      <c r="K5062" t="s">
        <v>36706</v>
      </c>
      <c r="M5062" t="s">
        <v>37090</v>
      </c>
      <c r="N5062" t="s">
        <v>40436</v>
      </c>
      <c r="O5062" t="s">
        <v>40437</v>
      </c>
      <c r="P5062">
        <v>0</v>
      </c>
      <c r="Q5062">
        <v>0</v>
      </c>
      <c r="R5062" t="s">
        <v>40440</v>
      </c>
      <c r="S5062" t="s">
        <v>40603</v>
      </c>
      <c r="T5062" t="s">
        <v>42233</v>
      </c>
      <c r="U5062" t="s">
        <v>46922</v>
      </c>
      <c r="W5062" t="s">
        <v>37090</v>
      </c>
      <c r="X5062" t="s">
        <v>40444</v>
      </c>
    </row>
    <row r="5063" spans="1:24">
      <c r="A5063">
        <f>HYPERLINK("https://www.philgeps.gov.ph/GEPSNONPILOT/Tender/SplashBidNoticeAbstractUI.aspx?menuIndex=3&amp;refID=7043054&amp;Result=3","7043054")</f>
        <v>0</v>
      </c>
      <c r="B5063" t="s">
        <v>1729</v>
      </c>
      <c r="C5063" t="s">
        <v>7904</v>
      </c>
      <c r="D5063" t="s">
        <v>16249</v>
      </c>
      <c r="E5063" t="s">
        <v>20780</v>
      </c>
      <c r="F5063" t="s">
        <v>28198</v>
      </c>
      <c r="G5063" t="s">
        <v>28207</v>
      </c>
      <c r="H5063" t="s">
        <v>28215</v>
      </c>
      <c r="I5063" t="s">
        <v>28225</v>
      </c>
      <c r="J5063" t="s">
        <v>31555</v>
      </c>
      <c r="K5063" t="s">
        <v>36707</v>
      </c>
      <c r="M5063" t="s">
        <v>38838</v>
      </c>
      <c r="N5063" t="s">
        <v>40436</v>
      </c>
      <c r="O5063" t="s">
        <v>40437</v>
      </c>
      <c r="P5063">
        <v>0</v>
      </c>
      <c r="Q5063">
        <v>3</v>
      </c>
      <c r="R5063" t="s">
        <v>40440</v>
      </c>
      <c r="S5063" t="s">
        <v>40603</v>
      </c>
      <c r="T5063" t="s">
        <v>42233</v>
      </c>
      <c r="U5063" t="s">
        <v>46923</v>
      </c>
      <c r="W5063" t="s">
        <v>55493</v>
      </c>
      <c r="X5063" t="s">
        <v>40444</v>
      </c>
    </row>
    <row r="5064" spans="1:24">
      <c r="A5064">
        <f>HYPERLINK("https://www.philgeps.gov.ph/GEPSNONPILOT/Tender/SplashBidNoticeAbstractUI.aspx?menuIndex=3&amp;refID=7043009&amp;Result=3","7043009")</f>
        <v>0</v>
      </c>
      <c r="B5064" t="s">
        <v>1682</v>
      </c>
      <c r="C5064" t="s">
        <v>7905</v>
      </c>
      <c r="D5064" t="s">
        <v>16214</v>
      </c>
      <c r="E5064" t="s">
        <v>20781</v>
      </c>
      <c r="F5064" t="s">
        <v>28198</v>
      </c>
      <c r="G5064" t="s">
        <v>28207</v>
      </c>
      <c r="H5064" t="s">
        <v>28215</v>
      </c>
      <c r="I5064" t="s">
        <v>4219</v>
      </c>
      <c r="J5064" t="s">
        <v>31556</v>
      </c>
      <c r="K5064" t="s">
        <v>36701</v>
      </c>
      <c r="M5064" t="s">
        <v>38778</v>
      </c>
      <c r="N5064" t="s">
        <v>40436</v>
      </c>
      <c r="O5064" t="s">
        <v>40437</v>
      </c>
      <c r="P5064">
        <v>0</v>
      </c>
      <c r="Q5064">
        <v>1</v>
      </c>
      <c r="R5064" t="s">
        <v>40440</v>
      </c>
      <c r="S5064" t="s">
        <v>40603</v>
      </c>
      <c r="T5064" t="s">
        <v>42169</v>
      </c>
      <c r="U5064" t="s">
        <v>46924</v>
      </c>
      <c r="V5064" t="s">
        <v>54284</v>
      </c>
      <c r="W5064" t="s">
        <v>38778</v>
      </c>
      <c r="X5064" t="s">
        <v>40444</v>
      </c>
    </row>
    <row r="5065" spans="1:24">
      <c r="A5065">
        <f>HYPERLINK("https://www.philgeps.gov.ph/GEPSNONPILOT/Tender/SplashBidNoticeAbstractUI.aspx?menuIndex=3&amp;refID=7043038&amp;Result=3","7043038")</f>
        <v>0</v>
      </c>
      <c r="B5065" t="s">
        <v>1730</v>
      </c>
      <c r="C5065" t="s">
        <v>7906</v>
      </c>
      <c r="D5065" t="s">
        <v>16210</v>
      </c>
      <c r="E5065" t="s">
        <v>20782</v>
      </c>
      <c r="F5065" t="s">
        <v>28198</v>
      </c>
      <c r="G5065" t="s">
        <v>28205</v>
      </c>
      <c r="H5065" t="s">
        <v>28214</v>
      </c>
      <c r="I5065" t="s">
        <v>3797</v>
      </c>
      <c r="J5065" t="s">
        <v>29291</v>
      </c>
      <c r="K5065" t="s">
        <v>36697</v>
      </c>
      <c r="M5065" t="s">
        <v>38840</v>
      </c>
      <c r="N5065" t="s">
        <v>40436</v>
      </c>
      <c r="O5065" t="s">
        <v>40437</v>
      </c>
      <c r="P5065">
        <v>0</v>
      </c>
      <c r="Q5065">
        <v>5</v>
      </c>
      <c r="R5065" t="s">
        <v>40440</v>
      </c>
      <c r="S5065" t="s">
        <v>40603</v>
      </c>
      <c r="T5065" t="s">
        <v>42411</v>
      </c>
      <c r="U5065" t="s">
        <v>46910</v>
      </c>
      <c r="W5065" t="s">
        <v>38840</v>
      </c>
      <c r="X5065" t="s">
        <v>40444</v>
      </c>
    </row>
    <row r="5066" spans="1:24">
      <c r="A5066">
        <f>HYPERLINK("https://www.philgeps.gov.ph/GEPSNONPILOT/Tender/SplashBidNoticeAbstractUI.aspx?menuIndex=3&amp;refID=7043004&amp;Result=3","7043004")</f>
        <v>0</v>
      </c>
      <c r="B5066" t="s">
        <v>1682</v>
      </c>
      <c r="C5066" t="s">
        <v>7907</v>
      </c>
      <c r="D5066" t="s">
        <v>16214</v>
      </c>
      <c r="E5066" t="s">
        <v>20783</v>
      </c>
      <c r="F5066" t="s">
        <v>28198</v>
      </c>
      <c r="G5066" t="s">
        <v>28207</v>
      </c>
      <c r="H5066" t="s">
        <v>28215</v>
      </c>
      <c r="I5066" t="s">
        <v>28287</v>
      </c>
      <c r="J5066" t="s">
        <v>28416</v>
      </c>
      <c r="K5066" t="s">
        <v>36701</v>
      </c>
      <c r="M5066" t="s">
        <v>38778</v>
      </c>
      <c r="N5066" t="s">
        <v>40436</v>
      </c>
      <c r="O5066" t="s">
        <v>40437</v>
      </c>
      <c r="P5066">
        <v>0</v>
      </c>
      <c r="Q5066">
        <v>4</v>
      </c>
      <c r="R5066" t="s">
        <v>40440</v>
      </c>
      <c r="S5066" t="s">
        <v>40603</v>
      </c>
      <c r="T5066" t="s">
        <v>42169</v>
      </c>
      <c r="U5066" t="s">
        <v>46925</v>
      </c>
      <c r="V5066" t="s">
        <v>54285</v>
      </c>
      <c r="W5066" t="s">
        <v>38778</v>
      </c>
      <c r="X5066" t="s">
        <v>40444</v>
      </c>
    </row>
    <row r="5067" spans="1:24">
      <c r="A5067">
        <f>HYPERLINK("https://www.philgeps.gov.ph/GEPSNONPILOT/Tender/SplashBidNoticeAbstractUI.aspx?menuIndex=3&amp;refID=7042980&amp;Result=3","7042980")</f>
        <v>0</v>
      </c>
      <c r="B5067" t="s">
        <v>116</v>
      </c>
      <c r="C5067" t="s">
        <v>7902</v>
      </c>
      <c r="D5067" t="s">
        <v>16207</v>
      </c>
      <c r="E5067" t="s">
        <v>20784</v>
      </c>
      <c r="F5067" t="s">
        <v>28198</v>
      </c>
      <c r="G5067" t="s">
        <v>28207</v>
      </c>
      <c r="H5067" t="s">
        <v>28215</v>
      </c>
      <c r="I5067" t="s">
        <v>4200</v>
      </c>
      <c r="J5067" t="s">
        <v>29134</v>
      </c>
      <c r="K5067" t="s">
        <v>36706</v>
      </c>
      <c r="M5067" t="s">
        <v>37090</v>
      </c>
      <c r="N5067" t="s">
        <v>40436</v>
      </c>
      <c r="O5067" t="s">
        <v>40437</v>
      </c>
      <c r="P5067">
        <v>0</v>
      </c>
      <c r="Q5067">
        <v>0</v>
      </c>
      <c r="R5067" t="s">
        <v>40440</v>
      </c>
      <c r="S5067" t="s">
        <v>40603</v>
      </c>
      <c r="T5067" t="s">
        <v>42233</v>
      </c>
      <c r="U5067" t="s">
        <v>46926</v>
      </c>
      <c r="W5067" t="s">
        <v>37090</v>
      </c>
      <c r="X5067" t="s">
        <v>40444</v>
      </c>
    </row>
    <row r="5068" spans="1:24">
      <c r="A5068">
        <f>HYPERLINK("https://www.philgeps.gov.ph/GEPSNONPILOT/Tender/SplashBidNoticeAbstractUI.aspx?menuIndex=3&amp;refID=7043095&amp;Result=3","7043095")</f>
        <v>0</v>
      </c>
      <c r="B5068" t="s">
        <v>1732</v>
      </c>
      <c r="C5068" t="s">
        <v>7908</v>
      </c>
      <c r="D5068" t="s">
        <v>16191</v>
      </c>
      <c r="E5068" t="s">
        <v>20785</v>
      </c>
      <c r="F5068" t="s">
        <v>28198</v>
      </c>
      <c r="G5068" t="s">
        <v>28207</v>
      </c>
      <c r="H5068" t="s">
        <v>28215</v>
      </c>
      <c r="I5068" t="s">
        <v>28257</v>
      </c>
      <c r="J5068" t="s">
        <v>31557</v>
      </c>
      <c r="K5068" t="s">
        <v>36689</v>
      </c>
      <c r="M5068" t="s">
        <v>38843</v>
      </c>
      <c r="N5068" t="s">
        <v>40436</v>
      </c>
      <c r="O5068" t="s">
        <v>40437</v>
      </c>
      <c r="P5068">
        <v>0</v>
      </c>
      <c r="Q5068">
        <v>3</v>
      </c>
      <c r="R5068" t="s">
        <v>40440</v>
      </c>
      <c r="S5068" t="s">
        <v>40603</v>
      </c>
      <c r="T5068" t="s">
        <v>42297</v>
      </c>
      <c r="U5068" t="s">
        <v>46927</v>
      </c>
      <c r="W5068" t="s">
        <v>38843</v>
      </c>
      <c r="X5068" t="s">
        <v>40444</v>
      </c>
    </row>
    <row r="5069" spans="1:24">
      <c r="A5069">
        <f>HYPERLINK("https://www.philgeps.gov.ph/GEPSNONPILOT/Tender/SplashBidNoticeAbstractUI.aspx?menuIndex=3&amp;refID=7043078&amp;Result=3","7043078")</f>
        <v>0</v>
      </c>
      <c r="B5069" t="s">
        <v>1733</v>
      </c>
      <c r="C5069" t="s">
        <v>7909</v>
      </c>
      <c r="D5069" t="s">
        <v>16187</v>
      </c>
      <c r="E5069" t="s">
        <v>17277</v>
      </c>
      <c r="F5069" t="s">
        <v>28198</v>
      </c>
      <c r="G5069" t="s">
        <v>28207</v>
      </c>
      <c r="H5069" t="s">
        <v>28215</v>
      </c>
      <c r="I5069" t="s">
        <v>5103</v>
      </c>
      <c r="J5069" t="s">
        <v>31558</v>
      </c>
      <c r="K5069" t="s">
        <v>36693</v>
      </c>
      <c r="M5069" t="s">
        <v>38844</v>
      </c>
      <c r="N5069" t="s">
        <v>40436</v>
      </c>
      <c r="O5069" t="s">
        <v>40437</v>
      </c>
      <c r="P5069">
        <v>0</v>
      </c>
      <c r="Q5069">
        <v>0</v>
      </c>
      <c r="R5069" t="s">
        <v>40440</v>
      </c>
      <c r="S5069" t="s">
        <v>40603</v>
      </c>
      <c r="T5069" t="s">
        <v>42412</v>
      </c>
      <c r="U5069" t="s">
        <v>46928</v>
      </c>
      <c r="V5069" t="s">
        <v>54286</v>
      </c>
      <c r="W5069" t="s">
        <v>38844</v>
      </c>
      <c r="X5069" t="s">
        <v>40444</v>
      </c>
    </row>
    <row r="5070" spans="1:24">
      <c r="A5070">
        <f>HYPERLINK("https://www.philgeps.gov.ph/GEPSNONPILOT/Tender/SplashBidNoticeAbstractUI.aspx?menuIndex=3&amp;refID=7043021&amp;Result=3","7043021")</f>
        <v>0</v>
      </c>
      <c r="B5070" t="s">
        <v>841</v>
      </c>
      <c r="C5070" t="s">
        <v>7910</v>
      </c>
      <c r="D5070" t="s">
        <v>16200</v>
      </c>
      <c r="E5070" t="s">
        <v>20786</v>
      </c>
      <c r="F5070" t="s">
        <v>28198</v>
      </c>
      <c r="G5070" t="s">
        <v>28205</v>
      </c>
      <c r="H5070" t="s">
        <v>28214</v>
      </c>
      <c r="I5070" t="s">
        <v>3797</v>
      </c>
      <c r="J5070" t="s">
        <v>28393</v>
      </c>
      <c r="K5070" t="s">
        <v>36736</v>
      </c>
      <c r="M5070" t="s">
        <v>37853</v>
      </c>
      <c r="N5070" t="s">
        <v>40436</v>
      </c>
      <c r="O5070" t="s">
        <v>40437</v>
      </c>
      <c r="P5070">
        <v>0</v>
      </c>
      <c r="Q5070">
        <v>0</v>
      </c>
      <c r="R5070" t="s">
        <v>40440</v>
      </c>
      <c r="S5070" t="s">
        <v>40603</v>
      </c>
      <c r="T5070" t="s">
        <v>42103</v>
      </c>
      <c r="U5070" t="s">
        <v>46929</v>
      </c>
      <c r="W5070" t="s">
        <v>37853</v>
      </c>
      <c r="X5070" t="s">
        <v>40444</v>
      </c>
    </row>
    <row r="5071" spans="1:24">
      <c r="A5071">
        <f>HYPERLINK("https://www.philgeps.gov.ph/GEPSNONPILOT/Tender/SplashBidNoticeAbstractUI.aspx?menuIndex=3&amp;refID=7043010&amp;Result=3","7043010")</f>
        <v>0</v>
      </c>
      <c r="B5071" t="s">
        <v>841</v>
      </c>
      <c r="C5071" t="s">
        <v>7911</v>
      </c>
      <c r="D5071" t="s">
        <v>16200</v>
      </c>
      <c r="E5071" t="s">
        <v>18168</v>
      </c>
      <c r="F5071" t="s">
        <v>28198</v>
      </c>
      <c r="G5071" t="s">
        <v>28205</v>
      </c>
      <c r="H5071" t="s">
        <v>28215</v>
      </c>
      <c r="I5071" t="s">
        <v>5100</v>
      </c>
      <c r="J5071" t="s">
        <v>31559</v>
      </c>
      <c r="K5071" t="s">
        <v>36687</v>
      </c>
      <c r="M5071" t="s">
        <v>37853</v>
      </c>
      <c r="N5071" t="s">
        <v>40436</v>
      </c>
      <c r="O5071" t="s">
        <v>40437</v>
      </c>
      <c r="P5071">
        <v>0</v>
      </c>
      <c r="Q5071">
        <v>0</v>
      </c>
      <c r="R5071" t="s">
        <v>40440</v>
      </c>
      <c r="S5071" t="s">
        <v>40603</v>
      </c>
      <c r="T5071" t="s">
        <v>42103</v>
      </c>
      <c r="U5071" t="s">
        <v>46930</v>
      </c>
      <c r="W5071" t="s">
        <v>37853</v>
      </c>
      <c r="X5071" t="s">
        <v>40444</v>
      </c>
    </row>
    <row r="5072" spans="1:24">
      <c r="A5072">
        <f>HYPERLINK("https://www.philgeps.gov.ph/GEPSNONPILOT/Tender/SplashBidNoticeAbstractUI.aspx?menuIndex=3&amp;refID=7043056&amp;Result=3","7043056")</f>
        <v>0</v>
      </c>
      <c r="B5072" t="s">
        <v>1730</v>
      </c>
      <c r="C5072" t="s">
        <v>7912</v>
      </c>
      <c r="E5072" t="s">
        <v>20787</v>
      </c>
      <c r="F5072" t="s">
        <v>28198</v>
      </c>
      <c r="G5072" t="s">
        <v>28205</v>
      </c>
      <c r="H5072" t="s">
        <v>28215</v>
      </c>
      <c r="I5072" t="s">
        <v>28247</v>
      </c>
      <c r="J5072" t="s">
        <v>31560</v>
      </c>
      <c r="K5072" t="s">
        <v>36694</v>
      </c>
      <c r="M5072" t="s">
        <v>38840</v>
      </c>
      <c r="N5072" t="s">
        <v>40436</v>
      </c>
      <c r="O5072" t="s">
        <v>40437</v>
      </c>
      <c r="P5072">
        <v>0</v>
      </c>
      <c r="Q5072">
        <v>20</v>
      </c>
      <c r="R5072" t="s">
        <v>40440</v>
      </c>
      <c r="S5072" t="s">
        <v>40603</v>
      </c>
      <c r="T5072" t="s">
        <v>42413</v>
      </c>
      <c r="U5072" t="s">
        <v>46910</v>
      </c>
      <c r="W5072" t="s">
        <v>38840</v>
      </c>
      <c r="X5072" t="s">
        <v>40444</v>
      </c>
    </row>
    <row r="5073" spans="1:24">
      <c r="A5073">
        <f>HYPERLINK("https://www.philgeps.gov.ph/GEPSNONPILOT/Tender/SplashBidNoticeAbstractUI.aspx?menuIndex=3&amp;refID=7043164&amp;Result=3","7043164")</f>
        <v>0</v>
      </c>
      <c r="B5073" t="s">
        <v>968</v>
      </c>
      <c r="C5073" t="s">
        <v>7913</v>
      </c>
      <c r="D5073" t="s">
        <v>16208</v>
      </c>
      <c r="E5073" t="s">
        <v>20788</v>
      </c>
      <c r="F5073" t="s">
        <v>28198</v>
      </c>
      <c r="G5073" t="s">
        <v>28207</v>
      </c>
      <c r="H5073" t="s">
        <v>28215</v>
      </c>
      <c r="I5073" t="s">
        <v>5100</v>
      </c>
      <c r="J5073" t="s">
        <v>31561</v>
      </c>
      <c r="K5073" t="s">
        <v>36689</v>
      </c>
      <c r="M5073" t="s">
        <v>37994</v>
      </c>
      <c r="N5073" t="s">
        <v>40436</v>
      </c>
      <c r="O5073" t="s">
        <v>40437</v>
      </c>
      <c r="P5073">
        <v>0</v>
      </c>
      <c r="Q5073">
        <v>0</v>
      </c>
      <c r="R5073" t="s">
        <v>40440</v>
      </c>
      <c r="S5073" t="s">
        <v>40603</v>
      </c>
      <c r="T5073" t="s">
        <v>42184</v>
      </c>
      <c r="U5073" t="s">
        <v>44574</v>
      </c>
      <c r="W5073" t="s">
        <v>37994</v>
      </c>
      <c r="X5073" t="s">
        <v>40444</v>
      </c>
    </row>
    <row r="5074" spans="1:24">
      <c r="A5074">
        <f>HYPERLINK("https://www.philgeps.gov.ph/GEPSNONPILOT/Tender/SplashBidNoticeAbstractUI.aspx?menuIndex=3&amp;refID=7043134&amp;Result=3","7043134")</f>
        <v>0</v>
      </c>
      <c r="B5074" t="s">
        <v>1494</v>
      </c>
      <c r="C5074" t="s">
        <v>7914</v>
      </c>
      <c r="D5074" t="s">
        <v>16247</v>
      </c>
      <c r="E5074" t="s">
        <v>17186</v>
      </c>
      <c r="F5074" t="s">
        <v>28198</v>
      </c>
      <c r="G5074" t="s">
        <v>28210</v>
      </c>
      <c r="H5074" t="s">
        <v>28215</v>
      </c>
      <c r="I5074" t="s">
        <v>4168</v>
      </c>
      <c r="J5074" t="s">
        <v>31562</v>
      </c>
      <c r="K5074" t="s">
        <v>36688</v>
      </c>
      <c r="M5074" t="s">
        <v>38569</v>
      </c>
      <c r="N5074" t="s">
        <v>40436</v>
      </c>
      <c r="O5074" t="s">
        <v>40437</v>
      </c>
      <c r="P5074">
        <v>0</v>
      </c>
      <c r="Q5074">
        <v>1</v>
      </c>
      <c r="R5074" t="s">
        <v>40440</v>
      </c>
      <c r="S5074" t="s">
        <v>40603</v>
      </c>
      <c r="T5074" t="s">
        <v>42396</v>
      </c>
      <c r="U5074" t="s">
        <v>46931</v>
      </c>
      <c r="W5074" t="s">
        <v>38569</v>
      </c>
      <c r="X5074" t="s">
        <v>40444</v>
      </c>
    </row>
    <row r="5075" spans="1:24">
      <c r="A5075">
        <f>HYPERLINK("https://www.philgeps.gov.ph/GEPSNONPILOT/Tender/SplashBidNoticeAbstractUI.aspx?menuIndex=3&amp;refID=7043148&amp;Result=3","7043148")</f>
        <v>0</v>
      </c>
      <c r="B5075" t="s">
        <v>1734</v>
      </c>
      <c r="C5075" t="s">
        <v>7915</v>
      </c>
      <c r="D5075" t="s">
        <v>16247</v>
      </c>
      <c r="E5075" t="s">
        <v>20789</v>
      </c>
      <c r="F5075" t="s">
        <v>28198</v>
      </c>
      <c r="G5075" t="s">
        <v>28206</v>
      </c>
      <c r="H5075" t="s">
        <v>28215</v>
      </c>
      <c r="I5075" t="s">
        <v>5082</v>
      </c>
      <c r="J5075" t="s">
        <v>28381</v>
      </c>
      <c r="K5075" t="s">
        <v>36707</v>
      </c>
      <c r="M5075" t="s">
        <v>38845</v>
      </c>
      <c r="N5075" t="s">
        <v>40436</v>
      </c>
      <c r="O5075" t="s">
        <v>40437</v>
      </c>
      <c r="P5075">
        <v>0</v>
      </c>
      <c r="Q5075">
        <v>2</v>
      </c>
      <c r="R5075" t="s">
        <v>40440</v>
      </c>
      <c r="S5075" t="s">
        <v>40603</v>
      </c>
      <c r="T5075" t="s">
        <v>42378</v>
      </c>
      <c r="U5075" t="s">
        <v>46932</v>
      </c>
      <c r="W5075" t="s">
        <v>38845</v>
      </c>
      <c r="X5075" t="s">
        <v>40444</v>
      </c>
    </row>
    <row r="5076" spans="1:24">
      <c r="A5076">
        <f>HYPERLINK("https://www.philgeps.gov.ph/GEPSNONPILOT/Tender/SplashBidNoticeAbstractUI.aspx?menuIndex=3&amp;refID=7043170&amp;Result=3","7043170")</f>
        <v>0</v>
      </c>
      <c r="B5076" t="s">
        <v>1735</v>
      </c>
      <c r="C5076" t="s">
        <v>7916</v>
      </c>
      <c r="D5076" t="s">
        <v>16210</v>
      </c>
      <c r="E5076" t="s">
        <v>20790</v>
      </c>
      <c r="F5076" t="s">
        <v>28200</v>
      </c>
      <c r="G5076" t="s">
        <v>28205</v>
      </c>
      <c r="H5076" t="s">
        <v>28215</v>
      </c>
      <c r="I5076" t="s">
        <v>28265</v>
      </c>
      <c r="J5076" t="s">
        <v>29839</v>
      </c>
      <c r="K5076" t="s">
        <v>36701</v>
      </c>
      <c r="M5076" t="s">
        <v>38846</v>
      </c>
      <c r="N5076" t="s">
        <v>40436</v>
      </c>
      <c r="O5076" t="s">
        <v>40437</v>
      </c>
      <c r="P5076">
        <v>0</v>
      </c>
      <c r="Q5076">
        <v>0</v>
      </c>
      <c r="R5076" t="s">
        <v>40440</v>
      </c>
      <c r="S5076" t="s">
        <v>40603</v>
      </c>
      <c r="T5076" t="s">
        <v>42183</v>
      </c>
      <c r="U5076" t="s">
        <v>46933</v>
      </c>
      <c r="V5076" t="s">
        <v>54287</v>
      </c>
      <c r="W5076" t="s">
        <v>38846</v>
      </c>
      <c r="X5076" t="s">
        <v>40444</v>
      </c>
    </row>
    <row r="5077" spans="1:24">
      <c r="A5077">
        <f>HYPERLINK("https://www.philgeps.gov.ph/GEPSNONPILOT/Tender/SplashBidNoticeAbstractUI.aspx?menuIndex=3&amp;refID=7043035&amp;Result=3","7043035")</f>
        <v>0</v>
      </c>
      <c r="B5077" t="s">
        <v>575</v>
      </c>
      <c r="C5077" t="s">
        <v>7917</v>
      </c>
      <c r="D5077" t="s">
        <v>16223</v>
      </c>
      <c r="E5077" t="s">
        <v>20791</v>
      </c>
      <c r="F5077" t="s">
        <v>28198</v>
      </c>
      <c r="G5077" t="s">
        <v>28205</v>
      </c>
      <c r="H5077" t="s">
        <v>28214</v>
      </c>
      <c r="I5077" t="s">
        <v>28255</v>
      </c>
      <c r="J5077" t="s">
        <v>31563</v>
      </c>
      <c r="K5077" t="s">
        <v>36826</v>
      </c>
      <c r="M5077" t="s">
        <v>37563</v>
      </c>
      <c r="N5077" t="s">
        <v>40436</v>
      </c>
      <c r="O5077" t="s">
        <v>40437</v>
      </c>
      <c r="P5077">
        <v>0</v>
      </c>
      <c r="Q5077">
        <v>0</v>
      </c>
      <c r="R5077" t="s">
        <v>40440</v>
      </c>
      <c r="S5077" t="s">
        <v>40603</v>
      </c>
      <c r="T5077" t="s">
        <v>42110</v>
      </c>
      <c r="U5077" t="s">
        <v>46934</v>
      </c>
      <c r="W5077" t="s">
        <v>37563</v>
      </c>
      <c r="X5077" t="s">
        <v>40444</v>
      </c>
    </row>
    <row r="5078" spans="1:24">
      <c r="A5078">
        <f>HYPERLINK("https://www.philgeps.gov.ph/GEPSNONPILOT/Tender/SplashBidNoticeAbstractUI.aspx?menuIndex=3&amp;refID=7043234&amp;Result=3","7043234")</f>
        <v>0</v>
      </c>
      <c r="B5078" t="s">
        <v>754</v>
      </c>
      <c r="C5078" t="s">
        <v>7918</v>
      </c>
      <c r="D5078" t="s">
        <v>16266</v>
      </c>
      <c r="E5078" t="s">
        <v>20792</v>
      </c>
      <c r="F5078" t="s">
        <v>28198</v>
      </c>
      <c r="G5078" t="s">
        <v>28205</v>
      </c>
      <c r="H5078" t="s">
        <v>28214</v>
      </c>
      <c r="I5078" t="s">
        <v>3797</v>
      </c>
      <c r="J5078" t="s">
        <v>31564</v>
      </c>
      <c r="K5078" t="s">
        <v>36701</v>
      </c>
      <c r="M5078" t="s">
        <v>37757</v>
      </c>
      <c r="N5078" t="s">
        <v>40436</v>
      </c>
      <c r="O5078" t="s">
        <v>40437</v>
      </c>
      <c r="P5078">
        <v>0</v>
      </c>
      <c r="Q5078">
        <v>0</v>
      </c>
      <c r="R5078" t="s">
        <v>40440</v>
      </c>
      <c r="S5078" t="s">
        <v>40603</v>
      </c>
      <c r="T5078" t="s">
        <v>42108</v>
      </c>
      <c r="U5078" t="s">
        <v>46935</v>
      </c>
      <c r="W5078" t="s">
        <v>37757</v>
      </c>
      <c r="X5078" t="s">
        <v>40444</v>
      </c>
    </row>
    <row r="5079" spans="1:24">
      <c r="A5079">
        <f>HYPERLINK("https://www.philgeps.gov.ph/GEPSNONPILOT/Tender/SplashBidNoticeAbstractUI.aspx?menuIndex=3&amp;refID=7043150&amp;Result=3","7043150")</f>
        <v>0</v>
      </c>
      <c r="B5079" t="s">
        <v>1735</v>
      </c>
      <c r="C5079" t="s">
        <v>7919</v>
      </c>
      <c r="D5079" t="s">
        <v>16210</v>
      </c>
      <c r="E5079" t="s">
        <v>20793</v>
      </c>
      <c r="F5079" t="s">
        <v>28200</v>
      </c>
      <c r="G5079" t="s">
        <v>28205</v>
      </c>
      <c r="H5079" t="s">
        <v>28215</v>
      </c>
      <c r="I5079" t="s">
        <v>28265</v>
      </c>
      <c r="J5079" t="s">
        <v>28378</v>
      </c>
      <c r="K5079" t="s">
        <v>36701</v>
      </c>
      <c r="M5079" t="s">
        <v>38846</v>
      </c>
      <c r="N5079" t="s">
        <v>40436</v>
      </c>
      <c r="O5079" t="s">
        <v>40437</v>
      </c>
      <c r="P5079">
        <v>0</v>
      </c>
      <c r="Q5079">
        <v>0</v>
      </c>
      <c r="R5079" t="s">
        <v>40440</v>
      </c>
      <c r="S5079" t="s">
        <v>40603</v>
      </c>
      <c r="T5079" t="s">
        <v>42279</v>
      </c>
      <c r="U5079" t="s">
        <v>46936</v>
      </c>
      <c r="V5079" t="s">
        <v>54287</v>
      </c>
      <c r="W5079" t="s">
        <v>38846</v>
      </c>
      <c r="X5079" t="s">
        <v>40444</v>
      </c>
    </row>
    <row r="5080" spans="1:24">
      <c r="A5080">
        <f>HYPERLINK("https://www.philgeps.gov.ph/GEPSNONPILOT/Tender/SplashBidNoticeAbstractUI.aspx?menuIndex=3&amp;refID=7043237&amp;Result=3","7043237")</f>
        <v>0</v>
      </c>
      <c r="B5080" t="s">
        <v>754</v>
      </c>
      <c r="C5080" t="s">
        <v>7920</v>
      </c>
      <c r="D5080" t="s">
        <v>16266</v>
      </c>
      <c r="E5080" t="s">
        <v>20794</v>
      </c>
      <c r="F5080" t="s">
        <v>28198</v>
      </c>
      <c r="G5080" t="s">
        <v>28205</v>
      </c>
      <c r="H5080" t="s">
        <v>28214</v>
      </c>
      <c r="I5080" t="s">
        <v>3797</v>
      </c>
      <c r="J5080" t="s">
        <v>31564</v>
      </c>
      <c r="K5080" t="s">
        <v>36701</v>
      </c>
      <c r="M5080" t="s">
        <v>37757</v>
      </c>
      <c r="N5080" t="s">
        <v>40436</v>
      </c>
      <c r="O5080" t="s">
        <v>40437</v>
      </c>
      <c r="P5080">
        <v>0</v>
      </c>
      <c r="Q5080">
        <v>0</v>
      </c>
      <c r="R5080" t="s">
        <v>40440</v>
      </c>
      <c r="S5080" t="s">
        <v>40603</v>
      </c>
      <c r="T5080" t="s">
        <v>42108</v>
      </c>
      <c r="U5080" t="s">
        <v>46937</v>
      </c>
      <c r="W5080" t="s">
        <v>37757</v>
      </c>
      <c r="X5080" t="s">
        <v>40444</v>
      </c>
    </row>
    <row r="5081" spans="1:24">
      <c r="A5081">
        <f>HYPERLINK("https://www.philgeps.gov.ph/GEPSNONPILOT/Tender/SplashBidNoticeAbstractUI.aspx?menuIndex=3&amp;refID=7043037&amp;Result=3","7043037")</f>
        <v>0</v>
      </c>
      <c r="B5081" t="s">
        <v>1736</v>
      </c>
      <c r="C5081" t="s">
        <v>7921</v>
      </c>
      <c r="D5081" t="s">
        <v>16195</v>
      </c>
      <c r="E5081" t="s">
        <v>20795</v>
      </c>
      <c r="F5081" t="s">
        <v>28200</v>
      </c>
      <c r="G5081" t="s">
        <v>28205</v>
      </c>
      <c r="H5081" t="s">
        <v>28215</v>
      </c>
      <c r="I5081" t="s">
        <v>5100</v>
      </c>
      <c r="J5081" t="s">
        <v>31565</v>
      </c>
      <c r="K5081" t="s">
        <v>36693</v>
      </c>
      <c r="M5081" t="s">
        <v>38847</v>
      </c>
      <c r="N5081" t="s">
        <v>40436</v>
      </c>
      <c r="O5081" t="s">
        <v>40437</v>
      </c>
      <c r="P5081">
        <v>0</v>
      </c>
      <c r="Q5081">
        <v>0</v>
      </c>
      <c r="R5081" t="s">
        <v>40440</v>
      </c>
      <c r="S5081" t="s">
        <v>40603</v>
      </c>
      <c r="T5081" t="s">
        <v>42113</v>
      </c>
      <c r="U5081" t="s">
        <v>46938</v>
      </c>
      <c r="W5081" t="s">
        <v>38847</v>
      </c>
      <c r="X5081" t="s">
        <v>40444</v>
      </c>
    </row>
    <row r="5082" spans="1:24">
      <c r="A5082">
        <f>HYPERLINK("https://www.philgeps.gov.ph/GEPSNONPILOT/Tender/SplashBidNoticeAbstractUI.aspx?menuIndex=3&amp;refID=7043216&amp;Result=3","7043216")</f>
        <v>0</v>
      </c>
      <c r="B5082" t="s">
        <v>754</v>
      </c>
      <c r="C5082" t="s">
        <v>7922</v>
      </c>
      <c r="D5082" t="s">
        <v>16266</v>
      </c>
      <c r="E5082" t="s">
        <v>20796</v>
      </c>
      <c r="F5082" t="s">
        <v>28198</v>
      </c>
      <c r="G5082" t="s">
        <v>28205</v>
      </c>
      <c r="H5082" t="s">
        <v>28214</v>
      </c>
      <c r="I5082" t="s">
        <v>3797</v>
      </c>
      <c r="J5082" t="s">
        <v>31566</v>
      </c>
      <c r="K5082" t="s">
        <v>36694</v>
      </c>
      <c r="M5082" t="s">
        <v>37757</v>
      </c>
      <c r="N5082" t="s">
        <v>40436</v>
      </c>
      <c r="O5082" t="s">
        <v>40437</v>
      </c>
      <c r="P5082">
        <v>0</v>
      </c>
      <c r="Q5082">
        <v>0</v>
      </c>
      <c r="R5082" t="s">
        <v>40440</v>
      </c>
      <c r="S5082" t="s">
        <v>40603</v>
      </c>
      <c r="T5082" t="s">
        <v>42108</v>
      </c>
      <c r="U5082" t="s">
        <v>46939</v>
      </c>
      <c r="W5082" t="s">
        <v>37757</v>
      </c>
      <c r="X5082" t="s">
        <v>40444</v>
      </c>
    </row>
    <row r="5083" spans="1:24">
      <c r="A5083">
        <f>HYPERLINK("https://www.philgeps.gov.ph/GEPSNONPILOT/Tender/SplashBidNoticeAbstractUI.aspx?menuIndex=3&amp;refID=7043137&amp;Result=3","7043137")</f>
        <v>0</v>
      </c>
      <c r="B5083" t="s">
        <v>1735</v>
      </c>
      <c r="C5083" t="s">
        <v>7923</v>
      </c>
      <c r="D5083" t="s">
        <v>16210</v>
      </c>
      <c r="E5083" t="s">
        <v>20797</v>
      </c>
      <c r="F5083" t="s">
        <v>28200</v>
      </c>
      <c r="G5083" t="s">
        <v>28205</v>
      </c>
      <c r="H5083" t="s">
        <v>28215</v>
      </c>
      <c r="I5083" t="s">
        <v>28265</v>
      </c>
      <c r="J5083" t="s">
        <v>28404</v>
      </c>
      <c r="K5083" t="s">
        <v>36701</v>
      </c>
      <c r="M5083" t="s">
        <v>38846</v>
      </c>
      <c r="N5083" t="s">
        <v>40436</v>
      </c>
      <c r="O5083" t="s">
        <v>40437</v>
      </c>
      <c r="P5083">
        <v>0</v>
      </c>
      <c r="Q5083">
        <v>0</v>
      </c>
      <c r="R5083" t="s">
        <v>40440</v>
      </c>
      <c r="S5083" t="s">
        <v>40603</v>
      </c>
      <c r="T5083" t="s">
        <v>42346</v>
      </c>
      <c r="U5083" t="s">
        <v>46940</v>
      </c>
      <c r="V5083" t="s">
        <v>54287</v>
      </c>
      <c r="W5083" t="s">
        <v>38846</v>
      </c>
      <c r="X5083" t="s">
        <v>40444</v>
      </c>
    </row>
    <row r="5084" spans="1:24">
      <c r="A5084">
        <f>HYPERLINK("https://www.philgeps.gov.ph/GEPSNONPILOT/Tender/SplashBidNoticeAbstractUI.aspx?menuIndex=3&amp;refID=7043023&amp;Result=3","7043023")</f>
        <v>0</v>
      </c>
      <c r="B5084" t="s">
        <v>841</v>
      </c>
      <c r="C5084" t="s">
        <v>7924</v>
      </c>
      <c r="D5084" t="s">
        <v>16200</v>
      </c>
      <c r="E5084" t="s">
        <v>20798</v>
      </c>
      <c r="F5084" t="s">
        <v>28198</v>
      </c>
      <c r="G5084" t="s">
        <v>28205</v>
      </c>
      <c r="H5084" t="s">
        <v>28214</v>
      </c>
      <c r="I5084" t="s">
        <v>3797</v>
      </c>
      <c r="J5084" t="s">
        <v>31567</v>
      </c>
      <c r="K5084" t="s">
        <v>36701</v>
      </c>
      <c r="M5084" t="s">
        <v>37853</v>
      </c>
      <c r="N5084" t="s">
        <v>40436</v>
      </c>
      <c r="O5084" t="s">
        <v>40437</v>
      </c>
      <c r="P5084">
        <v>0</v>
      </c>
      <c r="Q5084">
        <v>0</v>
      </c>
      <c r="R5084" t="s">
        <v>40440</v>
      </c>
      <c r="S5084" t="s">
        <v>40603</v>
      </c>
      <c r="T5084" t="s">
        <v>42103</v>
      </c>
      <c r="U5084" t="s">
        <v>46941</v>
      </c>
      <c r="W5084" t="s">
        <v>37853</v>
      </c>
      <c r="X5084" t="s">
        <v>40444</v>
      </c>
    </row>
    <row r="5085" spans="1:24">
      <c r="A5085">
        <f>HYPERLINK("https://www.philgeps.gov.ph/GEPSNONPILOT/Tender/SplashBidNoticeAbstractUI.aspx?menuIndex=3&amp;refID=7043159&amp;Result=3","7043159")</f>
        <v>0</v>
      </c>
      <c r="B5085" t="s">
        <v>1735</v>
      </c>
      <c r="C5085" t="s">
        <v>7925</v>
      </c>
      <c r="D5085" t="s">
        <v>16210</v>
      </c>
      <c r="E5085" t="s">
        <v>20799</v>
      </c>
      <c r="F5085" t="s">
        <v>28200</v>
      </c>
      <c r="G5085" t="s">
        <v>28205</v>
      </c>
      <c r="H5085" t="s">
        <v>28215</v>
      </c>
      <c r="I5085" t="s">
        <v>4200</v>
      </c>
      <c r="J5085" t="s">
        <v>28378</v>
      </c>
      <c r="K5085" t="s">
        <v>36701</v>
      </c>
      <c r="M5085" t="s">
        <v>38846</v>
      </c>
      <c r="N5085" t="s">
        <v>40436</v>
      </c>
      <c r="O5085" t="s">
        <v>40437</v>
      </c>
      <c r="P5085">
        <v>0</v>
      </c>
      <c r="Q5085">
        <v>1</v>
      </c>
      <c r="R5085" t="s">
        <v>40440</v>
      </c>
      <c r="S5085" t="s">
        <v>40603</v>
      </c>
      <c r="T5085" t="s">
        <v>42274</v>
      </c>
      <c r="U5085" t="s">
        <v>46942</v>
      </c>
      <c r="V5085" t="s">
        <v>54287</v>
      </c>
      <c r="W5085" t="s">
        <v>38846</v>
      </c>
      <c r="X5085" t="s">
        <v>40444</v>
      </c>
    </row>
    <row r="5086" spans="1:24">
      <c r="A5086">
        <f>HYPERLINK("https://www.philgeps.gov.ph/GEPSNONPILOT/Tender/SplashBidNoticeAbstractUI.aspx?menuIndex=3&amp;refID=7043222&amp;Result=3","7043222")</f>
        <v>0</v>
      </c>
      <c r="B5086" t="s">
        <v>754</v>
      </c>
      <c r="C5086" t="s">
        <v>7926</v>
      </c>
      <c r="D5086" t="s">
        <v>16266</v>
      </c>
      <c r="E5086" t="s">
        <v>20800</v>
      </c>
      <c r="F5086" t="s">
        <v>28198</v>
      </c>
      <c r="G5086" t="s">
        <v>28205</v>
      </c>
      <c r="H5086" t="s">
        <v>28214</v>
      </c>
      <c r="I5086" t="s">
        <v>3797</v>
      </c>
      <c r="J5086" t="s">
        <v>31568</v>
      </c>
      <c r="K5086" t="s">
        <v>36789</v>
      </c>
      <c r="M5086" t="s">
        <v>37757</v>
      </c>
      <c r="N5086" t="s">
        <v>40436</v>
      </c>
      <c r="O5086" t="s">
        <v>40437</v>
      </c>
      <c r="P5086">
        <v>0</v>
      </c>
      <c r="Q5086">
        <v>0</v>
      </c>
      <c r="R5086" t="s">
        <v>40440</v>
      </c>
      <c r="S5086" t="s">
        <v>40603</v>
      </c>
      <c r="T5086" t="s">
        <v>42108</v>
      </c>
      <c r="U5086" t="s">
        <v>46943</v>
      </c>
      <c r="W5086" t="s">
        <v>37757</v>
      </c>
      <c r="X5086" t="s">
        <v>40444</v>
      </c>
    </row>
    <row r="5087" spans="1:24">
      <c r="A5087">
        <f>HYPERLINK("https://www.philgeps.gov.ph/GEPSNONPILOT/Tender/SplashBidNoticeAbstractUI.aspx?menuIndex=3&amp;refID=7043183&amp;Result=3","7043183")</f>
        <v>0</v>
      </c>
      <c r="B5087" t="s">
        <v>1735</v>
      </c>
      <c r="C5087" t="s">
        <v>7927</v>
      </c>
      <c r="D5087" t="s">
        <v>16210</v>
      </c>
      <c r="E5087" t="s">
        <v>20801</v>
      </c>
      <c r="F5087" t="s">
        <v>28200</v>
      </c>
      <c r="G5087" t="s">
        <v>28205</v>
      </c>
      <c r="H5087" t="s">
        <v>28215</v>
      </c>
      <c r="I5087" t="s">
        <v>28265</v>
      </c>
      <c r="J5087" t="s">
        <v>28393</v>
      </c>
      <c r="K5087" t="s">
        <v>36701</v>
      </c>
      <c r="M5087" t="s">
        <v>38846</v>
      </c>
      <c r="N5087" t="s">
        <v>40436</v>
      </c>
      <c r="O5087" t="s">
        <v>40437</v>
      </c>
      <c r="P5087">
        <v>0</v>
      </c>
      <c r="Q5087">
        <v>0</v>
      </c>
      <c r="R5087" t="s">
        <v>40440</v>
      </c>
      <c r="S5087" t="s">
        <v>40603</v>
      </c>
      <c r="T5087" t="s">
        <v>42414</v>
      </c>
      <c r="U5087" t="s">
        <v>46944</v>
      </c>
      <c r="V5087" t="s">
        <v>54287</v>
      </c>
      <c r="W5087" t="s">
        <v>38846</v>
      </c>
      <c r="X5087" t="s">
        <v>40444</v>
      </c>
    </row>
    <row r="5088" spans="1:24">
      <c r="A5088">
        <f>HYPERLINK("https://www.philgeps.gov.ph/GEPSNONPILOT/Tender/SplashBidNoticeAbstractUI.aspx?menuIndex=3&amp;refID=7043199&amp;Result=3","7043199")</f>
        <v>0</v>
      </c>
      <c r="B5088" t="s">
        <v>1735</v>
      </c>
      <c r="C5088" t="s">
        <v>7928</v>
      </c>
      <c r="D5088" t="s">
        <v>16210</v>
      </c>
      <c r="E5088" t="s">
        <v>20802</v>
      </c>
      <c r="F5088" t="s">
        <v>28200</v>
      </c>
      <c r="G5088" t="s">
        <v>28205</v>
      </c>
      <c r="H5088" t="s">
        <v>28215</v>
      </c>
      <c r="I5088" t="s">
        <v>4200</v>
      </c>
      <c r="J5088" t="s">
        <v>29190</v>
      </c>
      <c r="K5088" t="s">
        <v>36701</v>
      </c>
      <c r="M5088" t="s">
        <v>38846</v>
      </c>
      <c r="N5088" t="s">
        <v>40436</v>
      </c>
      <c r="O5088" t="s">
        <v>40437</v>
      </c>
      <c r="P5088">
        <v>0</v>
      </c>
      <c r="Q5088">
        <v>0</v>
      </c>
      <c r="R5088" t="s">
        <v>40440</v>
      </c>
      <c r="S5088" t="s">
        <v>40603</v>
      </c>
      <c r="T5088" t="s">
        <v>42234</v>
      </c>
      <c r="U5088" t="s">
        <v>46945</v>
      </c>
      <c r="V5088" t="s">
        <v>54287</v>
      </c>
      <c r="W5088" t="s">
        <v>38846</v>
      </c>
      <c r="X5088" t="s">
        <v>40444</v>
      </c>
    </row>
    <row r="5089" spans="1:24">
      <c r="A5089">
        <f>HYPERLINK("https://www.philgeps.gov.ph/GEPSNONPILOT/Tender/SplashBidNoticeAbstractUI.aspx?menuIndex=3&amp;refID=7043227&amp;Result=3","7043227")</f>
        <v>0</v>
      </c>
      <c r="B5089" t="s">
        <v>754</v>
      </c>
      <c r="C5089" t="s">
        <v>7929</v>
      </c>
      <c r="D5089" t="s">
        <v>16266</v>
      </c>
      <c r="E5089" t="s">
        <v>20803</v>
      </c>
      <c r="F5089" t="s">
        <v>28198</v>
      </c>
      <c r="G5089" t="s">
        <v>28205</v>
      </c>
      <c r="H5089" t="s">
        <v>28214</v>
      </c>
      <c r="I5089" t="s">
        <v>3797</v>
      </c>
      <c r="J5089" t="s">
        <v>31569</v>
      </c>
      <c r="K5089" t="s">
        <v>36711</v>
      </c>
      <c r="M5089" t="s">
        <v>37757</v>
      </c>
      <c r="N5089" t="s">
        <v>40436</v>
      </c>
      <c r="O5089" t="s">
        <v>40437</v>
      </c>
      <c r="P5089">
        <v>0</v>
      </c>
      <c r="Q5089">
        <v>0</v>
      </c>
      <c r="R5089" t="s">
        <v>40440</v>
      </c>
      <c r="S5089" t="s">
        <v>40603</v>
      </c>
      <c r="T5089" t="s">
        <v>42108</v>
      </c>
      <c r="U5089" t="s">
        <v>46946</v>
      </c>
      <c r="W5089" t="s">
        <v>37757</v>
      </c>
      <c r="X5089" t="s">
        <v>40444</v>
      </c>
    </row>
    <row r="5090" spans="1:24">
      <c r="A5090">
        <f>HYPERLINK("https://www.philgeps.gov.ph/GEPSNONPILOT/Tender/SplashBidNoticeAbstractUI.aspx?menuIndex=3&amp;refID=7043245&amp;Result=3","7043245")</f>
        <v>0</v>
      </c>
      <c r="B5090" t="s">
        <v>754</v>
      </c>
      <c r="C5090" t="s">
        <v>7930</v>
      </c>
      <c r="D5090" t="s">
        <v>16266</v>
      </c>
      <c r="E5090" t="s">
        <v>20804</v>
      </c>
      <c r="F5090" t="s">
        <v>28198</v>
      </c>
      <c r="G5090" t="s">
        <v>28205</v>
      </c>
      <c r="H5090" t="s">
        <v>28214</v>
      </c>
      <c r="I5090" t="s">
        <v>3797</v>
      </c>
      <c r="J5090" t="s">
        <v>31570</v>
      </c>
      <c r="K5090" t="s">
        <v>36715</v>
      </c>
      <c r="M5090" t="s">
        <v>37757</v>
      </c>
      <c r="N5090" t="s">
        <v>40436</v>
      </c>
      <c r="O5090" t="s">
        <v>40437</v>
      </c>
      <c r="P5090">
        <v>0</v>
      </c>
      <c r="Q5090">
        <v>0</v>
      </c>
      <c r="R5090" t="s">
        <v>40440</v>
      </c>
      <c r="S5090" t="s">
        <v>40603</v>
      </c>
      <c r="T5090" t="s">
        <v>42108</v>
      </c>
      <c r="U5090" t="s">
        <v>46947</v>
      </c>
      <c r="W5090" t="s">
        <v>37757</v>
      </c>
      <c r="X5090" t="s">
        <v>40444</v>
      </c>
    </row>
    <row r="5091" spans="1:24">
      <c r="A5091">
        <f>HYPERLINK("https://www.philgeps.gov.ph/GEPSNONPILOT/Tender/SplashBidNoticeAbstractUI.aspx?menuIndex=3&amp;refID=7043248&amp;Result=3","7043248")</f>
        <v>0</v>
      </c>
      <c r="B5091" t="s">
        <v>754</v>
      </c>
      <c r="C5091" t="s">
        <v>7931</v>
      </c>
      <c r="D5091" t="s">
        <v>16266</v>
      </c>
      <c r="E5091" t="s">
        <v>20805</v>
      </c>
      <c r="F5091" t="s">
        <v>28198</v>
      </c>
      <c r="G5091" t="s">
        <v>28205</v>
      </c>
      <c r="H5091" t="s">
        <v>28214</v>
      </c>
      <c r="I5091" t="s">
        <v>3797</v>
      </c>
      <c r="J5091" t="s">
        <v>31571</v>
      </c>
      <c r="K5091" t="s">
        <v>36715</v>
      </c>
      <c r="M5091" t="s">
        <v>37757</v>
      </c>
      <c r="N5091" t="s">
        <v>40436</v>
      </c>
      <c r="O5091" t="s">
        <v>40437</v>
      </c>
      <c r="P5091">
        <v>0</v>
      </c>
      <c r="Q5091">
        <v>0</v>
      </c>
      <c r="R5091" t="s">
        <v>40440</v>
      </c>
      <c r="S5091" t="s">
        <v>40603</v>
      </c>
      <c r="T5091" t="s">
        <v>42108</v>
      </c>
      <c r="U5091" t="s">
        <v>46948</v>
      </c>
      <c r="W5091" t="s">
        <v>37757</v>
      </c>
      <c r="X5091" t="s">
        <v>40444</v>
      </c>
    </row>
    <row r="5092" spans="1:24">
      <c r="A5092">
        <f>HYPERLINK("https://www.philgeps.gov.ph/GEPSNONPILOT/Tender/SplashBidNoticeAbstractUI.aspx?menuIndex=3&amp;refID=7043303&amp;Result=3","7043303")</f>
        <v>0</v>
      </c>
      <c r="B5092" t="s">
        <v>1737</v>
      </c>
      <c r="C5092" t="s">
        <v>7932</v>
      </c>
      <c r="D5092" t="s">
        <v>16219</v>
      </c>
      <c r="E5092" t="s">
        <v>20806</v>
      </c>
      <c r="F5092" t="s">
        <v>28198</v>
      </c>
      <c r="G5092" t="s">
        <v>28205</v>
      </c>
      <c r="H5092" t="s">
        <v>28215</v>
      </c>
      <c r="I5092" t="s">
        <v>4505</v>
      </c>
      <c r="J5092" t="s">
        <v>31572</v>
      </c>
      <c r="K5092" t="s">
        <v>36701</v>
      </c>
      <c r="M5092" t="s">
        <v>38848</v>
      </c>
      <c r="N5092" t="s">
        <v>40436</v>
      </c>
      <c r="O5092" t="s">
        <v>40437</v>
      </c>
      <c r="P5092">
        <v>0</v>
      </c>
      <c r="Q5092">
        <v>2</v>
      </c>
      <c r="R5092" t="s">
        <v>40440</v>
      </c>
      <c r="S5092" t="s">
        <v>40603</v>
      </c>
      <c r="T5092" t="s">
        <v>42248</v>
      </c>
      <c r="U5092" t="s">
        <v>46949</v>
      </c>
      <c r="W5092" t="s">
        <v>55494</v>
      </c>
      <c r="X5092" t="s">
        <v>40443</v>
      </c>
    </row>
    <row r="5093" spans="1:24">
      <c r="A5093">
        <f>HYPERLINK("https://www.philgeps.gov.ph/GEPSNONPILOT/Tender/SplashBidNoticeAbstractUI.aspx?menuIndex=3&amp;refID=7043275&amp;Result=3","7043275")</f>
        <v>0</v>
      </c>
      <c r="B5093" t="s">
        <v>1738</v>
      </c>
      <c r="C5093" t="s">
        <v>7933</v>
      </c>
      <c r="D5093" t="s">
        <v>16196</v>
      </c>
      <c r="E5093" t="s">
        <v>16473</v>
      </c>
      <c r="F5093" t="s">
        <v>28198</v>
      </c>
      <c r="G5093" t="s">
        <v>28205</v>
      </c>
      <c r="H5093" t="s">
        <v>28215</v>
      </c>
      <c r="I5093" t="s">
        <v>5100</v>
      </c>
      <c r="J5093" t="s">
        <v>31573</v>
      </c>
      <c r="K5093" t="s">
        <v>36693</v>
      </c>
      <c r="M5093" t="s">
        <v>38849</v>
      </c>
      <c r="N5093" t="s">
        <v>40436</v>
      </c>
      <c r="O5093" t="s">
        <v>40437</v>
      </c>
      <c r="P5093">
        <v>0</v>
      </c>
      <c r="Q5093">
        <v>0</v>
      </c>
      <c r="R5093" t="s">
        <v>40440</v>
      </c>
      <c r="S5093" t="s">
        <v>40603</v>
      </c>
      <c r="T5093" t="s">
        <v>42399</v>
      </c>
      <c r="U5093" t="s">
        <v>46950</v>
      </c>
      <c r="W5093" t="s">
        <v>38849</v>
      </c>
      <c r="X5093" t="s">
        <v>40444</v>
      </c>
    </row>
    <row r="5094" spans="1:24">
      <c r="A5094">
        <f>HYPERLINK("https://www.philgeps.gov.ph/GEPSNONPILOT/Tender/SplashBidNoticeAbstractUI.aspx?menuIndex=3&amp;refID=7043189&amp;Result=3","7043189")</f>
        <v>0</v>
      </c>
      <c r="B5094" t="s">
        <v>1735</v>
      </c>
      <c r="C5094" t="s">
        <v>7934</v>
      </c>
      <c r="D5094" t="s">
        <v>16210</v>
      </c>
      <c r="E5094" t="s">
        <v>20807</v>
      </c>
      <c r="F5094" t="s">
        <v>28200</v>
      </c>
      <c r="G5094" t="s">
        <v>28205</v>
      </c>
      <c r="H5094" t="s">
        <v>28215</v>
      </c>
      <c r="I5094" t="s">
        <v>28265</v>
      </c>
      <c r="J5094" t="s">
        <v>28398</v>
      </c>
      <c r="K5094" t="s">
        <v>36701</v>
      </c>
      <c r="M5094" t="s">
        <v>38846</v>
      </c>
      <c r="N5094" t="s">
        <v>40436</v>
      </c>
      <c r="O5094" t="s">
        <v>40437</v>
      </c>
      <c r="P5094">
        <v>0</v>
      </c>
      <c r="Q5094">
        <v>0</v>
      </c>
      <c r="R5094" t="s">
        <v>40440</v>
      </c>
      <c r="S5094" t="s">
        <v>40603</v>
      </c>
      <c r="T5094" t="s">
        <v>42168</v>
      </c>
      <c r="U5094" t="s">
        <v>46951</v>
      </c>
      <c r="V5094" t="s">
        <v>54287</v>
      </c>
      <c r="W5094" t="s">
        <v>38846</v>
      </c>
      <c r="X5094" t="s">
        <v>40444</v>
      </c>
    </row>
    <row r="5095" spans="1:24">
      <c r="A5095">
        <f>HYPERLINK("https://www.philgeps.gov.ph/GEPSNONPILOT/Tender/SplashBidNoticeAbstractUI.aspx?menuIndex=3&amp;refID=7043255&amp;Result=3","7043255")</f>
        <v>0</v>
      </c>
      <c r="B5095" t="s">
        <v>754</v>
      </c>
      <c r="C5095" t="s">
        <v>7935</v>
      </c>
      <c r="D5095" t="s">
        <v>16266</v>
      </c>
      <c r="E5095" t="s">
        <v>20808</v>
      </c>
      <c r="F5095" t="s">
        <v>28198</v>
      </c>
      <c r="G5095" t="s">
        <v>28205</v>
      </c>
      <c r="H5095" t="s">
        <v>28214</v>
      </c>
      <c r="I5095" t="s">
        <v>3797</v>
      </c>
      <c r="J5095" t="s">
        <v>31574</v>
      </c>
      <c r="K5095" t="s">
        <v>36715</v>
      </c>
      <c r="M5095" t="s">
        <v>37757</v>
      </c>
      <c r="N5095" t="s">
        <v>40436</v>
      </c>
      <c r="O5095" t="s">
        <v>40437</v>
      </c>
      <c r="P5095">
        <v>0</v>
      </c>
      <c r="Q5095">
        <v>0</v>
      </c>
      <c r="R5095" t="s">
        <v>40440</v>
      </c>
      <c r="S5095" t="s">
        <v>40603</v>
      </c>
      <c r="T5095" t="s">
        <v>42108</v>
      </c>
      <c r="U5095" t="s">
        <v>46952</v>
      </c>
      <c r="W5095" t="s">
        <v>37757</v>
      </c>
      <c r="X5095" t="s">
        <v>40444</v>
      </c>
    </row>
    <row r="5096" spans="1:24">
      <c r="A5096">
        <f>HYPERLINK("https://www.philgeps.gov.ph/GEPSNONPILOT/Tender/SplashBidNoticeAbstractUI.aspx?menuIndex=3&amp;refID=7043242&amp;Result=3","7043242")</f>
        <v>0</v>
      </c>
      <c r="B5096" t="s">
        <v>754</v>
      </c>
      <c r="C5096" t="s">
        <v>7936</v>
      </c>
      <c r="D5096" t="s">
        <v>16266</v>
      </c>
      <c r="E5096" t="s">
        <v>20809</v>
      </c>
      <c r="F5096" t="s">
        <v>28198</v>
      </c>
      <c r="G5096" t="s">
        <v>28205</v>
      </c>
      <c r="H5096" t="s">
        <v>28214</v>
      </c>
      <c r="I5096" t="s">
        <v>3797</v>
      </c>
      <c r="J5096" t="s">
        <v>31575</v>
      </c>
      <c r="K5096" t="s">
        <v>36737</v>
      </c>
      <c r="M5096" t="s">
        <v>37757</v>
      </c>
      <c r="N5096" t="s">
        <v>40436</v>
      </c>
      <c r="O5096" t="s">
        <v>40437</v>
      </c>
      <c r="P5096">
        <v>0</v>
      </c>
      <c r="Q5096">
        <v>0</v>
      </c>
      <c r="R5096" t="s">
        <v>40440</v>
      </c>
      <c r="S5096" t="s">
        <v>40603</v>
      </c>
      <c r="T5096" t="s">
        <v>42108</v>
      </c>
      <c r="U5096" t="s">
        <v>46953</v>
      </c>
      <c r="W5096" t="s">
        <v>37757</v>
      </c>
      <c r="X5096" t="s">
        <v>40444</v>
      </c>
    </row>
    <row r="5097" spans="1:24">
      <c r="A5097">
        <f>HYPERLINK("https://www.philgeps.gov.ph/GEPSNONPILOT/Tender/SplashBidNoticeAbstractUI.aspx?menuIndex=3&amp;refID=7043172&amp;Result=3","7043172")</f>
        <v>0</v>
      </c>
      <c r="B5097" t="s">
        <v>968</v>
      </c>
      <c r="C5097" t="s">
        <v>7937</v>
      </c>
      <c r="D5097" t="s">
        <v>16208</v>
      </c>
      <c r="E5097" t="s">
        <v>20810</v>
      </c>
      <c r="F5097" t="s">
        <v>28198</v>
      </c>
      <c r="G5097" t="s">
        <v>28207</v>
      </c>
      <c r="H5097" t="s">
        <v>28215</v>
      </c>
      <c r="I5097" t="s">
        <v>5100</v>
      </c>
      <c r="J5097" t="s">
        <v>31576</v>
      </c>
      <c r="K5097" t="s">
        <v>36689</v>
      </c>
      <c r="M5097" t="s">
        <v>37994</v>
      </c>
      <c r="N5097" t="s">
        <v>40436</v>
      </c>
      <c r="O5097" t="s">
        <v>40437</v>
      </c>
      <c r="P5097">
        <v>0</v>
      </c>
      <c r="Q5097">
        <v>0</v>
      </c>
      <c r="R5097" t="s">
        <v>40440</v>
      </c>
      <c r="S5097" t="s">
        <v>40603</v>
      </c>
      <c r="T5097" t="s">
        <v>42184</v>
      </c>
      <c r="U5097" t="s">
        <v>44574</v>
      </c>
      <c r="W5097" t="s">
        <v>37994</v>
      </c>
      <c r="X5097" t="s">
        <v>40444</v>
      </c>
    </row>
    <row r="5098" spans="1:24">
      <c r="A5098">
        <f>HYPERLINK("https://www.philgeps.gov.ph/GEPSNONPILOT/Tender/SplashBidNoticeAbstractUI.aspx?menuIndex=3&amp;refID=7043238&amp;Result=3","7043238")</f>
        <v>0</v>
      </c>
      <c r="B5098" t="s">
        <v>754</v>
      </c>
      <c r="C5098" t="s">
        <v>7938</v>
      </c>
      <c r="D5098" t="s">
        <v>16266</v>
      </c>
      <c r="E5098" t="s">
        <v>20811</v>
      </c>
      <c r="F5098" t="s">
        <v>28198</v>
      </c>
      <c r="G5098" t="s">
        <v>28205</v>
      </c>
      <c r="H5098" t="s">
        <v>28214</v>
      </c>
      <c r="I5098" t="s">
        <v>3797</v>
      </c>
      <c r="J5098" t="s">
        <v>31577</v>
      </c>
      <c r="K5098" t="s">
        <v>36736</v>
      </c>
      <c r="M5098" t="s">
        <v>37757</v>
      </c>
      <c r="N5098" t="s">
        <v>40436</v>
      </c>
      <c r="O5098" t="s">
        <v>40437</v>
      </c>
      <c r="P5098">
        <v>0</v>
      </c>
      <c r="Q5098">
        <v>0</v>
      </c>
      <c r="R5098" t="s">
        <v>40440</v>
      </c>
      <c r="S5098" t="s">
        <v>40603</v>
      </c>
      <c r="T5098" t="s">
        <v>42108</v>
      </c>
      <c r="U5098" t="s">
        <v>46954</v>
      </c>
      <c r="W5098" t="s">
        <v>37757</v>
      </c>
      <c r="X5098" t="s">
        <v>40444</v>
      </c>
    </row>
    <row r="5099" spans="1:24">
      <c r="A5099">
        <f>HYPERLINK("https://www.philgeps.gov.ph/GEPSNONPILOT/Tender/SplashBidNoticeAbstractUI.aspx?menuIndex=3&amp;refID=7043215&amp;Result=3","7043215")</f>
        <v>0</v>
      </c>
      <c r="B5099" t="s">
        <v>1735</v>
      </c>
      <c r="C5099" t="s">
        <v>7939</v>
      </c>
      <c r="D5099" t="s">
        <v>16210</v>
      </c>
      <c r="E5099" t="s">
        <v>20812</v>
      </c>
      <c r="F5099" t="s">
        <v>28200</v>
      </c>
      <c r="G5099" t="s">
        <v>28205</v>
      </c>
      <c r="H5099" t="s">
        <v>28215</v>
      </c>
      <c r="I5099" t="s">
        <v>4200</v>
      </c>
      <c r="J5099" t="s">
        <v>28559</v>
      </c>
      <c r="K5099" t="s">
        <v>36701</v>
      </c>
      <c r="M5099" t="s">
        <v>38846</v>
      </c>
      <c r="N5099" t="s">
        <v>40436</v>
      </c>
      <c r="O5099" t="s">
        <v>40437</v>
      </c>
      <c r="P5099">
        <v>0</v>
      </c>
      <c r="Q5099">
        <v>0</v>
      </c>
      <c r="R5099" t="s">
        <v>40440</v>
      </c>
      <c r="S5099" t="s">
        <v>40603</v>
      </c>
      <c r="T5099" t="s">
        <v>42341</v>
      </c>
      <c r="U5099" t="s">
        <v>46955</v>
      </c>
      <c r="V5099" t="s">
        <v>54287</v>
      </c>
      <c r="W5099" t="s">
        <v>38846</v>
      </c>
      <c r="X5099" t="s">
        <v>40444</v>
      </c>
    </row>
    <row r="5100" spans="1:24">
      <c r="A5100">
        <f>HYPERLINK("https://www.philgeps.gov.ph/GEPSNONPILOT/Tender/SplashBidNoticeAbstractUI.aspx?menuIndex=3&amp;refID=7043311&amp;Result=3","7043311")</f>
        <v>0</v>
      </c>
      <c r="B5100" t="s">
        <v>118</v>
      </c>
      <c r="C5100" t="s">
        <v>4200</v>
      </c>
      <c r="D5100" t="s">
        <v>16191</v>
      </c>
      <c r="E5100" t="s">
        <v>20813</v>
      </c>
      <c r="F5100" t="s">
        <v>28198</v>
      </c>
      <c r="G5100" t="s">
        <v>28207</v>
      </c>
      <c r="H5100" t="s">
        <v>28215</v>
      </c>
      <c r="I5100" t="s">
        <v>4200</v>
      </c>
      <c r="J5100" t="s">
        <v>31578</v>
      </c>
      <c r="K5100" t="s">
        <v>36701</v>
      </c>
      <c r="M5100" t="s">
        <v>37092</v>
      </c>
      <c r="N5100" t="s">
        <v>40436</v>
      </c>
      <c r="O5100" t="s">
        <v>40437</v>
      </c>
      <c r="P5100">
        <v>0</v>
      </c>
      <c r="Q5100">
        <v>0</v>
      </c>
      <c r="R5100" t="s">
        <v>40440</v>
      </c>
      <c r="S5100" t="s">
        <v>40603</v>
      </c>
      <c r="T5100" t="s">
        <v>42205</v>
      </c>
      <c r="U5100" t="s">
        <v>46956</v>
      </c>
      <c r="W5100" t="s">
        <v>37092</v>
      </c>
      <c r="X5100" t="s">
        <v>40443</v>
      </c>
    </row>
    <row r="5101" spans="1:24">
      <c r="A5101">
        <f>HYPERLINK("https://www.philgeps.gov.ph/GEPSNONPILOT/Tender/SplashBidNoticeAbstractUI.aspx?menuIndex=3&amp;refID=7043177&amp;Result=3","7043177")</f>
        <v>0</v>
      </c>
      <c r="B5101" t="s">
        <v>1735</v>
      </c>
      <c r="C5101" t="s">
        <v>7940</v>
      </c>
      <c r="D5101" t="s">
        <v>16210</v>
      </c>
      <c r="E5101" t="s">
        <v>20814</v>
      </c>
      <c r="F5101" t="s">
        <v>28200</v>
      </c>
      <c r="G5101" t="s">
        <v>28205</v>
      </c>
      <c r="H5101" t="s">
        <v>28215</v>
      </c>
      <c r="I5101" t="s">
        <v>28265</v>
      </c>
      <c r="J5101" t="s">
        <v>28398</v>
      </c>
      <c r="K5101" t="s">
        <v>36701</v>
      </c>
      <c r="M5101" t="s">
        <v>38846</v>
      </c>
      <c r="N5101" t="s">
        <v>40436</v>
      </c>
      <c r="O5101" t="s">
        <v>40437</v>
      </c>
      <c r="P5101">
        <v>0</v>
      </c>
      <c r="Q5101">
        <v>0</v>
      </c>
      <c r="R5101" t="s">
        <v>40440</v>
      </c>
      <c r="S5101" t="s">
        <v>40603</v>
      </c>
      <c r="T5101" t="s">
        <v>42415</v>
      </c>
      <c r="U5101" t="s">
        <v>46957</v>
      </c>
      <c r="V5101" t="s">
        <v>54287</v>
      </c>
      <c r="W5101" t="s">
        <v>38846</v>
      </c>
      <c r="X5101" t="s">
        <v>40444</v>
      </c>
    </row>
    <row r="5102" spans="1:24">
      <c r="A5102">
        <f>HYPERLINK("https://www.philgeps.gov.ph/GEPSNONPILOT/Tender/SplashBidNoticeAbstractUI.aspx?menuIndex=3&amp;refID=7043181&amp;Result=3","7043181")</f>
        <v>0</v>
      </c>
      <c r="B5102" t="s">
        <v>1734</v>
      </c>
      <c r="C5102" t="s">
        <v>7941</v>
      </c>
      <c r="D5102" t="s">
        <v>16247</v>
      </c>
      <c r="E5102" t="s">
        <v>20815</v>
      </c>
      <c r="F5102" t="s">
        <v>28198</v>
      </c>
      <c r="G5102" t="s">
        <v>28206</v>
      </c>
      <c r="H5102" t="s">
        <v>28215</v>
      </c>
      <c r="I5102" t="s">
        <v>28234</v>
      </c>
      <c r="J5102" t="s">
        <v>28668</v>
      </c>
      <c r="K5102" t="s">
        <v>36707</v>
      </c>
      <c r="M5102" t="s">
        <v>38845</v>
      </c>
      <c r="N5102" t="s">
        <v>40436</v>
      </c>
      <c r="O5102" t="s">
        <v>40437</v>
      </c>
      <c r="P5102">
        <v>0</v>
      </c>
      <c r="Q5102">
        <v>1</v>
      </c>
      <c r="R5102" t="s">
        <v>40440</v>
      </c>
      <c r="S5102" t="s">
        <v>40603</v>
      </c>
      <c r="T5102" t="s">
        <v>42416</v>
      </c>
      <c r="U5102" t="s">
        <v>46958</v>
      </c>
      <c r="W5102" t="s">
        <v>38845</v>
      </c>
      <c r="X5102" t="s">
        <v>40444</v>
      </c>
    </row>
    <row r="5103" spans="1:24">
      <c r="A5103">
        <f>HYPERLINK("https://www.philgeps.gov.ph/GEPSNONPILOT/Tender/SplashBidNoticeAbstractUI.aspx?menuIndex=3&amp;refID=7043313&amp;Result=3","7043313")</f>
        <v>0</v>
      </c>
      <c r="B5103" t="s">
        <v>131</v>
      </c>
      <c r="C5103" t="s">
        <v>7942</v>
      </c>
      <c r="D5103" t="s">
        <v>16237</v>
      </c>
      <c r="E5103" t="s">
        <v>20816</v>
      </c>
      <c r="F5103" t="s">
        <v>28198</v>
      </c>
      <c r="G5103" t="s">
        <v>28205</v>
      </c>
      <c r="H5103" t="s">
        <v>28215</v>
      </c>
      <c r="I5103" t="s">
        <v>3797</v>
      </c>
      <c r="J5103" t="s">
        <v>29113</v>
      </c>
      <c r="K5103" t="s">
        <v>36827</v>
      </c>
      <c r="M5103" t="s">
        <v>37105</v>
      </c>
      <c r="N5103" t="s">
        <v>40436</v>
      </c>
      <c r="O5103" t="s">
        <v>40437</v>
      </c>
      <c r="P5103">
        <v>0</v>
      </c>
      <c r="Q5103">
        <v>4</v>
      </c>
      <c r="R5103" t="s">
        <v>40440</v>
      </c>
      <c r="S5103" t="s">
        <v>40603</v>
      </c>
      <c r="T5103" t="s">
        <v>42123</v>
      </c>
      <c r="U5103" t="s">
        <v>46959</v>
      </c>
      <c r="V5103" t="s">
        <v>54288</v>
      </c>
      <c r="W5103" t="s">
        <v>37105</v>
      </c>
      <c r="X5103" t="s">
        <v>40443</v>
      </c>
    </row>
    <row r="5104" spans="1:24">
      <c r="A5104">
        <f>HYPERLINK("https://www.philgeps.gov.ph/GEPSNONPILOT/Tender/SplashBidNoticeAbstractUI.aspx?menuIndex=3&amp;refID=7043376&amp;Result=3","7043376")</f>
        <v>0</v>
      </c>
      <c r="B5104" t="s">
        <v>1527</v>
      </c>
      <c r="C5104" t="s">
        <v>7943</v>
      </c>
      <c r="D5104" t="s">
        <v>16213</v>
      </c>
      <c r="E5104" t="s">
        <v>17443</v>
      </c>
      <c r="F5104" t="s">
        <v>28198</v>
      </c>
      <c r="G5104" t="s">
        <v>28205</v>
      </c>
      <c r="H5104" t="s">
        <v>28214</v>
      </c>
      <c r="I5104" t="s">
        <v>3797</v>
      </c>
      <c r="J5104" t="s">
        <v>31579</v>
      </c>
      <c r="K5104" t="s">
        <v>36814</v>
      </c>
      <c r="M5104" t="s">
        <v>38605</v>
      </c>
      <c r="N5104" t="s">
        <v>40436</v>
      </c>
      <c r="O5104" t="s">
        <v>40437</v>
      </c>
      <c r="P5104">
        <v>0</v>
      </c>
      <c r="Q5104">
        <v>1</v>
      </c>
      <c r="R5104" t="s">
        <v>40440</v>
      </c>
      <c r="S5104" t="s">
        <v>40603</v>
      </c>
      <c r="T5104" t="s">
        <v>42248</v>
      </c>
      <c r="U5104" t="s">
        <v>46960</v>
      </c>
      <c r="W5104" t="s">
        <v>38605</v>
      </c>
      <c r="X5104" t="s">
        <v>40443</v>
      </c>
    </row>
    <row r="5105" spans="1:24">
      <c r="A5105">
        <f>HYPERLINK("https://www.philgeps.gov.ph/GEPSNONPILOT/Tender/SplashBidNoticeAbstractUI.aspx?menuIndex=3&amp;refID=7043360&amp;Result=3","7043360")</f>
        <v>0</v>
      </c>
      <c r="B5105" t="s">
        <v>1527</v>
      </c>
      <c r="C5105" t="s">
        <v>7944</v>
      </c>
      <c r="D5105" t="s">
        <v>16213</v>
      </c>
      <c r="E5105" t="s">
        <v>17031</v>
      </c>
      <c r="F5105" t="s">
        <v>28198</v>
      </c>
      <c r="G5105" t="s">
        <v>28205</v>
      </c>
      <c r="H5105" t="s">
        <v>28214</v>
      </c>
      <c r="I5105" t="s">
        <v>3797</v>
      </c>
      <c r="J5105" t="s">
        <v>31580</v>
      </c>
      <c r="K5105" t="s">
        <v>36828</v>
      </c>
      <c r="M5105" t="s">
        <v>38605</v>
      </c>
      <c r="N5105" t="s">
        <v>40436</v>
      </c>
      <c r="O5105" t="s">
        <v>40437</v>
      </c>
      <c r="P5105">
        <v>0</v>
      </c>
      <c r="Q5105">
        <v>2</v>
      </c>
      <c r="R5105" t="s">
        <v>40440</v>
      </c>
      <c r="S5105" t="s">
        <v>40603</v>
      </c>
      <c r="T5105" t="s">
        <v>42248</v>
      </c>
      <c r="U5105" t="s">
        <v>46961</v>
      </c>
      <c r="W5105" t="s">
        <v>38605</v>
      </c>
      <c r="X5105" t="s">
        <v>40443</v>
      </c>
    </row>
    <row r="5106" spans="1:24">
      <c r="A5106">
        <f>HYPERLINK("https://www.philgeps.gov.ph/GEPSNONPILOT/Tender/SplashBidNoticeAbstractUI.aspx?menuIndex=3&amp;refID=7043392&amp;Result=3","7043392")</f>
        <v>0</v>
      </c>
      <c r="B5106" t="s">
        <v>854</v>
      </c>
      <c r="C5106" t="s">
        <v>7945</v>
      </c>
      <c r="D5106" t="s">
        <v>16252</v>
      </c>
      <c r="E5106" t="s">
        <v>20817</v>
      </c>
      <c r="F5106" t="s">
        <v>28198</v>
      </c>
      <c r="G5106" t="s">
        <v>28205</v>
      </c>
      <c r="H5106" t="s">
        <v>28214</v>
      </c>
      <c r="I5106" t="s">
        <v>3797</v>
      </c>
      <c r="J5106" t="s">
        <v>28379</v>
      </c>
      <c r="K5106" t="s">
        <v>36738</v>
      </c>
      <c r="M5106" t="s">
        <v>37866</v>
      </c>
      <c r="N5106" t="s">
        <v>40436</v>
      </c>
      <c r="O5106" t="s">
        <v>40437</v>
      </c>
      <c r="P5106">
        <v>0</v>
      </c>
      <c r="Q5106">
        <v>1</v>
      </c>
      <c r="R5106" t="s">
        <v>40440</v>
      </c>
      <c r="S5106" t="s">
        <v>40603</v>
      </c>
      <c r="T5106" t="s">
        <v>42230</v>
      </c>
      <c r="U5106" t="s">
        <v>46962</v>
      </c>
      <c r="W5106" t="s">
        <v>37866</v>
      </c>
      <c r="X5106" t="s">
        <v>40443</v>
      </c>
    </row>
    <row r="5107" spans="1:24">
      <c r="A5107">
        <f>HYPERLINK("https://www.philgeps.gov.ph/GEPSNONPILOT/Tender/SplashBidNoticeAbstractUI.aspx?menuIndex=3&amp;refID=7043387&amp;Result=3","7043387")</f>
        <v>0</v>
      </c>
      <c r="B5107" t="s">
        <v>1527</v>
      </c>
      <c r="C5107" t="s">
        <v>7946</v>
      </c>
      <c r="D5107" t="s">
        <v>16213</v>
      </c>
      <c r="E5107" t="s">
        <v>17462</v>
      </c>
      <c r="F5107" t="s">
        <v>28198</v>
      </c>
      <c r="G5107" t="s">
        <v>28205</v>
      </c>
      <c r="H5107" t="s">
        <v>28214</v>
      </c>
      <c r="I5107" t="s">
        <v>3797</v>
      </c>
      <c r="J5107" t="s">
        <v>31581</v>
      </c>
      <c r="K5107" t="s">
        <v>36742</v>
      </c>
      <c r="M5107" t="s">
        <v>38605</v>
      </c>
      <c r="N5107" t="s">
        <v>40436</v>
      </c>
      <c r="O5107" t="s">
        <v>40437</v>
      </c>
      <c r="P5107">
        <v>0</v>
      </c>
      <c r="Q5107">
        <v>0</v>
      </c>
      <c r="R5107" t="s">
        <v>40440</v>
      </c>
      <c r="S5107" t="s">
        <v>40603</v>
      </c>
      <c r="T5107" t="s">
        <v>42248</v>
      </c>
      <c r="U5107" t="s">
        <v>46963</v>
      </c>
      <c r="W5107" t="s">
        <v>38605</v>
      </c>
      <c r="X5107" t="s">
        <v>40443</v>
      </c>
    </row>
    <row r="5108" spans="1:24">
      <c r="A5108">
        <f>HYPERLINK("https://www.philgeps.gov.ph/GEPSNONPILOT/Tender/SplashBidNoticeAbstractUI.aspx?menuIndex=3&amp;refID=7043356&amp;Result=3","7043356")</f>
        <v>0</v>
      </c>
      <c r="B5108" t="s">
        <v>1527</v>
      </c>
      <c r="C5108" t="s">
        <v>7947</v>
      </c>
      <c r="D5108" t="s">
        <v>16213</v>
      </c>
      <c r="E5108" t="s">
        <v>17186</v>
      </c>
      <c r="F5108" t="s">
        <v>28198</v>
      </c>
      <c r="G5108" t="s">
        <v>28205</v>
      </c>
      <c r="H5108" t="s">
        <v>28214</v>
      </c>
      <c r="I5108" t="s">
        <v>3797</v>
      </c>
      <c r="J5108" t="s">
        <v>31582</v>
      </c>
      <c r="K5108" t="s">
        <v>36786</v>
      </c>
      <c r="M5108" t="s">
        <v>38605</v>
      </c>
      <c r="N5108" t="s">
        <v>40436</v>
      </c>
      <c r="O5108" t="s">
        <v>40437</v>
      </c>
      <c r="P5108">
        <v>0</v>
      </c>
      <c r="Q5108">
        <v>2</v>
      </c>
      <c r="R5108" t="s">
        <v>40440</v>
      </c>
      <c r="S5108" t="s">
        <v>40603</v>
      </c>
      <c r="T5108" t="s">
        <v>42248</v>
      </c>
      <c r="U5108" t="s">
        <v>46964</v>
      </c>
      <c r="W5108" t="s">
        <v>38605</v>
      </c>
      <c r="X5108" t="s">
        <v>40443</v>
      </c>
    </row>
    <row r="5109" spans="1:24">
      <c r="A5109">
        <f>HYPERLINK("https://www.philgeps.gov.ph/GEPSNONPILOT/Tender/SplashBidNoticeAbstractUI.aspx?menuIndex=3&amp;refID=7043350&amp;Result=3","7043350")</f>
        <v>0</v>
      </c>
      <c r="B5109" t="s">
        <v>1527</v>
      </c>
      <c r="C5109" t="s">
        <v>7948</v>
      </c>
      <c r="D5109" t="s">
        <v>16213</v>
      </c>
      <c r="E5109" t="s">
        <v>16684</v>
      </c>
      <c r="F5109" t="s">
        <v>28198</v>
      </c>
      <c r="G5109" t="s">
        <v>28205</v>
      </c>
      <c r="H5109" t="s">
        <v>28214</v>
      </c>
      <c r="I5109" t="s">
        <v>3797</v>
      </c>
      <c r="J5109" t="s">
        <v>31582</v>
      </c>
      <c r="K5109" t="s">
        <v>36786</v>
      </c>
      <c r="M5109" t="s">
        <v>38605</v>
      </c>
      <c r="N5109" t="s">
        <v>40436</v>
      </c>
      <c r="O5109" t="s">
        <v>40437</v>
      </c>
      <c r="P5109">
        <v>0</v>
      </c>
      <c r="Q5109">
        <v>2</v>
      </c>
      <c r="R5109" t="s">
        <v>40440</v>
      </c>
      <c r="S5109" t="s">
        <v>40603</v>
      </c>
      <c r="T5109" t="s">
        <v>42248</v>
      </c>
      <c r="U5109" t="s">
        <v>46965</v>
      </c>
      <c r="W5109" t="s">
        <v>38605</v>
      </c>
      <c r="X5109" t="s">
        <v>40443</v>
      </c>
    </row>
    <row r="5110" spans="1:24">
      <c r="A5110">
        <f>HYPERLINK("https://www.philgeps.gov.ph/GEPSNONPILOT/Tender/SplashBidNoticeAbstractUI.aspx?menuIndex=3&amp;refID=7043399&amp;Result=3","7043399")</f>
        <v>0</v>
      </c>
      <c r="B5110" t="s">
        <v>1739</v>
      </c>
      <c r="C5110" t="s">
        <v>7949</v>
      </c>
      <c r="D5110" t="s">
        <v>16252</v>
      </c>
      <c r="E5110" t="s">
        <v>20818</v>
      </c>
      <c r="F5110" t="s">
        <v>28198</v>
      </c>
      <c r="G5110" t="s">
        <v>28205</v>
      </c>
      <c r="H5110" t="s">
        <v>28215</v>
      </c>
      <c r="I5110" t="s">
        <v>4505</v>
      </c>
      <c r="J5110" t="s">
        <v>31583</v>
      </c>
      <c r="K5110" t="s">
        <v>36701</v>
      </c>
      <c r="M5110" t="s">
        <v>38850</v>
      </c>
      <c r="N5110" t="s">
        <v>40436</v>
      </c>
      <c r="O5110" t="s">
        <v>40437</v>
      </c>
      <c r="P5110">
        <v>0</v>
      </c>
      <c r="Q5110">
        <v>1</v>
      </c>
      <c r="R5110" t="s">
        <v>40440</v>
      </c>
      <c r="S5110" t="s">
        <v>40603</v>
      </c>
      <c r="T5110" t="s">
        <v>42160</v>
      </c>
      <c r="U5110" t="s">
        <v>46966</v>
      </c>
      <c r="W5110" t="s">
        <v>38850</v>
      </c>
      <c r="X5110" t="s">
        <v>40443</v>
      </c>
    </row>
    <row r="5111" spans="1:24">
      <c r="A5111">
        <f>HYPERLINK("https://www.philgeps.gov.ph/GEPSNONPILOT/Tender/SplashBidNoticeAbstractUI.aspx?menuIndex=3&amp;refID=7043395&amp;Result=3","7043395")</f>
        <v>0</v>
      </c>
      <c r="B5111" t="s">
        <v>664</v>
      </c>
      <c r="C5111" t="s">
        <v>7950</v>
      </c>
      <c r="D5111" t="s">
        <v>16260</v>
      </c>
      <c r="E5111" t="s">
        <v>20819</v>
      </c>
      <c r="F5111" t="s">
        <v>28198</v>
      </c>
      <c r="G5111" t="s">
        <v>28205</v>
      </c>
      <c r="H5111" t="s">
        <v>28215</v>
      </c>
      <c r="I5111" t="s">
        <v>8888</v>
      </c>
      <c r="J5111" t="s">
        <v>31584</v>
      </c>
      <c r="K5111" t="s">
        <v>36701</v>
      </c>
      <c r="M5111" t="s">
        <v>38851</v>
      </c>
      <c r="N5111" t="s">
        <v>40436</v>
      </c>
      <c r="O5111" t="s">
        <v>40437</v>
      </c>
      <c r="P5111">
        <v>0</v>
      </c>
      <c r="Q5111">
        <v>3</v>
      </c>
      <c r="R5111" t="s">
        <v>40440</v>
      </c>
      <c r="S5111" t="s">
        <v>40603</v>
      </c>
      <c r="T5111" t="s">
        <v>42171</v>
      </c>
      <c r="U5111" t="s">
        <v>46967</v>
      </c>
      <c r="W5111" t="s">
        <v>38851</v>
      </c>
      <c r="X5111" t="s">
        <v>40443</v>
      </c>
    </row>
    <row r="5112" spans="1:24">
      <c r="A5112">
        <f>HYPERLINK("https://www.philgeps.gov.ph/GEPSNONPILOT/Tender/SplashBidNoticeAbstractUI.aspx?menuIndex=3&amp;refID=7043335&amp;Result=3","7043335")</f>
        <v>0</v>
      </c>
      <c r="B5112" t="s">
        <v>1740</v>
      </c>
      <c r="C5112" t="s">
        <v>7951</v>
      </c>
      <c r="D5112" t="s">
        <v>16199</v>
      </c>
      <c r="E5112" t="s">
        <v>20820</v>
      </c>
      <c r="F5112" t="s">
        <v>28198</v>
      </c>
      <c r="G5112" t="s">
        <v>28205</v>
      </c>
      <c r="H5112" t="s">
        <v>28215</v>
      </c>
      <c r="I5112" t="s">
        <v>4168</v>
      </c>
      <c r="J5112" t="s">
        <v>28486</v>
      </c>
      <c r="K5112" t="s">
        <v>36691</v>
      </c>
      <c r="M5112" t="s">
        <v>38852</v>
      </c>
      <c r="N5112" t="s">
        <v>40436</v>
      </c>
      <c r="O5112" t="s">
        <v>40437</v>
      </c>
      <c r="P5112">
        <v>0</v>
      </c>
      <c r="Q5112">
        <v>2</v>
      </c>
      <c r="R5112" t="s">
        <v>40440</v>
      </c>
      <c r="S5112" t="s">
        <v>40603</v>
      </c>
      <c r="T5112" t="s">
        <v>42098</v>
      </c>
      <c r="U5112" t="s">
        <v>46968</v>
      </c>
      <c r="W5112" t="s">
        <v>38852</v>
      </c>
      <c r="X5112" t="s">
        <v>40443</v>
      </c>
    </row>
    <row r="5113" spans="1:24">
      <c r="A5113">
        <f>HYPERLINK("https://www.philgeps.gov.ph/GEPSNONPILOT/Tender/SplashBidNoticeAbstractUI.aspx?menuIndex=3&amp;refID=7043334&amp;Result=3","7043334")</f>
        <v>0</v>
      </c>
      <c r="B5113" t="s">
        <v>1741</v>
      </c>
      <c r="C5113" t="s">
        <v>7952</v>
      </c>
      <c r="D5113" t="s">
        <v>16194</v>
      </c>
      <c r="E5113" t="s">
        <v>20821</v>
      </c>
      <c r="F5113" t="s">
        <v>28204</v>
      </c>
      <c r="G5113" t="s">
        <v>28207</v>
      </c>
      <c r="H5113" t="s">
        <v>28215</v>
      </c>
      <c r="I5113" t="s">
        <v>28255</v>
      </c>
      <c r="J5113" t="s">
        <v>29401</v>
      </c>
      <c r="K5113" t="s">
        <v>36701</v>
      </c>
      <c r="M5113" t="s">
        <v>38853</v>
      </c>
      <c r="N5113" t="s">
        <v>40436</v>
      </c>
      <c r="O5113" t="s">
        <v>40437</v>
      </c>
      <c r="P5113">
        <v>0</v>
      </c>
      <c r="Q5113">
        <v>0</v>
      </c>
      <c r="R5113" t="s">
        <v>40440</v>
      </c>
      <c r="S5113" t="s">
        <v>40603</v>
      </c>
      <c r="T5113" t="s">
        <v>42160</v>
      </c>
      <c r="U5113" t="s">
        <v>46969</v>
      </c>
      <c r="W5113" t="s">
        <v>38853</v>
      </c>
      <c r="X5113" t="s">
        <v>40443</v>
      </c>
    </row>
    <row r="5114" spans="1:24">
      <c r="A5114">
        <f>HYPERLINK("https://www.philgeps.gov.ph/GEPSNONPILOT/Tender/SplashBidNoticeAbstractUI.aspx?menuIndex=3&amp;refID=7043315&amp;Result=3","7043315")</f>
        <v>0</v>
      </c>
      <c r="B5114" t="s">
        <v>1046</v>
      </c>
      <c r="C5114" t="s">
        <v>7953</v>
      </c>
      <c r="E5114" t="s">
        <v>20822</v>
      </c>
      <c r="F5114" t="s">
        <v>28198</v>
      </c>
      <c r="G5114" t="s">
        <v>28207</v>
      </c>
      <c r="H5114" t="s">
        <v>28215</v>
      </c>
      <c r="I5114" t="s">
        <v>28317</v>
      </c>
      <c r="J5114" t="s">
        <v>31585</v>
      </c>
      <c r="K5114" t="s">
        <v>36689</v>
      </c>
      <c r="M5114" t="s">
        <v>38079</v>
      </c>
      <c r="N5114" t="s">
        <v>40436</v>
      </c>
      <c r="O5114" t="s">
        <v>40437</v>
      </c>
      <c r="P5114">
        <v>0</v>
      </c>
      <c r="Q5114">
        <v>0</v>
      </c>
      <c r="R5114" t="s">
        <v>40440</v>
      </c>
      <c r="S5114" t="s">
        <v>40603</v>
      </c>
      <c r="T5114" t="s">
        <v>42184</v>
      </c>
      <c r="U5114" t="s">
        <v>46970</v>
      </c>
      <c r="V5114" t="s">
        <v>54078</v>
      </c>
      <c r="W5114" t="s">
        <v>38079</v>
      </c>
      <c r="X5114" t="s">
        <v>40443</v>
      </c>
    </row>
    <row r="5115" spans="1:24">
      <c r="A5115">
        <f>HYPERLINK("https://www.philgeps.gov.ph/GEPSNONPILOT/Tender/SplashBidNoticeAbstractUI.aspx?menuIndex=3&amp;refID=7043424&amp;Result=3","7043424")</f>
        <v>0</v>
      </c>
      <c r="B5115" t="s">
        <v>1527</v>
      </c>
      <c r="C5115" t="s">
        <v>7954</v>
      </c>
      <c r="D5115" t="s">
        <v>16213</v>
      </c>
      <c r="E5115" t="s">
        <v>17685</v>
      </c>
      <c r="F5115" t="s">
        <v>28198</v>
      </c>
      <c r="G5115" t="s">
        <v>28205</v>
      </c>
      <c r="H5115" t="s">
        <v>28214</v>
      </c>
      <c r="I5115" t="s">
        <v>3797</v>
      </c>
      <c r="J5115" t="s">
        <v>31586</v>
      </c>
      <c r="K5115" t="s">
        <v>36704</v>
      </c>
      <c r="M5115" t="s">
        <v>38605</v>
      </c>
      <c r="N5115" t="s">
        <v>40436</v>
      </c>
      <c r="O5115" t="s">
        <v>40437</v>
      </c>
      <c r="P5115">
        <v>0</v>
      </c>
      <c r="Q5115">
        <v>0</v>
      </c>
      <c r="R5115" t="s">
        <v>40440</v>
      </c>
      <c r="S5115" t="s">
        <v>40603</v>
      </c>
      <c r="T5115" t="s">
        <v>42248</v>
      </c>
      <c r="U5115" t="s">
        <v>46971</v>
      </c>
      <c r="W5115" t="s">
        <v>38605</v>
      </c>
      <c r="X5115" t="s">
        <v>40443</v>
      </c>
    </row>
    <row r="5116" spans="1:24">
      <c r="A5116">
        <f>HYPERLINK("https://www.philgeps.gov.ph/GEPSNONPILOT/Tender/SplashBidNoticeAbstractUI.aspx?menuIndex=3&amp;refID=7043345&amp;Result=3","7043345")</f>
        <v>0</v>
      </c>
      <c r="B5116" t="s">
        <v>1527</v>
      </c>
      <c r="C5116" t="s">
        <v>7948</v>
      </c>
      <c r="D5116" t="s">
        <v>16213</v>
      </c>
      <c r="E5116" t="s">
        <v>18038</v>
      </c>
      <c r="F5116" t="s">
        <v>28198</v>
      </c>
      <c r="G5116" t="s">
        <v>28205</v>
      </c>
      <c r="H5116" t="s">
        <v>28214</v>
      </c>
      <c r="I5116" t="s">
        <v>3797</v>
      </c>
      <c r="J5116" t="s">
        <v>31582</v>
      </c>
      <c r="K5116" t="s">
        <v>36786</v>
      </c>
      <c r="M5116" t="s">
        <v>38605</v>
      </c>
      <c r="N5116" t="s">
        <v>40436</v>
      </c>
      <c r="O5116" t="s">
        <v>40437</v>
      </c>
      <c r="P5116">
        <v>0</v>
      </c>
      <c r="Q5116">
        <v>2</v>
      </c>
      <c r="R5116" t="s">
        <v>40440</v>
      </c>
      <c r="S5116" t="s">
        <v>40603</v>
      </c>
      <c r="T5116" t="s">
        <v>42248</v>
      </c>
      <c r="U5116" t="s">
        <v>46965</v>
      </c>
      <c r="W5116" t="s">
        <v>38605</v>
      </c>
      <c r="X5116" t="s">
        <v>40443</v>
      </c>
    </row>
    <row r="5117" spans="1:24">
      <c r="A5117">
        <f>HYPERLINK("https://www.philgeps.gov.ph/GEPSNONPILOT/Tender/SplashBidNoticeAbstractUI.aspx?menuIndex=3&amp;refID=7043418&amp;Result=3","7043418")</f>
        <v>0</v>
      </c>
      <c r="B5117" t="s">
        <v>1527</v>
      </c>
      <c r="C5117" t="s">
        <v>7955</v>
      </c>
      <c r="D5117" t="s">
        <v>16213</v>
      </c>
      <c r="E5117" t="s">
        <v>17597</v>
      </c>
      <c r="F5117" t="s">
        <v>28198</v>
      </c>
      <c r="G5117" t="s">
        <v>28205</v>
      </c>
      <c r="H5117" t="s">
        <v>28214</v>
      </c>
      <c r="I5117" t="s">
        <v>3797</v>
      </c>
      <c r="J5117" t="s">
        <v>31587</v>
      </c>
      <c r="K5117" t="s">
        <v>36786</v>
      </c>
      <c r="M5117" t="s">
        <v>38605</v>
      </c>
      <c r="N5117" t="s">
        <v>40436</v>
      </c>
      <c r="O5117" t="s">
        <v>40437</v>
      </c>
      <c r="P5117">
        <v>0</v>
      </c>
      <c r="Q5117">
        <v>0</v>
      </c>
      <c r="R5117" t="s">
        <v>40440</v>
      </c>
      <c r="S5117" t="s">
        <v>40603</v>
      </c>
      <c r="T5117" t="s">
        <v>42248</v>
      </c>
      <c r="U5117" t="s">
        <v>46972</v>
      </c>
      <c r="W5117" t="s">
        <v>38605</v>
      </c>
      <c r="X5117" t="s">
        <v>40443</v>
      </c>
    </row>
    <row r="5118" spans="1:24">
      <c r="A5118">
        <f>HYPERLINK("https://www.philgeps.gov.ph/GEPSNONPILOT/Tender/SplashBidNoticeAbstractUI.aspx?menuIndex=3&amp;refID=7043427&amp;Result=3","7043427")</f>
        <v>0</v>
      </c>
      <c r="B5118" t="s">
        <v>854</v>
      </c>
      <c r="C5118" t="s">
        <v>7956</v>
      </c>
      <c r="D5118" t="s">
        <v>16252</v>
      </c>
      <c r="E5118" t="s">
        <v>20823</v>
      </c>
      <c r="F5118" t="s">
        <v>28198</v>
      </c>
      <c r="G5118" t="s">
        <v>28205</v>
      </c>
      <c r="H5118" t="s">
        <v>28214</v>
      </c>
      <c r="I5118" t="s">
        <v>3797</v>
      </c>
      <c r="J5118" t="s">
        <v>28363</v>
      </c>
      <c r="K5118" t="s">
        <v>36829</v>
      </c>
      <c r="M5118" t="s">
        <v>37866</v>
      </c>
      <c r="N5118" t="s">
        <v>40436</v>
      </c>
      <c r="O5118" t="s">
        <v>40437</v>
      </c>
      <c r="P5118">
        <v>0</v>
      </c>
      <c r="Q5118">
        <v>1</v>
      </c>
      <c r="R5118" t="s">
        <v>40440</v>
      </c>
      <c r="S5118" t="s">
        <v>40603</v>
      </c>
      <c r="T5118" t="s">
        <v>42230</v>
      </c>
      <c r="U5118" t="s">
        <v>46973</v>
      </c>
      <c r="W5118" t="s">
        <v>37866</v>
      </c>
      <c r="X5118" t="s">
        <v>40443</v>
      </c>
    </row>
    <row r="5119" spans="1:24">
      <c r="A5119">
        <f>HYPERLINK("https://www.philgeps.gov.ph/GEPSNONPILOT/Tender/SplashBidNoticeAbstractUI.aspx?menuIndex=3&amp;refID=7043417&amp;Result=3","7043417")</f>
        <v>0</v>
      </c>
      <c r="B5119" t="s">
        <v>1742</v>
      </c>
      <c r="C5119" t="s">
        <v>7957</v>
      </c>
      <c r="D5119" t="s">
        <v>16235</v>
      </c>
      <c r="E5119" t="s">
        <v>20824</v>
      </c>
      <c r="F5119" t="s">
        <v>28198</v>
      </c>
      <c r="G5119" t="s">
        <v>28207</v>
      </c>
      <c r="H5119" t="s">
        <v>28215</v>
      </c>
      <c r="I5119" t="s">
        <v>5631</v>
      </c>
      <c r="J5119" t="s">
        <v>29998</v>
      </c>
      <c r="K5119" t="s">
        <v>36706</v>
      </c>
      <c r="M5119" t="s">
        <v>38854</v>
      </c>
      <c r="N5119" t="s">
        <v>40436</v>
      </c>
      <c r="O5119" t="s">
        <v>40437</v>
      </c>
      <c r="P5119">
        <v>0</v>
      </c>
      <c r="Q5119">
        <v>0</v>
      </c>
      <c r="R5119" t="s">
        <v>40440</v>
      </c>
      <c r="S5119" t="s">
        <v>40603</v>
      </c>
      <c r="T5119" t="s">
        <v>42184</v>
      </c>
      <c r="U5119" t="s">
        <v>46974</v>
      </c>
      <c r="V5119" t="s">
        <v>54289</v>
      </c>
      <c r="W5119" t="s">
        <v>38854</v>
      </c>
      <c r="X5119" t="s">
        <v>40443</v>
      </c>
    </row>
    <row r="5120" spans="1:24">
      <c r="A5120">
        <f>HYPERLINK("https://www.philgeps.gov.ph/GEPSNONPILOT/Tender/SplashBidNoticeAbstractUI.aspx?menuIndex=3&amp;refID=7043404&amp;Result=3","7043404")</f>
        <v>0</v>
      </c>
      <c r="B5120" t="s">
        <v>664</v>
      </c>
      <c r="C5120" t="s">
        <v>7958</v>
      </c>
      <c r="D5120" t="s">
        <v>16260</v>
      </c>
      <c r="E5120" t="s">
        <v>20825</v>
      </c>
      <c r="F5120" t="s">
        <v>28198</v>
      </c>
      <c r="G5120" t="s">
        <v>28205</v>
      </c>
      <c r="H5120" t="s">
        <v>28215</v>
      </c>
      <c r="I5120" t="s">
        <v>8870</v>
      </c>
      <c r="J5120" t="s">
        <v>31588</v>
      </c>
      <c r="K5120" t="s">
        <v>36733</v>
      </c>
      <c r="M5120" t="s">
        <v>38851</v>
      </c>
      <c r="N5120" t="s">
        <v>40436</v>
      </c>
      <c r="O5120" t="s">
        <v>40437</v>
      </c>
      <c r="P5120">
        <v>0</v>
      </c>
      <c r="Q5120">
        <v>6</v>
      </c>
      <c r="R5120" t="s">
        <v>40440</v>
      </c>
      <c r="S5120" t="s">
        <v>40603</v>
      </c>
      <c r="T5120" t="s">
        <v>42171</v>
      </c>
      <c r="U5120" t="s">
        <v>46975</v>
      </c>
      <c r="W5120" t="s">
        <v>38851</v>
      </c>
      <c r="X5120" t="s">
        <v>40443</v>
      </c>
    </row>
    <row r="5121" spans="1:24">
      <c r="A5121">
        <f>HYPERLINK("https://www.philgeps.gov.ph/GEPSNONPILOT/Tender/SplashBidNoticeAbstractUI.aspx?menuIndex=3&amp;refID=7043467&amp;Result=3","7043467")</f>
        <v>0</v>
      </c>
      <c r="B5121" t="s">
        <v>1743</v>
      </c>
      <c r="C5121" t="s">
        <v>7959</v>
      </c>
      <c r="D5121" t="s">
        <v>16210</v>
      </c>
      <c r="E5121" t="s">
        <v>20826</v>
      </c>
      <c r="F5121" t="s">
        <v>28198</v>
      </c>
      <c r="G5121" t="s">
        <v>28205</v>
      </c>
      <c r="H5121" t="s">
        <v>28215</v>
      </c>
      <c r="I5121" t="s">
        <v>28258</v>
      </c>
      <c r="J5121" t="s">
        <v>28378</v>
      </c>
      <c r="K5121" t="s">
        <v>36688</v>
      </c>
      <c r="M5121" t="s">
        <v>38855</v>
      </c>
      <c r="N5121" t="s">
        <v>40436</v>
      </c>
      <c r="O5121" t="s">
        <v>40437</v>
      </c>
      <c r="P5121">
        <v>0</v>
      </c>
      <c r="Q5121">
        <v>12</v>
      </c>
      <c r="R5121" t="s">
        <v>40440</v>
      </c>
      <c r="S5121" t="s">
        <v>40603</v>
      </c>
      <c r="T5121" t="s">
        <v>42159</v>
      </c>
      <c r="U5121" t="s">
        <v>46976</v>
      </c>
      <c r="W5121" t="s">
        <v>38855</v>
      </c>
      <c r="X5121" t="s">
        <v>40443</v>
      </c>
    </row>
    <row r="5122" spans="1:24">
      <c r="A5122">
        <f>HYPERLINK("https://www.philgeps.gov.ph/GEPSNONPILOT/Tender/SplashBidNoticeAbstractUI.aspx?menuIndex=3&amp;refID=7043434&amp;Result=3","7043434")</f>
        <v>0</v>
      </c>
      <c r="B5122" t="s">
        <v>1744</v>
      </c>
      <c r="C5122" t="s">
        <v>7960</v>
      </c>
      <c r="D5122" t="s">
        <v>16210</v>
      </c>
      <c r="E5122" t="s">
        <v>19005</v>
      </c>
      <c r="F5122" t="s">
        <v>28198</v>
      </c>
      <c r="G5122" t="s">
        <v>28207</v>
      </c>
      <c r="H5122" t="s">
        <v>28215</v>
      </c>
      <c r="I5122" t="s">
        <v>5656</v>
      </c>
      <c r="J5122" t="s">
        <v>31589</v>
      </c>
      <c r="K5122" t="s">
        <v>36689</v>
      </c>
      <c r="M5122" t="s">
        <v>38856</v>
      </c>
      <c r="N5122" t="s">
        <v>40436</v>
      </c>
      <c r="O5122" t="s">
        <v>40437</v>
      </c>
      <c r="P5122">
        <v>0</v>
      </c>
      <c r="Q5122">
        <v>1</v>
      </c>
      <c r="R5122" t="s">
        <v>40440</v>
      </c>
      <c r="S5122" t="s">
        <v>40603</v>
      </c>
      <c r="T5122" t="s">
        <v>42184</v>
      </c>
      <c r="U5122" t="s">
        <v>46977</v>
      </c>
      <c r="V5122" t="s">
        <v>54290</v>
      </c>
      <c r="W5122" t="s">
        <v>55495</v>
      </c>
      <c r="X5122" t="s">
        <v>40443</v>
      </c>
    </row>
    <row r="5123" spans="1:24">
      <c r="A5123">
        <f>HYPERLINK("https://www.philgeps.gov.ph/GEPSNONPILOT/Tender/SplashBidNoticeAbstractUI.aspx?menuIndex=3&amp;refID=7043405&amp;Result=3","7043405")</f>
        <v>0</v>
      </c>
      <c r="B5123" t="s">
        <v>1527</v>
      </c>
      <c r="C5123" t="s">
        <v>7961</v>
      </c>
      <c r="D5123" t="s">
        <v>16213</v>
      </c>
      <c r="E5123" t="s">
        <v>17057</v>
      </c>
      <c r="F5123" t="s">
        <v>28198</v>
      </c>
      <c r="G5123" t="s">
        <v>28205</v>
      </c>
      <c r="H5123" t="s">
        <v>28214</v>
      </c>
      <c r="I5123" t="s">
        <v>3797</v>
      </c>
      <c r="J5123" t="s">
        <v>31590</v>
      </c>
      <c r="K5123" t="s">
        <v>36696</v>
      </c>
      <c r="M5123" t="s">
        <v>38605</v>
      </c>
      <c r="N5123" t="s">
        <v>40436</v>
      </c>
      <c r="O5123" t="s">
        <v>40437</v>
      </c>
      <c r="P5123">
        <v>0</v>
      </c>
      <c r="Q5123">
        <v>0</v>
      </c>
      <c r="R5123" t="s">
        <v>40440</v>
      </c>
      <c r="S5123" t="s">
        <v>40603</v>
      </c>
      <c r="T5123" t="s">
        <v>42248</v>
      </c>
      <c r="U5123" t="s">
        <v>46978</v>
      </c>
      <c r="W5123" t="s">
        <v>38605</v>
      </c>
      <c r="X5123" t="s">
        <v>40443</v>
      </c>
    </row>
    <row r="5124" spans="1:24">
      <c r="A5124">
        <f>HYPERLINK("https://www.philgeps.gov.ph/GEPSNONPILOT/Tender/SplashBidNoticeAbstractUI.aspx?menuIndex=3&amp;refID=7043436&amp;Result=3","7043436")</f>
        <v>0</v>
      </c>
      <c r="B5124" t="s">
        <v>65</v>
      </c>
      <c r="C5124" t="s">
        <v>7962</v>
      </c>
      <c r="D5124" t="s">
        <v>16210</v>
      </c>
      <c r="E5124" t="s">
        <v>20827</v>
      </c>
      <c r="F5124" t="s">
        <v>28198</v>
      </c>
      <c r="G5124" t="s">
        <v>28207</v>
      </c>
      <c r="H5124" t="s">
        <v>28215</v>
      </c>
      <c r="I5124" t="s">
        <v>5082</v>
      </c>
      <c r="J5124" t="s">
        <v>28393</v>
      </c>
      <c r="K5124" t="s">
        <v>36689</v>
      </c>
      <c r="M5124" t="s">
        <v>37036</v>
      </c>
      <c r="N5124" t="s">
        <v>40436</v>
      </c>
      <c r="O5124" t="s">
        <v>40437</v>
      </c>
      <c r="P5124">
        <v>0</v>
      </c>
      <c r="Q5124">
        <v>1</v>
      </c>
      <c r="R5124" t="s">
        <v>40440</v>
      </c>
      <c r="S5124" t="s">
        <v>40603</v>
      </c>
      <c r="T5124" t="s">
        <v>42119</v>
      </c>
      <c r="U5124" t="s">
        <v>46979</v>
      </c>
      <c r="V5124" t="s">
        <v>53786</v>
      </c>
      <c r="W5124" t="s">
        <v>37036</v>
      </c>
      <c r="X5124" t="s">
        <v>40443</v>
      </c>
    </row>
    <row r="5125" spans="1:24">
      <c r="A5125">
        <f>HYPERLINK("https://www.philgeps.gov.ph/GEPSNONPILOT/Tender/SplashBidNoticeAbstractUI.aspx?menuIndex=3&amp;refID=7043459&amp;Result=3","7043459")</f>
        <v>0</v>
      </c>
      <c r="B5125" t="s">
        <v>1743</v>
      </c>
      <c r="C5125" t="s">
        <v>7963</v>
      </c>
      <c r="D5125" t="s">
        <v>16210</v>
      </c>
      <c r="E5125" t="s">
        <v>20828</v>
      </c>
      <c r="F5125" t="s">
        <v>28198</v>
      </c>
      <c r="G5125" t="s">
        <v>28205</v>
      </c>
      <c r="H5125" t="s">
        <v>28215</v>
      </c>
      <c r="I5125" t="s">
        <v>28234</v>
      </c>
      <c r="J5125" t="s">
        <v>28566</v>
      </c>
      <c r="K5125" t="s">
        <v>36688</v>
      </c>
      <c r="M5125" t="s">
        <v>38855</v>
      </c>
      <c r="N5125" t="s">
        <v>40436</v>
      </c>
      <c r="O5125" t="s">
        <v>40437</v>
      </c>
      <c r="P5125">
        <v>0</v>
      </c>
      <c r="Q5125">
        <v>3</v>
      </c>
      <c r="R5125" t="s">
        <v>40440</v>
      </c>
      <c r="S5125" t="s">
        <v>40603</v>
      </c>
      <c r="T5125" t="s">
        <v>42159</v>
      </c>
      <c r="U5125" t="s">
        <v>46980</v>
      </c>
      <c r="W5125" t="s">
        <v>38855</v>
      </c>
      <c r="X5125" t="s">
        <v>40443</v>
      </c>
    </row>
    <row r="5126" spans="1:24">
      <c r="A5126">
        <f>HYPERLINK("https://www.philgeps.gov.ph/GEPSNONPILOT/Tender/SplashBidNoticeAbstractUI.aspx?menuIndex=3&amp;refID=7043413&amp;Result=3","7043413")</f>
        <v>0</v>
      </c>
      <c r="B5126" t="s">
        <v>1739</v>
      </c>
      <c r="C5126" t="s">
        <v>7964</v>
      </c>
      <c r="D5126" t="s">
        <v>16252</v>
      </c>
      <c r="E5126" t="s">
        <v>20829</v>
      </c>
      <c r="F5126" t="s">
        <v>28198</v>
      </c>
      <c r="G5126" t="s">
        <v>28205</v>
      </c>
      <c r="H5126" t="s">
        <v>28215</v>
      </c>
      <c r="I5126" t="s">
        <v>5100</v>
      </c>
      <c r="J5126" t="s">
        <v>31591</v>
      </c>
      <c r="K5126" t="s">
        <v>36701</v>
      </c>
      <c r="M5126" t="s">
        <v>38850</v>
      </c>
      <c r="N5126" t="s">
        <v>40436</v>
      </c>
      <c r="O5126" t="s">
        <v>40437</v>
      </c>
      <c r="P5126">
        <v>0</v>
      </c>
      <c r="Q5126">
        <v>1</v>
      </c>
      <c r="R5126" t="s">
        <v>40440</v>
      </c>
      <c r="S5126" t="s">
        <v>40603</v>
      </c>
      <c r="T5126" t="s">
        <v>42160</v>
      </c>
      <c r="U5126" t="s">
        <v>46966</v>
      </c>
      <c r="W5126" t="s">
        <v>38850</v>
      </c>
      <c r="X5126" t="s">
        <v>40443</v>
      </c>
    </row>
    <row r="5127" spans="1:24">
      <c r="A5127">
        <f>HYPERLINK("https://www.philgeps.gov.ph/GEPSNONPILOT/Tender/SplashBidNoticeAbstractUI.aspx?menuIndex=3&amp;refID=7043464&amp;Result=3","7043464")</f>
        <v>0</v>
      </c>
      <c r="B5127" t="s">
        <v>1743</v>
      </c>
      <c r="C5127" t="s">
        <v>7965</v>
      </c>
      <c r="D5127" t="s">
        <v>16210</v>
      </c>
      <c r="E5127" t="s">
        <v>20830</v>
      </c>
      <c r="F5127" t="s">
        <v>28198</v>
      </c>
      <c r="G5127" t="s">
        <v>28205</v>
      </c>
      <c r="H5127" t="s">
        <v>28215</v>
      </c>
      <c r="I5127" t="s">
        <v>28254</v>
      </c>
      <c r="J5127" t="s">
        <v>28414</v>
      </c>
      <c r="K5127" t="s">
        <v>36688</v>
      </c>
      <c r="M5127" t="s">
        <v>38855</v>
      </c>
      <c r="N5127" t="s">
        <v>40436</v>
      </c>
      <c r="O5127" t="s">
        <v>40437</v>
      </c>
      <c r="P5127">
        <v>0</v>
      </c>
      <c r="Q5127">
        <v>1</v>
      </c>
      <c r="R5127" t="s">
        <v>40440</v>
      </c>
      <c r="S5127" t="s">
        <v>40603</v>
      </c>
      <c r="T5127" t="s">
        <v>42159</v>
      </c>
      <c r="U5127" t="s">
        <v>46981</v>
      </c>
      <c r="W5127" t="s">
        <v>38855</v>
      </c>
      <c r="X5127" t="s">
        <v>40443</v>
      </c>
    </row>
    <row r="5128" spans="1:24">
      <c r="A5128">
        <f>HYPERLINK("https://www.philgeps.gov.ph/GEPSNONPILOT/Tender/SplashBidNoticeAbstractUI.aspx?menuIndex=3&amp;refID=7043452&amp;Result=3","7043452")</f>
        <v>0</v>
      </c>
      <c r="B5128" t="s">
        <v>1743</v>
      </c>
      <c r="C5128" t="s">
        <v>7966</v>
      </c>
      <c r="D5128" t="s">
        <v>16210</v>
      </c>
      <c r="E5128" t="s">
        <v>20831</v>
      </c>
      <c r="F5128" t="s">
        <v>28198</v>
      </c>
      <c r="G5128" t="s">
        <v>28205</v>
      </c>
      <c r="H5128" t="s">
        <v>28215</v>
      </c>
      <c r="I5128" t="s">
        <v>28239</v>
      </c>
      <c r="J5128" t="s">
        <v>31592</v>
      </c>
      <c r="K5128" t="s">
        <v>36688</v>
      </c>
      <c r="M5128" t="s">
        <v>38855</v>
      </c>
      <c r="N5128" t="s">
        <v>40436</v>
      </c>
      <c r="O5128" t="s">
        <v>40437</v>
      </c>
      <c r="P5128">
        <v>0</v>
      </c>
      <c r="Q5128">
        <v>3</v>
      </c>
      <c r="R5128" t="s">
        <v>40440</v>
      </c>
      <c r="S5128" t="s">
        <v>40603</v>
      </c>
      <c r="T5128" t="s">
        <v>42159</v>
      </c>
      <c r="U5128" t="s">
        <v>46982</v>
      </c>
      <c r="W5128" t="s">
        <v>38855</v>
      </c>
      <c r="X5128" t="s">
        <v>40443</v>
      </c>
    </row>
    <row r="5129" spans="1:24">
      <c r="A5129">
        <f>HYPERLINK("https://www.philgeps.gov.ph/GEPSNONPILOT/Tender/SplashBidNoticeAbstractUI.aspx?menuIndex=3&amp;refID=7043456&amp;Result=3","7043456")</f>
        <v>0</v>
      </c>
      <c r="B5129" t="s">
        <v>1743</v>
      </c>
      <c r="C5129" t="s">
        <v>7967</v>
      </c>
      <c r="D5129" t="s">
        <v>16210</v>
      </c>
      <c r="E5129" t="s">
        <v>20832</v>
      </c>
      <c r="F5129" t="s">
        <v>28198</v>
      </c>
      <c r="G5129" t="s">
        <v>28205</v>
      </c>
      <c r="H5129" t="s">
        <v>28215</v>
      </c>
      <c r="I5129" t="s">
        <v>6051</v>
      </c>
      <c r="J5129" t="s">
        <v>28406</v>
      </c>
      <c r="K5129" t="s">
        <v>36688</v>
      </c>
      <c r="M5129" t="s">
        <v>38855</v>
      </c>
      <c r="N5129" t="s">
        <v>40436</v>
      </c>
      <c r="O5129" t="s">
        <v>40437</v>
      </c>
      <c r="P5129">
        <v>0</v>
      </c>
      <c r="Q5129">
        <v>0</v>
      </c>
      <c r="R5129" t="s">
        <v>40440</v>
      </c>
      <c r="S5129" t="s">
        <v>40603</v>
      </c>
      <c r="T5129" t="s">
        <v>42159</v>
      </c>
      <c r="U5129" t="s">
        <v>46983</v>
      </c>
      <c r="W5129" t="s">
        <v>38855</v>
      </c>
      <c r="X5129" t="s">
        <v>40443</v>
      </c>
    </row>
    <row r="5130" spans="1:24">
      <c r="A5130">
        <f>HYPERLINK("https://www.philgeps.gov.ph/GEPSNONPILOT/Tender/SplashBidNoticeAbstractUI.aspx?menuIndex=3&amp;refID=7043481&amp;Result=3","7043481")</f>
        <v>0</v>
      </c>
      <c r="B5130" t="s">
        <v>1743</v>
      </c>
      <c r="C5130" t="s">
        <v>7968</v>
      </c>
      <c r="D5130" t="s">
        <v>16210</v>
      </c>
      <c r="E5130" t="s">
        <v>20833</v>
      </c>
      <c r="F5130" t="s">
        <v>28198</v>
      </c>
      <c r="G5130" t="s">
        <v>28205</v>
      </c>
      <c r="H5130" t="s">
        <v>28215</v>
      </c>
      <c r="I5130" t="s">
        <v>4200</v>
      </c>
      <c r="J5130" t="s">
        <v>28561</v>
      </c>
      <c r="K5130" t="s">
        <v>36688</v>
      </c>
      <c r="M5130" t="s">
        <v>38855</v>
      </c>
      <c r="N5130" t="s">
        <v>40436</v>
      </c>
      <c r="O5130" t="s">
        <v>40437</v>
      </c>
      <c r="P5130">
        <v>0</v>
      </c>
      <c r="Q5130">
        <v>2</v>
      </c>
      <c r="R5130" t="s">
        <v>40440</v>
      </c>
      <c r="S5130" t="s">
        <v>40603</v>
      </c>
      <c r="T5130" t="s">
        <v>42159</v>
      </c>
      <c r="U5130" t="s">
        <v>46984</v>
      </c>
      <c r="W5130" t="s">
        <v>38855</v>
      </c>
      <c r="X5130" t="s">
        <v>40443</v>
      </c>
    </row>
    <row r="5131" spans="1:24">
      <c r="A5131">
        <f>HYPERLINK("https://www.philgeps.gov.ph/GEPSNONPILOT/Tender/SplashBidNoticeAbstractUI.aspx?menuIndex=3&amp;refID=7043457&amp;Result=3","7043457")</f>
        <v>0</v>
      </c>
      <c r="B5131" t="s">
        <v>65</v>
      </c>
      <c r="C5131" t="s">
        <v>7969</v>
      </c>
      <c r="D5131" t="s">
        <v>16210</v>
      </c>
      <c r="E5131" t="s">
        <v>20834</v>
      </c>
      <c r="F5131" t="s">
        <v>28198</v>
      </c>
      <c r="G5131" t="s">
        <v>28207</v>
      </c>
      <c r="H5131" t="s">
        <v>28215</v>
      </c>
      <c r="I5131" t="s">
        <v>4200</v>
      </c>
      <c r="J5131" t="s">
        <v>31593</v>
      </c>
      <c r="K5131" t="s">
        <v>36689</v>
      </c>
      <c r="M5131" t="s">
        <v>37036</v>
      </c>
      <c r="N5131" t="s">
        <v>40436</v>
      </c>
      <c r="O5131" t="s">
        <v>40437</v>
      </c>
      <c r="P5131">
        <v>0</v>
      </c>
      <c r="Q5131">
        <v>0</v>
      </c>
      <c r="R5131" t="s">
        <v>40440</v>
      </c>
      <c r="S5131" t="s">
        <v>40603</v>
      </c>
      <c r="T5131" t="s">
        <v>42119</v>
      </c>
      <c r="U5131" t="s">
        <v>46985</v>
      </c>
      <c r="V5131" t="s">
        <v>53786</v>
      </c>
      <c r="W5131" t="s">
        <v>37036</v>
      </c>
      <c r="X5131" t="s">
        <v>40443</v>
      </c>
    </row>
    <row r="5132" spans="1:24">
      <c r="A5132">
        <f>HYPERLINK("https://www.philgeps.gov.ph/GEPSNONPILOT/Tender/SplashBidNoticeAbstractUI.aspx?menuIndex=3&amp;refID=7043477&amp;Result=3","7043477")</f>
        <v>0</v>
      </c>
      <c r="B5132" t="s">
        <v>1743</v>
      </c>
      <c r="C5132" t="s">
        <v>7970</v>
      </c>
      <c r="D5132" t="s">
        <v>16210</v>
      </c>
      <c r="E5132" t="s">
        <v>20835</v>
      </c>
      <c r="F5132" t="s">
        <v>28198</v>
      </c>
      <c r="G5132" t="s">
        <v>28205</v>
      </c>
      <c r="H5132" t="s">
        <v>28215</v>
      </c>
      <c r="I5132" t="s">
        <v>28241</v>
      </c>
      <c r="J5132" t="s">
        <v>28404</v>
      </c>
      <c r="K5132" t="s">
        <v>36688</v>
      </c>
      <c r="M5132" t="s">
        <v>38855</v>
      </c>
      <c r="N5132" t="s">
        <v>40436</v>
      </c>
      <c r="O5132" t="s">
        <v>40437</v>
      </c>
      <c r="P5132">
        <v>0</v>
      </c>
      <c r="Q5132">
        <v>2</v>
      </c>
      <c r="R5132" t="s">
        <v>40440</v>
      </c>
      <c r="S5132" t="s">
        <v>40603</v>
      </c>
      <c r="T5132" t="s">
        <v>42159</v>
      </c>
      <c r="U5132" t="s">
        <v>46986</v>
      </c>
      <c r="W5132" t="s">
        <v>38855</v>
      </c>
      <c r="X5132" t="s">
        <v>40443</v>
      </c>
    </row>
    <row r="5133" spans="1:24">
      <c r="A5133">
        <f>HYPERLINK("https://www.philgeps.gov.ph/GEPSNONPILOT/Tender/SplashBidNoticeAbstractUI.aspx?menuIndex=3&amp;refID=7043471&amp;Result=3","7043471")</f>
        <v>0</v>
      </c>
      <c r="B5133" t="s">
        <v>1743</v>
      </c>
      <c r="C5133" t="s">
        <v>7971</v>
      </c>
      <c r="D5133" t="s">
        <v>16210</v>
      </c>
      <c r="E5133" t="s">
        <v>20836</v>
      </c>
      <c r="F5133" t="s">
        <v>28198</v>
      </c>
      <c r="G5133" t="s">
        <v>28205</v>
      </c>
      <c r="H5133" t="s">
        <v>28215</v>
      </c>
      <c r="I5133" t="s">
        <v>4200</v>
      </c>
      <c r="J5133" t="s">
        <v>31594</v>
      </c>
      <c r="K5133" t="s">
        <v>36688</v>
      </c>
      <c r="M5133" t="s">
        <v>38855</v>
      </c>
      <c r="N5133" t="s">
        <v>40436</v>
      </c>
      <c r="O5133" t="s">
        <v>40437</v>
      </c>
      <c r="P5133">
        <v>0</v>
      </c>
      <c r="Q5133">
        <v>2</v>
      </c>
      <c r="R5133" t="s">
        <v>40440</v>
      </c>
      <c r="S5133" t="s">
        <v>40603</v>
      </c>
      <c r="T5133" t="s">
        <v>42159</v>
      </c>
      <c r="U5133" t="s">
        <v>46987</v>
      </c>
      <c r="W5133" t="s">
        <v>38855</v>
      </c>
      <c r="X5133" t="s">
        <v>40443</v>
      </c>
    </row>
    <row r="5134" spans="1:24">
      <c r="A5134">
        <f>HYPERLINK("https://www.philgeps.gov.ph/GEPSNONPILOT/Tender/SplashBidNoticeAbstractUI.aspx?menuIndex=3&amp;refID=7043476&amp;Result=3","7043476")</f>
        <v>0</v>
      </c>
      <c r="B5134" t="s">
        <v>1745</v>
      </c>
      <c r="C5134" t="s">
        <v>7972</v>
      </c>
      <c r="D5134" t="s">
        <v>16262</v>
      </c>
      <c r="E5134" t="s">
        <v>20837</v>
      </c>
      <c r="F5134" t="s">
        <v>28198</v>
      </c>
      <c r="G5134" t="s">
        <v>28205</v>
      </c>
      <c r="H5134" t="s">
        <v>28215</v>
      </c>
      <c r="I5134" t="s">
        <v>6051</v>
      </c>
      <c r="J5134" t="s">
        <v>28430</v>
      </c>
      <c r="K5134" t="s">
        <v>36694</v>
      </c>
      <c r="M5134" t="s">
        <v>38857</v>
      </c>
      <c r="N5134" t="s">
        <v>40436</v>
      </c>
      <c r="O5134" t="s">
        <v>40437</v>
      </c>
      <c r="P5134">
        <v>0</v>
      </c>
      <c r="Q5134">
        <v>0</v>
      </c>
      <c r="R5134" t="s">
        <v>40440</v>
      </c>
      <c r="S5134" t="s">
        <v>40603</v>
      </c>
      <c r="T5134" t="s">
        <v>42104</v>
      </c>
      <c r="U5134" t="s">
        <v>46988</v>
      </c>
      <c r="W5134" t="s">
        <v>38857</v>
      </c>
      <c r="X5134" t="s">
        <v>40443</v>
      </c>
    </row>
    <row r="5135" spans="1:24">
      <c r="A5135">
        <f>HYPERLINK("https://www.philgeps.gov.ph/GEPSNONPILOT/Tender/SplashBidNoticeAbstractUI.aspx?menuIndex=3&amp;refID=7043450&amp;Result=3","7043450")</f>
        <v>0</v>
      </c>
      <c r="B5135" t="s">
        <v>1746</v>
      </c>
      <c r="C5135" t="s">
        <v>7973</v>
      </c>
      <c r="D5135" t="s">
        <v>16190</v>
      </c>
      <c r="E5135" t="s">
        <v>20838</v>
      </c>
      <c r="F5135" t="s">
        <v>28198</v>
      </c>
      <c r="G5135" t="s">
        <v>28205</v>
      </c>
      <c r="H5135" t="s">
        <v>28215</v>
      </c>
      <c r="I5135" t="s">
        <v>5082</v>
      </c>
      <c r="J5135" t="s">
        <v>28352</v>
      </c>
      <c r="K5135" t="s">
        <v>36689</v>
      </c>
      <c r="M5135" t="s">
        <v>38858</v>
      </c>
      <c r="N5135" t="s">
        <v>40436</v>
      </c>
      <c r="O5135" t="s">
        <v>40437</v>
      </c>
      <c r="P5135">
        <v>0</v>
      </c>
      <c r="Q5135">
        <v>3</v>
      </c>
      <c r="R5135" t="s">
        <v>40440</v>
      </c>
      <c r="S5135" t="s">
        <v>40603</v>
      </c>
      <c r="T5135" t="s">
        <v>42152</v>
      </c>
      <c r="U5135" t="s">
        <v>46989</v>
      </c>
      <c r="W5135" t="s">
        <v>38858</v>
      </c>
      <c r="X5135" t="s">
        <v>40443</v>
      </c>
    </row>
    <row r="5136" spans="1:24">
      <c r="A5136">
        <f>HYPERLINK("https://www.philgeps.gov.ph/GEPSNONPILOT/Tender/SplashBidNoticeAbstractUI.aspx?menuIndex=3&amp;refID=7043480&amp;Result=3","7043480")</f>
        <v>0</v>
      </c>
      <c r="B5136" t="s">
        <v>1745</v>
      </c>
      <c r="C5136" t="s">
        <v>7974</v>
      </c>
      <c r="D5136" t="s">
        <v>16262</v>
      </c>
      <c r="E5136" t="s">
        <v>20839</v>
      </c>
      <c r="F5136" t="s">
        <v>28198</v>
      </c>
      <c r="G5136" t="s">
        <v>28205</v>
      </c>
      <c r="H5136" t="s">
        <v>28215</v>
      </c>
      <c r="I5136" t="s">
        <v>6051</v>
      </c>
      <c r="J5136" t="s">
        <v>31595</v>
      </c>
      <c r="K5136" t="s">
        <v>36694</v>
      </c>
      <c r="M5136" t="s">
        <v>38857</v>
      </c>
      <c r="N5136" t="s">
        <v>40436</v>
      </c>
      <c r="O5136" t="s">
        <v>40437</v>
      </c>
      <c r="P5136">
        <v>0</v>
      </c>
      <c r="Q5136">
        <v>0</v>
      </c>
      <c r="R5136" t="s">
        <v>40440</v>
      </c>
      <c r="S5136" t="s">
        <v>40603</v>
      </c>
      <c r="T5136" t="s">
        <v>42104</v>
      </c>
      <c r="U5136" t="s">
        <v>46990</v>
      </c>
      <c r="W5136" t="s">
        <v>38857</v>
      </c>
      <c r="X5136" t="s">
        <v>40443</v>
      </c>
    </row>
    <row r="5137" spans="1:24">
      <c r="A5137">
        <f>HYPERLINK("https://www.philgeps.gov.ph/GEPSNONPILOT/Tender/SplashBidNoticeAbstractUI.aspx?menuIndex=3&amp;refID=7043451&amp;Result=3","7043451")</f>
        <v>0</v>
      </c>
      <c r="B5137" t="s">
        <v>1743</v>
      </c>
      <c r="C5137" t="s">
        <v>7975</v>
      </c>
      <c r="D5137" t="s">
        <v>16210</v>
      </c>
      <c r="E5137" t="s">
        <v>20840</v>
      </c>
      <c r="F5137" t="s">
        <v>28198</v>
      </c>
      <c r="G5137" t="s">
        <v>28205</v>
      </c>
      <c r="H5137" t="s">
        <v>28215</v>
      </c>
      <c r="I5137" t="s">
        <v>8888</v>
      </c>
      <c r="J5137" t="s">
        <v>31596</v>
      </c>
      <c r="K5137" t="s">
        <v>36688</v>
      </c>
      <c r="M5137" t="s">
        <v>38855</v>
      </c>
      <c r="N5137" t="s">
        <v>40436</v>
      </c>
      <c r="O5137" t="s">
        <v>40437</v>
      </c>
      <c r="P5137">
        <v>0</v>
      </c>
      <c r="Q5137">
        <v>6</v>
      </c>
      <c r="R5137" t="s">
        <v>40440</v>
      </c>
      <c r="S5137" t="s">
        <v>40603</v>
      </c>
      <c r="T5137" t="s">
        <v>42159</v>
      </c>
      <c r="U5137" t="s">
        <v>46991</v>
      </c>
      <c r="W5137" t="s">
        <v>38855</v>
      </c>
      <c r="X5137" t="s">
        <v>40443</v>
      </c>
    </row>
    <row r="5138" spans="1:24">
      <c r="A5138">
        <f>HYPERLINK("https://www.philgeps.gov.ph/GEPSNONPILOT/Tender/SplashBidNoticeAbstractUI.aspx?menuIndex=3&amp;refID=7043484&amp;Result=3","7043484")</f>
        <v>0</v>
      </c>
      <c r="B5138" t="s">
        <v>1743</v>
      </c>
      <c r="C5138" t="s">
        <v>7976</v>
      </c>
      <c r="D5138" t="s">
        <v>16210</v>
      </c>
      <c r="E5138" t="s">
        <v>20841</v>
      </c>
      <c r="F5138" t="s">
        <v>28198</v>
      </c>
      <c r="G5138" t="s">
        <v>28205</v>
      </c>
      <c r="H5138" t="s">
        <v>28215</v>
      </c>
      <c r="I5138" t="s">
        <v>28278</v>
      </c>
      <c r="J5138" t="s">
        <v>30075</v>
      </c>
      <c r="K5138" t="s">
        <v>36688</v>
      </c>
      <c r="M5138" t="s">
        <v>38855</v>
      </c>
      <c r="N5138" t="s">
        <v>40436</v>
      </c>
      <c r="O5138" t="s">
        <v>40437</v>
      </c>
      <c r="P5138">
        <v>0</v>
      </c>
      <c r="Q5138">
        <v>1</v>
      </c>
      <c r="R5138" t="s">
        <v>40440</v>
      </c>
      <c r="S5138" t="s">
        <v>40603</v>
      </c>
      <c r="T5138" t="s">
        <v>42159</v>
      </c>
      <c r="U5138" t="s">
        <v>46992</v>
      </c>
      <c r="W5138" t="s">
        <v>38855</v>
      </c>
      <c r="X5138" t="s">
        <v>40443</v>
      </c>
    </row>
    <row r="5139" spans="1:24">
      <c r="A5139">
        <f>HYPERLINK("https://www.philgeps.gov.ph/GEPSNONPILOT/Tender/SplashBidNoticeAbstractUI.aspx?menuIndex=3&amp;refID=7043453&amp;Result=3","7043453")</f>
        <v>0</v>
      </c>
      <c r="B5139" t="s">
        <v>1743</v>
      </c>
      <c r="C5139" t="s">
        <v>7977</v>
      </c>
      <c r="D5139" t="s">
        <v>16210</v>
      </c>
      <c r="E5139" t="s">
        <v>20842</v>
      </c>
      <c r="F5139" t="s">
        <v>28198</v>
      </c>
      <c r="G5139" t="s">
        <v>28205</v>
      </c>
      <c r="H5139" t="s">
        <v>28215</v>
      </c>
      <c r="I5139" t="s">
        <v>8870</v>
      </c>
      <c r="J5139" t="s">
        <v>28363</v>
      </c>
      <c r="K5139" t="s">
        <v>36688</v>
      </c>
      <c r="M5139" t="s">
        <v>38855</v>
      </c>
      <c r="N5139" t="s">
        <v>40436</v>
      </c>
      <c r="O5139" t="s">
        <v>40437</v>
      </c>
      <c r="P5139">
        <v>0</v>
      </c>
      <c r="Q5139">
        <v>3</v>
      </c>
      <c r="R5139" t="s">
        <v>40440</v>
      </c>
      <c r="S5139" t="s">
        <v>40603</v>
      </c>
      <c r="T5139" t="s">
        <v>42159</v>
      </c>
      <c r="U5139" t="s">
        <v>46993</v>
      </c>
      <c r="W5139" t="s">
        <v>38855</v>
      </c>
      <c r="X5139" t="s">
        <v>40443</v>
      </c>
    </row>
    <row r="5140" spans="1:24">
      <c r="A5140">
        <f>HYPERLINK("https://www.philgeps.gov.ph/GEPSNONPILOT/Tender/SplashBidNoticeAbstractUI.aspx?menuIndex=3&amp;refID=7043483&amp;Result=3","7043483")</f>
        <v>0</v>
      </c>
      <c r="B5140" t="s">
        <v>1745</v>
      </c>
      <c r="C5140" t="s">
        <v>7978</v>
      </c>
      <c r="D5140" t="s">
        <v>16262</v>
      </c>
      <c r="E5140" t="s">
        <v>20843</v>
      </c>
      <c r="F5140" t="s">
        <v>28198</v>
      </c>
      <c r="G5140" t="s">
        <v>28205</v>
      </c>
      <c r="H5140" t="s">
        <v>28215</v>
      </c>
      <c r="I5140" t="s">
        <v>6051</v>
      </c>
      <c r="J5140" t="s">
        <v>31597</v>
      </c>
      <c r="K5140" t="s">
        <v>36694</v>
      </c>
      <c r="M5140" t="s">
        <v>38857</v>
      </c>
      <c r="N5140" t="s">
        <v>40436</v>
      </c>
      <c r="O5140" t="s">
        <v>40437</v>
      </c>
      <c r="P5140">
        <v>0</v>
      </c>
      <c r="Q5140">
        <v>2</v>
      </c>
      <c r="R5140" t="s">
        <v>40440</v>
      </c>
      <c r="S5140" t="s">
        <v>40603</v>
      </c>
      <c r="T5140" t="s">
        <v>42104</v>
      </c>
      <c r="U5140" t="s">
        <v>46994</v>
      </c>
      <c r="W5140" t="s">
        <v>38857</v>
      </c>
      <c r="X5140" t="s">
        <v>40443</v>
      </c>
    </row>
    <row r="5141" spans="1:24">
      <c r="A5141">
        <f>HYPERLINK("https://www.philgeps.gov.ph/GEPSNONPILOT/Tender/SplashBidNoticeAbstractUI.aspx?menuIndex=3&amp;refID=7043449&amp;Result=3","7043449")</f>
        <v>0</v>
      </c>
      <c r="B5141" t="s">
        <v>1743</v>
      </c>
      <c r="C5141" t="s">
        <v>3323</v>
      </c>
      <c r="D5141" t="s">
        <v>16210</v>
      </c>
      <c r="E5141" t="s">
        <v>20844</v>
      </c>
      <c r="F5141" t="s">
        <v>28198</v>
      </c>
      <c r="G5141" t="s">
        <v>28205</v>
      </c>
      <c r="H5141" t="s">
        <v>28215</v>
      </c>
      <c r="I5141" t="s">
        <v>5082</v>
      </c>
      <c r="J5141" t="s">
        <v>29113</v>
      </c>
      <c r="K5141" t="s">
        <v>36688</v>
      </c>
      <c r="M5141" t="s">
        <v>38855</v>
      </c>
      <c r="N5141" t="s">
        <v>40436</v>
      </c>
      <c r="O5141" t="s">
        <v>40437</v>
      </c>
      <c r="P5141">
        <v>0</v>
      </c>
      <c r="Q5141">
        <v>0</v>
      </c>
      <c r="R5141" t="s">
        <v>40440</v>
      </c>
      <c r="S5141" t="s">
        <v>40603</v>
      </c>
      <c r="T5141" t="s">
        <v>42159</v>
      </c>
      <c r="U5141" t="s">
        <v>46995</v>
      </c>
      <c r="W5141" t="s">
        <v>38855</v>
      </c>
      <c r="X5141" t="s">
        <v>40443</v>
      </c>
    </row>
    <row r="5142" spans="1:24">
      <c r="A5142">
        <f>HYPERLINK("https://www.philgeps.gov.ph/GEPSNONPILOT/Tender/SplashBidNoticeAbstractUI.aspx?menuIndex=3&amp;refID=7043454&amp;Result=3","7043454")</f>
        <v>0</v>
      </c>
      <c r="B5142" t="s">
        <v>1743</v>
      </c>
      <c r="C5142" t="s">
        <v>7979</v>
      </c>
      <c r="D5142" t="s">
        <v>16210</v>
      </c>
      <c r="E5142" t="s">
        <v>20845</v>
      </c>
      <c r="F5142" t="s">
        <v>28198</v>
      </c>
      <c r="G5142" t="s">
        <v>28205</v>
      </c>
      <c r="H5142" t="s">
        <v>28215</v>
      </c>
      <c r="I5142" t="s">
        <v>5631</v>
      </c>
      <c r="J5142" t="s">
        <v>31598</v>
      </c>
      <c r="K5142" t="s">
        <v>36688</v>
      </c>
      <c r="M5142" t="s">
        <v>38855</v>
      </c>
      <c r="N5142" t="s">
        <v>40436</v>
      </c>
      <c r="O5142" t="s">
        <v>40437</v>
      </c>
      <c r="P5142">
        <v>0</v>
      </c>
      <c r="Q5142">
        <v>1</v>
      </c>
      <c r="R5142" t="s">
        <v>40440</v>
      </c>
      <c r="S5142" t="s">
        <v>40603</v>
      </c>
      <c r="T5142" t="s">
        <v>42159</v>
      </c>
      <c r="U5142" t="s">
        <v>46996</v>
      </c>
      <c r="W5142" t="s">
        <v>38855</v>
      </c>
      <c r="X5142" t="s">
        <v>40443</v>
      </c>
    </row>
    <row r="5143" spans="1:24">
      <c r="A5143">
        <f>HYPERLINK("https://www.philgeps.gov.ph/GEPSNONPILOT/Tender/SplashBidNoticeAbstractUI.aspx?menuIndex=3&amp;refID=7043505&amp;Result=3","7043505")</f>
        <v>0</v>
      </c>
      <c r="B5143" t="s">
        <v>65</v>
      </c>
      <c r="C5143" t="s">
        <v>7980</v>
      </c>
      <c r="D5143" t="s">
        <v>16210</v>
      </c>
      <c r="E5143" t="s">
        <v>16393</v>
      </c>
      <c r="F5143" t="s">
        <v>28198</v>
      </c>
      <c r="G5143" t="s">
        <v>28207</v>
      </c>
      <c r="H5143" t="s">
        <v>28215</v>
      </c>
      <c r="I5143" t="s">
        <v>4219</v>
      </c>
      <c r="J5143" t="s">
        <v>31599</v>
      </c>
      <c r="K5143" t="s">
        <v>36689</v>
      </c>
      <c r="M5143" t="s">
        <v>37036</v>
      </c>
      <c r="N5143" t="s">
        <v>40436</v>
      </c>
      <c r="O5143" t="s">
        <v>40437</v>
      </c>
      <c r="P5143">
        <v>0</v>
      </c>
      <c r="Q5143">
        <v>1</v>
      </c>
      <c r="R5143" t="s">
        <v>40440</v>
      </c>
      <c r="S5143" t="s">
        <v>40603</v>
      </c>
      <c r="T5143" t="s">
        <v>42119</v>
      </c>
      <c r="U5143" t="s">
        <v>46997</v>
      </c>
      <c r="V5143" t="s">
        <v>53786</v>
      </c>
      <c r="W5143" t="s">
        <v>37036</v>
      </c>
      <c r="X5143" t="s">
        <v>40443</v>
      </c>
    </row>
    <row r="5144" spans="1:24">
      <c r="A5144">
        <f>HYPERLINK("https://www.philgeps.gov.ph/GEPSNONPILOT/Tender/SplashBidNoticeAbstractUI.aspx?menuIndex=3&amp;refID=7043553&amp;Result=3","7043553")</f>
        <v>0</v>
      </c>
      <c r="B5144" t="s">
        <v>872</v>
      </c>
      <c r="C5144" t="s">
        <v>7981</v>
      </c>
      <c r="D5144" t="s">
        <v>16204</v>
      </c>
      <c r="E5144" t="s">
        <v>20846</v>
      </c>
      <c r="F5144" t="s">
        <v>28198</v>
      </c>
      <c r="G5144" t="s">
        <v>28207</v>
      </c>
      <c r="H5144" t="s">
        <v>28215</v>
      </c>
      <c r="I5144" t="s">
        <v>4168</v>
      </c>
      <c r="J5144" t="s">
        <v>31600</v>
      </c>
      <c r="K5144" t="s">
        <v>36706</v>
      </c>
      <c r="M5144" t="s">
        <v>37886</v>
      </c>
      <c r="N5144" t="s">
        <v>40436</v>
      </c>
      <c r="O5144" t="s">
        <v>40437</v>
      </c>
      <c r="P5144">
        <v>0</v>
      </c>
      <c r="Q5144">
        <v>4</v>
      </c>
      <c r="R5144" t="s">
        <v>40440</v>
      </c>
      <c r="S5144" t="s">
        <v>40603</v>
      </c>
      <c r="T5144" t="s">
        <v>42297</v>
      </c>
      <c r="U5144" t="s">
        <v>46998</v>
      </c>
      <c r="W5144" t="s">
        <v>37886</v>
      </c>
      <c r="X5144" t="s">
        <v>40443</v>
      </c>
    </row>
    <row r="5145" spans="1:24">
      <c r="A5145">
        <f>HYPERLINK("https://www.philgeps.gov.ph/GEPSNONPILOT/Tender/SplashBidNoticeAbstractUI.aspx?menuIndex=3&amp;refID=7043502&amp;Result=3","7043502")</f>
        <v>0</v>
      </c>
      <c r="B5145" t="s">
        <v>65</v>
      </c>
      <c r="C5145" t="s">
        <v>7982</v>
      </c>
      <c r="D5145" t="s">
        <v>16210</v>
      </c>
      <c r="E5145" t="s">
        <v>20847</v>
      </c>
      <c r="F5145" t="s">
        <v>28198</v>
      </c>
      <c r="G5145" t="s">
        <v>28207</v>
      </c>
      <c r="H5145" t="s">
        <v>28215</v>
      </c>
      <c r="I5145" t="s">
        <v>4200</v>
      </c>
      <c r="J5145" t="s">
        <v>31601</v>
      </c>
      <c r="K5145" t="s">
        <v>36689</v>
      </c>
      <c r="M5145" t="s">
        <v>37036</v>
      </c>
      <c r="N5145" t="s">
        <v>40436</v>
      </c>
      <c r="O5145" t="s">
        <v>40437</v>
      </c>
      <c r="P5145">
        <v>0</v>
      </c>
      <c r="Q5145">
        <v>2</v>
      </c>
      <c r="R5145" t="s">
        <v>40440</v>
      </c>
      <c r="S5145" t="s">
        <v>40603</v>
      </c>
      <c r="T5145" t="s">
        <v>42119</v>
      </c>
      <c r="U5145" t="s">
        <v>46999</v>
      </c>
      <c r="V5145" t="s">
        <v>53786</v>
      </c>
      <c r="W5145" t="s">
        <v>37036</v>
      </c>
      <c r="X5145" t="s">
        <v>40443</v>
      </c>
    </row>
    <row r="5146" spans="1:24">
      <c r="A5146">
        <f>HYPERLINK("https://www.philgeps.gov.ph/GEPSNONPILOT/Tender/SplashBidNoticeAbstractUI.aspx?menuIndex=3&amp;refID=7043460&amp;Result=3","7043460")</f>
        <v>0</v>
      </c>
      <c r="B5146" t="s">
        <v>65</v>
      </c>
      <c r="C5146" t="s">
        <v>7983</v>
      </c>
      <c r="D5146" t="s">
        <v>16210</v>
      </c>
      <c r="E5146" t="s">
        <v>20848</v>
      </c>
      <c r="F5146" t="s">
        <v>28198</v>
      </c>
      <c r="G5146" t="s">
        <v>28207</v>
      </c>
      <c r="H5146" t="s">
        <v>28215</v>
      </c>
      <c r="I5146" t="s">
        <v>5071</v>
      </c>
      <c r="J5146" t="s">
        <v>31602</v>
      </c>
      <c r="K5146" t="s">
        <v>36689</v>
      </c>
      <c r="M5146" t="s">
        <v>37036</v>
      </c>
      <c r="N5146" t="s">
        <v>40436</v>
      </c>
      <c r="O5146" t="s">
        <v>40437</v>
      </c>
      <c r="P5146">
        <v>0</v>
      </c>
      <c r="Q5146">
        <v>3</v>
      </c>
      <c r="R5146" t="s">
        <v>40440</v>
      </c>
      <c r="S5146" t="s">
        <v>40603</v>
      </c>
      <c r="T5146" t="s">
        <v>42119</v>
      </c>
      <c r="U5146" t="s">
        <v>47000</v>
      </c>
      <c r="V5146" t="s">
        <v>53786</v>
      </c>
      <c r="W5146" t="s">
        <v>37036</v>
      </c>
      <c r="X5146" t="s">
        <v>40443</v>
      </c>
    </row>
    <row r="5147" spans="1:24">
      <c r="A5147">
        <f>HYPERLINK("https://www.philgeps.gov.ph/GEPSNONPILOT/Tender/SplashBidNoticeAbstractUI.aspx?menuIndex=3&amp;refID=7043538&amp;Result=3","7043538")</f>
        <v>0</v>
      </c>
      <c r="B5147" t="s">
        <v>1747</v>
      </c>
      <c r="C5147" t="s">
        <v>4969</v>
      </c>
      <c r="D5147" t="s">
        <v>16210</v>
      </c>
      <c r="E5147" t="s">
        <v>17597</v>
      </c>
      <c r="F5147" t="s">
        <v>28198</v>
      </c>
      <c r="G5147" t="s">
        <v>28207</v>
      </c>
      <c r="H5147" t="s">
        <v>28215</v>
      </c>
      <c r="I5147" t="s">
        <v>5071</v>
      </c>
      <c r="J5147" t="s">
        <v>31603</v>
      </c>
      <c r="K5147" t="s">
        <v>36693</v>
      </c>
      <c r="M5147" t="s">
        <v>38859</v>
      </c>
      <c r="N5147" t="s">
        <v>40436</v>
      </c>
      <c r="O5147" t="s">
        <v>40437</v>
      </c>
      <c r="P5147">
        <v>0</v>
      </c>
      <c r="Q5147">
        <v>6</v>
      </c>
      <c r="R5147" t="s">
        <v>40440</v>
      </c>
      <c r="S5147" t="s">
        <v>40603</v>
      </c>
      <c r="T5147" t="s">
        <v>42169</v>
      </c>
      <c r="U5147" t="s">
        <v>47001</v>
      </c>
      <c r="W5147" t="s">
        <v>38859</v>
      </c>
      <c r="X5147" t="s">
        <v>40443</v>
      </c>
    </row>
    <row r="5148" spans="1:24">
      <c r="A5148">
        <f>HYPERLINK("https://www.philgeps.gov.ph/GEPSNONPILOT/Tender/SplashBidNoticeAbstractUI.aspx?menuIndex=3&amp;refID=7043499&amp;Result=3","7043499")</f>
        <v>0</v>
      </c>
      <c r="B5148" t="s">
        <v>65</v>
      </c>
      <c r="C5148" t="s">
        <v>7984</v>
      </c>
      <c r="D5148" t="s">
        <v>16210</v>
      </c>
      <c r="E5148" t="s">
        <v>16391</v>
      </c>
      <c r="F5148" t="s">
        <v>28198</v>
      </c>
      <c r="G5148" t="s">
        <v>28207</v>
      </c>
      <c r="H5148" t="s">
        <v>28215</v>
      </c>
      <c r="I5148" t="s">
        <v>28288</v>
      </c>
      <c r="J5148" t="s">
        <v>31604</v>
      </c>
      <c r="K5148" t="s">
        <v>36689</v>
      </c>
      <c r="M5148" t="s">
        <v>37036</v>
      </c>
      <c r="N5148" t="s">
        <v>40436</v>
      </c>
      <c r="O5148" t="s">
        <v>40437</v>
      </c>
      <c r="P5148">
        <v>0</v>
      </c>
      <c r="Q5148">
        <v>3</v>
      </c>
      <c r="R5148" t="s">
        <v>40440</v>
      </c>
      <c r="S5148" t="s">
        <v>40603</v>
      </c>
      <c r="T5148" t="s">
        <v>42119</v>
      </c>
      <c r="U5148" t="s">
        <v>47002</v>
      </c>
      <c r="V5148" t="s">
        <v>53786</v>
      </c>
      <c r="W5148" t="s">
        <v>37036</v>
      </c>
      <c r="X5148" t="s">
        <v>40443</v>
      </c>
    </row>
    <row r="5149" spans="1:24">
      <c r="A5149">
        <f>HYPERLINK("https://www.philgeps.gov.ph/GEPSNONPILOT/Tender/SplashBidNoticeAbstractUI.aspx?menuIndex=3&amp;refID=7043500&amp;Result=3","7043500")</f>
        <v>0</v>
      </c>
      <c r="B5149" t="s">
        <v>1745</v>
      </c>
      <c r="C5149" t="s">
        <v>7985</v>
      </c>
      <c r="D5149" t="s">
        <v>16262</v>
      </c>
      <c r="E5149" t="s">
        <v>20849</v>
      </c>
      <c r="F5149" t="s">
        <v>28198</v>
      </c>
      <c r="G5149" t="s">
        <v>28205</v>
      </c>
      <c r="H5149" t="s">
        <v>28215</v>
      </c>
      <c r="I5149" t="s">
        <v>6051</v>
      </c>
      <c r="J5149" t="s">
        <v>28373</v>
      </c>
      <c r="K5149" t="s">
        <v>36694</v>
      </c>
      <c r="M5149" t="s">
        <v>38857</v>
      </c>
      <c r="N5149" t="s">
        <v>40436</v>
      </c>
      <c r="O5149" t="s">
        <v>40437</v>
      </c>
      <c r="P5149">
        <v>0</v>
      </c>
      <c r="Q5149">
        <v>1</v>
      </c>
      <c r="R5149" t="s">
        <v>40440</v>
      </c>
      <c r="S5149" t="s">
        <v>40603</v>
      </c>
      <c r="T5149" t="s">
        <v>42104</v>
      </c>
      <c r="U5149" t="s">
        <v>47003</v>
      </c>
      <c r="W5149" t="s">
        <v>38857</v>
      </c>
      <c r="X5149" t="s">
        <v>40443</v>
      </c>
    </row>
    <row r="5150" spans="1:24">
      <c r="A5150">
        <f>HYPERLINK("https://www.philgeps.gov.ph/GEPSNONPILOT/Tender/SplashBidNoticeAbstractUI.aspx?menuIndex=3&amp;refID=7043602&amp;Result=3","7043602")</f>
        <v>0</v>
      </c>
      <c r="B5150" t="s">
        <v>1700</v>
      </c>
      <c r="C5150" t="s">
        <v>6978</v>
      </c>
      <c r="D5150" t="s">
        <v>16266</v>
      </c>
      <c r="E5150" t="s">
        <v>20850</v>
      </c>
      <c r="F5150" t="s">
        <v>28198</v>
      </c>
      <c r="G5150" t="s">
        <v>28209</v>
      </c>
      <c r="H5150" t="s">
        <v>28215</v>
      </c>
      <c r="I5150" t="s">
        <v>5100</v>
      </c>
      <c r="J5150" t="s">
        <v>31605</v>
      </c>
      <c r="K5150" t="s">
        <v>36707</v>
      </c>
      <c r="M5150" t="s">
        <v>38801</v>
      </c>
      <c r="N5150" t="s">
        <v>40436</v>
      </c>
      <c r="O5150" t="s">
        <v>40437</v>
      </c>
      <c r="P5150">
        <v>0</v>
      </c>
      <c r="Q5150">
        <v>0</v>
      </c>
      <c r="R5150" t="s">
        <v>40440</v>
      </c>
      <c r="S5150" t="s">
        <v>40603</v>
      </c>
      <c r="T5150" t="s">
        <v>42129</v>
      </c>
      <c r="U5150" t="s">
        <v>47004</v>
      </c>
      <c r="W5150" t="s">
        <v>38801</v>
      </c>
      <c r="X5150" t="s">
        <v>40443</v>
      </c>
    </row>
    <row r="5151" spans="1:24">
      <c r="A5151">
        <f>HYPERLINK("https://www.philgeps.gov.ph/GEPSNONPILOT/Tender/SplashBidNoticeAbstractUI.aspx?menuIndex=3&amp;refID=7043511&amp;Result=3","7043511")</f>
        <v>0</v>
      </c>
      <c r="B5151" t="s">
        <v>1745</v>
      </c>
      <c r="C5151" t="s">
        <v>7986</v>
      </c>
      <c r="D5151" t="s">
        <v>16262</v>
      </c>
      <c r="E5151" t="s">
        <v>20851</v>
      </c>
      <c r="F5151" t="s">
        <v>28198</v>
      </c>
      <c r="G5151" t="s">
        <v>28205</v>
      </c>
      <c r="H5151" t="s">
        <v>28215</v>
      </c>
      <c r="I5151" t="s">
        <v>6051</v>
      </c>
      <c r="J5151" t="s">
        <v>31606</v>
      </c>
      <c r="K5151" t="s">
        <v>36694</v>
      </c>
      <c r="M5151" t="s">
        <v>38857</v>
      </c>
      <c r="N5151" t="s">
        <v>40436</v>
      </c>
      <c r="O5151" t="s">
        <v>40437</v>
      </c>
      <c r="P5151">
        <v>0</v>
      </c>
      <c r="Q5151">
        <v>1</v>
      </c>
      <c r="R5151" t="s">
        <v>40440</v>
      </c>
      <c r="S5151" t="s">
        <v>40603</v>
      </c>
      <c r="T5151" t="s">
        <v>42104</v>
      </c>
      <c r="U5151" t="s">
        <v>47005</v>
      </c>
      <c r="W5151" t="s">
        <v>38857</v>
      </c>
      <c r="X5151" t="s">
        <v>40443</v>
      </c>
    </row>
    <row r="5152" spans="1:24">
      <c r="A5152">
        <f>HYPERLINK("https://www.philgeps.gov.ph/GEPSNONPILOT/Tender/SplashBidNoticeAbstractUI.aspx?menuIndex=3&amp;refID=7043585&amp;Result=3","7043585")</f>
        <v>0</v>
      </c>
      <c r="B5152" t="s">
        <v>536</v>
      </c>
      <c r="C5152" t="s">
        <v>7987</v>
      </c>
      <c r="D5152" t="s">
        <v>16250</v>
      </c>
      <c r="E5152" t="s">
        <v>20852</v>
      </c>
      <c r="F5152" t="s">
        <v>28198</v>
      </c>
      <c r="G5152" t="s">
        <v>28205</v>
      </c>
      <c r="H5152" t="s">
        <v>28214</v>
      </c>
      <c r="I5152" t="s">
        <v>3797</v>
      </c>
      <c r="J5152" t="s">
        <v>28561</v>
      </c>
      <c r="K5152" t="s">
        <v>36687</v>
      </c>
      <c r="M5152" t="s">
        <v>37522</v>
      </c>
      <c r="N5152" t="s">
        <v>40436</v>
      </c>
      <c r="O5152" t="s">
        <v>40437</v>
      </c>
      <c r="P5152">
        <v>0</v>
      </c>
      <c r="Q5152">
        <v>0</v>
      </c>
      <c r="R5152" t="s">
        <v>40440</v>
      </c>
      <c r="S5152" t="s">
        <v>40603</v>
      </c>
      <c r="T5152" t="s">
        <v>42111</v>
      </c>
      <c r="U5152" t="s">
        <v>47006</v>
      </c>
      <c r="W5152" t="s">
        <v>37522</v>
      </c>
      <c r="X5152" t="s">
        <v>40443</v>
      </c>
    </row>
    <row r="5153" spans="1:24">
      <c r="A5153">
        <f>HYPERLINK("https://www.philgeps.gov.ph/GEPSNONPILOT/Tender/SplashBidNoticeAbstractUI.aspx?menuIndex=3&amp;refID=7043488&amp;Result=3","7043488")</f>
        <v>0</v>
      </c>
      <c r="B5153" t="s">
        <v>1743</v>
      </c>
      <c r="C5153" t="s">
        <v>7988</v>
      </c>
      <c r="D5153" t="s">
        <v>16210</v>
      </c>
      <c r="E5153" t="s">
        <v>20833</v>
      </c>
      <c r="F5153" t="s">
        <v>28198</v>
      </c>
      <c r="G5153" t="s">
        <v>28205</v>
      </c>
      <c r="H5153" t="s">
        <v>28215</v>
      </c>
      <c r="I5153" t="s">
        <v>28270</v>
      </c>
      <c r="J5153" t="s">
        <v>28415</v>
      </c>
      <c r="K5153" t="s">
        <v>36688</v>
      </c>
      <c r="M5153" t="s">
        <v>38855</v>
      </c>
      <c r="N5153" t="s">
        <v>40436</v>
      </c>
      <c r="O5153" t="s">
        <v>40437</v>
      </c>
      <c r="P5153">
        <v>0</v>
      </c>
      <c r="Q5153">
        <v>3</v>
      </c>
      <c r="R5153" t="s">
        <v>40440</v>
      </c>
      <c r="S5153" t="s">
        <v>40603</v>
      </c>
      <c r="T5153" t="s">
        <v>42159</v>
      </c>
      <c r="U5153" t="s">
        <v>47007</v>
      </c>
      <c r="W5153" t="s">
        <v>38855</v>
      </c>
      <c r="X5153" t="s">
        <v>40443</v>
      </c>
    </row>
    <row r="5154" spans="1:24">
      <c r="A5154">
        <f>HYPERLINK("https://www.philgeps.gov.ph/GEPSNONPILOT/Tender/SplashBidNoticeAbstractUI.aspx?menuIndex=3&amp;refID=7043513&amp;Result=3","7043513")</f>
        <v>0</v>
      </c>
      <c r="B5154" t="s">
        <v>1745</v>
      </c>
      <c r="C5154" t="s">
        <v>7989</v>
      </c>
      <c r="D5154" t="s">
        <v>16262</v>
      </c>
      <c r="E5154" t="s">
        <v>20853</v>
      </c>
      <c r="F5154" t="s">
        <v>28198</v>
      </c>
      <c r="G5154" t="s">
        <v>28205</v>
      </c>
      <c r="H5154" t="s">
        <v>28215</v>
      </c>
      <c r="I5154" t="s">
        <v>6051</v>
      </c>
      <c r="J5154" t="s">
        <v>31607</v>
      </c>
      <c r="K5154" t="s">
        <v>36694</v>
      </c>
      <c r="M5154" t="s">
        <v>38857</v>
      </c>
      <c r="N5154" t="s">
        <v>40436</v>
      </c>
      <c r="O5154" t="s">
        <v>40437</v>
      </c>
      <c r="P5154">
        <v>0</v>
      </c>
      <c r="Q5154">
        <v>0</v>
      </c>
      <c r="R5154" t="s">
        <v>40440</v>
      </c>
      <c r="S5154" t="s">
        <v>40603</v>
      </c>
      <c r="T5154" t="s">
        <v>42104</v>
      </c>
      <c r="U5154" t="s">
        <v>47008</v>
      </c>
      <c r="W5154" t="s">
        <v>38857</v>
      </c>
      <c r="X5154" t="s">
        <v>40443</v>
      </c>
    </row>
    <row r="5155" spans="1:24">
      <c r="A5155">
        <f>HYPERLINK("https://www.philgeps.gov.ph/GEPSNONPILOT/Tender/SplashBidNoticeAbstractUI.aspx?menuIndex=3&amp;refID=7043604&amp;Result=3","7043604")</f>
        <v>0</v>
      </c>
      <c r="B5155" t="s">
        <v>1700</v>
      </c>
      <c r="C5155" t="s">
        <v>7990</v>
      </c>
      <c r="D5155" t="s">
        <v>16266</v>
      </c>
      <c r="E5155" t="s">
        <v>20854</v>
      </c>
      <c r="F5155" t="s">
        <v>28198</v>
      </c>
      <c r="G5155" t="s">
        <v>28209</v>
      </c>
      <c r="H5155" t="s">
        <v>28215</v>
      </c>
      <c r="I5155" t="s">
        <v>5100</v>
      </c>
      <c r="J5155" t="s">
        <v>31608</v>
      </c>
      <c r="K5155" t="s">
        <v>36707</v>
      </c>
      <c r="M5155" t="s">
        <v>38801</v>
      </c>
      <c r="N5155" t="s">
        <v>40436</v>
      </c>
      <c r="O5155" t="s">
        <v>40437</v>
      </c>
      <c r="P5155">
        <v>0</v>
      </c>
      <c r="Q5155">
        <v>0</v>
      </c>
      <c r="R5155" t="s">
        <v>40440</v>
      </c>
      <c r="S5155" t="s">
        <v>40603</v>
      </c>
      <c r="T5155" t="s">
        <v>42129</v>
      </c>
      <c r="U5155" t="s">
        <v>47009</v>
      </c>
      <c r="W5155" t="s">
        <v>38801</v>
      </c>
      <c r="X5155" t="s">
        <v>40443</v>
      </c>
    </row>
    <row r="5156" spans="1:24">
      <c r="A5156">
        <f>HYPERLINK("https://www.philgeps.gov.ph/GEPSNONPILOT/Tender/SplashBidNoticeAbstractUI.aspx?menuIndex=3&amp;refID=7043489&amp;Result=3","7043489")</f>
        <v>0</v>
      </c>
      <c r="B5156" t="s">
        <v>1745</v>
      </c>
      <c r="C5156" t="s">
        <v>7991</v>
      </c>
      <c r="D5156" t="s">
        <v>16262</v>
      </c>
      <c r="E5156" t="s">
        <v>20855</v>
      </c>
      <c r="F5156" t="s">
        <v>28198</v>
      </c>
      <c r="G5156" t="s">
        <v>28205</v>
      </c>
      <c r="H5156" t="s">
        <v>28215</v>
      </c>
      <c r="I5156" t="s">
        <v>6051</v>
      </c>
      <c r="J5156" t="s">
        <v>31609</v>
      </c>
      <c r="K5156" t="s">
        <v>36694</v>
      </c>
      <c r="M5156" t="s">
        <v>38857</v>
      </c>
      <c r="N5156" t="s">
        <v>40436</v>
      </c>
      <c r="O5156" t="s">
        <v>40437</v>
      </c>
      <c r="P5156">
        <v>0</v>
      </c>
      <c r="Q5156">
        <v>1</v>
      </c>
      <c r="R5156" t="s">
        <v>40440</v>
      </c>
      <c r="S5156" t="s">
        <v>40603</v>
      </c>
      <c r="T5156" t="s">
        <v>42104</v>
      </c>
      <c r="U5156" t="s">
        <v>47010</v>
      </c>
      <c r="W5156" t="s">
        <v>38857</v>
      </c>
      <c r="X5156" t="s">
        <v>40443</v>
      </c>
    </row>
    <row r="5157" spans="1:24">
      <c r="A5157">
        <f>HYPERLINK("https://www.philgeps.gov.ph/GEPSNONPILOT/Tender/SplashBidNoticeAbstractUI.aspx?menuIndex=3&amp;refID=7043616&amp;Result=3","7043616")</f>
        <v>0</v>
      </c>
      <c r="B5157" t="s">
        <v>754</v>
      </c>
      <c r="C5157" t="s">
        <v>7992</v>
      </c>
      <c r="D5157" t="s">
        <v>16266</v>
      </c>
      <c r="E5157" t="s">
        <v>20856</v>
      </c>
      <c r="F5157" t="s">
        <v>28198</v>
      </c>
      <c r="G5157" t="s">
        <v>28205</v>
      </c>
      <c r="H5157" t="s">
        <v>28214</v>
      </c>
      <c r="I5157" t="s">
        <v>3797</v>
      </c>
      <c r="J5157" t="s">
        <v>31610</v>
      </c>
      <c r="K5157" t="s">
        <v>36694</v>
      </c>
      <c r="M5157" t="s">
        <v>37757</v>
      </c>
      <c r="N5157" t="s">
        <v>40436</v>
      </c>
      <c r="O5157" t="s">
        <v>40437</v>
      </c>
      <c r="P5157">
        <v>0</v>
      </c>
      <c r="Q5157">
        <v>0</v>
      </c>
      <c r="R5157" t="s">
        <v>40440</v>
      </c>
      <c r="S5157" t="s">
        <v>40603</v>
      </c>
      <c r="T5157" t="s">
        <v>42108</v>
      </c>
      <c r="U5157" t="s">
        <v>47011</v>
      </c>
      <c r="W5157" t="s">
        <v>37757</v>
      </c>
      <c r="X5157" t="s">
        <v>40443</v>
      </c>
    </row>
    <row r="5158" spans="1:24">
      <c r="A5158">
        <f>HYPERLINK("https://www.philgeps.gov.ph/GEPSNONPILOT/Tender/SplashBidNoticeAbstractUI.aspx?menuIndex=3&amp;refID=7043497&amp;Result=3","7043497")</f>
        <v>0</v>
      </c>
      <c r="B5158" t="s">
        <v>1745</v>
      </c>
      <c r="C5158" t="s">
        <v>7993</v>
      </c>
      <c r="D5158" t="s">
        <v>16262</v>
      </c>
      <c r="E5158" t="s">
        <v>20857</v>
      </c>
      <c r="F5158" t="s">
        <v>28198</v>
      </c>
      <c r="G5158" t="s">
        <v>28205</v>
      </c>
      <c r="H5158" t="s">
        <v>28215</v>
      </c>
      <c r="I5158" t="s">
        <v>6051</v>
      </c>
      <c r="J5158" t="s">
        <v>31611</v>
      </c>
      <c r="K5158" t="s">
        <v>36694</v>
      </c>
      <c r="M5158" t="s">
        <v>38857</v>
      </c>
      <c r="N5158" t="s">
        <v>40436</v>
      </c>
      <c r="O5158" t="s">
        <v>40437</v>
      </c>
      <c r="P5158">
        <v>0</v>
      </c>
      <c r="Q5158">
        <v>2</v>
      </c>
      <c r="R5158" t="s">
        <v>40440</v>
      </c>
      <c r="S5158" t="s">
        <v>40603</v>
      </c>
      <c r="T5158" t="s">
        <v>42104</v>
      </c>
      <c r="U5158" t="s">
        <v>47012</v>
      </c>
      <c r="W5158" t="s">
        <v>38857</v>
      </c>
      <c r="X5158" t="s">
        <v>40443</v>
      </c>
    </row>
    <row r="5159" spans="1:24">
      <c r="A5159">
        <f>HYPERLINK("https://www.philgeps.gov.ph/GEPSNONPILOT/Tender/SplashBidNoticeAbstractUI.aspx?menuIndex=3&amp;refID=7043572&amp;Result=3","7043572")</f>
        <v>0</v>
      </c>
      <c r="B5159" t="s">
        <v>929</v>
      </c>
      <c r="C5159" t="s">
        <v>7994</v>
      </c>
      <c r="D5159" t="s">
        <v>16224</v>
      </c>
      <c r="E5159" t="s">
        <v>20858</v>
      </c>
      <c r="F5159" t="s">
        <v>28198</v>
      </c>
      <c r="G5159" t="s">
        <v>28205</v>
      </c>
      <c r="H5159" t="s">
        <v>28214</v>
      </c>
      <c r="I5159" t="s">
        <v>3797</v>
      </c>
      <c r="J5159" t="s">
        <v>29763</v>
      </c>
      <c r="K5159" t="s">
        <v>36688</v>
      </c>
      <c r="M5159" t="s">
        <v>37949</v>
      </c>
      <c r="N5159" t="s">
        <v>40436</v>
      </c>
      <c r="O5159" t="s">
        <v>40437</v>
      </c>
      <c r="P5159">
        <v>0</v>
      </c>
      <c r="Q5159">
        <v>4</v>
      </c>
      <c r="R5159" t="s">
        <v>40440</v>
      </c>
      <c r="S5159" t="s">
        <v>40603</v>
      </c>
      <c r="T5159" t="s">
        <v>42115</v>
      </c>
      <c r="U5159" t="s">
        <v>47013</v>
      </c>
      <c r="W5159" t="s">
        <v>37949</v>
      </c>
      <c r="X5159" t="s">
        <v>40443</v>
      </c>
    </row>
    <row r="5160" spans="1:24">
      <c r="A5160">
        <f>HYPERLINK("https://www.philgeps.gov.ph/GEPSNONPILOT/Tender/SplashBidNoticeAbstractUI.aspx?menuIndex=3&amp;refID=7043612&amp;Result=3","7043612")</f>
        <v>0</v>
      </c>
      <c r="B5160" t="s">
        <v>1700</v>
      </c>
      <c r="C5160" t="s">
        <v>4318</v>
      </c>
      <c r="D5160" t="s">
        <v>16266</v>
      </c>
      <c r="E5160" t="s">
        <v>20859</v>
      </c>
      <c r="F5160" t="s">
        <v>28198</v>
      </c>
      <c r="G5160" t="s">
        <v>28209</v>
      </c>
      <c r="H5160" t="s">
        <v>28215</v>
      </c>
      <c r="I5160" t="s">
        <v>5100</v>
      </c>
      <c r="J5160" t="s">
        <v>31612</v>
      </c>
      <c r="K5160" t="s">
        <v>36707</v>
      </c>
      <c r="M5160" t="s">
        <v>38801</v>
      </c>
      <c r="N5160" t="s">
        <v>40436</v>
      </c>
      <c r="O5160" t="s">
        <v>40437</v>
      </c>
      <c r="P5160">
        <v>0</v>
      </c>
      <c r="Q5160">
        <v>0</v>
      </c>
      <c r="R5160" t="s">
        <v>40440</v>
      </c>
      <c r="S5160" t="s">
        <v>40603</v>
      </c>
      <c r="T5160" t="s">
        <v>42129</v>
      </c>
      <c r="U5160" t="s">
        <v>47014</v>
      </c>
      <c r="W5160" t="s">
        <v>38801</v>
      </c>
      <c r="X5160" t="s">
        <v>40443</v>
      </c>
    </row>
    <row r="5161" spans="1:24">
      <c r="A5161">
        <f>HYPERLINK("https://www.philgeps.gov.ph/GEPSNONPILOT/Tender/SplashBidNoticeAbstractUI.aspx?menuIndex=3&amp;refID=7043487&amp;Result=3","7043487")</f>
        <v>0</v>
      </c>
      <c r="B5161" t="s">
        <v>1745</v>
      </c>
      <c r="C5161" t="s">
        <v>7995</v>
      </c>
      <c r="D5161" t="s">
        <v>16262</v>
      </c>
      <c r="E5161" t="s">
        <v>20860</v>
      </c>
      <c r="F5161" t="s">
        <v>28198</v>
      </c>
      <c r="G5161" t="s">
        <v>28205</v>
      </c>
      <c r="H5161" t="s">
        <v>28215</v>
      </c>
      <c r="I5161" t="s">
        <v>6051</v>
      </c>
      <c r="J5161" t="s">
        <v>31613</v>
      </c>
      <c r="K5161" t="s">
        <v>36694</v>
      </c>
      <c r="M5161" t="s">
        <v>38857</v>
      </c>
      <c r="N5161" t="s">
        <v>40436</v>
      </c>
      <c r="O5161" t="s">
        <v>40437</v>
      </c>
      <c r="P5161">
        <v>0</v>
      </c>
      <c r="Q5161">
        <v>2</v>
      </c>
      <c r="R5161" t="s">
        <v>40440</v>
      </c>
      <c r="S5161" t="s">
        <v>40603</v>
      </c>
      <c r="T5161" t="s">
        <v>42104</v>
      </c>
      <c r="U5161" t="s">
        <v>47015</v>
      </c>
      <c r="W5161" t="s">
        <v>38857</v>
      </c>
      <c r="X5161" t="s">
        <v>40443</v>
      </c>
    </row>
    <row r="5162" spans="1:24">
      <c r="A5162">
        <f>HYPERLINK("https://www.philgeps.gov.ph/GEPSNONPILOT/Tender/SplashBidNoticeAbstractUI.aspx?menuIndex=3&amp;refID=7043617&amp;Result=3","7043617")</f>
        <v>0</v>
      </c>
      <c r="B5162" t="s">
        <v>1748</v>
      </c>
      <c r="C5162" t="s">
        <v>7996</v>
      </c>
      <c r="E5162" t="s">
        <v>20861</v>
      </c>
      <c r="F5162" t="s">
        <v>28198</v>
      </c>
      <c r="G5162" t="s">
        <v>28207</v>
      </c>
      <c r="H5162" t="s">
        <v>28215</v>
      </c>
      <c r="I5162" t="s">
        <v>4219</v>
      </c>
      <c r="J5162" t="s">
        <v>31614</v>
      </c>
      <c r="K5162" t="s">
        <v>36689</v>
      </c>
      <c r="M5162" t="s">
        <v>38860</v>
      </c>
      <c r="N5162" t="s">
        <v>40436</v>
      </c>
      <c r="O5162" t="s">
        <v>40437</v>
      </c>
      <c r="P5162">
        <v>0</v>
      </c>
      <c r="Q5162">
        <v>1</v>
      </c>
      <c r="R5162" t="s">
        <v>40440</v>
      </c>
      <c r="S5162" t="s">
        <v>40603</v>
      </c>
      <c r="T5162" t="s">
        <v>42103</v>
      </c>
      <c r="U5162" t="s">
        <v>47016</v>
      </c>
      <c r="W5162" t="s">
        <v>38860</v>
      </c>
      <c r="X5162" t="s">
        <v>40443</v>
      </c>
    </row>
    <row r="5163" spans="1:24">
      <c r="A5163">
        <f>HYPERLINK("https://www.philgeps.gov.ph/GEPSNONPILOT/Tender/SplashBidNoticeAbstractUI.aspx?menuIndex=3&amp;refID=7043647&amp;Result=3","7043647")</f>
        <v>0</v>
      </c>
      <c r="B5163" t="s">
        <v>1749</v>
      </c>
      <c r="C5163" t="s">
        <v>7997</v>
      </c>
      <c r="D5163" t="s">
        <v>16265</v>
      </c>
      <c r="E5163" t="s">
        <v>16484</v>
      </c>
      <c r="F5163" t="s">
        <v>28198</v>
      </c>
      <c r="G5163" t="s">
        <v>28206</v>
      </c>
      <c r="H5163" t="s">
        <v>28215</v>
      </c>
      <c r="I5163" t="s">
        <v>5082</v>
      </c>
      <c r="J5163" t="s">
        <v>31615</v>
      </c>
      <c r="K5163" t="s">
        <v>36691</v>
      </c>
      <c r="L5163" t="s">
        <v>1749</v>
      </c>
      <c r="M5163" t="s">
        <v>38861</v>
      </c>
      <c r="N5163" t="s">
        <v>40436</v>
      </c>
      <c r="O5163" t="s">
        <v>40437</v>
      </c>
      <c r="P5163">
        <v>0</v>
      </c>
      <c r="Q5163">
        <v>0</v>
      </c>
      <c r="R5163" t="s">
        <v>40440</v>
      </c>
      <c r="S5163" t="s">
        <v>40603</v>
      </c>
      <c r="T5163" t="s">
        <v>42233</v>
      </c>
      <c r="U5163" t="s">
        <v>47017</v>
      </c>
      <c r="W5163" t="s">
        <v>38861</v>
      </c>
      <c r="X5163" t="s">
        <v>40443</v>
      </c>
    </row>
    <row r="5164" spans="1:24">
      <c r="A5164">
        <f>HYPERLINK("https://www.philgeps.gov.ph/GEPSNONPILOT/Tender/SplashBidNoticeAbstractUI.aspx?menuIndex=3&amp;refID=7043493&amp;Result=3","7043493")</f>
        <v>0</v>
      </c>
      <c r="B5164" t="s">
        <v>1745</v>
      </c>
      <c r="C5164" t="s">
        <v>7998</v>
      </c>
      <c r="D5164" t="s">
        <v>16262</v>
      </c>
      <c r="E5164" t="s">
        <v>20862</v>
      </c>
      <c r="F5164" t="s">
        <v>28198</v>
      </c>
      <c r="G5164" t="s">
        <v>28205</v>
      </c>
      <c r="H5164" t="s">
        <v>28215</v>
      </c>
      <c r="I5164" t="s">
        <v>6051</v>
      </c>
      <c r="J5164" t="s">
        <v>31616</v>
      </c>
      <c r="K5164" t="s">
        <v>36694</v>
      </c>
      <c r="M5164" t="s">
        <v>38857</v>
      </c>
      <c r="N5164" t="s">
        <v>40436</v>
      </c>
      <c r="O5164" t="s">
        <v>40437</v>
      </c>
      <c r="P5164">
        <v>0</v>
      </c>
      <c r="Q5164">
        <v>3</v>
      </c>
      <c r="R5164" t="s">
        <v>40440</v>
      </c>
      <c r="S5164" t="s">
        <v>40603</v>
      </c>
      <c r="T5164" t="s">
        <v>42104</v>
      </c>
      <c r="U5164" t="s">
        <v>47018</v>
      </c>
      <c r="W5164" t="s">
        <v>38857</v>
      </c>
      <c r="X5164" t="s">
        <v>40443</v>
      </c>
    </row>
    <row r="5165" spans="1:24">
      <c r="A5165">
        <f>HYPERLINK("https://www.philgeps.gov.ph/GEPSNONPILOT/Tender/SplashBidNoticeAbstractUI.aspx?menuIndex=3&amp;refID=7043578&amp;Result=3","7043578")</f>
        <v>0</v>
      </c>
      <c r="B5165" t="s">
        <v>754</v>
      </c>
      <c r="C5165" t="s">
        <v>7999</v>
      </c>
      <c r="D5165" t="s">
        <v>16266</v>
      </c>
      <c r="E5165" t="s">
        <v>20863</v>
      </c>
      <c r="F5165" t="s">
        <v>28198</v>
      </c>
      <c r="G5165" t="s">
        <v>28205</v>
      </c>
      <c r="H5165" t="s">
        <v>28214</v>
      </c>
      <c r="I5165" t="s">
        <v>3797</v>
      </c>
      <c r="J5165" t="s">
        <v>31617</v>
      </c>
      <c r="K5165" t="s">
        <v>36697</v>
      </c>
      <c r="M5165" t="s">
        <v>37757</v>
      </c>
      <c r="N5165" t="s">
        <v>40436</v>
      </c>
      <c r="O5165" t="s">
        <v>40437</v>
      </c>
      <c r="P5165">
        <v>0</v>
      </c>
      <c r="Q5165">
        <v>0</v>
      </c>
      <c r="R5165" t="s">
        <v>40440</v>
      </c>
      <c r="S5165" t="s">
        <v>40603</v>
      </c>
      <c r="T5165" t="s">
        <v>42108</v>
      </c>
      <c r="U5165" t="s">
        <v>47019</v>
      </c>
      <c r="W5165" t="s">
        <v>37757</v>
      </c>
      <c r="X5165" t="s">
        <v>40443</v>
      </c>
    </row>
    <row r="5166" spans="1:24">
      <c r="A5166">
        <f>HYPERLINK("https://www.philgeps.gov.ph/GEPSNONPILOT/Tender/SplashBidNoticeAbstractUI.aspx?menuIndex=3&amp;refID=7043706&amp;Result=3","7043706")</f>
        <v>0</v>
      </c>
      <c r="B5166" t="s">
        <v>1750</v>
      </c>
      <c r="C5166" t="s">
        <v>8000</v>
      </c>
      <c r="D5166" t="s">
        <v>16252</v>
      </c>
      <c r="E5166" t="s">
        <v>20864</v>
      </c>
      <c r="F5166" t="s">
        <v>28198</v>
      </c>
      <c r="G5166" t="s">
        <v>28205</v>
      </c>
      <c r="H5166" t="s">
        <v>28214</v>
      </c>
      <c r="I5166" t="s">
        <v>3797</v>
      </c>
      <c r="J5166" t="s">
        <v>28378</v>
      </c>
      <c r="K5166" t="s">
        <v>36707</v>
      </c>
      <c r="M5166" t="s">
        <v>38862</v>
      </c>
      <c r="N5166" t="s">
        <v>40436</v>
      </c>
      <c r="O5166" t="s">
        <v>40437</v>
      </c>
      <c r="P5166">
        <v>0</v>
      </c>
      <c r="Q5166">
        <v>1</v>
      </c>
      <c r="R5166" t="s">
        <v>40440</v>
      </c>
      <c r="S5166" t="s">
        <v>40603</v>
      </c>
      <c r="T5166" t="s">
        <v>42234</v>
      </c>
      <c r="U5166" t="s">
        <v>47020</v>
      </c>
      <c r="V5166" t="s">
        <v>54291</v>
      </c>
      <c r="W5166" t="s">
        <v>38862</v>
      </c>
      <c r="X5166" t="s">
        <v>40442</v>
      </c>
    </row>
    <row r="5167" spans="1:24">
      <c r="A5167">
        <f>HYPERLINK("https://www.philgeps.gov.ph/GEPSNONPILOT/Tender/SplashBidNoticeAbstractUI.aspx?menuIndex=3&amp;refID=7043615&amp;Result=3","7043615")</f>
        <v>0</v>
      </c>
      <c r="B5167" t="s">
        <v>1751</v>
      </c>
      <c r="C5167" t="s">
        <v>8001</v>
      </c>
      <c r="D5167" t="s">
        <v>16239</v>
      </c>
      <c r="E5167" t="s">
        <v>20865</v>
      </c>
      <c r="F5167" t="s">
        <v>28198</v>
      </c>
      <c r="G5167" t="s">
        <v>28207</v>
      </c>
      <c r="H5167" t="s">
        <v>28217</v>
      </c>
      <c r="I5167" t="s">
        <v>28256</v>
      </c>
      <c r="J5167" t="s">
        <v>28734</v>
      </c>
      <c r="K5167" t="s">
        <v>36698</v>
      </c>
      <c r="M5167" t="s">
        <v>38863</v>
      </c>
      <c r="N5167" t="s">
        <v>40436</v>
      </c>
      <c r="O5167" t="s">
        <v>40437</v>
      </c>
      <c r="P5167">
        <v>0</v>
      </c>
      <c r="Q5167">
        <v>6</v>
      </c>
      <c r="R5167" t="s">
        <v>40440</v>
      </c>
      <c r="S5167" t="s">
        <v>40603</v>
      </c>
      <c r="T5167" t="s">
        <v>42245</v>
      </c>
      <c r="U5167" t="s">
        <v>47021</v>
      </c>
      <c r="W5167" t="s">
        <v>38863</v>
      </c>
      <c r="X5167" t="s">
        <v>40443</v>
      </c>
    </row>
    <row r="5168" spans="1:24">
      <c r="A5168">
        <f>HYPERLINK("https://www.philgeps.gov.ph/GEPSNONPILOT/Tender/SplashBidNoticeAbstractUI.aspx?menuIndex=3&amp;refID=7043628&amp;Result=3","7043628")</f>
        <v>0</v>
      </c>
      <c r="B5168" t="s">
        <v>1725</v>
      </c>
      <c r="C5168" t="s">
        <v>8002</v>
      </c>
      <c r="E5168" t="s">
        <v>20866</v>
      </c>
      <c r="F5168" t="s">
        <v>28198</v>
      </c>
      <c r="G5168" t="s">
        <v>28207</v>
      </c>
      <c r="H5168" t="s">
        <v>28215</v>
      </c>
      <c r="I5168" t="s">
        <v>5071</v>
      </c>
      <c r="J5168" t="s">
        <v>31618</v>
      </c>
      <c r="K5168" t="s">
        <v>36689</v>
      </c>
      <c r="M5168" t="s">
        <v>38864</v>
      </c>
      <c r="N5168" t="s">
        <v>40436</v>
      </c>
      <c r="O5168" t="s">
        <v>40437</v>
      </c>
      <c r="P5168">
        <v>0</v>
      </c>
      <c r="Q5168">
        <v>7</v>
      </c>
      <c r="R5168" t="s">
        <v>40440</v>
      </c>
      <c r="S5168" t="s">
        <v>40603</v>
      </c>
      <c r="T5168" t="s">
        <v>42146</v>
      </c>
      <c r="U5168" t="s">
        <v>47022</v>
      </c>
      <c r="W5168" t="s">
        <v>55496</v>
      </c>
      <c r="X5168" t="s">
        <v>40443</v>
      </c>
    </row>
    <row r="5169" spans="1:24">
      <c r="A5169">
        <f>HYPERLINK("https://www.philgeps.gov.ph/GEPSNONPILOT/Tender/SplashBidNoticeAbstractUI.aspx?menuIndex=3&amp;refID=7043698&amp;Result=3","7043698")</f>
        <v>0</v>
      </c>
      <c r="B5169" t="s">
        <v>1752</v>
      </c>
      <c r="C5169" t="s">
        <v>8003</v>
      </c>
      <c r="D5169" t="s">
        <v>16251</v>
      </c>
      <c r="E5169" t="s">
        <v>20867</v>
      </c>
      <c r="F5169" t="s">
        <v>28198</v>
      </c>
      <c r="G5169" t="s">
        <v>28205</v>
      </c>
      <c r="H5169" t="s">
        <v>28214</v>
      </c>
      <c r="I5169" t="s">
        <v>3797</v>
      </c>
      <c r="J5169" t="s">
        <v>31619</v>
      </c>
      <c r="K5169" t="s">
        <v>36717</v>
      </c>
      <c r="M5169" t="s">
        <v>38865</v>
      </c>
      <c r="N5169" t="s">
        <v>40436</v>
      </c>
      <c r="O5169" t="s">
        <v>40437</v>
      </c>
      <c r="P5169">
        <v>0</v>
      </c>
      <c r="Q5169">
        <v>0</v>
      </c>
      <c r="R5169" t="s">
        <v>40440</v>
      </c>
      <c r="S5169" t="s">
        <v>40603</v>
      </c>
      <c r="T5169" t="s">
        <v>42118</v>
      </c>
      <c r="U5169" t="s">
        <v>47023</v>
      </c>
      <c r="W5169" t="s">
        <v>38865</v>
      </c>
      <c r="X5169" t="s">
        <v>40442</v>
      </c>
    </row>
    <row r="5170" spans="1:24">
      <c r="A5170">
        <f>HYPERLINK("https://www.philgeps.gov.ph/GEPSNONPILOT/Tender/SplashBidNoticeAbstractUI.aspx?menuIndex=3&amp;refID=7043711&amp;Result=3","7043711")</f>
        <v>0</v>
      </c>
      <c r="B5170" t="s">
        <v>664</v>
      </c>
      <c r="C5170" t="s">
        <v>8004</v>
      </c>
      <c r="D5170" t="s">
        <v>16260</v>
      </c>
      <c r="E5170" t="s">
        <v>20868</v>
      </c>
      <c r="F5170" t="s">
        <v>28198</v>
      </c>
      <c r="G5170" t="s">
        <v>28205</v>
      </c>
      <c r="H5170" t="s">
        <v>28214</v>
      </c>
      <c r="I5170" t="s">
        <v>3797</v>
      </c>
      <c r="J5170" t="s">
        <v>31620</v>
      </c>
      <c r="K5170" t="s">
        <v>36809</v>
      </c>
      <c r="M5170" t="s">
        <v>38770</v>
      </c>
      <c r="N5170" t="s">
        <v>40436</v>
      </c>
      <c r="O5170" t="s">
        <v>40437</v>
      </c>
      <c r="P5170">
        <v>0</v>
      </c>
      <c r="Q5170">
        <v>0</v>
      </c>
      <c r="R5170" t="s">
        <v>40440</v>
      </c>
      <c r="S5170" t="s">
        <v>40603</v>
      </c>
      <c r="T5170" t="s">
        <v>42259</v>
      </c>
      <c r="U5170" t="s">
        <v>46684</v>
      </c>
      <c r="W5170" t="s">
        <v>38770</v>
      </c>
      <c r="X5170" t="s">
        <v>40442</v>
      </c>
    </row>
    <row r="5171" spans="1:24">
      <c r="A5171">
        <f>HYPERLINK("https://www.philgeps.gov.ph/GEPSNONPILOT/Tender/SplashBidNoticeAbstractUI.aspx?menuIndex=3&amp;refID=7043699&amp;Result=3","7043699")</f>
        <v>0</v>
      </c>
      <c r="B5171" t="s">
        <v>1752</v>
      </c>
      <c r="C5171" t="s">
        <v>8005</v>
      </c>
      <c r="D5171" t="s">
        <v>16251</v>
      </c>
      <c r="E5171" t="s">
        <v>20869</v>
      </c>
      <c r="F5171" t="s">
        <v>28198</v>
      </c>
      <c r="G5171" t="s">
        <v>28205</v>
      </c>
      <c r="H5171" t="s">
        <v>28215</v>
      </c>
      <c r="I5171" t="s">
        <v>28246</v>
      </c>
      <c r="J5171" t="s">
        <v>31621</v>
      </c>
      <c r="K5171" t="s">
        <v>36706</v>
      </c>
      <c r="M5171" t="s">
        <v>38865</v>
      </c>
      <c r="N5171" t="s">
        <v>40436</v>
      </c>
      <c r="O5171" t="s">
        <v>40437</v>
      </c>
      <c r="P5171">
        <v>0</v>
      </c>
      <c r="Q5171">
        <v>2</v>
      </c>
      <c r="R5171" t="s">
        <v>40440</v>
      </c>
      <c r="S5171" t="s">
        <v>40603</v>
      </c>
      <c r="T5171" t="s">
        <v>42118</v>
      </c>
      <c r="U5171" t="s">
        <v>47023</v>
      </c>
      <c r="W5171" t="s">
        <v>38865</v>
      </c>
      <c r="X5171" t="s">
        <v>40442</v>
      </c>
    </row>
    <row r="5172" spans="1:24">
      <c r="A5172">
        <f>HYPERLINK("https://www.philgeps.gov.ph/GEPSNONPILOT/Tender/SplashBidNoticeAbstractUI.aspx?menuIndex=3&amp;refID=7043702&amp;Result=3","7043702")</f>
        <v>0</v>
      </c>
      <c r="B5172" t="s">
        <v>1753</v>
      </c>
      <c r="C5172" t="s">
        <v>8006</v>
      </c>
      <c r="D5172" t="s">
        <v>16222</v>
      </c>
      <c r="E5172" t="s">
        <v>20870</v>
      </c>
      <c r="F5172" t="s">
        <v>28198</v>
      </c>
      <c r="G5172" t="s">
        <v>28205</v>
      </c>
      <c r="H5172" t="s">
        <v>28215</v>
      </c>
      <c r="I5172" t="s">
        <v>5100</v>
      </c>
      <c r="J5172" t="s">
        <v>28862</v>
      </c>
      <c r="K5172" t="s">
        <v>36688</v>
      </c>
      <c r="M5172" t="s">
        <v>38866</v>
      </c>
      <c r="N5172" t="s">
        <v>40436</v>
      </c>
      <c r="O5172" t="s">
        <v>40437</v>
      </c>
      <c r="P5172">
        <v>0</v>
      </c>
      <c r="Q5172">
        <v>0</v>
      </c>
      <c r="R5172" t="s">
        <v>40440</v>
      </c>
      <c r="S5172" t="s">
        <v>40603</v>
      </c>
      <c r="T5172" t="s">
        <v>42238</v>
      </c>
      <c r="U5172" t="s">
        <v>47024</v>
      </c>
      <c r="W5172" t="s">
        <v>38866</v>
      </c>
      <c r="X5172" t="s">
        <v>40442</v>
      </c>
    </row>
    <row r="5173" spans="1:24">
      <c r="A5173">
        <f>HYPERLINK("https://www.philgeps.gov.ph/GEPSNONPILOT/Tender/SplashBidNoticeAbstractUI.aspx?menuIndex=3&amp;refID=7043710&amp;Result=3","7043710")</f>
        <v>0</v>
      </c>
      <c r="B5173" t="s">
        <v>1750</v>
      </c>
      <c r="C5173" t="s">
        <v>8007</v>
      </c>
      <c r="D5173" t="s">
        <v>16252</v>
      </c>
      <c r="E5173" t="s">
        <v>20871</v>
      </c>
      <c r="F5173" t="s">
        <v>28198</v>
      </c>
      <c r="G5173" t="s">
        <v>28205</v>
      </c>
      <c r="H5173" t="s">
        <v>28214</v>
      </c>
      <c r="I5173" t="s">
        <v>3797</v>
      </c>
      <c r="J5173" t="s">
        <v>28398</v>
      </c>
      <c r="K5173" t="s">
        <v>36706</v>
      </c>
      <c r="M5173" t="s">
        <v>38862</v>
      </c>
      <c r="N5173" t="s">
        <v>40436</v>
      </c>
      <c r="O5173" t="s">
        <v>40437</v>
      </c>
      <c r="P5173">
        <v>0</v>
      </c>
      <c r="Q5173">
        <v>1</v>
      </c>
      <c r="R5173" t="s">
        <v>40440</v>
      </c>
      <c r="S5173" t="s">
        <v>40603</v>
      </c>
      <c r="T5173" t="s">
        <v>42234</v>
      </c>
      <c r="U5173" t="s">
        <v>47025</v>
      </c>
      <c r="W5173" t="s">
        <v>38862</v>
      </c>
      <c r="X5173" t="s">
        <v>40442</v>
      </c>
    </row>
    <row r="5174" spans="1:24">
      <c r="A5174">
        <f>HYPERLINK("https://www.philgeps.gov.ph/GEPSNONPILOT/Tender/SplashBidNoticeAbstractUI.aspx?menuIndex=3&amp;refID=7043709&amp;Result=3","7043709")</f>
        <v>0</v>
      </c>
      <c r="B5174" t="s">
        <v>664</v>
      </c>
      <c r="C5174" t="s">
        <v>8008</v>
      </c>
      <c r="D5174" t="s">
        <v>16260</v>
      </c>
      <c r="E5174" t="s">
        <v>20872</v>
      </c>
      <c r="F5174" t="s">
        <v>28198</v>
      </c>
      <c r="G5174" t="s">
        <v>28205</v>
      </c>
      <c r="H5174" t="s">
        <v>28214</v>
      </c>
      <c r="I5174" t="s">
        <v>3797</v>
      </c>
      <c r="J5174" t="s">
        <v>28730</v>
      </c>
      <c r="K5174" t="s">
        <v>36795</v>
      </c>
      <c r="M5174" t="s">
        <v>38770</v>
      </c>
      <c r="N5174" t="s">
        <v>40436</v>
      </c>
      <c r="O5174" t="s">
        <v>40437</v>
      </c>
      <c r="P5174">
        <v>0</v>
      </c>
      <c r="Q5174">
        <v>1</v>
      </c>
      <c r="R5174" t="s">
        <v>40440</v>
      </c>
      <c r="S5174" t="s">
        <v>40603</v>
      </c>
      <c r="T5174" t="s">
        <v>42259</v>
      </c>
      <c r="U5174" t="s">
        <v>46684</v>
      </c>
      <c r="W5174" t="s">
        <v>38770</v>
      </c>
      <c r="X5174" t="s">
        <v>40442</v>
      </c>
    </row>
    <row r="5175" spans="1:24">
      <c r="A5175">
        <f>HYPERLINK("https://www.philgeps.gov.ph/GEPSNONPILOT/Tender/SplashBidNoticeAbstractUI.aspx?menuIndex=3&amp;refID=7043694&amp;Result=3","7043694")</f>
        <v>0</v>
      </c>
      <c r="B5175" t="s">
        <v>116</v>
      </c>
      <c r="C5175" t="s">
        <v>8009</v>
      </c>
      <c r="D5175" t="s">
        <v>16207</v>
      </c>
      <c r="E5175" t="s">
        <v>20873</v>
      </c>
      <c r="F5175" t="s">
        <v>28198</v>
      </c>
      <c r="G5175" t="s">
        <v>28207</v>
      </c>
      <c r="H5175" t="s">
        <v>28217</v>
      </c>
      <c r="I5175" t="s">
        <v>5631</v>
      </c>
      <c r="J5175" t="s">
        <v>31622</v>
      </c>
      <c r="K5175" t="s">
        <v>36706</v>
      </c>
      <c r="M5175" t="s">
        <v>37090</v>
      </c>
      <c r="N5175" t="s">
        <v>40436</v>
      </c>
      <c r="O5175" t="s">
        <v>40437</v>
      </c>
      <c r="P5175">
        <v>0</v>
      </c>
      <c r="Q5175">
        <v>0</v>
      </c>
      <c r="R5175" t="s">
        <v>40440</v>
      </c>
      <c r="S5175" t="s">
        <v>40603</v>
      </c>
      <c r="T5175" t="s">
        <v>42233</v>
      </c>
      <c r="U5175" t="s">
        <v>47026</v>
      </c>
      <c r="W5175" t="s">
        <v>37090</v>
      </c>
      <c r="X5175" t="s">
        <v>40442</v>
      </c>
    </row>
    <row r="5176" spans="1:24">
      <c r="A5176">
        <f>HYPERLINK("https://www.philgeps.gov.ph/GEPSNONPILOT/Tender/SplashBidNoticeAbstractUI.aspx?menuIndex=3&amp;refID=7043692&amp;Result=3","7043692")</f>
        <v>0</v>
      </c>
      <c r="B5176" t="s">
        <v>116</v>
      </c>
      <c r="C5176" t="s">
        <v>8010</v>
      </c>
      <c r="D5176" t="s">
        <v>16207</v>
      </c>
      <c r="E5176" t="s">
        <v>20874</v>
      </c>
      <c r="F5176" t="s">
        <v>28198</v>
      </c>
      <c r="G5176" t="s">
        <v>28207</v>
      </c>
      <c r="H5176" t="s">
        <v>28217</v>
      </c>
      <c r="I5176" t="s">
        <v>5631</v>
      </c>
      <c r="J5176" t="s">
        <v>31623</v>
      </c>
      <c r="K5176" t="s">
        <v>36706</v>
      </c>
      <c r="M5176" t="s">
        <v>37090</v>
      </c>
      <c r="N5176" t="s">
        <v>40436</v>
      </c>
      <c r="O5176" t="s">
        <v>40437</v>
      </c>
      <c r="P5176">
        <v>0</v>
      </c>
      <c r="Q5176">
        <v>0</v>
      </c>
      <c r="R5176" t="s">
        <v>40440</v>
      </c>
      <c r="S5176" t="s">
        <v>40603</v>
      </c>
      <c r="T5176" t="s">
        <v>42233</v>
      </c>
      <c r="U5176" t="s">
        <v>47027</v>
      </c>
      <c r="W5176" t="s">
        <v>37090</v>
      </c>
      <c r="X5176" t="s">
        <v>40442</v>
      </c>
    </row>
    <row r="5177" spans="1:24">
      <c r="A5177">
        <f>HYPERLINK("https://www.philgeps.gov.ph/GEPSNONPILOT/Tender/SplashBidNoticeAbstractUI.aspx?menuIndex=3&amp;refID=7043688&amp;Result=3","7043688")</f>
        <v>0</v>
      </c>
      <c r="B5177" t="s">
        <v>116</v>
      </c>
      <c r="C5177" t="s">
        <v>8011</v>
      </c>
      <c r="D5177" t="s">
        <v>16207</v>
      </c>
      <c r="E5177" t="s">
        <v>20875</v>
      </c>
      <c r="F5177" t="s">
        <v>28198</v>
      </c>
      <c r="G5177" t="s">
        <v>28207</v>
      </c>
      <c r="H5177" t="s">
        <v>28217</v>
      </c>
      <c r="I5177" t="s">
        <v>5631</v>
      </c>
      <c r="J5177" t="s">
        <v>31624</v>
      </c>
      <c r="K5177" t="s">
        <v>36706</v>
      </c>
      <c r="M5177" t="s">
        <v>37090</v>
      </c>
      <c r="N5177" t="s">
        <v>40436</v>
      </c>
      <c r="O5177" t="s">
        <v>40437</v>
      </c>
      <c r="P5177">
        <v>0</v>
      </c>
      <c r="Q5177">
        <v>0</v>
      </c>
      <c r="R5177" t="s">
        <v>40440</v>
      </c>
      <c r="S5177" t="s">
        <v>40603</v>
      </c>
      <c r="T5177" t="s">
        <v>42233</v>
      </c>
      <c r="U5177" t="s">
        <v>47028</v>
      </c>
      <c r="W5177" t="s">
        <v>37090</v>
      </c>
      <c r="X5177" t="s">
        <v>40442</v>
      </c>
    </row>
    <row r="5178" spans="1:24">
      <c r="A5178">
        <f>HYPERLINK("https://www.philgeps.gov.ph/GEPSNONPILOT/Tender/SplashBidNoticeAbstractUI.aspx?menuIndex=3&amp;refID=7043691&amp;Result=3","7043691")</f>
        <v>0</v>
      </c>
      <c r="B5178" t="s">
        <v>116</v>
      </c>
      <c r="C5178" t="s">
        <v>8012</v>
      </c>
      <c r="D5178" t="s">
        <v>16207</v>
      </c>
      <c r="E5178" t="s">
        <v>20876</v>
      </c>
      <c r="F5178" t="s">
        <v>28198</v>
      </c>
      <c r="G5178" t="s">
        <v>28207</v>
      </c>
      <c r="H5178" t="s">
        <v>28217</v>
      </c>
      <c r="I5178" t="s">
        <v>5631</v>
      </c>
      <c r="J5178" t="s">
        <v>31625</v>
      </c>
      <c r="K5178" t="s">
        <v>36706</v>
      </c>
      <c r="M5178" t="s">
        <v>37090</v>
      </c>
      <c r="N5178" t="s">
        <v>40436</v>
      </c>
      <c r="O5178" t="s">
        <v>40437</v>
      </c>
      <c r="P5178">
        <v>0</v>
      </c>
      <c r="Q5178">
        <v>0</v>
      </c>
      <c r="R5178" t="s">
        <v>40440</v>
      </c>
      <c r="S5178" t="s">
        <v>40603</v>
      </c>
      <c r="T5178" t="s">
        <v>42233</v>
      </c>
      <c r="U5178" t="s">
        <v>47029</v>
      </c>
      <c r="W5178" t="s">
        <v>37090</v>
      </c>
      <c r="X5178" t="s">
        <v>40442</v>
      </c>
    </row>
    <row r="5179" spans="1:24">
      <c r="A5179">
        <f>HYPERLINK("https://www.philgeps.gov.ph/GEPSNONPILOT/Tender/SplashBidNoticeAbstractUI.aspx?menuIndex=3&amp;refID=7043660&amp;Result=3","7043660")</f>
        <v>0</v>
      </c>
      <c r="B5179" t="s">
        <v>1754</v>
      </c>
      <c r="C5179" t="s">
        <v>8013</v>
      </c>
      <c r="D5179" t="s">
        <v>16201</v>
      </c>
      <c r="E5179" t="s">
        <v>20877</v>
      </c>
      <c r="F5179" t="s">
        <v>28198</v>
      </c>
      <c r="G5179" t="s">
        <v>28206</v>
      </c>
      <c r="H5179" t="s">
        <v>28215</v>
      </c>
      <c r="I5179" t="s">
        <v>5082</v>
      </c>
      <c r="J5179" t="s">
        <v>28540</v>
      </c>
      <c r="K5179" t="s">
        <v>36688</v>
      </c>
      <c r="M5179" t="s">
        <v>38867</v>
      </c>
      <c r="N5179" t="s">
        <v>40436</v>
      </c>
      <c r="O5179" t="s">
        <v>40437</v>
      </c>
      <c r="P5179">
        <v>0</v>
      </c>
      <c r="Q5179">
        <v>0</v>
      </c>
      <c r="R5179" t="s">
        <v>40440</v>
      </c>
      <c r="S5179" t="s">
        <v>40603</v>
      </c>
      <c r="T5179" t="s">
        <v>42119</v>
      </c>
      <c r="U5179" t="s">
        <v>47030</v>
      </c>
      <c r="W5179" t="s">
        <v>38867</v>
      </c>
      <c r="X5179" t="s">
        <v>40443</v>
      </c>
    </row>
    <row r="5180" spans="1:24">
      <c r="A5180">
        <f>HYPERLINK("https://www.philgeps.gov.ph/GEPSNONPILOT/Tender/SplashBidNoticeAbstractUI.aspx?menuIndex=3&amp;refID=7043693&amp;Result=3","7043693")</f>
        <v>0</v>
      </c>
      <c r="B5180" t="s">
        <v>116</v>
      </c>
      <c r="C5180" t="s">
        <v>8014</v>
      </c>
      <c r="D5180" t="s">
        <v>16207</v>
      </c>
      <c r="E5180" t="s">
        <v>20878</v>
      </c>
      <c r="F5180" t="s">
        <v>28198</v>
      </c>
      <c r="G5180" t="s">
        <v>28207</v>
      </c>
      <c r="H5180" t="s">
        <v>28217</v>
      </c>
      <c r="I5180" t="s">
        <v>5631</v>
      </c>
      <c r="J5180" t="s">
        <v>31626</v>
      </c>
      <c r="K5180" t="s">
        <v>36706</v>
      </c>
      <c r="M5180" t="s">
        <v>37090</v>
      </c>
      <c r="N5180" t="s">
        <v>40436</v>
      </c>
      <c r="O5180" t="s">
        <v>40437</v>
      </c>
      <c r="P5180">
        <v>0</v>
      </c>
      <c r="Q5180">
        <v>0</v>
      </c>
      <c r="R5180" t="s">
        <v>40440</v>
      </c>
      <c r="S5180" t="s">
        <v>40603</v>
      </c>
      <c r="T5180" t="s">
        <v>42233</v>
      </c>
      <c r="U5180" t="s">
        <v>47031</v>
      </c>
      <c r="W5180" t="s">
        <v>37090</v>
      </c>
      <c r="X5180" t="s">
        <v>40442</v>
      </c>
    </row>
    <row r="5181" spans="1:24">
      <c r="A5181">
        <f>HYPERLINK("https://www.philgeps.gov.ph/GEPSNONPILOT/Tender/SplashBidNoticeAbstractUI.aspx?menuIndex=3&amp;refID=7043741&amp;Result=3","7043741")</f>
        <v>0</v>
      </c>
      <c r="B5181" t="s">
        <v>1755</v>
      </c>
      <c r="C5181" t="s">
        <v>8015</v>
      </c>
      <c r="D5181" t="s">
        <v>16200</v>
      </c>
      <c r="E5181" t="s">
        <v>20879</v>
      </c>
      <c r="F5181" t="s">
        <v>28198</v>
      </c>
      <c r="G5181" t="s">
        <v>28211</v>
      </c>
      <c r="H5181" t="s">
        <v>28216</v>
      </c>
      <c r="I5181" t="s">
        <v>28216</v>
      </c>
      <c r="J5181" t="s">
        <v>30172</v>
      </c>
      <c r="K5181" t="s">
        <v>36705</v>
      </c>
      <c r="M5181" t="s">
        <v>38868</v>
      </c>
      <c r="N5181" t="s">
        <v>40436</v>
      </c>
      <c r="O5181" t="s">
        <v>40437</v>
      </c>
      <c r="P5181">
        <v>0</v>
      </c>
      <c r="Q5181">
        <v>1</v>
      </c>
      <c r="R5181" t="s">
        <v>40440</v>
      </c>
      <c r="S5181" t="s">
        <v>40603</v>
      </c>
      <c r="T5181" t="s">
        <v>42199</v>
      </c>
      <c r="U5181" t="s">
        <v>47032</v>
      </c>
      <c r="W5181" t="s">
        <v>38868</v>
      </c>
      <c r="X5181" t="s">
        <v>40442</v>
      </c>
    </row>
    <row r="5182" spans="1:24">
      <c r="A5182">
        <f>HYPERLINK("https://www.philgeps.gov.ph/GEPSNONPILOT/Tender/SplashBidNoticeAbstractUI.aspx?menuIndex=3&amp;refID=7043732&amp;Result=3","7043732")</f>
        <v>0</v>
      </c>
      <c r="B5182" t="s">
        <v>703</v>
      </c>
      <c r="C5182" t="s">
        <v>8016</v>
      </c>
      <c r="D5182" t="s">
        <v>16240</v>
      </c>
      <c r="E5182" t="s">
        <v>20880</v>
      </c>
      <c r="F5182" t="s">
        <v>28198</v>
      </c>
      <c r="G5182" t="s">
        <v>28205</v>
      </c>
      <c r="H5182" t="s">
        <v>28214</v>
      </c>
      <c r="I5182" t="s">
        <v>3797</v>
      </c>
      <c r="J5182" t="s">
        <v>28347</v>
      </c>
      <c r="K5182" t="s">
        <v>36737</v>
      </c>
      <c r="M5182" t="s">
        <v>37703</v>
      </c>
      <c r="N5182" t="s">
        <v>40436</v>
      </c>
      <c r="O5182" t="s">
        <v>40437</v>
      </c>
      <c r="P5182">
        <v>0</v>
      </c>
      <c r="Q5182">
        <v>0</v>
      </c>
      <c r="R5182" t="s">
        <v>40440</v>
      </c>
      <c r="S5182" t="s">
        <v>40603</v>
      </c>
      <c r="T5182" t="s">
        <v>42108</v>
      </c>
      <c r="U5182" t="s">
        <v>47033</v>
      </c>
      <c r="W5182" t="s">
        <v>37703</v>
      </c>
      <c r="X5182" t="s">
        <v>40442</v>
      </c>
    </row>
    <row r="5183" spans="1:24">
      <c r="A5183">
        <f>HYPERLINK("https://www.philgeps.gov.ph/GEPSNONPILOT/Tender/SplashBidNoticeAbstractUI.aspx?menuIndex=3&amp;refID=7043730&amp;Result=3","7043730")</f>
        <v>0</v>
      </c>
      <c r="B5183" t="s">
        <v>1756</v>
      </c>
      <c r="C5183" t="s">
        <v>8017</v>
      </c>
      <c r="D5183" t="s">
        <v>16253</v>
      </c>
      <c r="E5183" t="s">
        <v>20881</v>
      </c>
      <c r="F5183" t="s">
        <v>28198</v>
      </c>
      <c r="G5183" t="s">
        <v>28210</v>
      </c>
      <c r="H5183" t="s">
        <v>28215</v>
      </c>
      <c r="I5183" t="s">
        <v>28238</v>
      </c>
      <c r="J5183" t="s">
        <v>31627</v>
      </c>
      <c r="K5183" t="s">
        <v>36707</v>
      </c>
      <c r="M5183" t="s">
        <v>38869</v>
      </c>
      <c r="N5183" t="s">
        <v>40436</v>
      </c>
      <c r="O5183" t="s">
        <v>40437</v>
      </c>
      <c r="P5183">
        <v>0</v>
      </c>
      <c r="Q5183">
        <v>3</v>
      </c>
      <c r="R5183" t="s">
        <v>40440</v>
      </c>
      <c r="S5183" t="s">
        <v>40603</v>
      </c>
      <c r="T5183" t="s">
        <v>42315</v>
      </c>
      <c r="U5183" t="s">
        <v>47034</v>
      </c>
      <c r="W5183" t="s">
        <v>38869</v>
      </c>
      <c r="X5183" t="s">
        <v>40442</v>
      </c>
    </row>
    <row r="5184" spans="1:24">
      <c r="A5184">
        <f>HYPERLINK("https://www.philgeps.gov.ph/GEPSNONPILOT/Tender/SplashBidNoticeAbstractUI.aspx?menuIndex=3&amp;refID=7043737&amp;Result=3","7043737")</f>
        <v>0</v>
      </c>
      <c r="B5184" t="s">
        <v>664</v>
      </c>
      <c r="C5184" t="s">
        <v>8018</v>
      </c>
      <c r="D5184" t="s">
        <v>16260</v>
      </c>
      <c r="E5184" t="s">
        <v>20882</v>
      </c>
      <c r="F5184" t="s">
        <v>28198</v>
      </c>
      <c r="G5184" t="s">
        <v>28205</v>
      </c>
      <c r="H5184" t="s">
        <v>28214</v>
      </c>
      <c r="I5184" t="s">
        <v>3797</v>
      </c>
      <c r="J5184" t="s">
        <v>28559</v>
      </c>
      <c r="K5184" t="s">
        <v>36730</v>
      </c>
      <c r="M5184" t="s">
        <v>38770</v>
      </c>
      <c r="N5184" t="s">
        <v>40436</v>
      </c>
      <c r="O5184" t="s">
        <v>40437</v>
      </c>
      <c r="P5184">
        <v>0</v>
      </c>
      <c r="Q5184">
        <v>0</v>
      </c>
      <c r="R5184" t="s">
        <v>40440</v>
      </c>
      <c r="S5184" t="s">
        <v>40603</v>
      </c>
      <c r="T5184" t="s">
        <v>42124</v>
      </c>
      <c r="U5184" t="s">
        <v>46684</v>
      </c>
      <c r="W5184" t="s">
        <v>38770</v>
      </c>
      <c r="X5184" t="s">
        <v>40442</v>
      </c>
    </row>
    <row r="5185" spans="1:24">
      <c r="A5185">
        <f>HYPERLINK("https://www.philgeps.gov.ph/GEPSNONPILOT/Tender/SplashBidNoticeAbstractUI.aspx?menuIndex=3&amp;refID=7043729&amp;Result=3","7043729")</f>
        <v>0</v>
      </c>
      <c r="B5185" t="s">
        <v>664</v>
      </c>
      <c r="C5185" t="s">
        <v>8019</v>
      </c>
      <c r="D5185" t="s">
        <v>16260</v>
      </c>
      <c r="E5185" t="s">
        <v>20883</v>
      </c>
      <c r="F5185" t="s">
        <v>28198</v>
      </c>
      <c r="G5185" t="s">
        <v>28205</v>
      </c>
      <c r="H5185" t="s">
        <v>28214</v>
      </c>
      <c r="I5185" t="s">
        <v>3797</v>
      </c>
      <c r="J5185" t="s">
        <v>28415</v>
      </c>
      <c r="K5185" t="s">
        <v>36766</v>
      </c>
      <c r="M5185" t="s">
        <v>38770</v>
      </c>
      <c r="N5185" t="s">
        <v>40436</v>
      </c>
      <c r="O5185" t="s">
        <v>40437</v>
      </c>
      <c r="P5185">
        <v>0</v>
      </c>
      <c r="Q5185">
        <v>0</v>
      </c>
      <c r="R5185" t="s">
        <v>40440</v>
      </c>
      <c r="S5185" t="s">
        <v>40603</v>
      </c>
      <c r="T5185" t="s">
        <v>42124</v>
      </c>
      <c r="U5185" t="s">
        <v>46684</v>
      </c>
      <c r="W5185" t="s">
        <v>38770</v>
      </c>
      <c r="X5185" t="s">
        <v>40442</v>
      </c>
    </row>
    <row r="5186" spans="1:24">
      <c r="A5186">
        <f>HYPERLINK("https://www.philgeps.gov.ph/GEPSNONPILOT/Tender/SplashBidNoticeAbstractUI.aspx?menuIndex=3&amp;refID=7043733&amp;Result=3","7043733")</f>
        <v>0</v>
      </c>
      <c r="B5186" t="s">
        <v>664</v>
      </c>
      <c r="C5186" t="s">
        <v>8020</v>
      </c>
      <c r="D5186" t="s">
        <v>16260</v>
      </c>
      <c r="E5186" t="s">
        <v>20884</v>
      </c>
      <c r="F5186" t="s">
        <v>28198</v>
      </c>
      <c r="G5186" t="s">
        <v>28205</v>
      </c>
      <c r="H5186" t="s">
        <v>28214</v>
      </c>
      <c r="I5186" t="s">
        <v>3797</v>
      </c>
      <c r="J5186" t="s">
        <v>28378</v>
      </c>
      <c r="K5186" t="s">
        <v>36701</v>
      </c>
      <c r="M5186" t="s">
        <v>38770</v>
      </c>
      <c r="N5186" t="s">
        <v>40436</v>
      </c>
      <c r="O5186" t="s">
        <v>40437</v>
      </c>
      <c r="P5186">
        <v>0</v>
      </c>
      <c r="Q5186">
        <v>0</v>
      </c>
      <c r="R5186" t="s">
        <v>40440</v>
      </c>
      <c r="S5186" t="s">
        <v>40603</v>
      </c>
      <c r="T5186" t="s">
        <v>42124</v>
      </c>
      <c r="U5186" t="s">
        <v>46684</v>
      </c>
      <c r="W5186" t="s">
        <v>38770</v>
      </c>
      <c r="X5186" t="s">
        <v>40442</v>
      </c>
    </row>
    <row r="5187" spans="1:24">
      <c r="A5187">
        <f>HYPERLINK("https://www.philgeps.gov.ph/GEPSNONPILOT/Tender/SplashBidNoticeAbstractUI.aspx?menuIndex=3&amp;refID=7043744&amp;Result=3","7043744")</f>
        <v>0</v>
      </c>
      <c r="B5187" t="s">
        <v>1755</v>
      </c>
      <c r="C5187" t="s">
        <v>8021</v>
      </c>
      <c r="D5187" t="s">
        <v>16200</v>
      </c>
      <c r="E5187" t="s">
        <v>20885</v>
      </c>
      <c r="F5187" t="s">
        <v>28198</v>
      </c>
      <c r="G5187" t="s">
        <v>28205</v>
      </c>
      <c r="H5187" t="s">
        <v>28214</v>
      </c>
      <c r="I5187" t="s">
        <v>3797</v>
      </c>
      <c r="J5187" t="s">
        <v>31628</v>
      </c>
      <c r="K5187" t="s">
        <v>36719</v>
      </c>
      <c r="M5187" t="s">
        <v>38868</v>
      </c>
      <c r="N5187" t="s">
        <v>40436</v>
      </c>
      <c r="O5187" t="s">
        <v>40437</v>
      </c>
      <c r="P5187">
        <v>0</v>
      </c>
      <c r="Q5187">
        <v>1</v>
      </c>
      <c r="R5187" t="s">
        <v>40440</v>
      </c>
      <c r="S5187" t="s">
        <v>40603</v>
      </c>
      <c r="T5187" t="s">
        <v>42320</v>
      </c>
      <c r="U5187" t="s">
        <v>47035</v>
      </c>
      <c r="W5187" t="s">
        <v>38868</v>
      </c>
      <c r="X5187" t="s">
        <v>40442</v>
      </c>
    </row>
    <row r="5188" spans="1:24">
      <c r="A5188">
        <f>HYPERLINK("https://www.philgeps.gov.ph/GEPSNONPILOT/Tender/SplashBidNoticeAbstractUI.aspx?menuIndex=3&amp;refID=7043747&amp;Result=3","7043747")</f>
        <v>0</v>
      </c>
      <c r="B5188" t="s">
        <v>664</v>
      </c>
      <c r="C5188" t="s">
        <v>8022</v>
      </c>
      <c r="D5188" t="s">
        <v>16260</v>
      </c>
      <c r="E5188" t="s">
        <v>20886</v>
      </c>
      <c r="F5188" t="s">
        <v>28198</v>
      </c>
      <c r="G5188" t="s">
        <v>28205</v>
      </c>
      <c r="H5188" t="s">
        <v>28214</v>
      </c>
      <c r="I5188" t="s">
        <v>3797</v>
      </c>
      <c r="J5188" t="s">
        <v>28661</v>
      </c>
      <c r="K5188" t="s">
        <v>36748</v>
      </c>
      <c r="M5188" t="s">
        <v>38770</v>
      </c>
      <c r="N5188" t="s">
        <v>40436</v>
      </c>
      <c r="O5188" t="s">
        <v>40437</v>
      </c>
      <c r="P5188">
        <v>0</v>
      </c>
      <c r="Q5188">
        <v>1</v>
      </c>
      <c r="R5188" t="s">
        <v>40440</v>
      </c>
      <c r="S5188" t="s">
        <v>40603</v>
      </c>
      <c r="T5188" t="s">
        <v>42124</v>
      </c>
      <c r="U5188" t="s">
        <v>46684</v>
      </c>
      <c r="W5188" t="s">
        <v>38770</v>
      </c>
      <c r="X5188" t="s">
        <v>40442</v>
      </c>
    </row>
    <row r="5189" spans="1:24">
      <c r="A5189">
        <f>HYPERLINK("https://www.philgeps.gov.ph/GEPSNONPILOT/Tender/SplashBidNoticeAbstractUI.aspx?menuIndex=3&amp;refID=7043689&amp;Result=3","7043689")</f>
        <v>0</v>
      </c>
      <c r="B5189" t="s">
        <v>116</v>
      </c>
      <c r="C5189" t="s">
        <v>8023</v>
      </c>
      <c r="D5189" t="s">
        <v>16207</v>
      </c>
      <c r="E5189" t="s">
        <v>20887</v>
      </c>
      <c r="F5189" t="s">
        <v>28198</v>
      </c>
      <c r="G5189" t="s">
        <v>28207</v>
      </c>
      <c r="H5189" t="s">
        <v>28217</v>
      </c>
      <c r="I5189" t="s">
        <v>5631</v>
      </c>
      <c r="J5189" t="s">
        <v>31629</v>
      </c>
      <c r="K5189" t="s">
        <v>36706</v>
      </c>
      <c r="M5189" t="s">
        <v>37090</v>
      </c>
      <c r="N5189" t="s">
        <v>40436</v>
      </c>
      <c r="O5189" t="s">
        <v>40437</v>
      </c>
      <c r="P5189">
        <v>0</v>
      </c>
      <c r="Q5189">
        <v>0</v>
      </c>
      <c r="R5189" t="s">
        <v>40440</v>
      </c>
      <c r="S5189" t="s">
        <v>40603</v>
      </c>
      <c r="T5189" t="s">
        <v>42233</v>
      </c>
      <c r="U5189" t="s">
        <v>47036</v>
      </c>
      <c r="W5189" t="s">
        <v>37090</v>
      </c>
      <c r="X5189" t="s">
        <v>40442</v>
      </c>
    </row>
    <row r="5190" spans="1:24">
      <c r="A5190">
        <f>HYPERLINK("https://www.philgeps.gov.ph/GEPSNONPILOT/Tender/SplashBidNoticeAbstractUI.aspx?menuIndex=3&amp;refID=7043736&amp;Result=3","7043736")</f>
        <v>0</v>
      </c>
      <c r="B5190" t="s">
        <v>664</v>
      </c>
      <c r="C5190" t="s">
        <v>8024</v>
      </c>
      <c r="D5190" t="s">
        <v>16260</v>
      </c>
      <c r="E5190" t="s">
        <v>20888</v>
      </c>
      <c r="F5190" t="s">
        <v>28198</v>
      </c>
      <c r="G5190" t="s">
        <v>28205</v>
      </c>
      <c r="H5190" t="s">
        <v>28214</v>
      </c>
      <c r="I5190" t="s">
        <v>3797</v>
      </c>
      <c r="J5190" t="s">
        <v>28378</v>
      </c>
      <c r="K5190" t="s">
        <v>36695</v>
      </c>
      <c r="M5190" t="s">
        <v>38770</v>
      </c>
      <c r="N5190" t="s">
        <v>40436</v>
      </c>
      <c r="O5190" t="s">
        <v>40437</v>
      </c>
      <c r="P5190">
        <v>0</v>
      </c>
      <c r="Q5190">
        <v>0</v>
      </c>
      <c r="R5190" t="s">
        <v>40440</v>
      </c>
      <c r="S5190" t="s">
        <v>40603</v>
      </c>
      <c r="T5190" t="s">
        <v>42124</v>
      </c>
      <c r="U5190" t="s">
        <v>46684</v>
      </c>
      <c r="W5190" t="s">
        <v>38770</v>
      </c>
      <c r="X5190" t="s">
        <v>40442</v>
      </c>
    </row>
    <row r="5191" spans="1:24">
      <c r="A5191">
        <f>HYPERLINK("https://www.philgeps.gov.ph/GEPSNONPILOT/Tender/SplashBidNoticeAbstractUI.aspx?menuIndex=3&amp;refID=7043751&amp;Result=3","7043751")</f>
        <v>0</v>
      </c>
      <c r="B5191" t="s">
        <v>664</v>
      </c>
      <c r="C5191" t="s">
        <v>8025</v>
      </c>
      <c r="D5191" t="s">
        <v>16260</v>
      </c>
      <c r="E5191" t="s">
        <v>20889</v>
      </c>
      <c r="F5191" t="s">
        <v>28198</v>
      </c>
      <c r="G5191" t="s">
        <v>28205</v>
      </c>
      <c r="H5191" t="s">
        <v>28214</v>
      </c>
      <c r="I5191" t="s">
        <v>3797</v>
      </c>
      <c r="J5191" t="s">
        <v>28415</v>
      </c>
      <c r="K5191" t="s">
        <v>36786</v>
      </c>
      <c r="M5191" t="s">
        <v>38770</v>
      </c>
      <c r="N5191" t="s">
        <v>40436</v>
      </c>
      <c r="O5191" t="s">
        <v>40437</v>
      </c>
      <c r="P5191">
        <v>0</v>
      </c>
      <c r="Q5191">
        <v>0</v>
      </c>
      <c r="R5191" t="s">
        <v>40440</v>
      </c>
      <c r="S5191" t="s">
        <v>40603</v>
      </c>
      <c r="T5191" t="s">
        <v>42124</v>
      </c>
      <c r="U5191" t="s">
        <v>46684</v>
      </c>
      <c r="W5191" t="s">
        <v>38770</v>
      </c>
      <c r="X5191" t="s">
        <v>40442</v>
      </c>
    </row>
    <row r="5192" spans="1:24">
      <c r="A5192">
        <f>HYPERLINK("https://www.philgeps.gov.ph/GEPSNONPILOT/Tender/SplashBidNoticeAbstractUI.aspx?menuIndex=3&amp;refID=7043761&amp;Result=3","7043761")</f>
        <v>0</v>
      </c>
      <c r="B5192" t="s">
        <v>856</v>
      </c>
      <c r="C5192" t="s">
        <v>8026</v>
      </c>
      <c r="D5192" t="s">
        <v>16221</v>
      </c>
      <c r="E5192" t="s">
        <v>20890</v>
      </c>
      <c r="F5192" t="s">
        <v>28198</v>
      </c>
      <c r="G5192" t="s">
        <v>28207</v>
      </c>
      <c r="H5192" t="s">
        <v>28215</v>
      </c>
      <c r="I5192" t="s">
        <v>28227</v>
      </c>
      <c r="J5192" t="s">
        <v>31630</v>
      </c>
      <c r="K5192" t="s">
        <v>36707</v>
      </c>
      <c r="M5192" t="s">
        <v>37868</v>
      </c>
      <c r="N5192" t="s">
        <v>40436</v>
      </c>
      <c r="O5192" t="s">
        <v>40437</v>
      </c>
      <c r="P5192">
        <v>0</v>
      </c>
      <c r="Q5192">
        <v>0</v>
      </c>
      <c r="R5192" t="s">
        <v>40440</v>
      </c>
      <c r="S5192" t="s">
        <v>40603</v>
      </c>
      <c r="T5192" t="s">
        <v>42233</v>
      </c>
      <c r="U5192" t="s">
        <v>44279</v>
      </c>
      <c r="W5192" t="s">
        <v>39895</v>
      </c>
      <c r="X5192" t="s">
        <v>40442</v>
      </c>
    </row>
    <row r="5193" spans="1:24">
      <c r="A5193">
        <f>HYPERLINK("https://www.philgeps.gov.ph/GEPSNONPILOT/Tender/SplashBidNoticeAbstractUI.aspx?menuIndex=3&amp;refID=7043769&amp;Result=3","7043769")</f>
        <v>0</v>
      </c>
      <c r="B5193" t="s">
        <v>1745</v>
      </c>
      <c r="C5193" t="s">
        <v>8027</v>
      </c>
      <c r="D5193" t="s">
        <v>16261</v>
      </c>
      <c r="E5193" t="s">
        <v>20891</v>
      </c>
      <c r="F5193" t="s">
        <v>28198</v>
      </c>
      <c r="G5193" t="s">
        <v>28205</v>
      </c>
      <c r="H5193" t="s">
        <v>28215</v>
      </c>
      <c r="I5193" t="s">
        <v>6051</v>
      </c>
      <c r="J5193" t="s">
        <v>31631</v>
      </c>
      <c r="K5193" t="s">
        <v>36694</v>
      </c>
      <c r="M5193" t="s">
        <v>38857</v>
      </c>
      <c r="N5193" t="s">
        <v>40436</v>
      </c>
      <c r="O5193" t="s">
        <v>40437</v>
      </c>
      <c r="P5193">
        <v>0</v>
      </c>
      <c r="Q5193">
        <v>1</v>
      </c>
      <c r="R5193" t="s">
        <v>40440</v>
      </c>
      <c r="S5193" t="s">
        <v>40603</v>
      </c>
      <c r="T5193" t="s">
        <v>42104</v>
      </c>
      <c r="U5193" t="s">
        <v>47037</v>
      </c>
      <c r="W5193" t="s">
        <v>38857</v>
      </c>
      <c r="X5193" t="s">
        <v>40442</v>
      </c>
    </row>
    <row r="5194" spans="1:24">
      <c r="A5194">
        <f>HYPERLINK("https://www.philgeps.gov.ph/GEPSNONPILOT/Tender/SplashBidNoticeAbstractUI.aspx?menuIndex=3&amp;refID=7043759&amp;Result=3","7043759")</f>
        <v>0</v>
      </c>
      <c r="B5194" t="s">
        <v>1757</v>
      </c>
      <c r="C5194" t="s">
        <v>8028</v>
      </c>
      <c r="D5194" t="s">
        <v>16244</v>
      </c>
      <c r="E5194" t="s">
        <v>20892</v>
      </c>
      <c r="F5194" t="s">
        <v>28198</v>
      </c>
      <c r="G5194" t="s">
        <v>28207</v>
      </c>
      <c r="H5194" t="s">
        <v>28215</v>
      </c>
      <c r="I5194" t="s">
        <v>4219</v>
      </c>
      <c r="J5194" t="s">
        <v>30690</v>
      </c>
      <c r="K5194" t="s">
        <v>36689</v>
      </c>
      <c r="M5194" t="s">
        <v>38870</v>
      </c>
      <c r="N5194" t="s">
        <v>40436</v>
      </c>
      <c r="O5194" t="s">
        <v>40437</v>
      </c>
      <c r="P5194">
        <v>0</v>
      </c>
      <c r="Q5194">
        <v>1</v>
      </c>
      <c r="R5194" t="s">
        <v>40440</v>
      </c>
      <c r="S5194" t="s">
        <v>40603</v>
      </c>
      <c r="T5194" t="s">
        <v>42187</v>
      </c>
      <c r="U5194" t="s">
        <v>47038</v>
      </c>
      <c r="W5194" t="s">
        <v>38870</v>
      </c>
      <c r="X5194" t="s">
        <v>40442</v>
      </c>
    </row>
    <row r="5195" spans="1:24">
      <c r="A5195">
        <f>HYPERLINK("https://www.philgeps.gov.ph/GEPSNONPILOT/Tender/SplashBidNoticeAbstractUI.aspx?menuIndex=3&amp;refID=7043773&amp;Result=3","7043773")</f>
        <v>0</v>
      </c>
      <c r="B5195" t="s">
        <v>1745</v>
      </c>
      <c r="C5195" t="s">
        <v>8029</v>
      </c>
      <c r="D5195" t="s">
        <v>16262</v>
      </c>
      <c r="E5195" t="s">
        <v>20893</v>
      </c>
      <c r="F5195" t="s">
        <v>28198</v>
      </c>
      <c r="G5195" t="s">
        <v>28205</v>
      </c>
      <c r="H5195" t="s">
        <v>28215</v>
      </c>
      <c r="I5195" t="s">
        <v>6051</v>
      </c>
      <c r="J5195" t="s">
        <v>28345</v>
      </c>
      <c r="K5195" t="s">
        <v>36694</v>
      </c>
      <c r="M5195" t="s">
        <v>38857</v>
      </c>
      <c r="N5195" t="s">
        <v>40436</v>
      </c>
      <c r="O5195" t="s">
        <v>40437</v>
      </c>
      <c r="P5195">
        <v>0</v>
      </c>
      <c r="Q5195">
        <v>0</v>
      </c>
      <c r="R5195" t="s">
        <v>40440</v>
      </c>
      <c r="S5195" t="s">
        <v>40603</v>
      </c>
      <c r="T5195" t="s">
        <v>42104</v>
      </c>
      <c r="U5195" t="s">
        <v>47039</v>
      </c>
      <c r="W5195" t="s">
        <v>38857</v>
      </c>
      <c r="X5195" t="s">
        <v>40442</v>
      </c>
    </row>
    <row r="5196" spans="1:24">
      <c r="A5196">
        <f>HYPERLINK("https://www.philgeps.gov.ph/GEPSNONPILOT/Tender/SplashBidNoticeAbstractUI.aspx?menuIndex=3&amp;refID=7043771&amp;Result=3","7043771")</f>
        <v>0</v>
      </c>
      <c r="B5196" t="s">
        <v>1758</v>
      </c>
      <c r="C5196" t="s">
        <v>8030</v>
      </c>
      <c r="D5196" t="s">
        <v>16199</v>
      </c>
      <c r="E5196" t="s">
        <v>16322</v>
      </c>
      <c r="F5196" t="s">
        <v>28198</v>
      </c>
      <c r="G5196" t="s">
        <v>28205</v>
      </c>
      <c r="H5196" t="s">
        <v>28215</v>
      </c>
      <c r="I5196" t="s">
        <v>5100</v>
      </c>
      <c r="J5196" t="s">
        <v>31632</v>
      </c>
      <c r="K5196" t="s">
        <v>36701</v>
      </c>
      <c r="L5196" t="s">
        <v>1758</v>
      </c>
      <c r="M5196" t="s">
        <v>38871</v>
      </c>
      <c r="N5196" t="s">
        <v>40436</v>
      </c>
      <c r="O5196" t="s">
        <v>40437</v>
      </c>
      <c r="P5196">
        <v>0</v>
      </c>
      <c r="Q5196">
        <v>1</v>
      </c>
      <c r="R5196" t="s">
        <v>40440</v>
      </c>
      <c r="S5196" t="s">
        <v>40603</v>
      </c>
      <c r="T5196" t="s">
        <v>42187</v>
      </c>
      <c r="U5196" t="s">
        <v>47040</v>
      </c>
      <c r="V5196" t="s">
        <v>54292</v>
      </c>
      <c r="W5196" t="s">
        <v>38871</v>
      </c>
      <c r="X5196" t="s">
        <v>40442</v>
      </c>
    </row>
    <row r="5197" spans="1:24">
      <c r="A5197">
        <f>HYPERLINK("https://www.philgeps.gov.ph/GEPSNONPILOT/Tender/SplashBidNoticeAbstractUI.aspx?menuIndex=3&amp;refID=7043772&amp;Result=3","7043772")</f>
        <v>0</v>
      </c>
      <c r="B5197" t="s">
        <v>1759</v>
      </c>
      <c r="C5197" t="s">
        <v>8031</v>
      </c>
      <c r="D5197" t="s">
        <v>16199</v>
      </c>
      <c r="E5197" t="s">
        <v>20894</v>
      </c>
      <c r="F5197" t="s">
        <v>28198</v>
      </c>
      <c r="G5197" t="s">
        <v>28207</v>
      </c>
      <c r="H5197" t="s">
        <v>28215</v>
      </c>
      <c r="I5197" t="s">
        <v>5791</v>
      </c>
      <c r="J5197" t="s">
        <v>31633</v>
      </c>
      <c r="K5197" t="s">
        <v>36707</v>
      </c>
      <c r="M5197" t="s">
        <v>38872</v>
      </c>
      <c r="N5197" t="s">
        <v>40436</v>
      </c>
      <c r="O5197" t="s">
        <v>40437</v>
      </c>
      <c r="P5197">
        <v>0</v>
      </c>
      <c r="Q5197">
        <v>0</v>
      </c>
      <c r="R5197" t="s">
        <v>40440</v>
      </c>
      <c r="S5197" t="s">
        <v>40603</v>
      </c>
      <c r="T5197" t="s">
        <v>42245</v>
      </c>
      <c r="U5197" t="s">
        <v>47041</v>
      </c>
      <c r="W5197" t="s">
        <v>38872</v>
      </c>
      <c r="X5197" t="s">
        <v>40442</v>
      </c>
    </row>
    <row r="5198" spans="1:24">
      <c r="A5198">
        <f>HYPERLINK("https://www.philgeps.gov.ph/GEPSNONPILOT/Tender/SplashBidNoticeAbstractUI.aspx?menuIndex=3&amp;refID=7043763&amp;Result=3","7043763")</f>
        <v>0</v>
      </c>
      <c r="B5198" t="s">
        <v>1745</v>
      </c>
      <c r="C5198" t="s">
        <v>8032</v>
      </c>
      <c r="D5198" t="s">
        <v>16261</v>
      </c>
      <c r="E5198" t="s">
        <v>20895</v>
      </c>
      <c r="F5198" t="s">
        <v>28198</v>
      </c>
      <c r="G5198" t="s">
        <v>28205</v>
      </c>
      <c r="H5198" t="s">
        <v>28215</v>
      </c>
      <c r="I5198" t="s">
        <v>6051</v>
      </c>
      <c r="J5198" t="s">
        <v>31634</v>
      </c>
      <c r="K5198" t="s">
        <v>36694</v>
      </c>
      <c r="M5198" t="s">
        <v>38857</v>
      </c>
      <c r="N5198" t="s">
        <v>40436</v>
      </c>
      <c r="O5198" t="s">
        <v>40437</v>
      </c>
      <c r="P5198">
        <v>0</v>
      </c>
      <c r="Q5198">
        <v>1</v>
      </c>
      <c r="R5198" t="s">
        <v>40440</v>
      </c>
      <c r="S5198" t="s">
        <v>40603</v>
      </c>
      <c r="T5198" t="s">
        <v>42104</v>
      </c>
      <c r="U5198" t="s">
        <v>47042</v>
      </c>
      <c r="W5198" t="s">
        <v>38857</v>
      </c>
      <c r="X5198" t="s">
        <v>40442</v>
      </c>
    </row>
    <row r="5199" spans="1:24">
      <c r="A5199">
        <f>HYPERLINK("https://www.philgeps.gov.ph/GEPSNONPILOT/Tender/SplashBidNoticeAbstractUI.aspx?menuIndex=3&amp;refID=7043748&amp;Result=3","7043748")</f>
        <v>0</v>
      </c>
      <c r="B5199" t="s">
        <v>1760</v>
      </c>
      <c r="C5199" t="s">
        <v>8033</v>
      </c>
      <c r="D5199" t="s">
        <v>16222</v>
      </c>
      <c r="E5199" t="s">
        <v>16537</v>
      </c>
      <c r="F5199" t="s">
        <v>28201</v>
      </c>
      <c r="G5199" t="s">
        <v>28207</v>
      </c>
      <c r="H5199" t="s">
        <v>28215</v>
      </c>
      <c r="I5199" t="s">
        <v>4321</v>
      </c>
      <c r="J5199" t="s">
        <v>28352</v>
      </c>
      <c r="K5199" t="s">
        <v>36691</v>
      </c>
      <c r="M5199" t="s">
        <v>38873</v>
      </c>
      <c r="N5199" t="s">
        <v>40436</v>
      </c>
      <c r="O5199" t="s">
        <v>40437</v>
      </c>
      <c r="P5199">
        <v>0</v>
      </c>
      <c r="Q5199">
        <v>0</v>
      </c>
      <c r="R5199" t="s">
        <v>40440</v>
      </c>
      <c r="S5199" t="s">
        <v>40603</v>
      </c>
      <c r="T5199" t="s">
        <v>42119</v>
      </c>
      <c r="U5199" t="s">
        <v>47043</v>
      </c>
      <c r="W5199" t="s">
        <v>38873</v>
      </c>
      <c r="X5199" t="s">
        <v>40442</v>
      </c>
    </row>
    <row r="5200" spans="1:24">
      <c r="A5200">
        <f>HYPERLINK("https://www.philgeps.gov.ph/GEPSNONPILOT/Tender/SplashBidNoticeAbstractUI.aspx?menuIndex=3&amp;refID=7043766&amp;Result=3","7043766")</f>
        <v>0</v>
      </c>
      <c r="B5200" t="s">
        <v>1745</v>
      </c>
      <c r="C5200" t="s">
        <v>8034</v>
      </c>
      <c r="D5200" t="s">
        <v>16261</v>
      </c>
      <c r="E5200" t="s">
        <v>20896</v>
      </c>
      <c r="F5200" t="s">
        <v>28198</v>
      </c>
      <c r="G5200" t="s">
        <v>28205</v>
      </c>
      <c r="H5200" t="s">
        <v>28215</v>
      </c>
      <c r="I5200" t="s">
        <v>6051</v>
      </c>
      <c r="J5200" t="s">
        <v>31635</v>
      </c>
      <c r="K5200" t="s">
        <v>36694</v>
      </c>
      <c r="M5200" t="s">
        <v>38857</v>
      </c>
      <c r="N5200" t="s">
        <v>40436</v>
      </c>
      <c r="O5200" t="s">
        <v>40437</v>
      </c>
      <c r="P5200">
        <v>0</v>
      </c>
      <c r="Q5200">
        <v>1</v>
      </c>
      <c r="R5200" t="s">
        <v>40440</v>
      </c>
      <c r="S5200" t="s">
        <v>40603</v>
      </c>
      <c r="T5200" t="s">
        <v>42104</v>
      </c>
      <c r="U5200" t="s">
        <v>47044</v>
      </c>
      <c r="W5200" t="s">
        <v>38857</v>
      </c>
      <c r="X5200" t="s">
        <v>40442</v>
      </c>
    </row>
    <row r="5201" spans="1:24">
      <c r="A5201">
        <f>HYPERLINK("https://www.philgeps.gov.ph/GEPSNONPILOT/Tender/SplashBidNoticeAbstractUI.aspx?menuIndex=3&amp;refID=7043776&amp;Result=3","7043776")</f>
        <v>0</v>
      </c>
      <c r="B5201" t="s">
        <v>1759</v>
      </c>
      <c r="C5201" t="s">
        <v>8035</v>
      </c>
      <c r="D5201" t="s">
        <v>16199</v>
      </c>
      <c r="E5201" t="s">
        <v>20897</v>
      </c>
      <c r="F5201" t="s">
        <v>28198</v>
      </c>
      <c r="G5201" t="s">
        <v>28207</v>
      </c>
      <c r="H5201" t="s">
        <v>28215</v>
      </c>
      <c r="I5201" t="s">
        <v>3774</v>
      </c>
      <c r="J5201" t="s">
        <v>31636</v>
      </c>
      <c r="K5201" t="s">
        <v>36688</v>
      </c>
      <c r="M5201" t="s">
        <v>38872</v>
      </c>
      <c r="N5201" t="s">
        <v>40436</v>
      </c>
      <c r="O5201" t="s">
        <v>40437</v>
      </c>
      <c r="P5201">
        <v>0</v>
      </c>
      <c r="Q5201">
        <v>0</v>
      </c>
      <c r="R5201" t="s">
        <v>40440</v>
      </c>
      <c r="S5201" t="s">
        <v>40603</v>
      </c>
      <c r="T5201" t="s">
        <v>42245</v>
      </c>
      <c r="U5201" t="s">
        <v>47041</v>
      </c>
      <c r="W5201" t="s">
        <v>38872</v>
      </c>
      <c r="X5201" t="s">
        <v>40442</v>
      </c>
    </row>
    <row r="5202" spans="1:24">
      <c r="A5202">
        <f>HYPERLINK("https://www.philgeps.gov.ph/GEPSNONPILOT/Tender/SplashBidNoticeAbstractUI.aspx?menuIndex=3&amp;refID=7043728&amp;Result=3","7043728")</f>
        <v>0</v>
      </c>
      <c r="B5202" t="s">
        <v>1756</v>
      </c>
      <c r="C5202" t="s">
        <v>8036</v>
      </c>
      <c r="D5202" t="s">
        <v>16253</v>
      </c>
      <c r="E5202" t="s">
        <v>20898</v>
      </c>
      <c r="F5202" t="s">
        <v>28198</v>
      </c>
      <c r="G5202" t="s">
        <v>28210</v>
      </c>
      <c r="H5202" t="s">
        <v>28215</v>
      </c>
      <c r="I5202" t="s">
        <v>5082</v>
      </c>
      <c r="J5202" t="s">
        <v>31637</v>
      </c>
      <c r="K5202" t="s">
        <v>36707</v>
      </c>
      <c r="M5202" t="s">
        <v>38869</v>
      </c>
      <c r="N5202" t="s">
        <v>40436</v>
      </c>
      <c r="O5202" t="s">
        <v>40437</v>
      </c>
      <c r="P5202">
        <v>0</v>
      </c>
      <c r="Q5202">
        <v>2</v>
      </c>
      <c r="R5202" t="s">
        <v>40440</v>
      </c>
      <c r="S5202" t="s">
        <v>40603</v>
      </c>
      <c r="T5202" t="s">
        <v>42315</v>
      </c>
      <c r="U5202" t="s">
        <v>47034</v>
      </c>
      <c r="W5202" t="s">
        <v>38869</v>
      </c>
      <c r="X5202" t="s">
        <v>40442</v>
      </c>
    </row>
    <row r="5203" spans="1:24">
      <c r="A5203">
        <f>HYPERLINK("https://www.philgeps.gov.ph/GEPSNONPILOT/Tender/SplashBidNoticeAbstractUI.aspx?menuIndex=3&amp;refID=7043783&amp;Result=3","7043783")</f>
        <v>0</v>
      </c>
      <c r="B5203" t="s">
        <v>1745</v>
      </c>
      <c r="C5203" t="s">
        <v>8034</v>
      </c>
      <c r="D5203" t="s">
        <v>16261</v>
      </c>
      <c r="E5203" t="s">
        <v>20899</v>
      </c>
      <c r="F5203" t="s">
        <v>28198</v>
      </c>
      <c r="G5203" t="s">
        <v>28205</v>
      </c>
      <c r="H5203" t="s">
        <v>28215</v>
      </c>
      <c r="I5203" t="s">
        <v>6051</v>
      </c>
      <c r="J5203" t="s">
        <v>31638</v>
      </c>
      <c r="K5203" t="s">
        <v>36694</v>
      </c>
      <c r="M5203" t="s">
        <v>38857</v>
      </c>
      <c r="N5203" t="s">
        <v>40436</v>
      </c>
      <c r="O5203" t="s">
        <v>40437</v>
      </c>
      <c r="P5203">
        <v>0</v>
      </c>
      <c r="Q5203">
        <v>1</v>
      </c>
      <c r="R5203" t="s">
        <v>40440</v>
      </c>
      <c r="S5203" t="s">
        <v>40603</v>
      </c>
      <c r="T5203" t="s">
        <v>42104</v>
      </c>
      <c r="U5203" t="s">
        <v>47044</v>
      </c>
      <c r="W5203" t="s">
        <v>38857</v>
      </c>
      <c r="X5203" t="s">
        <v>40442</v>
      </c>
    </row>
    <row r="5204" spans="1:24">
      <c r="A5204">
        <f>HYPERLINK("https://www.philgeps.gov.ph/GEPSNONPILOT/Tender/SplashBidNoticeAbstractUI.aspx?menuIndex=3&amp;refID=7043835&amp;Result=3","7043835")</f>
        <v>0</v>
      </c>
      <c r="B5204" t="s">
        <v>754</v>
      </c>
      <c r="C5204" t="s">
        <v>8037</v>
      </c>
      <c r="D5204" t="s">
        <v>16266</v>
      </c>
      <c r="E5204" t="s">
        <v>20900</v>
      </c>
      <c r="F5204" t="s">
        <v>28198</v>
      </c>
      <c r="G5204" t="s">
        <v>28205</v>
      </c>
      <c r="H5204" t="s">
        <v>28214</v>
      </c>
      <c r="I5204" t="s">
        <v>3797</v>
      </c>
      <c r="J5204" t="s">
        <v>31639</v>
      </c>
      <c r="K5204" t="s">
        <v>36692</v>
      </c>
      <c r="M5204" t="s">
        <v>37757</v>
      </c>
      <c r="N5204" t="s">
        <v>40436</v>
      </c>
      <c r="O5204" t="s">
        <v>40437</v>
      </c>
      <c r="P5204">
        <v>0</v>
      </c>
      <c r="Q5204">
        <v>0</v>
      </c>
      <c r="R5204" t="s">
        <v>40440</v>
      </c>
      <c r="S5204" t="s">
        <v>40603</v>
      </c>
      <c r="T5204" t="s">
        <v>42108</v>
      </c>
      <c r="U5204" t="s">
        <v>47045</v>
      </c>
      <c r="W5204" t="s">
        <v>37757</v>
      </c>
      <c r="X5204" t="s">
        <v>40442</v>
      </c>
    </row>
    <row r="5205" spans="1:24">
      <c r="A5205">
        <f>HYPERLINK("https://www.philgeps.gov.ph/GEPSNONPILOT/Tender/SplashBidNoticeAbstractUI.aspx?menuIndex=3&amp;refID=7043832&amp;Result=3","7043832")</f>
        <v>0</v>
      </c>
      <c r="B5205" t="s">
        <v>703</v>
      </c>
      <c r="C5205" t="s">
        <v>8038</v>
      </c>
      <c r="D5205" t="s">
        <v>16240</v>
      </c>
      <c r="E5205" t="s">
        <v>20901</v>
      </c>
      <c r="F5205" t="s">
        <v>28198</v>
      </c>
      <c r="G5205" t="s">
        <v>28205</v>
      </c>
      <c r="H5205" t="s">
        <v>28214</v>
      </c>
      <c r="I5205" t="s">
        <v>3797</v>
      </c>
      <c r="J5205" t="s">
        <v>28347</v>
      </c>
      <c r="K5205" t="s">
        <v>36737</v>
      </c>
      <c r="M5205" t="s">
        <v>37703</v>
      </c>
      <c r="N5205" t="s">
        <v>40436</v>
      </c>
      <c r="O5205" t="s">
        <v>40437</v>
      </c>
      <c r="P5205">
        <v>0</v>
      </c>
      <c r="Q5205">
        <v>0</v>
      </c>
      <c r="R5205" t="s">
        <v>40440</v>
      </c>
      <c r="S5205" t="s">
        <v>40603</v>
      </c>
      <c r="T5205" t="s">
        <v>42108</v>
      </c>
      <c r="U5205" t="s">
        <v>47046</v>
      </c>
      <c r="W5205" t="s">
        <v>37703</v>
      </c>
      <c r="X5205" t="s">
        <v>40442</v>
      </c>
    </row>
    <row r="5206" spans="1:24">
      <c r="A5206">
        <f>HYPERLINK("https://www.philgeps.gov.ph/GEPSNONPILOT/Tender/SplashBidNoticeAbstractUI.aspx?menuIndex=3&amp;refID=7043827&amp;Result=3","7043827")</f>
        <v>0</v>
      </c>
      <c r="B5206" t="s">
        <v>904</v>
      </c>
      <c r="C5206" t="s">
        <v>8039</v>
      </c>
      <c r="D5206" t="s">
        <v>16233</v>
      </c>
      <c r="E5206" t="s">
        <v>20902</v>
      </c>
      <c r="F5206" t="s">
        <v>28198</v>
      </c>
      <c r="G5206" t="s">
        <v>28210</v>
      </c>
      <c r="H5206" t="s">
        <v>28215</v>
      </c>
      <c r="I5206" t="s">
        <v>4219</v>
      </c>
      <c r="J5206" t="s">
        <v>31640</v>
      </c>
      <c r="K5206" t="s">
        <v>36706</v>
      </c>
      <c r="M5206" t="s">
        <v>38008</v>
      </c>
      <c r="N5206" t="s">
        <v>40436</v>
      </c>
      <c r="O5206" t="s">
        <v>40437</v>
      </c>
      <c r="P5206">
        <v>0</v>
      </c>
      <c r="Q5206">
        <v>1</v>
      </c>
      <c r="R5206" t="s">
        <v>40440</v>
      </c>
      <c r="S5206" t="s">
        <v>40603</v>
      </c>
      <c r="T5206" t="s">
        <v>42245</v>
      </c>
      <c r="U5206" t="s">
        <v>47047</v>
      </c>
      <c r="W5206" t="s">
        <v>38008</v>
      </c>
      <c r="X5206" t="s">
        <v>40442</v>
      </c>
    </row>
    <row r="5207" spans="1:24">
      <c r="A5207">
        <f>HYPERLINK("https://www.philgeps.gov.ph/GEPSNONPILOT/Tender/SplashBidNoticeAbstractUI.aspx?menuIndex=3&amp;refID=7043781&amp;Result=3","7043781")</f>
        <v>0</v>
      </c>
      <c r="B5207" t="s">
        <v>1745</v>
      </c>
      <c r="C5207" t="s">
        <v>8040</v>
      </c>
      <c r="D5207" t="s">
        <v>16261</v>
      </c>
      <c r="E5207" t="s">
        <v>20903</v>
      </c>
      <c r="F5207" t="s">
        <v>28198</v>
      </c>
      <c r="G5207" t="s">
        <v>28205</v>
      </c>
      <c r="H5207" t="s">
        <v>28215</v>
      </c>
      <c r="I5207" t="s">
        <v>6051</v>
      </c>
      <c r="J5207" t="s">
        <v>31641</v>
      </c>
      <c r="K5207" t="s">
        <v>36694</v>
      </c>
      <c r="M5207" t="s">
        <v>38857</v>
      </c>
      <c r="N5207" t="s">
        <v>40436</v>
      </c>
      <c r="O5207" t="s">
        <v>40437</v>
      </c>
      <c r="P5207">
        <v>0</v>
      </c>
      <c r="Q5207">
        <v>3</v>
      </c>
      <c r="R5207" t="s">
        <v>40440</v>
      </c>
      <c r="S5207" t="s">
        <v>40603</v>
      </c>
      <c r="T5207" t="s">
        <v>42104</v>
      </c>
      <c r="U5207" t="s">
        <v>47048</v>
      </c>
      <c r="W5207" t="s">
        <v>38857</v>
      </c>
      <c r="X5207" t="s">
        <v>40442</v>
      </c>
    </row>
    <row r="5208" spans="1:24">
      <c r="A5208">
        <f>HYPERLINK("https://www.philgeps.gov.ph/GEPSNONPILOT/Tender/SplashBidNoticeAbstractUI.aspx?menuIndex=3&amp;refID=7043823&amp;Result=3","7043823")</f>
        <v>0</v>
      </c>
      <c r="B5208" t="s">
        <v>904</v>
      </c>
      <c r="C5208" t="s">
        <v>8041</v>
      </c>
      <c r="D5208" t="s">
        <v>16233</v>
      </c>
      <c r="E5208" t="s">
        <v>20904</v>
      </c>
      <c r="F5208" t="s">
        <v>28198</v>
      </c>
      <c r="G5208" t="s">
        <v>28207</v>
      </c>
      <c r="H5208" t="s">
        <v>28215</v>
      </c>
      <c r="I5208" t="s">
        <v>28225</v>
      </c>
      <c r="J5208" t="s">
        <v>31642</v>
      </c>
      <c r="K5208" t="s">
        <v>36706</v>
      </c>
      <c r="M5208" t="s">
        <v>38008</v>
      </c>
      <c r="N5208" t="s">
        <v>40436</v>
      </c>
      <c r="O5208" t="s">
        <v>40437</v>
      </c>
      <c r="P5208">
        <v>0</v>
      </c>
      <c r="Q5208">
        <v>1</v>
      </c>
      <c r="R5208" t="s">
        <v>40440</v>
      </c>
      <c r="S5208" t="s">
        <v>40603</v>
      </c>
      <c r="T5208" t="s">
        <v>42245</v>
      </c>
      <c r="U5208" t="s">
        <v>47049</v>
      </c>
      <c r="W5208" t="s">
        <v>38008</v>
      </c>
      <c r="X5208" t="s">
        <v>40442</v>
      </c>
    </row>
    <row r="5209" spans="1:24">
      <c r="A5209">
        <f>HYPERLINK("https://www.philgeps.gov.ph/GEPSNONPILOT/Tender/SplashBidNoticeAbstractUI.aspx?menuIndex=3&amp;refID=7043822&amp;Result=3","7043822")</f>
        <v>0</v>
      </c>
      <c r="B5209" t="s">
        <v>754</v>
      </c>
      <c r="C5209" t="s">
        <v>8042</v>
      </c>
      <c r="D5209" t="s">
        <v>16266</v>
      </c>
      <c r="E5209" t="s">
        <v>20905</v>
      </c>
      <c r="F5209" t="s">
        <v>28198</v>
      </c>
      <c r="G5209" t="s">
        <v>28205</v>
      </c>
      <c r="H5209" t="s">
        <v>28214</v>
      </c>
      <c r="I5209" t="s">
        <v>3797</v>
      </c>
      <c r="J5209" t="s">
        <v>31643</v>
      </c>
      <c r="K5209" t="s">
        <v>36777</v>
      </c>
      <c r="M5209" t="s">
        <v>37757</v>
      </c>
      <c r="N5209" t="s">
        <v>40436</v>
      </c>
      <c r="O5209" t="s">
        <v>40437</v>
      </c>
      <c r="P5209">
        <v>0</v>
      </c>
      <c r="Q5209">
        <v>0</v>
      </c>
      <c r="R5209" t="s">
        <v>40440</v>
      </c>
      <c r="S5209" t="s">
        <v>40603</v>
      </c>
      <c r="T5209" t="s">
        <v>42108</v>
      </c>
      <c r="U5209" t="s">
        <v>47050</v>
      </c>
      <c r="W5209" t="s">
        <v>37757</v>
      </c>
      <c r="X5209" t="s">
        <v>40442</v>
      </c>
    </row>
    <row r="5210" spans="1:24">
      <c r="A5210">
        <f>HYPERLINK("https://www.philgeps.gov.ph/GEPSNONPILOT/Tender/SplashBidNoticeAbstractUI.aspx?menuIndex=3&amp;refID=7043833&amp;Result=3","7043833")</f>
        <v>0</v>
      </c>
      <c r="B5210" t="s">
        <v>754</v>
      </c>
      <c r="C5210" t="s">
        <v>8043</v>
      </c>
      <c r="D5210" t="s">
        <v>16266</v>
      </c>
      <c r="E5210" t="s">
        <v>20906</v>
      </c>
      <c r="F5210" t="s">
        <v>28198</v>
      </c>
      <c r="G5210" t="s">
        <v>28205</v>
      </c>
      <c r="H5210" t="s">
        <v>28214</v>
      </c>
      <c r="I5210" t="s">
        <v>3797</v>
      </c>
      <c r="J5210" t="s">
        <v>31644</v>
      </c>
      <c r="K5210" t="s">
        <v>36701</v>
      </c>
      <c r="M5210" t="s">
        <v>37757</v>
      </c>
      <c r="N5210" t="s">
        <v>40436</v>
      </c>
      <c r="O5210" t="s">
        <v>40437</v>
      </c>
      <c r="P5210">
        <v>0</v>
      </c>
      <c r="Q5210">
        <v>0</v>
      </c>
      <c r="R5210" t="s">
        <v>40440</v>
      </c>
      <c r="S5210" t="s">
        <v>40603</v>
      </c>
      <c r="T5210" t="s">
        <v>42108</v>
      </c>
      <c r="U5210" t="s">
        <v>47051</v>
      </c>
      <c r="W5210" t="s">
        <v>37757</v>
      </c>
      <c r="X5210" t="s">
        <v>40442</v>
      </c>
    </row>
    <row r="5211" spans="1:24">
      <c r="A5211">
        <f>HYPERLINK("https://www.philgeps.gov.ph/GEPSNONPILOT/Tender/SplashBidNoticeAbstractUI.aspx?menuIndex=3&amp;refID=7043777&amp;Result=3","7043777")</f>
        <v>0</v>
      </c>
      <c r="B5211" t="s">
        <v>1745</v>
      </c>
      <c r="C5211" t="s">
        <v>8044</v>
      </c>
      <c r="D5211" t="s">
        <v>16262</v>
      </c>
      <c r="E5211" t="s">
        <v>20907</v>
      </c>
      <c r="F5211" t="s">
        <v>28198</v>
      </c>
      <c r="G5211" t="s">
        <v>28205</v>
      </c>
      <c r="H5211" t="s">
        <v>28215</v>
      </c>
      <c r="I5211" t="s">
        <v>6051</v>
      </c>
      <c r="J5211" t="s">
        <v>28430</v>
      </c>
      <c r="K5211" t="s">
        <v>36694</v>
      </c>
      <c r="M5211" t="s">
        <v>38857</v>
      </c>
      <c r="N5211" t="s">
        <v>40436</v>
      </c>
      <c r="O5211" t="s">
        <v>40437</v>
      </c>
      <c r="P5211">
        <v>0</v>
      </c>
      <c r="Q5211">
        <v>0</v>
      </c>
      <c r="R5211" t="s">
        <v>40440</v>
      </c>
      <c r="S5211" t="s">
        <v>40603</v>
      </c>
      <c r="T5211" t="s">
        <v>42104</v>
      </c>
      <c r="U5211" t="s">
        <v>47052</v>
      </c>
      <c r="W5211" t="s">
        <v>38857</v>
      </c>
      <c r="X5211" t="s">
        <v>40442</v>
      </c>
    </row>
    <row r="5212" spans="1:24">
      <c r="A5212">
        <f>HYPERLINK("https://www.philgeps.gov.ph/GEPSNONPILOT/Tender/SplashBidNoticeAbstractUI.aspx?menuIndex=3&amp;refID=7043820&amp;Result=3","7043820")</f>
        <v>0</v>
      </c>
      <c r="B5212" t="s">
        <v>941</v>
      </c>
      <c r="C5212" t="s">
        <v>8045</v>
      </c>
      <c r="D5212" t="s">
        <v>16210</v>
      </c>
      <c r="E5212" t="s">
        <v>20908</v>
      </c>
      <c r="F5212" t="s">
        <v>28198</v>
      </c>
      <c r="G5212" t="s">
        <v>28207</v>
      </c>
      <c r="H5212" t="s">
        <v>28215</v>
      </c>
      <c r="I5212" t="s">
        <v>28238</v>
      </c>
      <c r="J5212" t="s">
        <v>31645</v>
      </c>
      <c r="K5212" t="s">
        <v>36707</v>
      </c>
      <c r="L5212" t="s">
        <v>941</v>
      </c>
      <c r="M5212" t="s">
        <v>37964</v>
      </c>
      <c r="N5212" t="s">
        <v>40436</v>
      </c>
      <c r="O5212" t="s">
        <v>40437</v>
      </c>
      <c r="P5212">
        <v>0</v>
      </c>
      <c r="Q5212">
        <v>14</v>
      </c>
      <c r="R5212" t="s">
        <v>40440</v>
      </c>
      <c r="S5212" t="s">
        <v>40603</v>
      </c>
      <c r="T5212" t="s">
        <v>42277</v>
      </c>
      <c r="U5212" t="s">
        <v>44499</v>
      </c>
      <c r="W5212" t="s">
        <v>37964</v>
      </c>
      <c r="X5212" t="s">
        <v>40442</v>
      </c>
    </row>
    <row r="5213" spans="1:24">
      <c r="A5213">
        <f>HYPERLINK("https://www.philgeps.gov.ph/GEPSNONPILOT/Tender/SplashBidNoticeAbstractUI.aspx?menuIndex=3&amp;refID=7043805&amp;Result=3","7043805")</f>
        <v>0</v>
      </c>
      <c r="B5213" t="s">
        <v>1761</v>
      </c>
      <c r="C5213" t="s">
        <v>8046</v>
      </c>
      <c r="D5213" t="s">
        <v>16187</v>
      </c>
      <c r="E5213" t="s">
        <v>3558</v>
      </c>
      <c r="F5213" t="s">
        <v>28198</v>
      </c>
      <c r="G5213" t="s">
        <v>28205</v>
      </c>
      <c r="H5213" t="s">
        <v>28215</v>
      </c>
      <c r="I5213" t="s">
        <v>28280</v>
      </c>
      <c r="J5213" t="s">
        <v>29623</v>
      </c>
      <c r="K5213" t="s">
        <v>36707</v>
      </c>
      <c r="M5213" t="s">
        <v>38874</v>
      </c>
      <c r="N5213" t="s">
        <v>40436</v>
      </c>
      <c r="O5213" t="s">
        <v>40437</v>
      </c>
      <c r="P5213">
        <v>0</v>
      </c>
      <c r="Q5213">
        <v>3</v>
      </c>
      <c r="R5213" t="s">
        <v>40440</v>
      </c>
      <c r="S5213" t="s">
        <v>40603</v>
      </c>
      <c r="T5213" t="s">
        <v>42298</v>
      </c>
      <c r="U5213" t="s">
        <v>47053</v>
      </c>
      <c r="W5213" t="s">
        <v>38874</v>
      </c>
      <c r="X5213" t="s">
        <v>40442</v>
      </c>
    </row>
    <row r="5214" spans="1:24">
      <c r="A5214">
        <f>HYPERLINK("https://www.philgeps.gov.ph/GEPSNONPILOT/Tender/SplashBidNoticeAbstractUI.aspx?menuIndex=3&amp;refID=7043836&amp;Result=3","7043836")</f>
        <v>0</v>
      </c>
      <c r="B5214" t="s">
        <v>703</v>
      </c>
      <c r="C5214" t="s">
        <v>8047</v>
      </c>
      <c r="D5214" t="s">
        <v>16240</v>
      </c>
      <c r="E5214" t="s">
        <v>20909</v>
      </c>
      <c r="F5214" t="s">
        <v>28198</v>
      </c>
      <c r="G5214" t="s">
        <v>28205</v>
      </c>
      <c r="H5214" t="s">
        <v>28214</v>
      </c>
      <c r="I5214" t="s">
        <v>3797</v>
      </c>
      <c r="J5214" t="s">
        <v>28347</v>
      </c>
      <c r="K5214" t="s">
        <v>36737</v>
      </c>
      <c r="M5214" t="s">
        <v>37703</v>
      </c>
      <c r="N5214" t="s">
        <v>40436</v>
      </c>
      <c r="O5214" t="s">
        <v>40437</v>
      </c>
      <c r="P5214">
        <v>0</v>
      </c>
      <c r="Q5214">
        <v>0</v>
      </c>
      <c r="R5214" t="s">
        <v>40440</v>
      </c>
      <c r="S5214" t="s">
        <v>40603</v>
      </c>
      <c r="T5214" t="s">
        <v>42108</v>
      </c>
      <c r="U5214" t="s">
        <v>47054</v>
      </c>
      <c r="W5214" t="s">
        <v>37703</v>
      </c>
      <c r="X5214" t="s">
        <v>40442</v>
      </c>
    </row>
    <row r="5215" spans="1:24">
      <c r="A5215">
        <f>HYPERLINK("https://www.philgeps.gov.ph/GEPSNONPILOT/Tender/SplashBidNoticeAbstractUI.aspx?menuIndex=3&amp;refID=7043826&amp;Result=3","7043826")</f>
        <v>0</v>
      </c>
      <c r="B5215" t="s">
        <v>754</v>
      </c>
      <c r="C5215" t="s">
        <v>8048</v>
      </c>
      <c r="D5215" t="s">
        <v>16266</v>
      </c>
      <c r="E5215" t="s">
        <v>20910</v>
      </c>
      <c r="F5215" t="s">
        <v>28198</v>
      </c>
      <c r="G5215" t="s">
        <v>28205</v>
      </c>
      <c r="H5215" t="s">
        <v>28214</v>
      </c>
      <c r="I5215" t="s">
        <v>3797</v>
      </c>
      <c r="J5215" t="s">
        <v>31646</v>
      </c>
      <c r="K5215" t="s">
        <v>36789</v>
      </c>
      <c r="M5215" t="s">
        <v>37757</v>
      </c>
      <c r="N5215" t="s">
        <v>40436</v>
      </c>
      <c r="O5215" t="s">
        <v>40437</v>
      </c>
      <c r="P5215">
        <v>0</v>
      </c>
      <c r="Q5215">
        <v>0</v>
      </c>
      <c r="R5215" t="s">
        <v>40440</v>
      </c>
      <c r="S5215" t="s">
        <v>40603</v>
      </c>
      <c r="T5215" t="s">
        <v>42108</v>
      </c>
      <c r="U5215" t="s">
        <v>47055</v>
      </c>
      <c r="W5215" t="s">
        <v>37757</v>
      </c>
      <c r="X5215" t="s">
        <v>40442</v>
      </c>
    </row>
    <row r="5216" spans="1:24">
      <c r="A5216">
        <f>HYPERLINK("https://www.philgeps.gov.ph/GEPSNONPILOT/Tender/SplashBidNoticeAbstractUI.aspx?menuIndex=3&amp;refID=7043788&amp;Result=3","7043788")</f>
        <v>0</v>
      </c>
      <c r="B5216" t="s">
        <v>1745</v>
      </c>
      <c r="C5216" t="s">
        <v>8049</v>
      </c>
      <c r="D5216" t="s">
        <v>16261</v>
      </c>
      <c r="E5216" t="s">
        <v>20911</v>
      </c>
      <c r="F5216" t="s">
        <v>28198</v>
      </c>
      <c r="G5216" t="s">
        <v>28205</v>
      </c>
      <c r="H5216" t="s">
        <v>28215</v>
      </c>
      <c r="I5216" t="s">
        <v>6051</v>
      </c>
      <c r="J5216" t="s">
        <v>31647</v>
      </c>
      <c r="K5216" t="s">
        <v>36694</v>
      </c>
      <c r="M5216" t="s">
        <v>38857</v>
      </c>
      <c r="N5216" t="s">
        <v>40436</v>
      </c>
      <c r="O5216" t="s">
        <v>40437</v>
      </c>
      <c r="P5216">
        <v>0</v>
      </c>
      <c r="Q5216">
        <v>1</v>
      </c>
      <c r="R5216" t="s">
        <v>40440</v>
      </c>
      <c r="S5216" t="s">
        <v>40603</v>
      </c>
      <c r="T5216" t="s">
        <v>42104</v>
      </c>
      <c r="U5216" t="s">
        <v>47056</v>
      </c>
      <c r="W5216" t="s">
        <v>38857</v>
      </c>
      <c r="X5216" t="s">
        <v>40442</v>
      </c>
    </row>
    <row r="5217" spans="1:24">
      <c r="A5217">
        <f>HYPERLINK("https://www.philgeps.gov.ph/GEPSNONPILOT/Tender/SplashBidNoticeAbstractUI.aspx?menuIndex=3&amp;refID=7043842&amp;Result=3","7043842")</f>
        <v>0</v>
      </c>
      <c r="B5217" t="s">
        <v>703</v>
      </c>
      <c r="C5217" t="s">
        <v>8050</v>
      </c>
      <c r="D5217" t="s">
        <v>16240</v>
      </c>
      <c r="E5217" t="s">
        <v>20912</v>
      </c>
      <c r="F5217" t="s">
        <v>28198</v>
      </c>
      <c r="G5217" t="s">
        <v>28205</v>
      </c>
      <c r="H5217" t="s">
        <v>28214</v>
      </c>
      <c r="I5217" t="s">
        <v>3797</v>
      </c>
      <c r="J5217" t="s">
        <v>28347</v>
      </c>
      <c r="K5217" t="s">
        <v>36715</v>
      </c>
      <c r="M5217" t="s">
        <v>37703</v>
      </c>
      <c r="N5217" t="s">
        <v>40436</v>
      </c>
      <c r="O5217" t="s">
        <v>40437</v>
      </c>
      <c r="P5217">
        <v>0</v>
      </c>
      <c r="Q5217">
        <v>0</v>
      </c>
      <c r="R5217" t="s">
        <v>40440</v>
      </c>
      <c r="S5217" t="s">
        <v>40603</v>
      </c>
      <c r="T5217" t="s">
        <v>42108</v>
      </c>
      <c r="U5217" t="s">
        <v>47057</v>
      </c>
      <c r="W5217" t="s">
        <v>37703</v>
      </c>
      <c r="X5217" t="s">
        <v>40442</v>
      </c>
    </row>
    <row r="5218" spans="1:24">
      <c r="A5218">
        <f>HYPERLINK("https://www.philgeps.gov.ph/GEPSNONPILOT/Tender/SplashBidNoticeAbstractUI.aspx?menuIndex=3&amp;refID=7043786&amp;Result=3","7043786")</f>
        <v>0</v>
      </c>
      <c r="B5218" t="s">
        <v>1745</v>
      </c>
      <c r="C5218" t="s">
        <v>8051</v>
      </c>
      <c r="D5218" t="s">
        <v>16261</v>
      </c>
      <c r="E5218" t="s">
        <v>20913</v>
      </c>
      <c r="F5218" t="s">
        <v>28198</v>
      </c>
      <c r="G5218" t="s">
        <v>28205</v>
      </c>
      <c r="H5218" t="s">
        <v>28215</v>
      </c>
      <c r="I5218" t="s">
        <v>6051</v>
      </c>
      <c r="J5218" t="s">
        <v>31648</v>
      </c>
      <c r="K5218" t="s">
        <v>36694</v>
      </c>
      <c r="M5218" t="s">
        <v>38857</v>
      </c>
      <c r="N5218" t="s">
        <v>40436</v>
      </c>
      <c r="O5218" t="s">
        <v>40437</v>
      </c>
      <c r="P5218">
        <v>0</v>
      </c>
      <c r="Q5218">
        <v>2</v>
      </c>
      <c r="R5218" t="s">
        <v>40440</v>
      </c>
      <c r="S5218" t="s">
        <v>40603</v>
      </c>
      <c r="T5218" t="s">
        <v>42104</v>
      </c>
      <c r="U5218" t="s">
        <v>47048</v>
      </c>
      <c r="W5218" t="s">
        <v>38857</v>
      </c>
      <c r="X5218" t="s">
        <v>40442</v>
      </c>
    </row>
    <row r="5219" spans="1:24">
      <c r="A5219">
        <f>HYPERLINK("https://www.philgeps.gov.ph/GEPSNONPILOT/Tender/SplashBidNoticeAbstractUI.aspx?menuIndex=3&amp;refID=7043811&amp;Result=3","7043811")</f>
        <v>0</v>
      </c>
      <c r="B5219" t="s">
        <v>973</v>
      </c>
      <c r="C5219" t="s">
        <v>8052</v>
      </c>
      <c r="D5219" t="s">
        <v>16230</v>
      </c>
      <c r="E5219" t="s">
        <v>20914</v>
      </c>
      <c r="F5219" t="s">
        <v>28198</v>
      </c>
      <c r="G5219" t="s">
        <v>28207</v>
      </c>
      <c r="H5219" t="s">
        <v>28215</v>
      </c>
      <c r="I5219" t="s">
        <v>5656</v>
      </c>
      <c r="J5219" t="s">
        <v>31649</v>
      </c>
      <c r="K5219" t="s">
        <v>36693</v>
      </c>
      <c r="M5219" t="s">
        <v>37999</v>
      </c>
      <c r="N5219" t="s">
        <v>40436</v>
      </c>
      <c r="O5219" t="s">
        <v>40437</v>
      </c>
      <c r="P5219">
        <v>0</v>
      </c>
      <c r="Q5219">
        <v>0</v>
      </c>
      <c r="R5219" t="s">
        <v>40440</v>
      </c>
      <c r="S5219" t="s">
        <v>40603</v>
      </c>
      <c r="T5219" t="s">
        <v>42184</v>
      </c>
      <c r="U5219" t="s">
        <v>47058</v>
      </c>
      <c r="V5219" t="s">
        <v>53932</v>
      </c>
      <c r="W5219" t="s">
        <v>37999</v>
      </c>
      <c r="X5219" t="s">
        <v>40442</v>
      </c>
    </row>
    <row r="5220" spans="1:24">
      <c r="A5220">
        <f>HYPERLINK("https://www.philgeps.gov.ph/GEPSNONPILOT/Tender/SplashBidNoticeAbstractUI.aspx?menuIndex=3&amp;refID=7043779&amp;Result=3","7043779")</f>
        <v>0</v>
      </c>
      <c r="B5220" t="s">
        <v>1745</v>
      </c>
      <c r="C5220" t="s">
        <v>8053</v>
      </c>
      <c r="D5220" t="s">
        <v>16262</v>
      </c>
      <c r="E5220" t="s">
        <v>20915</v>
      </c>
      <c r="F5220" t="s">
        <v>28198</v>
      </c>
      <c r="G5220" t="s">
        <v>28205</v>
      </c>
      <c r="H5220" t="s">
        <v>28215</v>
      </c>
      <c r="I5220" t="s">
        <v>6051</v>
      </c>
      <c r="J5220" t="s">
        <v>31650</v>
      </c>
      <c r="K5220" t="s">
        <v>36694</v>
      </c>
      <c r="M5220" t="s">
        <v>38857</v>
      </c>
      <c r="N5220" t="s">
        <v>40436</v>
      </c>
      <c r="O5220" t="s">
        <v>40437</v>
      </c>
      <c r="P5220">
        <v>0</v>
      </c>
      <c r="Q5220">
        <v>0</v>
      </c>
      <c r="R5220" t="s">
        <v>40440</v>
      </c>
      <c r="S5220" t="s">
        <v>40603</v>
      </c>
      <c r="T5220" t="s">
        <v>42104</v>
      </c>
      <c r="U5220" t="s">
        <v>46994</v>
      </c>
      <c r="W5220" t="s">
        <v>38857</v>
      </c>
      <c r="X5220" t="s">
        <v>40442</v>
      </c>
    </row>
    <row r="5221" spans="1:24">
      <c r="A5221">
        <f>HYPERLINK("https://www.philgeps.gov.ph/GEPSNONPILOT/Tender/SplashBidNoticeAbstractUI.aspx?menuIndex=3&amp;refID=7043869&amp;Result=3","7043869")</f>
        <v>0</v>
      </c>
      <c r="B5221" t="s">
        <v>556</v>
      </c>
      <c r="C5221" t="s">
        <v>8054</v>
      </c>
      <c r="D5221" t="s">
        <v>16194</v>
      </c>
      <c r="E5221" t="s">
        <v>20916</v>
      </c>
      <c r="F5221" t="s">
        <v>28198</v>
      </c>
      <c r="G5221" t="s">
        <v>28207</v>
      </c>
      <c r="H5221" t="s">
        <v>28215</v>
      </c>
      <c r="I5221" t="s">
        <v>28224</v>
      </c>
      <c r="J5221" t="s">
        <v>31651</v>
      </c>
      <c r="K5221" t="s">
        <v>36691</v>
      </c>
      <c r="M5221" t="s">
        <v>38875</v>
      </c>
      <c r="N5221" t="s">
        <v>40436</v>
      </c>
      <c r="O5221" t="s">
        <v>40437</v>
      </c>
      <c r="P5221">
        <v>0</v>
      </c>
      <c r="Q5221">
        <v>3</v>
      </c>
      <c r="R5221" t="s">
        <v>40440</v>
      </c>
      <c r="S5221" t="s">
        <v>40603</v>
      </c>
      <c r="T5221" t="s">
        <v>42185</v>
      </c>
      <c r="U5221" t="s">
        <v>47059</v>
      </c>
      <c r="V5221" t="s">
        <v>54293</v>
      </c>
      <c r="W5221" t="s">
        <v>38875</v>
      </c>
      <c r="X5221" t="s">
        <v>40442</v>
      </c>
    </row>
    <row r="5222" spans="1:24">
      <c r="A5222">
        <f>HYPERLINK("https://www.philgeps.gov.ph/GEPSNONPILOT/Tender/SplashBidNoticeAbstractUI.aspx?menuIndex=3&amp;refID=7043839&amp;Result=3","7043839")</f>
        <v>0</v>
      </c>
      <c r="B5222" t="s">
        <v>754</v>
      </c>
      <c r="C5222" t="s">
        <v>8055</v>
      </c>
      <c r="D5222" t="s">
        <v>16266</v>
      </c>
      <c r="E5222" t="s">
        <v>20917</v>
      </c>
      <c r="F5222" t="s">
        <v>28198</v>
      </c>
      <c r="G5222" t="s">
        <v>28205</v>
      </c>
      <c r="H5222" t="s">
        <v>28214</v>
      </c>
      <c r="I5222" t="s">
        <v>3797</v>
      </c>
      <c r="J5222" t="s">
        <v>31652</v>
      </c>
      <c r="K5222" t="s">
        <v>36707</v>
      </c>
      <c r="M5222" t="s">
        <v>37757</v>
      </c>
      <c r="N5222" t="s">
        <v>40436</v>
      </c>
      <c r="O5222" t="s">
        <v>40437</v>
      </c>
      <c r="P5222">
        <v>0</v>
      </c>
      <c r="Q5222">
        <v>0</v>
      </c>
      <c r="R5222" t="s">
        <v>40440</v>
      </c>
      <c r="S5222" t="s">
        <v>40603</v>
      </c>
      <c r="T5222" t="s">
        <v>42108</v>
      </c>
      <c r="U5222" t="s">
        <v>47060</v>
      </c>
      <c r="W5222" t="s">
        <v>37757</v>
      </c>
      <c r="X5222" t="s">
        <v>40442</v>
      </c>
    </row>
    <row r="5223" spans="1:24">
      <c r="A5223">
        <f>HYPERLINK("https://www.philgeps.gov.ph/GEPSNONPILOT/Tender/SplashBidNoticeAbstractUI.aspx?menuIndex=3&amp;refID=7043780&amp;Result=3","7043780")</f>
        <v>0</v>
      </c>
      <c r="B5223" t="s">
        <v>1745</v>
      </c>
      <c r="C5223" t="s">
        <v>8056</v>
      </c>
      <c r="D5223" t="s">
        <v>16262</v>
      </c>
      <c r="E5223" t="s">
        <v>20918</v>
      </c>
      <c r="F5223" t="s">
        <v>28198</v>
      </c>
      <c r="G5223" t="s">
        <v>28205</v>
      </c>
      <c r="H5223" t="s">
        <v>28215</v>
      </c>
      <c r="I5223" t="s">
        <v>6051</v>
      </c>
      <c r="J5223" t="s">
        <v>31653</v>
      </c>
      <c r="K5223" t="s">
        <v>36694</v>
      </c>
      <c r="M5223" t="s">
        <v>38857</v>
      </c>
      <c r="N5223" t="s">
        <v>40436</v>
      </c>
      <c r="O5223" t="s">
        <v>40437</v>
      </c>
      <c r="P5223">
        <v>0</v>
      </c>
      <c r="Q5223">
        <v>0</v>
      </c>
      <c r="R5223" t="s">
        <v>40440</v>
      </c>
      <c r="S5223" t="s">
        <v>40603</v>
      </c>
      <c r="T5223" t="s">
        <v>42104</v>
      </c>
      <c r="U5223" t="s">
        <v>47039</v>
      </c>
      <c r="W5223" t="s">
        <v>38857</v>
      </c>
      <c r="X5223" t="s">
        <v>40442</v>
      </c>
    </row>
    <row r="5224" spans="1:24">
      <c r="A5224">
        <f>HYPERLINK("https://www.philgeps.gov.ph/GEPSNONPILOT/Tender/SplashBidNoticeAbstractUI.aspx?menuIndex=3&amp;refID=7043863&amp;Result=3","7043863")</f>
        <v>0</v>
      </c>
      <c r="B5224" t="s">
        <v>1748</v>
      </c>
      <c r="C5224" t="s">
        <v>3822</v>
      </c>
      <c r="E5224" t="s">
        <v>20861</v>
      </c>
      <c r="F5224" t="s">
        <v>28198</v>
      </c>
      <c r="G5224" t="s">
        <v>28207</v>
      </c>
      <c r="H5224" t="s">
        <v>28215</v>
      </c>
      <c r="I5224" t="s">
        <v>5082</v>
      </c>
      <c r="J5224" t="s">
        <v>31654</v>
      </c>
      <c r="K5224" t="s">
        <v>36689</v>
      </c>
      <c r="M5224" t="s">
        <v>38860</v>
      </c>
      <c r="N5224" t="s">
        <v>40436</v>
      </c>
      <c r="O5224" t="s">
        <v>40437</v>
      </c>
      <c r="P5224">
        <v>0</v>
      </c>
      <c r="Q5224">
        <v>0</v>
      </c>
      <c r="R5224" t="s">
        <v>40440</v>
      </c>
      <c r="S5224" t="s">
        <v>40603</v>
      </c>
      <c r="T5224" t="s">
        <v>42158</v>
      </c>
      <c r="U5224" t="s">
        <v>43855</v>
      </c>
      <c r="W5224" t="s">
        <v>38860</v>
      </c>
      <c r="X5224" t="s">
        <v>40442</v>
      </c>
    </row>
    <row r="5225" spans="1:24">
      <c r="A5225">
        <f>HYPERLINK("https://www.philgeps.gov.ph/GEPSNONPILOT/Tender/SplashBidNoticeAbstractUI.aspx?menuIndex=3&amp;refID=7043871&amp;Result=3","7043871")</f>
        <v>0</v>
      </c>
      <c r="B5225" t="s">
        <v>1762</v>
      </c>
      <c r="C5225" t="s">
        <v>8057</v>
      </c>
      <c r="D5225" t="s">
        <v>16217</v>
      </c>
      <c r="E5225" t="s">
        <v>20919</v>
      </c>
      <c r="F5225" t="s">
        <v>28198</v>
      </c>
      <c r="G5225" t="s">
        <v>28207</v>
      </c>
      <c r="H5225" t="s">
        <v>28215</v>
      </c>
      <c r="I5225" t="s">
        <v>3774</v>
      </c>
      <c r="J5225" t="s">
        <v>31655</v>
      </c>
      <c r="K5225" t="s">
        <v>36688</v>
      </c>
      <c r="M5225" t="s">
        <v>38876</v>
      </c>
      <c r="N5225" t="s">
        <v>40436</v>
      </c>
      <c r="O5225" t="s">
        <v>40437</v>
      </c>
      <c r="P5225">
        <v>0</v>
      </c>
      <c r="Q5225">
        <v>0</v>
      </c>
      <c r="R5225" t="s">
        <v>40440</v>
      </c>
      <c r="S5225" t="s">
        <v>40603</v>
      </c>
      <c r="T5225" t="s">
        <v>42297</v>
      </c>
      <c r="U5225" t="s">
        <v>47061</v>
      </c>
      <c r="W5225" t="s">
        <v>38876</v>
      </c>
      <c r="X5225" t="s">
        <v>40442</v>
      </c>
    </row>
    <row r="5226" spans="1:24">
      <c r="A5226">
        <f>HYPERLINK("https://www.philgeps.gov.ph/GEPSNONPILOT/Tender/SplashBidNoticeAbstractUI.aspx?menuIndex=3&amp;refID=7043867&amp;Result=3","7043867")</f>
        <v>0</v>
      </c>
      <c r="B5226" t="s">
        <v>1763</v>
      </c>
      <c r="C5226" t="s">
        <v>8058</v>
      </c>
      <c r="D5226" t="s">
        <v>16240</v>
      </c>
      <c r="E5226" t="s">
        <v>20920</v>
      </c>
      <c r="F5226" t="s">
        <v>28198</v>
      </c>
      <c r="G5226" t="s">
        <v>28205</v>
      </c>
      <c r="H5226" t="s">
        <v>28214</v>
      </c>
      <c r="I5226" t="s">
        <v>3797</v>
      </c>
      <c r="J5226" t="s">
        <v>31656</v>
      </c>
      <c r="K5226" t="s">
        <v>36750</v>
      </c>
      <c r="M5226" t="s">
        <v>38877</v>
      </c>
      <c r="N5226" t="s">
        <v>40436</v>
      </c>
      <c r="O5226" t="s">
        <v>40437</v>
      </c>
      <c r="P5226">
        <v>0</v>
      </c>
      <c r="Q5226">
        <v>0</v>
      </c>
      <c r="R5226" t="s">
        <v>40440</v>
      </c>
      <c r="S5226" t="s">
        <v>40603</v>
      </c>
      <c r="T5226" t="s">
        <v>42129</v>
      </c>
      <c r="U5226" t="s">
        <v>47062</v>
      </c>
      <c r="W5226" t="s">
        <v>38877</v>
      </c>
      <c r="X5226" t="s">
        <v>40442</v>
      </c>
    </row>
    <row r="5227" spans="1:24">
      <c r="A5227">
        <f>HYPERLINK("https://www.philgeps.gov.ph/GEPSNONPILOT/Tender/SplashBidNoticeAbstractUI.aspx?menuIndex=3&amp;refID=7043872&amp;Result=3","7043872")</f>
        <v>0</v>
      </c>
      <c r="B5227" t="s">
        <v>882</v>
      </c>
      <c r="C5227" t="s">
        <v>8059</v>
      </c>
      <c r="D5227" t="s">
        <v>16192</v>
      </c>
      <c r="E5227" t="s">
        <v>20921</v>
      </c>
      <c r="F5227" t="s">
        <v>28198</v>
      </c>
      <c r="G5227" t="s">
        <v>28209</v>
      </c>
      <c r="H5227" t="s">
        <v>28215</v>
      </c>
      <c r="I5227" t="s">
        <v>4219</v>
      </c>
      <c r="J5227" t="s">
        <v>31657</v>
      </c>
      <c r="K5227" t="s">
        <v>36707</v>
      </c>
      <c r="M5227" t="s">
        <v>37898</v>
      </c>
      <c r="N5227" t="s">
        <v>40436</v>
      </c>
      <c r="O5227" t="s">
        <v>40437</v>
      </c>
      <c r="P5227">
        <v>0</v>
      </c>
      <c r="Q5227">
        <v>4</v>
      </c>
      <c r="R5227" t="s">
        <v>40440</v>
      </c>
      <c r="S5227" t="s">
        <v>40603</v>
      </c>
      <c r="T5227" t="s">
        <v>42135</v>
      </c>
      <c r="U5227" t="s">
        <v>47063</v>
      </c>
      <c r="V5227" t="s">
        <v>54294</v>
      </c>
      <c r="W5227" t="s">
        <v>37898</v>
      </c>
      <c r="X5227" t="s">
        <v>40442</v>
      </c>
    </row>
    <row r="5228" spans="1:24">
      <c r="A5228">
        <f>HYPERLINK("https://www.philgeps.gov.ph/GEPSNONPILOT/Tender/SplashBidNoticeAbstractUI.aspx?menuIndex=3&amp;refID=7043847&amp;Result=3","7043847")</f>
        <v>0</v>
      </c>
      <c r="B5228" t="s">
        <v>935</v>
      </c>
      <c r="C5228" t="s">
        <v>8060</v>
      </c>
      <c r="D5228" t="s">
        <v>16210</v>
      </c>
      <c r="E5228" t="s">
        <v>20922</v>
      </c>
      <c r="F5228" t="s">
        <v>28198</v>
      </c>
      <c r="G5228" t="s">
        <v>28205</v>
      </c>
      <c r="H5228" t="s">
        <v>28215</v>
      </c>
      <c r="I5228" t="s">
        <v>28234</v>
      </c>
      <c r="J5228" t="s">
        <v>31658</v>
      </c>
      <c r="K5228" t="s">
        <v>36756</v>
      </c>
      <c r="M5228" t="s">
        <v>38878</v>
      </c>
      <c r="N5228" t="s">
        <v>40436</v>
      </c>
      <c r="O5228" t="s">
        <v>40437</v>
      </c>
      <c r="Q5228">
        <v>3</v>
      </c>
      <c r="R5228" t="s">
        <v>40440</v>
      </c>
      <c r="S5228" t="s">
        <v>40630</v>
      </c>
      <c r="T5228" t="s">
        <v>42311</v>
      </c>
      <c r="U5228" t="s">
        <v>47064</v>
      </c>
      <c r="V5228" t="s">
        <v>54295</v>
      </c>
      <c r="W5228" t="s">
        <v>38878</v>
      </c>
      <c r="X5228" t="s">
        <v>40442</v>
      </c>
    </row>
    <row r="5229" spans="1:24">
      <c r="A5229">
        <f>HYPERLINK("https://www.philgeps.gov.ph/GEPSNONPILOT/Tender/SplashBidNoticeAbstractUI.aspx?menuIndex=3&amp;refID=7043844&amp;Result=3","7043844")</f>
        <v>0</v>
      </c>
      <c r="B5229" t="s">
        <v>703</v>
      </c>
      <c r="C5229" t="s">
        <v>8061</v>
      </c>
      <c r="D5229" t="s">
        <v>16240</v>
      </c>
      <c r="E5229" t="s">
        <v>20923</v>
      </c>
      <c r="F5229" t="s">
        <v>28198</v>
      </c>
      <c r="G5229" t="s">
        <v>28205</v>
      </c>
      <c r="H5229" t="s">
        <v>28214</v>
      </c>
      <c r="I5229" t="s">
        <v>3797</v>
      </c>
      <c r="J5229" t="s">
        <v>28347</v>
      </c>
      <c r="K5229" t="s">
        <v>36694</v>
      </c>
      <c r="M5229" t="s">
        <v>37703</v>
      </c>
      <c r="N5229" t="s">
        <v>40436</v>
      </c>
      <c r="O5229" t="s">
        <v>40437</v>
      </c>
      <c r="P5229">
        <v>0</v>
      </c>
      <c r="Q5229">
        <v>0</v>
      </c>
      <c r="R5229" t="s">
        <v>40440</v>
      </c>
      <c r="S5229" t="s">
        <v>40603</v>
      </c>
      <c r="T5229" t="s">
        <v>42108</v>
      </c>
      <c r="U5229" t="s">
        <v>47065</v>
      </c>
      <c r="W5229" t="s">
        <v>37703</v>
      </c>
      <c r="X5229" t="s">
        <v>40442</v>
      </c>
    </row>
    <row r="5230" spans="1:24">
      <c r="A5230">
        <f>HYPERLINK("https://www.philgeps.gov.ph/GEPSNONPILOT/Tender/SplashBidNoticeAbstractUI.aspx?menuIndex=3&amp;refID=7043843&amp;Result=3","7043843")</f>
        <v>0</v>
      </c>
      <c r="B5230" t="s">
        <v>754</v>
      </c>
      <c r="C5230" t="s">
        <v>8062</v>
      </c>
      <c r="D5230" t="s">
        <v>16266</v>
      </c>
      <c r="E5230" t="s">
        <v>20924</v>
      </c>
      <c r="F5230" t="s">
        <v>28198</v>
      </c>
      <c r="G5230" t="s">
        <v>28205</v>
      </c>
      <c r="H5230" t="s">
        <v>28214</v>
      </c>
      <c r="I5230" t="s">
        <v>3797</v>
      </c>
      <c r="J5230" t="s">
        <v>31659</v>
      </c>
      <c r="K5230" t="s">
        <v>36694</v>
      </c>
      <c r="M5230" t="s">
        <v>37757</v>
      </c>
      <c r="N5230" t="s">
        <v>40436</v>
      </c>
      <c r="O5230" t="s">
        <v>40437</v>
      </c>
      <c r="P5230">
        <v>0</v>
      </c>
      <c r="Q5230">
        <v>0</v>
      </c>
      <c r="R5230" t="s">
        <v>40440</v>
      </c>
      <c r="S5230" t="s">
        <v>40603</v>
      </c>
      <c r="T5230" t="s">
        <v>42108</v>
      </c>
      <c r="U5230" t="s">
        <v>47066</v>
      </c>
      <c r="W5230" t="s">
        <v>37757</v>
      </c>
      <c r="X5230" t="s">
        <v>40442</v>
      </c>
    </row>
    <row r="5231" spans="1:24">
      <c r="A5231">
        <f>HYPERLINK("https://www.philgeps.gov.ph/GEPSNONPILOT/Tender/SplashBidNoticeAbstractUI.aspx?menuIndex=3&amp;refID=7043878&amp;Result=3","7043878")</f>
        <v>0</v>
      </c>
      <c r="B5231" t="s">
        <v>556</v>
      </c>
      <c r="C5231" t="s">
        <v>8063</v>
      </c>
      <c r="D5231" t="s">
        <v>16207</v>
      </c>
      <c r="E5231" t="s">
        <v>20925</v>
      </c>
      <c r="F5231" t="s">
        <v>28198</v>
      </c>
      <c r="G5231" t="s">
        <v>28207</v>
      </c>
      <c r="H5231" t="s">
        <v>28215</v>
      </c>
      <c r="I5231" t="s">
        <v>28224</v>
      </c>
      <c r="J5231" t="s">
        <v>31660</v>
      </c>
      <c r="K5231" t="s">
        <v>36691</v>
      </c>
      <c r="M5231" t="s">
        <v>38875</v>
      </c>
      <c r="N5231" t="s">
        <v>40436</v>
      </c>
      <c r="O5231" t="s">
        <v>40437</v>
      </c>
      <c r="P5231">
        <v>0</v>
      </c>
      <c r="Q5231">
        <v>3</v>
      </c>
      <c r="R5231" t="s">
        <v>40440</v>
      </c>
      <c r="S5231" t="s">
        <v>40603</v>
      </c>
      <c r="T5231" t="s">
        <v>42185</v>
      </c>
      <c r="U5231" t="s">
        <v>47067</v>
      </c>
      <c r="V5231" t="s">
        <v>54293</v>
      </c>
      <c r="W5231" t="s">
        <v>38875</v>
      </c>
      <c r="X5231" t="s">
        <v>40442</v>
      </c>
    </row>
    <row r="5232" spans="1:24">
      <c r="A5232">
        <f>HYPERLINK("https://www.philgeps.gov.ph/GEPSNONPILOT/Tender/SplashBidNoticeAbstractUI.aspx?menuIndex=3&amp;refID=7043846&amp;Result=3","7043846")</f>
        <v>0</v>
      </c>
      <c r="B5232" t="s">
        <v>703</v>
      </c>
      <c r="C5232" t="s">
        <v>8064</v>
      </c>
      <c r="D5232" t="s">
        <v>16240</v>
      </c>
      <c r="E5232" t="s">
        <v>20926</v>
      </c>
      <c r="F5232" t="s">
        <v>28198</v>
      </c>
      <c r="G5232" t="s">
        <v>28205</v>
      </c>
      <c r="H5232" t="s">
        <v>28214</v>
      </c>
      <c r="I5232" t="s">
        <v>3797</v>
      </c>
      <c r="J5232" t="s">
        <v>29331</v>
      </c>
      <c r="K5232" t="s">
        <v>36737</v>
      </c>
      <c r="M5232" t="s">
        <v>37703</v>
      </c>
      <c r="N5232" t="s">
        <v>40436</v>
      </c>
      <c r="O5232" t="s">
        <v>40437</v>
      </c>
      <c r="P5232">
        <v>0</v>
      </c>
      <c r="Q5232">
        <v>0</v>
      </c>
      <c r="R5232" t="s">
        <v>40440</v>
      </c>
      <c r="S5232" t="s">
        <v>40603</v>
      </c>
      <c r="T5232" t="s">
        <v>42108</v>
      </c>
      <c r="U5232" t="s">
        <v>47068</v>
      </c>
      <c r="W5232" t="s">
        <v>37703</v>
      </c>
      <c r="X5232" t="s">
        <v>40442</v>
      </c>
    </row>
    <row r="5233" spans="1:24">
      <c r="A5233">
        <f>HYPERLINK("https://www.philgeps.gov.ph/GEPSNONPILOT/Tender/SplashBidNoticeAbstractUI.aspx?menuIndex=3&amp;refID=7043876&amp;Result=3","7043876")</f>
        <v>0</v>
      </c>
      <c r="B5233" t="s">
        <v>1764</v>
      </c>
      <c r="C5233" t="s">
        <v>8065</v>
      </c>
      <c r="D5233" t="s">
        <v>16190</v>
      </c>
      <c r="E5233" t="s">
        <v>20927</v>
      </c>
      <c r="F5233" t="s">
        <v>28198</v>
      </c>
      <c r="G5233" t="s">
        <v>28207</v>
      </c>
      <c r="H5233" t="s">
        <v>28215</v>
      </c>
      <c r="I5233" t="s">
        <v>5082</v>
      </c>
      <c r="J5233" t="s">
        <v>31661</v>
      </c>
      <c r="K5233" t="s">
        <v>36688</v>
      </c>
      <c r="M5233" t="s">
        <v>38879</v>
      </c>
      <c r="N5233" t="s">
        <v>40436</v>
      </c>
      <c r="O5233" t="s">
        <v>40437</v>
      </c>
      <c r="P5233">
        <v>0</v>
      </c>
      <c r="Q5233">
        <v>0</v>
      </c>
      <c r="R5233" t="s">
        <v>40440</v>
      </c>
      <c r="S5233" t="s">
        <v>40603</v>
      </c>
      <c r="T5233" t="s">
        <v>42245</v>
      </c>
      <c r="U5233" t="s">
        <v>47069</v>
      </c>
      <c r="W5233" t="s">
        <v>38879</v>
      </c>
      <c r="X5233" t="s">
        <v>40442</v>
      </c>
    </row>
    <row r="5234" spans="1:24">
      <c r="A5234">
        <f>HYPERLINK("https://www.philgeps.gov.ph/GEPSNONPILOT/Tender/SplashBidNoticeAbstractUI.aspx?menuIndex=3&amp;refID=7043877&amp;Result=3","7043877")</f>
        <v>0</v>
      </c>
      <c r="B5234" t="s">
        <v>1762</v>
      </c>
      <c r="C5234" t="s">
        <v>8066</v>
      </c>
      <c r="D5234" t="s">
        <v>16217</v>
      </c>
      <c r="E5234" t="s">
        <v>20928</v>
      </c>
      <c r="F5234" t="s">
        <v>28198</v>
      </c>
      <c r="G5234" t="s">
        <v>28207</v>
      </c>
      <c r="H5234" t="s">
        <v>28215</v>
      </c>
      <c r="I5234" t="s">
        <v>3774</v>
      </c>
      <c r="J5234" t="s">
        <v>31662</v>
      </c>
      <c r="K5234" t="s">
        <v>36688</v>
      </c>
      <c r="M5234" t="s">
        <v>38876</v>
      </c>
      <c r="N5234" t="s">
        <v>40436</v>
      </c>
      <c r="O5234" t="s">
        <v>40437</v>
      </c>
      <c r="P5234">
        <v>0</v>
      </c>
      <c r="Q5234">
        <v>0</v>
      </c>
      <c r="R5234" t="s">
        <v>40440</v>
      </c>
      <c r="S5234" t="s">
        <v>40603</v>
      </c>
      <c r="T5234" t="s">
        <v>42297</v>
      </c>
      <c r="U5234" t="s">
        <v>47061</v>
      </c>
      <c r="W5234" t="s">
        <v>38876</v>
      </c>
      <c r="X5234" t="s">
        <v>40442</v>
      </c>
    </row>
    <row r="5235" spans="1:24">
      <c r="A5235">
        <f>HYPERLINK("https://www.philgeps.gov.ph/GEPSNONPILOT/Tender/SplashBidNoticeAbstractUI.aspx?menuIndex=3&amp;refID=7043848&amp;Result=3","7043848")</f>
        <v>0</v>
      </c>
      <c r="B5235" t="s">
        <v>1765</v>
      </c>
      <c r="C5235" t="s">
        <v>8067</v>
      </c>
      <c r="E5235" t="s">
        <v>20929</v>
      </c>
      <c r="F5235" t="s">
        <v>28200</v>
      </c>
      <c r="G5235" t="s">
        <v>28207</v>
      </c>
      <c r="H5235" t="s">
        <v>28215</v>
      </c>
      <c r="I5235" t="s">
        <v>4168</v>
      </c>
      <c r="J5235" t="s">
        <v>30448</v>
      </c>
      <c r="K5235" t="s">
        <v>36693</v>
      </c>
      <c r="M5235" t="s">
        <v>38880</v>
      </c>
      <c r="N5235" t="s">
        <v>40436</v>
      </c>
      <c r="O5235" t="s">
        <v>40437</v>
      </c>
      <c r="P5235">
        <v>0</v>
      </c>
      <c r="Q5235">
        <v>2</v>
      </c>
      <c r="R5235" t="s">
        <v>40440</v>
      </c>
      <c r="S5235" t="s">
        <v>40603</v>
      </c>
      <c r="T5235" t="s">
        <v>42111</v>
      </c>
      <c r="U5235" t="s">
        <v>47070</v>
      </c>
      <c r="W5235" t="s">
        <v>38880</v>
      </c>
      <c r="X5235" t="s">
        <v>40442</v>
      </c>
    </row>
    <row r="5236" spans="1:24">
      <c r="A5236">
        <f>HYPERLINK("https://www.philgeps.gov.ph/GEPSNONPILOT/Tender/SplashBidNoticeAbstractUI.aspx?menuIndex=3&amp;refID=7043874&amp;Result=3","7043874")</f>
        <v>0</v>
      </c>
      <c r="B5236" t="s">
        <v>556</v>
      </c>
      <c r="C5236" t="s">
        <v>8068</v>
      </c>
      <c r="D5236" t="s">
        <v>16241</v>
      </c>
      <c r="E5236" t="s">
        <v>20930</v>
      </c>
      <c r="F5236" t="s">
        <v>28198</v>
      </c>
      <c r="G5236" t="s">
        <v>28207</v>
      </c>
      <c r="H5236" t="s">
        <v>28215</v>
      </c>
      <c r="I5236" t="s">
        <v>4168</v>
      </c>
      <c r="J5236" t="s">
        <v>31663</v>
      </c>
      <c r="K5236" t="s">
        <v>36688</v>
      </c>
      <c r="M5236" t="s">
        <v>38875</v>
      </c>
      <c r="N5236" t="s">
        <v>40436</v>
      </c>
      <c r="O5236" t="s">
        <v>40437</v>
      </c>
      <c r="P5236">
        <v>0</v>
      </c>
      <c r="Q5236">
        <v>4</v>
      </c>
      <c r="R5236" t="s">
        <v>40440</v>
      </c>
      <c r="S5236" t="s">
        <v>40603</v>
      </c>
      <c r="T5236" t="s">
        <v>42185</v>
      </c>
      <c r="U5236" t="s">
        <v>47071</v>
      </c>
      <c r="V5236" t="s">
        <v>54293</v>
      </c>
      <c r="W5236" t="s">
        <v>38875</v>
      </c>
      <c r="X5236" t="s">
        <v>40442</v>
      </c>
    </row>
    <row r="5237" spans="1:24">
      <c r="A5237">
        <f>HYPERLINK("https://www.philgeps.gov.ph/GEPSNONPILOT/Tender/SplashBidNoticeAbstractUI.aspx?menuIndex=3&amp;refID=7043880&amp;Result=3","7043880")</f>
        <v>0</v>
      </c>
      <c r="B5237" t="s">
        <v>556</v>
      </c>
      <c r="C5237" t="s">
        <v>8069</v>
      </c>
      <c r="D5237" t="s">
        <v>16194</v>
      </c>
      <c r="E5237" t="s">
        <v>20931</v>
      </c>
      <c r="F5237" t="s">
        <v>28198</v>
      </c>
      <c r="G5237" t="s">
        <v>28207</v>
      </c>
      <c r="H5237" t="s">
        <v>28215</v>
      </c>
      <c r="I5237" t="s">
        <v>28224</v>
      </c>
      <c r="J5237" t="s">
        <v>31664</v>
      </c>
      <c r="K5237" t="s">
        <v>36691</v>
      </c>
      <c r="M5237" t="s">
        <v>38875</v>
      </c>
      <c r="N5237" t="s">
        <v>40436</v>
      </c>
      <c r="O5237" t="s">
        <v>40437</v>
      </c>
      <c r="P5237">
        <v>0</v>
      </c>
      <c r="Q5237">
        <v>4</v>
      </c>
      <c r="R5237" t="s">
        <v>40440</v>
      </c>
      <c r="S5237" t="s">
        <v>40603</v>
      </c>
      <c r="T5237" t="s">
        <v>42185</v>
      </c>
      <c r="U5237" t="s">
        <v>47072</v>
      </c>
      <c r="V5237" t="s">
        <v>54293</v>
      </c>
      <c r="W5237" t="s">
        <v>38875</v>
      </c>
      <c r="X5237" t="s">
        <v>40442</v>
      </c>
    </row>
    <row r="5238" spans="1:24">
      <c r="A5238">
        <f>HYPERLINK("https://www.philgeps.gov.ph/GEPSNONPILOT/Tender/SplashBidNoticeAbstractUI.aspx?menuIndex=3&amp;refID=7043852&amp;Result=3","7043852")</f>
        <v>0</v>
      </c>
      <c r="B5238" t="s">
        <v>973</v>
      </c>
      <c r="C5238" t="s">
        <v>8070</v>
      </c>
      <c r="D5238" t="s">
        <v>16230</v>
      </c>
      <c r="E5238" t="s">
        <v>20410</v>
      </c>
      <c r="F5238" t="s">
        <v>28198</v>
      </c>
      <c r="G5238" t="s">
        <v>28207</v>
      </c>
      <c r="H5238" t="s">
        <v>28215</v>
      </c>
      <c r="I5238" t="s">
        <v>5656</v>
      </c>
      <c r="J5238" t="s">
        <v>31665</v>
      </c>
      <c r="K5238" t="s">
        <v>36693</v>
      </c>
      <c r="M5238" t="s">
        <v>37999</v>
      </c>
      <c r="N5238" t="s">
        <v>40436</v>
      </c>
      <c r="O5238" t="s">
        <v>40437</v>
      </c>
      <c r="P5238">
        <v>0</v>
      </c>
      <c r="Q5238">
        <v>0</v>
      </c>
      <c r="R5238" t="s">
        <v>40440</v>
      </c>
      <c r="S5238" t="s">
        <v>40603</v>
      </c>
      <c r="T5238" t="s">
        <v>42350</v>
      </c>
      <c r="U5238" t="s">
        <v>47073</v>
      </c>
      <c r="V5238" t="s">
        <v>54296</v>
      </c>
      <c r="W5238" t="s">
        <v>37999</v>
      </c>
      <c r="X5238" t="s">
        <v>40442</v>
      </c>
    </row>
    <row r="5239" spans="1:24">
      <c r="A5239">
        <f>HYPERLINK("https://www.philgeps.gov.ph/GEPSNONPILOT/Tender/SplashBidNoticeAbstractUI.aspx?menuIndex=3&amp;refID=7043875&amp;Result=3","7043875")</f>
        <v>0</v>
      </c>
      <c r="B5239" t="s">
        <v>556</v>
      </c>
      <c r="C5239" t="s">
        <v>8071</v>
      </c>
      <c r="D5239" t="s">
        <v>16241</v>
      </c>
      <c r="E5239" t="s">
        <v>20932</v>
      </c>
      <c r="F5239" t="s">
        <v>28198</v>
      </c>
      <c r="G5239" t="s">
        <v>28207</v>
      </c>
      <c r="H5239" t="s">
        <v>28215</v>
      </c>
      <c r="I5239" t="s">
        <v>4200</v>
      </c>
      <c r="J5239" t="s">
        <v>28362</v>
      </c>
      <c r="K5239" t="s">
        <v>36691</v>
      </c>
      <c r="M5239" t="s">
        <v>38875</v>
      </c>
      <c r="N5239" t="s">
        <v>40436</v>
      </c>
      <c r="O5239" t="s">
        <v>40437</v>
      </c>
      <c r="P5239">
        <v>0</v>
      </c>
      <c r="Q5239">
        <v>3</v>
      </c>
      <c r="R5239" t="s">
        <v>40440</v>
      </c>
      <c r="S5239" t="s">
        <v>40603</v>
      </c>
      <c r="T5239" t="s">
        <v>42185</v>
      </c>
      <c r="U5239" t="s">
        <v>47074</v>
      </c>
      <c r="V5239" t="s">
        <v>54293</v>
      </c>
      <c r="W5239" t="s">
        <v>38875</v>
      </c>
      <c r="X5239" t="s">
        <v>40442</v>
      </c>
    </row>
    <row r="5240" spans="1:24">
      <c r="A5240">
        <f>HYPERLINK("https://www.philgeps.gov.ph/GEPSNONPILOT/Tender/SplashBidNoticeAbstractUI.aspx?menuIndex=3&amp;refID=7043888&amp;Result=3","7043888")</f>
        <v>0</v>
      </c>
      <c r="B5240" t="s">
        <v>664</v>
      </c>
      <c r="C5240" t="s">
        <v>8072</v>
      </c>
      <c r="D5240" t="s">
        <v>16260</v>
      </c>
      <c r="E5240" t="s">
        <v>20933</v>
      </c>
      <c r="F5240" t="s">
        <v>28198</v>
      </c>
      <c r="G5240" t="s">
        <v>28205</v>
      </c>
      <c r="H5240" t="s">
        <v>28214</v>
      </c>
      <c r="I5240" t="s">
        <v>3797</v>
      </c>
      <c r="J5240" t="s">
        <v>31666</v>
      </c>
      <c r="K5240" t="s">
        <v>36714</v>
      </c>
      <c r="M5240" t="s">
        <v>38770</v>
      </c>
      <c r="N5240" t="s">
        <v>40436</v>
      </c>
      <c r="O5240" t="s">
        <v>40437</v>
      </c>
      <c r="P5240">
        <v>0</v>
      </c>
      <c r="Q5240">
        <v>0</v>
      </c>
      <c r="R5240" t="s">
        <v>40440</v>
      </c>
      <c r="S5240" t="s">
        <v>40603</v>
      </c>
      <c r="T5240" t="s">
        <v>42259</v>
      </c>
      <c r="U5240" t="s">
        <v>46684</v>
      </c>
      <c r="W5240" t="s">
        <v>38770</v>
      </c>
      <c r="X5240" t="s">
        <v>40442</v>
      </c>
    </row>
    <row r="5241" spans="1:24">
      <c r="A5241">
        <f>HYPERLINK("https://www.philgeps.gov.ph/GEPSNONPILOT/Tender/SplashBidNoticeAbstractUI.aspx?menuIndex=3&amp;refID=7043860&amp;Result=3","7043860")</f>
        <v>0</v>
      </c>
      <c r="B5241" t="s">
        <v>1748</v>
      </c>
      <c r="C5241" t="s">
        <v>7996</v>
      </c>
      <c r="E5241" t="s">
        <v>20861</v>
      </c>
      <c r="F5241" t="s">
        <v>28198</v>
      </c>
      <c r="G5241" t="s">
        <v>28207</v>
      </c>
      <c r="H5241" t="s">
        <v>28215</v>
      </c>
      <c r="I5241" t="s">
        <v>4219</v>
      </c>
      <c r="J5241" t="s">
        <v>31667</v>
      </c>
      <c r="K5241" t="s">
        <v>36689</v>
      </c>
      <c r="M5241" t="s">
        <v>38860</v>
      </c>
      <c r="N5241" t="s">
        <v>40436</v>
      </c>
      <c r="O5241" t="s">
        <v>40437</v>
      </c>
      <c r="P5241">
        <v>0</v>
      </c>
      <c r="Q5241">
        <v>0</v>
      </c>
      <c r="R5241" t="s">
        <v>40440</v>
      </c>
      <c r="S5241" t="s">
        <v>40603</v>
      </c>
      <c r="T5241" t="s">
        <v>42121</v>
      </c>
      <c r="U5241" t="s">
        <v>47016</v>
      </c>
      <c r="W5241" t="s">
        <v>38860</v>
      </c>
      <c r="X5241" t="s">
        <v>40442</v>
      </c>
    </row>
    <row r="5242" spans="1:24">
      <c r="A5242">
        <f>HYPERLINK("https://www.philgeps.gov.ph/GEPSNONPILOT/Tender/SplashBidNoticeAbstractUI.aspx?menuIndex=3&amp;refID=7043920&amp;Result=3","7043920")</f>
        <v>0</v>
      </c>
      <c r="B5242" t="s">
        <v>1766</v>
      </c>
      <c r="C5242" t="s">
        <v>8073</v>
      </c>
      <c r="D5242" t="s">
        <v>16203</v>
      </c>
      <c r="E5242" t="s">
        <v>20934</v>
      </c>
      <c r="F5242" t="s">
        <v>28198</v>
      </c>
      <c r="G5242" t="s">
        <v>28207</v>
      </c>
      <c r="H5242" t="s">
        <v>28215</v>
      </c>
      <c r="I5242" t="s">
        <v>28238</v>
      </c>
      <c r="J5242" t="s">
        <v>31668</v>
      </c>
      <c r="K5242" t="s">
        <v>36694</v>
      </c>
      <c r="M5242" t="s">
        <v>38881</v>
      </c>
      <c r="N5242" t="s">
        <v>40436</v>
      </c>
      <c r="O5242" t="s">
        <v>40437</v>
      </c>
      <c r="P5242">
        <v>0</v>
      </c>
      <c r="Q5242">
        <v>3</v>
      </c>
      <c r="R5242" t="s">
        <v>40440</v>
      </c>
      <c r="S5242" t="s">
        <v>40603</v>
      </c>
      <c r="T5242" t="s">
        <v>42184</v>
      </c>
      <c r="U5242" t="s">
        <v>47075</v>
      </c>
      <c r="W5242" t="s">
        <v>38881</v>
      </c>
      <c r="X5242" t="s">
        <v>40441</v>
      </c>
    </row>
    <row r="5243" spans="1:24">
      <c r="A5243">
        <f>HYPERLINK("https://www.philgeps.gov.ph/GEPSNONPILOT/Tender/SplashBidNoticeAbstractUI.aspx?menuIndex=3&amp;refID=7043886&amp;Result=3","7043886")</f>
        <v>0</v>
      </c>
      <c r="B5243" t="s">
        <v>556</v>
      </c>
      <c r="C5243" t="s">
        <v>8074</v>
      </c>
      <c r="D5243" t="s">
        <v>16241</v>
      </c>
      <c r="E5243" t="s">
        <v>20935</v>
      </c>
      <c r="F5243" t="s">
        <v>28198</v>
      </c>
      <c r="G5243" t="s">
        <v>28207</v>
      </c>
      <c r="H5243" t="s">
        <v>28215</v>
      </c>
      <c r="I5243" t="s">
        <v>4200</v>
      </c>
      <c r="J5243" t="s">
        <v>31669</v>
      </c>
      <c r="K5243" t="s">
        <v>36688</v>
      </c>
      <c r="M5243" t="s">
        <v>38875</v>
      </c>
      <c r="N5243" t="s">
        <v>40436</v>
      </c>
      <c r="O5243" t="s">
        <v>40437</v>
      </c>
      <c r="P5243">
        <v>0</v>
      </c>
      <c r="Q5243">
        <v>4</v>
      </c>
      <c r="R5243" t="s">
        <v>40440</v>
      </c>
      <c r="S5243" t="s">
        <v>40603</v>
      </c>
      <c r="T5243" t="s">
        <v>42185</v>
      </c>
      <c r="U5243" t="s">
        <v>47076</v>
      </c>
      <c r="V5243" t="s">
        <v>54293</v>
      </c>
      <c r="W5243" t="s">
        <v>38875</v>
      </c>
      <c r="X5243" t="s">
        <v>40442</v>
      </c>
    </row>
    <row r="5244" spans="1:24">
      <c r="A5244">
        <f>HYPERLINK("https://www.philgeps.gov.ph/GEPSNONPILOT/Tender/SplashBidNoticeAbstractUI.aspx?menuIndex=3&amp;refID=7043853&amp;Result=3","7043853")</f>
        <v>0</v>
      </c>
      <c r="B5244" t="s">
        <v>935</v>
      </c>
      <c r="C5244" t="s">
        <v>8075</v>
      </c>
      <c r="D5244" t="s">
        <v>16210</v>
      </c>
      <c r="E5244" t="s">
        <v>20936</v>
      </c>
      <c r="F5244" t="s">
        <v>28198</v>
      </c>
      <c r="G5244" t="s">
        <v>28205</v>
      </c>
      <c r="H5244" t="s">
        <v>28215</v>
      </c>
      <c r="I5244" t="s">
        <v>28234</v>
      </c>
      <c r="J5244" t="s">
        <v>31670</v>
      </c>
      <c r="K5244" t="s">
        <v>36756</v>
      </c>
      <c r="M5244" t="s">
        <v>38878</v>
      </c>
      <c r="N5244" t="s">
        <v>40436</v>
      </c>
      <c r="O5244" t="s">
        <v>40437</v>
      </c>
      <c r="Q5244">
        <v>4</v>
      </c>
      <c r="R5244" t="s">
        <v>40440</v>
      </c>
      <c r="S5244" t="s">
        <v>40631</v>
      </c>
      <c r="T5244" t="s">
        <v>42311</v>
      </c>
      <c r="U5244" t="s">
        <v>47064</v>
      </c>
      <c r="V5244" t="s">
        <v>54297</v>
      </c>
      <c r="W5244" t="s">
        <v>38878</v>
      </c>
      <c r="X5244" t="s">
        <v>40442</v>
      </c>
    </row>
    <row r="5245" spans="1:24">
      <c r="A5245">
        <f>HYPERLINK("https://www.philgeps.gov.ph/GEPSNONPILOT/Tender/SplashBidNoticeAbstractUI.aspx?menuIndex=3&amp;refID=7043919&amp;Result=3","7043919")</f>
        <v>0</v>
      </c>
      <c r="B5245" t="s">
        <v>1767</v>
      </c>
      <c r="C5245" t="s">
        <v>8076</v>
      </c>
      <c r="D5245" t="s">
        <v>16266</v>
      </c>
      <c r="E5245" t="s">
        <v>20937</v>
      </c>
      <c r="F5245" t="s">
        <v>28198</v>
      </c>
      <c r="G5245" t="s">
        <v>28207</v>
      </c>
      <c r="H5245" t="s">
        <v>28215</v>
      </c>
      <c r="I5245" t="s">
        <v>7310</v>
      </c>
      <c r="J5245" t="s">
        <v>31671</v>
      </c>
      <c r="K5245" t="s">
        <v>36698</v>
      </c>
      <c r="M5245" t="s">
        <v>38882</v>
      </c>
      <c r="N5245" t="s">
        <v>40436</v>
      </c>
      <c r="O5245" t="s">
        <v>40437</v>
      </c>
      <c r="P5245">
        <v>0</v>
      </c>
      <c r="Q5245">
        <v>2</v>
      </c>
      <c r="R5245" t="s">
        <v>40440</v>
      </c>
      <c r="S5245" t="s">
        <v>40603</v>
      </c>
      <c r="T5245" t="s">
        <v>42129</v>
      </c>
      <c r="U5245" t="s">
        <v>47077</v>
      </c>
      <c r="W5245" t="s">
        <v>38882</v>
      </c>
      <c r="X5245" t="s">
        <v>40441</v>
      </c>
    </row>
    <row r="5246" spans="1:24">
      <c r="A5246">
        <f>HYPERLINK("https://www.philgeps.gov.ph/GEPSNONPILOT/Tender/SplashBidNoticeAbstractUI.aspx?menuIndex=3&amp;refID=7043883&amp;Result=3","7043883")</f>
        <v>0</v>
      </c>
      <c r="B5246" t="s">
        <v>556</v>
      </c>
      <c r="C5246" t="s">
        <v>8077</v>
      </c>
      <c r="D5246" t="s">
        <v>16194</v>
      </c>
      <c r="E5246" t="s">
        <v>20938</v>
      </c>
      <c r="F5246" t="s">
        <v>28198</v>
      </c>
      <c r="G5246" t="s">
        <v>28207</v>
      </c>
      <c r="H5246" t="s">
        <v>28215</v>
      </c>
      <c r="I5246" t="s">
        <v>28224</v>
      </c>
      <c r="J5246" t="s">
        <v>28350</v>
      </c>
      <c r="K5246" t="s">
        <v>36691</v>
      </c>
      <c r="M5246" t="s">
        <v>38875</v>
      </c>
      <c r="N5246" t="s">
        <v>40436</v>
      </c>
      <c r="O5246" t="s">
        <v>40437</v>
      </c>
      <c r="P5246">
        <v>0</v>
      </c>
      <c r="Q5246">
        <v>4</v>
      </c>
      <c r="R5246" t="s">
        <v>40440</v>
      </c>
      <c r="S5246" t="s">
        <v>40603</v>
      </c>
      <c r="T5246" t="s">
        <v>42185</v>
      </c>
      <c r="U5246" t="s">
        <v>47078</v>
      </c>
      <c r="V5246" t="s">
        <v>54293</v>
      </c>
      <c r="W5246" t="s">
        <v>38875</v>
      </c>
      <c r="X5246" t="s">
        <v>40442</v>
      </c>
    </row>
    <row r="5247" spans="1:24">
      <c r="A5247">
        <f>HYPERLINK("https://www.philgeps.gov.ph/GEPSNONPILOT/Tender/SplashBidNoticeAbstractUI.aspx?menuIndex=3&amp;refID=7043889&amp;Result=3","7043889")</f>
        <v>0</v>
      </c>
      <c r="B5247" t="s">
        <v>1762</v>
      </c>
      <c r="C5247" t="s">
        <v>8078</v>
      </c>
      <c r="D5247" t="s">
        <v>16217</v>
      </c>
      <c r="E5247" t="s">
        <v>20939</v>
      </c>
      <c r="F5247" t="s">
        <v>28198</v>
      </c>
      <c r="G5247" t="s">
        <v>28207</v>
      </c>
      <c r="H5247" t="s">
        <v>28215</v>
      </c>
      <c r="I5247" t="s">
        <v>3774</v>
      </c>
      <c r="J5247" t="s">
        <v>31672</v>
      </c>
      <c r="K5247" t="s">
        <v>36688</v>
      </c>
      <c r="M5247" t="s">
        <v>38876</v>
      </c>
      <c r="N5247" t="s">
        <v>40436</v>
      </c>
      <c r="O5247" t="s">
        <v>40437</v>
      </c>
      <c r="P5247">
        <v>0</v>
      </c>
      <c r="Q5247">
        <v>0</v>
      </c>
      <c r="R5247" t="s">
        <v>40440</v>
      </c>
      <c r="S5247" t="s">
        <v>40603</v>
      </c>
      <c r="T5247" t="s">
        <v>42297</v>
      </c>
      <c r="U5247" t="s">
        <v>47079</v>
      </c>
      <c r="W5247" t="s">
        <v>38876</v>
      </c>
      <c r="X5247" t="s">
        <v>40442</v>
      </c>
    </row>
    <row r="5248" spans="1:24">
      <c r="A5248">
        <f>HYPERLINK("https://www.philgeps.gov.ph/GEPSNONPILOT/Tender/SplashBidNoticeAbstractUI.aspx?menuIndex=3&amp;refID=7043917&amp;Result=3","7043917")</f>
        <v>0</v>
      </c>
      <c r="B5248" t="s">
        <v>1768</v>
      </c>
      <c r="C5248" t="s">
        <v>8079</v>
      </c>
      <c r="D5248" t="s">
        <v>16233</v>
      </c>
      <c r="E5248" t="s">
        <v>20940</v>
      </c>
      <c r="F5248" t="s">
        <v>28198</v>
      </c>
      <c r="G5248" t="s">
        <v>28205</v>
      </c>
      <c r="H5248" t="s">
        <v>28214</v>
      </c>
      <c r="I5248" t="s">
        <v>3797</v>
      </c>
      <c r="J5248" t="s">
        <v>28730</v>
      </c>
      <c r="K5248" t="s">
        <v>36697</v>
      </c>
      <c r="M5248" t="s">
        <v>38883</v>
      </c>
      <c r="N5248" t="s">
        <v>40436</v>
      </c>
      <c r="O5248" t="s">
        <v>40437</v>
      </c>
      <c r="P5248">
        <v>0</v>
      </c>
      <c r="Q5248">
        <v>1</v>
      </c>
      <c r="R5248" t="s">
        <v>40440</v>
      </c>
      <c r="S5248" t="s">
        <v>40603</v>
      </c>
      <c r="T5248" t="s">
        <v>42104</v>
      </c>
      <c r="U5248" t="s">
        <v>47080</v>
      </c>
      <c r="W5248" t="s">
        <v>38883</v>
      </c>
      <c r="X5248" t="s">
        <v>40441</v>
      </c>
    </row>
    <row r="5249" spans="1:24">
      <c r="A5249">
        <f>HYPERLINK("https://www.philgeps.gov.ph/GEPSNONPILOT/Tender/SplashBidNoticeAbstractUI.aspx?menuIndex=3&amp;refID=7043884&amp;Result=3","7043884")</f>
        <v>0</v>
      </c>
      <c r="B5249" t="s">
        <v>556</v>
      </c>
      <c r="C5249" t="s">
        <v>8080</v>
      </c>
      <c r="D5249" t="s">
        <v>16241</v>
      </c>
      <c r="E5249" t="s">
        <v>20941</v>
      </c>
      <c r="F5249" t="s">
        <v>28198</v>
      </c>
      <c r="G5249" t="s">
        <v>28207</v>
      </c>
      <c r="H5249" t="s">
        <v>28214</v>
      </c>
      <c r="I5249" t="s">
        <v>8870</v>
      </c>
      <c r="J5249" t="s">
        <v>31673</v>
      </c>
      <c r="K5249" t="s">
        <v>36694</v>
      </c>
      <c r="M5249" t="s">
        <v>38875</v>
      </c>
      <c r="N5249" t="s">
        <v>40436</v>
      </c>
      <c r="O5249" t="s">
        <v>40437</v>
      </c>
      <c r="P5249">
        <v>0</v>
      </c>
      <c r="Q5249">
        <v>1</v>
      </c>
      <c r="R5249" t="s">
        <v>40440</v>
      </c>
      <c r="S5249" t="s">
        <v>40603</v>
      </c>
      <c r="T5249" t="s">
        <v>42185</v>
      </c>
      <c r="U5249" t="s">
        <v>47081</v>
      </c>
      <c r="V5249" t="s">
        <v>54293</v>
      </c>
      <c r="W5249" t="s">
        <v>38875</v>
      </c>
      <c r="X5249" t="s">
        <v>40442</v>
      </c>
    </row>
    <row r="5250" spans="1:24">
      <c r="A5250">
        <f>HYPERLINK("https://www.philgeps.gov.ph/GEPSNONPILOT/Tender/SplashBidNoticeAbstractUI.aspx?menuIndex=3&amp;refID=7043921&amp;Result=3","7043921")</f>
        <v>0</v>
      </c>
      <c r="B5250" t="s">
        <v>1769</v>
      </c>
      <c r="C5250" t="s">
        <v>8081</v>
      </c>
      <c r="D5250" t="s">
        <v>16187</v>
      </c>
      <c r="E5250" t="s">
        <v>16494</v>
      </c>
      <c r="F5250" t="s">
        <v>28198</v>
      </c>
      <c r="G5250" t="s">
        <v>28207</v>
      </c>
      <c r="H5250" t="s">
        <v>28215</v>
      </c>
      <c r="I5250" t="s">
        <v>28262</v>
      </c>
      <c r="J5250" t="s">
        <v>28530</v>
      </c>
      <c r="K5250" t="s">
        <v>36688</v>
      </c>
      <c r="M5250" t="s">
        <v>38884</v>
      </c>
      <c r="N5250" t="s">
        <v>40436</v>
      </c>
      <c r="O5250" t="s">
        <v>40437</v>
      </c>
      <c r="P5250">
        <v>0</v>
      </c>
      <c r="Q5250">
        <v>10</v>
      </c>
      <c r="R5250" t="s">
        <v>40440</v>
      </c>
      <c r="S5250" t="s">
        <v>40603</v>
      </c>
      <c r="T5250" t="s">
        <v>42245</v>
      </c>
      <c r="U5250" t="s">
        <v>47082</v>
      </c>
      <c r="V5250" t="s">
        <v>54298</v>
      </c>
      <c r="W5250" t="s">
        <v>38884</v>
      </c>
      <c r="X5250" t="s">
        <v>40441</v>
      </c>
    </row>
    <row r="5251" spans="1:24">
      <c r="A5251">
        <f>HYPERLINK("https://www.philgeps.gov.ph/GEPSNONPILOT/Tender/SplashBidNoticeAbstractUI.aspx?menuIndex=3&amp;refID=7043906&amp;Result=3","7043906")</f>
        <v>0</v>
      </c>
      <c r="B5251" t="s">
        <v>1770</v>
      </c>
      <c r="C5251" t="s">
        <v>8082</v>
      </c>
      <c r="D5251" t="s">
        <v>16197</v>
      </c>
      <c r="E5251" t="s">
        <v>20942</v>
      </c>
      <c r="F5251" t="s">
        <v>28198</v>
      </c>
      <c r="G5251" t="s">
        <v>28206</v>
      </c>
      <c r="H5251" t="s">
        <v>28215</v>
      </c>
      <c r="I5251" t="s">
        <v>5656</v>
      </c>
      <c r="J5251" t="s">
        <v>28404</v>
      </c>
      <c r="K5251" t="s">
        <v>36691</v>
      </c>
      <c r="M5251" t="s">
        <v>38885</v>
      </c>
      <c r="N5251" t="s">
        <v>40436</v>
      </c>
      <c r="O5251" t="s">
        <v>40437</v>
      </c>
      <c r="P5251">
        <v>0</v>
      </c>
      <c r="Q5251">
        <v>1</v>
      </c>
      <c r="R5251" t="s">
        <v>40440</v>
      </c>
      <c r="S5251" t="s">
        <v>40603</v>
      </c>
      <c r="T5251" t="s">
        <v>42350</v>
      </c>
      <c r="U5251" t="s">
        <v>47083</v>
      </c>
      <c r="V5251" t="s">
        <v>54299</v>
      </c>
      <c r="W5251" t="s">
        <v>38885</v>
      </c>
      <c r="X5251" t="s">
        <v>40442</v>
      </c>
    </row>
    <row r="5252" spans="1:24">
      <c r="A5252">
        <f>HYPERLINK("https://www.philgeps.gov.ph/GEPSNONPILOT/Tender/SplashBidNoticeAbstractUI.aspx?menuIndex=3&amp;refID=7043918&amp;Result=3","7043918")</f>
        <v>0</v>
      </c>
      <c r="B5252" t="s">
        <v>360</v>
      </c>
      <c r="C5252" t="s">
        <v>8083</v>
      </c>
      <c r="E5252" t="s">
        <v>20943</v>
      </c>
      <c r="F5252" t="s">
        <v>28198</v>
      </c>
      <c r="G5252" t="s">
        <v>28206</v>
      </c>
      <c r="H5252" t="s">
        <v>28215</v>
      </c>
      <c r="I5252" t="s">
        <v>4219</v>
      </c>
      <c r="J5252" t="s">
        <v>30819</v>
      </c>
      <c r="K5252" t="s">
        <v>36689</v>
      </c>
      <c r="M5252" t="s">
        <v>38886</v>
      </c>
      <c r="N5252" t="s">
        <v>40436</v>
      </c>
      <c r="O5252" t="s">
        <v>40437</v>
      </c>
      <c r="P5252">
        <v>0</v>
      </c>
      <c r="Q5252">
        <v>13</v>
      </c>
      <c r="R5252" t="s">
        <v>40440</v>
      </c>
      <c r="S5252" t="s">
        <v>40603</v>
      </c>
      <c r="T5252" t="s">
        <v>42205</v>
      </c>
      <c r="U5252" t="s">
        <v>43217</v>
      </c>
      <c r="W5252" t="s">
        <v>38886</v>
      </c>
      <c r="X5252" t="s">
        <v>40441</v>
      </c>
    </row>
    <row r="5253" spans="1:24">
      <c r="A5253">
        <f>HYPERLINK("https://www.philgeps.gov.ph/GEPSNONPILOT/Tender/SplashBidNoticeAbstractUI.aspx?menuIndex=3&amp;refID=7043931&amp;Result=3","7043931")</f>
        <v>0</v>
      </c>
      <c r="B5253" t="s">
        <v>1771</v>
      </c>
      <c r="C5253" t="s">
        <v>8084</v>
      </c>
      <c r="D5253" t="s">
        <v>16198</v>
      </c>
      <c r="E5253" t="s">
        <v>20944</v>
      </c>
      <c r="F5253" t="s">
        <v>28198</v>
      </c>
      <c r="G5253" t="s">
        <v>28205</v>
      </c>
      <c r="H5253" t="s">
        <v>28214</v>
      </c>
      <c r="I5253" t="s">
        <v>3797</v>
      </c>
      <c r="J5253" t="s">
        <v>31674</v>
      </c>
      <c r="K5253" t="s">
        <v>36692</v>
      </c>
      <c r="M5253" t="s">
        <v>38887</v>
      </c>
      <c r="N5253" t="s">
        <v>40436</v>
      </c>
      <c r="O5253" t="s">
        <v>40437</v>
      </c>
      <c r="P5253">
        <v>0</v>
      </c>
      <c r="Q5253">
        <v>12</v>
      </c>
      <c r="R5253" t="s">
        <v>40440</v>
      </c>
      <c r="S5253" t="s">
        <v>40603</v>
      </c>
      <c r="T5253" t="s">
        <v>42106</v>
      </c>
      <c r="U5253" t="s">
        <v>47084</v>
      </c>
      <c r="W5253" t="s">
        <v>38887</v>
      </c>
      <c r="X5253" t="s">
        <v>40441</v>
      </c>
    </row>
    <row r="5254" spans="1:24">
      <c r="A5254">
        <f>HYPERLINK("https://www.philgeps.gov.ph/GEPSNONPILOT/Tender/SplashBidNoticeAbstractUI.aspx?menuIndex=3&amp;refID=7043922&amp;Result=3","7043922")</f>
        <v>0</v>
      </c>
      <c r="B5254" t="s">
        <v>1766</v>
      </c>
      <c r="C5254" t="s">
        <v>8085</v>
      </c>
      <c r="D5254" t="s">
        <v>16265</v>
      </c>
      <c r="E5254" t="s">
        <v>20945</v>
      </c>
      <c r="F5254" t="s">
        <v>28198</v>
      </c>
      <c r="G5254" t="s">
        <v>28207</v>
      </c>
      <c r="H5254" t="s">
        <v>28215</v>
      </c>
      <c r="I5254" t="s">
        <v>28224</v>
      </c>
      <c r="J5254" t="s">
        <v>31675</v>
      </c>
      <c r="K5254" t="s">
        <v>36715</v>
      </c>
      <c r="M5254" t="s">
        <v>38881</v>
      </c>
      <c r="N5254" t="s">
        <v>40436</v>
      </c>
      <c r="O5254" t="s">
        <v>40437</v>
      </c>
      <c r="P5254">
        <v>0</v>
      </c>
      <c r="Q5254">
        <v>0</v>
      </c>
      <c r="R5254" t="s">
        <v>40440</v>
      </c>
      <c r="S5254" t="s">
        <v>40603</v>
      </c>
      <c r="T5254" t="s">
        <v>42184</v>
      </c>
      <c r="U5254" t="s">
        <v>47075</v>
      </c>
      <c r="W5254" t="s">
        <v>38881</v>
      </c>
      <c r="X5254" t="s">
        <v>40441</v>
      </c>
    </row>
    <row r="5255" spans="1:24">
      <c r="A5255">
        <f>HYPERLINK("https://www.philgeps.gov.ph/GEPSNONPILOT/Tender/SplashBidNoticeAbstractUI.aspx?menuIndex=3&amp;refID=7043928&amp;Result=3","7043928")</f>
        <v>0</v>
      </c>
      <c r="B5255" t="s">
        <v>1771</v>
      </c>
      <c r="C5255" t="s">
        <v>8086</v>
      </c>
      <c r="D5255" t="s">
        <v>16198</v>
      </c>
      <c r="E5255" t="s">
        <v>20944</v>
      </c>
      <c r="F5255" t="s">
        <v>28198</v>
      </c>
      <c r="G5255" t="s">
        <v>28205</v>
      </c>
      <c r="H5255" t="s">
        <v>28214</v>
      </c>
      <c r="I5255" t="s">
        <v>3797</v>
      </c>
      <c r="J5255" t="s">
        <v>31676</v>
      </c>
      <c r="K5255" t="s">
        <v>36692</v>
      </c>
      <c r="M5255" t="s">
        <v>38887</v>
      </c>
      <c r="N5255" t="s">
        <v>40436</v>
      </c>
      <c r="O5255" t="s">
        <v>40437</v>
      </c>
      <c r="P5255">
        <v>0</v>
      </c>
      <c r="Q5255">
        <v>14</v>
      </c>
      <c r="R5255" t="s">
        <v>40440</v>
      </c>
      <c r="S5255" t="s">
        <v>40603</v>
      </c>
      <c r="T5255" t="s">
        <v>42106</v>
      </c>
      <c r="U5255" t="s">
        <v>47084</v>
      </c>
      <c r="W5255" t="s">
        <v>38887</v>
      </c>
      <c r="X5255" t="s">
        <v>40441</v>
      </c>
    </row>
    <row r="5256" spans="1:24">
      <c r="A5256">
        <f>HYPERLINK("https://www.philgeps.gov.ph/GEPSNONPILOT/Tender/SplashBidNoticeAbstractUI.aspx?menuIndex=3&amp;refID=7043927&amp;Result=3","7043927")</f>
        <v>0</v>
      </c>
      <c r="B5256" t="s">
        <v>1771</v>
      </c>
      <c r="C5256" t="s">
        <v>8087</v>
      </c>
      <c r="D5256" t="s">
        <v>16198</v>
      </c>
      <c r="E5256" t="s">
        <v>20944</v>
      </c>
      <c r="F5256" t="s">
        <v>28198</v>
      </c>
      <c r="G5256" t="s">
        <v>28205</v>
      </c>
      <c r="H5256" t="s">
        <v>28214</v>
      </c>
      <c r="I5256" t="s">
        <v>3797</v>
      </c>
      <c r="J5256" t="s">
        <v>31677</v>
      </c>
      <c r="K5256" t="s">
        <v>36692</v>
      </c>
      <c r="M5256" t="s">
        <v>38887</v>
      </c>
      <c r="N5256" t="s">
        <v>40436</v>
      </c>
      <c r="O5256" t="s">
        <v>40437</v>
      </c>
      <c r="P5256">
        <v>0</v>
      </c>
      <c r="Q5256">
        <v>12</v>
      </c>
      <c r="R5256" t="s">
        <v>40440</v>
      </c>
      <c r="S5256" t="s">
        <v>40603</v>
      </c>
      <c r="T5256" t="s">
        <v>42106</v>
      </c>
      <c r="U5256" t="s">
        <v>47084</v>
      </c>
      <c r="W5256" t="s">
        <v>38887</v>
      </c>
      <c r="X5256" t="s">
        <v>40441</v>
      </c>
    </row>
    <row r="5257" spans="1:24">
      <c r="A5257">
        <f>HYPERLINK("https://www.philgeps.gov.ph/GEPSNONPILOT/Tender/SplashBidNoticeAbstractUI.aspx?menuIndex=3&amp;refID=7043923&amp;Result=3","7043923")</f>
        <v>0</v>
      </c>
      <c r="B5257" t="s">
        <v>1772</v>
      </c>
      <c r="C5257" t="s">
        <v>8088</v>
      </c>
      <c r="D5257" t="s">
        <v>16227</v>
      </c>
      <c r="E5257" t="s">
        <v>17633</v>
      </c>
      <c r="F5257" t="s">
        <v>28198</v>
      </c>
      <c r="G5257" t="s">
        <v>28207</v>
      </c>
      <c r="H5257" t="s">
        <v>28214</v>
      </c>
      <c r="I5257" t="s">
        <v>5100</v>
      </c>
      <c r="J5257" t="s">
        <v>31678</v>
      </c>
      <c r="K5257" t="s">
        <v>36701</v>
      </c>
      <c r="M5257" t="s">
        <v>38888</v>
      </c>
      <c r="N5257" t="s">
        <v>40436</v>
      </c>
      <c r="O5257" t="s">
        <v>40437</v>
      </c>
      <c r="P5257">
        <v>0</v>
      </c>
      <c r="Q5257">
        <v>1</v>
      </c>
      <c r="R5257" t="s">
        <v>40440</v>
      </c>
      <c r="S5257" t="s">
        <v>40603</v>
      </c>
      <c r="T5257" t="s">
        <v>42370</v>
      </c>
      <c r="U5257" t="s">
        <v>47085</v>
      </c>
      <c r="W5257" t="s">
        <v>38888</v>
      </c>
      <c r="X5257" t="s">
        <v>40441</v>
      </c>
    </row>
    <row r="5258" spans="1:24">
      <c r="A5258">
        <f>HYPERLINK("https://www.philgeps.gov.ph/GEPSNONPILOT/Tender/SplashBidNoticeAbstractUI.aspx?menuIndex=3&amp;refID=7043925&amp;Result=3","7043925")</f>
        <v>0</v>
      </c>
      <c r="B5258" t="s">
        <v>1771</v>
      </c>
      <c r="C5258" t="s">
        <v>8089</v>
      </c>
      <c r="D5258" t="s">
        <v>16198</v>
      </c>
      <c r="E5258" t="s">
        <v>20944</v>
      </c>
      <c r="F5258" t="s">
        <v>28198</v>
      </c>
      <c r="G5258" t="s">
        <v>28205</v>
      </c>
      <c r="H5258" t="s">
        <v>28214</v>
      </c>
      <c r="I5258" t="s">
        <v>3797</v>
      </c>
      <c r="J5258" t="s">
        <v>31679</v>
      </c>
      <c r="K5258" t="s">
        <v>36692</v>
      </c>
      <c r="M5258" t="s">
        <v>38887</v>
      </c>
      <c r="N5258" t="s">
        <v>40436</v>
      </c>
      <c r="O5258" t="s">
        <v>40437</v>
      </c>
      <c r="P5258">
        <v>0</v>
      </c>
      <c r="Q5258">
        <v>13</v>
      </c>
      <c r="R5258" t="s">
        <v>40440</v>
      </c>
      <c r="S5258" t="s">
        <v>40603</v>
      </c>
      <c r="T5258" t="s">
        <v>42106</v>
      </c>
      <c r="U5258" t="s">
        <v>47086</v>
      </c>
      <c r="W5258" t="s">
        <v>38887</v>
      </c>
      <c r="X5258" t="s">
        <v>40441</v>
      </c>
    </row>
    <row r="5259" spans="1:24">
      <c r="A5259">
        <f>HYPERLINK("https://www.philgeps.gov.ph/GEPSNONPILOT/Tender/SplashBidNoticeAbstractUI.aspx?menuIndex=3&amp;refID=7043924&amp;Result=3","7043924")</f>
        <v>0</v>
      </c>
      <c r="B5259" t="s">
        <v>1772</v>
      </c>
      <c r="C5259" t="s">
        <v>8090</v>
      </c>
      <c r="D5259" t="s">
        <v>16237</v>
      </c>
      <c r="E5259" t="s">
        <v>19404</v>
      </c>
      <c r="F5259" t="s">
        <v>28198</v>
      </c>
      <c r="G5259" t="s">
        <v>28207</v>
      </c>
      <c r="H5259" t="s">
        <v>28215</v>
      </c>
      <c r="I5259" t="s">
        <v>28222</v>
      </c>
      <c r="J5259" t="s">
        <v>28362</v>
      </c>
      <c r="K5259" t="s">
        <v>36701</v>
      </c>
      <c r="M5259" t="s">
        <v>38888</v>
      </c>
      <c r="N5259" t="s">
        <v>40436</v>
      </c>
      <c r="O5259" t="s">
        <v>40437</v>
      </c>
      <c r="P5259">
        <v>0</v>
      </c>
      <c r="Q5259">
        <v>1</v>
      </c>
      <c r="R5259" t="s">
        <v>40440</v>
      </c>
      <c r="S5259" t="s">
        <v>40603</v>
      </c>
      <c r="T5259" t="s">
        <v>42412</v>
      </c>
      <c r="U5259" t="s">
        <v>47087</v>
      </c>
      <c r="W5259" t="s">
        <v>38888</v>
      </c>
      <c r="X5259" t="s">
        <v>40441</v>
      </c>
    </row>
    <row r="5260" spans="1:24">
      <c r="A5260">
        <f>HYPERLINK("https://www.philgeps.gov.ph/GEPSNONPILOT/Tender/SplashBidNoticeAbstractUI.aspx?menuIndex=3&amp;refID=7043932&amp;Result=3","7043932")</f>
        <v>0</v>
      </c>
      <c r="B5260" t="s">
        <v>1771</v>
      </c>
      <c r="C5260" t="s">
        <v>8091</v>
      </c>
      <c r="D5260" t="s">
        <v>16198</v>
      </c>
      <c r="E5260" t="s">
        <v>20944</v>
      </c>
      <c r="F5260" t="s">
        <v>28198</v>
      </c>
      <c r="G5260" t="s">
        <v>28205</v>
      </c>
      <c r="H5260" t="s">
        <v>28214</v>
      </c>
      <c r="I5260" t="s">
        <v>3797</v>
      </c>
      <c r="J5260" t="s">
        <v>31680</v>
      </c>
      <c r="K5260" t="s">
        <v>36692</v>
      </c>
      <c r="M5260" t="s">
        <v>38887</v>
      </c>
      <c r="N5260" t="s">
        <v>40436</v>
      </c>
      <c r="O5260" t="s">
        <v>40437</v>
      </c>
      <c r="P5260">
        <v>0</v>
      </c>
      <c r="Q5260">
        <v>11</v>
      </c>
      <c r="R5260" t="s">
        <v>40440</v>
      </c>
      <c r="S5260" t="s">
        <v>40603</v>
      </c>
      <c r="T5260" t="s">
        <v>42106</v>
      </c>
      <c r="U5260" t="s">
        <v>47084</v>
      </c>
      <c r="W5260" t="s">
        <v>38887</v>
      </c>
      <c r="X5260" t="s">
        <v>40441</v>
      </c>
    </row>
    <row r="5261" spans="1:24">
      <c r="A5261">
        <f>HYPERLINK("https://www.philgeps.gov.ph/GEPSNONPILOT/Tender/SplashBidNoticeAbstractUI.aspx?menuIndex=3&amp;refID=7043929&amp;Result=3","7043929")</f>
        <v>0</v>
      </c>
      <c r="B5261" t="s">
        <v>1771</v>
      </c>
      <c r="C5261" t="s">
        <v>8092</v>
      </c>
      <c r="D5261" t="s">
        <v>16198</v>
      </c>
      <c r="E5261" t="s">
        <v>20944</v>
      </c>
      <c r="F5261" t="s">
        <v>28198</v>
      </c>
      <c r="G5261" t="s">
        <v>28205</v>
      </c>
      <c r="H5261" t="s">
        <v>28214</v>
      </c>
      <c r="I5261" t="s">
        <v>3797</v>
      </c>
      <c r="J5261" t="s">
        <v>31681</v>
      </c>
      <c r="K5261" t="s">
        <v>36692</v>
      </c>
      <c r="M5261" t="s">
        <v>38887</v>
      </c>
      <c r="N5261" t="s">
        <v>40436</v>
      </c>
      <c r="O5261" t="s">
        <v>40437</v>
      </c>
      <c r="P5261">
        <v>0</v>
      </c>
      <c r="Q5261">
        <v>13</v>
      </c>
      <c r="R5261" t="s">
        <v>40440</v>
      </c>
      <c r="S5261" t="s">
        <v>40603</v>
      </c>
      <c r="T5261" t="s">
        <v>42106</v>
      </c>
      <c r="U5261" t="s">
        <v>47084</v>
      </c>
      <c r="W5261" t="s">
        <v>38887</v>
      </c>
      <c r="X5261" t="s">
        <v>40441</v>
      </c>
    </row>
    <row r="5262" spans="1:24">
      <c r="A5262">
        <f>HYPERLINK("https://www.philgeps.gov.ph/GEPSNONPILOT/Tender/SplashBidNoticeAbstractUI.aspx?menuIndex=3&amp;refID=7043930&amp;Result=3","7043930")</f>
        <v>0</v>
      </c>
      <c r="B5262" t="s">
        <v>1771</v>
      </c>
      <c r="C5262" t="s">
        <v>8093</v>
      </c>
      <c r="D5262" t="s">
        <v>16198</v>
      </c>
      <c r="E5262" t="s">
        <v>20944</v>
      </c>
      <c r="F5262" t="s">
        <v>28198</v>
      </c>
      <c r="G5262" t="s">
        <v>28205</v>
      </c>
      <c r="H5262" t="s">
        <v>28214</v>
      </c>
      <c r="I5262" t="s">
        <v>3797</v>
      </c>
      <c r="J5262" t="s">
        <v>31682</v>
      </c>
      <c r="K5262" t="s">
        <v>36692</v>
      </c>
      <c r="M5262" t="s">
        <v>38887</v>
      </c>
      <c r="N5262" t="s">
        <v>40436</v>
      </c>
      <c r="O5262" t="s">
        <v>40437</v>
      </c>
      <c r="P5262">
        <v>0</v>
      </c>
      <c r="Q5262">
        <v>14</v>
      </c>
      <c r="R5262" t="s">
        <v>40440</v>
      </c>
      <c r="S5262" t="s">
        <v>40603</v>
      </c>
      <c r="T5262" t="s">
        <v>42106</v>
      </c>
      <c r="U5262" t="s">
        <v>47084</v>
      </c>
      <c r="W5262" t="s">
        <v>38887</v>
      </c>
      <c r="X5262" t="s">
        <v>40441</v>
      </c>
    </row>
    <row r="5263" spans="1:24">
      <c r="A5263">
        <f>HYPERLINK("https://www.philgeps.gov.ph/GEPSNONPILOT/Tender/SplashBidNoticeAbstractUI.aspx?menuIndex=3&amp;refID=7043935&amp;Result=3","7043935")</f>
        <v>0</v>
      </c>
      <c r="B5263" t="s">
        <v>1773</v>
      </c>
      <c r="C5263" t="s">
        <v>8094</v>
      </c>
      <c r="D5263" t="s">
        <v>16210</v>
      </c>
      <c r="E5263" t="s">
        <v>20946</v>
      </c>
      <c r="F5263" t="s">
        <v>28198</v>
      </c>
      <c r="G5263" t="s">
        <v>28207</v>
      </c>
      <c r="H5263" t="s">
        <v>28217</v>
      </c>
      <c r="I5263" t="s">
        <v>28272</v>
      </c>
      <c r="J5263" t="s">
        <v>28561</v>
      </c>
      <c r="K5263" t="s">
        <v>36756</v>
      </c>
      <c r="M5263" t="s">
        <v>38889</v>
      </c>
      <c r="N5263" t="s">
        <v>40436</v>
      </c>
      <c r="O5263" t="s">
        <v>40437</v>
      </c>
      <c r="P5263">
        <v>0</v>
      </c>
      <c r="Q5263">
        <v>4</v>
      </c>
      <c r="R5263" t="s">
        <v>40440</v>
      </c>
      <c r="S5263" t="s">
        <v>40603</v>
      </c>
      <c r="T5263" t="s">
        <v>42350</v>
      </c>
      <c r="U5263" t="s">
        <v>47088</v>
      </c>
      <c r="W5263" t="s">
        <v>38889</v>
      </c>
      <c r="X5263" t="s">
        <v>40441</v>
      </c>
    </row>
    <row r="5264" spans="1:24">
      <c r="A5264">
        <f>HYPERLINK("https://www.philgeps.gov.ph/GEPSNONPILOT/Tender/SplashBidNoticeAbstractUI.aspx?menuIndex=3&amp;refID=7043948&amp;Result=3","7043948")</f>
        <v>0</v>
      </c>
      <c r="B5264" t="s">
        <v>1774</v>
      </c>
      <c r="C5264" t="s">
        <v>4359</v>
      </c>
      <c r="D5264" t="s">
        <v>16196</v>
      </c>
      <c r="E5264" t="s">
        <v>20947</v>
      </c>
      <c r="F5264" t="s">
        <v>28198</v>
      </c>
      <c r="G5264" t="s">
        <v>28205</v>
      </c>
      <c r="H5264" t="s">
        <v>28214</v>
      </c>
      <c r="I5264" t="s">
        <v>3797</v>
      </c>
      <c r="J5264" t="s">
        <v>31683</v>
      </c>
      <c r="K5264" t="s">
        <v>36688</v>
      </c>
      <c r="M5264" t="s">
        <v>38890</v>
      </c>
      <c r="N5264" t="s">
        <v>40436</v>
      </c>
      <c r="O5264" t="s">
        <v>40437</v>
      </c>
      <c r="P5264">
        <v>0</v>
      </c>
      <c r="Q5264">
        <v>0</v>
      </c>
      <c r="R5264" t="s">
        <v>40440</v>
      </c>
      <c r="S5264" t="s">
        <v>40603</v>
      </c>
      <c r="T5264" t="s">
        <v>42124</v>
      </c>
      <c r="U5264" t="s">
        <v>47089</v>
      </c>
      <c r="V5264" t="s">
        <v>54300</v>
      </c>
      <c r="W5264" t="s">
        <v>38890</v>
      </c>
      <c r="X5264" t="s">
        <v>40441</v>
      </c>
    </row>
    <row r="5265" spans="1:24">
      <c r="A5265">
        <f>HYPERLINK("https://www.philgeps.gov.ph/GEPSNONPILOT/Tender/SplashBidNoticeAbstractUI.aspx?menuIndex=3&amp;refID=7043939&amp;Result=3","7043939")</f>
        <v>0</v>
      </c>
      <c r="B5265" t="s">
        <v>1775</v>
      </c>
      <c r="C5265" t="s">
        <v>8095</v>
      </c>
      <c r="D5265" t="s">
        <v>16238</v>
      </c>
      <c r="E5265" t="s">
        <v>20948</v>
      </c>
      <c r="F5265" t="s">
        <v>28200</v>
      </c>
      <c r="G5265" t="s">
        <v>28205</v>
      </c>
      <c r="H5265" t="s">
        <v>28215</v>
      </c>
      <c r="I5265" t="s">
        <v>5656</v>
      </c>
      <c r="J5265" t="s">
        <v>28345</v>
      </c>
      <c r="K5265" t="s">
        <v>36691</v>
      </c>
      <c r="M5265" t="s">
        <v>38891</v>
      </c>
      <c r="N5265" t="s">
        <v>40436</v>
      </c>
      <c r="O5265" t="s">
        <v>40437</v>
      </c>
      <c r="P5265">
        <v>0</v>
      </c>
      <c r="Q5265">
        <v>0</v>
      </c>
      <c r="R5265" t="s">
        <v>40440</v>
      </c>
      <c r="S5265" t="s">
        <v>40603</v>
      </c>
      <c r="T5265" t="s">
        <v>42244</v>
      </c>
      <c r="U5265" t="s">
        <v>47090</v>
      </c>
      <c r="W5265" t="s">
        <v>38891</v>
      </c>
      <c r="X5265" t="s">
        <v>40441</v>
      </c>
    </row>
    <row r="5266" spans="1:24">
      <c r="A5266">
        <f>HYPERLINK("https://www.philgeps.gov.ph/GEPSNONPILOT/Tender/SplashBidNoticeAbstractUI.aspx?menuIndex=3&amp;refID=7043950&amp;Result=3","7043950")</f>
        <v>0</v>
      </c>
      <c r="B5266" t="s">
        <v>1776</v>
      </c>
      <c r="C5266" t="s">
        <v>7467</v>
      </c>
      <c r="E5266" t="s">
        <v>20949</v>
      </c>
      <c r="F5266" t="s">
        <v>28198</v>
      </c>
      <c r="G5266" t="s">
        <v>28205</v>
      </c>
      <c r="H5266" t="s">
        <v>28215</v>
      </c>
      <c r="I5266" t="s">
        <v>28234</v>
      </c>
      <c r="J5266" t="s">
        <v>28352</v>
      </c>
      <c r="K5266" t="s">
        <v>36688</v>
      </c>
      <c r="M5266" t="s">
        <v>38892</v>
      </c>
      <c r="N5266" t="s">
        <v>40436</v>
      </c>
      <c r="O5266" t="s">
        <v>40437</v>
      </c>
      <c r="P5266">
        <v>0</v>
      </c>
      <c r="Q5266">
        <v>1</v>
      </c>
      <c r="R5266" t="s">
        <v>40440</v>
      </c>
      <c r="S5266" t="s">
        <v>40603</v>
      </c>
      <c r="T5266" t="s">
        <v>42112</v>
      </c>
      <c r="U5266" t="s">
        <v>47091</v>
      </c>
      <c r="W5266" t="s">
        <v>38892</v>
      </c>
      <c r="X5266" t="s">
        <v>40441</v>
      </c>
    </row>
    <row r="5267" spans="1:24">
      <c r="A5267">
        <f>HYPERLINK("https://www.philgeps.gov.ph/GEPSNONPILOT/Tender/SplashBidNoticeAbstractUI.aspx?menuIndex=3&amp;refID=7043938&amp;Result=3","7043938")</f>
        <v>0</v>
      </c>
      <c r="B5267" t="s">
        <v>1775</v>
      </c>
      <c r="C5267" t="s">
        <v>8096</v>
      </c>
      <c r="D5267" t="s">
        <v>16238</v>
      </c>
      <c r="E5267" t="s">
        <v>20950</v>
      </c>
      <c r="F5267" t="s">
        <v>28200</v>
      </c>
      <c r="G5267" t="s">
        <v>28205</v>
      </c>
      <c r="H5267" t="s">
        <v>28215</v>
      </c>
      <c r="I5267" t="s">
        <v>5656</v>
      </c>
      <c r="J5267" t="s">
        <v>28378</v>
      </c>
      <c r="K5267" t="s">
        <v>36691</v>
      </c>
      <c r="M5267" t="s">
        <v>38891</v>
      </c>
      <c r="N5267" t="s">
        <v>40436</v>
      </c>
      <c r="O5267" t="s">
        <v>40437</v>
      </c>
      <c r="P5267">
        <v>0</v>
      </c>
      <c r="Q5267">
        <v>2</v>
      </c>
      <c r="R5267" t="s">
        <v>40440</v>
      </c>
      <c r="S5267" t="s">
        <v>40603</v>
      </c>
      <c r="T5267" t="s">
        <v>42244</v>
      </c>
      <c r="U5267" t="s">
        <v>47092</v>
      </c>
      <c r="W5267" t="s">
        <v>38891</v>
      </c>
      <c r="X5267" t="s">
        <v>40441</v>
      </c>
    </row>
    <row r="5268" spans="1:24">
      <c r="A5268">
        <f>HYPERLINK("https://www.philgeps.gov.ph/GEPSNONPILOT/Tender/SplashBidNoticeAbstractUI.aspx?menuIndex=3&amp;refID=7043953&amp;Result=3","7043953")</f>
        <v>0</v>
      </c>
      <c r="B5268" t="s">
        <v>1222</v>
      </c>
      <c r="C5268" t="s">
        <v>8097</v>
      </c>
      <c r="D5268" t="s">
        <v>16236</v>
      </c>
      <c r="E5268" t="s">
        <v>20951</v>
      </c>
      <c r="F5268" t="s">
        <v>28198</v>
      </c>
      <c r="G5268" t="s">
        <v>28207</v>
      </c>
      <c r="H5268" t="s">
        <v>28214</v>
      </c>
      <c r="I5268" t="s">
        <v>4168</v>
      </c>
      <c r="J5268" t="s">
        <v>28593</v>
      </c>
      <c r="K5268" t="s">
        <v>36691</v>
      </c>
      <c r="M5268" t="s">
        <v>38268</v>
      </c>
      <c r="N5268" t="s">
        <v>40436</v>
      </c>
      <c r="O5268" t="s">
        <v>40437</v>
      </c>
      <c r="P5268">
        <v>0</v>
      </c>
      <c r="Q5268">
        <v>0</v>
      </c>
      <c r="R5268" t="s">
        <v>40440</v>
      </c>
      <c r="S5268" t="s">
        <v>40603</v>
      </c>
      <c r="T5268" t="s">
        <v>42233</v>
      </c>
      <c r="U5268" t="s">
        <v>47093</v>
      </c>
      <c r="W5268" t="s">
        <v>38268</v>
      </c>
      <c r="X5268" t="s">
        <v>40441</v>
      </c>
    </row>
    <row r="5269" spans="1:24">
      <c r="A5269">
        <f>HYPERLINK("https://www.philgeps.gov.ph/GEPSNONPILOT/Tender/SplashBidNoticeAbstractUI.aspx?menuIndex=3&amp;refID=7043951&amp;Result=3","7043951")</f>
        <v>0</v>
      </c>
      <c r="B5269" t="s">
        <v>1774</v>
      </c>
      <c r="C5269" t="s">
        <v>8098</v>
      </c>
      <c r="D5269" t="s">
        <v>16196</v>
      </c>
      <c r="E5269" t="s">
        <v>20952</v>
      </c>
      <c r="F5269" t="s">
        <v>28198</v>
      </c>
      <c r="G5269" t="s">
        <v>28205</v>
      </c>
      <c r="H5269" t="s">
        <v>28214</v>
      </c>
      <c r="I5269" t="s">
        <v>3797</v>
      </c>
      <c r="J5269" t="s">
        <v>28378</v>
      </c>
      <c r="K5269" t="s">
        <v>36688</v>
      </c>
      <c r="M5269" t="s">
        <v>38890</v>
      </c>
      <c r="N5269" t="s">
        <v>40436</v>
      </c>
      <c r="O5269" t="s">
        <v>40437</v>
      </c>
      <c r="P5269">
        <v>0</v>
      </c>
      <c r="Q5269">
        <v>0</v>
      </c>
      <c r="R5269" t="s">
        <v>40440</v>
      </c>
      <c r="S5269" t="s">
        <v>40603</v>
      </c>
      <c r="T5269" t="s">
        <v>42124</v>
      </c>
      <c r="U5269" t="s">
        <v>47094</v>
      </c>
      <c r="V5269" t="s">
        <v>54301</v>
      </c>
      <c r="W5269" t="s">
        <v>38890</v>
      </c>
      <c r="X5269" t="s">
        <v>40441</v>
      </c>
    </row>
    <row r="5270" spans="1:24">
      <c r="A5270">
        <f>HYPERLINK("https://www.philgeps.gov.ph/GEPSNONPILOT/Tender/SplashBidNoticeAbstractUI.aspx?menuIndex=3&amp;refID=7043933&amp;Result=3","7043933")</f>
        <v>0</v>
      </c>
      <c r="B5270" t="s">
        <v>1771</v>
      </c>
      <c r="C5270" t="s">
        <v>8099</v>
      </c>
      <c r="D5270" t="s">
        <v>16198</v>
      </c>
      <c r="E5270" t="s">
        <v>20944</v>
      </c>
      <c r="F5270" t="s">
        <v>28198</v>
      </c>
      <c r="G5270" t="s">
        <v>28205</v>
      </c>
      <c r="H5270" t="s">
        <v>28214</v>
      </c>
      <c r="I5270" t="s">
        <v>3797</v>
      </c>
      <c r="J5270" t="s">
        <v>31684</v>
      </c>
      <c r="K5270" t="s">
        <v>36692</v>
      </c>
      <c r="M5270" t="s">
        <v>38887</v>
      </c>
      <c r="N5270" t="s">
        <v>40436</v>
      </c>
      <c r="O5270" t="s">
        <v>40437</v>
      </c>
      <c r="P5270">
        <v>0</v>
      </c>
      <c r="Q5270">
        <v>12</v>
      </c>
      <c r="R5270" t="s">
        <v>40440</v>
      </c>
      <c r="S5270" t="s">
        <v>40603</v>
      </c>
      <c r="T5270" t="s">
        <v>42106</v>
      </c>
      <c r="U5270" t="s">
        <v>47084</v>
      </c>
      <c r="W5270" t="s">
        <v>38887</v>
      </c>
      <c r="X5270" t="s">
        <v>40441</v>
      </c>
    </row>
    <row r="5271" spans="1:24">
      <c r="A5271">
        <f>HYPERLINK("https://www.philgeps.gov.ph/GEPSNONPILOT/Tender/SplashBidNoticeAbstractUI.aspx?menuIndex=3&amp;refID=7043949&amp;Result=3","7043949")</f>
        <v>0</v>
      </c>
      <c r="B5271" t="s">
        <v>1774</v>
      </c>
      <c r="C5271" t="s">
        <v>4359</v>
      </c>
      <c r="D5271" t="s">
        <v>16196</v>
      </c>
      <c r="E5271" t="s">
        <v>20953</v>
      </c>
      <c r="F5271" t="s">
        <v>28198</v>
      </c>
      <c r="G5271" t="s">
        <v>28205</v>
      </c>
      <c r="H5271" t="s">
        <v>28214</v>
      </c>
      <c r="I5271" t="s">
        <v>3797</v>
      </c>
      <c r="J5271" t="s">
        <v>28345</v>
      </c>
      <c r="K5271" t="s">
        <v>36688</v>
      </c>
      <c r="M5271" t="s">
        <v>38890</v>
      </c>
      <c r="N5271" t="s">
        <v>40436</v>
      </c>
      <c r="O5271" t="s">
        <v>40437</v>
      </c>
      <c r="P5271">
        <v>0</v>
      </c>
      <c r="Q5271">
        <v>0</v>
      </c>
      <c r="R5271" t="s">
        <v>40440</v>
      </c>
      <c r="S5271" t="s">
        <v>40603</v>
      </c>
      <c r="T5271" t="s">
        <v>42124</v>
      </c>
      <c r="U5271" t="s">
        <v>47094</v>
      </c>
      <c r="V5271" t="s">
        <v>54301</v>
      </c>
      <c r="W5271" t="s">
        <v>38890</v>
      </c>
      <c r="X5271" t="s">
        <v>40441</v>
      </c>
    </row>
    <row r="5272" spans="1:24">
      <c r="A5272">
        <f>HYPERLINK("https://www.philgeps.gov.ph/GEPSNONPILOT/Tender/SplashBidNoticeAbstractUI.aspx?menuIndex=3&amp;refID=7043947&amp;Result=3","7043947")</f>
        <v>0</v>
      </c>
      <c r="B5272" t="s">
        <v>1683</v>
      </c>
      <c r="C5272" t="s">
        <v>8100</v>
      </c>
      <c r="D5272" t="s">
        <v>16223</v>
      </c>
      <c r="E5272" t="s">
        <v>16757</v>
      </c>
      <c r="F5272" t="s">
        <v>28198</v>
      </c>
      <c r="G5272" t="s">
        <v>28205</v>
      </c>
      <c r="H5272" t="s">
        <v>28215</v>
      </c>
      <c r="I5272" t="s">
        <v>5082</v>
      </c>
      <c r="J5272" t="s">
        <v>31685</v>
      </c>
      <c r="K5272" t="s">
        <v>36701</v>
      </c>
      <c r="M5272" t="s">
        <v>38779</v>
      </c>
      <c r="N5272" t="s">
        <v>40436</v>
      </c>
      <c r="O5272" t="s">
        <v>40437</v>
      </c>
      <c r="P5272">
        <v>0</v>
      </c>
      <c r="Q5272">
        <v>0</v>
      </c>
      <c r="R5272" t="s">
        <v>40440</v>
      </c>
      <c r="S5272" t="s">
        <v>40603</v>
      </c>
      <c r="T5272" t="s">
        <v>42119</v>
      </c>
      <c r="U5272" t="s">
        <v>46723</v>
      </c>
      <c r="W5272" t="s">
        <v>38779</v>
      </c>
      <c r="X5272" t="s">
        <v>40441</v>
      </c>
    </row>
    <row r="5273" spans="1:24">
      <c r="A5273">
        <f>HYPERLINK("https://www.philgeps.gov.ph/GEPSNONPILOT/Tender/SplashBidNoticeAbstractUI.aspx?menuIndex=3&amp;refID=7043959&amp;Result=3","7043959")</f>
        <v>0</v>
      </c>
      <c r="B5273" t="s">
        <v>1777</v>
      </c>
      <c r="C5273" t="s">
        <v>8101</v>
      </c>
      <c r="D5273" t="s">
        <v>16247</v>
      </c>
      <c r="E5273" t="s">
        <v>20954</v>
      </c>
      <c r="F5273" t="s">
        <v>28198</v>
      </c>
      <c r="G5273" t="s">
        <v>28207</v>
      </c>
      <c r="H5273" t="s">
        <v>28215</v>
      </c>
      <c r="I5273" t="s">
        <v>4168</v>
      </c>
      <c r="J5273" t="s">
        <v>28436</v>
      </c>
      <c r="K5273" t="s">
        <v>36723</v>
      </c>
      <c r="M5273" t="s">
        <v>38893</v>
      </c>
      <c r="N5273" t="s">
        <v>40436</v>
      </c>
      <c r="O5273" t="s">
        <v>40437</v>
      </c>
      <c r="P5273">
        <v>0</v>
      </c>
      <c r="Q5273">
        <v>3</v>
      </c>
      <c r="R5273" t="s">
        <v>40440</v>
      </c>
      <c r="S5273" t="s">
        <v>40603</v>
      </c>
      <c r="T5273" t="s">
        <v>42297</v>
      </c>
      <c r="U5273" t="s">
        <v>47095</v>
      </c>
      <c r="W5273" t="s">
        <v>38893</v>
      </c>
      <c r="X5273" t="s">
        <v>40441</v>
      </c>
    </row>
    <row r="5274" spans="1:24">
      <c r="A5274">
        <f>HYPERLINK("https://www.philgeps.gov.ph/GEPSNONPILOT/Tender/SplashBidNoticeAbstractUI.aspx?menuIndex=3&amp;refID=7043962&amp;Result=3","7043962")</f>
        <v>0</v>
      </c>
      <c r="B5274" t="s">
        <v>1778</v>
      </c>
      <c r="C5274" t="s">
        <v>8102</v>
      </c>
      <c r="D5274" t="s">
        <v>16249</v>
      </c>
      <c r="E5274" t="s">
        <v>20955</v>
      </c>
      <c r="F5274" t="s">
        <v>28198</v>
      </c>
      <c r="G5274" t="s">
        <v>28207</v>
      </c>
      <c r="H5274" t="s">
        <v>28215</v>
      </c>
      <c r="I5274" t="s">
        <v>4200</v>
      </c>
      <c r="J5274" t="s">
        <v>31686</v>
      </c>
      <c r="K5274" t="s">
        <v>36701</v>
      </c>
      <c r="M5274" t="s">
        <v>38894</v>
      </c>
      <c r="N5274" t="s">
        <v>40436</v>
      </c>
      <c r="O5274" t="s">
        <v>40437</v>
      </c>
      <c r="P5274">
        <v>0</v>
      </c>
      <c r="Q5274">
        <v>1</v>
      </c>
      <c r="R5274" t="s">
        <v>40440</v>
      </c>
      <c r="S5274" t="s">
        <v>40603</v>
      </c>
      <c r="T5274" t="s">
        <v>42297</v>
      </c>
      <c r="U5274" t="s">
        <v>47096</v>
      </c>
      <c r="W5274" t="s">
        <v>38894</v>
      </c>
      <c r="X5274" t="s">
        <v>40441</v>
      </c>
    </row>
    <row r="5275" spans="1:24">
      <c r="A5275">
        <f>HYPERLINK("https://www.philgeps.gov.ph/GEPSNONPILOT/Tender/SplashBidNoticeAbstractUI.aspx?menuIndex=3&amp;refID=7043934&amp;Result=3","7043934")</f>
        <v>0</v>
      </c>
      <c r="B5275" t="s">
        <v>1771</v>
      </c>
      <c r="C5275" t="s">
        <v>8103</v>
      </c>
      <c r="D5275" t="s">
        <v>16198</v>
      </c>
      <c r="E5275" t="s">
        <v>20944</v>
      </c>
      <c r="F5275" t="s">
        <v>28198</v>
      </c>
      <c r="G5275" t="s">
        <v>28205</v>
      </c>
      <c r="H5275" t="s">
        <v>28214</v>
      </c>
      <c r="I5275" t="s">
        <v>3797</v>
      </c>
      <c r="J5275" t="s">
        <v>31687</v>
      </c>
      <c r="K5275" t="s">
        <v>36692</v>
      </c>
      <c r="M5275" t="s">
        <v>38887</v>
      </c>
      <c r="N5275" t="s">
        <v>40436</v>
      </c>
      <c r="O5275" t="s">
        <v>40437</v>
      </c>
      <c r="P5275">
        <v>0</v>
      </c>
      <c r="Q5275">
        <v>12</v>
      </c>
      <c r="R5275" t="s">
        <v>40440</v>
      </c>
      <c r="S5275" t="s">
        <v>40603</v>
      </c>
      <c r="T5275" t="s">
        <v>42106</v>
      </c>
      <c r="U5275" t="s">
        <v>47084</v>
      </c>
      <c r="W5275" t="s">
        <v>38887</v>
      </c>
      <c r="X5275" t="s">
        <v>40441</v>
      </c>
    </row>
    <row r="5276" spans="1:24">
      <c r="A5276">
        <f>HYPERLINK("https://www.philgeps.gov.ph/GEPSNONPILOT/Tender/SplashBidNoticeAbstractUI.aspx?menuIndex=3&amp;refID=7043960&amp;Result=3","7043960")</f>
        <v>0</v>
      </c>
      <c r="B5276" t="s">
        <v>1746</v>
      </c>
      <c r="C5276" t="s">
        <v>8104</v>
      </c>
      <c r="D5276" t="s">
        <v>16190</v>
      </c>
      <c r="E5276" t="s">
        <v>20956</v>
      </c>
      <c r="F5276" t="s">
        <v>28198</v>
      </c>
      <c r="G5276" t="s">
        <v>28205</v>
      </c>
      <c r="H5276" t="s">
        <v>28215</v>
      </c>
      <c r="I5276" t="s">
        <v>28234</v>
      </c>
      <c r="J5276" t="s">
        <v>31688</v>
      </c>
      <c r="K5276" t="s">
        <v>36689</v>
      </c>
      <c r="M5276" t="s">
        <v>38858</v>
      </c>
      <c r="N5276" t="s">
        <v>40436</v>
      </c>
      <c r="O5276" t="s">
        <v>40437</v>
      </c>
      <c r="P5276">
        <v>0</v>
      </c>
      <c r="Q5276">
        <v>5</v>
      </c>
      <c r="R5276" t="s">
        <v>40440</v>
      </c>
      <c r="S5276" t="s">
        <v>40603</v>
      </c>
      <c r="T5276" t="s">
        <v>42152</v>
      </c>
      <c r="U5276" t="s">
        <v>47097</v>
      </c>
      <c r="W5276" t="s">
        <v>38858</v>
      </c>
      <c r="X5276" t="s">
        <v>40441</v>
      </c>
    </row>
    <row r="5277" spans="1:24">
      <c r="A5277">
        <f>HYPERLINK("https://www.philgeps.gov.ph/GEPSNONPILOT/Tender/SplashBidNoticeAbstractUI.aspx?menuIndex=3&amp;refID=7043955&amp;Result=3","7043955")</f>
        <v>0</v>
      </c>
      <c r="B5277" t="s">
        <v>1777</v>
      </c>
      <c r="C5277" t="s">
        <v>8105</v>
      </c>
      <c r="D5277" t="s">
        <v>16247</v>
      </c>
      <c r="E5277" t="s">
        <v>20957</v>
      </c>
      <c r="F5277" t="s">
        <v>28198</v>
      </c>
      <c r="G5277" t="s">
        <v>28207</v>
      </c>
      <c r="H5277" t="s">
        <v>28215</v>
      </c>
      <c r="I5277" t="s">
        <v>4200</v>
      </c>
      <c r="J5277" t="s">
        <v>28436</v>
      </c>
      <c r="K5277" t="s">
        <v>36723</v>
      </c>
      <c r="M5277" t="s">
        <v>38893</v>
      </c>
      <c r="N5277" t="s">
        <v>40436</v>
      </c>
      <c r="O5277" t="s">
        <v>40437</v>
      </c>
      <c r="P5277">
        <v>0</v>
      </c>
      <c r="Q5277">
        <v>1</v>
      </c>
      <c r="R5277" t="s">
        <v>40440</v>
      </c>
      <c r="S5277" t="s">
        <v>40603</v>
      </c>
      <c r="T5277" t="s">
        <v>42350</v>
      </c>
      <c r="U5277" t="s">
        <v>47095</v>
      </c>
      <c r="W5277" t="s">
        <v>38893</v>
      </c>
      <c r="X5277" t="s">
        <v>40441</v>
      </c>
    </row>
    <row r="5278" spans="1:24">
      <c r="A5278">
        <f>HYPERLINK("https://www.philgeps.gov.ph/GEPSNONPILOT/Tender/SplashBidNoticeAbstractUI.aspx?menuIndex=3&amp;refID=7043956&amp;Result=3","7043956")</f>
        <v>0</v>
      </c>
      <c r="B5278" t="s">
        <v>1157</v>
      </c>
      <c r="C5278" t="s">
        <v>8106</v>
      </c>
      <c r="D5278" t="s">
        <v>16193</v>
      </c>
      <c r="E5278" t="s">
        <v>20958</v>
      </c>
      <c r="F5278" t="s">
        <v>28198</v>
      </c>
      <c r="G5278" t="s">
        <v>28206</v>
      </c>
      <c r="H5278" t="s">
        <v>28215</v>
      </c>
      <c r="I5278" t="s">
        <v>28248</v>
      </c>
      <c r="J5278" t="s">
        <v>29304</v>
      </c>
      <c r="K5278" t="s">
        <v>36689</v>
      </c>
      <c r="M5278" t="s">
        <v>38197</v>
      </c>
      <c r="N5278" t="s">
        <v>40436</v>
      </c>
      <c r="O5278" t="s">
        <v>40437</v>
      </c>
      <c r="Q5278">
        <v>3</v>
      </c>
      <c r="R5278" t="s">
        <v>40440</v>
      </c>
      <c r="S5278" t="s">
        <v>40632</v>
      </c>
      <c r="T5278" t="s">
        <v>42184</v>
      </c>
      <c r="U5278" t="s">
        <v>47098</v>
      </c>
      <c r="W5278" t="s">
        <v>55484</v>
      </c>
      <c r="X5278" t="s">
        <v>40441</v>
      </c>
    </row>
    <row r="5279" spans="1:24">
      <c r="A5279">
        <f>HYPERLINK("https://www.philgeps.gov.ph/GEPSNONPILOT/Tender/SplashBidNoticeAbstractUI.aspx?menuIndex=3&amp;refID=7043963&amp;Result=3","7043963")</f>
        <v>0</v>
      </c>
      <c r="B5279" t="s">
        <v>1779</v>
      </c>
      <c r="C5279" t="s">
        <v>8107</v>
      </c>
      <c r="D5279" t="s">
        <v>16204</v>
      </c>
      <c r="E5279" t="s">
        <v>20959</v>
      </c>
      <c r="F5279" t="s">
        <v>28198</v>
      </c>
      <c r="G5279" t="s">
        <v>28205</v>
      </c>
      <c r="H5279" t="s">
        <v>28214</v>
      </c>
      <c r="I5279" t="s">
        <v>3797</v>
      </c>
      <c r="J5279" t="s">
        <v>31689</v>
      </c>
      <c r="K5279" t="s">
        <v>36689</v>
      </c>
      <c r="M5279" t="s">
        <v>38895</v>
      </c>
      <c r="N5279" t="s">
        <v>40436</v>
      </c>
      <c r="O5279" t="s">
        <v>40437</v>
      </c>
      <c r="P5279">
        <v>0</v>
      </c>
      <c r="Q5279">
        <v>3</v>
      </c>
      <c r="R5279" t="s">
        <v>40440</v>
      </c>
      <c r="S5279" t="s">
        <v>40603</v>
      </c>
      <c r="T5279" t="s">
        <v>42118</v>
      </c>
      <c r="U5279" t="s">
        <v>47099</v>
      </c>
      <c r="W5279" t="s">
        <v>38895</v>
      </c>
      <c r="X5279" t="s">
        <v>40441</v>
      </c>
    </row>
    <row r="5280" spans="1:24">
      <c r="A5280">
        <f>HYPERLINK("https://www.philgeps.gov.ph/GEPSNONPILOT/Tender/SplashBidNoticeAbstractUI.aspx?menuIndex=3&amp;refID=7043966&amp;Result=3","7043966")</f>
        <v>0</v>
      </c>
      <c r="B5280" t="s">
        <v>1157</v>
      </c>
      <c r="C5280" t="s">
        <v>8108</v>
      </c>
      <c r="D5280" t="s">
        <v>16193</v>
      </c>
      <c r="E5280" t="s">
        <v>20960</v>
      </c>
      <c r="F5280" t="s">
        <v>28198</v>
      </c>
      <c r="G5280" t="s">
        <v>28206</v>
      </c>
      <c r="H5280" t="s">
        <v>28215</v>
      </c>
      <c r="I5280" t="s">
        <v>4219</v>
      </c>
      <c r="J5280" t="s">
        <v>31690</v>
      </c>
      <c r="K5280" t="s">
        <v>36689</v>
      </c>
      <c r="M5280" t="s">
        <v>38197</v>
      </c>
      <c r="N5280" t="s">
        <v>40436</v>
      </c>
      <c r="O5280" t="s">
        <v>40437</v>
      </c>
      <c r="P5280">
        <v>0</v>
      </c>
      <c r="Q5280">
        <v>0</v>
      </c>
      <c r="R5280" t="s">
        <v>40440</v>
      </c>
      <c r="S5280" t="s">
        <v>40603</v>
      </c>
      <c r="T5280" t="s">
        <v>42184</v>
      </c>
      <c r="U5280" t="s">
        <v>47100</v>
      </c>
      <c r="W5280" t="s">
        <v>55484</v>
      </c>
      <c r="X5280" t="s">
        <v>40441</v>
      </c>
    </row>
    <row r="5281" spans="1:24">
      <c r="A5281">
        <f>HYPERLINK("https://www.philgeps.gov.ph/GEPSNONPILOT/Tender/SplashBidNoticeAbstractUI.aspx?menuIndex=3&amp;refID=7043964&amp;Result=3","7043964")</f>
        <v>0</v>
      </c>
      <c r="B5281" t="s">
        <v>1157</v>
      </c>
      <c r="C5281" t="s">
        <v>8109</v>
      </c>
      <c r="D5281" t="s">
        <v>16193</v>
      </c>
      <c r="E5281" t="s">
        <v>20961</v>
      </c>
      <c r="F5281" t="s">
        <v>28198</v>
      </c>
      <c r="G5281" t="s">
        <v>28206</v>
      </c>
      <c r="H5281" t="s">
        <v>28215</v>
      </c>
      <c r="I5281" t="s">
        <v>5071</v>
      </c>
      <c r="J5281" t="s">
        <v>31691</v>
      </c>
      <c r="K5281" t="s">
        <v>36689</v>
      </c>
      <c r="M5281" t="s">
        <v>38197</v>
      </c>
      <c r="N5281" t="s">
        <v>40436</v>
      </c>
      <c r="O5281" t="s">
        <v>40437</v>
      </c>
      <c r="P5281">
        <v>0</v>
      </c>
      <c r="Q5281">
        <v>0</v>
      </c>
      <c r="R5281" t="s">
        <v>40440</v>
      </c>
      <c r="S5281" t="s">
        <v>40603</v>
      </c>
      <c r="T5281" t="s">
        <v>42184</v>
      </c>
      <c r="U5281" t="s">
        <v>47101</v>
      </c>
      <c r="W5281" t="s">
        <v>55484</v>
      </c>
      <c r="X5281" t="s">
        <v>40441</v>
      </c>
    </row>
    <row r="5282" spans="1:24">
      <c r="A5282">
        <f>HYPERLINK("https://www.philgeps.gov.ph/GEPSNONPILOT/Tender/SplashBidNoticeAbstractUI.aspx?menuIndex=3&amp;refID=7043954&amp;Result=3","7043954")</f>
        <v>0</v>
      </c>
      <c r="B5282" t="s">
        <v>1157</v>
      </c>
      <c r="C5282" t="s">
        <v>8110</v>
      </c>
      <c r="D5282" t="s">
        <v>16193</v>
      </c>
      <c r="E5282" t="s">
        <v>20962</v>
      </c>
      <c r="F5282" t="s">
        <v>28198</v>
      </c>
      <c r="G5282" t="s">
        <v>28206</v>
      </c>
      <c r="H5282" t="s">
        <v>28215</v>
      </c>
      <c r="I5282" t="s">
        <v>4219</v>
      </c>
      <c r="J5282" t="s">
        <v>31692</v>
      </c>
      <c r="K5282" t="s">
        <v>36689</v>
      </c>
      <c r="M5282" t="s">
        <v>38197</v>
      </c>
      <c r="N5282" t="s">
        <v>40436</v>
      </c>
      <c r="O5282" t="s">
        <v>40437</v>
      </c>
      <c r="P5282">
        <v>0</v>
      </c>
      <c r="Q5282">
        <v>0</v>
      </c>
      <c r="R5282" t="s">
        <v>40440</v>
      </c>
      <c r="S5282" t="s">
        <v>40603</v>
      </c>
      <c r="T5282" t="s">
        <v>42184</v>
      </c>
      <c r="U5282" t="s">
        <v>47102</v>
      </c>
      <c r="W5282" t="s">
        <v>55484</v>
      </c>
      <c r="X5282" t="s">
        <v>40441</v>
      </c>
    </row>
    <row r="5283" spans="1:24">
      <c r="A5283">
        <f>HYPERLINK("https://www.philgeps.gov.ph/GEPSNONPILOT/Tender/SplashBidNoticeAbstractUI.aspx?menuIndex=3&amp;refID=7043980&amp;Result=3","7043980")</f>
        <v>0</v>
      </c>
      <c r="B5283" t="s">
        <v>1780</v>
      </c>
      <c r="C5283" t="s">
        <v>8111</v>
      </c>
      <c r="D5283" t="s">
        <v>16195</v>
      </c>
      <c r="E5283" t="s">
        <v>20963</v>
      </c>
      <c r="F5283" t="s">
        <v>28198</v>
      </c>
      <c r="G5283" t="s">
        <v>28207</v>
      </c>
      <c r="H5283" t="s">
        <v>28214</v>
      </c>
      <c r="I5283" t="s">
        <v>28274</v>
      </c>
      <c r="J5283" t="s">
        <v>28350</v>
      </c>
      <c r="K5283" t="s">
        <v>36706</v>
      </c>
      <c r="M5283" t="s">
        <v>38896</v>
      </c>
      <c r="N5283" t="s">
        <v>40436</v>
      </c>
      <c r="O5283" t="s">
        <v>40437</v>
      </c>
      <c r="P5283">
        <v>0</v>
      </c>
      <c r="Q5283">
        <v>0</v>
      </c>
      <c r="R5283" t="s">
        <v>40440</v>
      </c>
      <c r="S5283" t="s">
        <v>40603</v>
      </c>
      <c r="T5283" t="s">
        <v>42185</v>
      </c>
      <c r="U5283" t="s">
        <v>47103</v>
      </c>
      <c r="W5283" t="s">
        <v>38896</v>
      </c>
      <c r="X5283" t="s">
        <v>40441</v>
      </c>
    </row>
    <row r="5284" spans="1:24">
      <c r="A5284">
        <f>HYPERLINK("https://www.philgeps.gov.ph/GEPSNONPILOT/Tender/SplashBidNoticeAbstractUI.aspx?menuIndex=3&amp;refID=7043984&amp;Result=3","7043984")</f>
        <v>0</v>
      </c>
      <c r="B5284" t="s">
        <v>1780</v>
      </c>
      <c r="C5284" t="s">
        <v>8112</v>
      </c>
      <c r="D5284" t="s">
        <v>16195</v>
      </c>
      <c r="E5284" t="s">
        <v>20964</v>
      </c>
      <c r="F5284" t="s">
        <v>28198</v>
      </c>
      <c r="G5284" t="s">
        <v>28207</v>
      </c>
      <c r="H5284" t="s">
        <v>28215</v>
      </c>
      <c r="I5284" t="s">
        <v>8870</v>
      </c>
      <c r="J5284" t="s">
        <v>31693</v>
      </c>
      <c r="K5284" t="s">
        <v>36706</v>
      </c>
      <c r="M5284" t="s">
        <v>38896</v>
      </c>
      <c r="N5284" t="s">
        <v>40436</v>
      </c>
      <c r="O5284" t="s">
        <v>40437</v>
      </c>
      <c r="P5284">
        <v>0</v>
      </c>
      <c r="Q5284">
        <v>0</v>
      </c>
      <c r="R5284" t="s">
        <v>40440</v>
      </c>
      <c r="S5284" t="s">
        <v>40603</v>
      </c>
      <c r="T5284" t="s">
        <v>42185</v>
      </c>
      <c r="U5284" t="s">
        <v>47104</v>
      </c>
      <c r="W5284" t="s">
        <v>38896</v>
      </c>
      <c r="X5284" t="s">
        <v>40441</v>
      </c>
    </row>
    <row r="5285" spans="1:24">
      <c r="A5285">
        <f>HYPERLINK("https://www.philgeps.gov.ph/GEPSNONPILOT/Tender/SplashBidNoticeAbstractUI.aspx?menuIndex=3&amp;refID=7043979&amp;Result=3","7043979")</f>
        <v>0</v>
      </c>
      <c r="B5285" t="s">
        <v>1781</v>
      </c>
      <c r="C5285" t="s">
        <v>8113</v>
      </c>
      <c r="D5285" t="s">
        <v>16235</v>
      </c>
      <c r="E5285" t="s">
        <v>20965</v>
      </c>
      <c r="F5285" t="s">
        <v>28198</v>
      </c>
      <c r="G5285" t="s">
        <v>28210</v>
      </c>
      <c r="H5285" t="s">
        <v>28215</v>
      </c>
      <c r="I5285" t="s">
        <v>5100</v>
      </c>
      <c r="J5285" t="s">
        <v>31694</v>
      </c>
      <c r="K5285" t="s">
        <v>36689</v>
      </c>
      <c r="M5285" t="s">
        <v>38897</v>
      </c>
      <c r="N5285" t="s">
        <v>40436</v>
      </c>
      <c r="O5285" t="s">
        <v>40437</v>
      </c>
      <c r="P5285">
        <v>0</v>
      </c>
      <c r="Q5285">
        <v>0</v>
      </c>
      <c r="R5285" t="s">
        <v>40440</v>
      </c>
      <c r="S5285" t="s">
        <v>40603</v>
      </c>
      <c r="T5285" t="s">
        <v>42184</v>
      </c>
      <c r="U5285" t="s">
        <v>47105</v>
      </c>
      <c r="W5285" t="s">
        <v>38897</v>
      </c>
      <c r="X5285" t="s">
        <v>40441</v>
      </c>
    </row>
    <row r="5286" spans="1:24">
      <c r="A5286">
        <f>HYPERLINK("https://www.philgeps.gov.ph/GEPSNONPILOT/Tender/SplashBidNoticeAbstractUI.aspx?menuIndex=3&amp;refID=7043972&amp;Result=3","7043972")</f>
        <v>0</v>
      </c>
      <c r="B5286" t="s">
        <v>1782</v>
      </c>
      <c r="C5286" t="s">
        <v>8114</v>
      </c>
      <c r="D5286" t="s">
        <v>16199</v>
      </c>
      <c r="E5286" t="s">
        <v>20966</v>
      </c>
      <c r="F5286" t="s">
        <v>28198</v>
      </c>
      <c r="G5286" t="s">
        <v>28207</v>
      </c>
      <c r="H5286" t="s">
        <v>28215</v>
      </c>
      <c r="I5286" t="s">
        <v>4200</v>
      </c>
      <c r="J5286" t="s">
        <v>29667</v>
      </c>
      <c r="K5286" t="s">
        <v>36723</v>
      </c>
      <c r="M5286" t="s">
        <v>38898</v>
      </c>
      <c r="N5286" t="s">
        <v>40436</v>
      </c>
      <c r="O5286" t="s">
        <v>40437</v>
      </c>
      <c r="P5286">
        <v>0</v>
      </c>
      <c r="Q5286">
        <v>1</v>
      </c>
      <c r="R5286" t="s">
        <v>40440</v>
      </c>
      <c r="S5286" t="s">
        <v>40603</v>
      </c>
      <c r="T5286" t="s">
        <v>42119</v>
      </c>
      <c r="U5286" t="s">
        <v>47106</v>
      </c>
      <c r="W5286" t="s">
        <v>38898</v>
      </c>
      <c r="X5286" t="s">
        <v>40441</v>
      </c>
    </row>
    <row r="5287" spans="1:24">
      <c r="A5287">
        <f>HYPERLINK("https://www.philgeps.gov.ph/GEPSNONPILOT/Tender/SplashBidNoticeAbstractUI.aspx?menuIndex=3&amp;refID=7043957&amp;Result=3","7043957")</f>
        <v>0</v>
      </c>
      <c r="B5287" t="s">
        <v>1157</v>
      </c>
      <c r="C5287" t="s">
        <v>8115</v>
      </c>
      <c r="D5287" t="s">
        <v>16193</v>
      </c>
      <c r="E5287" t="s">
        <v>20967</v>
      </c>
      <c r="F5287" t="s">
        <v>28198</v>
      </c>
      <c r="G5287" t="s">
        <v>28206</v>
      </c>
      <c r="H5287" t="s">
        <v>28215</v>
      </c>
      <c r="I5287" t="s">
        <v>4219</v>
      </c>
      <c r="J5287" t="s">
        <v>31695</v>
      </c>
      <c r="K5287" t="s">
        <v>36689</v>
      </c>
      <c r="M5287" t="s">
        <v>38197</v>
      </c>
      <c r="N5287" t="s">
        <v>40436</v>
      </c>
      <c r="O5287" t="s">
        <v>40437</v>
      </c>
      <c r="P5287">
        <v>0</v>
      </c>
      <c r="Q5287">
        <v>0</v>
      </c>
      <c r="R5287" t="s">
        <v>40440</v>
      </c>
      <c r="S5287" t="s">
        <v>40603</v>
      </c>
      <c r="T5287" t="s">
        <v>42184</v>
      </c>
      <c r="U5287" t="s">
        <v>47107</v>
      </c>
      <c r="W5287" t="s">
        <v>55484</v>
      </c>
      <c r="X5287" t="s">
        <v>40441</v>
      </c>
    </row>
    <row r="5288" spans="1:24">
      <c r="A5288">
        <f>HYPERLINK("https://www.philgeps.gov.ph/GEPSNONPILOT/Tender/SplashBidNoticeAbstractUI.aspx?menuIndex=3&amp;refID=7043983&amp;Result=3","7043983")</f>
        <v>0</v>
      </c>
      <c r="B5288" t="s">
        <v>1783</v>
      </c>
      <c r="C5288" t="s">
        <v>8116</v>
      </c>
      <c r="D5288" t="s">
        <v>16259</v>
      </c>
      <c r="E5288" t="s">
        <v>20968</v>
      </c>
      <c r="F5288" t="s">
        <v>28198</v>
      </c>
      <c r="G5288" t="s">
        <v>28207</v>
      </c>
      <c r="H5288" t="s">
        <v>28215</v>
      </c>
      <c r="I5288" t="s">
        <v>4200</v>
      </c>
      <c r="J5288" t="s">
        <v>31696</v>
      </c>
      <c r="K5288" t="s">
        <v>36706</v>
      </c>
      <c r="M5288" t="s">
        <v>38899</v>
      </c>
      <c r="N5288" t="s">
        <v>40436</v>
      </c>
      <c r="O5288" t="s">
        <v>40437</v>
      </c>
      <c r="P5288">
        <v>0</v>
      </c>
      <c r="Q5288">
        <v>1</v>
      </c>
      <c r="R5288" t="s">
        <v>40440</v>
      </c>
      <c r="S5288" t="s">
        <v>40603</v>
      </c>
      <c r="T5288" t="s">
        <v>42184</v>
      </c>
      <c r="U5288" t="s">
        <v>47108</v>
      </c>
      <c r="V5288" t="s">
        <v>54302</v>
      </c>
      <c r="W5288" t="s">
        <v>38899</v>
      </c>
      <c r="X5288" t="s">
        <v>40441</v>
      </c>
    </row>
    <row r="5289" spans="1:24">
      <c r="A5289">
        <f>HYPERLINK("https://www.philgeps.gov.ph/GEPSNONPILOT/Tender/SplashBidNoticeAbstractUI.aspx?menuIndex=3&amp;refID=7043971&amp;Result=3","7043971")</f>
        <v>0</v>
      </c>
      <c r="B5289" t="s">
        <v>1746</v>
      </c>
      <c r="C5289" t="s">
        <v>8117</v>
      </c>
      <c r="D5289" t="s">
        <v>16190</v>
      </c>
      <c r="E5289" t="s">
        <v>20969</v>
      </c>
      <c r="F5289" t="s">
        <v>28198</v>
      </c>
      <c r="G5289" t="s">
        <v>28205</v>
      </c>
      <c r="H5289" t="s">
        <v>28215</v>
      </c>
      <c r="I5289" t="s">
        <v>28254</v>
      </c>
      <c r="J5289" t="s">
        <v>31697</v>
      </c>
      <c r="K5289" t="s">
        <v>36689</v>
      </c>
      <c r="M5289" t="s">
        <v>38858</v>
      </c>
      <c r="N5289" t="s">
        <v>40436</v>
      </c>
      <c r="O5289" t="s">
        <v>40437</v>
      </c>
      <c r="P5289">
        <v>0</v>
      </c>
      <c r="Q5289">
        <v>2</v>
      </c>
      <c r="R5289" t="s">
        <v>40440</v>
      </c>
      <c r="S5289" t="s">
        <v>40603</v>
      </c>
      <c r="T5289" t="s">
        <v>42152</v>
      </c>
      <c r="U5289" t="s">
        <v>47109</v>
      </c>
      <c r="W5289" t="s">
        <v>38858</v>
      </c>
      <c r="X5289" t="s">
        <v>40441</v>
      </c>
    </row>
    <row r="5290" spans="1:24">
      <c r="A5290">
        <f>HYPERLINK("https://www.philgeps.gov.ph/GEPSNONPILOT/Tender/SplashBidNoticeAbstractUI.aspx?menuIndex=3&amp;refID=7043975&amp;Result=3","7043975")</f>
        <v>0</v>
      </c>
      <c r="B5290" t="s">
        <v>1778</v>
      </c>
      <c r="C5290" t="s">
        <v>8118</v>
      </c>
      <c r="D5290" t="s">
        <v>16249</v>
      </c>
      <c r="E5290" t="s">
        <v>20970</v>
      </c>
      <c r="F5290" t="s">
        <v>28198</v>
      </c>
      <c r="G5290" t="s">
        <v>28207</v>
      </c>
      <c r="H5290" t="s">
        <v>28215</v>
      </c>
      <c r="I5290" t="s">
        <v>28251</v>
      </c>
      <c r="J5290" t="s">
        <v>31698</v>
      </c>
      <c r="K5290" t="s">
        <v>36701</v>
      </c>
      <c r="M5290" t="s">
        <v>38894</v>
      </c>
      <c r="N5290" t="s">
        <v>40436</v>
      </c>
      <c r="O5290" t="s">
        <v>40437</v>
      </c>
      <c r="P5290">
        <v>0</v>
      </c>
      <c r="Q5290">
        <v>0</v>
      </c>
      <c r="R5290" t="s">
        <v>40440</v>
      </c>
      <c r="S5290" t="s">
        <v>40603</v>
      </c>
      <c r="T5290" t="s">
        <v>42297</v>
      </c>
      <c r="U5290" t="s">
        <v>47110</v>
      </c>
      <c r="W5290" t="s">
        <v>38894</v>
      </c>
      <c r="X5290" t="s">
        <v>40441</v>
      </c>
    </row>
    <row r="5291" spans="1:24">
      <c r="A5291">
        <f>HYPERLINK("https://www.philgeps.gov.ph/GEPSNONPILOT/Tender/SplashBidNoticeAbstractUI.aspx?menuIndex=3&amp;refID=7043958&amp;Result=3","7043958")</f>
        <v>0</v>
      </c>
      <c r="B5291" t="s">
        <v>259</v>
      </c>
      <c r="C5291" t="s">
        <v>3531</v>
      </c>
      <c r="D5291" t="s">
        <v>16241</v>
      </c>
      <c r="E5291" t="s">
        <v>20971</v>
      </c>
      <c r="F5291" t="s">
        <v>28198</v>
      </c>
      <c r="G5291" t="s">
        <v>28206</v>
      </c>
      <c r="H5291" t="s">
        <v>28215</v>
      </c>
      <c r="I5291" t="s">
        <v>4219</v>
      </c>
      <c r="J5291" t="s">
        <v>28350</v>
      </c>
      <c r="K5291" t="s">
        <v>36693</v>
      </c>
      <c r="M5291" t="s">
        <v>37235</v>
      </c>
      <c r="N5291" t="s">
        <v>40436</v>
      </c>
      <c r="O5291" t="s">
        <v>40437</v>
      </c>
      <c r="P5291">
        <v>0</v>
      </c>
      <c r="Q5291">
        <v>1</v>
      </c>
      <c r="R5291" t="s">
        <v>40440</v>
      </c>
      <c r="S5291" t="s">
        <v>40603</v>
      </c>
      <c r="T5291" t="s">
        <v>42216</v>
      </c>
      <c r="U5291" t="s">
        <v>47111</v>
      </c>
      <c r="V5291" t="s">
        <v>54303</v>
      </c>
      <c r="W5291" t="s">
        <v>37235</v>
      </c>
      <c r="X5291" t="s">
        <v>40441</v>
      </c>
    </row>
    <row r="5292" spans="1:24">
      <c r="A5292">
        <f>HYPERLINK("https://www.philgeps.gov.ph/GEPSNONPILOT/Tender/SplashBidNoticeAbstractUI.aspx?menuIndex=3&amp;refID=7043970&amp;Result=3","7043970")</f>
        <v>0</v>
      </c>
      <c r="B5292" t="s">
        <v>1784</v>
      </c>
      <c r="C5292" t="s">
        <v>8119</v>
      </c>
      <c r="D5292" t="s">
        <v>16216</v>
      </c>
      <c r="E5292" t="s">
        <v>20972</v>
      </c>
      <c r="F5292" t="s">
        <v>28198</v>
      </c>
      <c r="G5292" t="s">
        <v>28207</v>
      </c>
      <c r="H5292" t="s">
        <v>28215</v>
      </c>
      <c r="I5292" t="s">
        <v>4168</v>
      </c>
      <c r="J5292" t="s">
        <v>28430</v>
      </c>
      <c r="K5292" t="s">
        <v>36696</v>
      </c>
      <c r="M5292" t="s">
        <v>38900</v>
      </c>
      <c r="N5292" t="s">
        <v>40436</v>
      </c>
      <c r="O5292" t="s">
        <v>40437</v>
      </c>
      <c r="P5292">
        <v>0</v>
      </c>
      <c r="Q5292">
        <v>6</v>
      </c>
      <c r="R5292" t="s">
        <v>40440</v>
      </c>
      <c r="S5292" t="s">
        <v>40603</v>
      </c>
      <c r="T5292" t="s">
        <v>42417</v>
      </c>
      <c r="U5292" t="s">
        <v>47112</v>
      </c>
      <c r="W5292" t="s">
        <v>38900</v>
      </c>
      <c r="X5292" t="s">
        <v>40441</v>
      </c>
    </row>
    <row r="5293" spans="1:24">
      <c r="A5293">
        <f>HYPERLINK("https://www.philgeps.gov.ph/GEPSNONPILOT/Tender/SplashBidNoticeAbstractUI.aspx?menuIndex=3&amp;refID=7043974&amp;Result=3","7043974")</f>
        <v>0</v>
      </c>
      <c r="B5293" t="s">
        <v>1785</v>
      </c>
      <c r="C5293" t="s">
        <v>8114</v>
      </c>
      <c r="D5293" t="s">
        <v>16199</v>
      </c>
      <c r="E5293" t="s">
        <v>20973</v>
      </c>
      <c r="F5293" t="s">
        <v>28198</v>
      </c>
      <c r="G5293" t="s">
        <v>28207</v>
      </c>
      <c r="H5293" t="s">
        <v>28215</v>
      </c>
      <c r="I5293" t="s">
        <v>4200</v>
      </c>
      <c r="J5293" t="s">
        <v>29667</v>
      </c>
      <c r="K5293" t="s">
        <v>36723</v>
      </c>
      <c r="M5293" t="s">
        <v>38901</v>
      </c>
      <c r="N5293" t="s">
        <v>40436</v>
      </c>
      <c r="O5293" t="s">
        <v>40437</v>
      </c>
      <c r="P5293">
        <v>0</v>
      </c>
      <c r="Q5293">
        <v>1</v>
      </c>
      <c r="R5293" t="s">
        <v>40440</v>
      </c>
      <c r="S5293" t="s">
        <v>40603</v>
      </c>
      <c r="T5293" t="s">
        <v>42418</v>
      </c>
      <c r="U5293" t="s">
        <v>47113</v>
      </c>
      <c r="W5293" t="s">
        <v>38901</v>
      </c>
      <c r="X5293" t="s">
        <v>40441</v>
      </c>
    </row>
    <row r="5294" spans="1:24">
      <c r="A5294">
        <f>HYPERLINK("https://www.philgeps.gov.ph/GEPSNONPILOT/Tender/SplashBidNoticeAbstractUI.aspx?menuIndex=3&amp;refID=7043973&amp;Result=3","7043973")</f>
        <v>0</v>
      </c>
      <c r="B5294" t="s">
        <v>1157</v>
      </c>
      <c r="C5294" t="s">
        <v>8120</v>
      </c>
      <c r="D5294" t="s">
        <v>16193</v>
      </c>
      <c r="E5294" t="s">
        <v>20974</v>
      </c>
      <c r="F5294" t="s">
        <v>28198</v>
      </c>
      <c r="G5294" t="s">
        <v>28206</v>
      </c>
      <c r="H5294" t="s">
        <v>28215</v>
      </c>
      <c r="I5294" t="s">
        <v>28225</v>
      </c>
      <c r="J5294" t="s">
        <v>31699</v>
      </c>
      <c r="K5294" t="s">
        <v>36689</v>
      </c>
      <c r="M5294" t="s">
        <v>38197</v>
      </c>
      <c r="N5294" t="s">
        <v>40436</v>
      </c>
      <c r="O5294" t="s">
        <v>40437</v>
      </c>
      <c r="P5294">
        <v>0</v>
      </c>
      <c r="Q5294">
        <v>0</v>
      </c>
      <c r="R5294" t="s">
        <v>40440</v>
      </c>
      <c r="S5294" t="s">
        <v>40603</v>
      </c>
      <c r="T5294" t="s">
        <v>42184</v>
      </c>
      <c r="U5294" t="s">
        <v>47114</v>
      </c>
      <c r="W5294" t="s">
        <v>55484</v>
      </c>
      <c r="X5294" t="s">
        <v>40441</v>
      </c>
    </row>
    <row r="5295" spans="1:24">
      <c r="A5295">
        <f>HYPERLINK("https://www.philgeps.gov.ph/GEPSNONPILOT/Tender/SplashBidNoticeAbstractUI.aspx?menuIndex=3&amp;refID=7043996&amp;Result=3","7043996")</f>
        <v>0</v>
      </c>
      <c r="B5295" t="s">
        <v>1157</v>
      </c>
      <c r="C5295" t="s">
        <v>8121</v>
      </c>
      <c r="D5295" t="s">
        <v>16193</v>
      </c>
      <c r="E5295" t="s">
        <v>20975</v>
      </c>
      <c r="F5295" t="s">
        <v>28198</v>
      </c>
      <c r="G5295" t="s">
        <v>28206</v>
      </c>
      <c r="H5295" t="s">
        <v>28215</v>
      </c>
      <c r="I5295" t="s">
        <v>5071</v>
      </c>
      <c r="J5295" t="s">
        <v>31700</v>
      </c>
      <c r="K5295" t="s">
        <v>36689</v>
      </c>
      <c r="M5295" t="s">
        <v>38197</v>
      </c>
      <c r="N5295" t="s">
        <v>40436</v>
      </c>
      <c r="O5295" t="s">
        <v>40437</v>
      </c>
      <c r="P5295">
        <v>0</v>
      </c>
      <c r="Q5295">
        <v>0</v>
      </c>
      <c r="R5295" t="s">
        <v>40440</v>
      </c>
      <c r="S5295" t="s">
        <v>40603</v>
      </c>
      <c r="T5295" t="s">
        <v>42184</v>
      </c>
      <c r="U5295" t="s">
        <v>47115</v>
      </c>
      <c r="W5295" t="s">
        <v>55484</v>
      </c>
      <c r="X5295" t="s">
        <v>40441</v>
      </c>
    </row>
    <row r="5296" spans="1:24">
      <c r="A5296">
        <f>HYPERLINK("https://www.philgeps.gov.ph/GEPSNONPILOT/Tender/SplashBidNoticeAbstractUI.aspx?menuIndex=3&amp;refID=7043968&amp;Result=3","7043968")</f>
        <v>0</v>
      </c>
      <c r="B5296" t="s">
        <v>1786</v>
      </c>
      <c r="C5296" t="s">
        <v>8122</v>
      </c>
      <c r="D5296" t="s">
        <v>16234</v>
      </c>
      <c r="E5296" t="s">
        <v>20976</v>
      </c>
      <c r="F5296" t="s">
        <v>28198</v>
      </c>
      <c r="G5296" t="s">
        <v>28210</v>
      </c>
      <c r="H5296" t="s">
        <v>28215</v>
      </c>
      <c r="I5296" t="s">
        <v>4219</v>
      </c>
      <c r="J5296" t="s">
        <v>29172</v>
      </c>
      <c r="K5296" t="s">
        <v>36706</v>
      </c>
      <c r="M5296" t="s">
        <v>38902</v>
      </c>
      <c r="N5296" t="s">
        <v>40436</v>
      </c>
      <c r="O5296" t="s">
        <v>40437</v>
      </c>
      <c r="P5296">
        <v>0</v>
      </c>
      <c r="Q5296">
        <v>2</v>
      </c>
      <c r="R5296" t="s">
        <v>40440</v>
      </c>
      <c r="S5296" t="s">
        <v>40603</v>
      </c>
      <c r="T5296" t="s">
        <v>42119</v>
      </c>
      <c r="U5296" t="s">
        <v>47116</v>
      </c>
      <c r="W5296" t="s">
        <v>38902</v>
      </c>
      <c r="X5296" t="s">
        <v>40441</v>
      </c>
    </row>
    <row r="5297" spans="1:24">
      <c r="A5297">
        <f>HYPERLINK("https://www.philgeps.gov.ph/GEPSNONPILOT/Tender/SplashBidNoticeAbstractUI.aspx?menuIndex=3&amp;refID=7043967&amp;Result=3","7043967")</f>
        <v>0</v>
      </c>
      <c r="B5297" t="s">
        <v>1778</v>
      </c>
      <c r="C5297" t="s">
        <v>8123</v>
      </c>
      <c r="D5297" t="s">
        <v>16249</v>
      </c>
      <c r="E5297" t="s">
        <v>20977</v>
      </c>
      <c r="F5297" t="s">
        <v>28198</v>
      </c>
      <c r="G5297" t="s">
        <v>28207</v>
      </c>
      <c r="H5297" t="s">
        <v>28215</v>
      </c>
      <c r="I5297" t="s">
        <v>28239</v>
      </c>
      <c r="J5297" t="s">
        <v>31701</v>
      </c>
      <c r="K5297" t="s">
        <v>36701</v>
      </c>
      <c r="M5297" t="s">
        <v>38894</v>
      </c>
      <c r="N5297" t="s">
        <v>40436</v>
      </c>
      <c r="O5297" t="s">
        <v>40437</v>
      </c>
      <c r="P5297">
        <v>0</v>
      </c>
      <c r="Q5297">
        <v>4</v>
      </c>
      <c r="R5297" t="s">
        <v>40440</v>
      </c>
      <c r="S5297" t="s">
        <v>40603</v>
      </c>
      <c r="T5297" t="s">
        <v>42297</v>
      </c>
      <c r="U5297" t="s">
        <v>47117</v>
      </c>
      <c r="W5297" t="s">
        <v>38894</v>
      </c>
      <c r="X5297" t="s">
        <v>40441</v>
      </c>
    </row>
    <row r="5298" spans="1:24">
      <c r="A5298">
        <f>HYPERLINK("https://www.philgeps.gov.ph/GEPSNONPILOT/Tender/SplashBidNoticeAbstractUI.aspx?menuIndex=3&amp;refID=7043986&amp;Result=3","7043986")</f>
        <v>0</v>
      </c>
      <c r="B5298" t="s">
        <v>1780</v>
      </c>
      <c r="C5298" t="s">
        <v>8124</v>
      </c>
      <c r="D5298" t="s">
        <v>16195</v>
      </c>
      <c r="E5298" t="s">
        <v>20978</v>
      </c>
      <c r="F5298" t="s">
        <v>28198</v>
      </c>
      <c r="G5298" t="s">
        <v>28207</v>
      </c>
      <c r="H5298" t="s">
        <v>28217</v>
      </c>
      <c r="I5298" t="s">
        <v>28239</v>
      </c>
      <c r="J5298" t="s">
        <v>28436</v>
      </c>
      <c r="K5298" t="s">
        <v>36687</v>
      </c>
      <c r="M5298" t="s">
        <v>38896</v>
      </c>
      <c r="N5298" t="s">
        <v>40436</v>
      </c>
      <c r="O5298" t="s">
        <v>40437</v>
      </c>
      <c r="P5298">
        <v>0</v>
      </c>
      <c r="Q5298">
        <v>0</v>
      </c>
      <c r="R5298" t="s">
        <v>40440</v>
      </c>
      <c r="S5298" t="s">
        <v>40603</v>
      </c>
      <c r="T5298" t="s">
        <v>42185</v>
      </c>
      <c r="U5298" t="s">
        <v>47118</v>
      </c>
      <c r="W5298" t="s">
        <v>38896</v>
      </c>
      <c r="X5298" t="s">
        <v>40441</v>
      </c>
    </row>
    <row r="5299" spans="1:24">
      <c r="A5299">
        <f>HYPERLINK("https://www.philgeps.gov.ph/GEPSNONPILOT/Tender/SplashBidNoticeAbstractUI.aspx?menuIndex=3&amp;refID=7043999&amp;Result=3","7043999")</f>
        <v>0</v>
      </c>
      <c r="B5299" t="s">
        <v>1157</v>
      </c>
      <c r="C5299" t="s">
        <v>8125</v>
      </c>
      <c r="D5299" t="s">
        <v>16193</v>
      </c>
      <c r="E5299" t="s">
        <v>20979</v>
      </c>
      <c r="F5299" t="s">
        <v>28198</v>
      </c>
      <c r="G5299" t="s">
        <v>28206</v>
      </c>
      <c r="H5299" t="s">
        <v>28215</v>
      </c>
      <c r="I5299" t="s">
        <v>5071</v>
      </c>
      <c r="J5299" t="s">
        <v>31702</v>
      </c>
      <c r="K5299" t="s">
        <v>36689</v>
      </c>
      <c r="M5299" t="s">
        <v>38197</v>
      </c>
      <c r="N5299" t="s">
        <v>40436</v>
      </c>
      <c r="O5299" t="s">
        <v>40437</v>
      </c>
      <c r="P5299">
        <v>0</v>
      </c>
      <c r="Q5299">
        <v>0</v>
      </c>
      <c r="R5299" t="s">
        <v>40440</v>
      </c>
      <c r="S5299" t="s">
        <v>40603</v>
      </c>
      <c r="T5299" t="s">
        <v>42184</v>
      </c>
      <c r="U5299" t="s">
        <v>47119</v>
      </c>
      <c r="W5299" t="s">
        <v>55484</v>
      </c>
      <c r="X5299" t="s">
        <v>40441</v>
      </c>
    </row>
    <row r="5300" spans="1:24">
      <c r="A5300">
        <f>HYPERLINK("https://www.philgeps.gov.ph/GEPSNONPILOT/Tender/SplashBidNoticeAbstractUI.aspx?menuIndex=3&amp;refID=7044003&amp;Result=3","7044003")</f>
        <v>0</v>
      </c>
      <c r="B5300" t="s">
        <v>1157</v>
      </c>
      <c r="C5300" t="s">
        <v>8126</v>
      </c>
      <c r="D5300" t="s">
        <v>16193</v>
      </c>
      <c r="E5300" t="s">
        <v>20980</v>
      </c>
      <c r="F5300" t="s">
        <v>28198</v>
      </c>
      <c r="G5300" t="s">
        <v>28206</v>
      </c>
      <c r="H5300" t="s">
        <v>28215</v>
      </c>
      <c r="I5300" t="s">
        <v>3422</v>
      </c>
      <c r="J5300" t="s">
        <v>28430</v>
      </c>
      <c r="K5300" t="s">
        <v>36689</v>
      </c>
      <c r="M5300" t="s">
        <v>38197</v>
      </c>
      <c r="N5300" t="s">
        <v>40436</v>
      </c>
      <c r="O5300" t="s">
        <v>40437</v>
      </c>
      <c r="P5300">
        <v>0</v>
      </c>
      <c r="Q5300">
        <v>0</v>
      </c>
      <c r="R5300" t="s">
        <v>40440</v>
      </c>
      <c r="S5300" t="s">
        <v>40603</v>
      </c>
      <c r="T5300" t="s">
        <v>42184</v>
      </c>
      <c r="U5300" t="s">
        <v>47120</v>
      </c>
      <c r="W5300" t="s">
        <v>55484</v>
      </c>
      <c r="X5300" t="s">
        <v>40441</v>
      </c>
    </row>
    <row r="5301" spans="1:24">
      <c r="A5301">
        <f>HYPERLINK("https://www.philgeps.gov.ph/GEPSNONPILOT/Tender/SplashBidNoticeAbstractUI.aspx?menuIndex=3&amp;refID=7043989&amp;Result=3","7043989")</f>
        <v>0</v>
      </c>
      <c r="B5301" t="s">
        <v>1157</v>
      </c>
      <c r="C5301" t="s">
        <v>8127</v>
      </c>
      <c r="D5301" t="s">
        <v>16193</v>
      </c>
      <c r="E5301" t="s">
        <v>20981</v>
      </c>
      <c r="F5301" t="s">
        <v>28198</v>
      </c>
      <c r="G5301" t="s">
        <v>28206</v>
      </c>
      <c r="H5301" t="s">
        <v>28215</v>
      </c>
      <c r="I5301" t="s">
        <v>28248</v>
      </c>
      <c r="J5301" t="s">
        <v>31703</v>
      </c>
      <c r="K5301" t="s">
        <v>36689</v>
      </c>
      <c r="M5301" t="s">
        <v>38197</v>
      </c>
      <c r="N5301" t="s">
        <v>40436</v>
      </c>
      <c r="O5301" t="s">
        <v>40437</v>
      </c>
      <c r="P5301">
        <v>0</v>
      </c>
      <c r="Q5301">
        <v>3</v>
      </c>
      <c r="R5301" t="s">
        <v>40440</v>
      </c>
      <c r="S5301" t="s">
        <v>40603</v>
      </c>
      <c r="T5301" t="s">
        <v>42184</v>
      </c>
      <c r="U5301" t="s">
        <v>47121</v>
      </c>
      <c r="W5301" t="s">
        <v>55484</v>
      </c>
      <c r="X5301" t="s">
        <v>40441</v>
      </c>
    </row>
    <row r="5302" spans="1:24">
      <c r="A5302">
        <f>HYPERLINK("https://www.philgeps.gov.ph/GEPSNONPILOT/Tender/SplashBidNoticeAbstractUI.aspx?menuIndex=3&amp;refID=7044000&amp;Result=3","7044000")</f>
        <v>0</v>
      </c>
      <c r="B5302" t="s">
        <v>1787</v>
      </c>
      <c r="C5302" t="s">
        <v>8128</v>
      </c>
      <c r="D5302" t="s">
        <v>16210</v>
      </c>
      <c r="E5302" t="s">
        <v>20982</v>
      </c>
      <c r="F5302" t="s">
        <v>28198</v>
      </c>
      <c r="G5302" t="s">
        <v>28207</v>
      </c>
      <c r="H5302" t="s">
        <v>28215</v>
      </c>
      <c r="I5302" t="s">
        <v>3774</v>
      </c>
      <c r="J5302" t="s">
        <v>31704</v>
      </c>
      <c r="K5302" t="s">
        <v>36688</v>
      </c>
      <c r="M5302" t="s">
        <v>38903</v>
      </c>
      <c r="N5302" t="s">
        <v>40436</v>
      </c>
      <c r="O5302" t="s">
        <v>40437</v>
      </c>
      <c r="P5302">
        <v>0</v>
      </c>
      <c r="Q5302">
        <v>3</v>
      </c>
      <c r="R5302" t="s">
        <v>40440</v>
      </c>
      <c r="S5302" t="s">
        <v>40603</v>
      </c>
      <c r="T5302" t="s">
        <v>42378</v>
      </c>
      <c r="U5302" t="s">
        <v>47122</v>
      </c>
      <c r="W5302" t="s">
        <v>38903</v>
      </c>
      <c r="X5302" t="s">
        <v>40441</v>
      </c>
    </row>
    <row r="5303" spans="1:24">
      <c r="A5303">
        <f>HYPERLINK("https://www.philgeps.gov.ph/GEPSNONPILOT/Tender/SplashBidNoticeAbstractUI.aspx?menuIndex=3&amp;refID=7043994&amp;Result=3","7043994")</f>
        <v>0</v>
      </c>
      <c r="B5303" t="s">
        <v>1157</v>
      </c>
      <c r="C5303" t="s">
        <v>8129</v>
      </c>
      <c r="D5303" t="s">
        <v>16193</v>
      </c>
      <c r="E5303" t="s">
        <v>20983</v>
      </c>
      <c r="F5303" t="s">
        <v>28198</v>
      </c>
      <c r="G5303" t="s">
        <v>28206</v>
      </c>
      <c r="H5303" t="s">
        <v>28215</v>
      </c>
      <c r="I5303" t="s">
        <v>3422</v>
      </c>
      <c r="J5303" t="s">
        <v>31705</v>
      </c>
      <c r="K5303" t="s">
        <v>36689</v>
      </c>
      <c r="M5303" t="s">
        <v>38197</v>
      </c>
      <c r="N5303" t="s">
        <v>40436</v>
      </c>
      <c r="O5303" t="s">
        <v>40437</v>
      </c>
      <c r="P5303">
        <v>0</v>
      </c>
      <c r="Q5303">
        <v>0</v>
      </c>
      <c r="R5303" t="s">
        <v>40440</v>
      </c>
      <c r="S5303" t="s">
        <v>40603</v>
      </c>
      <c r="T5303" t="s">
        <v>42184</v>
      </c>
      <c r="U5303" t="s">
        <v>47123</v>
      </c>
      <c r="W5303" t="s">
        <v>55484</v>
      </c>
      <c r="X5303" t="s">
        <v>40441</v>
      </c>
    </row>
    <row r="5304" spans="1:24">
      <c r="A5304">
        <f>HYPERLINK("https://www.philgeps.gov.ph/GEPSNONPILOT/Tender/SplashBidNoticeAbstractUI.aspx?menuIndex=3&amp;refID=7044026&amp;Result=3","7044026")</f>
        <v>0</v>
      </c>
      <c r="B5304" t="s">
        <v>1610</v>
      </c>
      <c r="C5304" t="s">
        <v>8130</v>
      </c>
      <c r="E5304" t="s">
        <v>20984</v>
      </c>
      <c r="F5304" t="s">
        <v>28198</v>
      </c>
      <c r="G5304" t="s">
        <v>28210</v>
      </c>
      <c r="H5304" t="s">
        <v>28215</v>
      </c>
      <c r="I5304" t="s">
        <v>5082</v>
      </c>
      <c r="J5304" t="s">
        <v>31706</v>
      </c>
      <c r="K5304" t="s">
        <v>36689</v>
      </c>
      <c r="M5304" t="s">
        <v>38697</v>
      </c>
      <c r="N5304" t="s">
        <v>40436</v>
      </c>
      <c r="O5304" t="s">
        <v>40437</v>
      </c>
      <c r="P5304">
        <v>0</v>
      </c>
      <c r="Q5304">
        <v>2</v>
      </c>
      <c r="R5304" t="s">
        <v>40440</v>
      </c>
      <c r="S5304" t="s">
        <v>40603</v>
      </c>
      <c r="T5304" t="s">
        <v>42378</v>
      </c>
      <c r="U5304" t="s">
        <v>47124</v>
      </c>
      <c r="W5304" t="s">
        <v>38697</v>
      </c>
      <c r="X5304" t="s">
        <v>40441</v>
      </c>
    </row>
    <row r="5305" spans="1:24">
      <c r="A5305">
        <f>HYPERLINK("https://www.philgeps.gov.ph/GEPSNONPILOT/Tender/SplashBidNoticeAbstractUI.aspx?menuIndex=3&amp;refID=7044024&amp;Result=3","7044024")</f>
        <v>0</v>
      </c>
      <c r="B5305" t="s">
        <v>1610</v>
      </c>
      <c r="C5305" t="s">
        <v>8131</v>
      </c>
      <c r="E5305" t="s">
        <v>20985</v>
      </c>
      <c r="F5305" t="s">
        <v>28198</v>
      </c>
      <c r="G5305" t="s">
        <v>28207</v>
      </c>
      <c r="H5305" t="s">
        <v>28215</v>
      </c>
      <c r="I5305" t="s">
        <v>5082</v>
      </c>
      <c r="J5305" t="s">
        <v>30039</v>
      </c>
      <c r="K5305" t="s">
        <v>36689</v>
      </c>
      <c r="M5305" t="s">
        <v>38697</v>
      </c>
      <c r="N5305" t="s">
        <v>40436</v>
      </c>
      <c r="O5305" t="s">
        <v>40437</v>
      </c>
      <c r="P5305">
        <v>0</v>
      </c>
      <c r="Q5305">
        <v>5</v>
      </c>
      <c r="R5305" t="s">
        <v>40440</v>
      </c>
      <c r="S5305" t="s">
        <v>40603</v>
      </c>
      <c r="T5305" t="s">
        <v>42378</v>
      </c>
      <c r="U5305" t="s">
        <v>47124</v>
      </c>
      <c r="W5305" t="s">
        <v>38697</v>
      </c>
      <c r="X5305" t="s">
        <v>40441</v>
      </c>
    </row>
    <row r="5306" spans="1:24">
      <c r="A5306">
        <f>HYPERLINK("https://www.philgeps.gov.ph/GEPSNONPILOT/Tender/SplashBidNoticeAbstractUI.aspx?menuIndex=3&amp;refID=7043990&amp;Result=3","7043990")</f>
        <v>0</v>
      </c>
      <c r="B5306" t="s">
        <v>1780</v>
      </c>
      <c r="C5306" t="s">
        <v>8132</v>
      </c>
      <c r="D5306" t="s">
        <v>16195</v>
      </c>
      <c r="E5306" t="s">
        <v>20986</v>
      </c>
      <c r="F5306" t="s">
        <v>28198</v>
      </c>
      <c r="G5306" t="s">
        <v>28207</v>
      </c>
      <c r="H5306" t="s">
        <v>28215</v>
      </c>
      <c r="I5306" t="s">
        <v>5100</v>
      </c>
      <c r="J5306" t="s">
        <v>31707</v>
      </c>
      <c r="K5306" t="s">
        <v>36706</v>
      </c>
      <c r="M5306" t="s">
        <v>38896</v>
      </c>
      <c r="N5306" t="s">
        <v>40436</v>
      </c>
      <c r="O5306" t="s">
        <v>40437</v>
      </c>
      <c r="P5306">
        <v>0</v>
      </c>
      <c r="Q5306">
        <v>0</v>
      </c>
      <c r="R5306" t="s">
        <v>40440</v>
      </c>
      <c r="S5306" t="s">
        <v>40603</v>
      </c>
      <c r="T5306" t="s">
        <v>42185</v>
      </c>
      <c r="U5306" t="s">
        <v>47125</v>
      </c>
      <c r="W5306" t="s">
        <v>38896</v>
      </c>
      <c r="X5306" t="s">
        <v>40441</v>
      </c>
    </row>
    <row r="5307" spans="1:24">
      <c r="A5307">
        <f>HYPERLINK("https://www.philgeps.gov.ph/GEPSNONPILOT/Tender/SplashBidNoticeAbstractUI.aspx?menuIndex=3&amp;refID=7044027&amp;Result=3","7044027")</f>
        <v>0</v>
      </c>
      <c r="B5307" t="s">
        <v>1294</v>
      </c>
      <c r="C5307" t="s">
        <v>8133</v>
      </c>
      <c r="D5307" t="s">
        <v>16193</v>
      </c>
      <c r="E5307" t="s">
        <v>20987</v>
      </c>
      <c r="F5307" t="s">
        <v>28198</v>
      </c>
      <c r="G5307" t="s">
        <v>28207</v>
      </c>
      <c r="H5307" t="s">
        <v>28215</v>
      </c>
      <c r="I5307" t="s">
        <v>6786</v>
      </c>
      <c r="J5307" t="s">
        <v>31708</v>
      </c>
      <c r="K5307" t="s">
        <v>36705</v>
      </c>
      <c r="M5307" t="s">
        <v>38347</v>
      </c>
      <c r="N5307" t="s">
        <v>40436</v>
      </c>
      <c r="O5307" t="s">
        <v>40437</v>
      </c>
      <c r="P5307">
        <v>0</v>
      </c>
      <c r="Q5307">
        <v>1</v>
      </c>
      <c r="R5307" t="s">
        <v>40440</v>
      </c>
      <c r="S5307" t="s">
        <v>40603</v>
      </c>
      <c r="T5307" t="s">
        <v>42419</v>
      </c>
      <c r="U5307" t="s">
        <v>47126</v>
      </c>
      <c r="V5307" t="s">
        <v>54304</v>
      </c>
      <c r="W5307" t="s">
        <v>38347</v>
      </c>
      <c r="X5307" t="s">
        <v>40441</v>
      </c>
    </row>
    <row r="5308" spans="1:24">
      <c r="A5308">
        <f>HYPERLINK("https://www.philgeps.gov.ph/GEPSNONPILOT/Tender/SplashBidNoticeAbstractUI.aspx?menuIndex=3&amp;refID=7044022&amp;Result=3","7044022")</f>
        <v>0</v>
      </c>
      <c r="B5308" t="s">
        <v>1610</v>
      </c>
      <c r="C5308" t="s">
        <v>8134</v>
      </c>
      <c r="E5308" t="s">
        <v>20988</v>
      </c>
      <c r="F5308" t="s">
        <v>28198</v>
      </c>
      <c r="G5308" t="s">
        <v>28210</v>
      </c>
      <c r="H5308" t="s">
        <v>28215</v>
      </c>
      <c r="I5308" t="s">
        <v>5082</v>
      </c>
      <c r="J5308" t="s">
        <v>31709</v>
      </c>
      <c r="K5308" t="s">
        <v>36689</v>
      </c>
      <c r="M5308" t="s">
        <v>38697</v>
      </c>
      <c r="N5308" t="s">
        <v>40436</v>
      </c>
      <c r="O5308" t="s">
        <v>40437</v>
      </c>
      <c r="P5308">
        <v>0</v>
      </c>
      <c r="Q5308">
        <v>3</v>
      </c>
      <c r="R5308" t="s">
        <v>40440</v>
      </c>
      <c r="S5308" t="s">
        <v>40603</v>
      </c>
      <c r="T5308" t="s">
        <v>42378</v>
      </c>
      <c r="U5308" t="s">
        <v>47124</v>
      </c>
      <c r="W5308" t="s">
        <v>38697</v>
      </c>
      <c r="X5308" t="s">
        <v>40441</v>
      </c>
    </row>
    <row r="5309" spans="1:24">
      <c r="A5309">
        <f>HYPERLINK("https://www.philgeps.gov.ph/GEPSNONPILOT/Tender/SplashBidNoticeAbstractUI.aspx?menuIndex=3&amp;refID=7044021&amp;Result=3","7044021")</f>
        <v>0</v>
      </c>
      <c r="B5309" t="s">
        <v>1157</v>
      </c>
      <c r="C5309" t="s">
        <v>8135</v>
      </c>
      <c r="D5309" t="s">
        <v>16193</v>
      </c>
      <c r="E5309" t="s">
        <v>20989</v>
      </c>
      <c r="F5309" t="s">
        <v>28198</v>
      </c>
      <c r="G5309" t="s">
        <v>28206</v>
      </c>
      <c r="H5309" t="s">
        <v>28215</v>
      </c>
      <c r="I5309" t="s">
        <v>28265</v>
      </c>
      <c r="J5309" t="s">
        <v>28389</v>
      </c>
      <c r="K5309" t="s">
        <v>36689</v>
      </c>
      <c r="M5309" t="s">
        <v>38197</v>
      </c>
      <c r="N5309" t="s">
        <v>40436</v>
      </c>
      <c r="O5309" t="s">
        <v>40437</v>
      </c>
      <c r="Q5309">
        <v>0</v>
      </c>
      <c r="R5309" t="s">
        <v>40440</v>
      </c>
      <c r="S5309" t="s">
        <v>40633</v>
      </c>
      <c r="T5309" t="s">
        <v>42184</v>
      </c>
      <c r="U5309" t="s">
        <v>47127</v>
      </c>
      <c r="W5309" t="s">
        <v>55484</v>
      </c>
      <c r="X5309" t="s">
        <v>40441</v>
      </c>
    </row>
    <row r="5310" spans="1:24">
      <c r="A5310">
        <f>HYPERLINK("https://www.philgeps.gov.ph/GEPSNONPILOT/Tender/SplashBidNoticeAbstractUI.aspx?menuIndex=3&amp;refID=7044023&amp;Result=3","7044023")</f>
        <v>0</v>
      </c>
      <c r="B5310" t="s">
        <v>1610</v>
      </c>
      <c r="C5310" t="s">
        <v>8136</v>
      </c>
      <c r="E5310" t="s">
        <v>20990</v>
      </c>
      <c r="F5310" t="s">
        <v>28198</v>
      </c>
      <c r="G5310" t="s">
        <v>28207</v>
      </c>
      <c r="H5310" t="s">
        <v>28215</v>
      </c>
      <c r="I5310" t="s">
        <v>28247</v>
      </c>
      <c r="J5310" t="s">
        <v>28941</v>
      </c>
      <c r="K5310" t="s">
        <v>36689</v>
      </c>
      <c r="M5310" t="s">
        <v>38697</v>
      </c>
      <c r="N5310" t="s">
        <v>40436</v>
      </c>
      <c r="O5310" t="s">
        <v>40437</v>
      </c>
      <c r="P5310">
        <v>0</v>
      </c>
      <c r="Q5310">
        <v>3</v>
      </c>
      <c r="R5310" t="s">
        <v>40440</v>
      </c>
      <c r="S5310" t="s">
        <v>40603</v>
      </c>
      <c r="T5310" t="s">
        <v>42378</v>
      </c>
      <c r="U5310" t="s">
        <v>47124</v>
      </c>
      <c r="W5310" t="s">
        <v>38697</v>
      </c>
      <c r="X5310" t="s">
        <v>40441</v>
      </c>
    </row>
    <row r="5311" spans="1:24">
      <c r="A5311">
        <f>HYPERLINK("https://www.philgeps.gov.ph/GEPSNONPILOT/Tender/SplashBidNoticeAbstractUI.aspx?menuIndex=3&amp;refID=7044020&amp;Result=3","7044020")</f>
        <v>0</v>
      </c>
      <c r="B5311" t="s">
        <v>1610</v>
      </c>
      <c r="C5311" t="s">
        <v>8137</v>
      </c>
      <c r="E5311" t="s">
        <v>20991</v>
      </c>
      <c r="F5311" t="s">
        <v>28198</v>
      </c>
      <c r="G5311" t="s">
        <v>28210</v>
      </c>
      <c r="H5311" t="s">
        <v>28215</v>
      </c>
      <c r="I5311" t="s">
        <v>5082</v>
      </c>
      <c r="J5311" t="s">
        <v>28539</v>
      </c>
      <c r="K5311" t="s">
        <v>36689</v>
      </c>
      <c r="M5311" t="s">
        <v>38697</v>
      </c>
      <c r="N5311" t="s">
        <v>40436</v>
      </c>
      <c r="O5311" t="s">
        <v>40437</v>
      </c>
      <c r="P5311">
        <v>0</v>
      </c>
      <c r="Q5311">
        <v>5</v>
      </c>
      <c r="R5311" t="s">
        <v>40440</v>
      </c>
      <c r="S5311" t="s">
        <v>40603</v>
      </c>
      <c r="T5311" t="s">
        <v>42378</v>
      </c>
      <c r="U5311" t="s">
        <v>47124</v>
      </c>
      <c r="W5311" t="s">
        <v>38697</v>
      </c>
      <c r="X5311" t="s">
        <v>40441</v>
      </c>
    </row>
    <row r="5312" spans="1:24">
      <c r="A5312">
        <f>HYPERLINK("https://www.philgeps.gov.ph/GEPSNONPILOT/Tender/SplashBidNoticeAbstractUI.aspx?menuIndex=3&amp;refID=7044018&amp;Result=3","7044018")</f>
        <v>0</v>
      </c>
      <c r="B5312" t="s">
        <v>1610</v>
      </c>
      <c r="C5312" t="s">
        <v>8138</v>
      </c>
      <c r="E5312" t="s">
        <v>20992</v>
      </c>
      <c r="F5312" t="s">
        <v>28198</v>
      </c>
      <c r="G5312" t="s">
        <v>28210</v>
      </c>
      <c r="H5312" t="s">
        <v>28215</v>
      </c>
      <c r="I5312" t="s">
        <v>28247</v>
      </c>
      <c r="J5312" t="s">
        <v>28354</v>
      </c>
      <c r="K5312" t="s">
        <v>36689</v>
      </c>
      <c r="M5312" t="s">
        <v>38697</v>
      </c>
      <c r="N5312" t="s">
        <v>40436</v>
      </c>
      <c r="O5312" t="s">
        <v>40437</v>
      </c>
      <c r="P5312">
        <v>0</v>
      </c>
      <c r="Q5312">
        <v>6</v>
      </c>
      <c r="R5312" t="s">
        <v>40440</v>
      </c>
      <c r="S5312" t="s">
        <v>40603</v>
      </c>
      <c r="T5312" t="s">
        <v>42378</v>
      </c>
      <c r="U5312" t="s">
        <v>47124</v>
      </c>
      <c r="W5312" t="s">
        <v>38697</v>
      </c>
      <c r="X5312" t="s">
        <v>40441</v>
      </c>
    </row>
    <row r="5313" spans="1:24">
      <c r="A5313">
        <f>HYPERLINK("https://www.philgeps.gov.ph/GEPSNONPILOT/Tender/SplashBidNoticeAbstractUI.aspx?menuIndex=3&amp;refID=7044016&amp;Result=3","7044016")</f>
        <v>0</v>
      </c>
      <c r="B5313" t="s">
        <v>1222</v>
      </c>
      <c r="C5313" t="s">
        <v>8139</v>
      </c>
      <c r="D5313" t="s">
        <v>16236</v>
      </c>
      <c r="E5313" t="s">
        <v>20993</v>
      </c>
      <c r="F5313" t="s">
        <v>28198</v>
      </c>
      <c r="G5313" t="s">
        <v>28205</v>
      </c>
      <c r="H5313" t="s">
        <v>28215</v>
      </c>
      <c r="I5313" t="s">
        <v>28222</v>
      </c>
      <c r="J5313" t="s">
        <v>29369</v>
      </c>
      <c r="K5313" t="s">
        <v>36693</v>
      </c>
      <c r="M5313" t="s">
        <v>38268</v>
      </c>
      <c r="N5313" t="s">
        <v>40436</v>
      </c>
      <c r="O5313" t="s">
        <v>40437</v>
      </c>
      <c r="P5313">
        <v>0</v>
      </c>
      <c r="Q5313">
        <v>5</v>
      </c>
      <c r="R5313" t="s">
        <v>40440</v>
      </c>
      <c r="S5313" t="s">
        <v>40603</v>
      </c>
      <c r="T5313" t="s">
        <v>42106</v>
      </c>
      <c r="U5313" t="s">
        <v>47128</v>
      </c>
      <c r="W5313" t="s">
        <v>38268</v>
      </c>
      <c r="X5313" t="s">
        <v>40441</v>
      </c>
    </row>
    <row r="5314" spans="1:24">
      <c r="A5314">
        <f>HYPERLINK("https://www.philgeps.gov.ph/GEPSNONPILOT/Tender/SplashBidNoticeAbstractUI.aspx?menuIndex=3&amp;refID=7044013&amp;Result=3","7044013")</f>
        <v>0</v>
      </c>
      <c r="B5314" t="s">
        <v>1157</v>
      </c>
      <c r="C5314" t="s">
        <v>8140</v>
      </c>
      <c r="D5314" t="s">
        <v>16193</v>
      </c>
      <c r="E5314" t="s">
        <v>20994</v>
      </c>
      <c r="F5314" t="s">
        <v>28198</v>
      </c>
      <c r="G5314" t="s">
        <v>28206</v>
      </c>
      <c r="H5314" t="s">
        <v>28215</v>
      </c>
      <c r="I5314" t="s">
        <v>28243</v>
      </c>
      <c r="J5314" t="s">
        <v>31710</v>
      </c>
      <c r="K5314" t="s">
        <v>36689</v>
      </c>
      <c r="M5314" t="s">
        <v>38197</v>
      </c>
      <c r="N5314" t="s">
        <v>40436</v>
      </c>
      <c r="O5314" t="s">
        <v>40437</v>
      </c>
      <c r="P5314">
        <v>0</v>
      </c>
      <c r="Q5314">
        <v>1</v>
      </c>
      <c r="R5314" t="s">
        <v>40440</v>
      </c>
      <c r="S5314" t="s">
        <v>40603</v>
      </c>
      <c r="T5314" t="s">
        <v>42184</v>
      </c>
      <c r="U5314" t="s">
        <v>47129</v>
      </c>
      <c r="W5314" t="s">
        <v>55484</v>
      </c>
      <c r="X5314" t="s">
        <v>40441</v>
      </c>
    </row>
    <row r="5315" spans="1:24">
      <c r="A5315">
        <f>HYPERLINK("https://www.philgeps.gov.ph/GEPSNONPILOT/Tender/SplashBidNoticeAbstractUI.aspx?menuIndex=3&amp;refID=7044025&amp;Result=3","7044025")</f>
        <v>0</v>
      </c>
      <c r="B5315" t="s">
        <v>1610</v>
      </c>
      <c r="C5315" t="s">
        <v>8141</v>
      </c>
      <c r="E5315" t="s">
        <v>20995</v>
      </c>
      <c r="F5315" t="s">
        <v>28198</v>
      </c>
      <c r="G5315" t="s">
        <v>28210</v>
      </c>
      <c r="H5315" t="s">
        <v>28215</v>
      </c>
      <c r="I5315" t="s">
        <v>5082</v>
      </c>
      <c r="J5315" t="s">
        <v>31711</v>
      </c>
      <c r="K5315" t="s">
        <v>36689</v>
      </c>
      <c r="M5315" t="s">
        <v>38697</v>
      </c>
      <c r="N5315" t="s">
        <v>40436</v>
      </c>
      <c r="O5315" t="s">
        <v>40437</v>
      </c>
      <c r="P5315">
        <v>0</v>
      </c>
      <c r="Q5315">
        <v>3</v>
      </c>
      <c r="R5315" t="s">
        <v>40440</v>
      </c>
      <c r="S5315" t="s">
        <v>40603</v>
      </c>
      <c r="T5315" t="s">
        <v>42378</v>
      </c>
      <c r="U5315" t="s">
        <v>47124</v>
      </c>
      <c r="W5315" t="s">
        <v>38697</v>
      </c>
      <c r="X5315" t="s">
        <v>40441</v>
      </c>
    </row>
    <row r="5316" spans="1:24">
      <c r="A5316">
        <f>HYPERLINK("https://www.philgeps.gov.ph/GEPSNONPILOT/Tender/SplashBidNoticeAbstractUI.aspx?menuIndex=3&amp;refID=7044019&amp;Result=3","7044019")</f>
        <v>0</v>
      </c>
      <c r="B5316" t="s">
        <v>813</v>
      </c>
      <c r="C5316" t="s">
        <v>8142</v>
      </c>
      <c r="D5316" t="s">
        <v>16210</v>
      </c>
      <c r="E5316" t="s">
        <v>20996</v>
      </c>
      <c r="F5316" t="s">
        <v>28198</v>
      </c>
      <c r="G5316" t="s">
        <v>28205</v>
      </c>
      <c r="H5316" t="s">
        <v>28215</v>
      </c>
      <c r="I5316" t="s">
        <v>28262</v>
      </c>
      <c r="J5316" t="s">
        <v>28378</v>
      </c>
      <c r="K5316" t="s">
        <v>36689</v>
      </c>
      <c r="M5316" t="s">
        <v>37825</v>
      </c>
      <c r="N5316" t="s">
        <v>40436</v>
      </c>
      <c r="O5316" t="s">
        <v>40437</v>
      </c>
      <c r="P5316">
        <v>0</v>
      </c>
      <c r="Q5316">
        <v>2</v>
      </c>
      <c r="R5316" t="s">
        <v>40440</v>
      </c>
      <c r="S5316" t="s">
        <v>40603</v>
      </c>
      <c r="T5316" t="s">
        <v>42413</v>
      </c>
      <c r="U5316" t="s">
        <v>47130</v>
      </c>
      <c r="W5316" t="s">
        <v>37825</v>
      </c>
      <c r="X5316" t="s">
        <v>40441</v>
      </c>
    </row>
    <row r="5317" spans="1:24">
      <c r="A5317">
        <f>HYPERLINK("https://www.philgeps.gov.ph/GEPSNONPILOT/Tender/SplashBidNoticeAbstractUI.aspx?menuIndex=3&amp;refID=7044011&amp;Result=3","7044011")</f>
        <v>0</v>
      </c>
      <c r="B5317" t="s">
        <v>1294</v>
      </c>
      <c r="C5317" t="s">
        <v>8143</v>
      </c>
      <c r="D5317" t="s">
        <v>16193</v>
      </c>
      <c r="E5317" t="s">
        <v>20997</v>
      </c>
      <c r="F5317" t="s">
        <v>28198</v>
      </c>
      <c r="G5317" t="s">
        <v>28207</v>
      </c>
      <c r="H5317" t="s">
        <v>28215</v>
      </c>
      <c r="I5317" t="s">
        <v>28231</v>
      </c>
      <c r="J5317" t="s">
        <v>31712</v>
      </c>
      <c r="K5317" t="s">
        <v>36705</v>
      </c>
      <c r="M5317" t="s">
        <v>38347</v>
      </c>
      <c r="N5317" t="s">
        <v>40436</v>
      </c>
      <c r="O5317" t="s">
        <v>40437</v>
      </c>
      <c r="P5317">
        <v>0</v>
      </c>
      <c r="Q5317">
        <v>1</v>
      </c>
      <c r="R5317" t="s">
        <v>40440</v>
      </c>
      <c r="S5317" t="s">
        <v>40603</v>
      </c>
      <c r="T5317" t="s">
        <v>42420</v>
      </c>
      <c r="U5317" t="s">
        <v>47131</v>
      </c>
      <c r="V5317" t="s">
        <v>54305</v>
      </c>
      <c r="W5317" t="s">
        <v>38347</v>
      </c>
      <c r="X5317" t="s">
        <v>40441</v>
      </c>
    </row>
    <row r="5318" spans="1:24">
      <c r="A5318">
        <f>HYPERLINK("https://www.philgeps.gov.ph/GEPSNONPILOT/Tender/SplashBidNoticeAbstractUI.aspx?menuIndex=3&amp;refID=7044004&amp;Result=3","7044004")</f>
        <v>0</v>
      </c>
      <c r="B5318" t="s">
        <v>1157</v>
      </c>
      <c r="C5318" t="s">
        <v>8144</v>
      </c>
      <c r="D5318" t="s">
        <v>16193</v>
      </c>
      <c r="E5318" t="s">
        <v>20998</v>
      </c>
      <c r="F5318" t="s">
        <v>28198</v>
      </c>
      <c r="G5318" t="s">
        <v>28206</v>
      </c>
      <c r="H5318" t="s">
        <v>28215</v>
      </c>
      <c r="I5318" t="s">
        <v>28254</v>
      </c>
      <c r="J5318" t="s">
        <v>28386</v>
      </c>
      <c r="K5318" t="s">
        <v>36689</v>
      </c>
      <c r="M5318" t="s">
        <v>38197</v>
      </c>
      <c r="N5318" t="s">
        <v>40436</v>
      </c>
      <c r="O5318" t="s">
        <v>40437</v>
      </c>
      <c r="P5318">
        <v>0</v>
      </c>
      <c r="Q5318">
        <v>3</v>
      </c>
      <c r="R5318" t="s">
        <v>40440</v>
      </c>
      <c r="S5318" t="s">
        <v>40603</v>
      </c>
      <c r="T5318" t="s">
        <v>42184</v>
      </c>
      <c r="U5318" t="s">
        <v>47132</v>
      </c>
      <c r="W5318" t="s">
        <v>55484</v>
      </c>
      <c r="X5318" t="s">
        <v>40441</v>
      </c>
    </row>
    <row r="5319" spans="1:24">
      <c r="A5319">
        <f>HYPERLINK("https://www.philgeps.gov.ph/GEPSNONPILOT/Tender/SplashBidNoticeAbstractUI.aspx?menuIndex=3&amp;refID=7044008&amp;Result=3","7044008")</f>
        <v>0</v>
      </c>
      <c r="B5319" t="s">
        <v>813</v>
      </c>
      <c r="C5319" t="s">
        <v>8145</v>
      </c>
      <c r="D5319" t="s">
        <v>16210</v>
      </c>
      <c r="E5319" t="s">
        <v>20999</v>
      </c>
      <c r="F5319" t="s">
        <v>28198</v>
      </c>
      <c r="G5319" t="s">
        <v>28205</v>
      </c>
      <c r="H5319" t="s">
        <v>28214</v>
      </c>
      <c r="I5319" t="s">
        <v>28232</v>
      </c>
      <c r="J5319" t="s">
        <v>28351</v>
      </c>
      <c r="K5319" t="s">
        <v>36689</v>
      </c>
      <c r="M5319" t="s">
        <v>37825</v>
      </c>
      <c r="N5319" t="s">
        <v>40436</v>
      </c>
      <c r="O5319" t="s">
        <v>40437</v>
      </c>
      <c r="P5319">
        <v>0</v>
      </c>
      <c r="Q5319">
        <v>5</v>
      </c>
      <c r="R5319" t="s">
        <v>40440</v>
      </c>
      <c r="S5319" t="s">
        <v>40603</v>
      </c>
      <c r="T5319" t="s">
        <v>42248</v>
      </c>
      <c r="U5319" t="s">
        <v>47133</v>
      </c>
      <c r="W5319" t="s">
        <v>37825</v>
      </c>
      <c r="X5319" t="s">
        <v>40441</v>
      </c>
    </row>
    <row r="5320" spans="1:24">
      <c r="A5320">
        <f>HYPERLINK("https://www.philgeps.gov.ph/GEPSNONPILOT/Tender/SplashBidNoticeAbstractUI.aspx?menuIndex=3&amp;refID=7044028&amp;Result=3","7044028")</f>
        <v>0</v>
      </c>
      <c r="B5320" t="s">
        <v>1610</v>
      </c>
      <c r="C5320" t="s">
        <v>8146</v>
      </c>
      <c r="E5320" t="s">
        <v>21000</v>
      </c>
      <c r="F5320" t="s">
        <v>28198</v>
      </c>
      <c r="G5320" t="s">
        <v>28207</v>
      </c>
      <c r="H5320" t="s">
        <v>28215</v>
      </c>
      <c r="I5320" t="s">
        <v>28278</v>
      </c>
      <c r="J5320" t="s">
        <v>30009</v>
      </c>
      <c r="K5320" t="s">
        <v>36689</v>
      </c>
      <c r="M5320" t="s">
        <v>38697</v>
      </c>
      <c r="N5320" t="s">
        <v>40436</v>
      </c>
      <c r="O5320" t="s">
        <v>40437</v>
      </c>
      <c r="P5320">
        <v>0</v>
      </c>
      <c r="Q5320">
        <v>0</v>
      </c>
      <c r="R5320" t="s">
        <v>40440</v>
      </c>
      <c r="S5320" t="s">
        <v>40603</v>
      </c>
      <c r="T5320" t="s">
        <v>42378</v>
      </c>
      <c r="U5320" t="s">
        <v>47124</v>
      </c>
      <c r="W5320" t="s">
        <v>38697</v>
      </c>
      <c r="X5320" t="s">
        <v>40441</v>
      </c>
    </row>
    <row r="5321" spans="1:24">
      <c r="A5321">
        <f>HYPERLINK("https://www.philgeps.gov.ph/GEPSNONPILOT/Tender/SplashBidNoticeAbstractUI.aspx?menuIndex=3&amp;refID=7044010&amp;Result=3","7044010")</f>
        <v>0</v>
      </c>
      <c r="B5321" t="s">
        <v>1157</v>
      </c>
      <c r="C5321" t="s">
        <v>8147</v>
      </c>
      <c r="D5321" t="s">
        <v>16193</v>
      </c>
      <c r="E5321" t="s">
        <v>21001</v>
      </c>
      <c r="F5321" t="s">
        <v>28198</v>
      </c>
      <c r="G5321" t="s">
        <v>28206</v>
      </c>
      <c r="H5321" t="s">
        <v>28215</v>
      </c>
      <c r="I5321" t="s">
        <v>5103</v>
      </c>
      <c r="J5321" t="s">
        <v>31713</v>
      </c>
      <c r="K5321" t="s">
        <v>36689</v>
      </c>
      <c r="M5321" t="s">
        <v>38197</v>
      </c>
      <c r="N5321" t="s">
        <v>40436</v>
      </c>
      <c r="O5321" t="s">
        <v>40437</v>
      </c>
      <c r="P5321">
        <v>0</v>
      </c>
      <c r="Q5321">
        <v>4</v>
      </c>
      <c r="R5321" t="s">
        <v>40440</v>
      </c>
      <c r="S5321" t="s">
        <v>40603</v>
      </c>
      <c r="T5321" t="s">
        <v>42184</v>
      </c>
      <c r="U5321" t="s">
        <v>47134</v>
      </c>
      <c r="W5321" t="s">
        <v>55484</v>
      </c>
      <c r="X5321" t="s">
        <v>40441</v>
      </c>
    </row>
    <row r="5322" spans="1:24">
      <c r="A5322">
        <f>HYPERLINK("https://www.philgeps.gov.ph/GEPSNONPILOT/Tender/SplashBidNoticeAbstractUI.aspx?menuIndex=3&amp;refID=7044036&amp;Result=3","7044036")</f>
        <v>0</v>
      </c>
      <c r="B5322" t="s">
        <v>1682</v>
      </c>
      <c r="C5322" t="s">
        <v>8148</v>
      </c>
      <c r="D5322" t="s">
        <v>16214</v>
      </c>
      <c r="E5322" t="s">
        <v>21002</v>
      </c>
      <c r="F5322" t="s">
        <v>28198</v>
      </c>
      <c r="G5322" t="s">
        <v>28205</v>
      </c>
      <c r="H5322" t="s">
        <v>28214</v>
      </c>
      <c r="I5322" t="s">
        <v>28255</v>
      </c>
      <c r="J5322" t="s">
        <v>31714</v>
      </c>
      <c r="K5322" t="s">
        <v>36692</v>
      </c>
      <c r="M5322" t="s">
        <v>38778</v>
      </c>
      <c r="N5322" t="s">
        <v>40436</v>
      </c>
      <c r="O5322" t="s">
        <v>40437</v>
      </c>
      <c r="P5322">
        <v>0</v>
      </c>
      <c r="Q5322">
        <v>1</v>
      </c>
      <c r="R5322" t="s">
        <v>40440</v>
      </c>
      <c r="S5322" t="s">
        <v>40603</v>
      </c>
      <c r="T5322" t="s">
        <v>42118</v>
      </c>
      <c r="U5322" t="s">
        <v>47135</v>
      </c>
      <c r="V5322" t="s">
        <v>54253</v>
      </c>
      <c r="W5322" t="s">
        <v>38778</v>
      </c>
      <c r="X5322" t="s">
        <v>40441</v>
      </c>
    </row>
    <row r="5323" spans="1:24">
      <c r="A5323">
        <f>HYPERLINK("https://www.philgeps.gov.ph/GEPSNONPILOT/Tender/SplashBidNoticeAbstractUI.aspx?menuIndex=3&amp;refID=7044044&amp;Result=3","7044044")</f>
        <v>0</v>
      </c>
      <c r="B5323" t="s">
        <v>1682</v>
      </c>
      <c r="C5323" t="s">
        <v>8149</v>
      </c>
      <c r="D5323" t="s">
        <v>16214</v>
      </c>
      <c r="E5323" t="s">
        <v>21003</v>
      </c>
      <c r="F5323" t="s">
        <v>28198</v>
      </c>
      <c r="G5323" t="s">
        <v>28205</v>
      </c>
      <c r="H5323" t="s">
        <v>28214</v>
      </c>
      <c r="I5323" t="s">
        <v>28255</v>
      </c>
      <c r="J5323" t="s">
        <v>31715</v>
      </c>
      <c r="K5323" t="s">
        <v>36692</v>
      </c>
      <c r="M5323" t="s">
        <v>38778</v>
      </c>
      <c r="N5323" t="s">
        <v>40436</v>
      </c>
      <c r="O5323" t="s">
        <v>40437</v>
      </c>
      <c r="P5323">
        <v>0</v>
      </c>
      <c r="Q5323">
        <v>1</v>
      </c>
      <c r="R5323" t="s">
        <v>40440</v>
      </c>
      <c r="S5323" t="s">
        <v>40603</v>
      </c>
      <c r="T5323" t="s">
        <v>42118</v>
      </c>
      <c r="U5323" t="s">
        <v>47136</v>
      </c>
      <c r="V5323" t="s">
        <v>54253</v>
      </c>
      <c r="W5323" t="s">
        <v>38778</v>
      </c>
      <c r="X5323" t="s">
        <v>40441</v>
      </c>
    </row>
    <row r="5324" spans="1:24">
      <c r="A5324">
        <f>HYPERLINK("https://www.philgeps.gov.ph/GEPSNONPILOT/Tender/SplashBidNoticeAbstractUI.aspx?menuIndex=3&amp;refID=7044042&amp;Result=3","7044042")</f>
        <v>0</v>
      </c>
      <c r="B5324" t="s">
        <v>1682</v>
      </c>
      <c r="C5324" t="s">
        <v>8150</v>
      </c>
      <c r="D5324" t="s">
        <v>16214</v>
      </c>
      <c r="E5324" t="s">
        <v>21004</v>
      </c>
      <c r="F5324" t="s">
        <v>28198</v>
      </c>
      <c r="G5324" t="s">
        <v>28205</v>
      </c>
      <c r="H5324" t="s">
        <v>28214</v>
      </c>
      <c r="I5324" t="s">
        <v>28255</v>
      </c>
      <c r="J5324" t="s">
        <v>31716</v>
      </c>
      <c r="K5324" t="s">
        <v>36692</v>
      </c>
      <c r="M5324" t="s">
        <v>38778</v>
      </c>
      <c r="N5324" t="s">
        <v>40436</v>
      </c>
      <c r="O5324" t="s">
        <v>40437</v>
      </c>
      <c r="P5324">
        <v>0</v>
      </c>
      <c r="Q5324">
        <v>2</v>
      </c>
      <c r="R5324" t="s">
        <v>40440</v>
      </c>
      <c r="S5324" t="s">
        <v>40603</v>
      </c>
      <c r="T5324" t="s">
        <v>42118</v>
      </c>
      <c r="U5324" t="s">
        <v>47137</v>
      </c>
      <c r="V5324" t="s">
        <v>54253</v>
      </c>
      <c r="W5324" t="s">
        <v>38778</v>
      </c>
      <c r="X5324" t="s">
        <v>40441</v>
      </c>
    </row>
    <row r="5325" spans="1:24">
      <c r="A5325">
        <f>HYPERLINK("https://www.philgeps.gov.ph/GEPSNONPILOT/Tender/SplashBidNoticeAbstractUI.aspx?menuIndex=3&amp;refID=7044035&amp;Result=3","7044035")</f>
        <v>0</v>
      </c>
      <c r="B5325" t="s">
        <v>1788</v>
      </c>
      <c r="C5325" t="s">
        <v>4230</v>
      </c>
      <c r="D5325" t="s">
        <v>16190</v>
      </c>
      <c r="E5325" t="s">
        <v>17248</v>
      </c>
      <c r="F5325" t="s">
        <v>28198</v>
      </c>
      <c r="G5325" t="s">
        <v>28205</v>
      </c>
      <c r="H5325" t="s">
        <v>28215</v>
      </c>
      <c r="I5325" t="s">
        <v>5082</v>
      </c>
      <c r="J5325" t="s">
        <v>29490</v>
      </c>
      <c r="K5325" t="s">
        <v>36689</v>
      </c>
      <c r="M5325" t="s">
        <v>38904</v>
      </c>
      <c r="N5325" t="s">
        <v>40436</v>
      </c>
      <c r="O5325" t="s">
        <v>40437</v>
      </c>
      <c r="P5325">
        <v>0</v>
      </c>
      <c r="Q5325">
        <v>0</v>
      </c>
      <c r="R5325" t="s">
        <v>40440</v>
      </c>
      <c r="S5325" t="s">
        <v>40603</v>
      </c>
      <c r="T5325" t="s">
        <v>42296</v>
      </c>
      <c r="U5325" t="s">
        <v>47138</v>
      </c>
      <c r="W5325" t="s">
        <v>38904</v>
      </c>
      <c r="X5325" t="s">
        <v>40441</v>
      </c>
    </row>
    <row r="5326" spans="1:24">
      <c r="A5326">
        <f>HYPERLINK("https://www.philgeps.gov.ph/GEPSNONPILOT/Tender/SplashBidNoticeAbstractUI.aspx?menuIndex=3&amp;refID=7044037&amp;Result=3","7044037")</f>
        <v>0</v>
      </c>
      <c r="B5326" t="s">
        <v>1682</v>
      </c>
      <c r="C5326" t="s">
        <v>8151</v>
      </c>
      <c r="D5326" t="s">
        <v>16214</v>
      </c>
      <c r="E5326" t="s">
        <v>21005</v>
      </c>
      <c r="F5326" t="s">
        <v>28198</v>
      </c>
      <c r="G5326" t="s">
        <v>28205</v>
      </c>
      <c r="H5326" t="s">
        <v>28214</v>
      </c>
      <c r="I5326" t="s">
        <v>28255</v>
      </c>
      <c r="J5326" t="s">
        <v>31717</v>
      </c>
      <c r="K5326" t="s">
        <v>36692</v>
      </c>
      <c r="M5326" t="s">
        <v>38778</v>
      </c>
      <c r="N5326" t="s">
        <v>40436</v>
      </c>
      <c r="O5326" t="s">
        <v>40437</v>
      </c>
      <c r="P5326">
        <v>0</v>
      </c>
      <c r="Q5326">
        <v>1</v>
      </c>
      <c r="R5326" t="s">
        <v>40440</v>
      </c>
      <c r="S5326" t="s">
        <v>40603</v>
      </c>
      <c r="T5326" t="s">
        <v>42118</v>
      </c>
      <c r="U5326" t="s">
        <v>47139</v>
      </c>
      <c r="V5326" t="s">
        <v>54253</v>
      </c>
      <c r="W5326" t="s">
        <v>38778</v>
      </c>
      <c r="X5326" t="s">
        <v>40441</v>
      </c>
    </row>
    <row r="5327" spans="1:24">
      <c r="A5327">
        <f>HYPERLINK("https://www.philgeps.gov.ph/GEPSNONPILOT/Tender/SplashBidNoticeAbstractUI.aspx?menuIndex=3&amp;refID=7044032&amp;Result=3","7044032")</f>
        <v>0</v>
      </c>
      <c r="B5327" t="s">
        <v>1682</v>
      </c>
      <c r="C5327" t="s">
        <v>8152</v>
      </c>
      <c r="D5327" t="s">
        <v>16214</v>
      </c>
      <c r="E5327" t="s">
        <v>21006</v>
      </c>
      <c r="F5327" t="s">
        <v>28198</v>
      </c>
      <c r="G5327" t="s">
        <v>28205</v>
      </c>
      <c r="H5327" t="s">
        <v>28214</v>
      </c>
      <c r="I5327" t="s">
        <v>28255</v>
      </c>
      <c r="J5327" t="s">
        <v>31718</v>
      </c>
      <c r="K5327" t="s">
        <v>36692</v>
      </c>
      <c r="M5327" t="s">
        <v>38778</v>
      </c>
      <c r="N5327" t="s">
        <v>40436</v>
      </c>
      <c r="O5327" t="s">
        <v>40437</v>
      </c>
      <c r="P5327">
        <v>0</v>
      </c>
      <c r="Q5327">
        <v>1</v>
      </c>
      <c r="R5327" t="s">
        <v>40440</v>
      </c>
      <c r="S5327" t="s">
        <v>40603</v>
      </c>
      <c r="T5327" t="s">
        <v>42118</v>
      </c>
      <c r="U5327" t="s">
        <v>47140</v>
      </c>
      <c r="V5327" t="s">
        <v>54253</v>
      </c>
      <c r="W5327" t="s">
        <v>38778</v>
      </c>
      <c r="X5327" t="s">
        <v>40441</v>
      </c>
    </row>
    <row r="5328" spans="1:24">
      <c r="A5328">
        <f>HYPERLINK("https://www.philgeps.gov.ph/GEPSNONPILOT/Tender/SplashBidNoticeAbstractUI.aspx?menuIndex=3&amp;refID=7044015&amp;Result=3","7044015")</f>
        <v>0</v>
      </c>
      <c r="B5328" t="s">
        <v>1682</v>
      </c>
      <c r="C5328" t="s">
        <v>8153</v>
      </c>
      <c r="D5328" t="s">
        <v>16214</v>
      </c>
      <c r="E5328" t="s">
        <v>21007</v>
      </c>
      <c r="F5328" t="s">
        <v>28198</v>
      </c>
      <c r="G5328" t="s">
        <v>28205</v>
      </c>
      <c r="H5328" t="s">
        <v>28214</v>
      </c>
      <c r="I5328" t="s">
        <v>28255</v>
      </c>
      <c r="J5328" t="s">
        <v>31719</v>
      </c>
      <c r="K5328" t="s">
        <v>36692</v>
      </c>
      <c r="M5328" t="s">
        <v>38778</v>
      </c>
      <c r="N5328" t="s">
        <v>40436</v>
      </c>
      <c r="O5328" t="s">
        <v>40437</v>
      </c>
      <c r="P5328">
        <v>0</v>
      </c>
      <c r="Q5328">
        <v>1</v>
      </c>
      <c r="R5328" t="s">
        <v>40440</v>
      </c>
      <c r="S5328" t="s">
        <v>40603</v>
      </c>
      <c r="T5328" t="s">
        <v>42118</v>
      </c>
      <c r="U5328" t="s">
        <v>47141</v>
      </c>
      <c r="V5328" t="s">
        <v>54253</v>
      </c>
      <c r="W5328" t="s">
        <v>38778</v>
      </c>
      <c r="X5328" t="s">
        <v>40441</v>
      </c>
    </row>
    <row r="5329" spans="1:24">
      <c r="A5329">
        <f>HYPERLINK("https://www.philgeps.gov.ph/GEPSNONPILOT/Tender/SplashBidNoticeAbstractUI.aspx?menuIndex=3&amp;refID=7044034&amp;Result=3","7044034")</f>
        <v>0</v>
      </c>
      <c r="B5329" t="s">
        <v>1682</v>
      </c>
      <c r="C5329" t="s">
        <v>8154</v>
      </c>
      <c r="D5329" t="s">
        <v>16214</v>
      </c>
      <c r="E5329" t="s">
        <v>21008</v>
      </c>
      <c r="F5329" t="s">
        <v>28198</v>
      </c>
      <c r="G5329" t="s">
        <v>28205</v>
      </c>
      <c r="H5329" t="s">
        <v>28214</v>
      </c>
      <c r="I5329" t="s">
        <v>28255</v>
      </c>
      <c r="J5329" t="s">
        <v>31720</v>
      </c>
      <c r="K5329" t="s">
        <v>36692</v>
      </c>
      <c r="M5329" t="s">
        <v>38778</v>
      </c>
      <c r="N5329" t="s">
        <v>40436</v>
      </c>
      <c r="O5329" t="s">
        <v>40437</v>
      </c>
      <c r="P5329">
        <v>0</v>
      </c>
      <c r="Q5329">
        <v>2</v>
      </c>
      <c r="R5329" t="s">
        <v>40440</v>
      </c>
      <c r="S5329" t="s">
        <v>40603</v>
      </c>
      <c r="T5329" t="s">
        <v>42118</v>
      </c>
      <c r="U5329" t="s">
        <v>47142</v>
      </c>
      <c r="V5329" t="s">
        <v>54253</v>
      </c>
      <c r="W5329" t="s">
        <v>38778</v>
      </c>
      <c r="X5329" t="s">
        <v>40441</v>
      </c>
    </row>
    <row r="5330" spans="1:24">
      <c r="A5330">
        <f>HYPERLINK("https://www.philgeps.gov.ph/GEPSNONPILOT/Tender/SplashBidNoticeAbstractUI.aspx?menuIndex=3&amp;refID=7044048&amp;Result=3","7044048")</f>
        <v>0</v>
      </c>
      <c r="B5330" t="s">
        <v>1682</v>
      </c>
      <c r="C5330" t="s">
        <v>8155</v>
      </c>
      <c r="D5330" t="s">
        <v>16214</v>
      </c>
      <c r="E5330" t="s">
        <v>21009</v>
      </c>
      <c r="F5330" t="s">
        <v>28198</v>
      </c>
      <c r="G5330" t="s">
        <v>28205</v>
      </c>
      <c r="H5330" t="s">
        <v>28214</v>
      </c>
      <c r="I5330" t="s">
        <v>28255</v>
      </c>
      <c r="J5330" t="s">
        <v>31721</v>
      </c>
      <c r="K5330" t="s">
        <v>36692</v>
      </c>
      <c r="M5330" t="s">
        <v>38778</v>
      </c>
      <c r="N5330" t="s">
        <v>40436</v>
      </c>
      <c r="O5330" t="s">
        <v>40437</v>
      </c>
      <c r="P5330">
        <v>0</v>
      </c>
      <c r="Q5330">
        <v>1</v>
      </c>
      <c r="R5330" t="s">
        <v>40440</v>
      </c>
      <c r="S5330" t="s">
        <v>40603</v>
      </c>
      <c r="T5330" t="s">
        <v>42118</v>
      </c>
      <c r="U5330" t="s">
        <v>47143</v>
      </c>
      <c r="V5330" t="s">
        <v>54253</v>
      </c>
      <c r="W5330" t="s">
        <v>38778</v>
      </c>
      <c r="X5330" t="s">
        <v>40441</v>
      </c>
    </row>
    <row r="5331" spans="1:24">
      <c r="A5331">
        <f>HYPERLINK("https://www.philgeps.gov.ph/GEPSNONPILOT/Tender/SplashBidNoticeAbstractUI.aspx?menuIndex=3&amp;refID=7044031&amp;Result=3","7044031")</f>
        <v>0</v>
      </c>
      <c r="B5331" t="s">
        <v>1610</v>
      </c>
      <c r="C5331" t="s">
        <v>8156</v>
      </c>
      <c r="E5331" t="s">
        <v>21010</v>
      </c>
      <c r="F5331" t="s">
        <v>28198</v>
      </c>
      <c r="G5331" t="s">
        <v>28207</v>
      </c>
      <c r="H5331" t="s">
        <v>28215</v>
      </c>
      <c r="I5331" t="s">
        <v>4222</v>
      </c>
      <c r="J5331" t="s">
        <v>31722</v>
      </c>
      <c r="K5331" t="s">
        <v>36689</v>
      </c>
      <c r="M5331" t="s">
        <v>38697</v>
      </c>
      <c r="N5331" t="s">
        <v>40436</v>
      </c>
      <c r="O5331" t="s">
        <v>40437</v>
      </c>
      <c r="P5331">
        <v>0</v>
      </c>
      <c r="Q5331">
        <v>1</v>
      </c>
      <c r="R5331" t="s">
        <v>40440</v>
      </c>
      <c r="S5331" t="s">
        <v>40603</v>
      </c>
      <c r="T5331" t="s">
        <v>42378</v>
      </c>
      <c r="U5331" t="s">
        <v>47124</v>
      </c>
      <c r="W5331" t="s">
        <v>38697</v>
      </c>
      <c r="X5331" t="s">
        <v>40441</v>
      </c>
    </row>
    <row r="5332" spans="1:24">
      <c r="A5332">
        <f>HYPERLINK("https://www.philgeps.gov.ph/GEPSNONPILOT/Tender/SplashBidNoticeAbstractUI.aspx?menuIndex=3&amp;refID=7044054&amp;Result=3","7044054")</f>
        <v>0</v>
      </c>
      <c r="B5332" t="s">
        <v>1682</v>
      </c>
      <c r="C5332" t="s">
        <v>8157</v>
      </c>
      <c r="D5332" t="s">
        <v>16214</v>
      </c>
      <c r="E5332" t="s">
        <v>21011</v>
      </c>
      <c r="F5332" t="s">
        <v>28198</v>
      </c>
      <c r="G5332" t="s">
        <v>28205</v>
      </c>
      <c r="H5332" t="s">
        <v>28214</v>
      </c>
      <c r="I5332" t="s">
        <v>28255</v>
      </c>
      <c r="J5332" t="s">
        <v>31723</v>
      </c>
      <c r="K5332" t="s">
        <v>36692</v>
      </c>
      <c r="M5332" t="s">
        <v>38778</v>
      </c>
      <c r="N5332" t="s">
        <v>40436</v>
      </c>
      <c r="O5332" t="s">
        <v>40437</v>
      </c>
      <c r="P5332">
        <v>0</v>
      </c>
      <c r="Q5332">
        <v>1</v>
      </c>
      <c r="R5332" t="s">
        <v>40440</v>
      </c>
      <c r="S5332" t="s">
        <v>40603</v>
      </c>
      <c r="T5332" t="s">
        <v>42118</v>
      </c>
      <c r="U5332" t="s">
        <v>47144</v>
      </c>
      <c r="V5332" t="s">
        <v>54253</v>
      </c>
      <c r="W5332" t="s">
        <v>38778</v>
      </c>
      <c r="X5332" t="s">
        <v>40441</v>
      </c>
    </row>
    <row r="5333" spans="1:24">
      <c r="A5333">
        <f>HYPERLINK("https://www.philgeps.gov.ph/GEPSNONPILOT/Tender/SplashBidNoticeAbstractUI.aspx?menuIndex=3&amp;refID=7044047&amp;Result=3","7044047")</f>
        <v>0</v>
      </c>
      <c r="B5333" t="s">
        <v>1682</v>
      </c>
      <c r="C5333" t="s">
        <v>8158</v>
      </c>
      <c r="D5333" t="s">
        <v>16214</v>
      </c>
      <c r="E5333" t="s">
        <v>21012</v>
      </c>
      <c r="F5333" t="s">
        <v>28198</v>
      </c>
      <c r="G5333" t="s">
        <v>28205</v>
      </c>
      <c r="H5333" t="s">
        <v>28214</v>
      </c>
      <c r="I5333" t="s">
        <v>28255</v>
      </c>
      <c r="J5333" t="s">
        <v>31724</v>
      </c>
      <c r="K5333" t="s">
        <v>36692</v>
      </c>
      <c r="M5333" t="s">
        <v>38778</v>
      </c>
      <c r="N5333" t="s">
        <v>40436</v>
      </c>
      <c r="O5333" t="s">
        <v>40437</v>
      </c>
      <c r="P5333">
        <v>0</v>
      </c>
      <c r="Q5333">
        <v>2</v>
      </c>
      <c r="R5333" t="s">
        <v>40440</v>
      </c>
      <c r="S5333" t="s">
        <v>40603</v>
      </c>
      <c r="T5333" t="s">
        <v>42118</v>
      </c>
      <c r="U5333" t="s">
        <v>47145</v>
      </c>
      <c r="V5333" t="s">
        <v>54253</v>
      </c>
      <c r="W5333" t="s">
        <v>38778</v>
      </c>
      <c r="X5333" t="s">
        <v>40441</v>
      </c>
    </row>
    <row r="5334" spans="1:24">
      <c r="A5334">
        <f>HYPERLINK("https://www.philgeps.gov.ph/GEPSNONPILOT/Tender/SplashBidNoticeAbstractUI.aspx?menuIndex=3&amp;refID=7044051&amp;Result=3","7044051")</f>
        <v>0</v>
      </c>
      <c r="B5334" t="s">
        <v>1682</v>
      </c>
      <c r="C5334" t="s">
        <v>8159</v>
      </c>
      <c r="D5334" t="s">
        <v>16214</v>
      </c>
      <c r="E5334" t="s">
        <v>21013</v>
      </c>
      <c r="F5334" t="s">
        <v>28198</v>
      </c>
      <c r="G5334" t="s">
        <v>28205</v>
      </c>
      <c r="H5334" t="s">
        <v>28214</v>
      </c>
      <c r="I5334" t="s">
        <v>28255</v>
      </c>
      <c r="J5334" t="s">
        <v>31725</v>
      </c>
      <c r="K5334" t="s">
        <v>36692</v>
      </c>
      <c r="M5334" t="s">
        <v>38778</v>
      </c>
      <c r="N5334" t="s">
        <v>40436</v>
      </c>
      <c r="O5334" t="s">
        <v>40437</v>
      </c>
      <c r="P5334">
        <v>0</v>
      </c>
      <c r="Q5334">
        <v>1</v>
      </c>
      <c r="R5334" t="s">
        <v>40440</v>
      </c>
      <c r="S5334" t="s">
        <v>40603</v>
      </c>
      <c r="T5334" t="s">
        <v>42118</v>
      </c>
      <c r="U5334" t="s">
        <v>47146</v>
      </c>
      <c r="V5334" t="s">
        <v>54253</v>
      </c>
      <c r="W5334" t="s">
        <v>38778</v>
      </c>
      <c r="X5334" t="s">
        <v>40441</v>
      </c>
    </row>
    <row r="5335" spans="1:24">
      <c r="A5335">
        <f>HYPERLINK("https://www.philgeps.gov.ph/GEPSNONPILOT/Tender/SplashBidNoticeAbstractUI.aspx?menuIndex=3&amp;refID=7044041&amp;Result=3","7044041")</f>
        <v>0</v>
      </c>
      <c r="B5335" t="s">
        <v>1682</v>
      </c>
      <c r="C5335" t="s">
        <v>8160</v>
      </c>
      <c r="D5335" t="s">
        <v>16214</v>
      </c>
      <c r="E5335" t="s">
        <v>21014</v>
      </c>
      <c r="F5335" t="s">
        <v>28198</v>
      </c>
      <c r="G5335" t="s">
        <v>28205</v>
      </c>
      <c r="H5335" t="s">
        <v>28214</v>
      </c>
      <c r="I5335" t="s">
        <v>28255</v>
      </c>
      <c r="J5335" t="s">
        <v>31726</v>
      </c>
      <c r="K5335" t="s">
        <v>36692</v>
      </c>
      <c r="M5335" t="s">
        <v>38778</v>
      </c>
      <c r="N5335" t="s">
        <v>40436</v>
      </c>
      <c r="O5335" t="s">
        <v>40437</v>
      </c>
      <c r="P5335">
        <v>0</v>
      </c>
      <c r="Q5335">
        <v>1</v>
      </c>
      <c r="R5335" t="s">
        <v>40440</v>
      </c>
      <c r="S5335" t="s">
        <v>40603</v>
      </c>
      <c r="T5335" t="s">
        <v>42118</v>
      </c>
      <c r="U5335" t="s">
        <v>47147</v>
      </c>
      <c r="V5335" t="s">
        <v>54253</v>
      </c>
      <c r="W5335" t="s">
        <v>38778</v>
      </c>
      <c r="X5335" t="s">
        <v>40441</v>
      </c>
    </row>
    <row r="5336" spans="1:24">
      <c r="A5336">
        <f>HYPERLINK("https://www.philgeps.gov.ph/GEPSNONPILOT/Tender/SplashBidNoticeAbstractUI.aspx?menuIndex=3&amp;refID=7044052&amp;Result=3","7044052")</f>
        <v>0</v>
      </c>
      <c r="B5336" t="s">
        <v>1789</v>
      </c>
      <c r="C5336" t="s">
        <v>8161</v>
      </c>
      <c r="D5336" t="s">
        <v>16227</v>
      </c>
      <c r="E5336" t="s">
        <v>21015</v>
      </c>
      <c r="F5336" t="s">
        <v>28198</v>
      </c>
      <c r="G5336" t="s">
        <v>28205</v>
      </c>
      <c r="H5336" t="s">
        <v>28217</v>
      </c>
      <c r="I5336" t="s">
        <v>28222</v>
      </c>
      <c r="J5336" t="s">
        <v>28597</v>
      </c>
      <c r="K5336" t="s">
        <v>36693</v>
      </c>
      <c r="M5336" t="s">
        <v>38905</v>
      </c>
      <c r="N5336" t="s">
        <v>40436</v>
      </c>
      <c r="O5336" t="s">
        <v>40437</v>
      </c>
      <c r="P5336">
        <v>0</v>
      </c>
      <c r="Q5336">
        <v>1</v>
      </c>
      <c r="R5336" t="s">
        <v>40440</v>
      </c>
      <c r="S5336" t="s">
        <v>40603</v>
      </c>
      <c r="T5336" t="s">
        <v>42111</v>
      </c>
      <c r="U5336" t="s">
        <v>47148</v>
      </c>
      <c r="W5336" t="s">
        <v>38905</v>
      </c>
      <c r="X5336" t="s">
        <v>40441</v>
      </c>
    </row>
    <row r="5337" spans="1:24">
      <c r="A5337">
        <f>HYPERLINK("https://www.philgeps.gov.ph/GEPSNONPILOT/Tender/SplashBidNoticeAbstractUI.aspx?menuIndex=3&amp;refID=7044046&amp;Result=3","7044046")</f>
        <v>0</v>
      </c>
      <c r="B5337" t="s">
        <v>1682</v>
      </c>
      <c r="C5337" t="s">
        <v>8162</v>
      </c>
      <c r="D5337" t="s">
        <v>16214</v>
      </c>
      <c r="E5337" t="s">
        <v>21016</v>
      </c>
      <c r="F5337" t="s">
        <v>28198</v>
      </c>
      <c r="G5337" t="s">
        <v>28205</v>
      </c>
      <c r="H5337" t="s">
        <v>28214</v>
      </c>
      <c r="I5337" t="s">
        <v>28255</v>
      </c>
      <c r="J5337" t="s">
        <v>31727</v>
      </c>
      <c r="K5337" t="s">
        <v>36692</v>
      </c>
      <c r="M5337" t="s">
        <v>38778</v>
      </c>
      <c r="N5337" t="s">
        <v>40436</v>
      </c>
      <c r="O5337" t="s">
        <v>40437</v>
      </c>
      <c r="P5337">
        <v>0</v>
      </c>
      <c r="Q5337">
        <v>2</v>
      </c>
      <c r="R5337" t="s">
        <v>40440</v>
      </c>
      <c r="S5337" t="s">
        <v>40603</v>
      </c>
      <c r="T5337" t="s">
        <v>42118</v>
      </c>
      <c r="U5337" t="s">
        <v>47149</v>
      </c>
      <c r="V5337" t="s">
        <v>54253</v>
      </c>
      <c r="W5337" t="s">
        <v>38778</v>
      </c>
      <c r="X5337" t="s">
        <v>40441</v>
      </c>
    </row>
    <row r="5338" spans="1:24">
      <c r="A5338">
        <f>HYPERLINK("https://www.philgeps.gov.ph/GEPSNONPILOT/Tender/SplashBidNoticeAbstractUI.aspx?menuIndex=3&amp;refID=7044033&amp;Result=3","7044033")</f>
        <v>0</v>
      </c>
      <c r="B5338" t="s">
        <v>1682</v>
      </c>
      <c r="C5338" t="s">
        <v>8163</v>
      </c>
      <c r="D5338" t="s">
        <v>16214</v>
      </c>
      <c r="E5338" t="s">
        <v>21017</v>
      </c>
      <c r="F5338" t="s">
        <v>28198</v>
      </c>
      <c r="G5338" t="s">
        <v>28205</v>
      </c>
      <c r="H5338" t="s">
        <v>28214</v>
      </c>
      <c r="I5338" t="s">
        <v>28255</v>
      </c>
      <c r="J5338" t="s">
        <v>31728</v>
      </c>
      <c r="K5338" t="s">
        <v>36692</v>
      </c>
      <c r="M5338" t="s">
        <v>38778</v>
      </c>
      <c r="N5338" t="s">
        <v>40436</v>
      </c>
      <c r="O5338" t="s">
        <v>40437</v>
      </c>
      <c r="P5338">
        <v>0</v>
      </c>
      <c r="Q5338">
        <v>1</v>
      </c>
      <c r="R5338" t="s">
        <v>40440</v>
      </c>
      <c r="S5338" t="s">
        <v>40603</v>
      </c>
      <c r="T5338" t="s">
        <v>42118</v>
      </c>
      <c r="U5338" t="s">
        <v>47150</v>
      </c>
      <c r="V5338" t="s">
        <v>54253</v>
      </c>
      <c r="W5338" t="s">
        <v>38778</v>
      </c>
      <c r="X5338" t="s">
        <v>40441</v>
      </c>
    </row>
    <row r="5339" spans="1:24">
      <c r="A5339">
        <f>HYPERLINK("https://www.philgeps.gov.ph/GEPSNONPILOT/Tender/SplashBidNoticeAbstractUI.aspx?menuIndex=3&amp;refID=7044029&amp;Result=3","7044029")</f>
        <v>0</v>
      </c>
      <c r="B5339" t="s">
        <v>1610</v>
      </c>
      <c r="C5339" t="s">
        <v>8164</v>
      </c>
      <c r="E5339" t="s">
        <v>21018</v>
      </c>
      <c r="F5339" t="s">
        <v>28198</v>
      </c>
      <c r="G5339" t="s">
        <v>28210</v>
      </c>
      <c r="H5339" t="s">
        <v>28215</v>
      </c>
      <c r="I5339" t="s">
        <v>5082</v>
      </c>
      <c r="J5339" t="s">
        <v>31729</v>
      </c>
      <c r="K5339" t="s">
        <v>36689</v>
      </c>
      <c r="M5339" t="s">
        <v>38697</v>
      </c>
      <c r="N5339" t="s">
        <v>40436</v>
      </c>
      <c r="O5339" t="s">
        <v>40437</v>
      </c>
      <c r="P5339">
        <v>0</v>
      </c>
      <c r="Q5339">
        <v>3</v>
      </c>
      <c r="R5339" t="s">
        <v>40440</v>
      </c>
      <c r="S5339" t="s">
        <v>40603</v>
      </c>
      <c r="T5339" t="s">
        <v>42378</v>
      </c>
      <c r="U5339" t="s">
        <v>47124</v>
      </c>
      <c r="W5339" t="s">
        <v>38697</v>
      </c>
      <c r="X5339" t="s">
        <v>40441</v>
      </c>
    </row>
    <row r="5340" spans="1:24">
      <c r="A5340">
        <f>HYPERLINK("https://www.philgeps.gov.ph/GEPSNONPILOT/Tender/SplashBidNoticeAbstractUI.aspx?menuIndex=3&amp;refID=7044030&amp;Result=3","7044030")</f>
        <v>0</v>
      </c>
      <c r="B5340" t="s">
        <v>1790</v>
      </c>
      <c r="C5340" t="s">
        <v>8165</v>
      </c>
      <c r="D5340" t="s">
        <v>16236</v>
      </c>
      <c r="E5340" t="s">
        <v>21019</v>
      </c>
      <c r="F5340" t="s">
        <v>28198</v>
      </c>
      <c r="G5340" t="s">
        <v>28205</v>
      </c>
      <c r="H5340" t="s">
        <v>28214</v>
      </c>
      <c r="I5340" t="s">
        <v>3797</v>
      </c>
      <c r="J5340" t="s">
        <v>28398</v>
      </c>
      <c r="K5340" t="s">
        <v>36727</v>
      </c>
      <c r="M5340" t="s">
        <v>38906</v>
      </c>
      <c r="N5340" t="s">
        <v>40436</v>
      </c>
      <c r="O5340" t="s">
        <v>40437</v>
      </c>
      <c r="P5340">
        <v>0</v>
      </c>
      <c r="Q5340">
        <v>0</v>
      </c>
      <c r="R5340" t="s">
        <v>40440</v>
      </c>
      <c r="S5340" t="s">
        <v>40603</v>
      </c>
      <c r="T5340" t="s">
        <v>42103</v>
      </c>
      <c r="U5340" t="s">
        <v>47151</v>
      </c>
      <c r="W5340" t="s">
        <v>38906</v>
      </c>
      <c r="X5340" t="s">
        <v>40441</v>
      </c>
    </row>
    <row r="5341" spans="1:24">
      <c r="A5341">
        <f>HYPERLINK("https://www.philgeps.gov.ph/GEPSNONPILOT/Tender/SplashBidNoticeAbstractUI.aspx?menuIndex=3&amp;refID=7044056&amp;Result=3","7044056")</f>
        <v>0</v>
      </c>
      <c r="B5341" t="s">
        <v>1682</v>
      </c>
      <c r="C5341" t="s">
        <v>8166</v>
      </c>
      <c r="D5341" t="s">
        <v>16214</v>
      </c>
      <c r="E5341" t="s">
        <v>21020</v>
      </c>
      <c r="F5341" t="s">
        <v>28198</v>
      </c>
      <c r="G5341" t="s">
        <v>28205</v>
      </c>
      <c r="H5341" t="s">
        <v>28214</v>
      </c>
      <c r="I5341" t="s">
        <v>28255</v>
      </c>
      <c r="J5341" t="s">
        <v>31730</v>
      </c>
      <c r="K5341" t="s">
        <v>36692</v>
      </c>
      <c r="M5341" t="s">
        <v>38778</v>
      </c>
      <c r="N5341" t="s">
        <v>40436</v>
      </c>
      <c r="O5341" t="s">
        <v>40437</v>
      </c>
      <c r="P5341">
        <v>0</v>
      </c>
      <c r="Q5341">
        <v>1</v>
      </c>
      <c r="R5341" t="s">
        <v>40440</v>
      </c>
      <c r="S5341" t="s">
        <v>40603</v>
      </c>
      <c r="T5341" t="s">
        <v>42118</v>
      </c>
      <c r="U5341" t="s">
        <v>47152</v>
      </c>
      <c r="V5341" t="s">
        <v>54253</v>
      </c>
      <c r="W5341" t="s">
        <v>38778</v>
      </c>
      <c r="X5341" t="s">
        <v>40441</v>
      </c>
    </row>
    <row r="5342" spans="1:24">
      <c r="A5342">
        <f>HYPERLINK("https://www.philgeps.gov.ph/GEPSNONPILOT/Tender/SplashBidNoticeAbstractUI.aspx?menuIndex=3&amp;refID=7044065&amp;Result=3","7044065")</f>
        <v>0</v>
      </c>
      <c r="B5342" t="s">
        <v>1682</v>
      </c>
      <c r="C5342" t="s">
        <v>8167</v>
      </c>
      <c r="D5342" t="s">
        <v>16214</v>
      </c>
      <c r="E5342" t="s">
        <v>21021</v>
      </c>
      <c r="F5342" t="s">
        <v>28198</v>
      </c>
      <c r="G5342" t="s">
        <v>28205</v>
      </c>
      <c r="H5342" t="s">
        <v>28214</v>
      </c>
      <c r="I5342" t="s">
        <v>28255</v>
      </c>
      <c r="J5342" t="s">
        <v>31731</v>
      </c>
      <c r="K5342" t="s">
        <v>36692</v>
      </c>
      <c r="M5342" t="s">
        <v>38778</v>
      </c>
      <c r="N5342" t="s">
        <v>40436</v>
      </c>
      <c r="O5342" t="s">
        <v>40437</v>
      </c>
      <c r="P5342">
        <v>0</v>
      </c>
      <c r="Q5342">
        <v>1</v>
      </c>
      <c r="R5342" t="s">
        <v>40440</v>
      </c>
      <c r="S5342" t="s">
        <v>40603</v>
      </c>
      <c r="T5342" t="s">
        <v>42118</v>
      </c>
      <c r="U5342" t="s">
        <v>47153</v>
      </c>
      <c r="V5342" t="s">
        <v>54253</v>
      </c>
      <c r="W5342" t="s">
        <v>38778</v>
      </c>
      <c r="X5342" t="s">
        <v>40441</v>
      </c>
    </row>
    <row r="5343" spans="1:24">
      <c r="A5343">
        <f>HYPERLINK("https://www.philgeps.gov.ph/GEPSNONPILOT/Tender/SplashBidNoticeAbstractUI.aspx?menuIndex=3&amp;refID=7044062&amp;Result=3","7044062")</f>
        <v>0</v>
      </c>
      <c r="B5343" t="s">
        <v>1682</v>
      </c>
      <c r="C5343" t="s">
        <v>8168</v>
      </c>
      <c r="D5343" t="s">
        <v>16214</v>
      </c>
      <c r="E5343" t="s">
        <v>21022</v>
      </c>
      <c r="F5343" t="s">
        <v>28198</v>
      </c>
      <c r="G5343" t="s">
        <v>28205</v>
      </c>
      <c r="H5343" t="s">
        <v>28214</v>
      </c>
      <c r="I5343" t="s">
        <v>28255</v>
      </c>
      <c r="J5343" t="s">
        <v>31732</v>
      </c>
      <c r="K5343" t="s">
        <v>36692</v>
      </c>
      <c r="M5343" t="s">
        <v>38778</v>
      </c>
      <c r="N5343" t="s">
        <v>40436</v>
      </c>
      <c r="O5343" t="s">
        <v>40437</v>
      </c>
      <c r="P5343">
        <v>0</v>
      </c>
      <c r="Q5343">
        <v>1</v>
      </c>
      <c r="R5343" t="s">
        <v>40440</v>
      </c>
      <c r="S5343" t="s">
        <v>40603</v>
      </c>
      <c r="T5343" t="s">
        <v>42118</v>
      </c>
      <c r="U5343" t="s">
        <v>47154</v>
      </c>
      <c r="V5343" t="s">
        <v>54253</v>
      </c>
      <c r="W5343" t="s">
        <v>38778</v>
      </c>
      <c r="X5343" t="s">
        <v>40441</v>
      </c>
    </row>
    <row r="5344" spans="1:24">
      <c r="A5344">
        <f>HYPERLINK("https://www.philgeps.gov.ph/GEPSNONPILOT/Tender/SplashBidNoticeAbstractUI.aspx?menuIndex=3&amp;refID=7044057&amp;Result=3","7044057")</f>
        <v>0</v>
      </c>
      <c r="B5344" t="s">
        <v>1682</v>
      </c>
      <c r="C5344" t="s">
        <v>8169</v>
      </c>
      <c r="D5344" t="s">
        <v>16214</v>
      </c>
      <c r="E5344" t="s">
        <v>21023</v>
      </c>
      <c r="F5344" t="s">
        <v>28198</v>
      </c>
      <c r="G5344" t="s">
        <v>28205</v>
      </c>
      <c r="H5344" t="s">
        <v>28214</v>
      </c>
      <c r="I5344" t="s">
        <v>28255</v>
      </c>
      <c r="J5344" t="s">
        <v>31733</v>
      </c>
      <c r="K5344" t="s">
        <v>36692</v>
      </c>
      <c r="M5344" t="s">
        <v>38778</v>
      </c>
      <c r="N5344" t="s">
        <v>40436</v>
      </c>
      <c r="O5344" t="s">
        <v>40437</v>
      </c>
      <c r="P5344">
        <v>0</v>
      </c>
      <c r="Q5344">
        <v>1</v>
      </c>
      <c r="R5344" t="s">
        <v>40440</v>
      </c>
      <c r="S5344" t="s">
        <v>40603</v>
      </c>
      <c r="T5344" t="s">
        <v>42118</v>
      </c>
      <c r="U5344" t="s">
        <v>47155</v>
      </c>
      <c r="V5344" t="s">
        <v>54253</v>
      </c>
      <c r="W5344" t="s">
        <v>38778</v>
      </c>
      <c r="X5344" t="s">
        <v>40441</v>
      </c>
    </row>
    <row r="5345" spans="1:24">
      <c r="A5345">
        <f>HYPERLINK("https://www.philgeps.gov.ph/GEPSNONPILOT/Tender/SplashBidNoticeAbstractUI.aspx?menuIndex=3&amp;refID=7044060&amp;Result=3","7044060")</f>
        <v>0</v>
      </c>
      <c r="B5345" t="s">
        <v>1610</v>
      </c>
      <c r="C5345" t="s">
        <v>8170</v>
      </c>
      <c r="E5345" t="s">
        <v>21024</v>
      </c>
      <c r="F5345" t="s">
        <v>28198</v>
      </c>
      <c r="G5345" t="s">
        <v>28210</v>
      </c>
      <c r="H5345" t="s">
        <v>28215</v>
      </c>
      <c r="I5345" t="s">
        <v>4168</v>
      </c>
      <c r="J5345" t="s">
        <v>29203</v>
      </c>
      <c r="K5345" t="s">
        <v>36689</v>
      </c>
      <c r="M5345" t="s">
        <v>38697</v>
      </c>
      <c r="N5345" t="s">
        <v>40436</v>
      </c>
      <c r="O5345" t="s">
        <v>40437</v>
      </c>
      <c r="P5345">
        <v>0</v>
      </c>
      <c r="Q5345">
        <v>10</v>
      </c>
      <c r="R5345" t="s">
        <v>40440</v>
      </c>
      <c r="S5345" t="s">
        <v>40603</v>
      </c>
      <c r="T5345" t="s">
        <v>42378</v>
      </c>
      <c r="U5345" t="s">
        <v>47124</v>
      </c>
      <c r="W5345" t="s">
        <v>38697</v>
      </c>
      <c r="X5345" t="s">
        <v>40441</v>
      </c>
    </row>
    <row r="5346" spans="1:24">
      <c r="A5346">
        <f>HYPERLINK("https://www.philgeps.gov.ph/GEPSNONPILOT/Tender/SplashBidNoticeAbstractUI.aspx?menuIndex=3&amp;refID=7044078&amp;Result=3","7044078")</f>
        <v>0</v>
      </c>
      <c r="B5346" t="s">
        <v>1682</v>
      </c>
      <c r="C5346" t="s">
        <v>8171</v>
      </c>
      <c r="D5346" t="s">
        <v>16214</v>
      </c>
      <c r="E5346" t="s">
        <v>21025</v>
      </c>
      <c r="F5346" t="s">
        <v>28198</v>
      </c>
      <c r="G5346" t="s">
        <v>28205</v>
      </c>
      <c r="H5346" t="s">
        <v>28214</v>
      </c>
      <c r="I5346" t="s">
        <v>28255</v>
      </c>
      <c r="J5346" t="s">
        <v>31734</v>
      </c>
      <c r="K5346" t="s">
        <v>36692</v>
      </c>
      <c r="M5346" t="s">
        <v>38778</v>
      </c>
      <c r="N5346" t="s">
        <v>40436</v>
      </c>
      <c r="O5346" t="s">
        <v>40437</v>
      </c>
      <c r="P5346">
        <v>0</v>
      </c>
      <c r="Q5346">
        <v>1</v>
      </c>
      <c r="R5346" t="s">
        <v>40440</v>
      </c>
      <c r="S5346" t="s">
        <v>40603</v>
      </c>
      <c r="T5346" t="s">
        <v>42118</v>
      </c>
      <c r="U5346" t="s">
        <v>47156</v>
      </c>
      <c r="V5346" t="s">
        <v>54253</v>
      </c>
      <c r="W5346" t="s">
        <v>38778</v>
      </c>
      <c r="X5346" t="s">
        <v>40441</v>
      </c>
    </row>
    <row r="5347" spans="1:24">
      <c r="A5347">
        <f>HYPERLINK("https://www.philgeps.gov.ph/GEPSNONPILOT/Tender/SplashBidNoticeAbstractUI.aspx?menuIndex=3&amp;refID=7044059&amp;Result=3","7044059")</f>
        <v>0</v>
      </c>
      <c r="B5347" t="s">
        <v>1682</v>
      </c>
      <c r="C5347" t="s">
        <v>8172</v>
      </c>
      <c r="D5347" t="s">
        <v>16214</v>
      </c>
      <c r="E5347" t="s">
        <v>21026</v>
      </c>
      <c r="F5347" t="s">
        <v>28198</v>
      </c>
      <c r="G5347" t="s">
        <v>28205</v>
      </c>
      <c r="H5347" t="s">
        <v>28214</v>
      </c>
      <c r="I5347" t="s">
        <v>28255</v>
      </c>
      <c r="J5347" t="s">
        <v>31735</v>
      </c>
      <c r="K5347" t="s">
        <v>36692</v>
      </c>
      <c r="M5347" t="s">
        <v>38778</v>
      </c>
      <c r="N5347" t="s">
        <v>40436</v>
      </c>
      <c r="O5347" t="s">
        <v>40437</v>
      </c>
      <c r="P5347">
        <v>0</v>
      </c>
      <c r="Q5347">
        <v>1</v>
      </c>
      <c r="R5347" t="s">
        <v>40440</v>
      </c>
      <c r="S5347" t="s">
        <v>40603</v>
      </c>
      <c r="T5347" t="s">
        <v>42118</v>
      </c>
      <c r="U5347" t="s">
        <v>47157</v>
      </c>
      <c r="V5347" t="s">
        <v>54253</v>
      </c>
      <c r="W5347" t="s">
        <v>38778</v>
      </c>
      <c r="X5347" t="s">
        <v>40441</v>
      </c>
    </row>
    <row r="5348" spans="1:24">
      <c r="A5348">
        <f>HYPERLINK("https://www.philgeps.gov.ph/GEPSNONPILOT/Tender/SplashBidNoticeAbstractUI.aspx?menuIndex=3&amp;refID=7044058&amp;Result=3","7044058")</f>
        <v>0</v>
      </c>
      <c r="B5348" t="s">
        <v>1791</v>
      </c>
      <c r="C5348" t="s">
        <v>8173</v>
      </c>
      <c r="D5348" t="s">
        <v>16254</v>
      </c>
      <c r="E5348" t="s">
        <v>21027</v>
      </c>
      <c r="F5348" t="s">
        <v>28198</v>
      </c>
      <c r="G5348" t="s">
        <v>28205</v>
      </c>
      <c r="H5348" t="s">
        <v>28215</v>
      </c>
      <c r="I5348" t="s">
        <v>28227</v>
      </c>
      <c r="J5348" t="s">
        <v>31736</v>
      </c>
      <c r="K5348" t="s">
        <v>36701</v>
      </c>
      <c r="M5348" t="s">
        <v>38907</v>
      </c>
      <c r="N5348" t="s">
        <v>40436</v>
      </c>
      <c r="O5348" t="s">
        <v>40437</v>
      </c>
      <c r="P5348">
        <v>0</v>
      </c>
      <c r="Q5348">
        <v>0</v>
      </c>
      <c r="R5348" t="s">
        <v>40440</v>
      </c>
      <c r="S5348" t="s">
        <v>40603</v>
      </c>
      <c r="T5348" t="s">
        <v>42118</v>
      </c>
      <c r="U5348" t="s">
        <v>47158</v>
      </c>
      <c r="W5348" t="s">
        <v>38907</v>
      </c>
      <c r="X5348" t="s">
        <v>40441</v>
      </c>
    </row>
    <row r="5349" spans="1:24">
      <c r="A5349">
        <f>HYPERLINK("https://www.philgeps.gov.ph/GEPSNONPILOT/Tender/SplashBidNoticeAbstractUI.aspx?menuIndex=3&amp;refID=7044077&amp;Result=3","7044077")</f>
        <v>0</v>
      </c>
      <c r="B5349" t="s">
        <v>1682</v>
      </c>
      <c r="C5349" t="s">
        <v>8174</v>
      </c>
      <c r="D5349" t="s">
        <v>16214</v>
      </c>
      <c r="E5349" t="s">
        <v>21028</v>
      </c>
      <c r="F5349" t="s">
        <v>28198</v>
      </c>
      <c r="G5349" t="s">
        <v>28205</v>
      </c>
      <c r="H5349" t="s">
        <v>28214</v>
      </c>
      <c r="I5349" t="s">
        <v>28255</v>
      </c>
      <c r="J5349" t="s">
        <v>31737</v>
      </c>
      <c r="K5349" t="s">
        <v>36692</v>
      </c>
      <c r="M5349" t="s">
        <v>38778</v>
      </c>
      <c r="N5349" t="s">
        <v>40436</v>
      </c>
      <c r="O5349" t="s">
        <v>40437</v>
      </c>
      <c r="P5349">
        <v>0</v>
      </c>
      <c r="Q5349">
        <v>2</v>
      </c>
      <c r="R5349" t="s">
        <v>40440</v>
      </c>
      <c r="S5349" t="s">
        <v>40603</v>
      </c>
      <c r="T5349" t="s">
        <v>42118</v>
      </c>
      <c r="U5349" t="s">
        <v>47159</v>
      </c>
      <c r="V5349" t="s">
        <v>54253</v>
      </c>
      <c r="W5349" t="s">
        <v>38778</v>
      </c>
      <c r="X5349" t="s">
        <v>40441</v>
      </c>
    </row>
    <row r="5350" spans="1:24">
      <c r="A5350">
        <f>HYPERLINK("https://www.philgeps.gov.ph/GEPSNONPILOT/Tender/SplashBidNoticeAbstractUI.aspx?menuIndex=3&amp;refID=7044073&amp;Result=3","7044073")</f>
        <v>0</v>
      </c>
      <c r="B5350" t="s">
        <v>1682</v>
      </c>
      <c r="C5350" t="s">
        <v>8175</v>
      </c>
      <c r="D5350" t="s">
        <v>16214</v>
      </c>
      <c r="E5350" t="s">
        <v>21029</v>
      </c>
      <c r="F5350" t="s">
        <v>28198</v>
      </c>
      <c r="G5350" t="s">
        <v>28205</v>
      </c>
      <c r="H5350" t="s">
        <v>28214</v>
      </c>
      <c r="I5350" t="s">
        <v>28255</v>
      </c>
      <c r="J5350" t="s">
        <v>31738</v>
      </c>
      <c r="K5350" t="s">
        <v>36692</v>
      </c>
      <c r="M5350" t="s">
        <v>38778</v>
      </c>
      <c r="N5350" t="s">
        <v>40436</v>
      </c>
      <c r="O5350" t="s">
        <v>40437</v>
      </c>
      <c r="P5350">
        <v>0</v>
      </c>
      <c r="Q5350">
        <v>1</v>
      </c>
      <c r="R5350" t="s">
        <v>40440</v>
      </c>
      <c r="S5350" t="s">
        <v>40603</v>
      </c>
      <c r="T5350" t="s">
        <v>42118</v>
      </c>
      <c r="U5350" t="s">
        <v>47160</v>
      </c>
      <c r="V5350" t="s">
        <v>54253</v>
      </c>
      <c r="W5350" t="s">
        <v>38778</v>
      </c>
      <c r="X5350" t="s">
        <v>40441</v>
      </c>
    </row>
    <row r="5351" spans="1:24">
      <c r="A5351">
        <f>HYPERLINK("https://www.philgeps.gov.ph/GEPSNONPILOT/Tender/SplashBidNoticeAbstractUI.aspx?menuIndex=3&amp;refID=7044045&amp;Result=3","7044045")</f>
        <v>0</v>
      </c>
      <c r="B5351" t="s">
        <v>1746</v>
      </c>
      <c r="C5351" t="s">
        <v>8104</v>
      </c>
      <c r="D5351" t="s">
        <v>16190</v>
      </c>
      <c r="E5351" t="s">
        <v>21030</v>
      </c>
      <c r="F5351" t="s">
        <v>28198</v>
      </c>
      <c r="G5351" t="s">
        <v>28205</v>
      </c>
      <c r="H5351" t="s">
        <v>28215</v>
      </c>
      <c r="I5351" t="s">
        <v>28234</v>
      </c>
      <c r="J5351" t="s">
        <v>31739</v>
      </c>
      <c r="K5351" t="s">
        <v>36693</v>
      </c>
      <c r="M5351" t="s">
        <v>38858</v>
      </c>
      <c r="N5351" t="s">
        <v>40436</v>
      </c>
      <c r="O5351" t="s">
        <v>40437</v>
      </c>
      <c r="P5351">
        <v>0</v>
      </c>
      <c r="Q5351">
        <v>4</v>
      </c>
      <c r="R5351" t="s">
        <v>40440</v>
      </c>
      <c r="S5351" t="s">
        <v>40603</v>
      </c>
      <c r="T5351" t="s">
        <v>42152</v>
      </c>
      <c r="U5351" t="s">
        <v>47161</v>
      </c>
      <c r="W5351" t="s">
        <v>38858</v>
      </c>
      <c r="X5351" t="s">
        <v>40441</v>
      </c>
    </row>
    <row r="5352" spans="1:24">
      <c r="A5352">
        <f>HYPERLINK("https://www.philgeps.gov.ph/GEPSNONPILOT/Tender/SplashBidNoticeAbstractUI.aspx?menuIndex=3&amp;refID=7044066&amp;Result=3","7044066")</f>
        <v>0</v>
      </c>
      <c r="B5352" t="s">
        <v>1682</v>
      </c>
      <c r="C5352" t="s">
        <v>8176</v>
      </c>
      <c r="D5352" t="s">
        <v>16214</v>
      </c>
      <c r="E5352" t="s">
        <v>21031</v>
      </c>
      <c r="F5352" t="s">
        <v>28198</v>
      </c>
      <c r="G5352" t="s">
        <v>28205</v>
      </c>
      <c r="H5352" t="s">
        <v>28214</v>
      </c>
      <c r="I5352" t="s">
        <v>28255</v>
      </c>
      <c r="J5352" t="s">
        <v>31740</v>
      </c>
      <c r="K5352" t="s">
        <v>36692</v>
      </c>
      <c r="M5352" t="s">
        <v>38778</v>
      </c>
      <c r="N5352" t="s">
        <v>40436</v>
      </c>
      <c r="O5352" t="s">
        <v>40437</v>
      </c>
      <c r="P5352">
        <v>0</v>
      </c>
      <c r="Q5352">
        <v>1</v>
      </c>
      <c r="R5352" t="s">
        <v>40440</v>
      </c>
      <c r="S5352" t="s">
        <v>40603</v>
      </c>
      <c r="T5352" t="s">
        <v>42118</v>
      </c>
      <c r="U5352" t="s">
        <v>47162</v>
      </c>
      <c r="V5352" t="s">
        <v>54253</v>
      </c>
      <c r="W5352" t="s">
        <v>38778</v>
      </c>
      <c r="X5352" t="s">
        <v>40441</v>
      </c>
    </row>
    <row r="5353" spans="1:24">
      <c r="A5353">
        <f>HYPERLINK("https://www.philgeps.gov.ph/GEPSNONPILOT/Tender/SplashBidNoticeAbstractUI.aspx?menuIndex=3&amp;refID=7044072&amp;Result=3","7044072")</f>
        <v>0</v>
      </c>
      <c r="B5353" t="s">
        <v>1610</v>
      </c>
      <c r="C5353" t="s">
        <v>8177</v>
      </c>
      <c r="E5353" t="s">
        <v>21032</v>
      </c>
      <c r="F5353" t="s">
        <v>28198</v>
      </c>
      <c r="G5353" t="s">
        <v>28210</v>
      </c>
      <c r="H5353" t="s">
        <v>28215</v>
      </c>
      <c r="I5353" t="s">
        <v>5082</v>
      </c>
      <c r="J5353" t="s">
        <v>28878</v>
      </c>
      <c r="K5353" t="s">
        <v>36689</v>
      </c>
      <c r="M5353" t="s">
        <v>38697</v>
      </c>
      <c r="N5353" t="s">
        <v>40436</v>
      </c>
      <c r="O5353" t="s">
        <v>40437</v>
      </c>
      <c r="P5353">
        <v>0</v>
      </c>
      <c r="Q5353">
        <v>9</v>
      </c>
      <c r="R5353" t="s">
        <v>40440</v>
      </c>
      <c r="S5353" t="s">
        <v>40603</v>
      </c>
      <c r="T5353" t="s">
        <v>42378</v>
      </c>
      <c r="U5353" t="s">
        <v>47124</v>
      </c>
      <c r="W5353" t="s">
        <v>38697</v>
      </c>
      <c r="X5353" t="s">
        <v>40441</v>
      </c>
    </row>
    <row r="5354" spans="1:24">
      <c r="A5354">
        <f>HYPERLINK("https://www.philgeps.gov.ph/GEPSNONPILOT/Tender/SplashBidNoticeAbstractUI.aspx?menuIndex=3&amp;refID=7044068&amp;Result=3","7044068")</f>
        <v>0</v>
      </c>
      <c r="B5354" t="s">
        <v>1682</v>
      </c>
      <c r="C5354" t="s">
        <v>8178</v>
      </c>
      <c r="D5354" t="s">
        <v>16214</v>
      </c>
      <c r="E5354" t="s">
        <v>21033</v>
      </c>
      <c r="F5354" t="s">
        <v>28198</v>
      </c>
      <c r="G5354" t="s">
        <v>28205</v>
      </c>
      <c r="H5354" t="s">
        <v>28214</v>
      </c>
      <c r="I5354" t="s">
        <v>28255</v>
      </c>
      <c r="J5354" t="s">
        <v>31741</v>
      </c>
      <c r="K5354" t="s">
        <v>36692</v>
      </c>
      <c r="M5354" t="s">
        <v>38778</v>
      </c>
      <c r="N5354" t="s">
        <v>40436</v>
      </c>
      <c r="O5354" t="s">
        <v>40437</v>
      </c>
      <c r="P5354">
        <v>0</v>
      </c>
      <c r="Q5354">
        <v>2</v>
      </c>
      <c r="R5354" t="s">
        <v>40440</v>
      </c>
      <c r="S5354" t="s">
        <v>40603</v>
      </c>
      <c r="T5354" t="s">
        <v>42118</v>
      </c>
      <c r="U5354" t="s">
        <v>47163</v>
      </c>
      <c r="V5354" t="s">
        <v>54253</v>
      </c>
      <c r="W5354" t="s">
        <v>38778</v>
      </c>
      <c r="X5354" t="s">
        <v>40441</v>
      </c>
    </row>
    <row r="5355" spans="1:24">
      <c r="A5355">
        <f>HYPERLINK("https://www.philgeps.gov.ph/GEPSNONPILOT/Tender/SplashBidNoticeAbstractUI.aspx?menuIndex=3&amp;refID=7044064&amp;Result=3","7044064")</f>
        <v>0</v>
      </c>
      <c r="B5355" t="s">
        <v>1791</v>
      </c>
      <c r="C5355" t="s">
        <v>8179</v>
      </c>
      <c r="D5355" t="s">
        <v>16254</v>
      </c>
      <c r="E5355" t="s">
        <v>21034</v>
      </c>
      <c r="F5355" t="s">
        <v>28198</v>
      </c>
      <c r="G5355" t="s">
        <v>28205</v>
      </c>
      <c r="H5355" t="s">
        <v>28215</v>
      </c>
      <c r="I5355" t="s">
        <v>28227</v>
      </c>
      <c r="J5355" t="s">
        <v>31742</v>
      </c>
      <c r="K5355" t="s">
        <v>36701</v>
      </c>
      <c r="M5355" t="s">
        <v>38907</v>
      </c>
      <c r="N5355" t="s">
        <v>40436</v>
      </c>
      <c r="O5355" t="s">
        <v>40437</v>
      </c>
      <c r="P5355">
        <v>0</v>
      </c>
      <c r="Q5355">
        <v>0</v>
      </c>
      <c r="R5355" t="s">
        <v>40440</v>
      </c>
      <c r="S5355" t="s">
        <v>40603</v>
      </c>
      <c r="T5355" t="s">
        <v>42106</v>
      </c>
      <c r="U5355" t="s">
        <v>47164</v>
      </c>
      <c r="W5355" t="s">
        <v>38907</v>
      </c>
      <c r="X5355" t="s">
        <v>40441</v>
      </c>
    </row>
    <row r="5356" spans="1:24">
      <c r="A5356">
        <f>HYPERLINK("https://www.philgeps.gov.ph/GEPSNONPILOT/Tender/SplashBidNoticeAbstractUI.aspx?menuIndex=3&amp;refID=7044074&amp;Result=3","7044074")</f>
        <v>0</v>
      </c>
      <c r="B5356" t="s">
        <v>1746</v>
      </c>
      <c r="C5356" t="s">
        <v>8117</v>
      </c>
      <c r="D5356" t="s">
        <v>16190</v>
      </c>
      <c r="E5356" t="s">
        <v>21035</v>
      </c>
      <c r="F5356" t="s">
        <v>28198</v>
      </c>
      <c r="G5356" t="s">
        <v>28205</v>
      </c>
      <c r="H5356" t="s">
        <v>28215</v>
      </c>
      <c r="I5356" t="s">
        <v>28254</v>
      </c>
      <c r="J5356" t="s">
        <v>31743</v>
      </c>
      <c r="K5356" t="s">
        <v>36693</v>
      </c>
      <c r="M5356" t="s">
        <v>38858</v>
      </c>
      <c r="N5356" t="s">
        <v>40436</v>
      </c>
      <c r="O5356" t="s">
        <v>40437</v>
      </c>
      <c r="P5356">
        <v>0</v>
      </c>
      <c r="Q5356">
        <v>0</v>
      </c>
      <c r="R5356" t="s">
        <v>40440</v>
      </c>
      <c r="S5356" t="s">
        <v>40603</v>
      </c>
      <c r="T5356" t="s">
        <v>42152</v>
      </c>
      <c r="U5356" t="s">
        <v>47165</v>
      </c>
      <c r="W5356" t="s">
        <v>38858</v>
      </c>
      <c r="X5356" t="s">
        <v>40441</v>
      </c>
    </row>
    <row r="5357" spans="1:24">
      <c r="A5357">
        <f>HYPERLINK("https://www.philgeps.gov.ph/GEPSNONPILOT/Tender/SplashBidNoticeAbstractUI.aspx?menuIndex=3&amp;refID=7044067&amp;Result=3","7044067")</f>
        <v>0</v>
      </c>
      <c r="B5357" t="s">
        <v>1610</v>
      </c>
      <c r="C5357" t="s">
        <v>8180</v>
      </c>
      <c r="E5357" t="s">
        <v>21036</v>
      </c>
      <c r="F5357" t="s">
        <v>28198</v>
      </c>
      <c r="G5357" t="s">
        <v>28210</v>
      </c>
      <c r="H5357" t="s">
        <v>28215</v>
      </c>
      <c r="I5357" t="s">
        <v>5082</v>
      </c>
      <c r="J5357" t="s">
        <v>31744</v>
      </c>
      <c r="K5357" t="s">
        <v>36689</v>
      </c>
      <c r="M5357" t="s">
        <v>38697</v>
      </c>
      <c r="N5357" t="s">
        <v>40436</v>
      </c>
      <c r="O5357" t="s">
        <v>40437</v>
      </c>
      <c r="P5357">
        <v>0</v>
      </c>
      <c r="Q5357">
        <v>2</v>
      </c>
      <c r="R5357" t="s">
        <v>40440</v>
      </c>
      <c r="S5357" t="s">
        <v>40603</v>
      </c>
      <c r="T5357" t="s">
        <v>42378</v>
      </c>
      <c r="U5357" t="s">
        <v>47124</v>
      </c>
      <c r="W5357" t="s">
        <v>38697</v>
      </c>
      <c r="X5357" t="s">
        <v>40441</v>
      </c>
    </row>
    <row r="5358" spans="1:24">
      <c r="A5358">
        <f>HYPERLINK("https://www.philgeps.gov.ph/GEPSNONPILOT/Tender/SplashBidNoticeAbstractUI.aspx?menuIndex=3&amp;refID=7044076&amp;Result=3","7044076")</f>
        <v>0</v>
      </c>
      <c r="B5358" t="s">
        <v>1682</v>
      </c>
      <c r="C5358" t="s">
        <v>8181</v>
      </c>
      <c r="D5358" t="s">
        <v>16214</v>
      </c>
      <c r="E5358" t="s">
        <v>21037</v>
      </c>
      <c r="F5358" t="s">
        <v>28198</v>
      </c>
      <c r="G5358" t="s">
        <v>28205</v>
      </c>
      <c r="H5358" t="s">
        <v>28214</v>
      </c>
      <c r="I5358" t="s">
        <v>28255</v>
      </c>
      <c r="J5358" t="s">
        <v>31745</v>
      </c>
      <c r="K5358" t="s">
        <v>36692</v>
      </c>
      <c r="M5358" t="s">
        <v>38778</v>
      </c>
      <c r="N5358" t="s">
        <v>40436</v>
      </c>
      <c r="O5358" t="s">
        <v>40437</v>
      </c>
      <c r="P5358">
        <v>0</v>
      </c>
      <c r="Q5358">
        <v>1</v>
      </c>
      <c r="R5358" t="s">
        <v>40440</v>
      </c>
      <c r="S5358" t="s">
        <v>40603</v>
      </c>
      <c r="T5358" t="s">
        <v>42118</v>
      </c>
      <c r="U5358" t="s">
        <v>47166</v>
      </c>
      <c r="V5358" t="s">
        <v>54253</v>
      </c>
      <c r="W5358" t="s">
        <v>38778</v>
      </c>
      <c r="X5358" t="s">
        <v>40441</v>
      </c>
    </row>
    <row r="5359" spans="1:24">
      <c r="A5359">
        <f>HYPERLINK("https://www.philgeps.gov.ph/GEPSNONPILOT/Tender/SplashBidNoticeAbstractUI.aspx?menuIndex=3&amp;refID=7044071&amp;Result=3","7044071")</f>
        <v>0</v>
      </c>
      <c r="B5359" t="s">
        <v>1682</v>
      </c>
      <c r="C5359" t="s">
        <v>8182</v>
      </c>
      <c r="D5359" t="s">
        <v>16214</v>
      </c>
      <c r="E5359" t="s">
        <v>21038</v>
      </c>
      <c r="F5359" t="s">
        <v>28198</v>
      </c>
      <c r="G5359" t="s">
        <v>28205</v>
      </c>
      <c r="H5359" t="s">
        <v>28214</v>
      </c>
      <c r="I5359" t="s">
        <v>28255</v>
      </c>
      <c r="J5359" t="s">
        <v>31746</v>
      </c>
      <c r="K5359" t="s">
        <v>36692</v>
      </c>
      <c r="M5359" t="s">
        <v>38778</v>
      </c>
      <c r="N5359" t="s">
        <v>40436</v>
      </c>
      <c r="O5359" t="s">
        <v>40437</v>
      </c>
      <c r="P5359">
        <v>0</v>
      </c>
      <c r="Q5359">
        <v>1</v>
      </c>
      <c r="R5359" t="s">
        <v>40440</v>
      </c>
      <c r="S5359" t="s">
        <v>40603</v>
      </c>
      <c r="T5359" t="s">
        <v>42118</v>
      </c>
      <c r="U5359" t="s">
        <v>47167</v>
      </c>
      <c r="V5359" t="s">
        <v>54253</v>
      </c>
      <c r="W5359" t="s">
        <v>38778</v>
      </c>
      <c r="X5359" t="s">
        <v>40441</v>
      </c>
    </row>
    <row r="5360" spans="1:24">
      <c r="A5360">
        <f>HYPERLINK("https://www.philgeps.gov.ph/GEPSNONPILOT/Tender/SplashBidNoticeAbstractUI.aspx?menuIndex=3&amp;refID=7044099&amp;Result=3","7044099")</f>
        <v>0</v>
      </c>
      <c r="B5360" t="s">
        <v>1355</v>
      </c>
      <c r="C5360" t="s">
        <v>8183</v>
      </c>
      <c r="D5360" t="s">
        <v>16210</v>
      </c>
      <c r="E5360" t="s">
        <v>21039</v>
      </c>
      <c r="F5360" t="s">
        <v>28198</v>
      </c>
      <c r="G5360" t="s">
        <v>28205</v>
      </c>
      <c r="H5360" t="s">
        <v>28215</v>
      </c>
      <c r="I5360" t="s">
        <v>28238</v>
      </c>
      <c r="J5360" t="s">
        <v>31747</v>
      </c>
      <c r="K5360" t="s">
        <v>36688</v>
      </c>
      <c r="M5360" t="s">
        <v>38908</v>
      </c>
      <c r="N5360" t="s">
        <v>40436</v>
      </c>
      <c r="O5360" t="s">
        <v>40437</v>
      </c>
      <c r="P5360">
        <v>0</v>
      </c>
      <c r="Q5360">
        <v>18</v>
      </c>
      <c r="R5360" t="s">
        <v>40440</v>
      </c>
      <c r="S5360" t="s">
        <v>40603</v>
      </c>
      <c r="T5360" t="s">
        <v>42281</v>
      </c>
      <c r="U5360" t="s">
        <v>47168</v>
      </c>
      <c r="W5360" t="s">
        <v>38908</v>
      </c>
      <c r="X5360" t="s">
        <v>40441</v>
      </c>
    </row>
    <row r="5361" spans="1:24">
      <c r="A5361">
        <f>HYPERLINK("https://www.philgeps.gov.ph/GEPSNONPILOT/Tender/SplashBidNoticeAbstractUI.aspx?menuIndex=3&amp;refID=7044063&amp;Result=3","7044063")</f>
        <v>0</v>
      </c>
      <c r="B5361" t="s">
        <v>1610</v>
      </c>
      <c r="C5361" t="s">
        <v>8184</v>
      </c>
      <c r="E5361" t="s">
        <v>21040</v>
      </c>
      <c r="F5361" t="s">
        <v>28198</v>
      </c>
      <c r="G5361" t="s">
        <v>28210</v>
      </c>
      <c r="H5361" t="s">
        <v>28215</v>
      </c>
      <c r="I5361" t="s">
        <v>4168</v>
      </c>
      <c r="J5361" t="s">
        <v>29490</v>
      </c>
      <c r="K5361" t="s">
        <v>36689</v>
      </c>
      <c r="M5361" t="s">
        <v>38697</v>
      </c>
      <c r="N5361" t="s">
        <v>40436</v>
      </c>
      <c r="O5361" t="s">
        <v>40437</v>
      </c>
      <c r="P5361">
        <v>0</v>
      </c>
      <c r="Q5361">
        <v>11</v>
      </c>
      <c r="R5361" t="s">
        <v>40440</v>
      </c>
      <c r="S5361" t="s">
        <v>40603</v>
      </c>
      <c r="T5361" t="s">
        <v>42378</v>
      </c>
      <c r="U5361" t="s">
        <v>47124</v>
      </c>
      <c r="W5361" t="s">
        <v>38697</v>
      </c>
      <c r="X5361" t="s">
        <v>40441</v>
      </c>
    </row>
    <row r="5362" spans="1:24">
      <c r="A5362">
        <f>HYPERLINK("https://www.philgeps.gov.ph/GEPSNONPILOT/Tender/SplashBidNoticeAbstractUI.aspx?menuIndex=3&amp;refID=7044096&amp;Result=3","7044096")</f>
        <v>0</v>
      </c>
      <c r="B5362" t="s">
        <v>65</v>
      </c>
      <c r="C5362" t="s">
        <v>8185</v>
      </c>
      <c r="D5362" t="s">
        <v>16210</v>
      </c>
      <c r="E5362" t="s">
        <v>21041</v>
      </c>
      <c r="F5362" t="s">
        <v>28198</v>
      </c>
      <c r="G5362" t="s">
        <v>28207</v>
      </c>
      <c r="H5362" t="s">
        <v>28215</v>
      </c>
      <c r="I5362" t="s">
        <v>4222</v>
      </c>
      <c r="J5362" t="s">
        <v>28576</v>
      </c>
      <c r="K5362" t="s">
        <v>36689</v>
      </c>
      <c r="M5362" t="s">
        <v>37821</v>
      </c>
      <c r="N5362" t="s">
        <v>40436</v>
      </c>
      <c r="O5362" t="s">
        <v>40437</v>
      </c>
      <c r="P5362">
        <v>0</v>
      </c>
      <c r="Q5362">
        <v>5</v>
      </c>
      <c r="R5362" t="s">
        <v>40440</v>
      </c>
      <c r="S5362" t="s">
        <v>40603</v>
      </c>
      <c r="T5362" t="s">
        <v>42119</v>
      </c>
      <c r="U5362" t="s">
        <v>47169</v>
      </c>
      <c r="W5362" t="s">
        <v>37821</v>
      </c>
      <c r="X5362" t="s">
        <v>40441</v>
      </c>
    </row>
    <row r="5363" spans="1:24">
      <c r="A5363">
        <f>HYPERLINK("https://www.philgeps.gov.ph/GEPSNONPILOT/Tender/SplashBidNoticeAbstractUI.aspx?menuIndex=3&amp;refID=7044070&amp;Result=3","7044070")</f>
        <v>0</v>
      </c>
      <c r="B5363" t="s">
        <v>1792</v>
      </c>
      <c r="C5363" t="s">
        <v>8186</v>
      </c>
      <c r="D5363" t="s">
        <v>16210</v>
      </c>
      <c r="E5363" t="s">
        <v>21042</v>
      </c>
      <c r="F5363" t="s">
        <v>28198</v>
      </c>
      <c r="G5363" t="s">
        <v>28207</v>
      </c>
      <c r="H5363" t="s">
        <v>28215</v>
      </c>
      <c r="I5363" t="s">
        <v>5100</v>
      </c>
      <c r="J5363" t="s">
        <v>31748</v>
      </c>
      <c r="K5363" t="s">
        <v>36688</v>
      </c>
      <c r="M5363" t="s">
        <v>38909</v>
      </c>
      <c r="N5363" t="s">
        <v>40436</v>
      </c>
      <c r="O5363" t="s">
        <v>40437</v>
      </c>
      <c r="P5363">
        <v>0</v>
      </c>
      <c r="Q5363">
        <v>4</v>
      </c>
      <c r="R5363" t="s">
        <v>40440</v>
      </c>
      <c r="S5363" t="s">
        <v>40603</v>
      </c>
      <c r="T5363" t="s">
        <v>42146</v>
      </c>
      <c r="U5363" t="s">
        <v>47170</v>
      </c>
      <c r="W5363" t="s">
        <v>38909</v>
      </c>
      <c r="X5363" t="s">
        <v>40441</v>
      </c>
    </row>
    <row r="5364" spans="1:24">
      <c r="A5364">
        <f>HYPERLINK("https://www.philgeps.gov.ph/GEPSNONPILOT/Tender/SplashBidNoticeAbstractUI.aspx?menuIndex=3&amp;refID=7044088&amp;Result=3","7044088")</f>
        <v>0</v>
      </c>
      <c r="B5364" t="s">
        <v>1791</v>
      </c>
      <c r="C5364" t="s">
        <v>8187</v>
      </c>
      <c r="D5364" t="s">
        <v>16254</v>
      </c>
      <c r="E5364" t="s">
        <v>21043</v>
      </c>
      <c r="F5364" t="s">
        <v>28198</v>
      </c>
      <c r="G5364" t="s">
        <v>28205</v>
      </c>
      <c r="H5364" t="s">
        <v>28215</v>
      </c>
      <c r="I5364" t="s">
        <v>3774</v>
      </c>
      <c r="J5364" t="s">
        <v>31749</v>
      </c>
      <c r="K5364" t="s">
        <v>36715</v>
      </c>
      <c r="M5364" t="s">
        <v>38907</v>
      </c>
      <c r="N5364" t="s">
        <v>40436</v>
      </c>
      <c r="O5364" t="s">
        <v>40437</v>
      </c>
      <c r="P5364">
        <v>0</v>
      </c>
      <c r="Q5364">
        <v>0</v>
      </c>
      <c r="R5364" t="s">
        <v>40440</v>
      </c>
      <c r="S5364" t="s">
        <v>40603</v>
      </c>
      <c r="T5364" t="s">
        <v>42327</v>
      </c>
      <c r="U5364" t="s">
        <v>47171</v>
      </c>
      <c r="W5364" t="s">
        <v>38907</v>
      </c>
      <c r="X5364" t="s">
        <v>40441</v>
      </c>
    </row>
    <row r="5365" spans="1:24">
      <c r="A5365">
        <f>HYPERLINK("https://www.philgeps.gov.ph/GEPSNONPILOT/Tender/SplashBidNoticeAbstractUI.aspx?menuIndex=3&amp;refID=7044092&amp;Result=3","7044092")</f>
        <v>0</v>
      </c>
      <c r="B5365" t="s">
        <v>1793</v>
      </c>
      <c r="C5365" t="s">
        <v>8188</v>
      </c>
      <c r="D5365" t="s">
        <v>16258</v>
      </c>
      <c r="E5365" t="s">
        <v>21044</v>
      </c>
      <c r="F5365" t="s">
        <v>28198</v>
      </c>
      <c r="G5365" t="s">
        <v>28209</v>
      </c>
      <c r="H5365" t="s">
        <v>28215</v>
      </c>
      <c r="I5365" t="s">
        <v>4321</v>
      </c>
      <c r="J5365" t="s">
        <v>28352</v>
      </c>
      <c r="K5365" t="s">
        <v>36706</v>
      </c>
      <c r="M5365" t="s">
        <v>38910</v>
      </c>
      <c r="N5365" t="s">
        <v>40436</v>
      </c>
      <c r="O5365" t="s">
        <v>40437</v>
      </c>
      <c r="P5365">
        <v>0</v>
      </c>
      <c r="Q5365">
        <v>0</v>
      </c>
      <c r="R5365" t="s">
        <v>40440</v>
      </c>
      <c r="S5365" t="s">
        <v>40603</v>
      </c>
      <c r="T5365" t="s">
        <v>42111</v>
      </c>
      <c r="U5365" t="s">
        <v>47172</v>
      </c>
      <c r="V5365" t="s">
        <v>54306</v>
      </c>
      <c r="W5365" t="s">
        <v>38910</v>
      </c>
      <c r="X5365" t="s">
        <v>40441</v>
      </c>
    </row>
    <row r="5366" spans="1:24">
      <c r="A5366">
        <f>HYPERLINK("https://www.philgeps.gov.ph/GEPSNONPILOT/Tender/SplashBidNoticeAbstractUI.aspx?menuIndex=3&amp;refID=7044080&amp;Result=3","7044080")</f>
        <v>0</v>
      </c>
      <c r="B5366" t="s">
        <v>755</v>
      </c>
      <c r="C5366" t="s">
        <v>8189</v>
      </c>
      <c r="D5366" t="s">
        <v>16200</v>
      </c>
      <c r="E5366" t="s">
        <v>21045</v>
      </c>
      <c r="F5366" t="s">
        <v>28198</v>
      </c>
      <c r="G5366" t="s">
        <v>28212</v>
      </c>
      <c r="H5366" t="s">
        <v>28215</v>
      </c>
      <c r="I5366" t="s">
        <v>28227</v>
      </c>
      <c r="J5366" t="s">
        <v>31750</v>
      </c>
      <c r="K5366" t="s">
        <v>36707</v>
      </c>
      <c r="M5366" t="s">
        <v>37758</v>
      </c>
      <c r="N5366" t="s">
        <v>40436</v>
      </c>
      <c r="O5366" t="s">
        <v>40437</v>
      </c>
      <c r="P5366">
        <v>0</v>
      </c>
      <c r="Q5366">
        <v>0</v>
      </c>
      <c r="R5366" t="s">
        <v>40440</v>
      </c>
      <c r="S5366" t="s">
        <v>40603</v>
      </c>
      <c r="T5366" t="s">
        <v>42277</v>
      </c>
      <c r="U5366" t="s">
        <v>47173</v>
      </c>
      <c r="W5366" t="s">
        <v>37758</v>
      </c>
      <c r="X5366" t="s">
        <v>40441</v>
      </c>
    </row>
    <row r="5367" spans="1:24">
      <c r="A5367">
        <f>HYPERLINK("https://www.philgeps.gov.ph/GEPSNONPILOT/Tender/SplashBidNoticeAbstractUI.aspx?menuIndex=3&amp;refID=7044094&amp;Result=3","7044094")</f>
        <v>0</v>
      </c>
      <c r="B5367" t="s">
        <v>1794</v>
      </c>
      <c r="C5367" t="s">
        <v>8190</v>
      </c>
      <c r="D5367" t="s">
        <v>16219</v>
      </c>
      <c r="E5367" t="s">
        <v>21046</v>
      </c>
      <c r="F5367" t="s">
        <v>28198</v>
      </c>
      <c r="G5367" t="s">
        <v>28205</v>
      </c>
      <c r="H5367" t="s">
        <v>28215</v>
      </c>
      <c r="I5367" t="s">
        <v>5100</v>
      </c>
      <c r="J5367" t="s">
        <v>31751</v>
      </c>
      <c r="K5367" t="s">
        <v>36717</v>
      </c>
      <c r="L5367" t="s">
        <v>1794</v>
      </c>
      <c r="M5367" t="s">
        <v>38911</v>
      </c>
      <c r="N5367" t="s">
        <v>40436</v>
      </c>
      <c r="O5367" t="s">
        <v>40437</v>
      </c>
      <c r="P5367">
        <v>0</v>
      </c>
      <c r="Q5367">
        <v>1</v>
      </c>
      <c r="R5367" t="s">
        <v>40440</v>
      </c>
      <c r="S5367" t="s">
        <v>40603</v>
      </c>
      <c r="T5367" t="s">
        <v>42107</v>
      </c>
      <c r="U5367" t="s">
        <v>47174</v>
      </c>
      <c r="V5367" t="s">
        <v>54307</v>
      </c>
      <c r="W5367" t="s">
        <v>38911</v>
      </c>
      <c r="X5367" t="s">
        <v>40441</v>
      </c>
    </row>
    <row r="5368" spans="1:24">
      <c r="A5368">
        <f>HYPERLINK("https://www.philgeps.gov.ph/GEPSNONPILOT/Tender/SplashBidNoticeAbstractUI.aspx?menuIndex=3&amp;refID=7044098&amp;Result=3","7044098")</f>
        <v>0</v>
      </c>
      <c r="B5368" t="s">
        <v>1794</v>
      </c>
      <c r="C5368" t="s">
        <v>8191</v>
      </c>
      <c r="D5368" t="s">
        <v>16219</v>
      </c>
      <c r="E5368" t="s">
        <v>21047</v>
      </c>
      <c r="F5368" t="s">
        <v>28198</v>
      </c>
      <c r="G5368" t="s">
        <v>28205</v>
      </c>
      <c r="H5368" t="s">
        <v>28215</v>
      </c>
      <c r="I5368" t="s">
        <v>5100</v>
      </c>
      <c r="J5368" t="s">
        <v>31752</v>
      </c>
      <c r="K5368" t="s">
        <v>36717</v>
      </c>
      <c r="L5368" t="s">
        <v>1794</v>
      </c>
      <c r="M5368" t="s">
        <v>38911</v>
      </c>
      <c r="N5368" t="s">
        <v>40436</v>
      </c>
      <c r="O5368" t="s">
        <v>40437</v>
      </c>
      <c r="P5368">
        <v>0</v>
      </c>
      <c r="Q5368">
        <v>1</v>
      </c>
      <c r="R5368" t="s">
        <v>40440</v>
      </c>
      <c r="S5368" t="s">
        <v>40603</v>
      </c>
      <c r="T5368" t="s">
        <v>42107</v>
      </c>
      <c r="U5368" t="s">
        <v>47175</v>
      </c>
      <c r="V5368" t="s">
        <v>54308</v>
      </c>
      <c r="W5368" t="s">
        <v>38911</v>
      </c>
      <c r="X5368" t="s">
        <v>40441</v>
      </c>
    </row>
    <row r="5369" spans="1:24">
      <c r="A5369">
        <f>HYPERLINK("https://www.philgeps.gov.ph/GEPSNONPILOT/Tender/SplashBidNoticeAbstractUI.aspx?menuIndex=3&amp;refID=7044105&amp;Result=3","7044105")</f>
        <v>0</v>
      </c>
      <c r="B5369" t="s">
        <v>65</v>
      </c>
      <c r="C5369" t="s">
        <v>8192</v>
      </c>
      <c r="D5369" t="s">
        <v>16210</v>
      </c>
      <c r="E5369" t="s">
        <v>21048</v>
      </c>
      <c r="F5369" t="s">
        <v>28198</v>
      </c>
      <c r="G5369" t="s">
        <v>28207</v>
      </c>
      <c r="H5369" t="s">
        <v>28215</v>
      </c>
      <c r="I5369" t="s">
        <v>5103</v>
      </c>
      <c r="J5369" t="s">
        <v>31753</v>
      </c>
      <c r="K5369" t="s">
        <v>36689</v>
      </c>
      <c r="M5369" t="s">
        <v>37821</v>
      </c>
      <c r="N5369" t="s">
        <v>40436</v>
      </c>
      <c r="O5369" t="s">
        <v>40437</v>
      </c>
      <c r="P5369">
        <v>0</v>
      </c>
      <c r="Q5369">
        <v>6</v>
      </c>
      <c r="R5369" t="s">
        <v>40440</v>
      </c>
      <c r="S5369" t="s">
        <v>40603</v>
      </c>
      <c r="T5369" t="s">
        <v>42119</v>
      </c>
      <c r="U5369" t="s">
        <v>47176</v>
      </c>
      <c r="W5369" t="s">
        <v>37821</v>
      </c>
      <c r="X5369" t="s">
        <v>40441</v>
      </c>
    </row>
    <row r="5370" spans="1:24">
      <c r="A5370">
        <f>HYPERLINK("https://www.philgeps.gov.ph/GEPSNONPILOT/Tender/SplashBidNoticeAbstractUI.aspx?menuIndex=3&amp;refID=7044110&amp;Result=3","7044110")</f>
        <v>0</v>
      </c>
      <c r="B5370" t="s">
        <v>1795</v>
      </c>
      <c r="C5370" t="s">
        <v>8193</v>
      </c>
      <c r="D5370" t="s">
        <v>16216</v>
      </c>
      <c r="E5370" t="s">
        <v>21049</v>
      </c>
      <c r="F5370" t="s">
        <v>28198</v>
      </c>
      <c r="G5370" t="s">
        <v>28206</v>
      </c>
      <c r="H5370" t="s">
        <v>28215</v>
      </c>
      <c r="I5370" t="s">
        <v>28228</v>
      </c>
      <c r="J5370" t="s">
        <v>28449</v>
      </c>
      <c r="K5370" t="s">
        <v>36688</v>
      </c>
      <c r="M5370" t="s">
        <v>38912</v>
      </c>
      <c r="N5370" t="s">
        <v>40436</v>
      </c>
      <c r="O5370" t="s">
        <v>40437</v>
      </c>
      <c r="P5370">
        <v>0</v>
      </c>
      <c r="Q5370">
        <v>0</v>
      </c>
      <c r="R5370" t="s">
        <v>40440</v>
      </c>
      <c r="S5370" t="s">
        <v>40603</v>
      </c>
      <c r="T5370" t="s">
        <v>42233</v>
      </c>
      <c r="U5370" t="s">
        <v>47177</v>
      </c>
      <c r="W5370" t="s">
        <v>38912</v>
      </c>
      <c r="X5370" t="s">
        <v>40441</v>
      </c>
    </row>
    <row r="5371" spans="1:24">
      <c r="A5371">
        <f>HYPERLINK("https://www.philgeps.gov.ph/GEPSNONPILOT/Tender/SplashBidNoticeAbstractUI.aspx?menuIndex=3&amp;refID=7044089&amp;Result=3","7044089")</f>
        <v>0</v>
      </c>
      <c r="B5371" t="s">
        <v>1792</v>
      </c>
      <c r="C5371" t="s">
        <v>8194</v>
      </c>
      <c r="D5371" t="s">
        <v>16210</v>
      </c>
      <c r="E5371" t="s">
        <v>21050</v>
      </c>
      <c r="F5371" t="s">
        <v>28198</v>
      </c>
      <c r="G5371" t="s">
        <v>28207</v>
      </c>
      <c r="H5371" t="s">
        <v>28215</v>
      </c>
      <c r="I5371" t="s">
        <v>28226</v>
      </c>
      <c r="J5371" t="s">
        <v>31091</v>
      </c>
      <c r="K5371" t="s">
        <v>36688</v>
      </c>
      <c r="M5371" t="s">
        <v>38909</v>
      </c>
      <c r="N5371" t="s">
        <v>40436</v>
      </c>
      <c r="O5371" t="s">
        <v>40437</v>
      </c>
      <c r="P5371">
        <v>0</v>
      </c>
      <c r="Q5371">
        <v>8</v>
      </c>
      <c r="R5371" t="s">
        <v>40440</v>
      </c>
      <c r="S5371" t="s">
        <v>40603</v>
      </c>
      <c r="T5371" t="s">
        <v>42146</v>
      </c>
      <c r="U5371" t="s">
        <v>47178</v>
      </c>
      <c r="W5371" t="s">
        <v>38909</v>
      </c>
      <c r="X5371" t="s">
        <v>40441</v>
      </c>
    </row>
    <row r="5372" spans="1:24">
      <c r="A5372">
        <f>HYPERLINK("https://www.philgeps.gov.ph/GEPSNONPILOT/Tender/SplashBidNoticeAbstractUI.aspx?menuIndex=3&amp;refID=7044104&amp;Result=3","7044104")</f>
        <v>0</v>
      </c>
      <c r="B5372" t="s">
        <v>1795</v>
      </c>
      <c r="C5372" t="s">
        <v>8195</v>
      </c>
      <c r="D5372" t="s">
        <v>16216</v>
      </c>
      <c r="E5372" t="s">
        <v>21051</v>
      </c>
      <c r="F5372" t="s">
        <v>28198</v>
      </c>
      <c r="G5372" t="s">
        <v>28206</v>
      </c>
      <c r="H5372" t="s">
        <v>28215</v>
      </c>
      <c r="I5372" t="s">
        <v>28228</v>
      </c>
      <c r="J5372" t="s">
        <v>31754</v>
      </c>
      <c r="K5372" t="s">
        <v>36688</v>
      </c>
      <c r="M5372" t="s">
        <v>38912</v>
      </c>
      <c r="N5372" t="s">
        <v>40436</v>
      </c>
      <c r="O5372" t="s">
        <v>40437</v>
      </c>
      <c r="P5372">
        <v>0</v>
      </c>
      <c r="Q5372">
        <v>0</v>
      </c>
      <c r="R5372" t="s">
        <v>40440</v>
      </c>
      <c r="S5372" t="s">
        <v>40603</v>
      </c>
      <c r="T5372" t="s">
        <v>42233</v>
      </c>
      <c r="U5372" t="s">
        <v>47177</v>
      </c>
      <c r="W5372" t="s">
        <v>38912</v>
      </c>
      <c r="X5372" t="s">
        <v>40441</v>
      </c>
    </row>
    <row r="5373" spans="1:24">
      <c r="A5373">
        <f>HYPERLINK("https://www.philgeps.gov.ph/GEPSNONPILOT/Tender/SplashBidNoticeAbstractUI.aspx?menuIndex=3&amp;refID=7044103&amp;Result=3","7044103")</f>
        <v>0</v>
      </c>
      <c r="B5373" t="s">
        <v>1746</v>
      </c>
      <c r="C5373" t="s">
        <v>8196</v>
      </c>
      <c r="D5373" t="s">
        <v>16190</v>
      </c>
      <c r="E5373" t="s">
        <v>21052</v>
      </c>
      <c r="F5373" t="s">
        <v>28198</v>
      </c>
      <c r="G5373" t="s">
        <v>28207</v>
      </c>
      <c r="H5373" t="s">
        <v>28215</v>
      </c>
      <c r="I5373" t="s">
        <v>28252</v>
      </c>
      <c r="J5373" t="s">
        <v>31755</v>
      </c>
      <c r="K5373" t="s">
        <v>36693</v>
      </c>
      <c r="M5373" t="s">
        <v>38858</v>
      </c>
      <c r="N5373" t="s">
        <v>40436</v>
      </c>
      <c r="O5373" t="s">
        <v>40437</v>
      </c>
      <c r="P5373">
        <v>0</v>
      </c>
      <c r="Q5373">
        <v>2</v>
      </c>
      <c r="R5373" t="s">
        <v>40440</v>
      </c>
      <c r="S5373" t="s">
        <v>40603</v>
      </c>
      <c r="T5373" t="s">
        <v>42152</v>
      </c>
      <c r="U5373" t="s">
        <v>47179</v>
      </c>
      <c r="W5373" t="s">
        <v>38858</v>
      </c>
      <c r="X5373" t="s">
        <v>40441</v>
      </c>
    </row>
    <row r="5374" spans="1:24">
      <c r="A5374">
        <f>HYPERLINK("https://www.philgeps.gov.ph/GEPSNONPILOT/Tender/SplashBidNoticeAbstractUI.aspx?menuIndex=3&amp;refID=7044109&amp;Result=3","7044109")</f>
        <v>0</v>
      </c>
      <c r="B5374" t="s">
        <v>1355</v>
      </c>
      <c r="C5374" t="s">
        <v>8197</v>
      </c>
      <c r="D5374" t="s">
        <v>16210</v>
      </c>
      <c r="E5374" t="s">
        <v>21053</v>
      </c>
      <c r="F5374" t="s">
        <v>28198</v>
      </c>
      <c r="G5374" t="s">
        <v>28205</v>
      </c>
      <c r="H5374" t="s">
        <v>28215</v>
      </c>
      <c r="I5374" t="s">
        <v>28226</v>
      </c>
      <c r="J5374" t="s">
        <v>31756</v>
      </c>
      <c r="K5374" t="s">
        <v>36688</v>
      </c>
      <c r="M5374" t="s">
        <v>38908</v>
      </c>
      <c r="N5374" t="s">
        <v>40436</v>
      </c>
      <c r="O5374" t="s">
        <v>40437</v>
      </c>
      <c r="P5374">
        <v>0</v>
      </c>
      <c r="Q5374">
        <v>13</v>
      </c>
      <c r="R5374" t="s">
        <v>40440</v>
      </c>
      <c r="S5374" t="s">
        <v>40603</v>
      </c>
      <c r="T5374" t="s">
        <v>42281</v>
      </c>
      <c r="U5374" t="s">
        <v>47168</v>
      </c>
      <c r="W5374" t="s">
        <v>38908</v>
      </c>
      <c r="X5374" t="s">
        <v>40441</v>
      </c>
    </row>
    <row r="5375" spans="1:24">
      <c r="A5375">
        <f>HYPERLINK("https://www.philgeps.gov.ph/GEPSNONPILOT/Tender/SplashBidNoticeAbstractUI.aspx?menuIndex=3&amp;refID=7044107&amp;Result=3","7044107")</f>
        <v>0</v>
      </c>
      <c r="B5375" t="s">
        <v>1795</v>
      </c>
      <c r="C5375" t="s">
        <v>8198</v>
      </c>
      <c r="D5375" t="s">
        <v>16216</v>
      </c>
      <c r="E5375" t="s">
        <v>21054</v>
      </c>
      <c r="F5375" t="s">
        <v>28198</v>
      </c>
      <c r="G5375" t="s">
        <v>28206</v>
      </c>
      <c r="H5375" t="s">
        <v>28215</v>
      </c>
      <c r="I5375" t="s">
        <v>28228</v>
      </c>
      <c r="J5375" t="s">
        <v>31757</v>
      </c>
      <c r="K5375" t="s">
        <v>36688</v>
      </c>
      <c r="M5375" t="s">
        <v>38912</v>
      </c>
      <c r="N5375" t="s">
        <v>40436</v>
      </c>
      <c r="O5375" t="s">
        <v>40437</v>
      </c>
      <c r="P5375">
        <v>0</v>
      </c>
      <c r="Q5375">
        <v>0</v>
      </c>
      <c r="R5375" t="s">
        <v>40440</v>
      </c>
      <c r="S5375" t="s">
        <v>40603</v>
      </c>
      <c r="T5375" t="s">
        <v>42233</v>
      </c>
      <c r="U5375" t="s">
        <v>47177</v>
      </c>
      <c r="W5375" t="s">
        <v>38912</v>
      </c>
      <c r="X5375" t="s">
        <v>40441</v>
      </c>
    </row>
    <row r="5376" spans="1:24">
      <c r="A5376">
        <f>HYPERLINK("https://www.philgeps.gov.ph/GEPSNONPILOT/Tender/SplashBidNoticeAbstractUI.aspx?menuIndex=3&amp;refID=7044087&amp;Result=3","7044087")</f>
        <v>0</v>
      </c>
      <c r="B5376" t="s">
        <v>1793</v>
      </c>
      <c r="C5376" t="s">
        <v>8199</v>
      </c>
      <c r="D5376" t="s">
        <v>16258</v>
      </c>
      <c r="E5376" t="s">
        <v>21055</v>
      </c>
      <c r="F5376" t="s">
        <v>28198</v>
      </c>
      <c r="G5376" t="s">
        <v>28207</v>
      </c>
      <c r="H5376" t="s">
        <v>28215</v>
      </c>
      <c r="I5376" t="s">
        <v>4505</v>
      </c>
      <c r="J5376" t="s">
        <v>31758</v>
      </c>
      <c r="K5376" t="s">
        <v>36706</v>
      </c>
      <c r="M5376" t="s">
        <v>38910</v>
      </c>
      <c r="N5376" t="s">
        <v>40436</v>
      </c>
      <c r="O5376" t="s">
        <v>40437</v>
      </c>
      <c r="P5376">
        <v>0</v>
      </c>
      <c r="Q5376">
        <v>0</v>
      </c>
      <c r="R5376" t="s">
        <v>40440</v>
      </c>
      <c r="S5376" t="s">
        <v>40603</v>
      </c>
      <c r="T5376" t="s">
        <v>42421</v>
      </c>
      <c r="U5376" t="s">
        <v>47180</v>
      </c>
      <c r="V5376" t="s">
        <v>54309</v>
      </c>
      <c r="W5376" t="s">
        <v>38910</v>
      </c>
      <c r="X5376" t="s">
        <v>40441</v>
      </c>
    </row>
    <row r="5377" spans="1:24">
      <c r="A5377">
        <f>HYPERLINK("https://www.philgeps.gov.ph/GEPSNONPILOT/Tender/SplashBidNoticeAbstractUI.aspx?menuIndex=3&amp;refID=7044085&amp;Result=3","7044085")</f>
        <v>0</v>
      </c>
      <c r="B5377" t="s">
        <v>842</v>
      </c>
      <c r="C5377" t="s">
        <v>3662</v>
      </c>
      <c r="D5377" t="s">
        <v>16239</v>
      </c>
      <c r="E5377" t="s">
        <v>21056</v>
      </c>
      <c r="F5377" t="s">
        <v>28198</v>
      </c>
      <c r="G5377" t="s">
        <v>28206</v>
      </c>
      <c r="H5377" t="s">
        <v>28215</v>
      </c>
      <c r="I5377" t="s">
        <v>28225</v>
      </c>
      <c r="J5377" t="s">
        <v>31759</v>
      </c>
      <c r="K5377" t="s">
        <v>36689</v>
      </c>
      <c r="M5377" t="s">
        <v>37854</v>
      </c>
      <c r="N5377" t="s">
        <v>40436</v>
      </c>
      <c r="O5377" t="s">
        <v>40437</v>
      </c>
      <c r="P5377">
        <v>0</v>
      </c>
      <c r="Q5377">
        <v>7</v>
      </c>
      <c r="R5377" t="s">
        <v>40440</v>
      </c>
      <c r="S5377" t="s">
        <v>40603</v>
      </c>
      <c r="T5377" t="s">
        <v>42185</v>
      </c>
      <c r="U5377" t="s">
        <v>47181</v>
      </c>
      <c r="V5377" t="s">
        <v>53986</v>
      </c>
      <c r="W5377" t="s">
        <v>37854</v>
      </c>
      <c r="X5377" t="s">
        <v>40441</v>
      </c>
    </row>
    <row r="5378" spans="1:24">
      <c r="A5378">
        <f>HYPERLINK("https://www.philgeps.gov.ph/GEPSNONPILOT/Tender/SplashBidNoticeAbstractUI.aspx?menuIndex=3&amp;refID=7044083&amp;Result=3","7044083")</f>
        <v>0</v>
      </c>
      <c r="B5378" t="s">
        <v>1746</v>
      </c>
      <c r="C5378" t="s">
        <v>8200</v>
      </c>
      <c r="D5378" t="s">
        <v>16190</v>
      </c>
      <c r="E5378" t="s">
        <v>21057</v>
      </c>
      <c r="F5378" t="s">
        <v>28198</v>
      </c>
      <c r="G5378" t="s">
        <v>28205</v>
      </c>
      <c r="H5378" t="s">
        <v>28215</v>
      </c>
      <c r="I5378" t="s">
        <v>5082</v>
      </c>
      <c r="J5378" t="s">
        <v>30830</v>
      </c>
      <c r="K5378" t="s">
        <v>36693</v>
      </c>
      <c r="M5378" t="s">
        <v>38858</v>
      </c>
      <c r="N5378" t="s">
        <v>40436</v>
      </c>
      <c r="O5378" t="s">
        <v>40437</v>
      </c>
      <c r="P5378">
        <v>0</v>
      </c>
      <c r="Q5378">
        <v>0</v>
      </c>
      <c r="R5378" t="s">
        <v>40440</v>
      </c>
      <c r="S5378" t="s">
        <v>40603</v>
      </c>
      <c r="T5378" t="s">
        <v>42152</v>
      </c>
      <c r="U5378" t="s">
        <v>47161</v>
      </c>
      <c r="W5378" t="s">
        <v>38858</v>
      </c>
      <c r="X5378" t="s">
        <v>40441</v>
      </c>
    </row>
    <row r="5379" spans="1:24">
      <c r="A5379">
        <f>HYPERLINK("https://www.philgeps.gov.ph/GEPSNONPILOT/Tender/SplashBidNoticeAbstractUI.aspx?menuIndex=3&amp;refID=7044102&amp;Result=3","7044102")</f>
        <v>0</v>
      </c>
      <c r="B5379" t="s">
        <v>65</v>
      </c>
      <c r="C5379" t="s">
        <v>8201</v>
      </c>
      <c r="D5379" t="s">
        <v>16210</v>
      </c>
      <c r="E5379" t="s">
        <v>21058</v>
      </c>
      <c r="F5379" t="s">
        <v>28198</v>
      </c>
      <c r="G5379" t="s">
        <v>28207</v>
      </c>
      <c r="H5379" t="s">
        <v>28215</v>
      </c>
      <c r="I5379" t="s">
        <v>5103</v>
      </c>
      <c r="J5379" t="s">
        <v>31760</v>
      </c>
      <c r="K5379" t="s">
        <v>36689</v>
      </c>
      <c r="M5379" t="s">
        <v>37821</v>
      </c>
      <c r="N5379" t="s">
        <v>40436</v>
      </c>
      <c r="O5379" t="s">
        <v>40437</v>
      </c>
      <c r="P5379">
        <v>0</v>
      </c>
      <c r="Q5379">
        <v>9</v>
      </c>
      <c r="R5379" t="s">
        <v>40440</v>
      </c>
      <c r="S5379" t="s">
        <v>40603</v>
      </c>
      <c r="T5379" t="s">
        <v>42119</v>
      </c>
      <c r="U5379" t="s">
        <v>47182</v>
      </c>
      <c r="W5379" t="s">
        <v>37821</v>
      </c>
      <c r="X5379" t="s">
        <v>40441</v>
      </c>
    </row>
    <row r="5380" spans="1:24">
      <c r="A5380">
        <f>HYPERLINK("https://www.philgeps.gov.ph/GEPSNONPILOT/Tender/SplashBidNoticeAbstractUI.aspx?menuIndex=3&amp;refID=7044081&amp;Result=3","7044081")</f>
        <v>0</v>
      </c>
      <c r="B5380" t="s">
        <v>1792</v>
      </c>
      <c r="C5380" t="s">
        <v>8202</v>
      </c>
      <c r="D5380" t="s">
        <v>16210</v>
      </c>
      <c r="E5380" t="s">
        <v>21059</v>
      </c>
      <c r="F5380" t="s">
        <v>28198</v>
      </c>
      <c r="G5380" t="s">
        <v>28210</v>
      </c>
      <c r="H5380" t="s">
        <v>28215</v>
      </c>
      <c r="I5380" t="s">
        <v>28226</v>
      </c>
      <c r="J5380" t="s">
        <v>31761</v>
      </c>
      <c r="K5380" t="s">
        <v>36688</v>
      </c>
      <c r="M5380" t="s">
        <v>38909</v>
      </c>
      <c r="N5380" t="s">
        <v>40436</v>
      </c>
      <c r="O5380" t="s">
        <v>40437</v>
      </c>
      <c r="P5380">
        <v>0</v>
      </c>
      <c r="Q5380">
        <v>6</v>
      </c>
      <c r="R5380" t="s">
        <v>40440</v>
      </c>
      <c r="S5380" t="s">
        <v>40603</v>
      </c>
      <c r="T5380" t="s">
        <v>42146</v>
      </c>
      <c r="U5380" t="s">
        <v>47183</v>
      </c>
      <c r="W5380" t="s">
        <v>38909</v>
      </c>
      <c r="X5380" t="s">
        <v>40441</v>
      </c>
    </row>
    <row r="5381" spans="1:24">
      <c r="A5381">
        <f>HYPERLINK("https://www.philgeps.gov.ph/GEPSNONPILOT/Tender/SplashBidNoticeAbstractUI.aspx?menuIndex=3&amp;refID=7044111&amp;Result=3","7044111")</f>
        <v>0</v>
      </c>
      <c r="B5381" t="s">
        <v>65</v>
      </c>
      <c r="C5381" t="s">
        <v>8203</v>
      </c>
      <c r="D5381" t="s">
        <v>16210</v>
      </c>
      <c r="E5381" t="s">
        <v>21060</v>
      </c>
      <c r="F5381" t="s">
        <v>28198</v>
      </c>
      <c r="G5381" t="s">
        <v>28206</v>
      </c>
      <c r="H5381" t="s">
        <v>28215</v>
      </c>
      <c r="I5381" t="s">
        <v>5082</v>
      </c>
      <c r="J5381" t="s">
        <v>31762</v>
      </c>
      <c r="K5381" t="s">
        <v>36689</v>
      </c>
      <c r="M5381" t="s">
        <v>37821</v>
      </c>
      <c r="N5381" t="s">
        <v>40436</v>
      </c>
      <c r="O5381" t="s">
        <v>40437</v>
      </c>
      <c r="P5381">
        <v>0</v>
      </c>
      <c r="Q5381">
        <v>1</v>
      </c>
      <c r="R5381" t="s">
        <v>40440</v>
      </c>
      <c r="S5381" t="s">
        <v>40603</v>
      </c>
      <c r="T5381" t="s">
        <v>42119</v>
      </c>
      <c r="U5381" t="s">
        <v>47184</v>
      </c>
      <c r="W5381" t="s">
        <v>37821</v>
      </c>
      <c r="X5381" t="s">
        <v>40441</v>
      </c>
    </row>
    <row r="5382" spans="1:24">
      <c r="A5382">
        <f>HYPERLINK("https://www.philgeps.gov.ph/GEPSNONPILOT/Tender/SplashBidNoticeAbstractUI.aspx?menuIndex=3&amp;refID=7044084&amp;Result=3","7044084")</f>
        <v>0</v>
      </c>
      <c r="B5382" t="s">
        <v>1792</v>
      </c>
      <c r="C5382" t="s">
        <v>8204</v>
      </c>
      <c r="D5382" t="s">
        <v>16210</v>
      </c>
      <c r="E5382" t="s">
        <v>21061</v>
      </c>
      <c r="F5382" t="s">
        <v>28198</v>
      </c>
      <c r="G5382" t="s">
        <v>28207</v>
      </c>
      <c r="H5382" t="s">
        <v>28215</v>
      </c>
      <c r="I5382" t="s">
        <v>28226</v>
      </c>
      <c r="J5382" t="s">
        <v>31763</v>
      </c>
      <c r="K5382" t="s">
        <v>36688</v>
      </c>
      <c r="M5382" t="s">
        <v>38909</v>
      </c>
      <c r="N5382" t="s">
        <v>40436</v>
      </c>
      <c r="O5382" t="s">
        <v>40437</v>
      </c>
      <c r="P5382">
        <v>0</v>
      </c>
      <c r="Q5382">
        <v>8</v>
      </c>
      <c r="R5382" t="s">
        <v>40440</v>
      </c>
      <c r="S5382" t="s">
        <v>40603</v>
      </c>
      <c r="T5382" t="s">
        <v>42146</v>
      </c>
      <c r="U5382" t="s">
        <v>47185</v>
      </c>
      <c r="W5382" t="s">
        <v>38909</v>
      </c>
      <c r="X5382" t="s">
        <v>40441</v>
      </c>
    </row>
    <row r="5383" spans="1:24">
      <c r="A5383">
        <f>HYPERLINK("https://www.philgeps.gov.ph/GEPSNONPILOT/Tender/SplashBidNoticeAbstractUI.aspx?menuIndex=3&amp;refID=7044117&amp;Result=3","7044117")</f>
        <v>0</v>
      </c>
      <c r="B5383" t="s">
        <v>1355</v>
      </c>
      <c r="C5383" t="s">
        <v>8205</v>
      </c>
      <c r="D5383" t="s">
        <v>16210</v>
      </c>
      <c r="E5383" t="s">
        <v>21062</v>
      </c>
      <c r="F5383" t="s">
        <v>28198</v>
      </c>
      <c r="G5383" t="s">
        <v>28205</v>
      </c>
      <c r="H5383" t="s">
        <v>28215</v>
      </c>
      <c r="I5383" t="s">
        <v>4168</v>
      </c>
      <c r="J5383" t="s">
        <v>31764</v>
      </c>
      <c r="K5383" t="s">
        <v>36697</v>
      </c>
      <c r="M5383" t="s">
        <v>38908</v>
      </c>
      <c r="N5383" t="s">
        <v>40436</v>
      </c>
      <c r="O5383" t="s">
        <v>40437</v>
      </c>
      <c r="P5383">
        <v>0</v>
      </c>
      <c r="Q5383">
        <v>12</v>
      </c>
      <c r="R5383" t="s">
        <v>40440</v>
      </c>
      <c r="S5383" t="s">
        <v>40603</v>
      </c>
      <c r="T5383" t="s">
        <v>42281</v>
      </c>
      <c r="U5383" t="s">
        <v>47168</v>
      </c>
      <c r="W5383" t="s">
        <v>38908</v>
      </c>
      <c r="X5383" t="s">
        <v>40441</v>
      </c>
    </row>
    <row r="5384" spans="1:24">
      <c r="A5384">
        <f>HYPERLINK("https://www.philgeps.gov.ph/GEPSNONPILOT/Tender/SplashBidNoticeAbstractUI.aspx?menuIndex=3&amp;refID=7044115&amp;Result=3","7044115")</f>
        <v>0</v>
      </c>
      <c r="B5384" t="s">
        <v>65</v>
      </c>
      <c r="C5384" t="s">
        <v>8206</v>
      </c>
      <c r="D5384" t="s">
        <v>16210</v>
      </c>
      <c r="E5384" t="s">
        <v>21063</v>
      </c>
      <c r="F5384" t="s">
        <v>28198</v>
      </c>
      <c r="G5384" t="s">
        <v>28207</v>
      </c>
      <c r="H5384" t="s">
        <v>28215</v>
      </c>
      <c r="I5384" t="s">
        <v>5791</v>
      </c>
      <c r="J5384" t="s">
        <v>28561</v>
      </c>
      <c r="K5384" t="s">
        <v>36689</v>
      </c>
      <c r="M5384" t="s">
        <v>37821</v>
      </c>
      <c r="N5384" t="s">
        <v>40436</v>
      </c>
      <c r="O5384" t="s">
        <v>40437</v>
      </c>
      <c r="P5384">
        <v>0</v>
      </c>
      <c r="Q5384">
        <v>0</v>
      </c>
      <c r="R5384" t="s">
        <v>40440</v>
      </c>
      <c r="S5384" t="s">
        <v>40603</v>
      </c>
      <c r="T5384" t="s">
        <v>42119</v>
      </c>
      <c r="U5384" t="s">
        <v>47186</v>
      </c>
      <c r="W5384" t="s">
        <v>37821</v>
      </c>
      <c r="X5384" t="s">
        <v>40441</v>
      </c>
    </row>
    <row r="5385" spans="1:24">
      <c r="A5385">
        <f>HYPERLINK("https://www.philgeps.gov.ph/GEPSNONPILOT/Tender/SplashBidNoticeAbstractUI.aspx?menuIndex=3&amp;refID=7044112&amp;Result=3","7044112")</f>
        <v>0</v>
      </c>
      <c r="B5385" t="s">
        <v>1796</v>
      </c>
      <c r="C5385" t="s">
        <v>8207</v>
      </c>
      <c r="E5385" t="s">
        <v>21064</v>
      </c>
      <c r="F5385" t="s">
        <v>28198</v>
      </c>
      <c r="G5385" t="s">
        <v>28209</v>
      </c>
      <c r="H5385" t="s">
        <v>28215</v>
      </c>
      <c r="I5385" t="s">
        <v>4168</v>
      </c>
      <c r="J5385" t="s">
        <v>31765</v>
      </c>
      <c r="K5385" t="s">
        <v>36689</v>
      </c>
      <c r="M5385" t="s">
        <v>38913</v>
      </c>
      <c r="N5385" t="s">
        <v>40436</v>
      </c>
      <c r="O5385" t="s">
        <v>40437</v>
      </c>
      <c r="Q5385">
        <v>21</v>
      </c>
      <c r="R5385" t="s">
        <v>40440</v>
      </c>
      <c r="S5385" t="s">
        <v>40634</v>
      </c>
      <c r="T5385" t="s">
        <v>42225</v>
      </c>
      <c r="U5385" t="s">
        <v>44074</v>
      </c>
      <c r="W5385" t="s">
        <v>38913</v>
      </c>
      <c r="X5385" t="s">
        <v>40441</v>
      </c>
    </row>
    <row r="5386" spans="1:24">
      <c r="A5386">
        <f>HYPERLINK("https://www.philgeps.gov.ph/GEPSNONPILOT/Tender/SplashBidNoticeAbstractUI.aspx?menuIndex=3&amp;refID=7044113&amp;Result=3","7044113")</f>
        <v>0</v>
      </c>
      <c r="B5386" t="s">
        <v>1795</v>
      </c>
      <c r="C5386" t="s">
        <v>8208</v>
      </c>
      <c r="D5386" t="s">
        <v>16216</v>
      </c>
      <c r="E5386" t="s">
        <v>21065</v>
      </c>
      <c r="F5386" t="s">
        <v>28198</v>
      </c>
      <c r="G5386" t="s">
        <v>28206</v>
      </c>
      <c r="H5386" t="s">
        <v>28215</v>
      </c>
      <c r="I5386" t="s">
        <v>28228</v>
      </c>
      <c r="J5386" t="s">
        <v>28587</v>
      </c>
      <c r="K5386" t="s">
        <v>36688</v>
      </c>
      <c r="M5386" t="s">
        <v>38912</v>
      </c>
      <c r="N5386" t="s">
        <v>40436</v>
      </c>
      <c r="O5386" t="s">
        <v>40437</v>
      </c>
      <c r="P5386">
        <v>0</v>
      </c>
      <c r="Q5386">
        <v>0</v>
      </c>
      <c r="R5386" t="s">
        <v>40440</v>
      </c>
      <c r="S5386" t="s">
        <v>40603</v>
      </c>
      <c r="T5386" t="s">
        <v>42233</v>
      </c>
      <c r="U5386" t="s">
        <v>47177</v>
      </c>
      <c r="W5386" t="s">
        <v>38912</v>
      </c>
      <c r="X5386" t="s">
        <v>40441</v>
      </c>
    </row>
    <row r="5387" spans="1:24">
      <c r="A5387">
        <f>HYPERLINK("https://www.philgeps.gov.ph/GEPSNONPILOT/Tender/SplashBidNoticeAbstractUI.aspx?menuIndex=3&amp;refID=7044131&amp;Result=3","7044131")</f>
        <v>0</v>
      </c>
      <c r="B5387" t="s">
        <v>137</v>
      </c>
      <c r="C5387" t="s">
        <v>8209</v>
      </c>
      <c r="D5387" t="s">
        <v>16217</v>
      </c>
      <c r="E5387" t="s">
        <v>21066</v>
      </c>
      <c r="F5387" t="s">
        <v>28198</v>
      </c>
      <c r="G5387" t="s">
        <v>28207</v>
      </c>
      <c r="H5387" t="s">
        <v>28215</v>
      </c>
      <c r="I5387" t="s">
        <v>5100</v>
      </c>
      <c r="J5387" t="s">
        <v>31766</v>
      </c>
      <c r="K5387" t="s">
        <v>36707</v>
      </c>
      <c r="M5387" t="s">
        <v>37111</v>
      </c>
      <c r="N5387" t="s">
        <v>40436</v>
      </c>
      <c r="O5387" t="s">
        <v>40437</v>
      </c>
      <c r="P5387">
        <v>0</v>
      </c>
      <c r="Q5387">
        <v>0</v>
      </c>
      <c r="R5387" t="s">
        <v>40440</v>
      </c>
      <c r="S5387" t="s">
        <v>40603</v>
      </c>
      <c r="T5387" t="s">
        <v>42233</v>
      </c>
      <c r="U5387" t="s">
        <v>47187</v>
      </c>
      <c r="W5387" t="s">
        <v>37111</v>
      </c>
      <c r="X5387" t="s">
        <v>40441</v>
      </c>
    </row>
    <row r="5388" spans="1:24">
      <c r="A5388">
        <f>HYPERLINK("https://www.philgeps.gov.ph/GEPSNONPILOT/Tender/SplashBidNoticeAbstractUI.aspx?menuIndex=3&amp;refID=7044130&amp;Result=3","7044130")</f>
        <v>0</v>
      </c>
      <c r="B5388" t="s">
        <v>1755</v>
      </c>
      <c r="C5388" t="s">
        <v>8210</v>
      </c>
      <c r="D5388" t="s">
        <v>16200</v>
      </c>
      <c r="E5388" t="s">
        <v>21067</v>
      </c>
      <c r="F5388" t="s">
        <v>28198</v>
      </c>
      <c r="G5388" t="s">
        <v>28210</v>
      </c>
      <c r="H5388" t="s">
        <v>28215</v>
      </c>
      <c r="I5388" t="s">
        <v>28234</v>
      </c>
      <c r="J5388" t="s">
        <v>31767</v>
      </c>
      <c r="K5388" t="s">
        <v>36706</v>
      </c>
      <c r="M5388" t="s">
        <v>38868</v>
      </c>
      <c r="N5388" t="s">
        <v>40436</v>
      </c>
      <c r="O5388" t="s">
        <v>40437</v>
      </c>
      <c r="P5388">
        <v>0</v>
      </c>
      <c r="Q5388">
        <v>3</v>
      </c>
      <c r="R5388" t="s">
        <v>40440</v>
      </c>
      <c r="S5388" t="s">
        <v>40603</v>
      </c>
      <c r="T5388" t="s">
        <v>42385</v>
      </c>
      <c r="U5388" t="s">
        <v>47188</v>
      </c>
      <c r="W5388" t="s">
        <v>38868</v>
      </c>
      <c r="X5388" t="s">
        <v>40441</v>
      </c>
    </row>
    <row r="5389" spans="1:24">
      <c r="A5389">
        <f>HYPERLINK("https://www.philgeps.gov.ph/GEPSNONPILOT/Tender/SplashBidNoticeAbstractUI.aspx?menuIndex=3&amp;refID=7044129&amp;Result=3","7044129")</f>
        <v>0</v>
      </c>
      <c r="B5389" t="s">
        <v>1355</v>
      </c>
      <c r="C5389" t="s">
        <v>8211</v>
      </c>
      <c r="D5389" t="s">
        <v>16210</v>
      </c>
      <c r="E5389" t="s">
        <v>21068</v>
      </c>
      <c r="F5389" t="s">
        <v>28198</v>
      </c>
      <c r="G5389" t="s">
        <v>28205</v>
      </c>
      <c r="H5389" t="s">
        <v>28215</v>
      </c>
      <c r="I5389" t="s">
        <v>28274</v>
      </c>
      <c r="J5389" t="s">
        <v>31768</v>
      </c>
      <c r="K5389" t="s">
        <v>36707</v>
      </c>
      <c r="M5389" t="s">
        <v>38908</v>
      </c>
      <c r="N5389" t="s">
        <v>40436</v>
      </c>
      <c r="O5389" t="s">
        <v>40437</v>
      </c>
      <c r="P5389">
        <v>0</v>
      </c>
      <c r="Q5389">
        <v>3</v>
      </c>
      <c r="R5389" t="s">
        <v>40440</v>
      </c>
      <c r="S5389" t="s">
        <v>40603</v>
      </c>
      <c r="T5389" t="s">
        <v>42281</v>
      </c>
      <c r="U5389" t="s">
        <v>47189</v>
      </c>
      <c r="W5389" t="s">
        <v>38908</v>
      </c>
      <c r="X5389" t="s">
        <v>40441</v>
      </c>
    </row>
    <row r="5390" spans="1:24">
      <c r="A5390">
        <f>HYPERLINK("https://www.philgeps.gov.ph/GEPSNONPILOT/Tender/SplashBidNoticeAbstractUI.aspx?menuIndex=3&amp;refID=7044124&amp;Result=3","7044124")</f>
        <v>0</v>
      </c>
      <c r="B5390" t="s">
        <v>137</v>
      </c>
      <c r="C5390" t="s">
        <v>8212</v>
      </c>
      <c r="D5390" t="s">
        <v>16217</v>
      </c>
      <c r="E5390" t="s">
        <v>21069</v>
      </c>
      <c r="F5390" t="s">
        <v>28198</v>
      </c>
      <c r="G5390" t="s">
        <v>28207</v>
      </c>
      <c r="H5390" t="s">
        <v>28215</v>
      </c>
      <c r="I5390" t="s">
        <v>5100</v>
      </c>
      <c r="J5390" t="s">
        <v>31769</v>
      </c>
      <c r="K5390" t="s">
        <v>36707</v>
      </c>
      <c r="M5390" t="s">
        <v>37111</v>
      </c>
      <c r="N5390" t="s">
        <v>40436</v>
      </c>
      <c r="O5390" t="s">
        <v>40437</v>
      </c>
      <c r="P5390">
        <v>0</v>
      </c>
      <c r="Q5390">
        <v>0</v>
      </c>
      <c r="R5390" t="s">
        <v>40440</v>
      </c>
      <c r="S5390" t="s">
        <v>40603</v>
      </c>
      <c r="T5390" t="s">
        <v>42233</v>
      </c>
      <c r="U5390" t="s">
        <v>47190</v>
      </c>
      <c r="W5390" t="s">
        <v>37111</v>
      </c>
      <c r="X5390" t="s">
        <v>40441</v>
      </c>
    </row>
    <row r="5391" spans="1:24">
      <c r="A5391">
        <f>HYPERLINK("https://www.philgeps.gov.ph/GEPSNONPILOT/Tender/SplashBidNoticeAbstractUI.aspx?menuIndex=3&amp;refID=7044132&amp;Result=3","7044132")</f>
        <v>0</v>
      </c>
      <c r="B5391" t="s">
        <v>1797</v>
      </c>
      <c r="C5391" t="s">
        <v>8213</v>
      </c>
      <c r="D5391" t="s">
        <v>16223</v>
      </c>
      <c r="E5391" t="s">
        <v>21070</v>
      </c>
      <c r="F5391" t="s">
        <v>28198</v>
      </c>
      <c r="G5391" t="s">
        <v>28205</v>
      </c>
      <c r="H5391" t="s">
        <v>28214</v>
      </c>
      <c r="I5391" t="s">
        <v>3797</v>
      </c>
      <c r="J5391" t="s">
        <v>31770</v>
      </c>
      <c r="K5391" t="s">
        <v>36830</v>
      </c>
      <c r="M5391" t="s">
        <v>38914</v>
      </c>
      <c r="N5391" t="s">
        <v>40436</v>
      </c>
      <c r="O5391" t="s">
        <v>40437</v>
      </c>
      <c r="P5391">
        <v>0</v>
      </c>
      <c r="Q5391">
        <v>1</v>
      </c>
      <c r="R5391" t="s">
        <v>40440</v>
      </c>
      <c r="S5391" t="s">
        <v>40603</v>
      </c>
      <c r="T5391" t="s">
        <v>42109</v>
      </c>
      <c r="U5391" t="s">
        <v>47191</v>
      </c>
      <c r="W5391" t="s">
        <v>38914</v>
      </c>
      <c r="X5391" t="s">
        <v>40441</v>
      </c>
    </row>
    <row r="5392" spans="1:24">
      <c r="A5392">
        <f>HYPERLINK("https://www.philgeps.gov.ph/GEPSNONPILOT/Tender/SplashBidNoticeAbstractUI.aspx?menuIndex=3&amp;refID=7044127&amp;Result=3","7044127")</f>
        <v>0</v>
      </c>
      <c r="B5392" t="s">
        <v>1755</v>
      </c>
      <c r="C5392" t="s">
        <v>8214</v>
      </c>
      <c r="D5392" t="s">
        <v>16200</v>
      </c>
      <c r="E5392" t="s">
        <v>21071</v>
      </c>
      <c r="F5392" t="s">
        <v>28198</v>
      </c>
      <c r="G5392" t="s">
        <v>28207</v>
      </c>
      <c r="H5392" t="s">
        <v>28215</v>
      </c>
      <c r="I5392" t="s">
        <v>28227</v>
      </c>
      <c r="J5392" t="s">
        <v>31771</v>
      </c>
      <c r="K5392" t="s">
        <v>36706</v>
      </c>
      <c r="M5392" t="s">
        <v>38868</v>
      </c>
      <c r="N5392" t="s">
        <v>40436</v>
      </c>
      <c r="O5392" t="s">
        <v>40437</v>
      </c>
      <c r="P5392">
        <v>0</v>
      </c>
      <c r="Q5392">
        <v>0</v>
      </c>
      <c r="R5392" t="s">
        <v>40440</v>
      </c>
      <c r="S5392" t="s">
        <v>40603</v>
      </c>
      <c r="T5392" t="s">
        <v>42385</v>
      </c>
      <c r="U5392" t="s">
        <v>47192</v>
      </c>
      <c r="W5392" t="s">
        <v>38868</v>
      </c>
      <c r="X5392" t="s">
        <v>40441</v>
      </c>
    </row>
    <row r="5393" spans="1:24">
      <c r="A5393">
        <f>HYPERLINK("https://www.philgeps.gov.ph/GEPSNONPILOT/Tender/SplashBidNoticeAbstractUI.aspx?menuIndex=3&amp;refID=7044126&amp;Result=3","7044126")</f>
        <v>0</v>
      </c>
      <c r="B5393" t="s">
        <v>137</v>
      </c>
      <c r="C5393" t="s">
        <v>8215</v>
      </c>
      <c r="D5393" t="s">
        <v>16217</v>
      </c>
      <c r="E5393" t="s">
        <v>21072</v>
      </c>
      <c r="F5393" t="s">
        <v>28198</v>
      </c>
      <c r="G5393" t="s">
        <v>28207</v>
      </c>
      <c r="H5393" t="s">
        <v>28215</v>
      </c>
      <c r="I5393" t="s">
        <v>5100</v>
      </c>
      <c r="J5393" t="s">
        <v>31772</v>
      </c>
      <c r="K5393" t="s">
        <v>36707</v>
      </c>
      <c r="M5393" t="s">
        <v>37111</v>
      </c>
      <c r="N5393" t="s">
        <v>40436</v>
      </c>
      <c r="O5393" t="s">
        <v>40437</v>
      </c>
      <c r="P5393">
        <v>0</v>
      </c>
      <c r="Q5393">
        <v>0</v>
      </c>
      <c r="R5393" t="s">
        <v>40440</v>
      </c>
      <c r="S5393" t="s">
        <v>40603</v>
      </c>
      <c r="T5393" t="s">
        <v>42233</v>
      </c>
      <c r="U5393" t="s">
        <v>47193</v>
      </c>
      <c r="W5393" t="s">
        <v>37111</v>
      </c>
      <c r="X5393" t="s">
        <v>40441</v>
      </c>
    </row>
    <row r="5394" spans="1:24">
      <c r="A5394">
        <f>HYPERLINK("https://www.philgeps.gov.ph/GEPSNONPILOT/Tender/SplashBidNoticeAbstractUI.aspx?menuIndex=3&amp;refID=7044123&amp;Result=3","7044123")</f>
        <v>0</v>
      </c>
      <c r="B5394" t="s">
        <v>1798</v>
      </c>
      <c r="C5394" t="s">
        <v>8216</v>
      </c>
      <c r="D5394" t="s">
        <v>16266</v>
      </c>
      <c r="E5394" t="s">
        <v>21073</v>
      </c>
      <c r="F5394" t="s">
        <v>28198</v>
      </c>
      <c r="G5394" t="s">
        <v>28205</v>
      </c>
      <c r="H5394" t="s">
        <v>28214</v>
      </c>
      <c r="I5394" t="s">
        <v>3797</v>
      </c>
      <c r="J5394" t="s">
        <v>31773</v>
      </c>
      <c r="K5394" t="s">
        <v>36798</v>
      </c>
      <c r="L5394" t="s">
        <v>1798</v>
      </c>
      <c r="M5394" t="s">
        <v>38915</v>
      </c>
      <c r="N5394" t="s">
        <v>40436</v>
      </c>
      <c r="O5394" t="s">
        <v>40437</v>
      </c>
      <c r="P5394">
        <v>0</v>
      </c>
      <c r="Q5394">
        <v>0</v>
      </c>
      <c r="R5394" t="s">
        <v>40440</v>
      </c>
      <c r="S5394" t="s">
        <v>40603</v>
      </c>
      <c r="T5394" t="s">
        <v>42125</v>
      </c>
      <c r="U5394" t="s">
        <v>47194</v>
      </c>
      <c r="V5394" t="s">
        <v>54310</v>
      </c>
      <c r="W5394" t="s">
        <v>38915</v>
      </c>
      <c r="X5394" t="s">
        <v>40441</v>
      </c>
    </row>
    <row r="5395" spans="1:24">
      <c r="A5395">
        <f>HYPERLINK("https://www.philgeps.gov.ph/GEPSNONPILOT/Tender/SplashBidNoticeAbstractUI.aspx?menuIndex=3&amp;refID=7044119&amp;Result=3","7044119")</f>
        <v>0</v>
      </c>
      <c r="B5395" t="s">
        <v>137</v>
      </c>
      <c r="C5395" t="s">
        <v>8217</v>
      </c>
      <c r="D5395" t="s">
        <v>16217</v>
      </c>
      <c r="E5395" t="s">
        <v>21074</v>
      </c>
      <c r="F5395" t="s">
        <v>28198</v>
      </c>
      <c r="G5395" t="s">
        <v>28207</v>
      </c>
      <c r="H5395" t="s">
        <v>28215</v>
      </c>
      <c r="I5395" t="s">
        <v>5100</v>
      </c>
      <c r="J5395" t="s">
        <v>31774</v>
      </c>
      <c r="K5395" t="s">
        <v>36707</v>
      </c>
      <c r="M5395" t="s">
        <v>37111</v>
      </c>
      <c r="N5395" t="s">
        <v>40436</v>
      </c>
      <c r="O5395" t="s">
        <v>40437</v>
      </c>
      <c r="P5395">
        <v>0</v>
      </c>
      <c r="Q5395">
        <v>0</v>
      </c>
      <c r="R5395" t="s">
        <v>40440</v>
      </c>
      <c r="S5395" t="s">
        <v>40603</v>
      </c>
      <c r="T5395" t="s">
        <v>42233</v>
      </c>
      <c r="U5395" t="s">
        <v>47190</v>
      </c>
      <c r="W5395" t="s">
        <v>37111</v>
      </c>
      <c r="X5395" t="s">
        <v>40441</v>
      </c>
    </row>
    <row r="5396" spans="1:24">
      <c r="A5396">
        <f>HYPERLINK("https://www.philgeps.gov.ph/GEPSNONPILOT/Tender/SplashBidNoticeAbstractUI.aspx?menuIndex=3&amp;refID=7044118&amp;Result=3","7044118")</f>
        <v>0</v>
      </c>
      <c r="B5396" t="s">
        <v>65</v>
      </c>
      <c r="C5396" t="s">
        <v>8218</v>
      </c>
      <c r="D5396" t="s">
        <v>16210</v>
      </c>
      <c r="E5396" t="s">
        <v>21075</v>
      </c>
      <c r="F5396" t="s">
        <v>28198</v>
      </c>
      <c r="G5396" t="s">
        <v>28207</v>
      </c>
      <c r="H5396" t="s">
        <v>28215</v>
      </c>
      <c r="I5396" t="s">
        <v>4168</v>
      </c>
      <c r="J5396" t="s">
        <v>31775</v>
      </c>
      <c r="K5396" t="s">
        <v>36689</v>
      </c>
      <c r="M5396" t="s">
        <v>37821</v>
      </c>
      <c r="N5396" t="s">
        <v>40436</v>
      </c>
      <c r="O5396" t="s">
        <v>40437</v>
      </c>
      <c r="P5396">
        <v>0</v>
      </c>
      <c r="Q5396">
        <v>8</v>
      </c>
      <c r="R5396" t="s">
        <v>40440</v>
      </c>
      <c r="S5396" t="s">
        <v>40603</v>
      </c>
      <c r="T5396" t="s">
        <v>42119</v>
      </c>
      <c r="U5396" t="s">
        <v>47195</v>
      </c>
      <c r="W5396" t="s">
        <v>37821</v>
      </c>
      <c r="X5396" t="s">
        <v>40441</v>
      </c>
    </row>
    <row r="5397" spans="1:24">
      <c r="A5397">
        <f>HYPERLINK("https://www.philgeps.gov.ph/GEPSNONPILOT/Tender/SplashBidNoticeAbstractUI.aspx?menuIndex=3&amp;refID=7044128&amp;Result=3","7044128")</f>
        <v>0</v>
      </c>
      <c r="B5397" t="s">
        <v>65</v>
      </c>
      <c r="C5397" t="s">
        <v>8219</v>
      </c>
      <c r="D5397" t="s">
        <v>16210</v>
      </c>
      <c r="E5397" t="s">
        <v>21076</v>
      </c>
      <c r="F5397" t="s">
        <v>28198</v>
      </c>
      <c r="G5397" t="s">
        <v>28206</v>
      </c>
      <c r="H5397" t="s">
        <v>28215</v>
      </c>
      <c r="I5397" t="s">
        <v>5082</v>
      </c>
      <c r="J5397" t="s">
        <v>31776</v>
      </c>
      <c r="K5397" t="s">
        <v>36689</v>
      </c>
      <c r="M5397" t="s">
        <v>37821</v>
      </c>
      <c r="N5397" t="s">
        <v>40436</v>
      </c>
      <c r="O5397" t="s">
        <v>40437</v>
      </c>
      <c r="P5397">
        <v>0</v>
      </c>
      <c r="Q5397">
        <v>0</v>
      </c>
      <c r="R5397" t="s">
        <v>40440</v>
      </c>
      <c r="S5397" t="s">
        <v>40603</v>
      </c>
      <c r="T5397" t="s">
        <v>42119</v>
      </c>
      <c r="U5397" t="s">
        <v>47196</v>
      </c>
      <c r="W5397" t="s">
        <v>37821</v>
      </c>
      <c r="X5397" t="s">
        <v>40441</v>
      </c>
    </row>
    <row r="5398" spans="1:24">
      <c r="A5398">
        <f>HYPERLINK("https://www.philgeps.gov.ph/GEPSNONPILOT/Tender/SplashBidNoticeAbstractUI.aspx?menuIndex=3&amp;refID=7044136&amp;Result=3","7044136")</f>
        <v>0</v>
      </c>
      <c r="B5398" t="s">
        <v>1755</v>
      </c>
      <c r="C5398" t="s">
        <v>8220</v>
      </c>
      <c r="D5398" t="s">
        <v>16200</v>
      </c>
      <c r="E5398" t="s">
        <v>20650</v>
      </c>
      <c r="F5398" t="s">
        <v>28198</v>
      </c>
      <c r="G5398" t="s">
        <v>28207</v>
      </c>
      <c r="H5398" t="s">
        <v>28215</v>
      </c>
      <c r="I5398" t="s">
        <v>28225</v>
      </c>
      <c r="J5398" t="s">
        <v>28679</v>
      </c>
      <c r="K5398" t="s">
        <v>36706</v>
      </c>
      <c r="M5398" t="s">
        <v>38868</v>
      </c>
      <c r="N5398" t="s">
        <v>40436</v>
      </c>
      <c r="O5398" t="s">
        <v>40437</v>
      </c>
      <c r="P5398">
        <v>0</v>
      </c>
      <c r="Q5398">
        <v>4</v>
      </c>
      <c r="R5398" t="s">
        <v>40440</v>
      </c>
      <c r="S5398" t="s">
        <v>40603</v>
      </c>
      <c r="T5398" t="s">
        <v>42385</v>
      </c>
      <c r="U5398" t="s">
        <v>47197</v>
      </c>
      <c r="W5398" t="s">
        <v>38868</v>
      </c>
      <c r="X5398" t="s">
        <v>40441</v>
      </c>
    </row>
    <row r="5399" spans="1:24">
      <c r="A5399">
        <f>HYPERLINK("https://www.philgeps.gov.ph/GEPSNONPILOT/Tender/SplashBidNoticeAbstractUI.aspx?menuIndex=3&amp;refID=7044122&amp;Result=3","7044122")</f>
        <v>0</v>
      </c>
      <c r="B5399" t="s">
        <v>65</v>
      </c>
      <c r="C5399" t="s">
        <v>8221</v>
      </c>
      <c r="D5399" t="s">
        <v>16210</v>
      </c>
      <c r="E5399" t="s">
        <v>21077</v>
      </c>
      <c r="F5399" t="s">
        <v>28198</v>
      </c>
      <c r="G5399" t="s">
        <v>28207</v>
      </c>
      <c r="H5399" t="s">
        <v>28215</v>
      </c>
      <c r="I5399" t="s">
        <v>4222</v>
      </c>
      <c r="J5399" t="s">
        <v>28373</v>
      </c>
      <c r="K5399" t="s">
        <v>36689</v>
      </c>
      <c r="M5399" t="s">
        <v>37821</v>
      </c>
      <c r="N5399" t="s">
        <v>40436</v>
      </c>
      <c r="O5399" t="s">
        <v>40437</v>
      </c>
      <c r="P5399">
        <v>0</v>
      </c>
      <c r="Q5399">
        <v>4</v>
      </c>
      <c r="R5399" t="s">
        <v>40440</v>
      </c>
      <c r="S5399" t="s">
        <v>40603</v>
      </c>
      <c r="T5399" t="s">
        <v>42119</v>
      </c>
      <c r="U5399" t="s">
        <v>47198</v>
      </c>
      <c r="W5399" t="s">
        <v>37821</v>
      </c>
      <c r="X5399" t="s">
        <v>40441</v>
      </c>
    </row>
    <row r="5400" spans="1:24">
      <c r="A5400">
        <f>HYPERLINK("https://www.philgeps.gov.ph/GEPSNONPILOT/Tender/SplashBidNoticeAbstractUI.aspx?menuIndex=3&amp;refID=7044125&amp;Result=3","7044125")</f>
        <v>0</v>
      </c>
      <c r="B5400" t="s">
        <v>65</v>
      </c>
      <c r="C5400" t="s">
        <v>8222</v>
      </c>
      <c r="D5400" t="s">
        <v>16210</v>
      </c>
      <c r="E5400" t="s">
        <v>21078</v>
      </c>
      <c r="F5400" t="s">
        <v>28198</v>
      </c>
      <c r="G5400" t="s">
        <v>28207</v>
      </c>
      <c r="H5400" t="s">
        <v>28215</v>
      </c>
      <c r="I5400" t="s">
        <v>5071</v>
      </c>
      <c r="J5400" t="s">
        <v>31777</v>
      </c>
      <c r="K5400" t="s">
        <v>36689</v>
      </c>
      <c r="M5400" t="s">
        <v>37821</v>
      </c>
      <c r="N5400" t="s">
        <v>40436</v>
      </c>
      <c r="O5400" t="s">
        <v>40437</v>
      </c>
      <c r="P5400">
        <v>0</v>
      </c>
      <c r="Q5400">
        <v>2</v>
      </c>
      <c r="R5400" t="s">
        <v>40440</v>
      </c>
      <c r="S5400" t="s">
        <v>40603</v>
      </c>
      <c r="T5400" t="s">
        <v>42119</v>
      </c>
      <c r="U5400" t="s">
        <v>47199</v>
      </c>
      <c r="W5400" t="s">
        <v>37821</v>
      </c>
      <c r="X5400" t="s">
        <v>40441</v>
      </c>
    </row>
    <row r="5401" spans="1:24">
      <c r="A5401">
        <f>HYPERLINK("https://www.philgeps.gov.ph/GEPSNONPILOT/Tender/SplashBidNoticeAbstractUI.aspx?menuIndex=3&amp;refID=7044121&amp;Result=3","7044121")</f>
        <v>0</v>
      </c>
      <c r="B5401" t="s">
        <v>1755</v>
      </c>
      <c r="C5401" t="s">
        <v>8223</v>
      </c>
      <c r="D5401" t="s">
        <v>16200</v>
      </c>
      <c r="E5401" t="s">
        <v>21079</v>
      </c>
      <c r="F5401" t="s">
        <v>28198</v>
      </c>
      <c r="G5401" t="s">
        <v>28210</v>
      </c>
      <c r="H5401" t="s">
        <v>28215</v>
      </c>
      <c r="I5401" t="s">
        <v>28234</v>
      </c>
      <c r="J5401" t="s">
        <v>31778</v>
      </c>
      <c r="K5401" t="s">
        <v>36706</v>
      </c>
      <c r="M5401" t="s">
        <v>38868</v>
      </c>
      <c r="N5401" t="s">
        <v>40436</v>
      </c>
      <c r="O5401" t="s">
        <v>40437</v>
      </c>
      <c r="P5401">
        <v>0</v>
      </c>
      <c r="Q5401">
        <v>2</v>
      </c>
      <c r="R5401" t="s">
        <v>40440</v>
      </c>
      <c r="S5401" t="s">
        <v>40603</v>
      </c>
      <c r="T5401" t="s">
        <v>42385</v>
      </c>
      <c r="U5401" t="s">
        <v>47200</v>
      </c>
      <c r="W5401" t="s">
        <v>38868</v>
      </c>
      <c r="X5401" t="s">
        <v>40441</v>
      </c>
    </row>
    <row r="5402" spans="1:24">
      <c r="A5402">
        <f>HYPERLINK("https://www.philgeps.gov.ph/GEPSNONPILOT/Tender/SplashBidNoticeAbstractUI.aspx?menuIndex=3&amp;refID=7044134&amp;Result=3","7044134")</f>
        <v>0</v>
      </c>
      <c r="B5402" t="s">
        <v>1755</v>
      </c>
      <c r="C5402" t="s">
        <v>8224</v>
      </c>
      <c r="D5402" t="s">
        <v>16200</v>
      </c>
      <c r="E5402" t="s">
        <v>21080</v>
      </c>
      <c r="F5402" t="s">
        <v>28198</v>
      </c>
      <c r="G5402" t="s">
        <v>28207</v>
      </c>
      <c r="H5402" t="s">
        <v>28215</v>
      </c>
      <c r="I5402" t="s">
        <v>28227</v>
      </c>
      <c r="J5402" t="s">
        <v>31779</v>
      </c>
      <c r="K5402" t="s">
        <v>36706</v>
      </c>
      <c r="M5402" t="s">
        <v>38868</v>
      </c>
      <c r="N5402" t="s">
        <v>40436</v>
      </c>
      <c r="O5402" t="s">
        <v>40437</v>
      </c>
      <c r="P5402">
        <v>0</v>
      </c>
      <c r="Q5402">
        <v>0</v>
      </c>
      <c r="R5402" t="s">
        <v>40440</v>
      </c>
      <c r="S5402" t="s">
        <v>40603</v>
      </c>
      <c r="T5402" t="s">
        <v>42385</v>
      </c>
      <c r="U5402" t="s">
        <v>47201</v>
      </c>
      <c r="W5402" t="s">
        <v>38868</v>
      </c>
      <c r="X5402" t="s">
        <v>40441</v>
      </c>
    </row>
    <row r="5403" spans="1:24">
      <c r="A5403">
        <f>HYPERLINK("https://www.philgeps.gov.ph/GEPSNONPILOT/Tender/SplashBidNoticeAbstractUI.aspx?menuIndex=3&amp;refID=7044133&amp;Result=3","7044133")</f>
        <v>0</v>
      </c>
      <c r="B5403" t="s">
        <v>65</v>
      </c>
      <c r="C5403" t="s">
        <v>8225</v>
      </c>
      <c r="D5403" t="s">
        <v>16210</v>
      </c>
      <c r="E5403" t="s">
        <v>21081</v>
      </c>
      <c r="F5403" t="s">
        <v>28198</v>
      </c>
      <c r="G5403" t="s">
        <v>28206</v>
      </c>
      <c r="H5403" t="s">
        <v>28215</v>
      </c>
      <c r="I5403" t="s">
        <v>5082</v>
      </c>
      <c r="J5403" t="s">
        <v>31780</v>
      </c>
      <c r="K5403" t="s">
        <v>36689</v>
      </c>
      <c r="M5403" t="s">
        <v>37821</v>
      </c>
      <c r="N5403" t="s">
        <v>40436</v>
      </c>
      <c r="O5403" t="s">
        <v>40437</v>
      </c>
      <c r="P5403">
        <v>0</v>
      </c>
      <c r="Q5403">
        <v>0</v>
      </c>
      <c r="R5403" t="s">
        <v>40440</v>
      </c>
      <c r="S5403" t="s">
        <v>40603</v>
      </c>
      <c r="T5403" t="s">
        <v>42422</v>
      </c>
      <c r="U5403" t="s">
        <v>47202</v>
      </c>
      <c r="W5403" t="s">
        <v>37821</v>
      </c>
      <c r="X5403" t="s">
        <v>40441</v>
      </c>
    </row>
    <row r="5404" spans="1:24">
      <c r="A5404">
        <f>HYPERLINK("https://www.philgeps.gov.ph/GEPSNONPILOT/Tender/SplashBidNoticeAbstractUI.aspx?menuIndex=3&amp;refID=7044120&amp;Result=3","7044120")</f>
        <v>0</v>
      </c>
      <c r="B5404" t="s">
        <v>1799</v>
      </c>
      <c r="C5404" t="s">
        <v>8226</v>
      </c>
      <c r="D5404" t="s">
        <v>16260</v>
      </c>
      <c r="E5404" t="s">
        <v>21082</v>
      </c>
      <c r="F5404" t="s">
        <v>28198</v>
      </c>
      <c r="G5404" t="s">
        <v>28207</v>
      </c>
      <c r="H5404" t="s">
        <v>28215</v>
      </c>
      <c r="I5404" t="s">
        <v>4200</v>
      </c>
      <c r="J5404" t="s">
        <v>29346</v>
      </c>
      <c r="K5404" t="s">
        <v>36701</v>
      </c>
      <c r="M5404" t="s">
        <v>38916</v>
      </c>
      <c r="N5404" t="s">
        <v>40436</v>
      </c>
      <c r="O5404" t="s">
        <v>40437</v>
      </c>
      <c r="P5404">
        <v>0</v>
      </c>
      <c r="Q5404">
        <v>2</v>
      </c>
      <c r="R5404" t="s">
        <v>40440</v>
      </c>
      <c r="S5404" t="s">
        <v>40603</v>
      </c>
      <c r="T5404" t="s">
        <v>42111</v>
      </c>
      <c r="U5404" t="s">
        <v>47203</v>
      </c>
      <c r="W5404" t="s">
        <v>38916</v>
      </c>
      <c r="X5404" t="s">
        <v>40441</v>
      </c>
    </row>
    <row r="5405" spans="1:24">
      <c r="A5405">
        <f>HYPERLINK("https://www.philgeps.gov.ph/GEPSNONPILOT/Tender/SplashBidNoticeAbstractUI.aspx?menuIndex=3&amp;refID=7044147&amp;Result=3","7044147")</f>
        <v>0</v>
      </c>
      <c r="B5405" t="s">
        <v>1755</v>
      </c>
      <c r="C5405" t="s">
        <v>8227</v>
      </c>
      <c r="D5405" t="s">
        <v>16200</v>
      </c>
      <c r="E5405" t="s">
        <v>21083</v>
      </c>
      <c r="F5405" t="s">
        <v>28198</v>
      </c>
      <c r="G5405" t="s">
        <v>28207</v>
      </c>
      <c r="H5405" t="s">
        <v>28215</v>
      </c>
      <c r="I5405" t="s">
        <v>28258</v>
      </c>
      <c r="J5405" t="s">
        <v>29001</v>
      </c>
      <c r="K5405" t="s">
        <v>36706</v>
      </c>
      <c r="M5405" t="s">
        <v>38868</v>
      </c>
      <c r="N5405" t="s">
        <v>40436</v>
      </c>
      <c r="O5405" t="s">
        <v>40437</v>
      </c>
      <c r="P5405">
        <v>0</v>
      </c>
      <c r="Q5405">
        <v>2</v>
      </c>
      <c r="R5405" t="s">
        <v>40440</v>
      </c>
      <c r="S5405" t="s">
        <v>40603</v>
      </c>
      <c r="T5405" t="s">
        <v>42385</v>
      </c>
      <c r="U5405" t="s">
        <v>47204</v>
      </c>
      <c r="W5405" t="s">
        <v>38868</v>
      </c>
      <c r="X5405" t="s">
        <v>40441</v>
      </c>
    </row>
    <row r="5406" spans="1:24">
      <c r="A5406">
        <f>HYPERLINK("https://www.philgeps.gov.ph/GEPSNONPILOT/Tender/SplashBidNoticeAbstractUI.aspx?menuIndex=3&amp;refID=7044135&amp;Result=3","7044135")</f>
        <v>0</v>
      </c>
      <c r="B5406" t="s">
        <v>137</v>
      </c>
      <c r="C5406" t="s">
        <v>8228</v>
      </c>
      <c r="D5406" t="s">
        <v>16217</v>
      </c>
      <c r="E5406" t="s">
        <v>21084</v>
      </c>
      <c r="F5406" t="s">
        <v>28198</v>
      </c>
      <c r="G5406" t="s">
        <v>28207</v>
      </c>
      <c r="H5406" t="s">
        <v>28215</v>
      </c>
      <c r="I5406" t="s">
        <v>5100</v>
      </c>
      <c r="J5406" t="s">
        <v>31781</v>
      </c>
      <c r="K5406" t="s">
        <v>36707</v>
      </c>
      <c r="M5406" t="s">
        <v>37111</v>
      </c>
      <c r="N5406" t="s">
        <v>40436</v>
      </c>
      <c r="O5406" t="s">
        <v>40437</v>
      </c>
      <c r="P5406">
        <v>0</v>
      </c>
      <c r="Q5406">
        <v>0</v>
      </c>
      <c r="R5406" t="s">
        <v>40440</v>
      </c>
      <c r="S5406" t="s">
        <v>40603</v>
      </c>
      <c r="T5406" t="s">
        <v>42233</v>
      </c>
      <c r="U5406" t="s">
        <v>47205</v>
      </c>
      <c r="W5406" t="s">
        <v>37111</v>
      </c>
      <c r="X5406" t="s">
        <v>40441</v>
      </c>
    </row>
    <row r="5407" spans="1:24">
      <c r="A5407">
        <f>HYPERLINK("https://www.philgeps.gov.ph/GEPSNONPILOT/Tender/SplashBidNoticeAbstractUI.aspx?menuIndex=3&amp;refID=7044151&amp;Result=3","7044151")</f>
        <v>0</v>
      </c>
      <c r="B5407" t="s">
        <v>1800</v>
      </c>
      <c r="C5407" t="s">
        <v>8229</v>
      </c>
      <c r="D5407" t="s">
        <v>16210</v>
      </c>
      <c r="E5407" t="s">
        <v>21085</v>
      </c>
      <c r="F5407" t="s">
        <v>28198</v>
      </c>
      <c r="G5407" t="s">
        <v>28205</v>
      </c>
      <c r="H5407" t="s">
        <v>28215</v>
      </c>
      <c r="I5407" t="s">
        <v>4200</v>
      </c>
      <c r="J5407" t="s">
        <v>29316</v>
      </c>
      <c r="K5407" t="s">
        <v>36691</v>
      </c>
      <c r="M5407" t="s">
        <v>38917</v>
      </c>
      <c r="N5407" t="s">
        <v>40436</v>
      </c>
      <c r="O5407" t="s">
        <v>40437</v>
      </c>
      <c r="P5407">
        <v>0</v>
      </c>
      <c r="Q5407">
        <v>1</v>
      </c>
      <c r="R5407" t="s">
        <v>40440</v>
      </c>
      <c r="S5407" t="s">
        <v>40603</v>
      </c>
      <c r="T5407" t="s">
        <v>42175</v>
      </c>
      <c r="U5407" t="s">
        <v>47206</v>
      </c>
      <c r="W5407" t="s">
        <v>38917</v>
      </c>
      <c r="X5407" t="s">
        <v>40441</v>
      </c>
    </row>
    <row r="5408" spans="1:24">
      <c r="A5408">
        <f>HYPERLINK("https://www.philgeps.gov.ph/GEPSNONPILOT/Tender/SplashBidNoticeAbstractUI.aspx?menuIndex=3&amp;refID=7044142&amp;Result=3","7044142")</f>
        <v>0</v>
      </c>
      <c r="B5408" t="s">
        <v>1798</v>
      </c>
      <c r="C5408" t="s">
        <v>8230</v>
      </c>
      <c r="D5408" t="s">
        <v>16266</v>
      </c>
      <c r="E5408" t="s">
        <v>21086</v>
      </c>
      <c r="F5408" t="s">
        <v>28198</v>
      </c>
      <c r="G5408" t="s">
        <v>28205</v>
      </c>
      <c r="H5408" t="s">
        <v>28214</v>
      </c>
      <c r="I5408" t="s">
        <v>3797</v>
      </c>
      <c r="J5408" t="s">
        <v>31782</v>
      </c>
      <c r="K5408" t="s">
        <v>36793</v>
      </c>
      <c r="L5408" t="s">
        <v>1798</v>
      </c>
      <c r="M5408" t="s">
        <v>38915</v>
      </c>
      <c r="N5408" t="s">
        <v>40436</v>
      </c>
      <c r="O5408" t="s">
        <v>40437</v>
      </c>
      <c r="P5408">
        <v>0</v>
      </c>
      <c r="Q5408">
        <v>0</v>
      </c>
      <c r="R5408" t="s">
        <v>40440</v>
      </c>
      <c r="S5408" t="s">
        <v>40603</v>
      </c>
      <c r="T5408" t="s">
        <v>42125</v>
      </c>
      <c r="U5408" t="s">
        <v>47207</v>
      </c>
      <c r="V5408" t="s">
        <v>54310</v>
      </c>
      <c r="W5408" t="s">
        <v>38915</v>
      </c>
      <c r="X5408" t="s">
        <v>40441</v>
      </c>
    </row>
    <row r="5409" spans="1:24">
      <c r="A5409">
        <f>HYPERLINK("https://www.philgeps.gov.ph/GEPSNONPILOT/Tender/SplashBidNoticeAbstractUI.aspx?menuIndex=3&amp;refID=7044149&amp;Result=3","7044149")</f>
        <v>0</v>
      </c>
      <c r="B5409" t="s">
        <v>1798</v>
      </c>
      <c r="C5409" t="s">
        <v>8231</v>
      </c>
      <c r="D5409" t="s">
        <v>16266</v>
      </c>
      <c r="E5409" t="s">
        <v>21087</v>
      </c>
      <c r="F5409" t="s">
        <v>28198</v>
      </c>
      <c r="G5409" t="s">
        <v>28205</v>
      </c>
      <c r="H5409" t="s">
        <v>28214</v>
      </c>
      <c r="I5409" t="s">
        <v>3797</v>
      </c>
      <c r="J5409" t="s">
        <v>31783</v>
      </c>
      <c r="K5409" t="s">
        <v>36715</v>
      </c>
      <c r="L5409" t="s">
        <v>1798</v>
      </c>
      <c r="M5409" t="s">
        <v>38915</v>
      </c>
      <c r="N5409" t="s">
        <v>40436</v>
      </c>
      <c r="O5409" t="s">
        <v>40437</v>
      </c>
      <c r="P5409">
        <v>0</v>
      </c>
      <c r="Q5409">
        <v>0</v>
      </c>
      <c r="R5409" t="s">
        <v>40440</v>
      </c>
      <c r="S5409" t="s">
        <v>40603</v>
      </c>
      <c r="T5409" t="s">
        <v>42125</v>
      </c>
      <c r="U5409" t="s">
        <v>47208</v>
      </c>
      <c r="V5409" t="s">
        <v>54310</v>
      </c>
      <c r="W5409" t="s">
        <v>38915</v>
      </c>
      <c r="X5409" t="s">
        <v>40441</v>
      </c>
    </row>
    <row r="5410" spans="1:24">
      <c r="A5410">
        <f>HYPERLINK("https://www.philgeps.gov.ph/GEPSNONPILOT/Tender/SplashBidNoticeAbstractUI.aspx?menuIndex=3&amp;refID=7044143&amp;Result=3","7044143")</f>
        <v>0</v>
      </c>
      <c r="B5410" t="s">
        <v>1380</v>
      </c>
      <c r="C5410" t="s">
        <v>8232</v>
      </c>
      <c r="D5410" t="s">
        <v>16192</v>
      </c>
      <c r="E5410" t="s">
        <v>21088</v>
      </c>
      <c r="F5410" t="s">
        <v>28198</v>
      </c>
      <c r="G5410" t="s">
        <v>28205</v>
      </c>
      <c r="H5410" t="s">
        <v>28215</v>
      </c>
      <c r="I5410" t="s">
        <v>5100</v>
      </c>
      <c r="J5410" t="s">
        <v>29455</v>
      </c>
      <c r="K5410" t="s">
        <v>36706</v>
      </c>
      <c r="M5410" t="s">
        <v>38444</v>
      </c>
      <c r="N5410" t="s">
        <v>40436</v>
      </c>
      <c r="O5410" t="s">
        <v>40437</v>
      </c>
      <c r="P5410">
        <v>0</v>
      </c>
      <c r="Q5410">
        <v>0</v>
      </c>
      <c r="R5410" t="s">
        <v>40440</v>
      </c>
      <c r="S5410" t="s">
        <v>40603</v>
      </c>
      <c r="T5410" t="s">
        <v>42176</v>
      </c>
      <c r="U5410" t="s">
        <v>47209</v>
      </c>
      <c r="W5410" t="s">
        <v>38444</v>
      </c>
      <c r="X5410" t="s">
        <v>40441</v>
      </c>
    </row>
    <row r="5411" spans="1:24">
      <c r="A5411">
        <f>HYPERLINK("https://www.philgeps.gov.ph/GEPSNONPILOT/Tender/SplashBidNoticeAbstractUI.aspx?menuIndex=3&amp;refID=7044153&amp;Result=3","7044153")</f>
        <v>0</v>
      </c>
      <c r="B5411" t="s">
        <v>1355</v>
      </c>
      <c r="C5411" t="s">
        <v>8233</v>
      </c>
      <c r="D5411" t="s">
        <v>16210</v>
      </c>
      <c r="E5411" t="s">
        <v>21089</v>
      </c>
      <c r="F5411" t="s">
        <v>28198</v>
      </c>
      <c r="G5411" t="s">
        <v>28205</v>
      </c>
      <c r="H5411" t="s">
        <v>28215</v>
      </c>
      <c r="I5411" t="s">
        <v>28262</v>
      </c>
      <c r="J5411" t="s">
        <v>31784</v>
      </c>
      <c r="K5411" t="s">
        <v>36707</v>
      </c>
      <c r="M5411" t="s">
        <v>38908</v>
      </c>
      <c r="N5411" t="s">
        <v>40436</v>
      </c>
      <c r="O5411" t="s">
        <v>40437</v>
      </c>
      <c r="P5411">
        <v>0</v>
      </c>
      <c r="Q5411">
        <v>6</v>
      </c>
      <c r="R5411" t="s">
        <v>40440</v>
      </c>
      <c r="S5411" t="s">
        <v>40603</v>
      </c>
      <c r="T5411" t="s">
        <v>42281</v>
      </c>
      <c r="U5411" t="s">
        <v>47210</v>
      </c>
      <c r="W5411" t="s">
        <v>38908</v>
      </c>
      <c r="X5411" t="s">
        <v>40441</v>
      </c>
    </row>
    <row r="5412" spans="1:24">
      <c r="A5412">
        <f>HYPERLINK("https://www.philgeps.gov.ph/GEPSNONPILOT/Tender/SplashBidNoticeAbstractUI.aspx?menuIndex=3&amp;refID=7044154&amp;Result=3","7044154")</f>
        <v>0</v>
      </c>
      <c r="B5412" t="s">
        <v>1800</v>
      </c>
      <c r="C5412" t="s">
        <v>8234</v>
      </c>
      <c r="D5412" t="s">
        <v>16210</v>
      </c>
      <c r="E5412" t="s">
        <v>21090</v>
      </c>
      <c r="F5412" t="s">
        <v>28198</v>
      </c>
      <c r="G5412" t="s">
        <v>28205</v>
      </c>
      <c r="H5412" t="s">
        <v>28215</v>
      </c>
      <c r="I5412" t="s">
        <v>4200</v>
      </c>
      <c r="J5412" t="s">
        <v>29316</v>
      </c>
      <c r="K5412" t="s">
        <v>36691</v>
      </c>
      <c r="M5412" t="s">
        <v>38917</v>
      </c>
      <c r="N5412" t="s">
        <v>40436</v>
      </c>
      <c r="O5412" t="s">
        <v>40437</v>
      </c>
      <c r="P5412">
        <v>0</v>
      </c>
      <c r="Q5412">
        <v>0</v>
      </c>
      <c r="R5412" t="s">
        <v>40440</v>
      </c>
      <c r="S5412" t="s">
        <v>40603</v>
      </c>
      <c r="T5412" t="s">
        <v>42111</v>
      </c>
      <c r="U5412" t="s">
        <v>47211</v>
      </c>
      <c r="W5412" t="s">
        <v>38917</v>
      </c>
      <c r="X5412" t="s">
        <v>40441</v>
      </c>
    </row>
    <row r="5413" spans="1:24">
      <c r="A5413">
        <f>HYPERLINK("https://www.philgeps.gov.ph/GEPSNONPILOT/Tender/SplashBidNoticeAbstractUI.aspx?menuIndex=3&amp;refID=7044157&amp;Result=3","7044157")</f>
        <v>0</v>
      </c>
      <c r="B5413" t="s">
        <v>1755</v>
      </c>
      <c r="C5413" t="s">
        <v>8235</v>
      </c>
      <c r="D5413" t="s">
        <v>16200</v>
      </c>
      <c r="E5413" t="s">
        <v>21091</v>
      </c>
      <c r="F5413" t="s">
        <v>28198</v>
      </c>
      <c r="G5413" t="s">
        <v>28207</v>
      </c>
      <c r="H5413" t="s">
        <v>28215</v>
      </c>
      <c r="I5413" t="s">
        <v>5631</v>
      </c>
      <c r="J5413" t="s">
        <v>31785</v>
      </c>
      <c r="K5413" t="s">
        <v>36706</v>
      </c>
      <c r="M5413" t="s">
        <v>38868</v>
      </c>
      <c r="N5413" t="s">
        <v>40436</v>
      </c>
      <c r="O5413" t="s">
        <v>40437</v>
      </c>
      <c r="P5413">
        <v>0</v>
      </c>
      <c r="Q5413">
        <v>0</v>
      </c>
      <c r="R5413" t="s">
        <v>40440</v>
      </c>
      <c r="S5413" t="s">
        <v>40603</v>
      </c>
      <c r="T5413" t="s">
        <v>42385</v>
      </c>
      <c r="U5413" t="s">
        <v>47212</v>
      </c>
      <c r="W5413" t="s">
        <v>38868</v>
      </c>
      <c r="X5413" t="s">
        <v>40441</v>
      </c>
    </row>
    <row r="5414" spans="1:24">
      <c r="A5414">
        <f>HYPERLINK("https://www.philgeps.gov.ph/GEPSNONPILOT/Tender/SplashBidNoticeAbstractUI.aspx?menuIndex=3&amp;refID=7044148&amp;Result=3","7044148")</f>
        <v>0</v>
      </c>
      <c r="B5414" t="s">
        <v>1798</v>
      </c>
      <c r="C5414" t="s">
        <v>8236</v>
      </c>
      <c r="D5414" t="s">
        <v>16266</v>
      </c>
      <c r="E5414" t="s">
        <v>21092</v>
      </c>
      <c r="F5414" t="s">
        <v>28198</v>
      </c>
      <c r="G5414" t="s">
        <v>28205</v>
      </c>
      <c r="H5414" t="s">
        <v>28214</v>
      </c>
      <c r="I5414" t="s">
        <v>3797</v>
      </c>
      <c r="J5414" t="s">
        <v>31786</v>
      </c>
      <c r="K5414" t="s">
        <v>36694</v>
      </c>
      <c r="L5414" t="s">
        <v>1798</v>
      </c>
      <c r="M5414" t="s">
        <v>38915</v>
      </c>
      <c r="N5414" t="s">
        <v>40436</v>
      </c>
      <c r="O5414" t="s">
        <v>40437</v>
      </c>
      <c r="P5414">
        <v>0</v>
      </c>
      <c r="Q5414">
        <v>0</v>
      </c>
      <c r="R5414" t="s">
        <v>40440</v>
      </c>
      <c r="S5414" t="s">
        <v>40603</v>
      </c>
      <c r="T5414" t="s">
        <v>42125</v>
      </c>
      <c r="U5414" t="s">
        <v>47213</v>
      </c>
      <c r="V5414" t="s">
        <v>54310</v>
      </c>
      <c r="W5414" t="s">
        <v>38915</v>
      </c>
      <c r="X5414" t="s">
        <v>40441</v>
      </c>
    </row>
    <row r="5415" spans="1:24">
      <c r="A5415">
        <f>HYPERLINK("https://www.philgeps.gov.ph/GEPSNONPILOT/Tender/SplashBidNoticeAbstractUI.aspx?menuIndex=3&amp;refID=7044144&amp;Result=3","7044144")</f>
        <v>0</v>
      </c>
      <c r="B5415" t="s">
        <v>1380</v>
      </c>
      <c r="C5415" t="s">
        <v>8237</v>
      </c>
      <c r="D5415" t="s">
        <v>16192</v>
      </c>
      <c r="E5415" t="s">
        <v>21093</v>
      </c>
      <c r="F5415" t="s">
        <v>28198</v>
      </c>
      <c r="G5415" t="s">
        <v>28205</v>
      </c>
      <c r="H5415" t="s">
        <v>28215</v>
      </c>
      <c r="I5415" t="s">
        <v>5100</v>
      </c>
      <c r="J5415" t="s">
        <v>31787</v>
      </c>
      <c r="K5415" t="s">
        <v>36706</v>
      </c>
      <c r="M5415" t="s">
        <v>38444</v>
      </c>
      <c r="N5415" t="s">
        <v>40436</v>
      </c>
      <c r="O5415" t="s">
        <v>40437</v>
      </c>
      <c r="P5415">
        <v>0</v>
      </c>
      <c r="Q5415">
        <v>0</v>
      </c>
      <c r="R5415" t="s">
        <v>40440</v>
      </c>
      <c r="S5415" t="s">
        <v>40603</v>
      </c>
      <c r="T5415" t="s">
        <v>42176</v>
      </c>
      <c r="U5415" t="s">
        <v>47214</v>
      </c>
      <c r="W5415" t="s">
        <v>38444</v>
      </c>
      <c r="X5415" t="s">
        <v>40441</v>
      </c>
    </row>
    <row r="5416" spans="1:24">
      <c r="A5416">
        <f>HYPERLINK("https://www.philgeps.gov.ph/GEPSNONPILOT/Tender/SplashBidNoticeAbstractUI.aspx?menuIndex=3&amp;refID=7044141&amp;Result=3","7044141")</f>
        <v>0</v>
      </c>
      <c r="B5416" t="s">
        <v>1755</v>
      </c>
      <c r="C5416" t="s">
        <v>8238</v>
      </c>
      <c r="D5416" t="s">
        <v>16200</v>
      </c>
      <c r="E5416" t="s">
        <v>21094</v>
      </c>
      <c r="F5416" t="s">
        <v>28198</v>
      </c>
      <c r="G5416" t="s">
        <v>28207</v>
      </c>
      <c r="H5416" t="s">
        <v>28215</v>
      </c>
      <c r="I5416" t="s">
        <v>28225</v>
      </c>
      <c r="J5416" t="s">
        <v>28388</v>
      </c>
      <c r="K5416" t="s">
        <v>36706</v>
      </c>
      <c r="M5416" t="s">
        <v>38868</v>
      </c>
      <c r="N5416" t="s">
        <v>40436</v>
      </c>
      <c r="O5416" t="s">
        <v>40437</v>
      </c>
      <c r="P5416">
        <v>0</v>
      </c>
      <c r="Q5416">
        <v>2</v>
      </c>
      <c r="R5416" t="s">
        <v>40440</v>
      </c>
      <c r="S5416" t="s">
        <v>40603</v>
      </c>
      <c r="T5416" t="s">
        <v>42385</v>
      </c>
      <c r="U5416" t="s">
        <v>47215</v>
      </c>
      <c r="W5416" t="s">
        <v>38868</v>
      </c>
      <c r="X5416" t="s">
        <v>40441</v>
      </c>
    </row>
    <row r="5417" spans="1:24">
      <c r="A5417">
        <f>HYPERLINK("https://www.philgeps.gov.ph/GEPSNONPILOT/Tender/SplashBidNoticeAbstractUI.aspx?menuIndex=3&amp;refID=7044139&amp;Result=3","7044139")</f>
        <v>0</v>
      </c>
      <c r="B5417" t="s">
        <v>137</v>
      </c>
      <c r="C5417" t="s">
        <v>8239</v>
      </c>
      <c r="D5417" t="s">
        <v>16217</v>
      </c>
      <c r="E5417" t="s">
        <v>21095</v>
      </c>
      <c r="F5417" t="s">
        <v>28198</v>
      </c>
      <c r="G5417" t="s">
        <v>28207</v>
      </c>
      <c r="H5417" t="s">
        <v>28215</v>
      </c>
      <c r="I5417" t="s">
        <v>5100</v>
      </c>
      <c r="J5417" t="s">
        <v>31788</v>
      </c>
      <c r="K5417" t="s">
        <v>36707</v>
      </c>
      <c r="M5417" t="s">
        <v>37111</v>
      </c>
      <c r="N5417" t="s">
        <v>40436</v>
      </c>
      <c r="O5417" t="s">
        <v>40437</v>
      </c>
      <c r="P5417">
        <v>0</v>
      </c>
      <c r="Q5417">
        <v>0</v>
      </c>
      <c r="R5417" t="s">
        <v>40440</v>
      </c>
      <c r="S5417" t="s">
        <v>40603</v>
      </c>
      <c r="T5417" t="s">
        <v>42233</v>
      </c>
      <c r="U5417" t="s">
        <v>47216</v>
      </c>
      <c r="W5417" t="s">
        <v>37111</v>
      </c>
      <c r="X5417" t="s">
        <v>40441</v>
      </c>
    </row>
    <row r="5418" spans="1:24">
      <c r="A5418">
        <f>HYPERLINK("https://www.philgeps.gov.ph/GEPSNONPILOT/Tender/SplashBidNoticeAbstractUI.aspx?menuIndex=3&amp;refID=7044137&amp;Result=3","7044137")</f>
        <v>0</v>
      </c>
      <c r="B5418" t="s">
        <v>1355</v>
      </c>
      <c r="C5418" t="s">
        <v>8240</v>
      </c>
      <c r="D5418" t="s">
        <v>16210</v>
      </c>
      <c r="E5418" t="s">
        <v>21096</v>
      </c>
      <c r="F5418" t="s">
        <v>28198</v>
      </c>
      <c r="G5418" t="s">
        <v>28205</v>
      </c>
      <c r="H5418" t="s">
        <v>28215</v>
      </c>
      <c r="I5418" t="s">
        <v>28256</v>
      </c>
      <c r="J5418" t="s">
        <v>31789</v>
      </c>
      <c r="K5418" t="s">
        <v>36694</v>
      </c>
      <c r="M5418" t="s">
        <v>38908</v>
      </c>
      <c r="N5418" t="s">
        <v>40436</v>
      </c>
      <c r="O5418" t="s">
        <v>40437</v>
      </c>
      <c r="P5418">
        <v>0</v>
      </c>
      <c r="Q5418">
        <v>20</v>
      </c>
      <c r="R5418" t="s">
        <v>40440</v>
      </c>
      <c r="S5418" t="s">
        <v>40603</v>
      </c>
      <c r="T5418" t="s">
        <v>42281</v>
      </c>
      <c r="U5418" t="s">
        <v>47217</v>
      </c>
      <c r="W5418" t="s">
        <v>38908</v>
      </c>
      <c r="X5418" t="s">
        <v>40441</v>
      </c>
    </row>
    <row r="5419" spans="1:24">
      <c r="A5419">
        <f>HYPERLINK("https://www.philgeps.gov.ph/GEPSNONPILOT/Tender/SplashBidNoticeAbstractUI.aspx?menuIndex=3&amp;refID=7044146&amp;Result=3","7044146")</f>
        <v>0</v>
      </c>
      <c r="B5419" t="s">
        <v>1755</v>
      </c>
      <c r="C5419" t="s">
        <v>8241</v>
      </c>
      <c r="D5419" t="s">
        <v>16200</v>
      </c>
      <c r="E5419" t="s">
        <v>21097</v>
      </c>
      <c r="F5419" t="s">
        <v>28198</v>
      </c>
      <c r="G5419" t="s">
        <v>28207</v>
      </c>
      <c r="H5419" t="s">
        <v>28215</v>
      </c>
      <c r="I5419" t="s">
        <v>5103</v>
      </c>
      <c r="J5419" t="s">
        <v>28932</v>
      </c>
      <c r="K5419" t="s">
        <v>36706</v>
      </c>
      <c r="M5419" t="s">
        <v>38868</v>
      </c>
      <c r="N5419" t="s">
        <v>40436</v>
      </c>
      <c r="O5419" t="s">
        <v>40437</v>
      </c>
      <c r="P5419">
        <v>0</v>
      </c>
      <c r="Q5419">
        <v>4</v>
      </c>
      <c r="R5419" t="s">
        <v>40440</v>
      </c>
      <c r="S5419" t="s">
        <v>40603</v>
      </c>
      <c r="T5419" t="s">
        <v>42385</v>
      </c>
      <c r="U5419" t="s">
        <v>47218</v>
      </c>
      <c r="W5419" t="s">
        <v>38868</v>
      </c>
      <c r="X5419" t="s">
        <v>40441</v>
      </c>
    </row>
    <row r="5420" spans="1:24">
      <c r="A5420">
        <f>HYPERLINK("https://www.philgeps.gov.ph/GEPSNONPILOT/Tender/SplashBidNoticeAbstractUI.aspx?menuIndex=3&amp;refID=7044155&amp;Result=3","7044155")</f>
        <v>0</v>
      </c>
      <c r="B5420" t="s">
        <v>1798</v>
      </c>
      <c r="C5420" t="s">
        <v>8242</v>
      </c>
      <c r="D5420" t="s">
        <v>16266</v>
      </c>
      <c r="E5420" t="s">
        <v>21098</v>
      </c>
      <c r="F5420" t="s">
        <v>28198</v>
      </c>
      <c r="G5420" t="s">
        <v>28205</v>
      </c>
      <c r="H5420" t="s">
        <v>28214</v>
      </c>
      <c r="I5420" t="s">
        <v>3797</v>
      </c>
      <c r="J5420" t="s">
        <v>31790</v>
      </c>
      <c r="K5420" t="s">
        <v>36715</v>
      </c>
      <c r="L5420" t="s">
        <v>1798</v>
      </c>
      <c r="M5420" t="s">
        <v>38915</v>
      </c>
      <c r="N5420" t="s">
        <v>40436</v>
      </c>
      <c r="O5420" t="s">
        <v>40437</v>
      </c>
      <c r="P5420">
        <v>0</v>
      </c>
      <c r="Q5420">
        <v>0</v>
      </c>
      <c r="R5420" t="s">
        <v>40440</v>
      </c>
      <c r="S5420" t="s">
        <v>40603</v>
      </c>
      <c r="T5420" t="s">
        <v>42125</v>
      </c>
      <c r="U5420" t="s">
        <v>47219</v>
      </c>
      <c r="V5420" t="s">
        <v>54310</v>
      </c>
      <c r="W5420" t="s">
        <v>38915</v>
      </c>
      <c r="X5420" t="s">
        <v>40441</v>
      </c>
    </row>
    <row r="5421" spans="1:24">
      <c r="A5421">
        <f>HYPERLINK("https://www.philgeps.gov.ph/GEPSNONPILOT/Tender/SplashBidNoticeAbstractUI.aspx?menuIndex=3&amp;refID=7044138&amp;Result=3","7044138")</f>
        <v>0</v>
      </c>
      <c r="B5421" t="s">
        <v>1755</v>
      </c>
      <c r="C5421" t="s">
        <v>8243</v>
      </c>
      <c r="D5421" t="s">
        <v>16200</v>
      </c>
      <c r="E5421" t="s">
        <v>21099</v>
      </c>
      <c r="F5421" t="s">
        <v>28198</v>
      </c>
      <c r="G5421" t="s">
        <v>28207</v>
      </c>
      <c r="H5421" t="s">
        <v>28215</v>
      </c>
      <c r="I5421" t="s">
        <v>28225</v>
      </c>
      <c r="J5421" t="s">
        <v>28350</v>
      </c>
      <c r="K5421" t="s">
        <v>36706</v>
      </c>
      <c r="M5421" t="s">
        <v>38868</v>
      </c>
      <c r="N5421" t="s">
        <v>40436</v>
      </c>
      <c r="O5421" t="s">
        <v>40437</v>
      </c>
      <c r="P5421">
        <v>0</v>
      </c>
      <c r="Q5421">
        <v>5</v>
      </c>
      <c r="R5421" t="s">
        <v>40440</v>
      </c>
      <c r="S5421" t="s">
        <v>40603</v>
      </c>
      <c r="T5421" t="s">
        <v>42385</v>
      </c>
      <c r="U5421" t="s">
        <v>47220</v>
      </c>
      <c r="W5421" t="s">
        <v>38868</v>
      </c>
      <c r="X5421" t="s">
        <v>40441</v>
      </c>
    </row>
    <row r="5422" spans="1:24">
      <c r="A5422">
        <f>HYPERLINK("https://www.philgeps.gov.ph/GEPSNONPILOT/Tender/SplashBidNoticeAbstractUI.aspx?menuIndex=3&amp;refID=7044160&amp;Result=3","7044160")</f>
        <v>0</v>
      </c>
      <c r="B5422" t="s">
        <v>1798</v>
      </c>
      <c r="C5422" t="s">
        <v>8244</v>
      </c>
      <c r="D5422" t="s">
        <v>16266</v>
      </c>
      <c r="E5422" t="s">
        <v>21100</v>
      </c>
      <c r="F5422" t="s">
        <v>28198</v>
      </c>
      <c r="G5422" t="s">
        <v>28205</v>
      </c>
      <c r="H5422" t="s">
        <v>28214</v>
      </c>
      <c r="I5422" t="s">
        <v>3797</v>
      </c>
      <c r="J5422" t="s">
        <v>31791</v>
      </c>
      <c r="K5422" t="s">
        <v>36715</v>
      </c>
      <c r="L5422" t="s">
        <v>1798</v>
      </c>
      <c r="M5422" t="s">
        <v>38915</v>
      </c>
      <c r="N5422" t="s">
        <v>40436</v>
      </c>
      <c r="O5422" t="s">
        <v>40437</v>
      </c>
      <c r="P5422">
        <v>0</v>
      </c>
      <c r="Q5422">
        <v>0</v>
      </c>
      <c r="R5422" t="s">
        <v>40440</v>
      </c>
      <c r="S5422" t="s">
        <v>40603</v>
      </c>
      <c r="T5422" t="s">
        <v>42125</v>
      </c>
      <c r="U5422" t="s">
        <v>47221</v>
      </c>
      <c r="V5422" t="s">
        <v>54310</v>
      </c>
      <c r="W5422" t="s">
        <v>38915</v>
      </c>
      <c r="X5422" t="s">
        <v>40441</v>
      </c>
    </row>
    <row r="5423" spans="1:24">
      <c r="A5423">
        <f>HYPERLINK("https://www.philgeps.gov.ph/GEPSNONPILOT/Tender/SplashBidNoticeAbstractUI.aspx?menuIndex=3&amp;refID=7044161&amp;Result=3","7044161")</f>
        <v>0</v>
      </c>
      <c r="B5423" t="s">
        <v>1801</v>
      </c>
      <c r="C5423" t="s">
        <v>8245</v>
      </c>
      <c r="D5423" t="s">
        <v>16192</v>
      </c>
      <c r="E5423" t="s">
        <v>21101</v>
      </c>
      <c r="F5423" t="s">
        <v>28198</v>
      </c>
      <c r="G5423" t="s">
        <v>28207</v>
      </c>
      <c r="H5423" t="s">
        <v>28215</v>
      </c>
      <c r="I5423" t="s">
        <v>28244</v>
      </c>
      <c r="J5423" t="s">
        <v>28694</v>
      </c>
      <c r="K5423" t="s">
        <v>36701</v>
      </c>
      <c r="M5423" t="s">
        <v>38918</v>
      </c>
      <c r="N5423" t="s">
        <v>40436</v>
      </c>
      <c r="O5423" t="s">
        <v>40437</v>
      </c>
      <c r="P5423">
        <v>0</v>
      </c>
      <c r="Q5423">
        <v>1</v>
      </c>
      <c r="R5423" t="s">
        <v>40440</v>
      </c>
      <c r="S5423" t="s">
        <v>40603</v>
      </c>
      <c r="T5423" t="s">
        <v>42184</v>
      </c>
      <c r="U5423" t="s">
        <v>47222</v>
      </c>
      <c r="W5423" t="s">
        <v>38918</v>
      </c>
      <c r="X5423" t="s">
        <v>40441</v>
      </c>
    </row>
    <row r="5424" spans="1:24">
      <c r="A5424">
        <f>HYPERLINK("https://www.philgeps.gov.ph/GEPSNONPILOT/Tender/SplashBidNoticeAbstractUI.aspx?menuIndex=3&amp;refID=7044177&amp;Result=3","7044177")</f>
        <v>0</v>
      </c>
      <c r="B5424" t="s">
        <v>1755</v>
      </c>
      <c r="C5424" t="s">
        <v>8246</v>
      </c>
      <c r="D5424" t="s">
        <v>16200</v>
      </c>
      <c r="E5424" t="s">
        <v>21102</v>
      </c>
      <c r="F5424" t="s">
        <v>28198</v>
      </c>
      <c r="G5424" t="s">
        <v>28207</v>
      </c>
      <c r="H5424" t="s">
        <v>28215</v>
      </c>
      <c r="I5424" t="s">
        <v>28225</v>
      </c>
      <c r="J5424" t="s">
        <v>29231</v>
      </c>
      <c r="K5424" t="s">
        <v>36706</v>
      </c>
      <c r="M5424" t="s">
        <v>38868</v>
      </c>
      <c r="N5424" t="s">
        <v>40436</v>
      </c>
      <c r="O5424" t="s">
        <v>40437</v>
      </c>
      <c r="P5424">
        <v>0</v>
      </c>
      <c r="Q5424">
        <v>2</v>
      </c>
      <c r="R5424" t="s">
        <v>40440</v>
      </c>
      <c r="S5424" t="s">
        <v>40603</v>
      </c>
      <c r="T5424" t="s">
        <v>42385</v>
      </c>
      <c r="U5424" t="s">
        <v>47223</v>
      </c>
      <c r="W5424" t="s">
        <v>38868</v>
      </c>
      <c r="X5424" t="s">
        <v>40441</v>
      </c>
    </row>
    <row r="5425" spans="1:24">
      <c r="A5425">
        <f>HYPERLINK("https://www.philgeps.gov.ph/GEPSNONPILOT/Tender/SplashBidNoticeAbstractUI.aspx?menuIndex=3&amp;refID=7044170&amp;Result=3","7044170")</f>
        <v>0</v>
      </c>
      <c r="B5425" t="s">
        <v>1380</v>
      </c>
      <c r="C5425" t="s">
        <v>8247</v>
      </c>
      <c r="D5425" t="s">
        <v>16192</v>
      </c>
      <c r="E5425" t="s">
        <v>21103</v>
      </c>
      <c r="F5425" t="s">
        <v>28198</v>
      </c>
      <c r="G5425" t="s">
        <v>28205</v>
      </c>
      <c r="H5425" t="s">
        <v>28215</v>
      </c>
      <c r="I5425" t="s">
        <v>5100</v>
      </c>
      <c r="J5425" t="s">
        <v>31792</v>
      </c>
      <c r="K5425" t="s">
        <v>36706</v>
      </c>
      <c r="M5425" t="s">
        <v>38444</v>
      </c>
      <c r="N5425" t="s">
        <v>40436</v>
      </c>
      <c r="O5425" t="s">
        <v>40437</v>
      </c>
      <c r="P5425">
        <v>0</v>
      </c>
      <c r="Q5425">
        <v>1</v>
      </c>
      <c r="R5425" t="s">
        <v>40440</v>
      </c>
      <c r="S5425" t="s">
        <v>40603</v>
      </c>
      <c r="T5425" t="s">
        <v>42176</v>
      </c>
      <c r="U5425" t="s">
        <v>47224</v>
      </c>
      <c r="W5425" t="s">
        <v>38444</v>
      </c>
      <c r="X5425" t="s">
        <v>40441</v>
      </c>
    </row>
    <row r="5426" spans="1:24">
      <c r="A5426">
        <f>HYPERLINK("https://www.philgeps.gov.ph/GEPSNONPILOT/Tender/SplashBidNoticeAbstractUI.aspx?menuIndex=3&amp;refID=7044162&amp;Result=3","7044162")</f>
        <v>0</v>
      </c>
      <c r="B5426" t="s">
        <v>1380</v>
      </c>
      <c r="C5426" t="s">
        <v>8248</v>
      </c>
      <c r="D5426" t="s">
        <v>16192</v>
      </c>
      <c r="E5426" t="s">
        <v>21104</v>
      </c>
      <c r="F5426" t="s">
        <v>28198</v>
      </c>
      <c r="G5426" t="s">
        <v>28205</v>
      </c>
      <c r="H5426" t="s">
        <v>28215</v>
      </c>
      <c r="I5426" t="s">
        <v>5100</v>
      </c>
      <c r="J5426" t="s">
        <v>31793</v>
      </c>
      <c r="K5426" t="s">
        <v>36706</v>
      </c>
      <c r="M5426" t="s">
        <v>38444</v>
      </c>
      <c r="N5426" t="s">
        <v>40436</v>
      </c>
      <c r="O5426" t="s">
        <v>40437</v>
      </c>
      <c r="P5426">
        <v>0</v>
      </c>
      <c r="Q5426">
        <v>0</v>
      </c>
      <c r="R5426" t="s">
        <v>40440</v>
      </c>
      <c r="S5426" t="s">
        <v>40603</v>
      </c>
      <c r="T5426" t="s">
        <v>42176</v>
      </c>
      <c r="U5426" t="s">
        <v>47225</v>
      </c>
      <c r="W5426" t="s">
        <v>38444</v>
      </c>
      <c r="X5426" t="s">
        <v>40441</v>
      </c>
    </row>
    <row r="5427" spans="1:24">
      <c r="A5427">
        <f>HYPERLINK("https://www.philgeps.gov.ph/GEPSNONPILOT/Tender/SplashBidNoticeAbstractUI.aspx?menuIndex=3&amp;refID=7044172&amp;Result=3","7044172")</f>
        <v>0</v>
      </c>
      <c r="B5427" t="s">
        <v>1380</v>
      </c>
      <c r="C5427" t="s">
        <v>8249</v>
      </c>
      <c r="D5427" t="s">
        <v>16192</v>
      </c>
      <c r="E5427" t="s">
        <v>21105</v>
      </c>
      <c r="F5427" t="s">
        <v>28198</v>
      </c>
      <c r="G5427" t="s">
        <v>28205</v>
      </c>
      <c r="H5427" t="s">
        <v>28215</v>
      </c>
      <c r="I5427" t="s">
        <v>5100</v>
      </c>
      <c r="J5427" t="s">
        <v>31794</v>
      </c>
      <c r="K5427" t="s">
        <v>36706</v>
      </c>
      <c r="M5427" t="s">
        <v>38444</v>
      </c>
      <c r="N5427" t="s">
        <v>40436</v>
      </c>
      <c r="O5427" t="s">
        <v>40437</v>
      </c>
      <c r="P5427">
        <v>0</v>
      </c>
      <c r="Q5427">
        <v>0</v>
      </c>
      <c r="R5427" t="s">
        <v>40440</v>
      </c>
      <c r="S5427" t="s">
        <v>40603</v>
      </c>
      <c r="T5427" t="s">
        <v>42176</v>
      </c>
      <c r="U5427" t="s">
        <v>47226</v>
      </c>
      <c r="W5427" t="s">
        <v>38444</v>
      </c>
      <c r="X5427" t="s">
        <v>40441</v>
      </c>
    </row>
    <row r="5428" spans="1:24">
      <c r="A5428">
        <f>HYPERLINK("https://www.philgeps.gov.ph/GEPSNONPILOT/Tender/SplashBidNoticeAbstractUI.aspx?menuIndex=3&amp;refID=7044176&amp;Result=3","7044176")</f>
        <v>0</v>
      </c>
      <c r="B5428" t="s">
        <v>1798</v>
      </c>
      <c r="C5428" t="s">
        <v>8250</v>
      </c>
      <c r="D5428" t="s">
        <v>16266</v>
      </c>
      <c r="E5428" t="s">
        <v>21106</v>
      </c>
      <c r="F5428" t="s">
        <v>28198</v>
      </c>
      <c r="G5428" t="s">
        <v>28205</v>
      </c>
      <c r="H5428" t="s">
        <v>28214</v>
      </c>
      <c r="I5428" t="s">
        <v>3797</v>
      </c>
      <c r="J5428" t="s">
        <v>31795</v>
      </c>
      <c r="K5428" t="s">
        <v>36792</v>
      </c>
      <c r="L5428" t="s">
        <v>1798</v>
      </c>
      <c r="M5428" t="s">
        <v>38915</v>
      </c>
      <c r="N5428" t="s">
        <v>40436</v>
      </c>
      <c r="O5428" t="s">
        <v>40437</v>
      </c>
      <c r="P5428">
        <v>0</v>
      </c>
      <c r="Q5428">
        <v>0</v>
      </c>
      <c r="R5428" t="s">
        <v>40440</v>
      </c>
      <c r="S5428" t="s">
        <v>40603</v>
      </c>
      <c r="T5428" t="s">
        <v>42125</v>
      </c>
      <c r="U5428" t="s">
        <v>47227</v>
      </c>
      <c r="V5428" t="s">
        <v>54310</v>
      </c>
      <c r="W5428" t="s">
        <v>38915</v>
      </c>
      <c r="X5428" t="s">
        <v>40441</v>
      </c>
    </row>
    <row r="5429" spans="1:24">
      <c r="A5429">
        <f>HYPERLINK("https://www.philgeps.gov.ph/GEPSNONPILOT/Tender/SplashBidNoticeAbstractUI.aspx?menuIndex=3&amp;refID=7044171&amp;Result=3","7044171")</f>
        <v>0</v>
      </c>
      <c r="B5429" t="s">
        <v>942</v>
      </c>
      <c r="C5429" t="s">
        <v>8251</v>
      </c>
      <c r="D5429" t="s">
        <v>16188</v>
      </c>
      <c r="E5429" t="s">
        <v>21107</v>
      </c>
      <c r="F5429" t="s">
        <v>28198</v>
      </c>
      <c r="G5429" t="s">
        <v>28207</v>
      </c>
      <c r="H5429" t="s">
        <v>28215</v>
      </c>
      <c r="I5429" t="s">
        <v>5100</v>
      </c>
      <c r="J5429" t="s">
        <v>28551</v>
      </c>
      <c r="K5429" t="s">
        <v>36707</v>
      </c>
      <c r="M5429" t="s">
        <v>37965</v>
      </c>
      <c r="N5429" t="s">
        <v>40436</v>
      </c>
      <c r="O5429" t="s">
        <v>40437</v>
      </c>
      <c r="P5429">
        <v>0</v>
      </c>
      <c r="Q5429">
        <v>0</v>
      </c>
      <c r="R5429" t="s">
        <v>40440</v>
      </c>
      <c r="S5429" t="s">
        <v>40603</v>
      </c>
      <c r="T5429" t="s">
        <v>42163</v>
      </c>
      <c r="U5429" t="s">
        <v>44501</v>
      </c>
      <c r="W5429" t="s">
        <v>37965</v>
      </c>
      <c r="X5429" t="s">
        <v>40441</v>
      </c>
    </row>
    <row r="5430" spans="1:24">
      <c r="A5430">
        <f>HYPERLINK("https://www.philgeps.gov.ph/GEPSNONPILOT/Tender/SplashBidNoticeAbstractUI.aspx?menuIndex=3&amp;refID=7044174&amp;Result=3","7044174")</f>
        <v>0</v>
      </c>
      <c r="B5430" t="s">
        <v>942</v>
      </c>
      <c r="C5430" t="s">
        <v>8252</v>
      </c>
      <c r="D5430" t="s">
        <v>16188</v>
      </c>
      <c r="E5430" t="s">
        <v>21108</v>
      </c>
      <c r="F5430" t="s">
        <v>28198</v>
      </c>
      <c r="G5430" t="s">
        <v>28207</v>
      </c>
      <c r="H5430" t="s">
        <v>28215</v>
      </c>
      <c r="I5430" t="s">
        <v>5100</v>
      </c>
      <c r="J5430" t="s">
        <v>31796</v>
      </c>
      <c r="K5430" t="s">
        <v>36707</v>
      </c>
      <c r="M5430" t="s">
        <v>37965</v>
      </c>
      <c r="N5430" t="s">
        <v>40436</v>
      </c>
      <c r="O5430" t="s">
        <v>40437</v>
      </c>
      <c r="P5430">
        <v>0</v>
      </c>
      <c r="Q5430">
        <v>0</v>
      </c>
      <c r="R5430" t="s">
        <v>40440</v>
      </c>
      <c r="S5430" t="s">
        <v>40603</v>
      </c>
      <c r="T5430" t="s">
        <v>42163</v>
      </c>
      <c r="U5430" t="s">
        <v>44501</v>
      </c>
      <c r="W5430" t="s">
        <v>37965</v>
      </c>
      <c r="X5430" t="s">
        <v>40441</v>
      </c>
    </row>
    <row r="5431" spans="1:24">
      <c r="A5431">
        <f>HYPERLINK("https://www.philgeps.gov.ph/GEPSNONPILOT/Tender/SplashBidNoticeAbstractUI.aspx?menuIndex=3&amp;refID=7044169&amp;Result=3","7044169")</f>
        <v>0</v>
      </c>
      <c r="B5431" t="s">
        <v>1380</v>
      </c>
      <c r="C5431" t="s">
        <v>8253</v>
      </c>
      <c r="D5431" t="s">
        <v>16192</v>
      </c>
      <c r="E5431" t="s">
        <v>21109</v>
      </c>
      <c r="F5431" t="s">
        <v>28198</v>
      </c>
      <c r="G5431" t="s">
        <v>28205</v>
      </c>
      <c r="H5431" t="s">
        <v>28215</v>
      </c>
      <c r="I5431" t="s">
        <v>5100</v>
      </c>
      <c r="J5431" t="s">
        <v>31794</v>
      </c>
      <c r="K5431" t="s">
        <v>36706</v>
      </c>
      <c r="M5431" t="s">
        <v>38444</v>
      </c>
      <c r="N5431" t="s">
        <v>40436</v>
      </c>
      <c r="O5431" t="s">
        <v>40437</v>
      </c>
      <c r="P5431">
        <v>0</v>
      </c>
      <c r="Q5431">
        <v>0</v>
      </c>
      <c r="R5431" t="s">
        <v>40440</v>
      </c>
      <c r="S5431" t="s">
        <v>40603</v>
      </c>
      <c r="T5431" t="s">
        <v>42176</v>
      </c>
      <c r="U5431" t="s">
        <v>47226</v>
      </c>
      <c r="W5431" t="s">
        <v>38444</v>
      </c>
      <c r="X5431" t="s">
        <v>40441</v>
      </c>
    </row>
    <row r="5432" spans="1:24">
      <c r="A5432">
        <f>HYPERLINK("https://www.philgeps.gov.ph/GEPSNONPILOT/Tender/SplashBidNoticeAbstractUI.aspx?menuIndex=3&amp;refID=7044173&amp;Result=3","7044173")</f>
        <v>0</v>
      </c>
      <c r="B5432" t="s">
        <v>1755</v>
      </c>
      <c r="C5432" t="s">
        <v>8254</v>
      </c>
      <c r="D5432" t="s">
        <v>16200</v>
      </c>
      <c r="E5432" t="s">
        <v>21110</v>
      </c>
      <c r="F5432" t="s">
        <v>28198</v>
      </c>
      <c r="G5432" t="s">
        <v>28207</v>
      </c>
      <c r="H5432" t="s">
        <v>28215</v>
      </c>
      <c r="I5432" t="s">
        <v>5631</v>
      </c>
      <c r="J5432" t="s">
        <v>28350</v>
      </c>
      <c r="K5432" t="s">
        <v>36706</v>
      </c>
      <c r="M5432" t="s">
        <v>38868</v>
      </c>
      <c r="N5432" t="s">
        <v>40436</v>
      </c>
      <c r="O5432" t="s">
        <v>40437</v>
      </c>
      <c r="P5432">
        <v>0</v>
      </c>
      <c r="Q5432">
        <v>0</v>
      </c>
      <c r="R5432" t="s">
        <v>40440</v>
      </c>
      <c r="S5432" t="s">
        <v>40603</v>
      </c>
      <c r="T5432" t="s">
        <v>42385</v>
      </c>
      <c r="U5432" t="s">
        <v>47228</v>
      </c>
      <c r="W5432" t="s">
        <v>38868</v>
      </c>
      <c r="X5432" t="s">
        <v>40441</v>
      </c>
    </row>
    <row r="5433" spans="1:24">
      <c r="A5433">
        <f>HYPERLINK("https://www.philgeps.gov.ph/GEPSNONPILOT/Tender/SplashBidNoticeAbstractUI.aspx?menuIndex=3&amp;refID=7044182&amp;Result=3","7044182")</f>
        <v>0</v>
      </c>
      <c r="B5433" t="s">
        <v>1798</v>
      </c>
      <c r="C5433" t="s">
        <v>8255</v>
      </c>
      <c r="D5433" t="s">
        <v>16266</v>
      </c>
      <c r="E5433" t="s">
        <v>21111</v>
      </c>
      <c r="F5433" t="s">
        <v>28198</v>
      </c>
      <c r="G5433" t="s">
        <v>28205</v>
      </c>
      <c r="H5433" t="s">
        <v>28214</v>
      </c>
      <c r="I5433" t="s">
        <v>3797</v>
      </c>
      <c r="J5433" t="s">
        <v>31773</v>
      </c>
      <c r="K5433" t="s">
        <v>36792</v>
      </c>
      <c r="L5433" t="s">
        <v>1798</v>
      </c>
      <c r="M5433" t="s">
        <v>38915</v>
      </c>
      <c r="N5433" t="s">
        <v>40436</v>
      </c>
      <c r="O5433" t="s">
        <v>40437</v>
      </c>
      <c r="P5433">
        <v>0</v>
      </c>
      <c r="Q5433">
        <v>0</v>
      </c>
      <c r="R5433" t="s">
        <v>40440</v>
      </c>
      <c r="S5433" t="s">
        <v>40603</v>
      </c>
      <c r="T5433" t="s">
        <v>42125</v>
      </c>
      <c r="U5433" t="s">
        <v>47229</v>
      </c>
      <c r="V5433" t="s">
        <v>54310</v>
      </c>
      <c r="W5433" t="s">
        <v>38915</v>
      </c>
      <c r="X5433" t="s">
        <v>40441</v>
      </c>
    </row>
    <row r="5434" spans="1:24">
      <c r="A5434">
        <f>HYPERLINK("https://www.philgeps.gov.ph/GEPSNONPILOT/Tender/SplashBidNoticeAbstractUI.aspx?menuIndex=3&amp;refID=7044165&amp;Result=3","7044165")</f>
        <v>0</v>
      </c>
      <c r="B5434" t="s">
        <v>1380</v>
      </c>
      <c r="C5434" t="s">
        <v>8256</v>
      </c>
      <c r="D5434" t="s">
        <v>16192</v>
      </c>
      <c r="E5434" t="s">
        <v>21112</v>
      </c>
      <c r="F5434" t="s">
        <v>28198</v>
      </c>
      <c r="G5434" t="s">
        <v>28205</v>
      </c>
      <c r="H5434" t="s">
        <v>28215</v>
      </c>
      <c r="I5434" t="s">
        <v>5100</v>
      </c>
      <c r="J5434" t="s">
        <v>31797</v>
      </c>
      <c r="K5434" t="s">
        <v>36706</v>
      </c>
      <c r="M5434" t="s">
        <v>38444</v>
      </c>
      <c r="N5434" t="s">
        <v>40436</v>
      </c>
      <c r="O5434" t="s">
        <v>40437</v>
      </c>
      <c r="P5434">
        <v>0</v>
      </c>
      <c r="Q5434">
        <v>0</v>
      </c>
      <c r="R5434" t="s">
        <v>40440</v>
      </c>
      <c r="S5434" t="s">
        <v>40603</v>
      </c>
      <c r="T5434" t="s">
        <v>42176</v>
      </c>
      <c r="U5434" t="s">
        <v>47230</v>
      </c>
      <c r="W5434" t="s">
        <v>38444</v>
      </c>
      <c r="X5434" t="s">
        <v>40441</v>
      </c>
    </row>
    <row r="5435" spans="1:24">
      <c r="A5435">
        <f>HYPERLINK("https://www.philgeps.gov.ph/GEPSNONPILOT/Tender/SplashBidNoticeAbstractUI.aspx?menuIndex=3&amp;refID=7044178&amp;Result=3","7044178")</f>
        <v>0</v>
      </c>
      <c r="B5435" t="s">
        <v>1801</v>
      </c>
      <c r="C5435" t="s">
        <v>8257</v>
      </c>
      <c r="D5435" t="s">
        <v>16192</v>
      </c>
      <c r="E5435" t="s">
        <v>21113</v>
      </c>
      <c r="F5435" t="s">
        <v>28198</v>
      </c>
      <c r="G5435" t="s">
        <v>28207</v>
      </c>
      <c r="H5435" t="s">
        <v>28215</v>
      </c>
      <c r="I5435" t="s">
        <v>28247</v>
      </c>
      <c r="J5435" t="s">
        <v>31798</v>
      </c>
      <c r="K5435" t="s">
        <v>36701</v>
      </c>
      <c r="M5435" t="s">
        <v>38918</v>
      </c>
      <c r="N5435" t="s">
        <v>40436</v>
      </c>
      <c r="O5435" t="s">
        <v>40437</v>
      </c>
      <c r="P5435">
        <v>0</v>
      </c>
      <c r="Q5435">
        <v>17</v>
      </c>
      <c r="R5435" t="s">
        <v>40440</v>
      </c>
      <c r="S5435" t="s">
        <v>40603</v>
      </c>
      <c r="T5435" t="s">
        <v>42184</v>
      </c>
      <c r="U5435" t="s">
        <v>47231</v>
      </c>
      <c r="W5435" t="s">
        <v>38918</v>
      </c>
      <c r="X5435" t="s">
        <v>40441</v>
      </c>
    </row>
    <row r="5436" spans="1:24">
      <c r="A5436">
        <f>HYPERLINK("https://www.philgeps.gov.ph/GEPSNONPILOT/Tender/SplashBidNoticeAbstractUI.aspx?menuIndex=3&amp;refID=7044166&amp;Result=3","7044166")</f>
        <v>0</v>
      </c>
      <c r="B5436" t="s">
        <v>1355</v>
      </c>
      <c r="C5436" t="s">
        <v>8258</v>
      </c>
      <c r="D5436" t="s">
        <v>16210</v>
      </c>
      <c r="E5436" t="s">
        <v>21114</v>
      </c>
      <c r="F5436" t="s">
        <v>28198</v>
      </c>
      <c r="G5436" t="s">
        <v>28205</v>
      </c>
      <c r="H5436" t="s">
        <v>28215</v>
      </c>
      <c r="I5436" t="s">
        <v>28255</v>
      </c>
      <c r="J5436" t="s">
        <v>28379</v>
      </c>
      <c r="K5436" t="s">
        <v>36688</v>
      </c>
      <c r="M5436" t="s">
        <v>38908</v>
      </c>
      <c r="N5436" t="s">
        <v>40436</v>
      </c>
      <c r="O5436" t="s">
        <v>40437</v>
      </c>
      <c r="P5436">
        <v>0</v>
      </c>
      <c r="Q5436">
        <v>0</v>
      </c>
      <c r="R5436" t="s">
        <v>40440</v>
      </c>
      <c r="S5436" t="s">
        <v>40603</v>
      </c>
      <c r="T5436" t="s">
        <v>42281</v>
      </c>
      <c r="U5436" t="s">
        <v>47232</v>
      </c>
      <c r="W5436" t="s">
        <v>38908</v>
      </c>
      <c r="X5436" t="s">
        <v>40441</v>
      </c>
    </row>
    <row r="5437" spans="1:24">
      <c r="A5437">
        <f>HYPERLINK("https://www.philgeps.gov.ph/GEPSNONPILOT/Tender/SplashBidNoticeAbstractUI.aspx?menuIndex=3&amp;refID=7044184&amp;Result=3","7044184")</f>
        <v>0</v>
      </c>
      <c r="B5437" t="s">
        <v>581</v>
      </c>
      <c r="C5437" t="s">
        <v>8259</v>
      </c>
      <c r="D5437" t="s">
        <v>16210</v>
      </c>
      <c r="E5437" t="s">
        <v>21115</v>
      </c>
      <c r="F5437" t="s">
        <v>28198</v>
      </c>
      <c r="G5437" t="s">
        <v>28205</v>
      </c>
      <c r="H5437" t="s">
        <v>28215</v>
      </c>
      <c r="I5437" t="s">
        <v>28228</v>
      </c>
      <c r="J5437" t="s">
        <v>31799</v>
      </c>
      <c r="K5437" t="s">
        <v>36744</v>
      </c>
      <c r="M5437" t="s">
        <v>38919</v>
      </c>
      <c r="N5437" t="s">
        <v>40436</v>
      </c>
      <c r="O5437" t="s">
        <v>40437</v>
      </c>
      <c r="P5437">
        <v>0</v>
      </c>
      <c r="Q5437">
        <v>0</v>
      </c>
      <c r="R5437" t="s">
        <v>40440</v>
      </c>
      <c r="S5437" t="s">
        <v>40603</v>
      </c>
      <c r="T5437" t="s">
        <v>42248</v>
      </c>
      <c r="U5437" t="s">
        <v>47233</v>
      </c>
      <c r="V5437" t="s">
        <v>54311</v>
      </c>
      <c r="W5437" t="s">
        <v>38919</v>
      </c>
      <c r="X5437" t="s">
        <v>40441</v>
      </c>
    </row>
    <row r="5438" spans="1:24">
      <c r="A5438">
        <f>HYPERLINK("https://www.philgeps.gov.ph/GEPSNONPILOT/Tender/SplashBidNoticeAbstractUI.aspx?menuIndex=3&amp;refID=7044168&amp;Result=3","7044168")</f>
        <v>0</v>
      </c>
      <c r="B5438" t="s">
        <v>1755</v>
      </c>
      <c r="C5438" t="s">
        <v>8260</v>
      </c>
      <c r="D5438" t="s">
        <v>16200</v>
      </c>
      <c r="E5438" t="s">
        <v>21116</v>
      </c>
      <c r="F5438" t="s">
        <v>28198</v>
      </c>
      <c r="G5438" t="s">
        <v>28207</v>
      </c>
      <c r="H5438" t="s">
        <v>28215</v>
      </c>
      <c r="I5438" t="s">
        <v>28249</v>
      </c>
      <c r="J5438" t="s">
        <v>31176</v>
      </c>
      <c r="K5438" t="s">
        <v>36706</v>
      </c>
      <c r="M5438" t="s">
        <v>38868</v>
      </c>
      <c r="N5438" t="s">
        <v>40436</v>
      </c>
      <c r="O5438" t="s">
        <v>40437</v>
      </c>
      <c r="P5438">
        <v>0</v>
      </c>
      <c r="Q5438">
        <v>0</v>
      </c>
      <c r="R5438" t="s">
        <v>40440</v>
      </c>
      <c r="S5438" t="s">
        <v>40603</v>
      </c>
      <c r="T5438" t="s">
        <v>42385</v>
      </c>
      <c r="U5438" t="s">
        <v>47234</v>
      </c>
      <c r="W5438" t="s">
        <v>38868</v>
      </c>
      <c r="X5438" t="s">
        <v>40441</v>
      </c>
    </row>
    <row r="5439" spans="1:24">
      <c r="A5439">
        <f>HYPERLINK("https://www.philgeps.gov.ph/GEPSNONPILOT/Tender/SplashBidNoticeAbstractUI.aspx?menuIndex=3&amp;refID=7044181&amp;Result=3","7044181")</f>
        <v>0</v>
      </c>
      <c r="B5439" t="s">
        <v>942</v>
      </c>
      <c r="C5439" t="s">
        <v>8261</v>
      </c>
      <c r="D5439" t="s">
        <v>16188</v>
      </c>
      <c r="E5439" t="s">
        <v>21117</v>
      </c>
      <c r="F5439" t="s">
        <v>28198</v>
      </c>
      <c r="G5439" t="s">
        <v>28206</v>
      </c>
      <c r="H5439" t="s">
        <v>28215</v>
      </c>
      <c r="I5439" t="s">
        <v>5100</v>
      </c>
      <c r="J5439" t="s">
        <v>31800</v>
      </c>
      <c r="K5439" t="s">
        <v>36707</v>
      </c>
      <c r="M5439" t="s">
        <v>37965</v>
      </c>
      <c r="N5439" t="s">
        <v>40436</v>
      </c>
      <c r="O5439" t="s">
        <v>40437</v>
      </c>
      <c r="P5439">
        <v>0</v>
      </c>
      <c r="Q5439">
        <v>1</v>
      </c>
      <c r="R5439" t="s">
        <v>40440</v>
      </c>
      <c r="S5439" t="s">
        <v>40603</v>
      </c>
      <c r="T5439" t="s">
        <v>42163</v>
      </c>
      <c r="U5439" t="s">
        <v>44501</v>
      </c>
      <c r="W5439" t="s">
        <v>37965</v>
      </c>
      <c r="X5439" t="s">
        <v>40441</v>
      </c>
    </row>
    <row r="5440" spans="1:24">
      <c r="A5440">
        <f>HYPERLINK("https://www.philgeps.gov.ph/GEPSNONPILOT/Tender/SplashBidNoticeAbstractUI.aspx?menuIndex=3&amp;refID=7044180&amp;Result=3","7044180")</f>
        <v>0</v>
      </c>
      <c r="B5440" t="s">
        <v>1755</v>
      </c>
      <c r="C5440" t="s">
        <v>8262</v>
      </c>
      <c r="D5440" t="s">
        <v>16200</v>
      </c>
      <c r="E5440" t="s">
        <v>21118</v>
      </c>
      <c r="F5440" t="s">
        <v>28198</v>
      </c>
      <c r="G5440" t="s">
        <v>28207</v>
      </c>
      <c r="H5440" t="s">
        <v>28215</v>
      </c>
      <c r="I5440" t="s">
        <v>4505</v>
      </c>
      <c r="J5440" t="s">
        <v>31801</v>
      </c>
      <c r="K5440" t="s">
        <v>36706</v>
      </c>
      <c r="M5440" t="s">
        <v>38868</v>
      </c>
      <c r="N5440" t="s">
        <v>40436</v>
      </c>
      <c r="O5440" t="s">
        <v>40437</v>
      </c>
      <c r="P5440">
        <v>0</v>
      </c>
      <c r="Q5440">
        <v>0</v>
      </c>
      <c r="R5440" t="s">
        <v>40440</v>
      </c>
      <c r="S5440" t="s">
        <v>40603</v>
      </c>
      <c r="T5440" t="s">
        <v>42385</v>
      </c>
      <c r="U5440" t="s">
        <v>47235</v>
      </c>
      <c r="W5440" t="s">
        <v>38868</v>
      </c>
      <c r="X5440" t="s">
        <v>40441</v>
      </c>
    </row>
    <row r="5441" spans="1:24">
      <c r="A5441">
        <f>HYPERLINK("https://www.philgeps.gov.ph/GEPSNONPILOT/Tender/SplashBidNoticeAbstractUI.aspx?menuIndex=3&amp;refID=7044179&amp;Result=3","7044179")</f>
        <v>0</v>
      </c>
      <c r="B5441" t="s">
        <v>942</v>
      </c>
      <c r="C5441" t="s">
        <v>8263</v>
      </c>
      <c r="D5441" t="s">
        <v>16188</v>
      </c>
      <c r="E5441" t="s">
        <v>21119</v>
      </c>
      <c r="F5441" t="s">
        <v>28198</v>
      </c>
      <c r="G5441" t="s">
        <v>28207</v>
      </c>
      <c r="H5441" t="s">
        <v>28215</v>
      </c>
      <c r="I5441" t="s">
        <v>5100</v>
      </c>
      <c r="J5441" t="s">
        <v>31802</v>
      </c>
      <c r="K5441" t="s">
        <v>36707</v>
      </c>
      <c r="M5441" t="s">
        <v>37965</v>
      </c>
      <c r="N5441" t="s">
        <v>40436</v>
      </c>
      <c r="O5441" t="s">
        <v>40437</v>
      </c>
      <c r="P5441">
        <v>0</v>
      </c>
      <c r="Q5441">
        <v>0</v>
      </c>
      <c r="R5441" t="s">
        <v>40440</v>
      </c>
      <c r="S5441" t="s">
        <v>40603</v>
      </c>
      <c r="T5441" t="s">
        <v>42163</v>
      </c>
      <c r="U5441" t="s">
        <v>44501</v>
      </c>
      <c r="W5441" t="s">
        <v>37965</v>
      </c>
      <c r="X5441" t="s">
        <v>40441</v>
      </c>
    </row>
    <row r="5442" spans="1:24">
      <c r="A5442">
        <f>HYPERLINK("https://www.philgeps.gov.ph/GEPSNONPILOT/Tender/SplashBidNoticeAbstractUI.aspx?menuIndex=3&amp;refID=7044185&amp;Result=3","7044185")</f>
        <v>0</v>
      </c>
      <c r="B5442" t="s">
        <v>1755</v>
      </c>
      <c r="C5442" t="s">
        <v>8264</v>
      </c>
      <c r="D5442" t="s">
        <v>16200</v>
      </c>
      <c r="E5442" t="s">
        <v>21120</v>
      </c>
      <c r="F5442" t="s">
        <v>28198</v>
      </c>
      <c r="G5442" t="s">
        <v>28207</v>
      </c>
      <c r="H5442" t="s">
        <v>28215</v>
      </c>
      <c r="I5442" t="s">
        <v>4321</v>
      </c>
      <c r="J5442" t="s">
        <v>31803</v>
      </c>
      <c r="K5442" t="s">
        <v>36706</v>
      </c>
      <c r="M5442" t="s">
        <v>38868</v>
      </c>
      <c r="N5442" t="s">
        <v>40436</v>
      </c>
      <c r="O5442" t="s">
        <v>40437</v>
      </c>
      <c r="P5442">
        <v>0</v>
      </c>
      <c r="Q5442">
        <v>3</v>
      </c>
      <c r="R5442" t="s">
        <v>40440</v>
      </c>
      <c r="S5442" t="s">
        <v>40603</v>
      </c>
      <c r="T5442" t="s">
        <v>42385</v>
      </c>
      <c r="U5442" t="s">
        <v>47236</v>
      </c>
      <c r="W5442" t="s">
        <v>38868</v>
      </c>
      <c r="X5442" t="s">
        <v>40441</v>
      </c>
    </row>
    <row r="5443" spans="1:24">
      <c r="A5443">
        <f>HYPERLINK("https://www.philgeps.gov.ph/GEPSNONPILOT/Tender/SplashBidNoticeAbstractUI.aspx?menuIndex=3&amp;refID=7044193&amp;Result=3","7044193")</f>
        <v>0</v>
      </c>
      <c r="B5443" t="s">
        <v>1755</v>
      </c>
      <c r="C5443" t="s">
        <v>8265</v>
      </c>
      <c r="D5443" t="s">
        <v>16200</v>
      </c>
      <c r="E5443" t="s">
        <v>21121</v>
      </c>
      <c r="F5443" t="s">
        <v>28198</v>
      </c>
      <c r="G5443" t="s">
        <v>28207</v>
      </c>
      <c r="H5443" t="s">
        <v>28215</v>
      </c>
      <c r="I5443" t="s">
        <v>28258</v>
      </c>
      <c r="J5443" t="s">
        <v>31804</v>
      </c>
      <c r="K5443" t="s">
        <v>36706</v>
      </c>
      <c r="M5443" t="s">
        <v>38868</v>
      </c>
      <c r="N5443" t="s">
        <v>40436</v>
      </c>
      <c r="O5443" t="s">
        <v>40437</v>
      </c>
      <c r="P5443">
        <v>0</v>
      </c>
      <c r="Q5443">
        <v>4</v>
      </c>
      <c r="R5443" t="s">
        <v>40440</v>
      </c>
      <c r="S5443" t="s">
        <v>40603</v>
      </c>
      <c r="T5443" t="s">
        <v>42385</v>
      </c>
      <c r="U5443" t="s">
        <v>47237</v>
      </c>
      <c r="W5443" t="s">
        <v>38868</v>
      </c>
      <c r="X5443" t="s">
        <v>40441</v>
      </c>
    </row>
    <row r="5444" spans="1:24">
      <c r="A5444">
        <f>HYPERLINK("https://www.philgeps.gov.ph/GEPSNONPILOT/Tender/SplashBidNoticeAbstractUI.aspx?menuIndex=3&amp;refID=7044191&amp;Result=3","7044191")</f>
        <v>0</v>
      </c>
      <c r="B5444" t="s">
        <v>1798</v>
      </c>
      <c r="C5444" t="s">
        <v>8266</v>
      </c>
      <c r="D5444" t="s">
        <v>16266</v>
      </c>
      <c r="E5444" t="s">
        <v>21122</v>
      </c>
      <c r="F5444" t="s">
        <v>28198</v>
      </c>
      <c r="G5444" t="s">
        <v>28205</v>
      </c>
      <c r="H5444" t="s">
        <v>28214</v>
      </c>
      <c r="I5444" t="s">
        <v>3797</v>
      </c>
      <c r="J5444" t="s">
        <v>31805</v>
      </c>
      <c r="K5444" t="s">
        <v>36715</v>
      </c>
      <c r="L5444" t="s">
        <v>1798</v>
      </c>
      <c r="M5444" t="s">
        <v>38915</v>
      </c>
      <c r="N5444" t="s">
        <v>40436</v>
      </c>
      <c r="O5444" t="s">
        <v>40437</v>
      </c>
      <c r="P5444">
        <v>0</v>
      </c>
      <c r="Q5444">
        <v>0</v>
      </c>
      <c r="R5444" t="s">
        <v>40440</v>
      </c>
      <c r="S5444" t="s">
        <v>40603</v>
      </c>
      <c r="T5444" t="s">
        <v>42125</v>
      </c>
      <c r="U5444" t="s">
        <v>47238</v>
      </c>
      <c r="V5444" t="s">
        <v>54310</v>
      </c>
      <c r="W5444" t="s">
        <v>38915</v>
      </c>
      <c r="X5444" t="s">
        <v>40441</v>
      </c>
    </row>
    <row r="5445" spans="1:24">
      <c r="A5445">
        <f>HYPERLINK("https://www.philgeps.gov.ph/GEPSNONPILOT/Tender/SplashBidNoticeAbstractUI.aspx?menuIndex=3&amp;refID=7044190&amp;Result=3","7044190")</f>
        <v>0</v>
      </c>
      <c r="B5445" t="s">
        <v>1755</v>
      </c>
      <c r="C5445" t="s">
        <v>8267</v>
      </c>
      <c r="D5445" t="s">
        <v>16200</v>
      </c>
      <c r="E5445" t="s">
        <v>21123</v>
      </c>
      <c r="F5445" t="s">
        <v>28198</v>
      </c>
      <c r="G5445" t="s">
        <v>28207</v>
      </c>
      <c r="H5445" t="s">
        <v>28215</v>
      </c>
      <c r="I5445" t="s">
        <v>3774</v>
      </c>
      <c r="J5445" t="s">
        <v>30939</v>
      </c>
      <c r="K5445" t="s">
        <v>36706</v>
      </c>
      <c r="M5445" t="s">
        <v>38868</v>
      </c>
      <c r="N5445" t="s">
        <v>40436</v>
      </c>
      <c r="O5445" t="s">
        <v>40437</v>
      </c>
      <c r="P5445">
        <v>0</v>
      </c>
      <c r="Q5445">
        <v>1</v>
      </c>
      <c r="R5445" t="s">
        <v>40440</v>
      </c>
      <c r="S5445" t="s">
        <v>40603</v>
      </c>
      <c r="T5445" t="s">
        <v>42385</v>
      </c>
      <c r="U5445" t="s">
        <v>47239</v>
      </c>
      <c r="W5445" t="s">
        <v>38868</v>
      </c>
      <c r="X5445" t="s">
        <v>40441</v>
      </c>
    </row>
    <row r="5446" spans="1:24">
      <c r="A5446">
        <f>HYPERLINK("https://www.philgeps.gov.ph/GEPSNONPILOT/Tender/SplashBidNoticeAbstractUI.aspx?menuIndex=3&amp;refID=7044199&amp;Result=3","7044199")</f>
        <v>0</v>
      </c>
      <c r="B5446" t="s">
        <v>1802</v>
      </c>
      <c r="C5446" t="s">
        <v>8268</v>
      </c>
      <c r="D5446" t="s">
        <v>16238</v>
      </c>
      <c r="E5446" t="s">
        <v>21124</v>
      </c>
      <c r="F5446" t="s">
        <v>28198</v>
      </c>
      <c r="G5446" t="s">
        <v>28207</v>
      </c>
      <c r="H5446" t="s">
        <v>28215</v>
      </c>
      <c r="I5446" t="s">
        <v>4219</v>
      </c>
      <c r="J5446" t="s">
        <v>31806</v>
      </c>
      <c r="K5446" t="s">
        <v>36701</v>
      </c>
      <c r="M5446" t="s">
        <v>38920</v>
      </c>
      <c r="N5446" t="s">
        <v>40436</v>
      </c>
      <c r="O5446" t="s">
        <v>40437</v>
      </c>
      <c r="P5446">
        <v>0</v>
      </c>
      <c r="Q5446">
        <v>3</v>
      </c>
      <c r="R5446" t="s">
        <v>40440</v>
      </c>
      <c r="S5446" t="s">
        <v>40603</v>
      </c>
      <c r="T5446" t="s">
        <v>42277</v>
      </c>
      <c r="U5446" t="s">
        <v>47240</v>
      </c>
      <c r="W5446" t="s">
        <v>38920</v>
      </c>
      <c r="X5446" t="s">
        <v>40441</v>
      </c>
    </row>
    <row r="5447" spans="1:24">
      <c r="A5447">
        <f>HYPERLINK("https://www.philgeps.gov.ph/GEPSNONPILOT/Tender/SplashBidNoticeAbstractUI.aspx?menuIndex=3&amp;refID=7044188&amp;Result=3","7044188")</f>
        <v>0</v>
      </c>
      <c r="B5447" t="s">
        <v>942</v>
      </c>
      <c r="C5447" t="s">
        <v>8269</v>
      </c>
      <c r="D5447" t="s">
        <v>16188</v>
      </c>
      <c r="E5447" t="s">
        <v>21125</v>
      </c>
      <c r="F5447" t="s">
        <v>28198</v>
      </c>
      <c r="G5447" t="s">
        <v>28206</v>
      </c>
      <c r="H5447" t="s">
        <v>28215</v>
      </c>
      <c r="I5447" t="s">
        <v>5100</v>
      </c>
      <c r="J5447" t="s">
        <v>31807</v>
      </c>
      <c r="K5447" t="s">
        <v>36707</v>
      </c>
      <c r="M5447" t="s">
        <v>37965</v>
      </c>
      <c r="N5447" t="s">
        <v>40436</v>
      </c>
      <c r="O5447" t="s">
        <v>40437</v>
      </c>
      <c r="P5447">
        <v>0</v>
      </c>
      <c r="Q5447">
        <v>1</v>
      </c>
      <c r="R5447" t="s">
        <v>40440</v>
      </c>
      <c r="S5447" t="s">
        <v>40603</v>
      </c>
      <c r="T5447" t="s">
        <v>42163</v>
      </c>
      <c r="U5447" t="s">
        <v>44501</v>
      </c>
      <c r="W5447" t="s">
        <v>37965</v>
      </c>
      <c r="X5447" t="s">
        <v>40441</v>
      </c>
    </row>
    <row r="5448" spans="1:24">
      <c r="A5448">
        <f>HYPERLINK("https://www.philgeps.gov.ph/GEPSNONPILOT/Tender/SplashBidNoticeAbstractUI.aspx?menuIndex=3&amp;refID=7044197&amp;Result=3","7044197")</f>
        <v>0</v>
      </c>
      <c r="B5448" t="s">
        <v>1798</v>
      </c>
      <c r="C5448" t="s">
        <v>8270</v>
      </c>
      <c r="D5448" t="s">
        <v>16266</v>
      </c>
      <c r="E5448" t="s">
        <v>21126</v>
      </c>
      <c r="F5448" t="s">
        <v>28198</v>
      </c>
      <c r="G5448" t="s">
        <v>28205</v>
      </c>
      <c r="H5448" t="s">
        <v>28214</v>
      </c>
      <c r="I5448" t="s">
        <v>3797</v>
      </c>
      <c r="J5448" t="s">
        <v>31808</v>
      </c>
      <c r="K5448" t="s">
        <v>36831</v>
      </c>
      <c r="L5448" t="s">
        <v>1798</v>
      </c>
      <c r="M5448" t="s">
        <v>38915</v>
      </c>
      <c r="N5448" t="s">
        <v>40436</v>
      </c>
      <c r="O5448" t="s">
        <v>40437</v>
      </c>
      <c r="P5448">
        <v>0</v>
      </c>
      <c r="Q5448">
        <v>0</v>
      </c>
      <c r="R5448" t="s">
        <v>40440</v>
      </c>
      <c r="S5448" t="s">
        <v>40603</v>
      </c>
      <c r="T5448" t="s">
        <v>42125</v>
      </c>
      <c r="U5448" t="s">
        <v>47241</v>
      </c>
      <c r="V5448" t="s">
        <v>54310</v>
      </c>
      <c r="W5448" t="s">
        <v>38915</v>
      </c>
      <c r="X5448" t="s">
        <v>40441</v>
      </c>
    </row>
    <row r="5449" spans="1:24">
      <c r="A5449">
        <f>HYPERLINK("https://www.philgeps.gov.ph/GEPSNONPILOT/Tender/SplashBidNoticeAbstractUI.aspx?menuIndex=3&amp;refID=7044187&amp;Result=3","7044187")</f>
        <v>0</v>
      </c>
      <c r="B5449" t="s">
        <v>834</v>
      </c>
      <c r="C5449" t="s">
        <v>8271</v>
      </c>
      <c r="D5449" t="s">
        <v>16190</v>
      </c>
      <c r="E5449" t="s">
        <v>21127</v>
      </c>
      <c r="F5449" t="s">
        <v>28198</v>
      </c>
      <c r="G5449" t="s">
        <v>28207</v>
      </c>
      <c r="H5449" t="s">
        <v>28214</v>
      </c>
      <c r="I5449" t="s">
        <v>3797</v>
      </c>
      <c r="J5449" t="s">
        <v>31809</v>
      </c>
      <c r="K5449" t="s">
        <v>36707</v>
      </c>
      <c r="M5449" t="s">
        <v>37846</v>
      </c>
      <c r="N5449" t="s">
        <v>40436</v>
      </c>
      <c r="O5449" t="s">
        <v>40437</v>
      </c>
      <c r="P5449">
        <v>0</v>
      </c>
      <c r="Q5449">
        <v>0</v>
      </c>
      <c r="R5449" t="s">
        <v>40440</v>
      </c>
      <c r="S5449" t="s">
        <v>40603</v>
      </c>
      <c r="T5449" t="s">
        <v>42131</v>
      </c>
      <c r="U5449" t="s">
        <v>47242</v>
      </c>
      <c r="W5449" t="s">
        <v>37846</v>
      </c>
      <c r="X5449" t="s">
        <v>40441</v>
      </c>
    </row>
    <row r="5450" spans="1:24">
      <c r="A5450">
        <f>HYPERLINK("https://www.philgeps.gov.ph/GEPSNONPILOT/Tender/SplashBidNoticeAbstractUI.aspx?menuIndex=3&amp;refID=7044205&amp;Result=3","7044205")</f>
        <v>0</v>
      </c>
      <c r="B5450" t="s">
        <v>1803</v>
      </c>
      <c r="C5450" t="s">
        <v>8272</v>
      </c>
      <c r="D5450" t="s">
        <v>16210</v>
      </c>
      <c r="E5450" t="s">
        <v>21128</v>
      </c>
      <c r="F5450" t="s">
        <v>28198</v>
      </c>
      <c r="G5450" t="s">
        <v>28207</v>
      </c>
      <c r="H5450" t="s">
        <v>28215</v>
      </c>
      <c r="I5450" t="s">
        <v>28247</v>
      </c>
      <c r="J5450" t="s">
        <v>30819</v>
      </c>
      <c r="K5450" t="s">
        <v>36715</v>
      </c>
      <c r="M5450" t="s">
        <v>38921</v>
      </c>
      <c r="N5450" t="s">
        <v>40436</v>
      </c>
      <c r="O5450" t="s">
        <v>40437</v>
      </c>
      <c r="P5450">
        <v>0</v>
      </c>
      <c r="Q5450">
        <v>5</v>
      </c>
      <c r="R5450" t="s">
        <v>40440</v>
      </c>
      <c r="S5450" t="s">
        <v>40603</v>
      </c>
      <c r="T5450" t="s">
        <v>42136</v>
      </c>
      <c r="U5450" t="s">
        <v>47243</v>
      </c>
      <c r="W5450" t="s">
        <v>38921</v>
      </c>
      <c r="X5450" t="s">
        <v>40441</v>
      </c>
    </row>
    <row r="5451" spans="1:24">
      <c r="A5451">
        <f>HYPERLINK("https://www.philgeps.gov.ph/GEPSNONPILOT/Tender/SplashBidNoticeAbstractUI.aspx?menuIndex=3&amp;refID=7044189&amp;Result=3","7044189")</f>
        <v>0</v>
      </c>
      <c r="B5451" t="s">
        <v>1801</v>
      </c>
      <c r="C5451" t="s">
        <v>8273</v>
      </c>
      <c r="D5451" t="s">
        <v>16192</v>
      </c>
      <c r="E5451" t="s">
        <v>21129</v>
      </c>
      <c r="F5451" t="s">
        <v>28198</v>
      </c>
      <c r="G5451" t="s">
        <v>28207</v>
      </c>
      <c r="H5451" t="s">
        <v>28215</v>
      </c>
      <c r="I5451" t="s">
        <v>28247</v>
      </c>
      <c r="J5451" t="s">
        <v>31810</v>
      </c>
      <c r="K5451" t="s">
        <v>36701</v>
      </c>
      <c r="M5451" t="s">
        <v>38918</v>
      </c>
      <c r="N5451" t="s">
        <v>40436</v>
      </c>
      <c r="O5451" t="s">
        <v>40437</v>
      </c>
      <c r="P5451">
        <v>0</v>
      </c>
      <c r="Q5451">
        <v>11</v>
      </c>
      <c r="R5451" t="s">
        <v>40440</v>
      </c>
      <c r="S5451" t="s">
        <v>40603</v>
      </c>
      <c r="T5451" t="s">
        <v>42184</v>
      </c>
      <c r="U5451" t="s">
        <v>47231</v>
      </c>
      <c r="W5451" t="s">
        <v>38918</v>
      </c>
      <c r="X5451" t="s">
        <v>40441</v>
      </c>
    </row>
    <row r="5452" spans="1:24">
      <c r="A5452">
        <f>HYPERLINK("https://www.philgeps.gov.ph/GEPSNONPILOT/Tender/SplashBidNoticeAbstractUI.aspx?menuIndex=3&amp;refID=7044204&amp;Result=3","7044204")</f>
        <v>0</v>
      </c>
      <c r="B5452" t="s">
        <v>1755</v>
      </c>
      <c r="C5452" t="s">
        <v>8274</v>
      </c>
      <c r="D5452" t="s">
        <v>16200</v>
      </c>
      <c r="E5452" t="s">
        <v>21130</v>
      </c>
      <c r="F5452" t="s">
        <v>28198</v>
      </c>
      <c r="G5452" t="s">
        <v>28207</v>
      </c>
      <c r="H5452" t="s">
        <v>28215</v>
      </c>
      <c r="I5452" t="s">
        <v>4505</v>
      </c>
      <c r="J5452" t="s">
        <v>31811</v>
      </c>
      <c r="K5452" t="s">
        <v>36706</v>
      </c>
      <c r="M5452" t="s">
        <v>38868</v>
      </c>
      <c r="N5452" t="s">
        <v>40436</v>
      </c>
      <c r="O5452" t="s">
        <v>40437</v>
      </c>
      <c r="P5452">
        <v>0</v>
      </c>
      <c r="Q5452">
        <v>0</v>
      </c>
      <c r="R5452" t="s">
        <v>40440</v>
      </c>
      <c r="S5452" t="s">
        <v>40603</v>
      </c>
      <c r="T5452" t="s">
        <v>42385</v>
      </c>
      <c r="U5452" t="s">
        <v>47244</v>
      </c>
      <c r="W5452" t="s">
        <v>38868</v>
      </c>
      <c r="X5452" t="s">
        <v>40441</v>
      </c>
    </row>
    <row r="5453" spans="1:24">
      <c r="A5453">
        <f>HYPERLINK("https://www.philgeps.gov.ph/GEPSNONPILOT/Tender/SplashBidNoticeAbstractUI.aspx?menuIndex=3&amp;refID=7044207&amp;Result=3","7044207")</f>
        <v>0</v>
      </c>
      <c r="B5453" t="s">
        <v>1755</v>
      </c>
      <c r="C5453" t="s">
        <v>8275</v>
      </c>
      <c r="D5453" t="s">
        <v>16200</v>
      </c>
      <c r="E5453" t="s">
        <v>21131</v>
      </c>
      <c r="F5453" t="s">
        <v>28198</v>
      </c>
      <c r="G5453" t="s">
        <v>28207</v>
      </c>
      <c r="H5453" t="s">
        <v>28215</v>
      </c>
      <c r="I5453" t="s">
        <v>28225</v>
      </c>
      <c r="J5453" t="s">
        <v>28626</v>
      </c>
      <c r="K5453" t="s">
        <v>36706</v>
      </c>
      <c r="M5453" t="s">
        <v>38868</v>
      </c>
      <c r="N5453" t="s">
        <v>40436</v>
      </c>
      <c r="O5453" t="s">
        <v>40437</v>
      </c>
      <c r="P5453">
        <v>0</v>
      </c>
      <c r="Q5453">
        <v>7</v>
      </c>
      <c r="R5453" t="s">
        <v>40440</v>
      </c>
      <c r="S5453" t="s">
        <v>40603</v>
      </c>
      <c r="T5453" t="s">
        <v>42385</v>
      </c>
      <c r="U5453" t="s">
        <v>47245</v>
      </c>
      <c r="W5453" t="s">
        <v>38868</v>
      </c>
      <c r="X5453" t="s">
        <v>40441</v>
      </c>
    </row>
    <row r="5454" spans="1:24">
      <c r="A5454">
        <f>HYPERLINK("https://www.philgeps.gov.ph/GEPSNONPILOT/Tender/SplashBidNoticeAbstractUI.aspx?menuIndex=3&amp;refID=7044192&amp;Result=3","7044192")</f>
        <v>0</v>
      </c>
      <c r="B5454" t="s">
        <v>942</v>
      </c>
      <c r="C5454" t="s">
        <v>8276</v>
      </c>
      <c r="D5454" t="s">
        <v>16188</v>
      </c>
      <c r="E5454" t="s">
        <v>21132</v>
      </c>
      <c r="F5454" t="s">
        <v>28198</v>
      </c>
      <c r="G5454" t="s">
        <v>28206</v>
      </c>
      <c r="H5454" t="s">
        <v>28215</v>
      </c>
      <c r="I5454" t="s">
        <v>5100</v>
      </c>
      <c r="J5454" t="s">
        <v>31812</v>
      </c>
      <c r="K5454" t="s">
        <v>36707</v>
      </c>
      <c r="M5454" t="s">
        <v>37965</v>
      </c>
      <c r="N5454" t="s">
        <v>40436</v>
      </c>
      <c r="O5454" t="s">
        <v>40437</v>
      </c>
      <c r="P5454">
        <v>0</v>
      </c>
      <c r="Q5454">
        <v>1</v>
      </c>
      <c r="R5454" t="s">
        <v>40440</v>
      </c>
      <c r="S5454" t="s">
        <v>40603</v>
      </c>
      <c r="T5454" t="s">
        <v>42163</v>
      </c>
      <c r="U5454" t="s">
        <v>44501</v>
      </c>
      <c r="W5454" t="s">
        <v>37965</v>
      </c>
      <c r="X5454" t="s">
        <v>40441</v>
      </c>
    </row>
    <row r="5455" spans="1:24">
      <c r="A5455">
        <f>HYPERLINK("https://www.philgeps.gov.ph/GEPSNONPILOT/Tender/SplashBidNoticeAbstractUI.aspx?menuIndex=3&amp;refID=7044206&amp;Result=3","7044206")</f>
        <v>0</v>
      </c>
      <c r="B5455" t="s">
        <v>471</v>
      </c>
      <c r="C5455" t="s">
        <v>8277</v>
      </c>
      <c r="D5455" t="s">
        <v>16188</v>
      </c>
      <c r="E5455" t="s">
        <v>21133</v>
      </c>
      <c r="F5455" t="s">
        <v>28198</v>
      </c>
      <c r="G5455" t="s">
        <v>28207</v>
      </c>
      <c r="H5455" t="s">
        <v>28215</v>
      </c>
      <c r="I5455" t="s">
        <v>28247</v>
      </c>
      <c r="J5455" t="s">
        <v>31813</v>
      </c>
      <c r="K5455" t="s">
        <v>36694</v>
      </c>
      <c r="M5455" t="s">
        <v>37456</v>
      </c>
      <c r="N5455" t="s">
        <v>40436</v>
      </c>
      <c r="O5455" t="s">
        <v>40437</v>
      </c>
      <c r="P5455">
        <v>0</v>
      </c>
      <c r="Q5455">
        <v>9</v>
      </c>
      <c r="R5455" t="s">
        <v>40440</v>
      </c>
      <c r="S5455" t="s">
        <v>40603</v>
      </c>
      <c r="T5455" t="s">
        <v>42185</v>
      </c>
      <c r="U5455" t="s">
        <v>47246</v>
      </c>
      <c r="W5455" t="s">
        <v>37456</v>
      </c>
      <c r="X5455" t="s">
        <v>40441</v>
      </c>
    </row>
    <row r="5456" spans="1:24">
      <c r="A5456">
        <f>HYPERLINK("https://www.philgeps.gov.ph/GEPSNONPILOT/Tender/SplashBidNoticeAbstractUI.aspx?menuIndex=3&amp;refID=7044203&amp;Result=3","7044203")</f>
        <v>0</v>
      </c>
      <c r="B5456" t="s">
        <v>1755</v>
      </c>
      <c r="C5456" t="s">
        <v>8278</v>
      </c>
      <c r="D5456" t="s">
        <v>16200</v>
      </c>
      <c r="E5456" t="s">
        <v>21134</v>
      </c>
      <c r="F5456" t="s">
        <v>28198</v>
      </c>
      <c r="G5456" t="s">
        <v>28207</v>
      </c>
      <c r="H5456" t="s">
        <v>28215</v>
      </c>
      <c r="I5456" t="s">
        <v>4321</v>
      </c>
      <c r="J5456" t="s">
        <v>28350</v>
      </c>
      <c r="K5456" t="s">
        <v>36706</v>
      </c>
      <c r="M5456" t="s">
        <v>38868</v>
      </c>
      <c r="N5456" t="s">
        <v>40436</v>
      </c>
      <c r="O5456" t="s">
        <v>40437</v>
      </c>
      <c r="P5456">
        <v>0</v>
      </c>
      <c r="Q5456">
        <v>1</v>
      </c>
      <c r="R5456" t="s">
        <v>40440</v>
      </c>
      <c r="S5456" t="s">
        <v>40603</v>
      </c>
      <c r="T5456" t="s">
        <v>42385</v>
      </c>
      <c r="U5456" t="s">
        <v>47247</v>
      </c>
      <c r="W5456" t="s">
        <v>38868</v>
      </c>
      <c r="X5456" t="s">
        <v>40441</v>
      </c>
    </row>
    <row r="5457" spans="1:24">
      <c r="A5457">
        <f>HYPERLINK("https://www.philgeps.gov.ph/GEPSNONPILOT/Tender/SplashBidNoticeAbstractUI.aspx?menuIndex=3&amp;refID=7044198&amp;Result=3","7044198")</f>
        <v>0</v>
      </c>
      <c r="B5457" t="s">
        <v>1755</v>
      </c>
      <c r="C5457" t="s">
        <v>8279</v>
      </c>
      <c r="D5457" t="s">
        <v>16200</v>
      </c>
      <c r="E5457" t="s">
        <v>21135</v>
      </c>
      <c r="F5457" t="s">
        <v>28198</v>
      </c>
      <c r="G5457" t="s">
        <v>28207</v>
      </c>
      <c r="H5457" t="s">
        <v>28215</v>
      </c>
      <c r="I5457" t="s">
        <v>28249</v>
      </c>
      <c r="J5457" t="s">
        <v>28350</v>
      </c>
      <c r="K5457" t="s">
        <v>36706</v>
      </c>
      <c r="M5457" t="s">
        <v>38868</v>
      </c>
      <c r="N5457" t="s">
        <v>40436</v>
      </c>
      <c r="O5457" t="s">
        <v>40437</v>
      </c>
      <c r="P5457">
        <v>0</v>
      </c>
      <c r="Q5457">
        <v>0</v>
      </c>
      <c r="R5457" t="s">
        <v>40440</v>
      </c>
      <c r="S5457" t="s">
        <v>40603</v>
      </c>
      <c r="T5457" t="s">
        <v>42385</v>
      </c>
      <c r="U5457" t="s">
        <v>47248</v>
      </c>
      <c r="W5457" t="s">
        <v>38868</v>
      </c>
      <c r="X5457" t="s">
        <v>40441</v>
      </c>
    </row>
    <row r="5458" spans="1:24">
      <c r="A5458">
        <f>HYPERLINK("https://www.philgeps.gov.ph/GEPSNONPILOT/Tender/SplashBidNoticeAbstractUI.aspx?menuIndex=3&amp;refID=7044195&amp;Result=3","7044195")</f>
        <v>0</v>
      </c>
      <c r="B5458" t="s">
        <v>942</v>
      </c>
      <c r="C5458" t="s">
        <v>8280</v>
      </c>
      <c r="D5458" t="s">
        <v>16188</v>
      </c>
      <c r="E5458" t="s">
        <v>21136</v>
      </c>
      <c r="F5458" t="s">
        <v>28198</v>
      </c>
      <c r="G5458" t="s">
        <v>28206</v>
      </c>
      <c r="H5458" t="s">
        <v>28215</v>
      </c>
      <c r="I5458" t="s">
        <v>5100</v>
      </c>
      <c r="J5458" t="s">
        <v>31814</v>
      </c>
      <c r="K5458" t="s">
        <v>36707</v>
      </c>
      <c r="M5458" t="s">
        <v>37965</v>
      </c>
      <c r="N5458" t="s">
        <v>40436</v>
      </c>
      <c r="O5458" t="s">
        <v>40437</v>
      </c>
      <c r="P5458">
        <v>0</v>
      </c>
      <c r="Q5458">
        <v>1</v>
      </c>
      <c r="R5458" t="s">
        <v>40440</v>
      </c>
      <c r="S5458" t="s">
        <v>40603</v>
      </c>
      <c r="T5458" t="s">
        <v>42163</v>
      </c>
      <c r="U5458" t="s">
        <v>44501</v>
      </c>
      <c r="W5458" t="s">
        <v>37965</v>
      </c>
      <c r="X5458" t="s">
        <v>40441</v>
      </c>
    </row>
    <row r="5459" spans="1:24">
      <c r="A5459">
        <f>HYPERLINK("https://www.philgeps.gov.ph/GEPSNONPILOT/Tender/SplashBidNoticeAbstractUI.aspx?menuIndex=3&amp;refID=7044209&amp;Result=3","7044209")</f>
        <v>0</v>
      </c>
      <c r="B5459" t="s">
        <v>1755</v>
      </c>
      <c r="C5459" t="s">
        <v>8281</v>
      </c>
      <c r="D5459" t="s">
        <v>16200</v>
      </c>
      <c r="E5459" t="s">
        <v>21137</v>
      </c>
      <c r="F5459" t="s">
        <v>28198</v>
      </c>
      <c r="G5459" t="s">
        <v>28207</v>
      </c>
      <c r="H5459" t="s">
        <v>28215</v>
      </c>
      <c r="I5459" t="s">
        <v>4505</v>
      </c>
      <c r="J5459" t="s">
        <v>31815</v>
      </c>
      <c r="K5459" t="s">
        <v>36706</v>
      </c>
      <c r="M5459" t="s">
        <v>38868</v>
      </c>
      <c r="N5459" t="s">
        <v>40436</v>
      </c>
      <c r="O5459" t="s">
        <v>40437</v>
      </c>
      <c r="P5459">
        <v>0</v>
      </c>
      <c r="Q5459">
        <v>1</v>
      </c>
      <c r="R5459" t="s">
        <v>40440</v>
      </c>
      <c r="S5459" t="s">
        <v>40603</v>
      </c>
      <c r="T5459" t="s">
        <v>42385</v>
      </c>
      <c r="U5459" t="s">
        <v>47249</v>
      </c>
      <c r="W5459" t="s">
        <v>38868</v>
      </c>
      <c r="X5459" t="s">
        <v>40441</v>
      </c>
    </row>
    <row r="5460" spans="1:24">
      <c r="A5460">
        <f>HYPERLINK("https://www.philgeps.gov.ph/GEPSNONPILOT/Tender/SplashBidNoticeAbstractUI.aspx?menuIndex=3&amp;refID=7044215&amp;Result=3","7044215")</f>
        <v>0</v>
      </c>
      <c r="B5460" t="s">
        <v>1790</v>
      </c>
      <c r="C5460" t="s">
        <v>8282</v>
      </c>
      <c r="D5460" t="s">
        <v>16236</v>
      </c>
      <c r="E5460" t="s">
        <v>21138</v>
      </c>
      <c r="F5460" t="s">
        <v>28198</v>
      </c>
      <c r="G5460" t="s">
        <v>28205</v>
      </c>
      <c r="H5460" t="s">
        <v>28215</v>
      </c>
      <c r="I5460" t="s">
        <v>28228</v>
      </c>
      <c r="J5460" t="s">
        <v>31816</v>
      </c>
      <c r="K5460" t="s">
        <v>36701</v>
      </c>
      <c r="M5460" t="s">
        <v>38906</v>
      </c>
      <c r="N5460" t="s">
        <v>40436</v>
      </c>
      <c r="O5460" t="s">
        <v>40437</v>
      </c>
      <c r="P5460">
        <v>0</v>
      </c>
      <c r="Q5460">
        <v>0</v>
      </c>
      <c r="R5460" t="s">
        <v>40440</v>
      </c>
      <c r="S5460" t="s">
        <v>40603</v>
      </c>
      <c r="T5460" t="s">
        <v>42299</v>
      </c>
      <c r="U5460" t="s">
        <v>47250</v>
      </c>
      <c r="W5460" t="s">
        <v>38906</v>
      </c>
      <c r="X5460" t="s">
        <v>40441</v>
      </c>
    </row>
    <row r="5461" spans="1:24">
      <c r="A5461">
        <f>HYPERLINK("https://www.philgeps.gov.ph/GEPSNONPILOT/Tender/SplashBidNoticeAbstractUI.aspx?menuIndex=3&amp;refID=7044196&amp;Result=3","7044196")</f>
        <v>0</v>
      </c>
      <c r="B5461" t="s">
        <v>1755</v>
      </c>
      <c r="C5461" t="s">
        <v>8283</v>
      </c>
      <c r="D5461" t="s">
        <v>16200</v>
      </c>
      <c r="E5461" t="s">
        <v>21139</v>
      </c>
      <c r="F5461" t="s">
        <v>28198</v>
      </c>
      <c r="G5461" t="s">
        <v>28207</v>
      </c>
      <c r="H5461" t="s">
        <v>28215</v>
      </c>
      <c r="I5461" t="s">
        <v>3774</v>
      </c>
      <c r="J5461" t="s">
        <v>28594</v>
      </c>
      <c r="K5461" t="s">
        <v>36706</v>
      </c>
      <c r="M5461" t="s">
        <v>38868</v>
      </c>
      <c r="N5461" t="s">
        <v>40436</v>
      </c>
      <c r="O5461" t="s">
        <v>40437</v>
      </c>
      <c r="P5461">
        <v>0</v>
      </c>
      <c r="Q5461">
        <v>2</v>
      </c>
      <c r="R5461" t="s">
        <v>40440</v>
      </c>
      <c r="S5461" t="s">
        <v>40603</v>
      </c>
      <c r="T5461" t="s">
        <v>42385</v>
      </c>
      <c r="U5461" t="s">
        <v>47251</v>
      </c>
      <c r="W5461" t="s">
        <v>38868</v>
      </c>
      <c r="X5461" t="s">
        <v>40441</v>
      </c>
    </row>
    <row r="5462" spans="1:24">
      <c r="A5462">
        <f>HYPERLINK("https://www.philgeps.gov.ph/GEPSNONPILOT/Tender/SplashBidNoticeAbstractUI.aspx?menuIndex=3&amp;refID=7044214&amp;Result=3","7044214")</f>
        <v>0</v>
      </c>
      <c r="B5462" t="s">
        <v>657</v>
      </c>
      <c r="C5462" t="s">
        <v>8284</v>
      </c>
      <c r="D5462" t="s">
        <v>16260</v>
      </c>
      <c r="E5462" t="s">
        <v>21140</v>
      </c>
      <c r="F5462" t="s">
        <v>28198</v>
      </c>
      <c r="G5462" t="s">
        <v>28207</v>
      </c>
      <c r="H5462" t="s">
        <v>28215</v>
      </c>
      <c r="I5462" t="s">
        <v>5100</v>
      </c>
      <c r="J5462" t="s">
        <v>31817</v>
      </c>
      <c r="K5462" t="s">
        <v>36707</v>
      </c>
      <c r="M5462" t="s">
        <v>37653</v>
      </c>
      <c r="N5462" t="s">
        <v>40436</v>
      </c>
      <c r="O5462" t="s">
        <v>40437</v>
      </c>
      <c r="P5462">
        <v>0</v>
      </c>
      <c r="Q5462">
        <v>3</v>
      </c>
      <c r="R5462" t="s">
        <v>40440</v>
      </c>
      <c r="S5462" t="s">
        <v>40603</v>
      </c>
      <c r="T5462" t="s">
        <v>42158</v>
      </c>
      <c r="U5462" t="s">
        <v>47252</v>
      </c>
      <c r="W5462" t="s">
        <v>37653</v>
      </c>
      <c r="X5462" t="s">
        <v>40441</v>
      </c>
    </row>
    <row r="5463" spans="1:24">
      <c r="A5463">
        <f>HYPERLINK("https://www.philgeps.gov.ph/GEPSNONPILOT/Tender/SplashBidNoticeAbstractUI.aspx?menuIndex=3&amp;refID=7044212&amp;Result=3","7044212")</f>
        <v>0</v>
      </c>
      <c r="B5463" t="s">
        <v>1804</v>
      </c>
      <c r="C5463" t="s">
        <v>8285</v>
      </c>
      <c r="D5463" t="s">
        <v>16210</v>
      </c>
      <c r="E5463" t="s">
        <v>21141</v>
      </c>
      <c r="F5463" t="s">
        <v>28198</v>
      </c>
      <c r="G5463" t="s">
        <v>28205</v>
      </c>
      <c r="H5463" t="s">
        <v>28215</v>
      </c>
      <c r="I5463" t="s">
        <v>4200</v>
      </c>
      <c r="J5463" t="s">
        <v>29127</v>
      </c>
      <c r="K5463" t="s">
        <v>36693</v>
      </c>
      <c r="M5463" t="s">
        <v>38922</v>
      </c>
      <c r="N5463" t="s">
        <v>40436</v>
      </c>
      <c r="O5463" t="s">
        <v>40437</v>
      </c>
      <c r="P5463">
        <v>0</v>
      </c>
      <c r="Q5463">
        <v>3</v>
      </c>
      <c r="R5463" t="s">
        <v>40440</v>
      </c>
      <c r="S5463" t="s">
        <v>40603</v>
      </c>
      <c r="T5463" t="s">
        <v>42133</v>
      </c>
      <c r="U5463" t="s">
        <v>47253</v>
      </c>
      <c r="V5463" t="s">
        <v>54312</v>
      </c>
      <c r="W5463" t="s">
        <v>38922</v>
      </c>
      <c r="X5463" t="s">
        <v>40441</v>
      </c>
    </row>
    <row r="5464" spans="1:24">
      <c r="A5464">
        <f>HYPERLINK("https://www.philgeps.gov.ph/GEPSNONPILOT/Tender/SplashBidNoticeAbstractUI.aspx?menuIndex=3&amp;refID=7044200&amp;Result=3","7044200")</f>
        <v>0</v>
      </c>
      <c r="B5464" t="s">
        <v>1755</v>
      </c>
      <c r="C5464" t="s">
        <v>8286</v>
      </c>
      <c r="D5464" t="s">
        <v>16200</v>
      </c>
      <c r="E5464" t="s">
        <v>21142</v>
      </c>
      <c r="F5464" t="s">
        <v>28198</v>
      </c>
      <c r="G5464" t="s">
        <v>28207</v>
      </c>
      <c r="H5464" t="s">
        <v>28215</v>
      </c>
      <c r="I5464" t="s">
        <v>4505</v>
      </c>
      <c r="J5464" t="s">
        <v>31818</v>
      </c>
      <c r="K5464" t="s">
        <v>36706</v>
      </c>
      <c r="M5464" t="s">
        <v>38868</v>
      </c>
      <c r="N5464" t="s">
        <v>40436</v>
      </c>
      <c r="O5464" t="s">
        <v>40437</v>
      </c>
      <c r="P5464">
        <v>0</v>
      </c>
      <c r="Q5464">
        <v>0</v>
      </c>
      <c r="R5464" t="s">
        <v>40440</v>
      </c>
      <c r="S5464" t="s">
        <v>40603</v>
      </c>
      <c r="T5464" t="s">
        <v>42385</v>
      </c>
      <c r="U5464" t="s">
        <v>47254</v>
      </c>
      <c r="W5464" t="s">
        <v>38868</v>
      </c>
      <c r="X5464" t="s">
        <v>40441</v>
      </c>
    </row>
    <row r="5465" spans="1:24">
      <c r="A5465">
        <f>HYPERLINK("https://www.philgeps.gov.ph/GEPSNONPILOT/Tender/SplashBidNoticeAbstractUI.aspx?menuIndex=3&amp;refID=7044210&amp;Result=3","7044210")</f>
        <v>0</v>
      </c>
      <c r="B5465" t="s">
        <v>1755</v>
      </c>
      <c r="C5465" t="s">
        <v>8287</v>
      </c>
      <c r="D5465" t="s">
        <v>16200</v>
      </c>
      <c r="E5465" t="s">
        <v>21143</v>
      </c>
      <c r="F5465" t="s">
        <v>28198</v>
      </c>
      <c r="G5465" t="s">
        <v>28207</v>
      </c>
      <c r="H5465" t="s">
        <v>28215</v>
      </c>
      <c r="I5465" t="s">
        <v>28227</v>
      </c>
      <c r="J5465" t="s">
        <v>31819</v>
      </c>
      <c r="K5465" t="s">
        <v>36706</v>
      </c>
      <c r="M5465" t="s">
        <v>38868</v>
      </c>
      <c r="N5465" t="s">
        <v>40436</v>
      </c>
      <c r="O5465" t="s">
        <v>40437</v>
      </c>
      <c r="P5465">
        <v>0</v>
      </c>
      <c r="Q5465">
        <v>0</v>
      </c>
      <c r="R5465" t="s">
        <v>40440</v>
      </c>
      <c r="S5465" t="s">
        <v>40603</v>
      </c>
      <c r="T5465" t="s">
        <v>42385</v>
      </c>
      <c r="U5465" t="s">
        <v>47255</v>
      </c>
      <c r="W5465" t="s">
        <v>38868</v>
      </c>
      <c r="X5465" t="s">
        <v>40441</v>
      </c>
    </row>
    <row r="5466" spans="1:24">
      <c r="A5466">
        <f>HYPERLINK("https://www.philgeps.gov.ph/GEPSNONPILOT/Tender/SplashBidNoticeAbstractUI.aspx?menuIndex=3&amp;refID=7044201&amp;Result=3","7044201")</f>
        <v>0</v>
      </c>
      <c r="B5466" t="s">
        <v>1798</v>
      </c>
      <c r="C5466" t="s">
        <v>8288</v>
      </c>
      <c r="D5466" t="s">
        <v>16266</v>
      </c>
      <c r="E5466" t="s">
        <v>21144</v>
      </c>
      <c r="F5466" t="s">
        <v>28198</v>
      </c>
      <c r="G5466" t="s">
        <v>28205</v>
      </c>
      <c r="H5466" t="s">
        <v>28215</v>
      </c>
      <c r="I5466" t="s">
        <v>4219</v>
      </c>
      <c r="J5466" t="s">
        <v>31820</v>
      </c>
      <c r="K5466" t="s">
        <v>36695</v>
      </c>
      <c r="L5466" t="s">
        <v>1798</v>
      </c>
      <c r="M5466" t="s">
        <v>38915</v>
      </c>
      <c r="N5466" t="s">
        <v>40436</v>
      </c>
      <c r="O5466" t="s">
        <v>40437</v>
      </c>
      <c r="P5466">
        <v>0</v>
      </c>
      <c r="Q5466">
        <v>4</v>
      </c>
      <c r="R5466" t="s">
        <v>40440</v>
      </c>
      <c r="S5466" t="s">
        <v>40603</v>
      </c>
      <c r="T5466" t="s">
        <v>42125</v>
      </c>
      <c r="U5466" t="s">
        <v>47256</v>
      </c>
      <c r="V5466" t="s">
        <v>54310</v>
      </c>
      <c r="W5466" t="s">
        <v>38915</v>
      </c>
      <c r="X5466" t="s">
        <v>40441</v>
      </c>
    </row>
    <row r="5467" spans="1:24">
      <c r="A5467">
        <f>HYPERLINK("https://www.philgeps.gov.ph/GEPSNONPILOT/Tender/SplashBidNoticeAbstractUI.aspx?menuIndex=3&amp;refID=7044213&amp;Result=3","7044213")</f>
        <v>0</v>
      </c>
      <c r="B5467" t="s">
        <v>1804</v>
      </c>
      <c r="C5467" t="s">
        <v>8289</v>
      </c>
      <c r="D5467" t="s">
        <v>16210</v>
      </c>
      <c r="E5467" t="s">
        <v>21145</v>
      </c>
      <c r="F5467" t="s">
        <v>28198</v>
      </c>
      <c r="G5467" t="s">
        <v>28205</v>
      </c>
      <c r="H5467" t="s">
        <v>28215</v>
      </c>
      <c r="I5467" t="s">
        <v>4200</v>
      </c>
      <c r="J5467" t="s">
        <v>31821</v>
      </c>
      <c r="K5467" t="s">
        <v>36693</v>
      </c>
      <c r="M5467" t="s">
        <v>38922</v>
      </c>
      <c r="N5467" t="s">
        <v>40436</v>
      </c>
      <c r="O5467" t="s">
        <v>40437</v>
      </c>
      <c r="P5467">
        <v>0</v>
      </c>
      <c r="Q5467">
        <v>3</v>
      </c>
      <c r="R5467" t="s">
        <v>40440</v>
      </c>
      <c r="S5467" t="s">
        <v>40603</v>
      </c>
      <c r="T5467" t="s">
        <v>42133</v>
      </c>
      <c r="U5467" t="s">
        <v>47253</v>
      </c>
      <c r="V5467" t="s">
        <v>54312</v>
      </c>
      <c r="W5467" t="s">
        <v>38922</v>
      </c>
      <c r="X5467" t="s">
        <v>40441</v>
      </c>
    </row>
    <row r="5468" spans="1:24">
      <c r="A5468">
        <f>HYPERLINK("https://www.philgeps.gov.ph/GEPSNONPILOT/Tender/SplashBidNoticeAbstractUI.aspx?menuIndex=3&amp;refID=7044228&amp;Result=3","7044228")</f>
        <v>0</v>
      </c>
      <c r="B5468" t="s">
        <v>1805</v>
      </c>
      <c r="C5468" t="s">
        <v>8290</v>
      </c>
      <c r="D5468" t="s">
        <v>16196</v>
      </c>
      <c r="E5468" t="s">
        <v>21146</v>
      </c>
      <c r="F5468" t="s">
        <v>28198</v>
      </c>
      <c r="G5468" t="s">
        <v>28207</v>
      </c>
      <c r="H5468" t="s">
        <v>28215</v>
      </c>
      <c r="I5468" t="s">
        <v>28240</v>
      </c>
      <c r="J5468" t="s">
        <v>31822</v>
      </c>
      <c r="K5468" t="s">
        <v>36706</v>
      </c>
      <c r="M5468" t="s">
        <v>38923</v>
      </c>
      <c r="N5468" t="s">
        <v>40436</v>
      </c>
      <c r="O5468" t="s">
        <v>40437</v>
      </c>
      <c r="P5468">
        <v>0</v>
      </c>
      <c r="Q5468">
        <v>0</v>
      </c>
      <c r="R5468" t="s">
        <v>40440</v>
      </c>
      <c r="S5468" t="s">
        <v>40603</v>
      </c>
      <c r="T5468" t="s">
        <v>42233</v>
      </c>
      <c r="U5468" t="s">
        <v>47257</v>
      </c>
      <c r="W5468" t="s">
        <v>38923</v>
      </c>
      <c r="X5468" t="s">
        <v>40441</v>
      </c>
    </row>
    <row r="5469" spans="1:24">
      <c r="A5469">
        <f>HYPERLINK("https://www.philgeps.gov.ph/GEPSNONPILOT/Tender/SplashBidNoticeAbstractUI.aspx?menuIndex=3&amp;refID=7044227&amp;Result=3","7044227")</f>
        <v>0</v>
      </c>
      <c r="B5469" t="s">
        <v>1805</v>
      </c>
      <c r="C5469" t="s">
        <v>8291</v>
      </c>
      <c r="D5469" t="s">
        <v>16196</v>
      </c>
      <c r="E5469" t="s">
        <v>21147</v>
      </c>
      <c r="F5469" t="s">
        <v>28198</v>
      </c>
      <c r="G5469" t="s">
        <v>28205</v>
      </c>
      <c r="H5469" t="s">
        <v>28215</v>
      </c>
      <c r="I5469" t="s">
        <v>28224</v>
      </c>
      <c r="J5469" t="s">
        <v>31823</v>
      </c>
      <c r="K5469" t="s">
        <v>36694</v>
      </c>
      <c r="M5469" t="s">
        <v>38923</v>
      </c>
      <c r="N5469" t="s">
        <v>40436</v>
      </c>
      <c r="O5469" t="s">
        <v>40437</v>
      </c>
      <c r="P5469">
        <v>0</v>
      </c>
      <c r="Q5469">
        <v>3</v>
      </c>
      <c r="R5469" t="s">
        <v>40440</v>
      </c>
      <c r="S5469" t="s">
        <v>40603</v>
      </c>
      <c r="T5469" t="s">
        <v>42390</v>
      </c>
      <c r="U5469" t="s">
        <v>47258</v>
      </c>
      <c r="W5469" t="s">
        <v>38923</v>
      </c>
      <c r="X5469" t="s">
        <v>40441</v>
      </c>
    </row>
    <row r="5470" spans="1:24">
      <c r="A5470">
        <f>HYPERLINK("https://www.philgeps.gov.ph/GEPSNONPILOT/Tender/SplashBidNoticeAbstractUI.aspx?menuIndex=3&amp;refID=7044229&amp;Result=3","7044229")</f>
        <v>0</v>
      </c>
      <c r="B5470" t="s">
        <v>1806</v>
      </c>
      <c r="C5470" t="s">
        <v>8292</v>
      </c>
      <c r="D5470" t="s">
        <v>16234</v>
      </c>
      <c r="E5470" t="s">
        <v>21148</v>
      </c>
      <c r="F5470" t="s">
        <v>28198</v>
      </c>
      <c r="G5470" t="s">
        <v>28207</v>
      </c>
      <c r="H5470" t="s">
        <v>28215</v>
      </c>
      <c r="I5470" t="s">
        <v>5656</v>
      </c>
      <c r="J5470" t="s">
        <v>31824</v>
      </c>
      <c r="K5470" t="s">
        <v>36688</v>
      </c>
      <c r="M5470" t="s">
        <v>38924</v>
      </c>
      <c r="N5470" t="s">
        <v>40436</v>
      </c>
      <c r="O5470" t="s">
        <v>40437</v>
      </c>
      <c r="P5470">
        <v>0</v>
      </c>
      <c r="Q5470">
        <v>3</v>
      </c>
      <c r="R5470" t="s">
        <v>40440</v>
      </c>
      <c r="S5470" t="s">
        <v>40603</v>
      </c>
      <c r="T5470" t="s">
        <v>42205</v>
      </c>
      <c r="U5470" t="s">
        <v>47259</v>
      </c>
      <c r="W5470" t="s">
        <v>38924</v>
      </c>
      <c r="X5470" t="s">
        <v>40441</v>
      </c>
    </row>
    <row r="5471" spans="1:24">
      <c r="A5471">
        <f>HYPERLINK("https://www.philgeps.gov.ph/GEPSNONPILOT/Tender/SplashBidNoticeAbstractUI.aspx?menuIndex=3&amp;refID=7044225&amp;Result=3","7044225")</f>
        <v>0</v>
      </c>
      <c r="B5471" t="s">
        <v>1807</v>
      </c>
      <c r="C5471" t="s">
        <v>8293</v>
      </c>
      <c r="D5471" t="s">
        <v>16219</v>
      </c>
      <c r="E5471" t="s">
        <v>21149</v>
      </c>
      <c r="F5471" t="s">
        <v>28198</v>
      </c>
      <c r="G5471" t="s">
        <v>28205</v>
      </c>
      <c r="H5471" t="s">
        <v>28215</v>
      </c>
      <c r="I5471" t="s">
        <v>4168</v>
      </c>
      <c r="J5471" t="s">
        <v>28378</v>
      </c>
      <c r="K5471" t="s">
        <v>36701</v>
      </c>
      <c r="M5471" t="s">
        <v>38925</v>
      </c>
      <c r="N5471" t="s">
        <v>40436</v>
      </c>
      <c r="O5471" t="s">
        <v>40437</v>
      </c>
      <c r="P5471">
        <v>0</v>
      </c>
      <c r="Q5471">
        <v>1</v>
      </c>
      <c r="R5471" t="s">
        <v>40440</v>
      </c>
      <c r="S5471" t="s">
        <v>40603</v>
      </c>
      <c r="T5471" t="s">
        <v>42320</v>
      </c>
      <c r="U5471" t="s">
        <v>47260</v>
      </c>
      <c r="W5471" t="s">
        <v>38925</v>
      </c>
      <c r="X5471" t="s">
        <v>40441</v>
      </c>
    </row>
    <row r="5472" spans="1:24">
      <c r="A5472">
        <f>HYPERLINK("https://www.philgeps.gov.ph/GEPSNONPILOT/Tender/SplashBidNoticeAbstractUI.aspx?menuIndex=3&amp;refID=7044224&amp;Result=3","7044224")</f>
        <v>0</v>
      </c>
      <c r="B5472" t="s">
        <v>1679</v>
      </c>
      <c r="C5472" t="s">
        <v>8294</v>
      </c>
      <c r="D5472" t="s">
        <v>16200</v>
      </c>
      <c r="E5472" t="s">
        <v>17471</v>
      </c>
      <c r="F5472" t="s">
        <v>28198</v>
      </c>
      <c r="G5472" t="s">
        <v>28210</v>
      </c>
      <c r="H5472" t="s">
        <v>28215</v>
      </c>
      <c r="I5472" t="s">
        <v>5082</v>
      </c>
      <c r="J5472" t="s">
        <v>31825</v>
      </c>
      <c r="K5472" t="s">
        <v>36691</v>
      </c>
      <c r="M5472" t="s">
        <v>38926</v>
      </c>
      <c r="N5472" t="s">
        <v>40436</v>
      </c>
      <c r="O5472" t="s">
        <v>40437</v>
      </c>
      <c r="P5472">
        <v>0</v>
      </c>
      <c r="Q5472">
        <v>10</v>
      </c>
      <c r="R5472" t="s">
        <v>40440</v>
      </c>
      <c r="S5472" t="s">
        <v>40603</v>
      </c>
      <c r="T5472" t="s">
        <v>42185</v>
      </c>
      <c r="U5472" t="s">
        <v>47261</v>
      </c>
      <c r="W5472" t="s">
        <v>38926</v>
      </c>
      <c r="X5472" t="s">
        <v>40441</v>
      </c>
    </row>
    <row r="5473" spans="1:24">
      <c r="A5473">
        <f>HYPERLINK("https://www.philgeps.gov.ph/GEPSNONPILOT/Tender/SplashBidNoticeAbstractUI.aspx?menuIndex=3&amp;refID=7044231&amp;Result=3","7044231")</f>
        <v>0</v>
      </c>
      <c r="B5473" t="s">
        <v>1808</v>
      </c>
      <c r="C5473" t="s">
        <v>8295</v>
      </c>
      <c r="D5473" t="s">
        <v>16196</v>
      </c>
      <c r="E5473" t="s">
        <v>16322</v>
      </c>
      <c r="F5473" t="s">
        <v>28198</v>
      </c>
      <c r="G5473" t="s">
        <v>28205</v>
      </c>
      <c r="H5473" t="s">
        <v>28215</v>
      </c>
      <c r="I5473" t="s">
        <v>5100</v>
      </c>
      <c r="J5473" t="s">
        <v>31826</v>
      </c>
      <c r="K5473" t="s">
        <v>36701</v>
      </c>
      <c r="M5473" t="s">
        <v>38927</v>
      </c>
      <c r="N5473" t="s">
        <v>40436</v>
      </c>
      <c r="O5473" t="s">
        <v>40437</v>
      </c>
      <c r="P5473">
        <v>0</v>
      </c>
      <c r="Q5473">
        <v>0</v>
      </c>
      <c r="R5473" t="s">
        <v>40440</v>
      </c>
      <c r="S5473" t="s">
        <v>40603</v>
      </c>
      <c r="T5473" t="s">
        <v>42115</v>
      </c>
      <c r="U5473" t="s">
        <v>47262</v>
      </c>
      <c r="W5473" t="s">
        <v>38927</v>
      </c>
      <c r="X5473" t="s">
        <v>40441</v>
      </c>
    </row>
    <row r="5474" spans="1:24">
      <c r="A5474">
        <f>HYPERLINK("https://www.philgeps.gov.ph/GEPSNONPILOT/Tender/SplashBidNoticeAbstractUI.aspx?menuIndex=3&amp;refID=7044226&amp;Result=3","7044226")</f>
        <v>0</v>
      </c>
      <c r="B5474" t="s">
        <v>1767</v>
      </c>
      <c r="C5474" t="s">
        <v>8296</v>
      </c>
      <c r="D5474" t="s">
        <v>16266</v>
      </c>
      <c r="E5474" t="s">
        <v>21150</v>
      </c>
      <c r="F5474" t="s">
        <v>28198</v>
      </c>
      <c r="G5474" t="s">
        <v>28205</v>
      </c>
      <c r="H5474" t="s">
        <v>28215</v>
      </c>
      <c r="I5474" t="s">
        <v>28248</v>
      </c>
      <c r="J5474" t="s">
        <v>31827</v>
      </c>
      <c r="K5474" t="s">
        <v>36707</v>
      </c>
      <c r="M5474" t="s">
        <v>38882</v>
      </c>
      <c r="N5474" t="s">
        <v>40436</v>
      </c>
      <c r="O5474" t="s">
        <v>40437</v>
      </c>
      <c r="P5474">
        <v>0</v>
      </c>
      <c r="Q5474">
        <v>1</v>
      </c>
      <c r="R5474" t="s">
        <v>40440</v>
      </c>
      <c r="S5474" t="s">
        <v>40603</v>
      </c>
      <c r="T5474" t="s">
        <v>42110</v>
      </c>
      <c r="U5474" t="s">
        <v>47263</v>
      </c>
      <c r="W5474" t="s">
        <v>38882</v>
      </c>
      <c r="X5474" t="s">
        <v>40441</v>
      </c>
    </row>
    <row r="5475" spans="1:24">
      <c r="A5475">
        <f>HYPERLINK("https://www.philgeps.gov.ph/GEPSNONPILOT/Tender/SplashBidNoticeAbstractUI.aspx?menuIndex=3&amp;refID=7044233&amp;Result=3","7044233")</f>
        <v>0</v>
      </c>
      <c r="B5475" t="s">
        <v>1807</v>
      </c>
      <c r="C5475" t="s">
        <v>8297</v>
      </c>
      <c r="D5475" t="s">
        <v>16219</v>
      </c>
      <c r="E5475" t="s">
        <v>21151</v>
      </c>
      <c r="F5475" t="s">
        <v>28198</v>
      </c>
      <c r="G5475" t="s">
        <v>28205</v>
      </c>
      <c r="H5475" t="s">
        <v>28215</v>
      </c>
      <c r="I5475" t="s">
        <v>3774</v>
      </c>
      <c r="J5475" t="s">
        <v>28361</v>
      </c>
      <c r="K5475" t="s">
        <v>36701</v>
      </c>
      <c r="M5475" t="s">
        <v>38925</v>
      </c>
      <c r="N5475" t="s">
        <v>40436</v>
      </c>
      <c r="O5475" t="s">
        <v>40437</v>
      </c>
      <c r="P5475">
        <v>0</v>
      </c>
      <c r="Q5475">
        <v>0</v>
      </c>
      <c r="R5475" t="s">
        <v>40440</v>
      </c>
      <c r="S5475" t="s">
        <v>40603</v>
      </c>
      <c r="T5475" t="s">
        <v>42320</v>
      </c>
      <c r="U5475" t="s">
        <v>47264</v>
      </c>
      <c r="W5475" t="s">
        <v>38925</v>
      </c>
      <c r="X5475" t="s">
        <v>40441</v>
      </c>
    </row>
    <row r="5476" spans="1:24">
      <c r="A5476">
        <f>HYPERLINK("https://www.philgeps.gov.ph/GEPSNONPILOT/Tender/SplashBidNoticeAbstractUI.aspx?menuIndex=3&amp;refID=7044211&amp;Result=3","7044211")</f>
        <v>0</v>
      </c>
      <c r="B5476" t="s">
        <v>471</v>
      </c>
      <c r="C5476" t="s">
        <v>8298</v>
      </c>
      <c r="D5476" t="s">
        <v>16188</v>
      </c>
      <c r="E5476" t="s">
        <v>21152</v>
      </c>
      <c r="F5476" t="s">
        <v>28198</v>
      </c>
      <c r="G5476" t="s">
        <v>28207</v>
      </c>
      <c r="H5476" t="s">
        <v>28215</v>
      </c>
      <c r="I5476" t="s">
        <v>28247</v>
      </c>
      <c r="J5476" t="s">
        <v>28606</v>
      </c>
      <c r="K5476" t="s">
        <v>36694</v>
      </c>
      <c r="M5476" t="s">
        <v>37456</v>
      </c>
      <c r="N5476" t="s">
        <v>40436</v>
      </c>
      <c r="O5476" t="s">
        <v>40437</v>
      </c>
      <c r="P5476">
        <v>0</v>
      </c>
      <c r="Q5476">
        <v>9</v>
      </c>
      <c r="R5476" t="s">
        <v>40440</v>
      </c>
      <c r="S5476" t="s">
        <v>40603</v>
      </c>
      <c r="T5476" t="s">
        <v>42185</v>
      </c>
      <c r="U5476" t="s">
        <v>47265</v>
      </c>
      <c r="W5476" t="s">
        <v>37456</v>
      </c>
      <c r="X5476" t="s">
        <v>40441</v>
      </c>
    </row>
    <row r="5477" spans="1:24">
      <c r="A5477">
        <f>HYPERLINK("https://www.philgeps.gov.ph/GEPSNONPILOT/Tender/SplashBidNoticeAbstractUI.aspx?menuIndex=3&amp;refID=7044232&amp;Result=3","7044232")</f>
        <v>0</v>
      </c>
      <c r="B5477" t="s">
        <v>1806</v>
      </c>
      <c r="C5477" t="s">
        <v>8292</v>
      </c>
      <c r="D5477" t="s">
        <v>16234</v>
      </c>
      <c r="E5477" t="s">
        <v>21153</v>
      </c>
      <c r="F5477" t="s">
        <v>28198</v>
      </c>
      <c r="G5477" t="s">
        <v>28207</v>
      </c>
      <c r="H5477" t="s">
        <v>28215</v>
      </c>
      <c r="I5477" t="s">
        <v>5656</v>
      </c>
      <c r="J5477" t="s">
        <v>31828</v>
      </c>
      <c r="K5477" t="s">
        <v>36688</v>
      </c>
      <c r="M5477" t="s">
        <v>38924</v>
      </c>
      <c r="N5477" t="s">
        <v>40436</v>
      </c>
      <c r="O5477" t="s">
        <v>40437</v>
      </c>
      <c r="P5477">
        <v>0</v>
      </c>
      <c r="Q5477">
        <v>2</v>
      </c>
      <c r="R5477" t="s">
        <v>40440</v>
      </c>
      <c r="S5477" t="s">
        <v>40603</v>
      </c>
      <c r="T5477" t="s">
        <v>42205</v>
      </c>
      <c r="U5477" t="s">
        <v>47259</v>
      </c>
      <c r="W5477" t="s">
        <v>38924</v>
      </c>
      <c r="X5477" t="s">
        <v>40441</v>
      </c>
    </row>
    <row r="5478" spans="1:24">
      <c r="A5478">
        <f>HYPERLINK("https://www.philgeps.gov.ph/GEPSNONPILOT/Tender/SplashBidNoticeAbstractUI.aspx?menuIndex=3&amp;refID=7044218&amp;Result=3","7044218")</f>
        <v>0</v>
      </c>
      <c r="B5478" t="s">
        <v>1790</v>
      </c>
      <c r="C5478" t="s">
        <v>8299</v>
      </c>
      <c r="D5478" t="s">
        <v>16236</v>
      </c>
      <c r="E5478" t="s">
        <v>21154</v>
      </c>
      <c r="F5478" t="s">
        <v>28198</v>
      </c>
      <c r="G5478" t="s">
        <v>28205</v>
      </c>
      <c r="H5478" t="s">
        <v>28215</v>
      </c>
      <c r="I5478" t="s">
        <v>7310</v>
      </c>
      <c r="J5478" t="s">
        <v>28379</v>
      </c>
      <c r="K5478" t="s">
        <v>36701</v>
      </c>
      <c r="M5478" t="s">
        <v>38906</v>
      </c>
      <c r="N5478" t="s">
        <v>40436</v>
      </c>
      <c r="O5478" t="s">
        <v>40437</v>
      </c>
      <c r="P5478">
        <v>0</v>
      </c>
      <c r="Q5478">
        <v>7</v>
      </c>
      <c r="R5478" t="s">
        <v>40440</v>
      </c>
      <c r="S5478" t="s">
        <v>40603</v>
      </c>
      <c r="T5478" t="s">
        <v>42159</v>
      </c>
      <c r="U5478" t="s">
        <v>47266</v>
      </c>
      <c r="W5478" t="s">
        <v>38906</v>
      </c>
      <c r="X5478" t="s">
        <v>40441</v>
      </c>
    </row>
    <row r="5479" spans="1:24">
      <c r="A5479">
        <f>HYPERLINK("https://www.philgeps.gov.ph/GEPSNONPILOT/Tender/SplashBidNoticeAbstractUI.aspx?menuIndex=3&amp;refID=7044234&amp;Result=3","7044234")</f>
        <v>0</v>
      </c>
      <c r="B5479" t="s">
        <v>1809</v>
      </c>
      <c r="C5479" t="s">
        <v>8300</v>
      </c>
      <c r="D5479" t="s">
        <v>16210</v>
      </c>
      <c r="E5479" t="s">
        <v>16352</v>
      </c>
      <c r="F5479" t="s">
        <v>28198</v>
      </c>
      <c r="G5479" t="s">
        <v>28205</v>
      </c>
      <c r="H5479" t="s">
        <v>28217</v>
      </c>
      <c r="I5479" t="s">
        <v>6786</v>
      </c>
      <c r="J5479" t="s">
        <v>31829</v>
      </c>
      <c r="K5479" t="s">
        <v>36705</v>
      </c>
      <c r="M5479" t="s">
        <v>38928</v>
      </c>
      <c r="N5479" t="s">
        <v>40436</v>
      </c>
      <c r="O5479" t="s">
        <v>40437</v>
      </c>
      <c r="P5479">
        <v>0</v>
      </c>
      <c r="Q5479">
        <v>6</v>
      </c>
      <c r="R5479" t="s">
        <v>40440</v>
      </c>
      <c r="S5479" t="s">
        <v>40603</v>
      </c>
      <c r="T5479" t="s">
        <v>42106</v>
      </c>
      <c r="U5479" t="s">
        <v>47267</v>
      </c>
      <c r="V5479" t="s">
        <v>54313</v>
      </c>
      <c r="W5479" t="s">
        <v>38928</v>
      </c>
      <c r="X5479" t="s">
        <v>40441</v>
      </c>
    </row>
    <row r="5480" spans="1:24">
      <c r="A5480">
        <f>HYPERLINK("https://www.philgeps.gov.ph/GEPSNONPILOT/Tender/SplashBidNoticeAbstractUI.aspx?menuIndex=3&amp;refID=7044221&amp;Result=3","7044221")</f>
        <v>0</v>
      </c>
      <c r="B5480" t="s">
        <v>935</v>
      </c>
      <c r="C5480" t="s">
        <v>8301</v>
      </c>
      <c r="D5480" t="s">
        <v>16210</v>
      </c>
      <c r="E5480" t="s">
        <v>21155</v>
      </c>
      <c r="F5480" t="s">
        <v>28198</v>
      </c>
      <c r="G5480" t="s">
        <v>28205</v>
      </c>
      <c r="H5480" t="s">
        <v>28215</v>
      </c>
      <c r="I5480" t="s">
        <v>28234</v>
      </c>
      <c r="J5480" t="s">
        <v>31830</v>
      </c>
      <c r="K5480" t="s">
        <v>36689</v>
      </c>
      <c r="M5480" t="s">
        <v>38929</v>
      </c>
      <c r="N5480" t="s">
        <v>40436</v>
      </c>
      <c r="O5480" t="s">
        <v>40437</v>
      </c>
      <c r="P5480">
        <v>0</v>
      </c>
      <c r="Q5480">
        <v>11</v>
      </c>
      <c r="R5480" t="s">
        <v>40440</v>
      </c>
      <c r="S5480" t="s">
        <v>40603</v>
      </c>
      <c r="T5480" t="s">
        <v>42311</v>
      </c>
      <c r="U5480" t="s">
        <v>47268</v>
      </c>
      <c r="V5480" t="s">
        <v>54314</v>
      </c>
      <c r="W5480" t="s">
        <v>38929</v>
      </c>
      <c r="X5480" t="s">
        <v>40441</v>
      </c>
    </row>
    <row r="5481" spans="1:24">
      <c r="A5481">
        <f>HYPERLINK("https://www.philgeps.gov.ph/GEPSNONPILOT/Tender/SplashBidNoticeAbstractUI.aspx?menuIndex=3&amp;refID=7044243&amp;Result=3","7044243")</f>
        <v>0</v>
      </c>
      <c r="B5481" t="s">
        <v>1806</v>
      </c>
      <c r="C5481" t="s">
        <v>8302</v>
      </c>
      <c r="D5481" t="s">
        <v>16234</v>
      </c>
      <c r="E5481" t="s">
        <v>21156</v>
      </c>
      <c r="F5481" t="s">
        <v>28198</v>
      </c>
      <c r="G5481" t="s">
        <v>28207</v>
      </c>
      <c r="H5481" t="s">
        <v>28215</v>
      </c>
      <c r="I5481" t="s">
        <v>5656</v>
      </c>
      <c r="J5481" t="s">
        <v>31831</v>
      </c>
      <c r="K5481" t="s">
        <v>36688</v>
      </c>
      <c r="M5481" t="s">
        <v>38924</v>
      </c>
      <c r="N5481" t="s">
        <v>40436</v>
      </c>
      <c r="O5481" t="s">
        <v>40437</v>
      </c>
      <c r="P5481">
        <v>0</v>
      </c>
      <c r="Q5481">
        <v>1</v>
      </c>
      <c r="R5481" t="s">
        <v>40440</v>
      </c>
      <c r="S5481" t="s">
        <v>40603</v>
      </c>
      <c r="T5481" t="s">
        <v>42205</v>
      </c>
      <c r="U5481" t="s">
        <v>47259</v>
      </c>
      <c r="W5481" t="s">
        <v>38924</v>
      </c>
      <c r="X5481" t="s">
        <v>40441</v>
      </c>
    </row>
    <row r="5482" spans="1:24">
      <c r="A5482">
        <f>HYPERLINK("https://www.philgeps.gov.ph/GEPSNONPILOT/Tender/SplashBidNoticeAbstractUI.aspx?menuIndex=3&amp;refID=7044242&amp;Result=3","7044242")</f>
        <v>0</v>
      </c>
      <c r="B5482" t="s">
        <v>1806</v>
      </c>
      <c r="C5482" t="s">
        <v>8292</v>
      </c>
      <c r="D5482" t="s">
        <v>16234</v>
      </c>
      <c r="E5482" t="s">
        <v>21157</v>
      </c>
      <c r="F5482" t="s">
        <v>28198</v>
      </c>
      <c r="G5482" t="s">
        <v>28207</v>
      </c>
      <c r="H5482" t="s">
        <v>28215</v>
      </c>
      <c r="I5482" t="s">
        <v>5656</v>
      </c>
      <c r="J5482" t="s">
        <v>31832</v>
      </c>
      <c r="K5482" t="s">
        <v>36688</v>
      </c>
      <c r="M5482" t="s">
        <v>38924</v>
      </c>
      <c r="N5482" t="s">
        <v>40436</v>
      </c>
      <c r="O5482" t="s">
        <v>40437</v>
      </c>
      <c r="P5482">
        <v>0</v>
      </c>
      <c r="Q5482">
        <v>1</v>
      </c>
      <c r="R5482" t="s">
        <v>40440</v>
      </c>
      <c r="S5482" t="s">
        <v>40603</v>
      </c>
      <c r="T5482" t="s">
        <v>42205</v>
      </c>
      <c r="U5482" t="s">
        <v>47259</v>
      </c>
      <c r="W5482" t="s">
        <v>38924</v>
      </c>
      <c r="X5482" t="s">
        <v>40441</v>
      </c>
    </row>
    <row r="5483" spans="1:24">
      <c r="A5483">
        <f>HYPERLINK("https://www.philgeps.gov.ph/GEPSNONPILOT/Tender/SplashBidNoticeAbstractUI.aspx?menuIndex=3&amp;refID=7044220&amp;Result=3","7044220")</f>
        <v>0</v>
      </c>
      <c r="B5483" t="s">
        <v>1767</v>
      </c>
      <c r="C5483" t="s">
        <v>8303</v>
      </c>
      <c r="D5483" t="s">
        <v>16266</v>
      </c>
      <c r="E5483" t="s">
        <v>21158</v>
      </c>
      <c r="F5483" t="s">
        <v>28198</v>
      </c>
      <c r="G5483" t="s">
        <v>28205</v>
      </c>
      <c r="H5483" t="s">
        <v>28215</v>
      </c>
      <c r="I5483" t="s">
        <v>4168</v>
      </c>
      <c r="J5483" t="s">
        <v>31833</v>
      </c>
      <c r="K5483" t="s">
        <v>36707</v>
      </c>
      <c r="M5483" t="s">
        <v>38882</v>
      </c>
      <c r="N5483" t="s">
        <v>40436</v>
      </c>
      <c r="O5483" t="s">
        <v>40437</v>
      </c>
      <c r="P5483">
        <v>0</v>
      </c>
      <c r="Q5483">
        <v>1</v>
      </c>
      <c r="R5483" t="s">
        <v>40440</v>
      </c>
      <c r="S5483" t="s">
        <v>40603</v>
      </c>
      <c r="T5483" t="s">
        <v>42110</v>
      </c>
      <c r="U5483" t="s">
        <v>47269</v>
      </c>
      <c r="W5483" t="s">
        <v>38882</v>
      </c>
      <c r="X5483" t="s">
        <v>40441</v>
      </c>
    </row>
    <row r="5484" spans="1:24">
      <c r="A5484">
        <f>HYPERLINK("https://www.philgeps.gov.ph/GEPSNONPILOT/Tender/SplashBidNoticeAbstractUI.aspx?menuIndex=3&amp;refID=7044241&amp;Result=3","7044241")</f>
        <v>0</v>
      </c>
      <c r="B5484" t="s">
        <v>1809</v>
      </c>
      <c r="C5484" t="s">
        <v>8304</v>
      </c>
      <c r="D5484" t="s">
        <v>16210</v>
      </c>
      <c r="E5484" t="s">
        <v>16424</v>
      </c>
      <c r="F5484" t="s">
        <v>28198</v>
      </c>
      <c r="G5484" t="s">
        <v>28205</v>
      </c>
      <c r="H5484" t="s">
        <v>28217</v>
      </c>
      <c r="I5484" t="s">
        <v>28231</v>
      </c>
      <c r="J5484" t="s">
        <v>31834</v>
      </c>
      <c r="K5484" t="s">
        <v>36705</v>
      </c>
      <c r="M5484" t="s">
        <v>38928</v>
      </c>
      <c r="N5484" t="s">
        <v>40436</v>
      </c>
      <c r="O5484" t="s">
        <v>40437</v>
      </c>
      <c r="P5484">
        <v>0</v>
      </c>
      <c r="Q5484">
        <v>2</v>
      </c>
      <c r="R5484" t="s">
        <v>40440</v>
      </c>
      <c r="S5484" t="s">
        <v>40603</v>
      </c>
      <c r="T5484" t="s">
        <v>42106</v>
      </c>
      <c r="U5484" t="s">
        <v>47270</v>
      </c>
      <c r="V5484" t="s">
        <v>54313</v>
      </c>
      <c r="W5484" t="s">
        <v>38928</v>
      </c>
      <c r="X5484" t="s">
        <v>40441</v>
      </c>
    </row>
    <row r="5485" spans="1:24">
      <c r="A5485">
        <f>HYPERLINK("https://www.philgeps.gov.ph/GEPSNONPILOT/Tender/SplashBidNoticeAbstractUI.aspx?menuIndex=3&amp;refID=7044245&amp;Result=3","7044245")</f>
        <v>0</v>
      </c>
      <c r="B5485" t="s">
        <v>1810</v>
      </c>
      <c r="C5485" t="s">
        <v>8305</v>
      </c>
      <c r="D5485" t="s">
        <v>16230</v>
      </c>
      <c r="E5485" t="s">
        <v>18071</v>
      </c>
      <c r="F5485" t="s">
        <v>28200</v>
      </c>
      <c r="G5485" t="s">
        <v>28205</v>
      </c>
      <c r="H5485" t="s">
        <v>28215</v>
      </c>
      <c r="I5485" t="s">
        <v>5100</v>
      </c>
      <c r="J5485" t="s">
        <v>31835</v>
      </c>
      <c r="K5485" t="s">
        <v>36707</v>
      </c>
      <c r="M5485" t="s">
        <v>38930</v>
      </c>
      <c r="N5485" t="s">
        <v>40436</v>
      </c>
      <c r="O5485" t="s">
        <v>40437</v>
      </c>
      <c r="P5485">
        <v>0</v>
      </c>
      <c r="Q5485">
        <v>0</v>
      </c>
      <c r="R5485" t="s">
        <v>40440</v>
      </c>
      <c r="S5485" t="s">
        <v>40603</v>
      </c>
      <c r="T5485" t="s">
        <v>42423</v>
      </c>
      <c r="U5485" t="s">
        <v>47271</v>
      </c>
      <c r="W5485" t="s">
        <v>38930</v>
      </c>
      <c r="X5485" t="s">
        <v>40441</v>
      </c>
    </row>
    <row r="5486" spans="1:24">
      <c r="A5486">
        <f>HYPERLINK("https://www.philgeps.gov.ph/GEPSNONPILOT/Tender/SplashBidNoticeAbstractUI.aspx?menuIndex=3&amp;refID=7044222&amp;Result=3","7044222")</f>
        <v>0</v>
      </c>
      <c r="B5486" t="s">
        <v>1790</v>
      </c>
      <c r="C5486" t="s">
        <v>8306</v>
      </c>
      <c r="D5486" t="s">
        <v>16236</v>
      </c>
      <c r="E5486" t="s">
        <v>21159</v>
      </c>
      <c r="F5486" t="s">
        <v>28198</v>
      </c>
      <c r="G5486" t="s">
        <v>28205</v>
      </c>
      <c r="H5486" t="s">
        <v>28215</v>
      </c>
      <c r="I5486" t="s">
        <v>28225</v>
      </c>
      <c r="J5486" t="s">
        <v>31836</v>
      </c>
      <c r="K5486" t="s">
        <v>36701</v>
      </c>
      <c r="M5486" t="s">
        <v>38906</v>
      </c>
      <c r="N5486" t="s">
        <v>40436</v>
      </c>
      <c r="O5486" t="s">
        <v>40437</v>
      </c>
      <c r="P5486">
        <v>0</v>
      </c>
      <c r="Q5486">
        <v>4</v>
      </c>
      <c r="R5486" t="s">
        <v>40440</v>
      </c>
      <c r="S5486" t="s">
        <v>40603</v>
      </c>
      <c r="T5486" t="s">
        <v>42159</v>
      </c>
      <c r="U5486" t="s">
        <v>47272</v>
      </c>
      <c r="W5486" t="s">
        <v>38906</v>
      </c>
      <c r="X5486" t="s">
        <v>40441</v>
      </c>
    </row>
    <row r="5487" spans="1:24">
      <c r="A5487">
        <f>HYPERLINK("https://www.philgeps.gov.ph/GEPSNONPILOT/Tender/SplashBidNoticeAbstractUI.aspx?menuIndex=3&amp;refID=7044239&amp;Result=3","7044239")</f>
        <v>0</v>
      </c>
      <c r="B5487" t="s">
        <v>1806</v>
      </c>
      <c r="C5487" t="s">
        <v>8292</v>
      </c>
      <c r="D5487" t="s">
        <v>16234</v>
      </c>
      <c r="E5487" t="s">
        <v>21160</v>
      </c>
      <c r="F5487" t="s">
        <v>28198</v>
      </c>
      <c r="G5487" t="s">
        <v>28207</v>
      </c>
      <c r="H5487" t="s">
        <v>28215</v>
      </c>
      <c r="I5487" t="s">
        <v>5656</v>
      </c>
      <c r="J5487" t="s">
        <v>28878</v>
      </c>
      <c r="K5487" t="s">
        <v>36688</v>
      </c>
      <c r="M5487" t="s">
        <v>38924</v>
      </c>
      <c r="N5487" t="s">
        <v>40436</v>
      </c>
      <c r="O5487" t="s">
        <v>40437</v>
      </c>
      <c r="P5487">
        <v>0</v>
      </c>
      <c r="Q5487">
        <v>1</v>
      </c>
      <c r="R5487" t="s">
        <v>40440</v>
      </c>
      <c r="S5487" t="s">
        <v>40603</v>
      </c>
      <c r="T5487" t="s">
        <v>42205</v>
      </c>
      <c r="U5487" t="s">
        <v>47259</v>
      </c>
      <c r="W5487" t="s">
        <v>38924</v>
      </c>
      <c r="X5487" t="s">
        <v>40441</v>
      </c>
    </row>
    <row r="5488" spans="1:24">
      <c r="A5488">
        <f>HYPERLINK("https://www.philgeps.gov.ph/GEPSNONPILOT/Tender/SplashBidNoticeAbstractUI.aspx?menuIndex=3&amp;refID=7044237&amp;Result=3","7044237")</f>
        <v>0</v>
      </c>
      <c r="B5488" t="s">
        <v>1807</v>
      </c>
      <c r="C5488" t="s">
        <v>8307</v>
      </c>
      <c r="D5488" t="s">
        <v>16219</v>
      </c>
      <c r="E5488" t="s">
        <v>21161</v>
      </c>
      <c r="F5488" t="s">
        <v>28198</v>
      </c>
      <c r="G5488" t="s">
        <v>28205</v>
      </c>
      <c r="H5488" t="s">
        <v>28215</v>
      </c>
      <c r="I5488" t="s">
        <v>28220</v>
      </c>
      <c r="J5488" t="s">
        <v>31837</v>
      </c>
      <c r="K5488" t="s">
        <v>36701</v>
      </c>
      <c r="M5488" t="s">
        <v>38925</v>
      </c>
      <c r="N5488" t="s">
        <v>40436</v>
      </c>
      <c r="O5488" t="s">
        <v>40437</v>
      </c>
      <c r="P5488">
        <v>0</v>
      </c>
      <c r="Q5488">
        <v>3</v>
      </c>
      <c r="R5488" t="s">
        <v>40440</v>
      </c>
      <c r="S5488" t="s">
        <v>40603</v>
      </c>
      <c r="T5488" t="s">
        <v>42320</v>
      </c>
      <c r="U5488" t="s">
        <v>47273</v>
      </c>
      <c r="W5488" t="s">
        <v>38925</v>
      </c>
      <c r="X5488" t="s">
        <v>40441</v>
      </c>
    </row>
    <row r="5489" spans="1:24">
      <c r="A5489">
        <f>HYPERLINK("https://www.philgeps.gov.ph/GEPSNONPILOT/Tender/SplashBidNoticeAbstractUI.aspx?menuIndex=3&amp;refID=7044247&amp;Result=3","7044247")</f>
        <v>0</v>
      </c>
      <c r="B5489" t="s">
        <v>1806</v>
      </c>
      <c r="C5489" t="s">
        <v>8308</v>
      </c>
      <c r="D5489" t="s">
        <v>16234</v>
      </c>
      <c r="E5489" t="s">
        <v>21162</v>
      </c>
      <c r="F5489" t="s">
        <v>28198</v>
      </c>
      <c r="G5489" t="s">
        <v>28207</v>
      </c>
      <c r="H5489" t="s">
        <v>28215</v>
      </c>
      <c r="I5489" t="s">
        <v>5656</v>
      </c>
      <c r="J5489" t="s">
        <v>31838</v>
      </c>
      <c r="K5489" t="s">
        <v>36688</v>
      </c>
      <c r="M5489" t="s">
        <v>38924</v>
      </c>
      <c r="N5489" t="s">
        <v>40436</v>
      </c>
      <c r="O5489" t="s">
        <v>40437</v>
      </c>
      <c r="P5489">
        <v>0</v>
      </c>
      <c r="Q5489">
        <v>1</v>
      </c>
      <c r="R5489" t="s">
        <v>40440</v>
      </c>
      <c r="S5489" t="s">
        <v>40603</v>
      </c>
      <c r="T5489" t="s">
        <v>42205</v>
      </c>
      <c r="U5489" t="s">
        <v>47259</v>
      </c>
      <c r="W5489" t="s">
        <v>38924</v>
      </c>
      <c r="X5489" t="s">
        <v>40441</v>
      </c>
    </row>
    <row r="5490" spans="1:24">
      <c r="A5490">
        <f>HYPERLINK("https://www.philgeps.gov.ph/GEPSNONPILOT/Tender/SplashBidNoticeAbstractUI.aspx?menuIndex=3&amp;refID=7044236&amp;Result=3","7044236")</f>
        <v>0</v>
      </c>
      <c r="B5490" t="s">
        <v>1806</v>
      </c>
      <c r="C5490" t="s">
        <v>8292</v>
      </c>
      <c r="D5490" t="s">
        <v>16234</v>
      </c>
      <c r="E5490" t="s">
        <v>21163</v>
      </c>
      <c r="F5490" t="s">
        <v>28198</v>
      </c>
      <c r="G5490" t="s">
        <v>28207</v>
      </c>
      <c r="H5490" t="s">
        <v>28215</v>
      </c>
      <c r="I5490" t="s">
        <v>5656</v>
      </c>
      <c r="J5490" t="s">
        <v>31839</v>
      </c>
      <c r="K5490" t="s">
        <v>36688</v>
      </c>
      <c r="M5490" t="s">
        <v>38924</v>
      </c>
      <c r="N5490" t="s">
        <v>40436</v>
      </c>
      <c r="O5490" t="s">
        <v>40437</v>
      </c>
      <c r="P5490">
        <v>0</v>
      </c>
      <c r="Q5490">
        <v>1</v>
      </c>
      <c r="R5490" t="s">
        <v>40440</v>
      </c>
      <c r="S5490" t="s">
        <v>40603</v>
      </c>
      <c r="T5490" t="s">
        <v>42205</v>
      </c>
      <c r="U5490" t="s">
        <v>47259</v>
      </c>
      <c r="W5490" t="s">
        <v>38924</v>
      </c>
      <c r="X5490" t="s">
        <v>40441</v>
      </c>
    </row>
    <row r="5491" spans="1:24">
      <c r="A5491">
        <f>HYPERLINK("https://www.philgeps.gov.ph/GEPSNONPILOT/Tender/SplashBidNoticeAbstractUI.aspx?menuIndex=3&amp;refID=7044252&amp;Result=3","7044252")</f>
        <v>0</v>
      </c>
      <c r="B5491" t="s">
        <v>1808</v>
      </c>
      <c r="C5491" t="s">
        <v>8309</v>
      </c>
      <c r="D5491" t="s">
        <v>16196</v>
      </c>
      <c r="E5491" t="s">
        <v>16516</v>
      </c>
      <c r="F5491" t="s">
        <v>28198</v>
      </c>
      <c r="G5491" t="s">
        <v>28205</v>
      </c>
      <c r="H5491" t="s">
        <v>28215</v>
      </c>
      <c r="I5491" t="s">
        <v>5100</v>
      </c>
      <c r="J5491" t="s">
        <v>31826</v>
      </c>
      <c r="K5491" t="s">
        <v>36701</v>
      </c>
      <c r="M5491" t="s">
        <v>38927</v>
      </c>
      <c r="N5491" t="s">
        <v>40436</v>
      </c>
      <c r="O5491" t="s">
        <v>40437</v>
      </c>
      <c r="P5491">
        <v>0</v>
      </c>
      <c r="Q5491">
        <v>0</v>
      </c>
      <c r="R5491" t="s">
        <v>40440</v>
      </c>
      <c r="S5491" t="s">
        <v>40603</v>
      </c>
      <c r="T5491" t="s">
        <v>42115</v>
      </c>
      <c r="U5491" t="s">
        <v>47274</v>
      </c>
      <c r="W5491" t="s">
        <v>38927</v>
      </c>
      <c r="X5491" t="s">
        <v>40441</v>
      </c>
    </row>
    <row r="5492" spans="1:24">
      <c r="A5492">
        <f>HYPERLINK("https://www.philgeps.gov.ph/GEPSNONPILOT/Tender/SplashBidNoticeAbstractUI.aspx?menuIndex=3&amp;refID=7044246&amp;Result=3","7044246")</f>
        <v>0</v>
      </c>
      <c r="B5492" t="s">
        <v>1808</v>
      </c>
      <c r="C5492" t="s">
        <v>8310</v>
      </c>
      <c r="D5492" t="s">
        <v>16196</v>
      </c>
      <c r="E5492" t="s">
        <v>16522</v>
      </c>
      <c r="F5492" t="s">
        <v>28198</v>
      </c>
      <c r="G5492" t="s">
        <v>28205</v>
      </c>
      <c r="H5492" t="s">
        <v>28215</v>
      </c>
      <c r="I5492" t="s">
        <v>5100</v>
      </c>
      <c r="J5492" t="s">
        <v>31826</v>
      </c>
      <c r="K5492" t="s">
        <v>36701</v>
      </c>
      <c r="M5492" t="s">
        <v>38927</v>
      </c>
      <c r="N5492" t="s">
        <v>40436</v>
      </c>
      <c r="O5492" t="s">
        <v>40437</v>
      </c>
      <c r="P5492">
        <v>0</v>
      </c>
      <c r="Q5492">
        <v>0</v>
      </c>
      <c r="R5492" t="s">
        <v>40440</v>
      </c>
      <c r="S5492" t="s">
        <v>40603</v>
      </c>
      <c r="T5492" t="s">
        <v>42115</v>
      </c>
      <c r="U5492" t="s">
        <v>47275</v>
      </c>
      <c r="W5492" t="s">
        <v>38927</v>
      </c>
      <c r="X5492" t="s">
        <v>40441</v>
      </c>
    </row>
    <row r="5493" spans="1:24">
      <c r="A5493">
        <f>HYPERLINK("https://www.philgeps.gov.ph/GEPSNONPILOT/Tender/SplashBidNoticeAbstractUI.aspx?menuIndex=3&amp;refID=7044240&amp;Result=3","7044240")</f>
        <v>0</v>
      </c>
      <c r="B5493" t="s">
        <v>1811</v>
      </c>
      <c r="C5493" t="s">
        <v>8311</v>
      </c>
      <c r="D5493" t="s">
        <v>16249</v>
      </c>
      <c r="E5493" t="s">
        <v>21164</v>
      </c>
      <c r="F5493" t="s">
        <v>28198</v>
      </c>
      <c r="G5493" t="s">
        <v>28207</v>
      </c>
      <c r="H5493" t="s">
        <v>28215</v>
      </c>
      <c r="I5493" t="s">
        <v>4168</v>
      </c>
      <c r="J5493" t="s">
        <v>28778</v>
      </c>
      <c r="K5493" t="s">
        <v>36688</v>
      </c>
      <c r="M5493" t="s">
        <v>38931</v>
      </c>
      <c r="N5493" t="s">
        <v>40436</v>
      </c>
      <c r="O5493" t="s">
        <v>40437</v>
      </c>
      <c r="P5493">
        <v>0</v>
      </c>
      <c r="Q5493">
        <v>2</v>
      </c>
      <c r="R5493" t="s">
        <v>40440</v>
      </c>
      <c r="S5493" t="s">
        <v>40603</v>
      </c>
      <c r="T5493" t="s">
        <v>42233</v>
      </c>
      <c r="U5493" t="s">
        <v>47276</v>
      </c>
      <c r="W5493" t="s">
        <v>38931</v>
      </c>
      <c r="X5493" t="s">
        <v>40441</v>
      </c>
    </row>
    <row r="5494" spans="1:24">
      <c r="A5494">
        <f>HYPERLINK("https://www.philgeps.gov.ph/GEPSNONPILOT/Tender/SplashBidNoticeAbstractUI.aspx?menuIndex=3&amp;refID=7044244&amp;Result=3","7044244")</f>
        <v>0</v>
      </c>
      <c r="B5494" t="s">
        <v>1812</v>
      </c>
      <c r="C5494" t="s">
        <v>8312</v>
      </c>
      <c r="D5494" t="s">
        <v>16235</v>
      </c>
      <c r="E5494" t="s">
        <v>16528</v>
      </c>
      <c r="F5494" t="s">
        <v>28198</v>
      </c>
      <c r="G5494" t="s">
        <v>28206</v>
      </c>
      <c r="H5494" t="s">
        <v>28214</v>
      </c>
      <c r="I5494" t="s">
        <v>5100</v>
      </c>
      <c r="J5494" t="s">
        <v>31840</v>
      </c>
      <c r="K5494" t="s">
        <v>36689</v>
      </c>
      <c r="M5494" t="s">
        <v>38932</v>
      </c>
      <c r="N5494" t="s">
        <v>40436</v>
      </c>
      <c r="O5494" t="s">
        <v>40437</v>
      </c>
      <c r="P5494">
        <v>0</v>
      </c>
      <c r="Q5494">
        <v>0</v>
      </c>
      <c r="R5494" t="s">
        <v>40440</v>
      </c>
      <c r="S5494" t="s">
        <v>40603</v>
      </c>
      <c r="T5494" t="s">
        <v>42142</v>
      </c>
      <c r="U5494" t="s">
        <v>47277</v>
      </c>
      <c r="W5494" t="s">
        <v>38932</v>
      </c>
      <c r="X5494" t="s">
        <v>40441</v>
      </c>
    </row>
    <row r="5495" spans="1:24">
      <c r="A5495">
        <f>HYPERLINK("https://www.philgeps.gov.ph/GEPSNONPILOT/Tender/SplashBidNoticeAbstractUI.aspx?menuIndex=3&amp;refID=7044253&amp;Result=3","7044253")</f>
        <v>0</v>
      </c>
      <c r="B5495" t="s">
        <v>1806</v>
      </c>
      <c r="C5495" t="s">
        <v>8313</v>
      </c>
      <c r="D5495" t="s">
        <v>16234</v>
      </c>
      <c r="E5495" t="s">
        <v>21165</v>
      </c>
      <c r="F5495" t="s">
        <v>28198</v>
      </c>
      <c r="G5495" t="s">
        <v>28207</v>
      </c>
      <c r="H5495" t="s">
        <v>28215</v>
      </c>
      <c r="I5495" t="s">
        <v>5656</v>
      </c>
      <c r="J5495" t="s">
        <v>31841</v>
      </c>
      <c r="K5495" t="s">
        <v>36688</v>
      </c>
      <c r="M5495" t="s">
        <v>38924</v>
      </c>
      <c r="N5495" t="s">
        <v>40436</v>
      </c>
      <c r="O5495" t="s">
        <v>40437</v>
      </c>
      <c r="P5495">
        <v>0</v>
      </c>
      <c r="Q5495">
        <v>1</v>
      </c>
      <c r="R5495" t="s">
        <v>40440</v>
      </c>
      <c r="S5495" t="s">
        <v>40603</v>
      </c>
      <c r="T5495" t="s">
        <v>42205</v>
      </c>
      <c r="U5495" t="s">
        <v>47259</v>
      </c>
      <c r="W5495" t="s">
        <v>38924</v>
      </c>
      <c r="X5495" t="s">
        <v>40441</v>
      </c>
    </row>
    <row r="5496" spans="1:24">
      <c r="A5496">
        <f>HYPERLINK("https://www.philgeps.gov.ph/GEPSNONPILOT/Tender/SplashBidNoticeAbstractUI.aspx?menuIndex=3&amp;refID=7044250&amp;Result=3","7044250")</f>
        <v>0</v>
      </c>
      <c r="B5496" t="s">
        <v>1806</v>
      </c>
      <c r="C5496" t="s">
        <v>8314</v>
      </c>
      <c r="D5496" t="s">
        <v>16234</v>
      </c>
      <c r="E5496" t="s">
        <v>21166</v>
      </c>
      <c r="F5496" t="s">
        <v>28198</v>
      </c>
      <c r="G5496" t="s">
        <v>28207</v>
      </c>
      <c r="H5496" t="s">
        <v>28215</v>
      </c>
      <c r="I5496" t="s">
        <v>5656</v>
      </c>
      <c r="J5496" t="s">
        <v>31842</v>
      </c>
      <c r="K5496" t="s">
        <v>36688</v>
      </c>
      <c r="M5496" t="s">
        <v>38924</v>
      </c>
      <c r="N5496" t="s">
        <v>40436</v>
      </c>
      <c r="O5496" t="s">
        <v>40437</v>
      </c>
      <c r="P5496">
        <v>0</v>
      </c>
      <c r="Q5496">
        <v>1</v>
      </c>
      <c r="R5496" t="s">
        <v>40440</v>
      </c>
      <c r="S5496" t="s">
        <v>40603</v>
      </c>
      <c r="T5496" t="s">
        <v>42205</v>
      </c>
      <c r="U5496" t="s">
        <v>47259</v>
      </c>
      <c r="W5496" t="s">
        <v>38924</v>
      </c>
      <c r="X5496" t="s">
        <v>40441</v>
      </c>
    </row>
    <row r="5497" spans="1:24">
      <c r="A5497">
        <f>HYPERLINK("https://www.philgeps.gov.ph/GEPSNONPILOT/Tender/SplashBidNoticeAbstractUI.aspx?menuIndex=3&amp;refID=7044235&amp;Result=3","7044235")</f>
        <v>0</v>
      </c>
      <c r="B5497" t="s">
        <v>1806</v>
      </c>
      <c r="C5497" t="s">
        <v>8292</v>
      </c>
      <c r="D5497" t="s">
        <v>16234</v>
      </c>
      <c r="E5497" t="s">
        <v>21167</v>
      </c>
      <c r="F5497" t="s">
        <v>28198</v>
      </c>
      <c r="G5497" t="s">
        <v>28207</v>
      </c>
      <c r="H5497" t="s">
        <v>28215</v>
      </c>
      <c r="I5497" t="s">
        <v>5656</v>
      </c>
      <c r="J5497" t="s">
        <v>31843</v>
      </c>
      <c r="K5497" t="s">
        <v>36688</v>
      </c>
      <c r="M5497" t="s">
        <v>38924</v>
      </c>
      <c r="N5497" t="s">
        <v>40436</v>
      </c>
      <c r="O5497" t="s">
        <v>40437</v>
      </c>
      <c r="P5497">
        <v>0</v>
      </c>
      <c r="Q5497">
        <v>1</v>
      </c>
      <c r="R5497" t="s">
        <v>40440</v>
      </c>
      <c r="S5497" t="s">
        <v>40603</v>
      </c>
      <c r="T5497" t="s">
        <v>42205</v>
      </c>
      <c r="U5497" t="s">
        <v>47259</v>
      </c>
      <c r="W5497" t="s">
        <v>38924</v>
      </c>
      <c r="X5497" t="s">
        <v>40441</v>
      </c>
    </row>
    <row r="5498" spans="1:24">
      <c r="A5498">
        <f>HYPERLINK("https://www.philgeps.gov.ph/GEPSNONPILOT/Tender/SplashBidNoticeAbstractUI.aspx?menuIndex=3&amp;refID=7044238&amp;Result=3","7044238")</f>
        <v>0</v>
      </c>
      <c r="B5498" t="s">
        <v>1808</v>
      </c>
      <c r="C5498" t="s">
        <v>8315</v>
      </c>
      <c r="D5498" t="s">
        <v>16196</v>
      </c>
      <c r="E5498" t="s">
        <v>16526</v>
      </c>
      <c r="F5498" t="s">
        <v>28198</v>
      </c>
      <c r="G5498" t="s">
        <v>28205</v>
      </c>
      <c r="H5498" t="s">
        <v>28215</v>
      </c>
      <c r="I5498" t="s">
        <v>5100</v>
      </c>
      <c r="J5498" t="s">
        <v>31826</v>
      </c>
      <c r="K5498" t="s">
        <v>36701</v>
      </c>
      <c r="M5498" t="s">
        <v>38927</v>
      </c>
      <c r="N5498" t="s">
        <v>40436</v>
      </c>
      <c r="O5498" t="s">
        <v>40437</v>
      </c>
      <c r="P5498">
        <v>0</v>
      </c>
      <c r="Q5498">
        <v>0</v>
      </c>
      <c r="R5498" t="s">
        <v>40440</v>
      </c>
      <c r="S5498" t="s">
        <v>40603</v>
      </c>
      <c r="T5498" t="s">
        <v>42115</v>
      </c>
      <c r="U5498" t="s">
        <v>47278</v>
      </c>
      <c r="W5498" t="s">
        <v>38927</v>
      </c>
      <c r="X5498" t="s">
        <v>40441</v>
      </c>
    </row>
    <row r="5499" spans="1:24">
      <c r="A5499">
        <f>HYPERLINK("https://www.philgeps.gov.ph/GEPSNONPILOT/Tender/SplashBidNoticeAbstractUI.aspx?menuIndex=3&amp;refID=7044248&amp;Result=3","7044248")</f>
        <v>0</v>
      </c>
      <c r="B5499" t="s">
        <v>1807</v>
      </c>
      <c r="C5499" t="s">
        <v>8316</v>
      </c>
      <c r="D5499" t="s">
        <v>16219</v>
      </c>
      <c r="E5499" t="s">
        <v>21168</v>
      </c>
      <c r="F5499" t="s">
        <v>28198</v>
      </c>
      <c r="G5499" t="s">
        <v>28205</v>
      </c>
      <c r="H5499" t="s">
        <v>28215</v>
      </c>
      <c r="I5499" t="s">
        <v>28222</v>
      </c>
      <c r="J5499" t="s">
        <v>30412</v>
      </c>
      <c r="K5499" t="s">
        <v>36701</v>
      </c>
      <c r="M5499" t="s">
        <v>38925</v>
      </c>
      <c r="N5499" t="s">
        <v>40436</v>
      </c>
      <c r="O5499" t="s">
        <v>40437</v>
      </c>
      <c r="P5499">
        <v>0</v>
      </c>
      <c r="Q5499">
        <v>2</v>
      </c>
      <c r="R5499" t="s">
        <v>40440</v>
      </c>
      <c r="S5499" t="s">
        <v>40603</v>
      </c>
      <c r="T5499" t="s">
        <v>42189</v>
      </c>
      <c r="U5499" t="s">
        <v>47279</v>
      </c>
      <c r="W5499" t="s">
        <v>38925</v>
      </c>
      <c r="X5499" t="s">
        <v>40441</v>
      </c>
    </row>
    <row r="5500" spans="1:24">
      <c r="A5500">
        <f>HYPERLINK("https://www.philgeps.gov.ph/GEPSNONPILOT/Tender/SplashBidNoticeAbstractUI.aspx?menuIndex=3&amp;refID=7044249&amp;Result=3","7044249")</f>
        <v>0</v>
      </c>
      <c r="B5500" t="s">
        <v>1806</v>
      </c>
      <c r="C5500" t="s">
        <v>8317</v>
      </c>
      <c r="D5500" t="s">
        <v>16234</v>
      </c>
      <c r="E5500" t="s">
        <v>21169</v>
      </c>
      <c r="F5500" t="s">
        <v>28198</v>
      </c>
      <c r="G5500" t="s">
        <v>28207</v>
      </c>
      <c r="H5500" t="s">
        <v>28215</v>
      </c>
      <c r="I5500" t="s">
        <v>5656</v>
      </c>
      <c r="J5500" t="s">
        <v>31844</v>
      </c>
      <c r="K5500" t="s">
        <v>36688</v>
      </c>
      <c r="M5500" t="s">
        <v>38924</v>
      </c>
      <c r="N5500" t="s">
        <v>40436</v>
      </c>
      <c r="O5500" t="s">
        <v>40437</v>
      </c>
      <c r="P5500">
        <v>0</v>
      </c>
      <c r="Q5500">
        <v>1</v>
      </c>
      <c r="R5500" t="s">
        <v>40440</v>
      </c>
      <c r="S5500" t="s">
        <v>40603</v>
      </c>
      <c r="T5500" t="s">
        <v>42205</v>
      </c>
      <c r="U5500" t="s">
        <v>47259</v>
      </c>
      <c r="W5500" t="s">
        <v>38924</v>
      </c>
      <c r="X5500" t="s">
        <v>40441</v>
      </c>
    </row>
    <row r="5501" spans="1:24">
      <c r="A5501">
        <f>HYPERLINK("https://www.philgeps.gov.ph/GEPSNONPILOT/Tender/SplashBidNoticeAbstractUI.aspx?menuIndex=3&amp;refID=7044254&amp;Result=3","7044254")</f>
        <v>0</v>
      </c>
      <c r="B5501" t="s">
        <v>1762</v>
      </c>
      <c r="C5501" t="s">
        <v>8318</v>
      </c>
      <c r="D5501" t="s">
        <v>16217</v>
      </c>
      <c r="E5501" t="s">
        <v>21170</v>
      </c>
      <c r="F5501" t="s">
        <v>28198</v>
      </c>
      <c r="G5501" t="s">
        <v>28207</v>
      </c>
      <c r="H5501" t="s">
        <v>28215</v>
      </c>
      <c r="I5501" t="s">
        <v>3774</v>
      </c>
      <c r="J5501" t="s">
        <v>31845</v>
      </c>
      <c r="K5501" t="s">
        <v>36688</v>
      </c>
      <c r="M5501" t="s">
        <v>38876</v>
      </c>
      <c r="N5501" t="s">
        <v>40436</v>
      </c>
      <c r="O5501" t="s">
        <v>40437</v>
      </c>
      <c r="P5501">
        <v>0</v>
      </c>
      <c r="Q5501">
        <v>0</v>
      </c>
      <c r="R5501" t="s">
        <v>40440</v>
      </c>
      <c r="S5501" t="s">
        <v>40603</v>
      </c>
      <c r="T5501" t="s">
        <v>42297</v>
      </c>
      <c r="U5501" t="s">
        <v>47079</v>
      </c>
      <c r="W5501" t="s">
        <v>38876</v>
      </c>
      <c r="X5501" t="s">
        <v>40441</v>
      </c>
    </row>
    <row r="5502" spans="1:24">
      <c r="A5502">
        <f>HYPERLINK("https://www.philgeps.gov.ph/GEPSNONPILOT/Tender/SplashBidNoticeAbstractUI.aspx?menuIndex=3&amp;refID=7044251&amp;Result=3","7044251")</f>
        <v>0</v>
      </c>
      <c r="B5502" t="s">
        <v>1767</v>
      </c>
      <c r="C5502" t="s">
        <v>8319</v>
      </c>
      <c r="D5502" t="s">
        <v>16266</v>
      </c>
      <c r="E5502" t="s">
        <v>21171</v>
      </c>
      <c r="F5502" t="s">
        <v>28198</v>
      </c>
      <c r="G5502" t="s">
        <v>28205</v>
      </c>
      <c r="H5502" t="s">
        <v>28215</v>
      </c>
      <c r="I5502" t="s">
        <v>28238</v>
      </c>
      <c r="J5502" t="s">
        <v>28350</v>
      </c>
      <c r="K5502" t="s">
        <v>36707</v>
      </c>
      <c r="M5502" t="s">
        <v>38882</v>
      </c>
      <c r="N5502" t="s">
        <v>40436</v>
      </c>
      <c r="O5502" t="s">
        <v>40437</v>
      </c>
      <c r="P5502">
        <v>0</v>
      </c>
      <c r="Q5502">
        <v>0</v>
      </c>
      <c r="R5502" t="s">
        <v>40440</v>
      </c>
      <c r="S5502" t="s">
        <v>40603</v>
      </c>
      <c r="T5502" t="s">
        <v>42110</v>
      </c>
      <c r="U5502" t="s">
        <v>47280</v>
      </c>
      <c r="W5502" t="s">
        <v>38882</v>
      </c>
      <c r="X5502" t="s">
        <v>40441</v>
      </c>
    </row>
    <row r="5503" spans="1:24">
      <c r="A5503">
        <f>HYPERLINK("https://www.philgeps.gov.ph/GEPSNONPILOT/Tender/SplashBidNoticeAbstractUI.aspx?menuIndex=3&amp;refID=7044255&amp;Result=3","7044255")</f>
        <v>0</v>
      </c>
      <c r="B5503" t="s">
        <v>1807</v>
      </c>
      <c r="C5503" t="s">
        <v>3604</v>
      </c>
      <c r="D5503" t="s">
        <v>16219</v>
      </c>
      <c r="E5503" t="s">
        <v>21172</v>
      </c>
      <c r="F5503" t="s">
        <v>28198</v>
      </c>
      <c r="G5503" t="s">
        <v>28205</v>
      </c>
      <c r="H5503" t="s">
        <v>28215</v>
      </c>
      <c r="I5503" t="s">
        <v>4168</v>
      </c>
      <c r="J5503" t="s">
        <v>31846</v>
      </c>
      <c r="K5503" t="s">
        <v>36701</v>
      </c>
      <c r="M5503" t="s">
        <v>38925</v>
      </c>
      <c r="N5503" t="s">
        <v>40436</v>
      </c>
      <c r="O5503" t="s">
        <v>40437</v>
      </c>
      <c r="P5503">
        <v>0</v>
      </c>
      <c r="Q5503">
        <v>0</v>
      </c>
      <c r="R5503" t="s">
        <v>40440</v>
      </c>
      <c r="S5503" t="s">
        <v>40603</v>
      </c>
      <c r="T5503" t="s">
        <v>42189</v>
      </c>
      <c r="U5503" t="s">
        <v>47281</v>
      </c>
      <c r="W5503" t="s">
        <v>38925</v>
      </c>
      <c r="X5503" t="s">
        <v>40441</v>
      </c>
    </row>
    <row r="5504" spans="1:24">
      <c r="A5504">
        <f>HYPERLINK("https://www.philgeps.gov.ph/GEPSNONPILOT/Tender/SplashBidNoticeAbstractUI.aspx?menuIndex=3&amp;refID=7044260&amp;Result=3","7044260")</f>
        <v>0</v>
      </c>
      <c r="B5504" t="s">
        <v>1762</v>
      </c>
      <c r="C5504" t="s">
        <v>8320</v>
      </c>
      <c r="D5504" t="s">
        <v>16217</v>
      </c>
      <c r="E5504" t="s">
        <v>21173</v>
      </c>
      <c r="F5504" t="s">
        <v>28198</v>
      </c>
      <c r="G5504" t="s">
        <v>28207</v>
      </c>
      <c r="H5504" t="s">
        <v>28215</v>
      </c>
      <c r="I5504" t="s">
        <v>3774</v>
      </c>
      <c r="J5504" t="s">
        <v>31847</v>
      </c>
      <c r="K5504" t="s">
        <v>36688</v>
      </c>
      <c r="M5504" t="s">
        <v>38876</v>
      </c>
      <c r="N5504" t="s">
        <v>40436</v>
      </c>
      <c r="O5504" t="s">
        <v>40437</v>
      </c>
      <c r="P5504">
        <v>0</v>
      </c>
      <c r="Q5504">
        <v>0</v>
      </c>
      <c r="R5504" t="s">
        <v>40440</v>
      </c>
      <c r="S5504" t="s">
        <v>40603</v>
      </c>
      <c r="T5504" t="s">
        <v>42297</v>
      </c>
      <c r="U5504" t="s">
        <v>47282</v>
      </c>
      <c r="W5504" t="s">
        <v>38876</v>
      </c>
      <c r="X5504" t="s">
        <v>40441</v>
      </c>
    </row>
    <row r="5505" spans="1:24">
      <c r="A5505">
        <f>HYPERLINK("https://www.philgeps.gov.ph/GEPSNONPILOT/Tender/SplashBidNoticeAbstractUI.aspx?menuIndex=3&amp;refID=7044266&amp;Result=3","7044266")</f>
        <v>0</v>
      </c>
      <c r="B5505" t="s">
        <v>1569</v>
      </c>
      <c r="C5505" t="s">
        <v>8321</v>
      </c>
      <c r="D5505" t="s">
        <v>16189</v>
      </c>
      <c r="E5505" t="s">
        <v>21174</v>
      </c>
      <c r="F5505" t="s">
        <v>28198</v>
      </c>
      <c r="G5505" t="s">
        <v>28205</v>
      </c>
      <c r="H5505" t="s">
        <v>28214</v>
      </c>
      <c r="I5505" t="s">
        <v>3797</v>
      </c>
      <c r="J5505" t="s">
        <v>30873</v>
      </c>
      <c r="K5505" t="s">
        <v>36689</v>
      </c>
      <c r="M5505" t="s">
        <v>38933</v>
      </c>
      <c r="N5505" t="s">
        <v>40436</v>
      </c>
      <c r="O5505" t="s">
        <v>40437</v>
      </c>
      <c r="P5505">
        <v>0</v>
      </c>
      <c r="Q5505">
        <v>0</v>
      </c>
      <c r="R5505" t="s">
        <v>40440</v>
      </c>
      <c r="S5505" t="s">
        <v>40603</v>
      </c>
      <c r="T5505" t="s">
        <v>42106</v>
      </c>
      <c r="U5505" t="s">
        <v>47283</v>
      </c>
      <c r="W5505" t="s">
        <v>38933</v>
      </c>
      <c r="X5505" t="s">
        <v>40441</v>
      </c>
    </row>
    <row r="5506" spans="1:24">
      <c r="A5506">
        <f>HYPERLINK("https://www.philgeps.gov.ph/GEPSNONPILOT/Tender/SplashBidNoticeAbstractUI.aspx?menuIndex=3&amp;refID=7044265&amp;Result=3","7044265")</f>
        <v>0</v>
      </c>
      <c r="B5506" t="s">
        <v>109</v>
      </c>
      <c r="C5506" t="s">
        <v>8322</v>
      </c>
      <c r="D5506" t="s">
        <v>16188</v>
      </c>
      <c r="E5506" t="s">
        <v>21175</v>
      </c>
      <c r="F5506" t="s">
        <v>28198</v>
      </c>
      <c r="G5506" t="s">
        <v>28209</v>
      </c>
      <c r="H5506" t="s">
        <v>28215</v>
      </c>
      <c r="I5506" t="s">
        <v>5100</v>
      </c>
      <c r="J5506" t="s">
        <v>31848</v>
      </c>
      <c r="K5506" t="s">
        <v>36707</v>
      </c>
      <c r="M5506" t="s">
        <v>37883</v>
      </c>
      <c r="N5506" t="s">
        <v>40436</v>
      </c>
      <c r="O5506" t="s">
        <v>40437</v>
      </c>
      <c r="P5506">
        <v>0</v>
      </c>
      <c r="Q5506">
        <v>1</v>
      </c>
      <c r="R5506" t="s">
        <v>40440</v>
      </c>
      <c r="S5506" t="s">
        <v>40603</v>
      </c>
      <c r="T5506" t="s">
        <v>42228</v>
      </c>
      <c r="U5506" t="s">
        <v>47284</v>
      </c>
      <c r="W5506" t="s">
        <v>37883</v>
      </c>
      <c r="X5506" t="s">
        <v>40441</v>
      </c>
    </row>
    <row r="5507" spans="1:24">
      <c r="A5507">
        <f>HYPERLINK("https://www.philgeps.gov.ph/GEPSNONPILOT/Tender/SplashBidNoticeAbstractUI.aspx?menuIndex=3&amp;refID=7044259&amp;Result=3","7044259")</f>
        <v>0</v>
      </c>
      <c r="B5507" t="s">
        <v>1420</v>
      </c>
      <c r="C5507" t="s">
        <v>8323</v>
      </c>
      <c r="D5507" t="s">
        <v>16188</v>
      </c>
      <c r="E5507" t="s">
        <v>21176</v>
      </c>
      <c r="F5507" t="s">
        <v>28198</v>
      </c>
      <c r="G5507" t="s">
        <v>28206</v>
      </c>
      <c r="H5507" t="s">
        <v>28217</v>
      </c>
      <c r="I5507" t="s">
        <v>3797</v>
      </c>
      <c r="J5507" t="s">
        <v>30433</v>
      </c>
      <c r="K5507" t="s">
        <v>36691</v>
      </c>
      <c r="M5507" t="s">
        <v>38485</v>
      </c>
      <c r="N5507" t="s">
        <v>40436</v>
      </c>
      <c r="O5507" t="s">
        <v>40437</v>
      </c>
      <c r="P5507">
        <v>0</v>
      </c>
      <c r="Q5507">
        <v>0</v>
      </c>
      <c r="R5507" t="s">
        <v>40440</v>
      </c>
      <c r="S5507" t="s">
        <v>40603</v>
      </c>
      <c r="T5507" t="s">
        <v>42142</v>
      </c>
      <c r="U5507" t="s">
        <v>47285</v>
      </c>
      <c r="W5507" t="s">
        <v>38485</v>
      </c>
      <c r="X5507" t="s">
        <v>40441</v>
      </c>
    </row>
    <row r="5508" spans="1:24">
      <c r="A5508">
        <f>HYPERLINK("https://www.philgeps.gov.ph/GEPSNONPILOT/Tender/SplashBidNoticeAbstractUI.aspx?menuIndex=3&amp;refID=7044264&amp;Result=3","7044264")</f>
        <v>0</v>
      </c>
      <c r="B5508" t="s">
        <v>1813</v>
      </c>
      <c r="C5508" t="s">
        <v>8324</v>
      </c>
      <c r="D5508" t="s">
        <v>16213</v>
      </c>
      <c r="E5508" t="s">
        <v>21177</v>
      </c>
      <c r="F5508" t="s">
        <v>28198</v>
      </c>
      <c r="G5508" t="s">
        <v>28205</v>
      </c>
      <c r="H5508" t="s">
        <v>28214</v>
      </c>
      <c r="I5508" t="s">
        <v>3797</v>
      </c>
      <c r="J5508" t="s">
        <v>31849</v>
      </c>
      <c r="K5508" t="s">
        <v>36701</v>
      </c>
      <c r="M5508" t="s">
        <v>38934</v>
      </c>
      <c r="N5508" t="s">
        <v>40436</v>
      </c>
      <c r="O5508" t="s">
        <v>40437</v>
      </c>
      <c r="P5508">
        <v>0</v>
      </c>
      <c r="Q5508">
        <v>0</v>
      </c>
      <c r="R5508" t="s">
        <v>40440</v>
      </c>
      <c r="S5508" t="s">
        <v>40603</v>
      </c>
      <c r="T5508" t="s">
        <v>42110</v>
      </c>
      <c r="U5508" t="s">
        <v>47286</v>
      </c>
      <c r="W5508" t="s">
        <v>38934</v>
      </c>
      <c r="X5508" t="s">
        <v>40441</v>
      </c>
    </row>
    <row r="5509" spans="1:24">
      <c r="A5509">
        <f>HYPERLINK("https://www.philgeps.gov.ph/GEPSNONPILOT/Tender/SplashBidNoticeAbstractUI.aspx?menuIndex=3&amp;refID=7044256&amp;Result=3","7044256")</f>
        <v>0</v>
      </c>
      <c r="B5509" t="s">
        <v>1806</v>
      </c>
      <c r="C5509" t="s">
        <v>8325</v>
      </c>
      <c r="D5509" t="s">
        <v>16234</v>
      </c>
      <c r="E5509" t="s">
        <v>21178</v>
      </c>
      <c r="F5509" t="s">
        <v>28198</v>
      </c>
      <c r="G5509" t="s">
        <v>28207</v>
      </c>
      <c r="H5509" t="s">
        <v>28215</v>
      </c>
      <c r="I5509" t="s">
        <v>5656</v>
      </c>
      <c r="J5509" t="s">
        <v>31850</v>
      </c>
      <c r="K5509" t="s">
        <v>36688</v>
      </c>
      <c r="M5509" t="s">
        <v>38924</v>
      </c>
      <c r="N5509" t="s">
        <v>40436</v>
      </c>
      <c r="O5509" t="s">
        <v>40437</v>
      </c>
      <c r="P5509">
        <v>0</v>
      </c>
      <c r="Q5509">
        <v>1</v>
      </c>
      <c r="R5509" t="s">
        <v>40440</v>
      </c>
      <c r="S5509" t="s">
        <v>40603</v>
      </c>
      <c r="T5509" t="s">
        <v>42205</v>
      </c>
      <c r="U5509" t="s">
        <v>47259</v>
      </c>
      <c r="W5509" t="s">
        <v>38924</v>
      </c>
      <c r="X5509" t="s">
        <v>40441</v>
      </c>
    </row>
    <row r="5510" spans="1:24">
      <c r="A5510">
        <f>HYPERLINK("https://www.philgeps.gov.ph/GEPSNONPILOT/Tender/SplashBidNoticeAbstractUI.aspx?menuIndex=3&amp;refID=7044269&amp;Result=3","7044269")</f>
        <v>0</v>
      </c>
      <c r="B5510" t="s">
        <v>1813</v>
      </c>
      <c r="C5510" t="s">
        <v>8326</v>
      </c>
      <c r="D5510" t="s">
        <v>16213</v>
      </c>
      <c r="E5510" t="s">
        <v>21179</v>
      </c>
      <c r="F5510" t="s">
        <v>28198</v>
      </c>
      <c r="G5510" t="s">
        <v>28205</v>
      </c>
      <c r="H5510" t="s">
        <v>28214</v>
      </c>
      <c r="I5510" t="s">
        <v>3797</v>
      </c>
      <c r="J5510" t="s">
        <v>31851</v>
      </c>
      <c r="K5510" t="s">
        <v>36797</v>
      </c>
      <c r="M5510" t="s">
        <v>38934</v>
      </c>
      <c r="N5510" t="s">
        <v>40436</v>
      </c>
      <c r="O5510" t="s">
        <v>40437</v>
      </c>
      <c r="P5510">
        <v>0</v>
      </c>
      <c r="Q5510">
        <v>0</v>
      </c>
      <c r="R5510" t="s">
        <v>40440</v>
      </c>
      <c r="S5510" t="s">
        <v>40603</v>
      </c>
      <c r="T5510" t="s">
        <v>42110</v>
      </c>
      <c r="U5510" t="s">
        <v>47287</v>
      </c>
      <c r="W5510" t="s">
        <v>38934</v>
      </c>
      <c r="X5510" t="s">
        <v>40441</v>
      </c>
    </row>
    <row r="5511" spans="1:24">
      <c r="A5511">
        <f>HYPERLINK("https://www.philgeps.gov.ph/GEPSNONPILOT/Tender/SplashBidNoticeAbstractUI.aspx?menuIndex=3&amp;refID=7044263&amp;Result=3","7044263")</f>
        <v>0</v>
      </c>
      <c r="B5511" t="s">
        <v>1762</v>
      </c>
      <c r="C5511" t="s">
        <v>8327</v>
      </c>
      <c r="D5511" t="s">
        <v>16217</v>
      </c>
      <c r="E5511" t="s">
        <v>21180</v>
      </c>
      <c r="F5511" t="s">
        <v>28198</v>
      </c>
      <c r="G5511" t="s">
        <v>28207</v>
      </c>
      <c r="H5511" t="s">
        <v>28215</v>
      </c>
      <c r="I5511" t="s">
        <v>3774</v>
      </c>
      <c r="J5511" t="s">
        <v>28941</v>
      </c>
      <c r="K5511" t="s">
        <v>36688</v>
      </c>
      <c r="M5511" t="s">
        <v>38876</v>
      </c>
      <c r="N5511" t="s">
        <v>40436</v>
      </c>
      <c r="O5511" t="s">
        <v>40437</v>
      </c>
      <c r="P5511">
        <v>0</v>
      </c>
      <c r="Q5511">
        <v>0</v>
      </c>
      <c r="R5511" t="s">
        <v>40440</v>
      </c>
      <c r="S5511" t="s">
        <v>40603</v>
      </c>
      <c r="T5511" t="s">
        <v>42297</v>
      </c>
      <c r="U5511" t="s">
        <v>47282</v>
      </c>
      <c r="W5511" t="s">
        <v>38876</v>
      </c>
      <c r="X5511" t="s">
        <v>40441</v>
      </c>
    </row>
    <row r="5512" spans="1:24">
      <c r="A5512">
        <f>HYPERLINK("https://www.philgeps.gov.ph/GEPSNONPILOT/Tender/SplashBidNoticeAbstractUI.aspx?menuIndex=3&amp;refID=7044257&amp;Result=3","7044257")</f>
        <v>0</v>
      </c>
      <c r="B5512" t="s">
        <v>1806</v>
      </c>
      <c r="C5512" t="s">
        <v>8328</v>
      </c>
      <c r="D5512" t="s">
        <v>16234</v>
      </c>
      <c r="E5512" t="s">
        <v>21181</v>
      </c>
      <c r="F5512" t="s">
        <v>28198</v>
      </c>
      <c r="G5512" t="s">
        <v>28207</v>
      </c>
      <c r="H5512" t="s">
        <v>28215</v>
      </c>
      <c r="I5512" t="s">
        <v>4219</v>
      </c>
      <c r="J5512" t="s">
        <v>31852</v>
      </c>
      <c r="K5512" t="s">
        <v>36688</v>
      </c>
      <c r="M5512" t="s">
        <v>38924</v>
      </c>
      <c r="N5512" t="s">
        <v>40436</v>
      </c>
      <c r="O5512" t="s">
        <v>40437</v>
      </c>
      <c r="P5512">
        <v>0</v>
      </c>
      <c r="Q5512">
        <v>2</v>
      </c>
      <c r="R5512" t="s">
        <v>40440</v>
      </c>
      <c r="S5512" t="s">
        <v>40603</v>
      </c>
      <c r="T5512" t="s">
        <v>42205</v>
      </c>
      <c r="U5512" t="s">
        <v>47259</v>
      </c>
      <c r="W5512" t="s">
        <v>38924</v>
      </c>
      <c r="X5512" t="s">
        <v>40441</v>
      </c>
    </row>
    <row r="5513" spans="1:24">
      <c r="A5513">
        <f>HYPERLINK("https://www.philgeps.gov.ph/GEPSNONPILOT/Tender/SplashBidNoticeAbstractUI.aspx?menuIndex=3&amp;refID=7044270&amp;Result=3","7044270")</f>
        <v>0</v>
      </c>
      <c r="B5513" t="s">
        <v>1767</v>
      </c>
      <c r="C5513" t="s">
        <v>8329</v>
      </c>
      <c r="D5513" t="s">
        <v>16266</v>
      </c>
      <c r="E5513" t="s">
        <v>21182</v>
      </c>
      <c r="F5513" t="s">
        <v>28198</v>
      </c>
      <c r="G5513" t="s">
        <v>28205</v>
      </c>
      <c r="H5513" t="s">
        <v>28215</v>
      </c>
      <c r="I5513" t="s">
        <v>8870</v>
      </c>
      <c r="J5513" t="s">
        <v>31853</v>
      </c>
      <c r="K5513" t="s">
        <v>36707</v>
      </c>
      <c r="M5513" t="s">
        <v>38882</v>
      </c>
      <c r="N5513" t="s">
        <v>40436</v>
      </c>
      <c r="O5513" t="s">
        <v>40437</v>
      </c>
      <c r="P5513">
        <v>0</v>
      </c>
      <c r="Q5513">
        <v>0</v>
      </c>
      <c r="R5513" t="s">
        <v>40440</v>
      </c>
      <c r="S5513" t="s">
        <v>40603</v>
      </c>
      <c r="T5513" t="s">
        <v>42110</v>
      </c>
      <c r="U5513" t="s">
        <v>47288</v>
      </c>
      <c r="W5513" t="s">
        <v>38882</v>
      </c>
      <c r="X5513" t="s">
        <v>40441</v>
      </c>
    </row>
    <row r="5514" spans="1:24">
      <c r="A5514">
        <f>HYPERLINK("https://www.philgeps.gov.ph/GEPSNONPILOT/Tender/SplashBidNoticeAbstractUI.aspx?menuIndex=3&amp;refID=7044258&amp;Result=3","7044258")</f>
        <v>0</v>
      </c>
      <c r="B5514" t="s">
        <v>1806</v>
      </c>
      <c r="C5514" t="s">
        <v>8330</v>
      </c>
      <c r="D5514" t="s">
        <v>16234</v>
      </c>
      <c r="E5514" t="s">
        <v>21183</v>
      </c>
      <c r="F5514" t="s">
        <v>28198</v>
      </c>
      <c r="G5514" t="s">
        <v>28207</v>
      </c>
      <c r="H5514" t="s">
        <v>28215</v>
      </c>
      <c r="I5514" t="s">
        <v>5656</v>
      </c>
      <c r="J5514" t="s">
        <v>31844</v>
      </c>
      <c r="K5514" t="s">
        <v>36688</v>
      </c>
      <c r="M5514" t="s">
        <v>38924</v>
      </c>
      <c r="N5514" t="s">
        <v>40436</v>
      </c>
      <c r="O5514" t="s">
        <v>40437</v>
      </c>
      <c r="P5514">
        <v>0</v>
      </c>
      <c r="Q5514">
        <v>1</v>
      </c>
      <c r="R5514" t="s">
        <v>40440</v>
      </c>
      <c r="S5514" t="s">
        <v>40603</v>
      </c>
      <c r="T5514" t="s">
        <v>42205</v>
      </c>
      <c r="U5514" t="s">
        <v>47289</v>
      </c>
      <c r="W5514" t="s">
        <v>38924</v>
      </c>
      <c r="X5514" t="s">
        <v>40441</v>
      </c>
    </row>
    <row r="5515" spans="1:24">
      <c r="A5515">
        <f>HYPERLINK("https://www.philgeps.gov.ph/GEPSNONPILOT/Tender/SplashBidNoticeAbstractUI.aspx?menuIndex=3&amp;refID=7044267&amp;Result=3","7044267")</f>
        <v>0</v>
      </c>
      <c r="B5515" t="s">
        <v>1569</v>
      </c>
      <c r="C5515" t="s">
        <v>8331</v>
      </c>
      <c r="D5515" t="s">
        <v>16189</v>
      </c>
      <c r="E5515" t="s">
        <v>21184</v>
      </c>
      <c r="F5515" t="s">
        <v>28198</v>
      </c>
      <c r="G5515" t="s">
        <v>28205</v>
      </c>
      <c r="H5515" t="s">
        <v>28214</v>
      </c>
      <c r="I5515" t="s">
        <v>3797</v>
      </c>
      <c r="J5515" t="s">
        <v>30873</v>
      </c>
      <c r="K5515" t="s">
        <v>36689</v>
      </c>
      <c r="M5515" t="s">
        <v>38933</v>
      </c>
      <c r="N5515" t="s">
        <v>40436</v>
      </c>
      <c r="O5515" t="s">
        <v>40437</v>
      </c>
      <c r="P5515">
        <v>0</v>
      </c>
      <c r="Q5515">
        <v>0</v>
      </c>
      <c r="R5515" t="s">
        <v>40440</v>
      </c>
      <c r="S5515" t="s">
        <v>40603</v>
      </c>
      <c r="T5515" t="s">
        <v>42106</v>
      </c>
      <c r="U5515" t="s">
        <v>47290</v>
      </c>
      <c r="W5515" t="s">
        <v>38933</v>
      </c>
      <c r="X5515" t="s">
        <v>40441</v>
      </c>
    </row>
    <row r="5516" spans="1:24">
      <c r="A5516">
        <f>HYPERLINK("https://www.philgeps.gov.ph/GEPSNONPILOT/Tender/SplashBidNoticeAbstractUI.aspx?menuIndex=3&amp;refID=7044275&amp;Result=3","7044275")</f>
        <v>0</v>
      </c>
      <c r="B5516" t="s">
        <v>1569</v>
      </c>
      <c r="C5516" t="s">
        <v>8332</v>
      </c>
      <c r="D5516" t="s">
        <v>16189</v>
      </c>
      <c r="E5516" t="s">
        <v>21185</v>
      </c>
      <c r="F5516" t="s">
        <v>28198</v>
      </c>
      <c r="G5516" t="s">
        <v>28205</v>
      </c>
      <c r="H5516" t="s">
        <v>28214</v>
      </c>
      <c r="I5516" t="s">
        <v>3797</v>
      </c>
      <c r="J5516" t="s">
        <v>31854</v>
      </c>
      <c r="K5516" t="s">
        <v>36689</v>
      </c>
      <c r="M5516" t="s">
        <v>38933</v>
      </c>
      <c r="N5516" t="s">
        <v>40436</v>
      </c>
      <c r="O5516" t="s">
        <v>40437</v>
      </c>
      <c r="P5516">
        <v>0</v>
      </c>
      <c r="Q5516">
        <v>0</v>
      </c>
      <c r="R5516" t="s">
        <v>40440</v>
      </c>
      <c r="S5516" t="s">
        <v>40603</v>
      </c>
      <c r="T5516" t="s">
        <v>42106</v>
      </c>
      <c r="U5516" t="s">
        <v>47291</v>
      </c>
      <c r="W5516" t="s">
        <v>38933</v>
      </c>
      <c r="X5516" t="s">
        <v>40441</v>
      </c>
    </row>
    <row r="5517" spans="1:24">
      <c r="A5517">
        <f>HYPERLINK("https://www.philgeps.gov.ph/GEPSNONPILOT/Tender/SplashBidNoticeAbstractUI.aspx?menuIndex=3&amp;refID=7044273&amp;Result=3","7044273")</f>
        <v>0</v>
      </c>
      <c r="B5517" t="s">
        <v>1569</v>
      </c>
      <c r="C5517" t="s">
        <v>8333</v>
      </c>
      <c r="D5517" t="s">
        <v>16189</v>
      </c>
      <c r="E5517" t="s">
        <v>21186</v>
      </c>
      <c r="F5517" t="s">
        <v>28198</v>
      </c>
      <c r="G5517" t="s">
        <v>28205</v>
      </c>
      <c r="H5517" t="s">
        <v>28214</v>
      </c>
      <c r="I5517" t="s">
        <v>3797</v>
      </c>
      <c r="J5517" t="s">
        <v>30873</v>
      </c>
      <c r="K5517" t="s">
        <v>36689</v>
      </c>
      <c r="M5517" t="s">
        <v>38933</v>
      </c>
      <c r="N5517" t="s">
        <v>40436</v>
      </c>
      <c r="O5517" t="s">
        <v>40437</v>
      </c>
      <c r="P5517">
        <v>0</v>
      </c>
      <c r="Q5517">
        <v>0</v>
      </c>
      <c r="R5517" t="s">
        <v>40440</v>
      </c>
      <c r="S5517" t="s">
        <v>40603</v>
      </c>
      <c r="T5517" t="s">
        <v>42106</v>
      </c>
      <c r="U5517" t="s">
        <v>47292</v>
      </c>
      <c r="W5517" t="s">
        <v>38933</v>
      </c>
      <c r="X5517" t="s">
        <v>40441</v>
      </c>
    </row>
    <row r="5518" spans="1:24">
      <c r="A5518">
        <f>HYPERLINK("https://www.philgeps.gov.ph/GEPSNONPILOT/Tender/SplashBidNoticeAbstractUI.aspx?menuIndex=3&amp;refID=7044268&amp;Result=3","7044268")</f>
        <v>0</v>
      </c>
      <c r="B5518" t="s">
        <v>1814</v>
      </c>
      <c r="C5518" t="s">
        <v>8334</v>
      </c>
      <c r="D5518" t="s">
        <v>16219</v>
      </c>
      <c r="E5518" t="s">
        <v>16530</v>
      </c>
      <c r="F5518" t="s">
        <v>28198</v>
      </c>
      <c r="G5518" t="s">
        <v>28205</v>
      </c>
      <c r="H5518" t="s">
        <v>28215</v>
      </c>
      <c r="I5518" t="s">
        <v>5100</v>
      </c>
      <c r="J5518" t="s">
        <v>31855</v>
      </c>
      <c r="K5518" t="s">
        <v>36706</v>
      </c>
      <c r="M5518" t="s">
        <v>38935</v>
      </c>
      <c r="N5518" t="s">
        <v>40436</v>
      </c>
      <c r="O5518" t="s">
        <v>40437</v>
      </c>
      <c r="P5518">
        <v>0</v>
      </c>
      <c r="Q5518">
        <v>0</v>
      </c>
      <c r="R5518" t="s">
        <v>40440</v>
      </c>
      <c r="S5518" t="s">
        <v>40603</v>
      </c>
      <c r="T5518" t="s">
        <v>42176</v>
      </c>
      <c r="U5518" t="s">
        <v>47293</v>
      </c>
      <c r="W5518" t="s">
        <v>38935</v>
      </c>
      <c r="X5518" t="s">
        <v>40441</v>
      </c>
    </row>
    <row r="5519" spans="1:24">
      <c r="A5519">
        <f>HYPERLINK("https://www.philgeps.gov.ph/GEPSNONPILOT/Tender/SplashBidNoticeAbstractUI.aspx?menuIndex=3&amp;refID=7044272&amp;Result=3","7044272")</f>
        <v>0</v>
      </c>
      <c r="B5519" t="s">
        <v>1569</v>
      </c>
      <c r="C5519" t="s">
        <v>8335</v>
      </c>
      <c r="D5519" t="s">
        <v>16189</v>
      </c>
      <c r="E5519" t="s">
        <v>21187</v>
      </c>
      <c r="F5519" t="s">
        <v>28198</v>
      </c>
      <c r="G5519" t="s">
        <v>28205</v>
      </c>
      <c r="H5519" t="s">
        <v>28214</v>
      </c>
      <c r="I5519" t="s">
        <v>3797</v>
      </c>
      <c r="J5519" t="s">
        <v>31856</v>
      </c>
      <c r="K5519" t="s">
        <v>36689</v>
      </c>
      <c r="M5519" t="s">
        <v>38933</v>
      </c>
      <c r="N5519" t="s">
        <v>40436</v>
      </c>
      <c r="O5519" t="s">
        <v>40437</v>
      </c>
      <c r="P5519">
        <v>0</v>
      </c>
      <c r="Q5519">
        <v>0</v>
      </c>
      <c r="R5519" t="s">
        <v>40440</v>
      </c>
      <c r="S5519" t="s">
        <v>40603</v>
      </c>
      <c r="T5519" t="s">
        <v>42106</v>
      </c>
      <c r="U5519" t="s">
        <v>47294</v>
      </c>
      <c r="W5519" t="s">
        <v>38933</v>
      </c>
      <c r="X5519" t="s">
        <v>40441</v>
      </c>
    </row>
    <row r="5520" spans="1:24">
      <c r="A5520">
        <f>HYPERLINK("https://www.philgeps.gov.ph/GEPSNONPILOT/Tender/SplashBidNoticeAbstractUI.aspx?menuIndex=3&amp;refID=7044261&amp;Result=3","7044261")</f>
        <v>0</v>
      </c>
      <c r="B5520" t="s">
        <v>1813</v>
      </c>
      <c r="C5520" t="s">
        <v>8336</v>
      </c>
      <c r="D5520" t="s">
        <v>16213</v>
      </c>
      <c r="E5520" t="s">
        <v>21188</v>
      </c>
      <c r="F5520" t="s">
        <v>28198</v>
      </c>
      <c r="G5520" t="s">
        <v>28205</v>
      </c>
      <c r="H5520" t="s">
        <v>28214</v>
      </c>
      <c r="I5520" t="s">
        <v>3797</v>
      </c>
      <c r="J5520" t="s">
        <v>31857</v>
      </c>
      <c r="K5520" t="s">
        <v>36827</v>
      </c>
      <c r="M5520" t="s">
        <v>38934</v>
      </c>
      <c r="N5520" t="s">
        <v>40436</v>
      </c>
      <c r="O5520" t="s">
        <v>40437</v>
      </c>
      <c r="P5520">
        <v>0</v>
      </c>
      <c r="Q5520">
        <v>0</v>
      </c>
      <c r="R5520" t="s">
        <v>40440</v>
      </c>
      <c r="S5520" t="s">
        <v>40603</v>
      </c>
      <c r="T5520" t="s">
        <v>42110</v>
      </c>
      <c r="U5520" t="s">
        <v>47295</v>
      </c>
      <c r="W5520" t="s">
        <v>38934</v>
      </c>
      <c r="X5520" t="s">
        <v>40441</v>
      </c>
    </row>
    <row r="5521" spans="1:24">
      <c r="A5521">
        <f>HYPERLINK("https://www.philgeps.gov.ph/GEPSNONPILOT/Tender/SplashBidNoticeAbstractUI.aspx?menuIndex=3&amp;refID=7044276&amp;Result=3","7044276")</f>
        <v>0</v>
      </c>
      <c r="B5521" t="s">
        <v>1815</v>
      </c>
      <c r="C5521" t="s">
        <v>8337</v>
      </c>
      <c r="D5521" t="s">
        <v>16237</v>
      </c>
      <c r="E5521" t="s">
        <v>21189</v>
      </c>
      <c r="F5521" t="s">
        <v>28198</v>
      </c>
      <c r="G5521" t="s">
        <v>28205</v>
      </c>
      <c r="H5521" t="s">
        <v>28215</v>
      </c>
      <c r="I5521" t="s">
        <v>28222</v>
      </c>
      <c r="J5521" t="s">
        <v>31858</v>
      </c>
      <c r="K5521" t="s">
        <v>36701</v>
      </c>
      <c r="M5521" t="s">
        <v>38936</v>
      </c>
      <c r="N5521" t="s">
        <v>40436</v>
      </c>
      <c r="O5521" t="s">
        <v>40437</v>
      </c>
      <c r="P5521">
        <v>0</v>
      </c>
      <c r="Q5521">
        <v>6</v>
      </c>
      <c r="R5521" t="s">
        <v>40440</v>
      </c>
      <c r="S5521" t="s">
        <v>40603</v>
      </c>
      <c r="T5521" t="s">
        <v>42279</v>
      </c>
      <c r="U5521" t="s">
        <v>47296</v>
      </c>
      <c r="W5521" t="s">
        <v>38936</v>
      </c>
      <c r="X5521" t="s">
        <v>40441</v>
      </c>
    </row>
    <row r="5522" spans="1:24">
      <c r="A5522">
        <f>HYPERLINK("https://www.philgeps.gov.ph/GEPSNONPILOT/Tender/SplashBidNoticeAbstractUI.aspx?menuIndex=3&amp;refID=7044262&amp;Result=3","7044262")</f>
        <v>0</v>
      </c>
      <c r="B5522" t="s">
        <v>1816</v>
      </c>
      <c r="C5522" t="s">
        <v>8338</v>
      </c>
      <c r="D5522" t="s">
        <v>16244</v>
      </c>
      <c r="E5522" t="s">
        <v>21190</v>
      </c>
      <c r="F5522" t="s">
        <v>28198</v>
      </c>
      <c r="G5522" t="s">
        <v>28210</v>
      </c>
      <c r="H5522" t="s">
        <v>28215</v>
      </c>
      <c r="I5522" t="s">
        <v>28257</v>
      </c>
      <c r="J5522" t="s">
        <v>29531</v>
      </c>
      <c r="K5522" t="s">
        <v>36691</v>
      </c>
      <c r="M5522" t="s">
        <v>38937</v>
      </c>
      <c r="N5522" t="s">
        <v>40436</v>
      </c>
      <c r="O5522" t="s">
        <v>40437</v>
      </c>
      <c r="P5522">
        <v>0</v>
      </c>
      <c r="Q5522">
        <v>1</v>
      </c>
      <c r="R5522" t="s">
        <v>40440</v>
      </c>
      <c r="S5522" t="s">
        <v>40603</v>
      </c>
      <c r="T5522" t="s">
        <v>42190</v>
      </c>
      <c r="U5522" t="s">
        <v>47297</v>
      </c>
      <c r="V5522" t="s">
        <v>54315</v>
      </c>
      <c r="W5522" t="s">
        <v>38937</v>
      </c>
      <c r="X5522" t="s">
        <v>40441</v>
      </c>
    </row>
    <row r="5523" spans="1:24">
      <c r="A5523">
        <f>HYPERLINK("https://www.philgeps.gov.ph/GEPSNONPILOT/Tender/SplashBidNoticeAbstractUI.aspx?menuIndex=3&amp;refID=7044282&amp;Result=3","7044282")</f>
        <v>0</v>
      </c>
      <c r="B5523" t="s">
        <v>1767</v>
      </c>
      <c r="C5523" t="s">
        <v>8339</v>
      </c>
      <c r="D5523" t="s">
        <v>16266</v>
      </c>
      <c r="E5523" t="s">
        <v>21191</v>
      </c>
      <c r="F5523" t="s">
        <v>28198</v>
      </c>
      <c r="G5523" t="s">
        <v>28205</v>
      </c>
      <c r="H5523" t="s">
        <v>28215</v>
      </c>
      <c r="I5523" t="s">
        <v>28257</v>
      </c>
      <c r="J5523" t="s">
        <v>29737</v>
      </c>
      <c r="K5523" t="s">
        <v>36707</v>
      </c>
      <c r="M5523" t="s">
        <v>38882</v>
      </c>
      <c r="N5523" t="s">
        <v>40436</v>
      </c>
      <c r="O5523" t="s">
        <v>40437</v>
      </c>
      <c r="P5523">
        <v>0</v>
      </c>
      <c r="Q5523">
        <v>1</v>
      </c>
      <c r="R5523" t="s">
        <v>40440</v>
      </c>
      <c r="S5523" t="s">
        <v>40603</v>
      </c>
      <c r="T5523" t="s">
        <v>42110</v>
      </c>
      <c r="U5523" t="s">
        <v>47298</v>
      </c>
      <c r="W5523" t="s">
        <v>38882</v>
      </c>
      <c r="X5523" t="s">
        <v>40441</v>
      </c>
    </row>
    <row r="5524" spans="1:24">
      <c r="A5524">
        <f>HYPERLINK("https://www.philgeps.gov.ph/GEPSNONPILOT/Tender/SplashBidNoticeAbstractUI.aspx?menuIndex=3&amp;refID=7044285&amp;Result=3","7044285")</f>
        <v>0</v>
      </c>
      <c r="B5524" t="s">
        <v>1817</v>
      </c>
      <c r="C5524" t="s">
        <v>8340</v>
      </c>
      <c r="D5524" t="s">
        <v>16254</v>
      </c>
      <c r="E5524" t="s">
        <v>21192</v>
      </c>
      <c r="F5524" t="s">
        <v>28198</v>
      </c>
      <c r="G5524" t="s">
        <v>28207</v>
      </c>
      <c r="H5524" t="s">
        <v>28215</v>
      </c>
      <c r="I5524" t="s">
        <v>28227</v>
      </c>
      <c r="J5524" t="s">
        <v>31859</v>
      </c>
      <c r="K5524" t="s">
        <v>36701</v>
      </c>
      <c r="M5524" t="s">
        <v>38938</v>
      </c>
      <c r="N5524" t="s">
        <v>40436</v>
      </c>
      <c r="O5524" t="s">
        <v>40437</v>
      </c>
      <c r="P5524">
        <v>0</v>
      </c>
      <c r="Q5524">
        <v>0</v>
      </c>
      <c r="R5524" t="s">
        <v>40440</v>
      </c>
      <c r="S5524" t="s">
        <v>40603</v>
      </c>
      <c r="T5524" t="s">
        <v>42277</v>
      </c>
      <c r="U5524" t="s">
        <v>47299</v>
      </c>
      <c r="V5524" t="s">
        <v>54316</v>
      </c>
      <c r="W5524" t="s">
        <v>38938</v>
      </c>
      <c r="X5524" t="s">
        <v>40441</v>
      </c>
    </row>
    <row r="5525" spans="1:24">
      <c r="A5525">
        <f>HYPERLINK("https://www.philgeps.gov.ph/GEPSNONPILOT/Tender/SplashBidNoticeAbstractUI.aspx?menuIndex=3&amp;refID=7044286&amp;Result=3","7044286")</f>
        <v>0</v>
      </c>
      <c r="B5525" t="s">
        <v>1817</v>
      </c>
      <c r="C5525" t="s">
        <v>8341</v>
      </c>
      <c r="D5525" t="s">
        <v>16254</v>
      </c>
      <c r="E5525" t="s">
        <v>21193</v>
      </c>
      <c r="F5525" t="s">
        <v>28198</v>
      </c>
      <c r="G5525" t="s">
        <v>28207</v>
      </c>
      <c r="H5525" t="s">
        <v>28215</v>
      </c>
      <c r="I5525" t="s">
        <v>28227</v>
      </c>
      <c r="J5525" t="s">
        <v>31860</v>
      </c>
      <c r="K5525" t="s">
        <v>36701</v>
      </c>
      <c r="M5525" t="s">
        <v>38938</v>
      </c>
      <c r="N5525" t="s">
        <v>40436</v>
      </c>
      <c r="O5525" t="s">
        <v>40437</v>
      </c>
      <c r="P5525">
        <v>0</v>
      </c>
      <c r="Q5525">
        <v>0</v>
      </c>
      <c r="R5525" t="s">
        <v>40440</v>
      </c>
      <c r="S5525" t="s">
        <v>40603</v>
      </c>
      <c r="T5525" t="s">
        <v>42277</v>
      </c>
      <c r="U5525" t="s">
        <v>47299</v>
      </c>
      <c r="V5525" t="s">
        <v>54316</v>
      </c>
      <c r="W5525" t="s">
        <v>38938</v>
      </c>
      <c r="X5525" t="s">
        <v>40441</v>
      </c>
    </row>
    <row r="5526" spans="1:24">
      <c r="A5526">
        <f>HYPERLINK("https://www.philgeps.gov.ph/GEPSNONPILOT/Tender/SplashBidNoticeAbstractUI.aspx?menuIndex=3&amp;refID=7044283&amp;Result=3","7044283")</f>
        <v>0</v>
      </c>
      <c r="B5526" t="s">
        <v>1812</v>
      </c>
      <c r="C5526" t="s">
        <v>8342</v>
      </c>
      <c r="D5526" t="s">
        <v>16235</v>
      </c>
      <c r="E5526" t="s">
        <v>19305</v>
      </c>
      <c r="F5526" t="s">
        <v>28198</v>
      </c>
      <c r="G5526" t="s">
        <v>28206</v>
      </c>
      <c r="H5526" t="s">
        <v>28214</v>
      </c>
      <c r="I5526" t="s">
        <v>4505</v>
      </c>
      <c r="J5526" t="s">
        <v>28589</v>
      </c>
      <c r="K5526" t="s">
        <v>36689</v>
      </c>
      <c r="M5526" t="s">
        <v>38932</v>
      </c>
      <c r="N5526" t="s">
        <v>40436</v>
      </c>
      <c r="O5526" t="s">
        <v>40437</v>
      </c>
      <c r="P5526">
        <v>0</v>
      </c>
      <c r="Q5526">
        <v>0</v>
      </c>
      <c r="R5526" t="s">
        <v>40440</v>
      </c>
      <c r="S5526" t="s">
        <v>40603</v>
      </c>
      <c r="T5526" t="s">
        <v>42142</v>
      </c>
      <c r="U5526" t="s">
        <v>47300</v>
      </c>
      <c r="W5526" t="s">
        <v>38932</v>
      </c>
      <c r="X5526" t="s">
        <v>40441</v>
      </c>
    </row>
    <row r="5527" spans="1:24">
      <c r="A5527">
        <f>HYPERLINK("https://www.philgeps.gov.ph/GEPSNONPILOT/Tender/SplashBidNoticeAbstractUI.aspx?menuIndex=3&amp;refID=7044281&amp;Result=3","7044281")</f>
        <v>0</v>
      </c>
      <c r="B5527" t="s">
        <v>1813</v>
      </c>
      <c r="C5527" t="s">
        <v>6543</v>
      </c>
      <c r="D5527" t="s">
        <v>16213</v>
      </c>
      <c r="E5527" t="s">
        <v>21194</v>
      </c>
      <c r="F5527" t="s">
        <v>28198</v>
      </c>
      <c r="G5527" t="s">
        <v>28205</v>
      </c>
      <c r="H5527" t="s">
        <v>28215</v>
      </c>
      <c r="I5527" t="s">
        <v>28250</v>
      </c>
      <c r="J5527" t="s">
        <v>31861</v>
      </c>
      <c r="K5527" t="s">
        <v>36701</v>
      </c>
      <c r="M5527" t="s">
        <v>38934</v>
      </c>
      <c r="N5527" t="s">
        <v>40436</v>
      </c>
      <c r="O5527" t="s">
        <v>40437</v>
      </c>
      <c r="P5527">
        <v>0</v>
      </c>
      <c r="Q5527">
        <v>5</v>
      </c>
      <c r="R5527" t="s">
        <v>40440</v>
      </c>
      <c r="S5527" t="s">
        <v>40603</v>
      </c>
      <c r="T5527" t="s">
        <v>42110</v>
      </c>
      <c r="U5527" t="s">
        <v>47301</v>
      </c>
      <c r="W5527" t="s">
        <v>38934</v>
      </c>
      <c r="X5527" t="s">
        <v>40441</v>
      </c>
    </row>
    <row r="5528" spans="1:24">
      <c r="A5528">
        <f>HYPERLINK("https://www.philgeps.gov.ph/GEPSNONPILOT/Tender/SplashBidNoticeAbstractUI.aspx?menuIndex=3&amp;refID=7044279&amp;Result=3","7044279")</f>
        <v>0</v>
      </c>
      <c r="B5528" t="s">
        <v>1813</v>
      </c>
      <c r="C5528" t="s">
        <v>8343</v>
      </c>
      <c r="D5528" t="s">
        <v>16213</v>
      </c>
      <c r="E5528" t="s">
        <v>21195</v>
      </c>
      <c r="F5528" t="s">
        <v>28198</v>
      </c>
      <c r="G5528" t="s">
        <v>28205</v>
      </c>
      <c r="H5528" t="s">
        <v>28214</v>
      </c>
      <c r="I5528" t="s">
        <v>3797</v>
      </c>
      <c r="J5528" t="s">
        <v>31862</v>
      </c>
      <c r="K5528" t="s">
        <v>36775</v>
      </c>
      <c r="M5528" t="s">
        <v>38934</v>
      </c>
      <c r="N5528" t="s">
        <v>40436</v>
      </c>
      <c r="O5528" t="s">
        <v>40437</v>
      </c>
      <c r="P5528">
        <v>0</v>
      </c>
      <c r="Q5528">
        <v>0</v>
      </c>
      <c r="R5528" t="s">
        <v>40440</v>
      </c>
      <c r="S5528" t="s">
        <v>40603</v>
      </c>
      <c r="T5528" t="s">
        <v>42110</v>
      </c>
      <c r="U5528" t="s">
        <v>47302</v>
      </c>
      <c r="W5528" t="s">
        <v>38934</v>
      </c>
      <c r="X5528" t="s">
        <v>40441</v>
      </c>
    </row>
    <row r="5529" spans="1:24">
      <c r="A5529">
        <f>HYPERLINK("https://www.philgeps.gov.ph/GEPSNONPILOT/Tender/SplashBidNoticeAbstractUI.aspx?menuIndex=3&amp;refID=7044280&amp;Result=3","7044280")</f>
        <v>0</v>
      </c>
      <c r="B5529" t="s">
        <v>1818</v>
      </c>
      <c r="C5529" t="s">
        <v>8344</v>
      </c>
      <c r="D5529" t="s">
        <v>16195</v>
      </c>
      <c r="E5529" t="s">
        <v>21196</v>
      </c>
      <c r="F5529" t="s">
        <v>28198</v>
      </c>
      <c r="G5529" t="s">
        <v>28207</v>
      </c>
      <c r="H5529" t="s">
        <v>28215</v>
      </c>
      <c r="I5529" t="s">
        <v>3774</v>
      </c>
      <c r="J5529" t="s">
        <v>31863</v>
      </c>
      <c r="K5529" t="s">
        <v>36707</v>
      </c>
      <c r="M5529" t="s">
        <v>38939</v>
      </c>
      <c r="N5529" t="s">
        <v>40436</v>
      </c>
      <c r="O5529" t="s">
        <v>40437</v>
      </c>
      <c r="P5529">
        <v>0</v>
      </c>
      <c r="Q5529">
        <v>0</v>
      </c>
      <c r="R5529" t="s">
        <v>40440</v>
      </c>
      <c r="S5529" t="s">
        <v>40603</v>
      </c>
      <c r="T5529" t="s">
        <v>42233</v>
      </c>
      <c r="U5529" t="s">
        <v>47303</v>
      </c>
      <c r="W5529" t="s">
        <v>38939</v>
      </c>
      <c r="X5529" t="s">
        <v>40441</v>
      </c>
    </row>
    <row r="5530" spans="1:24">
      <c r="A5530">
        <f>HYPERLINK("https://www.philgeps.gov.ph/GEPSNONPILOT/Tender/SplashBidNoticeAbstractUI.aspx?menuIndex=3&amp;refID=7044278&amp;Result=3","7044278")</f>
        <v>0</v>
      </c>
      <c r="B5530" t="s">
        <v>1762</v>
      </c>
      <c r="C5530" t="s">
        <v>8345</v>
      </c>
      <c r="D5530" t="s">
        <v>16217</v>
      </c>
      <c r="E5530" t="s">
        <v>21197</v>
      </c>
      <c r="F5530" t="s">
        <v>28198</v>
      </c>
      <c r="G5530" t="s">
        <v>28207</v>
      </c>
      <c r="H5530" t="s">
        <v>28215</v>
      </c>
      <c r="I5530" t="s">
        <v>3774</v>
      </c>
      <c r="J5530" t="s">
        <v>31864</v>
      </c>
      <c r="K5530" t="s">
        <v>36688</v>
      </c>
      <c r="M5530" t="s">
        <v>38876</v>
      </c>
      <c r="N5530" t="s">
        <v>40436</v>
      </c>
      <c r="O5530" t="s">
        <v>40437</v>
      </c>
      <c r="P5530">
        <v>0</v>
      </c>
      <c r="Q5530">
        <v>0</v>
      </c>
      <c r="R5530" t="s">
        <v>40440</v>
      </c>
      <c r="S5530" t="s">
        <v>40603</v>
      </c>
      <c r="T5530" t="s">
        <v>42297</v>
      </c>
      <c r="U5530" t="s">
        <v>47304</v>
      </c>
      <c r="W5530" t="s">
        <v>38876</v>
      </c>
      <c r="X5530" t="s">
        <v>40441</v>
      </c>
    </row>
    <row r="5531" spans="1:24">
      <c r="A5531">
        <f>HYPERLINK("https://www.philgeps.gov.ph/GEPSNONPILOT/Tender/SplashBidNoticeAbstractUI.aspx?menuIndex=3&amp;refID=7044277&amp;Result=3","7044277")</f>
        <v>0</v>
      </c>
      <c r="B5531" t="s">
        <v>1569</v>
      </c>
      <c r="C5531" t="s">
        <v>8346</v>
      </c>
      <c r="D5531" t="s">
        <v>16189</v>
      </c>
      <c r="E5531" t="s">
        <v>21198</v>
      </c>
      <c r="F5531" t="s">
        <v>28198</v>
      </c>
      <c r="G5531" t="s">
        <v>28205</v>
      </c>
      <c r="H5531" t="s">
        <v>28214</v>
      </c>
      <c r="I5531" t="s">
        <v>3797</v>
      </c>
      <c r="J5531" t="s">
        <v>28683</v>
      </c>
      <c r="K5531" t="s">
        <v>36689</v>
      </c>
      <c r="M5531" t="s">
        <v>38933</v>
      </c>
      <c r="N5531" t="s">
        <v>40436</v>
      </c>
      <c r="O5531" t="s">
        <v>40437</v>
      </c>
      <c r="P5531">
        <v>0</v>
      </c>
      <c r="Q5531">
        <v>1</v>
      </c>
      <c r="R5531" t="s">
        <v>40440</v>
      </c>
      <c r="S5531" t="s">
        <v>40603</v>
      </c>
      <c r="T5531" t="s">
        <v>42106</v>
      </c>
      <c r="U5531" t="s">
        <v>47305</v>
      </c>
      <c r="W5531" t="s">
        <v>38933</v>
      </c>
      <c r="X5531" t="s">
        <v>40441</v>
      </c>
    </row>
    <row r="5532" spans="1:24">
      <c r="A5532">
        <f>HYPERLINK("https://www.philgeps.gov.ph/GEPSNONPILOT/Tender/SplashBidNoticeAbstractUI.aspx?menuIndex=3&amp;refID=7044288&amp;Result=3","7044288")</f>
        <v>0</v>
      </c>
      <c r="B5532" t="s">
        <v>465</v>
      </c>
      <c r="C5532" t="s">
        <v>8347</v>
      </c>
      <c r="D5532" t="s">
        <v>16264</v>
      </c>
      <c r="E5532" t="s">
        <v>21199</v>
      </c>
      <c r="F5532" t="s">
        <v>28198</v>
      </c>
      <c r="G5532" t="s">
        <v>28207</v>
      </c>
      <c r="H5532" t="s">
        <v>28215</v>
      </c>
      <c r="I5532" t="s">
        <v>5100</v>
      </c>
      <c r="J5532" t="s">
        <v>31865</v>
      </c>
      <c r="K5532" t="s">
        <v>36689</v>
      </c>
      <c r="M5532" t="s">
        <v>37450</v>
      </c>
      <c r="N5532" t="s">
        <v>40436</v>
      </c>
      <c r="O5532" t="s">
        <v>40437</v>
      </c>
      <c r="P5532">
        <v>0</v>
      </c>
      <c r="Q5532">
        <v>0</v>
      </c>
      <c r="R5532" t="s">
        <v>40440</v>
      </c>
      <c r="S5532" t="s">
        <v>40603</v>
      </c>
      <c r="T5532" t="s">
        <v>42245</v>
      </c>
      <c r="U5532" t="s">
        <v>47306</v>
      </c>
      <c r="W5532" t="s">
        <v>37450</v>
      </c>
      <c r="X5532" t="s">
        <v>40441</v>
      </c>
    </row>
    <row r="5533" spans="1:24">
      <c r="A5533">
        <f>HYPERLINK("https://www.philgeps.gov.ph/GEPSNONPILOT/Tender/SplashBidNoticeAbstractUI.aspx?menuIndex=3&amp;refID=7044293&amp;Result=3","7044293")</f>
        <v>0</v>
      </c>
      <c r="B5533" t="s">
        <v>1767</v>
      </c>
      <c r="C5533" t="s">
        <v>8348</v>
      </c>
      <c r="D5533" t="s">
        <v>16266</v>
      </c>
      <c r="E5533" t="s">
        <v>21200</v>
      </c>
      <c r="F5533" t="s">
        <v>28198</v>
      </c>
      <c r="G5533" t="s">
        <v>28205</v>
      </c>
      <c r="H5533" t="s">
        <v>28215</v>
      </c>
      <c r="I5533" t="s">
        <v>5100</v>
      </c>
      <c r="J5533" t="s">
        <v>31866</v>
      </c>
      <c r="K5533" t="s">
        <v>36707</v>
      </c>
      <c r="M5533" t="s">
        <v>38882</v>
      </c>
      <c r="N5533" t="s">
        <v>40436</v>
      </c>
      <c r="O5533" t="s">
        <v>40437</v>
      </c>
      <c r="P5533">
        <v>0</v>
      </c>
      <c r="Q5533">
        <v>0</v>
      </c>
      <c r="R5533" t="s">
        <v>40440</v>
      </c>
      <c r="S5533" t="s">
        <v>40603</v>
      </c>
      <c r="T5533" t="s">
        <v>42110</v>
      </c>
      <c r="U5533" t="s">
        <v>47307</v>
      </c>
      <c r="W5533" t="s">
        <v>38882</v>
      </c>
      <c r="X5533" t="s">
        <v>40441</v>
      </c>
    </row>
    <row r="5534" spans="1:24">
      <c r="A5534">
        <f>HYPERLINK("https://www.philgeps.gov.ph/GEPSNONPILOT/Tender/SplashBidNoticeAbstractUI.aspx?menuIndex=3&amp;refID=7044296&amp;Result=3","7044296")</f>
        <v>0</v>
      </c>
      <c r="B5534" t="s">
        <v>904</v>
      </c>
      <c r="C5534" t="s">
        <v>5277</v>
      </c>
      <c r="D5534" t="s">
        <v>16233</v>
      </c>
      <c r="E5534" t="s">
        <v>21201</v>
      </c>
      <c r="F5534" t="s">
        <v>28198</v>
      </c>
      <c r="G5534" t="s">
        <v>28207</v>
      </c>
      <c r="H5534" t="s">
        <v>28215</v>
      </c>
      <c r="I5534" t="s">
        <v>28225</v>
      </c>
      <c r="J5534" t="s">
        <v>31867</v>
      </c>
      <c r="K5534" t="s">
        <v>36706</v>
      </c>
      <c r="M5534" t="s">
        <v>38008</v>
      </c>
      <c r="N5534" t="s">
        <v>40436</v>
      </c>
      <c r="O5534" t="s">
        <v>40437</v>
      </c>
      <c r="P5534">
        <v>0</v>
      </c>
      <c r="Q5534">
        <v>0</v>
      </c>
      <c r="R5534" t="s">
        <v>40440</v>
      </c>
      <c r="S5534" t="s">
        <v>40603</v>
      </c>
      <c r="T5534" t="s">
        <v>42245</v>
      </c>
      <c r="U5534" t="s">
        <v>47308</v>
      </c>
      <c r="W5534" t="s">
        <v>38008</v>
      </c>
      <c r="X5534" t="s">
        <v>40441</v>
      </c>
    </row>
    <row r="5535" spans="1:24">
      <c r="A5535">
        <f>HYPERLINK("https://www.philgeps.gov.ph/GEPSNONPILOT/Tender/SplashBidNoticeAbstractUI.aspx?menuIndex=3&amp;refID=7044297&amp;Result=3","7044297")</f>
        <v>0</v>
      </c>
      <c r="B5535" t="s">
        <v>1817</v>
      </c>
      <c r="C5535" t="s">
        <v>8349</v>
      </c>
      <c r="D5535" t="s">
        <v>16254</v>
      </c>
      <c r="E5535" t="s">
        <v>21202</v>
      </c>
      <c r="F5535" t="s">
        <v>28198</v>
      </c>
      <c r="G5535" t="s">
        <v>28207</v>
      </c>
      <c r="H5535" t="s">
        <v>28215</v>
      </c>
      <c r="I5535" t="s">
        <v>28227</v>
      </c>
      <c r="J5535" t="s">
        <v>31868</v>
      </c>
      <c r="K5535" t="s">
        <v>36701</v>
      </c>
      <c r="M5535" t="s">
        <v>38938</v>
      </c>
      <c r="N5535" t="s">
        <v>40436</v>
      </c>
      <c r="O5535" t="s">
        <v>40437</v>
      </c>
      <c r="P5535">
        <v>0</v>
      </c>
      <c r="Q5535">
        <v>0</v>
      </c>
      <c r="R5535" t="s">
        <v>40440</v>
      </c>
      <c r="S5535" t="s">
        <v>40603</v>
      </c>
      <c r="T5535" t="s">
        <v>42277</v>
      </c>
      <c r="U5535" t="s">
        <v>47299</v>
      </c>
      <c r="V5535" t="s">
        <v>54316</v>
      </c>
      <c r="W5535" t="s">
        <v>38938</v>
      </c>
      <c r="X5535" t="s">
        <v>40441</v>
      </c>
    </row>
    <row r="5536" spans="1:24">
      <c r="A5536">
        <f>HYPERLINK("https://www.philgeps.gov.ph/GEPSNONPILOT/Tender/SplashBidNoticeAbstractUI.aspx?menuIndex=3&amp;refID=7044292&amp;Result=3","7044292")</f>
        <v>0</v>
      </c>
      <c r="B5536" t="s">
        <v>1817</v>
      </c>
      <c r="C5536" t="s">
        <v>8350</v>
      </c>
      <c r="D5536" t="s">
        <v>16254</v>
      </c>
      <c r="E5536" t="s">
        <v>21203</v>
      </c>
      <c r="F5536" t="s">
        <v>28198</v>
      </c>
      <c r="G5536" t="s">
        <v>28207</v>
      </c>
      <c r="H5536" t="s">
        <v>28215</v>
      </c>
      <c r="I5536" t="s">
        <v>28227</v>
      </c>
      <c r="J5536" t="s">
        <v>31869</v>
      </c>
      <c r="K5536" t="s">
        <v>36701</v>
      </c>
      <c r="M5536" t="s">
        <v>38938</v>
      </c>
      <c r="N5536" t="s">
        <v>40436</v>
      </c>
      <c r="O5536" t="s">
        <v>40437</v>
      </c>
      <c r="P5536">
        <v>0</v>
      </c>
      <c r="Q5536">
        <v>0</v>
      </c>
      <c r="R5536" t="s">
        <v>40440</v>
      </c>
      <c r="S5536" t="s">
        <v>40603</v>
      </c>
      <c r="T5536" t="s">
        <v>42277</v>
      </c>
      <c r="U5536" t="s">
        <v>47299</v>
      </c>
      <c r="V5536" t="s">
        <v>54316</v>
      </c>
      <c r="W5536" t="s">
        <v>38938</v>
      </c>
      <c r="X5536" t="s">
        <v>40441</v>
      </c>
    </row>
    <row r="5537" spans="1:24">
      <c r="A5537">
        <f>HYPERLINK("https://www.philgeps.gov.ph/GEPSNONPILOT/Tender/SplashBidNoticeAbstractUI.aspx?menuIndex=3&amp;refID=7044291&amp;Result=3","7044291")</f>
        <v>0</v>
      </c>
      <c r="B5537" t="s">
        <v>236</v>
      </c>
      <c r="C5537" t="s">
        <v>8351</v>
      </c>
      <c r="D5537" t="s">
        <v>16200</v>
      </c>
      <c r="E5537" t="s">
        <v>21204</v>
      </c>
      <c r="F5537" t="s">
        <v>28198</v>
      </c>
      <c r="G5537" t="s">
        <v>28207</v>
      </c>
      <c r="H5537" t="s">
        <v>28215</v>
      </c>
      <c r="I5537" t="s">
        <v>28252</v>
      </c>
      <c r="J5537" t="s">
        <v>28631</v>
      </c>
      <c r="K5537" t="s">
        <v>36691</v>
      </c>
      <c r="M5537" t="s">
        <v>37212</v>
      </c>
      <c r="N5537" t="s">
        <v>40436</v>
      </c>
      <c r="O5537" t="s">
        <v>40437</v>
      </c>
      <c r="P5537">
        <v>0</v>
      </c>
      <c r="Q5537">
        <v>1</v>
      </c>
      <c r="R5537" t="s">
        <v>40440</v>
      </c>
      <c r="S5537" t="s">
        <v>40603</v>
      </c>
      <c r="T5537" t="s">
        <v>42233</v>
      </c>
      <c r="U5537" t="s">
        <v>47309</v>
      </c>
      <c r="W5537" t="s">
        <v>37212</v>
      </c>
      <c r="X5537" t="s">
        <v>40441</v>
      </c>
    </row>
    <row r="5538" spans="1:24">
      <c r="A5538">
        <f>HYPERLINK("https://www.philgeps.gov.ph/GEPSNONPILOT/Tender/SplashBidNoticeAbstractUI.aspx?menuIndex=3&amp;refID=7044299&amp;Result=3","7044299")</f>
        <v>0</v>
      </c>
      <c r="B5538" t="s">
        <v>1819</v>
      </c>
      <c r="C5538" t="s">
        <v>8352</v>
      </c>
      <c r="D5538" t="s">
        <v>16255</v>
      </c>
      <c r="E5538" t="s">
        <v>21205</v>
      </c>
      <c r="F5538" t="s">
        <v>28198</v>
      </c>
      <c r="G5538" t="s">
        <v>28206</v>
      </c>
      <c r="H5538" t="s">
        <v>28215</v>
      </c>
      <c r="I5538" t="s">
        <v>3774</v>
      </c>
      <c r="J5538" t="s">
        <v>31870</v>
      </c>
      <c r="K5538" t="s">
        <v>36707</v>
      </c>
      <c r="L5538" t="s">
        <v>1819</v>
      </c>
      <c r="M5538" t="s">
        <v>38940</v>
      </c>
      <c r="N5538" t="s">
        <v>40436</v>
      </c>
      <c r="O5538" t="s">
        <v>40437</v>
      </c>
      <c r="P5538">
        <v>0</v>
      </c>
      <c r="Q5538">
        <v>0</v>
      </c>
      <c r="R5538" t="s">
        <v>40440</v>
      </c>
      <c r="S5538" t="s">
        <v>40603</v>
      </c>
      <c r="T5538" t="s">
        <v>42184</v>
      </c>
      <c r="U5538" t="s">
        <v>47310</v>
      </c>
      <c r="W5538" t="s">
        <v>38940</v>
      </c>
      <c r="X5538" t="s">
        <v>40441</v>
      </c>
    </row>
    <row r="5539" spans="1:24">
      <c r="A5539">
        <f>HYPERLINK("https://www.philgeps.gov.ph/GEPSNONPILOT/Tender/SplashBidNoticeAbstractUI.aspx?menuIndex=3&amp;refID=7044295&amp;Result=3","7044295")</f>
        <v>0</v>
      </c>
      <c r="B5539" t="s">
        <v>1819</v>
      </c>
      <c r="C5539" t="s">
        <v>8353</v>
      </c>
      <c r="D5539" t="s">
        <v>16255</v>
      </c>
      <c r="E5539" t="s">
        <v>21206</v>
      </c>
      <c r="F5539" t="s">
        <v>28198</v>
      </c>
      <c r="G5539" t="s">
        <v>28206</v>
      </c>
      <c r="H5539" t="s">
        <v>28215</v>
      </c>
      <c r="I5539" t="s">
        <v>5082</v>
      </c>
      <c r="J5539" t="s">
        <v>31871</v>
      </c>
      <c r="K5539" t="s">
        <v>36687</v>
      </c>
      <c r="L5539" t="s">
        <v>1819</v>
      </c>
      <c r="M5539" t="s">
        <v>38940</v>
      </c>
      <c r="N5539" t="s">
        <v>40436</v>
      </c>
      <c r="O5539" t="s">
        <v>40437</v>
      </c>
      <c r="P5539">
        <v>0</v>
      </c>
      <c r="Q5539">
        <v>0</v>
      </c>
      <c r="R5539" t="s">
        <v>40440</v>
      </c>
      <c r="S5539" t="s">
        <v>40603</v>
      </c>
      <c r="T5539" t="s">
        <v>42184</v>
      </c>
      <c r="U5539" t="s">
        <v>47311</v>
      </c>
      <c r="W5539" t="s">
        <v>38940</v>
      </c>
      <c r="X5539" t="s">
        <v>40441</v>
      </c>
    </row>
    <row r="5540" spans="1:24">
      <c r="A5540">
        <f>HYPERLINK("https://www.philgeps.gov.ph/GEPSNONPILOT/Tender/SplashBidNoticeAbstractUI.aspx?menuIndex=3&amp;refID=7044311&amp;Result=3","7044311")</f>
        <v>0</v>
      </c>
      <c r="B5540" t="s">
        <v>1820</v>
      </c>
      <c r="C5540" t="s">
        <v>8354</v>
      </c>
      <c r="D5540" t="s">
        <v>16199</v>
      </c>
      <c r="E5540" t="s">
        <v>21207</v>
      </c>
      <c r="F5540" t="s">
        <v>28198</v>
      </c>
      <c r="G5540" t="s">
        <v>28207</v>
      </c>
      <c r="H5540" t="s">
        <v>28215</v>
      </c>
      <c r="I5540" t="s">
        <v>5103</v>
      </c>
      <c r="J5540" t="s">
        <v>31872</v>
      </c>
      <c r="K5540" t="s">
        <v>36707</v>
      </c>
      <c r="M5540" t="s">
        <v>38941</v>
      </c>
      <c r="N5540" t="s">
        <v>40436</v>
      </c>
      <c r="O5540" t="s">
        <v>40437</v>
      </c>
      <c r="P5540">
        <v>0</v>
      </c>
      <c r="Q5540">
        <v>6</v>
      </c>
      <c r="R5540" t="s">
        <v>40440</v>
      </c>
      <c r="S5540" t="s">
        <v>40603</v>
      </c>
      <c r="T5540" t="s">
        <v>42205</v>
      </c>
      <c r="U5540" t="s">
        <v>47312</v>
      </c>
      <c r="W5540" t="s">
        <v>38941</v>
      </c>
      <c r="X5540" t="s">
        <v>40441</v>
      </c>
    </row>
    <row r="5541" spans="1:24">
      <c r="A5541">
        <f>HYPERLINK("https://www.philgeps.gov.ph/GEPSNONPILOT/Tender/SplashBidNoticeAbstractUI.aspx?menuIndex=3&amp;refID=7044298&amp;Result=3","7044298")</f>
        <v>0</v>
      </c>
      <c r="B5541" t="s">
        <v>471</v>
      </c>
      <c r="C5541" t="s">
        <v>8355</v>
      </c>
      <c r="D5541" t="s">
        <v>16188</v>
      </c>
      <c r="E5541" t="s">
        <v>21208</v>
      </c>
      <c r="F5541" t="s">
        <v>28198</v>
      </c>
      <c r="G5541" t="s">
        <v>28207</v>
      </c>
      <c r="H5541" t="s">
        <v>28215</v>
      </c>
      <c r="I5541" t="s">
        <v>28247</v>
      </c>
      <c r="J5541" t="s">
        <v>31873</v>
      </c>
      <c r="K5541" t="s">
        <v>36694</v>
      </c>
      <c r="M5541" t="s">
        <v>37456</v>
      </c>
      <c r="N5541" t="s">
        <v>40436</v>
      </c>
      <c r="O5541" t="s">
        <v>40437</v>
      </c>
      <c r="P5541">
        <v>0</v>
      </c>
      <c r="Q5541">
        <v>2</v>
      </c>
      <c r="R5541" t="s">
        <v>40440</v>
      </c>
      <c r="S5541" t="s">
        <v>40603</v>
      </c>
      <c r="T5541" t="s">
        <v>42185</v>
      </c>
      <c r="U5541" t="s">
        <v>47313</v>
      </c>
      <c r="W5541" t="s">
        <v>37456</v>
      </c>
      <c r="X5541" t="s">
        <v>40441</v>
      </c>
    </row>
    <row r="5542" spans="1:24">
      <c r="A5542">
        <f>HYPERLINK("https://www.philgeps.gov.ph/GEPSNONPILOT/Tender/SplashBidNoticeAbstractUI.aspx?menuIndex=3&amp;refID=7044309&amp;Result=3","7044309")</f>
        <v>0</v>
      </c>
      <c r="B5542" t="s">
        <v>977</v>
      </c>
      <c r="C5542" t="s">
        <v>8356</v>
      </c>
      <c r="D5542" t="s">
        <v>16217</v>
      </c>
      <c r="E5542" t="s">
        <v>21209</v>
      </c>
      <c r="F5542" t="s">
        <v>28198</v>
      </c>
      <c r="G5542" t="s">
        <v>28205</v>
      </c>
      <c r="H5542" t="s">
        <v>28215</v>
      </c>
      <c r="I5542" t="s">
        <v>28224</v>
      </c>
      <c r="J5542" t="s">
        <v>31874</v>
      </c>
      <c r="K5542" t="s">
        <v>36707</v>
      </c>
      <c r="M5542" t="s">
        <v>38003</v>
      </c>
      <c r="N5542" t="s">
        <v>40436</v>
      </c>
      <c r="O5542" t="s">
        <v>40437</v>
      </c>
      <c r="P5542">
        <v>0</v>
      </c>
      <c r="Q5542">
        <v>2</v>
      </c>
      <c r="R5542" t="s">
        <v>40440</v>
      </c>
      <c r="S5542" t="s">
        <v>40603</v>
      </c>
      <c r="T5542" t="s">
        <v>42136</v>
      </c>
      <c r="U5542" t="s">
        <v>47314</v>
      </c>
      <c r="W5542" t="s">
        <v>55469</v>
      </c>
      <c r="X5542" t="s">
        <v>40441</v>
      </c>
    </row>
    <row r="5543" spans="1:24">
      <c r="A5543">
        <f>HYPERLINK("https://www.philgeps.gov.ph/GEPSNONPILOT/Tender/SplashBidNoticeAbstractUI.aspx?menuIndex=3&amp;refID=7044307&amp;Result=3","7044307")</f>
        <v>0</v>
      </c>
      <c r="B5543" t="s">
        <v>977</v>
      </c>
      <c r="C5543" t="s">
        <v>8357</v>
      </c>
      <c r="D5543" t="s">
        <v>16217</v>
      </c>
      <c r="E5543" t="s">
        <v>21210</v>
      </c>
      <c r="F5543" t="s">
        <v>28198</v>
      </c>
      <c r="G5543" t="s">
        <v>28205</v>
      </c>
      <c r="H5543" t="s">
        <v>28215</v>
      </c>
      <c r="I5543" t="s">
        <v>28317</v>
      </c>
      <c r="J5543" t="s">
        <v>31022</v>
      </c>
      <c r="K5543" t="s">
        <v>36707</v>
      </c>
      <c r="M5543" t="s">
        <v>38003</v>
      </c>
      <c r="N5543" t="s">
        <v>40436</v>
      </c>
      <c r="O5543" t="s">
        <v>40437</v>
      </c>
      <c r="P5543">
        <v>0</v>
      </c>
      <c r="Q5543">
        <v>0</v>
      </c>
      <c r="R5543" t="s">
        <v>40440</v>
      </c>
      <c r="S5543" t="s">
        <v>40603</v>
      </c>
      <c r="T5543" t="s">
        <v>42136</v>
      </c>
      <c r="U5543" t="s">
        <v>47315</v>
      </c>
      <c r="W5543" t="s">
        <v>55469</v>
      </c>
      <c r="X5543" t="s">
        <v>40441</v>
      </c>
    </row>
    <row r="5544" spans="1:24">
      <c r="A5544">
        <f>HYPERLINK("https://www.philgeps.gov.ph/GEPSNONPILOT/Tender/SplashBidNoticeAbstractUI.aspx?menuIndex=3&amp;refID=7044301&amp;Result=3","7044301")</f>
        <v>0</v>
      </c>
      <c r="B5544" t="s">
        <v>935</v>
      </c>
      <c r="C5544" t="s">
        <v>8358</v>
      </c>
      <c r="D5544" t="s">
        <v>16210</v>
      </c>
      <c r="E5544" t="s">
        <v>21211</v>
      </c>
      <c r="F5544" t="s">
        <v>28198</v>
      </c>
      <c r="G5544" t="s">
        <v>28205</v>
      </c>
      <c r="H5544" t="s">
        <v>28215</v>
      </c>
      <c r="I5544" t="s">
        <v>28234</v>
      </c>
      <c r="J5544" t="s">
        <v>31875</v>
      </c>
      <c r="K5544" t="s">
        <v>36690</v>
      </c>
      <c r="M5544" t="s">
        <v>38942</v>
      </c>
      <c r="N5544" t="s">
        <v>40436</v>
      </c>
      <c r="O5544" t="s">
        <v>40437</v>
      </c>
      <c r="P5544">
        <v>0</v>
      </c>
      <c r="Q5544">
        <v>6</v>
      </c>
      <c r="R5544" t="s">
        <v>40440</v>
      </c>
      <c r="S5544" t="s">
        <v>40603</v>
      </c>
      <c r="T5544" t="s">
        <v>42139</v>
      </c>
      <c r="U5544" t="s">
        <v>47268</v>
      </c>
      <c r="W5544" t="s">
        <v>38942</v>
      </c>
      <c r="X5544" t="s">
        <v>40441</v>
      </c>
    </row>
    <row r="5545" spans="1:24">
      <c r="A5545">
        <f>HYPERLINK("https://www.philgeps.gov.ph/GEPSNONPILOT/Tender/SplashBidNoticeAbstractUI.aspx?menuIndex=3&amp;refID=7044300&amp;Result=3","7044300")</f>
        <v>0</v>
      </c>
      <c r="B5545" t="s">
        <v>1817</v>
      </c>
      <c r="C5545" t="s">
        <v>8359</v>
      </c>
      <c r="D5545" t="s">
        <v>16254</v>
      </c>
      <c r="E5545" t="s">
        <v>21212</v>
      </c>
      <c r="F5545" t="s">
        <v>28198</v>
      </c>
      <c r="G5545" t="s">
        <v>28207</v>
      </c>
      <c r="H5545" t="s">
        <v>28215</v>
      </c>
      <c r="I5545" t="s">
        <v>28227</v>
      </c>
      <c r="J5545" t="s">
        <v>31876</v>
      </c>
      <c r="K5545" t="s">
        <v>36701</v>
      </c>
      <c r="M5545" t="s">
        <v>38938</v>
      </c>
      <c r="N5545" t="s">
        <v>40436</v>
      </c>
      <c r="O5545" t="s">
        <v>40437</v>
      </c>
      <c r="P5545">
        <v>0</v>
      </c>
      <c r="Q5545">
        <v>0</v>
      </c>
      <c r="R5545" t="s">
        <v>40440</v>
      </c>
      <c r="S5545" t="s">
        <v>40603</v>
      </c>
      <c r="T5545" t="s">
        <v>42277</v>
      </c>
      <c r="U5545" t="s">
        <v>47299</v>
      </c>
      <c r="V5545" t="s">
        <v>54316</v>
      </c>
      <c r="W5545" t="s">
        <v>38938</v>
      </c>
      <c r="X5545" t="s">
        <v>40441</v>
      </c>
    </row>
    <row r="5546" spans="1:24">
      <c r="A5546">
        <f>HYPERLINK("https://www.philgeps.gov.ph/GEPSNONPILOT/Tender/SplashBidNoticeAbstractUI.aspx?menuIndex=3&amp;refID=7044317&amp;Result=3","7044317")</f>
        <v>0</v>
      </c>
      <c r="B5546" t="s">
        <v>977</v>
      </c>
      <c r="C5546" t="s">
        <v>8360</v>
      </c>
      <c r="D5546" t="s">
        <v>16217</v>
      </c>
      <c r="E5546" t="s">
        <v>21213</v>
      </c>
      <c r="F5546" t="s">
        <v>28198</v>
      </c>
      <c r="G5546" t="s">
        <v>28205</v>
      </c>
      <c r="H5546" t="s">
        <v>28215</v>
      </c>
      <c r="I5546" t="s">
        <v>6051</v>
      </c>
      <c r="J5546" t="s">
        <v>31877</v>
      </c>
      <c r="K5546" t="s">
        <v>36707</v>
      </c>
      <c r="M5546" t="s">
        <v>38003</v>
      </c>
      <c r="N5546" t="s">
        <v>40436</v>
      </c>
      <c r="O5546" t="s">
        <v>40437</v>
      </c>
      <c r="P5546">
        <v>0</v>
      </c>
      <c r="Q5546">
        <v>0</v>
      </c>
      <c r="R5546" t="s">
        <v>40440</v>
      </c>
      <c r="S5546" t="s">
        <v>40603</v>
      </c>
      <c r="T5546" t="s">
        <v>42136</v>
      </c>
      <c r="U5546" t="s">
        <v>47316</v>
      </c>
      <c r="W5546" t="s">
        <v>55469</v>
      </c>
      <c r="X5546" t="s">
        <v>40441</v>
      </c>
    </row>
    <row r="5547" spans="1:24">
      <c r="A5547">
        <f>HYPERLINK("https://www.philgeps.gov.ph/GEPSNONPILOT/Tender/SplashBidNoticeAbstractUI.aspx?menuIndex=3&amp;refID=7044316&amp;Result=3","7044316")</f>
        <v>0</v>
      </c>
      <c r="B5547" t="s">
        <v>977</v>
      </c>
      <c r="C5547" t="s">
        <v>8361</v>
      </c>
      <c r="D5547" t="s">
        <v>16217</v>
      </c>
      <c r="E5547" t="s">
        <v>21214</v>
      </c>
      <c r="F5547" t="s">
        <v>28198</v>
      </c>
      <c r="G5547" t="s">
        <v>28205</v>
      </c>
      <c r="H5547" t="s">
        <v>28215</v>
      </c>
      <c r="I5547" t="s">
        <v>4321</v>
      </c>
      <c r="J5547" t="s">
        <v>31878</v>
      </c>
      <c r="K5547" t="s">
        <v>36707</v>
      </c>
      <c r="M5547" t="s">
        <v>38003</v>
      </c>
      <c r="N5547" t="s">
        <v>40436</v>
      </c>
      <c r="O5547" t="s">
        <v>40437</v>
      </c>
      <c r="P5547">
        <v>0</v>
      </c>
      <c r="Q5547">
        <v>0</v>
      </c>
      <c r="R5547" t="s">
        <v>40440</v>
      </c>
      <c r="S5547" t="s">
        <v>40603</v>
      </c>
      <c r="T5547" t="s">
        <v>42136</v>
      </c>
      <c r="U5547" t="s">
        <v>47317</v>
      </c>
      <c r="W5547" t="s">
        <v>55469</v>
      </c>
      <c r="X5547" t="s">
        <v>40441</v>
      </c>
    </row>
    <row r="5548" spans="1:24">
      <c r="A5548">
        <f>HYPERLINK("https://www.philgeps.gov.ph/GEPSNONPILOT/Tender/SplashBidNoticeAbstractUI.aspx?menuIndex=3&amp;refID=7044314&amp;Result=3","7044314")</f>
        <v>0</v>
      </c>
      <c r="B5548" t="s">
        <v>977</v>
      </c>
      <c r="C5548" t="s">
        <v>8362</v>
      </c>
      <c r="D5548" t="s">
        <v>16217</v>
      </c>
      <c r="E5548" t="s">
        <v>21215</v>
      </c>
      <c r="F5548" t="s">
        <v>28198</v>
      </c>
      <c r="G5548" t="s">
        <v>28205</v>
      </c>
      <c r="H5548" t="s">
        <v>28215</v>
      </c>
      <c r="I5548" t="s">
        <v>3774</v>
      </c>
      <c r="J5548" t="s">
        <v>31879</v>
      </c>
      <c r="K5548" t="s">
        <v>36707</v>
      </c>
      <c r="M5548" t="s">
        <v>38003</v>
      </c>
      <c r="N5548" t="s">
        <v>40436</v>
      </c>
      <c r="O5548" t="s">
        <v>40437</v>
      </c>
      <c r="P5548">
        <v>0</v>
      </c>
      <c r="Q5548">
        <v>0</v>
      </c>
      <c r="R5548" t="s">
        <v>40440</v>
      </c>
      <c r="S5548" t="s">
        <v>40603</v>
      </c>
      <c r="T5548" t="s">
        <v>42136</v>
      </c>
      <c r="U5548" t="s">
        <v>47318</v>
      </c>
      <c r="W5548" t="s">
        <v>55469</v>
      </c>
      <c r="X5548" t="s">
        <v>40441</v>
      </c>
    </row>
    <row r="5549" spans="1:24">
      <c r="A5549">
        <f>HYPERLINK("https://www.philgeps.gov.ph/GEPSNONPILOT/Tender/SplashBidNoticeAbstractUI.aspx?menuIndex=3&amp;refID=7044323&amp;Result=3","7044323")</f>
        <v>0</v>
      </c>
      <c r="B5549" t="s">
        <v>1821</v>
      </c>
      <c r="C5549" t="s">
        <v>8363</v>
      </c>
      <c r="D5549" t="s">
        <v>16210</v>
      </c>
      <c r="E5549" t="s">
        <v>18647</v>
      </c>
      <c r="F5549" t="s">
        <v>28198</v>
      </c>
      <c r="G5549" t="s">
        <v>28206</v>
      </c>
      <c r="H5549" t="s">
        <v>28214</v>
      </c>
      <c r="I5549" t="s">
        <v>3797</v>
      </c>
      <c r="J5549" t="s">
        <v>28787</v>
      </c>
      <c r="K5549" t="s">
        <v>36707</v>
      </c>
      <c r="M5549" t="s">
        <v>38943</v>
      </c>
      <c r="N5549" t="s">
        <v>40436</v>
      </c>
      <c r="O5549" t="s">
        <v>40437</v>
      </c>
      <c r="P5549">
        <v>0</v>
      </c>
      <c r="Q5549">
        <v>0</v>
      </c>
      <c r="R5549" t="s">
        <v>40440</v>
      </c>
      <c r="S5549" t="s">
        <v>40603</v>
      </c>
      <c r="T5549" t="s">
        <v>42205</v>
      </c>
      <c r="U5549" t="s">
        <v>47319</v>
      </c>
      <c r="W5549" t="s">
        <v>38943</v>
      </c>
      <c r="X5549" t="s">
        <v>40441</v>
      </c>
    </row>
    <row r="5550" spans="1:24">
      <c r="A5550">
        <f>HYPERLINK("https://www.philgeps.gov.ph/GEPSNONPILOT/Tender/SplashBidNoticeAbstractUI.aspx?menuIndex=3&amp;refID=7044312&amp;Result=3","7044312")</f>
        <v>0</v>
      </c>
      <c r="B5550" t="s">
        <v>977</v>
      </c>
      <c r="C5550" t="s">
        <v>8364</v>
      </c>
      <c r="D5550" t="s">
        <v>16217</v>
      </c>
      <c r="E5550" t="s">
        <v>21216</v>
      </c>
      <c r="F5550" t="s">
        <v>28198</v>
      </c>
      <c r="G5550" t="s">
        <v>28205</v>
      </c>
      <c r="H5550" t="s">
        <v>28215</v>
      </c>
      <c r="I5550" t="s">
        <v>28234</v>
      </c>
      <c r="J5550" t="s">
        <v>28397</v>
      </c>
      <c r="K5550" t="s">
        <v>36701</v>
      </c>
      <c r="M5550" t="s">
        <v>38003</v>
      </c>
      <c r="N5550" t="s">
        <v>40436</v>
      </c>
      <c r="O5550" t="s">
        <v>40437</v>
      </c>
      <c r="P5550">
        <v>0</v>
      </c>
      <c r="Q5550">
        <v>2</v>
      </c>
      <c r="R5550" t="s">
        <v>40440</v>
      </c>
      <c r="S5550" t="s">
        <v>40603</v>
      </c>
      <c r="T5550" t="s">
        <v>42136</v>
      </c>
      <c r="U5550" t="s">
        <v>47320</v>
      </c>
      <c r="W5550" t="s">
        <v>55469</v>
      </c>
      <c r="X5550" t="s">
        <v>40441</v>
      </c>
    </row>
    <row r="5551" spans="1:24">
      <c r="A5551">
        <f>HYPERLINK("https://www.philgeps.gov.ph/GEPSNONPILOT/Tender/SplashBidNoticeAbstractUI.aspx?menuIndex=3&amp;refID=7044322&amp;Result=3","7044322")</f>
        <v>0</v>
      </c>
      <c r="B5551" t="s">
        <v>994</v>
      </c>
      <c r="C5551" t="s">
        <v>8365</v>
      </c>
      <c r="D5551" t="s">
        <v>16210</v>
      </c>
      <c r="E5551" t="s">
        <v>21217</v>
      </c>
      <c r="F5551" t="s">
        <v>28198</v>
      </c>
      <c r="G5551" t="s">
        <v>28207</v>
      </c>
      <c r="H5551" t="s">
        <v>28215</v>
      </c>
      <c r="I5551" t="s">
        <v>28234</v>
      </c>
      <c r="J5551" t="s">
        <v>28652</v>
      </c>
      <c r="K5551" t="s">
        <v>36689</v>
      </c>
      <c r="M5551" t="s">
        <v>38944</v>
      </c>
      <c r="N5551" t="s">
        <v>40436</v>
      </c>
      <c r="O5551" t="s">
        <v>40437</v>
      </c>
      <c r="P5551">
        <v>0</v>
      </c>
      <c r="Q5551">
        <v>9</v>
      </c>
      <c r="R5551" t="s">
        <v>40440</v>
      </c>
      <c r="S5551" t="s">
        <v>40603</v>
      </c>
      <c r="T5551" t="s">
        <v>42233</v>
      </c>
      <c r="U5551" t="s">
        <v>47321</v>
      </c>
      <c r="W5551" t="s">
        <v>38944</v>
      </c>
      <c r="X5551" t="s">
        <v>40441</v>
      </c>
    </row>
    <row r="5552" spans="1:24">
      <c r="A5552">
        <f>HYPERLINK("https://www.philgeps.gov.ph/GEPSNONPILOT/Tender/SplashBidNoticeAbstractUI.aspx?menuIndex=3&amp;refID=7044308&amp;Result=3","7044308")</f>
        <v>0</v>
      </c>
      <c r="B5552" t="s">
        <v>977</v>
      </c>
      <c r="C5552" t="s">
        <v>8366</v>
      </c>
      <c r="D5552" t="s">
        <v>16217</v>
      </c>
      <c r="E5552" t="s">
        <v>21218</v>
      </c>
      <c r="F5552" t="s">
        <v>28198</v>
      </c>
      <c r="G5552" t="s">
        <v>28205</v>
      </c>
      <c r="H5552" t="s">
        <v>28215</v>
      </c>
      <c r="I5552" t="s">
        <v>28248</v>
      </c>
      <c r="J5552" t="s">
        <v>31880</v>
      </c>
      <c r="K5552" t="s">
        <v>36707</v>
      </c>
      <c r="M5552" t="s">
        <v>38003</v>
      </c>
      <c r="N5552" t="s">
        <v>40436</v>
      </c>
      <c r="O5552" t="s">
        <v>40437</v>
      </c>
      <c r="P5552">
        <v>0</v>
      </c>
      <c r="Q5552">
        <v>3</v>
      </c>
      <c r="R5552" t="s">
        <v>40440</v>
      </c>
      <c r="S5552" t="s">
        <v>40603</v>
      </c>
      <c r="T5552" t="s">
        <v>42136</v>
      </c>
      <c r="U5552" t="s">
        <v>47322</v>
      </c>
      <c r="W5552" t="s">
        <v>55469</v>
      </c>
      <c r="X5552" t="s">
        <v>40441</v>
      </c>
    </row>
    <row r="5553" spans="1:24">
      <c r="A5553">
        <f>HYPERLINK("https://www.philgeps.gov.ph/GEPSNONPILOT/Tender/SplashBidNoticeAbstractUI.aspx?menuIndex=3&amp;refID=7044294&amp;Result=3","7044294")</f>
        <v>0</v>
      </c>
      <c r="B5553" t="s">
        <v>1817</v>
      </c>
      <c r="C5553" t="s">
        <v>8367</v>
      </c>
      <c r="D5553" t="s">
        <v>16254</v>
      </c>
      <c r="E5553" t="s">
        <v>21219</v>
      </c>
      <c r="F5553" t="s">
        <v>28198</v>
      </c>
      <c r="G5553" t="s">
        <v>28207</v>
      </c>
      <c r="H5553" t="s">
        <v>28215</v>
      </c>
      <c r="I5553" t="s">
        <v>28227</v>
      </c>
      <c r="J5553" t="s">
        <v>31881</v>
      </c>
      <c r="K5553" t="s">
        <v>36701</v>
      </c>
      <c r="M5553" t="s">
        <v>38938</v>
      </c>
      <c r="N5553" t="s">
        <v>40436</v>
      </c>
      <c r="O5553" t="s">
        <v>40437</v>
      </c>
      <c r="P5553">
        <v>0</v>
      </c>
      <c r="Q5553">
        <v>0</v>
      </c>
      <c r="R5553" t="s">
        <v>40440</v>
      </c>
      <c r="S5553" t="s">
        <v>40603</v>
      </c>
      <c r="T5553" t="s">
        <v>42277</v>
      </c>
      <c r="U5553" t="s">
        <v>47299</v>
      </c>
      <c r="V5553" t="s">
        <v>54316</v>
      </c>
      <c r="W5553" t="s">
        <v>38938</v>
      </c>
      <c r="X5553" t="s">
        <v>40441</v>
      </c>
    </row>
    <row r="5554" spans="1:24">
      <c r="A5554">
        <f>HYPERLINK("https://www.philgeps.gov.ph/GEPSNONPILOT/Tender/SplashBidNoticeAbstractUI.aspx?menuIndex=3&amp;refID=7044319&amp;Result=3","7044319")</f>
        <v>0</v>
      </c>
      <c r="B5554" t="s">
        <v>977</v>
      </c>
      <c r="C5554" t="s">
        <v>8368</v>
      </c>
      <c r="D5554" t="s">
        <v>16217</v>
      </c>
      <c r="E5554" t="s">
        <v>21220</v>
      </c>
      <c r="F5554" t="s">
        <v>28198</v>
      </c>
      <c r="G5554" t="s">
        <v>28205</v>
      </c>
      <c r="H5554" t="s">
        <v>28215</v>
      </c>
      <c r="I5554" t="s">
        <v>28275</v>
      </c>
      <c r="J5554" t="s">
        <v>31882</v>
      </c>
      <c r="K5554" t="s">
        <v>36707</v>
      </c>
      <c r="M5554" t="s">
        <v>38003</v>
      </c>
      <c r="N5554" t="s">
        <v>40436</v>
      </c>
      <c r="O5554" t="s">
        <v>40437</v>
      </c>
      <c r="P5554">
        <v>0</v>
      </c>
      <c r="Q5554">
        <v>0</v>
      </c>
      <c r="R5554" t="s">
        <v>40440</v>
      </c>
      <c r="S5554" t="s">
        <v>40603</v>
      </c>
      <c r="T5554" t="s">
        <v>42136</v>
      </c>
      <c r="U5554" t="s">
        <v>47323</v>
      </c>
      <c r="W5554" t="s">
        <v>55469</v>
      </c>
      <c r="X5554" t="s">
        <v>40441</v>
      </c>
    </row>
    <row r="5555" spans="1:24">
      <c r="A5555">
        <f>HYPERLINK("https://www.philgeps.gov.ph/GEPSNONPILOT/Tender/SplashBidNoticeAbstractUI.aspx?menuIndex=3&amp;refID=7044290&amp;Result=3","7044290")</f>
        <v>0</v>
      </c>
      <c r="B5555" t="s">
        <v>1819</v>
      </c>
      <c r="C5555" t="s">
        <v>8369</v>
      </c>
      <c r="D5555" t="s">
        <v>16255</v>
      </c>
      <c r="E5555" t="s">
        <v>21221</v>
      </c>
      <c r="F5555" t="s">
        <v>28198</v>
      </c>
      <c r="G5555" t="s">
        <v>28206</v>
      </c>
      <c r="H5555" t="s">
        <v>28215</v>
      </c>
      <c r="I5555" t="s">
        <v>5100</v>
      </c>
      <c r="J5555" t="s">
        <v>31883</v>
      </c>
      <c r="K5555" t="s">
        <v>36687</v>
      </c>
      <c r="L5555" t="s">
        <v>1819</v>
      </c>
      <c r="M5555" t="s">
        <v>38940</v>
      </c>
      <c r="N5555" t="s">
        <v>40436</v>
      </c>
      <c r="O5555" t="s">
        <v>40437</v>
      </c>
      <c r="P5555">
        <v>0</v>
      </c>
      <c r="Q5555">
        <v>2</v>
      </c>
      <c r="R5555" t="s">
        <v>40440</v>
      </c>
      <c r="S5555" t="s">
        <v>40603</v>
      </c>
      <c r="T5555" t="s">
        <v>42184</v>
      </c>
      <c r="U5555" t="s">
        <v>47324</v>
      </c>
      <c r="W5555" t="s">
        <v>38940</v>
      </c>
      <c r="X5555" t="s">
        <v>40441</v>
      </c>
    </row>
    <row r="5556" spans="1:24">
      <c r="A5556">
        <f>HYPERLINK("https://www.philgeps.gov.ph/GEPSNONPILOT/Tender/SplashBidNoticeAbstractUI.aspx?menuIndex=3&amp;refID=7044321&amp;Result=3","7044321")</f>
        <v>0</v>
      </c>
      <c r="B5556" t="s">
        <v>977</v>
      </c>
      <c r="C5556" t="s">
        <v>8370</v>
      </c>
      <c r="D5556" t="s">
        <v>16217</v>
      </c>
      <c r="E5556" t="s">
        <v>21222</v>
      </c>
      <c r="F5556" t="s">
        <v>28198</v>
      </c>
      <c r="G5556" t="s">
        <v>28205</v>
      </c>
      <c r="H5556" t="s">
        <v>28215</v>
      </c>
      <c r="I5556" t="s">
        <v>28227</v>
      </c>
      <c r="J5556" t="s">
        <v>31884</v>
      </c>
      <c r="K5556" t="s">
        <v>36707</v>
      </c>
      <c r="M5556" t="s">
        <v>38003</v>
      </c>
      <c r="N5556" t="s">
        <v>40436</v>
      </c>
      <c r="O5556" t="s">
        <v>40437</v>
      </c>
      <c r="P5556">
        <v>0</v>
      </c>
      <c r="Q5556">
        <v>2</v>
      </c>
      <c r="R5556" t="s">
        <v>40440</v>
      </c>
      <c r="S5556" t="s">
        <v>40603</v>
      </c>
      <c r="T5556" t="s">
        <v>42136</v>
      </c>
      <c r="U5556" t="s">
        <v>47325</v>
      </c>
      <c r="W5556" t="s">
        <v>55469</v>
      </c>
      <c r="X5556" t="s">
        <v>40441</v>
      </c>
    </row>
    <row r="5557" spans="1:24">
      <c r="A5557">
        <f>HYPERLINK("https://www.philgeps.gov.ph/GEPSNONPILOT/Tender/SplashBidNoticeAbstractUI.aspx?menuIndex=3&amp;refID=7044289&amp;Result=3","7044289")</f>
        <v>0</v>
      </c>
      <c r="B5557" t="s">
        <v>1817</v>
      </c>
      <c r="C5557" t="s">
        <v>8371</v>
      </c>
      <c r="D5557" t="s">
        <v>16254</v>
      </c>
      <c r="E5557" t="s">
        <v>21223</v>
      </c>
      <c r="F5557" t="s">
        <v>28198</v>
      </c>
      <c r="G5557" t="s">
        <v>28207</v>
      </c>
      <c r="H5557" t="s">
        <v>28215</v>
      </c>
      <c r="I5557" t="s">
        <v>28227</v>
      </c>
      <c r="J5557" t="s">
        <v>31885</v>
      </c>
      <c r="K5557" t="s">
        <v>36701</v>
      </c>
      <c r="M5557" t="s">
        <v>38938</v>
      </c>
      <c r="N5557" t="s">
        <v>40436</v>
      </c>
      <c r="O5557" t="s">
        <v>40437</v>
      </c>
      <c r="P5557">
        <v>0</v>
      </c>
      <c r="Q5557">
        <v>0</v>
      </c>
      <c r="R5557" t="s">
        <v>40440</v>
      </c>
      <c r="S5557" t="s">
        <v>40603</v>
      </c>
      <c r="T5557" t="s">
        <v>42277</v>
      </c>
      <c r="U5557" t="s">
        <v>47299</v>
      </c>
      <c r="V5557" t="s">
        <v>54316</v>
      </c>
      <c r="W5557" t="s">
        <v>38938</v>
      </c>
      <c r="X5557" t="s">
        <v>40441</v>
      </c>
    </row>
    <row r="5558" spans="1:24">
      <c r="A5558">
        <f>HYPERLINK("https://www.philgeps.gov.ph/GEPSNONPILOT/Tender/SplashBidNoticeAbstractUI.aspx?menuIndex=3&amp;refID=7044313&amp;Result=3","7044313")</f>
        <v>0</v>
      </c>
      <c r="B5558" t="s">
        <v>1822</v>
      </c>
      <c r="C5558" t="s">
        <v>8372</v>
      </c>
      <c r="D5558" t="s">
        <v>16188</v>
      </c>
      <c r="E5558" t="s">
        <v>21224</v>
      </c>
      <c r="F5558" t="s">
        <v>28198</v>
      </c>
      <c r="G5558" t="s">
        <v>28205</v>
      </c>
      <c r="H5558" t="s">
        <v>28215</v>
      </c>
      <c r="I5558" t="s">
        <v>3797</v>
      </c>
      <c r="J5558" t="s">
        <v>31886</v>
      </c>
      <c r="K5558" t="s">
        <v>36694</v>
      </c>
      <c r="M5558" t="s">
        <v>38945</v>
      </c>
      <c r="N5558" t="s">
        <v>40436</v>
      </c>
      <c r="O5558" t="s">
        <v>40437</v>
      </c>
      <c r="Q5558">
        <v>0</v>
      </c>
      <c r="R5558" t="s">
        <v>40440</v>
      </c>
      <c r="S5558" t="s">
        <v>40635</v>
      </c>
      <c r="T5558" t="s">
        <v>42234</v>
      </c>
      <c r="U5558" t="s">
        <v>47326</v>
      </c>
      <c r="W5558" t="s">
        <v>38945</v>
      </c>
      <c r="X5558" t="s">
        <v>40441</v>
      </c>
    </row>
    <row r="5559" spans="1:24">
      <c r="A5559">
        <f>HYPERLINK("https://www.philgeps.gov.ph/GEPSNONPILOT/Tender/SplashBidNoticeAbstractUI.aspx?menuIndex=3&amp;refID=7044284&amp;Result=3","7044284")</f>
        <v>0</v>
      </c>
      <c r="B5559" t="s">
        <v>1817</v>
      </c>
      <c r="C5559" t="s">
        <v>8373</v>
      </c>
      <c r="D5559" t="s">
        <v>16254</v>
      </c>
      <c r="E5559" t="s">
        <v>21225</v>
      </c>
      <c r="F5559" t="s">
        <v>28198</v>
      </c>
      <c r="G5559" t="s">
        <v>28207</v>
      </c>
      <c r="H5559" t="s">
        <v>28215</v>
      </c>
      <c r="I5559" t="s">
        <v>28227</v>
      </c>
      <c r="J5559" t="s">
        <v>31887</v>
      </c>
      <c r="K5559" t="s">
        <v>36701</v>
      </c>
      <c r="M5559" t="s">
        <v>38938</v>
      </c>
      <c r="N5559" t="s">
        <v>40436</v>
      </c>
      <c r="O5559" t="s">
        <v>40437</v>
      </c>
      <c r="P5559">
        <v>0</v>
      </c>
      <c r="Q5559">
        <v>0</v>
      </c>
      <c r="R5559" t="s">
        <v>40440</v>
      </c>
      <c r="S5559" t="s">
        <v>40603</v>
      </c>
      <c r="T5559" t="s">
        <v>42277</v>
      </c>
      <c r="U5559" t="s">
        <v>47299</v>
      </c>
      <c r="V5559" t="s">
        <v>54316</v>
      </c>
      <c r="W5559" t="s">
        <v>38938</v>
      </c>
      <c r="X5559" t="s">
        <v>40441</v>
      </c>
    </row>
    <row r="5560" spans="1:24">
      <c r="A5560">
        <f>HYPERLINK("https://www.philgeps.gov.ph/GEPSNONPILOT/Tender/SplashBidNoticeAbstractUI.aspx?menuIndex=3&amp;refID=7044318&amp;Result=3","7044318")</f>
        <v>0</v>
      </c>
      <c r="B5560" t="s">
        <v>977</v>
      </c>
      <c r="C5560" t="s">
        <v>8374</v>
      </c>
      <c r="D5560" t="s">
        <v>16217</v>
      </c>
      <c r="E5560" t="s">
        <v>21226</v>
      </c>
      <c r="F5560" t="s">
        <v>28198</v>
      </c>
      <c r="G5560" t="s">
        <v>28205</v>
      </c>
      <c r="H5560" t="s">
        <v>28215</v>
      </c>
      <c r="I5560" t="s">
        <v>28227</v>
      </c>
      <c r="J5560" t="s">
        <v>31888</v>
      </c>
      <c r="K5560" t="s">
        <v>36707</v>
      </c>
      <c r="M5560" t="s">
        <v>38003</v>
      </c>
      <c r="N5560" t="s">
        <v>40436</v>
      </c>
      <c r="O5560" t="s">
        <v>40437</v>
      </c>
      <c r="P5560">
        <v>0</v>
      </c>
      <c r="Q5560">
        <v>2</v>
      </c>
      <c r="R5560" t="s">
        <v>40440</v>
      </c>
      <c r="S5560" t="s">
        <v>40603</v>
      </c>
      <c r="T5560" t="s">
        <v>42136</v>
      </c>
      <c r="U5560" t="s">
        <v>47327</v>
      </c>
      <c r="W5560" t="s">
        <v>55469</v>
      </c>
      <c r="X5560" t="s">
        <v>40441</v>
      </c>
    </row>
    <row r="5561" spans="1:24">
      <c r="A5561">
        <f>HYPERLINK("https://www.philgeps.gov.ph/GEPSNONPILOT/Tender/SplashBidNoticeAbstractUI.aspx?menuIndex=3&amp;refID=7044325&amp;Result=3","7044325")</f>
        <v>0</v>
      </c>
      <c r="B5561" t="s">
        <v>1823</v>
      </c>
      <c r="C5561" t="s">
        <v>8375</v>
      </c>
      <c r="D5561" t="s">
        <v>16190</v>
      </c>
      <c r="E5561" t="s">
        <v>21227</v>
      </c>
      <c r="F5561" t="s">
        <v>28198</v>
      </c>
      <c r="G5561" t="s">
        <v>28205</v>
      </c>
      <c r="H5561" t="s">
        <v>28215</v>
      </c>
      <c r="I5561" t="s">
        <v>8888</v>
      </c>
      <c r="J5561" t="s">
        <v>31615</v>
      </c>
      <c r="K5561" t="s">
        <v>36693</v>
      </c>
      <c r="M5561" t="s">
        <v>38946</v>
      </c>
      <c r="N5561" t="s">
        <v>40436</v>
      </c>
      <c r="O5561" t="s">
        <v>40437</v>
      </c>
      <c r="P5561">
        <v>0</v>
      </c>
      <c r="Q5561">
        <v>1</v>
      </c>
      <c r="R5561" t="s">
        <v>40440</v>
      </c>
      <c r="S5561" t="s">
        <v>40603</v>
      </c>
      <c r="T5561" t="s">
        <v>42177</v>
      </c>
      <c r="U5561" t="s">
        <v>47328</v>
      </c>
      <c r="W5561" t="s">
        <v>38946</v>
      </c>
      <c r="X5561" t="s">
        <v>40441</v>
      </c>
    </row>
    <row r="5562" spans="1:24">
      <c r="A5562">
        <f>HYPERLINK("https://www.philgeps.gov.ph/GEPSNONPILOT/Tender/SplashBidNoticeAbstractUI.aspx?menuIndex=3&amp;refID=7044320&amp;Result=3","7044320")</f>
        <v>0</v>
      </c>
      <c r="B5562" t="s">
        <v>977</v>
      </c>
      <c r="C5562" t="s">
        <v>8376</v>
      </c>
      <c r="D5562" t="s">
        <v>16217</v>
      </c>
      <c r="E5562" t="s">
        <v>21228</v>
      </c>
      <c r="F5562" t="s">
        <v>28198</v>
      </c>
      <c r="G5562" t="s">
        <v>28205</v>
      </c>
      <c r="H5562" t="s">
        <v>28215</v>
      </c>
      <c r="I5562" t="s">
        <v>28227</v>
      </c>
      <c r="J5562" t="s">
        <v>31889</v>
      </c>
      <c r="K5562" t="s">
        <v>36707</v>
      </c>
      <c r="M5562" t="s">
        <v>38003</v>
      </c>
      <c r="N5562" t="s">
        <v>40436</v>
      </c>
      <c r="O5562" t="s">
        <v>40437</v>
      </c>
      <c r="P5562">
        <v>0</v>
      </c>
      <c r="Q5562">
        <v>1</v>
      </c>
      <c r="R5562" t="s">
        <v>40440</v>
      </c>
      <c r="S5562" t="s">
        <v>40603</v>
      </c>
      <c r="T5562" t="s">
        <v>42136</v>
      </c>
      <c r="U5562" t="s">
        <v>47329</v>
      </c>
      <c r="W5562" t="s">
        <v>55469</v>
      </c>
      <c r="X5562" t="s">
        <v>40441</v>
      </c>
    </row>
    <row r="5563" spans="1:24">
      <c r="A5563">
        <f>HYPERLINK("https://www.philgeps.gov.ph/GEPSNONPILOT/Tender/SplashBidNoticeAbstractUI.aspx?menuIndex=3&amp;refID=7044326&amp;Result=3","7044326")</f>
        <v>0</v>
      </c>
      <c r="B5563" t="s">
        <v>974</v>
      </c>
      <c r="C5563" t="s">
        <v>8377</v>
      </c>
      <c r="D5563" t="s">
        <v>16217</v>
      </c>
      <c r="E5563" t="s">
        <v>19192</v>
      </c>
      <c r="F5563" t="s">
        <v>28198</v>
      </c>
      <c r="G5563" t="s">
        <v>28205</v>
      </c>
      <c r="H5563" t="s">
        <v>28215</v>
      </c>
      <c r="I5563" t="s">
        <v>3422</v>
      </c>
      <c r="J5563" t="s">
        <v>31890</v>
      </c>
      <c r="K5563" t="s">
        <v>36701</v>
      </c>
      <c r="M5563" t="s">
        <v>38000</v>
      </c>
      <c r="N5563" t="s">
        <v>40436</v>
      </c>
      <c r="O5563" t="s">
        <v>40437</v>
      </c>
      <c r="P5563">
        <v>0</v>
      </c>
      <c r="Q5563">
        <v>0</v>
      </c>
      <c r="R5563" t="s">
        <v>40440</v>
      </c>
      <c r="S5563" t="s">
        <v>40603</v>
      </c>
      <c r="T5563" t="s">
        <v>42103</v>
      </c>
      <c r="U5563" t="s">
        <v>47330</v>
      </c>
      <c r="V5563" t="s">
        <v>54317</v>
      </c>
      <c r="W5563" t="s">
        <v>38000</v>
      </c>
      <c r="X5563" t="s">
        <v>40441</v>
      </c>
    </row>
    <row r="5564" spans="1:24">
      <c r="A5564">
        <f>HYPERLINK("https://www.philgeps.gov.ph/GEPSNONPILOT/Tender/SplashBidNoticeAbstractUI.aspx?menuIndex=3&amp;refID=7036388&amp;Result=3","7036388")</f>
        <v>0</v>
      </c>
      <c r="B5564" t="s">
        <v>1668</v>
      </c>
      <c r="C5564" t="s">
        <v>8378</v>
      </c>
      <c r="D5564" t="s">
        <v>16193</v>
      </c>
      <c r="E5564" t="s">
        <v>21229</v>
      </c>
      <c r="F5564" t="s">
        <v>28198</v>
      </c>
      <c r="G5564" t="s">
        <v>28205</v>
      </c>
      <c r="H5564" t="s">
        <v>28215</v>
      </c>
      <c r="I5564" t="s">
        <v>28224</v>
      </c>
      <c r="J5564" t="s">
        <v>31891</v>
      </c>
      <c r="K5564" t="s">
        <v>36701</v>
      </c>
      <c r="M5564" t="s">
        <v>38947</v>
      </c>
      <c r="N5564" t="s">
        <v>40436</v>
      </c>
      <c r="O5564" t="s">
        <v>40437</v>
      </c>
      <c r="P5564">
        <v>0</v>
      </c>
      <c r="Q5564">
        <v>2</v>
      </c>
      <c r="R5564" t="s">
        <v>40441</v>
      </c>
      <c r="S5564" t="s">
        <v>40636</v>
      </c>
      <c r="T5564" t="s">
        <v>42106</v>
      </c>
      <c r="U5564" t="s">
        <v>47331</v>
      </c>
      <c r="V5564" t="s">
        <v>54318</v>
      </c>
      <c r="W5564" t="s">
        <v>38947</v>
      </c>
      <c r="X5564" t="s">
        <v>40446</v>
      </c>
    </row>
    <row r="5565" spans="1:24">
      <c r="A5565">
        <f>HYPERLINK("https://www.philgeps.gov.ph/GEPSNONPILOT/Tender/SplashBidNoticeAbstractUI.aspx?menuIndex=3&amp;refID=7041926&amp;Result=3","7041926")</f>
        <v>0</v>
      </c>
      <c r="B5565" t="s">
        <v>1824</v>
      </c>
      <c r="C5565" t="s">
        <v>8379</v>
      </c>
      <c r="D5565" t="s">
        <v>16259</v>
      </c>
      <c r="E5565" t="s">
        <v>21230</v>
      </c>
      <c r="F5565" t="s">
        <v>28198</v>
      </c>
      <c r="G5565" t="s">
        <v>28207</v>
      </c>
      <c r="H5565" t="s">
        <v>28215</v>
      </c>
      <c r="I5565" t="s">
        <v>5100</v>
      </c>
      <c r="J5565" t="s">
        <v>31892</v>
      </c>
      <c r="K5565" t="s">
        <v>36701</v>
      </c>
      <c r="M5565" t="s">
        <v>38948</v>
      </c>
      <c r="N5565" t="s">
        <v>40436</v>
      </c>
      <c r="O5565" t="s">
        <v>40437</v>
      </c>
      <c r="P5565">
        <v>0</v>
      </c>
      <c r="Q5565">
        <v>2</v>
      </c>
      <c r="R5565" t="s">
        <v>40441</v>
      </c>
      <c r="S5565" t="s">
        <v>40636</v>
      </c>
      <c r="T5565" t="s">
        <v>42233</v>
      </c>
      <c r="U5565" t="s">
        <v>47332</v>
      </c>
      <c r="W5565" t="s">
        <v>38948</v>
      </c>
      <c r="X5565" t="s">
        <v>40444</v>
      </c>
    </row>
    <row r="5566" spans="1:24">
      <c r="A5566">
        <f>HYPERLINK("https://www.philgeps.gov.ph/GEPSNONPILOT/Tender/SplashBidNoticeAbstractUI.aspx?menuIndex=3&amp;refID=7042635&amp;Result=3","7042635")</f>
        <v>0</v>
      </c>
      <c r="B5566" t="s">
        <v>521</v>
      </c>
      <c r="C5566" t="s">
        <v>8380</v>
      </c>
      <c r="D5566" t="s">
        <v>16254</v>
      </c>
      <c r="E5566" t="s">
        <v>21231</v>
      </c>
      <c r="F5566" t="s">
        <v>28198</v>
      </c>
      <c r="G5566" t="s">
        <v>28205</v>
      </c>
      <c r="H5566" t="s">
        <v>28215</v>
      </c>
      <c r="I5566" t="s">
        <v>5100</v>
      </c>
      <c r="J5566" t="s">
        <v>31893</v>
      </c>
      <c r="K5566" t="s">
        <v>36706</v>
      </c>
      <c r="M5566" t="s">
        <v>37506</v>
      </c>
      <c r="N5566" t="s">
        <v>40436</v>
      </c>
      <c r="O5566" t="s">
        <v>40437</v>
      </c>
      <c r="P5566">
        <v>0</v>
      </c>
      <c r="Q5566">
        <v>0</v>
      </c>
      <c r="R5566" t="s">
        <v>40441</v>
      </c>
      <c r="S5566" t="s">
        <v>40636</v>
      </c>
      <c r="T5566" t="s">
        <v>42124</v>
      </c>
      <c r="U5566" t="s">
        <v>47333</v>
      </c>
      <c r="V5566" t="s">
        <v>54319</v>
      </c>
      <c r="W5566" t="s">
        <v>37506</v>
      </c>
      <c r="X5566" t="s">
        <v>40444</v>
      </c>
    </row>
    <row r="5567" spans="1:24">
      <c r="A5567">
        <f>HYPERLINK("https://www.philgeps.gov.ph/GEPSNONPILOT/Tender/SplashBidNoticeAbstractUI.aspx?menuIndex=3&amp;refID=7044330&amp;Result=3","7044330")</f>
        <v>0</v>
      </c>
      <c r="B5567" t="s">
        <v>1823</v>
      </c>
      <c r="C5567" t="s">
        <v>8381</v>
      </c>
      <c r="D5567" t="s">
        <v>16190</v>
      </c>
      <c r="E5567" t="s">
        <v>21232</v>
      </c>
      <c r="F5567" t="s">
        <v>28198</v>
      </c>
      <c r="G5567" t="s">
        <v>28205</v>
      </c>
      <c r="H5567" t="s">
        <v>28215</v>
      </c>
      <c r="I5567" t="s">
        <v>5656</v>
      </c>
      <c r="J5567" t="s">
        <v>31894</v>
      </c>
      <c r="K5567" t="s">
        <v>36693</v>
      </c>
      <c r="M5567" t="s">
        <v>38946</v>
      </c>
      <c r="N5567" t="s">
        <v>40436</v>
      </c>
      <c r="O5567" t="s">
        <v>40437</v>
      </c>
      <c r="P5567">
        <v>0</v>
      </c>
      <c r="Q5567">
        <v>0</v>
      </c>
      <c r="R5567" t="s">
        <v>40440</v>
      </c>
      <c r="S5567" t="s">
        <v>40603</v>
      </c>
      <c r="T5567" t="s">
        <v>42177</v>
      </c>
      <c r="U5567" t="s">
        <v>47334</v>
      </c>
      <c r="W5567" t="s">
        <v>38946</v>
      </c>
      <c r="X5567" t="s">
        <v>40441</v>
      </c>
    </row>
    <row r="5568" spans="1:24">
      <c r="A5568">
        <f>HYPERLINK("https://www.philgeps.gov.ph/GEPSNONPILOT/Tender/SplashBidNoticeAbstractUI.aspx?menuIndex=3&amp;refID=7033145&amp;Result=3","7033145")</f>
        <v>0</v>
      </c>
      <c r="B5568" t="s">
        <v>1668</v>
      </c>
      <c r="C5568" t="s">
        <v>8382</v>
      </c>
      <c r="D5568" t="s">
        <v>16193</v>
      </c>
      <c r="E5568" t="s">
        <v>21233</v>
      </c>
      <c r="F5568" t="s">
        <v>28198</v>
      </c>
      <c r="G5568" t="s">
        <v>28205</v>
      </c>
      <c r="H5568" t="s">
        <v>28215</v>
      </c>
      <c r="I5568" t="s">
        <v>28227</v>
      </c>
      <c r="J5568" t="s">
        <v>31895</v>
      </c>
      <c r="K5568" t="s">
        <v>36701</v>
      </c>
      <c r="M5568" t="s">
        <v>38947</v>
      </c>
      <c r="N5568" t="s">
        <v>40436</v>
      </c>
      <c r="O5568" t="s">
        <v>40437</v>
      </c>
      <c r="P5568">
        <v>0</v>
      </c>
      <c r="Q5568">
        <v>1</v>
      </c>
      <c r="R5568" t="s">
        <v>40441</v>
      </c>
      <c r="S5568" t="s">
        <v>40636</v>
      </c>
      <c r="T5568" t="s">
        <v>42106</v>
      </c>
      <c r="U5568" t="s">
        <v>47335</v>
      </c>
      <c r="V5568" t="s">
        <v>54318</v>
      </c>
      <c r="W5568" t="s">
        <v>38947</v>
      </c>
      <c r="X5568" t="s">
        <v>40447</v>
      </c>
    </row>
    <row r="5569" spans="1:24">
      <c r="A5569">
        <f>HYPERLINK("https://www.philgeps.gov.ph/GEPSNONPILOT/Tender/SplashBidNoticeAbstractUI.aspx?menuIndex=3&amp;refID=7042060&amp;Result=3","7042060")</f>
        <v>0</v>
      </c>
      <c r="B5569" t="s">
        <v>1824</v>
      </c>
      <c r="C5569" t="s">
        <v>8383</v>
      </c>
      <c r="D5569" t="s">
        <v>16259</v>
      </c>
      <c r="E5569" t="s">
        <v>21234</v>
      </c>
      <c r="F5569" t="s">
        <v>28198</v>
      </c>
      <c r="G5569" t="s">
        <v>28207</v>
      </c>
      <c r="H5569" t="s">
        <v>28215</v>
      </c>
      <c r="I5569" t="s">
        <v>3774</v>
      </c>
      <c r="J5569" t="s">
        <v>31896</v>
      </c>
      <c r="K5569" t="s">
        <v>36701</v>
      </c>
      <c r="M5569" t="s">
        <v>38948</v>
      </c>
      <c r="N5569" t="s">
        <v>40436</v>
      </c>
      <c r="O5569" t="s">
        <v>40437</v>
      </c>
      <c r="P5569">
        <v>0</v>
      </c>
      <c r="Q5569">
        <v>2</v>
      </c>
      <c r="R5569" t="s">
        <v>40441</v>
      </c>
      <c r="S5569" t="s">
        <v>40636</v>
      </c>
      <c r="T5569" t="s">
        <v>42245</v>
      </c>
      <c r="U5569" t="s">
        <v>47336</v>
      </c>
      <c r="W5569" t="s">
        <v>38948</v>
      </c>
      <c r="X5569" t="s">
        <v>40444</v>
      </c>
    </row>
    <row r="5570" spans="1:24">
      <c r="A5570">
        <f>HYPERLINK("https://www.philgeps.gov.ph/GEPSNONPILOT/Tender/SplashBidNoticeAbstractUI.aspx?menuIndex=3&amp;refID=7044327&amp;Result=3","7044327")</f>
        <v>0</v>
      </c>
      <c r="B5570" t="s">
        <v>1823</v>
      </c>
      <c r="C5570" t="s">
        <v>8384</v>
      </c>
      <c r="D5570" t="s">
        <v>16190</v>
      </c>
      <c r="E5570" t="s">
        <v>21235</v>
      </c>
      <c r="F5570" t="s">
        <v>28198</v>
      </c>
      <c r="G5570" t="s">
        <v>28205</v>
      </c>
      <c r="H5570" t="s">
        <v>28215</v>
      </c>
      <c r="I5570" t="s">
        <v>5656</v>
      </c>
      <c r="J5570" t="s">
        <v>31897</v>
      </c>
      <c r="K5570" t="s">
        <v>36693</v>
      </c>
      <c r="M5570" t="s">
        <v>38946</v>
      </c>
      <c r="N5570" t="s">
        <v>40436</v>
      </c>
      <c r="O5570" t="s">
        <v>40437</v>
      </c>
      <c r="P5570">
        <v>0</v>
      </c>
      <c r="Q5570">
        <v>0</v>
      </c>
      <c r="R5570" t="s">
        <v>40440</v>
      </c>
      <c r="S5570" t="s">
        <v>40603</v>
      </c>
      <c r="T5570" t="s">
        <v>42177</v>
      </c>
      <c r="U5570" t="s">
        <v>47337</v>
      </c>
      <c r="W5570" t="s">
        <v>38946</v>
      </c>
      <c r="X5570" t="s">
        <v>40441</v>
      </c>
    </row>
    <row r="5571" spans="1:24">
      <c r="A5571">
        <f>HYPERLINK("https://www.philgeps.gov.ph/GEPSNONPILOT/Tender/SplashBidNoticeAbstractUI.aspx?menuIndex=3&amp;refID=7043677&amp;Result=3","7043677")</f>
        <v>0</v>
      </c>
      <c r="B5571" t="s">
        <v>1825</v>
      </c>
      <c r="C5571" t="s">
        <v>8385</v>
      </c>
      <c r="D5571" t="s">
        <v>16210</v>
      </c>
      <c r="E5571" t="s">
        <v>21236</v>
      </c>
      <c r="F5571" t="s">
        <v>28200</v>
      </c>
      <c r="G5571" t="s">
        <v>28206</v>
      </c>
      <c r="H5571" t="s">
        <v>28215</v>
      </c>
      <c r="I5571" t="s">
        <v>28234</v>
      </c>
      <c r="J5571" t="s">
        <v>30213</v>
      </c>
      <c r="K5571" t="s">
        <v>36689</v>
      </c>
      <c r="M5571" t="s">
        <v>38949</v>
      </c>
      <c r="N5571" t="s">
        <v>40436</v>
      </c>
      <c r="O5571" t="s">
        <v>40437</v>
      </c>
      <c r="P5571">
        <v>0</v>
      </c>
      <c r="Q5571">
        <v>7</v>
      </c>
      <c r="R5571" t="s">
        <v>40441</v>
      </c>
      <c r="S5571" t="s">
        <v>40636</v>
      </c>
      <c r="T5571" t="s">
        <v>42245</v>
      </c>
      <c r="U5571" t="s">
        <v>47338</v>
      </c>
      <c r="V5571" t="s">
        <v>54320</v>
      </c>
      <c r="W5571" t="s">
        <v>38949</v>
      </c>
      <c r="X5571" t="s">
        <v>40443</v>
      </c>
    </row>
    <row r="5572" spans="1:24">
      <c r="A5572">
        <f>HYPERLINK("https://www.philgeps.gov.ph/GEPSNONPILOT/Tender/SplashBidNoticeAbstractUI.aspx?menuIndex=3&amp;refID=7036376&amp;Result=3","7036376")</f>
        <v>0</v>
      </c>
      <c r="B5572" t="s">
        <v>1668</v>
      </c>
      <c r="C5572" t="s">
        <v>8386</v>
      </c>
      <c r="D5572" t="s">
        <v>16193</v>
      </c>
      <c r="E5572" t="s">
        <v>21237</v>
      </c>
      <c r="F5572" t="s">
        <v>28198</v>
      </c>
      <c r="G5572" t="s">
        <v>28205</v>
      </c>
      <c r="H5572" t="s">
        <v>28215</v>
      </c>
      <c r="I5572" t="s">
        <v>28243</v>
      </c>
      <c r="J5572" t="s">
        <v>31898</v>
      </c>
      <c r="K5572" t="s">
        <v>36701</v>
      </c>
      <c r="M5572" t="s">
        <v>38947</v>
      </c>
      <c r="N5572" t="s">
        <v>40436</v>
      </c>
      <c r="O5572" t="s">
        <v>40437</v>
      </c>
      <c r="P5572">
        <v>0</v>
      </c>
      <c r="Q5572">
        <v>4</v>
      </c>
      <c r="R5572" t="s">
        <v>40441</v>
      </c>
      <c r="S5572" t="s">
        <v>40636</v>
      </c>
      <c r="T5572" t="s">
        <v>42106</v>
      </c>
      <c r="U5572" t="s">
        <v>47339</v>
      </c>
      <c r="V5572" t="s">
        <v>54318</v>
      </c>
      <c r="W5572" t="s">
        <v>38947</v>
      </c>
      <c r="X5572" t="s">
        <v>40446</v>
      </c>
    </row>
    <row r="5573" spans="1:24">
      <c r="A5573">
        <f>HYPERLINK("https://www.philgeps.gov.ph/GEPSNONPILOT/Tender/SplashBidNoticeAbstractUI.aspx?menuIndex=3&amp;refID=7043682&amp;Result=3","7043682")</f>
        <v>0</v>
      </c>
      <c r="B5573" t="s">
        <v>1141</v>
      </c>
      <c r="C5573" t="s">
        <v>8387</v>
      </c>
      <c r="D5573" t="s">
        <v>16261</v>
      </c>
      <c r="E5573" t="s">
        <v>21238</v>
      </c>
      <c r="F5573" t="s">
        <v>28198</v>
      </c>
      <c r="G5573" t="s">
        <v>28206</v>
      </c>
      <c r="H5573" t="s">
        <v>28215</v>
      </c>
      <c r="I5573" t="s">
        <v>4168</v>
      </c>
      <c r="J5573" t="s">
        <v>28593</v>
      </c>
      <c r="K5573" t="s">
        <v>36688</v>
      </c>
      <c r="M5573" t="s">
        <v>38181</v>
      </c>
      <c r="N5573" t="s">
        <v>40436</v>
      </c>
      <c r="O5573" t="s">
        <v>40437</v>
      </c>
      <c r="P5573">
        <v>0</v>
      </c>
      <c r="Q5573">
        <v>1</v>
      </c>
      <c r="R5573" t="s">
        <v>40441</v>
      </c>
      <c r="S5573" t="s">
        <v>40636</v>
      </c>
      <c r="T5573" t="s">
        <v>42103</v>
      </c>
      <c r="U5573" t="s">
        <v>47340</v>
      </c>
      <c r="W5573" t="s">
        <v>38181</v>
      </c>
      <c r="X5573" t="s">
        <v>40443</v>
      </c>
    </row>
    <row r="5574" spans="1:24">
      <c r="A5574">
        <f>HYPERLINK("https://www.philgeps.gov.ph/GEPSNONPILOT/Tender/SplashBidNoticeAbstractUI.aspx?menuIndex=3&amp;refID=7044334&amp;Result=3","7044334")</f>
        <v>0</v>
      </c>
      <c r="B5574" t="s">
        <v>1660</v>
      </c>
      <c r="C5574" t="s">
        <v>8388</v>
      </c>
      <c r="D5574" t="s">
        <v>16217</v>
      </c>
      <c r="E5574" t="s">
        <v>21239</v>
      </c>
      <c r="F5574" t="s">
        <v>28198</v>
      </c>
      <c r="G5574" t="s">
        <v>28207</v>
      </c>
      <c r="H5574" t="s">
        <v>28215</v>
      </c>
      <c r="I5574" t="s">
        <v>28228</v>
      </c>
      <c r="J5574" t="s">
        <v>31899</v>
      </c>
      <c r="K5574" t="s">
        <v>36692</v>
      </c>
      <c r="M5574" t="s">
        <v>38754</v>
      </c>
      <c r="N5574" t="s">
        <v>40436</v>
      </c>
      <c r="O5574" t="s">
        <v>40437</v>
      </c>
      <c r="P5574">
        <v>0</v>
      </c>
      <c r="Q5574">
        <v>0</v>
      </c>
      <c r="R5574" t="s">
        <v>40440</v>
      </c>
      <c r="S5574" t="s">
        <v>40603</v>
      </c>
      <c r="T5574" t="s">
        <v>42375</v>
      </c>
      <c r="U5574" t="s">
        <v>47341</v>
      </c>
      <c r="W5574" t="s">
        <v>38754</v>
      </c>
      <c r="X5574" t="s">
        <v>40441</v>
      </c>
    </row>
    <row r="5575" spans="1:24">
      <c r="A5575">
        <f>HYPERLINK("https://www.philgeps.gov.ph/GEPSNONPILOT/Tender/SplashBidNoticeAbstractUI.aspx?menuIndex=3&amp;refID=7043053&amp;Result=3","7043053")</f>
        <v>0</v>
      </c>
      <c r="B5575" t="s">
        <v>189</v>
      </c>
      <c r="C5575" t="s">
        <v>8389</v>
      </c>
      <c r="E5575" t="s">
        <v>21240</v>
      </c>
      <c r="F5575" t="s">
        <v>28198</v>
      </c>
      <c r="G5575" t="s">
        <v>28207</v>
      </c>
      <c r="H5575" t="s">
        <v>28215</v>
      </c>
      <c r="I5575" t="s">
        <v>28247</v>
      </c>
      <c r="J5575" t="s">
        <v>31900</v>
      </c>
      <c r="K5575" t="s">
        <v>36689</v>
      </c>
      <c r="M5575" t="s">
        <v>37164</v>
      </c>
      <c r="N5575" t="s">
        <v>40436</v>
      </c>
      <c r="O5575" t="s">
        <v>40437</v>
      </c>
      <c r="P5575">
        <v>0</v>
      </c>
      <c r="Q5575">
        <v>9</v>
      </c>
      <c r="R5575" t="s">
        <v>40441</v>
      </c>
      <c r="S5575" t="s">
        <v>40636</v>
      </c>
      <c r="T5575" t="s">
        <v>42157</v>
      </c>
      <c r="U5575" t="s">
        <v>47342</v>
      </c>
      <c r="W5575" t="s">
        <v>37164</v>
      </c>
      <c r="X5575" t="s">
        <v>40444</v>
      </c>
    </row>
    <row r="5576" spans="1:24">
      <c r="A5576">
        <f>HYPERLINK("https://www.philgeps.gov.ph/GEPSNONPILOT/Tender/SplashBidNoticeAbstractUI.aspx?menuIndex=3&amp;refID=7023347&amp;Result=3","7023347")</f>
        <v>0</v>
      </c>
      <c r="B5576" t="s">
        <v>1826</v>
      </c>
      <c r="C5576" t="s">
        <v>8390</v>
      </c>
      <c r="D5576" t="s">
        <v>16221</v>
      </c>
      <c r="E5576" t="s">
        <v>21241</v>
      </c>
      <c r="F5576" t="s">
        <v>28198</v>
      </c>
      <c r="G5576" t="s">
        <v>28205</v>
      </c>
      <c r="H5576" t="s">
        <v>28215</v>
      </c>
      <c r="I5576" t="s">
        <v>8888</v>
      </c>
      <c r="J5576" t="s">
        <v>31901</v>
      </c>
      <c r="K5576" t="s">
        <v>36688</v>
      </c>
      <c r="M5576" t="s">
        <v>38950</v>
      </c>
      <c r="N5576" t="s">
        <v>40436</v>
      </c>
      <c r="O5576" t="s">
        <v>40437</v>
      </c>
      <c r="P5576">
        <v>0</v>
      </c>
      <c r="Q5576">
        <v>7</v>
      </c>
      <c r="R5576" t="s">
        <v>40441</v>
      </c>
      <c r="S5576" t="s">
        <v>40636</v>
      </c>
      <c r="T5576" t="s">
        <v>42296</v>
      </c>
      <c r="U5576" t="s">
        <v>47343</v>
      </c>
      <c r="W5576" t="s">
        <v>38950</v>
      </c>
      <c r="X5576" t="s">
        <v>40453</v>
      </c>
    </row>
    <row r="5577" spans="1:24">
      <c r="A5577">
        <f>HYPERLINK("https://www.philgeps.gov.ph/GEPSNONPILOT/Tender/SplashBidNoticeAbstractUI.aspx?menuIndex=3&amp;refID=7044340&amp;Result=3","7044340")</f>
        <v>0</v>
      </c>
      <c r="B5577" t="s">
        <v>916</v>
      </c>
      <c r="C5577" t="s">
        <v>8391</v>
      </c>
      <c r="E5577" t="s">
        <v>21242</v>
      </c>
      <c r="F5577" t="s">
        <v>28198</v>
      </c>
      <c r="G5577" t="s">
        <v>28206</v>
      </c>
      <c r="H5577" t="s">
        <v>28215</v>
      </c>
      <c r="I5577" t="s">
        <v>28234</v>
      </c>
      <c r="J5577" t="s">
        <v>30418</v>
      </c>
      <c r="K5577" t="s">
        <v>36689</v>
      </c>
      <c r="M5577" t="s">
        <v>38951</v>
      </c>
      <c r="N5577" t="s">
        <v>40436</v>
      </c>
      <c r="O5577" t="s">
        <v>40437</v>
      </c>
      <c r="P5577">
        <v>0</v>
      </c>
      <c r="Q5577">
        <v>11</v>
      </c>
      <c r="R5577" t="s">
        <v>40440</v>
      </c>
      <c r="S5577" t="s">
        <v>40603</v>
      </c>
      <c r="T5577" t="s">
        <v>42184</v>
      </c>
      <c r="U5577" t="s">
        <v>47344</v>
      </c>
      <c r="W5577" t="s">
        <v>38951</v>
      </c>
      <c r="X5577" t="s">
        <v>40441</v>
      </c>
    </row>
    <row r="5578" spans="1:24">
      <c r="A5578">
        <f>HYPERLINK("https://www.philgeps.gov.ph/GEPSNONPILOT/Tender/SplashBidNoticeAbstractUI.aspx?menuIndex=3&amp;refID=7044336&amp;Result=3","7044336")</f>
        <v>0</v>
      </c>
      <c r="B5578" t="s">
        <v>1143</v>
      </c>
      <c r="C5578" t="s">
        <v>8392</v>
      </c>
      <c r="D5578" t="s">
        <v>16210</v>
      </c>
      <c r="E5578" t="s">
        <v>19160</v>
      </c>
      <c r="F5578" t="s">
        <v>28198</v>
      </c>
      <c r="G5578" t="s">
        <v>28205</v>
      </c>
      <c r="H5578" t="s">
        <v>28215</v>
      </c>
      <c r="I5578" t="s">
        <v>28327</v>
      </c>
      <c r="J5578" t="s">
        <v>31902</v>
      </c>
      <c r="K5578" t="s">
        <v>36697</v>
      </c>
      <c r="M5578" t="s">
        <v>38183</v>
      </c>
      <c r="N5578" t="s">
        <v>40436</v>
      </c>
      <c r="O5578" t="s">
        <v>40437</v>
      </c>
      <c r="P5578">
        <v>0</v>
      </c>
      <c r="Q5578">
        <v>7</v>
      </c>
      <c r="R5578" t="s">
        <v>40440</v>
      </c>
      <c r="S5578" t="s">
        <v>40603</v>
      </c>
      <c r="T5578" t="s">
        <v>42143</v>
      </c>
      <c r="U5578" t="s">
        <v>47345</v>
      </c>
      <c r="V5578" t="s">
        <v>54321</v>
      </c>
      <c r="W5578" t="s">
        <v>38183</v>
      </c>
      <c r="X5578" t="s">
        <v>40441</v>
      </c>
    </row>
    <row r="5579" spans="1:24">
      <c r="A5579">
        <f>HYPERLINK("https://www.philgeps.gov.ph/GEPSNONPILOT/Tender/SplashBidNoticeAbstractUI.aspx?menuIndex=3&amp;refID=7044331&amp;Result=3","7044331")</f>
        <v>0</v>
      </c>
      <c r="B5579" t="s">
        <v>1823</v>
      </c>
      <c r="C5579" t="s">
        <v>8393</v>
      </c>
      <c r="D5579" t="s">
        <v>16190</v>
      </c>
      <c r="E5579" t="s">
        <v>21243</v>
      </c>
      <c r="F5579" t="s">
        <v>28198</v>
      </c>
      <c r="G5579" t="s">
        <v>28205</v>
      </c>
      <c r="H5579" t="s">
        <v>28215</v>
      </c>
      <c r="I5579" t="s">
        <v>5656</v>
      </c>
      <c r="J5579" t="s">
        <v>31903</v>
      </c>
      <c r="K5579" t="s">
        <v>36693</v>
      </c>
      <c r="M5579" t="s">
        <v>38946</v>
      </c>
      <c r="N5579" t="s">
        <v>40436</v>
      </c>
      <c r="O5579" t="s">
        <v>40437</v>
      </c>
      <c r="P5579">
        <v>0</v>
      </c>
      <c r="Q5579">
        <v>0</v>
      </c>
      <c r="R5579" t="s">
        <v>40440</v>
      </c>
      <c r="S5579" t="s">
        <v>40603</v>
      </c>
      <c r="T5579" t="s">
        <v>42177</v>
      </c>
      <c r="U5579" t="s">
        <v>47346</v>
      </c>
      <c r="W5579" t="s">
        <v>38946</v>
      </c>
      <c r="X5579" t="s">
        <v>40441</v>
      </c>
    </row>
    <row r="5580" spans="1:24">
      <c r="A5580">
        <f>HYPERLINK("https://www.philgeps.gov.ph/GEPSNONPILOT/Tender/SplashBidNoticeAbstractUI.aspx?menuIndex=3&amp;refID=7043697&amp;Result=3","7043697")</f>
        <v>0</v>
      </c>
      <c r="B5580" t="s">
        <v>1827</v>
      </c>
      <c r="C5580" t="s">
        <v>8394</v>
      </c>
      <c r="D5580" t="s">
        <v>16254</v>
      </c>
      <c r="E5580" t="s">
        <v>16473</v>
      </c>
      <c r="F5580" t="s">
        <v>28198</v>
      </c>
      <c r="G5580" t="s">
        <v>28205</v>
      </c>
      <c r="H5580" t="s">
        <v>28215</v>
      </c>
      <c r="I5580" t="s">
        <v>28228</v>
      </c>
      <c r="J5580" t="s">
        <v>31904</v>
      </c>
      <c r="K5580" t="s">
        <v>36688</v>
      </c>
      <c r="L5580" t="s">
        <v>1827</v>
      </c>
      <c r="M5580" t="s">
        <v>38952</v>
      </c>
      <c r="N5580" t="s">
        <v>40436</v>
      </c>
      <c r="O5580" t="s">
        <v>40437</v>
      </c>
      <c r="P5580">
        <v>0</v>
      </c>
      <c r="Q5580">
        <v>1</v>
      </c>
      <c r="R5580" t="s">
        <v>40441</v>
      </c>
      <c r="S5580" t="s">
        <v>40636</v>
      </c>
      <c r="T5580" t="s">
        <v>42112</v>
      </c>
      <c r="U5580" t="s">
        <v>47347</v>
      </c>
      <c r="V5580" t="s">
        <v>54322</v>
      </c>
      <c r="W5580" t="s">
        <v>38952</v>
      </c>
      <c r="X5580" t="s">
        <v>40442</v>
      </c>
    </row>
    <row r="5581" spans="1:24">
      <c r="A5581">
        <f>HYPERLINK("https://www.philgeps.gov.ph/GEPSNONPILOT/Tender/SplashBidNoticeAbstractUI.aspx?menuIndex=3&amp;refID=7044332&amp;Result=3","7044332")</f>
        <v>0</v>
      </c>
      <c r="B5581" t="s">
        <v>1660</v>
      </c>
      <c r="C5581" t="s">
        <v>8395</v>
      </c>
      <c r="D5581" t="s">
        <v>16217</v>
      </c>
      <c r="E5581" t="s">
        <v>21244</v>
      </c>
      <c r="F5581" t="s">
        <v>28198</v>
      </c>
      <c r="G5581" t="s">
        <v>28207</v>
      </c>
      <c r="H5581" t="s">
        <v>28215</v>
      </c>
      <c r="I5581" t="s">
        <v>5100</v>
      </c>
      <c r="J5581" t="s">
        <v>28387</v>
      </c>
      <c r="K5581" t="s">
        <v>36701</v>
      </c>
      <c r="M5581" t="s">
        <v>38754</v>
      </c>
      <c r="N5581" t="s">
        <v>40436</v>
      </c>
      <c r="O5581" t="s">
        <v>40437</v>
      </c>
      <c r="P5581">
        <v>0</v>
      </c>
      <c r="Q5581">
        <v>0</v>
      </c>
      <c r="R5581" t="s">
        <v>40440</v>
      </c>
      <c r="S5581" t="s">
        <v>40603</v>
      </c>
      <c r="T5581" t="s">
        <v>42199</v>
      </c>
      <c r="U5581" t="s">
        <v>47348</v>
      </c>
      <c r="W5581" t="s">
        <v>38754</v>
      </c>
      <c r="X5581" t="s">
        <v>40441</v>
      </c>
    </row>
    <row r="5582" spans="1:24">
      <c r="A5582">
        <f>HYPERLINK("https://www.philgeps.gov.ph/GEPSNONPILOT/Tender/SplashBidNoticeAbstractUI.aspx?menuIndex=3&amp;refID=7044337&amp;Result=3","7044337")</f>
        <v>0</v>
      </c>
      <c r="B5582" t="s">
        <v>1828</v>
      </c>
      <c r="C5582" t="s">
        <v>8396</v>
      </c>
      <c r="D5582" t="s">
        <v>16218</v>
      </c>
      <c r="E5582" t="s">
        <v>21245</v>
      </c>
      <c r="F5582" t="s">
        <v>28198</v>
      </c>
      <c r="G5582" t="s">
        <v>28207</v>
      </c>
      <c r="H5582" t="s">
        <v>28215</v>
      </c>
      <c r="I5582" t="s">
        <v>3422</v>
      </c>
      <c r="J5582" t="s">
        <v>28589</v>
      </c>
      <c r="K5582" t="s">
        <v>36723</v>
      </c>
      <c r="M5582" t="s">
        <v>38953</v>
      </c>
      <c r="N5582" t="s">
        <v>40436</v>
      </c>
      <c r="O5582" t="s">
        <v>40437</v>
      </c>
      <c r="P5582">
        <v>0</v>
      </c>
      <c r="Q5582">
        <v>0</v>
      </c>
      <c r="R5582" t="s">
        <v>40440</v>
      </c>
      <c r="S5582" t="s">
        <v>40603</v>
      </c>
      <c r="T5582" t="s">
        <v>42184</v>
      </c>
      <c r="U5582" t="s">
        <v>47349</v>
      </c>
      <c r="W5582" t="s">
        <v>38953</v>
      </c>
      <c r="X5582" t="s">
        <v>40441</v>
      </c>
    </row>
    <row r="5583" spans="1:24">
      <c r="A5583">
        <f>HYPERLINK("https://www.philgeps.gov.ph/GEPSNONPILOT/Tender/SplashBidNoticeAbstractUI.aspx?menuIndex=3&amp;refID=7043720&amp;Result=3","7043720")</f>
        <v>0</v>
      </c>
      <c r="B5583" t="s">
        <v>1829</v>
      </c>
      <c r="C5583" t="s">
        <v>8397</v>
      </c>
      <c r="D5583" t="s">
        <v>16191</v>
      </c>
      <c r="E5583" t="s">
        <v>21246</v>
      </c>
      <c r="F5583" t="s">
        <v>28198</v>
      </c>
      <c r="G5583" t="s">
        <v>28205</v>
      </c>
      <c r="H5583" t="s">
        <v>28214</v>
      </c>
      <c r="I5583" t="s">
        <v>3797</v>
      </c>
      <c r="J5583" t="s">
        <v>29160</v>
      </c>
      <c r="K5583" t="s">
        <v>36707</v>
      </c>
      <c r="M5583" t="s">
        <v>38954</v>
      </c>
      <c r="N5583" t="s">
        <v>40436</v>
      </c>
      <c r="O5583" t="s">
        <v>40437</v>
      </c>
      <c r="P5583">
        <v>0</v>
      </c>
      <c r="Q5583">
        <v>0</v>
      </c>
      <c r="R5583" t="s">
        <v>40441</v>
      </c>
      <c r="S5583" t="s">
        <v>40636</v>
      </c>
      <c r="T5583" t="s">
        <v>42111</v>
      </c>
      <c r="U5583" t="s">
        <v>47350</v>
      </c>
      <c r="W5583" t="s">
        <v>38954</v>
      </c>
      <c r="X5583" t="s">
        <v>40442</v>
      </c>
    </row>
    <row r="5584" spans="1:24">
      <c r="A5584">
        <f>HYPERLINK("https://www.philgeps.gov.ph/GEPSNONPILOT/Tender/SplashBidNoticeAbstractUI.aspx?menuIndex=3&amp;refID=7043717&amp;Result=3","7043717")</f>
        <v>0</v>
      </c>
      <c r="B5584" t="s">
        <v>1830</v>
      </c>
      <c r="C5584" t="s">
        <v>8398</v>
      </c>
      <c r="D5584" t="s">
        <v>16210</v>
      </c>
      <c r="E5584" t="s">
        <v>21247</v>
      </c>
      <c r="F5584" t="s">
        <v>28198</v>
      </c>
      <c r="G5584" t="s">
        <v>28205</v>
      </c>
      <c r="H5584" t="s">
        <v>28215</v>
      </c>
      <c r="I5584" t="s">
        <v>8888</v>
      </c>
      <c r="J5584" t="s">
        <v>28378</v>
      </c>
      <c r="K5584" t="s">
        <v>36693</v>
      </c>
      <c r="M5584" t="s">
        <v>38955</v>
      </c>
      <c r="N5584" t="s">
        <v>40436</v>
      </c>
      <c r="O5584" t="s">
        <v>40437</v>
      </c>
      <c r="P5584">
        <v>0</v>
      </c>
      <c r="Q5584">
        <v>4</v>
      </c>
      <c r="R5584" t="s">
        <v>40441</v>
      </c>
      <c r="S5584" t="s">
        <v>40636</v>
      </c>
      <c r="T5584" t="s">
        <v>42142</v>
      </c>
      <c r="U5584" t="s">
        <v>47351</v>
      </c>
      <c r="W5584" t="s">
        <v>38955</v>
      </c>
      <c r="X5584" t="s">
        <v>40442</v>
      </c>
    </row>
    <row r="5585" spans="1:24">
      <c r="A5585">
        <f>HYPERLINK("https://www.philgeps.gov.ph/GEPSNONPILOT/Tender/SplashBidNoticeAbstractUI.aspx?menuIndex=3&amp;refID=7043789&amp;Result=3","7043789")</f>
        <v>0</v>
      </c>
      <c r="B5585" t="s">
        <v>1831</v>
      </c>
      <c r="C5585" t="s">
        <v>8399</v>
      </c>
      <c r="D5585" t="s">
        <v>16190</v>
      </c>
      <c r="E5585" t="s">
        <v>21248</v>
      </c>
      <c r="F5585" t="s">
        <v>28198</v>
      </c>
      <c r="G5585" t="s">
        <v>28207</v>
      </c>
      <c r="H5585" t="s">
        <v>28215</v>
      </c>
      <c r="I5585" t="s">
        <v>4200</v>
      </c>
      <c r="J5585" t="s">
        <v>31905</v>
      </c>
      <c r="K5585" t="s">
        <v>36698</v>
      </c>
      <c r="M5585" t="s">
        <v>38956</v>
      </c>
      <c r="N5585" t="s">
        <v>40436</v>
      </c>
      <c r="O5585" t="s">
        <v>40437</v>
      </c>
      <c r="P5585">
        <v>0</v>
      </c>
      <c r="Q5585">
        <v>1</v>
      </c>
      <c r="R5585" t="s">
        <v>40441</v>
      </c>
      <c r="S5585" t="s">
        <v>40636</v>
      </c>
      <c r="T5585" t="s">
        <v>42111</v>
      </c>
      <c r="U5585" t="s">
        <v>47352</v>
      </c>
      <c r="V5585" t="s">
        <v>54323</v>
      </c>
      <c r="W5585" t="s">
        <v>38956</v>
      </c>
      <c r="X5585" t="s">
        <v>40442</v>
      </c>
    </row>
    <row r="5586" spans="1:24">
      <c r="A5586">
        <f>HYPERLINK("https://www.philgeps.gov.ph/GEPSNONPILOT/Tender/SplashBidNoticeAbstractUI.aspx?menuIndex=3&amp;refID=7043715&amp;Result=3","7043715")</f>
        <v>0</v>
      </c>
      <c r="B5586" t="s">
        <v>1830</v>
      </c>
      <c r="C5586" t="s">
        <v>8400</v>
      </c>
      <c r="D5586" t="s">
        <v>16210</v>
      </c>
      <c r="E5586" t="s">
        <v>21249</v>
      </c>
      <c r="F5586" t="s">
        <v>28198</v>
      </c>
      <c r="G5586" t="s">
        <v>28205</v>
      </c>
      <c r="H5586" t="s">
        <v>28215</v>
      </c>
      <c r="I5586" t="s">
        <v>5082</v>
      </c>
      <c r="J5586" t="s">
        <v>28378</v>
      </c>
      <c r="K5586" t="s">
        <v>36693</v>
      </c>
      <c r="M5586" t="s">
        <v>38955</v>
      </c>
      <c r="N5586" t="s">
        <v>40436</v>
      </c>
      <c r="O5586" t="s">
        <v>40437</v>
      </c>
      <c r="P5586">
        <v>0</v>
      </c>
      <c r="Q5586">
        <v>2</v>
      </c>
      <c r="R5586" t="s">
        <v>40441</v>
      </c>
      <c r="S5586" t="s">
        <v>40636</v>
      </c>
      <c r="T5586" t="s">
        <v>42142</v>
      </c>
      <c r="U5586" t="s">
        <v>47353</v>
      </c>
      <c r="W5586" t="s">
        <v>38955</v>
      </c>
      <c r="X5586" t="s">
        <v>40442</v>
      </c>
    </row>
    <row r="5587" spans="1:24">
      <c r="A5587">
        <f>HYPERLINK("https://www.philgeps.gov.ph/GEPSNONPILOT/Tender/SplashBidNoticeAbstractUI.aspx?menuIndex=3&amp;refID=7043768&amp;Result=3","7043768")</f>
        <v>0</v>
      </c>
      <c r="B5587" t="s">
        <v>1831</v>
      </c>
      <c r="C5587" t="s">
        <v>8401</v>
      </c>
      <c r="D5587" t="s">
        <v>16190</v>
      </c>
      <c r="E5587" t="s">
        <v>21250</v>
      </c>
      <c r="F5587" t="s">
        <v>28198</v>
      </c>
      <c r="G5587" t="s">
        <v>28207</v>
      </c>
      <c r="H5587" t="s">
        <v>28215</v>
      </c>
      <c r="I5587" t="s">
        <v>28225</v>
      </c>
      <c r="J5587" t="s">
        <v>31906</v>
      </c>
      <c r="K5587" t="s">
        <v>36698</v>
      </c>
      <c r="M5587" t="s">
        <v>38956</v>
      </c>
      <c r="N5587" t="s">
        <v>40436</v>
      </c>
      <c r="O5587" t="s">
        <v>40437</v>
      </c>
      <c r="P5587">
        <v>0</v>
      </c>
      <c r="Q5587">
        <v>2</v>
      </c>
      <c r="R5587" t="s">
        <v>40441</v>
      </c>
      <c r="S5587" t="s">
        <v>40636</v>
      </c>
      <c r="T5587" t="s">
        <v>42111</v>
      </c>
      <c r="U5587" t="s">
        <v>47354</v>
      </c>
      <c r="V5587" t="s">
        <v>54324</v>
      </c>
      <c r="W5587" t="s">
        <v>38956</v>
      </c>
      <c r="X5587" t="s">
        <v>40442</v>
      </c>
    </row>
    <row r="5588" spans="1:24">
      <c r="A5588">
        <f>HYPERLINK("https://www.philgeps.gov.ph/GEPSNONPILOT/Tender/SplashBidNoticeAbstractUI.aspx?menuIndex=3&amp;refID=7043701&amp;Result=3","7043701")</f>
        <v>0</v>
      </c>
      <c r="B5588" t="s">
        <v>1832</v>
      </c>
      <c r="C5588" t="s">
        <v>8402</v>
      </c>
      <c r="D5588" t="s">
        <v>16226</v>
      </c>
      <c r="E5588" t="s">
        <v>21251</v>
      </c>
      <c r="F5588" t="s">
        <v>28198</v>
      </c>
      <c r="G5588" t="s">
        <v>28205</v>
      </c>
      <c r="H5588" t="s">
        <v>28214</v>
      </c>
      <c r="I5588" t="s">
        <v>3797</v>
      </c>
      <c r="J5588" t="s">
        <v>29113</v>
      </c>
      <c r="K5588" t="s">
        <v>36697</v>
      </c>
      <c r="M5588" t="s">
        <v>38957</v>
      </c>
      <c r="N5588" t="s">
        <v>40436</v>
      </c>
      <c r="O5588" t="s">
        <v>40437</v>
      </c>
      <c r="P5588">
        <v>0</v>
      </c>
      <c r="Q5588">
        <v>0</v>
      </c>
      <c r="R5588" t="s">
        <v>40441</v>
      </c>
      <c r="S5588" t="s">
        <v>40636</v>
      </c>
      <c r="T5588" t="s">
        <v>42106</v>
      </c>
      <c r="U5588" t="s">
        <v>47355</v>
      </c>
      <c r="V5588" t="s">
        <v>54325</v>
      </c>
      <c r="W5588" t="s">
        <v>38957</v>
      </c>
      <c r="X5588" t="s">
        <v>40442</v>
      </c>
    </row>
    <row r="5589" spans="1:24">
      <c r="A5589">
        <f>HYPERLINK("https://www.philgeps.gov.ph/GEPSNONPILOT/Tender/SplashBidNoticeAbstractUI.aspx?menuIndex=3&amp;refID=7043801&amp;Result=3","7043801")</f>
        <v>0</v>
      </c>
      <c r="B5589" t="s">
        <v>1833</v>
      </c>
      <c r="C5589" t="s">
        <v>8403</v>
      </c>
      <c r="D5589" t="s">
        <v>16198</v>
      </c>
      <c r="E5589" t="s">
        <v>21252</v>
      </c>
      <c r="F5589" t="s">
        <v>28198</v>
      </c>
      <c r="G5589" t="s">
        <v>28207</v>
      </c>
      <c r="H5589" t="s">
        <v>28215</v>
      </c>
      <c r="I5589" t="s">
        <v>28234</v>
      </c>
      <c r="J5589" t="s">
        <v>29190</v>
      </c>
      <c r="K5589" t="s">
        <v>36701</v>
      </c>
      <c r="M5589" t="s">
        <v>38958</v>
      </c>
      <c r="N5589" t="s">
        <v>40436</v>
      </c>
      <c r="O5589" t="s">
        <v>40437</v>
      </c>
      <c r="P5589">
        <v>0</v>
      </c>
      <c r="Q5589">
        <v>5</v>
      </c>
      <c r="R5589" t="s">
        <v>40441</v>
      </c>
      <c r="S5589" t="s">
        <v>40636</v>
      </c>
      <c r="T5589" t="s">
        <v>42190</v>
      </c>
      <c r="U5589" t="s">
        <v>47356</v>
      </c>
      <c r="V5589" t="s">
        <v>54326</v>
      </c>
      <c r="W5589" t="s">
        <v>38958</v>
      </c>
      <c r="X5589" t="s">
        <v>40442</v>
      </c>
    </row>
    <row r="5590" spans="1:24">
      <c r="A5590">
        <f>HYPERLINK("https://www.philgeps.gov.ph/GEPSNONPILOT/Tender/SplashBidNoticeAbstractUI.aspx?menuIndex=3&amp;refID=7043764&amp;Result=3","7043764")</f>
        <v>0</v>
      </c>
      <c r="B5590" t="s">
        <v>1831</v>
      </c>
      <c r="C5590" t="s">
        <v>8404</v>
      </c>
      <c r="D5590" t="s">
        <v>16190</v>
      </c>
      <c r="E5590" t="s">
        <v>21253</v>
      </c>
      <c r="F5590" t="s">
        <v>28198</v>
      </c>
      <c r="G5590" t="s">
        <v>28207</v>
      </c>
      <c r="H5590" t="s">
        <v>28215</v>
      </c>
      <c r="I5590" t="s">
        <v>4200</v>
      </c>
      <c r="J5590" t="s">
        <v>28358</v>
      </c>
      <c r="K5590" t="s">
        <v>36698</v>
      </c>
      <c r="M5590" t="s">
        <v>38956</v>
      </c>
      <c r="N5590" t="s">
        <v>40436</v>
      </c>
      <c r="O5590" t="s">
        <v>40437</v>
      </c>
      <c r="P5590">
        <v>0</v>
      </c>
      <c r="Q5590">
        <v>1</v>
      </c>
      <c r="R5590" t="s">
        <v>40441</v>
      </c>
      <c r="S5590" t="s">
        <v>40636</v>
      </c>
      <c r="T5590" t="s">
        <v>42111</v>
      </c>
      <c r="U5590" t="s">
        <v>47357</v>
      </c>
      <c r="V5590" t="s">
        <v>54327</v>
      </c>
      <c r="W5590" t="s">
        <v>38956</v>
      </c>
      <c r="X5590" t="s">
        <v>40442</v>
      </c>
    </row>
    <row r="5591" spans="1:24">
      <c r="A5591">
        <f>HYPERLINK("https://www.philgeps.gov.ph/GEPSNONPILOT/Tender/SplashBidNoticeAbstractUI.aspx?menuIndex=3&amp;refID=7043750&amp;Result=3","7043750")</f>
        <v>0</v>
      </c>
      <c r="B5591" t="s">
        <v>1834</v>
      </c>
      <c r="C5591" t="s">
        <v>8405</v>
      </c>
      <c r="D5591" t="s">
        <v>16209</v>
      </c>
      <c r="E5591" t="s">
        <v>21254</v>
      </c>
      <c r="F5591" t="s">
        <v>28198</v>
      </c>
      <c r="G5591" t="s">
        <v>28205</v>
      </c>
      <c r="H5591" t="s">
        <v>28215</v>
      </c>
      <c r="I5591" t="s">
        <v>3422</v>
      </c>
      <c r="J5591" t="s">
        <v>31907</v>
      </c>
      <c r="K5591" t="s">
        <v>36689</v>
      </c>
      <c r="M5591" t="s">
        <v>38959</v>
      </c>
      <c r="N5591" t="s">
        <v>40436</v>
      </c>
      <c r="O5591" t="s">
        <v>40437</v>
      </c>
      <c r="P5591">
        <v>0</v>
      </c>
      <c r="Q5591">
        <v>1</v>
      </c>
      <c r="R5591" t="s">
        <v>40441</v>
      </c>
      <c r="S5591" t="s">
        <v>40636</v>
      </c>
      <c r="T5591" t="s">
        <v>42123</v>
      </c>
      <c r="U5591" t="s">
        <v>47358</v>
      </c>
      <c r="W5591" t="s">
        <v>38959</v>
      </c>
      <c r="X5591" t="s">
        <v>40442</v>
      </c>
    </row>
    <row r="5592" spans="1:24">
      <c r="A5592">
        <f>HYPERLINK("https://www.philgeps.gov.ph/GEPSNONPILOT/Tender/SplashBidNoticeAbstractUI.aspx?menuIndex=3&amp;refID=7043767&amp;Result=3","7043767")</f>
        <v>0</v>
      </c>
      <c r="B5592" t="s">
        <v>1831</v>
      </c>
      <c r="C5592" t="s">
        <v>8406</v>
      </c>
      <c r="D5592" t="s">
        <v>16190</v>
      </c>
      <c r="E5592" t="s">
        <v>21255</v>
      </c>
      <c r="F5592" t="s">
        <v>28198</v>
      </c>
      <c r="G5592" t="s">
        <v>28207</v>
      </c>
      <c r="H5592" t="s">
        <v>28215</v>
      </c>
      <c r="I5592" t="s">
        <v>4200</v>
      </c>
      <c r="J5592" t="s">
        <v>29900</v>
      </c>
      <c r="K5592" t="s">
        <v>36698</v>
      </c>
      <c r="M5592" t="s">
        <v>38956</v>
      </c>
      <c r="N5592" t="s">
        <v>40436</v>
      </c>
      <c r="O5592" t="s">
        <v>40437</v>
      </c>
      <c r="P5592">
        <v>0</v>
      </c>
      <c r="Q5592">
        <v>1</v>
      </c>
      <c r="R5592" t="s">
        <v>40441</v>
      </c>
      <c r="S5592" t="s">
        <v>40636</v>
      </c>
      <c r="T5592" t="s">
        <v>42111</v>
      </c>
      <c r="U5592" t="s">
        <v>47359</v>
      </c>
      <c r="V5592" t="s">
        <v>54328</v>
      </c>
      <c r="W5592" t="s">
        <v>38956</v>
      </c>
      <c r="X5592" t="s">
        <v>40442</v>
      </c>
    </row>
    <row r="5593" spans="1:24">
      <c r="A5593">
        <f>HYPERLINK("https://www.philgeps.gov.ph/GEPSNONPILOT/Tender/SplashBidNoticeAbstractUI.aspx?menuIndex=3&amp;refID=7043703&amp;Result=3","7043703")</f>
        <v>0</v>
      </c>
      <c r="B5593" t="s">
        <v>1835</v>
      </c>
      <c r="C5593" t="s">
        <v>8407</v>
      </c>
      <c r="D5593" t="s">
        <v>16191</v>
      </c>
      <c r="E5593" t="s">
        <v>21256</v>
      </c>
      <c r="F5593" t="s">
        <v>28198</v>
      </c>
      <c r="G5593" t="s">
        <v>28205</v>
      </c>
      <c r="H5593" t="s">
        <v>28214</v>
      </c>
      <c r="I5593" t="s">
        <v>3797</v>
      </c>
      <c r="J5593" t="s">
        <v>31908</v>
      </c>
      <c r="K5593" t="s">
        <v>36689</v>
      </c>
      <c r="M5593" t="s">
        <v>38960</v>
      </c>
      <c r="N5593" t="s">
        <v>40436</v>
      </c>
      <c r="O5593" t="s">
        <v>40437</v>
      </c>
      <c r="P5593">
        <v>0</v>
      </c>
      <c r="Q5593">
        <v>6</v>
      </c>
      <c r="R5593" t="s">
        <v>40441</v>
      </c>
      <c r="S5593" t="s">
        <v>40636</v>
      </c>
      <c r="T5593" t="s">
        <v>42234</v>
      </c>
      <c r="U5593" t="s">
        <v>47360</v>
      </c>
      <c r="W5593" t="s">
        <v>38960</v>
      </c>
      <c r="X5593" t="s">
        <v>40442</v>
      </c>
    </row>
    <row r="5594" spans="1:24">
      <c r="A5594">
        <f>HYPERLINK("https://www.philgeps.gov.ph/GEPSNONPILOT/Tender/SplashBidNoticeAbstractUI.aspx?menuIndex=3&amp;refID=7043762&amp;Result=3","7043762")</f>
        <v>0</v>
      </c>
      <c r="B5594" t="s">
        <v>1831</v>
      </c>
      <c r="C5594" t="s">
        <v>8408</v>
      </c>
      <c r="D5594" t="s">
        <v>16190</v>
      </c>
      <c r="E5594" t="s">
        <v>21257</v>
      </c>
      <c r="F5594" t="s">
        <v>28198</v>
      </c>
      <c r="G5594" t="s">
        <v>28207</v>
      </c>
      <c r="H5594" t="s">
        <v>28215</v>
      </c>
      <c r="I5594" t="s">
        <v>4200</v>
      </c>
      <c r="J5594" t="s">
        <v>28540</v>
      </c>
      <c r="K5594" t="s">
        <v>36698</v>
      </c>
      <c r="M5594" t="s">
        <v>38956</v>
      </c>
      <c r="N5594" t="s">
        <v>40436</v>
      </c>
      <c r="O5594" t="s">
        <v>40437</v>
      </c>
      <c r="P5594">
        <v>0</v>
      </c>
      <c r="Q5594">
        <v>1</v>
      </c>
      <c r="R5594" t="s">
        <v>40441</v>
      </c>
      <c r="S5594" t="s">
        <v>40636</v>
      </c>
      <c r="T5594" t="s">
        <v>42111</v>
      </c>
      <c r="U5594" t="s">
        <v>47361</v>
      </c>
      <c r="V5594" t="s">
        <v>54329</v>
      </c>
      <c r="W5594" t="s">
        <v>38956</v>
      </c>
      <c r="X5594" t="s">
        <v>40442</v>
      </c>
    </row>
    <row r="5595" spans="1:24">
      <c r="A5595">
        <f>HYPERLINK("https://www.philgeps.gov.ph/GEPSNONPILOT/Tender/SplashBidNoticeAbstractUI.aspx?menuIndex=3&amp;refID=7043792&amp;Result=3","7043792")</f>
        <v>0</v>
      </c>
      <c r="B5595" t="s">
        <v>1831</v>
      </c>
      <c r="C5595" t="s">
        <v>4230</v>
      </c>
      <c r="D5595" t="s">
        <v>16190</v>
      </c>
      <c r="E5595" t="s">
        <v>21258</v>
      </c>
      <c r="F5595" t="s">
        <v>28198</v>
      </c>
      <c r="G5595" t="s">
        <v>28207</v>
      </c>
      <c r="H5595" t="s">
        <v>28215</v>
      </c>
      <c r="I5595" t="s">
        <v>5082</v>
      </c>
      <c r="J5595" t="s">
        <v>28875</v>
      </c>
      <c r="K5595" t="s">
        <v>36698</v>
      </c>
      <c r="M5595" t="s">
        <v>38956</v>
      </c>
      <c r="N5595" t="s">
        <v>40436</v>
      </c>
      <c r="O5595" t="s">
        <v>40437</v>
      </c>
      <c r="P5595">
        <v>0</v>
      </c>
      <c r="Q5595">
        <v>2</v>
      </c>
      <c r="R5595" t="s">
        <v>40441</v>
      </c>
      <c r="S5595" t="s">
        <v>40636</v>
      </c>
      <c r="T5595" t="s">
        <v>42111</v>
      </c>
      <c r="U5595" t="s">
        <v>47362</v>
      </c>
      <c r="V5595" t="s">
        <v>54330</v>
      </c>
      <c r="W5595" t="s">
        <v>38956</v>
      </c>
      <c r="X5595" t="s">
        <v>40442</v>
      </c>
    </row>
    <row r="5596" spans="1:24">
      <c r="A5596">
        <f>HYPERLINK("https://www.philgeps.gov.ph/GEPSNONPILOT/Tender/SplashBidNoticeAbstractUI.aspx?menuIndex=3&amp;refID=7043803&amp;Result=3","7043803")</f>
        <v>0</v>
      </c>
      <c r="B5596" t="s">
        <v>1836</v>
      </c>
      <c r="C5596" t="s">
        <v>8409</v>
      </c>
      <c r="D5596" t="s">
        <v>16210</v>
      </c>
      <c r="E5596" t="s">
        <v>21259</v>
      </c>
      <c r="F5596" t="s">
        <v>28198</v>
      </c>
      <c r="G5596" t="s">
        <v>28205</v>
      </c>
      <c r="H5596" t="s">
        <v>28217</v>
      </c>
      <c r="I5596" t="s">
        <v>8888</v>
      </c>
      <c r="J5596" t="s">
        <v>28385</v>
      </c>
      <c r="K5596" t="s">
        <v>36701</v>
      </c>
      <c r="M5596" t="s">
        <v>38961</v>
      </c>
      <c r="N5596" t="s">
        <v>40436</v>
      </c>
      <c r="O5596" t="s">
        <v>40437</v>
      </c>
      <c r="P5596">
        <v>0</v>
      </c>
      <c r="Q5596">
        <v>5</v>
      </c>
      <c r="R5596" t="s">
        <v>40441</v>
      </c>
      <c r="S5596" t="s">
        <v>40636</v>
      </c>
      <c r="T5596" t="s">
        <v>42121</v>
      </c>
      <c r="U5596" t="s">
        <v>47363</v>
      </c>
      <c r="V5596" t="s">
        <v>54331</v>
      </c>
      <c r="W5596" t="s">
        <v>38961</v>
      </c>
      <c r="X5596" t="s">
        <v>40442</v>
      </c>
    </row>
    <row r="5597" spans="1:24">
      <c r="A5597">
        <f>HYPERLINK("https://www.philgeps.gov.ph/GEPSNONPILOT/Tender/SplashBidNoticeAbstractUI.aspx?menuIndex=3&amp;refID=7043758&amp;Result=3","7043758")</f>
        <v>0</v>
      </c>
      <c r="B5597" t="s">
        <v>1837</v>
      </c>
      <c r="C5597" t="s">
        <v>8410</v>
      </c>
      <c r="D5597" t="s">
        <v>16202</v>
      </c>
      <c r="E5597" t="s">
        <v>21260</v>
      </c>
      <c r="F5597" t="s">
        <v>28198</v>
      </c>
      <c r="G5597" t="s">
        <v>28207</v>
      </c>
      <c r="H5597" t="s">
        <v>28215</v>
      </c>
      <c r="I5597" t="s">
        <v>9499</v>
      </c>
      <c r="J5597" t="s">
        <v>29401</v>
      </c>
      <c r="K5597" t="s">
        <v>36723</v>
      </c>
      <c r="M5597" t="s">
        <v>38962</v>
      </c>
      <c r="N5597" t="s">
        <v>40436</v>
      </c>
      <c r="O5597" t="s">
        <v>40437</v>
      </c>
      <c r="P5597">
        <v>0</v>
      </c>
      <c r="Q5597">
        <v>6</v>
      </c>
      <c r="R5597" t="s">
        <v>40441</v>
      </c>
      <c r="S5597" t="s">
        <v>40636</v>
      </c>
      <c r="T5597" t="s">
        <v>42185</v>
      </c>
      <c r="U5597" t="s">
        <v>47364</v>
      </c>
      <c r="W5597" t="s">
        <v>38962</v>
      </c>
      <c r="X5597" t="s">
        <v>40442</v>
      </c>
    </row>
    <row r="5598" spans="1:24">
      <c r="A5598">
        <f>HYPERLINK("https://www.philgeps.gov.ph/GEPSNONPILOT/Tender/SplashBidNoticeAbstractUI.aspx?menuIndex=3&amp;refID=7043806&amp;Result=3","7043806")</f>
        <v>0</v>
      </c>
      <c r="B5598" t="s">
        <v>1838</v>
      </c>
      <c r="C5598" t="s">
        <v>8411</v>
      </c>
      <c r="E5598" t="s">
        <v>17248</v>
      </c>
      <c r="F5598" t="s">
        <v>28198</v>
      </c>
      <c r="G5598" t="s">
        <v>28205</v>
      </c>
      <c r="H5598" t="s">
        <v>28215</v>
      </c>
      <c r="I5598" t="s">
        <v>28239</v>
      </c>
      <c r="J5598" t="s">
        <v>28486</v>
      </c>
      <c r="K5598" t="s">
        <v>36689</v>
      </c>
      <c r="M5598" t="s">
        <v>38963</v>
      </c>
      <c r="N5598" t="s">
        <v>40436</v>
      </c>
      <c r="O5598" t="s">
        <v>40437</v>
      </c>
      <c r="P5598">
        <v>0</v>
      </c>
      <c r="Q5598">
        <v>1</v>
      </c>
      <c r="R5598" t="s">
        <v>40441</v>
      </c>
      <c r="S5598" t="s">
        <v>40636</v>
      </c>
      <c r="T5598" t="s">
        <v>42105</v>
      </c>
      <c r="U5598" t="s">
        <v>47365</v>
      </c>
      <c r="W5598" t="s">
        <v>38963</v>
      </c>
      <c r="X5598" t="s">
        <v>40442</v>
      </c>
    </row>
    <row r="5599" spans="1:24">
      <c r="A5599">
        <f>HYPERLINK("https://www.philgeps.gov.ph/GEPSNONPILOT/Tender/SplashBidNoticeAbstractUI.aspx?menuIndex=3&amp;refID=7043743&amp;Result=3","7043743")</f>
        <v>0</v>
      </c>
      <c r="B5599" t="s">
        <v>1839</v>
      </c>
      <c r="C5599" t="s">
        <v>8412</v>
      </c>
      <c r="D5599" t="s">
        <v>16196</v>
      </c>
      <c r="E5599" t="s">
        <v>16307</v>
      </c>
      <c r="F5599" t="s">
        <v>28200</v>
      </c>
      <c r="G5599" t="s">
        <v>28205</v>
      </c>
      <c r="H5599" t="s">
        <v>28214</v>
      </c>
      <c r="I5599" t="s">
        <v>3797</v>
      </c>
      <c r="J5599" t="s">
        <v>31909</v>
      </c>
      <c r="K5599" t="s">
        <v>36694</v>
      </c>
      <c r="M5599" t="s">
        <v>38964</v>
      </c>
      <c r="N5599" t="s">
        <v>40436</v>
      </c>
      <c r="O5599" t="s">
        <v>40437</v>
      </c>
      <c r="P5599">
        <v>0</v>
      </c>
      <c r="Q5599">
        <v>1</v>
      </c>
      <c r="R5599" t="s">
        <v>40441</v>
      </c>
      <c r="S5599" t="s">
        <v>40636</v>
      </c>
      <c r="T5599" t="s">
        <v>42424</v>
      </c>
      <c r="U5599" t="s">
        <v>47366</v>
      </c>
      <c r="W5599" t="s">
        <v>38964</v>
      </c>
      <c r="X5599" t="s">
        <v>40442</v>
      </c>
    </row>
    <row r="5600" spans="1:24">
      <c r="A5600">
        <f>HYPERLINK("https://www.philgeps.gov.ph/GEPSNONPILOT/Tender/SplashBidNoticeAbstractUI.aspx?menuIndex=3&amp;refID=7043746&amp;Result=3","7043746")</f>
        <v>0</v>
      </c>
      <c r="B5600" t="s">
        <v>1840</v>
      </c>
      <c r="C5600" t="s">
        <v>8413</v>
      </c>
      <c r="D5600" t="s">
        <v>16262</v>
      </c>
      <c r="E5600" t="s">
        <v>21261</v>
      </c>
      <c r="F5600" t="s">
        <v>28198</v>
      </c>
      <c r="G5600" t="s">
        <v>28207</v>
      </c>
      <c r="H5600" t="s">
        <v>28215</v>
      </c>
      <c r="I5600" t="s">
        <v>5631</v>
      </c>
      <c r="J5600" t="s">
        <v>31910</v>
      </c>
      <c r="K5600" t="s">
        <v>36693</v>
      </c>
      <c r="M5600" t="s">
        <v>38965</v>
      </c>
      <c r="N5600" t="s">
        <v>40436</v>
      </c>
      <c r="O5600" t="s">
        <v>40437</v>
      </c>
      <c r="P5600">
        <v>0</v>
      </c>
      <c r="Q5600">
        <v>0</v>
      </c>
      <c r="R5600" t="s">
        <v>40441</v>
      </c>
      <c r="S5600" t="s">
        <v>40636</v>
      </c>
      <c r="T5600" t="s">
        <v>42142</v>
      </c>
      <c r="U5600" t="s">
        <v>47367</v>
      </c>
      <c r="W5600" t="s">
        <v>38965</v>
      </c>
      <c r="X5600" t="s">
        <v>40442</v>
      </c>
    </row>
    <row r="5601" spans="1:24">
      <c r="A5601">
        <f>HYPERLINK("https://www.philgeps.gov.ph/GEPSNONPILOT/Tender/SplashBidNoticeAbstractUI.aspx?menuIndex=3&amp;refID=7043739&amp;Result=3","7043739")</f>
        <v>0</v>
      </c>
      <c r="B5601" t="s">
        <v>1839</v>
      </c>
      <c r="C5601" t="s">
        <v>8414</v>
      </c>
      <c r="D5601" t="s">
        <v>16196</v>
      </c>
      <c r="E5601" t="s">
        <v>18126</v>
      </c>
      <c r="F5601" t="s">
        <v>28200</v>
      </c>
      <c r="G5601" t="s">
        <v>28205</v>
      </c>
      <c r="H5601" t="s">
        <v>28214</v>
      </c>
      <c r="I5601" t="s">
        <v>3797</v>
      </c>
      <c r="J5601" t="s">
        <v>31911</v>
      </c>
      <c r="K5601" t="s">
        <v>36694</v>
      </c>
      <c r="M5601" t="s">
        <v>38964</v>
      </c>
      <c r="N5601" t="s">
        <v>40436</v>
      </c>
      <c r="O5601" t="s">
        <v>40437</v>
      </c>
      <c r="P5601">
        <v>0</v>
      </c>
      <c r="Q5601">
        <v>2</v>
      </c>
      <c r="R5601" t="s">
        <v>40441</v>
      </c>
      <c r="S5601" t="s">
        <v>40636</v>
      </c>
      <c r="T5601" t="s">
        <v>42424</v>
      </c>
      <c r="U5601" t="s">
        <v>47368</v>
      </c>
      <c r="W5601" t="s">
        <v>38964</v>
      </c>
      <c r="X5601" t="s">
        <v>40442</v>
      </c>
    </row>
    <row r="5602" spans="1:24">
      <c r="A5602">
        <f>HYPERLINK("https://www.philgeps.gov.ph/GEPSNONPILOT/Tender/SplashBidNoticeAbstractUI.aspx?menuIndex=3&amp;refID=7043810&amp;Result=3","7043810")</f>
        <v>0</v>
      </c>
      <c r="B5602" t="s">
        <v>1841</v>
      </c>
      <c r="C5602" t="s">
        <v>8415</v>
      </c>
      <c r="D5602" t="s">
        <v>16213</v>
      </c>
      <c r="E5602" t="s">
        <v>16473</v>
      </c>
      <c r="F5602" t="s">
        <v>28198</v>
      </c>
      <c r="G5602" t="s">
        <v>28205</v>
      </c>
      <c r="H5602" t="s">
        <v>28215</v>
      </c>
      <c r="I5602" t="s">
        <v>28243</v>
      </c>
      <c r="J5602" t="s">
        <v>28589</v>
      </c>
      <c r="K5602" t="s">
        <v>36688</v>
      </c>
      <c r="M5602" t="s">
        <v>38966</v>
      </c>
      <c r="N5602" t="s">
        <v>40436</v>
      </c>
      <c r="O5602" t="s">
        <v>40437</v>
      </c>
      <c r="P5602">
        <v>0</v>
      </c>
      <c r="Q5602">
        <v>1</v>
      </c>
      <c r="R5602" t="s">
        <v>40441</v>
      </c>
      <c r="S5602" t="s">
        <v>40636</v>
      </c>
      <c r="T5602" t="s">
        <v>42171</v>
      </c>
      <c r="U5602" t="s">
        <v>47369</v>
      </c>
      <c r="W5602" t="s">
        <v>38966</v>
      </c>
      <c r="X5602" t="s">
        <v>40442</v>
      </c>
    </row>
    <row r="5603" spans="1:24">
      <c r="A5603">
        <f>HYPERLINK("https://www.philgeps.gov.ph/GEPSNONPILOT/Tender/SplashBidNoticeAbstractUI.aspx?menuIndex=3&amp;refID=7043859&amp;Result=3","7043859")</f>
        <v>0</v>
      </c>
      <c r="B5603" t="s">
        <v>63</v>
      </c>
      <c r="C5603" t="s">
        <v>8416</v>
      </c>
      <c r="E5603" t="s">
        <v>21262</v>
      </c>
      <c r="F5603" t="s">
        <v>28198</v>
      </c>
      <c r="G5603" t="s">
        <v>28205</v>
      </c>
      <c r="H5603" t="s">
        <v>28214</v>
      </c>
      <c r="I5603" t="s">
        <v>28235</v>
      </c>
      <c r="J5603" t="s">
        <v>28351</v>
      </c>
      <c r="K5603" t="s">
        <v>36694</v>
      </c>
      <c r="M5603" t="s">
        <v>37034</v>
      </c>
      <c r="N5603" t="s">
        <v>40436</v>
      </c>
      <c r="O5603" t="s">
        <v>40437</v>
      </c>
      <c r="P5603">
        <v>0</v>
      </c>
      <c r="Q5603">
        <v>0</v>
      </c>
      <c r="R5603" t="s">
        <v>40441</v>
      </c>
      <c r="S5603" t="s">
        <v>40636</v>
      </c>
      <c r="T5603" t="s">
        <v>42123</v>
      </c>
      <c r="U5603" t="s">
        <v>42693</v>
      </c>
      <c r="W5603" t="s">
        <v>37034</v>
      </c>
      <c r="X5603" t="s">
        <v>40442</v>
      </c>
    </row>
    <row r="5604" spans="1:24">
      <c r="A5604">
        <f>HYPERLINK("https://www.philgeps.gov.ph/GEPSNONPILOT/Tender/SplashBidNoticeAbstractUI.aspx?menuIndex=3&amp;refID=7043845&amp;Result=3","7043845")</f>
        <v>0</v>
      </c>
      <c r="B5604" t="s">
        <v>1765</v>
      </c>
      <c r="C5604" t="s">
        <v>6101</v>
      </c>
      <c r="E5604" t="s">
        <v>21263</v>
      </c>
      <c r="F5604" t="s">
        <v>28200</v>
      </c>
      <c r="G5604" t="s">
        <v>28207</v>
      </c>
      <c r="H5604" t="s">
        <v>28215</v>
      </c>
      <c r="I5604" t="s">
        <v>4168</v>
      </c>
      <c r="J5604" t="s">
        <v>31912</v>
      </c>
      <c r="K5604" t="s">
        <v>36693</v>
      </c>
      <c r="M5604" t="s">
        <v>38880</v>
      </c>
      <c r="N5604" t="s">
        <v>40436</v>
      </c>
      <c r="O5604" t="s">
        <v>40437</v>
      </c>
      <c r="P5604">
        <v>0</v>
      </c>
      <c r="Q5604">
        <v>2</v>
      </c>
      <c r="R5604" t="s">
        <v>40441</v>
      </c>
      <c r="S5604" t="s">
        <v>40636</v>
      </c>
      <c r="T5604" t="s">
        <v>42111</v>
      </c>
      <c r="U5604" t="s">
        <v>47370</v>
      </c>
      <c r="W5604" t="s">
        <v>38880</v>
      </c>
      <c r="X5604" t="s">
        <v>40442</v>
      </c>
    </row>
    <row r="5605" spans="1:24">
      <c r="A5605">
        <f>HYPERLINK("https://www.philgeps.gov.ph/GEPSNONPILOT/Tender/SplashBidNoticeAbstractUI.aspx?menuIndex=3&amp;refID=7043849&amp;Result=3","7043849")</f>
        <v>0</v>
      </c>
      <c r="B5605" t="s">
        <v>1842</v>
      </c>
      <c r="C5605" t="s">
        <v>8417</v>
      </c>
      <c r="E5605" t="s">
        <v>18719</v>
      </c>
      <c r="F5605" t="s">
        <v>28200</v>
      </c>
      <c r="G5605" t="s">
        <v>28205</v>
      </c>
      <c r="H5605" t="s">
        <v>28215</v>
      </c>
      <c r="I5605" t="s">
        <v>28257</v>
      </c>
      <c r="J5605" t="s">
        <v>31490</v>
      </c>
      <c r="K5605" t="s">
        <v>36689</v>
      </c>
      <c r="M5605" t="s">
        <v>38967</v>
      </c>
      <c r="N5605" t="s">
        <v>40436</v>
      </c>
      <c r="O5605" t="s">
        <v>40437</v>
      </c>
      <c r="P5605">
        <v>0</v>
      </c>
      <c r="Q5605">
        <v>0</v>
      </c>
      <c r="R5605" t="s">
        <v>40441</v>
      </c>
      <c r="S5605" t="s">
        <v>40636</v>
      </c>
      <c r="T5605" t="s">
        <v>42183</v>
      </c>
      <c r="U5605" t="s">
        <v>47371</v>
      </c>
      <c r="W5605" t="s">
        <v>38967</v>
      </c>
      <c r="X5605" t="s">
        <v>40442</v>
      </c>
    </row>
    <row r="5606" spans="1:24">
      <c r="A5606">
        <f>HYPERLINK("https://www.philgeps.gov.ph/GEPSNONPILOT/Tender/SplashBidNoticeAbstractUI.aspx?menuIndex=3&amp;refID=7043841&amp;Result=3","7043841")</f>
        <v>0</v>
      </c>
      <c r="B5606" t="s">
        <v>927</v>
      </c>
      <c r="C5606" t="s">
        <v>8418</v>
      </c>
      <c r="D5606" t="s">
        <v>16193</v>
      </c>
      <c r="E5606" t="s">
        <v>18647</v>
      </c>
      <c r="F5606" t="s">
        <v>28198</v>
      </c>
      <c r="G5606" t="s">
        <v>28205</v>
      </c>
      <c r="H5606" t="s">
        <v>28214</v>
      </c>
      <c r="I5606" t="s">
        <v>3797</v>
      </c>
      <c r="J5606" t="s">
        <v>31913</v>
      </c>
      <c r="K5606" t="s">
        <v>36736</v>
      </c>
      <c r="M5606" t="s">
        <v>37947</v>
      </c>
      <c r="N5606" t="s">
        <v>40436</v>
      </c>
      <c r="O5606" t="s">
        <v>40437</v>
      </c>
      <c r="P5606">
        <v>0</v>
      </c>
      <c r="Q5606">
        <v>2</v>
      </c>
      <c r="R5606" t="s">
        <v>40441</v>
      </c>
      <c r="S5606" t="s">
        <v>40636</v>
      </c>
      <c r="T5606" t="s">
        <v>42183</v>
      </c>
      <c r="U5606" t="s">
        <v>47372</v>
      </c>
      <c r="W5606" t="s">
        <v>37947</v>
      </c>
      <c r="X5606" t="s">
        <v>40442</v>
      </c>
    </row>
    <row r="5607" spans="1:24">
      <c r="A5607">
        <f>HYPERLINK("https://www.philgeps.gov.ph/GEPSNONPILOT/Tender/SplashBidNoticeAbstractUI.aspx?menuIndex=3&amp;refID=7043837&amp;Result=3","7043837")</f>
        <v>0</v>
      </c>
      <c r="B5607" t="s">
        <v>1765</v>
      </c>
      <c r="C5607" t="s">
        <v>8419</v>
      </c>
      <c r="E5607" t="s">
        <v>21264</v>
      </c>
      <c r="F5607" t="s">
        <v>28200</v>
      </c>
      <c r="G5607" t="s">
        <v>28207</v>
      </c>
      <c r="H5607" t="s">
        <v>28215</v>
      </c>
      <c r="I5607" t="s">
        <v>4219</v>
      </c>
      <c r="J5607" t="s">
        <v>28415</v>
      </c>
      <c r="K5607" t="s">
        <v>36706</v>
      </c>
      <c r="M5607" t="s">
        <v>38880</v>
      </c>
      <c r="N5607" t="s">
        <v>40436</v>
      </c>
      <c r="O5607" t="s">
        <v>40437</v>
      </c>
      <c r="P5607">
        <v>0</v>
      </c>
      <c r="Q5607">
        <v>8</v>
      </c>
      <c r="R5607" t="s">
        <v>40441</v>
      </c>
      <c r="S5607" t="s">
        <v>40636</v>
      </c>
      <c r="T5607" t="s">
        <v>42111</v>
      </c>
      <c r="U5607" t="s">
        <v>47373</v>
      </c>
      <c r="W5607" t="s">
        <v>38880</v>
      </c>
      <c r="X5607" t="s">
        <v>40442</v>
      </c>
    </row>
    <row r="5608" spans="1:24">
      <c r="A5608">
        <f>HYPERLINK("https://www.philgeps.gov.ph/GEPSNONPILOT/Tender/SplashBidNoticeAbstractUI.aspx?menuIndex=3&amp;refID=7043885&amp;Result=3","7043885")</f>
        <v>0</v>
      </c>
      <c r="B5608" t="s">
        <v>1836</v>
      </c>
      <c r="C5608" t="s">
        <v>8420</v>
      </c>
      <c r="D5608" t="s">
        <v>16210</v>
      </c>
      <c r="E5608" t="s">
        <v>21259</v>
      </c>
      <c r="F5608" t="s">
        <v>28198</v>
      </c>
      <c r="G5608" t="s">
        <v>28205</v>
      </c>
      <c r="H5608" t="s">
        <v>28217</v>
      </c>
      <c r="I5608" t="s">
        <v>28229</v>
      </c>
      <c r="J5608" t="s">
        <v>31914</v>
      </c>
      <c r="K5608" t="s">
        <v>36701</v>
      </c>
      <c r="M5608" t="s">
        <v>38961</v>
      </c>
      <c r="N5608" t="s">
        <v>40436</v>
      </c>
      <c r="O5608" t="s">
        <v>40437</v>
      </c>
      <c r="P5608">
        <v>0</v>
      </c>
      <c r="Q5608">
        <v>3</v>
      </c>
      <c r="R5608" t="s">
        <v>40441</v>
      </c>
      <c r="S5608" t="s">
        <v>40636</v>
      </c>
      <c r="T5608" t="s">
        <v>42346</v>
      </c>
      <c r="U5608" t="s">
        <v>47374</v>
      </c>
      <c r="V5608" t="s">
        <v>54332</v>
      </c>
      <c r="W5608" t="s">
        <v>38961</v>
      </c>
      <c r="X5608" t="s">
        <v>40442</v>
      </c>
    </row>
    <row r="5609" spans="1:24">
      <c r="A5609">
        <f>HYPERLINK("https://www.philgeps.gov.ph/GEPSNONPILOT/Tender/SplashBidNoticeAbstractUI.aspx?menuIndex=3&amp;refID=7043821&amp;Result=3","7043821")</f>
        <v>0</v>
      </c>
      <c r="B5609" t="s">
        <v>1841</v>
      </c>
      <c r="C5609" t="s">
        <v>3761</v>
      </c>
      <c r="D5609" t="s">
        <v>16213</v>
      </c>
      <c r="E5609" t="s">
        <v>16473</v>
      </c>
      <c r="F5609" t="s">
        <v>28198</v>
      </c>
      <c r="G5609" t="s">
        <v>28205</v>
      </c>
      <c r="H5609" t="s">
        <v>28214</v>
      </c>
      <c r="I5609" t="s">
        <v>5100</v>
      </c>
      <c r="J5609" t="s">
        <v>31915</v>
      </c>
      <c r="K5609" t="s">
        <v>36688</v>
      </c>
      <c r="M5609" t="s">
        <v>38966</v>
      </c>
      <c r="N5609" t="s">
        <v>40436</v>
      </c>
      <c r="O5609" t="s">
        <v>40437</v>
      </c>
      <c r="P5609">
        <v>0</v>
      </c>
      <c r="Q5609">
        <v>0</v>
      </c>
      <c r="R5609" t="s">
        <v>40441</v>
      </c>
      <c r="S5609" t="s">
        <v>40636</v>
      </c>
      <c r="T5609" t="s">
        <v>42138</v>
      </c>
      <c r="U5609" t="s">
        <v>47375</v>
      </c>
      <c r="W5609" t="s">
        <v>38966</v>
      </c>
      <c r="X5609" t="s">
        <v>40442</v>
      </c>
    </row>
    <row r="5610" spans="1:24">
      <c r="A5610">
        <f>HYPERLINK("https://www.philgeps.gov.ph/GEPSNONPILOT/Tender/SplashBidNoticeAbstractUI.aspx?menuIndex=3&amp;refID=7043882&amp;Result=3","7043882")</f>
        <v>0</v>
      </c>
      <c r="B5610" t="s">
        <v>1836</v>
      </c>
      <c r="C5610" t="s">
        <v>8421</v>
      </c>
      <c r="D5610" t="s">
        <v>16210</v>
      </c>
      <c r="E5610" t="s">
        <v>21259</v>
      </c>
      <c r="F5610" t="s">
        <v>28198</v>
      </c>
      <c r="G5610" t="s">
        <v>28205</v>
      </c>
      <c r="H5610" t="s">
        <v>28217</v>
      </c>
      <c r="I5610" t="s">
        <v>4200</v>
      </c>
      <c r="J5610" t="s">
        <v>28378</v>
      </c>
      <c r="K5610" t="s">
        <v>36701</v>
      </c>
      <c r="M5610" t="s">
        <v>38961</v>
      </c>
      <c r="N5610" t="s">
        <v>40436</v>
      </c>
      <c r="O5610" t="s">
        <v>40437</v>
      </c>
      <c r="P5610">
        <v>0</v>
      </c>
      <c r="Q5610">
        <v>1</v>
      </c>
      <c r="R5610" t="s">
        <v>40441</v>
      </c>
      <c r="S5610" t="s">
        <v>40636</v>
      </c>
      <c r="T5610" t="s">
        <v>42425</v>
      </c>
      <c r="U5610" t="s">
        <v>47376</v>
      </c>
      <c r="V5610" t="s">
        <v>54333</v>
      </c>
      <c r="W5610" t="s">
        <v>38961</v>
      </c>
      <c r="X5610" t="s">
        <v>40442</v>
      </c>
    </row>
    <row r="5611" spans="1:24">
      <c r="A5611">
        <f>HYPERLINK("https://www.philgeps.gov.ph/GEPSNONPILOT/Tender/SplashBidNoticeAbstractUI.aspx?menuIndex=3&amp;refID=7043907&amp;Result=3","7043907")</f>
        <v>0</v>
      </c>
      <c r="B5611" t="s">
        <v>325</v>
      </c>
      <c r="C5611" t="s">
        <v>8422</v>
      </c>
      <c r="D5611" t="s">
        <v>16226</v>
      </c>
      <c r="E5611" t="s">
        <v>21265</v>
      </c>
      <c r="F5611" t="s">
        <v>28198</v>
      </c>
      <c r="G5611" t="s">
        <v>28207</v>
      </c>
      <c r="H5611" t="s">
        <v>28215</v>
      </c>
      <c r="I5611" t="s">
        <v>28299</v>
      </c>
      <c r="J5611" t="s">
        <v>29025</v>
      </c>
      <c r="K5611" t="s">
        <v>36706</v>
      </c>
      <c r="M5611" t="s">
        <v>38968</v>
      </c>
      <c r="N5611" t="s">
        <v>40436</v>
      </c>
      <c r="O5611" t="s">
        <v>40437</v>
      </c>
      <c r="P5611">
        <v>0</v>
      </c>
      <c r="Q5611">
        <v>1</v>
      </c>
      <c r="R5611" t="s">
        <v>40441</v>
      </c>
      <c r="S5611" t="s">
        <v>40636</v>
      </c>
      <c r="T5611" t="s">
        <v>42184</v>
      </c>
      <c r="U5611" t="s">
        <v>47377</v>
      </c>
      <c r="W5611" t="s">
        <v>38968</v>
      </c>
      <c r="X5611" t="s">
        <v>40442</v>
      </c>
    </row>
    <row r="5612" spans="1:24">
      <c r="A5612">
        <f>HYPERLINK("https://www.philgeps.gov.ph/GEPSNONPILOT/Tender/SplashBidNoticeAbstractUI.aspx?menuIndex=3&amp;refID=7043908&amp;Result=3","7043908")</f>
        <v>0</v>
      </c>
      <c r="B5612" t="s">
        <v>325</v>
      </c>
      <c r="C5612" t="s">
        <v>8423</v>
      </c>
      <c r="D5612" t="s">
        <v>16226</v>
      </c>
      <c r="E5612" t="s">
        <v>21265</v>
      </c>
      <c r="F5612" t="s">
        <v>28198</v>
      </c>
      <c r="G5612" t="s">
        <v>28206</v>
      </c>
      <c r="H5612" t="s">
        <v>28215</v>
      </c>
      <c r="I5612" t="s">
        <v>28234</v>
      </c>
      <c r="J5612" t="s">
        <v>28406</v>
      </c>
      <c r="K5612" t="s">
        <v>36706</v>
      </c>
      <c r="M5612" t="s">
        <v>38968</v>
      </c>
      <c r="N5612" t="s">
        <v>40436</v>
      </c>
      <c r="O5612" t="s">
        <v>40437</v>
      </c>
      <c r="P5612">
        <v>0</v>
      </c>
      <c r="Q5612">
        <v>1</v>
      </c>
      <c r="R5612" t="s">
        <v>40441</v>
      </c>
      <c r="S5612" t="s">
        <v>40636</v>
      </c>
      <c r="T5612" t="s">
        <v>42184</v>
      </c>
      <c r="U5612" t="s">
        <v>47378</v>
      </c>
      <c r="W5612" t="s">
        <v>38968</v>
      </c>
      <c r="X5612" t="s">
        <v>40442</v>
      </c>
    </row>
    <row r="5613" spans="1:24">
      <c r="A5613">
        <f>HYPERLINK("https://www.philgeps.gov.ph/GEPSNONPILOT/Tender/SplashBidNoticeAbstractUI.aspx?menuIndex=3&amp;refID=7043899&amp;Result=3","7043899")</f>
        <v>0</v>
      </c>
      <c r="B5613" t="s">
        <v>1836</v>
      </c>
      <c r="C5613" t="s">
        <v>8424</v>
      </c>
      <c r="D5613" t="s">
        <v>16210</v>
      </c>
      <c r="E5613" t="s">
        <v>21259</v>
      </c>
      <c r="F5613" t="s">
        <v>28198</v>
      </c>
      <c r="G5613" t="s">
        <v>28205</v>
      </c>
      <c r="H5613" t="s">
        <v>28217</v>
      </c>
      <c r="I5613" t="s">
        <v>4200</v>
      </c>
      <c r="J5613" t="s">
        <v>28436</v>
      </c>
      <c r="K5613" t="s">
        <v>36701</v>
      </c>
      <c r="M5613" t="s">
        <v>38961</v>
      </c>
      <c r="N5613" t="s">
        <v>40436</v>
      </c>
      <c r="O5613" t="s">
        <v>40437</v>
      </c>
      <c r="P5613">
        <v>0</v>
      </c>
      <c r="Q5613">
        <v>9</v>
      </c>
      <c r="R5613" t="s">
        <v>40441</v>
      </c>
      <c r="S5613" t="s">
        <v>40636</v>
      </c>
      <c r="T5613" t="s">
        <v>42415</v>
      </c>
      <c r="U5613" t="s">
        <v>47379</v>
      </c>
      <c r="V5613" t="s">
        <v>54334</v>
      </c>
      <c r="W5613" t="s">
        <v>38961</v>
      </c>
      <c r="X5613" t="s">
        <v>40442</v>
      </c>
    </row>
    <row r="5614" spans="1:24">
      <c r="A5614">
        <f>HYPERLINK("https://www.philgeps.gov.ph/GEPSNONPILOT/Tender/SplashBidNoticeAbstractUI.aspx?menuIndex=3&amp;refID=7043873&amp;Result=3","7043873")</f>
        <v>0</v>
      </c>
      <c r="B5614" t="s">
        <v>1843</v>
      </c>
      <c r="C5614" t="s">
        <v>8425</v>
      </c>
      <c r="D5614" t="s">
        <v>16210</v>
      </c>
      <c r="E5614" t="s">
        <v>16524</v>
      </c>
      <c r="F5614" t="s">
        <v>28198</v>
      </c>
      <c r="G5614" t="s">
        <v>28206</v>
      </c>
      <c r="H5614" t="s">
        <v>28215</v>
      </c>
      <c r="I5614" t="s">
        <v>4219</v>
      </c>
      <c r="J5614" t="s">
        <v>31916</v>
      </c>
      <c r="K5614" t="s">
        <v>36691</v>
      </c>
      <c r="M5614" t="s">
        <v>38969</v>
      </c>
      <c r="N5614" t="s">
        <v>40436</v>
      </c>
      <c r="O5614" t="s">
        <v>40437</v>
      </c>
      <c r="P5614">
        <v>0</v>
      </c>
      <c r="Q5614">
        <v>2</v>
      </c>
      <c r="R5614" t="s">
        <v>40441</v>
      </c>
      <c r="S5614" t="s">
        <v>40636</v>
      </c>
      <c r="T5614" t="s">
        <v>42131</v>
      </c>
      <c r="U5614" t="s">
        <v>47380</v>
      </c>
      <c r="W5614" t="s">
        <v>38969</v>
      </c>
      <c r="X5614" t="s">
        <v>40442</v>
      </c>
    </row>
    <row r="5615" spans="1:24">
      <c r="A5615">
        <f>HYPERLINK("https://www.philgeps.gov.ph/GEPSNONPILOT/Tender/SplashBidNoticeAbstractUI.aspx?menuIndex=3&amp;refID=7043901&amp;Result=3","7043901")</f>
        <v>0</v>
      </c>
      <c r="B5615" t="s">
        <v>1836</v>
      </c>
      <c r="C5615" t="s">
        <v>8426</v>
      </c>
      <c r="D5615" t="s">
        <v>16210</v>
      </c>
      <c r="E5615" t="s">
        <v>21259</v>
      </c>
      <c r="F5615" t="s">
        <v>28198</v>
      </c>
      <c r="G5615" t="s">
        <v>28205</v>
      </c>
      <c r="H5615" t="s">
        <v>28217</v>
      </c>
      <c r="I5615" t="s">
        <v>5071</v>
      </c>
      <c r="J5615" t="s">
        <v>31917</v>
      </c>
      <c r="K5615" t="s">
        <v>36701</v>
      </c>
      <c r="M5615" t="s">
        <v>38961</v>
      </c>
      <c r="N5615" t="s">
        <v>40436</v>
      </c>
      <c r="O5615" t="s">
        <v>40437</v>
      </c>
      <c r="P5615">
        <v>0</v>
      </c>
      <c r="Q5615">
        <v>2</v>
      </c>
      <c r="R5615" t="s">
        <v>40441</v>
      </c>
      <c r="S5615" t="s">
        <v>40636</v>
      </c>
      <c r="T5615" t="s">
        <v>42414</v>
      </c>
      <c r="U5615" t="s">
        <v>43735</v>
      </c>
      <c r="V5615" t="s">
        <v>54335</v>
      </c>
      <c r="W5615" t="s">
        <v>38961</v>
      </c>
      <c r="X5615" t="s">
        <v>40442</v>
      </c>
    </row>
    <row r="5616" spans="1:24">
      <c r="A5616">
        <f>HYPERLINK("https://www.philgeps.gov.ph/GEPSNONPILOT/Tender/SplashBidNoticeAbstractUI.aspx?menuIndex=3&amp;refID=7043892&amp;Result=3","7043892")</f>
        <v>0</v>
      </c>
      <c r="B5616" t="s">
        <v>1836</v>
      </c>
      <c r="C5616" t="s">
        <v>8427</v>
      </c>
      <c r="D5616" t="s">
        <v>16210</v>
      </c>
      <c r="E5616" t="s">
        <v>21259</v>
      </c>
      <c r="F5616" t="s">
        <v>28198</v>
      </c>
      <c r="G5616" t="s">
        <v>28205</v>
      </c>
      <c r="H5616" t="s">
        <v>28217</v>
      </c>
      <c r="I5616" t="s">
        <v>4200</v>
      </c>
      <c r="J5616" t="s">
        <v>29809</v>
      </c>
      <c r="K5616" t="s">
        <v>36701</v>
      </c>
      <c r="M5616" t="s">
        <v>38961</v>
      </c>
      <c r="N5616" t="s">
        <v>40436</v>
      </c>
      <c r="O5616" t="s">
        <v>40437</v>
      </c>
      <c r="P5616">
        <v>0</v>
      </c>
      <c r="Q5616">
        <v>1</v>
      </c>
      <c r="R5616" t="s">
        <v>40441</v>
      </c>
      <c r="S5616" t="s">
        <v>40636</v>
      </c>
      <c r="T5616" t="s">
        <v>42240</v>
      </c>
      <c r="U5616" t="s">
        <v>47381</v>
      </c>
      <c r="V5616" t="s">
        <v>54336</v>
      </c>
      <c r="W5616" t="s">
        <v>38961</v>
      </c>
      <c r="X5616" t="s">
        <v>40442</v>
      </c>
    </row>
    <row r="5617" spans="1:24">
      <c r="A5617">
        <f>HYPERLINK("https://www.philgeps.gov.ph/GEPSNONPILOT/Tender/SplashBidNoticeAbstractUI.aspx?menuIndex=3&amp;refID=7043900&amp;Result=3","7043900")</f>
        <v>0</v>
      </c>
      <c r="B5617" t="s">
        <v>1725</v>
      </c>
      <c r="C5617" t="s">
        <v>8428</v>
      </c>
      <c r="E5617" t="s">
        <v>21266</v>
      </c>
      <c r="F5617" t="s">
        <v>28198</v>
      </c>
      <c r="G5617" t="s">
        <v>28207</v>
      </c>
      <c r="H5617" t="s">
        <v>28215</v>
      </c>
      <c r="I5617" t="s">
        <v>28234</v>
      </c>
      <c r="J5617" t="s">
        <v>31918</v>
      </c>
      <c r="K5617" t="s">
        <v>36689</v>
      </c>
      <c r="M5617" t="s">
        <v>38970</v>
      </c>
      <c r="N5617" t="s">
        <v>40436</v>
      </c>
      <c r="O5617" t="s">
        <v>40437</v>
      </c>
      <c r="Q5617">
        <v>8</v>
      </c>
      <c r="R5617" t="s">
        <v>40441</v>
      </c>
      <c r="S5617" t="s">
        <v>40637</v>
      </c>
      <c r="T5617" t="s">
        <v>42190</v>
      </c>
      <c r="U5617" t="s">
        <v>47382</v>
      </c>
      <c r="W5617" t="s">
        <v>55496</v>
      </c>
      <c r="X5617" t="s">
        <v>40442</v>
      </c>
    </row>
    <row r="5618" spans="1:24">
      <c r="A5618">
        <f>HYPERLINK("https://www.philgeps.gov.ph/GEPSNONPILOT/Tender/SplashBidNoticeAbstractUI.aspx?menuIndex=3&amp;refID=7043879&amp;Result=3","7043879")</f>
        <v>0</v>
      </c>
      <c r="B5618" t="s">
        <v>1844</v>
      </c>
      <c r="C5618" t="s">
        <v>8429</v>
      </c>
      <c r="D5618" t="s">
        <v>16188</v>
      </c>
      <c r="E5618" t="s">
        <v>21267</v>
      </c>
      <c r="F5618" t="s">
        <v>28198</v>
      </c>
      <c r="G5618" t="s">
        <v>28210</v>
      </c>
      <c r="H5618" t="s">
        <v>28215</v>
      </c>
      <c r="I5618" t="s">
        <v>28234</v>
      </c>
      <c r="J5618" t="s">
        <v>31919</v>
      </c>
      <c r="K5618" t="s">
        <v>36689</v>
      </c>
      <c r="M5618" t="s">
        <v>38971</v>
      </c>
      <c r="N5618" t="s">
        <v>40436</v>
      </c>
      <c r="O5618" t="s">
        <v>40437</v>
      </c>
      <c r="P5618">
        <v>0</v>
      </c>
      <c r="Q5618">
        <v>3</v>
      </c>
      <c r="R5618" t="s">
        <v>40441</v>
      </c>
      <c r="S5618" t="s">
        <v>40636</v>
      </c>
      <c r="T5618" t="s">
        <v>42184</v>
      </c>
      <c r="U5618" t="s">
        <v>47383</v>
      </c>
      <c r="W5618" t="s">
        <v>38971</v>
      </c>
      <c r="X5618" t="s">
        <v>40442</v>
      </c>
    </row>
    <row r="5619" spans="1:24">
      <c r="A5619">
        <f>HYPERLINK("https://www.philgeps.gov.ph/GEPSNONPILOT/Tender/SplashBidNoticeAbstractUI.aspx?menuIndex=3&amp;refID=7043912&amp;Result=3","7043912")</f>
        <v>0</v>
      </c>
      <c r="B5619" t="s">
        <v>325</v>
      </c>
      <c r="C5619" t="s">
        <v>8430</v>
      </c>
      <c r="D5619" t="s">
        <v>16226</v>
      </c>
      <c r="E5619" t="s">
        <v>21265</v>
      </c>
      <c r="F5619" t="s">
        <v>28198</v>
      </c>
      <c r="G5619" t="s">
        <v>28206</v>
      </c>
      <c r="H5619" t="s">
        <v>28215</v>
      </c>
      <c r="I5619" t="s">
        <v>28227</v>
      </c>
      <c r="J5619" t="s">
        <v>31920</v>
      </c>
      <c r="K5619" t="s">
        <v>36706</v>
      </c>
      <c r="M5619" t="s">
        <v>38968</v>
      </c>
      <c r="N5619" t="s">
        <v>40436</v>
      </c>
      <c r="O5619" t="s">
        <v>40437</v>
      </c>
      <c r="P5619">
        <v>0</v>
      </c>
      <c r="Q5619">
        <v>0</v>
      </c>
      <c r="R5619" t="s">
        <v>40441</v>
      </c>
      <c r="S5619" t="s">
        <v>40636</v>
      </c>
      <c r="T5619" t="s">
        <v>42184</v>
      </c>
      <c r="U5619" t="s">
        <v>47384</v>
      </c>
      <c r="W5619" t="s">
        <v>38968</v>
      </c>
      <c r="X5619" t="s">
        <v>40442</v>
      </c>
    </row>
    <row r="5620" spans="1:24">
      <c r="A5620">
        <f>HYPERLINK("https://www.philgeps.gov.ph/GEPSNONPILOT/Tender/SplashBidNoticeAbstractUI.aspx?menuIndex=3&amp;refID=7043895&amp;Result=3","7043895")</f>
        <v>0</v>
      </c>
      <c r="B5620" t="s">
        <v>1836</v>
      </c>
      <c r="C5620" t="s">
        <v>8431</v>
      </c>
      <c r="D5620" t="s">
        <v>16210</v>
      </c>
      <c r="E5620" t="s">
        <v>21259</v>
      </c>
      <c r="F5620" t="s">
        <v>28198</v>
      </c>
      <c r="G5620" t="s">
        <v>28205</v>
      </c>
      <c r="H5620" t="s">
        <v>28217</v>
      </c>
      <c r="I5620" t="s">
        <v>4200</v>
      </c>
      <c r="J5620" t="s">
        <v>28415</v>
      </c>
      <c r="K5620" t="s">
        <v>36701</v>
      </c>
      <c r="M5620" t="s">
        <v>38961</v>
      </c>
      <c r="N5620" t="s">
        <v>40436</v>
      </c>
      <c r="O5620" t="s">
        <v>40437</v>
      </c>
      <c r="P5620">
        <v>0</v>
      </c>
      <c r="Q5620">
        <v>2</v>
      </c>
      <c r="R5620" t="s">
        <v>40441</v>
      </c>
      <c r="S5620" t="s">
        <v>40636</v>
      </c>
      <c r="T5620" t="s">
        <v>42183</v>
      </c>
      <c r="U5620" t="s">
        <v>47385</v>
      </c>
      <c r="V5620" t="s">
        <v>54337</v>
      </c>
      <c r="W5620" t="s">
        <v>38961</v>
      </c>
      <c r="X5620" t="s">
        <v>40442</v>
      </c>
    </row>
    <row r="5621" spans="1:24">
      <c r="A5621">
        <f>HYPERLINK("https://www.philgeps.gov.ph/GEPSNONPILOT/Tender/SplashBidNoticeAbstractUI.aspx?menuIndex=3&amp;refID=7043887&amp;Result=3","7043887")</f>
        <v>0</v>
      </c>
      <c r="B5621" t="s">
        <v>1836</v>
      </c>
      <c r="C5621" t="s">
        <v>8432</v>
      </c>
      <c r="D5621" t="s">
        <v>16210</v>
      </c>
      <c r="E5621" t="s">
        <v>21259</v>
      </c>
      <c r="F5621" t="s">
        <v>28198</v>
      </c>
      <c r="G5621" t="s">
        <v>28205</v>
      </c>
      <c r="H5621" t="s">
        <v>28217</v>
      </c>
      <c r="I5621" t="s">
        <v>28220</v>
      </c>
      <c r="J5621" t="s">
        <v>31921</v>
      </c>
      <c r="K5621" t="s">
        <v>36701</v>
      </c>
      <c r="M5621" t="s">
        <v>38961</v>
      </c>
      <c r="N5621" t="s">
        <v>40436</v>
      </c>
      <c r="O5621" t="s">
        <v>40437</v>
      </c>
      <c r="P5621">
        <v>0</v>
      </c>
      <c r="Q5621">
        <v>5</v>
      </c>
      <c r="R5621" t="s">
        <v>40441</v>
      </c>
      <c r="S5621" t="s">
        <v>40636</v>
      </c>
      <c r="T5621" t="s">
        <v>42279</v>
      </c>
      <c r="U5621" t="s">
        <v>47386</v>
      </c>
      <c r="V5621" t="s">
        <v>54338</v>
      </c>
      <c r="W5621" t="s">
        <v>38961</v>
      </c>
      <c r="X5621" t="s">
        <v>40442</v>
      </c>
    </row>
    <row r="5622" spans="1:24">
      <c r="A5622">
        <f>HYPERLINK("https://www.philgeps.gov.ph/GEPSNONPILOT/Tender/SplashBidNoticeAbstractUI.aspx?menuIndex=3&amp;refID=7041463&amp;Result=3","7041463")</f>
        <v>0</v>
      </c>
      <c r="B5622" t="s">
        <v>1845</v>
      </c>
      <c r="C5622" t="s">
        <v>8433</v>
      </c>
      <c r="D5622" t="s">
        <v>16190</v>
      </c>
      <c r="E5622" t="s">
        <v>21268</v>
      </c>
      <c r="F5622" t="s">
        <v>28198</v>
      </c>
      <c r="G5622" t="s">
        <v>28207</v>
      </c>
      <c r="H5622" t="s">
        <v>28215</v>
      </c>
      <c r="I5622" t="s">
        <v>28262</v>
      </c>
      <c r="J5622" t="s">
        <v>31922</v>
      </c>
      <c r="K5622" t="s">
        <v>36687</v>
      </c>
      <c r="M5622" t="s">
        <v>38972</v>
      </c>
      <c r="N5622" t="s">
        <v>40436</v>
      </c>
      <c r="O5622" t="s">
        <v>40437</v>
      </c>
      <c r="P5622">
        <v>0</v>
      </c>
      <c r="Q5622">
        <v>0</v>
      </c>
      <c r="R5622" t="s">
        <v>40442</v>
      </c>
      <c r="S5622" t="s">
        <v>40638</v>
      </c>
      <c r="T5622" t="s">
        <v>42228</v>
      </c>
      <c r="U5622" t="s">
        <v>47387</v>
      </c>
      <c r="W5622" t="s">
        <v>55497</v>
      </c>
      <c r="X5622" t="s">
        <v>40444</v>
      </c>
    </row>
    <row r="5623" spans="1:24">
      <c r="A5623">
        <f>HYPERLINK("https://www.philgeps.gov.ph/GEPSNONPILOT/Tender/SplashBidNoticeAbstractUI.aspx?menuIndex=3&amp;refID=7043891&amp;Result=3","7043891")</f>
        <v>0</v>
      </c>
      <c r="B5623" t="s">
        <v>1836</v>
      </c>
      <c r="C5623" t="s">
        <v>8434</v>
      </c>
      <c r="E5623" t="s">
        <v>21259</v>
      </c>
      <c r="F5623" t="s">
        <v>28198</v>
      </c>
      <c r="G5623" t="s">
        <v>28205</v>
      </c>
      <c r="H5623" t="s">
        <v>28217</v>
      </c>
      <c r="I5623" t="s">
        <v>28222</v>
      </c>
      <c r="J5623" t="s">
        <v>28559</v>
      </c>
      <c r="K5623" t="s">
        <v>36701</v>
      </c>
      <c r="M5623" t="s">
        <v>38961</v>
      </c>
      <c r="N5623" t="s">
        <v>40436</v>
      </c>
      <c r="O5623" t="s">
        <v>40437</v>
      </c>
      <c r="P5623">
        <v>0</v>
      </c>
      <c r="Q5623">
        <v>3</v>
      </c>
      <c r="R5623" t="s">
        <v>40441</v>
      </c>
      <c r="S5623" t="s">
        <v>40636</v>
      </c>
      <c r="T5623" t="s">
        <v>42274</v>
      </c>
      <c r="U5623" t="s">
        <v>47388</v>
      </c>
      <c r="V5623" t="s">
        <v>54339</v>
      </c>
      <c r="W5623" t="s">
        <v>38961</v>
      </c>
      <c r="X5623" t="s">
        <v>40442</v>
      </c>
    </row>
    <row r="5624" spans="1:24">
      <c r="A5624">
        <f>HYPERLINK("https://www.philgeps.gov.ph/GEPSNONPILOT/Tender/SplashBidNoticeAbstractUI.aspx?menuIndex=3&amp;refID=7043911&amp;Result=3","7043911")</f>
        <v>0</v>
      </c>
      <c r="B5624" t="s">
        <v>325</v>
      </c>
      <c r="C5624" t="s">
        <v>8435</v>
      </c>
      <c r="D5624" t="s">
        <v>16226</v>
      </c>
      <c r="E5624" t="s">
        <v>21265</v>
      </c>
      <c r="F5624" t="s">
        <v>28198</v>
      </c>
      <c r="G5624" t="s">
        <v>28206</v>
      </c>
      <c r="H5624" t="s">
        <v>28215</v>
      </c>
      <c r="I5624" t="s">
        <v>28225</v>
      </c>
      <c r="J5624" t="s">
        <v>28364</v>
      </c>
      <c r="K5624" t="s">
        <v>36706</v>
      </c>
      <c r="M5624" t="s">
        <v>38968</v>
      </c>
      <c r="N5624" t="s">
        <v>40436</v>
      </c>
      <c r="O5624" t="s">
        <v>40437</v>
      </c>
      <c r="P5624">
        <v>0</v>
      </c>
      <c r="Q5624">
        <v>2</v>
      </c>
      <c r="R5624" t="s">
        <v>40441</v>
      </c>
      <c r="S5624" t="s">
        <v>40636</v>
      </c>
      <c r="T5624" t="s">
        <v>42184</v>
      </c>
      <c r="U5624" t="s">
        <v>47389</v>
      </c>
      <c r="W5624" t="s">
        <v>38968</v>
      </c>
      <c r="X5624" t="s">
        <v>40442</v>
      </c>
    </row>
    <row r="5625" spans="1:24">
      <c r="A5625">
        <f>HYPERLINK("https://www.philgeps.gov.ph/GEPSNONPILOT/Tender/SplashBidNoticeAbstractUI.aspx?menuIndex=3&amp;refID=7041061&amp;Result=3","7041061")</f>
        <v>0</v>
      </c>
      <c r="B5625" t="s">
        <v>1846</v>
      </c>
      <c r="C5625" t="s">
        <v>8436</v>
      </c>
      <c r="D5625" t="s">
        <v>16216</v>
      </c>
      <c r="E5625" t="s">
        <v>21269</v>
      </c>
      <c r="F5625" t="s">
        <v>28198</v>
      </c>
      <c r="G5625" t="s">
        <v>28205</v>
      </c>
      <c r="H5625" t="s">
        <v>28215</v>
      </c>
      <c r="I5625" t="s">
        <v>5791</v>
      </c>
      <c r="J5625" t="s">
        <v>31923</v>
      </c>
      <c r="K5625" t="s">
        <v>36689</v>
      </c>
      <c r="M5625" t="s">
        <v>38973</v>
      </c>
      <c r="N5625" t="s">
        <v>40436</v>
      </c>
      <c r="O5625" t="s">
        <v>40437</v>
      </c>
      <c r="P5625">
        <v>0</v>
      </c>
      <c r="Q5625">
        <v>1</v>
      </c>
      <c r="R5625" t="s">
        <v>40442</v>
      </c>
      <c r="S5625" t="s">
        <v>40638</v>
      </c>
      <c r="T5625" t="s">
        <v>42129</v>
      </c>
      <c r="U5625" t="s">
        <v>47390</v>
      </c>
      <c r="W5625" t="s">
        <v>38973</v>
      </c>
      <c r="X5625" t="s">
        <v>40444</v>
      </c>
    </row>
    <row r="5626" spans="1:24">
      <c r="A5626">
        <f>HYPERLINK("https://www.philgeps.gov.ph/GEPSNONPILOT/Tender/SplashBidNoticeAbstractUI.aspx?menuIndex=3&amp;refID=7043910&amp;Result=3","7043910")</f>
        <v>0</v>
      </c>
      <c r="B5626" t="s">
        <v>325</v>
      </c>
      <c r="C5626" t="s">
        <v>8437</v>
      </c>
      <c r="D5626" t="s">
        <v>16226</v>
      </c>
      <c r="E5626" t="s">
        <v>21265</v>
      </c>
      <c r="F5626" t="s">
        <v>28198</v>
      </c>
      <c r="G5626" t="s">
        <v>28206</v>
      </c>
      <c r="H5626" t="s">
        <v>28215</v>
      </c>
      <c r="I5626" t="s">
        <v>8888</v>
      </c>
      <c r="J5626" t="s">
        <v>31924</v>
      </c>
      <c r="K5626" t="s">
        <v>36706</v>
      </c>
      <c r="M5626" t="s">
        <v>38968</v>
      </c>
      <c r="N5626" t="s">
        <v>40436</v>
      </c>
      <c r="O5626" t="s">
        <v>40437</v>
      </c>
      <c r="P5626">
        <v>0</v>
      </c>
      <c r="Q5626">
        <v>2</v>
      </c>
      <c r="R5626" t="s">
        <v>40441</v>
      </c>
      <c r="S5626" t="s">
        <v>40636</v>
      </c>
      <c r="T5626" t="s">
        <v>42184</v>
      </c>
      <c r="U5626" t="s">
        <v>47391</v>
      </c>
      <c r="W5626" t="s">
        <v>38968</v>
      </c>
      <c r="X5626" t="s">
        <v>40442</v>
      </c>
    </row>
    <row r="5627" spans="1:24">
      <c r="A5627">
        <f>HYPERLINK("https://www.philgeps.gov.ph/GEPSNONPILOT/Tender/SplashBidNoticeAbstractUI.aspx?menuIndex=3&amp;refID=7043909&amp;Result=3","7043909")</f>
        <v>0</v>
      </c>
      <c r="B5627" t="s">
        <v>325</v>
      </c>
      <c r="C5627" t="s">
        <v>8438</v>
      </c>
      <c r="D5627" t="s">
        <v>16226</v>
      </c>
      <c r="E5627" t="s">
        <v>21265</v>
      </c>
      <c r="F5627" t="s">
        <v>28198</v>
      </c>
      <c r="G5627" t="s">
        <v>28206</v>
      </c>
      <c r="H5627" t="s">
        <v>28215</v>
      </c>
      <c r="I5627" t="s">
        <v>28224</v>
      </c>
      <c r="J5627" t="s">
        <v>30688</v>
      </c>
      <c r="K5627" t="s">
        <v>36706</v>
      </c>
      <c r="M5627" t="s">
        <v>38968</v>
      </c>
      <c r="N5627" t="s">
        <v>40436</v>
      </c>
      <c r="O5627" t="s">
        <v>40437</v>
      </c>
      <c r="P5627">
        <v>0</v>
      </c>
      <c r="Q5627">
        <v>0</v>
      </c>
      <c r="R5627" t="s">
        <v>40441</v>
      </c>
      <c r="S5627" t="s">
        <v>40636</v>
      </c>
      <c r="T5627" t="s">
        <v>42184</v>
      </c>
      <c r="U5627" t="s">
        <v>47392</v>
      </c>
      <c r="W5627" t="s">
        <v>38968</v>
      </c>
      <c r="X5627" t="s">
        <v>40442</v>
      </c>
    </row>
    <row r="5628" spans="1:24">
      <c r="A5628">
        <f>HYPERLINK("https://www.philgeps.gov.ph/GEPSNONPILOT/Tender/SplashBidNoticeAbstractUI.aspx?menuIndex=3&amp;refID=7041691&amp;Result=3","7041691")</f>
        <v>0</v>
      </c>
      <c r="B5628" t="s">
        <v>1847</v>
      </c>
      <c r="C5628" t="s">
        <v>8439</v>
      </c>
      <c r="D5628" t="s">
        <v>16203</v>
      </c>
      <c r="E5628" t="s">
        <v>21270</v>
      </c>
      <c r="F5628" t="s">
        <v>28198</v>
      </c>
      <c r="G5628" t="s">
        <v>28205</v>
      </c>
      <c r="H5628" t="s">
        <v>28214</v>
      </c>
      <c r="I5628" t="s">
        <v>3797</v>
      </c>
      <c r="J5628" t="s">
        <v>28398</v>
      </c>
      <c r="K5628" t="s">
        <v>36689</v>
      </c>
      <c r="M5628" t="s">
        <v>38974</v>
      </c>
      <c r="N5628" t="s">
        <v>40436</v>
      </c>
      <c r="O5628" t="s">
        <v>40437</v>
      </c>
      <c r="P5628">
        <v>0</v>
      </c>
      <c r="Q5628">
        <v>0</v>
      </c>
      <c r="R5628" t="s">
        <v>40442</v>
      </c>
      <c r="S5628" t="s">
        <v>40638</v>
      </c>
      <c r="T5628" t="s">
        <v>42426</v>
      </c>
      <c r="U5628" t="s">
        <v>47393</v>
      </c>
      <c r="W5628" t="s">
        <v>38974</v>
      </c>
      <c r="X5628" t="s">
        <v>40444</v>
      </c>
    </row>
    <row r="5629" spans="1:24">
      <c r="A5629">
        <f>HYPERLINK("https://www.philgeps.gov.ph/GEPSNONPILOT/Tender/SplashBidNoticeAbstractUI.aspx?menuIndex=3&amp;refID=7041443&amp;Result=3","7041443")</f>
        <v>0</v>
      </c>
      <c r="B5629" t="s">
        <v>1848</v>
      </c>
      <c r="C5629" t="s">
        <v>8440</v>
      </c>
      <c r="D5629" t="s">
        <v>16203</v>
      </c>
      <c r="E5629" t="s">
        <v>21271</v>
      </c>
      <c r="F5629" t="s">
        <v>28198</v>
      </c>
      <c r="G5629" t="s">
        <v>28205</v>
      </c>
      <c r="H5629" t="s">
        <v>28214</v>
      </c>
      <c r="I5629" t="s">
        <v>3797</v>
      </c>
      <c r="J5629" t="s">
        <v>28398</v>
      </c>
      <c r="K5629" t="s">
        <v>36689</v>
      </c>
      <c r="M5629" t="s">
        <v>38975</v>
      </c>
      <c r="N5629" t="s">
        <v>40436</v>
      </c>
      <c r="O5629" t="s">
        <v>40437</v>
      </c>
      <c r="P5629">
        <v>0</v>
      </c>
      <c r="Q5629">
        <v>1</v>
      </c>
      <c r="R5629" t="s">
        <v>40442</v>
      </c>
      <c r="S5629" t="s">
        <v>40638</v>
      </c>
      <c r="T5629" t="s">
        <v>42426</v>
      </c>
      <c r="U5629" t="s">
        <v>47394</v>
      </c>
      <c r="W5629" t="s">
        <v>38975</v>
      </c>
      <c r="X5629" t="s">
        <v>40444</v>
      </c>
    </row>
    <row r="5630" spans="1:24">
      <c r="A5630">
        <f>HYPERLINK("https://www.philgeps.gov.ph/GEPSNONPILOT/Tender/SplashBidNoticeAbstractUI.aspx?menuIndex=3&amp;refID=7041046&amp;Result=3","7041046")</f>
        <v>0</v>
      </c>
      <c r="B5630" t="s">
        <v>1846</v>
      </c>
      <c r="C5630" t="s">
        <v>8441</v>
      </c>
      <c r="D5630" t="s">
        <v>16216</v>
      </c>
      <c r="E5630" t="s">
        <v>21272</v>
      </c>
      <c r="F5630" t="s">
        <v>28198</v>
      </c>
      <c r="G5630" t="s">
        <v>28205</v>
      </c>
      <c r="H5630" t="s">
        <v>28214</v>
      </c>
      <c r="I5630" t="s">
        <v>3797</v>
      </c>
      <c r="J5630" t="s">
        <v>31925</v>
      </c>
      <c r="K5630" t="s">
        <v>36689</v>
      </c>
      <c r="M5630" t="s">
        <v>38973</v>
      </c>
      <c r="N5630" t="s">
        <v>40436</v>
      </c>
      <c r="O5630" t="s">
        <v>40437</v>
      </c>
      <c r="P5630">
        <v>0</v>
      </c>
      <c r="Q5630">
        <v>2</v>
      </c>
      <c r="R5630" t="s">
        <v>40442</v>
      </c>
      <c r="S5630" t="s">
        <v>40638</v>
      </c>
      <c r="T5630" t="s">
        <v>42129</v>
      </c>
      <c r="U5630" t="s">
        <v>47395</v>
      </c>
      <c r="W5630" t="s">
        <v>38973</v>
      </c>
      <c r="X5630" t="s">
        <v>40444</v>
      </c>
    </row>
    <row r="5631" spans="1:24">
      <c r="A5631">
        <f>HYPERLINK("https://www.philgeps.gov.ph/GEPSNONPILOT/Tender/SplashBidNoticeAbstractUI.aspx?menuIndex=3&amp;refID=7039830&amp;Result=3","7039830")</f>
        <v>0</v>
      </c>
      <c r="B5631" t="s">
        <v>969</v>
      </c>
      <c r="C5631" t="s">
        <v>8442</v>
      </c>
      <c r="D5631" t="s">
        <v>16249</v>
      </c>
      <c r="E5631" t="s">
        <v>21273</v>
      </c>
      <c r="F5631" t="s">
        <v>28198</v>
      </c>
      <c r="G5631" t="s">
        <v>28205</v>
      </c>
      <c r="H5631" t="s">
        <v>28215</v>
      </c>
      <c r="I5631" t="s">
        <v>28225</v>
      </c>
      <c r="J5631" t="s">
        <v>31926</v>
      </c>
      <c r="K5631" t="s">
        <v>36707</v>
      </c>
      <c r="M5631" t="s">
        <v>37995</v>
      </c>
      <c r="N5631" t="s">
        <v>40436</v>
      </c>
      <c r="O5631" t="s">
        <v>40437</v>
      </c>
      <c r="P5631">
        <v>0</v>
      </c>
      <c r="Q5631">
        <v>3</v>
      </c>
      <c r="R5631" t="s">
        <v>40442</v>
      </c>
      <c r="S5631" t="s">
        <v>40638</v>
      </c>
      <c r="T5631" t="s">
        <v>42160</v>
      </c>
      <c r="U5631" t="s">
        <v>47396</v>
      </c>
      <c r="W5631" t="s">
        <v>37995</v>
      </c>
      <c r="X5631" t="s">
        <v>40445</v>
      </c>
    </row>
    <row r="5632" spans="1:24">
      <c r="A5632">
        <f>HYPERLINK("https://www.philgeps.gov.ph/GEPSNONPILOT/Tender/SplashBidNoticeAbstractUI.aspx?menuIndex=3&amp;refID=7031128&amp;Result=3","7031128")</f>
        <v>0</v>
      </c>
      <c r="B5632" t="s">
        <v>1849</v>
      </c>
      <c r="C5632" t="s">
        <v>8443</v>
      </c>
      <c r="D5632" t="s">
        <v>16194</v>
      </c>
      <c r="E5632" t="s">
        <v>21274</v>
      </c>
      <c r="F5632" t="s">
        <v>28198</v>
      </c>
      <c r="G5632" t="s">
        <v>28206</v>
      </c>
      <c r="H5632" t="s">
        <v>28215</v>
      </c>
      <c r="I5632" t="s">
        <v>4168</v>
      </c>
      <c r="J5632" t="s">
        <v>31927</v>
      </c>
      <c r="K5632" t="s">
        <v>36706</v>
      </c>
      <c r="M5632" t="s">
        <v>38976</v>
      </c>
      <c r="N5632" t="s">
        <v>40436</v>
      </c>
      <c r="O5632" t="s">
        <v>40437</v>
      </c>
      <c r="P5632">
        <v>0</v>
      </c>
      <c r="Q5632">
        <v>9</v>
      </c>
      <c r="R5632" t="s">
        <v>40442</v>
      </c>
      <c r="S5632" t="s">
        <v>40638</v>
      </c>
      <c r="T5632" t="s">
        <v>42185</v>
      </c>
      <c r="U5632" t="s">
        <v>47397</v>
      </c>
      <c r="W5632" t="s">
        <v>38976</v>
      </c>
      <c r="X5632" t="s">
        <v>40450</v>
      </c>
    </row>
    <row r="5633" spans="1:24">
      <c r="A5633">
        <f>HYPERLINK("https://www.philgeps.gov.ph/GEPSNONPILOT/Tender/SplashBidNoticeAbstractUI.aspx?menuIndex=3&amp;refID=7041243&amp;Result=3","7041243")</f>
        <v>0</v>
      </c>
      <c r="B5633" t="s">
        <v>1850</v>
      </c>
      <c r="C5633" t="s">
        <v>8444</v>
      </c>
      <c r="D5633" t="s">
        <v>16242</v>
      </c>
      <c r="E5633" t="s">
        <v>21275</v>
      </c>
      <c r="F5633" t="s">
        <v>28198</v>
      </c>
      <c r="G5633" t="s">
        <v>28205</v>
      </c>
      <c r="H5633" t="s">
        <v>28214</v>
      </c>
      <c r="I5633" t="s">
        <v>3797</v>
      </c>
      <c r="J5633" t="s">
        <v>28415</v>
      </c>
      <c r="K5633" t="s">
        <v>36715</v>
      </c>
      <c r="M5633" t="s">
        <v>38977</v>
      </c>
      <c r="N5633" t="s">
        <v>40436</v>
      </c>
      <c r="O5633" t="s">
        <v>40437</v>
      </c>
      <c r="P5633">
        <v>0</v>
      </c>
      <c r="Q5633">
        <v>0</v>
      </c>
      <c r="R5633" t="s">
        <v>40442</v>
      </c>
      <c r="S5633" t="s">
        <v>40638</v>
      </c>
      <c r="T5633" t="s">
        <v>42129</v>
      </c>
      <c r="U5633" t="s">
        <v>47398</v>
      </c>
      <c r="V5633" t="s">
        <v>54340</v>
      </c>
      <c r="W5633" t="s">
        <v>38977</v>
      </c>
      <c r="X5633" t="s">
        <v>40444</v>
      </c>
    </row>
    <row r="5634" spans="1:24">
      <c r="A5634">
        <f>HYPERLINK("https://www.philgeps.gov.ph/GEPSNONPILOT/Tender/SplashBidNoticeAbstractUI.aspx?menuIndex=3&amp;refID=7043916&amp;Result=3","7043916")</f>
        <v>0</v>
      </c>
      <c r="B5634" t="s">
        <v>1768</v>
      </c>
      <c r="C5634" t="s">
        <v>8445</v>
      </c>
      <c r="D5634" t="s">
        <v>16233</v>
      </c>
      <c r="E5634" t="s">
        <v>21276</v>
      </c>
      <c r="F5634" t="s">
        <v>28198</v>
      </c>
      <c r="G5634" t="s">
        <v>28205</v>
      </c>
      <c r="H5634" t="s">
        <v>28214</v>
      </c>
      <c r="I5634" t="s">
        <v>3797</v>
      </c>
      <c r="J5634" t="s">
        <v>28363</v>
      </c>
      <c r="K5634" t="s">
        <v>36694</v>
      </c>
      <c r="M5634" t="s">
        <v>38883</v>
      </c>
      <c r="N5634" t="s">
        <v>40436</v>
      </c>
      <c r="O5634" t="s">
        <v>40437</v>
      </c>
      <c r="P5634">
        <v>0</v>
      </c>
      <c r="Q5634">
        <v>0</v>
      </c>
      <c r="R5634" t="s">
        <v>40441</v>
      </c>
      <c r="S5634" t="s">
        <v>40636</v>
      </c>
      <c r="T5634" t="s">
        <v>42104</v>
      </c>
      <c r="U5634" t="s">
        <v>47399</v>
      </c>
      <c r="W5634" t="s">
        <v>38883</v>
      </c>
      <c r="X5634" t="s">
        <v>40442</v>
      </c>
    </row>
    <row r="5635" spans="1:24">
      <c r="A5635">
        <f>HYPERLINK("https://www.philgeps.gov.ph/GEPSNONPILOT/Tender/SplashBidNoticeAbstractUI.aspx?menuIndex=3&amp;refID=7041487&amp;Result=3","7041487")</f>
        <v>0</v>
      </c>
      <c r="B5635" t="s">
        <v>1851</v>
      </c>
      <c r="C5635" t="s">
        <v>8446</v>
      </c>
      <c r="E5635" t="s">
        <v>21277</v>
      </c>
      <c r="F5635" t="s">
        <v>28198</v>
      </c>
      <c r="G5635" t="s">
        <v>28205</v>
      </c>
      <c r="H5635" t="s">
        <v>28215</v>
      </c>
      <c r="I5635" t="s">
        <v>8870</v>
      </c>
      <c r="J5635" t="s">
        <v>28561</v>
      </c>
      <c r="K5635" t="s">
        <v>36689</v>
      </c>
      <c r="M5635" t="s">
        <v>38978</v>
      </c>
      <c r="N5635" t="s">
        <v>40436</v>
      </c>
      <c r="O5635" t="s">
        <v>40437</v>
      </c>
      <c r="P5635">
        <v>0</v>
      </c>
      <c r="Q5635">
        <v>2</v>
      </c>
      <c r="R5635" t="s">
        <v>40442</v>
      </c>
      <c r="S5635" t="s">
        <v>40638</v>
      </c>
      <c r="T5635" t="s">
        <v>42111</v>
      </c>
      <c r="U5635" t="s">
        <v>47400</v>
      </c>
      <c r="W5635" t="s">
        <v>38978</v>
      </c>
      <c r="X5635" t="s">
        <v>40444</v>
      </c>
    </row>
    <row r="5636" spans="1:24">
      <c r="A5636">
        <f>HYPERLINK("https://www.philgeps.gov.ph/GEPSNONPILOT/Tender/SplashBidNoticeAbstractUI.aspx?menuIndex=3&amp;refID=7043914&amp;Result=3","7043914")</f>
        <v>0</v>
      </c>
      <c r="B5636" t="s">
        <v>1768</v>
      </c>
      <c r="C5636" t="s">
        <v>8447</v>
      </c>
      <c r="D5636" t="s">
        <v>16233</v>
      </c>
      <c r="E5636" t="s">
        <v>21278</v>
      </c>
      <c r="F5636" t="s">
        <v>28198</v>
      </c>
      <c r="G5636" t="s">
        <v>28205</v>
      </c>
      <c r="H5636" t="s">
        <v>28214</v>
      </c>
      <c r="I5636" t="s">
        <v>3797</v>
      </c>
      <c r="J5636" t="s">
        <v>31928</v>
      </c>
      <c r="K5636" t="s">
        <v>36697</v>
      </c>
      <c r="M5636" t="s">
        <v>38883</v>
      </c>
      <c r="N5636" t="s">
        <v>40436</v>
      </c>
      <c r="O5636" t="s">
        <v>40437</v>
      </c>
      <c r="P5636">
        <v>0</v>
      </c>
      <c r="Q5636">
        <v>1</v>
      </c>
      <c r="R5636" t="s">
        <v>40441</v>
      </c>
      <c r="S5636" t="s">
        <v>40636</v>
      </c>
      <c r="T5636" t="s">
        <v>42104</v>
      </c>
      <c r="U5636" t="s">
        <v>47399</v>
      </c>
      <c r="W5636" t="s">
        <v>38883</v>
      </c>
      <c r="X5636" t="s">
        <v>40442</v>
      </c>
    </row>
    <row r="5637" spans="1:24">
      <c r="A5637">
        <f>HYPERLINK("https://www.philgeps.gov.ph/GEPSNONPILOT/Tender/SplashBidNoticeAbstractUI.aspx?menuIndex=3&amp;refID=7038559&amp;Result=3","7038559")</f>
        <v>0</v>
      </c>
      <c r="B5637" t="s">
        <v>1849</v>
      </c>
      <c r="C5637" t="s">
        <v>8448</v>
      </c>
      <c r="D5637" t="s">
        <v>16194</v>
      </c>
      <c r="E5637" t="s">
        <v>21279</v>
      </c>
      <c r="F5637" t="s">
        <v>28198</v>
      </c>
      <c r="G5637" t="s">
        <v>28206</v>
      </c>
      <c r="H5637" t="s">
        <v>28215</v>
      </c>
      <c r="I5637" t="s">
        <v>28232</v>
      </c>
      <c r="J5637" t="s">
        <v>31929</v>
      </c>
      <c r="K5637" t="s">
        <v>36707</v>
      </c>
      <c r="M5637" t="s">
        <v>38976</v>
      </c>
      <c r="N5637" t="s">
        <v>40436</v>
      </c>
      <c r="O5637" t="s">
        <v>40437</v>
      </c>
      <c r="P5637">
        <v>0</v>
      </c>
      <c r="Q5637">
        <v>7</v>
      </c>
      <c r="R5637" t="s">
        <v>40442</v>
      </c>
      <c r="S5637" t="s">
        <v>40638</v>
      </c>
      <c r="T5637" t="s">
        <v>42185</v>
      </c>
      <c r="U5637" t="s">
        <v>47401</v>
      </c>
      <c r="W5637" t="s">
        <v>38976</v>
      </c>
      <c r="X5637" t="s">
        <v>40445</v>
      </c>
    </row>
    <row r="5638" spans="1:24">
      <c r="A5638">
        <f>HYPERLINK("https://www.philgeps.gov.ph/GEPSNONPILOT/Tender/SplashBidNoticeAbstractUI.aspx?menuIndex=3&amp;refID=7042269&amp;Result=3","7042269")</f>
        <v>0</v>
      </c>
      <c r="B5638" t="s">
        <v>697</v>
      </c>
      <c r="C5638" t="s">
        <v>8449</v>
      </c>
      <c r="D5638" t="s">
        <v>16210</v>
      </c>
      <c r="E5638" t="s">
        <v>16570</v>
      </c>
      <c r="F5638" t="s">
        <v>28198</v>
      </c>
      <c r="G5638" t="s">
        <v>28207</v>
      </c>
      <c r="H5638" t="s">
        <v>28215</v>
      </c>
      <c r="I5638" t="s">
        <v>8888</v>
      </c>
      <c r="J5638" t="s">
        <v>31930</v>
      </c>
      <c r="K5638" t="s">
        <v>36701</v>
      </c>
      <c r="M5638" t="s">
        <v>37697</v>
      </c>
      <c r="N5638" t="s">
        <v>40436</v>
      </c>
      <c r="O5638" t="s">
        <v>40437</v>
      </c>
      <c r="P5638">
        <v>0</v>
      </c>
      <c r="Q5638">
        <v>4</v>
      </c>
      <c r="R5638" t="s">
        <v>40442</v>
      </c>
      <c r="S5638" t="s">
        <v>40638</v>
      </c>
      <c r="T5638" t="s">
        <v>42185</v>
      </c>
      <c r="U5638" t="s">
        <v>47402</v>
      </c>
      <c r="W5638" t="s">
        <v>37697</v>
      </c>
      <c r="X5638" t="s">
        <v>40444</v>
      </c>
    </row>
    <row r="5639" spans="1:24">
      <c r="A5639">
        <f>HYPERLINK("https://www.philgeps.gov.ph/GEPSNONPILOT/Tender/SplashBidNoticeAbstractUI.aspx?menuIndex=3&amp;refID=7042529&amp;Result=3","7042529")</f>
        <v>0</v>
      </c>
      <c r="B5639" t="s">
        <v>376</v>
      </c>
      <c r="C5639" t="s">
        <v>8450</v>
      </c>
      <c r="D5639" t="s">
        <v>16255</v>
      </c>
      <c r="E5639" t="s">
        <v>21280</v>
      </c>
      <c r="F5639" t="s">
        <v>28198</v>
      </c>
      <c r="G5639" t="s">
        <v>28205</v>
      </c>
      <c r="H5639" t="s">
        <v>28215</v>
      </c>
      <c r="I5639" t="s">
        <v>5100</v>
      </c>
      <c r="J5639" t="s">
        <v>31931</v>
      </c>
      <c r="K5639" t="s">
        <v>36701</v>
      </c>
      <c r="M5639" t="s">
        <v>37356</v>
      </c>
      <c r="N5639" t="s">
        <v>40436</v>
      </c>
      <c r="O5639" t="s">
        <v>40437</v>
      </c>
      <c r="P5639">
        <v>0</v>
      </c>
      <c r="Q5639">
        <v>0</v>
      </c>
      <c r="R5639" t="s">
        <v>40442</v>
      </c>
      <c r="S5639" t="s">
        <v>40638</v>
      </c>
      <c r="T5639" t="s">
        <v>42106</v>
      </c>
      <c r="U5639" t="s">
        <v>47403</v>
      </c>
      <c r="V5639" t="s">
        <v>54341</v>
      </c>
      <c r="W5639" t="s">
        <v>37356</v>
      </c>
      <c r="X5639" t="s">
        <v>40444</v>
      </c>
    </row>
    <row r="5640" spans="1:24">
      <c r="A5640">
        <f>HYPERLINK("https://www.philgeps.gov.ph/GEPSNONPILOT/Tender/SplashBidNoticeAbstractUI.aspx?menuIndex=3&amp;refID=7019418&amp;Result=3","7019418")</f>
        <v>0</v>
      </c>
      <c r="B5640" t="s">
        <v>1852</v>
      </c>
      <c r="C5640" t="s">
        <v>8451</v>
      </c>
      <c r="D5640" t="s">
        <v>16199</v>
      </c>
      <c r="E5640" t="s">
        <v>21281</v>
      </c>
      <c r="F5640" t="s">
        <v>28198</v>
      </c>
      <c r="G5640" t="s">
        <v>28205</v>
      </c>
      <c r="H5640" t="s">
        <v>28214</v>
      </c>
      <c r="I5640" t="s">
        <v>3797</v>
      </c>
      <c r="J5640" t="s">
        <v>31932</v>
      </c>
      <c r="K5640" t="s">
        <v>36761</v>
      </c>
      <c r="M5640" t="s">
        <v>38979</v>
      </c>
      <c r="N5640" t="s">
        <v>40436</v>
      </c>
      <c r="O5640" t="s">
        <v>40437</v>
      </c>
      <c r="P5640">
        <v>0</v>
      </c>
      <c r="Q5640">
        <v>1</v>
      </c>
      <c r="R5640" t="s">
        <v>40442</v>
      </c>
      <c r="S5640" t="s">
        <v>40638</v>
      </c>
      <c r="T5640" t="s">
        <v>42415</v>
      </c>
      <c r="U5640" t="s">
        <v>47404</v>
      </c>
      <c r="W5640" t="s">
        <v>38979</v>
      </c>
      <c r="X5640" t="s">
        <v>40454</v>
      </c>
    </row>
    <row r="5641" spans="1:24">
      <c r="A5641">
        <f>HYPERLINK("https://www.philgeps.gov.ph/GEPSNONPILOT/Tender/SplashBidNoticeAbstractUI.aspx?menuIndex=3&amp;refID=7043913&amp;Result=3","7043913")</f>
        <v>0</v>
      </c>
      <c r="B5641" t="s">
        <v>325</v>
      </c>
      <c r="C5641" t="s">
        <v>8452</v>
      </c>
      <c r="D5641" t="s">
        <v>16226</v>
      </c>
      <c r="E5641" t="s">
        <v>21265</v>
      </c>
      <c r="F5641" t="s">
        <v>28198</v>
      </c>
      <c r="G5641" t="s">
        <v>28207</v>
      </c>
      <c r="H5641" t="s">
        <v>28215</v>
      </c>
      <c r="I5641" t="s">
        <v>28228</v>
      </c>
      <c r="J5641" t="s">
        <v>31933</v>
      </c>
      <c r="K5641" t="s">
        <v>36706</v>
      </c>
      <c r="M5641" t="s">
        <v>38968</v>
      </c>
      <c r="N5641" t="s">
        <v>40436</v>
      </c>
      <c r="O5641" t="s">
        <v>40437</v>
      </c>
      <c r="P5641">
        <v>0</v>
      </c>
      <c r="Q5641">
        <v>0</v>
      </c>
      <c r="R5641" t="s">
        <v>40441</v>
      </c>
      <c r="S5641" t="s">
        <v>40636</v>
      </c>
      <c r="T5641" t="s">
        <v>42184</v>
      </c>
      <c r="U5641" t="s">
        <v>47405</v>
      </c>
      <c r="W5641" t="s">
        <v>38968</v>
      </c>
      <c r="X5641" t="s">
        <v>40442</v>
      </c>
    </row>
    <row r="5642" spans="1:24">
      <c r="A5642">
        <f>HYPERLINK("https://www.philgeps.gov.ph/GEPSNONPILOT/Tender/SplashBidNoticeAbstractUI.aspx?menuIndex=3&amp;refID=7043915&amp;Result=3","7043915")</f>
        <v>0</v>
      </c>
      <c r="B5642" t="s">
        <v>1768</v>
      </c>
      <c r="C5642" t="s">
        <v>8453</v>
      </c>
      <c r="D5642" t="s">
        <v>16233</v>
      </c>
      <c r="E5642" t="s">
        <v>21282</v>
      </c>
      <c r="F5642" t="s">
        <v>28198</v>
      </c>
      <c r="G5642" t="s">
        <v>28205</v>
      </c>
      <c r="H5642" t="s">
        <v>28214</v>
      </c>
      <c r="I5642" t="s">
        <v>3797</v>
      </c>
      <c r="J5642" t="s">
        <v>28363</v>
      </c>
      <c r="K5642" t="s">
        <v>36694</v>
      </c>
      <c r="M5642" t="s">
        <v>38883</v>
      </c>
      <c r="N5642" t="s">
        <v>40436</v>
      </c>
      <c r="O5642" t="s">
        <v>40437</v>
      </c>
      <c r="P5642">
        <v>0</v>
      </c>
      <c r="Q5642">
        <v>1</v>
      </c>
      <c r="R5642" t="s">
        <v>40441</v>
      </c>
      <c r="S5642" t="s">
        <v>40636</v>
      </c>
      <c r="T5642" t="s">
        <v>42104</v>
      </c>
      <c r="U5642" t="s">
        <v>47399</v>
      </c>
      <c r="W5642" t="s">
        <v>38883</v>
      </c>
      <c r="X5642" t="s">
        <v>40442</v>
      </c>
    </row>
    <row r="5643" spans="1:24">
      <c r="A5643">
        <f>HYPERLINK("https://www.philgeps.gov.ph/GEPSNONPILOT/Tender/SplashBidNoticeAbstractUI.aspx?menuIndex=3&amp;refID=7042646&amp;Result=3","7042646")</f>
        <v>0</v>
      </c>
      <c r="B5643" t="s">
        <v>1853</v>
      </c>
      <c r="C5643" t="s">
        <v>8454</v>
      </c>
      <c r="D5643" t="s">
        <v>16193</v>
      </c>
      <c r="E5643" t="s">
        <v>21283</v>
      </c>
      <c r="F5643" t="s">
        <v>28198</v>
      </c>
      <c r="G5643" t="s">
        <v>28205</v>
      </c>
      <c r="H5643" t="s">
        <v>28214</v>
      </c>
      <c r="I5643" t="s">
        <v>3797</v>
      </c>
      <c r="J5643" t="s">
        <v>29224</v>
      </c>
      <c r="K5643" t="s">
        <v>36694</v>
      </c>
      <c r="M5643" t="s">
        <v>38980</v>
      </c>
      <c r="N5643" t="s">
        <v>40436</v>
      </c>
      <c r="O5643" t="s">
        <v>40437</v>
      </c>
      <c r="P5643">
        <v>0</v>
      </c>
      <c r="Q5643">
        <v>1</v>
      </c>
      <c r="R5643" t="s">
        <v>40442</v>
      </c>
      <c r="S5643" t="s">
        <v>40638</v>
      </c>
      <c r="T5643" t="s">
        <v>42234</v>
      </c>
      <c r="U5643" t="s">
        <v>47406</v>
      </c>
      <c r="W5643" t="s">
        <v>38980</v>
      </c>
      <c r="X5643" t="s">
        <v>40444</v>
      </c>
    </row>
    <row r="5644" spans="1:24">
      <c r="A5644">
        <f>HYPERLINK("https://www.philgeps.gov.ph/GEPSNONPILOT/Tender/SplashBidNoticeAbstractUI.aspx?menuIndex=3&amp;refID=7042642&amp;Result=3","7042642")</f>
        <v>0</v>
      </c>
      <c r="B5644" t="s">
        <v>1853</v>
      </c>
      <c r="C5644" t="s">
        <v>8455</v>
      </c>
      <c r="D5644" t="s">
        <v>16193</v>
      </c>
      <c r="E5644" t="s">
        <v>21284</v>
      </c>
      <c r="F5644" t="s">
        <v>28198</v>
      </c>
      <c r="G5644" t="s">
        <v>28205</v>
      </c>
      <c r="H5644" t="s">
        <v>28214</v>
      </c>
      <c r="I5644" t="s">
        <v>3797</v>
      </c>
      <c r="J5644" t="s">
        <v>29224</v>
      </c>
      <c r="K5644" t="s">
        <v>36694</v>
      </c>
      <c r="M5644" t="s">
        <v>38980</v>
      </c>
      <c r="N5644" t="s">
        <v>40436</v>
      </c>
      <c r="O5644" t="s">
        <v>40437</v>
      </c>
      <c r="P5644">
        <v>0</v>
      </c>
      <c r="Q5644">
        <v>1</v>
      </c>
      <c r="R5644" t="s">
        <v>40442</v>
      </c>
      <c r="S5644" t="s">
        <v>40638</v>
      </c>
      <c r="T5644" t="s">
        <v>42234</v>
      </c>
      <c r="U5644" t="s">
        <v>47407</v>
      </c>
      <c r="W5644" t="s">
        <v>38980</v>
      </c>
      <c r="X5644" t="s">
        <v>40444</v>
      </c>
    </row>
    <row r="5645" spans="1:24">
      <c r="A5645">
        <f>HYPERLINK("https://www.philgeps.gov.ph/GEPSNONPILOT/Tender/SplashBidNoticeAbstractUI.aspx?menuIndex=3&amp;refID=7042624&amp;Result=3","7042624")</f>
        <v>0</v>
      </c>
      <c r="B5645" t="s">
        <v>1853</v>
      </c>
      <c r="C5645" t="s">
        <v>8456</v>
      </c>
      <c r="D5645" t="s">
        <v>16193</v>
      </c>
      <c r="E5645" t="s">
        <v>21285</v>
      </c>
      <c r="F5645" t="s">
        <v>28198</v>
      </c>
      <c r="G5645" t="s">
        <v>28205</v>
      </c>
      <c r="H5645" t="s">
        <v>28214</v>
      </c>
      <c r="I5645" t="s">
        <v>3797</v>
      </c>
      <c r="J5645" t="s">
        <v>31934</v>
      </c>
      <c r="K5645" t="s">
        <v>36710</v>
      </c>
      <c r="M5645" t="s">
        <v>38980</v>
      </c>
      <c r="N5645" t="s">
        <v>40436</v>
      </c>
      <c r="O5645" t="s">
        <v>40437</v>
      </c>
      <c r="Q5645">
        <v>5</v>
      </c>
      <c r="R5645" t="s">
        <v>40442</v>
      </c>
      <c r="S5645" t="s">
        <v>40639</v>
      </c>
      <c r="T5645" t="s">
        <v>42234</v>
      </c>
      <c r="U5645" t="s">
        <v>47408</v>
      </c>
      <c r="W5645" t="s">
        <v>38980</v>
      </c>
      <c r="X5645" t="s">
        <v>40444</v>
      </c>
    </row>
    <row r="5646" spans="1:24">
      <c r="A5646">
        <f>HYPERLINK("https://www.philgeps.gov.ph/GEPSNONPILOT/Tender/SplashBidNoticeAbstractUI.aspx?menuIndex=3&amp;refID=7042669&amp;Result=3","7042669")</f>
        <v>0</v>
      </c>
      <c r="B5646" t="s">
        <v>426</v>
      </c>
      <c r="C5646" t="s">
        <v>4981</v>
      </c>
      <c r="D5646" t="s">
        <v>16189</v>
      </c>
      <c r="E5646" t="s">
        <v>17010</v>
      </c>
      <c r="F5646" t="s">
        <v>28198</v>
      </c>
      <c r="G5646" t="s">
        <v>28207</v>
      </c>
      <c r="H5646" t="s">
        <v>28215</v>
      </c>
      <c r="I5646" t="s">
        <v>28234</v>
      </c>
      <c r="J5646" t="s">
        <v>28671</v>
      </c>
      <c r="K5646" t="s">
        <v>36691</v>
      </c>
      <c r="M5646" t="s">
        <v>38981</v>
      </c>
      <c r="N5646" t="s">
        <v>40436</v>
      </c>
      <c r="O5646" t="s">
        <v>40437</v>
      </c>
      <c r="P5646">
        <v>0</v>
      </c>
      <c r="Q5646">
        <v>0</v>
      </c>
      <c r="R5646" t="s">
        <v>40442</v>
      </c>
      <c r="S5646" t="s">
        <v>40638</v>
      </c>
      <c r="T5646" t="s">
        <v>42245</v>
      </c>
      <c r="U5646" t="s">
        <v>47409</v>
      </c>
      <c r="W5646" t="s">
        <v>38981</v>
      </c>
      <c r="X5646" t="s">
        <v>40444</v>
      </c>
    </row>
    <row r="5647" spans="1:24">
      <c r="A5647">
        <f>HYPERLINK("https://www.philgeps.gov.ph/GEPSNONPILOT/Tender/SplashBidNoticeAbstractUI.aspx?menuIndex=3&amp;refID=7042608&amp;Result=3","7042608")</f>
        <v>0</v>
      </c>
      <c r="B5647" t="s">
        <v>1853</v>
      </c>
      <c r="C5647" t="s">
        <v>8457</v>
      </c>
      <c r="D5647" t="s">
        <v>16193</v>
      </c>
      <c r="E5647" t="s">
        <v>21286</v>
      </c>
      <c r="F5647" t="s">
        <v>28198</v>
      </c>
      <c r="G5647" t="s">
        <v>28205</v>
      </c>
      <c r="H5647" t="s">
        <v>28214</v>
      </c>
      <c r="I5647" t="s">
        <v>3797</v>
      </c>
      <c r="J5647" t="s">
        <v>31934</v>
      </c>
      <c r="K5647" t="s">
        <v>36710</v>
      </c>
      <c r="M5647" t="s">
        <v>38980</v>
      </c>
      <c r="N5647" t="s">
        <v>40436</v>
      </c>
      <c r="O5647" t="s">
        <v>40437</v>
      </c>
      <c r="Q5647">
        <v>4</v>
      </c>
      <c r="R5647" t="s">
        <v>40442</v>
      </c>
      <c r="S5647" t="s">
        <v>40640</v>
      </c>
      <c r="T5647" t="s">
        <v>42234</v>
      </c>
      <c r="U5647" t="s">
        <v>47410</v>
      </c>
      <c r="W5647" t="s">
        <v>38980</v>
      </c>
      <c r="X5647" t="s">
        <v>40444</v>
      </c>
    </row>
    <row r="5648" spans="1:24">
      <c r="A5648">
        <f>HYPERLINK("https://www.philgeps.gov.ph/GEPSNONPILOT/Tender/SplashBidNoticeAbstractUI.aspx?menuIndex=3&amp;refID=7042651&amp;Result=3","7042651")</f>
        <v>0</v>
      </c>
      <c r="B5648" t="s">
        <v>1854</v>
      </c>
      <c r="C5648" t="s">
        <v>8458</v>
      </c>
      <c r="D5648" t="s">
        <v>16191</v>
      </c>
      <c r="E5648" t="s">
        <v>21287</v>
      </c>
      <c r="F5648" t="s">
        <v>28198</v>
      </c>
      <c r="G5648" t="s">
        <v>28207</v>
      </c>
      <c r="H5648" t="s">
        <v>28215</v>
      </c>
      <c r="I5648" t="s">
        <v>28225</v>
      </c>
      <c r="J5648" t="s">
        <v>31935</v>
      </c>
      <c r="K5648" t="s">
        <v>36689</v>
      </c>
      <c r="M5648" t="s">
        <v>38982</v>
      </c>
      <c r="N5648" t="s">
        <v>40436</v>
      </c>
      <c r="O5648" t="s">
        <v>40437</v>
      </c>
      <c r="P5648">
        <v>0</v>
      </c>
      <c r="Q5648">
        <v>0</v>
      </c>
      <c r="R5648" t="s">
        <v>40442</v>
      </c>
      <c r="S5648" t="s">
        <v>40638</v>
      </c>
      <c r="T5648" t="s">
        <v>42169</v>
      </c>
      <c r="U5648" t="s">
        <v>47411</v>
      </c>
      <c r="V5648" t="s">
        <v>54342</v>
      </c>
      <c r="W5648" t="s">
        <v>38982</v>
      </c>
      <c r="X5648" t="s">
        <v>40444</v>
      </c>
    </row>
    <row r="5649" spans="1:24">
      <c r="A5649">
        <f>HYPERLINK("https://www.philgeps.gov.ph/GEPSNONPILOT/Tender/SplashBidNoticeAbstractUI.aspx?menuIndex=3&amp;refID=7042638&amp;Result=3","7042638")</f>
        <v>0</v>
      </c>
      <c r="B5649" t="s">
        <v>1853</v>
      </c>
      <c r="C5649" t="s">
        <v>8459</v>
      </c>
      <c r="D5649" t="s">
        <v>16193</v>
      </c>
      <c r="E5649" t="s">
        <v>21288</v>
      </c>
      <c r="F5649" t="s">
        <v>28198</v>
      </c>
      <c r="G5649" t="s">
        <v>28205</v>
      </c>
      <c r="H5649" t="s">
        <v>28214</v>
      </c>
      <c r="I5649" t="s">
        <v>3797</v>
      </c>
      <c r="J5649" t="s">
        <v>29224</v>
      </c>
      <c r="K5649" t="s">
        <v>36697</v>
      </c>
      <c r="M5649" t="s">
        <v>38980</v>
      </c>
      <c r="N5649" t="s">
        <v>40436</v>
      </c>
      <c r="O5649" t="s">
        <v>40437</v>
      </c>
      <c r="P5649">
        <v>0</v>
      </c>
      <c r="Q5649">
        <v>1</v>
      </c>
      <c r="R5649" t="s">
        <v>40442</v>
      </c>
      <c r="S5649" t="s">
        <v>40638</v>
      </c>
      <c r="T5649" t="s">
        <v>42234</v>
      </c>
      <c r="U5649" t="s">
        <v>47412</v>
      </c>
      <c r="W5649" t="s">
        <v>38980</v>
      </c>
      <c r="X5649" t="s">
        <v>40444</v>
      </c>
    </row>
    <row r="5650" spans="1:24">
      <c r="A5650">
        <f>HYPERLINK("https://www.philgeps.gov.ph/GEPSNONPILOT/Tender/SplashBidNoticeAbstractUI.aspx?menuIndex=3&amp;refID=7042591&amp;Result=3","7042591")</f>
        <v>0</v>
      </c>
      <c r="B5650" t="s">
        <v>1853</v>
      </c>
      <c r="C5650" t="s">
        <v>8460</v>
      </c>
      <c r="D5650" t="s">
        <v>16193</v>
      </c>
      <c r="E5650" t="s">
        <v>21289</v>
      </c>
      <c r="F5650" t="s">
        <v>28198</v>
      </c>
      <c r="G5650" t="s">
        <v>28205</v>
      </c>
      <c r="H5650" t="s">
        <v>28214</v>
      </c>
      <c r="I5650" t="s">
        <v>3797</v>
      </c>
      <c r="J5650" t="s">
        <v>31934</v>
      </c>
      <c r="K5650" t="s">
        <v>36710</v>
      </c>
      <c r="M5650" t="s">
        <v>38980</v>
      </c>
      <c r="N5650" t="s">
        <v>40436</v>
      </c>
      <c r="O5650" t="s">
        <v>40437</v>
      </c>
      <c r="Q5650">
        <v>4</v>
      </c>
      <c r="R5650" t="s">
        <v>40442</v>
      </c>
      <c r="S5650" t="s">
        <v>40641</v>
      </c>
      <c r="T5650" t="s">
        <v>42234</v>
      </c>
      <c r="U5650" t="s">
        <v>47413</v>
      </c>
      <c r="W5650" t="s">
        <v>38980</v>
      </c>
      <c r="X5650" t="s">
        <v>40444</v>
      </c>
    </row>
    <row r="5651" spans="1:24">
      <c r="A5651">
        <f>HYPERLINK("https://www.philgeps.gov.ph/GEPSNONPILOT/Tender/SplashBidNoticeAbstractUI.aspx?menuIndex=3&amp;refID=7042620&amp;Result=3","7042620")</f>
        <v>0</v>
      </c>
      <c r="B5651" t="s">
        <v>1853</v>
      </c>
      <c r="C5651" t="s">
        <v>8461</v>
      </c>
      <c r="D5651" t="s">
        <v>16193</v>
      </c>
      <c r="E5651" t="s">
        <v>21290</v>
      </c>
      <c r="F5651" t="s">
        <v>28198</v>
      </c>
      <c r="G5651" t="s">
        <v>28205</v>
      </c>
      <c r="H5651" t="s">
        <v>28214</v>
      </c>
      <c r="I5651" t="s">
        <v>3797</v>
      </c>
      <c r="J5651" t="s">
        <v>31934</v>
      </c>
      <c r="K5651" t="s">
        <v>36710</v>
      </c>
      <c r="M5651" t="s">
        <v>38980</v>
      </c>
      <c r="N5651" t="s">
        <v>40436</v>
      </c>
      <c r="O5651" t="s">
        <v>40437</v>
      </c>
      <c r="Q5651">
        <v>5</v>
      </c>
      <c r="R5651" t="s">
        <v>40442</v>
      </c>
      <c r="S5651" t="s">
        <v>40642</v>
      </c>
      <c r="T5651" t="s">
        <v>42234</v>
      </c>
      <c r="U5651" t="s">
        <v>47414</v>
      </c>
      <c r="W5651" t="s">
        <v>38980</v>
      </c>
      <c r="X5651" t="s">
        <v>40444</v>
      </c>
    </row>
    <row r="5652" spans="1:24">
      <c r="A5652">
        <f>HYPERLINK("https://www.philgeps.gov.ph/GEPSNONPILOT/Tender/SplashBidNoticeAbstractUI.aspx?menuIndex=3&amp;refID=7042628&amp;Result=3","7042628")</f>
        <v>0</v>
      </c>
      <c r="B5652" t="s">
        <v>1853</v>
      </c>
      <c r="C5652" t="s">
        <v>8462</v>
      </c>
      <c r="D5652" t="s">
        <v>16193</v>
      </c>
      <c r="E5652" t="s">
        <v>21291</v>
      </c>
      <c r="F5652" t="s">
        <v>28198</v>
      </c>
      <c r="G5652" t="s">
        <v>28205</v>
      </c>
      <c r="H5652" t="s">
        <v>28214</v>
      </c>
      <c r="I5652" t="s">
        <v>3797</v>
      </c>
      <c r="J5652" t="s">
        <v>31934</v>
      </c>
      <c r="K5652" t="s">
        <v>36710</v>
      </c>
      <c r="M5652" t="s">
        <v>38980</v>
      </c>
      <c r="N5652" t="s">
        <v>40436</v>
      </c>
      <c r="O5652" t="s">
        <v>40437</v>
      </c>
      <c r="P5652">
        <v>0</v>
      </c>
      <c r="Q5652">
        <v>5</v>
      </c>
      <c r="R5652" t="s">
        <v>40442</v>
      </c>
      <c r="S5652" t="s">
        <v>40638</v>
      </c>
      <c r="T5652" t="s">
        <v>42234</v>
      </c>
      <c r="U5652" t="s">
        <v>47415</v>
      </c>
      <c r="W5652" t="s">
        <v>38980</v>
      </c>
      <c r="X5652" t="s">
        <v>40444</v>
      </c>
    </row>
    <row r="5653" spans="1:24">
      <c r="A5653">
        <f>HYPERLINK("https://www.philgeps.gov.ph/GEPSNONPILOT/Tender/SplashBidNoticeAbstractUI.aspx?menuIndex=3&amp;refID=7042585&amp;Result=3","7042585")</f>
        <v>0</v>
      </c>
      <c r="B5653" t="s">
        <v>1853</v>
      </c>
      <c r="C5653" t="s">
        <v>8463</v>
      </c>
      <c r="D5653" t="s">
        <v>16193</v>
      </c>
      <c r="E5653" t="s">
        <v>21292</v>
      </c>
      <c r="F5653" t="s">
        <v>28198</v>
      </c>
      <c r="G5653" t="s">
        <v>28205</v>
      </c>
      <c r="H5653" t="s">
        <v>28214</v>
      </c>
      <c r="I5653" t="s">
        <v>3797</v>
      </c>
      <c r="J5653" t="s">
        <v>31936</v>
      </c>
      <c r="K5653" t="s">
        <v>36710</v>
      </c>
      <c r="M5653" t="s">
        <v>38980</v>
      </c>
      <c r="N5653" t="s">
        <v>40436</v>
      </c>
      <c r="O5653" t="s">
        <v>40437</v>
      </c>
      <c r="Q5653">
        <v>4</v>
      </c>
      <c r="R5653" t="s">
        <v>40442</v>
      </c>
      <c r="S5653" t="s">
        <v>40643</v>
      </c>
      <c r="T5653" t="s">
        <v>42234</v>
      </c>
      <c r="U5653" t="s">
        <v>47416</v>
      </c>
      <c r="W5653" t="s">
        <v>38980</v>
      </c>
      <c r="X5653" t="s">
        <v>40444</v>
      </c>
    </row>
    <row r="5654" spans="1:24">
      <c r="A5654">
        <f>HYPERLINK("https://www.philgeps.gov.ph/GEPSNONPILOT/Tender/SplashBidNoticeAbstractUI.aspx?menuIndex=3&amp;refID=7042633&amp;Result=3","7042633")</f>
        <v>0</v>
      </c>
      <c r="B5654" t="s">
        <v>1853</v>
      </c>
      <c r="C5654" t="s">
        <v>8464</v>
      </c>
      <c r="D5654" t="s">
        <v>16193</v>
      </c>
      <c r="E5654" t="s">
        <v>21293</v>
      </c>
      <c r="F5654" t="s">
        <v>28198</v>
      </c>
      <c r="G5654" t="s">
        <v>28205</v>
      </c>
      <c r="H5654" t="s">
        <v>28214</v>
      </c>
      <c r="I5654" t="s">
        <v>3797</v>
      </c>
      <c r="J5654" t="s">
        <v>31937</v>
      </c>
      <c r="K5654" t="s">
        <v>36692</v>
      </c>
      <c r="M5654" t="s">
        <v>38980</v>
      </c>
      <c r="N5654" t="s">
        <v>40436</v>
      </c>
      <c r="O5654" t="s">
        <v>40437</v>
      </c>
      <c r="P5654">
        <v>0</v>
      </c>
      <c r="Q5654">
        <v>2</v>
      </c>
      <c r="R5654" t="s">
        <v>40442</v>
      </c>
      <c r="S5654" t="s">
        <v>40638</v>
      </c>
      <c r="T5654" t="s">
        <v>42234</v>
      </c>
      <c r="U5654" t="s">
        <v>47417</v>
      </c>
      <c r="W5654" t="s">
        <v>38980</v>
      </c>
      <c r="X5654" t="s">
        <v>40444</v>
      </c>
    </row>
    <row r="5655" spans="1:24">
      <c r="A5655">
        <f>HYPERLINK("https://www.philgeps.gov.ph/GEPSNONPILOT/Tender/SplashBidNoticeAbstractUI.aspx?menuIndex=3&amp;refID=7043246&amp;Result=3","7043246")</f>
        <v>0</v>
      </c>
      <c r="B5655" t="s">
        <v>1855</v>
      </c>
      <c r="C5655" t="s">
        <v>8465</v>
      </c>
      <c r="D5655" t="s">
        <v>16196</v>
      </c>
      <c r="E5655" t="s">
        <v>21294</v>
      </c>
      <c r="F5655" t="s">
        <v>28198</v>
      </c>
      <c r="G5655" t="s">
        <v>28208</v>
      </c>
      <c r="H5655" t="s">
        <v>28214</v>
      </c>
      <c r="I5655" t="s">
        <v>3797</v>
      </c>
      <c r="J5655" t="s">
        <v>31938</v>
      </c>
      <c r="K5655" t="s">
        <v>36697</v>
      </c>
      <c r="M5655" t="s">
        <v>38983</v>
      </c>
      <c r="N5655" t="s">
        <v>40436</v>
      </c>
      <c r="O5655" t="s">
        <v>40437</v>
      </c>
      <c r="P5655">
        <v>0</v>
      </c>
      <c r="Q5655">
        <v>59</v>
      </c>
      <c r="R5655" t="s">
        <v>40442</v>
      </c>
      <c r="S5655" t="s">
        <v>40638</v>
      </c>
      <c r="T5655" t="s">
        <v>42255</v>
      </c>
      <c r="U5655" t="s">
        <v>47418</v>
      </c>
      <c r="V5655" t="s">
        <v>54343</v>
      </c>
      <c r="W5655" t="s">
        <v>38983</v>
      </c>
      <c r="X5655" t="s">
        <v>40444</v>
      </c>
    </row>
    <row r="5656" spans="1:24">
      <c r="A5656">
        <f>HYPERLINK("https://www.philgeps.gov.ph/GEPSNONPILOT/Tender/SplashBidNoticeAbstractUI.aspx?menuIndex=3&amp;refID=7043304&amp;Result=3","7043304")</f>
        <v>0</v>
      </c>
      <c r="B5656" t="s">
        <v>1852</v>
      </c>
      <c r="C5656" t="s">
        <v>8466</v>
      </c>
      <c r="D5656" t="s">
        <v>16199</v>
      </c>
      <c r="E5656" t="s">
        <v>21295</v>
      </c>
      <c r="F5656" t="s">
        <v>28198</v>
      </c>
      <c r="G5656" t="s">
        <v>28211</v>
      </c>
      <c r="H5656" t="s">
        <v>28216</v>
      </c>
      <c r="I5656" t="s">
        <v>28216</v>
      </c>
      <c r="J5656" t="s">
        <v>31939</v>
      </c>
      <c r="K5656" t="s">
        <v>36733</v>
      </c>
      <c r="M5656" t="s">
        <v>38979</v>
      </c>
      <c r="N5656" t="s">
        <v>40436</v>
      </c>
      <c r="O5656" t="s">
        <v>40437</v>
      </c>
      <c r="P5656">
        <v>0</v>
      </c>
      <c r="Q5656">
        <v>8</v>
      </c>
      <c r="R5656" t="s">
        <v>40442</v>
      </c>
      <c r="S5656" t="s">
        <v>40638</v>
      </c>
      <c r="T5656" t="s">
        <v>42423</v>
      </c>
      <c r="U5656" t="s">
        <v>47419</v>
      </c>
      <c r="W5656" t="s">
        <v>38979</v>
      </c>
      <c r="X5656" t="s">
        <v>40443</v>
      </c>
    </row>
    <row r="5657" spans="1:24">
      <c r="A5657">
        <f>HYPERLINK("https://www.philgeps.gov.ph/GEPSNONPILOT/Tender/SplashBidNoticeAbstractUI.aspx?menuIndex=3&amp;refID=7043302&amp;Result=3","7043302")</f>
        <v>0</v>
      </c>
      <c r="B5657" t="s">
        <v>1856</v>
      </c>
      <c r="C5657" t="s">
        <v>8467</v>
      </c>
      <c r="D5657" t="s">
        <v>16220</v>
      </c>
      <c r="E5657" t="s">
        <v>21296</v>
      </c>
      <c r="F5657" t="s">
        <v>28198</v>
      </c>
      <c r="G5657" t="s">
        <v>28205</v>
      </c>
      <c r="H5657" t="s">
        <v>28215</v>
      </c>
      <c r="I5657" t="s">
        <v>3422</v>
      </c>
      <c r="J5657" t="s">
        <v>31940</v>
      </c>
      <c r="K5657" t="s">
        <v>36692</v>
      </c>
      <c r="M5657" t="s">
        <v>38984</v>
      </c>
      <c r="N5657" t="s">
        <v>40436</v>
      </c>
      <c r="O5657" t="s">
        <v>40437</v>
      </c>
      <c r="P5657">
        <v>0</v>
      </c>
      <c r="Q5657">
        <v>1</v>
      </c>
      <c r="R5657" t="s">
        <v>40442</v>
      </c>
      <c r="S5657" t="s">
        <v>40638</v>
      </c>
      <c r="T5657" t="s">
        <v>42124</v>
      </c>
      <c r="U5657" t="s">
        <v>47420</v>
      </c>
      <c r="W5657" t="s">
        <v>38984</v>
      </c>
      <c r="X5657" t="s">
        <v>40443</v>
      </c>
    </row>
    <row r="5658" spans="1:24">
      <c r="A5658">
        <f>HYPERLINK("https://www.philgeps.gov.ph/GEPSNONPILOT/Tender/SplashBidNoticeAbstractUI.aspx?menuIndex=3&amp;refID=7042819&amp;Result=3","7042819")</f>
        <v>0</v>
      </c>
      <c r="B5658" t="s">
        <v>1853</v>
      </c>
      <c r="C5658" t="s">
        <v>8468</v>
      </c>
      <c r="D5658" t="s">
        <v>16193</v>
      </c>
      <c r="E5658" t="s">
        <v>21297</v>
      </c>
      <c r="F5658" t="s">
        <v>28198</v>
      </c>
      <c r="G5658" t="s">
        <v>28205</v>
      </c>
      <c r="H5658" t="s">
        <v>28214</v>
      </c>
      <c r="I5658" t="s">
        <v>3797</v>
      </c>
      <c r="J5658" t="s">
        <v>29552</v>
      </c>
      <c r="K5658" t="s">
        <v>36717</v>
      </c>
      <c r="M5658" t="s">
        <v>38980</v>
      </c>
      <c r="N5658" t="s">
        <v>40436</v>
      </c>
      <c r="O5658" t="s">
        <v>40437</v>
      </c>
      <c r="P5658">
        <v>0</v>
      </c>
      <c r="Q5658">
        <v>1</v>
      </c>
      <c r="R5658" t="s">
        <v>40442</v>
      </c>
      <c r="S5658" t="s">
        <v>40638</v>
      </c>
      <c r="T5658" t="s">
        <v>42234</v>
      </c>
      <c r="U5658" t="s">
        <v>47421</v>
      </c>
      <c r="W5658" t="s">
        <v>38980</v>
      </c>
      <c r="X5658" t="s">
        <v>40444</v>
      </c>
    </row>
    <row r="5659" spans="1:24">
      <c r="A5659">
        <f>HYPERLINK("https://www.philgeps.gov.ph/GEPSNONPILOT/Tender/SplashBidNoticeAbstractUI.aspx?menuIndex=3&amp;refID=7042672&amp;Result=3","7042672")</f>
        <v>0</v>
      </c>
      <c r="B5659" t="s">
        <v>1854</v>
      </c>
      <c r="C5659" t="s">
        <v>8458</v>
      </c>
      <c r="D5659" t="s">
        <v>16191</v>
      </c>
      <c r="E5659" t="s">
        <v>21298</v>
      </c>
      <c r="F5659" t="s">
        <v>28198</v>
      </c>
      <c r="G5659" t="s">
        <v>28207</v>
      </c>
      <c r="H5659" t="s">
        <v>28215</v>
      </c>
      <c r="I5659" t="s">
        <v>28225</v>
      </c>
      <c r="J5659" t="s">
        <v>31941</v>
      </c>
      <c r="K5659" t="s">
        <v>36689</v>
      </c>
      <c r="M5659" t="s">
        <v>38982</v>
      </c>
      <c r="N5659" t="s">
        <v>40436</v>
      </c>
      <c r="O5659" t="s">
        <v>40437</v>
      </c>
      <c r="P5659">
        <v>0</v>
      </c>
      <c r="Q5659">
        <v>0</v>
      </c>
      <c r="R5659" t="s">
        <v>40442</v>
      </c>
      <c r="S5659" t="s">
        <v>40638</v>
      </c>
      <c r="T5659" t="s">
        <v>42169</v>
      </c>
      <c r="U5659" t="s">
        <v>47422</v>
      </c>
      <c r="V5659" t="s">
        <v>54342</v>
      </c>
      <c r="W5659" t="s">
        <v>38982</v>
      </c>
      <c r="X5659" t="s">
        <v>40444</v>
      </c>
    </row>
    <row r="5660" spans="1:24">
      <c r="A5660">
        <f>HYPERLINK("https://www.philgeps.gov.ph/GEPSNONPILOT/Tender/SplashBidNoticeAbstractUI.aspx?menuIndex=3&amp;refID=7043307&amp;Result=3","7043307")</f>
        <v>0</v>
      </c>
      <c r="B5660" t="s">
        <v>491</v>
      </c>
      <c r="C5660" t="s">
        <v>8469</v>
      </c>
      <c r="E5660" t="s">
        <v>21299</v>
      </c>
      <c r="F5660" t="s">
        <v>28198</v>
      </c>
      <c r="G5660" t="s">
        <v>28205</v>
      </c>
      <c r="H5660" t="s">
        <v>28214</v>
      </c>
      <c r="I5660" t="s">
        <v>28227</v>
      </c>
      <c r="J5660" t="s">
        <v>31942</v>
      </c>
      <c r="K5660" t="s">
        <v>36689</v>
      </c>
      <c r="M5660" t="s">
        <v>37476</v>
      </c>
      <c r="N5660" t="s">
        <v>40436</v>
      </c>
      <c r="O5660" t="s">
        <v>40437</v>
      </c>
      <c r="P5660">
        <v>0</v>
      </c>
      <c r="Q5660">
        <v>1</v>
      </c>
      <c r="R5660" t="s">
        <v>40442</v>
      </c>
      <c r="S5660" t="s">
        <v>40638</v>
      </c>
      <c r="T5660" t="s">
        <v>42390</v>
      </c>
      <c r="U5660" t="s">
        <v>47423</v>
      </c>
      <c r="W5660" t="s">
        <v>37476</v>
      </c>
      <c r="X5660" t="s">
        <v>40443</v>
      </c>
    </row>
    <row r="5661" spans="1:24">
      <c r="A5661">
        <f>HYPERLINK("https://www.philgeps.gov.ph/GEPSNONPILOT/Tender/SplashBidNoticeAbstractUI.aspx?menuIndex=3&amp;refID=7043269&amp;Result=3","7043269")</f>
        <v>0</v>
      </c>
      <c r="B5661" t="s">
        <v>1855</v>
      </c>
      <c r="C5661" t="s">
        <v>8470</v>
      </c>
      <c r="D5661" t="s">
        <v>16196</v>
      </c>
      <c r="E5661" t="s">
        <v>21300</v>
      </c>
      <c r="F5661" t="s">
        <v>28198</v>
      </c>
      <c r="G5661" t="s">
        <v>28208</v>
      </c>
      <c r="H5661" t="s">
        <v>28215</v>
      </c>
      <c r="I5661" t="s">
        <v>5100</v>
      </c>
      <c r="J5661" t="s">
        <v>31943</v>
      </c>
      <c r="K5661" t="s">
        <v>36701</v>
      </c>
      <c r="M5661" t="s">
        <v>38983</v>
      </c>
      <c r="N5661" t="s">
        <v>40436</v>
      </c>
      <c r="O5661" t="s">
        <v>40437</v>
      </c>
      <c r="P5661">
        <v>0</v>
      </c>
      <c r="Q5661">
        <v>0</v>
      </c>
      <c r="R5661" t="s">
        <v>40442</v>
      </c>
      <c r="S5661" t="s">
        <v>40638</v>
      </c>
      <c r="T5661" t="s">
        <v>42209</v>
      </c>
      <c r="U5661" t="s">
        <v>47424</v>
      </c>
      <c r="V5661" t="s">
        <v>54344</v>
      </c>
      <c r="W5661" t="s">
        <v>38983</v>
      </c>
      <c r="X5661" t="s">
        <v>40444</v>
      </c>
    </row>
    <row r="5662" spans="1:24">
      <c r="A5662">
        <f>HYPERLINK("https://www.philgeps.gov.ph/GEPSNONPILOT/Tender/SplashBidNoticeAbstractUI.aspx?menuIndex=3&amp;refID=7042687&amp;Result=3","7042687")</f>
        <v>0</v>
      </c>
      <c r="B5662" t="s">
        <v>1853</v>
      </c>
      <c r="C5662" t="s">
        <v>8471</v>
      </c>
      <c r="D5662" t="s">
        <v>16193</v>
      </c>
      <c r="E5662" t="s">
        <v>21301</v>
      </c>
      <c r="F5662" t="s">
        <v>28198</v>
      </c>
      <c r="G5662" t="s">
        <v>28205</v>
      </c>
      <c r="H5662" t="s">
        <v>28214</v>
      </c>
      <c r="I5662" t="s">
        <v>3797</v>
      </c>
      <c r="J5662" t="s">
        <v>31944</v>
      </c>
      <c r="K5662" t="s">
        <v>36697</v>
      </c>
      <c r="M5662" t="s">
        <v>38980</v>
      </c>
      <c r="N5662" t="s">
        <v>40436</v>
      </c>
      <c r="O5662" t="s">
        <v>40437</v>
      </c>
      <c r="P5662">
        <v>0</v>
      </c>
      <c r="Q5662">
        <v>1</v>
      </c>
      <c r="R5662" t="s">
        <v>40442</v>
      </c>
      <c r="S5662" t="s">
        <v>40638</v>
      </c>
      <c r="T5662" t="s">
        <v>42234</v>
      </c>
      <c r="U5662" t="s">
        <v>47425</v>
      </c>
      <c r="W5662" t="s">
        <v>38980</v>
      </c>
      <c r="X5662" t="s">
        <v>40444</v>
      </c>
    </row>
    <row r="5663" spans="1:24">
      <c r="A5663">
        <f>HYPERLINK("https://www.philgeps.gov.ph/GEPSNONPILOT/Tender/SplashBidNoticeAbstractUI.aspx?menuIndex=3&amp;refID=7043340&amp;Result=3","7043340")</f>
        <v>0</v>
      </c>
      <c r="B5663" t="s">
        <v>999</v>
      </c>
      <c r="C5663" t="s">
        <v>8472</v>
      </c>
      <c r="D5663" t="s">
        <v>16201</v>
      </c>
      <c r="E5663" t="s">
        <v>21302</v>
      </c>
      <c r="F5663" t="s">
        <v>28198</v>
      </c>
      <c r="G5663" t="s">
        <v>28205</v>
      </c>
      <c r="H5663" t="s">
        <v>28215</v>
      </c>
      <c r="I5663" t="s">
        <v>5100</v>
      </c>
      <c r="J5663" t="s">
        <v>31945</v>
      </c>
      <c r="K5663" t="s">
        <v>36707</v>
      </c>
      <c r="M5663" t="s">
        <v>38027</v>
      </c>
      <c r="N5663" t="s">
        <v>40436</v>
      </c>
      <c r="O5663" t="s">
        <v>40437</v>
      </c>
      <c r="P5663">
        <v>0</v>
      </c>
      <c r="Q5663">
        <v>0</v>
      </c>
      <c r="R5663" t="s">
        <v>40442</v>
      </c>
      <c r="S5663" t="s">
        <v>40638</v>
      </c>
      <c r="T5663" t="s">
        <v>42232</v>
      </c>
      <c r="U5663" t="s">
        <v>47426</v>
      </c>
      <c r="W5663" t="s">
        <v>38027</v>
      </c>
      <c r="X5663" t="s">
        <v>40443</v>
      </c>
    </row>
    <row r="5664" spans="1:24">
      <c r="A5664">
        <f>HYPERLINK("https://www.philgeps.gov.ph/GEPSNONPILOT/Tender/SplashBidNoticeAbstractUI.aspx?menuIndex=3&amp;refID=7043305&amp;Result=3","7043305")</f>
        <v>0</v>
      </c>
      <c r="B5664" t="s">
        <v>1852</v>
      </c>
      <c r="C5664" t="s">
        <v>8473</v>
      </c>
      <c r="D5664" t="s">
        <v>16199</v>
      </c>
      <c r="E5664" t="s">
        <v>21303</v>
      </c>
      <c r="F5664" t="s">
        <v>28198</v>
      </c>
      <c r="G5664" t="s">
        <v>28205</v>
      </c>
      <c r="H5664" t="s">
        <v>28214</v>
      </c>
      <c r="I5664" t="s">
        <v>3797</v>
      </c>
      <c r="J5664" t="s">
        <v>31946</v>
      </c>
      <c r="K5664" t="s">
        <v>36761</v>
      </c>
      <c r="M5664" t="s">
        <v>38979</v>
      </c>
      <c r="N5664" t="s">
        <v>40436</v>
      </c>
      <c r="O5664" t="s">
        <v>40437</v>
      </c>
      <c r="P5664">
        <v>0</v>
      </c>
      <c r="Q5664">
        <v>1</v>
      </c>
      <c r="R5664" t="s">
        <v>40442</v>
      </c>
      <c r="S5664" t="s">
        <v>40638</v>
      </c>
      <c r="T5664" t="s">
        <v>42415</v>
      </c>
      <c r="U5664" t="s">
        <v>47427</v>
      </c>
      <c r="W5664" t="s">
        <v>38979</v>
      </c>
      <c r="X5664" t="s">
        <v>40443</v>
      </c>
    </row>
    <row r="5665" spans="1:24">
      <c r="A5665">
        <f>HYPERLINK("https://www.philgeps.gov.ph/GEPSNONPILOT/Tender/SplashBidNoticeAbstractUI.aspx?menuIndex=3&amp;refID=7043339&amp;Result=3","7043339")</f>
        <v>0</v>
      </c>
      <c r="B5665" t="s">
        <v>1857</v>
      </c>
      <c r="C5665" t="s">
        <v>8474</v>
      </c>
      <c r="D5665" t="s">
        <v>16239</v>
      </c>
      <c r="E5665" t="s">
        <v>21304</v>
      </c>
      <c r="F5665" t="s">
        <v>28198</v>
      </c>
      <c r="G5665" t="s">
        <v>28207</v>
      </c>
      <c r="H5665" t="s">
        <v>28215</v>
      </c>
      <c r="I5665" t="s">
        <v>5103</v>
      </c>
      <c r="J5665" t="s">
        <v>28815</v>
      </c>
      <c r="K5665" t="s">
        <v>36687</v>
      </c>
      <c r="M5665" t="s">
        <v>38985</v>
      </c>
      <c r="N5665" t="s">
        <v>40436</v>
      </c>
      <c r="O5665" t="s">
        <v>40437</v>
      </c>
      <c r="P5665">
        <v>0</v>
      </c>
      <c r="Q5665">
        <v>13</v>
      </c>
      <c r="R5665" t="s">
        <v>40442</v>
      </c>
      <c r="S5665" t="s">
        <v>40638</v>
      </c>
      <c r="T5665" t="s">
        <v>42297</v>
      </c>
      <c r="U5665" t="s">
        <v>47428</v>
      </c>
      <c r="V5665" t="s">
        <v>54345</v>
      </c>
      <c r="W5665" t="s">
        <v>38985</v>
      </c>
      <c r="X5665" t="s">
        <v>40443</v>
      </c>
    </row>
    <row r="5666" spans="1:24">
      <c r="A5666">
        <f>HYPERLINK("https://www.philgeps.gov.ph/GEPSNONPILOT/Tender/SplashBidNoticeAbstractUI.aspx?menuIndex=3&amp;refID=7043336&amp;Result=3","7043336")</f>
        <v>0</v>
      </c>
      <c r="B5666" t="s">
        <v>999</v>
      </c>
      <c r="C5666" t="s">
        <v>8475</v>
      </c>
      <c r="D5666" t="s">
        <v>16201</v>
      </c>
      <c r="E5666" t="s">
        <v>21305</v>
      </c>
      <c r="F5666" t="s">
        <v>28198</v>
      </c>
      <c r="G5666" t="s">
        <v>28205</v>
      </c>
      <c r="H5666" t="s">
        <v>28215</v>
      </c>
      <c r="I5666" t="s">
        <v>28228</v>
      </c>
      <c r="J5666" t="s">
        <v>31947</v>
      </c>
      <c r="K5666" t="s">
        <v>36715</v>
      </c>
      <c r="M5666" t="s">
        <v>38027</v>
      </c>
      <c r="N5666" t="s">
        <v>40436</v>
      </c>
      <c r="O5666" t="s">
        <v>40437</v>
      </c>
      <c r="P5666">
        <v>0</v>
      </c>
      <c r="Q5666">
        <v>0</v>
      </c>
      <c r="R5666" t="s">
        <v>40442</v>
      </c>
      <c r="S5666" t="s">
        <v>40638</v>
      </c>
      <c r="T5666" t="s">
        <v>42232</v>
      </c>
      <c r="U5666" t="s">
        <v>47429</v>
      </c>
      <c r="W5666" t="s">
        <v>38027</v>
      </c>
      <c r="X5666" t="s">
        <v>40443</v>
      </c>
    </row>
    <row r="5667" spans="1:24">
      <c r="A5667">
        <f>HYPERLINK("https://www.philgeps.gov.ph/GEPSNONPILOT/Tender/SplashBidNoticeAbstractUI.aspx?menuIndex=3&amp;refID=7043341&amp;Result=3","7043341")</f>
        <v>0</v>
      </c>
      <c r="B5667" t="s">
        <v>1857</v>
      </c>
      <c r="C5667" t="s">
        <v>8476</v>
      </c>
      <c r="D5667" t="s">
        <v>16239</v>
      </c>
      <c r="E5667" t="s">
        <v>21306</v>
      </c>
      <c r="F5667" t="s">
        <v>28198</v>
      </c>
      <c r="G5667" t="s">
        <v>28207</v>
      </c>
      <c r="H5667" t="s">
        <v>28215</v>
      </c>
      <c r="I5667" t="s">
        <v>5103</v>
      </c>
      <c r="J5667" t="s">
        <v>28494</v>
      </c>
      <c r="K5667" t="s">
        <v>36687</v>
      </c>
      <c r="M5667" t="s">
        <v>38985</v>
      </c>
      <c r="N5667" t="s">
        <v>40436</v>
      </c>
      <c r="O5667" t="s">
        <v>40437</v>
      </c>
      <c r="P5667">
        <v>0</v>
      </c>
      <c r="Q5667">
        <v>8</v>
      </c>
      <c r="R5667" t="s">
        <v>40442</v>
      </c>
      <c r="S5667" t="s">
        <v>40638</v>
      </c>
      <c r="T5667" t="s">
        <v>42297</v>
      </c>
      <c r="U5667" t="s">
        <v>47430</v>
      </c>
      <c r="V5667" t="s">
        <v>54345</v>
      </c>
      <c r="W5667" t="s">
        <v>38985</v>
      </c>
      <c r="X5667" t="s">
        <v>40443</v>
      </c>
    </row>
    <row r="5668" spans="1:24">
      <c r="A5668">
        <f>HYPERLINK("https://www.philgeps.gov.ph/GEPSNONPILOT/Tender/SplashBidNoticeAbstractUI.aspx?menuIndex=3&amp;refID=7043329&amp;Result=3","7043329")</f>
        <v>0</v>
      </c>
      <c r="B5668" t="s">
        <v>1858</v>
      </c>
      <c r="C5668" t="s">
        <v>8477</v>
      </c>
      <c r="D5668" t="s">
        <v>16210</v>
      </c>
      <c r="E5668" t="s">
        <v>21307</v>
      </c>
      <c r="F5668" t="s">
        <v>28198</v>
      </c>
      <c r="G5668" t="s">
        <v>28205</v>
      </c>
      <c r="H5668" t="s">
        <v>28215</v>
      </c>
      <c r="I5668" t="s">
        <v>4200</v>
      </c>
      <c r="J5668" t="s">
        <v>31948</v>
      </c>
      <c r="K5668" t="s">
        <v>36688</v>
      </c>
      <c r="M5668" t="s">
        <v>38986</v>
      </c>
      <c r="N5668" t="s">
        <v>40436</v>
      </c>
      <c r="O5668" t="s">
        <v>40437</v>
      </c>
      <c r="P5668">
        <v>0</v>
      </c>
      <c r="Q5668">
        <v>1</v>
      </c>
      <c r="R5668" t="s">
        <v>40442</v>
      </c>
      <c r="S5668" t="s">
        <v>40638</v>
      </c>
      <c r="T5668" t="s">
        <v>42346</v>
      </c>
      <c r="U5668" t="s">
        <v>47431</v>
      </c>
      <c r="W5668" t="s">
        <v>38986</v>
      </c>
      <c r="X5668" t="s">
        <v>40443</v>
      </c>
    </row>
    <row r="5669" spans="1:24">
      <c r="A5669">
        <f>HYPERLINK("https://www.philgeps.gov.ph/GEPSNONPILOT/Tender/SplashBidNoticeAbstractUI.aspx?menuIndex=3&amp;refID=7043342&amp;Result=3","7043342")</f>
        <v>0</v>
      </c>
      <c r="B5669" t="s">
        <v>999</v>
      </c>
      <c r="C5669" t="s">
        <v>8478</v>
      </c>
      <c r="D5669" t="s">
        <v>16201</v>
      </c>
      <c r="E5669" t="s">
        <v>21308</v>
      </c>
      <c r="F5669" t="s">
        <v>28198</v>
      </c>
      <c r="G5669" t="s">
        <v>28205</v>
      </c>
      <c r="H5669" t="s">
        <v>28215</v>
      </c>
      <c r="I5669" t="s">
        <v>28228</v>
      </c>
      <c r="J5669" t="s">
        <v>31949</v>
      </c>
      <c r="K5669" t="s">
        <v>36709</v>
      </c>
      <c r="M5669" t="s">
        <v>38027</v>
      </c>
      <c r="N5669" t="s">
        <v>40436</v>
      </c>
      <c r="O5669" t="s">
        <v>40437</v>
      </c>
      <c r="P5669">
        <v>0</v>
      </c>
      <c r="Q5669">
        <v>0</v>
      </c>
      <c r="R5669" t="s">
        <v>40442</v>
      </c>
      <c r="S5669" t="s">
        <v>40638</v>
      </c>
      <c r="T5669" t="s">
        <v>42232</v>
      </c>
      <c r="U5669" t="s">
        <v>47432</v>
      </c>
      <c r="W5669" t="s">
        <v>38027</v>
      </c>
      <c r="X5669" t="s">
        <v>40443</v>
      </c>
    </row>
    <row r="5670" spans="1:24">
      <c r="A5670">
        <f>HYPERLINK("https://www.philgeps.gov.ph/GEPSNONPILOT/Tender/SplashBidNoticeAbstractUI.aspx?menuIndex=3&amp;refID=7043328&amp;Result=3","7043328")</f>
        <v>0</v>
      </c>
      <c r="B5670" t="s">
        <v>1859</v>
      </c>
      <c r="C5670" t="s">
        <v>8479</v>
      </c>
      <c r="E5670" t="s">
        <v>21309</v>
      </c>
      <c r="F5670" t="s">
        <v>28198</v>
      </c>
      <c r="G5670" t="s">
        <v>28205</v>
      </c>
      <c r="H5670" t="s">
        <v>28215</v>
      </c>
      <c r="I5670" t="s">
        <v>5100</v>
      </c>
      <c r="J5670" t="s">
        <v>31950</v>
      </c>
      <c r="K5670" t="s">
        <v>36689</v>
      </c>
      <c r="M5670" t="s">
        <v>38987</v>
      </c>
      <c r="N5670" t="s">
        <v>40436</v>
      </c>
      <c r="O5670" t="s">
        <v>40437</v>
      </c>
      <c r="P5670">
        <v>0</v>
      </c>
      <c r="Q5670">
        <v>0</v>
      </c>
      <c r="R5670" t="s">
        <v>40442</v>
      </c>
      <c r="S5670" t="s">
        <v>40638</v>
      </c>
      <c r="T5670" t="s">
        <v>42103</v>
      </c>
      <c r="U5670" t="s">
        <v>47433</v>
      </c>
      <c r="W5670" t="s">
        <v>38987</v>
      </c>
      <c r="X5670" t="s">
        <v>40443</v>
      </c>
    </row>
    <row r="5671" spans="1:24">
      <c r="A5671">
        <f>HYPERLINK("https://www.philgeps.gov.ph/GEPSNONPILOT/Tender/SplashBidNoticeAbstractUI.aspx?menuIndex=3&amp;refID=7043326&amp;Result=3","7043326")</f>
        <v>0</v>
      </c>
      <c r="B5671" t="s">
        <v>1860</v>
      </c>
      <c r="C5671" t="s">
        <v>8480</v>
      </c>
      <c r="D5671" t="s">
        <v>16271</v>
      </c>
      <c r="E5671" t="s">
        <v>21310</v>
      </c>
      <c r="F5671" t="s">
        <v>28198</v>
      </c>
      <c r="G5671" t="s">
        <v>28207</v>
      </c>
      <c r="H5671" t="s">
        <v>28215</v>
      </c>
      <c r="I5671" t="s">
        <v>28220</v>
      </c>
      <c r="J5671" t="s">
        <v>31951</v>
      </c>
      <c r="K5671" t="s">
        <v>36689</v>
      </c>
      <c r="M5671" t="s">
        <v>38988</v>
      </c>
      <c r="N5671" t="s">
        <v>40436</v>
      </c>
      <c r="O5671" t="s">
        <v>40437</v>
      </c>
      <c r="P5671">
        <v>0</v>
      </c>
      <c r="Q5671">
        <v>5</v>
      </c>
      <c r="R5671" t="s">
        <v>40442</v>
      </c>
      <c r="S5671" t="s">
        <v>40638</v>
      </c>
      <c r="T5671" t="s">
        <v>42417</v>
      </c>
      <c r="U5671" t="s">
        <v>47434</v>
      </c>
      <c r="W5671" t="s">
        <v>38988</v>
      </c>
      <c r="X5671" t="s">
        <v>40443</v>
      </c>
    </row>
    <row r="5672" spans="1:24">
      <c r="A5672">
        <f>HYPERLINK("https://www.philgeps.gov.ph/GEPSNONPILOT/Tender/SplashBidNoticeAbstractUI.aspx?menuIndex=3&amp;refID=7043338&amp;Result=3","7043338")</f>
        <v>0</v>
      </c>
      <c r="B5672" t="s">
        <v>999</v>
      </c>
      <c r="C5672" t="s">
        <v>8481</v>
      </c>
      <c r="D5672" t="s">
        <v>16201</v>
      </c>
      <c r="E5672" t="s">
        <v>21311</v>
      </c>
      <c r="F5672" t="s">
        <v>28198</v>
      </c>
      <c r="G5672" t="s">
        <v>28205</v>
      </c>
      <c r="H5672" t="s">
        <v>28215</v>
      </c>
      <c r="I5672" t="s">
        <v>5100</v>
      </c>
      <c r="J5672" t="s">
        <v>31952</v>
      </c>
      <c r="K5672" t="s">
        <v>36707</v>
      </c>
      <c r="M5672" t="s">
        <v>38027</v>
      </c>
      <c r="N5672" t="s">
        <v>40436</v>
      </c>
      <c r="O5672" t="s">
        <v>40437</v>
      </c>
      <c r="P5672">
        <v>0</v>
      </c>
      <c r="Q5672">
        <v>0</v>
      </c>
      <c r="R5672" t="s">
        <v>40442</v>
      </c>
      <c r="S5672" t="s">
        <v>40638</v>
      </c>
      <c r="T5672" t="s">
        <v>42232</v>
      </c>
      <c r="U5672" t="s">
        <v>47435</v>
      </c>
      <c r="W5672" t="s">
        <v>38027</v>
      </c>
      <c r="X5672" t="s">
        <v>40443</v>
      </c>
    </row>
    <row r="5673" spans="1:24">
      <c r="A5673">
        <f>HYPERLINK("https://www.philgeps.gov.ph/GEPSNONPILOT/Tender/SplashBidNoticeAbstractUI.aspx?menuIndex=3&amp;refID=7043344&amp;Result=3","7043344")</f>
        <v>0</v>
      </c>
      <c r="B5673" t="s">
        <v>1857</v>
      </c>
      <c r="C5673" t="s">
        <v>8482</v>
      </c>
      <c r="D5673" t="s">
        <v>16239</v>
      </c>
      <c r="E5673" t="s">
        <v>21312</v>
      </c>
      <c r="F5673" t="s">
        <v>28198</v>
      </c>
      <c r="G5673" t="s">
        <v>28210</v>
      </c>
      <c r="H5673" t="s">
        <v>28215</v>
      </c>
      <c r="I5673" t="s">
        <v>28234</v>
      </c>
      <c r="J5673" t="s">
        <v>28414</v>
      </c>
      <c r="K5673" t="s">
        <v>36707</v>
      </c>
      <c r="M5673" t="s">
        <v>38985</v>
      </c>
      <c r="N5673" t="s">
        <v>40436</v>
      </c>
      <c r="O5673" t="s">
        <v>40437</v>
      </c>
      <c r="P5673">
        <v>0</v>
      </c>
      <c r="Q5673">
        <v>4</v>
      </c>
      <c r="R5673" t="s">
        <v>40442</v>
      </c>
      <c r="S5673" t="s">
        <v>40638</v>
      </c>
      <c r="T5673" t="s">
        <v>42297</v>
      </c>
      <c r="U5673" t="s">
        <v>47430</v>
      </c>
      <c r="V5673" t="s">
        <v>54345</v>
      </c>
      <c r="W5673" t="s">
        <v>38985</v>
      </c>
      <c r="X5673" t="s">
        <v>40443</v>
      </c>
    </row>
    <row r="5674" spans="1:24">
      <c r="A5674">
        <f>HYPERLINK("https://www.philgeps.gov.ph/GEPSNONPILOT/Tender/SplashBidNoticeAbstractUI.aspx?menuIndex=3&amp;refID=7043310&amp;Result=3","7043310")</f>
        <v>0</v>
      </c>
      <c r="B5674" t="s">
        <v>1861</v>
      </c>
      <c r="C5674" t="s">
        <v>8483</v>
      </c>
      <c r="D5674" t="s">
        <v>16199</v>
      </c>
      <c r="E5674" t="s">
        <v>21313</v>
      </c>
      <c r="F5674" t="s">
        <v>28198</v>
      </c>
      <c r="G5674" t="s">
        <v>28205</v>
      </c>
      <c r="H5674" t="s">
        <v>28214</v>
      </c>
      <c r="I5674" t="s">
        <v>3797</v>
      </c>
      <c r="J5674" t="s">
        <v>31953</v>
      </c>
      <c r="K5674" t="s">
        <v>36827</v>
      </c>
      <c r="M5674" t="s">
        <v>38989</v>
      </c>
      <c r="N5674" t="s">
        <v>40436</v>
      </c>
      <c r="O5674" t="s">
        <v>40437</v>
      </c>
      <c r="P5674">
        <v>0</v>
      </c>
      <c r="Q5674">
        <v>1</v>
      </c>
      <c r="R5674" t="s">
        <v>40442</v>
      </c>
      <c r="S5674" t="s">
        <v>40638</v>
      </c>
      <c r="T5674" t="s">
        <v>42427</v>
      </c>
      <c r="U5674" t="s">
        <v>47436</v>
      </c>
      <c r="V5674" t="s">
        <v>54346</v>
      </c>
      <c r="W5674" t="s">
        <v>38989</v>
      </c>
      <c r="X5674" t="s">
        <v>40443</v>
      </c>
    </row>
    <row r="5675" spans="1:24">
      <c r="A5675">
        <f>HYPERLINK("https://www.philgeps.gov.ph/GEPSNONPILOT/Tender/SplashBidNoticeAbstractUI.aspx?menuIndex=3&amp;refID=7043401&amp;Result=3","7043401")</f>
        <v>0</v>
      </c>
      <c r="B5675" t="s">
        <v>1160</v>
      </c>
      <c r="C5675" t="s">
        <v>8484</v>
      </c>
      <c r="D5675" t="s">
        <v>16192</v>
      </c>
      <c r="E5675" t="s">
        <v>21314</v>
      </c>
      <c r="F5675" t="s">
        <v>28200</v>
      </c>
      <c r="G5675" t="s">
        <v>28205</v>
      </c>
      <c r="H5675" t="s">
        <v>28217</v>
      </c>
      <c r="I5675" t="s">
        <v>28314</v>
      </c>
      <c r="J5675" t="s">
        <v>30783</v>
      </c>
      <c r="K5675" t="s">
        <v>36701</v>
      </c>
      <c r="M5675" t="s">
        <v>38200</v>
      </c>
      <c r="N5675" t="s">
        <v>40436</v>
      </c>
      <c r="O5675" t="s">
        <v>40437</v>
      </c>
      <c r="P5675">
        <v>0</v>
      </c>
      <c r="Q5675">
        <v>1</v>
      </c>
      <c r="R5675" t="s">
        <v>40442</v>
      </c>
      <c r="S5675" t="s">
        <v>40638</v>
      </c>
      <c r="T5675" t="s">
        <v>42192</v>
      </c>
      <c r="U5675" t="s">
        <v>47437</v>
      </c>
      <c r="W5675" t="s">
        <v>38200</v>
      </c>
      <c r="X5675" t="s">
        <v>40443</v>
      </c>
    </row>
    <row r="5676" spans="1:24">
      <c r="A5676">
        <f>HYPERLINK("https://www.philgeps.gov.ph/GEPSNONPILOT/Tender/SplashBidNoticeAbstractUI.aspx?menuIndex=3&amp;refID=7043314&amp;Result=3","7043314")</f>
        <v>0</v>
      </c>
      <c r="B5676" t="s">
        <v>1862</v>
      </c>
      <c r="C5676" t="s">
        <v>8485</v>
      </c>
      <c r="D5676" t="s">
        <v>16203</v>
      </c>
      <c r="E5676" t="s">
        <v>21315</v>
      </c>
      <c r="F5676" t="s">
        <v>28198</v>
      </c>
      <c r="G5676" t="s">
        <v>28207</v>
      </c>
      <c r="H5676" t="s">
        <v>28215</v>
      </c>
      <c r="I5676" t="s">
        <v>5100</v>
      </c>
      <c r="J5676" t="s">
        <v>31954</v>
      </c>
      <c r="K5676" t="s">
        <v>36693</v>
      </c>
      <c r="M5676" t="s">
        <v>38990</v>
      </c>
      <c r="N5676" t="s">
        <v>40436</v>
      </c>
      <c r="O5676" t="s">
        <v>40437</v>
      </c>
      <c r="P5676">
        <v>0</v>
      </c>
      <c r="Q5676">
        <v>0</v>
      </c>
      <c r="R5676" t="s">
        <v>40442</v>
      </c>
      <c r="S5676" t="s">
        <v>40638</v>
      </c>
      <c r="T5676" t="s">
        <v>42317</v>
      </c>
      <c r="U5676" t="s">
        <v>47438</v>
      </c>
      <c r="W5676" t="s">
        <v>38990</v>
      </c>
      <c r="X5676" t="s">
        <v>40443</v>
      </c>
    </row>
    <row r="5677" spans="1:24">
      <c r="A5677">
        <f>HYPERLINK("https://www.philgeps.gov.ph/GEPSNONPILOT/Tender/SplashBidNoticeAbstractUI.aspx?menuIndex=3&amp;refID=7043348&amp;Result=3","7043348")</f>
        <v>0</v>
      </c>
      <c r="B5677" t="s">
        <v>1857</v>
      </c>
      <c r="C5677" t="s">
        <v>8486</v>
      </c>
      <c r="D5677" t="s">
        <v>16239</v>
      </c>
      <c r="E5677" t="s">
        <v>21316</v>
      </c>
      <c r="F5677" t="s">
        <v>28198</v>
      </c>
      <c r="G5677" t="s">
        <v>28207</v>
      </c>
      <c r="H5677" t="s">
        <v>28215</v>
      </c>
      <c r="I5677" t="s">
        <v>28225</v>
      </c>
      <c r="J5677" t="s">
        <v>31955</v>
      </c>
      <c r="K5677" t="s">
        <v>36707</v>
      </c>
      <c r="M5677" t="s">
        <v>38985</v>
      </c>
      <c r="N5677" t="s">
        <v>40436</v>
      </c>
      <c r="O5677" t="s">
        <v>40437</v>
      </c>
      <c r="P5677">
        <v>0</v>
      </c>
      <c r="Q5677">
        <v>5</v>
      </c>
      <c r="R5677" t="s">
        <v>40442</v>
      </c>
      <c r="S5677" t="s">
        <v>40638</v>
      </c>
      <c r="T5677" t="s">
        <v>42297</v>
      </c>
      <c r="U5677" t="s">
        <v>47430</v>
      </c>
      <c r="V5677" t="s">
        <v>54345</v>
      </c>
      <c r="W5677" t="s">
        <v>38985</v>
      </c>
      <c r="X5677" t="s">
        <v>40443</v>
      </c>
    </row>
    <row r="5678" spans="1:24">
      <c r="A5678">
        <f>HYPERLINK("https://www.philgeps.gov.ph/GEPSNONPILOT/Tender/SplashBidNoticeAbstractUI.aspx?menuIndex=3&amp;refID=7043325&amp;Result=3","7043325")</f>
        <v>0</v>
      </c>
      <c r="B5678" t="s">
        <v>1858</v>
      </c>
      <c r="C5678" t="s">
        <v>8487</v>
      </c>
      <c r="D5678" t="s">
        <v>16210</v>
      </c>
      <c r="E5678" t="s">
        <v>21317</v>
      </c>
      <c r="F5678" t="s">
        <v>28198</v>
      </c>
      <c r="G5678" t="s">
        <v>28205</v>
      </c>
      <c r="H5678" t="s">
        <v>28217</v>
      </c>
      <c r="I5678" t="s">
        <v>5100</v>
      </c>
      <c r="J5678" t="s">
        <v>31956</v>
      </c>
      <c r="K5678" t="s">
        <v>36688</v>
      </c>
      <c r="M5678" t="s">
        <v>38986</v>
      </c>
      <c r="N5678" t="s">
        <v>40436</v>
      </c>
      <c r="O5678" t="s">
        <v>40437</v>
      </c>
      <c r="P5678">
        <v>0</v>
      </c>
      <c r="Q5678">
        <v>1</v>
      </c>
      <c r="R5678" t="s">
        <v>40442</v>
      </c>
      <c r="S5678" t="s">
        <v>40638</v>
      </c>
      <c r="T5678" t="s">
        <v>42346</v>
      </c>
      <c r="U5678" t="s">
        <v>47439</v>
      </c>
      <c r="W5678" t="s">
        <v>38986</v>
      </c>
      <c r="X5678" t="s">
        <v>40443</v>
      </c>
    </row>
    <row r="5679" spans="1:24">
      <c r="A5679">
        <f>HYPERLINK("https://www.philgeps.gov.ph/GEPSNONPILOT/Tender/SplashBidNoticeAbstractUI.aspx?menuIndex=3&amp;refID=7043407&amp;Result=3","7043407")</f>
        <v>0</v>
      </c>
      <c r="B5679" t="s">
        <v>1863</v>
      </c>
      <c r="C5679" t="s">
        <v>8488</v>
      </c>
      <c r="D5679" t="s">
        <v>16215</v>
      </c>
      <c r="E5679" t="s">
        <v>21318</v>
      </c>
      <c r="F5679" t="s">
        <v>28198</v>
      </c>
      <c r="G5679" t="s">
        <v>28205</v>
      </c>
      <c r="H5679" t="s">
        <v>28215</v>
      </c>
      <c r="I5679" t="s">
        <v>5100</v>
      </c>
      <c r="J5679" t="s">
        <v>31957</v>
      </c>
      <c r="K5679" t="s">
        <v>36689</v>
      </c>
      <c r="M5679" t="s">
        <v>38991</v>
      </c>
      <c r="N5679" t="s">
        <v>40436</v>
      </c>
      <c r="O5679" t="s">
        <v>40437</v>
      </c>
      <c r="P5679">
        <v>0</v>
      </c>
      <c r="Q5679">
        <v>0</v>
      </c>
      <c r="R5679" t="s">
        <v>40442</v>
      </c>
      <c r="S5679" t="s">
        <v>40638</v>
      </c>
      <c r="T5679" t="s">
        <v>42129</v>
      </c>
      <c r="U5679" t="s">
        <v>47440</v>
      </c>
      <c r="W5679" t="s">
        <v>38991</v>
      </c>
      <c r="X5679" t="s">
        <v>40443</v>
      </c>
    </row>
    <row r="5680" spans="1:24">
      <c r="A5680">
        <f>HYPERLINK("https://www.philgeps.gov.ph/GEPSNONPILOT/Tender/SplashBidNoticeAbstractUI.aspx?menuIndex=3&amp;refID=7043318&amp;Result=3","7043318")</f>
        <v>0</v>
      </c>
      <c r="B5680" t="s">
        <v>1603</v>
      </c>
      <c r="C5680" t="s">
        <v>8489</v>
      </c>
      <c r="D5680" t="s">
        <v>16187</v>
      </c>
      <c r="E5680" t="s">
        <v>19285</v>
      </c>
      <c r="F5680" t="s">
        <v>28198</v>
      </c>
      <c r="G5680" t="s">
        <v>28205</v>
      </c>
      <c r="H5680" t="s">
        <v>28217</v>
      </c>
      <c r="I5680" t="s">
        <v>28227</v>
      </c>
      <c r="J5680" t="s">
        <v>31958</v>
      </c>
      <c r="K5680" t="s">
        <v>36688</v>
      </c>
      <c r="M5680" t="s">
        <v>38690</v>
      </c>
      <c r="N5680" t="s">
        <v>40436</v>
      </c>
      <c r="O5680" t="s">
        <v>40437</v>
      </c>
      <c r="P5680">
        <v>0</v>
      </c>
      <c r="Q5680">
        <v>0</v>
      </c>
      <c r="R5680" t="s">
        <v>40442</v>
      </c>
      <c r="S5680" t="s">
        <v>40638</v>
      </c>
      <c r="T5680" t="s">
        <v>42103</v>
      </c>
      <c r="U5680" t="s">
        <v>47441</v>
      </c>
      <c r="W5680" t="s">
        <v>38690</v>
      </c>
      <c r="X5680" t="s">
        <v>40443</v>
      </c>
    </row>
    <row r="5681" spans="1:24">
      <c r="A5681">
        <f>HYPERLINK("https://www.philgeps.gov.ph/GEPSNONPILOT/Tender/SplashBidNoticeAbstractUI.aspx?menuIndex=3&amp;refID=7043316&amp;Result=3","7043316")</f>
        <v>0</v>
      </c>
      <c r="B5681" t="s">
        <v>1864</v>
      </c>
      <c r="C5681" t="s">
        <v>8490</v>
      </c>
      <c r="D5681" t="s">
        <v>16199</v>
      </c>
      <c r="E5681" t="s">
        <v>21319</v>
      </c>
      <c r="F5681" t="s">
        <v>28198</v>
      </c>
      <c r="G5681" t="s">
        <v>28205</v>
      </c>
      <c r="H5681" t="s">
        <v>28214</v>
      </c>
      <c r="I5681" t="s">
        <v>3797</v>
      </c>
      <c r="J5681" t="s">
        <v>31959</v>
      </c>
      <c r="K5681" t="s">
        <v>36811</v>
      </c>
      <c r="M5681" t="s">
        <v>38992</v>
      </c>
      <c r="N5681" t="s">
        <v>40436</v>
      </c>
      <c r="O5681" t="s">
        <v>40437</v>
      </c>
      <c r="P5681">
        <v>0</v>
      </c>
      <c r="Q5681">
        <v>1</v>
      </c>
      <c r="R5681" t="s">
        <v>40442</v>
      </c>
      <c r="S5681" t="s">
        <v>40638</v>
      </c>
      <c r="T5681" t="s">
        <v>42212</v>
      </c>
      <c r="U5681" t="s">
        <v>47442</v>
      </c>
      <c r="V5681" t="s">
        <v>54347</v>
      </c>
      <c r="W5681" t="s">
        <v>38992</v>
      </c>
      <c r="X5681" t="s">
        <v>40443</v>
      </c>
    </row>
    <row r="5682" spans="1:24">
      <c r="A5682">
        <f>HYPERLINK("https://www.philgeps.gov.ph/GEPSNONPILOT/Tender/SplashBidNoticeAbstractUI.aspx?menuIndex=3&amp;refID=7043355&amp;Result=3","7043355")</f>
        <v>0</v>
      </c>
      <c r="B5682" t="s">
        <v>1865</v>
      </c>
      <c r="C5682" t="s">
        <v>8491</v>
      </c>
      <c r="D5682" t="s">
        <v>16206</v>
      </c>
      <c r="E5682" t="s">
        <v>21320</v>
      </c>
      <c r="F5682" t="s">
        <v>28198</v>
      </c>
      <c r="G5682" t="s">
        <v>28205</v>
      </c>
      <c r="H5682" t="s">
        <v>28215</v>
      </c>
      <c r="I5682" t="s">
        <v>28234</v>
      </c>
      <c r="J5682" t="s">
        <v>29401</v>
      </c>
      <c r="K5682" t="s">
        <v>36715</v>
      </c>
      <c r="M5682" t="s">
        <v>38993</v>
      </c>
      <c r="N5682" t="s">
        <v>40436</v>
      </c>
      <c r="O5682" t="s">
        <v>40437</v>
      </c>
      <c r="P5682">
        <v>0</v>
      </c>
      <c r="Q5682">
        <v>3</v>
      </c>
      <c r="R5682" t="s">
        <v>40442</v>
      </c>
      <c r="S5682" t="s">
        <v>40638</v>
      </c>
      <c r="T5682" t="s">
        <v>42426</v>
      </c>
      <c r="U5682" t="s">
        <v>47443</v>
      </c>
      <c r="W5682" t="s">
        <v>38993</v>
      </c>
      <c r="X5682" t="s">
        <v>40443</v>
      </c>
    </row>
    <row r="5683" spans="1:24">
      <c r="A5683">
        <f>HYPERLINK("https://www.philgeps.gov.ph/GEPSNONPILOT/Tender/SplashBidNoticeAbstractUI.aspx?menuIndex=3&amp;refID=7043437&amp;Result=3","7043437")</f>
        <v>0</v>
      </c>
      <c r="B5683" t="s">
        <v>926</v>
      </c>
      <c r="C5683" t="s">
        <v>8492</v>
      </c>
      <c r="D5683" t="s">
        <v>16242</v>
      </c>
      <c r="E5683" t="s">
        <v>21321</v>
      </c>
      <c r="F5683" t="s">
        <v>28198</v>
      </c>
      <c r="G5683" t="s">
        <v>28205</v>
      </c>
      <c r="H5683" t="s">
        <v>28214</v>
      </c>
      <c r="I5683" t="s">
        <v>3797</v>
      </c>
      <c r="J5683" t="s">
        <v>31960</v>
      </c>
      <c r="K5683" t="s">
        <v>36817</v>
      </c>
      <c r="M5683" t="s">
        <v>37945</v>
      </c>
      <c r="N5683" t="s">
        <v>40436</v>
      </c>
      <c r="O5683" t="s">
        <v>40437</v>
      </c>
      <c r="P5683">
        <v>0</v>
      </c>
      <c r="Q5683">
        <v>0</v>
      </c>
      <c r="R5683" t="s">
        <v>40442</v>
      </c>
      <c r="S5683" t="s">
        <v>40638</v>
      </c>
      <c r="T5683" t="s">
        <v>42390</v>
      </c>
      <c r="U5683" t="s">
        <v>47444</v>
      </c>
      <c r="V5683" t="s">
        <v>54348</v>
      </c>
      <c r="W5683" t="s">
        <v>37945</v>
      </c>
      <c r="X5683" t="s">
        <v>40443</v>
      </c>
    </row>
    <row r="5684" spans="1:24">
      <c r="A5684">
        <f>HYPERLINK("https://www.philgeps.gov.ph/GEPSNONPILOT/Tender/SplashBidNoticeAbstractUI.aspx?menuIndex=3&amp;refID=7043448&amp;Result=3","7043448")</f>
        <v>0</v>
      </c>
      <c r="B5684" t="s">
        <v>1863</v>
      </c>
      <c r="C5684" t="s">
        <v>8493</v>
      </c>
      <c r="D5684" t="s">
        <v>16215</v>
      </c>
      <c r="E5684" t="s">
        <v>21322</v>
      </c>
      <c r="F5684" t="s">
        <v>28198</v>
      </c>
      <c r="G5684" t="s">
        <v>28205</v>
      </c>
      <c r="H5684" t="s">
        <v>28215</v>
      </c>
      <c r="I5684" t="s">
        <v>5100</v>
      </c>
      <c r="J5684" t="s">
        <v>31961</v>
      </c>
      <c r="K5684" t="s">
        <v>36689</v>
      </c>
      <c r="M5684" t="s">
        <v>38991</v>
      </c>
      <c r="N5684" t="s">
        <v>40436</v>
      </c>
      <c r="O5684" t="s">
        <v>40437</v>
      </c>
      <c r="P5684">
        <v>0</v>
      </c>
      <c r="Q5684">
        <v>0</v>
      </c>
      <c r="R5684" t="s">
        <v>40442</v>
      </c>
      <c r="S5684" t="s">
        <v>40638</v>
      </c>
      <c r="T5684" t="s">
        <v>42129</v>
      </c>
      <c r="U5684" t="s">
        <v>47445</v>
      </c>
      <c r="W5684" t="s">
        <v>38991</v>
      </c>
      <c r="X5684" t="s">
        <v>40443</v>
      </c>
    </row>
    <row r="5685" spans="1:24">
      <c r="A5685">
        <f>HYPERLINK("https://www.philgeps.gov.ph/GEPSNONPILOT/Tender/SplashBidNoticeAbstractUI.aspx?menuIndex=3&amp;refID=7043422&amp;Result=3","7043422")</f>
        <v>0</v>
      </c>
      <c r="B5685" t="s">
        <v>1866</v>
      </c>
      <c r="C5685" t="s">
        <v>8494</v>
      </c>
      <c r="D5685" t="s">
        <v>16243</v>
      </c>
      <c r="E5685" t="s">
        <v>21323</v>
      </c>
      <c r="F5685" t="s">
        <v>28198</v>
      </c>
      <c r="G5685" t="s">
        <v>28205</v>
      </c>
      <c r="H5685" t="s">
        <v>28214</v>
      </c>
      <c r="I5685" t="s">
        <v>3797</v>
      </c>
      <c r="J5685" t="s">
        <v>31962</v>
      </c>
      <c r="K5685" t="s">
        <v>36690</v>
      </c>
      <c r="M5685" t="s">
        <v>38994</v>
      </c>
      <c r="N5685" t="s">
        <v>40436</v>
      </c>
      <c r="O5685" t="s">
        <v>40437</v>
      </c>
      <c r="P5685">
        <v>0</v>
      </c>
      <c r="Q5685">
        <v>0</v>
      </c>
      <c r="R5685" t="s">
        <v>40442</v>
      </c>
      <c r="S5685" t="s">
        <v>40638</v>
      </c>
      <c r="T5685" t="s">
        <v>42390</v>
      </c>
      <c r="U5685" t="s">
        <v>47446</v>
      </c>
      <c r="W5685" t="s">
        <v>38994</v>
      </c>
      <c r="X5685" t="s">
        <v>40443</v>
      </c>
    </row>
    <row r="5686" spans="1:24">
      <c r="A5686">
        <f>HYPERLINK("https://www.philgeps.gov.ph/GEPSNONPILOT/Tender/SplashBidNoticeAbstractUI.aspx?menuIndex=3&amp;refID=7043423&amp;Result=3","7043423")</f>
        <v>0</v>
      </c>
      <c r="B5686" t="s">
        <v>1867</v>
      </c>
      <c r="C5686" t="s">
        <v>8495</v>
      </c>
      <c r="D5686" t="s">
        <v>16247</v>
      </c>
      <c r="E5686" t="s">
        <v>21324</v>
      </c>
      <c r="F5686" t="s">
        <v>28198</v>
      </c>
      <c r="G5686" t="s">
        <v>28207</v>
      </c>
      <c r="H5686" t="s">
        <v>28214</v>
      </c>
      <c r="I5686" t="s">
        <v>28255</v>
      </c>
      <c r="J5686" t="s">
        <v>31963</v>
      </c>
      <c r="K5686" t="s">
        <v>36701</v>
      </c>
      <c r="M5686" t="s">
        <v>38995</v>
      </c>
      <c r="N5686" t="s">
        <v>40436</v>
      </c>
      <c r="O5686" t="s">
        <v>40437</v>
      </c>
      <c r="P5686">
        <v>0</v>
      </c>
      <c r="Q5686">
        <v>5</v>
      </c>
      <c r="R5686" t="s">
        <v>40442</v>
      </c>
      <c r="S5686" t="s">
        <v>40638</v>
      </c>
      <c r="T5686" t="s">
        <v>42169</v>
      </c>
      <c r="U5686" t="s">
        <v>47447</v>
      </c>
      <c r="W5686" t="s">
        <v>38995</v>
      </c>
      <c r="X5686" t="s">
        <v>40443</v>
      </c>
    </row>
    <row r="5687" spans="1:24">
      <c r="A5687">
        <f>HYPERLINK("https://www.philgeps.gov.ph/GEPSNONPILOT/Tender/SplashBidNoticeAbstractUI.aspx?menuIndex=3&amp;refID=7043412&amp;Result=3","7043412")</f>
        <v>0</v>
      </c>
      <c r="B5687" t="s">
        <v>563</v>
      </c>
      <c r="C5687" t="s">
        <v>8496</v>
      </c>
      <c r="D5687" t="s">
        <v>16241</v>
      </c>
      <c r="E5687" t="s">
        <v>21325</v>
      </c>
      <c r="F5687" t="s">
        <v>28198</v>
      </c>
      <c r="G5687" t="s">
        <v>28205</v>
      </c>
      <c r="H5687" t="s">
        <v>28214</v>
      </c>
      <c r="I5687" t="s">
        <v>3797</v>
      </c>
      <c r="J5687" t="s">
        <v>31964</v>
      </c>
      <c r="K5687" t="s">
        <v>36692</v>
      </c>
      <c r="M5687" t="s">
        <v>38996</v>
      </c>
      <c r="N5687" t="s">
        <v>40436</v>
      </c>
      <c r="O5687" t="s">
        <v>40437</v>
      </c>
      <c r="P5687">
        <v>0</v>
      </c>
      <c r="Q5687">
        <v>1</v>
      </c>
      <c r="R5687" t="s">
        <v>40442</v>
      </c>
      <c r="S5687" t="s">
        <v>40638</v>
      </c>
      <c r="T5687" t="s">
        <v>42428</v>
      </c>
      <c r="U5687" t="s">
        <v>47448</v>
      </c>
      <c r="W5687" t="s">
        <v>38996</v>
      </c>
      <c r="X5687" t="s">
        <v>40443</v>
      </c>
    </row>
    <row r="5688" spans="1:24">
      <c r="A5688">
        <f>HYPERLINK("https://www.philgeps.gov.ph/GEPSNONPILOT/Tender/SplashBidNoticeAbstractUI.aspx?menuIndex=3&amp;refID=7043447&amp;Result=3","7043447")</f>
        <v>0</v>
      </c>
      <c r="B5688" t="s">
        <v>1866</v>
      </c>
      <c r="C5688" t="s">
        <v>8497</v>
      </c>
      <c r="D5688" t="s">
        <v>16243</v>
      </c>
      <c r="E5688" t="s">
        <v>21326</v>
      </c>
      <c r="F5688" t="s">
        <v>28198</v>
      </c>
      <c r="G5688" t="s">
        <v>28205</v>
      </c>
      <c r="H5688" t="s">
        <v>28214</v>
      </c>
      <c r="I5688" t="s">
        <v>3797</v>
      </c>
      <c r="J5688" t="s">
        <v>31965</v>
      </c>
      <c r="K5688" t="s">
        <v>36809</v>
      </c>
      <c r="M5688" t="s">
        <v>38994</v>
      </c>
      <c r="N5688" t="s">
        <v>40436</v>
      </c>
      <c r="O5688" t="s">
        <v>40437</v>
      </c>
      <c r="P5688">
        <v>0</v>
      </c>
      <c r="Q5688">
        <v>0</v>
      </c>
      <c r="R5688" t="s">
        <v>40442</v>
      </c>
      <c r="S5688" t="s">
        <v>40638</v>
      </c>
      <c r="T5688" t="s">
        <v>42390</v>
      </c>
      <c r="U5688" t="s">
        <v>47449</v>
      </c>
      <c r="W5688" t="s">
        <v>38994</v>
      </c>
      <c r="X5688" t="s">
        <v>40443</v>
      </c>
    </row>
    <row r="5689" spans="1:24">
      <c r="A5689">
        <f>HYPERLINK("https://www.philgeps.gov.ph/GEPSNONPILOT/Tender/SplashBidNoticeAbstractUI.aspx?menuIndex=3&amp;refID=7043486&amp;Result=3","7043486")</f>
        <v>0</v>
      </c>
      <c r="B5689" t="s">
        <v>346</v>
      </c>
      <c r="C5689" t="s">
        <v>8498</v>
      </c>
      <c r="D5689" t="s">
        <v>16217</v>
      </c>
      <c r="E5689" t="s">
        <v>21327</v>
      </c>
      <c r="F5689" t="s">
        <v>28198</v>
      </c>
      <c r="G5689" t="s">
        <v>28205</v>
      </c>
      <c r="H5689" t="s">
        <v>28214</v>
      </c>
      <c r="I5689" t="s">
        <v>3797</v>
      </c>
      <c r="J5689" t="s">
        <v>31966</v>
      </c>
      <c r="K5689" t="s">
        <v>36694</v>
      </c>
      <c r="M5689" t="s">
        <v>37325</v>
      </c>
      <c r="N5689" t="s">
        <v>40436</v>
      </c>
      <c r="O5689" t="s">
        <v>40437</v>
      </c>
      <c r="P5689">
        <v>0</v>
      </c>
      <c r="Q5689">
        <v>0</v>
      </c>
      <c r="R5689" t="s">
        <v>40442</v>
      </c>
      <c r="S5689" t="s">
        <v>40638</v>
      </c>
      <c r="T5689" t="s">
        <v>42168</v>
      </c>
      <c r="U5689" t="s">
        <v>47450</v>
      </c>
      <c r="W5689" t="s">
        <v>37325</v>
      </c>
      <c r="X5689" t="s">
        <v>40443</v>
      </c>
    </row>
    <row r="5690" spans="1:24">
      <c r="A5690">
        <f>HYPERLINK("https://www.philgeps.gov.ph/GEPSNONPILOT/Tender/SplashBidNoticeAbstractUI.aspx?menuIndex=3&amp;refID=7043431&amp;Result=3","7043431")</f>
        <v>0</v>
      </c>
      <c r="B5690" t="s">
        <v>1866</v>
      </c>
      <c r="C5690" t="s">
        <v>8499</v>
      </c>
      <c r="D5690" t="s">
        <v>16243</v>
      </c>
      <c r="E5690" t="s">
        <v>21328</v>
      </c>
      <c r="F5690" t="s">
        <v>28198</v>
      </c>
      <c r="G5690" t="s">
        <v>28205</v>
      </c>
      <c r="H5690" t="s">
        <v>28214</v>
      </c>
      <c r="I5690" t="s">
        <v>3797</v>
      </c>
      <c r="J5690" t="s">
        <v>31967</v>
      </c>
      <c r="K5690" t="s">
        <v>36735</v>
      </c>
      <c r="M5690" t="s">
        <v>38994</v>
      </c>
      <c r="N5690" t="s">
        <v>40436</v>
      </c>
      <c r="O5690" t="s">
        <v>40437</v>
      </c>
      <c r="P5690">
        <v>0</v>
      </c>
      <c r="Q5690">
        <v>0</v>
      </c>
      <c r="R5690" t="s">
        <v>40442</v>
      </c>
      <c r="S5690" t="s">
        <v>40638</v>
      </c>
      <c r="T5690" t="s">
        <v>42390</v>
      </c>
      <c r="U5690" t="s">
        <v>47451</v>
      </c>
      <c r="W5690" t="s">
        <v>38994</v>
      </c>
      <c r="X5690" t="s">
        <v>40443</v>
      </c>
    </row>
    <row r="5691" spans="1:24">
      <c r="A5691">
        <f>HYPERLINK("https://www.philgeps.gov.ph/GEPSNONPILOT/Tender/SplashBidNoticeAbstractUI.aspx?menuIndex=3&amp;refID=7043479&amp;Result=3","7043479")</f>
        <v>0</v>
      </c>
      <c r="B5691" t="s">
        <v>346</v>
      </c>
      <c r="C5691" t="s">
        <v>8500</v>
      </c>
      <c r="D5691" t="s">
        <v>16217</v>
      </c>
      <c r="E5691" t="s">
        <v>21329</v>
      </c>
      <c r="F5691" t="s">
        <v>28198</v>
      </c>
      <c r="G5691" t="s">
        <v>28205</v>
      </c>
      <c r="H5691" t="s">
        <v>28214</v>
      </c>
      <c r="I5691" t="s">
        <v>3797</v>
      </c>
      <c r="J5691" t="s">
        <v>28561</v>
      </c>
      <c r="K5691" t="s">
        <v>36694</v>
      </c>
      <c r="M5691" t="s">
        <v>37325</v>
      </c>
      <c r="N5691" t="s">
        <v>40436</v>
      </c>
      <c r="O5691" t="s">
        <v>40437</v>
      </c>
      <c r="P5691">
        <v>0</v>
      </c>
      <c r="Q5691">
        <v>0</v>
      </c>
      <c r="R5691" t="s">
        <v>40442</v>
      </c>
      <c r="S5691" t="s">
        <v>40638</v>
      </c>
      <c r="T5691" t="s">
        <v>42168</v>
      </c>
      <c r="U5691" t="s">
        <v>47452</v>
      </c>
      <c r="W5691" t="s">
        <v>37325</v>
      </c>
      <c r="X5691" t="s">
        <v>40443</v>
      </c>
    </row>
    <row r="5692" spans="1:24">
      <c r="A5692">
        <f>HYPERLINK("https://www.philgeps.gov.ph/GEPSNONPILOT/Tender/SplashBidNoticeAbstractUI.aspx?menuIndex=3&amp;refID=7043472&amp;Result=3","7043472")</f>
        <v>0</v>
      </c>
      <c r="B5692" t="s">
        <v>1866</v>
      </c>
      <c r="C5692" t="s">
        <v>3313</v>
      </c>
      <c r="D5692" t="s">
        <v>16243</v>
      </c>
      <c r="E5692" t="s">
        <v>21330</v>
      </c>
      <c r="F5692" t="s">
        <v>28198</v>
      </c>
      <c r="G5692" t="s">
        <v>28206</v>
      </c>
      <c r="H5692" t="s">
        <v>28215</v>
      </c>
      <c r="I5692" t="s">
        <v>5082</v>
      </c>
      <c r="J5692" t="s">
        <v>31968</v>
      </c>
      <c r="K5692" t="s">
        <v>36688</v>
      </c>
      <c r="M5692" t="s">
        <v>38994</v>
      </c>
      <c r="N5692" t="s">
        <v>40436</v>
      </c>
      <c r="O5692" t="s">
        <v>40437</v>
      </c>
      <c r="P5692">
        <v>0</v>
      </c>
      <c r="Q5692">
        <v>3</v>
      </c>
      <c r="R5692" t="s">
        <v>40442</v>
      </c>
      <c r="S5692" t="s">
        <v>40638</v>
      </c>
      <c r="T5692" t="s">
        <v>42233</v>
      </c>
      <c r="U5692" t="s">
        <v>42814</v>
      </c>
      <c r="W5692" t="s">
        <v>38994</v>
      </c>
      <c r="X5692" t="s">
        <v>40443</v>
      </c>
    </row>
    <row r="5693" spans="1:24">
      <c r="A5693">
        <f>HYPERLINK("https://www.philgeps.gov.ph/GEPSNONPILOT/Tender/SplashBidNoticeAbstractUI.aspx?menuIndex=3&amp;refID=7043442&amp;Result=3","7043442")</f>
        <v>0</v>
      </c>
      <c r="B5693" t="s">
        <v>1868</v>
      </c>
      <c r="C5693" t="s">
        <v>8501</v>
      </c>
      <c r="E5693" t="s">
        <v>21331</v>
      </c>
      <c r="F5693" t="s">
        <v>28198</v>
      </c>
      <c r="G5693" t="s">
        <v>28205</v>
      </c>
      <c r="H5693" t="s">
        <v>28215</v>
      </c>
      <c r="I5693" t="s">
        <v>28218</v>
      </c>
      <c r="J5693" t="s">
        <v>31969</v>
      </c>
      <c r="K5693" t="s">
        <v>36689</v>
      </c>
      <c r="M5693" t="s">
        <v>38997</v>
      </c>
      <c r="N5693" t="s">
        <v>40436</v>
      </c>
      <c r="O5693" t="s">
        <v>40437</v>
      </c>
      <c r="P5693">
        <v>0</v>
      </c>
      <c r="Q5693">
        <v>0</v>
      </c>
      <c r="R5693" t="s">
        <v>40442</v>
      </c>
      <c r="S5693" t="s">
        <v>40638</v>
      </c>
      <c r="T5693" t="s">
        <v>42142</v>
      </c>
      <c r="U5693" t="s">
        <v>47453</v>
      </c>
      <c r="W5693" t="s">
        <v>38997</v>
      </c>
      <c r="X5693" t="s">
        <v>40443</v>
      </c>
    </row>
    <row r="5694" spans="1:24">
      <c r="A5694">
        <f>HYPERLINK("https://www.philgeps.gov.ph/GEPSNONPILOT/Tender/SplashBidNoticeAbstractUI.aspx?menuIndex=3&amp;refID=7043482&amp;Result=3","7043482")</f>
        <v>0</v>
      </c>
      <c r="B5694" t="s">
        <v>1402</v>
      </c>
      <c r="C5694" t="s">
        <v>8502</v>
      </c>
      <c r="D5694" t="s">
        <v>16210</v>
      </c>
      <c r="E5694" t="s">
        <v>21332</v>
      </c>
      <c r="F5694" t="s">
        <v>28198</v>
      </c>
      <c r="G5694" t="s">
        <v>28205</v>
      </c>
      <c r="H5694" t="s">
        <v>28215</v>
      </c>
      <c r="I5694" t="s">
        <v>5791</v>
      </c>
      <c r="J5694" t="s">
        <v>31484</v>
      </c>
      <c r="K5694" t="s">
        <v>36688</v>
      </c>
      <c r="M5694" t="s">
        <v>38467</v>
      </c>
      <c r="N5694" t="s">
        <v>40436</v>
      </c>
      <c r="O5694" t="s">
        <v>40437</v>
      </c>
      <c r="P5694">
        <v>0</v>
      </c>
      <c r="Q5694">
        <v>0</v>
      </c>
      <c r="R5694" t="s">
        <v>40442</v>
      </c>
      <c r="S5694" t="s">
        <v>40638</v>
      </c>
      <c r="T5694" t="s">
        <v>42164</v>
      </c>
      <c r="U5694" t="s">
        <v>47454</v>
      </c>
      <c r="W5694" t="s">
        <v>38467</v>
      </c>
      <c r="X5694" t="s">
        <v>40443</v>
      </c>
    </row>
    <row r="5695" spans="1:24">
      <c r="A5695">
        <f>HYPERLINK("https://www.philgeps.gov.ph/GEPSNONPILOT/Tender/SplashBidNoticeAbstractUI.aspx?menuIndex=3&amp;refID=7043478&amp;Result=3","7043478")</f>
        <v>0</v>
      </c>
      <c r="B5695" t="s">
        <v>1402</v>
      </c>
      <c r="C5695" t="s">
        <v>8503</v>
      </c>
      <c r="D5695" t="s">
        <v>16210</v>
      </c>
      <c r="E5695" t="s">
        <v>21333</v>
      </c>
      <c r="F5695" t="s">
        <v>28198</v>
      </c>
      <c r="G5695" t="s">
        <v>28207</v>
      </c>
      <c r="H5695" t="s">
        <v>28215</v>
      </c>
      <c r="I5695" t="s">
        <v>28262</v>
      </c>
      <c r="J5695" t="s">
        <v>28352</v>
      </c>
      <c r="K5695" t="s">
        <v>36688</v>
      </c>
      <c r="M5695" t="s">
        <v>38467</v>
      </c>
      <c r="N5695" t="s">
        <v>40436</v>
      </c>
      <c r="O5695" t="s">
        <v>40437</v>
      </c>
      <c r="P5695">
        <v>0</v>
      </c>
      <c r="Q5695">
        <v>3</v>
      </c>
      <c r="R5695" t="s">
        <v>40442</v>
      </c>
      <c r="S5695" t="s">
        <v>40638</v>
      </c>
      <c r="T5695" t="s">
        <v>42218</v>
      </c>
      <c r="U5695" t="s">
        <v>47455</v>
      </c>
      <c r="W5695" t="s">
        <v>38467</v>
      </c>
      <c r="X5695" t="s">
        <v>40443</v>
      </c>
    </row>
    <row r="5696" spans="1:24">
      <c r="A5696">
        <f>HYPERLINK("https://www.philgeps.gov.ph/GEPSNONPILOT/Tender/SplashBidNoticeAbstractUI.aspx?menuIndex=3&amp;refID=7043470&amp;Result=3","7043470")</f>
        <v>0</v>
      </c>
      <c r="B5696" t="s">
        <v>845</v>
      </c>
      <c r="C5696" t="s">
        <v>8504</v>
      </c>
      <c r="D5696" t="s">
        <v>16241</v>
      </c>
      <c r="E5696" t="s">
        <v>8504</v>
      </c>
      <c r="F5696" t="s">
        <v>28198</v>
      </c>
      <c r="G5696" t="s">
        <v>28205</v>
      </c>
      <c r="H5696" t="s">
        <v>28214</v>
      </c>
      <c r="I5696" t="s">
        <v>3797</v>
      </c>
      <c r="J5696" t="s">
        <v>31970</v>
      </c>
      <c r="K5696" t="s">
        <v>36692</v>
      </c>
      <c r="M5696" t="s">
        <v>38998</v>
      </c>
      <c r="N5696" t="s">
        <v>40436</v>
      </c>
      <c r="O5696" t="s">
        <v>40437</v>
      </c>
      <c r="P5696">
        <v>0</v>
      </c>
      <c r="Q5696">
        <v>2</v>
      </c>
      <c r="R5696" t="s">
        <v>40442</v>
      </c>
      <c r="S5696" t="s">
        <v>40638</v>
      </c>
      <c r="T5696" t="s">
        <v>42118</v>
      </c>
      <c r="U5696" t="s">
        <v>47456</v>
      </c>
      <c r="W5696" t="s">
        <v>38998</v>
      </c>
      <c r="X5696" t="s">
        <v>40443</v>
      </c>
    </row>
    <row r="5697" spans="1:24">
      <c r="A5697">
        <f>HYPERLINK("https://www.philgeps.gov.ph/GEPSNONPILOT/Tender/SplashBidNoticeAbstractUI.aspx?menuIndex=3&amp;refID=7043503&amp;Result=3","7043503")</f>
        <v>0</v>
      </c>
      <c r="B5697" t="s">
        <v>1869</v>
      </c>
      <c r="C5697" t="s">
        <v>8505</v>
      </c>
      <c r="D5697" t="s">
        <v>16264</v>
      </c>
      <c r="E5697" t="s">
        <v>17254</v>
      </c>
      <c r="F5697" t="s">
        <v>28198</v>
      </c>
      <c r="G5697" t="s">
        <v>28205</v>
      </c>
      <c r="H5697" t="s">
        <v>28214</v>
      </c>
      <c r="I5697" t="s">
        <v>3797</v>
      </c>
      <c r="J5697" t="s">
        <v>31971</v>
      </c>
      <c r="K5697" t="s">
        <v>36687</v>
      </c>
      <c r="M5697" t="s">
        <v>38999</v>
      </c>
      <c r="N5697" t="s">
        <v>40436</v>
      </c>
      <c r="O5697" t="s">
        <v>40437</v>
      </c>
      <c r="P5697">
        <v>0</v>
      </c>
      <c r="Q5697">
        <v>0</v>
      </c>
      <c r="R5697" t="s">
        <v>40442</v>
      </c>
      <c r="S5697" t="s">
        <v>40638</v>
      </c>
      <c r="T5697" t="s">
        <v>42103</v>
      </c>
      <c r="U5697" t="s">
        <v>47457</v>
      </c>
      <c r="W5697" t="s">
        <v>38999</v>
      </c>
      <c r="X5697" t="s">
        <v>40443</v>
      </c>
    </row>
    <row r="5698" spans="1:24">
      <c r="A5698">
        <f>HYPERLINK("https://www.philgeps.gov.ph/GEPSNONPILOT/Tender/SplashBidNoticeAbstractUI.aspx?menuIndex=3&amp;refID=7043441&amp;Result=3","7043441")</f>
        <v>0</v>
      </c>
      <c r="B5698" t="s">
        <v>926</v>
      </c>
      <c r="C5698" t="s">
        <v>8506</v>
      </c>
      <c r="D5698" t="s">
        <v>16242</v>
      </c>
      <c r="E5698" t="s">
        <v>21334</v>
      </c>
      <c r="F5698" t="s">
        <v>28198</v>
      </c>
      <c r="G5698" t="s">
        <v>28205</v>
      </c>
      <c r="H5698" t="s">
        <v>28214</v>
      </c>
      <c r="I5698" t="s">
        <v>3797</v>
      </c>
      <c r="J5698" t="s">
        <v>31972</v>
      </c>
      <c r="K5698" t="s">
        <v>36832</v>
      </c>
      <c r="M5698" t="s">
        <v>37945</v>
      </c>
      <c r="N5698" t="s">
        <v>40436</v>
      </c>
      <c r="O5698" t="s">
        <v>40437</v>
      </c>
      <c r="P5698">
        <v>0</v>
      </c>
      <c r="Q5698">
        <v>0</v>
      </c>
      <c r="R5698" t="s">
        <v>40442</v>
      </c>
      <c r="S5698" t="s">
        <v>40638</v>
      </c>
      <c r="T5698" t="s">
        <v>42390</v>
      </c>
      <c r="U5698" t="s">
        <v>47458</v>
      </c>
      <c r="V5698" t="s">
        <v>54349</v>
      </c>
      <c r="W5698" t="s">
        <v>37945</v>
      </c>
      <c r="X5698" t="s">
        <v>40443</v>
      </c>
    </row>
    <row r="5699" spans="1:24">
      <c r="A5699">
        <f>HYPERLINK("https://www.philgeps.gov.ph/GEPSNONPILOT/Tender/SplashBidNoticeAbstractUI.aspx?menuIndex=3&amp;refID=7043490&amp;Result=3","7043490")</f>
        <v>0</v>
      </c>
      <c r="B5699" t="s">
        <v>1870</v>
      </c>
      <c r="C5699" t="s">
        <v>8507</v>
      </c>
      <c r="D5699" t="s">
        <v>16203</v>
      </c>
      <c r="E5699" t="s">
        <v>21335</v>
      </c>
      <c r="F5699" t="s">
        <v>28198</v>
      </c>
      <c r="G5699" t="s">
        <v>28207</v>
      </c>
      <c r="H5699" t="s">
        <v>28216</v>
      </c>
      <c r="I5699" t="s">
        <v>28216</v>
      </c>
      <c r="J5699" t="s">
        <v>28430</v>
      </c>
      <c r="K5699" t="s">
        <v>36728</v>
      </c>
      <c r="M5699" t="s">
        <v>39000</v>
      </c>
      <c r="N5699" t="s">
        <v>40436</v>
      </c>
      <c r="O5699" t="s">
        <v>40437</v>
      </c>
      <c r="P5699">
        <v>0</v>
      </c>
      <c r="Q5699">
        <v>0</v>
      </c>
      <c r="R5699" t="s">
        <v>40442</v>
      </c>
      <c r="S5699" t="s">
        <v>40638</v>
      </c>
      <c r="T5699" t="s">
        <v>42111</v>
      </c>
      <c r="U5699" t="s">
        <v>47459</v>
      </c>
      <c r="V5699" t="s">
        <v>54350</v>
      </c>
      <c r="W5699" t="s">
        <v>39000</v>
      </c>
      <c r="X5699" t="s">
        <v>40443</v>
      </c>
    </row>
    <row r="5700" spans="1:24">
      <c r="A5700">
        <f>HYPERLINK("https://www.philgeps.gov.ph/GEPSNONPILOT/Tender/SplashBidNoticeAbstractUI.aspx?menuIndex=3&amp;refID=7043408&amp;Result=3","7043408")</f>
        <v>0</v>
      </c>
      <c r="B5700" t="s">
        <v>563</v>
      </c>
      <c r="C5700" t="s">
        <v>8508</v>
      </c>
      <c r="D5700" t="s">
        <v>16241</v>
      </c>
      <c r="E5700" t="s">
        <v>21336</v>
      </c>
      <c r="F5700" t="s">
        <v>28198</v>
      </c>
      <c r="G5700" t="s">
        <v>28205</v>
      </c>
      <c r="H5700" t="s">
        <v>28214</v>
      </c>
      <c r="I5700" t="s">
        <v>3797</v>
      </c>
      <c r="J5700" t="s">
        <v>28730</v>
      </c>
      <c r="K5700" t="s">
        <v>36692</v>
      </c>
      <c r="M5700" t="s">
        <v>38996</v>
      </c>
      <c r="N5700" t="s">
        <v>40436</v>
      </c>
      <c r="O5700" t="s">
        <v>40437</v>
      </c>
      <c r="P5700">
        <v>0</v>
      </c>
      <c r="Q5700">
        <v>2</v>
      </c>
      <c r="R5700" t="s">
        <v>40442</v>
      </c>
      <c r="S5700" t="s">
        <v>40638</v>
      </c>
      <c r="T5700" t="s">
        <v>42428</v>
      </c>
      <c r="U5700" t="s">
        <v>47460</v>
      </c>
      <c r="W5700" t="s">
        <v>38996</v>
      </c>
      <c r="X5700" t="s">
        <v>40443</v>
      </c>
    </row>
    <row r="5701" spans="1:24">
      <c r="A5701">
        <f>HYPERLINK("https://www.philgeps.gov.ph/GEPSNONPILOT/Tender/SplashBidNoticeAbstractUI.aspx?menuIndex=3&amp;refID=7043415&amp;Result=3","7043415")</f>
        <v>0</v>
      </c>
      <c r="B5701" t="s">
        <v>1863</v>
      </c>
      <c r="C5701" t="s">
        <v>8509</v>
      </c>
      <c r="D5701" t="s">
        <v>16215</v>
      </c>
      <c r="E5701" t="s">
        <v>21337</v>
      </c>
      <c r="F5701" t="s">
        <v>28198</v>
      </c>
      <c r="G5701" t="s">
        <v>28205</v>
      </c>
      <c r="H5701" t="s">
        <v>28215</v>
      </c>
      <c r="I5701" t="s">
        <v>5100</v>
      </c>
      <c r="J5701" t="s">
        <v>31973</v>
      </c>
      <c r="K5701" t="s">
        <v>36689</v>
      </c>
      <c r="M5701" t="s">
        <v>38991</v>
      </c>
      <c r="N5701" t="s">
        <v>40436</v>
      </c>
      <c r="O5701" t="s">
        <v>40437</v>
      </c>
      <c r="P5701">
        <v>0</v>
      </c>
      <c r="Q5701">
        <v>0</v>
      </c>
      <c r="R5701" t="s">
        <v>40442</v>
      </c>
      <c r="S5701" t="s">
        <v>40638</v>
      </c>
      <c r="T5701" t="s">
        <v>42129</v>
      </c>
      <c r="U5701" t="s">
        <v>47461</v>
      </c>
      <c r="W5701" t="s">
        <v>38991</v>
      </c>
      <c r="X5701" t="s">
        <v>40443</v>
      </c>
    </row>
    <row r="5702" spans="1:24">
      <c r="A5702">
        <f>HYPERLINK("https://www.philgeps.gov.ph/GEPSNONPILOT/Tender/SplashBidNoticeAbstractUI.aspx?menuIndex=3&amp;refID=7043516&amp;Result=3","7043516")</f>
        <v>0</v>
      </c>
      <c r="B5702" t="s">
        <v>940</v>
      </c>
      <c r="C5702" t="s">
        <v>8510</v>
      </c>
      <c r="D5702" t="s">
        <v>16210</v>
      </c>
      <c r="E5702" t="s">
        <v>21338</v>
      </c>
      <c r="F5702" t="s">
        <v>28198</v>
      </c>
      <c r="G5702" t="s">
        <v>28210</v>
      </c>
      <c r="H5702" t="s">
        <v>28215</v>
      </c>
      <c r="I5702" t="s">
        <v>4168</v>
      </c>
      <c r="J5702" t="s">
        <v>30244</v>
      </c>
      <c r="K5702" t="s">
        <v>36708</v>
      </c>
      <c r="M5702" t="s">
        <v>39001</v>
      </c>
      <c r="N5702" t="s">
        <v>40436</v>
      </c>
      <c r="O5702" t="s">
        <v>40437</v>
      </c>
      <c r="P5702">
        <v>0</v>
      </c>
      <c r="Q5702">
        <v>15</v>
      </c>
      <c r="R5702" t="s">
        <v>40442</v>
      </c>
      <c r="S5702" t="s">
        <v>40638</v>
      </c>
      <c r="T5702" t="s">
        <v>42129</v>
      </c>
      <c r="U5702" t="s">
        <v>47462</v>
      </c>
      <c r="V5702" t="s">
        <v>54351</v>
      </c>
      <c r="W5702" t="s">
        <v>39001</v>
      </c>
      <c r="X5702" t="s">
        <v>40443</v>
      </c>
    </row>
    <row r="5703" spans="1:24">
      <c r="A5703">
        <f>HYPERLINK("https://www.philgeps.gov.ph/GEPSNONPILOT/Tender/SplashBidNoticeAbstractUI.aspx?menuIndex=3&amp;refID=7043509&amp;Result=3","7043509")</f>
        <v>0</v>
      </c>
      <c r="B5703" t="s">
        <v>940</v>
      </c>
      <c r="C5703" t="s">
        <v>8511</v>
      </c>
      <c r="D5703" t="s">
        <v>16210</v>
      </c>
      <c r="E5703" t="s">
        <v>21339</v>
      </c>
      <c r="F5703" t="s">
        <v>28198</v>
      </c>
      <c r="G5703" t="s">
        <v>28210</v>
      </c>
      <c r="H5703" t="s">
        <v>28215</v>
      </c>
      <c r="I5703" t="s">
        <v>28233</v>
      </c>
      <c r="J5703" t="s">
        <v>28629</v>
      </c>
      <c r="K5703" t="s">
        <v>36687</v>
      </c>
      <c r="M5703" t="s">
        <v>39001</v>
      </c>
      <c r="N5703" t="s">
        <v>40436</v>
      </c>
      <c r="O5703" t="s">
        <v>40437</v>
      </c>
      <c r="P5703">
        <v>0</v>
      </c>
      <c r="Q5703">
        <v>8</v>
      </c>
      <c r="R5703" t="s">
        <v>40442</v>
      </c>
      <c r="S5703" t="s">
        <v>40638</v>
      </c>
      <c r="T5703" t="s">
        <v>42277</v>
      </c>
      <c r="U5703" t="s">
        <v>47462</v>
      </c>
      <c r="V5703" t="s">
        <v>54352</v>
      </c>
      <c r="W5703" t="s">
        <v>39001</v>
      </c>
      <c r="X5703" t="s">
        <v>40443</v>
      </c>
    </row>
    <row r="5704" spans="1:24">
      <c r="A5704">
        <f>HYPERLINK("https://www.philgeps.gov.ph/GEPSNONPILOT/Tender/SplashBidNoticeAbstractUI.aspx?menuIndex=3&amp;refID=7043562&amp;Result=3","7043562")</f>
        <v>0</v>
      </c>
      <c r="B5704" t="s">
        <v>1402</v>
      </c>
      <c r="C5704" t="s">
        <v>8512</v>
      </c>
      <c r="D5704" t="s">
        <v>16210</v>
      </c>
      <c r="E5704" t="s">
        <v>21340</v>
      </c>
      <c r="F5704" t="s">
        <v>28198</v>
      </c>
      <c r="G5704" t="s">
        <v>28205</v>
      </c>
      <c r="H5704" t="s">
        <v>28215</v>
      </c>
      <c r="I5704" t="s">
        <v>5100</v>
      </c>
      <c r="J5704" t="s">
        <v>31974</v>
      </c>
      <c r="K5704" t="s">
        <v>36688</v>
      </c>
      <c r="M5704" t="s">
        <v>38467</v>
      </c>
      <c r="N5704" t="s">
        <v>40436</v>
      </c>
      <c r="O5704" t="s">
        <v>40437</v>
      </c>
      <c r="P5704">
        <v>0</v>
      </c>
      <c r="Q5704">
        <v>0</v>
      </c>
      <c r="R5704" t="s">
        <v>40442</v>
      </c>
      <c r="S5704" t="s">
        <v>40638</v>
      </c>
      <c r="T5704" t="s">
        <v>42164</v>
      </c>
      <c r="U5704" t="s">
        <v>45831</v>
      </c>
      <c r="W5704" t="s">
        <v>38467</v>
      </c>
      <c r="X5704" t="s">
        <v>40443</v>
      </c>
    </row>
    <row r="5705" spans="1:24">
      <c r="A5705">
        <f>HYPERLINK("https://www.philgeps.gov.ph/GEPSNONPILOT/Tender/SplashBidNoticeAbstractUI.aspx?menuIndex=3&amp;refID=7043518&amp;Result=3","7043518")</f>
        <v>0</v>
      </c>
      <c r="B5705" t="s">
        <v>940</v>
      </c>
      <c r="C5705" t="s">
        <v>8513</v>
      </c>
      <c r="D5705" t="s">
        <v>16210</v>
      </c>
      <c r="E5705" t="s">
        <v>21341</v>
      </c>
      <c r="F5705" t="s">
        <v>28198</v>
      </c>
      <c r="G5705" t="s">
        <v>28210</v>
      </c>
      <c r="H5705" t="s">
        <v>28215</v>
      </c>
      <c r="I5705" t="s">
        <v>4200</v>
      </c>
      <c r="J5705" t="s">
        <v>31975</v>
      </c>
      <c r="K5705" t="s">
        <v>36707</v>
      </c>
      <c r="M5705" t="s">
        <v>39001</v>
      </c>
      <c r="N5705" t="s">
        <v>40436</v>
      </c>
      <c r="O5705" t="s">
        <v>40437</v>
      </c>
      <c r="P5705">
        <v>0</v>
      </c>
      <c r="Q5705">
        <v>0</v>
      </c>
      <c r="R5705" t="s">
        <v>40442</v>
      </c>
      <c r="S5705" t="s">
        <v>40638</v>
      </c>
      <c r="T5705" t="s">
        <v>42129</v>
      </c>
      <c r="U5705" t="s">
        <v>47462</v>
      </c>
      <c r="V5705" t="s">
        <v>54353</v>
      </c>
      <c r="W5705" t="s">
        <v>39001</v>
      </c>
      <c r="X5705" t="s">
        <v>40443</v>
      </c>
    </row>
    <row r="5706" spans="1:24">
      <c r="A5706">
        <f>HYPERLINK("https://www.philgeps.gov.ph/GEPSNONPILOT/Tender/SplashBidNoticeAbstractUI.aspx?menuIndex=3&amp;refID=7043552&amp;Result=3","7043552")</f>
        <v>0</v>
      </c>
      <c r="B5706" t="s">
        <v>1871</v>
      </c>
      <c r="C5706" t="s">
        <v>8514</v>
      </c>
      <c r="D5706" t="s">
        <v>16260</v>
      </c>
      <c r="E5706" t="s">
        <v>21342</v>
      </c>
      <c r="F5706" t="s">
        <v>28198</v>
      </c>
      <c r="G5706" t="s">
        <v>28207</v>
      </c>
      <c r="H5706" t="s">
        <v>28215</v>
      </c>
      <c r="I5706" t="s">
        <v>28241</v>
      </c>
      <c r="J5706" t="s">
        <v>31976</v>
      </c>
      <c r="K5706" t="s">
        <v>36689</v>
      </c>
      <c r="M5706" t="s">
        <v>39002</v>
      </c>
      <c r="N5706" t="s">
        <v>40436</v>
      </c>
      <c r="O5706" t="s">
        <v>40437</v>
      </c>
      <c r="P5706">
        <v>0</v>
      </c>
      <c r="Q5706">
        <v>1</v>
      </c>
      <c r="R5706" t="s">
        <v>40442</v>
      </c>
      <c r="S5706" t="s">
        <v>40638</v>
      </c>
      <c r="T5706" t="s">
        <v>42152</v>
      </c>
      <c r="U5706" t="s">
        <v>47463</v>
      </c>
      <c r="W5706" t="s">
        <v>39002</v>
      </c>
      <c r="X5706" t="s">
        <v>40443</v>
      </c>
    </row>
    <row r="5707" spans="1:24">
      <c r="A5707">
        <f>HYPERLINK("https://www.philgeps.gov.ph/GEPSNONPILOT/Tender/SplashBidNoticeAbstractUI.aspx?menuIndex=3&amp;refID=7043461&amp;Result=3","7043461")</f>
        <v>0</v>
      </c>
      <c r="B5707" t="s">
        <v>1872</v>
      </c>
      <c r="C5707" t="s">
        <v>8515</v>
      </c>
      <c r="D5707" t="s">
        <v>16203</v>
      </c>
      <c r="E5707" t="s">
        <v>21343</v>
      </c>
      <c r="F5707" t="s">
        <v>28198</v>
      </c>
      <c r="G5707" t="s">
        <v>28205</v>
      </c>
      <c r="H5707" t="s">
        <v>28215</v>
      </c>
      <c r="I5707" t="s">
        <v>28262</v>
      </c>
      <c r="J5707" t="s">
        <v>28345</v>
      </c>
      <c r="K5707" t="s">
        <v>36693</v>
      </c>
      <c r="M5707" t="s">
        <v>39003</v>
      </c>
      <c r="N5707" t="s">
        <v>40436</v>
      </c>
      <c r="O5707" t="s">
        <v>40437</v>
      </c>
      <c r="P5707">
        <v>0</v>
      </c>
      <c r="Q5707">
        <v>0</v>
      </c>
      <c r="R5707" t="s">
        <v>40442</v>
      </c>
      <c r="S5707" t="s">
        <v>40638</v>
      </c>
      <c r="T5707" t="s">
        <v>42111</v>
      </c>
      <c r="U5707" t="s">
        <v>47464</v>
      </c>
      <c r="W5707" t="s">
        <v>39003</v>
      </c>
      <c r="X5707" t="s">
        <v>40443</v>
      </c>
    </row>
    <row r="5708" spans="1:24">
      <c r="A5708">
        <f>HYPERLINK("https://www.philgeps.gov.ph/GEPSNONPILOT/Tender/SplashBidNoticeAbstractUI.aspx?menuIndex=3&amp;refID=7043542&amp;Result=3","7043542")</f>
        <v>0</v>
      </c>
      <c r="B5708" t="s">
        <v>346</v>
      </c>
      <c r="C5708" t="s">
        <v>8516</v>
      </c>
      <c r="D5708" t="s">
        <v>16217</v>
      </c>
      <c r="E5708" t="s">
        <v>21344</v>
      </c>
      <c r="F5708" t="s">
        <v>28198</v>
      </c>
      <c r="G5708" t="s">
        <v>28205</v>
      </c>
      <c r="H5708" t="s">
        <v>28214</v>
      </c>
      <c r="I5708" t="s">
        <v>3797</v>
      </c>
      <c r="J5708" t="s">
        <v>28398</v>
      </c>
      <c r="K5708" t="s">
        <v>36694</v>
      </c>
      <c r="M5708" t="s">
        <v>37325</v>
      </c>
      <c r="N5708" t="s">
        <v>40436</v>
      </c>
      <c r="O5708" t="s">
        <v>40437</v>
      </c>
      <c r="P5708">
        <v>0</v>
      </c>
      <c r="Q5708">
        <v>0</v>
      </c>
      <c r="R5708" t="s">
        <v>40442</v>
      </c>
      <c r="S5708" t="s">
        <v>40638</v>
      </c>
      <c r="T5708" t="s">
        <v>42168</v>
      </c>
      <c r="U5708" t="s">
        <v>47465</v>
      </c>
      <c r="W5708" t="s">
        <v>37325</v>
      </c>
      <c r="X5708" t="s">
        <v>40443</v>
      </c>
    </row>
    <row r="5709" spans="1:24">
      <c r="A5709">
        <f>HYPERLINK("https://www.philgeps.gov.ph/GEPSNONPILOT/Tender/SplashBidNoticeAbstractUI.aspx?menuIndex=3&amp;refID=7043491&amp;Result=3","7043491")</f>
        <v>0</v>
      </c>
      <c r="B5709" t="s">
        <v>1862</v>
      </c>
      <c r="C5709" t="s">
        <v>8517</v>
      </c>
      <c r="D5709" t="s">
        <v>16203</v>
      </c>
      <c r="E5709" t="s">
        <v>21345</v>
      </c>
      <c r="F5709" t="s">
        <v>28198</v>
      </c>
      <c r="G5709" t="s">
        <v>28207</v>
      </c>
      <c r="H5709" t="s">
        <v>28215</v>
      </c>
      <c r="I5709" t="s">
        <v>5100</v>
      </c>
      <c r="J5709" t="s">
        <v>28354</v>
      </c>
      <c r="K5709" t="s">
        <v>36706</v>
      </c>
      <c r="M5709" t="s">
        <v>38990</v>
      </c>
      <c r="N5709" t="s">
        <v>40436</v>
      </c>
      <c r="O5709" t="s">
        <v>40437</v>
      </c>
      <c r="P5709">
        <v>0</v>
      </c>
      <c r="Q5709">
        <v>0</v>
      </c>
      <c r="R5709" t="s">
        <v>40442</v>
      </c>
      <c r="S5709" t="s">
        <v>40638</v>
      </c>
      <c r="T5709" t="s">
        <v>42317</v>
      </c>
      <c r="U5709" t="s">
        <v>47466</v>
      </c>
      <c r="V5709" t="s">
        <v>54354</v>
      </c>
      <c r="W5709" t="s">
        <v>38990</v>
      </c>
      <c r="X5709" t="s">
        <v>40443</v>
      </c>
    </row>
    <row r="5710" spans="1:24">
      <c r="A5710">
        <f>HYPERLINK("https://www.philgeps.gov.ph/GEPSNONPILOT/Tender/SplashBidNoticeAbstractUI.aspx?menuIndex=3&amp;refID=7043539&amp;Result=3","7043539")</f>
        <v>0</v>
      </c>
      <c r="B5710" t="s">
        <v>1402</v>
      </c>
      <c r="C5710" t="s">
        <v>3683</v>
      </c>
      <c r="D5710" t="s">
        <v>16210</v>
      </c>
      <c r="E5710" t="s">
        <v>21346</v>
      </c>
      <c r="F5710" t="s">
        <v>28198</v>
      </c>
      <c r="G5710" t="s">
        <v>28205</v>
      </c>
      <c r="H5710" t="s">
        <v>28215</v>
      </c>
      <c r="I5710" t="s">
        <v>7310</v>
      </c>
      <c r="J5710" t="s">
        <v>28708</v>
      </c>
      <c r="K5710" t="s">
        <v>36688</v>
      </c>
      <c r="M5710" t="s">
        <v>38467</v>
      </c>
      <c r="N5710" t="s">
        <v>40436</v>
      </c>
      <c r="O5710" t="s">
        <v>40437</v>
      </c>
      <c r="P5710">
        <v>0</v>
      </c>
      <c r="Q5710">
        <v>0</v>
      </c>
      <c r="R5710" t="s">
        <v>40442</v>
      </c>
      <c r="S5710" t="s">
        <v>40638</v>
      </c>
      <c r="T5710" t="s">
        <v>42347</v>
      </c>
      <c r="U5710" t="s">
        <v>47467</v>
      </c>
      <c r="W5710" t="s">
        <v>38467</v>
      </c>
      <c r="X5710" t="s">
        <v>40443</v>
      </c>
    </row>
    <row r="5711" spans="1:24">
      <c r="A5711">
        <f>HYPERLINK("https://www.philgeps.gov.ph/GEPSNONPILOT/Tender/SplashBidNoticeAbstractUI.aspx?menuIndex=3&amp;refID=7043550&amp;Result=3","7043550")</f>
        <v>0</v>
      </c>
      <c r="B5711" t="s">
        <v>1402</v>
      </c>
      <c r="C5711" t="s">
        <v>8518</v>
      </c>
      <c r="D5711" t="s">
        <v>16210</v>
      </c>
      <c r="E5711" t="s">
        <v>21347</v>
      </c>
      <c r="F5711" t="s">
        <v>28198</v>
      </c>
      <c r="G5711" t="s">
        <v>28205</v>
      </c>
      <c r="H5711" t="s">
        <v>28215</v>
      </c>
      <c r="I5711" t="s">
        <v>7310</v>
      </c>
      <c r="J5711" t="s">
        <v>31977</v>
      </c>
      <c r="K5711" t="s">
        <v>36688</v>
      </c>
      <c r="M5711" t="s">
        <v>38467</v>
      </c>
      <c r="N5711" t="s">
        <v>40436</v>
      </c>
      <c r="O5711" t="s">
        <v>40437</v>
      </c>
      <c r="P5711">
        <v>0</v>
      </c>
      <c r="Q5711">
        <v>1</v>
      </c>
      <c r="R5711" t="s">
        <v>40442</v>
      </c>
      <c r="S5711" t="s">
        <v>40638</v>
      </c>
      <c r="T5711" t="s">
        <v>42164</v>
      </c>
      <c r="U5711" t="s">
        <v>45831</v>
      </c>
      <c r="W5711" t="s">
        <v>38467</v>
      </c>
      <c r="X5711" t="s">
        <v>40443</v>
      </c>
    </row>
    <row r="5712" spans="1:24">
      <c r="A5712">
        <f>HYPERLINK("https://www.philgeps.gov.ph/GEPSNONPILOT/Tender/SplashBidNoticeAbstractUI.aspx?menuIndex=3&amp;refID=7043522&amp;Result=3","7043522")</f>
        <v>0</v>
      </c>
      <c r="B5712" t="s">
        <v>1402</v>
      </c>
      <c r="C5712" t="s">
        <v>8519</v>
      </c>
      <c r="D5712" t="s">
        <v>16210</v>
      </c>
      <c r="E5712" t="s">
        <v>21348</v>
      </c>
      <c r="F5712" t="s">
        <v>28198</v>
      </c>
      <c r="G5712" t="s">
        <v>28205</v>
      </c>
      <c r="H5712" t="s">
        <v>28215</v>
      </c>
      <c r="I5712" t="s">
        <v>4200</v>
      </c>
      <c r="J5712" t="s">
        <v>29866</v>
      </c>
      <c r="K5712" t="s">
        <v>36688</v>
      </c>
      <c r="M5712" t="s">
        <v>38467</v>
      </c>
      <c r="N5712" t="s">
        <v>40436</v>
      </c>
      <c r="O5712" t="s">
        <v>40437</v>
      </c>
      <c r="P5712">
        <v>0</v>
      </c>
      <c r="Q5712">
        <v>0</v>
      </c>
      <c r="R5712" t="s">
        <v>40442</v>
      </c>
      <c r="S5712" t="s">
        <v>40638</v>
      </c>
      <c r="T5712" t="s">
        <v>42164</v>
      </c>
      <c r="U5712" t="s">
        <v>47468</v>
      </c>
      <c r="W5712" t="s">
        <v>38467</v>
      </c>
      <c r="X5712" t="s">
        <v>40443</v>
      </c>
    </row>
    <row r="5713" spans="1:24">
      <c r="A5713">
        <f>HYPERLINK("https://www.philgeps.gov.ph/GEPSNONPILOT/Tender/SplashBidNoticeAbstractUI.aspx?menuIndex=3&amp;refID=7043494&amp;Result=3","7043494")</f>
        <v>0</v>
      </c>
      <c r="B5713" t="s">
        <v>1402</v>
      </c>
      <c r="C5713" t="s">
        <v>8520</v>
      </c>
      <c r="D5713" t="s">
        <v>16210</v>
      </c>
      <c r="E5713" t="s">
        <v>21349</v>
      </c>
      <c r="F5713" t="s">
        <v>28198</v>
      </c>
      <c r="G5713" t="s">
        <v>28205</v>
      </c>
      <c r="H5713" t="s">
        <v>28215</v>
      </c>
      <c r="I5713" t="s">
        <v>28262</v>
      </c>
      <c r="J5713" t="s">
        <v>30305</v>
      </c>
      <c r="K5713" t="s">
        <v>36688</v>
      </c>
      <c r="M5713" t="s">
        <v>38467</v>
      </c>
      <c r="N5713" t="s">
        <v>40436</v>
      </c>
      <c r="O5713" t="s">
        <v>40437</v>
      </c>
      <c r="P5713">
        <v>0</v>
      </c>
      <c r="Q5713">
        <v>1</v>
      </c>
      <c r="R5713" t="s">
        <v>40442</v>
      </c>
      <c r="S5713" t="s">
        <v>40638</v>
      </c>
      <c r="T5713" t="s">
        <v>42164</v>
      </c>
      <c r="U5713" t="s">
        <v>47469</v>
      </c>
      <c r="W5713" t="s">
        <v>38467</v>
      </c>
      <c r="X5713" t="s">
        <v>40443</v>
      </c>
    </row>
    <row r="5714" spans="1:24">
      <c r="A5714">
        <f>HYPERLINK("https://www.philgeps.gov.ph/GEPSNONPILOT/Tender/SplashBidNoticeAbstractUI.aspx?menuIndex=3&amp;refID=7043455&amp;Result=3","7043455")</f>
        <v>0</v>
      </c>
      <c r="B5714" t="s">
        <v>1866</v>
      </c>
      <c r="C5714" t="s">
        <v>8521</v>
      </c>
      <c r="D5714" t="s">
        <v>16243</v>
      </c>
      <c r="E5714" t="s">
        <v>21350</v>
      </c>
      <c r="F5714" t="s">
        <v>28198</v>
      </c>
      <c r="G5714" t="s">
        <v>28205</v>
      </c>
      <c r="H5714" t="s">
        <v>28214</v>
      </c>
      <c r="I5714" t="s">
        <v>3797</v>
      </c>
      <c r="J5714" t="s">
        <v>31978</v>
      </c>
      <c r="K5714" t="s">
        <v>36710</v>
      </c>
      <c r="M5714" t="s">
        <v>38994</v>
      </c>
      <c r="N5714" t="s">
        <v>40436</v>
      </c>
      <c r="O5714" t="s">
        <v>40437</v>
      </c>
      <c r="P5714">
        <v>0</v>
      </c>
      <c r="Q5714">
        <v>0</v>
      </c>
      <c r="R5714" t="s">
        <v>40442</v>
      </c>
      <c r="S5714" t="s">
        <v>40638</v>
      </c>
      <c r="T5714" t="s">
        <v>42362</v>
      </c>
      <c r="U5714" t="s">
        <v>47451</v>
      </c>
      <c r="W5714" t="s">
        <v>38994</v>
      </c>
      <c r="X5714" t="s">
        <v>40443</v>
      </c>
    </row>
    <row r="5715" spans="1:24">
      <c r="A5715">
        <f>HYPERLINK("https://www.philgeps.gov.ph/GEPSNONPILOT/Tender/SplashBidNoticeAbstractUI.aspx?menuIndex=3&amp;refID=7043547&amp;Result=3","7043547")</f>
        <v>0</v>
      </c>
      <c r="B5715" t="s">
        <v>1873</v>
      </c>
      <c r="C5715" t="s">
        <v>8522</v>
      </c>
      <c r="E5715" t="s">
        <v>21351</v>
      </c>
      <c r="F5715" t="s">
        <v>28198</v>
      </c>
      <c r="G5715" t="s">
        <v>28207</v>
      </c>
      <c r="H5715" t="s">
        <v>28215</v>
      </c>
      <c r="I5715" t="s">
        <v>28281</v>
      </c>
      <c r="J5715" t="s">
        <v>28884</v>
      </c>
      <c r="K5715" t="s">
        <v>36689</v>
      </c>
      <c r="M5715" t="s">
        <v>39004</v>
      </c>
      <c r="N5715" t="s">
        <v>40436</v>
      </c>
      <c r="O5715" t="s">
        <v>40437</v>
      </c>
      <c r="P5715">
        <v>0</v>
      </c>
      <c r="Q5715">
        <v>4</v>
      </c>
      <c r="R5715" t="s">
        <v>40442</v>
      </c>
      <c r="S5715" t="s">
        <v>40638</v>
      </c>
      <c r="T5715" t="s">
        <v>42218</v>
      </c>
      <c r="U5715" t="s">
        <v>47470</v>
      </c>
      <c r="V5715" t="s">
        <v>54355</v>
      </c>
      <c r="W5715" t="s">
        <v>39004</v>
      </c>
      <c r="X5715" t="s">
        <v>40443</v>
      </c>
    </row>
    <row r="5716" spans="1:24">
      <c r="A5716">
        <f>HYPERLINK("https://www.philgeps.gov.ph/GEPSNONPILOT/Tender/SplashBidNoticeAbstractUI.aspx?menuIndex=3&amp;refID=7043521&amp;Result=3","7043521")</f>
        <v>0</v>
      </c>
      <c r="B5716" t="s">
        <v>1873</v>
      </c>
      <c r="C5716" t="s">
        <v>8523</v>
      </c>
      <c r="E5716" t="s">
        <v>21352</v>
      </c>
      <c r="F5716" t="s">
        <v>28198</v>
      </c>
      <c r="G5716" t="s">
        <v>28207</v>
      </c>
      <c r="H5716" t="s">
        <v>28215</v>
      </c>
      <c r="I5716" t="s">
        <v>5631</v>
      </c>
      <c r="J5716" t="s">
        <v>31979</v>
      </c>
      <c r="K5716" t="s">
        <v>36689</v>
      </c>
      <c r="M5716" t="s">
        <v>39004</v>
      </c>
      <c r="N5716" t="s">
        <v>40436</v>
      </c>
      <c r="O5716" t="s">
        <v>40437</v>
      </c>
      <c r="P5716">
        <v>0</v>
      </c>
      <c r="Q5716">
        <v>0</v>
      </c>
      <c r="R5716" t="s">
        <v>40442</v>
      </c>
      <c r="S5716" t="s">
        <v>40638</v>
      </c>
      <c r="T5716" t="s">
        <v>42218</v>
      </c>
      <c r="U5716" t="s">
        <v>47471</v>
      </c>
      <c r="V5716" t="s">
        <v>54355</v>
      </c>
      <c r="W5716" t="s">
        <v>39004</v>
      </c>
      <c r="X5716" t="s">
        <v>40443</v>
      </c>
    </row>
    <row r="5717" spans="1:24">
      <c r="A5717">
        <f>HYPERLINK("https://www.philgeps.gov.ph/GEPSNONPILOT/Tender/SplashBidNoticeAbstractUI.aspx?menuIndex=3&amp;refID=7043530&amp;Result=3","7043530")</f>
        <v>0</v>
      </c>
      <c r="B5717" t="s">
        <v>1873</v>
      </c>
      <c r="C5717" t="s">
        <v>8524</v>
      </c>
      <c r="E5717" t="s">
        <v>21353</v>
      </c>
      <c r="F5717" t="s">
        <v>28198</v>
      </c>
      <c r="G5717" t="s">
        <v>28207</v>
      </c>
      <c r="H5717" t="s">
        <v>28215</v>
      </c>
      <c r="I5717" t="s">
        <v>4200</v>
      </c>
      <c r="J5717" t="s">
        <v>31980</v>
      </c>
      <c r="K5717" t="s">
        <v>36689</v>
      </c>
      <c r="M5717" t="s">
        <v>39004</v>
      </c>
      <c r="N5717" t="s">
        <v>40436</v>
      </c>
      <c r="O5717" t="s">
        <v>40437</v>
      </c>
      <c r="P5717">
        <v>0</v>
      </c>
      <c r="Q5717">
        <v>1</v>
      </c>
      <c r="R5717" t="s">
        <v>40442</v>
      </c>
      <c r="S5717" t="s">
        <v>40638</v>
      </c>
      <c r="T5717" t="s">
        <v>42218</v>
      </c>
      <c r="U5717" t="s">
        <v>47472</v>
      </c>
      <c r="V5717" t="s">
        <v>54355</v>
      </c>
      <c r="W5717" t="s">
        <v>39004</v>
      </c>
      <c r="X5717" t="s">
        <v>40443</v>
      </c>
    </row>
    <row r="5718" spans="1:24">
      <c r="A5718">
        <f>HYPERLINK("https://www.philgeps.gov.ph/GEPSNONPILOT/Tender/SplashBidNoticeAbstractUI.aspx?menuIndex=3&amp;refID=7043507&amp;Result=3","7043507")</f>
        <v>0</v>
      </c>
      <c r="B5718" t="s">
        <v>1869</v>
      </c>
      <c r="C5718" t="s">
        <v>8525</v>
      </c>
      <c r="D5718" t="s">
        <v>16264</v>
      </c>
      <c r="E5718" t="s">
        <v>21354</v>
      </c>
      <c r="F5718" t="s">
        <v>28198</v>
      </c>
      <c r="G5718" t="s">
        <v>28205</v>
      </c>
      <c r="H5718" t="s">
        <v>28214</v>
      </c>
      <c r="I5718" t="s">
        <v>3797</v>
      </c>
      <c r="J5718" t="s">
        <v>31981</v>
      </c>
      <c r="K5718" t="s">
        <v>36692</v>
      </c>
      <c r="M5718" t="s">
        <v>38999</v>
      </c>
      <c r="N5718" t="s">
        <v>40436</v>
      </c>
      <c r="O5718" t="s">
        <v>40437</v>
      </c>
      <c r="P5718">
        <v>0</v>
      </c>
      <c r="Q5718">
        <v>0</v>
      </c>
      <c r="R5718" t="s">
        <v>40442</v>
      </c>
      <c r="S5718" t="s">
        <v>40638</v>
      </c>
      <c r="T5718" t="s">
        <v>42103</v>
      </c>
      <c r="U5718" t="s">
        <v>47473</v>
      </c>
      <c r="W5718" t="s">
        <v>38999</v>
      </c>
      <c r="X5718" t="s">
        <v>40443</v>
      </c>
    </row>
    <row r="5719" spans="1:24">
      <c r="A5719">
        <f>HYPERLINK("https://www.philgeps.gov.ph/GEPSNONPILOT/Tender/SplashBidNoticeAbstractUI.aspx?menuIndex=3&amp;refID=7043506&amp;Result=3","7043506")</f>
        <v>0</v>
      </c>
      <c r="B5719" t="s">
        <v>940</v>
      </c>
      <c r="C5719" t="s">
        <v>8526</v>
      </c>
      <c r="D5719" t="s">
        <v>16210</v>
      </c>
      <c r="E5719" t="s">
        <v>21355</v>
      </c>
      <c r="F5719" t="s">
        <v>28198</v>
      </c>
      <c r="G5719" t="s">
        <v>28210</v>
      </c>
      <c r="H5719" t="s">
        <v>28215</v>
      </c>
      <c r="I5719" t="s">
        <v>5100</v>
      </c>
      <c r="J5719" t="s">
        <v>28413</v>
      </c>
      <c r="K5719" t="s">
        <v>36687</v>
      </c>
      <c r="M5719" t="s">
        <v>39001</v>
      </c>
      <c r="N5719" t="s">
        <v>40436</v>
      </c>
      <c r="O5719" t="s">
        <v>40437</v>
      </c>
      <c r="P5719">
        <v>0</v>
      </c>
      <c r="Q5719">
        <v>9</v>
      </c>
      <c r="R5719" t="s">
        <v>40442</v>
      </c>
      <c r="S5719" t="s">
        <v>40638</v>
      </c>
      <c r="T5719" t="s">
        <v>42277</v>
      </c>
      <c r="U5719" t="s">
        <v>47462</v>
      </c>
      <c r="V5719" t="s">
        <v>54352</v>
      </c>
      <c r="W5719" t="s">
        <v>39001</v>
      </c>
      <c r="X5719" t="s">
        <v>40443</v>
      </c>
    </row>
    <row r="5720" spans="1:24">
      <c r="A5720">
        <f>HYPERLINK("https://www.philgeps.gov.ph/GEPSNONPILOT/Tender/SplashBidNoticeAbstractUI.aspx?menuIndex=3&amp;refID=7043613&amp;Result=3","7043613")</f>
        <v>0</v>
      </c>
      <c r="B5720" t="s">
        <v>483</v>
      </c>
      <c r="C5720" t="s">
        <v>8527</v>
      </c>
      <c r="D5720" t="s">
        <v>16210</v>
      </c>
      <c r="E5720" t="s">
        <v>21356</v>
      </c>
      <c r="F5720" t="s">
        <v>28198</v>
      </c>
      <c r="G5720" t="s">
        <v>28207</v>
      </c>
      <c r="H5720" t="s">
        <v>28215</v>
      </c>
      <c r="I5720" t="s">
        <v>28300</v>
      </c>
      <c r="J5720" t="s">
        <v>31982</v>
      </c>
      <c r="K5720" t="s">
        <v>36706</v>
      </c>
      <c r="M5720" t="s">
        <v>39005</v>
      </c>
      <c r="N5720" t="s">
        <v>40436</v>
      </c>
      <c r="O5720" t="s">
        <v>40437</v>
      </c>
      <c r="P5720">
        <v>0</v>
      </c>
      <c r="Q5720">
        <v>3</v>
      </c>
      <c r="R5720" t="s">
        <v>40442</v>
      </c>
      <c r="S5720" t="s">
        <v>40638</v>
      </c>
      <c r="T5720" t="s">
        <v>42326</v>
      </c>
      <c r="U5720" t="s">
        <v>47474</v>
      </c>
      <c r="V5720" t="s">
        <v>54054</v>
      </c>
      <c r="W5720" t="s">
        <v>39005</v>
      </c>
      <c r="X5720" t="s">
        <v>40443</v>
      </c>
    </row>
    <row r="5721" spans="1:24">
      <c r="A5721">
        <f>HYPERLINK("https://www.philgeps.gov.ph/GEPSNONPILOT/Tender/SplashBidNoticeAbstractUI.aspx?menuIndex=3&amp;refID=7043520&amp;Result=3","7043520")</f>
        <v>0</v>
      </c>
      <c r="B5721" t="s">
        <v>1862</v>
      </c>
      <c r="C5721" t="s">
        <v>8528</v>
      </c>
      <c r="D5721" t="s">
        <v>16203</v>
      </c>
      <c r="E5721" t="s">
        <v>21357</v>
      </c>
      <c r="F5721" t="s">
        <v>28198</v>
      </c>
      <c r="G5721" t="s">
        <v>28207</v>
      </c>
      <c r="H5721" t="s">
        <v>28215</v>
      </c>
      <c r="I5721" t="s">
        <v>5100</v>
      </c>
      <c r="J5721" t="s">
        <v>31983</v>
      </c>
      <c r="K5721" t="s">
        <v>36706</v>
      </c>
      <c r="M5721" t="s">
        <v>38990</v>
      </c>
      <c r="N5721" t="s">
        <v>40436</v>
      </c>
      <c r="O5721" t="s">
        <v>40437</v>
      </c>
      <c r="P5721">
        <v>0</v>
      </c>
      <c r="Q5721">
        <v>0</v>
      </c>
      <c r="R5721" t="s">
        <v>40442</v>
      </c>
      <c r="S5721" t="s">
        <v>40638</v>
      </c>
      <c r="T5721" t="s">
        <v>42317</v>
      </c>
      <c r="U5721" t="s">
        <v>47475</v>
      </c>
      <c r="V5721" t="s">
        <v>54354</v>
      </c>
      <c r="W5721" t="s">
        <v>38990</v>
      </c>
      <c r="X5721" t="s">
        <v>40443</v>
      </c>
    </row>
    <row r="5722" spans="1:24">
      <c r="A5722">
        <f>HYPERLINK("https://www.philgeps.gov.ph/GEPSNONPILOT/Tender/SplashBidNoticeAbstractUI.aspx?menuIndex=3&amp;refID=7043504&amp;Result=3","7043504")</f>
        <v>0</v>
      </c>
      <c r="B5722" t="s">
        <v>1862</v>
      </c>
      <c r="C5722" t="s">
        <v>8529</v>
      </c>
      <c r="D5722" t="s">
        <v>16203</v>
      </c>
      <c r="E5722" t="s">
        <v>21358</v>
      </c>
      <c r="F5722" t="s">
        <v>28198</v>
      </c>
      <c r="G5722" t="s">
        <v>28207</v>
      </c>
      <c r="H5722" t="s">
        <v>28215</v>
      </c>
      <c r="I5722" t="s">
        <v>5100</v>
      </c>
      <c r="J5722" t="s">
        <v>31984</v>
      </c>
      <c r="K5722" t="s">
        <v>36706</v>
      </c>
      <c r="M5722" t="s">
        <v>38990</v>
      </c>
      <c r="N5722" t="s">
        <v>40436</v>
      </c>
      <c r="O5722" t="s">
        <v>40437</v>
      </c>
      <c r="P5722">
        <v>0</v>
      </c>
      <c r="Q5722">
        <v>0</v>
      </c>
      <c r="R5722" t="s">
        <v>40442</v>
      </c>
      <c r="S5722" t="s">
        <v>40638</v>
      </c>
      <c r="T5722" t="s">
        <v>42317</v>
      </c>
      <c r="U5722" t="s">
        <v>47476</v>
      </c>
      <c r="V5722" t="s">
        <v>54354</v>
      </c>
      <c r="W5722" t="s">
        <v>38990</v>
      </c>
      <c r="X5722" t="s">
        <v>40443</v>
      </c>
    </row>
    <row r="5723" spans="1:24">
      <c r="A5723">
        <f>HYPERLINK("https://www.philgeps.gov.ph/GEPSNONPILOT/Tender/SplashBidNoticeAbstractUI.aspx?menuIndex=3&amp;refID=7043565&amp;Result=3","7043565")</f>
        <v>0</v>
      </c>
      <c r="B5723" t="s">
        <v>1873</v>
      </c>
      <c r="C5723" t="s">
        <v>8530</v>
      </c>
      <c r="D5723" t="s">
        <v>16194</v>
      </c>
      <c r="E5723" t="s">
        <v>21359</v>
      </c>
      <c r="F5723" t="s">
        <v>28198</v>
      </c>
      <c r="G5723" t="s">
        <v>28207</v>
      </c>
      <c r="H5723" t="s">
        <v>28215</v>
      </c>
      <c r="I5723" t="s">
        <v>28262</v>
      </c>
      <c r="J5723" t="s">
        <v>31822</v>
      </c>
      <c r="K5723" t="s">
        <v>36689</v>
      </c>
      <c r="M5723" t="s">
        <v>39004</v>
      </c>
      <c r="N5723" t="s">
        <v>40436</v>
      </c>
      <c r="O5723" t="s">
        <v>40437</v>
      </c>
      <c r="P5723">
        <v>0</v>
      </c>
      <c r="Q5723">
        <v>2</v>
      </c>
      <c r="R5723" t="s">
        <v>40442</v>
      </c>
      <c r="S5723" t="s">
        <v>40638</v>
      </c>
      <c r="T5723" t="s">
        <v>42218</v>
      </c>
      <c r="U5723" t="s">
        <v>47477</v>
      </c>
      <c r="V5723" t="s">
        <v>54355</v>
      </c>
      <c r="W5723" t="s">
        <v>39004</v>
      </c>
      <c r="X5723" t="s">
        <v>40443</v>
      </c>
    </row>
    <row r="5724" spans="1:24">
      <c r="A5724">
        <f>HYPERLINK("https://www.philgeps.gov.ph/GEPSNONPILOT/Tender/SplashBidNoticeAbstractUI.aspx?menuIndex=3&amp;refID=7043614&amp;Result=3","7043614")</f>
        <v>0</v>
      </c>
      <c r="B5724" t="s">
        <v>483</v>
      </c>
      <c r="C5724" t="s">
        <v>8531</v>
      </c>
      <c r="D5724" t="s">
        <v>16210</v>
      </c>
      <c r="E5724" t="s">
        <v>21360</v>
      </c>
      <c r="F5724" t="s">
        <v>28198</v>
      </c>
      <c r="G5724" t="s">
        <v>28207</v>
      </c>
      <c r="H5724" t="s">
        <v>28215</v>
      </c>
      <c r="I5724" t="s">
        <v>28258</v>
      </c>
      <c r="J5724" t="s">
        <v>31985</v>
      </c>
      <c r="K5724" t="s">
        <v>36706</v>
      </c>
      <c r="M5724" t="s">
        <v>39005</v>
      </c>
      <c r="N5724" t="s">
        <v>40436</v>
      </c>
      <c r="O5724" t="s">
        <v>40437</v>
      </c>
      <c r="P5724">
        <v>0</v>
      </c>
      <c r="Q5724">
        <v>17</v>
      </c>
      <c r="R5724" t="s">
        <v>40442</v>
      </c>
      <c r="S5724" t="s">
        <v>40638</v>
      </c>
      <c r="T5724" t="s">
        <v>42326</v>
      </c>
      <c r="U5724" t="s">
        <v>47478</v>
      </c>
      <c r="V5724" t="s">
        <v>54054</v>
      </c>
      <c r="W5724" t="s">
        <v>39005</v>
      </c>
      <c r="X5724" t="s">
        <v>40443</v>
      </c>
    </row>
    <row r="5725" spans="1:24">
      <c r="A5725">
        <f>HYPERLINK("https://www.philgeps.gov.ph/GEPSNONPILOT/Tender/SplashBidNoticeAbstractUI.aspx?menuIndex=3&amp;refID=7043607&amp;Result=3","7043607")</f>
        <v>0</v>
      </c>
      <c r="B5725" t="s">
        <v>983</v>
      </c>
      <c r="C5725" t="s">
        <v>8532</v>
      </c>
      <c r="D5725" t="s">
        <v>16232</v>
      </c>
      <c r="E5725" t="s">
        <v>21361</v>
      </c>
      <c r="F5725" t="s">
        <v>28198</v>
      </c>
      <c r="G5725" t="s">
        <v>28205</v>
      </c>
      <c r="H5725" t="s">
        <v>28215</v>
      </c>
      <c r="I5725" t="s">
        <v>28298</v>
      </c>
      <c r="J5725" t="s">
        <v>29409</v>
      </c>
      <c r="K5725" t="s">
        <v>36701</v>
      </c>
      <c r="M5725" t="s">
        <v>38010</v>
      </c>
      <c r="N5725" t="s">
        <v>40436</v>
      </c>
      <c r="O5725" t="s">
        <v>40437</v>
      </c>
      <c r="P5725">
        <v>0</v>
      </c>
      <c r="Q5725">
        <v>12</v>
      </c>
      <c r="R5725" t="s">
        <v>40442</v>
      </c>
      <c r="S5725" t="s">
        <v>40638</v>
      </c>
      <c r="T5725" t="s">
        <v>42165</v>
      </c>
      <c r="U5725" t="s">
        <v>47479</v>
      </c>
      <c r="W5725" t="s">
        <v>38010</v>
      </c>
      <c r="X5725" t="s">
        <v>40443</v>
      </c>
    </row>
    <row r="5726" spans="1:24">
      <c r="A5726">
        <f>HYPERLINK("https://www.philgeps.gov.ph/GEPSNONPILOT/Tender/SplashBidNoticeAbstractUI.aspx?menuIndex=3&amp;refID=7043606&amp;Result=3","7043606")</f>
        <v>0</v>
      </c>
      <c r="B5726" t="s">
        <v>527</v>
      </c>
      <c r="C5726" t="s">
        <v>8533</v>
      </c>
      <c r="D5726" t="s">
        <v>16199</v>
      </c>
      <c r="E5726" t="s">
        <v>21362</v>
      </c>
      <c r="F5726" t="s">
        <v>28198</v>
      </c>
      <c r="G5726" t="s">
        <v>28205</v>
      </c>
      <c r="H5726" t="s">
        <v>28214</v>
      </c>
      <c r="I5726" t="s">
        <v>3797</v>
      </c>
      <c r="J5726" t="s">
        <v>31986</v>
      </c>
      <c r="K5726" t="s">
        <v>36697</v>
      </c>
      <c r="M5726" t="s">
        <v>37512</v>
      </c>
      <c r="N5726" t="s">
        <v>40436</v>
      </c>
      <c r="O5726" t="s">
        <v>40437</v>
      </c>
      <c r="P5726">
        <v>0</v>
      </c>
      <c r="Q5726">
        <v>1</v>
      </c>
      <c r="R5726" t="s">
        <v>40442</v>
      </c>
      <c r="S5726" t="s">
        <v>40638</v>
      </c>
      <c r="T5726" t="s">
        <v>42254</v>
      </c>
      <c r="U5726" t="s">
        <v>47480</v>
      </c>
      <c r="W5726" t="s">
        <v>37512</v>
      </c>
      <c r="X5726" t="s">
        <v>40443</v>
      </c>
    </row>
    <row r="5727" spans="1:24">
      <c r="A5727">
        <f>HYPERLINK("https://www.philgeps.gov.ph/GEPSNONPILOT/Tender/SplashBidNoticeAbstractUI.aspx?menuIndex=3&amp;refID=7043623&amp;Result=3","7043623")</f>
        <v>0</v>
      </c>
      <c r="B5727" t="s">
        <v>1874</v>
      </c>
      <c r="C5727" t="s">
        <v>8534</v>
      </c>
      <c r="D5727" t="s">
        <v>16188</v>
      </c>
      <c r="E5727" t="s">
        <v>21363</v>
      </c>
      <c r="F5727" t="s">
        <v>28198</v>
      </c>
      <c r="G5727" t="s">
        <v>28205</v>
      </c>
      <c r="H5727" t="s">
        <v>28215</v>
      </c>
      <c r="I5727" t="s">
        <v>28230</v>
      </c>
      <c r="J5727" t="s">
        <v>31987</v>
      </c>
      <c r="K5727" t="s">
        <v>36691</v>
      </c>
      <c r="M5727" t="s">
        <v>39006</v>
      </c>
      <c r="N5727" t="s">
        <v>40436</v>
      </c>
      <c r="O5727" t="s">
        <v>40437</v>
      </c>
      <c r="P5727">
        <v>0</v>
      </c>
      <c r="Q5727">
        <v>0</v>
      </c>
      <c r="R5727" t="s">
        <v>40442</v>
      </c>
      <c r="S5727" t="s">
        <v>40638</v>
      </c>
      <c r="T5727" t="s">
        <v>42284</v>
      </c>
      <c r="U5727" t="s">
        <v>47481</v>
      </c>
      <c r="V5727" t="s">
        <v>54051</v>
      </c>
      <c r="W5727" t="s">
        <v>39006</v>
      </c>
      <c r="X5727" t="s">
        <v>40443</v>
      </c>
    </row>
    <row r="5728" spans="1:24">
      <c r="A5728">
        <f>HYPERLINK("https://www.philgeps.gov.ph/GEPSNONPILOT/Tender/SplashBidNoticeAbstractUI.aspx?menuIndex=3&amp;refID=7043622&amp;Result=3","7043622")</f>
        <v>0</v>
      </c>
      <c r="B5728" t="s">
        <v>1875</v>
      </c>
      <c r="C5728" t="s">
        <v>8535</v>
      </c>
      <c r="D5728" t="s">
        <v>16207</v>
      </c>
      <c r="E5728" t="s">
        <v>21364</v>
      </c>
      <c r="F5728" t="s">
        <v>28198</v>
      </c>
      <c r="G5728" t="s">
        <v>28207</v>
      </c>
      <c r="H5728" t="s">
        <v>28214</v>
      </c>
      <c r="I5728" t="s">
        <v>5100</v>
      </c>
      <c r="J5728" t="s">
        <v>31988</v>
      </c>
      <c r="K5728" t="s">
        <v>36707</v>
      </c>
      <c r="M5728" t="s">
        <v>39007</v>
      </c>
      <c r="N5728" t="s">
        <v>40436</v>
      </c>
      <c r="O5728" t="s">
        <v>40437</v>
      </c>
      <c r="P5728">
        <v>0</v>
      </c>
      <c r="Q5728">
        <v>1</v>
      </c>
      <c r="R5728" t="s">
        <v>40442</v>
      </c>
      <c r="S5728" t="s">
        <v>40638</v>
      </c>
      <c r="T5728" t="s">
        <v>42161</v>
      </c>
      <c r="U5728" t="s">
        <v>47482</v>
      </c>
      <c r="W5728" t="s">
        <v>39007</v>
      </c>
      <c r="X5728" t="s">
        <v>40443</v>
      </c>
    </row>
    <row r="5729" spans="1:24">
      <c r="A5729">
        <f>HYPERLINK("https://www.philgeps.gov.ph/GEPSNONPILOT/Tender/SplashBidNoticeAbstractUI.aspx?menuIndex=3&amp;refID=7043600&amp;Result=3","7043600")</f>
        <v>0</v>
      </c>
      <c r="B5729" t="s">
        <v>527</v>
      </c>
      <c r="C5729" t="s">
        <v>8536</v>
      </c>
      <c r="D5729" t="s">
        <v>16199</v>
      </c>
      <c r="E5729" t="s">
        <v>19753</v>
      </c>
      <c r="F5729" t="s">
        <v>28198</v>
      </c>
      <c r="G5729" t="s">
        <v>28205</v>
      </c>
      <c r="H5729" t="s">
        <v>28214</v>
      </c>
      <c r="I5729" t="s">
        <v>3797</v>
      </c>
      <c r="J5729" t="s">
        <v>31989</v>
      </c>
      <c r="K5729" t="s">
        <v>36697</v>
      </c>
      <c r="M5729" t="s">
        <v>37512</v>
      </c>
      <c r="N5729" t="s">
        <v>40436</v>
      </c>
      <c r="O5729" t="s">
        <v>40437</v>
      </c>
      <c r="P5729">
        <v>0</v>
      </c>
      <c r="Q5729">
        <v>0</v>
      </c>
      <c r="R5729" t="s">
        <v>40442</v>
      </c>
      <c r="S5729" t="s">
        <v>40638</v>
      </c>
      <c r="T5729" t="s">
        <v>42142</v>
      </c>
      <c r="U5729" t="s">
        <v>47483</v>
      </c>
      <c r="W5729" t="s">
        <v>37512</v>
      </c>
      <c r="X5729" t="s">
        <v>40443</v>
      </c>
    </row>
    <row r="5730" spans="1:24">
      <c r="A5730">
        <f>HYPERLINK("https://www.philgeps.gov.ph/GEPSNONPILOT/Tender/SplashBidNoticeAbstractUI.aspx?menuIndex=3&amp;refID=7043593&amp;Result=3","7043593")</f>
        <v>0</v>
      </c>
      <c r="B5730" t="s">
        <v>1736</v>
      </c>
      <c r="C5730" t="s">
        <v>8537</v>
      </c>
      <c r="D5730" t="s">
        <v>16195</v>
      </c>
      <c r="E5730" t="s">
        <v>21365</v>
      </c>
      <c r="F5730" t="s">
        <v>28198</v>
      </c>
      <c r="G5730" t="s">
        <v>28205</v>
      </c>
      <c r="H5730" t="s">
        <v>28215</v>
      </c>
      <c r="I5730" t="s">
        <v>3797</v>
      </c>
      <c r="J5730" t="s">
        <v>31990</v>
      </c>
      <c r="K5730" t="s">
        <v>36689</v>
      </c>
      <c r="M5730" t="s">
        <v>38847</v>
      </c>
      <c r="N5730" t="s">
        <v>40436</v>
      </c>
      <c r="O5730" t="s">
        <v>40437</v>
      </c>
      <c r="P5730">
        <v>0</v>
      </c>
      <c r="Q5730">
        <v>0</v>
      </c>
      <c r="R5730" t="s">
        <v>40442</v>
      </c>
      <c r="S5730" t="s">
        <v>40638</v>
      </c>
      <c r="T5730" t="s">
        <v>42103</v>
      </c>
      <c r="U5730" t="s">
        <v>47484</v>
      </c>
      <c r="W5730" t="s">
        <v>38847</v>
      </c>
      <c r="X5730" t="s">
        <v>40443</v>
      </c>
    </row>
    <row r="5731" spans="1:24">
      <c r="A5731">
        <f>HYPERLINK("https://www.philgeps.gov.ph/GEPSNONPILOT/Tender/SplashBidNoticeAbstractUI.aspx?menuIndex=3&amp;refID=7043597&amp;Result=3","7043597")</f>
        <v>0</v>
      </c>
      <c r="B5731" t="s">
        <v>527</v>
      </c>
      <c r="C5731" t="s">
        <v>8538</v>
      </c>
      <c r="D5731" t="s">
        <v>16199</v>
      </c>
      <c r="E5731" t="s">
        <v>18147</v>
      </c>
      <c r="F5731" t="s">
        <v>28198</v>
      </c>
      <c r="G5731" t="s">
        <v>28205</v>
      </c>
      <c r="H5731" t="s">
        <v>28214</v>
      </c>
      <c r="I5731" t="s">
        <v>3797</v>
      </c>
      <c r="J5731" t="s">
        <v>31991</v>
      </c>
      <c r="K5731" t="s">
        <v>36697</v>
      </c>
      <c r="M5731" t="s">
        <v>37512</v>
      </c>
      <c r="N5731" t="s">
        <v>40436</v>
      </c>
      <c r="O5731" t="s">
        <v>40437</v>
      </c>
      <c r="P5731">
        <v>0</v>
      </c>
      <c r="Q5731">
        <v>1</v>
      </c>
      <c r="R5731" t="s">
        <v>40442</v>
      </c>
      <c r="S5731" t="s">
        <v>40638</v>
      </c>
      <c r="T5731" t="s">
        <v>42142</v>
      </c>
      <c r="U5731" t="s">
        <v>47485</v>
      </c>
      <c r="W5731" t="s">
        <v>37512</v>
      </c>
      <c r="X5731" t="s">
        <v>40443</v>
      </c>
    </row>
    <row r="5732" spans="1:24">
      <c r="A5732">
        <f>HYPERLINK("https://www.philgeps.gov.ph/GEPSNONPILOT/Tender/SplashBidNoticeAbstractUI.aspx?menuIndex=3&amp;refID=7043621&amp;Result=3","7043621")</f>
        <v>0</v>
      </c>
      <c r="B5732" t="s">
        <v>1874</v>
      </c>
      <c r="C5732" t="s">
        <v>8539</v>
      </c>
      <c r="D5732" t="s">
        <v>16188</v>
      </c>
      <c r="E5732" t="s">
        <v>21366</v>
      </c>
      <c r="F5732" t="s">
        <v>28198</v>
      </c>
      <c r="G5732" t="s">
        <v>28205</v>
      </c>
      <c r="H5732" t="s">
        <v>28215</v>
      </c>
      <c r="I5732" t="s">
        <v>28237</v>
      </c>
      <c r="J5732" t="s">
        <v>31992</v>
      </c>
      <c r="K5732" t="s">
        <v>36693</v>
      </c>
      <c r="M5732" t="s">
        <v>39006</v>
      </c>
      <c r="N5732" t="s">
        <v>40436</v>
      </c>
      <c r="O5732" t="s">
        <v>40437</v>
      </c>
      <c r="P5732">
        <v>0</v>
      </c>
      <c r="Q5732">
        <v>0</v>
      </c>
      <c r="R5732" t="s">
        <v>40442</v>
      </c>
      <c r="S5732" t="s">
        <v>40638</v>
      </c>
      <c r="T5732" t="s">
        <v>42284</v>
      </c>
      <c r="U5732" t="s">
        <v>47486</v>
      </c>
      <c r="V5732" t="s">
        <v>54051</v>
      </c>
      <c r="W5732" t="s">
        <v>39006</v>
      </c>
      <c r="X5732" t="s">
        <v>40443</v>
      </c>
    </row>
    <row r="5733" spans="1:24">
      <c r="A5733">
        <f>HYPERLINK("https://www.philgeps.gov.ph/GEPSNONPILOT/Tender/SplashBidNoticeAbstractUI.aspx?menuIndex=3&amp;refID=7043591&amp;Result=3","7043591")</f>
        <v>0</v>
      </c>
      <c r="B5733" t="s">
        <v>1850</v>
      </c>
      <c r="C5733" t="s">
        <v>8540</v>
      </c>
      <c r="D5733" t="s">
        <v>16242</v>
      </c>
      <c r="E5733" t="s">
        <v>21367</v>
      </c>
      <c r="F5733" t="s">
        <v>28198</v>
      </c>
      <c r="G5733" t="s">
        <v>28205</v>
      </c>
      <c r="H5733" t="s">
        <v>28214</v>
      </c>
      <c r="I5733" t="s">
        <v>3797</v>
      </c>
      <c r="J5733" t="s">
        <v>31993</v>
      </c>
      <c r="K5733" t="s">
        <v>36715</v>
      </c>
      <c r="M5733" t="s">
        <v>38977</v>
      </c>
      <c r="N5733" t="s">
        <v>40436</v>
      </c>
      <c r="O5733" t="s">
        <v>40437</v>
      </c>
      <c r="P5733">
        <v>0</v>
      </c>
      <c r="Q5733">
        <v>1</v>
      </c>
      <c r="R5733" t="s">
        <v>40442</v>
      </c>
      <c r="S5733" t="s">
        <v>40638</v>
      </c>
      <c r="T5733" t="s">
        <v>42160</v>
      </c>
      <c r="U5733" t="s">
        <v>47487</v>
      </c>
      <c r="V5733" t="s">
        <v>54356</v>
      </c>
      <c r="W5733" t="s">
        <v>38977</v>
      </c>
      <c r="X5733" t="s">
        <v>40443</v>
      </c>
    </row>
    <row r="5734" spans="1:24">
      <c r="A5734">
        <f>HYPERLINK("https://www.philgeps.gov.ph/GEPSNONPILOT/Tender/SplashBidNoticeAbstractUI.aspx?menuIndex=3&amp;refID=7043590&amp;Result=3","7043590")</f>
        <v>0</v>
      </c>
      <c r="B5734" t="s">
        <v>1876</v>
      </c>
      <c r="C5734" t="s">
        <v>4494</v>
      </c>
      <c r="D5734" t="s">
        <v>16210</v>
      </c>
      <c r="E5734" t="s">
        <v>21368</v>
      </c>
      <c r="F5734" t="s">
        <v>28198</v>
      </c>
      <c r="G5734" t="s">
        <v>28205</v>
      </c>
      <c r="H5734" t="s">
        <v>28215</v>
      </c>
      <c r="I5734" t="s">
        <v>4200</v>
      </c>
      <c r="J5734" t="s">
        <v>31994</v>
      </c>
      <c r="K5734" t="s">
        <v>36706</v>
      </c>
      <c r="M5734" t="s">
        <v>39008</v>
      </c>
      <c r="N5734" t="s">
        <v>40436</v>
      </c>
      <c r="O5734" t="s">
        <v>40437</v>
      </c>
      <c r="P5734">
        <v>0</v>
      </c>
      <c r="Q5734">
        <v>0</v>
      </c>
      <c r="R5734" t="s">
        <v>40442</v>
      </c>
      <c r="S5734" t="s">
        <v>40638</v>
      </c>
      <c r="T5734" t="s">
        <v>42119</v>
      </c>
      <c r="U5734" t="s">
        <v>47488</v>
      </c>
      <c r="W5734" t="s">
        <v>39008</v>
      </c>
      <c r="X5734" t="s">
        <v>40443</v>
      </c>
    </row>
    <row r="5735" spans="1:24">
      <c r="A5735">
        <f>HYPERLINK("https://www.philgeps.gov.ph/GEPSNONPILOT/Tender/SplashBidNoticeAbstractUI.aspx?menuIndex=3&amp;refID=7043598&amp;Result=3","7043598")</f>
        <v>0</v>
      </c>
      <c r="B5735" t="s">
        <v>527</v>
      </c>
      <c r="C5735" t="s">
        <v>8541</v>
      </c>
      <c r="D5735" t="s">
        <v>16199</v>
      </c>
      <c r="E5735" t="s">
        <v>17713</v>
      </c>
      <c r="F5735" t="s">
        <v>28198</v>
      </c>
      <c r="G5735" t="s">
        <v>28205</v>
      </c>
      <c r="H5735" t="s">
        <v>28214</v>
      </c>
      <c r="I5735" t="s">
        <v>3797</v>
      </c>
      <c r="J5735" t="s">
        <v>31995</v>
      </c>
      <c r="K5735" t="s">
        <v>36694</v>
      </c>
      <c r="M5735" t="s">
        <v>37512</v>
      </c>
      <c r="N5735" t="s">
        <v>40436</v>
      </c>
      <c r="O5735" t="s">
        <v>40437</v>
      </c>
      <c r="P5735">
        <v>0</v>
      </c>
      <c r="Q5735">
        <v>1</v>
      </c>
      <c r="R5735" t="s">
        <v>40442</v>
      </c>
      <c r="S5735" t="s">
        <v>40638</v>
      </c>
      <c r="T5735" t="s">
        <v>42142</v>
      </c>
      <c r="U5735" t="s">
        <v>47489</v>
      </c>
      <c r="W5735" t="s">
        <v>37512</v>
      </c>
      <c r="X5735" t="s">
        <v>40443</v>
      </c>
    </row>
    <row r="5736" spans="1:24">
      <c r="A5736">
        <f>HYPERLINK("https://www.philgeps.gov.ph/GEPSNONPILOT/Tender/SplashBidNoticeAbstractUI.aspx?menuIndex=3&amp;refID=7043625&amp;Result=3","7043625")</f>
        <v>0</v>
      </c>
      <c r="B5736" t="s">
        <v>1877</v>
      </c>
      <c r="C5736" t="s">
        <v>4569</v>
      </c>
      <c r="D5736" t="s">
        <v>16235</v>
      </c>
      <c r="E5736" t="s">
        <v>16352</v>
      </c>
      <c r="F5736" t="s">
        <v>28198</v>
      </c>
      <c r="G5736" t="s">
        <v>28205</v>
      </c>
      <c r="H5736" t="s">
        <v>28214</v>
      </c>
      <c r="I5736" t="s">
        <v>3797</v>
      </c>
      <c r="J5736" t="s">
        <v>31996</v>
      </c>
      <c r="K5736" t="s">
        <v>36701</v>
      </c>
      <c r="M5736" t="s">
        <v>39009</v>
      </c>
      <c r="N5736" t="s">
        <v>40436</v>
      </c>
      <c r="O5736" t="s">
        <v>40437</v>
      </c>
      <c r="P5736">
        <v>0</v>
      </c>
      <c r="Q5736">
        <v>0</v>
      </c>
      <c r="R5736" t="s">
        <v>40442</v>
      </c>
      <c r="S5736" t="s">
        <v>40638</v>
      </c>
      <c r="T5736" t="s">
        <v>42160</v>
      </c>
      <c r="U5736" t="s">
        <v>47490</v>
      </c>
      <c r="W5736" t="s">
        <v>39009</v>
      </c>
      <c r="X5736" t="s">
        <v>40443</v>
      </c>
    </row>
    <row r="5737" spans="1:24">
      <c r="A5737">
        <f>HYPERLINK("https://www.philgeps.gov.ph/GEPSNONPILOT/Tender/SplashBidNoticeAbstractUI.aspx?menuIndex=3&amp;refID=7043586&amp;Result=3","7043586")</f>
        <v>0</v>
      </c>
      <c r="B5737" t="s">
        <v>1878</v>
      </c>
      <c r="C5737" t="s">
        <v>4494</v>
      </c>
      <c r="D5737" t="s">
        <v>16210</v>
      </c>
      <c r="E5737" t="s">
        <v>21369</v>
      </c>
      <c r="F5737" t="s">
        <v>28198</v>
      </c>
      <c r="G5737" t="s">
        <v>28205</v>
      </c>
      <c r="H5737" t="s">
        <v>28215</v>
      </c>
      <c r="I5737" t="s">
        <v>4200</v>
      </c>
      <c r="J5737" t="s">
        <v>31997</v>
      </c>
      <c r="K5737" t="s">
        <v>36706</v>
      </c>
      <c r="M5737" t="s">
        <v>39010</v>
      </c>
      <c r="N5737" t="s">
        <v>40436</v>
      </c>
      <c r="O5737" t="s">
        <v>40437</v>
      </c>
      <c r="P5737">
        <v>0</v>
      </c>
      <c r="Q5737">
        <v>5</v>
      </c>
      <c r="R5737" t="s">
        <v>40442</v>
      </c>
      <c r="S5737" t="s">
        <v>40638</v>
      </c>
      <c r="T5737" t="s">
        <v>42119</v>
      </c>
      <c r="U5737" t="s">
        <v>47491</v>
      </c>
      <c r="W5737" t="s">
        <v>39010</v>
      </c>
      <c r="X5737" t="s">
        <v>40443</v>
      </c>
    </row>
    <row r="5738" spans="1:24">
      <c r="A5738">
        <f>HYPERLINK("https://www.philgeps.gov.ph/GEPSNONPILOT/Tender/SplashBidNoticeAbstractUI.aspx?menuIndex=3&amp;refID=7043582&amp;Result=3","7043582")</f>
        <v>0</v>
      </c>
      <c r="B5738" t="s">
        <v>1879</v>
      </c>
      <c r="C5738" t="s">
        <v>8542</v>
      </c>
      <c r="D5738" t="s">
        <v>16210</v>
      </c>
      <c r="E5738" t="s">
        <v>21370</v>
      </c>
      <c r="F5738" t="s">
        <v>28198</v>
      </c>
      <c r="G5738" t="s">
        <v>28207</v>
      </c>
      <c r="H5738" t="s">
        <v>28215</v>
      </c>
      <c r="I5738" t="s">
        <v>28234</v>
      </c>
      <c r="J5738" t="s">
        <v>28626</v>
      </c>
      <c r="K5738" t="s">
        <v>36695</v>
      </c>
      <c r="M5738" t="s">
        <v>39011</v>
      </c>
      <c r="N5738" t="s">
        <v>40436</v>
      </c>
      <c r="O5738" t="s">
        <v>40437</v>
      </c>
      <c r="P5738">
        <v>0</v>
      </c>
      <c r="Q5738">
        <v>7</v>
      </c>
      <c r="R5738" t="s">
        <v>40442</v>
      </c>
      <c r="S5738" t="s">
        <v>40638</v>
      </c>
      <c r="T5738" t="s">
        <v>42233</v>
      </c>
      <c r="U5738" t="s">
        <v>47492</v>
      </c>
      <c r="W5738" t="s">
        <v>39011</v>
      </c>
      <c r="X5738" t="s">
        <v>40443</v>
      </c>
    </row>
    <row r="5739" spans="1:24">
      <c r="A5739">
        <f>HYPERLINK("https://www.philgeps.gov.ph/GEPSNONPILOT/Tender/SplashBidNoticeAbstractUI.aspx?menuIndex=3&amp;refID=7043577&amp;Result=3","7043577")</f>
        <v>0</v>
      </c>
      <c r="B5739" t="s">
        <v>986</v>
      </c>
      <c r="C5739" t="s">
        <v>8543</v>
      </c>
      <c r="D5739" t="s">
        <v>16194</v>
      </c>
      <c r="E5739" t="s">
        <v>21371</v>
      </c>
      <c r="F5739" t="s">
        <v>28198</v>
      </c>
      <c r="G5739" t="s">
        <v>28213</v>
      </c>
      <c r="H5739" t="s">
        <v>28215</v>
      </c>
      <c r="I5739" t="s">
        <v>28254</v>
      </c>
      <c r="J5739" t="s">
        <v>28373</v>
      </c>
      <c r="K5739" t="s">
        <v>36706</v>
      </c>
      <c r="M5739" t="s">
        <v>38013</v>
      </c>
      <c r="N5739" t="s">
        <v>40436</v>
      </c>
      <c r="O5739" t="s">
        <v>40437</v>
      </c>
      <c r="P5739">
        <v>0</v>
      </c>
      <c r="Q5739">
        <v>3</v>
      </c>
      <c r="R5739" t="s">
        <v>40442</v>
      </c>
      <c r="S5739" t="s">
        <v>40638</v>
      </c>
      <c r="T5739" t="s">
        <v>42111</v>
      </c>
      <c r="U5739" t="s">
        <v>47493</v>
      </c>
      <c r="W5739" t="s">
        <v>38013</v>
      </c>
      <c r="X5739" t="s">
        <v>40443</v>
      </c>
    </row>
    <row r="5740" spans="1:24">
      <c r="A5740">
        <f>HYPERLINK("https://www.philgeps.gov.ph/GEPSNONPILOT/Tender/SplashBidNoticeAbstractUI.aspx?menuIndex=3&amp;refID=7043624&amp;Result=3","7043624")</f>
        <v>0</v>
      </c>
      <c r="B5740" t="s">
        <v>1880</v>
      </c>
      <c r="C5740" t="s">
        <v>8544</v>
      </c>
      <c r="D5740" t="s">
        <v>16207</v>
      </c>
      <c r="E5740" t="s">
        <v>21372</v>
      </c>
      <c r="F5740" t="s">
        <v>28198</v>
      </c>
      <c r="G5740" t="s">
        <v>28206</v>
      </c>
      <c r="H5740" t="s">
        <v>28214</v>
      </c>
      <c r="I5740" t="s">
        <v>5100</v>
      </c>
      <c r="J5740" t="s">
        <v>31998</v>
      </c>
      <c r="K5740" t="s">
        <v>36706</v>
      </c>
      <c r="M5740" t="s">
        <v>39012</v>
      </c>
      <c r="N5740" t="s">
        <v>40436</v>
      </c>
      <c r="O5740" t="s">
        <v>40437</v>
      </c>
      <c r="P5740">
        <v>0</v>
      </c>
      <c r="Q5740">
        <v>1</v>
      </c>
      <c r="R5740" t="s">
        <v>40442</v>
      </c>
      <c r="S5740" t="s">
        <v>40638</v>
      </c>
      <c r="T5740" t="s">
        <v>42131</v>
      </c>
      <c r="U5740" t="s">
        <v>47494</v>
      </c>
      <c r="W5740" t="s">
        <v>39012</v>
      </c>
      <c r="X5740" t="s">
        <v>40443</v>
      </c>
    </row>
    <row r="5741" spans="1:24">
      <c r="A5741">
        <f>HYPERLINK("https://www.philgeps.gov.ph/GEPSNONPILOT/Tender/SplashBidNoticeAbstractUI.aspx?menuIndex=3&amp;refID=7043566&amp;Result=3","7043566")</f>
        <v>0</v>
      </c>
      <c r="B5741" t="s">
        <v>1402</v>
      </c>
      <c r="C5741" t="s">
        <v>8545</v>
      </c>
      <c r="D5741" t="s">
        <v>16210</v>
      </c>
      <c r="E5741" t="s">
        <v>21373</v>
      </c>
      <c r="F5741" t="s">
        <v>28198</v>
      </c>
      <c r="G5741" t="s">
        <v>28205</v>
      </c>
      <c r="H5741" t="s">
        <v>28215</v>
      </c>
      <c r="I5741" t="s">
        <v>4200</v>
      </c>
      <c r="J5741" t="s">
        <v>31999</v>
      </c>
      <c r="K5741" t="s">
        <v>36688</v>
      </c>
      <c r="M5741" t="s">
        <v>38467</v>
      </c>
      <c r="N5741" t="s">
        <v>40436</v>
      </c>
      <c r="O5741" t="s">
        <v>40437</v>
      </c>
      <c r="P5741">
        <v>0</v>
      </c>
      <c r="Q5741">
        <v>0</v>
      </c>
      <c r="R5741" t="s">
        <v>40442</v>
      </c>
      <c r="S5741" t="s">
        <v>40638</v>
      </c>
      <c r="T5741" t="s">
        <v>42347</v>
      </c>
      <c r="U5741" t="s">
        <v>47495</v>
      </c>
      <c r="W5741" t="s">
        <v>38467</v>
      </c>
      <c r="X5741" t="s">
        <v>40443</v>
      </c>
    </row>
    <row r="5742" spans="1:24">
      <c r="A5742">
        <f>HYPERLINK("https://www.philgeps.gov.ph/GEPSNONPILOT/Tender/SplashBidNoticeAbstractUI.aspx?menuIndex=3&amp;refID=7043630&amp;Result=3","7043630")</f>
        <v>0</v>
      </c>
      <c r="B5742" t="s">
        <v>1874</v>
      </c>
      <c r="C5742" t="s">
        <v>8546</v>
      </c>
      <c r="D5742" t="s">
        <v>16188</v>
      </c>
      <c r="E5742" t="s">
        <v>21374</v>
      </c>
      <c r="F5742" t="s">
        <v>28198</v>
      </c>
      <c r="G5742" t="s">
        <v>28205</v>
      </c>
      <c r="H5742" t="s">
        <v>28215</v>
      </c>
      <c r="I5742" t="s">
        <v>28237</v>
      </c>
      <c r="J5742" t="s">
        <v>32000</v>
      </c>
      <c r="K5742" t="s">
        <v>36688</v>
      </c>
      <c r="M5742" t="s">
        <v>39006</v>
      </c>
      <c r="N5742" t="s">
        <v>40436</v>
      </c>
      <c r="O5742" t="s">
        <v>40437</v>
      </c>
      <c r="P5742">
        <v>0</v>
      </c>
      <c r="Q5742">
        <v>1</v>
      </c>
      <c r="R5742" t="s">
        <v>40442</v>
      </c>
      <c r="S5742" t="s">
        <v>40638</v>
      </c>
      <c r="T5742" t="s">
        <v>42284</v>
      </c>
      <c r="U5742" t="s">
        <v>47496</v>
      </c>
      <c r="V5742" t="s">
        <v>54051</v>
      </c>
      <c r="W5742" t="s">
        <v>39006</v>
      </c>
      <c r="X5742" t="s">
        <v>40443</v>
      </c>
    </row>
    <row r="5743" spans="1:24">
      <c r="A5743">
        <f>HYPERLINK("https://www.philgeps.gov.ph/GEPSNONPILOT/Tender/SplashBidNoticeAbstractUI.aspx?menuIndex=3&amp;refID=7043651&amp;Result=3","7043651")</f>
        <v>0</v>
      </c>
      <c r="B5743" t="s">
        <v>1881</v>
      </c>
      <c r="C5743" t="s">
        <v>8547</v>
      </c>
      <c r="D5743" t="s">
        <v>16235</v>
      </c>
      <c r="E5743" t="s">
        <v>16834</v>
      </c>
      <c r="F5743" t="s">
        <v>28198</v>
      </c>
      <c r="G5743" t="s">
        <v>28205</v>
      </c>
      <c r="H5743" t="s">
        <v>28215</v>
      </c>
      <c r="I5743" t="s">
        <v>4219</v>
      </c>
      <c r="J5743" t="s">
        <v>32001</v>
      </c>
      <c r="K5743" t="s">
        <v>36694</v>
      </c>
      <c r="M5743" t="s">
        <v>39013</v>
      </c>
      <c r="N5743" t="s">
        <v>40436</v>
      </c>
      <c r="O5743" t="s">
        <v>40437</v>
      </c>
      <c r="P5743">
        <v>0</v>
      </c>
      <c r="Q5743">
        <v>1</v>
      </c>
      <c r="R5743" t="s">
        <v>40442</v>
      </c>
      <c r="S5743" t="s">
        <v>40638</v>
      </c>
      <c r="T5743" t="s">
        <v>42160</v>
      </c>
      <c r="U5743" t="s">
        <v>47490</v>
      </c>
      <c r="V5743" t="s">
        <v>54357</v>
      </c>
      <c r="W5743" t="s">
        <v>39013</v>
      </c>
      <c r="X5743" t="s">
        <v>40443</v>
      </c>
    </row>
    <row r="5744" spans="1:24">
      <c r="A5744">
        <f>HYPERLINK("https://www.philgeps.gov.ph/GEPSNONPILOT/Tender/SplashBidNoticeAbstractUI.aspx?menuIndex=3&amp;refID=7043650&amp;Result=3","7043650")</f>
        <v>0</v>
      </c>
      <c r="B5744" t="s">
        <v>1754</v>
      </c>
      <c r="C5744" t="s">
        <v>8548</v>
      </c>
      <c r="D5744" t="s">
        <v>16201</v>
      </c>
      <c r="E5744" t="s">
        <v>21375</v>
      </c>
      <c r="F5744" t="s">
        <v>28198</v>
      </c>
      <c r="G5744" t="s">
        <v>28206</v>
      </c>
      <c r="H5744" t="s">
        <v>28217</v>
      </c>
      <c r="I5744" t="s">
        <v>5100</v>
      </c>
      <c r="J5744" t="s">
        <v>32002</v>
      </c>
      <c r="K5744" t="s">
        <v>36688</v>
      </c>
      <c r="M5744" t="s">
        <v>38867</v>
      </c>
      <c r="N5744" t="s">
        <v>40436</v>
      </c>
      <c r="O5744" t="s">
        <v>40437</v>
      </c>
      <c r="P5744">
        <v>0</v>
      </c>
      <c r="Q5744">
        <v>0</v>
      </c>
      <c r="R5744" t="s">
        <v>40442</v>
      </c>
      <c r="S5744" t="s">
        <v>40638</v>
      </c>
      <c r="T5744" t="s">
        <v>42190</v>
      </c>
      <c r="U5744" t="s">
        <v>47497</v>
      </c>
      <c r="W5744" t="s">
        <v>38867</v>
      </c>
      <c r="X5744" t="s">
        <v>40443</v>
      </c>
    </row>
    <row r="5745" spans="1:24">
      <c r="A5745">
        <f>HYPERLINK("https://www.philgeps.gov.ph/GEPSNONPILOT/Tender/SplashBidNoticeAbstractUI.aspx?menuIndex=3&amp;refID=7043654&amp;Result=3","7043654")</f>
        <v>0</v>
      </c>
      <c r="B5745" t="s">
        <v>1882</v>
      </c>
      <c r="C5745" t="s">
        <v>8549</v>
      </c>
      <c r="D5745" t="s">
        <v>16203</v>
      </c>
      <c r="E5745" t="s">
        <v>19415</v>
      </c>
      <c r="F5745" t="s">
        <v>28198</v>
      </c>
      <c r="G5745" t="s">
        <v>28205</v>
      </c>
      <c r="H5745" t="s">
        <v>28214</v>
      </c>
      <c r="I5745" t="s">
        <v>3797</v>
      </c>
      <c r="J5745" t="s">
        <v>32003</v>
      </c>
      <c r="K5745" t="s">
        <v>36735</v>
      </c>
      <c r="M5745" t="s">
        <v>39014</v>
      </c>
      <c r="N5745" t="s">
        <v>40436</v>
      </c>
      <c r="O5745" t="s">
        <v>40437</v>
      </c>
      <c r="P5745">
        <v>0</v>
      </c>
      <c r="Q5745">
        <v>0</v>
      </c>
      <c r="R5745" t="s">
        <v>40442</v>
      </c>
      <c r="S5745" t="s">
        <v>40638</v>
      </c>
      <c r="T5745" t="s">
        <v>42118</v>
      </c>
      <c r="U5745" t="s">
        <v>47498</v>
      </c>
      <c r="W5745" t="s">
        <v>39014</v>
      </c>
      <c r="X5745" t="s">
        <v>40443</v>
      </c>
    </row>
    <row r="5746" spans="1:24">
      <c r="A5746">
        <f>HYPERLINK("https://www.philgeps.gov.ph/GEPSNONPILOT/Tender/SplashBidNoticeAbstractUI.aspx?menuIndex=3&amp;refID=7043643&amp;Result=3","7043643")</f>
        <v>0</v>
      </c>
      <c r="B5746" t="s">
        <v>1883</v>
      </c>
      <c r="C5746" t="s">
        <v>8550</v>
      </c>
      <c r="D5746" t="s">
        <v>16207</v>
      </c>
      <c r="E5746" t="s">
        <v>21376</v>
      </c>
      <c r="F5746" t="s">
        <v>28198</v>
      </c>
      <c r="G5746" t="s">
        <v>28207</v>
      </c>
      <c r="H5746" t="s">
        <v>28215</v>
      </c>
      <c r="I5746" t="s">
        <v>28257</v>
      </c>
      <c r="J5746" t="s">
        <v>29246</v>
      </c>
      <c r="K5746" t="s">
        <v>36687</v>
      </c>
      <c r="M5746" t="s">
        <v>39015</v>
      </c>
      <c r="N5746" t="s">
        <v>40436</v>
      </c>
      <c r="O5746" t="s">
        <v>40437</v>
      </c>
      <c r="P5746">
        <v>0</v>
      </c>
      <c r="Q5746">
        <v>2</v>
      </c>
      <c r="R5746" t="s">
        <v>40442</v>
      </c>
      <c r="S5746" t="s">
        <v>40638</v>
      </c>
      <c r="T5746" t="s">
        <v>42233</v>
      </c>
      <c r="U5746" t="s">
        <v>47499</v>
      </c>
      <c r="V5746" t="s">
        <v>54358</v>
      </c>
      <c r="W5746" t="s">
        <v>39015</v>
      </c>
      <c r="X5746" t="s">
        <v>40443</v>
      </c>
    </row>
    <row r="5747" spans="1:24">
      <c r="A5747">
        <f>HYPERLINK("https://www.philgeps.gov.ph/GEPSNONPILOT/Tender/SplashBidNoticeAbstractUI.aspx?menuIndex=3&amp;refID=6999393&amp;Result=3","6999393")</f>
        <v>0</v>
      </c>
      <c r="B5747" t="s">
        <v>1884</v>
      </c>
      <c r="C5747" t="s">
        <v>8551</v>
      </c>
      <c r="E5747" t="s">
        <v>21377</v>
      </c>
      <c r="F5747" t="s">
        <v>28198</v>
      </c>
      <c r="G5747" t="s">
        <v>28205</v>
      </c>
      <c r="H5747" t="s">
        <v>28215</v>
      </c>
      <c r="I5747" t="s">
        <v>28222</v>
      </c>
      <c r="J5747" t="s">
        <v>32004</v>
      </c>
      <c r="K5747" t="s">
        <v>36692</v>
      </c>
      <c r="M5747" t="s">
        <v>39016</v>
      </c>
      <c r="N5747" t="s">
        <v>40436</v>
      </c>
      <c r="O5747" t="s">
        <v>40437</v>
      </c>
      <c r="P5747">
        <v>0</v>
      </c>
      <c r="Q5747">
        <v>14</v>
      </c>
      <c r="R5747" t="s">
        <v>40443</v>
      </c>
      <c r="S5747" t="s">
        <v>40644</v>
      </c>
      <c r="T5747" t="s">
        <v>42426</v>
      </c>
      <c r="U5747" t="s">
        <v>47500</v>
      </c>
      <c r="V5747" t="s">
        <v>54359</v>
      </c>
      <c r="W5747" t="s">
        <v>39016</v>
      </c>
      <c r="X5747" t="s">
        <v>40467</v>
      </c>
    </row>
    <row r="5748" spans="1:24">
      <c r="A5748">
        <f>HYPERLINK("https://www.philgeps.gov.ph/GEPSNONPILOT/Tender/SplashBidNoticeAbstractUI.aspx?menuIndex=3&amp;refID=7043642&amp;Result=3","7043642")</f>
        <v>0</v>
      </c>
      <c r="B5748" t="s">
        <v>1885</v>
      </c>
      <c r="C5748" t="s">
        <v>8552</v>
      </c>
      <c r="D5748" t="s">
        <v>16235</v>
      </c>
      <c r="E5748" t="s">
        <v>21378</v>
      </c>
      <c r="F5748" t="s">
        <v>28198</v>
      </c>
      <c r="G5748" t="s">
        <v>28205</v>
      </c>
      <c r="H5748" t="s">
        <v>28214</v>
      </c>
      <c r="I5748" t="s">
        <v>3797</v>
      </c>
      <c r="J5748" t="s">
        <v>28645</v>
      </c>
      <c r="K5748" t="s">
        <v>36697</v>
      </c>
      <c r="M5748" t="s">
        <v>39017</v>
      </c>
      <c r="N5748" t="s">
        <v>40436</v>
      </c>
      <c r="O5748" t="s">
        <v>40437</v>
      </c>
      <c r="P5748">
        <v>0</v>
      </c>
      <c r="Q5748">
        <v>0</v>
      </c>
      <c r="R5748" t="s">
        <v>40442</v>
      </c>
      <c r="S5748" t="s">
        <v>40638</v>
      </c>
      <c r="T5748" t="s">
        <v>42199</v>
      </c>
      <c r="U5748" t="s">
        <v>47501</v>
      </c>
      <c r="W5748" t="s">
        <v>39017</v>
      </c>
      <c r="X5748" t="s">
        <v>40443</v>
      </c>
    </row>
    <row r="5749" spans="1:24">
      <c r="A5749">
        <f>HYPERLINK("https://www.philgeps.gov.ph/GEPSNONPILOT/Tender/SplashBidNoticeAbstractUI.aspx?menuIndex=3&amp;refID=7043653&amp;Result=3","7043653")</f>
        <v>0</v>
      </c>
      <c r="B5749" t="s">
        <v>1754</v>
      </c>
      <c r="C5749" t="s">
        <v>8553</v>
      </c>
      <c r="D5749" t="s">
        <v>16201</v>
      </c>
      <c r="E5749" t="s">
        <v>21379</v>
      </c>
      <c r="F5749" t="s">
        <v>28198</v>
      </c>
      <c r="G5749" t="s">
        <v>28206</v>
      </c>
      <c r="H5749" t="s">
        <v>28217</v>
      </c>
      <c r="I5749" t="s">
        <v>5100</v>
      </c>
      <c r="J5749" t="s">
        <v>32005</v>
      </c>
      <c r="K5749" t="s">
        <v>36688</v>
      </c>
      <c r="M5749" t="s">
        <v>38867</v>
      </c>
      <c r="N5749" t="s">
        <v>40436</v>
      </c>
      <c r="O5749" t="s">
        <v>40437</v>
      </c>
      <c r="P5749">
        <v>0</v>
      </c>
      <c r="Q5749">
        <v>0</v>
      </c>
      <c r="R5749" t="s">
        <v>40442</v>
      </c>
      <c r="S5749" t="s">
        <v>40638</v>
      </c>
      <c r="T5749" t="s">
        <v>42158</v>
      </c>
      <c r="U5749" t="s">
        <v>47497</v>
      </c>
      <c r="W5749" t="s">
        <v>38867</v>
      </c>
      <c r="X5749" t="s">
        <v>40443</v>
      </c>
    </row>
    <row r="5750" spans="1:24">
      <c r="A5750">
        <f>HYPERLINK("https://www.philgeps.gov.ph/GEPSNONPILOT/Tender/SplashBidNoticeAbstractUI.aspx?menuIndex=3&amp;refID=7043649&amp;Result=3","7043649")</f>
        <v>0</v>
      </c>
      <c r="B5750" t="s">
        <v>1882</v>
      </c>
      <c r="C5750" t="s">
        <v>8554</v>
      </c>
      <c r="D5750" t="s">
        <v>16203</v>
      </c>
      <c r="E5750" t="s">
        <v>21380</v>
      </c>
      <c r="F5750" t="s">
        <v>28198</v>
      </c>
      <c r="G5750" t="s">
        <v>28205</v>
      </c>
      <c r="H5750" t="s">
        <v>28214</v>
      </c>
      <c r="I5750" t="s">
        <v>3797</v>
      </c>
      <c r="J5750" t="s">
        <v>32006</v>
      </c>
      <c r="K5750" t="s">
        <v>36690</v>
      </c>
      <c r="M5750" t="s">
        <v>39014</v>
      </c>
      <c r="N5750" t="s">
        <v>40436</v>
      </c>
      <c r="O5750" t="s">
        <v>40437</v>
      </c>
      <c r="P5750">
        <v>0</v>
      </c>
      <c r="Q5750">
        <v>0</v>
      </c>
      <c r="R5750" t="s">
        <v>40442</v>
      </c>
      <c r="S5750" t="s">
        <v>40638</v>
      </c>
      <c r="T5750" t="s">
        <v>42118</v>
      </c>
      <c r="U5750" t="s">
        <v>47502</v>
      </c>
      <c r="W5750" t="s">
        <v>39014</v>
      </c>
      <c r="X5750" t="s">
        <v>40443</v>
      </c>
    </row>
    <row r="5751" spans="1:24">
      <c r="A5751">
        <f>HYPERLINK("https://www.philgeps.gov.ph/GEPSNONPILOT/Tender/SplashBidNoticeAbstractUI.aspx?menuIndex=3&amp;refID=7043679&amp;Result=3","7043679")</f>
        <v>0</v>
      </c>
      <c r="B5751" t="s">
        <v>1886</v>
      </c>
      <c r="C5751" t="s">
        <v>8555</v>
      </c>
      <c r="D5751" t="s">
        <v>16210</v>
      </c>
      <c r="E5751" t="s">
        <v>21381</v>
      </c>
      <c r="F5751" t="s">
        <v>28198</v>
      </c>
      <c r="G5751" t="s">
        <v>28206</v>
      </c>
      <c r="H5751" t="s">
        <v>28215</v>
      </c>
      <c r="I5751" t="s">
        <v>28234</v>
      </c>
      <c r="J5751" t="s">
        <v>28597</v>
      </c>
      <c r="K5751" t="s">
        <v>36701</v>
      </c>
      <c r="M5751" t="s">
        <v>39018</v>
      </c>
      <c r="N5751" t="s">
        <v>40436</v>
      </c>
      <c r="O5751" t="s">
        <v>40437</v>
      </c>
      <c r="P5751">
        <v>0</v>
      </c>
      <c r="Q5751">
        <v>11</v>
      </c>
      <c r="R5751" t="s">
        <v>40442</v>
      </c>
      <c r="S5751" t="s">
        <v>40638</v>
      </c>
      <c r="T5751" t="s">
        <v>42417</v>
      </c>
      <c r="U5751" t="s">
        <v>47503</v>
      </c>
      <c r="W5751" t="s">
        <v>39018</v>
      </c>
      <c r="X5751" t="s">
        <v>40443</v>
      </c>
    </row>
    <row r="5752" spans="1:24">
      <c r="A5752">
        <f>HYPERLINK("https://www.philgeps.gov.ph/GEPSNONPILOT/Tender/SplashBidNoticeAbstractUI.aspx?menuIndex=3&amp;refID=7043662&amp;Result=3","7043662")</f>
        <v>0</v>
      </c>
      <c r="B5752" t="s">
        <v>1887</v>
      </c>
      <c r="C5752" t="s">
        <v>8556</v>
      </c>
      <c r="E5752" t="s">
        <v>21382</v>
      </c>
      <c r="F5752" t="s">
        <v>28198</v>
      </c>
      <c r="G5752" t="s">
        <v>28207</v>
      </c>
      <c r="H5752" t="s">
        <v>28215</v>
      </c>
      <c r="I5752" t="s">
        <v>5103</v>
      </c>
      <c r="J5752" t="s">
        <v>32007</v>
      </c>
      <c r="K5752" t="s">
        <v>36707</v>
      </c>
      <c r="M5752" t="s">
        <v>39019</v>
      </c>
      <c r="N5752" t="s">
        <v>40436</v>
      </c>
      <c r="O5752" t="s">
        <v>40437</v>
      </c>
      <c r="Q5752">
        <v>20</v>
      </c>
      <c r="R5752" t="s">
        <v>40442</v>
      </c>
      <c r="S5752" t="s">
        <v>40645</v>
      </c>
      <c r="T5752" t="s">
        <v>42203</v>
      </c>
      <c r="U5752" t="s">
        <v>47504</v>
      </c>
      <c r="W5752" t="s">
        <v>39019</v>
      </c>
      <c r="X5752" t="s">
        <v>40443</v>
      </c>
    </row>
    <row r="5753" spans="1:24">
      <c r="A5753">
        <f>HYPERLINK("https://www.philgeps.gov.ph/GEPSNONPILOT/Tender/SplashBidNoticeAbstractUI.aspx?menuIndex=3&amp;refID=7043667&amp;Result=3","7043667")</f>
        <v>0</v>
      </c>
      <c r="B5753" t="s">
        <v>1888</v>
      </c>
      <c r="C5753" t="s">
        <v>8557</v>
      </c>
      <c r="D5753" t="s">
        <v>16198</v>
      </c>
      <c r="E5753" t="s">
        <v>21383</v>
      </c>
      <c r="F5753" t="s">
        <v>28198</v>
      </c>
      <c r="G5753" t="s">
        <v>28207</v>
      </c>
      <c r="H5753" t="s">
        <v>28215</v>
      </c>
      <c r="I5753" t="s">
        <v>3774</v>
      </c>
      <c r="J5753" t="s">
        <v>32008</v>
      </c>
      <c r="K5753" t="s">
        <v>36708</v>
      </c>
      <c r="M5753" t="s">
        <v>39020</v>
      </c>
      <c r="N5753" t="s">
        <v>40436</v>
      </c>
      <c r="O5753" t="s">
        <v>40437</v>
      </c>
      <c r="P5753">
        <v>0</v>
      </c>
      <c r="Q5753">
        <v>1</v>
      </c>
      <c r="R5753" t="s">
        <v>40442</v>
      </c>
      <c r="S5753" t="s">
        <v>40638</v>
      </c>
      <c r="T5753" t="s">
        <v>42233</v>
      </c>
      <c r="U5753" t="s">
        <v>47505</v>
      </c>
      <c r="W5753" t="s">
        <v>55498</v>
      </c>
      <c r="X5753" t="s">
        <v>40443</v>
      </c>
    </row>
    <row r="5754" spans="1:24">
      <c r="A5754">
        <f>HYPERLINK("https://www.philgeps.gov.ph/GEPSNONPILOT/Tender/SplashBidNoticeAbstractUI.aspx?menuIndex=3&amp;refID=7043631&amp;Result=3","7043631")</f>
        <v>0</v>
      </c>
      <c r="B5754" t="s">
        <v>1885</v>
      </c>
      <c r="C5754" t="s">
        <v>8558</v>
      </c>
      <c r="D5754" t="s">
        <v>16235</v>
      </c>
      <c r="E5754" t="s">
        <v>21384</v>
      </c>
      <c r="F5754" t="s">
        <v>28198</v>
      </c>
      <c r="G5754" t="s">
        <v>28205</v>
      </c>
      <c r="H5754" t="s">
        <v>28214</v>
      </c>
      <c r="I5754" t="s">
        <v>3797</v>
      </c>
      <c r="J5754" t="s">
        <v>28645</v>
      </c>
      <c r="K5754" t="s">
        <v>36697</v>
      </c>
      <c r="M5754" t="s">
        <v>39017</v>
      </c>
      <c r="N5754" t="s">
        <v>40436</v>
      </c>
      <c r="O5754" t="s">
        <v>40437</v>
      </c>
      <c r="P5754">
        <v>0</v>
      </c>
      <c r="Q5754">
        <v>0</v>
      </c>
      <c r="R5754" t="s">
        <v>40442</v>
      </c>
      <c r="S5754" t="s">
        <v>40638</v>
      </c>
      <c r="T5754" t="s">
        <v>42199</v>
      </c>
      <c r="U5754" t="s">
        <v>47501</v>
      </c>
      <c r="W5754" t="s">
        <v>39017</v>
      </c>
      <c r="X5754" t="s">
        <v>40443</v>
      </c>
    </row>
    <row r="5755" spans="1:24">
      <c r="A5755">
        <f>HYPERLINK("https://www.philgeps.gov.ph/GEPSNONPILOT/Tender/SplashBidNoticeAbstractUI.aspx?menuIndex=3&amp;refID=6937456&amp;Result=3","6937456")</f>
        <v>0</v>
      </c>
      <c r="B5755" t="s">
        <v>1889</v>
      </c>
      <c r="C5755" t="s">
        <v>8559</v>
      </c>
      <c r="D5755" t="s">
        <v>16260</v>
      </c>
      <c r="E5755" t="s">
        <v>21385</v>
      </c>
      <c r="F5755" t="s">
        <v>28198</v>
      </c>
      <c r="G5755" t="s">
        <v>28205</v>
      </c>
      <c r="H5755" t="s">
        <v>28214</v>
      </c>
      <c r="I5755" t="s">
        <v>3797</v>
      </c>
      <c r="J5755" t="s">
        <v>28694</v>
      </c>
      <c r="K5755" t="s">
        <v>36701</v>
      </c>
      <c r="M5755" t="s">
        <v>39021</v>
      </c>
      <c r="N5755" t="s">
        <v>40436</v>
      </c>
      <c r="O5755" t="s">
        <v>40437</v>
      </c>
      <c r="P5755">
        <v>0</v>
      </c>
      <c r="Q5755">
        <v>1</v>
      </c>
      <c r="R5755" t="s">
        <v>40443</v>
      </c>
      <c r="S5755" t="s">
        <v>40644</v>
      </c>
      <c r="T5755" t="s">
        <v>42273</v>
      </c>
      <c r="U5755" t="s">
        <v>47506</v>
      </c>
      <c r="W5755" t="s">
        <v>39021</v>
      </c>
      <c r="X5755" t="s">
        <v>40511</v>
      </c>
    </row>
    <row r="5756" spans="1:24">
      <c r="A5756">
        <f>HYPERLINK("https://www.philgeps.gov.ph/GEPSNONPILOT/Tender/SplashBidNoticeAbstractUI.aspx?menuIndex=3&amp;refID=6989265&amp;Result=3","6989265")</f>
        <v>0</v>
      </c>
      <c r="B5756" t="s">
        <v>302</v>
      </c>
      <c r="C5756" t="s">
        <v>3622</v>
      </c>
      <c r="D5756" t="s">
        <v>16196</v>
      </c>
      <c r="E5756" t="s">
        <v>21386</v>
      </c>
      <c r="F5756" t="s">
        <v>28198</v>
      </c>
      <c r="G5756" t="s">
        <v>28205</v>
      </c>
      <c r="H5756" t="s">
        <v>28215</v>
      </c>
      <c r="I5756" t="s">
        <v>28225</v>
      </c>
      <c r="J5756" t="s">
        <v>32009</v>
      </c>
      <c r="K5756" t="s">
        <v>36707</v>
      </c>
      <c r="M5756" t="s">
        <v>37279</v>
      </c>
      <c r="N5756" t="s">
        <v>40436</v>
      </c>
      <c r="O5756" t="s">
        <v>40437</v>
      </c>
      <c r="P5756">
        <v>0</v>
      </c>
      <c r="Q5756">
        <v>27</v>
      </c>
      <c r="R5756" t="s">
        <v>40443</v>
      </c>
      <c r="S5756" t="s">
        <v>40644</v>
      </c>
      <c r="T5756" t="s">
        <v>42246</v>
      </c>
      <c r="U5756" t="s">
        <v>47507</v>
      </c>
      <c r="W5756" t="s">
        <v>37279</v>
      </c>
      <c r="X5756" t="s">
        <v>40476</v>
      </c>
    </row>
    <row r="5757" spans="1:24">
      <c r="A5757">
        <f>HYPERLINK("https://www.philgeps.gov.ph/GEPSNONPILOT/Tender/SplashBidNoticeAbstractUI.aspx?menuIndex=3&amp;refID=7043637&amp;Result=3","7043637")</f>
        <v>0</v>
      </c>
      <c r="B5757" t="s">
        <v>1644</v>
      </c>
      <c r="C5757" t="s">
        <v>8560</v>
      </c>
      <c r="D5757" t="s">
        <v>16207</v>
      </c>
      <c r="E5757" t="s">
        <v>21387</v>
      </c>
      <c r="F5757" t="s">
        <v>28198</v>
      </c>
      <c r="G5757" t="s">
        <v>28206</v>
      </c>
      <c r="H5757" t="s">
        <v>28215</v>
      </c>
      <c r="I5757" t="s">
        <v>5100</v>
      </c>
      <c r="J5757" t="s">
        <v>31357</v>
      </c>
      <c r="K5757" t="s">
        <v>36688</v>
      </c>
      <c r="M5757" t="s">
        <v>38736</v>
      </c>
      <c r="N5757" t="s">
        <v>40436</v>
      </c>
      <c r="O5757" t="s">
        <v>40437</v>
      </c>
      <c r="P5757">
        <v>0</v>
      </c>
      <c r="Q5757">
        <v>0</v>
      </c>
      <c r="R5757" t="s">
        <v>40442</v>
      </c>
      <c r="S5757" t="s">
        <v>40638</v>
      </c>
      <c r="T5757" t="s">
        <v>42141</v>
      </c>
      <c r="U5757" t="s">
        <v>47508</v>
      </c>
      <c r="W5757" t="s">
        <v>38736</v>
      </c>
      <c r="X5757" t="s">
        <v>40443</v>
      </c>
    </row>
    <row r="5758" spans="1:24">
      <c r="A5758">
        <f>HYPERLINK("https://www.philgeps.gov.ph/GEPSNONPILOT/Tender/SplashBidNoticeAbstractUI.aspx?menuIndex=3&amp;refID=7043639&amp;Result=3","7043639")</f>
        <v>0</v>
      </c>
      <c r="B5758" t="s">
        <v>1883</v>
      </c>
      <c r="C5758" t="s">
        <v>8561</v>
      </c>
      <c r="D5758" t="s">
        <v>16207</v>
      </c>
      <c r="E5758" t="s">
        <v>21388</v>
      </c>
      <c r="F5758" t="s">
        <v>28198</v>
      </c>
      <c r="G5758" t="s">
        <v>28207</v>
      </c>
      <c r="H5758" t="s">
        <v>28215</v>
      </c>
      <c r="I5758" t="s">
        <v>5631</v>
      </c>
      <c r="J5758" t="s">
        <v>32010</v>
      </c>
      <c r="K5758" t="s">
        <v>36688</v>
      </c>
      <c r="M5758" t="s">
        <v>39015</v>
      </c>
      <c r="N5758" t="s">
        <v>40436</v>
      </c>
      <c r="O5758" t="s">
        <v>40437</v>
      </c>
      <c r="P5758">
        <v>0</v>
      </c>
      <c r="Q5758">
        <v>0</v>
      </c>
      <c r="R5758" t="s">
        <v>40442</v>
      </c>
      <c r="S5758" t="s">
        <v>40638</v>
      </c>
      <c r="T5758" t="s">
        <v>42233</v>
      </c>
      <c r="U5758" t="s">
        <v>47509</v>
      </c>
      <c r="W5758" t="s">
        <v>39015</v>
      </c>
      <c r="X5758" t="s">
        <v>40443</v>
      </c>
    </row>
    <row r="5759" spans="1:24">
      <c r="A5759">
        <f>HYPERLINK("https://www.philgeps.gov.ph/GEPSNONPILOT/Tender/SplashBidNoticeAbstractUI.aspx?menuIndex=3&amp;refID=7043626&amp;Result=3","7043626")</f>
        <v>0</v>
      </c>
      <c r="B5759" t="s">
        <v>1874</v>
      </c>
      <c r="C5759" t="s">
        <v>8562</v>
      </c>
      <c r="D5759" t="s">
        <v>16188</v>
      </c>
      <c r="E5759" t="s">
        <v>21389</v>
      </c>
      <c r="F5759" t="s">
        <v>28198</v>
      </c>
      <c r="G5759" t="s">
        <v>28205</v>
      </c>
      <c r="H5759" t="s">
        <v>28215</v>
      </c>
      <c r="I5759" t="s">
        <v>28237</v>
      </c>
      <c r="J5759" t="s">
        <v>32011</v>
      </c>
      <c r="K5759" t="s">
        <v>36688</v>
      </c>
      <c r="M5759" t="s">
        <v>39006</v>
      </c>
      <c r="N5759" t="s">
        <v>40436</v>
      </c>
      <c r="O5759" t="s">
        <v>40437</v>
      </c>
      <c r="P5759">
        <v>0</v>
      </c>
      <c r="Q5759">
        <v>0</v>
      </c>
      <c r="R5759" t="s">
        <v>40442</v>
      </c>
      <c r="S5759" t="s">
        <v>40638</v>
      </c>
      <c r="T5759" t="s">
        <v>42284</v>
      </c>
      <c r="U5759" t="s">
        <v>47510</v>
      </c>
      <c r="V5759" t="s">
        <v>54051</v>
      </c>
      <c r="W5759" t="s">
        <v>39006</v>
      </c>
      <c r="X5759" t="s">
        <v>40443</v>
      </c>
    </row>
    <row r="5760" spans="1:24">
      <c r="A5760">
        <f>HYPERLINK("https://www.philgeps.gov.ph/GEPSNONPILOT/Tender/SplashBidNoticeAbstractUI.aspx?menuIndex=3&amp;refID=6944470&amp;Result=3","6944470")</f>
        <v>0</v>
      </c>
      <c r="B5760" t="s">
        <v>1890</v>
      </c>
      <c r="C5760" t="s">
        <v>8563</v>
      </c>
      <c r="D5760" t="s">
        <v>16252</v>
      </c>
      <c r="E5760" t="s">
        <v>17935</v>
      </c>
      <c r="F5760" t="s">
        <v>28198</v>
      </c>
      <c r="G5760" t="s">
        <v>28205</v>
      </c>
      <c r="H5760" t="s">
        <v>28214</v>
      </c>
      <c r="I5760" t="s">
        <v>5100</v>
      </c>
      <c r="J5760" t="s">
        <v>28352</v>
      </c>
      <c r="K5760" t="s">
        <v>36693</v>
      </c>
      <c r="M5760" t="s">
        <v>39022</v>
      </c>
      <c r="N5760" t="s">
        <v>40436</v>
      </c>
      <c r="O5760" t="s">
        <v>40437</v>
      </c>
      <c r="P5760">
        <v>0</v>
      </c>
      <c r="Q5760">
        <v>1</v>
      </c>
      <c r="R5760" t="s">
        <v>40443</v>
      </c>
      <c r="S5760" t="s">
        <v>40644</v>
      </c>
      <c r="T5760" t="s">
        <v>42131</v>
      </c>
      <c r="U5760" t="s">
        <v>47511</v>
      </c>
      <c r="W5760" t="s">
        <v>39022</v>
      </c>
      <c r="X5760" t="s">
        <v>40510</v>
      </c>
    </row>
    <row r="5761" spans="1:24">
      <c r="A5761">
        <f>HYPERLINK("https://www.philgeps.gov.ph/GEPSNONPILOT/Tender/SplashBidNoticeAbstractUI.aspx?menuIndex=3&amp;refID=7043636&amp;Result=3","7043636")</f>
        <v>0</v>
      </c>
      <c r="B5761" t="s">
        <v>1885</v>
      </c>
      <c r="C5761" t="s">
        <v>8564</v>
      </c>
      <c r="D5761" t="s">
        <v>16235</v>
      </c>
      <c r="E5761" t="s">
        <v>21390</v>
      </c>
      <c r="F5761" t="s">
        <v>28198</v>
      </c>
      <c r="G5761" t="s">
        <v>28205</v>
      </c>
      <c r="H5761" t="s">
        <v>28214</v>
      </c>
      <c r="I5761" t="s">
        <v>3797</v>
      </c>
      <c r="J5761" t="s">
        <v>28645</v>
      </c>
      <c r="K5761" t="s">
        <v>36697</v>
      </c>
      <c r="M5761" t="s">
        <v>39017</v>
      </c>
      <c r="N5761" t="s">
        <v>40436</v>
      </c>
      <c r="O5761" t="s">
        <v>40437</v>
      </c>
      <c r="P5761">
        <v>0</v>
      </c>
      <c r="Q5761">
        <v>0</v>
      </c>
      <c r="R5761" t="s">
        <v>40442</v>
      </c>
      <c r="S5761" t="s">
        <v>40638</v>
      </c>
      <c r="T5761" t="s">
        <v>42199</v>
      </c>
      <c r="U5761" t="s">
        <v>47501</v>
      </c>
      <c r="W5761" t="s">
        <v>39017</v>
      </c>
      <c r="X5761" t="s">
        <v>40443</v>
      </c>
    </row>
    <row r="5762" spans="1:24">
      <c r="A5762">
        <f>HYPERLINK("https://www.philgeps.gov.ph/GEPSNONPILOT/Tender/SplashBidNoticeAbstractUI.aspx?menuIndex=3&amp;refID=7009914&amp;Result=3","7009914")</f>
        <v>0</v>
      </c>
      <c r="B5762" t="s">
        <v>1891</v>
      </c>
      <c r="C5762" t="s">
        <v>8565</v>
      </c>
      <c r="D5762" t="s">
        <v>16195</v>
      </c>
      <c r="E5762" t="s">
        <v>19861</v>
      </c>
      <c r="F5762" t="s">
        <v>28198</v>
      </c>
      <c r="G5762" t="s">
        <v>28205</v>
      </c>
      <c r="H5762" t="s">
        <v>28215</v>
      </c>
      <c r="I5762" t="s">
        <v>28238</v>
      </c>
      <c r="J5762" t="s">
        <v>29637</v>
      </c>
      <c r="K5762" t="s">
        <v>36701</v>
      </c>
      <c r="M5762" t="s">
        <v>39023</v>
      </c>
      <c r="N5762" t="s">
        <v>40436</v>
      </c>
      <c r="O5762" t="s">
        <v>40437</v>
      </c>
      <c r="P5762">
        <v>0</v>
      </c>
      <c r="Q5762">
        <v>2</v>
      </c>
      <c r="R5762" t="s">
        <v>40443</v>
      </c>
      <c r="S5762" t="s">
        <v>40644</v>
      </c>
      <c r="T5762" t="s">
        <v>42366</v>
      </c>
      <c r="U5762" t="s">
        <v>47512</v>
      </c>
      <c r="W5762" t="s">
        <v>39023</v>
      </c>
      <c r="X5762" t="s">
        <v>40460</v>
      </c>
    </row>
    <row r="5763" spans="1:24">
      <c r="A5763">
        <f>HYPERLINK("https://www.philgeps.gov.ph/GEPSNONPILOT/Tender/SplashBidNoticeAbstractUI.aspx?menuIndex=3&amp;refID=7031553&amp;Result=3","7031553")</f>
        <v>0</v>
      </c>
      <c r="B5763" t="s">
        <v>892</v>
      </c>
      <c r="C5763" t="s">
        <v>8566</v>
      </c>
      <c r="D5763" t="s">
        <v>16195</v>
      </c>
      <c r="E5763" t="s">
        <v>21391</v>
      </c>
      <c r="F5763" t="s">
        <v>28198</v>
      </c>
      <c r="G5763" t="s">
        <v>28206</v>
      </c>
      <c r="H5763" t="s">
        <v>28215</v>
      </c>
      <c r="I5763" t="s">
        <v>28257</v>
      </c>
      <c r="J5763" t="s">
        <v>28573</v>
      </c>
      <c r="K5763" t="s">
        <v>36688</v>
      </c>
      <c r="M5763" t="s">
        <v>37908</v>
      </c>
      <c r="N5763" t="s">
        <v>40436</v>
      </c>
      <c r="O5763" t="s">
        <v>40437</v>
      </c>
      <c r="P5763">
        <v>0</v>
      </c>
      <c r="Q5763">
        <v>0</v>
      </c>
      <c r="R5763" t="s">
        <v>40443</v>
      </c>
      <c r="S5763" t="s">
        <v>40644</v>
      </c>
      <c r="T5763" t="s">
        <v>42245</v>
      </c>
      <c r="U5763" t="s">
        <v>44358</v>
      </c>
      <c r="W5763" t="s">
        <v>37908</v>
      </c>
      <c r="X5763" t="s">
        <v>40450</v>
      </c>
    </row>
    <row r="5764" spans="1:24">
      <c r="A5764">
        <f>HYPERLINK("https://www.philgeps.gov.ph/GEPSNONPILOT/Tender/SplashBidNoticeAbstractUI.aspx?menuIndex=3&amp;refID=7029460&amp;Result=3","7029460")</f>
        <v>0</v>
      </c>
      <c r="B5764" t="s">
        <v>1892</v>
      </c>
      <c r="C5764" t="s">
        <v>8567</v>
      </c>
      <c r="D5764" t="s">
        <v>16227</v>
      </c>
      <c r="E5764" t="s">
        <v>21392</v>
      </c>
      <c r="F5764" t="s">
        <v>28198</v>
      </c>
      <c r="G5764" t="s">
        <v>28205</v>
      </c>
      <c r="H5764" t="s">
        <v>28214</v>
      </c>
      <c r="I5764" t="s">
        <v>3797</v>
      </c>
      <c r="J5764" t="s">
        <v>28363</v>
      </c>
      <c r="K5764" t="s">
        <v>36687</v>
      </c>
      <c r="M5764" t="s">
        <v>39024</v>
      </c>
      <c r="N5764" t="s">
        <v>40436</v>
      </c>
      <c r="O5764" t="s">
        <v>40437</v>
      </c>
      <c r="P5764">
        <v>0</v>
      </c>
      <c r="Q5764">
        <v>0</v>
      </c>
      <c r="R5764" t="s">
        <v>40443</v>
      </c>
      <c r="S5764" t="s">
        <v>40644</v>
      </c>
      <c r="T5764" t="s">
        <v>42119</v>
      </c>
      <c r="U5764" t="s">
        <v>47513</v>
      </c>
      <c r="V5764" t="s">
        <v>54360</v>
      </c>
      <c r="W5764" t="s">
        <v>39024</v>
      </c>
      <c r="X5764" t="s">
        <v>40451</v>
      </c>
    </row>
    <row r="5765" spans="1:24">
      <c r="A5765">
        <f>HYPERLINK("https://www.philgeps.gov.ph/GEPSNONPILOT/Tender/SplashBidNoticeAbstractUI.aspx?menuIndex=3&amp;refID=7034423&amp;Result=3","7034423")</f>
        <v>0</v>
      </c>
      <c r="B5765" t="s">
        <v>64</v>
      </c>
      <c r="C5765" t="s">
        <v>8568</v>
      </c>
      <c r="D5765" t="s">
        <v>16201</v>
      </c>
      <c r="E5765" t="s">
        <v>21393</v>
      </c>
      <c r="F5765" t="s">
        <v>28198</v>
      </c>
      <c r="G5765" t="s">
        <v>28205</v>
      </c>
      <c r="H5765" t="s">
        <v>28214</v>
      </c>
      <c r="I5765" t="s">
        <v>3797</v>
      </c>
      <c r="J5765" t="s">
        <v>31925</v>
      </c>
      <c r="K5765" t="s">
        <v>36692</v>
      </c>
      <c r="M5765" t="s">
        <v>37035</v>
      </c>
      <c r="N5765" t="s">
        <v>40436</v>
      </c>
      <c r="O5765" t="s">
        <v>40437</v>
      </c>
      <c r="P5765">
        <v>0</v>
      </c>
      <c r="Q5765">
        <v>0</v>
      </c>
      <c r="R5765" t="s">
        <v>40443</v>
      </c>
      <c r="S5765" t="s">
        <v>40644</v>
      </c>
      <c r="T5765" t="s">
        <v>42138</v>
      </c>
      <c r="U5765" t="s">
        <v>47514</v>
      </c>
      <c r="V5765" t="s">
        <v>54361</v>
      </c>
      <c r="W5765" t="s">
        <v>37035</v>
      </c>
      <c r="X5765" t="s">
        <v>40447</v>
      </c>
    </row>
    <row r="5766" spans="1:24">
      <c r="A5766">
        <f>HYPERLINK("https://www.philgeps.gov.ph/GEPSNONPILOT/Tender/SplashBidNoticeAbstractUI.aspx?menuIndex=3&amp;refID=7038422&amp;Result=3","7038422")</f>
        <v>0</v>
      </c>
      <c r="B5766" t="s">
        <v>1893</v>
      </c>
      <c r="C5766" t="s">
        <v>8569</v>
      </c>
      <c r="D5766" t="s">
        <v>16235</v>
      </c>
      <c r="E5766" t="s">
        <v>21394</v>
      </c>
      <c r="F5766" t="s">
        <v>28198</v>
      </c>
      <c r="G5766" t="s">
        <v>28205</v>
      </c>
      <c r="H5766" t="s">
        <v>28215</v>
      </c>
      <c r="I5766" t="s">
        <v>28222</v>
      </c>
      <c r="J5766" t="s">
        <v>28360</v>
      </c>
      <c r="K5766" t="s">
        <v>36706</v>
      </c>
      <c r="M5766" t="s">
        <v>39025</v>
      </c>
      <c r="N5766" t="s">
        <v>40436</v>
      </c>
      <c r="O5766" t="s">
        <v>40437</v>
      </c>
      <c r="P5766">
        <v>0</v>
      </c>
      <c r="Q5766">
        <v>0</v>
      </c>
      <c r="R5766" t="s">
        <v>40443</v>
      </c>
      <c r="S5766" t="s">
        <v>40644</v>
      </c>
      <c r="T5766" t="s">
        <v>42429</v>
      </c>
      <c r="U5766" t="s">
        <v>47515</v>
      </c>
      <c r="W5766" t="s">
        <v>39025</v>
      </c>
      <c r="X5766" t="s">
        <v>40445</v>
      </c>
    </row>
    <row r="5767" spans="1:24">
      <c r="A5767">
        <f>HYPERLINK("https://www.philgeps.gov.ph/GEPSNONPILOT/Tender/SplashBidNoticeAbstractUI.aspx?menuIndex=3&amp;refID=7034720&amp;Result=3","7034720")</f>
        <v>0</v>
      </c>
      <c r="B5767" t="s">
        <v>1894</v>
      </c>
      <c r="C5767" t="s">
        <v>5269</v>
      </c>
      <c r="D5767" t="s">
        <v>16195</v>
      </c>
      <c r="E5767" t="s">
        <v>16473</v>
      </c>
      <c r="F5767" t="s">
        <v>28198</v>
      </c>
      <c r="G5767" t="s">
        <v>28205</v>
      </c>
      <c r="H5767" t="s">
        <v>28214</v>
      </c>
      <c r="I5767" t="s">
        <v>8870</v>
      </c>
      <c r="J5767" t="s">
        <v>28378</v>
      </c>
      <c r="K5767" t="s">
        <v>36701</v>
      </c>
      <c r="M5767" t="s">
        <v>39026</v>
      </c>
      <c r="N5767" t="s">
        <v>40436</v>
      </c>
      <c r="O5767" t="s">
        <v>40437</v>
      </c>
      <c r="P5767">
        <v>0</v>
      </c>
      <c r="Q5767">
        <v>0</v>
      </c>
      <c r="R5767" t="s">
        <v>40443</v>
      </c>
      <c r="S5767" t="s">
        <v>40644</v>
      </c>
      <c r="T5767" t="s">
        <v>42202</v>
      </c>
      <c r="U5767" t="s">
        <v>47516</v>
      </c>
      <c r="W5767" t="s">
        <v>39026</v>
      </c>
      <c r="X5767" t="s">
        <v>40447</v>
      </c>
    </row>
    <row r="5768" spans="1:24">
      <c r="A5768">
        <f>HYPERLINK("https://www.philgeps.gov.ph/GEPSNONPILOT/Tender/SplashBidNoticeAbstractUI.aspx?menuIndex=3&amp;refID=7037528&amp;Result=3","7037528")</f>
        <v>0</v>
      </c>
      <c r="B5768" t="s">
        <v>1895</v>
      </c>
      <c r="C5768" t="s">
        <v>8570</v>
      </c>
      <c r="D5768" t="s">
        <v>16193</v>
      </c>
      <c r="E5768" t="s">
        <v>21395</v>
      </c>
      <c r="F5768" t="s">
        <v>28198</v>
      </c>
      <c r="G5768" t="s">
        <v>28205</v>
      </c>
      <c r="H5768" t="s">
        <v>28214</v>
      </c>
      <c r="I5768" t="s">
        <v>3797</v>
      </c>
      <c r="J5768" t="s">
        <v>32012</v>
      </c>
      <c r="K5768" t="s">
        <v>36687</v>
      </c>
      <c r="M5768" t="s">
        <v>39027</v>
      </c>
      <c r="N5768" t="s">
        <v>40436</v>
      </c>
      <c r="O5768" t="s">
        <v>40437</v>
      </c>
      <c r="P5768">
        <v>0</v>
      </c>
      <c r="Q5768">
        <v>2</v>
      </c>
      <c r="R5768" t="s">
        <v>40443</v>
      </c>
      <c r="S5768" t="s">
        <v>40644</v>
      </c>
      <c r="T5768" t="s">
        <v>42218</v>
      </c>
      <c r="U5768" t="s">
        <v>47517</v>
      </c>
      <c r="W5768" t="s">
        <v>39027</v>
      </c>
      <c r="X5768" t="s">
        <v>40446</v>
      </c>
    </row>
    <row r="5769" spans="1:24">
      <c r="A5769">
        <f>HYPERLINK("https://www.philgeps.gov.ph/GEPSNONPILOT/Tender/SplashBidNoticeAbstractUI.aspx?menuIndex=3&amp;refID=7029879&amp;Result=3","7029879")</f>
        <v>0</v>
      </c>
      <c r="B5769" t="s">
        <v>911</v>
      </c>
      <c r="C5769" t="s">
        <v>4168</v>
      </c>
      <c r="D5769" t="s">
        <v>16266</v>
      </c>
      <c r="E5769" t="s">
        <v>18192</v>
      </c>
      <c r="F5769" t="s">
        <v>28198</v>
      </c>
      <c r="G5769" t="s">
        <v>28206</v>
      </c>
      <c r="H5769" t="s">
        <v>28215</v>
      </c>
      <c r="I5769" t="s">
        <v>4168</v>
      </c>
      <c r="J5769" t="s">
        <v>32013</v>
      </c>
      <c r="K5769" t="s">
        <v>36706</v>
      </c>
      <c r="M5769" t="s">
        <v>37930</v>
      </c>
      <c r="N5769" t="s">
        <v>40436</v>
      </c>
      <c r="O5769" t="s">
        <v>40437</v>
      </c>
      <c r="P5769">
        <v>0</v>
      </c>
      <c r="Q5769">
        <v>1</v>
      </c>
      <c r="R5769" t="s">
        <v>40443</v>
      </c>
      <c r="S5769" t="s">
        <v>40644</v>
      </c>
      <c r="T5769" t="s">
        <v>42131</v>
      </c>
      <c r="U5769" t="s">
        <v>47518</v>
      </c>
      <c r="W5769" t="s">
        <v>37930</v>
      </c>
      <c r="X5769" t="s">
        <v>40450</v>
      </c>
    </row>
    <row r="5770" spans="1:24">
      <c r="A5770">
        <f>HYPERLINK("https://www.philgeps.gov.ph/GEPSNONPILOT/Tender/SplashBidNoticeAbstractUI.aspx?menuIndex=3&amp;refID=7025837&amp;Result=3","7025837")</f>
        <v>0</v>
      </c>
      <c r="B5770" t="s">
        <v>1896</v>
      </c>
      <c r="C5770" t="s">
        <v>3119</v>
      </c>
      <c r="D5770" t="s">
        <v>16198</v>
      </c>
      <c r="E5770" t="s">
        <v>21396</v>
      </c>
      <c r="F5770" t="s">
        <v>28198</v>
      </c>
      <c r="G5770" t="s">
        <v>28205</v>
      </c>
      <c r="H5770" t="s">
        <v>28214</v>
      </c>
      <c r="I5770" t="s">
        <v>3797</v>
      </c>
      <c r="J5770" t="s">
        <v>28350</v>
      </c>
      <c r="K5770" t="s">
        <v>36693</v>
      </c>
      <c r="M5770" t="s">
        <v>39028</v>
      </c>
      <c r="N5770" t="s">
        <v>40436</v>
      </c>
      <c r="O5770" t="s">
        <v>40437</v>
      </c>
      <c r="P5770">
        <v>0</v>
      </c>
      <c r="Q5770">
        <v>0</v>
      </c>
      <c r="R5770" t="s">
        <v>40443</v>
      </c>
      <c r="S5770" t="s">
        <v>40644</v>
      </c>
      <c r="T5770" t="s">
        <v>42158</v>
      </c>
      <c r="U5770" t="s">
        <v>47519</v>
      </c>
      <c r="W5770" t="s">
        <v>39028</v>
      </c>
      <c r="X5770" t="s">
        <v>40452</v>
      </c>
    </row>
    <row r="5771" spans="1:24">
      <c r="A5771">
        <f>HYPERLINK("https://www.philgeps.gov.ph/GEPSNONPILOT/Tender/SplashBidNoticeAbstractUI.aspx?menuIndex=3&amp;refID=7036978&amp;Result=3","7036978")</f>
        <v>0</v>
      </c>
      <c r="B5771" t="s">
        <v>1897</v>
      </c>
      <c r="C5771" t="s">
        <v>8571</v>
      </c>
      <c r="D5771" t="s">
        <v>16242</v>
      </c>
      <c r="E5771" t="s">
        <v>21397</v>
      </c>
      <c r="F5771" t="s">
        <v>28198</v>
      </c>
      <c r="G5771" t="s">
        <v>28206</v>
      </c>
      <c r="H5771" t="s">
        <v>28215</v>
      </c>
      <c r="I5771" t="s">
        <v>28238</v>
      </c>
      <c r="J5771" t="s">
        <v>28589</v>
      </c>
      <c r="K5771" t="s">
        <v>36706</v>
      </c>
      <c r="M5771" t="s">
        <v>39029</v>
      </c>
      <c r="N5771" t="s">
        <v>40436</v>
      </c>
      <c r="O5771" t="s">
        <v>40437</v>
      </c>
      <c r="P5771">
        <v>0</v>
      </c>
      <c r="Q5771">
        <v>1</v>
      </c>
      <c r="R5771" t="s">
        <v>40443</v>
      </c>
      <c r="S5771" t="s">
        <v>40644</v>
      </c>
      <c r="T5771" t="s">
        <v>42146</v>
      </c>
      <c r="U5771" t="s">
        <v>47520</v>
      </c>
      <c r="W5771" t="s">
        <v>39029</v>
      </c>
      <c r="X5771" t="s">
        <v>40446</v>
      </c>
    </row>
    <row r="5772" spans="1:24">
      <c r="A5772">
        <f>HYPERLINK("https://www.philgeps.gov.ph/GEPSNONPILOT/Tender/SplashBidNoticeAbstractUI.aspx?menuIndex=3&amp;refID=7028954&amp;Result=3","7028954")</f>
        <v>0</v>
      </c>
      <c r="B5772" t="s">
        <v>1898</v>
      </c>
      <c r="C5772" t="s">
        <v>8572</v>
      </c>
      <c r="D5772" t="s">
        <v>16230</v>
      </c>
      <c r="E5772" t="s">
        <v>21398</v>
      </c>
      <c r="F5772" t="s">
        <v>28198</v>
      </c>
      <c r="G5772" t="s">
        <v>28205</v>
      </c>
      <c r="H5772" t="s">
        <v>28215</v>
      </c>
      <c r="I5772" t="s">
        <v>5791</v>
      </c>
      <c r="J5772" t="s">
        <v>32014</v>
      </c>
      <c r="K5772" t="s">
        <v>36707</v>
      </c>
      <c r="M5772" t="s">
        <v>39030</v>
      </c>
      <c r="N5772" t="s">
        <v>40436</v>
      </c>
      <c r="O5772" t="s">
        <v>40437</v>
      </c>
      <c r="P5772">
        <v>0</v>
      </c>
      <c r="Q5772">
        <v>2</v>
      </c>
      <c r="R5772" t="s">
        <v>40443</v>
      </c>
      <c r="S5772" t="s">
        <v>40644</v>
      </c>
      <c r="T5772" t="s">
        <v>42165</v>
      </c>
      <c r="U5772" t="s">
        <v>47521</v>
      </c>
      <c r="W5772" t="s">
        <v>39030</v>
      </c>
      <c r="X5772" t="s">
        <v>40451</v>
      </c>
    </row>
    <row r="5773" spans="1:24">
      <c r="A5773">
        <f>HYPERLINK("https://www.philgeps.gov.ph/GEPSNONPILOT/Tender/SplashBidNoticeAbstractUI.aspx?menuIndex=3&amp;refID=7038359&amp;Result=3","7038359")</f>
        <v>0</v>
      </c>
      <c r="B5773" t="s">
        <v>1899</v>
      </c>
      <c r="C5773" t="s">
        <v>8569</v>
      </c>
      <c r="D5773" t="s">
        <v>16235</v>
      </c>
      <c r="E5773" t="s">
        <v>21394</v>
      </c>
      <c r="F5773" t="s">
        <v>28198</v>
      </c>
      <c r="G5773" t="s">
        <v>28205</v>
      </c>
      <c r="H5773" t="s">
        <v>28215</v>
      </c>
      <c r="I5773" t="s">
        <v>28222</v>
      </c>
      <c r="J5773" t="s">
        <v>29483</v>
      </c>
      <c r="K5773" t="s">
        <v>36706</v>
      </c>
      <c r="M5773" t="s">
        <v>39031</v>
      </c>
      <c r="N5773" t="s">
        <v>40436</v>
      </c>
      <c r="O5773" t="s">
        <v>40437</v>
      </c>
      <c r="P5773">
        <v>0</v>
      </c>
      <c r="Q5773">
        <v>0</v>
      </c>
      <c r="R5773" t="s">
        <v>40443</v>
      </c>
      <c r="S5773" t="s">
        <v>40644</v>
      </c>
      <c r="T5773" t="s">
        <v>42429</v>
      </c>
      <c r="U5773" t="s">
        <v>47522</v>
      </c>
      <c r="W5773" t="s">
        <v>39031</v>
      </c>
      <c r="X5773" t="s">
        <v>40445</v>
      </c>
    </row>
    <row r="5774" spans="1:24">
      <c r="A5774">
        <f>HYPERLINK("https://www.philgeps.gov.ph/GEPSNONPILOT/Tender/SplashBidNoticeAbstractUI.aspx?menuIndex=3&amp;refID=7021927-2&amp;Result=3","7021927-2")</f>
        <v>0</v>
      </c>
      <c r="B5774" t="s">
        <v>1900</v>
      </c>
      <c r="C5774" t="s">
        <v>8573</v>
      </c>
      <c r="E5774" t="s">
        <v>21399</v>
      </c>
      <c r="F5774" t="s">
        <v>28198</v>
      </c>
      <c r="G5774" t="s">
        <v>28205</v>
      </c>
      <c r="H5774" t="s">
        <v>28216</v>
      </c>
      <c r="I5774" t="s">
        <v>28216</v>
      </c>
      <c r="J5774" t="s">
        <v>32015</v>
      </c>
      <c r="K5774" t="s">
        <v>36689</v>
      </c>
      <c r="M5774" t="s">
        <v>39032</v>
      </c>
      <c r="N5774" t="s">
        <v>40436</v>
      </c>
      <c r="O5774" t="s">
        <v>40437</v>
      </c>
      <c r="Q5774">
        <v>0</v>
      </c>
      <c r="R5774" t="s">
        <v>40443</v>
      </c>
      <c r="S5774" t="s">
        <v>40624</v>
      </c>
      <c r="T5774" t="s">
        <v>42279</v>
      </c>
      <c r="U5774" t="s">
        <v>47523</v>
      </c>
      <c r="V5774" t="s">
        <v>54362</v>
      </c>
      <c r="W5774" t="s">
        <v>39032</v>
      </c>
      <c r="X5774" t="s">
        <v>40444</v>
      </c>
    </row>
    <row r="5775" spans="1:24">
      <c r="A5775">
        <f>HYPERLINK("https://www.philgeps.gov.ph/GEPSNONPILOT/Tender/SplashBidNoticeAbstractUI.aspx?menuIndex=3&amp;refID=7021908-2&amp;Result=3","7021908-2")</f>
        <v>0</v>
      </c>
      <c r="B5775" t="s">
        <v>1900</v>
      </c>
      <c r="C5775" t="s">
        <v>8574</v>
      </c>
      <c r="E5775" t="s">
        <v>21400</v>
      </c>
      <c r="F5775" t="s">
        <v>28198</v>
      </c>
      <c r="G5775" t="s">
        <v>28205</v>
      </c>
      <c r="H5775" t="s">
        <v>28216</v>
      </c>
      <c r="I5775" t="s">
        <v>28216</v>
      </c>
      <c r="J5775" t="s">
        <v>32016</v>
      </c>
      <c r="K5775" t="s">
        <v>36689</v>
      </c>
      <c r="M5775" t="s">
        <v>39032</v>
      </c>
      <c r="N5775" t="s">
        <v>40436</v>
      </c>
      <c r="O5775" t="s">
        <v>40437</v>
      </c>
      <c r="Q5775">
        <v>0</v>
      </c>
      <c r="R5775" t="s">
        <v>40443</v>
      </c>
      <c r="S5775" t="s">
        <v>40646</v>
      </c>
      <c r="T5775" t="s">
        <v>42279</v>
      </c>
      <c r="U5775" t="s">
        <v>47524</v>
      </c>
      <c r="V5775" t="s">
        <v>54363</v>
      </c>
      <c r="W5775" t="s">
        <v>39032</v>
      </c>
      <c r="X5775" t="s">
        <v>40444</v>
      </c>
    </row>
    <row r="5776" spans="1:24">
      <c r="A5776">
        <f>HYPERLINK("https://www.philgeps.gov.ph/GEPSNONPILOT/Tender/SplashBidNoticeAbstractUI.aspx?menuIndex=3&amp;refID=7024405&amp;Result=3","7024405")</f>
        <v>0</v>
      </c>
      <c r="B5776" t="s">
        <v>1896</v>
      </c>
      <c r="C5776" t="s">
        <v>3119</v>
      </c>
      <c r="D5776" t="s">
        <v>16198</v>
      </c>
      <c r="E5776" t="s">
        <v>21401</v>
      </c>
      <c r="F5776" t="s">
        <v>28198</v>
      </c>
      <c r="G5776" t="s">
        <v>28205</v>
      </c>
      <c r="H5776" t="s">
        <v>28214</v>
      </c>
      <c r="I5776" t="s">
        <v>3797</v>
      </c>
      <c r="J5776" t="s">
        <v>28378</v>
      </c>
      <c r="K5776" t="s">
        <v>36707</v>
      </c>
      <c r="M5776" t="s">
        <v>39028</v>
      </c>
      <c r="N5776" t="s">
        <v>40436</v>
      </c>
      <c r="O5776" t="s">
        <v>40437</v>
      </c>
      <c r="P5776">
        <v>0</v>
      </c>
      <c r="Q5776">
        <v>0</v>
      </c>
      <c r="R5776" t="s">
        <v>40443</v>
      </c>
      <c r="S5776" t="s">
        <v>40644</v>
      </c>
      <c r="T5776" t="s">
        <v>42158</v>
      </c>
      <c r="U5776" t="s">
        <v>47525</v>
      </c>
      <c r="W5776" t="s">
        <v>39028</v>
      </c>
      <c r="X5776" t="s">
        <v>40452</v>
      </c>
    </row>
    <row r="5777" spans="1:24">
      <c r="A5777">
        <f>HYPERLINK("https://www.philgeps.gov.ph/GEPSNONPILOT/Tender/SplashBidNoticeAbstractUI.aspx?menuIndex=3&amp;refID=7025927&amp;Result=3","7025927")</f>
        <v>0</v>
      </c>
      <c r="B5777" t="s">
        <v>1901</v>
      </c>
      <c r="C5777" t="s">
        <v>3119</v>
      </c>
      <c r="D5777" t="s">
        <v>16198</v>
      </c>
      <c r="E5777" t="s">
        <v>21402</v>
      </c>
      <c r="F5777" t="s">
        <v>28198</v>
      </c>
      <c r="G5777" t="s">
        <v>28205</v>
      </c>
      <c r="H5777" t="s">
        <v>28214</v>
      </c>
      <c r="I5777" t="s">
        <v>3797</v>
      </c>
      <c r="J5777" t="s">
        <v>28694</v>
      </c>
      <c r="K5777" t="s">
        <v>36702</v>
      </c>
      <c r="M5777" t="s">
        <v>39033</v>
      </c>
      <c r="N5777" t="s">
        <v>40436</v>
      </c>
      <c r="O5777" t="s">
        <v>40437</v>
      </c>
      <c r="P5777">
        <v>0</v>
      </c>
      <c r="Q5777">
        <v>0</v>
      </c>
      <c r="R5777" t="s">
        <v>40443</v>
      </c>
      <c r="S5777" t="s">
        <v>40644</v>
      </c>
      <c r="T5777" t="s">
        <v>42158</v>
      </c>
      <c r="U5777" t="s">
        <v>47526</v>
      </c>
      <c r="W5777" t="s">
        <v>39033</v>
      </c>
      <c r="X5777" t="s">
        <v>40452</v>
      </c>
    </row>
    <row r="5778" spans="1:24">
      <c r="A5778">
        <f>HYPERLINK("https://www.philgeps.gov.ph/GEPSNONPILOT/Tender/SplashBidNoticeAbstractUI.aspx?menuIndex=3&amp;refID=7014755-2&amp;Result=3","7014755-2")</f>
        <v>0</v>
      </c>
      <c r="B5778" t="s">
        <v>718</v>
      </c>
      <c r="C5778" t="s">
        <v>8575</v>
      </c>
      <c r="D5778" t="s">
        <v>16213</v>
      </c>
      <c r="E5778" t="s">
        <v>21403</v>
      </c>
      <c r="F5778" t="s">
        <v>28198</v>
      </c>
      <c r="G5778" t="s">
        <v>28205</v>
      </c>
      <c r="H5778" t="s">
        <v>28216</v>
      </c>
      <c r="I5778" t="s">
        <v>28216</v>
      </c>
      <c r="J5778" t="s">
        <v>32017</v>
      </c>
      <c r="K5778" t="s">
        <v>36767</v>
      </c>
      <c r="M5778" t="s">
        <v>37719</v>
      </c>
      <c r="N5778" t="s">
        <v>40436</v>
      </c>
      <c r="O5778" t="s">
        <v>40437</v>
      </c>
      <c r="P5778">
        <v>0</v>
      </c>
      <c r="Q5778">
        <v>0</v>
      </c>
      <c r="R5778" t="s">
        <v>40443</v>
      </c>
      <c r="S5778" t="s">
        <v>40644</v>
      </c>
      <c r="T5778" t="s">
        <v>42112</v>
      </c>
      <c r="U5778" t="s">
        <v>47527</v>
      </c>
      <c r="W5778" t="s">
        <v>37719</v>
      </c>
      <c r="X5778" t="s">
        <v>40444</v>
      </c>
    </row>
    <row r="5779" spans="1:24">
      <c r="A5779">
        <f>HYPERLINK("https://www.philgeps.gov.ph/GEPSNONPILOT/Tender/SplashBidNoticeAbstractUI.aspx?menuIndex=3&amp;refID=7025740&amp;Result=3","7025740")</f>
        <v>0</v>
      </c>
      <c r="B5779" t="s">
        <v>1902</v>
      </c>
      <c r="C5779" t="s">
        <v>3134</v>
      </c>
      <c r="D5779" t="s">
        <v>16198</v>
      </c>
      <c r="E5779" t="s">
        <v>21404</v>
      </c>
      <c r="F5779" t="s">
        <v>28198</v>
      </c>
      <c r="G5779" t="s">
        <v>28205</v>
      </c>
      <c r="H5779" t="s">
        <v>28214</v>
      </c>
      <c r="I5779" t="s">
        <v>3797</v>
      </c>
      <c r="J5779" t="s">
        <v>28345</v>
      </c>
      <c r="K5779" t="s">
        <v>36699</v>
      </c>
      <c r="M5779" t="s">
        <v>39034</v>
      </c>
      <c r="N5779" t="s">
        <v>40436</v>
      </c>
      <c r="O5779" t="s">
        <v>40437</v>
      </c>
      <c r="P5779">
        <v>0</v>
      </c>
      <c r="Q5779">
        <v>0</v>
      </c>
      <c r="R5779" t="s">
        <v>40443</v>
      </c>
      <c r="S5779" t="s">
        <v>40644</v>
      </c>
      <c r="T5779" t="s">
        <v>42158</v>
      </c>
      <c r="U5779" t="s">
        <v>47528</v>
      </c>
      <c r="W5779" t="s">
        <v>39034</v>
      </c>
      <c r="X5779" t="s">
        <v>40452</v>
      </c>
    </row>
    <row r="5780" spans="1:24">
      <c r="A5780">
        <f>HYPERLINK("https://www.philgeps.gov.ph/GEPSNONPILOT/Tender/SplashBidNoticeAbstractUI.aspx?menuIndex=3&amp;refID=7037598&amp;Result=3","7037598")</f>
        <v>0</v>
      </c>
      <c r="B5780" t="s">
        <v>895</v>
      </c>
      <c r="C5780" t="s">
        <v>8576</v>
      </c>
      <c r="D5780" t="s">
        <v>16218</v>
      </c>
      <c r="E5780" t="s">
        <v>21405</v>
      </c>
      <c r="F5780" t="s">
        <v>28198</v>
      </c>
      <c r="G5780" t="s">
        <v>28205</v>
      </c>
      <c r="H5780" t="s">
        <v>28214</v>
      </c>
      <c r="I5780" t="s">
        <v>3797</v>
      </c>
      <c r="J5780" t="s">
        <v>28390</v>
      </c>
      <c r="K5780" t="s">
        <v>36833</v>
      </c>
      <c r="M5780" t="s">
        <v>37911</v>
      </c>
      <c r="N5780" t="s">
        <v>40436</v>
      </c>
      <c r="O5780" t="s">
        <v>40437</v>
      </c>
      <c r="P5780">
        <v>0</v>
      </c>
      <c r="Q5780">
        <v>1</v>
      </c>
      <c r="R5780" t="s">
        <v>40443</v>
      </c>
      <c r="S5780" t="s">
        <v>40644</v>
      </c>
      <c r="T5780" t="s">
        <v>42430</v>
      </c>
      <c r="U5780" t="s">
        <v>47529</v>
      </c>
      <c r="W5780" t="s">
        <v>37911</v>
      </c>
      <c r="X5780" t="s">
        <v>40446</v>
      </c>
    </row>
    <row r="5781" spans="1:24">
      <c r="A5781">
        <f>HYPERLINK("https://www.philgeps.gov.ph/GEPSNONPILOT/Tender/SplashBidNoticeAbstractUI.aspx?menuIndex=3&amp;refID=7038904&amp;Result=3","7038904")</f>
        <v>0</v>
      </c>
      <c r="B5781" t="s">
        <v>1903</v>
      </c>
      <c r="C5781" t="s">
        <v>8577</v>
      </c>
      <c r="D5781" t="s">
        <v>16218</v>
      </c>
      <c r="E5781" t="s">
        <v>21406</v>
      </c>
      <c r="F5781" t="s">
        <v>28198</v>
      </c>
      <c r="G5781" t="s">
        <v>28206</v>
      </c>
      <c r="H5781" t="s">
        <v>28215</v>
      </c>
      <c r="I5781" t="s">
        <v>4219</v>
      </c>
      <c r="J5781" t="s">
        <v>32018</v>
      </c>
      <c r="K5781" t="s">
        <v>36701</v>
      </c>
      <c r="M5781" t="s">
        <v>39035</v>
      </c>
      <c r="N5781" t="s">
        <v>40436</v>
      </c>
      <c r="O5781" t="s">
        <v>40437</v>
      </c>
      <c r="P5781">
        <v>0</v>
      </c>
      <c r="Q5781">
        <v>8</v>
      </c>
      <c r="R5781" t="s">
        <v>40443</v>
      </c>
      <c r="S5781" t="s">
        <v>40644</v>
      </c>
      <c r="T5781" t="s">
        <v>42318</v>
      </c>
      <c r="U5781" t="s">
        <v>47530</v>
      </c>
      <c r="W5781" t="s">
        <v>39035</v>
      </c>
      <c r="X5781" t="s">
        <v>40445</v>
      </c>
    </row>
    <row r="5782" spans="1:24">
      <c r="A5782">
        <f>HYPERLINK("https://www.philgeps.gov.ph/GEPSNONPILOT/Tender/SplashBidNoticeAbstractUI.aspx?menuIndex=3&amp;refID=7038755&amp;Result=3","7038755")</f>
        <v>0</v>
      </c>
      <c r="B5782" t="s">
        <v>1890</v>
      </c>
      <c r="C5782" t="s">
        <v>8578</v>
      </c>
      <c r="D5782" t="s">
        <v>16252</v>
      </c>
      <c r="E5782" t="s">
        <v>18706</v>
      </c>
      <c r="F5782" t="s">
        <v>28198</v>
      </c>
      <c r="G5782" t="s">
        <v>28205</v>
      </c>
      <c r="H5782" t="s">
        <v>28214</v>
      </c>
      <c r="I5782" t="s">
        <v>5100</v>
      </c>
      <c r="J5782" t="s">
        <v>32019</v>
      </c>
      <c r="K5782" t="s">
        <v>36693</v>
      </c>
      <c r="M5782" t="s">
        <v>39022</v>
      </c>
      <c r="N5782" t="s">
        <v>40436</v>
      </c>
      <c r="O5782" t="s">
        <v>40437</v>
      </c>
      <c r="P5782">
        <v>0</v>
      </c>
      <c r="Q5782">
        <v>2</v>
      </c>
      <c r="R5782" t="s">
        <v>40443</v>
      </c>
      <c r="S5782" t="s">
        <v>40644</v>
      </c>
      <c r="T5782" t="s">
        <v>42131</v>
      </c>
      <c r="U5782" t="s">
        <v>47531</v>
      </c>
      <c r="W5782" t="s">
        <v>39022</v>
      </c>
      <c r="X5782" t="s">
        <v>40445</v>
      </c>
    </row>
    <row r="5783" spans="1:24">
      <c r="A5783">
        <f>HYPERLINK("https://www.philgeps.gov.ph/GEPSNONPILOT/Tender/SplashBidNoticeAbstractUI.aspx?menuIndex=3&amp;refID=7013221-2&amp;Result=3","7013221-2")</f>
        <v>0</v>
      </c>
      <c r="B5783" t="s">
        <v>31</v>
      </c>
      <c r="C5783" t="s">
        <v>8579</v>
      </c>
      <c r="D5783" t="s">
        <v>16193</v>
      </c>
      <c r="E5783" t="s">
        <v>21407</v>
      </c>
      <c r="F5783" t="s">
        <v>28198</v>
      </c>
      <c r="G5783" t="s">
        <v>28205</v>
      </c>
      <c r="H5783" t="s">
        <v>28216</v>
      </c>
      <c r="I5783" t="s">
        <v>28216</v>
      </c>
      <c r="J5783" t="s">
        <v>28468</v>
      </c>
      <c r="K5783" t="s">
        <v>36706</v>
      </c>
      <c r="M5783" t="s">
        <v>37000</v>
      </c>
      <c r="N5783" t="s">
        <v>40436</v>
      </c>
      <c r="O5783" t="s">
        <v>40437</v>
      </c>
      <c r="P5783">
        <v>0</v>
      </c>
      <c r="Q5783">
        <v>0</v>
      </c>
      <c r="R5783" t="s">
        <v>40443</v>
      </c>
      <c r="S5783" t="s">
        <v>40644</v>
      </c>
      <c r="T5783" t="s">
        <v>42101</v>
      </c>
      <c r="U5783" t="s">
        <v>47532</v>
      </c>
      <c r="W5783" t="s">
        <v>37000</v>
      </c>
      <c r="X5783" t="s">
        <v>40444</v>
      </c>
    </row>
    <row r="5784" spans="1:24">
      <c r="A5784">
        <f>HYPERLINK("https://www.philgeps.gov.ph/GEPSNONPILOT/Tender/SplashBidNoticeAbstractUI.aspx?menuIndex=3&amp;refID=7039602&amp;Result=3","7039602")</f>
        <v>0</v>
      </c>
      <c r="B5784" t="s">
        <v>572</v>
      </c>
      <c r="C5784" t="s">
        <v>8580</v>
      </c>
      <c r="D5784" t="s">
        <v>16192</v>
      </c>
      <c r="E5784" t="s">
        <v>21408</v>
      </c>
      <c r="F5784" t="s">
        <v>28198</v>
      </c>
      <c r="G5784" t="s">
        <v>28205</v>
      </c>
      <c r="H5784" t="s">
        <v>28215</v>
      </c>
      <c r="I5784" t="s">
        <v>4168</v>
      </c>
      <c r="J5784" t="s">
        <v>32020</v>
      </c>
      <c r="K5784" t="s">
        <v>36701</v>
      </c>
      <c r="M5784" t="s">
        <v>37560</v>
      </c>
      <c r="N5784" t="s">
        <v>40436</v>
      </c>
      <c r="O5784" t="s">
        <v>40437</v>
      </c>
      <c r="P5784">
        <v>0</v>
      </c>
      <c r="Q5784">
        <v>3</v>
      </c>
      <c r="R5784" t="s">
        <v>40443</v>
      </c>
      <c r="S5784" t="s">
        <v>40644</v>
      </c>
      <c r="T5784" t="s">
        <v>42118</v>
      </c>
      <c r="U5784" t="s">
        <v>47533</v>
      </c>
      <c r="W5784" t="s">
        <v>37560</v>
      </c>
      <c r="X5784" t="s">
        <v>40445</v>
      </c>
    </row>
    <row r="5785" spans="1:24">
      <c r="A5785">
        <f>HYPERLINK("https://www.philgeps.gov.ph/GEPSNONPILOT/Tender/SplashBidNoticeAbstractUI.aspx?menuIndex=3&amp;refID=7039497&amp;Result=3","7039497")</f>
        <v>0</v>
      </c>
      <c r="B5785" t="s">
        <v>572</v>
      </c>
      <c r="C5785" t="s">
        <v>8581</v>
      </c>
      <c r="D5785" t="s">
        <v>16192</v>
      </c>
      <c r="E5785" t="s">
        <v>21409</v>
      </c>
      <c r="F5785" t="s">
        <v>28198</v>
      </c>
      <c r="G5785" t="s">
        <v>28205</v>
      </c>
      <c r="H5785" t="s">
        <v>28215</v>
      </c>
      <c r="I5785" t="s">
        <v>5791</v>
      </c>
      <c r="J5785" t="s">
        <v>29401</v>
      </c>
      <c r="K5785" t="s">
        <v>36701</v>
      </c>
      <c r="M5785" t="s">
        <v>37560</v>
      </c>
      <c r="N5785" t="s">
        <v>40436</v>
      </c>
      <c r="O5785" t="s">
        <v>40437</v>
      </c>
      <c r="P5785">
        <v>0</v>
      </c>
      <c r="Q5785">
        <v>0</v>
      </c>
      <c r="R5785" t="s">
        <v>40443</v>
      </c>
      <c r="S5785" t="s">
        <v>40644</v>
      </c>
      <c r="T5785" t="s">
        <v>42119</v>
      </c>
      <c r="U5785" t="s">
        <v>47534</v>
      </c>
      <c r="W5785" t="s">
        <v>37560</v>
      </c>
      <c r="X5785" t="s">
        <v>40445</v>
      </c>
    </row>
    <row r="5786" spans="1:24">
      <c r="A5786">
        <f>HYPERLINK("https://www.philgeps.gov.ph/GEPSNONPILOT/Tender/SplashBidNoticeAbstractUI.aspx?menuIndex=3&amp;refID=7040105&amp;Result=3","7040105")</f>
        <v>0</v>
      </c>
      <c r="B5786" t="s">
        <v>278</v>
      </c>
      <c r="C5786" t="s">
        <v>8582</v>
      </c>
      <c r="D5786" t="s">
        <v>16203</v>
      </c>
      <c r="E5786" t="s">
        <v>21410</v>
      </c>
      <c r="F5786" t="s">
        <v>28198</v>
      </c>
      <c r="G5786" t="s">
        <v>28205</v>
      </c>
      <c r="H5786" t="s">
        <v>28215</v>
      </c>
      <c r="I5786" t="s">
        <v>6051</v>
      </c>
      <c r="J5786" t="s">
        <v>28347</v>
      </c>
      <c r="K5786" t="s">
        <v>36701</v>
      </c>
      <c r="M5786" t="s">
        <v>37255</v>
      </c>
      <c r="N5786" t="s">
        <v>40436</v>
      </c>
      <c r="O5786" t="s">
        <v>40437</v>
      </c>
      <c r="P5786">
        <v>0</v>
      </c>
      <c r="Q5786">
        <v>7</v>
      </c>
      <c r="R5786" t="s">
        <v>40443</v>
      </c>
      <c r="S5786" t="s">
        <v>40644</v>
      </c>
      <c r="T5786" t="s">
        <v>42181</v>
      </c>
      <c r="U5786" t="s">
        <v>45518</v>
      </c>
      <c r="W5786" t="s">
        <v>37255</v>
      </c>
      <c r="X5786" t="s">
        <v>40445</v>
      </c>
    </row>
    <row r="5787" spans="1:24">
      <c r="A5787">
        <f>HYPERLINK("https://www.philgeps.gov.ph/GEPSNONPILOT/Tender/SplashBidNoticeAbstractUI.aspx?menuIndex=3&amp;refID=7039398&amp;Result=3","7039398")</f>
        <v>0</v>
      </c>
      <c r="B5787" t="s">
        <v>660</v>
      </c>
      <c r="C5787" t="s">
        <v>8583</v>
      </c>
      <c r="D5787" t="s">
        <v>16188</v>
      </c>
      <c r="E5787" t="s">
        <v>21411</v>
      </c>
      <c r="F5787" t="s">
        <v>28198</v>
      </c>
      <c r="G5787" t="s">
        <v>28207</v>
      </c>
      <c r="H5787" t="s">
        <v>28215</v>
      </c>
      <c r="I5787" t="s">
        <v>5082</v>
      </c>
      <c r="J5787" t="s">
        <v>32021</v>
      </c>
      <c r="K5787" t="s">
        <v>36689</v>
      </c>
      <c r="M5787" t="s">
        <v>37656</v>
      </c>
      <c r="N5787" t="s">
        <v>40436</v>
      </c>
      <c r="O5787" t="s">
        <v>40437</v>
      </c>
      <c r="P5787">
        <v>0</v>
      </c>
      <c r="Q5787">
        <v>1</v>
      </c>
      <c r="R5787" t="s">
        <v>40443</v>
      </c>
      <c r="S5787" t="s">
        <v>40644</v>
      </c>
      <c r="T5787" t="s">
        <v>42431</v>
      </c>
      <c r="U5787" t="s">
        <v>47535</v>
      </c>
      <c r="W5787" t="s">
        <v>37656</v>
      </c>
      <c r="X5787" t="s">
        <v>40445</v>
      </c>
    </row>
    <row r="5788" spans="1:24">
      <c r="A5788">
        <f>HYPERLINK("https://www.philgeps.gov.ph/GEPSNONPILOT/Tender/SplashBidNoticeAbstractUI.aspx?menuIndex=3&amp;refID=7039322&amp;Result=3","7039322")</f>
        <v>0</v>
      </c>
      <c r="B5788" t="s">
        <v>1904</v>
      </c>
      <c r="C5788" t="s">
        <v>8584</v>
      </c>
      <c r="D5788" t="s">
        <v>16188</v>
      </c>
      <c r="E5788" t="s">
        <v>21412</v>
      </c>
      <c r="F5788" t="s">
        <v>28199</v>
      </c>
      <c r="G5788" t="s">
        <v>28206</v>
      </c>
      <c r="H5788" t="s">
        <v>28215</v>
      </c>
      <c r="I5788" t="s">
        <v>3774</v>
      </c>
      <c r="J5788" t="s">
        <v>32022</v>
      </c>
      <c r="K5788" t="s">
        <v>36705</v>
      </c>
      <c r="M5788" t="s">
        <v>39036</v>
      </c>
      <c r="N5788" t="s">
        <v>40436</v>
      </c>
      <c r="O5788" t="s">
        <v>40437</v>
      </c>
      <c r="P5788">
        <v>0</v>
      </c>
      <c r="Q5788">
        <v>1</v>
      </c>
      <c r="R5788" t="s">
        <v>40443</v>
      </c>
      <c r="S5788" t="s">
        <v>40644</v>
      </c>
      <c r="T5788" t="s">
        <v>42190</v>
      </c>
      <c r="U5788" t="s">
        <v>47536</v>
      </c>
      <c r="W5788" t="s">
        <v>39036</v>
      </c>
      <c r="X5788" t="s">
        <v>40445</v>
      </c>
    </row>
    <row r="5789" spans="1:24">
      <c r="A5789">
        <f>HYPERLINK("https://www.philgeps.gov.ph/GEPSNONPILOT/Tender/SplashBidNoticeAbstractUI.aspx?menuIndex=3&amp;refID=7040033&amp;Result=3","7040033")</f>
        <v>0</v>
      </c>
      <c r="B5789" t="s">
        <v>278</v>
      </c>
      <c r="C5789" t="s">
        <v>8585</v>
      </c>
      <c r="D5789" t="s">
        <v>16203</v>
      </c>
      <c r="E5789" t="s">
        <v>21413</v>
      </c>
      <c r="F5789" t="s">
        <v>28198</v>
      </c>
      <c r="G5789" t="s">
        <v>28205</v>
      </c>
      <c r="H5789" t="s">
        <v>28215</v>
      </c>
      <c r="I5789" t="s">
        <v>28247</v>
      </c>
      <c r="J5789" t="s">
        <v>32023</v>
      </c>
      <c r="K5789" t="s">
        <v>36701</v>
      </c>
      <c r="M5789" t="s">
        <v>37255</v>
      </c>
      <c r="N5789" t="s">
        <v>40436</v>
      </c>
      <c r="O5789" t="s">
        <v>40437</v>
      </c>
      <c r="P5789">
        <v>0</v>
      </c>
      <c r="Q5789">
        <v>24</v>
      </c>
      <c r="R5789" t="s">
        <v>40443</v>
      </c>
      <c r="S5789" t="s">
        <v>40644</v>
      </c>
      <c r="T5789" t="s">
        <v>42181</v>
      </c>
      <c r="U5789" t="s">
        <v>45518</v>
      </c>
      <c r="W5789" t="s">
        <v>37255</v>
      </c>
      <c r="X5789" t="s">
        <v>40445</v>
      </c>
    </row>
    <row r="5790" spans="1:24">
      <c r="A5790">
        <f>HYPERLINK("https://www.philgeps.gov.ph/GEPSNONPILOT/Tender/SplashBidNoticeAbstractUI.aspx?menuIndex=3&amp;refID=7039183&amp;Result=3","7039183")</f>
        <v>0</v>
      </c>
      <c r="B5790" t="s">
        <v>64</v>
      </c>
      <c r="C5790" t="s">
        <v>8586</v>
      </c>
      <c r="D5790" t="s">
        <v>16201</v>
      </c>
      <c r="E5790" t="s">
        <v>21414</v>
      </c>
      <c r="F5790" t="s">
        <v>28198</v>
      </c>
      <c r="G5790" t="s">
        <v>28205</v>
      </c>
      <c r="H5790" t="s">
        <v>28215</v>
      </c>
      <c r="I5790" t="s">
        <v>28228</v>
      </c>
      <c r="J5790" t="s">
        <v>32024</v>
      </c>
      <c r="K5790" t="s">
        <v>36687</v>
      </c>
      <c r="M5790" t="s">
        <v>37035</v>
      </c>
      <c r="N5790" t="s">
        <v>40436</v>
      </c>
      <c r="O5790" t="s">
        <v>40437</v>
      </c>
      <c r="P5790">
        <v>0</v>
      </c>
      <c r="Q5790">
        <v>0</v>
      </c>
      <c r="R5790" t="s">
        <v>40443</v>
      </c>
      <c r="S5790" t="s">
        <v>40644</v>
      </c>
      <c r="T5790" t="s">
        <v>42138</v>
      </c>
      <c r="U5790" t="s">
        <v>47537</v>
      </c>
      <c r="W5790" t="s">
        <v>37035</v>
      </c>
      <c r="X5790" t="s">
        <v>40445</v>
      </c>
    </row>
    <row r="5791" spans="1:24">
      <c r="A5791">
        <f>HYPERLINK("https://www.philgeps.gov.ph/GEPSNONPILOT/Tender/SplashBidNoticeAbstractUI.aspx?menuIndex=3&amp;refID=7039112&amp;Result=3","7039112")</f>
        <v>0</v>
      </c>
      <c r="B5791" t="s">
        <v>1905</v>
      </c>
      <c r="C5791" t="s">
        <v>8587</v>
      </c>
      <c r="D5791" t="s">
        <v>16252</v>
      </c>
      <c r="E5791" t="s">
        <v>21415</v>
      </c>
      <c r="F5791" t="s">
        <v>28198</v>
      </c>
      <c r="G5791" t="s">
        <v>28205</v>
      </c>
      <c r="H5791" t="s">
        <v>28214</v>
      </c>
      <c r="I5791" t="s">
        <v>3797</v>
      </c>
      <c r="J5791" t="s">
        <v>28699</v>
      </c>
      <c r="K5791" t="s">
        <v>36692</v>
      </c>
      <c r="M5791" t="s">
        <v>39037</v>
      </c>
      <c r="N5791" t="s">
        <v>40436</v>
      </c>
      <c r="O5791" t="s">
        <v>40437</v>
      </c>
      <c r="P5791">
        <v>0</v>
      </c>
      <c r="Q5791">
        <v>5</v>
      </c>
      <c r="R5791" t="s">
        <v>40443</v>
      </c>
      <c r="S5791" t="s">
        <v>40644</v>
      </c>
      <c r="T5791" t="s">
        <v>42106</v>
      </c>
      <c r="U5791" t="s">
        <v>47538</v>
      </c>
      <c r="W5791" t="s">
        <v>55499</v>
      </c>
      <c r="X5791" t="s">
        <v>40445</v>
      </c>
    </row>
    <row r="5792" spans="1:24">
      <c r="A5792">
        <f>HYPERLINK("https://www.philgeps.gov.ph/GEPSNONPILOT/Tender/SplashBidNoticeAbstractUI.aspx?menuIndex=3&amp;refID=7039976&amp;Result=3","7039976")</f>
        <v>0</v>
      </c>
      <c r="B5792" t="s">
        <v>572</v>
      </c>
      <c r="C5792" t="s">
        <v>8588</v>
      </c>
      <c r="D5792" t="s">
        <v>16192</v>
      </c>
      <c r="E5792" t="s">
        <v>21416</v>
      </c>
      <c r="F5792" t="s">
        <v>28198</v>
      </c>
      <c r="G5792" t="s">
        <v>28205</v>
      </c>
      <c r="H5792" t="s">
        <v>28215</v>
      </c>
      <c r="I5792" t="s">
        <v>28225</v>
      </c>
      <c r="J5792" t="s">
        <v>32025</v>
      </c>
      <c r="K5792" t="s">
        <v>36701</v>
      </c>
      <c r="M5792" t="s">
        <v>37560</v>
      </c>
      <c r="N5792" t="s">
        <v>40436</v>
      </c>
      <c r="O5792" t="s">
        <v>40437</v>
      </c>
      <c r="P5792">
        <v>0</v>
      </c>
      <c r="Q5792">
        <v>1</v>
      </c>
      <c r="R5792" t="s">
        <v>40443</v>
      </c>
      <c r="S5792" t="s">
        <v>40644</v>
      </c>
      <c r="T5792" t="s">
        <v>42119</v>
      </c>
      <c r="U5792" t="s">
        <v>47539</v>
      </c>
      <c r="W5792" t="s">
        <v>37560</v>
      </c>
      <c r="X5792" t="s">
        <v>40445</v>
      </c>
    </row>
    <row r="5793" spans="1:24">
      <c r="A5793">
        <f>HYPERLINK("https://www.philgeps.gov.ph/GEPSNONPILOT/Tender/SplashBidNoticeAbstractUI.aspx?menuIndex=3&amp;refID=7040398&amp;Result=3","7040398")</f>
        <v>0</v>
      </c>
      <c r="B5793" t="s">
        <v>1906</v>
      </c>
      <c r="C5793" t="s">
        <v>8589</v>
      </c>
      <c r="D5793" t="s">
        <v>16199</v>
      </c>
      <c r="E5793" t="s">
        <v>21417</v>
      </c>
      <c r="F5793" t="s">
        <v>28198</v>
      </c>
      <c r="G5793" t="s">
        <v>28205</v>
      </c>
      <c r="H5793" t="s">
        <v>28214</v>
      </c>
      <c r="I5793" t="s">
        <v>3797</v>
      </c>
      <c r="J5793" t="s">
        <v>32026</v>
      </c>
      <c r="K5793" t="s">
        <v>36689</v>
      </c>
      <c r="M5793" t="s">
        <v>39038</v>
      </c>
      <c r="N5793" t="s">
        <v>40436</v>
      </c>
      <c r="O5793" t="s">
        <v>40437</v>
      </c>
      <c r="P5793">
        <v>0</v>
      </c>
      <c r="Q5793">
        <v>1</v>
      </c>
      <c r="R5793" t="s">
        <v>40443</v>
      </c>
      <c r="S5793" t="s">
        <v>40644</v>
      </c>
      <c r="T5793" t="s">
        <v>42123</v>
      </c>
      <c r="U5793" t="s">
        <v>47540</v>
      </c>
      <c r="W5793" t="s">
        <v>39038</v>
      </c>
      <c r="X5793" t="s">
        <v>40445</v>
      </c>
    </row>
    <row r="5794" spans="1:24">
      <c r="A5794">
        <f>HYPERLINK("https://www.philgeps.gov.ph/GEPSNONPILOT/Tender/SplashBidNoticeAbstractUI.aspx?menuIndex=3&amp;refID=7040358&amp;Result=3","7040358")</f>
        <v>0</v>
      </c>
      <c r="B5794" t="s">
        <v>1906</v>
      </c>
      <c r="C5794" t="s">
        <v>8590</v>
      </c>
      <c r="D5794" t="s">
        <v>16199</v>
      </c>
      <c r="E5794" t="s">
        <v>21418</v>
      </c>
      <c r="F5794" t="s">
        <v>28198</v>
      </c>
      <c r="G5794" t="s">
        <v>28205</v>
      </c>
      <c r="H5794" t="s">
        <v>28214</v>
      </c>
      <c r="I5794" t="s">
        <v>3797</v>
      </c>
      <c r="J5794" t="s">
        <v>32027</v>
      </c>
      <c r="K5794" t="s">
        <v>36689</v>
      </c>
      <c r="M5794" t="s">
        <v>39038</v>
      </c>
      <c r="N5794" t="s">
        <v>40436</v>
      </c>
      <c r="O5794" t="s">
        <v>40437</v>
      </c>
      <c r="P5794">
        <v>0</v>
      </c>
      <c r="Q5794">
        <v>2</v>
      </c>
      <c r="R5794" t="s">
        <v>40443</v>
      </c>
      <c r="S5794" t="s">
        <v>40644</v>
      </c>
      <c r="T5794" t="s">
        <v>42123</v>
      </c>
      <c r="U5794" t="s">
        <v>47541</v>
      </c>
      <c r="W5794" t="s">
        <v>39038</v>
      </c>
      <c r="X5794" t="s">
        <v>40445</v>
      </c>
    </row>
    <row r="5795" spans="1:24">
      <c r="A5795">
        <f>HYPERLINK("https://www.philgeps.gov.ph/GEPSNONPILOT/Tender/SplashBidNoticeAbstractUI.aspx?menuIndex=3&amp;refID=7039027&amp;Result=3","7039027")</f>
        <v>0</v>
      </c>
      <c r="B5795" t="s">
        <v>1907</v>
      </c>
      <c r="C5795" t="s">
        <v>8591</v>
      </c>
      <c r="D5795" t="s">
        <v>16251</v>
      </c>
      <c r="E5795" t="s">
        <v>21419</v>
      </c>
      <c r="F5795" t="s">
        <v>28198</v>
      </c>
      <c r="G5795" t="s">
        <v>28205</v>
      </c>
      <c r="H5795" t="s">
        <v>28214</v>
      </c>
      <c r="I5795" t="s">
        <v>3797</v>
      </c>
      <c r="J5795" t="s">
        <v>32028</v>
      </c>
      <c r="K5795" t="s">
        <v>36701</v>
      </c>
      <c r="M5795" t="s">
        <v>39039</v>
      </c>
      <c r="N5795" t="s">
        <v>40436</v>
      </c>
      <c r="O5795" t="s">
        <v>40437</v>
      </c>
      <c r="P5795">
        <v>0</v>
      </c>
      <c r="Q5795">
        <v>0</v>
      </c>
      <c r="R5795" t="s">
        <v>40443</v>
      </c>
      <c r="S5795" t="s">
        <v>40644</v>
      </c>
      <c r="T5795" t="s">
        <v>42390</v>
      </c>
      <c r="U5795" t="s">
        <v>47542</v>
      </c>
      <c r="V5795" t="s">
        <v>54364</v>
      </c>
      <c r="W5795" t="s">
        <v>39039</v>
      </c>
      <c r="X5795" t="s">
        <v>40445</v>
      </c>
    </row>
    <row r="5796" spans="1:24">
      <c r="A5796">
        <f>HYPERLINK("https://www.philgeps.gov.ph/GEPSNONPILOT/Tender/SplashBidNoticeAbstractUI.aspx?menuIndex=3&amp;refID=7039846&amp;Result=3","7039846")</f>
        <v>0</v>
      </c>
      <c r="B5796" t="s">
        <v>572</v>
      </c>
      <c r="C5796" t="s">
        <v>8580</v>
      </c>
      <c r="D5796" t="s">
        <v>16192</v>
      </c>
      <c r="E5796" t="s">
        <v>21420</v>
      </c>
      <c r="F5796" t="s">
        <v>28198</v>
      </c>
      <c r="G5796" t="s">
        <v>28205</v>
      </c>
      <c r="H5796" t="s">
        <v>28215</v>
      </c>
      <c r="I5796" t="s">
        <v>4168</v>
      </c>
      <c r="J5796" t="s">
        <v>32029</v>
      </c>
      <c r="K5796" t="s">
        <v>36701</v>
      </c>
      <c r="M5796" t="s">
        <v>37560</v>
      </c>
      <c r="N5796" t="s">
        <v>40436</v>
      </c>
      <c r="O5796" t="s">
        <v>40437</v>
      </c>
      <c r="Q5796">
        <v>4</v>
      </c>
      <c r="R5796" t="s">
        <v>40443</v>
      </c>
      <c r="S5796" t="s">
        <v>40639</v>
      </c>
      <c r="T5796" t="s">
        <v>42118</v>
      </c>
      <c r="U5796" t="s">
        <v>47543</v>
      </c>
      <c r="W5796" t="s">
        <v>37560</v>
      </c>
      <c r="X5796" t="s">
        <v>40445</v>
      </c>
    </row>
    <row r="5797" spans="1:24">
      <c r="A5797">
        <f>HYPERLINK("https://www.philgeps.gov.ph/GEPSNONPILOT/Tender/SplashBidNoticeAbstractUI.aspx?menuIndex=3&amp;refID=7040434&amp;Result=3","7040434")</f>
        <v>0</v>
      </c>
      <c r="B5797" t="s">
        <v>1906</v>
      </c>
      <c r="C5797" t="s">
        <v>8592</v>
      </c>
      <c r="D5797" t="s">
        <v>16199</v>
      </c>
      <c r="E5797" t="s">
        <v>21421</v>
      </c>
      <c r="F5797" t="s">
        <v>28198</v>
      </c>
      <c r="G5797" t="s">
        <v>28205</v>
      </c>
      <c r="H5797" t="s">
        <v>28214</v>
      </c>
      <c r="I5797" t="s">
        <v>3797</v>
      </c>
      <c r="J5797" t="s">
        <v>28351</v>
      </c>
      <c r="K5797" t="s">
        <v>36689</v>
      </c>
      <c r="M5797" t="s">
        <v>39038</v>
      </c>
      <c r="N5797" t="s">
        <v>40436</v>
      </c>
      <c r="O5797" t="s">
        <v>40437</v>
      </c>
      <c r="P5797">
        <v>0</v>
      </c>
      <c r="Q5797">
        <v>1</v>
      </c>
      <c r="R5797" t="s">
        <v>40443</v>
      </c>
      <c r="S5797" t="s">
        <v>40644</v>
      </c>
      <c r="T5797" t="s">
        <v>42123</v>
      </c>
      <c r="U5797" t="s">
        <v>47544</v>
      </c>
      <c r="W5797" t="s">
        <v>39038</v>
      </c>
      <c r="X5797" t="s">
        <v>40445</v>
      </c>
    </row>
    <row r="5798" spans="1:24">
      <c r="A5798">
        <f>HYPERLINK("https://www.philgeps.gov.ph/GEPSNONPILOT/Tender/SplashBidNoticeAbstractUI.aspx?menuIndex=3&amp;refID=7040131&amp;Result=3","7040131")</f>
        <v>0</v>
      </c>
      <c r="B5798" t="s">
        <v>1908</v>
      </c>
      <c r="C5798" t="s">
        <v>8593</v>
      </c>
      <c r="D5798" t="s">
        <v>16199</v>
      </c>
      <c r="E5798" t="s">
        <v>21422</v>
      </c>
      <c r="F5798" t="s">
        <v>28198</v>
      </c>
      <c r="G5798" t="s">
        <v>28205</v>
      </c>
      <c r="H5798" t="s">
        <v>28214</v>
      </c>
      <c r="I5798" t="s">
        <v>3797</v>
      </c>
      <c r="J5798" t="s">
        <v>32030</v>
      </c>
      <c r="K5798" t="s">
        <v>36742</v>
      </c>
      <c r="M5798" t="s">
        <v>39040</v>
      </c>
      <c r="N5798" t="s">
        <v>40436</v>
      </c>
      <c r="O5798" t="s">
        <v>40437</v>
      </c>
      <c r="P5798">
        <v>0</v>
      </c>
      <c r="Q5798">
        <v>3</v>
      </c>
      <c r="R5798" t="s">
        <v>40443</v>
      </c>
      <c r="S5798" t="s">
        <v>40644</v>
      </c>
      <c r="T5798" t="s">
        <v>42426</v>
      </c>
      <c r="U5798" t="s">
        <v>47545</v>
      </c>
      <c r="V5798" t="s">
        <v>54365</v>
      </c>
      <c r="W5798" t="s">
        <v>39040</v>
      </c>
      <c r="X5798" t="s">
        <v>40445</v>
      </c>
    </row>
    <row r="5799" spans="1:24">
      <c r="A5799">
        <f>HYPERLINK("https://www.philgeps.gov.ph/GEPSNONPILOT/Tender/SplashBidNoticeAbstractUI.aspx?menuIndex=3&amp;refID=7040313&amp;Result=3","7040313")</f>
        <v>0</v>
      </c>
      <c r="B5799" t="s">
        <v>351</v>
      </c>
      <c r="C5799" t="s">
        <v>8594</v>
      </c>
      <c r="D5799" t="s">
        <v>16258</v>
      </c>
      <c r="E5799" t="s">
        <v>21423</v>
      </c>
      <c r="F5799" t="s">
        <v>28198</v>
      </c>
      <c r="G5799" t="s">
        <v>28205</v>
      </c>
      <c r="H5799" t="s">
        <v>28215</v>
      </c>
      <c r="I5799" t="s">
        <v>5100</v>
      </c>
      <c r="J5799" t="s">
        <v>32031</v>
      </c>
      <c r="K5799" t="s">
        <v>36706</v>
      </c>
      <c r="M5799" t="s">
        <v>37330</v>
      </c>
      <c r="N5799" t="s">
        <v>40436</v>
      </c>
      <c r="O5799" t="s">
        <v>40437</v>
      </c>
      <c r="P5799">
        <v>0</v>
      </c>
      <c r="Q5799">
        <v>0</v>
      </c>
      <c r="R5799" t="s">
        <v>40443</v>
      </c>
      <c r="S5799" t="s">
        <v>40644</v>
      </c>
      <c r="T5799" t="s">
        <v>42136</v>
      </c>
      <c r="U5799" t="s">
        <v>47546</v>
      </c>
      <c r="W5799" t="s">
        <v>37330</v>
      </c>
      <c r="X5799" t="s">
        <v>40445</v>
      </c>
    </row>
    <row r="5800" spans="1:24">
      <c r="A5800">
        <f>HYPERLINK("https://www.philgeps.gov.ph/GEPSNONPILOT/Tender/SplashBidNoticeAbstractUI.aspx?menuIndex=3&amp;refID=7040420&amp;Result=3","7040420")</f>
        <v>0</v>
      </c>
      <c r="B5800" t="s">
        <v>1906</v>
      </c>
      <c r="C5800" t="s">
        <v>8595</v>
      </c>
      <c r="D5800" t="s">
        <v>16199</v>
      </c>
      <c r="E5800" t="s">
        <v>21424</v>
      </c>
      <c r="F5800" t="s">
        <v>28198</v>
      </c>
      <c r="G5800" t="s">
        <v>28205</v>
      </c>
      <c r="H5800" t="s">
        <v>28214</v>
      </c>
      <c r="I5800" t="s">
        <v>3797</v>
      </c>
      <c r="J5800" t="s">
        <v>32032</v>
      </c>
      <c r="K5800" t="s">
        <v>36689</v>
      </c>
      <c r="M5800" t="s">
        <v>39038</v>
      </c>
      <c r="N5800" t="s">
        <v>40436</v>
      </c>
      <c r="O5800" t="s">
        <v>40437</v>
      </c>
      <c r="P5800">
        <v>0</v>
      </c>
      <c r="Q5800">
        <v>1</v>
      </c>
      <c r="R5800" t="s">
        <v>40443</v>
      </c>
      <c r="S5800" t="s">
        <v>40644</v>
      </c>
      <c r="T5800" t="s">
        <v>42123</v>
      </c>
      <c r="U5800" t="s">
        <v>47547</v>
      </c>
      <c r="W5800" t="s">
        <v>39038</v>
      </c>
      <c r="X5800" t="s">
        <v>40445</v>
      </c>
    </row>
    <row r="5801" spans="1:24">
      <c r="A5801">
        <f>HYPERLINK("https://www.philgeps.gov.ph/GEPSNONPILOT/Tender/SplashBidNoticeAbstractUI.aspx?menuIndex=3&amp;refID=7040454&amp;Result=3","7040454")</f>
        <v>0</v>
      </c>
      <c r="B5801" t="s">
        <v>1906</v>
      </c>
      <c r="C5801" t="s">
        <v>8596</v>
      </c>
      <c r="D5801" t="s">
        <v>16199</v>
      </c>
      <c r="E5801" t="s">
        <v>21425</v>
      </c>
      <c r="F5801" t="s">
        <v>28198</v>
      </c>
      <c r="G5801" t="s">
        <v>28205</v>
      </c>
      <c r="H5801" t="s">
        <v>28215</v>
      </c>
      <c r="I5801" t="s">
        <v>5100</v>
      </c>
      <c r="J5801" t="s">
        <v>32033</v>
      </c>
      <c r="K5801" t="s">
        <v>36689</v>
      </c>
      <c r="M5801" t="s">
        <v>39038</v>
      </c>
      <c r="N5801" t="s">
        <v>40436</v>
      </c>
      <c r="O5801" t="s">
        <v>40437</v>
      </c>
      <c r="P5801">
        <v>0</v>
      </c>
      <c r="Q5801">
        <v>0</v>
      </c>
      <c r="R5801" t="s">
        <v>40443</v>
      </c>
      <c r="S5801" t="s">
        <v>40644</v>
      </c>
      <c r="T5801" t="s">
        <v>42123</v>
      </c>
      <c r="U5801" t="s">
        <v>47548</v>
      </c>
      <c r="W5801" t="s">
        <v>39038</v>
      </c>
      <c r="X5801" t="s">
        <v>40445</v>
      </c>
    </row>
    <row r="5802" spans="1:24">
      <c r="A5802">
        <f>HYPERLINK("https://www.philgeps.gov.ph/GEPSNONPILOT/Tender/SplashBidNoticeAbstractUI.aspx?menuIndex=3&amp;refID=7040449&amp;Result=3","7040449")</f>
        <v>0</v>
      </c>
      <c r="B5802" t="s">
        <v>1909</v>
      </c>
      <c r="C5802" t="s">
        <v>8597</v>
      </c>
      <c r="D5802" t="s">
        <v>16195</v>
      </c>
      <c r="E5802" t="s">
        <v>8597</v>
      </c>
      <c r="F5802" t="s">
        <v>28198</v>
      </c>
      <c r="G5802" t="s">
        <v>28206</v>
      </c>
      <c r="H5802" t="s">
        <v>28215</v>
      </c>
      <c r="I5802" t="s">
        <v>4321</v>
      </c>
      <c r="J5802" t="s">
        <v>32034</v>
      </c>
      <c r="K5802" t="s">
        <v>36743</v>
      </c>
      <c r="M5802" t="s">
        <v>39041</v>
      </c>
      <c r="N5802" t="s">
        <v>40436</v>
      </c>
      <c r="O5802" t="s">
        <v>40437</v>
      </c>
      <c r="P5802">
        <v>0</v>
      </c>
      <c r="Q5802">
        <v>1</v>
      </c>
      <c r="R5802" t="s">
        <v>40443</v>
      </c>
      <c r="S5802" t="s">
        <v>40644</v>
      </c>
      <c r="T5802" t="s">
        <v>42245</v>
      </c>
      <c r="U5802" t="s">
        <v>47549</v>
      </c>
      <c r="W5802" t="s">
        <v>39041</v>
      </c>
      <c r="X5802" t="s">
        <v>40445</v>
      </c>
    </row>
    <row r="5803" spans="1:24">
      <c r="A5803">
        <f>HYPERLINK("https://www.philgeps.gov.ph/GEPSNONPILOT/Tender/SplashBidNoticeAbstractUI.aspx?menuIndex=3&amp;refID=7040178&amp;Result=3","7040178")</f>
        <v>0</v>
      </c>
      <c r="B5803" t="s">
        <v>1910</v>
      </c>
      <c r="C5803" t="s">
        <v>8598</v>
      </c>
      <c r="D5803" t="s">
        <v>16222</v>
      </c>
      <c r="E5803" t="s">
        <v>21426</v>
      </c>
      <c r="F5803" t="s">
        <v>28198</v>
      </c>
      <c r="G5803" t="s">
        <v>28205</v>
      </c>
      <c r="H5803" t="s">
        <v>28214</v>
      </c>
      <c r="I5803" t="s">
        <v>4505</v>
      </c>
      <c r="J5803" t="s">
        <v>32035</v>
      </c>
      <c r="K5803" t="s">
        <v>36692</v>
      </c>
      <c r="M5803" t="s">
        <v>39042</v>
      </c>
      <c r="N5803" t="s">
        <v>40436</v>
      </c>
      <c r="O5803" t="s">
        <v>40437</v>
      </c>
      <c r="P5803">
        <v>0</v>
      </c>
      <c r="Q5803">
        <v>1</v>
      </c>
      <c r="R5803" t="s">
        <v>40443</v>
      </c>
      <c r="S5803" t="s">
        <v>40644</v>
      </c>
      <c r="T5803" t="s">
        <v>42341</v>
      </c>
      <c r="U5803" t="s">
        <v>47550</v>
      </c>
      <c r="V5803" t="s">
        <v>54366</v>
      </c>
      <c r="W5803" t="s">
        <v>39042</v>
      </c>
      <c r="X5803" t="s">
        <v>40445</v>
      </c>
    </row>
    <row r="5804" spans="1:24">
      <c r="A5804">
        <f>HYPERLINK("https://www.philgeps.gov.ph/GEPSNONPILOT/Tender/SplashBidNoticeAbstractUI.aspx?menuIndex=3&amp;refID=7040507&amp;Result=3","7040507")</f>
        <v>0</v>
      </c>
      <c r="B5804" t="s">
        <v>1911</v>
      </c>
      <c r="C5804" t="s">
        <v>8599</v>
      </c>
      <c r="E5804" t="s">
        <v>21427</v>
      </c>
      <c r="F5804" t="s">
        <v>28198</v>
      </c>
      <c r="G5804" t="s">
        <v>28205</v>
      </c>
      <c r="H5804" t="s">
        <v>28215</v>
      </c>
      <c r="I5804" t="s">
        <v>5100</v>
      </c>
      <c r="J5804" t="s">
        <v>32036</v>
      </c>
      <c r="K5804" t="s">
        <v>36707</v>
      </c>
      <c r="M5804" t="s">
        <v>39043</v>
      </c>
      <c r="N5804" t="s">
        <v>40436</v>
      </c>
      <c r="O5804" t="s">
        <v>40437</v>
      </c>
      <c r="P5804">
        <v>0</v>
      </c>
      <c r="Q5804">
        <v>1</v>
      </c>
      <c r="R5804" t="s">
        <v>40443</v>
      </c>
      <c r="S5804" t="s">
        <v>40644</v>
      </c>
      <c r="T5804" t="s">
        <v>42432</v>
      </c>
      <c r="U5804" t="s">
        <v>47551</v>
      </c>
      <c r="W5804" t="s">
        <v>39043</v>
      </c>
      <c r="X5804" t="s">
        <v>40445</v>
      </c>
    </row>
    <row r="5805" spans="1:24">
      <c r="A5805">
        <f>HYPERLINK("https://www.philgeps.gov.ph/GEPSNONPILOT/Tender/SplashBidNoticeAbstractUI.aspx?menuIndex=3&amp;refID=7040484&amp;Result=3","7040484")</f>
        <v>0</v>
      </c>
      <c r="B5805" t="s">
        <v>1906</v>
      </c>
      <c r="C5805" t="s">
        <v>8600</v>
      </c>
      <c r="D5805" t="s">
        <v>16199</v>
      </c>
      <c r="E5805" t="s">
        <v>21428</v>
      </c>
      <c r="F5805" t="s">
        <v>28198</v>
      </c>
      <c r="G5805" t="s">
        <v>28205</v>
      </c>
      <c r="H5805" t="s">
        <v>28215</v>
      </c>
      <c r="I5805" t="s">
        <v>5100</v>
      </c>
      <c r="J5805" t="s">
        <v>32037</v>
      </c>
      <c r="K5805" t="s">
        <v>36689</v>
      </c>
      <c r="M5805" t="s">
        <v>39038</v>
      </c>
      <c r="N5805" t="s">
        <v>40436</v>
      </c>
      <c r="O5805" t="s">
        <v>40437</v>
      </c>
      <c r="P5805">
        <v>0</v>
      </c>
      <c r="Q5805">
        <v>0</v>
      </c>
      <c r="R5805" t="s">
        <v>40443</v>
      </c>
      <c r="S5805" t="s">
        <v>40644</v>
      </c>
      <c r="T5805" t="s">
        <v>42123</v>
      </c>
      <c r="U5805" t="s">
        <v>47552</v>
      </c>
      <c r="W5805" t="s">
        <v>39038</v>
      </c>
      <c r="X5805" t="s">
        <v>40445</v>
      </c>
    </row>
    <row r="5806" spans="1:24">
      <c r="A5806">
        <f>HYPERLINK("https://www.philgeps.gov.ph/GEPSNONPILOT/Tender/SplashBidNoticeAbstractUI.aspx?menuIndex=3&amp;refID=7040481&amp;Result=3","7040481")</f>
        <v>0</v>
      </c>
      <c r="B5806" t="s">
        <v>1911</v>
      </c>
      <c r="C5806" t="s">
        <v>8601</v>
      </c>
      <c r="E5806" t="s">
        <v>21429</v>
      </c>
      <c r="F5806" t="s">
        <v>28198</v>
      </c>
      <c r="G5806" t="s">
        <v>28205</v>
      </c>
      <c r="H5806" t="s">
        <v>28215</v>
      </c>
      <c r="I5806" t="s">
        <v>5100</v>
      </c>
      <c r="J5806" t="s">
        <v>31693</v>
      </c>
      <c r="K5806" t="s">
        <v>36707</v>
      </c>
      <c r="M5806" t="s">
        <v>39043</v>
      </c>
      <c r="N5806" t="s">
        <v>40436</v>
      </c>
      <c r="O5806" t="s">
        <v>40437</v>
      </c>
      <c r="P5806">
        <v>0</v>
      </c>
      <c r="Q5806">
        <v>0</v>
      </c>
      <c r="R5806" t="s">
        <v>40443</v>
      </c>
      <c r="S5806" t="s">
        <v>40644</v>
      </c>
      <c r="T5806" t="s">
        <v>42432</v>
      </c>
      <c r="U5806" t="s">
        <v>47551</v>
      </c>
      <c r="W5806" t="s">
        <v>39043</v>
      </c>
      <c r="X5806" t="s">
        <v>40445</v>
      </c>
    </row>
    <row r="5807" spans="1:24">
      <c r="A5807">
        <f>HYPERLINK("https://www.philgeps.gov.ph/GEPSNONPILOT/Tender/SplashBidNoticeAbstractUI.aspx?menuIndex=3&amp;refID=7040456&amp;Result=3","7040456")</f>
        <v>0</v>
      </c>
      <c r="B5807" t="s">
        <v>1911</v>
      </c>
      <c r="C5807" t="s">
        <v>8602</v>
      </c>
      <c r="E5807" t="s">
        <v>21430</v>
      </c>
      <c r="F5807" t="s">
        <v>28198</v>
      </c>
      <c r="G5807" t="s">
        <v>28205</v>
      </c>
      <c r="H5807" t="s">
        <v>28215</v>
      </c>
      <c r="I5807" t="s">
        <v>5100</v>
      </c>
      <c r="J5807" t="s">
        <v>29626</v>
      </c>
      <c r="K5807" t="s">
        <v>36707</v>
      </c>
      <c r="M5807" t="s">
        <v>39043</v>
      </c>
      <c r="N5807" t="s">
        <v>40436</v>
      </c>
      <c r="O5807" t="s">
        <v>40437</v>
      </c>
      <c r="P5807">
        <v>0</v>
      </c>
      <c r="Q5807">
        <v>0</v>
      </c>
      <c r="R5807" t="s">
        <v>40443</v>
      </c>
      <c r="S5807" t="s">
        <v>40644</v>
      </c>
      <c r="T5807" t="s">
        <v>42432</v>
      </c>
      <c r="U5807" t="s">
        <v>47551</v>
      </c>
      <c r="W5807" t="s">
        <v>39043</v>
      </c>
      <c r="X5807" t="s">
        <v>40445</v>
      </c>
    </row>
    <row r="5808" spans="1:24">
      <c r="A5808">
        <f>HYPERLINK("https://www.philgeps.gov.ph/GEPSNONPILOT/Tender/SplashBidNoticeAbstractUI.aspx?menuIndex=3&amp;refID=7040536&amp;Result=3","7040536")</f>
        <v>0</v>
      </c>
      <c r="B5808" t="s">
        <v>1912</v>
      </c>
      <c r="C5808" t="s">
        <v>8603</v>
      </c>
      <c r="D5808" t="s">
        <v>16260</v>
      </c>
      <c r="E5808" t="s">
        <v>21431</v>
      </c>
      <c r="F5808" t="s">
        <v>28198</v>
      </c>
      <c r="G5808" t="s">
        <v>28205</v>
      </c>
      <c r="H5808" t="s">
        <v>28215</v>
      </c>
      <c r="I5808" t="s">
        <v>28225</v>
      </c>
      <c r="J5808" t="s">
        <v>28363</v>
      </c>
      <c r="K5808" t="s">
        <v>36707</v>
      </c>
      <c r="M5808" t="s">
        <v>39044</v>
      </c>
      <c r="N5808" t="s">
        <v>40436</v>
      </c>
      <c r="O5808" t="s">
        <v>40437</v>
      </c>
      <c r="P5808">
        <v>0</v>
      </c>
      <c r="Q5808">
        <v>6</v>
      </c>
      <c r="R5808" t="s">
        <v>40443</v>
      </c>
      <c r="S5808" t="s">
        <v>40644</v>
      </c>
      <c r="T5808" t="s">
        <v>42296</v>
      </c>
      <c r="U5808" t="s">
        <v>47553</v>
      </c>
      <c r="W5808" t="s">
        <v>39044</v>
      </c>
      <c r="X5808" t="s">
        <v>40445</v>
      </c>
    </row>
    <row r="5809" spans="1:24">
      <c r="A5809">
        <f>HYPERLINK("https://www.philgeps.gov.ph/GEPSNONPILOT/Tender/SplashBidNoticeAbstractUI.aspx?menuIndex=3&amp;refID=7040675&amp;Result=3","7040675")</f>
        <v>0</v>
      </c>
      <c r="B5809" t="s">
        <v>1913</v>
      </c>
      <c r="C5809" t="s">
        <v>8604</v>
      </c>
      <c r="D5809" t="s">
        <v>16195</v>
      </c>
      <c r="E5809" t="s">
        <v>21432</v>
      </c>
      <c r="F5809" t="s">
        <v>28198</v>
      </c>
      <c r="G5809" t="s">
        <v>28205</v>
      </c>
      <c r="H5809" t="s">
        <v>28215</v>
      </c>
      <c r="I5809" t="s">
        <v>5100</v>
      </c>
      <c r="J5809" t="s">
        <v>32038</v>
      </c>
      <c r="K5809" t="s">
        <v>36696</v>
      </c>
      <c r="M5809" t="s">
        <v>39045</v>
      </c>
      <c r="N5809" t="s">
        <v>40436</v>
      </c>
      <c r="O5809" t="s">
        <v>40437</v>
      </c>
      <c r="P5809">
        <v>0</v>
      </c>
      <c r="Q5809">
        <v>0</v>
      </c>
      <c r="R5809" t="s">
        <v>40443</v>
      </c>
      <c r="S5809" t="s">
        <v>40644</v>
      </c>
      <c r="T5809" t="s">
        <v>42305</v>
      </c>
      <c r="U5809" t="s">
        <v>47554</v>
      </c>
      <c r="W5809" t="s">
        <v>39045</v>
      </c>
      <c r="X5809" t="s">
        <v>40445</v>
      </c>
    </row>
    <row r="5810" spans="1:24">
      <c r="A5810">
        <f>HYPERLINK("https://www.philgeps.gov.ph/GEPSNONPILOT/Tender/SplashBidNoticeAbstractUI.aspx?menuIndex=3&amp;refID=7040499&amp;Result=3","7040499")</f>
        <v>0</v>
      </c>
      <c r="B5810" t="s">
        <v>1906</v>
      </c>
      <c r="C5810" t="s">
        <v>8605</v>
      </c>
      <c r="D5810" t="s">
        <v>16199</v>
      </c>
      <c r="E5810" t="s">
        <v>21433</v>
      </c>
      <c r="F5810" t="s">
        <v>28198</v>
      </c>
      <c r="G5810" t="s">
        <v>28205</v>
      </c>
      <c r="H5810" t="s">
        <v>28215</v>
      </c>
      <c r="I5810" t="s">
        <v>5100</v>
      </c>
      <c r="J5810" t="s">
        <v>32039</v>
      </c>
      <c r="K5810" t="s">
        <v>36689</v>
      </c>
      <c r="M5810" t="s">
        <v>39038</v>
      </c>
      <c r="N5810" t="s">
        <v>40436</v>
      </c>
      <c r="O5810" t="s">
        <v>40437</v>
      </c>
      <c r="P5810">
        <v>0</v>
      </c>
      <c r="Q5810">
        <v>0</v>
      </c>
      <c r="R5810" t="s">
        <v>40443</v>
      </c>
      <c r="S5810" t="s">
        <v>40644</v>
      </c>
      <c r="T5810" t="s">
        <v>42123</v>
      </c>
      <c r="U5810" t="s">
        <v>47555</v>
      </c>
      <c r="W5810" t="s">
        <v>39038</v>
      </c>
      <c r="X5810" t="s">
        <v>40445</v>
      </c>
    </row>
    <row r="5811" spans="1:24">
      <c r="A5811">
        <f>HYPERLINK("https://www.philgeps.gov.ph/GEPSNONPILOT/Tender/SplashBidNoticeAbstractUI.aspx?menuIndex=3&amp;refID=7040966&amp;Result=3","7040966")</f>
        <v>0</v>
      </c>
      <c r="B5811" t="s">
        <v>1914</v>
      </c>
      <c r="C5811" t="s">
        <v>8606</v>
      </c>
      <c r="D5811" t="s">
        <v>16194</v>
      </c>
      <c r="E5811" t="s">
        <v>21434</v>
      </c>
      <c r="F5811" t="s">
        <v>28198</v>
      </c>
      <c r="G5811" t="s">
        <v>28205</v>
      </c>
      <c r="H5811" t="s">
        <v>28215</v>
      </c>
      <c r="I5811" t="s">
        <v>28278</v>
      </c>
      <c r="J5811" t="s">
        <v>32040</v>
      </c>
      <c r="K5811" t="s">
        <v>36688</v>
      </c>
      <c r="M5811" t="s">
        <v>39046</v>
      </c>
      <c r="N5811" t="s">
        <v>40436</v>
      </c>
      <c r="O5811" t="s">
        <v>40437</v>
      </c>
      <c r="P5811">
        <v>0</v>
      </c>
      <c r="Q5811">
        <v>1</v>
      </c>
      <c r="R5811" t="s">
        <v>40443</v>
      </c>
      <c r="S5811" t="s">
        <v>40644</v>
      </c>
      <c r="T5811" t="s">
        <v>42169</v>
      </c>
      <c r="U5811" t="s">
        <v>47556</v>
      </c>
      <c r="W5811" t="s">
        <v>39046</v>
      </c>
      <c r="X5811" t="s">
        <v>40444</v>
      </c>
    </row>
    <row r="5812" spans="1:24">
      <c r="A5812">
        <f>HYPERLINK("https://www.philgeps.gov.ph/GEPSNONPILOT/Tender/SplashBidNoticeAbstractUI.aspx?menuIndex=3&amp;refID=7040496&amp;Result=3","7040496")</f>
        <v>0</v>
      </c>
      <c r="B5812" t="s">
        <v>1912</v>
      </c>
      <c r="C5812" t="s">
        <v>8607</v>
      </c>
      <c r="D5812" t="s">
        <v>16260</v>
      </c>
      <c r="E5812" t="s">
        <v>21435</v>
      </c>
      <c r="F5812" t="s">
        <v>28198</v>
      </c>
      <c r="G5812" t="s">
        <v>28205</v>
      </c>
      <c r="H5812" t="s">
        <v>28215</v>
      </c>
      <c r="I5812" t="s">
        <v>28220</v>
      </c>
      <c r="J5812" t="s">
        <v>28393</v>
      </c>
      <c r="K5812" t="s">
        <v>36707</v>
      </c>
      <c r="M5812" t="s">
        <v>39044</v>
      </c>
      <c r="N5812" t="s">
        <v>40436</v>
      </c>
      <c r="O5812" t="s">
        <v>40437</v>
      </c>
      <c r="P5812">
        <v>0</v>
      </c>
      <c r="Q5812">
        <v>8</v>
      </c>
      <c r="R5812" t="s">
        <v>40443</v>
      </c>
      <c r="S5812" t="s">
        <v>40644</v>
      </c>
      <c r="T5812" t="s">
        <v>42212</v>
      </c>
      <c r="U5812" t="s">
        <v>47557</v>
      </c>
      <c r="W5812" t="s">
        <v>39044</v>
      </c>
      <c r="X5812" t="s">
        <v>40445</v>
      </c>
    </row>
    <row r="5813" spans="1:24">
      <c r="A5813">
        <f>HYPERLINK("https://www.philgeps.gov.ph/GEPSNONPILOT/Tender/SplashBidNoticeAbstractUI.aspx?menuIndex=3&amp;refID=7040946&amp;Result=3","7040946")</f>
        <v>0</v>
      </c>
      <c r="B5813" t="s">
        <v>1915</v>
      </c>
      <c r="C5813" t="s">
        <v>8608</v>
      </c>
      <c r="D5813" t="s">
        <v>16209</v>
      </c>
      <c r="E5813" t="s">
        <v>21436</v>
      </c>
      <c r="F5813" t="s">
        <v>28198</v>
      </c>
      <c r="G5813" t="s">
        <v>28205</v>
      </c>
      <c r="H5813" t="s">
        <v>28215</v>
      </c>
      <c r="I5813" t="s">
        <v>28222</v>
      </c>
      <c r="J5813" t="s">
        <v>28422</v>
      </c>
      <c r="K5813" t="s">
        <v>36707</v>
      </c>
      <c r="M5813" t="s">
        <v>39047</v>
      </c>
      <c r="N5813" t="s">
        <v>40436</v>
      </c>
      <c r="O5813" t="s">
        <v>40437</v>
      </c>
      <c r="P5813">
        <v>0</v>
      </c>
      <c r="Q5813">
        <v>1</v>
      </c>
      <c r="R5813" t="s">
        <v>40443</v>
      </c>
      <c r="S5813" t="s">
        <v>40644</v>
      </c>
      <c r="T5813" t="s">
        <v>42097</v>
      </c>
      <c r="U5813" t="s">
        <v>47558</v>
      </c>
      <c r="V5813" t="s">
        <v>54367</v>
      </c>
      <c r="W5813" t="s">
        <v>39047</v>
      </c>
      <c r="X5813" t="s">
        <v>40445</v>
      </c>
    </row>
    <row r="5814" spans="1:24">
      <c r="A5814">
        <f>HYPERLINK("https://www.philgeps.gov.ph/GEPSNONPILOT/Tender/SplashBidNoticeAbstractUI.aspx?menuIndex=3&amp;refID=7040973&amp;Result=3","7040973")</f>
        <v>0</v>
      </c>
      <c r="B5814" t="s">
        <v>1914</v>
      </c>
      <c r="C5814" t="s">
        <v>8609</v>
      </c>
      <c r="D5814" t="s">
        <v>16194</v>
      </c>
      <c r="E5814" t="s">
        <v>21434</v>
      </c>
      <c r="F5814" t="s">
        <v>28198</v>
      </c>
      <c r="G5814" t="s">
        <v>28205</v>
      </c>
      <c r="H5814" t="s">
        <v>28215</v>
      </c>
      <c r="I5814" t="s">
        <v>28277</v>
      </c>
      <c r="J5814" t="s">
        <v>32041</v>
      </c>
      <c r="K5814" t="s">
        <v>36688</v>
      </c>
      <c r="M5814" t="s">
        <v>39046</v>
      </c>
      <c r="N5814" t="s">
        <v>40436</v>
      </c>
      <c r="O5814" t="s">
        <v>40437</v>
      </c>
      <c r="P5814">
        <v>0</v>
      </c>
      <c r="Q5814">
        <v>1</v>
      </c>
      <c r="R5814" t="s">
        <v>40443</v>
      </c>
      <c r="S5814" t="s">
        <v>40644</v>
      </c>
      <c r="T5814" t="s">
        <v>42131</v>
      </c>
      <c r="U5814" t="s">
        <v>47559</v>
      </c>
      <c r="W5814" t="s">
        <v>39046</v>
      </c>
      <c r="X5814" t="s">
        <v>40444</v>
      </c>
    </row>
    <row r="5815" spans="1:24">
      <c r="A5815">
        <f>HYPERLINK("https://www.philgeps.gov.ph/GEPSNONPILOT/Tender/SplashBidNoticeAbstractUI.aspx?menuIndex=3&amp;refID=7040980&amp;Result=3","7040980")</f>
        <v>0</v>
      </c>
      <c r="B5815" t="s">
        <v>1916</v>
      </c>
      <c r="C5815" t="s">
        <v>8610</v>
      </c>
      <c r="D5815" t="s">
        <v>16251</v>
      </c>
      <c r="E5815" t="s">
        <v>21437</v>
      </c>
      <c r="F5815" t="s">
        <v>28198</v>
      </c>
      <c r="G5815" t="s">
        <v>28205</v>
      </c>
      <c r="H5815" t="s">
        <v>28215</v>
      </c>
      <c r="I5815" t="s">
        <v>5656</v>
      </c>
      <c r="J5815" t="s">
        <v>28804</v>
      </c>
      <c r="K5815" t="s">
        <v>36707</v>
      </c>
      <c r="M5815" t="s">
        <v>39048</v>
      </c>
      <c r="N5815" t="s">
        <v>40436</v>
      </c>
      <c r="O5815" t="s">
        <v>40437</v>
      </c>
      <c r="P5815">
        <v>0</v>
      </c>
      <c r="Q5815">
        <v>0</v>
      </c>
      <c r="R5815" t="s">
        <v>40443</v>
      </c>
      <c r="S5815" t="s">
        <v>40644</v>
      </c>
      <c r="T5815" t="s">
        <v>42165</v>
      </c>
      <c r="U5815" t="s">
        <v>47560</v>
      </c>
      <c r="W5815" t="s">
        <v>39048</v>
      </c>
      <c r="X5815" t="s">
        <v>40444</v>
      </c>
    </row>
    <row r="5816" spans="1:24">
      <c r="A5816">
        <f>HYPERLINK("https://www.philgeps.gov.ph/GEPSNONPILOT/Tender/SplashBidNoticeAbstractUI.aspx?menuIndex=3&amp;refID=7040969&amp;Result=3","7040969")</f>
        <v>0</v>
      </c>
      <c r="B5816" t="s">
        <v>1914</v>
      </c>
      <c r="C5816" t="s">
        <v>8611</v>
      </c>
      <c r="D5816" t="s">
        <v>16194</v>
      </c>
      <c r="E5816" t="s">
        <v>21434</v>
      </c>
      <c r="F5816" t="s">
        <v>28198</v>
      </c>
      <c r="G5816" t="s">
        <v>28205</v>
      </c>
      <c r="H5816" t="s">
        <v>28215</v>
      </c>
      <c r="I5816" t="s">
        <v>4200</v>
      </c>
      <c r="J5816" t="s">
        <v>32042</v>
      </c>
      <c r="K5816" t="s">
        <v>36688</v>
      </c>
      <c r="M5816" t="s">
        <v>39046</v>
      </c>
      <c r="N5816" t="s">
        <v>40436</v>
      </c>
      <c r="O5816" t="s">
        <v>40437</v>
      </c>
      <c r="P5816">
        <v>0</v>
      </c>
      <c r="Q5816">
        <v>5</v>
      </c>
      <c r="R5816" t="s">
        <v>40443</v>
      </c>
      <c r="S5816" t="s">
        <v>40644</v>
      </c>
      <c r="T5816" t="s">
        <v>42131</v>
      </c>
      <c r="U5816" t="s">
        <v>47561</v>
      </c>
      <c r="W5816" t="s">
        <v>39046</v>
      </c>
      <c r="X5816" t="s">
        <v>40444</v>
      </c>
    </row>
    <row r="5817" spans="1:24">
      <c r="A5817">
        <f>HYPERLINK("https://www.philgeps.gov.ph/GEPSNONPILOT/Tender/SplashBidNoticeAbstractUI.aspx?menuIndex=3&amp;refID=7040967&amp;Result=3","7040967")</f>
        <v>0</v>
      </c>
      <c r="B5817" t="s">
        <v>1914</v>
      </c>
      <c r="C5817" t="s">
        <v>8612</v>
      </c>
      <c r="D5817" t="s">
        <v>16194</v>
      </c>
      <c r="E5817" t="s">
        <v>21434</v>
      </c>
      <c r="F5817" t="s">
        <v>28198</v>
      </c>
      <c r="G5817" t="s">
        <v>28205</v>
      </c>
      <c r="H5817" t="s">
        <v>28215</v>
      </c>
      <c r="I5817" t="s">
        <v>4200</v>
      </c>
      <c r="J5817" t="s">
        <v>32043</v>
      </c>
      <c r="K5817" t="s">
        <v>36688</v>
      </c>
      <c r="M5817" t="s">
        <v>39046</v>
      </c>
      <c r="N5817" t="s">
        <v>40436</v>
      </c>
      <c r="O5817" t="s">
        <v>40437</v>
      </c>
      <c r="P5817">
        <v>0</v>
      </c>
      <c r="Q5817">
        <v>3</v>
      </c>
      <c r="R5817" t="s">
        <v>40443</v>
      </c>
      <c r="S5817" t="s">
        <v>40644</v>
      </c>
      <c r="T5817" t="s">
        <v>42131</v>
      </c>
      <c r="U5817" t="s">
        <v>47562</v>
      </c>
      <c r="W5817" t="s">
        <v>39046</v>
      </c>
      <c r="X5817" t="s">
        <v>40444</v>
      </c>
    </row>
    <row r="5818" spans="1:24">
      <c r="A5818">
        <f>HYPERLINK("https://www.philgeps.gov.ph/GEPSNONPILOT/Tender/SplashBidNoticeAbstractUI.aspx?menuIndex=3&amp;refID=7040971&amp;Result=3","7040971")</f>
        <v>0</v>
      </c>
      <c r="B5818" t="s">
        <v>1914</v>
      </c>
      <c r="C5818" t="s">
        <v>8613</v>
      </c>
      <c r="D5818" t="s">
        <v>16194</v>
      </c>
      <c r="E5818" t="s">
        <v>21434</v>
      </c>
      <c r="F5818" t="s">
        <v>28198</v>
      </c>
      <c r="G5818" t="s">
        <v>28205</v>
      </c>
      <c r="H5818" t="s">
        <v>28215</v>
      </c>
      <c r="I5818" t="s">
        <v>28277</v>
      </c>
      <c r="J5818" t="s">
        <v>32044</v>
      </c>
      <c r="K5818" t="s">
        <v>36688</v>
      </c>
      <c r="M5818" t="s">
        <v>39046</v>
      </c>
      <c r="N5818" t="s">
        <v>40436</v>
      </c>
      <c r="O5818" t="s">
        <v>40437</v>
      </c>
      <c r="P5818">
        <v>0</v>
      </c>
      <c r="Q5818">
        <v>3</v>
      </c>
      <c r="R5818" t="s">
        <v>40443</v>
      </c>
      <c r="S5818" t="s">
        <v>40644</v>
      </c>
      <c r="T5818" t="s">
        <v>42131</v>
      </c>
      <c r="U5818" t="s">
        <v>47563</v>
      </c>
      <c r="W5818" t="s">
        <v>39046</v>
      </c>
      <c r="X5818" t="s">
        <v>40444</v>
      </c>
    </row>
    <row r="5819" spans="1:24">
      <c r="A5819">
        <f>HYPERLINK("https://www.philgeps.gov.ph/GEPSNONPILOT/Tender/SplashBidNoticeAbstractUI.aspx?menuIndex=3&amp;refID=7040702&amp;Result=3","7040702")</f>
        <v>0</v>
      </c>
      <c r="B5819" t="s">
        <v>318</v>
      </c>
      <c r="C5819" t="s">
        <v>8614</v>
      </c>
      <c r="D5819" t="s">
        <v>16244</v>
      </c>
      <c r="E5819" t="s">
        <v>21438</v>
      </c>
      <c r="F5819" t="s">
        <v>28198</v>
      </c>
      <c r="G5819" t="s">
        <v>28207</v>
      </c>
      <c r="H5819" t="s">
        <v>28215</v>
      </c>
      <c r="I5819" t="s">
        <v>28227</v>
      </c>
      <c r="J5819" t="s">
        <v>32045</v>
      </c>
      <c r="K5819" t="s">
        <v>36717</v>
      </c>
      <c r="M5819" t="s">
        <v>39049</v>
      </c>
      <c r="N5819" t="s">
        <v>40436</v>
      </c>
      <c r="O5819" t="s">
        <v>40437</v>
      </c>
      <c r="Q5819">
        <v>0</v>
      </c>
      <c r="R5819" t="s">
        <v>40443</v>
      </c>
      <c r="S5819" t="s">
        <v>40647</v>
      </c>
      <c r="T5819" t="s">
        <v>42161</v>
      </c>
      <c r="U5819" t="s">
        <v>47564</v>
      </c>
      <c r="W5819" t="s">
        <v>39049</v>
      </c>
      <c r="X5819" t="s">
        <v>40445</v>
      </c>
    </row>
    <row r="5820" spans="1:24">
      <c r="A5820">
        <f>HYPERLINK("https://www.philgeps.gov.ph/GEPSNONPILOT/Tender/SplashBidNoticeAbstractUI.aspx?menuIndex=3&amp;refID=7040972&amp;Result=3","7040972")</f>
        <v>0</v>
      </c>
      <c r="B5820" t="s">
        <v>1914</v>
      </c>
      <c r="C5820" t="s">
        <v>8615</v>
      </c>
      <c r="D5820" t="s">
        <v>16194</v>
      </c>
      <c r="E5820" t="s">
        <v>21434</v>
      </c>
      <c r="F5820" t="s">
        <v>28198</v>
      </c>
      <c r="G5820" t="s">
        <v>28205</v>
      </c>
      <c r="H5820" t="s">
        <v>28215</v>
      </c>
      <c r="I5820" t="s">
        <v>28277</v>
      </c>
      <c r="J5820" t="s">
        <v>32046</v>
      </c>
      <c r="K5820" t="s">
        <v>36688</v>
      </c>
      <c r="M5820" t="s">
        <v>39046</v>
      </c>
      <c r="N5820" t="s">
        <v>40436</v>
      </c>
      <c r="O5820" t="s">
        <v>40437</v>
      </c>
      <c r="P5820">
        <v>0</v>
      </c>
      <c r="Q5820">
        <v>2</v>
      </c>
      <c r="R5820" t="s">
        <v>40443</v>
      </c>
      <c r="S5820" t="s">
        <v>40644</v>
      </c>
      <c r="T5820" t="s">
        <v>42131</v>
      </c>
      <c r="U5820" t="s">
        <v>47565</v>
      </c>
      <c r="W5820" t="s">
        <v>39046</v>
      </c>
      <c r="X5820" t="s">
        <v>40444</v>
      </c>
    </row>
    <row r="5821" spans="1:24">
      <c r="A5821">
        <f>HYPERLINK("https://www.philgeps.gov.ph/GEPSNONPILOT/Tender/SplashBidNoticeAbstractUI.aspx?menuIndex=3&amp;refID=7040974&amp;Result=3","7040974")</f>
        <v>0</v>
      </c>
      <c r="B5821" t="s">
        <v>1917</v>
      </c>
      <c r="C5821" t="s">
        <v>4835</v>
      </c>
      <c r="D5821" t="s">
        <v>16196</v>
      </c>
      <c r="E5821" t="s">
        <v>21439</v>
      </c>
      <c r="F5821" t="s">
        <v>28198</v>
      </c>
      <c r="G5821" t="s">
        <v>28205</v>
      </c>
      <c r="H5821" t="s">
        <v>28214</v>
      </c>
      <c r="I5821" t="s">
        <v>3797</v>
      </c>
      <c r="J5821" t="s">
        <v>32047</v>
      </c>
      <c r="K5821" t="s">
        <v>36717</v>
      </c>
      <c r="M5821" t="s">
        <v>39050</v>
      </c>
      <c r="N5821" t="s">
        <v>40436</v>
      </c>
      <c r="O5821" t="s">
        <v>40437</v>
      </c>
      <c r="P5821">
        <v>0</v>
      </c>
      <c r="Q5821">
        <v>0</v>
      </c>
      <c r="R5821" t="s">
        <v>40443</v>
      </c>
      <c r="S5821" t="s">
        <v>40644</v>
      </c>
      <c r="T5821" t="s">
        <v>42131</v>
      </c>
      <c r="U5821" t="s">
        <v>47566</v>
      </c>
      <c r="V5821" t="s">
        <v>54368</v>
      </c>
      <c r="W5821" t="s">
        <v>39050</v>
      </c>
      <c r="X5821" t="s">
        <v>40444</v>
      </c>
    </row>
    <row r="5822" spans="1:24">
      <c r="A5822">
        <f>HYPERLINK("https://www.philgeps.gov.ph/GEPSNONPILOT/Tender/SplashBidNoticeAbstractUI.aspx?menuIndex=3&amp;refID=7040997&amp;Result=3","7040997")</f>
        <v>0</v>
      </c>
      <c r="B5822" t="s">
        <v>1918</v>
      </c>
      <c r="C5822" t="s">
        <v>8616</v>
      </c>
      <c r="D5822" t="s">
        <v>16207</v>
      </c>
      <c r="E5822" t="s">
        <v>21440</v>
      </c>
      <c r="F5822" t="s">
        <v>28198</v>
      </c>
      <c r="G5822" t="s">
        <v>28207</v>
      </c>
      <c r="H5822" t="s">
        <v>28215</v>
      </c>
      <c r="I5822" t="s">
        <v>28251</v>
      </c>
      <c r="J5822" t="s">
        <v>32048</v>
      </c>
      <c r="K5822" t="s">
        <v>36701</v>
      </c>
      <c r="M5822" t="s">
        <v>39051</v>
      </c>
      <c r="N5822" t="s">
        <v>40436</v>
      </c>
      <c r="O5822" t="s">
        <v>40437</v>
      </c>
      <c r="P5822">
        <v>0</v>
      </c>
      <c r="Q5822">
        <v>2</v>
      </c>
      <c r="R5822" t="s">
        <v>40443</v>
      </c>
      <c r="S5822" t="s">
        <v>40644</v>
      </c>
      <c r="T5822" t="s">
        <v>42169</v>
      </c>
      <c r="U5822" t="s">
        <v>47567</v>
      </c>
      <c r="W5822" t="s">
        <v>39051</v>
      </c>
      <c r="X5822" t="s">
        <v>40444</v>
      </c>
    </row>
    <row r="5823" spans="1:24">
      <c r="A5823">
        <f>HYPERLINK("https://www.philgeps.gov.ph/GEPSNONPILOT/Tender/SplashBidNoticeAbstractUI.aspx?menuIndex=3&amp;refID=7040985&amp;Result=3","7040985")</f>
        <v>0</v>
      </c>
      <c r="B5823" t="s">
        <v>1919</v>
      </c>
      <c r="C5823" t="s">
        <v>8617</v>
      </c>
      <c r="D5823" t="s">
        <v>16197</v>
      </c>
      <c r="E5823" t="s">
        <v>17248</v>
      </c>
      <c r="F5823" t="s">
        <v>28198</v>
      </c>
      <c r="G5823" t="s">
        <v>28207</v>
      </c>
      <c r="H5823" t="s">
        <v>28215</v>
      </c>
      <c r="I5823" t="s">
        <v>4219</v>
      </c>
      <c r="J5823" t="s">
        <v>32049</v>
      </c>
      <c r="K5823" t="s">
        <v>36696</v>
      </c>
      <c r="M5823" t="s">
        <v>39052</v>
      </c>
      <c r="N5823" t="s">
        <v>40436</v>
      </c>
      <c r="O5823" t="s">
        <v>40437</v>
      </c>
      <c r="P5823">
        <v>0</v>
      </c>
      <c r="Q5823">
        <v>0</v>
      </c>
      <c r="R5823" t="s">
        <v>40443</v>
      </c>
      <c r="S5823" t="s">
        <v>40644</v>
      </c>
      <c r="T5823" t="s">
        <v>42233</v>
      </c>
      <c r="U5823" t="s">
        <v>47568</v>
      </c>
      <c r="W5823" t="s">
        <v>39052</v>
      </c>
      <c r="X5823" t="s">
        <v>40444</v>
      </c>
    </row>
    <row r="5824" spans="1:24">
      <c r="A5824">
        <f>HYPERLINK("https://www.philgeps.gov.ph/GEPSNONPILOT/Tender/SplashBidNoticeAbstractUI.aspx?menuIndex=3&amp;refID=7041002&amp;Result=3","7041002")</f>
        <v>0</v>
      </c>
      <c r="B5824" t="s">
        <v>1920</v>
      </c>
      <c r="C5824" t="s">
        <v>8618</v>
      </c>
      <c r="D5824" t="s">
        <v>16266</v>
      </c>
      <c r="E5824" t="s">
        <v>17248</v>
      </c>
      <c r="F5824" t="s">
        <v>28198</v>
      </c>
      <c r="G5824" t="s">
        <v>28206</v>
      </c>
      <c r="H5824" t="s">
        <v>28215</v>
      </c>
      <c r="I5824" t="s">
        <v>8888</v>
      </c>
      <c r="J5824" t="s">
        <v>28589</v>
      </c>
      <c r="K5824" t="s">
        <v>36706</v>
      </c>
      <c r="M5824" t="s">
        <v>39053</v>
      </c>
      <c r="N5824" t="s">
        <v>40436</v>
      </c>
      <c r="O5824" t="s">
        <v>40437</v>
      </c>
      <c r="P5824">
        <v>0</v>
      </c>
      <c r="Q5824">
        <v>0</v>
      </c>
      <c r="R5824" t="s">
        <v>40443</v>
      </c>
      <c r="S5824" t="s">
        <v>40644</v>
      </c>
      <c r="T5824" t="s">
        <v>42169</v>
      </c>
      <c r="U5824" t="s">
        <v>47569</v>
      </c>
      <c r="W5824" t="s">
        <v>39053</v>
      </c>
      <c r="X5824" t="s">
        <v>40444</v>
      </c>
    </row>
    <row r="5825" spans="1:24">
      <c r="A5825">
        <f>HYPERLINK("https://www.philgeps.gov.ph/GEPSNONPILOT/Tender/SplashBidNoticeAbstractUI.aspx?menuIndex=3&amp;refID=7041015&amp;Result=3","7041015")</f>
        <v>0</v>
      </c>
      <c r="B5825" t="s">
        <v>1921</v>
      </c>
      <c r="C5825" t="s">
        <v>8619</v>
      </c>
      <c r="D5825" t="s">
        <v>16243</v>
      </c>
      <c r="E5825" t="s">
        <v>8619</v>
      </c>
      <c r="F5825" t="s">
        <v>28198</v>
      </c>
      <c r="G5825" t="s">
        <v>28205</v>
      </c>
      <c r="H5825" t="s">
        <v>28215</v>
      </c>
      <c r="I5825" t="s">
        <v>28222</v>
      </c>
      <c r="J5825" t="s">
        <v>32050</v>
      </c>
      <c r="K5825" t="s">
        <v>36707</v>
      </c>
      <c r="M5825" t="s">
        <v>39054</v>
      </c>
      <c r="N5825" t="s">
        <v>40436</v>
      </c>
      <c r="O5825" t="s">
        <v>40437</v>
      </c>
      <c r="P5825">
        <v>0</v>
      </c>
      <c r="Q5825">
        <v>0</v>
      </c>
      <c r="R5825" t="s">
        <v>40443</v>
      </c>
      <c r="S5825" t="s">
        <v>40644</v>
      </c>
      <c r="T5825" t="s">
        <v>42234</v>
      </c>
      <c r="U5825" t="s">
        <v>47570</v>
      </c>
      <c r="W5825" t="s">
        <v>39054</v>
      </c>
      <c r="X5825" t="s">
        <v>40444</v>
      </c>
    </row>
    <row r="5826" spans="1:24">
      <c r="A5826">
        <f>HYPERLINK("https://www.philgeps.gov.ph/GEPSNONPILOT/Tender/SplashBidNoticeAbstractUI.aspx?menuIndex=3&amp;refID=7041005&amp;Result=3","7041005")</f>
        <v>0</v>
      </c>
      <c r="B5826" t="s">
        <v>1033</v>
      </c>
      <c r="C5826" t="s">
        <v>8620</v>
      </c>
      <c r="D5826" t="s">
        <v>16187</v>
      </c>
      <c r="E5826" t="s">
        <v>21441</v>
      </c>
      <c r="F5826" t="s">
        <v>28198</v>
      </c>
      <c r="G5826" t="s">
        <v>28205</v>
      </c>
      <c r="H5826" t="s">
        <v>28214</v>
      </c>
      <c r="I5826" t="s">
        <v>3797</v>
      </c>
      <c r="J5826" t="s">
        <v>32051</v>
      </c>
      <c r="K5826" t="s">
        <v>36701</v>
      </c>
      <c r="M5826" t="s">
        <v>39055</v>
      </c>
      <c r="N5826" t="s">
        <v>40436</v>
      </c>
      <c r="O5826" t="s">
        <v>40437</v>
      </c>
      <c r="P5826">
        <v>0</v>
      </c>
      <c r="Q5826">
        <v>0</v>
      </c>
      <c r="R5826" t="s">
        <v>40443</v>
      </c>
      <c r="S5826" t="s">
        <v>40644</v>
      </c>
      <c r="T5826" t="s">
        <v>42159</v>
      </c>
      <c r="U5826" t="s">
        <v>47571</v>
      </c>
      <c r="W5826" t="s">
        <v>39055</v>
      </c>
      <c r="X5826" t="s">
        <v>40444</v>
      </c>
    </row>
    <row r="5827" spans="1:24">
      <c r="A5827">
        <f>HYPERLINK("https://www.philgeps.gov.ph/GEPSNONPILOT/Tender/SplashBidNoticeAbstractUI.aspx?menuIndex=3&amp;refID=7041012&amp;Result=3","7041012")</f>
        <v>0</v>
      </c>
      <c r="B5827" t="s">
        <v>1922</v>
      </c>
      <c r="C5827" t="s">
        <v>8621</v>
      </c>
      <c r="D5827" t="s">
        <v>16200</v>
      </c>
      <c r="E5827" t="s">
        <v>21442</v>
      </c>
      <c r="F5827" t="s">
        <v>28198</v>
      </c>
      <c r="G5827" t="s">
        <v>28207</v>
      </c>
      <c r="H5827" t="s">
        <v>28215</v>
      </c>
      <c r="I5827" t="s">
        <v>4168</v>
      </c>
      <c r="J5827" t="s">
        <v>31071</v>
      </c>
      <c r="K5827" t="s">
        <v>36689</v>
      </c>
      <c r="M5827" t="s">
        <v>39056</v>
      </c>
      <c r="N5827" t="s">
        <v>40436</v>
      </c>
      <c r="O5827" t="s">
        <v>40437</v>
      </c>
      <c r="P5827">
        <v>0</v>
      </c>
      <c r="Q5827">
        <v>1</v>
      </c>
      <c r="R5827" t="s">
        <v>40443</v>
      </c>
      <c r="S5827" t="s">
        <v>40644</v>
      </c>
      <c r="T5827" t="s">
        <v>42245</v>
      </c>
      <c r="U5827" t="s">
        <v>47572</v>
      </c>
      <c r="W5827" t="s">
        <v>39056</v>
      </c>
      <c r="X5827" t="s">
        <v>40444</v>
      </c>
    </row>
    <row r="5828" spans="1:24">
      <c r="A5828">
        <f>HYPERLINK("https://www.philgeps.gov.ph/GEPSNONPILOT/Tender/SplashBidNoticeAbstractUI.aspx?menuIndex=3&amp;refID=7040983&amp;Result=3","7040983")</f>
        <v>0</v>
      </c>
      <c r="B5828" t="s">
        <v>1923</v>
      </c>
      <c r="C5828" t="s">
        <v>8622</v>
      </c>
      <c r="D5828" t="s">
        <v>16196</v>
      </c>
      <c r="E5828" t="s">
        <v>17248</v>
      </c>
      <c r="F5828" t="s">
        <v>28198</v>
      </c>
      <c r="G5828" t="s">
        <v>28205</v>
      </c>
      <c r="H5828" t="s">
        <v>28214</v>
      </c>
      <c r="I5828" t="s">
        <v>3797</v>
      </c>
      <c r="J5828" t="s">
        <v>28378</v>
      </c>
      <c r="K5828" t="s">
        <v>36717</v>
      </c>
      <c r="M5828" t="s">
        <v>39057</v>
      </c>
      <c r="N5828" t="s">
        <v>40436</v>
      </c>
      <c r="O5828" t="s">
        <v>40437</v>
      </c>
      <c r="P5828">
        <v>0</v>
      </c>
      <c r="Q5828">
        <v>0</v>
      </c>
      <c r="R5828" t="s">
        <v>40443</v>
      </c>
      <c r="S5828" t="s">
        <v>40644</v>
      </c>
      <c r="T5828" t="s">
        <v>42131</v>
      </c>
      <c r="U5828" t="s">
        <v>47573</v>
      </c>
      <c r="V5828" t="s">
        <v>54369</v>
      </c>
      <c r="W5828" t="s">
        <v>39057</v>
      </c>
      <c r="X5828" t="s">
        <v>40444</v>
      </c>
    </row>
    <row r="5829" spans="1:24">
      <c r="A5829">
        <f>HYPERLINK("https://www.philgeps.gov.ph/GEPSNONPILOT/Tender/SplashBidNoticeAbstractUI.aspx?menuIndex=3&amp;refID=7040984&amp;Result=3","7040984")</f>
        <v>0</v>
      </c>
      <c r="B5829" t="s">
        <v>1924</v>
      </c>
      <c r="C5829" t="s">
        <v>8623</v>
      </c>
      <c r="D5829" t="s">
        <v>16196</v>
      </c>
      <c r="E5829" t="s">
        <v>17248</v>
      </c>
      <c r="F5829" t="s">
        <v>28198</v>
      </c>
      <c r="G5829" t="s">
        <v>28205</v>
      </c>
      <c r="H5829" t="s">
        <v>28214</v>
      </c>
      <c r="I5829" t="s">
        <v>3797</v>
      </c>
      <c r="J5829" t="s">
        <v>28345</v>
      </c>
      <c r="K5829" t="s">
        <v>36717</v>
      </c>
      <c r="M5829" t="s">
        <v>39058</v>
      </c>
      <c r="N5829" t="s">
        <v>40436</v>
      </c>
      <c r="O5829" t="s">
        <v>40437</v>
      </c>
      <c r="P5829">
        <v>0</v>
      </c>
      <c r="Q5829">
        <v>0</v>
      </c>
      <c r="R5829" t="s">
        <v>40443</v>
      </c>
      <c r="S5829" t="s">
        <v>40644</v>
      </c>
      <c r="T5829" t="s">
        <v>42131</v>
      </c>
      <c r="U5829" t="s">
        <v>47574</v>
      </c>
      <c r="V5829" t="s">
        <v>54368</v>
      </c>
      <c r="W5829" t="s">
        <v>39058</v>
      </c>
      <c r="X5829" t="s">
        <v>40444</v>
      </c>
    </row>
    <row r="5830" spans="1:24">
      <c r="A5830">
        <f>HYPERLINK("https://www.philgeps.gov.ph/GEPSNONPILOT/Tender/SplashBidNoticeAbstractUI.aspx?menuIndex=3&amp;refID=7041009&amp;Result=3","7041009")</f>
        <v>0</v>
      </c>
      <c r="B5830" t="s">
        <v>1033</v>
      </c>
      <c r="C5830" t="s">
        <v>8624</v>
      </c>
      <c r="D5830" t="s">
        <v>16187</v>
      </c>
      <c r="E5830" t="s">
        <v>21443</v>
      </c>
      <c r="F5830" t="s">
        <v>28198</v>
      </c>
      <c r="G5830" t="s">
        <v>28205</v>
      </c>
      <c r="H5830" t="s">
        <v>28214</v>
      </c>
      <c r="I5830" t="s">
        <v>3797</v>
      </c>
      <c r="J5830" t="s">
        <v>32052</v>
      </c>
      <c r="K5830" t="s">
        <v>36694</v>
      </c>
      <c r="M5830" t="s">
        <v>39055</v>
      </c>
      <c r="N5830" t="s">
        <v>40436</v>
      </c>
      <c r="O5830" t="s">
        <v>40437</v>
      </c>
      <c r="P5830">
        <v>0</v>
      </c>
      <c r="Q5830">
        <v>0</v>
      </c>
      <c r="R5830" t="s">
        <v>40443</v>
      </c>
      <c r="S5830" t="s">
        <v>40644</v>
      </c>
      <c r="T5830" t="s">
        <v>42159</v>
      </c>
      <c r="U5830" t="s">
        <v>47575</v>
      </c>
      <c r="W5830" t="s">
        <v>39055</v>
      </c>
      <c r="X5830" t="s">
        <v>40444</v>
      </c>
    </row>
    <row r="5831" spans="1:24">
      <c r="A5831">
        <f>HYPERLINK("https://www.philgeps.gov.ph/GEPSNONPILOT/Tender/SplashBidNoticeAbstractUI.aspx?menuIndex=3&amp;refID=7041021&amp;Result=3","7041021")</f>
        <v>0</v>
      </c>
      <c r="B5831" t="s">
        <v>1925</v>
      </c>
      <c r="C5831" t="s">
        <v>8625</v>
      </c>
      <c r="D5831" t="s">
        <v>16193</v>
      </c>
      <c r="E5831" t="s">
        <v>21444</v>
      </c>
      <c r="F5831" t="s">
        <v>28198</v>
      </c>
      <c r="G5831" t="s">
        <v>28206</v>
      </c>
      <c r="H5831" t="s">
        <v>28215</v>
      </c>
      <c r="I5831" t="s">
        <v>5100</v>
      </c>
      <c r="J5831" t="s">
        <v>32053</v>
      </c>
      <c r="K5831" t="s">
        <v>36688</v>
      </c>
      <c r="M5831" t="s">
        <v>39059</v>
      </c>
      <c r="N5831" t="s">
        <v>40436</v>
      </c>
      <c r="O5831" t="s">
        <v>40437</v>
      </c>
      <c r="P5831">
        <v>0</v>
      </c>
      <c r="Q5831">
        <v>0</v>
      </c>
      <c r="R5831" t="s">
        <v>40443</v>
      </c>
      <c r="S5831" t="s">
        <v>40644</v>
      </c>
      <c r="T5831" t="s">
        <v>42184</v>
      </c>
      <c r="U5831" t="s">
        <v>47576</v>
      </c>
      <c r="W5831" t="s">
        <v>39059</v>
      </c>
      <c r="X5831" t="s">
        <v>40444</v>
      </c>
    </row>
    <row r="5832" spans="1:24">
      <c r="A5832">
        <f>HYPERLINK("https://www.philgeps.gov.ph/GEPSNONPILOT/Tender/SplashBidNoticeAbstractUI.aspx?menuIndex=3&amp;refID=7040986&amp;Result=3","7040986")</f>
        <v>0</v>
      </c>
      <c r="B5832" t="s">
        <v>1924</v>
      </c>
      <c r="C5832" t="s">
        <v>8626</v>
      </c>
      <c r="D5832" t="s">
        <v>16196</v>
      </c>
      <c r="E5832" t="s">
        <v>16588</v>
      </c>
      <c r="F5832" t="s">
        <v>28198</v>
      </c>
      <c r="G5832" t="s">
        <v>28205</v>
      </c>
      <c r="H5832" t="s">
        <v>28214</v>
      </c>
      <c r="I5832" t="s">
        <v>3797</v>
      </c>
      <c r="J5832" t="s">
        <v>28345</v>
      </c>
      <c r="K5832" t="s">
        <v>36717</v>
      </c>
      <c r="M5832" t="s">
        <v>39058</v>
      </c>
      <c r="N5832" t="s">
        <v>40436</v>
      </c>
      <c r="O5832" t="s">
        <v>40437</v>
      </c>
      <c r="P5832">
        <v>0</v>
      </c>
      <c r="Q5832">
        <v>0</v>
      </c>
      <c r="R5832" t="s">
        <v>40443</v>
      </c>
      <c r="S5832" t="s">
        <v>40644</v>
      </c>
      <c r="T5832" t="s">
        <v>42131</v>
      </c>
      <c r="U5832" t="s">
        <v>47577</v>
      </c>
      <c r="V5832" t="s">
        <v>54368</v>
      </c>
      <c r="W5832" t="s">
        <v>39058</v>
      </c>
      <c r="X5832" t="s">
        <v>40444</v>
      </c>
    </row>
    <row r="5833" spans="1:24">
      <c r="A5833">
        <f>HYPERLINK("https://www.philgeps.gov.ph/GEPSNONPILOT/Tender/SplashBidNoticeAbstractUI.aspx?menuIndex=3&amp;refID=7041018&amp;Result=3","7041018")</f>
        <v>0</v>
      </c>
      <c r="B5833" t="s">
        <v>1926</v>
      </c>
      <c r="C5833" t="s">
        <v>8627</v>
      </c>
      <c r="D5833" t="s">
        <v>16221</v>
      </c>
      <c r="E5833" t="s">
        <v>18199</v>
      </c>
      <c r="F5833" t="s">
        <v>28198</v>
      </c>
      <c r="G5833" t="s">
        <v>28205</v>
      </c>
      <c r="H5833" t="s">
        <v>28215</v>
      </c>
      <c r="I5833" t="s">
        <v>28315</v>
      </c>
      <c r="J5833" t="s">
        <v>29261</v>
      </c>
      <c r="K5833" t="s">
        <v>36701</v>
      </c>
      <c r="M5833" t="s">
        <v>39060</v>
      </c>
      <c r="N5833" t="s">
        <v>40436</v>
      </c>
      <c r="O5833" t="s">
        <v>40437</v>
      </c>
      <c r="P5833">
        <v>0</v>
      </c>
      <c r="Q5833">
        <v>3</v>
      </c>
      <c r="R5833" t="s">
        <v>40443</v>
      </c>
      <c r="S5833" t="s">
        <v>40644</v>
      </c>
      <c r="T5833" t="s">
        <v>42169</v>
      </c>
      <c r="U5833" t="s">
        <v>47578</v>
      </c>
      <c r="W5833" t="s">
        <v>39060</v>
      </c>
      <c r="X5833" t="s">
        <v>40444</v>
      </c>
    </row>
    <row r="5834" spans="1:24">
      <c r="A5834">
        <f>HYPERLINK("https://www.philgeps.gov.ph/GEPSNONPILOT/Tender/SplashBidNoticeAbstractUI.aspx?menuIndex=3&amp;refID=7041011&amp;Result=3","7041011")</f>
        <v>0</v>
      </c>
      <c r="B5834" t="s">
        <v>1921</v>
      </c>
      <c r="C5834" t="s">
        <v>8619</v>
      </c>
      <c r="D5834" t="s">
        <v>16243</v>
      </c>
      <c r="E5834" t="s">
        <v>8619</v>
      </c>
      <c r="F5834" t="s">
        <v>28198</v>
      </c>
      <c r="G5834" t="s">
        <v>28205</v>
      </c>
      <c r="H5834" t="s">
        <v>28215</v>
      </c>
      <c r="I5834" t="s">
        <v>28222</v>
      </c>
      <c r="J5834" t="s">
        <v>32054</v>
      </c>
      <c r="K5834" t="s">
        <v>36707</v>
      </c>
      <c r="M5834" t="s">
        <v>39054</v>
      </c>
      <c r="N5834" t="s">
        <v>40436</v>
      </c>
      <c r="O5834" t="s">
        <v>40437</v>
      </c>
      <c r="P5834">
        <v>0</v>
      </c>
      <c r="Q5834">
        <v>0</v>
      </c>
      <c r="R5834" t="s">
        <v>40443</v>
      </c>
      <c r="S5834" t="s">
        <v>40644</v>
      </c>
      <c r="T5834" t="s">
        <v>42234</v>
      </c>
      <c r="U5834" t="s">
        <v>47570</v>
      </c>
      <c r="W5834" t="s">
        <v>39054</v>
      </c>
      <c r="X5834" t="s">
        <v>40444</v>
      </c>
    </row>
    <row r="5835" spans="1:24">
      <c r="A5835">
        <f>HYPERLINK("https://www.philgeps.gov.ph/GEPSNONPILOT/Tender/SplashBidNoticeAbstractUI.aspx?menuIndex=3&amp;refID=7041000&amp;Result=3","7041000")</f>
        <v>0</v>
      </c>
      <c r="B5835" t="s">
        <v>1033</v>
      </c>
      <c r="C5835" t="s">
        <v>8628</v>
      </c>
      <c r="D5835" t="s">
        <v>16187</v>
      </c>
      <c r="E5835" t="s">
        <v>21445</v>
      </c>
      <c r="F5835" t="s">
        <v>28198</v>
      </c>
      <c r="G5835" t="s">
        <v>28205</v>
      </c>
      <c r="H5835" t="s">
        <v>28214</v>
      </c>
      <c r="I5835" t="s">
        <v>3797</v>
      </c>
      <c r="J5835" t="s">
        <v>32055</v>
      </c>
      <c r="K5835" t="s">
        <v>36701</v>
      </c>
      <c r="M5835" t="s">
        <v>39055</v>
      </c>
      <c r="N5835" t="s">
        <v>40436</v>
      </c>
      <c r="O5835" t="s">
        <v>40437</v>
      </c>
      <c r="P5835">
        <v>0</v>
      </c>
      <c r="Q5835">
        <v>0</v>
      </c>
      <c r="R5835" t="s">
        <v>40443</v>
      </c>
      <c r="S5835" t="s">
        <v>40644</v>
      </c>
      <c r="T5835" t="s">
        <v>42159</v>
      </c>
      <c r="U5835" t="s">
        <v>47579</v>
      </c>
      <c r="W5835" t="s">
        <v>39055</v>
      </c>
      <c r="X5835" t="s">
        <v>40444</v>
      </c>
    </row>
    <row r="5836" spans="1:24">
      <c r="A5836">
        <f>HYPERLINK("https://www.philgeps.gov.ph/GEPSNONPILOT/Tender/SplashBidNoticeAbstractUI.aspx?menuIndex=3&amp;refID=7041017&amp;Result=3","7041017")</f>
        <v>0</v>
      </c>
      <c r="B5836" t="s">
        <v>1162</v>
      </c>
      <c r="C5836" t="s">
        <v>8629</v>
      </c>
      <c r="D5836" t="s">
        <v>16202</v>
      </c>
      <c r="E5836" t="s">
        <v>21446</v>
      </c>
      <c r="F5836" t="s">
        <v>28198</v>
      </c>
      <c r="G5836" t="s">
        <v>28205</v>
      </c>
      <c r="H5836" t="s">
        <v>28215</v>
      </c>
      <c r="I5836" t="s">
        <v>7310</v>
      </c>
      <c r="J5836" t="s">
        <v>29401</v>
      </c>
      <c r="K5836" t="s">
        <v>36701</v>
      </c>
      <c r="M5836" t="s">
        <v>38202</v>
      </c>
      <c r="N5836" t="s">
        <v>40436</v>
      </c>
      <c r="O5836" t="s">
        <v>40437</v>
      </c>
      <c r="P5836">
        <v>0</v>
      </c>
      <c r="Q5836">
        <v>3</v>
      </c>
      <c r="R5836" t="s">
        <v>40443</v>
      </c>
      <c r="S5836" t="s">
        <v>40644</v>
      </c>
      <c r="T5836" t="s">
        <v>42190</v>
      </c>
      <c r="U5836" t="s">
        <v>47580</v>
      </c>
      <c r="V5836" t="s">
        <v>54100</v>
      </c>
      <c r="W5836" t="s">
        <v>38202</v>
      </c>
      <c r="X5836" t="s">
        <v>40444</v>
      </c>
    </row>
    <row r="5837" spans="1:24">
      <c r="A5837">
        <f>HYPERLINK("https://www.philgeps.gov.ph/GEPSNONPILOT/Tender/SplashBidNoticeAbstractUI.aspx?menuIndex=3&amp;refID=7040998&amp;Result=3","7040998")</f>
        <v>0</v>
      </c>
      <c r="B5837" t="s">
        <v>1927</v>
      </c>
      <c r="C5837" t="s">
        <v>8630</v>
      </c>
      <c r="D5837" t="s">
        <v>16206</v>
      </c>
      <c r="E5837" t="s">
        <v>16322</v>
      </c>
      <c r="F5837" t="s">
        <v>28200</v>
      </c>
      <c r="G5837" t="s">
        <v>28210</v>
      </c>
      <c r="H5837" t="s">
        <v>28215</v>
      </c>
      <c r="I5837" t="s">
        <v>28262</v>
      </c>
      <c r="J5837" t="s">
        <v>29182</v>
      </c>
      <c r="K5837" t="s">
        <v>36691</v>
      </c>
      <c r="M5837" t="s">
        <v>39061</v>
      </c>
      <c r="N5837" t="s">
        <v>40436</v>
      </c>
      <c r="O5837" t="s">
        <v>40437</v>
      </c>
      <c r="P5837">
        <v>0</v>
      </c>
      <c r="Q5837">
        <v>1</v>
      </c>
      <c r="R5837" t="s">
        <v>40443</v>
      </c>
      <c r="S5837" t="s">
        <v>40644</v>
      </c>
      <c r="T5837" t="s">
        <v>42158</v>
      </c>
      <c r="U5837" t="s">
        <v>47581</v>
      </c>
      <c r="V5837" t="s">
        <v>54370</v>
      </c>
      <c r="W5837" t="s">
        <v>39061</v>
      </c>
      <c r="X5837" t="s">
        <v>40444</v>
      </c>
    </row>
    <row r="5838" spans="1:24">
      <c r="A5838">
        <f>HYPERLINK("https://www.philgeps.gov.ph/GEPSNONPILOT/Tender/SplashBidNoticeAbstractUI.aspx?menuIndex=3&amp;refID=7041016&amp;Result=3","7041016")</f>
        <v>0</v>
      </c>
      <c r="B5838" t="s">
        <v>1928</v>
      </c>
      <c r="C5838" t="s">
        <v>8631</v>
      </c>
      <c r="D5838" t="s">
        <v>16213</v>
      </c>
      <c r="E5838" t="s">
        <v>21447</v>
      </c>
      <c r="F5838" t="s">
        <v>28198</v>
      </c>
      <c r="G5838" t="s">
        <v>28205</v>
      </c>
      <c r="H5838" t="s">
        <v>28214</v>
      </c>
      <c r="I5838" t="s">
        <v>3797</v>
      </c>
      <c r="J5838" t="s">
        <v>32056</v>
      </c>
      <c r="K5838" t="s">
        <v>36689</v>
      </c>
      <c r="M5838" t="s">
        <v>39062</v>
      </c>
      <c r="N5838" t="s">
        <v>40436</v>
      </c>
      <c r="O5838" t="s">
        <v>40437</v>
      </c>
      <c r="P5838">
        <v>0</v>
      </c>
      <c r="Q5838">
        <v>0</v>
      </c>
      <c r="R5838" t="s">
        <v>40443</v>
      </c>
      <c r="S5838" t="s">
        <v>40644</v>
      </c>
      <c r="T5838" t="s">
        <v>42131</v>
      </c>
      <c r="U5838" t="s">
        <v>47582</v>
      </c>
      <c r="W5838" t="s">
        <v>39062</v>
      </c>
      <c r="X5838" t="s">
        <v>40444</v>
      </c>
    </row>
    <row r="5839" spans="1:24">
      <c r="A5839">
        <f>HYPERLINK("https://www.philgeps.gov.ph/GEPSNONPILOT/Tender/SplashBidNoticeAbstractUI.aspx?menuIndex=3&amp;refID=7041022&amp;Result=3","7041022")</f>
        <v>0</v>
      </c>
      <c r="B5839" t="s">
        <v>388</v>
      </c>
      <c r="C5839" t="s">
        <v>8632</v>
      </c>
      <c r="D5839" t="s">
        <v>16197</v>
      </c>
      <c r="E5839" t="s">
        <v>21448</v>
      </c>
      <c r="F5839" t="s">
        <v>28198</v>
      </c>
      <c r="G5839" t="s">
        <v>28210</v>
      </c>
      <c r="H5839" t="s">
        <v>28215</v>
      </c>
      <c r="I5839" t="s">
        <v>4200</v>
      </c>
      <c r="J5839" t="s">
        <v>32057</v>
      </c>
      <c r="K5839" t="s">
        <v>36701</v>
      </c>
      <c r="M5839" t="s">
        <v>37368</v>
      </c>
      <c r="N5839" t="s">
        <v>40436</v>
      </c>
      <c r="O5839" t="s">
        <v>40437</v>
      </c>
      <c r="P5839">
        <v>0</v>
      </c>
      <c r="Q5839">
        <v>10</v>
      </c>
      <c r="R5839" t="s">
        <v>40443</v>
      </c>
      <c r="S5839" t="s">
        <v>40644</v>
      </c>
      <c r="T5839" t="s">
        <v>42216</v>
      </c>
      <c r="U5839" t="s">
        <v>47583</v>
      </c>
      <c r="V5839" t="s">
        <v>53874</v>
      </c>
      <c r="W5839" t="s">
        <v>37368</v>
      </c>
      <c r="X5839" t="s">
        <v>40444</v>
      </c>
    </row>
    <row r="5840" spans="1:24">
      <c r="A5840">
        <f>HYPERLINK("https://www.philgeps.gov.ph/GEPSNONPILOT/Tender/SplashBidNoticeAbstractUI.aspx?menuIndex=3&amp;refID=7041024&amp;Result=3","7041024")</f>
        <v>0</v>
      </c>
      <c r="B5840" t="s">
        <v>1928</v>
      </c>
      <c r="C5840" t="s">
        <v>8537</v>
      </c>
      <c r="D5840" t="s">
        <v>16213</v>
      </c>
      <c r="E5840" t="s">
        <v>21449</v>
      </c>
      <c r="F5840" t="s">
        <v>28198</v>
      </c>
      <c r="G5840" t="s">
        <v>28205</v>
      </c>
      <c r="H5840" t="s">
        <v>28214</v>
      </c>
      <c r="I5840" t="s">
        <v>3797</v>
      </c>
      <c r="J5840" t="s">
        <v>32058</v>
      </c>
      <c r="K5840" t="s">
        <v>36689</v>
      </c>
      <c r="M5840" t="s">
        <v>39062</v>
      </c>
      <c r="N5840" t="s">
        <v>40436</v>
      </c>
      <c r="O5840" t="s">
        <v>40437</v>
      </c>
      <c r="P5840">
        <v>0</v>
      </c>
      <c r="Q5840">
        <v>0</v>
      </c>
      <c r="R5840" t="s">
        <v>40443</v>
      </c>
      <c r="S5840" t="s">
        <v>40644</v>
      </c>
      <c r="T5840" t="s">
        <v>42131</v>
      </c>
      <c r="U5840" t="s">
        <v>47584</v>
      </c>
      <c r="W5840" t="s">
        <v>39062</v>
      </c>
      <c r="X5840" t="s">
        <v>40444</v>
      </c>
    </row>
    <row r="5841" spans="1:24">
      <c r="A5841">
        <f>HYPERLINK("https://www.philgeps.gov.ph/GEPSNONPILOT/Tender/SplashBidNoticeAbstractUI.aspx?menuIndex=3&amp;refID=7041003&amp;Result=3","7041003")</f>
        <v>0</v>
      </c>
      <c r="B5841" t="s">
        <v>1929</v>
      </c>
      <c r="C5841" t="s">
        <v>8633</v>
      </c>
      <c r="E5841" t="s">
        <v>21450</v>
      </c>
      <c r="F5841" t="s">
        <v>28198</v>
      </c>
      <c r="G5841" t="s">
        <v>28205</v>
      </c>
      <c r="H5841" t="s">
        <v>28215</v>
      </c>
      <c r="I5841" t="s">
        <v>3797</v>
      </c>
      <c r="J5841" t="s">
        <v>32059</v>
      </c>
      <c r="K5841" t="s">
        <v>36689</v>
      </c>
      <c r="M5841" t="s">
        <v>39063</v>
      </c>
      <c r="N5841" t="s">
        <v>40436</v>
      </c>
      <c r="O5841" t="s">
        <v>40437</v>
      </c>
      <c r="P5841">
        <v>0</v>
      </c>
      <c r="Q5841">
        <v>0</v>
      </c>
      <c r="R5841" t="s">
        <v>40443</v>
      </c>
      <c r="S5841" t="s">
        <v>40644</v>
      </c>
      <c r="T5841" t="s">
        <v>42133</v>
      </c>
      <c r="U5841" t="s">
        <v>47585</v>
      </c>
      <c r="W5841" t="s">
        <v>39063</v>
      </c>
      <c r="X5841" t="s">
        <v>40444</v>
      </c>
    </row>
    <row r="5842" spans="1:24">
      <c r="A5842">
        <f>HYPERLINK("https://www.philgeps.gov.ph/GEPSNONPILOT/Tender/SplashBidNoticeAbstractUI.aspx?menuIndex=3&amp;refID=7041033&amp;Result=3","7041033")</f>
        <v>0</v>
      </c>
      <c r="B5842" t="s">
        <v>1231</v>
      </c>
      <c r="C5842" t="s">
        <v>8634</v>
      </c>
      <c r="D5842" t="s">
        <v>16210</v>
      </c>
      <c r="E5842" t="s">
        <v>21451</v>
      </c>
      <c r="F5842" t="s">
        <v>28198</v>
      </c>
      <c r="G5842" t="s">
        <v>28207</v>
      </c>
      <c r="H5842" t="s">
        <v>28215</v>
      </c>
      <c r="I5842" t="s">
        <v>4219</v>
      </c>
      <c r="J5842" t="s">
        <v>32060</v>
      </c>
      <c r="K5842" t="s">
        <v>36688</v>
      </c>
      <c r="M5842" t="s">
        <v>38280</v>
      </c>
      <c r="N5842" t="s">
        <v>40436</v>
      </c>
      <c r="O5842" t="s">
        <v>40437</v>
      </c>
      <c r="P5842">
        <v>0</v>
      </c>
      <c r="Q5842">
        <v>1</v>
      </c>
      <c r="R5842" t="s">
        <v>40443</v>
      </c>
      <c r="S5842" t="s">
        <v>40644</v>
      </c>
      <c r="T5842" t="s">
        <v>42185</v>
      </c>
      <c r="U5842" t="s">
        <v>47586</v>
      </c>
      <c r="V5842" t="s">
        <v>54114</v>
      </c>
      <c r="W5842" t="s">
        <v>38280</v>
      </c>
      <c r="X5842" t="s">
        <v>40444</v>
      </c>
    </row>
    <row r="5843" spans="1:24">
      <c r="A5843">
        <f>HYPERLINK("https://www.philgeps.gov.ph/GEPSNONPILOT/Tender/SplashBidNoticeAbstractUI.aspx?menuIndex=3&amp;refID=7041080&amp;Result=3","7041080")</f>
        <v>0</v>
      </c>
      <c r="B5843" t="s">
        <v>641</v>
      </c>
      <c r="C5843" t="s">
        <v>8635</v>
      </c>
      <c r="D5843" t="s">
        <v>16228</v>
      </c>
      <c r="E5843" t="s">
        <v>21452</v>
      </c>
      <c r="F5843" t="s">
        <v>28198</v>
      </c>
      <c r="G5843" t="s">
        <v>28210</v>
      </c>
      <c r="H5843" t="s">
        <v>28215</v>
      </c>
      <c r="I5843" t="s">
        <v>4505</v>
      </c>
      <c r="J5843" t="s">
        <v>32061</v>
      </c>
      <c r="K5843" t="s">
        <v>36701</v>
      </c>
      <c r="M5843" t="s">
        <v>37634</v>
      </c>
      <c r="N5843" t="s">
        <v>40436</v>
      </c>
      <c r="O5843" t="s">
        <v>40437</v>
      </c>
      <c r="P5843">
        <v>0</v>
      </c>
      <c r="Q5843">
        <v>9</v>
      </c>
      <c r="R5843" t="s">
        <v>40443</v>
      </c>
      <c r="S5843" t="s">
        <v>40644</v>
      </c>
      <c r="T5843" t="s">
        <v>42184</v>
      </c>
      <c r="U5843" t="s">
        <v>47587</v>
      </c>
      <c r="V5843" t="s">
        <v>54054</v>
      </c>
      <c r="W5843" t="s">
        <v>37634</v>
      </c>
      <c r="X5843" t="s">
        <v>40444</v>
      </c>
    </row>
    <row r="5844" spans="1:24">
      <c r="A5844">
        <f>HYPERLINK("https://www.philgeps.gov.ph/GEPSNONPILOT/Tender/SplashBidNoticeAbstractUI.aspx?menuIndex=3&amp;refID=7041029&amp;Result=3","7041029")</f>
        <v>0</v>
      </c>
      <c r="B5844" t="s">
        <v>1930</v>
      </c>
      <c r="C5844" t="s">
        <v>8636</v>
      </c>
      <c r="D5844" t="s">
        <v>16235</v>
      </c>
      <c r="E5844" t="s">
        <v>21453</v>
      </c>
      <c r="F5844" t="s">
        <v>28198</v>
      </c>
      <c r="G5844" t="s">
        <v>28205</v>
      </c>
      <c r="H5844" t="s">
        <v>28215</v>
      </c>
      <c r="I5844" t="s">
        <v>28232</v>
      </c>
      <c r="J5844" t="s">
        <v>28413</v>
      </c>
      <c r="K5844" t="s">
        <v>36688</v>
      </c>
      <c r="M5844" t="s">
        <v>39064</v>
      </c>
      <c r="N5844" t="s">
        <v>40436</v>
      </c>
      <c r="O5844" t="s">
        <v>40437</v>
      </c>
      <c r="P5844">
        <v>0</v>
      </c>
      <c r="Q5844">
        <v>0</v>
      </c>
      <c r="R5844" t="s">
        <v>40443</v>
      </c>
      <c r="S5844" t="s">
        <v>40644</v>
      </c>
      <c r="T5844" t="s">
        <v>42131</v>
      </c>
      <c r="U5844" t="s">
        <v>47588</v>
      </c>
      <c r="W5844" t="s">
        <v>39064</v>
      </c>
      <c r="X5844" t="s">
        <v>40444</v>
      </c>
    </row>
    <row r="5845" spans="1:24">
      <c r="A5845">
        <f>HYPERLINK("https://www.philgeps.gov.ph/GEPSNONPILOT/Tender/SplashBidNoticeAbstractUI.aspx?menuIndex=3&amp;refID=7041071&amp;Result=3","7041071")</f>
        <v>0</v>
      </c>
      <c r="B5845" t="s">
        <v>205</v>
      </c>
      <c r="C5845" t="s">
        <v>8637</v>
      </c>
      <c r="D5845" t="s">
        <v>16209</v>
      </c>
      <c r="E5845" t="s">
        <v>21454</v>
      </c>
      <c r="F5845" t="s">
        <v>28198</v>
      </c>
      <c r="G5845" t="s">
        <v>28205</v>
      </c>
      <c r="H5845" t="s">
        <v>28215</v>
      </c>
      <c r="I5845" t="s">
        <v>28308</v>
      </c>
      <c r="J5845" t="s">
        <v>28378</v>
      </c>
      <c r="K5845" t="s">
        <v>36715</v>
      </c>
      <c r="M5845" t="s">
        <v>37181</v>
      </c>
      <c r="N5845" t="s">
        <v>40436</v>
      </c>
      <c r="O5845" t="s">
        <v>40437</v>
      </c>
      <c r="P5845">
        <v>0</v>
      </c>
      <c r="Q5845">
        <v>1</v>
      </c>
      <c r="R5845" t="s">
        <v>40443</v>
      </c>
      <c r="S5845" t="s">
        <v>40644</v>
      </c>
      <c r="T5845" t="s">
        <v>42433</v>
      </c>
      <c r="U5845" t="s">
        <v>47589</v>
      </c>
      <c r="W5845" t="s">
        <v>37181</v>
      </c>
      <c r="X5845" t="s">
        <v>40444</v>
      </c>
    </row>
    <row r="5846" spans="1:24">
      <c r="A5846">
        <f>HYPERLINK("https://www.philgeps.gov.ph/GEPSNONPILOT/Tender/SplashBidNoticeAbstractUI.aspx?menuIndex=3&amp;refID=7041025&amp;Result=3","7041025")</f>
        <v>0</v>
      </c>
      <c r="B5846" t="s">
        <v>1922</v>
      </c>
      <c r="C5846" t="s">
        <v>8621</v>
      </c>
      <c r="D5846" t="s">
        <v>16200</v>
      </c>
      <c r="E5846" t="s">
        <v>21455</v>
      </c>
      <c r="F5846" t="s">
        <v>28198</v>
      </c>
      <c r="G5846" t="s">
        <v>28207</v>
      </c>
      <c r="H5846" t="s">
        <v>28215</v>
      </c>
      <c r="I5846" t="s">
        <v>28237</v>
      </c>
      <c r="J5846" t="s">
        <v>28378</v>
      </c>
      <c r="K5846" t="s">
        <v>36689</v>
      </c>
      <c r="M5846" t="s">
        <v>39056</v>
      </c>
      <c r="N5846" t="s">
        <v>40436</v>
      </c>
      <c r="O5846" t="s">
        <v>40437</v>
      </c>
      <c r="P5846">
        <v>0</v>
      </c>
      <c r="Q5846">
        <v>1</v>
      </c>
      <c r="R5846" t="s">
        <v>40443</v>
      </c>
      <c r="S5846" t="s">
        <v>40644</v>
      </c>
      <c r="T5846" t="s">
        <v>42245</v>
      </c>
      <c r="U5846" t="s">
        <v>47590</v>
      </c>
      <c r="W5846" t="s">
        <v>39056</v>
      </c>
      <c r="X5846" t="s">
        <v>40444</v>
      </c>
    </row>
    <row r="5847" spans="1:24">
      <c r="A5847">
        <f>HYPERLINK("https://www.philgeps.gov.ph/GEPSNONPILOT/Tender/SplashBidNoticeAbstractUI.aspx?menuIndex=3&amp;refID=7041055&amp;Result=3","7041055")</f>
        <v>0</v>
      </c>
      <c r="B5847" t="s">
        <v>1929</v>
      </c>
      <c r="C5847" t="s">
        <v>4569</v>
      </c>
      <c r="E5847" t="s">
        <v>21456</v>
      </c>
      <c r="F5847" t="s">
        <v>28198</v>
      </c>
      <c r="G5847" t="s">
        <v>28205</v>
      </c>
      <c r="H5847" t="s">
        <v>28215</v>
      </c>
      <c r="I5847" t="s">
        <v>3797</v>
      </c>
      <c r="J5847" t="s">
        <v>32062</v>
      </c>
      <c r="K5847" t="s">
        <v>36689</v>
      </c>
      <c r="M5847" t="s">
        <v>39063</v>
      </c>
      <c r="N5847" t="s">
        <v>40436</v>
      </c>
      <c r="O5847" t="s">
        <v>40437</v>
      </c>
      <c r="P5847">
        <v>0</v>
      </c>
      <c r="Q5847">
        <v>0</v>
      </c>
      <c r="R5847" t="s">
        <v>40443</v>
      </c>
      <c r="S5847" t="s">
        <v>40644</v>
      </c>
      <c r="T5847" t="s">
        <v>42238</v>
      </c>
      <c r="U5847" t="s">
        <v>47585</v>
      </c>
      <c r="W5847" t="s">
        <v>39063</v>
      </c>
      <c r="X5847" t="s">
        <v>40444</v>
      </c>
    </row>
    <row r="5848" spans="1:24">
      <c r="A5848">
        <f>HYPERLINK("https://www.philgeps.gov.ph/GEPSNONPILOT/Tender/SplashBidNoticeAbstractUI.aspx?menuIndex=3&amp;refID=7041087&amp;Result=3","7041087")</f>
        <v>0</v>
      </c>
      <c r="B5848" t="s">
        <v>1931</v>
      </c>
      <c r="C5848" t="s">
        <v>8638</v>
      </c>
      <c r="D5848" t="s">
        <v>16216</v>
      </c>
      <c r="E5848" t="s">
        <v>21457</v>
      </c>
      <c r="F5848" t="s">
        <v>28198</v>
      </c>
      <c r="G5848" t="s">
        <v>28205</v>
      </c>
      <c r="H5848" t="s">
        <v>28215</v>
      </c>
      <c r="I5848" t="s">
        <v>5100</v>
      </c>
      <c r="J5848" t="s">
        <v>32063</v>
      </c>
      <c r="K5848" t="s">
        <v>36707</v>
      </c>
      <c r="M5848" t="s">
        <v>39065</v>
      </c>
      <c r="N5848" t="s">
        <v>40436</v>
      </c>
      <c r="O5848" t="s">
        <v>40437</v>
      </c>
      <c r="P5848">
        <v>0</v>
      </c>
      <c r="Q5848">
        <v>0</v>
      </c>
      <c r="R5848" t="s">
        <v>40443</v>
      </c>
      <c r="S5848" t="s">
        <v>40644</v>
      </c>
      <c r="T5848" t="s">
        <v>42158</v>
      </c>
      <c r="U5848" t="s">
        <v>47591</v>
      </c>
      <c r="W5848" t="s">
        <v>39065</v>
      </c>
      <c r="X5848" t="s">
        <v>40444</v>
      </c>
    </row>
    <row r="5849" spans="1:24">
      <c r="A5849">
        <f>HYPERLINK("https://www.philgeps.gov.ph/GEPSNONPILOT/Tender/SplashBidNoticeAbstractUI.aspx?menuIndex=3&amp;refID=7041081&amp;Result=3","7041081")</f>
        <v>0</v>
      </c>
      <c r="B5849" t="s">
        <v>267</v>
      </c>
      <c r="C5849" t="s">
        <v>8639</v>
      </c>
      <c r="D5849" t="s">
        <v>16253</v>
      </c>
      <c r="E5849" t="s">
        <v>21458</v>
      </c>
      <c r="F5849" t="s">
        <v>28198</v>
      </c>
      <c r="G5849" t="s">
        <v>28206</v>
      </c>
      <c r="H5849" t="s">
        <v>28215</v>
      </c>
      <c r="I5849" t="s">
        <v>28228</v>
      </c>
      <c r="J5849" t="s">
        <v>28378</v>
      </c>
      <c r="K5849" t="s">
        <v>36701</v>
      </c>
      <c r="M5849" t="s">
        <v>37243</v>
      </c>
      <c r="N5849" t="s">
        <v>40436</v>
      </c>
      <c r="O5849" t="s">
        <v>40437</v>
      </c>
      <c r="P5849">
        <v>0</v>
      </c>
      <c r="Q5849">
        <v>0</v>
      </c>
      <c r="R5849" t="s">
        <v>40443</v>
      </c>
      <c r="S5849" t="s">
        <v>40644</v>
      </c>
      <c r="T5849" t="s">
        <v>42434</v>
      </c>
      <c r="U5849" t="s">
        <v>47592</v>
      </c>
      <c r="W5849" t="s">
        <v>37243</v>
      </c>
      <c r="X5849" t="s">
        <v>40444</v>
      </c>
    </row>
    <row r="5850" spans="1:24">
      <c r="A5850">
        <f>HYPERLINK("https://www.philgeps.gov.ph/GEPSNONPILOT/Tender/SplashBidNoticeAbstractUI.aspx?menuIndex=3&amp;refID=7041048&amp;Result=3","7041048")</f>
        <v>0</v>
      </c>
      <c r="B5850" t="s">
        <v>1932</v>
      </c>
      <c r="C5850" t="s">
        <v>8640</v>
      </c>
      <c r="D5850" t="s">
        <v>16216</v>
      </c>
      <c r="E5850" t="s">
        <v>19465</v>
      </c>
      <c r="F5850" t="s">
        <v>28198</v>
      </c>
      <c r="G5850" t="s">
        <v>28205</v>
      </c>
      <c r="H5850" t="s">
        <v>28215</v>
      </c>
      <c r="I5850" t="s">
        <v>4200</v>
      </c>
      <c r="J5850" t="s">
        <v>29554</v>
      </c>
      <c r="K5850" t="s">
        <v>36707</v>
      </c>
      <c r="M5850" t="s">
        <v>39066</v>
      </c>
      <c r="N5850" t="s">
        <v>40436</v>
      </c>
      <c r="O5850" t="s">
        <v>40437</v>
      </c>
      <c r="P5850">
        <v>0</v>
      </c>
      <c r="Q5850">
        <v>1</v>
      </c>
      <c r="R5850" t="s">
        <v>40443</v>
      </c>
      <c r="S5850" t="s">
        <v>40644</v>
      </c>
      <c r="T5850" t="s">
        <v>42158</v>
      </c>
      <c r="U5850" t="s">
        <v>47593</v>
      </c>
      <c r="W5850" t="s">
        <v>39066</v>
      </c>
      <c r="X5850" t="s">
        <v>40444</v>
      </c>
    </row>
    <row r="5851" spans="1:24">
      <c r="A5851">
        <f>HYPERLINK("https://www.philgeps.gov.ph/GEPSNONPILOT/Tender/SplashBidNoticeAbstractUI.aspx?menuIndex=3&amp;refID=7041077&amp;Result=3","7041077")</f>
        <v>0</v>
      </c>
      <c r="B5851" t="s">
        <v>1918</v>
      </c>
      <c r="C5851" t="s">
        <v>8641</v>
      </c>
      <c r="D5851" t="s">
        <v>16207</v>
      </c>
      <c r="E5851" t="s">
        <v>21459</v>
      </c>
      <c r="F5851" t="s">
        <v>28198</v>
      </c>
      <c r="G5851" t="s">
        <v>28207</v>
      </c>
      <c r="H5851" t="s">
        <v>28215</v>
      </c>
      <c r="I5851" t="s">
        <v>28224</v>
      </c>
      <c r="J5851" t="s">
        <v>29059</v>
      </c>
      <c r="K5851" t="s">
        <v>36701</v>
      </c>
      <c r="M5851" t="s">
        <v>39051</v>
      </c>
      <c r="N5851" t="s">
        <v>40436</v>
      </c>
      <c r="O5851" t="s">
        <v>40437</v>
      </c>
      <c r="P5851">
        <v>0</v>
      </c>
      <c r="Q5851">
        <v>3</v>
      </c>
      <c r="R5851" t="s">
        <v>40443</v>
      </c>
      <c r="S5851" t="s">
        <v>40644</v>
      </c>
      <c r="T5851" t="s">
        <v>42169</v>
      </c>
      <c r="U5851" t="s">
        <v>47594</v>
      </c>
      <c r="W5851" t="s">
        <v>39051</v>
      </c>
      <c r="X5851" t="s">
        <v>40444</v>
      </c>
    </row>
    <row r="5852" spans="1:24">
      <c r="A5852">
        <f>HYPERLINK("https://www.philgeps.gov.ph/GEPSNONPILOT/Tender/SplashBidNoticeAbstractUI.aspx?menuIndex=3&amp;refID=7041041&amp;Result=3","7041041")</f>
        <v>0</v>
      </c>
      <c r="B5852" t="s">
        <v>205</v>
      </c>
      <c r="C5852" t="s">
        <v>8642</v>
      </c>
      <c r="D5852" t="s">
        <v>16209</v>
      </c>
      <c r="E5852" t="s">
        <v>21460</v>
      </c>
      <c r="F5852" t="s">
        <v>28198</v>
      </c>
      <c r="G5852" t="s">
        <v>28205</v>
      </c>
      <c r="H5852" t="s">
        <v>28215</v>
      </c>
      <c r="I5852" t="s">
        <v>5791</v>
      </c>
      <c r="J5852" t="s">
        <v>32064</v>
      </c>
      <c r="K5852" t="s">
        <v>36715</v>
      </c>
      <c r="M5852" t="s">
        <v>37181</v>
      </c>
      <c r="N5852" t="s">
        <v>40436</v>
      </c>
      <c r="O5852" t="s">
        <v>40437</v>
      </c>
      <c r="P5852">
        <v>0</v>
      </c>
      <c r="Q5852">
        <v>0</v>
      </c>
      <c r="R5852" t="s">
        <v>40443</v>
      </c>
      <c r="S5852" t="s">
        <v>40644</v>
      </c>
      <c r="T5852" t="s">
        <v>42433</v>
      </c>
      <c r="U5852" t="s">
        <v>47595</v>
      </c>
      <c r="W5852" t="s">
        <v>37181</v>
      </c>
      <c r="X5852" t="s">
        <v>40444</v>
      </c>
    </row>
    <row r="5853" spans="1:24">
      <c r="A5853">
        <f>HYPERLINK("https://www.philgeps.gov.ph/GEPSNONPILOT/Tender/SplashBidNoticeAbstractUI.aspx?menuIndex=3&amp;refID=7041038&amp;Result=3","7041038")</f>
        <v>0</v>
      </c>
      <c r="B5853" t="s">
        <v>1933</v>
      </c>
      <c r="C5853" t="s">
        <v>8643</v>
      </c>
      <c r="D5853" t="s">
        <v>16203</v>
      </c>
      <c r="E5853" t="s">
        <v>21461</v>
      </c>
      <c r="F5853" t="s">
        <v>28198</v>
      </c>
      <c r="G5853" t="s">
        <v>28207</v>
      </c>
      <c r="H5853" t="s">
        <v>28215</v>
      </c>
      <c r="I5853" t="s">
        <v>5791</v>
      </c>
      <c r="J5853" t="s">
        <v>32065</v>
      </c>
      <c r="K5853" t="s">
        <v>36688</v>
      </c>
      <c r="L5853" t="s">
        <v>1933</v>
      </c>
      <c r="M5853" t="s">
        <v>39067</v>
      </c>
      <c r="N5853" t="s">
        <v>40436</v>
      </c>
      <c r="O5853" t="s">
        <v>40437</v>
      </c>
      <c r="P5853">
        <v>0</v>
      </c>
      <c r="Q5853">
        <v>1</v>
      </c>
      <c r="R5853" t="s">
        <v>40443</v>
      </c>
      <c r="S5853" t="s">
        <v>40644</v>
      </c>
      <c r="T5853" t="s">
        <v>42216</v>
      </c>
      <c r="U5853" t="s">
        <v>47596</v>
      </c>
      <c r="W5853" t="s">
        <v>39067</v>
      </c>
      <c r="X5853" t="s">
        <v>40444</v>
      </c>
    </row>
    <row r="5854" spans="1:24">
      <c r="A5854">
        <f>HYPERLINK("https://www.philgeps.gov.ph/GEPSNONPILOT/Tender/SplashBidNoticeAbstractUI.aspx?menuIndex=3&amp;refID=7041042&amp;Result=3","7041042")</f>
        <v>0</v>
      </c>
      <c r="B5854" t="s">
        <v>540</v>
      </c>
      <c r="C5854" t="s">
        <v>8644</v>
      </c>
      <c r="D5854" t="s">
        <v>16210</v>
      </c>
      <c r="E5854" t="s">
        <v>21462</v>
      </c>
      <c r="F5854" t="s">
        <v>28198</v>
      </c>
      <c r="G5854" t="s">
        <v>28207</v>
      </c>
      <c r="H5854" t="s">
        <v>28215</v>
      </c>
      <c r="I5854" t="s">
        <v>28284</v>
      </c>
      <c r="J5854" t="s">
        <v>28352</v>
      </c>
      <c r="K5854" t="s">
        <v>36693</v>
      </c>
      <c r="M5854" t="s">
        <v>37526</v>
      </c>
      <c r="N5854" t="s">
        <v>40436</v>
      </c>
      <c r="O5854" t="s">
        <v>40437</v>
      </c>
      <c r="P5854">
        <v>0</v>
      </c>
      <c r="Q5854">
        <v>8</v>
      </c>
      <c r="R5854" t="s">
        <v>40443</v>
      </c>
      <c r="S5854" t="s">
        <v>40644</v>
      </c>
      <c r="T5854" t="s">
        <v>42131</v>
      </c>
      <c r="U5854" t="s">
        <v>47597</v>
      </c>
      <c r="V5854" t="s">
        <v>53914</v>
      </c>
      <c r="W5854" t="s">
        <v>37526</v>
      </c>
      <c r="X5854" t="s">
        <v>40444</v>
      </c>
    </row>
    <row r="5855" spans="1:24">
      <c r="A5855">
        <f>HYPERLINK("https://www.philgeps.gov.ph/GEPSNONPILOT/Tender/SplashBidNoticeAbstractUI.aspx?menuIndex=3&amp;refID=7041101&amp;Result=3","7041101")</f>
        <v>0</v>
      </c>
      <c r="B5855" t="s">
        <v>1189</v>
      </c>
      <c r="C5855" t="s">
        <v>8645</v>
      </c>
      <c r="D5855" t="s">
        <v>16235</v>
      </c>
      <c r="E5855" t="s">
        <v>21463</v>
      </c>
      <c r="F5855" t="s">
        <v>28198</v>
      </c>
      <c r="G5855" t="s">
        <v>28207</v>
      </c>
      <c r="H5855" t="s">
        <v>28215</v>
      </c>
      <c r="I5855" t="s">
        <v>4505</v>
      </c>
      <c r="J5855" t="s">
        <v>32066</v>
      </c>
      <c r="K5855" t="s">
        <v>36701</v>
      </c>
      <c r="M5855" t="s">
        <v>38231</v>
      </c>
      <c r="N5855" t="s">
        <v>40436</v>
      </c>
      <c r="O5855" t="s">
        <v>40437</v>
      </c>
      <c r="P5855">
        <v>0</v>
      </c>
      <c r="Q5855">
        <v>6</v>
      </c>
      <c r="R5855" t="s">
        <v>40443</v>
      </c>
      <c r="S5855" t="s">
        <v>40644</v>
      </c>
      <c r="T5855" t="s">
        <v>42350</v>
      </c>
      <c r="U5855" t="s">
        <v>47598</v>
      </c>
      <c r="W5855" t="s">
        <v>38231</v>
      </c>
      <c r="X5855" t="s">
        <v>40444</v>
      </c>
    </row>
    <row r="5856" spans="1:24">
      <c r="A5856">
        <f>HYPERLINK("https://www.philgeps.gov.ph/GEPSNONPILOT/Tender/SplashBidNoticeAbstractUI.aspx?menuIndex=3&amp;refID=7041089&amp;Result=3","7041089")</f>
        <v>0</v>
      </c>
      <c r="B5856" t="s">
        <v>1934</v>
      </c>
      <c r="C5856" t="s">
        <v>8646</v>
      </c>
      <c r="E5856" t="s">
        <v>21464</v>
      </c>
      <c r="F5856" t="s">
        <v>28198</v>
      </c>
      <c r="G5856" t="s">
        <v>28205</v>
      </c>
      <c r="H5856" t="s">
        <v>28215</v>
      </c>
      <c r="I5856" t="s">
        <v>3797</v>
      </c>
      <c r="J5856" t="s">
        <v>32067</v>
      </c>
      <c r="K5856" t="s">
        <v>36689</v>
      </c>
      <c r="M5856" t="s">
        <v>39068</v>
      </c>
      <c r="N5856" t="s">
        <v>40436</v>
      </c>
      <c r="O5856" t="s">
        <v>40437</v>
      </c>
      <c r="P5856">
        <v>0</v>
      </c>
      <c r="Q5856">
        <v>10</v>
      </c>
      <c r="R5856" t="s">
        <v>40443</v>
      </c>
      <c r="S5856" t="s">
        <v>40644</v>
      </c>
      <c r="T5856" t="s">
        <v>42375</v>
      </c>
      <c r="U5856" t="s">
        <v>47599</v>
      </c>
      <c r="W5856" t="s">
        <v>39068</v>
      </c>
      <c r="X5856" t="s">
        <v>40444</v>
      </c>
    </row>
    <row r="5857" spans="1:24">
      <c r="A5857">
        <f>HYPERLINK("https://www.philgeps.gov.ph/GEPSNONPILOT/Tender/SplashBidNoticeAbstractUI.aspx?menuIndex=3&amp;refID=7041049&amp;Result=3","7041049")</f>
        <v>0</v>
      </c>
      <c r="B5857" t="s">
        <v>242</v>
      </c>
      <c r="C5857" t="s">
        <v>8647</v>
      </c>
      <c r="D5857" t="s">
        <v>16254</v>
      </c>
      <c r="E5857" t="s">
        <v>21465</v>
      </c>
      <c r="F5857" t="s">
        <v>28198</v>
      </c>
      <c r="G5857" t="s">
        <v>28207</v>
      </c>
      <c r="H5857" t="s">
        <v>28215</v>
      </c>
      <c r="I5857" t="s">
        <v>4168</v>
      </c>
      <c r="J5857" t="s">
        <v>28515</v>
      </c>
      <c r="K5857" t="s">
        <v>36707</v>
      </c>
      <c r="M5857" t="s">
        <v>37218</v>
      </c>
      <c r="N5857" t="s">
        <v>40436</v>
      </c>
      <c r="O5857" t="s">
        <v>40437</v>
      </c>
      <c r="P5857">
        <v>0</v>
      </c>
      <c r="Q5857">
        <v>0</v>
      </c>
      <c r="R5857" t="s">
        <v>40443</v>
      </c>
      <c r="S5857" t="s">
        <v>40644</v>
      </c>
      <c r="T5857" t="s">
        <v>42277</v>
      </c>
      <c r="U5857" t="s">
        <v>47600</v>
      </c>
      <c r="W5857" t="s">
        <v>37218</v>
      </c>
      <c r="X5857" t="s">
        <v>40444</v>
      </c>
    </row>
    <row r="5858" spans="1:24">
      <c r="A5858">
        <f>HYPERLINK("https://www.philgeps.gov.ph/GEPSNONPILOT/Tender/SplashBidNoticeAbstractUI.aspx?menuIndex=3&amp;refID=7041093&amp;Result=3","7041093")</f>
        <v>0</v>
      </c>
      <c r="B5858" t="s">
        <v>1068</v>
      </c>
      <c r="C5858" t="s">
        <v>8648</v>
      </c>
      <c r="D5858" t="s">
        <v>16258</v>
      </c>
      <c r="E5858" t="s">
        <v>21466</v>
      </c>
      <c r="F5858" t="s">
        <v>28198</v>
      </c>
      <c r="G5858" t="s">
        <v>28207</v>
      </c>
      <c r="H5858" t="s">
        <v>28215</v>
      </c>
      <c r="I5858" t="s">
        <v>28224</v>
      </c>
      <c r="J5858" t="s">
        <v>32068</v>
      </c>
      <c r="K5858" t="s">
        <v>36689</v>
      </c>
      <c r="M5858" t="s">
        <v>38101</v>
      </c>
      <c r="N5858" t="s">
        <v>40436</v>
      </c>
      <c r="O5858" t="s">
        <v>40437</v>
      </c>
      <c r="P5858">
        <v>0</v>
      </c>
      <c r="Q5858">
        <v>2</v>
      </c>
      <c r="R5858" t="s">
        <v>40443</v>
      </c>
      <c r="S5858" t="s">
        <v>40644</v>
      </c>
      <c r="T5858" t="s">
        <v>42133</v>
      </c>
      <c r="U5858" t="s">
        <v>47601</v>
      </c>
      <c r="W5858" t="s">
        <v>38101</v>
      </c>
      <c r="X5858" t="s">
        <v>40444</v>
      </c>
    </row>
    <row r="5859" spans="1:24">
      <c r="A5859">
        <f>HYPERLINK("https://www.philgeps.gov.ph/GEPSNONPILOT/Tender/SplashBidNoticeAbstractUI.aspx?menuIndex=3&amp;refID=7041090&amp;Result=3","7041090")</f>
        <v>0</v>
      </c>
      <c r="B5859" t="s">
        <v>1033</v>
      </c>
      <c r="C5859" t="s">
        <v>8649</v>
      </c>
      <c r="D5859" t="s">
        <v>16187</v>
      </c>
      <c r="E5859" t="s">
        <v>21467</v>
      </c>
      <c r="F5859" t="s">
        <v>28198</v>
      </c>
      <c r="G5859" t="s">
        <v>28205</v>
      </c>
      <c r="H5859" t="s">
        <v>28214</v>
      </c>
      <c r="I5859" t="s">
        <v>3797</v>
      </c>
      <c r="J5859" t="s">
        <v>32069</v>
      </c>
      <c r="K5859" t="s">
        <v>36701</v>
      </c>
      <c r="M5859" t="s">
        <v>39055</v>
      </c>
      <c r="N5859" t="s">
        <v>40436</v>
      </c>
      <c r="O5859" t="s">
        <v>40437</v>
      </c>
      <c r="P5859">
        <v>0</v>
      </c>
      <c r="Q5859">
        <v>0</v>
      </c>
      <c r="R5859" t="s">
        <v>40443</v>
      </c>
      <c r="S5859" t="s">
        <v>40644</v>
      </c>
      <c r="T5859" t="s">
        <v>42159</v>
      </c>
      <c r="U5859" t="s">
        <v>47602</v>
      </c>
      <c r="W5859" t="s">
        <v>39055</v>
      </c>
      <c r="X5859" t="s">
        <v>40444</v>
      </c>
    </row>
    <row r="5860" spans="1:24">
      <c r="A5860">
        <f>HYPERLINK("https://www.philgeps.gov.ph/GEPSNONPILOT/Tender/SplashBidNoticeAbstractUI.aspx?menuIndex=3&amp;refID=7041053&amp;Result=3","7041053")</f>
        <v>0</v>
      </c>
      <c r="B5860" t="s">
        <v>1935</v>
      </c>
      <c r="C5860" t="s">
        <v>8650</v>
      </c>
      <c r="D5860" t="s">
        <v>16260</v>
      </c>
      <c r="E5860" t="s">
        <v>21468</v>
      </c>
      <c r="F5860" t="s">
        <v>28198</v>
      </c>
      <c r="G5860" t="s">
        <v>28205</v>
      </c>
      <c r="H5860" t="s">
        <v>28215</v>
      </c>
      <c r="I5860" t="s">
        <v>3774</v>
      </c>
      <c r="J5860" t="s">
        <v>29678</v>
      </c>
      <c r="K5860" t="s">
        <v>36701</v>
      </c>
      <c r="M5860" t="s">
        <v>39069</v>
      </c>
      <c r="N5860" t="s">
        <v>40436</v>
      </c>
      <c r="O5860" t="s">
        <v>40437</v>
      </c>
      <c r="P5860">
        <v>0</v>
      </c>
      <c r="Q5860">
        <v>2</v>
      </c>
      <c r="R5860" t="s">
        <v>40443</v>
      </c>
      <c r="S5860" t="s">
        <v>40644</v>
      </c>
      <c r="T5860" t="s">
        <v>42133</v>
      </c>
      <c r="U5860" t="s">
        <v>47603</v>
      </c>
      <c r="V5860" t="s">
        <v>54371</v>
      </c>
      <c r="W5860" t="s">
        <v>39069</v>
      </c>
      <c r="X5860" t="s">
        <v>40444</v>
      </c>
    </row>
    <row r="5861" spans="1:24">
      <c r="A5861">
        <f>HYPERLINK("https://www.philgeps.gov.ph/GEPSNONPILOT/Tender/SplashBidNoticeAbstractUI.aspx?menuIndex=3&amp;refID=7041104&amp;Result=3","7041104")</f>
        <v>0</v>
      </c>
      <c r="B5861" t="s">
        <v>540</v>
      </c>
      <c r="C5861" t="s">
        <v>8651</v>
      </c>
      <c r="D5861" t="s">
        <v>16210</v>
      </c>
      <c r="E5861" t="s">
        <v>21469</v>
      </c>
      <c r="F5861" t="s">
        <v>28198</v>
      </c>
      <c r="G5861" t="s">
        <v>28207</v>
      </c>
      <c r="H5861" t="s">
        <v>28215</v>
      </c>
      <c r="I5861" t="s">
        <v>28258</v>
      </c>
      <c r="J5861" t="s">
        <v>32070</v>
      </c>
      <c r="K5861" t="s">
        <v>36693</v>
      </c>
      <c r="M5861" t="s">
        <v>37526</v>
      </c>
      <c r="N5861" t="s">
        <v>40436</v>
      </c>
      <c r="O5861" t="s">
        <v>40437</v>
      </c>
      <c r="P5861">
        <v>0</v>
      </c>
      <c r="Q5861">
        <v>6</v>
      </c>
      <c r="R5861" t="s">
        <v>40443</v>
      </c>
      <c r="S5861" t="s">
        <v>40644</v>
      </c>
      <c r="T5861" t="s">
        <v>42245</v>
      </c>
      <c r="U5861" t="s">
        <v>47604</v>
      </c>
      <c r="V5861" t="s">
        <v>53914</v>
      </c>
      <c r="W5861" t="s">
        <v>37526</v>
      </c>
      <c r="X5861" t="s">
        <v>40444</v>
      </c>
    </row>
    <row r="5862" spans="1:24">
      <c r="A5862">
        <f>HYPERLINK("https://www.philgeps.gov.ph/GEPSNONPILOT/Tender/SplashBidNoticeAbstractUI.aspx?menuIndex=3&amp;refID=7041150&amp;Result=3","7041150")</f>
        <v>0</v>
      </c>
      <c r="B5862" t="s">
        <v>1936</v>
      </c>
      <c r="C5862" t="s">
        <v>8652</v>
      </c>
      <c r="D5862" t="s">
        <v>16235</v>
      </c>
      <c r="E5862" t="s">
        <v>16909</v>
      </c>
      <c r="F5862" t="s">
        <v>28198</v>
      </c>
      <c r="G5862" t="s">
        <v>28205</v>
      </c>
      <c r="H5862" t="s">
        <v>28214</v>
      </c>
      <c r="I5862" t="s">
        <v>3797</v>
      </c>
      <c r="J5862" t="s">
        <v>32071</v>
      </c>
      <c r="K5862" t="s">
        <v>36701</v>
      </c>
      <c r="M5862" t="s">
        <v>39070</v>
      </c>
      <c r="N5862" t="s">
        <v>40436</v>
      </c>
      <c r="O5862" t="s">
        <v>40437</v>
      </c>
      <c r="P5862">
        <v>0</v>
      </c>
      <c r="Q5862">
        <v>0</v>
      </c>
      <c r="R5862" t="s">
        <v>40443</v>
      </c>
      <c r="S5862" t="s">
        <v>40644</v>
      </c>
      <c r="T5862" t="s">
        <v>42188</v>
      </c>
      <c r="U5862" t="s">
        <v>47605</v>
      </c>
      <c r="W5862" t="s">
        <v>39070</v>
      </c>
      <c r="X5862" t="s">
        <v>40444</v>
      </c>
    </row>
    <row r="5863" spans="1:24">
      <c r="A5863">
        <f>HYPERLINK("https://www.philgeps.gov.ph/GEPSNONPILOT/Tender/SplashBidNoticeAbstractUI.aspx?menuIndex=3&amp;refID=7041165&amp;Result=3","7041165")</f>
        <v>0</v>
      </c>
      <c r="B5863" t="s">
        <v>434</v>
      </c>
      <c r="C5863" t="s">
        <v>8653</v>
      </c>
      <c r="D5863" t="s">
        <v>16218</v>
      </c>
      <c r="E5863" t="s">
        <v>21470</v>
      </c>
      <c r="F5863" t="s">
        <v>28198</v>
      </c>
      <c r="G5863" t="s">
        <v>28207</v>
      </c>
      <c r="H5863" t="s">
        <v>28215</v>
      </c>
      <c r="I5863" t="s">
        <v>28230</v>
      </c>
      <c r="J5863" t="s">
        <v>32072</v>
      </c>
      <c r="K5863" t="s">
        <v>36688</v>
      </c>
      <c r="M5863" t="s">
        <v>37417</v>
      </c>
      <c r="N5863" t="s">
        <v>40436</v>
      </c>
      <c r="O5863" t="s">
        <v>40437</v>
      </c>
      <c r="P5863">
        <v>0</v>
      </c>
      <c r="Q5863">
        <v>0</v>
      </c>
      <c r="R5863" t="s">
        <v>40443</v>
      </c>
      <c r="S5863" t="s">
        <v>40644</v>
      </c>
      <c r="T5863" t="s">
        <v>42218</v>
      </c>
      <c r="U5863" t="s">
        <v>47606</v>
      </c>
      <c r="W5863" t="s">
        <v>37417</v>
      </c>
      <c r="X5863" t="s">
        <v>40444</v>
      </c>
    </row>
    <row r="5864" spans="1:24">
      <c r="A5864">
        <f>HYPERLINK("https://www.philgeps.gov.ph/GEPSNONPILOT/Tender/SplashBidNoticeAbstractUI.aspx?menuIndex=3&amp;refID=7041131&amp;Result=3","7041131")</f>
        <v>0</v>
      </c>
      <c r="B5864" t="s">
        <v>357</v>
      </c>
      <c r="C5864" t="s">
        <v>8654</v>
      </c>
      <c r="D5864" t="s">
        <v>16197</v>
      </c>
      <c r="E5864" t="s">
        <v>21471</v>
      </c>
      <c r="F5864" t="s">
        <v>28198</v>
      </c>
      <c r="G5864" t="s">
        <v>28205</v>
      </c>
      <c r="H5864" t="s">
        <v>28214</v>
      </c>
      <c r="I5864" t="s">
        <v>3797</v>
      </c>
      <c r="J5864" t="s">
        <v>30526</v>
      </c>
      <c r="K5864" t="s">
        <v>36717</v>
      </c>
      <c r="M5864" t="s">
        <v>37336</v>
      </c>
      <c r="N5864" t="s">
        <v>40436</v>
      </c>
      <c r="O5864" t="s">
        <v>40437</v>
      </c>
      <c r="P5864">
        <v>0</v>
      </c>
      <c r="Q5864">
        <v>1</v>
      </c>
      <c r="R5864" t="s">
        <v>40443</v>
      </c>
      <c r="S5864" t="s">
        <v>40644</v>
      </c>
      <c r="T5864" t="s">
        <v>42435</v>
      </c>
      <c r="U5864" t="s">
        <v>47607</v>
      </c>
      <c r="W5864" t="s">
        <v>37336</v>
      </c>
      <c r="X5864" t="s">
        <v>40444</v>
      </c>
    </row>
    <row r="5865" spans="1:24">
      <c r="A5865">
        <f>HYPERLINK("https://www.philgeps.gov.ph/GEPSNONPILOT/Tender/SplashBidNoticeAbstractUI.aspx?menuIndex=3&amp;refID=7041106&amp;Result=3","7041106")</f>
        <v>0</v>
      </c>
      <c r="B5865" t="s">
        <v>242</v>
      </c>
      <c r="C5865" t="s">
        <v>8655</v>
      </c>
      <c r="D5865" t="s">
        <v>16254</v>
      </c>
      <c r="E5865" t="s">
        <v>21472</v>
      </c>
      <c r="F5865" t="s">
        <v>28198</v>
      </c>
      <c r="G5865" t="s">
        <v>28207</v>
      </c>
      <c r="H5865" t="s">
        <v>28215</v>
      </c>
      <c r="I5865" t="s">
        <v>28257</v>
      </c>
      <c r="J5865" t="s">
        <v>31011</v>
      </c>
      <c r="K5865" t="s">
        <v>36707</v>
      </c>
      <c r="M5865" t="s">
        <v>37218</v>
      </c>
      <c r="N5865" t="s">
        <v>40436</v>
      </c>
      <c r="O5865" t="s">
        <v>40437</v>
      </c>
      <c r="P5865">
        <v>0</v>
      </c>
      <c r="Q5865">
        <v>0</v>
      </c>
      <c r="R5865" t="s">
        <v>40443</v>
      </c>
      <c r="S5865" t="s">
        <v>40644</v>
      </c>
      <c r="T5865" t="s">
        <v>42277</v>
      </c>
      <c r="U5865" t="s">
        <v>47608</v>
      </c>
      <c r="W5865" t="s">
        <v>37218</v>
      </c>
      <c r="X5865" t="s">
        <v>40444</v>
      </c>
    </row>
    <row r="5866" spans="1:24">
      <c r="A5866">
        <f>HYPERLINK("https://www.philgeps.gov.ph/GEPSNONPILOT/Tender/SplashBidNoticeAbstractUI.aspx?menuIndex=3&amp;refID=7041145&amp;Result=3","7041145")</f>
        <v>0</v>
      </c>
      <c r="B5866" t="s">
        <v>351</v>
      </c>
      <c r="C5866" t="s">
        <v>8656</v>
      </c>
      <c r="D5866" t="s">
        <v>16258</v>
      </c>
      <c r="E5866" t="s">
        <v>21473</v>
      </c>
      <c r="F5866" t="s">
        <v>28198</v>
      </c>
      <c r="G5866" t="s">
        <v>28205</v>
      </c>
      <c r="H5866" t="s">
        <v>28215</v>
      </c>
      <c r="I5866" t="s">
        <v>5082</v>
      </c>
      <c r="J5866" t="s">
        <v>32073</v>
      </c>
      <c r="K5866" t="s">
        <v>36706</v>
      </c>
      <c r="M5866" t="s">
        <v>37330</v>
      </c>
      <c r="N5866" t="s">
        <v>40436</v>
      </c>
      <c r="O5866" t="s">
        <v>40437</v>
      </c>
      <c r="P5866">
        <v>0</v>
      </c>
      <c r="Q5866">
        <v>0</v>
      </c>
      <c r="R5866" t="s">
        <v>40443</v>
      </c>
      <c r="S5866" t="s">
        <v>40644</v>
      </c>
      <c r="T5866" t="s">
        <v>42136</v>
      </c>
      <c r="U5866" t="s">
        <v>47609</v>
      </c>
      <c r="W5866" t="s">
        <v>37330</v>
      </c>
      <c r="X5866" t="s">
        <v>40444</v>
      </c>
    </row>
    <row r="5867" spans="1:24">
      <c r="A5867">
        <f>HYPERLINK("https://www.philgeps.gov.ph/GEPSNONPILOT/Tender/SplashBidNoticeAbstractUI.aspx?menuIndex=3&amp;refID=7041184&amp;Result=3","7041184")</f>
        <v>0</v>
      </c>
      <c r="B5867" t="s">
        <v>434</v>
      </c>
      <c r="C5867" t="s">
        <v>8657</v>
      </c>
      <c r="D5867" t="s">
        <v>16218</v>
      </c>
      <c r="E5867" t="s">
        <v>21474</v>
      </c>
      <c r="F5867" t="s">
        <v>28198</v>
      </c>
      <c r="G5867" t="s">
        <v>28207</v>
      </c>
      <c r="H5867" t="s">
        <v>28215</v>
      </c>
      <c r="I5867" t="s">
        <v>4168</v>
      </c>
      <c r="J5867" t="s">
        <v>31813</v>
      </c>
      <c r="K5867" t="s">
        <v>36688</v>
      </c>
      <c r="M5867" t="s">
        <v>37417</v>
      </c>
      <c r="N5867" t="s">
        <v>40436</v>
      </c>
      <c r="O5867" t="s">
        <v>40437</v>
      </c>
      <c r="P5867">
        <v>0</v>
      </c>
      <c r="Q5867">
        <v>2</v>
      </c>
      <c r="R5867" t="s">
        <v>40443</v>
      </c>
      <c r="S5867" t="s">
        <v>40644</v>
      </c>
      <c r="T5867" t="s">
        <v>42218</v>
      </c>
      <c r="U5867" t="s">
        <v>47610</v>
      </c>
      <c r="W5867" t="s">
        <v>37417</v>
      </c>
      <c r="X5867" t="s">
        <v>40444</v>
      </c>
    </row>
    <row r="5868" spans="1:24">
      <c r="A5868">
        <f>HYPERLINK("https://www.philgeps.gov.ph/GEPSNONPILOT/Tender/SplashBidNoticeAbstractUI.aspx?menuIndex=3&amp;refID=7041155&amp;Result=3","7041155")</f>
        <v>0</v>
      </c>
      <c r="B5868" t="s">
        <v>1382</v>
      </c>
      <c r="C5868" t="s">
        <v>8658</v>
      </c>
      <c r="D5868" t="s">
        <v>16217</v>
      </c>
      <c r="E5868" t="s">
        <v>21475</v>
      </c>
      <c r="F5868" t="s">
        <v>28198</v>
      </c>
      <c r="G5868" t="s">
        <v>28206</v>
      </c>
      <c r="H5868" t="s">
        <v>28215</v>
      </c>
      <c r="I5868" t="s">
        <v>4505</v>
      </c>
      <c r="J5868" t="s">
        <v>32074</v>
      </c>
      <c r="K5868" t="s">
        <v>36701</v>
      </c>
      <c r="M5868" t="s">
        <v>38446</v>
      </c>
      <c r="N5868" t="s">
        <v>40436</v>
      </c>
      <c r="O5868" t="s">
        <v>40437</v>
      </c>
      <c r="P5868">
        <v>0</v>
      </c>
      <c r="Q5868">
        <v>12</v>
      </c>
      <c r="R5868" t="s">
        <v>40443</v>
      </c>
      <c r="S5868" t="s">
        <v>40644</v>
      </c>
      <c r="T5868" t="s">
        <v>42103</v>
      </c>
      <c r="U5868" t="s">
        <v>47611</v>
      </c>
      <c r="W5868" t="s">
        <v>38446</v>
      </c>
      <c r="X5868" t="s">
        <v>40444</v>
      </c>
    </row>
    <row r="5869" spans="1:24">
      <c r="A5869">
        <f>HYPERLINK("https://www.philgeps.gov.ph/GEPSNONPILOT/Tender/SplashBidNoticeAbstractUI.aspx?menuIndex=3&amp;refID=7041142&amp;Result=3","7041142")</f>
        <v>0</v>
      </c>
      <c r="B5869" t="s">
        <v>1937</v>
      </c>
      <c r="C5869" t="s">
        <v>8659</v>
      </c>
      <c r="D5869" t="s">
        <v>16227</v>
      </c>
      <c r="E5869" t="s">
        <v>21476</v>
      </c>
      <c r="F5869" t="s">
        <v>28198</v>
      </c>
      <c r="G5869" t="s">
        <v>28207</v>
      </c>
      <c r="H5869" t="s">
        <v>28215</v>
      </c>
      <c r="I5869" t="s">
        <v>28227</v>
      </c>
      <c r="J5869" t="s">
        <v>32075</v>
      </c>
      <c r="K5869" t="s">
        <v>36701</v>
      </c>
      <c r="M5869" t="s">
        <v>39071</v>
      </c>
      <c r="N5869" t="s">
        <v>40436</v>
      </c>
      <c r="O5869" t="s">
        <v>40437</v>
      </c>
      <c r="P5869">
        <v>0</v>
      </c>
      <c r="Q5869">
        <v>2</v>
      </c>
      <c r="R5869" t="s">
        <v>40443</v>
      </c>
      <c r="S5869" t="s">
        <v>40644</v>
      </c>
      <c r="T5869" t="s">
        <v>42436</v>
      </c>
      <c r="U5869" t="s">
        <v>47612</v>
      </c>
      <c r="W5869" t="s">
        <v>39071</v>
      </c>
      <c r="X5869" t="s">
        <v>40444</v>
      </c>
    </row>
    <row r="5870" spans="1:24">
      <c r="A5870">
        <f>HYPERLINK("https://www.philgeps.gov.ph/GEPSNONPILOT/Tender/SplashBidNoticeAbstractUI.aspx?menuIndex=3&amp;refID=7041172&amp;Result=3","7041172")</f>
        <v>0</v>
      </c>
      <c r="B5870" t="s">
        <v>1938</v>
      </c>
      <c r="C5870" t="s">
        <v>3920</v>
      </c>
      <c r="E5870" t="s">
        <v>21477</v>
      </c>
      <c r="F5870" t="s">
        <v>28198</v>
      </c>
      <c r="G5870" t="s">
        <v>28205</v>
      </c>
      <c r="H5870" t="s">
        <v>28215</v>
      </c>
      <c r="I5870" t="s">
        <v>8870</v>
      </c>
      <c r="J5870" t="s">
        <v>32076</v>
      </c>
      <c r="K5870" t="s">
        <v>36689</v>
      </c>
      <c r="M5870" t="s">
        <v>39072</v>
      </c>
      <c r="N5870" t="s">
        <v>40436</v>
      </c>
      <c r="O5870" t="s">
        <v>40437</v>
      </c>
      <c r="P5870">
        <v>0</v>
      </c>
      <c r="Q5870">
        <v>0</v>
      </c>
      <c r="R5870" t="s">
        <v>40443</v>
      </c>
      <c r="S5870" t="s">
        <v>40644</v>
      </c>
      <c r="T5870" t="s">
        <v>42279</v>
      </c>
      <c r="U5870" t="s">
        <v>47613</v>
      </c>
      <c r="W5870" t="s">
        <v>39072</v>
      </c>
      <c r="X5870" t="s">
        <v>40444</v>
      </c>
    </row>
    <row r="5871" spans="1:24">
      <c r="A5871">
        <f>HYPERLINK("https://www.philgeps.gov.ph/GEPSNONPILOT/Tender/SplashBidNoticeAbstractUI.aspx?menuIndex=3&amp;refID=7041168&amp;Result=3","7041168")</f>
        <v>0</v>
      </c>
      <c r="B5871" t="s">
        <v>555</v>
      </c>
      <c r="C5871" t="s">
        <v>8660</v>
      </c>
      <c r="D5871" t="s">
        <v>16247</v>
      </c>
      <c r="E5871" t="s">
        <v>21478</v>
      </c>
      <c r="F5871" t="s">
        <v>28198</v>
      </c>
      <c r="G5871" t="s">
        <v>28205</v>
      </c>
      <c r="H5871" t="s">
        <v>28214</v>
      </c>
      <c r="I5871" t="s">
        <v>3797</v>
      </c>
      <c r="J5871" t="s">
        <v>28379</v>
      </c>
      <c r="K5871" t="s">
        <v>36689</v>
      </c>
      <c r="M5871" t="s">
        <v>37541</v>
      </c>
      <c r="N5871" t="s">
        <v>40436</v>
      </c>
      <c r="O5871" t="s">
        <v>40437</v>
      </c>
      <c r="P5871">
        <v>0</v>
      </c>
      <c r="Q5871">
        <v>1</v>
      </c>
      <c r="R5871" t="s">
        <v>40443</v>
      </c>
      <c r="S5871" t="s">
        <v>40644</v>
      </c>
      <c r="T5871" t="s">
        <v>42169</v>
      </c>
      <c r="U5871" t="s">
        <v>47614</v>
      </c>
      <c r="W5871" t="s">
        <v>37541</v>
      </c>
      <c r="X5871" t="s">
        <v>40444</v>
      </c>
    </row>
    <row r="5872" spans="1:24">
      <c r="A5872">
        <f>HYPERLINK("https://www.philgeps.gov.ph/GEPSNONPILOT/Tender/SplashBidNoticeAbstractUI.aspx?menuIndex=3&amp;refID=7041121&amp;Result=3","7041121")</f>
        <v>0</v>
      </c>
      <c r="B5872" t="s">
        <v>1688</v>
      </c>
      <c r="C5872" t="s">
        <v>8661</v>
      </c>
      <c r="D5872" t="s">
        <v>16265</v>
      </c>
      <c r="E5872" t="s">
        <v>21479</v>
      </c>
      <c r="F5872" t="s">
        <v>28198</v>
      </c>
      <c r="G5872" t="s">
        <v>28205</v>
      </c>
      <c r="H5872" t="s">
        <v>28214</v>
      </c>
      <c r="I5872" t="s">
        <v>3797</v>
      </c>
      <c r="J5872" t="s">
        <v>28559</v>
      </c>
      <c r="K5872" t="s">
        <v>36715</v>
      </c>
      <c r="M5872" t="s">
        <v>38785</v>
      </c>
      <c r="N5872" t="s">
        <v>40436</v>
      </c>
      <c r="O5872" t="s">
        <v>40437</v>
      </c>
      <c r="P5872">
        <v>0</v>
      </c>
      <c r="Q5872">
        <v>0</v>
      </c>
      <c r="R5872" t="s">
        <v>40443</v>
      </c>
      <c r="S5872" t="s">
        <v>40644</v>
      </c>
      <c r="T5872" t="s">
        <v>42129</v>
      </c>
      <c r="U5872" t="s">
        <v>47615</v>
      </c>
      <c r="W5872" t="s">
        <v>38785</v>
      </c>
      <c r="X5872" t="s">
        <v>40444</v>
      </c>
    </row>
    <row r="5873" spans="1:24">
      <c r="A5873">
        <f>HYPERLINK("https://www.philgeps.gov.ph/GEPSNONPILOT/Tender/SplashBidNoticeAbstractUI.aspx?menuIndex=3&amp;refID=7041179&amp;Result=3","7041179")</f>
        <v>0</v>
      </c>
      <c r="B5873" t="s">
        <v>1939</v>
      </c>
      <c r="C5873" t="s">
        <v>8662</v>
      </c>
      <c r="D5873" t="s">
        <v>16255</v>
      </c>
      <c r="E5873" t="s">
        <v>21480</v>
      </c>
      <c r="F5873" t="s">
        <v>28198</v>
      </c>
      <c r="G5873" t="s">
        <v>28205</v>
      </c>
      <c r="H5873" t="s">
        <v>28215</v>
      </c>
      <c r="I5873" t="s">
        <v>5082</v>
      </c>
      <c r="J5873" t="s">
        <v>32077</v>
      </c>
      <c r="K5873" t="s">
        <v>36694</v>
      </c>
      <c r="M5873" t="s">
        <v>39073</v>
      </c>
      <c r="N5873" t="s">
        <v>40436</v>
      </c>
      <c r="O5873" t="s">
        <v>40437</v>
      </c>
      <c r="P5873">
        <v>0</v>
      </c>
      <c r="Q5873">
        <v>1</v>
      </c>
      <c r="R5873" t="s">
        <v>40443</v>
      </c>
      <c r="S5873" t="s">
        <v>40644</v>
      </c>
      <c r="T5873" t="s">
        <v>42158</v>
      </c>
      <c r="U5873" t="s">
        <v>47616</v>
      </c>
      <c r="V5873" t="s">
        <v>54372</v>
      </c>
      <c r="W5873" t="s">
        <v>39073</v>
      </c>
      <c r="X5873" t="s">
        <v>40444</v>
      </c>
    </row>
    <row r="5874" spans="1:24">
      <c r="A5874">
        <f>HYPERLINK("https://www.philgeps.gov.ph/GEPSNONPILOT/Tender/SplashBidNoticeAbstractUI.aspx?menuIndex=3&amp;refID=7041069&amp;Result=3","7041069")</f>
        <v>0</v>
      </c>
      <c r="B5874" t="s">
        <v>1940</v>
      </c>
      <c r="C5874" t="s">
        <v>8640</v>
      </c>
      <c r="D5874" t="s">
        <v>16216</v>
      </c>
      <c r="E5874" t="s">
        <v>19465</v>
      </c>
      <c r="F5874" t="s">
        <v>28198</v>
      </c>
      <c r="G5874" t="s">
        <v>28205</v>
      </c>
      <c r="H5874" t="s">
        <v>28215</v>
      </c>
      <c r="I5874" t="s">
        <v>4200</v>
      </c>
      <c r="J5874" t="s">
        <v>28415</v>
      </c>
      <c r="K5874" t="s">
        <v>36707</v>
      </c>
      <c r="M5874" t="s">
        <v>39074</v>
      </c>
      <c r="N5874" t="s">
        <v>40436</v>
      </c>
      <c r="O5874" t="s">
        <v>40437</v>
      </c>
      <c r="P5874">
        <v>0</v>
      </c>
      <c r="Q5874">
        <v>3</v>
      </c>
      <c r="R5874" t="s">
        <v>40443</v>
      </c>
      <c r="S5874" t="s">
        <v>40644</v>
      </c>
      <c r="T5874" t="s">
        <v>42158</v>
      </c>
      <c r="U5874" t="s">
        <v>47617</v>
      </c>
      <c r="W5874" t="s">
        <v>39074</v>
      </c>
      <c r="X5874" t="s">
        <v>40444</v>
      </c>
    </row>
    <row r="5875" spans="1:24">
      <c r="A5875">
        <f>HYPERLINK("https://www.philgeps.gov.ph/GEPSNONPILOT/Tender/SplashBidNoticeAbstractUI.aspx?menuIndex=3&amp;refID=7041113&amp;Result=3","7041113")</f>
        <v>0</v>
      </c>
      <c r="B5875" t="s">
        <v>1922</v>
      </c>
      <c r="C5875" t="s">
        <v>8621</v>
      </c>
      <c r="D5875" t="s">
        <v>16200</v>
      </c>
      <c r="E5875" t="s">
        <v>21481</v>
      </c>
      <c r="F5875" t="s">
        <v>28200</v>
      </c>
      <c r="G5875" t="s">
        <v>28207</v>
      </c>
      <c r="H5875" t="s">
        <v>28215</v>
      </c>
      <c r="I5875" t="s">
        <v>5082</v>
      </c>
      <c r="J5875" t="s">
        <v>32078</v>
      </c>
      <c r="K5875" t="s">
        <v>36689</v>
      </c>
      <c r="M5875" t="s">
        <v>39056</v>
      </c>
      <c r="N5875" t="s">
        <v>40436</v>
      </c>
      <c r="O5875" t="s">
        <v>40437</v>
      </c>
      <c r="P5875">
        <v>0</v>
      </c>
      <c r="Q5875">
        <v>2</v>
      </c>
      <c r="R5875" t="s">
        <v>40443</v>
      </c>
      <c r="S5875" t="s">
        <v>40644</v>
      </c>
      <c r="T5875" t="s">
        <v>42131</v>
      </c>
      <c r="U5875" t="s">
        <v>47618</v>
      </c>
      <c r="W5875" t="s">
        <v>39056</v>
      </c>
      <c r="X5875" t="s">
        <v>40444</v>
      </c>
    </row>
    <row r="5876" spans="1:24">
      <c r="A5876">
        <f>HYPERLINK("https://www.philgeps.gov.ph/GEPSNONPILOT/Tender/SplashBidNoticeAbstractUI.aspx?menuIndex=3&amp;refID=7041178&amp;Result=3","7041178")</f>
        <v>0</v>
      </c>
      <c r="B5876" t="s">
        <v>434</v>
      </c>
      <c r="C5876" t="s">
        <v>8663</v>
      </c>
      <c r="D5876" t="s">
        <v>16218</v>
      </c>
      <c r="E5876" t="s">
        <v>21482</v>
      </c>
      <c r="F5876" t="s">
        <v>28198</v>
      </c>
      <c r="G5876" t="s">
        <v>28207</v>
      </c>
      <c r="H5876" t="s">
        <v>28217</v>
      </c>
      <c r="I5876" t="s">
        <v>5631</v>
      </c>
      <c r="J5876" t="s">
        <v>28629</v>
      </c>
      <c r="K5876" t="s">
        <v>36688</v>
      </c>
      <c r="M5876" t="s">
        <v>37417</v>
      </c>
      <c r="N5876" t="s">
        <v>40436</v>
      </c>
      <c r="O5876" t="s">
        <v>40437</v>
      </c>
      <c r="P5876">
        <v>0</v>
      </c>
      <c r="Q5876">
        <v>0</v>
      </c>
      <c r="R5876" t="s">
        <v>40443</v>
      </c>
      <c r="S5876" t="s">
        <v>40644</v>
      </c>
      <c r="T5876" t="s">
        <v>42218</v>
      </c>
      <c r="U5876" t="s">
        <v>47619</v>
      </c>
      <c r="W5876" t="s">
        <v>37417</v>
      </c>
      <c r="X5876" t="s">
        <v>40444</v>
      </c>
    </row>
    <row r="5877" spans="1:24">
      <c r="A5877">
        <f>HYPERLINK("https://www.philgeps.gov.ph/GEPSNONPILOT/Tender/SplashBidNoticeAbstractUI.aspx?menuIndex=3&amp;refID=7041108&amp;Result=3","7041108")</f>
        <v>0</v>
      </c>
      <c r="B5877" t="s">
        <v>1935</v>
      </c>
      <c r="C5877" t="s">
        <v>8664</v>
      </c>
      <c r="D5877" t="s">
        <v>16260</v>
      </c>
      <c r="E5877" t="s">
        <v>21483</v>
      </c>
      <c r="F5877" t="s">
        <v>28198</v>
      </c>
      <c r="G5877" t="s">
        <v>28205</v>
      </c>
      <c r="H5877" t="s">
        <v>28215</v>
      </c>
      <c r="I5877" t="s">
        <v>3774</v>
      </c>
      <c r="J5877" t="s">
        <v>29346</v>
      </c>
      <c r="K5877" t="s">
        <v>36701</v>
      </c>
      <c r="M5877" t="s">
        <v>39069</v>
      </c>
      <c r="N5877" t="s">
        <v>40436</v>
      </c>
      <c r="O5877" t="s">
        <v>40437</v>
      </c>
      <c r="P5877">
        <v>0</v>
      </c>
      <c r="Q5877">
        <v>1</v>
      </c>
      <c r="R5877" t="s">
        <v>40443</v>
      </c>
      <c r="S5877" t="s">
        <v>40644</v>
      </c>
      <c r="T5877" t="s">
        <v>42133</v>
      </c>
      <c r="U5877" t="s">
        <v>47620</v>
      </c>
      <c r="V5877" t="s">
        <v>54371</v>
      </c>
      <c r="W5877" t="s">
        <v>39069</v>
      </c>
      <c r="X5877" t="s">
        <v>40444</v>
      </c>
    </row>
    <row r="5878" spans="1:24">
      <c r="A5878">
        <f>HYPERLINK("https://www.philgeps.gov.ph/GEPSNONPILOT/Tender/SplashBidNoticeAbstractUI.aspx?menuIndex=3&amp;refID=7041189&amp;Result=3","7041189")</f>
        <v>0</v>
      </c>
      <c r="B5878" t="s">
        <v>588</v>
      </c>
      <c r="C5878" t="s">
        <v>8665</v>
      </c>
      <c r="D5878" t="s">
        <v>16197</v>
      </c>
      <c r="E5878" t="s">
        <v>21484</v>
      </c>
      <c r="F5878" t="s">
        <v>28198</v>
      </c>
      <c r="G5878" t="s">
        <v>28205</v>
      </c>
      <c r="H5878" t="s">
        <v>28214</v>
      </c>
      <c r="I5878" t="s">
        <v>3797</v>
      </c>
      <c r="J5878" t="s">
        <v>28468</v>
      </c>
      <c r="K5878" t="s">
        <v>36692</v>
      </c>
      <c r="M5878" t="s">
        <v>37577</v>
      </c>
      <c r="N5878" t="s">
        <v>40436</v>
      </c>
      <c r="O5878" t="s">
        <v>40437</v>
      </c>
      <c r="P5878">
        <v>0</v>
      </c>
      <c r="Q5878">
        <v>1</v>
      </c>
      <c r="R5878" t="s">
        <v>40443</v>
      </c>
      <c r="S5878" t="s">
        <v>40644</v>
      </c>
      <c r="T5878" t="s">
        <v>42121</v>
      </c>
      <c r="U5878" t="s">
        <v>47621</v>
      </c>
      <c r="V5878" t="s">
        <v>54373</v>
      </c>
      <c r="W5878" t="s">
        <v>37577</v>
      </c>
      <c r="X5878" t="s">
        <v>40444</v>
      </c>
    </row>
    <row r="5879" spans="1:24">
      <c r="A5879">
        <f>HYPERLINK("https://www.philgeps.gov.ph/GEPSNONPILOT/Tender/SplashBidNoticeAbstractUI.aspx?menuIndex=3&amp;refID=7041122&amp;Result=3","7041122")</f>
        <v>0</v>
      </c>
      <c r="B5879" t="s">
        <v>1937</v>
      </c>
      <c r="C5879" t="s">
        <v>8659</v>
      </c>
      <c r="D5879" t="s">
        <v>16227</v>
      </c>
      <c r="E5879" t="s">
        <v>21485</v>
      </c>
      <c r="F5879" t="s">
        <v>28198</v>
      </c>
      <c r="G5879" t="s">
        <v>28207</v>
      </c>
      <c r="H5879" t="s">
        <v>28215</v>
      </c>
      <c r="I5879" t="s">
        <v>28227</v>
      </c>
      <c r="J5879" t="s">
        <v>32079</v>
      </c>
      <c r="K5879" t="s">
        <v>36701</v>
      </c>
      <c r="M5879" t="s">
        <v>39071</v>
      </c>
      <c r="N5879" t="s">
        <v>40436</v>
      </c>
      <c r="O5879" t="s">
        <v>40437</v>
      </c>
      <c r="P5879">
        <v>0</v>
      </c>
      <c r="Q5879">
        <v>2</v>
      </c>
      <c r="R5879" t="s">
        <v>40443</v>
      </c>
      <c r="S5879" t="s">
        <v>40644</v>
      </c>
      <c r="T5879" t="s">
        <v>42385</v>
      </c>
      <c r="U5879" t="s">
        <v>47622</v>
      </c>
      <c r="W5879" t="s">
        <v>39071</v>
      </c>
      <c r="X5879" t="s">
        <v>40444</v>
      </c>
    </row>
    <row r="5880" spans="1:24">
      <c r="A5880">
        <f>HYPERLINK("https://www.philgeps.gov.ph/GEPSNONPILOT/Tender/SplashBidNoticeAbstractUI.aspx?menuIndex=3&amp;refID=7041119&amp;Result=3","7041119")</f>
        <v>0</v>
      </c>
      <c r="B5880" t="s">
        <v>1114</v>
      </c>
      <c r="C5880" t="s">
        <v>8666</v>
      </c>
      <c r="D5880" t="s">
        <v>16228</v>
      </c>
      <c r="E5880" t="s">
        <v>21486</v>
      </c>
      <c r="F5880" t="s">
        <v>28198</v>
      </c>
      <c r="G5880" t="s">
        <v>28207</v>
      </c>
      <c r="H5880" t="s">
        <v>28215</v>
      </c>
      <c r="I5880" t="s">
        <v>28228</v>
      </c>
      <c r="J5880" t="s">
        <v>32080</v>
      </c>
      <c r="K5880" t="s">
        <v>36706</v>
      </c>
      <c r="M5880" t="s">
        <v>38151</v>
      </c>
      <c r="N5880" t="s">
        <v>40436</v>
      </c>
      <c r="O5880" t="s">
        <v>40437</v>
      </c>
      <c r="P5880">
        <v>0</v>
      </c>
      <c r="Q5880">
        <v>0</v>
      </c>
      <c r="R5880" t="s">
        <v>40443</v>
      </c>
      <c r="S5880" t="s">
        <v>40644</v>
      </c>
      <c r="T5880" t="s">
        <v>42233</v>
      </c>
      <c r="U5880" t="s">
        <v>45017</v>
      </c>
      <c r="V5880" t="s">
        <v>54374</v>
      </c>
      <c r="W5880" t="s">
        <v>38151</v>
      </c>
      <c r="X5880" t="s">
        <v>40444</v>
      </c>
    </row>
    <row r="5881" spans="1:24">
      <c r="A5881">
        <f>HYPERLINK("https://www.philgeps.gov.ph/GEPSNONPILOT/Tender/SplashBidNoticeAbstractUI.aspx?menuIndex=3&amp;refID=7041219&amp;Result=3","7041219")</f>
        <v>0</v>
      </c>
      <c r="B5881" t="s">
        <v>1507</v>
      </c>
      <c r="C5881" t="s">
        <v>8667</v>
      </c>
      <c r="D5881" t="s">
        <v>16200</v>
      </c>
      <c r="E5881" t="s">
        <v>21487</v>
      </c>
      <c r="F5881" t="s">
        <v>28198</v>
      </c>
      <c r="G5881" t="s">
        <v>28205</v>
      </c>
      <c r="H5881" t="s">
        <v>28215</v>
      </c>
      <c r="I5881" t="s">
        <v>28224</v>
      </c>
      <c r="J5881" t="s">
        <v>28561</v>
      </c>
      <c r="K5881" t="s">
        <v>36701</v>
      </c>
      <c r="M5881" t="s">
        <v>38582</v>
      </c>
      <c r="N5881" t="s">
        <v>40436</v>
      </c>
      <c r="O5881" t="s">
        <v>40437</v>
      </c>
      <c r="P5881">
        <v>0</v>
      </c>
      <c r="Q5881">
        <v>0</v>
      </c>
      <c r="R5881" t="s">
        <v>40443</v>
      </c>
      <c r="S5881" t="s">
        <v>40644</v>
      </c>
      <c r="T5881" t="s">
        <v>42426</v>
      </c>
      <c r="U5881" t="s">
        <v>47623</v>
      </c>
      <c r="V5881" t="s">
        <v>54375</v>
      </c>
      <c r="W5881" t="s">
        <v>38582</v>
      </c>
      <c r="X5881" t="s">
        <v>40444</v>
      </c>
    </row>
    <row r="5882" spans="1:24">
      <c r="A5882">
        <f>HYPERLINK("https://www.philgeps.gov.ph/GEPSNONPILOT/Tender/SplashBidNoticeAbstractUI.aspx?menuIndex=3&amp;refID=7041207&amp;Result=3","7041207")</f>
        <v>0</v>
      </c>
      <c r="B5882" t="s">
        <v>1939</v>
      </c>
      <c r="C5882" t="s">
        <v>8668</v>
      </c>
      <c r="D5882" t="s">
        <v>16255</v>
      </c>
      <c r="E5882" t="s">
        <v>21488</v>
      </c>
      <c r="F5882" t="s">
        <v>28198</v>
      </c>
      <c r="G5882" t="s">
        <v>28205</v>
      </c>
      <c r="H5882" t="s">
        <v>28215</v>
      </c>
      <c r="I5882" t="s">
        <v>4168</v>
      </c>
      <c r="J5882" t="s">
        <v>32081</v>
      </c>
      <c r="K5882" t="s">
        <v>36694</v>
      </c>
      <c r="M5882" t="s">
        <v>39073</v>
      </c>
      <c r="N5882" t="s">
        <v>40436</v>
      </c>
      <c r="O5882" t="s">
        <v>40437</v>
      </c>
      <c r="P5882">
        <v>0</v>
      </c>
      <c r="Q5882">
        <v>2</v>
      </c>
      <c r="R5882" t="s">
        <v>40443</v>
      </c>
      <c r="S5882" t="s">
        <v>40644</v>
      </c>
      <c r="T5882" t="s">
        <v>42158</v>
      </c>
      <c r="U5882" t="s">
        <v>47616</v>
      </c>
      <c r="V5882" t="s">
        <v>54372</v>
      </c>
      <c r="W5882" t="s">
        <v>39073</v>
      </c>
      <c r="X5882" t="s">
        <v>40444</v>
      </c>
    </row>
    <row r="5883" spans="1:24">
      <c r="A5883">
        <f>HYPERLINK("https://www.philgeps.gov.ph/GEPSNONPILOT/Tender/SplashBidNoticeAbstractUI.aspx?menuIndex=3&amp;refID=7041217&amp;Result=3","7041217")</f>
        <v>0</v>
      </c>
      <c r="B5883" t="s">
        <v>1941</v>
      </c>
      <c r="C5883" t="s">
        <v>8669</v>
      </c>
      <c r="D5883" t="s">
        <v>16191</v>
      </c>
      <c r="E5883" t="s">
        <v>21489</v>
      </c>
      <c r="F5883" t="s">
        <v>28198</v>
      </c>
      <c r="G5883" t="s">
        <v>28207</v>
      </c>
      <c r="H5883" t="s">
        <v>28215</v>
      </c>
      <c r="I5883" t="s">
        <v>28226</v>
      </c>
      <c r="J5883" t="s">
        <v>32082</v>
      </c>
      <c r="K5883" t="s">
        <v>36689</v>
      </c>
      <c r="M5883" t="s">
        <v>39075</v>
      </c>
      <c r="N5883" t="s">
        <v>40436</v>
      </c>
      <c r="O5883" t="s">
        <v>40437</v>
      </c>
      <c r="P5883">
        <v>0</v>
      </c>
      <c r="Q5883">
        <v>5</v>
      </c>
      <c r="R5883" t="s">
        <v>40443</v>
      </c>
      <c r="S5883" t="s">
        <v>40644</v>
      </c>
      <c r="T5883" t="s">
        <v>42245</v>
      </c>
      <c r="U5883" t="s">
        <v>47624</v>
      </c>
      <c r="W5883" t="s">
        <v>39075</v>
      </c>
      <c r="X5883" t="s">
        <v>40444</v>
      </c>
    </row>
    <row r="5884" spans="1:24">
      <c r="A5884">
        <f>HYPERLINK("https://www.philgeps.gov.ph/GEPSNONPILOT/Tender/SplashBidNoticeAbstractUI.aspx?menuIndex=3&amp;refID=7041206&amp;Result=3","7041206")</f>
        <v>0</v>
      </c>
      <c r="B5884" t="s">
        <v>1942</v>
      </c>
      <c r="C5884" t="s">
        <v>8670</v>
      </c>
      <c r="D5884" t="s">
        <v>16223</v>
      </c>
      <c r="E5884" t="s">
        <v>21490</v>
      </c>
      <c r="F5884" t="s">
        <v>28200</v>
      </c>
      <c r="G5884" t="s">
        <v>28205</v>
      </c>
      <c r="H5884" t="s">
        <v>28215</v>
      </c>
      <c r="I5884" t="s">
        <v>5100</v>
      </c>
      <c r="J5884" t="s">
        <v>32083</v>
      </c>
      <c r="K5884" t="s">
        <v>36694</v>
      </c>
      <c r="M5884" t="s">
        <v>39076</v>
      </c>
      <c r="N5884" t="s">
        <v>40436</v>
      </c>
      <c r="O5884" t="s">
        <v>40437</v>
      </c>
      <c r="P5884">
        <v>0</v>
      </c>
      <c r="Q5884">
        <v>0</v>
      </c>
      <c r="R5884" t="s">
        <v>40443</v>
      </c>
      <c r="S5884" t="s">
        <v>40644</v>
      </c>
      <c r="T5884" t="s">
        <v>42179</v>
      </c>
      <c r="U5884" t="s">
        <v>47625</v>
      </c>
      <c r="W5884" t="s">
        <v>39076</v>
      </c>
      <c r="X5884" t="s">
        <v>40444</v>
      </c>
    </row>
    <row r="5885" spans="1:24">
      <c r="A5885">
        <f>HYPERLINK("https://www.philgeps.gov.ph/GEPSNONPILOT/Tender/SplashBidNoticeAbstractUI.aspx?menuIndex=3&amp;refID=7041211&amp;Result=3","7041211")</f>
        <v>0</v>
      </c>
      <c r="B5885" t="s">
        <v>351</v>
      </c>
      <c r="C5885" t="s">
        <v>8671</v>
      </c>
      <c r="D5885" t="s">
        <v>16258</v>
      </c>
      <c r="E5885" t="s">
        <v>21491</v>
      </c>
      <c r="F5885" t="s">
        <v>28198</v>
      </c>
      <c r="G5885" t="s">
        <v>28205</v>
      </c>
      <c r="H5885" t="s">
        <v>28215</v>
      </c>
      <c r="I5885" t="s">
        <v>5082</v>
      </c>
      <c r="J5885" t="s">
        <v>32084</v>
      </c>
      <c r="K5885" t="s">
        <v>36706</v>
      </c>
      <c r="M5885" t="s">
        <v>37330</v>
      </c>
      <c r="N5885" t="s">
        <v>40436</v>
      </c>
      <c r="O5885" t="s">
        <v>40437</v>
      </c>
      <c r="P5885">
        <v>0</v>
      </c>
      <c r="Q5885">
        <v>0</v>
      </c>
      <c r="R5885" t="s">
        <v>40443</v>
      </c>
      <c r="S5885" t="s">
        <v>40644</v>
      </c>
      <c r="T5885" t="s">
        <v>42136</v>
      </c>
      <c r="U5885" t="s">
        <v>47626</v>
      </c>
      <c r="W5885" t="s">
        <v>37330</v>
      </c>
      <c r="X5885" t="s">
        <v>40444</v>
      </c>
    </row>
    <row r="5886" spans="1:24">
      <c r="A5886">
        <f>HYPERLINK("https://www.philgeps.gov.ph/GEPSNONPILOT/Tender/SplashBidNoticeAbstractUI.aspx?menuIndex=3&amp;refID=7041212&amp;Result=3","7041212")</f>
        <v>0</v>
      </c>
      <c r="B5886" t="s">
        <v>1533</v>
      </c>
      <c r="C5886" t="s">
        <v>8672</v>
      </c>
      <c r="D5886" t="s">
        <v>16236</v>
      </c>
      <c r="E5886" t="s">
        <v>21492</v>
      </c>
      <c r="F5886" t="s">
        <v>28198</v>
      </c>
      <c r="G5886" t="s">
        <v>28205</v>
      </c>
      <c r="H5886" t="s">
        <v>28215</v>
      </c>
      <c r="I5886" t="s">
        <v>5100</v>
      </c>
      <c r="J5886" t="s">
        <v>32085</v>
      </c>
      <c r="K5886" t="s">
        <v>36687</v>
      </c>
      <c r="M5886" t="s">
        <v>38611</v>
      </c>
      <c r="N5886" t="s">
        <v>40436</v>
      </c>
      <c r="O5886" t="s">
        <v>40437</v>
      </c>
      <c r="P5886">
        <v>0</v>
      </c>
      <c r="Q5886">
        <v>0</v>
      </c>
      <c r="R5886" t="s">
        <v>40443</v>
      </c>
      <c r="S5886" t="s">
        <v>40644</v>
      </c>
      <c r="T5886" t="s">
        <v>42232</v>
      </c>
      <c r="U5886" t="s">
        <v>47627</v>
      </c>
      <c r="V5886" t="s">
        <v>54376</v>
      </c>
      <c r="W5886" t="s">
        <v>38611</v>
      </c>
      <c r="X5886" t="s">
        <v>40444</v>
      </c>
    </row>
    <row r="5887" spans="1:24">
      <c r="A5887">
        <f>HYPERLINK("https://www.philgeps.gov.ph/GEPSNONPILOT/Tender/SplashBidNoticeAbstractUI.aspx?menuIndex=3&amp;refID=7041199&amp;Result=3","7041199")</f>
        <v>0</v>
      </c>
      <c r="B5887" t="s">
        <v>1943</v>
      </c>
      <c r="C5887" t="s">
        <v>8673</v>
      </c>
      <c r="E5887" t="s">
        <v>21493</v>
      </c>
      <c r="F5887" t="s">
        <v>28200</v>
      </c>
      <c r="G5887" t="s">
        <v>28207</v>
      </c>
      <c r="H5887" t="s">
        <v>28215</v>
      </c>
      <c r="I5887" t="s">
        <v>28231</v>
      </c>
      <c r="J5887" t="s">
        <v>28352</v>
      </c>
      <c r="K5887" t="s">
        <v>36689</v>
      </c>
      <c r="M5887" t="s">
        <v>39077</v>
      </c>
      <c r="N5887" t="s">
        <v>40436</v>
      </c>
      <c r="O5887" t="s">
        <v>40437</v>
      </c>
      <c r="P5887">
        <v>0</v>
      </c>
      <c r="Q5887">
        <v>0</v>
      </c>
      <c r="R5887" t="s">
        <v>40443</v>
      </c>
      <c r="S5887" t="s">
        <v>40644</v>
      </c>
      <c r="T5887" t="s">
        <v>42131</v>
      </c>
      <c r="U5887" t="s">
        <v>47628</v>
      </c>
      <c r="W5887" t="s">
        <v>39077</v>
      </c>
      <c r="X5887" t="s">
        <v>40444</v>
      </c>
    </row>
    <row r="5888" spans="1:24">
      <c r="A5888">
        <f>HYPERLINK("https://www.philgeps.gov.ph/GEPSNONPILOT/Tender/SplashBidNoticeAbstractUI.aspx?menuIndex=3&amp;refID=7041208&amp;Result=3","7041208")</f>
        <v>0</v>
      </c>
      <c r="B5888" t="s">
        <v>434</v>
      </c>
      <c r="C5888" t="s">
        <v>8674</v>
      </c>
      <c r="D5888" t="s">
        <v>16218</v>
      </c>
      <c r="E5888" t="s">
        <v>21494</v>
      </c>
      <c r="F5888" t="s">
        <v>28198</v>
      </c>
      <c r="G5888" t="s">
        <v>28207</v>
      </c>
      <c r="H5888" t="s">
        <v>28215</v>
      </c>
      <c r="I5888" t="s">
        <v>5103</v>
      </c>
      <c r="J5888" t="s">
        <v>28415</v>
      </c>
      <c r="K5888" t="s">
        <v>36688</v>
      </c>
      <c r="M5888" t="s">
        <v>37417</v>
      </c>
      <c r="N5888" t="s">
        <v>40436</v>
      </c>
      <c r="O5888" t="s">
        <v>40437</v>
      </c>
      <c r="P5888">
        <v>0</v>
      </c>
      <c r="Q5888">
        <v>6</v>
      </c>
      <c r="R5888" t="s">
        <v>40443</v>
      </c>
      <c r="S5888" t="s">
        <v>40644</v>
      </c>
      <c r="T5888" t="s">
        <v>42218</v>
      </c>
      <c r="U5888" t="s">
        <v>47629</v>
      </c>
      <c r="W5888" t="s">
        <v>37417</v>
      </c>
      <c r="X5888" t="s">
        <v>40444</v>
      </c>
    </row>
    <row r="5889" spans="1:24">
      <c r="A5889">
        <f>HYPERLINK("https://www.philgeps.gov.ph/GEPSNONPILOT/Tender/SplashBidNoticeAbstractUI.aspx?menuIndex=3&amp;refID=7041220&amp;Result=3","7041220")</f>
        <v>0</v>
      </c>
      <c r="B5889" t="s">
        <v>1944</v>
      </c>
      <c r="C5889" t="s">
        <v>8675</v>
      </c>
      <c r="D5889" t="s">
        <v>16192</v>
      </c>
      <c r="E5889" t="s">
        <v>21495</v>
      </c>
      <c r="F5889" t="s">
        <v>28198</v>
      </c>
      <c r="G5889" t="s">
        <v>28205</v>
      </c>
      <c r="H5889" t="s">
        <v>28215</v>
      </c>
      <c r="I5889" t="s">
        <v>5100</v>
      </c>
      <c r="J5889" t="s">
        <v>32086</v>
      </c>
      <c r="K5889" t="s">
        <v>36707</v>
      </c>
      <c r="M5889" t="s">
        <v>39078</v>
      </c>
      <c r="N5889" t="s">
        <v>40436</v>
      </c>
      <c r="O5889" t="s">
        <v>40437</v>
      </c>
      <c r="P5889">
        <v>0</v>
      </c>
      <c r="Q5889">
        <v>0</v>
      </c>
      <c r="R5889" t="s">
        <v>40443</v>
      </c>
      <c r="S5889" t="s">
        <v>40644</v>
      </c>
      <c r="T5889" t="s">
        <v>42158</v>
      </c>
      <c r="U5889" t="s">
        <v>47630</v>
      </c>
      <c r="W5889" t="s">
        <v>39078</v>
      </c>
      <c r="X5889" t="s">
        <v>40444</v>
      </c>
    </row>
    <row r="5890" spans="1:24">
      <c r="A5890">
        <f>HYPERLINK("https://www.philgeps.gov.ph/GEPSNONPILOT/Tender/SplashBidNoticeAbstractUI.aspx?menuIndex=3&amp;refID=7041247&amp;Result=3","7041247")</f>
        <v>0</v>
      </c>
      <c r="B5890" t="s">
        <v>1533</v>
      </c>
      <c r="C5890" t="s">
        <v>8676</v>
      </c>
      <c r="D5890" t="s">
        <v>16236</v>
      </c>
      <c r="E5890" t="s">
        <v>21496</v>
      </c>
      <c r="F5890" t="s">
        <v>28198</v>
      </c>
      <c r="G5890" t="s">
        <v>28205</v>
      </c>
      <c r="H5890" t="s">
        <v>28215</v>
      </c>
      <c r="I5890" t="s">
        <v>5100</v>
      </c>
      <c r="J5890" t="s">
        <v>32087</v>
      </c>
      <c r="K5890" t="s">
        <v>36687</v>
      </c>
      <c r="M5890" t="s">
        <v>38611</v>
      </c>
      <c r="N5890" t="s">
        <v>40436</v>
      </c>
      <c r="O5890" t="s">
        <v>40437</v>
      </c>
      <c r="P5890">
        <v>0</v>
      </c>
      <c r="Q5890">
        <v>0</v>
      </c>
      <c r="R5890" t="s">
        <v>40443</v>
      </c>
      <c r="S5890" t="s">
        <v>40644</v>
      </c>
      <c r="T5890" t="s">
        <v>42232</v>
      </c>
      <c r="U5890" t="s">
        <v>47631</v>
      </c>
      <c r="V5890" t="s">
        <v>54376</v>
      </c>
      <c r="W5890" t="s">
        <v>38611</v>
      </c>
      <c r="X5890" t="s">
        <v>40444</v>
      </c>
    </row>
    <row r="5891" spans="1:24">
      <c r="A5891">
        <f>HYPERLINK("https://www.philgeps.gov.ph/GEPSNONPILOT/Tender/SplashBidNoticeAbstractUI.aspx?menuIndex=3&amp;refID=7041200&amp;Result=3","7041200")</f>
        <v>0</v>
      </c>
      <c r="B5891" t="s">
        <v>434</v>
      </c>
      <c r="C5891" t="s">
        <v>8677</v>
      </c>
      <c r="D5891" t="s">
        <v>16218</v>
      </c>
      <c r="E5891" t="s">
        <v>21497</v>
      </c>
      <c r="F5891" t="s">
        <v>28198</v>
      </c>
      <c r="G5891" t="s">
        <v>28207</v>
      </c>
      <c r="H5891" t="s">
        <v>28215</v>
      </c>
      <c r="I5891" t="s">
        <v>4219</v>
      </c>
      <c r="J5891" t="s">
        <v>32088</v>
      </c>
      <c r="K5891" t="s">
        <v>36688</v>
      </c>
      <c r="M5891" t="s">
        <v>37417</v>
      </c>
      <c r="N5891" t="s">
        <v>40436</v>
      </c>
      <c r="O5891" t="s">
        <v>40437</v>
      </c>
      <c r="P5891">
        <v>0</v>
      </c>
      <c r="Q5891">
        <v>3</v>
      </c>
      <c r="R5891" t="s">
        <v>40443</v>
      </c>
      <c r="S5891" t="s">
        <v>40644</v>
      </c>
      <c r="T5891" t="s">
        <v>42218</v>
      </c>
      <c r="U5891" t="s">
        <v>47632</v>
      </c>
      <c r="W5891" t="s">
        <v>37417</v>
      </c>
      <c r="X5891" t="s">
        <v>40444</v>
      </c>
    </row>
    <row r="5892" spans="1:24">
      <c r="A5892">
        <f>HYPERLINK("https://www.philgeps.gov.ph/GEPSNONPILOT/Tender/SplashBidNoticeAbstractUI.aspx?menuIndex=3&amp;refID=7041223&amp;Result=3","7041223")</f>
        <v>0</v>
      </c>
      <c r="B5892" t="s">
        <v>1945</v>
      </c>
      <c r="C5892" t="s">
        <v>8678</v>
      </c>
      <c r="D5892" t="s">
        <v>16221</v>
      </c>
      <c r="E5892" t="s">
        <v>21498</v>
      </c>
      <c r="F5892" t="s">
        <v>28198</v>
      </c>
      <c r="G5892" t="s">
        <v>28207</v>
      </c>
      <c r="H5892" t="s">
        <v>28215</v>
      </c>
      <c r="I5892" t="s">
        <v>3774</v>
      </c>
      <c r="J5892" t="s">
        <v>32089</v>
      </c>
      <c r="K5892" t="s">
        <v>36688</v>
      </c>
      <c r="M5892" t="s">
        <v>39079</v>
      </c>
      <c r="N5892" t="s">
        <v>40436</v>
      </c>
      <c r="O5892" t="s">
        <v>40437</v>
      </c>
      <c r="P5892">
        <v>0</v>
      </c>
      <c r="Q5892">
        <v>0</v>
      </c>
      <c r="R5892" t="s">
        <v>40443</v>
      </c>
      <c r="S5892" t="s">
        <v>40644</v>
      </c>
      <c r="T5892" t="s">
        <v>42158</v>
      </c>
      <c r="U5892" t="s">
        <v>47633</v>
      </c>
      <c r="W5892" t="s">
        <v>39079</v>
      </c>
      <c r="X5892" t="s">
        <v>40444</v>
      </c>
    </row>
    <row r="5893" spans="1:24">
      <c r="A5893">
        <f>HYPERLINK("https://www.philgeps.gov.ph/GEPSNONPILOT/Tender/SplashBidNoticeAbstractUI.aspx?menuIndex=3&amp;refID=7041245&amp;Result=3","7041245")</f>
        <v>0</v>
      </c>
      <c r="B5893" t="s">
        <v>1941</v>
      </c>
      <c r="C5893" t="s">
        <v>4168</v>
      </c>
      <c r="D5893" t="s">
        <v>16191</v>
      </c>
      <c r="E5893" t="s">
        <v>21499</v>
      </c>
      <c r="F5893" t="s">
        <v>28198</v>
      </c>
      <c r="G5893" t="s">
        <v>28207</v>
      </c>
      <c r="H5893" t="s">
        <v>28215</v>
      </c>
      <c r="I5893" t="s">
        <v>4168</v>
      </c>
      <c r="J5893" t="s">
        <v>28900</v>
      </c>
      <c r="K5893" t="s">
        <v>36689</v>
      </c>
      <c r="M5893" t="s">
        <v>39075</v>
      </c>
      <c r="N5893" t="s">
        <v>40436</v>
      </c>
      <c r="O5893" t="s">
        <v>40437</v>
      </c>
      <c r="P5893">
        <v>0</v>
      </c>
      <c r="Q5893">
        <v>3</v>
      </c>
      <c r="R5893" t="s">
        <v>40443</v>
      </c>
      <c r="S5893" t="s">
        <v>40644</v>
      </c>
      <c r="T5893" t="s">
        <v>42245</v>
      </c>
      <c r="U5893" t="s">
        <v>47634</v>
      </c>
      <c r="W5893" t="s">
        <v>39075</v>
      </c>
      <c r="X5893" t="s">
        <v>40444</v>
      </c>
    </row>
    <row r="5894" spans="1:24">
      <c r="A5894">
        <f>HYPERLINK("https://www.philgeps.gov.ph/GEPSNONPILOT/Tender/SplashBidNoticeAbstractUI.aspx?menuIndex=3&amp;refID=7041192&amp;Result=3","7041192")</f>
        <v>0</v>
      </c>
      <c r="B5894" t="s">
        <v>434</v>
      </c>
      <c r="C5894" t="s">
        <v>8679</v>
      </c>
      <c r="D5894" t="s">
        <v>16218</v>
      </c>
      <c r="E5894" t="s">
        <v>21500</v>
      </c>
      <c r="F5894" t="s">
        <v>28198</v>
      </c>
      <c r="G5894" t="s">
        <v>28207</v>
      </c>
      <c r="H5894" t="s">
        <v>28215</v>
      </c>
      <c r="I5894" t="s">
        <v>5071</v>
      </c>
      <c r="J5894" t="s">
        <v>32090</v>
      </c>
      <c r="K5894" t="s">
        <v>36688</v>
      </c>
      <c r="M5894" t="s">
        <v>37417</v>
      </c>
      <c r="N5894" t="s">
        <v>40436</v>
      </c>
      <c r="O5894" t="s">
        <v>40437</v>
      </c>
      <c r="P5894">
        <v>0</v>
      </c>
      <c r="Q5894">
        <v>3</v>
      </c>
      <c r="R5894" t="s">
        <v>40443</v>
      </c>
      <c r="S5894" t="s">
        <v>40644</v>
      </c>
      <c r="T5894" t="s">
        <v>42218</v>
      </c>
      <c r="U5894" t="s">
        <v>47635</v>
      </c>
      <c r="W5894" t="s">
        <v>37417</v>
      </c>
      <c r="X5894" t="s">
        <v>40444</v>
      </c>
    </row>
    <row r="5895" spans="1:24">
      <c r="A5895">
        <f>HYPERLINK("https://www.philgeps.gov.ph/GEPSNONPILOT/Tender/SplashBidNoticeAbstractUI.aspx?menuIndex=3&amp;refID=7041231&amp;Result=3","7041231")</f>
        <v>0</v>
      </c>
      <c r="B5895" t="s">
        <v>1939</v>
      </c>
      <c r="C5895" t="s">
        <v>8680</v>
      </c>
      <c r="D5895" t="s">
        <v>16255</v>
      </c>
      <c r="E5895" t="s">
        <v>21501</v>
      </c>
      <c r="F5895" t="s">
        <v>28198</v>
      </c>
      <c r="G5895" t="s">
        <v>28205</v>
      </c>
      <c r="H5895" t="s">
        <v>28215</v>
      </c>
      <c r="I5895" t="s">
        <v>28222</v>
      </c>
      <c r="J5895" t="s">
        <v>28363</v>
      </c>
      <c r="K5895" t="s">
        <v>36694</v>
      </c>
      <c r="M5895" t="s">
        <v>39073</v>
      </c>
      <c r="N5895" t="s">
        <v>40436</v>
      </c>
      <c r="O5895" t="s">
        <v>40437</v>
      </c>
      <c r="P5895">
        <v>0</v>
      </c>
      <c r="Q5895">
        <v>1</v>
      </c>
      <c r="R5895" t="s">
        <v>40443</v>
      </c>
      <c r="S5895" t="s">
        <v>40644</v>
      </c>
      <c r="T5895" t="s">
        <v>42158</v>
      </c>
      <c r="U5895" t="s">
        <v>47616</v>
      </c>
      <c r="V5895" t="s">
        <v>54372</v>
      </c>
      <c r="W5895" t="s">
        <v>39073</v>
      </c>
      <c r="X5895" t="s">
        <v>40444</v>
      </c>
    </row>
    <row r="5896" spans="1:24">
      <c r="A5896">
        <f>HYPERLINK("https://www.philgeps.gov.ph/GEPSNONPILOT/Tender/SplashBidNoticeAbstractUI.aspx?menuIndex=3&amp;refID=7041240&amp;Result=3","7041240")</f>
        <v>0</v>
      </c>
      <c r="B5896" t="s">
        <v>1946</v>
      </c>
      <c r="C5896" t="s">
        <v>8681</v>
      </c>
      <c r="D5896" t="s">
        <v>16250</v>
      </c>
      <c r="E5896" t="s">
        <v>18050</v>
      </c>
      <c r="F5896" t="s">
        <v>28198</v>
      </c>
      <c r="G5896" t="s">
        <v>28207</v>
      </c>
      <c r="H5896" t="s">
        <v>28215</v>
      </c>
      <c r="I5896" t="s">
        <v>28257</v>
      </c>
      <c r="J5896" t="s">
        <v>29016</v>
      </c>
      <c r="K5896" t="s">
        <v>36688</v>
      </c>
      <c r="M5896" t="s">
        <v>39080</v>
      </c>
      <c r="N5896" t="s">
        <v>40436</v>
      </c>
      <c r="O5896" t="s">
        <v>40437</v>
      </c>
      <c r="P5896">
        <v>0</v>
      </c>
      <c r="Q5896">
        <v>0</v>
      </c>
      <c r="R5896" t="s">
        <v>40443</v>
      </c>
      <c r="S5896" t="s">
        <v>40644</v>
      </c>
      <c r="T5896" t="s">
        <v>42169</v>
      </c>
      <c r="U5896" t="s">
        <v>47636</v>
      </c>
      <c r="V5896" t="s">
        <v>54377</v>
      </c>
      <c r="W5896" t="s">
        <v>39080</v>
      </c>
      <c r="X5896" t="s">
        <v>40444</v>
      </c>
    </row>
    <row r="5897" spans="1:24">
      <c r="A5897">
        <f>HYPERLINK("https://www.philgeps.gov.ph/GEPSNONPILOT/Tender/SplashBidNoticeAbstractUI.aspx?menuIndex=3&amp;refID=7041229&amp;Result=3","7041229")</f>
        <v>0</v>
      </c>
      <c r="B5897" t="s">
        <v>520</v>
      </c>
      <c r="C5897" t="s">
        <v>8682</v>
      </c>
      <c r="D5897" t="s">
        <v>16247</v>
      </c>
      <c r="E5897" t="s">
        <v>21502</v>
      </c>
      <c r="F5897" t="s">
        <v>28198</v>
      </c>
      <c r="G5897" t="s">
        <v>28207</v>
      </c>
      <c r="H5897" t="s">
        <v>28215</v>
      </c>
      <c r="I5897" t="s">
        <v>28225</v>
      </c>
      <c r="J5897" t="s">
        <v>28542</v>
      </c>
      <c r="K5897" t="s">
        <v>36701</v>
      </c>
      <c r="M5897" t="s">
        <v>37505</v>
      </c>
      <c r="N5897" t="s">
        <v>40436</v>
      </c>
      <c r="O5897" t="s">
        <v>40437</v>
      </c>
      <c r="P5897">
        <v>0</v>
      </c>
      <c r="Q5897">
        <v>1</v>
      </c>
      <c r="R5897" t="s">
        <v>40443</v>
      </c>
      <c r="S5897" t="s">
        <v>40644</v>
      </c>
      <c r="T5897" t="s">
        <v>42350</v>
      </c>
      <c r="U5897" t="s">
        <v>43531</v>
      </c>
      <c r="W5897" t="s">
        <v>37505</v>
      </c>
      <c r="X5897" t="s">
        <v>40444</v>
      </c>
    </row>
    <row r="5898" spans="1:24">
      <c r="A5898">
        <f>HYPERLINK("https://www.philgeps.gov.ph/GEPSNONPILOT/Tender/SplashBidNoticeAbstractUI.aspx?menuIndex=3&amp;refID=7041235&amp;Result=3","7041235")</f>
        <v>0</v>
      </c>
      <c r="B5898" t="s">
        <v>1947</v>
      </c>
      <c r="C5898" t="s">
        <v>8683</v>
      </c>
      <c r="D5898" t="s">
        <v>16230</v>
      </c>
      <c r="E5898" t="s">
        <v>21503</v>
      </c>
      <c r="F5898" t="s">
        <v>28199</v>
      </c>
      <c r="G5898" t="s">
        <v>28206</v>
      </c>
      <c r="H5898" t="s">
        <v>28215</v>
      </c>
      <c r="I5898" t="s">
        <v>5631</v>
      </c>
      <c r="J5898" t="s">
        <v>32091</v>
      </c>
      <c r="K5898" t="s">
        <v>36707</v>
      </c>
      <c r="M5898" t="s">
        <v>39081</v>
      </c>
      <c r="N5898" t="s">
        <v>40436</v>
      </c>
      <c r="O5898" t="s">
        <v>40437</v>
      </c>
      <c r="P5898">
        <v>0</v>
      </c>
      <c r="Q5898">
        <v>0</v>
      </c>
      <c r="R5898" t="s">
        <v>40443</v>
      </c>
      <c r="S5898" t="s">
        <v>40644</v>
      </c>
      <c r="T5898" t="s">
        <v>42185</v>
      </c>
      <c r="U5898" t="s">
        <v>47637</v>
      </c>
      <c r="W5898" t="s">
        <v>39081</v>
      </c>
      <c r="X5898" t="s">
        <v>40444</v>
      </c>
    </row>
    <row r="5899" spans="1:24">
      <c r="A5899">
        <f>HYPERLINK("https://www.philgeps.gov.ph/GEPSNONPILOT/Tender/SplashBidNoticeAbstractUI.aspx?menuIndex=3&amp;refID=7041234&amp;Result=3","7041234")</f>
        <v>0</v>
      </c>
      <c r="B5899" t="s">
        <v>1581</v>
      </c>
      <c r="C5899" t="s">
        <v>8684</v>
      </c>
      <c r="D5899" t="s">
        <v>16220</v>
      </c>
      <c r="E5899" t="s">
        <v>21504</v>
      </c>
      <c r="F5899" t="s">
        <v>28198</v>
      </c>
      <c r="G5899" t="s">
        <v>28205</v>
      </c>
      <c r="H5899" t="s">
        <v>28215</v>
      </c>
      <c r="I5899" t="s">
        <v>28228</v>
      </c>
      <c r="J5899" t="s">
        <v>32092</v>
      </c>
      <c r="K5899" t="s">
        <v>36701</v>
      </c>
      <c r="M5899" t="s">
        <v>38666</v>
      </c>
      <c r="N5899" t="s">
        <v>40436</v>
      </c>
      <c r="O5899" t="s">
        <v>40437</v>
      </c>
      <c r="P5899">
        <v>0</v>
      </c>
      <c r="Q5899">
        <v>1</v>
      </c>
      <c r="R5899" t="s">
        <v>40443</v>
      </c>
      <c r="S5899" t="s">
        <v>40644</v>
      </c>
      <c r="T5899" t="s">
        <v>42189</v>
      </c>
      <c r="U5899" t="s">
        <v>47638</v>
      </c>
      <c r="W5899" t="s">
        <v>38666</v>
      </c>
      <c r="X5899" t="s">
        <v>40444</v>
      </c>
    </row>
    <row r="5900" spans="1:24">
      <c r="A5900">
        <f>HYPERLINK("https://www.philgeps.gov.ph/GEPSNONPILOT/Tender/SplashBidNoticeAbstractUI.aspx?menuIndex=3&amp;refID=7041264&amp;Result=3","7041264")</f>
        <v>0</v>
      </c>
      <c r="B5900" t="s">
        <v>1507</v>
      </c>
      <c r="C5900" t="s">
        <v>8685</v>
      </c>
      <c r="D5900" t="s">
        <v>16200</v>
      </c>
      <c r="E5900" t="s">
        <v>21505</v>
      </c>
      <c r="F5900" t="s">
        <v>28198</v>
      </c>
      <c r="G5900" t="s">
        <v>28205</v>
      </c>
      <c r="H5900" t="s">
        <v>28215</v>
      </c>
      <c r="I5900" t="s">
        <v>5656</v>
      </c>
      <c r="J5900" t="s">
        <v>32093</v>
      </c>
      <c r="K5900" t="s">
        <v>36701</v>
      </c>
      <c r="M5900" t="s">
        <v>38582</v>
      </c>
      <c r="N5900" t="s">
        <v>40436</v>
      </c>
      <c r="O5900" t="s">
        <v>40437</v>
      </c>
      <c r="P5900">
        <v>0</v>
      </c>
      <c r="Q5900">
        <v>2</v>
      </c>
      <c r="R5900" t="s">
        <v>40443</v>
      </c>
      <c r="S5900" t="s">
        <v>40644</v>
      </c>
      <c r="T5900" t="s">
        <v>42426</v>
      </c>
      <c r="U5900" t="s">
        <v>47623</v>
      </c>
      <c r="V5900" t="s">
        <v>54375</v>
      </c>
      <c r="W5900" t="s">
        <v>38582</v>
      </c>
      <c r="X5900" t="s">
        <v>40444</v>
      </c>
    </row>
    <row r="5901" spans="1:24">
      <c r="A5901">
        <f>HYPERLINK("https://www.philgeps.gov.ph/GEPSNONPILOT/Tender/SplashBidNoticeAbstractUI.aspx?menuIndex=3&amp;refID=7041270&amp;Result=3","7041270")</f>
        <v>0</v>
      </c>
      <c r="B5901" t="s">
        <v>520</v>
      </c>
      <c r="C5901" t="s">
        <v>8686</v>
      </c>
      <c r="D5901" t="s">
        <v>16247</v>
      </c>
      <c r="E5901" t="s">
        <v>21506</v>
      </c>
      <c r="F5901" t="s">
        <v>28198</v>
      </c>
      <c r="G5901" t="s">
        <v>28207</v>
      </c>
      <c r="H5901" t="s">
        <v>28215</v>
      </c>
      <c r="I5901" t="s">
        <v>28225</v>
      </c>
      <c r="J5901" t="s">
        <v>32094</v>
      </c>
      <c r="K5901" t="s">
        <v>36701</v>
      </c>
      <c r="M5901" t="s">
        <v>37505</v>
      </c>
      <c r="N5901" t="s">
        <v>40436</v>
      </c>
      <c r="O5901" t="s">
        <v>40437</v>
      </c>
      <c r="P5901">
        <v>0</v>
      </c>
      <c r="Q5901">
        <v>3</v>
      </c>
      <c r="R5901" t="s">
        <v>40443</v>
      </c>
      <c r="S5901" t="s">
        <v>40644</v>
      </c>
      <c r="T5901" t="s">
        <v>42350</v>
      </c>
      <c r="U5901" t="s">
        <v>43531</v>
      </c>
      <c r="W5901" t="s">
        <v>37505</v>
      </c>
      <c r="X5901" t="s">
        <v>40444</v>
      </c>
    </row>
    <row r="5902" spans="1:24">
      <c r="A5902">
        <f>HYPERLINK("https://www.philgeps.gov.ph/GEPSNONPILOT/Tender/SplashBidNoticeAbstractUI.aspx?menuIndex=3&amp;refID=7041261&amp;Result=3","7041261")</f>
        <v>0</v>
      </c>
      <c r="B5902" t="s">
        <v>1802</v>
      </c>
      <c r="C5902" t="s">
        <v>8687</v>
      </c>
      <c r="D5902" t="s">
        <v>16238</v>
      </c>
      <c r="E5902" t="s">
        <v>21507</v>
      </c>
      <c r="F5902" t="s">
        <v>28198</v>
      </c>
      <c r="G5902" t="s">
        <v>28207</v>
      </c>
      <c r="H5902" t="s">
        <v>28215</v>
      </c>
      <c r="I5902" t="s">
        <v>28268</v>
      </c>
      <c r="J5902" t="s">
        <v>32095</v>
      </c>
      <c r="K5902" t="s">
        <v>36705</v>
      </c>
      <c r="M5902" t="s">
        <v>38920</v>
      </c>
      <c r="N5902" t="s">
        <v>40436</v>
      </c>
      <c r="O5902" t="s">
        <v>40437</v>
      </c>
      <c r="P5902">
        <v>0</v>
      </c>
      <c r="Q5902">
        <v>0</v>
      </c>
      <c r="R5902" t="s">
        <v>40443</v>
      </c>
      <c r="S5902" t="s">
        <v>40644</v>
      </c>
      <c r="T5902" t="s">
        <v>42277</v>
      </c>
      <c r="U5902" t="s">
        <v>47639</v>
      </c>
      <c r="W5902" t="s">
        <v>38920</v>
      </c>
      <c r="X5902" t="s">
        <v>40444</v>
      </c>
    </row>
    <row r="5903" spans="1:24">
      <c r="A5903">
        <f>HYPERLINK("https://www.philgeps.gov.ph/GEPSNONPILOT/Tender/SplashBidNoticeAbstractUI.aspx?menuIndex=3&amp;refID=7041258&amp;Result=3","7041258")</f>
        <v>0</v>
      </c>
      <c r="B5903" t="s">
        <v>1948</v>
      </c>
      <c r="C5903" t="s">
        <v>8688</v>
      </c>
      <c r="D5903" t="s">
        <v>16210</v>
      </c>
      <c r="E5903" t="s">
        <v>21508</v>
      </c>
      <c r="F5903" t="s">
        <v>28204</v>
      </c>
      <c r="G5903" t="s">
        <v>28207</v>
      </c>
      <c r="H5903" t="s">
        <v>28215</v>
      </c>
      <c r="I5903" t="s">
        <v>28257</v>
      </c>
      <c r="J5903" t="s">
        <v>28694</v>
      </c>
      <c r="K5903" t="s">
        <v>36688</v>
      </c>
      <c r="M5903" t="s">
        <v>39082</v>
      </c>
      <c r="N5903" t="s">
        <v>40436</v>
      </c>
      <c r="O5903" t="s">
        <v>40437</v>
      </c>
      <c r="P5903">
        <v>0</v>
      </c>
      <c r="Q5903">
        <v>14</v>
      </c>
      <c r="R5903" t="s">
        <v>40443</v>
      </c>
      <c r="S5903" t="s">
        <v>40644</v>
      </c>
      <c r="T5903" t="s">
        <v>42387</v>
      </c>
      <c r="U5903" t="s">
        <v>47640</v>
      </c>
      <c r="V5903" t="s">
        <v>54378</v>
      </c>
      <c r="W5903" t="s">
        <v>39082</v>
      </c>
      <c r="X5903" t="s">
        <v>40444</v>
      </c>
    </row>
    <row r="5904" spans="1:24">
      <c r="A5904">
        <f>HYPERLINK("https://www.philgeps.gov.ph/GEPSNONPILOT/Tender/SplashBidNoticeAbstractUI.aspx?menuIndex=3&amp;refID=7041295&amp;Result=3","7041295")</f>
        <v>0</v>
      </c>
      <c r="B5904" t="s">
        <v>1162</v>
      </c>
      <c r="C5904" t="s">
        <v>8689</v>
      </c>
      <c r="D5904" t="s">
        <v>16202</v>
      </c>
      <c r="E5904" t="s">
        <v>21509</v>
      </c>
      <c r="F5904" t="s">
        <v>28198</v>
      </c>
      <c r="G5904" t="s">
        <v>28205</v>
      </c>
      <c r="H5904" t="s">
        <v>28215</v>
      </c>
      <c r="I5904" t="s">
        <v>28228</v>
      </c>
      <c r="J5904" t="s">
        <v>31003</v>
      </c>
      <c r="K5904" t="s">
        <v>36701</v>
      </c>
      <c r="M5904" t="s">
        <v>38202</v>
      </c>
      <c r="N5904" t="s">
        <v>40436</v>
      </c>
      <c r="O5904" t="s">
        <v>40437</v>
      </c>
      <c r="P5904">
        <v>0</v>
      </c>
      <c r="Q5904">
        <v>0</v>
      </c>
      <c r="R5904" t="s">
        <v>40443</v>
      </c>
      <c r="S5904" t="s">
        <v>40644</v>
      </c>
      <c r="T5904" t="s">
        <v>42190</v>
      </c>
      <c r="U5904" t="s">
        <v>47641</v>
      </c>
      <c r="V5904" t="s">
        <v>54379</v>
      </c>
      <c r="W5904" t="s">
        <v>38202</v>
      </c>
      <c r="X5904" t="s">
        <v>40444</v>
      </c>
    </row>
    <row r="5905" spans="1:24">
      <c r="A5905">
        <f>HYPERLINK("https://www.philgeps.gov.ph/GEPSNONPILOT/Tender/SplashBidNoticeAbstractUI.aspx?menuIndex=3&amp;refID=7041290&amp;Result=3","7041290")</f>
        <v>0</v>
      </c>
      <c r="B5905" t="s">
        <v>520</v>
      </c>
      <c r="C5905" t="s">
        <v>8690</v>
      </c>
      <c r="D5905" t="s">
        <v>16247</v>
      </c>
      <c r="E5905" t="s">
        <v>21510</v>
      </c>
      <c r="F5905" t="s">
        <v>28198</v>
      </c>
      <c r="G5905" t="s">
        <v>28207</v>
      </c>
      <c r="H5905" t="s">
        <v>28215</v>
      </c>
      <c r="I5905" t="s">
        <v>28225</v>
      </c>
      <c r="J5905" t="s">
        <v>32096</v>
      </c>
      <c r="K5905" t="s">
        <v>36701</v>
      </c>
      <c r="M5905" t="s">
        <v>37505</v>
      </c>
      <c r="N5905" t="s">
        <v>40436</v>
      </c>
      <c r="O5905" t="s">
        <v>40437</v>
      </c>
      <c r="P5905">
        <v>0</v>
      </c>
      <c r="Q5905">
        <v>0</v>
      </c>
      <c r="R5905" t="s">
        <v>40443</v>
      </c>
      <c r="S5905" t="s">
        <v>40644</v>
      </c>
      <c r="T5905" t="s">
        <v>42350</v>
      </c>
      <c r="U5905" t="s">
        <v>43531</v>
      </c>
      <c r="W5905" t="s">
        <v>37505</v>
      </c>
      <c r="X5905" t="s">
        <v>40444</v>
      </c>
    </row>
    <row r="5906" spans="1:24">
      <c r="A5906">
        <f>HYPERLINK("https://www.philgeps.gov.ph/GEPSNONPILOT/Tender/SplashBidNoticeAbstractUI.aspx?menuIndex=3&amp;refID=7041259&amp;Result=3","7041259")</f>
        <v>0</v>
      </c>
      <c r="B5906" t="s">
        <v>1939</v>
      </c>
      <c r="C5906" t="s">
        <v>8691</v>
      </c>
      <c r="D5906" t="s">
        <v>16255</v>
      </c>
      <c r="E5906" t="s">
        <v>21511</v>
      </c>
      <c r="F5906" t="s">
        <v>28198</v>
      </c>
      <c r="G5906" t="s">
        <v>28205</v>
      </c>
      <c r="H5906" t="s">
        <v>28215</v>
      </c>
      <c r="I5906" t="s">
        <v>28222</v>
      </c>
      <c r="J5906" t="s">
        <v>28716</v>
      </c>
      <c r="K5906" t="s">
        <v>36694</v>
      </c>
      <c r="M5906" t="s">
        <v>39073</v>
      </c>
      <c r="N5906" t="s">
        <v>40436</v>
      </c>
      <c r="O5906" t="s">
        <v>40437</v>
      </c>
      <c r="P5906">
        <v>0</v>
      </c>
      <c r="Q5906">
        <v>0</v>
      </c>
      <c r="R5906" t="s">
        <v>40443</v>
      </c>
      <c r="S5906" t="s">
        <v>40644</v>
      </c>
      <c r="T5906" t="s">
        <v>42158</v>
      </c>
      <c r="U5906" t="s">
        <v>47616</v>
      </c>
      <c r="V5906" t="s">
        <v>54372</v>
      </c>
      <c r="W5906" t="s">
        <v>39073</v>
      </c>
      <c r="X5906" t="s">
        <v>40444</v>
      </c>
    </row>
    <row r="5907" spans="1:24">
      <c r="A5907">
        <f>HYPERLINK("https://www.philgeps.gov.ph/GEPSNONPILOT/Tender/SplashBidNoticeAbstractUI.aspx?menuIndex=3&amp;refID=7041292&amp;Result=3","7041292")</f>
        <v>0</v>
      </c>
      <c r="B5907" t="s">
        <v>1507</v>
      </c>
      <c r="C5907" t="s">
        <v>8692</v>
      </c>
      <c r="D5907" t="s">
        <v>16200</v>
      </c>
      <c r="E5907" t="s">
        <v>21512</v>
      </c>
      <c r="F5907" t="s">
        <v>28198</v>
      </c>
      <c r="G5907" t="s">
        <v>28205</v>
      </c>
      <c r="H5907" t="s">
        <v>28215</v>
      </c>
      <c r="I5907" t="s">
        <v>3422</v>
      </c>
      <c r="J5907" t="s">
        <v>31928</v>
      </c>
      <c r="K5907" t="s">
        <v>36701</v>
      </c>
      <c r="M5907" t="s">
        <v>38582</v>
      </c>
      <c r="N5907" t="s">
        <v>40436</v>
      </c>
      <c r="O5907" t="s">
        <v>40437</v>
      </c>
      <c r="P5907">
        <v>0</v>
      </c>
      <c r="Q5907">
        <v>1</v>
      </c>
      <c r="R5907" t="s">
        <v>40443</v>
      </c>
      <c r="S5907" t="s">
        <v>40644</v>
      </c>
      <c r="T5907" t="s">
        <v>42426</v>
      </c>
      <c r="U5907" t="s">
        <v>47623</v>
      </c>
      <c r="W5907" t="s">
        <v>38582</v>
      </c>
      <c r="X5907" t="s">
        <v>40444</v>
      </c>
    </row>
    <row r="5908" spans="1:24">
      <c r="A5908">
        <f>HYPERLINK("https://www.philgeps.gov.ph/GEPSNONPILOT/Tender/SplashBidNoticeAbstractUI.aspx?menuIndex=3&amp;refID=7041288&amp;Result=3","7041288")</f>
        <v>0</v>
      </c>
      <c r="B5908" t="s">
        <v>588</v>
      </c>
      <c r="C5908" t="s">
        <v>8693</v>
      </c>
      <c r="D5908" t="s">
        <v>16197</v>
      </c>
      <c r="E5908" t="s">
        <v>21484</v>
      </c>
      <c r="F5908" t="s">
        <v>28198</v>
      </c>
      <c r="G5908" t="s">
        <v>28205</v>
      </c>
      <c r="H5908" t="s">
        <v>28214</v>
      </c>
      <c r="I5908" t="s">
        <v>3797</v>
      </c>
      <c r="J5908" t="s">
        <v>28415</v>
      </c>
      <c r="K5908" t="s">
        <v>36701</v>
      </c>
      <c r="M5908" t="s">
        <v>37577</v>
      </c>
      <c r="N5908" t="s">
        <v>40436</v>
      </c>
      <c r="O5908" t="s">
        <v>40437</v>
      </c>
      <c r="P5908">
        <v>0</v>
      </c>
      <c r="Q5908">
        <v>0</v>
      </c>
      <c r="R5908" t="s">
        <v>40443</v>
      </c>
      <c r="S5908" t="s">
        <v>40644</v>
      </c>
      <c r="T5908" t="s">
        <v>42121</v>
      </c>
      <c r="U5908" t="s">
        <v>47642</v>
      </c>
      <c r="V5908" t="s">
        <v>54380</v>
      </c>
      <c r="W5908" t="s">
        <v>37577</v>
      </c>
      <c r="X5908" t="s">
        <v>40444</v>
      </c>
    </row>
    <row r="5909" spans="1:24">
      <c r="A5909">
        <f>HYPERLINK("https://www.philgeps.gov.ph/GEPSNONPILOT/Tender/SplashBidNoticeAbstractUI.aspx?menuIndex=3&amp;refID=7041255&amp;Result=3","7041255")</f>
        <v>0</v>
      </c>
      <c r="B5909" t="s">
        <v>1949</v>
      </c>
      <c r="C5909" t="s">
        <v>8694</v>
      </c>
      <c r="D5909" t="s">
        <v>16204</v>
      </c>
      <c r="E5909" t="s">
        <v>18145</v>
      </c>
      <c r="F5909" t="s">
        <v>28198</v>
      </c>
      <c r="G5909" t="s">
        <v>28205</v>
      </c>
      <c r="H5909" t="s">
        <v>28214</v>
      </c>
      <c r="I5909" t="s">
        <v>3797</v>
      </c>
      <c r="J5909" t="s">
        <v>28361</v>
      </c>
      <c r="K5909" t="s">
        <v>36715</v>
      </c>
      <c r="M5909" t="s">
        <v>39083</v>
      </c>
      <c r="N5909" t="s">
        <v>40436</v>
      </c>
      <c r="O5909" t="s">
        <v>40437</v>
      </c>
      <c r="P5909">
        <v>0</v>
      </c>
      <c r="Q5909">
        <v>2</v>
      </c>
      <c r="R5909" t="s">
        <v>40443</v>
      </c>
      <c r="S5909" t="s">
        <v>40644</v>
      </c>
      <c r="T5909" t="s">
        <v>42261</v>
      </c>
      <c r="U5909" t="s">
        <v>47643</v>
      </c>
      <c r="W5909" t="s">
        <v>39083</v>
      </c>
      <c r="X5909" t="s">
        <v>40444</v>
      </c>
    </row>
    <row r="5910" spans="1:24">
      <c r="A5910">
        <f>HYPERLINK("https://www.philgeps.gov.ph/GEPSNONPILOT/Tender/SplashBidNoticeAbstractUI.aspx?menuIndex=3&amp;refID=7041284&amp;Result=3","7041284")</f>
        <v>0</v>
      </c>
      <c r="B5910" t="s">
        <v>1950</v>
      </c>
      <c r="C5910" t="s">
        <v>8695</v>
      </c>
      <c r="E5910" t="s">
        <v>21513</v>
      </c>
      <c r="F5910" t="s">
        <v>28198</v>
      </c>
      <c r="G5910" t="s">
        <v>28205</v>
      </c>
      <c r="H5910" t="s">
        <v>28217</v>
      </c>
      <c r="I5910" t="s">
        <v>28231</v>
      </c>
      <c r="J5910" t="s">
        <v>32097</v>
      </c>
      <c r="K5910" t="s">
        <v>36756</v>
      </c>
      <c r="M5910" t="s">
        <v>39084</v>
      </c>
      <c r="N5910" t="s">
        <v>40436</v>
      </c>
      <c r="O5910" t="s">
        <v>40437</v>
      </c>
      <c r="P5910">
        <v>0</v>
      </c>
      <c r="Q5910">
        <v>1</v>
      </c>
      <c r="R5910" t="s">
        <v>40443</v>
      </c>
      <c r="S5910" t="s">
        <v>40644</v>
      </c>
      <c r="T5910" t="s">
        <v>42195</v>
      </c>
      <c r="U5910" t="s">
        <v>47644</v>
      </c>
      <c r="W5910" t="s">
        <v>39084</v>
      </c>
      <c r="X5910" t="s">
        <v>40444</v>
      </c>
    </row>
    <row r="5911" spans="1:24">
      <c r="A5911">
        <f>HYPERLINK("https://www.philgeps.gov.ph/GEPSNONPILOT/Tender/SplashBidNoticeAbstractUI.aspx?menuIndex=3&amp;refID=7041283&amp;Result=3","7041283")</f>
        <v>0</v>
      </c>
      <c r="B5911" t="s">
        <v>1533</v>
      </c>
      <c r="C5911" t="s">
        <v>8696</v>
      </c>
      <c r="D5911" t="s">
        <v>16236</v>
      </c>
      <c r="E5911" t="s">
        <v>21514</v>
      </c>
      <c r="F5911" t="s">
        <v>28198</v>
      </c>
      <c r="G5911" t="s">
        <v>28205</v>
      </c>
      <c r="H5911" t="s">
        <v>28215</v>
      </c>
      <c r="I5911" t="s">
        <v>5100</v>
      </c>
      <c r="J5911" t="s">
        <v>32098</v>
      </c>
      <c r="K5911" t="s">
        <v>36687</v>
      </c>
      <c r="M5911" t="s">
        <v>38611</v>
      </c>
      <c r="N5911" t="s">
        <v>40436</v>
      </c>
      <c r="O5911" t="s">
        <v>40437</v>
      </c>
      <c r="P5911">
        <v>0</v>
      </c>
      <c r="Q5911">
        <v>0</v>
      </c>
      <c r="R5911" t="s">
        <v>40443</v>
      </c>
      <c r="S5911" t="s">
        <v>40644</v>
      </c>
      <c r="T5911" t="s">
        <v>42232</v>
      </c>
      <c r="U5911" t="s">
        <v>47645</v>
      </c>
      <c r="V5911" t="s">
        <v>54376</v>
      </c>
      <c r="W5911" t="s">
        <v>38611</v>
      </c>
      <c r="X5911" t="s">
        <v>40444</v>
      </c>
    </row>
    <row r="5912" spans="1:24">
      <c r="A5912">
        <f>HYPERLINK("https://www.philgeps.gov.ph/GEPSNONPILOT/Tender/SplashBidNoticeAbstractUI.aspx?menuIndex=3&amp;refID=7041260&amp;Result=3","7041260")</f>
        <v>0</v>
      </c>
      <c r="B5912" t="s">
        <v>520</v>
      </c>
      <c r="C5912" t="s">
        <v>8697</v>
      </c>
      <c r="D5912" t="s">
        <v>16247</v>
      </c>
      <c r="E5912" t="s">
        <v>21515</v>
      </c>
      <c r="F5912" t="s">
        <v>28198</v>
      </c>
      <c r="G5912" t="s">
        <v>28207</v>
      </c>
      <c r="H5912" t="s">
        <v>28215</v>
      </c>
      <c r="I5912" t="s">
        <v>28253</v>
      </c>
      <c r="J5912" t="s">
        <v>28573</v>
      </c>
      <c r="K5912" t="s">
        <v>36701</v>
      </c>
      <c r="M5912" t="s">
        <v>37505</v>
      </c>
      <c r="N5912" t="s">
        <v>40436</v>
      </c>
      <c r="O5912" t="s">
        <v>40437</v>
      </c>
      <c r="P5912">
        <v>0</v>
      </c>
      <c r="Q5912">
        <v>3</v>
      </c>
      <c r="R5912" t="s">
        <v>40443</v>
      </c>
      <c r="S5912" t="s">
        <v>40644</v>
      </c>
      <c r="T5912" t="s">
        <v>42350</v>
      </c>
      <c r="U5912" t="s">
        <v>43531</v>
      </c>
      <c r="W5912" t="s">
        <v>37505</v>
      </c>
      <c r="X5912" t="s">
        <v>40444</v>
      </c>
    </row>
    <row r="5913" spans="1:24">
      <c r="A5913">
        <f>HYPERLINK("https://www.philgeps.gov.ph/GEPSNONPILOT/Tender/SplashBidNoticeAbstractUI.aspx?menuIndex=3&amp;refID=7041269&amp;Result=3","7041269")</f>
        <v>0</v>
      </c>
      <c r="B5913" t="s">
        <v>171</v>
      </c>
      <c r="C5913" t="s">
        <v>8698</v>
      </c>
      <c r="D5913" t="s">
        <v>16260</v>
      </c>
      <c r="E5913" t="s">
        <v>21516</v>
      </c>
      <c r="F5913" t="s">
        <v>28198</v>
      </c>
      <c r="G5913" t="s">
        <v>28207</v>
      </c>
      <c r="H5913" t="s">
        <v>28215</v>
      </c>
      <c r="I5913" t="s">
        <v>6013</v>
      </c>
      <c r="J5913" t="s">
        <v>32099</v>
      </c>
      <c r="K5913" t="s">
        <v>36696</v>
      </c>
      <c r="M5913" t="s">
        <v>39085</v>
      </c>
      <c r="N5913" t="s">
        <v>40436</v>
      </c>
      <c r="O5913" t="s">
        <v>40437</v>
      </c>
      <c r="P5913">
        <v>0</v>
      </c>
      <c r="Q5913">
        <v>0</v>
      </c>
      <c r="R5913" t="s">
        <v>40443</v>
      </c>
      <c r="S5913" t="s">
        <v>40644</v>
      </c>
      <c r="T5913" t="s">
        <v>42167</v>
      </c>
      <c r="U5913" t="s">
        <v>47646</v>
      </c>
      <c r="W5913" t="s">
        <v>55500</v>
      </c>
      <c r="X5913" t="s">
        <v>40444</v>
      </c>
    </row>
    <row r="5914" spans="1:24">
      <c r="A5914">
        <f>HYPERLINK("https://www.philgeps.gov.ph/GEPSNONPILOT/Tender/SplashBidNoticeAbstractUI.aspx?menuIndex=3&amp;refID=7041282&amp;Result=3","7041282")</f>
        <v>0</v>
      </c>
      <c r="B5914" t="s">
        <v>1945</v>
      </c>
      <c r="C5914" t="s">
        <v>8699</v>
      </c>
      <c r="D5914" t="s">
        <v>16221</v>
      </c>
      <c r="E5914" t="s">
        <v>21517</v>
      </c>
      <c r="F5914" t="s">
        <v>28198</v>
      </c>
      <c r="G5914" t="s">
        <v>28207</v>
      </c>
      <c r="H5914" t="s">
        <v>28215</v>
      </c>
      <c r="I5914" t="s">
        <v>28225</v>
      </c>
      <c r="J5914" t="s">
        <v>32100</v>
      </c>
      <c r="K5914" t="s">
        <v>36688</v>
      </c>
      <c r="M5914" t="s">
        <v>39079</v>
      </c>
      <c r="N5914" t="s">
        <v>40436</v>
      </c>
      <c r="O5914" t="s">
        <v>40437</v>
      </c>
      <c r="P5914">
        <v>0</v>
      </c>
      <c r="Q5914">
        <v>0</v>
      </c>
      <c r="R5914" t="s">
        <v>40443</v>
      </c>
      <c r="S5914" t="s">
        <v>40644</v>
      </c>
      <c r="T5914" t="s">
        <v>42158</v>
      </c>
      <c r="U5914" t="s">
        <v>47647</v>
      </c>
      <c r="W5914" t="s">
        <v>39079</v>
      </c>
      <c r="X5914" t="s">
        <v>40444</v>
      </c>
    </row>
    <row r="5915" spans="1:24">
      <c r="A5915">
        <f>HYPERLINK("https://www.philgeps.gov.ph/GEPSNONPILOT/Tender/SplashBidNoticeAbstractUI.aspx?menuIndex=3&amp;refID=7041279&amp;Result=3","7041279")</f>
        <v>0</v>
      </c>
      <c r="B5915" t="s">
        <v>852</v>
      </c>
      <c r="C5915" t="s">
        <v>8700</v>
      </c>
      <c r="D5915" t="s">
        <v>16219</v>
      </c>
      <c r="E5915" t="s">
        <v>21518</v>
      </c>
      <c r="F5915" t="s">
        <v>28198</v>
      </c>
      <c r="G5915" t="s">
        <v>28205</v>
      </c>
      <c r="H5915" t="s">
        <v>28214</v>
      </c>
      <c r="I5915" t="s">
        <v>3797</v>
      </c>
      <c r="J5915" t="s">
        <v>28818</v>
      </c>
      <c r="K5915" t="s">
        <v>36697</v>
      </c>
      <c r="M5915" t="s">
        <v>37863</v>
      </c>
      <c r="N5915" t="s">
        <v>40436</v>
      </c>
      <c r="O5915" t="s">
        <v>40437</v>
      </c>
      <c r="P5915">
        <v>0</v>
      </c>
      <c r="Q5915">
        <v>0</v>
      </c>
      <c r="R5915" t="s">
        <v>40443</v>
      </c>
      <c r="S5915" t="s">
        <v>40644</v>
      </c>
      <c r="T5915" t="s">
        <v>42145</v>
      </c>
      <c r="U5915" t="s">
        <v>47648</v>
      </c>
      <c r="V5915" t="s">
        <v>54381</v>
      </c>
      <c r="W5915" t="s">
        <v>37863</v>
      </c>
      <c r="X5915" t="s">
        <v>40444</v>
      </c>
    </row>
    <row r="5916" spans="1:24">
      <c r="A5916">
        <f>HYPERLINK("https://www.philgeps.gov.ph/GEPSNONPILOT/Tender/SplashBidNoticeAbstractUI.aspx?menuIndex=3&amp;refID=7041280&amp;Result=3","7041280")</f>
        <v>0</v>
      </c>
      <c r="B5916" t="s">
        <v>1345</v>
      </c>
      <c r="C5916" t="s">
        <v>8701</v>
      </c>
      <c r="D5916" t="s">
        <v>16247</v>
      </c>
      <c r="E5916" t="s">
        <v>21519</v>
      </c>
      <c r="F5916" t="s">
        <v>28198</v>
      </c>
      <c r="G5916" t="s">
        <v>28207</v>
      </c>
      <c r="H5916" t="s">
        <v>28215</v>
      </c>
      <c r="I5916" t="s">
        <v>28250</v>
      </c>
      <c r="J5916" t="s">
        <v>32101</v>
      </c>
      <c r="K5916" t="s">
        <v>36688</v>
      </c>
      <c r="M5916" t="s">
        <v>38403</v>
      </c>
      <c r="N5916" t="s">
        <v>40436</v>
      </c>
      <c r="O5916" t="s">
        <v>40437</v>
      </c>
      <c r="P5916">
        <v>0</v>
      </c>
      <c r="Q5916">
        <v>4</v>
      </c>
      <c r="R5916" t="s">
        <v>40443</v>
      </c>
      <c r="S5916" t="s">
        <v>40644</v>
      </c>
      <c r="T5916" t="s">
        <v>42158</v>
      </c>
      <c r="U5916" t="s">
        <v>45667</v>
      </c>
      <c r="W5916" t="s">
        <v>38403</v>
      </c>
      <c r="X5916" t="s">
        <v>40444</v>
      </c>
    </row>
    <row r="5917" spans="1:24">
      <c r="A5917">
        <f>HYPERLINK("https://www.philgeps.gov.ph/GEPSNONPILOT/Tender/SplashBidNoticeAbstractUI.aspx?menuIndex=3&amp;refID=7041291&amp;Result=3","7041291")</f>
        <v>0</v>
      </c>
      <c r="B5917" t="s">
        <v>1951</v>
      </c>
      <c r="C5917" t="s">
        <v>8702</v>
      </c>
      <c r="D5917" t="s">
        <v>16190</v>
      </c>
      <c r="E5917" t="s">
        <v>21520</v>
      </c>
      <c r="F5917" t="s">
        <v>28198</v>
      </c>
      <c r="G5917" t="s">
        <v>28205</v>
      </c>
      <c r="H5917" t="s">
        <v>28215</v>
      </c>
      <c r="I5917" t="s">
        <v>4168</v>
      </c>
      <c r="J5917" t="s">
        <v>28699</v>
      </c>
      <c r="K5917" t="s">
        <v>36701</v>
      </c>
      <c r="M5917" t="s">
        <v>39086</v>
      </c>
      <c r="N5917" t="s">
        <v>40436</v>
      </c>
      <c r="O5917" t="s">
        <v>40437</v>
      </c>
      <c r="P5917">
        <v>0</v>
      </c>
      <c r="Q5917">
        <v>8</v>
      </c>
      <c r="R5917" t="s">
        <v>40443</v>
      </c>
      <c r="S5917" t="s">
        <v>40644</v>
      </c>
      <c r="T5917" t="s">
        <v>42212</v>
      </c>
      <c r="U5917" t="s">
        <v>47649</v>
      </c>
      <c r="W5917" t="s">
        <v>39086</v>
      </c>
      <c r="X5917" t="s">
        <v>40444</v>
      </c>
    </row>
    <row r="5918" spans="1:24">
      <c r="A5918">
        <f>HYPERLINK("https://www.philgeps.gov.ph/GEPSNONPILOT/Tender/SplashBidNoticeAbstractUI.aspx?menuIndex=3&amp;refID=7041298&amp;Result=3","7041298")</f>
        <v>0</v>
      </c>
      <c r="B5918" t="s">
        <v>1939</v>
      </c>
      <c r="C5918" t="s">
        <v>8703</v>
      </c>
      <c r="D5918" t="s">
        <v>16255</v>
      </c>
      <c r="E5918" t="s">
        <v>21521</v>
      </c>
      <c r="F5918" t="s">
        <v>28198</v>
      </c>
      <c r="G5918" t="s">
        <v>28205</v>
      </c>
      <c r="H5918" t="s">
        <v>28215</v>
      </c>
      <c r="I5918" t="s">
        <v>28243</v>
      </c>
      <c r="J5918" t="s">
        <v>28378</v>
      </c>
      <c r="K5918" t="s">
        <v>36694</v>
      </c>
      <c r="M5918" t="s">
        <v>39073</v>
      </c>
      <c r="N5918" t="s">
        <v>40436</v>
      </c>
      <c r="O5918" t="s">
        <v>40437</v>
      </c>
      <c r="P5918">
        <v>0</v>
      </c>
      <c r="Q5918">
        <v>0</v>
      </c>
      <c r="R5918" t="s">
        <v>40443</v>
      </c>
      <c r="S5918" t="s">
        <v>40644</v>
      </c>
      <c r="T5918" t="s">
        <v>42158</v>
      </c>
      <c r="U5918" t="s">
        <v>47616</v>
      </c>
      <c r="V5918" t="s">
        <v>54372</v>
      </c>
      <c r="W5918" t="s">
        <v>39073</v>
      </c>
      <c r="X5918" t="s">
        <v>40444</v>
      </c>
    </row>
    <row r="5919" spans="1:24">
      <c r="A5919">
        <f>HYPERLINK("https://www.philgeps.gov.ph/GEPSNONPILOT/Tender/SplashBidNoticeAbstractUI.aspx?menuIndex=3&amp;refID=7041275&amp;Result=3","7041275")</f>
        <v>0</v>
      </c>
      <c r="B5919" t="s">
        <v>1952</v>
      </c>
      <c r="C5919" t="s">
        <v>3545</v>
      </c>
      <c r="D5919" t="s">
        <v>16191</v>
      </c>
      <c r="E5919" t="s">
        <v>21522</v>
      </c>
      <c r="F5919" t="s">
        <v>28198</v>
      </c>
      <c r="G5919" t="s">
        <v>28205</v>
      </c>
      <c r="H5919" t="s">
        <v>28215</v>
      </c>
      <c r="I5919" t="s">
        <v>8888</v>
      </c>
      <c r="J5919" t="s">
        <v>32102</v>
      </c>
      <c r="K5919" t="s">
        <v>36688</v>
      </c>
      <c r="M5919" t="s">
        <v>39087</v>
      </c>
      <c r="N5919" t="s">
        <v>40436</v>
      </c>
      <c r="O5919" t="s">
        <v>40437</v>
      </c>
      <c r="P5919">
        <v>0</v>
      </c>
      <c r="Q5919">
        <v>1</v>
      </c>
      <c r="R5919" t="s">
        <v>40443</v>
      </c>
      <c r="S5919" t="s">
        <v>40644</v>
      </c>
      <c r="T5919" t="s">
        <v>42131</v>
      </c>
      <c r="U5919" t="s">
        <v>47650</v>
      </c>
      <c r="W5919" t="s">
        <v>39087</v>
      </c>
      <c r="X5919" t="s">
        <v>40444</v>
      </c>
    </row>
    <row r="5920" spans="1:24">
      <c r="A5920">
        <f>HYPERLINK("https://www.philgeps.gov.ph/GEPSNONPILOT/Tender/SplashBidNoticeAbstractUI.aspx?menuIndex=3&amp;refID=7041274&amp;Result=3","7041274")</f>
        <v>0</v>
      </c>
      <c r="B5920" t="s">
        <v>1521</v>
      </c>
      <c r="C5920" t="s">
        <v>8704</v>
      </c>
      <c r="D5920" t="s">
        <v>16216</v>
      </c>
      <c r="E5920" t="s">
        <v>21523</v>
      </c>
      <c r="F5920" t="s">
        <v>28198</v>
      </c>
      <c r="G5920" t="s">
        <v>28209</v>
      </c>
      <c r="H5920" t="s">
        <v>28215</v>
      </c>
      <c r="I5920" t="s">
        <v>28280</v>
      </c>
      <c r="J5920" t="s">
        <v>29203</v>
      </c>
      <c r="K5920" t="s">
        <v>36707</v>
      </c>
      <c r="M5920" t="s">
        <v>38599</v>
      </c>
      <c r="N5920" t="s">
        <v>40436</v>
      </c>
      <c r="O5920" t="s">
        <v>40437</v>
      </c>
      <c r="P5920">
        <v>0</v>
      </c>
      <c r="Q5920">
        <v>1</v>
      </c>
      <c r="R5920" t="s">
        <v>40443</v>
      </c>
      <c r="S5920" t="s">
        <v>40644</v>
      </c>
      <c r="T5920" t="s">
        <v>42277</v>
      </c>
      <c r="U5920" t="s">
        <v>47651</v>
      </c>
      <c r="W5920" t="s">
        <v>38599</v>
      </c>
      <c r="X5920" t="s">
        <v>40444</v>
      </c>
    </row>
    <row r="5921" spans="1:24">
      <c r="A5921">
        <f>HYPERLINK("https://www.philgeps.gov.ph/GEPSNONPILOT/Tender/SplashBidNoticeAbstractUI.aspx?menuIndex=3&amp;refID=7041329&amp;Result=3","7041329")</f>
        <v>0</v>
      </c>
      <c r="B5921" t="s">
        <v>1953</v>
      </c>
      <c r="C5921" t="s">
        <v>8705</v>
      </c>
      <c r="D5921" t="s">
        <v>16196</v>
      </c>
      <c r="E5921" t="s">
        <v>21524</v>
      </c>
      <c r="F5921" t="s">
        <v>28198</v>
      </c>
      <c r="G5921" t="s">
        <v>28205</v>
      </c>
      <c r="H5921" t="s">
        <v>28215</v>
      </c>
      <c r="I5921" t="s">
        <v>28227</v>
      </c>
      <c r="J5921" t="s">
        <v>32103</v>
      </c>
      <c r="K5921" t="s">
        <v>36706</v>
      </c>
      <c r="M5921" t="s">
        <v>39088</v>
      </c>
      <c r="N5921" t="s">
        <v>40436</v>
      </c>
      <c r="O5921" t="s">
        <v>40437</v>
      </c>
      <c r="P5921">
        <v>0</v>
      </c>
      <c r="Q5921">
        <v>0</v>
      </c>
      <c r="R5921" t="s">
        <v>40443</v>
      </c>
      <c r="S5921" t="s">
        <v>40644</v>
      </c>
      <c r="T5921" t="s">
        <v>42169</v>
      </c>
      <c r="U5921" t="s">
        <v>47652</v>
      </c>
      <c r="V5921" t="s">
        <v>54382</v>
      </c>
      <c r="W5921" t="s">
        <v>39088</v>
      </c>
      <c r="X5921" t="s">
        <v>40444</v>
      </c>
    </row>
    <row r="5922" spans="1:24">
      <c r="A5922">
        <f>HYPERLINK("https://www.philgeps.gov.ph/GEPSNONPILOT/Tender/SplashBidNoticeAbstractUI.aspx?menuIndex=3&amp;refID=7041322&amp;Result=3","7041322")</f>
        <v>0</v>
      </c>
      <c r="B5922" t="s">
        <v>1951</v>
      </c>
      <c r="C5922" t="s">
        <v>8706</v>
      </c>
      <c r="D5922" t="s">
        <v>16190</v>
      </c>
      <c r="E5922" t="s">
        <v>21525</v>
      </c>
      <c r="F5922" t="s">
        <v>28198</v>
      </c>
      <c r="G5922" t="s">
        <v>28205</v>
      </c>
      <c r="H5922" t="s">
        <v>28215</v>
      </c>
      <c r="I5922" t="s">
        <v>28222</v>
      </c>
      <c r="J5922" t="s">
        <v>32104</v>
      </c>
      <c r="K5922" t="s">
        <v>36701</v>
      </c>
      <c r="M5922" t="s">
        <v>39086</v>
      </c>
      <c r="N5922" t="s">
        <v>40436</v>
      </c>
      <c r="O5922" t="s">
        <v>40437</v>
      </c>
      <c r="P5922">
        <v>0</v>
      </c>
      <c r="Q5922">
        <v>3</v>
      </c>
      <c r="R5922" t="s">
        <v>40443</v>
      </c>
      <c r="S5922" t="s">
        <v>40644</v>
      </c>
      <c r="T5922" t="s">
        <v>42212</v>
      </c>
      <c r="U5922" t="s">
        <v>47653</v>
      </c>
      <c r="W5922" t="s">
        <v>39086</v>
      </c>
      <c r="X5922" t="s">
        <v>40444</v>
      </c>
    </row>
    <row r="5923" spans="1:24">
      <c r="A5923">
        <f>HYPERLINK("https://www.philgeps.gov.ph/GEPSNONPILOT/Tender/SplashBidNoticeAbstractUI.aspx?menuIndex=3&amp;refID=7041316&amp;Result=3","7041316")</f>
        <v>0</v>
      </c>
      <c r="B5923" t="s">
        <v>1802</v>
      </c>
      <c r="C5923" t="s">
        <v>8707</v>
      </c>
      <c r="D5923" t="s">
        <v>16238</v>
      </c>
      <c r="E5923" t="s">
        <v>21526</v>
      </c>
      <c r="F5923" t="s">
        <v>28198</v>
      </c>
      <c r="G5923" t="s">
        <v>28207</v>
      </c>
      <c r="H5923" t="s">
        <v>28215</v>
      </c>
      <c r="I5923" t="s">
        <v>3774</v>
      </c>
      <c r="J5923" t="s">
        <v>32105</v>
      </c>
      <c r="K5923" t="s">
        <v>36701</v>
      </c>
      <c r="M5923" t="s">
        <v>38920</v>
      </c>
      <c r="N5923" t="s">
        <v>40436</v>
      </c>
      <c r="O5923" t="s">
        <v>40437</v>
      </c>
      <c r="P5923">
        <v>0</v>
      </c>
      <c r="Q5923">
        <v>1</v>
      </c>
      <c r="R5923" t="s">
        <v>40443</v>
      </c>
      <c r="S5923" t="s">
        <v>40644</v>
      </c>
      <c r="T5923" t="s">
        <v>42277</v>
      </c>
      <c r="U5923" t="s">
        <v>47654</v>
      </c>
      <c r="W5923" t="s">
        <v>38920</v>
      </c>
      <c r="X5923" t="s">
        <v>40444</v>
      </c>
    </row>
    <row r="5924" spans="1:24">
      <c r="A5924">
        <f>HYPERLINK("https://www.philgeps.gov.ph/GEPSNONPILOT/Tender/SplashBidNoticeAbstractUI.aspx?menuIndex=3&amp;refID=7041312&amp;Result=3","7041312")</f>
        <v>0</v>
      </c>
      <c r="B5924" t="s">
        <v>1954</v>
      </c>
      <c r="C5924" t="s">
        <v>8708</v>
      </c>
      <c r="D5924" t="s">
        <v>16216</v>
      </c>
      <c r="E5924" t="s">
        <v>21527</v>
      </c>
      <c r="F5924" t="s">
        <v>28198</v>
      </c>
      <c r="G5924" t="s">
        <v>28205</v>
      </c>
      <c r="H5924" t="s">
        <v>28215</v>
      </c>
      <c r="I5924" t="s">
        <v>8888</v>
      </c>
      <c r="J5924" t="s">
        <v>28573</v>
      </c>
      <c r="K5924" t="s">
        <v>36707</v>
      </c>
      <c r="M5924" t="s">
        <v>39089</v>
      </c>
      <c r="N5924" t="s">
        <v>40436</v>
      </c>
      <c r="O5924" t="s">
        <v>40437</v>
      </c>
      <c r="P5924">
        <v>0</v>
      </c>
      <c r="Q5924">
        <v>2</v>
      </c>
      <c r="R5924" t="s">
        <v>40443</v>
      </c>
      <c r="S5924" t="s">
        <v>40644</v>
      </c>
      <c r="T5924" t="s">
        <v>42262</v>
      </c>
      <c r="U5924" t="s">
        <v>47655</v>
      </c>
      <c r="V5924" t="s">
        <v>54383</v>
      </c>
      <c r="W5924" t="s">
        <v>39089</v>
      </c>
      <c r="X5924" t="s">
        <v>40444</v>
      </c>
    </row>
    <row r="5925" spans="1:24">
      <c r="A5925">
        <f>HYPERLINK("https://www.philgeps.gov.ph/GEPSNONPILOT/Tender/SplashBidNoticeAbstractUI.aspx?menuIndex=3&amp;refID=7041330&amp;Result=3","7041330")</f>
        <v>0</v>
      </c>
      <c r="B5925" t="s">
        <v>1151</v>
      </c>
      <c r="C5925" t="s">
        <v>8709</v>
      </c>
      <c r="D5925" t="s">
        <v>16263</v>
      </c>
      <c r="E5925" t="s">
        <v>21528</v>
      </c>
      <c r="F5925" t="s">
        <v>28198</v>
      </c>
      <c r="G5925" t="s">
        <v>28205</v>
      </c>
      <c r="H5925" t="s">
        <v>28214</v>
      </c>
      <c r="I5925" t="s">
        <v>3797</v>
      </c>
      <c r="J5925" t="s">
        <v>32106</v>
      </c>
      <c r="K5925" t="s">
        <v>36834</v>
      </c>
      <c r="M5925" t="s">
        <v>38191</v>
      </c>
      <c r="N5925" t="s">
        <v>40436</v>
      </c>
      <c r="O5925" t="s">
        <v>40437</v>
      </c>
      <c r="P5925">
        <v>0</v>
      </c>
      <c r="Q5925">
        <v>2</v>
      </c>
      <c r="R5925" t="s">
        <v>40443</v>
      </c>
      <c r="S5925" t="s">
        <v>40644</v>
      </c>
      <c r="T5925" t="s">
        <v>42165</v>
      </c>
      <c r="U5925" t="s">
        <v>47656</v>
      </c>
      <c r="W5925" t="s">
        <v>38191</v>
      </c>
      <c r="X5925" t="s">
        <v>40444</v>
      </c>
    </row>
    <row r="5926" spans="1:24">
      <c r="A5926">
        <f>HYPERLINK("https://www.philgeps.gov.ph/GEPSNONPILOT/Tender/SplashBidNoticeAbstractUI.aspx?menuIndex=3&amp;refID=7041307&amp;Result=3","7041307")</f>
        <v>0</v>
      </c>
      <c r="B5926" t="s">
        <v>1533</v>
      </c>
      <c r="C5926" t="s">
        <v>8710</v>
      </c>
      <c r="D5926" t="s">
        <v>16236</v>
      </c>
      <c r="E5926" t="s">
        <v>21529</v>
      </c>
      <c r="F5926" t="s">
        <v>28198</v>
      </c>
      <c r="G5926" t="s">
        <v>28205</v>
      </c>
      <c r="H5926" t="s">
        <v>28215</v>
      </c>
      <c r="I5926" t="s">
        <v>5100</v>
      </c>
      <c r="J5926" t="s">
        <v>32107</v>
      </c>
      <c r="K5926" t="s">
        <v>36687</v>
      </c>
      <c r="M5926" t="s">
        <v>38611</v>
      </c>
      <c r="N5926" t="s">
        <v>40436</v>
      </c>
      <c r="O5926" t="s">
        <v>40437</v>
      </c>
      <c r="P5926">
        <v>0</v>
      </c>
      <c r="Q5926">
        <v>0</v>
      </c>
      <c r="R5926" t="s">
        <v>40443</v>
      </c>
      <c r="S5926" t="s">
        <v>40644</v>
      </c>
      <c r="T5926" t="s">
        <v>42232</v>
      </c>
      <c r="U5926" t="s">
        <v>47657</v>
      </c>
      <c r="V5926" t="s">
        <v>54376</v>
      </c>
      <c r="W5926" t="s">
        <v>38611</v>
      </c>
      <c r="X5926" t="s">
        <v>40444</v>
      </c>
    </row>
    <row r="5927" spans="1:24">
      <c r="A5927">
        <f>HYPERLINK("https://www.philgeps.gov.ph/GEPSNONPILOT/Tender/SplashBidNoticeAbstractUI.aspx?menuIndex=3&amp;refID=7041326&amp;Result=3","7041326")</f>
        <v>0</v>
      </c>
      <c r="B5927" t="s">
        <v>1950</v>
      </c>
      <c r="C5927" t="s">
        <v>8711</v>
      </c>
      <c r="E5927" t="s">
        <v>21530</v>
      </c>
      <c r="F5927" t="s">
        <v>28198</v>
      </c>
      <c r="G5927" t="s">
        <v>28205</v>
      </c>
      <c r="H5927" t="s">
        <v>28215</v>
      </c>
      <c r="I5927" t="s">
        <v>28246</v>
      </c>
      <c r="J5927" t="s">
        <v>29275</v>
      </c>
      <c r="K5927" t="s">
        <v>36689</v>
      </c>
      <c r="M5927" t="s">
        <v>39084</v>
      </c>
      <c r="N5927" t="s">
        <v>40436</v>
      </c>
      <c r="O5927" t="s">
        <v>40437</v>
      </c>
      <c r="P5927">
        <v>0</v>
      </c>
      <c r="Q5927">
        <v>0</v>
      </c>
      <c r="R5927" t="s">
        <v>40443</v>
      </c>
      <c r="S5927" t="s">
        <v>40644</v>
      </c>
      <c r="T5927" t="s">
        <v>42195</v>
      </c>
      <c r="U5927" t="s">
        <v>47658</v>
      </c>
      <c r="W5927" t="s">
        <v>39084</v>
      </c>
      <c r="X5927" t="s">
        <v>40444</v>
      </c>
    </row>
    <row r="5928" spans="1:24">
      <c r="A5928">
        <f>HYPERLINK("https://www.philgeps.gov.ph/GEPSNONPILOT/Tender/SplashBidNoticeAbstractUI.aspx?menuIndex=3&amp;refID=7041331&amp;Result=3","7041331")</f>
        <v>0</v>
      </c>
      <c r="B5928" t="s">
        <v>275</v>
      </c>
      <c r="C5928" t="s">
        <v>8712</v>
      </c>
      <c r="D5928" t="s">
        <v>16258</v>
      </c>
      <c r="E5928" t="s">
        <v>21531</v>
      </c>
      <c r="F5928" t="s">
        <v>28198</v>
      </c>
      <c r="G5928" t="s">
        <v>28205</v>
      </c>
      <c r="H5928" t="s">
        <v>28215</v>
      </c>
      <c r="I5928" t="s">
        <v>8870</v>
      </c>
      <c r="J5928" t="s">
        <v>28561</v>
      </c>
      <c r="K5928" t="s">
        <v>36701</v>
      </c>
      <c r="M5928" t="s">
        <v>37252</v>
      </c>
      <c r="N5928" t="s">
        <v>40436</v>
      </c>
      <c r="O5928" t="s">
        <v>40437</v>
      </c>
      <c r="P5928">
        <v>0</v>
      </c>
      <c r="Q5928">
        <v>0</v>
      </c>
      <c r="R5928" t="s">
        <v>40443</v>
      </c>
      <c r="S5928" t="s">
        <v>40644</v>
      </c>
      <c r="T5928" t="s">
        <v>42131</v>
      </c>
      <c r="U5928" t="s">
        <v>47659</v>
      </c>
      <c r="V5928" t="s">
        <v>54384</v>
      </c>
      <c r="W5928" t="s">
        <v>37252</v>
      </c>
      <c r="X5928" t="s">
        <v>40444</v>
      </c>
    </row>
    <row r="5929" spans="1:24">
      <c r="A5929">
        <f>HYPERLINK("https://www.philgeps.gov.ph/GEPSNONPILOT/Tender/SplashBidNoticeAbstractUI.aspx?menuIndex=3&amp;refID=7041302&amp;Result=3","7041302")</f>
        <v>0</v>
      </c>
      <c r="B5929" t="s">
        <v>1950</v>
      </c>
      <c r="C5929" t="s">
        <v>8713</v>
      </c>
      <c r="E5929" t="s">
        <v>21532</v>
      </c>
      <c r="F5929" t="s">
        <v>28198</v>
      </c>
      <c r="G5929" t="s">
        <v>28205</v>
      </c>
      <c r="H5929" t="s">
        <v>28215</v>
      </c>
      <c r="I5929" t="s">
        <v>6013</v>
      </c>
      <c r="J5929" t="s">
        <v>32108</v>
      </c>
      <c r="K5929" t="s">
        <v>36689</v>
      </c>
      <c r="M5929" t="s">
        <v>39084</v>
      </c>
      <c r="N5929" t="s">
        <v>40436</v>
      </c>
      <c r="O5929" t="s">
        <v>40437</v>
      </c>
      <c r="P5929">
        <v>0</v>
      </c>
      <c r="Q5929">
        <v>0</v>
      </c>
      <c r="R5929" t="s">
        <v>40443</v>
      </c>
      <c r="S5929" t="s">
        <v>40644</v>
      </c>
      <c r="T5929" t="s">
        <v>42195</v>
      </c>
      <c r="U5929" t="s">
        <v>47658</v>
      </c>
      <c r="W5929" t="s">
        <v>39084</v>
      </c>
      <c r="X5929" t="s">
        <v>40444</v>
      </c>
    </row>
    <row r="5930" spans="1:24">
      <c r="A5930">
        <f>HYPERLINK("https://www.philgeps.gov.ph/GEPSNONPILOT/Tender/SplashBidNoticeAbstractUI.aspx?menuIndex=3&amp;refID=7041352&amp;Result=3","7041352")</f>
        <v>0</v>
      </c>
      <c r="B5930" t="s">
        <v>1507</v>
      </c>
      <c r="C5930" t="s">
        <v>8714</v>
      </c>
      <c r="D5930" t="s">
        <v>16200</v>
      </c>
      <c r="E5930" t="s">
        <v>21533</v>
      </c>
      <c r="F5930" t="s">
        <v>28198</v>
      </c>
      <c r="G5930" t="s">
        <v>28205</v>
      </c>
      <c r="H5930" t="s">
        <v>28214</v>
      </c>
      <c r="I5930" t="s">
        <v>3797</v>
      </c>
      <c r="J5930" t="s">
        <v>32109</v>
      </c>
      <c r="K5930" t="s">
        <v>36701</v>
      </c>
      <c r="M5930" t="s">
        <v>38582</v>
      </c>
      <c r="N5930" t="s">
        <v>40436</v>
      </c>
      <c r="O5930" t="s">
        <v>40437</v>
      </c>
      <c r="P5930">
        <v>0</v>
      </c>
      <c r="Q5930">
        <v>1</v>
      </c>
      <c r="R5930" t="s">
        <v>40443</v>
      </c>
      <c r="S5930" t="s">
        <v>40644</v>
      </c>
      <c r="T5930" t="s">
        <v>42426</v>
      </c>
      <c r="U5930" t="s">
        <v>47623</v>
      </c>
      <c r="W5930" t="s">
        <v>38582</v>
      </c>
      <c r="X5930" t="s">
        <v>40444</v>
      </c>
    </row>
    <row r="5931" spans="1:24">
      <c r="A5931">
        <f>HYPERLINK("https://www.philgeps.gov.ph/GEPSNONPILOT/Tender/SplashBidNoticeAbstractUI.aspx?menuIndex=3&amp;refID=7041301&amp;Result=3","7041301")</f>
        <v>0</v>
      </c>
      <c r="B5931" t="s">
        <v>1802</v>
      </c>
      <c r="C5931" t="s">
        <v>8715</v>
      </c>
      <c r="D5931" t="s">
        <v>16238</v>
      </c>
      <c r="E5931" t="s">
        <v>21534</v>
      </c>
      <c r="F5931" t="s">
        <v>28198</v>
      </c>
      <c r="G5931" t="s">
        <v>28207</v>
      </c>
      <c r="H5931" t="s">
        <v>28215</v>
      </c>
      <c r="I5931" t="s">
        <v>4219</v>
      </c>
      <c r="J5931" t="s">
        <v>29749</v>
      </c>
      <c r="K5931" t="s">
        <v>36701</v>
      </c>
      <c r="M5931" t="s">
        <v>38920</v>
      </c>
      <c r="N5931" t="s">
        <v>40436</v>
      </c>
      <c r="O5931" t="s">
        <v>40437</v>
      </c>
      <c r="P5931">
        <v>0</v>
      </c>
      <c r="Q5931">
        <v>4</v>
      </c>
      <c r="R5931" t="s">
        <v>40443</v>
      </c>
      <c r="S5931" t="s">
        <v>40644</v>
      </c>
      <c r="T5931" t="s">
        <v>42277</v>
      </c>
      <c r="U5931" t="s">
        <v>47660</v>
      </c>
      <c r="W5931" t="s">
        <v>38920</v>
      </c>
      <c r="X5931" t="s">
        <v>40444</v>
      </c>
    </row>
    <row r="5932" spans="1:24">
      <c r="A5932">
        <f>HYPERLINK("https://www.philgeps.gov.ph/GEPSNONPILOT/Tender/SplashBidNoticeAbstractUI.aspx?menuIndex=3&amp;refID=7041333&amp;Result=3","7041333")</f>
        <v>0</v>
      </c>
      <c r="B5932" t="s">
        <v>1955</v>
      </c>
      <c r="C5932" t="s">
        <v>8716</v>
      </c>
      <c r="D5932" t="s">
        <v>16197</v>
      </c>
      <c r="E5932" t="s">
        <v>16473</v>
      </c>
      <c r="F5932" t="s">
        <v>28198</v>
      </c>
      <c r="G5932" t="s">
        <v>28205</v>
      </c>
      <c r="H5932" t="s">
        <v>28215</v>
      </c>
      <c r="I5932" t="s">
        <v>28222</v>
      </c>
      <c r="J5932" t="s">
        <v>32110</v>
      </c>
      <c r="K5932" t="s">
        <v>36707</v>
      </c>
      <c r="M5932" t="s">
        <v>39090</v>
      </c>
      <c r="N5932" t="s">
        <v>40436</v>
      </c>
      <c r="O5932" t="s">
        <v>40437</v>
      </c>
      <c r="P5932">
        <v>0</v>
      </c>
      <c r="Q5932">
        <v>1</v>
      </c>
      <c r="R5932" t="s">
        <v>40443</v>
      </c>
      <c r="S5932" t="s">
        <v>40644</v>
      </c>
      <c r="T5932" t="s">
        <v>42100</v>
      </c>
      <c r="U5932" t="s">
        <v>47661</v>
      </c>
      <c r="W5932" t="s">
        <v>55501</v>
      </c>
      <c r="X5932" t="s">
        <v>40444</v>
      </c>
    </row>
    <row r="5933" spans="1:24">
      <c r="A5933">
        <f>HYPERLINK("https://www.philgeps.gov.ph/GEPSNONPILOT/Tender/SplashBidNoticeAbstractUI.aspx?menuIndex=3&amp;refID=7041311&amp;Result=3","7041311")</f>
        <v>0</v>
      </c>
      <c r="B5933" t="s">
        <v>1507</v>
      </c>
      <c r="C5933" t="s">
        <v>8717</v>
      </c>
      <c r="D5933" t="s">
        <v>16200</v>
      </c>
      <c r="E5933" t="s">
        <v>21535</v>
      </c>
      <c r="F5933" t="s">
        <v>28198</v>
      </c>
      <c r="G5933" t="s">
        <v>28205</v>
      </c>
      <c r="H5933" t="s">
        <v>28215</v>
      </c>
      <c r="I5933" t="s">
        <v>3422</v>
      </c>
      <c r="J5933" t="s">
        <v>28363</v>
      </c>
      <c r="K5933" t="s">
        <v>36701</v>
      </c>
      <c r="M5933" t="s">
        <v>38582</v>
      </c>
      <c r="N5933" t="s">
        <v>40436</v>
      </c>
      <c r="O5933" t="s">
        <v>40437</v>
      </c>
      <c r="P5933">
        <v>0</v>
      </c>
      <c r="Q5933">
        <v>1</v>
      </c>
      <c r="R5933" t="s">
        <v>40443</v>
      </c>
      <c r="S5933" t="s">
        <v>40644</v>
      </c>
      <c r="T5933" t="s">
        <v>42426</v>
      </c>
      <c r="U5933" t="s">
        <v>47623</v>
      </c>
      <c r="W5933" t="s">
        <v>38582</v>
      </c>
      <c r="X5933" t="s">
        <v>40444</v>
      </c>
    </row>
    <row r="5934" spans="1:24">
      <c r="A5934">
        <f>HYPERLINK("https://www.philgeps.gov.ph/GEPSNONPILOT/Tender/SplashBidNoticeAbstractUI.aspx?menuIndex=3&amp;refID=7041339&amp;Result=3","7041339")</f>
        <v>0</v>
      </c>
      <c r="B5934" t="s">
        <v>351</v>
      </c>
      <c r="C5934" t="s">
        <v>8718</v>
      </c>
      <c r="D5934" t="s">
        <v>16258</v>
      </c>
      <c r="E5934" t="s">
        <v>21536</v>
      </c>
      <c r="F5934" t="s">
        <v>28198</v>
      </c>
      <c r="G5934" t="s">
        <v>28205</v>
      </c>
      <c r="H5934" t="s">
        <v>28215</v>
      </c>
      <c r="I5934" t="s">
        <v>5082</v>
      </c>
      <c r="J5934" t="s">
        <v>30791</v>
      </c>
      <c r="K5934" t="s">
        <v>36706</v>
      </c>
      <c r="M5934" t="s">
        <v>37330</v>
      </c>
      <c r="N5934" t="s">
        <v>40436</v>
      </c>
      <c r="O5934" t="s">
        <v>40437</v>
      </c>
      <c r="P5934">
        <v>0</v>
      </c>
      <c r="Q5934">
        <v>0</v>
      </c>
      <c r="R5934" t="s">
        <v>40443</v>
      </c>
      <c r="S5934" t="s">
        <v>40644</v>
      </c>
      <c r="T5934" t="s">
        <v>42136</v>
      </c>
      <c r="U5934" t="s">
        <v>47662</v>
      </c>
      <c r="W5934" t="s">
        <v>37330</v>
      </c>
      <c r="X5934" t="s">
        <v>40444</v>
      </c>
    </row>
    <row r="5935" spans="1:24">
      <c r="A5935">
        <f>HYPERLINK("https://www.philgeps.gov.ph/GEPSNONPILOT/Tender/SplashBidNoticeAbstractUI.aspx?menuIndex=3&amp;refID=7041347&amp;Result=3","7041347")</f>
        <v>0</v>
      </c>
      <c r="B5935" t="s">
        <v>1956</v>
      </c>
      <c r="C5935" t="s">
        <v>8719</v>
      </c>
      <c r="D5935" t="s">
        <v>16201</v>
      </c>
      <c r="E5935" t="s">
        <v>21537</v>
      </c>
      <c r="F5935" t="s">
        <v>28198</v>
      </c>
      <c r="G5935" t="s">
        <v>28205</v>
      </c>
      <c r="H5935" t="s">
        <v>28215</v>
      </c>
      <c r="I5935" t="s">
        <v>28222</v>
      </c>
      <c r="J5935" t="s">
        <v>28468</v>
      </c>
      <c r="K5935" t="s">
        <v>36707</v>
      </c>
      <c r="M5935" t="s">
        <v>39091</v>
      </c>
      <c r="N5935" t="s">
        <v>40436</v>
      </c>
      <c r="O5935" t="s">
        <v>40437</v>
      </c>
      <c r="P5935">
        <v>0</v>
      </c>
      <c r="Q5935">
        <v>4</v>
      </c>
      <c r="R5935" t="s">
        <v>40443</v>
      </c>
      <c r="S5935" t="s">
        <v>40644</v>
      </c>
      <c r="T5935" t="s">
        <v>42426</v>
      </c>
      <c r="U5935" t="s">
        <v>47663</v>
      </c>
      <c r="W5935" t="s">
        <v>39091</v>
      </c>
      <c r="X5935" t="s">
        <v>40444</v>
      </c>
    </row>
    <row r="5936" spans="1:24">
      <c r="A5936">
        <f>HYPERLINK("https://www.philgeps.gov.ph/GEPSNONPILOT/Tender/SplashBidNoticeAbstractUI.aspx?menuIndex=3&amp;refID=7041351&amp;Result=3","7041351")</f>
        <v>0</v>
      </c>
      <c r="B5936" t="s">
        <v>1427</v>
      </c>
      <c r="C5936" t="s">
        <v>8720</v>
      </c>
      <c r="D5936" t="s">
        <v>16260</v>
      </c>
      <c r="E5936" t="s">
        <v>18532</v>
      </c>
      <c r="F5936" t="s">
        <v>28198</v>
      </c>
      <c r="G5936" t="s">
        <v>28207</v>
      </c>
      <c r="H5936" t="s">
        <v>28215</v>
      </c>
      <c r="I5936" t="s">
        <v>5100</v>
      </c>
      <c r="J5936" t="s">
        <v>32111</v>
      </c>
      <c r="K5936" t="s">
        <v>36701</v>
      </c>
      <c r="M5936" t="s">
        <v>38493</v>
      </c>
      <c r="N5936" t="s">
        <v>40436</v>
      </c>
      <c r="O5936" t="s">
        <v>40437</v>
      </c>
      <c r="P5936">
        <v>0</v>
      </c>
      <c r="Q5936">
        <v>1</v>
      </c>
      <c r="R5936" t="s">
        <v>40443</v>
      </c>
      <c r="S5936" t="s">
        <v>40644</v>
      </c>
      <c r="T5936" t="s">
        <v>42169</v>
      </c>
      <c r="U5936" t="s">
        <v>47664</v>
      </c>
      <c r="W5936" t="s">
        <v>38493</v>
      </c>
      <c r="X5936" t="s">
        <v>40444</v>
      </c>
    </row>
    <row r="5937" spans="1:24">
      <c r="A5937">
        <f>HYPERLINK("https://www.philgeps.gov.ph/GEPSNONPILOT/Tender/SplashBidNoticeAbstractUI.aspx?menuIndex=3&amp;refID=7041344&amp;Result=3","7041344")</f>
        <v>0</v>
      </c>
      <c r="B5937" t="s">
        <v>1950</v>
      </c>
      <c r="C5937" t="s">
        <v>8721</v>
      </c>
      <c r="E5937" t="s">
        <v>21538</v>
      </c>
      <c r="F5937" t="s">
        <v>28198</v>
      </c>
      <c r="G5937" t="s">
        <v>28205</v>
      </c>
      <c r="H5937" t="s">
        <v>28215</v>
      </c>
      <c r="I5937" t="s">
        <v>28243</v>
      </c>
      <c r="J5937" t="s">
        <v>32112</v>
      </c>
      <c r="K5937" t="s">
        <v>36689</v>
      </c>
      <c r="M5937" t="s">
        <v>39084</v>
      </c>
      <c r="N5937" t="s">
        <v>40436</v>
      </c>
      <c r="O5937" t="s">
        <v>40437</v>
      </c>
      <c r="P5937">
        <v>0</v>
      </c>
      <c r="Q5937">
        <v>1</v>
      </c>
      <c r="R5937" t="s">
        <v>40443</v>
      </c>
      <c r="S5937" t="s">
        <v>40644</v>
      </c>
      <c r="T5937" t="s">
        <v>42195</v>
      </c>
      <c r="U5937" t="s">
        <v>47658</v>
      </c>
      <c r="W5937" t="s">
        <v>39084</v>
      </c>
      <c r="X5937" t="s">
        <v>40444</v>
      </c>
    </row>
    <row r="5938" spans="1:24">
      <c r="A5938">
        <f>HYPERLINK("https://www.philgeps.gov.ph/GEPSNONPILOT/Tender/SplashBidNoticeAbstractUI.aspx?menuIndex=3&amp;refID=7041341&amp;Result=3","7041341")</f>
        <v>0</v>
      </c>
      <c r="B5938" t="s">
        <v>1957</v>
      </c>
      <c r="C5938" t="s">
        <v>8722</v>
      </c>
      <c r="D5938" t="s">
        <v>16200</v>
      </c>
      <c r="E5938" t="s">
        <v>21539</v>
      </c>
      <c r="F5938" t="s">
        <v>28198</v>
      </c>
      <c r="G5938" t="s">
        <v>28205</v>
      </c>
      <c r="H5938" t="s">
        <v>28215</v>
      </c>
      <c r="I5938" t="s">
        <v>5631</v>
      </c>
      <c r="J5938" t="s">
        <v>32113</v>
      </c>
      <c r="K5938" t="s">
        <v>36707</v>
      </c>
      <c r="M5938" t="s">
        <v>39092</v>
      </c>
      <c r="N5938" t="s">
        <v>40436</v>
      </c>
      <c r="O5938" t="s">
        <v>40437</v>
      </c>
      <c r="P5938">
        <v>0</v>
      </c>
      <c r="Q5938">
        <v>1</v>
      </c>
      <c r="R5938" t="s">
        <v>40443</v>
      </c>
      <c r="S5938" t="s">
        <v>40644</v>
      </c>
      <c r="T5938" t="s">
        <v>42145</v>
      </c>
      <c r="U5938" t="s">
        <v>47665</v>
      </c>
      <c r="V5938" t="s">
        <v>54385</v>
      </c>
      <c r="W5938" t="s">
        <v>39092</v>
      </c>
      <c r="X5938" t="s">
        <v>40444</v>
      </c>
    </row>
    <row r="5939" spans="1:24">
      <c r="A5939">
        <f>HYPERLINK("https://www.philgeps.gov.ph/GEPSNONPILOT/Tender/SplashBidNoticeAbstractUI.aspx?menuIndex=3&amp;refID=7041355&amp;Result=3","7041355")</f>
        <v>0</v>
      </c>
      <c r="B5939" t="s">
        <v>1945</v>
      </c>
      <c r="C5939" t="s">
        <v>8723</v>
      </c>
      <c r="D5939" t="s">
        <v>16221</v>
      </c>
      <c r="E5939" t="s">
        <v>21540</v>
      </c>
      <c r="F5939" t="s">
        <v>28198</v>
      </c>
      <c r="G5939" t="s">
        <v>28205</v>
      </c>
      <c r="H5939" t="s">
        <v>28215</v>
      </c>
      <c r="I5939" t="s">
        <v>28238</v>
      </c>
      <c r="J5939" t="s">
        <v>32114</v>
      </c>
      <c r="K5939" t="s">
        <v>36688</v>
      </c>
      <c r="M5939" t="s">
        <v>39079</v>
      </c>
      <c r="N5939" t="s">
        <v>40436</v>
      </c>
      <c r="O5939" t="s">
        <v>40437</v>
      </c>
      <c r="Q5939">
        <v>2</v>
      </c>
      <c r="R5939" t="s">
        <v>40443</v>
      </c>
      <c r="S5939" t="s">
        <v>40648</v>
      </c>
      <c r="T5939" t="s">
        <v>42158</v>
      </c>
      <c r="U5939" t="s">
        <v>47666</v>
      </c>
      <c r="V5939" t="s">
        <v>54386</v>
      </c>
      <c r="W5939" t="s">
        <v>39079</v>
      </c>
      <c r="X5939" t="s">
        <v>40444</v>
      </c>
    </row>
    <row r="5940" spans="1:24">
      <c r="A5940">
        <f>HYPERLINK("https://www.philgeps.gov.ph/GEPSNONPILOT/Tender/SplashBidNoticeAbstractUI.aspx?menuIndex=3&amp;refID=7041338&amp;Result=3","7041338")</f>
        <v>0</v>
      </c>
      <c r="B5940" t="s">
        <v>1347</v>
      </c>
      <c r="C5940" t="s">
        <v>8724</v>
      </c>
      <c r="D5940" t="s">
        <v>16259</v>
      </c>
      <c r="E5940" t="s">
        <v>8724</v>
      </c>
      <c r="F5940" t="s">
        <v>28198</v>
      </c>
      <c r="G5940" t="s">
        <v>28206</v>
      </c>
      <c r="H5940" t="s">
        <v>28215</v>
      </c>
      <c r="I5940" t="s">
        <v>4168</v>
      </c>
      <c r="J5940" t="s">
        <v>28378</v>
      </c>
      <c r="K5940" t="s">
        <v>36707</v>
      </c>
      <c r="L5940" t="s">
        <v>1347</v>
      </c>
      <c r="M5940" t="s">
        <v>38405</v>
      </c>
      <c r="N5940" t="s">
        <v>40436</v>
      </c>
      <c r="O5940" t="s">
        <v>40437</v>
      </c>
      <c r="P5940">
        <v>0</v>
      </c>
      <c r="Q5940">
        <v>0</v>
      </c>
      <c r="R5940" t="s">
        <v>40443</v>
      </c>
      <c r="S5940" t="s">
        <v>40644</v>
      </c>
      <c r="T5940" t="s">
        <v>42149</v>
      </c>
      <c r="U5940" t="s">
        <v>47667</v>
      </c>
      <c r="W5940" t="s">
        <v>38405</v>
      </c>
      <c r="X5940" t="s">
        <v>40444</v>
      </c>
    </row>
    <row r="5941" spans="1:24">
      <c r="A5941">
        <f>HYPERLINK("https://www.philgeps.gov.ph/GEPSNONPILOT/Tender/SplashBidNoticeAbstractUI.aspx?menuIndex=3&amp;refID=7041354&amp;Result=3","7041354")</f>
        <v>0</v>
      </c>
      <c r="B5941" t="s">
        <v>1951</v>
      </c>
      <c r="C5941" t="s">
        <v>8725</v>
      </c>
      <c r="D5941" t="s">
        <v>16190</v>
      </c>
      <c r="E5941" t="s">
        <v>21541</v>
      </c>
      <c r="F5941" t="s">
        <v>28198</v>
      </c>
      <c r="G5941" t="s">
        <v>28205</v>
      </c>
      <c r="H5941" t="s">
        <v>28215</v>
      </c>
      <c r="I5941" t="s">
        <v>28222</v>
      </c>
      <c r="J5941" t="s">
        <v>28379</v>
      </c>
      <c r="K5941" t="s">
        <v>36701</v>
      </c>
      <c r="M5941" t="s">
        <v>39086</v>
      </c>
      <c r="N5941" t="s">
        <v>40436</v>
      </c>
      <c r="O5941" t="s">
        <v>40437</v>
      </c>
      <c r="P5941">
        <v>0</v>
      </c>
      <c r="Q5941">
        <v>2</v>
      </c>
      <c r="R5941" t="s">
        <v>40443</v>
      </c>
      <c r="S5941" t="s">
        <v>40644</v>
      </c>
      <c r="T5941" t="s">
        <v>42212</v>
      </c>
      <c r="U5941" t="s">
        <v>47668</v>
      </c>
      <c r="W5941" t="s">
        <v>39086</v>
      </c>
      <c r="X5941" t="s">
        <v>40444</v>
      </c>
    </row>
    <row r="5942" spans="1:24">
      <c r="A5942">
        <f>HYPERLINK("https://www.philgeps.gov.ph/GEPSNONPILOT/Tender/SplashBidNoticeAbstractUI.aspx?menuIndex=3&amp;refID=7041377&amp;Result=3","7041377")</f>
        <v>0</v>
      </c>
      <c r="B5942" t="s">
        <v>1956</v>
      </c>
      <c r="C5942" t="s">
        <v>8726</v>
      </c>
      <c r="D5942" t="s">
        <v>16201</v>
      </c>
      <c r="E5942" t="s">
        <v>21542</v>
      </c>
      <c r="F5942" t="s">
        <v>28198</v>
      </c>
      <c r="G5942" t="s">
        <v>28205</v>
      </c>
      <c r="H5942" t="s">
        <v>28215</v>
      </c>
      <c r="I5942" t="s">
        <v>28222</v>
      </c>
      <c r="J5942" t="s">
        <v>28468</v>
      </c>
      <c r="K5942" t="s">
        <v>36707</v>
      </c>
      <c r="M5942" t="s">
        <v>39091</v>
      </c>
      <c r="N5942" t="s">
        <v>40436</v>
      </c>
      <c r="O5942" t="s">
        <v>40437</v>
      </c>
      <c r="P5942">
        <v>0</v>
      </c>
      <c r="Q5942">
        <v>4</v>
      </c>
      <c r="R5942" t="s">
        <v>40443</v>
      </c>
      <c r="S5942" t="s">
        <v>40644</v>
      </c>
      <c r="T5942" t="s">
        <v>42426</v>
      </c>
      <c r="U5942" t="s">
        <v>47663</v>
      </c>
      <c r="W5942" t="s">
        <v>39091</v>
      </c>
      <c r="X5942" t="s">
        <v>40444</v>
      </c>
    </row>
    <row r="5943" spans="1:24">
      <c r="A5943">
        <f>HYPERLINK("https://www.philgeps.gov.ph/GEPSNONPILOT/Tender/SplashBidNoticeAbstractUI.aspx?menuIndex=3&amp;refID=7041368&amp;Result=3","7041368")</f>
        <v>0</v>
      </c>
      <c r="B5943" t="s">
        <v>1956</v>
      </c>
      <c r="C5943" t="s">
        <v>8727</v>
      </c>
      <c r="D5943" t="s">
        <v>16201</v>
      </c>
      <c r="E5943" t="s">
        <v>21543</v>
      </c>
      <c r="F5943" t="s">
        <v>28198</v>
      </c>
      <c r="G5943" t="s">
        <v>28205</v>
      </c>
      <c r="H5943" t="s">
        <v>28215</v>
      </c>
      <c r="I5943" t="s">
        <v>28222</v>
      </c>
      <c r="J5943" t="s">
        <v>28468</v>
      </c>
      <c r="K5943" t="s">
        <v>36707</v>
      </c>
      <c r="M5943" t="s">
        <v>39091</v>
      </c>
      <c r="N5943" t="s">
        <v>40436</v>
      </c>
      <c r="O5943" t="s">
        <v>40437</v>
      </c>
      <c r="P5943">
        <v>0</v>
      </c>
      <c r="Q5943">
        <v>7</v>
      </c>
      <c r="R5943" t="s">
        <v>40443</v>
      </c>
      <c r="S5943" t="s">
        <v>40644</v>
      </c>
      <c r="T5943" t="s">
        <v>42426</v>
      </c>
      <c r="U5943" t="s">
        <v>47663</v>
      </c>
      <c r="W5943" t="s">
        <v>39091</v>
      </c>
      <c r="X5943" t="s">
        <v>40444</v>
      </c>
    </row>
    <row r="5944" spans="1:24">
      <c r="A5944">
        <f>HYPERLINK("https://www.philgeps.gov.ph/GEPSNONPILOT/Tender/SplashBidNoticeAbstractUI.aspx?menuIndex=3&amp;refID=7041374&amp;Result=3","7041374")</f>
        <v>0</v>
      </c>
      <c r="B5944" t="s">
        <v>852</v>
      </c>
      <c r="C5944" t="s">
        <v>8728</v>
      </c>
      <c r="D5944" t="s">
        <v>16219</v>
      </c>
      <c r="E5944" t="s">
        <v>21544</v>
      </c>
      <c r="F5944" t="s">
        <v>28198</v>
      </c>
      <c r="G5944" t="s">
        <v>28205</v>
      </c>
      <c r="H5944" t="s">
        <v>28215</v>
      </c>
      <c r="I5944" t="s">
        <v>8888</v>
      </c>
      <c r="J5944" t="s">
        <v>32115</v>
      </c>
      <c r="K5944" t="s">
        <v>36688</v>
      </c>
      <c r="M5944" t="s">
        <v>37863</v>
      </c>
      <c r="N5944" t="s">
        <v>40436</v>
      </c>
      <c r="O5944" t="s">
        <v>40437</v>
      </c>
      <c r="P5944">
        <v>0</v>
      </c>
      <c r="Q5944">
        <v>1</v>
      </c>
      <c r="R5944" t="s">
        <v>40443</v>
      </c>
      <c r="S5944" t="s">
        <v>40644</v>
      </c>
      <c r="T5944" t="s">
        <v>42218</v>
      </c>
      <c r="U5944" t="s">
        <v>47669</v>
      </c>
      <c r="V5944" t="s">
        <v>54381</v>
      </c>
      <c r="W5944" t="s">
        <v>37863</v>
      </c>
      <c r="X5944" t="s">
        <v>40444</v>
      </c>
    </row>
    <row r="5945" spans="1:24">
      <c r="A5945">
        <f>HYPERLINK("https://www.philgeps.gov.ph/GEPSNONPILOT/Tender/SplashBidNoticeAbstractUI.aspx?menuIndex=3&amp;refID=7041356&amp;Result=3","7041356")</f>
        <v>0</v>
      </c>
      <c r="B5945" t="s">
        <v>1918</v>
      </c>
      <c r="C5945" t="s">
        <v>8729</v>
      </c>
      <c r="D5945" t="s">
        <v>16207</v>
      </c>
      <c r="E5945" t="s">
        <v>21545</v>
      </c>
      <c r="F5945" t="s">
        <v>28198</v>
      </c>
      <c r="G5945" t="s">
        <v>28207</v>
      </c>
      <c r="H5945" t="s">
        <v>28215</v>
      </c>
      <c r="I5945" t="s">
        <v>28246</v>
      </c>
      <c r="J5945" t="s">
        <v>28415</v>
      </c>
      <c r="K5945" t="s">
        <v>36701</v>
      </c>
      <c r="M5945" t="s">
        <v>39051</v>
      </c>
      <c r="N5945" t="s">
        <v>40436</v>
      </c>
      <c r="O5945" t="s">
        <v>40437</v>
      </c>
      <c r="P5945">
        <v>0</v>
      </c>
      <c r="Q5945">
        <v>1</v>
      </c>
      <c r="R5945" t="s">
        <v>40443</v>
      </c>
      <c r="S5945" t="s">
        <v>40644</v>
      </c>
      <c r="T5945" t="s">
        <v>42169</v>
      </c>
      <c r="U5945" t="s">
        <v>47670</v>
      </c>
      <c r="W5945" t="s">
        <v>39051</v>
      </c>
      <c r="X5945" t="s">
        <v>40444</v>
      </c>
    </row>
    <row r="5946" spans="1:24">
      <c r="A5946">
        <f>HYPERLINK("https://www.philgeps.gov.ph/GEPSNONPILOT/Tender/SplashBidNoticeAbstractUI.aspx?menuIndex=3&amp;refID=7041372&amp;Result=3","7041372")</f>
        <v>0</v>
      </c>
      <c r="B5946" t="s">
        <v>1958</v>
      </c>
      <c r="C5946" t="s">
        <v>8730</v>
      </c>
      <c r="D5946" t="s">
        <v>16244</v>
      </c>
      <c r="E5946" t="s">
        <v>20205</v>
      </c>
      <c r="F5946" t="s">
        <v>28198</v>
      </c>
      <c r="G5946" t="s">
        <v>28205</v>
      </c>
      <c r="H5946" t="s">
        <v>28215</v>
      </c>
      <c r="I5946" t="s">
        <v>5100</v>
      </c>
      <c r="J5946" t="s">
        <v>31303</v>
      </c>
      <c r="K5946" t="s">
        <v>36689</v>
      </c>
      <c r="M5946" t="s">
        <v>39093</v>
      </c>
      <c r="N5946" t="s">
        <v>40436</v>
      </c>
      <c r="O5946" t="s">
        <v>40437</v>
      </c>
      <c r="P5946">
        <v>0</v>
      </c>
      <c r="Q5946">
        <v>0</v>
      </c>
      <c r="R5946" t="s">
        <v>40443</v>
      </c>
      <c r="S5946" t="s">
        <v>40644</v>
      </c>
      <c r="T5946" t="s">
        <v>42109</v>
      </c>
      <c r="U5946" t="s">
        <v>47671</v>
      </c>
      <c r="W5946" t="s">
        <v>39093</v>
      </c>
      <c r="X5946" t="s">
        <v>40444</v>
      </c>
    </row>
    <row r="5947" spans="1:24">
      <c r="A5947">
        <f>HYPERLINK("https://www.philgeps.gov.ph/GEPSNONPILOT/Tender/SplashBidNoticeAbstractUI.aspx?menuIndex=3&amp;refID=7041403&amp;Result=3","7041403")</f>
        <v>0</v>
      </c>
      <c r="B5947" t="s">
        <v>1959</v>
      </c>
      <c r="C5947" t="s">
        <v>8731</v>
      </c>
      <c r="D5947" t="s">
        <v>16210</v>
      </c>
      <c r="E5947" t="s">
        <v>21546</v>
      </c>
      <c r="F5947" t="s">
        <v>28198</v>
      </c>
      <c r="G5947" t="s">
        <v>28207</v>
      </c>
      <c r="H5947" t="s">
        <v>28215</v>
      </c>
      <c r="I5947" t="s">
        <v>5100</v>
      </c>
      <c r="J5947" t="s">
        <v>30219</v>
      </c>
      <c r="K5947" t="s">
        <v>36693</v>
      </c>
      <c r="M5947" t="s">
        <v>39094</v>
      </c>
      <c r="N5947" t="s">
        <v>40436</v>
      </c>
      <c r="O5947" t="s">
        <v>40437</v>
      </c>
      <c r="P5947">
        <v>0</v>
      </c>
      <c r="Q5947">
        <v>2</v>
      </c>
      <c r="R5947" t="s">
        <v>40443</v>
      </c>
      <c r="S5947" t="s">
        <v>40644</v>
      </c>
      <c r="T5947" t="s">
        <v>42216</v>
      </c>
      <c r="U5947" t="s">
        <v>47672</v>
      </c>
      <c r="W5947" t="s">
        <v>39094</v>
      </c>
      <c r="X5947" t="s">
        <v>40444</v>
      </c>
    </row>
    <row r="5948" spans="1:24">
      <c r="A5948">
        <f>HYPERLINK("https://www.philgeps.gov.ph/GEPSNONPILOT/Tender/SplashBidNoticeAbstractUI.aspx?menuIndex=3&amp;refID=7041402&amp;Result=3","7041402")</f>
        <v>0</v>
      </c>
      <c r="B5948" t="s">
        <v>1960</v>
      </c>
      <c r="C5948" t="s">
        <v>8732</v>
      </c>
      <c r="D5948" t="s">
        <v>16195</v>
      </c>
      <c r="E5948" t="s">
        <v>16766</v>
      </c>
      <c r="F5948" t="s">
        <v>28198</v>
      </c>
      <c r="G5948" t="s">
        <v>28205</v>
      </c>
      <c r="H5948" t="s">
        <v>28214</v>
      </c>
      <c r="I5948" t="s">
        <v>3797</v>
      </c>
      <c r="J5948" t="s">
        <v>32116</v>
      </c>
      <c r="K5948" t="s">
        <v>36694</v>
      </c>
      <c r="M5948" t="s">
        <v>39095</v>
      </c>
      <c r="N5948" t="s">
        <v>40436</v>
      </c>
      <c r="O5948" t="s">
        <v>40437</v>
      </c>
      <c r="P5948">
        <v>0</v>
      </c>
      <c r="Q5948">
        <v>0</v>
      </c>
      <c r="R5948" t="s">
        <v>40443</v>
      </c>
      <c r="S5948" t="s">
        <v>40644</v>
      </c>
      <c r="T5948" t="s">
        <v>42157</v>
      </c>
      <c r="U5948" t="s">
        <v>47673</v>
      </c>
      <c r="W5948" t="s">
        <v>39095</v>
      </c>
      <c r="X5948" t="s">
        <v>40444</v>
      </c>
    </row>
    <row r="5949" spans="1:24">
      <c r="A5949">
        <f>HYPERLINK("https://www.philgeps.gov.ph/GEPSNONPILOT/Tender/SplashBidNoticeAbstractUI.aspx?menuIndex=3&amp;refID=7041373&amp;Result=3","7041373")</f>
        <v>0</v>
      </c>
      <c r="B5949" t="s">
        <v>1960</v>
      </c>
      <c r="C5949" t="s">
        <v>8733</v>
      </c>
      <c r="D5949" t="s">
        <v>16195</v>
      </c>
      <c r="E5949" t="s">
        <v>16473</v>
      </c>
      <c r="F5949" t="s">
        <v>28198</v>
      </c>
      <c r="G5949" t="s">
        <v>28205</v>
      </c>
      <c r="H5949" t="s">
        <v>28214</v>
      </c>
      <c r="I5949" t="s">
        <v>3797</v>
      </c>
      <c r="J5949" t="s">
        <v>28350</v>
      </c>
      <c r="K5949" t="s">
        <v>36694</v>
      </c>
      <c r="M5949" t="s">
        <v>39095</v>
      </c>
      <c r="N5949" t="s">
        <v>40436</v>
      </c>
      <c r="O5949" t="s">
        <v>40437</v>
      </c>
      <c r="P5949">
        <v>0</v>
      </c>
      <c r="Q5949">
        <v>0</v>
      </c>
      <c r="R5949" t="s">
        <v>40443</v>
      </c>
      <c r="S5949" t="s">
        <v>40644</v>
      </c>
      <c r="T5949" t="s">
        <v>42216</v>
      </c>
      <c r="U5949" t="s">
        <v>47674</v>
      </c>
      <c r="W5949" t="s">
        <v>39095</v>
      </c>
      <c r="X5949" t="s">
        <v>40444</v>
      </c>
    </row>
    <row r="5950" spans="1:24">
      <c r="A5950">
        <f>HYPERLINK("https://www.philgeps.gov.ph/GEPSNONPILOT/Tender/SplashBidNoticeAbstractUI.aspx?menuIndex=3&amp;refID=7041365&amp;Result=3","7041365")</f>
        <v>0</v>
      </c>
      <c r="B5950" t="s">
        <v>1961</v>
      </c>
      <c r="C5950" t="s">
        <v>8734</v>
      </c>
      <c r="D5950" t="s">
        <v>16255</v>
      </c>
      <c r="E5950" t="s">
        <v>16322</v>
      </c>
      <c r="F5950" t="s">
        <v>28198</v>
      </c>
      <c r="G5950" t="s">
        <v>28205</v>
      </c>
      <c r="H5950" t="s">
        <v>28215</v>
      </c>
      <c r="I5950" t="s">
        <v>5100</v>
      </c>
      <c r="J5950" t="s">
        <v>32117</v>
      </c>
      <c r="K5950" t="s">
        <v>36707</v>
      </c>
      <c r="M5950" t="s">
        <v>39096</v>
      </c>
      <c r="N5950" t="s">
        <v>40436</v>
      </c>
      <c r="O5950" t="s">
        <v>40437</v>
      </c>
      <c r="P5950">
        <v>0</v>
      </c>
      <c r="Q5950">
        <v>1</v>
      </c>
      <c r="R5950" t="s">
        <v>40443</v>
      </c>
      <c r="S5950" t="s">
        <v>40644</v>
      </c>
      <c r="T5950" t="s">
        <v>42118</v>
      </c>
      <c r="U5950" t="s">
        <v>47675</v>
      </c>
      <c r="W5950" t="s">
        <v>39096</v>
      </c>
      <c r="X5950" t="s">
        <v>40444</v>
      </c>
    </row>
    <row r="5951" spans="1:24">
      <c r="A5951">
        <f>HYPERLINK("https://www.philgeps.gov.ph/GEPSNONPILOT/Tender/SplashBidNoticeAbstractUI.aspx?menuIndex=3&amp;refID=7041395&amp;Result=3","7041395")</f>
        <v>0</v>
      </c>
      <c r="B5951" t="s">
        <v>1802</v>
      </c>
      <c r="C5951" t="s">
        <v>8735</v>
      </c>
      <c r="D5951" t="s">
        <v>16238</v>
      </c>
      <c r="E5951" t="s">
        <v>21547</v>
      </c>
      <c r="F5951" t="s">
        <v>28198</v>
      </c>
      <c r="G5951" t="s">
        <v>28207</v>
      </c>
      <c r="H5951" t="s">
        <v>28215</v>
      </c>
      <c r="I5951" t="s">
        <v>28243</v>
      </c>
      <c r="J5951" t="s">
        <v>28345</v>
      </c>
      <c r="K5951" t="s">
        <v>36701</v>
      </c>
      <c r="M5951" t="s">
        <v>38920</v>
      </c>
      <c r="N5951" t="s">
        <v>40436</v>
      </c>
      <c r="O5951" t="s">
        <v>40437</v>
      </c>
      <c r="P5951">
        <v>0</v>
      </c>
      <c r="Q5951">
        <v>3</v>
      </c>
      <c r="R5951" t="s">
        <v>40443</v>
      </c>
      <c r="S5951" t="s">
        <v>40644</v>
      </c>
      <c r="T5951" t="s">
        <v>42277</v>
      </c>
      <c r="U5951" t="s">
        <v>47676</v>
      </c>
      <c r="W5951" t="s">
        <v>38920</v>
      </c>
      <c r="X5951" t="s">
        <v>40444</v>
      </c>
    </row>
    <row r="5952" spans="1:24">
      <c r="A5952">
        <f>HYPERLINK("https://www.philgeps.gov.ph/GEPSNONPILOT/Tender/SplashBidNoticeAbstractUI.aspx?menuIndex=3&amp;refID=7041367&amp;Result=3","7041367")</f>
        <v>0</v>
      </c>
      <c r="B5952" t="s">
        <v>1951</v>
      </c>
      <c r="C5952" t="s">
        <v>8736</v>
      </c>
      <c r="D5952" t="s">
        <v>16190</v>
      </c>
      <c r="E5952" t="s">
        <v>21548</v>
      </c>
      <c r="F5952" t="s">
        <v>28198</v>
      </c>
      <c r="G5952" t="s">
        <v>28205</v>
      </c>
      <c r="H5952" t="s">
        <v>28215</v>
      </c>
      <c r="I5952" t="s">
        <v>28222</v>
      </c>
      <c r="J5952" t="s">
        <v>28363</v>
      </c>
      <c r="K5952" t="s">
        <v>36701</v>
      </c>
      <c r="M5952" t="s">
        <v>39086</v>
      </c>
      <c r="N5952" t="s">
        <v>40436</v>
      </c>
      <c r="O5952" t="s">
        <v>40437</v>
      </c>
      <c r="P5952">
        <v>0</v>
      </c>
      <c r="Q5952">
        <v>2</v>
      </c>
      <c r="R5952" t="s">
        <v>40443</v>
      </c>
      <c r="S5952" t="s">
        <v>40644</v>
      </c>
      <c r="T5952" t="s">
        <v>42212</v>
      </c>
      <c r="U5952" t="s">
        <v>47677</v>
      </c>
      <c r="W5952" t="s">
        <v>39086</v>
      </c>
      <c r="X5952" t="s">
        <v>40444</v>
      </c>
    </row>
    <row r="5953" spans="1:24">
      <c r="A5953">
        <f>HYPERLINK("https://www.philgeps.gov.ph/GEPSNONPILOT/Tender/SplashBidNoticeAbstractUI.aspx?menuIndex=3&amp;refID=7041389&amp;Result=3","7041389")</f>
        <v>0</v>
      </c>
      <c r="B5953" t="s">
        <v>171</v>
      </c>
      <c r="C5953" t="s">
        <v>8737</v>
      </c>
      <c r="D5953" t="s">
        <v>16260</v>
      </c>
      <c r="E5953" t="s">
        <v>21549</v>
      </c>
      <c r="F5953" t="s">
        <v>28198</v>
      </c>
      <c r="G5953" t="s">
        <v>28207</v>
      </c>
      <c r="H5953" t="s">
        <v>28215</v>
      </c>
      <c r="I5953" t="s">
        <v>28224</v>
      </c>
      <c r="J5953" t="s">
        <v>32118</v>
      </c>
      <c r="K5953" t="s">
        <v>36696</v>
      </c>
      <c r="M5953" t="s">
        <v>39085</v>
      </c>
      <c r="N5953" t="s">
        <v>40436</v>
      </c>
      <c r="O5953" t="s">
        <v>40437</v>
      </c>
      <c r="P5953">
        <v>0</v>
      </c>
      <c r="Q5953">
        <v>3</v>
      </c>
      <c r="R5953" t="s">
        <v>40443</v>
      </c>
      <c r="S5953" t="s">
        <v>40644</v>
      </c>
      <c r="T5953" t="s">
        <v>42167</v>
      </c>
      <c r="U5953" t="s">
        <v>47678</v>
      </c>
      <c r="W5953" t="s">
        <v>55500</v>
      </c>
      <c r="X5953" t="s">
        <v>40444</v>
      </c>
    </row>
    <row r="5954" spans="1:24">
      <c r="A5954">
        <f>HYPERLINK("https://www.philgeps.gov.ph/GEPSNONPILOT/Tender/SplashBidNoticeAbstractUI.aspx?menuIndex=3&amp;refID=7041371&amp;Result=3","7041371")</f>
        <v>0</v>
      </c>
      <c r="B5954" t="s">
        <v>1802</v>
      </c>
      <c r="C5954" t="s">
        <v>8738</v>
      </c>
      <c r="D5954" t="s">
        <v>16238</v>
      </c>
      <c r="E5954" t="s">
        <v>21550</v>
      </c>
      <c r="F5954" t="s">
        <v>28198</v>
      </c>
      <c r="G5954" t="s">
        <v>28207</v>
      </c>
      <c r="H5954" t="s">
        <v>28216</v>
      </c>
      <c r="I5954" t="s">
        <v>28216</v>
      </c>
      <c r="J5954" t="s">
        <v>32119</v>
      </c>
      <c r="K5954" t="s">
        <v>36705</v>
      </c>
      <c r="M5954" t="s">
        <v>38920</v>
      </c>
      <c r="N5954" t="s">
        <v>40436</v>
      </c>
      <c r="O5954" t="s">
        <v>40437</v>
      </c>
      <c r="P5954">
        <v>0</v>
      </c>
      <c r="Q5954">
        <v>0</v>
      </c>
      <c r="R5954" t="s">
        <v>40443</v>
      </c>
      <c r="S5954" t="s">
        <v>40644</v>
      </c>
      <c r="T5954" t="s">
        <v>42277</v>
      </c>
      <c r="U5954" t="s">
        <v>47679</v>
      </c>
      <c r="W5954" t="s">
        <v>38920</v>
      </c>
      <c r="X5954" t="s">
        <v>40444</v>
      </c>
    </row>
    <row r="5955" spans="1:24">
      <c r="A5955">
        <f>HYPERLINK("https://www.philgeps.gov.ph/GEPSNONPILOT/Tender/SplashBidNoticeAbstractUI.aspx?menuIndex=3&amp;refID=7041379&amp;Result=3","7041379")</f>
        <v>0</v>
      </c>
      <c r="B5955" t="s">
        <v>1962</v>
      </c>
      <c r="C5955" t="s">
        <v>8739</v>
      </c>
      <c r="D5955" t="s">
        <v>16208</v>
      </c>
      <c r="E5955" t="s">
        <v>21551</v>
      </c>
      <c r="F5955" t="s">
        <v>28198</v>
      </c>
      <c r="G5955" t="s">
        <v>28205</v>
      </c>
      <c r="H5955" t="s">
        <v>28215</v>
      </c>
      <c r="I5955" t="s">
        <v>28222</v>
      </c>
      <c r="J5955" t="s">
        <v>28752</v>
      </c>
      <c r="K5955" t="s">
        <v>36701</v>
      </c>
      <c r="M5955" t="s">
        <v>39097</v>
      </c>
      <c r="N5955" t="s">
        <v>40436</v>
      </c>
      <c r="O5955" t="s">
        <v>40437</v>
      </c>
      <c r="P5955">
        <v>0</v>
      </c>
      <c r="Q5955">
        <v>6</v>
      </c>
      <c r="R5955" t="s">
        <v>40443</v>
      </c>
      <c r="S5955" t="s">
        <v>40644</v>
      </c>
      <c r="T5955" t="s">
        <v>42236</v>
      </c>
      <c r="U5955" t="s">
        <v>47680</v>
      </c>
      <c r="W5955" t="s">
        <v>39097</v>
      </c>
      <c r="X5955" t="s">
        <v>40444</v>
      </c>
    </row>
    <row r="5956" spans="1:24">
      <c r="A5956">
        <f>HYPERLINK("https://www.philgeps.gov.ph/GEPSNONPILOT/Tender/SplashBidNoticeAbstractUI.aspx?menuIndex=3&amp;refID=7041384&amp;Result=3","7041384")</f>
        <v>0</v>
      </c>
      <c r="B5956" t="s">
        <v>413</v>
      </c>
      <c r="C5956" t="s">
        <v>8740</v>
      </c>
      <c r="D5956" t="s">
        <v>16250</v>
      </c>
      <c r="E5956" t="s">
        <v>21552</v>
      </c>
      <c r="F5956" t="s">
        <v>28198</v>
      </c>
      <c r="G5956" t="s">
        <v>28205</v>
      </c>
      <c r="H5956" t="s">
        <v>28214</v>
      </c>
      <c r="I5956" t="s">
        <v>28242</v>
      </c>
      <c r="J5956" t="s">
        <v>32120</v>
      </c>
      <c r="K5956" t="s">
        <v>36709</v>
      </c>
      <c r="M5956" t="s">
        <v>37395</v>
      </c>
      <c r="N5956" t="s">
        <v>40436</v>
      </c>
      <c r="O5956" t="s">
        <v>40437</v>
      </c>
      <c r="P5956">
        <v>0</v>
      </c>
      <c r="Q5956">
        <v>0</v>
      </c>
      <c r="R5956" t="s">
        <v>40443</v>
      </c>
      <c r="S5956" t="s">
        <v>40644</v>
      </c>
      <c r="T5956" t="s">
        <v>42158</v>
      </c>
      <c r="U5956" t="s">
        <v>47681</v>
      </c>
      <c r="V5956" t="s">
        <v>54387</v>
      </c>
      <c r="W5956" t="s">
        <v>37395</v>
      </c>
      <c r="X5956" t="s">
        <v>40444</v>
      </c>
    </row>
    <row r="5957" spans="1:24">
      <c r="A5957">
        <f>HYPERLINK("https://www.philgeps.gov.ph/GEPSNONPILOT/Tender/SplashBidNoticeAbstractUI.aspx?menuIndex=3&amp;refID=7041383&amp;Result=3","7041383")</f>
        <v>0</v>
      </c>
      <c r="B5957" t="s">
        <v>281</v>
      </c>
      <c r="C5957" t="s">
        <v>8741</v>
      </c>
      <c r="D5957" t="s">
        <v>16218</v>
      </c>
      <c r="E5957" t="s">
        <v>21553</v>
      </c>
      <c r="F5957" t="s">
        <v>28198</v>
      </c>
      <c r="G5957" t="s">
        <v>28205</v>
      </c>
      <c r="H5957" t="s">
        <v>28215</v>
      </c>
      <c r="I5957" t="s">
        <v>5100</v>
      </c>
      <c r="J5957" t="s">
        <v>32121</v>
      </c>
      <c r="K5957" t="s">
        <v>36701</v>
      </c>
      <c r="M5957" t="s">
        <v>37258</v>
      </c>
      <c r="N5957" t="s">
        <v>40436</v>
      </c>
      <c r="O5957" t="s">
        <v>40437</v>
      </c>
      <c r="P5957">
        <v>0</v>
      </c>
      <c r="Q5957">
        <v>1</v>
      </c>
      <c r="R5957" t="s">
        <v>40443</v>
      </c>
      <c r="S5957" t="s">
        <v>40644</v>
      </c>
      <c r="T5957" t="s">
        <v>42165</v>
      </c>
      <c r="U5957" t="s">
        <v>47682</v>
      </c>
      <c r="W5957" t="s">
        <v>37258</v>
      </c>
      <c r="X5957" t="s">
        <v>40444</v>
      </c>
    </row>
    <row r="5958" spans="1:24">
      <c r="A5958">
        <f>HYPERLINK("https://www.philgeps.gov.ph/GEPSNONPILOT/Tender/SplashBidNoticeAbstractUI.aspx?menuIndex=3&amp;refID=7041388&amp;Result=3","7041388")</f>
        <v>0</v>
      </c>
      <c r="B5958" t="s">
        <v>1951</v>
      </c>
      <c r="C5958" t="s">
        <v>8742</v>
      </c>
      <c r="D5958" t="s">
        <v>16190</v>
      </c>
      <c r="E5958" t="s">
        <v>21554</v>
      </c>
      <c r="F5958" t="s">
        <v>28198</v>
      </c>
      <c r="G5958" t="s">
        <v>28205</v>
      </c>
      <c r="H5958" t="s">
        <v>28215</v>
      </c>
      <c r="I5958" t="s">
        <v>28222</v>
      </c>
      <c r="J5958" t="s">
        <v>28351</v>
      </c>
      <c r="K5958" t="s">
        <v>36701</v>
      </c>
      <c r="M5958" t="s">
        <v>39086</v>
      </c>
      <c r="N5958" t="s">
        <v>40436</v>
      </c>
      <c r="O5958" t="s">
        <v>40437</v>
      </c>
      <c r="P5958">
        <v>0</v>
      </c>
      <c r="Q5958">
        <v>6</v>
      </c>
      <c r="R5958" t="s">
        <v>40443</v>
      </c>
      <c r="S5958" t="s">
        <v>40644</v>
      </c>
      <c r="T5958" t="s">
        <v>42212</v>
      </c>
      <c r="U5958" t="s">
        <v>47683</v>
      </c>
      <c r="W5958" t="s">
        <v>39086</v>
      </c>
      <c r="X5958" t="s">
        <v>40444</v>
      </c>
    </row>
    <row r="5959" spans="1:24">
      <c r="A5959">
        <f>HYPERLINK("https://www.philgeps.gov.ph/GEPSNONPILOT/Tender/SplashBidNoticeAbstractUI.aspx?menuIndex=3&amp;refID=7041409&amp;Result=3","7041409")</f>
        <v>0</v>
      </c>
      <c r="B5959" t="s">
        <v>1956</v>
      </c>
      <c r="C5959" t="s">
        <v>8743</v>
      </c>
      <c r="D5959" t="s">
        <v>16201</v>
      </c>
      <c r="E5959" t="s">
        <v>21555</v>
      </c>
      <c r="F5959" t="s">
        <v>28198</v>
      </c>
      <c r="G5959" t="s">
        <v>28205</v>
      </c>
      <c r="H5959" t="s">
        <v>28214</v>
      </c>
      <c r="I5959" t="s">
        <v>28239</v>
      </c>
      <c r="J5959" t="s">
        <v>28347</v>
      </c>
      <c r="K5959" t="s">
        <v>36692</v>
      </c>
      <c r="M5959" t="s">
        <v>39091</v>
      </c>
      <c r="N5959" t="s">
        <v>40436</v>
      </c>
      <c r="O5959" t="s">
        <v>40437</v>
      </c>
      <c r="P5959">
        <v>0</v>
      </c>
      <c r="Q5959">
        <v>3</v>
      </c>
      <c r="R5959" t="s">
        <v>40443</v>
      </c>
      <c r="S5959" t="s">
        <v>40644</v>
      </c>
      <c r="T5959" t="s">
        <v>42362</v>
      </c>
      <c r="U5959" t="s">
        <v>47684</v>
      </c>
      <c r="W5959" t="s">
        <v>39091</v>
      </c>
      <c r="X5959" t="s">
        <v>40444</v>
      </c>
    </row>
    <row r="5960" spans="1:24">
      <c r="A5960">
        <f>HYPERLINK("https://www.philgeps.gov.ph/GEPSNONPILOT/Tender/SplashBidNoticeAbstractUI.aspx?menuIndex=3&amp;refID=7041404&amp;Result=3","7041404")</f>
        <v>0</v>
      </c>
      <c r="B5960" t="s">
        <v>1963</v>
      </c>
      <c r="C5960" t="s">
        <v>4981</v>
      </c>
      <c r="D5960" t="s">
        <v>16189</v>
      </c>
      <c r="E5960" t="s">
        <v>17010</v>
      </c>
      <c r="F5960" t="s">
        <v>28198</v>
      </c>
      <c r="G5960" t="s">
        <v>28207</v>
      </c>
      <c r="H5960" t="s">
        <v>28215</v>
      </c>
      <c r="I5960" t="s">
        <v>28234</v>
      </c>
      <c r="J5960" t="s">
        <v>30101</v>
      </c>
      <c r="K5960" t="s">
        <v>36691</v>
      </c>
      <c r="M5960" t="s">
        <v>39098</v>
      </c>
      <c r="N5960" t="s">
        <v>40436</v>
      </c>
      <c r="O5960" t="s">
        <v>40437</v>
      </c>
      <c r="P5960">
        <v>0</v>
      </c>
      <c r="Q5960">
        <v>0</v>
      </c>
      <c r="R5960" t="s">
        <v>40443</v>
      </c>
      <c r="S5960" t="s">
        <v>40644</v>
      </c>
      <c r="T5960" t="s">
        <v>42245</v>
      </c>
      <c r="U5960" t="s">
        <v>47685</v>
      </c>
      <c r="W5960" t="s">
        <v>39098</v>
      </c>
      <c r="X5960" t="s">
        <v>40444</v>
      </c>
    </row>
    <row r="5961" spans="1:24">
      <c r="A5961">
        <f>HYPERLINK("https://www.philgeps.gov.ph/GEPSNONPILOT/Tender/SplashBidNoticeAbstractUI.aspx?menuIndex=3&amp;refID=7041398&amp;Result=3","7041398")</f>
        <v>0</v>
      </c>
      <c r="B5961" t="s">
        <v>1961</v>
      </c>
      <c r="C5961" t="s">
        <v>8744</v>
      </c>
      <c r="D5961" t="s">
        <v>16255</v>
      </c>
      <c r="E5961" t="s">
        <v>16526</v>
      </c>
      <c r="F5961" t="s">
        <v>28198</v>
      </c>
      <c r="G5961" t="s">
        <v>28205</v>
      </c>
      <c r="H5961" t="s">
        <v>28215</v>
      </c>
      <c r="I5961" t="s">
        <v>5100</v>
      </c>
      <c r="J5961" t="s">
        <v>32122</v>
      </c>
      <c r="K5961" t="s">
        <v>36707</v>
      </c>
      <c r="M5961" t="s">
        <v>39096</v>
      </c>
      <c r="N5961" t="s">
        <v>40436</v>
      </c>
      <c r="O5961" t="s">
        <v>40437</v>
      </c>
      <c r="P5961">
        <v>0</v>
      </c>
      <c r="Q5961">
        <v>1</v>
      </c>
      <c r="R5961" t="s">
        <v>40443</v>
      </c>
      <c r="S5961" t="s">
        <v>40644</v>
      </c>
      <c r="T5961" t="s">
        <v>42118</v>
      </c>
      <c r="U5961" t="s">
        <v>47686</v>
      </c>
      <c r="W5961" t="s">
        <v>39096</v>
      </c>
      <c r="X5961" t="s">
        <v>40444</v>
      </c>
    </row>
    <row r="5962" spans="1:24">
      <c r="A5962">
        <f>HYPERLINK("https://www.philgeps.gov.ph/GEPSNONPILOT/Tender/SplashBidNoticeAbstractUI.aspx?menuIndex=3&amp;refID=7041432&amp;Result=3","7041432")</f>
        <v>0</v>
      </c>
      <c r="B5962" t="s">
        <v>1964</v>
      </c>
      <c r="C5962" t="s">
        <v>8745</v>
      </c>
      <c r="D5962" t="s">
        <v>16221</v>
      </c>
      <c r="E5962" t="s">
        <v>21556</v>
      </c>
      <c r="F5962" t="s">
        <v>28198</v>
      </c>
      <c r="G5962" t="s">
        <v>28210</v>
      </c>
      <c r="H5962" t="s">
        <v>28215</v>
      </c>
      <c r="I5962" t="s">
        <v>28247</v>
      </c>
      <c r="J5962" t="s">
        <v>31332</v>
      </c>
      <c r="K5962" t="s">
        <v>36689</v>
      </c>
      <c r="M5962" t="s">
        <v>39099</v>
      </c>
      <c r="N5962" t="s">
        <v>40436</v>
      </c>
      <c r="O5962" t="s">
        <v>40437</v>
      </c>
      <c r="P5962">
        <v>0</v>
      </c>
      <c r="Q5962">
        <v>21</v>
      </c>
      <c r="R5962" t="s">
        <v>40443</v>
      </c>
      <c r="S5962" t="s">
        <v>40644</v>
      </c>
      <c r="T5962" t="s">
        <v>42233</v>
      </c>
      <c r="U5962" t="s">
        <v>47687</v>
      </c>
      <c r="W5962" t="s">
        <v>39099</v>
      </c>
      <c r="X5962" t="s">
        <v>40444</v>
      </c>
    </row>
    <row r="5963" spans="1:24">
      <c r="A5963">
        <f>HYPERLINK("https://www.philgeps.gov.ph/GEPSNONPILOT/Tender/SplashBidNoticeAbstractUI.aspx?menuIndex=3&amp;refID=7041428&amp;Result=3","7041428")</f>
        <v>0</v>
      </c>
      <c r="B5963" t="s">
        <v>1956</v>
      </c>
      <c r="C5963" t="s">
        <v>8746</v>
      </c>
      <c r="D5963" t="s">
        <v>16201</v>
      </c>
      <c r="E5963" t="s">
        <v>21557</v>
      </c>
      <c r="F5963" t="s">
        <v>28198</v>
      </c>
      <c r="G5963" t="s">
        <v>28205</v>
      </c>
      <c r="H5963" t="s">
        <v>28214</v>
      </c>
      <c r="I5963" t="s">
        <v>3797</v>
      </c>
      <c r="J5963" t="s">
        <v>29103</v>
      </c>
      <c r="K5963" t="s">
        <v>36743</v>
      </c>
      <c r="M5963" t="s">
        <v>39091</v>
      </c>
      <c r="N5963" t="s">
        <v>40436</v>
      </c>
      <c r="O5963" t="s">
        <v>40437</v>
      </c>
      <c r="P5963">
        <v>0</v>
      </c>
      <c r="Q5963">
        <v>0</v>
      </c>
      <c r="R5963" t="s">
        <v>40443</v>
      </c>
      <c r="S5963" t="s">
        <v>40644</v>
      </c>
      <c r="T5963" t="s">
        <v>42426</v>
      </c>
      <c r="U5963" t="s">
        <v>47684</v>
      </c>
      <c r="W5963" t="s">
        <v>39091</v>
      </c>
      <c r="X5963" t="s">
        <v>40444</v>
      </c>
    </row>
    <row r="5964" spans="1:24">
      <c r="A5964">
        <f>HYPERLINK("https://www.philgeps.gov.ph/GEPSNONPILOT/Tender/SplashBidNoticeAbstractUI.aspx?menuIndex=3&amp;refID=7041441&amp;Result=3","7041441")</f>
        <v>0</v>
      </c>
      <c r="B5964" t="s">
        <v>1497</v>
      </c>
      <c r="C5964" t="s">
        <v>8747</v>
      </c>
      <c r="D5964" t="s">
        <v>16211</v>
      </c>
      <c r="E5964" t="s">
        <v>21558</v>
      </c>
      <c r="F5964" t="s">
        <v>28198</v>
      </c>
      <c r="G5964" t="s">
        <v>28205</v>
      </c>
      <c r="H5964" t="s">
        <v>28215</v>
      </c>
      <c r="I5964" t="s">
        <v>28243</v>
      </c>
      <c r="J5964" t="s">
        <v>28345</v>
      </c>
      <c r="K5964" t="s">
        <v>36688</v>
      </c>
      <c r="M5964" t="s">
        <v>38572</v>
      </c>
      <c r="N5964" t="s">
        <v>40436</v>
      </c>
      <c r="O5964" t="s">
        <v>40437</v>
      </c>
      <c r="P5964">
        <v>0</v>
      </c>
      <c r="Q5964">
        <v>0</v>
      </c>
      <c r="R5964" t="s">
        <v>40443</v>
      </c>
      <c r="S5964" t="s">
        <v>40644</v>
      </c>
      <c r="T5964" t="s">
        <v>42129</v>
      </c>
      <c r="U5964" t="s">
        <v>47688</v>
      </c>
      <c r="V5964" t="s">
        <v>54388</v>
      </c>
      <c r="W5964" t="s">
        <v>38572</v>
      </c>
      <c r="X5964" t="s">
        <v>40444</v>
      </c>
    </row>
    <row r="5965" spans="1:24">
      <c r="A5965">
        <f>HYPERLINK("https://www.philgeps.gov.ph/GEPSNONPILOT/Tender/SplashBidNoticeAbstractUI.aspx?menuIndex=3&amp;refID=7041435&amp;Result=3","7041435")</f>
        <v>0</v>
      </c>
      <c r="B5965" t="s">
        <v>1334</v>
      </c>
      <c r="C5965" t="s">
        <v>8748</v>
      </c>
      <c r="D5965" t="s">
        <v>16196</v>
      </c>
      <c r="E5965" t="s">
        <v>21559</v>
      </c>
      <c r="F5965" t="s">
        <v>28198</v>
      </c>
      <c r="G5965" t="s">
        <v>28205</v>
      </c>
      <c r="H5965" t="s">
        <v>28214</v>
      </c>
      <c r="I5965" t="s">
        <v>3797</v>
      </c>
      <c r="J5965" t="s">
        <v>32123</v>
      </c>
      <c r="K5965" t="s">
        <v>36689</v>
      </c>
      <c r="M5965" t="s">
        <v>38392</v>
      </c>
      <c r="N5965" t="s">
        <v>40436</v>
      </c>
      <c r="O5965" t="s">
        <v>40437</v>
      </c>
      <c r="P5965">
        <v>0</v>
      </c>
      <c r="Q5965">
        <v>2</v>
      </c>
      <c r="R5965" t="s">
        <v>40443</v>
      </c>
      <c r="S5965" t="s">
        <v>40644</v>
      </c>
      <c r="T5965" t="s">
        <v>42144</v>
      </c>
      <c r="U5965" t="s">
        <v>47689</v>
      </c>
      <c r="W5965" t="s">
        <v>38392</v>
      </c>
      <c r="X5965" t="s">
        <v>40444</v>
      </c>
    </row>
    <row r="5966" spans="1:24">
      <c r="A5966">
        <f>HYPERLINK("https://www.philgeps.gov.ph/GEPSNONPILOT/Tender/SplashBidNoticeAbstractUI.aspx?menuIndex=3&amp;refID=7041420&amp;Result=3","7041420")</f>
        <v>0</v>
      </c>
      <c r="B5966" t="s">
        <v>1963</v>
      </c>
      <c r="C5966" t="s">
        <v>8749</v>
      </c>
      <c r="D5966" t="s">
        <v>16189</v>
      </c>
      <c r="E5966" t="s">
        <v>17010</v>
      </c>
      <c r="F5966" t="s">
        <v>28198</v>
      </c>
      <c r="G5966" t="s">
        <v>28207</v>
      </c>
      <c r="H5966" t="s">
        <v>28215</v>
      </c>
      <c r="I5966" t="s">
        <v>28220</v>
      </c>
      <c r="J5966" t="s">
        <v>28941</v>
      </c>
      <c r="K5966" t="s">
        <v>36743</v>
      </c>
      <c r="M5966" t="s">
        <v>39098</v>
      </c>
      <c r="N5966" t="s">
        <v>40436</v>
      </c>
      <c r="O5966" t="s">
        <v>40437</v>
      </c>
      <c r="P5966">
        <v>0</v>
      </c>
      <c r="Q5966">
        <v>3</v>
      </c>
      <c r="R5966" t="s">
        <v>40443</v>
      </c>
      <c r="S5966" t="s">
        <v>40644</v>
      </c>
      <c r="T5966" t="s">
        <v>42245</v>
      </c>
      <c r="U5966" t="s">
        <v>47690</v>
      </c>
      <c r="W5966" t="s">
        <v>39098</v>
      </c>
      <c r="X5966" t="s">
        <v>40444</v>
      </c>
    </row>
    <row r="5967" spans="1:24">
      <c r="A5967">
        <f>HYPERLINK("https://www.philgeps.gov.ph/GEPSNONPILOT/Tender/SplashBidNoticeAbstractUI.aspx?menuIndex=3&amp;refID=7041423&amp;Result=3","7041423")</f>
        <v>0</v>
      </c>
      <c r="B5967" t="s">
        <v>1802</v>
      </c>
      <c r="C5967" t="s">
        <v>8750</v>
      </c>
      <c r="D5967" t="s">
        <v>16238</v>
      </c>
      <c r="E5967" t="s">
        <v>21560</v>
      </c>
      <c r="F5967" t="s">
        <v>28198</v>
      </c>
      <c r="G5967" t="s">
        <v>28207</v>
      </c>
      <c r="H5967" t="s">
        <v>28215</v>
      </c>
      <c r="I5967" t="s">
        <v>28224</v>
      </c>
      <c r="J5967" t="s">
        <v>32124</v>
      </c>
      <c r="K5967" t="s">
        <v>36701</v>
      </c>
      <c r="M5967" t="s">
        <v>38920</v>
      </c>
      <c r="N5967" t="s">
        <v>40436</v>
      </c>
      <c r="O5967" t="s">
        <v>40437</v>
      </c>
      <c r="P5967">
        <v>0</v>
      </c>
      <c r="Q5967">
        <v>0</v>
      </c>
      <c r="R5967" t="s">
        <v>40443</v>
      </c>
      <c r="S5967" t="s">
        <v>40644</v>
      </c>
      <c r="T5967" t="s">
        <v>42277</v>
      </c>
      <c r="U5967" t="s">
        <v>47691</v>
      </c>
      <c r="W5967" t="s">
        <v>38920</v>
      </c>
      <c r="X5967" t="s">
        <v>40444</v>
      </c>
    </row>
    <row r="5968" spans="1:24">
      <c r="A5968">
        <f>HYPERLINK("https://www.philgeps.gov.ph/GEPSNONPILOT/Tender/SplashBidNoticeAbstractUI.aspx?menuIndex=3&amp;refID=7041442&amp;Result=3","7041442")</f>
        <v>0</v>
      </c>
      <c r="B5968" t="s">
        <v>1963</v>
      </c>
      <c r="C5968" t="s">
        <v>3826</v>
      </c>
      <c r="D5968" t="s">
        <v>16189</v>
      </c>
      <c r="E5968" t="s">
        <v>17010</v>
      </c>
      <c r="F5968" t="s">
        <v>28198</v>
      </c>
      <c r="G5968" t="s">
        <v>28207</v>
      </c>
      <c r="H5968" t="s">
        <v>28215</v>
      </c>
      <c r="I5968" t="s">
        <v>8888</v>
      </c>
      <c r="J5968" t="s">
        <v>32125</v>
      </c>
      <c r="K5968" t="s">
        <v>36743</v>
      </c>
      <c r="M5968" t="s">
        <v>39098</v>
      </c>
      <c r="N5968" t="s">
        <v>40436</v>
      </c>
      <c r="O5968" t="s">
        <v>40437</v>
      </c>
      <c r="P5968">
        <v>0</v>
      </c>
      <c r="Q5968">
        <v>1</v>
      </c>
      <c r="R5968" t="s">
        <v>40443</v>
      </c>
      <c r="S5968" t="s">
        <v>40644</v>
      </c>
      <c r="T5968" t="s">
        <v>42245</v>
      </c>
      <c r="U5968" t="s">
        <v>47692</v>
      </c>
      <c r="W5968" t="s">
        <v>39098</v>
      </c>
      <c r="X5968" t="s">
        <v>40444</v>
      </c>
    </row>
    <row r="5969" spans="1:24">
      <c r="A5969">
        <f>HYPERLINK("https://www.philgeps.gov.ph/GEPSNONPILOT/Tender/SplashBidNoticeAbstractUI.aspx?menuIndex=3&amp;refID=7041411&amp;Result=3","7041411")</f>
        <v>0</v>
      </c>
      <c r="B5969" t="s">
        <v>1802</v>
      </c>
      <c r="C5969" t="s">
        <v>8751</v>
      </c>
      <c r="D5969" t="s">
        <v>16238</v>
      </c>
      <c r="E5969" t="s">
        <v>21561</v>
      </c>
      <c r="F5969" t="s">
        <v>28198</v>
      </c>
      <c r="G5969" t="s">
        <v>28207</v>
      </c>
      <c r="H5969" t="s">
        <v>28215</v>
      </c>
      <c r="I5969" t="s">
        <v>4200</v>
      </c>
      <c r="J5969" t="s">
        <v>32126</v>
      </c>
      <c r="K5969" t="s">
        <v>36701</v>
      </c>
      <c r="M5969" t="s">
        <v>38920</v>
      </c>
      <c r="N5969" t="s">
        <v>40436</v>
      </c>
      <c r="O5969" t="s">
        <v>40437</v>
      </c>
      <c r="P5969">
        <v>0</v>
      </c>
      <c r="Q5969">
        <v>1</v>
      </c>
      <c r="R5969" t="s">
        <v>40443</v>
      </c>
      <c r="S5969" t="s">
        <v>40644</v>
      </c>
      <c r="T5969" t="s">
        <v>42277</v>
      </c>
      <c r="U5969" t="s">
        <v>47693</v>
      </c>
      <c r="W5969" t="s">
        <v>38920</v>
      </c>
      <c r="X5969" t="s">
        <v>40444</v>
      </c>
    </row>
    <row r="5970" spans="1:24">
      <c r="A5970">
        <f>HYPERLINK("https://www.philgeps.gov.ph/GEPSNONPILOT/Tender/SplashBidNoticeAbstractUI.aspx?menuIndex=3&amp;refID=7041421&amp;Result=3","7041421")</f>
        <v>0</v>
      </c>
      <c r="B5970" t="s">
        <v>1965</v>
      </c>
      <c r="C5970" t="s">
        <v>8752</v>
      </c>
      <c r="D5970" t="s">
        <v>16196</v>
      </c>
      <c r="E5970" t="s">
        <v>21524</v>
      </c>
      <c r="F5970" t="s">
        <v>28198</v>
      </c>
      <c r="G5970" t="s">
        <v>28206</v>
      </c>
      <c r="H5970" t="s">
        <v>28215</v>
      </c>
      <c r="I5970" t="s">
        <v>28227</v>
      </c>
      <c r="J5970" t="s">
        <v>32127</v>
      </c>
      <c r="K5970" t="s">
        <v>36706</v>
      </c>
      <c r="M5970" t="s">
        <v>39100</v>
      </c>
      <c r="N5970" t="s">
        <v>40436</v>
      </c>
      <c r="O5970" t="s">
        <v>40437</v>
      </c>
      <c r="P5970">
        <v>0</v>
      </c>
      <c r="Q5970">
        <v>0</v>
      </c>
      <c r="R5970" t="s">
        <v>40443</v>
      </c>
      <c r="S5970" t="s">
        <v>40644</v>
      </c>
      <c r="T5970" t="s">
        <v>42124</v>
      </c>
      <c r="U5970" t="s">
        <v>47694</v>
      </c>
      <c r="W5970" t="s">
        <v>39100</v>
      </c>
      <c r="X5970" t="s">
        <v>40444</v>
      </c>
    </row>
    <row r="5971" spans="1:24">
      <c r="A5971">
        <f>HYPERLINK("https://www.philgeps.gov.ph/GEPSNONPILOT/Tender/SplashBidNoticeAbstractUI.aspx?menuIndex=3&amp;refID=7041444&amp;Result=3","7041444")</f>
        <v>0</v>
      </c>
      <c r="B5971" t="s">
        <v>1802</v>
      </c>
      <c r="C5971" t="s">
        <v>8753</v>
      </c>
      <c r="D5971" t="s">
        <v>16238</v>
      </c>
      <c r="E5971" t="s">
        <v>21562</v>
      </c>
      <c r="F5971" t="s">
        <v>28198</v>
      </c>
      <c r="G5971" t="s">
        <v>28207</v>
      </c>
      <c r="H5971" t="s">
        <v>28215</v>
      </c>
      <c r="I5971" t="s">
        <v>28224</v>
      </c>
      <c r="J5971" t="s">
        <v>28985</v>
      </c>
      <c r="K5971" t="s">
        <v>36701</v>
      </c>
      <c r="M5971" t="s">
        <v>38920</v>
      </c>
      <c r="N5971" t="s">
        <v>40436</v>
      </c>
      <c r="O5971" t="s">
        <v>40437</v>
      </c>
      <c r="P5971">
        <v>0</v>
      </c>
      <c r="Q5971">
        <v>0</v>
      </c>
      <c r="R5971" t="s">
        <v>40443</v>
      </c>
      <c r="S5971" t="s">
        <v>40644</v>
      </c>
      <c r="T5971" t="s">
        <v>42277</v>
      </c>
      <c r="U5971" t="s">
        <v>47695</v>
      </c>
      <c r="W5971" t="s">
        <v>38920</v>
      </c>
      <c r="X5971" t="s">
        <v>40444</v>
      </c>
    </row>
    <row r="5972" spans="1:24">
      <c r="A5972">
        <f>HYPERLINK("https://www.philgeps.gov.ph/GEPSNONPILOT/Tender/SplashBidNoticeAbstractUI.aspx?menuIndex=3&amp;refID=7041418&amp;Result=3","7041418")</f>
        <v>0</v>
      </c>
      <c r="B5972" t="s">
        <v>1507</v>
      </c>
      <c r="C5972" t="s">
        <v>8754</v>
      </c>
      <c r="D5972" t="s">
        <v>16200</v>
      </c>
      <c r="E5972" t="s">
        <v>21563</v>
      </c>
      <c r="F5972" t="s">
        <v>28198</v>
      </c>
      <c r="G5972" t="s">
        <v>28205</v>
      </c>
      <c r="H5972" t="s">
        <v>28214</v>
      </c>
      <c r="I5972" t="s">
        <v>3797</v>
      </c>
      <c r="J5972" t="s">
        <v>32128</v>
      </c>
      <c r="K5972" t="s">
        <v>36701</v>
      </c>
      <c r="M5972" t="s">
        <v>38582</v>
      </c>
      <c r="N5972" t="s">
        <v>40436</v>
      </c>
      <c r="O5972" t="s">
        <v>40437</v>
      </c>
      <c r="P5972">
        <v>0</v>
      </c>
      <c r="Q5972">
        <v>0</v>
      </c>
      <c r="R5972" t="s">
        <v>40443</v>
      </c>
      <c r="S5972" t="s">
        <v>40644</v>
      </c>
      <c r="T5972" t="s">
        <v>42426</v>
      </c>
      <c r="U5972" t="s">
        <v>47623</v>
      </c>
      <c r="W5972" t="s">
        <v>38582</v>
      </c>
      <c r="X5972" t="s">
        <v>40444</v>
      </c>
    </row>
    <row r="5973" spans="1:24">
      <c r="A5973">
        <f>HYPERLINK("https://www.philgeps.gov.ph/GEPSNONPILOT/Tender/SplashBidNoticeAbstractUI.aspx?menuIndex=3&amp;refID=7041454&amp;Result=3","7041454")</f>
        <v>0</v>
      </c>
      <c r="B5973" t="s">
        <v>1507</v>
      </c>
      <c r="C5973" t="s">
        <v>8755</v>
      </c>
      <c r="D5973" t="s">
        <v>16200</v>
      </c>
      <c r="E5973" t="s">
        <v>21564</v>
      </c>
      <c r="F5973" t="s">
        <v>28198</v>
      </c>
      <c r="G5973" t="s">
        <v>28205</v>
      </c>
      <c r="H5973" t="s">
        <v>28215</v>
      </c>
      <c r="I5973" t="s">
        <v>3774</v>
      </c>
      <c r="J5973" t="s">
        <v>28422</v>
      </c>
      <c r="K5973" t="s">
        <v>36701</v>
      </c>
      <c r="M5973" t="s">
        <v>38582</v>
      </c>
      <c r="N5973" t="s">
        <v>40436</v>
      </c>
      <c r="O5973" t="s">
        <v>40437</v>
      </c>
      <c r="P5973">
        <v>0</v>
      </c>
      <c r="Q5973">
        <v>6</v>
      </c>
      <c r="R5973" t="s">
        <v>40443</v>
      </c>
      <c r="S5973" t="s">
        <v>40644</v>
      </c>
      <c r="T5973" t="s">
        <v>42426</v>
      </c>
      <c r="U5973" t="s">
        <v>47623</v>
      </c>
      <c r="W5973" t="s">
        <v>38582</v>
      </c>
      <c r="X5973" t="s">
        <v>40444</v>
      </c>
    </row>
    <row r="5974" spans="1:24">
      <c r="A5974">
        <f>HYPERLINK("https://www.philgeps.gov.ph/GEPSNONPILOT/Tender/SplashBidNoticeAbstractUI.aspx?menuIndex=3&amp;refID=7041450&amp;Result=3","7041450")</f>
        <v>0</v>
      </c>
      <c r="B5974" t="s">
        <v>1964</v>
      </c>
      <c r="C5974" t="s">
        <v>8756</v>
      </c>
      <c r="D5974" t="s">
        <v>16221</v>
      </c>
      <c r="E5974" t="s">
        <v>21565</v>
      </c>
      <c r="F5974" t="s">
        <v>28198</v>
      </c>
      <c r="G5974" t="s">
        <v>28207</v>
      </c>
      <c r="H5974" t="s">
        <v>28215</v>
      </c>
      <c r="I5974" t="s">
        <v>28226</v>
      </c>
      <c r="J5974" t="s">
        <v>32129</v>
      </c>
      <c r="K5974" t="s">
        <v>36689</v>
      </c>
      <c r="M5974" t="s">
        <v>39099</v>
      </c>
      <c r="N5974" t="s">
        <v>40436</v>
      </c>
      <c r="O5974" t="s">
        <v>40437</v>
      </c>
      <c r="P5974">
        <v>0</v>
      </c>
      <c r="Q5974">
        <v>9</v>
      </c>
      <c r="R5974" t="s">
        <v>40443</v>
      </c>
      <c r="S5974" t="s">
        <v>40644</v>
      </c>
      <c r="T5974" t="s">
        <v>42233</v>
      </c>
      <c r="U5974" t="s">
        <v>47687</v>
      </c>
      <c r="W5974" t="s">
        <v>39099</v>
      </c>
      <c r="X5974" t="s">
        <v>40444</v>
      </c>
    </row>
    <row r="5975" spans="1:24">
      <c r="A5975">
        <f>HYPERLINK("https://www.philgeps.gov.ph/GEPSNONPILOT/Tender/SplashBidNoticeAbstractUI.aspx?menuIndex=3&amp;refID=7041419&amp;Result=3","7041419")</f>
        <v>0</v>
      </c>
      <c r="B5975" t="s">
        <v>1427</v>
      </c>
      <c r="C5975" t="s">
        <v>8757</v>
      </c>
      <c r="D5975" t="s">
        <v>16260</v>
      </c>
      <c r="E5975" t="s">
        <v>18558</v>
      </c>
      <c r="F5975" t="s">
        <v>28198</v>
      </c>
      <c r="G5975" t="s">
        <v>28207</v>
      </c>
      <c r="H5975" t="s">
        <v>28215</v>
      </c>
      <c r="I5975" t="s">
        <v>5100</v>
      </c>
      <c r="J5975" t="s">
        <v>32130</v>
      </c>
      <c r="K5975" t="s">
        <v>36723</v>
      </c>
      <c r="M5975" t="s">
        <v>38493</v>
      </c>
      <c r="N5975" t="s">
        <v>40436</v>
      </c>
      <c r="O5975" t="s">
        <v>40437</v>
      </c>
      <c r="P5975">
        <v>0</v>
      </c>
      <c r="Q5975">
        <v>1</v>
      </c>
      <c r="R5975" t="s">
        <v>40443</v>
      </c>
      <c r="S5975" t="s">
        <v>40644</v>
      </c>
      <c r="T5975" t="s">
        <v>42169</v>
      </c>
      <c r="U5975" t="s">
        <v>47696</v>
      </c>
      <c r="W5975" t="s">
        <v>38493</v>
      </c>
      <c r="X5975" t="s">
        <v>40444</v>
      </c>
    </row>
    <row r="5976" spans="1:24">
      <c r="A5976">
        <f>HYPERLINK("https://www.philgeps.gov.ph/GEPSNONPILOT/Tender/SplashBidNoticeAbstractUI.aspx?menuIndex=3&amp;refID=7041448&amp;Result=3","7041448")</f>
        <v>0</v>
      </c>
      <c r="B5976" t="s">
        <v>413</v>
      </c>
      <c r="C5976" t="s">
        <v>8758</v>
      </c>
      <c r="D5976" t="s">
        <v>16250</v>
      </c>
      <c r="E5976" t="s">
        <v>21566</v>
      </c>
      <c r="F5976" t="s">
        <v>28198</v>
      </c>
      <c r="G5976" t="s">
        <v>28205</v>
      </c>
      <c r="H5976" t="s">
        <v>28214</v>
      </c>
      <c r="I5976" t="s">
        <v>28242</v>
      </c>
      <c r="J5976" t="s">
        <v>32120</v>
      </c>
      <c r="K5976" t="s">
        <v>36709</v>
      </c>
      <c r="M5976" t="s">
        <v>37395</v>
      </c>
      <c r="N5976" t="s">
        <v>40436</v>
      </c>
      <c r="O5976" t="s">
        <v>40437</v>
      </c>
      <c r="P5976">
        <v>0</v>
      </c>
      <c r="Q5976">
        <v>0</v>
      </c>
      <c r="R5976" t="s">
        <v>40443</v>
      </c>
      <c r="S5976" t="s">
        <v>40644</v>
      </c>
      <c r="T5976" t="s">
        <v>42158</v>
      </c>
      <c r="U5976" t="s">
        <v>47681</v>
      </c>
      <c r="V5976" t="s">
        <v>53902</v>
      </c>
      <c r="W5976" t="s">
        <v>37395</v>
      </c>
      <c r="X5976" t="s">
        <v>40444</v>
      </c>
    </row>
    <row r="5977" spans="1:24">
      <c r="A5977">
        <f>HYPERLINK("https://www.philgeps.gov.ph/GEPSNONPILOT/Tender/SplashBidNoticeAbstractUI.aspx?menuIndex=3&amp;refID=7041447&amp;Result=3","7041447")</f>
        <v>0</v>
      </c>
      <c r="B5977" t="s">
        <v>1966</v>
      </c>
      <c r="C5977" t="s">
        <v>8759</v>
      </c>
      <c r="D5977" t="s">
        <v>16199</v>
      </c>
      <c r="E5977" t="s">
        <v>16874</v>
      </c>
      <c r="F5977" t="s">
        <v>28198</v>
      </c>
      <c r="G5977" t="s">
        <v>28205</v>
      </c>
      <c r="H5977" t="s">
        <v>28214</v>
      </c>
      <c r="I5977" t="s">
        <v>3797</v>
      </c>
      <c r="J5977" t="s">
        <v>28398</v>
      </c>
      <c r="K5977" t="s">
        <v>36689</v>
      </c>
      <c r="M5977" t="s">
        <v>39101</v>
      </c>
      <c r="N5977" t="s">
        <v>40436</v>
      </c>
      <c r="O5977" t="s">
        <v>40437</v>
      </c>
      <c r="P5977">
        <v>0</v>
      </c>
      <c r="Q5977">
        <v>0</v>
      </c>
      <c r="R5977" t="s">
        <v>40443</v>
      </c>
      <c r="S5977" t="s">
        <v>40644</v>
      </c>
      <c r="T5977" t="s">
        <v>42131</v>
      </c>
      <c r="U5977" t="s">
        <v>47697</v>
      </c>
      <c r="W5977" t="s">
        <v>39101</v>
      </c>
      <c r="X5977" t="s">
        <v>40444</v>
      </c>
    </row>
    <row r="5978" spans="1:24">
      <c r="A5978">
        <f>HYPERLINK("https://www.philgeps.gov.ph/GEPSNONPILOT/Tender/SplashBidNoticeAbstractUI.aspx?menuIndex=3&amp;refID=7041451&amp;Result=3","7041451")</f>
        <v>0</v>
      </c>
      <c r="B5978" t="s">
        <v>1802</v>
      </c>
      <c r="C5978" t="s">
        <v>8760</v>
      </c>
      <c r="D5978" t="s">
        <v>16238</v>
      </c>
      <c r="E5978" t="s">
        <v>21567</v>
      </c>
      <c r="F5978" t="s">
        <v>28198</v>
      </c>
      <c r="G5978" t="s">
        <v>28207</v>
      </c>
      <c r="H5978" t="s">
        <v>28215</v>
      </c>
      <c r="I5978" t="s">
        <v>28224</v>
      </c>
      <c r="J5978" t="s">
        <v>31223</v>
      </c>
      <c r="K5978" t="s">
        <v>36701</v>
      </c>
      <c r="M5978" t="s">
        <v>38920</v>
      </c>
      <c r="N5978" t="s">
        <v>40436</v>
      </c>
      <c r="O5978" t="s">
        <v>40437</v>
      </c>
      <c r="P5978">
        <v>0</v>
      </c>
      <c r="Q5978">
        <v>1</v>
      </c>
      <c r="R5978" t="s">
        <v>40443</v>
      </c>
      <c r="S5978" t="s">
        <v>40644</v>
      </c>
      <c r="T5978" t="s">
        <v>42277</v>
      </c>
      <c r="U5978" t="s">
        <v>47698</v>
      </c>
      <c r="W5978" t="s">
        <v>38920</v>
      </c>
      <c r="X5978" t="s">
        <v>40444</v>
      </c>
    </row>
    <row r="5979" spans="1:24">
      <c r="A5979">
        <f>HYPERLINK("https://www.philgeps.gov.ph/GEPSNONPILOT/Tender/SplashBidNoticeAbstractUI.aspx?menuIndex=3&amp;refID=7041456&amp;Result=3","7041456")</f>
        <v>0</v>
      </c>
      <c r="B5979" t="s">
        <v>1967</v>
      </c>
      <c r="C5979" t="s">
        <v>8761</v>
      </c>
      <c r="D5979" t="s">
        <v>16195</v>
      </c>
      <c r="E5979" t="s">
        <v>17057</v>
      </c>
      <c r="F5979" t="s">
        <v>28198</v>
      </c>
      <c r="G5979" t="s">
        <v>28205</v>
      </c>
      <c r="H5979" t="s">
        <v>28214</v>
      </c>
      <c r="I5979" t="s">
        <v>3797</v>
      </c>
      <c r="J5979" t="s">
        <v>28378</v>
      </c>
      <c r="K5979" t="s">
        <v>36694</v>
      </c>
      <c r="M5979" t="s">
        <v>39102</v>
      </c>
      <c r="N5979" t="s">
        <v>40436</v>
      </c>
      <c r="O5979" t="s">
        <v>40437</v>
      </c>
      <c r="P5979">
        <v>0</v>
      </c>
      <c r="Q5979">
        <v>0</v>
      </c>
      <c r="R5979" t="s">
        <v>40443</v>
      </c>
      <c r="S5979" t="s">
        <v>40644</v>
      </c>
      <c r="T5979" t="s">
        <v>42216</v>
      </c>
      <c r="U5979" t="s">
        <v>47699</v>
      </c>
      <c r="W5979" t="s">
        <v>39102</v>
      </c>
      <c r="X5979" t="s">
        <v>40444</v>
      </c>
    </row>
    <row r="5980" spans="1:24">
      <c r="A5980">
        <f>HYPERLINK("https://www.philgeps.gov.ph/GEPSNONPILOT/Tender/SplashBidNoticeAbstractUI.aspx?menuIndex=3&amp;refID=7041453&amp;Result=3","7041453")</f>
        <v>0</v>
      </c>
      <c r="B5980" t="s">
        <v>1223</v>
      </c>
      <c r="C5980" t="s">
        <v>8762</v>
      </c>
      <c r="D5980" t="s">
        <v>16188</v>
      </c>
      <c r="E5980" t="s">
        <v>21568</v>
      </c>
      <c r="F5980" t="s">
        <v>28198</v>
      </c>
      <c r="G5980" t="s">
        <v>28206</v>
      </c>
      <c r="H5980" t="s">
        <v>28215</v>
      </c>
      <c r="I5980" t="s">
        <v>4219</v>
      </c>
      <c r="J5980" t="s">
        <v>32131</v>
      </c>
      <c r="K5980" t="s">
        <v>36701</v>
      </c>
      <c r="M5980" t="s">
        <v>38269</v>
      </c>
      <c r="N5980" t="s">
        <v>40436</v>
      </c>
      <c r="O5980" t="s">
        <v>40437</v>
      </c>
      <c r="P5980">
        <v>0</v>
      </c>
      <c r="Q5980">
        <v>5</v>
      </c>
      <c r="R5980" t="s">
        <v>40443</v>
      </c>
      <c r="S5980" t="s">
        <v>40644</v>
      </c>
      <c r="T5980" t="s">
        <v>42185</v>
      </c>
      <c r="U5980" t="s">
        <v>45350</v>
      </c>
      <c r="W5980" t="s">
        <v>38269</v>
      </c>
      <c r="X5980" t="s">
        <v>40444</v>
      </c>
    </row>
    <row r="5981" spans="1:24">
      <c r="A5981">
        <f>HYPERLINK("https://www.philgeps.gov.ph/GEPSNONPILOT/Tender/SplashBidNoticeAbstractUI.aspx?menuIndex=3&amp;refID=7041457&amp;Result=3","7041457")</f>
        <v>0</v>
      </c>
      <c r="B5981" t="s">
        <v>1963</v>
      </c>
      <c r="C5981" t="s">
        <v>8763</v>
      </c>
      <c r="E5981" t="s">
        <v>17010</v>
      </c>
      <c r="F5981" t="s">
        <v>28198</v>
      </c>
      <c r="G5981" t="s">
        <v>28207</v>
      </c>
      <c r="H5981" t="s">
        <v>28215</v>
      </c>
      <c r="I5981" t="s">
        <v>28220</v>
      </c>
      <c r="J5981" t="s">
        <v>28539</v>
      </c>
      <c r="K5981" t="s">
        <v>36691</v>
      </c>
      <c r="M5981" t="s">
        <v>39098</v>
      </c>
      <c r="N5981" t="s">
        <v>40436</v>
      </c>
      <c r="O5981" t="s">
        <v>40437</v>
      </c>
      <c r="P5981">
        <v>0</v>
      </c>
      <c r="Q5981">
        <v>1</v>
      </c>
      <c r="R5981" t="s">
        <v>40443</v>
      </c>
      <c r="S5981" t="s">
        <v>40644</v>
      </c>
      <c r="T5981" t="s">
        <v>42245</v>
      </c>
      <c r="U5981" t="s">
        <v>47700</v>
      </c>
      <c r="W5981" t="s">
        <v>39098</v>
      </c>
      <c r="X5981" t="s">
        <v>40444</v>
      </c>
    </row>
    <row r="5982" spans="1:24">
      <c r="A5982">
        <f>HYPERLINK("https://www.philgeps.gov.ph/GEPSNONPILOT/Tender/SplashBidNoticeAbstractUI.aspx?menuIndex=3&amp;refID=7041481&amp;Result=3","7041481")</f>
        <v>0</v>
      </c>
      <c r="B5982" t="s">
        <v>1802</v>
      </c>
      <c r="C5982" t="s">
        <v>8764</v>
      </c>
      <c r="D5982" t="s">
        <v>16238</v>
      </c>
      <c r="E5982" t="s">
        <v>21569</v>
      </c>
      <c r="F5982" t="s">
        <v>28198</v>
      </c>
      <c r="G5982" t="s">
        <v>28207</v>
      </c>
      <c r="H5982" t="s">
        <v>28215</v>
      </c>
      <c r="I5982" t="s">
        <v>28224</v>
      </c>
      <c r="J5982" t="s">
        <v>32132</v>
      </c>
      <c r="K5982" t="s">
        <v>36687</v>
      </c>
      <c r="M5982" t="s">
        <v>38920</v>
      </c>
      <c r="N5982" t="s">
        <v>40436</v>
      </c>
      <c r="O5982" t="s">
        <v>40437</v>
      </c>
      <c r="P5982">
        <v>0</v>
      </c>
      <c r="Q5982">
        <v>0</v>
      </c>
      <c r="R5982" t="s">
        <v>40443</v>
      </c>
      <c r="S5982" t="s">
        <v>40644</v>
      </c>
      <c r="T5982" t="s">
        <v>42277</v>
      </c>
      <c r="U5982" t="s">
        <v>47701</v>
      </c>
      <c r="W5982" t="s">
        <v>38920</v>
      </c>
      <c r="X5982" t="s">
        <v>40444</v>
      </c>
    </row>
    <row r="5983" spans="1:24">
      <c r="A5983">
        <f>HYPERLINK("https://www.philgeps.gov.ph/GEPSNONPILOT/Tender/SplashBidNoticeAbstractUI.aspx?menuIndex=3&amp;refID=7041477&amp;Result=3","7041477")</f>
        <v>0</v>
      </c>
      <c r="B5983" t="s">
        <v>1959</v>
      </c>
      <c r="C5983" t="s">
        <v>8765</v>
      </c>
      <c r="D5983" t="s">
        <v>16210</v>
      </c>
      <c r="E5983" t="s">
        <v>21570</v>
      </c>
      <c r="F5983" t="s">
        <v>28198</v>
      </c>
      <c r="G5983" t="s">
        <v>28207</v>
      </c>
      <c r="H5983" t="s">
        <v>28215</v>
      </c>
      <c r="I5983" t="s">
        <v>5100</v>
      </c>
      <c r="J5983" t="s">
        <v>29156</v>
      </c>
      <c r="K5983" t="s">
        <v>36693</v>
      </c>
      <c r="M5983" t="s">
        <v>39094</v>
      </c>
      <c r="N5983" t="s">
        <v>40436</v>
      </c>
      <c r="O5983" t="s">
        <v>40437</v>
      </c>
      <c r="P5983">
        <v>0</v>
      </c>
      <c r="Q5983">
        <v>3</v>
      </c>
      <c r="R5983" t="s">
        <v>40443</v>
      </c>
      <c r="S5983" t="s">
        <v>40644</v>
      </c>
      <c r="T5983" t="s">
        <v>42216</v>
      </c>
      <c r="U5983" t="s">
        <v>47702</v>
      </c>
      <c r="W5983" t="s">
        <v>39094</v>
      </c>
      <c r="X5983" t="s">
        <v>40444</v>
      </c>
    </row>
    <row r="5984" spans="1:24">
      <c r="A5984">
        <f>HYPERLINK("https://www.philgeps.gov.ph/GEPSNONPILOT/Tender/SplashBidNoticeAbstractUI.aspx?menuIndex=3&amp;refID=7041490&amp;Result=3","7041490")</f>
        <v>0</v>
      </c>
      <c r="B5984" t="s">
        <v>388</v>
      </c>
      <c r="C5984" t="s">
        <v>8766</v>
      </c>
      <c r="D5984" t="s">
        <v>16197</v>
      </c>
      <c r="E5984" t="s">
        <v>21571</v>
      </c>
      <c r="F5984" t="s">
        <v>28198</v>
      </c>
      <c r="G5984" t="s">
        <v>28210</v>
      </c>
      <c r="H5984" t="s">
        <v>28215</v>
      </c>
      <c r="I5984" t="s">
        <v>28296</v>
      </c>
      <c r="J5984" t="s">
        <v>32133</v>
      </c>
      <c r="K5984" t="s">
        <v>36701</v>
      </c>
      <c r="M5984" t="s">
        <v>37368</v>
      </c>
      <c r="N5984" t="s">
        <v>40436</v>
      </c>
      <c r="O5984" t="s">
        <v>40437</v>
      </c>
      <c r="P5984">
        <v>0</v>
      </c>
      <c r="Q5984">
        <v>3</v>
      </c>
      <c r="R5984" t="s">
        <v>40443</v>
      </c>
      <c r="S5984" t="s">
        <v>40644</v>
      </c>
      <c r="T5984" t="s">
        <v>42216</v>
      </c>
      <c r="U5984" t="s">
        <v>47703</v>
      </c>
      <c r="V5984" t="s">
        <v>53874</v>
      </c>
      <c r="W5984" t="s">
        <v>37368</v>
      </c>
      <c r="X5984" t="s">
        <v>40444</v>
      </c>
    </row>
    <row r="5985" spans="1:24">
      <c r="A5985">
        <f>HYPERLINK("https://www.philgeps.gov.ph/GEPSNONPILOT/Tender/SplashBidNoticeAbstractUI.aspx?menuIndex=3&amp;refID=7041472&amp;Result=3","7041472")</f>
        <v>0</v>
      </c>
      <c r="B5985" t="s">
        <v>388</v>
      </c>
      <c r="C5985" t="s">
        <v>8767</v>
      </c>
      <c r="D5985" t="s">
        <v>16197</v>
      </c>
      <c r="E5985" t="s">
        <v>21572</v>
      </c>
      <c r="F5985" t="s">
        <v>28198</v>
      </c>
      <c r="G5985" t="s">
        <v>28207</v>
      </c>
      <c r="H5985" t="s">
        <v>28215</v>
      </c>
      <c r="I5985" t="s">
        <v>28233</v>
      </c>
      <c r="J5985" t="s">
        <v>28361</v>
      </c>
      <c r="K5985" t="s">
        <v>36701</v>
      </c>
      <c r="M5985" t="s">
        <v>37368</v>
      </c>
      <c r="N5985" t="s">
        <v>40436</v>
      </c>
      <c r="O5985" t="s">
        <v>40437</v>
      </c>
      <c r="P5985">
        <v>0</v>
      </c>
      <c r="Q5985">
        <v>0</v>
      </c>
      <c r="R5985" t="s">
        <v>40443</v>
      </c>
      <c r="S5985" t="s">
        <v>40644</v>
      </c>
      <c r="T5985" t="s">
        <v>42216</v>
      </c>
      <c r="U5985" t="s">
        <v>47704</v>
      </c>
      <c r="V5985" t="s">
        <v>53874</v>
      </c>
      <c r="W5985" t="s">
        <v>37368</v>
      </c>
      <c r="X5985" t="s">
        <v>40444</v>
      </c>
    </row>
    <row r="5986" spans="1:24">
      <c r="A5986">
        <f>HYPERLINK("https://www.philgeps.gov.ph/GEPSNONPILOT/Tender/SplashBidNoticeAbstractUI.aspx?menuIndex=3&amp;refID=7041476&amp;Result=3","7041476")</f>
        <v>0</v>
      </c>
      <c r="B5986" t="s">
        <v>1966</v>
      </c>
      <c r="C5986" t="s">
        <v>8768</v>
      </c>
      <c r="D5986" t="s">
        <v>16199</v>
      </c>
      <c r="E5986" t="s">
        <v>21573</v>
      </c>
      <c r="F5986" t="s">
        <v>28198</v>
      </c>
      <c r="G5986" t="s">
        <v>28205</v>
      </c>
      <c r="H5986" t="s">
        <v>28214</v>
      </c>
      <c r="I5986" t="s">
        <v>3797</v>
      </c>
      <c r="J5986" t="s">
        <v>28398</v>
      </c>
      <c r="K5986" t="s">
        <v>36689</v>
      </c>
      <c r="M5986" t="s">
        <v>39101</v>
      </c>
      <c r="N5986" t="s">
        <v>40436</v>
      </c>
      <c r="O5986" t="s">
        <v>40437</v>
      </c>
      <c r="P5986">
        <v>0</v>
      </c>
      <c r="Q5986">
        <v>0</v>
      </c>
      <c r="R5986" t="s">
        <v>40443</v>
      </c>
      <c r="S5986" t="s">
        <v>40644</v>
      </c>
      <c r="T5986" t="s">
        <v>42131</v>
      </c>
      <c r="U5986" t="s">
        <v>47705</v>
      </c>
      <c r="W5986" t="s">
        <v>39101</v>
      </c>
      <c r="X5986" t="s">
        <v>40444</v>
      </c>
    </row>
    <row r="5987" spans="1:24">
      <c r="A5987">
        <f>HYPERLINK("https://www.philgeps.gov.ph/GEPSNONPILOT/Tender/SplashBidNoticeAbstractUI.aspx?menuIndex=3&amp;refID=7041494&amp;Result=3","7041494")</f>
        <v>0</v>
      </c>
      <c r="B5987" t="s">
        <v>1427</v>
      </c>
      <c r="C5987" t="s">
        <v>8769</v>
      </c>
      <c r="D5987" t="s">
        <v>16260</v>
      </c>
      <c r="E5987" t="s">
        <v>18557</v>
      </c>
      <c r="F5987" t="s">
        <v>28198</v>
      </c>
      <c r="G5987" t="s">
        <v>28207</v>
      </c>
      <c r="H5987" t="s">
        <v>28215</v>
      </c>
      <c r="I5987" t="s">
        <v>5100</v>
      </c>
      <c r="J5987" t="s">
        <v>32134</v>
      </c>
      <c r="K5987" t="s">
        <v>36723</v>
      </c>
      <c r="M5987" t="s">
        <v>38493</v>
      </c>
      <c r="N5987" t="s">
        <v>40436</v>
      </c>
      <c r="O5987" t="s">
        <v>40437</v>
      </c>
      <c r="P5987">
        <v>0</v>
      </c>
      <c r="Q5987">
        <v>1</v>
      </c>
      <c r="R5987" t="s">
        <v>40443</v>
      </c>
      <c r="S5987" t="s">
        <v>40644</v>
      </c>
      <c r="T5987" t="s">
        <v>42185</v>
      </c>
      <c r="U5987" t="s">
        <v>47706</v>
      </c>
      <c r="W5987" t="s">
        <v>38493</v>
      </c>
      <c r="X5987" t="s">
        <v>40444</v>
      </c>
    </row>
    <row r="5988" spans="1:24">
      <c r="A5988">
        <f>HYPERLINK("https://www.philgeps.gov.ph/GEPSNONPILOT/Tender/SplashBidNoticeAbstractUI.aspx?menuIndex=3&amp;refID=7041471&amp;Result=3","7041471")</f>
        <v>0</v>
      </c>
      <c r="B5988" t="s">
        <v>1334</v>
      </c>
      <c r="C5988" t="s">
        <v>8770</v>
      </c>
      <c r="D5988" t="s">
        <v>16215</v>
      </c>
      <c r="E5988" t="s">
        <v>21574</v>
      </c>
      <c r="F5988" t="s">
        <v>28198</v>
      </c>
      <c r="G5988" t="s">
        <v>28205</v>
      </c>
      <c r="H5988" t="s">
        <v>28215</v>
      </c>
      <c r="I5988" t="s">
        <v>4200</v>
      </c>
      <c r="J5988" t="s">
        <v>32135</v>
      </c>
      <c r="K5988" t="s">
        <v>36689</v>
      </c>
      <c r="M5988" t="s">
        <v>38392</v>
      </c>
      <c r="N5988" t="s">
        <v>40436</v>
      </c>
      <c r="O5988" t="s">
        <v>40437</v>
      </c>
      <c r="P5988">
        <v>0</v>
      </c>
      <c r="Q5988">
        <v>0</v>
      </c>
      <c r="R5988" t="s">
        <v>40443</v>
      </c>
      <c r="S5988" t="s">
        <v>40644</v>
      </c>
      <c r="T5988" t="s">
        <v>42144</v>
      </c>
      <c r="U5988" t="s">
        <v>47707</v>
      </c>
      <c r="W5988" t="s">
        <v>38392</v>
      </c>
      <c r="X5988" t="s">
        <v>40444</v>
      </c>
    </row>
    <row r="5989" spans="1:24">
      <c r="A5989">
        <f>HYPERLINK("https://www.philgeps.gov.ph/GEPSNONPILOT/Tender/SplashBidNoticeAbstractUI.aspx?menuIndex=3&amp;refID=7041496&amp;Result=3","7041496")</f>
        <v>0</v>
      </c>
      <c r="B5989" t="s">
        <v>1802</v>
      </c>
      <c r="C5989" t="s">
        <v>8771</v>
      </c>
      <c r="D5989" t="s">
        <v>16238</v>
      </c>
      <c r="E5989" t="s">
        <v>21575</v>
      </c>
      <c r="F5989" t="s">
        <v>28198</v>
      </c>
      <c r="G5989" t="s">
        <v>28207</v>
      </c>
      <c r="H5989" t="s">
        <v>28215</v>
      </c>
      <c r="I5989" t="s">
        <v>28247</v>
      </c>
      <c r="J5989" t="s">
        <v>29897</v>
      </c>
      <c r="K5989" t="s">
        <v>36701</v>
      </c>
      <c r="M5989" t="s">
        <v>38920</v>
      </c>
      <c r="N5989" t="s">
        <v>40436</v>
      </c>
      <c r="O5989" t="s">
        <v>40437</v>
      </c>
      <c r="P5989">
        <v>0</v>
      </c>
      <c r="Q5989">
        <v>2</v>
      </c>
      <c r="R5989" t="s">
        <v>40443</v>
      </c>
      <c r="S5989" t="s">
        <v>40644</v>
      </c>
      <c r="T5989" t="s">
        <v>42277</v>
      </c>
      <c r="U5989" t="s">
        <v>47708</v>
      </c>
      <c r="W5989" t="s">
        <v>38920</v>
      </c>
      <c r="X5989" t="s">
        <v>40444</v>
      </c>
    </row>
    <row r="5990" spans="1:24">
      <c r="A5990">
        <f>HYPERLINK("https://www.philgeps.gov.ph/GEPSNONPILOT/Tender/SplashBidNoticeAbstractUI.aspx?menuIndex=3&amp;refID=7041521&amp;Result=3","7041521")</f>
        <v>0</v>
      </c>
      <c r="B5990" t="s">
        <v>1966</v>
      </c>
      <c r="C5990" t="s">
        <v>8772</v>
      </c>
      <c r="D5990" t="s">
        <v>16199</v>
      </c>
      <c r="E5990" t="s">
        <v>21576</v>
      </c>
      <c r="F5990" t="s">
        <v>28198</v>
      </c>
      <c r="G5990" t="s">
        <v>28205</v>
      </c>
      <c r="H5990" t="s">
        <v>28214</v>
      </c>
      <c r="I5990" t="s">
        <v>3797</v>
      </c>
      <c r="J5990" t="s">
        <v>28921</v>
      </c>
      <c r="K5990" t="s">
        <v>36689</v>
      </c>
      <c r="M5990" t="s">
        <v>39101</v>
      </c>
      <c r="N5990" t="s">
        <v>40436</v>
      </c>
      <c r="O5990" t="s">
        <v>40437</v>
      </c>
      <c r="P5990">
        <v>0</v>
      </c>
      <c r="Q5990">
        <v>0</v>
      </c>
      <c r="R5990" t="s">
        <v>40443</v>
      </c>
      <c r="S5990" t="s">
        <v>40644</v>
      </c>
      <c r="T5990" t="s">
        <v>42131</v>
      </c>
      <c r="U5990" t="s">
        <v>47709</v>
      </c>
      <c r="W5990" t="s">
        <v>39101</v>
      </c>
      <c r="X5990" t="s">
        <v>40444</v>
      </c>
    </row>
    <row r="5991" spans="1:24">
      <c r="A5991">
        <f>HYPERLINK("https://www.philgeps.gov.ph/GEPSNONPILOT/Tender/SplashBidNoticeAbstractUI.aspx?menuIndex=3&amp;refID=7041466&amp;Result=3","7041466")</f>
        <v>0</v>
      </c>
      <c r="B5991" t="s">
        <v>1968</v>
      </c>
      <c r="C5991" t="s">
        <v>8773</v>
      </c>
      <c r="D5991" t="s">
        <v>16195</v>
      </c>
      <c r="E5991" t="s">
        <v>21577</v>
      </c>
      <c r="F5991" t="s">
        <v>28198</v>
      </c>
      <c r="G5991" t="s">
        <v>28205</v>
      </c>
      <c r="H5991" t="s">
        <v>28215</v>
      </c>
      <c r="I5991" t="s">
        <v>5100</v>
      </c>
      <c r="J5991" t="s">
        <v>28486</v>
      </c>
      <c r="K5991" t="s">
        <v>36707</v>
      </c>
      <c r="M5991" t="s">
        <v>39103</v>
      </c>
      <c r="N5991" t="s">
        <v>40436</v>
      </c>
      <c r="O5991" t="s">
        <v>40437</v>
      </c>
      <c r="Q5991">
        <v>1</v>
      </c>
      <c r="R5991" t="s">
        <v>40443</v>
      </c>
      <c r="S5991" t="s">
        <v>40649</v>
      </c>
      <c r="T5991" t="s">
        <v>42190</v>
      </c>
      <c r="U5991" t="s">
        <v>47710</v>
      </c>
      <c r="W5991" t="s">
        <v>39103</v>
      </c>
      <c r="X5991" t="s">
        <v>40444</v>
      </c>
    </row>
    <row r="5992" spans="1:24">
      <c r="A5992">
        <f>HYPERLINK("https://www.philgeps.gov.ph/GEPSNONPILOT/Tender/SplashBidNoticeAbstractUI.aspx?menuIndex=3&amp;refID=7041465&amp;Result=3","7041465")</f>
        <v>0</v>
      </c>
      <c r="B5992" t="s">
        <v>94</v>
      </c>
      <c r="C5992" t="s">
        <v>8774</v>
      </c>
      <c r="D5992" t="s">
        <v>16224</v>
      </c>
      <c r="E5992" t="s">
        <v>21578</v>
      </c>
      <c r="F5992" t="s">
        <v>28198</v>
      </c>
      <c r="G5992" t="s">
        <v>28205</v>
      </c>
      <c r="H5992" t="s">
        <v>28214</v>
      </c>
      <c r="I5992" t="s">
        <v>3797</v>
      </c>
      <c r="J5992" t="s">
        <v>32136</v>
      </c>
      <c r="K5992" t="s">
        <v>36701</v>
      </c>
      <c r="M5992" t="s">
        <v>37066</v>
      </c>
      <c r="N5992" t="s">
        <v>40436</v>
      </c>
      <c r="O5992" t="s">
        <v>40437</v>
      </c>
      <c r="P5992">
        <v>0</v>
      </c>
      <c r="Q5992">
        <v>0</v>
      </c>
      <c r="R5992" t="s">
        <v>40443</v>
      </c>
      <c r="S5992" t="s">
        <v>40644</v>
      </c>
      <c r="T5992" t="s">
        <v>42131</v>
      </c>
      <c r="U5992" t="s">
        <v>47711</v>
      </c>
      <c r="W5992" t="s">
        <v>37066</v>
      </c>
      <c r="X5992" t="s">
        <v>40444</v>
      </c>
    </row>
    <row r="5993" spans="1:24">
      <c r="A5993">
        <f>HYPERLINK("https://www.philgeps.gov.ph/GEPSNONPILOT/Tender/SplashBidNoticeAbstractUI.aspx?menuIndex=3&amp;refID=7041516&amp;Result=3","7041516")</f>
        <v>0</v>
      </c>
      <c r="B5993" t="s">
        <v>1334</v>
      </c>
      <c r="C5993" t="s">
        <v>8775</v>
      </c>
      <c r="D5993" t="s">
        <v>16215</v>
      </c>
      <c r="E5993" t="s">
        <v>19430</v>
      </c>
      <c r="F5993" t="s">
        <v>28198</v>
      </c>
      <c r="G5993" t="s">
        <v>28205</v>
      </c>
      <c r="H5993" t="s">
        <v>28215</v>
      </c>
      <c r="I5993" t="s">
        <v>4200</v>
      </c>
      <c r="J5993" t="s">
        <v>32137</v>
      </c>
      <c r="K5993" t="s">
        <v>36689</v>
      </c>
      <c r="M5993" t="s">
        <v>38392</v>
      </c>
      <c r="N5993" t="s">
        <v>40436</v>
      </c>
      <c r="O5993" t="s">
        <v>40437</v>
      </c>
      <c r="P5993">
        <v>0</v>
      </c>
      <c r="Q5993">
        <v>0</v>
      </c>
      <c r="R5993" t="s">
        <v>40443</v>
      </c>
      <c r="S5993" t="s">
        <v>40644</v>
      </c>
      <c r="T5993" t="s">
        <v>42144</v>
      </c>
      <c r="U5993" t="s">
        <v>47712</v>
      </c>
      <c r="W5993" t="s">
        <v>38392</v>
      </c>
      <c r="X5993" t="s">
        <v>40444</v>
      </c>
    </row>
    <row r="5994" spans="1:24">
      <c r="A5994">
        <f>HYPERLINK("https://www.philgeps.gov.ph/GEPSNONPILOT/Tender/SplashBidNoticeAbstractUI.aspx?menuIndex=3&amp;refID=7041514&amp;Result=3","7041514")</f>
        <v>0</v>
      </c>
      <c r="B5994" t="s">
        <v>388</v>
      </c>
      <c r="C5994" t="s">
        <v>8776</v>
      </c>
      <c r="D5994" t="s">
        <v>16197</v>
      </c>
      <c r="E5994" t="s">
        <v>21579</v>
      </c>
      <c r="F5994" t="s">
        <v>28198</v>
      </c>
      <c r="G5994" t="s">
        <v>28207</v>
      </c>
      <c r="H5994" t="s">
        <v>28215</v>
      </c>
      <c r="I5994" t="s">
        <v>28295</v>
      </c>
      <c r="J5994" t="s">
        <v>31214</v>
      </c>
      <c r="K5994" t="s">
        <v>36701</v>
      </c>
      <c r="M5994" t="s">
        <v>37368</v>
      </c>
      <c r="N5994" t="s">
        <v>40436</v>
      </c>
      <c r="O5994" t="s">
        <v>40437</v>
      </c>
      <c r="P5994">
        <v>0</v>
      </c>
      <c r="Q5994">
        <v>1</v>
      </c>
      <c r="R5994" t="s">
        <v>40443</v>
      </c>
      <c r="S5994" t="s">
        <v>40644</v>
      </c>
      <c r="T5994" t="s">
        <v>42216</v>
      </c>
      <c r="U5994" t="s">
        <v>47713</v>
      </c>
      <c r="V5994" t="s">
        <v>53874</v>
      </c>
      <c r="W5994" t="s">
        <v>37368</v>
      </c>
      <c r="X5994" t="s">
        <v>40444</v>
      </c>
    </row>
    <row r="5995" spans="1:24">
      <c r="A5995">
        <f>HYPERLINK("https://www.philgeps.gov.ph/GEPSNONPILOT/Tender/SplashBidNoticeAbstractUI.aspx?menuIndex=3&amp;refID=7041523&amp;Result=3","7041523")</f>
        <v>0</v>
      </c>
      <c r="B5995" t="s">
        <v>1223</v>
      </c>
      <c r="C5995" t="s">
        <v>8777</v>
      </c>
      <c r="D5995" t="s">
        <v>16188</v>
      </c>
      <c r="E5995" t="s">
        <v>21580</v>
      </c>
      <c r="F5995" t="s">
        <v>28198</v>
      </c>
      <c r="G5995" t="s">
        <v>28206</v>
      </c>
      <c r="H5995" t="s">
        <v>28215</v>
      </c>
      <c r="I5995" t="s">
        <v>4219</v>
      </c>
      <c r="J5995" t="s">
        <v>32138</v>
      </c>
      <c r="K5995" t="s">
        <v>36701</v>
      </c>
      <c r="M5995" t="s">
        <v>38269</v>
      </c>
      <c r="N5995" t="s">
        <v>40436</v>
      </c>
      <c r="O5995" t="s">
        <v>40437</v>
      </c>
      <c r="P5995">
        <v>0</v>
      </c>
      <c r="Q5995">
        <v>5</v>
      </c>
      <c r="R5995" t="s">
        <v>40443</v>
      </c>
      <c r="S5995" t="s">
        <v>40644</v>
      </c>
      <c r="T5995" t="s">
        <v>42185</v>
      </c>
      <c r="U5995" t="s">
        <v>45350</v>
      </c>
      <c r="W5995" t="s">
        <v>38269</v>
      </c>
      <c r="X5995" t="s">
        <v>40444</v>
      </c>
    </row>
    <row r="5996" spans="1:24">
      <c r="A5996">
        <f>HYPERLINK("https://www.philgeps.gov.ph/GEPSNONPILOT/Tender/SplashBidNoticeAbstractUI.aspx?menuIndex=3&amp;refID=7041462&amp;Result=3","7041462")</f>
        <v>0</v>
      </c>
      <c r="B5996" t="s">
        <v>1802</v>
      </c>
      <c r="C5996" t="s">
        <v>8778</v>
      </c>
      <c r="D5996" t="s">
        <v>16238</v>
      </c>
      <c r="E5996" t="s">
        <v>21581</v>
      </c>
      <c r="F5996" t="s">
        <v>28198</v>
      </c>
      <c r="G5996" t="s">
        <v>28207</v>
      </c>
      <c r="H5996" t="s">
        <v>28215</v>
      </c>
      <c r="I5996" t="s">
        <v>28238</v>
      </c>
      <c r="J5996" t="s">
        <v>29081</v>
      </c>
      <c r="K5996" t="s">
        <v>36701</v>
      </c>
      <c r="M5996" t="s">
        <v>38920</v>
      </c>
      <c r="N5996" t="s">
        <v>40436</v>
      </c>
      <c r="O5996" t="s">
        <v>40437</v>
      </c>
      <c r="P5996">
        <v>0</v>
      </c>
      <c r="Q5996">
        <v>0</v>
      </c>
      <c r="R5996" t="s">
        <v>40443</v>
      </c>
      <c r="S5996" t="s">
        <v>40644</v>
      </c>
      <c r="T5996" t="s">
        <v>42277</v>
      </c>
      <c r="U5996" t="s">
        <v>47714</v>
      </c>
      <c r="W5996" t="s">
        <v>38920</v>
      </c>
      <c r="X5996" t="s">
        <v>40444</v>
      </c>
    </row>
    <row r="5997" spans="1:24">
      <c r="A5997">
        <f>HYPERLINK("https://www.philgeps.gov.ph/GEPSNONPILOT/Tender/SplashBidNoticeAbstractUI.aspx?menuIndex=3&amp;refID=7041513&amp;Result=3","7041513")</f>
        <v>0</v>
      </c>
      <c r="B5997" t="s">
        <v>1429</v>
      </c>
      <c r="C5997" t="s">
        <v>8779</v>
      </c>
      <c r="D5997" t="s">
        <v>16210</v>
      </c>
      <c r="E5997" t="s">
        <v>21582</v>
      </c>
      <c r="F5997" t="s">
        <v>28198</v>
      </c>
      <c r="G5997" t="s">
        <v>28207</v>
      </c>
      <c r="H5997" t="s">
        <v>28215</v>
      </c>
      <c r="I5997" t="s">
        <v>28257</v>
      </c>
      <c r="J5997" t="s">
        <v>32139</v>
      </c>
      <c r="K5997" t="s">
        <v>36707</v>
      </c>
      <c r="M5997" t="s">
        <v>39104</v>
      </c>
      <c r="N5997" t="s">
        <v>40436</v>
      </c>
      <c r="O5997" t="s">
        <v>40437</v>
      </c>
      <c r="P5997">
        <v>0</v>
      </c>
      <c r="Q5997">
        <v>4</v>
      </c>
      <c r="R5997" t="s">
        <v>40443</v>
      </c>
      <c r="S5997" t="s">
        <v>40644</v>
      </c>
      <c r="T5997" t="s">
        <v>42169</v>
      </c>
      <c r="U5997" t="s">
        <v>47715</v>
      </c>
      <c r="W5997" t="s">
        <v>39104</v>
      </c>
      <c r="X5997" t="s">
        <v>40444</v>
      </c>
    </row>
    <row r="5998" spans="1:24">
      <c r="A5998">
        <f>HYPERLINK("https://www.philgeps.gov.ph/GEPSNONPILOT/Tender/SplashBidNoticeAbstractUI.aspx?menuIndex=3&amp;refID=7041500&amp;Result=3","7041500")</f>
        <v>0</v>
      </c>
      <c r="B5998" t="s">
        <v>388</v>
      </c>
      <c r="C5998" t="s">
        <v>8780</v>
      </c>
      <c r="D5998" t="s">
        <v>16197</v>
      </c>
      <c r="E5998" t="s">
        <v>21583</v>
      </c>
      <c r="F5998" t="s">
        <v>28198</v>
      </c>
      <c r="G5998" t="s">
        <v>28207</v>
      </c>
      <c r="H5998" t="s">
        <v>28215</v>
      </c>
      <c r="I5998" t="s">
        <v>28255</v>
      </c>
      <c r="J5998" t="s">
        <v>28398</v>
      </c>
      <c r="K5998" t="s">
        <v>36701</v>
      </c>
      <c r="M5998" t="s">
        <v>37368</v>
      </c>
      <c r="N5998" t="s">
        <v>40436</v>
      </c>
      <c r="O5998" t="s">
        <v>40437</v>
      </c>
      <c r="P5998">
        <v>0</v>
      </c>
      <c r="Q5998">
        <v>0</v>
      </c>
      <c r="R5998" t="s">
        <v>40443</v>
      </c>
      <c r="S5998" t="s">
        <v>40644</v>
      </c>
      <c r="T5998" t="s">
        <v>42216</v>
      </c>
      <c r="U5998" t="s">
        <v>47716</v>
      </c>
      <c r="V5998" t="s">
        <v>53874</v>
      </c>
      <c r="W5998" t="s">
        <v>37368</v>
      </c>
      <c r="X5998" t="s">
        <v>40444</v>
      </c>
    </row>
    <row r="5999" spans="1:24">
      <c r="A5999">
        <f>HYPERLINK("https://www.philgeps.gov.ph/GEPSNONPILOT/Tender/SplashBidNoticeAbstractUI.aspx?menuIndex=3&amp;refID=7041530&amp;Result=3","7041530")</f>
        <v>0</v>
      </c>
      <c r="B5999" t="s">
        <v>388</v>
      </c>
      <c r="C5999" t="s">
        <v>8781</v>
      </c>
      <c r="D5999" t="s">
        <v>16197</v>
      </c>
      <c r="E5999" t="s">
        <v>21584</v>
      </c>
      <c r="F5999" t="s">
        <v>28198</v>
      </c>
      <c r="G5999" t="s">
        <v>28207</v>
      </c>
      <c r="H5999" t="s">
        <v>28215</v>
      </c>
      <c r="I5999" t="s">
        <v>28255</v>
      </c>
      <c r="J5999" t="s">
        <v>28398</v>
      </c>
      <c r="K5999" t="s">
        <v>36701</v>
      </c>
      <c r="M5999" t="s">
        <v>37368</v>
      </c>
      <c r="N5999" t="s">
        <v>40436</v>
      </c>
      <c r="O5999" t="s">
        <v>40437</v>
      </c>
      <c r="P5999">
        <v>0</v>
      </c>
      <c r="Q5999">
        <v>0</v>
      </c>
      <c r="R5999" t="s">
        <v>40443</v>
      </c>
      <c r="S5999" t="s">
        <v>40644</v>
      </c>
      <c r="T5999" t="s">
        <v>42216</v>
      </c>
      <c r="U5999" t="s">
        <v>47717</v>
      </c>
      <c r="V5999" t="s">
        <v>53874</v>
      </c>
      <c r="W5999" t="s">
        <v>37368</v>
      </c>
      <c r="X5999" t="s">
        <v>40444</v>
      </c>
    </row>
    <row r="6000" spans="1:24">
      <c r="A6000">
        <f>HYPERLINK("https://www.philgeps.gov.ph/GEPSNONPILOT/Tender/SplashBidNoticeAbstractUI.aspx?menuIndex=3&amp;refID=7041507&amp;Result=3","7041507")</f>
        <v>0</v>
      </c>
      <c r="B6000" t="s">
        <v>1967</v>
      </c>
      <c r="C6000" t="s">
        <v>8782</v>
      </c>
      <c r="D6000" t="s">
        <v>16195</v>
      </c>
      <c r="E6000" t="s">
        <v>17597</v>
      </c>
      <c r="F6000" t="s">
        <v>28198</v>
      </c>
      <c r="G6000" t="s">
        <v>28205</v>
      </c>
      <c r="H6000" t="s">
        <v>28214</v>
      </c>
      <c r="I6000" t="s">
        <v>3797</v>
      </c>
      <c r="J6000" t="s">
        <v>28393</v>
      </c>
      <c r="K6000" t="s">
        <v>36694</v>
      </c>
      <c r="M6000" t="s">
        <v>39102</v>
      </c>
      <c r="N6000" t="s">
        <v>40436</v>
      </c>
      <c r="O6000" t="s">
        <v>40437</v>
      </c>
      <c r="P6000">
        <v>0</v>
      </c>
      <c r="Q6000">
        <v>0</v>
      </c>
      <c r="R6000" t="s">
        <v>40443</v>
      </c>
      <c r="S6000" t="s">
        <v>40644</v>
      </c>
      <c r="T6000" t="s">
        <v>42157</v>
      </c>
      <c r="U6000" t="s">
        <v>47718</v>
      </c>
      <c r="W6000" t="s">
        <v>39102</v>
      </c>
      <c r="X6000" t="s">
        <v>40444</v>
      </c>
    </row>
    <row r="6001" spans="1:24">
      <c r="A6001">
        <f>HYPERLINK("https://www.philgeps.gov.ph/GEPSNONPILOT/Tender/SplashBidNoticeAbstractUI.aspx?menuIndex=3&amp;refID=7041526&amp;Result=3","7041526")</f>
        <v>0</v>
      </c>
      <c r="B6001" t="s">
        <v>388</v>
      </c>
      <c r="C6001" t="s">
        <v>8783</v>
      </c>
      <c r="D6001" t="s">
        <v>16197</v>
      </c>
      <c r="E6001" t="s">
        <v>21585</v>
      </c>
      <c r="F6001" t="s">
        <v>28198</v>
      </c>
      <c r="G6001" t="s">
        <v>28210</v>
      </c>
      <c r="H6001" t="s">
        <v>28215</v>
      </c>
      <c r="I6001" t="s">
        <v>28228</v>
      </c>
      <c r="J6001" t="s">
        <v>32140</v>
      </c>
      <c r="K6001" t="s">
        <v>36701</v>
      </c>
      <c r="M6001" t="s">
        <v>37368</v>
      </c>
      <c r="N6001" t="s">
        <v>40436</v>
      </c>
      <c r="O6001" t="s">
        <v>40437</v>
      </c>
      <c r="P6001">
        <v>0</v>
      </c>
      <c r="Q6001">
        <v>2</v>
      </c>
      <c r="R6001" t="s">
        <v>40443</v>
      </c>
      <c r="S6001" t="s">
        <v>40644</v>
      </c>
      <c r="T6001" t="s">
        <v>42216</v>
      </c>
      <c r="U6001" t="s">
        <v>47719</v>
      </c>
      <c r="V6001" t="s">
        <v>53874</v>
      </c>
      <c r="W6001" t="s">
        <v>37368</v>
      </c>
      <c r="X6001" t="s">
        <v>40444</v>
      </c>
    </row>
    <row r="6002" spans="1:24">
      <c r="A6002">
        <f>HYPERLINK("https://www.philgeps.gov.ph/GEPSNONPILOT/Tender/SplashBidNoticeAbstractUI.aspx?menuIndex=3&amp;refID=7041563&amp;Result=3","7041563")</f>
        <v>0</v>
      </c>
      <c r="B6002" t="s">
        <v>1522</v>
      </c>
      <c r="C6002" t="s">
        <v>8784</v>
      </c>
      <c r="D6002" t="s">
        <v>16264</v>
      </c>
      <c r="E6002" t="s">
        <v>21586</v>
      </c>
      <c r="F6002" t="s">
        <v>28198</v>
      </c>
      <c r="G6002" t="s">
        <v>28205</v>
      </c>
      <c r="H6002" t="s">
        <v>28214</v>
      </c>
      <c r="I6002" t="s">
        <v>3797</v>
      </c>
      <c r="J6002" t="s">
        <v>32141</v>
      </c>
      <c r="K6002" t="s">
        <v>36697</v>
      </c>
      <c r="M6002" t="s">
        <v>38600</v>
      </c>
      <c r="N6002" t="s">
        <v>40436</v>
      </c>
      <c r="O6002" t="s">
        <v>40437</v>
      </c>
      <c r="P6002">
        <v>0</v>
      </c>
      <c r="Q6002">
        <v>0</v>
      </c>
      <c r="R6002" t="s">
        <v>40443</v>
      </c>
      <c r="S6002" t="s">
        <v>40644</v>
      </c>
      <c r="T6002" t="s">
        <v>42145</v>
      </c>
      <c r="U6002" t="s">
        <v>47720</v>
      </c>
      <c r="W6002" t="s">
        <v>38600</v>
      </c>
      <c r="X6002" t="s">
        <v>40444</v>
      </c>
    </row>
    <row r="6003" spans="1:24">
      <c r="A6003">
        <f>HYPERLINK("https://www.philgeps.gov.ph/GEPSNONPILOT/Tender/SplashBidNoticeAbstractUI.aspx?menuIndex=3&amp;refID=7041555&amp;Result=3","7041555")</f>
        <v>0</v>
      </c>
      <c r="B6003" t="s">
        <v>1223</v>
      </c>
      <c r="C6003" t="s">
        <v>8785</v>
      </c>
      <c r="D6003" t="s">
        <v>16188</v>
      </c>
      <c r="E6003" t="s">
        <v>21587</v>
      </c>
      <c r="F6003" t="s">
        <v>28198</v>
      </c>
      <c r="G6003" t="s">
        <v>28206</v>
      </c>
      <c r="H6003" t="s">
        <v>28215</v>
      </c>
      <c r="I6003" t="s">
        <v>4505</v>
      </c>
      <c r="J6003" t="s">
        <v>32142</v>
      </c>
      <c r="K6003" t="s">
        <v>36715</v>
      </c>
      <c r="M6003" t="s">
        <v>38269</v>
      </c>
      <c r="N6003" t="s">
        <v>40436</v>
      </c>
      <c r="O6003" t="s">
        <v>40437</v>
      </c>
      <c r="P6003">
        <v>0</v>
      </c>
      <c r="Q6003">
        <v>7</v>
      </c>
      <c r="R6003" t="s">
        <v>40443</v>
      </c>
      <c r="S6003" t="s">
        <v>40644</v>
      </c>
      <c r="T6003" t="s">
        <v>42185</v>
      </c>
      <c r="U6003" t="s">
        <v>45350</v>
      </c>
      <c r="W6003" t="s">
        <v>38269</v>
      </c>
      <c r="X6003" t="s">
        <v>40444</v>
      </c>
    </row>
    <row r="6004" spans="1:24">
      <c r="A6004">
        <f>HYPERLINK("https://www.philgeps.gov.ph/GEPSNONPILOT/Tender/SplashBidNoticeAbstractUI.aspx?menuIndex=3&amp;refID=7041564&amp;Result=3","7041564")</f>
        <v>0</v>
      </c>
      <c r="B6004" t="s">
        <v>1969</v>
      </c>
      <c r="C6004" t="s">
        <v>8786</v>
      </c>
      <c r="D6004" t="s">
        <v>16191</v>
      </c>
      <c r="E6004" t="s">
        <v>21588</v>
      </c>
      <c r="F6004" t="s">
        <v>28198</v>
      </c>
      <c r="G6004" t="s">
        <v>28205</v>
      </c>
      <c r="H6004" t="s">
        <v>28214</v>
      </c>
      <c r="I6004" t="s">
        <v>3797</v>
      </c>
      <c r="J6004" t="s">
        <v>28652</v>
      </c>
      <c r="K6004" t="s">
        <v>36778</v>
      </c>
      <c r="M6004" t="s">
        <v>39105</v>
      </c>
      <c r="N6004" t="s">
        <v>40436</v>
      </c>
      <c r="O6004" t="s">
        <v>40437</v>
      </c>
      <c r="P6004">
        <v>0</v>
      </c>
      <c r="Q6004">
        <v>0</v>
      </c>
      <c r="R6004" t="s">
        <v>40443</v>
      </c>
      <c r="S6004" t="s">
        <v>40644</v>
      </c>
      <c r="T6004" t="s">
        <v>42216</v>
      </c>
      <c r="U6004" t="s">
        <v>47721</v>
      </c>
      <c r="W6004" t="s">
        <v>39105</v>
      </c>
      <c r="X6004" t="s">
        <v>40444</v>
      </c>
    </row>
    <row r="6005" spans="1:24">
      <c r="A6005">
        <f>HYPERLINK("https://www.philgeps.gov.ph/GEPSNONPILOT/Tender/SplashBidNoticeAbstractUI.aspx?menuIndex=3&amp;refID=7041542&amp;Result=3","7041542")</f>
        <v>0</v>
      </c>
      <c r="B6005" t="s">
        <v>242</v>
      </c>
      <c r="C6005" t="s">
        <v>8787</v>
      </c>
      <c r="D6005" t="s">
        <v>16254</v>
      </c>
      <c r="E6005" t="s">
        <v>21589</v>
      </c>
      <c r="F6005" t="s">
        <v>28198</v>
      </c>
      <c r="G6005" t="s">
        <v>28207</v>
      </c>
      <c r="H6005" t="s">
        <v>28215</v>
      </c>
      <c r="I6005" t="s">
        <v>28228</v>
      </c>
      <c r="J6005" t="s">
        <v>32143</v>
      </c>
      <c r="K6005" t="s">
        <v>36707</v>
      </c>
      <c r="M6005" t="s">
        <v>37218</v>
      </c>
      <c r="N6005" t="s">
        <v>40436</v>
      </c>
      <c r="O6005" t="s">
        <v>40437</v>
      </c>
      <c r="P6005">
        <v>0</v>
      </c>
      <c r="Q6005">
        <v>0</v>
      </c>
      <c r="R6005" t="s">
        <v>40443</v>
      </c>
      <c r="S6005" t="s">
        <v>40644</v>
      </c>
      <c r="T6005" t="s">
        <v>42277</v>
      </c>
      <c r="U6005" t="s">
        <v>47722</v>
      </c>
      <c r="V6005" t="s">
        <v>53828</v>
      </c>
      <c r="W6005" t="s">
        <v>37218</v>
      </c>
      <c r="X6005" t="s">
        <v>40444</v>
      </c>
    </row>
    <row r="6006" spans="1:24">
      <c r="A6006">
        <f>HYPERLINK("https://www.philgeps.gov.ph/GEPSNONPILOT/Tender/SplashBidNoticeAbstractUI.aspx?menuIndex=3&amp;refID=7041550&amp;Result=3","7041550")</f>
        <v>0</v>
      </c>
      <c r="B6006" t="s">
        <v>1970</v>
      </c>
      <c r="C6006" t="s">
        <v>8788</v>
      </c>
      <c r="D6006" t="s">
        <v>16247</v>
      </c>
      <c r="E6006" t="s">
        <v>16322</v>
      </c>
      <c r="F6006" t="s">
        <v>28198</v>
      </c>
      <c r="G6006" t="s">
        <v>28205</v>
      </c>
      <c r="H6006" t="s">
        <v>28215</v>
      </c>
      <c r="I6006" t="s">
        <v>4200</v>
      </c>
      <c r="J6006" t="s">
        <v>28361</v>
      </c>
      <c r="K6006" t="s">
        <v>36743</v>
      </c>
      <c r="M6006" t="s">
        <v>39106</v>
      </c>
      <c r="N6006" t="s">
        <v>40436</v>
      </c>
      <c r="O6006" t="s">
        <v>40437</v>
      </c>
      <c r="P6006">
        <v>0</v>
      </c>
      <c r="Q6006">
        <v>3</v>
      </c>
      <c r="R6006" t="s">
        <v>40443</v>
      </c>
      <c r="S6006" t="s">
        <v>40644</v>
      </c>
      <c r="T6006" t="s">
        <v>42437</v>
      </c>
      <c r="U6006" t="s">
        <v>47723</v>
      </c>
      <c r="W6006" t="s">
        <v>39106</v>
      </c>
      <c r="X6006" t="s">
        <v>40444</v>
      </c>
    </row>
    <row r="6007" spans="1:24">
      <c r="A6007">
        <f>HYPERLINK("https://www.philgeps.gov.ph/GEPSNONPILOT/Tender/SplashBidNoticeAbstractUI.aspx?menuIndex=3&amp;refID=7041566&amp;Result=3","7041566")</f>
        <v>0</v>
      </c>
      <c r="B6007" t="s">
        <v>1971</v>
      </c>
      <c r="C6007" t="s">
        <v>8789</v>
      </c>
      <c r="D6007" t="s">
        <v>16191</v>
      </c>
      <c r="E6007" t="s">
        <v>21590</v>
      </c>
      <c r="F6007" t="s">
        <v>28198</v>
      </c>
      <c r="G6007" t="s">
        <v>28205</v>
      </c>
      <c r="H6007" t="s">
        <v>28214</v>
      </c>
      <c r="I6007" t="s">
        <v>3797</v>
      </c>
      <c r="J6007" t="s">
        <v>32144</v>
      </c>
      <c r="K6007" t="s">
        <v>36778</v>
      </c>
      <c r="M6007" t="s">
        <v>39107</v>
      </c>
      <c r="N6007" t="s">
        <v>40436</v>
      </c>
      <c r="O6007" t="s">
        <v>40437</v>
      </c>
      <c r="P6007">
        <v>0</v>
      </c>
      <c r="Q6007">
        <v>0</v>
      </c>
      <c r="R6007" t="s">
        <v>40443</v>
      </c>
      <c r="S6007" t="s">
        <v>40644</v>
      </c>
      <c r="T6007" t="s">
        <v>42131</v>
      </c>
      <c r="U6007" t="s">
        <v>47724</v>
      </c>
      <c r="W6007" t="s">
        <v>39107</v>
      </c>
      <c r="X6007" t="s">
        <v>40444</v>
      </c>
    </row>
    <row r="6008" spans="1:24">
      <c r="A6008">
        <f>HYPERLINK("https://www.philgeps.gov.ph/GEPSNONPILOT/Tender/SplashBidNoticeAbstractUI.aspx?menuIndex=3&amp;refID=7041544&amp;Result=3","7041544")</f>
        <v>0</v>
      </c>
      <c r="B6008" t="s">
        <v>388</v>
      </c>
      <c r="C6008" t="s">
        <v>8790</v>
      </c>
      <c r="D6008" t="s">
        <v>16197</v>
      </c>
      <c r="E6008" t="s">
        <v>21591</v>
      </c>
      <c r="F6008" t="s">
        <v>28198</v>
      </c>
      <c r="G6008" t="s">
        <v>28210</v>
      </c>
      <c r="H6008" t="s">
        <v>28215</v>
      </c>
      <c r="I6008" t="s">
        <v>28296</v>
      </c>
      <c r="J6008" t="s">
        <v>28415</v>
      </c>
      <c r="K6008" t="s">
        <v>36701</v>
      </c>
      <c r="M6008" t="s">
        <v>37368</v>
      </c>
      <c r="N6008" t="s">
        <v>40436</v>
      </c>
      <c r="O6008" t="s">
        <v>40437</v>
      </c>
      <c r="P6008">
        <v>0</v>
      </c>
      <c r="Q6008">
        <v>3</v>
      </c>
      <c r="R6008" t="s">
        <v>40443</v>
      </c>
      <c r="S6008" t="s">
        <v>40644</v>
      </c>
      <c r="T6008" t="s">
        <v>42216</v>
      </c>
      <c r="U6008" t="s">
        <v>47725</v>
      </c>
      <c r="V6008" t="s">
        <v>53874</v>
      </c>
      <c r="W6008" t="s">
        <v>37368</v>
      </c>
      <c r="X6008" t="s">
        <v>40444</v>
      </c>
    </row>
    <row r="6009" spans="1:24">
      <c r="A6009">
        <f>HYPERLINK("https://www.philgeps.gov.ph/GEPSNONPILOT/Tender/SplashBidNoticeAbstractUI.aspx?menuIndex=3&amp;refID=7041537&amp;Result=3","7041537")</f>
        <v>0</v>
      </c>
      <c r="B6009" t="s">
        <v>388</v>
      </c>
      <c r="C6009" t="s">
        <v>8791</v>
      </c>
      <c r="D6009" t="s">
        <v>16197</v>
      </c>
      <c r="E6009" t="s">
        <v>21592</v>
      </c>
      <c r="F6009" t="s">
        <v>28198</v>
      </c>
      <c r="G6009" t="s">
        <v>28210</v>
      </c>
      <c r="H6009" t="s">
        <v>28215</v>
      </c>
      <c r="I6009" t="s">
        <v>28228</v>
      </c>
      <c r="J6009" t="s">
        <v>28889</v>
      </c>
      <c r="K6009" t="s">
        <v>36701</v>
      </c>
      <c r="M6009" t="s">
        <v>37368</v>
      </c>
      <c r="N6009" t="s">
        <v>40436</v>
      </c>
      <c r="O6009" t="s">
        <v>40437</v>
      </c>
      <c r="P6009">
        <v>0</v>
      </c>
      <c r="Q6009">
        <v>0</v>
      </c>
      <c r="R6009" t="s">
        <v>40443</v>
      </c>
      <c r="S6009" t="s">
        <v>40644</v>
      </c>
      <c r="T6009" t="s">
        <v>42216</v>
      </c>
      <c r="U6009" t="s">
        <v>47726</v>
      </c>
      <c r="V6009" t="s">
        <v>53874</v>
      </c>
      <c r="W6009" t="s">
        <v>37368</v>
      </c>
      <c r="X6009" t="s">
        <v>40444</v>
      </c>
    </row>
    <row r="6010" spans="1:24">
      <c r="A6010">
        <f>HYPERLINK("https://www.philgeps.gov.ph/GEPSNONPILOT/Tender/SplashBidNoticeAbstractUI.aspx?menuIndex=3&amp;refID=7041541&amp;Result=3","7041541")</f>
        <v>0</v>
      </c>
      <c r="B6010" t="s">
        <v>1972</v>
      </c>
      <c r="C6010" t="s">
        <v>8792</v>
      </c>
      <c r="D6010" t="s">
        <v>16188</v>
      </c>
      <c r="E6010" t="s">
        <v>21593</v>
      </c>
      <c r="F6010" t="s">
        <v>28200</v>
      </c>
      <c r="G6010" t="s">
        <v>28207</v>
      </c>
      <c r="H6010" t="s">
        <v>28214</v>
      </c>
      <c r="I6010" t="s">
        <v>28255</v>
      </c>
      <c r="J6010" t="s">
        <v>28406</v>
      </c>
      <c r="K6010" t="s">
        <v>36689</v>
      </c>
      <c r="M6010" t="s">
        <v>39108</v>
      </c>
      <c r="N6010" t="s">
        <v>40436</v>
      </c>
      <c r="O6010" t="s">
        <v>40437</v>
      </c>
      <c r="P6010">
        <v>0</v>
      </c>
      <c r="Q6010">
        <v>0</v>
      </c>
      <c r="R6010" t="s">
        <v>40443</v>
      </c>
      <c r="S6010" t="s">
        <v>40644</v>
      </c>
      <c r="T6010" t="s">
        <v>42131</v>
      </c>
      <c r="U6010" t="s">
        <v>47727</v>
      </c>
      <c r="W6010" t="s">
        <v>39108</v>
      </c>
      <c r="X6010" t="s">
        <v>40444</v>
      </c>
    </row>
    <row r="6011" spans="1:24">
      <c r="A6011">
        <f>HYPERLINK("https://www.philgeps.gov.ph/GEPSNONPILOT/Tender/SplashBidNoticeAbstractUI.aspx?menuIndex=3&amp;refID=7041540&amp;Result=3","7041540")</f>
        <v>0</v>
      </c>
      <c r="B6011" t="s">
        <v>688</v>
      </c>
      <c r="C6011" t="s">
        <v>8793</v>
      </c>
      <c r="D6011" t="s">
        <v>16230</v>
      </c>
      <c r="E6011" t="s">
        <v>21594</v>
      </c>
      <c r="F6011" t="s">
        <v>28198</v>
      </c>
      <c r="G6011" t="s">
        <v>28206</v>
      </c>
      <c r="H6011" t="s">
        <v>28215</v>
      </c>
      <c r="I6011" t="s">
        <v>28238</v>
      </c>
      <c r="J6011" t="s">
        <v>32145</v>
      </c>
      <c r="K6011" t="s">
        <v>36701</v>
      </c>
      <c r="M6011" t="s">
        <v>37687</v>
      </c>
      <c r="N6011" t="s">
        <v>40436</v>
      </c>
      <c r="O6011" t="s">
        <v>40437</v>
      </c>
      <c r="P6011">
        <v>0</v>
      </c>
      <c r="Q6011">
        <v>2</v>
      </c>
      <c r="R6011" t="s">
        <v>40443</v>
      </c>
      <c r="S6011" t="s">
        <v>40644</v>
      </c>
      <c r="T6011" t="s">
        <v>42218</v>
      </c>
      <c r="U6011" t="s">
        <v>47728</v>
      </c>
      <c r="W6011" t="s">
        <v>37687</v>
      </c>
      <c r="X6011" t="s">
        <v>40444</v>
      </c>
    </row>
    <row r="6012" spans="1:24">
      <c r="A6012">
        <f>HYPERLINK("https://www.philgeps.gov.ph/GEPSNONPILOT/Tender/SplashBidNoticeAbstractUI.aspx?menuIndex=3&amp;refID=7041559&amp;Result=3","7041559")</f>
        <v>0</v>
      </c>
      <c r="B6012" t="s">
        <v>1944</v>
      </c>
      <c r="C6012" t="s">
        <v>8794</v>
      </c>
      <c r="D6012" t="s">
        <v>16192</v>
      </c>
      <c r="E6012" t="s">
        <v>21595</v>
      </c>
      <c r="F6012" t="s">
        <v>28198</v>
      </c>
      <c r="G6012" t="s">
        <v>28205</v>
      </c>
      <c r="H6012" t="s">
        <v>28215</v>
      </c>
      <c r="I6012" t="s">
        <v>5100</v>
      </c>
      <c r="J6012" t="s">
        <v>32146</v>
      </c>
      <c r="K6012" t="s">
        <v>36707</v>
      </c>
      <c r="M6012" t="s">
        <v>39078</v>
      </c>
      <c r="N6012" t="s">
        <v>40436</v>
      </c>
      <c r="O6012" t="s">
        <v>40437</v>
      </c>
      <c r="P6012">
        <v>0</v>
      </c>
      <c r="Q6012">
        <v>0</v>
      </c>
      <c r="R6012" t="s">
        <v>40443</v>
      </c>
      <c r="S6012" t="s">
        <v>40644</v>
      </c>
      <c r="T6012" t="s">
        <v>42158</v>
      </c>
      <c r="U6012" t="s">
        <v>47729</v>
      </c>
      <c r="W6012" t="s">
        <v>39078</v>
      </c>
      <c r="X6012" t="s">
        <v>40444</v>
      </c>
    </row>
    <row r="6013" spans="1:24">
      <c r="A6013">
        <f>HYPERLINK("https://www.philgeps.gov.ph/GEPSNONPILOT/Tender/SplashBidNoticeAbstractUI.aspx?menuIndex=3&amp;refID=7041546&amp;Result=3","7041546")</f>
        <v>0</v>
      </c>
      <c r="B6013" t="s">
        <v>1973</v>
      </c>
      <c r="C6013" t="s">
        <v>8795</v>
      </c>
      <c r="E6013" t="s">
        <v>21596</v>
      </c>
      <c r="F6013" t="s">
        <v>28198</v>
      </c>
      <c r="G6013" t="s">
        <v>28209</v>
      </c>
      <c r="H6013" t="s">
        <v>28215</v>
      </c>
      <c r="I6013" t="s">
        <v>28273</v>
      </c>
      <c r="J6013" t="s">
        <v>32147</v>
      </c>
      <c r="K6013" t="s">
        <v>36689</v>
      </c>
      <c r="M6013" t="s">
        <v>39109</v>
      </c>
      <c r="N6013" t="s">
        <v>40436</v>
      </c>
      <c r="O6013" t="s">
        <v>40437</v>
      </c>
      <c r="Q6013">
        <v>5</v>
      </c>
      <c r="R6013" t="s">
        <v>40443</v>
      </c>
      <c r="S6013" t="s">
        <v>40650</v>
      </c>
      <c r="T6013" t="s">
        <v>42337</v>
      </c>
      <c r="U6013" t="s">
        <v>47730</v>
      </c>
      <c r="W6013" t="s">
        <v>39109</v>
      </c>
      <c r="X6013" t="s">
        <v>40444</v>
      </c>
    </row>
    <row r="6014" spans="1:24">
      <c r="A6014">
        <f>HYPERLINK("https://www.philgeps.gov.ph/GEPSNONPILOT/Tender/SplashBidNoticeAbstractUI.aspx?menuIndex=3&amp;refID=7041578&amp;Result=3","7041578")</f>
        <v>0</v>
      </c>
      <c r="B6014" t="s">
        <v>1223</v>
      </c>
      <c r="C6014" t="s">
        <v>8796</v>
      </c>
      <c r="D6014" t="s">
        <v>16188</v>
      </c>
      <c r="E6014" t="s">
        <v>21597</v>
      </c>
      <c r="F6014" t="s">
        <v>28198</v>
      </c>
      <c r="G6014" t="s">
        <v>28206</v>
      </c>
      <c r="H6014" t="s">
        <v>28215</v>
      </c>
      <c r="I6014" t="s">
        <v>28227</v>
      </c>
      <c r="J6014" t="s">
        <v>28378</v>
      </c>
      <c r="K6014" t="s">
        <v>36689</v>
      </c>
      <c r="M6014" t="s">
        <v>38269</v>
      </c>
      <c r="N6014" t="s">
        <v>40436</v>
      </c>
      <c r="O6014" t="s">
        <v>40437</v>
      </c>
      <c r="P6014">
        <v>0</v>
      </c>
      <c r="Q6014">
        <v>4</v>
      </c>
      <c r="R6014" t="s">
        <v>40443</v>
      </c>
      <c r="S6014" t="s">
        <v>40644</v>
      </c>
      <c r="T6014" t="s">
        <v>42185</v>
      </c>
      <c r="U6014" t="s">
        <v>45350</v>
      </c>
      <c r="W6014" t="s">
        <v>38269</v>
      </c>
      <c r="X6014" t="s">
        <v>40444</v>
      </c>
    </row>
    <row r="6015" spans="1:24">
      <c r="A6015">
        <f>HYPERLINK("https://www.philgeps.gov.ph/GEPSNONPILOT/Tender/SplashBidNoticeAbstractUI.aspx?menuIndex=3&amp;refID=7041532&amp;Result=3","7041532")</f>
        <v>0</v>
      </c>
      <c r="B6015" t="s">
        <v>1322</v>
      </c>
      <c r="C6015" t="s">
        <v>8797</v>
      </c>
      <c r="D6015" t="s">
        <v>16223</v>
      </c>
      <c r="E6015" t="s">
        <v>21598</v>
      </c>
      <c r="F6015" t="s">
        <v>28198</v>
      </c>
      <c r="G6015" t="s">
        <v>28205</v>
      </c>
      <c r="H6015" t="s">
        <v>28215</v>
      </c>
      <c r="I6015" t="s">
        <v>28222</v>
      </c>
      <c r="J6015" t="s">
        <v>32148</v>
      </c>
      <c r="K6015" t="s">
        <v>36701</v>
      </c>
      <c r="M6015" t="s">
        <v>38380</v>
      </c>
      <c r="N6015" t="s">
        <v>40436</v>
      </c>
      <c r="O6015" t="s">
        <v>40437</v>
      </c>
      <c r="P6015">
        <v>0</v>
      </c>
      <c r="Q6015">
        <v>3</v>
      </c>
      <c r="R6015" t="s">
        <v>40443</v>
      </c>
      <c r="S6015" t="s">
        <v>40644</v>
      </c>
      <c r="T6015" t="s">
        <v>42390</v>
      </c>
      <c r="U6015" t="s">
        <v>47731</v>
      </c>
      <c r="V6015" t="s">
        <v>53826</v>
      </c>
      <c r="W6015" t="s">
        <v>38380</v>
      </c>
      <c r="X6015" t="s">
        <v>40444</v>
      </c>
    </row>
    <row r="6016" spans="1:24">
      <c r="A6016">
        <f>HYPERLINK("https://www.philgeps.gov.ph/GEPSNONPILOT/Tender/SplashBidNoticeAbstractUI.aspx?menuIndex=3&amp;refID=7041575&amp;Result=3","7041575")</f>
        <v>0</v>
      </c>
      <c r="B6016" t="s">
        <v>97</v>
      </c>
      <c r="C6016" t="s">
        <v>8798</v>
      </c>
      <c r="D6016" t="s">
        <v>16226</v>
      </c>
      <c r="E6016" t="s">
        <v>21599</v>
      </c>
      <c r="F6016" t="s">
        <v>28198</v>
      </c>
      <c r="G6016" t="s">
        <v>28207</v>
      </c>
      <c r="H6016" t="s">
        <v>28215</v>
      </c>
      <c r="I6016" t="s">
        <v>28246</v>
      </c>
      <c r="J6016" t="s">
        <v>32149</v>
      </c>
      <c r="K6016" t="s">
        <v>36688</v>
      </c>
      <c r="M6016" t="s">
        <v>38437</v>
      </c>
      <c r="N6016" t="s">
        <v>40436</v>
      </c>
      <c r="O6016" t="s">
        <v>40437</v>
      </c>
      <c r="P6016">
        <v>0</v>
      </c>
      <c r="Q6016">
        <v>1</v>
      </c>
      <c r="R6016" t="s">
        <v>40443</v>
      </c>
      <c r="S6016" t="s">
        <v>40644</v>
      </c>
      <c r="T6016" t="s">
        <v>42185</v>
      </c>
      <c r="U6016" t="s">
        <v>47732</v>
      </c>
      <c r="W6016" t="s">
        <v>38437</v>
      </c>
      <c r="X6016" t="s">
        <v>40444</v>
      </c>
    </row>
    <row r="6017" spans="1:24">
      <c r="A6017">
        <f>HYPERLINK("https://www.philgeps.gov.ph/GEPSNONPILOT/Tender/SplashBidNoticeAbstractUI.aspx?menuIndex=3&amp;refID=7041573&amp;Result=3","7041573")</f>
        <v>0</v>
      </c>
      <c r="B6017" t="s">
        <v>1954</v>
      </c>
      <c r="C6017" t="s">
        <v>8799</v>
      </c>
      <c r="D6017" t="s">
        <v>16216</v>
      </c>
      <c r="E6017" t="s">
        <v>21600</v>
      </c>
      <c r="F6017" t="s">
        <v>28198</v>
      </c>
      <c r="G6017" t="s">
        <v>28205</v>
      </c>
      <c r="H6017" t="s">
        <v>28215</v>
      </c>
      <c r="I6017" t="s">
        <v>4219</v>
      </c>
      <c r="J6017" t="s">
        <v>28406</v>
      </c>
      <c r="K6017" t="s">
        <v>36707</v>
      </c>
      <c r="M6017" t="s">
        <v>39089</v>
      </c>
      <c r="N6017" t="s">
        <v>40436</v>
      </c>
      <c r="O6017" t="s">
        <v>40437</v>
      </c>
      <c r="P6017">
        <v>0</v>
      </c>
      <c r="Q6017">
        <v>4</v>
      </c>
      <c r="R6017" t="s">
        <v>40443</v>
      </c>
      <c r="S6017" t="s">
        <v>40644</v>
      </c>
      <c r="T6017" t="s">
        <v>42262</v>
      </c>
      <c r="U6017" t="s">
        <v>47733</v>
      </c>
      <c r="V6017" t="s">
        <v>54389</v>
      </c>
      <c r="W6017" t="s">
        <v>39089</v>
      </c>
      <c r="X6017" t="s">
        <v>40444</v>
      </c>
    </row>
    <row r="6018" spans="1:24">
      <c r="A6018">
        <f>HYPERLINK("https://www.philgeps.gov.ph/GEPSNONPILOT/Tender/SplashBidNoticeAbstractUI.aspx?menuIndex=3&amp;refID=7041571&amp;Result=3","7041571")</f>
        <v>0</v>
      </c>
      <c r="B6018" t="s">
        <v>1974</v>
      </c>
      <c r="C6018" t="s">
        <v>8800</v>
      </c>
      <c r="D6018" t="s">
        <v>16260</v>
      </c>
      <c r="E6018" t="s">
        <v>21601</v>
      </c>
      <c r="F6018" t="s">
        <v>28198</v>
      </c>
      <c r="G6018" t="s">
        <v>28205</v>
      </c>
      <c r="H6018" t="s">
        <v>28214</v>
      </c>
      <c r="I6018" t="s">
        <v>3797</v>
      </c>
      <c r="J6018" t="s">
        <v>32150</v>
      </c>
      <c r="K6018" t="s">
        <v>36689</v>
      </c>
      <c r="M6018" t="s">
        <v>39110</v>
      </c>
      <c r="N6018" t="s">
        <v>40436</v>
      </c>
      <c r="O6018" t="s">
        <v>40437</v>
      </c>
      <c r="P6018">
        <v>0</v>
      </c>
      <c r="Q6018">
        <v>0</v>
      </c>
      <c r="R6018" t="s">
        <v>40443</v>
      </c>
      <c r="S6018" t="s">
        <v>40644</v>
      </c>
      <c r="T6018" t="s">
        <v>42102</v>
      </c>
      <c r="U6018" t="s">
        <v>47734</v>
      </c>
      <c r="W6018" t="s">
        <v>39110</v>
      </c>
      <c r="X6018" t="s">
        <v>40444</v>
      </c>
    </row>
    <row r="6019" spans="1:24">
      <c r="A6019">
        <f>HYPERLINK("https://www.philgeps.gov.ph/GEPSNONPILOT/Tender/SplashBidNoticeAbstractUI.aspx?menuIndex=3&amp;refID=7041581&amp;Result=3","7041581")</f>
        <v>0</v>
      </c>
      <c r="B6019" t="s">
        <v>191</v>
      </c>
      <c r="C6019" t="s">
        <v>8801</v>
      </c>
      <c r="D6019" t="s">
        <v>16210</v>
      </c>
      <c r="E6019" t="s">
        <v>21602</v>
      </c>
      <c r="F6019" t="s">
        <v>28198</v>
      </c>
      <c r="G6019" t="s">
        <v>28210</v>
      </c>
      <c r="H6019" t="s">
        <v>28215</v>
      </c>
      <c r="I6019" t="s">
        <v>4168</v>
      </c>
      <c r="J6019" t="s">
        <v>30009</v>
      </c>
      <c r="K6019" t="s">
        <v>36688</v>
      </c>
      <c r="M6019" t="s">
        <v>37166</v>
      </c>
      <c r="N6019" t="s">
        <v>40436</v>
      </c>
      <c r="O6019" t="s">
        <v>40437</v>
      </c>
      <c r="P6019">
        <v>0</v>
      </c>
      <c r="Q6019">
        <v>4</v>
      </c>
      <c r="R6019" t="s">
        <v>40443</v>
      </c>
      <c r="S6019" t="s">
        <v>40644</v>
      </c>
      <c r="T6019" t="s">
        <v>42277</v>
      </c>
      <c r="U6019" t="s">
        <v>47735</v>
      </c>
      <c r="W6019" t="s">
        <v>55434</v>
      </c>
      <c r="X6019" t="s">
        <v>40444</v>
      </c>
    </row>
    <row r="6020" spans="1:24">
      <c r="A6020">
        <f>HYPERLINK("https://www.philgeps.gov.ph/GEPSNONPILOT/Tender/SplashBidNoticeAbstractUI.aspx?menuIndex=3&amp;refID=7041572&amp;Result=3","7041572")</f>
        <v>0</v>
      </c>
      <c r="B6020" t="s">
        <v>1895</v>
      </c>
      <c r="C6020" t="s">
        <v>8802</v>
      </c>
      <c r="D6020" t="s">
        <v>16193</v>
      </c>
      <c r="E6020" t="s">
        <v>18706</v>
      </c>
      <c r="F6020" t="s">
        <v>28198</v>
      </c>
      <c r="G6020" t="s">
        <v>28205</v>
      </c>
      <c r="H6020" t="s">
        <v>28214</v>
      </c>
      <c r="I6020" t="s">
        <v>3797</v>
      </c>
      <c r="J6020" t="s">
        <v>32151</v>
      </c>
      <c r="K6020" t="s">
        <v>36697</v>
      </c>
      <c r="M6020" t="s">
        <v>39027</v>
      </c>
      <c r="N6020" t="s">
        <v>40436</v>
      </c>
      <c r="O6020" t="s">
        <v>40437</v>
      </c>
      <c r="P6020">
        <v>0</v>
      </c>
      <c r="Q6020">
        <v>2</v>
      </c>
      <c r="R6020" t="s">
        <v>40443</v>
      </c>
      <c r="S6020" t="s">
        <v>40644</v>
      </c>
      <c r="T6020" t="s">
        <v>42435</v>
      </c>
      <c r="U6020" t="s">
        <v>47736</v>
      </c>
      <c r="W6020" t="s">
        <v>39027</v>
      </c>
      <c r="X6020" t="s">
        <v>40444</v>
      </c>
    </row>
    <row r="6021" spans="1:24">
      <c r="A6021">
        <f>HYPERLINK("https://www.philgeps.gov.ph/GEPSNONPILOT/Tender/SplashBidNoticeAbstractUI.aspx?menuIndex=3&amp;refID=7041598&amp;Result=3","7041598")</f>
        <v>0</v>
      </c>
      <c r="B6021" t="s">
        <v>1975</v>
      </c>
      <c r="C6021" t="s">
        <v>8803</v>
      </c>
      <c r="D6021" t="s">
        <v>16227</v>
      </c>
      <c r="E6021" t="s">
        <v>21603</v>
      </c>
      <c r="F6021" t="s">
        <v>28198</v>
      </c>
      <c r="G6021" t="s">
        <v>28207</v>
      </c>
      <c r="H6021" t="s">
        <v>28215</v>
      </c>
      <c r="I6021" t="s">
        <v>28227</v>
      </c>
      <c r="J6021" t="s">
        <v>32152</v>
      </c>
      <c r="K6021" t="s">
        <v>36689</v>
      </c>
      <c r="M6021" t="s">
        <v>39111</v>
      </c>
      <c r="N6021" t="s">
        <v>40436</v>
      </c>
      <c r="O6021" t="s">
        <v>40437</v>
      </c>
      <c r="P6021">
        <v>0</v>
      </c>
      <c r="Q6021">
        <v>5</v>
      </c>
      <c r="R6021" t="s">
        <v>40443</v>
      </c>
      <c r="S6021" t="s">
        <v>40644</v>
      </c>
      <c r="T6021" t="s">
        <v>42103</v>
      </c>
      <c r="U6021" t="s">
        <v>47737</v>
      </c>
      <c r="V6021" t="s">
        <v>54390</v>
      </c>
      <c r="W6021" t="s">
        <v>39111</v>
      </c>
      <c r="X6021" t="s">
        <v>40444</v>
      </c>
    </row>
    <row r="6022" spans="1:24">
      <c r="A6022">
        <f>HYPERLINK("https://www.philgeps.gov.ph/GEPSNONPILOT/Tender/SplashBidNoticeAbstractUI.aspx?menuIndex=3&amp;refID=7041582&amp;Result=3","7041582")</f>
        <v>0</v>
      </c>
      <c r="B6022" t="s">
        <v>242</v>
      </c>
      <c r="C6022" t="s">
        <v>8804</v>
      </c>
      <c r="D6022" t="s">
        <v>16254</v>
      </c>
      <c r="E6022" t="s">
        <v>16849</v>
      </c>
      <c r="F6022" t="s">
        <v>28198</v>
      </c>
      <c r="G6022" t="s">
        <v>28207</v>
      </c>
      <c r="H6022" t="s">
        <v>28215</v>
      </c>
      <c r="I6022" t="s">
        <v>28222</v>
      </c>
      <c r="J6022" t="s">
        <v>28386</v>
      </c>
      <c r="K6022" t="s">
        <v>36707</v>
      </c>
      <c r="M6022" t="s">
        <v>37218</v>
      </c>
      <c r="N6022" t="s">
        <v>40436</v>
      </c>
      <c r="O6022" t="s">
        <v>40437</v>
      </c>
      <c r="P6022">
        <v>0</v>
      </c>
      <c r="Q6022">
        <v>0</v>
      </c>
      <c r="R6022" t="s">
        <v>40443</v>
      </c>
      <c r="S6022" t="s">
        <v>40644</v>
      </c>
      <c r="T6022" t="s">
        <v>42277</v>
      </c>
      <c r="U6022" t="s">
        <v>47738</v>
      </c>
      <c r="W6022" t="s">
        <v>37218</v>
      </c>
      <c r="X6022" t="s">
        <v>40444</v>
      </c>
    </row>
    <row r="6023" spans="1:24">
      <c r="A6023">
        <f>HYPERLINK("https://www.philgeps.gov.ph/GEPSNONPILOT/Tender/SplashBidNoticeAbstractUI.aspx?menuIndex=3&amp;refID=7041586&amp;Result=3","7041586")</f>
        <v>0</v>
      </c>
      <c r="B6023" t="s">
        <v>1976</v>
      </c>
      <c r="C6023" t="s">
        <v>8805</v>
      </c>
      <c r="D6023" t="s">
        <v>16225</v>
      </c>
      <c r="E6023" t="s">
        <v>21604</v>
      </c>
      <c r="F6023" t="s">
        <v>28198</v>
      </c>
      <c r="G6023" t="s">
        <v>28205</v>
      </c>
      <c r="H6023" t="s">
        <v>28215</v>
      </c>
      <c r="I6023" t="s">
        <v>5100</v>
      </c>
      <c r="J6023" t="s">
        <v>32153</v>
      </c>
      <c r="K6023" t="s">
        <v>36694</v>
      </c>
      <c r="M6023" t="s">
        <v>39112</v>
      </c>
      <c r="N6023" t="s">
        <v>40436</v>
      </c>
      <c r="O6023" t="s">
        <v>40437</v>
      </c>
      <c r="P6023">
        <v>0</v>
      </c>
      <c r="Q6023">
        <v>0</v>
      </c>
      <c r="R6023" t="s">
        <v>40443</v>
      </c>
      <c r="S6023" t="s">
        <v>40644</v>
      </c>
      <c r="T6023" t="s">
        <v>42158</v>
      </c>
      <c r="U6023" t="s">
        <v>47739</v>
      </c>
      <c r="W6023" t="s">
        <v>39112</v>
      </c>
      <c r="X6023" t="s">
        <v>40444</v>
      </c>
    </row>
    <row r="6024" spans="1:24">
      <c r="A6024">
        <f>HYPERLINK("https://www.philgeps.gov.ph/GEPSNONPILOT/Tender/SplashBidNoticeAbstractUI.aspx?menuIndex=3&amp;refID=7041613&amp;Result=3","7041613")</f>
        <v>0</v>
      </c>
      <c r="B6024" t="s">
        <v>1959</v>
      </c>
      <c r="C6024" t="s">
        <v>8806</v>
      </c>
      <c r="D6024" t="s">
        <v>16239</v>
      </c>
      <c r="E6024" t="s">
        <v>21605</v>
      </c>
      <c r="F6024" t="s">
        <v>28198</v>
      </c>
      <c r="G6024" t="s">
        <v>28207</v>
      </c>
      <c r="H6024" t="s">
        <v>28215</v>
      </c>
      <c r="I6024" t="s">
        <v>4321</v>
      </c>
      <c r="J6024" t="s">
        <v>29745</v>
      </c>
      <c r="K6024" t="s">
        <v>36693</v>
      </c>
      <c r="M6024" t="s">
        <v>39094</v>
      </c>
      <c r="N6024" t="s">
        <v>40436</v>
      </c>
      <c r="O6024" t="s">
        <v>40437</v>
      </c>
      <c r="P6024">
        <v>0</v>
      </c>
      <c r="Q6024">
        <v>7</v>
      </c>
      <c r="R6024" t="s">
        <v>40443</v>
      </c>
      <c r="S6024" t="s">
        <v>40644</v>
      </c>
      <c r="T6024" t="s">
        <v>42216</v>
      </c>
      <c r="U6024" t="s">
        <v>47740</v>
      </c>
      <c r="W6024" t="s">
        <v>39094</v>
      </c>
      <c r="X6024" t="s">
        <v>40444</v>
      </c>
    </row>
    <row r="6025" spans="1:24">
      <c r="A6025">
        <f>HYPERLINK("https://www.philgeps.gov.ph/GEPSNONPILOT/Tender/SplashBidNoticeAbstractUI.aspx?menuIndex=3&amp;refID=7041606&amp;Result=3","7041606")</f>
        <v>0</v>
      </c>
      <c r="B6025" t="s">
        <v>1977</v>
      </c>
      <c r="C6025" t="s">
        <v>8807</v>
      </c>
      <c r="D6025" t="s">
        <v>16228</v>
      </c>
      <c r="E6025" t="s">
        <v>21606</v>
      </c>
      <c r="F6025" t="s">
        <v>28198</v>
      </c>
      <c r="G6025" t="s">
        <v>28206</v>
      </c>
      <c r="H6025" t="s">
        <v>28215</v>
      </c>
      <c r="I6025" t="s">
        <v>28253</v>
      </c>
      <c r="J6025" t="s">
        <v>28694</v>
      </c>
      <c r="K6025" t="s">
        <v>36723</v>
      </c>
      <c r="M6025" t="s">
        <v>39113</v>
      </c>
      <c r="N6025" t="s">
        <v>40436</v>
      </c>
      <c r="O6025" t="s">
        <v>40437</v>
      </c>
      <c r="P6025">
        <v>0</v>
      </c>
      <c r="Q6025">
        <v>3</v>
      </c>
      <c r="R6025" t="s">
        <v>40443</v>
      </c>
      <c r="S6025" t="s">
        <v>40644</v>
      </c>
      <c r="T6025" t="s">
        <v>42205</v>
      </c>
      <c r="U6025" t="s">
        <v>47741</v>
      </c>
      <c r="W6025" t="s">
        <v>39113</v>
      </c>
      <c r="X6025" t="s">
        <v>40444</v>
      </c>
    </row>
    <row r="6026" spans="1:24">
      <c r="A6026">
        <f>HYPERLINK("https://www.philgeps.gov.ph/GEPSNONPILOT/Tender/SplashBidNoticeAbstractUI.aspx?menuIndex=3&amp;refID=7041637&amp;Result=3","7041637")</f>
        <v>0</v>
      </c>
      <c r="B6026" t="s">
        <v>1950</v>
      </c>
      <c r="C6026" t="s">
        <v>8808</v>
      </c>
      <c r="E6026" t="s">
        <v>21607</v>
      </c>
      <c r="F6026" t="s">
        <v>28198</v>
      </c>
      <c r="G6026" t="s">
        <v>28205</v>
      </c>
      <c r="H6026" t="s">
        <v>28216</v>
      </c>
      <c r="I6026" t="s">
        <v>28216</v>
      </c>
      <c r="J6026" t="s">
        <v>32154</v>
      </c>
      <c r="K6026" t="s">
        <v>36689</v>
      </c>
      <c r="M6026" t="s">
        <v>39084</v>
      </c>
      <c r="N6026" t="s">
        <v>40436</v>
      </c>
      <c r="O6026" t="s">
        <v>40437</v>
      </c>
      <c r="P6026">
        <v>0</v>
      </c>
      <c r="Q6026">
        <v>3</v>
      </c>
      <c r="R6026" t="s">
        <v>40443</v>
      </c>
      <c r="S6026" t="s">
        <v>40644</v>
      </c>
      <c r="T6026" t="s">
        <v>42195</v>
      </c>
      <c r="U6026" t="s">
        <v>47742</v>
      </c>
      <c r="W6026" t="s">
        <v>39084</v>
      </c>
      <c r="X6026" t="s">
        <v>40444</v>
      </c>
    </row>
    <row r="6027" spans="1:24">
      <c r="A6027">
        <f>HYPERLINK("https://www.philgeps.gov.ph/GEPSNONPILOT/Tender/SplashBidNoticeAbstractUI.aspx?menuIndex=3&amp;refID=7041603&amp;Result=3","7041603")</f>
        <v>0</v>
      </c>
      <c r="B6027" t="s">
        <v>901</v>
      </c>
      <c r="C6027" t="s">
        <v>8809</v>
      </c>
      <c r="D6027" t="s">
        <v>16213</v>
      </c>
      <c r="E6027" t="s">
        <v>21608</v>
      </c>
      <c r="F6027" t="s">
        <v>28198</v>
      </c>
      <c r="G6027" t="s">
        <v>28207</v>
      </c>
      <c r="H6027" t="s">
        <v>28216</v>
      </c>
      <c r="I6027" t="s">
        <v>28216</v>
      </c>
      <c r="J6027" t="s">
        <v>29374</v>
      </c>
      <c r="K6027" t="s">
        <v>36687</v>
      </c>
      <c r="M6027" t="s">
        <v>37919</v>
      </c>
      <c r="N6027" t="s">
        <v>40436</v>
      </c>
      <c r="O6027" t="s">
        <v>40437</v>
      </c>
      <c r="P6027">
        <v>0</v>
      </c>
      <c r="Q6027">
        <v>0</v>
      </c>
      <c r="R6027" t="s">
        <v>40443</v>
      </c>
      <c r="S6027" t="s">
        <v>40644</v>
      </c>
      <c r="T6027" t="s">
        <v>42129</v>
      </c>
      <c r="U6027" t="s">
        <v>47743</v>
      </c>
      <c r="V6027" t="s">
        <v>54391</v>
      </c>
      <c r="W6027" t="s">
        <v>37919</v>
      </c>
      <c r="X6027" t="s">
        <v>40444</v>
      </c>
    </row>
    <row r="6028" spans="1:24">
      <c r="A6028">
        <f>HYPERLINK("https://www.philgeps.gov.ph/GEPSNONPILOT/Tender/SplashBidNoticeAbstractUI.aspx?menuIndex=3&amp;refID=7041636&amp;Result=3","7041636")</f>
        <v>0</v>
      </c>
      <c r="B6028" t="s">
        <v>1978</v>
      </c>
      <c r="C6028" t="s">
        <v>8810</v>
      </c>
      <c r="D6028" t="s">
        <v>16193</v>
      </c>
      <c r="E6028" t="s">
        <v>21609</v>
      </c>
      <c r="F6028" t="s">
        <v>28198</v>
      </c>
      <c r="G6028" t="s">
        <v>28205</v>
      </c>
      <c r="H6028" t="s">
        <v>28215</v>
      </c>
      <c r="I6028" t="s">
        <v>5631</v>
      </c>
      <c r="J6028" t="s">
        <v>32155</v>
      </c>
      <c r="K6028" t="s">
        <v>36694</v>
      </c>
      <c r="M6028" t="s">
        <v>39114</v>
      </c>
      <c r="N6028" t="s">
        <v>40436</v>
      </c>
      <c r="O6028" t="s">
        <v>40437</v>
      </c>
      <c r="P6028">
        <v>0</v>
      </c>
      <c r="Q6028">
        <v>1</v>
      </c>
      <c r="R6028" t="s">
        <v>40443</v>
      </c>
      <c r="S6028" t="s">
        <v>40644</v>
      </c>
      <c r="T6028" t="s">
        <v>42438</v>
      </c>
      <c r="U6028" t="s">
        <v>47744</v>
      </c>
      <c r="W6028" t="s">
        <v>39114</v>
      </c>
      <c r="X6028" t="s">
        <v>40444</v>
      </c>
    </row>
    <row r="6029" spans="1:24">
      <c r="A6029">
        <f>HYPERLINK("https://www.philgeps.gov.ph/GEPSNONPILOT/Tender/SplashBidNoticeAbstractUI.aspx?menuIndex=3&amp;refID=7041605&amp;Result=3","7041605")</f>
        <v>0</v>
      </c>
      <c r="B6029" t="s">
        <v>1793</v>
      </c>
      <c r="C6029" t="s">
        <v>8811</v>
      </c>
      <c r="D6029" t="s">
        <v>16258</v>
      </c>
      <c r="E6029" t="s">
        <v>21610</v>
      </c>
      <c r="F6029" t="s">
        <v>28198</v>
      </c>
      <c r="G6029" t="s">
        <v>28205</v>
      </c>
      <c r="H6029" t="s">
        <v>28215</v>
      </c>
      <c r="I6029" t="s">
        <v>5100</v>
      </c>
      <c r="J6029" t="s">
        <v>28373</v>
      </c>
      <c r="K6029" t="s">
        <v>36706</v>
      </c>
      <c r="M6029" t="s">
        <v>38910</v>
      </c>
      <c r="N6029" t="s">
        <v>40436</v>
      </c>
      <c r="O6029" t="s">
        <v>40437</v>
      </c>
      <c r="P6029">
        <v>0</v>
      </c>
      <c r="Q6029">
        <v>0</v>
      </c>
      <c r="R6029" t="s">
        <v>40443</v>
      </c>
      <c r="S6029" t="s">
        <v>40644</v>
      </c>
      <c r="T6029" t="s">
        <v>42318</v>
      </c>
      <c r="U6029" t="s">
        <v>47745</v>
      </c>
      <c r="V6029" t="s">
        <v>54392</v>
      </c>
      <c r="W6029" t="s">
        <v>38910</v>
      </c>
      <c r="X6029" t="s">
        <v>40444</v>
      </c>
    </row>
    <row r="6030" spans="1:24">
      <c r="A6030">
        <f>HYPERLINK("https://www.philgeps.gov.ph/GEPSNONPILOT/Tender/SplashBidNoticeAbstractUI.aspx?menuIndex=3&amp;refID=7041633&amp;Result=3","7041633")</f>
        <v>0</v>
      </c>
      <c r="B6030" t="s">
        <v>152</v>
      </c>
      <c r="C6030" t="s">
        <v>8812</v>
      </c>
      <c r="D6030" t="s">
        <v>16210</v>
      </c>
      <c r="E6030" t="s">
        <v>21611</v>
      </c>
      <c r="F6030" t="s">
        <v>28198</v>
      </c>
      <c r="G6030" t="s">
        <v>28205</v>
      </c>
      <c r="H6030" t="s">
        <v>28214</v>
      </c>
      <c r="I6030" t="s">
        <v>3797</v>
      </c>
      <c r="J6030" t="s">
        <v>32156</v>
      </c>
      <c r="K6030" t="s">
        <v>36697</v>
      </c>
      <c r="M6030" t="s">
        <v>39115</v>
      </c>
      <c r="N6030" t="s">
        <v>40436</v>
      </c>
      <c r="O6030" t="s">
        <v>40437</v>
      </c>
      <c r="P6030">
        <v>0</v>
      </c>
      <c r="Q6030">
        <v>2</v>
      </c>
      <c r="R6030" t="s">
        <v>40443</v>
      </c>
      <c r="S6030" t="s">
        <v>40644</v>
      </c>
      <c r="T6030" t="s">
        <v>42143</v>
      </c>
      <c r="U6030" t="s">
        <v>47746</v>
      </c>
      <c r="W6030" t="s">
        <v>39115</v>
      </c>
      <c r="X6030" t="s">
        <v>40444</v>
      </c>
    </row>
    <row r="6031" spans="1:24">
      <c r="A6031">
        <f>HYPERLINK("https://www.philgeps.gov.ph/GEPSNONPILOT/Tender/SplashBidNoticeAbstractUI.aspx?menuIndex=3&amp;refID=7041635&amp;Result=3","7041635")</f>
        <v>0</v>
      </c>
      <c r="B6031" t="s">
        <v>1979</v>
      </c>
      <c r="C6031" t="s">
        <v>8813</v>
      </c>
      <c r="D6031" t="s">
        <v>16223</v>
      </c>
      <c r="E6031" t="s">
        <v>16473</v>
      </c>
      <c r="F6031" t="s">
        <v>28198</v>
      </c>
      <c r="G6031" t="s">
        <v>28205</v>
      </c>
      <c r="H6031" t="s">
        <v>28215</v>
      </c>
      <c r="I6031" t="s">
        <v>28239</v>
      </c>
      <c r="J6031" t="s">
        <v>32157</v>
      </c>
      <c r="K6031" t="s">
        <v>36687</v>
      </c>
      <c r="M6031" t="s">
        <v>39116</v>
      </c>
      <c r="N6031" t="s">
        <v>40436</v>
      </c>
      <c r="O6031" t="s">
        <v>40437</v>
      </c>
      <c r="P6031">
        <v>0</v>
      </c>
      <c r="Q6031">
        <v>5</v>
      </c>
      <c r="R6031" t="s">
        <v>40443</v>
      </c>
      <c r="S6031" t="s">
        <v>40644</v>
      </c>
      <c r="T6031" t="s">
        <v>42183</v>
      </c>
      <c r="U6031" t="s">
        <v>47747</v>
      </c>
      <c r="V6031" t="s">
        <v>54393</v>
      </c>
      <c r="W6031" t="s">
        <v>39116</v>
      </c>
      <c r="X6031" t="s">
        <v>40444</v>
      </c>
    </row>
    <row r="6032" spans="1:24">
      <c r="A6032">
        <f>HYPERLINK("https://www.philgeps.gov.ph/GEPSNONPILOT/Tender/SplashBidNoticeAbstractUI.aspx?menuIndex=3&amp;refID=7041617&amp;Result=3","7041617")</f>
        <v>0</v>
      </c>
      <c r="B6032" t="s">
        <v>351</v>
      </c>
      <c r="C6032" t="s">
        <v>8814</v>
      </c>
      <c r="D6032" t="s">
        <v>16258</v>
      </c>
      <c r="E6032" t="s">
        <v>21612</v>
      </c>
      <c r="F6032" t="s">
        <v>28198</v>
      </c>
      <c r="G6032" t="s">
        <v>28205</v>
      </c>
      <c r="H6032" t="s">
        <v>28215</v>
      </c>
      <c r="I6032" t="s">
        <v>4168</v>
      </c>
      <c r="J6032" t="s">
        <v>32158</v>
      </c>
      <c r="K6032" t="s">
        <v>36706</v>
      </c>
      <c r="M6032" t="s">
        <v>37330</v>
      </c>
      <c r="N6032" t="s">
        <v>40436</v>
      </c>
      <c r="O6032" t="s">
        <v>40437</v>
      </c>
      <c r="P6032">
        <v>0</v>
      </c>
      <c r="Q6032">
        <v>0</v>
      </c>
      <c r="R6032" t="s">
        <v>40443</v>
      </c>
      <c r="S6032" t="s">
        <v>40644</v>
      </c>
      <c r="T6032" t="s">
        <v>42136</v>
      </c>
      <c r="U6032" t="s">
        <v>47748</v>
      </c>
      <c r="W6032" t="s">
        <v>37330</v>
      </c>
      <c r="X6032" t="s">
        <v>40444</v>
      </c>
    </row>
    <row r="6033" spans="1:24">
      <c r="A6033">
        <f>HYPERLINK("https://www.philgeps.gov.ph/GEPSNONPILOT/Tender/SplashBidNoticeAbstractUI.aspx?menuIndex=3&amp;refID=7041632&amp;Result=3","7041632")</f>
        <v>0</v>
      </c>
      <c r="B6033" t="s">
        <v>900</v>
      </c>
      <c r="C6033" t="s">
        <v>8815</v>
      </c>
      <c r="D6033" t="s">
        <v>16223</v>
      </c>
      <c r="E6033" t="s">
        <v>21613</v>
      </c>
      <c r="F6033" t="s">
        <v>28198</v>
      </c>
      <c r="G6033" t="s">
        <v>28205</v>
      </c>
      <c r="H6033" t="s">
        <v>28215</v>
      </c>
      <c r="I6033" t="s">
        <v>28253</v>
      </c>
      <c r="J6033" t="s">
        <v>32159</v>
      </c>
      <c r="K6033" t="s">
        <v>36701</v>
      </c>
      <c r="M6033" t="s">
        <v>37918</v>
      </c>
      <c r="N6033" t="s">
        <v>40436</v>
      </c>
      <c r="O6033" t="s">
        <v>40437</v>
      </c>
      <c r="P6033">
        <v>0</v>
      </c>
      <c r="Q6033">
        <v>3</v>
      </c>
      <c r="R6033" t="s">
        <v>40443</v>
      </c>
      <c r="S6033" t="s">
        <v>40644</v>
      </c>
      <c r="T6033" t="s">
        <v>42439</v>
      </c>
      <c r="U6033" t="s">
        <v>47749</v>
      </c>
      <c r="V6033" t="s">
        <v>54394</v>
      </c>
      <c r="W6033" t="s">
        <v>37918</v>
      </c>
      <c r="X6033" t="s">
        <v>40444</v>
      </c>
    </row>
    <row r="6034" spans="1:24">
      <c r="A6034">
        <f>HYPERLINK("https://www.philgeps.gov.ph/GEPSNONPILOT/Tender/SplashBidNoticeAbstractUI.aspx?menuIndex=3&amp;refID=7041641&amp;Result=3","7041641")</f>
        <v>0</v>
      </c>
      <c r="B6034" t="s">
        <v>605</v>
      </c>
      <c r="C6034" t="s">
        <v>8816</v>
      </c>
      <c r="D6034" t="s">
        <v>16220</v>
      </c>
      <c r="E6034" t="s">
        <v>21614</v>
      </c>
      <c r="F6034" t="s">
        <v>28200</v>
      </c>
      <c r="G6034" t="s">
        <v>28207</v>
      </c>
      <c r="H6034" t="s">
        <v>28217</v>
      </c>
      <c r="I6034" t="s">
        <v>28247</v>
      </c>
      <c r="J6034" t="s">
        <v>32160</v>
      </c>
      <c r="K6034" t="s">
        <v>36688</v>
      </c>
      <c r="M6034" t="s">
        <v>37596</v>
      </c>
      <c r="N6034" t="s">
        <v>40436</v>
      </c>
      <c r="O6034" t="s">
        <v>40437</v>
      </c>
      <c r="P6034">
        <v>0</v>
      </c>
      <c r="Q6034">
        <v>6</v>
      </c>
      <c r="R6034" t="s">
        <v>40443</v>
      </c>
      <c r="S6034" t="s">
        <v>40644</v>
      </c>
      <c r="T6034" t="s">
        <v>42131</v>
      </c>
      <c r="U6034" t="s">
        <v>47750</v>
      </c>
      <c r="W6034" t="s">
        <v>37596</v>
      </c>
      <c r="X6034" t="s">
        <v>40444</v>
      </c>
    </row>
    <row r="6035" spans="1:24">
      <c r="A6035">
        <f>HYPERLINK("https://www.philgeps.gov.ph/GEPSNONPILOT/Tender/SplashBidNoticeAbstractUI.aspx?menuIndex=3&amp;refID=7041591&amp;Result=3","7041591")</f>
        <v>0</v>
      </c>
      <c r="B6035" t="s">
        <v>1980</v>
      </c>
      <c r="C6035" t="s">
        <v>8817</v>
      </c>
      <c r="D6035" t="s">
        <v>16221</v>
      </c>
      <c r="E6035" t="s">
        <v>21615</v>
      </c>
      <c r="F6035" t="s">
        <v>28198</v>
      </c>
      <c r="G6035" t="s">
        <v>28208</v>
      </c>
      <c r="H6035" t="s">
        <v>28214</v>
      </c>
      <c r="I6035" t="s">
        <v>28242</v>
      </c>
      <c r="J6035" t="s">
        <v>30182</v>
      </c>
      <c r="K6035" t="s">
        <v>36692</v>
      </c>
      <c r="M6035" t="s">
        <v>39117</v>
      </c>
      <c r="N6035" t="s">
        <v>40436</v>
      </c>
      <c r="O6035" t="s">
        <v>40437</v>
      </c>
      <c r="P6035">
        <v>0</v>
      </c>
      <c r="Q6035">
        <v>0</v>
      </c>
      <c r="R6035" t="s">
        <v>40443</v>
      </c>
      <c r="S6035" t="s">
        <v>40644</v>
      </c>
      <c r="T6035" t="s">
        <v>42113</v>
      </c>
      <c r="U6035" t="s">
        <v>47751</v>
      </c>
      <c r="V6035" t="s">
        <v>54395</v>
      </c>
      <c r="W6035" t="s">
        <v>39117</v>
      </c>
      <c r="X6035" t="s">
        <v>40444</v>
      </c>
    </row>
    <row r="6036" spans="1:24">
      <c r="A6036">
        <f>HYPERLINK("https://www.philgeps.gov.ph/GEPSNONPILOT/Tender/SplashBidNoticeAbstractUI.aspx?menuIndex=3&amp;refID=7041649&amp;Result=3","7041649")</f>
        <v>0</v>
      </c>
      <c r="B6036" t="s">
        <v>1981</v>
      </c>
      <c r="C6036" t="s">
        <v>8818</v>
      </c>
      <c r="D6036" t="s">
        <v>16219</v>
      </c>
      <c r="E6036" t="s">
        <v>21616</v>
      </c>
      <c r="F6036" t="s">
        <v>28198</v>
      </c>
      <c r="G6036" t="s">
        <v>28205</v>
      </c>
      <c r="H6036" t="s">
        <v>28215</v>
      </c>
      <c r="I6036" t="s">
        <v>28234</v>
      </c>
      <c r="J6036" t="s">
        <v>32161</v>
      </c>
      <c r="K6036" t="s">
        <v>36701</v>
      </c>
      <c r="M6036" t="s">
        <v>39118</v>
      </c>
      <c r="N6036" t="s">
        <v>40436</v>
      </c>
      <c r="O6036" t="s">
        <v>40437</v>
      </c>
      <c r="P6036">
        <v>0</v>
      </c>
      <c r="Q6036">
        <v>0</v>
      </c>
      <c r="R6036" t="s">
        <v>40443</v>
      </c>
      <c r="S6036" t="s">
        <v>40644</v>
      </c>
      <c r="T6036" t="s">
        <v>42176</v>
      </c>
      <c r="U6036" t="s">
        <v>47752</v>
      </c>
      <c r="W6036" t="s">
        <v>39118</v>
      </c>
      <c r="X6036" t="s">
        <v>40444</v>
      </c>
    </row>
    <row r="6037" spans="1:24">
      <c r="A6037">
        <f>HYPERLINK("https://www.philgeps.gov.ph/GEPSNONPILOT/Tender/SplashBidNoticeAbstractUI.aspx?menuIndex=3&amp;refID=7041624&amp;Result=3","7041624")</f>
        <v>0</v>
      </c>
      <c r="B6037" t="s">
        <v>242</v>
      </c>
      <c r="C6037" t="s">
        <v>8819</v>
      </c>
      <c r="D6037" t="s">
        <v>16254</v>
      </c>
      <c r="E6037" t="s">
        <v>21617</v>
      </c>
      <c r="F6037" t="s">
        <v>28198</v>
      </c>
      <c r="G6037" t="s">
        <v>28207</v>
      </c>
      <c r="H6037" t="s">
        <v>28215</v>
      </c>
      <c r="I6037" t="s">
        <v>28228</v>
      </c>
      <c r="J6037" t="s">
        <v>28432</v>
      </c>
      <c r="K6037" t="s">
        <v>36707</v>
      </c>
      <c r="M6037" t="s">
        <v>37218</v>
      </c>
      <c r="N6037" t="s">
        <v>40436</v>
      </c>
      <c r="O6037" t="s">
        <v>40437</v>
      </c>
      <c r="P6037">
        <v>0</v>
      </c>
      <c r="Q6037">
        <v>0</v>
      </c>
      <c r="R6037" t="s">
        <v>40443</v>
      </c>
      <c r="S6037" t="s">
        <v>40644</v>
      </c>
      <c r="T6037" t="s">
        <v>42277</v>
      </c>
      <c r="U6037" t="s">
        <v>47753</v>
      </c>
      <c r="W6037" t="s">
        <v>37218</v>
      </c>
      <c r="X6037" t="s">
        <v>40444</v>
      </c>
    </row>
    <row r="6038" spans="1:24">
      <c r="A6038">
        <f>HYPERLINK("https://www.philgeps.gov.ph/GEPSNONPILOT/Tender/SplashBidNoticeAbstractUI.aspx?menuIndex=3&amp;refID=7041646&amp;Result=3","7041646")</f>
        <v>0</v>
      </c>
      <c r="B6038" t="s">
        <v>1977</v>
      </c>
      <c r="C6038" t="s">
        <v>8820</v>
      </c>
      <c r="D6038" t="s">
        <v>16228</v>
      </c>
      <c r="E6038" t="s">
        <v>21618</v>
      </c>
      <c r="F6038" t="s">
        <v>28198</v>
      </c>
      <c r="G6038" t="s">
        <v>28206</v>
      </c>
      <c r="H6038" t="s">
        <v>28215</v>
      </c>
      <c r="I6038" t="s">
        <v>5656</v>
      </c>
      <c r="J6038" t="s">
        <v>30474</v>
      </c>
      <c r="K6038" t="s">
        <v>36723</v>
      </c>
      <c r="M6038" t="s">
        <v>39113</v>
      </c>
      <c r="N6038" t="s">
        <v>40436</v>
      </c>
      <c r="O6038" t="s">
        <v>40437</v>
      </c>
      <c r="P6038">
        <v>0</v>
      </c>
      <c r="Q6038">
        <v>2</v>
      </c>
      <c r="R6038" t="s">
        <v>40443</v>
      </c>
      <c r="S6038" t="s">
        <v>40644</v>
      </c>
      <c r="T6038" t="s">
        <v>42205</v>
      </c>
      <c r="U6038" t="s">
        <v>47741</v>
      </c>
      <c r="W6038" t="s">
        <v>39113</v>
      </c>
      <c r="X6038" t="s">
        <v>40444</v>
      </c>
    </row>
    <row r="6039" spans="1:24">
      <c r="A6039">
        <f>HYPERLINK("https://www.philgeps.gov.ph/GEPSNONPILOT/Tender/SplashBidNoticeAbstractUI.aspx?menuIndex=3&amp;refID=7041645&amp;Result=3","7041645")</f>
        <v>0</v>
      </c>
      <c r="B6039" t="s">
        <v>1034</v>
      </c>
      <c r="C6039" t="s">
        <v>8821</v>
      </c>
      <c r="D6039" t="s">
        <v>16213</v>
      </c>
      <c r="E6039" t="s">
        <v>21619</v>
      </c>
      <c r="F6039" t="s">
        <v>28198</v>
      </c>
      <c r="G6039" t="s">
        <v>28205</v>
      </c>
      <c r="H6039" t="s">
        <v>28214</v>
      </c>
      <c r="I6039" t="s">
        <v>3797</v>
      </c>
      <c r="J6039" t="s">
        <v>32162</v>
      </c>
      <c r="K6039" t="s">
        <v>36715</v>
      </c>
      <c r="M6039" t="s">
        <v>38066</v>
      </c>
      <c r="N6039" t="s">
        <v>40436</v>
      </c>
      <c r="O6039" t="s">
        <v>40437</v>
      </c>
      <c r="P6039">
        <v>0</v>
      </c>
      <c r="Q6039">
        <v>1</v>
      </c>
      <c r="R6039" t="s">
        <v>40443</v>
      </c>
      <c r="S6039" t="s">
        <v>40644</v>
      </c>
      <c r="T6039" t="s">
        <v>42129</v>
      </c>
      <c r="U6039" t="s">
        <v>47754</v>
      </c>
      <c r="W6039" t="s">
        <v>38066</v>
      </c>
      <c r="X6039" t="s">
        <v>40444</v>
      </c>
    </row>
    <row r="6040" spans="1:24">
      <c r="A6040">
        <f>HYPERLINK("https://www.philgeps.gov.ph/GEPSNONPILOT/Tender/SplashBidNoticeAbstractUI.aspx?menuIndex=3&amp;refID=7041594&amp;Result=3","7041594")</f>
        <v>0</v>
      </c>
      <c r="B6040" t="s">
        <v>1982</v>
      </c>
      <c r="C6040" t="s">
        <v>8822</v>
      </c>
      <c r="D6040" t="s">
        <v>16252</v>
      </c>
      <c r="E6040" t="s">
        <v>19174</v>
      </c>
      <c r="F6040" t="s">
        <v>28198</v>
      </c>
      <c r="G6040" t="s">
        <v>28212</v>
      </c>
      <c r="H6040" t="s">
        <v>28215</v>
      </c>
      <c r="I6040" t="s">
        <v>4505</v>
      </c>
      <c r="J6040" t="s">
        <v>28352</v>
      </c>
      <c r="K6040" t="s">
        <v>36688</v>
      </c>
      <c r="M6040" t="s">
        <v>39119</v>
      </c>
      <c r="N6040" t="s">
        <v>40436</v>
      </c>
      <c r="O6040" t="s">
        <v>40437</v>
      </c>
      <c r="P6040">
        <v>0</v>
      </c>
      <c r="Q6040">
        <v>0</v>
      </c>
      <c r="R6040" t="s">
        <v>40443</v>
      </c>
      <c r="S6040" t="s">
        <v>40644</v>
      </c>
      <c r="T6040" t="s">
        <v>42245</v>
      </c>
      <c r="U6040" t="s">
        <v>47755</v>
      </c>
      <c r="W6040" t="s">
        <v>39119</v>
      </c>
      <c r="X6040" t="s">
        <v>40444</v>
      </c>
    </row>
    <row r="6041" spans="1:24">
      <c r="A6041">
        <f>HYPERLINK("https://www.philgeps.gov.ph/GEPSNONPILOT/Tender/SplashBidNoticeAbstractUI.aspx?menuIndex=3&amp;refID=7041679&amp;Result=3","7041679")</f>
        <v>0</v>
      </c>
      <c r="B6041" t="s">
        <v>1983</v>
      </c>
      <c r="C6041" t="s">
        <v>8823</v>
      </c>
      <c r="D6041" t="s">
        <v>16235</v>
      </c>
      <c r="E6041" t="s">
        <v>21620</v>
      </c>
      <c r="F6041" t="s">
        <v>28198</v>
      </c>
      <c r="G6041" t="s">
        <v>28205</v>
      </c>
      <c r="H6041" t="s">
        <v>28215</v>
      </c>
      <c r="I6041" t="s">
        <v>5100</v>
      </c>
      <c r="J6041" t="s">
        <v>32163</v>
      </c>
      <c r="K6041" t="s">
        <v>36689</v>
      </c>
      <c r="M6041" t="s">
        <v>39120</v>
      </c>
      <c r="N6041" t="s">
        <v>40436</v>
      </c>
      <c r="O6041" t="s">
        <v>40437</v>
      </c>
      <c r="P6041">
        <v>0</v>
      </c>
      <c r="Q6041">
        <v>0</v>
      </c>
      <c r="R6041" t="s">
        <v>40443</v>
      </c>
      <c r="S6041" t="s">
        <v>40644</v>
      </c>
      <c r="T6041" t="s">
        <v>42190</v>
      </c>
      <c r="U6041" t="s">
        <v>47756</v>
      </c>
      <c r="W6041" t="s">
        <v>39120</v>
      </c>
      <c r="X6041" t="s">
        <v>40444</v>
      </c>
    </row>
    <row r="6042" spans="1:24">
      <c r="A6042">
        <f>HYPERLINK("https://www.philgeps.gov.ph/GEPSNONPILOT/Tender/SplashBidNoticeAbstractUI.aspx?menuIndex=3&amp;refID=7041596&amp;Result=3","7041596")</f>
        <v>0</v>
      </c>
      <c r="B6042" t="s">
        <v>1984</v>
      </c>
      <c r="C6042" t="s">
        <v>8824</v>
      </c>
      <c r="D6042" t="s">
        <v>16191</v>
      </c>
      <c r="E6042" t="s">
        <v>21621</v>
      </c>
      <c r="F6042" t="s">
        <v>28198</v>
      </c>
      <c r="G6042" t="s">
        <v>28205</v>
      </c>
      <c r="H6042" t="s">
        <v>28214</v>
      </c>
      <c r="I6042" t="s">
        <v>3797</v>
      </c>
      <c r="J6042" t="s">
        <v>32164</v>
      </c>
      <c r="K6042" t="s">
        <v>36707</v>
      </c>
      <c r="M6042" t="s">
        <v>39121</v>
      </c>
      <c r="N6042" t="s">
        <v>40436</v>
      </c>
      <c r="O6042" t="s">
        <v>40437</v>
      </c>
      <c r="P6042">
        <v>0</v>
      </c>
      <c r="Q6042">
        <v>0</v>
      </c>
      <c r="R6042" t="s">
        <v>40443</v>
      </c>
      <c r="S6042" t="s">
        <v>40644</v>
      </c>
      <c r="T6042" t="s">
        <v>42131</v>
      </c>
      <c r="U6042" t="s">
        <v>47757</v>
      </c>
      <c r="W6042" t="s">
        <v>39121</v>
      </c>
      <c r="X6042" t="s">
        <v>40444</v>
      </c>
    </row>
    <row r="6043" spans="1:24">
      <c r="A6043">
        <f>HYPERLINK("https://www.philgeps.gov.ph/GEPSNONPILOT/Tender/SplashBidNoticeAbstractUI.aspx?menuIndex=3&amp;refID=7041655&amp;Result=3","7041655")</f>
        <v>0</v>
      </c>
      <c r="B6043" t="s">
        <v>1985</v>
      </c>
      <c r="C6043" t="s">
        <v>8825</v>
      </c>
      <c r="D6043" t="s">
        <v>16210</v>
      </c>
      <c r="E6043" t="s">
        <v>21622</v>
      </c>
      <c r="F6043" t="s">
        <v>28198</v>
      </c>
      <c r="G6043" t="s">
        <v>28207</v>
      </c>
      <c r="H6043" t="s">
        <v>28215</v>
      </c>
      <c r="I6043" t="s">
        <v>28238</v>
      </c>
      <c r="J6043" t="s">
        <v>32165</v>
      </c>
      <c r="K6043" t="s">
        <v>36689</v>
      </c>
      <c r="M6043" t="s">
        <v>39122</v>
      </c>
      <c r="N6043" t="s">
        <v>40436</v>
      </c>
      <c r="O6043" t="s">
        <v>40437</v>
      </c>
      <c r="P6043">
        <v>0</v>
      </c>
      <c r="Q6043">
        <v>5</v>
      </c>
      <c r="R6043" t="s">
        <v>40443</v>
      </c>
      <c r="S6043" t="s">
        <v>40644</v>
      </c>
      <c r="T6043" t="s">
        <v>42169</v>
      </c>
      <c r="U6043" t="s">
        <v>47758</v>
      </c>
      <c r="W6043" t="s">
        <v>39122</v>
      </c>
      <c r="X6043" t="s">
        <v>40444</v>
      </c>
    </row>
    <row r="6044" spans="1:24">
      <c r="A6044">
        <f>HYPERLINK("https://www.philgeps.gov.ph/GEPSNONPILOT/Tender/SplashBidNoticeAbstractUI.aspx?menuIndex=3&amp;refID=7041677&amp;Result=3","7041677")</f>
        <v>0</v>
      </c>
      <c r="B6044" t="s">
        <v>1895</v>
      </c>
      <c r="C6044" t="s">
        <v>8826</v>
      </c>
      <c r="D6044" t="s">
        <v>16193</v>
      </c>
      <c r="E6044" t="s">
        <v>21623</v>
      </c>
      <c r="F6044" t="s">
        <v>28198</v>
      </c>
      <c r="G6044" t="s">
        <v>28205</v>
      </c>
      <c r="H6044" t="s">
        <v>28214</v>
      </c>
      <c r="I6044" t="s">
        <v>3797</v>
      </c>
      <c r="J6044" t="s">
        <v>29384</v>
      </c>
      <c r="K6044" t="s">
        <v>36706</v>
      </c>
      <c r="M6044" t="s">
        <v>39027</v>
      </c>
      <c r="N6044" t="s">
        <v>40436</v>
      </c>
      <c r="O6044" t="s">
        <v>40437</v>
      </c>
      <c r="P6044">
        <v>0</v>
      </c>
      <c r="Q6044">
        <v>0</v>
      </c>
      <c r="R6044" t="s">
        <v>40443</v>
      </c>
      <c r="S6044" t="s">
        <v>40644</v>
      </c>
      <c r="T6044" t="s">
        <v>42218</v>
      </c>
      <c r="U6044" t="s">
        <v>47759</v>
      </c>
      <c r="W6044" t="s">
        <v>39027</v>
      </c>
      <c r="X6044" t="s">
        <v>40444</v>
      </c>
    </row>
    <row r="6045" spans="1:24">
      <c r="A6045">
        <f>HYPERLINK("https://www.philgeps.gov.ph/GEPSNONPILOT/Tender/SplashBidNoticeAbstractUI.aspx?menuIndex=3&amp;refID=7041707&amp;Result=3","7041707")</f>
        <v>0</v>
      </c>
      <c r="B6045" t="s">
        <v>1892</v>
      </c>
      <c r="C6045" t="s">
        <v>8827</v>
      </c>
      <c r="D6045" t="s">
        <v>16279</v>
      </c>
      <c r="E6045" t="s">
        <v>21624</v>
      </c>
      <c r="F6045" t="s">
        <v>28198</v>
      </c>
      <c r="G6045" t="s">
        <v>28205</v>
      </c>
      <c r="H6045" t="s">
        <v>28214</v>
      </c>
      <c r="I6045" t="s">
        <v>3797</v>
      </c>
      <c r="J6045" t="s">
        <v>28415</v>
      </c>
      <c r="K6045" t="s">
        <v>36694</v>
      </c>
      <c r="M6045" t="s">
        <v>39024</v>
      </c>
      <c r="N6045" t="s">
        <v>40436</v>
      </c>
      <c r="O6045" t="s">
        <v>40437</v>
      </c>
      <c r="P6045">
        <v>0</v>
      </c>
      <c r="Q6045">
        <v>0</v>
      </c>
      <c r="R6045" t="s">
        <v>40443</v>
      </c>
      <c r="S6045" t="s">
        <v>40644</v>
      </c>
      <c r="T6045" t="s">
        <v>42119</v>
      </c>
      <c r="U6045" t="s">
        <v>47513</v>
      </c>
      <c r="V6045" t="s">
        <v>54396</v>
      </c>
      <c r="W6045" t="s">
        <v>39024</v>
      </c>
      <c r="X6045" t="s">
        <v>40444</v>
      </c>
    </row>
    <row r="6046" spans="1:24">
      <c r="A6046">
        <f>HYPERLINK("https://www.philgeps.gov.ph/GEPSNONPILOT/Tender/SplashBidNoticeAbstractUI.aspx?menuIndex=3&amp;refID=7041651&amp;Result=3","7041651")</f>
        <v>0</v>
      </c>
      <c r="B6046" t="s">
        <v>1986</v>
      </c>
      <c r="C6046" t="s">
        <v>8828</v>
      </c>
      <c r="D6046" t="s">
        <v>16251</v>
      </c>
      <c r="E6046" t="s">
        <v>21625</v>
      </c>
      <c r="F6046" t="s">
        <v>28198</v>
      </c>
      <c r="G6046" t="s">
        <v>28205</v>
      </c>
      <c r="H6046" t="s">
        <v>28215</v>
      </c>
      <c r="I6046" t="s">
        <v>28300</v>
      </c>
      <c r="J6046" t="s">
        <v>28468</v>
      </c>
      <c r="K6046" t="s">
        <v>36692</v>
      </c>
      <c r="L6046" t="s">
        <v>1986</v>
      </c>
      <c r="M6046" t="s">
        <v>39123</v>
      </c>
      <c r="N6046" t="s">
        <v>40436</v>
      </c>
      <c r="O6046" t="s">
        <v>40437</v>
      </c>
      <c r="P6046">
        <v>0</v>
      </c>
      <c r="Q6046">
        <v>1</v>
      </c>
      <c r="R6046" t="s">
        <v>40443</v>
      </c>
      <c r="S6046" t="s">
        <v>40644</v>
      </c>
      <c r="T6046" t="s">
        <v>42106</v>
      </c>
      <c r="U6046" t="s">
        <v>47760</v>
      </c>
      <c r="W6046" t="s">
        <v>39123</v>
      </c>
      <c r="X6046" t="s">
        <v>40444</v>
      </c>
    </row>
    <row r="6047" spans="1:24">
      <c r="A6047">
        <f>HYPERLINK("https://www.philgeps.gov.ph/GEPSNONPILOT/Tender/SplashBidNoticeAbstractUI.aspx?menuIndex=3&amp;refID=7041674&amp;Result=3","7041674")</f>
        <v>0</v>
      </c>
      <c r="B6047" t="s">
        <v>1987</v>
      </c>
      <c r="C6047" t="s">
        <v>8829</v>
      </c>
      <c r="D6047" t="s">
        <v>16196</v>
      </c>
      <c r="E6047" t="s">
        <v>21626</v>
      </c>
      <c r="F6047" t="s">
        <v>28198</v>
      </c>
      <c r="G6047" t="s">
        <v>28207</v>
      </c>
      <c r="H6047" t="s">
        <v>28215</v>
      </c>
      <c r="I6047" t="s">
        <v>5082</v>
      </c>
      <c r="J6047" t="s">
        <v>29320</v>
      </c>
      <c r="K6047" t="s">
        <v>36707</v>
      </c>
      <c r="L6047" t="s">
        <v>1987</v>
      </c>
      <c r="M6047" t="s">
        <v>39124</v>
      </c>
      <c r="N6047" t="s">
        <v>40436</v>
      </c>
      <c r="O6047" t="s">
        <v>40437</v>
      </c>
      <c r="P6047">
        <v>0</v>
      </c>
      <c r="Q6047">
        <v>0</v>
      </c>
      <c r="R6047" t="s">
        <v>40443</v>
      </c>
      <c r="S6047" t="s">
        <v>40644</v>
      </c>
      <c r="T6047" t="s">
        <v>42297</v>
      </c>
      <c r="U6047" t="s">
        <v>47761</v>
      </c>
      <c r="W6047" t="s">
        <v>39124</v>
      </c>
      <c r="X6047" t="s">
        <v>40444</v>
      </c>
    </row>
    <row r="6048" spans="1:24">
      <c r="A6048">
        <f>HYPERLINK("https://www.philgeps.gov.ph/GEPSNONPILOT/Tender/SplashBidNoticeAbstractUI.aspx?menuIndex=3&amp;refID=7041705&amp;Result=3","7041705")</f>
        <v>0</v>
      </c>
      <c r="B6048" t="s">
        <v>1983</v>
      </c>
      <c r="C6048" t="s">
        <v>8830</v>
      </c>
      <c r="D6048" t="s">
        <v>16235</v>
      </c>
      <c r="E6048" t="s">
        <v>21627</v>
      </c>
      <c r="F6048" t="s">
        <v>28198</v>
      </c>
      <c r="G6048" t="s">
        <v>28205</v>
      </c>
      <c r="H6048" t="s">
        <v>28215</v>
      </c>
      <c r="I6048" t="s">
        <v>5100</v>
      </c>
      <c r="J6048" t="s">
        <v>32166</v>
      </c>
      <c r="K6048" t="s">
        <v>36689</v>
      </c>
      <c r="M6048" t="s">
        <v>39120</v>
      </c>
      <c r="N6048" t="s">
        <v>40436</v>
      </c>
      <c r="O6048" t="s">
        <v>40437</v>
      </c>
      <c r="P6048">
        <v>0</v>
      </c>
      <c r="Q6048">
        <v>0</v>
      </c>
      <c r="R6048" t="s">
        <v>40443</v>
      </c>
      <c r="S6048" t="s">
        <v>40644</v>
      </c>
      <c r="T6048" t="s">
        <v>42190</v>
      </c>
      <c r="U6048" t="s">
        <v>47756</v>
      </c>
      <c r="W6048" t="s">
        <v>39120</v>
      </c>
      <c r="X6048" t="s">
        <v>40444</v>
      </c>
    </row>
    <row r="6049" spans="1:24">
      <c r="A6049">
        <f>HYPERLINK("https://www.philgeps.gov.ph/GEPSNONPILOT/Tender/SplashBidNoticeAbstractUI.aspx?menuIndex=3&amp;refID=7041698&amp;Result=3","7041698")</f>
        <v>0</v>
      </c>
      <c r="B6049" t="s">
        <v>225</v>
      </c>
      <c r="C6049" t="s">
        <v>8831</v>
      </c>
      <c r="E6049" t="s">
        <v>21628</v>
      </c>
      <c r="F6049" t="s">
        <v>28198</v>
      </c>
      <c r="G6049" t="s">
        <v>28207</v>
      </c>
      <c r="H6049" t="s">
        <v>28215</v>
      </c>
      <c r="I6049" t="s">
        <v>8870</v>
      </c>
      <c r="J6049" t="s">
        <v>32167</v>
      </c>
      <c r="K6049" t="s">
        <v>36689</v>
      </c>
      <c r="M6049" t="s">
        <v>37201</v>
      </c>
      <c r="N6049" t="s">
        <v>40436</v>
      </c>
      <c r="O6049" t="s">
        <v>40437</v>
      </c>
      <c r="P6049">
        <v>0</v>
      </c>
      <c r="Q6049">
        <v>2</v>
      </c>
      <c r="R6049" t="s">
        <v>40443</v>
      </c>
      <c r="S6049" t="s">
        <v>40644</v>
      </c>
      <c r="T6049" t="s">
        <v>42184</v>
      </c>
      <c r="U6049" t="s">
        <v>47762</v>
      </c>
      <c r="W6049" t="s">
        <v>37201</v>
      </c>
      <c r="X6049" t="s">
        <v>40444</v>
      </c>
    </row>
    <row r="6050" spans="1:24">
      <c r="A6050">
        <f>HYPERLINK("https://www.philgeps.gov.ph/GEPSNONPILOT/Tender/SplashBidNoticeAbstractUI.aspx?menuIndex=3&amp;refID=7041629&amp;Result=3","7041629")</f>
        <v>0</v>
      </c>
      <c r="B6050" t="s">
        <v>1802</v>
      </c>
      <c r="C6050" t="s">
        <v>8832</v>
      </c>
      <c r="D6050" t="s">
        <v>16238</v>
      </c>
      <c r="E6050" t="s">
        <v>21629</v>
      </c>
      <c r="F6050" t="s">
        <v>28198</v>
      </c>
      <c r="G6050" t="s">
        <v>28207</v>
      </c>
      <c r="H6050" t="s">
        <v>28215</v>
      </c>
      <c r="I6050" t="s">
        <v>28247</v>
      </c>
      <c r="J6050" t="s">
        <v>32168</v>
      </c>
      <c r="K6050" t="s">
        <v>36701</v>
      </c>
      <c r="M6050" t="s">
        <v>38920</v>
      </c>
      <c r="N6050" t="s">
        <v>40436</v>
      </c>
      <c r="O6050" t="s">
        <v>40437</v>
      </c>
      <c r="P6050">
        <v>0</v>
      </c>
      <c r="Q6050">
        <v>4</v>
      </c>
      <c r="R6050" t="s">
        <v>40443</v>
      </c>
      <c r="S6050" t="s">
        <v>40644</v>
      </c>
      <c r="T6050" t="s">
        <v>42277</v>
      </c>
      <c r="U6050" t="s">
        <v>47763</v>
      </c>
      <c r="W6050" t="s">
        <v>38920</v>
      </c>
      <c r="X6050" t="s">
        <v>40444</v>
      </c>
    </row>
    <row r="6051" spans="1:24">
      <c r="A6051">
        <f>HYPERLINK("https://www.philgeps.gov.ph/GEPSNONPILOT/Tender/SplashBidNoticeAbstractUI.aspx?menuIndex=3&amp;refID=7041687&amp;Result=3","7041687")</f>
        <v>0</v>
      </c>
      <c r="B6051" t="s">
        <v>757</v>
      </c>
      <c r="C6051" t="s">
        <v>8833</v>
      </c>
      <c r="E6051" t="s">
        <v>21630</v>
      </c>
      <c r="F6051" t="s">
        <v>28198</v>
      </c>
      <c r="G6051" t="s">
        <v>28205</v>
      </c>
      <c r="H6051" t="s">
        <v>28215</v>
      </c>
      <c r="I6051" t="s">
        <v>3774</v>
      </c>
      <c r="J6051" t="s">
        <v>32169</v>
      </c>
      <c r="K6051" t="s">
        <v>36689</v>
      </c>
      <c r="M6051" t="s">
        <v>37760</v>
      </c>
      <c r="N6051" t="s">
        <v>40436</v>
      </c>
      <c r="O6051" t="s">
        <v>40437</v>
      </c>
      <c r="P6051">
        <v>0</v>
      </c>
      <c r="Q6051">
        <v>14</v>
      </c>
      <c r="R6051" t="s">
        <v>40443</v>
      </c>
      <c r="S6051" t="s">
        <v>40644</v>
      </c>
      <c r="T6051" t="s">
        <v>42181</v>
      </c>
      <c r="U6051" t="s">
        <v>47764</v>
      </c>
      <c r="W6051" t="s">
        <v>55460</v>
      </c>
      <c r="X6051" t="s">
        <v>40444</v>
      </c>
    </row>
    <row r="6052" spans="1:24">
      <c r="A6052">
        <f>HYPERLINK("https://www.philgeps.gov.ph/GEPSNONPILOT/Tender/SplashBidNoticeAbstractUI.aspx?menuIndex=3&amp;refID=7041736&amp;Result=3","7041736")</f>
        <v>0</v>
      </c>
      <c r="B6052" t="s">
        <v>780</v>
      </c>
      <c r="C6052" t="s">
        <v>8834</v>
      </c>
      <c r="D6052" t="s">
        <v>16197</v>
      </c>
      <c r="E6052" t="s">
        <v>21631</v>
      </c>
      <c r="F6052" t="s">
        <v>28198</v>
      </c>
      <c r="G6052" t="s">
        <v>28205</v>
      </c>
      <c r="H6052" t="s">
        <v>28214</v>
      </c>
      <c r="I6052" t="s">
        <v>3797</v>
      </c>
      <c r="J6052" t="s">
        <v>31252</v>
      </c>
      <c r="K6052" t="s">
        <v>36764</v>
      </c>
      <c r="M6052" t="s">
        <v>37784</v>
      </c>
      <c r="N6052" t="s">
        <v>40436</v>
      </c>
      <c r="O6052" t="s">
        <v>40437</v>
      </c>
      <c r="P6052">
        <v>0</v>
      </c>
      <c r="Q6052">
        <v>1</v>
      </c>
      <c r="R6052" t="s">
        <v>40443</v>
      </c>
      <c r="S6052" t="s">
        <v>40644</v>
      </c>
      <c r="T6052" t="s">
        <v>42168</v>
      </c>
      <c r="U6052" t="s">
        <v>47765</v>
      </c>
      <c r="W6052" t="s">
        <v>37784</v>
      </c>
      <c r="X6052" t="s">
        <v>40444</v>
      </c>
    </row>
    <row r="6053" spans="1:24">
      <c r="A6053">
        <f>HYPERLINK("https://www.philgeps.gov.ph/GEPSNONPILOT/Tender/SplashBidNoticeAbstractUI.aspx?menuIndex=3&amp;refID=7041709&amp;Result=3","7041709")</f>
        <v>0</v>
      </c>
      <c r="B6053" t="s">
        <v>351</v>
      </c>
      <c r="C6053" t="s">
        <v>8835</v>
      </c>
      <c r="D6053" t="s">
        <v>16258</v>
      </c>
      <c r="E6053" t="s">
        <v>21632</v>
      </c>
      <c r="F6053" t="s">
        <v>28198</v>
      </c>
      <c r="G6053" t="s">
        <v>28205</v>
      </c>
      <c r="H6053" t="s">
        <v>28215</v>
      </c>
      <c r="I6053" t="s">
        <v>5082</v>
      </c>
      <c r="J6053" t="s">
        <v>29173</v>
      </c>
      <c r="K6053" t="s">
        <v>36706</v>
      </c>
      <c r="M6053" t="s">
        <v>37330</v>
      </c>
      <c r="N6053" t="s">
        <v>40436</v>
      </c>
      <c r="O6053" t="s">
        <v>40437</v>
      </c>
      <c r="P6053">
        <v>0</v>
      </c>
      <c r="Q6053">
        <v>0</v>
      </c>
      <c r="R6053" t="s">
        <v>40443</v>
      </c>
      <c r="S6053" t="s">
        <v>40644</v>
      </c>
      <c r="T6053" t="s">
        <v>42136</v>
      </c>
      <c r="U6053" t="s">
        <v>47766</v>
      </c>
      <c r="W6053" t="s">
        <v>37330</v>
      </c>
      <c r="X6053" t="s">
        <v>40444</v>
      </c>
    </row>
    <row r="6054" spans="1:24">
      <c r="A6054">
        <f>HYPERLINK("https://www.philgeps.gov.ph/GEPSNONPILOT/Tender/SplashBidNoticeAbstractUI.aspx?menuIndex=3&amp;refID=7041627&amp;Result=3","7041627")</f>
        <v>0</v>
      </c>
      <c r="B6054" t="s">
        <v>1988</v>
      </c>
      <c r="C6054" t="s">
        <v>8836</v>
      </c>
      <c r="E6054" t="s">
        <v>18615</v>
      </c>
      <c r="F6054" t="s">
        <v>28198</v>
      </c>
      <c r="G6054" t="s">
        <v>28205</v>
      </c>
      <c r="H6054" t="s">
        <v>28215</v>
      </c>
      <c r="I6054" t="s">
        <v>5100</v>
      </c>
      <c r="J6054" t="s">
        <v>32170</v>
      </c>
      <c r="K6054" t="s">
        <v>36706</v>
      </c>
      <c r="M6054" t="s">
        <v>39125</v>
      </c>
      <c r="N6054" t="s">
        <v>40436</v>
      </c>
      <c r="O6054" t="s">
        <v>40437</v>
      </c>
      <c r="P6054">
        <v>0</v>
      </c>
      <c r="Q6054">
        <v>3</v>
      </c>
      <c r="R6054" t="s">
        <v>40443</v>
      </c>
      <c r="S6054" t="s">
        <v>40644</v>
      </c>
      <c r="T6054" t="s">
        <v>42426</v>
      </c>
      <c r="U6054" t="s">
        <v>47767</v>
      </c>
      <c r="V6054" t="s">
        <v>54397</v>
      </c>
      <c r="W6054" t="s">
        <v>39125</v>
      </c>
      <c r="X6054" t="s">
        <v>40444</v>
      </c>
    </row>
    <row r="6055" spans="1:24">
      <c r="A6055">
        <f>HYPERLINK("https://www.philgeps.gov.ph/GEPSNONPILOT/Tender/SplashBidNoticeAbstractUI.aspx?menuIndex=3&amp;refID=7041713&amp;Result=3","7041713")</f>
        <v>0</v>
      </c>
      <c r="B6055" t="s">
        <v>1950</v>
      </c>
      <c r="C6055" t="s">
        <v>8808</v>
      </c>
      <c r="E6055" t="s">
        <v>21633</v>
      </c>
      <c r="F6055" t="s">
        <v>28198</v>
      </c>
      <c r="G6055" t="s">
        <v>28205</v>
      </c>
      <c r="H6055" t="s">
        <v>28216</v>
      </c>
      <c r="I6055" t="s">
        <v>28216</v>
      </c>
      <c r="J6055" t="s">
        <v>32171</v>
      </c>
      <c r="K6055" t="s">
        <v>36689</v>
      </c>
      <c r="M6055" t="s">
        <v>39084</v>
      </c>
      <c r="N6055" t="s">
        <v>40436</v>
      </c>
      <c r="O6055" t="s">
        <v>40437</v>
      </c>
      <c r="P6055">
        <v>0</v>
      </c>
      <c r="Q6055">
        <v>5</v>
      </c>
      <c r="R6055" t="s">
        <v>40443</v>
      </c>
      <c r="S6055" t="s">
        <v>40644</v>
      </c>
      <c r="T6055" t="s">
        <v>42195</v>
      </c>
      <c r="U6055" t="s">
        <v>47768</v>
      </c>
      <c r="W6055" t="s">
        <v>39084</v>
      </c>
      <c r="X6055" t="s">
        <v>40444</v>
      </c>
    </row>
    <row r="6056" spans="1:24">
      <c r="A6056">
        <f>HYPERLINK("https://www.philgeps.gov.ph/GEPSNONPILOT/Tender/SplashBidNoticeAbstractUI.aspx?menuIndex=3&amp;refID=7041683&amp;Result=3","7041683")</f>
        <v>0</v>
      </c>
      <c r="B6056" t="s">
        <v>1905</v>
      </c>
      <c r="C6056" t="s">
        <v>8837</v>
      </c>
      <c r="D6056" t="s">
        <v>16252</v>
      </c>
      <c r="E6056" t="s">
        <v>21634</v>
      </c>
      <c r="F6056" t="s">
        <v>28198</v>
      </c>
      <c r="G6056" t="s">
        <v>28205</v>
      </c>
      <c r="H6056" t="s">
        <v>28215</v>
      </c>
      <c r="I6056" t="s">
        <v>28220</v>
      </c>
      <c r="J6056" t="s">
        <v>29503</v>
      </c>
      <c r="K6056" t="s">
        <v>36701</v>
      </c>
      <c r="M6056" t="s">
        <v>39037</v>
      </c>
      <c r="N6056" t="s">
        <v>40436</v>
      </c>
      <c r="O6056" t="s">
        <v>40437</v>
      </c>
      <c r="P6056">
        <v>0</v>
      </c>
      <c r="Q6056">
        <v>8</v>
      </c>
      <c r="R6056" t="s">
        <v>40443</v>
      </c>
      <c r="S6056" t="s">
        <v>40644</v>
      </c>
      <c r="T6056" t="s">
        <v>42106</v>
      </c>
      <c r="U6056" t="s">
        <v>47769</v>
      </c>
      <c r="W6056" t="s">
        <v>55499</v>
      </c>
      <c r="X6056" t="s">
        <v>40444</v>
      </c>
    </row>
    <row r="6057" spans="1:24">
      <c r="A6057">
        <f>HYPERLINK("https://www.philgeps.gov.ph/GEPSNONPILOT/Tender/SplashBidNoticeAbstractUI.aspx?menuIndex=3&amp;refID=7041726&amp;Result=3","7041726")</f>
        <v>0</v>
      </c>
      <c r="B6057" t="s">
        <v>1908</v>
      </c>
      <c r="C6057" t="s">
        <v>8838</v>
      </c>
      <c r="E6057" t="s">
        <v>21635</v>
      </c>
      <c r="F6057" t="s">
        <v>28198</v>
      </c>
      <c r="G6057" t="s">
        <v>28205</v>
      </c>
      <c r="H6057" t="s">
        <v>28215</v>
      </c>
      <c r="I6057" t="s">
        <v>28222</v>
      </c>
      <c r="J6057" t="s">
        <v>32172</v>
      </c>
      <c r="K6057" t="s">
        <v>36701</v>
      </c>
      <c r="M6057" t="s">
        <v>39126</v>
      </c>
      <c r="N6057" t="s">
        <v>40436</v>
      </c>
      <c r="O6057" t="s">
        <v>40437</v>
      </c>
      <c r="P6057">
        <v>0</v>
      </c>
      <c r="Q6057">
        <v>2</v>
      </c>
      <c r="R6057" t="s">
        <v>40443</v>
      </c>
      <c r="S6057" t="s">
        <v>40644</v>
      </c>
      <c r="T6057" t="s">
        <v>42426</v>
      </c>
      <c r="U6057" t="s">
        <v>47770</v>
      </c>
      <c r="V6057" t="s">
        <v>54398</v>
      </c>
      <c r="W6057" t="s">
        <v>39126</v>
      </c>
      <c r="X6057" t="s">
        <v>40444</v>
      </c>
    </row>
    <row r="6058" spans="1:24">
      <c r="A6058">
        <f>HYPERLINK("https://www.philgeps.gov.ph/GEPSNONPILOT/Tender/SplashBidNoticeAbstractUI.aspx?menuIndex=3&amp;refID=7041680&amp;Result=3","7041680")</f>
        <v>0</v>
      </c>
      <c r="B6058" t="s">
        <v>1977</v>
      </c>
      <c r="C6058" t="s">
        <v>8839</v>
      </c>
      <c r="D6058" t="s">
        <v>16228</v>
      </c>
      <c r="E6058" t="s">
        <v>21636</v>
      </c>
      <c r="F6058" t="s">
        <v>28198</v>
      </c>
      <c r="G6058" t="s">
        <v>28206</v>
      </c>
      <c r="H6058" t="s">
        <v>28215</v>
      </c>
      <c r="I6058" t="s">
        <v>5100</v>
      </c>
      <c r="J6058" t="s">
        <v>30445</v>
      </c>
      <c r="K6058" t="s">
        <v>36723</v>
      </c>
      <c r="M6058" t="s">
        <v>39113</v>
      </c>
      <c r="N6058" t="s">
        <v>40436</v>
      </c>
      <c r="O6058" t="s">
        <v>40437</v>
      </c>
      <c r="P6058">
        <v>0</v>
      </c>
      <c r="Q6058">
        <v>0</v>
      </c>
      <c r="R6058" t="s">
        <v>40443</v>
      </c>
      <c r="S6058" t="s">
        <v>40644</v>
      </c>
      <c r="T6058" t="s">
        <v>42205</v>
      </c>
      <c r="U6058" t="s">
        <v>47741</v>
      </c>
      <c r="W6058" t="s">
        <v>39113</v>
      </c>
      <c r="X6058" t="s">
        <v>40444</v>
      </c>
    </row>
    <row r="6059" spans="1:24">
      <c r="A6059">
        <f>HYPERLINK("https://www.philgeps.gov.ph/GEPSNONPILOT/Tender/SplashBidNoticeAbstractUI.aspx?menuIndex=3&amp;refID=7041737&amp;Result=3","7041737")</f>
        <v>0</v>
      </c>
      <c r="B6059" t="s">
        <v>1989</v>
      </c>
      <c r="C6059" t="s">
        <v>8840</v>
      </c>
      <c r="D6059" t="s">
        <v>16235</v>
      </c>
      <c r="E6059" t="s">
        <v>18163</v>
      </c>
      <c r="F6059" t="s">
        <v>28198</v>
      </c>
      <c r="G6059" t="s">
        <v>28207</v>
      </c>
      <c r="H6059" t="s">
        <v>28215</v>
      </c>
      <c r="I6059" t="s">
        <v>5100</v>
      </c>
      <c r="J6059" t="s">
        <v>32173</v>
      </c>
      <c r="K6059" t="s">
        <v>36693</v>
      </c>
      <c r="M6059" t="s">
        <v>39127</v>
      </c>
      <c r="N6059" t="s">
        <v>40436</v>
      </c>
      <c r="O6059" t="s">
        <v>40437</v>
      </c>
      <c r="P6059">
        <v>0</v>
      </c>
      <c r="Q6059">
        <v>0</v>
      </c>
      <c r="R6059" t="s">
        <v>40443</v>
      </c>
      <c r="S6059" t="s">
        <v>40644</v>
      </c>
      <c r="T6059" t="s">
        <v>42158</v>
      </c>
      <c r="U6059" t="s">
        <v>47312</v>
      </c>
      <c r="W6059" t="s">
        <v>39127</v>
      </c>
      <c r="X6059" t="s">
        <v>40444</v>
      </c>
    </row>
    <row r="6060" spans="1:24">
      <c r="A6060">
        <f>HYPERLINK("https://www.philgeps.gov.ph/GEPSNONPILOT/Tender/SplashBidNoticeAbstractUI.aspx?menuIndex=3&amp;refID=7041717&amp;Result=3","7041717")</f>
        <v>0</v>
      </c>
      <c r="B6060" t="s">
        <v>1406</v>
      </c>
      <c r="C6060" t="s">
        <v>8841</v>
      </c>
      <c r="D6060" t="s">
        <v>16196</v>
      </c>
      <c r="E6060" t="s">
        <v>17417</v>
      </c>
      <c r="F6060" t="s">
        <v>28198</v>
      </c>
      <c r="G6060" t="s">
        <v>28205</v>
      </c>
      <c r="H6060" t="s">
        <v>28215</v>
      </c>
      <c r="I6060" t="s">
        <v>5100</v>
      </c>
      <c r="J6060" t="s">
        <v>29115</v>
      </c>
      <c r="K6060" t="s">
        <v>36688</v>
      </c>
      <c r="M6060" t="s">
        <v>38471</v>
      </c>
      <c r="N6060" t="s">
        <v>40436</v>
      </c>
      <c r="O6060" t="s">
        <v>40437</v>
      </c>
      <c r="P6060">
        <v>0</v>
      </c>
      <c r="Q6060">
        <v>0</v>
      </c>
      <c r="R6060" t="s">
        <v>40443</v>
      </c>
      <c r="S6060" t="s">
        <v>40644</v>
      </c>
      <c r="T6060" t="s">
        <v>42161</v>
      </c>
      <c r="U6060" t="s">
        <v>47771</v>
      </c>
      <c r="W6060" t="s">
        <v>38471</v>
      </c>
      <c r="X6060" t="s">
        <v>40444</v>
      </c>
    </row>
    <row r="6061" spans="1:24">
      <c r="A6061">
        <f>HYPERLINK("https://www.philgeps.gov.ph/GEPSNONPILOT/Tender/SplashBidNoticeAbstractUI.aspx?menuIndex=3&amp;refID=7041751&amp;Result=3","7041751")</f>
        <v>0</v>
      </c>
      <c r="B6061" t="s">
        <v>1935</v>
      </c>
      <c r="C6061" t="s">
        <v>8842</v>
      </c>
      <c r="D6061" t="s">
        <v>16260</v>
      </c>
      <c r="E6061" t="s">
        <v>21637</v>
      </c>
      <c r="F6061" t="s">
        <v>28198</v>
      </c>
      <c r="G6061" t="s">
        <v>28206</v>
      </c>
      <c r="H6061" t="s">
        <v>28215</v>
      </c>
      <c r="I6061" t="s">
        <v>4222</v>
      </c>
      <c r="J6061" t="s">
        <v>28884</v>
      </c>
      <c r="K6061" t="s">
        <v>36707</v>
      </c>
      <c r="M6061" t="s">
        <v>39069</v>
      </c>
      <c r="N6061" t="s">
        <v>40436</v>
      </c>
      <c r="O6061" t="s">
        <v>40437</v>
      </c>
      <c r="P6061">
        <v>0</v>
      </c>
      <c r="Q6061">
        <v>0</v>
      </c>
      <c r="R6061" t="s">
        <v>40443</v>
      </c>
      <c r="S6061" t="s">
        <v>40644</v>
      </c>
      <c r="T6061" t="s">
        <v>42133</v>
      </c>
      <c r="U6061" t="s">
        <v>47772</v>
      </c>
      <c r="V6061" t="s">
        <v>54399</v>
      </c>
      <c r="W6061" t="s">
        <v>39069</v>
      </c>
      <c r="X6061" t="s">
        <v>40444</v>
      </c>
    </row>
    <row r="6062" spans="1:24">
      <c r="A6062">
        <f>HYPERLINK("https://www.philgeps.gov.ph/GEPSNONPILOT/Tender/SplashBidNoticeAbstractUI.aspx?menuIndex=3&amp;refID=7041741&amp;Result=3","7041741")</f>
        <v>0</v>
      </c>
      <c r="B6062" t="s">
        <v>1990</v>
      </c>
      <c r="C6062" t="s">
        <v>8843</v>
      </c>
      <c r="D6062" t="s">
        <v>16258</v>
      </c>
      <c r="E6062" t="s">
        <v>21638</v>
      </c>
      <c r="F6062" t="s">
        <v>28198</v>
      </c>
      <c r="G6062" t="s">
        <v>28207</v>
      </c>
      <c r="H6062" t="s">
        <v>28215</v>
      </c>
      <c r="I6062" t="s">
        <v>5100</v>
      </c>
      <c r="J6062" t="s">
        <v>32174</v>
      </c>
      <c r="K6062" t="s">
        <v>36706</v>
      </c>
      <c r="M6062" t="s">
        <v>39128</v>
      </c>
      <c r="N6062" t="s">
        <v>40436</v>
      </c>
      <c r="O6062" t="s">
        <v>40437</v>
      </c>
      <c r="P6062">
        <v>0</v>
      </c>
      <c r="Q6062">
        <v>0</v>
      </c>
      <c r="R6062" t="s">
        <v>40443</v>
      </c>
      <c r="S6062" t="s">
        <v>40644</v>
      </c>
      <c r="T6062" t="s">
        <v>42190</v>
      </c>
      <c r="U6062" t="s">
        <v>47773</v>
      </c>
      <c r="V6062" t="s">
        <v>54400</v>
      </c>
      <c r="W6062" t="s">
        <v>39128</v>
      </c>
      <c r="X6062" t="s">
        <v>40444</v>
      </c>
    </row>
    <row r="6063" spans="1:24">
      <c r="A6063">
        <f>HYPERLINK("https://www.philgeps.gov.ph/GEPSNONPILOT/Tender/SplashBidNoticeAbstractUI.aspx?menuIndex=3&amp;refID=7041753&amp;Result=3","7041753")</f>
        <v>0</v>
      </c>
      <c r="B6063" t="s">
        <v>1991</v>
      </c>
      <c r="C6063" t="s">
        <v>8844</v>
      </c>
      <c r="D6063" t="s">
        <v>16194</v>
      </c>
      <c r="E6063" t="s">
        <v>21639</v>
      </c>
      <c r="F6063" t="s">
        <v>28200</v>
      </c>
      <c r="G6063" t="s">
        <v>28206</v>
      </c>
      <c r="H6063" t="s">
        <v>28215</v>
      </c>
      <c r="I6063" t="s">
        <v>28288</v>
      </c>
      <c r="J6063" t="s">
        <v>32175</v>
      </c>
      <c r="K6063" t="s">
        <v>36718</v>
      </c>
      <c r="M6063" t="s">
        <v>39129</v>
      </c>
      <c r="N6063" t="s">
        <v>40436</v>
      </c>
      <c r="O6063" t="s">
        <v>40437</v>
      </c>
      <c r="P6063">
        <v>0</v>
      </c>
      <c r="Q6063">
        <v>1</v>
      </c>
      <c r="R6063" t="s">
        <v>40443</v>
      </c>
      <c r="S6063" t="s">
        <v>40644</v>
      </c>
      <c r="T6063" t="s">
        <v>42124</v>
      </c>
      <c r="U6063" t="s">
        <v>47774</v>
      </c>
      <c r="W6063" t="s">
        <v>39129</v>
      </c>
      <c r="X6063" t="s">
        <v>40444</v>
      </c>
    </row>
    <row r="6064" spans="1:24">
      <c r="A6064">
        <f>HYPERLINK("https://www.philgeps.gov.ph/GEPSNONPILOT/Tender/SplashBidNoticeAbstractUI.aspx?menuIndex=3&amp;refID=7041740&amp;Result=3","7041740")</f>
        <v>0</v>
      </c>
      <c r="B6064" t="s">
        <v>1992</v>
      </c>
      <c r="C6064" t="s">
        <v>8845</v>
      </c>
      <c r="D6064" t="s">
        <v>16209</v>
      </c>
      <c r="E6064" t="s">
        <v>21640</v>
      </c>
      <c r="F6064" t="s">
        <v>28200</v>
      </c>
      <c r="G6064" t="s">
        <v>28210</v>
      </c>
      <c r="H6064" t="s">
        <v>28215</v>
      </c>
      <c r="I6064" t="s">
        <v>4219</v>
      </c>
      <c r="J6064" t="s">
        <v>32176</v>
      </c>
      <c r="K6064" t="s">
        <v>36689</v>
      </c>
      <c r="M6064" t="s">
        <v>39130</v>
      </c>
      <c r="N6064" t="s">
        <v>40436</v>
      </c>
      <c r="O6064" t="s">
        <v>40437</v>
      </c>
      <c r="P6064">
        <v>0</v>
      </c>
      <c r="Q6064">
        <v>1</v>
      </c>
      <c r="R6064" t="s">
        <v>40443</v>
      </c>
      <c r="S6064" t="s">
        <v>40644</v>
      </c>
      <c r="T6064" t="s">
        <v>42169</v>
      </c>
      <c r="U6064" t="s">
        <v>47775</v>
      </c>
      <c r="W6064" t="s">
        <v>39130</v>
      </c>
      <c r="X6064" t="s">
        <v>40444</v>
      </c>
    </row>
    <row r="6065" spans="1:24">
      <c r="A6065">
        <f>HYPERLINK("https://www.philgeps.gov.ph/GEPSNONPILOT/Tender/SplashBidNoticeAbstractUI.aspx?menuIndex=3&amp;refID=7041743&amp;Result=3","7041743")</f>
        <v>0</v>
      </c>
      <c r="B6065" t="s">
        <v>1948</v>
      </c>
      <c r="C6065" t="s">
        <v>8846</v>
      </c>
      <c r="D6065" t="s">
        <v>16210</v>
      </c>
      <c r="E6065" t="s">
        <v>21641</v>
      </c>
      <c r="F6065" t="s">
        <v>28198</v>
      </c>
      <c r="G6065" t="s">
        <v>28207</v>
      </c>
      <c r="H6065" t="s">
        <v>28215</v>
      </c>
      <c r="I6065" t="s">
        <v>4168</v>
      </c>
      <c r="J6065" t="s">
        <v>28413</v>
      </c>
      <c r="K6065" t="s">
        <v>36707</v>
      </c>
      <c r="M6065" t="s">
        <v>39082</v>
      </c>
      <c r="N6065" t="s">
        <v>40436</v>
      </c>
      <c r="O6065" t="s">
        <v>40437</v>
      </c>
      <c r="P6065">
        <v>0</v>
      </c>
      <c r="Q6065">
        <v>10</v>
      </c>
      <c r="R6065" t="s">
        <v>40443</v>
      </c>
      <c r="S6065" t="s">
        <v>40644</v>
      </c>
      <c r="T6065" t="s">
        <v>42387</v>
      </c>
      <c r="U6065" t="s">
        <v>47776</v>
      </c>
      <c r="V6065" t="s">
        <v>54401</v>
      </c>
      <c r="W6065" t="s">
        <v>39082</v>
      </c>
      <c r="X6065" t="s">
        <v>40444</v>
      </c>
    </row>
    <row r="6066" spans="1:24">
      <c r="A6066">
        <f>HYPERLINK("https://www.philgeps.gov.ph/GEPSNONPILOT/Tender/SplashBidNoticeAbstractUI.aspx?menuIndex=3&amp;refID=7041795&amp;Result=3","7041795")</f>
        <v>0</v>
      </c>
      <c r="B6066" t="s">
        <v>1993</v>
      </c>
      <c r="C6066" t="s">
        <v>8847</v>
      </c>
      <c r="D6066" t="s">
        <v>16244</v>
      </c>
      <c r="E6066" t="s">
        <v>21642</v>
      </c>
      <c r="F6066" t="s">
        <v>28198</v>
      </c>
      <c r="G6066" t="s">
        <v>28205</v>
      </c>
      <c r="H6066" t="s">
        <v>28214</v>
      </c>
      <c r="I6066" t="s">
        <v>3797</v>
      </c>
      <c r="J6066" t="s">
        <v>28699</v>
      </c>
      <c r="K6066" t="s">
        <v>36697</v>
      </c>
      <c r="M6066" t="s">
        <v>39131</v>
      </c>
      <c r="N6066" t="s">
        <v>40436</v>
      </c>
      <c r="O6066" t="s">
        <v>40437</v>
      </c>
      <c r="P6066">
        <v>0</v>
      </c>
      <c r="Q6066">
        <v>0</v>
      </c>
      <c r="R6066" t="s">
        <v>40443</v>
      </c>
      <c r="S6066" t="s">
        <v>40644</v>
      </c>
      <c r="T6066" t="s">
        <v>42440</v>
      </c>
      <c r="U6066" t="s">
        <v>47777</v>
      </c>
      <c r="W6066" t="s">
        <v>39131</v>
      </c>
      <c r="X6066" t="s">
        <v>40444</v>
      </c>
    </row>
    <row r="6067" spans="1:24">
      <c r="A6067">
        <f>HYPERLINK("https://www.philgeps.gov.ph/GEPSNONPILOT/Tender/SplashBidNoticeAbstractUI.aspx?menuIndex=3&amp;refID=7041755&amp;Result=3","7041755")</f>
        <v>0</v>
      </c>
      <c r="B6067" t="s">
        <v>1994</v>
      </c>
      <c r="C6067" t="s">
        <v>8848</v>
      </c>
      <c r="D6067" t="s">
        <v>16209</v>
      </c>
      <c r="E6067" t="s">
        <v>17564</v>
      </c>
      <c r="F6067" t="s">
        <v>28198</v>
      </c>
      <c r="G6067" t="s">
        <v>28205</v>
      </c>
      <c r="H6067" t="s">
        <v>28214</v>
      </c>
      <c r="I6067" t="s">
        <v>3797</v>
      </c>
      <c r="J6067" t="s">
        <v>28393</v>
      </c>
      <c r="K6067" t="s">
        <v>36694</v>
      </c>
      <c r="M6067" t="s">
        <v>39132</v>
      </c>
      <c r="N6067" t="s">
        <v>40436</v>
      </c>
      <c r="O6067" t="s">
        <v>40437</v>
      </c>
      <c r="P6067">
        <v>0</v>
      </c>
      <c r="Q6067">
        <v>0</v>
      </c>
      <c r="R6067" t="s">
        <v>40443</v>
      </c>
      <c r="S6067" t="s">
        <v>40644</v>
      </c>
      <c r="T6067" t="s">
        <v>42441</v>
      </c>
      <c r="U6067" t="s">
        <v>42915</v>
      </c>
      <c r="V6067" t="s">
        <v>54402</v>
      </c>
      <c r="W6067" t="s">
        <v>39132</v>
      </c>
      <c r="X6067" t="s">
        <v>40444</v>
      </c>
    </row>
    <row r="6068" spans="1:24">
      <c r="A6068">
        <f>HYPERLINK("https://www.philgeps.gov.ph/GEPSNONPILOT/Tender/SplashBidNoticeAbstractUI.aspx?menuIndex=3&amp;refID=7041791&amp;Result=3","7041791")</f>
        <v>0</v>
      </c>
      <c r="B6068" t="s">
        <v>447</v>
      </c>
      <c r="C6068" t="s">
        <v>8849</v>
      </c>
      <c r="D6068" t="s">
        <v>16204</v>
      </c>
      <c r="E6068" t="s">
        <v>21643</v>
      </c>
      <c r="F6068" t="s">
        <v>28198</v>
      </c>
      <c r="G6068" t="s">
        <v>28205</v>
      </c>
      <c r="H6068" t="s">
        <v>28215</v>
      </c>
      <c r="I6068" t="s">
        <v>28265</v>
      </c>
      <c r="J6068" t="s">
        <v>28424</v>
      </c>
      <c r="K6068" t="s">
        <v>36707</v>
      </c>
      <c r="M6068" t="s">
        <v>37431</v>
      </c>
      <c r="N6068" t="s">
        <v>40436</v>
      </c>
      <c r="O6068" t="s">
        <v>40437</v>
      </c>
      <c r="P6068">
        <v>0</v>
      </c>
      <c r="Q6068">
        <v>3</v>
      </c>
      <c r="R6068" t="s">
        <v>40443</v>
      </c>
      <c r="S6068" t="s">
        <v>40644</v>
      </c>
      <c r="T6068" t="s">
        <v>42161</v>
      </c>
      <c r="U6068" t="s">
        <v>47778</v>
      </c>
      <c r="W6068" t="s">
        <v>55448</v>
      </c>
      <c r="X6068" t="s">
        <v>40444</v>
      </c>
    </row>
    <row r="6069" spans="1:24">
      <c r="A6069">
        <f>HYPERLINK("https://www.philgeps.gov.ph/GEPSNONPILOT/Tender/SplashBidNoticeAbstractUI.aspx?menuIndex=3&amp;refID=7041785&amp;Result=3","7041785")</f>
        <v>0</v>
      </c>
      <c r="B6069" t="s">
        <v>1995</v>
      </c>
      <c r="C6069" t="s">
        <v>3470</v>
      </c>
      <c r="D6069" t="s">
        <v>16213</v>
      </c>
      <c r="E6069" t="s">
        <v>21644</v>
      </c>
      <c r="F6069" t="s">
        <v>28198</v>
      </c>
      <c r="G6069" t="s">
        <v>28205</v>
      </c>
      <c r="H6069" t="s">
        <v>28215</v>
      </c>
      <c r="I6069" t="s">
        <v>28225</v>
      </c>
      <c r="J6069" t="s">
        <v>28362</v>
      </c>
      <c r="K6069" t="s">
        <v>36688</v>
      </c>
      <c r="M6069" t="s">
        <v>39133</v>
      </c>
      <c r="N6069" t="s">
        <v>40436</v>
      </c>
      <c r="O6069" t="s">
        <v>40437</v>
      </c>
      <c r="P6069">
        <v>0</v>
      </c>
      <c r="Q6069">
        <v>1</v>
      </c>
      <c r="R6069" t="s">
        <v>40443</v>
      </c>
      <c r="S6069" t="s">
        <v>40644</v>
      </c>
      <c r="T6069" t="s">
        <v>42138</v>
      </c>
      <c r="U6069" t="s">
        <v>47779</v>
      </c>
      <c r="W6069" t="s">
        <v>39133</v>
      </c>
      <c r="X6069" t="s">
        <v>40444</v>
      </c>
    </row>
    <row r="6070" spans="1:24">
      <c r="A6070">
        <f>HYPERLINK("https://www.philgeps.gov.ph/GEPSNONPILOT/Tender/SplashBidNoticeAbstractUI.aspx?menuIndex=3&amp;refID=7041784&amp;Result=3","7041784")</f>
        <v>0</v>
      </c>
      <c r="B6070" t="s">
        <v>1935</v>
      </c>
      <c r="C6070" t="s">
        <v>8850</v>
      </c>
      <c r="D6070" t="s">
        <v>16260</v>
      </c>
      <c r="E6070" t="s">
        <v>21645</v>
      </c>
      <c r="F6070" t="s">
        <v>28198</v>
      </c>
      <c r="G6070" t="s">
        <v>28206</v>
      </c>
      <c r="H6070" t="s">
        <v>28215</v>
      </c>
      <c r="I6070" t="s">
        <v>28225</v>
      </c>
      <c r="J6070" t="s">
        <v>32177</v>
      </c>
      <c r="K6070" t="s">
        <v>36707</v>
      </c>
      <c r="M6070" t="s">
        <v>39069</v>
      </c>
      <c r="N6070" t="s">
        <v>40436</v>
      </c>
      <c r="O6070" t="s">
        <v>40437</v>
      </c>
      <c r="P6070">
        <v>0</v>
      </c>
      <c r="Q6070">
        <v>1</v>
      </c>
      <c r="R6070" t="s">
        <v>40443</v>
      </c>
      <c r="S6070" t="s">
        <v>40644</v>
      </c>
      <c r="T6070" t="s">
        <v>42133</v>
      </c>
      <c r="U6070" t="s">
        <v>47780</v>
      </c>
      <c r="V6070" t="s">
        <v>54399</v>
      </c>
      <c r="W6070" t="s">
        <v>39069</v>
      </c>
      <c r="X6070" t="s">
        <v>40444</v>
      </c>
    </row>
    <row r="6071" spans="1:24">
      <c r="A6071">
        <f>HYPERLINK("https://www.philgeps.gov.ph/GEPSNONPILOT/Tender/SplashBidNoticeAbstractUI.aspx?menuIndex=3&amp;refID=7041752&amp;Result=3","7041752")</f>
        <v>0</v>
      </c>
      <c r="B6071" t="s">
        <v>1990</v>
      </c>
      <c r="C6071" t="s">
        <v>8851</v>
      </c>
      <c r="D6071" t="s">
        <v>16258</v>
      </c>
      <c r="E6071" t="s">
        <v>21646</v>
      </c>
      <c r="F6071" t="s">
        <v>28198</v>
      </c>
      <c r="G6071" t="s">
        <v>28207</v>
      </c>
      <c r="H6071" t="s">
        <v>28215</v>
      </c>
      <c r="I6071" t="s">
        <v>28274</v>
      </c>
      <c r="J6071" t="s">
        <v>32178</v>
      </c>
      <c r="K6071" t="s">
        <v>36707</v>
      </c>
      <c r="M6071" t="s">
        <v>39128</v>
      </c>
      <c r="N6071" t="s">
        <v>40436</v>
      </c>
      <c r="O6071" t="s">
        <v>40437</v>
      </c>
      <c r="P6071">
        <v>0</v>
      </c>
      <c r="Q6071">
        <v>0</v>
      </c>
      <c r="R6071" t="s">
        <v>40443</v>
      </c>
      <c r="S6071" t="s">
        <v>40644</v>
      </c>
      <c r="T6071" t="s">
        <v>42190</v>
      </c>
      <c r="U6071" t="s">
        <v>47781</v>
      </c>
      <c r="V6071" t="s">
        <v>54403</v>
      </c>
      <c r="W6071" t="s">
        <v>39128</v>
      </c>
      <c r="X6071" t="s">
        <v>40444</v>
      </c>
    </row>
    <row r="6072" spans="1:24">
      <c r="A6072">
        <f>HYPERLINK("https://www.philgeps.gov.ph/GEPSNONPILOT/Tender/SplashBidNoticeAbstractUI.aspx?menuIndex=3&amp;refID=7041788&amp;Result=3","7041788")</f>
        <v>0</v>
      </c>
      <c r="B6072" t="s">
        <v>351</v>
      </c>
      <c r="C6072" t="s">
        <v>8852</v>
      </c>
      <c r="D6072" t="s">
        <v>16258</v>
      </c>
      <c r="E6072" t="s">
        <v>21647</v>
      </c>
      <c r="F6072" t="s">
        <v>28198</v>
      </c>
      <c r="G6072" t="s">
        <v>28205</v>
      </c>
      <c r="H6072" t="s">
        <v>28215</v>
      </c>
      <c r="I6072" t="s">
        <v>4219</v>
      </c>
      <c r="J6072" t="s">
        <v>32179</v>
      </c>
      <c r="K6072" t="s">
        <v>36706</v>
      </c>
      <c r="M6072" t="s">
        <v>37330</v>
      </c>
      <c r="N6072" t="s">
        <v>40436</v>
      </c>
      <c r="O6072" t="s">
        <v>40437</v>
      </c>
      <c r="P6072">
        <v>0</v>
      </c>
      <c r="Q6072">
        <v>0</v>
      </c>
      <c r="R6072" t="s">
        <v>40443</v>
      </c>
      <c r="S6072" t="s">
        <v>40644</v>
      </c>
      <c r="T6072" t="s">
        <v>42136</v>
      </c>
      <c r="U6072" t="s">
        <v>47782</v>
      </c>
      <c r="W6072" t="s">
        <v>37330</v>
      </c>
      <c r="X6072" t="s">
        <v>40444</v>
      </c>
    </row>
    <row r="6073" spans="1:24">
      <c r="A6073">
        <f>HYPERLINK("https://www.philgeps.gov.ph/GEPSNONPILOT/Tender/SplashBidNoticeAbstractUI.aspx?menuIndex=3&amp;refID=7041761&amp;Result=3","7041761")</f>
        <v>0</v>
      </c>
      <c r="B6073" t="s">
        <v>1427</v>
      </c>
      <c r="C6073" t="s">
        <v>8853</v>
      </c>
      <c r="D6073" t="s">
        <v>16260</v>
      </c>
      <c r="E6073" t="s">
        <v>16640</v>
      </c>
      <c r="F6073" t="s">
        <v>28198</v>
      </c>
      <c r="G6073" t="s">
        <v>28207</v>
      </c>
      <c r="H6073" t="s">
        <v>28215</v>
      </c>
      <c r="I6073" t="s">
        <v>5100</v>
      </c>
      <c r="J6073" t="s">
        <v>32180</v>
      </c>
      <c r="K6073" t="s">
        <v>36723</v>
      </c>
      <c r="M6073" t="s">
        <v>38493</v>
      </c>
      <c r="N6073" t="s">
        <v>40436</v>
      </c>
      <c r="O6073" t="s">
        <v>40437</v>
      </c>
      <c r="P6073">
        <v>0</v>
      </c>
      <c r="Q6073">
        <v>1</v>
      </c>
      <c r="R6073" t="s">
        <v>40443</v>
      </c>
      <c r="S6073" t="s">
        <v>40644</v>
      </c>
      <c r="T6073" t="s">
        <v>42185</v>
      </c>
      <c r="U6073" t="s">
        <v>47783</v>
      </c>
      <c r="W6073" t="s">
        <v>38493</v>
      </c>
      <c r="X6073" t="s">
        <v>40444</v>
      </c>
    </row>
    <row r="6074" spans="1:24">
      <c r="A6074">
        <f>HYPERLINK("https://www.philgeps.gov.ph/GEPSNONPILOT/Tender/SplashBidNoticeAbstractUI.aspx?menuIndex=3&amp;refID=7041744&amp;Result=3","7041744")</f>
        <v>0</v>
      </c>
      <c r="B6074" t="s">
        <v>97</v>
      </c>
      <c r="C6074" t="s">
        <v>8854</v>
      </c>
      <c r="D6074" t="s">
        <v>16226</v>
      </c>
      <c r="E6074" t="s">
        <v>21648</v>
      </c>
      <c r="F6074" t="s">
        <v>28198</v>
      </c>
      <c r="G6074" t="s">
        <v>28207</v>
      </c>
      <c r="H6074" t="s">
        <v>28215</v>
      </c>
      <c r="I6074" t="s">
        <v>28222</v>
      </c>
      <c r="J6074" t="s">
        <v>32181</v>
      </c>
      <c r="K6074" t="s">
        <v>36688</v>
      </c>
      <c r="M6074" t="s">
        <v>38437</v>
      </c>
      <c r="N6074" t="s">
        <v>40436</v>
      </c>
      <c r="O6074" t="s">
        <v>40437</v>
      </c>
      <c r="P6074">
        <v>0</v>
      </c>
      <c r="Q6074">
        <v>1</v>
      </c>
      <c r="R6074" t="s">
        <v>40443</v>
      </c>
      <c r="S6074" t="s">
        <v>40644</v>
      </c>
      <c r="T6074" t="s">
        <v>42185</v>
      </c>
      <c r="U6074" t="s">
        <v>47784</v>
      </c>
      <c r="W6074" t="s">
        <v>38437</v>
      </c>
      <c r="X6074" t="s">
        <v>40444</v>
      </c>
    </row>
    <row r="6075" spans="1:24">
      <c r="A6075">
        <f>HYPERLINK("https://www.philgeps.gov.ph/GEPSNONPILOT/Tender/SplashBidNoticeAbstractUI.aspx?menuIndex=3&amp;refID=7041776&amp;Result=3","7041776")</f>
        <v>0</v>
      </c>
      <c r="B6075" t="s">
        <v>1802</v>
      </c>
      <c r="C6075" t="s">
        <v>8855</v>
      </c>
      <c r="D6075" t="s">
        <v>16238</v>
      </c>
      <c r="E6075" t="s">
        <v>21649</v>
      </c>
      <c r="F6075" t="s">
        <v>28198</v>
      </c>
      <c r="G6075" t="s">
        <v>28207</v>
      </c>
      <c r="H6075" t="s">
        <v>28215</v>
      </c>
      <c r="I6075" t="s">
        <v>28226</v>
      </c>
      <c r="J6075" t="s">
        <v>32182</v>
      </c>
      <c r="K6075" t="s">
        <v>36715</v>
      </c>
      <c r="M6075" t="s">
        <v>38920</v>
      </c>
      <c r="N6075" t="s">
        <v>40436</v>
      </c>
      <c r="O6075" t="s">
        <v>40437</v>
      </c>
      <c r="P6075">
        <v>0</v>
      </c>
      <c r="Q6075">
        <v>3</v>
      </c>
      <c r="R6075" t="s">
        <v>40443</v>
      </c>
      <c r="S6075" t="s">
        <v>40644</v>
      </c>
      <c r="T6075" t="s">
        <v>42277</v>
      </c>
      <c r="U6075" t="s">
        <v>47785</v>
      </c>
      <c r="W6075" t="s">
        <v>38920</v>
      </c>
      <c r="X6075" t="s">
        <v>40444</v>
      </c>
    </row>
    <row r="6076" spans="1:24">
      <c r="A6076">
        <f>HYPERLINK("https://www.philgeps.gov.ph/GEPSNONPILOT/Tender/SplashBidNoticeAbstractUI.aspx?menuIndex=3&amp;refID=7041777&amp;Result=3","7041777")</f>
        <v>0</v>
      </c>
      <c r="B6076" t="s">
        <v>1993</v>
      </c>
      <c r="C6076" t="s">
        <v>8856</v>
      </c>
      <c r="D6076" t="s">
        <v>16244</v>
      </c>
      <c r="E6076" t="s">
        <v>21650</v>
      </c>
      <c r="F6076" t="s">
        <v>28198</v>
      </c>
      <c r="G6076" t="s">
        <v>28205</v>
      </c>
      <c r="H6076" t="s">
        <v>28214</v>
      </c>
      <c r="I6076" t="s">
        <v>3797</v>
      </c>
      <c r="J6076" t="s">
        <v>28468</v>
      </c>
      <c r="K6076" t="s">
        <v>36697</v>
      </c>
      <c r="M6076" t="s">
        <v>39131</v>
      </c>
      <c r="N6076" t="s">
        <v>40436</v>
      </c>
      <c r="O6076" t="s">
        <v>40437</v>
      </c>
      <c r="P6076">
        <v>0</v>
      </c>
      <c r="Q6076">
        <v>0</v>
      </c>
      <c r="R6076" t="s">
        <v>40443</v>
      </c>
      <c r="S6076" t="s">
        <v>40644</v>
      </c>
      <c r="T6076" t="s">
        <v>42442</v>
      </c>
      <c r="U6076" t="s">
        <v>47786</v>
      </c>
      <c r="W6076" t="s">
        <v>39131</v>
      </c>
      <c r="X6076" t="s">
        <v>40444</v>
      </c>
    </row>
    <row r="6077" spans="1:24">
      <c r="A6077">
        <f>HYPERLINK("https://www.philgeps.gov.ph/GEPSNONPILOT/Tender/SplashBidNoticeAbstractUI.aspx?menuIndex=3&amp;refID=7041767&amp;Result=3","7041767")</f>
        <v>0</v>
      </c>
      <c r="B6077" t="s">
        <v>1996</v>
      </c>
      <c r="C6077" t="s">
        <v>8857</v>
      </c>
      <c r="D6077" t="s">
        <v>16261</v>
      </c>
      <c r="E6077" t="s">
        <v>21651</v>
      </c>
      <c r="F6077" t="s">
        <v>28198</v>
      </c>
      <c r="G6077" t="s">
        <v>28205</v>
      </c>
      <c r="H6077" t="s">
        <v>28214</v>
      </c>
      <c r="I6077" t="s">
        <v>3797</v>
      </c>
      <c r="J6077" t="s">
        <v>32183</v>
      </c>
      <c r="K6077" t="s">
        <v>36697</v>
      </c>
      <c r="M6077" t="s">
        <v>39134</v>
      </c>
      <c r="N6077" t="s">
        <v>40436</v>
      </c>
      <c r="O6077" t="s">
        <v>40437</v>
      </c>
      <c r="P6077">
        <v>0</v>
      </c>
      <c r="Q6077">
        <v>1</v>
      </c>
      <c r="R6077" t="s">
        <v>40443</v>
      </c>
      <c r="S6077" t="s">
        <v>40644</v>
      </c>
      <c r="T6077" t="s">
        <v>42279</v>
      </c>
      <c r="U6077" t="s">
        <v>47787</v>
      </c>
      <c r="V6077" t="s">
        <v>54404</v>
      </c>
      <c r="W6077" t="s">
        <v>39134</v>
      </c>
      <c r="X6077" t="s">
        <v>40444</v>
      </c>
    </row>
    <row r="6078" spans="1:24">
      <c r="A6078">
        <f>HYPERLINK("https://www.philgeps.gov.ph/GEPSNONPILOT/Tender/SplashBidNoticeAbstractUI.aspx?menuIndex=3&amp;refID=7041798&amp;Result=3","7041798")</f>
        <v>0</v>
      </c>
      <c r="B6078" t="s">
        <v>1997</v>
      </c>
      <c r="C6078" t="s">
        <v>8858</v>
      </c>
      <c r="D6078" t="s">
        <v>16196</v>
      </c>
      <c r="E6078" t="s">
        <v>21652</v>
      </c>
      <c r="F6078" t="s">
        <v>28198</v>
      </c>
      <c r="G6078" t="s">
        <v>28205</v>
      </c>
      <c r="H6078" t="s">
        <v>28214</v>
      </c>
      <c r="I6078" t="s">
        <v>3797</v>
      </c>
      <c r="J6078" t="s">
        <v>28415</v>
      </c>
      <c r="K6078" t="s">
        <v>36701</v>
      </c>
      <c r="M6078" t="s">
        <v>39135</v>
      </c>
      <c r="N6078" t="s">
        <v>40436</v>
      </c>
      <c r="O6078" t="s">
        <v>40437</v>
      </c>
      <c r="P6078">
        <v>0</v>
      </c>
      <c r="Q6078">
        <v>18</v>
      </c>
      <c r="R6078" t="s">
        <v>40443</v>
      </c>
      <c r="S6078" t="s">
        <v>40644</v>
      </c>
      <c r="T6078" t="s">
        <v>42123</v>
      </c>
      <c r="U6078" t="s">
        <v>47788</v>
      </c>
      <c r="V6078" t="s">
        <v>54405</v>
      </c>
      <c r="W6078" t="s">
        <v>39135</v>
      </c>
      <c r="X6078" t="s">
        <v>40444</v>
      </c>
    </row>
    <row r="6079" spans="1:24">
      <c r="A6079">
        <f>HYPERLINK("https://www.philgeps.gov.ph/GEPSNONPILOT/Tender/SplashBidNoticeAbstractUI.aspx?menuIndex=3&amp;refID=7041768&amp;Result=3","7041768")</f>
        <v>0</v>
      </c>
      <c r="B6079" t="s">
        <v>1990</v>
      </c>
      <c r="C6079" t="s">
        <v>8859</v>
      </c>
      <c r="D6079" t="s">
        <v>16258</v>
      </c>
      <c r="E6079" t="s">
        <v>21653</v>
      </c>
      <c r="F6079" t="s">
        <v>28198</v>
      </c>
      <c r="G6079" t="s">
        <v>28207</v>
      </c>
      <c r="H6079" t="s">
        <v>28215</v>
      </c>
      <c r="I6079" t="s">
        <v>28274</v>
      </c>
      <c r="J6079" t="s">
        <v>32184</v>
      </c>
      <c r="K6079" t="s">
        <v>36707</v>
      </c>
      <c r="M6079" t="s">
        <v>39128</v>
      </c>
      <c r="N6079" t="s">
        <v>40436</v>
      </c>
      <c r="O6079" t="s">
        <v>40437</v>
      </c>
      <c r="P6079">
        <v>0</v>
      </c>
      <c r="Q6079">
        <v>0</v>
      </c>
      <c r="R6079" t="s">
        <v>40443</v>
      </c>
      <c r="S6079" t="s">
        <v>40644</v>
      </c>
      <c r="T6079" t="s">
        <v>42190</v>
      </c>
      <c r="U6079" t="s">
        <v>47781</v>
      </c>
      <c r="V6079" t="s">
        <v>54406</v>
      </c>
      <c r="W6079" t="s">
        <v>39128</v>
      </c>
      <c r="X6079" t="s">
        <v>40444</v>
      </c>
    </row>
    <row r="6080" spans="1:24">
      <c r="A6080">
        <f>HYPERLINK("https://www.philgeps.gov.ph/GEPSNONPILOT/Tender/SplashBidNoticeAbstractUI.aspx?menuIndex=3&amp;refID=7041774&amp;Result=3","7041774")</f>
        <v>0</v>
      </c>
      <c r="B6080" t="s">
        <v>1990</v>
      </c>
      <c r="C6080" t="s">
        <v>8860</v>
      </c>
      <c r="D6080" t="s">
        <v>16258</v>
      </c>
      <c r="E6080" t="s">
        <v>21654</v>
      </c>
      <c r="F6080" t="s">
        <v>28198</v>
      </c>
      <c r="G6080" t="s">
        <v>28207</v>
      </c>
      <c r="H6080" t="s">
        <v>28215</v>
      </c>
      <c r="I6080" t="s">
        <v>28274</v>
      </c>
      <c r="J6080" t="s">
        <v>32185</v>
      </c>
      <c r="K6080" t="s">
        <v>36707</v>
      </c>
      <c r="M6080" t="s">
        <v>39128</v>
      </c>
      <c r="N6080" t="s">
        <v>40436</v>
      </c>
      <c r="O6080" t="s">
        <v>40437</v>
      </c>
      <c r="P6080">
        <v>0</v>
      </c>
      <c r="Q6080">
        <v>0</v>
      </c>
      <c r="R6080" t="s">
        <v>40443</v>
      </c>
      <c r="S6080" t="s">
        <v>40644</v>
      </c>
      <c r="T6080" t="s">
        <v>42190</v>
      </c>
      <c r="U6080" t="s">
        <v>47781</v>
      </c>
      <c r="V6080" t="s">
        <v>54407</v>
      </c>
      <c r="W6080" t="s">
        <v>39128</v>
      </c>
      <c r="X6080" t="s">
        <v>40444</v>
      </c>
    </row>
    <row r="6081" spans="1:24">
      <c r="A6081">
        <f>HYPERLINK("https://www.philgeps.gov.ph/GEPSNONPILOT/Tender/SplashBidNoticeAbstractUI.aspx?menuIndex=3&amp;refID=7041822&amp;Result=3","7041822")</f>
        <v>0</v>
      </c>
      <c r="B6081" t="s">
        <v>1995</v>
      </c>
      <c r="C6081" t="s">
        <v>3173</v>
      </c>
      <c r="D6081" t="s">
        <v>16213</v>
      </c>
      <c r="E6081" t="s">
        <v>21644</v>
      </c>
      <c r="F6081" t="s">
        <v>28198</v>
      </c>
      <c r="G6081" t="s">
        <v>28205</v>
      </c>
      <c r="H6081" t="s">
        <v>28215</v>
      </c>
      <c r="I6081" t="s">
        <v>5082</v>
      </c>
      <c r="J6081" t="s">
        <v>32186</v>
      </c>
      <c r="K6081" t="s">
        <v>36688</v>
      </c>
      <c r="M6081" t="s">
        <v>39133</v>
      </c>
      <c r="N6081" t="s">
        <v>40436</v>
      </c>
      <c r="O6081" t="s">
        <v>40437</v>
      </c>
      <c r="P6081">
        <v>0</v>
      </c>
      <c r="Q6081">
        <v>1</v>
      </c>
      <c r="R6081" t="s">
        <v>40443</v>
      </c>
      <c r="S6081" t="s">
        <v>40644</v>
      </c>
      <c r="T6081" t="s">
        <v>42165</v>
      </c>
      <c r="U6081" t="s">
        <v>47789</v>
      </c>
      <c r="W6081" t="s">
        <v>39133</v>
      </c>
      <c r="X6081" t="s">
        <v>40444</v>
      </c>
    </row>
    <row r="6082" spans="1:24">
      <c r="A6082">
        <f>HYPERLINK("https://www.philgeps.gov.ph/GEPSNONPILOT/Tender/SplashBidNoticeAbstractUI.aspx?menuIndex=3&amp;refID=7041805&amp;Result=3","7041805")</f>
        <v>0</v>
      </c>
      <c r="B6082" t="s">
        <v>1427</v>
      </c>
      <c r="C6082" t="s">
        <v>8861</v>
      </c>
      <c r="D6082" t="s">
        <v>16260</v>
      </c>
      <c r="E6082" t="s">
        <v>18568</v>
      </c>
      <c r="F6082" t="s">
        <v>28198</v>
      </c>
      <c r="G6082" t="s">
        <v>28207</v>
      </c>
      <c r="H6082" t="s">
        <v>28215</v>
      </c>
      <c r="I6082" t="s">
        <v>5100</v>
      </c>
      <c r="J6082" t="s">
        <v>32187</v>
      </c>
      <c r="K6082" t="s">
        <v>36691</v>
      </c>
      <c r="M6082" t="s">
        <v>38493</v>
      </c>
      <c r="N6082" t="s">
        <v>40436</v>
      </c>
      <c r="O6082" t="s">
        <v>40437</v>
      </c>
      <c r="P6082">
        <v>0</v>
      </c>
      <c r="Q6082">
        <v>1</v>
      </c>
      <c r="R6082" t="s">
        <v>40443</v>
      </c>
      <c r="S6082" t="s">
        <v>40644</v>
      </c>
      <c r="T6082" t="s">
        <v>42185</v>
      </c>
      <c r="U6082" t="s">
        <v>47790</v>
      </c>
      <c r="W6082" t="s">
        <v>38493</v>
      </c>
      <c r="X6082" t="s">
        <v>40444</v>
      </c>
    </row>
    <row r="6083" spans="1:24">
      <c r="A6083">
        <f>HYPERLINK("https://www.philgeps.gov.ph/GEPSNONPILOT/Tender/SplashBidNoticeAbstractUI.aspx?menuIndex=3&amp;refID=7041809&amp;Result=3","7041809")</f>
        <v>0</v>
      </c>
      <c r="B6083" t="s">
        <v>780</v>
      </c>
      <c r="C6083" t="s">
        <v>8862</v>
      </c>
      <c r="D6083" t="s">
        <v>16197</v>
      </c>
      <c r="E6083" t="s">
        <v>21655</v>
      </c>
      <c r="F6083" t="s">
        <v>28198</v>
      </c>
      <c r="G6083" t="s">
        <v>28205</v>
      </c>
      <c r="H6083" t="s">
        <v>28214</v>
      </c>
      <c r="I6083" t="s">
        <v>3797</v>
      </c>
      <c r="J6083" t="s">
        <v>32106</v>
      </c>
      <c r="K6083" t="s">
        <v>36690</v>
      </c>
      <c r="M6083" t="s">
        <v>37784</v>
      </c>
      <c r="N6083" t="s">
        <v>40436</v>
      </c>
      <c r="O6083" t="s">
        <v>40437</v>
      </c>
      <c r="P6083">
        <v>0</v>
      </c>
      <c r="Q6083">
        <v>1</v>
      </c>
      <c r="R6083" t="s">
        <v>40443</v>
      </c>
      <c r="S6083" t="s">
        <v>40644</v>
      </c>
      <c r="T6083" t="s">
        <v>42168</v>
      </c>
      <c r="U6083" t="s">
        <v>47765</v>
      </c>
      <c r="W6083" t="s">
        <v>37784</v>
      </c>
      <c r="X6083" t="s">
        <v>40444</v>
      </c>
    </row>
    <row r="6084" spans="1:24">
      <c r="A6084">
        <f>HYPERLINK("https://www.philgeps.gov.ph/GEPSNONPILOT/Tender/SplashBidNoticeAbstractUI.aspx?menuIndex=3&amp;refID=7041807&amp;Result=3","7041807")</f>
        <v>0</v>
      </c>
      <c r="B6084" t="s">
        <v>447</v>
      </c>
      <c r="C6084" t="s">
        <v>8863</v>
      </c>
      <c r="D6084" t="s">
        <v>16204</v>
      </c>
      <c r="E6084" t="s">
        <v>21656</v>
      </c>
      <c r="F6084" t="s">
        <v>28198</v>
      </c>
      <c r="G6084" t="s">
        <v>28205</v>
      </c>
      <c r="H6084" t="s">
        <v>28215</v>
      </c>
      <c r="I6084" t="s">
        <v>28265</v>
      </c>
      <c r="J6084" t="s">
        <v>32188</v>
      </c>
      <c r="K6084" t="s">
        <v>36707</v>
      </c>
      <c r="M6084" t="s">
        <v>37431</v>
      </c>
      <c r="N6084" t="s">
        <v>40436</v>
      </c>
      <c r="O6084" t="s">
        <v>40437</v>
      </c>
      <c r="P6084">
        <v>0</v>
      </c>
      <c r="Q6084">
        <v>3</v>
      </c>
      <c r="R6084" t="s">
        <v>40443</v>
      </c>
      <c r="S6084" t="s">
        <v>40644</v>
      </c>
      <c r="T6084" t="s">
        <v>42161</v>
      </c>
      <c r="U6084" t="s">
        <v>47791</v>
      </c>
      <c r="W6084" t="s">
        <v>55448</v>
      </c>
      <c r="X6084" t="s">
        <v>40444</v>
      </c>
    </row>
    <row r="6085" spans="1:24">
      <c r="A6085">
        <f>HYPERLINK("https://www.philgeps.gov.ph/GEPSNONPILOT/Tender/SplashBidNoticeAbstractUI.aspx?menuIndex=3&amp;refID=7041799&amp;Result=3","7041799")</f>
        <v>0</v>
      </c>
      <c r="B6085" t="s">
        <v>1802</v>
      </c>
      <c r="C6085" t="s">
        <v>8864</v>
      </c>
      <c r="D6085" t="s">
        <v>16238</v>
      </c>
      <c r="E6085" t="s">
        <v>21657</v>
      </c>
      <c r="F6085" t="s">
        <v>28198</v>
      </c>
      <c r="G6085" t="s">
        <v>28207</v>
      </c>
      <c r="H6085" t="s">
        <v>28215</v>
      </c>
      <c r="I6085" t="s">
        <v>28247</v>
      </c>
      <c r="J6085" t="s">
        <v>28449</v>
      </c>
      <c r="K6085" t="s">
        <v>36701</v>
      </c>
      <c r="M6085" t="s">
        <v>38920</v>
      </c>
      <c r="N6085" t="s">
        <v>40436</v>
      </c>
      <c r="O6085" t="s">
        <v>40437</v>
      </c>
      <c r="P6085">
        <v>0</v>
      </c>
      <c r="Q6085">
        <v>2</v>
      </c>
      <c r="R6085" t="s">
        <v>40443</v>
      </c>
      <c r="S6085" t="s">
        <v>40644</v>
      </c>
      <c r="T6085" t="s">
        <v>42277</v>
      </c>
      <c r="U6085" t="s">
        <v>47792</v>
      </c>
      <c r="W6085" t="s">
        <v>38920</v>
      </c>
      <c r="X6085" t="s">
        <v>40444</v>
      </c>
    </row>
    <row r="6086" spans="1:24">
      <c r="A6086">
        <f>HYPERLINK("https://www.philgeps.gov.ph/GEPSNONPILOT/Tender/SplashBidNoticeAbstractUI.aspx?menuIndex=3&amp;refID=7041828&amp;Result=3","7041828")</f>
        <v>0</v>
      </c>
      <c r="B6086" t="s">
        <v>1998</v>
      </c>
      <c r="C6086" t="s">
        <v>8865</v>
      </c>
      <c r="D6086" t="s">
        <v>16210</v>
      </c>
      <c r="E6086" t="s">
        <v>17020</v>
      </c>
      <c r="F6086" t="s">
        <v>28198</v>
      </c>
      <c r="G6086" t="s">
        <v>28207</v>
      </c>
      <c r="H6086" t="s">
        <v>28215</v>
      </c>
      <c r="I6086" t="s">
        <v>28238</v>
      </c>
      <c r="J6086" t="s">
        <v>31214</v>
      </c>
      <c r="K6086" t="s">
        <v>36701</v>
      </c>
      <c r="M6086" t="s">
        <v>39136</v>
      </c>
      <c r="N6086" t="s">
        <v>40436</v>
      </c>
      <c r="O6086" t="s">
        <v>40437</v>
      </c>
      <c r="P6086">
        <v>0</v>
      </c>
      <c r="Q6086">
        <v>3</v>
      </c>
      <c r="R6086" t="s">
        <v>40443</v>
      </c>
      <c r="S6086" t="s">
        <v>40644</v>
      </c>
      <c r="T6086" t="s">
        <v>42185</v>
      </c>
      <c r="U6086" t="s">
        <v>47793</v>
      </c>
      <c r="W6086" t="s">
        <v>39136</v>
      </c>
      <c r="X6086" t="s">
        <v>40444</v>
      </c>
    </row>
    <row r="6087" spans="1:24">
      <c r="A6087">
        <f>HYPERLINK("https://www.philgeps.gov.ph/GEPSNONPILOT/Tender/SplashBidNoticeAbstractUI.aspx?menuIndex=3&amp;refID=7041825&amp;Result=3","7041825")</f>
        <v>0</v>
      </c>
      <c r="B6087" t="s">
        <v>1999</v>
      </c>
      <c r="C6087" t="s">
        <v>8866</v>
      </c>
      <c r="D6087" t="s">
        <v>16210</v>
      </c>
      <c r="E6087" t="s">
        <v>21658</v>
      </c>
      <c r="F6087" t="s">
        <v>28198</v>
      </c>
      <c r="G6087" t="s">
        <v>28205</v>
      </c>
      <c r="H6087" t="s">
        <v>28215</v>
      </c>
      <c r="I6087" t="s">
        <v>4200</v>
      </c>
      <c r="J6087" t="s">
        <v>32189</v>
      </c>
      <c r="K6087" t="s">
        <v>36706</v>
      </c>
      <c r="M6087" t="s">
        <v>39137</v>
      </c>
      <c r="N6087" t="s">
        <v>40436</v>
      </c>
      <c r="O6087" t="s">
        <v>40437</v>
      </c>
      <c r="P6087">
        <v>0</v>
      </c>
      <c r="Q6087">
        <v>2</v>
      </c>
      <c r="R6087" t="s">
        <v>40443</v>
      </c>
      <c r="S6087" t="s">
        <v>40644</v>
      </c>
      <c r="T6087" t="s">
        <v>42161</v>
      </c>
      <c r="U6087" t="s">
        <v>47794</v>
      </c>
      <c r="W6087" t="s">
        <v>39137</v>
      </c>
      <c r="X6087" t="s">
        <v>40444</v>
      </c>
    </row>
    <row r="6088" spans="1:24">
      <c r="A6088">
        <f>HYPERLINK("https://www.philgeps.gov.ph/GEPSNONPILOT/Tender/SplashBidNoticeAbstractUI.aspx?menuIndex=3&amp;refID=7041811&amp;Result=3","7041811")</f>
        <v>0</v>
      </c>
      <c r="B6088" t="s">
        <v>1995</v>
      </c>
      <c r="C6088" t="s">
        <v>8867</v>
      </c>
      <c r="D6088" t="s">
        <v>16213</v>
      </c>
      <c r="E6088" t="s">
        <v>21644</v>
      </c>
      <c r="F6088" t="s">
        <v>28198</v>
      </c>
      <c r="G6088" t="s">
        <v>28206</v>
      </c>
      <c r="H6088" t="s">
        <v>28215</v>
      </c>
      <c r="I6088" t="s">
        <v>28224</v>
      </c>
      <c r="J6088" t="s">
        <v>28755</v>
      </c>
      <c r="K6088" t="s">
        <v>36688</v>
      </c>
      <c r="M6088" t="s">
        <v>39133</v>
      </c>
      <c r="N6088" t="s">
        <v>40436</v>
      </c>
      <c r="O6088" t="s">
        <v>40437</v>
      </c>
      <c r="P6088">
        <v>0</v>
      </c>
      <c r="Q6088">
        <v>2</v>
      </c>
      <c r="R6088" t="s">
        <v>40443</v>
      </c>
      <c r="S6088" t="s">
        <v>40644</v>
      </c>
      <c r="T6088" t="s">
        <v>42190</v>
      </c>
      <c r="U6088" t="s">
        <v>47795</v>
      </c>
      <c r="W6088" t="s">
        <v>39133</v>
      </c>
      <c r="X6088" t="s">
        <v>40444</v>
      </c>
    </row>
    <row r="6089" spans="1:24">
      <c r="A6089">
        <f>HYPERLINK("https://www.philgeps.gov.ph/GEPSNONPILOT/Tender/SplashBidNoticeAbstractUI.aspx?menuIndex=3&amp;refID=7041833&amp;Result=3","7041833")</f>
        <v>0</v>
      </c>
      <c r="B6089" t="s">
        <v>1997</v>
      </c>
      <c r="C6089" t="s">
        <v>8858</v>
      </c>
      <c r="D6089" t="s">
        <v>16196</v>
      </c>
      <c r="E6089" t="s">
        <v>21659</v>
      </c>
      <c r="F6089" t="s">
        <v>28198</v>
      </c>
      <c r="G6089" t="s">
        <v>28205</v>
      </c>
      <c r="H6089" t="s">
        <v>28214</v>
      </c>
      <c r="I6089" t="s">
        <v>3797</v>
      </c>
      <c r="J6089" t="s">
        <v>32190</v>
      </c>
      <c r="K6089" t="s">
        <v>36835</v>
      </c>
      <c r="M6089" t="s">
        <v>39135</v>
      </c>
      <c r="N6089" t="s">
        <v>40436</v>
      </c>
      <c r="O6089" t="s">
        <v>40437</v>
      </c>
      <c r="P6089">
        <v>0</v>
      </c>
      <c r="Q6089">
        <v>41</v>
      </c>
      <c r="R6089" t="s">
        <v>40443</v>
      </c>
      <c r="S6089" t="s">
        <v>40644</v>
      </c>
      <c r="T6089" t="s">
        <v>42123</v>
      </c>
      <c r="U6089" t="s">
        <v>47796</v>
      </c>
      <c r="V6089" t="s">
        <v>54405</v>
      </c>
      <c r="W6089" t="s">
        <v>39135</v>
      </c>
      <c r="X6089" t="s">
        <v>40444</v>
      </c>
    </row>
    <row r="6090" spans="1:24">
      <c r="A6090">
        <f>HYPERLINK("https://www.philgeps.gov.ph/GEPSNONPILOT/Tender/SplashBidNoticeAbstractUI.aspx?menuIndex=3&amp;refID=7041808&amp;Result=3","7041808")</f>
        <v>0</v>
      </c>
      <c r="B6090" t="s">
        <v>1985</v>
      </c>
      <c r="C6090" t="s">
        <v>8868</v>
      </c>
      <c r="D6090" t="s">
        <v>16210</v>
      </c>
      <c r="E6090" t="s">
        <v>21660</v>
      </c>
      <c r="F6090" t="s">
        <v>28198</v>
      </c>
      <c r="G6090" t="s">
        <v>28207</v>
      </c>
      <c r="H6090" t="s">
        <v>28215</v>
      </c>
      <c r="I6090" t="s">
        <v>28234</v>
      </c>
      <c r="J6090" t="s">
        <v>28551</v>
      </c>
      <c r="K6090" t="s">
        <v>36689</v>
      </c>
      <c r="M6090" t="s">
        <v>39122</v>
      </c>
      <c r="N6090" t="s">
        <v>40436</v>
      </c>
      <c r="O6090" t="s">
        <v>40437</v>
      </c>
      <c r="P6090">
        <v>0</v>
      </c>
      <c r="Q6090">
        <v>7</v>
      </c>
      <c r="R6090" t="s">
        <v>40443</v>
      </c>
      <c r="S6090" t="s">
        <v>40644</v>
      </c>
      <c r="T6090" t="s">
        <v>42169</v>
      </c>
      <c r="U6090" t="s">
        <v>47797</v>
      </c>
      <c r="W6090" t="s">
        <v>39122</v>
      </c>
      <c r="X6090" t="s">
        <v>40444</v>
      </c>
    </row>
    <row r="6091" spans="1:24">
      <c r="A6091">
        <f>HYPERLINK("https://www.philgeps.gov.ph/GEPSNONPILOT/Tender/SplashBidNoticeAbstractUI.aspx?menuIndex=3&amp;refID=7041841&amp;Result=3","7041841")</f>
        <v>0</v>
      </c>
      <c r="B6091" t="s">
        <v>400</v>
      </c>
      <c r="C6091" t="s">
        <v>8869</v>
      </c>
      <c r="D6091" t="s">
        <v>16210</v>
      </c>
      <c r="E6091" t="s">
        <v>21661</v>
      </c>
      <c r="F6091" t="s">
        <v>28198</v>
      </c>
      <c r="G6091" t="s">
        <v>28207</v>
      </c>
      <c r="H6091" t="s">
        <v>28215</v>
      </c>
      <c r="I6091" t="s">
        <v>28274</v>
      </c>
      <c r="J6091" t="s">
        <v>29473</v>
      </c>
      <c r="K6091" t="s">
        <v>36689</v>
      </c>
      <c r="M6091" t="s">
        <v>37380</v>
      </c>
      <c r="N6091" t="s">
        <v>40436</v>
      </c>
      <c r="O6091" t="s">
        <v>40437</v>
      </c>
      <c r="P6091">
        <v>0</v>
      </c>
      <c r="Q6091">
        <v>2</v>
      </c>
      <c r="R6091" t="s">
        <v>40443</v>
      </c>
      <c r="S6091" t="s">
        <v>40644</v>
      </c>
      <c r="T6091" t="s">
        <v>42205</v>
      </c>
      <c r="U6091" t="s">
        <v>43296</v>
      </c>
      <c r="W6091" t="s">
        <v>37380</v>
      </c>
      <c r="X6091" t="s">
        <v>40444</v>
      </c>
    </row>
    <row r="6092" spans="1:24">
      <c r="A6092">
        <f>HYPERLINK("https://www.philgeps.gov.ph/GEPSNONPILOT/Tender/SplashBidNoticeAbstractUI.aspx?menuIndex=3&amp;refID=7041847&amp;Result=3","7041847")</f>
        <v>0</v>
      </c>
      <c r="B6092" t="s">
        <v>2000</v>
      </c>
      <c r="C6092" t="s">
        <v>8870</v>
      </c>
      <c r="D6092" t="s">
        <v>16199</v>
      </c>
      <c r="E6092" t="s">
        <v>21662</v>
      </c>
      <c r="F6092" t="s">
        <v>28198</v>
      </c>
      <c r="G6092" t="s">
        <v>28205</v>
      </c>
      <c r="H6092" t="s">
        <v>28215</v>
      </c>
      <c r="I6092" t="s">
        <v>8870</v>
      </c>
      <c r="J6092" t="s">
        <v>28345</v>
      </c>
      <c r="K6092" t="s">
        <v>36688</v>
      </c>
      <c r="M6092" t="s">
        <v>39138</v>
      </c>
      <c r="N6092" t="s">
        <v>40436</v>
      </c>
      <c r="O6092" t="s">
        <v>40437</v>
      </c>
      <c r="P6092">
        <v>0</v>
      </c>
      <c r="Q6092">
        <v>1</v>
      </c>
      <c r="R6092" t="s">
        <v>40443</v>
      </c>
      <c r="S6092" t="s">
        <v>40644</v>
      </c>
      <c r="T6092" t="s">
        <v>42131</v>
      </c>
      <c r="U6092" t="s">
        <v>47798</v>
      </c>
      <c r="W6092" t="s">
        <v>39138</v>
      </c>
      <c r="X6092" t="s">
        <v>40444</v>
      </c>
    </row>
    <row r="6093" spans="1:24">
      <c r="A6093">
        <f>HYPERLINK("https://www.philgeps.gov.ph/GEPSNONPILOT/Tender/SplashBidNoticeAbstractUI.aspx?menuIndex=3&amp;refID=7041840&amp;Result=3","7041840")</f>
        <v>0</v>
      </c>
      <c r="B6093" t="s">
        <v>2001</v>
      </c>
      <c r="C6093" t="s">
        <v>3446</v>
      </c>
      <c r="D6093" t="s">
        <v>16187</v>
      </c>
      <c r="E6093" t="s">
        <v>17390</v>
      </c>
      <c r="F6093" t="s">
        <v>28198</v>
      </c>
      <c r="G6093" t="s">
        <v>28205</v>
      </c>
      <c r="H6093" t="s">
        <v>28215</v>
      </c>
      <c r="I6093" t="s">
        <v>8888</v>
      </c>
      <c r="J6093" t="s">
        <v>28559</v>
      </c>
      <c r="K6093" t="s">
        <v>36706</v>
      </c>
      <c r="M6093" t="s">
        <v>39139</v>
      </c>
      <c r="N6093" t="s">
        <v>40436</v>
      </c>
      <c r="O6093" t="s">
        <v>40437</v>
      </c>
      <c r="P6093">
        <v>0</v>
      </c>
      <c r="Q6093">
        <v>2</v>
      </c>
      <c r="R6093" t="s">
        <v>40443</v>
      </c>
      <c r="S6093" t="s">
        <v>40644</v>
      </c>
      <c r="T6093" t="s">
        <v>42218</v>
      </c>
      <c r="U6093" t="s">
        <v>47799</v>
      </c>
      <c r="W6093" t="s">
        <v>39139</v>
      </c>
      <c r="X6093" t="s">
        <v>40444</v>
      </c>
    </row>
    <row r="6094" spans="1:24">
      <c r="A6094">
        <f>HYPERLINK("https://www.philgeps.gov.ph/GEPSNONPILOT/Tender/SplashBidNoticeAbstractUI.aspx?menuIndex=3&amp;refID=7041846&amp;Result=3","7041846")</f>
        <v>0</v>
      </c>
      <c r="B6094" t="s">
        <v>1994</v>
      </c>
      <c r="C6094" t="s">
        <v>8871</v>
      </c>
      <c r="D6094" t="s">
        <v>16209</v>
      </c>
      <c r="E6094" t="s">
        <v>21663</v>
      </c>
      <c r="F6094" t="s">
        <v>28198</v>
      </c>
      <c r="G6094" t="s">
        <v>28205</v>
      </c>
      <c r="H6094" t="s">
        <v>28215</v>
      </c>
      <c r="I6094" t="s">
        <v>6051</v>
      </c>
      <c r="J6094" t="s">
        <v>28398</v>
      </c>
      <c r="K6094" t="s">
        <v>36701</v>
      </c>
      <c r="M6094" t="s">
        <v>39132</v>
      </c>
      <c r="N6094" t="s">
        <v>40436</v>
      </c>
      <c r="O6094" t="s">
        <v>40437</v>
      </c>
      <c r="P6094">
        <v>0</v>
      </c>
      <c r="Q6094">
        <v>0</v>
      </c>
      <c r="R6094" t="s">
        <v>40443</v>
      </c>
      <c r="S6094" t="s">
        <v>40644</v>
      </c>
      <c r="T6094" t="s">
        <v>42443</v>
      </c>
      <c r="U6094" t="s">
        <v>42915</v>
      </c>
      <c r="V6094" t="s">
        <v>54402</v>
      </c>
      <c r="W6094" t="s">
        <v>39132</v>
      </c>
      <c r="X6094" t="s">
        <v>40444</v>
      </c>
    </row>
    <row r="6095" spans="1:24">
      <c r="A6095">
        <f>HYPERLINK("https://www.philgeps.gov.ph/GEPSNONPILOT/Tender/SplashBidNoticeAbstractUI.aspx?menuIndex=3&amp;refID=7041813&amp;Result=3","7041813")</f>
        <v>0</v>
      </c>
      <c r="B6095" t="s">
        <v>97</v>
      </c>
      <c r="C6095" t="s">
        <v>8872</v>
      </c>
      <c r="D6095" t="s">
        <v>16226</v>
      </c>
      <c r="E6095" t="s">
        <v>21664</v>
      </c>
      <c r="F6095" t="s">
        <v>28198</v>
      </c>
      <c r="G6095" t="s">
        <v>28207</v>
      </c>
      <c r="H6095" t="s">
        <v>28215</v>
      </c>
      <c r="I6095" t="s">
        <v>28299</v>
      </c>
      <c r="J6095" t="s">
        <v>28430</v>
      </c>
      <c r="K6095" t="s">
        <v>36688</v>
      </c>
      <c r="M6095" t="s">
        <v>38437</v>
      </c>
      <c r="N6095" t="s">
        <v>40436</v>
      </c>
      <c r="O6095" t="s">
        <v>40437</v>
      </c>
      <c r="P6095">
        <v>0</v>
      </c>
      <c r="Q6095">
        <v>2</v>
      </c>
      <c r="R6095" t="s">
        <v>40443</v>
      </c>
      <c r="S6095" t="s">
        <v>40644</v>
      </c>
      <c r="T6095" t="s">
        <v>42185</v>
      </c>
      <c r="U6095" t="s">
        <v>47800</v>
      </c>
      <c r="W6095" t="s">
        <v>38437</v>
      </c>
      <c r="X6095" t="s">
        <v>40444</v>
      </c>
    </row>
    <row r="6096" spans="1:24">
      <c r="A6096">
        <f>HYPERLINK("https://www.philgeps.gov.ph/GEPSNONPILOT/Tender/SplashBidNoticeAbstractUI.aspx?menuIndex=3&amp;refID=7041848&amp;Result=3","7041848")</f>
        <v>0</v>
      </c>
      <c r="B6096" t="s">
        <v>1802</v>
      </c>
      <c r="C6096" t="s">
        <v>8873</v>
      </c>
      <c r="D6096" t="s">
        <v>16238</v>
      </c>
      <c r="E6096" t="s">
        <v>21665</v>
      </c>
      <c r="F6096" t="s">
        <v>28198</v>
      </c>
      <c r="G6096" t="s">
        <v>28207</v>
      </c>
      <c r="H6096" t="s">
        <v>28215</v>
      </c>
      <c r="I6096" t="s">
        <v>28247</v>
      </c>
      <c r="J6096" t="s">
        <v>32191</v>
      </c>
      <c r="K6096" t="s">
        <v>36701</v>
      </c>
      <c r="M6096" t="s">
        <v>38920</v>
      </c>
      <c r="N6096" t="s">
        <v>40436</v>
      </c>
      <c r="O6096" t="s">
        <v>40437</v>
      </c>
      <c r="P6096">
        <v>0</v>
      </c>
      <c r="Q6096">
        <v>7</v>
      </c>
      <c r="R6096" t="s">
        <v>40443</v>
      </c>
      <c r="S6096" t="s">
        <v>40644</v>
      </c>
      <c r="T6096" t="s">
        <v>42277</v>
      </c>
      <c r="U6096" t="s">
        <v>47801</v>
      </c>
      <c r="W6096" t="s">
        <v>38920</v>
      </c>
      <c r="X6096" t="s">
        <v>40444</v>
      </c>
    </row>
    <row r="6097" spans="1:24">
      <c r="A6097">
        <f>HYPERLINK("https://www.philgeps.gov.ph/GEPSNONPILOT/Tender/SplashBidNoticeAbstractUI.aspx?menuIndex=3&amp;refID=7041836&amp;Result=3","7041836")</f>
        <v>0</v>
      </c>
      <c r="B6097" t="s">
        <v>2002</v>
      </c>
      <c r="C6097" t="s">
        <v>8874</v>
      </c>
      <c r="D6097" t="s">
        <v>16210</v>
      </c>
      <c r="E6097" t="s">
        <v>21666</v>
      </c>
      <c r="F6097" t="s">
        <v>28198</v>
      </c>
      <c r="G6097" t="s">
        <v>28205</v>
      </c>
      <c r="H6097" t="s">
        <v>28215</v>
      </c>
      <c r="I6097" t="s">
        <v>4200</v>
      </c>
      <c r="J6097" t="s">
        <v>32192</v>
      </c>
      <c r="K6097" t="s">
        <v>36706</v>
      </c>
      <c r="M6097" t="s">
        <v>39140</v>
      </c>
      <c r="N6097" t="s">
        <v>40436</v>
      </c>
      <c r="O6097" t="s">
        <v>40437</v>
      </c>
      <c r="P6097">
        <v>0</v>
      </c>
      <c r="Q6097">
        <v>2</v>
      </c>
      <c r="R6097" t="s">
        <v>40443</v>
      </c>
      <c r="S6097" t="s">
        <v>40644</v>
      </c>
      <c r="T6097" t="s">
        <v>42161</v>
      </c>
      <c r="U6097" t="s">
        <v>47802</v>
      </c>
      <c r="W6097" t="s">
        <v>39140</v>
      </c>
      <c r="X6097" t="s">
        <v>40444</v>
      </c>
    </row>
    <row r="6098" spans="1:24">
      <c r="A6098">
        <f>HYPERLINK("https://www.philgeps.gov.ph/GEPSNONPILOT/Tender/SplashBidNoticeAbstractUI.aspx?menuIndex=3&amp;refID=7041815&amp;Result=3","7041815")</f>
        <v>0</v>
      </c>
      <c r="B6098" t="s">
        <v>2003</v>
      </c>
      <c r="C6098" t="s">
        <v>8875</v>
      </c>
      <c r="D6098" t="s">
        <v>16274</v>
      </c>
      <c r="E6098" t="s">
        <v>21667</v>
      </c>
      <c r="F6098" t="s">
        <v>28198</v>
      </c>
      <c r="G6098" t="s">
        <v>28206</v>
      </c>
      <c r="H6098" t="s">
        <v>28215</v>
      </c>
      <c r="I6098" t="s">
        <v>28229</v>
      </c>
      <c r="J6098" t="s">
        <v>28345</v>
      </c>
      <c r="K6098" t="s">
        <v>36701</v>
      </c>
      <c r="M6098" t="s">
        <v>39141</v>
      </c>
      <c r="N6098" t="s">
        <v>40436</v>
      </c>
      <c r="O6098" t="s">
        <v>40437</v>
      </c>
      <c r="P6098">
        <v>0</v>
      </c>
      <c r="Q6098">
        <v>1</v>
      </c>
      <c r="R6098" t="s">
        <v>40443</v>
      </c>
      <c r="S6098" t="s">
        <v>40644</v>
      </c>
      <c r="T6098" t="s">
        <v>42218</v>
      </c>
      <c r="U6098" t="s">
        <v>47803</v>
      </c>
      <c r="W6098" t="s">
        <v>39141</v>
      </c>
      <c r="X6098" t="s">
        <v>40444</v>
      </c>
    </row>
    <row r="6099" spans="1:24">
      <c r="A6099">
        <f>HYPERLINK("https://www.philgeps.gov.ph/GEPSNONPILOT/Tender/SplashBidNoticeAbstractUI.aspx?menuIndex=3&amp;refID=7041837&amp;Result=3","7041837")</f>
        <v>0</v>
      </c>
      <c r="B6099" t="s">
        <v>2004</v>
      </c>
      <c r="C6099" t="s">
        <v>8876</v>
      </c>
      <c r="D6099" t="s">
        <v>16189</v>
      </c>
      <c r="E6099" t="s">
        <v>21668</v>
      </c>
      <c r="F6099" t="s">
        <v>28198</v>
      </c>
      <c r="G6099" t="s">
        <v>28205</v>
      </c>
      <c r="H6099" t="s">
        <v>28215</v>
      </c>
      <c r="I6099" t="s">
        <v>5100</v>
      </c>
      <c r="J6099" t="s">
        <v>32193</v>
      </c>
      <c r="K6099" t="s">
        <v>36689</v>
      </c>
      <c r="L6099" t="s">
        <v>2004</v>
      </c>
      <c r="M6099" t="s">
        <v>39142</v>
      </c>
      <c r="N6099" t="s">
        <v>40436</v>
      </c>
      <c r="O6099" t="s">
        <v>40437</v>
      </c>
      <c r="P6099">
        <v>0</v>
      </c>
      <c r="Q6099">
        <v>0</v>
      </c>
      <c r="R6099" t="s">
        <v>40443</v>
      </c>
      <c r="S6099" t="s">
        <v>40644</v>
      </c>
      <c r="T6099" t="s">
        <v>42158</v>
      </c>
      <c r="U6099" t="s">
        <v>47804</v>
      </c>
      <c r="W6099" t="s">
        <v>39142</v>
      </c>
      <c r="X6099" t="s">
        <v>40444</v>
      </c>
    </row>
    <row r="6100" spans="1:24">
      <c r="A6100">
        <f>HYPERLINK("https://www.philgeps.gov.ph/GEPSNONPILOT/Tender/SplashBidNoticeAbstractUI.aspx?menuIndex=3&amp;refID=7041867&amp;Result=3","7041867")</f>
        <v>0</v>
      </c>
      <c r="B6100" t="s">
        <v>1802</v>
      </c>
      <c r="C6100" t="s">
        <v>8877</v>
      </c>
      <c r="D6100" t="s">
        <v>16238</v>
      </c>
      <c r="E6100" t="s">
        <v>21669</v>
      </c>
      <c r="F6100" t="s">
        <v>28198</v>
      </c>
      <c r="G6100" t="s">
        <v>28207</v>
      </c>
      <c r="H6100" t="s">
        <v>28215</v>
      </c>
      <c r="I6100" t="s">
        <v>4168</v>
      </c>
      <c r="J6100" t="s">
        <v>28414</v>
      </c>
      <c r="K6100" t="s">
        <v>36701</v>
      </c>
      <c r="M6100" t="s">
        <v>38920</v>
      </c>
      <c r="N6100" t="s">
        <v>40436</v>
      </c>
      <c r="O6100" t="s">
        <v>40437</v>
      </c>
      <c r="P6100">
        <v>0</v>
      </c>
      <c r="Q6100">
        <v>2</v>
      </c>
      <c r="R6100" t="s">
        <v>40443</v>
      </c>
      <c r="S6100" t="s">
        <v>40644</v>
      </c>
      <c r="T6100" t="s">
        <v>42277</v>
      </c>
      <c r="U6100" t="s">
        <v>47805</v>
      </c>
      <c r="W6100" t="s">
        <v>38920</v>
      </c>
      <c r="X6100" t="s">
        <v>40444</v>
      </c>
    </row>
    <row r="6101" spans="1:24">
      <c r="A6101">
        <f>HYPERLINK("https://www.philgeps.gov.ph/GEPSNONPILOT/Tender/SplashBidNoticeAbstractUI.aspx?menuIndex=3&amp;refID=7041814&amp;Result=3","7041814")</f>
        <v>0</v>
      </c>
      <c r="B6101" t="s">
        <v>241</v>
      </c>
      <c r="C6101" t="s">
        <v>8878</v>
      </c>
      <c r="D6101" t="s">
        <v>16200</v>
      </c>
      <c r="E6101" t="s">
        <v>21670</v>
      </c>
      <c r="F6101" t="s">
        <v>28198</v>
      </c>
      <c r="G6101" t="s">
        <v>28207</v>
      </c>
      <c r="H6101" t="s">
        <v>28215</v>
      </c>
      <c r="I6101" t="s">
        <v>28225</v>
      </c>
      <c r="J6101" t="s">
        <v>28967</v>
      </c>
      <c r="K6101" t="s">
        <v>36706</v>
      </c>
      <c r="M6101" t="s">
        <v>37217</v>
      </c>
      <c r="N6101" t="s">
        <v>40436</v>
      </c>
      <c r="O6101" t="s">
        <v>40437</v>
      </c>
      <c r="P6101">
        <v>0</v>
      </c>
      <c r="Q6101">
        <v>5</v>
      </c>
      <c r="R6101" t="s">
        <v>40443</v>
      </c>
      <c r="S6101" t="s">
        <v>40644</v>
      </c>
      <c r="T6101" t="s">
        <v>42245</v>
      </c>
      <c r="U6101" t="s">
        <v>47806</v>
      </c>
      <c r="W6101" t="s">
        <v>37217</v>
      </c>
      <c r="X6101" t="s">
        <v>40444</v>
      </c>
    </row>
    <row r="6102" spans="1:24">
      <c r="A6102">
        <f>HYPERLINK("https://www.philgeps.gov.ph/GEPSNONPILOT/Tender/SplashBidNoticeAbstractUI.aspx?menuIndex=3&amp;refID=7041882&amp;Result=3","7041882")</f>
        <v>0</v>
      </c>
      <c r="B6102" t="s">
        <v>1997</v>
      </c>
      <c r="C6102" t="s">
        <v>8858</v>
      </c>
      <c r="D6102" t="s">
        <v>16196</v>
      </c>
      <c r="E6102" t="s">
        <v>21671</v>
      </c>
      <c r="F6102" t="s">
        <v>28198</v>
      </c>
      <c r="G6102" t="s">
        <v>28205</v>
      </c>
      <c r="H6102" t="s">
        <v>28214</v>
      </c>
      <c r="I6102" t="s">
        <v>3797</v>
      </c>
      <c r="J6102" t="s">
        <v>28393</v>
      </c>
      <c r="K6102" t="s">
        <v>36694</v>
      </c>
      <c r="M6102" t="s">
        <v>39135</v>
      </c>
      <c r="N6102" t="s">
        <v>40436</v>
      </c>
      <c r="O6102" t="s">
        <v>40437</v>
      </c>
      <c r="P6102">
        <v>0</v>
      </c>
      <c r="Q6102">
        <v>18</v>
      </c>
      <c r="R6102" t="s">
        <v>40443</v>
      </c>
      <c r="S6102" t="s">
        <v>40644</v>
      </c>
      <c r="T6102" t="s">
        <v>42123</v>
      </c>
      <c r="U6102" t="s">
        <v>47807</v>
      </c>
      <c r="V6102" t="s">
        <v>54405</v>
      </c>
      <c r="W6102" t="s">
        <v>39135</v>
      </c>
      <c r="X6102" t="s">
        <v>40444</v>
      </c>
    </row>
    <row r="6103" spans="1:24">
      <c r="A6103">
        <f>HYPERLINK("https://www.philgeps.gov.ph/GEPSNONPILOT/Tender/SplashBidNoticeAbstractUI.aspx?menuIndex=3&amp;refID=7041879&amp;Result=3","7041879")</f>
        <v>0</v>
      </c>
      <c r="B6103" t="s">
        <v>2005</v>
      </c>
      <c r="C6103" t="s">
        <v>8879</v>
      </c>
      <c r="D6103" t="s">
        <v>16246</v>
      </c>
      <c r="E6103" t="s">
        <v>21672</v>
      </c>
      <c r="F6103" t="s">
        <v>28198</v>
      </c>
      <c r="G6103" t="s">
        <v>28205</v>
      </c>
      <c r="H6103" t="s">
        <v>28214</v>
      </c>
      <c r="I6103" t="s">
        <v>3797</v>
      </c>
      <c r="J6103" t="s">
        <v>28691</v>
      </c>
      <c r="K6103" t="s">
        <v>36708</v>
      </c>
      <c r="M6103" t="s">
        <v>39143</v>
      </c>
      <c r="N6103" t="s">
        <v>40436</v>
      </c>
      <c r="O6103" t="s">
        <v>40437</v>
      </c>
      <c r="P6103">
        <v>0</v>
      </c>
      <c r="Q6103">
        <v>0</v>
      </c>
      <c r="R6103" t="s">
        <v>40443</v>
      </c>
      <c r="S6103" t="s">
        <v>40644</v>
      </c>
      <c r="T6103" t="s">
        <v>42190</v>
      </c>
      <c r="U6103" t="s">
        <v>47808</v>
      </c>
      <c r="W6103" t="s">
        <v>39143</v>
      </c>
      <c r="X6103" t="s">
        <v>40444</v>
      </c>
    </row>
    <row r="6104" spans="1:24">
      <c r="A6104">
        <f>HYPERLINK("https://www.philgeps.gov.ph/GEPSNONPILOT/Tender/SplashBidNoticeAbstractUI.aspx?menuIndex=3&amp;refID=7041868&amp;Result=3","7041868")</f>
        <v>0</v>
      </c>
      <c r="B6104" t="s">
        <v>683</v>
      </c>
      <c r="C6104" t="s">
        <v>8880</v>
      </c>
      <c r="D6104" t="s">
        <v>16196</v>
      </c>
      <c r="E6104" t="s">
        <v>21673</v>
      </c>
      <c r="F6104" t="s">
        <v>28198</v>
      </c>
      <c r="G6104" t="s">
        <v>28207</v>
      </c>
      <c r="H6104" t="s">
        <v>28215</v>
      </c>
      <c r="I6104" t="s">
        <v>28219</v>
      </c>
      <c r="J6104" t="s">
        <v>28406</v>
      </c>
      <c r="K6104" t="s">
        <v>36707</v>
      </c>
      <c r="M6104" t="s">
        <v>37681</v>
      </c>
      <c r="N6104" t="s">
        <v>40436</v>
      </c>
      <c r="O6104" t="s">
        <v>40437</v>
      </c>
      <c r="P6104">
        <v>0</v>
      </c>
      <c r="Q6104">
        <v>5</v>
      </c>
      <c r="R6104" t="s">
        <v>40443</v>
      </c>
      <c r="S6104" t="s">
        <v>40644</v>
      </c>
      <c r="T6104" t="s">
        <v>42130</v>
      </c>
      <c r="U6104" t="s">
        <v>47809</v>
      </c>
      <c r="W6104" t="s">
        <v>37681</v>
      </c>
      <c r="X6104" t="s">
        <v>40444</v>
      </c>
    </row>
    <row r="6105" spans="1:24">
      <c r="A6105">
        <f>HYPERLINK("https://www.philgeps.gov.ph/GEPSNONPILOT/Tender/SplashBidNoticeAbstractUI.aspx?menuIndex=3&amp;refID=7041860&amp;Result=3","7041860")</f>
        <v>0</v>
      </c>
      <c r="B6105" t="s">
        <v>2006</v>
      </c>
      <c r="C6105" t="s">
        <v>8881</v>
      </c>
      <c r="E6105" t="s">
        <v>21674</v>
      </c>
      <c r="F6105" t="s">
        <v>28198</v>
      </c>
      <c r="G6105" t="s">
        <v>28205</v>
      </c>
      <c r="H6105" t="s">
        <v>28215</v>
      </c>
      <c r="I6105" t="s">
        <v>8888</v>
      </c>
      <c r="J6105" t="s">
        <v>28406</v>
      </c>
      <c r="K6105" t="s">
        <v>36688</v>
      </c>
      <c r="M6105" t="s">
        <v>39144</v>
      </c>
      <c r="N6105" t="s">
        <v>40436</v>
      </c>
      <c r="O6105" t="s">
        <v>40437</v>
      </c>
      <c r="P6105">
        <v>0</v>
      </c>
      <c r="Q6105">
        <v>0</v>
      </c>
      <c r="R6105" t="s">
        <v>40443</v>
      </c>
      <c r="S6105" t="s">
        <v>40644</v>
      </c>
      <c r="T6105" t="s">
        <v>42131</v>
      </c>
      <c r="U6105" t="s">
        <v>47810</v>
      </c>
      <c r="W6105" t="s">
        <v>39144</v>
      </c>
      <c r="X6105" t="s">
        <v>40444</v>
      </c>
    </row>
    <row r="6106" spans="1:24">
      <c r="A6106">
        <f>HYPERLINK("https://www.philgeps.gov.ph/GEPSNONPILOT/Tender/SplashBidNoticeAbstractUI.aspx?menuIndex=3&amp;refID=7041880&amp;Result=3","7041880")</f>
        <v>0</v>
      </c>
      <c r="B6106" t="s">
        <v>683</v>
      </c>
      <c r="C6106" t="s">
        <v>8882</v>
      </c>
      <c r="D6106" t="s">
        <v>16196</v>
      </c>
      <c r="E6106" t="s">
        <v>21673</v>
      </c>
      <c r="F6106" t="s">
        <v>28198</v>
      </c>
      <c r="G6106" t="s">
        <v>28207</v>
      </c>
      <c r="H6106" t="s">
        <v>28215</v>
      </c>
      <c r="I6106" t="s">
        <v>28219</v>
      </c>
      <c r="J6106" t="s">
        <v>28373</v>
      </c>
      <c r="K6106" t="s">
        <v>36707</v>
      </c>
      <c r="M6106" t="s">
        <v>37681</v>
      </c>
      <c r="N6106" t="s">
        <v>40436</v>
      </c>
      <c r="O6106" t="s">
        <v>40437</v>
      </c>
      <c r="P6106">
        <v>0</v>
      </c>
      <c r="Q6106">
        <v>4</v>
      </c>
      <c r="R6106" t="s">
        <v>40443</v>
      </c>
      <c r="S6106" t="s">
        <v>40644</v>
      </c>
      <c r="T6106" t="s">
        <v>42130</v>
      </c>
      <c r="U6106" t="s">
        <v>47811</v>
      </c>
      <c r="W6106" t="s">
        <v>37681</v>
      </c>
      <c r="X6106" t="s">
        <v>40444</v>
      </c>
    </row>
    <row r="6107" spans="1:24">
      <c r="A6107">
        <f>HYPERLINK("https://www.philgeps.gov.ph/GEPSNONPILOT/Tender/SplashBidNoticeAbstractUI.aspx?menuIndex=3&amp;refID=7041872&amp;Result=3","7041872")</f>
        <v>0</v>
      </c>
      <c r="B6107" t="s">
        <v>1802</v>
      </c>
      <c r="C6107" t="s">
        <v>8883</v>
      </c>
      <c r="D6107" t="s">
        <v>16238</v>
      </c>
      <c r="E6107" t="s">
        <v>21675</v>
      </c>
      <c r="F6107" t="s">
        <v>28198</v>
      </c>
      <c r="G6107" t="s">
        <v>28207</v>
      </c>
      <c r="H6107" t="s">
        <v>28215</v>
      </c>
      <c r="I6107" t="s">
        <v>28224</v>
      </c>
      <c r="J6107" t="s">
        <v>32194</v>
      </c>
      <c r="K6107" t="s">
        <v>36701</v>
      </c>
      <c r="M6107" t="s">
        <v>38920</v>
      </c>
      <c r="N6107" t="s">
        <v>40436</v>
      </c>
      <c r="O6107" t="s">
        <v>40437</v>
      </c>
      <c r="P6107">
        <v>0</v>
      </c>
      <c r="Q6107">
        <v>0</v>
      </c>
      <c r="R6107" t="s">
        <v>40443</v>
      </c>
      <c r="S6107" t="s">
        <v>40644</v>
      </c>
      <c r="T6107" t="s">
        <v>42277</v>
      </c>
      <c r="U6107" t="s">
        <v>47812</v>
      </c>
      <c r="W6107" t="s">
        <v>38920</v>
      </c>
      <c r="X6107" t="s">
        <v>40444</v>
      </c>
    </row>
    <row r="6108" spans="1:24">
      <c r="A6108">
        <f>HYPERLINK("https://www.philgeps.gov.ph/GEPSNONPILOT/Tender/SplashBidNoticeAbstractUI.aspx?menuIndex=3&amp;refID=7041854&amp;Result=3","7041854")</f>
        <v>0</v>
      </c>
      <c r="B6108" t="s">
        <v>1994</v>
      </c>
      <c r="C6108" t="s">
        <v>8884</v>
      </c>
      <c r="D6108" t="s">
        <v>16209</v>
      </c>
      <c r="E6108" t="s">
        <v>17677</v>
      </c>
      <c r="F6108" t="s">
        <v>28198</v>
      </c>
      <c r="G6108" t="s">
        <v>28205</v>
      </c>
      <c r="H6108" t="s">
        <v>28214</v>
      </c>
      <c r="I6108" t="s">
        <v>3422</v>
      </c>
      <c r="J6108" t="s">
        <v>28415</v>
      </c>
      <c r="K6108" t="s">
        <v>36701</v>
      </c>
      <c r="M6108" t="s">
        <v>39132</v>
      </c>
      <c r="N6108" t="s">
        <v>40436</v>
      </c>
      <c r="O6108" t="s">
        <v>40437</v>
      </c>
      <c r="P6108">
        <v>0</v>
      </c>
      <c r="Q6108">
        <v>0</v>
      </c>
      <c r="R6108" t="s">
        <v>40443</v>
      </c>
      <c r="S6108" t="s">
        <v>40644</v>
      </c>
      <c r="T6108" t="s">
        <v>42443</v>
      </c>
      <c r="U6108" t="s">
        <v>42915</v>
      </c>
      <c r="V6108" t="s">
        <v>54402</v>
      </c>
      <c r="W6108" t="s">
        <v>39132</v>
      </c>
      <c r="X6108" t="s">
        <v>40444</v>
      </c>
    </row>
    <row r="6109" spans="1:24">
      <c r="A6109">
        <f>HYPERLINK("https://www.philgeps.gov.ph/GEPSNONPILOT/Tender/SplashBidNoticeAbstractUI.aspx?menuIndex=3&amp;refID=7041920&amp;Result=3","7041920")</f>
        <v>0</v>
      </c>
      <c r="B6109" t="s">
        <v>2007</v>
      </c>
      <c r="C6109" t="s">
        <v>3119</v>
      </c>
      <c r="D6109" t="s">
        <v>16198</v>
      </c>
      <c r="E6109" t="s">
        <v>21676</v>
      </c>
      <c r="F6109" t="s">
        <v>28198</v>
      </c>
      <c r="G6109" t="s">
        <v>28205</v>
      </c>
      <c r="H6109" t="s">
        <v>28214</v>
      </c>
      <c r="I6109" t="s">
        <v>3797</v>
      </c>
      <c r="J6109" t="s">
        <v>28415</v>
      </c>
      <c r="K6109" t="s">
        <v>36778</v>
      </c>
      <c r="M6109" t="s">
        <v>39145</v>
      </c>
      <c r="N6109" t="s">
        <v>40436</v>
      </c>
      <c r="O6109" t="s">
        <v>40437</v>
      </c>
      <c r="P6109">
        <v>0</v>
      </c>
      <c r="Q6109">
        <v>0</v>
      </c>
      <c r="R6109" t="s">
        <v>40443</v>
      </c>
      <c r="S6109" t="s">
        <v>40644</v>
      </c>
      <c r="T6109" t="s">
        <v>42158</v>
      </c>
      <c r="U6109" t="s">
        <v>47813</v>
      </c>
      <c r="W6109" t="s">
        <v>39145</v>
      </c>
      <c r="X6109" t="s">
        <v>40444</v>
      </c>
    </row>
    <row r="6110" spans="1:24">
      <c r="A6110">
        <f>HYPERLINK("https://www.philgeps.gov.ph/GEPSNONPILOT/Tender/SplashBidNoticeAbstractUI.aspx?menuIndex=3&amp;refID=7041896&amp;Result=3","7041896")</f>
        <v>0</v>
      </c>
      <c r="B6110" t="s">
        <v>683</v>
      </c>
      <c r="C6110" t="s">
        <v>8885</v>
      </c>
      <c r="D6110" t="s">
        <v>16196</v>
      </c>
      <c r="E6110" t="s">
        <v>21677</v>
      </c>
      <c r="F6110" t="s">
        <v>28198</v>
      </c>
      <c r="G6110" t="s">
        <v>28207</v>
      </c>
      <c r="H6110" t="s">
        <v>28215</v>
      </c>
      <c r="I6110" t="s">
        <v>4321</v>
      </c>
      <c r="J6110" t="s">
        <v>32195</v>
      </c>
      <c r="K6110" t="s">
        <v>36707</v>
      </c>
      <c r="M6110" t="s">
        <v>37681</v>
      </c>
      <c r="N6110" t="s">
        <v>40436</v>
      </c>
      <c r="O6110" t="s">
        <v>40437</v>
      </c>
      <c r="P6110">
        <v>0</v>
      </c>
      <c r="Q6110">
        <v>7</v>
      </c>
      <c r="R6110" t="s">
        <v>40443</v>
      </c>
      <c r="S6110" t="s">
        <v>40644</v>
      </c>
      <c r="T6110" t="s">
        <v>42130</v>
      </c>
      <c r="U6110" t="s">
        <v>47814</v>
      </c>
      <c r="W6110" t="s">
        <v>37681</v>
      </c>
      <c r="X6110" t="s">
        <v>40444</v>
      </c>
    </row>
    <row r="6111" spans="1:24">
      <c r="A6111">
        <f>HYPERLINK("https://www.philgeps.gov.ph/GEPSNONPILOT/Tender/SplashBidNoticeAbstractUI.aspx?menuIndex=3&amp;refID=7041852&amp;Result=3","7041852")</f>
        <v>0</v>
      </c>
      <c r="B6111" t="s">
        <v>2008</v>
      </c>
      <c r="C6111" t="s">
        <v>8886</v>
      </c>
      <c r="D6111" t="s">
        <v>16210</v>
      </c>
      <c r="E6111" t="s">
        <v>21678</v>
      </c>
      <c r="F6111" t="s">
        <v>28198</v>
      </c>
      <c r="G6111" t="s">
        <v>28205</v>
      </c>
      <c r="H6111" t="s">
        <v>28215</v>
      </c>
      <c r="I6111" t="s">
        <v>5082</v>
      </c>
      <c r="J6111" t="s">
        <v>28589</v>
      </c>
      <c r="K6111" t="s">
        <v>36688</v>
      </c>
      <c r="M6111" t="s">
        <v>39146</v>
      </c>
      <c r="N6111" t="s">
        <v>40436</v>
      </c>
      <c r="O6111" t="s">
        <v>40437</v>
      </c>
      <c r="P6111">
        <v>0</v>
      </c>
      <c r="Q6111">
        <v>1</v>
      </c>
      <c r="R6111" t="s">
        <v>40443</v>
      </c>
      <c r="S6111" t="s">
        <v>40644</v>
      </c>
      <c r="T6111" t="s">
        <v>42216</v>
      </c>
      <c r="U6111" t="s">
        <v>47815</v>
      </c>
      <c r="W6111" t="s">
        <v>39146</v>
      </c>
      <c r="X6111" t="s">
        <v>40444</v>
      </c>
    </row>
    <row r="6112" spans="1:24">
      <c r="A6112">
        <f>HYPERLINK("https://www.philgeps.gov.ph/GEPSNONPILOT/Tender/SplashBidNoticeAbstractUI.aspx?menuIndex=3&amp;refID=7041907&amp;Result=3","7041907")</f>
        <v>0</v>
      </c>
      <c r="B6112" t="s">
        <v>2009</v>
      </c>
      <c r="C6112" t="s">
        <v>8887</v>
      </c>
      <c r="E6112" t="s">
        <v>17248</v>
      </c>
      <c r="F6112" t="s">
        <v>28198</v>
      </c>
      <c r="G6112" t="s">
        <v>28205</v>
      </c>
      <c r="H6112" t="s">
        <v>28214</v>
      </c>
      <c r="I6112" t="s">
        <v>3797</v>
      </c>
      <c r="J6112" t="s">
        <v>32196</v>
      </c>
      <c r="K6112" t="s">
        <v>36689</v>
      </c>
      <c r="M6112" t="s">
        <v>39147</v>
      </c>
      <c r="N6112" t="s">
        <v>40436</v>
      </c>
      <c r="O6112" t="s">
        <v>40437</v>
      </c>
      <c r="P6112">
        <v>0</v>
      </c>
      <c r="Q6112">
        <v>1</v>
      </c>
      <c r="R6112" t="s">
        <v>40443</v>
      </c>
      <c r="S6112" t="s">
        <v>40644</v>
      </c>
      <c r="T6112" t="s">
        <v>42435</v>
      </c>
      <c r="U6112" t="s">
        <v>47816</v>
      </c>
      <c r="W6112" t="s">
        <v>39147</v>
      </c>
      <c r="X6112" t="s">
        <v>40444</v>
      </c>
    </row>
    <row r="6113" spans="1:24">
      <c r="A6113">
        <f>HYPERLINK("https://www.philgeps.gov.ph/GEPSNONPILOT/Tender/SplashBidNoticeAbstractUI.aspx?menuIndex=3&amp;refID=7041883&amp;Result=3","7041883")</f>
        <v>0</v>
      </c>
      <c r="B6113" t="s">
        <v>2010</v>
      </c>
      <c r="C6113" t="s">
        <v>8888</v>
      </c>
      <c r="D6113" t="s">
        <v>16199</v>
      </c>
      <c r="E6113" t="s">
        <v>21679</v>
      </c>
      <c r="F6113" t="s">
        <v>28198</v>
      </c>
      <c r="G6113" t="s">
        <v>28205</v>
      </c>
      <c r="H6113" t="s">
        <v>28215</v>
      </c>
      <c r="I6113" t="s">
        <v>8888</v>
      </c>
      <c r="J6113" t="s">
        <v>28378</v>
      </c>
      <c r="K6113" t="s">
        <v>36688</v>
      </c>
      <c r="M6113" t="s">
        <v>39148</v>
      </c>
      <c r="N6113" t="s">
        <v>40436</v>
      </c>
      <c r="O6113" t="s">
        <v>40437</v>
      </c>
      <c r="P6113">
        <v>0</v>
      </c>
      <c r="Q6113">
        <v>3</v>
      </c>
      <c r="R6113" t="s">
        <v>40443</v>
      </c>
      <c r="S6113" t="s">
        <v>40644</v>
      </c>
      <c r="T6113" t="s">
        <v>42131</v>
      </c>
      <c r="U6113" t="s">
        <v>47817</v>
      </c>
      <c r="W6113" t="s">
        <v>39148</v>
      </c>
      <c r="X6113" t="s">
        <v>40444</v>
      </c>
    </row>
    <row r="6114" spans="1:24">
      <c r="A6114">
        <f>HYPERLINK("https://www.philgeps.gov.ph/GEPSNONPILOT/Tender/SplashBidNoticeAbstractUI.aspx?menuIndex=3&amp;refID=7041893&amp;Result=3","7041893")</f>
        <v>0</v>
      </c>
      <c r="B6114" t="s">
        <v>814</v>
      </c>
      <c r="C6114" t="s">
        <v>8889</v>
      </c>
      <c r="D6114" t="s">
        <v>16210</v>
      </c>
      <c r="E6114" t="s">
        <v>21680</v>
      </c>
      <c r="F6114" t="s">
        <v>28198</v>
      </c>
      <c r="G6114" t="s">
        <v>28205</v>
      </c>
      <c r="H6114" t="s">
        <v>28215</v>
      </c>
      <c r="I6114" t="s">
        <v>28225</v>
      </c>
      <c r="J6114" t="s">
        <v>32197</v>
      </c>
      <c r="K6114" t="s">
        <v>36688</v>
      </c>
      <c r="M6114" t="s">
        <v>37826</v>
      </c>
      <c r="N6114" t="s">
        <v>40436</v>
      </c>
      <c r="O6114" t="s">
        <v>40437</v>
      </c>
      <c r="P6114">
        <v>0</v>
      </c>
      <c r="Q6114">
        <v>0</v>
      </c>
      <c r="R6114" t="s">
        <v>40443</v>
      </c>
      <c r="S6114" t="s">
        <v>40644</v>
      </c>
      <c r="T6114" t="s">
        <v>42108</v>
      </c>
      <c r="U6114" t="s">
        <v>47818</v>
      </c>
      <c r="W6114" t="s">
        <v>37826</v>
      </c>
      <c r="X6114" t="s">
        <v>40444</v>
      </c>
    </row>
    <row r="6115" spans="1:24">
      <c r="A6115">
        <f>HYPERLINK("https://www.philgeps.gov.ph/GEPSNONPILOT/Tender/SplashBidNoticeAbstractUI.aspx?menuIndex=3&amp;refID=7041850&amp;Result=3","7041850")</f>
        <v>0</v>
      </c>
      <c r="B6115" t="s">
        <v>1802</v>
      </c>
      <c r="C6115" t="s">
        <v>8890</v>
      </c>
      <c r="D6115" t="s">
        <v>16238</v>
      </c>
      <c r="E6115" t="s">
        <v>21681</v>
      </c>
      <c r="F6115" t="s">
        <v>28198</v>
      </c>
      <c r="G6115" t="s">
        <v>28207</v>
      </c>
      <c r="H6115" t="s">
        <v>28215</v>
      </c>
      <c r="I6115" t="s">
        <v>3797</v>
      </c>
      <c r="J6115" t="s">
        <v>29105</v>
      </c>
      <c r="K6115" t="s">
        <v>36701</v>
      </c>
      <c r="M6115" t="s">
        <v>38920</v>
      </c>
      <c r="N6115" t="s">
        <v>40436</v>
      </c>
      <c r="O6115" t="s">
        <v>40437</v>
      </c>
      <c r="P6115">
        <v>0</v>
      </c>
      <c r="Q6115">
        <v>1</v>
      </c>
      <c r="R6115" t="s">
        <v>40443</v>
      </c>
      <c r="S6115" t="s">
        <v>40644</v>
      </c>
      <c r="T6115" t="s">
        <v>42277</v>
      </c>
      <c r="U6115" t="s">
        <v>47819</v>
      </c>
      <c r="W6115" t="s">
        <v>38920</v>
      </c>
      <c r="X6115" t="s">
        <v>40444</v>
      </c>
    </row>
    <row r="6116" spans="1:24">
      <c r="A6116">
        <f>HYPERLINK("https://www.philgeps.gov.ph/GEPSNONPILOT/Tender/SplashBidNoticeAbstractUI.aspx?menuIndex=3&amp;refID=7041933&amp;Result=3","7041933")</f>
        <v>0</v>
      </c>
      <c r="B6116" t="s">
        <v>1427</v>
      </c>
      <c r="C6116" t="s">
        <v>8891</v>
      </c>
      <c r="D6116" t="s">
        <v>16260</v>
      </c>
      <c r="E6116" t="s">
        <v>18563</v>
      </c>
      <c r="F6116" t="s">
        <v>28198</v>
      </c>
      <c r="G6116" t="s">
        <v>28207</v>
      </c>
      <c r="H6116" t="s">
        <v>28215</v>
      </c>
      <c r="I6116" t="s">
        <v>5100</v>
      </c>
      <c r="J6116" t="s">
        <v>32198</v>
      </c>
      <c r="K6116" t="s">
        <v>36693</v>
      </c>
      <c r="M6116" t="s">
        <v>38493</v>
      </c>
      <c r="N6116" t="s">
        <v>40436</v>
      </c>
      <c r="O6116" t="s">
        <v>40437</v>
      </c>
      <c r="P6116">
        <v>0</v>
      </c>
      <c r="Q6116">
        <v>1</v>
      </c>
      <c r="R6116" t="s">
        <v>40443</v>
      </c>
      <c r="S6116" t="s">
        <v>40644</v>
      </c>
      <c r="T6116" t="s">
        <v>42185</v>
      </c>
      <c r="U6116" t="s">
        <v>47820</v>
      </c>
      <c r="W6116" t="s">
        <v>38493</v>
      </c>
      <c r="X6116" t="s">
        <v>40444</v>
      </c>
    </row>
    <row r="6117" spans="1:24">
      <c r="A6117">
        <f>HYPERLINK("https://www.philgeps.gov.ph/GEPSNONPILOT/Tender/SplashBidNoticeAbstractUI.aspx?menuIndex=3&amp;refID=7041856&amp;Result=3","7041856")</f>
        <v>0</v>
      </c>
      <c r="B6117" t="s">
        <v>1802</v>
      </c>
      <c r="C6117" t="s">
        <v>8892</v>
      </c>
      <c r="D6117" t="s">
        <v>16238</v>
      </c>
      <c r="E6117" t="s">
        <v>21682</v>
      </c>
      <c r="F6117" t="s">
        <v>28198</v>
      </c>
      <c r="G6117" t="s">
        <v>28207</v>
      </c>
      <c r="H6117" t="s">
        <v>28215</v>
      </c>
      <c r="I6117" t="s">
        <v>4200</v>
      </c>
      <c r="J6117" t="s">
        <v>32199</v>
      </c>
      <c r="K6117" t="s">
        <v>36701</v>
      </c>
      <c r="M6117" t="s">
        <v>38920</v>
      </c>
      <c r="N6117" t="s">
        <v>40436</v>
      </c>
      <c r="O6117" t="s">
        <v>40437</v>
      </c>
      <c r="P6117">
        <v>0</v>
      </c>
      <c r="Q6117">
        <v>0</v>
      </c>
      <c r="R6117" t="s">
        <v>40443</v>
      </c>
      <c r="S6117" t="s">
        <v>40644</v>
      </c>
      <c r="T6117" t="s">
        <v>42277</v>
      </c>
      <c r="U6117" t="s">
        <v>47821</v>
      </c>
      <c r="W6117" t="s">
        <v>38920</v>
      </c>
      <c r="X6117" t="s">
        <v>40444</v>
      </c>
    </row>
    <row r="6118" spans="1:24">
      <c r="A6118">
        <f>HYPERLINK("https://www.philgeps.gov.ph/GEPSNONPILOT/Tender/SplashBidNoticeAbstractUI.aspx?menuIndex=3&amp;refID=7041906&amp;Result=3","7041906")</f>
        <v>0</v>
      </c>
      <c r="B6118" t="s">
        <v>1263</v>
      </c>
      <c r="C6118" t="s">
        <v>8893</v>
      </c>
      <c r="D6118" t="s">
        <v>16217</v>
      </c>
      <c r="E6118" t="s">
        <v>19989</v>
      </c>
      <c r="F6118" t="s">
        <v>28198</v>
      </c>
      <c r="G6118" t="s">
        <v>28205</v>
      </c>
      <c r="H6118" t="s">
        <v>28216</v>
      </c>
      <c r="I6118" t="s">
        <v>28263</v>
      </c>
      <c r="J6118" t="s">
        <v>32200</v>
      </c>
      <c r="K6118" t="s">
        <v>36707</v>
      </c>
      <c r="M6118" t="s">
        <v>38313</v>
      </c>
      <c r="N6118" t="s">
        <v>40436</v>
      </c>
      <c r="O6118" t="s">
        <v>40437</v>
      </c>
      <c r="P6118">
        <v>0</v>
      </c>
      <c r="Q6118">
        <v>3</v>
      </c>
      <c r="R6118" t="s">
        <v>40443</v>
      </c>
      <c r="S6118" t="s">
        <v>40644</v>
      </c>
      <c r="T6118" t="s">
        <v>42131</v>
      </c>
      <c r="U6118" t="s">
        <v>47822</v>
      </c>
      <c r="W6118" t="s">
        <v>38313</v>
      </c>
      <c r="X6118" t="s">
        <v>40444</v>
      </c>
    </row>
    <row r="6119" spans="1:24">
      <c r="A6119">
        <f>HYPERLINK("https://www.philgeps.gov.ph/GEPSNONPILOT/Tender/SplashBidNoticeAbstractUI.aspx?menuIndex=3&amp;refID=7041858&amp;Result=3","7041858")</f>
        <v>0</v>
      </c>
      <c r="B6119" t="s">
        <v>1918</v>
      </c>
      <c r="C6119" t="s">
        <v>8894</v>
      </c>
      <c r="D6119" t="s">
        <v>16207</v>
      </c>
      <c r="E6119" t="s">
        <v>21683</v>
      </c>
      <c r="F6119" t="s">
        <v>28198</v>
      </c>
      <c r="G6119" t="s">
        <v>28207</v>
      </c>
      <c r="H6119" t="s">
        <v>28215</v>
      </c>
      <c r="I6119" t="s">
        <v>28247</v>
      </c>
      <c r="J6119" t="s">
        <v>32201</v>
      </c>
      <c r="K6119" t="s">
        <v>36701</v>
      </c>
      <c r="M6119" t="s">
        <v>39051</v>
      </c>
      <c r="N6119" t="s">
        <v>40436</v>
      </c>
      <c r="O6119" t="s">
        <v>40437</v>
      </c>
      <c r="P6119">
        <v>0</v>
      </c>
      <c r="Q6119">
        <v>21</v>
      </c>
      <c r="R6119" t="s">
        <v>40443</v>
      </c>
      <c r="S6119" t="s">
        <v>40644</v>
      </c>
      <c r="T6119" t="s">
        <v>42169</v>
      </c>
      <c r="U6119" t="s">
        <v>47823</v>
      </c>
      <c r="W6119" t="s">
        <v>39051</v>
      </c>
      <c r="X6119" t="s">
        <v>40444</v>
      </c>
    </row>
    <row r="6120" spans="1:24">
      <c r="A6120">
        <f>HYPERLINK("https://www.philgeps.gov.ph/GEPSNONPILOT/Tender/SplashBidNoticeAbstractUI.aspx?menuIndex=3&amp;refID=7041885&amp;Result=3","7041885")</f>
        <v>0</v>
      </c>
      <c r="B6120" t="s">
        <v>2005</v>
      </c>
      <c r="C6120" t="s">
        <v>8879</v>
      </c>
      <c r="D6120" t="s">
        <v>16246</v>
      </c>
      <c r="E6120" t="s">
        <v>21684</v>
      </c>
      <c r="F6120" t="s">
        <v>28198</v>
      </c>
      <c r="G6120" t="s">
        <v>28205</v>
      </c>
      <c r="H6120" t="s">
        <v>28214</v>
      </c>
      <c r="I6120" t="s">
        <v>3797</v>
      </c>
      <c r="J6120" t="s">
        <v>32202</v>
      </c>
      <c r="K6120" t="s">
        <v>36708</v>
      </c>
      <c r="M6120" t="s">
        <v>39143</v>
      </c>
      <c r="N6120" t="s">
        <v>40436</v>
      </c>
      <c r="O6120" t="s">
        <v>40437</v>
      </c>
      <c r="P6120">
        <v>0</v>
      </c>
      <c r="Q6120">
        <v>0</v>
      </c>
      <c r="R6120" t="s">
        <v>40443</v>
      </c>
      <c r="S6120" t="s">
        <v>40644</v>
      </c>
      <c r="T6120" t="s">
        <v>42216</v>
      </c>
      <c r="U6120" t="s">
        <v>47824</v>
      </c>
      <c r="W6120" t="s">
        <v>39143</v>
      </c>
      <c r="X6120" t="s">
        <v>40444</v>
      </c>
    </row>
    <row r="6121" spans="1:24">
      <c r="A6121">
        <f>HYPERLINK("https://www.philgeps.gov.ph/GEPSNONPILOT/Tender/SplashBidNoticeAbstractUI.aspx?menuIndex=3&amp;refID=7041923&amp;Result=3","7041923")</f>
        <v>0</v>
      </c>
      <c r="B6121" t="s">
        <v>683</v>
      </c>
      <c r="C6121" t="s">
        <v>8895</v>
      </c>
      <c r="D6121" t="s">
        <v>16196</v>
      </c>
      <c r="E6121" t="s">
        <v>21685</v>
      </c>
      <c r="F6121" t="s">
        <v>28198</v>
      </c>
      <c r="G6121" t="s">
        <v>28207</v>
      </c>
      <c r="H6121" t="s">
        <v>28215</v>
      </c>
      <c r="I6121" t="s">
        <v>28219</v>
      </c>
      <c r="J6121" t="s">
        <v>28589</v>
      </c>
      <c r="K6121" t="s">
        <v>36707</v>
      </c>
      <c r="M6121" t="s">
        <v>37681</v>
      </c>
      <c r="N6121" t="s">
        <v>40436</v>
      </c>
      <c r="O6121" t="s">
        <v>40437</v>
      </c>
      <c r="P6121">
        <v>0</v>
      </c>
      <c r="Q6121">
        <v>4</v>
      </c>
      <c r="R6121" t="s">
        <v>40443</v>
      </c>
      <c r="S6121" t="s">
        <v>40644</v>
      </c>
      <c r="T6121" t="s">
        <v>42130</v>
      </c>
      <c r="U6121" t="s">
        <v>47825</v>
      </c>
      <c r="W6121" t="s">
        <v>37681</v>
      </c>
      <c r="X6121" t="s">
        <v>40444</v>
      </c>
    </row>
    <row r="6122" spans="1:24">
      <c r="A6122">
        <f>HYPERLINK("https://www.philgeps.gov.ph/GEPSNONPILOT/Tender/SplashBidNoticeAbstractUI.aspx?menuIndex=3&amp;refID=7041955&amp;Result=3","7041955")</f>
        <v>0</v>
      </c>
      <c r="B6122" t="s">
        <v>1990</v>
      </c>
      <c r="C6122" t="s">
        <v>8896</v>
      </c>
      <c r="D6122" t="s">
        <v>16258</v>
      </c>
      <c r="E6122" t="s">
        <v>21686</v>
      </c>
      <c r="F6122" t="s">
        <v>28198</v>
      </c>
      <c r="G6122" t="s">
        <v>28207</v>
      </c>
      <c r="H6122" t="s">
        <v>28215</v>
      </c>
      <c r="I6122" t="s">
        <v>5100</v>
      </c>
      <c r="J6122" t="s">
        <v>32203</v>
      </c>
      <c r="K6122" t="s">
        <v>36706</v>
      </c>
      <c r="M6122" t="s">
        <v>39128</v>
      </c>
      <c r="N6122" t="s">
        <v>40436</v>
      </c>
      <c r="O6122" t="s">
        <v>40437</v>
      </c>
      <c r="P6122">
        <v>0</v>
      </c>
      <c r="Q6122">
        <v>1</v>
      </c>
      <c r="R6122" t="s">
        <v>40443</v>
      </c>
      <c r="S6122" t="s">
        <v>40644</v>
      </c>
      <c r="T6122" t="s">
        <v>42190</v>
      </c>
      <c r="U6122" t="s">
        <v>47826</v>
      </c>
      <c r="V6122" t="s">
        <v>54408</v>
      </c>
      <c r="W6122" t="s">
        <v>39128</v>
      </c>
      <c r="X6122" t="s">
        <v>40444</v>
      </c>
    </row>
    <row r="6123" spans="1:24">
      <c r="A6123">
        <f>HYPERLINK("https://www.philgeps.gov.ph/GEPSNONPILOT/Tender/SplashBidNoticeAbstractUI.aspx?menuIndex=3&amp;refID=7041967&amp;Result=3","7041967")</f>
        <v>0</v>
      </c>
      <c r="B6123" t="s">
        <v>2011</v>
      </c>
      <c r="C6123" t="s">
        <v>8897</v>
      </c>
      <c r="D6123" t="s">
        <v>16207</v>
      </c>
      <c r="E6123" t="s">
        <v>21687</v>
      </c>
      <c r="F6123" t="s">
        <v>28198</v>
      </c>
      <c r="G6123" t="s">
        <v>28207</v>
      </c>
      <c r="H6123" t="s">
        <v>28215</v>
      </c>
      <c r="I6123" t="s">
        <v>28255</v>
      </c>
      <c r="J6123" t="s">
        <v>28362</v>
      </c>
      <c r="K6123" t="s">
        <v>36701</v>
      </c>
      <c r="M6123" t="s">
        <v>39149</v>
      </c>
      <c r="N6123" t="s">
        <v>40436</v>
      </c>
      <c r="O6123" t="s">
        <v>40437</v>
      </c>
      <c r="P6123">
        <v>0</v>
      </c>
      <c r="Q6123">
        <v>3</v>
      </c>
      <c r="R6123" t="s">
        <v>40443</v>
      </c>
      <c r="S6123" t="s">
        <v>40644</v>
      </c>
      <c r="T6123" t="s">
        <v>42205</v>
      </c>
      <c r="U6123" t="s">
        <v>47827</v>
      </c>
      <c r="W6123" t="s">
        <v>39149</v>
      </c>
      <c r="X6123" t="s">
        <v>40444</v>
      </c>
    </row>
    <row r="6124" spans="1:24">
      <c r="A6124">
        <f>HYPERLINK("https://www.philgeps.gov.ph/GEPSNONPILOT/Tender/SplashBidNoticeAbstractUI.aspx?menuIndex=3&amp;refID=7041945&amp;Result=3","7041945")</f>
        <v>0</v>
      </c>
      <c r="B6124" t="s">
        <v>683</v>
      </c>
      <c r="C6124" t="s">
        <v>8898</v>
      </c>
      <c r="D6124" t="s">
        <v>16196</v>
      </c>
      <c r="E6124" t="s">
        <v>21688</v>
      </c>
      <c r="F6124" t="s">
        <v>28198</v>
      </c>
      <c r="G6124" t="s">
        <v>28207</v>
      </c>
      <c r="H6124" t="s">
        <v>28217</v>
      </c>
      <c r="I6124" t="s">
        <v>28274</v>
      </c>
      <c r="J6124" t="s">
        <v>28378</v>
      </c>
      <c r="K6124" t="s">
        <v>36707</v>
      </c>
      <c r="M6124" t="s">
        <v>37681</v>
      </c>
      <c r="N6124" t="s">
        <v>40436</v>
      </c>
      <c r="O6124" t="s">
        <v>40437</v>
      </c>
      <c r="P6124">
        <v>0</v>
      </c>
      <c r="Q6124">
        <v>5</v>
      </c>
      <c r="R6124" t="s">
        <v>40443</v>
      </c>
      <c r="S6124" t="s">
        <v>40644</v>
      </c>
      <c r="T6124" t="s">
        <v>42102</v>
      </c>
      <c r="U6124" t="s">
        <v>47828</v>
      </c>
      <c r="W6124" t="s">
        <v>37681</v>
      </c>
      <c r="X6124" t="s">
        <v>40444</v>
      </c>
    </row>
    <row r="6125" spans="1:24">
      <c r="A6125">
        <f>HYPERLINK("https://www.philgeps.gov.ph/GEPSNONPILOT/Tender/SplashBidNoticeAbstractUI.aspx?menuIndex=3&amp;refID=7041962&amp;Result=3","7041962")</f>
        <v>0</v>
      </c>
      <c r="B6125" t="s">
        <v>1990</v>
      </c>
      <c r="C6125" t="s">
        <v>8899</v>
      </c>
      <c r="D6125" t="s">
        <v>16258</v>
      </c>
      <c r="E6125" t="s">
        <v>21689</v>
      </c>
      <c r="F6125" t="s">
        <v>28198</v>
      </c>
      <c r="G6125" t="s">
        <v>28207</v>
      </c>
      <c r="H6125" t="s">
        <v>28215</v>
      </c>
      <c r="I6125" t="s">
        <v>5100</v>
      </c>
      <c r="J6125" t="s">
        <v>32203</v>
      </c>
      <c r="K6125" t="s">
        <v>36706</v>
      </c>
      <c r="M6125" t="s">
        <v>39128</v>
      </c>
      <c r="N6125" t="s">
        <v>40436</v>
      </c>
      <c r="O6125" t="s">
        <v>40437</v>
      </c>
      <c r="P6125">
        <v>0</v>
      </c>
      <c r="Q6125">
        <v>3</v>
      </c>
      <c r="R6125" t="s">
        <v>40443</v>
      </c>
      <c r="S6125" t="s">
        <v>40644</v>
      </c>
      <c r="T6125" t="s">
        <v>42190</v>
      </c>
      <c r="U6125" t="s">
        <v>47826</v>
      </c>
      <c r="V6125" t="s">
        <v>54409</v>
      </c>
      <c r="W6125" t="s">
        <v>39128</v>
      </c>
      <c r="X6125" t="s">
        <v>40444</v>
      </c>
    </row>
    <row r="6126" spans="1:24">
      <c r="A6126">
        <f>HYPERLINK("https://www.philgeps.gov.ph/GEPSNONPILOT/Tender/SplashBidNoticeAbstractUI.aspx?menuIndex=3&amp;refID=7041944&amp;Result=3","7041944")</f>
        <v>0</v>
      </c>
      <c r="B6126" t="s">
        <v>1990</v>
      </c>
      <c r="C6126" t="s">
        <v>8900</v>
      </c>
      <c r="D6126" t="s">
        <v>16258</v>
      </c>
      <c r="E6126" t="s">
        <v>21690</v>
      </c>
      <c r="F6126" t="s">
        <v>28198</v>
      </c>
      <c r="G6126" t="s">
        <v>28207</v>
      </c>
      <c r="H6126" t="s">
        <v>28215</v>
      </c>
      <c r="I6126" t="s">
        <v>28274</v>
      </c>
      <c r="J6126" t="s">
        <v>32178</v>
      </c>
      <c r="K6126" t="s">
        <v>36707</v>
      </c>
      <c r="M6126" t="s">
        <v>39128</v>
      </c>
      <c r="N6126" t="s">
        <v>40436</v>
      </c>
      <c r="O6126" t="s">
        <v>40437</v>
      </c>
      <c r="P6126">
        <v>0</v>
      </c>
      <c r="Q6126">
        <v>0</v>
      </c>
      <c r="R6126" t="s">
        <v>40443</v>
      </c>
      <c r="S6126" t="s">
        <v>40644</v>
      </c>
      <c r="T6126" t="s">
        <v>42190</v>
      </c>
      <c r="U6126" t="s">
        <v>47781</v>
      </c>
      <c r="V6126" t="s">
        <v>54410</v>
      </c>
      <c r="W6126" t="s">
        <v>39128</v>
      </c>
      <c r="X6126" t="s">
        <v>40444</v>
      </c>
    </row>
    <row r="6127" spans="1:24">
      <c r="A6127">
        <f>HYPERLINK("https://www.philgeps.gov.ph/GEPSNONPILOT/Tender/SplashBidNoticeAbstractUI.aspx?menuIndex=3&amp;refID=7041952&amp;Result=3","7041952")</f>
        <v>0</v>
      </c>
      <c r="B6127" t="s">
        <v>1950</v>
      </c>
      <c r="C6127" t="s">
        <v>8901</v>
      </c>
      <c r="E6127" t="s">
        <v>21691</v>
      </c>
      <c r="F6127" t="s">
        <v>28198</v>
      </c>
      <c r="G6127" t="s">
        <v>28205</v>
      </c>
      <c r="H6127" t="s">
        <v>28214</v>
      </c>
      <c r="I6127" t="s">
        <v>3797</v>
      </c>
      <c r="J6127" t="s">
        <v>28683</v>
      </c>
      <c r="K6127" t="s">
        <v>36689</v>
      </c>
      <c r="M6127" t="s">
        <v>39084</v>
      </c>
      <c r="N6127" t="s">
        <v>40436</v>
      </c>
      <c r="O6127" t="s">
        <v>40437</v>
      </c>
      <c r="P6127">
        <v>0</v>
      </c>
      <c r="Q6127">
        <v>0</v>
      </c>
      <c r="R6127" t="s">
        <v>40443</v>
      </c>
      <c r="S6127" t="s">
        <v>40644</v>
      </c>
      <c r="T6127" t="s">
        <v>42195</v>
      </c>
      <c r="U6127" t="s">
        <v>47829</v>
      </c>
      <c r="W6127" t="s">
        <v>39084</v>
      </c>
      <c r="X6127" t="s">
        <v>40444</v>
      </c>
    </row>
    <row r="6128" spans="1:24">
      <c r="A6128">
        <f>HYPERLINK("https://www.philgeps.gov.ph/GEPSNONPILOT/Tender/SplashBidNoticeAbstractUI.aspx?menuIndex=3&amp;refID=7041983&amp;Result=3","7041983")</f>
        <v>0</v>
      </c>
      <c r="B6128" t="s">
        <v>1990</v>
      </c>
      <c r="C6128" t="s">
        <v>8902</v>
      </c>
      <c r="D6128" t="s">
        <v>16258</v>
      </c>
      <c r="E6128" t="s">
        <v>21692</v>
      </c>
      <c r="F6128" t="s">
        <v>28198</v>
      </c>
      <c r="G6128" t="s">
        <v>28207</v>
      </c>
      <c r="H6128" t="s">
        <v>28215</v>
      </c>
      <c r="I6128" t="s">
        <v>28251</v>
      </c>
      <c r="J6128" t="s">
        <v>32204</v>
      </c>
      <c r="K6128" t="s">
        <v>36706</v>
      </c>
      <c r="M6128" t="s">
        <v>39128</v>
      </c>
      <c r="N6128" t="s">
        <v>40436</v>
      </c>
      <c r="O6128" t="s">
        <v>40437</v>
      </c>
      <c r="P6128">
        <v>0</v>
      </c>
      <c r="Q6128">
        <v>3</v>
      </c>
      <c r="R6128" t="s">
        <v>40443</v>
      </c>
      <c r="S6128" t="s">
        <v>40644</v>
      </c>
      <c r="T6128" t="s">
        <v>42190</v>
      </c>
      <c r="U6128" t="s">
        <v>47830</v>
      </c>
      <c r="V6128" t="s">
        <v>54411</v>
      </c>
      <c r="W6128" t="s">
        <v>39128</v>
      </c>
      <c r="X6128" t="s">
        <v>40444</v>
      </c>
    </row>
    <row r="6129" spans="1:24">
      <c r="A6129">
        <f>HYPERLINK("https://www.philgeps.gov.ph/GEPSNONPILOT/Tender/SplashBidNoticeAbstractUI.aspx?menuIndex=3&amp;refID=7041940&amp;Result=3","7041940")</f>
        <v>0</v>
      </c>
      <c r="B6129" t="s">
        <v>597</v>
      </c>
      <c r="C6129" t="s">
        <v>8903</v>
      </c>
      <c r="D6129" t="s">
        <v>16188</v>
      </c>
      <c r="E6129" t="s">
        <v>21693</v>
      </c>
      <c r="F6129" t="s">
        <v>28198</v>
      </c>
      <c r="G6129" t="s">
        <v>28210</v>
      </c>
      <c r="H6129" t="s">
        <v>28215</v>
      </c>
      <c r="I6129" t="s">
        <v>28225</v>
      </c>
      <c r="J6129" t="s">
        <v>32205</v>
      </c>
      <c r="K6129" t="s">
        <v>36706</v>
      </c>
      <c r="M6129" t="s">
        <v>39150</v>
      </c>
      <c r="N6129" t="s">
        <v>40436</v>
      </c>
      <c r="O6129" t="s">
        <v>40437</v>
      </c>
      <c r="P6129">
        <v>0</v>
      </c>
      <c r="Q6129">
        <v>22</v>
      </c>
      <c r="R6129" t="s">
        <v>40443</v>
      </c>
      <c r="S6129" t="s">
        <v>40644</v>
      </c>
      <c r="T6129" t="s">
        <v>42233</v>
      </c>
      <c r="U6129" t="s">
        <v>47831</v>
      </c>
      <c r="W6129" t="s">
        <v>55502</v>
      </c>
      <c r="X6129" t="s">
        <v>40444</v>
      </c>
    </row>
    <row r="6130" spans="1:24">
      <c r="A6130">
        <f>HYPERLINK("https://www.philgeps.gov.ph/GEPSNONPILOT/Tender/SplashBidNoticeAbstractUI.aspx?menuIndex=3&amp;refID=7041928&amp;Result=3","7041928")</f>
        <v>0</v>
      </c>
      <c r="B6130" t="s">
        <v>1950</v>
      </c>
      <c r="C6130" t="s">
        <v>8904</v>
      </c>
      <c r="E6130" t="s">
        <v>21694</v>
      </c>
      <c r="F6130" t="s">
        <v>28198</v>
      </c>
      <c r="G6130" t="s">
        <v>28205</v>
      </c>
      <c r="H6130" t="s">
        <v>28214</v>
      </c>
      <c r="I6130" t="s">
        <v>3797</v>
      </c>
      <c r="J6130" t="s">
        <v>28347</v>
      </c>
      <c r="K6130" t="s">
        <v>36689</v>
      </c>
      <c r="M6130" t="s">
        <v>39084</v>
      </c>
      <c r="N6130" t="s">
        <v>40436</v>
      </c>
      <c r="O6130" t="s">
        <v>40437</v>
      </c>
      <c r="P6130">
        <v>0</v>
      </c>
      <c r="Q6130">
        <v>0</v>
      </c>
      <c r="R6130" t="s">
        <v>40443</v>
      </c>
      <c r="S6130" t="s">
        <v>40644</v>
      </c>
      <c r="T6130" t="s">
        <v>42195</v>
      </c>
      <c r="U6130" t="s">
        <v>47829</v>
      </c>
      <c r="W6130" t="s">
        <v>39084</v>
      </c>
      <c r="X6130" t="s">
        <v>40444</v>
      </c>
    </row>
    <row r="6131" spans="1:24">
      <c r="A6131">
        <f>HYPERLINK("https://www.philgeps.gov.ph/GEPSNONPILOT/Tender/SplashBidNoticeAbstractUI.aspx?menuIndex=3&amp;refID=7041977&amp;Result=3","7041977")</f>
        <v>0</v>
      </c>
      <c r="B6131" t="s">
        <v>1990</v>
      </c>
      <c r="C6131" t="s">
        <v>8905</v>
      </c>
      <c r="D6131" t="s">
        <v>16258</v>
      </c>
      <c r="E6131" t="s">
        <v>21695</v>
      </c>
      <c r="F6131" t="s">
        <v>28198</v>
      </c>
      <c r="G6131" t="s">
        <v>28207</v>
      </c>
      <c r="H6131" t="s">
        <v>28215</v>
      </c>
      <c r="I6131" t="s">
        <v>5100</v>
      </c>
      <c r="J6131" t="s">
        <v>29393</v>
      </c>
      <c r="K6131" t="s">
        <v>36706</v>
      </c>
      <c r="M6131" t="s">
        <v>39128</v>
      </c>
      <c r="N6131" t="s">
        <v>40436</v>
      </c>
      <c r="O6131" t="s">
        <v>40437</v>
      </c>
      <c r="P6131">
        <v>0</v>
      </c>
      <c r="Q6131">
        <v>0</v>
      </c>
      <c r="R6131" t="s">
        <v>40443</v>
      </c>
      <c r="S6131" t="s">
        <v>40644</v>
      </c>
      <c r="T6131" t="s">
        <v>42190</v>
      </c>
      <c r="U6131" t="s">
        <v>47826</v>
      </c>
      <c r="V6131" t="s">
        <v>54412</v>
      </c>
      <c r="W6131" t="s">
        <v>39128</v>
      </c>
      <c r="X6131" t="s">
        <v>40444</v>
      </c>
    </row>
    <row r="6132" spans="1:24">
      <c r="A6132">
        <f>HYPERLINK("https://www.philgeps.gov.ph/GEPSNONPILOT/Tender/SplashBidNoticeAbstractUI.aspx?menuIndex=3&amp;refID=7041966&amp;Result=3","7041966")</f>
        <v>0</v>
      </c>
      <c r="B6132" t="s">
        <v>202</v>
      </c>
      <c r="C6132" t="s">
        <v>8906</v>
      </c>
      <c r="D6132" t="s">
        <v>16217</v>
      </c>
      <c r="E6132" t="s">
        <v>21696</v>
      </c>
      <c r="F6132" t="s">
        <v>28198</v>
      </c>
      <c r="G6132" t="s">
        <v>28205</v>
      </c>
      <c r="H6132" t="s">
        <v>28215</v>
      </c>
      <c r="I6132" t="s">
        <v>28234</v>
      </c>
      <c r="J6132" t="s">
        <v>28404</v>
      </c>
      <c r="K6132" t="s">
        <v>36701</v>
      </c>
      <c r="M6132" t="s">
        <v>37516</v>
      </c>
      <c r="N6132" t="s">
        <v>40436</v>
      </c>
      <c r="O6132" t="s">
        <v>40437</v>
      </c>
      <c r="Q6132">
        <v>5</v>
      </c>
      <c r="R6132" t="s">
        <v>40443</v>
      </c>
      <c r="S6132" t="s">
        <v>40651</v>
      </c>
      <c r="T6132" t="s">
        <v>42139</v>
      </c>
      <c r="U6132" t="s">
        <v>47832</v>
      </c>
      <c r="V6132" t="s">
        <v>54413</v>
      </c>
      <c r="W6132" t="s">
        <v>37516</v>
      </c>
      <c r="X6132" t="s">
        <v>40444</v>
      </c>
    </row>
    <row r="6133" spans="1:24">
      <c r="A6133">
        <f>HYPERLINK("https://www.philgeps.gov.ph/GEPSNONPILOT/Tender/SplashBidNoticeAbstractUI.aspx?menuIndex=3&amp;refID=7041974&amp;Result=3","7041974")</f>
        <v>0</v>
      </c>
      <c r="B6133" t="s">
        <v>2012</v>
      </c>
      <c r="C6133" t="s">
        <v>8907</v>
      </c>
      <c r="D6133" t="s">
        <v>16210</v>
      </c>
      <c r="E6133" t="s">
        <v>21697</v>
      </c>
      <c r="F6133" t="s">
        <v>28198</v>
      </c>
      <c r="G6133" t="s">
        <v>28205</v>
      </c>
      <c r="H6133" t="s">
        <v>28214</v>
      </c>
      <c r="I6133" t="s">
        <v>3797</v>
      </c>
      <c r="J6133" t="s">
        <v>32206</v>
      </c>
      <c r="K6133" t="s">
        <v>36692</v>
      </c>
      <c r="M6133" t="s">
        <v>39151</v>
      </c>
      <c r="N6133" t="s">
        <v>40436</v>
      </c>
      <c r="O6133" t="s">
        <v>40437</v>
      </c>
      <c r="P6133">
        <v>0</v>
      </c>
      <c r="Q6133">
        <v>5</v>
      </c>
      <c r="R6133" t="s">
        <v>40443</v>
      </c>
      <c r="S6133" t="s">
        <v>40644</v>
      </c>
      <c r="T6133" t="s">
        <v>42138</v>
      </c>
      <c r="U6133" t="s">
        <v>44576</v>
      </c>
      <c r="W6133" t="s">
        <v>39151</v>
      </c>
      <c r="X6133" t="s">
        <v>40444</v>
      </c>
    </row>
    <row r="6134" spans="1:24">
      <c r="A6134">
        <f>HYPERLINK("https://www.philgeps.gov.ph/GEPSNONPILOT/Tender/SplashBidNoticeAbstractUI.aspx?menuIndex=3&amp;refID=7041959&amp;Result=3","7041959")</f>
        <v>0</v>
      </c>
      <c r="B6134" t="s">
        <v>2013</v>
      </c>
      <c r="C6134" t="s">
        <v>8908</v>
      </c>
      <c r="D6134" t="s">
        <v>16190</v>
      </c>
      <c r="E6134" t="s">
        <v>21698</v>
      </c>
      <c r="F6134" t="s">
        <v>28198</v>
      </c>
      <c r="G6134" t="s">
        <v>28207</v>
      </c>
      <c r="H6134" t="s">
        <v>28215</v>
      </c>
      <c r="I6134" t="s">
        <v>28228</v>
      </c>
      <c r="J6134" t="s">
        <v>32207</v>
      </c>
      <c r="K6134" t="s">
        <v>36707</v>
      </c>
      <c r="M6134" t="s">
        <v>39152</v>
      </c>
      <c r="N6134" t="s">
        <v>40436</v>
      </c>
      <c r="O6134" t="s">
        <v>40437</v>
      </c>
      <c r="P6134">
        <v>0</v>
      </c>
      <c r="Q6134">
        <v>0</v>
      </c>
      <c r="R6134" t="s">
        <v>40443</v>
      </c>
      <c r="S6134" t="s">
        <v>40644</v>
      </c>
      <c r="T6134" t="s">
        <v>42200</v>
      </c>
      <c r="U6134" t="s">
        <v>47833</v>
      </c>
      <c r="W6134" t="s">
        <v>39152</v>
      </c>
      <c r="X6134" t="s">
        <v>40444</v>
      </c>
    </row>
    <row r="6135" spans="1:24">
      <c r="A6135">
        <f>HYPERLINK("https://www.philgeps.gov.ph/GEPSNONPILOT/Tender/SplashBidNoticeAbstractUI.aspx?menuIndex=3&amp;refID=7041978&amp;Result=3","7041978")</f>
        <v>0</v>
      </c>
      <c r="B6135" t="s">
        <v>305</v>
      </c>
      <c r="C6135" t="s">
        <v>8909</v>
      </c>
      <c r="D6135" t="s">
        <v>16197</v>
      </c>
      <c r="E6135" t="s">
        <v>21699</v>
      </c>
      <c r="F6135" t="s">
        <v>28198</v>
      </c>
      <c r="G6135" t="s">
        <v>28207</v>
      </c>
      <c r="H6135" t="s">
        <v>28215</v>
      </c>
      <c r="I6135" t="s">
        <v>28234</v>
      </c>
      <c r="J6135" t="s">
        <v>28378</v>
      </c>
      <c r="K6135" t="s">
        <v>36688</v>
      </c>
      <c r="M6135" t="s">
        <v>38213</v>
      </c>
      <c r="N6135" t="s">
        <v>40436</v>
      </c>
      <c r="O6135" t="s">
        <v>40437</v>
      </c>
      <c r="P6135">
        <v>0</v>
      </c>
      <c r="Q6135">
        <v>2</v>
      </c>
      <c r="R6135" t="s">
        <v>40443</v>
      </c>
      <c r="S6135" t="s">
        <v>40644</v>
      </c>
      <c r="T6135" t="s">
        <v>42133</v>
      </c>
      <c r="U6135" t="s">
        <v>45201</v>
      </c>
      <c r="W6135" t="s">
        <v>38213</v>
      </c>
      <c r="X6135" t="s">
        <v>40444</v>
      </c>
    </row>
    <row r="6136" spans="1:24">
      <c r="A6136">
        <f>HYPERLINK("https://www.philgeps.gov.ph/GEPSNONPILOT/Tender/SplashBidNoticeAbstractUI.aspx?menuIndex=3&amp;refID=7041973&amp;Result=3","7041973")</f>
        <v>0</v>
      </c>
      <c r="B6136" t="s">
        <v>683</v>
      </c>
      <c r="C6136" t="s">
        <v>8910</v>
      </c>
      <c r="D6136" t="s">
        <v>16196</v>
      </c>
      <c r="E6136" t="s">
        <v>21700</v>
      </c>
      <c r="F6136" t="s">
        <v>28198</v>
      </c>
      <c r="G6136" t="s">
        <v>28207</v>
      </c>
      <c r="H6136" t="s">
        <v>28215</v>
      </c>
      <c r="I6136" t="s">
        <v>28219</v>
      </c>
      <c r="J6136" t="s">
        <v>28373</v>
      </c>
      <c r="K6136" t="s">
        <v>36707</v>
      </c>
      <c r="M6136" t="s">
        <v>37681</v>
      </c>
      <c r="N6136" t="s">
        <v>40436</v>
      </c>
      <c r="O6136" t="s">
        <v>40437</v>
      </c>
      <c r="P6136">
        <v>0</v>
      </c>
      <c r="Q6136">
        <v>4</v>
      </c>
      <c r="R6136" t="s">
        <v>40443</v>
      </c>
      <c r="S6136" t="s">
        <v>40644</v>
      </c>
      <c r="T6136" t="s">
        <v>42102</v>
      </c>
      <c r="U6136" t="s">
        <v>47834</v>
      </c>
      <c r="W6136" t="s">
        <v>37681</v>
      </c>
      <c r="X6136" t="s">
        <v>40444</v>
      </c>
    </row>
    <row r="6137" spans="1:24">
      <c r="A6137">
        <f>HYPERLINK("https://www.philgeps.gov.ph/GEPSNONPILOT/Tender/SplashBidNoticeAbstractUI.aspx?menuIndex=3&amp;refID=7041975&amp;Result=3","7041975")</f>
        <v>0</v>
      </c>
      <c r="B6137" t="s">
        <v>1950</v>
      </c>
      <c r="C6137" t="s">
        <v>8911</v>
      </c>
      <c r="E6137" t="s">
        <v>21701</v>
      </c>
      <c r="F6137" t="s">
        <v>28198</v>
      </c>
      <c r="G6137" t="s">
        <v>28205</v>
      </c>
      <c r="H6137" t="s">
        <v>28214</v>
      </c>
      <c r="I6137" t="s">
        <v>3797</v>
      </c>
      <c r="J6137" t="s">
        <v>28683</v>
      </c>
      <c r="K6137" t="s">
        <v>36689</v>
      </c>
      <c r="M6137" t="s">
        <v>39084</v>
      </c>
      <c r="N6137" t="s">
        <v>40436</v>
      </c>
      <c r="O6137" t="s">
        <v>40437</v>
      </c>
      <c r="P6137">
        <v>0</v>
      </c>
      <c r="Q6137">
        <v>0</v>
      </c>
      <c r="R6137" t="s">
        <v>40443</v>
      </c>
      <c r="S6137" t="s">
        <v>40644</v>
      </c>
      <c r="T6137" t="s">
        <v>42195</v>
      </c>
      <c r="U6137" t="s">
        <v>47829</v>
      </c>
      <c r="W6137" t="s">
        <v>39084</v>
      </c>
      <c r="X6137" t="s">
        <v>40444</v>
      </c>
    </row>
    <row r="6138" spans="1:24">
      <c r="A6138">
        <f>HYPERLINK("https://www.philgeps.gov.ph/GEPSNONPILOT/Tender/SplashBidNoticeAbstractUI.aspx?menuIndex=3&amp;refID=7041971&amp;Result=3","7041971")</f>
        <v>0</v>
      </c>
      <c r="B6138" t="s">
        <v>242</v>
      </c>
      <c r="C6138" t="s">
        <v>8912</v>
      </c>
      <c r="D6138" t="s">
        <v>16254</v>
      </c>
      <c r="E6138" t="s">
        <v>21702</v>
      </c>
      <c r="F6138" t="s">
        <v>28198</v>
      </c>
      <c r="G6138" t="s">
        <v>28207</v>
      </c>
      <c r="H6138" t="s">
        <v>28215</v>
      </c>
      <c r="I6138" t="s">
        <v>28257</v>
      </c>
      <c r="J6138" t="s">
        <v>32208</v>
      </c>
      <c r="K6138" t="s">
        <v>36707</v>
      </c>
      <c r="M6138" t="s">
        <v>37218</v>
      </c>
      <c r="N6138" t="s">
        <v>40436</v>
      </c>
      <c r="O6138" t="s">
        <v>40437</v>
      </c>
      <c r="P6138">
        <v>0</v>
      </c>
      <c r="Q6138">
        <v>0</v>
      </c>
      <c r="R6138" t="s">
        <v>40443</v>
      </c>
      <c r="S6138" t="s">
        <v>40644</v>
      </c>
      <c r="T6138" t="s">
        <v>42277</v>
      </c>
      <c r="U6138" t="s">
        <v>47835</v>
      </c>
      <c r="W6138" t="s">
        <v>37218</v>
      </c>
      <c r="X6138" t="s">
        <v>40444</v>
      </c>
    </row>
    <row r="6139" spans="1:24">
      <c r="A6139">
        <f>HYPERLINK("https://www.philgeps.gov.ph/GEPSNONPILOT/Tender/SplashBidNoticeAbstractUI.aspx?menuIndex=3&amp;refID=7041984&amp;Result=3","7041984")</f>
        <v>0</v>
      </c>
      <c r="B6139" t="s">
        <v>1993</v>
      </c>
      <c r="C6139" t="s">
        <v>8913</v>
      </c>
      <c r="D6139" t="s">
        <v>16244</v>
      </c>
      <c r="E6139" t="s">
        <v>21703</v>
      </c>
      <c r="F6139" t="s">
        <v>28198</v>
      </c>
      <c r="G6139" t="s">
        <v>28205</v>
      </c>
      <c r="H6139" t="s">
        <v>28215</v>
      </c>
      <c r="I6139" t="s">
        <v>28222</v>
      </c>
      <c r="J6139" t="s">
        <v>31789</v>
      </c>
      <c r="K6139" t="s">
        <v>36701</v>
      </c>
      <c r="M6139" t="s">
        <v>39131</v>
      </c>
      <c r="N6139" t="s">
        <v>40436</v>
      </c>
      <c r="O6139" t="s">
        <v>40437</v>
      </c>
      <c r="P6139">
        <v>0</v>
      </c>
      <c r="Q6139">
        <v>6</v>
      </c>
      <c r="R6139" t="s">
        <v>40443</v>
      </c>
      <c r="S6139" t="s">
        <v>40644</v>
      </c>
      <c r="T6139" t="s">
        <v>42164</v>
      </c>
      <c r="U6139" t="s">
        <v>47836</v>
      </c>
      <c r="W6139" t="s">
        <v>39131</v>
      </c>
      <c r="X6139" t="s">
        <v>40444</v>
      </c>
    </row>
    <row r="6140" spans="1:24">
      <c r="A6140">
        <f>HYPERLINK("https://www.philgeps.gov.ph/GEPSNONPILOT/Tender/SplashBidNoticeAbstractUI.aspx?menuIndex=3&amp;refID=7041968&amp;Result=3","7041968")</f>
        <v>0</v>
      </c>
      <c r="B6140" t="s">
        <v>2014</v>
      </c>
      <c r="C6140" t="s">
        <v>8914</v>
      </c>
      <c r="D6140" t="s">
        <v>16218</v>
      </c>
      <c r="E6140" t="s">
        <v>21704</v>
      </c>
      <c r="F6140" t="s">
        <v>28198</v>
      </c>
      <c r="G6140" t="s">
        <v>28205</v>
      </c>
      <c r="H6140" t="s">
        <v>28215</v>
      </c>
      <c r="I6140" t="s">
        <v>5100</v>
      </c>
      <c r="J6140" t="s">
        <v>32209</v>
      </c>
      <c r="K6140" t="s">
        <v>36715</v>
      </c>
      <c r="M6140" t="s">
        <v>39153</v>
      </c>
      <c r="N6140" t="s">
        <v>40436</v>
      </c>
      <c r="O6140" t="s">
        <v>40437</v>
      </c>
      <c r="P6140">
        <v>0</v>
      </c>
      <c r="Q6140">
        <v>1</v>
      </c>
      <c r="R6140" t="s">
        <v>40443</v>
      </c>
      <c r="S6140" t="s">
        <v>40644</v>
      </c>
      <c r="T6140" t="s">
        <v>42165</v>
      </c>
      <c r="U6140" t="s">
        <v>47837</v>
      </c>
      <c r="W6140" t="s">
        <v>39153</v>
      </c>
      <c r="X6140" t="s">
        <v>40444</v>
      </c>
    </row>
    <row r="6141" spans="1:24">
      <c r="A6141">
        <f>HYPERLINK("https://www.philgeps.gov.ph/GEPSNONPILOT/Tender/SplashBidNoticeAbstractUI.aspx?menuIndex=3&amp;refID=7041995&amp;Result=3","7041995")</f>
        <v>0</v>
      </c>
      <c r="B6141" t="s">
        <v>605</v>
      </c>
      <c r="C6141" t="s">
        <v>8915</v>
      </c>
      <c r="D6141" t="s">
        <v>16220</v>
      </c>
      <c r="E6141" t="s">
        <v>21705</v>
      </c>
      <c r="F6141" t="s">
        <v>28200</v>
      </c>
      <c r="G6141" t="s">
        <v>28207</v>
      </c>
      <c r="H6141" t="s">
        <v>28217</v>
      </c>
      <c r="I6141" t="s">
        <v>28275</v>
      </c>
      <c r="J6141" t="s">
        <v>28708</v>
      </c>
      <c r="K6141" t="s">
        <v>36688</v>
      </c>
      <c r="M6141" t="s">
        <v>37596</v>
      </c>
      <c r="N6141" t="s">
        <v>40436</v>
      </c>
      <c r="O6141" t="s">
        <v>40437</v>
      </c>
      <c r="P6141">
        <v>0</v>
      </c>
      <c r="Q6141">
        <v>2</v>
      </c>
      <c r="R6141" t="s">
        <v>40443</v>
      </c>
      <c r="S6141" t="s">
        <v>40644</v>
      </c>
      <c r="T6141" t="s">
        <v>42131</v>
      </c>
      <c r="U6141" t="s">
        <v>47838</v>
      </c>
      <c r="W6141" t="s">
        <v>37596</v>
      </c>
      <c r="X6141" t="s">
        <v>40444</v>
      </c>
    </row>
    <row r="6142" spans="1:24">
      <c r="A6142">
        <f>HYPERLINK("https://www.philgeps.gov.ph/GEPSNONPILOT/Tender/SplashBidNoticeAbstractUI.aspx?menuIndex=3&amp;refID=7041985&amp;Result=3","7041985")</f>
        <v>0</v>
      </c>
      <c r="B6142" t="s">
        <v>1479</v>
      </c>
      <c r="C6142" t="s">
        <v>8916</v>
      </c>
      <c r="D6142" t="s">
        <v>16203</v>
      </c>
      <c r="E6142" t="s">
        <v>21706</v>
      </c>
      <c r="F6142" t="s">
        <v>28198</v>
      </c>
      <c r="G6142" t="s">
        <v>28205</v>
      </c>
      <c r="H6142" t="s">
        <v>28215</v>
      </c>
      <c r="I6142" t="s">
        <v>4219</v>
      </c>
      <c r="J6142" t="s">
        <v>28363</v>
      </c>
      <c r="K6142" t="s">
        <v>36701</v>
      </c>
      <c r="M6142" t="s">
        <v>39154</v>
      </c>
      <c r="N6142" t="s">
        <v>40436</v>
      </c>
      <c r="O6142" t="s">
        <v>40437</v>
      </c>
      <c r="P6142">
        <v>0</v>
      </c>
      <c r="Q6142">
        <v>7</v>
      </c>
      <c r="R6142" t="s">
        <v>40443</v>
      </c>
      <c r="S6142" t="s">
        <v>40644</v>
      </c>
      <c r="T6142" t="s">
        <v>42125</v>
      </c>
      <c r="U6142" t="s">
        <v>47839</v>
      </c>
      <c r="W6142" t="s">
        <v>39154</v>
      </c>
      <c r="X6142" t="s">
        <v>40444</v>
      </c>
    </row>
    <row r="6143" spans="1:24">
      <c r="A6143">
        <f>HYPERLINK("https://www.philgeps.gov.ph/GEPSNONPILOT/Tender/SplashBidNoticeAbstractUI.aspx?menuIndex=3&amp;refID=7041986&amp;Result=3","7041986")</f>
        <v>0</v>
      </c>
      <c r="B6143" t="s">
        <v>305</v>
      </c>
      <c r="C6143" t="s">
        <v>8917</v>
      </c>
      <c r="D6143" t="s">
        <v>16197</v>
      </c>
      <c r="E6143" t="s">
        <v>21707</v>
      </c>
      <c r="F6143" t="s">
        <v>28198</v>
      </c>
      <c r="G6143" t="s">
        <v>28207</v>
      </c>
      <c r="H6143" t="s">
        <v>28215</v>
      </c>
      <c r="I6143" t="s">
        <v>3422</v>
      </c>
      <c r="J6143" t="s">
        <v>29625</v>
      </c>
      <c r="K6143" t="s">
        <v>36688</v>
      </c>
      <c r="M6143" t="s">
        <v>38213</v>
      </c>
      <c r="N6143" t="s">
        <v>40436</v>
      </c>
      <c r="O6143" t="s">
        <v>40437</v>
      </c>
      <c r="P6143">
        <v>0</v>
      </c>
      <c r="Q6143">
        <v>0</v>
      </c>
      <c r="R6143" t="s">
        <v>40443</v>
      </c>
      <c r="S6143" t="s">
        <v>40644</v>
      </c>
      <c r="T6143" t="s">
        <v>42133</v>
      </c>
      <c r="U6143" t="s">
        <v>45201</v>
      </c>
      <c r="W6143" t="s">
        <v>38213</v>
      </c>
      <c r="X6143" t="s">
        <v>40444</v>
      </c>
    </row>
    <row r="6144" spans="1:24">
      <c r="A6144">
        <f>HYPERLINK("https://www.philgeps.gov.ph/GEPSNONPILOT/Tender/SplashBidNoticeAbstractUI.aspx?menuIndex=3&amp;refID=7041999&amp;Result=3","7041999")</f>
        <v>0</v>
      </c>
      <c r="B6144" t="s">
        <v>688</v>
      </c>
      <c r="C6144" t="s">
        <v>8918</v>
      </c>
      <c r="D6144" t="s">
        <v>16230</v>
      </c>
      <c r="E6144" t="s">
        <v>21708</v>
      </c>
      <c r="F6144" t="s">
        <v>28198</v>
      </c>
      <c r="G6144" t="s">
        <v>28206</v>
      </c>
      <c r="H6144" t="s">
        <v>28215</v>
      </c>
      <c r="I6144" t="s">
        <v>28228</v>
      </c>
      <c r="J6144" t="s">
        <v>28900</v>
      </c>
      <c r="K6144" t="s">
        <v>36687</v>
      </c>
      <c r="M6144" t="s">
        <v>37687</v>
      </c>
      <c r="N6144" t="s">
        <v>40436</v>
      </c>
      <c r="O6144" t="s">
        <v>40437</v>
      </c>
      <c r="P6144">
        <v>0</v>
      </c>
      <c r="Q6144">
        <v>0</v>
      </c>
      <c r="R6144" t="s">
        <v>40443</v>
      </c>
      <c r="S6144" t="s">
        <v>40644</v>
      </c>
      <c r="T6144" t="s">
        <v>42218</v>
      </c>
      <c r="U6144" t="s">
        <v>43866</v>
      </c>
      <c r="W6144" t="s">
        <v>37687</v>
      </c>
      <c r="X6144" t="s">
        <v>40444</v>
      </c>
    </row>
    <row r="6145" spans="1:24">
      <c r="A6145">
        <f>HYPERLINK("https://www.philgeps.gov.ph/GEPSNONPILOT/Tender/SplashBidNoticeAbstractUI.aspx?menuIndex=3&amp;refID=7042032&amp;Result=3","7042032")</f>
        <v>0</v>
      </c>
      <c r="B6145" t="s">
        <v>1306</v>
      </c>
      <c r="C6145" t="s">
        <v>8919</v>
      </c>
      <c r="D6145" t="s">
        <v>16227</v>
      </c>
      <c r="E6145" t="s">
        <v>21709</v>
      </c>
      <c r="F6145" t="s">
        <v>28198</v>
      </c>
      <c r="G6145" t="s">
        <v>28205</v>
      </c>
      <c r="H6145" t="s">
        <v>28215</v>
      </c>
      <c r="I6145" t="s">
        <v>28328</v>
      </c>
      <c r="J6145" t="s">
        <v>32194</v>
      </c>
      <c r="K6145" t="s">
        <v>36707</v>
      </c>
      <c r="M6145" t="s">
        <v>38360</v>
      </c>
      <c r="N6145" t="s">
        <v>40436</v>
      </c>
      <c r="O6145" t="s">
        <v>40437</v>
      </c>
      <c r="P6145">
        <v>0</v>
      </c>
      <c r="Q6145">
        <v>1</v>
      </c>
      <c r="R6145" t="s">
        <v>40443</v>
      </c>
      <c r="S6145" t="s">
        <v>40644</v>
      </c>
      <c r="T6145" t="s">
        <v>42218</v>
      </c>
      <c r="U6145" t="s">
        <v>47840</v>
      </c>
      <c r="W6145" t="s">
        <v>38360</v>
      </c>
      <c r="X6145" t="s">
        <v>40444</v>
      </c>
    </row>
    <row r="6146" spans="1:24">
      <c r="A6146">
        <f>HYPERLINK("https://www.philgeps.gov.ph/GEPSNONPILOT/Tender/SplashBidNoticeAbstractUI.aspx?menuIndex=3&amp;refID=7042000&amp;Result=3","7042000")</f>
        <v>0</v>
      </c>
      <c r="B6146" t="s">
        <v>1793</v>
      </c>
      <c r="C6146" t="s">
        <v>8920</v>
      </c>
      <c r="D6146" t="s">
        <v>16258</v>
      </c>
      <c r="E6146" t="s">
        <v>21610</v>
      </c>
      <c r="F6146" t="s">
        <v>28198</v>
      </c>
      <c r="G6146" t="s">
        <v>28205</v>
      </c>
      <c r="H6146" t="s">
        <v>28215</v>
      </c>
      <c r="I6146" t="s">
        <v>28228</v>
      </c>
      <c r="J6146" t="s">
        <v>32210</v>
      </c>
      <c r="K6146" t="s">
        <v>36706</v>
      </c>
      <c r="M6146" t="s">
        <v>38910</v>
      </c>
      <c r="N6146" t="s">
        <v>40436</v>
      </c>
      <c r="O6146" t="s">
        <v>40437</v>
      </c>
      <c r="P6146">
        <v>0</v>
      </c>
      <c r="Q6146">
        <v>0</v>
      </c>
      <c r="R6146" t="s">
        <v>40443</v>
      </c>
      <c r="S6146" t="s">
        <v>40644</v>
      </c>
      <c r="T6146" t="s">
        <v>42302</v>
      </c>
      <c r="U6146" t="s">
        <v>47841</v>
      </c>
      <c r="V6146" t="s">
        <v>54414</v>
      </c>
      <c r="W6146" t="s">
        <v>38910</v>
      </c>
      <c r="X6146" t="s">
        <v>40444</v>
      </c>
    </row>
    <row r="6147" spans="1:24">
      <c r="A6147">
        <f>HYPERLINK("https://www.philgeps.gov.ph/GEPSNONPILOT/Tender/SplashBidNoticeAbstractUI.aspx?menuIndex=3&amp;refID=7041994&amp;Result=3","7041994")</f>
        <v>0</v>
      </c>
      <c r="B6147" t="s">
        <v>1990</v>
      </c>
      <c r="C6147" t="s">
        <v>8921</v>
      </c>
      <c r="D6147" t="s">
        <v>16258</v>
      </c>
      <c r="E6147" t="s">
        <v>21710</v>
      </c>
      <c r="F6147" t="s">
        <v>28198</v>
      </c>
      <c r="G6147" t="s">
        <v>28207</v>
      </c>
      <c r="H6147" t="s">
        <v>28215</v>
      </c>
      <c r="I6147" t="s">
        <v>4321</v>
      </c>
      <c r="J6147" t="s">
        <v>28373</v>
      </c>
      <c r="K6147" t="s">
        <v>36706</v>
      </c>
      <c r="M6147" t="s">
        <v>39128</v>
      </c>
      <c r="N6147" t="s">
        <v>40436</v>
      </c>
      <c r="O6147" t="s">
        <v>40437</v>
      </c>
      <c r="P6147">
        <v>0</v>
      </c>
      <c r="Q6147">
        <v>1</v>
      </c>
      <c r="R6147" t="s">
        <v>40443</v>
      </c>
      <c r="S6147" t="s">
        <v>40644</v>
      </c>
      <c r="T6147" t="s">
        <v>42190</v>
      </c>
      <c r="U6147" t="s">
        <v>47842</v>
      </c>
      <c r="V6147" t="s">
        <v>54415</v>
      </c>
      <c r="W6147" t="s">
        <v>39128</v>
      </c>
      <c r="X6147" t="s">
        <v>40444</v>
      </c>
    </row>
    <row r="6148" spans="1:24">
      <c r="A6148">
        <f>HYPERLINK("https://www.philgeps.gov.ph/GEPSNONPILOT/Tender/SplashBidNoticeAbstractUI.aspx?menuIndex=3&amp;refID=7042003&amp;Result=3","7042003")</f>
        <v>0</v>
      </c>
      <c r="B6148" t="s">
        <v>305</v>
      </c>
      <c r="C6148" t="s">
        <v>8922</v>
      </c>
      <c r="D6148" t="s">
        <v>16197</v>
      </c>
      <c r="E6148" t="s">
        <v>21711</v>
      </c>
      <c r="F6148" t="s">
        <v>28198</v>
      </c>
      <c r="G6148" t="s">
        <v>28207</v>
      </c>
      <c r="H6148" t="s">
        <v>28215</v>
      </c>
      <c r="I6148" t="s">
        <v>4168</v>
      </c>
      <c r="J6148" t="s">
        <v>32211</v>
      </c>
      <c r="K6148" t="s">
        <v>36688</v>
      </c>
      <c r="M6148" t="s">
        <v>38213</v>
      </c>
      <c r="N6148" t="s">
        <v>40436</v>
      </c>
      <c r="O6148" t="s">
        <v>40437</v>
      </c>
      <c r="P6148">
        <v>0</v>
      </c>
      <c r="Q6148">
        <v>2</v>
      </c>
      <c r="R6148" t="s">
        <v>40443</v>
      </c>
      <c r="S6148" t="s">
        <v>40644</v>
      </c>
      <c r="T6148" t="s">
        <v>42133</v>
      </c>
      <c r="U6148" t="s">
        <v>45201</v>
      </c>
      <c r="W6148" t="s">
        <v>38213</v>
      </c>
      <c r="X6148" t="s">
        <v>40444</v>
      </c>
    </row>
    <row r="6149" spans="1:24">
      <c r="A6149">
        <f>HYPERLINK("https://www.philgeps.gov.ph/GEPSNONPILOT/Tender/SplashBidNoticeAbstractUI.aspx?menuIndex=3&amp;refID=7041990&amp;Result=3","7041990")</f>
        <v>0</v>
      </c>
      <c r="B6149" t="s">
        <v>202</v>
      </c>
      <c r="C6149" t="s">
        <v>8923</v>
      </c>
      <c r="D6149" t="s">
        <v>16217</v>
      </c>
      <c r="E6149" t="s">
        <v>21712</v>
      </c>
      <c r="F6149" t="s">
        <v>28198</v>
      </c>
      <c r="G6149" t="s">
        <v>28205</v>
      </c>
      <c r="H6149" t="s">
        <v>28215</v>
      </c>
      <c r="I6149" t="s">
        <v>28234</v>
      </c>
      <c r="J6149" t="s">
        <v>32212</v>
      </c>
      <c r="K6149" t="s">
        <v>36701</v>
      </c>
      <c r="M6149" t="s">
        <v>37516</v>
      </c>
      <c r="N6149" t="s">
        <v>40436</v>
      </c>
      <c r="O6149" t="s">
        <v>40437</v>
      </c>
      <c r="P6149">
        <v>0</v>
      </c>
      <c r="Q6149">
        <v>8</v>
      </c>
      <c r="R6149" t="s">
        <v>40443</v>
      </c>
      <c r="S6149" t="s">
        <v>40644</v>
      </c>
      <c r="T6149" t="s">
        <v>42139</v>
      </c>
      <c r="U6149" t="s">
        <v>43546</v>
      </c>
      <c r="V6149" t="s">
        <v>54416</v>
      </c>
      <c r="W6149" t="s">
        <v>37516</v>
      </c>
      <c r="X6149" t="s">
        <v>40444</v>
      </c>
    </row>
    <row r="6150" spans="1:24">
      <c r="A6150">
        <f>HYPERLINK("https://www.philgeps.gov.ph/GEPSNONPILOT/Tender/SplashBidNoticeAbstractUI.aspx?menuIndex=3&amp;refID=7042022&amp;Result=3","7042022")</f>
        <v>0</v>
      </c>
      <c r="B6150" t="s">
        <v>2015</v>
      </c>
      <c r="C6150" t="s">
        <v>8924</v>
      </c>
      <c r="D6150" t="s">
        <v>16235</v>
      </c>
      <c r="E6150" t="s">
        <v>17462</v>
      </c>
      <c r="F6150" t="s">
        <v>28198</v>
      </c>
      <c r="G6150" t="s">
        <v>28205</v>
      </c>
      <c r="H6150" t="s">
        <v>28215</v>
      </c>
      <c r="I6150" t="s">
        <v>28231</v>
      </c>
      <c r="J6150" t="s">
        <v>32213</v>
      </c>
      <c r="K6150" t="s">
        <v>36756</v>
      </c>
      <c r="M6150" t="s">
        <v>39155</v>
      </c>
      <c r="N6150" t="s">
        <v>40436</v>
      </c>
      <c r="O6150" t="s">
        <v>40437</v>
      </c>
      <c r="P6150">
        <v>0</v>
      </c>
      <c r="Q6150">
        <v>4</v>
      </c>
      <c r="R6150" t="s">
        <v>40443</v>
      </c>
      <c r="S6150" t="s">
        <v>40644</v>
      </c>
      <c r="T6150" t="s">
        <v>42390</v>
      </c>
      <c r="U6150" t="s">
        <v>47843</v>
      </c>
      <c r="V6150" t="s">
        <v>54417</v>
      </c>
      <c r="W6150" t="s">
        <v>39155</v>
      </c>
      <c r="X6150" t="s">
        <v>40444</v>
      </c>
    </row>
    <row r="6151" spans="1:24">
      <c r="A6151">
        <f>HYPERLINK("https://www.philgeps.gov.ph/GEPSNONPILOT/Tender/SplashBidNoticeAbstractUI.aspx?menuIndex=3&amp;refID=7042031&amp;Result=3","7042031")</f>
        <v>0</v>
      </c>
      <c r="B6151" t="s">
        <v>2016</v>
      </c>
      <c r="C6151" t="s">
        <v>8925</v>
      </c>
      <c r="D6151" t="s">
        <v>16207</v>
      </c>
      <c r="E6151" t="s">
        <v>21713</v>
      </c>
      <c r="F6151" t="s">
        <v>28200</v>
      </c>
      <c r="G6151" t="s">
        <v>28207</v>
      </c>
      <c r="H6151" t="s">
        <v>28215</v>
      </c>
      <c r="I6151" t="s">
        <v>5100</v>
      </c>
      <c r="J6151" t="s">
        <v>32214</v>
      </c>
      <c r="K6151" t="s">
        <v>36688</v>
      </c>
      <c r="M6151" t="s">
        <v>39156</v>
      </c>
      <c r="N6151" t="s">
        <v>40436</v>
      </c>
      <c r="O6151" t="s">
        <v>40437</v>
      </c>
      <c r="P6151">
        <v>0</v>
      </c>
      <c r="Q6151">
        <v>0</v>
      </c>
      <c r="R6151" t="s">
        <v>40443</v>
      </c>
      <c r="S6151" t="s">
        <v>40644</v>
      </c>
      <c r="T6151" t="s">
        <v>42326</v>
      </c>
      <c r="U6151" t="s">
        <v>47844</v>
      </c>
      <c r="W6151" t="s">
        <v>39156</v>
      </c>
      <c r="X6151" t="s">
        <v>40444</v>
      </c>
    </row>
    <row r="6152" spans="1:24">
      <c r="A6152">
        <f>HYPERLINK("https://www.philgeps.gov.ph/GEPSNONPILOT/Tender/SplashBidNoticeAbstractUI.aspx?menuIndex=3&amp;refID=7041997&amp;Result=3","7041997")</f>
        <v>0</v>
      </c>
      <c r="B6152" t="s">
        <v>1950</v>
      </c>
      <c r="C6152" t="s">
        <v>8926</v>
      </c>
      <c r="E6152" t="s">
        <v>21714</v>
      </c>
      <c r="F6152" t="s">
        <v>28198</v>
      </c>
      <c r="G6152" t="s">
        <v>28205</v>
      </c>
      <c r="H6152" t="s">
        <v>28214</v>
      </c>
      <c r="I6152" t="s">
        <v>3797</v>
      </c>
      <c r="J6152" t="s">
        <v>28921</v>
      </c>
      <c r="K6152" t="s">
        <v>36689</v>
      </c>
      <c r="M6152" t="s">
        <v>39084</v>
      </c>
      <c r="N6152" t="s">
        <v>40436</v>
      </c>
      <c r="O6152" t="s">
        <v>40437</v>
      </c>
      <c r="P6152">
        <v>0</v>
      </c>
      <c r="Q6152">
        <v>0</v>
      </c>
      <c r="R6152" t="s">
        <v>40443</v>
      </c>
      <c r="S6152" t="s">
        <v>40644</v>
      </c>
      <c r="T6152" t="s">
        <v>42195</v>
      </c>
      <c r="U6152" t="s">
        <v>47829</v>
      </c>
      <c r="W6152" t="s">
        <v>39084</v>
      </c>
      <c r="X6152" t="s">
        <v>40444</v>
      </c>
    </row>
    <row r="6153" spans="1:24">
      <c r="A6153">
        <f>HYPERLINK("https://www.philgeps.gov.ph/GEPSNONPILOT/Tender/SplashBidNoticeAbstractUI.aspx?menuIndex=3&amp;refID=7042018&amp;Result=3","7042018")</f>
        <v>0</v>
      </c>
      <c r="B6153" t="s">
        <v>1990</v>
      </c>
      <c r="C6153" t="s">
        <v>8927</v>
      </c>
      <c r="D6153" t="s">
        <v>16258</v>
      </c>
      <c r="E6153" t="s">
        <v>21715</v>
      </c>
      <c r="F6153" t="s">
        <v>28198</v>
      </c>
      <c r="G6153" t="s">
        <v>28207</v>
      </c>
      <c r="H6153" t="s">
        <v>28215</v>
      </c>
      <c r="I6153" t="s">
        <v>28237</v>
      </c>
      <c r="J6153" t="s">
        <v>28597</v>
      </c>
      <c r="K6153" t="s">
        <v>36706</v>
      </c>
      <c r="M6153" t="s">
        <v>39128</v>
      </c>
      <c r="N6153" t="s">
        <v>40436</v>
      </c>
      <c r="O6153" t="s">
        <v>40437</v>
      </c>
      <c r="P6153">
        <v>0</v>
      </c>
      <c r="Q6153">
        <v>1</v>
      </c>
      <c r="R6153" t="s">
        <v>40443</v>
      </c>
      <c r="S6153" t="s">
        <v>40644</v>
      </c>
      <c r="T6153" t="s">
        <v>42190</v>
      </c>
      <c r="U6153" t="s">
        <v>47845</v>
      </c>
      <c r="V6153" t="s">
        <v>54418</v>
      </c>
      <c r="W6153" t="s">
        <v>39128</v>
      </c>
      <c r="X6153" t="s">
        <v>40444</v>
      </c>
    </row>
    <row r="6154" spans="1:24">
      <c r="A6154">
        <f>HYPERLINK("https://www.philgeps.gov.ph/GEPSNONPILOT/Tender/SplashBidNoticeAbstractUI.aspx?menuIndex=3&amp;refID=7042020&amp;Result=3","7042020")</f>
        <v>0</v>
      </c>
      <c r="B6154" t="s">
        <v>1950</v>
      </c>
      <c r="C6154" t="s">
        <v>8928</v>
      </c>
      <c r="E6154" t="s">
        <v>21716</v>
      </c>
      <c r="F6154" t="s">
        <v>28198</v>
      </c>
      <c r="G6154" t="s">
        <v>28205</v>
      </c>
      <c r="H6154" t="s">
        <v>28214</v>
      </c>
      <c r="I6154" t="s">
        <v>3797</v>
      </c>
      <c r="J6154" t="s">
        <v>28921</v>
      </c>
      <c r="K6154" t="s">
        <v>36689</v>
      </c>
      <c r="M6154" t="s">
        <v>39084</v>
      </c>
      <c r="N6154" t="s">
        <v>40436</v>
      </c>
      <c r="O6154" t="s">
        <v>40437</v>
      </c>
      <c r="P6154">
        <v>0</v>
      </c>
      <c r="Q6154">
        <v>0</v>
      </c>
      <c r="R6154" t="s">
        <v>40443</v>
      </c>
      <c r="S6154" t="s">
        <v>40644</v>
      </c>
      <c r="T6154" t="s">
        <v>42195</v>
      </c>
      <c r="U6154" t="s">
        <v>47829</v>
      </c>
      <c r="W6154" t="s">
        <v>39084</v>
      </c>
      <c r="X6154" t="s">
        <v>40444</v>
      </c>
    </row>
    <row r="6155" spans="1:24">
      <c r="A6155">
        <f>HYPERLINK("https://www.philgeps.gov.ph/GEPSNONPILOT/Tender/SplashBidNoticeAbstractUI.aspx?menuIndex=3&amp;refID=7042004&amp;Result=3","7042004")</f>
        <v>0</v>
      </c>
      <c r="B6155" t="s">
        <v>1990</v>
      </c>
      <c r="C6155" t="s">
        <v>8929</v>
      </c>
      <c r="D6155" t="s">
        <v>16258</v>
      </c>
      <c r="E6155" t="s">
        <v>21717</v>
      </c>
      <c r="F6155" t="s">
        <v>28198</v>
      </c>
      <c r="G6155" t="s">
        <v>28207</v>
      </c>
      <c r="H6155" t="s">
        <v>28215</v>
      </c>
      <c r="I6155" t="s">
        <v>5100</v>
      </c>
      <c r="J6155" t="s">
        <v>32215</v>
      </c>
      <c r="K6155" t="s">
        <v>36706</v>
      </c>
      <c r="M6155" t="s">
        <v>39128</v>
      </c>
      <c r="N6155" t="s">
        <v>40436</v>
      </c>
      <c r="O6155" t="s">
        <v>40437</v>
      </c>
      <c r="P6155">
        <v>0</v>
      </c>
      <c r="Q6155">
        <v>0</v>
      </c>
      <c r="R6155" t="s">
        <v>40443</v>
      </c>
      <c r="S6155" t="s">
        <v>40644</v>
      </c>
      <c r="T6155" t="s">
        <v>42190</v>
      </c>
      <c r="U6155" t="s">
        <v>47826</v>
      </c>
      <c r="V6155" t="s">
        <v>54419</v>
      </c>
      <c r="W6155" t="s">
        <v>39128</v>
      </c>
      <c r="X6155" t="s">
        <v>40444</v>
      </c>
    </row>
    <row r="6156" spans="1:24">
      <c r="A6156">
        <f>HYPERLINK("https://www.philgeps.gov.ph/GEPSNONPILOT/Tender/SplashBidNoticeAbstractUI.aspx?menuIndex=3&amp;refID=7042019&amp;Result=3","7042019")</f>
        <v>0</v>
      </c>
      <c r="B6156" t="s">
        <v>202</v>
      </c>
      <c r="C6156" t="s">
        <v>8930</v>
      </c>
      <c r="D6156" t="s">
        <v>16217</v>
      </c>
      <c r="E6156" t="s">
        <v>21718</v>
      </c>
      <c r="F6156" t="s">
        <v>28198</v>
      </c>
      <c r="G6156" t="s">
        <v>28205</v>
      </c>
      <c r="H6156" t="s">
        <v>28214</v>
      </c>
      <c r="I6156" t="s">
        <v>3797</v>
      </c>
      <c r="J6156" t="s">
        <v>32216</v>
      </c>
      <c r="K6156" t="s">
        <v>36692</v>
      </c>
      <c r="M6156" t="s">
        <v>37516</v>
      </c>
      <c r="N6156" t="s">
        <v>40436</v>
      </c>
      <c r="O6156" t="s">
        <v>40437</v>
      </c>
      <c r="P6156">
        <v>0</v>
      </c>
      <c r="Q6156">
        <v>1</v>
      </c>
      <c r="R6156" t="s">
        <v>40443</v>
      </c>
      <c r="S6156" t="s">
        <v>40644</v>
      </c>
      <c r="T6156" t="s">
        <v>42240</v>
      </c>
      <c r="U6156" t="s">
        <v>43546</v>
      </c>
      <c r="V6156" t="s">
        <v>54420</v>
      </c>
      <c r="W6156" t="s">
        <v>37516</v>
      </c>
      <c r="X6156" t="s">
        <v>40444</v>
      </c>
    </row>
    <row r="6157" spans="1:24">
      <c r="A6157">
        <f>HYPERLINK("https://www.philgeps.gov.ph/GEPSNONPILOT/Tender/SplashBidNoticeAbstractUI.aspx?menuIndex=3&amp;refID=7042024&amp;Result=3","7042024")</f>
        <v>0</v>
      </c>
      <c r="B6157" t="s">
        <v>2017</v>
      </c>
      <c r="C6157" t="s">
        <v>8931</v>
      </c>
      <c r="D6157" t="s">
        <v>16193</v>
      </c>
      <c r="E6157" t="s">
        <v>16424</v>
      </c>
      <c r="F6157" t="s">
        <v>28198</v>
      </c>
      <c r="G6157" t="s">
        <v>28205</v>
      </c>
      <c r="H6157" t="s">
        <v>28214</v>
      </c>
      <c r="I6157" t="s">
        <v>3797</v>
      </c>
      <c r="J6157" t="s">
        <v>32217</v>
      </c>
      <c r="K6157" t="s">
        <v>36687</v>
      </c>
      <c r="M6157" t="s">
        <v>39157</v>
      </c>
      <c r="N6157" t="s">
        <v>40436</v>
      </c>
      <c r="O6157" t="s">
        <v>40437</v>
      </c>
      <c r="P6157">
        <v>0</v>
      </c>
      <c r="Q6157">
        <v>0</v>
      </c>
      <c r="R6157" t="s">
        <v>40443</v>
      </c>
      <c r="S6157" t="s">
        <v>40644</v>
      </c>
      <c r="T6157" t="s">
        <v>42190</v>
      </c>
      <c r="U6157" t="s">
        <v>47846</v>
      </c>
      <c r="W6157" t="s">
        <v>39157</v>
      </c>
      <c r="X6157" t="s">
        <v>40444</v>
      </c>
    </row>
    <row r="6158" spans="1:24">
      <c r="A6158">
        <f>HYPERLINK("https://www.philgeps.gov.ph/GEPSNONPILOT/Tender/SplashBidNoticeAbstractUI.aspx?menuIndex=3&amp;refID=7042039&amp;Result=3","7042039")</f>
        <v>0</v>
      </c>
      <c r="B6158" t="s">
        <v>2018</v>
      </c>
      <c r="C6158" t="s">
        <v>8932</v>
      </c>
      <c r="D6158" t="s">
        <v>16222</v>
      </c>
      <c r="E6158" t="s">
        <v>21719</v>
      </c>
      <c r="F6158" t="s">
        <v>28198</v>
      </c>
      <c r="G6158" t="s">
        <v>28205</v>
      </c>
      <c r="H6158" t="s">
        <v>28215</v>
      </c>
      <c r="I6158" t="s">
        <v>28329</v>
      </c>
      <c r="J6158" t="s">
        <v>28561</v>
      </c>
      <c r="K6158" t="s">
        <v>36701</v>
      </c>
      <c r="M6158" t="s">
        <v>39158</v>
      </c>
      <c r="N6158" t="s">
        <v>40436</v>
      </c>
      <c r="O6158" t="s">
        <v>40437</v>
      </c>
      <c r="P6158">
        <v>0</v>
      </c>
      <c r="Q6158">
        <v>2</v>
      </c>
      <c r="R6158" t="s">
        <v>40443</v>
      </c>
      <c r="S6158" t="s">
        <v>40644</v>
      </c>
      <c r="T6158" t="s">
        <v>42287</v>
      </c>
      <c r="U6158" t="s">
        <v>47847</v>
      </c>
      <c r="W6158" t="s">
        <v>39158</v>
      </c>
      <c r="X6158" t="s">
        <v>40444</v>
      </c>
    </row>
    <row r="6159" spans="1:24">
      <c r="A6159">
        <f>HYPERLINK("https://www.philgeps.gov.ph/GEPSNONPILOT/Tender/SplashBidNoticeAbstractUI.aspx?menuIndex=3&amp;refID=7042029&amp;Result=3","7042029")</f>
        <v>0</v>
      </c>
      <c r="B6159" t="s">
        <v>1990</v>
      </c>
      <c r="C6159" t="s">
        <v>8933</v>
      </c>
      <c r="D6159" t="s">
        <v>16258</v>
      </c>
      <c r="E6159" t="s">
        <v>21720</v>
      </c>
      <c r="F6159" t="s">
        <v>28198</v>
      </c>
      <c r="G6159" t="s">
        <v>28207</v>
      </c>
      <c r="H6159" t="s">
        <v>28215</v>
      </c>
      <c r="I6159" t="s">
        <v>28237</v>
      </c>
      <c r="J6159" t="s">
        <v>28690</v>
      </c>
      <c r="K6159" t="s">
        <v>36706</v>
      </c>
      <c r="M6159" t="s">
        <v>39128</v>
      </c>
      <c r="N6159" t="s">
        <v>40436</v>
      </c>
      <c r="O6159" t="s">
        <v>40437</v>
      </c>
      <c r="P6159">
        <v>0</v>
      </c>
      <c r="Q6159">
        <v>0</v>
      </c>
      <c r="R6159" t="s">
        <v>40443</v>
      </c>
      <c r="S6159" t="s">
        <v>40644</v>
      </c>
      <c r="T6159" t="s">
        <v>42190</v>
      </c>
      <c r="U6159" t="s">
        <v>47848</v>
      </c>
      <c r="V6159" t="s">
        <v>54421</v>
      </c>
      <c r="W6159" t="s">
        <v>39128</v>
      </c>
      <c r="X6159" t="s">
        <v>40444</v>
      </c>
    </row>
    <row r="6160" spans="1:24">
      <c r="A6160">
        <f>HYPERLINK("https://www.philgeps.gov.ph/GEPSNONPILOT/Tender/SplashBidNoticeAbstractUI.aspx?menuIndex=3&amp;refID=7042040&amp;Result=3","7042040")</f>
        <v>0</v>
      </c>
      <c r="B6160" t="s">
        <v>305</v>
      </c>
      <c r="C6160" t="s">
        <v>8934</v>
      </c>
      <c r="D6160" t="s">
        <v>16197</v>
      </c>
      <c r="E6160" t="s">
        <v>21721</v>
      </c>
      <c r="F6160" t="s">
        <v>28198</v>
      </c>
      <c r="G6160" t="s">
        <v>28207</v>
      </c>
      <c r="H6160" t="s">
        <v>28215</v>
      </c>
      <c r="I6160" t="s">
        <v>7310</v>
      </c>
      <c r="J6160" t="s">
        <v>32218</v>
      </c>
      <c r="K6160" t="s">
        <v>36688</v>
      </c>
      <c r="M6160" t="s">
        <v>38213</v>
      </c>
      <c r="N6160" t="s">
        <v>40436</v>
      </c>
      <c r="O6160" t="s">
        <v>40437</v>
      </c>
      <c r="P6160">
        <v>0</v>
      </c>
      <c r="Q6160">
        <v>3</v>
      </c>
      <c r="R6160" t="s">
        <v>40443</v>
      </c>
      <c r="S6160" t="s">
        <v>40644</v>
      </c>
      <c r="T6160" t="s">
        <v>42133</v>
      </c>
      <c r="U6160" t="s">
        <v>45201</v>
      </c>
      <c r="W6160" t="s">
        <v>38213</v>
      </c>
      <c r="X6160" t="s">
        <v>40444</v>
      </c>
    </row>
    <row r="6161" spans="1:24">
      <c r="A6161">
        <f>HYPERLINK("https://www.philgeps.gov.ph/GEPSNONPILOT/Tender/SplashBidNoticeAbstractUI.aspx?menuIndex=3&amp;refID=7042057&amp;Result=3","7042057")</f>
        <v>0</v>
      </c>
      <c r="B6161" t="s">
        <v>241</v>
      </c>
      <c r="C6161" t="s">
        <v>8935</v>
      </c>
      <c r="D6161" t="s">
        <v>16200</v>
      </c>
      <c r="E6161" t="s">
        <v>21722</v>
      </c>
      <c r="F6161" t="s">
        <v>28198</v>
      </c>
      <c r="G6161" t="s">
        <v>28207</v>
      </c>
      <c r="H6161" t="s">
        <v>28215</v>
      </c>
      <c r="I6161" t="s">
        <v>4219</v>
      </c>
      <c r="J6161" t="s">
        <v>32219</v>
      </c>
      <c r="K6161" t="s">
        <v>36706</v>
      </c>
      <c r="M6161" t="s">
        <v>37217</v>
      </c>
      <c r="N6161" t="s">
        <v>40436</v>
      </c>
      <c r="O6161" t="s">
        <v>40437</v>
      </c>
      <c r="P6161">
        <v>0</v>
      </c>
      <c r="Q6161">
        <v>6</v>
      </c>
      <c r="R6161" t="s">
        <v>40443</v>
      </c>
      <c r="S6161" t="s">
        <v>40644</v>
      </c>
      <c r="T6161" t="s">
        <v>42245</v>
      </c>
      <c r="U6161" t="s">
        <v>47849</v>
      </c>
      <c r="W6161" t="s">
        <v>37217</v>
      </c>
      <c r="X6161" t="s">
        <v>40444</v>
      </c>
    </row>
    <row r="6162" spans="1:24">
      <c r="A6162">
        <f>HYPERLINK("https://www.philgeps.gov.ph/GEPSNONPILOT/Tender/SplashBidNoticeAbstractUI.aspx?menuIndex=3&amp;refID=7042047&amp;Result=3","7042047")</f>
        <v>0</v>
      </c>
      <c r="B6162" t="s">
        <v>1990</v>
      </c>
      <c r="C6162" t="s">
        <v>8936</v>
      </c>
      <c r="D6162" t="s">
        <v>16258</v>
      </c>
      <c r="E6162" t="s">
        <v>21723</v>
      </c>
      <c r="F6162" t="s">
        <v>28198</v>
      </c>
      <c r="G6162" t="s">
        <v>28207</v>
      </c>
      <c r="H6162" t="s">
        <v>28215</v>
      </c>
      <c r="I6162" t="s">
        <v>28228</v>
      </c>
      <c r="J6162" t="s">
        <v>32220</v>
      </c>
      <c r="K6162" t="s">
        <v>36706</v>
      </c>
      <c r="M6162" t="s">
        <v>39128</v>
      </c>
      <c r="N6162" t="s">
        <v>40436</v>
      </c>
      <c r="O6162" t="s">
        <v>40437</v>
      </c>
      <c r="P6162">
        <v>0</v>
      </c>
      <c r="Q6162">
        <v>0</v>
      </c>
      <c r="R6162" t="s">
        <v>40443</v>
      </c>
      <c r="S6162" t="s">
        <v>40644</v>
      </c>
      <c r="T6162" t="s">
        <v>42190</v>
      </c>
      <c r="U6162" t="s">
        <v>47850</v>
      </c>
      <c r="V6162" t="s">
        <v>54422</v>
      </c>
      <c r="W6162" t="s">
        <v>39128</v>
      </c>
      <c r="X6162" t="s">
        <v>40444</v>
      </c>
    </row>
    <row r="6163" spans="1:24">
      <c r="A6163">
        <f>HYPERLINK("https://www.philgeps.gov.ph/GEPSNONPILOT/Tender/SplashBidNoticeAbstractUI.aspx?menuIndex=3&amp;refID=7042043&amp;Result=3","7042043")</f>
        <v>0</v>
      </c>
      <c r="B6163" t="s">
        <v>1950</v>
      </c>
      <c r="C6163" t="s">
        <v>8937</v>
      </c>
      <c r="E6163" t="s">
        <v>21724</v>
      </c>
      <c r="F6163" t="s">
        <v>28198</v>
      </c>
      <c r="G6163" t="s">
        <v>28205</v>
      </c>
      <c r="H6163" t="s">
        <v>28214</v>
      </c>
      <c r="I6163" t="s">
        <v>3797</v>
      </c>
      <c r="J6163" t="s">
        <v>29482</v>
      </c>
      <c r="K6163" t="s">
        <v>36689</v>
      </c>
      <c r="M6163" t="s">
        <v>39084</v>
      </c>
      <c r="N6163" t="s">
        <v>40436</v>
      </c>
      <c r="O6163" t="s">
        <v>40437</v>
      </c>
      <c r="P6163">
        <v>0</v>
      </c>
      <c r="Q6163">
        <v>0</v>
      </c>
      <c r="R6163" t="s">
        <v>40443</v>
      </c>
      <c r="S6163" t="s">
        <v>40644</v>
      </c>
      <c r="T6163" t="s">
        <v>42195</v>
      </c>
      <c r="U6163" t="s">
        <v>47829</v>
      </c>
      <c r="W6163" t="s">
        <v>39084</v>
      </c>
      <c r="X6163" t="s">
        <v>40444</v>
      </c>
    </row>
    <row r="6164" spans="1:24">
      <c r="A6164">
        <f>HYPERLINK("https://www.philgeps.gov.ph/GEPSNONPILOT/Tender/SplashBidNoticeAbstractUI.aspx?menuIndex=3&amp;refID=7042059&amp;Result=3","7042059")</f>
        <v>0</v>
      </c>
      <c r="B6164" t="s">
        <v>1990</v>
      </c>
      <c r="C6164" t="s">
        <v>8938</v>
      </c>
      <c r="D6164" t="s">
        <v>16258</v>
      </c>
      <c r="E6164" t="s">
        <v>21725</v>
      </c>
      <c r="F6164" t="s">
        <v>28198</v>
      </c>
      <c r="G6164" t="s">
        <v>28207</v>
      </c>
      <c r="H6164" t="s">
        <v>28215</v>
      </c>
      <c r="I6164" t="s">
        <v>4219</v>
      </c>
      <c r="J6164" t="s">
        <v>32221</v>
      </c>
      <c r="K6164" t="s">
        <v>36706</v>
      </c>
      <c r="M6164" t="s">
        <v>39128</v>
      </c>
      <c r="N6164" t="s">
        <v>40436</v>
      </c>
      <c r="O6164" t="s">
        <v>40437</v>
      </c>
      <c r="P6164">
        <v>0</v>
      </c>
      <c r="Q6164">
        <v>6</v>
      </c>
      <c r="R6164" t="s">
        <v>40443</v>
      </c>
      <c r="S6164" t="s">
        <v>40644</v>
      </c>
      <c r="T6164" t="s">
        <v>42190</v>
      </c>
      <c r="U6164" t="s">
        <v>47851</v>
      </c>
      <c r="V6164" t="s">
        <v>54423</v>
      </c>
      <c r="W6164" t="s">
        <v>39128</v>
      </c>
      <c r="X6164" t="s">
        <v>40444</v>
      </c>
    </row>
    <row r="6165" spans="1:24">
      <c r="A6165">
        <f>HYPERLINK("https://www.philgeps.gov.ph/GEPSNONPILOT/Tender/SplashBidNoticeAbstractUI.aspx?menuIndex=3&amp;refID=7042084&amp;Result=3","7042084")</f>
        <v>0</v>
      </c>
      <c r="B6165" t="s">
        <v>1020</v>
      </c>
      <c r="C6165" t="s">
        <v>8939</v>
      </c>
      <c r="D6165" t="s">
        <v>16208</v>
      </c>
      <c r="E6165" t="s">
        <v>21726</v>
      </c>
      <c r="F6165" t="s">
        <v>28198</v>
      </c>
      <c r="G6165" t="s">
        <v>28205</v>
      </c>
      <c r="H6165" t="s">
        <v>28215</v>
      </c>
      <c r="I6165" t="s">
        <v>28265</v>
      </c>
      <c r="J6165" t="s">
        <v>28559</v>
      </c>
      <c r="K6165" t="s">
        <v>36701</v>
      </c>
      <c r="M6165" t="s">
        <v>38049</v>
      </c>
      <c r="N6165" t="s">
        <v>40436</v>
      </c>
      <c r="O6165" t="s">
        <v>40437</v>
      </c>
      <c r="P6165">
        <v>0</v>
      </c>
      <c r="Q6165">
        <v>0</v>
      </c>
      <c r="R6165" t="s">
        <v>40443</v>
      </c>
      <c r="S6165" t="s">
        <v>40644</v>
      </c>
      <c r="T6165" t="s">
        <v>42134</v>
      </c>
      <c r="U6165" t="s">
        <v>47852</v>
      </c>
      <c r="W6165" t="s">
        <v>38049</v>
      </c>
      <c r="X6165" t="s">
        <v>40444</v>
      </c>
    </row>
    <row r="6166" spans="1:24">
      <c r="A6166">
        <f>HYPERLINK("https://www.philgeps.gov.ph/GEPSNONPILOT/Tender/SplashBidNoticeAbstractUI.aspx?menuIndex=3&amp;refID=7042068&amp;Result=3","7042068")</f>
        <v>0</v>
      </c>
      <c r="B6166" t="s">
        <v>1950</v>
      </c>
      <c r="C6166" t="s">
        <v>8940</v>
      </c>
      <c r="E6166" t="s">
        <v>21727</v>
      </c>
      <c r="F6166" t="s">
        <v>28198</v>
      </c>
      <c r="G6166" t="s">
        <v>28205</v>
      </c>
      <c r="H6166" t="s">
        <v>28214</v>
      </c>
      <c r="I6166" t="s">
        <v>3797</v>
      </c>
      <c r="J6166" t="s">
        <v>28351</v>
      </c>
      <c r="K6166" t="s">
        <v>36689</v>
      </c>
      <c r="M6166" t="s">
        <v>39084</v>
      </c>
      <c r="N6166" t="s">
        <v>40436</v>
      </c>
      <c r="O6166" t="s">
        <v>40437</v>
      </c>
      <c r="P6166">
        <v>0</v>
      </c>
      <c r="Q6166">
        <v>0</v>
      </c>
      <c r="R6166" t="s">
        <v>40443</v>
      </c>
      <c r="S6166" t="s">
        <v>40644</v>
      </c>
      <c r="T6166" t="s">
        <v>42195</v>
      </c>
      <c r="U6166" t="s">
        <v>47829</v>
      </c>
      <c r="W6166" t="s">
        <v>39084</v>
      </c>
      <c r="X6166" t="s">
        <v>40444</v>
      </c>
    </row>
    <row r="6167" spans="1:24">
      <c r="A6167">
        <f>HYPERLINK("https://www.philgeps.gov.ph/GEPSNONPILOT/Tender/SplashBidNoticeAbstractUI.aspx?menuIndex=3&amp;refID=7042041&amp;Result=3","7042041")</f>
        <v>0</v>
      </c>
      <c r="B6167" t="s">
        <v>1904</v>
      </c>
      <c r="C6167" t="s">
        <v>8941</v>
      </c>
      <c r="D6167" t="s">
        <v>16188</v>
      </c>
      <c r="E6167" t="s">
        <v>21728</v>
      </c>
      <c r="F6167" t="s">
        <v>28199</v>
      </c>
      <c r="G6167" t="s">
        <v>28206</v>
      </c>
      <c r="H6167" t="s">
        <v>28215</v>
      </c>
      <c r="I6167" t="s">
        <v>28230</v>
      </c>
      <c r="J6167" t="s">
        <v>28680</v>
      </c>
      <c r="K6167" t="s">
        <v>36701</v>
      </c>
      <c r="M6167" t="s">
        <v>39036</v>
      </c>
      <c r="N6167" t="s">
        <v>40436</v>
      </c>
      <c r="O6167" t="s">
        <v>40437</v>
      </c>
      <c r="P6167">
        <v>0</v>
      </c>
      <c r="Q6167">
        <v>0</v>
      </c>
      <c r="R6167" t="s">
        <v>40443</v>
      </c>
      <c r="S6167" t="s">
        <v>40644</v>
      </c>
      <c r="T6167" t="s">
        <v>42190</v>
      </c>
      <c r="U6167" t="s">
        <v>47853</v>
      </c>
      <c r="W6167" t="s">
        <v>39036</v>
      </c>
      <c r="X6167" t="s">
        <v>40444</v>
      </c>
    </row>
    <row r="6168" spans="1:24">
      <c r="A6168">
        <f>HYPERLINK("https://www.philgeps.gov.ph/GEPSNONPILOT/Tender/SplashBidNoticeAbstractUI.aspx?menuIndex=3&amp;refID=7042078&amp;Result=3","7042078")</f>
        <v>0</v>
      </c>
      <c r="B6168" t="s">
        <v>1802</v>
      </c>
      <c r="C6168" t="s">
        <v>8942</v>
      </c>
      <c r="D6168" t="s">
        <v>16238</v>
      </c>
      <c r="E6168" t="s">
        <v>21729</v>
      </c>
      <c r="F6168" t="s">
        <v>28198</v>
      </c>
      <c r="G6168" t="s">
        <v>28207</v>
      </c>
      <c r="H6168" t="s">
        <v>28215</v>
      </c>
      <c r="I6168" t="s">
        <v>28243</v>
      </c>
      <c r="J6168" t="s">
        <v>28772</v>
      </c>
      <c r="K6168" t="s">
        <v>36701</v>
      </c>
      <c r="M6168" t="s">
        <v>38920</v>
      </c>
      <c r="N6168" t="s">
        <v>40436</v>
      </c>
      <c r="O6168" t="s">
        <v>40437</v>
      </c>
      <c r="P6168">
        <v>0</v>
      </c>
      <c r="Q6168">
        <v>0</v>
      </c>
      <c r="R6168" t="s">
        <v>40443</v>
      </c>
      <c r="S6168" t="s">
        <v>40644</v>
      </c>
      <c r="T6168" t="s">
        <v>42277</v>
      </c>
      <c r="U6168" t="s">
        <v>47854</v>
      </c>
      <c r="W6168" t="s">
        <v>38920</v>
      </c>
      <c r="X6168" t="s">
        <v>40444</v>
      </c>
    </row>
    <row r="6169" spans="1:24">
      <c r="A6169">
        <f>HYPERLINK("https://www.philgeps.gov.ph/GEPSNONPILOT/Tender/SplashBidNoticeAbstractUI.aspx?menuIndex=3&amp;refID=7042055&amp;Result=3","7042055")</f>
        <v>0</v>
      </c>
      <c r="B6169" t="s">
        <v>1939</v>
      </c>
      <c r="C6169" t="s">
        <v>8943</v>
      </c>
      <c r="D6169" t="s">
        <v>16255</v>
      </c>
      <c r="E6169" t="s">
        <v>21730</v>
      </c>
      <c r="F6169" t="s">
        <v>28198</v>
      </c>
      <c r="G6169" t="s">
        <v>28205</v>
      </c>
      <c r="H6169" t="s">
        <v>28215</v>
      </c>
      <c r="I6169" t="s">
        <v>28243</v>
      </c>
      <c r="J6169" t="s">
        <v>29120</v>
      </c>
      <c r="K6169" t="s">
        <v>36694</v>
      </c>
      <c r="M6169" t="s">
        <v>39073</v>
      </c>
      <c r="N6169" t="s">
        <v>40436</v>
      </c>
      <c r="O6169" t="s">
        <v>40437</v>
      </c>
      <c r="P6169">
        <v>0</v>
      </c>
      <c r="Q6169">
        <v>4</v>
      </c>
      <c r="R6169" t="s">
        <v>40443</v>
      </c>
      <c r="S6169" t="s">
        <v>40644</v>
      </c>
      <c r="T6169" t="s">
        <v>42190</v>
      </c>
      <c r="U6169" t="s">
        <v>47616</v>
      </c>
      <c r="V6169" t="s">
        <v>54372</v>
      </c>
      <c r="W6169" t="s">
        <v>39073</v>
      </c>
      <c r="X6169" t="s">
        <v>40444</v>
      </c>
    </row>
    <row r="6170" spans="1:24">
      <c r="A6170">
        <f>HYPERLINK("https://www.philgeps.gov.ph/GEPSNONPILOT/Tender/SplashBidNoticeAbstractUI.aspx?menuIndex=3&amp;refID=7042082&amp;Result=3","7042082")</f>
        <v>0</v>
      </c>
      <c r="B6170" t="s">
        <v>708</v>
      </c>
      <c r="C6170" t="s">
        <v>8944</v>
      </c>
      <c r="D6170" t="s">
        <v>16228</v>
      </c>
      <c r="E6170" t="s">
        <v>21731</v>
      </c>
      <c r="F6170" t="s">
        <v>28198</v>
      </c>
      <c r="G6170" t="s">
        <v>28205</v>
      </c>
      <c r="H6170" t="s">
        <v>28214</v>
      </c>
      <c r="I6170" t="s">
        <v>3797</v>
      </c>
      <c r="J6170" t="s">
        <v>32222</v>
      </c>
      <c r="K6170" t="s">
        <v>36809</v>
      </c>
      <c r="M6170" t="s">
        <v>37708</v>
      </c>
      <c r="N6170" t="s">
        <v>40436</v>
      </c>
      <c r="O6170" t="s">
        <v>40437</v>
      </c>
      <c r="P6170">
        <v>0</v>
      </c>
      <c r="Q6170">
        <v>2</v>
      </c>
      <c r="R6170" t="s">
        <v>40443</v>
      </c>
      <c r="S6170" t="s">
        <v>40644</v>
      </c>
      <c r="T6170" t="s">
        <v>42390</v>
      </c>
      <c r="U6170" t="s">
        <v>47855</v>
      </c>
      <c r="W6170" t="s">
        <v>37708</v>
      </c>
      <c r="X6170" t="s">
        <v>40444</v>
      </c>
    </row>
    <row r="6171" spans="1:24">
      <c r="A6171">
        <f>HYPERLINK("https://www.philgeps.gov.ph/GEPSNONPILOT/Tender/SplashBidNoticeAbstractUI.aspx?menuIndex=3&amp;refID=7042072&amp;Result=3","7042072")</f>
        <v>0</v>
      </c>
      <c r="B6171" t="s">
        <v>431</v>
      </c>
      <c r="C6171" t="s">
        <v>8945</v>
      </c>
      <c r="D6171" t="s">
        <v>16213</v>
      </c>
      <c r="E6171" t="s">
        <v>21732</v>
      </c>
      <c r="F6171" t="s">
        <v>28198</v>
      </c>
      <c r="G6171" t="s">
        <v>28206</v>
      </c>
      <c r="H6171" t="s">
        <v>28215</v>
      </c>
      <c r="I6171" t="s">
        <v>4219</v>
      </c>
      <c r="J6171" t="s">
        <v>32223</v>
      </c>
      <c r="K6171" t="s">
        <v>36689</v>
      </c>
      <c r="L6171" t="s">
        <v>431</v>
      </c>
      <c r="M6171" t="s">
        <v>37414</v>
      </c>
      <c r="N6171" t="s">
        <v>40436</v>
      </c>
      <c r="O6171" t="s">
        <v>40437</v>
      </c>
      <c r="P6171">
        <v>0</v>
      </c>
      <c r="Q6171">
        <v>3</v>
      </c>
      <c r="R6171" t="s">
        <v>40443</v>
      </c>
      <c r="S6171" t="s">
        <v>40644</v>
      </c>
      <c r="T6171" t="s">
        <v>42184</v>
      </c>
      <c r="U6171" t="s">
        <v>45468</v>
      </c>
      <c r="W6171" t="s">
        <v>37414</v>
      </c>
      <c r="X6171" t="s">
        <v>40444</v>
      </c>
    </row>
    <row r="6172" spans="1:24">
      <c r="A6172">
        <f>HYPERLINK("https://www.philgeps.gov.ph/GEPSNONPILOT/Tender/SplashBidNoticeAbstractUI.aspx?menuIndex=3&amp;refID=7042099&amp;Result=3","7042099")</f>
        <v>0</v>
      </c>
      <c r="B6172" t="s">
        <v>1950</v>
      </c>
      <c r="C6172" t="s">
        <v>8946</v>
      </c>
      <c r="E6172" t="s">
        <v>21733</v>
      </c>
      <c r="F6172" t="s">
        <v>28198</v>
      </c>
      <c r="G6172" t="s">
        <v>28205</v>
      </c>
      <c r="H6172" t="s">
        <v>28214</v>
      </c>
      <c r="I6172" t="s">
        <v>3797</v>
      </c>
      <c r="J6172" t="s">
        <v>29113</v>
      </c>
      <c r="K6172" t="s">
        <v>36689</v>
      </c>
      <c r="M6172" t="s">
        <v>39084</v>
      </c>
      <c r="N6172" t="s">
        <v>40436</v>
      </c>
      <c r="O6172" t="s">
        <v>40437</v>
      </c>
      <c r="P6172">
        <v>0</v>
      </c>
      <c r="Q6172">
        <v>0</v>
      </c>
      <c r="R6172" t="s">
        <v>40443</v>
      </c>
      <c r="S6172" t="s">
        <v>40644</v>
      </c>
      <c r="T6172" t="s">
        <v>42195</v>
      </c>
      <c r="U6172" t="s">
        <v>47829</v>
      </c>
      <c r="W6172" t="s">
        <v>39084</v>
      </c>
      <c r="X6172" t="s">
        <v>40444</v>
      </c>
    </row>
    <row r="6173" spans="1:24">
      <c r="A6173">
        <f>HYPERLINK("https://www.philgeps.gov.ph/GEPSNONPILOT/Tender/SplashBidNoticeAbstractUI.aspx?menuIndex=3&amp;refID=7042061&amp;Result=3","7042061")</f>
        <v>0</v>
      </c>
      <c r="B6173" t="s">
        <v>2018</v>
      </c>
      <c r="C6173" t="s">
        <v>8947</v>
      </c>
      <c r="D6173" t="s">
        <v>16222</v>
      </c>
      <c r="E6173" t="s">
        <v>21734</v>
      </c>
      <c r="F6173" t="s">
        <v>28198</v>
      </c>
      <c r="G6173" t="s">
        <v>28205</v>
      </c>
      <c r="H6173" t="s">
        <v>28214</v>
      </c>
      <c r="I6173" t="s">
        <v>3797</v>
      </c>
      <c r="J6173" t="s">
        <v>32224</v>
      </c>
      <c r="K6173" t="s">
        <v>36789</v>
      </c>
      <c r="M6173" t="s">
        <v>39158</v>
      </c>
      <c r="N6173" t="s">
        <v>40436</v>
      </c>
      <c r="O6173" t="s">
        <v>40437</v>
      </c>
      <c r="P6173">
        <v>0</v>
      </c>
      <c r="Q6173">
        <v>1</v>
      </c>
      <c r="R6173" t="s">
        <v>40443</v>
      </c>
      <c r="S6173" t="s">
        <v>40644</v>
      </c>
      <c r="T6173" t="s">
        <v>42305</v>
      </c>
      <c r="U6173" t="s">
        <v>47856</v>
      </c>
      <c r="W6173" t="s">
        <v>39158</v>
      </c>
      <c r="X6173" t="s">
        <v>40444</v>
      </c>
    </row>
    <row r="6174" spans="1:24">
      <c r="A6174">
        <f>HYPERLINK("https://www.philgeps.gov.ph/GEPSNONPILOT/Tender/SplashBidNoticeAbstractUI.aspx?menuIndex=3&amp;refID=7042071&amp;Result=3","7042071")</f>
        <v>0</v>
      </c>
      <c r="B6174" t="s">
        <v>1990</v>
      </c>
      <c r="C6174" t="s">
        <v>8948</v>
      </c>
      <c r="D6174" t="s">
        <v>16258</v>
      </c>
      <c r="E6174" t="s">
        <v>21735</v>
      </c>
      <c r="F6174" t="s">
        <v>28198</v>
      </c>
      <c r="G6174" t="s">
        <v>28207</v>
      </c>
      <c r="H6174" t="s">
        <v>28215</v>
      </c>
      <c r="I6174" t="s">
        <v>5100</v>
      </c>
      <c r="J6174" t="s">
        <v>32225</v>
      </c>
      <c r="K6174" t="s">
        <v>36706</v>
      </c>
      <c r="M6174" t="s">
        <v>39128</v>
      </c>
      <c r="N6174" t="s">
        <v>40436</v>
      </c>
      <c r="O6174" t="s">
        <v>40437</v>
      </c>
      <c r="P6174">
        <v>0</v>
      </c>
      <c r="Q6174">
        <v>0</v>
      </c>
      <c r="R6174" t="s">
        <v>40443</v>
      </c>
      <c r="S6174" t="s">
        <v>40644</v>
      </c>
      <c r="T6174" t="s">
        <v>42190</v>
      </c>
      <c r="U6174" t="s">
        <v>47826</v>
      </c>
      <c r="V6174" t="s">
        <v>54424</v>
      </c>
      <c r="W6174" t="s">
        <v>39128</v>
      </c>
      <c r="X6174" t="s">
        <v>40444</v>
      </c>
    </row>
    <row r="6175" spans="1:24">
      <c r="A6175">
        <f>HYPERLINK("https://www.philgeps.gov.ph/GEPSNONPILOT/Tender/SplashBidNoticeAbstractUI.aspx?menuIndex=3&amp;refID=7042091&amp;Result=3","7042091")</f>
        <v>0</v>
      </c>
      <c r="B6175" t="s">
        <v>1908</v>
      </c>
      <c r="C6175" t="s">
        <v>8949</v>
      </c>
      <c r="D6175" t="s">
        <v>16199</v>
      </c>
      <c r="E6175" t="s">
        <v>21736</v>
      </c>
      <c r="F6175" t="s">
        <v>28198</v>
      </c>
      <c r="G6175" t="s">
        <v>28205</v>
      </c>
      <c r="H6175" t="s">
        <v>28215</v>
      </c>
      <c r="I6175" t="s">
        <v>28222</v>
      </c>
      <c r="J6175" t="s">
        <v>32226</v>
      </c>
      <c r="K6175" t="s">
        <v>36705</v>
      </c>
      <c r="M6175" t="s">
        <v>39126</v>
      </c>
      <c r="N6175" t="s">
        <v>40436</v>
      </c>
      <c r="O6175" t="s">
        <v>40437</v>
      </c>
      <c r="P6175">
        <v>0</v>
      </c>
      <c r="Q6175">
        <v>14</v>
      </c>
      <c r="R6175" t="s">
        <v>40443</v>
      </c>
      <c r="S6175" t="s">
        <v>40644</v>
      </c>
      <c r="T6175" t="s">
        <v>42426</v>
      </c>
      <c r="U6175" t="s">
        <v>47857</v>
      </c>
      <c r="V6175" t="s">
        <v>54398</v>
      </c>
      <c r="W6175" t="s">
        <v>39126</v>
      </c>
      <c r="X6175" t="s">
        <v>40444</v>
      </c>
    </row>
    <row r="6176" spans="1:24">
      <c r="A6176">
        <f>HYPERLINK("https://www.philgeps.gov.ph/GEPSNONPILOT/Tender/SplashBidNoticeAbstractUI.aspx?menuIndex=3&amp;refID=7042063&amp;Result=3","7042063")</f>
        <v>0</v>
      </c>
      <c r="B6176" t="s">
        <v>334</v>
      </c>
      <c r="C6176" t="s">
        <v>8950</v>
      </c>
      <c r="D6176" t="s">
        <v>16226</v>
      </c>
      <c r="E6176" t="s">
        <v>21737</v>
      </c>
      <c r="F6176" t="s">
        <v>28198</v>
      </c>
      <c r="G6176" t="s">
        <v>28205</v>
      </c>
      <c r="H6176" t="s">
        <v>28214</v>
      </c>
      <c r="I6176" t="s">
        <v>5100</v>
      </c>
      <c r="J6176" t="s">
        <v>32227</v>
      </c>
      <c r="K6176" t="s">
        <v>36689</v>
      </c>
      <c r="M6176" t="s">
        <v>37312</v>
      </c>
      <c r="N6176" t="s">
        <v>40436</v>
      </c>
      <c r="O6176" t="s">
        <v>40437</v>
      </c>
      <c r="P6176">
        <v>0</v>
      </c>
      <c r="Q6176">
        <v>1</v>
      </c>
      <c r="R6176" t="s">
        <v>40443</v>
      </c>
      <c r="S6176" t="s">
        <v>40644</v>
      </c>
      <c r="T6176" t="s">
        <v>42160</v>
      </c>
      <c r="U6176" t="s">
        <v>47858</v>
      </c>
      <c r="V6176" t="s">
        <v>54425</v>
      </c>
      <c r="W6176" t="s">
        <v>37312</v>
      </c>
      <c r="X6176" t="s">
        <v>40444</v>
      </c>
    </row>
    <row r="6177" spans="1:24">
      <c r="A6177">
        <f>HYPERLINK("https://www.philgeps.gov.ph/GEPSNONPILOT/Tender/SplashBidNoticeAbstractUI.aspx?menuIndex=3&amp;refID=7042089&amp;Result=3","7042089")</f>
        <v>0</v>
      </c>
      <c r="B6177" t="s">
        <v>1191</v>
      </c>
      <c r="C6177" t="s">
        <v>8951</v>
      </c>
      <c r="D6177" t="s">
        <v>16207</v>
      </c>
      <c r="E6177" t="s">
        <v>21738</v>
      </c>
      <c r="F6177" t="s">
        <v>28198</v>
      </c>
      <c r="G6177" t="s">
        <v>28206</v>
      </c>
      <c r="H6177" t="s">
        <v>28215</v>
      </c>
      <c r="I6177" t="s">
        <v>4168</v>
      </c>
      <c r="J6177" t="s">
        <v>32228</v>
      </c>
      <c r="K6177" t="s">
        <v>36701</v>
      </c>
      <c r="M6177" t="s">
        <v>38233</v>
      </c>
      <c r="N6177" t="s">
        <v>40436</v>
      </c>
      <c r="O6177" t="s">
        <v>40437</v>
      </c>
      <c r="P6177">
        <v>0</v>
      </c>
      <c r="Q6177">
        <v>0</v>
      </c>
      <c r="R6177" t="s">
        <v>40443</v>
      </c>
      <c r="S6177" t="s">
        <v>40644</v>
      </c>
      <c r="T6177" t="s">
        <v>42158</v>
      </c>
      <c r="U6177" t="s">
        <v>47859</v>
      </c>
      <c r="W6177" t="s">
        <v>38233</v>
      </c>
      <c r="X6177" t="s">
        <v>40444</v>
      </c>
    </row>
    <row r="6178" spans="1:24">
      <c r="A6178">
        <f>HYPERLINK("https://www.philgeps.gov.ph/GEPSNONPILOT/Tender/SplashBidNoticeAbstractUI.aspx?menuIndex=3&amp;refID=7042064&amp;Result=3","7042064")</f>
        <v>0</v>
      </c>
      <c r="B6178" t="s">
        <v>1345</v>
      </c>
      <c r="C6178" t="s">
        <v>8952</v>
      </c>
      <c r="D6178" t="s">
        <v>16247</v>
      </c>
      <c r="E6178" t="s">
        <v>21739</v>
      </c>
      <c r="F6178" t="s">
        <v>28198</v>
      </c>
      <c r="G6178" t="s">
        <v>28207</v>
      </c>
      <c r="H6178" t="s">
        <v>28215</v>
      </c>
      <c r="I6178" t="s">
        <v>28222</v>
      </c>
      <c r="J6178" t="s">
        <v>32229</v>
      </c>
      <c r="K6178" t="s">
        <v>36688</v>
      </c>
      <c r="M6178" t="s">
        <v>38403</v>
      </c>
      <c r="N6178" t="s">
        <v>40436</v>
      </c>
      <c r="O6178" t="s">
        <v>40437</v>
      </c>
      <c r="P6178">
        <v>0</v>
      </c>
      <c r="Q6178">
        <v>0</v>
      </c>
      <c r="R6178" t="s">
        <v>40443</v>
      </c>
      <c r="S6178" t="s">
        <v>40644</v>
      </c>
      <c r="T6178" t="s">
        <v>42158</v>
      </c>
      <c r="U6178" t="s">
        <v>45667</v>
      </c>
      <c r="W6178" t="s">
        <v>38403</v>
      </c>
      <c r="X6178" t="s">
        <v>40444</v>
      </c>
    </row>
    <row r="6179" spans="1:24">
      <c r="A6179">
        <f>HYPERLINK("https://www.philgeps.gov.ph/GEPSNONPILOT/Tender/SplashBidNoticeAbstractUI.aspx?menuIndex=3&amp;refID=7042093&amp;Result=3","7042093")</f>
        <v>0</v>
      </c>
      <c r="B6179" t="s">
        <v>1990</v>
      </c>
      <c r="C6179" t="s">
        <v>8953</v>
      </c>
      <c r="D6179" t="s">
        <v>16258</v>
      </c>
      <c r="E6179" t="s">
        <v>21740</v>
      </c>
      <c r="F6179" t="s">
        <v>28198</v>
      </c>
      <c r="G6179" t="s">
        <v>28207</v>
      </c>
      <c r="H6179" t="s">
        <v>28215</v>
      </c>
      <c r="I6179" t="s">
        <v>4321</v>
      </c>
      <c r="J6179" t="s">
        <v>28687</v>
      </c>
      <c r="K6179" t="s">
        <v>36706</v>
      </c>
      <c r="M6179" t="s">
        <v>39128</v>
      </c>
      <c r="N6179" t="s">
        <v>40436</v>
      </c>
      <c r="O6179" t="s">
        <v>40437</v>
      </c>
      <c r="P6179">
        <v>0</v>
      </c>
      <c r="Q6179">
        <v>1</v>
      </c>
      <c r="R6179" t="s">
        <v>40443</v>
      </c>
      <c r="S6179" t="s">
        <v>40644</v>
      </c>
      <c r="T6179" t="s">
        <v>42190</v>
      </c>
      <c r="U6179" t="s">
        <v>47860</v>
      </c>
      <c r="V6179" t="s">
        <v>54426</v>
      </c>
      <c r="W6179" t="s">
        <v>39128</v>
      </c>
      <c r="X6179" t="s">
        <v>40444</v>
      </c>
    </row>
    <row r="6180" spans="1:24">
      <c r="A6180">
        <f>HYPERLINK("https://www.philgeps.gov.ph/GEPSNONPILOT/Tender/SplashBidNoticeAbstractUI.aspx?menuIndex=3&amp;refID=7042100&amp;Result=3","7042100")</f>
        <v>0</v>
      </c>
      <c r="B6180" t="s">
        <v>1075</v>
      </c>
      <c r="C6180" t="s">
        <v>8954</v>
      </c>
      <c r="D6180" t="s">
        <v>16249</v>
      </c>
      <c r="E6180" t="s">
        <v>21741</v>
      </c>
      <c r="F6180" t="s">
        <v>28198</v>
      </c>
      <c r="G6180" t="s">
        <v>28205</v>
      </c>
      <c r="H6180" t="s">
        <v>28214</v>
      </c>
      <c r="I6180" t="s">
        <v>3797</v>
      </c>
      <c r="J6180" t="s">
        <v>32230</v>
      </c>
      <c r="K6180" t="s">
        <v>36836</v>
      </c>
      <c r="M6180" t="s">
        <v>38109</v>
      </c>
      <c r="N6180" t="s">
        <v>40436</v>
      </c>
      <c r="O6180" t="s">
        <v>40437</v>
      </c>
      <c r="P6180">
        <v>0</v>
      </c>
      <c r="Q6180">
        <v>12</v>
      </c>
      <c r="R6180" t="s">
        <v>40443</v>
      </c>
      <c r="S6180" t="s">
        <v>40644</v>
      </c>
      <c r="T6180" t="s">
        <v>42123</v>
      </c>
      <c r="U6180" t="s">
        <v>47861</v>
      </c>
      <c r="W6180" t="s">
        <v>38109</v>
      </c>
      <c r="X6180" t="s">
        <v>40444</v>
      </c>
    </row>
    <row r="6181" spans="1:24">
      <c r="A6181">
        <f>HYPERLINK("https://www.philgeps.gov.ph/GEPSNONPILOT/Tender/SplashBidNoticeAbstractUI.aspx?menuIndex=3&amp;refID=7042121&amp;Result=3","7042121")</f>
        <v>0</v>
      </c>
      <c r="B6181" t="s">
        <v>1802</v>
      </c>
      <c r="C6181" t="s">
        <v>8955</v>
      </c>
      <c r="D6181" t="s">
        <v>16238</v>
      </c>
      <c r="E6181" t="s">
        <v>21742</v>
      </c>
      <c r="F6181" t="s">
        <v>28198</v>
      </c>
      <c r="G6181" t="s">
        <v>28207</v>
      </c>
      <c r="H6181" t="s">
        <v>28215</v>
      </c>
      <c r="I6181" t="s">
        <v>4168</v>
      </c>
      <c r="J6181" t="s">
        <v>28778</v>
      </c>
      <c r="K6181" t="s">
        <v>36701</v>
      </c>
      <c r="M6181" t="s">
        <v>38920</v>
      </c>
      <c r="N6181" t="s">
        <v>40436</v>
      </c>
      <c r="O6181" t="s">
        <v>40437</v>
      </c>
      <c r="P6181">
        <v>0</v>
      </c>
      <c r="Q6181">
        <v>0</v>
      </c>
      <c r="R6181" t="s">
        <v>40443</v>
      </c>
      <c r="S6181" t="s">
        <v>40644</v>
      </c>
      <c r="T6181" t="s">
        <v>42277</v>
      </c>
      <c r="U6181" t="s">
        <v>47862</v>
      </c>
      <c r="W6181" t="s">
        <v>38920</v>
      </c>
      <c r="X6181" t="s">
        <v>40444</v>
      </c>
    </row>
    <row r="6182" spans="1:24">
      <c r="A6182">
        <f>HYPERLINK("https://www.philgeps.gov.ph/GEPSNONPILOT/Tender/SplashBidNoticeAbstractUI.aspx?menuIndex=3&amp;refID=7042104&amp;Result=3","7042104")</f>
        <v>0</v>
      </c>
      <c r="B6182" t="s">
        <v>688</v>
      </c>
      <c r="C6182" t="s">
        <v>8956</v>
      </c>
      <c r="D6182" t="s">
        <v>16230</v>
      </c>
      <c r="E6182" t="s">
        <v>21743</v>
      </c>
      <c r="F6182" t="s">
        <v>28198</v>
      </c>
      <c r="G6182" t="s">
        <v>28206</v>
      </c>
      <c r="H6182" t="s">
        <v>28215</v>
      </c>
      <c r="I6182" t="s">
        <v>4219</v>
      </c>
      <c r="J6182" t="s">
        <v>32231</v>
      </c>
      <c r="K6182" t="s">
        <v>36701</v>
      </c>
      <c r="M6182" t="s">
        <v>37687</v>
      </c>
      <c r="N6182" t="s">
        <v>40436</v>
      </c>
      <c r="O6182" t="s">
        <v>40437</v>
      </c>
      <c r="P6182">
        <v>0</v>
      </c>
      <c r="Q6182">
        <v>0</v>
      </c>
      <c r="R6182" t="s">
        <v>40443</v>
      </c>
      <c r="S6182" t="s">
        <v>40644</v>
      </c>
      <c r="T6182" t="s">
        <v>42218</v>
      </c>
      <c r="U6182" t="s">
        <v>43906</v>
      </c>
      <c r="W6182" t="s">
        <v>37687</v>
      </c>
      <c r="X6182" t="s">
        <v>40444</v>
      </c>
    </row>
    <row r="6183" spans="1:24">
      <c r="A6183">
        <f>HYPERLINK("https://www.philgeps.gov.ph/GEPSNONPILOT/Tender/SplashBidNoticeAbstractUI.aspx?menuIndex=3&amp;refID=7042118&amp;Result=3","7042118")</f>
        <v>0</v>
      </c>
      <c r="B6183" t="s">
        <v>1990</v>
      </c>
      <c r="C6183" t="s">
        <v>8957</v>
      </c>
      <c r="D6183" t="s">
        <v>16258</v>
      </c>
      <c r="E6183" t="s">
        <v>21744</v>
      </c>
      <c r="F6183" t="s">
        <v>28198</v>
      </c>
      <c r="G6183" t="s">
        <v>28207</v>
      </c>
      <c r="H6183" t="s">
        <v>28215</v>
      </c>
      <c r="I6183" t="s">
        <v>4219</v>
      </c>
      <c r="J6183" t="s">
        <v>29096</v>
      </c>
      <c r="K6183" t="s">
        <v>36706</v>
      </c>
      <c r="M6183" t="s">
        <v>39128</v>
      </c>
      <c r="N6183" t="s">
        <v>40436</v>
      </c>
      <c r="O6183" t="s">
        <v>40437</v>
      </c>
      <c r="P6183">
        <v>0</v>
      </c>
      <c r="Q6183">
        <v>7</v>
      </c>
      <c r="R6183" t="s">
        <v>40443</v>
      </c>
      <c r="S6183" t="s">
        <v>40644</v>
      </c>
      <c r="T6183" t="s">
        <v>42190</v>
      </c>
      <c r="U6183" t="s">
        <v>47851</v>
      </c>
      <c r="V6183" t="s">
        <v>54427</v>
      </c>
      <c r="W6183" t="s">
        <v>39128</v>
      </c>
      <c r="X6183" t="s">
        <v>40444</v>
      </c>
    </row>
    <row r="6184" spans="1:24">
      <c r="A6184">
        <f>HYPERLINK("https://www.philgeps.gov.ph/GEPSNONPILOT/Tender/SplashBidNoticeAbstractUI.aspx?menuIndex=3&amp;refID=7042103&amp;Result=3","7042103")</f>
        <v>0</v>
      </c>
      <c r="B6184" t="s">
        <v>1802</v>
      </c>
      <c r="C6184" t="s">
        <v>8958</v>
      </c>
      <c r="D6184" t="s">
        <v>16238</v>
      </c>
      <c r="E6184" t="s">
        <v>21745</v>
      </c>
      <c r="F6184" t="s">
        <v>28198</v>
      </c>
      <c r="G6184" t="s">
        <v>28207</v>
      </c>
      <c r="H6184" t="s">
        <v>28215</v>
      </c>
      <c r="I6184" t="s">
        <v>4200</v>
      </c>
      <c r="J6184" t="s">
        <v>30329</v>
      </c>
      <c r="K6184" t="s">
        <v>36701</v>
      </c>
      <c r="M6184" t="s">
        <v>38920</v>
      </c>
      <c r="N6184" t="s">
        <v>40436</v>
      </c>
      <c r="O6184" t="s">
        <v>40437</v>
      </c>
      <c r="P6184">
        <v>0</v>
      </c>
      <c r="Q6184">
        <v>0</v>
      </c>
      <c r="R6184" t="s">
        <v>40443</v>
      </c>
      <c r="S6184" t="s">
        <v>40644</v>
      </c>
      <c r="T6184" t="s">
        <v>42277</v>
      </c>
      <c r="U6184" t="s">
        <v>47863</v>
      </c>
      <c r="W6184" t="s">
        <v>38920</v>
      </c>
      <c r="X6184" t="s">
        <v>40444</v>
      </c>
    </row>
    <row r="6185" spans="1:24">
      <c r="A6185">
        <f>HYPERLINK("https://www.philgeps.gov.ph/GEPSNONPILOT/Tender/SplashBidNoticeAbstractUI.aspx?menuIndex=3&amp;refID=7042115&amp;Result=3","7042115")</f>
        <v>0</v>
      </c>
      <c r="B6185" t="s">
        <v>234</v>
      </c>
      <c r="C6185" t="s">
        <v>8959</v>
      </c>
      <c r="D6185" t="s">
        <v>16253</v>
      </c>
      <c r="E6185" t="s">
        <v>21746</v>
      </c>
      <c r="F6185" t="s">
        <v>28198</v>
      </c>
      <c r="G6185" t="s">
        <v>28205</v>
      </c>
      <c r="H6185" t="s">
        <v>28214</v>
      </c>
      <c r="I6185" t="s">
        <v>28235</v>
      </c>
      <c r="J6185" t="s">
        <v>28379</v>
      </c>
      <c r="K6185" t="s">
        <v>36697</v>
      </c>
      <c r="M6185" t="s">
        <v>37210</v>
      </c>
      <c r="N6185" t="s">
        <v>40436</v>
      </c>
      <c r="O6185" t="s">
        <v>40437</v>
      </c>
      <c r="P6185">
        <v>0</v>
      </c>
      <c r="Q6185">
        <v>0</v>
      </c>
      <c r="R6185" t="s">
        <v>40443</v>
      </c>
      <c r="S6185" t="s">
        <v>40644</v>
      </c>
      <c r="T6185" t="s">
        <v>42390</v>
      </c>
      <c r="U6185" t="s">
        <v>47864</v>
      </c>
      <c r="W6185" t="s">
        <v>37210</v>
      </c>
      <c r="X6185" t="s">
        <v>40444</v>
      </c>
    </row>
    <row r="6186" spans="1:24">
      <c r="A6186">
        <f>HYPERLINK("https://www.philgeps.gov.ph/GEPSNONPILOT/Tender/SplashBidNoticeAbstractUI.aspx?menuIndex=3&amp;refID=7042106&amp;Result=3","7042106")</f>
        <v>0</v>
      </c>
      <c r="B6186" t="s">
        <v>1990</v>
      </c>
      <c r="C6186" t="s">
        <v>8960</v>
      </c>
      <c r="D6186" t="s">
        <v>16258</v>
      </c>
      <c r="E6186" t="s">
        <v>21747</v>
      </c>
      <c r="F6186" t="s">
        <v>28198</v>
      </c>
      <c r="G6186" t="s">
        <v>28207</v>
      </c>
      <c r="H6186" t="s">
        <v>28215</v>
      </c>
      <c r="I6186" t="s">
        <v>5100</v>
      </c>
      <c r="J6186" t="s">
        <v>32232</v>
      </c>
      <c r="K6186" t="s">
        <v>36706</v>
      </c>
      <c r="M6186" t="s">
        <v>39128</v>
      </c>
      <c r="N6186" t="s">
        <v>40436</v>
      </c>
      <c r="O6186" t="s">
        <v>40437</v>
      </c>
      <c r="P6186">
        <v>0</v>
      </c>
      <c r="Q6186">
        <v>1</v>
      </c>
      <c r="R6186" t="s">
        <v>40443</v>
      </c>
      <c r="S6186" t="s">
        <v>40644</v>
      </c>
      <c r="T6186" t="s">
        <v>42190</v>
      </c>
      <c r="U6186" t="s">
        <v>47826</v>
      </c>
      <c r="V6186" t="s">
        <v>54428</v>
      </c>
      <c r="W6186" t="s">
        <v>39128</v>
      </c>
      <c r="X6186" t="s">
        <v>40444</v>
      </c>
    </row>
    <row r="6187" spans="1:24">
      <c r="A6187">
        <f>HYPERLINK("https://www.philgeps.gov.ph/GEPSNONPILOT/Tender/SplashBidNoticeAbstractUI.aspx?menuIndex=3&amp;refID=7042102&amp;Result=3","7042102")</f>
        <v>0</v>
      </c>
      <c r="B6187" t="s">
        <v>638</v>
      </c>
      <c r="C6187" t="s">
        <v>8961</v>
      </c>
      <c r="D6187" t="s">
        <v>16202</v>
      </c>
      <c r="E6187" t="s">
        <v>21748</v>
      </c>
      <c r="F6187" t="s">
        <v>28198</v>
      </c>
      <c r="G6187" t="s">
        <v>28208</v>
      </c>
      <c r="H6187" t="s">
        <v>28215</v>
      </c>
      <c r="I6187" t="s">
        <v>28247</v>
      </c>
      <c r="J6187" t="s">
        <v>30496</v>
      </c>
      <c r="K6187" t="s">
        <v>36701</v>
      </c>
      <c r="M6187" t="s">
        <v>37631</v>
      </c>
      <c r="N6187" t="s">
        <v>40436</v>
      </c>
      <c r="O6187" t="s">
        <v>40437</v>
      </c>
      <c r="P6187">
        <v>0</v>
      </c>
      <c r="Q6187">
        <v>12</v>
      </c>
      <c r="R6187" t="s">
        <v>40443</v>
      </c>
      <c r="S6187" t="s">
        <v>40644</v>
      </c>
      <c r="T6187" t="s">
        <v>42169</v>
      </c>
      <c r="U6187" t="s">
        <v>47865</v>
      </c>
      <c r="V6187" t="s">
        <v>54429</v>
      </c>
      <c r="W6187" t="s">
        <v>37631</v>
      </c>
      <c r="X6187" t="s">
        <v>40444</v>
      </c>
    </row>
    <row r="6188" spans="1:24">
      <c r="A6188">
        <f>HYPERLINK("https://www.philgeps.gov.ph/GEPSNONPILOT/Tender/SplashBidNoticeAbstractUI.aspx?menuIndex=3&amp;refID=7042138&amp;Result=3","7042138")</f>
        <v>0</v>
      </c>
      <c r="B6188" t="s">
        <v>1802</v>
      </c>
      <c r="C6188" t="s">
        <v>8962</v>
      </c>
      <c r="D6188" t="s">
        <v>16238</v>
      </c>
      <c r="E6188" t="s">
        <v>21749</v>
      </c>
      <c r="F6188" t="s">
        <v>28198</v>
      </c>
      <c r="G6188" t="s">
        <v>28207</v>
      </c>
      <c r="H6188" t="s">
        <v>28215</v>
      </c>
      <c r="I6188" t="s">
        <v>28274</v>
      </c>
      <c r="J6188" t="s">
        <v>29374</v>
      </c>
      <c r="K6188" t="s">
        <v>36837</v>
      </c>
      <c r="M6188" t="s">
        <v>38920</v>
      </c>
      <c r="N6188" t="s">
        <v>40436</v>
      </c>
      <c r="O6188" t="s">
        <v>40437</v>
      </c>
      <c r="P6188">
        <v>0</v>
      </c>
      <c r="Q6188">
        <v>0</v>
      </c>
      <c r="R6188" t="s">
        <v>40443</v>
      </c>
      <c r="S6188" t="s">
        <v>40644</v>
      </c>
      <c r="T6188" t="s">
        <v>42277</v>
      </c>
      <c r="U6188" t="s">
        <v>47866</v>
      </c>
      <c r="W6188" t="s">
        <v>38920</v>
      </c>
      <c r="X6188" t="s">
        <v>40444</v>
      </c>
    </row>
    <row r="6189" spans="1:24">
      <c r="A6189">
        <f>HYPERLINK("https://www.philgeps.gov.ph/GEPSNONPILOT/Tender/SplashBidNoticeAbstractUI.aspx?menuIndex=3&amp;refID=7042107&amp;Result=3","7042107")</f>
        <v>0</v>
      </c>
      <c r="B6189" t="s">
        <v>431</v>
      </c>
      <c r="C6189" t="s">
        <v>8963</v>
      </c>
      <c r="D6189" t="s">
        <v>16213</v>
      </c>
      <c r="E6189" t="s">
        <v>21750</v>
      </c>
      <c r="F6189" t="s">
        <v>28198</v>
      </c>
      <c r="G6189" t="s">
        <v>28206</v>
      </c>
      <c r="H6189" t="s">
        <v>28215</v>
      </c>
      <c r="I6189" t="s">
        <v>4219</v>
      </c>
      <c r="J6189" t="s">
        <v>32233</v>
      </c>
      <c r="K6189" t="s">
        <v>36689</v>
      </c>
      <c r="L6189" t="s">
        <v>431</v>
      </c>
      <c r="M6189" t="s">
        <v>37414</v>
      </c>
      <c r="N6189" t="s">
        <v>40436</v>
      </c>
      <c r="O6189" t="s">
        <v>40437</v>
      </c>
      <c r="P6189">
        <v>0</v>
      </c>
      <c r="Q6189">
        <v>4</v>
      </c>
      <c r="R6189" t="s">
        <v>40443</v>
      </c>
      <c r="S6189" t="s">
        <v>40644</v>
      </c>
      <c r="T6189" t="s">
        <v>42184</v>
      </c>
      <c r="U6189" t="s">
        <v>45468</v>
      </c>
      <c r="W6189" t="s">
        <v>37414</v>
      </c>
      <c r="X6189" t="s">
        <v>40444</v>
      </c>
    </row>
    <row r="6190" spans="1:24">
      <c r="A6190">
        <f>HYPERLINK("https://www.philgeps.gov.ph/GEPSNONPILOT/Tender/SplashBidNoticeAbstractUI.aspx?menuIndex=3&amp;refID=7042136&amp;Result=3","7042136")</f>
        <v>0</v>
      </c>
      <c r="B6190" t="s">
        <v>2019</v>
      </c>
      <c r="C6190" t="s">
        <v>8964</v>
      </c>
      <c r="D6190" t="s">
        <v>16268</v>
      </c>
      <c r="E6190" t="s">
        <v>21751</v>
      </c>
      <c r="F6190" t="s">
        <v>28198</v>
      </c>
      <c r="G6190" t="s">
        <v>28205</v>
      </c>
      <c r="H6190" t="s">
        <v>28214</v>
      </c>
      <c r="I6190" t="s">
        <v>3797</v>
      </c>
      <c r="J6190" t="s">
        <v>32234</v>
      </c>
      <c r="K6190" t="s">
        <v>36711</v>
      </c>
      <c r="M6190" t="s">
        <v>39159</v>
      </c>
      <c r="N6190" t="s">
        <v>40436</v>
      </c>
      <c r="O6190" t="s">
        <v>40437</v>
      </c>
      <c r="P6190">
        <v>0</v>
      </c>
      <c r="Q6190">
        <v>0</v>
      </c>
      <c r="R6190" t="s">
        <v>40443</v>
      </c>
      <c r="S6190" t="s">
        <v>40644</v>
      </c>
      <c r="T6190" t="s">
        <v>42229</v>
      </c>
      <c r="U6190" t="s">
        <v>47867</v>
      </c>
      <c r="V6190" t="s">
        <v>54430</v>
      </c>
      <c r="W6190" t="s">
        <v>39159</v>
      </c>
      <c r="X6190" t="s">
        <v>40444</v>
      </c>
    </row>
    <row r="6191" spans="1:24">
      <c r="A6191">
        <f>HYPERLINK("https://www.philgeps.gov.ph/GEPSNONPILOT/Tender/SplashBidNoticeAbstractUI.aspx?menuIndex=3&amp;refID=7042141&amp;Result=3","7042141")</f>
        <v>0</v>
      </c>
      <c r="B6191" t="s">
        <v>189</v>
      </c>
      <c r="C6191" t="s">
        <v>8965</v>
      </c>
      <c r="E6191" t="s">
        <v>21752</v>
      </c>
      <c r="F6191" t="s">
        <v>28198</v>
      </c>
      <c r="G6191" t="s">
        <v>28207</v>
      </c>
      <c r="H6191" t="s">
        <v>28215</v>
      </c>
      <c r="I6191" t="s">
        <v>28226</v>
      </c>
      <c r="J6191" t="s">
        <v>28345</v>
      </c>
      <c r="K6191" t="s">
        <v>36689</v>
      </c>
      <c r="M6191" t="s">
        <v>37164</v>
      </c>
      <c r="N6191" t="s">
        <v>40436</v>
      </c>
      <c r="O6191" t="s">
        <v>40437</v>
      </c>
      <c r="P6191">
        <v>0</v>
      </c>
      <c r="Q6191">
        <v>3</v>
      </c>
      <c r="R6191" t="s">
        <v>40443</v>
      </c>
      <c r="S6191" t="s">
        <v>40644</v>
      </c>
      <c r="T6191" t="s">
        <v>42156</v>
      </c>
      <c r="U6191" t="s">
        <v>47342</v>
      </c>
      <c r="W6191" t="s">
        <v>37164</v>
      </c>
      <c r="X6191" t="s">
        <v>40444</v>
      </c>
    </row>
    <row r="6192" spans="1:24">
      <c r="A6192">
        <f>HYPERLINK("https://www.philgeps.gov.ph/GEPSNONPILOT/Tender/SplashBidNoticeAbstractUI.aspx?menuIndex=3&amp;refID=7042120&amp;Result=3","7042120")</f>
        <v>0</v>
      </c>
      <c r="B6192" t="s">
        <v>904</v>
      </c>
      <c r="C6192" t="s">
        <v>8966</v>
      </c>
      <c r="D6192" t="s">
        <v>16233</v>
      </c>
      <c r="E6192" t="s">
        <v>21753</v>
      </c>
      <c r="F6192" t="s">
        <v>28198</v>
      </c>
      <c r="G6192" t="s">
        <v>28207</v>
      </c>
      <c r="H6192" t="s">
        <v>28215</v>
      </c>
      <c r="I6192" t="s">
        <v>3774</v>
      </c>
      <c r="J6192" t="s">
        <v>32235</v>
      </c>
      <c r="K6192" t="s">
        <v>36689</v>
      </c>
      <c r="M6192" t="s">
        <v>38375</v>
      </c>
      <c r="N6192" t="s">
        <v>40436</v>
      </c>
      <c r="O6192" t="s">
        <v>40437</v>
      </c>
      <c r="P6192">
        <v>0</v>
      </c>
      <c r="Q6192">
        <v>0</v>
      </c>
      <c r="R6192" t="s">
        <v>40443</v>
      </c>
      <c r="S6192" t="s">
        <v>40644</v>
      </c>
      <c r="T6192" t="s">
        <v>42205</v>
      </c>
      <c r="U6192" t="s">
        <v>47868</v>
      </c>
      <c r="W6192" t="s">
        <v>38375</v>
      </c>
      <c r="X6192" t="s">
        <v>40444</v>
      </c>
    </row>
    <row r="6193" spans="1:24">
      <c r="A6193">
        <f>HYPERLINK("https://www.philgeps.gov.ph/GEPSNONPILOT/Tender/SplashBidNoticeAbstractUI.aspx?menuIndex=3&amp;refID=7042127&amp;Result=3","7042127")</f>
        <v>0</v>
      </c>
      <c r="B6193" t="s">
        <v>1191</v>
      </c>
      <c r="C6193" t="s">
        <v>8967</v>
      </c>
      <c r="D6193" t="s">
        <v>16207</v>
      </c>
      <c r="E6193" t="s">
        <v>21754</v>
      </c>
      <c r="F6193" t="s">
        <v>28198</v>
      </c>
      <c r="G6193" t="s">
        <v>28207</v>
      </c>
      <c r="H6193" t="s">
        <v>28215</v>
      </c>
      <c r="I6193" t="s">
        <v>28227</v>
      </c>
      <c r="J6193" t="s">
        <v>32236</v>
      </c>
      <c r="K6193" t="s">
        <v>36688</v>
      </c>
      <c r="M6193" t="s">
        <v>38233</v>
      </c>
      <c r="N6193" t="s">
        <v>40436</v>
      </c>
      <c r="O6193" t="s">
        <v>40437</v>
      </c>
      <c r="P6193">
        <v>0</v>
      </c>
      <c r="Q6193">
        <v>1</v>
      </c>
      <c r="R6193" t="s">
        <v>40443</v>
      </c>
      <c r="S6193" t="s">
        <v>40644</v>
      </c>
      <c r="T6193" t="s">
        <v>42158</v>
      </c>
      <c r="U6193" t="s">
        <v>47869</v>
      </c>
      <c r="W6193" t="s">
        <v>38233</v>
      </c>
      <c r="X6193" t="s">
        <v>40444</v>
      </c>
    </row>
    <row r="6194" spans="1:24">
      <c r="A6194">
        <f>HYPERLINK("https://www.philgeps.gov.ph/GEPSNONPILOT/Tender/SplashBidNoticeAbstractUI.aspx?menuIndex=3&amp;refID=7042131&amp;Result=3","7042131")</f>
        <v>0</v>
      </c>
      <c r="B6194" t="s">
        <v>1990</v>
      </c>
      <c r="C6194" t="s">
        <v>8968</v>
      </c>
      <c r="D6194" t="s">
        <v>16258</v>
      </c>
      <c r="E6194" t="s">
        <v>21755</v>
      </c>
      <c r="F6194" t="s">
        <v>28198</v>
      </c>
      <c r="G6194" t="s">
        <v>28207</v>
      </c>
      <c r="H6194" t="s">
        <v>28215</v>
      </c>
      <c r="I6194" t="s">
        <v>5082</v>
      </c>
      <c r="J6194" t="s">
        <v>32237</v>
      </c>
      <c r="K6194" t="s">
        <v>36706</v>
      </c>
      <c r="M6194" t="s">
        <v>39128</v>
      </c>
      <c r="N6194" t="s">
        <v>40436</v>
      </c>
      <c r="O6194" t="s">
        <v>40437</v>
      </c>
      <c r="P6194">
        <v>0</v>
      </c>
      <c r="Q6194">
        <v>2</v>
      </c>
      <c r="R6194" t="s">
        <v>40443</v>
      </c>
      <c r="S6194" t="s">
        <v>40644</v>
      </c>
      <c r="T6194" t="s">
        <v>42190</v>
      </c>
      <c r="U6194" t="s">
        <v>43698</v>
      </c>
      <c r="V6194" t="s">
        <v>54431</v>
      </c>
      <c r="W6194" t="s">
        <v>39128</v>
      </c>
      <c r="X6194" t="s">
        <v>40444</v>
      </c>
    </row>
    <row r="6195" spans="1:24">
      <c r="A6195">
        <f>HYPERLINK("https://www.philgeps.gov.ph/GEPSNONPILOT/Tender/SplashBidNoticeAbstractUI.aspx?menuIndex=3&amp;refID=7042142&amp;Result=3","7042142")</f>
        <v>0</v>
      </c>
      <c r="B6195" t="s">
        <v>234</v>
      </c>
      <c r="C6195" t="s">
        <v>8969</v>
      </c>
      <c r="D6195" t="s">
        <v>16253</v>
      </c>
      <c r="E6195" t="s">
        <v>21756</v>
      </c>
      <c r="F6195" t="s">
        <v>28198</v>
      </c>
      <c r="G6195" t="s">
        <v>28205</v>
      </c>
      <c r="H6195" t="s">
        <v>28214</v>
      </c>
      <c r="I6195" t="s">
        <v>4200</v>
      </c>
      <c r="J6195" t="s">
        <v>28404</v>
      </c>
      <c r="K6195" t="s">
        <v>36697</v>
      </c>
      <c r="M6195" t="s">
        <v>37210</v>
      </c>
      <c r="N6195" t="s">
        <v>40436</v>
      </c>
      <c r="O6195" t="s">
        <v>40437</v>
      </c>
      <c r="P6195">
        <v>0</v>
      </c>
      <c r="Q6195">
        <v>0</v>
      </c>
      <c r="R6195" t="s">
        <v>40443</v>
      </c>
      <c r="S6195" t="s">
        <v>40644</v>
      </c>
      <c r="T6195" t="s">
        <v>42158</v>
      </c>
      <c r="U6195" t="s">
        <v>47870</v>
      </c>
      <c r="W6195" t="s">
        <v>37210</v>
      </c>
      <c r="X6195" t="s">
        <v>40444</v>
      </c>
    </row>
    <row r="6196" spans="1:24">
      <c r="A6196">
        <f>HYPERLINK("https://www.philgeps.gov.ph/GEPSNONPILOT/Tender/SplashBidNoticeAbstractUI.aspx?menuIndex=3&amp;refID=7042117&amp;Result=3","7042117")</f>
        <v>0</v>
      </c>
      <c r="B6196" t="s">
        <v>1939</v>
      </c>
      <c r="C6196" t="s">
        <v>8970</v>
      </c>
      <c r="D6196" t="s">
        <v>16255</v>
      </c>
      <c r="E6196" t="s">
        <v>21757</v>
      </c>
      <c r="F6196" t="s">
        <v>28198</v>
      </c>
      <c r="G6196" t="s">
        <v>28205</v>
      </c>
      <c r="H6196" t="s">
        <v>28215</v>
      </c>
      <c r="I6196" t="s">
        <v>28243</v>
      </c>
      <c r="J6196" t="s">
        <v>28787</v>
      </c>
      <c r="K6196" t="s">
        <v>36694</v>
      </c>
      <c r="M6196" t="s">
        <v>39073</v>
      </c>
      <c r="N6196" t="s">
        <v>40436</v>
      </c>
      <c r="O6196" t="s">
        <v>40437</v>
      </c>
      <c r="P6196">
        <v>0</v>
      </c>
      <c r="Q6196">
        <v>1</v>
      </c>
      <c r="R6196" t="s">
        <v>40443</v>
      </c>
      <c r="S6196" t="s">
        <v>40644</v>
      </c>
      <c r="T6196" t="s">
        <v>42158</v>
      </c>
      <c r="U6196" t="s">
        <v>47616</v>
      </c>
      <c r="V6196" t="s">
        <v>54372</v>
      </c>
      <c r="W6196" t="s">
        <v>39073</v>
      </c>
      <c r="X6196" t="s">
        <v>40444</v>
      </c>
    </row>
    <row r="6197" spans="1:24">
      <c r="A6197">
        <f>HYPERLINK("https://www.philgeps.gov.ph/GEPSNONPILOT/Tender/SplashBidNoticeAbstractUI.aspx?menuIndex=3&amp;refID=7042128&amp;Result=3","7042128")</f>
        <v>0</v>
      </c>
      <c r="B6197" t="s">
        <v>1127</v>
      </c>
      <c r="C6197" t="s">
        <v>8971</v>
      </c>
      <c r="D6197" t="s">
        <v>16274</v>
      </c>
      <c r="E6197" t="s">
        <v>21758</v>
      </c>
      <c r="F6197" t="s">
        <v>28198</v>
      </c>
      <c r="G6197" t="s">
        <v>28205</v>
      </c>
      <c r="H6197" t="s">
        <v>28215</v>
      </c>
      <c r="I6197" t="s">
        <v>28222</v>
      </c>
      <c r="J6197" t="s">
        <v>28921</v>
      </c>
      <c r="K6197" t="s">
        <v>36697</v>
      </c>
      <c r="M6197" t="s">
        <v>38165</v>
      </c>
      <c r="N6197" t="s">
        <v>40436</v>
      </c>
      <c r="O6197" t="s">
        <v>40437</v>
      </c>
      <c r="P6197">
        <v>0</v>
      </c>
      <c r="Q6197">
        <v>3</v>
      </c>
      <c r="R6197" t="s">
        <v>40443</v>
      </c>
      <c r="S6197" t="s">
        <v>40644</v>
      </c>
      <c r="T6197" t="s">
        <v>42121</v>
      </c>
      <c r="U6197" t="s">
        <v>47871</v>
      </c>
      <c r="W6197" t="s">
        <v>38165</v>
      </c>
      <c r="X6197" t="s">
        <v>40444</v>
      </c>
    </row>
    <row r="6198" spans="1:24">
      <c r="A6198">
        <f>HYPERLINK("https://www.philgeps.gov.ph/GEPSNONPILOT/Tender/SplashBidNoticeAbstractUI.aspx?menuIndex=3&amp;refID=7042122&amp;Result=3","7042122")</f>
        <v>0</v>
      </c>
      <c r="B6198" t="s">
        <v>431</v>
      </c>
      <c r="C6198" t="s">
        <v>8972</v>
      </c>
      <c r="D6198" t="s">
        <v>16213</v>
      </c>
      <c r="E6198" t="s">
        <v>21759</v>
      </c>
      <c r="F6198" t="s">
        <v>28198</v>
      </c>
      <c r="G6198" t="s">
        <v>28206</v>
      </c>
      <c r="H6198" t="s">
        <v>28215</v>
      </c>
      <c r="I6198" t="s">
        <v>4200</v>
      </c>
      <c r="J6198" t="s">
        <v>32238</v>
      </c>
      <c r="K6198" t="s">
        <v>36689</v>
      </c>
      <c r="L6198" t="s">
        <v>431</v>
      </c>
      <c r="M6198" t="s">
        <v>37414</v>
      </c>
      <c r="N6198" t="s">
        <v>40436</v>
      </c>
      <c r="O6198" t="s">
        <v>40437</v>
      </c>
      <c r="P6198">
        <v>0</v>
      </c>
      <c r="Q6198">
        <v>1</v>
      </c>
      <c r="R6198" t="s">
        <v>40443</v>
      </c>
      <c r="S6198" t="s">
        <v>40644</v>
      </c>
      <c r="T6198" t="s">
        <v>42184</v>
      </c>
      <c r="U6198" t="s">
        <v>45468</v>
      </c>
      <c r="W6198" t="s">
        <v>37414</v>
      </c>
      <c r="X6198" t="s">
        <v>40444</v>
      </c>
    </row>
    <row r="6199" spans="1:24">
      <c r="A6199">
        <f>HYPERLINK("https://www.philgeps.gov.ph/GEPSNONPILOT/Tender/SplashBidNoticeAbstractUI.aspx?menuIndex=3&amp;refID=7042124&amp;Result=3","7042124")</f>
        <v>0</v>
      </c>
      <c r="B6199" t="s">
        <v>2018</v>
      </c>
      <c r="C6199" t="s">
        <v>8947</v>
      </c>
      <c r="D6199" t="s">
        <v>16222</v>
      </c>
      <c r="E6199" t="s">
        <v>21760</v>
      </c>
      <c r="F6199" t="s">
        <v>28198</v>
      </c>
      <c r="G6199" t="s">
        <v>28205</v>
      </c>
      <c r="H6199" t="s">
        <v>28214</v>
      </c>
      <c r="I6199" t="s">
        <v>3797</v>
      </c>
      <c r="J6199" t="s">
        <v>32239</v>
      </c>
      <c r="K6199" t="s">
        <v>36789</v>
      </c>
      <c r="M6199" t="s">
        <v>39158</v>
      </c>
      <c r="N6199" t="s">
        <v>40436</v>
      </c>
      <c r="O6199" t="s">
        <v>40437</v>
      </c>
      <c r="P6199">
        <v>0</v>
      </c>
      <c r="Q6199">
        <v>1</v>
      </c>
      <c r="R6199" t="s">
        <v>40443</v>
      </c>
      <c r="S6199" t="s">
        <v>40644</v>
      </c>
      <c r="T6199" t="s">
        <v>42229</v>
      </c>
      <c r="U6199" t="s">
        <v>46855</v>
      </c>
      <c r="W6199" t="s">
        <v>39158</v>
      </c>
      <c r="X6199" t="s">
        <v>40444</v>
      </c>
    </row>
    <row r="6200" spans="1:24">
      <c r="A6200">
        <f>HYPERLINK("https://www.philgeps.gov.ph/GEPSNONPILOT/Tender/SplashBidNoticeAbstractUI.aspx?menuIndex=3&amp;refID=7042144&amp;Result=3","7042144")</f>
        <v>0</v>
      </c>
      <c r="B6200" t="s">
        <v>1905</v>
      </c>
      <c r="C6200" t="s">
        <v>8973</v>
      </c>
      <c r="D6200" t="s">
        <v>16252</v>
      </c>
      <c r="E6200" t="s">
        <v>21761</v>
      </c>
      <c r="F6200" t="s">
        <v>28198</v>
      </c>
      <c r="G6200" t="s">
        <v>28205</v>
      </c>
      <c r="H6200" t="s">
        <v>28215</v>
      </c>
      <c r="I6200" t="s">
        <v>4219</v>
      </c>
      <c r="J6200" t="s">
        <v>32240</v>
      </c>
      <c r="K6200" t="s">
        <v>36701</v>
      </c>
      <c r="M6200" t="s">
        <v>39037</v>
      </c>
      <c r="N6200" t="s">
        <v>40436</v>
      </c>
      <c r="O6200" t="s">
        <v>40437</v>
      </c>
      <c r="P6200">
        <v>0</v>
      </c>
      <c r="Q6200">
        <v>2</v>
      </c>
      <c r="R6200" t="s">
        <v>40443</v>
      </c>
      <c r="S6200" t="s">
        <v>40644</v>
      </c>
      <c r="T6200" t="s">
        <v>42106</v>
      </c>
      <c r="U6200" t="s">
        <v>47872</v>
      </c>
      <c r="W6200" t="s">
        <v>55499</v>
      </c>
      <c r="X6200" t="s">
        <v>40444</v>
      </c>
    </row>
    <row r="6201" spans="1:24">
      <c r="A6201">
        <f>HYPERLINK("https://www.philgeps.gov.ph/GEPSNONPILOT/Tender/SplashBidNoticeAbstractUI.aspx?menuIndex=3&amp;refID=7042168&amp;Result=3","7042168")</f>
        <v>0</v>
      </c>
      <c r="B6201" t="s">
        <v>1990</v>
      </c>
      <c r="C6201" t="s">
        <v>8974</v>
      </c>
      <c r="D6201" t="s">
        <v>16258</v>
      </c>
      <c r="E6201" t="s">
        <v>21762</v>
      </c>
      <c r="F6201" t="s">
        <v>28198</v>
      </c>
      <c r="G6201" t="s">
        <v>28207</v>
      </c>
      <c r="H6201" t="s">
        <v>28215</v>
      </c>
      <c r="I6201" t="s">
        <v>5100</v>
      </c>
      <c r="J6201" t="s">
        <v>32241</v>
      </c>
      <c r="K6201" t="s">
        <v>36706</v>
      </c>
      <c r="M6201" t="s">
        <v>39128</v>
      </c>
      <c r="N6201" t="s">
        <v>40436</v>
      </c>
      <c r="O6201" t="s">
        <v>40437</v>
      </c>
      <c r="P6201">
        <v>0</v>
      </c>
      <c r="Q6201">
        <v>0</v>
      </c>
      <c r="R6201" t="s">
        <v>40443</v>
      </c>
      <c r="S6201" t="s">
        <v>40644</v>
      </c>
      <c r="T6201" t="s">
        <v>42190</v>
      </c>
      <c r="U6201" t="s">
        <v>47826</v>
      </c>
      <c r="V6201" t="s">
        <v>54432</v>
      </c>
      <c r="W6201" t="s">
        <v>39128</v>
      </c>
      <c r="X6201" t="s">
        <v>40444</v>
      </c>
    </row>
    <row r="6202" spans="1:24">
      <c r="A6202">
        <f>HYPERLINK("https://www.philgeps.gov.ph/GEPSNONPILOT/Tender/SplashBidNoticeAbstractUI.aspx?menuIndex=3&amp;refID=7042161&amp;Result=3","7042161")</f>
        <v>0</v>
      </c>
      <c r="B6202" t="s">
        <v>1950</v>
      </c>
      <c r="C6202" t="s">
        <v>8975</v>
      </c>
      <c r="E6202" t="s">
        <v>21763</v>
      </c>
      <c r="F6202" t="s">
        <v>28198</v>
      </c>
      <c r="G6202" t="s">
        <v>28205</v>
      </c>
      <c r="H6202" t="s">
        <v>28214</v>
      </c>
      <c r="I6202" t="s">
        <v>3797</v>
      </c>
      <c r="J6202" t="s">
        <v>32242</v>
      </c>
      <c r="K6202" t="s">
        <v>36689</v>
      </c>
      <c r="M6202" t="s">
        <v>39084</v>
      </c>
      <c r="N6202" t="s">
        <v>40436</v>
      </c>
      <c r="O6202" t="s">
        <v>40437</v>
      </c>
      <c r="P6202">
        <v>0</v>
      </c>
      <c r="Q6202">
        <v>0</v>
      </c>
      <c r="R6202" t="s">
        <v>40443</v>
      </c>
      <c r="S6202" t="s">
        <v>40644</v>
      </c>
      <c r="T6202" t="s">
        <v>42195</v>
      </c>
      <c r="U6202" t="s">
        <v>47829</v>
      </c>
      <c r="W6202" t="s">
        <v>39084</v>
      </c>
      <c r="X6202" t="s">
        <v>40444</v>
      </c>
    </row>
    <row r="6203" spans="1:24">
      <c r="A6203">
        <f>HYPERLINK("https://www.philgeps.gov.ph/GEPSNONPILOT/Tender/SplashBidNoticeAbstractUI.aspx?menuIndex=3&amp;refID=7042160&amp;Result=3","7042160")</f>
        <v>0</v>
      </c>
      <c r="B6203" t="s">
        <v>2020</v>
      </c>
      <c r="C6203" t="s">
        <v>8976</v>
      </c>
      <c r="D6203" t="s">
        <v>16210</v>
      </c>
      <c r="E6203" t="s">
        <v>21764</v>
      </c>
      <c r="F6203" t="s">
        <v>28198</v>
      </c>
      <c r="G6203" t="s">
        <v>28205</v>
      </c>
      <c r="H6203" t="s">
        <v>28215</v>
      </c>
      <c r="I6203" t="s">
        <v>28220</v>
      </c>
      <c r="J6203" t="s">
        <v>32243</v>
      </c>
      <c r="K6203" t="s">
        <v>36689</v>
      </c>
      <c r="L6203" t="s">
        <v>2020</v>
      </c>
      <c r="M6203" t="s">
        <v>39160</v>
      </c>
      <c r="N6203" t="s">
        <v>40436</v>
      </c>
      <c r="O6203" t="s">
        <v>40437</v>
      </c>
      <c r="Q6203">
        <v>31</v>
      </c>
      <c r="R6203" t="s">
        <v>40443</v>
      </c>
      <c r="S6203" t="s">
        <v>40652</v>
      </c>
      <c r="T6203" t="s">
        <v>42426</v>
      </c>
      <c r="U6203" t="s">
        <v>47873</v>
      </c>
      <c r="W6203" t="s">
        <v>39160</v>
      </c>
      <c r="X6203" t="s">
        <v>40444</v>
      </c>
    </row>
    <row r="6204" spans="1:24">
      <c r="A6204">
        <f>HYPERLINK("https://www.philgeps.gov.ph/GEPSNONPILOT/Tender/SplashBidNoticeAbstractUI.aspx?menuIndex=3&amp;refID=7042159&amp;Result=3","7042159")</f>
        <v>0</v>
      </c>
      <c r="B6204" t="s">
        <v>2018</v>
      </c>
      <c r="C6204" t="s">
        <v>8977</v>
      </c>
      <c r="D6204" t="s">
        <v>16222</v>
      </c>
      <c r="E6204" t="s">
        <v>21734</v>
      </c>
      <c r="F6204" t="s">
        <v>28198</v>
      </c>
      <c r="G6204" t="s">
        <v>28205</v>
      </c>
      <c r="H6204" t="s">
        <v>28214</v>
      </c>
      <c r="I6204" t="s">
        <v>3797</v>
      </c>
      <c r="J6204" t="s">
        <v>32224</v>
      </c>
      <c r="K6204" t="s">
        <v>36789</v>
      </c>
      <c r="M6204" t="s">
        <v>39158</v>
      </c>
      <c r="N6204" t="s">
        <v>40436</v>
      </c>
      <c r="O6204" t="s">
        <v>40437</v>
      </c>
      <c r="P6204">
        <v>0</v>
      </c>
      <c r="Q6204">
        <v>1</v>
      </c>
      <c r="R6204" t="s">
        <v>40443</v>
      </c>
      <c r="S6204" t="s">
        <v>40644</v>
      </c>
      <c r="T6204" t="s">
        <v>42305</v>
      </c>
      <c r="U6204" t="s">
        <v>46855</v>
      </c>
      <c r="W6204" t="s">
        <v>39158</v>
      </c>
      <c r="X6204" t="s">
        <v>40444</v>
      </c>
    </row>
    <row r="6205" spans="1:24">
      <c r="A6205">
        <f>HYPERLINK("https://www.philgeps.gov.ph/GEPSNONPILOT/Tender/SplashBidNoticeAbstractUI.aspx?menuIndex=3&amp;refID=7042156&amp;Result=3","7042156")</f>
        <v>0</v>
      </c>
      <c r="B6205" t="s">
        <v>904</v>
      </c>
      <c r="C6205" t="s">
        <v>8978</v>
      </c>
      <c r="D6205" t="s">
        <v>16233</v>
      </c>
      <c r="E6205" t="s">
        <v>21765</v>
      </c>
      <c r="F6205" t="s">
        <v>28198</v>
      </c>
      <c r="G6205" t="s">
        <v>28207</v>
      </c>
      <c r="H6205" t="s">
        <v>28215</v>
      </c>
      <c r="I6205" t="s">
        <v>28263</v>
      </c>
      <c r="J6205" t="s">
        <v>28414</v>
      </c>
      <c r="K6205" t="s">
        <v>36689</v>
      </c>
      <c r="M6205" t="s">
        <v>38375</v>
      </c>
      <c r="N6205" t="s">
        <v>40436</v>
      </c>
      <c r="O6205" t="s">
        <v>40437</v>
      </c>
      <c r="P6205">
        <v>0</v>
      </c>
      <c r="Q6205">
        <v>0</v>
      </c>
      <c r="R6205" t="s">
        <v>40443</v>
      </c>
      <c r="S6205" t="s">
        <v>40644</v>
      </c>
      <c r="T6205" t="s">
        <v>42205</v>
      </c>
      <c r="U6205" t="s">
        <v>47874</v>
      </c>
      <c r="W6205" t="s">
        <v>38375</v>
      </c>
      <c r="X6205" t="s">
        <v>40444</v>
      </c>
    </row>
    <row r="6206" spans="1:24">
      <c r="A6206">
        <f>HYPERLINK("https://www.philgeps.gov.ph/GEPSNONPILOT/Tender/SplashBidNoticeAbstractUI.aspx?menuIndex=3&amp;refID=7042165&amp;Result=3","7042165")</f>
        <v>0</v>
      </c>
      <c r="B6206" t="s">
        <v>2021</v>
      </c>
      <c r="C6206" t="s">
        <v>8979</v>
      </c>
      <c r="D6206" t="s">
        <v>16204</v>
      </c>
      <c r="E6206" t="s">
        <v>21766</v>
      </c>
      <c r="F6206" t="s">
        <v>28198</v>
      </c>
      <c r="G6206" t="s">
        <v>28207</v>
      </c>
      <c r="H6206" t="s">
        <v>28215</v>
      </c>
      <c r="I6206" t="s">
        <v>28222</v>
      </c>
      <c r="J6206" t="s">
        <v>28362</v>
      </c>
      <c r="K6206" t="s">
        <v>36689</v>
      </c>
      <c r="M6206" t="s">
        <v>39161</v>
      </c>
      <c r="N6206" t="s">
        <v>40436</v>
      </c>
      <c r="O6206" t="s">
        <v>40437</v>
      </c>
      <c r="P6206">
        <v>0</v>
      </c>
      <c r="Q6206">
        <v>1</v>
      </c>
      <c r="R6206" t="s">
        <v>40443</v>
      </c>
      <c r="S6206" t="s">
        <v>40644</v>
      </c>
      <c r="T6206" t="s">
        <v>42205</v>
      </c>
      <c r="U6206" t="s">
        <v>47875</v>
      </c>
      <c r="V6206" t="s">
        <v>54433</v>
      </c>
      <c r="W6206" t="s">
        <v>39161</v>
      </c>
      <c r="X6206" t="s">
        <v>40444</v>
      </c>
    </row>
    <row r="6207" spans="1:24">
      <c r="A6207">
        <f>HYPERLINK("https://www.philgeps.gov.ph/GEPSNONPILOT/Tender/SplashBidNoticeAbstractUI.aspx?menuIndex=3&amp;refID=7042152&amp;Result=3","7042152")</f>
        <v>0</v>
      </c>
      <c r="B6207" t="s">
        <v>1990</v>
      </c>
      <c r="C6207" t="s">
        <v>8980</v>
      </c>
      <c r="D6207" t="s">
        <v>16258</v>
      </c>
      <c r="E6207" t="s">
        <v>21767</v>
      </c>
      <c r="F6207" t="s">
        <v>28198</v>
      </c>
      <c r="G6207" t="s">
        <v>28207</v>
      </c>
      <c r="H6207" t="s">
        <v>28215</v>
      </c>
      <c r="I6207" t="s">
        <v>5100</v>
      </c>
      <c r="J6207" t="s">
        <v>32241</v>
      </c>
      <c r="K6207" t="s">
        <v>36706</v>
      </c>
      <c r="M6207" t="s">
        <v>39128</v>
      </c>
      <c r="N6207" t="s">
        <v>40436</v>
      </c>
      <c r="O6207" t="s">
        <v>40437</v>
      </c>
      <c r="P6207">
        <v>0</v>
      </c>
      <c r="Q6207">
        <v>0</v>
      </c>
      <c r="R6207" t="s">
        <v>40443</v>
      </c>
      <c r="S6207" t="s">
        <v>40644</v>
      </c>
      <c r="T6207" t="s">
        <v>42190</v>
      </c>
      <c r="U6207" t="s">
        <v>47826</v>
      </c>
      <c r="V6207" t="s">
        <v>54434</v>
      </c>
      <c r="W6207" t="s">
        <v>39128</v>
      </c>
      <c r="X6207" t="s">
        <v>40444</v>
      </c>
    </row>
    <row r="6208" spans="1:24">
      <c r="A6208">
        <f>HYPERLINK("https://www.philgeps.gov.ph/GEPSNONPILOT/Tender/SplashBidNoticeAbstractUI.aspx?menuIndex=3&amp;refID=7042193&amp;Result=3","7042193")</f>
        <v>0</v>
      </c>
      <c r="B6208" t="s">
        <v>1042</v>
      </c>
      <c r="C6208" t="s">
        <v>8981</v>
      </c>
      <c r="D6208" t="s">
        <v>16197</v>
      </c>
      <c r="E6208" t="s">
        <v>21768</v>
      </c>
      <c r="F6208" t="s">
        <v>28198</v>
      </c>
      <c r="G6208" t="s">
        <v>28207</v>
      </c>
      <c r="H6208" t="s">
        <v>28215</v>
      </c>
      <c r="I6208" t="s">
        <v>28246</v>
      </c>
      <c r="J6208" t="s">
        <v>28561</v>
      </c>
      <c r="K6208" t="s">
        <v>36697</v>
      </c>
      <c r="M6208" t="s">
        <v>38075</v>
      </c>
      <c r="N6208" t="s">
        <v>40436</v>
      </c>
      <c r="O6208" t="s">
        <v>40437</v>
      </c>
      <c r="P6208">
        <v>0</v>
      </c>
      <c r="Q6208">
        <v>1</v>
      </c>
      <c r="R6208" t="s">
        <v>40443</v>
      </c>
      <c r="S6208" t="s">
        <v>40644</v>
      </c>
      <c r="T6208" t="s">
        <v>42175</v>
      </c>
      <c r="U6208" t="s">
        <v>47876</v>
      </c>
      <c r="W6208" t="s">
        <v>38075</v>
      </c>
      <c r="X6208" t="s">
        <v>40444</v>
      </c>
    </row>
    <row r="6209" spans="1:24">
      <c r="A6209">
        <f>HYPERLINK("https://www.philgeps.gov.ph/GEPSNONPILOT/Tender/SplashBidNoticeAbstractUI.aspx?menuIndex=3&amp;refID=7042212&amp;Result=3","7042212")</f>
        <v>0</v>
      </c>
      <c r="B6209" t="s">
        <v>285</v>
      </c>
      <c r="C6209" t="s">
        <v>8982</v>
      </c>
      <c r="D6209" t="s">
        <v>16203</v>
      </c>
      <c r="E6209" t="s">
        <v>21769</v>
      </c>
      <c r="F6209" t="s">
        <v>28198</v>
      </c>
      <c r="G6209" t="s">
        <v>28205</v>
      </c>
      <c r="H6209" t="s">
        <v>28215</v>
      </c>
      <c r="I6209" t="s">
        <v>28270</v>
      </c>
      <c r="J6209" t="s">
        <v>31303</v>
      </c>
      <c r="K6209" t="s">
        <v>36707</v>
      </c>
      <c r="M6209" t="s">
        <v>37569</v>
      </c>
      <c r="N6209" t="s">
        <v>40436</v>
      </c>
      <c r="O6209" t="s">
        <v>40437</v>
      </c>
      <c r="P6209">
        <v>0</v>
      </c>
      <c r="Q6209">
        <v>4</v>
      </c>
      <c r="R6209" t="s">
        <v>40443</v>
      </c>
      <c r="S6209" t="s">
        <v>40644</v>
      </c>
      <c r="T6209" t="s">
        <v>42426</v>
      </c>
      <c r="U6209" t="s">
        <v>47877</v>
      </c>
      <c r="W6209" t="s">
        <v>37569</v>
      </c>
      <c r="X6209" t="s">
        <v>40444</v>
      </c>
    </row>
    <row r="6210" spans="1:24">
      <c r="A6210">
        <f>HYPERLINK("https://www.philgeps.gov.ph/GEPSNONPILOT/Tender/SplashBidNoticeAbstractUI.aspx?menuIndex=3&amp;refID=7042208&amp;Result=3","7042208")</f>
        <v>0</v>
      </c>
      <c r="B6210" t="s">
        <v>2022</v>
      </c>
      <c r="C6210" t="s">
        <v>8983</v>
      </c>
      <c r="D6210" t="s">
        <v>16264</v>
      </c>
      <c r="E6210" t="s">
        <v>21770</v>
      </c>
      <c r="F6210" t="s">
        <v>28198</v>
      </c>
      <c r="G6210" t="s">
        <v>28207</v>
      </c>
      <c r="H6210" t="s">
        <v>28214</v>
      </c>
      <c r="I6210" t="s">
        <v>3797</v>
      </c>
      <c r="J6210" t="s">
        <v>28373</v>
      </c>
      <c r="K6210" t="s">
        <v>36701</v>
      </c>
      <c r="M6210" t="s">
        <v>39162</v>
      </c>
      <c r="N6210" t="s">
        <v>40436</v>
      </c>
      <c r="O6210" t="s">
        <v>40437</v>
      </c>
      <c r="P6210">
        <v>0</v>
      </c>
      <c r="Q6210">
        <v>0</v>
      </c>
      <c r="R6210" t="s">
        <v>40443</v>
      </c>
      <c r="S6210" t="s">
        <v>40644</v>
      </c>
      <c r="T6210" t="s">
        <v>42141</v>
      </c>
      <c r="U6210" t="s">
        <v>47878</v>
      </c>
      <c r="W6210" t="s">
        <v>39162</v>
      </c>
      <c r="X6210" t="s">
        <v>40444</v>
      </c>
    </row>
    <row r="6211" spans="1:24">
      <c r="A6211">
        <f>HYPERLINK("https://www.philgeps.gov.ph/GEPSNONPILOT/Tender/SplashBidNoticeAbstractUI.aspx?menuIndex=3&amp;refID=7042198&amp;Result=3","7042198")</f>
        <v>0</v>
      </c>
      <c r="B6211" t="s">
        <v>1802</v>
      </c>
      <c r="C6211" t="s">
        <v>8984</v>
      </c>
      <c r="D6211" t="s">
        <v>16238</v>
      </c>
      <c r="E6211" t="s">
        <v>21771</v>
      </c>
      <c r="F6211" t="s">
        <v>28198</v>
      </c>
      <c r="G6211" t="s">
        <v>28207</v>
      </c>
      <c r="H6211" t="s">
        <v>28215</v>
      </c>
      <c r="I6211" t="s">
        <v>28238</v>
      </c>
      <c r="J6211" t="s">
        <v>32244</v>
      </c>
      <c r="K6211" t="s">
        <v>36701</v>
      </c>
      <c r="M6211" t="s">
        <v>38920</v>
      </c>
      <c r="N6211" t="s">
        <v>40436</v>
      </c>
      <c r="O6211" t="s">
        <v>40437</v>
      </c>
      <c r="P6211">
        <v>0</v>
      </c>
      <c r="Q6211">
        <v>2</v>
      </c>
      <c r="R6211" t="s">
        <v>40443</v>
      </c>
      <c r="S6211" t="s">
        <v>40644</v>
      </c>
      <c r="T6211" t="s">
        <v>42277</v>
      </c>
      <c r="U6211" t="s">
        <v>47879</v>
      </c>
      <c r="W6211" t="s">
        <v>38920</v>
      </c>
      <c r="X6211" t="s">
        <v>40444</v>
      </c>
    </row>
    <row r="6212" spans="1:24">
      <c r="A6212">
        <f>HYPERLINK("https://www.philgeps.gov.ph/GEPSNONPILOT/Tender/SplashBidNoticeAbstractUI.aspx?menuIndex=3&amp;refID=7042210&amp;Result=3","7042210")</f>
        <v>0</v>
      </c>
      <c r="B6212" t="s">
        <v>1908</v>
      </c>
      <c r="C6212" t="s">
        <v>8985</v>
      </c>
      <c r="D6212" t="s">
        <v>16199</v>
      </c>
      <c r="E6212" t="s">
        <v>21772</v>
      </c>
      <c r="F6212" t="s">
        <v>28198</v>
      </c>
      <c r="G6212" t="s">
        <v>28205</v>
      </c>
      <c r="H6212" t="s">
        <v>28215</v>
      </c>
      <c r="I6212" t="s">
        <v>28222</v>
      </c>
      <c r="J6212" t="s">
        <v>28730</v>
      </c>
      <c r="K6212" t="s">
        <v>36728</v>
      </c>
      <c r="M6212" t="s">
        <v>39126</v>
      </c>
      <c r="N6212" t="s">
        <v>40436</v>
      </c>
      <c r="O6212" t="s">
        <v>40437</v>
      </c>
      <c r="P6212">
        <v>0</v>
      </c>
      <c r="Q6212">
        <v>10</v>
      </c>
      <c r="R6212" t="s">
        <v>40443</v>
      </c>
      <c r="S6212" t="s">
        <v>40644</v>
      </c>
      <c r="T6212" t="s">
        <v>42426</v>
      </c>
      <c r="U6212" t="s">
        <v>47880</v>
      </c>
      <c r="V6212" t="s">
        <v>54398</v>
      </c>
      <c r="W6212" t="s">
        <v>39126</v>
      </c>
      <c r="X6212" t="s">
        <v>40444</v>
      </c>
    </row>
    <row r="6213" spans="1:24">
      <c r="A6213">
        <f>HYPERLINK("https://www.philgeps.gov.ph/GEPSNONPILOT/Tender/SplashBidNoticeAbstractUI.aspx?menuIndex=3&amp;refID=7042187&amp;Result=3","7042187")</f>
        <v>0</v>
      </c>
      <c r="B6213" t="s">
        <v>1990</v>
      </c>
      <c r="C6213" t="s">
        <v>8986</v>
      </c>
      <c r="D6213" t="s">
        <v>16258</v>
      </c>
      <c r="E6213" t="s">
        <v>21773</v>
      </c>
      <c r="F6213" t="s">
        <v>28198</v>
      </c>
      <c r="G6213" t="s">
        <v>28207</v>
      </c>
      <c r="H6213" t="s">
        <v>28215</v>
      </c>
      <c r="I6213" t="s">
        <v>28228</v>
      </c>
      <c r="J6213" t="s">
        <v>32245</v>
      </c>
      <c r="K6213" t="s">
        <v>36706</v>
      </c>
      <c r="M6213" t="s">
        <v>39128</v>
      </c>
      <c r="N6213" t="s">
        <v>40436</v>
      </c>
      <c r="O6213" t="s">
        <v>40437</v>
      </c>
      <c r="P6213">
        <v>0</v>
      </c>
      <c r="Q6213">
        <v>0</v>
      </c>
      <c r="R6213" t="s">
        <v>40443</v>
      </c>
      <c r="S6213" t="s">
        <v>40644</v>
      </c>
      <c r="T6213" t="s">
        <v>42190</v>
      </c>
      <c r="U6213" t="s">
        <v>47881</v>
      </c>
      <c r="V6213" t="s">
        <v>54435</v>
      </c>
      <c r="W6213" t="s">
        <v>39128</v>
      </c>
      <c r="X6213" t="s">
        <v>40444</v>
      </c>
    </row>
    <row r="6214" spans="1:24">
      <c r="A6214">
        <f>HYPERLINK("https://www.philgeps.gov.ph/GEPSNONPILOT/Tender/SplashBidNoticeAbstractUI.aspx?menuIndex=3&amp;refID=7042194&amp;Result=3","7042194")</f>
        <v>0</v>
      </c>
      <c r="B6214" t="s">
        <v>2020</v>
      </c>
      <c r="C6214" t="s">
        <v>8987</v>
      </c>
      <c r="D6214" t="s">
        <v>16210</v>
      </c>
      <c r="E6214" t="s">
        <v>21774</v>
      </c>
      <c r="F6214" t="s">
        <v>28198</v>
      </c>
      <c r="G6214" t="s">
        <v>28205</v>
      </c>
      <c r="H6214" t="s">
        <v>28215</v>
      </c>
      <c r="I6214" t="s">
        <v>28220</v>
      </c>
      <c r="J6214" t="s">
        <v>32246</v>
      </c>
      <c r="K6214" t="s">
        <v>36689</v>
      </c>
      <c r="L6214" t="s">
        <v>2020</v>
      </c>
      <c r="M6214" t="s">
        <v>39160</v>
      </c>
      <c r="N6214" t="s">
        <v>40436</v>
      </c>
      <c r="O6214" t="s">
        <v>40437</v>
      </c>
      <c r="Q6214">
        <v>16</v>
      </c>
      <c r="R6214" t="s">
        <v>40443</v>
      </c>
      <c r="S6214" t="s">
        <v>40653</v>
      </c>
      <c r="T6214" t="s">
        <v>42426</v>
      </c>
      <c r="U6214" t="s">
        <v>47873</v>
      </c>
      <c r="W6214" t="s">
        <v>39160</v>
      </c>
      <c r="X6214" t="s">
        <v>40444</v>
      </c>
    </row>
    <row r="6215" spans="1:24">
      <c r="A6215">
        <f>HYPERLINK("https://www.philgeps.gov.ph/GEPSNONPILOT/Tender/SplashBidNoticeAbstractUI.aspx?menuIndex=3&amp;refID=7042203&amp;Result=3","7042203")</f>
        <v>0</v>
      </c>
      <c r="B6215" t="s">
        <v>501</v>
      </c>
      <c r="C6215" t="s">
        <v>8988</v>
      </c>
      <c r="D6215" t="s">
        <v>16210</v>
      </c>
      <c r="E6215" t="s">
        <v>21775</v>
      </c>
      <c r="F6215" t="s">
        <v>28198</v>
      </c>
      <c r="G6215" t="s">
        <v>28207</v>
      </c>
      <c r="H6215" t="s">
        <v>28215</v>
      </c>
      <c r="I6215" t="s">
        <v>28238</v>
      </c>
      <c r="J6215" t="s">
        <v>32247</v>
      </c>
      <c r="K6215" t="s">
        <v>36688</v>
      </c>
      <c r="M6215" t="s">
        <v>38072</v>
      </c>
      <c r="N6215" t="s">
        <v>40436</v>
      </c>
      <c r="O6215" t="s">
        <v>40437</v>
      </c>
      <c r="P6215">
        <v>0</v>
      </c>
      <c r="Q6215">
        <v>0</v>
      </c>
      <c r="R6215" t="s">
        <v>40443</v>
      </c>
      <c r="S6215" t="s">
        <v>40644</v>
      </c>
      <c r="T6215" t="s">
        <v>42233</v>
      </c>
      <c r="U6215" t="s">
        <v>47882</v>
      </c>
      <c r="W6215" t="s">
        <v>38072</v>
      </c>
      <c r="X6215" t="s">
        <v>40444</v>
      </c>
    </row>
    <row r="6216" spans="1:24">
      <c r="A6216">
        <f>HYPERLINK("https://www.philgeps.gov.ph/GEPSNONPILOT/Tender/SplashBidNoticeAbstractUI.aspx?menuIndex=3&amp;refID=7042191&amp;Result=3","7042191")</f>
        <v>0</v>
      </c>
      <c r="B6216" t="s">
        <v>1950</v>
      </c>
      <c r="C6216" t="s">
        <v>8989</v>
      </c>
      <c r="E6216" t="s">
        <v>21776</v>
      </c>
      <c r="F6216" t="s">
        <v>28198</v>
      </c>
      <c r="G6216" t="s">
        <v>28205</v>
      </c>
      <c r="H6216" t="s">
        <v>28214</v>
      </c>
      <c r="I6216" t="s">
        <v>3797</v>
      </c>
      <c r="J6216" t="s">
        <v>32248</v>
      </c>
      <c r="K6216" t="s">
        <v>36689</v>
      </c>
      <c r="M6216" t="s">
        <v>39084</v>
      </c>
      <c r="N6216" t="s">
        <v>40436</v>
      </c>
      <c r="O6216" t="s">
        <v>40437</v>
      </c>
      <c r="P6216">
        <v>0</v>
      </c>
      <c r="Q6216">
        <v>0</v>
      </c>
      <c r="R6216" t="s">
        <v>40443</v>
      </c>
      <c r="S6216" t="s">
        <v>40644</v>
      </c>
      <c r="T6216" t="s">
        <v>42195</v>
      </c>
      <c r="U6216" t="s">
        <v>47829</v>
      </c>
      <c r="W6216" t="s">
        <v>39084</v>
      </c>
      <c r="X6216" t="s">
        <v>40444</v>
      </c>
    </row>
    <row r="6217" spans="1:24">
      <c r="A6217">
        <f>HYPERLINK("https://www.philgeps.gov.ph/GEPSNONPILOT/Tender/SplashBidNoticeAbstractUI.aspx?menuIndex=3&amp;refID=7042224&amp;Result=3","7042224")</f>
        <v>0</v>
      </c>
      <c r="B6217" t="s">
        <v>1345</v>
      </c>
      <c r="C6217" t="s">
        <v>8990</v>
      </c>
      <c r="D6217" t="s">
        <v>16247</v>
      </c>
      <c r="E6217" t="s">
        <v>21777</v>
      </c>
      <c r="F6217" t="s">
        <v>28198</v>
      </c>
      <c r="G6217" t="s">
        <v>28207</v>
      </c>
      <c r="H6217" t="s">
        <v>28215</v>
      </c>
      <c r="I6217" t="s">
        <v>5791</v>
      </c>
      <c r="J6217" t="s">
        <v>29001</v>
      </c>
      <c r="K6217" t="s">
        <v>36688</v>
      </c>
      <c r="M6217" t="s">
        <v>38403</v>
      </c>
      <c r="N6217" t="s">
        <v>40436</v>
      </c>
      <c r="O6217" t="s">
        <v>40437</v>
      </c>
      <c r="P6217">
        <v>0</v>
      </c>
      <c r="Q6217">
        <v>0</v>
      </c>
      <c r="R6217" t="s">
        <v>40443</v>
      </c>
      <c r="S6217" t="s">
        <v>40644</v>
      </c>
      <c r="T6217" t="s">
        <v>42158</v>
      </c>
      <c r="U6217" t="s">
        <v>45667</v>
      </c>
      <c r="W6217" t="s">
        <v>38403</v>
      </c>
      <c r="X6217" t="s">
        <v>40444</v>
      </c>
    </row>
    <row r="6218" spans="1:24">
      <c r="A6218">
        <f>HYPERLINK("https://www.philgeps.gov.ph/GEPSNONPILOT/Tender/SplashBidNoticeAbstractUI.aspx?menuIndex=3&amp;refID=7042214&amp;Result=3","7042214")</f>
        <v>0</v>
      </c>
      <c r="B6218" t="s">
        <v>2020</v>
      </c>
      <c r="C6218" t="s">
        <v>8991</v>
      </c>
      <c r="D6218" t="s">
        <v>16210</v>
      </c>
      <c r="E6218" t="s">
        <v>21778</v>
      </c>
      <c r="F6218" t="s">
        <v>28198</v>
      </c>
      <c r="G6218" t="s">
        <v>28205</v>
      </c>
      <c r="H6218" t="s">
        <v>28215</v>
      </c>
      <c r="I6218" t="s">
        <v>28220</v>
      </c>
      <c r="J6218" t="s">
        <v>32169</v>
      </c>
      <c r="K6218" t="s">
        <v>36689</v>
      </c>
      <c r="L6218" t="s">
        <v>2020</v>
      </c>
      <c r="M6218" t="s">
        <v>39160</v>
      </c>
      <c r="N6218" t="s">
        <v>40436</v>
      </c>
      <c r="O6218" t="s">
        <v>40437</v>
      </c>
      <c r="Q6218">
        <v>18</v>
      </c>
      <c r="R6218" t="s">
        <v>40443</v>
      </c>
      <c r="S6218" t="s">
        <v>40654</v>
      </c>
      <c r="T6218" t="s">
        <v>42426</v>
      </c>
      <c r="U6218" t="s">
        <v>47873</v>
      </c>
      <c r="W6218" t="s">
        <v>39160</v>
      </c>
      <c r="X6218" t="s">
        <v>40444</v>
      </c>
    </row>
    <row r="6219" spans="1:24">
      <c r="A6219">
        <f>HYPERLINK("https://www.philgeps.gov.ph/GEPSNONPILOT/Tender/SplashBidNoticeAbstractUI.aspx?menuIndex=3&amp;refID=7042186&amp;Result=3","7042186")</f>
        <v>0</v>
      </c>
      <c r="B6219" t="s">
        <v>2023</v>
      </c>
      <c r="C6219" t="s">
        <v>8992</v>
      </c>
      <c r="D6219" t="s">
        <v>16196</v>
      </c>
      <c r="E6219" t="s">
        <v>21779</v>
      </c>
      <c r="F6219" t="s">
        <v>28198</v>
      </c>
      <c r="G6219" t="s">
        <v>28205</v>
      </c>
      <c r="H6219" t="s">
        <v>28214</v>
      </c>
      <c r="I6219" t="s">
        <v>3797</v>
      </c>
      <c r="J6219" t="s">
        <v>32249</v>
      </c>
      <c r="K6219" t="s">
        <v>36735</v>
      </c>
      <c r="M6219" t="s">
        <v>39163</v>
      </c>
      <c r="N6219" t="s">
        <v>40436</v>
      </c>
      <c r="O6219" t="s">
        <v>40437</v>
      </c>
      <c r="P6219">
        <v>0</v>
      </c>
      <c r="Q6219">
        <v>7</v>
      </c>
      <c r="R6219" t="s">
        <v>40443</v>
      </c>
      <c r="S6219" t="s">
        <v>40644</v>
      </c>
      <c r="T6219" t="s">
        <v>42106</v>
      </c>
      <c r="U6219" t="s">
        <v>47883</v>
      </c>
      <c r="W6219" t="s">
        <v>39163</v>
      </c>
      <c r="X6219" t="s">
        <v>40444</v>
      </c>
    </row>
    <row r="6220" spans="1:24">
      <c r="A6220">
        <f>HYPERLINK("https://www.philgeps.gov.ph/GEPSNONPILOT/Tender/SplashBidNoticeAbstractUI.aspx?menuIndex=3&amp;refID=7042283&amp;Result=3","7042283")</f>
        <v>0</v>
      </c>
      <c r="B6220" t="s">
        <v>595</v>
      </c>
      <c r="C6220" t="s">
        <v>8993</v>
      </c>
      <c r="D6220" t="s">
        <v>16195</v>
      </c>
      <c r="E6220" t="s">
        <v>21780</v>
      </c>
      <c r="F6220" t="s">
        <v>28198</v>
      </c>
      <c r="G6220" t="s">
        <v>28205</v>
      </c>
      <c r="H6220" t="s">
        <v>28215</v>
      </c>
      <c r="I6220" t="s">
        <v>28249</v>
      </c>
      <c r="J6220" t="s">
        <v>32250</v>
      </c>
      <c r="K6220" t="s">
        <v>36701</v>
      </c>
      <c r="M6220" t="s">
        <v>37713</v>
      </c>
      <c r="N6220" t="s">
        <v>40436</v>
      </c>
      <c r="O6220" t="s">
        <v>40437</v>
      </c>
      <c r="P6220">
        <v>0</v>
      </c>
      <c r="Q6220">
        <v>0</v>
      </c>
      <c r="R6220" t="s">
        <v>40443</v>
      </c>
      <c r="S6220" t="s">
        <v>40644</v>
      </c>
      <c r="T6220" t="s">
        <v>42139</v>
      </c>
      <c r="U6220" t="s">
        <v>47884</v>
      </c>
      <c r="W6220" t="s">
        <v>37713</v>
      </c>
      <c r="X6220" t="s">
        <v>40444</v>
      </c>
    </row>
    <row r="6221" spans="1:24">
      <c r="A6221">
        <f>HYPERLINK("https://www.philgeps.gov.ph/GEPSNONPILOT/Tender/SplashBidNoticeAbstractUI.aspx?menuIndex=3&amp;refID=7042222&amp;Result=3","7042222")</f>
        <v>0</v>
      </c>
      <c r="B6221" t="s">
        <v>2024</v>
      </c>
      <c r="C6221" t="s">
        <v>8994</v>
      </c>
      <c r="E6221" t="s">
        <v>21781</v>
      </c>
      <c r="F6221" t="s">
        <v>28198</v>
      </c>
      <c r="G6221" t="s">
        <v>28205</v>
      </c>
      <c r="H6221" t="s">
        <v>28214</v>
      </c>
      <c r="I6221" t="s">
        <v>3797</v>
      </c>
      <c r="J6221" t="s">
        <v>32251</v>
      </c>
      <c r="K6221" t="s">
        <v>36689</v>
      </c>
      <c r="M6221" t="s">
        <v>39164</v>
      </c>
      <c r="N6221" t="s">
        <v>40436</v>
      </c>
      <c r="O6221" t="s">
        <v>40437</v>
      </c>
      <c r="P6221">
        <v>0</v>
      </c>
      <c r="Q6221">
        <v>1</v>
      </c>
      <c r="R6221" t="s">
        <v>40443</v>
      </c>
      <c r="S6221" t="s">
        <v>40644</v>
      </c>
      <c r="T6221" t="s">
        <v>42111</v>
      </c>
      <c r="U6221" t="s">
        <v>47885</v>
      </c>
      <c r="W6221" t="s">
        <v>39164</v>
      </c>
      <c r="X6221" t="s">
        <v>40444</v>
      </c>
    </row>
    <row r="6222" spans="1:24">
      <c r="A6222">
        <f>HYPERLINK("https://www.philgeps.gov.ph/GEPSNONPILOT/Tender/SplashBidNoticeAbstractUI.aspx?menuIndex=3&amp;refID=7042272&amp;Result=3","7042272")</f>
        <v>0</v>
      </c>
      <c r="B6222" t="s">
        <v>1802</v>
      </c>
      <c r="C6222" t="s">
        <v>8995</v>
      </c>
      <c r="D6222" t="s">
        <v>16238</v>
      </c>
      <c r="E6222" t="s">
        <v>21782</v>
      </c>
      <c r="F6222" t="s">
        <v>28198</v>
      </c>
      <c r="G6222" t="s">
        <v>28207</v>
      </c>
      <c r="H6222" t="s">
        <v>28215</v>
      </c>
      <c r="I6222" t="s">
        <v>28243</v>
      </c>
      <c r="J6222" t="s">
        <v>28589</v>
      </c>
      <c r="K6222" t="s">
        <v>36701</v>
      </c>
      <c r="M6222" t="s">
        <v>38920</v>
      </c>
      <c r="N6222" t="s">
        <v>40436</v>
      </c>
      <c r="O6222" t="s">
        <v>40437</v>
      </c>
      <c r="P6222">
        <v>0</v>
      </c>
      <c r="Q6222">
        <v>0</v>
      </c>
      <c r="R6222" t="s">
        <v>40443</v>
      </c>
      <c r="S6222" t="s">
        <v>40644</v>
      </c>
      <c r="T6222" t="s">
        <v>42277</v>
      </c>
      <c r="U6222" t="s">
        <v>47886</v>
      </c>
      <c r="W6222" t="s">
        <v>38920</v>
      </c>
      <c r="X6222" t="s">
        <v>40444</v>
      </c>
    </row>
    <row r="6223" spans="1:24">
      <c r="A6223">
        <f>HYPERLINK("https://www.philgeps.gov.ph/GEPSNONPILOT/Tender/SplashBidNoticeAbstractUI.aspx?menuIndex=3&amp;refID=7042273&amp;Result=3","7042273")</f>
        <v>0</v>
      </c>
      <c r="B6223" t="s">
        <v>2025</v>
      </c>
      <c r="C6223" t="s">
        <v>8996</v>
      </c>
      <c r="D6223" t="s">
        <v>16235</v>
      </c>
      <c r="E6223" t="s">
        <v>21783</v>
      </c>
      <c r="F6223" t="s">
        <v>28198</v>
      </c>
      <c r="G6223" t="s">
        <v>28205</v>
      </c>
      <c r="H6223" t="s">
        <v>28215</v>
      </c>
      <c r="I6223" t="s">
        <v>5100</v>
      </c>
      <c r="J6223" t="s">
        <v>32252</v>
      </c>
      <c r="K6223" t="s">
        <v>36688</v>
      </c>
      <c r="M6223" t="s">
        <v>39165</v>
      </c>
      <c r="N6223" t="s">
        <v>40436</v>
      </c>
      <c r="O6223" t="s">
        <v>40437</v>
      </c>
      <c r="P6223">
        <v>0</v>
      </c>
      <c r="Q6223">
        <v>0</v>
      </c>
      <c r="R6223" t="s">
        <v>40443</v>
      </c>
      <c r="S6223" t="s">
        <v>40644</v>
      </c>
      <c r="T6223" t="s">
        <v>42426</v>
      </c>
      <c r="U6223" t="s">
        <v>47887</v>
      </c>
      <c r="W6223" t="s">
        <v>39165</v>
      </c>
      <c r="X6223" t="s">
        <v>40444</v>
      </c>
    </row>
    <row r="6224" spans="1:24">
      <c r="A6224">
        <f>HYPERLINK("https://www.philgeps.gov.ph/GEPSNONPILOT/Tender/SplashBidNoticeAbstractUI.aspx?menuIndex=3&amp;refID=7042280&amp;Result=3","7042280")</f>
        <v>0</v>
      </c>
      <c r="B6224" t="s">
        <v>1109</v>
      </c>
      <c r="C6224" t="s">
        <v>8997</v>
      </c>
      <c r="D6224" t="s">
        <v>16210</v>
      </c>
      <c r="E6224" t="s">
        <v>16834</v>
      </c>
      <c r="F6224" t="s">
        <v>28198</v>
      </c>
      <c r="G6224" t="s">
        <v>28205</v>
      </c>
      <c r="H6224" t="s">
        <v>28215</v>
      </c>
      <c r="I6224" t="s">
        <v>28238</v>
      </c>
      <c r="J6224" t="s">
        <v>32253</v>
      </c>
      <c r="K6224" t="s">
        <v>36694</v>
      </c>
      <c r="M6224" t="s">
        <v>39166</v>
      </c>
      <c r="N6224" t="s">
        <v>40436</v>
      </c>
      <c r="O6224" t="s">
        <v>40437</v>
      </c>
      <c r="P6224">
        <v>0</v>
      </c>
      <c r="Q6224">
        <v>14</v>
      </c>
      <c r="R6224" t="s">
        <v>40443</v>
      </c>
      <c r="S6224" t="s">
        <v>40644</v>
      </c>
      <c r="T6224" t="s">
        <v>42145</v>
      </c>
      <c r="U6224" t="s">
        <v>47888</v>
      </c>
      <c r="W6224" t="s">
        <v>39166</v>
      </c>
      <c r="X6224" t="s">
        <v>40444</v>
      </c>
    </row>
    <row r="6225" spans="1:24">
      <c r="A6225">
        <f>HYPERLINK("https://www.philgeps.gov.ph/GEPSNONPILOT/Tender/SplashBidNoticeAbstractUI.aspx?menuIndex=3&amp;refID=7042268&amp;Result=3","7042268")</f>
        <v>0</v>
      </c>
      <c r="B6225" t="s">
        <v>1011</v>
      </c>
      <c r="C6225" t="s">
        <v>8998</v>
      </c>
      <c r="D6225" t="s">
        <v>16226</v>
      </c>
      <c r="E6225" t="s">
        <v>21784</v>
      </c>
      <c r="F6225" t="s">
        <v>28198</v>
      </c>
      <c r="G6225" t="s">
        <v>28205</v>
      </c>
      <c r="H6225" t="s">
        <v>28215</v>
      </c>
      <c r="I6225" t="s">
        <v>3774</v>
      </c>
      <c r="J6225" t="s">
        <v>31490</v>
      </c>
      <c r="K6225" t="s">
        <v>36707</v>
      </c>
      <c r="M6225" t="s">
        <v>38039</v>
      </c>
      <c r="N6225" t="s">
        <v>40436</v>
      </c>
      <c r="O6225" t="s">
        <v>40437</v>
      </c>
      <c r="P6225">
        <v>0</v>
      </c>
      <c r="Q6225">
        <v>1</v>
      </c>
      <c r="R6225" t="s">
        <v>40443</v>
      </c>
      <c r="S6225" t="s">
        <v>40644</v>
      </c>
      <c r="T6225" t="s">
        <v>42177</v>
      </c>
      <c r="U6225" t="s">
        <v>47889</v>
      </c>
      <c r="W6225" t="s">
        <v>38039</v>
      </c>
      <c r="X6225" t="s">
        <v>40444</v>
      </c>
    </row>
    <row r="6226" spans="1:24">
      <c r="A6226">
        <f>HYPERLINK("https://www.philgeps.gov.ph/GEPSNONPILOT/Tender/SplashBidNoticeAbstractUI.aspx?menuIndex=3&amp;refID=7042184&amp;Result=3","7042184")</f>
        <v>0</v>
      </c>
      <c r="B6226" t="s">
        <v>1802</v>
      </c>
      <c r="C6226" t="s">
        <v>8999</v>
      </c>
      <c r="D6226" t="s">
        <v>16238</v>
      </c>
      <c r="E6226" t="s">
        <v>21785</v>
      </c>
      <c r="F6226" t="s">
        <v>28198</v>
      </c>
      <c r="G6226" t="s">
        <v>28207</v>
      </c>
      <c r="H6226" t="s">
        <v>28215</v>
      </c>
      <c r="I6226" t="s">
        <v>4200</v>
      </c>
      <c r="J6226" t="s">
        <v>32254</v>
      </c>
      <c r="K6226" t="s">
        <v>36701</v>
      </c>
      <c r="M6226" t="s">
        <v>38920</v>
      </c>
      <c r="N6226" t="s">
        <v>40436</v>
      </c>
      <c r="O6226" t="s">
        <v>40437</v>
      </c>
      <c r="P6226">
        <v>0</v>
      </c>
      <c r="Q6226">
        <v>1</v>
      </c>
      <c r="R6226" t="s">
        <v>40443</v>
      </c>
      <c r="S6226" t="s">
        <v>40644</v>
      </c>
      <c r="T6226" t="s">
        <v>42277</v>
      </c>
      <c r="U6226" t="s">
        <v>47890</v>
      </c>
      <c r="W6226" t="s">
        <v>38920</v>
      </c>
      <c r="X6226" t="s">
        <v>40444</v>
      </c>
    </row>
    <row r="6227" spans="1:24">
      <c r="A6227">
        <f>HYPERLINK("https://www.philgeps.gov.ph/GEPSNONPILOT/Tender/SplashBidNoticeAbstractUI.aspx?menuIndex=3&amp;refID=7042218&amp;Result=3","7042218")</f>
        <v>0</v>
      </c>
      <c r="B6227" t="s">
        <v>904</v>
      </c>
      <c r="C6227" t="s">
        <v>9000</v>
      </c>
      <c r="D6227" t="s">
        <v>16233</v>
      </c>
      <c r="E6227" t="s">
        <v>21786</v>
      </c>
      <c r="F6227" t="s">
        <v>28198</v>
      </c>
      <c r="G6227" t="s">
        <v>28207</v>
      </c>
      <c r="H6227" t="s">
        <v>28215</v>
      </c>
      <c r="I6227" t="s">
        <v>5100</v>
      </c>
      <c r="J6227" t="s">
        <v>32255</v>
      </c>
      <c r="K6227" t="s">
        <v>36689</v>
      </c>
      <c r="M6227" t="s">
        <v>38375</v>
      </c>
      <c r="N6227" t="s">
        <v>40436</v>
      </c>
      <c r="O6227" t="s">
        <v>40437</v>
      </c>
      <c r="P6227">
        <v>0</v>
      </c>
      <c r="Q6227">
        <v>0</v>
      </c>
      <c r="R6227" t="s">
        <v>40443</v>
      </c>
      <c r="S6227" t="s">
        <v>40644</v>
      </c>
      <c r="T6227" t="s">
        <v>42205</v>
      </c>
      <c r="U6227" t="s">
        <v>47891</v>
      </c>
      <c r="W6227" t="s">
        <v>38375</v>
      </c>
      <c r="X6227" t="s">
        <v>40444</v>
      </c>
    </row>
    <row r="6228" spans="1:24">
      <c r="A6228">
        <f>HYPERLINK("https://www.philgeps.gov.ph/GEPSNONPILOT/Tender/SplashBidNoticeAbstractUI.aspx?menuIndex=3&amp;refID=7042171&amp;Result=3","7042171")</f>
        <v>0</v>
      </c>
      <c r="B6228" t="s">
        <v>1802</v>
      </c>
      <c r="C6228" t="s">
        <v>9001</v>
      </c>
      <c r="D6228" t="s">
        <v>16238</v>
      </c>
      <c r="E6228" t="s">
        <v>21787</v>
      </c>
      <c r="F6228" t="s">
        <v>28198</v>
      </c>
      <c r="G6228" t="s">
        <v>28207</v>
      </c>
      <c r="H6228" t="s">
        <v>28215</v>
      </c>
      <c r="I6228" t="s">
        <v>4200</v>
      </c>
      <c r="J6228" t="s">
        <v>32256</v>
      </c>
      <c r="K6228" t="s">
        <v>36701</v>
      </c>
      <c r="M6228" t="s">
        <v>38920</v>
      </c>
      <c r="N6228" t="s">
        <v>40436</v>
      </c>
      <c r="O6228" t="s">
        <v>40437</v>
      </c>
      <c r="P6228">
        <v>0</v>
      </c>
      <c r="Q6228">
        <v>0</v>
      </c>
      <c r="R6228" t="s">
        <v>40443</v>
      </c>
      <c r="S6228" t="s">
        <v>40644</v>
      </c>
      <c r="T6228" t="s">
        <v>42277</v>
      </c>
      <c r="U6228" t="s">
        <v>47892</v>
      </c>
      <c r="W6228" t="s">
        <v>38920</v>
      </c>
      <c r="X6228" t="s">
        <v>40444</v>
      </c>
    </row>
    <row r="6229" spans="1:24">
      <c r="A6229">
        <f>HYPERLINK("https://www.philgeps.gov.ph/GEPSNONPILOT/Tender/SplashBidNoticeAbstractUI.aspx?menuIndex=3&amp;refID=7042286&amp;Result=3","7042286")</f>
        <v>0</v>
      </c>
      <c r="B6229" t="s">
        <v>1935</v>
      </c>
      <c r="C6229" t="s">
        <v>9002</v>
      </c>
      <c r="D6229" t="s">
        <v>16260</v>
      </c>
      <c r="E6229" t="s">
        <v>21788</v>
      </c>
      <c r="F6229" t="s">
        <v>28198</v>
      </c>
      <c r="G6229" t="s">
        <v>28206</v>
      </c>
      <c r="H6229" t="s">
        <v>28215</v>
      </c>
      <c r="I6229" t="s">
        <v>28225</v>
      </c>
      <c r="J6229" t="s">
        <v>32257</v>
      </c>
      <c r="K6229" t="s">
        <v>36707</v>
      </c>
      <c r="M6229" t="s">
        <v>39069</v>
      </c>
      <c r="N6229" t="s">
        <v>40436</v>
      </c>
      <c r="O6229" t="s">
        <v>40437</v>
      </c>
      <c r="P6229">
        <v>0</v>
      </c>
      <c r="Q6229">
        <v>0</v>
      </c>
      <c r="R6229" t="s">
        <v>40443</v>
      </c>
      <c r="S6229" t="s">
        <v>40644</v>
      </c>
      <c r="T6229" t="s">
        <v>42133</v>
      </c>
      <c r="U6229" t="s">
        <v>47893</v>
      </c>
      <c r="V6229" t="s">
        <v>54399</v>
      </c>
      <c r="W6229" t="s">
        <v>39069</v>
      </c>
      <c r="X6229" t="s">
        <v>40444</v>
      </c>
    </row>
    <row r="6230" spans="1:24">
      <c r="A6230">
        <f>HYPERLINK("https://www.philgeps.gov.ph/GEPSNONPILOT/Tender/SplashBidNoticeAbstractUI.aspx?menuIndex=3&amp;refID=7042287&amp;Result=3","7042287")</f>
        <v>0</v>
      </c>
      <c r="B6230" t="s">
        <v>1288</v>
      </c>
      <c r="C6230" t="s">
        <v>9003</v>
      </c>
      <c r="D6230" t="s">
        <v>16227</v>
      </c>
      <c r="E6230" t="s">
        <v>21789</v>
      </c>
      <c r="F6230" t="s">
        <v>28200</v>
      </c>
      <c r="G6230" t="s">
        <v>28205</v>
      </c>
      <c r="H6230" t="s">
        <v>28215</v>
      </c>
      <c r="I6230" t="s">
        <v>28247</v>
      </c>
      <c r="J6230" t="s">
        <v>32258</v>
      </c>
      <c r="K6230" t="s">
        <v>36697</v>
      </c>
      <c r="M6230" t="s">
        <v>38341</v>
      </c>
      <c r="N6230" t="s">
        <v>40436</v>
      </c>
      <c r="O6230" t="s">
        <v>40437</v>
      </c>
      <c r="P6230">
        <v>0</v>
      </c>
      <c r="Q6230">
        <v>25</v>
      </c>
      <c r="R6230" t="s">
        <v>40443</v>
      </c>
      <c r="S6230" t="s">
        <v>40644</v>
      </c>
      <c r="T6230" t="s">
        <v>42444</v>
      </c>
      <c r="U6230" t="s">
        <v>47894</v>
      </c>
      <c r="W6230" t="s">
        <v>38341</v>
      </c>
      <c r="X6230" t="s">
        <v>40444</v>
      </c>
    </row>
    <row r="6231" spans="1:24">
      <c r="A6231">
        <f>HYPERLINK("https://www.philgeps.gov.ph/GEPSNONPILOT/Tender/SplashBidNoticeAbstractUI.aspx?menuIndex=3&amp;refID=7042284&amp;Result=3","7042284")</f>
        <v>0</v>
      </c>
      <c r="B6231" t="s">
        <v>106</v>
      </c>
      <c r="C6231" t="s">
        <v>9004</v>
      </c>
      <c r="D6231" t="s">
        <v>16210</v>
      </c>
      <c r="E6231" t="s">
        <v>21790</v>
      </c>
      <c r="F6231" t="s">
        <v>28198</v>
      </c>
      <c r="G6231" t="s">
        <v>28205</v>
      </c>
      <c r="H6231" t="s">
        <v>28215</v>
      </c>
      <c r="I6231" t="s">
        <v>28274</v>
      </c>
      <c r="J6231" t="s">
        <v>32259</v>
      </c>
      <c r="K6231" t="s">
        <v>36689</v>
      </c>
      <c r="M6231" t="s">
        <v>37080</v>
      </c>
      <c r="N6231" t="s">
        <v>40436</v>
      </c>
      <c r="O6231" t="s">
        <v>40437</v>
      </c>
      <c r="P6231">
        <v>0</v>
      </c>
      <c r="Q6231">
        <v>9</v>
      </c>
      <c r="R6231" t="s">
        <v>40443</v>
      </c>
      <c r="S6231" t="s">
        <v>40644</v>
      </c>
      <c r="T6231" t="s">
        <v>42118</v>
      </c>
      <c r="U6231" t="s">
        <v>47895</v>
      </c>
      <c r="V6231" t="s">
        <v>54051</v>
      </c>
      <c r="W6231" t="s">
        <v>37080</v>
      </c>
      <c r="X6231" t="s">
        <v>40444</v>
      </c>
    </row>
    <row r="6232" spans="1:24">
      <c r="A6232">
        <f>HYPERLINK("https://www.philgeps.gov.ph/GEPSNONPILOT/Tender/SplashBidNoticeAbstractUI.aspx?menuIndex=3&amp;refID=7042262&amp;Result=3","7042262")</f>
        <v>0</v>
      </c>
      <c r="B6232" t="s">
        <v>904</v>
      </c>
      <c r="C6232" t="s">
        <v>9005</v>
      </c>
      <c r="D6232" t="s">
        <v>16233</v>
      </c>
      <c r="E6232" t="s">
        <v>21791</v>
      </c>
      <c r="F6232" t="s">
        <v>28198</v>
      </c>
      <c r="G6232" t="s">
        <v>28207</v>
      </c>
      <c r="H6232" t="s">
        <v>28215</v>
      </c>
      <c r="I6232" t="s">
        <v>3774</v>
      </c>
      <c r="J6232" t="s">
        <v>28636</v>
      </c>
      <c r="K6232" t="s">
        <v>36689</v>
      </c>
      <c r="M6232" t="s">
        <v>38375</v>
      </c>
      <c r="N6232" t="s">
        <v>40436</v>
      </c>
      <c r="O6232" t="s">
        <v>40437</v>
      </c>
      <c r="P6232">
        <v>0</v>
      </c>
      <c r="Q6232">
        <v>0</v>
      </c>
      <c r="R6232" t="s">
        <v>40443</v>
      </c>
      <c r="S6232" t="s">
        <v>40644</v>
      </c>
      <c r="T6232" t="s">
        <v>42205</v>
      </c>
      <c r="U6232" t="s">
        <v>47896</v>
      </c>
      <c r="W6232" t="s">
        <v>38375</v>
      </c>
      <c r="X6232" t="s">
        <v>40444</v>
      </c>
    </row>
    <row r="6233" spans="1:24">
      <c r="A6233">
        <f>HYPERLINK("https://www.philgeps.gov.ph/GEPSNONPILOT/Tender/SplashBidNoticeAbstractUI.aspx?menuIndex=3&amp;refID=7042236&amp;Result=3","7042236")</f>
        <v>0</v>
      </c>
      <c r="B6233" t="s">
        <v>2019</v>
      </c>
      <c r="C6233" t="s">
        <v>9006</v>
      </c>
      <c r="D6233" t="s">
        <v>16268</v>
      </c>
      <c r="E6233" t="s">
        <v>21792</v>
      </c>
      <c r="F6233" t="s">
        <v>28198</v>
      </c>
      <c r="G6233" t="s">
        <v>28205</v>
      </c>
      <c r="H6233" t="s">
        <v>28214</v>
      </c>
      <c r="I6233" t="s">
        <v>3797</v>
      </c>
      <c r="J6233" t="s">
        <v>32260</v>
      </c>
      <c r="K6233" t="s">
        <v>36695</v>
      </c>
      <c r="M6233" t="s">
        <v>39159</v>
      </c>
      <c r="N6233" t="s">
        <v>40436</v>
      </c>
      <c r="O6233" t="s">
        <v>40437</v>
      </c>
      <c r="P6233">
        <v>0</v>
      </c>
      <c r="Q6233">
        <v>0</v>
      </c>
      <c r="R6233" t="s">
        <v>40443</v>
      </c>
      <c r="S6233" t="s">
        <v>40644</v>
      </c>
      <c r="T6233" t="s">
        <v>42229</v>
      </c>
      <c r="U6233" t="s">
        <v>47897</v>
      </c>
      <c r="V6233" t="s">
        <v>54430</v>
      </c>
      <c r="W6233" t="s">
        <v>39159</v>
      </c>
      <c r="X6233" t="s">
        <v>40444</v>
      </c>
    </row>
    <row r="6234" spans="1:24">
      <c r="A6234">
        <f>HYPERLINK("https://www.philgeps.gov.ph/GEPSNONPILOT/Tender/SplashBidNoticeAbstractUI.aspx?menuIndex=3&amp;refID=7042256&amp;Result=3","7042256")</f>
        <v>0</v>
      </c>
      <c r="B6234" t="s">
        <v>1075</v>
      </c>
      <c r="C6234" t="s">
        <v>9007</v>
      </c>
      <c r="D6234" t="s">
        <v>16249</v>
      </c>
      <c r="E6234" t="s">
        <v>21793</v>
      </c>
      <c r="F6234" t="s">
        <v>28198</v>
      </c>
      <c r="G6234" t="s">
        <v>28205</v>
      </c>
      <c r="H6234" t="s">
        <v>28214</v>
      </c>
      <c r="I6234" t="s">
        <v>3797</v>
      </c>
      <c r="J6234" t="s">
        <v>32261</v>
      </c>
      <c r="K6234" t="s">
        <v>36838</v>
      </c>
      <c r="M6234" t="s">
        <v>38109</v>
      </c>
      <c r="N6234" t="s">
        <v>40436</v>
      </c>
      <c r="O6234" t="s">
        <v>40437</v>
      </c>
      <c r="P6234">
        <v>0</v>
      </c>
      <c r="Q6234">
        <v>11</v>
      </c>
      <c r="R6234" t="s">
        <v>40443</v>
      </c>
      <c r="S6234" t="s">
        <v>40644</v>
      </c>
      <c r="T6234" t="s">
        <v>42123</v>
      </c>
      <c r="U6234" t="s">
        <v>47898</v>
      </c>
      <c r="W6234" t="s">
        <v>38109</v>
      </c>
      <c r="X6234" t="s">
        <v>40444</v>
      </c>
    </row>
    <row r="6235" spans="1:24">
      <c r="A6235">
        <f>HYPERLINK("https://www.philgeps.gov.ph/GEPSNONPILOT/Tender/SplashBidNoticeAbstractUI.aspx?menuIndex=3&amp;refID=7042234&amp;Result=3","7042234")</f>
        <v>0</v>
      </c>
      <c r="B6235" t="s">
        <v>1109</v>
      </c>
      <c r="C6235" t="s">
        <v>9008</v>
      </c>
      <c r="D6235" t="s">
        <v>16210</v>
      </c>
      <c r="E6235" t="s">
        <v>18457</v>
      </c>
      <c r="F6235" t="s">
        <v>28198</v>
      </c>
      <c r="G6235" t="s">
        <v>28205</v>
      </c>
      <c r="H6235" t="s">
        <v>28215</v>
      </c>
      <c r="I6235" t="s">
        <v>28234</v>
      </c>
      <c r="J6235" t="s">
        <v>31925</v>
      </c>
      <c r="K6235" t="s">
        <v>36701</v>
      </c>
      <c r="M6235" t="s">
        <v>39166</v>
      </c>
      <c r="N6235" t="s">
        <v>40436</v>
      </c>
      <c r="O6235" t="s">
        <v>40437</v>
      </c>
      <c r="P6235">
        <v>0</v>
      </c>
      <c r="Q6235">
        <v>12</v>
      </c>
      <c r="R6235" t="s">
        <v>40443</v>
      </c>
      <c r="S6235" t="s">
        <v>40644</v>
      </c>
      <c r="T6235" t="s">
        <v>42109</v>
      </c>
      <c r="U6235" t="s">
        <v>47899</v>
      </c>
      <c r="W6235" t="s">
        <v>39166</v>
      </c>
      <c r="X6235" t="s">
        <v>40444</v>
      </c>
    </row>
    <row r="6236" spans="1:24">
      <c r="A6236">
        <f>HYPERLINK("https://www.philgeps.gov.ph/GEPSNONPILOT/Tender/SplashBidNoticeAbstractUI.aspx?menuIndex=3&amp;refID=7042300&amp;Result=3","7042300")</f>
        <v>0</v>
      </c>
      <c r="B6236" t="s">
        <v>285</v>
      </c>
      <c r="C6236" t="s">
        <v>6849</v>
      </c>
      <c r="D6236" t="s">
        <v>16203</v>
      </c>
      <c r="E6236" t="s">
        <v>21794</v>
      </c>
      <c r="F6236" t="s">
        <v>28198</v>
      </c>
      <c r="G6236" t="s">
        <v>28205</v>
      </c>
      <c r="H6236" t="s">
        <v>28215</v>
      </c>
      <c r="I6236" t="s">
        <v>28224</v>
      </c>
      <c r="J6236" t="s">
        <v>32262</v>
      </c>
      <c r="K6236" t="s">
        <v>36701</v>
      </c>
      <c r="M6236" t="s">
        <v>37569</v>
      </c>
      <c r="N6236" t="s">
        <v>40436</v>
      </c>
      <c r="O6236" t="s">
        <v>40437</v>
      </c>
      <c r="P6236">
        <v>0</v>
      </c>
      <c r="Q6236">
        <v>5</v>
      </c>
      <c r="R6236" t="s">
        <v>40443</v>
      </c>
      <c r="S6236" t="s">
        <v>40644</v>
      </c>
      <c r="T6236" t="s">
        <v>42426</v>
      </c>
      <c r="U6236" t="s">
        <v>47900</v>
      </c>
      <c r="W6236" t="s">
        <v>37569</v>
      </c>
      <c r="X6236" t="s">
        <v>40444</v>
      </c>
    </row>
    <row r="6237" spans="1:24">
      <c r="A6237">
        <f>HYPERLINK("https://www.philgeps.gov.ph/GEPSNONPILOT/Tender/SplashBidNoticeAbstractUI.aspx?menuIndex=3&amp;refID=7042245&amp;Result=3","7042245")</f>
        <v>0</v>
      </c>
      <c r="B6237" t="s">
        <v>1802</v>
      </c>
      <c r="C6237" t="s">
        <v>9009</v>
      </c>
      <c r="D6237" t="s">
        <v>16238</v>
      </c>
      <c r="E6237" t="s">
        <v>21795</v>
      </c>
      <c r="F6237" t="s">
        <v>28198</v>
      </c>
      <c r="G6237" t="s">
        <v>28207</v>
      </c>
      <c r="H6237" t="s">
        <v>28215</v>
      </c>
      <c r="I6237" t="s">
        <v>4168</v>
      </c>
      <c r="J6237" t="s">
        <v>29012</v>
      </c>
      <c r="K6237" t="s">
        <v>36701</v>
      </c>
      <c r="M6237" t="s">
        <v>38920</v>
      </c>
      <c r="N6237" t="s">
        <v>40436</v>
      </c>
      <c r="O6237" t="s">
        <v>40437</v>
      </c>
      <c r="P6237">
        <v>0</v>
      </c>
      <c r="Q6237">
        <v>0</v>
      </c>
      <c r="R6237" t="s">
        <v>40443</v>
      </c>
      <c r="S6237" t="s">
        <v>40644</v>
      </c>
      <c r="T6237" t="s">
        <v>42277</v>
      </c>
      <c r="U6237" t="s">
        <v>47901</v>
      </c>
      <c r="W6237" t="s">
        <v>38920</v>
      </c>
      <c r="X6237" t="s">
        <v>40444</v>
      </c>
    </row>
    <row r="6238" spans="1:24">
      <c r="A6238">
        <f>HYPERLINK("https://www.philgeps.gov.ph/GEPSNONPILOT/Tender/SplashBidNoticeAbstractUI.aspx?menuIndex=3&amp;refID=7042290&amp;Result=3","7042290")</f>
        <v>0</v>
      </c>
      <c r="B6238" t="s">
        <v>1802</v>
      </c>
      <c r="C6238" t="s">
        <v>9010</v>
      </c>
      <c r="D6238" t="s">
        <v>16238</v>
      </c>
      <c r="E6238" t="s">
        <v>21796</v>
      </c>
      <c r="F6238" t="s">
        <v>28198</v>
      </c>
      <c r="G6238" t="s">
        <v>28207</v>
      </c>
      <c r="H6238" t="s">
        <v>28215</v>
      </c>
      <c r="I6238" t="s">
        <v>4219</v>
      </c>
      <c r="J6238" t="s">
        <v>28413</v>
      </c>
      <c r="K6238" t="s">
        <v>36701</v>
      </c>
      <c r="M6238" t="s">
        <v>38920</v>
      </c>
      <c r="N6238" t="s">
        <v>40436</v>
      </c>
      <c r="O6238" t="s">
        <v>40437</v>
      </c>
      <c r="P6238">
        <v>0</v>
      </c>
      <c r="Q6238">
        <v>1</v>
      </c>
      <c r="R6238" t="s">
        <v>40443</v>
      </c>
      <c r="S6238" t="s">
        <v>40644</v>
      </c>
      <c r="T6238" t="s">
        <v>42277</v>
      </c>
      <c r="U6238" t="s">
        <v>47902</v>
      </c>
      <c r="W6238" t="s">
        <v>38920</v>
      </c>
      <c r="X6238" t="s">
        <v>40444</v>
      </c>
    </row>
    <row r="6239" spans="1:24">
      <c r="A6239">
        <f>HYPERLINK("https://www.philgeps.gov.ph/GEPSNONPILOT/Tender/SplashBidNoticeAbstractUI.aspx?menuIndex=3&amp;refID=7042229&amp;Result=3","7042229")</f>
        <v>0</v>
      </c>
      <c r="B6239" t="s">
        <v>2026</v>
      </c>
      <c r="C6239" t="s">
        <v>9011</v>
      </c>
      <c r="D6239" t="s">
        <v>16260</v>
      </c>
      <c r="E6239" t="s">
        <v>21797</v>
      </c>
      <c r="F6239" t="s">
        <v>28198</v>
      </c>
      <c r="G6239" t="s">
        <v>28207</v>
      </c>
      <c r="H6239" t="s">
        <v>28215</v>
      </c>
      <c r="I6239" t="s">
        <v>28266</v>
      </c>
      <c r="J6239" t="s">
        <v>32263</v>
      </c>
      <c r="K6239" t="s">
        <v>36694</v>
      </c>
      <c r="M6239" t="s">
        <v>39167</v>
      </c>
      <c r="N6239" t="s">
        <v>40436</v>
      </c>
      <c r="O6239" t="s">
        <v>40437</v>
      </c>
      <c r="P6239">
        <v>0</v>
      </c>
      <c r="Q6239">
        <v>0</v>
      </c>
      <c r="R6239" t="s">
        <v>40443</v>
      </c>
      <c r="S6239" t="s">
        <v>40644</v>
      </c>
      <c r="T6239" t="s">
        <v>42184</v>
      </c>
      <c r="U6239" t="s">
        <v>47903</v>
      </c>
      <c r="W6239" t="s">
        <v>39167</v>
      </c>
      <c r="X6239" t="s">
        <v>40444</v>
      </c>
    </row>
    <row r="6240" spans="1:24">
      <c r="A6240">
        <f>HYPERLINK("https://www.philgeps.gov.ph/GEPSNONPILOT/Tender/SplashBidNoticeAbstractUI.aspx?menuIndex=3&amp;refID=7042261&amp;Result=3","7042261")</f>
        <v>0</v>
      </c>
      <c r="B6240" t="s">
        <v>1802</v>
      </c>
      <c r="C6240" t="s">
        <v>9012</v>
      </c>
      <c r="D6240" t="s">
        <v>16238</v>
      </c>
      <c r="E6240" t="s">
        <v>21798</v>
      </c>
      <c r="F6240" t="s">
        <v>28198</v>
      </c>
      <c r="G6240" t="s">
        <v>28207</v>
      </c>
      <c r="H6240" t="s">
        <v>28215</v>
      </c>
      <c r="I6240" t="s">
        <v>28224</v>
      </c>
      <c r="J6240" t="s">
        <v>32264</v>
      </c>
      <c r="K6240" t="s">
        <v>36694</v>
      </c>
      <c r="M6240" t="s">
        <v>38920</v>
      </c>
      <c r="N6240" t="s">
        <v>40436</v>
      </c>
      <c r="O6240" t="s">
        <v>40437</v>
      </c>
      <c r="P6240">
        <v>0</v>
      </c>
      <c r="Q6240">
        <v>2</v>
      </c>
      <c r="R6240" t="s">
        <v>40443</v>
      </c>
      <c r="S6240" t="s">
        <v>40644</v>
      </c>
      <c r="T6240" t="s">
        <v>42277</v>
      </c>
      <c r="U6240" t="s">
        <v>47904</v>
      </c>
      <c r="W6240" t="s">
        <v>38920</v>
      </c>
      <c r="X6240" t="s">
        <v>40444</v>
      </c>
    </row>
    <row r="6241" spans="1:24">
      <c r="A6241">
        <f>HYPERLINK("https://www.philgeps.gov.ph/GEPSNONPILOT/Tender/SplashBidNoticeAbstractUI.aspx?menuIndex=3&amp;refID=7042294&amp;Result=3","7042294")</f>
        <v>0</v>
      </c>
      <c r="B6241" t="s">
        <v>904</v>
      </c>
      <c r="C6241" t="s">
        <v>9013</v>
      </c>
      <c r="D6241" t="s">
        <v>16233</v>
      </c>
      <c r="E6241" t="s">
        <v>21799</v>
      </c>
      <c r="F6241" t="s">
        <v>28198</v>
      </c>
      <c r="G6241" t="s">
        <v>28207</v>
      </c>
      <c r="H6241" t="s">
        <v>28215</v>
      </c>
      <c r="I6241" t="s">
        <v>28279</v>
      </c>
      <c r="J6241" t="s">
        <v>32265</v>
      </c>
      <c r="K6241" t="s">
        <v>36689</v>
      </c>
      <c r="M6241" t="s">
        <v>38375</v>
      </c>
      <c r="N6241" t="s">
        <v>40436</v>
      </c>
      <c r="O6241" t="s">
        <v>40437</v>
      </c>
      <c r="P6241">
        <v>0</v>
      </c>
      <c r="Q6241">
        <v>1</v>
      </c>
      <c r="R6241" t="s">
        <v>40443</v>
      </c>
      <c r="S6241" t="s">
        <v>40644</v>
      </c>
      <c r="T6241" t="s">
        <v>42205</v>
      </c>
      <c r="U6241" t="s">
        <v>47905</v>
      </c>
      <c r="W6241" t="s">
        <v>38375</v>
      </c>
      <c r="X6241" t="s">
        <v>40444</v>
      </c>
    </row>
    <row r="6242" spans="1:24">
      <c r="A6242">
        <f>HYPERLINK("https://www.philgeps.gov.ph/GEPSNONPILOT/Tender/SplashBidNoticeAbstractUI.aspx?menuIndex=3&amp;refID=7042227&amp;Result=3","7042227")</f>
        <v>0</v>
      </c>
      <c r="B6242" t="s">
        <v>332</v>
      </c>
      <c r="C6242" t="s">
        <v>9014</v>
      </c>
      <c r="E6242" t="s">
        <v>21800</v>
      </c>
      <c r="F6242" t="s">
        <v>28198</v>
      </c>
      <c r="G6242" t="s">
        <v>28205</v>
      </c>
      <c r="H6242" t="s">
        <v>28214</v>
      </c>
      <c r="I6242" t="s">
        <v>3797</v>
      </c>
      <c r="J6242" t="s">
        <v>32266</v>
      </c>
      <c r="K6242" t="s">
        <v>36690</v>
      </c>
      <c r="M6242" t="s">
        <v>39168</v>
      </c>
      <c r="N6242" t="s">
        <v>40436</v>
      </c>
      <c r="O6242" t="s">
        <v>40437</v>
      </c>
      <c r="P6242">
        <v>0</v>
      </c>
      <c r="Q6242">
        <v>1</v>
      </c>
      <c r="R6242" t="s">
        <v>40443</v>
      </c>
      <c r="S6242" t="s">
        <v>40644</v>
      </c>
      <c r="T6242" t="s">
        <v>42145</v>
      </c>
      <c r="U6242" t="s">
        <v>47906</v>
      </c>
      <c r="W6242" t="s">
        <v>37310</v>
      </c>
      <c r="X6242" t="s">
        <v>40444</v>
      </c>
    </row>
    <row r="6243" spans="1:24">
      <c r="A6243">
        <f>HYPERLINK("https://www.philgeps.gov.ph/GEPSNONPILOT/Tender/SplashBidNoticeAbstractUI.aspx?menuIndex=3&amp;refID=7042289&amp;Result=3","7042289")</f>
        <v>0</v>
      </c>
      <c r="B6243" t="s">
        <v>1990</v>
      </c>
      <c r="C6243" t="s">
        <v>9015</v>
      </c>
      <c r="D6243" t="s">
        <v>16258</v>
      </c>
      <c r="E6243" t="s">
        <v>21801</v>
      </c>
      <c r="F6243" t="s">
        <v>28198</v>
      </c>
      <c r="G6243" t="s">
        <v>28205</v>
      </c>
      <c r="H6243" t="s">
        <v>28215</v>
      </c>
      <c r="I6243" t="s">
        <v>5100</v>
      </c>
      <c r="J6243" t="s">
        <v>32267</v>
      </c>
      <c r="K6243" t="s">
        <v>36687</v>
      </c>
      <c r="M6243" t="s">
        <v>39128</v>
      </c>
      <c r="N6243" t="s">
        <v>40436</v>
      </c>
      <c r="O6243" t="s">
        <v>40437</v>
      </c>
      <c r="P6243">
        <v>0</v>
      </c>
      <c r="Q6243">
        <v>1</v>
      </c>
      <c r="R6243" t="s">
        <v>40443</v>
      </c>
      <c r="S6243" t="s">
        <v>40644</v>
      </c>
      <c r="T6243" t="s">
        <v>42426</v>
      </c>
      <c r="U6243" t="s">
        <v>47826</v>
      </c>
      <c r="V6243" t="s">
        <v>54436</v>
      </c>
      <c r="W6243" t="s">
        <v>39128</v>
      </c>
      <c r="X6243" t="s">
        <v>40444</v>
      </c>
    </row>
    <row r="6244" spans="1:24">
      <c r="A6244">
        <f>HYPERLINK("https://www.philgeps.gov.ph/GEPSNONPILOT/Tender/SplashBidNoticeAbstractUI.aspx?menuIndex=3&amp;refID=7042331&amp;Result=3","7042331")</f>
        <v>0</v>
      </c>
      <c r="B6244" t="s">
        <v>1990</v>
      </c>
      <c r="C6244" t="s">
        <v>9016</v>
      </c>
      <c r="D6244" t="s">
        <v>16258</v>
      </c>
      <c r="E6244" t="s">
        <v>21802</v>
      </c>
      <c r="F6244" t="s">
        <v>28198</v>
      </c>
      <c r="G6244" t="s">
        <v>28205</v>
      </c>
      <c r="H6244" t="s">
        <v>28215</v>
      </c>
      <c r="I6244" t="s">
        <v>5100</v>
      </c>
      <c r="J6244" t="s">
        <v>32268</v>
      </c>
      <c r="K6244" t="s">
        <v>36687</v>
      </c>
      <c r="M6244" t="s">
        <v>39128</v>
      </c>
      <c r="N6244" t="s">
        <v>40436</v>
      </c>
      <c r="O6244" t="s">
        <v>40437</v>
      </c>
      <c r="P6244">
        <v>0</v>
      </c>
      <c r="Q6244">
        <v>4</v>
      </c>
      <c r="R6244" t="s">
        <v>40443</v>
      </c>
      <c r="S6244" t="s">
        <v>40644</v>
      </c>
      <c r="T6244" t="s">
        <v>42426</v>
      </c>
      <c r="U6244" t="s">
        <v>47826</v>
      </c>
      <c r="V6244" t="s">
        <v>54437</v>
      </c>
      <c r="W6244" t="s">
        <v>39128</v>
      </c>
      <c r="X6244" t="s">
        <v>40444</v>
      </c>
    </row>
    <row r="6245" spans="1:24">
      <c r="A6245">
        <f>HYPERLINK("https://www.philgeps.gov.ph/GEPSNONPILOT/Tender/SplashBidNoticeAbstractUI.aspx?menuIndex=3&amp;refID=7042322&amp;Result=3","7042322")</f>
        <v>0</v>
      </c>
      <c r="B6245" t="s">
        <v>1109</v>
      </c>
      <c r="C6245" t="s">
        <v>9017</v>
      </c>
      <c r="D6245" t="s">
        <v>16210</v>
      </c>
      <c r="E6245" t="s">
        <v>21803</v>
      </c>
      <c r="F6245" t="s">
        <v>28198</v>
      </c>
      <c r="G6245" t="s">
        <v>28205</v>
      </c>
      <c r="H6245" t="s">
        <v>28215</v>
      </c>
      <c r="I6245" t="s">
        <v>28299</v>
      </c>
      <c r="J6245" t="s">
        <v>32269</v>
      </c>
      <c r="K6245" t="s">
        <v>36694</v>
      </c>
      <c r="M6245" t="s">
        <v>39166</v>
      </c>
      <c r="N6245" t="s">
        <v>40436</v>
      </c>
      <c r="O6245" t="s">
        <v>40437</v>
      </c>
      <c r="P6245">
        <v>0</v>
      </c>
      <c r="Q6245">
        <v>10</v>
      </c>
      <c r="R6245" t="s">
        <v>40443</v>
      </c>
      <c r="S6245" t="s">
        <v>40644</v>
      </c>
      <c r="T6245" t="s">
        <v>42236</v>
      </c>
      <c r="U6245" t="s">
        <v>47907</v>
      </c>
      <c r="W6245" t="s">
        <v>39166</v>
      </c>
      <c r="X6245" t="s">
        <v>40444</v>
      </c>
    </row>
    <row r="6246" spans="1:24">
      <c r="A6246">
        <f>HYPERLINK("https://www.philgeps.gov.ph/GEPSNONPILOT/Tender/SplashBidNoticeAbstractUI.aspx?menuIndex=3&amp;refID=7042336&amp;Result=3","7042336")</f>
        <v>0</v>
      </c>
      <c r="B6246" t="s">
        <v>1011</v>
      </c>
      <c r="C6246" t="s">
        <v>9018</v>
      </c>
      <c r="D6246" t="s">
        <v>16226</v>
      </c>
      <c r="E6246" t="s">
        <v>21784</v>
      </c>
      <c r="F6246" t="s">
        <v>28198</v>
      </c>
      <c r="G6246" t="s">
        <v>28205</v>
      </c>
      <c r="H6246" t="s">
        <v>28215</v>
      </c>
      <c r="I6246" t="s">
        <v>3774</v>
      </c>
      <c r="J6246" t="s">
        <v>32270</v>
      </c>
      <c r="K6246" t="s">
        <v>36707</v>
      </c>
      <c r="M6246" t="s">
        <v>38039</v>
      </c>
      <c r="N6246" t="s">
        <v>40436</v>
      </c>
      <c r="O6246" t="s">
        <v>40437</v>
      </c>
      <c r="P6246">
        <v>0</v>
      </c>
      <c r="Q6246">
        <v>1</v>
      </c>
      <c r="R6246" t="s">
        <v>40443</v>
      </c>
      <c r="S6246" t="s">
        <v>40644</v>
      </c>
      <c r="T6246" t="s">
        <v>42177</v>
      </c>
      <c r="U6246" t="s">
        <v>47889</v>
      </c>
      <c r="W6246" t="s">
        <v>38039</v>
      </c>
      <c r="X6246" t="s">
        <v>40444</v>
      </c>
    </row>
    <row r="6247" spans="1:24">
      <c r="A6247">
        <f>HYPERLINK("https://www.philgeps.gov.ph/GEPSNONPILOT/Tender/SplashBidNoticeAbstractUI.aspx?menuIndex=3&amp;refID=7042317&amp;Result=3","7042317")</f>
        <v>0</v>
      </c>
      <c r="B6247" t="s">
        <v>2027</v>
      </c>
      <c r="C6247" t="s">
        <v>9019</v>
      </c>
      <c r="D6247" t="s">
        <v>16210</v>
      </c>
      <c r="E6247" t="s">
        <v>21804</v>
      </c>
      <c r="F6247" t="s">
        <v>28198</v>
      </c>
      <c r="G6247" t="s">
        <v>28210</v>
      </c>
      <c r="H6247" t="s">
        <v>28215</v>
      </c>
      <c r="I6247" t="s">
        <v>4321</v>
      </c>
      <c r="J6247" t="s">
        <v>32271</v>
      </c>
      <c r="K6247" t="s">
        <v>36688</v>
      </c>
      <c r="M6247" t="s">
        <v>39169</v>
      </c>
      <c r="N6247" t="s">
        <v>40436</v>
      </c>
      <c r="O6247" t="s">
        <v>40437</v>
      </c>
      <c r="P6247">
        <v>0</v>
      </c>
      <c r="Q6247">
        <v>2</v>
      </c>
      <c r="R6247" t="s">
        <v>40443</v>
      </c>
      <c r="S6247" t="s">
        <v>40644</v>
      </c>
      <c r="T6247" t="s">
        <v>42277</v>
      </c>
      <c r="U6247" t="s">
        <v>47908</v>
      </c>
      <c r="V6247" t="s">
        <v>54438</v>
      </c>
      <c r="W6247" t="s">
        <v>39169</v>
      </c>
      <c r="X6247" t="s">
        <v>40444</v>
      </c>
    </row>
    <row r="6248" spans="1:24">
      <c r="A6248">
        <f>HYPERLINK("https://www.philgeps.gov.ph/GEPSNONPILOT/Tender/SplashBidNoticeAbstractUI.aspx?menuIndex=3&amp;refID=7042334&amp;Result=3","7042334")</f>
        <v>0</v>
      </c>
      <c r="B6248" t="s">
        <v>904</v>
      </c>
      <c r="C6248" t="s">
        <v>9020</v>
      </c>
      <c r="D6248" t="s">
        <v>16233</v>
      </c>
      <c r="E6248" t="s">
        <v>21805</v>
      </c>
      <c r="F6248" t="s">
        <v>28198</v>
      </c>
      <c r="G6248" t="s">
        <v>28207</v>
      </c>
      <c r="H6248" t="s">
        <v>28215</v>
      </c>
      <c r="I6248" t="s">
        <v>28279</v>
      </c>
      <c r="J6248" t="s">
        <v>28352</v>
      </c>
      <c r="K6248" t="s">
        <v>36689</v>
      </c>
      <c r="M6248" t="s">
        <v>38375</v>
      </c>
      <c r="N6248" t="s">
        <v>40436</v>
      </c>
      <c r="O6248" t="s">
        <v>40437</v>
      </c>
      <c r="P6248">
        <v>0</v>
      </c>
      <c r="Q6248">
        <v>0</v>
      </c>
      <c r="R6248" t="s">
        <v>40443</v>
      </c>
      <c r="S6248" t="s">
        <v>40644</v>
      </c>
      <c r="T6248" t="s">
        <v>42205</v>
      </c>
      <c r="U6248" t="s">
        <v>47909</v>
      </c>
      <c r="W6248" t="s">
        <v>38375</v>
      </c>
      <c r="X6248" t="s">
        <v>40444</v>
      </c>
    </row>
    <row r="6249" spans="1:24">
      <c r="A6249">
        <f>HYPERLINK("https://www.philgeps.gov.ph/GEPSNONPILOT/Tender/SplashBidNoticeAbstractUI.aspx?menuIndex=3&amp;refID=7042367&amp;Result=3","7042367")</f>
        <v>0</v>
      </c>
      <c r="B6249" t="s">
        <v>2028</v>
      </c>
      <c r="C6249" t="s">
        <v>9021</v>
      </c>
      <c r="E6249" t="s">
        <v>21806</v>
      </c>
      <c r="F6249" t="s">
        <v>28198</v>
      </c>
      <c r="G6249" t="s">
        <v>28205</v>
      </c>
      <c r="H6249" t="s">
        <v>28215</v>
      </c>
      <c r="I6249" t="s">
        <v>4200</v>
      </c>
      <c r="J6249" t="s">
        <v>28398</v>
      </c>
      <c r="K6249" t="s">
        <v>36689</v>
      </c>
      <c r="M6249" t="s">
        <v>39170</v>
      </c>
      <c r="N6249" t="s">
        <v>40436</v>
      </c>
      <c r="O6249" t="s">
        <v>40437</v>
      </c>
      <c r="P6249">
        <v>0</v>
      </c>
      <c r="Q6249">
        <v>0</v>
      </c>
      <c r="R6249" t="s">
        <v>40443</v>
      </c>
      <c r="S6249" t="s">
        <v>40644</v>
      </c>
      <c r="T6249" t="s">
        <v>42158</v>
      </c>
      <c r="U6249" t="s">
        <v>47910</v>
      </c>
      <c r="W6249" t="s">
        <v>39170</v>
      </c>
      <c r="X6249" t="s">
        <v>40444</v>
      </c>
    </row>
    <row r="6250" spans="1:24">
      <c r="A6250">
        <f>HYPERLINK("https://www.philgeps.gov.ph/GEPSNONPILOT/Tender/SplashBidNoticeAbstractUI.aspx?menuIndex=3&amp;refID=7042326&amp;Result=3","7042326")</f>
        <v>0</v>
      </c>
      <c r="B6250" t="s">
        <v>2029</v>
      </c>
      <c r="C6250" t="s">
        <v>9022</v>
      </c>
      <c r="D6250" t="s">
        <v>16211</v>
      </c>
      <c r="E6250" t="s">
        <v>21807</v>
      </c>
      <c r="F6250" t="s">
        <v>28198</v>
      </c>
      <c r="G6250" t="s">
        <v>28205</v>
      </c>
      <c r="H6250" t="s">
        <v>28215</v>
      </c>
      <c r="I6250" t="s">
        <v>5100</v>
      </c>
      <c r="J6250" t="s">
        <v>30011</v>
      </c>
      <c r="K6250" t="s">
        <v>36688</v>
      </c>
      <c r="M6250" t="s">
        <v>39171</v>
      </c>
      <c r="N6250" t="s">
        <v>40436</v>
      </c>
      <c r="O6250" t="s">
        <v>40437</v>
      </c>
      <c r="P6250">
        <v>0</v>
      </c>
      <c r="Q6250">
        <v>0</v>
      </c>
      <c r="R6250" t="s">
        <v>40443</v>
      </c>
      <c r="S6250" t="s">
        <v>40644</v>
      </c>
      <c r="T6250" t="s">
        <v>42133</v>
      </c>
      <c r="U6250" t="s">
        <v>47911</v>
      </c>
      <c r="W6250" t="s">
        <v>39171</v>
      </c>
      <c r="X6250" t="s">
        <v>40444</v>
      </c>
    </row>
    <row r="6251" spans="1:24">
      <c r="A6251">
        <f>HYPERLINK("https://www.philgeps.gov.ph/GEPSNONPILOT/Tender/SplashBidNoticeAbstractUI.aspx?menuIndex=3&amp;refID=7042324&amp;Result=3","7042324")</f>
        <v>0</v>
      </c>
      <c r="B6251" t="s">
        <v>2030</v>
      </c>
      <c r="C6251" t="s">
        <v>9023</v>
      </c>
      <c r="D6251" t="s">
        <v>16213</v>
      </c>
      <c r="E6251" t="s">
        <v>21808</v>
      </c>
      <c r="F6251" t="s">
        <v>28198</v>
      </c>
      <c r="G6251" t="s">
        <v>28205</v>
      </c>
      <c r="H6251" t="s">
        <v>28215</v>
      </c>
      <c r="I6251" t="s">
        <v>5082</v>
      </c>
      <c r="J6251" t="s">
        <v>32272</v>
      </c>
      <c r="K6251" t="s">
        <v>36786</v>
      </c>
      <c r="M6251" t="s">
        <v>39172</v>
      </c>
      <c r="N6251" t="s">
        <v>40436</v>
      </c>
      <c r="O6251" t="s">
        <v>40437</v>
      </c>
      <c r="P6251">
        <v>0</v>
      </c>
      <c r="Q6251">
        <v>0</v>
      </c>
      <c r="R6251" t="s">
        <v>40443</v>
      </c>
      <c r="S6251" t="s">
        <v>40644</v>
      </c>
      <c r="T6251" t="s">
        <v>42445</v>
      </c>
      <c r="U6251" t="s">
        <v>47912</v>
      </c>
      <c r="W6251" t="s">
        <v>39172</v>
      </c>
      <c r="X6251" t="s">
        <v>40444</v>
      </c>
    </row>
    <row r="6252" spans="1:24">
      <c r="A6252">
        <f>HYPERLINK("https://www.philgeps.gov.ph/GEPSNONPILOT/Tender/SplashBidNoticeAbstractUI.aspx?menuIndex=3&amp;refID=7042309&amp;Result=3","7042309")</f>
        <v>0</v>
      </c>
      <c r="B6252" t="s">
        <v>1011</v>
      </c>
      <c r="C6252" t="s">
        <v>9024</v>
      </c>
      <c r="D6252" t="s">
        <v>16226</v>
      </c>
      <c r="E6252" t="s">
        <v>21784</v>
      </c>
      <c r="F6252" t="s">
        <v>28198</v>
      </c>
      <c r="G6252" t="s">
        <v>28205</v>
      </c>
      <c r="H6252" t="s">
        <v>28215</v>
      </c>
      <c r="I6252" t="s">
        <v>3774</v>
      </c>
      <c r="J6252" t="s">
        <v>32273</v>
      </c>
      <c r="K6252" t="s">
        <v>36707</v>
      </c>
      <c r="M6252" t="s">
        <v>38039</v>
      </c>
      <c r="N6252" t="s">
        <v>40436</v>
      </c>
      <c r="O6252" t="s">
        <v>40437</v>
      </c>
      <c r="P6252">
        <v>0</v>
      </c>
      <c r="Q6252">
        <v>1</v>
      </c>
      <c r="R6252" t="s">
        <v>40443</v>
      </c>
      <c r="S6252" t="s">
        <v>40644</v>
      </c>
      <c r="T6252" t="s">
        <v>42177</v>
      </c>
      <c r="U6252" t="s">
        <v>47889</v>
      </c>
      <c r="W6252" t="s">
        <v>38039</v>
      </c>
      <c r="X6252" t="s">
        <v>40444</v>
      </c>
    </row>
    <row r="6253" spans="1:24">
      <c r="A6253">
        <f>HYPERLINK("https://www.philgeps.gov.ph/GEPSNONPILOT/Tender/SplashBidNoticeAbstractUI.aspx?menuIndex=3&amp;refID=7042358&amp;Result=3","7042358")</f>
        <v>0</v>
      </c>
      <c r="B6253" t="s">
        <v>391</v>
      </c>
      <c r="C6253" t="s">
        <v>9025</v>
      </c>
      <c r="D6253" t="s">
        <v>16202</v>
      </c>
      <c r="E6253" t="s">
        <v>21809</v>
      </c>
      <c r="F6253" t="s">
        <v>28198</v>
      </c>
      <c r="G6253" t="s">
        <v>28205</v>
      </c>
      <c r="H6253" t="s">
        <v>28215</v>
      </c>
      <c r="I6253" t="s">
        <v>28247</v>
      </c>
      <c r="J6253" t="s">
        <v>32274</v>
      </c>
      <c r="K6253" t="s">
        <v>36694</v>
      </c>
      <c r="M6253" t="s">
        <v>37371</v>
      </c>
      <c r="N6253" t="s">
        <v>40436</v>
      </c>
      <c r="O6253" t="s">
        <v>40437</v>
      </c>
      <c r="Q6253">
        <v>38</v>
      </c>
      <c r="R6253" t="s">
        <v>40443</v>
      </c>
      <c r="S6253" t="s">
        <v>40655</v>
      </c>
      <c r="T6253" t="s">
        <v>42427</v>
      </c>
      <c r="U6253" t="s">
        <v>47913</v>
      </c>
      <c r="V6253" t="s">
        <v>54051</v>
      </c>
      <c r="W6253" t="s">
        <v>37371</v>
      </c>
      <c r="X6253" t="s">
        <v>40444</v>
      </c>
    </row>
    <row r="6254" spans="1:24">
      <c r="A6254">
        <f>HYPERLINK("https://www.philgeps.gov.ph/GEPSNONPILOT/Tender/SplashBidNoticeAbstractUI.aspx?menuIndex=3&amp;refID=7042364&amp;Result=3","7042364")</f>
        <v>0</v>
      </c>
      <c r="B6254" t="s">
        <v>2029</v>
      </c>
      <c r="C6254" t="s">
        <v>9026</v>
      </c>
      <c r="D6254" t="s">
        <v>16211</v>
      </c>
      <c r="E6254" t="s">
        <v>21810</v>
      </c>
      <c r="F6254" t="s">
        <v>28198</v>
      </c>
      <c r="G6254" t="s">
        <v>28205</v>
      </c>
      <c r="H6254" t="s">
        <v>28215</v>
      </c>
      <c r="I6254" t="s">
        <v>5631</v>
      </c>
      <c r="J6254" t="s">
        <v>32275</v>
      </c>
      <c r="K6254" t="s">
        <v>36688</v>
      </c>
      <c r="M6254" t="s">
        <v>39171</v>
      </c>
      <c r="N6254" t="s">
        <v>40436</v>
      </c>
      <c r="O6254" t="s">
        <v>40437</v>
      </c>
      <c r="P6254">
        <v>0</v>
      </c>
      <c r="Q6254">
        <v>0</v>
      </c>
      <c r="R6254" t="s">
        <v>40443</v>
      </c>
      <c r="S6254" t="s">
        <v>40644</v>
      </c>
      <c r="T6254" t="s">
        <v>42133</v>
      </c>
      <c r="U6254" t="s">
        <v>47914</v>
      </c>
      <c r="W6254" t="s">
        <v>39171</v>
      </c>
      <c r="X6254" t="s">
        <v>40444</v>
      </c>
    </row>
    <row r="6255" spans="1:24">
      <c r="A6255">
        <f>HYPERLINK("https://www.philgeps.gov.ph/GEPSNONPILOT/Tender/SplashBidNoticeAbstractUI.aspx?menuIndex=3&amp;refID=7042355&amp;Result=3","7042355")</f>
        <v>0</v>
      </c>
      <c r="B6255" t="s">
        <v>904</v>
      </c>
      <c r="C6255" t="s">
        <v>9027</v>
      </c>
      <c r="D6255" t="s">
        <v>16233</v>
      </c>
      <c r="E6255" t="s">
        <v>21811</v>
      </c>
      <c r="F6255" t="s">
        <v>28198</v>
      </c>
      <c r="G6255" t="s">
        <v>28207</v>
      </c>
      <c r="H6255" t="s">
        <v>28215</v>
      </c>
      <c r="I6255" t="s">
        <v>5631</v>
      </c>
      <c r="J6255" t="s">
        <v>32276</v>
      </c>
      <c r="K6255" t="s">
        <v>36689</v>
      </c>
      <c r="M6255" t="s">
        <v>38375</v>
      </c>
      <c r="N6255" t="s">
        <v>40436</v>
      </c>
      <c r="O6255" t="s">
        <v>40437</v>
      </c>
      <c r="P6255">
        <v>0</v>
      </c>
      <c r="Q6255">
        <v>0</v>
      </c>
      <c r="R6255" t="s">
        <v>40443</v>
      </c>
      <c r="S6255" t="s">
        <v>40644</v>
      </c>
      <c r="T6255" t="s">
        <v>42205</v>
      </c>
      <c r="U6255" t="s">
        <v>47915</v>
      </c>
      <c r="W6255" t="s">
        <v>38375</v>
      </c>
      <c r="X6255" t="s">
        <v>40444</v>
      </c>
    </row>
    <row r="6256" spans="1:24">
      <c r="A6256">
        <f>HYPERLINK("https://www.philgeps.gov.ph/GEPSNONPILOT/Tender/SplashBidNoticeAbstractUI.aspx?menuIndex=3&amp;refID=7042346&amp;Result=3","7042346")</f>
        <v>0</v>
      </c>
      <c r="B6256" t="s">
        <v>106</v>
      </c>
      <c r="C6256" t="s">
        <v>9028</v>
      </c>
      <c r="D6256" t="s">
        <v>16210</v>
      </c>
      <c r="E6256" t="s">
        <v>21812</v>
      </c>
      <c r="F6256" t="s">
        <v>28198</v>
      </c>
      <c r="G6256" t="s">
        <v>28205</v>
      </c>
      <c r="H6256" t="s">
        <v>28215</v>
      </c>
      <c r="I6256" t="s">
        <v>4168</v>
      </c>
      <c r="J6256" t="s">
        <v>28347</v>
      </c>
      <c r="K6256" t="s">
        <v>36689</v>
      </c>
      <c r="M6256" t="s">
        <v>37080</v>
      </c>
      <c r="N6256" t="s">
        <v>40436</v>
      </c>
      <c r="O6256" t="s">
        <v>40437</v>
      </c>
      <c r="P6256">
        <v>0</v>
      </c>
      <c r="Q6256">
        <v>8</v>
      </c>
      <c r="R6256" t="s">
        <v>40443</v>
      </c>
      <c r="S6256" t="s">
        <v>40644</v>
      </c>
      <c r="T6256" t="s">
        <v>42106</v>
      </c>
      <c r="U6256" t="s">
        <v>47916</v>
      </c>
      <c r="V6256" t="s">
        <v>54051</v>
      </c>
      <c r="W6256" t="s">
        <v>37080</v>
      </c>
      <c r="X6256" t="s">
        <v>40444</v>
      </c>
    </row>
    <row r="6257" spans="1:24">
      <c r="A6257">
        <f>HYPERLINK("https://www.philgeps.gov.ph/GEPSNONPILOT/Tender/SplashBidNoticeAbstractUI.aspx?menuIndex=3&amp;refID=7042353&amp;Result=3","7042353")</f>
        <v>0</v>
      </c>
      <c r="B6257" t="s">
        <v>2028</v>
      </c>
      <c r="C6257" t="s">
        <v>9029</v>
      </c>
      <c r="E6257" t="s">
        <v>21813</v>
      </c>
      <c r="F6257" t="s">
        <v>28198</v>
      </c>
      <c r="G6257" t="s">
        <v>28205</v>
      </c>
      <c r="H6257" t="s">
        <v>28215</v>
      </c>
      <c r="I6257" t="s">
        <v>4200</v>
      </c>
      <c r="J6257" t="s">
        <v>28559</v>
      </c>
      <c r="K6257" t="s">
        <v>36689</v>
      </c>
      <c r="M6257" t="s">
        <v>39170</v>
      </c>
      <c r="N6257" t="s">
        <v>40436</v>
      </c>
      <c r="O6257" t="s">
        <v>40437</v>
      </c>
      <c r="P6257">
        <v>0</v>
      </c>
      <c r="Q6257">
        <v>0</v>
      </c>
      <c r="R6257" t="s">
        <v>40443</v>
      </c>
      <c r="S6257" t="s">
        <v>40644</v>
      </c>
      <c r="T6257" t="s">
        <v>42158</v>
      </c>
      <c r="U6257" t="s">
        <v>47917</v>
      </c>
      <c r="W6257" t="s">
        <v>39170</v>
      </c>
      <c r="X6257" t="s">
        <v>40444</v>
      </c>
    </row>
    <row r="6258" spans="1:24">
      <c r="A6258">
        <f>HYPERLINK("https://www.philgeps.gov.ph/GEPSNONPILOT/Tender/SplashBidNoticeAbstractUI.aspx?menuIndex=3&amp;refID=7042369&amp;Result=3","7042369")</f>
        <v>0</v>
      </c>
      <c r="B6258" t="s">
        <v>1521</v>
      </c>
      <c r="C6258" t="s">
        <v>9030</v>
      </c>
      <c r="D6258" t="s">
        <v>16216</v>
      </c>
      <c r="E6258" t="s">
        <v>21814</v>
      </c>
      <c r="F6258" t="s">
        <v>28198</v>
      </c>
      <c r="G6258" t="s">
        <v>28206</v>
      </c>
      <c r="H6258" t="s">
        <v>28215</v>
      </c>
      <c r="I6258" t="s">
        <v>28261</v>
      </c>
      <c r="J6258" t="s">
        <v>28631</v>
      </c>
      <c r="K6258" t="s">
        <v>36707</v>
      </c>
      <c r="M6258" t="s">
        <v>38599</v>
      </c>
      <c r="N6258" t="s">
        <v>40436</v>
      </c>
      <c r="O6258" t="s">
        <v>40437</v>
      </c>
      <c r="P6258">
        <v>0</v>
      </c>
      <c r="Q6258">
        <v>1</v>
      </c>
      <c r="R6258" t="s">
        <v>40443</v>
      </c>
      <c r="S6258" t="s">
        <v>40644</v>
      </c>
      <c r="T6258" t="s">
        <v>42277</v>
      </c>
      <c r="U6258" t="s">
        <v>47918</v>
      </c>
      <c r="W6258" t="s">
        <v>38599</v>
      </c>
      <c r="X6258" t="s">
        <v>40444</v>
      </c>
    </row>
    <row r="6259" spans="1:24">
      <c r="A6259">
        <f>HYPERLINK("https://www.philgeps.gov.ph/GEPSNONPILOT/Tender/SplashBidNoticeAbstractUI.aspx?menuIndex=3&amp;refID=7042304&amp;Result=3","7042304")</f>
        <v>0</v>
      </c>
      <c r="B6259" t="s">
        <v>1802</v>
      </c>
      <c r="C6259" t="s">
        <v>9031</v>
      </c>
      <c r="D6259" t="s">
        <v>16238</v>
      </c>
      <c r="E6259" t="s">
        <v>21815</v>
      </c>
      <c r="F6259" t="s">
        <v>28198</v>
      </c>
      <c r="G6259" t="s">
        <v>28207</v>
      </c>
      <c r="H6259" t="s">
        <v>28215</v>
      </c>
      <c r="I6259" t="s">
        <v>28268</v>
      </c>
      <c r="J6259" t="s">
        <v>30495</v>
      </c>
      <c r="K6259" t="s">
        <v>36774</v>
      </c>
      <c r="M6259" t="s">
        <v>38920</v>
      </c>
      <c r="N6259" t="s">
        <v>40436</v>
      </c>
      <c r="O6259" t="s">
        <v>40437</v>
      </c>
      <c r="P6259">
        <v>0</v>
      </c>
      <c r="Q6259">
        <v>0</v>
      </c>
      <c r="R6259" t="s">
        <v>40443</v>
      </c>
      <c r="S6259" t="s">
        <v>40644</v>
      </c>
      <c r="T6259" t="s">
        <v>42277</v>
      </c>
      <c r="U6259" t="s">
        <v>47919</v>
      </c>
      <c r="W6259" t="s">
        <v>38920</v>
      </c>
      <c r="X6259" t="s">
        <v>40444</v>
      </c>
    </row>
    <row r="6260" spans="1:24">
      <c r="A6260">
        <f>HYPERLINK("https://www.philgeps.gov.ph/GEPSNONPILOT/Tender/SplashBidNoticeAbstractUI.aspx?menuIndex=3&amp;refID=7042344&amp;Result=3","7042344")</f>
        <v>0</v>
      </c>
      <c r="B6260" t="s">
        <v>1231</v>
      </c>
      <c r="C6260" t="s">
        <v>9032</v>
      </c>
      <c r="D6260" t="s">
        <v>16210</v>
      </c>
      <c r="E6260" t="s">
        <v>21816</v>
      </c>
      <c r="F6260" t="s">
        <v>28198</v>
      </c>
      <c r="G6260" t="s">
        <v>28207</v>
      </c>
      <c r="H6260" t="s">
        <v>28215</v>
      </c>
      <c r="I6260" t="s">
        <v>28234</v>
      </c>
      <c r="J6260" t="s">
        <v>32277</v>
      </c>
      <c r="K6260" t="s">
        <v>36688</v>
      </c>
      <c r="M6260" t="s">
        <v>38280</v>
      </c>
      <c r="N6260" t="s">
        <v>40436</v>
      </c>
      <c r="O6260" t="s">
        <v>40437</v>
      </c>
      <c r="P6260">
        <v>0</v>
      </c>
      <c r="Q6260">
        <v>14</v>
      </c>
      <c r="R6260" t="s">
        <v>40443</v>
      </c>
      <c r="S6260" t="s">
        <v>40644</v>
      </c>
      <c r="T6260" t="s">
        <v>42185</v>
      </c>
      <c r="U6260" t="s">
        <v>47920</v>
      </c>
      <c r="V6260" t="s">
        <v>54114</v>
      </c>
      <c r="W6260" t="s">
        <v>38280</v>
      </c>
      <c r="X6260" t="s">
        <v>40444</v>
      </c>
    </row>
    <row r="6261" spans="1:24">
      <c r="A6261">
        <f>HYPERLINK("https://www.philgeps.gov.ph/GEPSNONPILOT/Tender/SplashBidNoticeAbstractUI.aspx?menuIndex=3&amp;refID=7042404&amp;Result=3","7042404")</f>
        <v>0</v>
      </c>
      <c r="B6261" t="s">
        <v>2031</v>
      </c>
      <c r="C6261" t="s">
        <v>9033</v>
      </c>
      <c r="D6261" t="s">
        <v>16203</v>
      </c>
      <c r="E6261" t="s">
        <v>16588</v>
      </c>
      <c r="F6261" t="s">
        <v>28198</v>
      </c>
      <c r="G6261" t="s">
        <v>28207</v>
      </c>
      <c r="H6261" t="s">
        <v>28217</v>
      </c>
      <c r="I6261" t="s">
        <v>28251</v>
      </c>
      <c r="J6261" t="s">
        <v>28350</v>
      </c>
      <c r="K6261" t="s">
        <v>36694</v>
      </c>
      <c r="M6261" t="s">
        <v>39173</v>
      </c>
      <c r="N6261" t="s">
        <v>40436</v>
      </c>
      <c r="O6261" t="s">
        <v>40437</v>
      </c>
      <c r="P6261">
        <v>0</v>
      </c>
      <c r="Q6261">
        <v>3</v>
      </c>
      <c r="R6261" t="s">
        <v>40443</v>
      </c>
      <c r="S6261" t="s">
        <v>40644</v>
      </c>
      <c r="T6261" t="s">
        <v>42350</v>
      </c>
      <c r="U6261" t="s">
        <v>47921</v>
      </c>
      <c r="V6261" t="s">
        <v>54439</v>
      </c>
      <c r="W6261" t="s">
        <v>39173</v>
      </c>
      <c r="X6261" t="s">
        <v>40444</v>
      </c>
    </row>
    <row r="6262" spans="1:24">
      <c r="A6262">
        <f>HYPERLINK("https://www.philgeps.gov.ph/GEPSNONPILOT/Tender/SplashBidNoticeAbstractUI.aspx?menuIndex=3&amp;refID=7042387&amp;Result=3","7042387")</f>
        <v>0</v>
      </c>
      <c r="B6262" t="s">
        <v>1109</v>
      </c>
      <c r="C6262" t="s">
        <v>9034</v>
      </c>
      <c r="D6262" t="s">
        <v>16210</v>
      </c>
      <c r="E6262" t="s">
        <v>21817</v>
      </c>
      <c r="F6262" t="s">
        <v>28198</v>
      </c>
      <c r="G6262" t="s">
        <v>28205</v>
      </c>
      <c r="H6262" t="s">
        <v>28215</v>
      </c>
      <c r="I6262" t="s">
        <v>28299</v>
      </c>
      <c r="J6262" t="s">
        <v>29304</v>
      </c>
      <c r="K6262" t="s">
        <v>36715</v>
      </c>
      <c r="M6262" t="s">
        <v>39166</v>
      </c>
      <c r="N6262" t="s">
        <v>40436</v>
      </c>
      <c r="O6262" t="s">
        <v>40437</v>
      </c>
      <c r="P6262">
        <v>0</v>
      </c>
      <c r="Q6262">
        <v>2</v>
      </c>
      <c r="R6262" t="s">
        <v>40443</v>
      </c>
      <c r="S6262" t="s">
        <v>40644</v>
      </c>
      <c r="T6262" t="s">
        <v>42236</v>
      </c>
      <c r="U6262" t="s">
        <v>47907</v>
      </c>
      <c r="W6262" t="s">
        <v>39166</v>
      </c>
      <c r="X6262" t="s">
        <v>40444</v>
      </c>
    </row>
    <row r="6263" spans="1:24">
      <c r="A6263">
        <f>HYPERLINK("https://www.philgeps.gov.ph/GEPSNONPILOT/Tender/SplashBidNoticeAbstractUI.aspx?menuIndex=3&amp;refID=7042372&amp;Result=3","7042372")</f>
        <v>0</v>
      </c>
      <c r="B6263" t="s">
        <v>2032</v>
      </c>
      <c r="C6263" t="s">
        <v>9035</v>
      </c>
      <c r="D6263" t="s">
        <v>16190</v>
      </c>
      <c r="E6263" t="s">
        <v>21818</v>
      </c>
      <c r="F6263" t="s">
        <v>28198</v>
      </c>
      <c r="G6263" t="s">
        <v>28205</v>
      </c>
      <c r="H6263" t="s">
        <v>28215</v>
      </c>
      <c r="I6263" t="s">
        <v>28222</v>
      </c>
      <c r="J6263" t="s">
        <v>32278</v>
      </c>
      <c r="K6263" t="s">
        <v>36701</v>
      </c>
      <c r="M6263" t="s">
        <v>39174</v>
      </c>
      <c r="N6263" t="s">
        <v>40436</v>
      </c>
      <c r="O6263" t="s">
        <v>40437</v>
      </c>
      <c r="P6263">
        <v>0</v>
      </c>
      <c r="Q6263">
        <v>10</v>
      </c>
      <c r="R6263" t="s">
        <v>40443</v>
      </c>
      <c r="S6263" t="s">
        <v>40644</v>
      </c>
      <c r="T6263" t="s">
        <v>42362</v>
      </c>
      <c r="U6263" t="s">
        <v>47922</v>
      </c>
      <c r="W6263" t="s">
        <v>39174</v>
      </c>
      <c r="X6263" t="s">
        <v>40444</v>
      </c>
    </row>
    <row r="6264" spans="1:24">
      <c r="A6264">
        <f>HYPERLINK("https://www.philgeps.gov.ph/GEPSNONPILOT/Tender/SplashBidNoticeAbstractUI.aspx?menuIndex=3&amp;refID=7042401&amp;Result=3","7042401")</f>
        <v>0</v>
      </c>
      <c r="B6264" t="s">
        <v>2033</v>
      </c>
      <c r="C6264" t="s">
        <v>9036</v>
      </c>
      <c r="E6264" t="s">
        <v>21819</v>
      </c>
      <c r="F6264" t="s">
        <v>28198</v>
      </c>
      <c r="G6264" t="s">
        <v>28205</v>
      </c>
      <c r="H6264" t="s">
        <v>28214</v>
      </c>
      <c r="I6264" t="s">
        <v>3797</v>
      </c>
      <c r="J6264" t="s">
        <v>32279</v>
      </c>
      <c r="K6264" t="s">
        <v>36689</v>
      </c>
      <c r="M6264" t="s">
        <v>39175</v>
      </c>
      <c r="N6264" t="s">
        <v>40436</v>
      </c>
      <c r="O6264" t="s">
        <v>40437</v>
      </c>
      <c r="P6264">
        <v>0</v>
      </c>
      <c r="Q6264">
        <v>19</v>
      </c>
      <c r="R6264" t="s">
        <v>40443</v>
      </c>
      <c r="S6264" t="s">
        <v>40644</v>
      </c>
      <c r="T6264" t="s">
        <v>42390</v>
      </c>
      <c r="U6264" t="s">
        <v>47923</v>
      </c>
      <c r="W6264" t="s">
        <v>55503</v>
      </c>
      <c r="X6264" t="s">
        <v>40444</v>
      </c>
    </row>
    <row r="6265" spans="1:24">
      <c r="A6265">
        <f>HYPERLINK("https://www.philgeps.gov.ph/GEPSNONPILOT/Tender/SplashBidNoticeAbstractUI.aspx?menuIndex=3&amp;refID=7042374&amp;Result=3","7042374")</f>
        <v>0</v>
      </c>
      <c r="B6265" t="s">
        <v>904</v>
      </c>
      <c r="C6265" t="s">
        <v>9037</v>
      </c>
      <c r="D6265" t="s">
        <v>16233</v>
      </c>
      <c r="E6265" t="s">
        <v>21820</v>
      </c>
      <c r="F6265" t="s">
        <v>28198</v>
      </c>
      <c r="G6265" t="s">
        <v>28207</v>
      </c>
      <c r="H6265" t="s">
        <v>28215</v>
      </c>
      <c r="I6265" t="s">
        <v>28221</v>
      </c>
      <c r="J6265" t="s">
        <v>32280</v>
      </c>
      <c r="K6265" t="s">
        <v>36689</v>
      </c>
      <c r="M6265" t="s">
        <v>38375</v>
      </c>
      <c r="N6265" t="s">
        <v>40436</v>
      </c>
      <c r="O6265" t="s">
        <v>40437</v>
      </c>
      <c r="P6265">
        <v>0</v>
      </c>
      <c r="Q6265">
        <v>5</v>
      </c>
      <c r="R6265" t="s">
        <v>40443</v>
      </c>
      <c r="S6265" t="s">
        <v>40644</v>
      </c>
      <c r="T6265" t="s">
        <v>42205</v>
      </c>
      <c r="U6265" t="s">
        <v>47924</v>
      </c>
      <c r="W6265" t="s">
        <v>38375</v>
      </c>
      <c r="X6265" t="s">
        <v>40444</v>
      </c>
    </row>
    <row r="6266" spans="1:24">
      <c r="A6266">
        <f>HYPERLINK("https://www.philgeps.gov.ph/GEPSNONPILOT/Tender/SplashBidNoticeAbstractUI.aspx?menuIndex=3&amp;refID=7042370&amp;Result=3","7042370")</f>
        <v>0</v>
      </c>
      <c r="B6266" t="s">
        <v>1950</v>
      </c>
      <c r="C6266" t="s">
        <v>9038</v>
      </c>
      <c r="E6266" t="s">
        <v>21821</v>
      </c>
      <c r="F6266" t="s">
        <v>28198</v>
      </c>
      <c r="G6266" t="s">
        <v>28207</v>
      </c>
      <c r="H6266" t="s">
        <v>28215</v>
      </c>
      <c r="I6266" t="s">
        <v>28274</v>
      </c>
      <c r="J6266" t="s">
        <v>32281</v>
      </c>
      <c r="K6266" t="s">
        <v>36689</v>
      </c>
      <c r="M6266" t="s">
        <v>39084</v>
      </c>
      <c r="N6266" t="s">
        <v>40436</v>
      </c>
      <c r="O6266" t="s">
        <v>40437</v>
      </c>
      <c r="P6266">
        <v>0</v>
      </c>
      <c r="Q6266">
        <v>0</v>
      </c>
      <c r="R6266" t="s">
        <v>40443</v>
      </c>
      <c r="S6266" t="s">
        <v>40644</v>
      </c>
      <c r="T6266" t="s">
        <v>42185</v>
      </c>
      <c r="U6266" t="s">
        <v>47925</v>
      </c>
      <c r="W6266" t="s">
        <v>39084</v>
      </c>
      <c r="X6266" t="s">
        <v>40444</v>
      </c>
    </row>
    <row r="6267" spans="1:24">
      <c r="A6267">
        <f>HYPERLINK("https://www.philgeps.gov.ph/GEPSNONPILOT/Tender/SplashBidNoticeAbstractUI.aspx?menuIndex=3&amp;refID=7042392&amp;Result=3","7042392")</f>
        <v>0</v>
      </c>
      <c r="B6267" t="s">
        <v>1354</v>
      </c>
      <c r="C6267" t="s">
        <v>9039</v>
      </c>
      <c r="D6267" t="s">
        <v>16238</v>
      </c>
      <c r="E6267" t="s">
        <v>21822</v>
      </c>
      <c r="F6267" t="s">
        <v>28198</v>
      </c>
      <c r="G6267" t="s">
        <v>28209</v>
      </c>
      <c r="H6267" t="s">
        <v>28215</v>
      </c>
      <c r="I6267" t="s">
        <v>8888</v>
      </c>
      <c r="J6267" t="s">
        <v>32282</v>
      </c>
      <c r="K6267" t="s">
        <v>36701</v>
      </c>
      <c r="M6267" t="s">
        <v>39176</v>
      </c>
      <c r="N6267" t="s">
        <v>40436</v>
      </c>
      <c r="O6267" t="s">
        <v>40437</v>
      </c>
      <c r="P6267">
        <v>0</v>
      </c>
      <c r="Q6267">
        <v>2</v>
      </c>
      <c r="R6267" t="s">
        <v>40443</v>
      </c>
      <c r="S6267" t="s">
        <v>40644</v>
      </c>
      <c r="T6267" t="s">
        <v>42245</v>
      </c>
      <c r="U6267" t="s">
        <v>47926</v>
      </c>
      <c r="W6267" t="s">
        <v>39176</v>
      </c>
      <c r="X6267" t="s">
        <v>40444</v>
      </c>
    </row>
    <row r="6268" spans="1:24">
      <c r="A6268">
        <f>HYPERLINK("https://www.philgeps.gov.ph/GEPSNONPILOT/Tender/SplashBidNoticeAbstractUI.aspx?menuIndex=3&amp;refID=7042373&amp;Result=3","7042373")</f>
        <v>0</v>
      </c>
      <c r="B6268" t="s">
        <v>1011</v>
      </c>
      <c r="C6268" t="s">
        <v>9040</v>
      </c>
      <c r="D6268" t="s">
        <v>16226</v>
      </c>
      <c r="E6268" t="s">
        <v>21784</v>
      </c>
      <c r="F6268" t="s">
        <v>28198</v>
      </c>
      <c r="G6268" t="s">
        <v>28205</v>
      </c>
      <c r="H6268" t="s">
        <v>28215</v>
      </c>
      <c r="I6268" t="s">
        <v>28225</v>
      </c>
      <c r="J6268" t="s">
        <v>32283</v>
      </c>
      <c r="K6268" t="s">
        <v>36707</v>
      </c>
      <c r="M6268" t="s">
        <v>38039</v>
      </c>
      <c r="N6268" t="s">
        <v>40436</v>
      </c>
      <c r="O6268" t="s">
        <v>40437</v>
      </c>
      <c r="P6268">
        <v>0</v>
      </c>
      <c r="Q6268">
        <v>3</v>
      </c>
      <c r="R6268" t="s">
        <v>40443</v>
      </c>
      <c r="S6268" t="s">
        <v>40644</v>
      </c>
      <c r="T6268" t="s">
        <v>42177</v>
      </c>
      <c r="U6268" t="s">
        <v>47889</v>
      </c>
      <c r="W6268" t="s">
        <v>38039</v>
      </c>
      <c r="X6268" t="s">
        <v>40444</v>
      </c>
    </row>
    <row r="6269" spans="1:24">
      <c r="A6269">
        <f>HYPERLINK("https://www.philgeps.gov.ph/GEPSNONPILOT/Tender/SplashBidNoticeAbstractUI.aspx?menuIndex=3&amp;refID=7042400&amp;Result=3","7042400")</f>
        <v>0</v>
      </c>
      <c r="B6269" t="s">
        <v>904</v>
      </c>
      <c r="C6269" t="s">
        <v>9020</v>
      </c>
      <c r="D6269" t="s">
        <v>16233</v>
      </c>
      <c r="E6269" t="s">
        <v>21823</v>
      </c>
      <c r="F6269" t="s">
        <v>28198</v>
      </c>
      <c r="G6269" t="s">
        <v>28207</v>
      </c>
      <c r="H6269" t="s">
        <v>28215</v>
      </c>
      <c r="I6269" t="s">
        <v>28279</v>
      </c>
      <c r="J6269" t="s">
        <v>32284</v>
      </c>
      <c r="K6269" t="s">
        <v>36689</v>
      </c>
      <c r="M6269" t="s">
        <v>38375</v>
      </c>
      <c r="N6269" t="s">
        <v>40436</v>
      </c>
      <c r="O6269" t="s">
        <v>40437</v>
      </c>
      <c r="P6269">
        <v>0</v>
      </c>
      <c r="Q6269">
        <v>2</v>
      </c>
      <c r="R6269" t="s">
        <v>40443</v>
      </c>
      <c r="S6269" t="s">
        <v>40644</v>
      </c>
      <c r="T6269" t="s">
        <v>42205</v>
      </c>
      <c r="U6269" t="s">
        <v>47927</v>
      </c>
      <c r="W6269" t="s">
        <v>38375</v>
      </c>
      <c r="X6269" t="s">
        <v>40444</v>
      </c>
    </row>
    <row r="6270" spans="1:24">
      <c r="A6270">
        <f>HYPERLINK("https://www.philgeps.gov.ph/GEPSNONPILOT/Tender/SplashBidNoticeAbstractUI.aspx?menuIndex=3&amp;refID=7042438&amp;Result=3","7042438")</f>
        <v>0</v>
      </c>
      <c r="B6270" t="s">
        <v>904</v>
      </c>
      <c r="C6270" t="s">
        <v>9041</v>
      </c>
      <c r="D6270" t="s">
        <v>16233</v>
      </c>
      <c r="E6270" t="s">
        <v>21824</v>
      </c>
      <c r="F6270" t="s">
        <v>28198</v>
      </c>
      <c r="G6270" t="s">
        <v>28207</v>
      </c>
      <c r="H6270" t="s">
        <v>28215</v>
      </c>
      <c r="I6270" t="s">
        <v>3774</v>
      </c>
      <c r="J6270" t="s">
        <v>31332</v>
      </c>
      <c r="K6270" t="s">
        <v>36689</v>
      </c>
      <c r="M6270" t="s">
        <v>38375</v>
      </c>
      <c r="N6270" t="s">
        <v>40436</v>
      </c>
      <c r="O6270" t="s">
        <v>40437</v>
      </c>
      <c r="P6270">
        <v>0</v>
      </c>
      <c r="Q6270">
        <v>0</v>
      </c>
      <c r="R6270" t="s">
        <v>40443</v>
      </c>
      <c r="S6270" t="s">
        <v>40644</v>
      </c>
      <c r="T6270" t="s">
        <v>42205</v>
      </c>
      <c r="U6270" t="s">
        <v>47928</v>
      </c>
      <c r="W6270" t="s">
        <v>38375</v>
      </c>
      <c r="X6270" t="s">
        <v>40444</v>
      </c>
    </row>
    <row r="6271" spans="1:24">
      <c r="A6271">
        <f>HYPERLINK("https://www.philgeps.gov.ph/GEPSNONPILOT/Tender/SplashBidNoticeAbstractUI.aspx?menuIndex=3&amp;refID=7042429&amp;Result=3","7042429")</f>
        <v>0</v>
      </c>
      <c r="B6271" t="s">
        <v>1466</v>
      </c>
      <c r="C6271" t="s">
        <v>9042</v>
      </c>
      <c r="D6271" t="s">
        <v>16235</v>
      </c>
      <c r="E6271" t="s">
        <v>21825</v>
      </c>
      <c r="F6271" t="s">
        <v>28198</v>
      </c>
      <c r="G6271" t="s">
        <v>28206</v>
      </c>
      <c r="H6271" t="s">
        <v>28215</v>
      </c>
      <c r="I6271" t="s">
        <v>28225</v>
      </c>
      <c r="J6271" t="s">
        <v>28691</v>
      </c>
      <c r="K6271" t="s">
        <v>36689</v>
      </c>
      <c r="M6271" t="s">
        <v>38536</v>
      </c>
      <c r="N6271" t="s">
        <v>40436</v>
      </c>
      <c r="O6271" t="s">
        <v>40437</v>
      </c>
      <c r="P6271">
        <v>0</v>
      </c>
      <c r="Q6271">
        <v>3</v>
      </c>
      <c r="R6271" t="s">
        <v>40443</v>
      </c>
      <c r="S6271" t="s">
        <v>40644</v>
      </c>
      <c r="T6271" t="s">
        <v>42185</v>
      </c>
      <c r="U6271" t="s">
        <v>47929</v>
      </c>
      <c r="W6271" t="s">
        <v>38536</v>
      </c>
      <c r="X6271" t="s">
        <v>40444</v>
      </c>
    </row>
    <row r="6272" spans="1:24">
      <c r="A6272">
        <f>HYPERLINK("https://www.philgeps.gov.ph/GEPSNONPILOT/Tender/SplashBidNoticeAbstractUI.aspx?menuIndex=3&amp;refID=7042407&amp;Result=3","7042407")</f>
        <v>0</v>
      </c>
      <c r="B6272" t="s">
        <v>825</v>
      </c>
      <c r="C6272" t="s">
        <v>9043</v>
      </c>
      <c r="D6272" t="s">
        <v>16208</v>
      </c>
      <c r="E6272" t="s">
        <v>21826</v>
      </c>
      <c r="F6272" t="s">
        <v>28198</v>
      </c>
      <c r="G6272" t="s">
        <v>28207</v>
      </c>
      <c r="H6272" t="s">
        <v>28215</v>
      </c>
      <c r="I6272" t="s">
        <v>3774</v>
      </c>
      <c r="J6272" t="s">
        <v>32285</v>
      </c>
      <c r="K6272" t="s">
        <v>36701</v>
      </c>
      <c r="M6272" t="s">
        <v>37837</v>
      </c>
      <c r="N6272" t="s">
        <v>40436</v>
      </c>
      <c r="O6272" t="s">
        <v>40437</v>
      </c>
      <c r="P6272">
        <v>0</v>
      </c>
      <c r="Q6272">
        <v>3</v>
      </c>
      <c r="R6272" t="s">
        <v>40443</v>
      </c>
      <c r="S6272" t="s">
        <v>40644</v>
      </c>
      <c r="T6272" t="s">
        <v>42103</v>
      </c>
      <c r="U6272" t="s">
        <v>47930</v>
      </c>
      <c r="W6272" t="s">
        <v>37837</v>
      </c>
      <c r="X6272" t="s">
        <v>40444</v>
      </c>
    </row>
    <row r="6273" spans="1:24">
      <c r="A6273">
        <f>HYPERLINK("https://www.philgeps.gov.ph/GEPSNONPILOT/Tender/SplashBidNoticeAbstractUI.aspx?menuIndex=3&amp;refID=7042428&amp;Result=3","7042428")</f>
        <v>0</v>
      </c>
      <c r="B6273" t="s">
        <v>1354</v>
      </c>
      <c r="C6273" t="s">
        <v>9044</v>
      </c>
      <c r="D6273" t="s">
        <v>16238</v>
      </c>
      <c r="E6273" t="s">
        <v>9044</v>
      </c>
      <c r="F6273" t="s">
        <v>28198</v>
      </c>
      <c r="G6273" t="s">
        <v>28209</v>
      </c>
      <c r="H6273" t="s">
        <v>28215</v>
      </c>
      <c r="I6273" t="s">
        <v>28251</v>
      </c>
      <c r="J6273" t="s">
        <v>32286</v>
      </c>
      <c r="K6273" t="s">
        <v>36701</v>
      </c>
      <c r="M6273" t="s">
        <v>39176</v>
      </c>
      <c r="N6273" t="s">
        <v>40436</v>
      </c>
      <c r="O6273" t="s">
        <v>40437</v>
      </c>
      <c r="P6273">
        <v>0</v>
      </c>
      <c r="Q6273">
        <v>0</v>
      </c>
      <c r="R6273" t="s">
        <v>40443</v>
      </c>
      <c r="S6273" t="s">
        <v>40644</v>
      </c>
      <c r="T6273" t="s">
        <v>42350</v>
      </c>
      <c r="U6273" t="s">
        <v>47931</v>
      </c>
      <c r="W6273" t="s">
        <v>39176</v>
      </c>
      <c r="X6273" t="s">
        <v>40444</v>
      </c>
    </row>
    <row r="6274" spans="1:24">
      <c r="A6274">
        <f>HYPERLINK("https://www.philgeps.gov.ph/GEPSNONPILOT/Tender/SplashBidNoticeAbstractUI.aspx?menuIndex=3&amp;refID=7042424&amp;Result=3","7042424")</f>
        <v>0</v>
      </c>
      <c r="B6274" t="s">
        <v>2033</v>
      </c>
      <c r="C6274" t="s">
        <v>9045</v>
      </c>
      <c r="E6274" t="s">
        <v>21827</v>
      </c>
      <c r="F6274" t="s">
        <v>28198</v>
      </c>
      <c r="G6274" t="s">
        <v>28205</v>
      </c>
      <c r="H6274" t="s">
        <v>28214</v>
      </c>
      <c r="I6274" t="s">
        <v>3797</v>
      </c>
      <c r="J6274" t="s">
        <v>32287</v>
      </c>
      <c r="K6274" t="s">
        <v>36689</v>
      </c>
      <c r="M6274" t="s">
        <v>39175</v>
      </c>
      <c r="N6274" t="s">
        <v>40436</v>
      </c>
      <c r="O6274" t="s">
        <v>40437</v>
      </c>
      <c r="P6274">
        <v>0</v>
      </c>
      <c r="Q6274">
        <v>20</v>
      </c>
      <c r="R6274" t="s">
        <v>40443</v>
      </c>
      <c r="S6274" t="s">
        <v>40644</v>
      </c>
      <c r="T6274" t="s">
        <v>42390</v>
      </c>
      <c r="U6274" t="s">
        <v>47923</v>
      </c>
      <c r="W6274" t="s">
        <v>55503</v>
      </c>
      <c r="X6274" t="s">
        <v>40444</v>
      </c>
    </row>
    <row r="6275" spans="1:24">
      <c r="A6275">
        <f>HYPERLINK("https://www.philgeps.gov.ph/GEPSNONPILOT/Tender/SplashBidNoticeAbstractUI.aspx?menuIndex=3&amp;refID=7042432&amp;Result=3","7042432")</f>
        <v>0</v>
      </c>
      <c r="B6275" t="s">
        <v>2034</v>
      </c>
      <c r="C6275" t="s">
        <v>9046</v>
      </c>
      <c r="D6275" t="s">
        <v>16210</v>
      </c>
      <c r="E6275" t="s">
        <v>21828</v>
      </c>
      <c r="F6275" t="s">
        <v>28198</v>
      </c>
      <c r="G6275" t="s">
        <v>28207</v>
      </c>
      <c r="H6275" t="s">
        <v>28215</v>
      </c>
      <c r="I6275" t="s">
        <v>28274</v>
      </c>
      <c r="J6275" t="s">
        <v>28378</v>
      </c>
      <c r="K6275" t="s">
        <v>36689</v>
      </c>
      <c r="M6275" t="s">
        <v>39177</v>
      </c>
      <c r="N6275" t="s">
        <v>40436</v>
      </c>
      <c r="O6275" t="s">
        <v>40437</v>
      </c>
      <c r="P6275">
        <v>0</v>
      </c>
      <c r="Q6275">
        <v>0</v>
      </c>
      <c r="R6275" t="s">
        <v>40443</v>
      </c>
      <c r="S6275" t="s">
        <v>40644</v>
      </c>
      <c r="T6275" t="s">
        <v>42169</v>
      </c>
      <c r="U6275" t="s">
        <v>47932</v>
      </c>
      <c r="W6275" t="s">
        <v>39177</v>
      </c>
      <c r="X6275" t="s">
        <v>40444</v>
      </c>
    </row>
    <row r="6276" spans="1:24">
      <c r="A6276">
        <f>HYPERLINK("https://www.philgeps.gov.ph/GEPSNONPILOT/Tender/SplashBidNoticeAbstractUI.aspx?menuIndex=3&amp;refID=7042417&amp;Result=3","7042417")</f>
        <v>0</v>
      </c>
      <c r="B6276" t="s">
        <v>391</v>
      </c>
      <c r="C6276" t="s">
        <v>9047</v>
      </c>
      <c r="D6276" t="s">
        <v>16202</v>
      </c>
      <c r="E6276" t="s">
        <v>21829</v>
      </c>
      <c r="F6276" t="s">
        <v>28198</v>
      </c>
      <c r="G6276" t="s">
        <v>28205</v>
      </c>
      <c r="H6276" t="s">
        <v>28215</v>
      </c>
      <c r="I6276" t="s">
        <v>28220</v>
      </c>
      <c r="J6276" t="s">
        <v>32288</v>
      </c>
      <c r="K6276" t="s">
        <v>36694</v>
      </c>
      <c r="M6276" t="s">
        <v>37371</v>
      </c>
      <c r="N6276" t="s">
        <v>40436</v>
      </c>
      <c r="O6276" t="s">
        <v>40437</v>
      </c>
      <c r="Q6276">
        <v>40</v>
      </c>
      <c r="R6276" t="s">
        <v>40443</v>
      </c>
      <c r="S6276" t="s">
        <v>40656</v>
      </c>
      <c r="T6276" t="s">
        <v>42427</v>
      </c>
      <c r="U6276" t="s">
        <v>47933</v>
      </c>
      <c r="V6276" t="s">
        <v>54051</v>
      </c>
      <c r="W6276" t="s">
        <v>37371</v>
      </c>
      <c r="X6276" t="s">
        <v>40444</v>
      </c>
    </row>
    <row r="6277" spans="1:24">
      <c r="A6277">
        <f>HYPERLINK("https://www.philgeps.gov.ph/GEPSNONPILOT/Tender/SplashBidNoticeAbstractUI.aspx?menuIndex=3&amp;refID=7042423&amp;Result=3","7042423")</f>
        <v>0</v>
      </c>
      <c r="B6277" t="s">
        <v>1109</v>
      </c>
      <c r="C6277" t="s">
        <v>9048</v>
      </c>
      <c r="D6277" t="s">
        <v>16210</v>
      </c>
      <c r="E6277" t="s">
        <v>17244</v>
      </c>
      <c r="F6277" t="s">
        <v>28198</v>
      </c>
      <c r="G6277" t="s">
        <v>28205</v>
      </c>
      <c r="H6277" t="s">
        <v>28215</v>
      </c>
      <c r="I6277" t="s">
        <v>28330</v>
      </c>
      <c r="J6277" t="s">
        <v>32289</v>
      </c>
      <c r="K6277" t="s">
        <v>36715</v>
      </c>
      <c r="M6277" t="s">
        <v>39166</v>
      </c>
      <c r="N6277" t="s">
        <v>40436</v>
      </c>
      <c r="O6277" t="s">
        <v>40437</v>
      </c>
      <c r="P6277">
        <v>0</v>
      </c>
      <c r="Q6277">
        <v>7</v>
      </c>
      <c r="R6277" t="s">
        <v>40443</v>
      </c>
      <c r="S6277" t="s">
        <v>40644</v>
      </c>
      <c r="T6277" t="s">
        <v>42446</v>
      </c>
      <c r="U6277" t="s">
        <v>47934</v>
      </c>
      <c r="W6277" t="s">
        <v>39166</v>
      </c>
      <c r="X6277" t="s">
        <v>40444</v>
      </c>
    </row>
    <row r="6278" spans="1:24">
      <c r="A6278">
        <f>HYPERLINK("https://www.philgeps.gov.ph/GEPSNONPILOT/Tender/SplashBidNoticeAbstractUI.aspx?menuIndex=3&amp;refID=7042413&amp;Result=3","7042413")</f>
        <v>0</v>
      </c>
      <c r="B6278" t="s">
        <v>2033</v>
      </c>
      <c r="C6278" t="s">
        <v>9049</v>
      </c>
      <c r="E6278" t="s">
        <v>21830</v>
      </c>
      <c r="F6278" t="s">
        <v>28198</v>
      </c>
      <c r="G6278" t="s">
        <v>28205</v>
      </c>
      <c r="H6278" t="s">
        <v>28214</v>
      </c>
      <c r="I6278" t="s">
        <v>3797</v>
      </c>
      <c r="J6278" t="s">
        <v>32290</v>
      </c>
      <c r="K6278" t="s">
        <v>36689</v>
      </c>
      <c r="M6278" t="s">
        <v>39175</v>
      </c>
      <c r="N6278" t="s">
        <v>40436</v>
      </c>
      <c r="O6278" t="s">
        <v>40437</v>
      </c>
      <c r="P6278">
        <v>0</v>
      </c>
      <c r="Q6278">
        <v>19</v>
      </c>
      <c r="R6278" t="s">
        <v>40443</v>
      </c>
      <c r="S6278" t="s">
        <v>40644</v>
      </c>
      <c r="T6278" t="s">
        <v>42390</v>
      </c>
      <c r="U6278" t="s">
        <v>47923</v>
      </c>
      <c r="W6278" t="s">
        <v>55503</v>
      </c>
      <c r="X6278" t="s">
        <v>40444</v>
      </c>
    </row>
    <row r="6279" spans="1:24">
      <c r="A6279">
        <f>HYPERLINK("https://www.philgeps.gov.ph/GEPSNONPILOT/Tender/SplashBidNoticeAbstractUI.aspx?menuIndex=3&amp;refID=7042409&amp;Result=3","7042409")</f>
        <v>0</v>
      </c>
      <c r="B6279" t="s">
        <v>1950</v>
      </c>
      <c r="C6279" t="s">
        <v>9050</v>
      </c>
      <c r="E6279" t="s">
        <v>21831</v>
      </c>
      <c r="F6279" t="s">
        <v>28198</v>
      </c>
      <c r="G6279" t="s">
        <v>28207</v>
      </c>
      <c r="H6279" t="s">
        <v>28215</v>
      </c>
      <c r="I6279" t="s">
        <v>28274</v>
      </c>
      <c r="J6279" t="s">
        <v>28606</v>
      </c>
      <c r="K6279" t="s">
        <v>36689</v>
      </c>
      <c r="M6279" t="s">
        <v>39084</v>
      </c>
      <c r="N6279" t="s">
        <v>40436</v>
      </c>
      <c r="O6279" t="s">
        <v>40437</v>
      </c>
      <c r="P6279">
        <v>0</v>
      </c>
      <c r="Q6279">
        <v>0</v>
      </c>
      <c r="R6279" t="s">
        <v>40443</v>
      </c>
      <c r="S6279" t="s">
        <v>40644</v>
      </c>
      <c r="T6279" t="s">
        <v>42185</v>
      </c>
      <c r="U6279" t="s">
        <v>47935</v>
      </c>
      <c r="W6279" t="s">
        <v>39084</v>
      </c>
      <c r="X6279" t="s">
        <v>40444</v>
      </c>
    </row>
    <row r="6280" spans="1:24">
      <c r="A6280">
        <f>HYPERLINK("https://www.philgeps.gov.ph/GEPSNONPILOT/Tender/SplashBidNoticeAbstractUI.aspx?menuIndex=3&amp;refID=7042483&amp;Result=3","7042483")</f>
        <v>0</v>
      </c>
      <c r="B6280" t="s">
        <v>870</v>
      </c>
      <c r="C6280" t="s">
        <v>9051</v>
      </c>
      <c r="D6280" t="s">
        <v>16221</v>
      </c>
      <c r="E6280" t="s">
        <v>21832</v>
      </c>
      <c r="F6280" t="s">
        <v>28198</v>
      </c>
      <c r="G6280" t="s">
        <v>28205</v>
      </c>
      <c r="H6280" t="s">
        <v>28214</v>
      </c>
      <c r="I6280" t="s">
        <v>3797</v>
      </c>
      <c r="J6280" t="s">
        <v>32291</v>
      </c>
      <c r="K6280" t="s">
        <v>36697</v>
      </c>
      <c r="M6280" t="s">
        <v>37882</v>
      </c>
      <c r="N6280" t="s">
        <v>40436</v>
      </c>
      <c r="O6280" t="s">
        <v>40437</v>
      </c>
      <c r="P6280">
        <v>0</v>
      </c>
      <c r="Q6280">
        <v>0</v>
      </c>
      <c r="R6280" t="s">
        <v>40443</v>
      </c>
      <c r="S6280" t="s">
        <v>40644</v>
      </c>
      <c r="T6280" t="s">
        <v>42165</v>
      </c>
      <c r="U6280" t="s">
        <v>47936</v>
      </c>
      <c r="V6280" t="s">
        <v>54440</v>
      </c>
      <c r="W6280" t="s">
        <v>37882</v>
      </c>
      <c r="X6280" t="s">
        <v>40444</v>
      </c>
    </row>
    <row r="6281" spans="1:24">
      <c r="A6281">
        <f>HYPERLINK("https://www.philgeps.gov.ph/GEPSNONPILOT/Tender/SplashBidNoticeAbstractUI.aspx?menuIndex=3&amp;refID=7042450&amp;Result=3","7042450")</f>
        <v>0</v>
      </c>
      <c r="B6281" t="s">
        <v>1950</v>
      </c>
      <c r="C6281" t="s">
        <v>9038</v>
      </c>
      <c r="E6281" t="s">
        <v>21833</v>
      </c>
      <c r="F6281" t="s">
        <v>28198</v>
      </c>
      <c r="G6281" t="s">
        <v>28207</v>
      </c>
      <c r="H6281" t="s">
        <v>28215</v>
      </c>
      <c r="I6281" t="s">
        <v>28274</v>
      </c>
      <c r="J6281" t="s">
        <v>28593</v>
      </c>
      <c r="K6281" t="s">
        <v>36689</v>
      </c>
      <c r="M6281" t="s">
        <v>39084</v>
      </c>
      <c r="N6281" t="s">
        <v>40436</v>
      </c>
      <c r="O6281" t="s">
        <v>40437</v>
      </c>
      <c r="P6281">
        <v>0</v>
      </c>
      <c r="Q6281">
        <v>0</v>
      </c>
      <c r="R6281" t="s">
        <v>40443</v>
      </c>
      <c r="S6281" t="s">
        <v>40644</v>
      </c>
      <c r="T6281" t="s">
        <v>42185</v>
      </c>
      <c r="U6281" t="s">
        <v>47937</v>
      </c>
      <c r="W6281" t="s">
        <v>39084</v>
      </c>
      <c r="X6281" t="s">
        <v>40444</v>
      </c>
    </row>
    <row r="6282" spans="1:24">
      <c r="A6282">
        <f>HYPERLINK("https://www.philgeps.gov.ph/GEPSNONPILOT/Tender/SplashBidNoticeAbstractUI.aspx?menuIndex=3&amp;refID=7042466&amp;Result=3","7042466")</f>
        <v>0</v>
      </c>
      <c r="B6282" t="s">
        <v>279</v>
      </c>
      <c r="C6282" t="s">
        <v>4369</v>
      </c>
      <c r="D6282" t="s">
        <v>16230</v>
      </c>
      <c r="E6282" t="s">
        <v>21834</v>
      </c>
      <c r="F6282" t="s">
        <v>28198</v>
      </c>
      <c r="G6282" t="s">
        <v>28205</v>
      </c>
      <c r="H6282" t="s">
        <v>28215</v>
      </c>
      <c r="I6282" t="s">
        <v>8888</v>
      </c>
      <c r="J6282" t="s">
        <v>32292</v>
      </c>
      <c r="K6282" t="s">
        <v>36707</v>
      </c>
      <c r="M6282" t="s">
        <v>37256</v>
      </c>
      <c r="N6282" t="s">
        <v>40436</v>
      </c>
      <c r="O6282" t="s">
        <v>40437</v>
      </c>
      <c r="P6282">
        <v>0</v>
      </c>
      <c r="Q6282">
        <v>2</v>
      </c>
      <c r="R6282" t="s">
        <v>40443</v>
      </c>
      <c r="S6282" t="s">
        <v>40644</v>
      </c>
      <c r="T6282" t="s">
        <v>42435</v>
      </c>
      <c r="U6282" t="s">
        <v>47938</v>
      </c>
      <c r="W6282" t="s">
        <v>37256</v>
      </c>
      <c r="X6282" t="s">
        <v>40444</v>
      </c>
    </row>
    <row r="6283" spans="1:24">
      <c r="A6283">
        <f>HYPERLINK("https://www.philgeps.gov.ph/GEPSNONPILOT/Tender/SplashBidNoticeAbstractUI.aspx?menuIndex=3&amp;refID=7042462&amp;Result=3","7042462")</f>
        <v>0</v>
      </c>
      <c r="B6283" t="s">
        <v>2026</v>
      </c>
      <c r="C6283" t="s">
        <v>9052</v>
      </c>
      <c r="E6283" t="s">
        <v>21835</v>
      </c>
      <c r="F6283" t="s">
        <v>28198</v>
      </c>
      <c r="G6283" t="s">
        <v>28207</v>
      </c>
      <c r="H6283" t="s">
        <v>28214</v>
      </c>
      <c r="I6283" t="s">
        <v>3797</v>
      </c>
      <c r="J6283" t="s">
        <v>32293</v>
      </c>
      <c r="K6283" t="s">
        <v>36689</v>
      </c>
      <c r="M6283" t="s">
        <v>39167</v>
      </c>
      <c r="N6283" t="s">
        <v>40436</v>
      </c>
      <c r="O6283" t="s">
        <v>40437</v>
      </c>
      <c r="P6283">
        <v>0</v>
      </c>
      <c r="Q6283">
        <v>2</v>
      </c>
      <c r="R6283" t="s">
        <v>40443</v>
      </c>
      <c r="S6283" t="s">
        <v>40644</v>
      </c>
      <c r="T6283" t="s">
        <v>42233</v>
      </c>
      <c r="U6283" t="s">
        <v>47939</v>
      </c>
      <c r="W6283" t="s">
        <v>39167</v>
      </c>
      <c r="X6283" t="s">
        <v>40444</v>
      </c>
    </row>
    <row r="6284" spans="1:24">
      <c r="A6284">
        <f>HYPERLINK("https://www.philgeps.gov.ph/GEPSNONPILOT/Tender/SplashBidNoticeAbstractUI.aspx?menuIndex=3&amp;refID=7042480&amp;Result=3","7042480")</f>
        <v>0</v>
      </c>
      <c r="B6284" t="s">
        <v>391</v>
      </c>
      <c r="C6284" t="s">
        <v>9053</v>
      </c>
      <c r="D6284" t="s">
        <v>16202</v>
      </c>
      <c r="E6284" t="s">
        <v>21836</v>
      </c>
      <c r="F6284" t="s">
        <v>28198</v>
      </c>
      <c r="G6284" t="s">
        <v>28205</v>
      </c>
      <c r="H6284" t="s">
        <v>28215</v>
      </c>
      <c r="I6284" t="s">
        <v>28220</v>
      </c>
      <c r="J6284" t="s">
        <v>32294</v>
      </c>
      <c r="K6284" t="s">
        <v>36694</v>
      </c>
      <c r="M6284" t="s">
        <v>37371</v>
      </c>
      <c r="N6284" t="s">
        <v>40436</v>
      </c>
      <c r="O6284" t="s">
        <v>40437</v>
      </c>
      <c r="Q6284">
        <v>18</v>
      </c>
      <c r="R6284" t="s">
        <v>40443</v>
      </c>
      <c r="S6284" t="s">
        <v>40657</v>
      </c>
      <c r="T6284" t="s">
        <v>42427</v>
      </c>
      <c r="U6284" t="s">
        <v>47940</v>
      </c>
      <c r="V6284" t="s">
        <v>54051</v>
      </c>
      <c r="W6284" t="s">
        <v>37371</v>
      </c>
      <c r="X6284" t="s">
        <v>40444</v>
      </c>
    </row>
    <row r="6285" spans="1:24">
      <c r="A6285">
        <f>HYPERLINK("https://www.philgeps.gov.ph/GEPSNONPILOT/Tender/SplashBidNoticeAbstractUI.aspx?menuIndex=3&amp;refID=7042472&amp;Result=3","7042472")</f>
        <v>0</v>
      </c>
      <c r="B6285" t="s">
        <v>2035</v>
      </c>
      <c r="C6285" t="s">
        <v>5107</v>
      </c>
      <c r="D6285" t="s">
        <v>16265</v>
      </c>
      <c r="E6285" t="s">
        <v>21837</v>
      </c>
      <c r="F6285" t="s">
        <v>28198</v>
      </c>
      <c r="G6285" t="s">
        <v>28207</v>
      </c>
      <c r="H6285" t="s">
        <v>28215</v>
      </c>
      <c r="I6285" t="s">
        <v>5082</v>
      </c>
      <c r="J6285" t="s">
        <v>28878</v>
      </c>
      <c r="K6285" t="s">
        <v>36706</v>
      </c>
      <c r="M6285" t="s">
        <v>39178</v>
      </c>
      <c r="N6285" t="s">
        <v>40436</v>
      </c>
      <c r="O6285" t="s">
        <v>40437</v>
      </c>
      <c r="P6285">
        <v>0</v>
      </c>
      <c r="Q6285">
        <v>0</v>
      </c>
      <c r="R6285" t="s">
        <v>40443</v>
      </c>
      <c r="S6285" t="s">
        <v>40644</v>
      </c>
      <c r="T6285" t="s">
        <v>42111</v>
      </c>
      <c r="U6285" t="s">
        <v>43338</v>
      </c>
      <c r="W6285" t="s">
        <v>39178</v>
      </c>
      <c r="X6285" t="s">
        <v>40444</v>
      </c>
    </row>
    <row r="6286" spans="1:24">
      <c r="A6286">
        <f>HYPERLINK("https://www.philgeps.gov.ph/GEPSNONPILOT/Tender/SplashBidNoticeAbstractUI.aspx?menuIndex=3&amp;refID=7042461&amp;Result=3","7042461")</f>
        <v>0</v>
      </c>
      <c r="B6286" t="s">
        <v>589</v>
      </c>
      <c r="C6286" t="s">
        <v>9054</v>
      </c>
      <c r="D6286" t="s">
        <v>16199</v>
      </c>
      <c r="E6286" t="s">
        <v>21838</v>
      </c>
      <c r="F6286" t="s">
        <v>28198</v>
      </c>
      <c r="G6286" t="s">
        <v>28205</v>
      </c>
      <c r="H6286" t="s">
        <v>28214</v>
      </c>
      <c r="I6286" t="s">
        <v>3797</v>
      </c>
      <c r="J6286" t="s">
        <v>32295</v>
      </c>
      <c r="K6286" t="s">
        <v>36694</v>
      </c>
      <c r="M6286" t="s">
        <v>37578</v>
      </c>
      <c r="N6286" t="s">
        <v>40436</v>
      </c>
      <c r="O6286" t="s">
        <v>40437</v>
      </c>
      <c r="P6286">
        <v>0</v>
      </c>
      <c r="Q6286">
        <v>0</v>
      </c>
      <c r="R6286" t="s">
        <v>40443</v>
      </c>
      <c r="S6286" t="s">
        <v>40644</v>
      </c>
      <c r="T6286" t="s">
        <v>42218</v>
      </c>
      <c r="U6286" t="s">
        <v>47941</v>
      </c>
      <c r="V6286" t="s">
        <v>54441</v>
      </c>
      <c r="W6286" t="s">
        <v>37578</v>
      </c>
      <c r="X6286" t="s">
        <v>40444</v>
      </c>
    </row>
    <row r="6287" spans="1:24">
      <c r="A6287">
        <f>HYPERLINK("https://www.philgeps.gov.ph/GEPSNONPILOT/Tender/SplashBidNoticeAbstractUI.aspx?menuIndex=3&amp;refID=7042451&amp;Result=3","7042451")</f>
        <v>0</v>
      </c>
      <c r="B6287" t="s">
        <v>1160</v>
      </c>
      <c r="C6287" t="s">
        <v>9055</v>
      </c>
      <c r="D6287" t="s">
        <v>16192</v>
      </c>
      <c r="E6287" t="s">
        <v>21839</v>
      </c>
      <c r="F6287" t="s">
        <v>28200</v>
      </c>
      <c r="G6287" t="s">
        <v>28205</v>
      </c>
      <c r="H6287" t="s">
        <v>28217</v>
      </c>
      <c r="I6287" t="s">
        <v>28229</v>
      </c>
      <c r="J6287" t="s">
        <v>32296</v>
      </c>
      <c r="K6287" t="s">
        <v>36694</v>
      </c>
      <c r="M6287" t="s">
        <v>38200</v>
      </c>
      <c r="N6287" t="s">
        <v>40436</v>
      </c>
      <c r="O6287" t="s">
        <v>40437</v>
      </c>
      <c r="Q6287">
        <v>9</v>
      </c>
      <c r="R6287" t="s">
        <v>40443</v>
      </c>
      <c r="S6287" t="s">
        <v>40658</v>
      </c>
      <c r="T6287" t="s">
        <v>42192</v>
      </c>
      <c r="U6287" t="s">
        <v>47942</v>
      </c>
      <c r="W6287" t="s">
        <v>38200</v>
      </c>
      <c r="X6287" t="s">
        <v>40444</v>
      </c>
    </row>
    <row r="6288" spans="1:24">
      <c r="A6288">
        <f>HYPERLINK("https://www.philgeps.gov.ph/GEPSNONPILOT/Tender/SplashBidNoticeAbstractUI.aspx?menuIndex=3&amp;refID=7042474&amp;Result=3","7042474")</f>
        <v>0</v>
      </c>
      <c r="B6288" t="s">
        <v>1194</v>
      </c>
      <c r="C6288" t="s">
        <v>9056</v>
      </c>
      <c r="D6288" t="s">
        <v>16258</v>
      </c>
      <c r="E6288" t="s">
        <v>21840</v>
      </c>
      <c r="F6288" t="s">
        <v>28198</v>
      </c>
      <c r="G6288" t="s">
        <v>28205</v>
      </c>
      <c r="H6288" t="s">
        <v>28215</v>
      </c>
      <c r="I6288" t="s">
        <v>28228</v>
      </c>
      <c r="J6288" t="s">
        <v>32297</v>
      </c>
      <c r="K6288" t="s">
        <v>36689</v>
      </c>
      <c r="M6288" t="s">
        <v>38238</v>
      </c>
      <c r="N6288" t="s">
        <v>40436</v>
      </c>
      <c r="O6288" t="s">
        <v>40437</v>
      </c>
      <c r="P6288">
        <v>0</v>
      </c>
      <c r="Q6288">
        <v>0</v>
      </c>
      <c r="R6288" t="s">
        <v>40443</v>
      </c>
      <c r="S6288" t="s">
        <v>40644</v>
      </c>
      <c r="T6288" t="s">
        <v>42323</v>
      </c>
      <c r="U6288" t="s">
        <v>47943</v>
      </c>
      <c r="W6288" t="s">
        <v>38238</v>
      </c>
      <c r="X6288" t="s">
        <v>40444</v>
      </c>
    </row>
    <row r="6289" spans="1:24">
      <c r="A6289">
        <f>HYPERLINK("https://www.philgeps.gov.ph/GEPSNONPILOT/Tender/SplashBidNoticeAbstractUI.aspx?menuIndex=3&amp;refID=7042484&amp;Result=3","7042484")</f>
        <v>0</v>
      </c>
      <c r="B6289" t="s">
        <v>2036</v>
      </c>
      <c r="C6289" t="s">
        <v>3622</v>
      </c>
      <c r="D6289" t="s">
        <v>16212</v>
      </c>
      <c r="E6289" t="s">
        <v>21841</v>
      </c>
      <c r="F6289" t="s">
        <v>28198</v>
      </c>
      <c r="G6289" t="s">
        <v>28206</v>
      </c>
      <c r="H6289" t="s">
        <v>28215</v>
      </c>
      <c r="I6289" t="s">
        <v>28225</v>
      </c>
      <c r="J6289" t="s">
        <v>32298</v>
      </c>
      <c r="K6289" t="s">
        <v>36706</v>
      </c>
      <c r="M6289" t="s">
        <v>39179</v>
      </c>
      <c r="N6289" t="s">
        <v>40436</v>
      </c>
      <c r="O6289" t="s">
        <v>40437</v>
      </c>
      <c r="P6289">
        <v>0</v>
      </c>
      <c r="Q6289">
        <v>5</v>
      </c>
      <c r="R6289" t="s">
        <v>40443</v>
      </c>
      <c r="S6289" t="s">
        <v>40644</v>
      </c>
      <c r="T6289" t="s">
        <v>42184</v>
      </c>
      <c r="U6289" t="s">
        <v>47944</v>
      </c>
      <c r="W6289" t="s">
        <v>39179</v>
      </c>
      <c r="X6289" t="s">
        <v>40444</v>
      </c>
    </row>
    <row r="6290" spans="1:24">
      <c r="A6290">
        <f>HYPERLINK("https://www.philgeps.gov.ph/GEPSNONPILOT/Tender/SplashBidNoticeAbstractUI.aspx?menuIndex=3&amp;refID=7042510&amp;Result=3","7042510")</f>
        <v>0</v>
      </c>
      <c r="B6290" t="s">
        <v>1231</v>
      </c>
      <c r="C6290" t="s">
        <v>9057</v>
      </c>
      <c r="D6290" t="s">
        <v>16210</v>
      </c>
      <c r="E6290" t="s">
        <v>21842</v>
      </c>
      <c r="F6290" t="s">
        <v>28198</v>
      </c>
      <c r="G6290" t="s">
        <v>28207</v>
      </c>
      <c r="H6290" t="s">
        <v>28215</v>
      </c>
      <c r="I6290" t="s">
        <v>28216</v>
      </c>
      <c r="J6290" t="s">
        <v>29809</v>
      </c>
      <c r="K6290" t="s">
        <v>36688</v>
      </c>
      <c r="M6290" t="s">
        <v>38280</v>
      </c>
      <c r="N6290" t="s">
        <v>40436</v>
      </c>
      <c r="O6290" t="s">
        <v>40437</v>
      </c>
      <c r="P6290">
        <v>0</v>
      </c>
      <c r="Q6290">
        <v>4</v>
      </c>
      <c r="R6290" t="s">
        <v>40443</v>
      </c>
      <c r="S6290" t="s">
        <v>40644</v>
      </c>
      <c r="T6290" t="s">
        <v>42185</v>
      </c>
      <c r="U6290" t="s">
        <v>47945</v>
      </c>
      <c r="V6290" t="s">
        <v>54442</v>
      </c>
      <c r="W6290" t="s">
        <v>38280</v>
      </c>
      <c r="X6290" t="s">
        <v>40444</v>
      </c>
    </row>
    <row r="6291" spans="1:24">
      <c r="A6291">
        <f>HYPERLINK("https://www.philgeps.gov.ph/GEPSNONPILOT/Tender/SplashBidNoticeAbstractUI.aspx?menuIndex=3&amp;refID=7042496&amp;Result=3","7042496")</f>
        <v>0</v>
      </c>
      <c r="B6291" t="s">
        <v>437</v>
      </c>
      <c r="C6291" t="s">
        <v>9058</v>
      </c>
      <c r="D6291" t="s">
        <v>16209</v>
      </c>
      <c r="E6291" t="s">
        <v>21843</v>
      </c>
      <c r="F6291" t="s">
        <v>28198</v>
      </c>
      <c r="G6291" t="s">
        <v>28205</v>
      </c>
      <c r="H6291" t="s">
        <v>28215</v>
      </c>
      <c r="I6291" t="s">
        <v>28237</v>
      </c>
      <c r="J6291" t="s">
        <v>30172</v>
      </c>
      <c r="K6291" t="s">
        <v>36701</v>
      </c>
      <c r="L6291" t="s">
        <v>437</v>
      </c>
      <c r="M6291" t="s">
        <v>37421</v>
      </c>
      <c r="N6291" t="s">
        <v>40436</v>
      </c>
      <c r="O6291" t="s">
        <v>40437</v>
      </c>
      <c r="P6291">
        <v>0</v>
      </c>
      <c r="Q6291">
        <v>3</v>
      </c>
      <c r="R6291" t="s">
        <v>40443</v>
      </c>
      <c r="S6291" t="s">
        <v>40644</v>
      </c>
      <c r="T6291" t="s">
        <v>42136</v>
      </c>
      <c r="U6291" t="s">
        <v>47946</v>
      </c>
      <c r="V6291" t="s">
        <v>54443</v>
      </c>
      <c r="W6291" t="s">
        <v>37421</v>
      </c>
      <c r="X6291" t="s">
        <v>40444</v>
      </c>
    </row>
    <row r="6292" spans="1:24">
      <c r="A6292">
        <f>HYPERLINK("https://www.philgeps.gov.ph/GEPSNONPILOT/Tender/SplashBidNoticeAbstractUI.aspx?menuIndex=3&amp;refID=7042457&amp;Result=3","7042457")</f>
        <v>0</v>
      </c>
      <c r="B6292" t="s">
        <v>1194</v>
      </c>
      <c r="C6292" t="s">
        <v>9059</v>
      </c>
      <c r="D6292" t="s">
        <v>16258</v>
      </c>
      <c r="E6292" t="s">
        <v>21844</v>
      </c>
      <c r="F6292" t="s">
        <v>28198</v>
      </c>
      <c r="G6292" t="s">
        <v>28205</v>
      </c>
      <c r="H6292" t="s">
        <v>28215</v>
      </c>
      <c r="I6292" t="s">
        <v>28228</v>
      </c>
      <c r="J6292" t="s">
        <v>32299</v>
      </c>
      <c r="K6292" t="s">
        <v>36689</v>
      </c>
      <c r="M6292" t="s">
        <v>38238</v>
      </c>
      <c r="N6292" t="s">
        <v>40436</v>
      </c>
      <c r="O6292" t="s">
        <v>40437</v>
      </c>
      <c r="P6292">
        <v>0</v>
      </c>
      <c r="Q6292">
        <v>0</v>
      </c>
      <c r="R6292" t="s">
        <v>40443</v>
      </c>
      <c r="S6292" t="s">
        <v>40644</v>
      </c>
      <c r="T6292" t="s">
        <v>42129</v>
      </c>
      <c r="U6292" t="s">
        <v>47947</v>
      </c>
      <c r="W6292" t="s">
        <v>38238</v>
      </c>
      <c r="X6292" t="s">
        <v>40444</v>
      </c>
    </row>
    <row r="6293" spans="1:24">
      <c r="A6293">
        <f>HYPERLINK("https://www.philgeps.gov.ph/GEPSNONPILOT/Tender/SplashBidNoticeAbstractUI.aspx?menuIndex=3&amp;refID=7042500&amp;Result=3","7042500")</f>
        <v>0</v>
      </c>
      <c r="B6293" t="s">
        <v>2037</v>
      </c>
      <c r="C6293" t="s">
        <v>9060</v>
      </c>
      <c r="D6293" t="s">
        <v>16210</v>
      </c>
      <c r="E6293" t="s">
        <v>21845</v>
      </c>
      <c r="F6293" t="s">
        <v>28198</v>
      </c>
      <c r="G6293" t="s">
        <v>28207</v>
      </c>
      <c r="H6293" t="s">
        <v>28215</v>
      </c>
      <c r="I6293" t="s">
        <v>28284</v>
      </c>
      <c r="J6293" t="s">
        <v>32300</v>
      </c>
      <c r="K6293" t="s">
        <v>36701</v>
      </c>
      <c r="M6293" t="s">
        <v>39180</v>
      </c>
      <c r="N6293" t="s">
        <v>40436</v>
      </c>
      <c r="O6293" t="s">
        <v>40437</v>
      </c>
      <c r="Q6293">
        <v>2</v>
      </c>
      <c r="R6293" t="s">
        <v>40443</v>
      </c>
      <c r="S6293" t="s">
        <v>40659</v>
      </c>
      <c r="T6293" t="s">
        <v>42396</v>
      </c>
      <c r="U6293" t="s">
        <v>47948</v>
      </c>
      <c r="W6293" t="s">
        <v>39180</v>
      </c>
      <c r="X6293" t="s">
        <v>40444</v>
      </c>
    </row>
    <row r="6294" spans="1:24">
      <c r="A6294">
        <f>HYPERLINK("https://www.philgeps.gov.ph/GEPSNONPILOT/Tender/SplashBidNoticeAbstractUI.aspx?menuIndex=3&amp;refID=7042507&amp;Result=3","7042507")</f>
        <v>0</v>
      </c>
      <c r="B6294" t="s">
        <v>2038</v>
      </c>
      <c r="C6294" t="s">
        <v>9061</v>
      </c>
      <c r="D6294" t="s">
        <v>16274</v>
      </c>
      <c r="E6294" t="s">
        <v>21846</v>
      </c>
      <c r="F6294" t="s">
        <v>28198</v>
      </c>
      <c r="G6294" t="s">
        <v>28205</v>
      </c>
      <c r="H6294" t="s">
        <v>28216</v>
      </c>
      <c r="I6294" t="s">
        <v>28216</v>
      </c>
      <c r="J6294" t="s">
        <v>32301</v>
      </c>
      <c r="K6294" t="s">
        <v>36694</v>
      </c>
      <c r="M6294" t="s">
        <v>39181</v>
      </c>
      <c r="N6294" t="s">
        <v>40436</v>
      </c>
      <c r="O6294" t="s">
        <v>40437</v>
      </c>
      <c r="P6294">
        <v>0</v>
      </c>
      <c r="Q6294">
        <v>2</v>
      </c>
      <c r="R6294" t="s">
        <v>40443</v>
      </c>
      <c r="S6294" t="s">
        <v>40644</v>
      </c>
      <c r="T6294" t="s">
        <v>42165</v>
      </c>
      <c r="U6294" t="s">
        <v>47949</v>
      </c>
      <c r="V6294" t="s">
        <v>54444</v>
      </c>
      <c r="W6294" t="s">
        <v>39181</v>
      </c>
      <c r="X6294" t="s">
        <v>40444</v>
      </c>
    </row>
    <row r="6295" spans="1:24">
      <c r="A6295">
        <f>HYPERLINK("https://www.philgeps.gov.ph/GEPSNONPILOT/Tender/SplashBidNoticeAbstractUI.aspx?menuIndex=3&amp;refID=7042491&amp;Result=3","7042491")</f>
        <v>0</v>
      </c>
      <c r="B6295" t="s">
        <v>904</v>
      </c>
      <c r="C6295" t="s">
        <v>9062</v>
      </c>
      <c r="D6295" t="s">
        <v>16233</v>
      </c>
      <c r="E6295" t="s">
        <v>21847</v>
      </c>
      <c r="F6295" t="s">
        <v>28198</v>
      </c>
      <c r="G6295" t="s">
        <v>28210</v>
      </c>
      <c r="H6295" t="s">
        <v>28215</v>
      </c>
      <c r="I6295" t="s">
        <v>28234</v>
      </c>
      <c r="J6295" t="s">
        <v>32302</v>
      </c>
      <c r="K6295" t="s">
        <v>36689</v>
      </c>
      <c r="M6295" t="s">
        <v>38375</v>
      </c>
      <c r="N6295" t="s">
        <v>40436</v>
      </c>
      <c r="O6295" t="s">
        <v>40437</v>
      </c>
      <c r="P6295">
        <v>0</v>
      </c>
      <c r="Q6295">
        <v>2</v>
      </c>
      <c r="R6295" t="s">
        <v>40443</v>
      </c>
      <c r="S6295" t="s">
        <v>40644</v>
      </c>
      <c r="T6295" t="s">
        <v>42205</v>
      </c>
      <c r="U6295" t="s">
        <v>47950</v>
      </c>
      <c r="W6295" t="s">
        <v>38375</v>
      </c>
      <c r="X6295" t="s">
        <v>40444</v>
      </c>
    </row>
    <row r="6296" spans="1:24">
      <c r="A6296">
        <f>HYPERLINK("https://www.philgeps.gov.ph/GEPSNONPILOT/Tender/SplashBidNoticeAbstractUI.aspx?menuIndex=3&amp;refID=7042475&amp;Result=3","7042475")</f>
        <v>0</v>
      </c>
      <c r="B6296" t="s">
        <v>2039</v>
      </c>
      <c r="C6296" t="s">
        <v>9063</v>
      </c>
      <c r="D6296" t="s">
        <v>16199</v>
      </c>
      <c r="E6296" t="s">
        <v>21848</v>
      </c>
      <c r="F6296" t="s">
        <v>28198</v>
      </c>
      <c r="G6296" t="s">
        <v>28206</v>
      </c>
      <c r="H6296" t="s">
        <v>28215</v>
      </c>
      <c r="I6296" t="s">
        <v>28234</v>
      </c>
      <c r="J6296" t="s">
        <v>28775</v>
      </c>
      <c r="K6296" t="s">
        <v>36691</v>
      </c>
      <c r="M6296" t="s">
        <v>39182</v>
      </c>
      <c r="N6296" t="s">
        <v>40436</v>
      </c>
      <c r="O6296" t="s">
        <v>40437</v>
      </c>
      <c r="P6296">
        <v>0</v>
      </c>
      <c r="Q6296">
        <v>0</v>
      </c>
      <c r="R6296" t="s">
        <v>40443</v>
      </c>
      <c r="S6296" t="s">
        <v>40644</v>
      </c>
      <c r="T6296" t="s">
        <v>42385</v>
      </c>
      <c r="U6296" t="s">
        <v>47951</v>
      </c>
      <c r="W6296" t="s">
        <v>39182</v>
      </c>
      <c r="X6296" t="s">
        <v>40444</v>
      </c>
    </row>
    <row r="6297" spans="1:24">
      <c r="A6297">
        <f>HYPERLINK("https://www.philgeps.gov.ph/GEPSNONPILOT/Tender/SplashBidNoticeAbstractUI.aspx?menuIndex=3&amp;refID=7042497&amp;Result=3","7042497")</f>
        <v>0</v>
      </c>
      <c r="B6297" t="s">
        <v>2040</v>
      </c>
      <c r="C6297" t="s">
        <v>9064</v>
      </c>
      <c r="D6297" t="s">
        <v>16219</v>
      </c>
      <c r="E6297" t="s">
        <v>21849</v>
      </c>
      <c r="F6297" t="s">
        <v>28198</v>
      </c>
      <c r="G6297" t="s">
        <v>28205</v>
      </c>
      <c r="H6297" t="s">
        <v>28214</v>
      </c>
      <c r="I6297" t="s">
        <v>28260</v>
      </c>
      <c r="J6297" t="s">
        <v>28347</v>
      </c>
      <c r="K6297" t="s">
        <v>36690</v>
      </c>
      <c r="M6297" t="s">
        <v>39183</v>
      </c>
      <c r="N6297" t="s">
        <v>40436</v>
      </c>
      <c r="O6297" t="s">
        <v>40437</v>
      </c>
      <c r="P6297">
        <v>0</v>
      </c>
      <c r="Q6297">
        <v>1</v>
      </c>
      <c r="R6297" t="s">
        <v>40443</v>
      </c>
      <c r="S6297" t="s">
        <v>40644</v>
      </c>
      <c r="T6297" t="s">
        <v>42135</v>
      </c>
      <c r="U6297" t="s">
        <v>47952</v>
      </c>
      <c r="W6297" t="s">
        <v>39183</v>
      </c>
      <c r="X6297" t="s">
        <v>40444</v>
      </c>
    </row>
    <row r="6298" spans="1:24">
      <c r="A6298">
        <f>HYPERLINK("https://www.philgeps.gov.ph/GEPSNONPILOT/Tender/SplashBidNoticeAbstractUI.aspx?menuIndex=3&amp;refID=7042505&amp;Result=3","7042505")</f>
        <v>0</v>
      </c>
      <c r="B6298" t="s">
        <v>870</v>
      </c>
      <c r="C6298" t="s">
        <v>9065</v>
      </c>
      <c r="D6298" t="s">
        <v>16221</v>
      </c>
      <c r="E6298" t="s">
        <v>21850</v>
      </c>
      <c r="F6298" t="s">
        <v>28198</v>
      </c>
      <c r="G6298" t="s">
        <v>28205</v>
      </c>
      <c r="H6298" t="s">
        <v>28214</v>
      </c>
      <c r="I6298" t="s">
        <v>3797</v>
      </c>
      <c r="J6298" t="s">
        <v>32291</v>
      </c>
      <c r="K6298" t="s">
        <v>36694</v>
      </c>
      <c r="M6298" t="s">
        <v>37882</v>
      </c>
      <c r="N6298" t="s">
        <v>40436</v>
      </c>
      <c r="O6298" t="s">
        <v>40437</v>
      </c>
      <c r="P6298">
        <v>0</v>
      </c>
      <c r="Q6298">
        <v>0</v>
      </c>
      <c r="R6298" t="s">
        <v>40443</v>
      </c>
      <c r="S6298" t="s">
        <v>40644</v>
      </c>
      <c r="T6298" t="s">
        <v>42165</v>
      </c>
      <c r="U6298" t="s">
        <v>47936</v>
      </c>
      <c r="V6298" t="s">
        <v>54440</v>
      </c>
      <c r="W6298" t="s">
        <v>37882</v>
      </c>
      <c r="X6298" t="s">
        <v>40444</v>
      </c>
    </row>
    <row r="6299" spans="1:24">
      <c r="A6299">
        <f>HYPERLINK("https://www.philgeps.gov.ph/GEPSNONPILOT/Tender/SplashBidNoticeAbstractUI.aspx?menuIndex=3&amp;refID=7042488&amp;Result=3","7042488")</f>
        <v>0</v>
      </c>
      <c r="B6299" t="s">
        <v>1998</v>
      </c>
      <c r="C6299" t="s">
        <v>9066</v>
      </c>
      <c r="D6299" t="s">
        <v>16210</v>
      </c>
      <c r="E6299" t="s">
        <v>17449</v>
      </c>
      <c r="F6299" t="s">
        <v>28198</v>
      </c>
      <c r="G6299" t="s">
        <v>28207</v>
      </c>
      <c r="H6299" t="s">
        <v>28215</v>
      </c>
      <c r="I6299" t="s">
        <v>4168</v>
      </c>
      <c r="J6299" t="s">
        <v>32303</v>
      </c>
      <c r="K6299" t="s">
        <v>36687</v>
      </c>
      <c r="M6299" t="s">
        <v>39136</v>
      </c>
      <c r="N6299" t="s">
        <v>40436</v>
      </c>
      <c r="O6299" t="s">
        <v>40437</v>
      </c>
      <c r="P6299">
        <v>0</v>
      </c>
      <c r="Q6299">
        <v>15</v>
      </c>
      <c r="R6299" t="s">
        <v>40443</v>
      </c>
      <c r="S6299" t="s">
        <v>40644</v>
      </c>
      <c r="T6299" t="s">
        <v>42185</v>
      </c>
      <c r="U6299" t="s">
        <v>47953</v>
      </c>
      <c r="W6299" t="s">
        <v>39136</v>
      </c>
      <c r="X6299" t="s">
        <v>40444</v>
      </c>
    </row>
    <row r="6300" spans="1:24">
      <c r="A6300">
        <f>HYPERLINK("https://www.philgeps.gov.ph/GEPSNONPILOT/Tender/SplashBidNoticeAbstractUI.aspx?menuIndex=3&amp;refID=7042511&amp;Result=3","7042511")</f>
        <v>0</v>
      </c>
      <c r="B6300" t="s">
        <v>870</v>
      </c>
      <c r="C6300" t="s">
        <v>9067</v>
      </c>
      <c r="D6300" t="s">
        <v>16221</v>
      </c>
      <c r="E6300" t="s">
        <v>21851</v>
      </c>
      <c r="F6300" t="s">
        <v>28198</v>
      </c>
      <c r="G6300" t="s">
        <v>28205</v>
      </c>
      <c r="H6300" t="s">
        <v>28214</v>
      </c>
      <c r="I6300" t="s">
        <v>3797</v>
      </c>
      <c r="J6300" t="s">
        <v>29595</v>
      </c>
      <c r="K6300" t="s">
        <v>36694</v>
      </c>
      <c r="M6300" t="s">
        <v>37882</v>
      </c>
      <c r="N6300" t="s">
        <v>40436</v>
      </c>
      <c r="O6300" t="s">
        <v>40437</v>
      </c>
      <c r="P6300">
        <v>0</v>
      </c>
      <c r="Q6300">
        <v>1</v>
      </c>
      <c r="R6300" t="s">
        <v>40443</v>
      </c>
      <c r="S6300" t="s">
        <v>40644</v>
      </c>
      <c r="T6300" t="s">
        <v>42165</v>
      </c>
      <c r="U6300" t="s">
        <v>47936</v>
      </c>
      <c r="V6300" t="s">
        <v>54440</v>
      </c>
      <c r="W6300" t="s">
        <v>37882</v>
      </c>
      <c r="X6300" t="s">
        <v>40444</v>
      </c>
    </row>
    <row r="6301" spans="1:24">
      <c r="A6301">
        <f>HYPERLINK("https://www.philgeps.gov.ph/GEPSNONPILOT/Tender/SplashBidNoticeAbstractUI.aspx?menuIndex=3&amp;refID=7042515&amp;Result=3","7042515")</f>
        <v>0</v>
      </c>
      <c r="B6301" t="s">
        <v>904</v>
      </c>
      <c r="C6301" t="s">
        <v>9068</v>
      </c>
      <c r="D6301" t="s">
        <v>16233</v>
      </c>
      <c r="E6301" t="s">
        <v>21852</v>
      </c>
      <c r="F6301" t="s">
        <v>28198</v>
      </c>
      <c r="G6301" t="s">
        <v>28207</v>
      </c>
      <c r="H6301" t="s">
        <v>28215</v>
      </c>
      <c r="I6301" t="s">
        <v>28257</v>
      </c>
      <c r="J6301" t="s">
        <v>28345</v>
      </c>
      <c r="K6301" t="s">
        <v>36689</v>
      </c>
      <c r="M6301" t="s">
        <v>38375</v>
      </c>
      <c r="N6301" t="s">
        <v>40436</v>
      </c>
      <c r="O6301" t="s">
        <v>40437</v>
      </c>
      <c r="P6301">
        <v>0</v>
      </c>
      <c r="Q6301">
        <v>0</v>
      </c>
      <c r="R6301" t="s">
        <v>40443</v>
      </c>
      <c r="S6301" t="s">
        <v>40644</v>
      </c>
      <c r="T6301" t="s">
        <v>42205</v>
      </c>
      <c r="U6301" t="s">
        <v>47954</v>
      </c>
      <c r="W6301" t="s">
        <v>38375</v>
      </c>
      <c r="X6301" t="s">
        <v>40444</v>
      </c>
    </row>
    <row r="6302" spans="1:24">
      <c r="A6302">
        <f>HYPERLINK("https://www.philgeps.gov.ph/GEPSNONPILOT/Tender/SplashBidNoticeAbstractUI.aspx?menuIndex=3&amp;refID=7042514&amp;Result=3","7042514")</f>
        <v>0</v>
      </c>
      <c r="B6302" t="s">
        <v>2039</v>
      </c>
      <c r="C6302" t="s">
        <v>9069</v>
      </c>
      <c r="D6302" t="s">
        <v>16199</v>
      </c>
      <c r="E6302" t="s">
        <v>21853</v>
      </c>
      <c r="F6302" t="s">
        <v>28198</v>
      </c>
      <c r="G6302" t="s">
        <v>28207</v>
      </c>
      <c r="H6302" t="s">
        <v>28215</v>
      </c>
      <c r="I6302" t="s">
        <v>4219</v>
      </c>
      <c r="J6302" t="s">
        <v>32304</v>
      </c>
      <c r="K6302" t="s">
        <v>36691</v>
      </c>
      <c r="M6302" t="s">
        <v>39182</v>
      </c>
      <c r="N6302" t="s">
        <v>40436</v>
      </c>
      <c r="O6302" t="s">
        <v>40437</v>
      </c>
      <c r="P6302">
        <v>0</v>
      </c>
      <c r="Q6302">
        <v>1</v>
      </c>
      <c r="R6302" t="s">
        <v>40443</v>
      </c>
      <c r="S6302" t="s">
        <v>40644</v>
      </c>
      <c r="T6302" t="s">
        <v>42385</v>
      </c>
      <c r="U6302" t="s">
        <v>47955</v>
      </c>
      <c r="W6302" t="s">
        <v>39182</v>
      </c>
      <c r="X6302" t="s">
        <v>40444</v>
      </c>
    </row>
    <row r="6303" spans="1:24">
      <c r="A6303">
        <f>HYPERLINK("https://www.philgeps.gov.ph/GEPSNONPILOT/Tender/SplashBidNoticeAbstractUI.aspx?menuIndex=3&amp;refID=7042527&amp;Result=3","7042527")</f>
        <v>0</v>
      </c>
      <c r="B6303" t="s">
        <v>870</v>
      </c>
      <c r="C6303" t="s">
        <v>9070</v>
      </c>
      <c r="D6303" t="s">
        <v>16221</v>
      </c>
      <c r="E6303" t="s">
        <v>21854</v>
      </c>
      <c r="F6303" t="s">
        <v>28198</v>
      </c>
      <c r="G6303" t="s">
        <v>28205</v>
      </c>
      <c r="H6303" t="s">
        <v>28214</v>
      </c>
      <c r="I6303" t="s">
        <v>3797</v>
      </c>
      <c r="J6303" t="s">
        <v>29566</v>
      </c>
      <c r="K6303" t="s">
        <v>36692</v>
      </c>
      <c r="M6303" t="s">
        <v>37882</v>
      </c>
      <c r="N6303" t="s">
        <v>40436</v>
      </c>
      <c r="O6303" t="s">
        <v>40437</v>
      </c>
      <c r="P6303">
        <v>0</v>
      </c>
      <c r="Q6303">
        <v>0</v>
      </c>
      <c r="R6303" t="s">
        <v>40443</v>
      </c>
      <c r="S6303" t="s">
        <v>40644</v>
      </c>
      <c r="T6303" t="s">
        <v>42165</v>
      </c>
      <c r="U6303" t="s">
        <v>47936</v>
      </c>
      <c r="V6303" t="s">
        <v>54440</v>
      </c>
      <c r="W6303" t="s">
        <v>37882</v>
      </c>
      <c r="X6303" t="s">
        <v>40444</v>
      </c>
    </row>
    <row r="6304" spans="1:24">
      <c r="A6304">
        <f>HYPERLINK("https://www.philgeps.gov.ph/GEPSNONPILOT/Tender/SplashBidNoticeAbstractUI.aspx?menuIndex=3&amp;refID=7042570&amp;Result=3","7042570")</f>
        <v>0</v>
      </c>
      <c r="B6304" t="s">
        <v>2041</v>
      </c>
      <c r="C6304" t="s">
        <v>9071</v>
      </c>
      <c r="D6304" t="s">
        <v>16196</v>
      </c>
      <c r="E6304" t="s">
        <v>21855</v>
      </c>
      <c r="F6304" t="s">
        <v>28198</v>
      </c>
      <c r="G6304" t="s">
        <v>28205</v>
      </c>
      <c r="H6304" t="s">
        <v>28214</v>
      </c>
      <c r="I6304" t="s">
        <v>3797</v>
      </c>
      <c r="J6304" t="s">
        <v>32305</v>
      </c>
      <c r="K6304" t="s">
        <v>36839</v>
      </c>
      <c r="M6304" t="s">
        <v>39184</v>
      </c>
      <c r="N6304" t="s">
        <v>40436</v>
      </c>
      <c r="O6304" t="s">
        <v>40437</v>
      </c>
      <c r="P6304">
        <v>0</v>
      </c>
      <c r="Q6304">
        <v>22</v>
      </c>
      <c r="R6304" t="s">
        <v>40443</v>
      </c>
      <c r="S6304" t="s">
        <v>40644</v>
      </c>
      <c r="T6304" t="s">
        <v>42194</v>
      </c>
      <c r="U6304" t="s">
        <v>47956</v>
      </c>
      <c r="W6304" t="s">
        <v>39184</v>
      </c>
      <c r="X6304" t="s">
        <v>40444</v>
      </c>
    </row>
    <row r="6305" spans="1:24">
      <c r="A6305">
        <f>HYPERLINK("https://www.philgeps.gov.ph/GEPSNONPILOT/Tender/SplashBidNoticeAbstractUI.aspx?menuIndex=3&amp;refID=7042566&amp;Result=3","7042566")</f>
        <v>0</v>
      </c>
      <c r="B6305" t="s">
        <v>630</v>
      </c>
      <c r="C6305" t="s">
        <v>9072</v>
      </c>
      <c r="D6305" t="s">
        <v>16200</v>
      </c>
      <c r="E6305" t="s">
        <v>21856</v>
      </c>
      <c r="F6305" t="s">
        <v>28198</v>
      </c>
      <c r="G6305" t="s">
        <v>28205</v>
      </c>
      <c r="H6305" t="s">
        <v>28214</v>
      </c>
      <c r="I6305" t="s">
        <v>3797</v>
      </c>
      <c r="J6305" t="s">
        <v>28351</v>
      </c>
      <c r="K6305" t="s">
        <v>36809</v>
      </c>
      <c r="M6305" t="s">
        <v>39185</v>
      </c>
      <c r="N6305" t="s">
        <v>40436</v>
      </c>
      <c r="O6305" t="s">
        <v>40437</v>
      </c>
      <c r="P6305">
        <v>0</v>
      </c>
      <c r="Q6305">
        <v>1</v>
      </c>
      <c r="R6305" t="s">
        <v>40443</v>
      </c>
      <c r="S6305" t="s">
        <v>40644</v>
      </c>
      <c r="T6305" t="s">
        <v>42113</v>
      </c>
      <c r="U6305" t="s">
        <v>47957</v>
      </c>
      <c r="W6305" t="s">
        <v>39185</v>
      </c>
      <c r="X6305" t="s">
        <v>40444</v>
      </c>
    </row>
    <row r="6306" spans="1:24">
      <c r="A6306">
        <f>HYPERLINK("https://www.philgeps.gov.ph/GEPSNONPILOT/Tender/SplashBidNoticeAbstractUI.aspx?menuIndex=3&amp;refID=7042533&amp;Result=3","7042533")</f>
        <v>0</v>
      </c>
      <c r="B6306" t="s">
        <v>2039</v>
      </c>
      <c r="C6306" t="s">
        <v>9073</v>
      </c>
      <c r="D6306" t="s">
        <v>16199</v>
      </c>
      <c r="E6306" t="s">
        <v>21857</v>
      </c>
      <c r="F6306" t="s">
        <v>28198</v>
      </c>
      <c r="G6306" t="s">
        <v>28207</v>
      </c>
      <c r="H6306" t="s">
        <v>28215</v>
      </c>
      <c r="I6306" t="s">
        <v>28253</v>
      </c>
      <c r="J6306" t="s">
        <v>32306</v>
      </c>
      <c r="K6306" t="s">
        <v>36691</v>
      </c>
      <c r="M6306" t="s">
        <v>39182</v>
      </c>
      <c r="N6306" t="s">
        <v>40436</v>
      </c>
      <c r="O6306" t="s">
        <v>40437</v>
      </c>
      <c r="P6306">
        <v>0</v>
      </c>
      <c r="Q6306">
        <v>13</v>
      </c>
      <c r="R6306" t="s">
        <v>40443</v>
      </c>
      <c r="S6306" t="s">
        <v>40644</v>
      </c>
      <c r="T6306" t="s">
        <v>42385</v>
      </c>
      <c r="U6306" t="s">
        <v>47958</v>
      </c>
      <c r="W6306" t="s">
        <v>39182</v>
      </c>
      <c r="X6306" t="s">
        <v>40444</v>
      </c>
    </row>
    <row r="6307" spans="1:24">
      <c r="A6307">
        <f>HYPERLINK("https://www.philgeps.gov.ph/GEPSNONPILOT/Tender/SplashBidNoticeAbstractUI.aspx?menuIndex=3&amp;refID=7042524&amp;Result=3","7042524")</f>
        <v>0</v>
      </c>
      <c r="B6307" t="s">
        <v>630</v>
      </c>
      <c r="C6307" t="s">
        <v>9074</v>
      </c>
      <c r="D6307" t="s">
        <v>16200</v>
      </c>
      <c r="E6307" t="s">
        <v>21858</v>
      </c>
      <c r="F6307" t="s">
        <v>28198</v>
      </c>
      <c r="G6307" t="s">
        <v>28205</v>
      </c>
      <c r="H6307" t="s">
        <v>28214</v>
      </c>
      <c r="I6307" t="s">
        <v>3797</v>
      </c>
      <c r="J6307" t="s">
        <v>32307</v>
      </c>
      <c r="K6307" t="s">
        <v>36736</v>
      </c>
      <c r="M6307" t="s">
        <v>39185</v>
      </c>
      <c r="N6307" t="s">
        <v>40436</v>
      </c>
      <c r="O6307" t="s">
        <v>40437</v>
      </c>
      <c r="P6307">
        <v>0</v>
      </c>
      <c r="Q6307">
        <v>0</v>
      </c>
      <c r="R6307" t="s">
        <v>40443</v>
      </c>
      <c r="S6307" t="s">
        <v>40644</v>
      </c>
      <c r="T6307" t="s">
        <v>42113</v>
      </c>
      <c r="U6307" t="s">
        <v>47959</v>
      </c>
      <c r="W6307" t="s">
        <v>39185</v>
      </c>
      <c r="X6307" t="s">
        <v>40444</v>
      </c>
    </row>
    <row r="6308" spans="1:24">
      <c r="A6308">
        <f>HYPERLINK("https://www.philgeps.gov.ph/GEPSNONPILOT/Tender/SplashBidNoticeAbstractUI.aspx?menuIndex=3&amp;refID=7042569&amp;Result=3","7042569")</f>
        <v>0</v>
      </c>
      <c r="B6308" t="s">
        <v>870</v>
      </c>
      <c r="C6308" t="s">
        <v>9075</v>
      </c>
      <c r="D6308" t="s">
        <v>16221</v>
      </c>
      <c r="E6308" t="s">
        <v>21859</v>
      </c>
      <c r="F6308" t="s">
        <v>28198</v>
      </c>
      <c r="G6308" t="s">
        <v>28205</v>
      </c>
      <c r="H6308" t="s">
        <v>28214</v>
      </c>
      <c r="I6308" t="s">
        <v>3797</v>
      </c>
      <c r="J6308" t="s">
        <v>32308</v>
      </c>
      <c r="K6308" t="s">
        <v>36692</v>
      </c>
      <c r="M6308" t="s">
        <v>37882</v>
      </c>
      <c r="N6308" t="s">
        <v>40436</v>
      </c>
      <c r="O6308" t="s">
        <v>40437</v>
      </c>
      <c r="P6308">
        <v>0</v>
      </c>
      <c r="Q6308">
        <v>3</v>
      </c>
      <c r="R6308" t="s">
        <v>40443</v>
      </c>
      <c r="S6308" t="s">
        <v>40644</v>
      </c>
      <c r="T6308" t="s">
        <v>42165</v>
      </c>
      <c r="U6308" t="s">
        <v>47936</v>
      </c>
      <c r="V6308" t="s">
        <v>54440</v>
      </c>
      <c r="W6308" t="s">
        <v>37882</v>
      </c>
      <c r="X6308" t="s">
        <v>40444</v>
      </c>
    </row>
    <row r="6309" spans="1:24">
      <c r="A6309">
        <f>HYPERLINK("https://www.philgeps.gov.ph/GEPSNONPILOT/Tender/SplashBidNoticeAbstractUI.aspx?menuIndex=3&amp;refID=7042564&amp;Result=3","7042564")</f>
        <v>0</v>
      </c>
      <c r="B6309" t="s">
        <v>2016</v>
      </c>
      <c r="C6309" t="s">
        <v>9076</v>
      </c>
      <c r="D6309" t="s">
        <v>16207</v>
      </c>
      <c r="E6309" t="s">
        <v>21860</v>
      </c>
      <c r="F6309" t="s">
        <v>28200</v>
      </c>
      <c r="G6309" t="s">
        <v>28207</v>
      </c>
      <c r="H6309" t="s">
        <v>28215</v>
      </c>
      <c r="I6309" t="s">
        <v>5100</v>
      </c>
      <c r="J6309" t="s">
        <v>32309</v>
      </c>
      <c r="K6309" t="s">
        <v>36688</v>
      </c>
      <c r="M6309" t="s">
        <v>39156</v>
      </c>
      <c r="N6309" t="s">
        <v>40436</v>
      </c>
      <c r="O6309" t="s">
        <v>40437</v>
      </c>
      <c r="P6309">
        <v>0</v>
      </c>
      <c r="Q6309">
        <v>0</v>
      </c>
      <c r="R6309" t="s">
        <v>40443</v>
      </c>
      <c r="S6309" t="s">
        <v>40644</v>
      </c>
      <c r="T6309" t="s">
        <v>42326</v>
      </c>
      <c r="U6309" t="s">
        <v>47960</v>
      </c>
      <c r="W6309" t="s">
        <v>39156</v>
      </c>
      <c r="X6309" t="s">
        <v>40444</v>
      </c>
    </row>
    <row r="6310" spans="1:24">
      <c r="A6310">
        <f>HYPERLINK("https://www.philgeps.gov.ph/GEPSNONPILOT/Tender/SplashBidNoticeAbstractUI.aspx?menuIndex=3&amp;refID=7042557&amp;Result=3","7042557")</f>
        <v>0</v>
      </c>
      <c r="B6310" t="s">
        <v>892</v>
      </c>
      <c r="C6310" t="s">
        <v>9077</v>
      </c>
      <c r="D6310" t="s">
        <v>16195</v>
      </c>
      <c r="E6310" t="s">
        <v>21861</v>
      </c>
      <c r="F6310" t="s">
        <v>28198</v>
      </c>
      <c r="G6310" t="s">
        <v>28210</v>
      </c>
      <c r="H6310" t="s">
        <v>28215</v>
      </c>
      <c r="I6310" t="s">
        <v>4200</v>
      </c>
      <c r="J6310" t="s">
        <v>32310</v>
      </c>
      <c r="K6310" t="s">
        <v>36688</v>
      </c>
      <c r="M6310" t="s">
        <v>37908</v>
      </c>
      <c r="N6310" t="s">
        <v>40436</v>
      </c>
      <c r="O6310" t="s">
        <v>40437</v>
      </c>
      <c r="P6310">
        <v>0</v>
      </c>
      <c r="Q6310">
        <v>2</v>
      </c>
      <c r="R6310" t="s">
        <v>40443</v>
      </c>
      <c r="S6310" t="s">
        <v>40644</v>
      </c>
      <c r="T6310" t="s">
        <v>42184</v>
      </c>
      <c r="U6310" t="s">
        <v>47961</v>
      </c>
      <c r="W6310" t="s">
        <v>37908</v>
      </c>
      <c r="X6310" t="s">
        <v>40444</v>
      </c>
    </row>
    <row r="6311" spans="1:24">
      <c r="A6311">
        <f>HYPERLINK("https://www.philgeps.gov.ph/GEPSNONPILOT/Tender/SplashBidNoticeAbstractUI.aspx?menuIndex=3&amp;refID=7042563&amp;Result=3","7042563")</f>
        <v>0</v>
      </c>
      <c r="B6311" t="s">
        <v>2042</v>
      </c>
      <c r="C6311" t="s">
        <v>9078</v>
      </c>
      <c r="D6311" t="s">
        <v>16260</v>
      </c>
      <c r="E6311" t="s">
        <v>21862</v>
      </c>
      <c r="F6311" t="s">
        <v>28198</v>
      </c>
      <c r="G6311" t="s">
        <v>28205</v>
      </c>
      <c r="H6311" t="s">
        <v>28217</v>
      </c>
      <c r="I6311" t="s">
        <v>28268</v>
      </c>
      <c r="J6311" t="s">
        <v>28363</v>
      </c>
      <c r="K6311" t="s">
        <v>36701</v>
      </c>
      <c r="M6311" t="s">
        <v>39186</v>
      </c>
      <c r="N6311" t="s">
        <v>40436</v>
      </c>
      <c r="O6311" t="s">
        <v>40437</v>
      </c>
      <c r="Q6311">
        <v>0</v>
      </c>
      <c r="R6311" t="s">
        <v>40443</v>
      </c>
      <c r="S6311" t="s">
        <v>40660</v>
      </c>
      <c r="T6311" t="s">
        <v>42317</v>
      </c>
      <c r="U6311" t="s">
        <v>47962</v>
      </c>
      <c r="W6311" t="s">
        <v>39186</v>
      </c>
      <c r="X6311" t="s">
        <v>40444</v>
      </c>
    </row>
    <row r="6312" spans="1:24">
      <c r="A6312">
        <f>HYPERLINK("https://www.philgeps.gov.ph/GEPSNONPILOT/Tender/SplashBidNoticeAbstractUI.aspx?menuIndex=3&amp;refID=7042552&amp;Result=3","7042552")</f>
        <v>0</v>
      </c>
      <c r="B6312" t="s">
        <v>2043</v>
      </c>
      <c r="C6312" t="s">
        <v>9079</v>
      </c>
      <c r="D6312" t="s">
        <v>16228</v>
      </c>
      <c r="E6312" t="s">
        <v>21863</v>
      </c>
      <c r="F6312" t="s">
        <v>28198</v>
      </c>
      <c r="G6312" t="s">
        <v>28207</v>
      </c>
      <c r="H6312" t="s">
        <v>28215</v>
      </c>
      <c r="I6312" t="s">
        <v>28229</v>
      </c>
      <c r="J6312" t="s">
        <v>28352</v>
      </c>
      <c r="K6312" t="s">
        <v>36688</v>
      </c>
      <c r="M6312" t="s">
        <v>39187</v>
      </c>
      <c r="N6312" t="s">
        <v>40436</v>
      </c>
      <c r="O6312" t="s">
        <v>40437</v>
      </c>
      <c r="P6312">
        <v>0</v>
      </c>
      <c r="Q6312">
        <v>1</v>
      </c>
      <c r="R6312" t="s">
        <v>40443</v>
      </c>
      <c r="S6312" t="s">
        <v>40644</v>
      </c>
      <c r="T6312" t="s">
        <v>42131</v>
      </c>
      <c r="U6312" t="s">
        <v>47963</v>
      </c>
      <c r="W6312" t="s">
        <v>39187</v>
      </c>
      <c r="X6312" t="s">
        <v>40444</v>
      </c>
    </row>
    <row r="6313" spans="1:24">
      <c r="A6313">
        <f>HYPERLINK("https://www.philgeps.gov.ph/GEPSNONPILOT/Tender/SplashBidNoticeAbstractUI.aspx?menuIndex=3&amp;refID=7042555&amp;Result=3","7042555")</f>
        <v>0</v>
      </c>
      <c r="B6313" t="s">
        <v>1937</v>
      </c>
      <c r="C6313" t="s">
        <v>9080</v>
      </c>
      <c r="D6313" t="s">
        <v>16227</v>
      </c>
      <c r="E6313" t="s">
        <v>21864</v>
      </c>
      <c r="F6313" t="s">
        <v>28198</v>
      </c>
      <c r="G6313" t="s">
        <v>28207</v>
      </c>
      <c r="H6313" t="s">
        <v>28215</v>
      </c>
      <c r="I6313" t="s">
        <v>5071</v>
      </c>
      <c r="J6313" t="s">
        <v>30314</v>
      </c>
      <c r="K6313" t="s">
        <v>36701</v>
      </c>
      <c r="M6313" t="s">
        <v>39071</v>
      </c>
      <c r="N6313" t="s">
        <v>40436</v>
      </c>
      <c r="O6313" t="s">
        <v>40437</v>
      </c>
      <c r="P6313">
        <v>0</v>
      </c>
      <c r="Q6313">
        <v>11</v>
      </c>
      <c r="R6313" t="s">
        <v>40443</v>
      </c>
      <c r="S6313" t="s">
        <v>40644</v>
      </c>
      <c r="T6313" t="s">
        <v>42277</v>
      </c>
      <c r="U6313" t="s">
        <v>47964</v>
      </c>
      <c r="W6313" t="s">
        <v>39071</v>
      </c>
      <c r="X6313" t="s">
        <v>40444</v>
      </c>
    </row>
    <row r="6314" spans="1:24">
      <c r="A6314">
        <f>HYPERLINK("https://www.philgeps.gov.ph/GEPSNONPILOT/Tender/SplashBidNoticeAbstractUI.aspx?menuIndex=3&amp;refID=7042550&amp;Result=3","7042550")</f>
        <v>0</v>
      </c>
      <c r="B6314" t="s">
        <v>2044</v>
      </c>
      <c r="C6314" t="s">
        <v>9081</v>
      </c>
      <c r="D6314" t="s">
        <v>16204</v>
      </c>
      <c r="E6314" t="s">
        <v>17062</v>
      </c>
      <c r="F6314" t="s">
        <v>28198</v>
      </c>
      <c r="G6314" t="s">
        <v>28207</v>
      </c>
      <c r="H6314" t="s">
        <v>28215</v>
      </c>
      <c r="I6314" t="s">
        <v>28234</v>
      </c>
      <c r="J6314" t="s">
        <v>29753</v>
      </c>
      <c r="K6314" t="s">
        <v>36694</v>
      </c>
      <c r="M6314" t="s">
        <v>39188</v>
      </c>
      <c r="N6314" t="s">
        <v>40436</v>
      </c>
      <c r="O6314" t="s">
        <v>40437</v>
      </c>
      <c r="P6314">
        <v>0</v>
      </c>
      <c r="Q6314">
        <v>6</v>
      </c>
      <c r="R6314" t="s">
        <v>40443</v>
      </c>
      <c r="S6314" t="s">
        <v>40644</v>
      </c>
      <c r="T6314" t="s">
        <v>42447</v>
      </c>
      <c r="U6314" t="s">
        <v>47965</v>
      </c>
      <c r="W6314" t="s">
        <v>39188</v>
      </c>
      <c r="X6314" t="s">
        <v>40444</v>
      </c>
    </row>
    <row r="6315" spans="1:24">
      <c r="A6315">
        <f>HYPERLINK("https://www.philgeps.gov.ph/GEPSNONPILOT/Tender/SplashBidNoticeAbstractUI.aspx?menuIndex=3&amp;refID=7042542&amp;Result=3","7042542")</f>
        <v>0</v>
      </c>
      <c r="B6315" t="s">
        <v>437</v>
      </c>
      <c r="C6315" t="s">
        <v>9082</v>
      </c>
      <c r="D6315" t="s">
        <v>16209</v>
      </c>
      <c r="E6315" t="s">
        <v>21865</v>
      </c>
      <c r="F6315" t="s">
        <v>28198</v>
      </c>
      <c r="G6315" t="s">
        <v>28205</v>
      </c>
      <c r="H6315" t="s">
        <v>28215</v>
      </c>
      <c r="I6315" t="s">
        <v>28225</v>
      </c>
      <c r="J6315" t="s">
        <v>32311</v>
      </c>
      <c r="K6315" t="s">
        <v>36701</v>
      </c>
      <c r="L6315" t="s">
        <v>437</v>
      </c>
      <c r="M6315" t="s">
        <v>37421</v>
      </c>
      <c r="N6315" t="s">
        <v>40436</v>
      </c>
      <c r="O6315" t="s">
        <v>40437</v>
      </c>
      <c r="P6315">
        <v>0</v>
      </c>
      <c r="Q6315">
        <v>1</v>
      </c>
      <c r="R6315" t="s">
        <v>40443</v>
      </c>
      <c r="S6315" t="s">
        <v>40644</v>
      </c>
      <c r="T6315" t="s">
        <v>42136</v>
      </c>
      <c r="U6315" t="s">
        <v>47966</v>
      </c>
      <c r="V6315" t="s">
        <v>54445</v>
      </c>
      <c r="W6315" t="s">
        <v>37421</v>
      </c>
      <c r="X6315" t="s">
        <v>40444</v>
      </c>
    </row>
    <row r="6316" spans="1:24">
      <c r="A6316">
        <f>HYPERLINK("https://www.philgeps.gov.ph/GEPSNONPILOT/Tender/SplashBidNoticeAbstractUI.aspx?menuIndex=3&amp;refID=7042559&amp;Result=3","7042559")</f>
        <v>0</v>
      </c>
      <c r="B6316" t="s">
        <v>870</v>
      </c>
      <c r="C6316" t="s">
        <v>9083</v>
      </c>
      <c r="D6316" t="s">
        <v>16221</v>
      </c>
      <c r="E6316" t="s">
        <v>21866</v>
      </c>
      <c r="F6316" t="s">
        <v>28198</v>
      </c>
      <c r="G6316" t="s">
        <v>28205</v>
      </c>
      <c r="H6316" t="s">
        <v>28214</v>
      </c>
      <c r="I6316" t="s">
        <v>3797</v>
      </c>
      <c r="J6316" t="s">
        <v>29679</v>
      </c>
      <c r="K6316" t="s">
        <v>36692</v>
      </c>
      <c r="M6316" t="s">
        <v>37882</v>
      </c>
      <c r="N6316" t="s">
        <v>40436</v>
      </c>
      <c r="O6316" t="s">
        <v>40437</v>
      </c>
      <c r="P6316">
        <v>0</v>
      </c>
      <c r="Q6316">
        <v>2</v>
      </c>
      <c r="R6316" t="s">
        <v>40443</v>
      </c>
      <c r="S6316" t="s">
        <v>40644</v>
      </c>
      <c r="T6316" t="s">
        <v>42165</v>
      </c>
      <c r="U6316" t="s">
        <v>47936</v>
      </c>
      <c r="V6316" t="s">
        <v>54440</v>
      </c>
      <c r="W6316" t="s">
        <v>37882</v>
      </c>
      <c r="X6316" t="s">
        <v>40444</v>
      </c>
    </row>
    <row r="6317" spans="1:24">
      <c r="A6317">
        <f>HYPERLINK("https://www.philgeps.gov.ph/GEPSNONPILOT/Tender/SplashBidNoticeAbstractUI.aspx?menuIndex=3&amp;refID=7042572&amp;Result=3","7042572")</f>
        <v>0</v>
      </c>
      <c r="B6317" t="s">
        <v>892</v>
      </c>
      <c r="C6317" t="s">
        <v>9084</v>
      </c>
      <c r="D6317" t="s">
        <v>16195</v>
      </c>
      <c r="E6317" t="s">
        <v>21867</v>
      </c>
      <c r="F6317" t="s">
        <v>28198</v>
      </c>
      <c r="G6317" t="s">
        <v>28210</v>
      </c>
      <c r="H6317" t="s">
        <v>28215</v>
      </c>
      <c r="I6317" t="s">
        <v>4200</v>
      </c>
      <c r="J6317" t="s">
        <v>29792</v>
      </c>
      <c r="K6317" t="s">
        <v>36688</v>
      </c>
      <c r="M6317" t="s">
        <v>37908</v>
      </c>
      <c r="N6317" t="s">
        <v>40436</v>
      </c>
      <c r="O6317" t="s">
        <v>40437</v>
      </c>
      <c r="P6317">
        <v>0</v>
      </c>
      <c r="Q6317">
        <v>1</v>
      </c>
      <c r="R6317" t="s">
        <v>40443</v>
      </c>
      <c r="S6317" t="s">
        <v>40644</v>
      </c>
      <c r="T6317" t="s">
        <v>42184</v>
      </c>
      <c r="U6317" t="s">
        <v>47961</v>
      </c>
      <c r="W6317" t="s">
        <v>37908</v>
      </c>
      <c r="X6317" t="s">
        <v>40444</v>
      </c>
    </row>
    <row r="6318" spans="1:24">
      <c r="A6318">
        <f>HYPERLINK("https://www.philgeps.gov.ph/GEPSNONPILOT/Tender/SplashBidNoticeAbstractUI.aspx?menuIndex=3&amp;refID=7042520&amp;Result=3","7042520")</f>
        <v>0</v>
      </c>
      <c r="B6318" t="s">
        <v>1975</v>
      </c>
      <c r="C6318" t="s">
        <v>9085</v>
      </c>
      <c r="D6318" t="s">
        <v>16227</v>
      </c>
      <c r="E6318" t="s">
        <v>21868</v>
      </c>
      <c r="F6318" t="s">
        <v>28198</v>
      </c>
      <c r="G6318" t="s">
        <v>28207</v>
      </c>
      <c r="H6318" t="s">
        <v>28215</v>
      </c>
      <c r="I6318" t="s">
        <v>6051</v>
      </c>
      <c r="J6318" t="s">
        <v>32312</v>
      </c>
      <c r="K6318" t="s">
        <v>36689</v>
      </c>
      <c r="M6318" t="s">
        <v>39189</v>
      </c>
      <c r="N6318" t="s">
        <v>40436</v>
      </c>
      <c r="O6318" t="s">
        <v>40437</v>
      </c>
      <c r="P6318">
        <v>0</v>
      </c>
      <c r="Q6318">
        <v>4</v>
      </c>
      <c r="R6318" t="s">
        <v>40443</v>
      </c>
      <c r="S6318" t="s">
        <v>40644</v>
      </c>
      <c r="T6318" t="s">
        <v>42233</v>
      </c>
      <c r="U6318" t="s">
        <v>47967</v>
      </c>
      <c r="V6318" t="s">
        <v>54446</v>
      </c>
      <c r="W6318" t="s">
        <v>39189</v>
      </c>
      <c r="X6318" t="s">
        <v>40444</v>
      </c>
    </row>
    <row r="6319" spans="1:24">
      <c r="A6319">
        <f>HYPERLINK("https://www.philgeps.gov.ph/GEPSNONPILOT/Tender/SplashBidNoticeAbstractUI.aspx?menuIndex=3&amp;refID=7042587&amp;Result=3","7042587")</f>
        <v>0</v>
      </c>
      <c r="B6319" t="s">
        <v>2041</v>
      </c>
      <c r="C6319" t="s">
        <v>9086</v>
      </c>
      <c r="D6319" t="s">
        <v>16196</v>
      </c>
      <c r="E6319" t="s">
        <v>21869</v>
      </c>
      <c r="F6319" t="s">
        <v>28198</v>
      </c>
      <c r="G6319" t="s">
        <v>28205</v>
      </c>
      <c r="H6319" t="s">
        <v>28214</v>
      </c>
      <c r="I6319" t="s">
        <v>3797</v>
      </c>
      <c r="J6319" t="s">
        <v>29546</v>
      </c>
      <c r="K6319" t="s">
        <v>36839</v>
      </c>
      <c r="M6319" t="s">
        <v>39184</v>
      </c>
      <c r="N6319" t="s">
        <v>40436</v>
      </c>
      <c r="O6319" t="s">
        <v>40437</v>
      </c>
      <c r="P6319">
        <v>0</v>
      </c>
      <c r="Q6319">
        <v>29</v>
      </c>
      <c r="R6319" t="s">
        <v>40443</v>
      </c>
      <c r="S6319" t="s">
        <v>40644</v>
      </c>
      <c r="T6319" t="s">
        <v>42194</v>
      </c>
      <c r="U6319" t="s">
        <v>47968</v>
      </c>
      <c r="W6319" t="s">
        <v>39184</v>
      </c>
      <c r="X6319" t="s">
        <v>40444</v>
      </c>
    </row>
    <row r="6320" spans="1:24">
      <c r="A6320">
        <f>HYPERLINK("https://www.philgeps.gov.ph/GEPSNONPILOT/Tender/SplashBidNoticeAbstractUI.aspx?menuIndex=3&amp;refID=7042589&amp;Result=3","7042589")</f>
        <v>0</v>
      </c>
      <c r="B6320" t="s">
        <v>1898</v>
      </c>
      <c r="C6320" t="s">
        <v>9087</v>
      </c>
      <c r="D6320" t="s">
        <v>16230</v>
      </c>
      <c r="E6320" t="s">
        <v>21870</v>
      </c>
      <c r="F6320" t="s">
        <v>28198</v>
      </c>
      <c r="G6320" t="s">
        <v>28205</v>
      </c>
      <c r="H6320" t="s">
        <v>28215</v>
      </c>
      <c r="I6320" t="s">
        <v>28290</v>
      </c>
      <c r="J6320" t="s">
        <v>32313</v>
      </c>
      <c r="K6320" t="s">
        <v>36701</v>
      </c>
      <c r="M6320" t="s">
        <v>39030</v>
      </c>
      <c r="N6320" t="s">
        <v>40436</v>
      </c>
      <c r="O6320" t="s">
        <v>40437</v>
      </c>
      <c r="P6320">
        <v>0</v>
      </c>
      <c r="Q6320">
        <v>2</v>
      </c>
      <c r="R6320" t="s">
        <v>40443</v>
      </c>
      <c r="S6320" t="s">
        <v>40644</v>
      </c>
      <c r="T6320" t="s">
        <v>42165</v>
      </c>
      <c r="U6320" t="s">
        <v>47969</v>
      </c>
      <c r="W6320" t="s">
        <v>39030</v>
      </c>
      <c r="X6320" t="s">
        <v>40444</v>
      </c>
    </row>
    <row r="6321" spans="1:24">
      <c r="A6321">
        <f>HYPERLINK("https://www.philgeps.gov.ph/GEPSNONPILOT/Tender/SplashBidNoticeAbstractUI.aspx?menuIndex=3&amp;refID=7042517&amp;Result=3","7042517")</f>
        <v>0</v>
      </c>
      <c r="B6321" t="s">
        <v>2045</v>
      </c>
      <c r="C6321" t="s">
        <v>9088</v>
      </c>
      <c r="D6321" t="s">
        <v>16195</v>
      </c>
      <c r="E6321" t="s">
        <v>16639</v>
      </c>
      <c r="F6321" t="s">
        <v>28200</v>
      </c>
      <c r="G6321" t="s">
        <v>28206</v>
      </c>
      <c r="H6321" t="s">
        <v>28215</v>
      </c>
      <c r="I6321" t="s">
        <v>5082</v>
      </c>
      <c r="J6321" t="s">
        <v>32314</v>
      </c>
      <c r="K6321" t="s">
        <v>36688</v>
      </c>
      <c r="M6321" t="s">
        <v>39190</v>
      </c>
      <c r="N6321" t="s">
        <v>40436</v>
      </c>
      <c r="O6321" t="s">
        <v>40437</v>
      </c>
      <c r="P6321">
        <v>0</v>
      </c>
      <c r="Q6321">
        <v>1</v>
      </c>
      <c r="R6321" t="s">
        <v>40443</v>
      </c>
      <c r="S6321" t="s">
        <v>40644</v>
      </c>
      <c r="T6321" t="s">
        <v>42245</v>
      </c>
      <c r="U6321" t="s">
        <v>47970</v>
      </c>
      <c r="W6321" t="s">
        <v>39190</v>
      </c>
      <c r="X6321" t="s">
        <v>40444</v>
      </c>
    </row>
    <row r="6322" spans="1:24">
      <c r="A6322">
        <f>HYPERLINK("https://www.philgeps.gov.ph/GEPSNONPILOT/Tender/SplashBidNoticeAbstractUI.aspx?menuIndex=3&amp;refID=7042578&amp;Result=3","7042578")</f>
        <v>0</v>
      </c>
      <c r="B6322" t="s">
        <v>1306</v>
      </c>
      <c r="C6322" t="s">
        <v>9089</v>
      </c>
      <c r="D6322" t="s">
        <v>16227</v>
      </c>
      <c r="E6322" t="s">
        <v>21871</v>
      </c>
      <c r="F6322" t="s">
        <v>28198</v>
      </c>
      <c r="G6322" t="s">
        <v>28205</v>
      </c>
      <c r="H6322" t="s">
        <v>28214</v>
      </c>
      <c r="I6322" t="s">
        <v>3797</v>
      </c>
      <c r="J6322" t="s">
        <v>32315</v>
      </c>
      <c r="K6322" t="s">
        <v>36694</v>
      </c>
      <c r="M6322" t="s">
        <v>38360</v>
      </c>
      <c r="N6322" t="s">
        <v>40436</v>
      </c>
      <c r="O6322" t="s">
        <v>40437</v>
      </c>
      <c r="P6322">
        <v>0</v>
      </c>
      <c r="Q6322">
        <v>0</v>
      </c>
      <c r="R6322" t="s">
        <v>40443</v>
      </c>
      <c r="S6322" t="s">
        <v>40644</v>
      </c>
      <c r="T6322" t="s">
        <v>42176</v>
      </c>
      <c r="U6322" t="s">
        <v>47971</v>
      </c>
      <c r="W6322" t="s">
        <v>38360</v>
      </c>
      <c r="X6322" t="s">
        <v>40444</v>
      </c>
    </row>
    <row r="6323" spans="1:24">
      <c r="A6323">
        <f>HYPERLINK("https://www.philgeps.gov.ph/GEPSNONPILOT/Tender/SplashBidNoticeAbstractUI.aspx?menuIndex=3&amp;refID=7042574&amp;Result=3","7042574")</f>
        <v>0</v>
      </c>
      <c r="B6323" t="s">
        <v>1214</v>
      </c>
      <c r="C6323" t="s">
        <v>9090</v>
      </c>
      <c r="D6323" t="s">
        <v>16187</v>
      </c>
      <c r="E6323" t="s">
        <v>21872</v>
      </c>
      <c r="F6323" t="s">
        <v>28198</v>
      </c>
      <c r="G6323" t="s">
        <v>28207</v>
      </c>
      <c r="H6323" t="s">
        <v>28215</v>
      </c>
      <c r="I6323" t="s">
        <v>5791</v>
      </c>
      <c r="J6323" t="s">
        <v>28699</v>
      </c>
      <c r="K6323" t="s">
        <v>36689</v>
      </c>
      <c r="M6323" t="s">
        <v>39191</v>
      </c>
      <c r="N6323" t="s">
        <v>40436</v>
      </c>
      <c r="O6323" t="s">
        <v>40437</v>
      </c>
      <c r="P6323">
        <v>0</v>
      </c>
      <c r="Q6323">
        <v>0</v>
      </c>
      <c r="R6323" t="s">
        <v>40443</v>
      </c>
      <c r="S6323" t="s">
        <v>40644</v>
      </c>
      <c r="T6323" t="s">
        <v>42131</v>
      </c>
      <c r="U6323" t="s">
        <v>47972</v>
      </c>
      <c r="W6323" t="s">
        <v>39191</v>
      </c>
      <c r="X6323" t="s">
        <v>40444</v>
      </c>
    </row>
    <row r="6324" spans="1:24">
      <c r="A6324">
        <f>HYPERLINK("https://www.philgeps.gov.ph/GEPSNONPILOT/Tender/SplashBidNoticeAbstractUI.aspx?menuIndex=3&amp;refID=7042519&amp;Result=3","7042519")</f>
        <v>0</v>
      </c>
      <c r="B6324" t="s">
        <v>2040</v>
      </c>
      <c r="C6324" t="s">
        <v>9091</v>
      </c>
      <c r="D6324" t="s">
        <v>16219</v>
      </c>
      <c r="E6324" t="s">
        <v>21873</v>
      </c>
      <c r="F6324" t="s">
        <v>28198</v>
      </c>
      <c r="G6324" t="s">
        <v>28205</v>
      </c>
      <c r="H6324" t="s">
        <v>28214</v>
      </c>
      <c r="I6324" t="s">
        <v>3797</v>
      </c>
      <c r="J6324" t="s">
        <v>32316</v>
      </c>
      <c r="K6324" t="s">
        <v>36708</v>
      </c>
      <c r="M6324" t="s">
        <v>39183</v>
      </c>
      <c r="N6324" t="s">
        <v>40436</v>
      </c>
      <c r="O6324" t="s">
        <v>40437</v>
      </c>
      <c r="P6324">
        <v>0</v>
      </c>
      <c r="Q6324">
        <v>1</v>
      </c>
      <c r="R6324" t="s">
        <v>40443</v>
      </c>
      <c r="S6324" t="s">
        <v>40644</v>
      </c>
      <c r="T6324" t="s">
        <v>42135</v>
      </c>
      <c r="U6324" t="s">
        <v>47973</v>
      </c>
      <c r="W6324" t="s">
        <v>39183</v>
      </c>
      <c r="X6324" t="s">
        <v>40444</v>
      </c>
    </row>
    <row r="6325" spans="1:24">
      <c r="A6325">
        <f>HYPERLINK("https://www.philgeps.gov.ph/GEPSNONPILOT/Tender/SplashBidNoticeAbstractUI.aspx?menuIndex=3&amp;refID=7042583&amp;Result=3","7042583")</f>
        <v>0</v>
      </c>
      <c r="B6325" t="s">
        <v>1268</v>
      </c>
      <c r="C6325" t="s">
        <v>9092</v>
      </c>
      <c r="D6325" t="s">
        <v>16228</v>
      </c>
      <c r="E6325" t="s">
        <v>21874</v>
      </c>
      <c r="F6325" t="s">
        <v>28198</v>
      </c>
      <c r="G6325" t="s">
        <v>28207</v>
      </c>
      <c r="H6325" t="s">
        <v>28215</v>
      </c>
      <c r="I6325" t="s">
        <v>4219</v>
      </c>
      <c r="J6325" t="s">
        <v>32317</v>
      </c>
      <c r="K6325" t="s">
        <v>36707</v>
      </c>
      <c r="M6325" t="s">
        <v>38318</v>
      </c>
      <c r="N6325" t="s">
        <v>40436</v>
      </c>
      <c r="O6325" t="s">
        <v>40437</v>
      </c>
      <c r="P6325">
        <v>0</v>
      </c>
      <c r="Q6325">
        <v>3</v>
      </c>
      <c r="R6325" t="s">
        <v>40443</v>
      </c>
      <c r="S6325" t="s">
        <v>40644</v>
      </c>
      <c r="T6325" t="s">
        <v>42184</v>
      </c>
      <c r="U6325" t="s">
        <v>47974</v>
      </c>
      <c r="W6325" t="s">
        <v>38318</v>
      </c>
      <c r="X6325" t="s">
        <v>40444</v>
      </c>
    </row>
    <row r="6326" spans="1:24">
      <c r="A6326">
        <f>HYPERLINK("https://www.philgeps.gov.ph/GEPSNONPILOT/Tender/SplashBidNoticeAbstractUI.aspx?menuIndex=3&amp;refID=7042581&amp;Result=3","7042581")</f>
        <v>0</v>
      </c>
      <c r="B6326" t="s">
        <v>351</v>
      </c>
      <c r="C6326" t="s">
        <v>9093</v>
      </c>
      <c r="D6326" t="s">
        <v>16258</v>
      </c>
      <c r="E6326" t="s">
        <v>21875</v>
      </c>
      <c r="F6326" t="s">
        <v>28198</v>
      </c>
      <c r="G6326" t="s">
        <v>28205</v>
      </c>
      <c r="H6326" t="s">
        <v>28215</v>
      </c>
      <c r="I6326" t="s">
        <v>5100</v>
      </c>
      <c r="J6326" t="s">
        <v>32318</v>
      </c>
      <c r="K6326" t="s">
        <v>36706</v>
      </c>
      <c r="M6326" t="s">
        <v>37330</v>
      </c>
      <c r="N6326" t="s">
        <v>40436</v>
      </c>
      <c r="O6326" t="s">
        <v>40437</v>
      </c>
      <c r="P6326">
        <v>0</v>
      </c>
      <c r="Q6326">
        <v>0</v>
      </c>
      <c r="R6326" t="s">
        <v>40443</v>
      </c>
      <c r="S6326" t="s">
        <v>40644</v>
      </c>
      <c r="T6326" t="s">
        <v>42136</v>
      </c>
      <c r="U6326" t="s">
        <v>47975</v>
      </c>
      <c r="W6326" t="s">
        <v>37330</v>
      </c>
      <c r="X6326" t="s">
        <v>40444</v>
      </c>
    </row>
    <row r="6327" spans="1:24">
      <c r="A6327">
        <f>HYPERLINK("https://www.philgeps.gov.ph/GEPSNONPILOT/Tender/SplashBidNoticeAbstractUI.aspx?menuIndex=3&amp;refID=7042621&amp;Result=3","7042621")</f>
        <v>0</v>
      </c>
      <c r="B6327" t="s">
        <v>1268</v>
      </c>
      <c r="C6327" t="s">
        <v>9094</v>
      </c>
      <c r="D6327" t="s">
        <v>16228</v>
      </c>
      <c r="E6327" t="s">
        <v>21876</v>
      </c>
      <c r="F6327" t="s">
        <v>28198</v>
      </c>
      <c r="G6327" t="s">
        <v>28207</v>
      </c>
      <c r="H6327" t="s">
        <v>28215</v>
      </c>
      <c r="I6327" t="s">
        <v>28256</v>
      </c>
      <c r="J6327" t="s">
        <v>29490</v>
      </c>
      <c r="K6327" t="s">
        <v>36707</v>
      </c>
      <c r="M6327" t="s">
        <v>38318</v>
      </c>
      <c r="N6327" t="s">
        <v>40436</v>
      </c>
      <c r="O6327" t="s">
        <v>40437</v>
      </c>
      <c r="P6327">
        <v>0</v>
      </c>
      <c r="Q6327">
        <v>1</v>
      </c>
      <c r="R6327" t="s">
        <v>40443</v>
      </c>
      <c r="S6327" t="s">
        <v>40644</v>
      </c>
      <c r="T6327" t="s">
        <v>42184</v>
      </c>
      <c r="U6327" t="s">
        <v>47976</v>
      </c>
      <c r="W6327" t="s">
        <v>38318</v>
      </c>
      <c r="X6327" t="s">
        <v>40444</v>
      </c>
    </row>
    <row r="6328" spans="1:24">
      <c r="A6328">
        <f>HYPERLINK("https://www.philgeps.gov.ph/GEPSNONPILOT/Tender/SplashBidNoticeAbstractUI.aspx?menuIndex=3&amp;refID=7042626&amp;Result=3","7042626")</f>
        <v>0</v>
      </c>
      <c r="B6328" t="s">
        <v>391</v>
      </c>
      <c r="C6328" t="s">
        <v>9095</v>
      </c>
      <c r="D6328" t="s">
        <v>16202</v>
      </c>
      <c r="E6328" t="s">
        <v>21877</v>
      </c>
      <c r="F6328" t="s">
        <v>28198</v>
      </c>
      <c r="G6328" t="s">
        <v>28205</v>
      </c>
      <c r="H6328" t="s">
        <v>28215</v>
      </c>
      <c r="I6328" t="s">
        <v>28220</v>
      </c>
      <c r="J6328" t="s">
        <v>32319</v>
      </c>
      <c r="K6328" t="s">
        <v>36694</v>
      </c>
      <c r="M6328" t="s">
        <v>37371</v>
      </c>
      <c r="N6328" t="s">
        <v>40436</v>
      </c>
      <c r="O6328" t="s">
        <v>40437</v>
      </c>
      <c r="Q6328">
        <v>18</v>
      </c>
      <c r="R6328" t="s">
        <v>40443</v>
      </c>
      <c r="S6328" t="s">
        <v>40661</v>
      </c>
      <c r="T6328" t="s">
        <v>42427</v>
      </c>
      <c r="U6328" t="s">
        <v>47977</v>
      </c>
      <c r="V6328" t="s">
        <v>54051</v>
      </c>
      <c r="W6328" t="s">
        <v>37371</v>
      </c>
      <c r="X6328" t="s">
        <v>40444</v>
      </c>
    </row>
    <row r="6329" spans="1:24">
      <c r="A6329">
        <f>HYPERLINK("https://www.philgeps.gov.ph/GEPSNONPILOT/Tender/SplashBidNoticeAbstractUI.aspx?menuIndex=3&amp;refID=7042618&amp;Result=3","7042618")</f>
        <v>0</v>
      </c>
      <c r="B6329" t="s">
        <v>1937</v>
      </c>
      <c r="C6329" t="s">
        <v>9096</v>
      </c>
      <c r="D6329" t="s">
        <v>16227</v>
      </c>
      <c r="E6329" t="s">
        <v>21878</v>
      </c>
      <c r="F6329" t="s">
        <v>28198</v>
      </c>
      <c r="G6329" t="s">
        <v>28205</v>
      </c>
      <c r="H6329" t="s">
        <v>28215</v>
      </c>
      <c r="I6329" t="s">
        <v>28227</v>
      </c>
      <c r="J6329" t="s">
        <v>32320</v>
      </c>
      <c r="K6329" t="s">
        <v>36694</v>
      </c>
      <c r="M6329" t="s">
        <v>39071</v>
      </c>
      <c r="N6329" t="s">
        <v>40436</v>
      </c>
      <c r="O6329" t="s">
        <v>40437</v>
      </c>
      <c r="P6329">
        <v>0</v>
      </c>
      <c r="Q6329">
        <v>7</v>
      </c>
      <c r="R6329" t="s">
        <v>40443</v>
      </c>
      <c r="S6329" t="s">
        <v>40644</v>
      </c>
      <c r="T6329" t="s">
        <v>42108</v>
      </c>
      <c r="U6329" t="s">
        <v>47978</v>
      </c>
      <c r="W6329" t="s">
        <v>39071</v>
      </c>
      <c r="X6329" t="s">
        <v>40444</v>
      </c>
    </row>
    <row r="6330" spans="1:24">
      <c r="A6330">
        <f>HYPERLINK("https://www.philgeps.gov.ph/GEPSNONPILOT/Tender/SplashBidNoticeAbstractUI.aspx?menuIndex=3&amp;refID=7042615&amp;Result=3","7042615")</f>
        <v>0</v>
      </c>
      <c r="B6330" t="s">
        <v>595</v>
      </c>
      <c r="C6330" t="s">
        <v>8993</v>
      </c>
      <c r="D6330" t="s">
        <v>16195</v>
      </c>
      <c r="E6330" t="s">
        <v>21879</v>
      </c>
      <c r="F6330" t="s">
        <v>28198</v>
      </c>
      <c r="G6330" t="s">
        <v>28205</v>
      </c>
      <c r="H6330" t="s">
        <v>28215</v>
      </c>
      <c r="I6330" t="s">
        <v>28249</v>
      </c>
      <c r="J6330" t="s">
        <v>32321</v>
      </c>
      <c r="K6330" t="s">
        <v>36701</v>
      </c>
      <c r="M6330" t="s">
        <v>37713</v>
      </c>
      <c r="N6330" t="s">
        <v>40436</v>
      </c>
      <c r="O6330" t="s">
        <v>40437</v>
      </c>
      <c r="P6330">
        <v>0</v>
      </c>
      <c r="Q6330">
        <v>0</v>
      </c>
      <c r="R6330" t="s">
        <v>40443</v>
      </c>
      <c r="S6330" t="s">
        <v>40644</v>
      </c>
      <c r="T6330" t="s">
        <v>42139</v>
      </c>
      <c r="U6330" t="s">
        <v>47979</v>
      </c>
      <c r="W6330" t="s">
        <v>37713</v>
      </c>
      <c r="X6330" t="s">
        <v>40444</v>
      </c>
    </row>
    <row r="6331" spans="1:24">
      <c r="A6331">
        <f>HYPERLINK("https://www.philgeps.gov.ph/GEPSNONPILOT/Tender/SplashBidNoticeAbstractUI.aspx?menuIndex=3&amp;refID=7042617&amp;Result=3","7042617")</f>
        <v>0</v>
      </c>
      <c r="B6331" t="s">
        <v>2041</v>
      </c>
      <c r="C6331" t="s">
        <v>9097</v>
      </c>
      <c r="D6331" t="s">
        <v>16196</v>
      </c>
      <c r="E6331" t="s">
        <v>21880</v>
      </c>
      <c r="F6331" t="s">
        <v>28198</v>
      </c>
      <c r="G6331" t="s">
        <v>28205</v>
      </c>
      <c r="H6331" t="s">
        <v>28214</v>
      </c>
      <c r="I6331" t="s">
        <v>3797</v>
      </c>
      <c r="J6331" t="s">
        <v>32253</v>
      </c>
      <c r="K6331" t="s">
        <v>36840</v>
      </c>
      <c r="M6331" t="s">
        <v>39184</v>
      </c>
      <c r="N6331" t="s">
        <v>40436</v>
      </c>
      <c r="O6331" t="s">
        <v>40437</v>
      </c>
      <c r="P6331">
        <v>0</v>
      </c>
      <c r="Q6331">
        <v>21</v>
      </c>
      <c r="R6331" t="s">
        <v>40443</v>
      </c>
      <c r="S6331" t="s">
        <v>40644</v>
      </c>
      <c r="T6331" t="s">
        <v>42194</v>
      </c>
      <c r="U6331" t="s">
        <v>47968</v>
      </c>
      <c r="W6331" t="s">
        <v>39184</v>
      </c>
      <c r="X6331" t="s">
        <v>40444</v>
      </c>
    </row>
    <row r="6332" spans="1:24">
      <c r="A6332">
        <f>HYPERLINK("https://www.philgeps.gov.ph/GEPSNONPILOT/Tender/SplashBidNoticeAbstractUI.aspx?menuIndex=3&amp;refID=7042599&amp;Result=3","7042599")</f>
        <v>0</v>
      </c>
      <c r="B6332" t="s">
        <v>1264</v>
      </c>
      <c r="C6332" t="s">
        <v>9098</v>
      </c>
      <c r="D6332" t="s">
        <v>16209</v>
      </c>
      <c r="E6332" t="s">
        <v>21881</v>
      </c>
      <c r="F6332" t="s">
        <v>28198</v>
      </c>
      <c r="G6332" t="s">
        <v>28205</v>
      </c>
      <c r="H6332" t="s">
        <v>28215</v>
      </c>
      <c r="I6332" t="s">
        <v>28234</v>
      </c>
      <c r="J6332" t="s">
        <v>32322</v>
      </c>
      <c r="K6332" t="s">
        <v>36701</v>
      </c>
      <c r="M6332" t="s">
        <v>38314</v>
      </c>
      <c r="N6332" t="s">
        <v>40436</v>
      </c>
      <c r="O6332" t="s">
        <v>40437</v>
      </c>
      <c r="P6332">
        <v>0</v>
      </c>
      <c r="Q6332">
        <v>3</v>
      </c>
      <c r="R6332" t="s">
        <v>40443</v>
      </c>
      <c r="S6332" t="s">
        <v>40644</v>
      </c>
      <c r="T6332" t="s">
        <v>42125</v>
      </c>
      <c r="U6332" t="s">
        <v>47980</v>
      </c>
      <c r="W6332" t="s">
        <v>38314</v>
      </c>
      <c r="X6332" t="s">
        <v>40444</v>
      </c>
    </row>
    <row r="6333" spans="1:24">
      <c r="A6333">
        <f>HYPERLINK("https://www.philgeps.gov.ph/GEPSNONPILOT/Tender/SplashBidNoticeAbstractUI.aspx?menuIndex=3&amp;refID=7042597&amp;Result=3","7042597")</f>
        <v>0</v>
      </c>
      <c r="B6333" t="s">
        <v>2041</v>
      </c>
      <c r="C6333" t="s">
        <v>9099</v>
      </c>
      <c r="D6333" t="s">
        <v>16196</v>
      </c>
      <c r="E6333" t="s">
        <v>21882</v>
      </c>
      <c r="F6333" t="s">
        <v>28198</v>
      </c>
      <c r="G6333" t="s">
        <v>28205</v>
      </c>
      <c r="H6333" t="s">
        <v>28214</v>
      </c>
      <c r="I6333" t="s">
        <v>3797</v>
      </c>
      <c r="J6333" t="s">
        <v>32323</v>
      </c>
      <c r="K6333" t="s">
        <v>36841</v>
      </c>
      <c r="M6333" t="s">
        <v>39184</v>
      </c>
      <c r="N6333" t="s">
        <v>40436</v>
      </c>
      <c r="O6333" t="s">
        <v>40437</v>
      </c>
      <c r="P6333">
        <v>0</v>
      </c>
      <c r="Q6333">
        <v>22</v>
      </c>
      <c r="R6333" t="s">
        <v>40443</v>
      </c>
      <c r="S6333" t="s">
        <v>40644</v>
      </c>
      <c r="T6333" t="s">
        <v>42194</v>
      </c>
      <c r="U6333" t="s">
        <v>47968</v>
      </c>
      <c r="W6333" t="s">
        <v>39184</v>
      </c>
      <c r="X6333" t="s">
        <v>40444</v>
      </c>
    </row>
    <row r="6334" spans="1:24">
      <c r="A6334">
        <f>HYPERLINK("https://www.philgeps.gov.ph/GEPSNONPILOT/Tender/SplashBidNoticeAbstractUI.aspx?menuIndex=3&amp;refID=7042606&amp;Result=3","7042606")</f>
        <v>0</v>
      </c>
      <c r="B6334" t="s">
        <v>2046</v>
      </c>
      <c r="C6334" t="s">
        <v>9100</v>
      </c>
      <c r="D6334" t="s">
        <v>16209</v>
      </c>
      <c r="E6334" t="s">
        <v>21883</v>
      </c>
      <c r="F6334" t="s">
        <v>28200</v>
      </c>
      <c r="G6334" t="s">
        <v>28207</v>
      </c>
      <c r="H6334" t="s">
        <v>28217</v>
      </c>
      <c r="I6334" t="s">
        <v>28282</v>
      </c>
      <c r="J6334" t="s">
        <v>28862</v>
      </c>
      <c r="K6334" t="s">
        <v>36772</v>
      </c>
      <c r="M6334" t="s">
        <v>39192</v>
      </c>
      <c r="N6334" t="s">
        <v>40436</v>
      </c>
      <c r="O6334" t="s">
        <v>40437</v>
      </c>
      <c r="P6334">
        <v>0</v>
      </c>
      <c r="Q6334">
        <v>1</v>
      </c>
      <c r="R6334" t="s">
        <v>40443</v>
      </c>
      <c r="S6334" t="s">
        <v>40644</v>
      </c>
      <c r="T6334" t="s">
        <v>42131</v>
      </c>
      <c r="U6334" t="s">
        <v>47981</v>
      </c>
      <c r="W6334" t="s">
        <v>39192</v>
      </c>
      <c r="X6334" t="s">
        <v>40444</v>
      </c>
    </row>
    <row r="6335" spans="1:24">
      <c r="A6335">
        <f>HYPERLINK("https://www.philgeps.gov.ph/GEPSNONPILOT/Tender/SplashBidNoticeAbstractUI.aspx?menuIndex=3&amp;refID=7042631&amp;Result=3","7042631")</f>
        <v>0</v>
      </c>
      <c r="B6335" t="s">
        <v>2047</v>
      </c>
      <c r="C6335" t="s">
        <v>9101</v>
      </c>
      <c r="D6335" t="s">
        <v>16199</v>
      </c>
      <c r="E6335" t="s">
        <v>21884</v>
      </c>
      <c r="F6335" t="s">
        <v>28198</v>
      </c>
      <c r="G6335" t="s">
        <v>28205</v>
      </c>
      <c r="H6335" t="s">
        <v>28215</v>
      </c>
      <c r="I6335" t="s">
        <v>3797</v>
      </c>
      <c r="J6335" t="s">
        <v>32324</v>
      </c>
      <c r="K6335" t="s">
        <v>36701</v>
      </c>
      <c r="M6335" t="s">
        <v>39193</v>
      </c>
      <c r="N6335" t="s">
        <v>40436</v>
      </c>
      <c r="O6335" t="s">
        <v>40437</v>
      </c>
      <c r="P6335">
        <v>0</v>
      </c>
      <c r="Q6335">
        <v>0</v>
      </c>
      <c r="R6335" t="s">
        <v>40443</v>
      </c>
      <c r="S6335" t="s">
        <v>40644</v>
      </c>
      <c r="T6335" t="s">
        <v>42366</v>
      </c>
      <c r="U6335" t="s">
        <v>47982</v>
      </c>
      <c r="V6335" t="s">
        <v>54447</v>
      </c>
      <c r="W6335" t="s">
        <v>39193</v>
      </c>
      <c r="X6335" t="s">
        <v>40444</v>
      </c>
    </row>
    <row r="6336" spans="1:24">
      <c r="A6336">
        <f>HYPERLINK("https://www.philgeps.gov.ph/GEPSNONPILOT/Tender/SplashBidNoticeAbstractUI.aspx?menuIndex=3&amp;refID=7042602&amp;Result=3","7042602")</f>
        <v>0</v>
      </c>
      <c r="B6336" t="s">
        <v>391</v>
      </c>
      <c r="C6336" t="s">
        <v>9102</v>
      </c>
      <c r="D6336" t="s">
        <v>16202</v>
      </c>
      <c r="E6336" t="s">
        <v>21885</v>
      </c>
      <c r="F6336" t="s">
        <v>28198</v>
      </c>
      <c r="G6336" t="s">
        <v>28205</v>
      </c>
      <c r="H6336" t="s">
        <v>28215</v>
      </c>
      <c r="I6336" t="s">
        <v>28220</v>
      </c>
      <c r="J6336" t="s">
        <v>32325</v>
      </c>
      <c r="K6336" t="s">
        <v>36694</v>
      </c>
      <c r="M6336" t="s">
        <v>37371</v>
      </c>
      <c r="N6336" t="s">
        <v>40436</v>
      </c>
      <c r="O6336" t="s">
        <v>40437</v>
      </c>
      <c r="Q6336">
        <v>31</v>
      </c>
      <c r="R6336" t="s">
        <v>40443</v>
      </c>
      <c r="S6336" t="s">
        <v>40662</v>
      </c>
      <c r="T6336" t="s">
        <v>42427</v>
      </c>
      <c r="U6336" t="s">
        <v>47983</v>
      </c>
      <c r="V6336" t="s">
        <v>54051</v>
      </c>
      <c r="W6336" t="s">
        <v>37371</v>
      </c>
      <c r="X6336" t="s">
        <v>40444</v>
      </c>
    </row>
    <row r="6337" spans="1:24">
      <c r="A6337">
        <f>HYPERLINK("https://www.philgeps.gov.ph/GEPSNONPILOT/Tender/SplashBidNoticeAbstractUI.aspx?menuIndex=3&amp;refID=7042605&amp;Result=3","7042605")</f>
        <v>0</v>
      </c>
      <c r="B6337" t="s">
        <v>1194</v>
      </c>
      <c r="C6337" t="s">
        <v>9103</v>
      </c>
      <c r="D6337" t="s">
        <v>16258</v>
      </c>
      <c r="E6337" t="s">
        <v>21886</v>
      </c>
      <c r="F6337" t="s">
        <v>28198</v>
      </c>
      <c r="G6337" t="s">
        <v>28205</v>
      </c>
      <c r="H6337" t="s">
        <v>28215</v>
      </c>
      <c r="I6337" t="s">
        <v>5100</v>
      </c>
      <c r="J6337" t="s">
        <v>32326</v>
      </c>
      <c r="K6337" t="s">
        <v>36689</v>
      </c>
      <c r="M6337" t="s">
        <v>38238</v>
      </c>
      <c r="N6337" t="s">
        <v>40436</v>
      </c>
      <c r="O6337" t="s">
        <v>40437</v>
      </c>
      <c r="P6337">
        <v>0</v>
      </c>
      <c r="Q6337">
        <v>1</v>
      </c>
      <c r="R6337" t="s">
        <v>40443</v>
      </c>
      <c r="S6337" t="s">
        <v>40644</v>
      </c>
      <c r="T6337" t="s">
        <v>42129</v>
      </c>
      <c r="U6337" t="s">
        <v>47984</v>
      </c>
      <c r="W6337" t="s">
        <v>38238</v>
      </c>
      <c r="X6337" t="s">
        <v>40444</v>
      </c>
    </row>
    <row r="6338" spans="1:24">
      <c r="A6338">
        <f>HYPERLINK("https://www.philgeps.gov.ph/GEPSNONPILOT/Tender/SplashBidNoticeAbstractUI.aspx?menuIndex=3&amp;refID=7042592&amp;Result=3","7042592")</f>
        <v>0</v>
      </c>
      <c r="B6338" t="s">
        <v>655</v>
      </c>
      <c r="C6338" t="s">
        <v>9104</v>
      </c>
      <c r="D6338" t="s">
        <v>16235</v>
      </c>
      <c r="E6338" t="s">
        <v>21887</v>
      </c>
      <c r="F6338" t="s">
        <v>28198</v>
      </c>
      <c r="G6338" t="s">
        <v>28209</v>
      </c>
      <c r="H6338" t="s">
        <v>28215</v>
      </c>
      <c r="I6338" t="s">
        <v>6013</v>
      </c>
      <c r="J6338" t="s">
        <v>32327</v>
      </c>
      <c r="K6338" t="s">
        <v>36701</v>
      </c>
      <c r="M6338" t="s">
        <v>37651</v>
      </c>
      <c r="N6338" t="s">
        <v>40436</v>
      </c>
      <c r="O6338" t="s">
        <v>40437</v>
      </c>
      <c r="P6338">
        <v>0</v>
      </c>
      <c r="Q6338">
        <v>1</v>
      </c>
      <c r="R6338" t="s">
        <v>40443</v>
      </c>
      <c r="S6338" t="s">
        <v>40644</v>
      </c>
      <c r="T6338" t="s">
        <v>42169</v>
      </c>
      <c r="U6338" t="s">
        <v>47985</v>
      </c>
      <c r="W6338" t="s">
        <v>37651</v>
      </c>
      <c r="X6338" t="s">
        <v>40444</v>
      </c>
    </row>
    <row r="6339" spans="1:24">
      <c r="A6339">
        <f>HYPERLINK("https://www.philgeps.gov.ph/GEPSNONPILOT/Tender/SplashBidNoticeAbstractUI.aspx?menuIndex=3&amp;refID=7042660&amp;Result=3","7042660")</f>
        <v>0</v>
      </c>
      <c r="B6339" t="s">
        <v>440</v>
      </c>
      <c r="C6339" t="s">
        <v>9105</v>
      </c>
      <c r="D6339" t="s">
        <v>16203</v>
      </c>
      <c r="E6339" t="s">
        <v>21888</v>
      </c>
      <c r="F6339" t="s">
        <v>28200</v>
      </c>
      <c r="G6339" t="s">
        <v>28207</v>
      </c>
      <c r="H6339" t="s">
        <v>28215</v>
      </c>
      <c r="I6339" t="s">
        <v>4200</v>
      </c>
      <c r="J6339" t="s">
        <v>31698</v>
      </c>
      <c r="K6339" t="s">
        <v>36707</v>
      </c>
      <c r="M6339" t="s">
        <v>37424</v>
      </c>
      <c r="N6339" t="s">
        <v>40436</v>
      </c>
      <c r="O6339" t="s">
        <v>40437</v>
      </c>
      <c r="P6339">
        <v>0</v>
      </c>
      <c r="Q6339">
        <v>1</v>
      </c>
      <c r="R6339" t="s">
        <v>40443</v>
      </c>
      <c r="S6339" t="s">
        <v>40644</v>
      </c>
      <c r="T6339" t="s">
        <v>42158</v>
      </c>
      <c r="U6339" t="s">
        <v>47986</v>
      </c>
      <c r="W6339" t="s">
        <v>37424</v>
      </c>
      <c r="X6339" t="s">
        <v>40444</v>
      </c>
    </row>
    <row r="6340" spans="1:24">
      <c r="A6340">
        <f>HYPERLINK("https://www.philgeps.gov.ph/GEPSNONPILOT/Tender/SplashBidNoticeAbstractUI.aspx?menuIndex=3&amp;refID=7042627&amp;Result=3","7042627")</f>
        <v>0</v>
      </c>
      <c r="B6340" t="s">
        <v>1035</v>
      </c>
      <c r="C6340" t="s">
        <v>9106</v>
      </c>
      <c r="D6340" t="s">
        <v>16209</v>
      </c>
      <c r="E6340" t="s">
        <v>21889</v>
      </c>
      <c r="F6340" t="s">
        <v>28198</v>
      </c>
      <c r="G6340" t="s">
        <v>28205</v>
      </c>
      <c r="H6340" t="s">
        <v>28215</v>
      </c>
      <c r="I6340" t="s">
        <v>3422</v>
      </c>
      <c r="J6340" t="s">
        <v>32328</v>
      </c>
      <c r="K6340" t="s">
        <v>36688</v>
      </c>
      <c r="M6340" t="s">
        <v>38067</v>
      </c>
      <c r="N6340" t="s">
        <v>40436</v>
      </c>
      <c r="O6340" t="s">
        <v>40437</v>
      </c>
      <c r="P6340">
        <v>0</v>
      </c>
      <c r="Q6340">
        <v>0</v>
      </c>
      <c r="R6340" t="s">
        <v>40443</v>
      </c>
      <c r="S6340" t="s">
        <v>40644</v>
      </c>
      <c r="T6340" t="s">
        <v>42131</v>
      </c>
      <c r="U6340" t="s">
        <v>47987</v>
      </c>
      <c r="W6340" t="s">
        <v>38067</v>
      </c>
      <c r="X6340" t="s">
        <v>40444</v>
      </c>
    </row>
    <row r="6341" spans="1:24">
      <c r="A6341">
        <f>HYPERLINK("https://www.philgeps.gov.ph/GEPSNONPILOT/Tender/SplashBidNoticeAbstractUI.aspx?menuIndex=3&amp;refID=7042658&amp;Result=3","7042658")</f>
        <v>0</v>
      </c>
      <c r="B6341" t="s">
        <v>2048</v>
      </c>
      <c r="C6341" t="s">
        <v>9107</v>
      </c>
      <c r="D6341" t="s">
        <v>16236</v>
      </c>
      <c r="E6341" t="s">
        <v>16685</v>
      </c>
      <c r="F6341" t="s">
        <v>28198</v>
      </c>
      <c r="G6341" t="s">
        <v>28207</v>
      </c>
      <c r="H6341" t="s">
        <v>28216</v>
      </c>
      <c r="I6341" t="s">
        <v>28274</v>
      </c>
      <c r="J6341" t="s">
        <v>28385</v>
      </c>
      <c r="K6341" t="s">
        <v>36705</v>
      </c>
      <c r="M6341" t="s">
        <v>39194</v>
      </c>
      <c r="N6341" t="s">
        <v>40436</v>
      </c>
      <c r="O6341" t="s">
        <v>40437</v>
      </c>
      <c r="P6341">
        <v>0</v>
      </c>
      <c r="Q6341">
        <v>0</v>
      </c>
      <c r="R6341" t="s">
        <v>40443</v>
      </c>
      <c r="S6341" t="s">
        <v>40644</v>
      </c>
      <c r="T6341" t="s">
        <v>42184</v>
      </c>
      <c r="U6341" t="s">
        <v>47988</v>
      </c>
      <c r="W6341" t="s">
        <v>39194</v>
      </c>
      <c r="X6341" t="s">
        <v>40444</v>
      </c>
    </row>
    <row r="6342" spans="1:24">
      <c r="A6342">
        <f>HYPERLINK("https://www.philgeps.gov.ph/GEPSNONPILOT/Tender/SplashBidNoticeAbstractUI.aspx?menuIndex=3&amp;refID=7042645&amp;Result=3","7042645")</f>
        <v>0</v>
      </c>
      <c r="B6342" t="s">
        <v>285</v>
      </c>
      <c r="C6342" t="s">
        <v>9108</v>
      </c>
      <c r="D6342" t="s">
        <v>16203</v>
      </c>
      <c r="E6342" t="s">
        <v>21890</v>
      </c>
      <c r="F6342" t="s">
        <v>28198</v>
      </c>
      <c r="G6342" t="s">
        <v>28205</v>
      </c>
      <c r="H6342" t="s">
        <v>28215</v>
      </c>
      <c r="I6342" t="s">
        <v>28243</v>
      </c>
      <c r="J6342" t="s">
        <v>28730</v>
      </c>
      <c r="K6342" t="s">
        <v>36701</v>
      </c>
      <c r="M6342" t="s">
        <v>37569</v>
      </c>
      <c r="N6342" t="s">
        <v>40436</v>
      </c>
      <c r="O6342" t="s">
        <v>40437</v>
      </c>
      <c r="P6342">
        <v>0</v>
      </c>
      <c r="Q6342">
        <v>5</v>
      </c>
      <c r="R6342" t="s">
        <v>40443</v>
      </c>
      <c r="S6342" t="s">
        <v>40644</v>
      </c>
      <c r="T6342" t="s">
        <v>42426</v>
      </c>
      <c r="U6342" t="s">
        <v>47989</v>
      </c>
      <c r="W6342" t="s">
        <v>37569</v>
      </c>
      <c r="X6342" t="s">
        <v>40444</v>
      </c>
    </row>
    <row r="6343" spans="1:24">
      <c r="A6343">
        <f>HYPERLINK("https://www.philgeps.gov.ph/GEPSNONPILOT/Tender/SplashBidNoticeAbstractUI.aspx?menuIndex=3&amp;refID=7042674&amp;Result=3","7042674")</f>
        <v>0</v>
      </c>
      <c r="B6343" t="s">
        <v>391</v>
      </c>
      <c r="C6343" t="s">
        <v>9109</v>
      </c>
      <c r="D6343" t="s">
        <v>16202</v>
      </c>
      <c r="E6343" t="s">
        <v>21891</v>
      </c>
      <c r="F6343" t="s">
        <v>28198</v>
      </c>
      <c r="G6343" t="s">
        <v>28205</v>
      </c>
      <c r="H6343" t="s">
        <v>28215</v>
      </c>
      <c r="I6343" t="s">
        <v>28220</v>
      </c>
      <c r="J6343" t="s">
        <v>28687</v>
      </c>
      <c r="K6343" t="s">
        <v>36694</v>
      </c>
      <c r="M6343" t="s">
        <v>37371</v>
      </c>
      <c r="N6343" t="s">
        <v>40436</v>
      </c>
      <c r="O6343" t="s">
        <v>40437</v>
      </c>
      <c r="Q6343">
        <v>13</v>
      </c>
      <c r="R6343" t="s">
        <v>40443</v>
      </c>
      <c r="S6343" t="s">
        <v>40663</v>
      </c>
      <c r="T6343" t="s">
        <v>42427</v>
      </c>
      <c r="U6343" t="s">
        <v>47990</v>
      </c>
      <c r="V6343" t="s">
        <v>54051</v>
      </c>
      <c r="W6343" t="s">
        <v>37371</v>
      </c>
      <c r="X6343" t="s">
        <v>40444</v>
      </c>
    </row>
    <row r="6344" spans="1:24">
      <c r="A6344">
        <f>HYPERLINK("https://www.philgeps.gov.ph/GEPSNONPILOT/Tender/SplashBidNoticeAbstractUI.aspx?menuIndex=3&amp;refID=7042659&amp;Result=3","7042659")</f>
        <v>0</v>
      </c>
      <c r="B6344" t="s">
        <v>2049</v>
      </c>
      <c r="C6344" t="s">
        <v>9110</v>
      </c>
      <c r="D6344" t="s">
        <v>16189</v>
      </c>
      <c r="E6344" t="s">
        <v>17597</v>
      </c>
      <c r="F6344" t="s">
        <v>28198</v>
      </c>
      <c r="G6344" t="s">
        <v>28206</v>
      </c>
      <c r="H6344" t="s">
        <v>28215</v>
      </c>
      <c r="I6344" t="s">
        <v>4219</v>
      </c>
      <c r="J6344" t="s">
        <v>32329</v>
      </c>
      <c r="K6344" t="s">
        <v>36688</v>
      </c>
      <c r="M6344" t="s">
        <v>39195</v>
      </c>
      <c r="N6344" t="s">
        <v>40436</v>
      </c>
      <c r="O6344" t="s">
        <v>40437</v>
      </c>
      <c r="P6344">
        <v>0</v>
      </c>
      <c r="Q6344">
        <v>8</v>
      </c>
      <c r="R6344" t="s">
        <v>40443</v>
      </c>
      <c r="S6344" t="s">
        <v>40644</v>
      </c>
      <c r="T6344" t="s">
        <v>42245</v>
      </c>
      <c r="U6344" t="s">
        <v>47991</v>
      </c>
      <c r="W6344" t="s">
        <v>39195</v>
      </c>
      <c r="X6344" t="s">
        <v>40444</v>
      </c>
    </row>
    <row r="6345" spans="1:24">
      <c r="A6345">
        <f>HYPERLINK("https://www.philgeps.gov.ph/GEPSNONPILOT/Tender/SplashBidNoticeAbstractUI.aspx?menuIndex=3&amp;refID=7042702&amp;Result=3","7042702")</f>
        <v>0</v>
      </c>
      <c r="B6345" t="s">
        <v>2050</v>
      </c>
      <c r="C6345" t="s">
        <v>9111</v>
      </c>
      <c r="D6345" t="s">
        <v>16196</v>
      </c>
      <c r="E6345" t="s">
        <v>21892</v>
      </c>
      <c r="F6345" t="s">
        <v>28198</v>
      </c>
      <c r="G6345" t="s">
        <v>28210</v>
      </c>
      <c r="H6345" t="s">
        <v>28215</v>
      </c>
      <c r="I6345" t="s">
        <v>5082</v>
      </c>
      <c r="J6345" t="s">
        <v>32330</v>
      </c>
      <c r="K6345" t="s">
        <v>36701</v>
      </c>
      <c r="M6345" t="s">
        <v>39196</v>
      </c>
      <c r="N6345" t="s">
        <v>40436</v>
      </c>
      <c r="O6345" t="s">
        <v>40437</v>
      </c>
      <c r="P6345">
        <v>0</v>
      </c>
      <c r="Q6345">
        <v>4</v>
      </c>
      <c r="R6345" t="s">
        <v>40443</v>
      </c>
      <c r="S6345" t="s">
        <v>40644</v>
      </c>
      <c r="T6345" t="s">
        <v>42119</v>
      </c>
      <c r="U6345" t="s">
        <v>47992</v>
      </c>
      <c r="W6345" t="s">
        <v>39196</v>
      </c>
      <c r="X6345" t="s">
        <v>40444</v>
      </c>
    </row>
    <row r="6346" spans="1:24">
      <c r="A6346">
        <f>HYPERLINK("https://www.philgeps.gov.ph/GEPSNONPILOT/Tender/SplashBidNoticeAbstractUI.aspx?menuIndex=3&amp;refID=7042667&amp;Result=3","7042667")</f>
        <v>0</v>
      </c>
      <c r="B6346" t="s">
        <v>2030</v>
      </c>
      <c r="C6346" t="s">
        <v>9112</v>
      </c>
      <c r="D6346" t="s">
        <v>16213</v>
      </c>
      <c r="E6346" t="s">
        <v>21893</v>
      </c>
      <c r="F6346" t="s">
        <v>28198</v>
      </c>
      <c r="G6346" t="s">
        <v>28205</v>
      </c>
      <c r="H6346" t="s">
        <v>28215</v>
      </c>
      <c r="I6346" t="s">
        <v>28258</v>
      </c>
      <c r="J6346" t="s">
        <v>32331</v>
      </c>
      <c r="K6346" t="s">
        <v>36786</v>
      </c>
      <c r="M6346" t="s">
        <v>39172</v>
      </c>
      <c r="N6346" t="s">
        <v>40436</v>
      </c>
      <c r="O6346" t="s">
        <v>40437</v>
      </c>
      <c r="P6346">
        <v>0</v>
      </c>
      <c r="Q6346">
        <v>4</v>
      </c>
      <c r="R6346" t="s">
        <v>40443</v>
      </c>
      <c r="S6346" t="s">
        <v>40644</v>
      </c>
      <c r="T6346" t="s">
        <v>42445</v>
      </c>
      <c r="U6346" t="s">
        <v>47993</v>
      </c>
      <c r="W6346" t="s">
        <v>39172</v>
      </c>
      <c r="X6346" t="s">
        <v>40444</v>
      </c>
    </row>
    <row r="6347" spans="1:24">
      <c r="A6347">
        <f>HYPERLINK("https://www.philgeps.gov.ph/GEPSNONPILOT/Tender/SplashBidNoticeAbstractUI.aspx?menuIndex=3&amp;refID=7042639&amp;Result=3","7042639")</f>
        <v>0</v>
      </c>
      <c r="B6347" t="s">
        <v>1993</v>
      </c>
      <c r="C6347" t="s">
        <v>9113</v>
      </c>
      <c r="D6347" t="s">
        <v>16244</v>
      </c>
      <c r="E6347" t="s">
        <v>21894</v>
      </c>
      <c r="F6347" t="s">
        <v>28198</v>
      </c>
      <c r="G6347" t="s">
        <v>28205</v>
      </c>
      <c r="H6347" t="s">
        <v>28214</v>
      </c>
      <c r="I6347" t="s">
        <v>3797</v>
      </c>
      <c r="J6347" t="s">
        <v>28379</v>
      </c>
      <c r="K6347" t="s">
        <v>36694</v>
      </c>
      <c r="M6347" t="s">
        <v>39131</v>
      </c>
      <c r="N6347" t="s">
        <v>40436</v>
      </c>
      <c r="O6347" t="s">
        <v>40437</v>
      </c>
      <c r="P6347">
        <v>0</v>
      </c>
      <c r="Q6347">
        <v>0</v>
      </c>
      <c r="R6347" t="s">
        <v>40443</v>
      </c>
      <c r="S6347" t="s">
        <v>40644</v>
      </c>
      <c r="T6347" t="s">
        <v>42448</v>
      </c>
      <c r="U6347" t="s">
        <v>47994</v>
      </c>
      <c r="W6347" t="s">
        <v>39131</v>
      </c>
      <c r="X6347" t="s">
        <v>40444</v>
      </c>
    </row>
    <row r="6348" spans="1:24">
      <c r="A6348">
        <f>HYPERLINK("https://www.philgeps.gov.ph/GEPSNONPILOT/Tender/SplashBidNoticeAbstractUI.aspx?menuIndex=3&amp;refID=7042699&amp;Result=3","7042699")</f>
        <v>0</v>
      </c>
      <c r="B6348" t="s">
        <v>426</v>
      </c>
      <c r="C6348" t="s">
        <v>9114</v>
      </c>
      <c r="D6348" t="s">
        <v>16189</v>
      </c>
      <c r="E6348" t="s">
        <v>17010</v>
      </c>
      <c r="F6348" t="s">
        <v>28198</v>
      </c>
      <c r="G6348" t="s">
        <v>28207</v>
      </c>
      <c r="H6348" t="s">
        <v>28215</v>
      </c>
      <c r="I6348" t="s">
        <v>28238</v>
      </c>
      <c r="J6348" t="s">
        <v>28354</v>
      </c>
      <c r="K6348" t="s">
        <v>36691</v>
      </c>
      <c r="M6348" t="s">
        <v>38981</v>
      </c>
      <c r="N6348" t="s">
        <v>40436</v>
      </c>
      <c r="O6348" t="s">
        <v>40437</v>
      </c>
      <c r="P6348">
        <v>0</v>
      </c>
      <c r="Q6348">
        <v>2</v>
      </c>
      <c r="R6348" t="s">
        <v>40443</v>
      </c>
      <c r="S6348" t="s">
        <v>40644</v>
      </c>
      <c r="T6348" t="s">
        <v>42245</v>
      </c>
      <c r="U6348" t="s">
        <v>47995</v>
      </c>
      <c r="W6348" t="s">
        <v>38981</v>
      </c>
      <c r="X6348" t="s">
        <v>40444</v>
      </c>
    </row>
    <row r="6349" spans="1:24">
      <c r="A6349">
        <f>HYPERLINK("https://www.philgeps.gov.ph/GEPSNONPILOT/Tender/SplashBidNoticeAbstractUI.aspx?menuIndex=3&amp;refID=7042641&amp;Result=3","7042641")</f>
        <v>0</v>
      </c>
      <c r="B6349" t="s">
        <v>2041</v>
      </c>
      <c r="C6349" t="s">
        <v>9115</v>
      </c>
      <c r="D6349" t="s">
        <v>16196</v>
      </c>
      <c r="E6349" t="s">
        <v>21895</v>
      </c>
      <c r="F6349" t="s">
        <v>28198</v>
      </c>
      <c r="G6349" t="s">
        <v>28205</v>
      </c>
      <c r="H6349" t="s">
        <v>28214</v>
      </c>
      <c r="I6349" t="s">
        <v>3797</v>
      </c>
      <c r="J6349" t="s">
        <v>29526</v>
      </c>
      <c r="K6349" t="s">
        <v>36717</v>
      </c>
      <c r="M6349" t="s">
        <v>39184</v>
      </c>
      <c r="N6349" t="s">
        <v>40436</v>
      </c>
      <c r="O6349" t="s">
        <v>40437</v>
      </c>
      <c r="P6349">
        <v>0</v>
      </c>
      <c r="Q6349">
        <v>26</v>
      </c>
      <c r="R6349" t="s">
        <v>40443</v>
      </c>
      <c r="S6349" t="s">
        <v>40644</v>
      </c>
      <c r="T6349" t="s">
        <v>42194</v>
      </c>
      <c r="U6349" t="s">
        <v>47968</v>
      </c>
      <c r="W6349" t="s">
        <v>39184</v>
      </c>
      <c r="X6349" t="s">
        <v>40444</v>
      </c>
    </row>
    <row r="6350" spans="1:24">
      <c r="A6350">
        <f>HYPERLINK("https://www.philgeps.gov.ph/GEPSNONPILOT/Tender/SplashBidNoticeAbstractUI.aspx?menuIndex=3&amp;refID=7042666&amp;Result=3","7042666")</f>
        <v>0</v>
      </c>
      <c r="B6350" t="s">
        <v>1338</v>
      </c>
      <c r="C6350" t="s">
        <v>9116</v>
      </c>
      <c r="D6350" t="s">
        <v>16197</v>
      </c>
      <c r="E6350" t="s">
        <v>21896</v>
      </c>
      <c r="F6350" t="s">
        <v>28198</v>
      </c>
      <c r="G6350" t="s">
        <v>28207</v>
      </c>
      <c r="H6350" t="s">
        <v>28215</v>
      </c>
      <c r="I6350" t="s">
        <v>28267</v>
      </c>
      <c r="J6350" t="s">
        <v>32332</v>
      </c>
      <c r="K6350" t="s">
        <v>36707</v>
      </c>
      <c r="M6350" t="s">
        <v>38396</v>
      </c>
      <c r="N6350" t="s">
        <v>40436</v>
      </c>
      <c r="O6350" t="s">
        <v>40437</v>
      </c>
      <c r="P6350">
        <v>0</v>
      </c>
      <c r="Q6350">
        <v>6</v>
      </c>
      <c r="R6350" t="s">
        <v>40443</v>
      </c>
      <c r="S6350" t="s">
        <v>40644</v>
      </c>
      <c r="T6350" t="s">
        <v>42169</v>
      </c>
      <c r="U6350" t="s">
        <v>45650</v>
      </c>
      <c r="V6350" t="s">
        <v>54140</v>
      </c>
      <c r="W6350" t="s">
        <v>38396</v>
      </c>
      <c r="X6350" t="s">
        <v>40444</v>
      </c>
    </row>
    <row r="6351" spans="1:24">
      <c r="A6351">
        <f>HYPERLINK("https://www.philgeps.gov.ph/GEPSNONPILOT/Tender/SplashBidNoticeAbstractUI.aspx?menuIndex=3&amp;refID=7042652&amp;Result=3","7042652")</f>
        <v>0</v>
      </c>
      <c r="B6351" t="s">
        <v>402</v>
      </c>
      <c r="C6351" t="s">
        <v>9117</v>
      </c>
      <c r="D6351" t="s">
        <v>16217</v>
      </c>
      <c r="E6351" t="s">
        <v>16526</v>
      </c>
      <c r="F6351" t="s">
        <v>28198</v>
      </c>
      <c r="G6351" t="s">
        <v>28207</v>
      </c>
      <c r="H6351" t="s">
        <v>28215</v>
      </c>
      <c r="I6351" t="s">
        <v>5100</v>
      </c>
      <c r="J6351" t="s">
        <v>32333</v>
      </c>
      <c r="K6351" t="s">
        <v>36687</v>
      </c>
      <c r="M6351" t="s">
        <v>37383</v>
      </c>
      <c r="N6351" t="s">
        <v>40436</v>
      </c>
      <c r="O6351" t="s">
        <v>40437</v>
      </c>
      <c r="P6351">
        <v>0</v>
      </c>
      <c r="Q6351">
        <v>1</v>
      </c>
      <c r="R6351" t="s">
        <v>40443</v>
      </c>
      <c r="S6351" t="s">
        <v>40644</v>
      </c>
      <c r="T6351" t="s">
        <v>42141</v>
      </c>
      <c r="U6351" t="s">
        <v>47996</v>
      </c>
      <c r="W6351" t="s">
        <v>37383</v>
      </c>
      <c r="X6351" t="s">
        <v>40444</v>
      </c>
    </row>
    <row r="6352" spans="1:24">
      <c r="A6352">
        <f>HYPERLINK("https://www.philgeps.gov.ph/GEPSNONPILOT/Tender/SplashBidNoticeAbstractUI.aspx?menuIndex=3&amp;refID=7042694&amp;Result=3","7042694")</f>
        <v>0</v>
      </c>
      <c r="B6352" t="s">
        <v>870</v>
      </c>
      <c r="C6352" t="s">
        <v>9118</v>
      </c>
      <c r="D6352" t="s">
        <v>16221</v>
      </c>
      <c r="E6352" t="s">
        <v>21897</v>
      </c>
      <c r="F6352" t="s">
        <v>28198</v>
      </c>
      <c r="G6352" t="s">
        <v>28205</v>
      </c>
      <c r="H6352" t="s">
        <v>28214</v>
      </c>
      <c r="I6352" t="s">
        <v>3797</v>
      </c>
      <c r="J6352" t="s">
        <v>32308</v>
      </c>
      <c r="K6352" t="s">
        <v>36692</v>
      </c>
      <c r="M6352" t="s">
        <v>37882</v>
      </c>
      <c r="N6352" t="s">
        <v>40436</v>
      </c>
      <c r="O6352" t="s">
        <v>40437</v>
      </c>
      <c r="P6352">
        <v>0</v>
      </c>
      <c r="Q6352">
        <v>2</v>
      </c>
      <c r="R6352" t="s">
        <v>40443</v>
      </c>
      <c r="S6352" t="s">
        <v>40644</v>
      </c>
      <c r="T6352" t="s">
        <v>42165</v>
      </c>
      <c r="U6352" t="s">
        <v>47936</v>
      </c>
      <c r="V6352" t="s">
        <v>54440</v>
      </c>
      <c r="W6352" t="s">
        <v>37882</v>
      </c>
      <c r="X6352" t="s">
        <v>40444</v>
      </c>
    </row>
    <row r="6353" spans="1:24">
      <c r="A6353">
        <f>HYPERLINK("https://www.philgeps.gov.ph/GEPSNONPILOT/Tender/SplashBidNoticeAbstractUI.aspx?menuIndex=3&amp;refID=7042698&amp;Result=3","7042698")</f>
        <v>0</v>
      </c>
      <c r="B6353" t="s">
        <v>2051</v>
      </c>
      <c r="C6353" t="s">
        <v>9119</v>
      </c>
      <c r="D6353" t="s">
        <v>16254</v>
      </c>
      <c r="E6353" t="s">
        <v>16473</v>
      </c>
      <c r="F6353" t="s">
        <v>28198</v>
      </c>
      <c r="G6353" t="s">
        <v>28205</v>
      </c>
      <c r="H6353" t="s">
        <v>28215</v>
      </c>
      <c r="I6353" t="s">
        <v>28228</v>
      </c>
      <c r="J6353" t="s">
        <v>30231</v>
      </c>
      <c r="K6353" t="s">
        <v>36707</v>
      </c>
      <c r="L6353" t="s">
        <v>2051</v>
      </c>
      <c r="M6353" t="s">
        <v>39197</v>
      </c>
      <c r="N6353" t="s">
        <v>40436</v>
      </c>
      <c r="O6353" t="s">
        <v>40437</v>
      </c>
      <c r="P6353">
        <v>0</v>
      </c>
      <c r="Q6353">
        <v>1</v>
      </c>
      <c r="R6353" t="s">
        <v>40443</v>
      </c>
      <c r="S6353" t="s">
        <v>40644</v>
      </c>
      <c r="T6353" t="s">
        <v>42188</v>
      </c>
      <c r="U6353" t="s">
        <v>47997</v>
      </c>
      <c r="V6353" t="s">
        <v>54448</v>
      </c>
      <c r="W6353" t="s">
        <v>39197</v>
      </c>
      <c r="X6353" t="s">
        <v>40444</v>
      </c>
    </row>
    <row r="6354" spans="1:24">
      <c r="A6354">
        <f>HYPERLINK("https://www.philgeps.gov.ph/GEPSNONPILOT/Tender/SplashBidNoticeAbstractUI.aspx?menuIndex=3&amp;refID=7042629&amp;Result=3","7042629")</f>
        <v>0</v>
      </c>
      <c r="B6354" t="s">
        <v>402</v>
      </c>
      <c r="C6354" t="s">
        <v>9120</v>
      </c>
      <c r="D6354" t="s">
        <v>16217</v>
      </c>
      <c r="E6354" t="s">
        <v>16322</v>
      </c>
      <c r="F6354" t="s">
        <v>28198</v>
      </c>
      <c r="G6354" t="s">
        <v>28205</v>
      </c>
      <c r="H6354" t="s">
        <v>28215</v>
      </c>
      <c r="I6354" t="s">
        <v>5100</v>
      </c>
      <c r="J6354" t="s">
        <v>32334</v>
      </c>
      <c r="K6354" t="s">
        <v>36692</v>
      </c>
      <c r="M6354" t="s">
        <v>37383</v>
      </c>
      <c r="N6354" t="s">
        <v>40436</v>
      </c>
      <c r="O6354" t="s">
        <v>40437</v>
      </c>
      <c r="P6354">
        <v>0</v>
      </c>
      <c r="Q6354">
        <v>1</v>
      </c>
      <c r="R6354" t="s">
        <v>40443</v>
      </c>
      <c r="S6354" t="s">
        <v>40644</v>
      </c>
      <c r="T6354" t="s">
        <v>42123</v>
      </c>
      <c r="U6354" t="s">
        <v>47998</v>
      </c>
      <c r="W6354" t="s">
        <v>37383</v>
      </c>
      <c r="X6354" t="s">
        <v>40444</v>
      </c>
    </row>
    <row r="6355" spans="1:24">
      <c r="A6355">
        <f>HYPERLINK("https://www.philgeps.gov.ph/GEPSNONPILOT/Tender/SplashBidNoticeAbstractUI.aspx?menuIndex=3&amp;refID=7042682&amp;Result=3","7042682")</f>
        <v>0</v>
      </c>
      <c r="B6355" t="s">
        <v>402</v>
      </c>
      <c r="C6355" t="s">
        <v>9121</v>
      </c>
      <c r="E6355" t="s">
        <v>21898</v>
      </c>
      <c r="F6355" t="s">
        <v>28198</v>
      </c>
      <c r="G6355" t="s">
        <v>28207</v>
      </c>
      <c r="H6355" t="s">
        <v>28215</v>
      </c>
      <c r="I6355" t="s">
        <v>5100</v>
      </c>
      <c r="J6355" t="s">
        <v>30745</v>
      </c>
      <c r="K6355" t="s">
        <v>36687</v>
      </c>
      <c r="M6355" t="s">
        <v>37383</v>
      </c>
      <c r="N6355" t="s">
        <v>40436</v>
      </c>
      <c r="O6355" t="s">
        <v>40437</v>
      </c>
      <c r="P6355">
        <v>0</v>
      </c>
      <c r="Q6355">
        <v>1</v>
      </c>
      <c r="R6355" t="s">
        <v>40443</v>
      </c>
      <c r="S6355" t="s">
        <v>40644</v>
      </c>
      <c r="T6355" t="s">
        <v>42158</v>
      </c>
      <c r="U6355" t="s">
        <v>47999</v>
      </c>
      <c r="W6355" t="s">
        <v>37383</v>
      </c>
      <c r="X6355" t="s">
        <v>40444</v>
      </c>
    </row>
    <row r="6356" spans="1:24">
      <c r="A6356">
        <f>HYPERLINK("https://www.philgeps.gov.ph/GEPSNONPILOT/Tender/SplashBidNoticeAbstractUI.aspx?menuIndex=3&amp;refID=7042688&amp;Result=3","7042688")</f>
        <v>0</v>
      </c>
      <c r="B6356" t="s">
        <v>1455</v>
      </c>
      <c r="C6356" t="s">
        <v>9122</v>
      </c>
      <c r="D6356" t="s">
        <v>16204</v>
      </c>
      <c r="E6356" t="s">
        <v>9122</v>
      </c>
      <c r="F6356" t="s">
        <v>28198</v>
      </c>
      <c r="G6356" t="s">
        <v>28205</v>
      </c>
      <c r="H6356" t="s">
        <v>28215</v>
      </c>
      <c r="I6356" t="s">
        <v>4505</v>
      </c>
      <c r="J6356" t="s">
        <v>32335</v>
      </c>
      <c r="K6356" t="s">
        <v>36689</v>
      </c>
      <c r="M6356" t="s">
        <v>38522</v>
      </c>
      <c r="N6356" t="s">
        <v>40436</v>
      </c>
      <c r="O6356" t="s">
        <v>40437</v>
      </c>
      <c r="P6356">
        <v>0</v>
      </c>
      <c r="Q6356">
        <v>6</v>
      </c>
      <c r="R6356" t="s">
        <v>40443</v>
      </c>
      <c r="S6356" t="s">
        <v>40644</v>
      </c>
      <c r="T6356" t="s">
        <v>42449</v>
      </c>
      <c r="U6356" t="s">
        <v>48000</v>
      </c>
      <c r="W6356" t="s">
        <v>38522</v>
      </c>
      <c r="X6356" t="s">
        <v>40444</v>
      </c>
    </row>
    <row r="6357" spans="1:24">
      <c r="A6357">
        <f>HYPERLINK("https://www.philgeps.gov.ph/GEPSNONPILOT/Tender/SplashBidNoticeAbstractUI.aspx?menuIndex=3&amp;refID=7042686&amp;Result=3","7042686")</f>
        <v>0</v>
      </c>
      <c r="B6357" t="s">
        <v>2052</v>
      </c>
      <c r="C6357" t="s">
        <v>9123</v>
      </c>
      <c r="D6357" t="s">
        <v>16223</v>
      </c>
      <c r="E6357" t="s">
        <v>21899</v>
      </c>
      <c r="F6357" t="s">
        <v>28198</v>
      </c>
      <c r="G6357" t="s">
        <v>28205</v>
      </c>
      <c r="H6357" t="s">
        <v>28215</v>
      </c>
      <c r="I6357" t="s">
        <v>28257</v>
      </c>
      <c r="J6357" t="s">
        <v>28691</v>
      </c>
      <c r="K6357" t="s">
        <v>36707</v>
      </c>
      <c r="M6357" t="s">
        <v>39198</v>
      </c>
      <c r="N6357" t="s">
        <v>40436</v>
      </c>
      <c r="O6357" t="s">
        <v>40437</v>
      </c>
      <c r="P6357">
        <v>0</v>
      </c>
      <c r="Q6357">
        <v>1</v>
      </c>
      <c r="R6357" t="s">
        <v>40443</v>
      </c>
      <c r="S6357" t="s">
        <v>40644</v>
      </c>
      <c r="T6357" t="s">
        <v>42177</v>
      </c>
      <c r="U6357" t="s">
        <v>48001</v>
      </c>
      <c r="W6357" t="s">
        <v>39198</v>
      </c>
      <c r="X6357" t="s">
        <v>40444</v>
      </c>
    </row>
    <row r="6358" spans="1:24">
      <c r="A6358">
        <f>HYPERLINK("https://www.philgeps.gov.ph/GEPSNONPILOT/Tender/SplashBidNoticeAbstractUI.aspx?menuIndex=3&amp;refID=7042697&amp;Result=3","7042697")</f>
        <v>0</v>
      </c>
      <c r="B6358" t="s">
        <v>1268</v>
      </c>
      <c r="C6358" t="s">
        <v>4945</v>
      </c>
      <c r="D6358" t="s">
        <v>16228</v>
      </c>
      <c r="E6358" t="s">
        <v>21900</v>
      </c>
      <c r="F6358" t="s">
        <v>28198</v>
      </c>
      <c r="G6358" t="s">
        <v>28207</v>
      </c>
      <c r="H6358" t="s">
        <v>28215</v>
      </c>
      <c r="I6358" t="s">
        <v>28265</v>
      </c>
      <c r="J6358" t="s">
        <v>32336</v>
      </c>
      <c r="K6358" t="s">
        <v>36707</v>
      </c>
      <c r="M6358" t="s">
        <v>38318</v>
      </c>
      <c r="N6358" t="s">
        <v>40436</v>
      </c>
      <c r="O6358" t="s">
        <v>40437</v>
      </c>
      <c r="P6358">
        <v>0</v>
      </c>
      <c r="Q6358">
        <v>0</v>
      </c>
      <c r="R6358" t="s">
        <v>40443</v>
      </c>
      <c r="S6358" t="s">
        <v>40644</v>
      </c>
      <c r="T6358" t="s">
        <v>42184</v>
      </c>
      <c r="U6358" t="s">
        <v>48002</v>
      </c>
      <c r="W6358" t="s">
        <v>38318</v>
      </c>
      <c r="X6358" t="s">
        <v>40444</v>
      </c>
    </row>
    <row r="6359" spans="1:24">
      <c r="A6359">
        <f>HYPERLINK("https://www.philgeps.gov.ph/GEPSNONPILOT/Tender/SplashBidNoticeAbstractUI.aspx?menuIndex=3&amp;refID=7042678&amp;Result=3","7042678")</f>
        <v>0</v>
      </c>
      <c r="B6359" t="s">
        <v>2046</v>
      </c>
      <c r="C6359" t="s">
        <v>9124</v>
      </c>
      <c r="D6359" t="s">
        <v>16209</v>
      </c>
      <c r="E6359" t="s">
        <v>21901</v>
      </c>
      <c r="F6359" t="s">
        <v>28200</v>
      </c>
      <c r="G6359" t="s">
        <v>28207</v>
      </c>
      <c r="H6359" t="s">
        <v>28217</v>
      </c>
      <c r="I6359" t="s">
        <v>28282</v>
      </c>
      <c r="J6359" t="s">
        <v>28413</v>
      </c>
      <c r="K6359" t="s">
        <v>36705</v>
      </c>
      <c r="M6359" t="s">
        <v>39192</v>
      </c>
      <c r="N6359" t="s">
        <v>40436</v>
      </c>
      <c r="O6359" t="s">
        <v>40437</v>
      </c>
      <c r="P6359">
        <v>0</v>
      </c>
      <c r="Q6359">
        <v>1</v>
      </c>
      <c r="R6359" t="s">
        <v>40443</v>
      </c>
      <c r="S6359" t="s">
        <v>40644</v>
      </c>
      <c r="T6359" t="s">
        <v>42131</v>
      </c>
      <c r="U6359" t="s">
        <v>48003</v>
      </c>
      <c r="W6359" t="s">
        <v>39192</v>
      </c>
      <c r="X6359" t="s">
        <v>40444</v>
      </c>
    </row>
    <row r="6360" spans="1:24">
      <c r="A6360">
        <f>HYPERLINK("https://www.philgeps.gov.ph/GEPSNONPILOT/Tender/SplashBidNoticeAbstractUI.aspx?menuIndex=3&amp;refID=7042703&amp;Result=3","7042703")</f>
        <v>0</v>
      </c>
      <c r="B6360" t="s">
        <v>1194</v>
      </c>
      <c r="C6360" t="s">
        <v>9125</v>
      </c>
      <c r="D6360" t="s">
        <v>16258</v>
      </c>
      <c r="E6360" t="s">
        <v>21902</v>
      </c>
      <c r="F6360" t="s">
        <v>28198</v>
      </c>
      <c r="G6360" t="s">
        <v>28205</v>
      </c>
      <c r="H6360" t="s">
        <v>28215</v>
      </c>
      <c r="I6360" t="s">
        <v>4321</v>
      </c>
      <c r="J6360" t="s">
        <v>32337</v>
      </c>
      <c r="K6360" t="s">
        <v>36689</v>
      </c>
      <c r="M6360" t="s">
        <v>38238</v>
      </c>
      <c r="N6360" t="s">
        <v>40436</v>
      </c>
      <c r="O6360" t="s">
        <v>40437</v>
      </c>
      <c r="P6360">
        <v>0</v>
      </c>
      <c r="Q6360">
        <v>0</v>
      </c>
      <c r="R6360" t="s">
        <v>40443</v>
      </c>
      <c r="S6360" t="s">
        <v>40644</v>
      </c>
      <c r="T6360" t="s">
        <v>42129</v>
      </c>
      <c r="U6360" t="s">
        <v>48004</v>
      </c>
      <c r="W6360" t="s">
        <v>38238</v>
      </c>
      <c r="X6360" t="s">
        <v>40444</v>
      </c>
    </row>
    <row r="6361" spans="1:24">
      <c r="A6361">
        <f>HYPERLINK("https://www.philgeps.gov.ph/GEPSNONPILOT/Tender/SplashBidNoticeAbstractUI.aspx?menuIndex=3&amp;refID=7042727&amp;Result=3","7042727")</f>
        <v>0</v>
      </c>
      <c r="B6361" t="s">
        <v>391</v>
      </c>
      <c r="C6361" t="s">
        <v>9126</v>
      </c>
      <c r="D6361" t="s">
        <v>16202</v>
      </c>
      <c r="E6361" t="s">
        <v>21903</v>
      </c>
      <c r="F6361" t="s">
        <v>28198</v>
      </c>
      <c r="G6361" t="s">
        <v>28205</v>
      </c>
      <c r="H6361" t="s">
        <v>28215</v>
      </c>
      <c r="I6361" t="s">
        <v>28225</v>
      </c>
      <c r="J6361" t="s">
        <v>32338</v>
      </c>
      <c r="K6361" t="s">
        <v>36687</v>
      </c>
      <c r="M6361" t="s">
        <v>37371</v>
      </c>
      <c r="N6361" t="s">
        <v>40436</v>
      </c>
      <c r="O6361" t="s">
        <v>40437</v>
      </c>
      <c r="Q6361">
        <v>16</v>
      </c>
      <c r="R6361" t="s">
        <v>40443</v>
      </c>
      <c r="S6361" t="s">
        <v>40664</v>
      </c>
      <c r="T6361" t="s">
        <v>42427</v>
      </c>
      <c r="U6361" t="s">
        <v>48005</v>
      </c>
      <c r="V6361" t="s">
        <v>54051</v>
      </c>
      <c r="W6361" t="s">
        <v>37371</v>
      </c>
      <c r="X6361" t="s">
        <v>40444</v>
      </c>
    </row>
    <row r="6362" spans="1:24">
      <c r="A6362">
        <f>HYPERLINK("https://www.philgeps.gov.ph/GEPSNONPILOT/Tender/SplashBidNoticeAbstractUI.aspx?menuIndex=3&amp;refID=7042756&amp;Result=3","7042756")</f>
        <v>0</v>
      </c>
      <c r="B6362" t="s">
        <v>2053</v>
      </c>
      <c r="C6362" t="s">
        <v>9127</v>
      </c>
      <c r="E6362" t="s">
        <v>21904</v>
      </c>
      <c r="F6362" t="s">
        <v>28198</v>
      </c>
      <c r="G6362" t="s">
        <v>28205</v>
      </c>
      <c r="H6362" t="s">
        <v>28215</v>
      </c>
      <c r="I6362" t="s">
        <v>28222</v>
      </c>
      <c r="J6362" t="s">
        <v>28379</v>
      </c>
      <c r="K6362" t="s">
        <v>36689</v>
      </c>
      <c r="M6362" t="s">
        <v>39199</v>
      </c>
      <c r="N6362" t="s">
        <v>40436</v>
      </c>
      <c r="O6362" t="s">
        <v>40437</v>
      </c>
      <c r="P6362">
        <v>0</v>
      </c>
      <c r="Q6362">
        <v>2</v>
      </c>
      <c r="R6362" t="s">
        <v>40443</v>
      </c>
      <c r="S6362" t="s">
        <v>40644</v>
      </c>
      <c r="T6362" t="s">
        <v>42213</v>
      </c>
      <c r="U6362" t="s">
        <v>48006</v>
      </c>
      <c r="V6362" t="s">
        <v>53826</v>
      </c>
      <c r="W6362" t="s">
        <v>39199</v>
      </c>
      <c r="X6362" t="s">
        <v>40444</v>
      </c>
    </row>
    <row r="6363" spans="1:24">
      <c r="A6363">
        <f>HYPERLINK("https://www.philgeps.gov.ph/GEPSNONPILOT/Tender/SplashBidNoticeAbstractUI.aspx?menuIndex=3&amp;refID=7042714&amp;Result=3","7042714")</f>
        <v>0</v>
      </c>
      <c r="B6363" t="s">
        <v>589</v>
      </c>
      <c r="C6363" t="s">
        <v>9128</v>
      </c>
      <c r="D6363" t="s">
        <v>16199</v>
      </c>
      <c r="E6363" t="s">
        <v>21905</v>
      </c>
      <c r="F6363" t="s">
        <v>28198</v>
      </c>
      <c r="G6363" t="s">
        <v>28205</v>
      </c>
      <c r="H6363" t="s">
        <v>28214</v>
      </c>
      <c r="I6363" t="s">
        <v>3797</v>
      </c>
      <c r="J6363" t="s">
        <v>32339</v>
      </c>
      <c r="K6363" t="s">
        <v>36690</v>
      </c>
      <c r="M6363" t="s">
        <v>37578</v>
      </c>
      <c r="N6363" t="s">
        <v>40436</v>
      </c>
      <c r="O6363" t="s">
        <v>40437</v>
      </c>
      <c r="P6363">
        <v>0</v>
      </c>
      <c r="Q6363">
        <v>0</v>
      </c>
      <c r="R6363" t="s">
        <v>40443</v>
      </c>
      <c r="S6363" t="s">
        <v>40644</v>
      </c>
      <c r="T6363" t="s">
        <v>42145</v>
      </c>
      <c r="U6363" t="s">
        <v>48007</v>
      </c>
      <c r="V6363" t="s">
        <v>54449</v>
      </c>
      <c r="W6363" t="s">
        <v>37578</v>
      </c>
      <c r="X6363" t="s">
        <v>40444</v>
      </c>
    </row>
    <row r="6364" spans="1:24">
      <c r="A6364">
        <f>HYPERLINK("https://www.philgeps.gov.ph/GEPSNONPILOT/Tender/SplashBidNoticeAbstractUI.aspx?menuIndex=3&amp;refID=7042716&amp;Result=3","7042716")</f>
        <v>0</v>
      </c>
      <c r="B6364" t="s">
        <v>2054</v>
      </c>
      <c r="C6364" t="s">
        <v>9129</v>
      </c>
      <c r="D6364" t="s">
        <v>16210</v>
      </c>
      <c r="E6364" t="s">
        <v>21906</v>
      </c>
      <c r="F6364" t="s">
        <v>28198</v>
      </c>
      <c r="G6364" t="s">
        <v>28210</v>
      </c>
      <c r="H6364" t="s">
        <v>28215</v>
      </c>
      <c r="I6364" t="s">
        <v>5082</v>
      </c>
      <c r="J6364" t="s">
        <v>32333</v>
      </c>
      <c r="K6364" t="s">
        <v>36701</v>
      </c>
      <c r="M6364" t="s">
        <v>39200</v>
      </c>
      <c r="N6364" t="s">
        <v>40436</v>
      </c>
      <c r="O6364" t="s">
        <v>40437</v>
      </c>
      <c r="P6364">
        <v>0</v>
      </c>
      <c r="Q6364">
        <v>15</v>
      </c>
      <c r="R6364" t="s">
        <v>40443</v>
      </c>
      <c r="S6364" t="s">
        <v>40644</v>
      </c>
      <c r="T6364" t="s">
        <v>42277</v>
      </c>
      <c r="U6364" t="s">
        <v>48008</v>
      </c>
      <c r="V6364" t="s">
        <v>54450</v>
      </c>
      <c r="W6364" t="s">
        <v>39200</v>
      </c>
      <c r="X6364" t="s">
        <v>40444</v>
      </c>
    </row>
    <row r="6365" spans="1:24">
      <c r="A6365">
        <f>HYPERLINK("https://www.philgeps.gov.ph/GEPSNONPILOT/Tender/SplashBidNoticeAbstractUI.aspx?menuIndex=3&amp;refID=7042726&amp;Result=3","7042726")</f>
        <v>0</v>
      </c>
      <c r="B6365" t="s">
        <v>870</v>
      </c>
      <c r="C6365" t="s">
        <v>9130</v>
      </c>
      <c r="D6365" t="s">
        <v>16221</v>
      </c>
      <c r="E6365" t="s">
        <v>21907</v>
      </c>
      <c r="F6365" t="s">
        <v>28198</v>
      </c>
      <c r="G6365" t="s">
        <v>28205</v>
      </c>
      <c r="H6365" t="s">
        <v>28214</v>
      </c>
      <c r="I6365" t="s">
        <v>3797</v>
      </c>
      <c r="J6365" t="s">
        <v>32340</v>
      </c>
      <c r="K6365" t="s">
        <v>36690</v>
      </c>
      <c r="M6365" t="s">
        <v>37882</v>
      </c>
      <c r="N6365" t="s">
        <v>40436</v>
      </c>
      <c r="O6365" t="s">
        <v>40437</v>
      </c>
      <c r="P6365">
        <v>0</v>
      </c>
      <c r="Q6365">
        <v>4</v>
      </c>
      <c r="R6365" t="s">
        <v>40443</v>
      </c>
      <c r="S6365" t="s">
        <v>40644</v>
      </c>
      <c r="T6365" t="s">
        <v>42165</v>
      </c>
      <c r="U6365" t="s">
        <v>47936</v>
      </c>
      <c r="V6365" t="s">
        <v>54440</v>
      </c>
      <c r="W6365" t="s">
        <v>37882</v>
      </c>
      <c r="X6365" t="s">
        <v>40444</v>
      </c>
    </row>
    <row r="6366" spans="1:24">
      <c r="A6366">
        <f>HYPERLINK("https://www.philgeps.gov.ph/GEPSNONPILOT/Tender/SplashBidNoticeAbstractUI.aspx?menuIndex=3&amp;refID=7042745&amp;Result=3","7042745")</f>
        <v>0</v>
      </c>
      <c r="B6366" t="s">
        <v>1268</v>
      </c>
      <c r="C6366" t="s">
        <v>9131</v>
      </c>
      <c r="D6366" t="s">
        <v>16228</v>
      </c>
      <c r="E6366" t="s">
        <v>21908</v>
      </c>
      <c r="F6366" t="s">
        <v>28198</v>
      </c>
      <c r="G6366" t="s">
        <v>28207</v>
      </c>
      <c r="H6366" t="s">
        <v>28215</v>
      </c>
      <c r="I6366" t="s">
        <v>28228</v>
      </c>
      <c r="J6366" t="s">
        <v>32341</v>
      </c>
      <c r="K6366" t="s">
        <v>36707</v>
      </c>
      <c r="M6366" t="s">
        <v>38318</v>
      </c>
      <c r="N6366" t="s">
        <v>40436</v>
      </c>
      <c r="O6366" t="s">
        <v>40437</v>
      </c>
      <c r="P6366">
        <v>0</v>
      </c>
      <c r="Q6366">
        <v>0</v>
      </c>
      <c r="R6366" t="s">
        <v>40443</v>
      </c>
      <c r="S6366" t="s">
        <v>40644</v>
      </c>
      <c r="T6366" t="s">
        <v>42184</v>
      </c>
      <c r="U6366" t="s">
        <v>48009</v>
      </c>
      <c r="W6366" t="s">
        <v>38318</v>
      </c>
      <c r="X6366" t="s">
        <v>40444</v>
      </c>
    </row>
    <row r="6367" spans="1:24">
      <c r="A6367">
        <f>HYPERLINK("https://www.philgeps.gov.ph/GEPSNONPILOT/Tender/SplashBidNoticeAbstractUI.aspx?menuIndex=3&amp;refID=7042713&amp;Result=3","7042713")</f>
        <v>0</v>
      </c>
      <c r="B6367" t="s">
        <v>870</v>
      </c>
      <c r="C6367" t="s">
        <v>9132</v>
      </c>
      <c r="D6367" t="s">
        <v>16221</v>
      </c>
      <c r="E6367" t="s">
        <v>21909</v>
      </c>
      <c r="F6367" t="s">
        <v>28198</v>
      </c>
      <c r="G6367" t="s">
        <v>28205</v>
      </c>
      <c r="H6367" t="s">
        <v>28214</v>
      </c>
      <c r="I6367" t="s">
        <v>3797</v>
      </c>
      <c r="J6367" t="s">
        <v>32340</v>
      </c>
      <c r="K6367" t="s">
        <v>36690</v>
      </c>
      <c r="M6367" t="s">
        <v>37882</v>
      </c>
      <c r="N6367" t="s">
        <v>40436</v>
      </c>
      <c r="O6367" t="s">
        <v>40437</v>
      </c>
      <c r="P6367">
        <v>0</v>
      </c>
      <c r="Q6367">
        <v>4</v>
      </c>
      <c r="R6367" t="s">
        <v>40443</v>
      </c>
      <c r="S6367" t="s">
        <v>40644</v>
      </c>
      <c r="T6367" t="s">
        <v>42165</v>
      </c>
      <c r="U6367" t="s">
        <v>47936</v>
      </c>
      <c r="V6367" t="s">
        <v>54440</v>
      </c>
      <c r="W6367" t="s">
        <v>37882</v>
      </c>
      <c r="X6367" t="s">
        <v>40444</v>
      </c>
    </row>
    <row r="6368" spans="1:24">
      <c r="A6368">
        <f>HYPERLINK("https://www.philgeps.gov.ph/GEPSNONPILOT/Tender/SplashBidNoticeAbstractUI.aspx?menuIndex=3&amp;refID=7042739&amp;Result=3","7042739")</f>
        <v>0</v>
      </c>
      <c r="B6368" t="s">
        <v>870</v>
      </c>
      <c r="C6368" t="s">
        <v>9133</v>
      </c>
      <c r="D6368" t="s">
        <v>16221</v>
      </c>
      <c r="E6368" t="s">
        <v>21910</v>
      </c>
      <c r="F6368" t="s">
        <v>28198</v>
      </c>
      <c r="G6368" t="s">
        <v>28205</v>
      </c>
      <c r="H6368" t="s">
        <v>28214</v>
      </c>
      <c r="I6368" t="s">
        <v>3797</v>
      </c>
      <c r="J6368" t="s">
        <v>32342</v>
      </c>
      <c r="K6368" t="s">
        <v>36735</v>
      </c>
      <c r="M6368" t="s">
        <v>37882</v>
      </c>
      <c r="N6368" t="s">
        <v>40436</v>
      </c>
      <c r="O6368" t="s">
        <v>40437</v>
      </c>
      <c r="P6368">
        <v>0</v>
      </c>
      <c r="Q6368">
        <v>4</v>
      </c>
      <c r="R6368" t="s">
        <v>40443</v>
      </c>
      <c r="S6368" t="s">
        <v>40644</v>
      </c>
      <c r="T6368" t="s">
        <v>42165</v>
      </c>
      <c r="U6368" t="s">
        <v>47936</v>
      </c>
      <c r="V6368" t="s">
        <v>54440</v>
      </c>
      <c r="W6368" t="s">
        <v>37882</v>
      </c>
      <c r="X6368" t="s">
        <v>40444</v>
      </c>
    </row>
    <row r="6369" spans="1:24">
      <c r="A6369">
        <f>HYPERLINK("https://www.philgeps.gov.ph/GEPSNONPILOT/Tender/SplashBidNoticeAbstractUI.aspx?menuIndex=3&amp;refID=7042720&amp;Result=3","7042720")</f>
        <v>0</v>
      </c>
      <c r="B6369" t="s">
        <v>1268</v>
      </c>
      <c r="C6369" t="s">
        <v>9134</v>
      </c>
      <c r="D6369" t="s">
        <v>16228</v>
      </c>
      <c r="E6369" t="s">
        <v>21911</v>
      </c>
      <c r="F6369" t="s">
        <v>28198</v>
      </c>
      <c r="G6369" t="s">
        <v>28207</v>
      </c>
      <c r="H6369" t="s">
        <v>28215</v>
      </c>
      <c r="I6369" t="s">
        <v>28228</v>
      </c>
      <c r="J6369" t="s">
        <v>32343</v>
      </c>
      <c r="K6369" t="s">
        <v>36707</v>
      </c>
      <c r="M6369" t="s">
        <v>38318</v>
      </c>
      <c r="N6369" t="s">
        <v>40436</v>
      </c>
      <c r="O6369" t="s">
        <v>40437</v>
      </c>
      <c r="P6369">
        <v>0</v>
      </c>
      <c r="Q6369">
        <v>0</v>
      </c>
      <c r="R6369" t="s">
        <v>40443</v>
      </c>
      <c r="S6369" t="s">
        <v>40644</v>
      </c>
      <c r="T6369" t="s">
        <v>42184</v>
      </c>
      <c r="U6369" t="s">
        <v>48010</v>
      </c>
      <c r="W6369" t="s">
        <v>38318</v>
      </c>
      <c r="X6369" t="s">
        <v>40444</v>
      </c>
    </row>
    <row r="6370" spans="1:24">
      <c r="A6370">
        <f>HYPERLINK("https://www.philgeps.gov.ph/GEPSNONPILOT/Tender/SplashBidNoticeAbstractUI.aspx?menuIndex=3&amp;refID=7042734&amp;Result=3","7042734")</f>
        <v>0</v>
      </c>
      <c r="B6370" t="s">
        <v>1998</v>
      </c>
      <c r="C6370" t="s">
        <v>9135</v>
      </c>
      <c r="D6370" t="s">
        <v>16210</v>
      </c>
      <c r="E6370" t="s">
        <v>17512</v>
      </c>
      <c r="F6370" t="s">
        <v>28198</v>
      </c>
      <c r="G6370" t="s">
        <v>28207</v>
      </c>
      <c r="H6370" t="s">
        <v>28215</v>
      </c>
      <c r="I6370" t="s">
        <v>28234</v>
      </c>
      <c r="J6370" t="s">
        <v>32344</v>
      </c>
      <c r="K6370" t="s">
        <v>36701</v>
      </c>
      <c r="M6370" t="s">
        <v>39136</v>
      </c>
      <c r="N6370" t="s">
        <v>40436</v>
      </c>
      <c r="O6370" t="s">
        <v>40437</v>
      </c>
      <c r="P6370">
        <v>0</v>
      </c>
      <c r="Q6370">
        <v>19</v>
      </c>
      <c r="R6370" t="s">
        <v>40443</v>
      </c>
      <c r="S6370" t="s">
        <v>40644</v>
      </c>
      <c r="T6370" t="s">
        <v>42185</v>
      </c>
      <c r="U6370" t="s">
        <v>48011</v>
      </c>
      <c r="W6370" t="s">
        <v>39136</v>
      </c>
      <c r="X6370" t="s">
        <v>40444</v>
      </c>
    </row>
    <row r="6371" spans="1:24">
      <c r="A6371">
        <f>HYPERLINK("https://www.philgeps.gov.ph/GEPSNONPILOT/Tender/SplashBidNoticeAbstractUI.aspx?menuIndex=3&amp;refID=7042708&amp;Result=3","7042708")</f>
        <v>0</v>
      </c>
      <c r="B6371" t="s">
        <v>391</v>
      </c>
      <c r="C6371" t="s">
        <v>9136</v>
      </c>
      <c r="D6371" t="s">
        <v>16202</v>
      </c>
      <c r="E6371" t="s">
        <v>21912</v>
      </c>
      <c r="F6371" t="s">
        <v>28198</v>
      </c>
      <c r="G6371" t="s">
        <v>28205</v>
      </c>
      <c r="H6371" t="s">
        <v>28215</v>
      </c>
      <c r="I6371" t="s">
        <v>28225</v>
      </c>
      <c r="J6371" t="s">
        <v>32345</v>
      </c>
      <c r="K6371" t="s">
        <v>36687</v>
      </c>
      <c r="M6371" t="s">
        <v>37371</v>
      </c>
      <c r="N6371" t="s">
        <v>40436</v>
      </c>
      <c r="O6371" t="s">
        <v>40437</v>
      </c>
      <c r="Q6371">
        <v>20</v>
      </c>
      <c r="R6371" t="s">
        <v>40443</v>
      </c>
      <c r="S6371" t="s">
        <v>40665</v>
      </c>
      <c r="T6371" t="s">
        <v>42427</v>
      </c>
      <c r="U6371" t="s">
        <v>48012</v>
      </c>
      <c r="V6371" t="s">
        <v>54051</v>
      </c>
      <c r="W6371" t="s">
        <v>37371</v>
      </c>
      <c r="X6371" t="s">
        <v>40444</v>
      </c>
    </row>
    <row r="6372" spans="1:24">
      <c r="A6372">
        <f>HYPERLINK("https://www.philgeps.gov.ph/GEPSNONPILOT/Tender/SplashBidNoticeAbstractUI.aspx?menuIndex=3&amp;refID=7042744&amp;Result=3","7042744")</f>
        <v>0</v>
      </c>
      <c r="B6372" t="s">
        <v>1306</v>
      </c>
      <c r="C6372" t="s">
        <v>9137</v>
      </c>
      <c r="D6372" t="s">
        <v>16227</v>
      </c>
      <c r="E6372" t="s">
        <v>21913</v>
      </c>
      <c r="F6372" t="s">
        <v>28198</v>
      </c>
      <c r="G6372" t="s">
        <v>28205</v>
      </c>
      <c r="H6372" t="s">
        <v>28214</v>
      </c>
      <c r="I6372" t="s">
        <v>3797</v>
      </c>
      <c r="J6372" t="s">
        <v>32346</v>
      </c>
      <c r="K6372" t="s">
        <v>36761</v>
      </c>
      <c r="M6372" t="s">
        <v>38360</v>
      </c>
      <c r="N6372" t="s">
        <v>40436</v>
      </c>
      <c r="O6372" t="s">
        <v>40437</v>
      </c>
      <c r="P6372">
        <v>0</v>
      </c>
      <c r="Q6372">
        <v>0</v>
      </c>
      <c r="R6372" t="s">
        <v>40443</v>
      </c>
      <c r="S6372" t="s">
        <v>40644</v>
      </c>
      <c r="T6372" t="s">
        <v>42177</v>
      </c>
      <c r="U6372" t="s">
        <v>48013</v>
      </c>
      <c r="W6372" t="s">
        <v>38360</v>
      </c>
      <c r="X6372" t="s">
        <v>40444</v>
      </c>
    </row>
    <row r="6373" spans="1:24">
      <c r="A6373">
        <f>HYPERLINK("https://www.philgeps.gov.ph/GEPSNONPILOT/Tender/SplashBidNoticeAbstractUI.aspx?menuIndex=3&amp;refID=7042732&amp;Result=3","7042732")</f>
        <v>0</v>
      </c>
      <c r="B6373" t="s">
        <v>348</v>
      </c>
      <c r="C6373" t="s">
        <v>9138</v>
      </c>
      <c r="D6373" t="s">
        <v>16227</v>
      </c>
      <c r="E6373" t="s">
        <v>21914</v>
      </c>
      <c r="F6373" t="s">
        <v>28198</v>
      </c>
      <c r="G6373" t="s">
        <v>28205</v>
      </c>
      <c r="H6373" t="s">
        <v>28214</v>
      </c>
      <c r="I6373" t="s">
        <v>3797</v>
      </c>
      <c r="J6373" t="s">
        <v>32347</v>
      </c>
      <c r="K6373" t="s">
        <v>36701</v>
      </c>
      <c r="M6373" t="s">
        <v>37327</v>
      </c>
      <c r="N6373" t="s">
        <v>40436</v>
      </c>
      <c r="O6373" t="s">
        <v>40437</v>
      </c>
      <c r="P6373">
        <v>0</v>
      </c>
      <c r="Q6373">
        <v>2</v>
      </c>
      <c r="R6373" t="s">
        <v>40443</v>
      </c>
      <c r="S6373" t="s">
        <v>40644</v>
      </c>
      <c r="T6373" t="s">
        <v>42248</v>
      </c>
      <c r="U6373" t="s">
        <v>48014</v>
      </c>
      <c r="W6373" t="s">
        <v>55445</v>
      </c>
      <c r="X6373" t="s">
        <v>40444</v>
      </c>
    </row>
    <row r="6374" spans="1:24">
      <c r="A6374">
        <f>HYPERLINK("https://www.philgeps.gov.ph/GEPSNONPILOT/Tender/SplashBidNoticeAbstractUI.aspx?menuIndex=3&amp;refID=7042730&amp;Result=3","7042730")</f>
        <v>0</v>
      </c>
      <c r="B6374" t="s">
        <v>2055</v>
      </c>
      <c r="C6374" t="s">
        <v>9139</v>
      </c>
      <c r="D6374" t="s">
        <v>16194</v>
      </c>
      <c r="E6374" t="s">
        <v>21915</v>
      </c>
      <c r="F6374" t="s">
        <v>28198</v>
      </c>
      <c r="G6374" t="s">
        <v>28205</v>
      </c>
      <c r="H6374" t="s">
        <v>28214</v>
      </c>
      <c r="I6374" t="s">
        <v>3797</v>
      </c>
      <c r="J6374" t="s">
        <v>28468</v>
      </c>
      <c r="K6374" t="s">
        <v>36767</v>
      </c>
      <c r="M6374" t="s">
        <v>39201</v>
      </c>
      <c r="N6374" t="s">
        <v>40436</v>
      </c>
      <c r="O6374" t="s">
        <v>40437</v>
      </c>
      <c r="P6374">
        <v>0</v>
      </c>
      <c r="Q6374">
        <v>7</v>
      </c>
      <c r="R6374" t="s">
        <v>40443</v>
      </c>
      <c r="S6374" t="s">
        <v>40644</v>
      </c>
      <c r="T6374" t="s">
        <v>42106</v>
      </c>
      <c r="U6374" t="s">
        <v>48015</v>
      </c>
      <c r="W6374" t="s">
        <v>39201</v>
      </c>
      <c r="X6374" t="s">
        <v>40444</v>
      </c>
    </row>
    <row r="6375" spans="1:24">
      <c r="A6375">
        <f>HYPERLINK("https://www.philgeps.gov.ph/GEPSNONPILOT/Tender/SplashBidNoticeAbstractUI.aspx?menuIndex=3&amp;refID=7042729&amp;Result=3","7042729")</f>
        <v>0</v>
      </c>
      <c r="B6375" t="s">
        <v>2043</v>
      </c>
      <c r="C6375" t="s">
        <v>9140</v>
      </c>
      <c r="E6375" t="s">
        <v>21916</v>
      </c>
      <c r="F6375" t="s">
        <v>28198</v>
      </c>
      <c r="G6375" t="s">
        <v>28207</v>
      </c>
      <c r="H6375" t="s">
        <v>28215</v>
      </c>
      <c r="I6375" t="s">
        <v>4222</v>
      </c>
      <c r="J6375" t="s">
        <v>28694</v>
      </c>
      <c r="K6375" t="s">
        <v>36689</v>
      </c>
      <c r="M6375" t="s">
        <v>39202</v>
      </c>
      <c r="N6375" t="s">
        <v>40436</v>
      </c>
      <c r="O6375" t="s">
        <v>40437</v>
      </c>
      <c r="P6375">
        <v>0</v>
      </c>
      <c r="Q6375">
        <v>2</v>
      </c>
      <c r="R6375" t="s">
        <v>40443</v>
      </c>
      <c r="S6375" t="s">
        <v>40644</v>
      </c>
      <c r="T6375" t="s">
        <v>42185</v>
      </c>
      <c r="U6375" t="s">
        <v>48016</v>
      </c>
      <c r="W6375" t="s">
        <v>39202</v>
      </c>
      <c r="X6375" t="s">
        <v>40444</v>
      </c>
    </row>
    <row r="6376" spans="1:24">
      <c r="A6376">
        <f>HYPERLINK("https://www.philgeps.gov.ph/GEPSNONPILOT/Tender/SplashBidNoticeAbstractUI.aspx?menuIndex=3&amp;refID=7042711&amp;Result=3","7042711")</f>
        <v>0</v>
      </c>
      <c r="B6376" t="s">
        <v>440</v>
      </c>
      <c r="C6376" t="s">
        <v>9141</v>
      </c>
      <c r="D6376" t="s">
        <v>16203</v>
      </c>
      <c r="E6376" t="s">
        <v>21917</v>
      </c>
      <c r="F6376" t="s">
        <v>28200</v>
      </c>
      <c r="G6376" t="s">
        <v>28205</v>
      </c>
      <c r="H6376" t="s">
        <v>28215</v>
      </c>
      <c r="I6376" t="s">
        <v>28320</v>
      </c>
      <c r="J6376" t="s">
        <v>30685</v>
      </c>
      <c r="K6376" t="s">
        <v>36701</v>
      </c>
      <c r="M6376" t="s">
        <v>37424</v>
      </c>
      <c r="N6376" t="s">
        <v>40436</v>
      </c>
      <c r="O6376" t="s">
        <v>40437</v>
      </c>
      <c r="P6376">
        <v>0</v>
      </c>
      <c r="Q6376">
        <v>4</v>
      </c>
      <c r="R6376" t="s">
        <v>40443</v>
      </c>
      <c r="S6376" t="s">
        <v>40644</v>
      </c>
      <c r="T6376" t="s">
        <v>42390</v>
      </c>
      <c r="U6376" t="s">
        <v>48017</v>
      </c>
      <c r="V6376" t="s">
        <v>53887</v>
      </c>
      <c r="W6376" t="s">
        <v>37424</v>
      </c>
      <c r="X6376" t="s">
        <v>40444</v>
      </c>
    </row>
    <row r="6377" spans="1:24">
      <c r="A6377">
        <f>HYPERLINK("https://www.philgeps.gov.ph/GEPSNONPILOT/Tender/SplashBidNoticeAbstractUI.aspx?menuIndex=3&amp;refID=7042747&amp;Result=3","7042747")</f>
        <v>0</v>
      </c>
      <c r="B6377" t="s">
        <v>391</v>
      </c>
      <c r="C6377" t="s">
        <v>9142</v>
      </c>
      <c r="D6377" t="s">
        <v>16202</v>
      </c>
      <c r="E6377" t="s">
        <v>21918</v>
      </c>
      <c r="F6377" t="s">
        <v>28198</v>
      </c>
      <c r="G6377" t="s">
        <v>28205</v>
      </c>
      <c r="H6377" t="s">
        <v>28215</v>
      </c>
      <c r="I6377" t="s">
        <v>28225</v>
      </c>
      <c r="J6377" t="s">
        <v>32348</v>
      </c>
      <c r="K6377" t="s">
        <v>36687</v>
      </c>
      <c r="M6377" t="s">
        <v>37371</v>
      </c>
      <c r="N6377" t="s">
        <v>40436</v>
      </c>
      <c r="O6377" t="s">
        <v>40437</v>
      </c>
      <c r="Q6377">
        <v>6</v>
      </c>
      <c r="R6377" t="s">
        <v>40443</v>
      </c>
      <c r="S6377" t="s">
        <v>40666</v>
      </c>
      <c r="T6377" t="s">
        <v>42427</v>
      </c>
      <c r="U6377" t="s">
        <v>48018</v>
      </c>
      <c r="V6377" t="s">
        <v>54051</v>
      </c>
      <c r="W6377" t="s">
        <v>37371</v>
      </c>
      <c r="X6377" t="s">
        <v>40444</v>
      </c>
    </row>
    <row r="6378" spans="1:24">
      <c r="A6378">
        <f>HYPERLINK("https://www.philgeps.gov.ph/GEPSNONPILOT/Tender/SplashBidNoticeAbstractUI.aspx?menuIndex=3&amp;refID=7042735&amp;Result=3","7042735")</f>
        <v>0</v>
      </c>
      <c r="B6378" t="s">
        <v>1264</v>
      </c>
      <c r="C6378" t="s">
        <v>9143</v>
      </c>
      <c r="D6378" t="s">
        <v>16209</v>
      </c>
      <c r="E6378" t="s">
        <v>21919</v>
      </c>
      <c r="F6378" t="s">
        <v>28198</v>
      </c>
      <c r="G6378" t="s">
        <v>28205</v>
      </c>
      <c r="H6378" t="s">
        <v>28215</v>
      </c>
      <c r="I6378" t="s">
        <v>28243</v>
      </c>
      <c r="J6378" t="s">
        <v>32349</v>
      </c>
      <c r="K6378" t="s">
        <v>36694</v>
      </c>
      <c r="M6378" t="s">
        <v>38314</v>
      </c>
      <c r="N6378" t="s">
        <v>40436</v>
      </c>
      <c r="O6378" t="s">
        <v>40437</v>
      </c>
      <c r="P6378">
        <v>0</v>
      </c>
      <c r="Q6378">
        <v>3</v>
      </c>
      <c r="R6378" t="s">
        <v>40443</v>
      </c>
      <c r="S6378" t="s">
        <v>40644</v>
      </c>
      <c r="T6378" t="s">
        <v>42125</v>
      </c>
      <c r="U6378" t="s">
        <v>47980</v>
      </c>
      <c r="W6378" t="s">
        <v>38314</v>
      </c>
      <c r="X6378" t="s">
        <v>40444</v>
      </c>
    </row>
    <row r="6379" spans="1:24">
      <c r="A6379">
        <f>HYPERLINK("https://www.philgeps.gov.ph/GEPSNONPILOT/Tender/SplashBidNoticeAbstractUI.aspx?menuIndex=3&amp;refID=7042728&amp;Result=3","7042728")</f>
        <v>0</v>
      </c>
      <c r="B6379" t="s">
        <v>2030</v>
      </c>
      <c r="C6379" t="s">
        <v>9144</v>
      </c>
      <c r="D6379" t="s">
        <v>16213</v>
      </c>
      <c r="E6379" t="s">
        <v>21920</v>
      </c>
      <c r="F6379" t="s">
        <v>28198</v>
      </c>
      <c r="G6379" t="s">
        <v>28205</v>
      </c>
      <c r="H6379" t="s">
        <v>28215</v>
      </c>
      <c r="I6379" t="s">
        <v>28238</v>
      </c>
      <c r="J6379" t="s">
        <v>29208</v>
      </c>
      <c r="K6379" t="s">
        <v>36786</v>
      </c>
      <c r="M6379" t="s">
        <v>39172</v>
      </c>
      <c r="N6379" t="s">
        <v>40436</v>
      </c>
      <c r="O6379" t="s">
        <v>40437</v>
      </c>
      <c r="P6379">
        <v>0</v>
      </c>
      <c r="Q6379">
        <v>3</v>
      </c>
      <c r="R6379" t="s">
        <v>40443</v>
      </c>
      <c r="S6379" t="s">
        <v>40644</v>
      </c>
      <c r="T6379" t="s">
        <v>42445</v>
      </c>
      <c r="U6379" t="s">
        <v>48019</v>
      </c>
      <c r="W6379" t="s">
        <v>39172</v>
      </c>
      <c r="X6379" t="s">
        <v>40444</v>
      </c>
    </row>
    <row r="6380" spans="1:24">
      <c r="A6380">
        <f>HYPERLINK("https://www.philgeps.gov.ph/GEPSNONPILOT/Tender/SplashBidNoticeAbstractUI.aspx?menuIndex=3&amp;refID=7042760&amp;Result=3","7042760")</f>
        <v>0</v>
      </c>
      <c r="B6380" t="s">
        <v>870</v>
      </c>
      <c r="C6380" t="s">
        <v>9145</v>
      </c>
      <c r="D6380" t="s">
        <v>16221</v>
      </c>
      <c r="E6380" t="s">
        <v>21921</v>
      </c>
      <c r="F6380" t="s">
        <v>28198</v>
      </c>
      <c r="G6380" t="s">
        <v>28205</v>
      </c>
      <c r="H6380" t="s">
        <v>28214</v>
      </c>
      <c r="I6380" t="s">
        <v>3797</v>
      </c>
      <c r="J6380" t="s">
        <v>32323</v>
      </c>
      <c r="K6380" t="s">
        <v>36842</v>
      </c>
      <c r="M6380" t="s">
        <v>37882</v>
      </c>
      <c r="N6380" t="s">
        <v>40436</v>
      </c>
      <c r="O6380" t="s">
        <v>40437</v>
      </c>
      <c r="P6380">
        <v>0</v>
      </c>
      <c r="Q6380">
        <v>4</v>
      </c>
      <c r="R6380" t="s">
        <v>40443</v>
      </c>
      <c r="S6380" t="s">
        <v>40644</v>
      </c>
      <c r="T6380" t="s">
        <v>42165</v>
      </c>
      <c r="U6380" t="s">
        <v>47936</v>
      </c>
      <c r="V6380" t="s">
        <v>54440</v>
      </c>
      <c r="W6380" t="s">
        <v>37882</v>
      </c>
      <c r="X6380" t="s">
        <v>40444</v>
      </c>
    </row>
    <row r="6381" spans="1:24">
      <c r="A6381">
        <f>HYPERLINK("https://www.philgeps.gov.ph/GEPSNONPILOT/Tender/SplashBidNoticeAbstractUI.aspx?menuIndex=3&amp;refID=7042781&amp;Result=3","7042781")</f>
        <v>0</v>
      </c>
      <c r="B6381" t="s">
        <v>2043</v>
      </c>
      <c r="C6381" t="s">
        <v>9079</v>
      </c>
      <c r="D6381" t="s">
        <v>16228</v>
      </c>
      <c r="E6381" t="s">
        <v>16565</v>
      </c>
      <c r="F6381" t="s">
        <v>28198</v>
      </c>
      <c r="G6381" t="s">
        <v>28207</v>
      </c>
      <c r="H6381" t="s">
        <v>28215</v>
      </c>
      <c r="I6381" t="s">
        <v>28236</v>
      </c>
      <c r="J6381" t="s">
        <v>28352</v>
      </c>
      <c r="K6381" t="s">
        <v>36688</v>
      </c>
      <c r="M6381" t="s">
        <v>39187</v>
      </c>
      <c r="N6381" t="s">
        <v>40436</v>
      </c>
      <c r="O6381" t="s">
        <v>40437</v>
      </c>
      <c r="P6381">
        <v>0</v>
      </c>
      <c r="Q6381">
        <v>0</v>
      </c>
      <c r="R6381" t="s">
        <v>40443</v>
      </c>
      <c r="S6381" t="s">
        <v>40644</v>
      </c>
      <c r="T6381" t="s">
        <v>42131</v>
      </c>
      <c r="U6381" t="s">
        <v>48020</v>
      </c>
      <c r="W6381" t="s">
        <v>39187</v>
      </c>
      <c r="X6381" t="s">
        <v>40444</v>
      </c>
    </row>
    <row r="6382" spans="1:24">
      <c r="A6382">
        <f>HYPERLINK("https://www.philgeps.gov.ph/GEPSNONPILOT/Tender/SplashBidNoticeAbstractUI.aspx?menuIndex=3&amp;refID=7042770&amp;Result=3","7042770")</f>
        <v>0</v>
      </c>
      <c r="B6382" t="s">
        <v>806</v>
      </c>
      <c r="C6382" t="s">
        <v>9146</v>
      </c>
      <c r="D6382" t="s">
        <v>16188</v>
      </c>
      <c r="E6382" t="s">
        <v>21922</v>
      </c>
      <c r="F6382" t="s">
        <v>28198</v>
      </c>
      <c r="G6382" t="s">
        <v>28205</v>
      </c>
      <c r="H6382" t="s">
        <v>28214</v>
      </c>
      <c r="I6382" t="s">
        <v>3797</v>
      </c>
      <c r="J6382" t="s">
        <v>28351</v>
      </c>
      <c r="K6382" t="s">
        <v>36715</v>
      </c>
      <c r="M6382" t="s">
        <v>37814</v>
      </c>
      <c r="N6382" t="s">
        <v>40436</v>
      </c>
      <c r="O6382" t="s">
        <v>40437</v>
      </c>
      <c r="P6382">
        <v>0</v>
      </c>
      <c r="Q6382">
        <v>0</v>
      </c>
      <c r="R6382" t="s">
        <v>40443</v>
      </c>
      <c r="S6382" t="s">
        <v>40644</v>
      </c>
      <c r="T6382" t="s">
        <v>42133</v>
      </c>
      <c r="U6382" t="s">
        <v>48021</v>
      </c>
      <c r="W6382" t="s">
        <v>37814</v>
      </c>
      <c r="X6382" t="s">
        <v>40444</v>
      </c>
    </row>
    <row r="6383" spans="1:24">
      <c r="A6383">
        <f>HYPERLINK("https://www.philgeps.gov.ph/GEPSNONPILOT/Tender/SplashBidNoticeAbstractUI.aspx?menuIndex=3&amp;refID=7042784&amp;Result=3","7042784")</f>
        <v>0</v>
      </c>
      <c r="B6383" t="s">
        <v>2027</v>
      </c>
      <c r="C6383" t="s">
        <v>9147</v>
      </c>
      <c r="D6383" t="s">
        <v>16210</v>
      </c>
      <c r="E6383" t="s">
        <v>21923</v>
      </c>
      <c r="F6383" t="s">
        <v>28198</v>
      </c>
      <c r="G6383" t="s">
        <v>28205</v>
      </c>
      <c r="H6383" t="s">
        <v>28215</v>
      </c>
      <c r="I6383" t="s">
        <v>4168</v>
      </c>
      <c r="J6383" t="s">
        <v>32350</v>
      </c>
      <c r="K6383" t="s">
        <v>36697</v>
      </c>
      <c r="M6383" t="s">
        <v>39203</v>
      </c>
      <c r="N6383" t="s">
        <v>40436</v>
      </c>
      <c r="O6383" t="s">
        <v>40437</v>
      </c>
      <c r="P6383">
        <v>0</v>
      </c>
      <c r="Q6383">
        <v>16</v>
      </c>
      <c r="R6383" t="s">
        <v>40443</v>
      </c>
      <c r="S6383" t="s">
        <v>40644</v>
      </c>
      <c r="T6383" t="s">
        <v>42138</v>
      </c>
      <c r="U6383" t="s">
        <v>48022</v>
      </c>
      <c r="V6383" t="s">
        <v>54451</v>
      </c>
      <c r="W6383" t="s">
        <v>39203</v>
      </c>
      <c r="X6383" t="s">
        <v>40444</v>
      </c>
    </row>
    <row r="6384" spans="1:24">
      <c r="A6384">
        <f>HYPERLINK("https://www.philgeps.gov.ph/GEPSNONPILOT/Tender/SplashBidNoticeAbstractUI.aspx?menuIndex=3&amp;refID=7042771&amp;Result=3","7042771")</f>
        <v>0</v>
      </c>
      <c r="B6384" t="s">
        <v>2052</v>
      </c>
      <c r="C6384" t="s">
        <v>9148</v>
      </c>
      <c r="D6384" t="s">
        <v>16223</v>
      </c>
      <c r="E6384" t="s">
        <v>21924</v>
      </c>
      <c r="F6384" t="s">
        <v>28198</v>
      </c>
      <c r="G6384" t="s">
        <v>28205</v>
      </c>
      <c r="H6384" t="s">
        <v>28215</v>
      </c>
      <c r="I6384" t="s">
        <v>4505</v>
      </c>
      <c r="J6384" t="s">
        <v>28393</v>
      </c>
      <c r="K6384" t="s">
        <v>36701</v>
      </c>
      <c r="M6384" t="s">
        <v>39198</v>
      </c>
      <c r="N6384" t="s">
        <v>40436</v>
      </c>
      <c r="O6384" t="s">
        <v>40437</v>
      </c>
      <c r="P6384">
        <v>0</v>
      </c>
      <c r="Q6384">
        <v>3</v>
      </c>
      <c r="R6384" t="s">
        <v>40443</v>
      </c>
      <c r="S6384" t="s">
        <v>40644</v>
      </c>
      <c r="T6384" t="s">
        <v>42383</v>
      </c>
      <c r="U6384" t="s">
        <v>48023</v>
      </c>
      <c r="W6384" t="s">
        <v>39198</v>
      </c>
      <c r="X6384" t="s">
        <v>40444</v>
      </c>
    </row>
    <row r="6385" spans="1:24">
      <c r="A6385">
        <f>HYPERLINK("https://www.philgeps.gov.ph/GEPSNONPILOT/Tender/SplashBidNoticeAbstractUI.aspx?menuIndex=3&amp;refID=7042764&amp;Result=3","7042764")</f>
        <v>0</v>
      </c>
      <c r="B6385" t="s">
        <v>2056</v>
      </c>
      <c r="C6385" t="s">
        <v>9149</v>
      </c>
      <c r="D6385" t="s">
        <v>16254</v>
      </c>
      <c r="E6385" t="s">
        <v>21925</v>
      </c>
      <c r="F6385" t="s">
        <v>28198</v>
      </c>
      <c r="G6385" t="s">
        <v>28205</v>
      </c>
      <c r="H6385" t="s">
        <v>28214</v>
      </c>
      <c r="I6385" t="s">
        <v>3797</v>
      </c>
      <c r="J6385" t="s">
        <v>31508</v>
      </c>
      <c r="K6385" t="s">
        <v>36715</v>
      </c>
      <c r="M6385" t="s">
        <v>39204</v>
      </c>
      <c r="N6385" t="s">
        <v>40436</v>
      </c>
      <c r="O6385" t="s">
        <v>40437</v>
      </c>
      <c r="P6385">
        <v>0</v>
      </c>
      <c r="Q6385">
        <v>0</v>
      </c>
      <c r="R6385" t="s">
        <v>40443</v>
      </c>
      <c r="S6385" t="s">
        <v>40644</v>
      </c>
      <c r="T6385" t="s">
        <v>42145</v>
      </c>
      <c r="U6385" t="s">
        <v>48024</v>
      </c>
      <c r="V6385" t="s">
        <v>42746</v>
      </c>
      <c r="W6385" t="s">
        <v>39204</v>
      </c>
      <c r="X6385" t="s">
        <v>40444</v>
      </c>
    </row>
    <row r="6386" spans="1:24">
      <c r="A6386">
        <f>HYPERLINK("https://www.philgeps.gov.ph/GEPSNONPILOT/Tender/SplashBidNoticeAbstractUI.aspx?menuIndex=3&amp;refID=7042772&amp;Result=3","7042772")</f>
        <v>0</v>
      </c>
      <c r="B6386" t="s">
        <v>1123</v>
      </c>
      <c r="C6386" t="s">
        <v>9150</v>
      </c>
      <c r="D6386" t="s">
        <v>16192</v>
      </c>
      <c r="E6386" t="s">
        <v>21926</v>
      </c>
      <c r="F6386" t="s">
        <v>28198</v>
      </c>
      <c r="G6386" t="s">
        <v>28205</v>
      </c>
      <c r="H6386" t="s">
        <v>28215</v>
      </c>
      <c r="I6386" t="s">
        <v>28228</v>
      </c>
      <c r="J6386" t="s">
        <v>32351</v>
      </c>
      <c r="K6386" t="s">
        <v>36688</v>
      </c>
      <c r="M6386" t="s">
        <v>38161</v>
      </c>
      <c r="N6386" t="s">
        <v>40436</v>
      </c>
      <c r="O6386" t="s">
        <v>40437</v>
      </c>
      <c r="P6386">
        <v>0</v>
      </c>
      <c r="Q6386">
        <v>0</v>
      </c>
      <c r="R6386" t="s">
        <v>40443</v>
      </c>
      <c r="S6386" t="s">
        <v>40644</v>
      </c>
      <c r="T6386" t="s">
        <v>42176</v>
      </c>
      <c r="U6386" t="s">
        <v>48025</v>
      </c>
      <c r="W6386" t="s">
        <v>38161</v>
      </c>
      <c r="X6386" t="s">
        <v>40444</v>
      </c>
    </row>
    <row r="6387" spans="1:24">
      <c r="A6387">
        <f>HYPERLINK("https://www.philgeps.gov.ph/GEPSNONPILOT/Tender/SplashBidNoticeAbstractUI.aspx?menuIndex=3&amp;refID=7042769&amp;Result=3","7042769")</f>
        <v>0</v>
      </c>
      <c r="B6387" t="s">
        <v>870</v>
      </c>
      <c r="C6387" t="s">
        <v>9151</v>
      </c>
      <c r="D6387" t="s">
        <v>16221</v>
      </c>
      <c r="E6387" t="s">
        <v>21927</v>
      </c>
      <c r="F6387" t="s">
        <v>28198</v>
      </c>
      <c r="G6387" t="s">
        <v>28205</v>
      </c>
      <c r="H6387" t="s">
        <v>28214</v>
      </c>
      <c r="I6387" t="s">
        <v>3797</v>
      </c>
      <c r="J6387" t="s">
        <v>32323</v>
      </c>
      <c r="K6387" t="s">
        <v>36690</v>
      </c>
      <c r="M6387" t="s">
        <v>37882</v>
      </c>
      <c r="N6387" t="s">
        <v>40436</v>
      </c>
      <c r="O6387" t="s">
        <v>40437</v>
      </c>
      <c r="P6387">
        <v>0</v>
      </c>
      <c r="Q6387">
        <v>3</v>
      </c>
      <c r="R6387" t="s">
        <v>40443</v>
      </c>
      <c r="S6387" t="s">
        <v>40644</v>
      </c>
      <c r="T6387" t="s">
        <v>42165</v>
      </c>
      <c r="U6387" t="s">
        <v>47936</v>
      </c>
      <c r="V6387" t="s">
        <v>54440</v>
      </c>
      <c r="W6387" t="s">
        <v>37882</v>
      </c>
      <c r="X6387" t="s">
        <v>40444</v>
      </c>
    </row>
    <row r="6388" spans="1:24">
      <c r="A6388">
        <f>HYPERLINK("https://www.philgeps.gov.ph/GEPSNONPILOT/Tender/SplashBidNoticeAbstractUI.aspx?menuIndex=3&amp;refID=7042798&amp;Result=3","7042798")</f>
        <v>0</v>
      </c>
      <c r="B6388" t="s">
        <v>1264</v>
      </c>
      <c r="C6388" t="s">
        <v>9152</v>
      </c>
      <c r="D6388" t="s">
        <v>16209</v>
      </c>
      <c r="E6388" t="s">
        <v>21928</v>
      </c>
      <c r="F6388" t="s">
        <v>28198</v>
      </c>
      <c r="G6388" t="s">
        <v>28205</v>
      </c>
      <c r="H6388" t="s">
        <v>28215</v>
      </c>
      <c r="I6388" t="s">
        <v>28257</v>
      </c>
      <c r="J6388" t="s">
        <v>32352</v>
      </c>
      <c r="K6388" t="s">
        <v>36701</v>
      </c>
      <c r="M6388" t="s">
        <v>38314</v>
      </c>
      <c r="N6388" t="s">
        <v>40436</v>
      </c>
      <c r="O6388" t="s">
        <v>40437</v>
      </c>
      <c r="P6388">
        <v>0</v>
      </c>
      <c r="Q6388">
        <v>1</v>
      </c>
      <c r="R6388" t="s">
        <v>40443</v>
      </c>
      <c r="S6388" t="s">
        <v>40644</v>
      </c>
      <c r="T6388" t="s">
        <v>42134</v>
      </c>
      <c r="U6388" t="s">
        <v>47980</v>
      </c>
      <c r="W6388" t="s">
        <v>38314</v>
      </c>
      <c r="X6388" t="s">
        <v>40444</v>
      </c>
    </row>
    <row r="6389" spans="1:24">
      <c r="A6389">
        <f>HYPERLINK("https://www.philgeps.gov.ph/GEPSNONPILOT/Tender/SplashBidNoticeAbstractUI.aspx?menuIndex=3&amp;refID=7042796&amp;Result=3","7042796")</f>
        <v>0</v>
      </c>
      <c r="B6389" t="s">
        <v>1033</v>
      </c>
      <c r="C6389" t="s">
        <v>9153</v>
      </c>
      <c r="D6389" t="s">
        <v>16187</v>
      </c>
      <c r="E6389" t="s">
        <v>21929</v>
      </c>
      <c r="F6389" t="s">
        <v>28198</v>
      </c>
      <c r="G6389" t="s">
        <v>28205</v>
      </c>
      <c r="H6389" t="s">
        <v>28214</v>
      </c>
      <c r="I6389" t="s">
        <v>3797</v>
      </c>
      <c r="J6389" t="s">
        <v>32353</v>
      </c>
      <c r="K6389" t="s">
        <v>36694</v>
      </c>
      <c r="M6389" t="s">
        <v>39055</v>
      </c>
      <c r="N6389" t="s">
        <v>40436</v>
      </c>
      <c r="O6389" t="s">
        <v>40437</v>
      </c>
      <c r="P6389">
        <v>0</v>
      </c>
      <c r="Q6389">
        <v>0</v>
      </c>
      <c r="R6389" t="s">
        <v>40443</v>
      </c>
      <c r="S6389" t="s">
        <v>40644</v>
      </c>
      <c r="T6389" t="s">
        <v>42159</v>
      </c>
      <c r="U6389" t="s">
        <v>48026</v>
      </c>
      <c r="W6389" t="s">
        <v>39055</v>
      </c>
      <c r="X6389" t="s">
        <v>40444</v>
      </c>
    </row>
    <row r="6390" spans="1:24">
      <c r="A6390">
        <f>HYPERLINK("https://www.philgeps.gov.ph/GEPSNONPILOT/Tender/SplashBidNoticeAbstractUI.aspx?menuIndex=3&amp;refID=7042802&amp;Result=3","7042802")</f>
        <v>0</v>
      </c>
      <c r="B6390" t="s">
        <v>870</v>
      </c>
      <c r="C6390" t="s">
        <v>9154</v>
      </c>
      <c r="D6390" t="s">
        <v>16221</v>
      </c>
      <c r="E6390" t="s">
        <v>21930</v>
      </c>
      <c r="F6390" t="s">
        <v>28198</v>
      </c>
      <c r="G6390" t="s">
        <v>28205</v>
      </c>
      <c r="H6390" t="s">
        <v>28214</v>
      </c>
      <c r="I6390" t="s">
        <v>3797</v>
      </c>
      <c r="J6390" t="s">
        <v>32354</v>
      </c>
      <c r="K6390" t="s">
        <v>36742</v>
      </c>
      <c r="M6390" t="s">
        <v>37882</v>
      </c>
      <c r="N6390" t="s">
        <v>40436</v>
      </c>
      <c r="O6390" t="s">
        <v>40437</v>
      </c>
      <c r="P6390">
        <v>0</v>
      </c>
      <c r="Q6390">
        <v>4</v>
      </c>
      <c r="R6390" t="s">
        <v>40443</v>
      </c>
      <c r="S6390" t="s">
        <v>40644</v>
      </c>
      <c r="T6390" t="s">
        <v>42165</v>
      </c>
      <c r="U6390" t="s">
        <v>47936</v>
      </c>
      <c r="V6390" t="s">
        <v>54440</v>
      </c>
      <c r="W6390" t="s">
        <v>37882</v>
      </c>
      <c r="X6390" t="s">
        <v>40444</v>
      </c>
    </row>
    <row r="6391" spans="1:24">
      <c r="A6391">
        <f>HYPERLINK("https://www.philgeps.gov.ph/GEPSNONPILOT/Tender/SplashBidNoticeAbstractUI.aspx?menuIndex=3&amp;refID=7042780&amp;Result=3","7042780")</f>
        <v>0</v>
      </c>
      <c r="B6391" t="s">
        <v>943</v>
      </c>
      <c r="C6391" t="s">
        <v>9155</v>
      </c>
      <c r="D6391" t="s">
        <v>16193</v>
      </c>
      <c r="E6391" t="s">
        <v>21931</v>
      </c>
      <c r="F6391" t="s">
        <v>28198</v>
      </c>
      <c r="G6391" t="s">
        <v>28205</v>
      </c>
      <c r="H6391" t="s">
        <v>28214</v>
      </c>
      <c r="I6391" t="s">
        <v>3797</v>
      </c>
      <c r="J6391" t="s">
        <v>32355</v>
      </c>
      <c r="K6391" t="s">
        <v>36737</v>
      </c>
      <c r="M6391" t="s">
        <v>38717</v>
      </c>
      <c r="N6391" t="s">
        <v>40436</v>
      </c>
      <c r="O6391" t="s">
        <v>40437</v>
      </c>
      <c r="P6391">
        <v>0</v>
      </c>
      <c r="Q6391">
        <v>0</v>
      </c>
      <c r="R6391" t="s">
        <v>40443</v>
      </c>
      <c r="S6391" t="s">
        <v>40644</v>
      </c>
      <c r="T6391" t="s">
        <v>42188</v>
      </c>
      <c r="U6391" t="s">
        <v>48027</v>
      </c>
      <c r="W6391" t="s">
        <v>38717</v>
      </c>
      <c r="X6391" t="s">
        <v>40444</v>
      </c>
    </row>
    <row r="6392" spans="1:24">
      <c r="A6392">
        <f>HYPERLINK("https://www.philgeps.gov.ph/GEPSNONPILOT/Tender/SplashBidNoticeAbstractUI.aspx?menuIndex=3&amp;refID=7042792&amp;Result=3","7042792")</f>
        <v>0</v>
      </c>
      <c r="B6392" t="s">
        <v>426</v>
      </c>
      <c r="C6392" t="s">
        <v>9156</v>
      </c>
      <c r="D6392" t="s">
        <v>16189</v>
      </c>
      <c r="E6392" t="s">
        <v>17010</v>
      </c>
      <c r="F6392" t="s">
        <v>28198</v>
      </c>
      <c r="G6392" t="s">
        <v>28207</v>
      </c>
      <c r="H6392" t="s">
        <v>28214</v>
      </c>
      <c r="I6392" t="s">
        <v>28268</v>
      </c>
      <c r="J6392" t="s">
        <v>28884</v>
      </c>
      <c r="K6392" t="s">
        <v>36743</v>
      </c>
      <c r="M6392" t="s">
        <v>38981</v>
      </c>
      <c r="N6392" t="s">
        <v>40436</v>
      </c>
      <c r="O6392" t="s">
        <v>40437</v>
      </c>
      <c r="P6392">
        <v>0</v>
      </c>
      <c r="Q6392">
        <v>0</v>
      </c>
      <c r="R6392" t="s">
        <v>40443</v>
      </c>
      <c r="S6392" t="s">
        <v>40644</v>
      </c>
      <c r="T6392" t="s">
        <v>42245</v>
      </c>
      <c r="U6392" t="s">
        <v>48028</v>
      </c>
      <c r="W6392" t="s">
        <v>38981</v>
      </c>
      <c r="X6392" t="s">
        <v>40444</v>
      </c>
    </row>
    <row r="6393" spans="1:24">
      <c r="A6393">
        <f>HYPERLINK("https://www.philgeps.gov.ph/GEPSNONPILOT/Tender/SplashBidNoticeAbstractUI.aspx?menuIndex=3&amp;refID=7042793&amp;Result=3","7042793")</f>
        <v>0</v>
      </c>
      <c r="B6393" t="s">
        <v>870</v>
      </c>
      <c r="C6393" t="s">
        <v>9157</v>
      </c>
      <c r="D6393" t="s">
        <v>16221</v>
      </c>
      <c r="E6393" t="s">
        <v>21932</v>
      </c>
      <c r="F6393" t="s">
        <v>28198</v>
      </c>
      <c r="G6393" t="s">
        <v>28205</v>
      </c>
      <c r="H6393" t="s">
        <v>28214</v>
      </c>
      <c r="I6393" t="s">
        <v>3797</v>
      </c>
      <c r="J6393" t="s">
        <v>29743</v>
      </c>
      <c r="K6393" t="s">
        <v>36742</v>
      </c>
      <c r="M6393" t="s">
        <v>37882</v>
      </c>
      <c r="N6393" t="s">
        <v>40436</v>
      </c>
      <c r="O6393" t="s">
        <v>40437</v>
      </c>
      <c r="P6393">
        <v>0</v>
      </c>
      <c r="Q6393">
        <v>3</v>
      </c>
      <c r="R6393" t="s">
        <v>40443</v>
      </c>
      <c r="S6393" t="s">
        <v>40644</v>
      </c>
      <c r="T6393" t="s">
        <v>42165</v>
      </c>
      <c r="U6393" t="s">
        <v>47936</v>
      </c>
      <c r="V6393" t="s">
        <v>54440</v>
      </c>
      <c r="W6393" t="s">
        <v>37882</v>
      </c>
      <c r="X6393" t="s">
        <v>40444</v>
      </c>
    </row>
    <row r="6394" spans="1:24">
      <c r="A6394">
        <f>HYPERLINK("https://www.philgeps.gov.ph/GEPSNONPILOT/Tender/SplashBidNoticeAbstractUI.aspx?menuIndex=3&amp;refID=7042810&amp;Result=3","7042810")</f>
        <v>0</v>
      </c>
      <c r="B6394" t="s">
        <v>338</v>
      </c>
      <c r="C6394" t="s">
        <v>9158</v>
      </c>
      <c r="D6394" t="s">
        <v>16187</v>
      </c>
      <c r="E6394" t="s">
        <v>21933</v>
      </c>
      <c r="F6394" t="s">
        <v>28198</v>
      </c>
      <c r="G6394" t="s">
        <v>28206</v>
      </c>
      <c r="H6394" t="s">
        <v>28215</v>
      </c>
      <c r="I6394" t="s">
        <v>4321</v>
      </c>
      <c r="J6394" t="s">
        <v>28395</v>
      </c>
      <c r="K6394" t="s">
        <v>36698</v>
      </c>
      <c r="M6394" t="s">
        <v>37316</v>
      </c>
      <c r="N6394" t="s">
        <v>40436</v>
      </c>
      <c r="O6394" t="s">
        <v>40437</v>
      </c>
      <c r="P6394">
        <v>0</v>
      </c>
      <c r="Q6394">
        <v>4</v>
      </c>
      <c r="R6394" t="s">
        <v>40443</v>
      </c>
      <c r="S6394" t="s">
        <v>40644</v>
      </c>
      <c r="T6394" t="s">
        <v>42185</v>
      </c>
      <c r="U6394" t="s">
        <v>48029</v>
      </c>
      <c r="W6394" t="s">
        <v>37316</v>
      </c>
      <c r="X6394" t="s">
        <v>40444</v>
      </c>
    </row>
    <row r="6395" spans="1:24">
      <c r="A6395">
        <f>HYPERLINK("https://www.philgeps.gov.ph/GEPSNONPILOT/Tender/SplashBidNoticeAbstractUI.aspx?menuIndex=3&amp;refID=7042803&amp;Result=3","7042803")</f>
        <v>0</v>
      </c>
      <c r="B6395" t="s">
        <v>806</v>
      </c>
      <c r="C6395" t="s">
        <v>9159</v>
      </c>
      <c r="D6395" t="s">
        <v>16188</v>
      </c>
      <c r="E6395" t="s">
        <v>21934</v>
      </c>
      <c r="F6395" t="s">
        <v>28198</v>
      </c>
      <c r="G6395" t="s">
        <v>28205</v>
      </c>
      <c r="H6395" t="s">
        <v>28214</v>
      </c>
      <c r="I6395" t="s">
        <v>3797</v>
      </c>
      <c r="J6395" t="s">
        <v>29113</v>
      </c>
      <c r="K6395" t="s">
        <v>36694</v>
      </c>
      <c r="M6395" t="s">
        <v>37814</v>
      </c>
      <c r="N6395" t="s">
        <v>40436</v>
      </c>
      <c r="O6395" t="s">
        <v>40437</v>
      </c>
      <c r="P6395">
        <v>0</v>
      </c>
      <c r="Q6395">
        <v>0</v>
      </c>
      <c r="R6395" t="s">
        <v>40443</v>
      </c>
      <c r="S6395" t="s">
        <v>40644</v>
      </c>
      <c r="T6395" t="s">
        <v>42108</v>
      </c>
      <c r="U6395" t="s">
        <v>48030</v>
      </c>
      <c r="W6395" t="s">
        <v>37814</v>
      </c>
      <c r="X6395" t="s">
        <v>40444</v>
      </c>
    </row>
    <row r="6396" spans="1:24">
      <c r="A6396">
        <f>HYPERLINK("https://www.philgeps.gov.ph/GEPSNONPILOT/Tender/SplashBidNoticeAbstractUI.aspx?menuIndex=3&amp;refID=7042777&amp;Result=3","7042777")</f>
        <v>0</v>
      </c>
      <c r="B6396" t="s">
        <v>391</v>
      </c>
      <c r="C6396" t="s">
        <v>9160</v>
      </c>
      <c r="D6396" t="s">
        <v>16202</v>
      </c>
      <c r="E6396" t="s">
        <v>21935</v>
      </c>
      <c r="F6396" t="s">
        <v>28198</v>
      </c>
      <c r="G6396" t="s">
        <v>28205</v>
      </c>
      <c r="H6396" t="s">
        <v>28215</v>
      </c>
      <c r="I6396" t="s">
        <v>8888</v>
      </c>
      <c r="J6396" t="s">
        <v>32356</v>
      </c>
      <c r="K6396" t="s">
        <v>36687</v>
      </c>
      <c r="M6396" t="s">
        <v>37371</v>
      </c>
      <c r="N6396" t="s">
        <v>40436</v>
      </c>
      <c r="O6396" t="s">
        <v>40437</v>
      </c>
      <c r="Q6396">
        <v>8</v>
      </c>
      <c r="R6396" t="s">
        <v>40443</v>
      </c>
      <c r="S6396" t="s">
        <v>40667</v>
      </c>
      <c r="T6396" t="s">
        <v>42427</v>
      </c>
      <c r="U6396" t="s">
        <v>48031</v>
      </c>
      <c r="V6396" t="s">
        <v>54051</v>
      </c>
      <c r="W6396" t="s">
        <v>37371</v>
      </c>
      <c r="X6396" t="s">
        <v>40444</v>
      </c>
    </row>
    <row r="6397" spans="1:24">
      <c r="A6397">
        <f>HYPERLINK("https://www.philgeps.gov.ph/GEPSNONPILOT/Tender/SplashBidNoticeAbstractUI.aspx?menuIndex=3&amp;refID=7042804&amp;Result=3","7042804")</f>
        <v>0</v>
      </c>
      <c r="B6397" t="s">
        <v>1268</v>
      </c>
      <c r="C6397" t="s">
        <v>9161</v>
      </c>
      <c r="D6397" t="s">
        <v>16228</v>
      </c>
      <c r="E6397" t="s">
        <v>21936</v>
      </c>
      <c r="F6397" t="s">
        <v>28198</v>
      </c>
      <c r="G6397" t="s">
        <v>28207</v>
      </c>
      <c r="H6397" t="s">
        <v>28215</v>
      </c>
      <c r="I6397" t="s">
        <v>3774</v>
      </c>
      <c r="J6397" t="s">
        <v>28879</v>
      </c>
      <c r="K6397" t="s">
        <v>36707</v>
      </c>
      <c r="M6397" t="s">
        <v>38318</v>
      </c>
      <c r="N6397" t="s">
        <v>40436</v>
      </c>
      <c r="O6397" t="s">
        <v>40437</v>
      </c>
      <c r="P6397">
        <v>0</v>
      </c>
      <c r="Q6397">
        <v>0</v>
      </c>
      <c r="R6397" t="s">
        <v>40443</v>
      </c>
      <c r="S6397" t="s">
        <v>40644</v>
      </c>
      <c r="T6397" t="s">
        <v>42184</v>
      </c>
      <c r="U6397" t="s">
        <v>48032</v>
      </c>
      <c r="W6397" t="s">
        <v>38318</v>
      </c>
      <c r="X6397" t="s">
        <v>40444</v>
      </c>
    </row>
    <row r="6398" spans="1:24">
      <c r="A6398">
        <f>HYPERLINK("https://www.philgeps.gov.ph/GEPSNONPILOT/Tender/SplashBidNoticeAbstractUI.aspx?menuIndex=3&amp;refID=7042773&amp;Result=3","7042773")</f>
        <v>0</v>
      </c>
      <c r="B6398" t="s">
        <v>2057</v>
      </c>
      <c r="C6398" t="s">
        <v>9162</v>
      </c>
      <c r="D6398" t="s">
        <v>16264</v>
      </c>
      <c r="E6398" t="s">
        <v>21937</v>
      </c>
      <c r="F6398" t="s">
        <v>28198</v>
      </c>
      <c r="G6398" t="s">
        <v>28205</v>
      </c>
      <c r="H6398" t="s">
        <v>28214</v>
      </c>
      <c r="I6398" t="s">
        <v>3797</v>
      </c>
      <c r="J6398" t="s">
        <v>32357</v>
      </c>
      <c r="K6398" t="s">
        <v>36697</v>
      </c>
      <c r="M6398" t="s">
        <v>39205</v>
      </c>
      <c r="N6398" t="s">
        <v>40436</v>
      </c>
      <c r="O6398" t="s">
        <v>40437</v>
      </c>
      <c r="P6398">
        <v>0</v>
      </c>
      <c r="Q6398">
        <v>0</v>
      </c>
      <c r="R6398" t="s">
        <v>40443</v>
      </c>
      <c r="S6398" t="s">
        <v>40644</v>
      </c>
      <c r="T6398" t="s">
        <v>42145</v>
      </c>
      <c r="U6398" t="s">
        <v>48033</v>
      </c>
      <c r="W6398" t="s">
        <v>39205</v>
      </c>
      <c r="X6398" t="s">
        <v>40444</v>
      </c>
    </row>
    <row r="6399" spans="1:24">
      <c r="A6399">
        <f>HYPERLINK("https://www.philgeps.gov.ph/GEPSNONPILOT/Tender/SplashBidNoticeAbstractUI.aspx?menuIndex=3&amp;refID=7042840&amp;Result=3","7042840")</f>
        <v>0</v>
      </c>
      <c r="B6399" t="s">
        <v>806</v>
      </c>
      <c r="C6399" t="s">
        <v>9163</v>
      </c>
      <c r="D6399" t="s">
        <v>16188</v>
      </c>
      <c r="E6399" t="s">
        <v>21938</v>
      </c>
      <c r="F6399" t="s">
        <v>28198</v>
      </c>
      <c r="G6399" t="s">
        <v>28205</v>
      </c>
      <c r="H6399" t="s">
        <v>28214</v>
      </c>
      <c r="I6399" t="s">
        <v>3797</v>
      </c>
      <c r="J6399" t="s">
        <v>28351</v>
      </c>
      <c r="K6399" t="s">
        <v>36687</v>
      </c>
      <c r="M6399" t="s">
        <v>37814</v>
      </c>
      <c r="N6399" t="s">
        <v>40436</v>
      </c>
      <c r="O6399" t="s">
        <v>40437</v>
      </c>
      <c r="P6399">
        <v>0</v>
      </c>
      <c r="Q6399">
        <v>0</v>
      </c>
      <c r="R6399" t="s">
        <v>40443</v>
      </c>
      <c r="S6399" t="s">
        <v>40644</v>
      </c>
      <c r="T6399" t="s">
        <v>42099</v>
      </c>
      <c r="U6399" t="s">
        <v>48030</v>
      </c>
      <c r="W6399" t="s">
        <v>37814</v>
      </c>
      <c r="X6399" t="s">
        <v>40444</v>
      </c>
    </row>
    <row r="6400" spans="1:24">
      <c r="A6400">
        <f>HYPERLINK("https://www.philgeps.gov.ph/GEPSNONPILOT/Tender/SplashBidNoticeAbstractUI.aspx?menuIndex=3&amp;refID=7042782&amp;Result=3","7042782")</f>
        <v>0</v>
      </c>
      <c r="B6400" t="s">
        <v>2053</v>
      </c>
      <c r="C6400" t="s">
        <v>9164</v>
      </c>
      <c r="E6400" t="s">
        <v>21939</v>
      </c>
      <c r="F6400" t="s">
        <v>28198</v>
      </c>
      <c r="G6400" t="s">
        <v>28205</v>
      </c>
      <c r="H6400" t="s">
        <v>28215</v>
      </c>
      <c r="I6400" t="s">
        <v>28280</v>
      </c>
      <c r="J6400" t="s">
        <v>29113</v>
      </c>
      <c r="K6400" t="s">
        <v>36689</v>
      </c>
      <c r="M6400" t="s">
        <v>39199</v>
      </c>
      <c r="N6400" t="s">
        <v>40436</v>
      </c>
      <c r="O6400" t="s">
        <v>40437</v>
      </c>
      <c r="P6400">
        <v>0</v>
      </c>
      <c r="Q6400">
        <v>2</v>
      </c>
      <c r="R6400" t="s">
        <v>40443</v>
      </c>
      <c r="S6400" t="s">
        <v>40644</v>
      </c>
      <c r="T6400" t="s">
        <v>42213</v>
      </c>
      <c r="U6400" t="s">
        <v>48006</v>
      </c>
      <c r="V6400" t="s">
        <v>53826</v>
      </c>
      <c r="W6400" t="s">
        <v>39199</v>
      </c>
      <c r="X6400" t="s">
        <v>40444</v>
      </c>
    </row>
    <row r="6401" spans="1:24">
      <c r="A6401">
        <f>HYPERLINK("https://www.philgeps.gov.ph/GEPSNONPILOT/Tender/SplashBidNoticeAbstractUI.aspx?menuIndex=3&amp;refID=7042848&amp;Result=3","7042848")</f>
        <v>0</v>
      </c>
      <c r="B6401" t="s">
        <v>1873</v>
      </c>
      <c r="C6401" t="s">
        <v>9165</v>
      </c>
      <c r="D6401" t="s">
        <v>16263</v>
      </c>
      <c r="E6401" t="s">
        <v>21940</v>
      </c>
      <c r="F6401" t="s">
        <v>28198</v>
      </c>
      <c r="G6401" t="s">
        <v>28207</v>
      </c>
      <c r="H6401" t="s">
        <v>28215</v>
      </c>
      <c r="I6401" t="s">
        <v>4200</v>
      </c>
      <c r="J6401" t="s">
        <v>32358</v>
      </c>
      <c r="K6401" t="s">
        <v>36689</v>
      </c>
      <c r="M6401" t="s">
        <v>39004</v>
      </c>
      <c r="N6401" t="s">
        <v>40436</v>
      </c>
      <c r="O6401" t="s">
        <v>40437</v>
      </c>
      <c r="P6401">
        <v>0</v>
      </c>
      <c r="Q6401">
        <v>1</v>
      </c>
      <c r="R6401" t="s">
        <v>40443</v>
      </c>
      <c r="S6401" t="s">
        <v>40644</v>
      </c>
      <c r="T6401" t="s">
        <v>42218</v>
      </c>
      <c r="U6401" t="s">
        <v>48034</v>
      </c>
      <c r="V6401" t="s">
        <v>54355</v>
      </c>
      <c r="W6401" t="s">
        <v>39004</v>
      </c>
      <c r="X6401" t="s">
        <v>40444</v>
      </c>
    </row>
    <row r="6402" spans="1:24">
      <c r="A6402">
        <f>HYPERLINK("https://www.philgeps.gov.ph/GEPSNONPILOT/Tender/SplashBidNoticeAbstractUI.aspx?menuIndex=3&amp;refID=7042837&amp;Result=3","7042837")</f>
        <v>0</v>
      </c>
      <c r="B6402" t="s">
        <v>2058</v>
      </c>
      <c r="C6402" t="s">
        <v>9166</v>
      </c>
      <c r="D6402" t="s">
        <v>16188</v>
      </c>
      <c r="E6402" t="s">
        <v>21941</v>
      </c>
      <c r="F6402" t="s">
        <v>28198</v>
      </c>
      <c r="G6402" t="s">
        <v>28205</v>
      </c>
      <c r="H6402" t="s">
        <v>28215</v>
      </c>
      <c r="I6402" t="s">
        <v>28244</v>
      </c>
      <c r="J6402" t="s">
        <v>32359</v>
      </c>
      <c r="K6402" t="s">
        <v>36694</v>
      </c>
      <c r="M6402" t="s">
        <v>39206</v>
      </c>
      <c r="N6402" t="s">
        <v>40436</v>
      </c>
      <c r="O6402" t="s">
        <v>40437</v>
      </c>
      <c r="P6402">
        <v>0</v>
      </c>
      <c r="Q6402">
        <v>1</v>
      </c>
      <c r="R6402" t="s">
        <v>40443</v>
      </c>
      <c r="S6402" t="s">
        <v>40644</v>
      </c>
      <c r="T6402" t="s">
        <v>42169</v>
      </c>
      <c r="U6402" t="s">
        <v>48035</v>
      </c>
      <c r="V6402" t="s">
        <v>54452</v>
      </c>
      <c r="W6402" t="s">
        <v>39206</v>
      </c>
      <c r="X6402" t="s">
        <v>40444</v>
      </c>
    </row>
    <row r="6403" spans="1:24">
      <c r="A6403">
        <f>HYPERLINK("https://www.philgeps.gov.ph/GEPSNONPILOT/Tender/SplashBidNoticeAbstractUI.aspx?menuIndex=3&amp;refID=7042786&amp;Result=3","7042786")</f>
        <v>0</v>
      </c>
      <c r="B6403" t="s">
        <v>870</v>
      </c>
      <c r="C6403" t="s">
        <v>9167</v>
      </c>
      <c r="D6403" t="s">
        <v>16221</v>
      </c>
      <c r="E6403" t="s">
        <v>21942</v>
      </c>
      <c r="F6403" t="s">
        <v>28198</v>
      </c>
      <c r="G6403" t="s">
        <v>28205</v>
      </c>
      <c r="H6403" t="s">
        <v>28214</v>
      </c>
      <c r="I6403" t="s">
        <v>3797</v>
      </c>
      <c r="J6403" t="s">
        <v>29526</v>
      </c>
      <c r="K6403" t="s">
        <v>36742</v>
      </c>
      <c r="M6403" t="s">
        <v>37882</v>
      </c>
      <c r="N6403" t="s">
        <v>40436</v>
      </c>
      <c r="O6403" t="s">
        <v>40437</v>
      </c>
      <c r="P6403">
        <v>0</v>
      </c>
      <c r="Q6403">
        <v>3</v>
      </c>
      <c r="R6403" t="s">
        <v>40443</v>
      </c>
      <c r="S6403" t="s">
        <v>40644</v>
      </c>
      <c r="T6403" t="s">
        <v>42165</v>
      </c>
      <c r="U6403" t="s">
        <v>47936</v>
      </c>
      <c r="V6403" t="s">
        <v>54440</v>
      </c>
      <c r="W6403" t="s">
        <v>37882</v>
      </c>
      <c r="X6403" t="s">
        <v>40444</v>
      </c>
    </row>
    <row r="6404" spans="1:24">
      <c r="A6404">
        <f>HYPERLINK("https://www.philgeps.gov.ph/GEPSNONPILOT/Tender/SplashBidNoticeAbstractUI.aspx?menuIndex=3&amp;refID=7042845&amp;Result=3","7042845")</f>
        <v>0</v>
      </c>
      <c r="B6404" t="s">
        <v>2057</v>
      </c>
      <c r="C6404" t="s">
        <v>9168</v>
      </c>
      <c r="D6404" t="s">
        <v>16264</v>
      </c>
      <c r="E6404" t="s">
        <v>21943</v>
      </c>
      <c r="F6404" t="s">
        <v>28198</v>
      </c>
      <c r="G6404" t="s">
        <v>28205</v>
      </c>
      <c r="H6404" t="s">
        <v>28214</v>
      </c>
      <c r="I6404" t="s">
        <v>3797</v>
      </c>
      <c r="J6404" t="s">
        <v>32360</v>
      </c>
      <c r="K6404" t="s">
        <v>36717</v>
      </c>
      <c r="M6404" t="s">
        <v>39205</v>
      </c>
      <c r="N6404" t="s">
        <v>40436</v>
      </c>
      <c r="O6404" t="s">
        <v>40437</v>
      </c>
      <c r="P6404">
        <v>0</v>
      </c>
      <c r="Q6404">
        <v>1</v>
      </c>
      <c r="R6404" t="s">
        <v>40443</v>
      </c>
      <c r="S6404" t="s">
        <v>40644</v>
      </c>
      <c r="T6404" t="s">
        <v>42145</v>
      </c>
      <c r="U6404" t="s">
        <v>48036</v>
      </c>
      <c r="W6404" t="s">
        <v>39205</v>
      </c>
      <c r="X6404" t="s">
        <v>40444</v>
      </c>
    </row>
    <row r="6405" spans="1:24">
      <c r="A6405">
        <f>HYPERLINK("https://www.philgeps.gov.ph/GEPSNONPILOT/Tender/SplashBidNoticeAbstractUI.aspx?menuIndex=3&amp;refID=7042836&amp;Result=3","7042836")</f>
        <v>0</v>
      </c>
      <c r="B6405" t="s">
        <v>870</v>
      </c>
      <c r="C6405" t="s">
        <v>9169</v>
      </c>
      <c r="D6405" t="s">
        <v>16221</v>
      </c>
      <c r="E6405" t="s">
        <v>21944</v>
      </c>
      <c r="F6405" t="s">
        <v>28198</v>
      </c>
      <c r="G6405" t="s">
        <v>28205</v>
      </c>
      <c r="H6405" t="s">
        <v>28214</v>
      </c>
      <c r="I6405" t="s">
        <v>3797</v>
      </c>
      <c r="J6405" t="s">
        <v>31936</v>
      </c>
      <c r="K6405" t="s">
        <v>36710</v>
      </c>
      <c r="M6405" t="s">
        <v>37882</v>
      </c>
      <c r="N6405" t="s">
        <v>40436</v>
      </c>
      <c r="O6405" t="s">
        <v>40437</v>
      </c>
      <c r="P6405">
        <v>0</v>
      </c>
      <c r="Q6405">
        <v>4</v>
      </c>
      <c r="R6405" t="s">
        <v>40443</v>
      </c>
      <c r="S6405" t="s">
        <v>40644</v>
      </c>
      <c r="T6405" t="s">
        <v>42261</v>
      </c>
      <c r="U6405" t="s">
        <v>47936</v>
      </c>
      <c r="V6405" t="s">
        <v>54440</v>
      </c>
      <c r="W6405" t="s">
        <v>37882</v>
      </c>
      <c r="X6405" t="s">
        <v>40444</v>
      </c>
    </row>
    <row r="6406" spans="1:24">
      <c r="A6406">
        <f>HYPERLINK("https://www.philgeps.gov.ph/GEPSNONPILOT/Tender/SplashBidNoticeAbstractUI.aspx?menuIndex=3&amp;refID=7042789&amp;Result=3","7042789")</f>
        <v>0</v>
      </c>
      <c r="B6406" t="s">
        <v>1268</v>
      </c>
      <c r="C6406" t="s">
        <v>9170</v>
      </c>
      <c r="D6406" t="s">
        <v>16228</v>
      </c>
      <c r="E6406" t="s">
        <v>21945</v>
      </c>
      <c r="F6406" t="s">
        <v>28198</v>
      </c>
      <c r="G6406" t="s">
        <v>28207</v>
      </c>
      <c r="H6406" t="s">
        <v>28215</v>
      </c>
      <c r="I6406" t="s">
        <v>28228</v>
      </c>
      <c r="J6406" t="s">
        <v>30994</v>
      </c>
      <c r="K6406" t="s">
        <v>36707</v>
      </c>
      <c r="M6406" t="s">
        <v>38318</v>
      </c>
      <c r="N6406" t="s">
        <v>40436</v>
      </c>
      <c r="O6406" t="s">
        <v>40437</v>
      </c>
      <c r="P6406">
        <v>0</v>
      </c>
      <c r="Q6406">
        <v>0</v>
      </c>
      <c r="R6406" t="s">
        <v>40443</v>
      </c>
      <c r="S6406" t="s">
        <v>40644</v>
      </c>
      <c r="T6406" t="s">
        <v>42184</v>
      </c>
      <c r="U6406" t="s">
        <v>48037</v>
      </c>
      <c r="W6406" t="s">
        <v>38318</v>
      </c>
      <c r="X6406" t="s">
        <v>40444</v>
      </c>
    </row>
    <row r="6407" spans="1:24">
      <c r="A6407">
        <f>HYPERLINK("https://www.philgeps.gov.ph/GEPSNONPILOT/Tender/SplashBidNoticeAbstractUI.aspx?menuIndex=3&amp;refID=7042846&amp;Result=3","7042846")</f>
        <v>0</v>
      </c>
      <c r="B6407" t="s">
        <v>2050</v>
      </c>
      <c r="C6407" t="s">
        <v>9171</v>
      </c>
      <c r="D6407" t="s">
        <v>16196</v>
      </c>
      <c r="E6407" t="s">
        <v>21946</v>
      </c>
      <c r="F6407" t="s">
        <v>28198</v>
      </c>
      <c r="G6407" t="s">
        <v>28207</v>
      </c>
      <c r="H6407" t="s">
        <v>28215</v>
      </c>
      <c r="I6407" t="s">
        <v>4219</v>
      </c>
      <c r="J6407" t="s">
        <v>32361</v>
      </c>
      <c r="K6407" t="s">
        <v>36701</v>
      </c>
      <c r="M6407" t="s">
        <v>39196</v>
      </c>
      <c r="N6407" t="s">
        <v>40436</v>
      </c>
      <c r="O6407" t="s">
        <v>40437</v>
      </c>
      <c r="P6407">
        <v>0</v>
      </c>
      <c r="Q6407">
        <v>10</v>
      </c>
      <c r="R6407" t="s">
        <v>40443</v>
      </c>
      <c r="S6407" t="s">
        <v>40644</v>
      </c>
      <c r="T6407" t="s">
        <v>42119</v>
      </c>
      <c r="U6407" t="s">
        <v>47992</v>
      </c>
      <c r="W6407" t="s">
        <v>39196</v>
      </c>
      <c r="X6407" t="s">
        <v>40444</v>
      </c>
    </row>
    <row r="6408" spans="1:24">
      <c r="A6408">
        <f>HYPERLINK("https://www.philgeps.gov.ph/GEPSNONPILOT/Tender/SplashBidNoticeAbstractUI.aspx?menuIndex=3&amp;refID=7042843&amp;Result=3","7042843")</f>
        <v>0</v>
      </c>
      <c r="B6408" t="s">
        <v>338</v>
      </c>
      <c r="C6408" t="s">
        <v>9172</v>
      </c>
      <c r="D6408" t="s">
        <v>16187</v>
      </c>
      <c r="E6408" t="s">
        <v>21947</v>
      </c>
      <c r="F6408" t="s">
        <v>28198</v>
      </c>
      <c r="G6408" t="s">
        <v>28206</v>
      </c>
      <c r="H6408" t="s">
        <v>28215</v>
      </c>
      <c r="I6408" t="s">
        <v>4505</v>
      </c>
      <c r="J6408" t="s">
        <v>29717</v>
      </c>
      <c r="K6408" t="s">
        <v>36698</v>
      </c>
      <c r="M6408" t="s">
        <v>37316</v>
      </c>
      <c r="N6408" t="s">
        <v>40436</v>
      </c>
      <c r="O6408" t="s">
        <v>40437</v>
      </c>
      <c r="P6408">
        <v>0</v>
      </c>
      <c r="Q6408">
        <v>4</v>
      </c>
      <c r="R6408" t="s">
        <v>40443</v>
      </c>
      <c r="S6408" t="s">
        <v>40644</v>
      </c>
      <c r="T6408" t="s">
        <v>42185</v>
      </c>
      <c r="U6408" t="s">
        <v>48038</v>
      </c>
      <c r="W6408" t="s">
        <v>37316</v>
      </c>
      <c r="X6408" t="s">
        <v>40444</v>
      </c>
    </row>
    <row r="6409" spans="1:24">
      <c r="A6409">
        <f>HYPERLINK("https://www.philgeps.gov.ph/GEPSNONPILOT/Tender/SplashBidNoticeAbstractUI.aspx?menuIndex=3&amp;refID=7042833&amp;Result=3","7042833")</f>
        <v>0</v>
      </c>
      <c r="B6409" t="s">
        <v>1123</v>
      </c>
      <c r="C6409" t="s">
        <v>9173</v>
      </c>
      <c r="D6409" t="s">
        <v>16192</v>
      </c>
      <c r="E6409" t="s">
        <v>21948</v>
      </c>
      <c r="F6409" t="s">
        <v>28198</v>
      </c>
      <c r="G6409" t="s">
        <v>28205</v>
      </c>
      <c r="H6409" t="s">
        <v>28215</v>
      </c>
      <c r="I6409" t="s">
        <v>28228</v>
      </c>
      <c r="J6409" t="s">
        <v>32362</v>
      </c>
      <c r="K6409" t="s">
        <v>36688</v>
      </c>
      <c r="M6409" t="s">
        <v>38161</v>
      </c>
      <c r="N6409" t="s">
        <v>40436</v>
      </c>
      <c r="O6409" t="s">
        <v>40437</v>
      </c>
      <c r="P6409">
        <v>0</v>
      </c>
      <c r="Q6409">
        <v>0</v>
      </c>
      <c r="R6409" t="s">
        <v>40443</v>
      </c>
      <c r="S6409" t="s">
        <v>40644</v>
      </c>
      <c r="T6409" t="s">
        <v>42176</v>
      </c>
      <c r="U6409" t="s">
        <v>48039</v>
      </c>
      <c r="W6409" t="s">
        <v>38161</v>
      </c>
      <c r="X6409" t="s">
        <v>40444</v>
      </c>
    </row>
    <row r="6410" spans="1:24">
      <c r="A6410">
        <f>HYPERLINK("https://www.philgeps.gov.ph/GEPSNONPILOT/Tender/SplashBidNoticeAbstractUI.aspx?menuIndex=3&amp;refID=7042820&amp;Result=3","7042820")</f>
        <v>0</v>
      </c>
      <c r="B6410" t="s">
        <v>870</v>
      </c>
      <c r="C6410" t="s">
        <v>9174</v>
      </c>
      <c r="D6410" t="s">
        <v>16221</v>
      </c>
      <c r="E6410" t="s">
        <v>21949</v>
      </c>
      <c r="F6410" t="s">
        <v>28198</v>
      </c>
      <c r="G6410" t="s">
        <v>28205</v>
      </c>
      <c r="H6410" t="s">
        <v>28214</v>
      </c>
      <c r="I6410" t="s">
        <v>3797</v>
      </c>
      <c r="J6410" t="s">
        <v>31936</v>
      </c>
      <c r="K6410" t="s">
        <v>36710</v>
      </c>
      <c r="M6410" t="s">
        <v>37882</v>
      </c>
      <c r="N6410" t="s">
        <v>40436</v>
      </c>
      <c r="O6410" t="s">
        <v>40437</v>
      </c>
      <c r="P6410">
        <v>0</v>
      </c>
      <c r="Q6410">
        <v>4</v>
      </c>
      <c r="R6410" t="s">
        <v>40443</v>
      </c>
      <c r="S6410" t="s">
        <v>40644</v>
      </c>
      <c r="T6410" t="s">
        <v>42165</v>
      </c>
      <c r="U6410" t="s">
        <v>47936</v>
      </c>
      <c r="V6410" t="s">
        <v>54440</v>
      </c>
      <c r="W6410" t="s">
        <v>37882</v>
      </c>
      <c r="X6410" t="s">
        <v>40444</v>
      </c>
    </row>
    <row r="6411" spans="1:24">
      <c r="A6411">
        <f>HYPERLINK("https://www.philgeps.gov.ph/GEPSNONPILOT/Tender/SplashBidNoticeAbstractUI.aspx?menuIndex=3&amp;refID=7042841&amp;Result=3","7042841")</f>
        <v>0</v>
      </c>
      <c r="B6411" t="s">
        <v>2046</v>
      </c>
      <c r="C6411" t="s">
        <v>9100</v>
      </c>
      <c r="D6411" t="s">
        <v>16209</v>
      </c>
      <c r="E6411" t="s">
        <v>21950</v>
      </c>
      <c r="F6411" t="s">
        <v>28200</v>
      </c>
      <c r="G6411" t="s">
        <v>28207</v>
      </c>
      <c r="H6411" t="s">
        <v>28217</v>
      </c>
      <c r="I6411" t="s">
        <v>28282</v>
      </c>
      <c r="J6411" t="s">
        <v>28694</v>
      </c>
      <c r="K6411" t="s">
        <v>36705</v>
      </c>
      <c r="M6411" t="s">
        <v>39192</v>
      </c>
      <c r="N6411" t="s">
        <v>40436</v>
      </c>
      <c r="O6411" t="s">
        <v>40437</v>
      </c>
      <c r="P6411">
        <v>0</v>
      </c>
      <c r="Q6411">
        <v>1</v>
      </c>
      <c r="R6411" t="s">
        <v>40443</v>
      </c>
      <c r="S6411" t="s">
        <v>40644</v>
      </c>
      <c r="T6411" t="s">
        <v>42131</v>
      </c>
      <c r="U6411" t="s">
        <v>48040</v>
      </c>
      <c r="W6411" t="s">
        <v>39192</v>
      </c>
      <c r="X6411" t="s">
        <v>40444</v>
      </c>
    </row>
    <row r="6412" spans="1:24">
      <c r="A6412">
        <f>HYPERLINK("https://www.philgeps.gov.ph/GEPSNONPILOT/Tender/SplashBidNoticeAbstractUI.aspx?menuIndex=3&amp;refID=7042829&amp;Result=3","7042829")</f>
        <v>0</v>
      </c>
      <c r="B6412" t="s">
        <v>2059</v>
      </c>
      <c r="C6412" t="s">
        <v>9175</v>
      </c>
      <c r="D6412" t="s">
        <v>16249</v>
      </c>
      <c r="E6412" t="s">
        <v>21951</v>
      </c>
      <c r="F6412" t="s">
        <v>28198</v>
      </c>
      <c r="G6412" t="s">
        <v>28207</v>
      </c>
      <c r="H6412" t="s">
        <v>28217</v>
      </c>
      <c r="I6412" t="s">
        <v>28260</v>
      </c>
      <c r="J6412" t="s">
        <v>32363</v>
      </c>
      <c r="K6412" t="s">
        <v>36701</v>
      </c>
      <c r="M6412" t="s">
        <v>39207</v>
      </c>
      <c r="N6412" t="s">
        <v>40436</v>
      </c>
      <c r="O6412" t="s">
        <v>40437</v>
      </c>
      <c r="P6412">
        <v>0</v>
      </c>
      <c r="Q6412">
        <v>0</v>
      </c>
      <c r="R6412" t="s">
        <v>40443</v>
      </c>
      <c r="S6412" t="s">
        <v>40644</v>
      </c>
      <c r="T6412" t="s">
        <v>42103</v>
      </c>
      <c r="U6412" t="s">
        <v>48041</v>
      </c>
      <c r="W6412" t="s">
        <v>39207</v>
      </c>
      <c r="X6412" t="s">
        <v>40444</v>
      </c>
    </row>
    <row r="6413" spans="1:24">
      <c r="A6413">
        <f>HYPERLINK("https://www.philgeps.gov.ph/GEPSNONPILOT/Tender/SplashBidNoticeAbstractUI.aspx?menuIndex=3&amp;refID=7042835&amp;Result=3","7042835")</f>
        <v>0</v>
      </c>
      <c r="B6413" t="s">
        <v>2060</v>
      </c>
      <c r="C6413" t="s">
        <v>9176</v>
      </c>
      <c r="D6413" t="s">
        <v>16210</v>
      </c>
      <c r="E6413" t="s">
        <v>21952</v>
      </c>
      <c r="F6413" t="s">
        <v>28198</v>
      </c>
      <c r="G6413" t="s">
        <v>28205</v>
      </c>
      <c r="H6413" t="s">
        <v>28216</v>
      </c>
      <c r="I6413" t="s">
        <v>28216</v>
      </c>
      <c r="J6413" t="s">
        <v>28347</v>
      </c>
      <c r="K6413" t="s">
        <v>36700</v>
      </c>
      <c r="M6413" t="s">
        <v>39208</v>
      </c>
      <c r="N6413" t="s">
        <v>40436</v>
      </c>
      <c r="O6413" t="s">
        <v>40437</v>
      </c>
      <c r="P6413">
        <v>0</v>
      </c>
      <c r="Q6413">
        <v>10</v>
      </c>
      <c r="R6413" t="s">
        <v>40443</v>
      </c>
      <c r="S6413" t="s">
        <v>40644</v>
      </c>
      <c r="T6413" t="s">
        <v>42218</v>
      </c>
      <c r="U6413" t="s">
        <v>48042</v>
      </c>
      <c r="V6413" t="s">
        <v>54453</v>
      </c>
      <c r="W6413" t="s">
        <v>39208</v>
      </c>
      <c r="X6413" t="s">
        <v>40444</v>
      </c>
    </row>
    <row r="6414" spans="1:24">
      <c r="A6414">
        <f>HYPERLINK("https://www.philgeps.gov.ph/GEPSNONPILOT/Tender/SplashBidNoticeAbstractUI.aspx?menuIndex=3&amp;refID=7042834&amp;Result=3","7042834")</f>
        <v>0</v>
      </c>
      <c r="B6414" t="s">
        <v>2061</v>
      </c>
      <c r="C6414" t="s">
        <v>9177</v>
      </c>
      <c r="D6414" t="s">
        <v>16247</v>
      </c>
      <c r="E6414" t="s">
        <v>21953</v>
      </c>
      <c r="F6414" t="s">
        <v>28198</v>
      </c>
      <c r="G6414" t="s">
        <v>28206</v>
      </c>
      <c r="H6414" t="s">
        <v>28215</v>
      </c>
      <c r="I6414" t="s">
        <v>8888</v>
      </c>
      <c r="J6414" t="s">
        <v>28406</v>
      </c>
      <c r="K6414" t="s">
        <v>36688</v>
      </c>
      <c r="M6414" t="s">
        <v>39209</v>
      </c>
      <c r="N6414" t="s">
        <v>40436</v>
      </c>
      <c r="O6414" t="s">
        <v>40437</v>
      </c>
      <c r="P6414">
        <v>0</v>
      </c>
      <c r="Q6414">
        <v>5</v>
      </c>
      <c r="R6414" t="s">
        <v>40443</v>
      </c>
      <c r="S6414" t="s">
        <v>40644</v>
      </c>
      <c r="T6414" t="s">
        <v>42185</v>
      </c>
      <c r="U6414" t="s">
        <v>48043</v>
      </c>
      <c r="V6414" t="s">
        <v>54454</v>
      </c>
      <c r="W6414" t="s">
        <v>39209</v>
      </c>
      <c r="X6414" t="s">
        <v>40444</v>
      </c>
    </row>
    <row r="6415" spans="1:24">
      <c r="A6415">
        <f>HYPERLINK("https://www.philgeps.gov.ph/GEPSNONPILOT/Tender/SplashBidNoticeAbstractUI.aspx?menuIndex=3&amp;refID=7042881&amp;Result=3","7042881")</f>
        <v>0</v>
      </c>
      <c r="B6415" t="s">
        <v>2062</v>
      </c>
      <c r="C6415" t="s">
        <v>9178</v>
      </c>
      <c r="D6415" t="s">
        <v>16210</v>
      </c>
      <c r="E6415" t="s">
        <v>21954</v>
      </c>
      <c r="F6415" t="s">
        <v>28198</v>
      </c>
      <c r="G6415" t="s">
        <v>28206</v>
      </c>
      <c r="H6415" t="s">
        <v>28215</v>
      </c>
      <c r="I6415" t="s">
        <v>5103</v>
      </c>
      <c r="J6415" t="s">
        <v>29717</v>
      </c>
      <c r="K6415" t="s">
        <v>36688</v>
      </c>
      <c r="M6415" t="s">
        <v>39210</v>
      </c>
      <c r="N6415" t="s">
        <v>40436</v>
      </c>
      <c r="O6415" t="s">
        <v>40437</v>
      </c>
      <c r="P6415">
        <v>0</v>
      </c>
      <c r="Q6415">
        <v>16</v>
      </c>
      <c r="R6415" t="s">
        <v>40443</v>
      </c>
      <c r="S6415" t="s">
        <v>40644</v>
      </c>
      <c r="T6415" t="s">
        <v>42111</v>
      </c>
      <c r="U6415" t="s">
        <v>48044</v>
      </c>
      <c r="W6415" t="s">
        <v>39210</v>
      </c>
      <c r="X6415" t="s">
        <v>40444</v>
      </c>
    </row>
    <row r="6416" spans="1:24">
      <c r="A6416">
        <f>HYPERLINK("https://www.philgeps.gov.ph/GEPSNONPILOT/Tender/SplashBidNoticeAbstractUI.aspx?menuIndex=3&amp;refID=7042818&amp;Result=3","7042818")</f>
        <v>0</v>
      </c>
      <c r="B6416" t="s">
        <v>2057</v>
      </c>
      <c r="C6416" t="s">
        <v>9179</v>
      </c>
      <c r="D6416" t="s">
        <v>16264</v>
      </c>
      <c r="E6416" t="s">
        <v>21955</v>
      </c>
      <c r="F6416" t="s">
        <v>28198</v>
      </c>
      <c r="G6416" t="s">
        <v>28205</v>
      </c>
      <c r="H6416" t="s">
        <v>28214</v>
      </c>
      <c r="I6416" t="s">
        <v>3797</v>
      </c>
      <c r="J6416" t="s">
        <v>28347</v>
      </c>
      <c r="K6416" t="s">
        <v>36692</v>
      </c>
      <c r="M6416" t="s">
        <v>39205</v>
      </c>
      <c r="N6416" t="s">
        <v>40436</v>
      </c>
      <c r="O6416" t="s">
        <v>40437</v>
      </c>
      <c r="P6416">
        <v>0</v>
      </c>
      <c r="Q6416">
        <v>0</v>
      </c>
      <c r="R6416" t="s">
        <v>40443</v>
      </c>
      <c r="S6416" t="s">
        <v>40644</v>
      </c>
      <c r="T6416" t="s">
        <v>42145</v>
      </c>
      <c r="U6416" t="s">
        <v>48045</v>
      </c>
      <c r="W6416" t="s">
        <v>39205</v>
      </c>
      <c r="X6416" t="s">
        <v>40444</v>
      </c>
    </row>
    <row r="6417" spans="1:24">
      <c r="A6417">
        <f>HYPERLINK("https://www.philgeps.gov.ph/GEPSNONPILOT/Tender/SplashBidNoticeAbstractUI.aspx?menuIndex=3&amp;refID=7042816&amp;Result=3","7042816")</f>
        <v>0</v>
      </c>
      <c r="B6417" t="s">
        <v>2053</v>
      </c>
      <c r="C6417" t="s">
        <v>9180</v>
      </c>
      <c r="E6417" t="s">
        <v>21956</v>
      </c>
      <c r="F6417" t="s">
        <v>28198</v>
      </c>
      <c r="G6417" t="s">
        <v>28205</v>
      </c>
      <c r="H6417" t="s">
        <v>28214</v>
      </c>
      <c r="I6417" t="s">
        <v>3797</v>
      </c>
      <c r="J6417" t="s">
        <v>32364</v>
      </c>
      <c r="K6417" t="s">
        <v>36689</v>
      </c>
      <c r="M6417" t="s">
        <v>39199</v>
      </c>
      <c r="N6417" t="s">
        <v>40436</v>
      </c>
      <c r="O6417" t="s">
        <v>40437</v>
      </c>
      <c r="P6417">
        <v>0</v>
      </c>
      <c r="Q6417">
        <v>1</v>
      </c>
      <c r="R6417" t="s">
        <v>40443</v>
      </c>
      <c r="S6417" t="s">
        <v>40644</v>
      </c>
      <c r="T6417" t="s">
        <v>42213</v>
      </c>
      <c r="U6417" t="s">
        <v>48046</v>
      </c>
      <c r="V6417" t="s">
        <v>53826</v>
      </c>
      <c r="W6417" t="s">
        <v>39199</v>
      </c>
      <c r="X6417" t="s">
        <v>40444</v>
      </c>
    </row>
    <row r="6418" spans="1:24">
      <c r="A6418">
        <f>HYPERLINK("https://www.philgeps.gov.ph/GEPSNONPILOT/Tender/SplashBidNoticeAbstractUI.aspx?menuIndex=3&amp;refID=7042851&amp;Result=3","7042851")</f>
        <v>0</v>
      </c>
      <c r="B6418" t="s">
        <v>2054</v>
      </c>
      <c r="C6418" t="s">
        <v>9181</v>
      </c>
      <c r="D6418" t="s">
        <v>16210</v>
      </c>
      <c r="E6418" t="s">
        <v>21957</v>
      </c>
      <c r="F6418" t="s">
        <v>28198</v>
      </c>
      <c r="G6418" t="s">
        <v>28207</v>
      </c>
      <c r="H6418" t="s">
        <v>28215</v>
      </c>
      <c r="I6418" t="s">
        <v>28254</v>
      </c>
      <c r="J6418" t="s">
        <v>30628</v>
      </c>
      <c r="K6418" t="s">
        <v>36715</v>
      </c>
      <c r="M6418" t="s">
        <v>39200</v>
      </c>
      <c r="N6418" t="s">
        <v>40436</v>
      </c>
      <c r="O6418" t="s">
        <v>40437</v>
      </c>
      <c r="P6418">
        <v>0</v>
      </c>
      <c r="Q6418">
        <v>8</v>
      </c>
      <c r="R6418" t="s">
        <v>40443</v>
      </c>
      <c r="S6418" t="s">
        <v>40644</v>
      </c>
      <c r="T6418" t="s">
        <v>42277</v>
      </c>
      <c r="U6418" t="s">
        <v>48047</v>
      </c>
      <c r="V6418" t="s">
        <v>54455</v>
      </c>
      <c r="W6418" t="s">
        <v>39200</v>
      </c>
      <c r="X6418" t="s">
        <v>40444</v>
      </c>
    </row>
    <row r="6419" spans="1:24">
      <c r="A6419">
        <f>HYPERLINK("https://www.philgeps.gov.ph/GEPSNONPILOT/Tender/SplashBidNoticeAbstractUI.aspx?menuIndex=3&amp;refID=7042880&amp;Result=3","7042880")</f>
        <v>0</v>
      </c>
      <c r="B6419" t="s">
        <v>2034</v>
      </c>
      <c r="C6419" t="s">
        <v>9182</v>
      </c>
      <c r="D6419" t="s">
        <v>16280</v>
      </c>
      <c r="E6419" t="s">
        <v>21958</v>
      </c>
      <c r="F6419" t="s">
        <v>28198</v>
      </c>
      <c r="G6419" t="s">
        <v>28205</v>
      </c>
      <c r="H6419" t="s">
        <v>28215</v>
      </c>
      <c r="I6419" t="s">
        <v>28243</v>
      </c>
      <c r="J6419" t="s">
        <v>32365</v>
      </c>
      <c r="K6419" t="s">
        <v>36692</v>
      </c>
      <c r="M6419" t="s">
        <v>39211</v>
      </c>
      <c r="N6419" t="s">
        <v>40436</v>
      </c>
      <c r="O6419" t="s">
        <v>40437</v>
      </c>
      <c r="P6419">
        <v>0</v>
      </c>
      <c r="Q6419">
        <v>8</v>
      </c>
      <c r="R6419" t="s">
        <v>40443</v>
      </c>
      <c r="S6419" t="s">
        <v>40644</v>
      </c>
      <c r="T6419" t="s">
        <v>42212</v>
      </c>
      <c r="U6419" t="s">
        <v>48048</v>
      </c>
      <c r="V6419" t="s">
        <v>54456</v>
      </c>
      <c r="W6419" t="s">
        <v>39211</v>
      </c>
      <c r="X6419" t="s">
        <v>40444</v>
      </c>
    </row>
    <row r="6420" spans="1:24">
      <c r="A6420">
        <f>HYPERLINK("https://www.philgeps.gov.ph/GEPSNONPILOT/Tender/SplashBidNoticeAbstractUI.aspx?menuIndex=3&amp;refID=7042812&amp;Result=3","7042812")</f>
        <v>0</v>
      </c>
      <c r="B6420" t="s">
        <v>2063</v>
      </c>
      <c r="C6420" t="s">
        <v>9183</v>
      </c>
      <c r="D6420" t="s">
        <v>16244</v>
      </c>
      <c r="E6420" t="s">
        <v>16571</v>
      </c>
      <c r="F6420" t="s">
        <v>28198</v>
      </c>
      <c r="G6420" t="s">
        <v>28205</v>
      </c>
      <c r="H6420" t="s">
        <v>28215</v>
      </c>
      <c r="I6420" t="s">
        <v>4168</v>
      </c>
      <c r="J6420" t="s">
        <v>32366</v>
      </c>
      <c r="K6420" t="s">
        <v>36688</v>
      </c>
      <c r="M6420" t="s">
        <v>39212</v>
      </c>
      <c r="N6420" t="s">
        <v>40436</v>
      </c>
      <c r="O6420" t="s">
        <v>40437</v>
      </c>
      <c r="P6420">
        <v>0</v>
      </c>
      <c r="Q6420">
        <v>4</v>
      </c>
      <c r="R6420" t="s">
        <v>40443</v>
      </c>
      <c r="S6420" t="s">
        <v>40644</v>
      </c>
      <c r="T6420" t="s">
        <v>42158</v>
      </c>
      <c r="U6420" t="s">
        <v>48049</v>
      </c>
      <c r="W6420" t="s">
        <v>39212</v>
      </c>
      <c r="X6420" t="s">
        <v>40444</v>
      </c>
    </row>
    <row r="6421" spans="1:24">
      <c r="A6421">
        <f>HYPERLINK("https://www.philgeps.gov.ph/GEPSNONPILOT/Tender/SplashBidNoticeAbstractUI.aspx?menuIndex=3&amp;refID=7042874&amp;Result=3","7042874")</f>
        <v>0</v>
      </c>
      <c r="B6421" t="s">
        <v>1268</v>
      </c>
      <c r="C6421" t="s">
        <v>9184</v>
      </c>
      <c r="D6421" t="s">
        <v>16228</v>
      </c>
      <c r="E6421" t="s">
        <v>21959</v>
      </c>
      <c r="F6421" t="s">
        <v>28198</v>
      </c>
      <c r="G6421" t="s">
        <v>28207</v>
      </c>
      <c r="H6421" t="s">
        <v>28215</v>
      </c>
      <c r="I6421" t="s">
        <v>5100</v>
      </c>
      <c r="J6421" t="s">
        <v>32367</v>
      </c>
      <c r="K6421" t="s">
        <v>36707</v>
      </c>
      <c r="M6421" t="s">
        <v>38318</v>
      </c>
      <c r="N6421" t="s">
        <v>40436</v>
      </c>
      <c r="O6421" t="s">
        <v>40437</v>
      </c>
      <c r="P6421">
        <v>0</v>
      </c>
      <c r="Q6421">
        <v>0</v>
      </c>
      <c r="R6421" t="s">
        <v>40443</v>
      </c>
      <c r="S6421" t="s">
        <v>40644</v>
      </c>
      <c r="T6421" t="s">
        <v>42184</v>
      </c>
      <c r="U6421" t="s">
        <v>48050</v>
      </c>
      <c r="W6421" t="s">
        <v>38318</v>
      </c>
      <c r="X6421" t="s">
        <v>40444</v>
      </c>
    </row>
    <row r="6422" spans="1:24">
      <c r="A6422">
        <f>HYPERLINK("https://www.philgeps.gov.ph/GEPSNONPILOT/Tender/SplashBidNoticeAbstractUI.aspx?menuIndex=3&amp;refID=7042875&amp;Result=3","7042875")</f>
        <v>0</v>
      </c>
      <c r="B6422" t="s">
        <v>1546</v>
      </c>
      <c r="C6422" t="s">
        <v>9185</v>
      </c>
      <c r="D6422" t="s">
        <v>16196</v>
      </c>
      <c r="E6422" t="s">
        <v>21960</v>
      </c>
      <c r="F6422" t="s">
        <v>28198</v>
      </c>
      <c r="G6422" t="s">
        <v>28207</v>
      </c>
      <c r="H6422" t="s">
        <v>28215</v>
      </c>
      <c r="I6422" t="s">
        <v>4168</v>
      </c>
      <c r="J6422" t="s">
        <v>31221</v>
      </c>
      <c r="K6422" t="s">
        <v>36697</v>
      </c>
      <c r="M6422" t="s">
        <v>38626</v>
      </c>
      <c r="N6422" t="s">
        <v>40436</v>
      </c>
      <c r="O6422" t="s">
        <v>40437</v>
      </c>
      <c r="Q6422">
        <v>0</v>
      </c>
      <c r="R6422" t="s">
        <v>40443</v>
      </c>
      <c r="S6422" t="s">
        <v>40668</v>
      </c>
      <c r="T6422" t="s">
        <v>42158</v>
      </c>
      <c r="U6422" t="s">
        <v>48051</v>
      </c>
      <c r="W6422" t="s">
        <v>38626</v>
      </c>
      <c r="X6422" t="s">
        <v>40444</v>
      </c>
    </row>
    <row r="6423" spans="1:24">
      <c r="A6423">
        <f>HYPERLINK("https://www.philgeps.gov.ph/GEPSNONPILOT/Tender/SplashBidNoticeAbstractUI.aspx?menuIndex=3&amp;refID=7042823&amp;Result=3","7042823")</f>
        <v>0</v>
      </c>
      <c r="B6423" t="s">
        <v>1268</v>
      </c>
      <c r="C6423" t="s">
        <v>9186</v>
      </c>
      <c r="D6423" t="s">
        <v>16228</v>
      </c>
      <c r="E6423" t="s">
        <v>21961</v>
      </c>
      <c r="F6423" t="s">
        <v>28198</v>
      </c>
      <c r="G6423" t="s">
        <v>28207</v>
      </c>
      <c r="H6423" t="s">
        <v>28215</v>
      </c>
      <c r="I6423" t="s">
        <v>4505</v>
      </c>
      <c r="J6423" t="s">
        <v>32368</v>
      </c>
      <c r="K6423" t="s">
        <v>36707</v>
      </c>
      <c r="M6423" t="s">
        <v>38318</v>
      </c>
      <c r="N6423" t="s">
        <v>40436</v>
      </c>
      <c r="O6423" t="s">
        <v>40437</v>
      </c>
      <c r="P6423">
        <v>0</v>
      </c>
      <c r="Q6423">
        <v>1</v>
      </c>
      <c r="R6423" t="s">
        <v>40443</v>
      </c>
      <c r="S6423" t="s">
        <v>40644</v>
      </c>
      <c r="T6423" t="s">
        <v>42184</v>
      </c>
      <c r="U6423" t="s">
        <v>48052</v>
      </c>
      <c r="W6423" t="s">
        <v>38318</v>
      </c>
      <c r="X6423" t="s">
        <v>40444</v>
      </c>
    </row>
    <row r="6424" spans="1:24">
      <c r="A6424">
        <f>HYPERLINK("https://www.philgeps.gov.ph/GEPSNONPILOT/Tender/SplashBidNoticeAbstractUI.aspx?menuIndex=3&amp;refID=7042876&amp;Result=3","7042876")</f>
        <v>0</v>
      </c>
      <c r="B6424" t="s">
        <v>2064</v>
      </c>
      <c r="C6424" t="s">
        <v>9187</v>
      </c>
      <c r="D6424" t="s">
        <v>16228</v>
      </c>
      <c r="E6424" t="s">
        <v>21962</v>
      </c>
      <c r="F6424" t="s">
        <v>28198</v>
      </c>
      <c r="G6424" t="s">
        <v>28205</v>
      </c>
      <c r="H6424" t="s">
        <v>28214</v>
      </c>
      <c r="I6424" t="s">
        <v>3797</v>
      </c>
      <c r="J6424" t="s">
        <v>32369</v>
      </c>
      <c r="K6424" t="s">
        <v>36813</v>
      </c>
      <c r="M6424" t="s">
        <v>39213</v>
      </c>
      <c r="N6424" t="s">
        <v>40436</v>
      </c>
      <c r="O6424" t="s">
        <v>40437</v>
      </c>
      <c r="P6424">
        <v>0</v>
      </c>
      <c r="Q6424">
        <v>1</v>
      </c>
      <c r="R6424" t="s">
        <v>40443</v>
      </c>
      <c r="S6424" t="s">
        <v>40644</v>
      </c>
      <c r="T6424" t="s">
        <v>42183</v>
      </c>
      <c r="U6424" t="s">
        <v>48053</v>
      </c>
      <c r="W6424" t="s">
        <v>39213</v>
      </c>
      <c r="X6424" t="s">
        <v>40444</v>
      </c>
    </row>
    <row r="6425" spans="1:24">
      <c r="A6425">
        <f>HYPERLINK("https://www.philgeps.gov.ph/GEPSNONPILOT/Tender/SplashBidNoticeAbstractUI.aspx?menuIndex=3&amp;refID=7042869&amp;Result=3","7042869")</f>
        <v>0</v>
      </c>
      <c r="B6425" t="s">
        <v>2046</v>
      </c>
      <c r="C6425" t="s">
        <v>9100</v>
      </c>
      <c r="D6425" t="s">
        <v>16209</v>
      </c>
      <c r="E6425" t="s">
        <v>21963</v>
      </c>
      <c r="F6425" t="s">
        <v>28200</v>
      </c>
      <c r="G6425" t="s">
        <v>28207</v>
      </c>
      <c r="H6425" t="s">
        <v>28217</v>
      </c>
      <c r="I6425" t="s">
        <v>28282</v>
      </c>
      <c r="J6425" t="s">
        <v>28414</v>
      </c>
      <c r="K6425" t="s">
        <v>36705</v>
      </c>
      <c r="M6425" t="s">
        <v>39192</v>
      </c>
      <c r="N6425" t="s">
        <v>40436</v>
      </c>
      <c r="O6425" t="s">
        <v>40437</v>
      </c>
      <c r="P6425">
        <v>0</v>
      </c>
      <c r="Q6425">
        <v>1</v>
      </c>
      <c r="R6425" t="s">
        <v>40443</v>
      </c>
      <c r="S6425" t="s">
        <v>40644</v>
      </c>
      <c r="T6425" t="s">
        <v>42131</v>
      </c>
      <c r="U6425" t="s">
        <v>48054</v>
      </c>
      <c r="W6425" t="s">
        <v>39192</v>
      </c>
      <c r="X6425" t="s">
        <v>40444</v>
      </c>
    </row>
    <row r="6426" spans="1:24">
      <c r="A6426">
        <f>HYPERLINK("https://www.philgeps.gov.ph/GEPSNONPILOT/Tender/SplashBidNoticeAbstractUI.aspx?menuIndex=3&amp;refID=7042872&amp;Result=3","7042872")</f>
        <v>0</v>
      </c>
      <c r="B6426" t="s">
        <v>1123</v>
      </c>
      <c r="C6426" t="s">
        <v>9188</v>
      </c>
      <c r="D6426" t="s">
        <v>16192</v>
      </c>
      <c r="E6426" t="s">
        <v>21964</v>
      </c>
      <c r="F6426" t="s">
        <v>28198</v>
      </c>
      <c r="G6426" t="s">
        <v>28205</v>
      </c>
      <c r="H6426" t="s">
        <v>28215</v>
      </c>
      <c r="I6426" t="s">
        <v>28228</v>
      </c>
      <c r="J6426" t="s">
        <v>28362</v>
      </c>
      <c r="K6426" t="s">
        <v>36688</v>
      </c>
      <c r="M6426" t="s">
        <v>38161</v>
      </c>
      <c r="N6426" t="s">
        <v>40436</v>
      </c>
      <c r="O6426" t="s">
        <v>40437</v>
      </c>
      <c r="P6426">
        <v>0</v>
      </c>
      <c r="Q6426">
        <v>0</v>
      </c>
      <c r="R6426" t="s">
        <v>40443</v>
      </c>
      <c r="S6426" t="s">
        <v>40644</v>
      </c>
      <c r="T6426" t="s">
        <v>42176</v>
      </c>
      <c r="U6426" t="s">
        <v>48055</v>
      </c>
      <c r="W6426" t="s">
        <v>38161</v>
      </c>
      <c r="X6426" t="s">
        <v>40444</v>
      </c>
    </row>
    <row r="6427" spans="1:24">
      <c r="A6427">
        <f>HYPERLINK("https://www.philgeps.gov.ph/GEPSNONPILOT/Tender/SplashBidNoticeAbstractUI.aspx?menuIndex=3&amp;refID=7042888&amp;Result=3","7042888")</f>
        <v>0</v>
      </c>
      <c r="B6427" t="s">
        <v>2065</v>
      </c>
      <c r="C6427" t="s">
        <v>9189</v>
      </c>
      <c r="D6427" t="s">
        <v>16213</v>
      </c>
      <c r="E6427" t="s">
        <v>16473</v>
      </c>
      <c r="F6427" t="s">
        <v>28198</v>
      </c>
      <c r="G6427" t="s">
        <v>28205</v>
      </c>
      <c r="H6427" t="s">
        <v>28214</v>
      </c>
      <c r="I6427" t="s">
        <v>5100</v>
      </c>
      <c r="J6427" t="s">
        <v>29594</v>
      </c>
      <c r="K6427" t="s">
        <v>36688</v>
      </c>
      <c r="M6427" t="s">
        <v>39214</v>
      </c>
      <c r="N6427" t="s">
        <v>40436</v>
      </c>
      <c r="O6427" t="s">
        <v>40437</v>
      </c>
      <c r="P6427">
        <v>0</v>
      </c>
      <c r="Q6427">
        <v>0</v>
      </c>
      <c r="R6427" t="s">
        <v>40443</v>
      </c>
      <c r="S6427" t="s">
        <v>40644</v>
      </c>
      <c r="T6427" t="s">
        <v>42426</v>
      </c>
      <c r="U6427" t="s">
        <v>48056</v>
      </c>
      <c r="W6427" t="s">
        <v>39214</v>
      </c>
      <c r="X6427" t="s">
        <v>40444</v>
      </c>
    </row>
    <row r="6428" spans="1:24">
      <c r="A6428">
        <f>HYPERLINK("https://www.philgeps.gov.ph/GEPSNONPILOT/Tender/SplashBidNoticeAbstractUI.aspx?menuIndex=3&amp;refID=7042825&amp;Result=3","7042825")</f>
        <v>0</v>
      </c>
      <c r="B6428" t="s">
        <v>943</v>
      </c>
      <c r="C6428" t="s">
        <v>9190</v>
      </c>
      <c r="D6428" t="s">
        <v>16193</v>
      </c>
      <c r="E6428" t="s">
        <v>21965</v>
      </c>
      <c r="F6428" t="s">
        <v>28198</v>
      </c>
      <c r="G6428" t="s">
        <v>28205</v>
      </c>
      <c r="H6428" t="s">
        <v>28214</v>
      </c>
      <c r="I6428" t="s">
        <v>3797</v>
      </c>
      <c r="J6428" t="s">
        <v>32370</v>
      </c>
      <c r="K6428" t="s">
        <v>36737</v>
      </c>
      <c r="M6428" t="s">
        <v>38717</v>
      </c>
      <c r="N6428" t="s">
        <v>40436</v>
      </c>
      <c r="O6428" t="s">
        <v>40437</v>
      </c>
      <c r="P6428">
        <v>0</v>
      </c>
      <c r="Q6428">
        <v>0</v>
      </c>
      <c r="R6428" t="s">
        <v>40443</v>
      </c>
      <c r="S6428" t="s">
        <v>40644</v>
      </c>
      <c r="T6428" t="s">
        <v>42188</v>
      </c>
      <c r="U6428" t="s">
        <v>48057</v>
      </c>
      <c r="W6428" t="s">
        <v>38717</v>
      </c>
      <c r="X6428" t="s">
        <v>40444</v>
      </c>
    </row>
    <row r="6429" spans="1:24">
      <c r="A6429">
        <f>HYPERLINK("https://www.philgeps.gov.ph/GEPSNONPILOT/Tender/SplashBidNoticeAbstractUI.aspx?menuIndex=3&amp;refID=7042898&amp;Result=3","7042898")</f>
        <v>0</v>
      </c>
      <c r="B6429" t="s">
        <v>1123</v>
      </c>
      <c r="C6429" t="s">
        <v>9191</v>
      </c>
      <c r="D6429" t="s">
        <v>16192</v>
      </c>
      <c r="E6429" t="s">
        <v>21966</v>
      </c>
      <c r="F6429" t="s">
        <v>28198</v>
      </c>
      <c r="G6429" t="s">
        <v>28205</v>
      </c>
      <c r="H6429" t="s">
        <v>28215</v>
      </c>
      <c r="I6429" t="s">
        <v>8888</v>
      </c>
      <c r="J6429" t="s">
        <v>32371</v>
      </c>
      <c r="K6429" t="s">
        <v>36688</v>
      </c>
      <c r="M6429" t="s">
        <v>38161</v>
      </c>
      <c r="N6429" t="s">
        <v>40436</v>
      </c>
      <c r="O6429" t="s">
        <v>40437</v>
      </c>
      <c r="P6429">
        <v>0</v>
      </c>
      <c r="Q6429">
        <v>4</v>
      </c>
      <c r="R6429" t="s">
        <v>40443</v>
      </c>
      <c r="S6429" t="s">
        <v>40644</v>
      </c>
      <c r="T6429" t="s">
        <v>42176</v>
      </c>
      <c r="U6429" t="s">
        <v>48058</v>
      </c>
      <c r="W6429" t="s">
        <v>38161</v>
      </c>
      <c r="X6429" t="s">
        <v>40444</v>
      </c>
    </row>
    <row r="6430" spans="1:24">
      <c r="A6430">
        <f>HYPERLINK("https://www.philgeps.gov.ph/GEPSNONPILOT/Tender/SplashBidNoticeAbstractUI.aspx?menuIndex=3&amp;refID=7042903&amp;Result=3","7042903")</f>
        <v>0</v>
      </c>
      <c r="B6430" t="s">
        <v>390</v>
      </c>
      <c r="C6430" t="s">
        <v>9192</v>
      </c>
      <c r="D6430" t="s">
        <v>16235</v>
      </c>
      <c r="E6430" t="s">
        <v>21967</v>
      </c>
      <c r="F6430" t="s">
        <v>28198</v>
      </c>
      <c r="G6430" t="s">
        <v>28205</v>
      </c>
      <c r="H6430" t="s">
        <v>28215</v>
      </c>
      <c r="I6430" t="s">
        <v>28228</v>
      </c>
      <c r="J6430" t="s">
        <v>32372</v>
      </c>
      <c r="K6430" t="s">
        <v>36689</v>
      </c>
      <c r="M6430" t="s">
        <v>37370</v>
      </c>
      <c r="N6430" t="s">
        <v>40436</v>
      </c>
      <c r="O6430" t="s">
        <v>40437</v>
      </c>
      <c r="P6430">
        <v>0</v>
      </c>
      <c r="Q6430">
        <v>1</v>
      </c>
      <c r="R6430" t="s">
        <v>40443</v>
      </c>
      <c r="S6430" t="s">
        <v>40644</v>
      </c>
      <c r="T6430" t="s">
        <v>42099</v>
      </c>
      <c r="U6430" t="s">
        <v>48059</v>
      </c>
      <c r="W6430" t="s">
        <v>37370</v>
      </c>
      <c r="X6430" t="s">
        <v>40444</v>
      </c>
    </row>
    <row r="6431" spans="1:24">
      <c r="A6431">
        <f>HYPERLINK("https://www.philgeps.gov.ph/GEPSNONPILOT/Tender/SplashBidNoticeAbstractUI.aspx?menuIndex=3&amp;refID=7042890&amp;Result=3","7042890")</f>
        <v>0</v>
      </c>
      <c r="B6431" t="s">
        <v>2066</v>
      </c>
      <c r="C6431" t="s">
        <v>9193</v>
      </c>
      <c r="D6431" t="s">
        <v>16264</v>
      </c>
      <c r="E6431" t="s">
        <v>21968</v>
      </c>
      <c r="F6431" t="s">
        <v>28198</v>
      </c>
      <c r="G6431" t="s">
        <v>28205</v>
      </c>
      <c r="H6431" t="s">
        <v>28215</v>
      </c>
      <c r="I6431" t="s">
        <v>5100</v>
      </c>
      <c r="J6431" t="s">
        <v>28708</v>
      </c>
      <c r="K6431" t="s">
        <v>36706</v>
      </c>
      <c r="M6431" t="s">
        <v>39215</v>
      </c>
      <c r="N6431" t="s">
        <v>40436</v>
      </c>
      <c r="O6431" t="s">
        <v>40437</v>
      </c>
      <c r="P6431">
        <v>0</v>
      </c>
      <c r="Q6431">
        <v>1</v>
      </c>
      <c r="R6431" t="s">
        <v>40443</v>
      </c>
      <c r="S6431" t="s">
        <v>40644</v>
      </c>
      <c r="T6431" t="s">
        <v>42124</v>
      </c>
      <c r="U6431" t="s">
        <v>48060</v>
      </c>
      <c r="V6431" t="s">
        <v>54457</v>
      </c>
      <c r="W6431" t="s">
        <v>39215</v>
      </c>
      <c r="X6431" t="s">
        <v>40444</v>
      </c>
    </row>
    <row r="6432" spans="1:24">
      <c r="A6432">
        <f>HYPERLINK("https://www.philgeps.gov.ph/GEPSNONPILOT/Tender/SplashBidNoticeAbstractUI.aspx?menuIndex=3&amp;refID=7042859&amp;Result=3","7042859")</f>
        <v>0</v>
      </c>
      <c r="B6432" t="s">
        <v>388</v>
      </c>
      <c r="C6432" t="s">
        <v>9194</v>
      </c>
      <c r="D6432" t="s">
        <v>16197</v>
      </c>
      <c r="E6432" t="s">
        <v>21969</v>
      </c>
      <c r="F6432" t="s">
        <v>28198</v>
      </c>
      <c r="G6432" t="s">
        <v>28210</v>
      </c>
      <c r="H6432" t="s">
        <v>28215</v>
      </c>
      <c r="I6432" t="s">
        <v>28328</v>
      </c>
      <c r="J6432" t="s">
        <v>28361</v>
      </c>
      <c r="K6432" t="s">
        <v>36701</v>
      </c>
      <c r="M6432" t="s">
        <v>37368</v>
      </c>
      <c r="N6432" t="s">
        <v>40436</v>
      </c>
      <c r="O6432" t="s">
        <v>40437</v>
      </c>
      <c r="P6432">
        <v>0</v>
      </c>
      <c r="Q6432">
        <v>3</v>
      </c>
      <c r="R6432" t="s">
        <v>40443</v>
      </c>
      <c r="S6432" t="s">
        <v>40644</v>
      </c>
      <c r="T6432" t="s">
        <v>42216</v>
      </c>
      <c r="U6432" t="s">
        <v>48061</v>
      </c>
      <c r="V6432" t="s">
        <v>53874</v>
      </c>
      <c r="W6432" t="s">
        <v>37368</v>
      </c>
      <c r="X6432" t="s">
        <v>40444</v>
      </c>
    </row>
    <row r="6433" spans="1:24">
      <c r="A6433">
        <f>HYPERLINK("https://www.philgeps.gov.ph/GEPSNONPILOT/Tender/SplashBidNoticeAbstractUI.aspx?menuIndex=3&amp;refID=7042886&amp;Result=3","7042886")</f>
        <v>0</v>
      </c>
      <c r="B6433" t="s">
        <v>2046</v>
      </c>
      <c r="C6433" t="s">
        <v>9195</v>
      </c>
      <c r="D6433" t="s">
        <v>16209</v>
      </c>
      <c r="E6433" t="s">
        <v>21970</v>
      </c>
      <c r="F6433" t="s">
        <v>28200</v>
      </c>
      <c r="G6433" t="s">
        <v>28207</v>
      </c>
      <c r="H6433" t="s">
        <v>28217</v>
      </c>
      <c r="I6433" t="s">
        <v>28282</v>
      </c>
      <c r="J6433" t="s">
        <v>28414</v>
      </c>
      <c r="K6433" t="s">
        <v>36705</v>
      </c>
      <c r="M6433" t="s">
        <v>39192</v>
      </c>
      <c r="N6433" t="s">
        <v>40436</v>
      </c>
      <c r="O6433" t="s">
        <v>40437</v>
      </c>
      <c r="P6433">
        <v>0</v>
      </c>
      <c r="Q6433">
        <v>1</v>
      </c>
      <c r="R6433" t="s">
        <v>40443</v>
      </c>
      <c r="S6433" t="s">
        <v>40644</v>
      </c>
      <c r="T6433" t="s">
        <v>42131</v>
      </c>
      <c r="U6433" t="s">
        <v>48062</v>
      </c>
      <c r="W6433" t="s">
        <v>39192</v>
      </c>
      <c r="X6433" t="s">
        <v>40444</v>
      </c>
    </row>
    <row r="6434" spans="1:24">
      <c r="A6434">
        <f>HYPERLINK("https://www.philgeps.gov.ph/GEPSNONPILOT/Tender/SplashBidNoticeAbstractUI.aspx?menuIndex=3&amp;refID=7042864&amp;Result=3","7042864")</f>
        <v>0</v>
      </c>
      <c r="B6434" t="s">
        <v>338</v>
      </c>
      <c r="C6434" t="s">
        <v>9196</v>
      </c>
      <c r="D6434" t="s">
        <v>16187</v>
      </c>
      <c r="E6434" t="s">
        <v>21971</v>
      </c>
      <c r="F6434" t="s">
        <v>28198</v>
      </c>
      <c r="G6434" t="s">
        <v>28206</v>
      </c>
      <c r="H6434" t="s">
        <v>28215</v>
      </c>
      <c r="I6434" t="s">
        <v>5100</v>
      </c>
      <c r="J6434" t="s">
        <v>28593</v>
      </c>
      <c r="K6434" t="s">
        <v>36698</v>
      </c>
      <c r="M6434" t="s">
        <v>37316</v>
      </c>
      <c r="N6434" t="s">
        <v>40436</v>
      </c>
      <c r="O6434" t="s">
        <v>40437</v>
      </c>
      <c r="P6434">
        <v>0</v>
      </c>
      <c r="Q6434">
        <v>0</v>
      </c>
      <c r="R6434" t="s">
        <v>40443</v>
      </c>
      <c r="S6434" t="s">
        <v>40644</v>
      </c>
      <c r="T6434" t="s">
        <v>42185</v>
      </c>
      <c r="U6434" t="s">
        <v>48063</v>
      </c>
      <c r="W6434" t="s">
        <v>37316</v>
      </c>
      <c r="X6434" t="s">
        <v>40444</v>
      </c>
    </row>
    <row r="6435" spans="1:24">
      <c r="A6435">
        <f>HYPERLINK("https://www.philgeps.gov.ph/GEPSNONPILOT/Tender/SplashBidNoticeAbstractUI.aspx?menuIndex=3&amp;refID=7042854&amp;Result=3","7042854")</f>
        <v>0</v>
      </c>
      <c r="B6435" t="s">
        <v>1044</v>
      </c>
      <c r="C6435" t="s">
        <v>9197</v>
      </c>
      <c r="E6435" t="s">
        <v>21972</v>
      </c>
      <c r="F6435" t="s">
        <v>28198</v>
      </c>
      <c r="G6435" t="s">
        <v>28205</v>
      </c>
      <c r="H6435" t="s">
        <v>28214</v>
      </c>
      <c r="I6435" t="s">
        <v>28236</v>
      </c>
      <c r="J6435" t="s">
        <v>32373</v>
      </c>
      <c r="K6435" t="s">
        <v>36689</v>
      </c>
      <c r="M6435" t="s">
        <v>38077</v>
      </c>
      <c r="N6435" t="s">
        <v>40436</v>
      </c>
      <c r="O6435" t="s">
        <v>40437</v>
      </c>
      <c r="P6435">
        <v>0</v>
      </c>
      <c r="Q6435">
        <v>1</v>
      </c>
      <c r="R6435" t="s">
        <v>40443</v>
      </c>
      <c r="S6435" t="s">
        <v>40644</v>
      </c>
      <c r="T6435" t="s">
        <v>42131</v>
      </c>
      <c r="U6435" t="s">
        <v>42630</v>
      </c>
      <c r="W6435" t="s">
        <v>38077</v>
      </c>
      <c r="X6435" t="s">
        <v>40444</v>
      </c>
    </row>
    <row r="6436" spans="1:24">
      <c r="A6436">
        <f>HYPERLINK("https://www.philgeps.gov.ph/GEPSNONPILOT/Tender/SplashBidNoticeAbstractUI.aspx?menuIndex=3&amp;refID=7042911&amp;Result=3","7042911")</f>
        <v>0</v>
      </c>
      <c r="B6436" t="s">
        <v>2064</v>
      </c>
      <c r="C6436" t="s">
        <v>9198</v>
      </c>
      <c r="D6436" t="s">
        <v>16228</v>
      </c>
      <c r="E6436" t="s">
        <v>21973</v>
      </c>
      <c r="F6436" t="s">
        <v>28198</v>
      </c>
      <c r="G6436" t="s">
        <v>28205</v>
      </c>
      <c r="H6436" t="s">
        <v>28214</v>
      </c>
      <c r="I6436" t="s">
        <v>3797</v>
      </c>
      <c r="J6436" t="s">
        <v>32374</v>
      </c>
      <c r="K6436" t="s">
        <v>36701</v>
      </c>
      <c r="M6436" t="s">
        <v>39213</v>
      </c>
      <c r="N6436" t="s">
        <v>40436</v>
      </c>
      <c r="O6436" t="s">
        <v>40437</v>
      </c>
      <c r="P6436">
        <v>0</v>
      </c>
      <c r="Q6436">
        <v>1</v>
      </c>
      <c r="R6436" t="s">
        <v>40443</v>
      </c>
      <c r="S6436" t="s">
        <v>40644</v>
      </c>
      <c r="T6436" t="s">
        <v>42183</v>
      </c>
      <c r="U6436" t="s">
        <v>48064</v>
      </c>
      <c r="W6436" t="s">
        <v>39213</v>
      </c>
      <c r="X6436" t="s">
        <v>40444</v>
      </c>
    </row>
    <row r="6437" spans="1:24">
      <c r="A6437">
        <f>HYPERLINK("https://www.philgeps.gov.ph/GEPSNONPILOT/Tender/SplashBidNoticeAbstractUI.aspx?menuIndex=3&amp;refID=7042861&amp;Result=3","7042861")</f>
        <v>0</v>
      </c>
      <c r="B6437" t="s">
        <v>2067</v>
      </c>
      <c r="C6437" t="s">
        <v>9199</v>
      </c>
      <c r="D6437" t="s">
        <v>16260</v>
      </c>
      <c r="E6437" t="s">
        <v>18229</v>
      </c>
      <c r="F6437" t="s">
        <v>28198</v>
      </c>
      <c r="G6437" t="s">
        <v>28207</v>
      </c>
      <c r="H6437" t="s">
        <v>28215</v>
      </c>
      <c r="I6437" t="s">
        <v>4168</v>
      </c>
      <c r="J6437" t="s">
        <v>28694</v>
      </c>
      <c r="K6437" t="s">
        <v>36706</v>
      </c>
      <c r="M6437" t="s">
        <v>39216</v>
      </c>
      <c r="N6437" t="s">
        <v>40436</v>
      </c>
      <c r="O6437" t="s">
        <v>40437</v>
      </c>
      <c r="P6437">
        <v>0</v>
      </c>
      <c r="Q6437">
        <v>2</v>
      </c>
      <c r="R6437" t="s">
        <v>40443</v>
      </c>
      <c r="S6437" t="s">
        <v>40644</v>
      </c>
      <c r="T6437" t="s">
        <v>42184</v>
      </c>
      <c r="U6437" t="s">
        <v>48065</v>
      </c>
      <c r="V6437" t="s">
        <v>54458</v>
      </c>
      <c r="W6437" t="s">
        <v>39216</v>
      </c>
      <c r="X6437" t="s">
        <v>40444</v>
      </c>
    </row>
    <row r="6438" spans="1:24">
      <c r="A6438">
        <f>HYPERLINK("https://www.philgeps.gov.ph/GEPSNONPILOT/Tender/SplashBidNoticeAbstractUI.aspx?menuIndex=3&amp;refID=7042882&amp;Result=3","7042882")</f>
        <v>0</v>
      </c>
      <c r="B6438" t="s">
        <v>390</v>
      </c>
      <c r="C6438" t="s">
        <v>9200</v>
      </c>
      <c r="D6438" t="s">
        <v>16235</v>
      </c>
      <c r="E6438" t="s">
        <v>21974</v>
      </c>
      <c r="F6438" t="s">
        <v>28198</v>
      </c>
      <c r="G6438" t="s">
        <v>28205</v>
      </c>
      <c r="H6438" t="s">
        <v>28215</v>
      </c>
      <c r="I6438" t="s">
        <v>4200</v>
      </c>
      <c r="J6438" t="s">
        <v>28351</v>
      </c>
      <c r="K6438" t="s">
        <v>36701</v>
      </c>
      <c r="M6438" t="s">
        <v>37370</v>
      </c>
      <c r="N6438" t="s">
        <v>40436</v>
      </c>
      <c r="O6438" t="s">
        <v>40437</v>
      </c>
      <c r="P6438">
        <v>0</v>
      </c>
      <c r="Q6438">
        <v>3</v>
      </c>
      <c r="R6438" t="s">
        <v>40443</v>
      </c>
      <c r="S6438" t="s">
        <v>40644</v>
      </c>
      <c r="T6438" t="s">
        <v>42125</v>
      </c>
      <c r="U6438" t="s">
        <v>48066</v>
      </c>
      <c r="W6438" t="s">
        <v>37370</v>
      </c>
      <c r="X6438" t="s">
        <v>40444</v>
      </c>
    </row>
    <row r="6439" spans="1:24">
      <c r="A6439">
        <f>HYPERLINK("https://www.philgeps.gov.ph/GEPSNONPILOT/Tender/SplashBidNoticeAbstractUI.aspx?menuIndex=3&amp;refID=7042910&amp;Result=3","7042910")</f>
        <v>0</v>
      </c>
      <c r="B6439" t="s">
        <v>2046</v>
      </c>
      <c r="C6439" t="s">
        <v>9195</v>
      </c>
      <c r="D6439" t="s">
        <v>16228</v>
      </c>
      <c r="E6439" t="s">
        <v>21975</v>
      </c>
      <c r="F6439" t="s">
        <v>28200</v>
      </c>
      <c r="G6439" t="s">
        <v>28207</v>
      </c>
      <c r="H6439" t="s">
        <v>28217</v>
      </c>
      <c r="I6439" t="s">
        <v>28282</v>
      </c>
      <c r="J6439" t="s">
        <v>28430</v>
      </c>
      <c r="K6439" t="s">
        <v>36705</v>
      </c>
      <c r="M6439" t="s">
        <v>39192</v>
      </c>
      <c r="N6439" t="s">
        <v>40436</v>
      </c>
      <c r="O6439" t="s">
        <v>40437</v>
      </c>
      <c r="P6439">
        <v>0</v>
      </c>
      <c r="Q6439">
        <v>1</v>
      </c>
      <c r="R6439" t="s">
        <v>40443</v>
      </c>
      <c r="S6439" t="s">
        <v>40644</v>
      </c>
      <c r="T6439" t="s">
        <v>42131</v>
      </c>
      <c r="U6439" t="s">
        <v>48067</v>
      </c>
      <c r="W6439" t="s">
        <v>39192</v>
      </c>
      <c r="X6439" t="s">
        <v>40444</v>
      </c>
    </row>
    <row r="6440" spans="1:24">
      <c r="A6440">
        <f>HYPERLINK("https://www.philgeps.gov.ph/GEPSNONPILOT/Tender/SplashBidNoticeAbstractUI.aspx?menuIndex=3&amp;refID=7042955&amp;Result=3","7042955")</f>
        <v>0</v>
      </c>
      <c r="B6440" t="s">
        <v>949</v>
      </c>
      <c r="C6440" t="s">
        <v>9201</v>
      </c>
      <c r="D6440" t="s">
        <v>16260</v>
      </c>
      <c r="E6440" t="s">
        <v>21976</v>
      </c>
      <c r="F6440" t="s">
        <v>28198</v>
      </c>
      <c r="G6440" t="s">
        <v>28205</v>
      </c>
      <c r="H6440" t="s">
        <v>28214</v>
      </c>
      <c r="I6440" t="s">
        <v>28235</v>
      </c>
      <c r="J6440" t="s">
        <v>32375</v>
      </c>
      <c r="K6440" t="s">
        <v>36717</v>
      </c>
      <c r="M6440" t="s">
        <v>37973</v>
      </c>
      <c r="N6440" t="s">
        <v>40436</v>
      </c>
      <c r="O6440" t="s">
        <v>40437</v>
      </c>
      <c r="P6440">
        <v>0</v>
      </c>
      <c r="Q6440">
        <v>6</v>
      </c>
      <c r="R6440" t="s">
        <v>40443</v>
      </c>
      <c r="S6440" t="s">
        <v>40644</v>
      </c>
      <c r="T6440" t="s">
        <v>42108</v>
      </c>
      <c r="U6440" t="s">
        <v>48068</v>
      </c>
      <c r="W6440" t="s">
        <v>37973</v>
      </c>
      <c r="X6440" t="s">
        <v>40444</v>
      </c>
    </row>
    <row r="6441" spans="1:24">
      <c r="A6441">
        <f>HYPERLINK("https://www.philgeps.gov.ph/GEPSNONPILOT/Tender/SplashBidNoticeAbstractUI.aspx?menuIndex=3&amp;refID=7042908&amp;Result=3","7042908")</f>
        <v>0</v>
      </c>
      <c r="B6441" t="s">
        <v>854</v>
      </c>
      <c r="C6441" t="s">
        <v>9202</v>
      </c>
      <c r="D6441" t="s">
        <v>16252</v>
      </c>
      <c r="E6441" t="s">
        <v>21977</v>
      </c>
      <c r="F6441" t="s">
        <v>28198</v>
      </c>
      <c r="G6441" t="s">
        <v>28205</v>
      </c>
      <c r="H6441" t="s">
        <v>28215</v>
      </c>
      <c r="I6441" t="s">
        <v>5100</v>
      </c>
      <c r="J6441" t="s">
        <v>32376</v>
      </c>
      <c r="K6441" t="s">
        <v>36706</v>
      </c>
      <c r="M6441" t="s">
        <v>37866</v>
      </c>
      <c r="N6441" t="s">
        <v>40436</v>
      </c>
      <c r="O6441" t="s">
        <v>40437</v>
      </c>
      <c r="P6441">
        <v>0</v>
      </c>
      <c r="Q6441">
        <v>0</v>
      </c>
      <c r="R6441" t="s">
        <v>40443</v>
      </c>
      <c r="S6441" t="s">
        <v>40644</v>
      </c>
      <c r="T6441" t="s">
        <v>42175</v>
      </c>
      <c r="U6441" t="s">
        <v>48069</v>
      </c>
      <c r="W6441" t="s">
        <v>37866</v>
      </c>
      <c r="X6441" t="s">
        <v>40444</v>
      </c>
    </row>
    <row r="6442" spans="1:24">
      <c r="A6442">
        <f>HYPERLINK("https://www.philgeps.gov.ph/GEPSNONPILOT/Tender/SplashBidNoticeAbstractUI.aspx?menuIndex=3&amp;refID=7042853&amp;Result=3","7042853")</f>
        <v>0</v>
      </c>
      <c r="B6442" t="s">
        <v>2053</v>
      </c>
      <c r="C6442" t="s">
        <v>9203</v>
      </c>
      <c r="D6442" t="s">
        <v>16208</v>
      </c>
      <c r="E6442" t="s">
        <v>21978</v>
      </c>
      <c r="F6442" t="s">
        <v>28198</v>
      </c>
      <c r="G6442" t="s">
        <v>28205</v>
      </c>
      <c r="H6442" t="s">
        <v>28214</v>
      </c>
      <c r="I6442" t="s">
        <v>3797</v>
      </c>
      <c r="J6442" t="s">
        <v>28363</v>
      </c>
      <c r="K6442" t="s">
        <v>36689</v>
      </c>
      <c r="M6442" t="s">
        <v>39199</v>
      </c>
      <c r="N6442" t="s">
        <v>40436</v>
      </c>
      <c r="O6442" t="s">
        <v>40437</v>
      </c>
      <c r="P6442">
        <v>0</v>
      </c>
      <c r="Q6442">
        <v>2</v>
      </c>
      <c r="R6442" t="s">
        <v>40443</v>
      </c>
      <c r="S6442" t="s">
        <v>40644</v>
      </c>
      <c r="T6442" t="s">
        <v>42213</v>
      </c>
      <c r="U6442" t="s">
        <v>48070</v>
      </c>
      <c r="V6442" t="s">
        <v>53826</v>
      </c>
      <c r="W6442" t="s">
        <v>39199</v>
      </c>
      <c r="X6442" t="s">
        <v>40444</v>
      </c>
    </row>
    <row r="6443" spans="1:24">
      <c r="A6443">
        <f>HYPERLINK("https://www.philgeps.gov.ph/GEPSNONPILOT/Tender/SplashBidNoticeAbstractUI.aspx?menuIndex=3&amp;refID=7042946&amp;Result=3","7042946")</f>
        <v>0</v>
      </c>
      <c r="B6443" t="s">
        <v>2068</v>
      </c>
      <c r="C6443" t="s">
        <v>9204</v>
      </c>
      <c r="D6443" t="s">
        <v>16202</v>
      </c>
      <c r="E6443" t="s">
        <v>21979</v>
      </c>
      <c r="F6443" t="s">
        <v>28198</v>
      </c>
      <c r="G6443" t="s">
        <v>28205</v>
      </c>
      <c r="H6443" t="s">
        <v>28215</v>
      </c>
      <c r="I6443" t="s">
        <v>5100</v>
      </c>
      <c r="J6443" t="s">
        <v>32377</v>
      </c>
      <c r="K6443" t="s">
        <v>36707</v>
      </c>
      <c r="M6443" t="s">
        <v>39217</v>
      </c>
      <c r="N6443" t="s">
        <v>40436</v>
      </c>
      <c r="O6443" t="s">
        <v>40437</v>
      </c>
      <c r="P6443">
        <v>0</v>
      </c>
      <c r="Q6443">
        <v>0</v>
      </c>
      <c r="R6443" t="s">
        <v>40443</v>
      </c>
      <c r="S6443" t="s">
        <v>40644</v>
      </c>
      <c r="T6443" t="s">
        <v>42218</v>
      </c>
      <c r="U6443" t="s">
        <v>48071</v>
      </c>
      <c r="W6443" t="s">
        <v>39217</v>
      </c>
      <c r="X6443" t="s">
        <v>40444</v>
      </c>
    </row>
    <row r="6444" spans="1:24">
      <c r="A6444">
        <f>HYPERLINK("https://www.philgeps.gov.ph/GEPSNONPILOT/Tender/SplashBidNoticeAbstractUI.aspx?menuIndex=3&amp;refID=7042904&amp;Result=3","7042904")</f>
        <v>0</v>
      </c>
      <c r="B6444" t="s">
        <v>2068</v>
      </c>
      <c r="C6444" t="s">
        <v>9205</v>
      </c>
      <c r="D6444" t="s">
        <v>16202</v>
      </c>
      <c r="E6444" t="s">
        <v>21980</v>
      </c>
      <c r="F6444" t="s">
        <v>28198</v>
      </c>
      <c r="G6444" t="s">
        <v>28205</v>
      </c>
      <c r="H6444" t="s">
        <v>28215</v>
      </c>
      <c r="I6444" t="s">
        <v>4505</v>
      </c>
      <c r="J6444" t="s">
        <v>32378</v>
      </c>
      <c r="K6444" t="s">
        <v>36707</v>
      </c>
      <c r="M6444" t="s">
        <v>39217</v>
      </c>
      <c r="N6444" t="s">
        <v>40436</v>
      </c>
      <c r="O6444" t="s">
        <v>40437</v>
      </c>
      <c r="P6444">
        <v>0</v>
      </c>
      <c r="Q6444">
        <v>1</v>
      </c>
      <c r="R6444" t="s">
        <v>40443</v>
      </c>
      <c r="S6444" t="s">
        <v>40644</v>
      </c>
      <c r="T6444" t="s">
        <v>42218</v>
      </c>
      <c r="U6444" t="s">
        <v>48072</v>
      </c>
      <c r="W6444" t="s">
        <v>39217</v>
      </c>
      <c r="X6444" t="s">
        <v>40444</v>
      </c>
    </row>
    <row r="6445" spans="1:24">
      <c r="A6445">
        <f>HYPERLINK("https://www.philgeps.gov.ph/GEPSNONPILOT/Tender/SplashBidNoticeAbstractUI.aspx?menuIndex=3&amp;refID=7042953&amp;Result=3","7042953")</f>
        <v>0</v>
      </c>
      <c r="B6445" t="s">
        <v>596</v>
      </c>
      <c r="C6445" t="s">
        <v>9206</v>
      </c>
      <c r="D6445" t="s">
        <v>16223</v>
      </c>
      <c r="E6445" t="s">
        <v>21981</v>
      </c>
      <c r="F6445" t="s">
        <v>28198</v>
      </c>
      <c r="G6445" t="s">
        <v>28205</v>
      </c>
      <c r="H6445" t="s">
        <v>28214</v>
      </c>
      <c r="I6445" t="s">
        <v>3797</v>
      </c>
      <c r="J6445" t="s">
        <v>31252</v>
      </c>
      <c r="K6445" t="s">
        <v>36843</v>
      </c>
      <c r="M6445" t="s">
        <v>37585</v>
      </c>
      <c r="N6445" t="s">
        <v>40436</v>
      </c>
      <c r="O6445" t="s">
        <v>40437</v>
      </c>
      <c r="P6445">
        <v>0</v>
      </c>
      <c r="Q6445">
        <v>3</v>
      </c>
      <c r="R6445" t="s">
        <v>40443</v>
      </c>
      <c r="S6445" t="s">
        <v>40644</v>
      </c>
      <c r="T6445" t="s">
        <v>42278</v>
      </c>
      <c r="U6445" t="s">
        <v>43680</v>
      </c>
      <c r="W6445" t="s">
        <v>37585</v>
      </c>
      <c r="X6445" t="s">
        <v>40444</v>
      </c>
    </row>
    <row r="6446" spans="1:24">
      <c r="A6446">
        <f>HYPERLINK("https://www.philgeps.gov.ph/GEPSNONPILOT/Tender/SplashBidNoticeAbstractUI.aspx?menuIndex=3&amp;refID=7042947&amp;Result=3","7042947")</f>
        <v>0</v>
      </c>
      <c r="B6446" t="s">
        <v>2054</v>
      </c>
      <c r="C6446" t="s">
        <v>9207</v>
      </c>
      <c r="D6446" t="s">
        <v>16210</v>
      </c>
      <c r="E6446" t="s">
        <v>21982</v>
      </c>
      <c r="F6446" t="s">
        <v>28198</v>
      </c>
      <c r="G6446" t="s">
        <v>28207</v>
      </c>
      <c r="H6446" t="s">
        <v>28215</v>
      </c>
      <c r="I6446" t="s">
        <v>28234</v>
      </c>
      <c r="J6446" t="s">
        <v>28430</v>
      </c>
      <c r="K6446" t="s">
        <v>36844</v>
      </c>
      <c r="M6446" t="s">
        <v>39200</v>
      </c>
      <c r="N6446" t="s">
        <v>40436</v>
      </c>
      <c r="O6446" t="s">
        <v>40437</v>
      </c>
      <c r="P6446">
        <v>0</v>
      </c>
      <c r="Q6446">
        <v>6</v>
      </c>
      <c r="R6446" t="s">
        <v>40443</v>
      </c>
      <c r="S6446" t="s">
        <v>40644</v>
      </c>
      <c r="T6446" t="s">
        <v>42277</v>
      </c>
      <c r="U6446" t="s">
        <v>48073</v>
      </c>
      <c r="V6446" t="s">
        <v>54450</v>
      </c>
      <c r="W6446" t="s">
        <v>39200</v>
      </c>
      <c r="X6446" t="s">
        <v>40444</v>
      </c>
    </row>
    <row r="6447" spans="1:24">
      <c r="A6447">
        <f>HYPERLINK("https://www.philgeps.gov.ph/GEPSNONPILOT/Tender/SplashBidNoticeAbstractUI.aspx?menuIndex=3&amp;refID=7042935&amp;Result=3","7042935")</f>
        <v>0</v>
      </c>
      <c r="B6447" t="s">
        <v>1524</v>
      </c>
      <c r="C6447" t="s">
        <v>9208</v>
      </c>
      <c r="D6447" t="s">
        <v>16204</v>
      </c>
      <c r="E6447" t="s">
        <v>21983</v>
      </c>
      <c r="F6447" t="s">
        <v>28198</v>
      </c>
      <c r="G6447" t="s">
        <v>28207</v>
      </c>
      <c r="H6447" t="s">
        <v>28214</v>
      </c>
      <c r="I6447" t="s">
        <v>28255</v>
      </c>
      <c r="J6447" t="s">
        <v>32379</v>
      </c>
      <c r="K6447" t="s">
        <v>36694</v>
      </c>
      <c r="M6447" t="s">
        <v>38602</v>
      </c>
      <c r="N6447" t="s">
        <v>40436</v>
      </c>
      <c r="O6447" t="s">
        <v>40437</v>
      </c>
      <c r="Q6447">
        <v>5</v>
      </c>
      <c r="R6447" t="s">
        <v>40443</v>
      </c>
      <c r="S6447" t="s">
        <v>40597</v>
      </c>
      <c r="T6447" t="s">
        <v>42329</v>
      </c>
      <c r="U6447" t="s">
        <v>48074</v>
      </c>
      <c r="W6447" t="s">
        <v>38602</v>
      </c>
      <c r="X6447" t="s">
        <v>40444</v>
      </c>
    </row>
    <row r="6448" spans="1:24">
      <c r="A6448">
        <f>HYPERLINK("https://www.philgeps.gov.ph/GEPSNONPILOT/Tender/SplashBidNoticeAbstractUI.aspx?menuIndex=3&amp;refID=7042961&amp;Result=3","7042961")</f>
        <v>0</v>
      </c>
      <c r="B6448" t="s">
        <v>1268</v>
      </c>
      <c r="C6448" t="s">
        <v>9209</v>
      </c>
      <c r="D6448" t="s">
        <v>16228</v>
      </c>
      <c r="E6448" t="s">
        <v>21984</v>
      </c>
      <c r="F6448" t="s">
        <v>28198</v>
      </c>
      <c r="G6448" t="s">
        <v>28207</v>
      </c>
      <c r="H6448" t="s">
        <v>28215</v>
      </c>
      <c r="I6448" t="s">
        <v>5100</v>
      </c>
      <c r="J6448" t="s">
        <v>32380</v>
      </c>
      <c r="K6448" t="s">
        <v>36707</v>
      </c>
      <c r="M6448" t="s">
        <v>38318</v>
      </c>
      <c r="N6448" t="s">
        <v>40436</v>
      </c>
      <c r="O6448" t="s">
        <v>40437</v>
      </c>
      <c r="P6448">
        <v>0</v>
      </c>
      <c r="Q6448">
        <v>0</v>
      </c>
      <c r="R6448" t="s">
        <v>40443</v>
      </c>
      <c r="S6448" t="s">
        <v>40644</v>
      </c>
      <c r="T6448" t="s">
        <v>42184</v>
      </c>
      <c r="U6448" t="s">
        <v>48075</v>
      </c>
      <c r="W6448" t="s">
        <v>38318</v>
      </c>
      <c r="X6448" t="s">
        <v>40444</v>
      </c>
    </row>
    <row r="6449" spans="1:24">
      <c r="A6449">
        <f>HYPERLINK("https://www.philgeps.gov.ph/GEPSNONPILOT/Tender/SplashBidNoticeAbstractUI.aspx?menuIndex=3&amp;refID=7042934&amp;Result=3","7042934")</f>
        <v>0</v>
      </c>
      <c r="B6449" t="s">
        <v>2043</v>
      </c>
      <c r="C6449" t="s">
        <v>9210</v>
      </c>
      <c r="E6449" t="s">
        <v>21985</v>
      </c>
      <c r="F6449" t="s">
        <v>28198</v>
      </c>
      <c r="G6449" t="s">
        <v>28207</v>
      </c>
      <c r="H6449" t="s">
        <v>28215</v>
      </c>
      <c r="I6449" t="s">
        <v>28224</v>
      </c>
      <c r="J6449" t="s">
        <v>32381</v>
      </c>
      <c r="K6449" t="s">
        <v>36689</v>
      </c>
      <c r="M6449" t="s">
        <v>39202</v>
      </c>
      <c r="N6449" t="s">
        <v>40436</v>
      </c>
      <c r="O6449" t="s">
        <v>40437</v>
      </c>
      <c r="P6449">
        <v>0</v>
      </c>
      <c r="Q6449">
        <v>0</v>
      </c>
      <c r="R6449" t="s">
        <v>40443</v>
      </c>
      <c r="S6449" t="s">
        <v>40644</v>
      </c>
      <c r="T6449" t="s">
        <v>42185</v>
      </c>
      <c r="U6449" t="s">
        <v>48076</v>
      </c>
      <c r="W6449" t="s">
        <v>39202</v>
      </c>
      <c r="X6449" t="s">
        <v>40444</v>
      </c>
    </row>
    <row r="6450" spans="1:24">
      <c r="A6450">
        <f>HYPERLINK("https://www.philgeps.gov.ph/GEPSNONPILOT/Tender/SplashBidNoticeAbstractUI.aspx?menuIndex=3&amp;refID=7042922&amp;Result=3","7042922")</f>
        <v>0</v>
      </c>
      <c r="B6450" t="s">
        <v>390</v>
      </c>
      <c r="C6450" t="s">
        <v>9211</v>
      </c>
      <c r="D6450" t="s">
        <v>16235</v>
      </c>
      <c r="E6450" t="s">
        <v>21986</v>
      </c>
      <c r="F6450" t="s">
        <v>28198</v>
      </c>
      <c r="G6450" t="s">
        <v>28205</v>
      </c>
      <c r="H6450" t="s">
        <v>28215</v>
      </c>
      <c r="I6450" t="s">
        <v>28222</v>
      </c>
      <c r="J6450" t="s">
        <v>29331</v>
      </c>
      <c r="K6450" t="s">
        <v>36694</v>
      </c>
      <c r="M6450" t="s">
        <v>37370</v>
      </c>
      <c r="N6450" t="s">
        <v>40436</v>
      </c>
      <c r="O6450" t="s">
        <v>40437</v>
      </c>
      <c r="P6450">
        <v>0</v>
      </c>
      <c r="Q6450">
        <v>8</v>
      </c>
      <c r="R6450" t="s">
        <v>40443</v>
      </c>
      <c r="S6450" t="s">
        <v>40644</v>
      </c>
      <c r="T6450" t="s">
        <v>42125</v>
      </c>
      <c r="U6450" t="s">
        <v>48077</v>
      </c>
      <c r="W6450" t="s">
        <v>37370</v>
      </c>
      <c r="X6450" t="s">
        <v>40444</v>
      </c>
    </row>
    <row r="6451" spans="1:24">
      <c r="A6451">
        <f>HYPERLINK("https://www.philgeps.gov.ph/GEPSNONPILOT/Tender/SplashBidNoticeAbstractUI.aspx?menuIndex=3&amp;refID=7042921&amp;Result=3","7042921")</f>
        <v>0</v>
      </c>
      <c r="B6451" t="s">
        <v>2069</v>
      </c>
      <c r="C6451" t="s">
        <v>9212</v>
      </c>
      <c r="D6451" t="s">
        <v>16197</v>
      </c>
      <c r="E6451" t="s">
        <v>21987</v>
      </c>
      <c r="F6451" t="s">
        <v>28198</v>
      </c>
      <c r="G6451" t="s">
        <v>28205</v>
      </c>
      <c r="H6451" t="s">
        <v>28214</v>
      </c>
      <c r="I6451" t="s">
        <v>3797</v>
      </c>
      <c r="J6451" t="s">
        <v>28468</v>
      </c>
      <c r="K6451" t="s">
        <v>36717</v>
      </c>
      <c r="M6451" t="s">
        <v>39218</v>
      </c>
      <c r="N6451" t="s">
        <v>40436</v>
      </c>
      <c r="O6451" t="s">
        <v>40437</v>
      </c>
      <c r="P6451">
        <v>0</v>
      </c>
      <c r="Q6451">
        <v>2</v>
      </c>
      <c r="R6451" t="s">
        <v>40443</v>
      </c>
      <c r="S6451" t="s">
        <v>40644</v>
      </c>
      <c r="T6451" t="s">
        <v>42390</v>
      </c>
      <c r="U6451" t="s">
        <v>48078</v>
      </c>
      <c r="V6451" t="s">
        <v>54459</v>
      </c>
      <c r="W6451" t="s">
        <v>39218</v>
      </c>
      <c r="X6451" t="s">
        <v>40444</v>
      </c>
    </row>
    <row r="6452" spans="1:24">
      <c r="A6452">
        <f>HYPERLINK("https://www.philgeps.gov.ph/GEPSNONPILOT/Tender/SplashBidNoticeAbstractUI.aspx?menuIndex=3&amp;refID=7042930&amp;Result=3","7042930")</f>
        <v>0</v>
      </c>
      <c r="B6452" t="s">
        <v>1036</v>
      </c>
      <c r="C6452" t="s">
        <v>9213</v>
      </c>
      <c r="D6452" t="s">
        <v>16202</v>
      </c>
      <c r="E6452" t="s">
        <v>21988</v>
      </c>
      <c r="F6452" t="s">
        <v>28198</v>
      </c>
      <c r="G6452" t="s">
        <v>28205</v>
      </c>
      <c r="H6452" t="s">
        <v>28215</v>
      </c>
      <c r="I6452" t="s">
        <v>4505</v>
      </c>
      <c r="J6452" t="s">
        <v>32382</v>
      </c>
      <c r="K6452" t="s">
        <v>36701</v>
      </c>
      <c r="M6452" t="s">
        <v>38068</v>
      </c>
      <c r="N6452" t="s">
        <v>40436</v>
      </c>
      <c r="O6452" t="s">
        <v>40437</v>
      </c>
      <c r="P6452">
        <v>0</v>
      </c>
      <c r="Q6452">
        <v>9</v>
      </c>
      <c r="R6452" t="s">
        <v>40443</v>
      </c>
      <c r="S6452" t="s">
        <v>40644</v>
      </c>
      <c r="T6452" t="s">
        <v>42194</v>
      </c>
      <c r="U6452" t="s">
        <v>48079</v>
      </c>
      <c r="V6452" t="s">
        <v>54460</v>
      </c>
      <c r="W6452" t="s">
        <v>38068</v>
      </c>
      <c r="X6452" t="s">
        <v>40444</v>
      </c>
    </row>
    <row r="6453" spans="1:24">
      <c r="A6453">
        <f>HYPERLINK("https://www.philgeps.gov.ph/GEPSNONPILOT/Tender/SplashBidNoticeAbstractUI.aspx?menuIndex=3&amp;refID=7042962&amp;Result=3","7042962")</f>
        <v>0</v>
      </c>
      <c r="B6453" t="s">
        <v>2070</v>
      </c>
      <c r="C6453" t="s">
        <v>9214</v>
      </c>
      <c r="D6453" t="s">
        <v>16200</v>
      </c>
      <c r="E6453" t="s">
        <v>21989</v>
      </c>
      <c r="F6453" t="s">
        <v>28198</v>
      </c>
      <c r="G6453" t="s">
        <v>28205</v>
      </c>
      <c r="H6453" t="s">
        <v>28214</v>
      </c>
      <c r="I6453" t="s">
        <v>3797</v>
      </c>
      <c r="J6453" t="s">
        <v>29566</v>
      </c>
      <c r="K6453" t="s">
        <v>36717</v>
      </c>
      <c r="M6453" t="s">
        <v>39219</v>
      </c>
      <c r="N6453" t="s">
        <v>40436</v>
      </c>
      <c r="O6453" t="s">
        <v>40437</v>
      </c>
      <c r="P6453">
        <v>0</v>
      </c>
      <c r="Q6453">
        <v>0</v>
      </c>
      <c r="R6453" t="s">
        <v>40443</v>
      </c>
      <c r="S6453" t="s">
        <v>40644</v>
      </c>
      <c r="T6453" t="s">
        <v>42319</v>
      </c>
      <c r="U6453" t="s">
        <v>48080</v>
      </c>
      <c r="W6453" t="s">
        <v>39219</v>
      </c>
      <c r="X6453" t="s">
        <v>40444</v>
      </c>
    </row>
    <row r="6454" spans="1:24">
      <c r="A6454">
        <f>HYPERLINK("https://www.philgeps.gov.ph/GEPSNONPILOT/Tender/SplashBidNoticeAbstractUI.aspx?menuIndex=3&amp;refID=7042945&amp;Result=3","7042945")</f>
        <v>0</v>
      </c>
      <c r="B6454" t="s">
        <v>390</v>
      </c>
      <c r="C6454" t="s">
        <v>9215</v>
      </c>
      <c r="D6454" t="s">
        <v>16235</v>
      </c>
      <c r="E6454" t="s">
        <v>21990</v>
      </c>
      <c r="F6454" t="s">
        <v>28198</v>
      </c>
      <c r="G6454" t="s">
        <v>28205</v>
      </c>
      <c r="H6454" t="s">
        <v>28215</v>
      </c>
      <c r="I6454" t="s">
        <v>28222</v>
      </c>
      <c r="J6454" t="s">
        <v>32383</v>
      </c>
      <c r="K6454" t="s">
        <v>36694</v>
      </c>
      <c r="M6454" t="s">
        <v>37370</v>
      </c>
      <c r="N6454" t="s">
        <v>40436</v>
      </c>
      <c r="O6454" t="s">
        <v>40437</v>
      </c>
      <c r="P6454">
        <v>0</v>
      </c>
      <c r="Q6454">
        <v>5</v>
      </c>
      <c r="R6454" t="s">
        <v>40443</v>
      </c>
      <c r="S6454" t="s">
        <v>40644</v>
      </c>
      <c r="T6454" t="s">
        <v>42125</v>
      </c>
      <c r="U6454" t="s">
        <v>48081</v>
      </c>
      <c r="W6454" t="s">
        <v>37370</v>
      </c>
      <c r="X6454" t="s">
        <v>40444</v>
      </c>
    </row>
    <row r="6455" spans="1:24">
      <c r="A6455">
        <f>HYPERLINK("https://www.philgeps.gov.ph/GEPSNONPILOT/Tender/SplashBidNoticeAbstractUI.aspx?menuIndex=3&amp;refID=7042919&amp;Result=3","7042919")</f>
        <v>0</v>
      </c>
      <c r="B6455" t="s">
        <v>338</v>
      </c>
      <c r="C6455" t="s">
        <v>9216</v>
      </c>
      <c r="D6455" t="s">
        <v>16187</v>
      </c>
      <c r="E6455" t="s">
        <v>21991</v>
      </c>
      <c r="F6455" t="s">
        <v>28198</v>
      </c>
      <c r="G6455" t="s">
        <v>28206</v>
      </c>
      <c r="H6455" t="s">
        <v>28215</v>
      </c>
      <c r="I6455" t="s">
        <v>28245</v>
      </c>
      <c r="J6455" t="s">
        <v>28345</v>
      </c>
      <c r="K6455" t="s">
        <v>36698</v>
      </c>
      <c r="M6455" t="s">
        <v>37316</v>
      </c>
      <c r="N6455" t="s">
        <v>40436</v>
      </c>
      <c r="O6455" t="s">
        <v>40437</v>
      </c>
      <c r="P6455">
        <v>0</v>
      </c>
      <c r="Q6455">
        <v>3</v>
      </c>
      <c r="R6455" t="s">
        <v>40443</v>
      </c>
      <c r="S6455" t="s">
        <v>40644</v>
      </c>
      <c r="T6455" t="s">
        <v>42185</v>
      </c>
      <c r="U6455" t="s">
        <v>48082</v>
      </c>
      <c r="W6455" t="s">
        <v>37316</v>
      </c>
      <c r="X6455" t="s">
        <v>40444</v>
      </c>
    </row>
    <row r="6456" spans="1:24">
      <c r="A6456">
        <f>HYPERLINK("https://www.philgeps.gov.ph/GEPSNONPILOT/Tender/SplashBidNoticeAbstractUI.aspx?menuIndex=3&amp;refID=7042916&amp;Result=3","7042916")</f>
        <v>0</v>
      </c>
      <c r="B6456" t="s">
        <v>388</v>
      </c>
      <c r="C6456" t="s">
        <v>9217</v>
      </c>
      <c r="D6456" t="s">
        <v>16197</v>
      </c>
      <c r="E6456" t="s">
        <v>21992</v>
      </c>
      <c r="F6456" t="s">
        <v>28198</v>
      </c>
      <c r="G6456" t="s">
        <v>28210</v>
      </c>
      <c r="H6456" t="s">
        <v>28215</v>
      </c>
      <c r="I6456" t="s">
        <v>4168</v>
      </c>
      <c r="J6456" t="s">
        <v>28406</v>
      </c>
      <c r="K6456" t="s">
        <v>36701</v>
      </c>
      <c r="M6456" t="s">
        <v>37368</v>
      </c>
      <c r="N6456" t="s">
        <v>40436</v>
      </c>
      <c r="O6456" t="s">
        <v>40437</v>
      </c>
      <c r="P6456">
        <v>0</v>
      </c>
      <c r="Q6456">
        <v>1</v>
      </c>
      <c r="R6456" t="s">
        <v>40443</v>
      </c>
      <c r="S6456" t="s">
        <v>40644</v>
      </c>
      <c r="T6456" t="s">
        <v>42216</v>
      </c>
      <c r="U6456" t="s">
        <v>48083</v>
      </c>
      <c r="V6456" t="s">
        <v>53874</v>
      </c>
      <c r="W6456" t="s">
        <v>37368</v>
      </c>
      <c r="X6456" t="s">
        <v>40444</v>
      </c>
    </row>
    <row r="6457" spans="1:24">
      <c r="A6457">
        <f>HYPERLINK("https://www.philgeps.gov.ph/GEPSNONPILOT/Tender/SplashBidNoticeAbstractUI.aspx?menuIndex=3&amp;refID=7042906&amp;Result=3","7042906")</f>
        <v>0</v>
      </c>
      <c r="B6457" t="s">
        <v>2053</v>
      </c>
      <c r="C6457" t="s">
        <v>9218</v>
      </c>
      <c r="E6457" t="s">
        <v>21993</v>
      </c>
      <c r="F6457" t="s">
        <v>28198</v>
      </c>
      <c r="G6457" t="s">
        <v>28205</v>
      </c>
      <c r="H6457" t="s">
        <v>28215</v>
      </c>
      <c r="I6457" t="s">
        <v>5100</v>
      </c>
      <c r="J6457" t="s">
        <v>32384</v>
      </c>
      <c r="K6457" t="s">
        <v>36689</v>
      </c>
      <c r="M6457" t="s">
        <v>39199</v>
      </c>
      <c r="N6457" t="s">
        <v>40436</v>
      </c>
      <c r="O6457" t="s">
        <v>40437</v>
      </c>
      <c r="P6457">
        <v>0</v>
      </c>
      <c r="Q6457">
        <v>0</v>
      </c>
      <c r="R6457" t="s">
        <v>40443</v>
      </c>
      <c r="S6457" t="s">
        <v>40644</v>
      </c>
      <c r="T6457" t="s">
        <v>42134</v>
      </c>
      <c r="U6457" t="s">
        <v>48006</v>
      </c>
      <c r="V6457" t="s">
        <v>53826</v>
      </c>
      <c r="W6457" t="s">
        <v>39199</v>
      </c>
      <c r="X6457" t="s">
        <v>40444</v>
      </c>
    </row>
    <row r="6458" spans="1:24">
      <c r="A6458">
        <f>HYPERLINK("https://www.philgeps.gov.ph/GEPSNONPILOT/Tender/SplashBidNoticeAbstractUI.aspx?menuIndex=3&amp;refID=7042852&amp;Result=3","7042852")</f>
        <v>0</v>
      </c>
      <c r="B6458" t="s">
        <v>2064</v>
      </c>
      <c r="C6458" t="s">
        <v>9219</v>
      </c>
      <c r="D6458" t="s">
        <v>16228</v>
      </c>
      <c r="E6458" t="s">
        <v>21962</v>
      </c>
      <c r="F6458" t="s">
        <v>28198</v>
      </c>
      <c r="G6458" t="s">
        <v>28205</v>
      </c>
      <c r="H6458" t="s">
        <v>28214</v>
      </c>
      <c r="I6458" t="s">
        <v>3797</v>
      </c>
      <c r="J6458" t="s">
        <v>32385</v>
      </c>
      <c r="K6458" t="s">
        <v>36701</v>
      </c>
      <c r="M6458" t="s">
        <v>39213</v>
      </c>
      <c r="N6458" t="s">
        <v>40436</v>
      </c>
      <c r="O6458" t="s">
        <v>40437</v>
      </c>
      <c r="P6458">
        <v>0</v>
      </c>
      <c r="Q6458">
        <v>1</v>
      </c>
      <c r="R6458" t="s">
        <v>40443</v>
      </c>
      <c r="S6458" t="s">
        <v>40644</v>
      </c>
      <c r="T6458" t="s">
        <v>42183</v>
      </c>
      <c r="U6458" t="s">
        <v>48084</v>
      </c>
      <c r="W6458" t="s">
        <v>39213</v>
      </c>
      <c r="X6458" t="s">
        <v>40444</v>
      </c>
    </row>
    <row r="6459" spans="1:24">
      <c r="A6459">
        <f>HYPERLINK("https://www.philgeps.gov.ph/GEPSNONPILOT/Tender/SplashBidNoticeAbstractUI.aspx?menuIndex=3&amp;refID=7042966&amp;Result=3","7042966")</f>
        <v>0</v>
      </c>
      <c r="B6459" t="s">
        <v>2071</v>
      </c>
      <c r="C6459" t="s">
        <v>9220</v>
      </c>
      <c r="D6459" t="s">
        <v>16210</v>
      </c>
      <c r="E6459" t="s">
        <v>21994</v>
      </c>
      <c r="F6459" t="s">
        <v>28198</v>
      </c>
      <c r="G6459" t="s">
        <v>28205</v>
      </c>
      <c r="H6459" t="s">
        <v>28215</v>
      </c>
      <c r="I6459" t="s">
        <v>5082</v>
      </c>
      <c r="J6459" t="s">
        <v>32386</v>
      </c>
      <c r="K6459" t="s">
        <v>36707</v>
      </c>
      <c r="M6459" t="s">
        <v>39220</v>
      </c>
      <c r="N6459" t="s">
        <v>40436</v>
      </c>
      <c r="O6459" t="s">
        <v>40437</v>
      </c>
      <c r="P6459">
        <v>0</v>
      </c>
      <c r="Q6459">
        <v>1</v>
      </c>
      <c r="R6459" t="s">
        <v>40443</v>
      </c>
      <c r="S6459" t="s">
        <v>40644</v>
      </c>
      <c r="T6459" t="s">
        <v>42138</v>
      </c>
      <c r="U6459" t="s">
        <v>43698</v>
      </c>
      <c r="W6459" t="s">
        <v>39220</v>
      </c>
      <c r="X6459" t="s">
        <v>40444</v>
      </c>
    </row>
    <row r="6460" spans="1:24">
      <c r="A6460">
        <f>HYPERLINK("https://www.philgeps.gov.ph/GEPSNONPILOT/Tender/SplashBidNoticeAbstractUI.aspx?menuIndex=3&amp;refID=7042915&amp;Result=3","7042915")</f>
        <v>0</v>
      </c>
      <c r="B6460" t="s">
        <v>1268</v>
      </c>
      <c r="C6460" t="s">
        <v>9221</v>
      </c>
      <c r="D6460" t="s">
        <v>16228</v>
      </c>
      <c r="E6460" t="s">
        <v>21995</v>
      </c>
      <c r="F6460" t="s">
        <v>28198</v>
      </c>
      <c r="G6460" t="s">
        <v>28207</v>
      </c>
      <c r="H6460" t="s">
        <v>28215</v>
      </c>
      <c r="I6460" t="s">
        <v>5100</v>
      </c>
      <c r="J6460" t="s">
        <v>32387</v>
      </c>
      <c r="K6460" t="s">
        <v>36707</v>
      </c>
      <c r="M6460" t="s">
        <v>38318</v>
      </c>
      <c r="N6460" t="s">
        <v>40436</v>
      </c>
      <c r="O6460" t="s">
        <v>40437</v>
      </c>
      <c r="P6460">
        <v>0</v>
      </c>
      <c r="Q6460">
        <v>0</v>
      </c>
      <c r="R6460" t="s">
        <v>40443</v>
      </c>
      <c r="S6460" t="s">
        <v>40644</v>
      </c>
      <c r="T6460" t="s">
        <v>42184</v>
      </c>
      <c r="U6460" t="s">
        <v>48085</v>
      </c>
      <c r="W6460" t="s">
        <v>38318</v>
      </c>
      <c r="X6460" t="s">
        <v>40444</v>
      </c>
    </row>
    <row r="6461" spans="1:24">
      <c r="A6461">
        <f>HYPERLINK("https://www.philgeps.gov.ph/GEPSNONPILOT/Tender/SplashBidNoticeAbstractUI.aspx?menuIndex=3&amp;refID=7042969&amp;Result=3","7042969")</f>
        <v>0</v>
      </c>
      <c r="B6461" t="s">
        <v>195</v>
      </c>
      <c r="C6461" t="s">
        <v>9222</v>
      </c>
      <c r="D6461" t="s">
        <v>16200</v>
      </c>
      <c r="E6461" t="s">
        <v>18647</v>
      </c>
      <c r="F6461" t="s">
        <v>28198</v>
      </c>
      <c r="G6461" t="s">
        <v>28205</v>
      </c>
      <c r="H6461" t="s">
        <v>28215</v>
      </c>
      <c r="I6461" t="s">
        <v>28222</v>
      </c>
      <c r="J6461" t="s">
        <v>32388</v>
      </c>
      <c r="K6461" t="s">
        <v>36701</v>
      </c>
      <c r="M6461" t="s">
        <v>37170</v>
      </c>
      <c r="N6461" t="s">
        <v>40436</v>
      </c>
      <c r="O6461" t="s">
        <v>40437</v>
      </c>
      <c r="P6461">
        <v>0</v>
      </c>
      <c r="Q6461">
        <v>5</v>
      </c>
      <c r="R6461" t="s">
        <v>40443</v>
      </c>
      <c r="S6461" t="s">
        <v>40644</v>
      </c>
      <c r="T6461" t="s">
        <v>42450</v>
      </c>
      <c r="U6461" t="s">
        <v>48086</v>
      </c>
      <c r="W6461" t="s">
        <v>37170</v>
      </c>
      <c r="X6461" t="s">
        <v>40444</v>
      </c>
    </row>
    <row r="6462" spans="1:24">
      <c r="A6462">
        <f>HYPERLINK("https://www.philgeps.gov.ph/GEPSNONPILOT/Tender/SplashBidNoticeAbstractUI.aspx?menuIndex=3&amp;refID=7042988&amp;Result=3","7042988")</f>
        <v>0</v>
      </c>
      <c r="B6462" t="s">
        <v>1520</v>
      </c>
      <c r="C6462" t="s">
        <v>9223</v>
      </c>
      <c r="D6462" t="s">
        <v>16189</v>
      </c>
      <c r="E6462" t="s">
        <v>21996</v>
      </c>
      <c r="F6462" t="s">
        <v>28198</v>
      </c>
      <c r="G6462" t="s">
        <v>28205</v>
      </c>
      <c r="H6462" t="s">
        <v>28215</v>
      </c>
      <c r="I6462" t="s">
        <v>28247</v>
      </c>
      <c r="J6462" t="s">
        <v>32389</v>
      </c>
      <c r="K6462" t="s">
        <v>36694</v>
      </c>
      <c r="M6462" t="s">
        <v>38598</v>
      </c>
      <c r="N6462" t="s">
        <v>40436</v>
      </c>
      <c r="O6462" t="s">
        <v>40437</v>
      </c>
      <c r="P6462">
        <v>0</v>
      </c>
      <c r="Q6462">
        <v>20</v>
      </c>
      <c r="R6462" t="s">
        <v>40443</v>
      </c>
      <c r="S6462" t="s">
        <v>40644</v>
      </c>
      <c r="T6462" t="s">
        <v>42426</v>
      </c>
      <c r="U6462" t="s">
        <v>48087</v>
      </c>
      <c r="W6462" t="s">
        <v>38598</v>
      </c>
      <c r="X6462" t="s">
        <v>40444</v>
      </c>
    </row>
    <row r="6463" spans="1:24">
      <c r="A6463">
        <f>HYPERLINK("https://www.philgeps.gov.ph/GEPSNONPILOT/Tender/SplashBidNoticeAbstractUI.aspx?menuIndex=3&amp;refID=7042985&amp;Result=3","7042985")</f>
        <v>0</v>
      </c>
      <c r="B6463" t="s">
        <v>2043</v>
      </c>
      <c r="C6463" t="s">
        <v>9224</v>
      </c>
      <c r="E6463" t="s">
        <v>21997</v>
      </c>
      <c r="F6463" t="s">
        <v>28198</v>
      </c>
      <c r="G6463" t="s">
        <v>28207</v>
      </c>
      <c r="H6463" t="s">
        <v>28215</v>
      </c>
      <c r="I6463" t="s">
        <v>28243</v>
      </c>
      <c r="J6463" t="s">
        <v>32390</v>
      </c>
      <c r="K6463" t="s">
        <v>36689</v>
      </c>
      <c r="M6463" t="s">
        <v>39202</v>
      </c>
      <c r="N6463" t="s">
        <v>40436</v>
      </c>
      <c r="O6463" t="s">
        <v>40437</v>
      </c>
      <c r="P6463">
        <v>0</v>
      </c>
      <c r="Q6463">
        <v>2</v>
      </c>
      <c r="R6463" t="s">
        <v>40443</v>
      </c>
      <c r="S6463" t="s">
        <v>40644</v>
      </c>
      <c r="T6463" t="s">
        <v>42245</v>
      </c>
      <c r="U6463" t="s">
        <v>48076</v>
      </c>
      <c r="W6463" t="s">
        <v>39202</v>
      </c>
      <c r="X6463" t="s">
        <v>40444</v>
      </c>
    </row>
    <row r="6464" spans="1:24">
      <c r="A6464">
        <f>HYPERLINK("https://www.philgeps.gov.ph/GEPSNONPILOT/Tender/SplashBidNoticeAbstractUI.aspx?menuIndex=3&amp;refID=7042982&amp;Result=3","7042982")</f>
        <v>0</v>
      </c>
      <c r="B6464" t="s">
        <v>1520</v>
      </c>
      <c r="C6464" t="s">
        <v>9225</v>
      </c>
      <c r="D6464" t="s">
        <v>16189</v>
      </c>
      <c r="E6464" t="s">
        <v>21998</v>
      </c>
      <c r="F6464" t="s">
        <v>28198</v>
      </c>
      <c r="G6464" t="s">
        <v>28205</v>
      </c>
      <c r="H6464" t="s">
        <v>28214</v>
      </c>
      <c r="I6464" t="s">
        <v>3797</v>
      </c>
      <c r="J6464" t="s">
        <v>28468</v>
      </c>
      <c r="K6464" t="s">
        <v>36697</v>
      </c>
      <c r="M6464" t="s">
        <v>38598</v>
      </c>
      <c r="N6464" t="s">
        <v>40436</v>
      </c>
      <c r="O6464" t="s">
        <v>40437</v>
      </c>
      <c r="P6464">
        <v>0</v>
      </c>
      <c r="Q6464">
        <v>2</v>
      </c>
      <c r="R6464" t="s">
        <v>40443</v>
      </c>
      <c r="S6464" t="s">
        <v>40644</v>
      </c>
      <c r="T6464" t="s">
        <v>42451</v>
      </c>
      <c r="U6464" t="s">
        <v>48087</v>
      </c>
      <c r="W6464" t="s">
        <v>38598</v>
      </c>
      <c r="X6464" t="s">
        <v>40444</v>
      </c>
    </row>
    <row r="6465" spans="1:24">
      <c r="A6465">
        <f>HYPERLINK("https://www.philgeps.gov.ph/GEPSNONPILOT/Tender/SplashBidNoticeAbstractUI.aspx?menuIndex=3&amp;refID=7042984&amp;Result=3","7042984")</f>
        <v>0</v>
      </c>
      <c r="B6465" t="s">
        <v>1873</v>
      </c>
      <c r="C6465" t="s">
        <v>9226</v>
      </c>
      <c r="D6465" t="s">
        <v>16194</v>
      </c>
      <c r="E6465" t="s">
        <v>21999</v>
      </c>
      <c r="F6465" t="s">
        <v>28198</v>
      </c>
      <c r="G6465" t="s">
        <v>28207</v>
      </c>
      <c r="H6465" t="s">
        <v>28215</v>
      </c>
      <c r="I6465" t="s">
        <v>4200</v>
      </c>
      <c r="J6465" t="s">
        <v>28668</v>
      </c>
      <c r="K6465" t="s">
        <v>36689</v>
      </c>
      <c r="M6465" t="s">
        <v>39004</v>
      </c>
      <c r="N6465" t="s">
        <v>40436</v>
      </c>
      <c r="O6465" t="s">
        <v>40437</v>
      </c>
      <c r="P6465">
        <v>0</v>
      </c>
      <c r="Q6465">
        <v>5</v>
      </c>
      <c r="R6465" t="s">
        <v>40443</v>
      </c>
      <c r="S6465" t="s">
        <v>40644</v>
      </c>
      <c r="T6465" t="s">
        <v>42218</v>
      </c>
      <c r="U6465" t="s">
        <v>48088</v>
      </c>
      <c r="V6465" t="s">
        <v>54355</v>
      </c>
      <c r="W6465" t="s">
        <v>39004</v>
      </c>
      <c r="X6465" t="s">
        <v>40444</v>
      </c>
    </row>
    <row r="6466" spans="1:24">
      <c r="A6466">
        <f>HYPERLINK("https://www.philgeps.gov.ph/GEPSNONPILOT/Tender/SplashBidNoticeAbstractUI.aspx?menuIndex=3&amp;refID=7042987&amp;Result=3","7042987")</f>
        <v>0</v>
      </c>
      <c r="B6466" t="s">
        <v>404</v>
      </c>
      <c r="C6466" t="s">
        <v>9227</v>
      </c>
      <c r="E6466" t="s">
        <v>22000</v>
      </c>
      <c r="F6466" t="s">
        <v>28198</v>
      </c>
      <c r="G6466" t="s">
        <v>28207</v>
      </c>
      <c r="H6466" t="s">
        <v>28215</v>
      </c>
      <c r="I6466" t="s">
        <v>28292</v>
      </c>
      <c r="J6466" t="s">
        <v>30626</v>
      </c>
      <c r="K6466" t="s">
        <v>36689</v>
      </c>
      <c r="M6466" t="s">
        <v>37385</v>
      </c>
      <c r="N6466" t="s">
        <v>40436</v>
      </c>
      <c r="O6466" t="s">
        <v>40437</v>
      </c>
      <c r="P6466">
        <v>0</v>
      </c>
      <c r="Q6466">
        <v>0</v>
      </c>
      <c r="R6466" t="s">
        <v>40443</v>
      </c>
      <c r="S6466" t="s">
        <v>40644</v>
      </c>
      <c r="T6466" t="s">
        <v>42112</v>
      </c>
      <c r="U6466" t="s">
        <v>48089</v>
      </c>
      <c r="V6466" t="s">
        <v>53878</v>
      </c>
      <c r="W6466" t="s">
        <v>55504</v>
      </c>
      <c r="X6466" t="s">
        <v>40444</v>
      </c>
    </row>
    <row r="6467" spans="1:24">
      <c r="A6467">
        <f>HYPERLINK("https://www.philgeps.gov.ph/GEPSNONPILOT/Tender/SplashBidNoticeAbstractUI.aspx?menuIndex=3&amp;refID=7042981&amp;Result=3","7042981")</f>
        <v>0</v>
      </c>
      <c r="B6467" t="s">
        <v>2071</v>
      </c>
      <c r="C6467" t="s">
        <v>9228</v>
      </c>
      <c r="D6467" t="s">
        <v>16210</v>
      </c>
      <c r="E6467" t="s">
        <v>22001</v>
      </c>
      <c r="F6467" t="s">
        <v>28198</v>
      </c>
      <c r="G6467" t="s">
        <v>28205</v>
      </c>
      <c r="H6467" t="s">
        <v>28215</v>
      </c>
      <c r="I6467" t="s">
        <v>5082</v>
      </c>
      <c r="J6467" t="s">
        <v>32391</v>
      </c>
      <c r="K6467" t="s">
        <v>36707</v>
      </c>
      <c r="M6467" t="s">
        <v>39220</v>
      </c>
      <c r="N6467" t="s">
        <v>40436</v>
      </c>
      <c r="O6467" t="s">
        <v>40437</v>
      </c>
      <c r="P6467">
        <v>0</v>
      </c>
      <c r="Q6467">
        <v>1</v>
      </c>
      <c r="R6467" t="s">
        <v>40443</v>
      </c>
      <c r="S6467" t="s">
        <v>40644</v>
      </c>
      <c r="T6467" t="s">
        <v>42138</v>
      </c>
      <c r="U6467" t="s">
        <v>43698</v>
      </c>
      <c r="W6467" t="s">
        <v>39220</v>
      </c>
      <c r="X6467" t="s">
        <v>40444</v>
      </c>
    </row>
    <row r="6468" spans="1:24">
      <c r="A6468">
        <f>HYPERLINK("https://www.philgeps.gov.ph/GEPSNONPILOT/Tender/SplashBidNoticeAbstractUI.aspx?menuIndex=3&amp;refID=7042971&amp;Result=3","7042971")</f>
        <v>0</v>
      </c>
      <c r="B6468" t="s">
        <v>2072</v>
      </c>
      <c r="C6468" t="s">
        <v>9229</v>
      </c>
      <c r="D6468" t="s">
        <v>16192</v>
      </c>
      <c r="E6468" t="s">
        <v>22002</v>
      </c>
      <c r="F6468" t="s">
        <v>28198</v>
      </c>
      <c r="G6468" t="s">
        <v>28205</v>
      </c>
      <c r="H6468" t="s">
        <v>28215</v>
      </c>
      <c r="I6468" t="s">
        <v>4219</v>
      </c>
      <c r="J6468" t="s">
        <v>32392</v>
      </c>
      <c r="K6468" t="s">
        <v>36701</v>
      </c>
      <c r="M6468" t="s">
        <v>39221</v>
      </c>
      <c r="N6468" t="s">
        <v>40436</v>
      </c>
      <c r="O6468" t="s">
        <v>40437</v>
      </c>
      <c r="P6468">
        <v>0</v>
      </c>
      <c r="Q6468">
        <v>1</v>
      </c>
      <c r="R6468" t="s">
        <v>40443</v>
      </c>
      <c r="S6468" t="s">
        <v>40644</v>
      </c>
      <c r="T6468" t="s">
        <v>42452</v>
      </c>
      <c r="U6468" t="s">
        <v>48090</v>
      </c>
      <c r="V6468" t="s">
        <v>54461</v>
      </c>
      <c r="W6468" t="s">
        <v>39221</v>
      </c>
      <c r="X6468" t="s">
        <v>40444</v>
      </c>
    </row>
    <row r="6469" spans="1:24">
      <c r="A6469">
        <f>HYPERLINK("https://www.philgeps.gov.ph/GEPSNONPILOT/Tender/SplashBidNoticeAbstractUI.aspx?menuIndex=3&amp;refID=7042978&amp;Result=3","7042978")</f>
        <v>0</v>
      </c>
      <c r="B6469" t="s">
        <v>1264</v>
      </c>
      <c r="C6469" t="s">
        <v>9230</v>
      </c>
      <c r="D6469" t="s">
        <v>16209</v>
      </c>
      <c r="E6469" t="s">
        <v>22003</v>
      </c>
      <c r="F6469" t="s">
        <v>28198</v>
      </c>
      <c r="G6469" t="s">
        <v>28205</v>
      </c>
      <c r="H6469" t="s">
        <v>28215</v>
      </c>
      <c r="I6469" t="s">
        <v>3774</v>
      </c>
      <c r="J6469" t="s">
        <v>32393</v>
      </c>
      <c r="K6469" t="s">
        <v>36701</v>
      </c>
      <c r="M6469" t="s">
        <v>38314</v>
      </c>
      <c r="N6469" t="s">
        <v>40436</v>
      </c>
      <c r="O6469" t="s">
        <v>40437</v>
      </c>
      <c r="P6469">
        <v>0</v>
      </c>
      <c r="Q6469">
        <v>1</v>
      </c>
      <c r="R6469" t="s">
        <v>40443</v>
      </c>
      <c r="S6469" t="s">
        <v>40644</v>
      </c>
      <c r="T6469" t="s">
        <v>42134</v>
      </c>
      <c r="U6469" t="s">
        <v>47980</v>
      </c>
      <c r="W6469" t="s">
        <v>38314</v>
      </c>
      <c r="X6469" t="s">
        <v>40444</v>
      </c>
    </row>
    <row r="6470" spans="1:24">
      <c r="A6470">
        <f>HYPERLINK("https://www.philgeps.gov.ph/GEPSNONPILOT/Tender/SplashBidNoticeAbstractUI.aspx?menuIndex=3&amp;refID=7043005&amp;Result=3","7043005")</f>
        <v>0</v>
      </c>
      <c r="B6470" t="s">
        <v>2073</v>
      </c>
      <c r="C6470" t="s">
        <v>9231</v>
      </c>
      <c r="D6470" t="s">
        <v>16189</v>
      </c>
      <c r="E6470" t="s">
        <v>22004</v>
      </c>
      <c r="F6470" t="s">
        <v>28198</v>
      </c>
      <c r="G6470" t="s">
        <v>28205</v>
      </c>
      <c r="H6470" t="s">
        <v>28214</v>
      </c>
      <c r="I6470" t="s">
        <v>3797</v>
      </c>
      <c r="J6470" t="s">
        <v>28378</v>
      </c>
      <c r="K6470" t="s">
        <v>36703</v>
      </c>
      <c r="M6470" t="s">
        <v>39222</v>
      </c>
      <c r="N6470" t="s">
        <v>40436</v>
      </c>
      <c r="O6470" t="s">
        <v>40437</v>
      </c>
      <c r="P6470">
        <v>0</v>
      </c>
      <c r="Q6470">
        <v>1</v>
      </c>
      <c r="R6470" t="s">
        <v>40443</v>
      </c>
      <c r="S6470" t="s">
        <v>40644</v>
      </c>
      <c r="T6470" t="s">
        <v>42453</v>
      </c>
      <c r="U6470" t="s">
        <v>48091</v>
      </c>
      <c r="W6470" t="s">
        <v>39222</v>
      </c>
      <c r="X6470" t="s">
        <v>40444</v>
      </c>
    </row>
    <row r="6471" spans="1:24">
      <c r="A6471">
        <f>HYPERLINK("https://www.philgeps.gov.ph/GEPSNONPILOT/Tender/SplashBidNoticeAbstractUI.aspx?menuIndex=3&amp;refID=7042993&amp;Result=3","7042993")</f>
        <v>0</v>
      </c>
      <c r="B6471" t="s">
        <v>2074</v>
      </c>
      <c r="C6471" t="s">
        <v>9232</v>
      </c>
      <c r="D6471" t="s">
        <v>16268</v>
      </c>
      <c r="E6471" t="s">
        <v>22005</v>
      </c>
      <c r="F6471" t="s">
        <v>28198</v>
      </c>
      <c r="G6471" t="s">
        <v>28205</v>
      </c>
      <c r="H6471" t="s">
        <v>28214</v>
      </c>
      <c r="I6471" t="s">
        <v>3797</v>
      </c>
      <c r="J6471" t="s">
        <v>28415</v>
      </c>
      <c r="K6471" t="s">
        <v>36708</v>
      </c>
      <c r="M6471" t="s">
        <v>39223</v>
      </c>
      <c r="N6471" t="s">
        <v>40436</v>
      </c>
      <c r="O6471" t="s">
        <v>40437</v>
      </c>
      <c r="P6471">
        <v>0</v>
      </c>
      <c r="Q6471">
        <v>0</v>
      </c>
      <c r="R6471" t="s">
        <v>40443</v>
      </c>
      <c r="S6471" t="s">
        <v>40644</v>
      </c>
      <c r="T6471" t="s">
        <v>42362</v>
      </c>
      <c r="U6471" t="s">
        <v>48092</v>
      </c>
      <c r="W6471" t="s">
        <v>39223</v>
      </c>
      <c r="X6471" t="s">
        <v>40444</v>
      </c>
    </row>
    <row r="6472" spans="1:24">
      <c r="A6472">
        <f>HYPERLINK("https://www.philgeps.gov.ph/GEPSNONPILOT/Tender/SplashBidNoticeAbstractUI.aspx?menuIndex=3&amp;refID=7042999&amp;Result=3","7042999")</f>
        <v>0</v>
      </c>
      <c r="B6472" t="s">
        <v>1520</v>
      </c>
      <c r="C6472" t="s">
        <v>9233</v>
      </c>
      <c r="D6472" t="s">
        <v>16189</v>
      </c>
      <c r="E6472" t="s">
        <v>22006</v>
      </c>
      <c r="F6472" t="s">
        <v>28198</v>
      </c>
      <c r="G6472" t="s">
        <v>28205</v>
      </c>
      <c r="H6472" t="s">
        <v>28215</v>
      </c>
      <c r="I6472" t="s">
        <v>28234</v>
      </c>
      <c r="J6472" t="s">
        <v>32394</v>
      </c>
      <c r="K6472" t="s">
        <v>36701</v>
      </c>
      <c r="M6472" t="s">
        <v>38598</v>
      </c>
      <c r="N6472" t="s">
        <v>40436</v>
      </c>
      <c r="O6472" t="s">
        <v>40437</v>
      </c>
      <c r="P6472">
        <v>0</v>
      </c>
      <c r="Q6472">
        <v>9</v>
      </c>
      <c r="R6472" t="s">
        <v>40443</v>
      </c>
      <c r="S6472" t="s">
        <v>40644</v>
      </c>
      <c r="T6472" t="s">
        <v>42426</v>
      </c>
      <c r="U6472" t="s">
        <v>48087</v>
      </c>
      <c r="W6472" t="s">
        <v>38598</v>
      </c>
      <c r="X6472" t="s">
        <v>40444</v>
      </c>
    </row>
    <row r="6473" spans="1:24">
      <c r="A6473">
        <f>HYPERLINK("https://www.philgeps.gov.ph/GEPSNONPILOT/Tender/SplashBidNoticeAbstractUI.aspx?menuIndex=3&amp;refID=7043001&amp;Result=3","7043001")</f>
        <v>0</v>
      </c>
      <c r="B6473" t="s">
        <v>2075</v>
      </c>
      <c r="C6473" t="s">
        <v>9234</v>
      </c>
      <c r="D6473" t="s">
        <v>16216</v>
      </c>
      <c r="E6473" t="s">
        <v>22007</v>
      </c>
      <c r="F6473" t="s">
        <v>28198</v>
      </c>
      <c r="G6473" t="s">
        <v>28207</v>
      </c>
      <c r="H6473" t="s">
        <v>28215</v>
      </c>
      <c r="I6473" t="s">
        <v>4219</v>
      </c>
      <c r="J6473" t="s">
        <v>28539</v>
      </c>
      <c r="K6473" t="s">
        <v>36701</v>
      </c>
      <c r="M6473" t="s">
        <v>39224</v>
      </c>
      <c r="N6473" t="s">
        <v>40436</v>
      </c>
      <c r="O6473" t="s">
        <v>40437</v>
      </c>
      <c r="P6473">
        <v>0</v>
      </c>
      <c r="Q6473">
        <v>1</v>
      </c>
      <c r="R6473" t="s">
        <v>40443</v>
      </c>
      <c r="S6473" t="s">
        <v>40644</v>
      </c>
      <c r="T6473" t="s">
        <v>42277</v>
      </c>
      <c r="U6473" t="s">
        <v>48093</v>
      </c>
      <c r="W6473" t="s">
        <v>39224</v>
      </c>
      <c r="X6473" t="s">
        <v>40444</v>
      </c>
    </row>
    <row r="6474" spans="1:24">
      <c r="A6474">
        <f>HYPERLINK("https://www.philgeps.gov.ph/GEPSNONPILOT/Tender/SplashBidNoticeAbstractUI.aspx?menuIndex=3&amp;refID=7043013&amp;Result=3","7043013")</f>
        <v>0</v>
      </c>
      <c r="B6474" t="s">
        <v>943</v>
      </c>
      <c r="C6474" t="s">
        <v>9235</v>
      </c>
      <c r="D6474" t="s">
        <v>16193</v>
      </c>
      <c r="E6474" t="s">
        <v>22008</v>
      </c>
      <c r="F6474" t="s">
        <v>28198</v>
      </c>
      <c r="G6474" t="s">
        <v>28210</v>
      </c>
      <c r="H6474" t="s">
        <v>28215</v>
      </c>
      <c r="I6474" t="s">
        <v>3774</v>
      </c>
      <c r="J6474" t="s">
        <v>32395</v>
      </c>
      <c r="K6474" t="s">
        <v>36688</v>
      </c>
      <c r="M6474" t="s">
        <v>38717</v>
      </c>
      <c r="N6474" t="s">
        <v>40436</v>
      </c>
      <c r="O6474" t="s">
        <v>40437</v>
      </c>
      <c r="P6474">
        <v>0</v>
      </c>
      <c r="Q6474">
        <v>0</v>
      </c>
      <c r="R6474" t="s">
        <v>40443</v>
      </c>
      <c r="S6474" t="s">
        <v>40644</v>
      </c>
      <c r="T6474" t="s">
        <v>42218</v>
      </c>
      <c r="U6474" t="s">
        <v>48094</v>
      </c>
      <c r="W6474" t="s">
        <v>38717</v>
      </c>
      <c r="X6474" t="s">
        <v>40444</v>
      </c>
    </row>
    <row r="6475" spans="1:24">
      <c r="A6475">
        <f>HYPERLINK("https://www.philgeps.gov.ph/GEPSNONPILOT/Tender/SplashBidNoticeAbstractUI.aspx?menuIndex=3&amp;refID=7042986&amp;Result=3","7042986")</f>
        <v>0</v>
      </c>
      <c r="B6475" t="s">
        <v>2076</v>
      </c>
      <c r="C6475" t="s">
        <v>4445</v>
      </c>
      <c r="D6475" t="s">
        <v>16210</v>
      </c>
      <c r="E6475" t="s">
        <v>22009</v>
      </c>
      <c r="F6475" t="s">
        <v>28198</v>
      </c>
      <c r="G6475" t="s">
        <v>28210</v>
      </c>
      <c r="H6475" t="s">
        <v>28215</v>
      </c>
      <c r="I6475" t="s">
        <v>28238</v>
      </c>
      <c r="J6475" t="s">
        <v>32396</v>
      </c>
      <c r="K6475" t="s">
        <v>36687</v>
      </c>
      <c r="M6475" t="s">
        <v>39225</v>
      </c>
      <c r="N6475" t="s">
        <v>40436</v>
      </c>
      <c r="O6475" t="s">
        <v>40437</v>
      </c>
      <c r="P6475">
        <v>0</v>
      </c>
      <c r="Q6475">
        <v>14</v>
      </c>
      <c r="R6475" t="s">
        <v>40443</v>
      </c>
      <c r="S6475" t="s">
        <v>40644</v>
      </c>
      <c r="T6475" t="s">
        <v>42277</v>
      </c>
      <c r="U6475" t="s">
        <v>48095</v>
      </c>
      <c r="W6475" t="s">
        <v>39225</v>
      </c>
      <c r="X6475" t="s">
        <v>40444</v>
      </c>
    </row>
    <row r="6476" spans="1:24">
      <c r="A6476">
        <f>HYPERLINK("https://www.philgeps.gov.ph/GEPSNONPILOT/Tender/SplashBidNoticeAbstractUI.aspx?menuIndex=3&amp;refID=7042994&amp;Result=3","7042994")</f>
        <v>0</v>
      </c>
      <c r="B6476" t="s">
        <v>943</v>
      </c>
      <c r="C6476" t="s">
        <v>9236</v>
      </c>
      <c r="D6476" t="s">
        <v>16193</v>
      </c>
      <c r="E6476" t="s">
        <v>22010</v>
      </c>
      <c r="F6476" t="s">
        <v>28198</v>
      </c>
      <c r="G6476" t="s">
        <v>28210</v>
      </c>
      <c r="H6476" t="s">
        <v>28215</v>
      </c>
      <c r="I6476" t="s">
        <v>5631</v>
      </c>
      <c r="J6476" t="s">
        <v>32397</v>
      </c>
      <c r="K6476" t="s">
        <v>36688</v>
      </c>
      <c r="M6476" t="s">
        <v>38717</v>
      </c>
      <c r="N6476" t="s">
        <v>40436</v>
      </c>
      <c r="O6476" t="s">
        <v>40437</v>
      </c>
      <c r="P6476">
        <v>0</v>
      </c>
      <c r="Q6476">
        <v>0</v>
      </c>
      <c r="R6476" t="s">
        <v>40443</v>
      </c>
      <c r="S6476" t="s">
        <v>40644</v>
      </c>
      <c r="T6476" t="s">
        <v>42218</v>
      </c>
      <c r="U6476" t="s">
        <v>48096</v>
      </c>
      <c r="W6476" t="s">
        <v>38717</v>
      </c>
      <c r="X6476" t="s">
        <v>40444</v>
      </c>
    </row>
    <row r="6477" spans="1:24">
      <c r="A6477">
        <f>HYPERLINK("https://www.philgeps.gov.ph/GEPSNONPILOT/Tender/SplashBidNoticeAbstractUI.aspx?menuIndex=3&amp;refID=7042995&amp;Result=3","7042995")</f>
        <v>0</v>
      </c>
      <c r="B6477" t="s">
        <v>2072</v>
      </c>
      <c r="C6477" t="s">
        <v>9237</v>
      </c>
      <c r="D6477" t="s">
        <v>16192</v>
      </c>
      <c r="E6477" t="s">
        <v>22011</v>
      </c>
      <c r="F6477" t="s">
        <v>28198</v>
      </c>
      <c r="G6477" t="s">
        <v>28205</v>
      </c>
      <c r="H6477" t="s">
        <v>28214</v>
      </c>
      <c r="I6477" t="s">
        <v>3797</v>
      </c>
      <c r="J6477" t="s">
        <v>32398</v>
      </c>
      <c r="K6477" t="s">
        <v>36737</v>
      </c>
      <c r="M6477" t="s">
        <v>39221</v>
      </c>
      <c r="N6477" t="s">
        <v>40436</v>
      </c>
      <c r="O6477" t="s">
        <v>40437</v>
      </c>
      <c r="P6477">
        <v>0</v>
      </c>
      <c r="Q6477">
        <v>2</v>
      </c>
      <c r="R6477" t="s">
        <v>40443</v>
      </c>
      <c r="S6477" t="s">
        <v>40644</v>
      </c>
      <c r="T6477" t="s">
        <v>42452</v>
      </c>
      <c r="U6477" t="s">
        <v>48097</v>
      </c>
      <c r="V6477" t="s">
        <v>54462</v>
      </c>
      <c r="W6477" t="s">
        <v>39221</v>
      </c>
      <c r="X6477" t="s">
        <v>40444</v>
      </c>
    </row>
    <row r="6478" spans="1:24">
      <c r="A6478">
        <f>HYPERLINK("https://www.philgeps.gov.ph/GEPSNONPILOT/Tender/SplashBidNoticeAbstractUI.aspx?menuIndex=3&amp;refID=7043012&amp;Result=3","7043012")</f>
        <v>0</v>
      </c>
      <c r="B6478" t="s">
        <v>2075</v>
      </c>
      <c r="C6478" t="s">
        <v>9238</v>
      </c>
      <c r="D6478" t="s">
        <v>16216</v>
      </c>
      <c r="E6478" t="s">
        <v>22012</v>
      </c>
      <c r="F6478" t="s">
        <v>28198</v>
      </c>
      <c r="G6478" t="s">
        <v>28207</v>
      </c>
      <c r="H6478" t="s">
        <v>28215</v>
      </c>
      <c r="I6478" t="s">
        <v>3774</v>
      </c>
      <c r="J6478" t="s">
        <v>28538</v>
      </c>
      <c r="K6478" t="s">
        <v>36701</v>
      </c>
      <c r="M6478" t="s">
        <v>39224</v>
      </c>
      <c r="N6478" t="s">
        <v>40436</v>
      </c>
      <c r="O6478" t="s">
        <v>40437</v>
      </c>
      <c r="P6478">
        <v>0</v>
      </c>
      <c r="Q6478">
        <v>0</v>
      </c>
      <c r="R6478" t="s">
        <v>40443</v>
      </c>
      <c r="S6478" t="s">
        <v>40644</v>
      </c>
      <c r="T6478" t="s">
        <v>42277</v>
      </c>
      <c r="U6478" t="s">
        <v>48098</v>
      </c>
      <c r="W6478" t="s">
        <v>39224</v>
      </c>
      <c r="X6478" t="s">
        <v>40444</v>
      </c>
    </row>
    <row r="6479" spans="1:24">
      <c r="A6479">
        <f>HYPERLINK("https://www.philgeps.gov.ph/GEPSNONPILOT/Tender/SplashBidNoticeAbstractUI.aspx?menuIndex=3&amp;refID=7043008&amp;Result=3","7043008")</f>
        <v>0</v>
      </c>
      <c r="B6479" t="s">
        <v>1520</v>
      </c>
      <c r="C6479" t="s">
        <v>9239</v>
      </c>
      <c r="D6479" t="s">
        <v>16189</v>
      </c>
      <c r="E6479" t="s">
        <v>22013</v>
      </c>
      <c r="F6479" t="s">
        <v>28198</v>
      </c>
      <c r="G6479" t="s">
        <v>28205</v>
      </c>
      <c r="H6479" t="s">
        <v>28215</v>
      </c>
      <c r="I6479" t="s">
        <v>28258</v>
      </c>
      <c r="J6479" t="s">
        <v>32399</v>
      </c>
      <c r="K6479" t="s">
        <v>36701</v>
      </c>
      <c r="M6479" t="s">
        <v>38598</v>
      </c>
      <c r="N6479" t="s">
        <v>40436</v>
      </c>
      <c r="O6479" t="s">
        <v>40437</v>
      </c>
      <c r="P6479">
        <v>0</v>
      </c>
      <c r="Q6479">
        <v>15</v>
      </c>
      <c r="R6479" t="s">
        <v>40443</v>
      </c>
      <c r="S6479" t="s">
        <v>40644</v>
      </c>
      <c r="T6479" t="s">
        <v>42426</v>
      </c>
      <c r="U6479" t="s">
        <v>48087</v>
      </c>
      <c r="W6479" t="s">
        <v>38598</v>
      </c>
      <c r="X6479" t="s">
        <v>40444</v>
      </c>
    </row>
    <row r="6480" spans="1:24">
      <c r="A6480">
        <f>HYPERLINK("https://www.philgeps.gov.ph/GEPSNONPILOT/Tender/SplashBidNoticeAbstractUI.aspx?menuIndex=3&amp;refID=7042992&amp;Result=3","7042992")</f>
        <v>0</v>
      </c>
      <c r="B6480" t="s">
        <v>2077</v>
      </c>
      <c r="C6480" t="s">
        <v>9240</v>
      </c>
      <c r="D6480" t="s">
        <v>16221</v>
      </c>
      <c r="E6480" t="s">
        <v>17254</v>
      </c>
      <c r="F6480" t="s">
        <v>28198</v>
      </c>
      <c r="G6480" t="s">
        <v>28205</v>
      </c>
      <c r="H6480" t="s">
        <v>28215</v>
      </c>
      <c r="I6480" t="s">
        <v>28257</v>
      </c>
      <c r="J6480" t="s">
        <v>32400</v>
      </c>
      <c r="K6480" t="s">
        <v>36689</v>
      </c>
      <c r="M6480" t="s">
        <v>39226</v>
      </c>
      <c r="N6480" t="s">
        <v>40436</v>
      </c>
      <c r="O6480" t="s">
        <v>40437</v>
      </c>
      <c r="P6480">
        <v>0</v>
      </c>
      <c r="Q6480">
        <v>0</v>
      </c>
      <c r="R6480" t="s">
        <v>40443</v>
      </c>
      <c r="S6480" t="s">
        <v>40644</v>
      </c>
      <c r="T6480" t="s">
        <v>42199</v>
      </c>
      <c r="U6480" t="s">
        <v>48099</v>
      </c>
      <c r="W6480" t="s">
        <v>39226</v>
      </c>
      <c r="X6480" t="s">
        <v>40444</v>
      </c>
    </row>
    <row r="6481" spans="1:24">
      <c r="A6481">
        <f>HYPERLINK("https://www.philgeps.gov.ph/GEPSNONPILOT/Tender/SplashBidNoticeAbstractUI.aspx?menuIndex=3&amp;refID=7043031&amp;Result=3","7043031")</f>
        <v>0</v>
      </c>
      <c r="B6481" t="s">
        <v>2071</v>
      </c>
      <c r="C6481" t="s">
        <v>9241</v>
      </c>
      <c r="D6481" t="s">
        <v>16210</v>
      </c>
      <c r="E6481" t="s">
        <v>22014</v>
      </c>
      <c r="F6481" t="s">
        <v>28198</v>
      </c>
      <c r="G6481" t="s">
        <v>28205</v>
      </c>
      <c r="H6481" t="s">
        <v>28215</v>
      </c>
      <c r="I6481" t="s">
        <v>4200</v>
      </c>
      <c r="J6481" t="s">
        <v>32401</v>
      </c>
      <c r="K6481" t="s">
        <v>36707</v>
      </c>
      <c r="M6481" t="s">
        <v>39220</v>
      </c>
      <c r="N6481" t="s">
        <v>40436</v>
      </c>
      <c r="O6481" t="s">
        <v>40437</v>
      </c>
      <c r="P6481">
        <v>0</v>
      </c>
      <c r="Q6481">
        <v>0</v>
      </c>
      <c r="R6481" t="s">
        <v>40443</v>
      </c>
      <c r="S6481" t="s">
        <v>40644</v>
      </c>
      <c r="T6481" t="s">
        <v>42138</v>
      </c>
      <c r="U6481" t="s">
        <v>48100</v>
      </c>
      <c r="W6481" t="s">
        <v>39220</v>
      </c>
      <c r="X6481" t="s">
        <v>40444</v>
      </c>
    </row>
    <row r="6482" spans="1:24">
      <c r="A6482">
        <f>HYPERLINK("https://www.philgeps.gov.ph/GEPSNONPILOT/Tender/SplashBidNoticeAbstractUI.aspx?menuIndex=3&amp;refID=7043024&amp;Result=3","7043024")</f>
        <v>0</v>
      </c>
      <c r="B6482" t="s">
        <v>2074</v>
      </c>
      <c r="C6482" t="s">
        <v>9242</v>
      </c>
      <c r="D6482" t="s">
        <v>16268</v>
      </c>
      <c r="E6482" t="s">
        <v>22015</v>
      </c>
      <c r="F6482" t="s">
        <v>28198</v>
      </c>
      <c r="G6482" t="s">
        <v>28205</v>
      </c>
      <c r="H6482" t="s">
        <v>28214</v>
      </c>
      <c r="I6482" t="s">
        <v>3797</v>
      </c>
      <c r="J6482" t="s">
        <v>32402</v>
      </c>
      <c r="K6482" t="s">
        <v>36715</v>
      </c>
      <c r="M6482" t="s">
        <v>39223</v>
      </c>
      <c r="N6482" t="s">
        <v>40436</v>
      </c>
      <c r="O6482" t="s">
        <v>40437</v>
      </c>
      <c r="P6482">
        <v>0</v>
      </c>
      <c r="Q6482">
        <v>0</v>
      </c>
      <c r="R6482" t="s">
        <v>40443</v>
      </c>
      <c r="S6482" t="s">
        <v>40644</v>
      </c>
      <c r="T6482" t="s">
        <v>42362</v>
      </c>
      <c r="U6482" t="s">
        <v>48101</v>
      </c>
      <c r="W6482" t="s">
        <v>39223</v>
      </c>
      <c r="X6482" t="s">
        <v>40444</v>
      </c>
    </row>
    <row r="6483" spans="1:24">
      <c r="A6483">
        <f>HYPERLINK("https://www.philgeps.gov.ph/GEPSNONPILOT/Tender/SplashBidNoticeAbstractUI.aspx?menuIndex=3&amp;refID=7043000&amp;Result=3","7043000")</f>
        <v>0</v>
      </c>
      <c r="B6483" t="s">
        <v>2070</v>
      </c>
      <c r="C6483" t="s">
        <v>9243</v>
      </c>
      <c r="D6483" t="s">
        <v>16200</v>
      </c>
      <c r="E6483" t="s">
        <v>22016</v>
      </c>
      <c r="F6483" t="s">
        <v>28198</v>
      </c>
      <c r="G6483" t="s">
        <v>28205</v>
      </c>
      <c r="H6483" t="s">
        <v>28214</v>
      </c>
      <c r="I6483" t="s">
        <v>3797</v>
      </c>
      <c r="J6483" t="s">
        <v>32253</v>
      </c>
      <c r="K6483" t="s">
        <v>36733</v>
      </c>
      <c r="M6483" t="s">
        <v>39219</v>
      </c>
      <c r="N6483" t="s">
        <v>40436</v>
      </c>
      <c r="O6483" t="s">
        <v>40437</v>
      </c>
      <c r="P6483">
        <v>0</v>
      </c>
      <c r="Q6483">
        <v>3</v>
      </c>
      <c r="R6483" t="s">
        <v>40443</v>
      </c>
      <c r="S6483" t="s">
        <v>40644</v>
      </c>
      <c r="T6483" t="s">
        <v>42319</v>
      </c>
      <c r="U6483" t="s">
        <v>48102</v>
      </c>
      <c r="W6483" t="s">
        <v>39219</v>
      </c>
      <c r="X6483" t="s">
        <v>40444</v>
      </c>
    </row>
    <row r="6484" spans="1:24">
      <c r="A6484">
        <f>HYPERLINK("https://www.philgeps.gov.ph/GEPSNONPILOT/Tender/SplashBidNoticeAbstractUI.aspx?menuIndex=3&amp;refID=7043006&amp;Result=3","7043006")</f>
        <v>0</v>
      </c>
      <c r="B6484" t="s">
        <v>2071</v>
      </c>
      <c r="C6484" t="s">
        <v>9244</v>
      </c>
      <c r="D6484" t="s">
        <v>16210</v>
      </c>
      <c r="E6484" t="s">
        <v>22017</v>
      </c>
      <c r="F6484" t="s">
        <v>28198</v>
      </c>
      <c r="G6484" t="s">
        <v>28205</v>
      </c>
      <c r="H6484" t="s">
        <v>28215</v>
      </c>
      <c r="I6484" t="s">
        <v>5082</v>
      </c>
      <c r="J6484" t="s">
        <v>32403</v>
      </c>
      <c r="K6484" t="s">
        <v>36707</v>
      </c>
      <c r="M6484" t="s">
        <v>39220</v>
      </c>
      <c r="N6484" t="s">
        <v>40436</v>
      </c>
      <c r="O6484" t="s">
        <v>40437</v>
      </c>
      <c r="P6484">
        <v>0</v>
      </c>
      <c r="Q6484">
        <v>1</v>
      </c>
      <c r="R6484" t="s">
        <v>40443</v>
      </c>
      <c r="S6484" t="s">
        <v>40644</v>
      </c>
      <c r="T6484" t="s">
        <v>42138</v>
      </c>
      <c r="U6484" t="s">
        <v>43698</v>
      </c>
      <c r="W6484" t="s">
        <v>39220</v>
      </c>
      <c r="X6484" t="s">
        <v>40444</v>
      </c>
    </row>
    <row r="6485" spans="1:24">
      <c r="A6485">
        <f>HYPERLINK("https://www.philgeps.gov.ph/GEPSNONPILOT/Tender/SplashBidNoticeAbstractUI.aspx?menuIndex=3&amp;refID=7043029&amp;Result=3","7043029")</f>
        <v>0</v>
      </c>
      <c r="B6485" t="s">
        <v>2072</v>
      </c>
      <c r="C6485" t="s">
        <v>9245</v>
      </c>
      <c r="D6485" t="s">
        <v>16192</v>
      </c>
      <c r="E6485" t="s">
        <v>22018</v>
      </c>
      <c r="F6485" t="s">
        <v>28198</v>
      </c>
      <c r="G6485" t="s">
        <v>28205</v>
      </c>
      <c r="H6485" t="s">
        <v>28214</v>
      </c>
      <c r="I6485" t="s">
        <v>3797</v>
      </c>
      <c r="J6485" t="s">
        <v>32404</v>
      </c>
      <c r="K6485" t="s">
        <v>36737</v>
      </c>
      <c r="M6485" t="s">
        <v>39221</v>
      </c>
      <c r="N6485" t="s">
        <v>40436</v>
      </c>
      <c r="O6485" t="s">
        <v>40437</v>
      </c>
      <c r="P6485">
        <v>0</v>
      </c>
      <c r="Q6485">
        <v>1</v>
      </c>
      <c r="R6485" t="s">
        <v>40443</v>
      </c>
      <c r="S6485" t="s">
        <v>40644</v>
      </c>
      <c r="T6485" t="s">
        <v>42452</v>
      </c>
      <c r="U6485" t="s">
        <v>48097</v>
      </c>
      <c r="V6485" t="s">
        <v>54462</v>
      </c>
      <c r="W6485" t="s">
        <v>39221</v>
      </c>
      <c r="X6485" t="s">
        <v>40444</v>
      </c>
    </row>
    <row r="6486" spans="1:24">
      <c r="A6486">
        <f>HYPERLINK("https://www.philgeps.gov.ph/GEPSNONPILOT/Tender/SplashBidNoticeAbstractUI.aspx?menuIndex=3&amp;refID=7042989&amp;Result=3","7042989")</f>
        <v>0</v>
      </c>
      <c r="B6486" t="s">
        <v>2047</v>
      </c>
      <c r="C6486" t="s">
        <v>9246</v>
      </c>
      <c r="D6486" t="s">
        <v>16199</v>
      </c>
      <c r="E6486" t="s">
        <v>22019</v>
      </c>
      <c r="F6486" t="s">
        <v>28198</v>
      </c>
      <c r="G6486" t="s">
        <v>28205</v>
      </c>
      <c r="H6486" t="s">
        <v>28215</v>
      </c>
      <c r="I6486" t="s">
        <v>3797</v>
      </c>
      <c r="J6486" t="s">
        <v>28345</v>
      </c>
      <c r="K6486" t="s">
        <v>36701</v>
      </c>
      <c r="M6486" t="s">
        <v>39193</v>
      </c>
      <c r="N6486" t="s">
        <v>40436</v>
      </c>
      <c r="O6486" t="s">
        <v>40437</v>
      </c>
      <c r="P6486">
        <v>0</v>
      </c>
      <c r="Q6486">
        <v>0</v>
      </c>
      <c r="R6486" t="s">
        <v>40443</v>
      </c>
      <c r="S6486" t="s">
        <v>40644</v>
      </c>
      <c r="T6486" t="s">
        <v>42366</v>
      </c>
      <c r="U6486" t="s">
        <v>48103</v>
      </c>
      <c r="V6486" t="s">
        <v>54463</v>
      </c>
      <c r="W6486" t="s">
        <v>39193</v>
      </c>
      <c r="X6486" t="s">
        <v>40444</v>
      </c>
    </row>
    <row r="6487" spans="1:24">
      <c r="A6487">
        <f>HYPERLINK("https://www.philgeps.gov.ph/GEPSNONPILOT/Tender/SplashBidNoticeAbstractUI.aspx?menuIndex=3&amp;refID=7043027&amp;Result=3","7043027")</f>
        <v>0</v>
      </c>
      <c r="B6487" t="s">
        <v>2071</v>
      </c>
      <c r="C6487" t="s">
        <v>9247</v>
      </c>
      <c r="D6487" t="s">
        <v>16210</v>
      </c>
      <c r="E6487" t="s">
        <v>22020</v>
      </c>
      <c r="F6487" t="s">
        <v>28198</v>
      </c>
      <c r="G6487" t="s">
        <v>28205</v>
      </c>
      <c r="H6487" t="s">
        <v>28215</v>
      </c>
      <c r="I6487" t="s">
        <v>4200</v>
      </c>
      <c r="J6487" t="s">
        <v>32405</v>
      </c>
      <c r="K6487" t="s">
        <v>36707</v>
      </c>
      <c r="M6487" t="s">
        <v>39220</v>
      </c>
      <c r="N6487" t="s">
        <v>40436</v>
      </c>
      <c r="O6487" t="s">
        <v>40437</v>
      </c>
      <c r="P6487">
        <v>0</v>
      </c>
      <c r="Q6487">
        <v>0</v>
      </c>
      <c r="R6487" t="s">
        <v>40443</v>
      </c>
      <c r="S6487" t="s">
        <v>40644</v>
      </c>
      <c r="T6487" t="s">
        <v>42138</v>
      </c>
      <c r="U6487" t="s">
        <v>48100</v>
      </c>
      <c r="W6487" t="s">
        <v>39220</v>
      </c>
      <c r="X6487" t="s">
        <v>40444</v>
      </c>
    </row>
    <row r="6488" spans="1:24">
      <c r="A6488">
        <f>HYPERLINK("https://www.philgeps.gov.ph/GEPSNONPILOT/Tender/SplashBidNoticeAbstractUI.aspx?menuIndex=3&amp;refID=7043020&amp;Result=3","7043020")</f>
        <v>0</v>
      </c>
      <c r="B6488" t="s">
        <v>1873</v>
      </c>
      <c r="C6488" t="s">
        <v>9248</v>
      </c>
      <c r="D6488" t="s">
        <v>16194</v>
      </c>
      <c r="E6488" t="s">
        <v>19950</v>
      </c>
      <c r="F6488" t="s">
        <v>28198</v>
      </c>
      <c r="G6488" t="s">
        <v>28207</v>
      </c>
      <c r="H6488" t="s">
        <v>28215</v>
      </c>
      <c r="I6488" t="s">
        <v>28258</v>
      </c>
      <c r="J6488" t="s">
        <v>32406</v>
      </c>
      <c r="K6488" t="s">
        <v>36689</v>
      </c>
      <c r="M6488" t="s">
        <v>39004</v>
      </c>
      <c r="N6488" t="s">
        <v>40436</v>
      </c>
      <c r="O6488" t="s">
        <v>40437</v>
      </c>
      <c r="P6488">
        <v>0</v>
      </c>
      <c r="Q6488">
        <v>3</v>
      </c>
      <c r="R6488" t="s">
        <v>40443</v>
      </c>
      <c r="S6488" t="s">
        <v>40644</v>
      </c>
      <c r="T6488" t="s">
        <v>42218</v>
      </c>
      <c r="U6488" t="s">
        <v>48104</v>
      </c>
      <c r="V6488" t="s">
        <v>54355</v>
      </c>
      <c r="W6488" t="s">
        <v>39004</v>
      </c>
      <c r="X6488" t="s">
        <v>40444</v>
      </c>
    </row>
    <row r="6489" spans="1:24">
      <c r="A6489">
        <f>HYPERLINK("https://www.philgeps.gov.ph/GEPSNONPILOT/Tender/SplashBidNoticeAbstractUI.aspx?menuIndex=3&amp;refID=7043048&amp;Result=3","7043048")</f>
        <v>0</v>
      </c>
      <c r="B6489" t="s">
        <v>2070</v>
      </c>
      <c r="C6489" t="s">
        <v>9249</v>
      </c>
      <c r="D6489" t="s">
        <v>16200</v>
      </c>
      <c r="E6489" t="s">
        <v>22021</v>
      </c>
      <c r="F6489" t="s">
        <v>28198</v>
      </c>
      <c r="G6489" t="s">
        <v>28205</v>
      </c>
      <c r="H6489" t="s">
        <v>28214</v>
      </c>
      <c r="I6489" t="s">
        <v>3797</v>
      </c>
      <c r="J6489" t="s">
        <v>32407</v>
      </c>
      <c r="K6489" t="s">
        <v>36694</v>
      </c>
      <c r="M6489" t="s">
        <v>39219</v>
      </c>
      <c r="N6489" t="s">
        <v>40436</v>
      </c>
      <c r="O6489" t="s">
        <v>40437</v>
      </c>
      <c r="P6489">
        <v>0</v>
      </c>
      <c r="Q6489">
        <v>0</v>
      </c>
      <c r="R6489" t="s">
        <v>40443</v>
      </c>
      <c r="S6489" t="s">
        <v>40644</v>
      </c>
      <c r="T6489" t="s">
        <v>42319</v>
      </c>
      <c r="U6489" t="s">
        <v>48105</v>
      </c>
      <c r="W6489" t="s">
        <v>39219</v>
      </c>
      <c r="X6489" t="s">
        <v>40444</v>
      </c>
    </row>
    <row r="6490" spans="1:24">
      <c r="A6490">
        <f>HYPERLINK("https://www.philgeps.gov.ph/GEPSNONPILOT/Tender/SplashBidNoticeAbstractUI.aspx?menuIndex=3&amp;refID=7043047&amp;Result=3","7043047")</f>
        <v>0</v>
      </c>
      <c r="B6490" t="s">
        <v>1617</v>
      </c>
      <c r="C6490" t="s">
        <v>9250</v>
      </c>
      <c r="D6490" t="s">
        <v>16210</v>
      </c>
      <c r="E6490" t="s">
        <v>17327</v>
      </c>
      <c r="F6490" t="s">
        <v>28198</v>
      </c>
      <c r="G6490" t="s">
        <v>28206</v>
      </c>
      <c r="H6490" t="s">
        <v>28215</v>
      </c>
      <c r="I6490" t="s">
        <v>28234</v>
      </c>
      <c r="J6490" t="s">
        <v>32408</v>
      </c>
      <c r="K6490" t="s">
        <v>36689</v>
      </c>
      <c r="M6490" t="s">
        <v>38704</v>
      </c>
      <c r="N6490" t="s">
        <v>40436</v>
      </c>
      <c r="O6490" t="s">
        <v>40437</v>
      </c>
      <c r="P6490">
        <v>0</v>
      </c>
      <c r="Q6490">
        <v>12</v>
      </c>
      <c r="R6490" t="s">
        <v>40443</v>
      </c>
      <c r="S6490" t="s">
        <v>40644</v>
      </c>
      <c r="T6490" t="s">
        <v>42233</v>
      </c>
      <c r="U6490" t="s">
        <v>48106</v>
      </c>
      <c r="W6490" t="s">
        <v>38704</v>
      </c>
      <c r="X6490" t="s">
        <v>40444</v>
      </c>
    </row>
    <row r="6491" spans="1:24">
      <c r="A6491">
        <f>HYPERLINK("https://www.philgeps.gov.ph/GEPSNONPILOT/Tender/SplashBidNoticeAbstractUI.aspx?menuIndex=3&amp;refID=7043016&amp;Result=3","7043016")</f>
        <v>0</v>
      </c>
      <c r="B6491" t="s">
        <v>2071</v>
      </c>
      <c r="C6491" t="s">
        <v>9251</v>
      </c>
      <c r="D6491" t="s">
        <v>16210</v>
      </c>
      <c r="E6491" t="s">
        <v>22022</v>
      </c>
      <c r="F6491" t="s">
        <v>28198</v>
      </c>
      <c r="G6491" t="s">
        <v>28205</v>
      </c>
      <c r="H6491" t="s">
        <v>28215</v>
      </c>
      <c r="I6491" t="s">
        <v>5082</v>
      </c>
      <c r="J6491" t="s">
        <v>32409</v>
      </c>
      <c r="K6491" t="s">
        <v>36707</v>
      </c>
      <c r="M6491" t="s">
        <v>39220</v>
      </c>
      <c r="N6491" t="s">
        <v>40436</v>
      </c>
      <c r="O6491" t="s">
        <v>40437</v>
      </c>
      <c r="P6491">
        <v>0</v>
      </c>
      <c r="Q6491">
        <v>0</v>
      </c>
      <c r="R6491" t="s">
        <v>40443</v>
      </c>
      <c r="S6491" t="s">
        <v>40644</v>
      </c>
      <c r="T6491" t="s">
        <v>42138</v>
      </c>
      <c r="U6491" t="s">
        <v>43698</v>
      </c>
      <c r="W6491" t="s">
        <v>39220</v>
      </c>
      <c r="X6491" t="s">
        <v>40444</v>
      </c>
    </row>
    <row r="6492" spans="1:24">
      <c r="A6492">
        <f>HYPERLINK("https://www.philgeps.gov.ph/GEPSNONPILOT/Tender/SplashBidNoticeAbstractUI.aspx?menuIndex=3&amp;refID=7043045&amp;Result=3","7043045")</f>
        <v>0</v>
      </c>
      <c r="B6492" t="s">
        <v>2072</v>
      </c>
      <c r="C6492" t="s">
        <v>9252</v>
      </c>
      <c r="D6492" t="s">
        <v>16192</v>
      </c>
      <c r="E6492" t="s">
        <v>22023</v>
      </c>
      <c r="F6492" t="s">
        <v>28198</v>
      </c>
      <c r="G6492" t="s">
        <v>28205</v>
      </c>
      <c r="H6492" t="s">
        <v>28214</v>
      </c>
      <c r="I6492" t="s">
        <v>3797</v>
      </c>
      <c r="J6492" t="s">
        <v>32410</v>
      </c>
      <c r="K6492" t="s">
        <v>36737</v>
      </c>
      <c r="M6492" t="s">
        <v>39221</v>
      </c>
      <c r="N6492" t="s">
        <v>40436</v>
      </c>
      <c r="O6492" t="s">
        <v>40437</v>
      </c>
      <c r="P6492">
        <v>0</v>
      </c>
      <c r="Q6492">
        <v>0</v>
      </c>
      <c r="R6492" t="s">
        <v>40443</v>
      </c>
      <c r="S6492" t="s">
        <v>40644</v>
      </c>
      <c r="T6492" t="s">
        <v>42452</v>
      </c>
      <c r="U6492" t="s">
        <v>48097</v>
      </c>
      <c r="V6492" t="s">
        <v>54462</v>
      </c>
      <c r="W6492" t="s">
        <v>39221</v>
      </c>
      <c r="X6492" t="s">
        <v>40444</v>
      </c>
    </row>
    <row r="6493" spans="1:24">
      <c r="A6493">
        <f>HYPERLINK("https://www.philgeps.gov.ph/GEPSNONPILOT/Tender/SplashBidNoticeAbstractUI.aspx?menuIndex=3&amp;refID=7043014&amp;Result=3","7043014")</f>
        <v>0</v>
      </c>
      <c r="B6493" t="s">
        <v>2074</v>
      </c>
      <c r="C6493" t="s">
        <v>9253</v>
      </c>
      <c r="D6493" t="s">
        <v>16268</v>
      </c>
      <c r="E6493" t="s">
        <v>22024</v>
      </c>
      <c r="F6493" t="s">
        <v>28198</v>
      </c>
      <c r="G6493" t="s">
        <v>28205</v>
      </c>
      <c r="H6493" t="s">
        <v>28214</v>
      </c>
      <c r="I6493" t="s">
        <v>3797</v>
      </c>
      <c r="J6493" t="s">
        <v>28351</v>
      </c>
      <c r="K6493" t="s">
        <v>36715</v>
      </c>
      <c r="M6493" t="s">
        <v>39223</v>
      </c>
      <c r="N6493" t="s">
        <v>40436</v>
      </c>
      <c r="O6493" t="s">
        <v>40437</v>
      </c>
      <c r="P6493">
        <v>0</v>
      </c>
      <c r="Q6493">
        <v>1</v>
      </c>
      <c r="R6493" t="s">
        <v>40443</v>
      </c>
      <c r="S6493" t="s">
        <v>40644</v>
      </c>
      <c r="T6493" t="s">
        <v>42362</v>
      </c>
      <c r="U6493" t="s">
        <v>48107</v>
      </c>
      <c r="W6493" t="s">
        <v>39223</v>
      </c>
      <c r="X6493" t="s">
        <v>40444</v>
      </c>
    </row>
    <row r="6494" spans="1:24">
      <c r="A6494">
        <f>HYPERLINK("https://www.philgeps.gov.ph/GEPSNONPILOT/Tender/SplashBidNoticeAbstractUI.aspx?menuIndex=3&amp;refID=7043043&amp;Result=3","7043043")</f>
        <v>0</v>
      </c>
      <c r="B6494" t="s">
        <v>2078</v>
      </c>
      <c r="C6494" t="s">
        <v>9254</v>
      </c>
      <c r="D6494" t="s">
        <v>16210</v>
      </c>
      <c r="E6494" t="s">
        <v>22025</v>
      </c>
      <c r="F6494" t="s">
        <v>28201</v>
      </c>
      <c r="G6494" t="s">
        <v>28205</v>
      </c>
      <c r="H6494" t="s">
        <v>28215</v>
      </c>
      <c r="I6494" t="s">
        <v>4200</v>
      </c>
      <c r="J6494" t="s">
        <v>28361</v>
      </c>
      <c r="K6494" t="s">
        <v>36688</v>
      </c>
      <c r="M6494" t="s">
        <v>39227</v>
      </c>
      <c r="N6494" t="s">
        <v>40436</v>
      </c>
      <c r="O6494" t="s">
        <v>40437</v>
      </c>
      <c r="P6494">
        <v>0</v>
      </c>
      <c r="Q6494">
        <v>0</v>
      </c>
      <c r="R6494" t="s">
        <v>40443</v>
      </c>
      <c r="S6494" t="s">
        <v>40644</v>
      </c>
      <c r="T6494" t="s">
        <v>42179</v>
      </c>
      <c r="U6494" t="s">
        <v>48108</v>
      </c>
      <c r="W6494" t="s">
        <v>39227</v>
      </c>
      <c r="X6494" t="s">
        <v>40444</v>
      </c>
    </row>
    <row r="6495" spans="1:24">
      <c r="A6495">
        <f>HYPERLINK("https://www.philgeps.gov.ph/GEPSNONPILOT/Tender/SplashBidNoticeAbstractUI.aspx?menuIndex=3&amp;refID=7043032&amp;Result=3","7043032")</f>
        <v>0</v>
      </c>
      <c r="B6495" t="s">
        <v>2079</v>
      </c>
      <c r="C6495" t="s">
        <v>9255</v>
      </c>
      <c r="D6495" t="s">
        <v>16217</v>
      </c>
      <c r="E6495" t="s">
        <v>22026</v>
      </c>
      <c r="F6495" t="s">
        <v>28198</v>
      </c>
      <c r="G6495" t="s">
        <v>28205</v>
      </c>
      <c r="H6495" t="s">
        <v>28214</v>
      </c>
      <c r="I6495" t="s">
        <v>3797</v>
      </c>
      <c r="J6495" t="s">
        <v>29526</v>
      </c>
      <c r="K6495" t="s">
        <v>36845</v>
      </c>
      <c r="L6495" t="s">
        <v>2079</v>
      </c>
      <c r="M6495" t="s">
        <v>39228</v>
      </c>
      <c r="N6495" t="s">
        <v>40436</v>
      </c>
      <c r="O6495" t="s">
        <v>40437</v>
      </c>
      <c r="P6495">
        <v>0</v>
      </c>
      <c r="Q6495">
        <v>1</v>
      </c>
      <c r="R6495" t="s">
        <v>40443</v>
      </c>
      <c r="S6495" t="s">
        <v>40644</v>
      </c>
      <c r="T6495" t="s">
        <v>42390</v>
      </c>
      <c r="U6495" t="s">
        <v>48109</v>
      </c>
      <c r="W6495" t="s">
        <v>39228</v>
      </c>
      <c r="X6495" t="s">
        <v>40444</v>
      </c>
    </row>
    <row r="6496" spans="1:24">
      <c r="A6496">
        <f>HYPERLINK("https://www.philgeps.gov.ph/GEPSNONPILOT/Tender/SplashBidNoticeAbstractUI.aspx?menuIndex=3&amp;refID=7043061&amp;Result=3","7043061")</f>
        <v>0</v>
      </c>
      <c r="B6496" t="s">
        <v>2080</v>
      </c>
      <c r="C6496" t="s">
        <v>9256</v>
      </c>
      <c r="E6496" t="s">
        <v>22027</v>
      </c>
      <c r="F6496" t="s">
        <v>28198</v>
      </c>
      <c r="G6496" t="s">
        <v>28205</v>
      </c>
      <c r="H6496" t="s">
        <v>28216</v>
      </c>
      <c r="I6496" t="s">
        <v>28216</v>
      </c>
      <c r="J6496" t="s">
        <v>32411</v>
      </c>
      <c r="K6496" t="s">
        <v>36761</v>
      </c>
      <c r="M6496" t="s">
        <v>39229</v>
      </c>
      <c r="N6496" t="s">
        <v>40436</v>
      </c>
      <c r="O6496" t="s">
        <v>40437</v>
      </c>
      <c r="P6496">
        <v>0</v>
      </c>
      <c r="Q6496">
        <v>7</v>
      </c>
      <c r="R6496" t="s">
        <v>40443</v>
      </c>
      <c r="S6496" t="s">
        <v>40644</v>
      </c>
      <c r="T6496" t="s">
        <v>42190</v>
      </c>
      <c r="U6496" t="s">
        <v>48110</v>
      </c>
      <c r="W6496" t="s">
        <v>39229</v>
      </c>
      <c r="X6496" t="s">
        <v>40444</v>
      </c>
    </row>
    <row r="6497" spans="1:24">
      <c r="A6497">
        <f>HYPERLINK("https://www.philgeps.gov.ph/GEPSNONPILOT/Tender/SplashBidNoticeAbstractUI.aspx?menuIndex=3&amp;refID=7043040&amp;Result=3","7043040")</f>
        <v>0</v>
      </c>
      <c r="B6497" t="s">
        <v>2071</v>
      </c>
      <c r="C6497" t="s">
        <v>9257</v>
      </c>
      <c r="D6497" t="s">
        <v>16210</v>
      </c>
      <c r="E6497" t="s">
        <v>22028</v>
      </c>
      <c r="F6497" t="s">
        <v>28198</v>
      </c>
      <c r="G6497" t="s">
        <v>28205</v>
      </c>
      <c r="H6497" t="s">
        <v>28215</v>
      </c>
      <c r="I6497" t="s">
        <v>4200</v>
      </c>
      <c r="J6497" t="s">
        <v>32412</v>
      </c>
      <c r="K6497" t="s">
        <v>36707</v>
      </c>
      <c r="M6497" t="s">
        <v>39220</v>
      </c>
      <c r="N6497" t="s">
        <v>40436</v>
      </c>
      <c r="O6497" t="s">
        <v>40437</v>
      </c>
      <c r="P6497">
        <v>0</v>
      </c>
      <c r="Q6497">
        <v>0</v>
      </c>
      <c r="R6497" t="s">
        <v>40443</v>
      </c>
      <c r="S6497" t="s">
        <v>40644</v>
      </c>
      <c r="T6497" t="s">
        <v>42138</v>
      </c>
      <c r="U6497" t="s">
        <v>48100</v>
      </c>
      <c r="W6497" t="s">
        <v>39220</v>
      </c>
      <c r="X6497" t="s">
        <v>40444</v>
      </c>
    </row>
    <row r="6498" spans="1:24">
      <c r="A6498">
        <f>HYPERLINK("https://www.philgeps.gov.ph/GEPSNONPILOT/Tender/SplashBidNoticeAbstractUI.aspx?menuIndex=3&amp;refID=7043015&amp;Result=3","7043015")</f>
        <v>0</v>
      </c>
      <c r="B6498" t="s">
        <v>2072</v>
      </c>
      <c r="C6498" t="s">
        <v>9258</v>
      </c>
      <c r="D6498" t="s">
        <v>16192</v>
      </c>
      <c r="E6498" t="s">
        <v>22029</v>
      </c>
      <c r="F6498" t="s">
        <v>28198</v>
      </c>
      <c r="G6498" t="s">
        <v>28205</v>
      </c>
      <c r="H6498" t="s">
        <v>28214</v>
      </c>
      <c r="I6498" t="s">
        <v>3797</v>
      </c>
      <c r="J6498" t="s">
        <v>32413</v>
      </c>
      <c r="K6498" t="s">
        <v>36737</v>
      </c>
      <c r="M6498" t="s">
        <v>39221</v>
      </c>
      <c r="N6498" t="s">
        <v>40436</v>
      </c>
      <c r="O6498" t="s">
        <v>40437</v>
      </c>
      <c r="P6498">
        <v>0</v>
      </c>
      <c r="Q6498">
        <v>1</v>
      </c>
      <c r="R6498" t="s">
        <v>40443</v>
      </c>
      <c r="S6498" t="s">
        <v>40644</v>
      </c>
      <c r="T6498" t="s">
        <v>42452</v>
      </c>
      <c r="U6498" t="s">
        <v>48097</v>
      </c>
      <c r="V6498" t="s">
        <v>54462</v>
      </c>
      <c r="W6498" t="s">
        <v>39221</v>
      </c>
      <c r="X6498" t="s">
        <v>40444</v>
      </c>
    </row>
    <row r="6499" spans="1:24">
      <c r="A6499">
        <f>HYPERLINK("https://www.philgeps.gov.ph/GEPSNONPILOT/Tender/SplashBidNoticeAbstractUI.aspx?menuIndex=3&amp;refID=7043034&amp;Result=3","7043034")</f>
        <v>0</v>
      </c>
      <c r="B6499" t="s">
        <v>2070</v>
      </c>
      <c r="C6499" t="s">
        <v>9259</v>
      </c>
      <c r="D6499" t="s">
        <v>16200</v>
      </c>
      <c r="E6499" t="s">
        <v>22030</v>
      </c>
      <c r="F6499" t="s">
        <v>28198</v>
      </c>
      <c r="G6499" t="s">
        <v>28205</v>
      </c>
      <c r="H6499" t="s">
        <v>28214</v>
      </c>
      <c r="I6499" t="s">
        <v>3797</v>
      </c>
      <c r="J6499" t="s">
        <v>28351</v>
      </c>
      <c r="K6499" t="s">
        <v>36692</v>
      </c>
      <c r="M6499" t="s">
        <v>39219</v>
      </c>
      <c r="N6499" t="s">
        <v>40436</v>
      </c>
      <c r="O6499" t="s">
        <v>40437</v>
      </c>
      <c r="P6499">
        <v>0</v>
      </c>
      <c r="Q6499">
        <v>0</v>
      </c>
      <c r="R6499" t="s">
        <v>40443</v>
      </c>
      <c r="S6499" t="s">
        <v>40644</v>
      </c>
      <c r="T6499" t="s">
        <v>42319</v>
      </c>
      <c r="U6499" t="s">
        <v>48111</v>
      </c>
      <c r="W6499" t="s">
        <v>39219</v>
      </c>
      <c r="X6499" t="s">
        <v>40444</v>
      </c>
    </row>
    <row r="6500" spans="1:24">
      <c r="A6500">
        <f>HYPERLINK("https://www.philgeps.gov.ph/GEPSNONPILOT/Tender/SplashBidNoticeAbstractUI.aspx?menuIndex=3&amp;refID=7043051&amp;Result=3","7043051")</f>
        <v>0</v>
      </c>
      <c r="B6500" t="s">
        <v>2081</v>
      </c>
      <c r="C6500" t="s">
        <v>9260</v>
      </c>
      <c r="D6500" t="s">
        <v>16210</v>
      </c>
      <c r="E6500" t="s">
        <v>22031</v>
      </c>
      <c r="F6500" t="s">
        <v>28198</v>
      </c>
      <c r="G6500" t="s">
        <v>28205</v>
      </c>
      <c r="H6500" t="s">
        <v>28214</v>
      </c>
      <c r="I6500" t="s">
        <v>3797</v>
      </c>
      <c r="J6500" t="s">
        <v>32414</v>
      </c>
      <c r="K6500" t="s">
        <v>36697</v>
      </c>
      <c r="M6500" t="s">
        <v>39230</v>
      </c>
      <c r="N6500" t="s">
        <v>40436</v>
      </c>
      <c r="O6500" t="s">
        <v>40437</v>
      </c>
      <c r="P6500">
        <v>0</v>
      </c>
      <c r="Q6500">
        <v>18</v>
      </c>
      <c r="R6500" t="s">
        <v>40443</v>
      </c>
      <c r="S6500" t="s">
        <v>40644</v>
      </c>
      <c r="T6500" t="s">
        <v>42261</v>
      </c>
      <c r="U6500" t="s">
        <v>48112</v>
      </c>
      <c r="V6500" t="s">
        <v>54464</v>
      </c>
      <c r="W6500" t="s">
        <v>39230</v>
      </c>
      <c r="X6500" t="s">
        <v>40444</v>
      </c>
    </row>
    <row r="6501" spans="1:24">
      <c r="A6501">
        <f>HYPERLINK("https://www.philgeps.gov.ph/GEPSNONPILOT/Tender/SplashBidNoticeAbstractUI.aspx?menuIndex=3&amp;refID=7043018&amp;Result=3","7043018")</f>
        <v>0</v>
      </c>
      <c r="B6501" t="s">
        <v>2082</v>
      </c>
      <c r="C6501" t="s">
        <v>9261</v>
      </c>
      <c r="D6501" t="s">
        <v>16241</v>
      </c>
      <c r="E6501" t="s">
        <v>22032</v>
      </c>
      <c r="F6501" t="s">
        <v>28198</v>
      </c>
      <c r="G6501" t="s">
        <v>28206</v>
      </c>
      <c r="H6501" t="s">
        <v>28215</v>
      </c>
      <c r="I6501" t="s">
        <v>5103</v>
      </c>
      <c r="J6501" t="s">
        <v>28593</v>
      </c>
      <c r="K6501" t="s">
        <v>36706</v>
      </c>
      <c r="M6501" t="s">
        <v>39231</v>
      </c>
      <c r="N6501" t="s">
        <v>40436</v>
      </c>
      <c r="O6501" t="s">
        <v>40437</v>
      </c>
      <c r="P6501">
        <v>0</v>
      </c>
      <c r="Q6501">
        <v>1</v>
      </c>
      <c r="R6501" t="s">
        <v>40443</v>
      </c>
      <c r="S6501" t="s">
        <v>40644</v>
      </c>
      <c r="T6501" t="s">
        <v>42216</v>
      </c>
      <c r="U6501" t="s">
        <v>48113</v>
      </c>
      <c r="W6501" t="s">
        <v>55505</v>
      </c>
      <c r="X6501" t="s">
        <v>40444</v>
      </c>
    </row>
    <row r="6502" spans="1:24">
      <c r="A6502">
        <f>HYPERLINK("https://www.philgeps.gov.ph/GEPSNONPILOT/Tender/SplashBidNoticeAbstractUI.aspx?menuIndex=3&amp;refID=7043068&amp;Result=3","7043068")</f>
        <v>0</v>
      </c>
      <c r="B6502" t="s">
        <v>2083</v>
      </c>
      <c r="C6502" t="s">
        <v>9262</v>
      </c>
      <c r="E6502" t="s">
        <v>22033</v>
      </c>
      <c r="F6502" t="s">
        <v>28198</v>
      </c>
      <c r="G6502" t="s">
        <v>28207</v>
      </c>
      <c r="H6502" t="s">
        <v>28215</v>
      </c>
      <c r="I6502" t="s">
        <v>28224</v>
      </c>
      <c r="J6502" t="s">
        <v>28414</v>
      </c>
      <c r="K6502" t="s">
        <v>36707</v>
      </c>
      <c r="M6502" t="s">
        <v>39232</v>
      </c>
      <c r="N6502" t="s">
        <v>40436</v>
      </c>
      <c r="O6502" t="s">
        <v>40437</v>
      </c>
      <c r="P6502">
        <v>0</v>
      </c>
      <c r="Q6502">
        <v>0</v>
      </c>
      <c r="R6502" t="s">
        <v>40443</v>
      </c>
      <c r="S6502" t="s">
        <v>40644</v>
      </c>
      <c r="T6502" t="s">
        <v>42158</v>
      </c>
      <c r="U6502" t="s">
        <v>48114</v>
      </c>
      <c r="V6502" t="s">
        <v>54465</v>
      </c>
      <c r="W6502" t="s">
        <v>39232</v>
      </c>
      <c r="X6502" t="s">
        <v>40444</v>
      </c>
    </row>
    <row r="6503" spans="1:24">
      <c r="A6503">
        <f>HYPERLINK("https://www.philgeps.gov.ph/GEPSNONPILOT/Tender/SplashBidNoticeAbstractUI.aspx?menuIndex=3&amp;refID=7043058&amp;Result=3","7043058")</f>
        <v>0</v>
      </c>
      <c r="B6503" t="s">
        <v>2071</v>
      </c>
      <c r="C6503" t="s">
        <v>9263</v>
      </c>
      <c r="D6503" t="s">
        <v>16210</v>
      </c>
      <c r="E6503" t="s">
        <v>22034</v>
      </c>
      <c r="F6503" t="s">
        <v>28198</v>
      </c>
      <c r="G6503" t="s">
        <v>28205</v>
      </c>
      <c r="H6503" t="s">
        <v>28215</v>
      </c>
      <c r="I6503" t="s">
        <v>4200</v>
      </c>
      <c r="J6503" t="s">
        <v>32415</v>
      </c>
      <c r="K6503" t="s">
        <v>36707</v>
      </c>
      <c r="M6503" t="s">
        <v>39220</v>
      </c>
      <c r="N6503" t="s">
        <v>40436</v>
      </c>
      <c r="O6503" t="s">
        <v>40437</v>
      </c>
      <c r="P6503">
        <v>0</v>
      </c>
      <c r="Q6503">
        <v>1</v>
      </c>
      <c r="R6503" t="s">
        <v>40443</v>
      </c>
      <c r="S6503" t="s">
        <v>40644</v>
      </c>
      <c r="T6503" t="s">
        <v>42138</v>
      </c>
      <c r="U6503" t="s">
        <v>48100</v>
      </c>
      <c r="W6503" t="s">
        <v>39220</v>
      </c>
      <c r="X6503" t="s">
        <v>40444</v>
      </c>
    </row>
    <row r="6504" spans="1:24">
      <c r="A6504">
        <f>HYPERLINK("https://www.philgeps.gov.ph/GEPSNONPILOT/Tender/SplashBidNoticeAbstractUI.aspx?menuIndex=3&amp;refID=7043050&amp;Result=3","7043050")</f>
        <v>0</v>
      </c>
      <c r="B6504" t="s">
        <v>2071</v>
      </c>
      <c r="C6504" t="s">
        <v>9264</v>
      </c>
      <c r="D6504" t="s">
        <v>16210</v>
      </c>
      <c r="E6504" t="s">
        <v>22035</v>
      </c>
      <c r="F6504" t="s">
        <v>28198</v>
      </c>
      <c r="G6504" t="s">
        <v>28205</v>
      </c>
      <c r="H6504" t="s">
        <v>28215</v>
      </c>
      <c r="I6504" t="s">
        <v>4200</v>
      </c>
      <c r="J6504" t="s">
        <v>32416</v>
      </c>
      <c r="K6504" t="s">
        <v>36707</v>
      </c>
      <c r="M6504" t="s">
        <v>39220</v>
      </c>
      <c r="N6504" t="s">
        <v>40436</v>
      </c>
      <c r="O6504" t="s">
        <v>40437</v>
      </c>
      <c r="P6504">
        <v>0</v>
      </c>
      <c r="Q6504">
        <v>1</v>
      </c>
      <c r="R6504" t="s">
        <v>40443</v>
      </c>
      <c r="S6504" t="s">
        <v>40644</v>
      </c>
      <c r="T6504" t="s">
        <v>42138</v>
      </c>
      <c r="U6504" t="s">
        <v>48100</v>
      </c>
      <c r="W6504" t="s">
        <v>39220</v>
      </c>
      <c r="X6504" t="s">
        <v>40444</v>
      </c>
    </row>
    <row r="6505" spans="1:24">
      <c r="A6505">
        <f>HYPERLINK("https://www.philgeps.gov.ph/GEPSNONPILOT/Tender/SplashBidNoticeAbstractUI.aspx?menuIndex=3&amp;refID=7043067&amp;Result=3","7043067")</f>
        <v>0</v>
      </c>
      <c r="B6505" t="s">
        <v>2070</v>
      </c>
      <c r="C6505" t="s">
        <v>9265</v>
      </c>
      <c r="D6505" t="s">
        <v>16200</v>
      </c>
      <c r="E6505" t="s">
        <v>22036</v>
      </c>
      <c r="F6505" t="s">
        <v>28198</v>
      </c>
      <c r="G6505" t="s">
        <v>28205</v>
      </c>
      <c r="H6505" t="s">
        <v>28214</v>
      </c>
      <c r="I6505" t="s">
        <v>3797</v>
      </c>
      <c r="J6505" t="s">
        <v>32417</v>
      </c>
      <c r="K6505" t="s">
        <v>36697</v>
      </c>
      <c r="M6505" t="s">
        <v>39219</v>
      </c>
      <c r="N6505" t="s">
        <v>40436</v>
      </c>
      <c r="O6505" t="s">
        <v>40437</v>
      </c>
      <c r="P6505">
        <v>0</v>
      </c>
      <c r="Q6505">
        <v>0</v>
      </c>
      <c r="R6505" t="s">
        <v>40443</v>
      </c>
      <c r="S6505" t="s">
        <v>40644</v>
      </c>
      <c r="T6505" t="s">
        <v>42319</v>
      </c>
      <c r="U6505" t="s">
        <v>48105</v>
      </c>
      <c r="W6505" t="s">
        <v>39219</v>
      </c>
      <c r="X6505" t="s">
        <v>40444</v>
      </c>
    </row>
    <row r="6506" spans="1:24">
      <c r="A6506">
        <f>HYPERLINK("https://www.philgeps.gov.ph/GEPSNONPILOT/Tender/SplashBidNoticeAbstractUI.aspx?menuIndex=3&amp;refID=7043073&amp;Result=3","7043073")</f>
        <v>0</v>
      </c>
      <c r="B6506" t="s">
        <v>2071</v>
      </c>
      <c r="C6506" t="s">
        <v>9266</v>
      </c>
      <c r="D6506" t="s">
        <v>16210</v>
      </c>
      <c r="E6506" t="s">
        <v>22037</v>
      </c>
      <c r="F6506" t="s">
        <v>28198</v>
      </c>
      <c r="G6506" t="s">
        <v>28205</v>
      </c>
      <c r="H6506" t="s">
        <v>28215</v>
      </c>
      <c r="I6506" t="s">
        <v>5791</v>
      </c>
      <c r="J6506" t="s">
        <v>32418</v>
      </c>
      <c r="K6506" t="s">
        <v>36707</v>
      </c>
      <c r="M6506" t="s">
        <v>39220</v>
      </c>
      <c r="N6506" t="s">
        <v>40436</v>
      </c>
      <c r="O6506" t="s">
        <v>40437</v>
      </c>
      <c r="P6506">
        <v>0</v>
      </c>
      <c r="Q6506">
        <v>0</v>
      </c>
      <c r="R6506" t="s">
        <v>40443</v>
      </c>
      <c r="S6506" t="s">
        <v>40644</v>
      </c>
      <c r="T6506" t="s">
        <v>42138</v>
      </c>
      <c r="U6506" t="s">
        <v>48115</v>
      </c>
      <c r="W6506" t="s">
        <v>39220</v>
      </c>
      <c r="X6506" t="s">
        <v>40444</v>
      </c>
    </row>
    <row r="6507" spans="1:24">
      <c r="A6507">
        <f>HYPERLINK("https://www.philgeps.gov.ph/GEPSNONPILOT/Tender/SplashBidNoticeAbstractUI.aspx?menuIndex=3&amp;refID=7043063&amp;Result=3","7043063")</f>
        <v>0</v>
      </c>
      <c r="B6507" t="s">
        <v>1617</v>
      </c>
      <c r="C6507" t="s">
        <v>3313</v>
      </c>
      <c r="D6507" t="s">
        <v>16210</v>
      </c>
      <c r="E6507" t="s">
        <v>22038</v>
      </c>
      <c r="F6507" t="s">
        <v>28198</v>
      </c>
      <c r="G6507" t="s">
        <v>28206</v>
      </c>
      <c r="H6507" t="s">
        <v>28215</v>
      </c>
      <c r="I6507" t="s">
        <v>5082</v>
      </c>
      <c r="J6507" t="s">
        <v>32419</v>
      </c>
      <c r="K6507" t="s">
        <v>36689</v>
      </c>
      <c r="M6507" t="s">
        <v>38704</v>
      </c>
      <c r="N6507" t="s">
        <v>40436</v>
      </c>
      <c r="O6507" t="s">
        <v>40437</v>
      </c>
      <c r="P6507">
        <v>0</v>
      </c>
      <c r="Q6507">
        <v>13</v>
      </c>
      <c r="R6507" t="s">
        <v>40443</v>
      </c>
      <c r="S6507" t="s">
        <v>40644</v>
      </c>
      <c r="T6507" t="s">
        <v>42233</v>
      </c>
      <c r="U6507" t="s">
        <v>48106</v>
      </c>
      <c r="W6507" t="s">
        <v>38704</v>
      </c>
      <c r="X6507" t="s">
        <v>40444</v>
      </c>
    </row>
    <row r="6508" spans="1:24">
      <c r="A6508">
        <f>HYPERLINK("https://www.philgeps.gov.ph/GEPSNONPILOT/Tender/SplashBidNoticeAbstractUI.aspx?menuIndex=3&amp;refID=7043066&amp;Result=3","7043066")</f>
        <v>0</v>
      </c>
      <c r="B6508" t="s">
        <v>2071</v>
      </c>
      <c r="C6508" t="s">
        <v>9267</v>
      </c>
      <c r="D6508" t="s">
        <v>16210</v>
      </c>
      <c r="E6508" t="s">
        <v>22039</v>
      </c>
      <c r="F6508" t="s">
        <v>28198</v>
      </c>
      <c r="G6508" t="s">
        <v>28205</v>
      </c>
      <c r="H6508" t="s">
        <v>28215</v>
      </c>
      <c r="I6508" t="s">
        <v>5791</v>
      </c>
      <c r="J6508" t="s">
        <v>32420</v>
      </c>
      <c r="K6508" t="s">
        <v>36707</v>
      </c>
      <c r="M6508" t="s">
        <v>39220</v>
      </c>
      <c r="N6508" t="s">
        <v>40436</v>
      </c>
      <c r="O6508" t="s">
        <v>40437</v>
      </c>
      <c r="P6508">
        <v>0</v>
      </c>
      <c r="Q6508">
        <v>0</v>
      </c>
      <c r="R6508" t="s">
        <v>40443</v>
      </c>
      <c r="S6508" t="s">
        <v>40644</v>
      </c>
      <c r="T6508" t="s">
        <v>42138</v>
      </c>
      <c r="U6508" t="s">
        <v>48115</v>
      </c>
      <c r="W6508" t="s">
        <v>39220</v>
      </c>
      <c r="X6508" t="s">
        <v>40444</v>
      </c>
    </row>
    <row r="6509" spans="1:24">
      <c r="A6509">
        <f>HYPERLINK("https://www.philgeps.gov.ph/GEPSNONPILOT/Tender/SplashBidNoticeAbstractUI.aspx?menuIndex=3&amp;refID=7043097&amp;Result=3","7043097")</f>
        <v>0</v>
      </c>
      <c r="B6509" t="s">
        <v>2084</v>
      </c>
      <c r="C6509" t="s">
        <v>9268</v>
      </c>
      <c r="D6509" t="s">
        <v>16236</v>
      </c>
      <c r="E6509" t="s">
        <v>22040</v>
      </c>
      <c r="F6509" t="s">
        <v>28198</v>
      </c>
      <c r="G6509" t="s">
        <v>28205</v>
      </c>
      <c r="H6509" t="s">
        <v>28215</v>
      </c>
      <c r="I6509" t="s">
        <v>3797</v>
      </c>
      <c r="J6509" t="s">
        <v>32421</v>
      </c>
      <c r="K6509" t="s">
        <v>36846</v>
      </c>
      <c r="M6509" t="s">
        <v>39233</v>
      </c>
      <c r="N6509" t="s">
        <v>40436</v>
      </c>
      <c r="O6509" t="s">
        <v>40437</v>
      </c>
      <c r="P6509">
        <v>0</v>
      </c>
      <c r="Q6509">
        <v>0</v>
      </c>
      <c r="R6509" t="s">
        <v>40443</v>
      </c>
      <c r="S6509" t="s">
        <v>40644</v>
      </c>
      <c r="T6509" t="s">
        <v>42454</v>
      </c>
      <c r="U6509" t="s">
        <v>48116</v>
      </c>
      <c r="W6509" t="s">
        <v>39233</v>
      </c>
      <c r="X6509" t="s">
        <v>40444</v>
      </c>
    </row>
    <row r="6510" spans="1:24">
      <c r="A6510">
        <f>HYPERLINK("https://www.philgeps.gov.ph/GEPSNONPILOT/Tender/SplashBidNoticeAbstractUI.aspx?menuIndex=3&amp;refID=7043064&amp;Result=3","7043064")</f>
        <v>0</v>
      </c>
      <c r="B6510" t="s">
        <v>130</v>
      </c>
      <c r="C6510" t="s">
        <v>9269</v>
      </c>
      <c r="D6510" t="s">
        <v>16223</v>
      </c>
      <c r="E6510" t="s">
        <v>17462</v>
      </c>
      <c r="F6510" t="s">
        <v>28198</v>
      </c>
      <c r="G6510" t="s">
        <v>28205</v>
      </c>
      <c r="H6510" t="s">
        <v>28216</v>
      </c>
      <c r="I6510" t="s">
        <v>28216</v>
      </c>
      <c r="J6510" t="s">
        <v>28477</v>
      </c>
      <c r="K6510" t="s">
        <v>36692</v>
      </c>
      <c r="M6510" t="s">
        <v>37104</v>
      </c>
      <c r="N6510" t="s">
        <v>40436</v>
      </c>
      <c r="O6510" t="s">
        <v>40437</v>
      </c>
      <c r="Q6510">
        <v>5</v>
      </c>
      <c r="R6510" t="s">
        <v>40443</v>
      </c>
      <c r="S6510" t="s">
        <v>40669</v>
      </c>
      <c r="T6510" t="s">
        <v>42254</v>
      </c>
      <c r="U6510" t="s">
        <v>48117</v>
      </c>
      <c r="V6510" t="s">
        <v>54466</v>
      </c>
      <c r="W6510" t="s">
        <v>37104</v>
      </c>
      <c r="X6510" t="s">
        <v>40444</v>
      </c>
    </row>
    <row r="6511" spans="1:24">
      <c r="A6511">
        <f>HYPERLINK("https://www.philgeps.gov.ph/GEPSNONPILOT/Tender/SplashBidNoticeAbstractUI.aspx?menuIndex=3&amp;refID=7043069&amp;Result=3","7043069")</f>
        <v>0</v>
      </c>
      <c r="B6511" t="s">
        <v>2085</v>
      </c>
      <c r="C6511" t="s">
        <v>9270</v>
      </c>
      <c r="D6511" t="s">
        <v>16191</v>
      </c>
      <c r="E6511" t="s">
        <v>22041</v>
      </c>
      <c r="F6511" t="s">
        <v>28198</v>
      </c>
      <c r="G6511" t="s">
        <v>28206</v>
      </c>
      <c r="H6511" t="s">
        <v>28215</v>
      </c>
      <c r="I6511" t="s">
        <v>4168</v>
      </c>
      <c r="J6511" t="s">
        <v>28430</v>
      </c>
      <c r="K6511" t="s">
        <v>36688</v>
      </c>
      <c r="M6511" t="s">
        <v>39234</v>
      </c>
      <c r="N6511" t="s">
        <v>40436</v>
      </c>
      <c r="O6511" t="s">
        <v>40437</v>
      </c>
      <c r="P6511">
        <v>0</v>
      </c>
      <c r="Q6511">
        <v>5</v>
      </c>
      <c r="R6511" t="s">
        <v>40443</v>
      </c>
      <c r="S6511" t="s">
        <v>40644</v>
      </c>
      <c r="T6511" t="s">
        <v>42169</v>
      </c>
      <c r="U6511" t="s">
        <v>44499</v>
      </c>
      <c r="W6511" t="s">
        <v>39234</v>
      </c>
      <c r="X6511" t="s">
        <v>40444</v>
      </c>
    </row>
    <row r="6512" spans="1:24">
      <c r="A6512">
        <f>HYPERLINK("https://www.philgeps.gov.ph/GEPSNONPILOT/Tender/SplashBidNoticeAbstractUI.aspx?menuIndex=3&amp;refID=7043096&amp;Result=3","7043096")</f>
        <v>0</v>
      </c>
      <c r="B6512" t="s">
        <v>2071</v>
      </c>
      <c r="C6512" t="s">
        <v>9271</v>
      </c>
      <c r="D6512" t="s">
        <v>16210</v>
      </c>
      <c r="E6512" t="s">
        <v>22042</v>
      </c>
      <c r="F6512" t="s">
        <v>28198</v>
      </c>
      <c r="G6512" t="s">
        <v>28205</v>
      </c>
      <c r="H6512" t="s">
        <v>28215</v>
      </c>
      <c r="I6512" t="s">
        <v>5082</v>
      </c>
      <c r="J6512" t="s">
        <v>32422</v>
      </c>
      <c r="K6512" t="s">
        <v>36707</v>
      </c>
      <c r="M6512" t="s">
        <v>39220</v>
      </c>
      <c r="N6512" t="s">
        <v>40436</v>
      </c>
      <c r="O6512" t="s">
        <v>40437</v>
      </c>
      <c r="P6512">
        <v>0</v>
      </c>
      <c r="Q6512">
        <v>0</v>
      </c>
      <c r="R6512" t="s">
        <v>40443</v>
      </c>
      <c r="S6512" t="s">
        <v>40644</v>
      </c>
      <c r="T6512" t="s">
        <v>42138</v>
      </c>
      <c r="U6512" t="s">
        <v>43698</v>
      </c>
      <c r="W6512" t="s">
        <v>39220</v>
      </c>
      <c r="X6512" t="s">
        <v>40444</v>
      </c>
    </row>
    <row r="6513" spans="1:24">
      <c r="A6513">
        <f>HYPERLINK("https://www.philgeps.gov.ph/GEPSNONPILOT/Tender/SplashBidNoticeAbstractUI.aspx?menuIndex=3&amp;refID=7043090&amp;Result=3","7043090")</f>
        <v>0</v>
      </c>
      <c r="B6513" t="s">
        <v>1990</v>
      </c>
      <c r="C6513" t="s">
        <v>9272</v>
      </c>
      <c r="D6513" t="s">
        <v>16258</v>
      </c>
      <c r="E6513" t="s">
        <v>22043</v>
      </c>
      <c r="F6513" t="s">
        <v>28198</v>
      </c>
      <c r="G6513" t="s">
        <v>28205</v>
      </c>
      <c r="H6513" t="s">
        <v>28215</v>
      </c>
      <c r="I6513" t="s">
        <v>4219</v>
      </c>
      <c r="J6513" t="s">
        <v>32423</v>
      </c>
      <c r="K6513" t="s">
        <v>36687</v>
      </c>
      <c r="M6513" t="s">
        <v>39128</v>
      </c>
      <c r="N6513" t="s">
        <v>40436</v>
      </c>
      <c r="O6513" t="s">
        <v>40437</v>
      </c>
      <c r="P6513">
        <v>0</v>
      </c>
      <c r="Q6513">
        <v>3</v>
      </c>
      <c r="R6513" t="s">
        <v>40443</v>
      </c>
      <c r="S6513" t="s">
        <v>40644</v>
      </c>
      <c r="T6513" t="s">
        <v>42426</v>
      </c>
      <c r="U6513" t="s">
        <v>48118</v>
      </c>
      <c r="V6513" t="s">
        <v>54467</v>
      </c>
      <c r="W6513" t="s">
        <v>39128</v>
      </c>
      <c r="X6513" t="s">
        <v>40444</v>
      </c>
    </row>
    <row r="6514" spans="1:24">
      <c r="A6514">
        <f>HYPERLINK("https://www.philgeps.gov.ph/GEPSNONPILOT/Tender/SplashBidNoticeAbstractUI.aspx?menuIndex=3&amp;refID=7043094&amp;Result=3","7043094")</f>
        <v>0</v>
      </c>
      <c r="B6514" t="s">
        <v>2085</v>
      </c>
      <c r="C6514" t="s">
        <v>9273</v>
      </c>
      <c r="D6514" t="s">
        <v>16191</v>
      </c>
      <c r="E6514" t="s">
        <v>22044</v>
      </c>
      <c r="F6514" t="s">
        <v>28198</v>
      </c>
      <c r="G6514" t="s">
        <v>28206</v>
      </c>
      <c r="H6514" t="s">
        <v>28215</v>
      </c>
      <c r="I6514" t="s">
        <v>5082</v>
      </c>
      <c r="J6514" t="s">
        <v>32424</v>
      </c>
      <c r="K6514" t="s">
        <v>36688</v>
      </c>
      <c r="M6514" t="s">
        <v>39234</v>
      </c>
      <c r="N6514" t="s">
        <v>40436</v>
      </c>
      <c r="O6514" t="s">
        <v>40437</v>
      </c>
      <c r="P6514">
        <v>0</v>
      </c>
      <c r="Q6514">
        <v>3</v>
      </c>
      <c r="R6514" t="s">
        <v>40443</v>
      </c>
      <c r="S6514" t="s">
        <v>40644</v>
      </c>
      <c r="T6514" t="s">
        <v>42169</v>
      </c>
      <c r="U6514" t="s">
        <v>48119</v>
      </c>
      <c r="W6514" t="s">
        <v>39234</v>
      </c>
      <c r="X6514" t="s">
        <v>40444</v>
      </c>
    </row>
    <row r="6515" spans="1:24">
      <c r="A6515">
        <f>HYPERLINK("https://www.philgeps.gov.ph/GEPSNONPILOT/Tender/SplashBidNoticeAbstractUI.aspx?menuIndex=3&amp;refID=7043098&amp;Result=3","7043098")</f>
        <v>0</v>
      </c>
      <c r="B6515" t="s">
        <v>130</v>
      </c>
      <c r="C6515" t="s">
        <v>9274</v>
      </c>
      <c r="D6515" t="s">
        <v>16223</v>
      </c>
      <c r="E6515" t="s">
        <v>17057</v>
      </c>
      <c r="F6515" t="s">
        <v>28198</v>
      </c>
      <c r="G6515" t="s">
        <v>28205</v>
      </c>
      <c r="H6515" t="s">
        <v>28216</v>
      </c>
      <c r="I6515" t="s">
        <v>28216</v>
      </c>
      <c r="J6515" t="s">
        <v>32409</v>
      </c>
      <c r="K6515" t="s">
        <v>36697</v>
      </c>
      <c r="M6515" t="s">
        <v>37104</v>
      </c>
      <c r="N6515" t="s">
        <v>40436</v>
      </c>
      <c r="O6515" t="s">
        <v>40437</v>
      </c>
      <c r="Q6515">
        <v>3</v>
      </c>
      <c r="R6515" t="s">
        <v>40443</v>
      </c>
      <c r="S6515" t="s">
        <v>40670</v>
      </c>
      <c r="T6515" t="s">
        <v>42425</v>
      </c>
      <c r="U6515" t="s">
        <v>48120</v>
      </c>
      <c r="V6515" t="s">
        <v>54468</v>
      </c>
      <c r="W6515" t="s">
        <v>37104</v>
      </c>
      <c r="X6515" t="s">
        <v>40444</v>
      </c>
    </row>
    <row r="6516" spans="1:24">
      <c r="A6516">
        <f>HYPERLINK("https://www.philgeps.gov.ph/GEPSNONPILOT/Tender/SplashBidNoticeAbstractUI.aspx?menuIndex=3&amp;refID=7043062&amp;Result=3","7043062")</f>
        <v>0</v>
      </c>
      <c r="B6516" t="s">
        <v>2071</v>
      </c>
      <c r="C6516" t="s">
        <v>9275</v>
      </c>
      <c r="D6516" t="s">
        <v>16210</v>
      </c>
      <c r="E6516" t="s">
        <v>22045</v>
      </c>
      <c r="F6516" t="s">
        <v>28198</v>
      </c>
      <c r="G6516" t="s">
        <v>28205</v>
      </c>
      <c r="H6516" t="s">
        <v>28215</v>
      </c>
      <c r="I6516" t="s">
        <v>4200</v>
      </c>
      <c r="J6516" t="s">
        <v>32425</v>
      </c>
      <c r="K6516" t="s">
        <v>36707</v>
      </c>
      <c r="M6516" t="s">
        <v>39220</v>
      </c>
      <c r="N6516" t="s">
        <v>40436</v>
      </c>
      <c r="O6516" t="s">
        <v>40437</v>
      </c>
      <c r="P6516">
        <v>0</v>
      </c>
      <c r="Q6516">
        <v>1</v>
      </c>
      <c r="R6516" t="s">
        <v>40443</v>
      </c>
      <c r="S6516" t="s">
        <v>40644</v>
      </c>
      <c r="T6516" t="s">
        <v>42138</v>
      </c>
      <c r="U6516" t="s">
        <v>48100</v>
      </c>
      <c r="W6516" t="s">
        <v>39220</v>
      </c>
      <c r="X6516" t="s">
        <v>40444</v>
      </c>
    </row>
    <row r="6517" spans="1:24">
      <c r="A6517">
        <f>HYPERLINK("https://www.philgeps.gov.ph/GEPSNONPILOT/Tender/SplashBidNoticeAbstractUI.aspx?menuIndex=3&amp;refID=7043093&amp;Result=3","7043093")</f>
        <v>0</v>
      </c>
      <c r="B6517" t="s">
        <v>2086</v>
      </c>
      <c r="C6517" t="s">
        <v>9276</v>
      </c>
      <c r="D6517" t="s">
        <v>16253</v>
      </c>
      <c r="E6517" t="s">
        <v>17248</v>
      </c>
      <c r="F6517" t="s">
        <v>28198</v>
      </c>
      <c r="G6517" t="s">
        <v>28205</v>
      </c>
      <c r="H6517" t="s">
        <v>28215</v>
      </c>
      <c r="I6517" t="s">
        <v>5100</v>
      </c>
      <c r="J6517" t="s">
        <v>32426</v>
      </c>
      <c r="K6517" t="s">
        <v>36689</v>
      </c>
      <c r="M6517" t="s">
        <v>39235</v>
      </c>
      <c r="N6517" t="s">
        <v>40436</v>
      </c>
      <c r="O6517" t="s">
        <v>40437</v>
      </c>
      <c r="P6517">
        <v>0</v>
      </c>
      <c r="Q6517">
        <v>0</v>
      </c>
      <c r="R6517" t="s">
        <v>40443</v>
      </c>
      <c r="S6517" t="s">
        <v>40644</v>
      </c>
      <c r="T6517" t="s">
        <v>42121</v>
      </c>
      <c r="U6517" t="s">
        <v>48121</v>
      </c>
      <c r="W6517" t="s">
        <v>39235</v>
      </c>
      <c r="X6517" t="s">
        <v>40444</v>
      </c>
    </row>
    <row r="6518" spans="1:24">
      <c r="A6518">
        <f>HYPERLINK("https://www.philgeps.gov.ph/GEPSNONPILOT/Tender/SplashBidNoticeAbstractUI.aspx?menuIndex=3&amp;refID=7043085&amp;Result=3","7043085")</f>
        <v>0</v>
      </c>
      <c r="B6518" t="s">
        <v>2054</v>
      </c>
      <c r="C6518" t="s">
        <v>9277</v>
      </c>
      <c r="D6518" t="s">
        <v>16210</v>
      </c>
      <c r="E6518" t="s">
        <v>22046</v>
      </c>
      <c r="F6518" t="s">
        <v>28198</v>
      </c>
      <c r="G6518" t="s">
        <v>28207</v>
      </c>
      <c r="H6518" t="s">
        <v>28215</v>
      </c>
      <c r="I6518" t="s">
        <v>28234</v>
      </c>
      <c r="J6518" t="s">
        <v>28386</v>
      </c>
      <c r="K6518" t="s">
        <v>36705</v>
      </c>
      <c r="M6518" t="s">
        <v>39200</v>
      </c>
      <c r="N6518" t="s">
        <v>40436</v>
      </c>
      <c r="O6518" t="s">
        <v>40437</v>
      </c>
      <c r="P6518">
        <v>0</v>
      </c>
      <c r="Q6518">
        <v>3</v>
      </c>
      <c r="R6518" t="s">
        <v>40443</v>
      </c>
      <c r="S6518" t="s">
        <v>40644</v>
      </c>
      <c r="T6518" t="s">
        <v>42277</v>
      </c>
      <c r="U6518" t="s">
        <v>48122</v>
      </c>
      <c r="V6518" t="s">
        <v>54450</v>
      </c>
      <c r="W6518" t="s">
        <v>39200</v>
      </c>
      <c r="X6518" t="s">
        <v>40444</v>
      </c>
    </row>
    <row r="6519" spans="1:24">
      <c r="A6519">
        <f>HYPERLINK("https://www.philgeps.gov.ph/GEPSNONPILOT/Tender/SplashBidNoticeAbstractUI.aspx?menuIndex=3&amp;refID=7043091&amp;Result=3","7043091")</f>
        <v>0</v>
      </c>
      <c r="B6519" t="s">
        <v>2071</v>
      </c>
      <c r="C6519" t="s">
        <v>9278</v>
      </c>
      <c r="D6519" t="s">
        <v>16210</v>
      </c>
      <c r="E6519" t="s">
        <v>22047</v>
      </c>
      <c r="F6519" t="s">
        <v>28198</v>
      </c>
      <c r="G6519" t="s">
        <v>28205</v>
      </c>
      <c r="H6519" t="s">
        <v>28215</v>
      </c>
      <c r="I6519" t="s">
        <v>5082</v>
      </c>
      <c r="J6519" t="s">
        <v>32427</v>
      </c>
      <c r="K6519" t="s">
        <v>36707</v>
      </c>
      <c r="M6519" t="s">
        <v>39220</v>
      </c>
      <c r="N6519" t="s">
        <v>40436</v>
      </c>
      <c r="O6519" t="s">
        <v>40437</v>
      </c>
      <c r="P6519">
        <v>0</v>
      </c>
      <c r="Q6519">
        <v>0</v>
      </c>
      <c r="R6519" t="s">
        <v>40443</v>
      </c>
      <c r="S6519" t="s">
        <v>40644</v>
      </c>
      <c r="T6519" t="s">
        <v>42138</v>
      </c>
      <c r="U6519" t="s">
        <v>43698</v>
      </c>
      <c r="W6519" t="s">
        <v>39220</v>
      </c>
      <c r="X6519" t="s">
        <v>40444</v>
      </c>
    </row>
    <row r="6520" spans="1:24">
      <c r="A6520">
        <f>HYPERLINK("https://www.philgeps.gov.ph/GEPSNONPILOT/Tender/SplashBidNoticeAbstractUI.aspx?menuIndex=3&amp;refID=7043099&amp;Result=3","7043099")</f>
        <v>0</v>
      </c>
      <c r="B6520" t="s">
        <v>2071</v>
      </c>
      <c r="C6520" t="s">
        <v>9279</v>
      </c>
      <c r="D6520" t="s">
        <v>16210</v>
      </c>
      <c r="E6520" t="s">
        <v>22048</v>
      </c>
      <c r="F6520" t="s">
        <v>28198</v>
      </c>
      <c r="G6520" t="s">
        <v>28205</v>
      </c>
      <c r="H6520" t="s">
        <v>28215</v>
      </c>
      <c r="I6520" t="s">
        <v>5082</v>
      </c>
      <c r="J6520" t="s">
        <v>29113</v>
      </c>
      <c r="K6520" t="s">
        <v>36707</v>
      </c>
      <c r="M6520" t="s">
        <v>39220</v>
      </c>
      <c r="N6520" t="s">
        <v>40436</v>
      </c>
      <c r="O6520" t="s">
        <v>40437</v>
      </c>
      <c r="P6520">
        <v>0</v>
      </c>
      <c r="Q6520">
        <v>1</v>
      </c>
      <c r="R6520" t="s">
        <v>40443</v>
      </c>
      <c r="S6520" t="s">
        <v>40644</v>
      </c>
      <c r="T6520" t="s">
        <v>42138</v>
      </c>
      <c r="U6520" t="s">
        <v>43698</v>
      </c>
      <c r="W6520" t="s">
        <v>39220</v>
      </c>
      <c r="X6520" t="s">
        <v>40444</v>
      </c>
    </row>
    <row r="6521" spans="1:24">
      <c r="A6521">
        <f>HYPERLINK("https://www.philgeps.gov.ph/GEPSNONPILOT/Tender/SplashBidNoticeAbstractUI.aspx?menuIndex=3&amp;refID=7043130&amp;Result=3","7043130")</f>
        <v>0</v>
      </c>
      <c r="B6521" t="s">
        <v>2087</v>
      </c>
      <c r="C6521" t="s">
        <v>9280</v>
      </c>
      <c r="D6521" t="s">
        <v>16191</v>
      </c>
      <c r="E6521" t="s">
        <v>22049</v>
      </c>
      <c r="F6521" t="s">
        <v>28198</v>
      </c>
      <c r="G6521" t="s">
        <v>28205</v>
      </c>
      <c r="H6521" t="s">
        <v>28214</v>
      </c>
      <c r="I6521" t="s">
        <v>3797</v>
      </c>
      <c r="J6521" t="s">
        <v>32428</v>
      </c>
      <c r="K6521" t="s">
        <v>36692</v>
      </c>
      <c r="M6521" t="s">
        <v>39236</v>
      </c>
      <c r="N6521" t="s">
        <v>40436</v>
      </c>
      <c r="O6521" t="s">
        <v>40437</v>
      </c>
      <c r="P6521">
        <v>0</v>
      </c>
      <c r="Q6521">
        <v>20</v>
      </c>
      <c r="R6521" t="s">
        <v>40443</v>
      </c>
      <c r="S6521" t="s">
        <v>40644</v>
      </c>
      <c r="T6521" t="s">
        <v>42234</v>
      </c>
      <c r="U6521" t="s">
        <v>48123</v>
      </c>
      <c r="V6521" t="s">
        <v>54469</v>
      </c>
      <c r="W6521" t="s">
        <v>39236</v>
      </c>
      <c r="X6521" t="s">
        <v>40444</v>
      </c>
    </row>
    <row r="6522" spans="1:24">
      <c r="A6522">
        <f>HYPERLINK("https://www.philgeps.gov.ph/GEPSNONPILOT/Tender/SplashBidNoticeAbstractUI.aspx?menuIndex=3&amp;refID=7043102&amp;Result=3","7043102")</f>
        <v>0</v>
      </c>
      <c r="B6522" t="s">
        <v>2086</v>
      </c>
      <c r="C6522" t="s">
        <v>9281</v>
      </c>
      <c r="D6522" t="s">
        <v>16253</v>
      </c>
      <c r="E6522" t="s">
        <v>22050</v>
      </c>
      <c r="F6522" t="s">
        <v>28198</v>
      </c>
      <c r="G6522" t="s">
        <v>28205</v>
      </c>
      <c r="H6522" t="s">
        <v>28215</v>
      </c>
      <c r="I6522" t="s">
        <v>5100</v>
      </c>
      <c r="J6522" t="s">
        <v>28345</v>
      </c>
      <c r="K6522" t="s">
        <v>36689</v>
      </c>
      <c r="M6522" t="s">
        <v>39235</v>
      </c>
      <c r="N6522" t="s">
        <v>40436</v>
      </c>
      <c r="O6522" t="s">
        <v>40437</v>
      </c>
      <c r="P6522">
        <v>0</v>
      </c>
      <c r="Q6522">
        <v>0</v>
      </c>
      <c r="R6522" t="s">
        <v>40443</v>
      </c>
      <c r="S6522" t="s">
        <v>40644</v>
      </c>
      <c r="T6522" t="s">
        <v>42121</v>
      </c>
      <c r="U6522" t="s">
        <v>48121</v>
      </c>
      <c r="W6522" t="s">
        <v>39235</v>
      </c>
      <c r="X6522" t="s">
        <v>40444</v>
      </c>
    </row>
    <row r="6523" spans="1:24">
      <c r="A6523">
        <f>HYPERLINK("https://www.philgeps.gov.ph/GEPSNONPILOT/Tender/SplashBidNoticeAbstractUI.aspx?menuIndex=3&amp;refID=7043100&amp;Result=3","7043100")</f>
        <v>0</v>
      </c>
      <c r="B6523" t="s">
        <v>1990</v>
      </c>
      <c r="C6523" t="s">
        <v>9282</v>
      </c>
      <c r="D6523" t="s">
        <v>16258</v>
      </c>
      <c r="E6523" t="s">
        <v>22051</v>
      </c>
      <c r="F6523" t="s">
        <v>28198</v>
      </c>
      <c r="G6523" t="s">
        <v>28205</v>
      </c>
      <c r="H6523" t="s">
        <v>28215</v>
      </c>
      <c r="I6523" t="s">
        <v>5100</v>
      </c>
      <c r="J6523" t="s">
        <v>32429</v>
      </c>
      <c r="K6523" t="s">
        <v>36687</v>
      </c>
      <c r="M6523" t="s">
        <v>39128</v>
      </c>
      <c r="N6523" t="s">
        <v>40436</v>
      </c>
      <c r="O6523" t="s">
        <v>40437</v>
      </c>
      <c r="P6523">
        <v>0</v>
      </c>
      <c r="Q6523">
        <v>2</v>
      </c>
      <c r="R6523" t="s">
        <v>40443</v>
      </c>
      <c r="S6523" t="s">
        <v>40644</v>
      </c>
      <c r="T6523" t="s">
        <v>42426</v>
      </c>
      <c r="U6523" t="s">
        <v>47826</v>
      </c>
      <c r="V6523" t="s">
        <v>54470</v>
      </c>
      <c r="W6523" t="s">
        <v>39128</v>
      </c>
      <c r="X6523" t="s">
        <v>40444</v>
      </c>
    </row>
    <row r="6524" spans="1:24">
      <c r="A6524">
        <f>HYPERLINK("https://www.philgeps.gov.ph/GEPSNONPILOT/Tender/SplashBidNoticeAbstractUI.aspx?menuIndex=3&amp;refID=7043122&amp;Result=3","7043122")</f>
        <v>0</v>
      </c>
      <c r="B6524" t="s">
        <v>2088</v>
      </c>
      <c r="C6524" t="s">
        <v>9283</v>
      </c>
      <c r="D6524" t="s">
        <v>16260</v>
      </c>
      <c r="E6524" t="s">
        <v>22052</v>
      </c>
      <c r="F6524" t="s">
        <v>28198</v>
      </c>
      <c r="G6524" t="s">
        <v>28205</v>
      </c>
      <c r="H6524" t="s">
        <v>28215</v>
      </c>
      <c r="I6524" t="s">
        <v>28225</v>
      </c>
      <c r="J6524" t="s">
        <v>32430</v>
      </c>
      <c r="K6524" t="s">
        <v>36701</v>
      </c>
      <c r="M6524" t="s">
        <v>39237</v>
      </c>
      <c r="N6524" t="s">
        <v>40436</v>
      </c>
      <c r="O6524" t="s">
        <v>40437</v>
      </c>
      <c r="P6524">
        <v>0</v>
      </c>
      <c r="Q6524">
        <v>0</v>
      </c>
      <c r="R6524" t="s">
        <v>40443</v>
      </c>
      <c r="S6524" t="s">
        <v>40644</v>
      </c>
      <c r="T6524" t="s">
        <v>42145</v>
      </c>
      <c r="U6524" t="s">
        <v>48124</v>
      </c>
      <c r="W6524" t="s">
        <v>39237</v>
      </c>
      <c r="X6524" t="s">
        <v>40444</v>
      </c>
    </row>
    <row r="6525" spans="1:24">
      <c r="A6525">
        <f>HYPERLINK("https://www.philgeps.gov.ph/GEPSNONPILOT/Tender/SplashBidNoticeAbstractUI.aspx?menuIndex=3&amp;refID=7043126&amp;Result=3","7043126")</f>
        <v>0</v>
      </c>
      <c r="B6525" t="s">
        <v>2089</v>
      </c>
      <c r="C6525" t="s">
        <v>9284</v>
      </c>
      <c r="D6525" t="s">
        <v>16215</v>
      </c>
      <c r="E6525" t="s">
        <v>22053</v>
      </c>
      <c r="F6525" t="s">
        <v>28201</v>
      </c>
      <c r="G6525" t="s">
        <v>28205</v>
      </c>
      <c r="H6525" t="s">
        <v>28215</v>
      </c>
      <c r="I6525" t="s">
        <v>5100</v>
      </c>
      <c r="J6525" t="s">
        <v>32431</v>
      </c>
      <c r="K6525" t="s">
        <v>36706</v>
      </c>
      <c r="M6525" t="s">
        <v>39238</v>
      </c>
      <c r="N6525" t="s">
        <v>40436</v>
      </c>
      <c r="O6525" t="s">
        <v>40437</v>
      </c>
      <c r="P6525">
        <v>0</v>
      </c>
      <c r="Q6525">
        <v>0</v>
      </c>
      <c r="R6525" t="s">
        <v>40443</v>
      </c>
      <c r="S6525" t="s">
        <v>40644</v>
      </c>
      <c r="T6525" t="s">
        <v>42179</v>
      </c>
      <c r="U6525" t="s">
        <v>48125</v>
      </c>
      <c r="W6525" t="s">
        <v>39238</v>
      </c>
      <c r="X6525" t="s">
        <v>40444</v>
      </c>
    </row>
    <row r="6526" spans="1:24">
      <c r="A6526">
        <f>HYPERLINK("https://www.philgeps.gov.ph/GEPSNONPILOT/Tender/SplashBidNoticeAbstractUI.aspx?menuIndex=3&amp;refID=7043123&amp;Result=3","7043123")</f>
        <v>0</v>
      </c>
      <c r="B6526" t="s">
        <v>2090</v>
      </c>
      <c r="C6526" t="s">
        <v>9285</v>
      </c>
      <c r="D6526" t="s">
        <v>16195</v>
      </c>
      <c r="E6526" t="s">
        <v>22054</v>
      </c>
      <c r="F6526" t="s">
        <v>28198</v>
      </c>
      <c r="G6526" t="s">
        <v>28207</v>
      </c>
      <c r="H6526" t="s">
        <v>28215</v>
      </c>
      <c r="I6526" t="s">
        <v>4168</v>
      </c>
      <c r="J6526" t="s">
        <v>28886</v>
      </c>
      <c r="K6526" t="s">
        <v>36708</v>
      </c>
      <c r="M6526" t="s">
        <v>39239</v>
      </c>
      <c r="N6526" t="s">
        <v>40436</v>
      </c>
      <c r="O6526" t="s">
        <v>40437</v>
      </c>
      <c r="P6526">
        <v>0</v>
      </c>
      <c r="Q6526">
        <v>2</v>
      </c>
      <c r="R6526" t="s">
        <v>40443</v>
      </c>
      <c r="S6526" t="s">
        <v>40644</v>
      </c>
      <c r="T6526" t="s">
        <v>42233</v>
      </c>
      <c r="U6526" t="s">
        <v>48126</v>
      </c>
      <c r="W6526" t="s">
        <v>39239</v>
      </c>
      <c r="X6526" t="s">
        <v>40444</v>
      </c>
    </row>
    <row r="6527" spans="1:24">
      <c r="A6527">
        <f>HYPERLINK("https://www.philgeps.gov.ph/GEPSNONPILOT/Tender/SplashBidNoticeAbstractUI.aspx?menuIndex=3&amp;refID=7043119&amp;Result=3","7043119")</f>
        <v>0</v>
      </c>
      <c r="B6527" t="s">
        <v>1015</v>
      </c>
      <c r="C6527" t="s">
        <v>9286</v>
      </c>
      <c r="D6527" t="s">
        <v>16256</v>
      </c>
      <c r="E6527" t="s">
        <v>22055</v>
      </c>
      <c r="F6527" t="s">
        <v>28198</v>
      </c>
      <c r="G6527" t="s">
        <v>28205</v>
      </c>
      <c r="H6527" t="s">
        <v>28215</v>
      </c>
      <c r="I6527" t="s">
        <v>28236</v>
      </c>
      <c r="J6527" t="s">
        <v>32432</v>
      </c>
      <c r="K6527" t="s">
        <v>36697</v>
      </c>
      <c r="M6527" t="s">
        <v>38043</v>
      </c>
      <c r="N6527" t="s">
        <v>40436</v>
      </c>
      <c r="O6527" t="s">
        <v>40437</v>
      </c>
      <c r="P6527">
        <v>0</v>
      </c>
      <c r="Q6527">
        <v>2</v>
      </c>
      <c r="R6527" t="s">
        <v>40443</v>
      </c>
      <c r="S6527" t="s">
        <v>40644</v>
      </c>
      <c r="T6527" t="s">
        <v>42169</v>
      </c>
      <c r="U6527" t="s">
        <v>48127</v>
      </c>
      <c r="V6527" t="s">
        <v>54471</v>
      </c>
      <c r="W6527" t="s">
        <v>38043</v>
      </c>
      <c r="X6527" t="s">
        <v>40444</v>
      </c>
    </row>
    <row r="6528" spans="1:24">
      <c r="A6528">
        <f>HYPERLINK("https://www.philgeps.gov.ph/GEPSNONPILOT/Tender/SplashBidNoticeAbstractUI.aspx?menuIndex=3&amp;refID=7043121&amp;Result=3","7043121")</f>
        <v>0</v>
      </c>
      <c r="B6528" t="s">
        <v>2091</v>
      </c>
      <c r="C6528" t="s">
        <v>9287</v>
      </c>
      <c r="D6528" t="s">
        <v>16244</v>
      </c>
      <c r="E6528" t="s">
        <v>22056</v>
      </c>
      <c r="F6528" t="s">
        <v>28198</v>
      </c>
      <c r="G6528" t="s">
        <v>28205</v>
      </c>
      <c r="H6528" t="s">
        <v>28216</v>
      </c>
      <c r="I6528" t="s">
        <v>28216</v>
      </c>
      <c r="J6528" t="s">
        <v>32433</v>
      </c>
      <c r="K6528" t="s">
        <v>36717</v>
      </c>
      <c r="M6528" t="s">
        <v>39240</v>
      </c>
      <c r="N6528" t="s">
        <v>40436</v>
      </c>
      <c r="O6528" t="s">
        <v>40437</v>
      </c>
      <c r="Q6528">
        <v>4</v>
      </c>
      <c r="R6528" t="s">
        <v>40443</v>
      </c>
      <c r="S6528" t="s">
        <v>40671</v>
      </c>
      <c r="T6528" t="s">
        <v>42345</v>
      </c>
      <c r="U6528" t="s">
        <v>48128</v>
      </c>
      <c r="W6528" t="s">
        <v>39240</v>
      </c>
      <c r="X6528" t="s">
        <v>40444</v>
      </c>
    </row>
    <row r="6529" spans="1:24">
      <c r="A6529">
        <f>HYPERLINK("https://www.philgeps.gov.ph/GEPSNONPILOT/Tender/SplashBidNoticeAbstractUI.aspx?menuIndex=3&amp;refID=7043105&amp;Result=3","7043105")</f>
        <v>0</v>
      </c>
      <c r="B6529" t="s">
        <v>1990</v>
      </c>
      <c r="C6529" t="s">
        <v>9288</v>
      </c>
      <c r="D6529" t="s">
        <v>16258</v>
      </c>
      <c r="E6529" t="s">
        <v>22057</v>
      </c>
      <c r="F6529" t="s">
        <v>28198</v>
      </c>
      <c r="G6529" t="s">
        <v>28205</v>
      </c>
      <c r="H6529" t="s">
        <v>28215</v>
      </c>
      <c r="I6529" t="s">
        <v>5100</v>
      </c>
      <c r="J6529" t="s">
        <v>32434</v>
      </c>
      <c r="K6529" t="s">
        <v>36687</v>
      </c>
      <c r="M6529" t="s">
        <v>39128</v>
      </c>
      <c r="N6529" t="s">
        <v>40436</v>
      </c>
      <c r="O6529" t="s">
        <v>40437</v>
      </c>
      <c r="P6529">
        <v>0</v>
      </c>
      <c r="Q6529">
        <v>0</v>
      </c>
      <c r="R6529" t="s">
        <v>40443</v>
      </c>
      <c r="S6529" t="s">
        <v>40644</v>
      </c>
      <c r="T6529" t="s">
        <v>42426</v>
      </c>
      <c r="U6529" t="s">
        <v>47826</v>
      </c>
      <c r="V6529" t="s">
        <v>54472</v>
      </c>
      <c r="W6529" t="s">
        <v>39128</v>
      </c>
      <c r="X6529" t="s">
        <v>40444</v>
      </c>
    </row>
    <row r="6530" spans="1:24">
      <c r="A6530">
        <f>HYPERLINK("https://www.philgeps.gov.ph/GEPSNONPILOT/Tender/SplashBidNoticeAbstractUI.aspx?menuIndex=3&amp;refID=7043125&amp;Result=3","7043125")</f>
        <v>0</v>
      </c>
      <c r="B6530" t="s">
        <v>2071</v>
      </c>
      <c r="C6530" t="s">
        <v>9289</v>
      </c>
      <c r="D6530" t="s">
        <v>16210</v>
      </c>
      <c r="E6530" t="s">
        <v>22058</v>
      </c>
      <c r="F6530" t="s">
        <v>28198</v>
      </c>
      <c r="G6530" t="s">
        <v>28205</v>
      </c>
      <c r="H6530" t="s">
        <v>28215</v>
      </c>
      <c r="I6530" t="s">
        <v>5082</v>
      </c>
      <c r="J6530" t="s">
        <v>32435</v>
      </c>
      <c r="K6530" t="s">
        <v>36707</v>
      </c>
      <c r="M6530" t="s">
        <v>39220</v>
      </c>
      <c r="N6530" t="s">
        <v>40436</v>
      </c>
      <c r="O6530" t="s">
        <v>40437</v>
      </c>
      <c r="P6530">
        <v>0</v>
      </c>
      <c r="Q6530">
        <v>1</v>
      </c>
      <c r="R6530" t="s">
        <v>40443</v>
      </c>
      <c r="S6530" t="s">
        <v>40644</v>
      </c>
      <c r="T6530" t="s">
        <v>42138</v>
      </c>
      <c r="U6530" t="s">
        <v>43698</v>
      </c>
      <c r="W6530" t="s">
        <v>39220</v>
      </c>
      <c r="X6530" t="s">
        <v>40444</v>
      </c>
    </row>
    <row r="6531" spans="1:24">
      <c r="A6531">
        <f>HYPERLINK("https://www.philgeps.gov.ph/GEPSNONPILOT/Tender/SplashBidNoticeAbstractUI.aspx?menuIndex=3&amp;refID=7043142&amp;Result=3","7043142")</f>
        <v>0</v>
      </c>
      <c r="B6531" t="s">
        <v>2087</v>
      </c>
      <c r="C6531" t="s">
        <v>9290</v>
      </c>
      <c r="D6531" t="s">
        <v>16191</v>
      </c>
      <c r="E6531" t="s">
        <v>22059</v>
      </c>
      <c r="F6531" t="s">
        <v>28198</v>
      </c>
      <c r="G6531" t="s">
        <v>28205</v>
      </c>
      <c r="H6531" t="s">
        <v>28214</v>
      </c>
      <c r="I6531" t="s">
        <v>3797</v>
      </c>
      <c r="J6531" t="s">
        <v>32436</v>
      </c>
      <c r="K6531" t="s">
        <v>36692</v>
      </c>
      <c r="M6531" t="s">
        <v>39236</v>
      </c>
      <c r="N6531" t="s">
        <v>40436</v>
      </c>
      <c r="O6531" t="s">
        <v>40437</v>
      </c>
      <c r="P6531">
        <v>0</v>
      </c>
      <c r="Q6531">
        <v>21</v>
      </c>
      <c r="R6531" t="s">
        <v>40443</v>
      </c>
      <c r="S6531" t="s">
        <v>40644</v>
      </c>
      <c r="T6531" t="s">
        <v>42234</v>
      </c>
      <c r="U6531" t="s">
        <v>48129</v>
      </c>
      <c r="V6531" t="s">
        <v>54469</v>
      </c>
      <c r="W6531" t="s">
        <v>39236</v>
      </c>
      <c r="X6531" t="s">
        <v>40444</v>
      </c>
    </row>
    <row r="6532" spans="1:24">
      <c r="A6532">
        <f>HYPERLINK("https://www.philgeps.gov.ph/GEPSNONPILOT/Tender/SplashBidNoticeAbstractUI.aspx?menuIndex=3&amp;refID=7043143&amp;Result=3","7043143")</f>
        <v>0</v>
      </c>
      <c r="B6532" t="s">
        <v>2091</v>
      </c>
      <c r="C6532" t="s">
        <v>9291</v>
      </c>
      <c r="D6532" t="s">
        <v>16244</v>
      </c>
      <c r="E6532" t="s">
        <v>22060</v>
      </c>
      <c r="F6532" t="s">
        <v>28198</v>
      </c>
      <c r="G6532" t="s">
        <v>28205</v>
      </c>
      <c r="H6532" t="s">
        <v>28216</v>
      </c>
      <c r="I6532" t="s">
        <v>28216</v>
      </c>
      <c r="J6532" t="s">
        <v>32437</v>
      </c>
      <c r="K6532" t="s">
        <v>36701</v>
      </c>
      <c r="M6532" t="s">
        <v>39240</v>
      </c>
      <c r="N6532" t="s">
        <v>40436</v>
      </c>
      <c r="O6532" t="s">
        <v>40437</v>
      </c>
      <c r="Q6532">
        <v>4</v>
      </c>
      <c r="R6532" t="s">
        <v>40443</v>
      </c>
      <c r="S6532" t="s">
        <v>40672</v>
      </c>
      <c r="T6532" t="s">
        <v>42345</v>
      </c>
      <c r="U6532" t="s">
        <v>48130</v>
      </c>
      <c r="W6532" t="s">
        <v>39240</v>
      </c>
      <c r="X6532" t="s">
        <v>40444</v>
      </c>
    </row>
    <row r="6533" spans="1:24">
      <c r="A6533">
        <f>HYPERLINK("https://www.philgeps.gov.ph/GEPSNONPILOT/Tender/SplashBidNoticeAbstractUI.aspx?menuIndex=3&amp;refID=7043109&amp;Result=3","7043109")</f>
        <v>0</v>
      </c>
      <c r="B6533" t="s">
        <v>2071</v>
      </c>
      <c r="C6533" t="s">
        <v>9292</v>
      </c>
      <c r="D6533" t="s">
        <v>16210</v>
      </c>
      <c r="E6533" t="s">
        <v>22061</v>
      </c>
      <c r="F6533" t="s">
        <v>28198</v>
      </c>
      <c r="G6533" t="s">
        <v>28205</v>
      </c>
      <c r="H6533" t="s">
        <v>28215</v>
      </c>
      <c r="I6533" t="s">
        <v>5082</v>
      </c>
      <c r="J6533" t="s">
        <v>32438</v>
      </c>
      <c r="K6533" t="s">
        <v>36707</v>
      </c>
      <c r="M6533" t="s">
        <v>39220</v>
      </c>
      <c r="N6533" t="s">
        <v>40436</v>
      </c>
      <c r="O6533" t="s">
        <v>40437</v>
      </c>
      <c r="P6533">
        <v>0</v>
      </c>
      <c r="Q6533">
        <v>0</v>
      </c>
      <c r="R6533" t="s">
        <v>40443</v>
      </c>
      <c r="S6533" t="s">
        <v>40644</v>
      </c>
      <c r="T6533" t="s">
        <v>42138</v>
      </c>
      <c r="U6533" t="s">
        <v>43698</v>
      </c>
      <c r="W6533" t="s">
        <v>39220</v>
      </c>
      <c r="X6533" t="s">
        <v>40444</v>
      </c>
    </row>
    <row r="6534" spans="1:24">
      <c r="A6534">
        <f>HYPERLINK("https://www.philgeps.gov.ph/GEPSNONPILOT/Tender/SplashBidNoticeAbstractUI.aspx?menuIndex=3&amp;refID=7043138&amp;Result=3","7043138")</f>
        <v>0</v>
      </c>
      <c r="B6534" t="s">
        <v>2091</v>
      </c>
      <c r="C6534" t="s">
        <v>9293</v>
      </c>
      <c r="D6534" t="s">
        <v>16244</v>
      </c>
      <c r="E6534" t="s">
        <v>22062</v>
      </c>
      <c r="F6534" t="s">
        <v>28198</v>
      </c>
      <c r="G6534" t="s">
        <v>28205</v>
      </c>
      <c r="H6534" t="s">
        <v>28216</v>
      </c>
      <c r="I6534" t="s">
        <v>28216</v>
      </c>
      <c r="J6534" t="s">
        <v>32437</v>
      </c>
      <c r="K6534" t="s">
        <v>36701</v>
      </c>
      <c r="M6534" t="s">
        <v>39240</v>
      </c>
      <c r="N6534" t="s">
        <v>40436</v>
      </c>
      <c r="O6534" t="s">
        <v>40437</v>
      </c>
      <c r="Q6534">
        <v>4</v>
      </c>
      <c r="R6534" t="s">
        <v>40443</v>
      </c>
      <c r="S6534" t="s">
        <v>40673</v>
      </c>
      <c r="T6534" t="s">
        <v>42345</v>
      </c>
      <c r="U6534" t="s">
        <v>48131</v>
      </c>
      <c r="W6534" t="s">
        <v>39240</v>
      </c>
      <c r="X6534" t="s">
        <v>40444</v>
      </c>
    </row>
    <row r="6535" spans="1:24">
      <c r="A6535">
        <f>HYPERLINK("https://www.philgeps.gov.ph/GEPSNONPILOT/Tender/SplashBidNoticeAbstractUI.aspx?menuIndex=3&amp;refID=7043118&amp;Result=3","7043118")</f>
        <v>0</v>
      </c>
      <c r="B6535" t="s">
        <v>2071</v>
      </c>
      <c r="C6535" t="s">
        <v>9294</v>
      </c>
      <c r="D6535" t="s">
        <v>16210</v>
      </c>
      <c r="E6535" t="s">
        <v>22063</v>
      </c>
      <c r="F6535" t="s">
        <v>28198</v>
      </c>
      <c r="G6535" t="s">
        <v>28205</v>
      </c>
      <c r="H6535" t="s">
        <v>28215</v>
      </c>
      <c r="I6535" t="s">
        <v>5082</v>
      </c>
      <c r="J6535" t="s">
        <v>32439</v>
      </c>
      <c r="K6535" t="s">
        <v>36707</v>
      </c>
      <c r="M6535" t="s">
        <v>39220</v>
      </c>
      <c r="N6535" t="s">
        <v>40436</v>
      </c>
      <c r="O6535" t="s">
        <v>40437</v>
      </c>
      <c r="P6535">
        <v>0</v>
      </c>
      <c r="Q6535">
        <v>0</v>
      </c>
      <c r="R6535" t="s">
        <v>40443</v>
      </c>
      <c r="S6535" t="s">
        <v>40644</v>
      </c>
      <c r="T6535" t="s">
        <v>42138</v>
      </c>
      <c r="U6535" t="s">
        <v>43698</v>
      </c>
      <c r="W6535" t="s">
        <v>39220</v>
      </c>
      <c r="X6535" t="s">
        <v>40444</v>
      </c>
    </row>
    <row r="6536" spans="1:24">
      <c r="A6536">
        <f>HYPERLINK("https://www.philgeps.gov.ph/GEPSNONPILOT/Tender/SplashBidNoticeAbstractUI.aspx?menuIndex=3&amp;refID=7043133&amp;Result=3","7043133")</f>
        <v>0</v>
      </c>
      <c r="B6536" t="s">
        <v>2088</v>
      </c>
      <c r="C6536" t="s">
        <v>9295</v>
      </c>
      <c r="D6536" t="s">
        <v>16187</v>
      </c>
      <c r="E6536" t="s">
        <v>22064</v>
      </c>
      <c r="F6536" t="s">
        <v>28198</v>
      </c>
      <c r="G6536" t="s">
        <v>28205</v>
      </c>
      <c r="H6536" t="s">
        <v>28215</v>
      </c>
      <c r="I6536" t="s">
        <v>8888</v>
      </c>
      <c r="J6536" t="s">
        <v>32440</v>
      </c>
      <c r="K6536" t="s">
        <v>36709</v>
      </c>
      <c r="M6536" t="s">
        <v>39237</v>
      </c>
      <c r="N6536" t="s">
        <v>40436</v>
      </c>
      <c r="O6536" t="s">
        <v>40437</v>
      </c>
      <c r="P6536">
        <v>0</v>
      </c>
      <c r="Q6536">
        <v>2</v>
      </c>
      <c r="R6536" t="s">
        <v>40443</v>
      </c>
      <c r="S6536" t="s">
        <v>40644</v>
      </c>
      <c r="T6536" t="s">
        <v>42145</v>
      </c>
      <c r="U6536" t="s">
        <v>48132</v>
      </c>
      <c r="W6536" t="s">
        <v>39237</v>
      </c>
      <c r="X6536" t="s">
        <v>40444</v>
      </c>
    </row>
    <row r="6537" spans="1:24">
      <c r="A6537">
        <f>HYPERLINK("https://www.philgeps.gov.ph/GEPSNONPILOT/Tender/SplashBidNoticeAbstractUI.aspx?menuIndex=3&amp;refID=7043166&amp;Result=3","7043166")</f>
        <v>0</v>
      </c>
      <c r="B6537" t="s">
        <v>2071</v>
      </c>
      <c r="C6537" t="s">
        <v>9296</v>
      </c>
      <c r="D6537" t="s">
        <v>16210</v>
      </c>
      <c r="E6537" t="s">
        <v>22065</v>
      </c>
      <c r="F6537" t="s">
        <v>28198</v>
      </c>
      <c r="G6537" t="s">
        <v>28205</v>
      </c>
      <c r="H6537" t="s">
        <v>28215</v>
      </c>
      <c r="I6537" t="s">
        <v>5791</v>
      </c>
      <c r="J6537" t="s">
        <v>32441</v>
      </c>
      <c r="K6537" t="s">
        <v>36707</v>
      </c>
      <c r="M6537" t="s">
        <v>39220</v>
      </c>
      <c r="N6537" t="s">
        <v>40436</v>
      </c>
      <c r="O6537" t="s">
        <v>40437</v>
      </c>
      <c r="P6537">
        <v>0</v>
      </c>
      <c r="Q6537">
        <v>0</v>
      </c>
      <c r="R6537" t="s">
        <v>40443</v>
      </c>
      <c r="S6537" t="s">
        <v>40644</v>
      </c>
      <c r="T6537" t="s">
        <v>42138</v>
      </c>
      <c r="U6537" t="s">
        <v>48115</v>
      </c>
      <c r="W6537" t="s">
        <v>39220</v>
      </c>
      <c r="X6537" t="s">
        <v>40444</v>
      </c>
    </row>
    <row r="6538" spans="1:24">
      <c r="A6538">
        <f>HYPERLINK("https://www.philgeps.gov.ph/GEPSNONPILOT/Tender/SplashBidNoticeAbstractUI.aspx?menuIndex=3&amp;refID=7043131&amp;Result=3","7043131")</f>
        <v>0</v>
      </c>
      <c r="B6538" t="s">
        <v>2071</v>
      </c>
      <c r="C6538" t="s">
        <v>9297</v>
      </c>
      <c r="D6538" t="s">
        <v>16210</v>
      </c>
      <c r="E6538" t="s">
        <v>22066</v>
      </c>
      <c r="F6538" t="s">
        <v>28198</v>
      </c>
      <c r="G6538" t="s">
        <v>28205</v>
      </c>
      <c r="H6538" t="s">
        <v>28215</v>
      </c>
      <c r="I6538" t="s">
        <v>5791</v>
      </c>
      <c r="J6538" t="s">
        <v>29113</v>
      </c>
      <c r="K6538" t="s">
        <v>36707</v>
      </c>
      <c r="M6538" t="s">
        <v>39220</v>
      </c>
      <c r="N6538" t="s">
        <v>40436</v>
      </c>
      <c r="O6538" t="s">
        <v>40437</v>
      </c>
      <c r="P6538">
        <v>0</v>
      </c>
      <c r="Q6538">
        <v>1</v>
      </c>
      <c r="R6538" t="s">
        <v>40443</v>
      </c>
      <c r="S6538" t="s">
        <v>40644</v>
      </c>
      <c r="T6538" t="s">
        <v>42138</v>
      </c>
      <c r="U6538" t="s">
        <v>48115</v>
      </c>
      <c r="W6538" t="s">
        <v>39220</v>
      </c>
      <c r="X6538" t="s">
        <v>40444</v>
      </c>
    </row>
    <row r="6539" spans="1:24">
      <c r="A6539">
        <f>HYPERLINK("https://www.philgeps.gov.ph/GEPSNONPILOT/Tender/SplashBidNoticeAbstractUI.aspx?menuIndex=3&amp;refID=7043163&amp;Result=3","7043163")</f>
        <v>0</v>
      </c>
      <c r="B6539" t="s">
        <v>2087</v>
      </c>
      <c r="C6539" t="s">
        <v>9298</v>
      </c>
      <c r="D6539" t="s">
        <v>16191</v>
      </c>
      <c r="E6539" t="s">
        <v>22067</v>
      </c>
      <c r="F6539" t="s">
        <v>28198</v>
      </c>
      <c r="G6539" t="s">
        <v>28205</v>
      </c>
      <c r="H6539" t="s">
        <v>28214</v>
      </c>
      <c r="I6539" t="s">
        <v>3797</v>
      </c>
      <c r="J6539" t="s">
        <v>32442</v>
      </c>
      <c r="K6539" t="s">
        <v>36710</v>
      </c>
      <c r="M6539" t="s">
        <v>39236</v>
      </c>
      <c r="N6539" t="s">
        <v>40436</v>
      </c>
      <c r="O6539" t="s">
        <v>40437</v>
      </c>
      <c r="P6539">
        <v>0</v>
      </c>
      <c r="Q6539">
        <v>23</v>
      </c>
      <c r="R6539" t="s">
        <v>40443</v>
      </c>
      <c r="S6539" t="s">
        <v>40644</v>
      </c>
      <c r="T6539" t="s">
        <v>42234</v>
      </c>
      <c r="U6539" t="s">
        <v>48133</v>
      </c>
      <c r="V6539" t="s">
        <v>54469</v>
      </c>
      <c r="W6539" t="s">
        <v>39236</v>
      </c>
      <c r="X6539" t="s">
        <v>40444</v>
      </c>
    </row>
    <row r="6540" spans="1:24">
      <c r="A6540">
        <f>HYPERLINK("https://www.philgeps.gov.ph/GEPSNONPILOT/Tender/SplashBidNoticeAbstractUI.aspx?menuIndex=3&amp;refID=7043129&amp;Result=3","7043129")</f>
        <v>0</v>
      </c>
      <c r="B6540" t="s">
        <v>1734</v>
      </c>
      <c r="C6540" t="s">
        <v>9299</v>
      </c>
      <c r="D6540" t="s">
        <v>16247</v>
      </c>
      <c r="E6540" t="s">
        <v>22068</v>
      </c>
      <c r="F6540" t="s">
        <v>28198</v>
      </c>
      <c r="G6540" t="s">
        <v>28206</v>
      </c>
      <c r="H6540" t="s">
        <v>28215</v>
      </c>
      <c r="I6540" t="s">
        <v>28225</v>
      </c>
      <c r="J6540" t="s">
        <v>32443</v>
      </c>
      <c r="K6540" t="s">
        <v>36707</v>
      </c>
      <c r="M6540" t="s">
        <v>38845</v>
      </c>
      <c r="N6540" t="s">
        <v>40436</v>
      </c>
      <c r="O6540" t="s">
        <v>40437</v>
      </c>
      <c r="P6540">
        <v>0</v>
      </c>
      <c r="Q6540">
        <v>10</v>
      </c>
      <c r="R6540" t="s">
        <v>40443</v>
      </c>
      <c r="S6540" t="s">
        <v>40644</v>
      </c>
      <c r="T6540" t="s">
        <v>42378</v>
      </c>
      <c r="U6540" t="s">
        <v>48134</v>
      </c>
      <c r="W6540" t="s">
        <v>38845</v>
      </c>
      <c r="X6540" t="s">
        <v>40444</v>
      </c>
    </row>
    <row r="6541" spans="1:24">
      <c r="A6541">
        <f>HYPERLINK("https://www.philgeps.gov.ph/GEPSNONPILOT/Tender/SplashBidNoticeAbstractUI.aspx?menuIndex=3&amp;refID=7043168&amp;Result=3","7043168")</f>
        <v>0</v>
      </c>
      <c r="B6541" t="s">
        <v>1874</v>
      </c>
      <c r="C6541" t="s">
        <v>9300</v>
      </c>
      <c r="D6541" t="s">
        <v>16188</v>
      </c>
      <c r="E6541" t="s">
        <v>22069</v>
      </c>
      <c r="F6541" t="s">
        <v>28198</v>
      </c>
      <c r="G6541" t="s">
        <v>28205</v>
      </c>
      <c r="H6541" t="s">
        <v>28215</v>
      </c>
      <c r="I6541" t="s">
        <v>5082</v>
      </c>
      <c r="J6541" t="s">
        <v>32444</v>
      </c>
      <c r="K6541" t="s">
        <v>36693</v>
      </c>
      <c r="M6541" t="s">
        <v>39006</v>
      </c>
      <c r="N6541" t="s">
        <v>40436</v>
      </c>
      <c r="O6541" t="s">
        <v>40437</v>
      </c>
      <c r="P6541">
        <v>0</v>
      </c>
      <c r="Q6541">
        <v>4</v>
      </c>
      <c r="R6541" t="s">
        <v>40443</v>
      </c>
      <c r="S6541" t="s">
        <v>40644</v>
      </c>
      <c r="T6541" t="s">
        <v>42178</v>
      </c>
      <c r="U6541" t="s">
        <v>48135</v>
      </c>
      <c r="V6541" t="s">
        <v>54051</v>
      </c>
      <c r="W6541" t="s">
        <v>39006</v>
      </c>
      <c r="X6541" t="s">
        <v>40444</v>
      </c>
    </row>
    <row r="6542" spans="1:24">
      <c r="A6542">
        <f>HYPERLINK("https://www.philgeps.gov.ph/GEPSNONPILOT/Tender/SplashBidNoticeAbstractUI.aspx?menuIndex=3&amp;refID=7043149&amp;Result=3","7043149")</f>
        <v>0</v>
      </c>
      <c r="B6542" t="s">
        <v>2087</v>
      </c>
      <c r="C6542" t="s">
        <v>9301</v>
      </c>
      <c r="D6542" t="s">
        <v>16191</v>
      </c>
      <c r="E6542" t="s">
        <v>22070</v>
      </c>
      <c r="F6542" t="s">
        <v>28198</v>
      </c>
      <c r="G6542" t="s">
        <v>28205</v>
      </c>
      <c r="H6542" t="s">
        <v>28214</v>
      </c>
      <c r="I6542" t="s">
        <v>3797</v>
      </c>
      <c r="J6542" t="s">
        <v>32445</v>
      </c>
      <c r="K6542" t="s">
        <v>36692</v>
      </c>
      <c r="M6542" t="s">
        <v>39236</v>
      </c>
      <c r="N6542" t="s">
        <v>40436</v>
      </c>
      <c r="O6542" t="s">
        <v>40437</v>
      </c>
      <c r="P6542">
        <v>0</v>
      </c>
      <c r="Q6542">
        <v>23</v>
      </c>
      <c r="R6542" t="s">
        <v>40443</v>
      </c>
      <c r="S6542" t="s">
        <v>40644</v>
      </c>
      <c r="T6542" t="s">
        <v>42234</v>
      </c>
      <c r="U6542" t="s">
        <v>48136</v>
      </c>
      <c r="V6542" t="s">
        <v>54469</v>
      </c>
      <c r="W6542" t="s">
        <v>39236</v>
      </c>
      <c r="X6542" t="s">
        <v>40444</v>
      </c>
    </row>
    <row r="6543" spans="1:24">
      <c r="A6543">
        <f>HYPERLINK("https://www.philgeps.gov.ph/GEPSNONPILOT/Tender/SplashBidNoticeAbstractUI.aspx?menuIndex=3&amp;refID=7043160&amp;Result=3","7043160")</f>
        <v>0</v>
      </c>
      <c r="B6543" t="s">
        <v>2071</v>
      </c>
      <c r="C6543" t="s">
        <v>9302</v>
      </c>
      <c r="D6543" t="s">
        <v>16210</v>
      </c>
      <c r="E6543" t="s">
        <v>22071</v>
      </c>
      <c r="F6543" t="s">
        <v>28198</v>
      </c>
      <c r="G6543" t="s">
        <v>28205</v>
      </c>
      <c r="H6543" t="s">
        <v>28215</v>
      </c>
      <c r="I6543" t="s">
        <v>5791</v>
      </c>
      <c r="J6543" t="s">
        <v>32446</v>
      </c>
      <c r="K6543" t="s">
        <v>36707</v>
      </c>
      <c r="M6543" t="s">
        <v>39220</v>
      </c>
      <c r="N6543" t="s">
        <v>40436</v>
      </c>
      <c r="O6543" t="s">
        <v>40437</v>
      </c>
      <c r="P6543">
        <v>0</v>
      </c>
      <c r="Q6543">
        <v>0</v>
      </c>
      <c r="R6543" t="s">
        <v>40443</v>
      </c>
      <c r="S6543" t="s">
        <v>40644</v>
      </c>
      <c r="T6543" t="s">
        <v>42138</v>
      </c>
      <c r="U6543" t="s">
        <v>48115</v>
      </c>
      <c r="W6543" t="s">
        <v>39220</v>
      </c>
      <c r="X6543" t="s">
        <v>40444</v>
      </c>
    </row>
    <row r="6544" spans="1:24">
      <c r="A6544">
        <f>HYPERLINK("https://www.philgeps.gov.ph/GEPSNONPILOT/Tender/SplashBidNoticeAbstractUI.aspx?menuIndex=3&amp;refID=7043136&amp;Result=3","7043136")</f>
        <v>0</v>
      </c>
      <c r="B6544" t="s">
        <v>2071</v>
      </c>
      <c r="C6544" t="s">
        <v>9303</v>
      </c>
      <c r="D6544" t="s">
        <v>16210</v>
      </c>
      <c r="E6544" t="s">
        <v>22072</v>
      </c>
      <c r="F6544" t="s">
        <v>28198</v>
      </c>
      <c r="G6544" t="s">
        <v>28205</v>
      </c>
      <c r="H6544" t="s">
        <v>28215</v>
      </c>
      <c r="I6544" t="s">
        <v>5791</v>
      </c>
      <c r="J6544" t="s">
        <v>32447</v>
      </c>
      <c r="K6544" t="s">
        <v>36707</v>
      </c>
      <c r="M6544" t="s">
        <v>39220</v>
      </c>
      <c r="N6544" t="s">
        <v>40436</v>
      </c>
      <c r="O6544" t="s">
        <v>40437</v>
      </c>
      <c r="P6544">
        <v>0</v>
      </c>
      <c r="Q6544">
        <v>0</v>
      </c>
      <c r="R6544" t="s">
        <v>40443</v>
      </c>
      <c r="S6544" t="s">
        <v>40644</v>
      </c>
      <c r="T6544" t="s">
        <v>42138</v>
      </c>
      <c r="U6544" t="s">
        <v>48115</v>
      </c>
      <c r="W6544" t="s">
        <v>39220</v>
      </c>
      <c r="X6544" t="s">
        <v>40444</v>
      </c>
    </row>
    <row r="6545" spans="1:24">
      <c r="A6545">
        <f>HYPERLINK("https://www.philgeps.gov.ph/GEPSNONPILOT/Tender/SplashBidNoticeAbstractUI.aspx?menuIndex=3&amp;refID=7043167&amp;Result=3","7043167")</f>
        <v>0</v>
      </c>
      <c r="B6545" t="s">
        <v>2092</v>
      </c>
      <c r="C6545" t="s">
        <v>9304</v>
      </c>
      <c r="E6545" t="s">
        <v>22073</v>
      </c>
      <c r="F6545" t="s">
        <v>28198</v>
      </c>
      <c r="G6545" t="s">
        <v>28205</v>
      </c>
      <c r="H6545" t="s">
        <v>28216</v>
      </c>
      <c r="I6545" t="s">
        <v>3797</v>
      </c>
      <c r="J6545" t="s">
        <v>29683</v>
      </c>
      <c r="K6545" t="s">
        <v>36689</v>
      </c>
      <c r="M6545" t="s">
        <v>39241</v>
      </c>
      <c r="N6545" t="s">
        <v>40436</v>
      </c>
      <c r="O6545" t="s">
        <v>40437</v>
      </c>
      <c r="P6545">
        <v>0</v>
      </c>
      <c r="Q6545">
        <v>0</v>
      </c>
      <c r="R6545" t="s">
        <v>40443</v>
      </c>
      <c r="S6545" t="s">
        <v>40644</v>
      </c>
      <c r="T6545" t="s">
        <v>42103</v>
      </c>
      <c r="U6545" t="s">
        <v>48137</v>
      </c>
      <c r="V6545" t="s">
        <v>54473</v>
      </c>
      <c r="W6545" t="s">
        <v>55506</v>
      </c>
      <c r="X6545" t="s">
        <v>40444</v>
      </c>
    </row>
    <row r="6546" spans="1:24">
      <c r="A6546">
        <f>HYPERLINK("https://www.philgeps.gov.ph/GEPSNONPILOT/Tender/SplashBidNoticeAbstractUI.aspx?menuIndex=3&amp;refID=7043175&amp;Result=3","7043175")</f>
        <v>0</v>
      </c>
      <c r="B6546" t="s">
        <v>2071</v>
      </c>
      <c r="C6546" t="s">
        <v>9305</v>
      </c>
      <c r="D6546" t="s">
        <v>16210</v>
      </c>
      <c r="E6546" t="s">
        <v>22074</v>
      </c>
      <c r="F6546" t="s">
        <v>28198</v>
      </c>
      <c r="G6546" t="s">
        <v>28205</v>
      </c>
      <c r="H6546" t="s">
        <v>28215</v>
      </c>
      <c r="I6546" t="s">
        <v>4200</v>
      </c>
      <c r="J6546" t="s">
        <v>32448</v>
      </c>
      <c r="K6546" t="s">
        <v>36707</v>
      </c>
      <c r="M6546" t="s">
        <v>39220</v>
      </c>
      <c r="N6546" t="s">
        <v>40436</v>
      </c>
      <c r="O6546" t="s">
        <v>40437</v>
      </c>
      <c r="P6546">
        <v>0</v>
      </c>
      <c r="Q6546">
        <v>0</v>
      </c>
      <c r="R6546" t="s">
        <v>40443</v>
      </c>
      <c r="S6546" t="s">
        <v>40644</v>
      </c>
      <c r="T6546" t="s">
        <v>42138</v>
      </c>
      <c r="U6546" t="s">
        <v>48100</v>
      </c>
      <c r="W6546" t="s">
        <v>39220</v>
      </c>
      <c r="X6546" t="s">
        <v>40444</v>
      </c>
    </row>
    <row r="6547" spans="1:24">
      <c r="A6547">
        <f>HYPERLINK("https://www.philgeps.gov.ph/GEPSNONPILOT/Tender/SplashBidNoticeAbstractUI.aspx?menuIndex=3&amp;refID=7043154&amp;Result=3","7043154")</f>
        <v>0</v>
      </c>
      <c r="B6547" t="s">
        <v>2091</v>
      </c>
      <c r="C6547" t="s">
        <v>9306</v>
      </c>
      <c r="D6547" t="s">
        <v>16244</v>
      </c>
      <c r="E6547" t="s">
        <v>22075</v>
      </c>
      <c r="F6547" t="s">
        <v>28198</v>
      </c>
      <c r="G6547" t="s">
        <v>28205</v>
      </c>
      <c r="H6547" t="s">
        <v>28214</v>
      </c>
      <c r="I6547" t="s">
        <v>3797</v>
      </c>
      <c r="J6547" t="s">
        <v>32449</v>
      </c>
      <c r="K6547" t="s">
        <v>36692</v>
      </c>
      <c r="M6547" t="s">
        <v>39240</v>
      </c>
      <c r="N6547" t="s">
        <v>40436</v>
      </c>
      <c r="O6547" t="s">
        <v>40437</v>
      </c>
      <c r="P6547">
        <v>0</v>
      </c>
      <c r="Q6547">
        <v>0</v>
      </c>
      <c r="R6547" t="s">
        <v>40443</v>
      </c>
      <c r="S6547" t="s">
        <v>40644</v>
      </c>
      <c r="T6547" t="s">
        <v>42165</v>
      </c>
      <c r="U6547" t="s">
        <v>48138</v>
      </c>
      <c r="W6547" t="s">
        <v>39240</v>
      </c>
      <c r="X6547" t="s">
        <v>40444</v>
      </c>
    </row>
    <row r="6548" spans="1:24">
      <c r="A6548">
        <f>HYPERLINK("https://www.philgeps.gov.ph/GEPSNONPILOT/Tender/SplashBidNoticeAbstractUI.aspx?menuIndex=3&amp;refID=7043161&amp;Result=3","7043161")</f>
        <v>0</v>
      </c>
      <c r="B6548" t="s">
        <v>2092</v>
      </c>
      <c r="C6548" t="s">
        <v>9307</v>
      </c>
      <c r="E6548" t="s">
        <v>22076</v>
      </c>
      <c r="F6548" t="s">
        <v>28198</v>
      </c>
      <c r="G6548" t="s">
        <v>28205</v>
      </c>
      <c r="H6548" t="s">
        <v>28216</v>
      </c>
      <c r="I6548" t="s">
        <v>28216</v>
      </c>
      <c r="J6548" t="s">
        <v>32450</v>
      </c>
      <c r="K6548" t="s">
        <v>36689</v>
      </c>
      <c r="M6548" t="s">
        <v>39241</v>
      </c>
      <c r="N6548" t="s">
        <v>40436</v>
      </c>
      <c r="O6548" t="s">
        <v>40437</v>
      </c>
      <c r="P6548">
        <v>0</v>
      </c>
      <c r="Q6548">
        <v>2</v>
      </c>
      <c r="R6548" t="s">
        <v>40443</v>
      </c>
      <c r="S6548" t="s">
        <v>40644</v>
      </c>
      <c r="T6548" t="s">
        <v>42103</v>
      </c>
      <c r="U6548" t="s">
        <v>48139</v>
      </c>
      <c r="V6548" t="s">
        <v>54474</v>
      </c>
      <c r="W6548" t="s">
        <v>55506</v>
      </c>
      <c r="X6548" t="s">
        <v>40444</v>
      </c>
    </row>
    <row r="6549" spans="1:24">
      <c r="A6549">
        <f>HYPERLINK("https://www.philgeps.gov.ph/GEPSNONPILOT/Tender/SplashBidNoticeAbstractUI.aspx?menuIndex=3&amp;refID=7043185&amp;Result=3","7043185")</f>
        <v>0</v>
      </c>
      <c r="B6549" t="s">
        <v>1874</v>
      </c>
      <c r="C6549" t="s">
        <v>9308</v>
      </c>
      <c r="D6549" t="s">
        <v>16188</v>
      </c>
      <c r="E6549" t="s">
        <v>22077</v>
      </c>
      <c r="F6549" t="s">
        <v>28198</v>
      </c>
      <c r="G6549" t="s">
        <v>28205</v>
      </c>
      <c r="H6549" t="s">
        <v>28215</v>
      </c>
      <c r="I6549" t="s">
        <v>8888</v>
      </c>
      <c r="J6549" t="s">
        <v>32451</v>
      </c>
      <c r="K6549" t="s">
        <v>36693</v>
      </c>
      <c r="M6549" t="s">
        <v>39006</v>
      </c>
      <c r="N6549" t="s">
        <v>40436</v>
      </c>
      <c r="O6549" t="s">
        <v>40437</v>
      </c>
      <c r="P6549">
        <v>0</v>
      </c>
      <c r="Q6549">
        <v>5</v>
      </c>
      <c r="R6549" t="s">
        <v>40443</v>
      </c>
      <c r="S6549" t="s">
        <v>40644</v>
      </c>
      <c r="T6549" t="s">
        <v>42178</v>
      </c>
      <c r="U6549" t="s">
        <v>48140</v>
      </c>
      <c r="V6549" t="s">
        <v>54051</v>
      </c>
      <c r="W6549" t="s">
        <v>39006</v>
      </c>
      <c r="X6549" t="s">
        <v>40444</v>
      </c>
    </row>
    <row r="6550" spans="1:24">
      <c r="A6550">
        <f>HYPERLINK("https://www.philgeps.gov.ph/GEPSNONPILOT/Tender/SplashBidNoticeAbstractUI.aspx?menuIndex=3&amp;refID=7043180&amp;Result=3","7043180")</f>
        <v>0</v>
      </c>
      <c r="B6550" t="s">
        <v>2071</v>
      </c>
      <c r="C6550" t="s">
        <v>9309</v>
      </c>
      <c r="D6550" t="s">
        <v>16210</v>
      </c>
      <c r="E6550" t="s">
        <v>22078</v>
      </c>
      <c r="F6550" t="s">
        <v>28198</v>
      </c>
      <c r="G6550" t="s">
        <v>28205</v>
      </c>
      <c r="H6550" t="s">
        <v>28215</v>
      </c>
      <c r="I6550" t="s">
        <v>4200</v>
      </c>
      <c r="J6550" t="s">
        <v>32452</v>
      </c>
      <c r="K6550" t="s">
        <v>36707</v>
      </c>
      <c r="M6550" t="s">
        <v>39220</v>
      </c>
      <c r="N6550" t="s">
        <v>40436</v>
      </c>
      <c r="O6550" t="s">
        <v>40437</v>
      </c>
      <c r="P6550">
        <v>0</v>
      </c>
      <c r="Q6550">
        <v>0</v>
      </c>
      <c r="R6550" t="s">
        <v>40443</v>
      </c>
      <c r="S6550" t="s">
        <v>40644</v>
      </c>
      <c r="T6550" t="s">
        <v>42138</v>
      </c>
      <c r="U6550" t="s">
        <v>48100</v>
      </c>
      <c r="W6550" t="s">
        <v>39220</v>
      </c>
      <c r="X6550" t="s">
        <v>40444</v>
      </c>
    </row>
    <row r="6551" spans="1:24">
      <c r="A6551">
        <f>HYPERLINK("https://www.philgeps.gov.ph/GEPSNONPILOT/Tender/SplashBidNoticeAbstractUI.aspx?menuIndex=3&amp;refID=7043174&amp;Result=3","7043174")</f>
        <v>0</v>
      </c>
      <c r="B6551" t="s">
        <v>2088</v>
      </c>
      <c r="C6551" t="s">
        <v>9310</v>
      </c>
      <c r="D6551" t="s">
        <v>16187</v>
      </c>
      <c r="E6551" t="s">
        <v>22079</v>
      </c>
      <c r="F6551" t="s">
        <v>28198</v>
      </c>
      <c r="G6551" t="s">
        <v>28205</v>
      </c>
      <c r="H6551" t="s">
        <v>28215</v>
      </c>
      <c r="I6551" t="s">
        <v>28225</v>
      </c>
      <c r="J6551" t="s">
        <v>32453</v>
      </c>
      <c r="K6551" t="s">
        <v>36709</v>
      </c>
      <c r="M6551" t="s">
        <v>39237</v>
      </c>
      <c r="N6551" t="s">
        <v>40436</v>
      </c>
      <c r="O6551" t="s">
        <v>40437</v>
      </c>
      <c r="P6551">
        <v>0</v>
      </c>
      <c r="Q6551">
        <v>2</v>
      </c>
      <c r="R6551" t="s">
        <v>40443</v>
      </c>
      <c r="S6551" t="s">
        <v>40644</v>
      </c>
      <c r="T6551" t="s">
        <v>42145</v>
      </c>
      <c r="U6551" t="s">
        <v>48141</v>
      </c>
      <c r="W6551" t="s">
        <v>39237</v>
      </c>
      <c r="X6551" t="s">
        <v>40444</v>
      </c>
    </row>
    <row r="6552" spans="1:24">
      <c r="A6552">
        <f>HYPERLINK("https://www.philgeps.gov.ph/GEPSNONPILOT/Tender/SplashBidNoticeAbstractUI.aspx?menuIndex=3&amp;refID=7043157&amp;Result=3","7043157")</f>
        <v>0</v>
      </c>
      <c r="B6552" t="s">
        <v>1874</v>
      </c>
      <c r="C6552" t="s">
        <v>9311</v>
      </c>
      <c r="D6552" t="s">
        <v>16188</v>
      </c>
      <c r="E6552" t="s">
        <v>22080</v>
      </c>
      <c r="F6552" t="s">
        <v>28198</v>
      </c>
      <c r="G6552" t="s">
        <v>28205</v>
      </c>
      <c r="H6552" t="s">
        <v>28215</v>
      </c>
      <c r="I6552" t="s">
        <v>28228</v>
      </c>
      <c r="J6552" t="s">
        <v>32454</v>
      </c>
      <c r="K6552" t="s">
        <v>36693</v>
      </c>
      <c r="M6552" t="s">
        <v>39006</v>
      </c>
      <c r="N6552" t="s">
        <v>40436</v>
      </c>
      <c r="O6552" t="s">
        <v>40437</v>
      </c>
      <c r="P6552">
        <v>0</v>
      </c>
      <c r="Q6552">
        <v>0</v>
      </c>
      <c r="R6552" t="s">
        <v>40443</v>
      </c>
      <c r="S6552" t="s">
        <v>40644</v>
      </c>
      <c r="T6552" t="s">
        <v>42178</v>
      </c>
      <c r="U6552" t="s">
        <v>48142</v>
      </c>
      <c r="V6552" t="s">
        <v>54051</v>
      </c>
      <c r="W6552" t="s">
        <v>39006</v>
      </c>
      <c r="X6552" t="s">
        <v>40444</v>
      </c>
    </row>
    <row r="6553" spans="1:24">
      <c r="A6553">
        <f>HYPERLINK("https://www.philgeps.gov.ph/GEPSNONPILOT/Tender/SplashBidNoticeAbstractUI.aspx?menuIndex=3&amp;refID=7043193&amp;Result=3","7043193")</f>
        <v>0</v>
      </c>
      <c r="B6553" t="s">
        <v>2071</v>
      </c>
      <c r="C6553" t="s">
        <v>9312</v>
      </c>
      <c r="D6553" t="s">
        <v>16210</v>
      </c>
      <c r="E6553" t="s">
        <v>22081</v>
      </c>
      <c r="F6553" t="s">
        <v>28198</v>
      </c>
      <c r="G6553" t="s">
        <v>28205</v>
      </c>
      <c r="H6553" t="s">
        <v>28215</v>
      </c>
      <c r="I6553" t="s">
        <v>4200</v>
      </c>
      <c r="J6553" t="s">
        <v>28363</v>
      </c>
      <c r="K6553" t="s">
        <v>36707</v>
      </c>
      <c r="M6553" t="s">
        <v>39220</v>
      </c>
      <c r="N6553" t="s">
        <v>40436</v>
      </c>
      <c r="O6553" t="s">
        <v>40437</v>
      </c>
      <c r="P6553">
        <v>0</v>
      </c>
      <c r="Q6553">
        <v>0</v>
      </c>
      <c r="R6553" t="s">
        <v>40443</v>
      </c>
      <c r="S6553" t="s">
        <v>40644</v>
      </c>
      <c r="T6553" t="s">
        <v>42138</v>
      </c>
      <c r="U6553" t="s">
        <v>48100</v>
      </c>
      <c r="W6553" t="s">
        <v>39220</v>
      </c>
      <c r="X6553" t="s">
        <v>40444</v>
      </c>
    </row>
    <row r="6554" spans="1:24">
      <c r="A6554">
        <f>HYPERLINK("https://www.philgeps.gov.ph/GEPSNONPILOT/Tender/SplashBidNoticeAbstractUI.aspx?menuIndex=3&amp;refID=7043192&amp;Result=3","7043192")</f>
        <v>0</v>
      </c>
      <c r="B6554" t="s">
        <v>1874</v>
      </c>
      <c r="C6554" t="s">
        <v>9313</v>
      </c>
      <c r="D6554" t="s">
        <v>16188</v>
      </c>
      <c r="E6554" t="s">
        <v>22082</v>
      </c>
      <c r="F6554" t="s">
        <v>28198</v>
      </c>
      <c r="G6554" t="s">
        <v>28205</v>
      </c>
      <c r="H6554" t="s">
        <v>28215</v>
      </c>
      <c r="I6554" t="s">
        <v>5103</v>
      </c>
      <c r="J6554" t="s">
        <v>32455</v>
      </c>
      <c r="K6554" t="s">
        <v>36693</v>
      </c>
      <c r="M6554" t="s">
        <v>39006</v>
      </c>
      <c r="N6554" t="s">
        <v>40436</v>
      </c>
      <c r="O6554" t="s">
        <v>40437</v>
      </c>
      <c r="P6554">
        <v>0</v>
      </c>
      <c r="Q6554">
        <v>5</v>
      </c>
      <c r="R6554" t="s">
        <v>40443</v>
      </c>
      <c r="S6554" t="s">
        <v>40644</v>
      </c>
      <c r="T6554" t="s">
        <v>42178</v>
      </c>
      <c r="U6554" t="s">
        <v>48143</v>
      </c>
      <c r="V6554" t="s">
        <v>54051</v>
      </c>
      <c r="W6554" t="s">
        <v>39006</v>
      </c>
      <c r="X6554" t="s">
        <v>40444</v>
      </c>
    </row>
    <row r="6555" spans="1:24">
      <c r="A6555">
        <f>HYPERLINK("https://www.philgeps.gov.ph/GEPSNONPILOT/Tender/SplashBidNoticeAbstractUI.aspx?menuIndex=3&amp;refID=7043188&amp;Result=3","7043188")</f>
        <v>0</v>
      </c>
      <c r="B6555" t="s">
        <v>2080</v>
      </c>
      <c r="C6555" t="s">
        <v>9314</v>
      </c>
      <c r="E6555" t="s">
        <v>22083</v>
      </c>
      <c r="F6555" t="s">
        <v>28198</v>
      </c>
      <c r="G6555" t="s">
        <v>28205</v>
      </c>
      <c r="H6555" t="s">
        <v>28214</v>
      </c>
      <c r="I6555" t="s">
        <v>3797</v>
      </c>
      <c r="J6555" t="s">
        <v>32456</v>
      </c>
      <c r="K6555" t="s">
        <v>36689</v>
      </c>
      <c r="M6555" t="s">
        <v>39242</v>
      </c>
      <c r="N6555" t="s">
        <v>40436</v>
      </c>
      <c r="O6555" t="s">
        <v>40437</v>
      </c>
      <c r="P6555">
        <v>0</v>
      </c>
      <c r="Q6555">
        <v>0</v>
      </c>
      <c r="R6555" t="s">
        <v>40443</v>
      </c>
      <c r="S6555" t="s">
        <v>40644</v>
      </c>
      <c r="T6555" t="s">
        <v>42426</v>
      </c>
      <c r="U6555" t="s">
        <v>48144</v>
      </c>
      <c r="W6555" t="s">
        <v>39242</v>
      </c>
      <c r="X6555" t="s">
        <v>40444</v>
      </c>
    </row>
    <row r="6556" spans="1:24">
      <c r="A6556">
        <f>HYPERLINK("https://www.philgeps.gov.ph/GEPSNONPILOT/Tender/SplashBidNoticeAbstractUI.aspx?menuIndex=3&amp;refID=7043171&amp;Result=3","7043171")</f>
        <v>0</v>
      </c>
      <c r="B6556" t="s">
        <v>2093</v>
      </c>
      <c r="C6556" t="s">
        <v>9315</v>
      </c>
      <c r="D6556" t="s">
        <v>16268</v>
      </c>
      <c r="E6556" t="s">
        <v>18348</v>
      </c>
      <c r="F6556" t="s">
        <v>28202</v>
      </c>
      <c r="G6556" t="s">
        <v>28205</v>
      </c>
      <c r="H6556" t="s">
        <v>28215</v>
      </c>
      <c r="I6556" t="s">
        <v>5100</v>
      </c>
      <c r="J6556" t="s">
        <v>32457</v>
      </c>
      <c r="K6556" t="s">
        <v>36701</v>
      </c>
      <c r="M6556" t="s">
        <v>39243</v>
      </c>
      <c r="N6556" t="s">
        <v>40436</v>
      </c>
      <c r="O6556" t="s">
        <v>40437</v>
      </c>
      <c r="P6556">
        <v>0</v>
      </c>
      <c r="Q6556">
        <v>0</v>
      </c>
      <c r="R6556" t="s">
        <v>40443</v>
      </c>
      <c r="S6556" t="s">
        <v>40644</v>
      </c>
      <c r="T6556" t="s">
        <v>42387</v>
      </c>
      <c r="U6556" t="s">
        <v>48145</v>
      </c>
      <c r="W6556" t="s">
        <v>39243</v>
      </c>
      <c r="X6556" t="s">
        <v>40444</v>
      </c>
    </row>
    <row r="6557" spans="1:24">
      <c r="A6557">
        <f>HYPERLINK("https://www.philgeps.gov.ph/GEPSNONPILOT/Tender/SplashBidNoticeAbstractUI.aspx?menuIndex=3&amp;refID=7043173&amp;Result=3","7043173")</f>
        <v>0</v>
      </c>
      <c r="B6557" t="s">
        <v>1874</v>
      </c>
      <c r="C6557" t="s">
        <v>9316</v>
      </c>
      <c r="D6557" t="s">
        <v>16188</v>
      </c>
      <c r="E6557" t="s">
        <v>22084</v>
      </c>
      <c r="F6557" t="s">
        <v>28198</v>
      </c>
      <c r="G6557" t="s">
        <v>28205</v>
      </c>
      <c r="H6557" t="s">
        <v>28215</v>
      </c>
      <c r="I6557" t="s">
        <v>4200</v>
      </c>
      <c r="J6557" t="s">
        <v>32458</v>
      </c>
      <c r="K6557" t="s">
        <v>36693</v>
      </c>
      <c r="M6557" t="s">
        <v>39006</v>
      </c>
      <c r="N6557" t="s">
        <v>40436</v>
      </c>
      <c r="O6557" t="s">
        <v>40437</v>
      </c>
      <c r="P6557">
        <v>0</v>
      </c>
      <c r="Q6557">
        <v>2</v>
      </c>
      <c r="R6557" t="s">
        <v>40443</v>
      </c>
      <c r="S6557" t="s">
        <v>40644</v>
      </c>
      <c r="T6557" t="s">
        <v>42178</v>
      </c>
      <c r="U6557" t="s">
        <v>48146</v>
      </c>
      <c r="V6557" t="s">
        <v>54051</v>
      </c>
      <c r="W6557" t="s">
        <v>39006</v>
      </c>
      <c r="X6557" t="s">
        <v>40444</v>
      </c>
    </row>
    <row r="6558" spans="1:24">
      <c r="A6558">
        <f>HYPERLINK("https://www.philgeps.gov.ph/GEPSNONPILOT/Tender/SplashBidNoticeAbstractUI.aspx?menuIndex=3&amp;refID=7043239&amp;Result=3","7043239")</f>
        <v>0</v>
      </c>
      <c r="B6558" t="s">
        <v>660</v>
      </c>
      <c r="C6558" t="s">
        <v>9317</v>
      </c>
      <c r="D6558" t="s">
        <v>16188</v>
      </c>
      <c r="E6558" t="s">
        <v>16586</v>
      </c>
      <c r="F6558" t="s">
        <v>28198</v>
      </c>
      <c r="G6558" t="s">
        <v>28205</v>
      </c>
      <c r="H6558" t="s">
        <v>28215</v>
      </c>
      <c r="I6558" t="s">
        <v>8870</v>
      </c>
      <c r="J6558" t="s">
        <v>32459</v>
      </c>
      <c r="K6558" t="s">
        <v>36689</v>
      </c>
      <c r="M6558" t="s">
        <v>37656</v>
      </c>
      <c r="N6558" t="s">
        <v>40436</v>
      </c>
      <c r="O6558" t="s">
        <v>40437</v>
      </c>
      <c r="P6558">
        <v>0</v>
      </c>
      <c r="Q6558">
        <v>1</v>
      </c>
      <c r="R6558" t="s">
        <v>40443</v>
      </c>
      <c r="S6558" t="s">
        <v>40644</v>
      </c>
      <c r="T6558" t="s">
        <v>42432</v>
      </c>
      <c r="U6558" t="s">
        <v>48147</v>
      </c>
      <c r="W6558" t="s">
        <v>37656</v>
      </c>
      <c r="X6558" t="s">
        <v>40444</v>
      </c>
    </row>
    <row r="6559" spans="1:24">
      <c r="A6559">
        <f>HYPERLINK("https://www.philgeps.gov.ph/GEPSNONPILOT/Tender/SplashBidNoticeAbstractUI.aspx?menuIndex=3&amp;refID=7043204&amp;Result=3","7043204")</f>
        <v>0</v>
      </c>
      <c r="B6559" t="s">
        <v>2087</v>
      </c>
      <c r="C6559" t="s">
        <v>9318</v>
      </c>
      <c r="D6559" t="s">
        <v>16191</v>
      </c>
      <c r="E6559" t="s">
        <v>22085</v>
      </c>
      <c r="F6559" t="s">
        <v>28198</v>
      </c>
      <c r="G6559" t="s">
        <v>28205</v>
      </c>
      <c r="H6559" t="s">
        <v>28214</v>
      </c>
      <c r="I6559" t="s">
        <v>3797</v>
      </c>
      <c r="J6559" t="s">
        <v>32460</v>
      </c>
      <c r="K6559" t="s">
        <v>36761</v>
      </c>
      <c r="M6559" t="s">
        <v>39236</v>
      </c>
      <c r="N6559" t="s">
        <v>40436</v>
      </c>
      <c r="O6559" t="s">
        <v>40437</v>
      </c>
      <c r="P6559">
        <v>0</v>
      </c>
      <c r="Q6559">
        <v>16</v>
      </c>
      <c r="R6559" t="s">
        <v>40443</v>
      </c>
      <c r="S6559" t="s">
        <v>40644</v>
      </c>
      <c r="T6559" t="s">
        <v>42234</v>
      </c>
      <c r="U6559" t="s">
        <v>48148</v>
      </c>
      <c r="V6559" t="s">
        <v>54469</v>
      </c>
      <c r="W6559" t="s">
        <v>39236</v>
      </c>
      <c r="X6559" t="s">
        <v>40444</v>
      </c>
    </row>
    <row r="6560" spans="1:24">
      <c r="A6560">
        <f>HYPERLINK("https://www.philgeps.gov.ph/GEPSNONPILOT/Tender/SplashBidNoticeAbstractUI.aspx?menuIndex=3&amp;refID=7043186&amp;Result=3","7043186")</f>
        <v>0</v>
      </c>
      <c r="B6560" t="s">
        <v>2087</v>
      </c>
      <c r="C6560" t="s">
        <v>9319</v>
      </c>
      <c r="D6560" t="s">
        <v>16191</v>
      </c>
      <c r="E6560" t="s">
        <v>22086</v>
      </c>
      <c r="F6560" t="s">
        <v>28198</v>
      </c>
      <c r="G6560" t="s">
        <v>28205</v>
      </c>
      <c r="H6560" t="s">
        <v>28214</v>
      </c>
      <c r="I6560" t="s">
        <v>3797</v>
      </c>
      <c r="J6560" t="s">
        <v>32461</v>
      </c>
      <c r="K6560" t="s">
        <v>36847</v>
      </c>
      <c r="M6560" t="s">
        <v>39236</v>
      </c>
      <c r="N6560" t="s">
        <v>40436</v>
      </c>
      <c r="O6560" t="s">
        <v>40437</v>
      </c>
      <c r="P6560">
        <v>0</v>
      </c>
      <c r="Q6560">
        <v>16</v>
      </c>
      <c r="R6560" t="s">
        <v>40443</v>
      </c>
      <c r="S6560" t="s">
        <v>40644</v>
      </c>
      <c r="T6560" t="s">
        <v>42234</v>
      </c>
      <c r="U6560" t="s">
        <v>48149</v>
      </c>
      <c r="V6560" t="s">
        <v>54469</v>
      </c>
      <c r="W6560" t="s">
        <v>39236</v>
      </c>
      <c r="X6560" t="s">
        <v>40444</v>
      </c>
    </row>
    <row r="6561" spans="1:24">
      <c r="A6561">
        <f>HYPERLINK("https://www.philgeps.gov.ph/GEPSNONPILOT/Tender/SplashBidNoticeAbstractUI.aspx?menuIndex=3&amp;refID=7043233&amp;Result=3","7043233")</f>
        <v>0</v>
      </c>
      <c r="B6561" t="s">
        <v>660</v>
      </c>
      <c r="C6561" t="s">
        <v>9320</v>
      </c>
      <c r="D6561" t="s">
        <v>16188</v>
      </c>
      <c r="E6561" t="s">
        <v>16591</v>
      </c>
      <c r="F6561" t="s">
        <v>28198</v>
      </c>
      <c r="G6561" t="s">
        <v>28205</v>
      </c>
      <c r="H6561" t="s">
        <v>28215</v>
      </c>
      <c r="I6561" t="s">
        <v>8870</v>
      </c>
      <c r="J6561" t="s">
        <v>32462</v>
      </c>
      <c r="K6561" t="s">
        <v>36689</v>
      </c>
      <c r="M6561" t="s">
        <v>37656</v>
      </c>
      <c r="N6561" t="s">
        <v>40436</v>
      </c>
      <c r="O6561" t="s">
        <v>40437</v>
      </c>
      <c r="P6561">
        <v>0</v>
      </c>
      <c r="Q6561">
        <v>4</v>
      </c>
      <c r="R6561" t="s">
        <v>40443</v>
      </c>
      <c r="S6561" t="s">
        <v>40644</v>
      </c>
      <c r="T6561" t="s">
        <v>42432</v>
      </c>
      <c r="U6561" t="s">
        <v>48147</v>
      </c>
      <c r="W6561" t="s">
        <v>37656</v>
      </c>
      <c r="X6561" t="s">
        <v>40444</v>
      </c>
    </row>
    <row r="6562" spans="1:24">
      <c r="A6562">
        <f>HYPERLINK("https://www.philgeps.gov.ph/GEPSNONPILOT/Tender/SplashBidNoticeAbstractUI.aspx?menuIndex=3&amp;refID=7043203&amp;Result=3","7043203")</f>
        <v>0</v>
      </c>
      <c r="B6562" t="s">
        <v>2094</v>
      </c>
      <c r="C6562" t="s">
        <v>9321</v>
      </c>
      <c r="D6562" t="s">
        <v>16268</v>
      </c>
      <c r="E6562" t="s">
        <v>17760</v>
      </c>
      <c r="F6562" t="s">
        <v>28198</v>
      </c>
      <c r="G6562" t="s">
        <v>28205</v>
      </c>
      <c r="H6562" t="s">
        <v>28215</v>
      </c>
      <c r="I6562" t="s">
        <v>28239</v>
      </c>
      <c r="J6562" t="s">
        <v>32463</v>
      </c>
      <c r="K6562" t="s">
        <v>36701</v>
      </c>
      <c r="M6562" t="s">
        <v>39244</v>
      </c>
      <c r="N6562" t="s">
        <v>40436</v>
      </c>
      <c r="O6562" t="s">
        <v>40437</v>
      </c>
      <c r="P6562">
        <v>0</v>
      </c>
      <c r="Q6562">
        <v>0</v>
      </c>
      <c r="R6562" t="s">
        <v>40443</v>
      </c>
      <c r="S6562" t="s">
        <v>40644</v>
      </c>
      <c r="T6562" t="s">
        <v>42141</v>
      </c>
      <c r="U6562" t="s">
        <v>48150</v>
      </c>
      <c r="W6562" t="s">
        <v>39244</v>
      </c>
      <c r="X6562" t="s">
        <v>40444</v>
      </c>
    </row>
    <row r="6563" spans="1:24">
      <c r="A6563">
        <f>HYPERLINK("https://www.philgeps.gov.ph/GEPSNONPILOT/Tender/SplashBidNoticeAbstractUI.aspx?menuIndex=3&amp;refID=7043229&amp;Result=3","7043229")</f>
        <v>0</v>
      </c>
      <c r="B6563" t="s">
        <v>2095</v>
      </c>
      <c r="C6563" t="s">
        <v>9322</v>
      </c>
      <c r="D6563" t="s">
        <v>16199</v>
      </c>
      <c r="E6563" t="s">
        <v>22087</v>
      </c>
      <c r="F6563" t="s">
        <v>28198</v>
      </c>
      <c r="G6563" t="s">
        <v>28205</v>
      </c>
      <c r="H6563" t="s">
        <v>28215</v>
      </c>
      <c r="I6563" t="s">
        <v>28239</v>
      </c>
      <c r="J6563" t="s">
        <v>32464</v>
      </c>
      <c r="K6563" t="s">
        <v>36693</v>
      </c>
      <c r="M6563" t="s">
        <v>39245</v>
      </c>
      <c r="N6563" t="s">
        <v>40436</v>
      </c>
      <c r="O6563" t="s">
        <v>40437</v>
      </c>
      <c r="P6563">
        <v>0</v>
      </c>
      <c r="Q6563">
        <v>0</v>
      </c>
      <c r="R6563" t="s">
        <v>40443</v>
      </c>
      <c r="S6563" t="s">
        <v>40644</v>
      </c>
      <c r="T6563" t="s">
        <v>42131</v>
      </c>
      <c r="U6563" t="s">
        <v>48151</v>
      </c>
      <c r="W6563" t="s">
        <v>39245</v>
      </c>
      <c r="X6563" t="s">
        <v>40444</v>
      </c>
    </row>
    <row r="6564" spans="1:24">
      <c r="A6564">
        <f>HYPERLINK("https://www.philgeps.gov.ph/GEPSNONPILOT/Tender/SplashBidNoticeAbstractUI.aspx?menuIndex=3&amp;refID=7043232&amp;Result=3","7043232")</f>
        <v>0</v>
      </c>
      <c r="B6564" t="s">
        <v>2096</v>
      </c>
      <c r="C6564" t="s">
        <v>4494</v>
      </c>
      <c r="D6564" t="s">
        <v>16210</v>
      </c>
      <c r="E6564" t="s">
        <v>22088</v>
      </c>
      <c r="F6564" t="s">
        <v>28198</v>
      </c>
      <c r="G6564" t="s">
        <v>28205</v>
      </c>
      <c r="H6564" t="s">
        <v>28215</v>
      </c>
      <c r="I6564" t="s">
        <v>4200</v>
      </c>
      <c r="J6564" t="s">
        <v>32465</v>
      </c>
      <c r="K6564" t="s">
        <v>36706</v>
      </c>
      <c r="M6564" t="s">
        <v>39246</v>
      </c>
      <c r="N6564" t="s">
        <v>40436</v>
      </c>
      <c r="O6564" t="s">
        <v>40437</v>
      </c>
      <c r="P6564">
        <v>0</v>
      </c>
      <c r="Q6564">
        <v>0</v>
      </c>
      <c r="R6564" t="s">
        <v>40443</v>
      </c>
      <c r="S6564" t="s">
        <v>40644</v>
      </c>
      <c r="T6564" t="s">
        <v>42190</v>
      </c>
      <c r="U6564" t="s">
        <v>48152</v>
      </c>
      <c r="W6564" t="s">
        <v>39246</v>
      </c>
      <c r="X6564" t="s">
        <v>40444</v>
      </c>
    </row>
    <row r="6565" spans="1:24">
      <c r="A6565">
        <f>HYPERLINK("https://www.philgeps.gov.ph/GEPSNONPILOT/Tender/SplashBidNoticeAbstractUI.aspx?menuIndex=3&amp;refID=7043191&amp;Result=3","7043191")</f>
        <v>0</v>
      </c>
      <c r="B6565" t="s">
        <v>2097</v>
      </c>
      <c r="C6565" t="s">
        <v>9323</v>
      </c>
      <c r="D6565" t="s">
        <v>16246</v>
      </c>
      <c r="E6565" t="s">
        <v>22089</v>
      </c>
      <c r="F6565" t="s">
        <v>28200</v>
      </c>
      <c r="G6565" t="s">
        <v>28205</v>
      </c>
      <c r="H6565" t="s">
        <v>28217</v>
      </c>
      <c r="I6565" t="s">
        <v>8870</v>
      </c>
      <c r="J6565" t="s">
        <v>31344</v>
      </c>
      <c r="K6565" t="s">
        <v>36707</v>
      </c>
      <c r="M6565" t="s">
        <v>39247</v>
      </c>
      <c r="N6565" t="s">
        <v>40436</v>
      </c>
      <c r="O6565" t="s">
        <v>40437</v>
      </c>
      <c r="P6565">
        <v>0</v>
      </c>
      <c r="Q6565">
        <v>1</v>
      </c>
      <c r="R6565" t="s">
        <v>40443</v>
      </c>
      <c r="S6565" t="s">
        <v>40644</v>
      </c>
      <c r="T6565" t="s">
        <v>42194</v>
      </c>
      <c r="U6565" t="s">
        <v>48153</v>
      </c>
      <c r="W6565" t="s">
        <v>55507</v>
      </c>
      <c r="X6565" t="s">
        <v>40444</v>
      </c>
    </row>
    <row r="6566" spans="1:24">
      <c r="A6566">
        <f>HYPERLINK("https://www.philgeps.gov.ph/GEPSNONPILOT/Tender/SplashBidNoticeAbstractUI.aspx?menuIndex=3&amp;refID=7043225&amp;Result=3","7043225")</f>
        <v>0</v>
      </c>
      <c r="B6566" t="s">
        <v>915</v>
      </c>
      <c r="C6566" t="s">
        <v>9324</v>
      </c>
      <c r="D6566" t="s">
        <v>16209</v>
      </c>
      <c r="E6566" t="s">
        <v>22090</v>
      </c>
      <c r="F6566" t="s">
        <v>28198</v>
      </c>
      <c r="G6566" t="s">
        <v>28205</v>
      </c>
      <c r="H6566" t="s">
        <v>28214</v>
      </c>
      <c r="I6566" t="s">
        <v>3797</v>
      </c>
      <c r="J6566" t="s">
        <v>32466</v>
      </c>
      <c r="K6566" t="s">
        <v>36848</v>
      </c>
      <c r="M6566" t="s">
        <v>37934</v>
      </c>
      <c r="N6566" t="s">
        <v>40436</v>
      </c>
      <c r="O6566" t="s">
        <v>40437</v>
      </c>
      <c r="P6566">
        <v>0</v>
      </c>
      <c r="Q6566">
        <v>4</v>
      </c>
      <c r="R6566" t="s">
        <v>40443</v>
      </c>
      <c r="S6566" t="s">
        <v>40644</v>
      </c>
      <c r="T6566" t="s">
        <v>42138</v>
      </c>
      <c r="U6566" t="s">
        <v>48154</v>
      </c>
      <c r="W6566" t="s">
        <v>37934</v>
      </c>
      <c r="X6566" t="s">
        <v>40444</v>
      </c>
    </row>
    <row r="6567" spans="1:24">
      <c r="A6567">
        <f>HYPERLINK("https://www.philgeps.gov.ph/GEPSNONPILOT/Tender/SplashBidNoticeAbstractUI.aspx?menuIndex=3&amp;refID=7043195&amp;Result=3","7043195")</f>
        <v>0</v>
      </c>
      <c r="B6567" t="s">
        <v>2094</v>
      </c>
      <c r="C6567" t="s">
        <v>9325</v>
      </c>
      <c r="D6567" t="s">
        <v>16268</v>
      </c>
      <c r="E6567" t="s">
        <v>22091</v>
      </c>
      <c r="F6567" t="s">
        <v>28198</v>
      </c>
      <c r="G6567" t="s">
        <v>28205</v>
      </c>
      <c r="H6567" t="s">
        <v>28215</v>
      </c>
      <c r="I6567" t="s">
        <v>5100</v>
      </c>
      <c r="J6567" t="s">
        <v>32467</v>
      </c>
      <c r="K6567" t="s">
        <v>36701</v>
      </c>
      <c r="M6567" t="s">
        <v>39244</v>
      </c>
      <c r="N6567" t="s">
        <v>40436</v>
      </c>
      <c r="O6567" t="s">
        <v>40437</v>
      </c>
      <c r="P6567">
        <v>0</v>
      </c>
      <c r="Q6567">
        <v>0</v>
      </c>
      <c r="R6567" t="s">
        <v>40443</v>
      </c>
      <c r="S6567" t="s">
        <v>40644</v>
      </c>
      <c r="T6567" t="s">
        <v>42141</v>
      </c>
      <c r="U6567" t="s">
        <v>48155</v>
      </c>
      <c r="W6567" t="s">
        <v>39244</v>
      </c>
      <c r="X6567" t="s">
        <v>40444</v>
      </c>
    </row>
    <row r="6568" spans="1:24">
      <c r="A6568">
        <f>HYPERLINK("https://www.philgeps.gov.ph/GEPSNONPILOT/Tender/SplashBidNoticeAbstractUI.aspx?menuIndex=3&amp;refID=7043228&amp;Result=3","7043228")</f>
        <v>0</v>
      </c>
      <c r="B6568" t="s">
        <v>1868</v>
      </c>
      <c r="C6568" t="s">
        <v>9326</v>
      </c>
      <c r="E6568" t="s">
        <v>22092</v>
      </c>
      <c r="F6568" t="s">
        <v>28198</v>
      </c>
      <c r="G6568" t="s">
        <v>28205</v>
      </c>
      <c r="H6568" t="s">
        <v>28215</v>
      </c>
      <c r="I6568" t="s">
        <v>28218</v>
      </c>
      <c r="J6568" t="s">
        <v>32468</v>
      </c>
      <c r="K6568" t="s">
        <v>36689</v>
      </c>
      <c r="M6568" t="s">
        <v>39248</v>
      </c>
      <c r="N6568" t="s">
        <v>40436</v>
      </c>
      <c r="O6568" t="s">
        <v>40437</v>
      </c>
      <c r="P6568">
        <v>0</v>
      </c>
      <c r="Q6568">
        <v>0</v>
      </c>
      <c r="R6568" t="s">
        <v>40443</v>
      </c>
      <c r="S6568" t="s">
        <v>40644</v>
      </c>
      <c r="T6568" t="s">
        <v>42161</v>
      </c>
      <c r="U6568" t="s">
        <v>48156</v>
      </c>
      <c r="W6568" t="s">
        <v>39248</v>
      </c>
      <c r="X6568" t="s">
        <v>40444</v>
      </c>
    </row>
    <row r="6569" spans="1:24">
      <c r="A6569">
        <f>HYPERLINK("https://www.philgeps.gov.ph/GEPSNONPILOT/Tender/SplashBidNoticeAbstractUI.aspx?menuIndex=3&amp;refID=7043213&amp;Result=3","7043213")</f>
        <v>0</v>
      </c>
      <c r="B6569" t="s">
        <v>915</v>
      </c>
      <c r="C6569" t="s">
        <v>9327</v>
      </c>
      <c r="D6569" t="s">
        <v>16209</v>
      </c>
      <c r="E6569" t="s">
        <v>22093</v>
      </c>
      <c r="F6569" t="s">
        <v>28198</v>
      </c>
      <c r="G6569" t="s">
        <v>28205</v>
      </c>
      <c r="H6569" t="s">
        <v>28214</v>
      </c>
      <c r="I6569" t="s">
        <v>3797</v>
      </c>
      <c r="J6569" t="s">
        <v>32469</v>
      </c>
      <c r="K6569" t="s">
        <v>36848</v>
      </c>
      <c r="M6569" t="s">
        <v>37934</v>
      </c>
      <c r="N6569" t="s">
        <v>40436</v>
      </c>
      <c r="O6569" t="s">
        <v>40437</v>
      </c>
      <c r="P6569">
        <v>0</v>
      </c>
      <c r="Q6569">
        <v>4</v>
      </c>
      <c r="R6569" t="s">
        <v>40443</v>
      </c>
      <c r="S6569" t="s">
        <v>40644</v>
      </c>
      <c r="T6569" t="s">
        <v>42138</v>
      </c>
      <c r="U6569" t="s">
        <v>48157</v>
      </c>
      <c r="W6569" t="s">
        <v>37934</v>
      </c>
      <c r="X6569" t="s">
        <v>40444</v>
      </c>
    </row>
    <row r="6570" spans="1:24">
      <c r="A6570">
        <f>HYPERLINK("https://www.philgeps.gov.ph/GEPSNONPILOT/Tender/SplashBidNoticeAbstractUI.aspx?menuIndex=3&amp;refID=7043223&amp;Result=3","7043223")</f>
        <v>0</v>
      </c>
      <c r="B6570" t="s">
        <v>2098</v>
      </c>
      <c r="C6570" t="s">
        <v>9328</v>
      </c>
      <c r="D6570" t="s">
        <v>16199</v>
      </c>
      <c r="E6570" t="s">
        <v>22094</v>
      </c>
      <c r="F6570" t="s">
        <v>28198</v>
      </c>
      <c r="G6570" t="s">
        <v>28205</v>
      </c>
      <c r="H6570" t="s">
        <v>28215</v>
      </c>
      <c r="I6570" t="s">
        <v>5100</v>
      </c>
      <c r="J6570" t="s">
        <v>28589</v>
      </c>
      <c r="K6570" t="s">
        <v>36687</v>
      </c>
      <c r="M6570" t="s">
        <v>39249</v>
      </c>
      <c r="N6570" t="s">
        <v>40436</v>
      </c>
      <c r="O6570" t="s">
        <v>40437</v>
      </c>
      <c r="P6570">
        <v>0</v>
      </c>
      <c r="Q6570">
        <v>0</v>
      </c>
      <c r="R6570" t="s">
        <v>40443</v>
      </c>
      <c r="S6570" t="s">
        <v>40644</v>
      </c>
      <c r="T6570" t="s">
        <v>42190</v>
      </c>
      <c r="U6570" t="s">
        <v>48158</v>
      </c>
      <c r="W6570" t="s">
        <v>39249</v>
      </c>
      <c r="X6570" t="s">
        <v>40444</v>
      </c>
    </row>
    <row r="6571" spans="1:24">
      <c r="A6571">
        <f>HYPERLINK("https://www.philgeps.gov.ph/GEPSNONPILOT/Tender/SplashBidNoticeAbstractUI.aspx?menuIndex=3&amp;refID=7043240&amp;Result=3","7043240")</f>
        <v>0</v>
      </c>
      <c r="B6571" t="s">
        <v>2099</v>
      </c>
      <c r="C6571" t="s">
        <v>9329</v>
      </c>
      <c r="D6571" t="s">
        <v>16210</v>
      </c>
      <c r="E6571" t="s">
        <v>22095</v>
      </c>
      <c r="F6571" t="s">
        <v>28198</v>
      </c>
      <c r="G6571" t="s">
        <v>28205</v>
      </c>
      <c r="H6571" t="s">
        <v>28215</v>
      </c>
      <c r="I6571" t="s">
        <v>28247</v>
      </c>
      <c r="J6571" t="s">
        <v>28921</v>
      </c>
      <c r="K6571" t="s">
        <v>36694</v>
      </c>
      <c r="M6571" t="s">
        <v>39250</v>
      </c>
      <c r="N6571" t="s">
        <v>40436</v>
      </c>
      <c r="O6571" t="s">
        <v>40437</v>
      </c>
      <c r="P6571">
        <v>0</v>
      </c>
      <c r="Q6571">
        <v>8</v>
      </c>
      <c r="R6571" t="s">
        <v>40443</v>
      </c>
      <c r="S6571" t="s">
        <v>40644</v>
      </c>
      <c r="T6571" t="s">
        <v>42106</v>
      </c>
      <c r="U6571" t="s">
        <v>48159</v>
      </c>
      <c r="W6571" t="s">
        <v>39250</v>
      </c>
      <c r="X6571" t="s">
        <v>40444</v>
      </c>
    </row>
    <row r="6572" spans="1:24">
      <c r="A6572">
        <f>HYPERLINK("https://www.philgeps.gov.ph/GEPSNONPILOT/Tender/SplashBidNoticeAbstractUI.aspx?menuIndex=3&amp;refID=7043196&amp;Result=3","7043196")</f>
        <v>0</v>
      </c>
      <c r="B6572" t="s">
        <v>1874</v>
      </c>
      <c r="C6572" t="s">
        <v>9330</v>
      </c>
      <c r="D6572" t="s">
        <v>16188</v>
      </c>
      <c r="E6572" t="s">
        <v>22096</v>
      </c>
      <c r="F6572" t="s">
        <v>28198</v>
      </c>
      <c r="G6572" t="s">
        <v>28205</v>
      </c>
      <c r="H6572" t="s">
        <v>28215</v>
      </c>
      <c r="I6572" t="s">
        <v>28331</v>
      </c>
      <c r="J6572" t="s">
        <v>32470</v>
      </c>
      <c r="K6572" t="s">
        <v>36693</v>
      </c>
      <c r="M6572" t="s">
        <v>39006</v>
      </c>
      <c r="N6572" t="s">
        <v>40436</v>
      </c>
      <c r="O6572" t="s">
        <v>40437</v>
      </c>
      <c r="P6572">
        <v>0</v>
      </c>
      <c r="Q6572">
        <v>1</v>
      </c>
      <c r="R6572" t="s">
        <v>40443</v>
      </c>
      <c r="S6572" t="s">
        <v>40644</v>
      </c>
      <c r="T6572" t="s">
        <v>42178</v>
      </c>
      <c r="U6572" t="s">
        <v>48160</v>
      </c>
      <c r="V6572" t="s">
        <v>54051</v>
      </c>
      <c r="W6572" t="s">
        <v>39006</v>
      </c>
      <c r="X6572" t="s">
        <v>40444</v>
      </c>
    </row>
    <row r="6573" spans="1:24">
      <c r="A6573">
        <f>HYPERLINK("https://www.philgeps.gov.ph/GEPSNONPILOT/Tender/SplashBidNoticeAbstractUI.aspx?menuIndex=3&amp;refID=7043208&amp;Result=3","7043208")</f>
        <v>0</v>
      </c>
      <c r="B6573" t="s">
        <v>2100</v>
      </c>
      <c r="C6573" t="s">
        <v>9331</v>
      </c>
      <c r="D6573" t="s">
        <v>16199</v>
      </c>
      <c r="E6573" t="s">
        <v>22097</v>
      </c>
      <c r="F6573" t="s">
        <v>28198</v>
      </c>
      <c r="G6573" t="s">
        <v>28205</v>
      </c>
      <c r="H6573" t="s">
        <v>28214</v>
      </c>
      <c r="I6573" t="s">
        <v>3797</v>
      </c>
      <c r="J6573" t="s">
        <v>28345</v>
      </c>
      <c r="K6573" t="s">
        <v>36701</v>
      </c>
      <c r="M6573" t="s">
        <v>39251</v>
      </c>
      <c r="N6573" t="s">
        <v>40436</v>
      </c>
      <c r="O6573" t="s">
        <v>40437</v>
      </c>
      <c r="P6573">
        <v>0</v>
      </c>
      <c r="Q6573">
        <v>0</v>
      </c>
      <c r="R6573" t="s">
        <v>40443</v>
      </c>
      <c r="S6573" t="s">
        <v>40644</v>
      </c>
      <c r="T6573" t="s">
        <v>42158</v>
      </c>
      <c r="U6573" t="s">
        <v>48161</v>
      </c>
      <c r="W6573" t="s">
        <v>39251</v>
      </c>
      <c r="X6573" t="s">
        <v>40444</v>
      </c>
    </row>
    <row r="6574" spans="1:24">
      <c r="A6574">
        <f>HYPERLINK("https://www.philgeps.gov.ph/GEPSNONPILOT/Tender/SplashBidNoticeAbstractUI.aspx?menuIndex=3&amp;refID=7043212&amp;Result=3","7043212")</f>
        <v>0</v>
      </c>
      <c r="B6574" t="s">
        <v>245</v>
      </c>
      <c r="C6574" t="s">
        <v>9332</v>
      </c>
      <c r="D6574" t="s">
        <v>16210</v>
      </c>
      <c r="E6574" t="s">
        <v>22098</v>
      </c>
      <c r="F6574" t="s">
        <v>28198</v>
      </c>
      <c r="G6574" t="s">
        <v>28205</v>
      </c>
      <c r="H6574" t="s">
        <v>28216</v>
      </c>
      <c r="I6574" t="s">
        <v>28216</v>
      </c>
      <c r="J6574" t="s">
        <v>28921</v>
      </c>
      <c r="K6574" t="s">
        <v>36697</v>
      </c>
      <c r="M6574" t="s">
        <v>37221</v>
      </c>
      <c r="N6574" t="s">
        <v>40436</v>
      </c>
      <c r="O6574" t="s">
        <v>40437</v>
      </c>
      <c r="P6574">
        <v>0</v>
      </c>
      <c r="Q6574">
        <v>4</v>
      </c>
      <c r="R6574" t="s">
        <v>40443</v>
      </c>
      <c r="S6574" t="s">
        <v>40644</v>
      </c>
      <c r="T6574" t="s">
        <v>42125</v>
      </c>
      <c r="U6574" t="s">
        <v>48162</v>
      </c>
      <c r="W6574" t="s">
        <v>37221</v>
      </c>
      <c r="X6574" t="s">
        <v>40444</v>
      </c>
    </row>
    <row r="6575" spans="1:24">
      <c r="A6575">
        <f>HYPERLINK("https://www.philgeps.gov.ph/GEPSNONPILOT/Tender/SplashBidNoticeAbstractUI.aspx?menuIndex=3&amp;refID=7043205&amp;Result=3","7043205")</f>
        <v>0</v>
      </c>
      <c r="B6575" t="s">
        <v>2101</v>
      </c>
      <c r="C6575" t="s">
        <v>9333</v>
      </c>
      <c r="D6575" t="s">
        <v>16189</v>
      </c>
      <c r="E6575" t="s">
        <v>16588</v>
      </c>
      <c r="F6575" t="s">
        <v>28198</v>
      </c>
      <c r="G6575" t="s">
        <v>28205</v>
      </c>
      <c r="H6575" t="s">
        <v>28214</v>
      </c>
      <c r="I6575" t="s">
        <v>3797</v>
      </c>
      <c r="J6575" t="s">
        <v>28632</v>
      </c>
      <c r="K6575" t="s">
        <v>36707</v>
      </c>
      <c r="M6575" t="s">
        <v>39252</v>
      </c>
      <c r="N6575" t="s">
        <v>40436</v>
      </c>
      <c r="O6575" t="s">
        <v>40437</v>
      </c>
      <c r="P6575">
        <v>0</v>
      </c>
      <c r="Q6575">
        <v>0</v>
      </c>
      <c r="R6575" t="s">
        <v>40443</v>
      </c>
      <c r="S6575" t="s">
        <v>40644</v>
      </c>
      <c r="T6575" t="s">
        <v>42131</v>
      </c>
      <c r="U6575" t="s">
        <v>48163</v>
      </c>
      <c r="W6575" t="s">
        <v>39252</v>
      </c>
      <c r="X6575" t="s">
        <v>40444</v>
      </c>
    </row>
    <row r="6576" spans="1:24">
      <c r="A6576">
        <f>HYPERLINK("https://www.philgeps.gov.ph/GEPSNONPILOT/Tender/SplashBidNoticeAbstractUI.aspx?menuIndex=3&amp;refID=7043202&amp;Result=3","7043202")</f>
        <v>0</v>
      </c>
      <c r="B6576" t="s">
        <v>2102</v>
      </c>
      <c r="C6576" t="s">
        <v>9334</v>
      </c>
      <c r="D6576" t="s">
        <v>16210</v>
      </c>
      <c r="E6576" t="s">
        <v>16524</v>
      </c>
      <c r="F6576" t="s">
        <v>28198</v>
      </c>
      <c r="G6576" t="s">
        <v>28207</v>
      </c>
      <c r="H6576" t="s">
        <v>28215</v>
      </c>
      <c r="I6576" t="s">
        <v>28247</v>
      </c>
      <c r="J6576" t="s">
        <v>32471</v>
      </c>
      <c r="K6576" t="s">
        <v>36694</v>
      </c>
      <c r="M6576" t="s">
        <v>39253</v>
      </c>
      <c r="N6576" t="s">
        <v>40436</v>
      </c>
      <c r="O6576" t="s">
        <v>40437</v>
      </c>
      <c r="P6576">
        <v>0</v>
      </c>
      <c r="Q6576">
        <v>31</v>
      </c>
      <c r="R6576" t="s">
        <v>40443</v>
      </c>
      <c r="S6576" t="s">
        <v>40644</v>
      </c>
      <c r="T6576" t="s">
        <v>42455</v>
      </c>
      <c r="U6576" t="s">
        <v>48164</v>
      </c>
      <c r="W6576" t="s">
        <v>39253</v>
      </c>
      <c r="X6576" t="s">
        <v>40444</v>
      </c>
    </row>
    <row r="6577" spans="1:24">
      <c r="A6577">
        <f>HYPERLINK("https://www.philgeps.gov.ph/GEPSNONPILOT/Tender/SplashBidNoticeAbstractUI.aspx?menuIndex=3&amp;refID=7043207&amp;Result=3","7043207")</f>
        <v>0</v>
      </c>
      <c r="B6577" t="s">
        <v>2102</v>
      </c>
      <c r="C6577" t="s">
        <v>9335</v>
      </c>
      <c r="D6577" t="s">
        <v>16210</v>
      </c>
      <c r="E6577" t="s">
        <v>16571</v>
      </c>
      <c r="F6577" t="s">
        <v>28198</v>
      </c>
      <c r="G6577" t="s">
        <v>28207</v>
      </c>
      <c r="H6577" t="s">
        <v>28215</v>
      </c>
      <c r="I6577" t="s">
        <v>28247</v>
      </c>
      <c r="J6577" t="s">
        <v>32471</v>
      </c>
      <c r="K6577" t="s">
        <v>36694</v>
      </c>
      <c r="M6577" t="s">
        <v>39253</v>
      </c>
      <c r="N6577" t="s">
        <v>40436</v>
      </c>
      <c r="O6577" t="s">
        <v>40437</v>
      </c>
      <c r="P6577">
        <v>0</v>
      </c>
      <c r="Q6577">
        <v>6</v>
      </c>
      <c r="R6577" t="s">
        <v>40443</v>
      </c>
      <c r="S6577" t="s">
        <v>40644</v>
      </c>
      <c r="T6577" t="s">
        <v>42455</v>
      </c>
      <c r="U6577" t="s">
        <v>48165</v>
      </c>
      <c r="W6577" t="s">
        <v>39253</v>
      </c>
      <c r="X6577" t="s">
        <v>40444</v>
      </c>
    </row>
    <row r="6578" spans="1:24">
      <c r="A6578">
        <f>HYPERLINK("https://www.philgeps.gov.ph/GEPSNONPILOT/Tender/SplashBidNoticeAbstractUI.aspx?menuIndex=3&amp;refID=7043221&amp;Result=3","7043221")</f>
        <v>0</v>
      </c>
      <c r="B6578" t="s">
        <v>660</v>
      </c>
      <c r="C6578" t="s">
        <v>9336</v>
      </c>
      <c r="D6578" t="s">
        <v>16188</v>
      </c>
      <c r="E6578" t="s">
        <v>19009</v>
      </c>
      <c r="F6578" t="s">
        <v>28198</v>
      </c>
      <c r="G6578" t="s">
        <v>28205</v>
      </c>
      <c r="H6578" t="s">
        <v>28215</v>
      </c>
      <c r="I6578" t="s">
        <v>8870</v>
      </c>
      <c r="J6578" t="s">
        <v>32472</v>
      </c>
      <c r="K6578" t="s">
        <v>36689</v>
      </c>
      <c r="M6578" t="s">
        <v>37656</v>
      </c>
      <c r="N6578" t="s">
        <v>40436</v>
      </c>
      <c r="O6578" t="s">
        <v>40437</v>
      </c>
      <c r="P6578">
        <v>0</v>
      </c>
      <c r="Q6578">
        <v>3</v>
      </c>
      <c r="R6578" t="s">
        <v>40443</v>
      </c>
      <c r="S6578" t="s">
        <v>40644</v>
      </c>
      <c r="T6578" t="s">
        <v>42432</v>
      </c>
      <c r="U6578" t="s">
        <v>48147</v>
      </c>
      <c r="W6578" t="s">
        <v>37656</v>
      </c>
      <c r="X6578" t="s">
        <v>40444</v>
      </c>
    </row>
    <row r="6579" spans="1:24">
      <c r="A6579">
        <f>HYPERLINK("https://www.philgeps.gov.ph/GEPSNONPILOT/Tender/SplashBidNoticeAbstractUI.aspx?menuIndex=3&amp;refID=7043241&amp;Result=3","7043241")</f>
        <v>0</v>
      </c>
      <c r="B6579" t="s">
        <v>1477</v>
      </c>
      <c r="C6579" t="s">
        <v>9337</v>
      </c>
      <c r="D6579" t="s">
        <v>16197</v>
      </c>
      <c r="E6579" t="s">
        <v>22099</v>
      </c>
      <c r="F6579" t="s">
        <v>28198</v>
      </c>
      <c r="G6579" t="s">
        <v>28205</v>
      </c>
      <c r="H6579" t="s">
        <v>28215</v>
      </c>
      <c r="I6579" t="s">
        <v>4219</v>
      </c>
      <c r="J6579" t="s">
        <v>32473</v>
      </c>
      <c r="K6579" t="s">
        <v>36701</v>
      </c>
      <c r="M6579" t="s">
        <v>38548</v>
      </c>
      <c r="N6579" t="s">
        <v>40436</v>
      </c>
      <c r="O6579" t="s">
        <v>40437</v>
      </c>
      <c r="P6579">
        <v>0</v>
      </c>
      <c r="Q6579">
        <v>5</v>
      </c>
      <c r="R6579" t="s">
        <v>40443</v>
      </c>
      <c r="S6579" t="s">
        <v>40644</v>
      </c>
      <c r="T6579" t="s">
        <v>42131</v>
      </c>
      <c r="U6579" t="s">
        <v>48166</v>
      </c>
      <c r="W6579" t="s">
        <v>38548</v>
      </c>
      <c r="X6579" t="s">
        <v>40444</v>
      </c>
    </row>
    <row r="6580" spans="1:24">
      <c r="A6580">
        <f>HYPERLINK("https://www.philgeps.gov.ph/GEPSNONPILOT/Tender/SplashBidNoticeAbstractUI.aspx?menuIndex=3&amp;refID=7043206&amp;Result=3","7043206")</f>
        <v>0</v>
      </c>
      <c r="B6580" t="s">
        <v>915</v>
      </c>
      <c r="C6580" t="s">
        <v>9338</v>
      </c>
      <c r="D6580" t="s">
        <v>16209</v>
      </c>
      <c r="E6580" t="s">
        <v>22100</v>
      </c>
      <c r="F6580" t="s">
        <v>28198</v>
      </c>
      <c r="G6580" t="s">
        <v>28205</v>
      </c>
      <c r="H6580" t="s">
        <v>28215</v>
      </c>
      <c r="I6580" t="s">
        <v>5100</v>
      </c>
      <c r="J6580" t="s">
        <v>32474</v>
      </c>
      <c r="K6580" t="s">
        <v>36690</v>
      </c>
      <c r="M6580" t="s">
        <v>37934</v>
      </c>
      <c r="N6580" t="s">
        <v>40436</v>
      </c>
      <c r="O6580" t="s">
        <v>40437</v>
      </c>
      <c r="P6580">
        <v>0</v>
      </c>
      <c r="Q6580">
        <v>0</v>
      </c>
      <c r="R6580" t="s">
        <v>40443</v>
      </c>
      <c r="S6580" t="s">
        <v>40644</v>
      </c>
      <c r="T6580" t="s">
        <v>42138</v>
      </c>
      <c r="U6580" t="s">
        <v>48167</v>
      </c>
      <c r="W6580" t="s">
        <v>37934</v>
      </c>
      <c r="X6580" t="s">
        <v>40444</v>
      </c>
    </row>
    <row r="6581" spans="1:24">
      <c r="A6581">
        <f>HYPERLINK("https://www.philgeps.gov.ph/GEPSNONPILOT/Tender/SplashBidNoticeAbstractUI.aspx?menuIndex=3&amp;refID=7043263&amp;Result=3","7043263")</f>
        <v>0</v>
      </c>
      <c r="B6581" t="s">
        <v>925</v>
      </c>
      <c r="C6581" t="s">
        <v>9339</v>
      </c>
      <c r="D6581" t="s">
        <v>16198</v>
      </c>
      <c r="E6581" t="s">
        <v>22101</v>
      </c>
      <c r="F6581" t="s">
        <v>28198</v>
      </c>
      <c r="G6581" t="s">
        <v>28205</v>
      </c>
      <c r="H6581" t="s">
        <v>28214</v>
      </c>
      <c r="I6581" t="s">
        <v>3797</v>
      </c>
      <c r="J6581" t="s">
        <v>28350</v>
      </c>
      <c r="K6581" t="s">
        <v>36719</v>
      </c>
      <c r="M6581" t="s">
        <v>37944</v>
      </c>
      <c r="N6581" t="s">
        <v>40436</v>
      </c>
      <c r="O6581" t="s">
        <v>40437</v>
      </c>
      <c r="P6581">
        <v>0</v>
      </c>
      <c r="Q6581">
        <v>0</v>
      </c>
      <c r="R6581" t="s">
        <v>40443</v>
      </c>
      <c r="S6581" t="s">
        <v>40644</v>
      </c>
      <c r="T6581" t="s">
        <v>42158</v>
      </c>
      <c r="U6581" t="s">
        <v>48168</v>
      </c>
      <c r="W6581" t="s">
        <v>37944</v>
      </c>
      <c r="X6581" t="s">
        <v>40444</v>
      </c>
    </row>
    <row r="6582" spans="1:24">
      <c r="A6582">
        <f>HYPERLINK("https://www.philgeps.gov.ph/GEPSNONPILOT/Tender/SplashBidNoticeAbstractUI.aspx?menuIndex=3&amp;refID=7043262&amp;Result=3","7043262")</f>
        <v>0</v>
      </c>
      <c r="B6582" t="s">
        <v>1129</v>
      </c>
      <c r="C6582" t="s">
        <v>9340</v>
      </c>
      <c r="D6582" t="s">
        <v>16199</v>
      </c>
      <c r="E6582" t="s">
        <v>22102</v>
      </c>
      <c r="F6582" t="s">
        <v>28198</v>
      </c>
      <c r="G6582" t="s">
        <v>28205</v>
      </c>
      <c r="H6582" t="s">
        <v>28215</v>
      </c>
      <c r="I6582" t="s">
        <v>28234</v>
      </c>
      <c r="J6582" t="s">
        <v>28347</v>
      </c>
      <c r="K6582" t="s">
        <v>36707</v>
      </c>
      <c r="M6582" t="s">
        <v>38167</v>
      </c>
      <c r="N6582" t="s">
        <v>40436</v>
      </c>
      <c r="O6582" t="s">
        <v>40437</v>
      </c>
      <c r="P6582">
        <v>0</v>
      </c>
      <c r="Q6582">
        <v>2</v>
      </c>
      <c r="R6582" t="s">
        <v>40443</v>
      </c>
      <c r="S6582" t="s">
        <v>40644</v>
      </c>
      <c r="T6582" t="s">
        <v>42390</v>
      </c>
      <c r="U6582" t="s">
        <v>48169</v>
      </c>
      <c r="V6582" t="s">
        <v>54475</v>
      </c>
      <c r="W6582" t="s">
        <v>38167</v>
      </c>
      <c r="X6582" t="s">
        <v>40444</v>
      </c>
    </row>
    <row r="6583" spans="1:24">
      <c r="A6583">
        <f>HYPERLINK("https://www.philgeps.gov.ph/GEPSNONPILOT/Tender/SplashBidNoticeAbstractUI.aspx?menuIndex=3&amp;refID=7043260&amp;Result=3","7043260")</f>
        <v>0</v>
      </c>
      <c r="B6583" t="s">
        <v>1129</v>
      </c>
      <c r="C6583" t="s">
        <v>9341</v>
      </c>
      <c r="D6583" t="s">
        <v>16199</v>
      </c>
      <c r="E6583" t="s">
        <v>22103</v>
      </c>
      <c r="F6583" t="s">
        <v>28198</v>
      </c>
      <c r="G6583" t="s">
        <v>28205</v>
      </c>
      <c r="H6583" t="s">
        <v>28215</v>
      </c>
      <c r="I6583" t="s">
        <v>28257</v>
      </c>
      <c r="J6583" t="s">
        <v>28771</v>
      </c>
      <c r="K6583" t="s">
        <v>36707</v>
      </c>
      <c r="M6583" t="s">
        <v>38167</v>
      </c>
      <c r="N6583" t="s">
        <v>40436</v>
      </c>
      <c r="O6583" t="s">
        <v>40437</v>
      </c>
      <c r="P6583">
        <v>0</v>
      </c>
      <c r="Q6583">
        <v>9</v>
      </c>
      <c r="R6583" t="s">
        <v>40443</v>
      </c>
      <c r="S6583" t="s">
        <v>40644</v>
      </c>
      <c r="T6583" t="s">
        <v>42390</v>
      </c>
      <c r="U6583" t="s">
        <v>48170</v>
      </c>
      <c r="W6583" t="s">
        <v>38167</v>
      </c>
      <c r="X6583" t="s">
        <v>40444</v>
      </c>
    </row>
    <row r="6584" spans="1:24">
      <c r="A6584">
        <f>HYPERLINK("https://www.philgeps.gov.ph/GEPSNONPILOT/Tender/SplashBidNoticeAbstractUI.aspx?menuIndex=3&amp;refID=7043258&amp;Result=3","7043258")</f>
        <v>0</v>
      </c>
      <c r="B6584" t="s">
        <v>925</v>
      </c>
      <c r="C6584" t="s">
        <v>9342</v>
      </c>
      <c r="D6584" t="s">
        <v>16198</v>
      </c>
      <c r="E6584" t="s">
        <v>22104</v>
      </c>
      <c r="F6584" t="s">
        <v>28198</v>
      </c>
      <c r="G6584" t="s">
        <v>28205</v>
      </c>
      <c r="H6584" t="s">
        <v>28214</v>
      </c>
      <c r="I6584" t="s">
        <v>3797</v>
      </c>
      <c r="J6584" t="s">
        <v>28430</v>
      </c>
      <c r="K6584" t="s">
        <v>36688</v>
      </c>
      <c r="M6584" t="s">
        <v>37944</v>
      </c>
      <c r="N6584" t="s">
        <v>40436</v>
      </c>
      <c r="O6584" t="s">
        <v>40437</v>
      </c>
      <c r="P6584">
        <v>0</v>
      </c>
      <c r="Q6584">
        <v>0</v>
      </c>
      <c r="R6584" t="s">
        <v>40443</v>
      </c>
      <c r="S6584" t="s">
        <v>40644</v>
      </c>
      <c r="T6584" t="s">
        <v>42158</v>
      </c>
      <c r="U6584" t="s">
        <v>48171</v>
      </c>
      <c r="W6584" t="s">
        <v>37944</v>
      </c>
      <c r="X6584" t="s">
        <v>40444</v>
      </c>
    </row>
    <row r="6585" spans="1:24">
      <c r="A6585">
        <f>HYPERLINK("https://www.philgeps.gov.ph/GEPSNONPILOT/Tender/SplashBidNoticeAbstractUI.aspx?menuIndex=3&amp;refID=7043243&amp;Result=3","7043243")</f>
        <v>0</v>
      </c>
      <c r="B6585" t="s">
        <v>2103</v>
      </c>
      <c r="C6585" t="s">
        <v>9343</v>
      </c>
      <c r="D6585" t="s">
        <v>16187</v>
      </c>
      <c r="E6585" t="s">
        <v>22105</v>
      </c>
      <c r="F6585" t="s">
        <v>28198</v>
      </c>
      <c r="G6585" t="s">
        <v>28207</v>
      </c>
      <c r="H6585" t="s">
        <v>28215</v>
      </c>
      <c r="I6585" t="s">
        <v>5103</v>
      </c>
      <c r="J6585" t="s">
        <v>32475</v>
      </c>
      <c r="K6585" t="s">
        <v>36688</v>
      </c>
      <c r="M6585" t="s">
        <v>39254</v>
      </c>
      <c r="N6585" t="s">
        <v>40436</v>
      </c>
      <c r="O6585" t="s">
        <v>40437</v>
      </c>
      <c r="P6585">
        <v>0</v>
      </c>
      <c r="Q6585">
        <v>3</v>
      </c>
      <c r="R6585" t="s">
        <v>40443</v>
      </c>
      <c r="S6585" t="s">
        <v>40644</v>
      </c>
      <c r="T6585" t="s">
        <v>42185</v>
      </c>
      <c r="U6585" t="s">
        <v>48172</v>
      </c>
      <c r="W6585" t="s">
        <v>39254</v>
      </c>
      <c r="X6585" t="s">
        <v>40444</v>
      </c>
    </row>
    <row r="6586" spans="1:24">
      <c r="A6586">
        <f>HYPERLINK("https://www.philgeps.gov.ph/GEPSNONPILOT/Tender/SplashBidNoticeAbstractUI.aspx?menuIndex=3&amp;refID=7043266&amp;Result=3","7043266")</f>
        <v>0</v>
      </c>
      <c r="B6586" t="s">
        <v>925</v>
      </c>
      <c r="C6586" t="s">
        <v>9344</v>
      </c>
      <c r="D6586" t="s">
        <v>16198</v>
      </c>
      <c r="E6586" t="s">
        <v>22106</v>
      </c>
      <c r="F6586" t="s">
        <v>28198</v>
      </c>
      <c r="G6586" t="s">
        <v>28205</v>
      </c>
      <c r="H6586" t="s">
        <v>28214</v>
      </c>
      <c r="I6586" t="s">
        <v>3797</v>
      </c>
      <c r="J6586" t="s">
        <v>28589</v>
      </c>
      <c r="K6586" t="s">
        <v>36693</v>
      </c>
      <c r="M6586" t="s">
        <v>37944</v>
      </c>
      <c r="N6586" t="s">
        <v>40436</v>
      </c>
      <c r="O6586" t="s">
        <v>40437</v>
      </c>
      <c r="P6586">
        <v>0</v>
      </c>
      <c r="Q6586">
        <v>0</v>
      </c>
      <c r="R6586" t="s">
        <v>40443</v>
      </c>
      <c r="S6586" t="s">
        <v>40644</v>
      </c>
      <c r="T6586" t="s">
        <v>42158</v>
      </c>
      <c r="U6586" t="s">
        <v>48173</v>
      </c>
      <c r="W6586" t="s">
        <v>37944</v>
      </c>
      <c r="X6586" t="s">
        <v>40444</v>
      </c>
    </row>
    <row r="6587" spans="1:24">
      <c r="A6587">
        <f>HYPERLINK("https://www.philgeps.gov.ph/GEPSNONPILOT/Tender/SplashBidNoticeAbstractUI.aspx?menuIndex=3&amp;refID=7043244&amp;Result=3","7043244")</f>
        <v>0</v>
      </c>
      <c r="B6587" t="s">
        <v>1477</v>
      </c>
      <c r="C6587" t="s">
        <v>9345</v>
      </c>
      <c r="D6587" t="s">
        <v>16197</v>
      </c>
      <c r="E6587" t="s">
        <v>22107</v>
      </c>
      <c r="F6587" t="s">
        <v>28198</v>
      </c>
      <c r="G6587" t="s">
        <v>28207</v>
      </c>
      <c r="H6587" t="s">
        <v>28215</v>
      </c>
      <c r="I6587" t="s">
        <v>5100</v>
      </c>
      <c r="J6587" t="s">
        <v>32476</v>
      </c>
      <c r="K6587" t="s">
        <v>36701</v>
      </c>
      <c r="M6587" t="s">
        <v>38548</v>
      </c>
      <c r="N6587" t="s">
        <v>40436</v>
      </c>
      <c r="O6587" t="s">
        <v>40437</v>
      </c>
      <c r="P6587">
        <v>0</v>
      </c>
      <c r="Q6587">
        <v>0</v>
      </c>
      <c r="R6587" t="s">
        <v>40443</v>
      </c>
      <c r="S6587" t="s">
        <v>40644</v>
      </c>
      <c r="T6587" t="s">
        <v>42233</v>
      </c>
      <c r="U6587" t="s">
        <v>46063</v>
      </c>
      <c r="W6587" t="s">
        <v>38548</v>
      </c>
      <c r="X6587" t="s">
        <v>40444</v>
      </c>
    </row>
    <row r="6588" spans="1:24">
      <c r="A6588">
        <f>HYPERLINK("https://www.philgeps.gov.ph/GEPSNONPILOT/Tender/SplashBidNoticeAbstractUI.aspx?menuIndex=3&amp;refID=7043257&amp;Result=3","7043257")</f>
        <v>0</v>
      </c>
      <c r="B6588" t="s">
        <v>1129</v>
      </c>
      <c r="C6588" t="s">
        <v>9346</v>
      </c>
      <c r="D6588" t="s">
        <v>16199</v>
      </c>
      <c r="E6588" t="s">
        <v>22108</v>
      </c>
      <c r="F6588" t="s">
        <v>28198</v>
      </c>
      <c r="G6588" t="s">
        <v>28205</v>
      </c>
      <c r="H6588" t="s">
        <v>28215</v>
      </c>
      <c r="I6588" t="s">
        <v>28262</v>
      </c>
      <c r="J6588" t="s">
        <v>28699</v>
      </c>
      <c r="K6588" t="s">
        <v>36707</v>
      </c>
      <c r="M6588" t="s">
        <v>38167</v>
      </c>
      <c r="N6588" t="s">
        <v>40436</v>
      </c>
      <c r="O6588" t="s">
        <v>40437</v>
      </c>
      <c r="P6588">
        <v>0</v>
      </c>
      <c r="Q6588">
        <v>6</v>
      </c>
      <c r="R6588" t="s">
        <v>40443</v>
      </c>
      <c r="S6588" t="s">
        <v>40644</v>
      </c>
      <c r="T6588" t="s">
        <v>42390</v>
      </c>
      <c r="U6588" t="s">
        <v>48174</v>
      </c>
      <c r="W6588" t="s">
        <v>38167</v>
      </c>
      <c r="X6588" t="s">
        <v>40444</v>
      </c>
    </row>
    <row r="6589" spans="1:24">
      <c r="A6589">
        <f>HYPERLINK("https://www.philgeps.gov.ph/GEPSNONPILOT/Tender/SplashBidNoticeAbstractUI.aspx?menuIndex=3&amp;refID=7043261&amp;Result=3","7043261")</f>
        <v>0</v>
      </c>
      <c r="B6589" t="s">
        <v>2104</v>
      </c>
      <c r="C6589" t="s">
        <v>4494</v>
      </c>
      <c r="D6589" t="s">
        <v>16210</v>
      </c>
      <c r="E6589" t="s">
        <v>22109</v>
      </c>
      <c r="F6589" t="s">
        <v>28198</v>
      </c>
      <c r="G6589" t="s">
        <v>28205</v>
      </c>
      <c r="H6589" t="s">
        <v>28215</v>
      </c>
      <c r="I6589" t="s">
        <v>4200</v>
      </c>
      <c r="J6589" t="s">
        <v>32477</v>
      </c>
      <c r="K6589" t="s">
        <v>36706</v>
      </c>
      <c r="M6589" t="s">
        <v>39255</v>
      </c>
      <c r="N6589" t="s">
        <v>40436</v>
      </c>
      <c r="O6589" t="s">
        <v>40437</v>
      </c>
      <c r="P6589">
        <v>0</v>
      </c>
      <c r="Q6589">
        <v>5</v>
      </c>
      <c r="R6589" t="s">
        <v>40443</v>
      </c>
      <c r="S6589" t="s">
        <v>40644</v>
      </c>
      <c r="T6589" t="s">
        <v>42190</v>
      </c>
      <c r="U6589" t="s">
        <v>48175</v>
      </c>
      <c r="W6589" t="s">
        <v>39255</v>
      </c>
      <c r="X6589" t="s">
        <v>40444</v>
      </c>
    </row>
    <row r="6590" spans="1:24">
      <c r="A6590">
        <f>HYPERLINK("https://www.philgeps.gov.ph/GEPSNONPILOT/Tender/SplashBidNoticeAbstractUI.aspx?menuIndex=3&amp;refID=7043249&amp;Result=3","7043249")</f>
        <v>0</v>
      </c>
      <c r="B6590" t="s">
        <v>1462</v>
      </c>
      <c r="C6590" t="s">
        <v>9347</v>
      </c>
      <c r="D6590" t="s">
        <v>16210</v>
      </c>
      <c r="E6590" t="s">
        <v>22110</v>
      </c>
      <c r="F6590" t="s">
        <v>28198</v>
      </c>
      <c r="G6590" t="s">
        <v>28205</v>
      </c>
      <c r="H6590" t="s">
        <v>28215</v>
      </c>
      <c r="I6590" t="s">
        <v>28244</v>
      </c>
      <c r="J6590" t="s">
        <v>32478</v>
      </c>
      <c r="K6590" t="s">
        <v>36849</v>
      </c>
      <c r="M6590" t="s">
        <v>39256</v>
      </c>
      <c r="N6590" t="s">
        <v>40436</v>
      </c>
      <c r="O6590" t="s">
        <v>40437</v>
      </c>
      <c r="P6590">
        <v>0</v>
      </c>
      <c r="Q6590">
        <v>12</v>
      </c>
      <c r="R6590" t="s">
        <v>40443</v>
      </c>
      <c r="S6590" t="s">
        <v>40644</v>
      </c>
      <c r="T6590" t="s">
        <v>42109</v>
      </c>
      <c r="U6590" t="s">
        <v>48176</v>
      </c>
      <c r="W6590" t="s">
        <v>39256</v>
      </c>
      <c r="X6590" t="s">
        <v>40444</v>
      </c>
    </row>
    <row r="6591" spans="1:24">
      <c r="A6591">
        <f>HYPERLINK("https://www.philgeps.gov.ph/GEPSNONPILOT/Tender/SplashBidNoticeAbstractUI.aspx?menuIndex=3&amp;refID=7043274&amp;Result=3","7043274")</f>
        <v>0</v>
      </c>
      <c r="B6591" t="s">
        <v>925</v>
      </c>
      <c r="C6591" t="s">
        <v>9348</v>
      </c>
      <c r="D6591" t="s">
        <v>16198</v>
      </c>
      <c r="E6591" t="s">
        <v>22111</v>
      </c>
      <c r="F6591" t="s">
        <v>28198</v>
      </c>
      <c r="G6591" t="s">
        <v>28205</v>
      </c>
      <c r="H6591" t="s">
        <v>28214</v>
      </c>
      <c r="I6591" t="s">
        <v>3797</v>
      </c>
      <c r="J6591" t="s">
        <v>28393</v>
      </c>
      <c r="K6591" t="s">
        <v>36707</v>
      </c>
      <c r="M6591" t="s">
        <v>37944</v>
      </c>
      <c r="N6591" t="s">
        <v>40436</v>
      </c>
      <c r="O6591" t="s">
        <v>40437</v>
      </c>
      <c r="P6591">
        <v>0</v>
      </c>
      <c r="Q6591">
        <v>0</v>
      </c>
      <c r="R6591" t="s">
        <v>40443</v>
      </c>
      <c r="S6591" t="s">
        <v>40644</v>
      </c>
      <c r="T6591" t="s">
        <v>42158</v>
      </c>
      <c r="U6591" t="s">
        <v>48177</v>
      </c>
      <c r="W6591" t="s">
        <v>37944</v>
      </c>
      <c r="X6591" t="s">
        <v>40444</v>
      </c>
    </row>
    <row r="6592" spans="1:24">
      <c r="A6592">
        <f>HYPERLINK("https://www.philgeps.gov.ph/GEPSNONPILOT/Tender/SplashBidNoticeAbstractUI.aspx?menuIndex=3&amp;refID=7043256&amp;Result=3","7043256")</f>
        <v>0</v>
      </c>
      <c r="B6592" t="s">
        <v>1477</v>
      </c>
      <c r="C6592" t="s">
        <v>9349</v>
      </c>
      <c r="D6592" t="s">
        <v>16197</v>
      </c>
      <c r="E6592" t="s">
        <v>22112</v>
      </c>
      <c r="F6592" t="s">
        <v>28198</v>
      </c>
      <c r="G6592" t="s">
        <v>28210</v>
      </c>
      <c r="H6592" t="s">
        <v>28215</v>
      </c>
      <c r="I6592" t="s">
        <v>28228</v>
      </c>
      <c r="J6592" t="s">
        <v>29190</v>
      </c>
      <c r="K6592" t="s">
        <v>36701</v>
      </c>
      <c r="M6592" t="s">
        <v>38548</v>
      </c>
      <c r="N6592" t="s">
        <v>40436</v>
      </c>
      <c r="O6592" t="s">
        <v>40437</v>
      </c>
      <c r="P6592">
        <v>0</v>
      </c>
      <c r="Q6592">
        <v>0</v>
      </c>
      <c r="R6592" t="s">
        <v>40443</v>
      </c>
      <c r="S6592" t="s">
        <v>40644</v>
      </c>
      <c r="T6592" t="s">
        <v>42233</v>
      </c>
      <c r="U6592" t="s">
        <v>46063</v>
      </c>
      <c r="W6592" t="s">
        <v>38548</v>
      </c>
      <c r="X6592" t="s">
        <v>40444</v>
      </c>
    </row>
    <row r="6593" spans="1:24">
      <c r="A6593">
        <f>HYPERLINK("https://www.philgeps.gov.ph/GEPSNONPILOT/Tender/SplashBidNoticeAbstractUI.aspx?menuIndex=3&amp;refID=7043250&amp;Result=3","7043250")</f>
        <v>0</v>
      </c>
      <c r="B6593" t="s">
        <v>1477</v>
      </c>
      <c r="C6593" t="s">
        <v>9350</v>
      </c>
      <c r="D6593" t="s">
        <v>16197</v>
      </c>
      <c r="E6593" t="s">
        <v>22113</v>
      </c>
      <c r="F6593" t="s">
        <v>28198</v>
      </c>
      <c r="G6593" t="s">
        <v>28210</v>
      </c>
      <c r="H6593" t="s">
        <v>28215</v>
      </c>
      <c r="I6593" t="s">
        <v>3774</v>
      </c>
      <c r="J6593" t="s">
        <v>32479</v>
      </c>
      <c r="K6593" t="s">
        <v>36701</v>
      </c>
      <c r="M6593" t="s">
        <v>38548</v>
      </c>
      <c r="N6593" t="s">
        <v>40436</v>
      </c>
      <c r="O6593" t="s">
        <v>40437</v>
      </c>
      <c r="P6593">
        <v>0</v>
      </c>
      <c r="Q6593">
        <v>0</v>
      </c>
      <c r="R6593" t="s">
        <v>40443</v>
      </c>
      <c r="S6593" t="s">
        <v>40644</v>
      </c>
      <c r="T6593" t="s">
        <v>42233</v>
      </c>
      <c r="U6593" t="s">
        <v>48178</v>
      </c>
      <c r="W6593" t="s">
        <v>38548</v>
      </c>
      <c r="X6593" t="s">
        <v>40444</v>
      </c>
    </row>
    <row r="6594" spans="1:24">
      <c r="A6594">
        <f>HYPERLINK("https://www.philgeps.gov.ph/GEPSNONPILOT/Tender/SplashBidNoticeAbstractUI.aspx?menuIndex=3&amp;refID=7043270&amp;Result=3","7043270")</f>
        <v>0</v>
      </c>
      <c r="B6594" t="s">
        <v>2105</v>
      </c>
      <c r="C6594" t="s">
        <v>9351</v>
      </c>
      <c r="D6594" t="s">
        <v>16217</v>
      </c>
      <c r="E6594" t="s">
        <v>22114</v>
      </c>
      <c r="F6594" t="s">
        <v>28198</v>
      </c>
      <c r="G6594" t="s">
        <v>28205</v>
      </c>
      <c r="H6594" t="s">
        <v>28214</v>
      </c>
      <c r="I6594" t="s">
        <v>3797</v>
      </c>
      <c r="J6594" t="s">
        <v>32480</v>
      </c>
      <c r="K6594" t="s">
        <v>36697</v>
      </c>
      <c r="L6594" t="s">
        <v>2105</v>
      </c>
      <c r="M6594" t="s">
        <v>39257</v>
      </c>
      <c r="N6594" t="s">
        <v>40436</v>
      </c>
      <c r="O6594" t="s">
        <v>40437</v>
      </c>
      <c r="P6594">
        <v>0</v>
      </c>
      <c r="Q6594">
        <v>1</v>
      </c>
      <c r="R6594" t="s">
        <v>40443</v>
      </c>
      <c r="S6594" t="s">
        <v>40644</v>
      </c>
      <c r="T6594" t="s">
        <v>42390</v>
      </c>
      <c r="U6594" t="s">
        <v>48179</v>
      </c>
      <c r="W6594" t="s">
        <v>39257</v>
      </c>
      <c r="X6594" t="s">
        <v>40444</v>
      </c>
    </row>
    <row r="6595" spans="1:24">
      <c r="A6595">
        <f>HYPERLINK("https://www.philgeps.gov.ph/GEPSNONPILOT/Tender/SplashBidNoticeAbstractUI.aspx?menuIndex=3&amp;refID=7043252&amp;Result=3","7043252")</f>
        <v>0</v>
      </c>
      <c r="B6595" t="s">
        <v>2096</v>
      </c>
      <c r="C6595" t="s">
        <v>4494</v>
      </c>
      <c r="D6595" t="s">
        <v>16210</v>
      </c>
      <c r="E6595" t="s">
        <v>22115</v>
      </c>
      <c r="F6595" t="s">
        <v>28198</v>
      </c>
      <c r="G6595" t="s">
        <v>28205</v>
      </c>
      <c r="H6595" t="s">
        <v>28215</v>
      </c>
      <c r="I6595" t="s">
        <v>4200</v>
      </c>
      <c r="J6595" t="s">
        <v>32481</v>
      </c>
      <c r="K6595" t="s">
        <v>36706</v>
      </c>
      <c r="M6595" t="s">
        <v>39246</v>
      </c>
      <c r="N6595" t="s">
        <v>40436</v>
      </c>
      <c r="O6595" t="s">
        <v>40437</v>
      </c>
      <c r="P6595">
        <v>0</v>
      </c>
      <c r="Q6595">
        <v>0</v>
      </c>
      <c r="R6595" t="s">
        <v>40443</v>
      </c>
      <c r="S6595" t="s">
        <v>40644</v>
      </c>
      <c r="T6595" t="s">
        <v>42218</v>
      </c>
      <c r="U6595" t="s">
        <v>48180</v>
      </c>
      <c r="W6595" t="s">
        <v>39246</v>
      </c>
      <c r="X6595" t="s">
        <v>40444</v>
      </c>
    </row>
    <row r="6596" spans="1:24">
      <c r="A6596">
        <f>HYPERLINK("https://www.philgeps.gov.ph/GEPSNONPILOT/Tender/SplashBidNoticeAbstractUI.aspx?menuIndex=3&amp;refID=7043247&amp;Result=3","7043247")</f>
        <v>0</v>
      </c>
      <c r="B6596" t="s">
        <v>2054</v>
      </c>
      <c r="C6596" t="s">
        <v>9352</v>
      </c>
      <c r="D6596" t="s">
        <v>16210</v>
      </c>
      <c r="E6596" t="s">
        <v>22116</v>
      </c>
      <c r="F6596" t="s">
        <v>28198</v>
      </c>
      <c r="G6596" t="s">
        <v>28207</v>
      </c>
      <c r="H6596" t="s">
        <v>28215</v>
      </c>
      <c r="I6596" t="s">
        <v>28238</v>
      </c>
      <c r="J6596" t="s">
        <v>28430</v>
      </c>
      <c r="K6596" t="s">
        <v>36715</v>
      </c>
      <c r="M6596" t="s">
        <v>39200</v>
      </c>
      <c r="N6596" t="s">
        <v>40436</v>
      </c>
      <c r="O6596" t="s">
        <v>40437</v>
      </c>
      <c r="P6596">
        <v>0</v>
      </c>
      <c r="Q6596">
        <v>5</v>
      </c>
      <c r="R6596" t="s">
        <v>40443</v>
      </c>
      <c r="S6596" t="s">
        <v>40644</v>
      </c>
      <c r="T6596" t="s">
        <v>42277</v>
      </c>
      <c r="U6596" t="s">
        <v>48181</v>
      </c>
      <c r="V6596" t="s">
        <v>54455</v>
      </c>
      <c r="W6596" t="s">
        <v>39200</v>
      </c>
      <c r="X6596" t="s">
        <v>40444</v>
      </c>
    </row>
    <row r="6597" spans="1:24">
      <c r="A6597">
        <f>HYPERLINK("https://www.philgeps.gov.ph/GEPSNONPILOT/Tender/SplashBidNoticeAbstractUI.aspx?menuIndex=3&amp;refID=7043272&amp;Result=3","7043272")</f>
        <v>0</v>
      </c>
      <c r="B6597" t="s">
        <v>925</v>
      </c>
      <c r="C6597" t="s">
        <v>9353</v>
      </c>
      <c r="D6597" t="s">
        <v>16198</v>
      </c>
      <c r="E6597" t="s">
        <v>22117</v>
      </c>
      <c r="F6597" t="s">
        <v>28198</v>
      </c>
      <c r="G6597" t="s">
        <v>28205</v>
      </c>
      <c r="H6597" t="s">
        <v>28214</v>
      </c>
      <c r="I6597" t="s">
        <v>3797</v>
      </c>
      <c r="J6597" t="s">
        <v>32482</v>
      </c>
      <c r="K6597" t="s">
        <v>36699</v>
      </c>
      <c r="M6597" t="s">
        <v>37944</v>
      </c>
      <c r="N6597" t="s">
        <v>40436</v>
      </c>
      <c r="O6597" t="s">
        <v>40437</v>
      </c>
      <c r="P6597">
        <v>0</v>
      </c>
      <c r="Q6597">
        <v>0</v>
      </c>
      <c r="R6597" t="s">
        <v>40443</v>
      </c>
      <c r="S6597" t="s">
        <v>40644</v>
      </c>
      <c r="T6597" t="s">
        <v>42158</v>
      </c>
      <c r="U6597" t="s">
        <v>48182</v>
      </c>
      <c r="W6597" t="s">
        <v>37944</v>
      </c>
      <c r="X6597" t="s">
        <v>40444</v>
      </c>
    </row>
    <row r="6598" spans="1:24">
      <c r="A6598">
        <f>HYPERLINK("https://www.philgeps.gov.ph/GEPSNONPILOT/Tender/SplashBidNoticeAbstractUI.aspx?menuIndex=3&amp;refID=7043276&amp;Result=3","7043276")</f>
        <v>0</v>
      </c>
      <c r="B6598" t="s">
        <v>901</v>
      </c>
      <c r="C6598" t="s">
        <v>9354</v>
      </c>
      <c r="D6598" t="s">
        <v>16213</v>
      </c>
      <c r="E6598" t="s">
        <v>22118</v>
      </c>
      <c r="F6598" t="s">
        <v>28198</v>
      </c>
      <c r="G6598" t="s">
        <v>28206</v>
      </c>
      <c r="H6598" t="s">
        <v>28215</v>
      </c>
      <c r="I6598" t="s">
        <v>28265</v>
      </c>
      <c r="J6598" t="s">
        <v>28378</v>
      </c>
      <c r="K6598" t="s">
        <v>36688</v>
      </c>
      <c r="M6598" t="s">
        <v>37919</v>
      </c>
      <c r="N6598" t="s">
        <v>40436</v>
      </c>
      <c r="O6598" t="s">
        <v>40437</v>
      </c>
      <c r="P6598">
        <v>0</v>
      </c>
      <c r="Q6598">
        <v>0</v>
      </c>
      <c r="R6598" t="s">
        <v>40443</v>
      </c>
      <c r="S6598" t="s">
        <v>40644</v>
      </c>
      <c r="T6598" t="s">
        <v>42233</v>
      </c>
      <c r="U6598" t="s">
        <v>48183</v>
      </c>
      <c r="V6598" t="s">
        <v>54009</v>
      </c>
      <c r="W6598" t="s">
        <v>37919</v>
      </c>
      <c r="X6598" t="s">
        <v>40444</v>
      </c>
    </row>
    <row r="6599" spans="1:24">
      <c r="A6599">
        <f>HYPERLINK("https://www.philgeps.gov.ph/GEPSNONPILOT/Tender/SplashBidNoticeAbstractUI.aspx?menuIndex=3&amp;refID=7043267&amp;Result=3","7043267")</f>
        <v>0</v>
      </c>
      <c r="B6599" t="s">
        <v>2054</v>
      </c>
      <c r="C6599" t="s">
        <v>9355</v>
      </c>
      <c r="D6599" t="s">
        <v>16210</v>
      </c>
      <c r="E6599" t="s">
        <v>22119</v>
      </c>
      <c r="F6599" t="s">
        <v>28198</v>
      </c>
      <c r="G6599" t="s">
        <v>28207</v>
      </c>
      <c r="H6599" t="s">
        <v>28215</v>
      </c>
      <c r="I6599" t="s">
        <v>28234</v>
      </c>
      <c r="J6599" t="s">
        <v>28364</v>
      </c>
      <c r="K6599" t="s">
        <v>36701</v>
      </c>
      <c r="M6599" t="s">
        <v>39200</v>
      </c>
      <c r="N6599" t="s">
        <v>40436</v>
      </c>
      <c r="O6599" t="s">
        <v>40437</v>
      </c>
      <c r="P6599">
        <v>0</v>
      </c>
      <c r="Q6599">
        <v>2</v>
      </c>
      <c r="R6599" t="s">
        <v>40443</v>
      </c>
      <c r="S6599" t="s">
        <v>40644</v>
      </c>
      <c r="T6599" t="s">
        <v>42277</v>
      </c>
      <c r="U6599" t="s">
        <v>48184</v>
      </c>
      <c r="V6599" t="s">
        <v>54450</v>
      </c>
      <c r="W6599" t="s">
        <v>39200</v>
      </c>
      <c r="X6599" t="s">
        <v>40444</v>
      </c>
    </row>
    <row r="6600" spans="1:24">
      <c r="A6600">
        <f>HYPERLINK("https://www.philgeps.gov.ph/GEPSNONPILOT/Tender/SplashBidNoticeAbstractUI.aspx?menuIndex=3&amp;refID=7043273&amp;Result=3","7043273")</f>
        <v>0</v>
      </c>
      <c r="B6600" t="s">
        <v>2105</v>
      </c>
      <c r="C6600" t="s">
        <v>9356</v>
      </c>
      <c r="D6600" t="s">
        <v>16217</v>
      </c>
      <c r="E6600" t="s">
        <v>22120</v>
      </c>
      <c r="F6600" t="s">
        <v>28198</v>
      </c>
      <c r="G6600" t="s">
        <v>28205</v>
      </c>
      <c r="H6600" t="s">
        <v>28214</v>
      </c>
      <c r="I6600" t="s">
        <v>3797</v>
      </c>
      <c r="J6600" t="s">
        <v>32323</v>
      </c>
      <c r="K6600" t="s">
        <v>36717</v>
      </c>
      <c r="L6600" t="s">
        <v>2105</v>
      </c>
      <c r="M6600" t="s">
        <v>39257</v>
      </c>
      <c r="N6600" t="s">
        <v>40436</v>
      </c>
      <c r="O6600" t="s">
        <v>40437</v>
      </c>
      <c r="P6600">
        <v>0</v>
      </c>
      <c r="Q6600">
        <v>2</v>
      </c>
      <c r="R6600" t="s">
        <v>40443</v>
      </c>
      <c r="S6600" t="s">
        <v>40644</v>
      </c>
      <c r="T6600" t="s">
        <v>42390</v>
      </c>
      <c r="U6600" t="s">
        <v>48185</v>
      </c>
      <c r="W6600" t="s">
        <v>39257</v>
      </c>
      <c r="X6600" t="s">
        <v>40444</v>
      </c>
    </row>
    <row r="6601" spans="1:24">
      <c r="A6601">
        <f>HYPERLINK("https://www.philgeps.gov.ph/GEPSNONPILOT/Tender/SplashBidNoticeAbstractUI.aspx?menuIndex=3&amp;refID=7043298&amp;Result=3","7043298")</f>
        <v>0</v>
      </c>
      <c r="B6601" t="s">
        <v>1354</v>
      </c>
      <c r="C6601" t="s">
        <v>9357</v>
      </c>
      <c r="D6601" t="s">
        <v>16238</v>
      </c>
      <c r="E6601" t="s">
        <v>22121</v>
      </c>
      <c r="F6601" t="s">
        <v>28198</v>
      </c>
      <c r="G6601" t="s">
        <v>28205</v>
      </c>
      <c r="H6601" t="s">
        <v>28214</v>
      </c>
      <c r="I6601" t="s">
        <v>3797</v>
      </c>
      <c r="J6601" t="s">
        <v>32483</v>
      </c>
      <c r="K6601" t="s">
        <v>36697</v>
      </c>
      <c r="M6601" t="s">
        <v>39258</v>
      </c>
      <c r="N6601" t="s">
        <v>40436</v>
      </c>
      <c r="O6601" t="s">
        <v>40437</v>
      </c>
      <c r="P6601">
        <v>0</v>
      </c>
      <c r="Q6601">
        <v>1</v>
      </c>
      <c r="R6601" t="s">
        <v>40443</v>
      </c>
      <c r="S6601" t="s">
        <v>40644</v>
      </c>
      <c r="T6601" t="s">
        <v>42192</v>
      </c>
      <c r="U6601" t="s">
        <v>48186</v>
      </c>
      <c r="W6601" t="s">
        <v>39258</v>
      </c>
      <c r="X6601" t="s">
        <v>40444</v>
      </c>
    </row>
    <row r="6602" spans="1:24">
      <c r="A6602">
        <f>HYPERLINK("https://www.philgeps.gov.ph/GEPSNONPILOT/Tender/SplashBidNoticeAbstractUI.aspx?menuIndex=3&amp;refID=7043295&amp;Result=3","7043295")</f>
        <v>0</v>
      </c>
      <c r="B6602" t="s">
        <v>2105</v>
      </c>
      <c r="C6602" t="s">
        <v>9358</v>
      </c>
      <c r="D6602" t="s">
        <v>16217</v>
      </c>
      <c r="E6602" t="s">
        <v>22122</v>
      </c>
      <c r="F6602" t="s">
        <v>28198</v>
      </c>
      <c r="G6602" t="s">
        <v>28205</v>
      </c>
      <c r="H6602" t="s">
        <v>28215</v>
      </c>
      <c r="I6602" t="s">
        <v>28236</v>
      </c>
      <c r="J6602" t="s">
        <v>32484</v>
      </c>
      <c r="K6602" t="s">
        <v>36791</v>
      </c>
      <c r="L6602" t="s">
        <v>2105</v>
      </c>
      <c r="M6602" t="s">
        <v>39257</v>
      </c>
      <c r="N6602" t="s">
        <v>40436</v>
      </c>
      <c r="O6602" t="s">
        <v>40437</v>
      </c>
      <c r="P6602">
        <v>0</v>
      </c>
      <c r="Q6602">
        <v>0</v>
      </c>
      <c r="R6602" t="s">
        <v>40443</v>
      </c>
      <c r="S6602" t="s">
        <v>40644</v>
      </c>
      <c r="T6602" t="s">
        <v>42158</v>
      </c>
      <c r="U6602" t="s">
        <v>48187</v>
      </c>
      <c r="W6602" t="s">
        <v>39257</v>
      </c>
      <c r="X6602" t="s">
        <v>40444</v>
      </c>
    </row>
    <row r="6603" spans="1:24">
      <c r="A6603">
        <f>HYPERLINK("https://www.philgeps.gov.ph/GEPSNONPILOT/Tender/SplashBidNoticeAbstractUI.aspx?menuIndex=3&amp;refID=7043278&amp;Result=3","7043278")</f>
        <v>0</v>
      </c>
      <c r="B6603" t="s">
        <v>2105</v>
      </c>
      <c r="C6603" t="s">
        <v>9359</v>
      </c>
      <c r="D6603" t="s">
        <v>16217</v>
      </c>
      <c r="E6603" t="s">
        <v>22123</v>
      </c>
      <c r="F6603" t="s">
        <v>28198</v>
      </c>
      <c r="G6603" t="s">
        <v>28205</v>
      </c>
      <c r="H6603" t="s">
        <v>28214</v>
      </c>
      <c r="I6603" t="s">
        <v>3797</v>
      </c>
      <c r="J6603" t="s">
        <v>31934</v>
      </c>
      <c r="K6603" t="s">
        <v>36850</v>
      </c>
      <c r="L6603" t="s">
        <v>2105</v>
      </c>
      <c r="M6603" t="s">
        <v>39257</v>
      </c>
      <c r="N6603" t="s">
        <v>40436</v>
      </c>
      <c r="O6603" t="s">
        <v>40437</v>
      </c>
      <c r="P6603">
        <v>0</v>
      </c>
      <c r="Q6603">
        <v>0</v>
      </c>
      <c r="R6603" t="s">
        <v>40443</v>
      </c>
      <c r="S6603" t="s">
        <v>40644</v>
      </c>
      <c r="T6603" t="s">
        <v>42390</v>
      </c>
      <c r="U6603" t="s">
        <v>48188</v>
      </c>
      <c r="W6603" t="s">
        <v>39257</v>
      </c>
      <c r="X6603" t="s">
        <v>40444</v>
      </c>
    </row>
    <row r="6604" spans="1:24">
      <c r="A6604">
        <f>HYPERLINK("https://www.philgeps.gov.ph/GEPSNONPILOT/Tender/SplashBidNoticeAbstractUI.aspx?menuIndex=3&amp;refID=7043277&amp;Result=3","7043277")</f>
        <v>0</v>
      </c>
      <c r="B6604" t="s">
        <v>2105</v>
      </c>
      <c r="C6604" t="s">
        <v>9360</v>
      </c>
      <c r="D6604" t="s">
        <v>16217</v>
      </c>
      <c r="E6604" t="s">
        <v>22124</v>
      </c>
      <c r="F6604" t="s">
        <v>28198</v>
      </c>
      <c r="G6604" t="s">
        <v>28205</v>
      </c>
      <c r="H6604" t="s">
        <v>28214</v>
      </c>
      <c r="I6604" t="s">
        <v>3797</v>
      </c>
      <c r="J6604" t="s">
        <v>29566</v>
      </c>
      <c r="K6604" t="s">
        <v>36697</v>
      </c>
      <c r="L6604" t="s">
        <v>2105</v>
      </c>
      <c r="M6604" t="s">
        <v>39257</v>
      </c>
      <c r="N6604" t="s">
        <v>40436</v>
      </c>
      <c r="O6604" t="s">
        <v>40437</v>
      </c>
      <c r="P6604">
        <v>0</v>
      </c>
      <c r="Q6604">
        <v>2</v>
      </c>
      <c r="R6604" t="s">
        <v>40443</v>
      </c>
      <c r="S6604" t="s">
        <v>40644</v>
      </c>
      <c r="T6604" t="s">
        <v>42390</v>
      </c>
      <c r="U6604" t="s">
        <v>48189</v>
      </c>
      <c r="W6604" t="s">
        <v>39257</v>
      </c>
      <c r="X6604" t="s">
        <v>40444</v>
      </c>
    </row>
    <row r="6605" spans="1:24">
      <c r="A6605">
        <f>HYPERLINK("https://www.philgeps.gov.ph/GEPSNONPILOT/Tender/SplashBidNoticeAbstractUI.aspx?menuIndex=3&amp;refID=7043293&amp;Result=3","7043293")</f>
        <v>0</v>
      </c>
      <c r="B6605" t="s">
        <v>2106</v>
      </c>
      <c r="C6605" t="s">
        <v>9361</v>
      </c>
      <c r="D6605" t="s">
        <v>16203</v>
      </c>
      <c r="E6605" t="s">
        <v>22125</v>
      </c>
      <c r="F6605" t="s">
        <v>28198</v>
      </c>
      <c r="G6605" t="s">
        <v>28205</v>
      </c>
      <c r="H6605" t="s">
        <v>28214</v>
      </c>
      <c r="I6605" t="s">
        <v>3797</v>
      </c>
      <c r="J6605" t="s">
        <v>32485</v>
      </c>
      <c r="K6605" t="s">
        <v>36735</v>
      </c>
      <c r="M6605" t="s">
        <v>39259</v>
      </c>
      <c r="N6605" t="s">
        <v>40436</v>
      </c>
      <c r="O6605" t="s">
        <v>40437</v>
      </c>
      <c r="P6605">
        <v>0</v>
      </c>
      <c r="Q6605">
        <v>0</v>
      </c>
      <c r="R6605" t="s">
        <v>40443</v>
      </c>
      <c r="S6605" t="s">
        <v>40644</v>
      </c>
      <c r="T6605" t="s">
        <v>42108</v>
      </c>
      <c r="U6605" t="s">
        <v>48190</v>
      </c>
      <c r="W6605" t="s">
        <v>39259</v>
      </c>
      <c r="X6605" t="s">
        <v>40444</v>
      </c>
    </row>
    <row r="6606" spans="1:24">
      <c r="A6606">
        <f>HYPERLINK("https://www.philgeps.gov.ph/GEPSNONPILOT/Tender/SplashBidNoticeAbstractUI.aspx?menuIndex=3&amp;refID=7043292&amp;Result=3","7043292")</f>
        <v>0</v>
      </c>
      <c r="B6606" t="s">
        <v>2105</v>
      </c>
      <c r="C6606" t="s">
        <v>9362</v>
      </c>
      <c r="D6606" t="s">
        <v>16217</v>
      </c>
      <c r="E6606" t="s">
        <v>22126</v>
      </c>
      <c r="F6606" t="s">
        <v>28198</v>
      </c>
      <c r="G6606" t="s">
        <v>28205</v>
      </c>
      <c r="H6606" t="s">
        <v>28215</v>
      </c>
      <c r="I6606" t="s">
        <v>28236</v>
      </c>
      <c r="J6606" t="s">
        <v>32484</v>
      </c>
      <c r="K6606" t="s">
        <v>36791</v>
      </c>
      <c r="L6606" t="s">
        <v>2105</v>
      </c>
      <c r="M6606" t="s">
        <v>39257</v>
      </c>
      <c r="N6606" t="s">
        <v>40436</v>
      </c>
      <c r="O6606" t="s">
        <v>40437</v>
      </c>
      <c r="P6606">
        <v>0</v>
      </c>
      <c r="Q6606">
        <v>1</v>
      </c>
      <c r="R6606" t="s">
        <v>40443</v>
      </c>
      <c r="S6606" t="s">
        <v>40644</v>
      </c>
      <c r="T6606" t="s">
        <v>42158</v>
      </c>
      <c r="U6606" t="s">
        <v>48191</v>
      </c>
      <c r="W6606" t="s">
        <v>39257</v>
      </c>
      <c r="X6606" t="s">
        <v>40444</v>
      </c>
    </row>
    <row r="6607" spans="1:24">
      <c r="A6607">
        <f>HYPERLINK("https://www.philgeps.gov.ph/GEPSNONPILOT/Tender/SplashBidNoticeAbstractUI.aspx?menuIndex=3&amp;refID=7043294&amp;Result=3","7043294")</f>
        <v>0</v>
      </c>
      <c r="B6607" t="s">
        <v>2105</v>
      </c>
      <c r="C6607" t="s">
        <v>9363</v>
      </c>
      <c r="D6607" t="s">
        <v>16217</v>
      </c>
      <c r="E6607" t="s">
        <v>22127</v>
      </c>
      <c r="F6607" t="s">
        <v>28198</v>
      </c>
      <c r="G6607" t="s">
        <v>28205</v>
      </c>
      <c r="H6607" t="s">
        <v>28215</v>
      </c>
      <c r="I6607" t="s">
        <v>28236</v>
      </c>
      <c r="J6607" t="s">
        <v>32486</v>
      </c>
      <c r="K6607" t="s">
        <v>36791</v>
      </c>
      <c r="L6607" t="s">
        <v>2105</v>
      </c>
      <c r="M6607" t="s">
        <v>39257</v>
      </c>
      <c r="N6607" t="s">
        <v>40436</v>
      </c>
      <c r="O6607" t="s">
        <v>40437</v>
      </c>
      <c r="P6607">
        <v>0</v>
      </c>
      <c r="Q6607">
        <v>1</v>
      </c>
      <c r="R6607" t="s">
        <v>40443</v>
      </c>
      <c r="S6607" t="s">
        <v>40644</v>
      </c>
      <c r="T6607" t="s">
        <v>42158</v>
      </c>
      <c r="U6607" t="s">
        <v>48192</v>
      </c>
      <c r="W6607" t="s">
        <v>39257</v>
      </c>
      <c r="X6607" t="s">
        <v>40444</v>
      </c>
    </row>
    <row r="6608" spans="1:24">
      <c r="A6608">
        <f>HYPERLINK("https://www.philgeps.gov.ph/GEPSNONPILOT/Tender/SplashBidNoticeAbstractUI.aspx?menuIndex=3&amp;refID=7043285&amp;Result=3","7043285")</f>
        <v>0</v>
      </c>
      <c r="B6608" t="s">
        <v>1109</v>
      </c>
      <c r="C6608" t="s">
        <v>9364</v>
      </c>
      <c r="D6608" t="s">
        <v>16191</v>
      </c>
      <c r="E6608" t="s">
        <v>19001</v>
      </c>
      <c r="F6608" t="s">
        <v>28198</v>
      </c>
      <c r="G6608" t="s">
        <v>28205</v>
      </c>
      <c r="H6608" t="s">
        <v>28215</v>
      </c>
      <c r="I6608" t="s">
        <v>28332</v>
      </c>
      <c r="J6608" t="s">
        <v>32487</v>
      </c>
      <c r="K6608" t="s">
        <v>36701</v>
      </c>
      <c r="M6608" t="s">
        <v>39260</v>
      </c>
      <c r="N6608" t="s">
        <v>40436</v>
      </c>
      <c r="O6608" t="s">
        <v>40437</v>
      </c>
      <c r="Q6608">
        <v>6</v>
      </c>
      <c r="R6608" t="s">
        <v>40443</v>
      </c>
      <c r="S6608" t="s">
        <v>40674</v>
      </c>
      <c r="T6608" t="s">
        <v>42427</v>
      </c>
      <c r="U6608" t="s">
        <v>48193</v>
      </c>
      <c r="W6608" t="s">
        <v>39260</v>
      </c>
      <c r="X6608" t="s">
        <v>40444</v>
      </c>
    </row>
    <row r="6609" spans="1:24">
      <c r="A6609">
        <f>HYPERLINK("https://www.philgeps.gov.ph/GEPSNONPILOT/Tender/SplashBidNoticeAbstractUI.aspx?menuIndex=3&amp;refID=7043289&amp;Result=3","7043289")</f>
        <v>0</v>
      </c>
      <c r="B6609" t="s">
        <v>2105</v>
      </c>
      <c r="C6609" t="s">
        <v>9365</v>
      </c>
      <c r="D6609" t="s">
        <v>16217</v>
      </c>
      <c r="E6609" t="s">
        <v>22128</v>
      </c>
      <c r="F6609" t="s">
        <v>28198</v>
      </c>
      <c r="G6609" t="s">
        <v>28205</v>
      </c>
      <c r="H6609" t="s">
        <v>28215</v>
      </c>
      <c r="I6609" t="s">
        <v>28236</v>
      </c>
      <c r="J6609" t="s">
        <v>32488</v>
      </c>
      <c r="K6609" t="s">
        <v>36707</v>
      </c>
      <c r="L6609" t="s">
        <v>2105</v>
      </c>
      <c r="M6609" t="s">
        <v>39257</v>
      </c>
      <c r="N6609" t="s">
        <v>40436</v>
      </c>
      <c r="O6609" t="s">
        <v>40437</v>
      </c>
      <c r="P6609">
        <v>0</v>
      </c>
      <c r="Q6609">
        <v>1</v>
      </c>
      <c r="R6609" t="s">
        <v>40443</v>
      </c>
      <c r="S6609" t="s">
        <v>40644</v>
      </c>
      <c r="T6609" t="s">
        <v>42158</v>
      </c>
      <c r="U6609" t="s">
        <v>48194</v>
      </c>
      <c r="W6609" t="s">
        <v>39257</v>
      </c>
      <c r="X6609" t="s">
        <v>40444</v>
      </c>
    </row>
    <row r="6610" spans="1:24">
      <c r="A6610">
        <f>HYPERLINK("https://www.philgeps.gov.ph/GEPSNONPILOT/Tender/SplashBidNoticeAbstractUI.aspx?menuIndex=3&amp;refID=7043282&amp;Result=3","7043282")</f>
        <v>0</v>
      </c>
      <c r="B6610" t="s">
        <v>1046</v>
      </c>
      <c r="C6610" t="s">
        <v>9366</v>
      </c>
      <c r="E6610" t="s">
        <v>22129</v>
      </c>
      <c r="F6610" t="s">
        <v>28198</v>
      </c>
      <c r="G6610" t="s">
        <v>28209</v>
      </c>
      <c r="H6610" t="s">
        <v>28215</v>
      </c>
      <c r="I6610" t="s">
        <v>28219</v>
      </c>
      <c r="J6610" t="s">
        <v>32489</v>
      </c>
      <c r="K6610" t="s">
        <v>36689</v>
      </c>
      <c r="M6610" t="s">
        <v>38079</v>
      </c>
      <c r="N6610" t="s">
        <v>40436</v>
      </c>
      <c r="O6610" t="s">
        <v>40437</v>
      </c>
      <c r="Q6610">
        <v>1</v>
      </c>
      <c r="R6610" t="s">
        <v>40443</v>
      </c>
      <c r="S6610" t="s">
        <v>40675</v>
      </c>
      <c r="T6610" t="s">
        <v>42165</v>
      </c>
      <c r="U6610" t="s">
        <v>48195</v>
      </c>
      <c r="V6610" t="s">
        <v>54476</v>
      </c>
      <c r="W6610" t="s">
        <v>38079</v>
      </c>
      <c r="X6610" t="s">
        <v>40444</v>
      </c>
    </row>
    <row r="6611" spans="1:24">
      <c r="A6611">
        <f>HYPERLINK("https://www.philgeps.gov.ph/GEPSNONPILOT/Tender/SplashBidNoticeAbstractUI.aspx?menuIndex=3&amp;refID=7043286&amp;Result=3","7043286")</f>
        <v>0</v>
      </c>
      <c r="B6611" t="s">
        <v>2107</v>
      </c>
      <c r="C6611" t="s">
        <v>4165</v>
      </c>
      <c r="D6611" t="s">
        <v>16188</v>
      </c>
      <c r="E6611" t="s">
        <v>22130</v>
      </c>
      <c r="F6611" t="s">
        <v>28198</v>
      </c>
      <c r="G6611" t="s">
        <v>28205</v>
      </c>
      <c r="H6611" t="s">
        <v>28214</v>
      </c>
      <c r="I6611" t="s">
        <v>3797</v>
      </c>
      <c r="J6611" t="s">
        <v>29356</v>
      </c>
      <c r="K6611" t="s">
        <v>36687</v>
      </c>
      <c r="M6611" t="s">
        <v>39261</v>
      </c>
      <c r="N6611" t="s">
        <v>40436</v>
      </c>
      <c r="O6611" t="s">
        <v>40437</v>
      </c>
      <c r="P6611">
        <v>0</v>
      </c>
      <c r="Q6611">
        <v>0</v>
      </c>
      <c r="R6611" t="s">
        <v>40443</v>
      </c>
      <c r="S6611" t="s">
        <v>40644</v>
      </c>
      <c r="T6611" t="s">
        <v>42163</v>
      </c>
      <c r="U6611" t="s">
        <v>48196</v>
      </c>
      <c r="W6611" t="s">
        <v>39261</v>
      </c>
      <c r="X6611" t="s">
        <v>40444</v>
      </c>
    </row>
    <row r="6612" spans="1:24">
      <c r="A6612">
        <f>HYPERLINK("https://www.philgeps.gov.ph/GEPSNONPILOT/Tender/SplashBidNoticeAbstractUI.aspx?menuIndex=3&amp;refID=7043283&amp;Result=3","7043283")</f>
        <v>0</v>
      </c>
      <c r="B6612" t="s">
        <v>2108</v>
      </c>
      <c r="C6612" t="s">
        <v>9367</v>
      </c>
      <c r="E6612" t="s">
        <v>22131</v>
      </c>
      <c r="F6612" t="s">
        <v>28198</v>
      </c>
      <c r="G6612" t="s">
        <v>28207</v>
      </c>
      <c r="H6612" t="s">
        <v>28214</v>
      </c>
      <c r="I6612" t="s">
        <v>3797</v>
      </c>
      <c r="J6612" t="s">
        <v>28360</v>
      </c>
      <c r="K6612" t="s">
        <v>36689</v>
      </c>
      <c r="M6612" t="s">
        <v>39262</v>
      </c>
      <c r="N6612" t="s">
        <v>40436</v>
      </c>
      <c r="O6612" t="s">
        <v>40437</v>
      </c>
      <c r="P6612">
        <v>0</v>
      </c>
      <c r="Q6612">
        <v>3</v>
      </c>
      <c r="R6612" t="s">
        <v>40443</v>
      </c>
      <c r="S6612" t="s">
        <v>40644</v>
      </c>
      <c r="T6612" t="s">
        <v>42205</v>
      </c>
      <c r="U6612" t="s">
        <v>48197</v>
      </c>
      <c r="W6612" t="s">
        <v>39262</v>
      </c>
      <c r="X6612" t="s">
        <v>40444</v>
      </c>
    </row>
    <row r="6613" spans="1:24">
      <c r="A6613">
        <f>HYPERLINK("https://www.philgeps.gov.ph/GEPSNONPILOT/Tender/SplashBidNoticeAbstractUI.aspx?menuIndex=3&amp;refID=6807454&amp;Result=3","6807454")</f>
        <v>0</v>
      </c>
      <c r="B6613" t="s">
        <v>2109</v>
      </c>
      <c r="C6613" t="s">
        <v>9368</v>
      </c>
      <c r="D6613" t="s">
        <v>16195</v>
      </c>
      <c r="E6613" t="s">
        <v>22132</v>
      </c>
      <c r="F6613" t="s">
        <v>28198</v>
      </c>
      <c r="G6613" t="s">
        <v>28205</v>
      </c>
      <c r="H6613" t="s">
        <v>28215</v>
      </c>
      <c r="I6613" t="s">
        <v>28222</v>
      </c>
      <c r="J6613" t="s">
        <v>30239</v>
      </c>
      <c r="K6613" t="s">
        <v>36694</v>
      </c>
      <c r="M6613" t="s">
        <v>39263</v>
      </c>
      <c r="N6613" t="s">
        <v>40436</v>
      </c>
      <c r="O6613" t="s">
        <v>40437</v>
      </c>
      <c r="P6613">
        <v>0</v>
      </c>
      <c r="Q6613">
        <v>5</v>
      </c>
      <c r="R6613" t="s">
        <v>40444</v>
      </c>
      <c r="S6613" t="s">
        <v>40676</v>
      </c>
      <c r="T6613" t="s">
        <v>42138</v>
      </c>
      <c r="U6613" t="s">
        <v>48198</v>
      </c>
      <c r="W6613" t="s">
        <v>39263</v>
      </c>
      <c r="X6613" t="s">
        <v>40545</v>
      </c>
    </row>
    <row r="6614" spans="1:24">
      <c r="A6614">
        <f>HYPERLINK("https://www.philgeps.gov.ph/GEPSNONPILOT/Tender/SplashBidNoticeAbstractUI.aspx?menuIndex=3&amp;refID=7043287&amp;Result=3","7043287")</f>
        <v>0</v>
      </c>
      <c r="B6614" t="s">
        <v>2105</v>
      </c>
      <c r="C6614" t="s">
        <v>9369</v>
      </c>
      <c r="D6614" t="s">
        <v>16217</v>
      </c>
      <c r="E6614" t="s">
        <v>22133</v>
      </c>
      <c r="F6614" t="s">
        <v>28198</v>
      </c>
      <c r="G6614" t="s">
        <v>28205</v>
      </c>
      <c r="H6614" t="s">
        <v>28215</v>
      </c>
      <c r="I6614" t="s">
        <v>28236</v>
      </c>
      <c r="J6614" t="s">
        <v>32486</v>
      </c>
      <c r="K6614" t="s">
        <v>36791</v>
      </c>
      <c r="L6614" t="s">
        <v>2105</v>
      </c>
      <c r="M6614" t="s">
        <v>39257</v>
      </c>
      <c r="N6614" t="s">
        <v>40436</v>
      </c>
      <c r="O6614" t="s">
        <v>40437</v>
      </c>
      <c r="P6614">
        <v>0</v>
      </c>
      <c r="Q6614">
        <v>1</v>
      </c>
      <c r="R6614" t="s">
        <v>40443</v>
      </c>
      <c r="S6614" t="s">
        <v>40644</v>
      </c>
      <c r="T6614" t="s">
        <v>42158</v>
      </c>
      <c r="U6614" t="s">
        <v>48199</v>
      </c>
      <c r="W6614" t="s">
        <v>39257</v>
      </c>
      <c r="X6614" t="s">
        <v>40444</v>
      </c>
    </row>
    <row r="6615" spans="1:24">
      <c r="A6615">
        <f>HYPERLINK("https://www.philgeps.gov.ph/GEPSNONPILOT/Tender/SplashBidNoticeAbstractUI.aspx?menuIndex=3&amp;refID=6860806&amp;Result=3","6860806")</f>
        <v>0</v>
      </c>
      <c r="B6615" t="s">
        <v>2110</v>
      </c>
      <c r="C6615" t="s">
        <v>9370</v>
      </c>
      <c r="D6615" t="s">
        <v>16196</v>
      </c>
      <c r="E6615" t="s">
        <v>22134</v>
      </c>
      <c r="F6615" t="s">
        <v>28198</v>
      </c>
      <c r="G6615" t="s">
        <v>28205</v>
      </c>
      <c r="H6615" t="s">
        <v>28215</v>
      </c>
      <c r="I6615" t="s">
        <v>28227</v>
      </c>
      <c r="J6615" t="s">
        <v>32490</v>
      </c>
      <c r="K6615" t="s">
        <v>36693</v>
      </c>
      <c r="M6615" t="s">
        <v>39264</v>
      </c>
      <c r="N6615" t="s">
        <v>40436</v>
      </c>
      <c r="O6615" t="s">
        <v>40437</v>
      </c>
      <c r="P6615">
        <v>0</v>
      </c>
      <c r="Q6615">
        <v>0</v>
      </c>
      <c r="R6615" t="s">
        <v>40444</v>
      </c>
      <c r="S6615" t="s">
        <v>40676</v>
      </c>
      <c r="T6615" t="s">
        <v>42169</v>
      </c>
      <c r="U6615" t="s">
        <v>48200</v>
      </c>
      <c r="V6615" t="s">
        <v>53826</v>
      </c>
      <c r="W6615" t="s">
        <v>39264</v>
      </c>
      <c r="X6615" t="s">
        <v>55552</v>
      </c>
    </row>
    <row r="6616" spans="1:24">
      <c r="A6616">
        <f>HYPERLINK("https://www.philgeps.gov.ph/GEPSNONPILOT/Tender/SplashBidNoticeAbstractUI.aspx?menuIndex=3&amp;refID=7043279&amp;Result=3","7043279")</f>
        <v>0</v>
      </c>
      <c r="B6616" t="s">
        <v>901</v>
      </c>
      <c r="C6616" t="s">
        <v>9371</v>
      </c>
      <c r="D6616" t="s">
        <v>16213</v>
      </c>
      <c r="E6616" t="s">
        <v>22135</v>
      </c>
      <c r="F6616" t="s">
        <v>28198</v>
      </c>
      <c r="G6616" t="s">
        <v>28207</v>
      </c>
      <c r="H6616" t="s">
        <v>28215</v>
      </c>
      <c r="I6616" t="s">
        <v>4200</v>
      </c>
      <c r="J6616" t="s">
        <v>28378</v>
      </c>
      <c r="K6616" t="s">
        <v>36688</v>
      </c>
      <c r="M6616" t="s">
        <v>37919</v>
      </c>
      <c r="N6616" t="s">
        <v>40436</v>
      </c>
      <c r="O6616" t="s">
        <v>40437</v>
      </c>
      <c r="P6616">
        <v>0</v>
      </c>
      <c r="Q6616">
        <v>0</v>
      </c>
      <c r="R6616" t="s">
        <v>40443</v>
      </c>
      <c r="S6616" t="s">
        <v>40644</v>
      </c>
      <c r="T6616" t="s">
        <v>42233</v>
      </c>
      <c r="U6616" t="s">
        <v>48201</v>
      </c>
      <c r="V6616" t="s">
        <v>54477</v>
      </c>
      <c r="W6616" t="s">
        <v>37919</v>
      </c>
      <c r="X6616" t="s">
        <v>40444</v>
      </c>
    </row>
    <row r="6617" spans="1:24">
      <c r="A6617">
        <f>HYPERLINK("https://www.philgeps.gov.ph/GEPSNONPILOT/Tender/SplashBidNoticeAbstractUI.aspx?menuIndex=3&amp;refID=6858289&amp;Result=3","6858289")</f>
        <v>0</v>
      </c>
      <c r="B6617" t="s">
        <v>2111</v>
      </c>
      <c r="C6617" t="s">
        <v>9372</v>
      </c>
      <c r="D6617" t="s">
        <v>16200</v>
      </c>
      <c r="E6617" t="s">
        <v>22136</v>
      </c>
      <c r="F6617" t="s">
        <v>28198</v>
      </c>
      <c r="G6617" t="s">
        <v>28205</v>
      </c>
      <c r="H6617" t="s">
        <v>28215</v>
      </c>
      <c r="I6617" t="s">
        <v>8888</v>
      </c>
      <c r="J6617" t="s">
        <v>32491</v>
      </c>
      <c r="K6617" t="s">
        <v>36705</v>
      </c>
      <c r="M6617" t="s">
        <v>39265</v>
      </c>
      <c r="N6617" t="s">
        <v>40436</v>
      </c>
      <c r="O6617" t="s">
        <v>40437</v>
      </c>
      <c r="P6617">
        <v>0</v>
      </c>
      <c r="Q6617">
        <v>4</v>
      </c>
      <c r="R6617" t="s">
        <v>40444</v>
      </c>
      <c r="S6617" t="s">
        <v>40676</v>
      </c>
      <c r="T6617" t="s">
        <v>42165</v>
      </c>
      <c r="U6617" t="s">
        <v>48202</v>
      </c>
      <c r="V6617" t="s">
        <v>54478</v>
      </c>
      <c r="W6617" t="s">
        <v>39265</v>
      </c>
      <c r="X6617" t="s">
        <v>40537</v>
      </c>
    </row>
    <row r="6618" spans="1:24">
      <c r="A6618">
        <f>HYPERLINK("https://www.philgeps.gov.ph/GEPSNONPILOT/Tender/SplashBidNoticeAbstractUI.aspx?menuIndex=3&amp;refID=6947170&amp;Result=3","6947170")</f>
        <v>0</v>
      </c>
      <c r="B6618" t="s">
        <v>2111</v>
      </c>
      <c r="C6618" t="s">
        <v>9373</v>
      </c>
      <c r="D6618" t="s">
        <v>16200</v>
      </c>
      <c r="E6618" t="s">
        <v>22137</v>
      </c>
      <c r="F6618" t="s">
        <v>28198</v>
      </c>
      <c r="G6618" t="s">
        <v>28205</v>
      </c>
      <c r="H6618" t="s">
        <v>28215</v>
      </c>
      <c r="I6618" t="s">
        <v>28225</v>
      </c>
      <c r="J6618" t="s">
        <v>32492</v>
      </c>
      <c r="K6618" t="s">
        <v>36705</v>
      </c>
      <c r="M6618" t="s">
        <v>39265</v>
      </c>
      <c r="N6618" t="s">
        <v>40436</v>
      </c>
      <c r="O6618" t="s">
        <v>40437</v>
      </c>
      <c r="P6618">
        <v>0</v>
      </c>
      <c r="Q6618">
        <v>4</v>
      </c>
      <c r="R6618" t="s">
        <v>40444</v>
      </c>
      <c r="S6618" t="s">
        <v>40676</v>
      </c>
      <c r="T6618" t="s">
        <v>42109</v>
      </c>
      <c r="U6618" t="s">
        <v>48203</v>
      </c>
      <c r="V6618" t="s">
        <v>54479</v>
      </c>
      <c r="W6618" t="s">
        <v>39265</v>
      </c>
      <c r="X6618" t="s">
        <v>40505</v>
      </c>
    </row>
    <row r="6619" spans="1:24">
      <c r="A6619">
        <f>HYPERLINK("https://www.philgeps.gov.ph/GEPSNONPILOT/Tender/SplashBidNoticeAbstractUI.aspx?menuIndex=3&amp;refID=7043299&amp;Result=3","7043299")</f>
        <v>0</v>
      </c>
      <c r="B6619" t="s">
        <v>2106</v>
      </c>
      <c r="C6619" t="s">
        <v>7780</v>
      </c>
      <c r="D6619" t="s">
        <v>16203</v>
      </c>
      <c r="E6619" t="s">
        <v>22138</v>
      </c>
      <c r="F6619" t="s">
        <v>28198</v>
      </c>
      <c r="G6619" t="s">
        <v>28205</v>
      </c>
      <c r="H6619" t="s">
        <v>28214</v>
      </c>
      <c r="I6619" t="s">
        <v>3797</v>
      </c>
      <c r="J6619" t="s">
        <v>32493</v>
      </c>
      <c r="K6619" t="s">
        <v>36727</v>
      </c>
      <c r="M6619" t="s">
        <v>39259</v>
      </c>
      <c r="N6619" t="s">
        <v>40436</v>
      </c>
      <c r="O6619" t="s">
        <v>40437</v>
      </c>
      <c r="P6619">
        <v>0</v>
      </c>
      <c r="Q6619">
        <v>0</v>
      </c>
      <c r="R6619" t="s">
        <v>40443</v>
      </c>
      <c r="S6619" t="s">
        <v>40644</v>
      </c>
      <c r="T6619" t="s">
        <v>42108</v>
      </c>
      <c r="U6619" t="s">
        <v>48204</v>
      </c>
      <c r="W6619" t="s">
        <v>39259</v>
      </c>
      <c r="X6619" t="s">
        <v>40444</v>
      </c>
    </row>
    <row r="6620" spans="1:24">
      <c r="A6620">
        <f>HYPERLINK("https://www.philgeps.gov.ph/GEPSNONPILOT/Tender/SplashBidNoticeAbstractUI.aspx?menuIndex=3&amp;refID=7042448&amp;Result=3","7042448")</f>
        <v>0</v>
      </c>
      <c r="B6620" t="s">
        <v>2112</v>
      </c>
      <c r="C6620" t="s">
        <v>9374</v>
      </c>
      <c r="D6620" t="s">
        <v>16233</v>
      </c>
      <c r="E6620" t="s">
        <v>22139</v>
      </c>
      <c r="F6620" t="s">
        <v>28198</v>
      </c>
      <c r="G6620" t="s">
        <v>28210</v>
      </c>
      <c r="H6620" t="s">
        <v>28215</v>
      </c>
      <c r="I6620" t="s">
        <v>4168</v>
      </c>
      <c r="J6620" t="s">
        <v>28571</v>
      </c>
      <c r="K6620" t="s">
        <v>36691</v>
      </c>
      <c r="M6620" t="s">
        <v>39266</v>
      </c>
      <c r="N6620" t="s">
        <v>40436</v>
      </c>
      <c r="O6620" t="s">
        <v>40437</v>
      </c>
      <c r="P6620">
        <v>0</v>
      </c>
      <c r="Q6620">
        <v>0</v>
      </c>
      <c r="R6620" t="s">
        <v>40443</v>
      </c>
      <c r="S6620" t="s">
        <v>40644</v>
      </c>
      <c r="T6620" t="s">
        <v>42169</v>
      </c>
      <c r="U6620" t="s">
        <v>48205</v>
      </c>
      <c r="W6620" t="s">
        <v>39266</v>
      </c>
      <c r="X6620" t="s">
        <v>40444</v>
      </c>
    </row>
    <row r="6621" spans="1:24">
      <c r="A6621">
        <f>HYPERLINK("https://www.philgeps.gov.ph/GEPSNONPILOT/Tender/SplashBidNoticeAbstractUI.aspx?menuIndex=3&amp;refID=7042440&amp;Result=3","7042440")</f>
        <v>0</v>
      </c>
      <c r="B6621" t="s">
        <v>1033</v>
      </c>
      <c r="C6621" t="s">
        <v>9375</v>
      </c>
      <c r="D6621" t="s">
        <v>16187</v>
      </c>
      <c r="E6621" t="s">
        <v>22140</v>
      </c>
      <c r="F6621" t="s">
        <v>28198</v>
      </c>
      <c r="G6621" t="s">
        <v>28205</v>
      </c>
      <c r="H6621" t="s">
        <v>28214</v>
      </c>
      <c r="I6621" t="s">
        <v>3797</v>
      </c>
      <c r="J6621" t="s">
        <v>32494</v>
      </c>
      <c r="K6621" t="s">
        <v>36701</v>
      </c>
      <c r="M6621" t="s">
        <v>39055</v>
      </c>
      <c r="N6621" t="s">
        <v>40436</v>
      </c>
      <c r="O6621" t="s">
        <v>40437</v>
      </c>
      <c r="P6621">
        <v>0</v>
      </c>
      <c r="Q6621">
        <v>0</v>
      </c>
      <c r="R6621" t="s">
        <v>40443</v>
      </c>
      <c r="S6621" t="s">
        <v>40644</v>
      </c>
      <c r="T6621" t="s">
        <v>42159</v>
      </c>
      <c r="U6621" t="s">
        <v>48206</v>
      </c>
      <c r="W6621" t="s">
        <v>39055</v>
      </c>
      <c r="X6621" t="s">
        <v>40444</v>
      </c>
    </row>
    <row r="6622" spans="1:24">
      <c r="A6622">
        <f>HYPERLINK("https://www.philgeps.gov.ph/GEPSNONPILOT/Tender/SplashBidNoticeAbstractUI.aspx?menuIndex=3&amp;refID=7042439&amp;Result=3","7042439")</f>
        <v>0</v>
      </c>
      <c r="B6622" t="s">
        <v>2038</v>
      </c>
      <c r="C6622" t="s">
        <v>9376</v>
      </c>
      <c r="D6622" t="s">
        <v>16274</v>
      </c>
      <c r="E6622" t="s">
        <v>22141</v>
      </c>
      <c r="F6622" t="s">
        <v>28198</v>
      </c>
      <c r="G6622" t="s">
        <v>28205</v>
      </c>
      <c r="H6622" t="s">
        <v>28214</v>
      </c>
      <c r="I6622" t="s">
        <v>3797</v>
      </c>
      <c r="J6622" t="s">
        <v>32495</v>
      </c>
      <c r="K6622" t="s">
        <v>36812</v>
      </c>
      <c r="M6622" t="s">
        <v>39181</v>
      </c>
      <c r="N6622" t="s">
        <v>40436</v>
      </c>
      <c r="O6622" t="s">
        <v>40437</v>
      </c>
      <c r="P6622">
        <v>0</v>
      </c>
      <c r="Q6622">
        <v>0</v>
      </c>
      <c r="R6622" t="s">
        <v>40443</v>
      </c>
      <c r="S6622" t="s">
        <v>40644</v>
      </c>
      <c r="T6622" t="s">
        <v>42165</v>
      </c>
      <c r="U6622" t="s">
        <v>48207</v>
      </c>
      <c r="V6622" t="s">
        <v>54480</v>
      </c>
      <c r="W6622" t="s">
        <v>39181</v>
      </c>
      <c r="X6622" t="s">
        <v>40444</v>
      </c>
    </row>
    <row r="6623" spans="1:24">
      <c r="A6623">
        <f>HYPERLINK("https://www.philgeps.gov.ph/GEPSNONPILOT/Tender/SplashBidNoticeAbstractUI.aspx?menuIndex=3&amp;refID=6947611&amp;Result=3","6947611")</f>
        <v>0</v>
      </c>
      <c r="B6623" t="s">
        <v>2111</v>
      </c>
      <c r="C6623" t="s">
        <v>9377</v>
      </c>
      <c r="D6623" t="s">
        <v>16200</v>
      </c>
      <c r="E6623" t="s">
        <v>22142</v>
      </c>
      <c r="F6623" t="s">
        <v>28198</v>
      </c>
      <c r="G6623" t="s">
        <v>28205</v>
      </c>
      <c r="H6623" t="s">
        <v>28215</v>
      </c>
      <c r="I6623" t="s">
        <v>8888</v>
      </c>
      <c r="J6623" t="s">
        <v>28559</v>
      </c>
      <c r="K6623" t="s">
        <v>36701</v>
      </c>
      <c r="M6623" t="s">
        <v>39265</v>
      </c>
      <c r="N6623" t="s">
        <v>40436</v>
      </c>
      <c r="O6623" t="s">
        <v>40437</v>
      </c>
      <c r="P6623">
        <v>0</v>
      </c>
      <c r="Q6623">
        <v>6</v>
      </c>
      <c r="R6623" t="s">
        <v>40444</v>
      </c>
      <c r="S6623" t="s">
        <v>40676</v>
      </c>
      <c r="T6623" t="s">
        <v>42109</v>
      </c>
      <c r="U6623" t="s">
        <v>48208</v>
      </c>
      <c r="V6623" t="s">
        <v>54479</v>
      </c>
      <c r="W6623" t="s">
        <v>39265</v>
      </c>
      <c r="X6623" t="s">
        <v>40505</v>
      </c>
    </row>
    <row r="6624" spans="1:24">
      <c r="A6624">
        <f>HYPERLINK("https://www.philgeps.gov.ph/GEPSNONPILOT/Tender/SplashBidNoticeAbstractUI.aspx?menuIndex=3&amp;refID=6984702&amp;Result=3","6984702")</f>
        <v>0</v>
      </c>
      <c r="B6624" t="s">
        <v>34</v>
      </c>
      <c r="C6624" t="s">
        <v>9378</v>
      </c>
      <c r="D6624" t="s">
        <v>16195</v>
      </c>
      <c r="E6624" t="s">
        <v>22143</v>
      </c>
      <c r="F6624" t="s">
        <v>28198</v>
      </c>
      <c r="G6624" t="s">
        <v>28205</v>
      </c>
      <c r="H6624" t="s">
        <v>28215</v>
      </c>
      <c r="I6624" t="s">
        <v>5100</v>
      </c>
      <c r="J6624" t="s">
        <v>32496</v>
      </c>
      <c r="K6624" t="s">
        <v>36706</v>
      </c>
      <c r="M6624" t="s">
        <v>37550</v>
      </c>
      <c r="N6624" t="s">
        <v>40436</v>
      </c>
      <c r="O6624" t="s">
        <v>40437</v>
      </c>
      <c r="P6624">
        <v>0</v>
      </c>
      <c r="Q6624">
        <v>0</v>
      </c>
      <c r="R6624" t="s">
        <v>40444</v>
      </c>
      <c r="S6624" t="s">
        <v>40676</v>
      </c>
      <c r="T6624" t="s">
        <v>42190</v>
      </c>
      <c r="U6624" t="s">
        <v>48209</v>
      </c>
      <c r="W6624" t="s">
        <v>37550</v>
      </c>
      <c r="X6624" t="s">
        <v>40479</v>
      </c>
    </row>
    <row r="6625" spans="1:24">
      <c r="A6625">
        <f>HYPERLINK("https://www.philgeps.gov.ph/GEPSNONPILOT/Tender/SplashBidNoticeAbstractUI.aspx?menuIndex=3&amp;refID=6984749&amp;Result=3","6984749")</f>
        <v>0</v>
      </c>
      <c r="B6625" t="s">
        <v>34</v>
      </c>
      <c r="C6625" t="s">
        <v>9379</v>
      </c>
      <c r="D6625" t="s">
        <v>16195</v>
      </c>
      <c r="E6625" t="s">
        <v>22144</v>
      </c>
      <c r="F6625" t="s">
        <v>28198</v>
      </c>
      <c r="G6625" t="s">
        <v>28205</v>
      </c>
      <c r="H6625" t="s">
        <v>28215</v>
      </c>
      <c r="I6625" t="s">
        <v>5100</v>
      </c>
      <c r="J6625" t="s">
        <v>32497</v>
      </c>
      <c r="K6625" t="s">
        <v>36696</v>
      </c>
      <c r="M6625" t="s">
        <v>37550</v>
      </c>
      <c r="N6625" t="s">
        <v>40436</v>
      </c>
      <c r="O6625" t="s">
        <v>40437</v>
      </c>
      <c r="P6625">
        <v>0</v>
      </c>
      <c r="Q6625">
        <v>0</v>
      </c>
      <c r="R6625" t="s">
        <v>40444</v>
      </c>
      <c r="S6625" t="s">
        <v>40676</v>
      </c>
      <c r="T6625" t="s">
        <v>42190</v>
      </c>
      <c r="U6625" t="s">
        <v>48210</v>
      </c>
      <c r="W6625" t="s">
        <v>37550</v>
      </c>
      <c r="X6625" t="s">
        <v>40479</v>
      </c>
    </row>
    <row r="6626" spans="1:24">
      <c r="A6626">
        <f>HYPERLINK("https://www.philgeps.gov.ph/GEPSNONPILOT/Tender/SplashBidNoticeAbstractUI.aspx?menuIndex=3&amp;refID=7031453&amp;Result=3","7031453")</f>
        <v>0</v>
      </c>
      <c r="B6626" t="s">
        <v>2113</v>
      </c>
      <c r="C6626" t="s">
        <v>9380</v>
      </c>
      <c r="D6626" t="s">
        <v>16251</v>
      </c>
      <c r="E6626" t="s">
        <v>22145</v>
      </c>
      <c r="F6626" t="s">
        <v>28198</v>
      </c>
      <c r="G6626" t="s">
        <v>28209</v>
      </c>
      <c r="H6626" t="s">
        <v>28215</v>
      </c>
      <c r="I6626" t="s">
        <v>28227</v>
      </c>
      <c r="J6626" t="s">
        <v>32498</v>
      </c>
      <c r="K6626" t="s">
        <v>36707</v>
      </c>
      <c r="M6626" t="s">
        <v>39267</v>
      </c>
      <c r="N6626" t="s">
        <v>40436</v>
      </c>
      <c r="O6626" t="s">
        <v>40437</v>
      </c>
      <c r="P6626">
        <v>0</v>
      </c>
      <c r="Q6626">
        <v>1</v>
      </c>
      <c r="R6626" t="s">
        <v>40444</v>
      </c>
      <c r="S6626" t="s">
        <v>40676</v>
      </c>
      <c r="T6626" t="s">
        <v>42128</v>
      </c>
      <c r="U6626" t="s">
        <v>48211</v>
      </c>
      <c r="W6626" t="s">
        <v>39267</v>
      </c>
      <c r="X6626" t="s">
        <v>40450</v>
      </c>
    </row>
    <row r="6627" spans="1:24">
      <c r="A6627">
        <f>HYPERLINK("https://www.philgeps.gov.ph/GEPSNONPILOT/Tender/SplashBidNoticeAbstractUI.aspx?menuIndex=3&amp;refID=7017985&amp;Result=3","7017985")</f>
        <v>0</v>
      </c>
      <c r="B6627" t="s">
        <v>301</v>
      </c>
      <c r="C6627" t="s">
        <v>9381</v>
      </c>
      <c r="D6627" t="s">
        <v>16244</v>
      </c>
      <c r="E6627" t="s">
        <v>17327</v>
      </c>
      <c r="F6627" t="s">
        <v>28198</v>
      </c>
      <c r="G6627" t="s">
        <v>28205</v>
      </c>
      <c r="H6627" t="s">
        <v>28214</v>
      </c>
      <c r="I6627" t="s">
        <v>3797</v>
      </c>
      <c r="J6627" t="s">
        <v>28347</v>
      </c>
      <c r="K6627" t="s">
        <v>36692</v>
      </c>
      <c r="M6627" t="s">
        <v>37278</v>
      </c>
      <c r="N6627" t="s">
        <v>40436</v>
      </c>
      <c r="O6627" t="s">
        <v>40437</v>
      </c>
      <c r="P6627">
        <v>0</v>
      </c>
      <c r="Q6627">
        <v>0</v>
      </c>
      <c r="R6627" t="s">
        <v>40444</v>
      </c>
      <c r="S6627" t="s">
        <v>40676</v>
      </c>
      <c r="T6627" t="s">
        <v>42426</v>
      </c>
      <c r="U6627" t="s">
        <v>48212</v>
      </c>
      <c r="V6627" t="s">
        <v>54481</v>
      </c>
      <c r="W6627" t="s">
        <v>37278</v>
      </c>
      <c r="X6627" t="s">
        <v>40457</v>
      </c>
    </row>
    <row r="6628" spans="1:24">
      <c r="A6628">
        <f>HYPERLINK("https://www.philgeps.gov.ph/GEPSNONPILOT/Tender/SplashBidNoticeAbstractUI.aspx?menuIndex=3&amp;refID=7018772&amp;Result=3","7018772")</f>
        <v>0</v>
      </c>
      <c r="B6628" t="s">
        <v>2114</v>
      </c>
      <c r="C6628" t="s">
        <v>9382</v>
      </c>
      <c r="D6628" t="s">
        <v>16210</v>
      </c>
      <c r="E6628" t="s">
        <v>22146</v>
      </c>
      <c r="F6628" t="s">
        <v>28198</v>
      </c>
      <c r="G6628" t="s">
        <v>28207</v>
      </c>
      <c r="H6628" t="s">
        <v>28215</v>
      </c>
      <c r="I6628" t="s">
        <v>4200</v>
      </c>
      <c r="J6628" t="s">
        <v>28351</v>
      </c>
      <c r="K6628" t="s">
        <v>36688</v>
      </c>
      <c r="M6628" t="s">
        <v>39268</v>
      </c>
      <c r="N6628" t="s">
        <v>40436</v>
      </c>
      <c r="O6628" t="s">
        <v>40437</v>
      </c>
      <c r="P6628">
        <v>0</v>
      </c>
      <c r="Q6628">
        <v>7</v>
      </c>
      <c r="R6628" t="s">
        <v>40444</v>
      </c>
      <c r="S6628" t="s">
        <v>40676</v>
      </c>
      <c r="T6628" t="s">
        <v>42245</v>
      </c>
      <c r="U6628" t="s">
        <v>48213</v>
      </c>
      <c r="W6628" t="s">
        <v>39268</v>
      </c>
      <c r="X6628" t="s">
        <v>40456</v>
      </c>
    </row>
    <row r="6629" spans="1:24">
      <c r="A6629">
        <f>HYPERLINK("https://www.philgeps.gov.ph/GEPSNONPILOT/Tender/SplashBidNoticeAbstractUI.aspx?menuIndex=3&amp;refID=7032251&amp;Result=3","7032251")</f>
        <v>0</v>
      </c>
      <c r="B6629" t="s">
        <v>1978</v>
      </c>
      <c r="C6629" t="s">
        <v>9383</v>
      </c>
      <c r="D6629" t="s">
        <v>16193</v>
      </c>
      <c r="E6629" t="s">
        <v>22147</v>
      </c>
      <c r="F6629" t="s">
        <v>28198</v>
      </c>
      <c r="G6629" t="s">
        <v>28205</v>
      </c>
      <c r="H6629" t="s">
        <v>28214</v>
      </c>
      <c r="I6629" t="s">
        <v>3797</v>
      </c>
      <c r="J6629" t="s">
        <v>32499</v>
      </c>
      <c r="K6629" t="s">
        <v>36701</v>
      </c>
      <c r="M6629" t="s">
        <v>39114</v>
      </c>
      <c r="N6629" t="s">
        <v>40436</v>
      </c>
      <c r="O6629" t="s">
        <v>40437</v>
      </c>
      <c r="P6629">
        <v>0</v>
      </c>
      <c r="Q6629">
        <v>1</v>
      </c>
      <c r="R6629" t="s">
        <v>40444</v>
      </c>
      <c r="S6629" t="s">
        <v>40676</v>
      </c>
      <c r="T6629" t="s">
        <v>42456</v>
      </c>
      <c r="U6629" t="s">
        <v>48214</v>
      </c>
      <c r="W6629" t="s">
        <v>39114</v>
      </c>
      <c r="X6629" t="s">
        <v>40449</v>
      </c>
    </row>
    <row r="6630" spans="1:24">
      <c r="A6630">
        <f>HYPERLINK("https://www.philgeps.gov.ph/GEPSNONPILOT/Tender/SplashBidNoticeAbstractUI.aspx?menuIndex=3&amp;refID=7018107&amp;Result=3","7018107")</f>
        <v>0</v>
      </c>
      <c r="B6630" t="s">
        <v>301</v>
      </c>
      <c r="C6630" t="s">
        <v>9384</v>
      </c>
      <c r="D6630" t="s">
        <v>16244</v>
      </c>
      <c r="E6630" t="s">
        <v>22038</v>
      </c>
      <c r="F6630" t="s">
        <v>28198</v>
      </c>
      <c r="G6630" t="s">
        <v>28205</v>
      </c>
      <c r="H6630" t="s">
        <v>28214</v>
      </c>
      <c r="I6630" t="s">
        <v>3797</v>
      </c>
      <c r="J6630" t="s">
        <v>32500</v>
      </c>
      <c r="K6630" t="s">
        <v>36715</v>
      </c>
      <c r="M6630" t="s">
        <v>37278</v>
      </c>
      <c r="N6630" t="s">
        <v>40436</v>
      </c>
      <c r="O6630" t="s">
        <v>40437</v>
      </c>
      <c r="P6630">
        <v>0</v>
      </c>
      <c r="Q6630">
        <v>1</v>
      </c>
      <c r="R6630" t="s">
        <v>40444</v>
      </c>
      <c r="S6630" t="s">
        <v>40676</v>
      </c>
      <c r="T6630" t="s">
        <v>42426</v>
      </c>
      <c r="U6630" t="s">
        <v>48215</v>
      </c>
      <c r="V6630" t="s">
        <v>54481</v>
      </c>
      <c r="W6630" t="s">
        <v>37278</v>
      </c>
      <c r="X6630" t="s">
        <v>40457</v>
      </c>
    </row>
    <row r="6631" spans="1:24">
      <c r="A6631">
        <f>HYPERLINK("https://www.philgeps.gov.ph/GEPSNONPILOT/Tender/SplashBidNoticeAbstractUI.aspx?menuIndex=3&amp;refID=7010886&amp;Result=3","7010886")</f>
        <v>0</v>
      </c>
      <c r="B6631" t="s">
        <v>52</v>
      </c>
      <c r="C6631" t="s">
        <v>9385</v>
      </c>
      <c r="E6631" t="s">
        <v>22148</v>
      </c>
      <c r="F6631" t="s">
        <v>28198</v>
      </c>
      <c r="G6631" t="s">
        <v>28207</v>
      </c>
      <c r="H6631" t="s">
        <v>28215</v>
      </c>
      <c r="I6631" t="s">
        <v>28243</v>
      </c>
      <c r="J6631" t="s">
        <v>32501</v>
      </c>
      <c r="K6631" t="s">
        <v>36701</v>
      </c>
      <c r="M6631" t="s">
        <v>37589</v>
      </c>
      <c r="N6631" t="s">
        <v>40436</v>
      </c>
      <c r="O6631" t="s">
        <v>40437</v>
      </c>
      <c r="P6631">
        <v>0</v>
      </c>
      <c r="Q6631">
        <v>1</v>
      </c>
      <c r="R6631" t="s">
        <v>40444</v>
      </c>
      <c r="S6631" t="s">
        <v>40676</v>
      </c>
      <c r="T6631" t="s">
        <v>42142</v>
      </c>
      <c r="U6631" t="s">
        <v>48216</v>
      </c>
      <c r="W6631" t="s">
        <v>55453</v>
      </c>
      <c r="X6631" t="s">
        <v>40460</v>
      </c>
    </row>
    <row r="6632" spans="1:24">
      <c r="A6632">
        <f>HYPERLINK("https://www.philgeps.gov.ph/GEPSNONPILOT/Tender/SplashBidNoticeAbstractUI.aspx?menuIndex=3&amp;refID=7010943&amp;Result=3","7010943")</f>
        <v>0</v>
      </c>
      <c r="B6632" t="s">
        <v>52</v>
      </c>
      <c r="C6632" t="s">
        <v>9386</v>
      </c>
      <c r="E6632" t="s">
        <v>22149</v>
      </c>
      <c r="F6632" t="s">
        <v>28198</v>
      </c>
      <c r="G6632" t="s">
        <v>28207</v>
      </c>
      <c r="H6632" t="s">
        <v>28215</v>
      </c>
      <c r="I6632" t="s">
        <v>28280</v>
      </c>
      <c r="J6632" t="s">
        <v>31565</v>
      </c>
      <c r="K6632" t="s">
        <v>36701</v>
      </c>
      <c r="M6632" t="s">
        <v>37589</v>
      </c>
      <c r="N6632" t="s">
        <v>40436</v>
      </c>
      <c r="O6632" t="s">
        <v>40437</v>
      </c>
      <c r="Q6632">
        <v>3</v>
      </c>
      <c r="R6632" t="s">
        <v>40444</v>
      </c>
      <c r="S6632" t="s">
        <v>40677</v>
      </c>
      <c r="T6632" t="s">
        <v>42142</v>
      </c>
      <c r="U6632" t="s">
        <v>48217</v>
      </c>
      <c r="W6632" t="s">
        <v>55453</v>
      </c>
      <c r="X6632" t="s">
        <v>40460</v>
      </c>
    </row>
    <row r="6633" spans="1:24">
      <c r="A6633">
        <f>HYPERLINK("https://www.philgeps.gov.ph/GEPSNONPILOT/Tender/SplashBidNoticeAbstractUI.aspx?menuIndex=3&amp;refID=6999268&amp;Result=3","6999268")</f>
        <v>0</v>
      </c>
      <c r="B6633" t="s">
        <v>2115</v>
      </c>
      <c r="C6633" t="s">
        <v>9387</v>
      </c>
      <c r="D6633" t="s">
        <v>16213</v>
      </c>
      <c r="E6633" t="s">
        <v>22150</v>
      </c>
      <c r="F6633" t="s">
        <v>28198</v>
      </c>
      <c r="G6633" t="s">
        <v>28205</v>
      </c>
      <c r="H6633" t="s">
        <v>28214</v>
      </c>
      <c r="I6633" t="s">
        <v>28242</v>
      </c>
      <c r="J6633" t="s">
        <v>28601</v>
      </c>
      <c r="K6633" t="s">
        <v>36748</v>
      </c>
      <c r="M6633" t="s">
        <v>39269</v>
      </c>
      <c r="N6633" t="s">
        <v>40436</v>
      </c>
      <c r="O6633" t="s">
        <v>40437</v>
      </c>
      <c r="P6633">
        <v>0</v>
      </c>
      <c r="Q6633">
        <v>0</v>
      </c>
      <c r="R6633" t="s">
        <v>40444</v>
      </c>
      <c r="S6633" t="s">
        <v>40676</v>
      </c>
      <c r="T6633" t="s">
        <v>42447</v>
      </c>
      <c r="U6633" t="s">
        <v>48218</v>
      </c>
      <c r="W6633" t="s">
        <v>39269</v>
      </c>
      <c r="X6633" t="s">
        <v>40467</v>
      </c>
    </row>
    <row r="6634" spans="1:24">
      <c r="A6634">
        <f>HYPERLINK("https://www.philgeps.gov.ph/GEPSNONPILOT/Tender/SplashBidNoticeAbstractUI.aspx?menuIndex=3&amp;refID=7032843&amp;Result=3","7032843")</f>
        <v>0</v>
      </c>
      <c r="B6634" t="s">
        <v>1684</v>
      </c>
      <c r="C6634" t="s">
        <v>9388</v>
      </c>
      <c r="D6634" t="s">
        <v>16268</v>
      </c>
      <c r="E6634" t="s">
        <v>22151</v>
      </c>
      <c r="F6634" t="s">
        <v>28198</v>
      </c>
      <c r="G6634" t="s">
        <v>28205</v>
      </c>
      <c r="H6634" t="s">
        <v>28215</v>
      </c>
      <c r="I6634" t="s">
        <v>28222</v>
      </c>
      <c r="J6634" t="s">
        <v>28740</v>
      </c>
      <c r="K6634" t="s">
        <v>36697</v>
      </c>
      <c r="M6634" t="s">
        <v>38780</v>
      </c>
      <c r="N6634" t="s">
        <v>40436</v>
      </c>
      <c r="O6634" t="s">
        <v>40437</v>
      </c>
      <c r="P6634">
        <v>0</v>
      </c>
      <c r="Q6634">
        <v>5</v>
      </c>
      <c r="R6634" t="s">
        <v>40444</v>
      </c>
      <c r="S6634" t="s">
        <v>40676</v>
      </c>
      <c r="T6634" t="s">
        <v>42443</v>
      </c>
      <c r="U6634" t="s">
        <v>48219</v>
      </c>
      <c r="V6634" t="s">
        <v>54482</v>
      </c>
      <c r="W6634" t="s">
        <v>38780</v>
      </c>
      <c r="X6634" t="s">
        <v>40447</v>
      </c>
    </row>
    <row r="6635" spans="1:24">
      <c r="A6635">
        <f>HYPERLINK("https://www.philgeps.gov.ph/GEPSNONPILOT/Tender/SplashBidNoticeAbstractUI.aspx?menuIndex=3&amp;refID=7011163&amp;Result=3","7011163")</f>
        <v>0</v>
      </c>
      <c r="B6635" t="s">
        <v>52</v>
      </c>
      <c r="C6635" t="s">
        <v>9389</v>
      </c>
      <c r="E6635" t="s">
        <v>22152</v>
      </c>
      <c r="F6635" t="s">
        <v>28198</v>
      </c>
      <c r="G6635" t="s">
        <v>28207</v>
      </c>
      <c r="H6635" t="s">
        <v>28215</v>
      </c>
      <c r="I6635" t="s">
        <v>28243</v>
      </c>
      <c r="J6635" t="s">
        <v>29346</v>
      </c>
      <c r="K6635" t="s">
        <v>36701</v>
      </c>
      <c r="M6635" t="s">
        <v>37589</v>
      </c>
      <c r="N6635" t="s">
        <v>40436</v>
      </c>
      <c r="O6635" t="s">
        <v>40437</v>
      </c>
      <c r="P6635">
        <v>0</v>
      </c>
      <c r="Q6635">
        <v>2</v>
      </c>
      <c r="R6635" t="s">
        <v>40444</v>
      </c>
      <c r="S6635" t="s">
        <v>40676</v>
      </c>
      <c r="T6635" t="s">
        <v>42142</v>
      </c>
      <c r="U6635" t="s">
        <v>48220</v>
      </c>
      <c r="W6635" t="s">
        <v>55453</v>
      </c>
      <c r="X6635" t="s">
        <v>40460</v>
      </c>
    </row>
    <row r="6636" spans="1:24">
      <c r="A6636">
        <f>HYPERLINK("https://www.philgeps.gov.ph/GEPSNONPILOT/Tender/SplashBidNoticeAbstractUI.aspx?menuIndex=3&amp;refID=7017519-2&amp;Result=3","7017519-2")</f>
        <v>0</v>
      </c>
      <c r="B6636" t="s">
        <v>2116</v>
      </c>
      <c r="C6636" t="s">
        <v>9390</v>
      </c>
      <c r="D6636" t="s">
        <v>16193</v>
      </c>
      <c r="E6636" t="s">
        <v>22153</v>
      </c>
      <c r="F6636" t="s">
        <v>28198</v>
      </c>
      <c r="G6636" t="s">
        <v>28205</v>
      </c>
      <c r="H6636" t="s">
        <v>28216</v>
      </c>
      <c r="I6636" t="s">
        <v>28263</v>
      </c>
      <c r="J6636" t="s">
        <v>32502</v>
      </c>
      <c r="K6636" t="s">
        <v>36692</v>
      </c>
      <c r="M6636" t="s">
        <v>39270</v>
      </c>
      <c r="N6636" t="s">
        <v>40436</v>
      </c>
      <c r="O6636" t="s">
        <v>40437</v>
      </c>
      <c r="P6636">
        <v>0</v>
      </c>
      <c r="Q6636">
        <v>1</v>
      </c>
      <c r="R6636" t="s">
        <v>40444</v>
      </c>
      <c r="S6636" t="s">
        <v>40676</v>
      </c>
      <c r="T6636" t="s">
        <v>42185</v>
      </c>
      <c r="U6636" t="s">
        <v>48221</v>
      </c>
      <c r="W6636" t="s">
        <v>39270</v>
      </c>
      <c r="X6636" t="s">
        <v>40445</v>
      </c>
    </row>
    <row r="6637" spans="1:24">
      <c r="A6637">
        <f>HYPERLINK("https://www.philgeps.gov.ph/GEPSNONPILOT/Tender/SplashBidNoticeAbstractUI.aspx?menuIndex=3&amp;refID=7033009&amp;Result=3","7033009")</f>
        <v>0</v>
      </c>
      <c r="B6637" t="s">
        <v>2117</v>
      </c>
      <c r="C6637" t="s">
        <v>9391</v>
      </c>
      <c r="D6637" t="s">
        <v>16228</v>
      </c>
      <c r="E6637" t="s">
        <v>22154</v>
      </c>
      <c r="F6637" t="s">
        <v>28198</v>
      </c>
      <c r="G6637" t="s">
        <v>28205</v>
      </c>
      <c r="H6637" t="s">
        <v>28215</v>
      </c>
      <c r="I6637" t="s">
        <v>28243</v>
      </c>
      <c r="J6637" t="s">
        <v>28393</v>
      </c>
      <c r="K6637" t="s">
        <v>36701</v>
      </c>
      <c r="M6637" t="s">
        <v>39271</v>
      </c>
      <c r="N6637" t="s">
        <v>40436</v>
      </c>
      <c r="O6637" t="s">
        <v>40437</v>
      </c>
      <c r="P6637">
        <v>0</v>
      </c>
      <c r="Q6637">
        <v>1</v>
      </c>
      <c r="R6637" t="s">
        <v>40444</v>
      </c>
      <c r="S6637" t="s">
        <v>40676</v>
      </c>
      <c r="T6637" t="s">
        <v>42277</v>
      </c>
      <c r="U6637" t="s">
        <v>48222</v>
      </c>
      <c r="W6637" t="s">
        <v>39271</v>
      </c>
      <c r="X6637" t="s">
        <v>40447</v>
      </c>
    </row>
    <row r="6638" spans="1:24">
      <c r="A6638">
        <f>HYPERLINK("https://www.philgeps.gov.ph/GEPSNONPILOT/Tender/SplashBidNoticeAbstractUI.aspx?menuIndex=3&amp;refID=7032256&amp;Result=3","7032256")</f>
        <v>0</v>
      </c>
      <c r="B6638" t="s">
        <v>1978</v>
      </c>
      <c r="C6638" t="s">
        <v>9392</v>
      </c>
      <c r="D6638" t="s">
        <v>16193</v>
      </c>
      <c r="E6638" t="s">
        <v>22155</v>
      </c>
      <c r="F6638" t="s">
        <v>28198</v>
      </c>
      <c r="G6638" t="s">
        <v>28205</v>
      </c>
      <c r="H6638" t="s">
        <v>28214</v>
      </c>
      <c r="I6638" t="s">
        <v>3797</v>
      </c>
      <c r="J6638" t="s">
        <v>32503</v>
      </c>
      <c r="K6638" t="s">
        <v>36792</v>
      </c>
      <c r="M6638" t="s">
        <v>39114</v>
      </c>
      <c r="N6638" t="s">
        <v>40436</v>
      </c>
      <c r="O6638" t="s">
        <v>40437</v>
      </c>
      <c r="P6638">
        <v>0</v>
      </c>
      <c r="Q6638">
        <v>1</v>
      </c>
      <c r="R6638" t="s">
        <v>40444</v>
      </c>
      <c r="S6638" t="s">
        <v>40676</v>
      </c>
      <c r="T6638" t="s">
        <v>42456</v>
      </c>
      <c r="U6638" t="s">
        <v>48223</v>
      </c>
      <c r="W6638" t="s">
        <v>39114</v>
      </c>
      <c r="X6638" t="s">
        <v>40449</v>
      </c>
    </row>
    <row r="6639" spans="1:24">
      <c r="A6639">
        <f>HYPERLINK("https://www.philgeps.gov.ph/GEPSNONPILOT/Tender/SplashBidNoticeAbstractUI.aspx?menuIndex=3&amp;refID=7032605&amp;Result=3","7032605")</f>
        <v>0</v>
      </c>
      <c r="B6639" t="s">
        <v>65</v>
      </c>
      <c r="C6639" t="s">
        <v>9393</v>
      </c>
      <c r="D6639" t="s">
        <v>16210</v>
      </c>
      <c r="E6639" t="s">
        <v>22156</v>
      </c>
      <c r="F6639" t="s">
        <v>28198</v>
      </c>
      <c r="G6639" t="s">
        <v>28205</v>
      </c>
      <c r="H6639" t="s">
        <v>28215</v>
      </c>
      <c r="I6639" t="s">
        <v>28225</v>
      </c>
      <c r="J6639" t="s">
        <v>30488</v>
      </c>
      <c r="K6639" t="s">
        <v>36689</v>
      </c>
      <c r="M6639" t="s">
        <v>39272</v>
      </c>
      <c r="N6639" t="s">
        <v>40436</v>
      </c>
      <c r="O6639" t="s">
        <v>40437</v>
      </c>
      <c r="P6639">
        <v>0</v>
      </c>
      <c r="Q6639">
        <v>3</v>
      </c>
      <c r="R6639" t="s">
        <v>40444</v>
      </c>
      <c r="S6639" t="s">
        <v>40676</v>
      </c>
      <c r="T6639" t="s">
        <v>42138</v>
      </c>
      <c r="U6639" t="s">
        <v>48224</v>
      </c>
      <c r="W6639" t="s">
        <v>39272</v>
      </c>
      <c r="X6639" t="s">
        <v>40448</v>
      </c>
    </row>
    <row r="6640" spans="1:24">
      <c r="A6640">
        <f>HYPERLINK("https://www.philgeps.gov.ph/GEPSNONPILOT/Tender/SplashBidNoticeAbstractUI.aspx?menuIndex=3&amp;refID=7033072&amp;Result=3","7033072")</f>
        <v>0</v>
      </c>
      <c r="B6640" t="s">
        <v>2117</v>
      </c>
      <c r="C6640" t="s">
        <v>9394</v>
      </c>
      <c r="D6640" t="s">
        <v>16228</v>
      </c>
      <c r="E6640" t="s">
        <v>22157</v>
      </c>
      <c r="F6640" t="s">
        <v>28198</v>
      </c>
      <c r="G6640" t="s">
        <v>28205</v>
      </c>
      <c r="H6640" t="s">
        <v>28215</v>
      </c>
      <c r="I6640" t="s">
        <v>28274</v>
      </c>
      <c r="J6640" t="s">
        <v>32504</v>
      </c>
      <c r="K6640" t="s">
        <v>36784</v>
      </c>
      <c r="M6640" t="s">
        <v>39271</v>
      </c>
      <c r="N6640" t="s">
        <v>40436</v>
      </c>
      <c r="O6640" t="s">
        <v>40437</v>
      </c>
      <c r="P6640">
        <v>0</v>
      </c>
      <c r="Q6640">
        <v>0</v>
      </c>
      <c r="R6640" t="s">
        <v>40444</v>
      </c>
      <c r="S6640" t="s">
        <v>40676</v>
      </c>
      <c r="T6640" t="s">
        <v>42277</v>
      </c>
      <c r="U6640" t="s">
        <v>48225</v>
      </c>
      <c r="W6640" t="s">
        <v>39271</v>
      </c>
      <c r="X6640" t="s">
        <v>40447</v>
      </c>
    </row>
    <row r="6641" spans="1:24">
      <c r="A6641">
        <f>HYPERLINK("https://www.philgeps.gov.ph/GEPSNONPILOT/Tender/SplashBidNoticeAbstractUI.aspx?menuIndex=3&amp;refID=7032245&amp;Result=3","7032245")</f>
        <v>0</v>
      </c>
      <c r="B6641" t="s">
        <v>1978</v>
      </c>
      <c r="C6641" t="s">
        <v>9395</v>
      </c>
      <c r="D6641" t="s">
        <v>16193</v>
      </c>
      <c r="E6641" t="s">
        <v>22158</v>
      </c>
      <c r="F6641" t="s">
        <v>28198</v>
      </c>
      <c r="G6641" t="s">
        <v>28205</v>
      </c>
      <c r="H6641" t="s">
        <v>28214</v>
      </c>
      <c r="I6641" t="s">
        <v>3797</v>
      </c>
      <c r="J6641" t="s">
        <v>32505</v>
      </c>
      <c r="K6641" t="s">
        <v>36694</v>
      </c>
      <c r="M6641" t="s">
        <v>39114</v>
      </c>
      <c r="N6641" t="s">
        <v>40436</v>
      </c>
      <c r="O6641" t="s">
        <v>40437</v>
      </c>
      <c r="P6641">
        <v>0</v>
      </c>
      <c r="Q6641">
        <v>1</v>
      </c>
      <c r="R6641" t="s">
        <v>40444</v>
      </c>
      <c r="S6641" t="s">
        <v>40676</v>
      </c>
      <c r="T6641" t="s">
        <v>42456</v>
      </c>
      <c r="U6641" t="s">
        <v>48226</v>
      </c>
      <c r="W6641" t="s">
        <v>39114</v>
      </c>
      <c r="X6641" t="s">
        <v>40449</v>
      </c>
    </row>
    <row r="6642" spans="1:24">
      <c r="A6642">
        <f>HYPERLINK("https://www.philgeps.gov.ph/GEPSNONPILOT/Tender/SplashBidNoticeAbstractUI.aspx?menuIndex=3&amp;refID=7033810&amp;Result=3","7033810")</f>
        <v>0</v>
      </c>
      <c r="B6642" t="s">
        <v>2118</v>
      </c>
      <c r="C6642" t="s">
        <v>9396</v>
      </c>
      <c r="D6642" t="s">
        <v>16235</v>
      </c>
      <c r="E6642" t="s">
        <v>22159</v>
      </c>
      <c r="F6642" t="s">
        <v>28198</v>
      </c>
      <c r="G6642" t="s">
        <v>28205</v>
      </c>
      <c r="H6642" t="s">
        <v>28215</v>
      </c>
      <c r="I6642" t="s">
        <v>28227</v>
      </c>
      <c r="J6642" t="s">
        <v>32506</v>
      </c>
      <c r="K6642" t="s">
        <v>36707</v>
      </c>
      <c r="M6642" t="s">
        <v>39273</v>
      </c>
      <c r="N6642" t="s">
        <v>40436</v>
      </c>
      <c r="O6642" t="s">
        <v>40437</v>
      </c>
      <c r="P6642">
        <v>0</v>
      </c>
      <c r="Q6642">
        <v>2</v>
      </c>
      <c r="R6642" t="s">
        <v>40444</v>
      </c>
      <c r="S6642" t="s">
        <v>40676</v>
      </c>
      <c r="T6642" t="s">
        <v>42138</v>
      </c>
      <c r="U6642" t="s">
        <v>48227</v>
      </c>
      <c r="W6642" t="s">
        <v>39273</v>
      </c>
      <c r="X6642" t="s">
        <v>40447</v>
      </c>
    </row>
    <row r="6643" spans="1:24">
      <c r="A6643">
        <f>HYPERLINK("https://www.philgeps.gov.ph/GEPSNONPILOT/Tender/SplashBidNoticeAbstractUI.aspx?menuIndex=3&amp;refID=7032604&amp;Result=3","7032604")</f>
        <v>0</v>
      </c>
      <c r="B6643" t="s">
        <v>1018</v>
      </c>
      <c r="C6643" t="s">
        <v>9397</v>
      </c>
      <c r="D6643" t="s">
        <v>16248</v>
      </c>
      <c r="E6643" t="s">
        <v>22160</v>
      </c>
      <c r="F6643" t="s">
        <v>28198</v>
      </c>
      <c r="G6643" t="s">
        <v>28205</v>
      </c>
      <c r="H6643" t="s">
        <v>28214</v>
      </c>
      <c r="I6643" t="s">
        <v>3797</v>
      </c>
      <c r="J6643" t="s">
        <v>32507</v>
      </c>
      <c r="K6643" t="s">
        <v>36708</v>
      </c>
      <c r="M6643" t="s">
        <v>38047</v>
      </c>
      <c r="N6643" t="s">
        <v>40436</v>
      </c>
      <c r="O6643" t="s">
        <v>40437</v>
      </c>
      <c r="P6643">
        <v>0</v>
      </c>
      <c r="Q6643">
        <v>0</v>
      </c>
      <c r="R6643" t="s">
        <v>40444</v>
      </c>
      <c r="S6643" t="s">
        <v>40676</v>
      </c>
      <c r="T6643" t="s">
        <v>42184</v>
      </c>
      <c r="U6643" t="s">
        <v>48228</v>
      </c>
      <c r="W6643" t="s">
        <v>38047</v>
      </c>
      <c r="X6643" t="s">
        <v>40448</v>
      </c>
    </row>
    <row r="6644" spans="1:24">
      <c r="A6644">
        <f>HYPERLINK("https://www.philgeps.gov.ph/GEPSNONPILOT/Tender/SplashBidNoticeAbstractUI.aspx?menuIndex=3&amp;refID=7031018&amp;Result=3","7031018")</f>
        <v>0</v>
      </c>
      <c r="B6644" t="s">
        <v>2119</v>
      </c>
      <c r="C6644" t="s">
        <v>9398</v>
      </c>
      <c r="D6644" t="s">
        <v>16199</v>
      </c>
      <c r="E6644" t="s">
        <v>22161</v>
      </c>
      <c r="F6644" t="s">
        <v>28198</v>
      </c>
      <c r="G6644" t="s">
        <v>28205</v>
      </c>
      <c r="H6644" t="s">
        <v>28215</v>
      </c>
      <c r="I6644" t="s">
        <v>28225</v>
      </c>
      <c r="J6644" t="s">
        <v>32508</v>
      </c>
      <c r="K6644" t="s">
        <v>36689</v>
      </c>
      <c r="M6644" t="s">
        <v>39274</v>
      </c>
      <c r="N6644" t="s">
        <v>40436</v>
      </c>
      <c r="O6644" t="s">
        <v>40437</v>
      </c>
      <c r="P6644">
        <v>0</v>
      </c>
      <c r="Q6644">
        <v>2</v>
      </c>
      <c r="R6644" t="s">
        <v>40444</v>
      </c>
      <c r="S6644" t="s">
        <v>40676</v>
      </c>
      <c r="T6644" t="s">
        <v>42145</v>
      </c>
      <c r="U6644" t="s">
        <v>48229</v>
      </c>
      <c r="W6644" t="s">
        <v>39274</v>
      </c>
      <c r="X6644" t="s">
        <v>40450</v>
      </c>
    </row>
    <row r="6645" spans="1:24">
      <c r="A6645">
        <f>HYPERLINK("https://www.philgeps.gov.ph/GEPSNONPILOT/Tender/SplashBidNoticeAbstractUI.aspx?menuIndex=3&amp;refID=7034111&amp;Result=3","7034111")</f>
        <v>0</v>
      </c>
      <c r="B6645" t="s">
        <v>2120</v>
      </c>
      <c r="C6645" t="s">
        <v>9399</v>
      </c>
      <c r="D6645" t="s">
        <v>16235</v>
      </c>
      <c r="E6645" t="s">
        <v>22162</v>
      </c>
      <c r="F6645" t="s">
        <v>28198</v>
      </c>
      <c r="G6645" t="s">
        <v>28205</v>
      </c>
      <c r="H6645" t="s">
        <v>28215</v>
      </c>
      <c r="I6645" t="s">
        <v>28227</v>
      </c>
      <c r="J6645" t="s">
        <v>32509</v>
      </c>
      <c r="K6645" t="s">
        <v>36707</v>
      </c>
      <c r="M6645" t="s">
        <v>39275</v>
      </c>
      <c r="N6645" t="s">
        <v>40436</v>
      </c>
      <c r="O6645" t="s">
        <v>40437</v>
      </c>
      <c r="P6645">
        <v>0</v>
      </c>
      <c r="Q6645">
        <v>0</v>
      </c>
      <c r="R6645" t="s">
        <v>40444</v>
      </c>
      <c r="S6645" t="s">
        <v>40676</v>
      </c>
      <c r="T6645" t="s">
        <v>42138</v>
      </c>
      <c r="U6645" t="s">
        <v>48230</v>
      </c>
      <c r="W6645" t="s">
        <v>39275</v>
      </c>
      <c r="X6645" t="s">
        <v>40447</v>
      </c>
    </row>
    <row r="6646" spans="1:24">
      <c r="A6646">
        <f>HYPERLINK("https://www.philgeps.gov.ph/GEPSNONPILOT/Tender/SplashBidNoticeAbstractUI.aspx?menuIndex=3&amp;refID=7030280&amp;Result=3","7030280")</f>
        <v>0</v>
      </c>
      <c r="B6646" t="s">
        <v>2117</v>
      </c>
      <c r="C6646" t="s">
        <v>9400</v>
      </c>
      <c r="D6646" t="s">
        <v>16228</v>
      </c>
      <c r="E6646" t="s">
        <v>22163</v>
      </c>
      <c r="F6646" t="s">
        <v>28198</v>
      </c>
      <c r="G6646" t="s">
        <v>28205</v>
      </c>
      <c r="H6646" t="s">
        <v>28215</v>
      </c>
      <c r="I6646" t="s">
        <v>28234</v>
      </c>
      <c r="J6646" t="s">
        <v>28730</v>
      </c>
      <c r="K6646" t="s">
        <v>36694</v>
      </c>
      <c r="M6646" t="s">
        <v>39271</v>
      </c>
      <c r="N6646" t="s">
        <v>40436</v>
      </c>
      <c r="O6646" t="s">
        <v>40437</v>
      </c>
      <c r="P6646">
        <v>0</v>
      </c>
      <c r="Q6646">
        <v>4</v>
      </c>
      <c r="R6646" t="s">
        <v>40444</v>
      </c>
      <c r="S6646" t="s">
        <v>40676</v>
      </c>
      <c r="T6646" t="s">
        <v>42195</v>
      </c>
      <c r="U6646" t="s">
        <v>48231</v>
      </c>
      <c r="W6646" t="s">
        <v>39271</v>
      </c>
      <c r="X6646" t="s">
        <v>40450</v>
      </c>
    </row>
    <row r="6647" spans="1:24">
      <c r="A6647">
        <f>HYPERLINK("https://www.philgeps.gov.ph/GEPSNONPILOT/Tender/SplashBidNoticeAbstractUI.aspx?menuIndex=3&amp;refID=7034648&amp;Result=3","7034648")</f>
        <v>0</v>
      </c>
      <c r="B6647" t="s">
        <v>1214</v>
      </c>
      <c r="C6647" t="s">
        <v>9401</v>
      </c>
      <c r="D6647" t="s">
        <v>16187</v>
      </c>
      <c r="E6647" t="s">
        <v>22164</v>
      </c>
      <c r="F6647" t="s">
        <v>28198</v>
      </c>
      <c r="G6647" t="s">
        <v>28205</v>
      </c>
      <c r="H6647" t="s">
        <v>28215</v>
      </c>
      <c r="I6647" t="s">
        <v>3797</v>
      </c>
      <c r="J6647" t="s">
        <v>32510</v>
      </c>
      <c r="K6647" t="s">
        <v>36697</v>
      </c>
      <c r="M6647" t="s">
        <v>39191</v>
      </c>
      <c r="N6647" t="s">
        <v>40436</v>
      </c>
      <c r="O6647" t="s">
        <v>40437</v>
      </c>
      <c r="P6647">
        <v>0</v>
      </c>
      <c r="Q6647">
        <v>2</v>
      </c>
      <c r="R6647" t="s">
        <v>40444</v>
      </c>
      <c r="S6647" t="s">
        <v>40676</v>
      </c>
      <c r="T6647" t="s">
        <v>42362</v>
      </c>
      <c r="U6647" t="s">
        <v>48232</v>
      </c>
      <c r="W6647" t="s">
        <v>39191</v>
      </c>
      <c r="X6647" t="s">
        <v>40447</v>
      </c>
    </row>
    <row r="6648" spans="1:24">
      <c r="A6648">
        <f>HYPERLINK("https://www.philgeps.gov.ph/GEPSNONPILOT/Tender/SplashBidNoticeAbstractUI.aspx?menuIndex=3&amp;refID=7032263&amp;Result=3","7032263")</f>
        <v>0</v>
      </c>
      <c r="B6648" t="s">
        <v>1978</v>
      </c>
      <c r="C6648" t="s">
        <v>9402</v>
      </c>
      <c r="D6648" t="s">
        <v>16193</v>
      </c>
      <c r="E6648" t="s">
        <v>22165</v>
      </c>
      <c r="F6648" t="s">
        <v>28198</v>
      </c>
      <c r="G6648" t="s">
        <v>28205</v>
      </c>
      <c r="H6648" t="s">
        <v>28214</v>
      </c>
      <c r="I6648" t="s">
        <v>3797</v>
      </c>
      <c r="J6648" t="s">
        <v>32511</v>
      </c>
      <c r="K6648" t="s">
        <v>36701</v>
      </c>
      <c r="M6648" t="s">
        <v>39114</v>
      </c>
      <c r="N6648" t="s">
        <v>40436</v>
      </c>
      <c r="O6648" t="s">
        <v>40437</v>
      </c>
      <c r="P6648">
        <v>0</v>
      </c>
      <c r="Q6648">
        <v>1</v>
      </c>
      <c r="R6648" t="s">
        <v>40444</v>
      </c>
      <c r="S6648" t="s">
        <v>40676</v>
      </c>
      <c r="T6648" t="s">
        <v>42456</v>
      </c>
      <c r="U6648" t="s">
        <v>48233</v>
      </c>
      <c r="W6648" t="s">
        <v>39114</v>
      </c>
      <c r="X6648" t="s">
        <v>40449</v>
      </c>
    </row>
    <row r="6649" spans="1:24">
      <c r="A6649">
        <f>HYPERLINK("https://www.philgeps.gov.ph/GEPSNONPILOT/Tender/SplashBidNoticeAbstractUI.aspx?menuIndex=3&amp;refID=7034530&amp;Result=3","7034530")</f>
        <v>0</v>
      </c>
      <c r="B6649" t="s">
        <v>2121</v>
      </c>
      <c r="C6649" t="s">
        <v>9403</v>
      </c>
      <c r="D6649" t="s">
        <v>16208</v>
      </c>
      <c r="E6649" t="s">
        <v>17727</v>
      </c>
      <c r="F6649" t="s">
        <v>28198</v>
      </c>
      <c r="G6649" t="s">
        <v>28205</v>
      </c>
      <c r="H6649" t="s">
        <v>28214</v>
      </c>
      <c r="I6649" t="s">
        <v>5100</v>
      </c>
      <c r="J6649" t="s">
        <v>32512</v>
      </c>
      <c r="K6649" t="s">
        <v>36717</v>
      </c>
      <c r="M6649" t="s">
        <v>39276</v>
      </c>
      <c r="N6649" t="s">
        <v>40436</v>
      </c>
      <c r="O6649" t="s">
        <v>40437</v>
      </c>
      <c r="P6649">
        <v>0</v>
      </c>
      <c r="Q6649">
        <v>0</v>
      </c>
      <c r="R6649" t="s">
        <v>40444</v>
      </c>
      <c r="S6649" t="s">
        <v>40676</v>
      </c>
      <c r="T6649" t="s">
        <v>42190</v>
      </c>
      <c r="U6649" t="s">
        <v>48234</v>
      </c>
      <c r="W6649" t="s">
        <v>39276</v>
      </c>
      <c r="X6649" t="s">
        <v>40447</v>
      </c>
    </row>
    <row r="6650" spans="1:24">
      <c r="A6650">
        <f>HYPERLINK("https://www.philgeps.gov.ph/GEPSNONPILOT/Tender/SplashBidNoticeAbstractUI.aspx?menuIndex=3&amp;refID=7034267&amp;Result=3","7034267")</f>
        <v>0</v>
      </c>
      <c r="B6650" t="s">
        <v>2122</v>
      </c>
      <c r="C6650" t="s">
        <v>9404</v>
      </c>
      <c r="D6650" t="s">
        <v>16191</v>
      </c>
      <c r="E6650" t="s">
        <v>22166</v>
      </c>
      <c r="F6650" t="s">
        <v>28198</v>
      </c>
      <c r="G6650" t="s">
        <v>28205</v>
      </c>
      <c r="H6650" t="s">
        <v>28214</v>
      </c>
      <c r="I6650" t="s">
        <v>3797</v>
      </c>
      <c r="J6650" t="s">
        <v>29113</v>
      </c>
      <c r="K6650" t="s">
        <v>36709</v>
      </c>
      <c r="M6650" t="s">
        <v>39277</v>
      </c>
      <c r="N6650" t="s">
        <v>40436</v>
      </c>
      <c r="O6650" t="s">
        <v>40437</v>
      </c>
      <c r="P6650">
        <v>0</v>
      </c>
      <c r="Q6650">
        <v>1</v>
      </c>
      <c r="R6650" t="s">
        <v>40444</v>
      </c>
      <c r="S6650" t="s">
        <v>40676</v>
      </c>
      <c r="T6650" t="s">
        <v>42457</v>
      </c>
      <c r="U6650" t="s">
        <v>48235</v>
      </c>
      <c r="W6650" t="s">
        <v>39277</v>
      </c>
      <c r="X6650" t="s">
        <v>40447</v>
      </c>
    </row>
    <row r="6651" spans="1:24">
      <c r="A6651">
        <f>HYPERLINK("https://www.philgeps.gov.ph/GEPSNONPILOT/Tender/SplashBidNoticeAbstractUI.aspx?menuIndex=3&amp;refID=7034681&amp;Result=3","7034681")</f>
        <v>0</v>
      </c>
      <c r="B6651" t="s">
        <v>1214</v>
      </c>
      <c r="C6651" t="s">
        <v>9405</v>
      </c>
      <c r="D6651" t="s">
        <v>16187</v>
      </c>
      <c r="E6651" t="s">
        <v>22167</v>
      </c>
      <c r="F6651" t="s">
        <v>28198</v>
      </c>
      <c r="G6651" t="s">
        <v>28205</v>
      </c>
      <c r="H6651" t="s">
        <v>28215</v>
      </c>
      <c r="I6651" t="s">
        <v>3797</v>
      </c>
      <c r="J6651" t="s">
        <v>32513</v>
      </c>
      <c r="K6651" t="s">
        <v>36697</v>
      </c>
      <c r="M6651" t="s">
        <v>39191</v>
      </c>
      <c r="N6651" t="s">
        <v>40436</v>
      </c>
      <c r="O6651" t="s">
        <v>40437</v>
      </c>
      <c r="P6651">
        <v>0</v>
      </c>
      <c r="Q6651">
        <v>2</v>
      </c>
      <c r="R6651" t="s">
        <v>40444</v>
      </c>
      <c r="S6651" t="s">
        <v>40676</v>
      </c>
      <c r="T6651" t="s">
        <v>42362</v>
      </c>
      <c r="U6651" t="s">
        <v>48232</v>
      </c>
      <c r="W6651" t="s">
        <v>39191</v>
      </c>
      <c r="X6651" t="s">
        <v>40447</v>
      </c>
    </row>
    <row r="6652" spans="1:24">
      <c r="A6652">
        <f>HYPERLINK("https://www.philgeps.gov.ph/GEPSNONPILOT/Tender/SplashBidNoticeAbstractUI.aspx?menuIndex=3&amp;refID=7034513&amp;Result=3","7034513")</f>
        <v>0</v>
      </c>
      <c r="B6652" t="s">
        <v>2118</v>
      </c>
      <c r="C6652" t="s">
        <v>9406</v>
      </c>
      <c r="D6652" t="s">
        <v>16235</v>
      </c>
      <c r="E6652" t="s">
        <v>22168</v>
      </c>
      <c r="F6652" t="s">
        <v>28198</v>
      </c>
      <c r="G6652" t="s">
        <v>28205</v>
      </c>
      <c r="H6652" t="s">
        <v>28215</v>
      </c>
      <c r="I6652" t="s">
        <v>28227</v>
      </c>
      <c r="J6652" t="s">
        <v>32514</v>
      </c>
      <c r="K6652" t="s">
        <v>36707</v>
      </c>
      <c r="M6652" t="s">
        <v>39273</v>
      </c>
      <c r="N6652" t="s">
        <v>40436</v>
      </c>
      <c r="O6652" t="s">
        <v>40437</v>
      </c>
      <c r="P6652">
        <v>0</v>
      </c>
      <c r="Q6652">
        <v>0</v>
      </c>
      <c r="R6652" t="s">
        <v>40444</v>
      </c>
      <c r="S6652" t="s">
        <v>40676</v>
      </c>
      <c r="T6652" t="s">
        <v>42138</v>
      </c>
      <c r="U6652" t="s">
        <v>48236</v>
      </c>
      <c r="W6652" t="s">
        <v>39273</v>
      </c>
      <c r="X6652" t="s">
        <v>40447</v>
      </c>
    </row>
    <row r="6653" spans="1:24">
      <c r="A6653">
        <f>HYPERLINK("https://www.philgeps.gov.ph/GEPSNONPILOT/Tender/SplashBidNoticeAbstractUI.aspx?menuIndex=3&amp;refID=7034236&amp;Result=3","7034236")</f>
        <v>0</v>
      </c>
      <c r="B6653" t="s">
        <v>2122</v>
      </c>
      <c r="C6653" t="s">
        <v>9407</v>
      </c>
      <c r="D6653" t="s">
        <v>16191</v>
      </c>
      <c r="E6653" t="s">
        <v>22169</v>
      </c>
      <c r="F6653" t="s">
        <v>28198</v>
      </c>
      <c r="G6653" t="s">
        <v>28205</v>
      </c>
      <c r="H6653" t="s">
        <v>28214</v>
      </c>
      <c r="I6653" t="s">
        <v>3797</v>
      </c>
      <c r="J6653" t="s">
        <v>32515</v>
      </c>
      <c r="K6653" t="s">
        <v>36690</v>
      </c>
      <c r="M6653" t="s">
        <v>39277</v>
      </c>
      <c r="N6653" t="s">
        <v>40436</v>
      </c>
      <c r="O6653" t="s">
        <v>40437</v>
      </c>
      <c r="P6653">
        <v>0</v>
      </c>
      <c r="Q6653">
        <v>2</v>
      </c>
      <c r="R6653" t="s">
        <v>40444</v>
      </c>
      <c r="S6653" t="s">
        <v>40676</v>
      </c>
      <c r="T6653" t="s">
        <v>42457</v>
      </c>
      <c r="U6653" t="s">
        <v>48237</v>
      </c>
      <c r="W6653" t="s">
        <v>39277</v>
      </c>
      <c r="X6653" t="s">
        <v>40447</v>
      </c>
    </row>
    <row r="6654" spans="1:24">
      <c r="A6654">
        <f>HYPERLINK("https://www.philgeps.gov.ph/GEPSNONPILOT/Tender/SplashBidNoticeAbstractUI.aspx?menuIndex=3&amp;refID=7035385&amp;Result=3","7035385")</f>
        <v>0</v>
      </c>
      <c r="B6654" t="s">
        <v>340</v>
      </c>
      <c r="C6654" t="s">
        <v>9408</v>
      </c>
      <c r="D6654" t="s">
        <v>16195</v>
      </c>
      <c r="E6654" t="s">
        <v>22170</v>
      </c>
      <c r="F6654" t="s">
        <v>28198</v>
      </c>
      <c r="G6654" t="s">
        <v>28205</v>
      </c>
      <c r="H6654" t="s">
        <v>28214</v>
      </c>
      <c r="I6654" t="s">
        <v>3797</v>
      </c>
      <c r="J6654" t="s">
        <v>28398</v>
      </c>
      <c r="K6654" t="s">
        <v>36778</v>
      </c>
      <c r="M6654" t="s">
        <v>39278</v>
      </c>
      <c r="N6654" t="s">
        <v>40436</v>
      </c>
      <c r="O6654" t="s">
        <v>40437</v>
      </c>
      <c r="P6654">
        <v>0</v>
      </c>
      <c r="Q6654">
        <v>0</v>
      </c>
      <c r="R6654" t="s">
        <v>40444</v>
      </c>
      <c r="S6654" t="s">
        <v>40676</v>
      </c>
      <c r="T6654" t="s">
        <v>42184</v>
      </c>
      <c r="U6654" t="s">
        <v>48238</v>
      </c>
      <c r="W6654" t="s">
        <v>39278</v>
      </c>
      <c r="X6654" t="s">
        <v>40446</v>
      </c>
    </row>
    <row r="6655" spans="1:24">
      <c r="A6655">
        <f>HYPERLINK("https://www.philgeps.gov.ph/GEPSNONPILOT/Tender/SplashBidNoticeAbstractUI.aspx?menuIndex=3&amp;refID=7034819&amp;Result=3","7034819")</f>
        <v>0</v>
      </c>
      <c r="B6655" t="s">
        <v>2123</v>
      </c>
      <c r="C6655" t="s">
        <v>9409</v>
      </c>
      <c r="E6655" t="s">
        <v>21430</v>
      </c>
      <c r="F6655" t="s">
        <v>28198</v>
      </c>
      <c r="G6655" t="s">
        <v>28205</v>
      </c>
      <c r="H6655" t="s">
        <v>28215</v>
      </c>
      <c r="I6655" t="s">
        <v>28234</v>
      </c>
      <c r="J6655" t="s">
        <v>28361</v>
      </c>
      <c r="K6655" t="s">
        <v>36706</v>
      </c>
      <c r="M6655" t="s">
        <v>39279</v>
      </c>
      <c r="N6655" t="s">
        <v>40436</v>
      </c>
      <c r="O6655" t="s">
        <v>40437</v>
      </c>
      <c r="P6655">
        <v>0</v>
      </c>
      <c r="Q6655">
        <v>6</v>
      </c>
      <c r="R6655" t="s">
        <v>40444</v>
      </c>
      <c r="S6655" t="s">
        <v>40676</v>
      </c>
      <c r="T6655" t="s">
        <v>42427</v>
      </c>
      <c r="U6655" t="s">
        <v>48239</v>
      </c>
      <c r="W6655" t="s">
        <v>39279</v>
      </c>
      <c r="X6655" t="s">
        <v>40447</v>
      </c>
    </row>
    <row r="6656" spans="1:24">
      <c r="A6656">
        <f>HYPERLINK("https://www.philgeps.gov.ph/GEPSNONPILOT/Tender/SplashBidNoticeAbstractUI.aspx?menuIndex=3&amp;refID=7035351&amp;Result=3","7035351")</f>
        <v>0</v>
      </c>
      <c r="B6656" t="s">
        <v>1009</v>
      </c>
      <c r="C6656" t="s">
        <v>9410</v>
      </c>
      <c r="E6656" t="s">
        <v>22171</v>
      </c>
      <c r="F6656" t="s">
        <v>28198</v>
      </c>
      <c r="G6656" t="s">
        <v>28205</v>
      </c>
      <c r="H6656" t="s">
        <v>28215</v>
      </c>
      <c r="I6656" t="s">
        <v>28222</v>
      </c>
      <c r="J6656" t="s">
        <v>32516</v>
      </c>
      <c r="K6656" t="s">
        <v>36701</v>
      </c>
      <c r="M6656" t="s">
        <v>38050</v>
      </c>
      <c r="N6656" t="s">
        <v>40436</v>
      </c>
      <c r="O6656" t="s">
        <v>40437</v>
      </c>
      <c r="P6656">
        <v>0</v>
      </c>
      <c r="Q6656">
        <v>5</v>
      </c>
      <c r="R6656" t="s">
        <v>40444</v>
      </c>
      <c r="S6656" t="s">
        <v>40676</v>
      </c>
      <c r="T6656" t="s">
        <v>42435</v>
      </c>
      <c r="U6656" t="s">
        <v>48240</v>
      </c>
      <c r="W6656" t="s">
        <v>38050</v>
      </c>
      <c r="X6656" t="s">
        <v>40446</v>
      </c>
    </row>
    <row r="6657" spans="1:24">
      <c r="A6657">
        <f>HYPERLINK("https://www.philgeps.gov.ph/GEPSNONPILOT/Tender/SplashBidNoticeAbstractUI.aspx?menuIndex=3&amp;refID=7034276&amp;Result=3","7034276")</f>
        <v>0</v>
      </c>
      <c r="B6657" t="s">
        <v>357</v>
      </c>
      <c r="C6657" t="s">
        <v>9411</v>
      </c>
      <c r="D6657" t="s">
        <v>16197</v>
      </c>
      <c r="E6657" t="s">
        <v>22172</v>
      </c>
      <c r="F6657" t="s">
        <v>28198</v>
      </c>
      <c r="G6657" t="s">
        <v>28205</v>
      </c>
      <c r="H6657" t="s">
        <v>28214</v>
      </c>
      <c r="I6657" t="s">
        <v>3797</v>
      </c>
      <c r="J6657" t="s">
        <v>32517</v>
      </c>
      <c r="K6657" t="s">
        <v>36717</v>
      </c>
      <c r="M6657" t="s">
        <v>37336</v>
      </c>
      <c r="N6657" t="s">
        <v>40436</v>
      </c>
      <c r="O6657" t="s">
        <v>40437</v>
      </c>
      <c r="P6657">
        <v>0</v>
      </c>
      <c r="Q6657">
        <v>2</v>
      </c>
      <c r="R6657" t="s">
        <v>40444</v>
      </c>
      <c r="S6657" t="s">
        <v>40676</v>
      </c>
      <c r="T6657" t="s">
        <v>42435</v>
      </c>
      <c r="U6657" t="s">
        <v>48241</v>
      </c>
      <c r="W6657" t="s">
        <v>37336</v>
      </c>
      <c r="X6657" t="s">
        <v>40447</v>
      </c>
    </row>
    <row r="6658" spans="1:24">
      <c r="A6658">
        <f>HYPERLINK("https://www.philgeps.gov.ph/GEPSNONPILOT/Tender/SplashBidNoticeAbstractUI.aspx?menuIndex=3&amp;refID=7034166&amp;Result=3","7034166")</f>
        <v>0</v>
      </c>
      <c r="B6658" t="s">
        <v>2122</v>
      </c>
      <c r="C6658" t="s">
        <v>9412</v>
      </c>
      <c r="D6658" t="s">
        <v>16191</v>
      </c>
      <c r="E6658" t="s">
        <v>22173</v>
      </c>
      <c r="F6658" t="s">
        <v>28198</v>
      </c>
      <c r="G6658" t="s">
        <v>28205</v>
      </c>
      <c r="H6658" t="s">
        <v>28214</v>
      </c>
      <c r="I6658" t="s">
        <v>3797</v>
      </c>
      <c r="J6658" t="s">
        <v>29331</v>
      </c>
      <c r="K6658" t="s">
        <v>36690</v>
      </c>
      <c r="M6658" t="s">
        <v>39277</v>
      </c>
      <c r="N6658" t="s">
        <v>40436</v>
      </c>
      <c r="O6658" t="s">
        <v>40437</v>
      </c>
      <c r="P6658">
        <v>0</v>
      </c>
      <c r="Q6658">
        <v>2</v>
      </c>
      <c r="R6658" t="s">
        <v>40444</v>
      </c>
      <c r="S6658" t="s">
        <v>40676</v>
      </c>
      <c r="T6658" t="s">
        <v>42457</v>
      </c>
      <c r="U6658" t="s">
        <v>48242</v>
      </c>
      <c r="W6658" t="s">
        <v>39277</v>
      </c>
      <c r="X6658" t="s">
        <v>40447</v>
      </c>
    </row>
    <row r="6659" spans="1:24">
      <c r="A6659">
        <f>HYPERLINK("https://www.philgeps.gov.ph/GEPSNONPILOT/Tender/SplashBidNoticeAbstractUI.aspx?menuIndex=3&amp;refID=7035334&amp;Result=3","7035334")</f>
        <v>0</v>
      </c>
      <c r="B6659" t="s">
        <v>1903</v>
      </c>
      <c r="C6659" t="s">
        <v>9413</v>
      </c>
      <c r="D6659" t="s">
        <v>16218</v>
      </c>
      <c r="E6659" t="s">
        <v>22174</v>
      </c>
      <c r="F6659" t="s">
        <v>28198</v>
      </c>
      <c r="G6659" t="s">
        <v>28206</v>
      </c>
      <c r="H6659" t="s">
        <v>28215</v>
      </c>
      <c r="I6659" t="s">
        <v>4219</v>
      </c>
      <c r="J6659" t="s">
        <v>32518</v>
      </c>
      <c r="K6659" t="s">
        <v>36701</v>
      </c>
      <c r="M6659" t="s">
        <v>39035</v>
      </c>
      <c r="N6659" t="s">
        <v>40436</v>
      </c>
      <c r="O6659" t="s">
        <v>40437</v>
      </c>
      <c r="P6659">
        <v>0</v>
      </c>
      <c r="Q6659">
        <v>8</v>
      </c>
      <c r="R6659" t="s">
        <v>40444</v>
      </c>
      <c r="S6659" t="s">
        <v>40676</v>
      </c>
      <c r="T6659" t="s">
        <v>42350</v>
      </c>
      <c r="U6659" t="s">
        <v>48243</v>
      </c>
      <c r="W6659" t="s">
        <v>39035</v>
      </c>
      <c r="X6659" t="s">
        <v>40446</v>
      </c>
    </row>
    <row r="6660" spans="1:24">
      <c r="A6660">
        <f>HYPERLINK("https://www.philgeps.gov.ph/GEPSNONPILOT/Tender/SplashBidNoticeAbstractUI.aspx?menuIndex=3&amp;refID=7035371&amp;Result=3","7035371")</f>
        <v>0</v>
      </c>
      <c r="B6660" t="s">
        <v>34</v>
      </c>
      <c r="C6660" t="s">
        <v>9414</v>
      </c>
      <c r="D6660" t="s">
        <v>16195</v>
      </c>
      <c r="E6660" t="s">
        <v>22175</v>
      </c>
      <c r="F6660" t="s">
        <v>28198</v>
      </c>
      <c r="G6660" t="s">
        <v>28205</v>
      </c>
      <c r="H6660" t="s">
        <v>28214</v>
      </c>
      <c r="I6660" t="s">
        <v>3797</v>
      </c>
      <c r="J6660" t="s">
        <v>32519</v>
      </c>
      <c r="K6660" t="s">
        <v>36851</v>
      </c>
      <c r="M6660" t="s">
        <v>39280</v>
      </c>
      <c r="N6660" t="s">
        <v>40436</v>
      </c>
      <c r="O6660" t="s">
        <v>40437</v>
      </c>
      <c r="P6660">
        <v>0</v>
      </c>
      <c r="Q6660">
        <v>0</v>
      </c>
      <c r="R6660" t="s">
        <v>40444</v>
      </c>
      <c r="S6660" t="s">
        <v>40676</v>
      </c>
      <c r="T6660" t="s">
        <v>42171</v>
      </c>
      <c r="U6660" t="s">
        <v>46771</v>
      </c>
      <c r="V6660" t="s">
        <v>53826</v>
      </c>
      <c r="W6660" t="s">
        <v>39280</v>
      </c>
      <c r="X6660" t="s">
        <v>40446</v>
      </c>
    </row>
    <row r="6661" spans="1:24">
      <c r="A6661">
        <f>HYPERLINK("https://www.philgeps.gov.ph/GEPSNONPILOT/Tender/SplashBidNoticeAbstractUI.aspx?menuIndex=3&amp;refID=7035367&amp;Result=3","7035367")</f>
        <v>0</v>
      </c>
      <c r="B6661" t="s">
        <v>2124</v>
      </c>
      <c r="C6661" t="s">
        <v>9415</v>
      </c>
      <c r="D6661" t="s">
        <v>16235</v>
      </c>
      <c r="E6661" t="s">
        <v>22176</v>
      </c>
      <c r="F6661" t="s">
        <v>28198</v>
      </c>
      <c r="G6661" t="s">
        <v>28205</v>
      </c>
      <c r="H6661" t="s">
        <v>28215</v>
      </c>
      <c r="I6661" t="s">
        <v>28227</v>
      </c>
      <c r="J6661" t="s">
        <v>32520</v>
      </c>
      <c r="K6661" t="s">
        <v>36707</v>
      </c>
      <c r="M6661" t="s">
        <v>39281</v>
      </c>
      <c r="N6661" t="s">
        <v>40436</v>
      </c>
      <c r="O6661" t="s">
        <v>40437</v>
      </c>
      <c r="P6661">
        <v>0</v>
      </c>
      <c r="Q6661">
        <v>1</v>
      </c>
      <c r="R6661" t="s">
        <v>40444</v>
      </c>
      <c r="S6661" t="s">
        <v>40676</v>
      </c>
      <c r="T6661" t="s">
        <v>42138</v>
      </c>
      <c r="U6661" t="s">
        <v>48244</v>
      </c>
      <c r="W6661" t="s">
        <v>39281</v>
      </c>
      <c r="X6661" t="s">
        <v>40446</v>
      </c>
    </row>
    <row r="6662" spans="1:24">
      <c r="A6662">
        <f>HYPERLINK("https://www.philgeps.gov.ph/GEPSNONPILOT/Tender/SplashBidNoticeAbstractUI.aspx?menuIndex=3&amp;refID=7035048&amp;Result=3","7035048")</f>
        <v>0</v>
      </c>
      <c r="B6662" t="s">
        <v>2125</v>
      </c>
      <c r="C6662" t="s">
        <v>9416</v>
      </c>
      <c r="D6662" t="s">
        <v>16193</v>
      </c>
      <c r="E6662" t="s">
        <v>22177</v>
      </c>
      <c r="F6662" t="s">
        <v>28198</v>
      </c>
      <c r="G6662" t="s">
        <v>28205</v>
      </c>
      <c r="H6662" t="s">
        <v>28215</v>
      </c>
      <c r="I6662" t="s">
        <v>5100</v>
      </c>
      <c r="J6662" t="s">
        <v>32521</v>
      </c>
      <c r="K6662" t="s">
        <v>36701</v>
      </c>
      <c r="M6662" t="s">
        <v>39282</v>
      </c>
      <c r="N6662" t="s">
        <v>40436</v>
      </c>
      <c r="O6662" t="s">
        <v>40437</v>
      </c>
      <c r="P6662">
        <v>0</v>
      </c>
      <c r="Q6662">
        <v>1</v>
      </c>
      <c r="R6662" t="s">
        <v>40444</v>
      </c>
      <c r="S6662" t="s">
        <v>40676</v>
      </c>
      <c r="T6662" t="s">
        <v>42203</v>
      </c>
      <c r="U6662" t="s">
        <v>48245</v>
      </c>
      <c r="W6662" t="s">
        <v>39282</v>
      </c>
      <c r="X6662" t="s">
        <v>40447</v>
      </c>
    </row>
    <row r="6663" spans="1:24">
      <c r="A6663">
        <f>HYPERLINK("https://www.philgeps.gov.ph/GEPSNONPILOT/Tender/SplashBidNoticeAbstractUI.aspx?menuIndex=3&amp;refID=7035174&amp;Result=3","7035174")</f>
        <v>0</v>
      </c>
      <c r="B6663" t="s">
        <v>2125</v>
      </c>
      <c r="C6663" t="s">
        <v>9417</v>
      </c>
      <c r="D6663" t="s">
        <v>16193</v>
      </c>
      <c r="E6663" t="s">
        <v>22178</v>
      </c>
      <c r="F6663" t="s">
        <v>28198</v>
      </c>
      <c r="G6663" t="s">
        <v>28205</v>
      </c>
      <c r="H6663" t="s">
        <v>28214</v>
      </c>
      <c r="I6663" t="s">
        <v>3797</v>
      </c>
      <c r="J6663" t="s">
        <v>32522</v>
      </c>
      <c r="K6663" t="s">
        <v>36699</v>
      </c>
      <c r="M6663" t="s">
        <v>39282</v>
      </c>
      <c r="N6663" t="s">
        <v>40436</v>
      </c>
      <c r="O6663" t="s">
        <v>40437</v>
      </c>
      <c r="P6663">
        <v>0</v>
      </c>
      <c r="Q6663">
        <v>1</v>
      </c>
      <c r="R6663" t="s">
        <v>40444</v>
      </c>
      <c r="S6663" t="s">
        <v>40676</v>
      </c>
      <c r="T6663" t="s">
        <v>42203</v>
      </c>
      <c r="U6663" t="s">
        <v>48246</v>
      </c>
      <c r="W6663" t="s">
        <v>39282</v>
      </c>
      <c r="X6663" t="s">
        <v>40447</v>
      </c>
    </row>
    <row r="6664" spans="1:24">
      <c r="A6664">
        <f>HYPERLINK("https://www.philgeps.gov.ph/GEPSNONPILOT/Tender/SplashBidNoticeAbstractUI.aspx?menuIndex=3&amp;refID=7035017&amp;Result=3","7035017")</f>
        <v>0</v>
      </c>
      <c r="B6664" t="s">
        <v>2125</v>
      </c>
      <c r="C6664" t="s">
        <v>9418</v>
      </c>
      <c r="D6664" t="s">
        <v>16193</v>
      </c>
      <c r="E6664" t="s">
        <v>22179</v>
      </c>
      <c r="F6664" t="s">
        <v>28198</v>
      </c>
      <c r="G6664" t="s">
        <v>28205</v>
      </c>
      <c r="H6664" t="s">
        <v>28215</v>
      </c>
      <c r="I6664" t="s">
        <v>28314</v>
      </c>
      <c r="J6664" t="s">
        <v>32523</v>
      </c>
      <c r="K6664" t="s">
        <v>36694</v>
      </c>
      <c r="M6664" t="s">
        <v>39282</v>
      </c>
      <c r="N6664" t="s">
        <v>40436</v>
      </c>
      <c r="O6664" t="s">
        <v>40437</v>
      </c>
      <c r="P6664">
        <v>0</v>
      </c>
      <c r="Q6664">
        <v>1</v>
      </c>
      <c r="R6664" t="s">
        <v>40444</v>
      </c>
      <c r="S6664" t="s">
        <v>40676</v>
      </c>
      <c r="T6664" t="s">
        <v>42203</v>
      </c>
      <c r="U6664" t="s">
        <v>48245</v>
      </c>
      <c r="W6664" t="s">
        <v>39282</v>
      </c>
      <c r="X6664" t="s">
        <v>40447</v>
      </c>
    </row>
    <row r="6665" spans="1:24">
      <c r="A6665">
        <f>HYPERLINK("https://www.philgeps.gov.ph/GEPSNONPILOT/Tender/SplashBidNoticeAbstractUI.aspx?menuIndex=3&amp;refID=7035390&amp;Result=3","7035390")</f>
        <v>0</v>
      </c>
      <c r="B6665" t="s">
        <v>276</v>
      </c>
      <c r="C6665" t="s">
        <v>8537</v>
      </c>
      <c r="D6665" t="s">
        <v>16193</v>
      </c>
      <c r="E6665" t="s">
        <v>16473</v>
      </c>
      <c r="F6665" t="s">
        <v>28200</v>
      </c>
      <c r="G6665" t="s">
        <v>28205</v>
      </c>
      <c r="H6665" t="s">
        <v>28214</v>
      </c>
      <c r="I6665" t="s">
        <v>3797</v>
      </c>
      <c r="J6665" t="s">
        <v>28345</v>
      </c>
      <c r="K6665" t="s">
        <v>36707</v>
      </c>
      <c r="M6665" t="s">
        <v>37253</v>
      </c>
      <c r="N6665" t="s">
        <v>40436</v>
      </c>
      <c r="O6665" t="s">
        <v>40437</v>
      </c>
      <c r="P6665">
        <v>0</v>
      </c>
      <c r="Q6665">
        <v>1</v>
      </c>
      <c r="R6665" t="s">
        <v>40444</v>
      </c>
      <c r="S6665" t="s">
        <v>40676</v>
      </c>
      <c r="T6665" t="s">
        <v>42128</v>
      </c>
      <c r="U6665" t="s">
        <v>48247</v>
      </c>
      <c r="W6665" t="s">
        <v>37253</v>
      </c>
      <c r="X6665" t="s">
        <v>40446</v>
      </c>
    </row>
    <row r="6666" spans="1:24">
      <c r="A6666">
        <f>HYPERLINK("https://www.philgeps.gov.ph/GEPSNONPILOT/Tender/SplashBidNoticeAbstractUI.aspx?menuIndex=3&amp;refID=7035462&amp;Result=3","7035462")</f>
        <v>0</v>
      </c>
      <c r="B6666" t="s">
        <v>340</v>
      </c>
      <c r="C6666" t="s">
        <v>9419</v>
      </c>
      <c r="D6666" t="s">
        <v>16195</v>
      </c>
      <c r="E6666" t="s">
        <v>22180</v>
      </c>
      <c r="F6666" t="s">
        <v>28198</v>
      </c>
      <c r="G6666" t="s">
        <v>28205</v>
      </c>
      <c r="H6666" t="s">
        <v>28214</v>
      </c>
      <c r="I6666" t="s">
        <v>3797</v>
      </c>
      <c r="J6666" t="s">
        <v>28398</v>
      </c>
      <c r="K6666" t="s">
        <v>36701</v>
      </c>
      <c r="M6666" t="s">
        <v>39278</v>
      </c>
      <c r="N6666" t="s">
        <v>40436</v>
      </c>
      <c r="O6666" t="s">
        <v>40437</v>
      </c>
      <c r="P6666">
        <v>0</v>
      </c>
      <c r="Q6666">
        <v>0</v>
      </c>
      <c r="R6666" t="s">
        <v>40444</v>
      </c>
      <c r="S6666" t="s">
        <v>40676</v>
      </c>
      <c r="T6666" t="s">
        <v>42184</v>
      </c>
      <c r="U6666" t="s">
        <v>48248</v>
      </c>
      <c r="W6666" t="s">
        <v>39278</v>
      </c>
      <c r="X6666" t="s">
        <v>40446</v>
      </c>
    </row>
    <row r="6667" spans="1:24">
      <c r="A6667">
        <f>HYPERLINK("https://www.philgeps.gov.ph/GEPSNONPILOT/Tender/SplashBidNoticeAbstractUI.aspx?menuIndex=3&amp;refID=7035759&amp;Result=3","7035759")</f>
        <v>0</v>
      </c>
      <c r="B6667" t="s">
        <v>340</v>
      </c>
      <c r="C6667" t="s">
        <v>9420</v>
      </c>
      <c r="D6667" t="s">
        <v>16195</v>
      </c>
      <c r="E6667" t="s">
        <v>22181</v>
      </c>
      <c r="F6667" t="s">
        <v>28198</v>
      </c>
      <c r="G6667" t="s">
        <v>28205</v>
      </c>
      <c r="H6667" t="s">
        <v>28214</v>
      </c>
      <c r="I6667" t="s">
        <v>3797</v>
      </c>
      <c r="J6667" t="s">
        <v>28363</v>
      </c>
      <c r="K6667" t="s">
        <v>36715</v>
      </c>
      <c r="M6667" t="s">
        <v>39278</v>
      </c>
      <c r="N6667" t="s">
        <v>40436</v>
      </c>
      <c r="O6667" t="s">
        <v>40437</v>
      </c>
      <c r="P6667">
        <v>0</v>
      </c>
      <c r="Q6667">
        <v>0</v>
      </c>
      <c r="R6667" t="s">
        <v>40444</v>
      </c>
      <c r="S6667" t="s">
        <v>40676</v>
      </c>
      <c r="T6667" t="s">
        <v>42426</v>
      </c>
      <c r="U6667" t="s">
        <v>48249</v>
      </c>
      <c r="W6667" t="s">
        <v>39278</v>
      </c>
      <c r="X6667" t="s">
        <v>40446</v>
      </c>
    </row>
    <row r="6668" spans="1:24">
      <c r="A6668">
        <f>HYPERLINK("https://www.philgeps.gov.ph/GEPSNONPILOT/Tender/SplashBidNoticeAbstractUI.aspx?menuIndex=3&amp;refID=7035412&amp;Result=3","7035412")</f>
        <v>0</v>
      </c>
      <c r="B6668" t="s">
        <v>340</v>
      </c>
      <c r="C6668" t="s">
        <v>9421</v>
      </c>
      <c r="D6668" t="s">
        <v>16195</v>
      </c>
      <c r="E6668" t="s">
        <v>22182</v>
      </c>
      <c r="F6668" t="s">
        <v>28198</v>
      </c>
      <c r="G6668" t="s">
        <v>28205</v>
      </c>
      <c r="H6668" t="s">
        <v>28214</v>
      </c>
      <c r="I6668" t="s">
        <v>3797</v>
      </c>
      <c r="J6668" t="s">
        <v>32524</v>
      </c>
      <c r="K6668" t="s">
        <v>36708</v>
      </c>
      <c r="M6668" t="s">
        <v>39278</v>
      </c>
      <c r="N6668" t="s">
        <v>40436</v>
      </c>
      <c r="O6668" t="s">
        <v>40437</v>
      </c>
      <c r="P6668">
        <v>0</v>
      </c>
      <c r="Q6668">
        <v>0</v>
      </c>
      <c r="R6668" t="s">
        <v>40444</v>
      </c>
      <c r="S6668" t="s">
        <v>40676</v>
      </c>
      <c r="T6668" t="s">
        <v>42184</v>
      </c>
      <c r="U6668" t="s">
        <v>48250</v>
      </c>
      <c r="W6668" t="s">
        <v>39278</v>
      </c>
      <c r="X6668" t="s">
        <v>40446</v>
      </c>
    </row>
    <row r="6669" spans="1:24">
      <c r="A6669">
        <f>HYPERLINK("https://www.philgeps.gov.ph/GEPSNONPILOT/Tender/SplashBidNoticeAbstractUI.aspx?menuIndex=3&amp;refID=7035615&amp;Result=3","7035615")</f>
        <v>0</v>
      </c>
      <c r="B6669" t="s">
        <v>2126</v>
      </c>
      <c r="C6669" t="s">
        <v>9422</v>
      </c>
      <c r="D6669" t="s">
        <v>16251</v>
      </c>
      <c r="E6669" t="s">
        <v>16473</v>
      </c>
      <c r="F6669" t="s">
        <v>28198</v>
      </c>
      <c r="G6669" t="s">
        <v>28205</v>
      </c>
      <c r="H6669" t="s">
        <v>28214</v>
      </c>
      <c r="I6669" t="s">
        <v>3797</v>
      </c>
      <c r="J6669" t="s">
        <v>28415</v>
      </c>
      <c r="K6669" t="s">
        <v>36784</v>
      </c>
      <c r="M6669" t="s">
        <v>39283</v>
      </c>
      <c r="N6669" t="s">
        <v>40436</v>
      </c>
      <c r="O6669" t="s">
        <v>40437</v>
      </c>
      <c r="P6669">
        <v>0</v>
      </c>
      <c r="Q6669">
        <v>0</v>
      </c>
      <c r="R6669" t="s">
        <v>40444</v>
      </c>
      <c r="S6669" t="s">
        <v>40676</v>
      </c>
      <c r="T6669" t="s">
        <v>42185</v>
      </c>
      <c r="U6669" t="s">
        <v>48251</v>
      </c>
      <c r="W6669" t="s">
        <v>39283</v>
      </c>
      <c r="X6669" t="s">
        <v>40446</v>
      </c>
    </row>
    <row r="6670" spans="1:24">
      <c r="A6670">
        <f>HYPERLINK("https://www.philgeps.gov.ph/GEPSNONPILOT/Tender/SplashBidNoticeAbstractUI.aspx?menuIndex=3&amp;refID=7035688&amp;Result=3","7035688")</f>
        <v>0</v>
      </c>
      <c r="B6670" t="s">
        <v>340</v>
      </c>
      <c r="C6670" t="s">
        <v>9423</v>
      </c>
      <c r="D6670" t="s">
        <v>16195</v>
      </c>
      <c r="E6670" t="s">
        <v>22183</v>
      </c>
      <c r="F6670" t="s">
        <v>28198</v>
      </c>
      <c r="G6670" t="s">
        <v>28205</v>
      </c>
      <c r="H6670" t="s">
        <v>28214</v>
      </c>
      <c r="I6670" t="s">
        <v>3797</v>
      </c>
      <c r="J6670" t="s">
        <v>31928</v>
      </c>
      <c r="K6670" t="s">
        <v>36823</v>
      </c>
      <c r="M6670" t="s">
        <v>39278</v>
      </c>
      <c r="N6670" t="s">
        <v>40436</v>
      </c>
      <c r="O6670" t="s">
        <v>40437</v>
      </c>
      <c r="P6670">
        <v>0</v>
      </c>
      <c r="Q6670">
        <v>1</v>
      </c>
      <c r="R6670" t="s">
        <v>40444</v>
      </c>
      <c r="S6670" t="s">
        <v>40676</v>
      </c>
      <c r="T6670" t="s">
        <v>42426</v>
      </c>
      <c r="U6670" t="s">
        <v>48252</v>
      </c>
      <c r="W6670" t="s">
        <v>39278</v>
      </c>
      <c r="X6670" t="s">
        <v>40446</v>
      </c>
    </row>
    <row r="6671" spans="1:24">
      <c r="A6671">
        <f>HYPERLINK("https://www.philgeps.gov.ph/GEPSNONPILOT/Tender/SplashBidNoticeAbstractUI.aspx?menuIndex=3&amp;refID=7035534&amp;Result=3","7035534")</f>
        <v>0</v>
      </c>
      <c r="B6671" t="s">
        <v>340</v>
      </c>
      <c r="C6671" t="s">
        <v>9424</v>
      </c>
      <c r="D6671" t="s">
        <v>16195</v>
      </c>
      <c r="E6671" t="s">
        <v>22184</v>
      </c>
      <c r="F6671" t="s">
        <v>28198</v>
      </c>
      <c r="G6671" t="s">
        <v>28205</v>
      </c>
      <c r="H6671" t="s">
        <v>28214</v>
      </c>
      <c r="I6671" t="s">
        <v>3797</v>
      </c>
      <c r="J6671" t="s">
        <v>32525</v>
      </c>
      <c r="K6671" t="s">
        <v>36835</v>
      </c>
      <c r="M6671" t="s">
        <v>39278</v>
      </c>
      <c r="N6671" t="s">
        <v>40436</v>
      </c>
      <c r="O6671" t="s">
        <v>40437</v>
      </c>
      <c r="P6671">
        <v>0</v>
      </c>
      <c r="Q6671">
        <v>1</v>
      </c>
      <c r="R6671" t="s">
        <v>40444</v>
      </c>
      <c r="S6671" t="s">
        <v>40676</v>
      </c>
      <c r="T6671" t="s">
        <v>42426</v>
      </c>
      <c r="U6671" t="s">
        <v>48253</v>
      </c>
      <c r="W6671" t="s">
        <v>39278</v>
      </c>
      <c r="X6671" t="s">
        <v>40446</v>
      </c>
    </row>
    <row r="6672" spans="1:24">
      <c r="A6672">
        <f>HYPERLINK("https://www.philgeps.gov.ph/GEPSNONPILOT/Tender/SplashBidNoticeAbstractUI.aspx?menuIndex=3&amp;refID=7035919&amp;Result=3","7035919")</f>
        <v>0</v>
      </c>
      <c r="B6672" t="s">
        <v>340</v>
      </c>
      <c r="C6672" t="s">
        <v>9425</v>
      </c>
      <c r="D6672" t="s">
        <v>16195</v>
      </c>
      <c r="E6672" t="s">
        <v>22185</v>
      </c>
      <c r="F6672" t="s">
        <v>28198</v>
      </c>
      <c r="G6672" t="s">
        <v>28205</v>
      </c>
      <c r="H6672" t="s">
        <v>28214</v>
      </c>
      <c r="I6672" t="s">
        <v>3797</v>
      </c>
      <c r="J6672" t="s">
        <v>32526</v>
      </c>
      <c r="K6672" t="s">
        <v>36722</v>
      </c>
      <c r="M6672" t="s">
        <v>39278</v>
      </c>
      <c r="N6672" t="s">
        <v>40436</v>
      </c>
      <c r="O6672" t="s">
        <v>40437</v>
      </c>
      <c r="P6672">
        <v>0</v>
      </c>
      <c r="Q6672">
        <v>1</v>
      </c>
      <c r="R6672" t="s">
        <v>40444</v>
      </c>
      <c r="S6672" t="s">
        <v>40676</v>
      </c>
      <c r="T6672" t="s">
        <v>42426</v>
      </c>
      <c r="U6672" t="s">
        <v>48254</v>
      </c>
      <c r="W6672" t="s">
        <v>39278</v>
      </c>
      <c r="X6672" t="s">
        <v>40446</v>
      </c>
    </row>
    <row r="6673" spans="1:24">
      <c r="A6673">
        <f>HYPERLINK("https://www.philgeps.gov.ph/GEPSNONPILOT/Tender/SplashBidNoticeAbstractUI.aspx?menuIndex=3&amp;refID=7035441&amp;Result=3","7035441")</f>
        <v>0</v>
      </c>
      <c r="B6673" t="s">
        <v>340</v>
      </c>
      <c r="C6673" t="s">
        <v>9426</v>
      </c>
      <c r="D6673" t="s">
        <v>16195</v>
      </c>
      <c r="E6673" t="s">
        <v>22186</v>
      </c>
      <c r="F6673" t="s">
        <v>28198</v>
      </c>
      <c r="G6673" t="s">
        <v>28205</v>
      </c>
      <c r="H6673" t="s">
        <v>28214</v>
      </c>
      <c r="I6673" t="s">
        <v>3797</v>
      </c>
      <c r="J6673" t="s">
        <v>29190</v>
      </c>
      <c r="K6673" t="s">
        <v>36715</v>
      </c>
      <c r="M6673" t="s">
        <v>39278</v>
      </c>
      <c r="N6673" t="s">
        <v>40436</v>
      </c>
      <c r="O6673" t="s">
        <v>40437</v>
      </c>
      <c r="P6673">
        <v>0</v>
      </c>
      <c r="Q6673">
        <v>0</v>
      </c>
      <c r="R6673" t="s">
        <v>40444</v>
      </c>
      <c r="S6673" t="s">
        <v>40676</v>
      </c>
      <c r="T6673" t="s">
        <v>42184</v>
      </c>
      <c r="U6673" t="s">
        <v>48255</v>
      </c>
      <c r="W6673" t="s">
        <v>39278</v>
      </c>
      <c r="X6673" t="s">
        <v>40446</v>
      </c>
    </row>
    <row r="6674" spans="1:24">
      <c r="A6674">
        <f>HYPERLINK("https://www.philgeps.gov.ph/GEPSNONPILOT/Tender/SplashBidNoticeAbstractUI.aspx?menuIndex=3&amp;refID=7035726&amp;Result=3","7035726")</f>
        <v>0</v>
      </c>
      <c r="B6674" t="s">
        <v>340</v>
      </c>
      <c r="C6674" t="s">
        <v>9427</v>
      </c>
      <c r="D6674" t="s">
        <v>16195</v>
      </c>
      <c r="E6674" t="s">
        <v>22187</v>
      </c>
      <c r="F6674" t="s">
        <v>28198</v>
      </c>
      <c r="G6674" t="s">
        <v>28205</v>
      </c>
      <c r="H6674" t="s">
        <v>28214</v>
      </c>
      <c r="I6674" t="s">
        <v>3797</v>
      </c>
      <c r="J6674" t="s">
        <v>28468</v>
      </c>
      <c r="K6674" t="s">
        <v>36697</v>
      </c>
      <c r="M6674" t="s">
        <v>39278</v>
      </c>
      <c r="N6674" t="s">
        <v>40436</v>
      </c>
      <c r="O6674" t="s">
        <v>40437</v>
      </c>
      <c r="P6674">
        <v>0</v>
      </c>
      <c r="Q6674">
        <v>0</v>
      </c>
      <c r="R6674" t="s">
        <v>40444</v>
      </c>
      <c r="S6674" t="s">
        <v>40676</v>
      </c>
      <c r="T6674" t="s">
        <v>42426</v>
      </c>
      <c r="U6674" t="s">
        <v>48256</v>
      </c>
      <c r="W6674" t="s">
        <v>39278</v>
      </c>
      <c r="X6674" t="s">
        <v>40446</v>
      </c>
    </row>
    <row r="6675" spans="1:24">
      <c r="A6675">
        <f>HYPERLINK("https://www.philgeps.gov.ph/GEPSNONPILOT/Tender/SplashBidNoticeAbstractUI.aspx?menuIndex=3&amp;refID=7035474&amp;Result=3","7035474")</f>
        <v>0</v>
      </c>
      <c r="B6675" t="s">
        <v>340</v>
      </c>
      <c r="C6675" t="s">
        <v>9428</v>
      </c>
      <c r="D6675" t="s">
        <v>16195</v>
      </c>
      <c r="E6675" t="s">
        <v>22188</v>
      </c>
      <c r="F6675" t="s">
        <v>28198</v>
      </c>
      <c r="G6675" t="s">
        <v>28205</v>
      </c>
      <c r="H6675" t="s">
        <v>28214</v>
      </c>
      <c r="I6675" t="s">
        <v>3797</v>
      </c>
      <c r="J6675" t="s">
        <v>28395</v>
      </c>
      <c r="K6675" t="s">
        <v>36720</v>
      </c>
      <c r="M6675" t="s">
        <v>39278</v>
      </c>
      <c r="N6675" t="s">
        <v>40436</v>
      </c>
      <c r="O6675" t="s">
        <v>40437</v>
      </c>
      <c r="P6675">
        <v>0</v>
      </c>
      <c r="Q6675">
        <v>0</v>
      </c>
      <c r="R6675" t="s">
        <v>40444</v>
      </c>
      <c r="S6675" t="s">
        <v>40676</v>
      </c>
      <c r="T6675" t="s">
        <v>42184</v>
      </c>
      <c r="U6675" t="s">
        <v>48257</v>
      </c>
      <c r="W6675" t="s">
        <v>39278</v>
      </c>
      <c r="X6675" t="s">
        <v>40446</v>
      </c>
    </row>
    <row r="6676" spans="1:24">
      <c r="A6676">
        <f>HYPERLINK("https://www.philgeps.gov.ph/GEPSNONPILOT/Tender/SplashBidNoticeAbstractUI.aspx?menuIndex=3&amp;refID=7035888&amp;Result=3","7035888")</f>
        <v>0</v>
      </c>
      <c r="B6676" t="s">
        <v>340</v>
      </c>
      <c r="C6676" t="s">
        <v>9429</v>
      </c>
      <c r="D6676" t="s">
        <v>16195</v>
      </c>
      <c r="E6676" t="s">
        <v>22189</v>
      </c>
      <c r="F6676" t="s">
        <v>28198</v>
      </c>
      <c r="G6676" t="s">
        <v>28205</v>
      </c>
      <c r="H6676" t="s">
        <v>28214</v>
      </c>
      <c r="I6676" t="s">
        <v>3797</v>
      </c>
      <c r="J6676" t="s">
        <v>32527</v>
      </c>
      <c r="K6676" t="s">
        <v>36694</v>
      </c>
      <c r="M6676" t="s">
        <v>39278</v>
      </c>
      <c r="N6676" t="s">
        <v>40436</v>
      </c>
      <c r="O6676" t="s">
        <v>40437</v>
      </c>
      <c r="P6676">
        <v>0</v>
      </c>
      <c r="Q6676">
        <v>0</v>
      </c>
      <c r="R6676" t="s">
        <v>40444</v>
      </c>
      <c r="S6676" t="s">
        <v>40676</v>
      </c>
      <c r="T6676" t="s">
        <v>42426</v>
      </c>
      <c r="U6676" t="s">
        <v>48258</v>
      </c>
      <c r="W6676" t="s">
        <v>39278</v>
      </c>
      <c r="X6676" t="s">
        <v>40446</v>
      </c>
    </row>
    <row r="6677" spans="1:24">
      <c r="A6677">
        <f>HYPERLINK("https://www.philgeps.gov.ph/GEPSNONPILOT/Tender/SplashBidNoticeAbstractUI.aspx?menuIndex=3&amp;refID=7035874&amp;Result=3","7035874")</f>
        <v>0</v>
      </c>
      <c r="B6677" t="s">
        <v>1041</v>
      </c>
      <c r="C6677" t="s">
        <v>9430</v>
      </c>
      <c r="D6677" t="s">
        <v>16190</v>
      </c>
      <c r="E6677" t="s">
        <v>22190</v>
      </c>
      <c r="F6677" t="s">
        <v>28198</v>
      </c>
      <c r="G6677" t="s">
        <v>28206</v>
      </c>
      <c r="H6677" t="s">
        <v>28215</v>
      </c>
      <c r="I6677" t="s">
        <v>28231</v>
      </c>
      <c r="J6677" t="s">
        <v>32528</v>
      </c>
      <c r="K6677" t="s">
        <v>36707</v>
      </c>
      <c r="M6677" t="s">
        <v>38074</v>
      </c>
      <c r="N6677" t="s">
        <v>40436</v>
      </c>
      <c r="O6677" t="s">
        <v>40437</v>
      </c>
      <c r="P6677">
        <v>0</v>
      </c>
      <c r="Q6677">
        <v>0</v>
      </c>
      <c r="R6677" t="s">
        <v>40444</v>
      </c>
      <c r="S6677" t="s">
        <v>40676</v>
      </c>
      <c r="T6677" t="s">
        <v>42185</v>
      </c>
      <c r="U6677" t="s">
        <v>48259</v>
      </c>
      <c r="W6677" t="s">
        <v>38074</v>
      </c>
      <c r="X6677" t="s">
        <v>40446</v>
      </c>
    </row>
    <row r="6678" spans="1:24">
      <c r="A6678">
        <f>HYPERLINK("https://www.philgeps.gov.ph/GEPSNONPILOT/Tender/SplashBidNoticeAbstractUI.aspx?menuIndex=3&amp;refID=7035659&amp;Result=3","7035659")</f>
        <v>0</v>
      </c>
      <c r="B6678" t="s">
        <v>340</v>
      </c>
      <c r="C6678" t="s">
        <v>9431</v>
      </c>
      <c r="D6678" t="s">
        <v>16195</v>
      </c>
      <c r="E6678" t="s">
        <v>22191</v>
      </c>
      <c r="F6678" t="s">
        <v>28198</v>
      </c>
      <c r="G6678" t="s">
        <v>28205</v>
      </c>
      <c r="H6678" t="s">
        <v>28214</v>
      </c>
      <c r="I6678" t="s">
        <v>3797</v>
      </c>
      <c r="J6678" t="s">
        <v>30935</v>
      </c>
      <c r="K6678" t="s">
        <v>36823</v>
      </c>
      <c r="M6678" t="s">
        <v>39278</v>
      </c>
      <c r="N6678" t="s">
        <v>40436</v>
      </c>
      <c r="O6678" t="s">
        <v>40437</v>
      </c>
      <c r="P6678">
        <v>0</v>
      </c>
      <c r="Q6678">
        <v>0</v>
      </c>
      <c r="R6678" t="s">
        <v>40444</v>
      </c>
      <c r="S6678" t="s">
        <v>40676</v>
      </c>
      <c r="T6678" t="s">
        <v>42426</v>
      </c>
      <c r="U6678" t="s">
        <v>48260</v>
      </c>
      <c r="W6678" t="s">
        <v>39278</v>
      </c>
      <c r="X6678" t="s">
        <v>40446</v>
      </c>
    </row>
    <row r="6679" spans="1:24">
      <c r="A6679">
        <f>HYPERLINK("https://www.philgeps.gov.ph/GEPSNONPILOT/Tender/SplashBidNoticeAbstractUI.aspx?menuIndex=3&amp;refID=7035844&amp;Result=3","7035844")</f>
        <v>0</v>
      </c>
      <c r="B6679" t="s">
        <v>2127</v>
      </c>
      <c r="C6679" t="s">
        <v>9432</v>
      </c>
      <c r="D6679" t="s">
        <v>16228</v>
      </c>
      <c r="E6679" t="s">
        <v>22192</v>
      </c>
      <c r="F6679" t="s">
        <v>28198</v>
      </c>
      <c r="G6679" t="s">
        <v>28207</v>
      </c>
      <c r="H6679" t="s">
        <v>28215</v>
      </c>
      <c r="I6679" t="s">
        <v>28257</v>
      </c>
      <c r="J6679" t="s">
        <v>28564</v>
      </c>
      <c r="K6679" t="s">
        <v>36701</v>
      </c>
      <c r="M6679" t="s">
        <v>39284</v>
      </c>
      <c r="N6679" t="s">
        <v>40436</v>
      </c>
      <c r="O6679" t="s">
        <v>40437</v>
      </c>
      <c r="P6679">
        <v>0</v>
      </c>
      <c r="Q6679">
        <v>0</v>
      </c>
      <c r="R6679" t="s">
        <v>40444</v>
      </c>
      <c r="S6679" t="s">
        <v>40676</v>
      </c>
      <c r="T6679" t="s">
        <v>42190</v>
      </c>
      <c r="U6679" t="s">
        <v>48261</v>
      </c>
      <c r="W6679" t="s">
        <v>39284</v>
      </c>
      <c r="X6679" t="s">
        <v>40446</v>
      </c>
    </row>
    <row r="6680" spans="1:24">
      <c r="A6680">
        <f>HYPERLINK("https://www.philgeps.gov.ph/GEPSNONPILOT/Tender/SplashBidNoticeAbstractUI.aspx?menuIndex=3&amp;refID=7035790&amp;Result=3","7035790")</f>
        <v>0</v>
      </c>
      <c r="B6680" t="s">
        <v>1085</v>
      </c>
      <c r="C6680" t="s">
        <v>9433</v>
      </c>
      <c r="D6680" t="s">
        <v>16216</v>
      </c>
      <c r="E6680" t="s">
        <v>22193</v>
      </c>
      <c r="F6680" t="s">
        <v>28198</v>
      </c>
      <c r="G6680" t="s">
        <v>28205</v>
      </c>
      <c r="H6680" t="s">
        <v>28215</v>
      </c>
      <c r="I6680" t="s">
        <v>5100</v>
      </c>
      <c r="J6680" t="s">
        <v>32529</v>
      </c>
      <c r="K6680" t="s">
        <v>36693</v>
      </c>
      <c r="M6680" t="s">
        <v>38120</v>
      </c>
      <c r="N6680" t="s">
        <v>40436</v>
      </c>
      <c r="O6680" t="s">
        <v>40437</v>
      </c>
      <c r="P6680">
        <v>0</v>
      </c>
      <c r="Q6680">
        <v>0</v>
      </c>
      <c r="R6680" t="s">
        <v>40444</v>
      </c>
      <c r="S6680" t="s">
        <v>40676</v>
      </c>
      <c r="T6680" t="s">
        <v>42287</v>
      </c>
      <c r="U6680" t="s">
        <v>48262</v>
      </c>
      <c r="W6680" t="s">
        <v>38120</v>
      </c>
      <c r="X6680" t="s">
        <v>40446</v>
      </c>
    </row>
    <row r="6681" spans="1:24">
      <c r="A6681">
        <f>HYPERLINK("https://www.philgeps.gov.ph/GEPSNONPILOT/Tender/SplashBidNoticeAbstractUI.aspx?menuIndex=3&amp;refID=7035635&amp;Result=3","7035635")</f>
        <v>0</v>
      </c>
      <c r="B6681" t="s">
        <v>340</v>
      </c>
      <c r="C6681" t="s">
        <v>9434</v>
      </c>
      <c r="D6681" t="s">
        <v>16195</v>
      </c>
      <c r="E6681" t="s">
        <v>22194</v>
      </c>
      <c r="F6681" t="s">
        <v>28198</v>
      </c>
      <c r="G6681" t="s">
        <v>28205</v>
      </c>
      <c r="H6681" t="s">
        <v>28214</v>
      </c>
      <c r="I6681" t="s">
        <v>3797</v>
      </c>
      <c r="J6681" t="s">
        <v>28363</v>
      </c>
      <c r="K6681" t="s">
        <v>36715</v>
      </c>
      <c r="M6681" t="s">
        <v>39278</v>
      </c>
      <c r="N6681" t="s">
        <v>40436</v>
      </c>
      <c r="O6681" t="s">
        <v>40437</v>
      </c>
      <c r="P6681">
        <v>0</v>
      </c>
      <c r="Q6681">
        <v>0</v>
      </c>
      <c r="R6681" t="s">
        <v>40444</v>
      </c>
      <c r="S6681" t="s">
        <v>40676</v>
      </c>
      <c r="T6681" t="s">
        <v>42426</v>
      </c>
      <c r="U6681" t="s">
        <v>48263</v>
      </c>
      <c r="W6681" t="s">
        <v>39278</v>
      </c>
      <c r="X6681" t="s">
        <v>40446</v>
      </c>
    </row>
    <row r="6682" spans="1:24">
      <c r="A6682">
        <f>HYPERLINK("https://www.philgeps.gov.ph/GEPSNONPILOT/Tender/SplashBidNoticeAbstractUI.aspx?menuIndex=3&amp;refID=7035788&amp;Result=3","7035788")</f>
        <v>0</v>
      </c>
      <c r="B6682" t="s">
        <v>340</v>
      </c>
      <c r="C6682" t="s">
        <v>9435</v>
      </c>
      <c r="D6682" t="s">
        <v>16195</v>
      </c>
      <c r="E6682" t="s">
        <v>22195</v>
      </c>
      <c r="F6682" t="s">
        <v>28198</v>
      </c>
      <c r="G6682" t="s">
        <v>28205</v>
      </c>
      <c r="H6682" t="s">
        <v>28214</v>
      </c>
      <c r="I6682" t="s">
        <v>3797</v>
      </c>
      <c r="J6682" t="s">
        <v>28730</v>
      </c>
      <c r="K6682" t="s">
        <v>36823</v>
      </c>
      <c r="M6682" t="s">
        <v>39278</v>
      </c>
      <c r="N6682" t="s">
        <v>40436</v>
      </c>
      <c r="O6682" t="s">
        <v>40437</v>
      </c>
      <c r="P6682">
        <v>0</v>
      </c>
      <c r="Q6682">
        <v>0</v>
      </c>
      <c r="R6682" t="s">
        <v>40444</v>
      </c>
      <c r="S6682" t="s">
        <v>40676</v>
      </c>
      <c r="T6682" t="s">
        <v>42426</v>
      </c>
      <c r="U6682" t="s">
        <v>48264</v>
      </c>
      <c r="W6682" t="s">
        <v>39278</v>
      </c>
      <c r="X6682" t="s">
        <v>40446</v>
      </c>
    </row>
    <row r="6683" spans="1:24">
      <c r="A6683">
        <f>HYPERLINK("https://www.philgeps.gov.ph/GEPSNONPILOT/Tender/SplashBidNoticeAbstractUI.aspx?menuIndex=3&amp;refID=7035849&amp;Result=3","7035849")</f>
        <v>0</v>
      </c>
      <c r="B6683" t="s">
        <v>340</v>
      </c>
      <c r="C6683" t="s">
        <v>9436</v>
      </c>
      <c r="D6683" t="s">
        <v>16195</v>
      </c>
      <c r="E6683" t="s">
        <v>22196</v>
      </c>
      <c r="F6683" t="s">
        <v>28198</v>
      </c>
      <c r="G6683" t="s">
        <v>28205</v>
      </c>
      <c r="H6683" t="s">
        <v>28214</v>
      </c>
      <c r="I6683" t="s">
        <v>3797</v>
      </c>
      <c r="J6683" t="s">
        <v>28351</v>
      </c>
      <c r="K6683" t="s">
        <v>36694</v>
      </c>
      <c r="M6683" t="s">
        <v>39278</v>
      </c>
      <c r="N6683" t="s">
        <v>40436</v>
      </c>
      <c r="O6683" t="s">
        <v>40437</v>
      </c>
      <c r="P6683">
        <v>0</v>
      </c>
      <c r="Q6683">
        <v>0</v>
      </c>
      <c r="R6683" t="s">
        <v>40444</v>
      </c>
      <c r="S6683" t="s">
        <v>40676</v>
      </c>
      <c r="T6683" t="s">
        <v>42426</v>
      </c>
      <c r="U6683" t="s">
        <v>48265</v>
      </c>
      <c r="W6683" t="s">
        <v>39278</v>
      </c>
      <c r="X6683" t="s">
        <v>40446</v>
      </c>
    </row>
    <row r="6684" spans="1:24">
      <c r="A6684">
        <f>HYPERLINK("https://www.philgeps.gov.ph/GEPSNONPILOT/Tender/SplashBidNoticeAbstractUI.aspx?menuIndex=3&amp;refID=7035951&amp;Result=3","7035951")</f>
        <v>0</v>
      </c>
      <c r="B6684" t="s">
        <v>1041</v>
      </c>
      <c r="C6684" t="s">
        <v>9437</v>
      </c>
      <c r="D6684" t="s">
        <v>16190</v>
      </c>
      <c r="E6684" t="s">
        <v>22197</v>
      </c>
      <c r="F6684" t="s">
        <v>28198</v>
      </c>
      <c r="G6684" t="s">
        <v>28206</v>
      </c>
      <c r="H6684" t="s">
        <v>28215</v>
      </c>
      <c r="I6684" t="s">
        <v>28231</v>
      </c>
      <c r="J6684" t="s">
        <v>29680</v>
      </c>
      <c r="K6684" t="s">
        <v>36707</v>
      </c>
      <c r="M6684" t="s">
        <v>38074</v>
      </c>
      <c r="N6684" t="s">
        <v>40436</v>
      </c>
      <c r="O6684" t="s">
        <v>40437</v>
      </c>
      <c r="P6684">
        <v>0</v>
      </c>
      <c r="Q6684">
        <v>0</v>
      </c>
      <c r="R6684" t="s">
        <v>40444</v>
      </c>
      <c r="S6684" t="s">
        <v>40676</v>
      </c>
      <c r="T6684" t="s">
        <v>42185</v>
      </c>
      <c r="U6684" t="s">
        <v>48266</v>
      </c>
      <c r="W6684" t="s">
        <v>38074</v>
      </c>
      <c r="X6684" t="s">
        <v>40446</v>
      </c>
    </row>
    <row r="6685" spans="1:24">
      <c r="A6685">
        <f>HYPERLINK("https://www.philgeps.gov.ph/GEPSNONPILOT/Tender/SplashBidNoticeAbstractUI.aspx?menuIndex=3&amp;refID=7035774&amp;Result=3","7035774")</f>
        <v>0</v>
      </c>
      <c r="B6685" t="s">
        <v>2127</v>
      </c>
      <c r="C6685" t="s">
        <v>9438</v>
      </c>
      <c r="D6685" t="s">
        <v>16228</v>
      </c>
      <c r="E6685" t="s">
        <v>22198</v>
      </c>
      <c r="F6685" t="s">
        <v>28198</v>
      </c>
      <c r="G6685" t="s">
        <v>28207</v>
      </c>
      <c r="H6685" t="s">
        <v>28215</v>
      </c>
      <c r="I6685" t="s">
        <v>28234</v>
      </c>
      <c r="J6685" t="s">
        <v>32530</v>
      </c>
      <c r="K6685" t="s">
        <v>36701</v>
      </c>
      <c r="M6685" t="s">
        <v>39284</v>
      </c>
      <c r="N6685" t="s">
        <v>40436</v>
      </c>
      <c r="O6685" t="s">
        <v>40437</v>
      </c>
      <c r="P6685">
        <v>0</v>
      </c>
      <c r="Q6685">
        <v>0</v>
      </c>
      <c r="R6685" t="s">
        <v>40444</v>
      </c>
      <c r="S6685" t="s">
        <v>40676</v>
      </c>
      <c r="T6685" t="s">
        <v>42190</v>
      </c>
      <c r="U6685" t="s">
        <v>48267</v>
      </c>
      <c r="W6685" t="s">
        <v>39284</v>
      </c>
      <c r="X6685" t="s">
        <v>40446</v>
      </c>
    </row>
    <row r="6686" spans="1:24">
      <c r="A6686">
        <f>HYPERLINK("https://www.philgeps.gov.ph/GEPSNONPILOT/Tender/SplashBidNoticeAbstractUI.aspx?menuIndex=3&amp;refID=7036290&amp;Result=3","7036290")</f>
        <v>0</v>
      </c>
      <c r="B6686" t="s">
        <v>480</v>
      </c>
      <c r="C6686" t="s">
        <v>9439</v>
      </c>
      <c r="D6686" t="s">
        <v>16234</v>
      </c>
      <c r="E6686" t="s">
        <v>22199</v>
      </c>
      <c r="F6686" t="s">
        <v>28198</v>
      </c>
      <c r="G6686" t="s">
        <v>28205</v>
      </c>
      <c r="H6686" t="s">
        <v>28215</v>
      </c>
      <c r="I6686" t="s">
        <v>5100</v>
      </c>
      <c r="J6686" t="s">
        <v>32531</v>
      </c>
      <c r="K6686" t="s">
        <v>36689</v>
      </c>
      <c r="M6686" t="s">
        <v>37465</v>
      </c>
      <c r="N6686" t="s">
        <v>40436</v>
      </c>
      <c r="O6686" t="s">
        <v>40437</v>
      </c>
      <c r="P6686">
        <v>0</v>
      </c>
      <c r="Q6686">
        <v>5</v>
      </c>
      <c r="R6686" t="s">
        <v>40444</v>
      </c>
      <c r="S6686" t="s">
        <v>40676</v>
      </c>
      <c r="T6686" t="s">
        <v>42458</v>
      </c>
      <c r="U6686" t="s">
        <v>44081</v>
      </c>
      <c r="W6686" t="s">
        <v>37465</v>
      </c>
      <c r="X6686" t="s">
        <v>40446</v>
      </c>
    </row>
    <row r="6687" spans="1:24">
      <c r="A6687">
        <f>HYPERLINK("https://www.philgeps.gov.ph/GEPSNONPILOT/Tender/SplashBidNoticeAbstractUI.aspx?menuIndex=3&amp;refID=7036079&amp;Result=3","7036079")</f>
        <v>0</v>
      </c>
      <c r="B6687" t="s">
        <v>1041</v>
      </c>
      <c r="C6687" t="s">
        <v>9440</v>
      </c>
      <c r="D6687" t="s">
        <v>16190</v>
      </c>
      <c r="E6687" t="s">
        <v>22200</v>
      </c>
      <c r="F6687" t="s">
        <v>28198</v>
      </c>
      <c r="G6687" t="s">
        <v>28206</v>
      </c>
      <c r="H6687" t="s">
        <v>28215</v>
      </c>
      <c r="I6687" t="s">
        <v>28231</v>
      </c>
      <c r="J6687" t="s">
        <v>29680</v>
      </c>
      <c r="K6687" t="s">
        <v>36707</v>
      </c>
      <c r="M6687" t="s">
        <v>38074</v>
      </c>
      <c r="N6687" t="s">
        <v>40436</v>
      </c>
      <c r="O6687" t="s">
        <v>40437</v>
      </c>
      <c r="P6687">
        <v>0</v>
      </c>
      <c r="Q6687">
        <v>0</v>
      </c>
      <c r="R6687" t="s">
        <v>40444</v>
      </c>
      <c r="S6687" t="s">
        <v>40676</v>
      </c>
      <c r="T6687" t="s">
        <v>42185</v>
      </c>
      <c r="U6687" t="s">
        <v>48268</v>
      </c>
      <c r="W6687" t="s">
        <v>38074</v>
      </c>
      <c r="X6687" t="s">
        <v>40446</v>
      </c>
    </row>
    <row r="6688" spans="1:24">
      <c r="A6688">
        <f>HYPERLINK("https://www.philgeps.gov.ph/GEPSNONPILOT/Tender/SplashBidNoticeAbstractUI.aspx?menuIndex=3&amp;refID=7035954&amp;Result=3","7035954")</f>
        <v>0</v>
      </c>
      <c r="B6688" t="s">
        <v>340</v>
      </c>
      <c r="C6688" t="s">
        <v>9441</v>
      </c>
      <c r="D6688" t="s">
        <v>16195</v>
      </c>
      <c r="E6688" t="s">
        <v>22201</v>
      </c>
      <c r="F6688" t="s">
        <v>28198</v>
      </c>
      <c r="G6688" t="s">
        <v>28205</v>
      </c>
      <c r="H6688" t="s">
        <v>28214</v>
      </c>
      <c r="I6688" t="s">
        <v>3797</v>
      </c>
      <c r="J6688" t="s">
        <v>30526</v>
      </c>
      <c r="K6688" t="s">
        <v>36690</v>
      </c>
      <c r="M6688" t="s">
        <v>39278</v>
      </c>
      <c r="N6688" t="s">
        <v>40436</v>
      </c>
      <c r="O6688" t="s">
        <v>40437</v>
      </c>
      <c r="P6688">
        <v>0</v>
      </c>
      <c r="Q6688">
        <v>0</v>
      </c>
      <c r="R6688" t="s">
        <v>40444</v>
      </c>
      <c r="S6688" t="s">
        <v>40676</v>
      </c>
      <c r="T6688" t="s">
        <v>42426</v>
      </c>
      <c r="U6688" t="s">
        <v>48269</v>
      </c>
      <c r="W6688" t="s">
        <v>39278</v>
      </c>
      <c r="X6688" t="s">
        <v>40446</v>
      </c>
    </row>
    <row r="6689" spans="1:24">
      <c r="A6689">
        <f>HYPERLINK("https://www.philgeps.gov.ph/GEPSNONPILOT/Tender/SplashBidNoticeAbstractUI.aspx?menuIndex=3&amp;refID=7036110&amp;Result=3","7036110")</f>
        <v>0</v>
      </c>
      <c r="B6689" t="s">
        <v>1009</v>
      </c>
      <c r="C6689" t="s">
        <v>9442</v>
      </c>
      <c r="E6689" t="s">
        <v>22202</v>
      </c>
      <c r="F6689" t="s">
        <v>28198</v>
      </c>
      <c r="G6689" t="s">
        <v>28205</v>
      </c>
      <c r="H6689" t="s">
        <v>28214</v>
      </c>
      <c r="I6689" t="s">
        <v>3797</v>
      </c>
      <c r="J6689" t="s">
        <v>32532</v>
      </c>
      <c r="K6689" t="s">
        <v>36761</v>
      </c>
      <c r="M6689" t="s">
        <v>38050</v>
      </c>
      <c r="N6689" t="s">
        <v>40436</v>
      </c>
      <c r="O6689" t="s">
        <v>40437</v>
      </c>
      <c r="P6689">
        <v>0</v>
      </c>
      <c r="Q6689">
        <v>1</v>
      </c>
      <c r="R6689" t="s">
        <v>40444</v>
      </c>
      <c r="S6689" t="s">
        <v>40676</v>
      </c>
      <c r="T6689" t="s">
        <v>42435</v>
      </c>
      <c r="U6689" t="s">
        <v>48270</v>
      </c>
      <c r="W6689" t="s">
        <v>38050</v>
      </c>
      <c r="X6689" t="s">
        <v>40446</v>
      </c>
    </row>
    <row r="6690" spans="1:24">
      <c r="A6690">
        <f>HYPERLINK("https://www.philgeps.gov.ph/GEPSNONPILOT/Tender/SplashBidNoticeAbstractUI.aspx?menuIndex=3&amp;refID=7036419&amp;Result=3","7036419")</f>
        <v>0</v>
      </c>
      <c r="B6690" t="s">
        <v>1021</v>
      </c>
      <c r="C6690" t="s">
        <v>9443</v>
      </c>
      <c r="D6690" t="s">
        <v>16204</v>
      </c>
      <c r="E6690" t="s">
        <v>22203</v>
      </c>
      <c r="F6690" t="s">
        <v>28198</v>
      </c>
      <c r="G6690" t="s">
        <v>28205</v>
      </c>
      <c r="H6690" t="s">
        <v>28214</v>
      </c>
      <c r="I6690" t="s">
        <v>3797</v>
      </c>
      <c r="J6690" t="s">
        <v>32533</v>
      </c>
      <c r="K6690" t="s">
        <v>36697</v>
      </c>
      <c r="M6690" t="s">
        <v>38052</v>
      </c>
      <c r="N6690" t="s">
        <v>40436</v>
      </c>
      <c r="O6690" t="s">
        <v>40437</v>
      </c>
      <c r="P6690">
        <v>0</v>
      </c>
      <c r="Q6690">
        <v>16</v>
      </c>
      <c r="R6690" t="s">
        <v>40444</v>
      </c>
      <c r="S6690" t="s">
        <v>40676</v>
      </c>
      <c r="T6690" t="s">
        <v>42165</v>
      </c>
      <c r="U6690" t="s">
        <v>44707</v>
      </c>
      <c r="V6690" t="s">
        <v>54048</v>
      </c>
      <c r="W6690" t="s">
        <v>38052</v>
      </c>
      <c r="X6690" t="s">
        <v>40446</v>
      </c>
    </row>
    <row r="6691" spans="1:24">
      <c r="A6691">
        <f>HYPERLINK("https://www.philgeps.gov.ph/GEPSNONPILOT/Tender/SplashBidNoticeAbstractUI.aspx?menuIndex=3&amp;refID=7036019&amp;Result=3","7036019")</f>
        <v>0</v>
      </c>
      <c r="B6691" t="s">
        <v>1041</v>
      </c>
      <c r="C6691" t="s">
        <v>9444</v>
      </c>
      <c r="D6691" t="s">
        <v>16190</v>
      </c>
      <c r="E6691" t="s">
        <v>22204</v>
      </c>
      <c r="F6691" t="s">
        <v>28198</v>
      </c>
      <c r="G6691" t="s">
        <v>28206</v>
      </c>
      <c r="H6691" t="s">
        <v>28215</v>
      </c>
      <c r="I6691" t="s">
        <v>28231</v>
      </c>
      <c r="J6691" t="s">
        <v>29680</v>
      </c>
      <c r="K6691" t="s">
        <v>36707</v>
      </c>
      <c r="M6691" t="s">
        <v>38074</v>
      </c>
      <c r="N6691" t="s">
        <v>40436</v>
      </c>
      <c r="O6691" t="s">
        <v>40437</v>
      </c>
      <c r="P6691">
        <v>0</v>
      </c>
      <c r="Q6691">
        <v>0</v>
      </c>
      <c r="R6691" t="s">
        <v>40444</v>
      </c>
      <c r="S6691" t="s">
        <v>40676</v>
      </c>
      <c r="T6691" t="s">
        <v>42185</v>
      </c>
      <c r="U6691" t="s">
        <v>48271</v>
      </c>
      <c r="W6691" t="s">
        <v>38074</v>
      </c>
      <c r="X6691" t="s">
        <v>40446</v>
      </c>
    </row>
    <row r="6692" spans="1:24">
      <c r="A6692">
        <f>HYPERLINK("https://www.philgeps.gov.ph/GEPSNONPILOT/Tender/SplashBidNoticeAbstractUI.aspx?menuIndex=3&amp;refID=7036100&amp;Result=3","7036100")</f>
        <v>0</v>
      </c>
      <c r="B6692" t="s">
        <v>525</v>
      </c>
      <c r="C6692" t="s">
        <v>9445</v>
      </c>
      <c r="D6692" t="s">
        <v>16221</v>
      </c>
      <c r="E6692" t="s">
        <v>22205</v>
      </c>
      <c r="F6692" t="s">
        <v>28198</v>
      </c>
      <c r="G6692" t="s">
        <v>28205</v>
      </c>
      <c r="H6692" t="s">
        <v>28214</v>
      </c>
      <c r="I6692" t="s">
        <v>3797</v>
      </c>
      <c r="J6692" t="s">
        <v>32534</v>
      </c>
      <c r="K6692" t="s">
        <v>36733</v>
      </c>
      <c r="M6692" t="s">
        <v>37510</v>
      </c>
      <c r="N6692" t="s">
        <v>40436</v>
      </c>
      <c r="O6692" t="s">
        <v>40437</v>
      </c>
      <c r="P6692">
        <v>0</v>
      </c>
      <c r="Q6692">
        <v>4</v>
      </c>
      <c r="R6692" t="s">
        <v>40444</v>
      </c>
      <c r="S6692" t="s">
        <v>40676</v>
      </c>
      <c r="T6692" t="s">
        <v>42165</v>
      </c>
      <c r="U6692" t="s">
        <v>48272</v>
      </c>
      <c r="W6692" t="s">
        <v>37510</v>
      </c>
      <c r="X6692" t="s">
        <v>40446</v>
      </c>
    </row>
    <row r="6693" spans="1:24">
      <c r="A6693">
        <f>HYPERLINK("https://www.philgeps.gov.ph/GEPSNONPILOT/Tender/SplashBidNoticeAbstractUI.aspx?menuIndex=3&amp;refID=7037066&amp;Result=3","7037066")</f>
        <v>0</v>
      </c>
      <c r="B6693" t="s">
        <v>2128</v>
      </c>
      <c r="C6693" t="s">
        <v>9446</v>
      </c>
      <c r="D6693" t="s">
        <v>16202</v>
      </c>
      <c r="E6693" t="s">
        <v>22206</v>
      </c>
      <c r="F6693" t="s">
        <v>28198</v>
      </c>
      <c r="G6693" t="s">
        <v>28205</v>
      </c>
      <c r="H6693" t="s">
        <v>28216</v>
      </c>
      <c r="I6693" t="s">
        <v>28216</v>
      </c>
      <c r="J6693" t="s">
        <v>32535</v>
      </c>
      <c r="K6693" t="s">
        <v>36694</v>
      </c>
      <c r="M6693" t="s">
        <v>39285</v>
      </c>
      <c r="N6693" t="s">
        <v>40436</v>
      </c>
      <c r="O6693" t="s">
        <v>40437</v>
      </c>
      <c r="P6693">
        <v>0</v>
      </c>
      <c r="Q6693">
        <v>3</v>
      </c>
      <c r="R6693" t="s">
        <v>40444</v>
      </c>
      <c r="S6693" t="s">
        <v>40676</v>
      </c>
      <c r="T6693" t="s">
        <v>42246</v>
      </c>
      <c r="U6693" t="s">
        <v>48273</v>
      </c>
      <c r="W6693" t="s">
        <v>39285</v>
      </c>
      <c r="X6693" t="s">
        <v>40446</v>
      </c>
    </row>
    <row r="6694" spans="1:24">
      <c r="A6694">
        <f>HYPERLINK("https://www.philgeps.gov.ph/GEPSNONPILOT/Tender/SplashBidNoticeAbstractUI.aspx?menuIndex=3&amp;refID=7037076&amp;Result=3","7037076")</f>
        <v>0</v>
      </c>
      <c r="B6694" t="s">
        <v>65</v>
      </c>
      <c r="C6694" t="s">
        <v>9447</v>
      </c>
      <c r="D6694" t="s">
        <v>16210</v>
      </c>
      <c r="E6694" t="s">
        <v>22207</v>
      </c>
      <c r="F6694" t="s">
        <v>28198</v>
      </c>
      <c r="G6694" t="s">
        <v>28205</v>
      </c>
      <c r="H6694" t="s">
        <v>28215</v>
      </c>
      <c r="I6694" t="s">
        <v>5082</v>
      </c>
      <c r="J6694" t="s">
        <v>32536</v>
      </c>
      <c r="K6694" t="s">
        <v>36689</v>
      </c>
      <c r="M6694" t="s">
        <v>37036</v>
      </c>
      <c r="N6694" t="s">
        <v>40436</v>
      </c>
      <c r="O6694" t="s">
        <v>40437</v>
      </c>
      <c r="P6694">
        <v>0</v>
      </c>
      <c r="Q6694">
        <v>3</v>
      </c>
      <c r="R6694" t="s">
        <v>40444</v>
      </c>
      <c r="S6694" t="s">
        <v>40676</v>
      </c>
      <c r="T6694" t="s">
        <v>42138</v>
      </c>
      <c r="U6694" t="s">
        <v>48274</v>
      </c>
      <c r="V6694" t="s">
        <v>53786</v>
      </c>
      <c r="W6694" t="s">
        <v>37036</v>
      </c>
      <c r="X6694" t="s">
        <v>40446</v>
      </c>
    </row>
    <row r="6695" spans="1:24">
      <c r="A6695">
        <f>HYPERLINK("https://www.philgeps.gov.ph/GEPSNONPILOT/Tender/SplashBidNoticeAbstractUI.aspx?menuIndex=3&amp;refID=7036953&amp;Result=3","7036953")</f>
        <v>0</v>
      </c>
      <c r="B6695" t="s">
        <v>65</v>
      </c>
      <c r="C6695" t="s">
        <v>9448</v>
      </c>
      <c r="D6695" t="s">
        <v>16210</v>
      </c>
      <c r="E6695" t="s">
        <v>22208</v>
      </c>
      <c r="F6695" t="s">
        <v>28198</v>
      </c>
      <c r="G6695" t="s">
        <v>28205</v>
      </c>
      <c r="H6695" t="s">
        <v>28215</v>
      </c>
      <c r="I6695" t="s">
        <v>28257</v>
      </c>
      <c r="J6695" t="s">
        <v>32537</v>
      </c>
      <c r="K6695" t="s">
        <v>36689</v>
      </c>
      <c r="M6695" t="s">
        <v>37036</v>
      </c>
      <c r="N6695" t="s">
        <v>40436</v>
      </c>
      <c r="O6695" t="s">
        <v>40437</v>
      </c>
      <c r="P6695">
        <v>0</v>
      </c>
      <c r="Q6695">
        <v>11</v>
      </c>
      <c r="R6695" t="s">
        <v>40444</v>
      </c>
      <c r="S6695" t="s">
        <v>40676</v>
      </c>
      <c r="T6695" t="s">
        <v>42138</v>
      </c>
      <c r="U6695" t="s">
        <v>48275</v>
      </c>
      <c r="V6695" t="s">
        <v>53786</v>
      </c>
      <c r="W6695" t="s">
        <v>37036</v>
      </c>
      <c r="X6695" t="s">
        <v>40446</v>
      </c>
    </row>
    <row r="6696" spans="1:24">
      <c r="A6696">
        <f>HYPERLINK("https://www.philgeps.gov.ph/GEPSNONPILOT/Tender/SplashBidNoticeAbstractUI.aspx?menuIndex=3&amp;refID=7036636&amp;Result=3","7036636")</f>
        <v>0</v>
      </c>
      <c r="B6696" t="s">
        <v>2129</v>
      </c>
      <c r="C6696" t="s">
        <v>9449</v>
      </c>
      <c r="D6696" t="s">
        <v>16244</v>
      </c>
      <c r="E6696" t="s">
        <v>22209</v>
      </c>
      <c r="F6696" t="s">
        <v>28198</v>
      </c>
      <c r="G6696" t="s">
        <v>28205</v>
      </c>
      <c r="H6696" t="s">
        <v>28214</v>
      </c>
      <c r="I6696" t="s">
        <v>3797</v>
      </c>
      <c r="J6696" t="s">
        <v>32538</v>
      </c>
      <c r="K6696" t="s">
        <v>36697</v>
      </c>
      <c r="M6696" t="s">
        <v>39286</v>
      </c>
      <c r="N6696" t="s">
        <v>40436</v>
      </c>
      <c r="O6696" t="s">
        <v>40437</v>
      </c>
      <c r="P6696">
        <v>0</v>
      </c>
      <c r="Q6696">
        <v>1</v>
      </c>
      <c r="R6696" t="s">
        <v>40444</v>
      </c>
      <c r="S6696" t="s">
        <v>40676</v>
      </c>
      <c r="T6696" t="s">
        <v>42319</v>
      </c>
      <c r="U6696" t="s">
        <v>48276</v>
      </c>
      <c r="W6696" t="s">
        <v>39286</v>
      </c>
      <c r="X6696" t="s">
        <v>40446</v>
      </c>
    </row>
    <row r="6697" spans="1:24">
      <c r="A6697">
        <f>HYPERLINK("https://www.philgeps.gov.ph/GEPSNONPILOT/Tender/SplashBidNoticeAbstractUI.aspx?menuIndex=3&amp;refID=7036786&amp;Result=3","7036786")</f>
        <v>0</v>
      </c>
      <c r="B6697" t="s">
        <v>1845</v>
      </c>
      <c r="C6697" t="s">
        <v>9450</v>
      </c>
      <c r="D6697" t="s">
        <v>16190</v>
      </c>
      <c r="E6697" t="s">
        <v>22210</v>
      </c>
      <c r="F6697" t="s">
        <v>28198</v>
      </c>
      <c r="G6697" t="s">
        <v>28205</v>
      </c>
      <c r="H6697" t="s">
        <v>28215</v>
      </c>
      <c r="I6697" t="s">
        <v>28244</v>
      </c>
      <c r="J6697" t="s">
        <v>32539</v>
      </c>
      <c r="K6697" t="s">
        <v>36687</v>
      </c>
      <c r="M6697" t="s">
        <v>38972</v>
      </c>
      <c r="N6697" t="s">
        <v>40436</v>
      </c>
      <c r="O6697" t="s">
        <v>40437</v>
      </c>
      <c r="Q6697">
        <v>3</v>
      </c>
      <c r="R6697" t="s">
        <v>40444</v>
      </c>
      <c r="S6697" t="s">
        <v>40678</v>
      </c>
      <c r="T6697" t="s">
        <v>42431</v>
      </c>
      <c r="U6697" t="s">
        <v>48277</v>
      </c>
      <c r="W6697" t="s">
        <v>55497</v>
      </c>
      <c r="X6697" t="s">
        <v>40446</v>
      </c>
    </row>
    <row r="6698" spans="1:24">
      <c r="A6698">
        <f>HYPERLINK("https://www.philgeps.gov.ph/GEPSNONPILOT/Tender/SplashBidNoticeAbstractUI.aspx?menuIndex=3&amp;refID=7036541&amp;Result=3","7036541")</f>
        <v>0</v>
      </c>
      <c r="B6698" t="s">
        <v>2130</v>
      </c>
      <c r="C6698" t="s">
        <v>9451</v>
      </c>
      <c r="D6698" t="s">
        <v>16265</v>
      </c>
      <c r="E6698" t="s">
        <v>22211</v>
      </c>
      <c r="F6698" t="s">
        <v>28198</v>
      </c>
      <c r="G6698" t="s">
        <v>28209</v>
      </c>
      <c r="H6698" t="s">
        <v>28215</v>
      </c>
      <c r="I6698" t="s">
        <v>28246</v>
      </c>
      <c r="J6698" t="s">
        <v>32540</v>
      </c>
      <c r="K6698" t="s">
        <v>36689</v>
      </c>
      <c r="M6698" t="s">
        <v>39287</v>
      </c>
      <c r="N6698" t="s">
        <v>40436</v>
      </c>
      <c r="O6698" t="s">
        <v>40437</v>
      </c>
      <c r="P6698">
        <v>0</v>
      </c>
      <c r="Q6698">
        <v>0</v>
      </c>
      <c r="R6698" t="s">
        <v>40444</v>
      </c>
      <c r="S6698" t="s">
        <v>40676</v>
      </c>
      <c r="T6698" t="s">
        <v>42158</v>
      </c>
      <c r="U6698" t="s">
        <v>48278</v>
      </c>
      <c r="W6698" t="s">
        <v>39287</v>
      </c>
      <c r="X6698" t="s">
        <v>40446</v>
      </c>
    </row>
    <row r="6699" spans="1:24">
      <c r="A6699">
        <f>HYPERLINK("https://www.philgeps.gov.ph/GEPSNONPILOT/Tender/SplashBidNoticeAbstractUI.aspx?menuIndex=3&amp;refID=7036436&amp;Result=3","7036436")</f>
        <v>0</v>
      </c>
      <c r="B6699" t="s">
        <v>2129</v>
      </c>
      <c r="C6699" t="s">
        <v>9452</v>
      </c>
      <c r="D6699" t="s">
        <v>16244</v>
      </c>
      <c r="E6699" t="s">
        <v>22212</v>
      </c>
      <c r="F6699" t="s">
        <v>28198</v>
      </c>
      <c r="G6699" t="s">
        <v>28205</v>
      </c>
      <c r="H6699" t="s">
        <v>28214</v>
      </c>
      <c r="I6699" t="s">
        <v>3797</v>
      </c>
      <c r="J6699" t="s">
        <v>32541</v>
      </c>
      <c r="K6699" t="s">
        <v>36697</v>
      </c>
      <c r="M6699" t="s">
        <v>39286</v>
      </c>
      <c r="N6699" t="s">
        <v>40436</v>
      </c>
      <c r="O6699" t="s">
        <v>40437</v>
      </c>
      <c r="P6699">
        <v>0</v>
      </c>
      <c r="Q6699">
        <v>1</v>
      </c>
      <c r="R6699" t="s">
        <v>40444</v>
      </c>
      <c r="S6699" t="s">
        <v>40676</v>
      </c>
      <c r="T6699" t="s">
        <v>42319</v>
      </c>
      <c r="U6699" t="s">
        <v>48279</v>
      </c>
      <c r="W6699" t="s">
        <v>39286</v>
      </c>
      <c r="X6699" t="s">
        <v>40446</v>
      </c>
    </row>
    <row r="6700" spans="1:24">
      <c r="A6700">
        <f>HYPERLINK("https://www.philgeps.gov.ph/GEPSNONPILOT/Tender/SplashBidNoticeAbstractUI.aspx?menuIndex=3&amp;refID=7035979&amp;Result=3","7035979")</f>
        <v>0</v>
      </c>
      <c r="B6700" t="s">
        <v>340</v>
      </c>
      <c r="C6700" t="s">
        <v>9453</v>
      </c>
      <c r="D6700" t="s">
        <v>16195</v>
      </c>
      <c r="E6700" t="s">
        <v>22213</v>
      </c>
      <c r="F6700" t="s">
        <v>28198</v>
      </c>
      <c r="G6700" t="s">
        <v>28205</v>
      </c>
      <c r="H6700" t="s">
        <v>28214</v>
      </c>
      <c r="I6700" t="s">
        <v>3797</v>
      </c>
      <c r="J6700" t="s">
        <v>32534</v>
      </c>
      <c r="K6700" t="s">
        <v>36733</v>
      </c>
      <c r="M6700" t="s">
        <v>39278</v>
      </c>
      <c r="N6700" t="s">
        <v>40436</v>
      </c>
      <c r="O6700" t="s">
        <v>40437</v>
      </c>
      <c r="P6700">
        <v>0</v>
      </c>
      <c r="Q6700">
        <v>0</v>
      </c>
      <c r="R6700" t="s">
        <v>40444</v>
      </c>
      <c r="S6700" t="s">
        <v>40676</v>
      </c>
      <c r="T6700" t="s">
        <v>42426</v>
      </c>
      <c r="U6700" t="s">
        <v>48280</v>
      </c>
      <c r="W6700" t="s">
        <v>39278</v>
      </c>
      <c r="X6700" t="s">
        <v>40446</v>
      </c>
    </row>
    <row r="6701" spans="1:24">
      <c r="A6701">
        <f>HYPERLINK("https://www.philgeps.gov.ph/GEPSNONPILOT/Tender/SplashBidNoticeAbstractUI.aspx?menuIndex=3&amp;refID=7037161&amp;Result=3","7037161")</f>
        <v>0</v>
      </c>
      <c r="B6701" t="s">
        <v>2131</v>
      </c>
      <c r="C6701" t="s">
        <v>9454</v>
      </c>
      <c r="D6701" t="s">
        <v>16248</v>
      </c>
      <c r="E6701" t="s">
        <v>22214</v>
      </c>
      <c r="F6701" t="s">
        <v>28198</v>
      </c>
      <c r="G6701" t="s">
        <v>28205</v>
      </c>
      <c r="H6701" t="s">
        <v>28214</v>
      </c>
      <c r="I6701" t="s">
        <v>3797</v>
      </c>
      <c r="J6701" t="s">
        <v>32542</v>
      </c>
      <c r="K6701" t="s">
        <v>36690</v>
      </c>
      <c r="M6701" t="s">
        <v>39288</v>
      </c>
      <c r="N6701" t="s">
        <v>40436</v>
      </c>
      <c r="O6701" t="s">
        <v>40437</v>
      </c>
      <c r="P6701">
        <v>0</v>
      </c>
      <c r="Q6701">
        <v>3</v>
      </c>
      <c r="R6701" t="s">
        <v>40444</v>
      </c>
      <c r="S6701" t="s">
        <v>40676</v>
      </c>
      <c r="T6701" t="s">
        <v>42216</v>
      </c>
      <c r="U6701" t="s">
        <v>48281</v>
      </c>
      <c r="W6701" t="s">
        <v>39288</v>
      </c>
      <c r="X6701" t="s">
        <v>40446</v>
      </c>
    </row>
    <row r="6702" spans="1:24">
      <c r="A6702">
        <f>HYPERLINK("https://www.philgeps.gov.ph/GEPSNONPILOT/Tender/SplashBidNoticeAbstractUI.aspx?menuIndex=3&amp;refID=7037308&amp;Result=3","7037308")</f>
        <v>0</v>
      </c>
      <c r="B6702" t="s">
        <v>1845</v>
      </c>
      <c r="C6702" t="s">
        <v>9455</v>
      </c>
      <c r="D6702" t="s">
        <v>16190</v>
      </c>
      <c r="E6702" t="s">
        <v>22215</v>
      </c>
      <c r="F6702" t="s">
        <v>28198</v>
      </c>
      <c r="G6702" t="s">
        <v>28205</v>
      </c>
      <c r="H6702" t="s">
        <v>28215</v>
      </c>
      <c r="I6702" t="s">
        <v>28234</v>
      </c>
      <c r="J6702" t="s">
        <v>32543</v>
      </c>
      <c r="K6702" t="s">
        <v>36687</v>
      </c>
      <c r="M6702" t="s">
        <v>38972</v>
      </c>
      <c r="N6702" t="s">
        <v>40436</v>
      </c>
      <c r="O6702" t="s">
        <v>40437</v>
      </c>
      <c r="Q6702">
        <v>3</v>
      </c>
      <c r="R6702" t="s">
        <v>40444</v>
      </c>
      <c r="S6702" t="s">
        <v>40679</v>
      </c>
      <c r="T6702" t="s">
        <v>42431</v>
      </c>
      <c r="U6702" t="s">
        <v>48277</v>
      </c>
      <c r="W6702" t="s">
        <v>55497</v>
      </c>
      <c r="X6702" t="s">
        <v>40446</v>
      </c>
    </row>
    <row r="6703" spans="1:24">
      <c r="A6703">
        <f>HYPERLINK("https://www.philgeps.gov.ph/GEPSNONPILOT/Tender/SplashBidNoticeAbstractUI.aspx?menuIndex=3&amp;refID=7036980&amp;Result=3","7036980")</f>
        <v>0</v>
      </c>
      <c r="B6703" t="s">
        <v>65</v>
      </c>
      <c r="C6703" t="s">
        <v>9456</v>
      </c>
      <c r="D6703" t="s">
        <v>16210</v>
      </c>
      <c r="E6703" t="s">
        <v>22216</v>
      </c>
      <c r="F6703" t="s">
        <v>28198</v>
      </c>
      <c r="G6703" t="s">
        <v>28205</v>
      </c>
      <c r="H6703" t="s">
        <v>28215</v>
      </c>
      <c r="I6703" t="s">
        <v>28234</v>
      </c>
      <c r="J6703" t="s">
        <v>32544</v>
      </c>
      <c r="K6703" t="s">
        <v>36689</v>
      </c>
      <c r="M6703" t="s">
        <v>37036</v>
      </c>
      <c r="N6703" t="s">
        <v>40436</v>
      </c>
      <c r="O6703" t="s">
        <v>40437</v>
      </c>
      <c r="P6703">
        <v>0</v>
      </c>
      <c r="Q6703">
        <v>15</v>
      </c>
      <c r="R6703" t="s">
        <v>40444</v>
      </c>
      <c r="S6703" t="s">
        <v>40676</v>
      </c>
      <c r="T6703" t="s">
        <v>42138</v>
      </c>
      <c r="U6703" t="s">
        <v>48282</v>
      </c>
      <c r="V6703" t="s">
        <v>53786</v>
      </c>
      <c r="W6703" t="s">
        <v>37036</v>
      </c>
      <c r="X6703" t="s">
        <v>40446</v>
      </c>
    </row>
    <row r="6704" spans="1:24">
      <c r="A6704">
        <f>HYPERLINK("https://www.philgeps.gov.ph/GEPSNONPILOT/Tender/SplashBidNoticeAbstractUI.aspx?menuIndex=3&amp;refID=7037571&amp;Result=3","7037571")</f>
        <v>0</v>
      </c>
      <c r="B6704" t="s">
        <v>526</v>
      </c>
      <c r="C6704" t="s">
        <v>9457</v>
      </c>
      <c r="D6704" t="s">
        <v>16210</v>
      </c>
      <c r="E6704" t="s">
        <v>22217</v>
      </c>
      <c r="F6704" t="s">
        <v>28198</v>
      </c>
      <c r="G6704" t="s">
        <v>28205</v>
      </c>
      <c r="H6704" t="s">
        <v>28215</v>
      </c>
      <c r="I6704" t="s">
        <v>5100</v>
      </c>
      <c r="J6704" t="s">
        <v>28414</v>
      </c>
      <c r="K6704" t="s">
        <v>36693</v>
      </c>
      <c r="M6704" t="s">
        <v>37511</v>
      </c>
      <c r="N6704" t="s">
        <v>40436</v>
      </c>
      <c r="O6704" t="s">
        <v>40437</v>
      </c>
      <c r="P6704">
        <v>0</v>
      </c>
      <c r="Q6704">
        <v>1</v>
      </c>
      <c r="R6704" t="s">
        <v>40444</v>
      </c>
      <c r="S6704" t="s">
        <v>40676</v>
      </c>
      <c r="T6704" t="s">
        <v>42218</v>
      </c>
      <c r="U6704" t="s">
        <v>48283</v>
      </c>
      <c r="W6704" t="s">
        <v>37511</v>
      </c>
      <c r="X6704" t="s">
        <v>40446</v>
      </c>
    </row>
    <row r="6705" spans="1:24">
      <c r="A6705">
        <f>HYPERLINK("https://www.philgeps.gov.ph/GEPSNONPILOT/Tender/SplashBidNoticeAbstractUI.aspx?menuIndex=3&amp;refID=7036907&amp;Result=3","7036907")</f>
        <v>0</v>
      </c>
      <c r="B6705" t="s">
        <v>1845</v>
      </c>
      <c r="C6705" t="s">
        <v>9458</v>
      </c>
      <c r="D6705" t="s">
        <v>16190</v>
      </c>
      <c r="E6705" t="s">
        <v>22218</v>
      </c>
      <c r="F6705" t="s">
        <v>28198</v>
      </c>
      <c r="G6705" t="s">
        <v>28205</v>
      </c>
      <c r="H6705" t="s">
        <v>28215</v>
      </c>
      <c r="I6705" t="s">
        <v>5103</v>
      </c>
      <c r="J6705" t="s">
        <v>28345</v>
      </c>
      <c r="K6705" t="s">
        <v>36687</v>
      </c>
      <c r="M6705" t="s">
        <v>38972</v>
      </c>
      <c r="N6705" t="s">
        <v>40436</v>
      </c>
      <c r="O6705" t="s">
        <v>40437</v>
      </c>
      <c r="Q6705">
        <v>5</v>
      </c>
      <c r="R6705" t="s">
        <v>40444</v>
      </c>
      <c r="S6705" t="s">
        <v>40680</v>
      </c>
      <c r="T6705" t="s">
        <v>42431</v>
      </c>
      <c r="U6705" t="s">
        <v>48277</v>
      </c>
      <c r="W6705" t="s">
        <v>55497</v>
      </c>
      <c r="X6705" t="s">
        <v>40446</v>
      </c>
    </row>
    <row r="6706" spans="1:24">
      <c r="A6706">
        <f>HYPERLINK("https://www.philgeps.gov.ph/GEPSNONPILOT/Tender/SplashBidNoticeAbstractUI.aspx?menuIndex=3&amp;refID=7037662&amp;Result=3","7037662")</f>
        <v>0</v>
      </c>
      <c r="B6706" t="s">
        <v>1142</v>
      </c>
      <c r="C6706" t="s">
        <v>9459</v>
      </c>
      <c r="D6706" t="s">
        <v>16223</v>
      </c>
      <c r="E6706" t="s">
        <v>22219</v>
      </c>
      <c r="F6706" t="s">
        <v>28200</v>
      </c>
      <c r="G6706" t="s">
        <v>28206</v>
      </c>
      <c r="H6706" t="s">
        <v>28215</v>
      </c>
      <c r="I6706" t="s">
        <v>9499</v>
      </c>
      <c r="J6706" t="s">
        <v>31378</v>
      </c>
      <c r="K6706" t="s">
        <v>36706</v>
      </c>
      <c r="M6706" t="s">
        <v>38182</v>
      </c>
      <c r="N6706" t="s">
        <v>40436</v>
      </c>
      <c r="O6706" t="s">
        <v>40437</v>
      </c>
      <c r="P6706">
        <v>0</v>
      </c>
      <c r="Q6706">
        <v>9</v>
      </c>
      <c r="R6706" t="s">
        <v>40444</v>
      </c>
      <c r="S6706" t="s">
        <v>40676</v>
      </c>
      <c r="T6706" t="s">
        <v>42188</v>
      </c>
      <c r="U6706" t="s">
        <v>48284</v>
      </c>
      <c r="W6706" t="s">
        <v>38182</v>
      </c>
      <c r="X6706" t="s">
        <v>40446</v>
      </c>
    </row>
    <row r="6707" spans="1:24">
      <c r="A6707">
        <f>HYPERLINK("https://www.philgeps.gov.ph/GEPSNONPILOT/Tender/SplashBidNoticeAbstractUI.aspx?menuIndex=3&amp;refID=7037038&amp;Result=3","7037038")</f>
        <v>0</v>
      </c>
      <c r="B6707" t="s">
        <v>65</v>
      </c>
      <c r="C6707" t="s">
        <v>9460</v>
      </c>
      <c r="D6707" t="s">
        <v>16210</v>
      </c>
      <c r="E6707" t="s">
        <v>22220</v>
      </c>
      <c r="F6707" t="s">
        <v>28198</v>
      </c>
      <c r="G6707" t="s">
        <v>28205</v>
      </c>
      <c r="H6707" t="s">
        <v>28215</v>
      </c>
      <c r="I6707" t="s">
        <v>3422</v>
      </c>
      <c r="J6707" t="s">
        <v>28351</v>
      </c>
      <c r="K6707" t="s">
        <v>36689</v>
      </c>
      <c r="M6707" t="s">
        <v>37036</v>
      </c>
      <c r="N6707" t="s">
        <v>40436</v>
      </c>
      <c r="O6707" t="s">
        <v>40437</v>
      </c>
      <c r="P6707">
        <v>0</v>
      </c>
      <c r="Q6707">
        <v>5</v>
      </c>
      <c r="R6707" t="s">
        <v>40444</v>
      </c>
      <c r="S6707" t="s">
        <v>40676</v>
      </c>
      <c r="T6707" t="s">
        <v>42138</v>
      </c>
      <c r="U6707" t="s">
        <v>48285</v>
      </c>
      <c r="V6707" t="s">
        <v>53786</v>
      </c>
      <c r="W6707" t="s">
        <v>37036</v>
      </c>
      <c r="X6707" t="s">
        <v>40446</v>
      </c>
    </row>
    <row r="6708" spans="1:24">
      <c r="A6708">
        <f>HYPERLINK("https://www.philgeps.gov.ph/GEPSNONPILOT/Tender/SplashBidNoticeAbstractUI.aspx?menuIndex=3&amp;refID=7037630&amp;Result=3","7037630")</f>
        <v>0</v>
      </c>
      <c r="B6708" t="s">
        <v>2083</v>
      </c>
      <c r="C6708" t="s">
        <v>9461</v>
      </c>
      <c r="D6708" t="s">
        <v>16192</v>
      </c>
      <c r="E6708" t="s">
        <v>22221</v>
      </c>
      <c r="F6708" t="s">
        <v>28198</v>
      </c>
      <c r="G6708" t="s">
        <v>28207</v>
      </c>
      <c r="H6708" t="s">
        <v>28215</v>
      </c>
      <c r="I6708" t="s">
        <v>28224</v>
      </c>
      <c r="J6708" t="s">
        <v>30075</v>
      </c>
      <c r="K6708" t="s">
        <v>36701</v>
      </c>
      <c r="M6708" t="s">
        <v>39232</v>
      </c>
      <c r="N6708" t="s">
        <v>40436</v>
      </c>
      <c r="O6708" t="s">
        <v>40437</v>
      </c>
      <c r="P6708">
        <v>0</v>
      </c>
      <c r="Q6708">
        <v>2</v>
      </c>
      <c r="R6708" t="s">
        <v>40444</v>
      </c>
      <c r="S6708" t="s">
        <v>40676</v>
      </c>
      <c r="T6708" t="s">
        <v>42233</v>
      </c>
      <c r="U6708" t="s">
        <v>48286</v>
      </c>
      <c r="W6708" t="s">
        <v>39232</v>
      </c>
      <c r="X6708" t="s">
        <v>40446</v>
      </c>
    </row>
    <row r="6709" spans="1:24">
      <c r="A6709">
        <f>HYPERLINK("https://www.philgeps.gov.ph/GEPSNONPILOT/Tender/SplashBidNoticeAbstractUI.aspx?menuIndex=3&amp;refID=7037568&amp;Result=3","7037568")</f>
        <v>0</v>
      </c>
      <c r="B6709" t="s">
        <v>1727</v>
      </c>
      <c r="C6709" t="s">
        <v>9462</v>
      </c>
      <c r="D6709" t="s">
        <v>16203</v>
      </c>
      <c r="E6709" t="s">
        <v>22222</v>
      </c>
      <c r="F6709" t="s">
        <v>28198</v>
      </c>
      <c r="G6709" t="s">
        <v>28205</v>
      </c>
      <c r="H6709" t="s">
        <v>28214</v>
      </c>
      <c r="I6709" t="s">
        <v>3797</v>
      </c>
      <c r="J6709" t="s">
        <v>32545</v>
      </c>
      <c r="K6709" t="s">
        <v>36694</v>
      </c>
      <c r="M6709" t="s">
        <v>38836</v>
      </c>
      <c r="N6709" t="s">
        <v>40436</v>
      </c>
      <c r="O6709" t="s">
        <v>40437</v>
      </c>
      <c r="P6709">
        <v>0</v>
      </c>
      <c r="Q6709">
        <v>0</v>
      </c>
      <c r="R6709" t="s">
        <v>40444</v>
      </c>
      <c r="S6709" t="s">
        <v>40676</v>
      </c>
      <c r="T6709" t="s">
        <v>42274</v>
      </c>
      <c r="U6709" t="s">
        <v>48287</v>
      </c>
      <c r="W6709" t="s">
        <v>38836</v>
      </c>
      <c r="X6709" t="s">
        <v>40446</v>
      </c>
    </row>
    <row r="6710" spans="1:24">
      <c r="A6710">
        <f>HYPERLINK("https://www.philgeps.gov.ph/GEPSNONPILOT/Tender/SplashBidNoticeAbstractUI.aspx?menuIndex=3&amp;refID=7037291&amp;Result=3","7037291")</f>
        <v>0</v>
      </c>
      <c r="B6710" t="s">
        <v>2132</v>
      </c>
      <c r="C6710" t="s">
        <v>9463</v>
      </c>
      <c r="D6710" t="s">
        <v>16210</v>
      </c>
      <c r="E6710" t="s">
        <v>22223</v>
      </c>
      <c r="F6710" t="s">
        <v>28198</v>
      </c>
      <c r="G6710" t="s">
        <v>28207</v>
      </c>
      <c r="H6710" t="s">
        <v>28215</v>
      </c>
      <c r="I6710" t="s">
        <v>4200</v>
      </c>
      <c r="J6710" t="s">
        <v>32546</v>
      </c>
      <c r="K6710" t="s">
        <v>36707</v>
      </c>
      <c r="M6710" t="s">
        <v>39289</v>
      </c>
      <c r="N6710" t="s">
        <v>40436</v>
      </c>
      <c r="O6710" t="s">
        <v>40437</v>
      </c>
      <c r="P6710">
        <v>0</v>
      </c>
      <c r="Q6710">
        <v>3</v>
      </c>
      <c r="R6710" t="s">
        <v>40444</v>
      </c>
      <c r="S6710" t="s">
        <v>40676</v>
      </c>
      <c r="T6710" t="s">
        <v>42184</v>
      </c>
      <c r="U6710" t="s">
        <v>44176</v>
      </c>
      <c r="W6710" t="s">
        <v>39289</v>
      </c>
      <c r="X6710" t="s">
        <v>40446</v>
      </c>
    </row>
    <row r="6711" spans="1:24">
      <c r="A6711">
        <f>HYPERLINK("https://www.philgeps.gov.ph/GEPSNONPILOT/Tender/SplashBidNoticeAbstractUI.aspx?menuIndex=3&amp;refID=7037500&amp;Result=3","7037500")</f>
        <v>0</v>
      </c>
      <c r="B6711" t="s">
        <v>1845</v>
      </c>
      <c r="C6711" t="s">
        <v>9464</v>
      </c>
      <c r="D6711" t="s">
        <v>16190</v>
      </c>
      <c r="E6711" t="s">
        <v>22224</v>
      </c>
      <c r="F6711" t="s">
        <v>28198</v>
      </c>
      <c r="G6711" t="s">
        <v>28205</v>
      </c>
      <c r="H6711" t="s">
        <v>28215</v>
      </c>
      <c r="I6711" t="s">
        <v>28304</v>
      </c>
      <c r="J6711" t="s">
        <v>32547</v>
      </c>
      <c r="K6711" t="s">
        <v>36687</v>
      </c>
      <c r="M6711" t="s">
        <v>38972</v>
      </c>
      <c r="N6711" t="s">
        <v>40436</v>
      </c>
      <c r="O6711" t="s">
        <v>40437</v>
      </c>
      <c r="Q6711">
        <v>3</v>
      </c>
      <c r="R6711" t="s">
        <v>40444</v>
      </c>
      <c r="S6711" t="s">
        <v>40681</v>
      </c>
      <c r="T6711" t="s">
        <v>42459</v>
      </c>
      <c r="U6711" t="s">
        <v>48277</v>
      </c>
      <c r="W6711" t="s">
        <v>55497</v>
      </c>
      <c r="X6711" t="s">
        <v>40446</v>
      </c>
    </row>
    <row r="6712" spans="1:24">
      <c r="A6712">
        <f>HYPERLINK("https://www.philgeps.gov.ph/GEPSNONPILOT/Tender/SplashBidNoticeAbstractUI.aspx?menuIndex=3&amp;refID=7037487&amp;Result=3","7037487")</f>
        <v>0</v>
      </c>
      <c r="B6712" t="s">
        <v>1028</v>
      </c>
      <c r="C6712" t="s">
        <v>9465</v>
      </c>
      <c r="D6712" t="s">
        <v>16222</v>
      </c>
      <c r="E6712" t="s">
        <v>16757</v>
      </c>
      <c r="F6712" t="s">
        <v>28198</v>
      </c>
      <c r="G6712" t="s">
        <v>28205</v>
      </c>
      <c r="H6712" t="s">
        <v>28214</v>
      </c>
      <c r="I6712" t="s">
        <v>3797</v>
      </c>
      <c r="J6712" t="s">
        <v>32548</v>
      </c>
      <c r="K6712" t="s">
        <v>36692</v>
      </c>
      <c r="M6712" t="s">
        <v>38059</v>
      </c>
      <c r="N6712" t="s">
        <v>40436</v>
      </c>
      <c r="O6712" t="s">
        <v>40437</v>
      </c>
      <c r="P6712">
        <v>0</v>
      </c>
      <c r="Q6712">
        <v>1</v>
      </c>
      <c r="R6712" t="s">
        <v>40444</v>
      </c>
      <c r="S6712" t="s">
        <v>40676</v>
      </c>
      <c r="T6712" t="s">
        <v>42460</v>
      </c>
      <c r="U6712" t="s">
        <v>48288</v>
      </c>
      <c r="V6712" t="s">
        <v>54051</v>
      </c>
      <c r="W6712" t="s">
        <v>38059</v>
      </c>
      <c r="X6712" t="s">
        <v>40446</v>
      </c>
    </row>
    <row r="6713" spans="1:24">
      <c r="A6713">
        <f>HYPERLINK("https://www.philgeps.gov.ph/GEPSNONPILOT/Tender/SplashBidNoticeAbstractUI.aspx?menuIndex=3&amp;refID=7037382&amp;Result=3","7037382")</f>
        <v>0</v>
      </c>
      <c r="B6713" t="s">
        <v>2133</v>
      </c>
      <c r="C6713" t="s">
        <v>9466</v>
      </c>
      <c r="D6713" t="s">
        <v>16203</v>
      </c>
      <c r="E6713" t="s">
        <v>22225</v>
      </c>
      <c r="F6713" t="s">
        <v>28198</v>
      </c>
      <c r="G6713" t="s">
        <v>28205</v>
      </c>
      <c r="H6713" t="s">
        <v>28214</v>
      </c>
      <c r="I6713" t="s">
        <v>3797</v>
      </c>
      <c r="J6713" t="s">
        <v>28699</v>
      </c>
      <c r="K6713" t="s">
        <v>36694</v>
      </c>
      <c r="M6713" t="s">
        <v>39290</v>
      </c>
      <c r="N6713" t="s">
        <v>40436</v>
      </c>
      <c r="O6713" t="s">
        <v>40437</v>
      </c>
      <c r="P6713">
        <v>0</v>
      </c>
      <c r="Q6713">
        <v>0</v>
      </c>
      <c r="R6713" t="s">
        <v>40444</v>
      </c>
      <c r="S6713" t="s">
        <v>40676</v>
      </c>
      <c r="T6713" t="s">
        <v>42234</v>
      </c>
      <c r="U6713" t="s">
        <v>48289</v>
      </c>
      <c r="W6713" t="s">
        <v>39290</v>
      </c>
      <c r="X6713" t="s">
        <v>40446</v>
      </c>
    </row>
    <row r="6714" spans="1:24">
      <c r="A6714">
        <f>HYPERLINK("https://www.philgeps.gov.ph/GEPSNONPILOT/Tender/SplashBidNoticeAbstractUI.aspx?menuIndex=3&amp;refID=7037645&amp;Result=3","7037645")</f>
        <v>0</v>
      </c>
      <c r="B6714" t="s">
        <v>1028</v>
      </c>
      <c r="C6714" t="s">
        <v>9467</v>
      </c>
      <c r="D6714" t="s">
        <v>16222</v>
      </c>
      <c r="E6714" t="s">
        <v>16751</v>
      </c>
      <c r="F6714" t="s">
        <v>28198</v>
      </c>
      <c r="G6714" t="s">
        <v>28205</v>
      </c>
      <c r="H6714" t="s">
        <v>28215</v>
      </c>
      <c r="I6714" t="s">
        <v>4219</v>
      </c>
      <c r="J6714" t="s">
        <v>32549</v>
      </c>
      <c r="K6714" t="s">
        <v>36688</v>
      </c>
      <c r="M6714" t="s">
        <v>38059</v>
      </c>
      <c r="N6714" t="s">
        <v>40436</v>
      </c>
      <c r="O6714" t="s">
        <v>40437</v>
      </c>
      <c r="P6714">
        <v>0</v>
      </c>
      <c r="Q6714">
        <v>4</v>
      </c>
      <c r="R6714" t="s">
        <v>40444</v>
      </c>
      <c r="S6714" t="s">
        <v>40676</v>
      </c>
      <c r="T6714" t="s">
        <v>42461</v>
      </c>
      <c r="U6714" t="s">
        <v>48290</v>
      </c>
      <c r="V6714" t="s">
        <v>54483</v>
      </c>
      <c r="W6714" t="s">
        <v>38059</v>
      </c>
      <c r="X6714" t="s">
        <v>40446</v>
      </c>
    </row>
    <row r="6715" spans="1:24">
      <c r="A6715">
        <f>HYPERLINK("https://www.philgeps.gov.ph/GEPSNONPILOT/Tender/SplashBidNoticeAbstractUI.aspx?menuIndex=3&amp;refID=7037940&amp;Result=3","7037940")</f>
        <v>0</v>
      </c>
      <c r="B6715" t="s">
        <v>1712</v>
      </c>
      <c r="C6715" t="s">
        <v>9468</v>
      </c>
      <c r="D6715" t="s">
        <v>16244</v>
      </c>
      <c r="E6715" t="s">
        <v>22226</v>
      </c>
      <c r="F6715" t="s">
        <v>28198</v>
      </c>
      <c r="G6715" t="s">
        <v>28205</v>
      </c>
      <c r="H6715" t="s">
        <v>28214</v>
      </c>
      <c r="I6715" t="s">
        <v>3797</v>
      </c>
      <c r="J6715" t="s">
        <v>32550</v>
      </c>
      <c r="K6715" t="s">
        <v>36701</v>
      </c>
      <c r="M6715" t="s">
        <v>38818</v>
      </c>
      <c r="N6715" t="s">
        <v>40436</v>
      </c>
      <c r="O6715" t="s">
        <v>40437</v>
      </c>
      <c r="P6715">
        <v>0</v>
      </c>
      <c r="Q6715">
        <v>0</v>
      </c>
      <c r="R6715" t="s">
        <v>40444</v>
      </c>
      <c r="S6715" t="s">
        <v>40676</v>
      </c>
      <c r="T6715" t="s">
        <v>42234</v>
      </c>
      <c r="U6715" t="s">
        <v>46839</v>
      </c>
      <c r="W6715" t="s">
        <v>38818</v>
      </c>
      <c r="X6715" t="s">
        <v>40446</v>
      </c>
    </row>
    <row r="6716" spans="1:24">
      <c r="A6716">
        <f>HYPERLINK("https://www.philgeps.gov.ph/GEPSNONPILOT/Tender/SplashBidNoticeAbstractUI.aspx?menuIndex=3&amp;refID=7037430&amp;Result=3","7037430")</f>
        <v>0</v>
      </c>
      <c r="B6716" t="s">
        <v>1845</v>
      </c>
      <c r="C6716" t="s">
        <v>9469</v>
      </c>
      <c r="D6716" t="s">
        <v>16190</v>
      </c>
      <c r="E6716" t="s">
        <v>22227</v>
      </c>
      <c r="F6716" t="s">
        <v>28198</v>
      </c>
      <c r="G6716" t="s">
        <v>28205</v>
      </c>
      <c r="H6716" t="s">
        <v>28215</v>
      </c>
      <c r="I6716" t="s">
        <v>28234</v>
      </c>
      <c r="J6716" t="s">
        <v>32551</v>
      </c>
      <c r="K6716" t="s">
        <v>36687</v>
      </c>
      <c r="M6716" t="s">
        <v>38972</v>
      </c>
      <c r="N6716" t="s">
        <v>40436</v>
      </c>
      <c r="O6716" t="s">
        <v>40437</v>
      </c>
      <c r="Q6716">
        <v>3</v>
      </c>
      <c r="R6716" t="s">
        <v>40444</v>
      </c>
      <c r="S6716" t="s">
        <v>40682</v>
      </c>
      <c r="T6716" t="s">
        <v>42431</v>
      </c>
      <c r="U6716" t="s">
        <v>48277</v>
      </c>
      <c r="W6716" t="s">
        <v>55497</v>
      </c>
      <c r="X6716" t="s">
        <v>40446</v>
      </c>
    </row>
    <row r="6717" spans="1:24">
      <c r="A6717">
        <f>HYPERLINK("https://www.philgeps.gov.ph/GEPSNONPILOT/Tender/SplashBidNoticeAbstractUI.aspx?menuIndex=3&amp;refID=7037539&amp;Result=3","7037539")</f>
        <v>0</v>
      </c>
      <c r="B6717" t="s">
        <v>2083</v>
      </c>
      <c r="C6717" t="s">
        <v>9470</v>
      </c>
      <c r="D6717" t="s">
        <v>16201</v>
      </c>
      <c r="E6717" t="s">
        <v>22228</v>
      </c>
      <c r="F6717" t="s">
        <v>28198</v>
      </c>
      <c r="G6717" t="s">
        <v>28207</v>
      </c>
      <c r="H6717" t="s">
        <v>28215</v>
      </c>
      <c r="I6717" t="s">
        <v>28224</v>
      </c>
      <c r="J6717" t="s">
        <v>30075</v>
      </c>
      <c r="K6717" t="s">
        <v>36701</v>
      </c>
      <c r="M6717" t="s">
        <v>39232</v>
      </c>
      <c r="N6717" t="s">
        <v>40436</v>
      </c>
      <c r="O6717" t="s">
        <v>40437</v>
      </c>
      <c r="P6717">
        <v>0</v>
      </c>
      <c r="Q6717">
        <v>1</v>
      </c>
      <c r="R6717" t="s">
        <v>40444</v>
      </c>
      <c r="S6717" t="s">
        <v>40676</v>
      </c>
      <c r="T6717" t="s">
        <v>42233</v>
      </c>
      <c r="U6717" t="s">
        <v>48291</v>
      </c>
      <c r="W6717" t="s">
        <v>39232</v>
      </c>
      <c r="X6717" t="s">
        <v>40446</v>
      </c>
    </row>
    <row r="6718" spans="1:24">
      <c r="A6718">
        <f>HYPERLINK("https://www.philgeps.gov.ph/GEPSNONPILOT/Tender/SplashBidNoticeAbstractUI.aspx?menuIndex=3&amp;refID=7037685&amp;Result=3","7037685")</f>
        <v>0</v>
      </c>
      <c r="B6718" t="s">
        <v>1845</v>
      </c>
      <c r="C6718" t="s">
        <v>9471</v>
      </c>
      <c r="D6718" t="s">
        <v>16190</v>
      </c>
      <c r="E6718" t="s">
        <v>22229</v>
      </c>
      <c r="F6718" t="s">
        <v>28198</v>
      </c>
      <c r="G6718" t="s">
        <v>28205</v>
      </c>
      <c r="H6718" t="s">
        <v>28215</v>
      </c>
      <c r="I6718" t="s">
        <v>6051</v>
      </c>
      <c r="J6718" t="s">
        <v>29113</v>
      </c>
      <c r="K6718" t="s">
        <v>36687</v>
      </c>
      <c r="M6718" t="s">
        <v>38972</v>
      </c>
      <c r="N6718" t="s">
        <v>40436</v>
      </c>
      <c r="O6718" t="s">
        <v>40437</v>
      </c>
      <c r="Q6718">
        <v>3</v>
      </c>
      <c r="R6718" t="s">
        <v>40444</v>
      </c>
      <c r="S6718" t="s">
        <v>40683</v>
      </c>
      <c r="T6718" t="s">
        <v>42459</v>
      </c>
      <c r="U6718" t="s">
        <v>48277</v>
      </c>
      <c r="W6718" t="s">
        <v>55497</v>
      </c>
      <c r="X6718" t="s">
        <v>40446</v>
      </c>
    </row>
    <row r="6719" spans="1:24">
      <c r="A6719">
        <f>HYPERLINK("https://www.philgeps.gov.ph/GEPSNONPILOT/Tender/SplashBidNoticeAbstractUI.aspx?menuIndex=3&amp;refID=7037340&amp;Result=3","7037340")</f>
        <v>0</v>
      </c>
      <c r="B6719" t="s">
        <v>1159</v>
      </c>
      <c r="C6719" t="s">
        <v>9472</v>
      </c>
      <c r="D6719" t="s">
        <v>16209</v>
      </c>
      <c r="E6719" t="s">
        <v>22230</v>
      </c>
      <c r="F6719" t="s">
        <v>28198</v>
      </c>
      <c r="G6719" t="s">
        <v>28206</v>
      </c>
      <c r="H6719" t="s">
        <v>28215</v>
      </c>
      <c r="I6719" t="s">
        <v>28225</v>
      </c>
      <c r="J6719" t="s">
        <v>32552</v>
      </c>
      <c r="K6719" t="s">
        <v>36689</v>
      </c>
      <c r="M6719" t="s">
        <v>38199</v>
      </c>
      <c r="N6719" t="s">
        <v>40436</v>
      </c>
      <c r="O6719" t="s">
        <v>40437</v>
      </c>
      <c r="P6719">
        <v>0</v>
      </c>
      <c r="Q6719">
        <v>3</v>
      </c>
      <c r="R6719" t="s">
        <v>40444</v>
      </c>
      <c r="S6719" t="s">
        <v>40676</v>
      </c>
      <c r="T6719" t="s">
        <v>42216</v>
      </c>
      <c r="U6719" t="s">
        <v>48292</v>
      </c>
      <c r="W6719" t="s">
        <v>38199</v>
      </c>
      <c r="X6719" t="s">
        <v>40446</v>
      </c>
    </row>
    <row r="6720" spans="1:24">
      <c r="A6720">
        <f>HYPERLINK("https://www.philgeps.gov.ph/GEPSNONPILOT/Tender/SplashBidNoticeAbstractUI.aspx?menuIndex=3&amp;refID=7037727&amp;Result=3","7037727")</f>
        <v>0</v>
      </c>
      <c r="B6720" t="s">
        <v>1845</v>
      </c>
      <c r="C6720" t="s">
        <v>9473</v>
      </c>
      <c r="D6720" t="s">
        <v>16190</v>
      </c>
      <c r="E6720" t="s">
        <v>22231</v>
      </c>
      <c r="F6720" t="s">
        <v>28198</v>
      </c>
      <c r="G6720" t="s">
        <v>28205</v>
      </c>
      <c r="H6720" t="s">
        <v>28215</v>
      </c>
      <c r="I6720" t="s">
        <v>28257</v>
      </c>
      <c r="J6720" t="s">
        <v>32553</v>
      </c>
      <c r="K6720" t="s">
        <v>36694</v>
      </c>
      <c r="M6720" t="s">
        <v>38972</v>
      </c>
      <c r="N6720" t="s">
        <v>40436</v>
      </c>
      <c r="O6720" t="s">
        <v>40437</v>
      </c>
      <c r="Q6720">
        <v>4</v>
      </c>
      <c r="R6720" t="s">
        <v>40444</v>
      </c>
      <c r="S6720" t="s">
        <v>40684</v>
      </c>
      <c r="T6720" t="s">
        <v>42459</v>
      </c>
      <c r="U6720" t="s">
        <v>48277</v>
      </c>
      <c r="W6720" t="s">
        <v>55497</v>
      </c>
      <c r="X6720" t="s">
        <v>40446</v>
      </c>
    </row>
    <row r="6721" spans="1:24">
      <c r="A6721">
        <f>HYPERLINK("https://www.philgeps.gov.ph/GEPSNONPILOT/Tender/SplashBidNoticeAbstractUI.aspx?menuIndex=3&amp;refID=7037745&amp;Result=3","7037745")</f>
        <v>0</v>
      </c>
      <c r="B6721" t="s">
        <v>1845</v>
      </c>
      <c r="C6721" t="s">
        <v>9474</v>
      </c>
      <c r="D6721" t="s">
        <v>16190</v>
      </c>
      <c r="E6721" t="s">
        <v>22232</v>
      </c>
      <c r="F6721" t="s">
        <v>28198</v>
      </c>
      <c r="G6721" t="s">
        <v>28205</v>
      </c>
      <c r="H6721" t="s">
        <v>28215</v>
      </c>
      <c r="I6721" t="s">
        <v>28279</v>
      </c>
      <c r="J6721" t="s">
        <v>32554</v>
      </c>
      <c r="K6721" t="s">
        <v>36687</v>
      </c>
      <c r="M6721" t="s">
        <v>38972</v>
      </c>
      <c r="N6721" t="s">
        <v>40436</v>
      </c>
      <c r="O6721" t="s">
        <v>40437</v>
      </c>
      <c r="Q6721">
        <v>2</v>
      </c>
      <c r="R6721" t="s">
        <v>40444</v>
      </c>
      <c r="S6721" t="s">
        <v>40685</v>
      </c>
      <c r="T6721" t="s">
        <v>42459</v>
      </c>
      <c r="U6721" t="s">
        <v>48277</v>
      </c>
      <c r="W6721" t="s">
        <v>55497</v>
      </c>
      <c r="X6721" t="s">
        <v>40446</v>
      </c>
    </row>
    <row r="6722" spans="1:24">
      <c r="A6722">
        <f>HYPERLINK("https://www.philgeps.gov.ph/GEPSNONPILOT/Tender/SplashBidNoticeAbstractUI.aspx?menuIndex=3&amp;refID=7037362&amp;Result=3","7037362")</f>
        <v>0</v>
      </c>
      <c r="B6722" t="s">
        <v>1845</v>
      </c>
      <c r="C6722" t="s">
        <v>9475</v>
      </c>
      <c r="D6722" t="s">
        <v>16190</v>
      </c>
      <c r="E6722" t="s">
        <v>22233</v>
      </c>
      <c r="F6722" t="s">
        <v>28198</v>
      </c>
      <c r="G6722" t="s">
        <v>28205</v>
      </c>
      <c r="H6722" t="s">
        <v>28215</v>
      </c>
      <c r="I6722" t="s">
        <v>28234</v>
      </c>
      <c r="J6722" t="s">
        <v>32555</v>
      </c>
      <c r="K6722" t="s">
        <v>36687</v>
      </c>
      <c r="M6722" t="s">
        <v>38972</v>
      </c>
      <c r="N6722" t="s">
        <v>40436</v>
      </c>
      <c r="O6722" t="s">
        <v>40437</v>
      </c>
      <c r="Q6722">
        <v>3</v>
      </c>
      <c r="R6722" t="s">
        <v>40444</v>
      </c>
      <c r="S6722" t="s">
        <v>40686</v>
      </c>
      <c r="T6722" t="s">
        <v>42431</v>
      </c>
      <c r="U6722" t="s">
        <v>48277</v>
      </c>
      <c r="W6722" t="s">
        <v>55497</v>
      </c>
      <c r="X6722" t="s">
        <v>40446</v>
      </c>
    </row>
    <row r="6723" spans="1:24">
      <c r="A6723">
        <f>HYPERLINK("https://www.philgeps.gov.ph/GEPSNONPILOT/Tender/SplashBidNoticeAbstractUI.aspx?menuIndex=3&amp;refID=7037931&amp;Result=3","7037931")</f>
        <v>0</v>
      </c>
      <c r="B6723" t="s">
        <v>1712</v>
      </c>
      <c r="C6723" t="s">
        <v>9476</v>
      </c>
      <c r="D6723" t="s">
        <v>16244</v>
      </c>
      <c r="E6723" t="s">
        <v>22234</v>
      </c>
      <c r="F6723" t="s">
        <v>28198</v>
      </c>
      <c r="G6723" t="s">
        <v>28205</v>
      </c>
      <c r="H6723" t="s">
        <v>28214</v>
      </c>
      <c r="I6723" t="s">
        <v>3797</v>
      </c>
      <c r="J6723" t="s">
        <v>28468</v>
      </c>
      <c r="K6723" t="s">
        <v>36793</v>
      </c>
      <c r="M6723" t="s">
        <v>38818</v>
      </c>
      <c r="N6723" t="s">
        <v>40436</v>
      </c>
      <c r="O6723" t="s">
        <v>40437</v>
      </c>
      <c r="P6723">
        <v>0</v>
      </c>
      <c r="Q6723">
        <v>0</v>
      </c>
      <c r="R6723" t="s">
        <v>40444</v>
      </c>
      <c r="S6723" t="s">
        <v>40676</v>
      </c>
      <c r="T6723" t="s">
        <v>42234</v>
      </c>
      <c r="U6723" t="s">
        <v>46839</v>
      </c>
      <c r="W6723" t="s">
        <v>38818</v>
      </c>
      <c r="X6723" t="s">
        <v>40446</v>
      </c>
    </row>
    <row r="6724" spans="1:24">
      <c r="A6724">
        <f>HYPERLINK("https://www.philgeps.gov.ph/GEPSNONPILOT/Tender/SplashBidNoticeAbstractUI.aspx?menuIndex=3&amp;refID=7037984&amp;Result=3","7037984")</f>
        <v>0</v>
      </c>
      <c r="B6724" t="s">
        <v>1130</v>
      </c>
      <c r="C6724" t="s">
        <v>9477</v>
      </c>
      <c r="D6724" t="s">
        <v>16246</v>
      </c>
      <c r="E6724" t="s">
        <v>18457</v>
      </c>
      <c r="F6724" t="s">
        <v>28198</v>
      </c>
      <c r="G6724" t="s">
        <v>28205</v>
      </c>
      <c r="H6724" t="s">
        <v>28214</v>
      </c>
      <c r="I6724" t="s">
        <v>3797</v>
      </c>
      <c r="J6724" t="s">
        <v>28378</v>
      </c>
      <c r="K6724" t="s">
        <v>36701</v>
      </c>
      <c r="M6724" t="s">
        <v>38168</v>
      </c>
      <c r="N6724" t="s">
        <v>40436</v>
      </c>
      <c r="O6724" t="s">
        <v>40437</v>
      </c>
      <c r="P6724">
        <v>0</v>
      </c>
      <c r="Q6724">
        <v>0</v>
      </c>
      <c r="R6724" t="s">
        <v>40444</v>
      </c>
      <c r="S6724" t="s">
        <v>40676</v>
      </c>
      <c r="T6724" t="s">
        <v>42188</v>
      </c>
      <c r="U6724" t="s">
        <v>48293</v>
      </c>
      <c r="W6724" t="s">
        <v>38168</v>
      </c>
      <c r="X6724" t="s">
        <v>40446</v>
      </c>
    </row>
    <row r="6725" spans="1:24">
      <c r="A6725">
        <f>HYPERLINK("https://www.philgeps.gov.ph/GEPSNONPILOT/Tender/SplashBidNoticeAbstractUI.aspx?menuIndex=3&amp;refID=7038165&amp;Result=3","7038165")</f>
        <v>0</v>
      </c>
      <c r="B6725" t="s">
        <v>2134</v>
      </c>
      <c r="C6725" t="s">
        <v>9478</v>
      </c>
      <c r="D6725" t="s">
        <v>16215</v>
      </c>
      <c r="E6725" t="s">
        <v>16322</v>
      </c>
      <c r="F6725" t="s">
        <v>28198</v>
      </c>
      <c r="G6725" t="s">
        <v>28205</v>
      </c>
      <c r="H6725" t="s">
        <v>28215</v>
      </c>
      <c r="I6725" t="s">
        <v>28222</v>
      </c>
      <c r="J6725" t="s">
        <v>32556</v>
      </c>
      <c r="K6725" t="s">
        <v>36694</v>
      </c>
      <c r="M6725" t="s">
        <v>39291</v>
      </c>
      <c r="N6725" t="s">
        <v>40436</v>
      </c>
      <c r="O6725" t="s">
        <v>40437</v>
      </c>
      <c r="P6725">
        <v>0</v>
      </c>
      <c r="Q6725">
        <v>0</v>
      </c>
      <c r="R6725" t="s">
        <v>40444</v>
      </c>
      <c r="S6725" t="s">
        <v>40676</v>
      </c>
      <c r="T6725" t="s">
        <v>42245</v>
      </c>
      <c r="U6725" t="s">
        <v>48294</v>
      </c>
      <c r="W6725" t="s">
        <v>39291</v>
      </c>
      <c r="X6725" t="s">
        <v>40445</v>
      </c>
    </row>
    <row r="6726" spans="1:24">
      <c r="A6726">
        <f>HYPERLINK("https://www.philgeps.gov.ph/GEPSNONPILOT/Tender/SplashBidNoticeAbstractUI.aspx?menuIndex=3&amp;refID=7038163&amp;Result=3","7038163")</f>
        <v>0</v>
      </c>
      <c r="B6726" t="s">
        <v>2135</v>
      </c>
      <c r="C6726" t="s">
        <v>9479</v>
      </c>
      <c r="D6726" t="s">
        <v>16223</v>
      </c>
      <c r="E6726" t="s">
        <v>22235</v>
      </c>
      <c r="F6726" t="s">
        <v>28198</v>
      </c>
      <c r="G6726" t="s">
        <v>28205</v>
      </c>
      <c r="H6726" t="s">
        <v>28215</v>
      </c>
      <c r="I6726" t="s">
        <v>5100</v>
      </c>
      <c r="J6726" t="s">
        <v>32557</v>
      </c>
      <c r="K6726" t="s">
        <v>36708</v>
      </c>
      <c r="M6726" t="s">
        <v>39292</v>
      </c>
      <c r="N6726" t="s">
        <v>40436</v>
      </c>
      <c r="O6726" t="s">
        <v>40437</v>
      </c>
      <c r="P6726">
        <v>0</v>
      </c>
      <c r="Q6726">
        <v>0</v>
      </c>
      <c r="R6726" t="s">
        <v>40444</v>
      </c>
      <c r="S6726" t="s">
        <v>40676</v>
      </c>
      <c r="T6726" t="s">
        <v>42188</v>
      </c>
      <c r="U6726" t="s">
        <v>48295</v>
      </c>
      <c r="W6726" t="s">
        <v>39292</v>
      </c>
      <c r="X6726" t="s">
        <v>40445</v>
      </c>
    </row>
    <row r="6727" spans="1:24">
      <c r="A6727">
        <f>HYPERLINK("https://www.philgeps.gov.ph/GEPSNONPILOT/Tender/SplashBidNoticeAbstractUI.aspx?menuIndex=3&amp;refID=7038168&amp;Result=3","7038168")</f>
        <v>0</v>
      </c>
      <c r="B6727" t="s">
        <v>2136</v>
      </c>
      <c r="C6727" t="s">
        <v>9480</v>
      </c>
      <c r="D6727" t="s">
        <v>16226</v>
      </c>
      <c r="E6727" t="s">
        <v>16473</v>
      </c>
      <c r="F6727" t="s">
        <v>28198</v>
      </c>
      <c r="G6727" t="s">
        <v>28205</v>
      </c>
      <c r="H6727" t="s">
        <v>28215</v>
      </c>
      <c r="I6727" t="s">
        <v>5100</v>
      </c>
      <c r="J6727" t="s">
        <v>32558</v>
      </c>
      <c r="K6727" t="s">
        <v>36701</v>
      </c>
      <c r="M6727" t="s">
        <v>39293</v>
      </c>
      <c r="N6727" t="s">
        <v>40436</v>
      </c>
      <c r="O6727" t="s">
        <v>40437</v>
      </c>
      <c r="P6727">
        <v>0</v>
      </c>
      <c r="Q6727">
        <v>3</v>
      </c>
      <c r="R6727" t="s">
        <v>40444</v>
      </c>
      <c r="S6727" t="s">
        <v>40676</v>
      </c>
      <c r="T6727" t="s">
        <v>42424</v>
      </c>
      <c r="U6727" t="s">
        <v>48296</v>
      </c>
      <c r="W6727" t="s">
        <v>39293</v>
      </c>
      <c r="X6727" t="s">
        <v>40445</v>
      </c>
    </row>
    <row r="6728" spans="1:24">
      <c r="A6728">
        <f>HYPERLINK("https://www.philgeps.gov.ph/GEPSNONPILOT/Tender/SplashBidNoticeAbstractUI.aspx?menuIndex=3&amp;refID=7038171&amp;Result=3","7038171")</f>
        <v>0</v>
      </c>
      <c r="B6728" t="s">
        <v>2137</v>
      </c>
      <c r="C6728" t="s">
        <v>9481</v>
      </c>
      <c r="D6728" t="s">
        <v>16195</v>
      </c>
      <c r="E6728" t="s">
        <v>16524</v>
      </c>
      <c r="F6728" t="s">
        <v>28198</v>
      </c>
      <c r="G6728" t="s">
        <v>28205</v>
      </c>
      <c r="H6728" t="s">
        <v>28215</v>
      </c>
      <c r="I6728" t="s">
        <v>28238</v>
      </c>
      <c r="J6728" t="s">
        <v>32559</v>
      </c>
      <c r="K6728" t="s">
        <v>36707</v>
      </c>
      <c r="M6728" t="s">
        <v>39294</v>
      </c>
      <c r="N6728" t="s">
        <v>40436</v>
      </c>
      <c r="O6728" t="s">
        <v>40437</v>
      </c>
      <c r="P6728">
        <v>0</v>
      </c>
      <c r="Q6728">
        <v>8</v>
      </c>
      <c r="R6728" t="s">
        <v>40444</v>
      </c>
      <c r="S6728" t="s">
        <v>40676</v>
      </c>
      <c r="T6728" t="s">
        <v>42462</v>
      </c>
      <c r="U6728" t="s">
        <v>48297</v>
      </c>
      <c r="W6728" t="s">
        <v>39294</v>
      </c>
      <c r="X6728" t="s">
        <v>40445</v>
      </c>
    </row>
    <row r="6729" spans="1:24">
      <c r="A6729">
        <f>HYPERLINK("https://www.philgeps.gov.ph/GEPSNONPILOT/Tender/SplashBidNoticeAbstractUI.aspx?menuIndex=3&amp;refID=7038158&amp;Result=3","7038158")</f>
        <v>0</v>
      </c>
      <c r="B6729" t="s">
        <v>2065</v>
      </c>
      <c r="C6729" t="s">
        <v>9482</v>
      </c>
      <c r="D6729" t="s">
        <v>16213</v>
      </c>
      <c r="E6729" t="s">
        <v>16522</v>
      </c>
      <c r="F6729" t="s">
        <v>28198</v>
      </c>
      <c r="G6729" t="s">
        <v>28209</v>
      </c>
      <c r="H6729" t="s">
        <v>28214</v>
      </c>
      <c r="I6729" t="s">
        <v>5100</v>
      </c>
      <c r="J6729" t="s">
        <v>32560</v>
      </c>
      <c r="K6729" t="s">
        <v>36688</v>
      </c>
      <c r="M6729" t="s">
        <v>39214</v>
      </c>
      <c r="N6729" t="s">
        <v>40436</v>
      </c>
      <c r="O6729" t="s">
        <v>40437</v>
      </c>
      <c r="P6729">
        <v>0</v>
      </c>
      <c r="Q6729">
        <v>0</v>
      </c>
      <c r="R6729" t="s">
        <v>40444</v>
      </c>
      <c r="S6729" t="s">
        <v>40676</v>
      </c>
      <c r="T6729" t="s">
        <v>42233</v>
      </c>
      <c r="U6729" t="s">
        <v>48298</v>
      </c>
      <c r="W6729" t="s">
        <v>39214</v>
      </c>
      <c r="X6729" t="s">
        <v>40445</v>
      </c>
    </row>
    <row r="6730" spans="1:24">
      <c r="A6730">
        <f>HYPERLINK("https://www.philgeps.gov.ph/GEPSNONPILOT/Tender/SplashBidNoticeAbstractUI.aspx?menuIndex=3&amp;refID=7038166&amp;Result=3","7038166")</f>
        <v>0</v>
      </c>
      <c r="B6730" t="s">
        <v>2134</v>
      </c>
      <c r="C6730" t="s">
        <v>9483</v>
      </c>
      <c r="D6730" t="s">
        <v>16215</v>
      </c>
      <c r="E6730" t="s">
        <v>22236</v>
      </c>
      <c r="F6730" t="s">
        <v>28198</v>
      </c>
      <c r="G6730" t="s">
        <v>28205</v>
      </c>
      <c r="H6730" t="s">
        <v>28215</v>
      </c>
      <c r="I6730" t="s">
        <v>5100</v>
      </c>
      <c r="J6730" t="s">
        <v>32561</v>
      </c>
      <c r="K6730" t="s">
        <v>36701</v>
      </c>
      <c r="M6730" t="s">
        <v>39291</v>
      </c>
      <c r="N6730" t="s">
        <v>40436</v>
      </c>
      <c r="O6730" t="s">
        <v>40437</v>
      </c>
      <c r="P6730">
        <v>0</v>
      </c>
      <c r="Q6730">
        <v>0</v>
      </c>
      <c r="R6730" t="s">
        <v>40444</v>
      </c>
      <c r="S6730" t="s">
        <v>40676</v>
      </c>
      <c r="T6730" t="s">
        <v>42205</v>
      </c>
      <c r="U6730" t="s">
        <v>48299</v>
      </c>
      <c r="W6730" t="s">
        <v>39291</v>
      </c>
      <c r="X6730" t="s">
        <v>40445</v>
      </c>
    </row>
    <row r="6731" spans="1:24">
      <c r="A6731">
        <f>HYPERLINK("https://www.philgeps.gov.ph/GEPSNONPILOT/Tender/SplashBidNoticeAbstractUI.aspx?menuIndex=3&amp;refID=7038036&amp;Result=3","7038036")</f>
        <v>0</v>
      </c>
      <c r="B6731" t="s">
        <v>2138</v>
      </c>
      <c r="C6731" t="s">
        <v>9484</v>
      </c>
      <c r="D6731" t="s">
        <v>16210</v>
      </c>
      <c r="E6731" t="s">
        <v>22237</v>
      </c>
      <c r="F6731" t="s">
        <v>28198</v>
      </c>
      <c r="G6731" t="s">
        <v>28206</v>
      </c>
      <c r="H6731" t="s">
        <v>28215</v>
      </c>
      <c r="I6731" t="s">
        <v>4219</v>
      </c>
      <c r="J6731" t="s">
        <v>28691</v>
      </c>
      <c r="K6731" t="s">
        <v>36693</v>
      </c>
      <c r="M6731" t="s">
        <v>39295</v>
      </c>
      <c r="N6731" t="s">
        <v>40436</v>
      </c>
      <c r="O6731" t="s">
        <v>40437</v>
      </c>
      <c r="P6731">
        <v>0</v>
      </c>
      <c r="Q6731">
        <v>7</v>
      </c>
      <c r="R6731" t="s">
        <v>40444</v>
      </c>
      <c r="S6731" t="s">
        <v>40676</v>
      </c>
      <c r="T6731" t="s">
        <v>42131</v>
      </c>
      <c r="U6731" t="s">
        <v>48300</v>
      </c>
      <c r="W6731" t="s">
        <v>39295</v>
      </c>
      <c r="X6731" t="s">
        <v>40446</v>
      </c>
    </row>
    <row r="6732" spans="1:24">
      <c r="A6732">
        <f>HYPERLINK("https://www.philgeps.gov.ph/GEPSNONPILOT/Tender/SplashBidNoticeAbstractUI.aspx?menuIndex=3&amp;refID=7038042&amp;Result=3","7038042")</f>
        <v>0</v>
      </c>
      <c r="B6732" t="s">
        <v>2138</v>
      </c>
      <c r="C6732" t="s">
        <v>9484</v>
      </c>
      <c r="D6732" t="s">
        <v>16210</v>
      </c>
      <c r="E6732" t="s">
        <v>22238</v>
      </c>
      <c r="F6732" t="s">
        <v>28198</v>
      </c>
      <c r="G6732" t="s">
        <v>28206</v>
      </c>
      <c r="H6732" t="s">
        <v>28215</v>
      </c>
      <c r="I6732" t="s">
        <v>4219</v>
      </c>
      <c r="J6732" t="s">
        <v>28345</v>
      </c>
      <c r="K6732" t="s">
        <v>36693</v>
      </c>
      <c r="M6732" t="s">
        <v>39295</v>
      </c>
      <c r="N6732" t="s">
        <v>40436</v>
      </c>
      <c r="O6732" t="s">
        <v>40437</v>
      </c>
      <c r="P6732">
        <v>0</v>
      </c>
      <c r="Q6732">
        <v>4</v>
      </c>
      <c r="R6732" t="s">
        <v>40444</v>
      </c>
      <c r="S6732" t="s">
        <v>40676</v>
      </c>
      <c r="T6732" t="s">
        <v>42131</v>
      </c>
      <c r="U6732" t="s">
        <v>48301</v>
      </c>
      <c r="W6732" t="s">
        <v>39295</v>
      </c>
      <c r="X6732" t="s">
        <v>40446</v>
      </c>
    </row>
    <row r="6733" spans="1:24">
      <c r="A6733">
        <f>HYPERLINK("https://www.philgeps.gov.ph/GEPSNONPILOT/Tender/SplashBidNoticeAbstractUI.aspx?menuIndex=3&amp;refID=7038185&amp;Result=3","7038185")</f>
        <v>0</v>
      </c>
      <c r="B6733" t="s">
        <v>1536</v>
      </c>
      <c r="C6733" t="s">
        <v>9485</v>
      </c>
      <c r="D6733" t="s">
        <v>16222</v>
      </c>
      <c r="E6733" t="s">
        <v>22239</v>
      </c>
      <c r="F6733" t="s">
        <v>28198</v>
      </c>
      <c r="G6733" t="s">
        <v>28205</v>
      </c>
      <c r="H6733" t="s">
        <v>28215</v>
      </c>
      <c r="I6733" t="s">
        <v>28225</v>
      </c>
      <c r="J6733" t="s">
        <v>32562</v>
      </c>
      <c r="K6733" t="s">
        <v>36689</v>
      </c>
      <c r="M6733" t="s">
        <v>38614</v>
      </c>
      <c r="N6733" t="s">
        <v>40436</v>
      </c>
      <c r="O6733" t="s">
        <v>40437</v>
      </c>
      <c r="P6733">
        <v>0</v>
      </c>
      <c r="Q6733">
        <v>10</v>
      </c>
      <c r="R6733" t="s">
        <v>40444</v>
      </c>
      <c r="S6733" t="s">
        <v>40676</v>
      </c>
      <c r="T6733" t="s">
        <v>42277</v>
      </c>
      <c r="U6733" t="s">
        <v>46255</v>
      </c>
      <c r="W6733" t="s">
        <v>38614</v>
      </c>
      <c r="X6733" t="s">
        <v>40445</v>
      </c>
    </row>
    <row r="6734" spans="1:24">
      <c r="A6734">
        <f>HYPERLINK("https://www.philgeps.gov.ph/GEPSNONPILOT/Tender/SplashBidNoticeAbstractUI.aspx?menuIndex=3&amp;refID=7037504&amp;Result=3","7037504")</f>
        <v>0</v>
      </c>
      <c r="B6734" t="s">
        <v>2139</v>
      </c>
      <c r="C6734" t="s">
        <v>9486</v>
      </c>
      <c r="D6734" t="s">
        <v>16251</v>
      </c>
      <c r="E6734" t="s">
        <v>22240</v>
      </c>
      <c r="F6734" t="s">
        <v>28198</v>
      </c>
      <c r="G6734" t="s">
        <v>28205</v>
      </c>
      <c r="H6734" t="s">
        <v>28215</v>
      </c>
      <c r="I6734" t="s">
        <v>28222</v>
      </c>
      <c r="J6734" t="s">
        <v>28468</v>
      </c>
      <c r="K6734" t="s">
        <v>36694</v>
      </c>
      <c r="L6734" t="s">
        <v>2139</v>
      </c>
      <c r="M6734" t="s">
        <v>39296</v>
      </c>
      <c r="N6734" t="s">
        <v>40436</v>
      </c>
      <c r="O6734" t="s">
        <v>40437</v>
      </c>
      <c r="P6734">
        <v>0</v>
      </c>
      <c r="Q6734">
        <v>7</v>
      </c>
      <c r="R6734" t="s">
        <v>40444</v>
      </c>
      <c r="S6734" t="s">
        <v>40676</v>
      </c>
      <c r="T6734" t="s">
        <v>42319</v>
      </c>
      <c r="U6734" t="s">
        <v>48302</v>
      </c>
      <c r="V6734" t="s">
        <v>54484</v>
      </c>
      <c r="W6734" t="s">
        <v>39296</v>
      </c>
      <c r="X6734" t="s">
        <v>40446</v>
      </c>
    </row>
    <row r="6735" spans="1:24">
      <c r="A6735">
        <f>HYPERLINK("https://www.philgeps.gov.ph/GEPSNONPILOT/Tender/SplashBidNoticeAbstractUI.aspx?menuIndex=3&amp;refID=7038181&amp;Result=3","7038181")</f>
        <v>0</v>
      </c>
      <c r="B6735" t="s">
        <v>1536</v>
      </c>
      <c r="C6735" t="s">
        <v>9487</v>
      </c>
      <c r="D6735" t="s">
        <v>16222</v>
      </c>
      <c r="E6735" t="s">
        <v>22241</v>
      </c>
      <c r="F6735" t="s">
        <v>28198</v>
      </c>
      <c r="G6735" t="s">
        <v>28209</v>
      </c>
      <c r="H6735" t="s">
        <v>28215</v>
      </c>
      <c r="I6735" t="s">
        <v>8888</v>
      </c>
      <c r="J6735" t="s">
        <v>32563</v>
      </c>
      <c r="K6735" t="s">
        <v>36689</v>
      </c>
      <c r="M6735" t="s">
        <v>38614</v>
      </c>
      <c r="N6735" t="s">
        <v>40436</v>
      </c>
      <c r="O6735" t="s">
        <v>40437</v>
      </c>
      <c r="P6735">
        <v>0</v>
      </c>
      <c r="Q6735">
        <v>5</v>
      </c>
      <c r="R6735" t="s">
        <v>40444</v>
      </c>
      <c r="S6735" t="s">
        <v>40676</v>
      </c>
      <c r="T6735" t="s">
        <v>42277</v>
      </c>
      <c r="U6735" t="s">
        <v>46255</v>
      </c>
      <c r="W6735" t="s">
        <v>38614</v>
      </c>
      <c r="X6735" t="s">
        <v>40445</v>
      </c>
    </row>
    <row r="6736" spans="1:24">
      <c r="A6736">
        <f>HYPERLINK("https://www.philgeps.gov.ph/GEPSNONPILOT/Tender/SplashBidNoticeAbstractUI.aspx?menuIndex=3&amp;refID=7038067&amp;Result=3","7038067")</f>
        <v>0</v>
      </c>
      <c r="B6736" t="s">
        <v>2140</v>
      </c>
      <c r="C6736" t="s">
        <v>9488</v>
      </c>
      <c r="D6736" t="s">
        <v>16249</v>
      </c>
      <c r="E6736" t="s">
        <v>18071</v>
      </c>
      <c r="F6736" t="s">
        <v>28200</v>
      </c>
      <c r="G6736" t="s">
        <v>28205</v>
      </c>
      <c r="H6736" t="s">
        <v>28215</v>
      </c>
      <c r="I6736" t="s">
        <v>5100</v>
      </c>
      <c r="J6736" t="s">
        <v>32564</v>
      </c>
      <c r="K6736" t="s">
        <v>36688</v>
      </c>
      <c r="M6736" t="s">
        <v>39297</v>
      </c>
      <c r="N6736" t="s">
        <v>40436</v>
      </c>
      <c r="O6736" t="s">
        <v>40437</v>
      </c>
      <c r="P6736">
        <v>0</v>
      </c>
      <c r="Q6736">
        <v>5</v>
      </c>
      <c r="R6736" t="s">
        <v>40444</v>
      </c>
      <c r="S6736" t="s">
        <v>40676</v>
      </c>
      <c r="T6736" t="s">
        <v>42140</v>
      </c>
      <c r="U6736" t="s">
        <v>48303</v>
      </c>
      <c r="V6736" t="s">
        <v>54485</v>
      </c>
      <c r="W6736" t="s">
        <v>39297</v>
      </c>
      <c r="X6736" t="s">
        <v>40446</v>
      </c>
    </row>
    <row r="6737" spans="1:24">
      <c r="A6737">
        <f>HYPERLINK("https://www.philgeps.gov.ph/GEPSNONPILOT/Tender/SplashBidNoticeAbstractUI.aspx?menuIndex=3&amp;refID=7038175&amp;Result=3","7038175")</f>
        <v>0</v>
      </c>
      <c r="B6737" t="s">
        <v>2141</v>
      </c>
      <c r="C6737" t="s">
        <v>9489</v>
      </c>
      <c r="D6737" t="s">
        <v>16250</v>
      </c>
      <c r="E6737" t="s">
        <v>16473</v>
      </c>
      <c r="F6737" t="s">
        <v>28198</v>
      </c>
      <c r="G6737" t="s">
        <v>28205</v>
      </c>
      <c r="H6737" t="s">
        <v>28215</v>
      </c>
      <c r="I6737" t="s">
        <v>5100</v>
      </c>
      <c r="J6737" t="s">
        <v>32565</v>
      </c>
      <c r="K6737" t="s">
        <v>36706</v>
      </c>
      <c r="M6737" t="s">
        <v>39298</v>
      </c>
      <c r="N6737" t="s">
        <v>40436</v>
      </c>
      <c r="O6737" t="s">
        <v>40437</v>
      </c>
      <c r="P6737">
        <v>0</v>
      </c>
      <c r="Q6737">
        <v>0</v>
      </c>
      <c r="R6737" t="s">
        <v>40444</v>
      </c>
      <c r="S6737" t="s">
        <v>40676</v>
      </c>
      <c r="T6737" t="s">
        <v>42158</v>
      </c>
      <c r="U6737" t="s">
        <v>48304</v>
      </c>
      <c r="W6737" t="s">
        <v>39298</v>
      </c>
      <c r="X6737" t="s">
        <v>40445</v>
      </c>
    </row>
    <row r="6738" spans="1:24">
      <c r="A6738">
        <f>HYPERLINK("https://www.philgeps.gov.ph/GEPSNONPILOT/Tender/SplashBidNoticeAbstractUI.aspx?menuIndex=3&amp;refID=7038183&amp;Result=3","7038183")</f>
        <v>0</v>
      </c>
      <c r="B6738" t="s">
        <v>1536</v>
      </c>
      <c r="C6738" t="s">
        <v>9490</v>
      </c>
      <c r="D6738" t="s">
        <v>16222</v>
      </c>
      <c r="E6738" t="s">
        <v>22242</v>
      </c>
      <c r="F6738" t="s">
        <v>28198</v>
      </c>
      <c r="G6738" t="s">
        <v>28205</v>
      </c>
      <c r="H6738" t="s">
        <v>28215</v>
      </c>
      <c r="I6738" t="s">
        <v>28220</v>
      </c>
      <c r="J6738" t="s">
        <v>32566</v>
      </c>
      <c r="K6738" t="s">
        <v>36689</v>
      </c>
      <c r="M6738" t="s">
        <v>38614</v>
      </c>
      <c r="N6738" t="s">
        <v>40436</v>
      </c>
      <c r="O6738" t="s">
        <v>40437</v>
      </c>
      <c r="P6738">
        <v>0</v>
      </c>
      <c r="Q6738">
        <v>8</v>
      </c>
      <c r="R6738" t="s">
        <v>40444</v>
      </c>
      <c r="S6738" t="s">
        <v>40676</v>
      </c>
      <c r="T6738" t="s">
        <v>42277</v>
      </c>
      <c r="U6738" t="s">
        <v>46255</v>
      </c>
      <c r="W6738" t="s">
        <v>38614</v>
      </c>
      <c r="X6738" t="s">
        <v>40445</v>
      </c>
    </row>
    <row r="6739" spans="1:24">
      <c r="A6739">
        <f>HYPERLINK("https://www.philgeps.gov.ph/GEPSNONPILOT/Tender/SplashBidNoticeAbstractUI.aspx?menuIndex=3&amp;refID=7038176&amp;Result=3","7038176")</f>
        <v>0</v>
      </c>
      <c r="B6739" t="s">
        <v>1536</v>
      </c>
      <c r="C6739" t="s">
        <v>9491</v>
      </c>
      <c r="D6739" t="s">
        <v>16222</v>
      </c>
      <c r="E6739" t="s">
        <v>22243</v>
      </c>
      <c r="F6739" t="s">
        <v>28198</v>
      </c>
      <c r="G6739" t="s">
        <v>28205</v>
      </c>
      <c r="H6739" t="s">
        <v>28215</v>
      </c>
      <c r="I6739" t="s">
        <v>8888</v>
      </c>
      <c r="J6739" t="s">
        <v>32567</v>
      </c>
      <c r="K6739" t="s">
        <v>36689</v>
      </c>
      <c r="M6739" t="s">
        <v>38614</v>
      </c>
      <c r="N6739" t="s">
        <v>40436</v>
      </c>
      <c r="O6739" t="s">
        <v>40437</v>
      </c>
      <c r="P6739">
        <v>0</v>
      </c>
      <c r="Q6739">
        <v>5</v>
      </c>
      <c r="R6739" t="s">
        <v>40444</v>
      </c>
      <c r="S6739" t="s">
        <v>40676</v>
      </c>
      <c r="T6739" t="s">
        <v>42277</v>
      </c>
      <c r="U6739" t="s">
        <v>46255</v>
      </c>
      <c r="W6739" t="s">
        <v>38614</v>
      </c>
      <c r="X6739" t="s">
        <v>40445</v>
      </c>
    </row>
    <row r="6740" spans="1:24">
      <c r="A6740">
        <f>HYPERLINK("https://www.philgeps.gov.ph/GEPSNONPILOT/Tender/SplashBidNoticeAbstractUI.aspx?menuIndex=3&amp;refID=7038152&amp;Result=3","7038152")</f>
        <v>0</v>
      </c>
      <c r="B6740" t="s">
        <v>2142</v>
      </c>
      <c r="C6740" t="s">
        <v>9492</v>
      </c>
      <c r="D6740" t="s">
        <v>16198</v>
      </c>
      <c r="E6740" t="s">
        <v>22244</v>
      </c>
      <c r="F6740" t="s">
        <v>28198</v>
      </c>
      <c r="G6740" t="s">
        <v>28205</v>
      </c>
      <c r="H6740" t="s">
        <v>28214</v>
      </c>
      <c r="I6740" t="s">
        <v>3797</v>
      </c>
      <c r="J6740" t="s">
        <v>28378</v>
      </c>
      <c r="K6740" t="s">
        <v>36701</v>
      </c>
      <c r="M6740" t="s">
        <v>39299</v>
      </c>
      <c r="N6740" t="s">
        <v>40436</v>
      </c>
      <c r="O6740" t="s">
        <v>40437</v>
      </c>
      <c r="P6740">
        <v>0</v>
      </c>
      <c r="Q6740">
        <v>0</v>
      </c>
      <c r="R6740" t="s">
        <v>40444</v>
      </c>
      <c r="S6740" t="s">
        <v>40676</v>
      </c>
      <c r="T6740" t="s">
        <v>42194</v>
      </c>
      <c r="U6740" t="s">
        <v>48305</v>
      </c>
      <c r="W6740" t="s">
        <v>39299</v>
      </c>
      <c r="X6740" t="s">
        <v>40446</v>
      </c>
    </row>
    <row r="6741" spans="1:24">
      <c r="A6741">
        <f>HYPERLINK("https://www.philgeps.gov.ph/GEPSNONPILOT/Tender/SplashBidNoticeAbstractUI.aspx?menuIndex=3&amp;refID=7038173&amp;Result=3","7038173")</f>
        <v>0</v>
      </c>
      <c r="B6741" t="s">
        <v>1536</v>
      </c>
      <c r="C6741" t="s">
        <v>9493</v>
      </c>
      <c r="D6741" t="s">
        <v>16222</v>
      </c>
      <c r="E6741" t="s">
        <v>22245</v>
      </c>
      <c r="F6741" t="s">
        <v>28198</v>
      </c>
      <c r="G6741" t="s">
        <v>28205</v>
      </c>
      <c r="H6741" t="s">
        <v>28215</v>
      </c>
      <c r="I6741" t="s">
        <v>8888</v>
      </c>
      <c r="J6741" t="s">
        <v>32568</v>
      </c>
      <c r="K6741" t="s">
        <v>36689</v>
      </c>
      <c r="M6741" t="s">
        <v>38614</v>
      </c>
      <c r="N6741" t="s">
        <v>40436</v>
      </c>
      <c r="O6741" t="s">
        <v>40437</v>
      </c>
      <c r="P6741">
        <v>0</v>
      </c>
      <c r="Q6741">
        <v>8</v>
      </c>
      <c r="R6741" t="s">
        <v>40444</v>
      </c>
      <c r="S6741" t="s">
        <v>40676</v>
      </c>
      <c r="T6741" t="s">
        <v>42277</v>
      </c>
      <c r="U6741" t="s">
        <v>46255</v>
      </c>
      <c r="W6741" t="s">
        <v>38614</v>
      </c>
      <c r="X6741" t="s">
        <v>40445</v>
      </c>
    </row>
    <row r="6742" spans="1:24">
      <c r="A6742">
        <f>HYPERLINK("https://www.philgeps.gov.ph/GEPSNONPILOT/Tender/SplashBidNoticeAbstractUI.aspx?menuIndex=3&amp;refID=7038020&amp;Result=3","7038020")</f>
        <v>0</v>
      </c>
      <c r="B6742" t="s">
        <v>238</v>
      </c>
      <c r="C6742" t="s">
        <v>9494</v>
      </c>
      <c r="D6742" t="s">
        <v>16235</v>
      </c>
      <c r="E6742" t="s">
        <v>9494</v>
      </c>
      <c r="F6742" t="s">
        <v>28198</v>
      </c>
      <c r="G6742" t="s">
        <v>28205</v>
      </c>
      <c r="H6742" t="s">
        <v>28214</v>
      </c>
      <c r="I6742" t="s">
        <v>3797</v>
      </c>
      <c r="J6742" t="s">
        <v>32569</v>
      </c>
      <c r="K6742" t="s">
        <v>36694</v>
      </c>
      <c r="M6742" t="s">
        <v>37214</v>
      </c>
      <c r="N6742" t="s">
        <v>40436</v>
      </c>
      <c r="O6742" t="s">
        <v>40437</v>
      </c>
      <c r="P6742">
        <v>0</v>
      </c>
      <c r="Q6742">
        <v>0</v>
      </c>
      <c r="R6742" t="s">
        <v>40444</v>
      </c>
      <c r="S6742" t="s">
        <v>40676</v>
      </c>
      <c r="T6742" t="s">
        <v>42297</v>
      </c>
      <c r="U6742" t="s">
        <v>48306</v>
      </c>
      <c r="V6742" t="s">
        <v>53826</v>
      </c>
      <c r="W6742" t="s">
        <v>37214</v>
      </c>
      <c r="X6742" t="s">
        <v>40446</v>
      </c>
    </row>
    <row r="6743" spans="1:24">
      <c r="A6743">
        <f>HYPERLINK("https://www.philgeps.gov.ph/GEPSNONPILOT/Tender/SplashBidNoticeAbstractUI.aspx?menuIndex=3&amp;refID=7038187&amp;Result=3","7038187")</f>
        <v>0</v>
      </c>
      <c r="B6743" t="s">
        <v>1536</v>
      </c>
      <c r="C6743" t="s">
        <v>9495</v>
      </c>
      <c r="D6743" t="s">
        <v>16222</v>
      </c>
      <c r="E6743" t="s">
        <v>22246</v>
      </c>
      <c r="F6743" t="s">
        <v>28198</v>
      </c>
      <c r="G6743" t="s">
        <v>28205</v>
      </c>
      <c r="H6743" t="s">
        <v>28215</v>
      </c>
      <c r="I6743" t="s">
        <v>28225</v>
      </c>
      <c r="J6743" t="s">
        <v>32570</v>
      </c>
      <c r="K6743" t="s">
        <v>36689</v>
      </c>
      <c r="M6743" t="s">
        <v>38614</v>
      </c>
      <c r="N6743" t="s">
        <v>40436</v>
      </c>
      <c r="O6743" t="s">
        <v>40437</v>
      </c>
      <c r="P6743">
        <v>0</v>
      </c>
      <c r="Q6743">
        <v>10</v>
      </c>
      <c r="R6743" t="s">
        <v>40444</v>
      </c>
      <c r="S6743" t="s">
        <v>40676</v>
      </c>
      <c r="T6743" t="s">
        <v>42277</v>
      </c>
      <c r="U6743" t="s">
        <v>46255</v>
      </c>
      <c r="W6743" t="s">
        <v>38614</v>
      </c>
      <c r="X6743" t="s">
        <v>40445</v>
      </c>
    </row>
    <row r="6744" spans="1:24">
      <c r="A6744">
        <f>HYPERLINK("https://www.philgeps.gov.ph/GEPSNONPILOT/Tender/SplashBidNoticeAbstractUI.aspx?menuIndex=3&amp;refID=7038001&amp;Result=3","7038001")</f>
        <v>0</v>
      </c>
      <c r="B6744" t="s">
        <v>2140</v>
      </c>
      <c r="C6744" t="s">
        <v>9496</v>
      </c>
      <c r="D6744" t="s">
        <v>16249</v>
      </c>
      <c r="E6744" t="s">
        <v>16588</v>
      </c>
      <c r="F6744" t="s">
        <v>28199</v>
      </c>
      <c r="G6744" t="s">
        <v>28205</v>
      </c>
      <c r="H6744" t="s">
        <v>28215</v>
      </c>
      <c r="I6744" t="s">
        <v>5100</v>
      </c>
      <c r="J6744" t="s">
        <v>32571</v>
      </c>
      <c r="K6744" t="s">
        <v>36688</v>
      </c>
      <c r="M6744" t="s">
        <v>39297</v>
      </c>
      <c r="N6744" t="s">
        <v>40436</v>
      </c>
      <c r="O6744" t="s">
        <v>40437</v>
      </c>
      <c r="P6744">
        <v>0</v>
      </c>
      <c r="Q6744">
        <v>2</v>
      </c>
      <c r="R6744" t="s">
        <v>40444</v>
      </c>
      <c r="S6744" t="s">
        <v>40676</v>
      </c>
      <c r="T6744" t="s">
        <v>42148</v>
      </c>
      <c r="U6744" t="s">
        <v>48303</v>
      </c>
      <c r="W6744" t="s">
        <v>39297</v>
      </c>
      <c r="X6744" t="s">
        <v>40446</v>
      </c>
    </row>
    <row r="6745" spans="1:24">
      <c r="A6745">
        <f>HYPERLINK("https://www.philgeps.gov.ph/GEPSNONPILOT/Tender/SplashBidNoticeAbstractUI.aspx?menuIndex=3&amp;refID=7038205&amp;Result=3","7038205")</f>
        <v>0</v>
      </c>
      <c r="B6745" t="s">
        <v>2143</v>
      </c>
      <c r="C6745" t="s">
        <v>9497</v>
      </c>
      <c r="D6745" t="s">
        <v>16236</v>
      </c>
      <c r="E6745" t="s">
        <v>20987</v>
      </c>
      <c r="F6745" t="s">
        <v>28198</v>
      </c>
      <c r="G6745" t="s">
        <v>28205</v>
      </c>
      <c r="H6745" t="s">
        <v>28214</v>
      </c>
      <c r="I6745" t="s">
        <v>3797</v>
      </c>
      <c r="J6745" t="s">
        <v>32572</v>
      </c>
      <c r="K6745" t="s">
        <v>36690</v>
      </c>
      <c r="M6745" t="s">
        <v>39300</v>
      </c>
      <c r="N6745" t="s">
        <v>40436</v>
      </c>
      <c r="O6745" t="s">
        <v>40437</v>
      </c>
      <c r="P6745">
        <v>0</v>
      </c>
      <c r="Q6745">
        <v>0</v>
      </c>
      <c r="R6745" t="s">
        <v>40444</v>
      </c>
      <c r="S6745" t="s">
        <v>40676</v>
      </c>
      <c r="T6745" t="s">
        <v>42346</v>
      </c>
      <c r="U6745" t="s">
        <v>48307</v>
      </c>
      <c r="W6745" t="s">
        <v>39300</v>
      </c>
      <c r="X6745" t="s">
        <v>40445</v>
      </c>
    </row>
    <row r="6746" spans="1:24">
      <c r="A6746">
        <f>HYPERLINK("https://www.philgeps.gov.ph/GEPSNONPILOT/Tender/SplashBidNoticeAbstractUI.aspx?menuIndex=3&amp;refID=7037997&amp;Result=3","7037997")</f>
        <v>0</v>
      </c>
      <c r="B6746" t="s">
        <v>952</v>
      </c>
      <c r="C6746" t="s">
        <v>9498</v>
      </c>
      <c r="D6746" t="s">
        <v>16214</v>
      </c>
      <c r="E6746" t="s">
        <v>22247</v>
      </c>
      <c r="F6746" t="s">
        <v>28198</v>
      </c>
      <c r="G6746" t="s">
        <v>28207</v>
      </c>
      <c r="H6746" t="s">
        <v>28215</v>
      </c>
      <c r="I6746" t="s">
        <v>9499</v>
      </c>
      <c r="J6746" t="s">
        <v>32573</v>
      </c>
      <c r="K6746" t="s">
        <v>36701</v>
      </c>
      <c r="M6746" t="s">
        <v>37976</v>
      </c>
      <c r="N6746" t="s">
        <v>40436</v>
      </c>
      <c r="O6746" t="s">
        <v>40437</v>
      </c>
      <c r="P6746">
        <v>0</v>
      </c>
      <c r="Q6746">
        <v>8</v>
      </c>
      <c r="R6746" t="s">
        <v>40444</v>
      </c>
      <c r="S6746" t="s">
        <v>40676</v>
      </c>
      <c r="T6746" t="s">
        <v>42146</v>
      </c>
      <c r="U6746" t="s">
        <v>48308</v>
      </c>
      <c r="W6746" t="s">
        <v>37976</v>
      </c>
      <c r="X6746" t="s">
        <v>40446</v>
      </c>
    </row>
    <row r="6747" spans="1:24">
      <c r="A6747">
        <f>HYPERLINK("https://www.philgeps.gov.ph/GEPSNONPILOT/Tender/SplashBidNoticeAbstractUI.aspx?menuIndex=3&amp;refID=7038197&amp;Result=3","7038197")</f>
        <v>0</v>
      </c>
      <c r="B6747" t="s">
        <v>1142</v>
      </c>
      <c r="C6747" t="s">
        <v>9499</v>
      </c>
      <c r="D6747" t="s">
        <v>16223</v>
      </c>
      <c r="E6747" t="s">
        <v>22248</v>
      </c>
      <c r="F6747" t="s">
        <v>28200</v>
      </c>
      <c r="G6747" t="s">
        <v>28206</v>
      </c>
      <c r="H6747" t="s">
        <v>28215</v>
      </c>
      <c r="I6747" t="s">
        <v>9499</v>
      </c>
      <c r="J6747" t="s">
        <v>28360</v>
      </c>
      <c r="K6747" t="s">
        <v>36706</v>
      </c>
      <c r="M6747" t="s">
        <v>38182</v>
      </c>
      <c r="N6747" t="s">
        <v>40436</v>
      </c>
      <c r="O6747" t="s">
        <v>40437</v>
      </c>
      <c r="P6747">
        <v>0</v>
      </c>
      <c r="Q6747">
        <v>2</v>
      </c>
      <c r="R6747" t="s">
        <v>40444</v>
      </c>
      <c r="S6747" t="s">
        <v>40676</v>
      </c>
      <c r="T6747" t="s">
        <v>42188</v>
      </c>
      <c r="U6747" t="s">
        <v>48309</v>
      </c>
      <c r="W6747" t="s">
        <v>38182</v>
      </c>
      <c r="X6747" t="s">
        <v>40445</v>
      </c>
    </row>
    <row r="6748" spans="1:24">
      <c r="A6748">
        <f>HYPERLINK("https://www.philgeps.gov.ph/GEPSNONPILOT/Tender/SplashBidNoticeAbstractUI.aspx?menuIndex=3&amp;refID=7038208&amp;Result=3","7038208")</f>
        <v>0</v>
      </c>
      <c r="B6748" t="s">
        <v>2144</v>
      </c>
      <c r="C6748" t="s">
        <v>9500</v>
      </c>
      <c r="E6748" t="s">
        <v>22249</v>
      </c>
      <c r="F6748" t="s">
        <v>28198</v>
      </c>
      <c r="G6748" t="s">
        <v>28205</v>
      </c>
      <c r="H6748" t="s">
        <v>28215</v>
      </c>
      <c r="I6748" t="s">
        <v>28222</v>
      </c>
      <c r="J6748" t="s">
        <v>32574</v>
      </c>
      <c r="K6748" t="s">
        <v>36689</v>
      </c>
      <c r="M6748" t="s">
        <v>39301</v>
      </c>
      <c r="N6748" t="s">
        <v>40436</v>
      </c>
      <c r="O6748" t="s">
        <v>40437</v>
      </c>
      <c r="P6748">
        <v>0</v>
      </c>
      <c r="Q6748">
        <v>4</v>
      </c>
      <c r="R6748" t="s">
        <v>40444</v>
      </c>
      <c r="S6748" t="s">
        <v>40676</v>
      </c>
      <c r="T6748" t="s">
        <v>42427</v>
      </c>
      <c r="U6748" t="s">
        <v>48310</v>
      </c>
      <c r="W6748" t="s">
        <v>39301</v>
      </c>
      <c r="X6748" t="s">
        <v>40445</v>
      </c>
    </row>
    <row r="6749" spans="1:24">
      <c r="A6749">
        <f>HYPERLINK("https://www.philgeps.gov.ph/GEPSNONPILOT/Tender/SplashBidNoticeAbstractUI.aspx?menuIndex=3&amp;refID=7038223&amp;Result=3","7038223")</f>
        <v>0</v>
      </c>
      <c r="B6749" t="s">
        <v>2145</v>
      </c>
      <c r="C6749" t="s">
        <v>9501</v>
      </c>
      <c r="D6749" t="s">
        <v>16235</v>
      </c>
      <c r="E6749" t="s">
        <v>16909</v>
      </c>
      <c r="F6749" t="s">
        <v>28198</v>
      </c>
      <c r="G6749" t="s">
        <v>28205</v>
      </c>
      <c r="H6749" t="s">
        <v>28215</v>
      </c>
      <c r="I6749" t="s">
        <v>28222</v>
      </c>
      <c r="J6749" t="s">
        <v>29346</v>
      </c>
      <c r="K6749" t="s">
        <v>36701</v>
      </c>
      <c r="M6749" t="s">
        <v>39302</v>
      </c>
      <c r="N6749" t="s">
        <v>40436</v>
      </c>
      <c r="O6749" t="s">
        <v>40437</v>
      </c>
      <c r="P6749">
        <v>0</v>
      </c>
      <c r="Q6749">
        <v>0</v>
      </c>
      <c r="R6749" t="s">
        <v>40444</v>
      </c>
      <c r="S6749" t="s">
        <v>40676</v>
      </c>
      <c r="T6749" t="s">
        <v>42102</v>
      </c>
      <c r="U6749" t="s">
        <v>48311</v>
      </c>
      <c r="W6749" t="s">
        <v>39302</v>
      </c>
      <c r="X6749" t="s">
        <v>40445</v>
      </c>
    </row>
    <row r="6750" spans="1:24">
      <c r="A6750">
        <f>HYPERLINK("https://www.philgeps.gov.ph/GEPSNONPILOT/Tender/SplashBidNoticeAbstractUI.aspx?menuIndex=3&amp;refID=7038222&amp;Result=3","7038222")</f>
        <v>0</v>
      </c>
      <c r="B6750" t="s">
        <v>1259</v>
      </c>
      <c r="C6750" t="s">
        <v>9502</v>
      </c>
      <c r="D6750" t="s">
        <v>16219</v>
      </c>
      <c r="E6750" t="s">
        <v>22250</v>
      </c>
      <c r="F6750" t="s">
        <v>28198</v>
      </c>
      <c r="G6750" t="s">
        <v>28205</v>
      </c>
      <c r="H6750" t="s">
        <v>28215</v>
      </c>
      <c r="I6750" t="s">
        <v>8888</v>
      </c>
      <c r="J6750" t="s">
        <v>28468</v>
      </c>
      <c r="K6750" t="s">
        <v>36689</v>
      </c>
      <c r="M6750" t="s">
        <v>38309</v>
      </c>
      <c r="N6750" t="s">
        <v>40436</v>
      </c>
      <c r="O6750" t="s">
        <v>40437</v>
      </c>
      <c r="P6750">
        <v>0</v>
      </c>
      <c r="Q6750">
        <v>5</v>
      </c>
      <c r="R6750" t="s">
        <v>40444</v>
      </c>
      <c r="S6750" t="s">
        <v>40676</v>
      </c>
      <c r="T6750" t="s">
        <v>42463</v>
      </c>
      <c r="U6750" t="s">
        <v>48312</v>
      </c>
      <c r="W6750" t="s">
        <v>38309</v>
      </c>
      <c r="X6750" t="s">
        <v>40445</v>
      </c>
    </row>
    <row r="6751" spans="1:24">
      <c r="A6751">
        <f>HYPERLINK("https://www.philgeps.gov.ph/GEPSNONPILOT/Tender/SplashBidNoticeAbstractUI.aspx?menuIndex=3&amp;refID=7038203&amp;Result=3","7038203")</f>
        <v>0</v>
      </c>
      <c r="B6751" t="s">
        <v>1536</v>
      </c>
      <c r="C6751" t="s">
        <v>9503</v>
      </c>
      <c r="D6751" t="s">
        <v>16222</v>
      </c>
      <c r="E6751" t="s">
        <v>22251</v>
      </c>
      <c r="F6751" t="s">
        <v>28198</v>
      </c>
      <c r="G6751" t="s">
        <v>28207</v>
      </c>
      <c r="H6751" t="s">
        <v>28215</v>
      </c>
      <c r="I6751" t="s">
        <v>28247</v>
      </c>
      <c r="J6751" t="s">
        <v>28677</v>
      </c>
      <c r="K6751" t="s">
        <v>36689</v>
      </c>
      <c r="M6751" t="s">
        <v>38614</v>
      </c>
      <c r="N6751" t="s">
        <v>40436</v>
      </c>
      <c r="O6751" t="s">
        <v>40437</v>
      </c>
      <c r="P6751">
        <v>0</v>
      </c>
      <c r="Q6751">
        <v>5</v>
      </c>
      <c r="R6751" t="s">
        <v>40444</v>
      </c>
      <c r="S6751" t="s">
        <v>40676</v>
      </c>
      <c r="T6751" t="s">
        <v>42277</v>
      </c>
      <c r="U6751" t="s">
        <v>46255</v>
      </c>
      <c r="W6751" t="s">
        <v>38614</v>
      </c>
      <c r="X6751" t="s">
        <v>40445</v>
      </c>
    </row>
    <row r="6752" spans="1:24">
      <c r="A6752">
        <f>HYPERLINK("https://www.philgeps.gov.ph/GEPSNONPILOT/Tender/SplashBidNoticeAbstractUI.aspx?menuIndex=3&amp;refID=7038218&amp;Result=3","7038218")</f>
        <v>0</v>
      </c>
      <c r="B6752" t="s">
        <v>105</v>
      </c>
      <c r="C6752" t="s">
        <v>9504</v>
      </c>
      <c r="D6752" t="s">
        <v>16233</v>
      </c>
      <c r="E6752" t="s">
        <v>22252</v>
      </c>
      <c r="F6752" t="s">
        <v>28198</v>
      </c>
      <c r="G6752" t="s">
        <v>28206</v>
      </c>
      <c r="H6752" t="s">
        <v>28215</v>
      </c>
      <c r="I6752" t="s">
        <v>5100</v>
      </c>
      <c r="J6752" t="s">
        <v>30939</v>
      </c>
      <c r="K6752" t="s">
        <v>36715</v>
      </c>
      <c r="M6752" t="s">
        <v>37961</v>
      </c>
      <c r="N6752" t="s">
        <v>40436</v>
      </c>
      <c r="O6752" t="s">
        <v>40437</v>
      </c>
      <c r="P6752">
        <v>0</v>
      </c>
      <c r="Q6752">
        <v>0</v>
      </c>
      <c r="R6752" t="s">
        <v>40444</v>
      </c>
      <c r="S6752" t="s">
        <v>40676</v>
      </c>
      <c r="T6752" t="s">
        <v>42233</v>
      </c>
      <c r="U6752" t="s">
        <v>48313</v>
      </c>
      <c r="V6752" t="s">
        <v>54022</v>
      </c>
      <c r="W6752" t="s">
        <v>37961</v>
      </c>
      <c r="X6752" t="s">
        <v>40445</v>
      </c>
    </row>
    <row r="6753" spans="1:24">
      <c r="A6753">
        <f>HYPERLINK("https://www.philgeps.gov.ph/GEPSNONPILOT/Tender/SplashBidNoticeAbstractUI.aspx?menuIndex=3&amp;refID=7038227&amp;Result=3","7038227")</f>
        <v>0</v>
      </c>
      <c r="B6753" t="s">
        <v>1714</v>
      </c>
      <c r="C6753" t="s">
        <v>9505</v>
      </c>
      <c r="D6753" t="s">
        <v>16217</v>
      </c>
      <c r="E6753" t="s">
        <v>9505</v>
      </c>
      <c r="F6753" t="s">
        <v>28198</v>
      </c>
      <c r="G6753" t="s">
        <v>28207</v>
      </c>
      <c r="H6753" t="s">
        <v>28215</v>
      </c>
      <c r="I6753" t="s">
        <v>4219</v>
      </c>
      <c r="J6753" t="s">
        <v>32575</v>
      </c>
      <c r="K6753" t="s">
        <v>36688</v>
      </c>
      <c r="M6753" t="s">
        <v>38820</v>
      </c>
      <c r="N6753" t="s">
        <v>40436</v>
      </c>
      <c r="O6753" t="s">
        <v>40437</v>
      </c>
      <c r="P6753">
        <v>0</v>
      </c>
      <c r="Q6753">
        <v>0</v>
      </c>
      <c r="R6753" t="s">
        <v>40444</v>
      </c>
      <c r="S6753" t="s">
        <v>40676</v>
      </c>
      <c r="T6753" t="s">
        <v>42111</v>
      </c>
      <c r="U6753" t="s">
        <v>48314</v>
      </c>
      <c r="W6753" t="s">
        <v>38820</v>
      </c>
      <c r="X6753" t="s">
        <v>40445</v>
      </c>
    </row>
    <row r="6754" spans="1:24">
      <c r="A6754">
        <f>HYPERLINK("https://www.philgeps.gov.ph/GEPSNONPILOT/Tender/SplashBidNoticeAbstractUI.aspx?menuIndex=3&amp;refID=7038237&amp;Result=3","7038237")</f>
        <v>0</v>
      </c>
      <c r="B6754" t="s">
        <v>2146</v>
      </c>
      <c r="C6754" t="s">
        <v>9506</v>
      </c>
      <c r="E6754" t="s">
        <v>9506</v>
      </c>
      <c r="F6754" t="s">
        <v>28198</v>
      </c>
      <c r="G6754" t="s">
        <v>28205</v>
      </c>
      <c r="H6754" t="s">
        <v>28214</v>
      </c>
      <c r="I6754" t="s">
        <v>3797</v>
      </c>
      <c r="J6754" t="s">
        <v>32576</v>
      </c>
      <c r="K6754" t="s">
        <v>36689</v>
      </c>
      <c r="M6754" t="s">
        <v>39303</v>
      </c>
      <c r="N6754" t="s">
        <v>40436</v>
      </c>
      <c r="O6754" t="s">
        <v>40437</v>
      </c>
      <c r="P6754">
        <v>0</v>
      </c>
      <c r="Q6754">
        <v>1</v>
      </c>
      <c r="R6754" t="s">
        <v>40444</v>
      </c>
      <c r="S6754" t="s">
        <v>40676</v>
      </c>
      <c r="T6754" t="s">
        <v>42131</v>
      </c>
      <c r="U6754" t="s">
        <v>42735</v>
      </c>
      <c r="W6754" t="s">
        <v>39303</v>
      </c>
      <c r="X6754" t="s">
        <v>40445</v>
      </c>
    </row>
    <row r="6755" spans="1:24">
      <c r="A6755">
        <f>HYPERLINK("https://www.philgeps.gov.ph/GEPSNONPILOT/Tender/SplashBidNoticeAbstractUI.aspx?menuIndex=3&amp;refID=7038199&amp;Result=3","7038199")</f>
        <v>0</v>
      </c>
      <c r="B6755" t="s">
        <v>2144</v>
      </c>
      <c r="C6755" t="s">
        <v>9507</v>
      </c>
      <c r="E6755" t="s">
        <v>22253</v>
      </c>
      <c r="F6755" t="s">
        <v>28198</v>
      </c>
      <c r="G6755" t="s">
        <v>28205</v>
      </c>
      <c r="H6755" t="s">
        <v>28215</v>
      </c>
      <c r="I6755" t="s">
        <v>28222</v>
      </c>
      <c r="J6755" t="s">
        <v>32577</v>
      </c>
      <c r="K6755" t="s">
        <v>36689</v>
      </c>
      <c r="M6755" t="s">
        <v>39301</v>
      </c>
      <c r="N6755" t="s">
        <v>40436</v>
      </c>
      <c r="O6755" t="s">
        <v>40437</v>
      </c>
      <c r="P6755">
        <v>0</v>
      </c>
      <c r="Q6755">
        <v>5</v>
      </c>
      <c r="R6755" t="s">
        <v>40444</v>
      </c>
      <c r="S6755" t="s">
        <v>40676</v>
      </c>
      <c r="T6755" t="s">
        <v>42427</v>
      </c>
      <c r="U6755" t="s">
        <v>48315</v>
      </c>
      <c r="W6755" t="s">
        <v>39301</v>
      </c>
      <c r="X6755" t="s">
        <v>40445</v>
      </c>
    </row>
    <row r="6756" spans="1:24">
      <c r="A6756">
        <f>HYPERLINK("https://www.philgeps.gov.ph/GEPSNONPILOT/Tender/SplashBidNoticeAbstractUI.aspx?menuIndex=3&amp;refID=7038214&amp;Result=3","7038214")</f>
        <v>0</v>
      </c>
      <c r="B6756" t="s">
        <v>2144</v>
      </c>
      <c r="C6756" t="s">
        <v>9508</v>
      </c>
      <c r="E6756" t="s">
        <v>22254</v>
      </c>
      <c r="F6756" t="s">
        <v>28198</v>
      </c>
      <c r="G6756" t="s">
        <v>28205</v>
      </c>
      <c r="H6756" t="s">
        <v>28215</v>
      </c>
      <c r="I6756" t="s">
        <v>28265</v>
      </c>
      <c r="J6756" t="s">
        <v>32578</v>
      </c>
      <c r="K6756" t="s">
        <v>36689</v>
      </c>
      <c r="M6756" t="s">
        <v>39301</v>
      </c>
      <c r="N6756" t="s">
        <v>40436</v>
      </c>
      <c r="O6756" t="s">
        <v>40437</v>
      </c>
      <c r="P6756">
        <v>0</v>
      </c>
      <c r="Q6756">
        <v>2</v>
      </c>
      <c r="R6756" t="s">
        <v>40444</v>
      </c>
      <c r="S6756" t="s">
        <v>40676</v>
      </c>
      <c r="T6756" t="s">
        <v>42427</v>
      </c>
      <c r="U6756" t="s">
        <v>48316</v>
      </c>
      <c r="W6756" t="s">
        <v>39301</v>
      </c>
      <c r="X6756" t="s">
        <v>40445</v>
      </c>
    </row>
    <row r="6757" spans="1:24">
      <c r="A6757">
        <f>HYPERLINK("https://www.philgeps.gov.ph/GEPSNONPILOT/Tender/SplashBidNoticeAbstractUI.aspx?menuIndex=3&amp;refID=7038220&amp;Result=3","7038220")</f>
        <v>0</v>
      </c>
      <c r="B6757" t="s">
        <v>2144</v>
      </c>
      <c r="C6757" t="s">
        <v>9509</v>
      </c>
      <c r="E6757" t="s">
        <v>22255</v>
      </c>
      <c r="F6757" t="s">
        <v>28198</v>
      </c>
      <c r="G6757" t="s">
        <v>28205</v>
      </c>
      <c r="H6757" t="s">
        <v>28215</v>
      </c>
      <c r="I6757" t="s">
        <v>8888</v>
      </c>
      <c r="J6757" t="s">
        <v>32579</v>
      </c>
      <c r="K6757" t="s">
        <v>36689</v>
      </c>
      <c r="M6757" t="s">
        <v>39301</v>
      </c>
      <c r="N6757" t="s">
        <v>40436</v>
      </c>
      <c r="O6757" t="s">
        <v>40437</v>
      </c>
      <c r="P6757">
        <v>0</v>
      </c>
      <c r="Q6757">
        <v>3</v>
      </c>
      <c r="R6757" t="s">
        <v>40444</v>
      </c>
      <c r="S6757" t="s">
        <v>40676</v>
      </c>
      <c r="T6757" t="s">
        <v>42427</v>
      </c>
      <c r="U6757" t="s">
        <v>48317</v>
      </c>
      <c r="W6757" t="s">
        <v>39301</v>
      </c>
      <c r="X6757" t="s">
        <v>40445</v>
      </c>
    </row>
    <row r="6758" spans="1:24">
      <c r="A6758">
        <f>HYPERLINK("https://www.philgeps.gov.ph/GEPSNONPILOT/Tender/SplashBidNoticeAbstractUI.aspx?menuIndex=3&amp;refID=7038236&amp;Result=3","7038236")</f>
        <v>0</v>
      </c>
      <c r="B6758" t="s">
        <v>2144</v>
      </c>
      <c r="C6758" t="s">
        <v>9510</v>
      </c>
      <c r="E6758" t="s">
        <v>22256</v>
      </c>
      <c r="F6758" t="s">
        <v>28198</v>
      </c>
      <c r="G6758" t="s">
        <v>28205</v>
      </c>
      <c r="H6758" t="s">
        <v>28215</v>
      </c>
      <c r="I6758" t="s">
        <v>4222</v>
      </c>
      <c r="J6758" t="s">
        <v>32580</v>
      </c>
      <c r="K6758" t="s">
        <v>36689</v>
      </c>
      <c r="M6758" t="s">
        <v>39301</v>
      </c>
      <c r="N6758" t="s">
        <v>40436</v>
      </c>
      <c r="O6758" t="s">
        <v>40437</v>
      </c>
      <c r="P6758">
        <v>0</v>
      </c>
      <c r="Q6758">
        <v>1</v>
      </c>
      <c r="R6758" t="s">
        <v>40444</v>
      </c>
      <c r="S6758" t="s">
        <v>40676</v>
      </c>
      <c r="T6758" t="s">
        <v>42427</v>
      </c>
      <c r="U6758" t="s">
        <v>48318</v>
      </c>
      <c r="W6758" t="s">
        <v>39301</v>
      </c>
      <c r="X6758" t="s">
        <v>40445</v>
      </c>
    </row>
    <row r="6759" spans="1:24">
      <c r="A6759">
        <f>HYPERLINK("https://www.philgeps.gov.ph/GEPSNONPILOT/Tender/SplashBidNoticeAbstractUI.aspx?menuIndex=3&amp;refID=7038209&amp;Result=3","7038209")</f>
        <v>0</v>
      </c>
      <c r="B6759" t="s">
        <v>1536</v>
      </c>
      <c r="C6759" t="s">
        <v>9511</v>
      </c>
      <c r="D6759" t="s">
        <v>16222</v>
      </c>
      <c r="E6759" t="s">
        <v>22257</v>
      </c>
      <c r="F6759" t="s">
        <v>28198</v>
      </c>
      <c r="G6759" t="s">
        <v>28207</v>
      </c>
      <c r="H6759" t="s">
        <v>28215</v>
      </c>
      <c r="I6759" t="s">
        <v>3774</v>
      </c>
      <c r="J6759" t="s">
        <v>28414</v>
      </c>
      <c r="K6759" t="s">
        <v>36689</v>
      </c>
      <c r="M6759" t="s">
        <v>38614</v>
      </c>
      <c r="N6759" t="s">
        <v>40436</v>
      </c>
      <c r="O6759" t="s">
        <v>40437</v>
      </c>
      <c r="P6759">
        <v>0</v>
      </c>
      <c r="Q6759">
        <v>1</v>
      </c>
      <c r="R6759" t="s">
        <v>40444</v>
      </c>
      <c r="S6759" t="s">
        <v>40676</v>
      </c>
      <c r="T6759" t="s">
        <v>42277</v>
      </c>
      <c r="U6759" t="s">
        <v>46255</v>
      </c>
      <c r="W6759" t="s">
        <v>38614</v>
      </c>
      <c r="X6759" t="s">
        <v>40445</v>
      </c>
    </row>
    <row r="6760" spans="1:24">
      <c r="A6760">
        <f>HYPERLINK("https://www.philgeps.gov.ph/GEPSNONPILOT/Tender/SplashBidNoticeAbstractUI.aspx?menuIndex=3&amp;refID=7038234&amp;Result=3","7038234")</f>
        <v>0</v>
      </c>
      <c r="B6760" t="s">
        <v>1259</v>
      </c>
      <c r="C6760" t="s">
        <v>9512</v>
      </c>
      <c r="D6760" t="s">
        <v>16219</v>
      </c>
      <c r="E6760" t="s">
        <v>22258</v>
      </c>
      <c r="F6760" t="s">
        <v>28198</v>
      </c>
      <c r="G6760" t="s">
        <v>28205</v>
      </c>
      <c r="H6760" t="s">
        <v>28215</v>
      </c>
      <c r="I6760" t="s">
        <v>8888</v>
      </c>
      <c r="J6760" t="s">
        <v>32581</v>
      </c>
      <c r="K6760" t="s">
        <v>36689</v>
      </c>
      <c r="M6760" t="s">
        <v>38309</v>
      </c>
      <c r="N6760" t="s">
        <v>40436</v>
      </c>
      <c r="O6760" t="s">
        <v>40437</v>
      </c>
      <c r="P6760">
        <v>0</v>
      </c>
      <c r="Q6760">
        <v>2</v>
      </c>
      <c r="R6760" t="s">
        <v>40444</v>
      </c>
      <c r="S6760" t="s">
        <v>40676</v>
      </c>
      <c r="T6760" t="s">
        <v>42320</v>
      </c>
      <c r="U6760" t="s">
        <v>48319</v>
      </c>
      <c r="W6760" t="s">
        <v>38309</v>
      </c>
      <c r="X6760" t="s">
        <v>40445</v>
      </c>
    </row>
    <row r="6761" spans="1:24">
      <c r="A6761">
        <f>HYPERLINK("https://www.philgeps.gov.ph/GEPSNONPILOT/Tender/SplashBidNoticeAbstractUI.aspx?menuIndex=3&amp;refID=7038228&amp;Result=3","7038228")</f>
        <v>0</v>
      </c>
      <c r="B6761" t="s">
        <v>2147</v>
      </c>
      <c r="C6761" t="s">
        <v>9513</v>
      </c>
      <c r="D6761" t="s">
        <v>16202</v>
      </c>
      <c r="E6761" t="s">
        <v>22259</v>
      </c>
      <c r="F6761" t="s">
        <v>28198</v>
      </c>
      <c r="G6761" t="s">
        <v>28205</v>
      </c>
      <c r="H6761" t="s">
        <v>28215</v>
      </c>
      <c r="I6761" t="s">
        <v>4505</v>
      </c>
      <c r="J6761" t="s">
        <v>32582</v>
      </c>
      <c r="K6761" t="s">
        <v>36715</v>
      </c>
      <c r="M6761" t="s">
        <v>39304</v>
      </c>
      <c r="N6761" t="s">
        <v>40436</v>
      </c>
      <c r="O6761" t="s">
        <v>40437</v>
      </c>
      <c r="P6761">
        <v>0</v>
      </c>
      <c r="Q6761">
        <v>2</v>
      </c>
      <c r="R6761" t="s">
        <v>40444</v>
      </c>
      <c r="S6761" t="s">
        <v>40676</v>
      </c>
      <c r="T6761" t="s">
        <v>42100</v>
      </c>
      <c r="U6761" t="s">
        <v>48320</v>
      </c>
      <c r="W6761" t="s">
        <v>39304</v>
      </c>
      <c r="X6761" t="s">
        <v>40445</v>
      </c>
    </row>
    <row r="6762" spans="1:24">
      <c r="A6762">
        <f>HYPERLINK("https://www.philgeps.gov.ph/GEPSNONPILOT/Tender/SplashBidNoticeAbstractUI.aspx?menuIndex=3&amp;refID=7038230&amp;Result=3","7038230")</f>
        <v>0</v>
      </c>
      <c r="B6762" t="s">
        <v>2144</v>
      </c>
      <c r="C6762" t="s">
        <v>9514</v>
      </c>
      <c r="E6762" t="s">
        <v>22260</v>
      </c>
      <c r="F6762" t="s">
        <v>28198</v>
      </c>
      <c r="G6762" t="s">
        <v>28205</v>
      </c>
      <c r="H6762" t="s">
        <v>28215</v>
      </c>
      <c r="I6762" t="s">
        <v>4168</v>
      </c>
      <c r="J6762" t="s">
        <v>32583</v>
      </c>
      <c r="K6762" t="s">
        <v>36689</v>
      </c>
      <c r="M6762" t="s">
        <v>39301</v>
      </c>
      <c r="N6762" t="s">
        <v>40436</v>
      </c>
      <c r="O6762" t="s">
        <v>40437</v>
      </c>
      <c r="P6762">
        <v>0</v>
      </c>
      <c r="Q6762">
        <v>3</v>
      </c>
      <c r="R6762" t="s">
        <v>40444</v>
      </c>
      <c r="S6762" t="s">
        <v>40676</v>
      </c>
      <c r="T6762" t="s">
        <v>42427</v>
      </c>
      <c r="U6762" t="s">
        <v>48321</v>
      </c>
      <c r="W6762" t="s">
        <v>39301</v>
      </c>
      <c r="X6762" t="s">
        <v>40445</v>
      </c>
    </row>
    <row r="6763" spans="1:24">
      <c r="A6763">
        <f>HYPERLINK("https://www.philgeps.gov.ph/GEPSNONPILOT/Tender/SplashBidNoticeAbstractUI.aspx?menuIndex=3&amp;refID=7038210&amp;Result=3","7038210")</f>
        <v>0</v>
      </c>
      <c r="B6763" t="s">
        <v>2144</v>
      </c>
      <c r="C6763" t="s">
        <v>9515</v>
      </c>
      <c r="E6763" t="s">
        <v>22261</v>
      </c>
      <c r="F6763" t="s">
        <v>28198</v>
      </c>
      <c r="G6763" t="s">
        <v>28205</v>
      </c>
      <c r="H6763" t="s">
        <v>28215</v>
      </c>
      <c r="I6763" t="s">
        <v>5071</v>
      </c>
      <c r="J6763" t="s">
        <v>32584</v>
      </c>
      <c r="K6763" t="s">
        <v>36689</v>
      </c>
      <c r="M6763" t="s">
        <v>39301</v>
      </c>
      <c r="N6763" t="s">
        <v>40436</v>
      </c>
      <c r="O6763" t="s">
        <v>40437</v>
      </c>
      <c r="P6763">
        <v>0</v>
      </c>
      <c r="Q6763">
        <v>3</v>
      </c>
      <c r="R6763" t="s">
        <v>40444</v>
      </c>
      <c r="S6763" t="s">
        <v>40676</v>
      </c>
      <c r="T6763" t="s">
        <v>42427</v>
      </c>
      <c r="U6763" t="s">
        <v>48322</v>
      </c>
      <c r="W6763" t="s">
        <v>39301</v>
      </c>
      <c r="X6763" t="s">
        <v>40445</v>
      </c>
    </row>
    <row r="6764" spans="1:24">
      <c r="A6764">
        <f>HYPERLINK("https://www.philgeps.gov.ph/GEPSNONPILOT/Tender/SplashBidNoticeAbstractUI.aspx?menuIndex=3&amp;refID=7038235&amp;Result=3","7038235")</f>
        <v>0</v>
      </c>
      <c r="B6764" t="s">
        <v>2148</v>
      </c>
      <c r="C6764" t="s">
        <v>9516</v>
      </c>
      <c r="D6764" t="s">
        <v>16201</v>
      </c>
      <c r="E6764" t="s">
        <v>16510</v>
      </c>
      <c r="F6764" t="s">
        <v>28198</v>
      </c>
      <c r="G6764" t="s">
        <v>28205</v>
      </c>
      <c r="H6764" t="s">
        <v>28214</v>
      </c>
      <c r="I6764" t="s">
        <v>3797</v>
      </c>
      <c r="J6764" t="s">
        <v>28918</v>
      </c>
      <c r="K6764" t="s">
        <v>36694</v>
      </c>
      <c r="M6764" t="s">
        <v>39305</v>
      </c>
      <c r="N6764" t="s">
        <v>40436</v>
      </c>
      <c r="O6764" t="s">
        <v>40437</v>
      </c>
      <c r="P6764">
        <v>0</v>
      </c>
      <c r="Q6764">
        <v>2</v>
      </c>
      <c r="R6764" t="s">
        <v>40444</v>
      </c>
      <c r="S6764" t="s">
        <v>40676</v>
      </c>
      <c r="T6764" t="s">
        <v>42464</v>
      </c>
      <c r="U6764" t="s">
        <v>48323</v>
      </c>
      <c r="V6764" t="s">
        <v>54486</v>
      </c>
      <c r="W6764" t="s">
        <v>39305</v>
      </c>
      <c r="X6764" t="s">
        <v>40445</v>
      </c>
    </row>
    <row r="6765" spans="1:24">
      <c r="A6765">
        <f>HYPERLINK("https://www.philgeps.gov.ph/GEPSNONPILOT/Tender/SplashBidNoticeAbstractUI.aspx?menuIndex=3&amp;refID=7038238&amp;Result=3","7038238")</f>
        <v>0</v>
      </c>
      <c r="B6765" t="s">
        <v>2149</v>
      </c>
      <c r="C6765" t="s">
        <v>9517</v>
      </c>
      <c r="D6765" t="s">
        <v>16228</v>
      </c>
      <c r="E6765" t="s">
        <v>22262</v>
      </c>
      <c r="F6765" t="s">
        <v>28198</v>
      </c>
      <c r="G6765" t="s">
        <v>28205</v>
      </c>
      <c r="H6765" t="s">
        <v>28215</v>
      </c>
      <c r="I6765" t="s">
        <v>28228</v>
      </c>
      <c r="J6765" t="s">
        <v>32585</v>
      </c>
      <c r="K6765" t="s">
        <v>36706</v>
      </c>
      <c r="M6765" t="s">
        <v>39306</v>
      </c>
      <c r="N6765" t="s">
        <v>40436</v>
      </c>
      <c r="O6765" t="s">
        <v>40437</v>
      </c>
      <c r="P6765">
        <v>0</v>
      </c>
      <c r="Q6765">
        <v>0</v>
      </c>
      <c r="R6765" t="s">
        <v>40444</v>
      </c>
      <c r="S6765" t="s">
        <v>40676</v>
      </c>
      <c r="T6765" t="s">
        <v>42134</v>
      </c>
      <c r="U6765" t="s">
        <v>48324</v>
      </c>
      <c r="V6765" t="s">
        <v>54487</v>
      </c>
      <c r="W6765" t="s">
        <v>39306</v>
      </c>
      <c r="X6765" t="s">
        <v>40445</v>
      </c>
    </row>
    <row r="6766" spans="1:24">
      <c r="A6766">
        <f>HYPERLINK("https://www.philgeps.gov.ph/GEPSNONPILOT/Tender/SplashBidNoticeAbstractUI.aspx?menuIndex=3&amp;refID=7038253&amp;Result=3","7038253")</f>
        <v>0</v>
      </c>
      <c r="B6766" t="s">
        <v>1536</v>
      </c>
      <c r="C6766" t="s">
        <v>9518</v>
      </c>
      <c r="D6766" t="s">
        <v>16222</v>
      </c>
      <c r="E6766" t="s">
        <v>22263</v>
      </c>
      <c r="F6766" t="s">
        <v>28198</v>
      </c>
      <c r="G6766" t="s">
        <v>28207</v>
      </c>
      <c r="H6766" t="s">
        <v>28215</v>
      </c>
      <c r="I6766" t="s">
        <v>3774</v>
      </c>
      <c r="J6766" t="s">
        <v>29374</v>
      </c>
      <c r="K6766" t="s">
        <v>36689</v>
      </c>
      <c r="M6766" t="s">
        <v>38614</v>
      </c>
      <c r="N6766" t="s">
        <v>40436</v>
      </c>
      <c r="O6766" t="s">
        <v>40437</v>
      </c>
      <c r="P6766">
        <v>0</v>
      </c>
      <c r="Q6766">
        <v>1</v>
      </c>
      <c r="R6766" t="s">
        <v>40444</v>
      </c>
      <c r="S6766" t="s">
        <v>40676</v>
      </c>
      <c r="T6766" t="s">
        <v>42277</v>
      </c>
      <c r="U6766" t="s">
        <v>46255</v>
      </c>
      <c r="W6766" t="s">
        <v>38614</v>
      </c>
      <c r="X6766" t="s">
        <v>40445</v>
      </c>
    </row>
    <row r="6767" spans="1:24">
      <c r="A6767">
        <f>HYPERLINK("https://www.philgeps.gov.ph/GEPSNONPILOT/Tender/SplashBidNoticeAbstractUI.aspx?menuIndex=3&amp;refID=7038282&amp;Result=3","7038282")</f>
        <v>0</v>
      </c>
      <c r="B6767" t="s">
        <v>2150</v>
      </c>
      <c r="C6767" t="s">
        <v>9519</v>
      </c>
      <c r="D6767" t="s">
        <v>16235</v>
      </c>
      <c r="E6767" t="s">
        <v>16909</v>
      </c>
      <c r="F6767" t="s">
        <v>28198</v>
      </c>
      <c r="G6767" t="s">
        <v>28205</v>
      </c>
      <c r="H6767" t="s">
        <v>28215</v>
      </c>
      <c r="I6767" t="s">
        <v>28222</v>
      </c>
      <c r="J6767" t="s">
        <v>28415</v>
      </c>
      <c r="K6767" t="s">
        <v>36701</v>
      </c>
      <c r="M6767" t="s">
        <v>39307</v>
      </c>
      <c r="N6767" t="s">
        <v>40436</v>
      </c>
      <c r="O6767" t="s">
        <v>40437</v>
      </c>
      <c r="P6767">
        <v>0</v>
      </c>
      <c r="Q6767">
        <v>0</v>
      </c>
      <c r="R6767" t="s">
        <v>40444</v>
      </c>
      <c r="S6767" t="s">
        <v>40676</v>
      </c>
      <c r="T6767" t="s">
        <v>42102</v>
      </c>
      <c r="U6767" t="s">
        <v>48325</v>
      </c>
      <c r="W6767" t="s">
        <v>39307</v>
      </c>
      <c r="X6767" t="s">
        <v>40445</v>
      </c>
    </row>
    <row r="6768" spans="1:24">
      <c r="A6768">
        <f>HYPERLINK("https://www.philgeps.gov.ph/GEPSNONPILOT/Tender/SplashBidNoticeAbstractUI.aspx?menuIndex=3&amp;refID=7038247&amp;Result=3","7038247")</f>
        <v>0</v>
      </c>
      <c r="B6768" t="s">
        <v>2144</v>
      </c>
      <c r="C6768" t="s">
        <v>9520</v>
      </c>
      <c r="E6768" t="s">
        <v>22264</v>
      </c>
      <c r="F6768" t="s">
        <v>28198</v>
      </c>
      <c r="G6768" t="s">
        <v>28205</v>
      </c>
      <c r="H6768" t="s">
        <v>28215</v>
      </c>
      <c r="I6768" t="s">
        <v>4168</v>
      </c>
      <c r="J6768" t="s">
        <v>32586</v>
      </c>
      <c r="K6768" t="s">
        <v>36689</v>
      </c>
      <c r="M6768" t="s">
        <v>39301</v>
      </c>
      <c r="N6768" t="s">
        <v>40436</v>
      </c>
      <c r="O6768" t="s">
        <v>40437</v>
      </c>
      <c r="P6768">
        <v>0</v>
      </c>
      <c r="Q6768">
        <v>8</v>
      </c>
      <c r="R6768" t="s">
        <v>40444</v>
      </c>
      <c r="S6768" t="s">
        <v>40676</v>
      </c>
      <c r="T6768" t="s">
        <v>42427</v>
      </c>
      <c r="U6768" t="s">
        <v>48326</v>
      </c>
      <c r="W6768" t="s">
        <v>39301</v>
      </c>
      <c r="X6768" t="s">
        <v>40445</v>
      </c>
    </row>
    <row r="6769" spans="1:24">
      <c r="A6769">
        <f>HYPERLINK("https://www.philgeps.gov.ph/GEPSNONPILOT/Tender/SplashBidNoticeAbstractUI.aspx?menuIndex=3&amp;refID=7038280&amp;Result=3","7038280")</f>
        <v>0</v>
      </c>
      <c r="B6769" t="s">
        <v>1151</v>
      </c>
      <c r="C6769" t="s">
        <v>9521</v>
      </c>
      <c r="D6769" t="s">
        <v>16263</v>
      </c>
      <c r="E6769" t="s">
        <v>22265</v>
      </c>
      <c r="F6769" t="s">
        <v>28198</v>
      </c>
      <c r="G6769" t="s">
        <v>28205</v>
      </c>
      <c r="H6769" t="s">
        <v>28214</v>
      </c>
      <c r="I6769" t="s">
        <v>3797</v>
      </c>
      <c r="J6769" t="s">
        <v>28363</v>
      </c>
      <c r="K6769" t="s">
        <v>36766</v>
      </c>
      <c r="M6769" t="s">
        <v>38191</v>
      </c>
      <c r="N6769" t="s">
        <v>40436</v>
      </c>
      <c r="O6769" t="s">
        <v>40437</v>
      </c>
      <c r="P6769">
        <v>0</v>
      </c>
      <c r="Q6769">
        <v>0</v>
      </c>
      <c r="R6769" t="s">
        <v>40444</v>
      </c>
      <c r="S6769" t="s">
        <v>40676</v>
      </c>
      <c r="T6769" t="s">
        <v>42234</v>
      </c>
      <c r="U6769" t="s">
        <v>48327</v>
      </c>
      <c r="V6769" t="s">
        <v>54488</v>
      </c>
      <c r="W6769" t="s">
        <v>38191</v>
      </c>
      <c r="X6769" t="s">
        <v>40445</v>
      </c>
    </row>
    <row r="6770" spans="1:24">
      <c r="A6770">
        <f>HYPERLINK("https://www.philgeps.gov.ph/GEPSNONPILOT/Tender/SplashBidNoticeAbstractUI.aspx?menuIndex=3&amp;refID=7038255&amp;Result=3","7038255")</f>
        <v>0</v>
      </c>
      <c r="B6770" t="s">
        <v>1259</v>
      </c>
      <c r="C6770" t="s">
        <v>9522</v>
      </c>
      <c r="D6770" t="s">
        <v>16219</v>
      </c>
      <c r="E6770" t="s">
        <v>22266</v>
      </c>
      <c r="F6770" t="s">
        <v>28198</v>
      </c>
      <c r="G6770" t="s">
        <v>28205</v>
      </c>
      <c r="H6770" t="s">
        <v>28215</v>
      </c>
      <c r="I6770" t="s">
        <v>8888</v>
      </c>
      <c r="J6770" t="s">
        <v>32587</v>
      </c>
      <c r="K6770" t="s">
        <v>36689</v>
      </c>
      <c r="M6770" t="s">
        <v>38309</v>
      </c>
      <c r="N6770" t="s">
        <v>40436</v>
      </c>
      <c r="O6770" t="s">
        <v>40437</v>
      </c>
      <c r="P6770">
        <v>0</v>
      </c>
      <c r="Q6770">
        <v>4</v>
      </c>
      <c r="R6770" t="s">
        <v>40444</v>
      </c>
      <c r="S6770" t="s">
        <v>40676</v>
      </c>
      <c r="T6770" t="s">
        <v>42320</v>
      </c>
      <c r="U6770" t="s">
        <v>48319</v>
      </c>
      <c r="W6770" t="s">
        <v>38309</v>
      </c>
      <c r="X6770" t="s">
        <v>40445</v>
      </c>
    </row>
    <row r="6771" spans="1:24">
      <c r="A6771">
        <f>HYPERLINK("https://www.philgeps.gov.ph/GEPSNONPILOT/Tender/SplashBidNoticeAbstractUI.aspx?menuIndex=3&amp;refID=7038274&amp;Result=3","7038274")</f>
        <v>0</v>
      </c>
      <c r="B6771" t="s">
        <v>2149</v>
      </c>
      <c r="C6771" t="s">
        <v>9517</v>
      </c>
      <c r="D6771" t="s">
        <v>16228</v>
      </c>
      <c r="E6771" t="s">
        <v>22267</v>
      </c>
      <c r="F6771" t="s">
        <v>28198</v>
      </c>
      <c r="G6771" t="s">
        <v>28205</v>
      </c>
      <c r="H6771" t="s">
        <v>28215</v>
      </c>
      <c r="I6771" t="s">
        <v>28228</v>
      </c>
      <c r="J6771" t="s">
        <v>32588</v>
      </c>
      <c r="K6771" t="s">
        <v>36706</v>
      </c>
      <c r="M6771" t="s">
        <v>39306</v>
      </c>
      <c r="N6771" t="s">
        <v>40436</v>
      </c>
      <c r="O6771" t="s">
        <v>40437</v>
      </c>
      <c r="P6771">
        <v>0</v>
      </c>
      <c r="Q6771">
        <v>0</v>
      </c>
      <c r="R6771" t="s">
        <v>40444</v>
      </c>
      <c r="S6771" t="s">
        <v>40676</v>
      </c>
      <c r="T6771" t="s">
        <v>42134</v>
      </c>
      <c r="U6771" t="s">
        <v>48328</v>
      </c>
      <c r="V6771" t="s">
        <v>54489</v>
      </c>
      <c r="W6771" t="s">
        <v>39306</v>
      </c>
      <c r="X6771" t="s">
        <v>40445</v>
      </c>
    </row>
    <row r="6772" spans="1:24">
      <c r="A6772">
        <f>HYPERLINK("https://www.philgeps.gov.ph/GEPSNONPILOT/Tender/SplashBidNoticeAbstractUI.aspx?menuIndex=3&amp;refID=7038276&amp;Result=3","7038276")</f>
        <v>0</v>
      </c>
      <c r="B6772" t="s">
        <v>2151</v>
      </c>
      <c r="C6772" t="s">
        <v>9523</v>
      </c>
      <c r="D6772" t="s">
        <v>16187</v>
      </c>
      <c r="E6772" t="s">
        <v>22268</v>
      </c>
      <c r="F6772" t="s">
        <v>28198</v>
      </c>
      <c r="G6772" t="s">
        <v>28205</v>
      </c>
      <c r="H6772" t="s">
        <v>28215</v>
      </c>
      <c r="I6772" t="s">
        <v>3797</v>
      </c>
      <c r="J6772" t="s">
        <v>32589</v>
      </c>
      <c r="K6772" t="s">
        <v>36688</v>
      </c>
      <c r="M6772" t="s">
        <v>39308</v>
      </c>
      <c r="N6772" t="s">
        <v>40436</v>
      </c>
      <c r="O6772" t="s">
        <v>40437</v>
      </c>
      <c r="P6772">
        <v>0</v>
      </c>
      <c r="Q6772">
        <v>0</v>
      </c>
      <c r="R6772" t="s">
        <v>40444</v>
      </c>
      <c r="S6772" t="s">
        <v>40676</v>
      </c>
      <c r="T6772" t="s">
        <v>42465</v>
      </c>
      <c r="U6772" t="s">
        <v>48329</v>
      </c>
      <c r="W6772" t="s">
        <v>39308</v>
      </c>
      <c r="X6772" t="s">
        <v>40445</v>
      </c>
    </row>
    <row r="6773" spans="1:24">
      <c r="A6773">
        <f>HYPERLINK("https://www.philgeps.gov.ph/GEPSNONPILOT/Tender/SplashBidNoticeAbstractUI.aspx?menuIndex=3&amp;refID=7038273&amp;Result=3","7038273")</f>
        <v>0</v>
      </c>
      <c r="B6773" t="s">
        <v>1259</v>
      </c>
      <c r="C6773" t="s">
        <v>9524</v>
      </c>
      <c r="D6773" t="s">
        <v>16219</v>
      </c>
      <c r="E6773" t="s">
        <v>22269</v>
      </c>
      <c r="F6773" t="s">
        <v>28198</v>
      </c>
      <c r="G6773" t="s">
        <v>28205</v>
      </c>
      <c r="H6773" t="s">
        <v>28215</v>
      </c>
      <c r="I6773" t="s">
        <v>28285</v>
      </c>
      <c r="J6773" t="s">
        <v>28398</v>
      </c>
      <c r="K6773" t="s">
        <v>36689</v>
      </c>
      <c r="M6773" t="s">
        <v>38309</v>
      </c>
      <c r="N6773" t="s">
        <v>40436</v>
      </c>
      <c r="O6773" t="s">
        <v>40437</v>
      </c>
      <c r="P6773">
        <v>0</v>
      </c>
      <c r="Q6773">
        <v>1</v>
      </c>
      <c r="R6773" t="s">
        <v>40444</v>
      </c>
      <c r="S6773" t="s">
        <v>40676</v>
      </c>
      <c r="T6773" t="s">
        <v>42320</v>
      </c>
      <c r="U6773" t="s">
        <v>48330</v>
      </c>
      <c r="W6773" t="s">
        <v>38309</v>
      </c>
      <c r="X6773" t="s">
        <v>40445</v>
      </c>
    </row>
    <row r="6774" spans="1:24">
      <c r="A6774">
        <f>HYPERLINK("https://www.philgeps.gov.ph/GEPSNONPILOT/Tender/SplashBidNoticeAbstractUI.aspx?menuIndex=3&amp;refID=7038240&amp;Result=3","7038240")</f>
        <v>0</v>
      </c>
      <c r="B6774" t="s">
        <v>1536</v>
      </c>
      <c r="C6774" t="s">
        <v>9525</v>
      </c>
      <c r="D6774" t="s">
        <v>16222</v>
      </c>
      <c r="E6774" t="s">
        <v>22270</v>
      </c>
      <c r="F6774" t="s">
        <v>28198</v>
      </c>
      <c r="G6774" t="s">
        <v>28207</v>
      </c>
      <c r="H6774" t="s">
        <v>28215</v>
      </c>
      <c r="I6774" t="s">
        <v>3774</v>
      </c>
      <c r="J6774" t="s">
        <v>32590</v>
      </c>
      <c r="K6774" t="s">
        <v>36689</v>
      </c>
      <c r="M6774" t="s">
        <v>38614</v>
      </c>
      <c r="N6774" t="s">
        <v>40436</v>
      </c>
      <c r="O6774" t="s">
        <v>40437</v>
      </c>
      <c r="P6774">
        <v>0</v>
      </c>
      <c r="Q6774">
        <v>0</v>
      </c>
      <c r="R6774" t="s">
        <v>40444</v>
      </c>
      <c r="S6774" t="s">
        <v>40676</v>
      </c>
      <c r="T6774" t="s">
        <v>42277</v>
      </c>
      <c r="U6774" t="s">
        <v>46255</v>
      </c>
      <c r="W6774" t="s">
        <v>38614</v>
      </c>
      <c r="X6774" t="s">
        <v>40445</v>
      </c>
    </row>
    <row r="6775" spans="1:24">
      <c r="A6775">
        <f>HYPERLINK("https://www.philgeps.gov.ph/GEPSNONPILOT/Tender/SplashBidNoticeAbstractUI.aspx?menuIndex=3&amp;refID=7038270&amp;Result=3","7038270")</f>
        <v>0</v>
      </c>
      <c r="B6775" t="s">
        <v>2152</v>
      </c>
      <c r="C6775" t="s">
        <v>9526</v>
      </c>
      <c r="D6775" t="s">
        <v>16197</v>
      </c>
      <c r="E6775" t="s">
        <v>22271</v>
      </c>
      <c r="F6775" t="s">
        <v>28200</v>
      </c>
      <c r="G6775" t="s">
        <v>28207</v>
      </c>
      <c r="H6775" t="s">
        <v>28217</v>
      </c>
      <c r="I6775" t="s">
        <v>28333</v>
      </c>
      <c r="J6775" t="s">
        <v>30939</v>
      </c>
      <c r="K6775" t="s">
        <v>36781</v>
      </c>
      <c r="M6775" t="s">
        <v>39309</v>
      </c>
      <c r="N6775" t="s">
        <v>40436</v>
      </c>
      <c r="O6775" t="s">
        <v>40437</v>
      </c>
      <c r="P6775">
        <v>0</v>
      </c>
      <c r="Q6775">
        <v>2</v>
      </c>
      <c r="R6775" t="s">
        <v>40444</v>
      </c>
      <c r="S6775" t="s">
        <v>40676</v>
      </c>
      <c r="T6775" t="s">
        <v>42350</v>
      </c>
      <c r="U6775" t="s">
        <v>48331</v>
      </c>
      <c r="W6775" t="s">
        <v>39309</v>
      </c>
      <c r="X6775" t="s">
        <v>40445</v>
      </c>
    </row>
    <row r="6776" spans="1:24">
      <c r="A6776">
        <f>HYPERLINK("https://www.philgeps.gov.ph/GEPSNONPILOT/Tender/SplashBidNoticeAbstractUI.aspx?menuIndex=3&amp;refID=7038271&amp;Result=3","7038271")</f>
        <v>0</v>
      </c>
      <c r="B6776" t="s">
        <v>204</v>
      </c>
      <c r="C6776" t="s">
        <v>9527</v>
      </c>
      <c r="D6776" t="s">
        <v>16187</v>
      </c>
      <c r="E6776" t="s">
        <v>22272</v>
      </c>
      <c r="F6776" t="s">
        <v>28198</v>
      </c>
      <c r="G6776" t="s">
        <v>28205</v>
      </c>
      <c r="H6776" t="s">
        <v>28215</v>
      </c>
      <c r="I6776" t="s">
        <v>7310</v>
      </c>
      <c r="J6776" t="s">
        <v>32591</v>
      </c>
      <c r="K6776" t="s">
        <v>36690</v>
      </c>
      <c r="M6776" t="s">
        <v>37180</v>
      </c>
      <c r="N6776" t="s">
        <v>40436</v>
      </c>
      <c r="O6776" t="s">
        <v>40437</v>
      </c>
      <c r="P6776">
        <v>0</v>
      </c>
      <c r="Q6776">
        <v>0</v>
      </c>
      <c r="R6776" t="s">
        <v>40444</v>
      </c>
      <c r="S6776" t="s">
        <v>40676</v>
      </c>
      <c r="T6776" t="s">
        <v>42109</v>
      </c>
      <c r="U6776" t="s">
        <v>48332</v>
      </c>
      <c r="W6776" t="s">
        <v>37180</v>
      </c>
      <c r="X6776" t="s">
        <v>40445</v>
      </c>
    </row>
    <row r="6777" spans="1:24">
      <c r="A6777">
        <f>HYPERLINK("https://www.philgeps.gov.ph/GEPSNONPILOT/Tender/SplashBidNoticeAbstractUI.aspx?menuIndex=3&amp;refID=7038248&amp;Result=3","7038248")</f>
        <v>0</v>
      </c>
      <c r="B6777" t="s">
        <v>2153</v>
      </c>
      <c r="C6777" t="s">
        <v>9528</v>
      </c>
      <c r="D6777" t="s">
        <v>16235</v>
      </c>
      <c r="E6777" t="s">
        <v>17417</v>
      </c>
      <c r="F6777" t="s">
        <v>28198</v>
      </c>
      <c r="G6777" t="s">
        <v>28209</v>
      </c>
      <c r="H6777" t="s">
        <v>28215</v>
      </c>
      <c r="I6777" t="s">
        <v>5100</v>
      </c>
      <c r="J6777" t="s">
        <v>32592</v>
      </c>
      <c r="K6777" t="s">
        <v>36701</v>
      </c>
      <c r="M6777" t="s">
        <v>39310</v>
      </c>
      <c r="N6777" t="s">
        <v>40436</v>
      </c>
      <c r="O6777" t="s">
        <v>40437</v>
      </c>
      <c r="P6777">
        <v>0</v>
      </c>
      <c r="Q6777">
        <v>0</v>
      </c>
      <c r="R6777" t="s">
        <v>40444</v>
      </c>
      <c r="S6777" t="s">
        <v>40676</v>
      </c>
      <c r="T6777" t="s">
        <v>42102</v>
      </c>
      <c r="U6777" t="s">
        <v>48333</v>
      </c>
      <c r="W6777" t="s">
        <v>39310</v>
      </c>
      <c r="X6777" t="s">
        <v>40445</v>
      </c>
    </row>
    <row r="6778" spans="1:24">
      <c r="A6778">
        <f>HYPERLINK("https://www.philgeps.gov.ph/GEPSNONPILOT/Tender/SplashBidNoticeAbstractUI.aspx?menuIndex=3&amp;refID=7038269&amp;Result=3","7038269")</f>
        <v>0</v>
      </c>
      <c r="B6778" t="s">
        <v>1461</v>
      </c>
      <c r="C6778" t="s">
        <v>9529</v>
      </c>
      <c r="D6778" t="s">
        <v>16238</v>
      </c>
      <c r="E6778" t="s">
        <v>22273</v>
      </c>
      <c r="F6778" t="s">
        <v>28198</v>
      </c>
      <c r="G6778" t="s">
        <v>28207</v>
      </c>
      <c r="H6778" t="s">
        <v>28215</v>
      </c>
      <c r="I6778" t="s">
        <v>28268</v>
      </c>
      <c r="J6778" t="s">
        <v>28415</v>
      </c>
      <c r="K6778" t="s">
        <v>36687</v>
      </c>
      <c r="M6778" t="s">
        <v>38530</v>
      </c>
      <c r="N6778" t="s">
        <v>40436</v>
      </c>
      <c r="O6778" t="s">
        <v>40437</v>
      </c>
      <c r="P6778">
        <v>0</v>
      </c>
      <c r="Q6778">
        <v>0</v>
      </c>
      <c r="R6778" t="s">
        <v>40444</v>
      </c>
      <c r="S6778" t="s">
        <v>40676</v>
      </c>
      <c r="T6778" t="s">
        <v>42233</v>
      </c>
      <c r="U6778" t="s">
        <v>48334</v>
      </c>
      <c r="W6778" t="s">
        <v>38530</v>
      </c>
      <c r="X6778" t="s">
        <v>40445</v>
      </c>
    </row>
    <row r="6779" spans="1:24">
      <c r="A6779">
        <f>HYPERLINK("https://www.philgeps.gov.ph/GEPSNONPILOT/Tender/SplashBidNoticeAbstractUI.aspx?menuIndex=3&amp;refID=7038245&amp;Result=3","7038245")</f>
        <v>0</v>
      </c>
      <c r="B6779" t="s">
        <v>1536</v>
      </c>
      <c r="C6779" t="s">
        <v>9530</v>
      </c>
      <c r="D6779" t="s">
        <v>16222</v>
      </c>
      <c r="E6779" t="s">
        <v>22274</v>
      </c>
      <c r="F6779" t="s">
        <v>28198</v>
      </c>
      <c r="G6779" t="s">
        <v>28207</v>
      </c>
      <c r="H6779" t="s">
        <v>28215</v>
      </c>
      <c r="I6779" t="s">
        <v>3774</v>
      </c>
      <c r="J6779" t="s">
        <v>32593</v>
      </c>
      <c r="K6779" t="s">
        <v>36689</v>
      </c>
      <c r="M6779" t="s">
        <v>38614</v>
      </c>
      <c r="N6779" t="s">
        <v>40436</v>
      </c>
      <c r="O6779" t="s">
        <v>40437</v>
      </c>
      <c r="P6779">
        <v>0</v>
      </c>
      <c r="Q6779">
        <v>1</v>
      </c>
      <c r="R6779" t="s">
        <v>40444</v>
      </c>
      <c r="S6779" t="s">
        <v>40676</v>
      </c>
      <c r="T6779" t="s">
        <v>42277</v>
      </c>
      <c r="U6779" t="s">
        <v>46255</v>
      </c>
      <c r="W6779" t="s">
        <v>38614</v>
      </c>
      <c r="X6779" t="s">
        <v>40445</v>
      </c>
    </row>
    <row r="6780" spans="1:24">
      <c r="A6780">
        <f>HYPERLINK("https://www.philgeps.gov.ph/GEPSNONPILOT/Tender/SplashBidNoticeAbstractUI.aspx?menuIndex=3&amp;refID=7038268&amp;Result=3","7038268")</f>
        <v>0</v>
      </c>
      <c r="B6780" t="s">
        <v>2144</v>
      </c>
      <c r="C6780" t="s">
        <v>9531</v>
      </c>
      <c r="E6780" t="s">
        <v>22275</v>
      </c>
      <c r="F6780" t="s">
        <v>28198</v>
      </c>
      <c r="G6780" t="s">
        <v>28205</v>
      </c>
      <c r="H6780" t="s">
        <v>28215</v>
      </c>
      <c r="I6780" t="s">
        <v>28278</v>
      </c>
      <c r="J6780" t="s">
        <v>32594</v>
      </c>
      <c r="K6780" t="s">
        <v>36689</v>
      </c>
      <c r="M6780" t="s">
        <v>39301</v>
      </c>
      <c r="N6780" t="s">
        <v>40436</v>
      </c>
      <c r="O6780" t="s">
        <v>40437</v>
      </c>
      <c r="P6780">
        <v>0</v>
      </c>
      <c r="Q6780">
        <v>2</v>
      </c>
      <c r="R6780" t="s">
        <v>40444</v>
      </c>
      <c r="S6780" t="s">
        <v>40676</v>
      </c>
      <c r="T6780" t="s">
        <v>42427</v>
      </c>
      <c r="U6780" t="s">
        <v>48335</v>
      </c>
      <c r="W6780" t="s">
        <v>39301</v>
      </c>
      <c r="X6780" t="s">
        <v>40445</v>
      </c>
    </row>
    <row r="6781" spans="1:24">
      <c r="A6781">
        <f>HYPERLINK("https://www.philgeps.gov.ph/GEPSNONPILOT/Tender/SplashBidNoticeAbstractUI.aspx?menuIndex=3&amp;refID=7038286&amp;Result=3","7038286")</f>
        <v>0</v>
      </c>
      <c r="B6781" t="s">
        <v>2144</v>
      </c>
      <c r="C6781" t="s">
        <v>9532</v>
      </c>
      <c r="E6781" t="s">
        <v>22276</v>
      </c>
      <c r="F6781" t="s">
        <v>28198</v>
      </c>
      <c r="G6781" t="s">
        <v>28205</v>
      </c>
      <c r="H6781" t="s">
        <v>28215</v>
      </c>
      <c r="I6781" t="s">
        <v>28278</v>
      </c>
      <c r="J6781" t="s">
        <v>32595</v>
      </c>
      <c r="K6781" t="s">
        <v>36689</v>
      </c>
      <c r="M6781" t="s">
        <v>39301</v>
      </c>
      <c r="N6781" t="s">
        <v>40436</v>
      </c>
      <c r="O6781" t="s">
        <v>40437</v>
      </c>
      <c r="P6781">
        <v>0</v>
      </c>
      <c r="Q6781">
        <v>7</v>
      </c>
      <c r="R6781" t="s">
        <v>40444</v>
      </c>
      <c r="S6781" t="s">
        <v>40676</v>
      </c>
      <c r="T6781" t="s">
        <v>42427</v>
      </c>
      <c r="U6781" t="s">
        <v>48336</v>
      </c>
      <c r="W6781" t="s">
        <v>39301</v>
      </c>
      <c r="X6781" t="s">
        <v>40445</v>
      </c>
    </row>
    <row r="6782" spans="1:24">
      <c r="A6782">
        <f>HYPERLINK("https://www.philgeps.gov.ph/GEPSNONPILOT/Tender/SplashBidNoticeAbstractUI.aspx?menuIndex=3&amp;refID=7038241&amp;Result=3","7038241")</f>
        <v>0</v>
      </c>
      <c r="B6782" t="s">
        <v>1259</v>
      </c>
      <c r="C6782" t="s">
        <v>9533</v>
      </c>
      <c r="D6782" t="s">
        <v>16219</v>
      </c>
      <c r="E6782" t="s">
        <v>22277</v>
      </c>
      <c r="F6782" t="s">
        <v>28198</v>
      </c>
      <c r="G6782" t="s">
        <v>28205</v>
      </c>
      <c r="H6782" t="s">
        <v>28215</v>
      </c>
      <c r="I6782" t="s">
        <v>28220</v>
      </c>
      <c r="J6782" t="s">
        <v>29576</v>
      </c>
      <c r="K6782" t="s">
        <v>36689</v>
      </c>
      <c r="M6782" t="s">
        <v>38309</v>
      </c>
      <c r="N6782" t="s">
        <v>40436</v>
      </c>
      <c r="O6782" t="s">
        <v>40437</v>
      </c>
      <c r="P6782">
        <v>0</v>
      </c>
      <c r="Q6782">
        <v>4</v>
      </c>
      <c r="R6782" t="s">
        <v>40444</v>
      </c>
      <c r="S6782" t="s">
        <v>40676</v>
      </c>
      <c r="T6782" t="s">
        <v>42320</v>
      </c>
      <c r="U6782" t="s">
        <v>48337</v>
      </c>
      <c r="W6782" t="s">
        <v>38309</v>
      </c>
      <c r="X6782" t="s">
        <v>40445</v>
      </c>
    </row>
    <row r="6783" spans="1:24">
      <c r="A6783">
        <f>HYPERLINK("https://www.philgeps.gov.ph/GEPSNONPILOT/Tender/SplashBidNoticeAbstractUI.aspx?menuIndex=3&amp;refID=7038257&amp;Result=3","7038257")</f>
        <v>0</v>
      </c>
      <c r="B6783" t="s">
        <v>2154</v>
      </c>
      <c r="C6783" t="s">
        <v>9534</v>
      </c>
      <c r="D6783" t="s">
        <v>16249</v>
      </c>
      <c r="E6783" t="s">
        <v>19360</v>
      </c>
      <c r="F6783" t="s">
        <v>28198</v>
      </c>
      <c r="G6783" t="s">
        <v>28207</v>
      </c>
      <c r="H6783" t="s">
        <v>28215</v>
      </c>
      <c r="I6783" t="s">
        <v>5100</v>
      </c>
      <c r="J6783" t="s">
        <v>32596</v>
      </c>
      <c r="K6783" t="s">
        <v>36707</v>
      </c>
      <c r="M6783" t="s">
        <v>39311</v>
      </c>
      <c r="N6783" t="s">
        <v>40436</v>
      </c>
      <c r="O6783" t="s">
        <v>40437</v>
      </c>
      <c r="P6783">
        <v>0</v>
      </c>
      <c r="Q6783">
        <v>1</v>
      </c>
      <c r="R6783" t="s">
        <v>40444</v>
      </c>
      <c r="S6783" t="s">
        <v>40676</v>
      </c>
      <c r="T6783" t="s">
        <v>42184</v>
      </c>
      <c r="U6783" t="s">
        <v>48338</v>
      </c>
      <c r="W6783" t="s">
        <v>39311</v>
      </c>
      <c r="X6783" t="s">
        <v>40445</v>
      </c>
    </row>
    <row r="6784" spans="1:24">
      <c r="A6784">
        <f>HYPERLINK("https://www.philgeps.gov.ph/GEPSNONPILOT/Tender/SplashBidNoticeAbstractUI.aspx?menuIndex=3&amp;refID=7038258&amp;Result=3","7038258")</f>
        <v>0</v>
      </c>
      <c r="B6784" t="s">
        <v>1151</v>
      </c>
      <c r="C6784" t="s">
        <v>9535</v>
      </c>
      <c r="D6784" t="s">
        <v>16263</v>
      </c>
      <c r="E6784" t="s">
        <v>22278</v>
      </c>
      <c r="F6784" t="s">
        <v>28198</v>
      </c>
      <c r="G6784" t="s">
        <v>28205</v>
      </c>
      <c r="H6784" t="s">
        <v>28214</v>
      </c>
      <c r="I6784" t="s">
        <v>3797</v>
      </c>
      <c r="J6784" t="s">
        <v>29632</v>
      </c>
      <c r="K6784" t="s">
        <v>36697</v>
      </c>
      <c r="M6784" t="s">
        <v>38191</v>
      </c>
      <c r="N6784" t="s">
        <v>40436</v>
      </c>
      <c r="O6784" t="s">
        <v>40437</v>
      </c>
      <c r="P6784">
        <v>0</v>
      </c>
      <c r="Q6784">
        <v>0</v>
      </c>
      <c r="R6784" t="s">
        <v>40444</v>
      </c>
      <c r="S6784" t="s">
        <v>40676</v>
      </c>
      <c r="T6784" t="s">
        <v>42234</v>
      </c>
      <c r="U6784" t="s">
        <v>48339</v>
      </c>
      <c r="V6784" t="s">
        <v>54490</v>
      </c>
      <c r="W6784" t="s">
        <v>38191</v>
      </c>
      <c r="X6784" t="s">
        <v>40445</v>
      </c>
    </row>
    <row r="6785" spans="1:24">
      <c r="A6785">
        <f>HYPERLINK("https://www.philgeps.gov.ph/GEPSNONPILOT/Tender/SplashBidNoticeAbstractUI.aspx?menuIndex=3&amp;refID=7038313&amp;Result=3","7038313")</f>
        <v>0</v>
      </c>
      <c r="B6785" t="s">
        <v>2155</v>
      </c>
      <c r="C6785" t="s">
        <v>9536</v>
      </c>
      <c r="D6785" t="s">
        <v>16252</v>
      </c>
      <c r="E6785" t="s">
        <v>22279</v>
      </c>
      <c r="F6785" t="s">
        <v>28200</v>
      </c>
      <c r="G6785" t="s">
        <v>28209</v>
      </c>
      <c r="H6785" t="s">
        <v>28214</v>
      </c>
      <c r="I6785" t="s">
        <v>4321</v>
      </c>
      <c r="J6785" t="s">
        <v>28378</v>
      </c>
      <c r="K6785" t="s">
        <v>36701</v>
      </c>
      <c r="M6785" t="s">
        <v>39312</v>
      </c>
      <c r="N6785" t="s">
        <v>40436</v>
      </c>
      <c r="O6785" t="s">
        <v>40437</v>
      </c>
      <c r="P6785">
        <v>0</v>
      </c>
      <c r="Q6785">
        <v>0</v>
      </c>
      <c r="R6785" t="s">
        <v>40444</v>
      </c>
      <c r="S6785" t="s">
        <v>40676</v>
      </c>
      <c r="T6785" t="s">
        <v>42169</v>
      </c>
      <c r="U6785" t="s">
        <v>48340</v>
      </c>
      <c r="V6785" t="s">
        <v>54491</v>
      </c>
      <c r="W6785" t="s">
        <v>39312</v>
      </c>
      <c r="X6785" t="s">
        <v>40445</v>
      </c>
    </row>
    <row r="6786" spans="1:24">
      <c r="A6786">
        <f>HYPERLINK("https://www.philgeps.gov.ph/GEPSNONPILOT/Tender/SplashBidNoticeAbstractUI.aspx?menuIndex=3&amp;refID=7038312&amp;Result=3","7038312")</f>
        <v>0</v>
      </c>
      <c r="B6786" t="s">
        <v>204</v>
      </c>
      <c r="C6786" t="s">
        <v>9537</v>
      </c>
      <c r="D6786" t="s">
        <v>16187</v>
      </c>
      <c r="E6786" t="s">
        <v>22280</v>
      </c>
      <c r="F6786" t="s">
        <v>28198</v>
      </c>
      <c r="G6786" t="s">
        <v>28205</v>
      </c>
      <c r="H6786" t="s">
        <v>28214</v>
      </c>
      <c r="I6786" t="s">
        <v>3797</v>
      </c>
      <c r="J6786" t="s">
        <v>32597</v>
      </c>
      <c r="K6786" t="s">
        <v>36694</v>
      </c>
      <c r="M6786" t="s">
        <v>37180</v>
      </c>
      <c r="N6786" t="s">
        <v>40436</v>
      </c>
      <c r="O6786" t="s">
        <v>40437</v>
      </c>
      <c r="P6786">
        <v>0</v>
      </c>
      <c r="Q6786">
        <v>0</v>
      </c>
      <c r="R6786" t="s">
        <v>40444</v>
      </c>
      <c r="S6786" t="s">
        <v>40676</v>
      </c>
      <c r="T6786" t="s">
        <v>42109</v>
      </c>
      <c r="U6786" t="s">
        <v>48341</v>
      </c>
      <c r="W6786" t="s">
        <v>37180</v>
      </c>
      <c r="X6786" t="s">
        <v>40445</v>
      </c>
    </row>
    <row r="6787" spans="1:24">
      <c r="A6787">
        <f>HYPERLINK("https://www.philgeps.gov.ph/GEPSNONPILOT/Tender/SplashBidNoticeAbstractUI.aspx?menuIndex=3&amp;refID=7038311&amp;Result=3","7038311")</f>
        <v>0</v>
      </c>
      <c r="B6787" t="s">
        <v>2148</v>
      </c>
      <c r="C6787" t="s">
        <v>9538</v>
      </c>
      <c r="D6787" t="s">
        <v>16201</v>
      </c>
      <c r="E6787" t="s">
        <v>16511</v>
      </c>
      <c r="F6787" t="s">
        <v>28198</v>
      </c>
      <c r="G6787" t="s">
        <v>28205</v>
      </c>
      <c r="H6787" t="s">
        <v>28214</v>
      </c>
      <c r="I6787" t="s">
        <v>3797</v>
      </c>
      <c r="J6787" t="s">
        <v>28818</v>
      </c>
      <c r="K6787" t="s">
        <v>36737</v>
      </c>
      <c r="M6787" t="s">
        <v>39305</v>
      </c>
      <c r="N6787" t="s">
        <v>40436</v>
      </c>
      <c r="O6787" t="s">
        <v>40437</v>
      </c>
      <c r="P6787">
        <v>0</v>
      </c>
      <c r="Q6787">
        <v>2</v>
      </c>
      <c r="R6787" t="s">
        <v>40444</v>
      </c>
      <c r="S6787" t="s">
        <v>40676</v>
      </c>
      <c r="T6787" t="s">
        <v>42464</v>
      </c>
      <c r="U6787" t="s">
        <v>48342</v>
      </c>
      <c r="V6787" t="s">
        <v>54486</v>
      </c>
      <c r="W6787" t="s">
        <v>39305</v>
      </c>
      <c r="X6787" t="s">
        <v>40445</v>
      </c>
    </row>
    <row r="6788" spans="1:24">
      <c r="A6788">
        <f>HYPERLINK("https://www.philgeps.gov.ph/GEPSNONPILOT/Tender/SplashBidNoticeAbstractUI.aspx?menuIndex=3&amp;refID=7038265&amp;Result=3","7038265")</f>
        <v>0</v>
      </c>
      <c r="B6788" t="s">
        <v>1151</v>
      </c>
      <c r="C6788" t="s">
        <v>9539</v>
      </c>
      <c r="D6788" t="s">
        <v>16263</v>
      </c>
      <c r="E6788" t="s">
        <v>22281</v>
      </c>
      <c r="F6788" t="s">
        <v>28198</v>
      </c>
      <c r="G6788" t="s">
        <v>28205</v>
      </c>
      <c r="H6788" t="s">
        <v>28214</v>
      </c>
      <c r="I6788" t="s">
        <v>3797</v>
      </c>
      <c r="J6788" t="s">
        <v>32598</v>
      </c>
      <c r="K6788" t="s">
        <v>36825</v>
      </c>
      <c r="M6788" t="s">
        <v>38191</v>
      </c>
      <c r="N6788" t="s">
        <v>40436</v>
      </c>
      <c r="O6788" t="s">
        <v>40437</v>
      </c>
      <c r="P6788">
        <v>0</v>
      </c>
      <c r="Q6788">
        <v>1</v>
      </c>
      <c r="R6788" t="s">
        <v>40444</v>
      </c>
      <c r="S6788" t="s">
        <v>40676</v>
      </c>
      <c r="T6788" t="s">
        <v>42234</v>
      </c>
      <c r="U6788" t="s">
        <v>48343</v>
      </c>
      <c r="V6788" t="s">
        <v>54492</v>
      </c>
      <c r="W6788" t="s">
        <v>38191</v>
      </c>
      <c r="X6788" t="s">
        <v>40445</v>
      </c>
    </row>
    <row r="6789" spans="1:24">
      <c r="A6789">
        <f>HYPERLINK("https://www.philgeps.gov.ph/GEPSNONPILOT/Tender/SplashBidNoticeAbstractUI.aspx?menuIndex=3&amp;refID=7038307&amp;Result=3","7038307")</f>
        <v>0</v>
      </c>
      <c r="B6789" t="s">
        <v>2149</v>
      </c>
      <c r="C6789" t="s">
        <v>9517</v>
      </c>
      <c r="D6789" t="s">
        <v>16228</v>
      </c>
      <c r="E6789" t="s">
        <v>22282</v>
      </c>
      <c r="F6789" t="s">
        <v>28198</v>
      </c>
      <c r="G6789" t="s">
        <v>28205</v>
      </c>
      <c r="H6789" t="s">
        <v>28215</v>
      </c>
      <c r="I6789" t="s">
        <v>28228</v>
      </c>
      <c r="J6789" t="s">
        <v>32599</v>
      </c>
      <c r="K6789" t="s">
        <v>36706</v>
      </c>
      <c r="M6789" t="s">
        <v>39306</v>
      </c>
      <c r="N6789" t="s">
        <v>40436</v>
      </c>
      <c r="O6789" t="s">
        <v>40437</v>
      </c>
      <c r="P6789">
        <v>0</v>
      </c>
      <c r="Q6789">
        <v>0</v>
      </c>
      <c r="R6789" t="s">
        <v>40444</v>
      </c>
      <c r="S6789" t="s">
        <v>40676</v>
      </c>
      <c r="T6789" t="s">
        <v>42134</v>
      </c>
      <c r="U6789" t="s">
        <v>48344</v>
      </c>
      <c r="V6789" t="s">
        <v>54493</v>
      </c>
      <c r="W6789" t="s">
        <v>39306</v>
      </c>
      <c r="X6789" t="s">
        <v>40445</v>
      </c>
    </row>
    <row r="6790" spans="1:24">
      <c r="A6790">
        <f>HYPERLINK("https://www.philgeps.gov.ph/GEPSNONPILOT/Tender/SplashBidNoticeAbstractUI.aspx?menuIndex=3&amp;refID=7038292&amp;Result=3","7038292")</f>
        <v>0</v>
      </c>
      <c r="B6790" t="s">
        <v>74</v>
      </c>
      <c r="C6790" t="s">
        <v>9540</v>
      </c>
      <c r="D6790" t="s">
        <v>16209</v>
      </c>
      <c r="E6790" t="s">
        <v>22283</v>
      </c>
      <c r="F6790" t="s">
        <v>28198</v>
      </c>
      <c r="G6790" t="s">
        <v>28205</v>
      </c>
      <c r="H6790" t="s">
        <v>28215</v>
      </c>
      <c r="I6790" t="s">
        <v>28228</v>
      </c>
      <c r="J6790" t="s">
        <v>29208</v>
      </c>
      <c r="K6790" t="s">
        <v>36701</v>
      </c>
      <c r="M6790" t="s">
        <v>37046</v>
      </c>
      <c r="N6790" t="s">
        <v>40436</v>
      </c>
      <c r="O6790" t="s">
        <v>40437</v>
      </c>
      <c r="P6790">
        <v>0</v>
      </c>
      <c r="Q6790">
        <v>0</v>
      </c>
      <c r="R6790" t="s">
        <v>40444</v>
      </c>
      <c r="S6790" t="s">
        <v>40676</v>
      </c>
      <c r="T6790" t="s">
        <v>42297</v>
      </c>
      <c r="U6790" t="s">
        <v>42710</v>
      </c>
      <c r="V6790" t="s">
        <v>53789</v>
      </c>
      <c r="W6790" t="s">
        <v>37046</v>
      </c>
      <c r="X6790" t="s">
        <v>40445</v>
      </c>
    </row>
    <row r="6791" spans="1:24">
      <c r="A6791">
        <f>HYPERLINK("https://www.philgeps.gov.ph/GEPSNONPILOT/Tender/SplashBidNoticeAbstractUI.aspx?menuIndex=3&amp;refID=7038288&amp;Result=3","7038288")</f>
        <v>0</v>
      </c>
      <c r="B6791" t="s">
        <v>1996</v>
      </c>
      <c r="C6791" t="s">
        <v>9541</v>
      </c>
      <c r="D6791" t="s">
        <v>16261</v>
      </c>
      <c r="E6791" t="s">
        <v>22284</v>
      </c>
      <c r="F6791" t="s">
        <v>28198</v>
      </c>
      <c r="G6791" t="s">
        <v>28205</v>
      </c>
      <c r="H6791" t="s">
        <v>28216</v>
      </c>
      <c r="I6791" t="s">
        <v>28216</v>
      </c>
      <c r="J6791" t="s">
        <v>32600</v>
      </c>
      <c r="K6791" t="s">
        <v>36694</v>
      </c>
      <c r="M6791" t="s">
        <v>39134</v>
      </c>
      <c r="N6791" t="s">
        <v>40436</v>
      </c>
      <c r="O6791" t="s">
        <v>40437</v>
      </c>
      <c r="P6791">
        <v>0</v>
      </c>
      <c r="Q6791">
        <v>3</v>
      </c>
      <c r="R6791" t="s">
        <v>40444</v>
      </c>
      <c r="S6791" t="s">
        <v>40676</v>
      </c>
      <c r="T6791" t="s">
        <v>42158</v>
      </c>
      <c r="U6791" t="s">
        <v>48345</v>
      </c>
      <c r="V6791" t="s">
        <v>54494</v>
      </c>
      <c r="W6791" t="s">
        <v>39134</v>
      </c>
      <c r="X6791" t="s">
        <v>40445</v>
      </c>
    </row>
    <row r="6792" spans="1:24">
      <c r="A6792">
        <f>HYPERLINK("https://www.philgeps.gov.ph/GEPSNONPILOT/Tender/SplashBidNoticeAbstractUI.aspx?menuIndex=3&amp;refID=7038295&amp;Result=3","7038295")</f>
        <v>0</v>
      </c>
      <c r="B6792" t="s">
        <v>204</v>
      </c>
      <c r="C6792" t="s">
        <v>9542</v>
      </c>
      <c r="D6792" t="s">
        <v>16187</v>
      </c>
      <c r="E6792" t="s">
        <v>22285</v>
      </c>
      <c r="F6792" t="s">
        <v>28198</v>
      </c>
      <c r="G6792" t="s">
        <v>28205</v>
      </c>
      <c r="H6792" t="s">
        <v>28214</v>
      </c>
      <c r="I6792" t="s">
        <v>3797</v>
      </c>
      <c r="J6792" t="s">
        <v>32601</v>
      </c>
      <c r="K6792" t="s">
        <v>36694</v>
      </c>
      <c r="M6792" t="s">
        <v>37180</v>
      </c>
      <c r="N6792" t="s">
        <v>40436</v>
      </c>
      <c r="O6792" t="s">
        <v>40437</v>
      </c>
      <c r="P6792">
        <v>0</v>
      </c>
      <c r="Q6792">
        <v>0</v>
      </c>
      <c r="R6792" t="s">
        <v>40444</v>
      </c>
      <c r="S6792" t="s">
        <v>40676</v>
      </c>
      <c r="T6792" t="s">
        <v>42109</v>
      </c>
      <c r="U6792" t="s">
        <v>48346</v>
      </c>
      <c r="W6792" t="s">
        <v>37180</v>
      </c>
      <c r="X6792" t="s">
        <v>40445</v>
      </c>
    </row>
    <row r="6793" spans="1:24">
      <c r="A6793">
        <f>HYPERLINK("https://www.philgeps.gov.ph/GEPSNONPILOT/Tender/SplashBidNoticeAbstractUI.aspx?menuIndex=3&amp;refID=7038315&amp;Result=3","7038315")</f>
        <v>0</v>
      </c>
      <c r="B6793" t="s">
        <v>2133</v>
      </c>
      <c r="C6793" t="s">
        <v>9543</v>
      </c>
      <c r="D6793" t="s">
        <v>16203</v>
      </c>
      <c r="E6793" t="s">
        <v>22286</v>
      </c>
      <c r="F6793" t="s">
        <v>28198</v>
      </c>
      <c r="G6793" t="s">
        <v>28205</v>
      </c>
      <c r="H6793" t="s">
        <v>28215</v>
      </c>
      <c r="I6793" t="s">
        <v>28224</v>
      </c>
      <c r="J6793" t="s">
        <v>28415</v>
      </c>
      <c r="K6793" t="s">
        <v>36701</v>
      </c>
      <c r="M6793" t="s">
        <v>39290</v>
      </c>
      <c r="N6793" t="s">
        <v>40436</v>
      </c>
      <c r="O6793" t="s">
        <v>40437</v>
      </c>
      <c r="P6793">
        <v>0</v>
      </c>
      <c r="Q6793">
        <v>1</v>
      </c>
      <c r="R6793" t="s">
        <v>40444</v>
      </c>
      <c r="S6793" t="s">
        <v>40676</v>
      </c>
      <c r="T6793" t="s">
        <v>42234</v>
      </c>
      <c r="U6793" t="s">
        <v>48347</v>
      </c>
      <c r="W6793" t="s">
        <v>39290</v>
      </c>
      <c r="X6793" t="s">
        <v>40445</v>
      </c>
    </row>
    <row r="6794" spans="1:24">
      <c r="A6794">
        <f>HYPERLINK("https://www.philgeps.gov.ph/GEPSNONPILOT/Tender/SplashBidNoticeAbstractUI.aspx?menuIndex=3&amp;refID=7038308&amp;Result=3","7038308")</f>
        <v>0</v>
      </c>
      <c r="B6794" t="s">
        <v>2156</v>
      </c>
      <c r="C6794" t="s">
        <v>4318</v>
      </c>
      <c r="D6794" t="s">
        <v>16187</v>
      </c>
      <c r="E6794" t="s">
        <v>22287</v>
      </c>
      <c r="F6794" t="s">
        <v>28198</v>
      </c>
      <c r="G6794" t="s">
        <v>28205</v>
      </c>
      <c r="H6794" t="s">
        <v>28215</v>
      </c>
      <c r="I6794" t="s">
        <v>4505</v>
      </c>
      <c r="J6794" t="s">
        <v>32602</v>
      </c>
      <c r="K6794" t="s">
        <v>36688</v>
      </c>
      <c r="M6794" t="s">
        <v>39313</v>
      </c>
      <c r="N6794" t="s">
        <v>40436</v>
      </c>
      <c r="O6794" t="s">
        <v>40437</v>
      </c>
      <c r="P6794">
        <v>0</v>
      </c>
      <c r="Q6794">
        <v>2</v>
      </c>
      <c r="R6794" t="s">
        <v>40444</v>
      </c>
      <c r="S6794" t="s">
        <v>40676</v>
      </c>
      <c r="T6794" t="s">
        <v>42466</v>
      </c>
      <c r="U6794" t="s">
        <v>48348</v>
      </c>
      <c r="W6794" t="s">
        <v>39313</v>
      </c>
      <c r="X6794" t="s">
        <v>40445</v>
      </c>
    </row>
    <row r="6795" spans="1:24">
      <c r="A6795">
        <f>HYPERLINK("https://www.philgeps.gov.ph/GEPSNONPILOT/Tender/SplashBidNoticeAbstractUI.aspx?menuIndex=3&amp;refID=7038291&amp;Result=3","7038291")</f>
        <v>0</v>
      </c>
      <c r="B6795" t="s">
        <v>2133</v>
      </c>
      <c r="C6795" t="s">
        <v>9544</v>
      </c>
      <c r="D6795" t="s">
        <v>16203</v>
      </c>
      <c r="E6795" t="s">
        <v>22288</v>
      </c>
      <c r="F6795" t="s">
        <v>28198</v>
      </c>
      <c r="G6795" t="s">
        <v>28205</v>
      </c>
      <c r="H6795" t="s">
        <v>28214</v>
      </c>
      <c r="I6795" t="s">
        <v>3797</v>
      </c>
      <c r="J6795" t="s">
        <v>28561</v>
      </c>
      <c r="K6795" t="s">
        <v>36694</v>
      </c>
      <c r="M6795" t="s">
        <v>39290</v>
      </c>
      <c r="N6795" t="s">
        <v>40436</v>
      </c>
      <c r="O6795" t="s">
        <v>40437</v>
      </c>
      <c r="P6795">
        <v>0</v>
      </c>
      <c r="Q6795">
        <v>0</v>
      </c>
      <c r="R6795" t="s">
        <v>40444</v>
      </c>
      <c r="S6795" t="s">
        <v>40676</v>
      </c>
      <c r="T6795" t="s">
        <v>42234</v>
      </c>
      <c r="U6795" t="s">
        <v>48349</v>
      </c>
      <c r="W6795" t="s">
        <v>39290</v>
      </c>
      <c r="X6795" t="s">
        <v>40445</v>
      </c>
    </row>
    <row r="6796" spans="1:24">
      <c r="A6796">
        <f>HYPERLINK("https://www.philgeps.gov.ph/GEPSNONPILOT/Tender/SplashBidNoticeAbstractUI.aspx?menuIndex=3&amp;refID=7038323&amp;Result=3","7038323")</f>
        <v>0</v>
      </c>
      <c r="B6796" t="s">
        <v>1461</v>
      </c>
      <c r="C6796" t="s">
        <v>9545</v>
      </c>
      <c r="D6796" t="s">
        <v>16238</v>
      </c>
      <c r="E6796" t="s">
        <v>22289</v>
      </c>
      <c r="F6796" t="s">
        <v>28198</v>
      </c>
      <c r="G6796" t="s">
        <v>28206</v>
      </c>
      <c r="H6796" t="s">
        <v>28215</v>
      </c>
      <c r="I6796" t="s">
        <v>5082</v>
      </c>
      <c r="J6796" t="s">
        <v>32603</v>
      </c>
      <c r="K6796" t="s">
        <v>36687</v>
      </c>
      <c r="M6796" t="s">
        <v>38530</v>
      </c>
      <c r="N6796" t="s">
        <v>40436</v>
      </c>
      <c r="O6796" t="s">
        <v>40437</v>
      </c>
      <c r="P6796">
        <v>0</v>
      </c>
      <c r="Q6796">
        <v>2</v>
      </c>
      <c r="R6796" t="s">
        <v>40444</v>
      </c>
      <c r="S6796" t="s">
        <v>40676</v>
      </c>
      <c r="T6796" t="s">
        <v>42233</v>
      </c>
      <c r="U6796" t="s">
        <v>48350</v>
      </c>
      <c r="W6796" t="s">
        <v>38530</v>
      </c>
      <c r="X6796" t="s">
        <v>40445</v>
      </c>
    </row>
    <row r="6797" spans="1:24">
      <c r="A6797">
        <f>HYPERLINK("https://www.philgeps.gov.ph/GEPSNONPILOT/Tender/SplashBidNoticeAbstractUI.aspx?menuIndex=3&amp;refID=7038309&amp;Result=3","7038309")</f>
        <v>0</v>
      </c>
      <c r="B6797" t="s">
        <v>2157</v>
      </c>
      <c r="C6797" t="s">
        <v>9546</v>
      </c>
      <c r="D6797" t="s">
        <v>16204</v>
      </c>
      <c r="E6797" t="s">
        <v>22290</v>
      </c>
      <c r="F6797" t="s">
        <v>28198</v>
      </c>
      <c r="G6797" t="s">
        <v>28205</v>
      </c>
      <c r="H6797" t="s">
        <v>28214</v>
      </c>
      <c r="I6797" t="s">
        <v>3797</v>
      </c>
      <c r="J6797" t="s">
        <v>32604</v>
      </c>
      <c r="K6797" t="s">
        <v>36851</v>
      </c>
      <c r="M6797" t="s">
        <v>39314</v>
      </c>
      <c r="N6797" t="s">
        <v>40436</v>
      </c>
      <c r="O6797" t="s">
        <v>40437</v>
      </c>
      <c r="P6797">
        <v>0</v>
      </c>
      <c r="Q6797">
        <v>19</v>
      </c>
      <c r="R6797" t="s">
        <v>40444</v>
      </c>
      <c r="S6797" t="s">
        <v>40676</v>
      </c>
      <c r="T6797" t="s">
        <v>42121</v>
      </c>
      <c r="U6797" t="s">
        <v>48351</v>
      </c>
      <c r="V6797" t="s">
        <v>54495</v>
      </c>
      <c r="W6797" t="s">
        <v>39314</v>
      </c>
      <c r="X6797" t="s">
        <v>40445</v>
      </c>
    </row>
    <row r="6798" spans="1:24">
      <c r="A6798">
        <f>HYPERLINK("https://www.philgeps.gov.ph/GEPSNONPILOT/Tender/SplashBidNoticeAbstractUI.aspx?menuIndex=3&amp;refID=7038289&amp;Result=3","7038289")</f>
        <v>0</v>
      </c>
      <c r="B6798" t="s">
        <v>1727</v>
      </c>
      <c r="C6798" t="s">
        <v>9547</v>
      </c>
      <c r="D6798" t="s">
        <v>16203</v>
      </c>
      <c r="E6798" t="s">
        <v>22291</v>
      </c>
      <c r="F6798" t="s">
        <v>28198</v>
      </c>
      <c r="G6798" t="s">
        <v>28205</v>
      </c>
      <c r="H6798" t="s">
        <v>28214</v>
      </c>
      <c r="I6798" t="s">
        <v>3797</v>
      </c>
      <c r="J6798" t="s">
        <v>32605</v>
      </c>
      <c r="K6798" t="s">
        <v>36717</v>
      </c>
      <c r="M6798" t="s">
        <v>38836</v>
      </c>
      <c r="N6798" t="s">
        <v>40436</v>
      </c>
      <c r="O6798" t="s">
        <v>40437</v>
      </c>
      <c r="P6798">
        <v>0</v>
      </c>
      <c r="Q6798">
        <v>1</v>
      </c>
      <c r="R6798" t="s">
        <v>40444</v>
      </c>
      <c r="S6798" t="s">
        <v>40676</v>
      </c>
      <c r="T6798" t="s">
        <v>42467</v>
      </c>
      <c r="U6798" t="s">
        <v>48352</v>
      </c>
      <c r="W6798" t="s">
        <v>38836</v>
      </c>
      <c r="X6798" t="s">
        <v>40445</v>
      </c>
    </row>
    <row r="6799" spans="1:24">
      <c r="A6799">
        <f>HYPERLINK("https://www.philgeps.gov.ph/GEPSNONPILOT/Tender/SplashBidNoticeAbstractUI.aspx?menuIndex=3&amp;refID=7038330&amp;Result=3","7038330")</f>
        <v>0</v>
      </c>
      <c r="B6799" t="s">
        <v>2158</v>
      </c>
      <c r="C6799" t="s">
        <v>9548</v>
      </c>
      <c r="D6799" t="s">
        <v>16193</v>
      </c>
      <c r="E6799" t="s">
        <v>22292</v>
      </c>
      <c r="F6799" t="s">
        <v>28198</v>
      </c>
      <c r="G6799" t="s">
        <v>28205</v>
      </c>
      <c r="H6799" t="s">
        <v>28214</v>
      </c>
      <c r="I6799" t="s">
        <v>3797</v>
      </c>
      <c r="J6799" t="s">
        <v>28561</v>
      </c>
      <c r="K6799" t="s">
        <v>36687</v>
      </c>
      <c r="M6799" t="s">
        <v>39315</v>
      </c>
      <c r="N6799" t="s">
        <v>40436</v>
      </c>
      <c r="O6799" t="s">
        <v>40437</v>
      </c>
      <c r="P6799">
        <v>0</v>
      </c>
      <c r="Q6799">
        <v>0</v>
      </c>
      <c r="R6799" t="s">
        <v>40444</v>
      </c>
      <c r="S6799" t="s">
        <v>40676</v>
      </c>
      <c r="T6799" t="s">
        <v>42184</v>
      </c>
      <c r="U6799" t="s">
        <v>48353</v>
      </c>
      <c r="W6799" t="s">
        <v>39315</v>
      </c>
      <c r="X6799" t="s">
        <v>40445</v>
      </c>
    </row>
    <row r="6800" spans="1:24">
      <c r="A6800">
        <f>HYPERLINK("https://www.philgeps.gov.ph/GEPSNONPILOT/Tender/SplashBidNoticeAbstractUI.aspx?menuIndex=3&amp;refID=7038318&amp;Result=3","7038318")</f>
        <v>0</v>
      </c>
      <c r="B6800" t="s">
        <v>164</v>
      </c>
      <c r="C6800" t="s">
        <v>9549</v>
      </c>
      <c r="D6800" t="s">
        <v>16213</v>
      </c>
      <c r="E6800" t="s">
        <v>22293</v>
      </c>
      <c r="F6800" t="s">
        <v>28198</v>
      </c>
      <c r="G6800" t="s">
        <v>28205</v>
      </c>
      <c r="H6800" t="s">
        <v>28214</v>
      </c>
      <c r="I6800" t="s">
        <v>3797</v>
      </c>
      <c r="J6800" t="s">
        <v>32606</v>
      </c>
      <c r="K6800" t="s">
        <v>36778</v>
      </c>
      <c r="M6800" t="s">
        <v>37138</v>
      </c>
      <c r="N6800" t="s">
        <v>40436</v>
      </c>
      <c r="O6800" t="s">
        <v>40437</v>
      </c>
      <c r="P6800">
        <v>0</v>
      </c>
      <c r="Q6800">
        <v>0</v>
      </c>
      <c r="R6800" t="s">
        <v>40444</v>
      </c>
      <c r="S6800" t="s">
        <v>40676</v>
      </c>
      <c r="T6800" t="s">
        <v>42183</v>
      </c>
      <c r="U6800" t="s">
        <v>42891</v>
      </c>
      <c r="W6800" t="s">
        <v>37138</v>
      </c>
      <c r="X6800" t="s">
        <v>40445</v>
      </c>
    </row>
    <row r="6801" spans="1:24">
      <c r="A6801">
        <f>HYPERLINK("https://www.philgeps.gov.ph/GEPSNONPILOT/Tender/SplashBidNoticeAbstractUI.aspx?menuIndex=3&amp;refID=7038324&amp;Result=3","7038324")</f>
        <v>0</v>
      </c>
      <c r="B6801" t="s">
        <v>2159</v>
      </c>
      <c r="C6801" t="s">
        <v>9550</v>
      </c>
      <c r="D6801" t="s">
        <v>16235</v>
      </c>
      <c r="E6801" t="s">
        <v>22294</v>
      </c>
      <c r="F6801" t="s">
        <v>28198</v>
      </c>
      <c r="G6801" t="s">
        <v>28207</v>
      </c>
      <c r="H6801" t="s">
        <v>28215</v>
      </c>
      <c r="I6801" t="s">
        <v>28331</v>
      </c>
      <c r="J6801" t="s">
        <v>32607</v>
      </c>
      <c r="K6801" t="s">
        <v>36687</v>
      </c>
      <c r="M6801" t="s">
        <v>39316</v>
      </c>
      <c r="N6801" t="s">
        <v>40436</v>
      </c>
      <c r="O6801" t="s">
        <v>40437</v>
      </c>
      <c r="P6801">
        <v>0</v>
      </c>
      <c r="Q6801">
        <v>0</v>
      </c>
      <c r="R6801" t="s">
        <v>40444</v>
      </c>
      <c r="S6801" t="s">
        <v>40676</v>
      </c>
      <c r="T6801" t="s">
        <v>42184</v>
      </c>
      <c r="U6801" t="s">
        <v>48354</v>
      </c>
      <c r="W6801" t="s">
        <v>39316</v>
      </c>
      <c r="X6801" t="s">
        <v>40445</v>
      </c>
    </row>
    <row r="6802" spans="1:24">
      <c r="A6802">
        <f>HYPERLINK("https://www.philgeps.gov.ph/GEPSNONPILOT/Tender/SplashBidNoticeAbstractUI.aspx?menuIndex=3&amp;refID=7038329&amp;Result=3","7038329")</f>
        <v>0</v>
      </c>
      <c r="B6802" t="s">
        <v>2149</v>
      </c>
      <c r="C6802" t="s">
        <v>9551</v>
      </c>
      <c r="D6802" t="s">
        <v>16228</v>
      </c>
      <c r="E6802" t="s">
        <v>22295</v>
      </c>
      <c r="F6802" t="s">
        <v>28198</v>
      </c>
      <c r="G6802" t="s">
        <v>28205</v>
      </c>
      <c r="H6802" t="s">
        <v>28215</v>
      </c>
      <c r="I6802" t="s">
        <v>28234</v>
      </c>
      <c r="J6802" t="s">
        <v>28772</v>
      </c>
      <c r="K6802" t="s">
        <v>36706</v>
      </c>
      <c r="M6802" t="s">
        <v>39306</v>
      </c>
      <c r="N6802" t="s">
        <v>40436</v>
      </c>
      <c r="O6802" t="s">
        <v>40437</v>
      </c>
      <c r="P6802">
        <v>0</v>
      </c>
      <c r="Q6802">
        <v>0</v>
      </c>
      <c r="R6802" t="s">
        <v>40444</v>
      </c>
      <c r="S6802" t="s">
        <v>40676</v>
      </c>
      <c r="T6802" t="s">
        <v>42134</v>
      </c>
      <c r="U6802" t="s">
        <v>48355</v>
      </c>
      <c r="V6802" t="s">
        <v>54496</v>
      </c>
      <c r="W6802" t="s">
        <v>39306</v>
      </c>
      <c r="X6802" t="s">
        <v>40445</v>
      </c>
    </row>
    <row r="6803" spans="1:24">
      <c r="A6803">
        <f>HYPERLINK("https://www.philgeps.gov.ph/GEPSNONPILOT/Tender/SplashBidNoticeAbstractUI.aspx?menuIndex=3&amp;refID=7038317&amp;Result=3","7038317")</f>
        <v>0</v>
      </c>
      <c r="B6803" t="s">
        <v>2160</v>
      </c>
      <c r="C6803" t="s">
        <v>9552</v>
      </c>
      <c r="E6803" t="s">
        <v>22296</v>
      </c>
      <c r="F6803" t="s">
        <v>28198</v>
      </c>
      <c r="G6803" t="s">
        <v>28205</v>
      </c>
      <c r="H6803" t="s">
        <v>28215</v>
      </c>
      <c r="I6803" t="s">
        <v>5100</v>
      </c>
      <c r="J6803" t="s">
        <v>32608</v>
      </c>
      <c r="K6803" t="s">
        <v>36689</v>
      </c>
      <c r="M6803" t="s">
        <v>39317</v>
      </c>
      <c r="N6803" t="s">
        <v>40436</v>
      </c>
      <c r="O6803" t="s">
        <v>40437</v>
      </c>
      <c r="P6803">
        <v>0</v>
      </c>
      <c r="Q6803">
        <v>0</v>
      </c>
      <c r="R6803" t="s">
        <v>40444</v>
      </c>
      <c r="S6803" t="s">
        <v>40676</v>
      </c>
      <c r="T6803" t="s">
        <v>42468</v>
      </c>
      <c r="U6803" t="s">
        <v>48356</v>
      </c>
      <c r="W6803" t="s">
        <v>39317</v>
      </c>
      <c r="X6803" t="s">
        <v>40445</v>
      </c>
    </row>
    <row r="6804" spans="1:24">
      <c r="A6804">
        <f>HYPERLINK("https://www.philgeps.gov.ph/GEPSNONPILOT/Tender/SplashBidNoticeAbstractUI.aspx?menuIndex=3&amp;refID=7038331&amp;Result=3","7038331")</f>
        <v>0</v>
      </c>
      <c r="B6804" t="s">
        <v>2161</v>
      </c>
      <c r="C6804" t="s">
        <v>9553</v>
      </c>
      <c r="D6804" t="s">
        <v>16209</v>
      </c>
      <c r="E6804" t="s">
        <v>22297</v>
      </c>
      <c r="F6804" t="s">
        <v>28198</v>
      </c>
      <c r="G6804" t="s">
        <v>28205</v>
      </c>
      <c r="H6804" t="s">
        <v>28215</v>
      </c>
      <c r="I6804" t="s">
        <v>28222</v>
      </c>
      <c r="J6804" t="s">
        <v>28393</v>
      </c>
      <c r="K6804" t="s">
        <v>36694</v>
      </c>
      <c r="M6804" t="s">
        <v>39318</v>
      </c>
      <c r="N6804" t="s">
        <v>40436</v>
      </c>
      <c r="O6804" t="s">
        <v>40437</v>
      </c>
      <c r="P6804">
        <v>0</v>
      </c>
      <c r="Q6804">
        <v>1</v>
      </c>
      <c r="R6804" t="s">
        <v>40444</v>
      </c>
      <c r="S6804" t="s">
        <v>40676</v>
      </c>
      <c r="T6804" t="s">
        <v>42469</v>
      </c>
      <c r="U6804" t="s">
        <v>48357</v>
      </c>
      <c r="W6804" t="s">
        <v>39318</v>
      </c>
      <c r="X6804" t="s">
        <v>40445</v>
      </c>
    </row>
    <row r="6805" spans="1:24">
      <c r="A6805">
        <f>HYPERLINK("https://www.philgeps.gov.ph/GEPSNONPILOT/Tender/SplashBidNoticeAbstractUI.aspx?menuIndex=3&amp;refID=7038287&amp;Result=3","7038287")</f>
        <v>0</v>
      </c>
      <c r="B6805" t="s">
        <v>1681</v>
      </c>
      <c r="C6805" t="s">
        <v>9554</v>
      </c>
      <c r="D6805" t="s">
        <v>16199</v>
      </c>
      <c r="E6805" t="s">
        <v>22298</v>
      </c>
      <c r="F6805" t="s">
        <v>28200</v>
      </c>
      <c r="G6805" t="s">
        <v>28205</v>
      </c>
      <c r="H6805" t="s">
        <v>28215</v>
      </c>
      <c r="I6805" t="s">
        <v>5100</v>
      </c>
      <c r="J6805" t="s">
        <v>28691</v>
      </c>
      <c r="K6805" t="s">
        <v>36691</v>
      </c>
      <c r="M6805" t="s">
        <v>38777</v>
      </c>
      <c r="N6805" t="s">
        <v>40436</v>
      </c>
      <c r="O6805" t="s">
        <v>40437</v>
      </c>
      <c r="P6805">
        <v>0</v>
      </c>
      <c r="Q6805">
        <v>1</v>
      </c>
      <c r="R6805" t="s">
        <v>40444</v>
      </c>
      <c r="S6805" t="s">
        <v>40676</v>
      </c>
      <c r="T6805" t="s">
        <v>42188</v>
      </c>
      <c r="U6805" t="s">
        <v>48358</v>
      </c>
      <c r="W6805" t="s">
        <v>38777</v>
      </c>
      <c r="X6805" t="s">
        <v>40445</v>
      </c>
    </row>
    <row r="6806" spans="1:24">
      <c r="A6806">
        <f>HYPERLINK("https://www.philgeps.gov.ph/GEPSNONPILOT/Tender/SplashBidNoticeAbstractUI.aspx?menuIndex=3&amp;refID=7038336&amp;Result=3","7038336")</f>
        <v>0</v>
      </c>
      <c r="B6806" t="s">
        <v>1431</v>
      </c>
      <c r="C6806" t="s">
        <v>9555</v>
      </c>
      <c r="D6806" t="s">
        <v>16209</v>
      </c>
      <c r="E6806" t="s">
        <v>22299</v>
      </c>
      <c r="F6806" t="s">
        <v>28198</v>
      </c>
      <c r="G6806" t="s">
        <v>28205</v>
      </c>
      <c r="H6806" t="s">
        <v>28215</v>
      </c>
      <c r="I6806" t="s">
        <v>28228</v>
      </c>
      <c r="J6806" t="s">
        <v>32609</v>
      </c>
      <c r="K6806" t="s">
        <v>36697</v>
      </c>
      <c r="M6806" t="s">
        <v>38498</v>
      </c>
      <c r="N6806" t="s">
        <v>40436</v>
      </c>
      <c r="O6806" t="s">
        <v>40437</v>
      </c>
      <c r="P6806">
        <v>0</v>
      </c>
      <c r="Q6806">
        <v>0</v>
      </c>
      <c r="R6806" t="s">
        <v>40444</v>
      </c>
      <c r="S6806" t="s">
        <v>40676</v>
      </c>
      <c r="T6806" t="s">
        <v>42158</v>
      </c>
      <c r="U6806" t="s">
        <v>48359</v>
      </c>
      <c r="V6806" t="s">
        <v>54497</v>
      </c>
      <c r="W6806" t="s">
        <v>38498</v>
      </c>
      <c r="X6806" t="s">
        <v>40445</v>
      </c>
    </row>
    <row r="6807" spans="1:24">
      <c r="A6807">
        <f>HYPERLINK("https://www.philgeps.gov.ph/GEPSNONPILOT/Tender/SplashBidNoticeAbstractUI.aspx?menuIndex=3&amp;refID=7038350&amp;Result=3","7038350")</f>
        <v>0</v>
      </c>
      <c r="B6807" t="s">
        <v>1461</v>
      </c>
      <c r="C6807" t="s">
        <v>9556</v>
      </c>
      <c r="D6807" t="s">
        <v>16238</v>
      </c>
      <c r="E6807" t="s">
        <v>22300</v>
      </c>
      <c r="F6807" t="s">
        <v>28198</v>
      </c>
      <c r="G6807" t="s">
        <v>28206</v>
      </c>
      <c r="H6807" t="s">
        <v>28215</v>
      </c>
      <c r="I6807" t="s">
        <v>5082</v>
      </c>
      <c r="J6807" t="s">
        <v>32610</v>
      </c>
      <c r="K6807" t="s">
        <v>36687</v>
      </c>
      <c r="M6807" t="s">
        <v>38530</v>
      </c>
      <c r="N6807" t="s">
        <v>40436</v>
      </c>
      <c r="O6807" t="s">
        <v>40437</v>
      </c>
      <c r="P6807">
        <v>0</v>
      </c>
      <c r="Q6807">
        <v>4</v>
      </c>
      <c r="R6807" t="s">
        <v>40444</v>
      </c>
      <c r="S6807" t="s">
        <v>40676</v>
      </c>
      <c r="T6807" t="s">
        <v>42233</v>
      </c>
      <c r="U6807" t="s">
        <v>48360</v>
      </c>
      <c r="W6807" t="s">
        <v>38530</v>
      </c>
      <c r="X6807" t="s">
        <v>40445</v>
      </c>
    </row>
    <row r="6808" spans="1:24">
      <c r="A6808">
        <f>HYPERLINK("https://www.philgeps.gov.ph/GEPSNONPILOT/Tender/SplashBidNoticeAbstractUI.aspx?menuIndex=3&amp;refID=7038355&amp;Result=3","7038355")</f>
        <v>0</v>
      </c>
      <c r="B6808" t="s">
        <v>204</v>
      </c>
      <c r="C6808" t="s">
        <v>9557</v>
      </c>
      <c r="D6808" t="s">
        <v>16187</v>
      </c>
      <c r="E6808" t="s">
        <v>22301</v>
      </c>
      <c r="F6808" t="s">
        <v>28198</v>
      </c>
      <c r="G6808" t="s">
        <v>28205</v>
      </c>
      <c r="H6808" t="s">
        <v>28214</v>
      </c>
      <c r="I6808" t="s">
        <v>3797</v>
      </c>
      <c r="J6808" t="s">
        <v>32611</v>
      </c>
      <c r="K6808" t="s">
        <v>36694</v>
      </c>
      <c r="M6808" t="s">
        <v>37180</v>
      </c>
      <c r="N6808" t="s">
        <v>40436</v>
      </c>
      <c r="O6808" t="s">
        <v>40437</v>
      </c>
      <c r="P6808">
        <v>0</v>
      </c>
      <c r="Q6808">
        <v>0</v>
      </c>
      <c r="R6808" t="s">
        <v>40444</v>
      </c>
      <c r="S6808" t="s">
        <v>40676</v>
      </c>
      <c r="T6808" t="s">
        <v>42109</v>
      </c>
      <c r="U6808" t="s">
        <v>48361</v>
      </c>
      <c r="W6808" t="s">
        <v>37180</v>
      </c>
      <c r="X6808" t="s">
        <v>40445</v>
      </c>
    </row>
    <row r="6809" spans="1:24">
      <c r="A6809">
        <f>HYPERLINK("https://www.philgeps.gov.ph/GEPSNONPILOT/Tender/SplashBidNoticeAbstractUI.aspx?menuIndex=3&amp;refID=7038332&amp;Result=3","7038332")</f>
        <v>0</v>
      </c>
      <c r="B6809" t="s">
        <v>1214</v>
      </c>
      <c r="C6809" t="s">
        <v>9558</v>
      </c>
      <c r="D6809" t="s">
        <v>16187</v>
      </c>
      <c r="E6809" t="s">
        <v>22302</v>
      </c>
      <c r="F6809" t="s">
        <v>28198</v>
      </c>
      <c r="G6809" t="s">
        <v>28205</v>
      </c>
      <c r="H6809" t="s">
        <v>28214</v>
      </c>
      <c r="I6809" t="s">
        <v>3797</v>
      </c>
      <c r="J6809" t="s">
        <v>32612</v>
      </c>
      <c r="K6809" t="s">
        <v>36715</v>
      </c>
      <c r="M6809" t="s">
        <v>38259</v>
      </c>
      <c r="N6809" t="s">
        <v>40436</v>
      </c>
      <c r="O6809" t="s">
        <v>40437</v>
      </c>
      <c r="P6809">
        <v>0</v>
      </c>
      <c r="Q6809">
        <v>0</v>
      </c>
      <c r="R6809" t="s">
        <v>40444</v>
      </c>
      <c r="S6809" t="s">
        <v>40676</v>
      </c>
      <c r="T6809" t="s">
        <v>42175</v>
      </c>
      <c r="U6809" t="s">
        <v>48362</v>
      </c>
      <c r="W6809" t="s">
        <v>38259</v>
      </c>
      <c r="X6809" t="s">
        <v>40445</v>
      </c>
    </row>
    <row r="6810" spans="1:24">
      <c r="A6810">
        <f>HYPERLINK("https://www.philgeps.gov.ph/GEPSNONPILOT/Tender/SplashBidNoticeAbstractUI.aspx?menuIndex=3&amp;refID=7038382&amp;Result=3","7038382")</f>
        <v>0</v>
      </c>
      <c r="B6810" t="s">
        <v>2162</v>
      </c>
      <c r="C6810" t="s">
        <v>9559</v>
      </c>
      <c r="D6810" t="s">
        <v>16210</v>
      </c>
      <c r="E6810" t="s">
        <v>22303</v>
      </c>
      <c r="F6810" t="s">
        <v>28198</v>
      </c>
      <c r="G6810" t="s">
        <v>28205</v>
      </c>
      <c r="H6810" t="s">
        <v>28215</v>
      </c>
      <c r="I6810" t="s">
        <v>28255</v>
      </c>
      <c r="J6810" t="s">
        <v>28589</v>
      </c>
      <c r="K6810" t="s">
        <v>36689</v>
      </c>
      <c r="M6810" t="s">
        <v>39319</v>
      </c>
      <c r="N6810" t="s">
        <v>40436</v>
      </c>
      <c r="O6810" t="s">
        <v>40437</v>
      </c>
      <c r="P6810">
        <v>0</v>
      </c>
      <c r="Q6810">
        <v>0</v>
      </c>
      <c r="R6810" t="s">
        <v>40444</v>
      </c>
      <c r="S6810" t="s">
        <v>40676</v>
      </c>
      <c r="T6810" t="s">
        <v>42245</v>
      </c>
      <c r="U6810" t="s">
        <v>48363</v>
      </c>
      <c r="W6810" t="s">
        <v>39319</v>
      </c>
      <c r="X6810" t="s">
        <v>40445</v>
      </c>
    </row>
    <row r="6811" spans="1:24">
      <c r="A6811">
        <f>HYPERLINK("https://www.philgeps.gov.ph/GEPSNONPILOT/Tender/SplashBidNoticeAbstractUI.aspx?menuIndex=3&amp;refID=7038354&amp;Result=3","7038354")</f>
        <v>0</v>
      </c>
      <c r="B6811" t="s">
        <v>2163</v>
      </c>
      <c r="C6811" t="s">
        <v>9560</v>
      </c>
      <c r="D6811" t="s">
        <v>16213</v>
      </c>
      <c r="E6811" t="s">
        <v>9560</v>
      </c>
      <c r="F6811" t="s">
        <v>28198</v>
      </c>
      <c r="G6811" t="s">
        <v>28205</v>
      </c>
      <c r="H6811" t="s">
        <v>28214</v>
      </c>
      <c r="I6811" t="s">
        <v>3797</v>
      </c>
      <c r="J6811" t="s">
        <v>32613</v>
      </c>
      <c r="K6811" t="s">
        <v>36733</v>
      </c>
      <c r="M6811" t="s">
        <v>39320</v>
      </c>
      <c r="N6811" t="s">
        <v>40436</v>
      </c>
      <c r="O6811" t="s">
        <v>40437</v>
      </c>
      <c r="P6811">
        <v>0</v>
      </c>
      <c r="Q6811">
        <v>0</v>
      </c>
      <c r="R6811" t="s">
        <v>40444</v>
      </c>
      <c r="S6811" t="s">
        <v>40676</v>
      </c>
      <c r="T6811" t="s">
        <v>42165</v>
      </c>
      <c r="U6811" t="s">
        <v>48364</v>
      </c>
      <c r="W6811" t="s">
        <v>39320</v>
      </c>
      <c r="X6811" t="s">
        <v>40445</v>
      </c>
    </row>
    <row r="6812" spans="1:24">
      <c r="A6812">
        <f>HYPERLINK("https://www.philgeps.gov.ph/GEPSNONPILOT/Tender/SplashBidNoticeAbstractUI.aspx?menuIndex=3&amp;refID=7038335&amp;Result=3","7038335")</f>
        <v>0</v>
      </c>
      <c r="B6812" t="s">
        <v>204</v>
      </c>
      <c r="C6812" t="s">
        <v>9561</v>
      </c>
      <c r="D6812" t="s">
        <v>16187</v>
      </c>
      <c r="E6812" t="s">
        <v>22304</v>
      </c>
      <c r="F6812" t="s">
        <v>28198</v>
      </c>
      <c r="G6812" t="s">
        <v>28205</v>
      </c>
      <c r="H6812" t="s">
        <v>28214</v>
      </c>
      <c r="I6812" t="s">
        <v>3797</v>
      </c>
      <c r="J6812" t="s">
        <v>32614</v>
      </c>
      <c r="K6812" t="s">
        <v>36692</v>
      </c>
      <c r="M6812" t="s">
        <v>37180</v>
      </c>
      <c r="N6812" t="s">
        <v>40436</v>
      </c>
      <c r="O6812" t="s">
        <v>40437</v>
      </c>
      <c r="P6812">
        <v>0</v>
      </c>
      <c r="Q6812">
        <v>1</v>
      </c>
      <c r="R6812" t="s">
        <v>40444</v>
      </c>
      <c r="S6812" t="s">
        <v>40676</v>
      </c>
      <c r="T6812" t="s">
        <v>42109</v>
      </c>
      <c r="U6812" t="s">
        <v>48365</v>
      </c>
      <c r="W6812" t="s">
        <v>37180</v>
      </c>
      <c r="X6812" t="s">
        <v>40445</v>
      </c>
    </row>
    <row r="6813" spans="1:24">
      <c r="A6813">
        <f>HYPERLINK("https://www.philgeps.gov.ph/GEPSNONPILOT/Tender/SplashBidNoticeAbstractUI.aspx?menuIndex=3&amp;refID=7038383&amp;Result=3","7038383")</f>
        <v>0</v>
      </c>
      <c r="B6813" t="s">
        <v>2164</v>
      </c>
      <c r="C6813" t="s">
        <v>4168</v>
      </c>
      <c r="D6813" t="s">
        <v>16265</v>
      </c>
      <c r="E6813" t="s">
        <v>22305</v>
      </c>
      <c r="F6813" t="s">
        <v>28198</v>
      </c>
      <c r="G6813" t="s">
        <v>28207</v>
      </c>
      <c r="H6813" t="s">
        <v>28215</v>
      </c>
      <c r="I6813" t="s">
        <v>4168</v>
      </c>
      <c r="J6813" t="s">
        <v>28967</v>
      </c>
      <c r="K6813" t="s">
        <v>36707</v>
      </c>
      <c r="L6813" t="s">
        <v>2164</v>
      </c>
      <c r="M6813" t="s">
        <v>39321</v>
      </c>
      <c r="N6813" t="s">
        <v>40436</v>
      </c>
      <c r="O6813" t="s">
        <v>40437</v>
      </c>
      <c r="P6813">
        <v>0</v>
      </c>
      <c r="Q6813">
        <v>0</v>
      </c>
      <c r="R6813" t="s">
        <v>40444</v>
      </c>
      <c r="S6813" t="s">
        <v>40676</v>
      </c>
      <c r="T6813" t="s">
        <v>42184</v>
      </c>
      <c r="U6813" t="s">
        <v>48366</v>
      </c>
      <c r="W6813" t="s">
        <v>39321</v>
      </c>
      <c r="X6813" t="s">
        <v>40445</v>
      </c>
    </row>
    <row r="6814" spans="1:24">
      <c r="A6814">
        <f>HYPERLINK("https://www.philgeps.gov.ph/GEPSNONPILOT/Tender/SplashBidNoticeAbstractUI.aspx?menuIndex=3&amp;refID=7038379&amp;Result=3","7038379")</f>
        <v>0</v>
      </c>
      <c r="B6814" t="s">
        <v>2165</v>
      </c>
      <c r="C6814" t="s">
        <v>9562</v>
      </c>
      <c r="D6814" t="s">
        <v>16210</v>
      </c>
      <c r="E6814" t="s">
        <v>22306</v>
      </c>
      <c r="F6814" t="s">
        <v>28198</v>
      </c>
      <c r="G6814" t="s">
        <v>28207</v>
      </c>
      <c r="H6814" t="s">
        <v>28215</v>
      </c>
      <c r="I6814" t="s">
        <v>28300</v>
      </c>
      <c r="J6814" t="s">
        <v>29531</v>
      </c>
      <c r="K6814" t="s">
        <v>36694</v>
      </c>
      <c r="M6814" t="s">
        <v>39322</v>
      </c>
      <c r="N6814" t="s">
        <v>40436</v>
      </c>
      <c r="O6814" t="s">
        <v>40437</v>
      </c>
      <c r="P6814">
        <v>0</v>
      </c>
      <c r="Q6814">
        <v>4</v>
      </c>
      <c r="R6814" t="s">
        <v>40444</v>
      </c>
      <c r="S6814" t="s">
        <v>40676</v>
      </c>
      <c r="T6814" t="s">
        <v>42185</v>
      </c>
      <c r="U6814" t="s">
        <v>48367</v>
      </c>
      <c r="W6814" t="s">
        <v>39322</v>
      </c>
      <c r="X6814" t="s">
        <v>40445</v>
      </c>
    </row>
    <row r="6815" spans="1:24">
      <c r="A6815">
        <f>HYPERLINK("https://www.philgeps.gov.ph/GEPSNONPILOT/Tender/SplashBidNoticeAbstractUI.aspx?menuIndex=3&amp;refID=7038342&amp;Result=3","7038342")</f>
        <v>0</v>
      </c>
      <c r="B6815" t="s">
        <v>1533</v>
      </c>
      <c r="C6815" t="s">
        <v>9563</v>
      </c>
      <c r="D6815" t="s">
        <v>16236</v>
      </c>
      <c r="E6815" t="s">
        <v>22307</v>
      </c>
      <c r="F6815" t="s">
        <v>28198</v>
      </c>
      <c r="G6815" t="s">
        <v>28205</v>
      </c>
      <c r="H6815" t="s">
        <v>28215</v>
      </c>
      <c r="I6815" t="s">
        <v>4219</v>
      </c>
      <c r="J6815" t="s">
        <v>32615</v>
      </c>
      <c r="K6815" t="s">
        <v>36687</v>
      </c>
      <c r="M6815" t="s">
        <v>38611</v>
      </c>
      <c r="N6815" t="s">
        <v>40436</v>
      </c>
      <c r="O6815" t="s">
        <v>40437</v>
      </c>
      <c r="P6815">
        <v>0</v>
      </c>
      <c r="Q6815">
        <v>1</v>
      </c>
      <c r="R6815" t="s">
        <v>40444</v>
      </c>
      <c r="S6815" t="s">
        <v>40676</v>
      </c>
      <c r="T6815" t="s">
        <v>42232</v>
      </c>
      <c r="U6815" t="s">
        <v>48368</v>
      </c>
      <c r="V6815" t="s">
        <v>54376</v>
      </c>
      <c r="W6815" t="s">
        <v>38611</v>
      </c>
      <c r="X6815" t="s">
        <v>40445</v>
      </c>
    </row>
    <row r="6816" spans="1:24">
      <c r="A6816">
        <f>HYPERLINK("https://www.philgeps.gov.ph/GEPSNONPILOT/Tender/SplashBidNoticeAbstractUI.aspx?menuIndex=3&amp;refID=7038343&amp;Result=3","7038343")</f>
        <v>0</v>
      </c>
      <c r="B6816" t="s">
        <v>1311</v>
      </c>
      <c r="C6816" t="s">
        <v>6474</v>
      </c>
      <c r="D6816" t="s">
        <v>16188</v>
      </c>
      <c r="E6816" t="s">
        <v>17572</v>
      </c>
      <c r="F6816" t="s">
        <v>28198</v>
      </c>
      <c r="G6816" t="s">
        <v>28206</v>
      </c>
      <c r="H6816" t="s">
        <v>28215</v>
      </c>
      <c r="I6816" t="s">
        <v>5082</v>
      </c>
      <c r="J6816" t="s">
        <v>32616</v>
      </c>
      <c r="K6816" t="s">
        <v>36693</v>
      </c>
      <c r="M6816" t="s">
        <v>38365</v>
      </c>
      <c r="N6816" t="s">
        <v>40436</v>
      </c>
      <c r="O6816" t="s">
        <v>40437</v>
      </c>
      <c r="P6816">
        <v>0</v>
      </c>
      <c r="Q6816">
        <v>1</v>
      </c>
      <c r="R6816" t="s">
        <v>40444</v>
      </c>
      <c r="S6816" t="s">
        <v>40676</v>
      </c>
      <c r="T6816" t="s">
        <v>42468</v>
      </c>
      <c r="U6816" t="s">
        <v>48369</v>
      </c>
      <c r="V6816" t="s">
        <v>54133</v>
      </c>
      <c r="W6816" t="s">
        <v>38365</v>
      </c>
      <c r="X6816" t="s">
        <v>40445</v>
      </c>
    </row>
    <row r="6817" spans="1:24">
      <c r="A6817">
        <f>HYPERLINK("https://www.philgeps.gov.ph/GEPSNONPILOT/Tender/SplashBidNoticeAbstractUI.aspx?menuIndex=3&amp;refID=7038373&amp;Result=3","7038373")</f>
        <v>0</v>
      </c>
      <c r="B6817" t="s">
        <v>357</v>
      </c>
      <c r="C6817" t="s">
        <v>9564</v>
      </c>
      <c r="D6817" t="s">
        <v>16197</v>
      </c>
      <c r="E6817" t="s">
        <v>22308</v>
      </c>
      <c r="F6817" t="s">
        <v>28198</v>
      </c>
      <c r="G6817" t="s">
        <v>28205</v>
      </c>
      <c r="H6817" t="s">
        <v>28215</v>
      </c>
      <c r="I6817" t="s">
        <v>5082</v>
      </c>
      <c r="J6817" t="s">
        <v>32617</v>
      </c>
      <c r="K6817" t="s">
        <v>36701</v>
      </c>
      <c r="M6817" t="s">
        <v>37336</v>
      </c>
      <c r="N6817" t="s">
        <v>40436</v>
      </c>
      <c r="O6817" t="s">
        <v>40437</v>
      </c>
      <c r="P6817">
        <v>0</v>
      </c>
      <c r="Q6817">
        <v>6</v>
      </c>
      <c r="R6817" t="s">
        <v>40444</v>
      </c>
      <c r="S6817" t="s">
        <v>40676</v>
      </c>
      <c r="T6817" t="s">
        <v>42277</v>
      </c>
      <c r="U6817" t="s">
        <v>48370</v>
      </c>
      <c r="W6817" t="s">
        <v>37336</v>
      </c>
      <c r="X6817" t="s">
        <v>40445</v>
      </c>
    </row>
    <row r="6818" spans="1:24">
      <c r="A6818">
        <f>HYPERLINK("https://www.philgeps.gov.ph/GEPSNONPILOT/Tender/SplashBidNoticeAbstractUI.aspx?menuIndex=3&amp;refID=7038372&amp;Result=3","7038372")</f>
        <v>0</v>
      </c>
      <c r="B6818" t="s">
        <v>634</v>
      </c>
      <c r="C6818" t="s">
        <v>4341</v>
      </c>
      <c r="D6818" t="s">
        <v>16255</v>
      </c>
      <c r="E6818" t="s">
        <v>22309</v>
      </c>
      <c r="F6818" t="s">
        <v>28198</v>
      </c>
      <c r="G6818" t="s">
        <v>28205</v>
      </c>
      <c r="H6818" t="s">
        <v>28214</v>
      </c>
      <c r="I6818" t="s">
        <v>3797</v>
      </c>
      <c r="J6818" t="s">
        <v>28699</v>
      </c>
      <c r="K6818" t="s">
        <v>36690</v>
      </c>
      <c r="M6818" t="s">
        <v>37627</v>
      </c>
      <c r="N6818" t="s">
        <v>40436</v>
      </c>
      <c r="O6818" t="s">
        <v>40437</v>
      </c>
      <c r="P6818">
        <v>0</v>
      </c>
      <c r="Q6818">
        <v>9</v>
      </c>
      <c r="R6818" t="s">
        <v>40444</v>
      </c>
      <c r="S6818" t="s">
        <v>40676</v>
      </c>
      <c r="T6818" t="s">
        <v>42165</v>
      </c>
      <c r="U6818" t="s">
        <v>48371</v>
      </c>
      <c r="W6818" t="s">
        <v>37627</v>
      </c>
      <c r="X6818" t="s">
        <v>40445</v>
      </c>
    </row>
    <row r="6819" spans="1:24">
      <c r="A6819">
        <f>HYPERLINK("https://www.philgeps.gov.ph/GEPSNONPILOT/Tender/SplashBidNoticeAbstractUI.aspx?menuIndex=3&amp;refID=7038376&amp;Result=3","7038376")</f>
        <v>0</v>
      </c>
      <c r="B6819" t="s">
        <v>683</v>
      </c>
      <c r="C6819" t="s">
        <v>9565</v>
      </c>
      <c r="D6819" t="s">
        <v>16196</v>
      </c>
      <c r="E6819" t="s">
        <v>22310</v>
      </c>
      <c r="F6819" t="s">
        <v>28198</v>
      </c>
      <c r="G6819" t="s">
        <v>28209</v>
      </c>
      <c r="H6819" t="s">
        <v>28215</v>
      </c>
      <c r="I6819" t="s">
        <v>28238</v>
      </c>
      <c r="J6819" t="s">
        <v>32618</v>
      </c>
      <c r="K6819" t="s">
        <v>36701</v>
      </c>
      <c r="M6819" t="s">
        <v>37681</v>
      </c>
      <c r="N6819" t="s">
        <v>40436</v>
      </c>
      <c r="O6819" t="s">
        <v>40437</v>
      </c>
      <c r="P6819">
        <v>0</v>
      </c>
      <c r="Q6819">
        <v>8</v>
      </c>
      <c r="R6819" t="s">
        <v>40444</v>
      </c>
      <c r="S6819" t="s">
        <v>40676</v>
      </c>
      <c r="T6819" t="s">
        <v>42130</v>
      </c>
      <c r="U6819" t="s">
        <v>48372</v>
      </c>
      <c r="W6819" t="s">
        <v>37681</v>
      </c>
      <c r="X6819" t="s">
        <v>40445</v>
      </c>
    </row>
    <row r="6820" spans="1:24">
      <c r="A6820">
        <f>HYPERLINK("https://www.philgeps.gov.ph/GEPSNONPILOT/Tender/SplashBidNoticeAbstractUI.aspx?menuIndex=3&amp;refID=7038339&amp;Result=3","7038339")</f>
        <v>0</v>
      </c>
      <c r="B6820" t="s">
        <v>2166</v>
      </c>
      <c r="C6820" t="s">
        <v>9566</v>
      </c>
      <c r="D6820" t="s">
        <v>16255</v>
      </c>
      <c r="E6820" t="s">
        <v>22311</v>
      </c>
      <c r="F6820" t="s">
        <v>28198</v>
      </c>
      <c r="G6820" t="s">
        <v>28205</v>
      </c>
      <c r="H6820" t="s">
        <v>28215</v>
      </c>
      <c r="I6820" t="s">
        <v>28227</v>
      </c>
      <c r="J6820" t="s">
        <v>29208</v>
      </c>
      <c r="K6820" t="s">
        <v>36701</v>
      </c>
      <c r="M6820" t="s">
        <v>39323</v>
      </c>
      <c r="N6820" t="s">
        <v>40436</v>
      </c>
      <c r="O6820" t="s">
        <v>40437</v>
      </c>
      <c r="P6820">
        <v>0</v>
      </c>
      <c r="Q6820">
        <v>0</v>
      </c>
      <c r="R6820" t="s">
        <v>40444</v>
      </c>
      <c r="S6820" t="s">
        <v>40676</v>
      </c>
      <c r="T6820" t="s">
        <v>42205</v>
      </c>
      <c r="U6820" t="s">
        <v>48373</v>
      </c>
      <c r="V6820" t="s">
        <v>54498</v>
      </c>
      <c r="W6820" t="s">
        <v>39323</v>
      </c>
      <c r="X6820" t="s">
        <v>40445</v>
      </c>
    </row>
    <row r="6821" spans="1:24">
      <c r="A6821">
        <f>HYPERLINK("https://www.philgeps.gov.ph/GEPSNONPILOT/Tender/SplashBidNoticeAbstractUI.aspx?menuIndex=3&amp;refID=7038356&amp;Result=3","7038356")</f>
        <v>0</v>
      </c>
      <c r="B6821" t="s">
        <v>2133</v>
      </c>
      <c r="C6821" t="s">
        <v>9567</v>
      </c>
      <c r="D6821" t="s">
        <v>16203</v>
      </c>
      <c r="E6821" t="s">
        <v>22312</v>
      </c>
      <c r="F6821" t="s">
        <v>28198</v>
      </c>
      <c r="G6821" t="s">
        <v>28205</v>
      </c>
      <c r="H6821" t="s">
        <v>28214</v>
      </c>
      <c r="I6821" t="s">
        <v>3797</v>
      </c>
      <c r="J6821" t="s">
        <v>28566</v>
      </c>
      <c r="K6821" t="s">
        <v>36694</v>
      </c>
      <c r="M6821" t="s">
        <v>39290</v>
      </c>
      <c r="N6821" t="s">
        <v>40436</v>
      </c>
      <c r="O6821" t="s">
        <v>40437</v>
      </c>
      <c r="P6821">
        <v>0</v>
      </c>
      <c r="Q6821">
        <v>0</v>
      </c>
      <c r="R6821" t="s">
        <v>40444</v>
      </c>
      <c r="S6821" t="s">
        <v>40676</v>
      </c>
      <c r="T6821" t="s">
        <v>42234</v>
      </c>
      <c r="U6821" t="s">
        <v>48374</v>
      </c>
      <c r="W6821" t="s">
        <v>39290</v>
      </c>
      <c r="X6821" t="s">
        <v>40445</v>
      </c>
    </row>
    <row r="6822" spans="1:24">
      <c r="A6822">
        <f>HYPERLINK("https://www.philgeps.gov.ph/GEPSNONPILOT/Tender/SplashBidNoticeAbstractUI.aspx?menuIndex=3&amp;refID=7038378&amp;Result=3","7038378")</f>
        <v>0</v>
      </c>
      <c r="B6822" t="s">
        <v>511</v>
      </c>
      <c r="C6822" t="s">
        <v>9568</v>
      </c>
      <c r="D6822" t="s">
        <v>16258</v>
      </c>
      <c r="E6822" t="s">
        <v>22313</v>
      </c>
      <c r="F6822" t="s">
        <v>28198</v>
      </c>
      <c r="G6822" t="s">
        <v>28205</v>
      </c>
      <c r="H6822" t="s">
        <v>28215</v>
      </c>
      <c r="I6822" t="s">
        <v>28222</v>
      </c>
      <c r="J6822" t="s">
        <v>28379</v>
      </c>
      <c r="K6822" t="s">
        <v>36701</v>
      </c>
      <c r="M6822" t="s">
        <v>37496</v>
      </c>
      <c r="N6822" t="s">
        <v>40436</v>
      </c>
      <c r="O6822" t="s">
        <v>40437</v>
      </c>
      <c r="Q6822">
        <v>6</v>
      </c>
      <c r="R6822" t="s">
        <v>40444</v>
      </c>
      <c r="S6822" t="s">
        <v>40687</v>
      </c>
      <c r="T6822" t="s">
        <v>42470</v>
      </c>
      <c r="U6822" t="s">
        <v>48375</v>
      </c>
      <c r="W6822" t="s">
        <v>37496</v>
      </c>
      <c r="X6822" t="s">
        <v>40445</v>
      </c>
    </row>
    <row r="6823" spans="1:24">
      <c r="A6823">
        <f>HYPERLINK("https://www.philgeps.gov.ph/GEPSNONPILOT/Tender/SplashBidNoticeAbstractUI.aspx?menuIndex=3&amp;refID=7038396&amp;Result=3","7038396")</f>
        <v>0</v>
      </c>
      <c r="B6823" t="s">
        <v>351</v>
      </c>
      <c r="C6823" t="s">
        <v>9569</v>
      </c>
      <c r="D6823" t="s">
        <v>16258</v>
      </c>
      <c r="E6823" t="s">
        <v>22314</v>
      </c>
      <c r="F6823" t="s">
        <v>28198</v>
      </c>
      <c r="G6823" t="s">
        <v>28205</v>
      </c>
      <c r="H6823" t="s">
        <v>28215</v>
      </c>
      <c r="I6823" t="s">
        <v>28243</v>
      </c>
      <c r="J6823" t="s">
        <v>29288</v>
      </c>
      <c r="K6823" t="s">
        <v>36706</v>
      </c>
      <c r="M6823" t="s">
        <v>37330</v>
      </c>
      <c r="N6823" t="s">
        <v>40436</v>
      </c>
      <c r="O6823" t="s">
        <v>40437</v>
      </c>
      <c r="P6823">
        <v>0</v>
      </c>
      <c r="Q6823">
        <v>1</v>
      </c>
      <c r="R6823" t="s">
        <v>40444</v>
      </c>
      <c r="S6823" t="s">
        <v>40676</v>
      </c>
      <c r="T6823" t="s">
        <v>42136</v>
      </c>
      <c r="U6823" t="s">
        <v>48376</v>
      </c>
      <c r="W6823" t="s">
        <v>37330</v>
      </c>
      <c r="X6823" t="s">
        <v>40445</v>
      </c>
    </row>
    <row r="6824" spans="1:24">
      <c r="A6824">
        <f>HYPERLINK("https://www.philgeps.gov.ph/GEPSNONPILOT/Tender/SplashBidNoticeAbstractUI.aspx?menuIndex=3&amp;refID=7038357&amp;Result=3","7038357")</f>
        <v>0</v>
      </c>
      <c r="B6824" t="s">
        <v>2167</v>
      </c>
      <c r="C6824" t="s">
        <v>9570</v>
      </c>
      <c r="D6824" t="s">
        <v>16197</v>
      </c>
      <c r="E6824" t="s">
        <v>22315</v>
      </c>
      <c r="F6824" t="s">
        <v>28198</v>
      </c>
      <c r="G6824" t="s">
        <v>28206</v>
      </c>
      <c r="H6824" t="s">
        <v>28215</v>
      </c>
      <c r="I6824" t="s">
        <v>4219</v>
      </c>
      <c r="J6824" t="s">
        <v>32619</v>
      </c>
      <c r="K6824" t="s">
        <v>36689</v>
      </c>
      <c r="M6824" t="s">
        <v>39324</v>
      </c>
      <c r="N6824" t="s">
        <v>40436</v>
      </c>
      <c r="O6824" t="s">
        <v>40437</v>
      </c>
      <c r="P6824">
        <v>0</v>
      </c>
      <c r="Q6824">
        <v>6</v>
      </c>
      <c r="R6824" t="s">
        <v>40444</v>
      </c>
      <c r="S6824" t="s">
        <v>40676</v>
      </c>
      <c r="T6824" t="s">
        <v>42245</v>
      </c>
      <c r="U6824" t="s">
        <v>48377</v>
      </c>
      <c r="W6824" t="s">
        <v>39324</v>
      </c>
      <c r="X6824" t="s">
        <v>40445</v>
      </c>
    </row>
    <row r="6825" spans="1:24">
      <c r="A6825">
        <f>HYPERLINK("https://www.philgeps.gov.ph/GEPSNONPILOT/Tender/SplashBidNoticeAbstractUI.aspx?menuIndex=3&amp;refID=7038405&amp;Result=3","7038405")</f>
        <v>0</v>
      </c>
      <c r="B6825" t="s">
        <v>1068</v>
      </c>
      <c r="C6825" t="s">
        <v>9571</v>
      </c>
      <c r="D6825" t="s">
        <v>16258</v>
      </c>
      <c r="E6825" t="s">
        <v>22316</v>
      </c>
      <c r="F6825" t="s">
        <v>28198</v>
      </c>
      <c r="G6825" t="s">
        <v>28205</v>
      </c>
      <c r="H6825" t="s">
        <v>28215</v>
      </c>
      <c r="I6825" t="s">
        <v>4168</v>
      </c>
      <c r="J6825" t="s">
        <v>32620</v>
      </c>
      <c r="K6825" t="s">
        <v>36689</v>
      </c>
      <c r="M6825" t="s">
        <v>38101</v>
      </c>
      <c r="N6825" t="s">
        <v>40436</v>
      </c>
      <c r="O6825" t="s">
        <v>40437</v>
      </c>
      <c r="P6825">
        <v>0</v>
      </c>
      <c r="Q6825">
        <v>3</v>
      </c>
      <c r="R6825" t="s">
        <v>40444</v>
      </c>
      <c r="S6825" t="s">
        <v>40676</v>
      </c>
      <c r="T6825" t="s">
        <v>42240</v>
      </c>
      <c r="U6825" t="s">
        <v>48378</v>
      </c>
      <c r="W6825" t="s">
        <v>38101</v>
      </c>
      <c r="X6825" t="s">
        <v>40445</v>
      </c>
    </row>
    <row r="6826" spans="1:24">
      <c r="A6826">
        <f>HYPERLINK("https://www.philgeps.gov.ph/GEPSNONPILOT/Tender/SplashBidNoticeAbstractUI.aspx?menuIndex=3&amp;refID=7038361&amp;Result=3","7038361")</f>
        <v>0</v>
      </c>
      <c r="B6826" t="s">
        <v>2162</v>
      </c>
      <c r="C6826" t="s">
        <v>9572</v>
      </c>
      <c r="D6826" t="s">
        <v>16210</v>
      </c>
      <c r="E6826" t="s">
        <v>22317</v>
      </c>
      <c r="F6826" t="s">
        <v>28198</v>
      </c>
      <c r="G6826" t="s">
        <v>28205</v>
      </c>
      <c r="H6826" t="s">
        <v>28215</v>
      </c>
      <c r="I6826" t="s">
        <v>3774</v>
      </c>
      <c r="J6826" t="s">
        <v>28589</v>
      </c>
      <c r="K6826" t="s">
        <v>36689</v>
      </c>
      <c r="M6826" t="s">
        <v>39319</v>
      </c>
      <c r="N6826" t="s">
        <v>40436</v>
      </c>
      <c r="O6826" t="s">
        <v>40437</v>
      </c>
      <c r="P6826">
        <v>0</v>
      </c>
      <c r="Q6826">
        <v>0</v>
      </c>
      <c r="R6826" t="s">
        <v>40444</v>
      </c>
      <c r="S6826" t="s">
        <v>40676</v>
      </c>
      <c r="T6826" t="s">
        <v>42245</v>
      </c>
      <c r="U6826" t="s">
        <v>48379</v>
      </c>
      <c r="W6826" t="s">
        <v>39319</v>
      </c>
      <c r="X6826" t="s">
        <v>40445</v>
      </c>
    </row>
    <row r="6827" spans="1:24">
      <c r="A6827">
        <f>HYPERLINK("https://www.philgeps.gov.ph/GEPSNONPILOT/Tender/SplashBidNoticeAbstractUI.aspx?menuIndex=3&amp;refID=7038416&amp;Result=3","7038416")</f>
        <v>0</v>
      </c>
      <c r="B6827" t="s">
        <v>2168</v>
      </c>
      <c r="C6827" t="s">
        <v>9573</v>
      </c>
      <c r="D6827" t="s">
        <v>16210</v>
      </c>
      <c r="E6827" t="s">
        <v>22318</v>
      </c>
      <c r="F6827" t="s">
        <v>28198</v>
      </c>
      <c r="G6827" t="s">
        <v>28205</v>
      </c>
      <c r="H6827" t="s">
        <v>28215</v>
      </c>
      <c r="I6827" t="s">
        <v>28222</v>
      </c>
      <c r="J6827" t="s">
        <v>32621</v>
      </c>
      <c r="K6827" t="s">
        <v>36689</v>
      </c>
      <c r="M6827" t="s">
        <v>39325</v>
      </c>
      <c r="N6827" t="s">
        <v>40436</v>
      </c>
      <c r="O6827" t="s">
        <v>40437</v>
      </c>
      <c r="P6827">
        <v>0</v>
      </c>
      <c r="Q6827">
        <v>16</v>
      </c>
      <c r="R6827" t="s">
        <v>40444</v>
      </c>
      <c r="S6827" t="s">
        <v>40676</v>
      </c>
      <c r="T6827" t="s">
        <v>42125</v>
      </c>
      <c r="U6827" t="s">
        <v>42743</v>
      </c>
      <c r="V6827" t="s">
        <v>54499</v>
      </c>
      <c r="W6827" t="s">
        <v>39325</v>
      </c>
      <c r="X6827" t="s">
        <v>40445</v>
      </c>
    </row>
    <row r="6828" spans="1:24">
      <c r="A6828">
        <f>HYPERLINK("https://www.philgeps.gov.ph/GEPSNONPILOT/Tender/SplashBidNoticeAbstractUI.aspx?menuIndex=3&amp;refID=7038411&amp;Result=3","7038411")</f>
        <v>0</v>
      </c>
      <c r="B6828" t="s">
        <v>2169</v>
      </c>
      <c r="C6828" t="s">
        <v>9574</v>
      </c>
      <c r="D6828" t="s">
        <v>16192</v>
      </c>
      <c r="E6828" t="s">
        <v>22319</v>
      </c>
      <c r="F6828" t="s">
        <v>28198</v>
      </c>
      <c r="G6828" t="s">
        <v>28205</v>
      </c>
      <c r="H6828" t="s">
        <v>28215</v>
      </c>
      <c r="I6828" t="s">
        <v>28228</v>
      </c>
      <c r="J6828" t="s">
        <v>32622</v>
      </c>
      <c r="K6828" t="s">
        <v>36694</v>
      </c>
      <c r="M6828" t="s">
        <v>39326</v>
      </c>
      <c r="N6828" t="s">
        <v>40436</v>
      </c>
      <c r="O6828" t="s">
        <v>40437</v>
      </c>
      <c r="P6828">
        <v>0</v>
      </c>
      <c r="Q6828">
        <v>0</v>
      </c>
      <c r="R6828" t="s">
        <v>40444</v>
      </c>
      <c r="S6828" t="s">
        <v>40676</v>
      </c>
      <c r="T6828" t="s">
        <v>42122</v>
      </c>
      <c r="U6828" t="s">
        <v>48380</v>
      </c>
      <c r="V6828" t="s">
        <v>54500</v>
      </c>
      <c r="W6828" t="s">
        <v>39326</v>
      </c>
      <c r="X6828" t="s">
        <v>40445</v>
      </c>
    </row>
    <row r="6829" spans="1:24">
      <c r="A6829">
        <f>HYPERLINK("https://www.philgeps.gov.ph/GEPSNONPILOT/Tender/SplashBidNoticeAbstractUI.aspx?menuIndex=3&amp;refID=7038469&amp;Result=3","7038469")</f>
        <v>0</v>
      </c>
      <c r="B6829" t="s">
        <v>510</v>
      </c>
      <c r="C6829" t="s">
        <v>4152</v>
      </c>
      <c r="D6829" t="s">
        <v>16196</v>
      </c>
      <c r="E6829" t="s">
        <v>22320</v>
      </c>
      <c r="F6829" t="s">
        <v>28198</v>
      </c>
      <c r="G6829" t="s">
        <v>28207</v>
      </c>
      <c r="H6829" t="s">
        <v>28215</v>
      </c>
      <c r="I6829" t="s">
        <v>4168</v>
      </c>
      <c r="J6829" t="s">
        <v>32273</v>
      </c>
      <c r="K6829" t="s">
        <v>36707</v>
      </c>
      <c r="M6829" t="s">
        <v>39327</v>
      </c>
      <c r="N6829" t="s">
        <v>40436</v>
      </c>
      <c r="O6829" t="s">
        <v>40437</v>
      </c>
      <c r="P6829">
        <v>0</v>
      </c>
      <c r="Q6829">
        <v>0</v>
      </c>
      <c r="R6829" t="s">
        <v>40444</v>
      </c>
      <c r="S6829" t="s">
        <v>40676</v>
      </c>
      <c r="T6829" t="s">
        <v>42297</v>
      </c>
      <c r="U6829" t="s">
        <v>48381</v>
      </c>
      <c r="W6829" t="s">
        <v>39327</v>
      </c>
      <c r="X6829" t="s">
        <v>40445</v>
      </c>
    </row>
    <row r="6830" spans="1:24">
      <c r="A6830">
        <f>HYPERLINK("https://www.philgeps.gov.ph/GEPSNONPILOT/Tender/SplashBidNoticeAbstractUI.aspx?menuIndex=3&amp;refID=7038464&amp;Result=3","7038464")</f>
        <v>0</v>
      </c>
      <c r="B6830" t="s">
        <v>1057</v>
      </c>
      <c r="C6830" t="s">
        <v>9575</v>
      </c>
      <c r="D6830" t="s">
        <v>16196</v>
      </c>
      <c r="E6830" t="s">
        <v>22321</v>
      </c>
      <c r="F6830" t="s">
        <v>28198</v>
      </c>
      <c r="G6830" t="s">
        <v>28205</v>
      </c>
      <c r="H6830" t="s">
        <v>28215</v>
      </c>
      <c r="I6830" t="s">
        <v>5100</v>
      </c>
      <c r="J6830" t="s">
        <v>32623</v>
      </c>
      <c r="K6830" t="s">
        <v>36694</v>
      </c>
      <c r="L6830" t="s">
        <v>1057</v>
      </c>
      <c r="M6830" t="s">
        <v>38090</v>
      </c>
      <c r="N6830" t="s">
        <v>40436</v>
      </c>
      <c r="O6830" t="s">
        <v>40437</v>
      </c>
      <c r="P6830">
        <v>0</v>
      </c>
      <c r="Q6830">
        <v>4</v>
      </c>
      <c r="R6830" t="s">
        <v>40444</v>
      </c>
      <c r="S6830" t="s">
        <v>40676</v>
      </c>
      <c r="T6830" t="s">
        <v>42194</v>
      </c>
      <c r="U6830" t="s">
        <v>48382</v>
      </c>
      <c r="W6830" t="s">
        <v>38090</v>
      </c>
      <c r="X6830" t="s">
        <v>40445</v>
      </c>
    </row>
    <row r="6831" spans="1:24">
      <c r="A6831">
        <f>HYPERLINK("https://www.philgeps.gov.ph/GEPSNONPILOT/Tender/SplashBidNoticeAbstractUI.aspx?menuIndex=3&amp;refID=7038445&amp;Result=3","7038445")</f>
        <v>0</v>
      </c>
      <c r="B6831" t="s">
        <v>2170</v>
      </c>
      <c r="C6831" t="s">
        <v>9576</v>
      </c>
      <c r="D6831" t="s">
        <v>16246</v>
      </c>
      <c r="E6831" t="s">
        <v>16943</v>
      </c>
      <c r="F6831" t="s">
        <v>28198</v>
      </c>
      <c r="G6831" t="s">
        <v>28205</v>
      </c>
      <c r="H6831" t="s">
        <v>28214</v>
      </c>
      <c r="I6831" t="s">
        <v>3797</v>
      </c>
      <c r="J6831" t="s">
        <v>32624</v>
      </c>
      <c r="K6831" t="s">
        <v>36689</v>
      </c>
      <c r="M6831" t="s">
        <v>39328</v>
      </c>
      <c r="N6831" t="s">
        <v>40436</v>
      </c>
      <c r="O6831" t="s">
        <v>40437</v>
      </c>
      <c r="P6831">
        <v>0</v>
      </c>
      <c r="Q6831">
        <v>0</v>
      </c>
      <c r="R6831" t="s">
        <v>40444</v>
      </c>
      <c r="S6831" t="s">
        <v>40676</v>
      </c>
      <c r="T6831" t="s">
        <v>42297</v>
      </c>
      <c r="U6831" t="s">
        <v>48383</v>
      </c>
      <c r="V6831" t="s">
        <v>54501</v>
      </c>
      <c r="W6831" t="s">
        <v>39328</v>
      </c>
      <c r="X6831" t="s">
        <v>40445</v>
      </c>
    </row>
    <row r="6832" spans="1:24">
      <c r="A6832">
        <f>HYPERLINK("https://www.philgeps.gov.ph/GEPSNONPILOT/Tender/SplashBidNoticeAbstractUI.aspx?menuIndex=3&amp;refID=7038423&amp;Result=3","7038423")</f>
        <v>0</v>
      </c>
      <c r="B6832" t="s">
        <v>583</v>
      </c>
      <c r="C6832" t="s">
        <v>4494</v>
      </c>
      <c r="D6832" t="s">
        <v>16244</v>
      </c>
      <c r="E6832" t="s">
        <v>22322</v>
      </c>
      <c r="F6832" t="s">
        <v>28198</v>
      </c>
      <c r="G6832" t="s">
        <v>28206</v>
      </c>
      <c r="H6832" t="s">
        <v>28215</v>
      </c>
      <c r="I6832" t="s">
        <v>4200</v>
      </c>
      <c r="J6832" t="s">
        <v>32625</v>
      </c>
      <c r="K6832" t="s">
        <v>36688</v>
      </c>
      <c r="M6832" t="s">
        <v>39329</v>
      </c>
      <c r="N6832" t="s">
        <v>40436</v>
      </c>
      <c r="O6832" t="s">
        <v>40437</v>
      </c>
      <c r="P6832">
        <v>0</v>
      </c>
      <c r="Q6832">
        <v>2</v>
      </c>
      <c r="R6832" t="s">
        <v>40444</v>
      </c>
      <c r="S6832" t="s">
        <v>40676</v>
      </c>
      <c r="T6832" t="s">
        <v>42297</v>
      </c>
      <c r="U6832" t="s">
        <v>48384</v>
      </c>
      <c r="W6832" t="s">
        <v>39329</v>
      </c>
      <c r="X6832" t="s">
        <v>40445</v>
      </c>
    </row>
    <row r="6833" spans="1:24">
      <c r="A6833">
        <f>HYPERLINK("https://www.philgeps.gov.ph/GEPSNONPILOT/Tender/SplashBidNoticeAbstractUI.aspx?menuIndex=3&amp;refID=7038459&amp;Result=3","7038459")</f>
        <v>0</v>
      </c>
      <c r="B6833" t="s">
        <v>583</v>
      </c>
      <c r="C6833" t="s">
        <v>9577</v>
      </c>
      <c r="D6833" t="s">
        <v>16244</v>
      </c>
      <c r="E6833" t="s">
        <v>22323</v>
      </c>
      <c r="F6833" t="s">
        <v>28198</v>
      </c>
      <c r="G6833" t="s">
        <v>28206</v>
      </c>
      <c r="H6833" t="s">
        <v>28215</v>
      </c>
      <c r="I6833" t="s">
        <v>28224</v>
      </c>
      <c r="J6833" t="s">
        <v>32626</v>
      </c>
      <c r="K6833" t="s">
        <v>36701</v>
      </c>
      <c r="M6833" t="s">
        <v>39329</v>
      </c>
      <c r="N6833" t="s">
        <v>40436</v>
      </c>
      <c r="O6833" t="s">
        <v>40437</v>
      </c>
      <c r="P6833">
        <v>0</v>
      </c>
      <c r="Q6833">
        <v>2</v>
      </c>
      <c r="R6833" t="s">
        <v>40444</v>
      </c>
      <c r="S6833" t="s">
        <v>40676</v>
      </c>
      <c r="T6833" t="s">
        <v>42297</v>
      </c>
      <c r="U6833" t="s">
        <v>48385</v>
      </c>
      <c r="W6833" t="s">
        <v>39329</v>
      </c>
      <c r="X6833" t="s">
        <v>40445</v>
      </c>
    </row>
    <row r="6834" spans="1:24">
      <c r="A6834">
        <f>HYPERLINK("https://www.philgeps.gov.ph/GEPSNONPILOT/Tender/SplashBidNoticeAbstractUI.aspx?menuIndex=3&amp;refID=7038431&amp;Result=3","7038431")</f>
        <v>0</v>
      </c>
      <c r="B6834" t="s">
        <v>1907</v>
      </c>
      <c r="C6834" t="s">
        <v>9578</v>
      </c>
      <c r="D6834" t="s">
        <v>16251</v>
      </c>
      <c r="E6834" t="s">
        <v>22324</v>
      </c>
      <c r="F6834" t="s">
        <v>28198</v>
      </c>
      <c r="G6834" t="s">
        <v>28205</v>
      </c>
      <c r="H6834" t="s">
        <v>28215</v>
      </c>
      <c r="I6834" t="s">
        <v>28256</v>
      </c>
      <c r="J6834" t="s">
        <v>32627</v>
      </c>
      <c r="K6834" t="s">
        <v>36688</v>
      </c>
      <c r="M6834" t="s">
        <v>39039</v>
      </c>
      <c r="N6834" t="s">
        <v>40436</v>
      </c>
      <c r="O6834" t="s">
        <v>40437</v>
      </c>
      <c r="P6834">
        <v>0</v>
      </c>
      <c r="Q6834">
        <v>5</v>
      </c>
      <c r="R6834" t="s">
        <v>40444</v>
      </c>
      <c r="S6834" t="s">
        <v>40676</v>
      </c>
      <c r="T6834" t="s">
        <v>42233</v>
      </c>
      <c r="U6834" t="s">
        <v>48386</v>
      </c>
      <c r="W6834" t="s">
        <v>39039</v>
      </c>
      <c r="X6834" t="s">
        <v>40445</v>
      </c>
    </row>
    <row r="6835" spans="1:24">
      <c r="A6835">
        <f>HYPERLINK("https://www.philgeps.gov.ph/GEPSNONPILOT/Tender/SplashBidNoticeAbstractUI.aspx?menuIndex=3&amp;refID=7038418&amp;Result=3","7038418")</f>
        <v>0</v>
      </c>
      <c r="B6835" t="s">
        <v>1747</v>
      </c>
      <c r="C6835" t="s">
        <v>9579</v>
      </c>
      <c r="D6835" t="s">
        <v>16210</v>
      </c>
      <c r="E6835" t="s">
        <v>17057</v>
      </c>
      <c r="F6835" t="s">
        <v>28198</v>
      </c>
      <c r="G6835" t="s">
        <v>28207</v>
      </c>
      <c r="H6835" t="s">
        <v>28215</v>
      </c>
      <c r="I6835" t="s">
        <v>28238</v>
      </c>
      <c r="J6835" t="s">
        <v>32628</v>
      </c>
      <c r="K6835" t="s">
        <v>36693</v>
      </c>
      <c r="M6835" t="s">
        <v>38859</v>
      </c>
      <c r="N6835" t="s">
        <v>40436</v>
      </c>
      <c r="O6835" t="s">
        <v>40437</v>
      </c>
      <c r="P6835">
        <v>0</v>
      </c>
      <c r="Q6835">
        <v>13</v>
      </c>
      <c r="R6835" t="s">
        <v>40444</v>
      </c>
      <c r="S6835" t="s">
        <v>40676</v>
      </c>
      <c r="T6835" t="s">
        <v>42245</v>
      </c>
      <c r="U6835" t="s">
        <v>48387</v>
      </c>
      <c r="W6835" t="s">
        <v>38859</v>
      </c>
      <c r="X6835" t="s">
        <v>40445</v>
      </c>
    </row>
    <row r="6836" spans="1:24">
      <c r="A6836">
        <f>HYPERLINK("https://www.philgeps.gov.ph/GEPSNONPILOT/Tender/SplashBidNoticeAbstractUI.aspx?menuIndex=3&amp;refID=7038492&amp;Result=3","7038492")</f>
        <v>0</v>
      </c>
      <c r="B6836" t="s">
        <v>1057</v>
      </c>
      <c r="C6836" t="s">
        <v>9580</v>
      </c>
      <c r="D6836" t="s">
        <v>16196</v>
      </c>
      <c r="E6836" t="s">
        <v>22325</v>
      </c>
      <c r="F6836" t="s">
        <v>28198</v>
      </c>
      <c r="G6836" t="s">
        <v>28205</v>
      </c>
      <c r="H6836" t="s">
        <v>28215</v>
      </c>
      <c r="I6836" t="s">
        <v>5100</v>
      </c>
      <c r="J6836" t="s">
        <v>32629</v>
      </c>
      <c r="K6836" t="s">
        <v>36715</v>
      </c>
      <c r="L6836" t="s">
        <v>1057</v>
      </c>
      <c r="M6836" t="s">
        <v>38090</v>
      </c>
      <c r="N6836" t="s">
        <v>40436</v>
      </c>
      <c r="O6836" t="s">
        <v>40437</v>
      </c>
      <c r="P6836">
        <v>0</v>
      </c>
      <c r="Q6836">
        <v>6</v>
      </c>
      <c r="R6836" t="s">
        <v>40444</v>
      </c>
      <c r="S6836" t="s">
        <v>40676</v>
      </c>
      <c r="T6836" t="s">
        <v>42471</v>
      </c>
      <c r="U6836" t="s">
        <v>48388</v>
      </c>
      <c r="W6836" t="s">
        <v>38090</v>
      </c>
      <c r="X6836" t="s">
        <v>40445</v>
      </c>
    </row>
    <row r="6837" spans="1:24">
      <c r="A6837">
        <f>HYPERLINK("https://www.philgeps.gov.ph/GEPSNONPILOT/Tender/SplashBidNoticeAbstractUI.aspx?menuIndex=3&amp;refID=7038455&amp;Result=3","7038455")</f>
        <v>0</v>
      </c>
      <c r="B6837" t="s">
        <v>1302</v>
      </c>
      <c r="C6837" t="s">
        <v>9581</v>
      </c>
      <c r="D6837" t="s">
        <v>16191</v>
      </c>
      <c r="E6837" t="s">
        <v>22326</v>
      </c>
      <c r="F6837" t="s">
        <v>28198</v>
      </c>
      <c r="G6837" t="s">
        <v>28205</v>
      </c>
      <c r="H6837" t="s">
        <v>28215</v>
      </c>
      <c r="I6837" t="s">
        <v>28238</v>
      </c>
      <c r="J6837" t="s">
        <v>32630</v>
      </c>
      <c r="K6837" t="s">
        <v>36689</v>
      </c>
      <c r="M6837" t="s">
        <v>38356</v>
      </c>
      <c r="N6837" t="s">
        <v>40436</v>
      </c>
      <c r="O6837" t="s">
        <v>40437</v>
      </c>
      <c r="P6837">
        <v>0</v>
      </c>
      <c r="Q6837">
        <v>0</v>
      </c>
      <c r="R6837" t="s">
        <v>40444</v>
      </c>
      <c r="S6837" t="s">
        <v>40676</v>
      </c>
      <c r="T6837" t="s">
        <v>42133</v>
      </c>
      <c r="U6837" t="s">
        <v>48389</v>
      </c>
      <c r="W6837" t="s">
        <v>38356</v>
      </c>
      <c r="X6837" t="s">
        <v>40445</v>
      </c>
    </row>
    <row r="6838" spans="1:24">
      <c r="A6838">
        <f>HYPERLINK("https://www.philgeps.gov.ph/GEPSNONPILOT/Tender/SplashBidNoticeAbstractUI.aspx?menuIndex=3&amp;refID=7038491&amp;Result=3","7038491")</f>
        <v>0</v>
      </c>
      <c r="B6838" t="s">
        <v>583</v>
      </c>
      <c r="C6838" t="s">
        <v>9582</v>
      </c>
      <c r="D6838" t="s">
        <v>16244</v>
      </c>
      <c r="E6838" t="s">
        <v>22327</v>
      </c>
      <c r="F6838" t="s">
        <v>28198</v>
      </c>
      <c r="G6838" t="s">
        <v>28207</v>
      </c>
      <c r="H6838" t="s">
        <v>28215</v>
      </c>
      <c r="I6838" t="s">
        <v>28243</v>
      </c>
      <c r="J6838" t="s">
        <v>28414</v>
      </c>
      <c r="K6838" t="s">
        <v>36707</v>
      </c>
      <c r="M6838" t="s">
        <v>39329</v>
      </c>
      <c r="N6838" t="s">
        <v>40436</v>
      </c>
      <c r="O6838" t="s">
        <v>40437</v>
      </c>
      <c r="P6838">
        <v>0</v>
      </c>
      <c r="Q6838">
        <v>2</v>
      </c>
      <c r="R6838" t="s">
        <v>40444</v>
      </c>
      <c r="S6838" t="s">
        <v>40676</v>
      </c>
      <c r="T6838" t="s">
        <v>42245</v>
      </c>
      <c r="U6838" t="s">
        <v>48390</v>
      </c>
      <c r="W6838" t="s">
        <v>39329</v>
      </c>
      <c r="X6838" t="s">
        <v>40445</v>
      </c>
    </row>
    <row r="6839" spans="1:24">
      <c r="A6839">
        <f>HYPERLINK("https://www.philgeps.gov.ph/GEPSNONPILOT/Tender/SplashBidNoticeAbstractUI.aspx?menuIndex=3&amp;refID=7038490&amp;Result=3","7038490")</f>
        <v>0</v>
      </c>
      <c r="B6839" t="s">
        <v>1550</v>
      </c>
      <c r="C6839" t="s">
        <v>9583</v>
      </c>
      <c r="D6839" t="s">
        <v>16192</v>
      </c>
      <c r="E6839" t="s">
        <v>22328</v>
      </c>
      <c r="F6839" t="s">
        <v>28198</v>
      </c>
      <c r="G6839" t="s">
        <v>28205</v>
      </c>
      <c r="H6839" t="s">
        <v>28215</v>
      </c>
      <c r="I6839" t="s">
        <v>8888</v>
      </c>
      <c r="J6839" t="s">
        <v>32631</v>
      </c>
      <c r="K6839" t="s">
        <v>36701</v>
      </c>
      <c r="M6839" t="s">
        <v>38631</v>
      </c>
      <c r="N6839" t="s">
        <v>40436</v>
      </c>
      <c r="O6839" t="s">
        <v>40437</v>
      </c>
      <c r="P6839">
        <v>0</v>
      </c>
      <c r="Q6839">
        <v>13</v>
      </c>
      <c r="R6839" t="s">
        <v>40444</v>
      </c>
      <c r="S6839" t="s">
        <v>40676</v>
      </c>
      <c r="T6839" t="s">
        <v>42261</v>
      </c>
      <c r="U6839" t="s">
        <v>48391</v>
      </c>
      <c r="W6839" t="s">
        <v>38631</v>
      </c>
      <c r="X6839" t="s">
        <v>40445</v>
      </c>
    </row>
    <row r="6840" spans="1:24">
      <c r="A6840">
        <f>HYPERLINK("https://www.philgeps.gov.ph/GEPSNONPILOT/Tender/SplashBidNoticeAbstractUI.aspx?menuIndex=3&amp;refID=7038419&amp;Result=3","7038419")</f>
        <v>0</v>
      </c>
      <c r="B6840" t="s">
        <v>1533</v>
      </c>
      <c r="C6840" t="s">
        <v>9584</v>
      </c>
      <c r="D6840" t="s">
        <v>16236</v>
      </c>
      <c r="E6840" t="s">
        <v>22329</v>
      </c>
      <c r="F6840" t="s">
        <v>28198</v>
      </c>
      <c r="G6840" t="s">
        <v>28205</v>
      </c>
      <c r="H6840" t="s">
        <v>28215</v>
      </c>
      <c r="I6840" t="s">
        <v>28225</v>
      </c>
      <c r="J6840" t="s">
        <v>28559</v>
      </c>
      <c r="K6840" t="s">
        <v>36687</v>
      </c>
      <c r="M6840" t="s">
        <v>38611</v>
      </c>
      <c r="N6840" t="s">
        <v>40436</v>
      </c>
      <c r="O6840" t="s">
        <v>40437</v>
      </c>
      <c r="P6840">
        <v>0</v>
      </c>
      <c r="Q6840">
        <v>3</v>
      </c>
      <c r="R6840" t="s">
        <v>40444</v>
      </c>
      <c r="S6840" t="s">
        <v>40676</v>
      </c>
      <c r="T6840" t="s">
        <v>42232</v>
      </c>
      <c r="U6840" t="s">
        <v>48392</v>
      </c>
      <c r="V6840" t="s">
        <v>54376</v>
      </c>
      <c r="W6840" t="s">
        <v>38611</v>
      </c>
      <c r="X6840" t="s">
        <v>40445</v>
      </c>
    </row>
    <row r="6841" spans="1:24">
      <c r="A6841">
        <f>HYPERLINK("https://www.philgeps.gov.ph/GEPSNONPILOT/Tender/SplashBidNoticeAbstractUI.aspx?menuIndex=3&amp;refID=7038486&amp;Result=3","7038486")</f>
        <v>0</v>
      </c>
      <c r="B6841" t="s">
        <v>1206</v>
      </c>
      <c r="C6841" t="s">
        <v>9585</v>
      </c>
      <c r="D6841" t="s">
        <v>16203</v>
      </c>
      <c r="E6841" t="s">
        <v>22330</v>
      </c>
      <c r="F6841" t="s">
        <v>28198</v>
      </c>
      <c r="G6841" t="s">
        <v>28205</v>
      </c>
      <c r="H6841" t="s">
        <v>28215</v>
      </c>
      <c r="I6841" t="s">
        <v>28240</v>
      </c>
      <c r="J6841" t="s">
        <v>32632</v>
      </c>
      <c r="K6841" t="s">
        <v>36701</v>
      </c>
      <c r="M6841" t="s">
        <v>39330</v>
      </c>
      <c r="N6841" t="s">
        <v>40436</v>
      </c>
      <c r="O6841" t="s">
        <v>40437</v>
      </c>
      <c r="P6841">
        <v>0</v>
      </c>
      <c r="Q6841">
        <v>3</v>
      </c>
      <c r="R6841" t="s">
        <v>40444</v>
      </c>
      <c r="S6841" t="s">
        <v>40676</v>
      </c>
      <c r="T6841" t="s">
        <v>42435</v>
      </c>
      <c r="U6841" t="s">
        <v>48393</v>
      </c>
      <c r="W6841" t="s">
        <v>39330</v>
      </c>
      <c r="X6841" t="s">
        <v>40445</v>
      </c>
    </row>
    <row r="6842" spans="1:24">
      <c r="A6842">
        <f>HYPERLINK("https://www.philgeps.gov.ph/GEPSNONPILOT/Tender/SplashBidNoticeAbstractUI.aspx?menuIndex=3&amp;refID=7038482&amp;Result=3","7038482")</f>
        <v>0</v>
      </c>
      <c r="B6842" t="s">
        <v>2171</v>
      </c>
      <c r="C6842" t="s">
        <v>9586</v>
      </c>
      <c r="D6842" t="s">
        <v>16199</v>
      </c>
      <c r="E6842" t="s">
        <v>22331</v>
      </c>
      <c r="F6842" t="s">
        <v>28198</v>
      </c>
      <c r="G6842" t="s">
        <v>28205</v>
      </c>
      <c r="H6842" t="s">
        <v>28216</v>
      </c>
      <c r="I6842" t="s">
        <v>28216</v>
      </c>
      <c r="J6842" t="s">
        <v>32633</v>
      </c>
      <c r="K6842" t="s">
        <v>36701</v>
      </c>
      <c r="M6842" t="s">
        <v>39331</v>
      </c>
      <c r="N6842" t="s">
        <v>40436</v>
      </c>
      <c r="O6842" t="s">
        <v>40437</v>
      </c>
      <c r="P6842">
        <v>0</v>
      </c>
      <c r="Q6842">
        <v>5</v>
      </c>
      <c r="R6842" t="s">
        <v>40444</v>
      </c>
      <c r="S6842" t="s">
        <v>40676</v>
      </c>
      <c r="T6842" t="s">
        <v>42300</v>
      </c>
      <c r="U6842" t="s">
        <v>48394</v>
      </c>
      <c r="W6842" t="s">
        <v>39331</v>
      </c>
      <c r="X6842" t="s">
        <v>40445</v>
      </c>
    </row>
    <row r="6843" spans="1:24">
      <c r="A6843">
        <f>HYPERLINK("https://www.philgeps.gov.ph/GEPSNONPILOT/Tender/SplashBidNoticeAbstractUI.aspx?menuIndex=3&amp;refID=7038417&amp;Result=3","7038417")</f>
        <v>0</v>
      </c>
      <c r="B6843" t="s">
        <v>1845</v>
      </c>
      <c r="C6843" t="s">
        <v>9587</v>
      </c>
      <c r="D6843" t="s">
        <v>16190</v>
      </c>
      <c r="E6843" t="s">
        <v>22332</v>
      </c>
      <c r="F6843" t="s">
        <v>28198</v>
      </c>
      <c r="G6843" t="s">
        <v>28205</v>
      </c>
      <c r="H6843" t="s">
        <v>28215</v>
      </c>
      <c r="I6843" t="s">
        <v>28279</v>
      </c>
      <c r="J6843" t="s">
        <v>32634</v>
      </c>
      <c r="K6843" t="s">
        <v>36687</v>
      </c>
      <c r="M6843" t="s">
        <v>38972</v>
      </c>
      <c r="N6843" t="s">
        <v>40436</v>
      </c>
      <c r="O6843" t="s">
        <v>40437</v>
      </c>
      <c r="Q6843">
        <v>3</v>
      </c>
      <c r="R6843" t="s">
        <v>40444</v>
      </c>
      <c r="S6843" t="s">
        <v>40688</v>
      </c>
      <c r="T6843" t="s">
        <v>42431</v>
      </c>
      <c r="U6843" t="s">
        <v>48277</v>
      </c>
      <c r="W6843" t="s">
        <v>55497</v>
      </c>
      <c r="X6843" t="s">
        <v>40445</v>
      </c>
    </row>
    <row r="6844" spans="1:24">
      <c r="A6844">
        <f>HYPERLINK("https://www.philgeps.gov.ph/GEPSNONPILOT/Tender/SplashBidNoticeAbstractUI.aspx?menuIndex=3&amp;refID=7038497&amp;Result=3","7038497")</f>
        <v>0</v>
      </c>
      <c r="B6844" t="s">
        <v>2169</v>
      </c>
      <c r="C6844" t="s">
        <v>9588</v>
      </c>
      <c r="D6844" t="s">
        <v>16192</v>
      </c>
      <c r="E6844" t="s">
        <v>22333</v>
      </c>
      <c r="F6844" t="s">
        <v>28198</v>
      </c>
      <c r="G6844" t="s">
        <v>28205</v>
      </c>
      <c r="H6844" t="s">
        <v>28215</v>
      </c>
      <c r="I6844" t="s">
        <v>3774</v>
      </c>
      <c r="J6844" t="s">
        <v>32635</v>
      </c>
      <c r="K6844" t="s">
        <v>36701</v>
      </c>
      <c r="M6844" t="s">
        <v>39326</v>
      </c>
      <c r="N6844" t="s">
        <v>40436</v>
      </c>
      <c r="O6844" t="s">
        <v>40437</v>
      </c>
      <c r="P6844">
        <v>0</v>
      </c>
      <c r="Q6844">
        <v>0</v>
      </c>
      <c r="R6844" t="s">
        <v>40444</v>
      </c>
      <c r="S6844" t="s">
        <v>40676</v>
      </c>
      <c r="T6844" t="s">
        <v>42218</v>
      </c>
      <c r="U6844" t="s">
        <v>48395</v>
      </c>
      <c r="V6844" t="s">
        <v>54502</v>
      </c>
      <c r="W6844" t="s">
        <v>39326</v>
      </c>
      <c r="X6844" t="s">
        <v>40445</v>
      </c>
    </row>
    <row r="6845" spans="1:24">
      <c r="A6845">
        <f>HYPERLINK("https://www.philgeps.gov.ph/GEPSNONPILOT/Tender/SplashBidNoticeAbstractUI.aspx?menuIndex=3&amp;refID=7038483&amp;Result=3","7038483")</f>
        <v>0</v>
      </c>
      <c r="B6845" t="s">
        <v>2136</v>
      </c>
      <c r="C6845" t="s">
        <v>9589</v>
      </c>
      <c r="D6845" t="s">
        <v>16226</v>
      </c>
      <c r="E6845" t="s">
        <v>16766</v>
      </c>
      <c r="F6845" t="s">
        <v>28198</v>
      </c>
      <c r="G6845" t="s">
        <v>28205</v>
      </c>
      <c r="H6845" t="s">
        <v>28215</v>
      </c>
      <c r="I6845" t="s">
        <v>5100</v>
      </c>
      <c r="J6845" t="s">
        <v>32636</v>
      </c>
      <c r="K6845" t="s">
        <v>36697</v>
      </c>
      <c r="M6845" t="s">
        <v>39293</v>
      </c>
      <c r="N6845" t="s">
        <v>40436</v>
      </c>
      <c r="O6845" t="s">
        <v>40437</v>
      </c>
      <c r="P6845">
        <v>0</v>
      </c>
      <c r="Q6845">
        <v>6</v>
      </c>
      <c r="R6845" t="s">
        <v>40444</v>
      </c>
      <c r="S6845" t="s">
        <v>40676</v>
      </c>
      <c r="T6845" t="s">
        <v>42424</v>
      </c>
      <c r="U6845" t="s">
        <v>48396</v>
      </c>
      <c r="W6845" t="s">
        <v>39293</v>
      </c>
      <c r="X6845" t="s">
        <v>40445</v>
      </c>
    </row>
    <row r="6846" spans="1:24">
      <c r="A6846">
        <f>HYPERLINK("https://www.philgeps.gov.ph/GEPSNONPILOT/Tender/SplashBidNoticeAbstractUI.aspx?menuIndex=3&amp;refID=7038502&amp;Result=3","7038502")</f>
        <v>0</v>
      </c>
      <c r="B6846" t="s">
        <v>1302</v>
      </c>
      <c r="C6846" t="s">
        <v>9590</v>
      </c>
      <c r="D6846" t="s">
        <v>16191</v>
      </c>
      <c r="E6846" t="s">
        <v>19104</v>
      </c>
      <c r="F6846" t="s">
        <v>28198</v>
      </c>
      <c r="G6846" t="s">
        <v>28205</v>
      </c>
      <c r="H6846" t="s">
        <v>28214</v>
      </c>
      <c r="I6846" t="s">
        <v>3797</v>
      </c>
      <c r="J6846" t="s">
        <v>32637</v>
      </c>
      <c r="K6846" t="s">
        <v>36689</v>
      </c>
      <c r="M6846" t="s">
        <v>38356</v>
      </c>
      <c r="N6846" t="s">
        <v>40436</v>
      </c>
      <c r="O6846" t="s">
        <v>40437</v>
      </c>
      <c r="P6846">
        <v>0</v>
      </c>
      <c r="Q6846">
        <v>0</v>
      </c>
      <c r="R6846" t="s">
        <v>40444</v>
      </c>
      <c r="S6846" t="s">
        <v>40676</v>
      </c>
      <c r="T6846" t="s">
        <v>42133</v>
      </c>
      <c r="U6846" t="s">
        <v>48397</v>
      </c>
      <c r="W6846" t="s">
        <v>38356</v>
      </c>
      <c r="X6846" t="s">
        <v>40445</v>
      </c>
    </row>
    <row r="6847" spans="1:24">
      <c r="A6847">
        <f>HYPERLINK("https://www.philgeps.gov.ph/GEPSNONPILOT/Tender/SplashBidNoticeAbstractUI.aspx?menuIndex=3&amp;refID=7038535&amp;Result=3","7038535")</f>
        <v>0</v>
      </c>
      <c r="B6847" t="s">
        <v>2172</v>
      </c>
      <c r="C6847" t="s">
        <v>9591</v>
      </c>
      <c r="D6847" t="s">
        <v>16232</v>
      </c>
      <c r="E6847" t="s">
        <v>22334</v>
      </c>
      <c r="F6847" t="s">
        <v>28198</v>
      </c>
      <c r="G6847" t="s">
        <v>28205</v>
      </c>
      <c r="H6847" t="s">
        <v>28214</v>
      </c>
      <c r="I6847" t="s">
        <v>3797</v>
      </c>
      <c r="J6847" t="s">
        <v>32638</v>
      </c>
      <c r="K6847" t="s">
        <v>36692</v>
      </c>
      <c r="M6847" t="s">
        <v>39332</v>
      </c>
      <c r="N6847" t="s">
        <v>40436</v>
      </c>
      <c r="O6847" t="s">
        <v>40437</v>
      </c>
      <c r="P6847">
        <v>0</v>
      </c>
      <c r="Q6847">
        <v>0</v>
      </c>
      <c r="R6847" t="s">
        <v>40444</v>
      </c>
      <c r="S6847" t="s">
        <v>40676</v>
      </c>
      <c r="T6847" t="s">
        <v>42435</v>
      </c>
      <c r="U6847" t="s">
        <v>48398</v>
      </c>
      <c r="W6847" t="s">
        <v>39332</v>
      </c>
      <c r="X6847" t="s">
        <v>40445</v>
      </c>
    </row>
    <row r="6848" spans="1:24">
      <c r="A6848">
        <f>HYPERLINK("https://www.philgeps.gov.ph/GEPSNONPILOT/Tender/SplashBidNoticeAbstractUI.aspx?menuIndex=3&amp;refID=7038531&amp;Result=3","7038531")</f>
        <v>0</v>
      </c>
      <c r="B6848" t="s">
        <v>2161</v>
      </c>
      <c r="C6848" t="s">
        <v>9592</v>
      </c>
      <c r="D6848" t="s">
        <v>16209</v>
      </c>
      <c r="E6848" t="s">
        <v>22335</v>
      </c>
      <c r="F6848" t="s">
        <v>28198</v>
      </c>
      <c r="G6848" t="s">
        <v>28205</v>
      </c>
      <c r="H6848" t="s">
        <v>28215</v>
      </c>
      <c r="I6848" t="s">
        <v>28222</v>
      </c>
      <c r="J6848" t="s">
        <v>28393</v>
      </c>
      <c r="K6848" t="s">
        <v>36694</v>
      </c>
      <c r="M6848" t="s">
        <v>39318</v>
      </c>
      <c r="N6848" t="s">
        <v>40436</v>
      </c>
      <c r="O6848" t="s">
        <v>40437</v>
      </c>
      <c r="P6848">
        <v>0</v>
      </c>
      <c r="Q6848">
        <v>0</v>
      </c>
      <c r="R6848" t="s">
        <v>40444</v>
      </c>
      <c r="S6848" t="s">
        <v>40676</v>
      </c>
      <c r="T6848" t="s">
        <v>42472</v>
      </c>
      <c r="U6848" t="s">
        <v>48399</v>
      </c>
      <c r="W6848" t="s">
        <v>39318</v>
      </c>
      <c r="X6848" t="s">
        <v>40445</v>
      </c>
    </row>
    <row r="6849" spans="1:24">
      <c r="A6849">
        <f>HYPERLINK("https://www.philgeps.gov.ph/GEPSNONPILOT/Tender/SplashBidNoticeAbstractUI.aspx?menuIndex=3&amp;refID=7038530&amp;Result=3","7038530")</f>
        <v>0</v>
      </c>
      <c r="B6849" t="s">
        <v>1302</v>
      </c>
      <c r="C6849" t="s">
        <v>9593</v>
      </c>
      <c r="D6849" t="s">
        <v>16191</v>
      </c>
      <c r="E6849" t="s">
        <v>19191</v>
      </c>
      <c r="F6849" t="s">
        <v>28198</v>
      </c>
      <c r="G6849" t="s">
        <v>28205</v>
      </c>
      <c r="H6849" t="s">
        <v>28214</v>
      </c>
      <c r="I6849" t="s">
        <v>3797</v>
      </c>
      <c r="J6849" t="s">
        <v>32639</v>
      </c>
      <c r="K6849" t="s">
        <v>36689</v>
      </c>
      <c r="M6849" t="s">
        <v>38356</v>
      </c>
      <c r="N6849" t="s">
        <v>40436</v>
      </c>
      <c r="O6849" t="s">
        <v>40437</v>
      </c>
      <c r="P6849">
        <v>0</v>
      </c>
      <c r="Q6849">
        <v>0</v>
      </c>
      <c r="R6849" t="s">
        <v>40444</v>
      </c>
      <c r="S6849" t="s">
        <v>40676</v>
      </c>
      <c r="T6849" t="s">
        <v>42133</v>
      </c>
      <c r="U6849" t="s">
        <v>48400</v>
      </c>
      <c r="W6849" t="s">
        <v>38356</v>
      </c>
      <c r="X6849" t="s">
        <v>40445</v>
      </c>
    </row>
    <row r="6850" spans="1:24">
      <c r="A6850">
        <f>HYPERLINK("https://www.philgeps.gov.ph/GEPSNONPILOT/Tender/SplashBidNoticeAbstractUI.aspx?menuIndex=3&amp;refID=7038534&amp;Result=3","7038534")</f>
        <v>0</v>
      </c>
      <c r="B6850" t="s">
        <v>106</v>
      </c>
      <c r="C6850" t="s">
        <v>9594</v>
      </c>
      <c r="E6850" t="s">
        <v>22336</v>
      </c>
      <c r="F6850" t="s">
        <v>28198</v>
      </c>
      <c r="G6850" t="s">
        <v>28207</v>
      </c>
      <c r="H6850" t="s">
        <v>28215</v>
      </c>
      <c r="I6850" t="s">
        <v>28234</v>
      </c>
      <c r="J6850" t="s">
        <v>28576</v>
      </c>
      <c r="K6850" t="s">
        <v>36689</v>
      </c>
      <c r="M6850" t="s">
        <v>37080</v>
      </c>
      <c r="N6850" t="s">
        <v>40436</v>
      </c>
      <c r="O6850" t="s">
        <v>40437</v>
      </c>
      <c r="P6850">
        <v>0</v>
      </c>
      <c r="Q6850">
        <v>9</v>
      </c>
      <c r="R6850" t="s">
        <v>40444</v>
      </c>
      <c r="S6850" t="s">
        <v>40676</v>
      </c>
      <c r="T6850" t="s">
        <v>42158</v>
      </c>
      <c r="U6850" t="s">
        <v>48401</v>
      </c>
      <c r="W6850" t="s">
        <v>37080</v>
      </c>
      <c r="X6850" t="s">
        <v>40445</v>
      </c>
    </row>
    <row r="6851" spans="1:24">
      <c r="A6851">
        <f>HYPERLINK("https://www.philgeps.gov.ph/GEPSNONPILOT/Tender/SplashBidNoticeAbstractUI.aspx?menuIndex=3&amp;refID=7038527&amp;Result=3","7038527")</f>
        <v>0</v>
      </c>
      <c r="B6851" t="s">
        <v>842</v>
      </c>
      <c r="C6851" t="s">
        <v>9595</v>
      </c>
      <c r="D6851" t="s">
        <v>16239</v>
      </c>
      <c r="E6851" t="s">
        <v>22337</v>
      </c>
      <c r="F6851" t="s">
        <v>28198</v>
      </c>
      <c r="G6851" t="s">
        <v>28205</v>
      </c>
      <c r="H6851" t="s">
        <v>28214</v>
      </c>
      <c r="I6851" t="s">
        <v>3797</v>
      </c>
      <c r="J6851" t="s">
        <v>32640</v>
      </c>
      <c r="K6851" t="s">
        <v>36692</v>
      </c>
      <c r="M6851" t="s">
        <v>39333</v>
      </c>
      <c r="N6851" t="s">
        <v>40436</v>
      </c>
      <c r="O6851" t="s">
        <v>40437</v>
      </c>
      <c r="P6851">
        <v>0</v>
      </c>
      <c r="Q6851">
        <v>0</v>
      </c>
      <c r="R6851" t="s">
        <v>40444</v>
      </c>
      <c r="S6851" t="s">
        <v>40676</v>
      </c>
      <c r="T6851" t="s">
        <v>42443</v>
      </c>
      <c r="U6851" t="s">
        <v>48402</v>
      </c>
      <c r="W6851" t="s">
        <v>39333</v>
      </c>
      <c r="X6851" t="s">
        <v>40445</v>
      </c>
    </row>
    <row r="6852" spans="1:24">
      <c r="A6852">
        <f>HYPERLINK("https://www.philgeps.gov.ph/GEPSNONPILOT/Tender/SplashBidNoticeAbstractUI.aspx?menuIndex=3&amp;refID=7038509&amp;Result=3","7038509")</f>
        <v>0</v>
      </c>
      <c r="B6852" t="s">
        <v>583</v>
      </c>
      <c r="C6852" t="s">
        <v>9596</v>
      </c>
      <c r="D6852" t="s">
        <v>16244</v>
      </c>
      <c r="E6852" t="s">
        <v>22338</v>
      </c>
      <c r="F6852" t="s">
        <v>28198</v>
      </c>
      <c r="G6852" t="s">
        <v>28207</v>
      </c>
      <c r="H6852" t="s">
        <v>28215</v>
      </c>
      <c r="I6852" t="s">
        <v>28224</v>
      </c>
      <c r="J6852" t="s">
        <v>31096</v>
      </c>
      <c r="K6852" t="s">
        <v>36707</v>
      </c>
      <c r="M6852" t="s">
        <v>39329</v>
      </c>
      <c r="N6852" t="s">
        <v>40436</v>
      </c>
      <c r="O6852" t="s">
        <v>40437</v>
      </c>
      <c r="P6852">
        <v>0</v>
      </c>
      <c r="Q6852">
        <v>2</v>
      </c>
      <c r="R6852" t="s">
        <v>40444</v>
      </c>
      <c r="S6852" t="s">
        <v>40676</v>
      </c>
      <c r="T6852" t="s">
        <v>42297</v>
      </c>
      <c r="U6852" t="s">
        <v>48403</v>
      </c>
      <c r="W6852" t="s">
        <v>39329</v>
      </c>
      <c r="X6852" t="s">
        <v>40445</v>
      </c>
    </row>
    <row r="6853" spans="1:24">
      <c r="A6853">
        <f>HYPERLINK("https://www.philgeps.gov.ph/GEPSNONPILOT/Tender/SplashBidNoticeAbstractUI.aspx?menuIndex=3&amp;refID=7038550&amp;Result=3","7038550")</f>
        <v>0</v>
      </c>
      <c r="B6853" t="s">
        <v>1215</v>
      </c>
      <c r="C6853" t="s">
        <v>9597</v>
      </c>
      <c r="D6853" t="s">
        <v>16238</v>
      </c>
      <c r="E6853" t="s">
        <v>22339</v>
      </c>
      <c r="F6853" t="s">
        <v>28198</v>
      </c>
      <c r="G6853" t="s">
        <v>28205</v>
      </c>
      <c r="H6853" t="s">
        <v>28214</v>
      </c>
      <c r="I6853" t="s">
        <v>3797</v>
      </c>
      <c r="J6853" t="s">
        <v>32641</v>
      </c>
      <c r="K6853" t="s">
        <v>36692</v>
      </c>
      <c r="M6853" t="s">
        <v>39334</v>
      </c>
      <c r="N6853" t="s">
        <v>40436</v>
      </c>
      <c r="O6853" t="s">
        <v>40437</v>
      </c>
      <c r="P6853">
        <v>0</v>
      </c>
      <c r="Q6853">
        <v>0</v>
      </c>
      <c r="R6853" t="s">
        <v>40444</v>
      </c>
      <c r="S6853" t="s">
        <v>40676</v>
      </c>
      <c r="T6853" t="s">
        <v>42457</v>
      </c>
      <c r="U6853" t="s">
        <v>48404</v>
      </c>
      <c r="W6853" t="s">
        <v>39334</v>
      </c>
      <c r="X6853" t="s">
        <v>40445</v>
      </c>
    </row>
    <row r="6854" spans="1:24">
      <c r="A6854">
        <f>HYPERLINK("https://www.philgeps.gov.ph/GEPSNONPILOT/Tender/SplashBidNoticeAbstractUI.aspx?menuIndex=3&amp;refID=7038511&amp;Result=3","7038511")</f>
        <v>0</v>
      </c>
      <c r="B6854" t="s">
        <v>1118</v>
      </c>
      <c r="C6854" t="s">
        <v>9598</v>
      </c>
      <c r="D6854" t="s">
        <v>16196</v>
      </c>
      <c r="E6854" t="s">
        <v>22340</v>
      </c>
      <c r="F6854" t="s">
        <v>28198</v>
      </c>
      <c r="G6854" t="s">
        <v>28207</v>
      </c>
      <c r="H6854" t="s">
        <v>28215</v>
      </c>
      <c r="I6854" t="s">
        <v>8870</v>
      </c>
      <c r="J6854" t="s">
        <v>28597</v>
      </c>
      <c r="K6854" t="s">
        <v>36707</v>
      </c>
      <c r="M6854" t="s">
        <v>38156</v>
      </c>
      <c r="N6854" t="s">
        <v>40436</v>
      </c>
      <c r="O6854" t="s">
        <v>40437</v>
      </c>
      <c r="P6854">
        <v>0</v>
      </c>
      <c r="Q6854">
        <v>1</v>
      </c>
      <c r="R6854" t="s">
        <v>40444</v>
      </c>
      <c r="S6854" t="s">
        <v>40676</v>
      </c>
      <c r="T6854" t="s">
        <v>42233</v>
      </c>
      <c r="U6854" t="s">
        <v>48405</v>
      </c>
      <c r="W6854" t="s">
        <v>38156</v>
      </c>
      <c r="X6854" t="s">
        <v>40445</v>
      </c>
    </row>
    <row r="6855" spans="1:24">
      <c r="A6855">
        <f>HYPERLINK("https://www.philgeps.gov.ph/GEPSNONPILOT/Tender/SplashBidNoticeAbstractUI.aspx?menuIndex=3&amp;refID=7038558&amp;Result=3","7038558")</f>
        <v>0</v>
      </c>
      <c r="B6855" t="s">
        <v>2148</v>
      </c>
      <c r="C6855" t="s">
        <v>9599</v>
      </c>
      <c r="D6855" t="s">
        <v>16201</v>
      </c>
      <c r="E6855" t="s">
        <v>22341</v>
      </c>
      <c r="F6855" t="s">
        <v>28198</v>
      </c>
      <c r="G6855" t="s">
        <v>28205</v>
      </c>
      <c r="H6855" t="s">
        <v>28214</v>
      </c>
      <c r="I6855" t="s">
        <v>3797</v>
      </c>
      <c r="J6855" t="s">
        <v>32642</v>
      </c>
      <c r="K6855" t="s">
        <v>36715</v>
      </c>
      <c r="M6855" t="s">
        <v>39305</v>
      </c>
      <c r="N6855" t="s">
        <v>40436</v>
      </c>
      <c r="O6855" t="s">
        <v>40437</v>
      </c>
      <c r="P6855">
        <v>0</v>
      </c>
      <c r="Q6855">
        <v>0</v>
      </c>
      <c r="R6855" t="s">
        <v>40444</v>
      </c>
      <c r="S6855" t="s">
        <v>40676</v>
      </c>
      <c r="T6855" t="s">
        <v>42375</v>
      </c>
      <c r="U6855" t="s">
        <v>48406</v>
      </c>
      <c r="V6855" t="s">
        <v>54503</v>
      </c>
      <c r="W6855" t="s">
        <v>39305</v>
      </c>
      <c r="X6855" t="s">
        <v>40445</v>
      </c>
    </row>
    <row r="6856" spans="1:24">
      <c r="A6856">
        <f>HYPERLINK("https://www.philgeps.gov.ph/GEPSNONPILOT/Tender/SplashBidNoticeAbstractUI.aspx?menuIndex=3&amp;refID=7038510&amp;Result=3","7038510")</f>
        <v>0</v>
      </c>
      <c r="B6856" t="s">
        <v>2170</v>
      </c>
      <c r="C6856" t="s">
        <v>9600</v>
      </c>
      <c r="D6856" t="s">
        <v>16246</v>
      </c>
      <c r="E6856" t="s">
        <v>22342</v>
      </c>
      <c r="F6856" t="s">
        <v>28198</v>
      </c>
      <c r="G6856" t="s">
        <v>28205</v>
      </c>
      <c r="H6856" t="s">
        <v>28214</v>
      </c>
      <c r="I6856" t="s">
        <v>3797</v>
      </c>
      <c r="J6856" t="s">
        <v>29120</v>
      </c>
      <c r="K6856" t="s">
        <v>36689</v>
      </c>
      <c r="M6856" t="s">
        <v>39328</v>
      </c>
      <c r="N6856" t="s">
        <v>40436</v>
      </c>
      <c r="O6856" t="s">
        <v>40437</v>
      </c>
      <c r="P6856">
        <v>0</v>
      </c>
      <c r="Q6856">
        <v>0</v>
      </c>
      <c r="R6856" t="s">
        <v>40444</v>
      </c>
      <c r="S6856" t="s">
        <v>40676</v>
      </c>
      <c r="T6856" t="s">
        <v>42184</v>
      </c>
      <c r="U6856" t="s">
        <v>48407</v>
      </c>
      <c r="V6856" t="s">
        <v>54501</v>
      </c>
      <c r="W6856" t="s">
        <v>39328</v>
      </c>
      <c r="X6856" t="s">
        <v>40445</v>
      </c>
    </row>
    <row r="6857" spans="1:24">
      <c r="A6857">
        <f>HYPERLINK("https://www.philgeps.gov.ph/GEPSNONPILOT/Tender/SplashBidNoticeAbstractUI.aspx?menuIndex=3&amp;refID=7038553&amp;Result=3","7038553")</f>
        <v>0</v>
      </c>
      <c r="B6857" t="s">
        <v>890</v>
      </c>
      <c r="C6857" t="s">
        <v>9601</v>
      </c>
      <c r="D6857" t="s">
        <v>16213</v>
      </c>
      <c r="E6857" t="s">
        <v>22343</v>
      </c>
      <c r="F6857" t="s">
        <v>28198</v>
      </c>
      <c r="G6857" t="s">
        <v>28205</v>
      </c>
      <c r="H6857" t="s">
        <v>28215</v>
      </c>
      <c r="I6857" t="s">
        <v>4168</v>
      </c>
      <c r="J6857" t="s">
        <v>32643</v>
      </c>
      <c r="K6857" t="s">
        <v>36688</v>
      </c>
      <c r="M6857" t="s">
        <v>37906</v>
      </c>
      <c r="N6857" t="s">
        <v>40436</v>
      </c>
      <c r="O6857" t="s">
        <v>40437</v>
      </c>
      <c r="P6857">
        <v>0</v>
      </c>
      <c r="Q6857">
        <v>4</v>
      </c>
      <c r="R6857" t="s">
        <v>40444</v>
      </c>
      <c r="S6857" t="s">
        <v>40676</v>
      </c>
      <c r="T6857" t="s">
        <v>42234</v>
      </c>
      <c r="U6857" t="s">
        <v>48408</v>
      </c>
      <c r="W6857" t="s">
        <v>37906</v>
      </c>
      <c r="X6857" t="s">
        <v>40445</v>
      </c>
    </row>
    <row r="6858" spans="1:24">
      <c r="A6858">
        <f>HYPERLINK("https://www.philgeps.gov.ph/GEPSNONPILOT/Tender/SplashBidNoticeAbstractUI.aspx?menuIndex=3&amp;refID=7038543&amp;Result=3","7038543")</f>
        <v>0</v>
      </c>
      <c r="B6858" t="s">
        <v>1528</v>
      </c>
      <c r="C6858" t="s">
        <v>9602</v>
      </c>
      <c r="D6858" t="s">
        <v>16230</v>
      </c>
      <c r="E6858" t="s">
        <v>16735</v>
      </c>
      <c r="F6858" t="s">
        <v>28198</v>
      </c>
      <c r="G6858" t="s">
        <v>28205</v>
      </c>
      <c r="H6858" t="s">
        <v>28215</v>
      </c>
      <c r="I6858" t="s">
        <v>5791</v>
      </c>
      <c r="J6858" t="s">
        <v>32644</v>
      </c>
      <c r="K6858" t="s">
        <v>36691</v>
      </c>
      <c r="M6858" t="s">
        <v>38606</v>
      </c>
      <c r="N6858" t="s">
        <v>40436</v>
      </c>
      <c r="O6858" t="s">
        <v>40437</v>
      </c>
      <c r="P6858">
        <v>0</v>
      </c>
      <c r="Q6858">
        <v>1</v>
      </c>
      <c r="R6858" t="s">
        <v>40444</v>
      </c>
      <c r="S6858" t="s">
        <v>40676</v>
      </c>
      <c r="T6858" t="s">
        <v>42426</v>
      </c>
      <c r="U6858" t="s">
        <v>48409</v>
      </c>
      <c r="W6858" t="s">
        <v>38606</v>
      </c>
      <c r="X6858" t="s">
        <v>40445</v>
      </c>
    </row>
    <row r="6859" spans="1:24">
      <c r="A6859">
        <f>HYPERLINK("https://www.philgeps.gov.ph/GEPSNONPILOT/Tender/SplashBidNoticeAbstractUI.aspx?menuIndex=3&amp;refID=7038552&amp;Result=3","7038552")</f>
        <v>0</v>
      </c>
      <c r="B6859" t="s">
        <v>2173</v>
      </c>
      <c r="C6859" t="s">
        <v>9603</v>
      </c>
      <c r="D6859" t="s">
        <v>16223</v>
      </c>
      <c r="E6859" t="s">
        <v>22344</v>
      </c>
      <c r="F6859" t="s">
        <v>28198</v>
      </c>
      <c r="G6859" t="s">
        <v>28207</v>
      </c>
      <c r="H6859" t="s">
        <v>28215</v>
      </c>
      <c r="I6859" t="s">
        <v>4505</v>
      </c>
      <c r="J6859" t="s">
        <v>32645</v>
      </c>
      <c r="K6859" t="s">
        <v>36701</v>
      </c>
      <c r="M6859" t="s">
        <v>39335</v>
      </c>
      <c r="N6859" t="s">
        <v>40436</v>
      </c>
      <c r="O6859" t="s">
        <v>40437</v>
      </c>
      <c r="P6859">
        <v>0</v>
      </c>
      <c r="Q6859">
        <v>11</v>
      </c>
      <c r="R6859" t="s">
        <v>40444</v>
      </c>
      <c r="S6859" t="s">
        <v>40676</v>
      </c>
      <c r="T6859" t="s">
        <v>42169</v>
      </c>
      <c r="U6859" t="s">
        <v>48410</v>
      </c>
      <c r="W6859" t="s">
        <v>39335</v>
      </c>
      <c r="X6859" t="s">
        <v>40445</v>
      </c>
    </row>
    <row r="6860" spans="1:24">
      <c r="A6860">
        <f>HYPERLINK("https://www.philgeps.gov.ph/GEPSNONPILOT/Tender/SplashBidNoticeAbstractUI.aspx?menuIndex=3&amp;refID=7038507&amp;Result=3","7038507")</f>
        <v>0</v>
      </c>
      <c r="B6860" t="s">
        <v>2174</v>
      </c>
      <c r="C6860" t="s">
        <v>9604</v>
      </c>
      <c r="D6860" t="s">
        <v>16189</v>
      </c>
      <c r="E6860" t="s">
        <v>21436</v>
      </c>
      <c r="F6860" t="s">
        <v>28198</v>
      </c>
      <c r="G6860" t="s">
        <v>28210</v>
      </c>
      <c r="H6860" t="s">
        <v>28215</v>
      </c>
      <c r="I6860" t="s">
        <v>28234</v>
      </c>
      <c r="J6860" t="s">
        <v>28414</v>
      </c>
      <c r="K6860" t="s">
        <v>36693</v>
      </c>
      <c r="M6860" t="s">
        <v>39336</v>
      </c>
      <c r="N6860" t="s">
        <v>40436</v>
      </c>
      <c r="O6860" t="s">
        <v>40437</v>
      </c>
      <c r="P6860">
        <v>0</v>
      </c>
      <c r="Q6860">
        <v>2</v>
      </c>
      <c r="R6860" t="s">
        <v>40444</v>
      </c>
      <c r="S6860" t="s">
        <v>40676</v>
      </c>
      <c r="T6860" t="s">
        <v>42245</v>
      </c>
      <c r="U6860" t="s">
        <v>48411</v>
      </c>
      <c r="W6860" t="s">
        <v>39336</v>
      </c>
      <c r="X6860" t="s">
        <v>40445</v>
      </c>
    </row>
    <row r="6861" spans="1:24">
      <c r="A6861">
        <f>HYPERLINK("https://www.philgeps.gov.ph/GEPSNONPILOT/Tender/SplashBidNoticeAbstractUI.aspx?menuIndex=3&amp;refID=7038544&amp;Result=3","7038544")</f>
        <v>0</v>
      </c>
      <c r="B6861" t="s">
        <v>842</v>
      </c>
      <c r="C6861" t="s">
        <v>9605</v>
      </c>
      <c r="D6861" t="s">
        <v>16239</v>
      </c>
      <c r="E6861" t="s">
        <v>22345</v>
      </c>
      <c r="F6861" t="s">
        <v>28198</v>
      </c>
      <c r="G6861" t="s">
        <v>28205</v>
      </c>
      <c r="H6861" t="s">
        <v>28214</v>
      </c>
      <c r="I6861" t="s">
        <v>3797</v>
      </c>
      <c r="J6861" t="s">
        <v>32646</v>
      </c>
      <c r="K6861" t="s">
        <v>36692</v>
      </c>
      <c r="M6861" t="s">
        <v>39333</v>
      </c>
      <c r="N6861" t="s">
        <v>40436</v>
      </c>
      <c r="O6861" t="s">
        <v>40437</v>
      </c>
      <c r="P6861">
        <v>0</v>
      </c>
      <c r="Q6861">
        <v>0</v>
      </c>
      <c r="R6861" t="s">
        <v>40444</v>
      </c>
      <c r="S6861" t="s">
        <v>40676</v>
      </c>
      <c r="T6861" t="s">
        <v>42443</v>
      </c>
      <c r="U6861" t="s">
        <v>48412</v>
      </c>
      <c r="W6861" t="s">
        <v>39333</v>
      </c>
      <c r="X6861" t="s">
        <v>40445</v>
      </c>
    </row>
    <row r="6862" spans="1:24">
      <c r="A6862">
        <f>HYPERLINK("https://www.philgeps.gov.ph/GEPSNONPILOT/Tender/SplashBidNoticeAbstractUI.aspx?menuIndex=3&amp;refID=7038540&amp;Result=3","7038540")</f>
        <v>0</v>
      </c>
      <c r="B6862" t="s">
        <v>1890</v>
      </c>
      <c r="C6862" t="s">
        <v>9606</v>
      </c>
      <c r="D6862" t="s">
        <v>16252</v>
      </c>
      <c r="E6862" t="s">
        <v>21395</v>
      </c>
      <c r="F6862" t="s">
        <v>28198</v>
      </c>
      <c r="G6862" t="s">
        <v>28205</v>
      </c>
      <c r="H6862" t="s">
        <v>28214</v>
      </c>
      <c r="I6862" t="s">
        <v>5100</v>
      </c>
      <c r="J6862" t="s">
        <v>28345</v>
      </c>
      <c r="K6862" t="s">
        <v>36693</v>
      </c>
      <c r="M6862" t="s">
        <v>39022</v>
      </c>
      <c r="N6862" t="s">
        <v>40436</v>
      </c>
      <c r="O6862" t="s">
        <v>40437</v>
      </c>
      <c r="P6862">
        <v>0</v>
      </c>
      <c r="Q6862">
        <v>2</v>
      </c>
      <c r="R6862" t="s">
        <v>40444</v>
      </c>
      <c r="S6862" t="s">
        <v>40676</v>
      </c>
      <c r="T6862" t="s">
        <v>42161</v>
      </c>
      <c r="U6862" t="s">
        <v>48413</v>
      </c>
      <c r="W6862" t="s">
        <v>39022</v>
      </c>
      <c r="X6862" t="s">
        <v>40445</v>
      </c>
    </row>
    <row r="6863" spans="1:24">
      <c r="A6863">
        <f>HYPERLINK("https://www.philgeps.gov.ph/GEPSNONPILOT/Tender/SplashBidNoticeAbstractUI.aspx?menuIndex=3&amp;refID=7038554&amp;Result=3","7038554")</f>
        <v>0</v>
      </c>
      <c r="B6863" t="s">
        <v>1845</v>
      </c>
      <c r="C6863" t="s">
        <v>9607</v>
      </c>
      <c r="D6863" t="s">
        <v>16190</v>
      </c>
      <c r="E6863" t="s">
        <v>22346</v>
      </c>
      <c r="F6863" t="s">
        <v>28198</v>
      </c>
      <c r="G6863" t="s">
        <v>28205</v>
      </c>
      <c r="H6863" t="s">
        <v>28215</v>
      </c>
      <c r="I6863" t="s">
        <v>28243</v>
      </c>
      <c r="J6863" t="s">
        <v>32647</v>
      </c>
      <c r="K6863" t="s">
        <v>36687</v>
      </c>
      <c r="M6863" t="s">
        <v>38972</v>
      </c>
      <c r="N6863" t="s">
        <v>40436</v>
      </c>
      <c r="O6863" t="s">
        <v>40437</v>
      </c>
      <c r="Q6863">
        <v>2</v>
      </c>
      <c r="R6863" t="s">
        <v>40444</v>
      </c>
      <c r="S6863" t="s">
        <v>40689</v>
      </c>
      <c r="T6863" t="s">
        <v>42431</v>
      </c>
      <c r="U6863" t="s">
        <v>48277</v>
      </c>
      <c r="W6863" t="s">
        <v>55497</v>
      </c>
      <c r="X6863" t="s">
        <v>40445</v>
      </c>
    </row>
    <row r="6864" spans="1:24">
      <c r="A6864">
        <f>HYPERLINK("https://www.philgeps.gov.ph/GEPSNONPILOT/Tender/SplashBidNoticeAbstractUI.aspx?menuIndex=3&amp;refID=7038504&amp;Result=3","7038504")</f>
        <v>0</v>
      </c>
      <c r="B6864" t="s">
        <v>1845</v>
      </c>
      <c r="C6864" t="s">
        <v>9608</v>
      </c>
      <c r="D6864" t="s">
        <v>16190</v>
      </c>
      <c r="E6864" t="s">
        <v>22347</v>
      </c>
      <c r="F6864" t="s">
        <v>28198</v>
      </c>
      <c r="G6864" t="s">
        <v>28205</v>
      </c>
      <c r="H6864" t="s">
        <v>28215</v>
      </c>
      <c r="I6864" t="s">
        <v>5631</v>
      </c>
      <c r="J6864" t="s">
        <v>32648</v>
      </c>
      <c r="K6864" t="s">
        <v>36687</v>
      </c>
      <c r="M6864" t="s">
        <v>38972</v>
      </c>
      <c r="N6864" t="s">
        <v>40436</v>
      </c>
      <c r="O6864" t="s">
        <v>40437</v>
      </c>
      <c r="Q6864">
        <v>2</v>
      </c>
      <c r="R6864" t="s">
        <v>40444</v>
      </c>
      <c r="S6864" t="s">
        <v>40690</v>
      </c>
      <c r="T6864" t="s">
        <v>42431</v>
      </c>
      <c r="U6864" t="s">
        <v>48277</v>
      </c>
      <c r="W6864" t="s">
        <v>55497</v>
      </c>
      <c r="X6864" t="s">
        <v>40445</v>
      </c>
    </row>
    <row r="6865" spans="1:24">
      <c r="A6865">
        <f>HYPERLINK("https://www.philgeps.gov.ph/GEPSNONPILOT/Tender/SplashBidNoticeAbstractUI.aspx?menuIndex=3&amp;refID=7038592&amp;Result=3","7038592")</f>
        <v>0</v>
      </c>
      <c r="B6865" t="s">
        <v>2175</v>
      </c>
      <c r="C6865" t="s">
        <v>9609</v>
      </c>
      <c r="D6865" t="s">
        <v>16204</v>
      </c>
      <c r="E6865" t="s">
        <v>16835</v>
      </c>
      <c r="F6865" t="s">
        <v>28198</v>
      </c>
      <c r="G6865" t="s">
        <v>28205</v>
      </c>
      <c r="H6865" t="s">
        <v>28215</v>
      </c>
      <c r="I6865" t="s">
        <v>28251</v>
      </c>
      <c r="J6865" t="s">
        <v>32649</v>
      </c>
      <c r="K6865" t="s">
        <v>36701</v>
      </c>
      <c r="M6865" t="s">
        <v>39337</v>
      </c>
      <c r="N6865" t="s">
        <v>40436</v>
      </c>
      <c r="O6865" t="s">
        <v>40437</v>
      </c>
      <c r="P6865">
        <v>0</v>
      </c>
      <c r="Q6865">
        <v>1</v>
      </c>
      <c r="R6865" t="s">
        <v>40444</v>
      </c>
      <c r="S6865" t="s">
        <v>40676</v>
      </c>
      <c r="T6865" t="s">
        <v>42233</v>
      </c>
      <c r="U6865" t="s">
        <v>48414</v>
      </c>
      <c r="W6865" t="s">
        <v>39337</v>
      </c>
      <c r="X6865" t="s">
        <v>40445</v>
      </c>
    </row>
    <row r="6866" spans="1:24">
      <c r="A6866">
        <f>HYPERLINK("https://www.philgeps.gov.ph/GEPSNONPILOT/Tender/SplashBidNoticeAbstractUI.aspx?menuIndex=3&amp;refID=7038562&amp;Result=3","7038562")</f>
        <v>0</v>
      </c>
      <c r="B6866" t="s">
        <v>842</v>
      </c>
      <c r="C6866" t="s">
        <v>9610</v>
      </c>
      <c r="D6866" t="s">
        <v>16239</v>
      </c>
      <c r="E6866" t="s">
        <v>22348</v>
      </c>
      <c r="F6866" t="s">
        <v>28198</v>
      </c>
      <c r="G6866" t="s">
        <v>28205</v>
      </c>
      <c r="H6866" t="s">
        <v>28214</v>
      </c>
      <c r="I6866" t="s">
        <v>3797</v>
      </c>
      <c r="J6866" t="s">
        <v>32650</v>
      </c>
      <c r="K6866" t="s">
        <v>36692</v>
      </c>
      <c r="M6866" t="s">
        <v>39333</v>
      </c>
      <c r="N6866" t="s">
        <v>40436</v>
      </c>
      <c r="O6866" t="s">
        <v>40437</v>
      </c>
      <c r="P6866">
        <v>0</v>
      </c>
      <c r="Q6866">
        <v>0</v>
      </c>
      <c r="R6866" t="s">
        <v>40444</v>
      </c>
      <c r="S6866" t="s">
        <v>40676</v>
      </c>
      <c r="T6866" t="s">
        <v>42443</v>
      </c>
      <c r="U6866" t="s">
        <v>48415</v>
      </c>
      <c r="W6866" t="s">
        <v>39333</v>
      </c>
      <c r="X6866" t="s">
        <v>40445</v>
      </c>
    </row>
    <row r="6867" spans="1:24">
      <c r="A6867">
        <f>HYPERLINK("https://www.philgeps.gov.ph/GEPSNONPILOT/Tender/SplashBidNoticeAbstractUI.aspx?menuIndex=3&amp;refID=7038579&amp;Result=3","7038579")</f>
        <v>0</v>
      </c>
      <c r="B6867" t="s">
        <v>2176</v>
      </c>
      <c r="C6867" t="s">
        <v>9611</v>
      </c>
      <c r="D6867" t="s">
        <v>16260</v>
      </c>
      <c r="E6867" t="s">
        <v>22349</v>
      </c>
      <c r="F6867" t="s">
        <v>28198</v>
      </c>
      <c r="G6867" t="s">
        <v>28205</v>
      </c>
      <c r="H6867" t="s">
        <v>28215</v>
      </c>
      <c r="I6867" t="s">
        <v>4200</v>
      </c>
      <c r="J6867" t="s">
        <v>32651</v>
      </c>
      <c r="K6867" t="s">
        <v>36697</v>
      </c>
      <c r="M6867" t="s">
        <v>39338</v>
      </c>
      <c r="N6867" t="s">
        <v>40436</v>
      </c>
      <c r="O6867" t="s">
        <v>40437</v>
      </c>
      <c r="P6867">
        <v>0</v>
      </c>
      <c r="Q6867">
        <v>7</v>
      </c>
      <c r="R6867" t="s">
        <v>40444</v>
      </c>
      <c r="S6867" t="s">
        <v>40676</v>
      </c>
      <c r="T6867" t="s">
        <v>42109</v>
      </c>
      <c r="U6867" t="s">
        <v>48416</v>
      </c>
      <c r="W6867" t="s">
        <v>39338</v>
      </c>
      <c r="X6867" t="s">
        <v>40445</v>
      </c>
    </row>
    <row r="6868" spans="1:24">
      <c r="A6868">
        <f>HYPERLINK("https://www.philgeps.gov.ph/GEPSNONPILOT/Tender/SplashBidNoticeAbstractUI.aspx?menuIndex=3&amp;refID=7038589&amp;Result=3","7038589")</f>
        <v>0</v>
      </c>
      <c r="B6868" t="s">
        <v>2177</v>
      </c>
      <c r="C6868" t="s">
        <v>9612</v>
      </c>
      <c r="D6868" t="s">
        <v>16251</v>
      </c>
      <c r="E6868" t="s">
        <v>22350</v>
      </c>
      <c r="F6868" t="s">
        <v>28198</v>
      </c>
      <c r="G6868" t="s">
        <v>28205</v>
      </c>
      <c r="H6868" t="s">
        <v>28215</v>
      </c>
      <c r="I6868" t="s">
        <v>28237</v>
      </c>
      <c r="J6868" t="s">
        <v>32652</v>
      </c>
      <c r="K6868" t="s">
        <v>36707</v>
      </c>
      <c r="M6868" t="s">
        <v>39339</v>
      </c>
      <c r="N6868" t="s">
        <v>40436</v>
      </c>
      <c r="O6868" t="s">
        <v>40437</v>
      </c>
      <c r="Q6868">
        <v>3</v>
      </c>
      <c r="R6868" t="s">
        <v>40444</v>
      </c>
      <c r="S6868" t="s">
        <v>40691</v>
      </c>
      <c r="T6868" t="s">
        <v>42138</v>
      </c>
      <c r="U6868" t="s">
        <v>48417</v>
      </c>
      <c r="W6868" t="s">
        <v>39339</v>
      </c>
      <c r="X6868" t="s">
        <v>40445</v>
      </c>
    </row>
    <row r="6869" spans="1:24">
      <c r="A6869">
        <f>HYPERLINK("https://www.philgeps.gov.ph/GEPSNONPILOT/Tender/SplashBidNoticeAbstractUI.aspx?menuIndex=3&amp;refID=7038574&amp;Result=3","7038574")</f>
        <v>0</v>
      </c>
      <c r="B6869" t="s">
        <v>2178</v>
      </c>
      <c r="C6869" t="s">
        <v>9613</v>
      </c>
      <c r="D6869" t="s">
        <v>16260</v>
      </c>
      <c r="E6869" t="s">
        <v>22351</v>
      </c>
      <c r="F6869" t="s">
        <v>28198</v>
      </c>
      <c r="G6869" t="s">
        <v>28210</v>
      </c>
      <c r="H6869" t="s">
        <v>28215</v>
      </c>
      <c r="I6869" t="s">
        <v>5082</v>
      </c>
      <c r="J6869" t="s">
        <v>32653</v>
      </c>
      <c r="K6869" t="s">
        <v>36693</v>
      </c>
      <c r="M6869" t="s">
        <v>39340</v>
      </c>
      <c r="N6869" t="s">
        <v>40436</v>
      </c>
      <c r="O6869" t="s">
        <v>40437</v>
      </c>
      <c r="P6869">
        <v>0</v>
      </c>
      <c r="Q6869">
        <v>1</v>
      </c>
      <c r="R6869" t="s">
        <v>40444</v>
      </c>
      <c r="S6869" t="s">
        <v>40676</v>
      </c>
      <c r="T6869" t="s">
        <v>42131</v>
      </c>
      <c r="U6869" t="s">
        <v>48418</v>
      </c>
      <c r="W6869" t="s">
        <v>39340</v>
      </c>
      <c r="X6869" t="s">
        <v>40445</v>
      </c>
    </row>
    <row r="6870" spans="1:24">
      <c r="A6870">
        <f>HYPERLINK("https://www.philgeps.gov.ph/GEPSNONPILOT/Tender/SplashBidNoticeAbstractUI.aspx?menuIndex=3&amp;refID=7038603&amp;Result=3","7038603")</f>
        <v>0</v>
      </c>
      <c r="B6870" t="s">
        <v>1157</v>
      </c>
      <c r="C6870" t="s">
        <v>9614</v>
      </c>
      <c r="D6870" t="s">
        <v>16193</v>
      </c>
      <c r="E6870" t="s">
        <v>19802</v>
      </c>
      <c r="F6870" t="s">
        <v>28198</v>
      </c>
      <c r="G6870" t="s">
        <v>28205</v>
      </c>
      <c r="H6870" t="s">
        <v>28215</v>
      </c>
      <c r="I6870" t="s">
        <v>5100</v>
      </c>
      <c r="J6870" t="s">
        <v>32654</v>
      </c>
      <c r="K6870" t="s">
        <v>36689</v>
      </c>
      <c r="M6870" t="s">
        <v>38197</v>
      </c>
      <c r="N6870" t="s">
        <v>40436</v>
      </c>
      <c r="O6870" t="s">
        <v>40437</v>
      </c>
      <c r="P6870">
        <v>0</v>
      </c>
      <c r="Q6870">
        <v>0</v>
      </c>
      <c r="R6870" t="s">
        <v>40444</v>
      </c>
      <c r="S6870" t="s">
        <v>40676</v>
      </c>
      <c r="T6870" t="s">
        <v>42184</v>
      </c>
      <c r="U6870" t="s">
        <v>48419</v>
      </c>
      <c r="W6870" t="s">
        <v>55484</v>
      </c>
      <c r="X6870" t="s">
        <v>40445</v>
      </c>
    </row>
    <row r="6871" spans="1:24">
      <c r="A6871">
        <f>HYPERLINK("https://www.philgeps.gov.ph/GEPSNONPILOT/Tender/SplashBidNoticeAbstractUI.aspx?menuIndex=3&amp;refID=7038591&amp;Result=3","7038591")</f>
        <v>0</v>
      </c>
      <c r="B6871" t="s">
        <v>2179</v>
      </c>
      <c r="C6871" t="s">
        <v>9615</v>
      </c>
      <c r="D6871" t="s">
        <v>16188</v>
      </c>
      <c r="E6871" t="s">
        <v>16588</v>
      </c>
      <c r="F6871" t="s">
        <v>28198</v>
      </c>
      <c r="G6871" t="s">
        <v>28205</v>
      </c>
      <c r="H6871" t="s">
        <v>28215</v>
      </c>
      <c r="I6871" t="s">
        <v>28228</v>
      </c>
      <c r="J6871" t="s">
        <v>28398</v>
      </c>
      <c r="K6871" t="s">
        <v>36786</v>
      </c>
      <c r="M6871" t="s">
        <v>39341</v>
      </c>
      <c r="N6871" t="s">
        <v>40436</v>
      </c>
      <c r="O6871" t="s">
        <v>40437</v>
      </c>
      <c r="P6871">
        <v>0</v>
      </c>
      <c r="Q6871">
        <v>0</v>
      </c>
      <c r="R6871" t="s">
        <v>40444</v>
      </c>
      <c r="S6871" t="s">
        <v>40676</v>
      </c>
      <c r="T6871" t="s">
        <v>42185</v>
      </c>
      <c r="U6871" t="s">
        <v>48420</v>
      </c>
      <c r="W6871" t="s">
        <v>39341</v>
      </c>
      <c r="X6871" t="s">
        <v>40445</v>
      </c>
    </row>
    <row r="6872" spans="1:24">
      <c r="A6872">
        <f>HYPERLINK("https://www.philgeps.gov.ph/GEPSNONPILOT/Tender/SplashBidNoticeAbstractUI.aspx?menuIndex=3&amp;refID=7038573&amp;Result=3","7038573")</f>
        <v>0</v>
      </c>
      <c r="B6872" t="s">
        <v>842</v>
      </c>
      <c r="C6872" t="s">
        <v>9616</v>
      </c>
      <c r="D6872" t="s">
        <v>16239</v>
      </c>
      <c r="E6872" t="s">
        <v>22352</v>
      </c>
      <c r="F6872" t="s">
        <v>28198</v>
      </c>
      <c r="G6872" t="s">
        <v>28205</v>
      </c>
      <c r="H6872" t="s">
        <v>28214</v>
      </c>
      <c r="I6872" t="s">
        <v>3797</v>
      </c>
      <c r="J6872" t="s">
        <v>32655</v>
      </c>
      <c r="K6872" t="s">
        <v>36692</v>
      </c>
      <c r="M6872" t="s">
        <v>39333</v>
      </c>
      <c r="N6872" t="s">
        <v>40436</v>
      </c>
      <c r="O6872" t="s">
        <v>40437</v>
      </c>
      <c r="P6872">
        <v>0</v>
      </c>
      <c r="Q6872">
        <v>0</v>
      </c>
      <c r="R6872" t="s">
        <v>40444</v>
      </c>
      <c r="S6872" t="s">
        <v>40676</v>
      </c>
      <c r="T6872" t="s">
        <v>42443</v>
      </c>
      <c r="U6872" t="s">
        <v>48421</v>
      </c>
      <c r="W6872" t="s">
        <v>39333</v>
      </c>
      <c r="X6872" t="s">
        <v>40445</v>
      </c>
    </row>
    <row r="6873" spans="1:24">
      <c r="A6873">
        <f>HYPERLINK("https://www.philgeps.gov.ph/GEPSNONPILOT/Tender/SplashBidNoticeAbstractUI.aspx?menuIndex=3&amp;refID=7038581&amp;Result=3","7038581")</f>
        <v>0</v>
      </c>
      <c r="B6873" t="s">
        <v>553</v>
      </c>
      <c r="C6873" t="s">
        <v>8888</v>
      </c>
      <c r="E6873" t="s">
        <v>22353</v>
      </c>
      <c r="F6873" t="s">
        <v>28198</v>
      </c>
      <c r="G6873" t="s">
        <v>28205</v>
      </c>
      <c r="H6873" t="s">
        <v>28215</v>
      </c>
      <c r="I6873" t="s">
        <v>8888</v>
      </c>
      <c r="J6873" t="s">
        <v>32656</v>
      </c>
      <c r="K6873" t="s">
        <v>36689</v>
      </c>
      <c r="M6873" t="s">
        <v>37539</v>
      </c>
      <c r="N6873" t="s">
        <v>40436</v>
      </c>
      <c r="O6873" t="s">
        <v>40437</v>
      </c>
      <c r="P6873">
        <v>0</v>
      </c>
      <c r="Q6873">
        <v>3</v>
      </c>
      <c r="R6873" t="s">
        <v>40444</v>
      </c>
      <c r="S6873" t="s">
        <v>40676</v>
      </c>
      <c r="T6873" t="s">
        <v>42253</v>
      </c>
      <c r="U6873" t="s">
        <v>43776</v>
      </c>
      <c r="W6873" t="s">
        <v>37539</v>
      </c>
      <c r="X6873" t="s">
        <v>40445</v>
      </c>
    </row>
    <row r="6874" spans="1:24">
      <c r="A6874">
        <f>HYPERLINK("https://www.philgeps.gov.ph/GEPSNONPILOT/Tender/SplashBidNoticeAbstractUI.aspx?menuIndex=3&amp;refID=7038563&amp;Result=3","7038563")</f>
        <v>0</v>
      </c>
      <c r="B6874" t="s">
        <v>2180</v>
      </c>
      <c r="C6874" t="s">
        <v>9617</v>
      </c>
      <c r="D6874" t="s">
        <v>16196</v>
      </c>
      <c r="E6874" t="s">
        <v>17633</v>
      </c>
      <c r="F6874" t="s">
        <v>28198</v>
      </c>
      <c r="G6874" t="s">
        <v>28205</v>
      </c>
      <c r="H6874" t="s">
        <v>28215</v>
      </c>
      <c r="I6874" t="s">
        <v>8870</v>
      </c>
      <c r="J6874" t="s">
        <v>28487</v>
      </c>
      <c r="K6874" t="s">
        <v>36694</v>
      </c>
      <c r="M6874" t="s">
        <v>39342</v>
      </c>
      <c r="N6874" t="s">
        <v>40436</v>
      </c>
      <c r="O6874" t="s">
        <v>40437</v>
      </c>
      <c r="P6874">
        <v>0</v>
      </c>
      <c r="Q6874">
        <v>3</v>
      </c>
      <c r="R6874" t="s">
        <v>40444</v>
      </c>
      <c r="S6874" t="s">
        <v>40676</v>
      </c>
      <c r="T6874" t="s">
        <v>42279</v>
      </c>
      <c r="U6874" t="s">
        <v>48422</v>
      </c>
      <c r="V6874" t="s">
        <v>54504</v>
      </c>
      <c r="W6874" t="s">
        <v>39342</v>
      </c>
      <c r="X6874" t="s">
        <v>40445</v>
      </c>
    </row>
    <row r="6875" spans="1:24">
      <c r="A6875">
        <f>HYPERLINK("https://www.philgeps.gov.ph/GEPSNONPILOT/Tender/SplashBidNoticeAbstractUI.aspx?menuIndex=3&amp;refID=7038598&amp;Result=3","7038598")</f>
        <v>0</v>
      </c>
      <c r="B6875" t="s">
        <v>1737</v>
      </c>
      <c r="C6875" t="s">
        <v>9618</v>
      </c>
      <c r="D6875" t="s">
        <v>16219</v>
      </c>
      <c r="E6875" t="s">
        <v>22354</v>
      </c>
      <c r="F6875" t="s">
        <v>28198</v>
      </c>
      <c r="G6875" t="s">
        <v>28207</v>
      </c>
      <c r="H6875" t="s">
        <v>28215</v>
      </c>
      <c r="I6875" t="s">
        <v>28225</v>
      </c>
      <c r="J6875" t="s">
        <v>28691</v>
      </c>
      <c r="K6875" t="s">
        <v>36689</v>
      </c>
      <c r="M6875" t="s">
        <v>39343</v>
      </c>
      <c r="N6875" t="s">
        <v>40436</v>
      </c>
      <c r="O6875" t="s">
        <v>40437</v>
      </c>
      <c r="P6875">
        <v>0</v>
      </c>
      <c r="Q6875">
        <v>10</v>
      </c>
      <c r="R6875" t="s">
        <v>40444</v>
      </c>
      <c r="S6875" t="s">
        <v>40676</v>
      </c>
      <c r="T6875" t="s">
        <v>42218</v>
      </c>
      <c r="U6875" t="s">
        <v>48423</v>
      </c>
      <c r="V6875" t="s">
        <v>54505</v>
      </c>
      <c r="W6875" t="s">
        <v>55494</v>
      </c>
      <c r="X6875" t="s">
        <v>40445</v>
      </c>
    </row>
    <row r="6876" spans="1:24">
      <c r="A6876">
        <f>HYPERLINK("https://www.philgeps.gov.ph/GEPSNONPILOT/Tender/SplashBidNoticeAbstractUI.aspx?menuIndex=3&amp;refID=7038599&amp;Result=3","7038599")</f>
        <v>0</v>
      </c>
      <c r="B6876" t="s">
        <v>351</v>
      </c>
      <c r="C6876" t="s">
        <v>9619</v>
      </c>
      <c r="D6876" t="s">
        <v>16258</v>
      </c>
      <c r="E6876" t="s">
        <v>22355</v>
      </c>
      <c r="F6876" t="s">
        <v>28198</v>
      </c>
      <c r="G6876" t="s">
        <v>28205</v>
      </c>
      <c r="H6876" t="s">
        <v>28215</v>
      </c>
      <c r="I6876" t="s">
        <v>5791</v>
      </c>
      <c r="J6876" t="s">
        <v>29411</v>
      </c>
      <c r="K6876" t="s">
        <v>36706</v>
      </c>
      <c r="M6876" t="s">
        <v>37330</v>
      </c>
      <c r="N6876" t="s">
        <v>40436</v>
      </c>
      <c r="O6876" t="s">
        <v>40437</v>
      </c>
      <c r="P6876">
        <v>0</v>
      </c>
      <c r="Q6876">
        <v>0</v>
      </c>
      <c r="R6876" t="s">
        <v>40444</v>
      </c>
      <c r="S6876" t="s">
        <v>40676</v>
      </c>
      <c r="T6876" t="s">
        <v>42136</v>
      </c>
      <c r="U6876" t="s">
        <v>48424</v>
      </c>
      <c r="W6876" t="s">
        <v>37330</v>
      </c>
      <c r="X6876" t="s">
        <v>40445</v>
      </c>
    </row>
    <row r="6877" spans="1:24">
      <c r="A6877">
        <f>HYPERLINK("https://www.philgeps.gov.ph/GEPSNONPILOT/Tender/SplashBidNoticeAbstractUI.aspx?menuIndex=3&amp;refID=7038602&amp;Result=3","7038602")</f>
        <v>0</v>
      </c>
      <c r="B6877" t="s">
        <v>553</v>
      </c>
      <c r="C6877" t="s">
        <v>4168</v>
      </c>
      <c r="E6877" t="s">
        <v>22356</v>
      </c>
      <c r="F6877" t="s">
        <v>28198</v>
      </c>
      <c r="G6877" t="s">
        <v>28205</v>
      </c>
      <c r="H6877" t="s">
        <v>28215</v>
      </c>
      <c r="I6877" t="s">
        <v>4168</v>
      </c>
      <c r="J6877" t="s">
        <v>32657</v>
      </c>
      <c r="K6877" t="s">
        <v>36689</v>
      </c>
      <c r="M6877" t="s">
        <v>37539</v>
      </c>
      <c r="N6877" t="s">
        <v>40436</v>
      </c>
      <c r="O6877" t="s">
        <v>40437</v>
      </c>
      <c r="P6877">
        <v>0</v>
      </c>
      <c r="Q6877">
        <v>0</v>
      </c>
      <c r="R6877" t="s">
        <v>40444</v>
      </c>
      <c r="S6877" t="s">
        <v>40676</v>
      </c>
      <c r="T6877" t="s">
        <v>42253</v>
      </c>
      <c r="U6877" t="s">
        <v>48425</v>
      </c>
      <c r="W6877" t="s">
        <v>37539</v>
      </c>
      <c r="X6877" t="s">
        <v>40445</v>
      </c>
    </row>
    <row r="6878" spans="1:24">
      <c r="A6878">
        <f>HYPERLINK("https://www.philgeps.gov.ph/GEPSNONPILOT/Tender/SplashBidNoticeAbstractUI.aspx?menuIndex=3&amp;refID=7038565&amp;Result=3","7038565")</f>
        <v>0</v>
      </c>
      <c r="B6878" t="s">
        <v>595</v>
      </c>
      <c r="C6878" t="s">
        <v>9620</v>
      </c>
      <c r="D6878" t="s">
        <v>16195</v>
      </c>
      <c r="E6878" t="s">
        <v>22357</v>
      </c>
      <c r="F6878" t="s">
        <v>28198</v>
      </c>
      <c r="G6878" t="s">
        <v>28207</v>
      </c>
      <c r="H6878" t="s">
        <v>28215</v>
      </c>
      <c r="I6878" t="s">
        <v>4219</v>
      </c>
      <c r="J6878" t="s">
        <v>32658</v>
      </c>
      <c r="K6878" t="s">
        <v>36707</v>
      </c>
      <c r="M6878" t="s">
        <v>37584</v>
      </c>
      <c r="N6878" t="s">
        <v>40436</v>
      </c>
      <c r="O6878" t="s">
        <v>40437</v>
      </c>
      <c r="P6878">
        <v>0</v>
      </c>
      <c r="Q6878">
        <v>3</v>
      </c>
      <c r="R6878" t="s">
        <v>40444</v>
      </c>
      <c r="S6878" t="s">
        <v>40676</v>
      </c>
      <c r="T6878" t="s">
        <v>42350</v>
      </c>
      <c r="U6878" t="s">
        <v>48426</v>
      </c>
      <c r="W6878" t="s">
        <v>37584</v>
      </c>
      <c r="X6878" t="s">
        <v>40445</v>
      </c>
    </row>
    <row r="6879" spans="1:24">
      <c r="A6879">
        <f>HYPERLINK("https://www.philgeps.gov.ph/GEPSNONPILOT/Tender/SplashBidNoticeAbstractUI.aspx?menuIndex=3&amp;refID=7038597&amp;Result=3","7038597")</f>
        <v>0</v>
      </c>
      <c r="B6879" t="s">
        <v>842</v>
      </c>
      <c r="C6879" t="s">
        <v>9621</v>
      </c>
      <c r="D6879" t="s">
        <v>16239</v>
      </c>
      <c r="E6879" t="s">
        <v>22358</v>
      </c>
      <c r="F6879" t="s">
        <v>28198</v>
      </c>
      <c r="G6879" t="s">
        <v>28205</v>
      </c>
      <c r="H6879" t="s">
        <v>28214</v>
      </c>
      <c r="I6879" t="s">
        <v>3797</v>
      </c>
      <c r="J6879" t="s">
        <v>32659</v>
      </c>
      <c r="K6879" t="s">
        <v>36692</v>
      </c>
      <c r="M6879" t="s">
        <v>39333</v>
      </c>
      <c r="N6879" t="s">
        <v>40436</v>
      </c>
      <c r="O6879" t="s">
        <v>40437</v>
      </c>
      <c r="P6879">
        <v>0</v>
      </c>
      <c r="Q6879">
        <v>0</v>
      </c>
      <c r="R6879" t="s">
        <v>40444</v>
      </c>
      <c r="S6879" t="s">
        <v>40676</v>
      </c>
      <c r="T6879" t="s">
        <v>42443</v>
      </c>
      <c r="U6879" t="s">
        <v>48427</v>
      </c>
      <c r="W6879" t="s">
        <v>39333</v>
      </c>
      <c r="X6879" t="s">
        <v>40445</v>
      </c>
    </row>
    <row r="6880" spans="1:24">
      <c r="A6880">
        <f>HYPERLINK("https://www.philgeps.gov.ph/GEPSNONPILOT/Tender/SplashBidNoticeAbstractUI.aspx?menuIndex=3&amp;refID=7038616&amp;Result=3","7038616")</f>
        <v>0</v>
      </c>
      <c r="B6880" t="s">
        <v>2169</v>
      </c>
      <c r="C6880" t="s">
        <v>9622</v>
      </c>
      <c r="D6880" t="s">
        <v>16192</v>
      </c>
      <c r="E6880" t="s">
        <v>22359</v>
      </c>
      <c r="F6880" t="s">
        <v>28198</v>
      </c>
      <c r="G6880" t="s">
        <v>28205</v>
      </c>
      <c r="H6880" t="s">
        <v>28215</v>
      </c>
      <c r="I6880" t="s">
        <v>3774</v>
      </c>
      <c r="J6880" t="s">
        <v>29576</v>
      </c>
      <c r="K6880" t="s">
        <v>36701</v>
      </c>
      <c r="M6880" t="s">
        <v>39326</v>
      </c>
      <c r="N6880" t="s">
        <v>40436</v>
      </c>
      <c r="O6880" t="s">
        <v>40437</v>
      </c>
      <c r="P6880">
        <v>0</v>
      </c>
      <c r="Q6880">
        <v>1</v>
      </c>
      <c r="R6880" t="s">
        <v>40444</v>
      </c>
      <c r="S6880" t="s">
        <v>40676</v>
      </c>
      <c r="T6880" t="s">
        <v>42369</v>
      </c>
      <c r="U6880" t="s">
        <v>48428</v>
      </c>
      <c r="V6880" t="s">
        <v>54502</v>
      </c>
      <c r="W6880" t="s">
        <v>39326</v>
      </c>
      <c r="X6880" t="s">
        <v>40445</v>
      </c>
    </row>
    <row r="6881" spans="1:24">
      <c r="A6881">
        <f>HYPERLINK("https://www.philgeps.gov.ph/GEPSNONPILOT/Tender/SplashBidNoticeAbstractUI.aspx?menuIndex=3&amp;refID=7038580&amp;Result=3","7038580")</f>
        <v>0</v>
      </c>
      <c r="B6881" t="s">
        <v>842</v>
      </c>
      <c r="C6881" t="s">
        <v>9623</v>
      </c>
      <c r="D6881" t="s">
        <v>16239</v>
      </c>
      <c r="E6881" t="s">
        <v>22360</v>
      </c>
      <c r="F6881" t="s">
        <v>28198</v>
      </c>
      <c r="G6881" t="s">
        <v>28205</v>
      </c>
      <c r="H6881" t="s">
        <v>28214</v>
      </c>
      <c r="I6881" t="s">
        <v>3797</v>
      </c>
      <c r="J6881" t="s">
        <v>32660</v>
      </c>
      <c r="K6881" t="s">
        <v>36692</v>
      </c>
      <c r="M6881" t="s">
        <v>39333</v>
      </c>
      <c r="N6881" t="s">
        <v>40436</v>
      </c>
      <c r="O6881" t="s">
        <v>40437</v>
      </c>
      <c r="P6881">
        <v>0</v>
      </c>
      <c r="Q6881">
        <v>0</v>
      </c>
      <c r="R6881" t="s">
        <v>40444</v>
      </c>
      <c r="S6881" t="s">
        <v>40676</v>
      </c>
      <c r="T6881" t="s">
        <v>42443</v>
      </c>
      <c r="U6881" t="s">
        <v>48429</v>
      </c>
      <c r="W6881" t="s">
        <v>39333</v>
      </c>
      <c r="X6881" t="s">
        <v>40445</v>
      </c>
    </row>
    <row r="6882" spans="1:24">
      <c r="A6882">
        <f>HYPERLINK("https://www.philgeps.gov.ph/GEPSNONPILOT/Tender/SplashBidNoticeAbstractUI.aspx?menuIndex=3&amp;refID=7038606&amp;Result=3","7038606")</f>
        <v>0</v>
      </c>
      <c r="B6882" t="s">
        <v>1017</v>
      </c>
      <c r="C6882" t="s">
        <v>9624</v>
      </c>
      <c r="D6882" t="s">
        <v>16190</v>
      </c>
      <c r="E6882" t="s">
        <v>22361</v>
      </c>
      <c r="F6882" t="s">
        <v>28198</v>
      </c>
      <c r="G6882" t="s">
        <v>28205</v>
      </c>
      <c r="H6882" t="s">
        <v>28214</v>
      </c>
      <c r="I6882" t="s">
        <v>3797</v>
      </c>
      <c r="J6882" t="s">
        <v>32661</v>
      </c>
      <c r="K6882" t="s">
        <v>36689</v>
      </c>
      <c r="M6882" t="s">
        <v>39344</v>
      </c>
      <c r="N6882" t="s">
        <v>40436</v>
      </c>
      <c r="O6882" t="s">
        <v>40437</v>
      </c>
      <c r="P6882">
        <v>0</v>
      </c>
      <c r="Q6882">
        <v>2</v>
      </c>
      <c r="R6882" t="s">
        <v>40444</v>
      </c>
      <c r="S6882" t="s">
        <v>40676</v>
      </c>
      <c r="T6882" t="s">
        <v>42145</v>
      </c>
      <c r="U6882" t="s">
        <v>48430</v>
      </c>
      <c r="W6882" t="s">
        <v>39344</v>
      </c>
      <c r="X6882" t="s">
        <v>40445</v>
      </c>
    </row>
    <row r="6883" spans="1:24">
      <c r="A6883">
        <f>HYPERLINK("https://www.philgeps.gov.ph/GEPSNONPILOT/Tender/SplashBidNoticeAbstractUI.aspx?menuIndex=3&amp;refID=7038612&amp;Result=3","7038612")</f>
        <v>0</v>
      </c>
      <c r="B6883" t="s">
        <v>243</v>
      </c>
      <c r="C6883" t="s">
        <v>9625</v>
      </c>
      <c r="D6883" t="s">
        <v>16193</v>
      </c>
      <c r="E6883" t="s">
        <v>22362</v>
      </c>
      <c r="F6883" t="s">
        <v>28198</v>
      </c>
      <c r="G6883" t="s">
        <v>28209</v>
      </c>
      <c r="H6883" t="s">
        <v>28214</v>
      </c>
      <c r="I6883" t="s">
        <v>3797</v>
      </c>
      <c r="J6883" t="s">
        <v>32662</v>
      </c>
      <c r="K6883" t="s">
        <v>36692</v>
      </c>
      <c r="M6883" t="s">
        <v>37219</v>
      </c>
      <c r="N6883" t="s">
        <v>40436</v>
      </c>
      <c r="O6883" t="s">
        <v>40437</v>
      </c>
      <c r="P6883">
        <v>0</v>
      </c>
      <c r="Q6883">
        <v>0</v>
      </c>
      <c r="R6883" t="s">
        <v>40444</v>
      </c>
      <c r="S6883" t="s">
        <v>40676</v>
      </c>
      <c r="T6883" t="s">
        <v>42158</v>
      </c>
      <c r="U6883" t="s">
        <v>46783</v>
      </c>
      <c r="W6883" t="s">
        <v>37219</v>
      </c>
      <c r="X6883" t="s">
        <v>40445</v>
      </c>
    </row>
    <row r="6884" spans="1:24">
      <c r="A6884">
        <f>HYPERLINK("https://www.philgeps.gov.ph/GEPSNONPILOT/Tender/SplashBidNoticeAbstractUI.aspx?menuIndex=3&amp;refID=7038617&amp;Result=3","7038617")</f>
        <v>0</v>
      </c>
      <c r="B6884" t="s">
        <v>2173</v>
      </c>
      <c r="C6884" t="s">
        <v>9626</v>
      </c>
      <c r="D6884" t="s">
        <v>16223</v>
      </c>
      <c r="E6884" t="s">
        <v>22363</v>
      </c>
      <c r="F6884" t="s">
        <v>28198</v>
      </c>
      <c r="G6884" t="s">
        <v>28210</v>
      </c>
      <c r="H6884" t="s">
        <v>28215</v>
      </c>
      <c r="I6884" t="s">
        <v>5082</v>
      </c>
      <c r="J6884" t="s">
        <v>32663</v>
      </c>
      <c r="K6884" t="s">
        <v>36701</v>
      </c>
      <c r="M6884" t="s">
        <v>39335</v>
      </c>
      <c r="N6884" t="s">
        <v>40436</v>
      </c>
      <c r="O6884" t="s">
        <v>40437</v>
      </c>
      <c r="P6884">
        <v>0</v>
      </c>
      <c r="Q6884">
        <v>2</v>
      </c>
      <c r="R6884" t="s">
        <v>40444</v>
      </c>
      <c r="S6884" t="s">
        <v>40676</v>
      </c>
      <c r="T6884" t="s">
        <v>42169</v>
      </c>
      <c r="U6884" t="s">
        <v>48410</v>
      </c>
      <c r="W6884" t="s">
        <v>39335</v>
      </c>
      <c r="X6884" t="s">
        <v>40445</v>
      </c>
    </row>
    <row r="6885" spans="1:24">
      <c r="A6885">
        <f>HYPERLINK("https://www.philgeps.gov.ph/GEPSNONPILOT/Tender/SplashBidNoticeAbstractUI.aspx?menuIndex=3&amp;refID=7038609&amp;Result=3","7038609")</f>
        <v>0</v>
      </c>
      <c r="B6885" t="s">
        <v>842</v>
      </c>
      <c r="C6885" t="s">
        <v>9627</v>
      </c>
      <c r="D6885" t="s">
        <v>16239</v>
      </c>
      <c r="E6885" t="s">
        <v>22364</v>
      </c>
      <c r="F6885" t="s">
        <v>28198</v>
      </c>
      <c r="G6885" t="s">
        <v>28205</v>
      </c>
      <c r="H6885" t="s">
        <v>28214</v>
      </c>
      <c r="I6885" t="s">
        <v>3797</v>
      </c>
      <c r="J6885" t="s">
        <v>32664</v>
      </c>
      <c r="K6885" t="s">
        <v>36717</v>
      </c>
      <c r="M6885" t="s">
        <v>39333</v>
      </c>
      <c r="N6885" t="s">
        <v>40436</v>
      </c>
      <c r="O6885" t="s">
        <v>40437</v>
      </c>
      <c r="P6885">
        <v>0</v>
      </c>
      <c r="Q6885">
        <v>0</v>
      </c>
      <c r="R6885" t="s">
        <v>40444</v>
      </c>
      <c r="S6885" t="s">
        <v>40676</v>
      </c>
      <c r="T6885" t="s">
        <v>42443</v>
      </c>
      <c r="U6885" t="s">
        <v>48431</v>
      </c>
      <c r="W6885" t="s">
        <v>39333</v>
      </c>
      <c r="X6885" t="s">
        <v>40445</v>
      </c>
    </row>
    <row r="6886" spans="1:24">
      <c r="A6886">
        <f>HYPERLINK("https://www.philgeps.gov.ph/GEPSNONPILOT/Tender/SplashBidNoticeAbstractUI.aspx?menuIndex=3&amp;refID=7038638&amp;Result=3","7038638")</f>
        <v>0</v>
      </c>
      <c r="B6886" t="s">
        <v>1157</v>
      </c>
      <c r="C6886" t="s">
        <v>9628</v>
      </c>
      <c r="D6886" t="s">
        <v>16193</v>
      </c>
      <c r="E6886" t="s">
        <v>22365</v>
      </c>
      <c r="F6886" t="s">
        <v>28198</v>
      </c>
      <c r="G6886" t="s">
        <v>28205</v>
      </c>
      <c r="H6886" t="s">
        <v>28215</v>
      </c>
      <c r="I6886" t="s">
        <v>5100</v>
      </c>
      <c r="J6886" t="s">
        <v>32665</v>
      </c>
      <c r="K6886" t="s">
        <v>36689</v>
      </c>
      <c r="M6886" t="s">
        <v>38197</v>
      </c>
      <c r="N6886" t="s">
        <v>40436</v>
      </c>
      <c r="O6886" t="s">
        <v>40437</v>
      </c>
      <c r="P6886">
        <v>0</v>
      </c>
      <c r="Q6886">
        <v>0</v>
      </c>
      <c r="R6886" t="s">
        <v>40444</v>
      </c>
      <c r="S6886" t="s">
        <v>40676</v>
      </c>
      <c r="T6886" t="s">
        <v>42184</v>
      </c>
      <c r="U6886" t="s">
        <v>48432</v>
      </c>
      <c r="W6886" t="s">
        <v>55484</v>
      </c>
      <c r="X6886" t="s">
        <v>40445</v>
      </c>
    </row>
    <row r="6887" spans="1:24">
      <c r="A6887">
        <f>HYPERLINK("https://www.philgeps.gov.ph/GEPSNONPILOT/Tender/SplashBidNoticeAbstractUI.aspx?menuIndex=3&amp;refID=7038635&amp;Result=3","7038635")</f>
        <v>0</v>
      </c>
      <c r="B6887" t="s">
        <v>1496</v>
      </c>
      <c r="C6887" t="s">
        <v>9629</v>
      </c>
      <c r="D6887" t="s">
        <v>16249</v>
      </c>
      <c r="E6887" t="s">
        <v>16352</v>
      </c>
      <c r="F6887" t="s">
        <v>28198</v>
      </c>
      <c r="G6887" t="s">
        <v>28205</v>
      </c>
      <c r="H6887" t="s">
        <v>28214</v>
      </c>
      <c r="I6887" t="s">
        <v>3797</v>
      </c>
      <c r="J6887" t="s">
        <v>32666</v>
      </c>
      <c r="K6887" t="s">
        <v>36715</v>
      </c>
      <c r="M6887" t="s">
        <v>38571</v>
      </c>
      <c r="N6887" t="s">
        <v>40436</v>
      </c>
      <c r="O6887" t="s">
        <v>40437</v>
      </c>
      <c r="P6887">
        <v>0</v>
      </c>
      <c r="Q6887">
        <v>1</v>
      </c>
      <c r="R6887" t="s">
        <v>40444</v>
      </c>
      <c r="S6887" t="s">
        <v>40676</v>
      </c>
      <c r="T6887" t="s">
        <v>42473</v>
      </c>
      <c r="U6887" t="s">
        <v>48433</v>
      </c>
      <c r="W6887" t="s">
        <v>38571</v>
      </c>
      <c r="X6887" t="s">
        <v>40445</v>
      </c>
    </row>
    <row r="6888" spans="1:24">
      <c r="A6888">
        <f>HYPERLINK("https://www.philgeps.gov.ph/GEPSNONPILOT/Tender/SplashBidNoticeAbstractUI.aspx?menuIndex=3&amp;refID=7038630&amp;Result=3","7038630")</f>
        <v>0</v>
      </c>
      <c r="B6888" t="s">
        <v>2181</v>
      </c>
      <c r="C6888" t="s">
        <v>9630</v>
      </c>
      <c r="D6888" t="s">
        <v>16191</v>
      </c>
      <c r="E6888" t="s">
        <v>22366</v>
      </c>
      <c r="F6888" t="s">
        <v>28198</v>
      </c>
      <c r="G6888" t="s">
        <v>28205</v>
      </c>
      <c r="H6888" t="s">
        <v>28215</v>
      </c>
      <c r="I6888" t="s">
        <v>28222</v>
      </c>
      <c r="J6888" t="s">
        <v>31303</v>
      </c>
      <c r="K6888" t="s">
        <v>36689</v>
      </c>
      <c r="M6888" t="s">
        <v>39345</v>
      </c>
      <c r="N6888" t="s">
        <v>40436</v>
      </c>
      <c r="O6888" t="s">
        <v>40437</v>
      </c>
      <c r="P6888">
        <v>0</v>
      </c>
      <c r="Q6888">
        <v>6</v>
      </c>
      <c r="R6888" t="s">
        <v>40444</v>
      </c>
      <c r="S6888" t="s">
        <v>40676</v>
      </c>
      <c r="T6888" t="s">
        <v>42145</v>
      </c>
      <c r="U6888" t="s">
        <v>48434</v>
      </c>
      <c r="W6888" t="s">
        <v>39345</v>
      </c>
      <c r="X6888" t="s">
        <v>40445</v>
      </c>
    </row>
    <row r="6889" spans="1:24">
      <c r="A6889">
        <f>HYPERLINK("https://www.philgeps.gov.ph/GEPSNONPILOT/Tender/SplashBidNoticeAbstractUI.aspx?menuIndex=3&amp;refID=7038642&amp;Result=3","7038642")</f>
        <v>0</v>
      </c>
      <c r="B6889" t="s">
        <v>842</v>
      </c>
      <c r="C6889" t="s">
        <v>9631</v>
      </c>
      <c r="D6889" t="s">
        <v>16239</v>
      </c>
      <c r="E6889" t="s">
        <v>22367</v>
      </c>
      <c r="F6889" t="s">
        <v>28198</v>
      </c>
      <c r="G6889" t="s">
        <v>28205</v>
      </c>
      <c r="H6889" t="s">
        <v>28214</v>
      </c>
      <c r="I6889" t="s">
        <v>3797</v>
      </c>
      <c r="J6889" t="s">
        <v>32667</v>
      </c>
      <c r="K6889" t="s">
        <v>36717</v>
      </c>
      <c r="M6889" t="s">
        <v>39333</v>
      </c>
      <c r="N6889" t="s">
        <v>40436</v>
      </c>
      <c r="O6889" t="s">
        <v>40437</v>
      </c>
      <c r="P6889">
        <v>0</v>
      </c>
      <c r="Q6889">
        <v>0</v>
      </c>
      <c r="R6889" t="s">
        <v>40444</v>
      </c>
      <c r="S6889" t="s">
        <v>40676</v>
      </c>
      <c r="T6889" t="s">
        <v>42443</v>
      </c>
      <c r="U6889" t="s">
        <v>48435</v>
      </c>
      <c r="W6889" t="s">
        <v>39333</v>
      </c>
      <c r="X6889" t="s">
        <v>40445</v>
      </c>
    </row>
    <row r="6890" spans="1:24">
      <c r="A6890">
        <f>HYPERLINK("https://www.philgeps.gov.ph/GEPSNONPILOT/Tender/SplashBidNoticeAbstractUI.aspx?menuIndex=3&amp;refID=7038627&amp;Result=3","7038627")</f>
        <v>0</v>
      </c>
      <c r="B6890" t="s">
        <v>1461</v>
      </c>
      <c r="C6890" t="s">
        <v>9632</v>
      </c>
      <c r="D6890" t="s">
        <v>16238</v>
      </c>
      <c r="E6890" t="s">
        <v>22368</v>
      </c>
      <c r="F6890" t="s">
        <v>28198</v>
      </c>
      <c r="G6890" t="s">
        <v>28206</v>
      </c>
      <c r="H6890" t="s">
        <v>28215</v>
      </c>
      <c r="I6890" t="s">
        <v>5082</v>
      </c>
      <c r="J6890" t="s">
        <v>32668</v>
      </c>
      <c r="K6890" t="s">
        <v>36687</v>
      </c>
      <c r="M6890" t="s">
        <v>38530</v>
      </c>
      <c r="N6890" t="s">
        <v>40436</v>
      </c>
      <c r="O6890" t="s">
        <v>40437</v>
      </c>
      <c r="P6890">
        <v>0</v>
      </c>
      <c r="Q6890">
        <v>0</v>
      </c>
      <c r="R6890" t="s">
        <v>40444</v>
      </c>
      <c r="S6890" t="s">
        <v>40676</v>
      </c>
      <c r="T6890" t="s">
        <v>42233</v>
      </c>
      <c r="U6890" t="s">
        <v>48436</v>
      </c>
      <c r="W6890" t="s">
        <v>38530</v>
      </c>
      <c r="X6890" t="s">
        <v>40445</v>
      </c>
    </row>
    <row r="6891" spans="1:24">
      <c r="A6891">
        <f>HYPERLINK("https://www.philgeps.gov.ph/GEPSNONPILOT/Tender/SplashBidNoticeAbstractUI.aspx?menuIndex=3&amp;refID=7038622&amp;Result=3","7038622")</f>
        <v>0</v>
      </c>
      <c r="B6891" t="s">
        <v>2182</v>
      </c>
      <c r="C6891" t="s">
        <v>9633</v>
      </c>
      <c r="D6891" t="s">
        <v>16218</v>
      </c>
      <c r="E6891" t="s">
        <v>16943</v>
      </c>
      <c r="F6891" t="s">
        <v>28198</v>
      </c>
      <c r="G6891" t="s">
        <v>28205</v>
      </c>
      <c r="H6891" t="s">
        <v>28215</v>
      </c>
      <c r="I6891" t="s">
        <v>5100</v>
      </c>
      <c r="J6891" t="s">
        <v>32669</v>
      </c>
      <c r="K6891" t="s">
        <v>36693</v>
      </c>
      <c r="M6891" t="s">
        <v>39346</v>
      </c>
      <c r="N6891" t="s">
        <v>40436</v>
      </c>
      <c r="O6891" t="s">
        <v>40437</v>
      </c>
      <c r="P6891">
        <v>0</v>
      </c>
      <c r="Q6891">
        <v>0</v>
      </c>
      <c r="R6891" t="s">
        <v>40444</v>
      </c>
      <c r="S6891" t="s">
        <v>40676</v>
      </c>
      <c r="T6891" t="s">
        <v>42112</v>
      </c>
      <c r="U6891" t="s">
        <v>48437</v>
      </c>
      <c r="W6891" t="s">
        <v>39346</v>
      </c>
      <c r="X6891" t="s">
        <v>40445</v>
      </c>
    </row>
    <row r="6892" spans="1:24">
      <c r="A6892">
        <f>HYPERLINK("https://www.philgeps.gov.ph/GEPSNONPILOT/Tender/SplashBidNoticeAbstractUI.aspx?menuIndex=3&amp;refID=7038632&amp;Result=3","7038632")</f>
        <v>0</v>
      </c>
      <c r="B6892" t="s">
        <v>842</v>
      </c>
      <c r="C6892" t="s">
        <v>9634</v>
      </c>
      <c r="D6892" t="s">
        <v>16239</v>
      </c>
      <c r="E6892" t="s">
        <v>22369</v>
      </c>
      <c r="F6892" t="s">
        <v>28198</v>
      </c>
      <c r="G6892" t="s">
        <v>28205</v>
      </c>
      <c r="H6892" t="s">
        <v>28214</v>
      </c>
      <c r="I6892" t="s">
        <v>3797</v>
      </c>
      <c r="J6892" t="s">
        <v>32670</v>
      </c>
      <c r="K6892" t="s">
        <v>36692</v>
      </c>
      <c r="M6892" t="s">
        <v>39333</v>
      </c>
      <c r="N6892" t="s">
        <v>40436</v>
      </c>
      <c r="O6892" t="s">
        <v>40437</v>
      </c>
      <c r="P6892">
        <v>0</v>
      </c>
      <c r="Q6892">
        <v>0</v>
      </c>
      <c r="R6892" t="s">
        <v>40444</v>
      </c>
      <c r="S6892" t="s">
        <v>40676</v>
      </c>
      <c r="T6892" t="s">
        <v>42443</v>
      </c>
      <c r="U6892" t="s">
        <v>48438</v>
      </c>
      <c r="W6892" t="s">
        <v>39333</v>
      </c>
      <c r="X6892" t="s">
        <v>40445</v>
      </c>
    </row>
    <row r="6893" spans="1:24">
      <c r="A6893">
        <f>HYPERLINK("https://www.philgeps.gov.ph/GEPSNONPILOT/Tender/SplashBidNoticeAbstractUI.aspx?menuIndex=3&amp;refID=7038623&amp;Result=3","7038623")</f>
        <v>0</v>
      </c>
      <c r="B6893" t="s">
        <v>2183</v>
      </c>
      <c r="C6893" t="s">
        <v>9635</v>
      </c>
      <c r="D6893" t="s">
        <v>16266</v>
      </c>
      <c r="E6893" t="s">
        <v>22370</v>
      </c>
      <c r="F6893" t="s">
        <v>28198</v>
      </c>
      <c r="G6893" t="s">
        <v>28205</v>
      </c>
      <c r="H6893" t="s">
        <v>28215</v>
      </c>
      <c r="I6893" t="s">
        <v>28316</v>
      </c>
      <c r="J6893" t="s">
        <v>32671</v>
      </c>
      <c r="K6893" t="s">
        <v>36706</v>
      </c>
      <c r="M6893" t="s">
        <v>39347</v>
      </c>
      <c r="N6893" t="s">
        <v>40436</v>
      </c>
      <c r="O6893" t="s">
        <v>40437</v>
      </c>
      <c r="P6893">
        <v>0</v>
      </c>
      <c r="Q6893">
        <v>2</v>
      </c>
      <c r="R6893" t="s">
        <v>40444</v>
      </c>
      <c r="S6893" t="s">
        <v>40676</v>
      </c>
      <c r="T6893" t="s">
        <v>42277</v>
      </c>
      <c r="U6893" t="s">
        <v>48439</v>
      </c>
      <c r="W6893" t="s">
        <v>39347</v>
      </c>
      <c r="X6893" t="s">
        <v>40445</v>
      </c>
    </row>
    <row r="6894" spans="1:24">
      <c r="A6894">
        <f>HYPERLINK("https://www.philgeps.gov.ph/GEPSNONPILOT/Tender/SplashBidNoticeAbstractUI.aspx?menuIndex=3&amp;refID=7038662&amp;Result=3","7038662")</f>
        <v>0</v>
      </c>
      <c r="B6894" t="s">
        <v>1157</v>
      </c>
      <c r="C6894" t="s">
        <v>9636</v>
      </c>
      <c r="D6894" t="s">
        <v>16193</v>
      </c>
      <c r="E6894" t="s">
        <v>22371</v>
      </c>
      <c r="F6894" t="s">
        <v>28198</v>
      </c>
      <c r="G6894" t="s">
        <v>28205</v>
      </c>
      <c r="H6894" t="s">
        <v>28215</v>
      </c>
      <c r="I6894" t="s">
        <v>28254</v>
      </c>
      <c r="J6894" t="s">
        <v>32672</v>
      </c>
      <c r="K6894" t="s">
        <v>36689</v>
      </c>
      <c r="M6894" t="s">
        <v>38197</v>
      </c>
      <c r="N6894" t="s">
        <v>40436</v>
      </c>
      <c r="O6894" t="s">
        <v>40437</v>
      </c>
      <c r="P6894">
        <v>0</v>
      </c>
      <c r="Q6894">
        <v>2</v>
      </c>
      <c r="R6894" t="s">
        <v>40444</v>
      </c>
      <c r="S6894" t="s">
        <v>40676</v>
      </c>
      <c r="T6894" t="s">
        <v>42184</v>
      </c>
      <c r="U6894" t="s">
        <v>48440</v>
      </c>
      <c r="W6894" t="s">
        <v>55484</v>
      </c>
      <c r="X6894" t="s">
        <v>40445</v>
      </c>
    </row>
    <row r="6895" spans="1:24">
      <c r="A6895">
        <f>HYPERLINK("https://www.philgeps.gov.ph/GEPSNONPILOT/Tender/SplashBidNoticeAbstractUI.aspx?menuIndex=3&amp;refID=7038621&amp;Result=3","7038621")</f>
        <v>0</v>
      </c>
      <c r="B6895" t="s">
        <v>2184</v>
      </c>
      <c r="C6895" t="s">
        <v>9637</v>
      </c>
      <c r="D6895" t="s">
        <v>16204</v>
      </c>
      <c r="E6895" t="s">
        <v>22372</v>
      </c>
      <c r="F6895" t="s">
        <v>28198</v>
      </c>
      <c r="G6895" t="s">
        <v>28207</v>
      </c>
      <c r="H6895" t="s">
        <v>28215</v>
      </c>
      <c r="I6895" t="s">
        <v>28253</v>
      </c>
      <c r="J6895" t="s">
        <v>28386</v>
      </c>
      <c r="K6895" t="s">
        <v>36701</v>
      </c>
      <c r="M6895" t="s">
        <v>39348</v>
      </c>
      <c r="N6895" t="s">
        <v>40436</v>
      </c>
      <c r="O6895" t="s">
        <v>40437</v>
      </c>
      <c r="P6895">
        <v>0</v>
      </c>
      <c r="Q6895">
        <v>3</v>
      </c>
      <c r="R6895" t="s">
        <v>40444</v>
      </c>
      <c r="S6895" t="s">
        <v>40676</v>
      </c>
      <c r="T6895" t="s">
        <v>42233</v>
      </c>
      <c r="U6895" t="s">
        <v>48414</v>
      </c>
      <c r="W6895" t="s">
        <v>39348</v>
      </c>
      <c r="X6895" t="s">
        <v>40445</v>
      </c>
    </row>
    <row r="6896" spans="1:24">
      <c r="A6896">
        <f>HYPERLINK("https://www.philgeps.gov.ph/GEPSNONPILOT/Tender/SplashBidNoticeAbstractUI.aspx?menuIndex=3&amp;refID=7038641&amp;Result=3","7038641")</f>
        <v>0</v>
      </c>
      <c r="B6896" t="s">
        <v>688</v>
      </c>
      <c r="C6896" t="s">
        <v>9638</v>
      </c>
      <c r="D6896" t="s">
        <v>16230</v>
      </c>
      <c r="E6896" t="s">
        <v>22373</v>
      </c>
      <c r="F6896" t="s">
        <v>28198</v>
      </c>
      <c r="G6896" t="s">
        <v>28206</v>
      </c>
      <c r="H6896" t="s">
        <v>28215</v>
      </c>
      <c r="I6896" t="s">
        <v>28239</v>
      </c>
      <c r="J6896" t="s">
        <v>32673</v>
      </c>
      <c r="K6896" t="s">
        <v>36707</v>
      </c>
      <c r="M6896" t="s">
        <v>37687</v>
      </c>
      <c r="N6896" t="s">
        <v>40436</v>
      </c>
      <c r="O6896" t="s">
        <v>40437</v>
      </c>
      <c r="P6896">
        <v>0</v>
      </c>
      <c r="Q6896">
        <v>0</v>
      </c>
      <c r="R6896" t="s">
        <v>40444</v>
      </c>
      <c r="S6896" t="s">
        <v>40676</v>
      </c>
      <c r="T6896" t="s">
        <v>42218</v>
      </c>
      <c r="U6896" t="s">
        <v>43866</v>
      </c>
      <c r="W6896" t="s">
        <v>37687</v>
      </c>
      <c r="X6896" t="s">
        <v>40445</v>
      </c>
    </row>
    <row r="6897" spans="1:24">
      <c r="A6897">
        <f>HYPERLINK("https://www.philgeps.gov.ph/GEPSNONPILOT/Tender/SplashBidNoticeAbstractUI.aspx?menuIndex=3&amp;refID=7038646&amp;Result=3","7038646")</f>
        <v>0</v>
      </c>
      <c r="B6897" t="s">
        <v>773</v>
      </c>
      <c r="C6897" t="s">
        <v>9639</v>
      </c>
      <c r="D6897" t="s">
        <v>16219</v>
      </c>
      <c r="E6897" t="s">
        <v>22374</v>
      </c>
      <c r="F6897" t="s">
        <v>28198</v>
      </c>
      <c r="G6897" t="s">
        <v>28205</v>
      </c>
      <c r="H6897" t="s">
        <v>28215</v>
      </c>
      <c r="I6897" t="s">
        <v>5100</v>
      </c>
      <c r="J6897" t="s">
        <v>32674</v>
      </c>
      <c r="K6897" t="s">
        <v>36706</v>
      </c>
      <c r="M6897" t="s">
        <v>38111</v>
      </c>
      <c r="N6897" t="s">
        <v>40436</v>
      </c>
      <c r="O6897" t="s">
        <v>40437</v>
      </c>
      <c r="P6897">
        <v>0</v>
      </c>
      <c r="Q6897">
        <v>0</v>
      </c>
      <c r="R6897" t="s">
        <v>40444</v>
      </c>
      <c r="S6897" t="s">
        <v>40676</v>
      </c>
      <c r="T6897" t="s">
        <v>42233</v>
      </c>
      <c r="U6897" t="s">
        <v>48441</v>
      </c>
      <c r="W6897" t="s">
        <v>38111</v>
      </c>
      <c r="X6897" t="s">
        <v>40445</v>
      </c>
    </row>
    <row r="6898" spans="1:24">
      <c r="A6898">
        <f>HYPERLINK("https://www.philgeps.gov.ph/GEPSNONPILOT/Tender/SplashBidNoticeAbstractUI.aspx?menuIndex=3&amp;refID=7038658&amp;Result=3","7038658")</f>
        <v>0</v>
      </c>
      <c r="B6898" t="s">
        <v>842</v>
      </c>
      <c r="C6898" t="s">
        <v>9640</v>
      </c>
      <c r="D6898" t="s">
        <v>16239</v>
      </c>
      <c r="E6898" t="s">
        <v>22375</v>
      </c>
      <c r="F6898" t="s">
        <v>28198</v>
      </c>
      <c r="G6898" t="s">
        <v>28205</v>
      </c>
      <c r="H6898" t="s">
        <v>28214</v>
      </c>
      <c r="I6898" t="s">
        <v>3797</v>
      </c>
      <c r="J6898" t="s">
        <v>32675</v>
      </c>
      <c r="K6898" t="s">
        <v>36692</v>
      </c>
      <c r="M6898" t="s">
        <v>39333</v>
      </c>
      <c r="N6898" t="s">
        <v>40436</v>
      </c>
      <c r="O6898" t="s">
        <v>40437</v>
      </c>
      <c r="P6898">
        <v>0</v>
      </c>
      <c r="Q6898">
        <v>0</v>
      </c>
      <c r="R6898" t="s">
        <v>40444</v>
      </c>
      <c r="S6898" t="s">
        <v>40676</v>
      </c>
      <c r="T6898" t="s">
        <v>42443</v>
      </c>
      <c r="U6898" t="s">
        <v>48442</v>
      </c>
      <c r="W6898" t="s">
        <v>39333</v>
      </c>
      <c r="X6898" t="s">
        <v>40445</v>
      </c>
    </row>
    <row r="6899" spans="1:24">
      <c r="A6899">
        <f>HYPERLINK("https://www.philgeps.gov.ph/GEPSNONPILOT/Tender/SplashBidNoticeAbstractUI.aspx?menuIndex=3&amp;refID=7038660&amp;Result=3","7038660")</f>
        <v>0</v>
      </c>
      <c r="B6899" t="s">
        <v>243</v>
      </c>
      <c r="C6899" t="s">
        <v>9641</v>
      </c>
      <c r="D6899" t="s">
        <v>16193</v>
      </c>
      <c r="E6899" t="s">
        <v>22376</v>
      </c>
      <c r="F6899" t="s">
        <v>28198</v>
      </c>
      <c r="G6899" t="s">
        <v>28209</v>
      </c>
      <c r="H6899" t="s">
        <v>28214</v>
      </c>
      <c r="I6899" t="s">
        <v>3797</v>
      </c>
      <c r="J6899" t="s">
        <v>32676</v>
      </c>
      <c r="K6899" t="s">
        <v>36697</v>
      </c>
      <c r="M6899" t="s">
        <v>37219</v>
      </c>
      <c r="N6899" t="s">
        <v>40436</v>
      </c>
      <c r="O6899" t="s">
        <v>40437</v>
      </c>
      <c r="P6899">
        <v>0</v>
      </c>
      <c r="Q6899">
        <v>0</v>
      </c>
      <c r="R6899" t="s">
        <v>40444</v>
      </c>
      <c r="S6899" t="s">
        <v>40676</v>
      </c>
      <c r="T6899" t="s">
        <v>42158</v>
      </c>
      <c r="U6899" t="s">
        <v>46783</v>
      </c>
      <c r="W6899" t="s">
        <v>37219</v>
      </c>
      <c r="X6899" t="s">
        <v>40445</v>
      </c>
    </row>
    <row r="6900" spans="1:24">
      <c r="A6900">
        <f>HYPERLINK("https://www.philgeps.gov.ph/GEPSNONPILOT/Tender/SplashBidNoticeAbstractUI.aspx?menuIndex=3&amp;refID=7038665&amp;Result=3","7038665")</f>
        <v>0</v>
      </c>
      <c r="B6900" t="s">
        <v>1210</v>
      </c>
      <c r="C6900" t="s">
        <v>9642</v>
      </c>
      <c r="D6900" t="s">
        <v>16230</v>
      </c>
      <c r="E6900" t="s">
        <v>22377</v>
      </c>
      <c r="F6900" t="s">
        <v>28198</v>
      </c>
      <c r="G6900" t="s">
        <v>28207</v>
      </c>
      <c r="H6900" t="s">
        <v>28215</v>
      </c>
      <c r="I6900" t="s">
        <v>28258</v>
      </c>
      <c r="J6900" t="s">
        <v>32677</v>
      </c>
      <c r="K6900" t="s">
        <v>36697</v>
      </c>
      <c r="M6900" t="s">
        <v>38255</v>
      </c>
      <c r="N6900" t="s">
        <v>40436</v>
      </c>
      <c r="O6900" t="s">
        <v>40437</v>
      </c>
      <c r="P6900">
        <v>0</v>
      </c>
      <c r="Q6900">
        <v>3</v>
      </c>
      <c r="R6900" t="s">
        <v>40444</v>
      </c>
      <c r="S6900" t="s">
        <v>40676</v>
      </c>
      <c r="T6900" t="s">
        <v>42245</v>
      </c>
      <c r="U6900" t="s">
        <v>48443</v>
      </c>
      <c r="W6900" t="s">
        <v>55476</v>
      </c>
      <c r="X6900" t="s">
        <v>40445</v>
      </c>
    </row>
    <row r="6901" spans="1:24">
      <c r="A6901">
        <f>HYPERLINK("https://www.philgeps.gov.ph/GEPSNONPILOT/Tender/SplashBidNoticeAbstractUI.aspx?menuIndex=3&amp;refID=7038672&amp;Result=3","7038672")</f>
        <v>0</v>
      </c>
      <c r="B6901" t="s">
        <v>100</v>
      </c>
      <c r="C6901" t="s">
        <v>9643</v>
      </c>
      <c r="D6901" t="s">
        <v>16228</v>
      </c>
      <c r="E6901" t="s">
        <v>22378</v>
      </c>
      <c r="F6901" t="s">
        <v>28198</v>
      </c>
      <c r="G6901" t="s">
        <v>28205</v>
      </c>
      <c r="H6901" t="s">
        <v>28215</v>
      </c>
      <c r="I6901" t="s">
        <v>3422</v>
      </c>
      <c r="J6901" t="s">
        <v>31894</v>
      </c>
      <c r="K6901" t="s">
        <v>36698</v>
      </c>
      <c r="M6901" t="s">
        <v>37073</v>
      </c>
      <c r="N6901" t="s">
        <v>40436</v>
      </c>
      <c r="O6901" t="s">
        <v>40437</v>
      </c>
      <c r="P6901">
        <v>0</v>
      </c>
      <c r="Q6901">
        <v>0</v>
      </c>
      <c r="R6901" t="s">
        <v>40444</v>
      </c>
      <c r="S6901" t="s">
        <v>40676</v>
      </c>
      <c r="T6901" t="s">
        <v>42184</v>
      </c>
      <c r="U6901" t="s">
        <v>48444</v>
      </c>
      <c r="V6901" t="s">
        <v>53798</v>
      </c>
      <c r="W6901" t="s">
        <v>37073</v>
      </c>
      <c r="X6901" t="s">
        <v>40445</v>
      </c>
    </row>
    <row r="6902" spans="1:24">
      <c r="A6902">
        <f>HYPERLINK("https://www.philgeps.gov.ph/GEPSNONPILOT/Tender/SplashBidNoticeAbstractUI.aspx?menuIndex=3&amp;refID=7038650&amp;Result=3","7038650")</f>
        <v>0</v>
      </c>
      <c r="B6902" t="s">
        <v>1157</v>
      </c>
      <c r="C6902" t="s">
        <v>9644</v>
      </c>
      <c r="D6902" t="s">
        <v>16193</v>
      </c>
      <c r="E6902" t="s">
        <v>22379</v>
      </c>
      <c r="F6902" t="s">
        <v>28198</v>
      </c>
      <c r="G6902" t="s">
        <v>28205</v>
      </c>
      <c r="H6902" t="s">
        <v>28215</v>
      </c>
      <c r="I6902" t="s">
        <v>5100</v>
      </c>
      <c r="J6902" t="s">
        <v>32678</v>
      </c>
      <c r="K6902" t="s">
        <v>36689</v>
      </c>
      <c r="M6902" t="s">
        <v>38197</v>
      </c>
      <c r="N6902" t="s">
        <v>40436</v>
      </c>
      <c r="O6902" t="s">
        <v>40437</v>
      </c>
      <c r="P6902">
        <v>0</v>
      </c>
      <c r="Q6902">
        <v>0</v>
      </c>
      <c r="R6902" t="s">
        <v>40444</v>
      </c>
      <c r="S6902" t="s">
        <v>40676</v>
      </c>
      <c r="T6902" t="s">
        <v>42184</v>
      </c>
      <c r="U6902" t="s">
        <v>48445</v>
      </c>
      <c r="W6902" t="s">
        <v>55484</v>
      </c>
      <c r="X6902" t="s">
        <v>40445</v>
      </c>
    </row>
    <row r="6903" spans="1:24">
      <c r="A6903">
        <f>HYPERLINK("https://www.philgeps.gov.ph/GEPSNONPILOT/Tender/SplashBidNoticeAbstractUI.aspx?menuIndex=3&amp;refID=7038661&amp;Result=3","7038661")</f>
        <v>0</v>
      </c>
      <c r="B6903" t="s">
        <v>2181</v>
      </c>
      <c r="C6903" t="s">
        <v>9645</v>
      </c>
      <c r="D6903" t="s">
        <v>16191</v>
      </c>
      <c r="E6903" t="s">
        <v>22380</v>
      </c>
      <c r="F6903" t="s">
        <v>28198</v>
      </c>
      <c r="G6903" t="s">
        <v>28205</v>
      </c>
      <c r="H6903" t="s">
        <v>28215</v>
      </c>
      <c r="I6903" t="s">
        <v>28236</v>
      </c>
      <c r="J6903" t="s">
        <v>32169</v>
      </c>
      <c r="K6903" t="s">
        <v>36689</v>
      </c>
      <c r="M6903" t="s">
        <v>39345</v>
      </c>
      <c r="N6903" t="s">
        <v>40436</v>
      </c>
      <c r="O6903" t="s">
        <v>40437</v>
      </c>
      <c r="P6903">
        <v>0</v>
      </c>
      <c r="Q6903">
        <v>6</v>
      </c>
      <c r="R6903" t="s">
        <v>40444</v>
      </c>
      <c r="S6903" t="s">
        <v>40676</v>
      </c>
      <c r="T6903" t="s">
        <v>42145</v>
      </c>
      <c r="U6903" t="s">
        <v>48434</v>
      </c>
      <c r="W6903" t="s">
        <v>39345</v>
      </c>
      <c r="X6903" t="s">
        <v>40445</v>
      </c>
    </row>
    <row r="6904" spans="1:24">
      <c r="A6904">
        <f>HYPERLINK("https://www.philgeps.gov.ph/GEPSNONPILOT/Tender/SplashBidNoticeAbstractUI.aspx?menuIndex=3&amp;refID=7038647&amp;Result=3","7038647")</f>
        <v>0</v>
      </c>
      <c r="B6904" t="s">
        <v>243</v>
      </c>
      <c r="C6904" t="s">
        <v>9646</v>
      </c>
      <c r="D6904" t="s">
        <v>16193</v>
      </c>
      <c r="E6904" t="s">
        <v>22381</v>
      </c>
      <c r="F6904" t="s">
        <v>28198</v>
      </c>
      <c r="G6904" t="s">
        <v>28209</v>
      </c>
      <c r="H6904" t="s">
        <v>28214</v>
      </c>
      <c r="I6904" t="s">
        <v>3797</v>
      </c>
      <c r="J6904" t="s">
        <v>32662</v>
      </c>
      <c r="K6904" t="s">
        <v>36692</v>
      </c>
      <c r="M6904" t="s">
        <v>37219</v>
      </c>
      <c r="N6904" t="s">
        <v>40436</v>
      </c>
      <c r="O6904" t="s">
        <v>40437</v>
      </c>
      <c r="P6904">
        <v>0</v>
      </c>
      <c r="Q6904">
        <v>0</v>
      </c>
      <c r="R6904" t="s">
        <v>40444</v>
      </c>
      <c r="S6904" t="s">
        <v>40676</v>
      </c>
      <c r="T6904" t="s">
        <v>42158</v>
      </c>
      <c r="U6904" t="s">
        <v>46783</v>
      </c>
      <c r="W6904" t="s">
        <v>37219</v>
      </c>
      <c r="X6904" t="s">
        <v>40445</v>
      </c>
    </row>
    <row r="6905" spans="1:24">
      <c r="A6905">
        <f>HYPERLINK("https://www.philgeps.gov.ph/GEPSNONPILOT/Tender/SplashBidNoticeAbstractUI.aspx?menuIndex=3&amp;refID=7038664&amp;Result=3","7038664")</f>
        <v>0</v>
      </c>
      <c r="B6905" t="s">
        <v>553</v>
      </c>
      <c r="C6905" t="s">
        <v>9647</v>
      </c>
      <c r="E6905" t="s">
        <v>22382</v>
      </c>
      <c r="F6905" t="s">
        <v>28198</v>
      </c>
      <c r="G6905" t="s">
        <v>28205</v>
      </c>
      <c r="H6905" t="s">
        <v>28215</v>
      </c>
      <c r="I6905" t="s">
        <v>4505</v>
      </c>
      <c r="J6905" t="s">
        <v>32679</v>
      </c>
      <c r="K6905" t="s">
        <v>36689</v>
      </c>
      <c r="M6905" t="s">
        <v>37539</v>
      </c>
      <c r="N6905" t="s">
        <v>40436</v>
      </c>
      <c r="O6905" t="s">
        <v>40437</v>
      </c>
      <c r="P6905">
        <v>0</v>
      </c>
      <c r="Q6905">
        <v>0</v>
      </c>
      <c r="R6905" t="s">
        <v>40444</v>
      </c>
      <c r="S6905" t="s">
        <v>40676</v>
      </c>
      <c r="T6905" t="s">
        <v>42253</v>
      </c>
      <c r="U6905" t="s">
        <v>48446</v>
      </c>
      <c r="W6905" t="s">
        <v>37539</v>
      </c>
      <c r="X6905" t="s">
        <v>40445</v>
      </c>
    </row>
    <row r="6906" spans="1:24">
      <c r="A6906">
        <f>HYPERLINK("https://www.philgeps.gov.ph/GEPSNONPILOT/Tender/SplashBidNoticeAbstractUI.aspx?menuIndex=3&amp;refID=7038636&amp;Result=3","7038636")</f>
        <v>0</v>
      </c>
      <c r="B6906" t="s">
        <v>2136</v>
      </c>
      <c r="C6906" t="s">
        <v>9648</v>
      </c>
      <c r="D6906" t="s">
        <v>16226</v>
      </c>
      <c r="E6906" t="s">
        <v>22383</v>
      </c>
      <c r="F6906" t="s">
        <v>28198</v>
      </c>
      <c r="G6906" t="s">
        <v>28205</v>
      </c>
      <c r="H6906" t="s">
        <v>28215</v>
      </c>
      <c r="I6906" t="s">
        <v>5100</v>
      </c>
      <c r="J6906" t="s">
        <v>32680</v>
      </c>
      <c r="K6906" t="s">
        <v>36697</v>
      </c>
      <c r="M6906" t="s">
        <v>39293</v>
      </c>
      <c r="N6906" t="s">
        <v>40436</v>
      </c>
      <c r="O6906" t="s">
        <v>40437</v>
      </c>
      <c r="P6906">
        <v>0</v>
      </c>
      <c r="Q6906">
        <v>2</v>
      </c>
      <c r="R6906" t="s">
        <v>40444</v>
      </c>
      <c r="S6906" t="s">
        <v>40676</v>
      </c>
      <c r="T6906" t="s">
        <v>42424</v>
      </c>
      <c r="U6906" t="s">
        <v>48447</v>
      </c>
      <c r="W6906" t="s">
        <v>39293</v>
      </c>
      <c r="X6906" t="s">
        <v>40445</v>
      </c>
    </row>
    <row r="6907" spans="1:24">
      <c r="A6907">
        <f>HYPERLINK("https://www.philgeps.gov.ph/GEPSNONPILOT/Tender/SplashBidNoticeAbstractUI.aspx?menuIndex=3&amp;refID=7038637&amp;Result=3","7038637")</f>
        <v>0</v>
      </c>
      <c r="B6907" t="s">
        <v>243</v>
      </c>
      <c r="C6907" t="s">
        <v>9649</v>
      </c>
      <c r="D6907" t="s">
        <v>16193</v>
      </c>
      <c r="E6907" t="s">
        <v>22384</v>
      </c>
      <c r="F6907" t="s">
        <v>28198</v>
      </c>
      <c r="G6907" t="s">
        <v>28209</v>
      </c>
      <c r="H6907" t="s">
        <v>28214</v>
      </c>
      <c r="I6907" t="s">
        <v>3797</v>
      </c>
      <c r="J6907" t="s">
        <v>32662</v>
      </c>
      <c r="K6907" t="s">
        <v>36692</v>
      </c>
      <c r="M6907" t="s">
        <v>37219</v>
      </c>
      <c r="N6907" t="s">
        <v>40436</v>
      </c>
      <c r="O6907" t="s">
        <v>40437</v>
      </c>
      <c r="P6907">
        <v>0</v>
      </c>
      <c r="Q6907">
        <v>0</v>
      </c>
      <c r="R6907" t="s">
        <v>40444</v>
      </c>
      <c r="S6907" t="s">
        <v>40676</v>
      </c>
      <c r="T6907" t="s">
        <v>42158</v>
      </c>
      <c r="U6907" t="s">
        <v>46783</v>
      </c>
      <c r="W6907" t="s">
        <v>37219</v>
      </c>
      <c r="X6907" t="s">
        <v>40445</v>
      </c>
    </row>
    <row r="6908" spans="1:24">
      <c r="A6908">
        <f>HYPERLINK("https://www.philgeps.gov.ph/GEPSNONPILOT/Tender/SplashBidNoticeAbstractUI.aspx?menuIndex=3&amp;refID=7038677&amp;Result=3","7038677")</f>
        <v>0</v>
      </c>
      <c r="B6908" t="s">
        <v>890</v>
      </c>
      <c r="C6908" t="s">
        <v>9650</v>
      </c>
      <c r="D6908" t="s">
        <v>16213</v>
      </c>
      <c r="E6908" t="s">
        <v>22385</v>
      </c>
      <c r="F6908" t="s">
        <v>28198</v>
      </c>
      <c r="G6908" t="s">
        <v>28205</v>
      </c>
      <c r="H6908" t="s">
        <v>28215</v>
      </c>
      <c r="I6908" t="s">
        <v>28243</v>
      </c>
      <c r="J6908" t="s">
        <v>30908</v>
      </c>
      <c r="K6908" t="s">
        <v>36687</v>
      </c>
      <c r="M6908" t="s">
        <v>37906</v>
      </c>
      <c r="N6908" t="s">
        <v>40436</v>
      </c>
      <c r="O6908" t="s">
        <v>40437</v>
      </c>
      <c r="P6908">
        <v>0</v>
      </c>
      <c r="Q6908">
        <v>9</v>
      </c>
      <c r="R6908" t="s">
        <v>40444</v>
      </c>
      <c r="S6908" t="s">
        <v>40676</v>
      </c>
      <c r="T6908" t="s">
        <v>42234</v>
      </c>
      <c r="U6908" t="s">
        <v>48408</v>
      </c>
      <c r="W6908" t="s">
        <v>37906</v>
      </c>
      <c r="X6908" t="s">
        <v>40445</v>
      </c>
    </row>
    <row r="6909" spans="1:24">
      <c r="A6909">
        <f>HYPERLINK("https://www.philgeps.gov.ph/GEPSNONPILOT/Tender/SplashBidNoticeAbstractUI.aspx?menuIndex=3&amp;refID=7038676&amp;Result=3","7038676")</f>
        <v>0</v>
      </c>
      <c r="B6909" t="s">
        <v>2148</v>
      </c>
      <c r="C6909" t="s">
        <v>9651</v>
      </c>
      <c r="D6909" t="s">
        <v>16201</v>
      </c>
      <c r="E6909" t="s">
        <v>22386</v>
      </c>
      <c r="F6909" t="s">
        <v>28198</v>
      </c>
      <c r="G6909" t="s">
        <v>28205</v>
      </c>
      <c r="H6909" t="s">
        <v>28214</v>
      </c>
      <c r="I6909" t="s">
        <v>3797</v>
      </c>
      <c r="J6909" t="s">
        <v>28378</v>
      </c>
      <c r="K6909" t="s">
        <v>36715</v>
      </c>
      <c r="M6909" t="s">
        <v>39305</v>
      </c>
      <c r="N6909" t="s">
        <v>40436</v>
      </c>
      <c r="O6909" t="s">
        <v>40437</v>
      </c>
      <c r="P6909">
        <v>0</v>
      </c>
      <c r="Q6909">
        <v>0</v>
      </c>
      <c r="R6909" t="s">
        <v>40444</v>
      </c>
      <c r="S6909" t="s">
        <v>40676</v>
      </c>
      <c r="T6909" t="s">
        <v>42375</v>
      </c>
      <c r="U6909" t="s">
        <v>48448</v>
      </c>
      <c r="V6909" t="s">
        <v>54503</v>
      </c>
      <c r="W6909" t="s">
        <v>39305</v>
      </c>
      <c r="X6909" t="s">
        <v>40445</v>
      </c>
    </row>
    <row r="6910" spans="1:24">
      <c r="A6910">
        <f>HYPERLINK("https://www.philgeps.gov.ph/GEPSNONPILOT/Tender/SplashBidNoticeAbstractUI.aspx?menuIndex=3&amp;refID=7038694&amp;Result=3","7038694")</f>
        <v>0</v>
      </c>
      <c r="B6910" t="s">
        <v>2185</v>
      </c>
      <c r="C6910" t="s">
        <v>9652</v>
      </c>
      <c r="D6910" t="s">
        <v>16217</v>
      </c>
      <c r="E6910" t="s">
        <v>22387</v>
      </c>
      <c r="F6910" t="s">
        <v>28198</v>
      </c>
      <c r="G6910" t="s">
        <v>28207</v>
      </c>
      <c r="H6910" t="s">
        <v>28215</v>
      </c>
      <c r="I6910" t="s">
        <v>28265</v>
      </c>
      <c r="J6910" t="s">
        <v>32681</v>
      </c>
      <c r="K6910" t="s">
        <v>36707</v>
      </c>
      <c r="M6910" t="s">
        <v>39349</v>
      </c>
      <c r="N6910" t="s">
        <v>40436</v>
      </c>
      <c r="O6910" t="s">
        <v>40437</v>
      </c>
      <c r="P6910">
        <v>0</v>
      </c>
      <c r="Q6910">
        <v>1</v>
      </c>
      <c r="R6910" t="s">
        <v>40444</v>
      </c>
      <c r="S6910" t="s">
        <v>40676</v>
      </c>
      <c r="T6910" t="s">
        <v>42245</v>
      </c>
      <c r="U6910" t="s">
        <v>48449</v>
      </c>
      <c r="W6910" t="s">
        <v>39349</v>
      </c>
      <c r="X6910" t="s">
        <v>40445</v>
      </c>
    </row>
    <row r="6911" spans="1:24">
      <c r="A6911">
        <f>HYPERLINK("https://www.philgeps.gov.ph/GEPSNONPILOT/Tender/SplashBidNoticeAbstractUI.aspx?menuIndex=3&amp;refID=7038674&amp;Result=3","7038674")</f>
        <v>0</v>
      </c>
      <c r="B6911" t="s">
        <v>1039</v>
      </c>
      <c r="C6911" t="s">
        <v>9653</v>
      </c>
      <c r="D6911" t="s">
        <v>16255</v>
      </c>
      <c r="E6911" t="s">
        <v>22388</v>
      </c>
      <c r="F6911" t="s">
        <v>28198</v>
      </c>
      <c r="G6911" t="s">
        <v>28205</v>
      </c>
      <c r="H6911" t="s">
        <v>28215</v>
      </c>
      <c r="I6911" t="s">
        <v>5082</v>
      </c>
      <c r="J6911" t="s">
        <v>32682</v>
      </c>
      <c r="K6911" t="s">
        <v>36701</v>
      </c>
      <c r="M6911" t="s">
        <v>38071</v>
      </c>
      <c r="N6911" t="s">
        <v>40436</v>
      </c>
      <c r="O6911" t="s">
        <v>40437</v>
      </c>
      <c r="P6911">
        <v>0</v>
      </c>
      <c r="Q6911">
        <v>3</v>
      </c>
      <c r="R6911" t="s">
        <v>40444</v>
      </c>
      <c r="S6911" t="s">
        <v>40676</v>
      </c>
      <c r="T6911" t="s">
        <v>42234</v>
      </c>
      <c r="U6911" t="s">
        <v>48450</v>
      </c>
      <c r="W6911" t="s">
        <v>38071</v>
      </c>
      <c r="X6911" t="s">
        <v>40445</v>
      </c>
    </row>
    <row r="6912" spans="1:24">
      <c r="A6912">
        <f>HYPERLINK("https://www.philgeps.gov.ph/GEPSNONPILOT/Tender/SplashBidNoticeAbstractUI.aspx?menuIndex=3&amp;refID=7038681&amp;Result=3","7038681")</f>
        <v>0</v>
      </c>
      <c r="B6912" t="s">
        <v>842</v>
      </c>
      <c r="C6912" t="s">
        <v>9654</v>
      </c>
      <c r="D6912" t="s">
        <v>16239</v>
      </c>
      <c r="E6912" t="s">
        <v>22389</v>
      </c>
      <c r="F6912" t="s">
        <v>28198</v>
      </c>
      <c r="G6912" t="s">
        <v>28205</v>
      </c>
      <c r="H6912" t="s">
        <v>28214</v>
      </c>
      <c r="I6912" t="s">
        <v>3797</v>
      </c>
      <c r="J6912" t="s">
        <v>32683</v>
      </c>
      <c r="K6912" t="s">
        <v>36717</v>
      </c>
      <c r="M6912" t="s">
        <v>39333</v>
      </c>
      <c r="N6912" t="s">
        <v>40436</v>
      </c>
      <c r="O6912" t="s">
        <v>40437</v>
      </c>
      <c r="P6912">
        <v>0</v>
      </c>
      <c r="Q6912">
        <v>0</v>
      </c>
      <c r="R6912" t="s">
        <v>40444</v>
      </c>
      <c r="S6912" t="s">
        <v>40676</v>
      </c>
      <c r="T6912" t="s">
        <v>42443</v>
      </c>
      <c r="U6912" t="s">
        <v>48451</v>
      </c>
      <c r="W6912" t="s">
        <v>39333</v>
      </c>
      <c r="X6912" t="s">
        <v>40445</v>
      </c>
    </row>
    <row r="6913" spans="1:24">
      <c r="A6913">
        <f>HYPERLINK("https://www.philgeps.gov.ph/GEPSNONPILOT/Tender/SplashBidNoticeAbstractUI.aspx?menuIndex=3&amp;refID=7038686&amp;Result=3","7038686")</f>
        <v>0</v>
      </c>
      <c r="B6913" t="s">
        <v>2186</v>
      </c>
      <c r="C6913" t="s">
        <v>9655</v>
      </c>
      <c r="D6913" t="s">
        <v>16268</v>
      </c>
      <c r="E6913" t="s">
        <v>22390</v>
      </c>
      <c r="F6913" t="s">
        <v>28198</v>
      </c>
      <c r="G6913" t="s">
        <v>28205</v>
      </c>
      <c r="H6913" t="s">
        <v>28214</v>
      </c>
      <c r="I6913" t="s">
        <v>3797</v>
      </c>
      <c r="J6913" t="s">
        <v>32684</v>
      </c>
      <c r="K6913" t="s">
        <v>36694</v>
      </c>
      <c r="M6913" t="s">
        <v>39350</v>
      </c>
      <c r="N6913" t="s">
        <v>40436</v>
      </c>
      <c r="O6913" t="s">
        <v>40437</v>
      </c>
      <c r="P6913">
        <v>0</v>
      </c>
      <c r="Q6913">
        <v>0</v>
      </c>
      <c r="R6913" t="s">
        <v>40444</v>
      </c>
      <c r="S6913" t="s">
        <v>40676</v>
      </c>
      <c r="T6913" t="s">
        <v>42278</v>
      </c>
      <c r="U6913" t="s">
        <v>48452</v>
      </c>
      <c r="V6913" t="s">
        <v>54506</v>
      </c>
      <c r="W6913" t="s">
        <v>39350</v>
      </c>
      <c r="X6913" t="s">
        <v>40445</v>
      </c>
    </row>
    <row r="6914" spans="1:24">
      <c r="A6914">
        <f>HYPERLINK("https://www.philgeps.gov.ph/GEPSNONPILOT/Tender/SplashBidNoticeAbstractUI.aspx?menuIndex=3&amp;refID=7038680&amp;Result=3","7038680")</f>
        <v>0</v>
      </c>
      <c r="B6914" t="s">
        <v>230</v>
      </c>
      <c r="C6914" t="s">
        <v>9656</v>
      </c>
      <c r="D6914" t="s">
        <v>16246</v>
      </c>
      <c r="E6914" t="s">
        <v>22391</v>
      </c>
      <c r="F6914" t="s">
        <v>28198</v>
      </c>
      <c r="G6914" t="s">
        <v>28205</v>
      </c>
      <c r="H6914" t="s">
        <v>28214</v>
      </c>
      <c r="I6914" t="s">
        <v>28255</v>
      </c>
      <c r="J6914" t="s">
        <v>32685</v>
      </c>
      <c r="K6914" t="s">
        <v>36701</v>
      </c>
      <c r="M6914" t="s">
        <v>37206</v>
      </c>
      <c r="N6914" t="s">
        <v>40436</v>
      </c>
      <c r="O6914" t="s">
        <v>40437</v>
      </c>
      <c r="P6914">
        <v>0</v>
      </c>
      <c r="Q6914">
        <v>0</v>
      </c>
      <c r="R6914" t="s">
        <v>40444</v>
      </c>
      <c r="S6914" t="s">
        <v>40676</v>
      </c>
      <c r="T6914" t="s">
        <v>42171</v>
      </c>
      <c r="U6914" t="s">
        <v>48453</v>
      </c>
      <c r="W6914" t="s">
        <v>37206</v>
      </c>
      <c r="X6914" t="s">
        <v>40445</v>
      </c>
    </row>
    <row r="6915" spans="1:24">
      <c r="A6915">
        <f>HYPERLINK("https://www.philgeps.gov.ph/GEPSNONPILOT/Tender/SplashBidNoticeAbstractUI.aspx?menuIndex=3&amp;refID=7038682&amp;Result=3","7038682")</f>
        <v>0</v>
      </c>
      <c r="B6915" t="s">
        <v>243</v>
      </c>
      <c r="C6915" t="s">
        <v>9657</v>
      </c>
      <c r="D6915" t="s">
        <v>16193</v>
      </c>
      <c r="E6915" t="s">
        <v>22392</v>
      </c>
      <c r="F6915" t="s">
        <v>28198</v>
      </c>
      <c r="G6915" t="s">
        <v>28209</v>
      </c>
      <c r="H6915" t="s">
        <v>28214</v>
      </c>
      <c r="I6915" t="s">
        <v>3797</v>
      </c>
      <c r="J6915" t="s">
        <v>32686</v>
      </c>
      <c r="K6915" t="s">
        <v>36692</v>
      </c>
      <c r="M6915" t="s">
        <v>37219</v>
      </c>
      <c r="N6915" t="s">
        <v>40436</v>
      </c>
      <c r="O6915" t="s">
        <v>40437</v>
      </c>
      <c r="P6915">
        <v>0</v>
      </c>
      <c r="Q6915">
        <v>0</v>
      </c>
      <c r="R6915" t="s">
        <v>40444</v>
      </c>
      <c r="S6915" t="s">
        <v>40676</v>
      </c>
      <c r="T6915" t="s">
        <v>42158</v>
      </c>
      <c r="U6915" t="s">
        <v>48454</v>
      </c>
      <c r="W6915" t="s">
        <v>37219</v>
      </c>
      <c r="X6915" t="s">
        <v>40445</v>
      </c>
    </row>
    <row r="6916" spans="1:24">
      <c r="A6916">
        <f>HYPERLINK("https://www.philgeps.gov.ph/GEPSNONPILOT/Tender/SplashBidNoticeAbstractUI.aspx?menuIndex=3&amp;refID=7038689&amp;Result=3","7038689")</f>
        <v>0</v>
      </c>
      <c r="B6916" t="s">
        <v>2182</v>
      </c>
      <c r="C6916" t="s">
        <v>9658</v>
      </c>
      <c r="D6916" t="s">
        <v>16218</v>
      </c>
      <c r="E6916" t="s">
        <v>22342</v>
      </c>
      <c r="F6916" t="s">
        <v>28198</v>
      </c>
      <c r="G6916" t="s">
        <v>28205</v>
      </c>
      <c r="H6916" t="s">
        <v>28215</v>
      </c>
      <c r="I6916" t="s">
        <v>5100</v>
      </c>
      <c r="J6916" t="s">
        <v>32687</v>
      </c>
      <c r="K6916" t="s">
        <v>36693</v>
      </c>
      <c r="M6916" t="s">
        <v>39346</v>
      </c>
      <c r="N6916" t="s">
        <v>40436</v>
      </c>
      <c r="O6916" t="s">
        <v>40437</v>
      </c>
      <c r="P6916">
        <v>0</v>
      </c>
      <c r="Q6916">
        <v>0</v>
      </c>
      <c r="R6916" t="s">
        <v>40444</v>
      </c>
      <c r="S6916" t="s">
        <v>40676</v>
      </c>
      <c r="T6916" t="s">
        <v>42112</v>
      </c>
      <c r="U6916" t="s">
        <v>48455</v>
      </c>
      <c r="W6916" t="s">
        <v>39346</v>
      </c>
      <c r="X6916" t="s">
        <v>40445</v>
      </c>
    </row>
    <row r="6917" spans="1:24">
      <c r="A6917">
        <f>HYPERLINK("https://www.philgeps.gov.ph/GEPSNONPILOT/Tender/SplashBidNoticeAbstractUI.aspx?menuIndex=3&amp;refID=7038679&amp;Result=3","7038679")</f>
        <v>0</v>
      </c>
      <c r="B6917" t="s">
        <v>46</v>
      </c>
      <c r="C6917" t="s">
        <v>9659</v>
      </c>
      <c r="D6917" t="s">
        <v>16202</v>
      </c>
      <c r="E6917" t="s">
        <v>22393</v>
      </c>
      <c r="F6917" t="s">
        <v>28198</v>
      </c>
      <c r="G6917" t="s">
        <v>28208</v>
      </c>
      <c r="H6917" t="s">
        <v>28214</v>
      </c>
      <c r="I6917" t="s">
        <v>3797</v>
      </c>
      <c r="J6917" t="s">
        <v>31371</v>
      </c>
      <c r="K6917" t="s">
        <v>36689</v>
      </c>
      <c r="L6917" t="s">
        <v>46</v>
      </c>
      <c r="M6917" t="s">
        <v>37017</v>
      </c>
      <c r="N6917" t="s">
        <v>40436</v>
      </c>
      <c r="O6917" t="s">
        <v>40437</v>
      </c>
      <c r="P6917">
        <v>0</v>
      </c>
      <c r="Q6917">
        <v>4</v>
      </c>
      <c r="R6917" t="s">
        <v>40444</v>
      </c>
      <c r="S6917" t="s">
        <v>40676</v>
      </c>
      <c r="T6917" t="s">
        <v>42278</v>
      </c>
      <c r="U6917" t="s">
        <v>48456</v>
      </c>
      <c r="W6917" t="s">
        <v>37017</v>
      </c>
      <c r="X6917" t="s">
        <v>40445</v>
      </c>
    </row>
    <row r="6918" spans="1:24">
      <c r="A6918">
        <f>HYPERLINK("https://www.philgeps.gov.ph/GEPSNONPILOT/Tender/SplashBidNoticeAbstractUI.aspx?menuIndex=3&amp;refID=7038699&amp;Result=3","7038699")</f>
        <v>0</v>
      </c>
      <c r="B6918" t="s">
        <v>553</v>
      </c>
      <c r="C6918" t="s">
        <v>4206</v>
      </c>
      <c r="E6918" t="s">
        <v>22394</v>
      </c>
      <c r="F6918" t="s">
        <v>28198</v>
      </c>
      <c r="G6918" t="s">
        <v>28205</v>
      </c>
      <c r="H6918" t="s">
        <v>28215</v>
      </c>
      <c r="I6918" t="s">
        <v>6013</v>
      </c>
      <c r="J6918" t="s">
        <v>32688</v>
      </c>
      <c r="K6918" t="s">
        <v>36689</v>
      </c>
      <c r="M6918" t="s">
        <v>37539</v>
      </c>
      <c r="N6918" t="s">
        <v>40436</v>
      </c>
      <c r="O6918" t="s">
        <v>40437</v>
      </c>
      <c r="P6918">
        <v>0</v>
      </c>
      <c r="Q6918">
        <v>0</v>
      </c>
      <c r="R6918" t="s">
        <v>40444</v>
      </c>
      <c r="S6918" t="s">
        <v>40676</v>
      </c>
      <c r="T6918" t="s">
        <v>42253</v>
      </c>
      <c r="U6918" t="s">
        <v>48457</v>
      </c>
      <c r="W6918" t="s">
        <v>37539</v>
      </c>
      <c r="X6918" t="s">
        <v>40445</v>
      </c>
    </row>
    <row r="6919" spans="1:24">
      <c r="A6919">
        <f>HYPERLINK("https://www.philgeps.gov.ph/GEPSNONPILOT/Tender/SplashBidNoticeAbstractUI.aspx?menuIndex=3&amp;refID=7038684&amp;Result=3","7038684")</f>
        <v>0</v>
      </c>
      <c r="B6919" t="s">
        <v>2169</v>
      </c>
      <c r="C6919" t="s">
        <v>9660</v>
      </c>
      <c r="D6919" t="s">
        <v>16192</v>
      </c>
      <c r="E6919" t="s">
        <v>22395</v>
      </c>
      <c r="F6919" t="s">
        <v>28198</v>
      </c>
      <c r="G6919" t="s">
        <v>28207</v>
      </c>
      <c r="H6919" t="s">
        <v>28215</v>
      </c>
      <c r="I6919" t="s">
        <v>5100</v>
      </c>
      <c r="J6919" t="s">
        <v>28345</v>
      </c>
      <c r="K6919" t="s">
        <v>36701</v>
      </c>
      <c r="M6919" t="s">
        <v>39326</v>
      </c>
      <c r="N6919" t="s">
        <v>40436</v>
      </c>
      <c r="O6919" t="s">
        <v>40437</v>
      </c>
      <c r="P6919">
        <v>0</v>
      </c>
      <c r="Q6919">
        <v>0</v>
      </c>
      <c r="R6919" t="s">
        <v>40444</v>
      </c>
      <c r="S6919" t="s">
        <v>40676</v>
      </c>
      <c r="T6919" t="s">
        <v>42131</v>
      </c>
      <c r="U6919" t="s">
        <v>48395</v>
      </c>
      <c r="V6919" t="s">
        <v>54507</v>
      </c>
      <c r="W6919" t="s">
        <v>39326</v>
      </c>
      <c r="X6919" t="s">
        <v>40445</v>
      </c>
    </row>
    <row r="6920" spans="1:24">
      <c r="A6920">
        <f>HYPERLINK("https://www.philgeps.gov.ph/GEPSNONPILOT/Tender/SplashBidNoticeAbstractUI.aspx?menuIndex=3&amp;refID=7038685&amp;Result=3","7038685")</f>
        <v>0</v>
      </c>
      <c r="B6920" t="s">
        <v>1737</v>
      </c>
      <c r="C6920" t="s">
        <v>9661</v>
      </c>
      <c r="D6920" t="s">
        <v>16219</v>
      </c>
      <c r="E6920" t="s">
        <v>22396</v>
      </c>
      <c r="F6920" t="s">
        <v>28198</v>
      </c>
      <c r="G6920" t="s">
        <v>28207</v>
      </c>
      <c r="H6920" t="s">
        <v>28215</v>
      </c>
      <c r="I6920" t="s">
        <v>3422</v>
      </c>
      <c r="J6920" t="s">
        <v>28691</v>
      </c>
      <c r="K6920" t="s">
        <v>36689</v>
      </c>
      <c r="M6920" t="s">
        <v>39351</v>
      </c>
      <c r="N6920" t="s">
        <v>40436</v>
      </c>
      <c r="O6920" t="s">
        <v>40437</v>
      </c>
      <c r="P6920">
        <v>0</v>
      </c>
      <c r="Q6920">
        <v>0</v>
      </c>
      <c r="R6920" t="s">
        <v>40444</v>
      </c>
      <c r="S6920" t="s">
        <v>40676</v>
      </c>
      <c r="T6920" t="s">
        <v>42216</v>
      </c>
      <c r="U6920" t="s">
        <v>48458</v>
      </c>
      <c r="W6920" t="s">
        <v>55494</v>
      </c>
      <c r="X6920" t="s">
        <v>40445</v>
      </c>
    </row>
    <row r="6921" spans="1:24">
      <c r="A6921">
        <f>HYPERLINK("https://www.philgeps.gov.ph/GEPSNONPILOT/Tender/SplashBidNoticeAbstractUI.aspx?menuIndex=3&amp;refID=7038697&amp;Result=3","7038697")</f>
        <v>0</v>
      </c>
      <c r="B6921" t="s">
        <v>773</v>
      </c>
      <c r="C6921" t="s">
        <v>9662</v>
      </c>
      <c r="D6921" t="s">
        <v>16219</v>
      </c>
      <c r="E6921" t="s">
        <v>22397</v>
      </c>
      <c r="F6921" t="s">
        <v>28198</v>
      </c>
      <c r="G6921" t="s">
        <v>28205</v>
      </c>
      <c r="H6921" t="s">
        <v>28215</v>
      </c>
      <c r="I6921" t="s">
        <v>5100</v>
      </c>
      <c r="J6921" t="s">
        <v>32689</v>
      </c>
      <c r="K6921" t="s">
        <v>36706</v>
      </c>
      <c r="M6921" t="s">
        <v>38111</v>
      </c>
      <c r="N6921" t="s">
        <v>40436</v>
      </c>
      <c r="O6921" t="s">
        <v>40437</v>
      </c>
      <c r="P6921">
        <v>0</v>
      </c>
      <c r="Q6921">
        <v>0</v>
      </c>
      <c r="R6921" t="s">
        <v>40444</v>
      </c>
      <c r="S6921" t="s">
        <v>40676</v>
      </c>
      <c r="T6921" t="s">
        <v>42233</v>
      </c>
      <c r="U6921" t="s">
        <v>48459</v>
      </c>
      <c r="W6921" t="s">
        <v>38111</v>
      </c>
      <c r="X6921" t="s">
        <v>40445</v>
      </c>
    </row>
    <row r="6922" spans="1:24">
      <c r="A6922">
        <f>HYPERLINK("https://www.philgeps.gov.ph/GEPSNONPILOT/Tender/SplashBidNoticeAbstractUI.aspx?menuIndex=3&amp;refID=7038690&amp;Result=3","7038690")</f>
        <v>0</v>
      </c>
      <c r="B6922" t="s">
        <v>1157</v>
      </c>
      <c r="C6922" t="s">
        <v>9663</v>
      </c>
      <c r="D6922" t="s">
        <v>16193</v>
      </c>
      <c r="E6922" t="s">
        <v>22398</v>
      </c>
      <c r="F6922" t="s">
        <v>28198</v>
      </c>
      <c r="G6922" t="s">
        <v>28205</v>
      </c>
      <c r="H6922" t="s">
        <v>28215</v>
      </c>
      <c r="I6922" t="s">
        <v>5100</v>
      </c>
      <c r="J6922" t="s">
        <v>32690</v>
      </c>
      <c r="K6922" t="s">
        <v>36689</v>
      </c>
      <c r="M6922" t="s">
        <v>38197</v>
      </c>
      <c r="N6922" t="s">
        <v>40436</v>
      </c>
      <c r="O6922" t="s">
        <v>40437</v>
      </c>
      <c r="P6922">
        <v>0</v>
      </c>
      <c r="Q6922">
        <v>0</v>
      </c>
      <c r="R6922" t="s">
        <v>40444</v>
      </c>
      <c r="S6922" t="s">
        <v>40676</v>
      </c>
      <c r="T6922" t="s">
        <v>42184</v>
      </c>
      <c r="U6922" t="s">
        <v>48460</v>
      </c>
      <c r="W6922" t="s">
        <v>55484</v>
      </c>
      <c r="X6922" t="s">
        <v>40445</v>
      </c>
    </row>
    <row r="6923" spans="1:24">
      <c r="A6923">
        <f>HYPERLINK("https://www.philgeps.gov.ph/GEPSNONPILOT/Tender/SplashBidNoticeAbstractUI.aspx?menuIndex=3&amp;refID=7038696&amp;Result=3","7038696")</f>
        <v>0</v>
      </c>
      <c r="B6923" t="s">
        <v>2176</v>
      </c>
      <c r="C6923" t="s">
        <v>9664</v>
      </c>
      <c r="D6923" t="s">
        <v>16260</v>
      </c>
      <c r="E6923" t="s">
        <v>22399</v>
      </c>
      <c r="F6923" t="s">
        <v>28198</v>
      </c>
      <c r="G6923" t="s">
        <v>28205</v>
      </c>
      <c r="H6923" t="s">
        <v>28215</v>
      </c>
      <c r="I6923" t="s">
        <v>28247</v>
      </c>
      <c r="J6923" t="s">
        <v>32691</v>
      </c>
      <c r="K6923" t="s">
        <v>36697</v>
      </c>
      <c r="M6923" t="s">
        <v>39338</v>
      </c>
      <c r="N6923" t="s">
        <v>40436</v>
      </c>
      <c r="O6923" t="s">
        <v>40437</v>
      </c>
      <c r="Q6923">
        <v>45</v>
      </c>
      <c r="R6923" t="s">
        <v>40444</v>
      </c>
      <c r="S6923" t="s">
        <v>40692</v>
      </c>
      <c r="T6923" t="s">
        <v>42236</v>
      </c>
      <c r="U6923" t="s">
        <v>48461</v>
      </c>
      <c r="W6923" t="s">
        <v>39338</v>
      </c>
      <c r="X6923" t="s">
        <v>40445</v>
      </c>
    </row>
    <row r="6924" spans="1:24">
      <c r="A6924">
        <f>HYPERLINK("https://www.philgeps.gov.ph/GEPSNONPILOT/Tender/SplashBidNoticeAbstractUI.aspx?menuIndex=3&amp;refID=7038695&amp;Result=3","7038695")</f>
        <v>0</v>
      </c>
      <c r="B6924" t="s">
        <v>100</v>
      </c>
      <c r="C6924" t="s">
        <v>9665</v>
      </c>
      <c r="D6924" t="s">
        <v>16228</v>
      </c>
      <c r="E6924" t="s">
        <v>22400</v>
      </c>
      <c r="F6924" t="s">
        <v>28198</v>
      </c>
      <c r="G6924" t="s">
        <v>28205</v>
      </c>
      <c r="H6924" t="s">
        <v>28215</v>
      </c>
      <c r="I6924" t="s">
        <v>3422</v>
      </c>
      <c r="J6924" t="s">
        <v>31894</v>
      </c>
      <c r="K6924" t="s">
        <v>36698</v>
      </c>
      <c r="M6924" t="s">
        <v>37073</v>
      </c>
      <c r="N6924" t="s">
        <v>40436</v>
      </c>
      <c r="O6924" t="s">
        <v>40437</v>
      </c>
      <c r="P6924">
        <v>0</v>
      </c>
      <c r="Q6924">
        <v>0</v>
      </c>
      <c r="R6924" t="s">
        <v>40444</v>
      </c>
      <c r="S6924" t="s">
        <v>40676</v>
      </c>
      <c r="T6924" t="s">
        <v>42184</v>
      </c>
      <c r="U6924" t="s">
        <v>48444</v>
      </c>
      <c r="V6924" t="s">
        <v>53798</v>
      </c>
      <c r="W6924" t="s">
        <v>37073</v>
      </c>
      <c r="X6924" t="s">
        <v>40445</v>
      </c>
    </row>
    <row r="6925" spans="1:24">
      <c r="A6925">
        <f>HYPERLINK("https://www.philgeps.gov.ph/GEPSNONPILOT/Tender/SplashBidNoticeAbstractUI.aspx?menuIndex=3&amp;refID=7038701&amp;Result=3","7038701")</f>
        <v>0</v>
      </c>
      <c r="B6925" t="s">
        <v>469</v>
      </c>
      <c r="C6925" t="s">
        <v>9666</v>
      </c>
      <c r="D6925" t="s">
        <v>16235</v>
      </c>
      <c r="E6925" t="s">
        <v>22401</v>
      </c>
      <c r="F6925" t="s">
        <v>28198</v>
      </c>
      <c r="G6925" t="s">
        <v>28207</v>
      </c>
      <c r="H6925" t="s">
        <v>28217</v>
      </c>
      <c r="I6925" t="s">
        <v>28320</v>
      </c>
      <c r="J6925" t="s">
        <v>28398</v>
      </c>
      <c r="K6925" t="s">
        <v>36694</v>
      </c>
      <c r="M6925" t="s">
        <v>37454</v>
      </c>
      <c r="N6925" t="s">
        <v>40436</v>
      </c>
      <c r="O6925" t="s">
        <v>40437</v>
      </c>
      <c r="Q6925">
        <v>5</v>
      </c>
      <c r="R6925" t="s">
        <v>40444</v>
      </c>
      <c r="S6925" t="s">
        <v>40693</v>
      </c>
      <c r="T6925" t="s">
        <v>42245</v>
      </c>
      <c r="U6925" t="s">
        <v>43423</v>
      </c>
      <c r="W6925" t="s">
        <v>37454</v>
      </c>
      <c r="X6925" t="s">
        <v>40445</v>
      </c>
    </row>
    <row r="6926" spans="1:24">
      <c r="A6926">
        <f>HYPERLINK("https://www.philgeps.gov.ph/GEPSNONPILOT/Tender/SplashBidNoticeAbstractUI.aspx?menuIndex=3&amp;refID=7038725&amp;Result=3","7038725")</f>
        <v>0</v>
      </c>
      <c r="B6926" t="s">
        <v>842</v>
      </c>
      <c r="C6926" t="s">
        <v>9667</v>
      </c>
      <c r="D6926" t="s">
        <v>16239</v>
      </c>
      <c r="E6926" t="s">
        <v>22402</v>
      </c>
      <c r="F6926" t="s">
        <v>28198</v>
      </c>
      <c r="G6926" t="s">
        <v>28205</v>
      </c>
      <c r="H6926" t="s">
        <v>28214</v>
      </c>
      <c r="I6926" t="s">
        <v>3797</v>
      </c>
      <c r="J6926" t="s">
        <v>28379</v>
      </c>
      <c r="K6926" t="s">
        <v>36692</v>
      </c>
      <c r="M6926" t="s">
        <v>39333</v>
      </c>
      <c r="N6926" t="s">
        <v>40436</v>
      </c>
      <c r="O6926" t="s">
        <v>40437</v>
      </c>
      <c r="P6926">
        <v>0</v>
      </c>
      <c r="Q6926">
        <v>0</v>
      </c>
      <c r="R6926" t="s">
        <v>40444</v>
      </c>
      <c r="S6926" t="s">
        <v>40676</v>
      </c>
      <c r="T6926" t="s">
        <v>42443</v>
      </c>
      <c r="U6926" t="s">
        <v>48462</v>
      </c>
      <c r="W6926" t="s">
        <v>39333</v>
      </c>
      <c r="X6926" t="s">
        <v>40445</v>
      </c>
    </row>
    <row r="6927" spans="1:24">
      <c r="A6927">
        <f>HYPERLINK("https://www.philgeps.gov.ph/GEPSNONPILOT/Tender/SplashBidNoticeAbstractUI.aspx?menuIndex=3&amp;refID=7038707&amp;Result=3","7038707")</f>
        <v>0</v>
      </c>
      <c r="B6927" t="s">
        <v>2172</v>
      </c>
      <c r="C6927" t="s">
        <v>9668</v>
      </c>
      <c r="D6927" t="s">
        <v>16232</v>
      </c>
      <c r="E6927" t="s">
        <v>22403</v>
      </c>
      <c r="F6927" t="s">
        <v>28198</v>
      </c>
      <c r="G6927" t="s">
        <v>28205</v>
      </c>
      <c r="H6927" t="s">
        <v>28214</v>
      </c>
      <c r="I6927" t="s">
        <v>3797</v>
      </c>
      <c r="J6927" t="s">
        <v>32692</v>
      </c>
      <c r="K6927" t="s">
        <v>36692</v>
      </c>
      <c r="M6927" t="s">
        <v>39332</v>
      </c>
      <c r="N6927" t="s">
        <v>40436</v>
      </c>
      <c r="O6927" t="s">
        <v>40437</v>
      </c>
      <c r="P6927">
        <v>0</v>
      </c>
      <c r="Q6927">
        <v>0</v>
      </c>
      <c r="R6927" t="s">
        <v>40444</v>
      </c>
      <c r="S6927" t="s">
        <v>40676</v>
      </c>
      <c r="T6927" t="s">
        <v>42435</v>
      </c>
      <c r="U6927" t="s">
        <v>48463</v>
      </c>
      <c r="W6927" t="s">
        <v>39332</v>
      </c>
      <c r="X6927" t="s">
        <v>40445</v>
      </c>
    </row>
    <row r="6928" spans="1:24">
      <c r="A6928">
        <f>HYPERLINK("https://www.philgeps.gov.ph/GEPSNONPILOT/Tender/SplashBidNoticeAbstractUI.aspx?menuIndex=3&amp;refID=7038726&amp;Result=3","7038726")</f>
        <v>0</v>
      </c>
      <c r="B6928" t="s">
        <v>2187</v>
      </c>
      <c r="C6928" t="s">
        <v>9669</v>
      </c>
      <c r="D6928" t="s">
        <v>16190</v>
      </c>
      <c r="E6928" t="s">
        <v>17685</v>
      </c>
      <c r="F6928" t="s">
        <v>28198</v>
      </c>
      <c r="G6928" t="s">
        <v>28205</v>
      </c>
      <c r="H6928" t="s">
        <v>28215</v>
      </c>
      <c r="I6928" t="s">
        <v>5100</v>
      </c>
      <c r="J6928" t="s">
        <v>32693</v>
      </c>
      <c r="K6928" t="s">
        <v>36693</v>
      </c>
      <c r="M6928" t="s">
        <v>39352</v>
      </c>
      <c r="N6928" t="s">
        <v>40436</v>
      </c>
      <c r="O6928" t="s">
        <v>40437</v>
      </c>
      <c r="P6928">
        <v>0</v>
      </c>
      <c r="Q6928">
        <v>1</v>
      </c>
      <c r="R6928" t="s">
        <v>40444</v>
      </c>
      <c r="S6928" t="s">
        <v>40676</v>
      </c>
      <c r="T6928" t="s">
        <v>42278</v>
      </c>
      <c r="U6928" t="s">
        <v>48464</v>
      </c>
      <c r="W6928" t="s">
        <v>39352</v>
      </c>
      <c r="X6928" t="s">
        <v>40445</v>
      </c>
    </row>
    <row r="6929" spans="1:24">
      <c r="A6929">
        <f>HYPERLINK("https://www.philgeps.gov.ph/GEPSNONPILOT/Tender/SplashBidNoticeAbstractUI.aspx?menuIndex=3&amp;refID=7038705&amp;Result=3","7038705")</f>
        <v>0</v>
      </c>
      <c r="B6929" t="s">
        <v>688</v>
      </c>
      <c r="C6929" t="s">
        <v>9670</v>
      </c>
      <c r="D6929" t="s">
        <v>16230</v>
      </c>
      <c r="E6929" t="s">
        <v>22404</v>
      </c>
      <c r="F6929" t="s">
        <v>28198</v>
      </c>
      <c r="G6929" t="s">
        <v>28206</v>
      </c>
      <c r="H6929" t="s">
        <v>28215</v>
      </c>
      <c r="I6929" t="s">
        <v>5100</v>
      </c>
      <c r="J6929" t="s">
        <v>32694</v>
      </c>
      <c r="K6929" t="s">
        <v>36687</v>
      </c>
      <c r="M6929" t="s">
        <v>37687</v>
      </c>
      <c r="N6929" t="s">
        <v>40436</v>
      </c>
      <c r="O6929" t="s">
        <v>40437</v>
      </c>
      <c r="P6929">
        <v>0</v>
      </c>
      <c r="Q6929">
        <v>0</v>
      </c>
      <c r="R6929" t="s">
        <v>40444</v>
      </c>
      <c r="S6929" t="s">
        <v>40676</v>
      </c>
      <c r="T6929" t="s">
        <v>42218</v>
      </c>
      <c r="U6929" t="s">
        <v>43866</v>
      </c>
      <c r="W6929" t="s">
        <v>37687</v>
      </c>
      <c r="X6929" t="s">
        <v>40445</v>
      </c>
    </row>
    <row r="6930" spans="1:24">
      <c r="A6930">
        <f>HYPERLINK("https://www.philgeps.gov.ph/GEPSNONPILOT/Tender/SplashBidNoticeAbstractUI.aspx?menuIndex=3&amp;refID=7038704&amp;Result=3","7038704")</f>
        <v>0</v>
      </c>
      <c r="B6930" t="s">
        <v>842</v>
      </c>
      <c r="C6930" t="s">
        <v>9671</v>
      </c>
      <c r="D6930" t="s">
        <v>16239</v>
      </c>
      <c r="E6930" t="s">
        <v>22405</v>
      </c>
      <c r="F6930" t="s">
        <v>28198</v>
      </c>
      <c r="G6930" t="s">
        <v>28205</v>
      </c>
      <c r="H6930" t="s">
        <v>28214</v>
      </c>
      <c r="I6930" t="s">
        <v>3797</v>
      </c>
      <c r="J6930" t="s">
        <v>32695</v>
      </c>
      <c r="K6930" t="s">
        <v>36692</v>
      </c>
      <c r="M6930" t="s">
        <v>39333</v>
      </c>
      <c r="N6930" t="s">
        <v>40436</v>
      </c>
      <c r="O6930" t="s">
        <v>40437</v>
      </c>
      <c r="P6930">
        <v>0</v>
      </c>
      <c r="Q6930">
        <v>0</v>
      </c>
      <c r="R6930" t="s">
        <v>40444</v>
      </c>
      <c r="S6930" t="s">
        <v>40676</v>
      </c>
      <c r="T6930" t="s">
        <v>42443</v>
      </c>
      <c r="U6930" t="s">
        <v>48465</v>
      </c>
      <c r="W6930" t="s">
        <v>39333</v>
      </c>
      <c r="X6930" t="s">
        <v>40445</v>
      </c>
    </row>
    <row r="6931" spans="1:24">
      <c r="A6931">
        <f>HYPERLINK("https://www.philgeps.gov.ph/GEPSNONPILOT/Tender/SplashBidNoticeAbstractUI.aspx?menuIndex=3&amp;refID=7038719&amp;Result=3","7038719")</f>
        <v>0</v>
      </c>
      <c r="B6931" t="s">
        <v>1157</v>
      </c>
      <c r="C6931" t="s">
        <v>9672</v>
      </c>
      <c r="D6931" t="s">
        <v>16193</v>
      </c>
      <c r="E6931" t="s">
        <v>22406</v>
      </c>
      <c r="F6931" t="s">
        <v>28198</v>
      </c>
      <c r="G6931" t="s">
        <v>28205</v>
      </c>
      <c r="H6931" t="s">
        <v>28215</v>
      </c>
      <c r="I6931" t="s">
        <v>5100</v>
      </c>
      <c r="J6931" t="s">
        <v>32696</v>
      </c>
      <c r="K6931" t="s">
        <v>36689</v>
      </c>
      <c r="M6931" t="s">
        <v>38197</v>
      </c>
      <c r="N6931" t="s">
        <v>40436</v>
      </c>
      <c r="O6931" t="s">
        <v>40437</v>
      </c>
      <c r="P6931">
        <v>0</v>
      </c>
      <c r="Q6931">
        <v>0</v>
      </c>
      <c r="R6931" t="s">
        <v>40444</v>
      </c>
      <c r="S6931" t="s">
        <v>40676</v>
      </c>
      <c r="T6931" t="s">
        <v>42184</v>
      </c>
      <c r="U6931" t="s">
        <v>48466</v>
      </c>
      <c r="W6931" t="s">
        <v>55484</v>
      </c>
      <c r="X6931" t="s">
        <v>40445</v>
      </c>
    </row>
    <row r="6932" spans="1:24">
      <c r="A6932">
        <f>HYPERLINK("https://www.philgeps.gov.ph/GEPSNONPILOT/Tender/SplashBidNoticeAbstractUI.aspx?menuIndex=3&amp;refID=7038702&amp;Result=3","7038702")</f>
        <v>0</v>
      </c>
      <c r="B6932" t="s">
        <v>1157</v>
      </c>
      <c r="C6932" t="s">
        <v>9673</v>
      </c>
      <c r="D6932" t="s">
        <v>16193</v>
      </c>
      <c r="E6932" t="s">
        <v>22407</v>
      </c>
      <c r="F6932" t="s">
        <v>28198</v>
      </c>
      <c r="G6932" t="s">
        <v>28205</v>
      </c>
      <c r="H6932" t="s">
        <v>28215</v>
      </c>
      <c r="I6932" t="s">
        <v>5100</v>
      </c>
      <c r="J6932" t="s">
        <v>32697</v>
      </c>
      <c r="K6932" t="s">
        <v>36689</v>
      </c>
      <c r="M6932" t="s">
        <v>38197</v>
      </c>
      <c r="N6932" t="s">
        <v>40436</v>
      </c>
      <c r="O6932" t="s">
        <v>40437</v>
      </c>
      <c r="P6932">
        <v>0</v>
      </c>
      <c r="Q6932">
        <v>0</v>
      </c>
      <c r="R6932" t="s">
        <v>40444</v>
      </c>
      <c r="S6932" t="s">
        <v>40676</v>
      </c>
      <c r="T6932" t="s">
        <v>42184</v>
      </c>
      <c r="U6932" t="s">
        <v>48467</v>
      </c>
      <c r="W6932" t="s">
        <v>55484</v>
      </c>
      <c r="X6932" t="s">
        <v>40445</v>
      </c>
    </row>
    <row r="6933" spans="1:24">
      <c r="A6933">
        <f>HYPERLINK("https://www.philgeps.gov.ph/GEPSNONPILOT/Tender/SplashBidNoticeAbstractUI.aspx?menuIndex=3&amp;refID=7038712&amp;Result=3","7038712")</f>
        <v>0</v>
      </c>
      <c r="B6933" t="s">
        <v>230</v>
      </c>
      <c r="C6933" t="s">
        <v>9674</v>
      </c>
      <c r="D6933" t="s">
        <v>16246</v>
      </c>
      <c r="E6933" t="s">
        <v>22408</v>
      </c>
      <c r="F6933" t="s">
        <v>28198</v>
      </c>
      <c r="G6933" t="s">
        <v>28205</v>
      </c>
      <c r="H6933" t="s">
        <v>28214</v>
      </c>
      <c r="I6933" t="s">
        <v>3797</v>
      </c>
      <c r="J6933" t="s">
        <v>32698</v>
      </c>
      <c r="K6933" t="s">
        <v>36805</v>
      </c>
      <c r="M6933" t="s">
        <v>37206</v>
      </c>
      <c r="N6933" t="s">
        <v>40436</v>
      </c>
      <c r="O6933" t="s">
        <v>40437</v>
      </c>
      <c r="P6933">
        <v>0</v>
      </c>
      <c r="Q6933">
        <v>0</v>
      </c>
      <c r="R6933" t="s">
        <v>40444</v>
      </c>
      <c r="S6933" t="s">
        <v>40676</v>
      </c>
      <c r="T6933" t="s">
        <v>42474</v>
      </c>
      <c r="U6933" t="s">
        <v>48468</v>
      </c>
      <c r="W6933" t="s">
        <v>37206</v>
      </c>
      <c r="X6933" t="s">
        <v>40445</v>
      </c>
    </row>
    <row r="6934" spans="1:24">
      <c r="A6934">
        <f>HYPERLINK("https://www.philgeps.gov.ph/GEPSNONPILOT/Tender/SplashBidNoticeAbstractUI.aspx?menuIndex=3&amp;refID=7038703&amp;Result=3","7038703")</f>
        <v>0</v>
      </c>
      <c r="B6934" t="s">
        <v>773</v>
      </c>
      <c r="C6934" t="s">
        <v>9675</v>
      </c>
      <c r="D6934" t="s">
        <v>16219</v>
      </c>
      <c r="E6934" t="s">
        <v>22409</v>
      </c>
      <c r="F6934" t="s">
        <v>28198</v>
      </c>
      <c r="G6934" t="s">
        <v>28205</v>
      </c>
      <c r="H6934" t="s">
        <v>28215</v>
      </c>
      <c r="I6934" t="s">
        <v>5100</v>
      </c>
      <c r="J6934" t="s">
        <v>32699</v>
      </c>
      <c r="K6934" t="s">
        <v>36689</v>
      </c>
      <c r="M6934" t="s">
        <v>37776</v>
      </c>
      <c r="N6934" t="s">
        <v>40436</v>
      </c>
      <c r="O6934" t="s">
        <v>40437</v>
      </c>
      <c r="P6934">
        <v>0</v>
      </c>
      <c r="Q6934">
        <v>0</v>
      </c>
      <c r="R6934" t="s">
        <v>40444</v>
      </c>
      <c r="S6934" t="s">
        <v>40676</v>
      </c>
      <c r="T6934" t="s">
        <v>42234</v>
      </c>
      <c r="U6934" t="s">
        <v>48469</v>
      </c>
      <c r="W6934" t="s">
        <v>37776</v>
      </c>
      <c r="X6934" t="s">
        <v>40445</v>
      </c>
    </row>
    <row r="6935" spans="1:24">
      <c r="A6935">
        <f>HYPERLINK("https://www.philgeps.gov.ph/GEPSNONPILOT/Tender/SplashBidNoticeAbstractUI.aspx?menuIndex=3&amp;refID=7038740&amp;Result=3","7038740")</f>
        <v>0</v>
      </c>
      <c r="B6935" t="s">
        <v>1157</v>
      </c>
      <c r="C6935" t="s">
        <v>9676</v>
      </c>
      <c r="D6935" t="s">
        <v>16193</v>
      </c>
      <c r="E6935" t="s">
        <v>22410</v>
      </c>
      <c r="F6935" t="s">
        <v>28198</v>
      </c>
      <c r="G6935" t="s">
        <v>28205</v>
      </c>
      <c r="H6935" t="s">
        <v>28215</v>
      </c>
      <c r="I6935" t="s">
        <v>28227</v>
      </c>
      <c r="J6935" t="s">
        <v>32700</v>
      </c>
      <c r="K6935" t="s">
        <v>36689</v>
      </c>
      <c r="M6935" t="s">
        <v>38197</v>
      </c>
      <c r="N6935" t="s">
        <v>40436</v>
      </c>
      <c r="O6935" t="s">
        <v>40437</v>
      </c>
      <c r="P6935">
        <v>0</v>
      </c>
      <c r="Q6935">
        <v>0</v>
      </c>
      <c r="R6935" t="s">
        <v>40444</v>
      </c>
      <c r="S6935" t="s">
        <v>40676</v>
      </c>
      <c r="T6935" t="s">
        <v>42184</v>
      </c>
      <c r="U6935" t="s">
        <v>48470</v>
      </c>
      <c r="W6935" t="s">
        <v>55484</v>
      </c>
      <c r="X6935" t="s">
        <v>40445</v>
      </c>
    </row>
    <row r="6936" spans="1:24">
      <c r="A6936">
        <f>HYPERLINK("https://www.philgeps.gov.ph/GEPSNONPILOT/Tender/SplashBidNoticeAbstractUI.aspx?menuIndex=3&amp;refID=7038708&amp;Result=3","7038708")</f>
        <v>0</v>
      </c>
      <c r="B6936" t="s">
        <v>2188</v>
      </c>
      <c r="C6936" t="s">
        <v>9677</v>
      </c>
      <c r="D6936" t="s">
        <v>16226</v>
      </c>
      <c r="E6936" t="s">
        <v>16766</v>
      </c>
      <c r="F6936" t="s">
        <v>28198</v>
      </c>
      <c r="G6936" t="s">
        <v>28205</v>
      </c>
      <c r="H6936" t="s">
        <v>28215</v>
      </c>
      <c r="I6936" t="s">
        <v>5100</v>
      </c>
      <c r="J6936" t="s">
        <v>32701</v>
      </c>
      <c r="K6936" t="s">
        <v>36688</v>
      </c>
      <c r="M6936" t="s">
        <v>39353</v>
      </c>
      <c r="N6936" t="s">
        <v>40436</v>
      </c>
      <c r="O6936" t="s">
        <v>40437</v>
      </c>
      <c r="P6936">
        <v>0</v>
      </c>
      <c r="Q6936">
        <v>2</v>
      </c>
      <c r="R6936" t="s">
        <v>40444</v>
      </c>
      <c r="S6936" t="s">
        <v>40676</v>
      </c>
      <c r="T6936" t="s">
        <v>42216</v>
      </c>
      <c r="U6936" t="s">
        <v>48471</v>
      </c>
      <c r="W6936" t="s">
        <v>39353</v>
      </c>
      <c r="X6936" t="s">
        <v>40445</v>
      </c>
    </row>
    <row r="6937" spans="1:24">
      <c r="A6937">
        <f>HYPERLINK("https://www.philgeps.gov.ph/GEPSNONPILOT/Tender/SplashBidNoticeAbstractUI.aspx?menuIndex=3&amp;refID=7038734&amp;Result=3","7038734")</f>
        <v>0</v>
      </c>
      <c r="B6937" t="s">
        <v>688</v>
      </c>
      <c r="C6937" t="s">
        <v>9678</v>
      </c>
      <c r="D6937" t="s">
        <v>16230</v>
      </c>
      <c r="E6937" t="s">
        <v>22411</v>
      </c>
      <c r="F6937" t="s">
        <v>28198</v>
      </c>
      <c r="G6937" t="s">
        <v>28206</v>
      </c>
      <c r="H6937" t="s">
        <v>28215</v>
      </c>
      <c r="I6937" t="s">
        <v>5100</v>
      </c>
      <c r="J6937" t="s">
        <v>32702</v>
      </c>
      <c r="K6937" t="s">
        <v>36707</v>
      </c>
      <c r="M6937" t="s">
        <v>37687</v>
      </c>
      <c r="N6937" t="s">
        <v>40436</v>
      </c>
      <c r="O6937" t="s">
        <v>40437</v>
      </c>
      <c r="P6937">
        <v>0</v>
      </c>
      <c r="Q6937">
        <v>0</v>
      </c>
      <c r="R6937" t="s">
        <v>40444</v>
      </c>
      <c r="S6937" t="s">
        <v>40676</v>
      </c>
      <c r="T6937" t="s">
        <v>42218</v>
      </c>
      <c r="U6937" t="s">
        <v>43866</v>
      </c>
      <c r="W6937" t="s">
        <v>37687</v>
      </c>
      <c r="X6937" t="s">
        <v>40445</v>
      </c>
    </row>
    <row r="6938" spans="1:24">
      <c r="A6938">
        <f>HYPERLINK("https://www.philgeps.gov.ph/GEPSNONPILOT/Tender/SplashBidNoticeAbstractUI.aspx?menuIndex=3&amp;refID=7038716&amp;Result=3","7038716")</f>
        <v>0</v>
      </c>
      <c r="B6938" t="s">
        <v>100</v>
      </c>
      <c r="C6938" t="s">
        <v>9679</v>
      </c>
      <c r="D6938" t="s">
        <v>16228</v>
      </c>
      <c r="E6938" t="s">
        <v>22412</v>
      </c>
      <c r="F6938" t="s">
        <v>28198</v>
      </c>
      <c r="G6938" t="s">
        <v>28205</v>
      </c>
      <c r="H6938" t="s">
        <v>28215</v>
      </c>
      <c r="I6938" t="s">
        <v>3422</v>
      </c>
      <c r="J6938" t="s">
        <v>32703</v>
      </c>
      <c r="K6938" t="s">
        <v>36698</v>
      </c>
      <c r="M6938" t="s">
        <v>37073</v>
      </c>
      <c r="N6938" t="s">
        <v>40436</v>
      </c>
      <c r="O6938" t="s">
        <v>40437</v>
      </c>
      <c r="P6938">
        <v>0</v>
      </c>
      <c r="Q6938">
        <v>0</v>
      </c>
      <c r="R6938" t="s">
        <v>40444</v>
      </c>
      <c r="S6938" t="s">
        <v>40676</v>
      </c>
      <c r="T6938" t="s">
        <v>42184</v>
      </c>
      <c r="U6938" t="s">
        <v>48444</v>
      </c>
      <c r="V6938" t="s">
        <v>53798</v>
      </c>
      <c r="W6938" t="s">
        <v>37073</v>
      </c>
      <c r="X6938" t="s">
        <v>40445</v>
      </c>
    </row>
    <row r="6939" spans="1:24">
      <c r="A6939">
        <f>HYPERLINK("https://www.philgeps.gov.ph/GEPSNONPILOT/Tender/SplashBidNoticeAbstractUI.aspx?menuIndex=3&amp;refID=7038728&amp;Result=3","7038728")</f>
        <v>0</v>
      </c>
      <c r="B6939" t="s">
        <v>2189</v>
      </c>
      <c r="C6939" t="s">
        <v>9680</v>
      </c>
      <c r="D6939" t="s">
        <v>16221</v>
      </c>
      <c r="E6939" t="s">
        <v>22413</v>
      </c>
      <c r="F6939" t="s">
        <v>28198</v>
      </c>
      <c r="G6939" t="s">
        <v>28205</v>
      </c>
      <c r="H6939" t="s">
        <v>28217</v>
      </c>
      <c r="I6939" t="s">
        <v>28274</v>
      </c>
      <c r="J6939" t="s">
        <v>32704</v>
      </c>
      <c r="K6939" t="s">
        <v>36756</v>
      </c>
      <c r="M6939" t="s">
        <v>39354</v>
      </c>
      <c r="N6939" t="s">
        <v>40436</v>
      </c>
      <c r="O6939" t="s">
        <v>40437</v>
      </c>
      <c r="Q6939">
        <v>0</v>
      </c>
      <c r="R6939" t="s">
        <v>40444</v>
      </c>
      <c r="S6939" t="s">
        <v>40694</v>
      </c>
      <c r="T6939" t="s">
        <v>42113</v>
      </c>
      <c r="U6939" t="s">
        <v>48472</v>
      </c>
      <c r="V6939" t="s">
        <v>54508</v>
      </c>
      <c r="W6939" t="s">
        <v>39354</v>
      </c>
      <c r="X6939" t="s">
        <v>40445</v>
      </c>
    </row>
    <row r="6940" spans="1:24">
      <c r="A6940">
        <f>HYPERLINK("https://www.philgeps.gov.ph/GEPSNONPILOT/Tender/SplashBidNoticeAbstractUI.aspx?menuIndex=3&amp;refID=7038730&amp;Result=3","7038730")</f>
        <v>0</v>
      </c>
      <c r="B6940" t="s">
        <v>46</v>
      </c>
      <c r="C6940" t="s">
        <v>9681</v>
      </c>
      <c r="D6940" t="s">
        <v>16202</v>
      </c>
      <c r="E6940" t="s">
        <v>22414</v>
      </c>
      <c r="F6940" t="s">
        <v>28198</v>
      </c>
      <c r="G6940" t="s">
        <v>28208</v>
      </c>
      <c r="H6940" t="s">
        <v>28214</v>
      </c>
      <c r="I6940" t="s">
        <v>3797</v>
      </c>
      <c r="J6940" t="s">
        <v>32705</v>
      </c>
      <c r="K6940" t="s">
        <v>36689</v>
      </c>
      <c r="L6940" t="s">
        <v>46</v>
      </c>
      <c r="M6940" t="s">
        <v>37017</v>
      </c>
      <c r="N6940" t="s">
        <v>40436</v>
      </c>
      <c r="O6940" t="s">
        <v>40437</v>
      </c>
      <c r="P6940">
        <v>0</v>
      </c>
      <c r="Q6940">
        <v>3</v>
      </c>
      <c r="R6940" t="s">
        <v>40444</v>
      </c>
      <c r="S6940" t="s">
        <v>40676</v>
      </c>
      <c r="T6940" t="s">
        <v>42278</v>
      </c>
      <c r="U6940" t="s">
        <v>48473</v>
      </c>
      <c r="W6940" t="s">
        <v>37017</v>
      </c>
      <c r="X6940" t="s">
        <v>40445</v>
      </c>
    </row>
    <row r="6941" spans="1:24">
      <c r="A6941">
        <f>HYPERLINK("https://www.philgeps.gov.ph/GEPSNONPILOT/Tender/SplashBidNoticeAbstractUI.aspx?menuIndex=3&amp;refID=7038718&amp;Result=3","7038718")</f>
        <v>0</v>
      </c>
      <c r="B6941" t="s">
        <v>2147</v>
      </c>
      <c r="C6941" t="s">
        <v>9682</v>
      </c>
      <c r="D6941" t="s">
        <v>16202</v>
      </c>
      <c r="E6941" t="s">
        <v>22415</v>
      </c>
      <c r="F6941" t="s">
        <v>28198</v>
      </c>
      <c r="G6941" t="s">
        <v>28205</v>
      </c>
      <c r="H6941" t="s">
        <v>28215</v>
      </c>
      <c r="I6941" t="s">
        <v>4505</v>
      </c>
      <c r="J6941" t="s">
        <v>32706</v>
      </c>
      <c r="K6941" t="s">
        <v>36715</v>
      </c>
      <c r="M6941" t="s">
        <v>39304</v>
      </c>
      <c r="N6941" t="s">
        <v>40436</v>
      </c>
      <c r="O6941" t="s">
        <v>40437</v>
      </c>
      <c r="P6941">
        <v>0</v>
      </c>
      <c r="Q6941">
        <v>2</v>
      </c>
      <c r="R6941" t="s">
        <v>40444</v>
      </c>
      <c r="S6941" t="s">
        <v>40676</v>
      </c>
      <c r="T6941" t="s">
        <v>42295</v>
      </c>
      <c r="U6941" t="s">
        <v>48474</v>
      </c>
      <c r="W6941" t="s">
        <v>39304</v>
      </c>
      <c r="X6941" t="s">
        <v>40445</v>
      </c>
    </row>
    <row r="6942" spans="1:24">
      <c r="A6942">
        <f>HYPERLINK("https://www.philgeps.gov.ph/GEPSNONPILOT/Tender/SplashBidNoticeAbstractUI.aspx?menuIndex=3&amp;refID=7038741&amp;Result=3","7038741")</f>
        <v>0</v>
      </c>
      <c r="B6942" t="s">
        <v>1210</v>
      </c>
      <c r="C6942" t="s">
        <v>9683</v>
      </c>
      <c r="D6942" t="s">
        <v>16230</v>
      </c>
      <c r="E6942" t="s">
        <v>22416</v>
      </c>
      <c r="F6942" t="s">
        <v>28198</v>
      </c>
      <c r="G6942" t="s">
        <v>28207</v>
      </c>
      <c r="H6942" t="s">
        <v>28215</v>
      </c>
      <c r="I6942" t="s">
        <v>4222</v>
      </c>
      <c r="J6942" t="s">
        <v>32707</v>
      </c>
      <c r="K6942" t="s">
        <v>36694</v>
      </c>
      <c r="M6942" t="s">
        <v>38255</v>
      </c>
      <c r="N6942" t="s">
        <v>40436</v>
      </c>
      <c r="O6942" t="s">
        <v>40437</v>
      </c>
      <c r="P6942">
        <v>0</v>
      </c>
      <c r="Q6942">
        <v>1</v>
      </c>
      <c r="R6942" t="s">
        <v>40444</v>
      </c>
      <c r="S6942" t="s">
        <v>40676</v>
      </c>
      <c r="T6942" t="s">
        <v>42245</v>
      </c>
      <c r="U6942" t="s">
        <v>48475</v>
      </c>
      <c r="W6942" t="s">
        <v>55476</v>
      </c>
      <c r="X6942" t="s">
        <v>40445</v>
      </c>
    </row>
    <row r="6943" spans="1:24">
      <c r="A6943">
        <f>HYPERLINK("https://www.philgeps.gov.ph/GEPSNONPILOT/Tender/SplashBidNoticeAbstractUI.aspx?menuIndex=3&amp;refID=7038731&amp;Result=3","7038731")</f>
        <v>0</v>
      </c>
      <c r="B6943" t="s">
        <v>52</v>
      </c>
      <c r="C6943" t="s">
        <v>9684</v>
      </c>
      <c r="E6943" t="s">
        <v>22417</v>
      </c>
      <c r="F6943" t="s">
        <v>28198</v>
      </c>
      <c r="G6943" t="s">
        <v>28207</v>
      </c>
      <c r="H6943" t="s">
        <v>28215</v>
      </c>
      <c r="I6943" t="s">
        <v>4200</v>
      </c>
      <c r="J6943" t="s">
        <v>32708</v>
      </c>
      <c r="K6943" t="s">
        <v>36701</v>
      </c>
      <c r="M6943" t="s">
        <v>37589</v>
      </c>
      <c r="N6943" t="s">
        <v>40436</v>
      </c>
      <c r="O6943" t="s">
        <v>40437</v>
      </c>
      <c r="P6943">
        <v>0</v>
      </c>
      <c r="Q6943">
        <v>2</v>
      </c>
      <c r="R6943" t="s">
        <v>40444</v>
      </c>
      <c r="S6943" t="s">
        <v>40676</v>
      </c>
      <c r="T6943" t="s">
        <v>42142</v>
      </c>
      <c r="U6943" t="s">
        <v>48476</v>
      </c>
      <c r="W6943" t="s">
        <v>55453</v>
      </c>
      <c r="X6943" t="s">
        <v>40445</v>
      </c>
    </row>
    <row r="6944" spans="1:24">
      <c r="A6944">
        <f>HYPERLINK("https://www.philgeps.gov.ph/GEPSNONPILOT/Tender/SplashBidNoticeAbstractUI.aspx?menuIndex=3&amp;refID=7038732&amp;Result=3","7038732")</f>
        <v>0</v>
      </c>
      <c r="B6944" t="s">
        <v>1157</v>
      </c>
      <c r="C6944" t="s">
        <v>9685</v>
      </c>
      <c r="D6944" t="s">
        <v>16193</v>
      </c>
      <c r="E6944" t="s">
        <v>22418</v>
      </c>
      <c r="F6944" t="s">
        <v>28198</v>
      </c>
      <c r="G6944" t="s">
        <v>28205</v>
      </c>
      <c r="H6944" t="s">
        <v>28215</v>
      </c>
      <c r="I6944" t="s">
        <v>28227</v>
      </c>
      <c r="J6944" t="s">
        <v>32709</v>
      </c>
      <c r="K6944" t="s">
        <v>36689</v>
      </c>
      <c r="M6944" t="s">
        <v>38197</v>
      </c>
      <c r="N6944" t="s">
        <v>40436</v>
      </c>
      <c r="O6944" t="s">
        <v>40437</v>
      </c>
      <c r="P6944">
        <v>0</v>
      </c>
      <c r="Q6944">
        <v>0</v>
      </c>
      <c r="R6944" t="s">
        <v>40444</v>
      </c>
      <c r="S6944" t="s">
        <v>40676</v>
      </c>
      <c r="T6944" t="s">
        <v>42184</v>
      </c>
      <c r="U6944" t="s">
        <v>48477</v>
      </c>
      <c r="W6944" t="s">
        <v>55484</v>
      </c>
      <c r="X6944" t="s">
        <v>40445</v>
      </c>
    </row>
    <row r="6945" spans="1:24">
      <c r="A6945">
        <f>HYPERLINK("https://www.philgeps.gov.ph/GEPSNONPILOT/Tender/SplashBidNoticeAbstractUI.aspx?menuIndex=3&amp;refID=7038743&amp;Result=3","7038743")</f>
        <v>0</v>
      </c>
      <c r="B6945" t="s">
        <v>230</v>
      </c>
      <c r="C6945" t="s">
        <v>9686</v>
      </c>
      <c r="D6945" t="s">
        <v>16246</v>
      </c>
      <c r="E6945" t="s">
        <v>22419</v>
      </c>
      <c r="F6945" t="s">
        <v>28198</v>
      </c>
      <c r="G6945" t="s">
        <v>28205</v>
      </c>
      <c r="H6945" t="s">
        <v>28215</v>
      </c>
      <c r="I6945" t="s">
        <v>28222</v>
      </c>
      <c r="J6945" t="s">
        <v>28415</v>
      </c>
      <c r="K6945" t="s">
        <v>36707</v>
      </c>
      <c r="M6945" t="s">
        <v>37206</v>
      </c>
      <c r="N6945" t="s">
        <v>40436</v>
      </c>
      <c r="O6945" t="s">
        <v>40437</v>
      </c>
      <c r="P6945">
        <v>0</v>
      </c>
      <c r="Q6945">
        <v>1</v>
      </c>
      <c r="R6945" t="s">
        <v>40444</v>
      </c>
      <c r="S6945" t="s">
        <v>40676</v>
      </c>
      <c r="T6945" t="s">
        <v>42140</v>
      </c>
      <c r="U6945" t="s">
        <v>48478</v>
      </c>
      <c r="W6945" t="s">
        <v>37206</v>
      </c>
      <c r="X6945" t="s">
        <v>40445</v>
      </c>
    </row>
    <row r="6946" spans="1:24">
      <c r="A6946">
        <f>HYPERLINK("https://www.philgeps.gov.ph/GEPSNONPILOT/Tender/SplashBidNoticeAbstractUI.aspx?menuIndex=3&amp;refID=7038737&amp;Result=3","7038737")</f>
        <v>0</v>
      </c>
      <c r="B6946" t="s">
        <v>553</v>
      </c>
      <c r="C6946" t="s">
        <v>9687</v>
      </c>
      <c r="E6946" t="s">
        <v>22420</v>
      </c>
      <c r="F6946" t="s">
        <v>28198</v>
      </c>
      <c r="G6946" t="s">
        <v>28205</v>
      </c>
      <c r="H6946" t="s">
        <v>28215</v>
      </c>
      <c r="I6946" t="s">
        <v>28246</v>
      </c>
      <c r="J6946" t="s">
        <v>32710</v>
      </c>
      <c r="K6946" t="s">
        <v>36689</v>
      </c>
      <c r="M6946" t="s">
        <v>37539</v>
      </c>
      <c r="N6946" t="s">
        <v>40436</v>
      </c>
      <c r="O6946" t="s">
        <v>40437</v>
      </c>
      <c r="P6946">
        <v>0</v>
      </c>
      <c r="Q6946">
        <v>0</v>
      </c>
      <c r="R6946" t="s">
        <v>40444</v>
      </c>
      <c r="S6946" t="s">
        <v>40676</v>
      </c>
      <c r="T6946" t="s">
        <v>42253</v>
      </c>
      <c r="U6946" t="s">
        <v>48479</v>
      </c>
      <c r="W6946" t="s">
        <v>37539</v>
      </c>
      <c r="X6946" t="s">
        <v>40445</v>
      </c>
    </row>
    <row r="6947" spans="1:24">
      <c r="A6947">
        <f>HYPERLINK("https://www.philgeps.gov.ph/GEPSNONPILOT/Tender/SplashBidNoticeAbstractUI.aspx?menuIndex=3&amp;refID=7038746&amp;Result=3","7038746")</f>
        <v>0</v>
      </c>
      <c r="B6947" t="s">
        <v>2179</v>
      </c>
      <c r="C6947" t="s">
        <v>9688</v>
      </c>
      <c r="D6947" t="s">
        <v>16188</v>
      </c>
      <c r="E6947" t="s">
        <v>18071</v>
      </c>
      <c r="F6947" t="s">
        <v>28198</v>
      </c>
      <c r="G6947" t="s">
        <v>28205</v>
      </c>
      <c r="H6947" t="s">
        <v>28215</v>
      </c>
      <c r="I6947" t="s">
        <v>5100</v>
      </c>
      <c r="J6947" t="s">
        <v>32711</v>
      </c>
      <c r="K6947" t="s">
        <v>36697</v>
      </c>
      <c r="M6947" t="s">
        <v>39341</v>
      </c>
      <c r="N6947" t="s">
        <v>40436</v>
      </c>
      <c r="O6947" t="s">
        <v>40437</v>
      </c>
      <c r="P6947">
        <v>0</v>
      </c>
      <c r="Q6947">
        <v>1</v>
      </c>
      <c r="R6947" t="s">
        <v>40444</v>
      </c>
      <c r="S6947" t="s">
        <v>40676</v>
      </c>
      <c r="T6947" t="s">
        <v>42245</v>
      </c>
      <c r="U6947" t="s">
        <v>48420</v>
      </c>
      <c r="W6947" t="s">
        <v>39341</v>
      </c>
      <c r="X6947" t="s">
        <v>40445</v>
      </c>
    </row>
    <row r="6948" spans="1:24">
      <c r="A6948">
        <f>HYPERLINK("https://www.philgeps.gov.ph/GEPSNONPILOT/Tender/SplashBidNoticeAbstractUI.aspx?menuIndex=3&amp;refID=7038763&amp;Result=3","7038763")</f>
        <v>0</v>
      </c>
      <c r="B6948" t="s">
        <v>842</v>
      </c>
      <c r="C6948" t="s">
        <v>9689</v>
      </c>
      <c r="D6948" t="s">
        <v>16239</v>
      </c>
      <c r="E6948" t="s">
        <v>22421</v>
      </c>
      <c r="F6948" t="s">
        <v>28198</v>
      </c>
      <c r="G6948" t="s">
        <v>28205</v>
      </c>
      <c r="H6948" t="s">
        <v>28214</v>
      </c>
      <c r="I6948" t="s">
        <v>3797</v>
      </c>
      <c r="J6948" t="s">
        <v>31925</v>
      </c>
      <c r="K6948" t="s">
        <v>36717</v>
      </c>
      <c r="M6948" t="s">
        <v>39333</v>
      </c>
      <c r="N6948" t="s">
        <v>40436</v>
      </c>
      <c r="O6948" t="s">
        <v>40437</v>
      </c>
      <c r="P6948">
        <v>0</v>
      </c>
      <c r="Q6948">
        <v>0</v>
      </c>
      <c r="R6948" t="s">
        <v>40444</v>
      </c>
      <c r="S6948" t="s">
        <v>40676</v>
      </c>
      <c r="T6948" t="s">
        <v>42443</v>
      </c>
      <c r="U6948" t="s">
        <v>48480</v>
      </c>
      <c r="W6948" t="s">
        <v>39333</v>
      </c>
      <c r="X6948" t="s">
        <v>40445</v>
      </c>
    </row>
    <row r="6949" spans="1:24">
      <c r="A6949">
        <f>HYPERLINK("https://www.philgeps.gov.ph/GEPSNONPILOT/Tender/SplashBidNoticeAbstractUI.aspx?menuIndex=3&amp;refID=7038747&amp;Result=3","7038747")</f>
        <v>0</v>
      </c>
      <c r="B6949" t="s">
        <v>842</v>
      </c>
      <c r="C6949" t="s">
        <v>9690</v>
      </c>
      <c r="D6949" t="s">
        <v>16239</v>
      </c>
      <c r="E6949" t="s">
        <v>22422</v>
      </c>
      <c r="F6949" t="s">
        <v>28198</v>
      </c>
      <c r="G6949" t="s">
        <v>28205</v>
      </c>
      <c r="H6949" t="s">
        <v>28214</v>
      </c>
      <c r="I6949" t="s">
        <v>3797</v>
      </c>
      <c r="J6949" t="s">
        <v>31925</v>
      </c>
      <c r="K6949" t="s">
        <v>36717</v>
      </c>
      <c r="M6949" t="s">
        <v>39333</v>
      </c>
      <c r="N6949" t="s">
        <v>40436</v>
      </c>
      <c r="O6949" t="s">
        <v>40437</v>
      </c>
      <c r="P6949">
        <v>0</v>
      </c>
      <c r="Q6949">
        <v>0</v>
      </c>
      <c r="R6949" t="s">
        <v>40444</v>
      </c>
      <c r="S6949" t="s">
        <v>40676</v>
      </c>
      <c r="T6949" t="s">
        <v>42443</v>
      </c>
      <c r="U6949" t="s">
        <v>48481</v>
      </c>
      <c r="W6949" t="s">
        <v>39333</v>
      </c>
      <c r="X6949" t="s">
        <v>40445</v>
      </c>
    </row>
    <row r="6950" spans="1:24">
      <c r="A6950">
        <f>HYPERLINK("https://www.philgeps.gov.ph/GEPSNONPILOT/Tender/SplashBidNoticeAbstractUI.aspx?menuIndex=3&amp;refID=7038756&amp;Result=3","7038756")</f>
        <v>0</v>
      </c>
      <c r="B6950" t="s">
        <v>46</v>
      </c>
      <c r="C6950" t="s">
        <v>9691</v>
      </c>
      <c r="D6950" t="s">
        <v>16202</v>
      </c>
      <c r="E6950" t="s">
        <v>22423</v>
      </c>
      <c r="F6950" t="s">
        <v>28198</v>
      </c>
      <c r="G6950" t="s">
        <v>28208</v>
      </c>
      <c r="H6950" t="s">
        <v>28214</v>
      </c>
      <c r="I6950" t="s">
        <v>3797</v>
      </c>
      <c r="J6950" t="s">
        <v>32712</v>
      </c>
      <c r="K6950" t="s">
        <v>36689</v>
      </c>
      <c r="L6950" t="s">
        <v>46</v>
      </c>
      <c r="M6950" t="s">
        <v>37017</v>
      </c>
      <c r="N6950" t="s">
        <v>40436</v>
      </c>
      <c r="O6950" t="s">
        <v>40437</v>
      </c>
      <c r="P6950">
        <v>0</v>
      </c>
      <c r="Q6950">
        <v>3</v>
      </c>
      <c r="R6950" t="s">
        <v>40444</v>
      </c>
      <c r="S6950" t="s">
        <v>40676</v>
      </c>
      <c r="T6950" t="s">
        <v>42278</v>
      </c>
      <c r="U6950" t="s">
        <v>48482</v>
      </c>
      <c r="W6950" t="s">
        <v>37017</v>
      </c>
      <c r="X6950" t="s">
        <v>40445</v>
      </c>
    </row>
    <row r="6951" spans="1:24">
      <c r="A6951">
        <f>HYPERLINK("https://www.philgeps.gov.ph/GEPSNONPILOT/Tender/SplashBidNoticeAbstractUI.aspx?menuIndex=3&amp;refID=7038759&amp;Result=3","7038759")</f>
        <v>0</v>
      </c>
      <c r="B6951" t="s">
        <v>2190</v>
      </c>
      <c r="C6951" t="s">
        <v>9692</v>
      </c>
      <c r="D6951" t="s">
        <v>16188</v>
      </c>
      <c r="E6951" t="s">
        <v>22424</v>
      </c>
      <c r="F6951" t="s">
        <v>28198</v>
      </c>
      <c r="G6951" t="s">
        <v>28205</v>
      </c>
      <c r="H6951" t="s">
        <v>28215</v>
      </c>
      <c r="I6951" t="s">
        <v>28333</v>
      </c>
      <c r="J6951" t="s">
        <v>28406</v>
      </c>
      <c r="K6951" t="s">
        <v>36694</v>
      </c>
      <c r="L6951" t="s">
        <v>2190</v>
      </c>
      <c r="M6951" t="s">
        <v>39355</v>
      </c>
      <c r="N6951" t="s">
        <v>40436</v>
      </c>
      <c r="O6951" t="s">
        <v>40437</v>
      </c>
      <c r="P6951">
        <v>0</v>
      </c>
      <c r="Q6951">
        <v>1</v>
      </c>
      <c r="R6951" t="s">
        <v>40444</v>
      </c>
      <c r="S6951" t="s">
        <v>40676</v>
      </c>
      <c r="T6951" t="s">
        <v>42475</v>
      </c>
      <c r="U6951" t="s">
        <v>48483</v>
      </c>
      <c r="W6951" t="s">
        <v>39355</v>
      </c>
      <c r="X6951" t="s">
        <v>40445</v>
      </c>
    </row>
    <row r="6952" spans="1:24">
      <c r="A6952">
        <f>HYPERLINK("https://www.philgeps.gov.ph/GEPSNONPILOT/Tender/SplashBidNoticeAbstractUI.aspx?menuIndex=3&amp;refID=7038764&amp;Result=3","7038764")</f>
        <v>0</v>
      </c>
      <c r="B6952" t="s">
        <v>2187</v>
      </c>
      <c r="C6952" t="s">
        <v>9693</v>
      </c>
      <c r="D6952" t="s">
        <v>16190</v>
      </c>
      <c r="E6952" t="s">
        <v>17820</v>
      </c>
      <c r="F6952" t="s">
        <v>28198</v>
      </c>
      <c r="G6952" t="s">
        <v>28205</v>
      </c>
      <c r="H6952" t="s">
        <v>28215</v>
      </c>
      <c r="I6952" t="s">
        <v>28222</v>
      </c>
      <c r="J6952" t="s">
        <v>29041</v>
      </c>
      <c r="K6952" t="s">
        <v>36708</v>
      </c>
      <c r="M6952" t="s">
        <v>39352</v>
      </c>
      <c r="N6952" t="s">
        <v>40436</v>
      </c>
      <c r="O6952" t="s">
        <v>40437</v>
      </c>
      <c r="P6952">
        <v>0</v>
      </c>
      <c r="Q6952">
        <v>2</v>
      </c>
      <c r="R6952" t="s">
        <v>40444</v>
      </c>
      <c r="S6952" t="s">
        <v>40676</v>
      </c>
      <c r="T6952" t="s">
        <v>42278</v>
      </c>
      <c r="U6952" t="s">
        <v>48484</v>
      </c>
      <c r="W6952" t="s">
        <v>39352</v>
      </c>
      <c r="X6952" t="s">
        <v>40445</v>
      </c>
    </row>
    <row r="6953" spans="1:24">
      <c r="A6953">
        <f>HYPERLINK("https://www.philgeps.gov.ph/GEPSNONPILOT/Tender/SplashBidNoticeAbstractUI.aspx?menuIndex=3&amp;refID=7038753&amp;Result=3","7038753")</f>
        <v>0</v>
      </c>
      <c r="B6953" t="s">
        <v>2117</v>
      </c>
      <c r="C6953" t="s">
        <v>9694</v>
      </c>
      <c r="D6953" t="s">
        <v>16228</v>
      </c>
      <c r="E6953" t="s">
        <v>22425</v>
      </c>
      <c r="F6953" t="s">
        <v>28198</v>
      </c>
      <c r="G6953" t="s">
        <v>28205</v>
      </c>
      <c r="H6953" t="s">
        <v>28215</v>
      </c>
      <c r="I6953" t="s">
        <v>5071</v>
      </c>
      <c r="J6953" t="s">
        <v>32713</v>
      </c>
      <c r="K6953" t="s">
        <v>36701</v>
      </c>
      <c r="M6953" t="s">
        <v>39271</v>
      </c>
      <c r="N6953" t="s">
        <v>40436</v>
      </c>
      <c r="O6953" t="s">
        <v>40437</v>
      </c>
      <c r="P6953">
        <v>0</v>
      </c>
      <c r="Q6953">
        <v>5</v>
      </c>
      <c r="R6953" t="s">
        <v>40444</v>
      </c>
      <c r="S6953" t="s">
        <v>40676</v>
      </c>
      <c r="T6953" t="s">
        <v>42277</v>
      </c>
      <c r="U6953" t="s">
        <v>48485</v>
      </c>
      <c r="W6953" t="s">
        <v>39271</v>
      </c>
      <c r="X6953" t="s">
        <v>40445</v>
      </c>
    </row>
    <row r="6954" spans="1:24">
      <c r="A6954">
        <f>HYPERLINK("https://www.philgeps.gov.ph/GEPSNONPILOT/Tender/SplashBidNoticeAbstractUI.aspx?menuIndex=3&amp;refID=7038752&amp;Result=3","7038752")</f>
        <v>0</v>
      </c>
      <c r="B6954" t="s">
        <v>387</v>
      </c>
      <c r="C6954" t="s">
        <v>9695</v>
      </c>
      <c r="D6954" t="s">
        <v>16246</v>
      </c>
      <c r="E6954" t="s">
        <v>22426</v>
      </c>
      <c r="F6954" t="s">
        <v>28198</v>
      </c>
      <c r="G6954" t="s">
        <v>28207</v>
      </c>
      <c r="H6954" t="s">
        <v>28215</v>
      </c>
      <c r="I6954" t="s">
        <v>28222</v>
      </c>
      <c r="J6954" t="s">
        <v>29261</v>
      </c>
      <c r="K6954" t="s">
        <v>36694</v>
      </c>
      <c r="M6954" t="s">
        <v>37367</v>
      </c>
      <c r="N6954" t="s">
        <v>40436</v>
      </c>
      <c r="O6954" t="s">
        <v>40437</v>
      </c>
      <c r="P6954">
        <v>0</v>
      </c>
      <c r="Q6954">
        <v>0</v>
      </c>
      <c r="R6954" t="s">
        <v>40444</v>
      </c>
      <c r="S6954" t="s">
        <v>40676</v>
      </c>
      <c r="T6954" t="s">
        <v>42326</v>
      </c>
      <c r="U6954" t="s">
        <v>48486</v>
      </c>
      <c r="V6954" t="s">
        <v>53873</v>
      </c>
      <c r="W6954" t="s">
        <v>37367</v>
      </c>
      <c r="X6954" t="s">
        <v>40445</v>
      </c>
    </row>
    <row r="6955" spans="1:24">
      <c r="A6955">
        <f>HYPERLINK("https://www.philgeps.gov.ph/GEPSNONPILOT/Tender/SplashBidNoticeAbstractUI.aspx?menuIndex=3&amp;refID=7038761&amp;Result=3","7038761")</f>
        <v>0</v>
      </c>
      <c r="B6955" t="s">
        <v>2185</v>
      </c>
      <c r="C6955" t="s">
        <v>9696</v>
      </c>
      <c r="D6955" t="s">
        <v>16217</v>
      </c>
      <c r="E6955" t="s">
        <v>17498</v>
      </c>
      <c r="F6955" t="s">
        <v>28198</v>
      </c>
      <c r="G6955" t="s">
        <v>28207</v>
      </c>
      <c r="H6955" t="s">
        <v>28215</v>
      </c>
      <c r="I6955" t="s">
        <v>5082</v>
      </c>
      <c r="J6955" t="s">
        <v>32714</v>
      </c>
      <c r="K6955" t="s">
        <v>36707</v>
      </c>
      <c r="M6955" t="s">
        <v>39349</v>
      </c>
      <c r="N6955" t="s">
        <v>40436</v>
      </c>
      <c r="O6955" t="s">
        <v>40437</v>
      </c>
      <c r="P6955">
        <v>0</v>
      </c>
      <c r="Q6955">
        <v>5</v>
      </c>
      <c r="R6955" t="s">
        <v>40444</v>
      </c>
      <c r="S6955" t="s">
        <v>40676</v>
      </c>
      <c r="T6955" t="s">
        <v>42245</v>
      </c>
      <c r="U6955" t="s">
        <v>48449</v>
      </c>
      <c r="W6955" t="s">
        <v>39349</v>
      </c>
      <c r="X6955" t="s">
        <v>40445</v>
      </c>
    </row>
    <row r="6956" spans="1:24">
      <c r="A6956">
        <f>HYPERLINK("https://www.philgeps.gov.ph/GEPSNONPILOT/Tender/SplashBidNoticeAbstractUI.aspx?menuIndex=3&amp;refID=7038766&amp;Result=3","7038766")</f>
        <v>0</v>
      </c>
      <c r="B6956" t="s">
        <v>230</v>
      </c>
      <c r="C6956" t="s">
        <v>9697</v>
      </c>
      <c r="D6956" t="s">
        <v>16246</v>
      </c>
      <c r="E6956" t="s">
        <v>22427</v>
      </c>
      <c r="F6956" t="s">
        <v>28198</v>
      </c>
      <c r="G6956" t="s">
        <v>28205</v>
      </c>
      <c r="H6956" t="s">
        <v>28215</v>
      </c>
      <c r="I6956" t="s">
        <v>28222</v>
      </c>
      <c r="J6956" t="s">
        <v>28363</v>
      </c>
      <c r="K6956" t="s">
        <v>36707</v>
      </c>
      <c r="M6956" t="s">
        <v>37206</v>
      </c>
      <c r="N6956" t="s">
        <v>40436</v>
      </c>
      <c r="O6956" t="s">
        <v>40437</v>
      </c>
      <c r="P6956">
        <v>0</v>
      </c>
      <c r="Q6956">
        <v>3</v>
      </c>
      <c r="R6956" t="s">
        <v>40444</v>
      </c>
      <c r="S6956" t="s">
        <v>40676</v>
      </c>
      <c r="T6956" t="s">
        <v>42444</v>
      </c>
      <c r="U6956" t="s">
        <v>48487</v>
      </c>
      <c r="W6956" t="s">
        <v>37206</v>
      </c>
      <c r="X6956" t="s">
        <v>40445</v>
      </c>
    </row>
    <row r="6957" spans="1:24">
      <c r="A6957">
        <f>HYPERLINK("https://www.philgeps.gov.ph/GEPSNONPILOT/Tender/SplashBidNoticeAbstractUI.aspx?menuIndex=3&amp;refID=7038750&amp;Result=3","7038750")</f>
        <v>0</v>
      </c>
      <c r="B6957" t="s">
        <v>1157</v>
      </c>
      <c r="C6957" t="s">
        <v>9698</v>
      </c>
      <c r="D6957" t="s">
        <v>16193</v>
      </c>
      <c r="E6957" t="s">
        <v>22428</v>
      </c>
      <c r="F6957" t="s">
        <v>28198</v>
      </c>
      <c r="G6957" t="s">
        <v>28205</v>
      </c>
      <c r="H6957" t="s">
        <v>28215</v>
      </c>
      <c r="I6957" t="s">
        <v>28234</v>
      </c>
      <c r="J6957" t="s">
        <v>32715</v>
      </c>
      <c r="K6957" t="s">
        <v>36689</v>
      </c>
      <c r="M6957" t="s">
        <v>38197</v>
      </c>
      <c r="N6957" t="s">
        <v>40436</v>
      </c>
      <c r="O6957" t="s">
        <v>40437</v>
      </c>
      <c r="P6957">
        <v>0</v>
      </c>
      <c r="Q6957">
        <v>4</v>
      </c>
      <c r="R6957" t="s">
        <v>40444</v>
      </c>
      <c r="S6957" t="s">
        <v>40676</v>
      </c>
      <c r="T6957" t="s">
        <v>42184</v>
      </c>
      <c r="U6957" t="s">
        <v>48488</v>
      </c>
      <c r="W6957" t="s">
        <v>55484</v>
      </c>
      <c r="X6957" t="s">
        <v>40445</v>
      </c>
    </row>
    <row r="6958" spans="1:24">
      <c r="A6958">
        <f>HYPERLINK("https://www.philgeps.gov.ph/GEPSNONPILOT/Tender/SplashBidNoticeAbstractUI.aspx?menuIndex=3&amp;refID=7038767&amp;Result=3","7038767")</f>
        <v>0</v>
      </c>
      <c r="B6958" t="s">
        <v>553</v>
      </c>
      <c r="C6958" t="s">
        <v>9699</v>
      </c>
      <c r="E6958" t="s">
        <v>22429</v>
      </c>
      <c r="F6958" t="s">
        <v>28198</v>
      </c>
      <c r="G6958" t="s">
        <v>28205</v>
      </c>
      <c r="H6958" t="s">
        <v>28215</v>
      </c>
      <c r="I6958" t="s">
        <v>28249</v>
      </c>
      <c r="J6958" t="s">
        <v>30009</v>
      </c>
      <c r="K6958" t="s">
        <v>36689</v>
      </c>
      <c r="M6958" t="s">
        <v>37539</v>
      </c>
      <c r="N6958" t="s">
        <v>40436</v>
      </c>
      <c r="O6958" t="s">
        <v>40437</v>
      </c>
      <c r="P6958">
        <v>0</v>
      </c>
      <c r="Q6958">
        <v>0</v>
      </c>
      <c r="R6958" t="s">
        <v>40444</v>
      </c>
      <c r="S6958" t="s">
        <v>40676</v>
      </c>
      <c r="T6958" t="s">
        <v>42253</v>
      </c>
      <c r="U6958" t="s">
        <v>48489</v>
      </c>
      <c r="W6958" t="s">
        <v>37539</v>
      </c>
      <c r="X6958" t="s">
        <v>40445</v>
      </c>
    </row>
    <row r="6959" spans="1:24">
      <c r="A6959">
        <f>HYPERLINK("https://www.philgeps.gov.ph/GEPSNONPILOT/Tender/SplashBidNoticeAbstractUI.aspx?menuIndex=3&amp;refID=7038784&amp;Result=3","7038784")</f>
        <v>0</v>
      </c>
      <c r="B6959" t="s">
        <v>1157</v>
      </c>
      <c r="C6959" t="s">
        <v>9700</v>
      </c>
      <c r="D6959" t="s">
        <v>16193</v>
      </c>
      <c r="E6959" t="s">
        <v>22430</v>
      </c>
      <c r="F6959" t="s">
        <v>28198</v>
      </c>
      <c r="G6959" t="s">
        <v>28205</v>
      </c>
      <c r="H6959" t="s">
        <v>28215</v>
      </c>
      <c r="I6959" t="s">
        <v>5103</v>
      </c>
      <c r="J6959" t="s">
        <v>28361</v>
      </c>
      <c r="K6959" t="s">
        <v>36689</v>
      </c>
      <c r="M6959" t="s">
        <v>38197</v>
      </c>
      <c r="N6959" t="s">
        <v>40436</v>
      </c>
      <c r="O6959" t="s">
        <v>40437</v>
      </c>
      <c r="P6959">
        <v>0</v>
      </c>
      <c r="Q6959">
        <v>8</v>
      </c>
      <c r="R6959" t="s">
        <v>40444</v>
      </c>
      <c r="S6959" t="s">
        <v>40676</v>
      </c>
      <c r="T6959" t="s">
        <v>42184</v>
      </c>
      <c r="U6959" t="s">
        <v>48490</v>
      </c>
      <c r="W6959" t="s">
        <v>55484</v>
      </c>
      <c r="X6959" t="s">
        <v>40445</v>
      </c>
    </row>
    <row r="6960" spans="1:24">
      <c r="A6960">
        <f>HYPERLINK("https://www.philgeps.gov.ph/GEPSNONPILOT/Tender/SplashBidNoticeAbstractUI.aspx?menuIndex=3&amp;refID=7038748&amp;Result=3","7038748")</f>
        <v>0</v>
      </c>
      <c r="B6960" t="s">
        <v>752</v>
      </c>
      <c r="C6960" t="s">
        <v>9701</v>
      </c>
      <c r="E6960" t="s">
        <v>22431</v>
      </c>
      <c r="F6960" t="s">
        <v>28198</v>
      </c>
      <c r="G6960" t="s">
        <v>28205</v>
      </c>
      <c r="H6960" t="s">
        <v>28215</v>
      </c>
      <c r="I6960" t="s">
        <v>4200</v>
      </c>
      <c r="J6960" t="s">
        <v>28406</v>
      </c>
      <c r="K6960" t="s">
        <v>36706</v>
      </c>
      <c r="M6960" t="s">
        <v>37755</v>
      </c>
      <c r="N6960" t="s">
        <v>40436</v>
      </c>
      <c r="O6960" t="s">
        <v>40437</v>
      </c>
      <c r="P6960">
        <v>0</v>
      </c>
      <c r="Q6960">
        <v>0</v>
      </c>
      <c r="R6960" t="s">
        <v>40444</v>
      </c>
      <c r="S6960" t="s">
        <v>40676</v>
      </c>
      <c r="T6960" t="s">
        <v>42194</v>
      </c>
      <c r="U6960" t="s">
        <v>48491</v>
      </c>
      <c r="W6960" t="s">
        <v>37755</v>
      </c>
      <c r="X6960" t="s">
        <v>40445</v>
      </c>
    </row>
    <row r="6961" spans="1:24">
      <c r="A6961">
        <f>HYPERLINK("https://www.philgeps.gov.ph/GEPSNONPILOT/Tender/SplashBidNoticeAbstractUI.aspx?menuIndex=3&amp;refID=7038776&amp;Result=3","7038776")</f>
        <v>0</v>
      </c>
      <c r="B6961" t="s">
        <v>2191</v>
      </c>
      <c r="C6961" t="s">
        <v>9702</v>
      </c>
      <c r="D6961" t="s">
        <v>16247</v>
      </c>
      <c r="E6961" t="s">
        <v>22432</v>
      </c>
      <c r="F6961" t="s">
        <v>28198</v>
      </c>
      <c r="G6961" t="s">
        <v>28205</v>
      </c>
      <c r="H6961" t="s">
        <v>28215</v>
      </c>
      <c r="I6961" t="s">
        <v>28239</v>
      </c>
      <c r="J6961" t="s">
        <v>32716</v>
      </c>
      <c r="K6961" t="s">
        <v>36706</v>
      </c>
      <c r="M6961" t="s">
        <v>39356</v>
      </c>
      <c r="N6961" t="s">
        <v>40436</v>
      </c>
      <c r="O6961" t="s">
        <v>40437</v>
      </c>
      <c r="P6961">
        <v>0</v>
      </c>
      <c r="Q6961">
        <v>2</v>
      </c>
      <c r="R6961" t="s">
        <v>40444</v>
      </c>
      <c r="S6961" t="s">
        <v>40676</v>
      </c>
      <c r="T6961" t="s">
        <v>42184</v>
      </c>
      <c r="U6961" t="s">
        <v>48492</v>
      </c>
      <c r="W6961" t="s">
        <v>39356</v>
      </c>
      <c r="X6961" t="s">
        <v>40445</v>
      </c>
    </row>
    <row r="6962" spans="1:24">
      <c r="A6962">
        <f>HYPERLINK("https://www.philgeps.gov.ph/GEPSNONPILOT/Tender/SplashBidNoticeAbstractUI.aspx?menuIndex=3&amp;refID=7038778&amp;Result=3","7038778")</f>
        <v>0</v>
      </c>
      <c r="B6962" t="s">
        <v>2186</v>
      </c>
      <c r="C6962" t="s">
        <v>9703</v>
      </c>
      <c r="D6962" t="s">
        <v>16268</v>
      </c>
      <c r="E6962" t="s">
        <v>22433</v>
      </c>
      <c r="F6962" t="s">
        <v>28198</v>
      </c>
      <c r="G6962" t="s">
        <v>28205</v>
      </c>
      <c r="H6962" t="s">
        <v>28214</v>
      </c>
      <c r="I6962" t="s">
        <v>3797</v>
      </c>
      <c r="J6962" t="s">
        <v>32717</v>
      </c>
      <c r="K6962" t="s">
        <v>36737</v>
      </c>
      <c r="M6962" t="s">
        <v>39350</v>
      </c>
      <c r="N6962" t="s">
        <v>40436</v>
      </c>
      <c r="O6962" t="s">
        <v>40437</v>
      </c>
      <c r="P6962">
        <v>0</v>
      </c>
      <c r="Q6962">
        <v>2</v>
      </c>
      <c r="R6962" t="s">
        <v>40444</v>
      </c>
      <c r="S6962" t="s">
        <v>40676</v>
      </c>
      <c r="T6962" t="s">
        <v>42278</v>
      </c>
      <c r="U6962" t="s">
        <v>48493</v>
      </c>
      <c r="V6962" t="s">
        <v>54509</v>
      </c>
      <c r="W6962" t="s">
        <v>39350</v>
      </c>
      <c r="X6962" t="s">
        <v>40445</v>
      </c>
    </row>
    <row r="6963" spans="1:24">
      <c r="A6963">
        <f>HYPERLINK("https://www.philgeps.gov.ph/GEPSNONPILOT/Tender/SplashBidNoticeAbstractUI.aspx?menuIndex=3&amp;refID=7038779&amp;Result=3","7038779")</f>
        <v>0</v>
      </c>
      <c r="B6963" t="s">
        <v>1345</v>
      </c>
      <c r="C6963" t="s">
        <v>9704</v>
      </c>
      <c r="D6963" t="s">
        <v>16247</v>
      </c>
      <c r="E6963" t="s">
        <v>22434</v>
      </c>
      <c r="F6963" t="s">
        <v>28198</v>
      </c>
      <c r="G6963" t="s">
        <v>28207</v>
      </c>
      <c r="H6963" t="s">
        <v>28217</v>
      </c>
      <c r="I6963" t="s">
        <v>28268</v>
      </c>
      <c r="J6963" t="s">
        <v>28805</v>
      </c>
      <c r="K6963" t="s">
        <v>36688</v>
      </c>
      <c r="M6963" t="s">
        <v>38403</v>
      </c>
      <c r="N6963" t="s">
        <v>40436</v>
      </c>
      <c r="O6963" t="s">
        <v>40437</v>
      </c>
      <c r="P6963">
        <v>0</v>
      </c>
      <c r="Q6963">
        <v>0</v>
      </c>
      <c r="R6963" t="s">
        <v>40444</v>
      </c>
      <c r="S6963" t="s">
        <v>40676</v>
      </c>
      <c r="T6963" t="s">
        <v>42233</v>
      </c>
      <c r="U6963" t="s">
        <v>45667</v>
      </c>
      <c r="W6963" t="s">
        <v>38403</v>
      </c>
      <c r="X6963" t="s">
        <v>40445</v>
      </c>
    </row>
    <row r="6964" spans="1:24">
      <c r="A6964">
        <f>HYPERLINK("https://www.philgeps.gov.ph/GEPSNONPILOT/Tender/SplashBidNoticeAbstractUI.aspx?menuIndex=3&amp;refID=7038785&amp;Result=3","7038785")</f>
        <v>0</v>
      </c>
      <c r="B6964" t="s">
        <v>169</v>
      </c>
      <c r="C6964" t="s">
        <v>9705</v>
      </c>
      <c r="D6964" t="s">
        <v>16243</v>
      </c>
      <c r="E6964" t="s">
        <v>22435</v>
      </c>
      <c r="F6964" t="s">
        <v>28198</v>
      </c>
      <c r="G6964" t="s">
        <v>28205</v>
      </c>
      <c r="H6964" t="s">
        <v>28215</v>
      </c>
      <c r="I6964" t="s">
        <v>28247</v>
      </c>
      <c r="J6964" t="s">
        <v>28413</v>
      </c>
      <c r="K6964" t="s">
        <v>36688</v>
      </c>
      <c r="M6964" t="s">
        <v>38802</v>
      </c>
      <c r="N6964" t="s">
        <v>40436</v>
      </c>
      <c r="O6964" t="s">
        <v>40437</v>
      </c>
      <c r="P6964">
        <v>0</v>
      </c>
      <c r="Q6964">
        <v>8</v>
      </c>
      <c r="R6964" t="s">
        <v>40444</v>
      </c>
      <c r="S6964" t="s">
        <v>40676</v>
      </c>
      <c r="T6964" t="s">
        <v>42297</v>
      </c>
      <c r="U6964" t="s">
        <v>48494</v>
      </c>
      <c r="W6964" t="s">
        <v>38802</v>
      </c>
      <c r="X6964" t="s">
        <v>40445</v>
      </c>
    </row>
    <row r="6965" spans="1:24">
      <c r="A6965">
        <f>HYPERLINK("https://www.philgeps.gov.ph/GEPSNONPILOT/Tender/SplashBidNoticeAbstractUI.aspx?menuIndex=3&amp;refID=7038783&amp;Result=3","7038783")</f>
        <v>0</v>
      </c>
      <c r="B6965" t="s">
        <v>2177</v>
      </c>
      <c r="C6965" t="s">
        <v>9706</v>
      </c>
      <c r="D6965" t="s">
        <v>16251</v>
      </c>
      <c r="E6965" t="s">
        <v>22436</v>
      </c>
      <c r="F6965" t="s">
        <v>28198</v>
      </c>
      <c r="G6965" t="s">
        <v>28205</v>
      </c>
      <c r="H6965" t="s">
        <v>28215</v>
      </c>
      <c r="I6965" t="s">
        <v>28290</v>
      </c>
      <c r="J6965" t="s">
        <v>32718</v>
      </c>
      <c r="K6965" t="s">
        <v>36707</v>
      </c>
      <c r="M6965" t="s">
        <v>39339</v>
      </c>
      <c r="N6965" t="s">
        <v>40436</v>
      </c>
      <c r="O6965" t="s">
        <v>40437</v>
      </c>
      <c r="Q6965">
        <v>3</v>
      </c>
      <c r="R6965" t="s">
        <v>40444</v>
      </c>
      <c r="S6965" t="s">
        <v>40695</v>
      </c>
      <c r="T6965" t="s">
        <v>42138</v>
      </c>
      <c r="U6965" t="s">
        <v>48495</v>
      </c>
      <c r="W6965" t="s">
        <v>39339</v>
      </c>
      <c r="X6965" t="s">
        <v>40445</v>
      </c>
    </row>
    <row r="6966" spans="1:24">
      <c r="A6966">
        <f>HYPERLINK("https://www.philgeps.gov.ph/GEPSNONPILOT/Tender/SplashBidNoticeAbstractUI.aspx?menuIndex=3&amp;refID=7038807&amp;Result=3","7038807")</f>
        <v>0</v>
      </c>
      <c r="B6966" t="s">
        <v>2192</v>
      </c>
      <c r="C6966" t="s">
        <v>9707</v>
      </c>
      <c r="D6966" t="s">
        <v>16202</v>
      </c>
      <c r="E6966" t="s">
        <v>22437</v>
      </c>
      <c r="F6966" t="s">
        <v>28198</v>
      </c>
      <c r="G6966" t="s">
        <v>28205</v>
      </c>
      <c r="H6966" t="s">
        <v>28215</v>
      </c>
      <c r="I6966" t="s">
        <v>8888</v>
      </c>
      <c r="J6966" t="s">
        <v>32719</v>
      </c>
      <c r="K6966" t="s">
        <v>36701</v>
      </c>
      <c r="M6966" t="s">
        <v>39357</v>
      </c>
      <c r="N6966" t="s">
        <v>40436</v>
      </c>
      <c r="O6966" t="s">
        <v>40437</v>
      </c>
      <c r="P6966">
        <v>0</v>
      </c>
      <c r="Q6966">
        <v>2</v>
      </c>
      <c r="R6966" t="s">
        <v>40444</v>
      </c>
      <c r="S6966" t="s">
        <v>40676</v>
      </c>
      <c r="T6966" t="s">
        <v>42476</v>
      </c>
      <c r="U6966" t="s">
        <v>48496</v>
      </c>
      <c r="W6966" t="s">
        <v>39357</v>
      </c>
      <c r="X6966" t="s">
        <v>40445</v>
      </c>
    </row>
    <row r="6967" spans="1:24">
      <c r="A6967">
        <f>HYPERLINK("https://www.philgeps.gov.ph/GEPSNONPILOT/Tender/SplashBidNoticeAbstractUI.aspx?menuIndex=3&amp;refID=7038802&amp;Result=3","7038802")</f>
        <v>0</v>
      </c>
      <c r="B6967" t="s">
        <v>842</v>
      </c>
      <c r="C6967" t="s">
        <v>9708</v>
      </c>
      <c r="D6967" t="s">
        <v>16239</v>
      </c>
      <c r="E6967" t="s">
        <v>22438</v>
      </c>
      <c r="F6967" t="s">
        <v>28198</v>
      </c>
      <c r="G6967" t="s">
        <v>28205</v>
      </c>
      <c r="H6967" t="s">
        <v>28214</v>
      </c>
      <c r="I6967" t="s">
        <v>3797</v>
      </c>
      <c r="J6967" t="s">
        <v>32720</v>
      </c>
      <c r="K6967" t="s">
        <v>36717</v>
      </c>
      <c r="M6967" t="s">
        <v>39333</v>
      </c>
      <c r="N6967" t="s">
        <v>40436</v>
      </c>
      <c r="O6967" t="s">
        <v>40437</v>
      </c>
      <c r="P6967">
        <v>0</v>
      </c>
      <c r="Q6967">
        <v>0</v>
      </c>
      <c r="R6967" t="s">
        <v>40444</v>
      </c>
      <c r="S6967" t="s">
        <v>40676</v>
      </c>
      <c r="T6967" t="s">
        <v>42443</v>
      </c>
      <c r="U6967" t="s">
        <v>48497</v>
      </c>
      <c r="W6967" t="s">
        <v>39333</v>
      </c>
      <c r="X6967" t="s">
        <v>40445</v>
      </c>
    </row>
    <row r="6968" spans="1:24">
      <c r="A6968">
        <f>HYPERLINK("https://www.philgeps.gov.ph/GEPSNONPILOT/Tender/SplashBidNoticeAbstractUI.aspx?menuIndex=3&amp;refID=7038793&amp;Result=3","7038793")</f>
        <v>0</v>
      </c>
      <c r="B6968" t="s">
        <v>230</v>
      </c>
      <c r="C6968" t="s">
        <v>9709</v>
      </c>
      <c r="D6968" t="s">
        <v>16246</v>
      </c>
      <c r="E6968" t="s">
        <v>22439</v>
      </c>
      <c r="F6968" t="s">
        <v>28198</v>
      </c>
      <c r="G6968" t="s">
        <v>28205</v>
      </c>
      <c r="H6968" t="s">
        <v>28215</v>
      </c>
      <c r="I6968" t="s">
        <v>5100</v>
      </c>
      <c r="J6968" t="s">
        <v>32721</v>
      </c>
      <c r="K6968" t="s">
        <v>36707</v>
      </c>
      <c r="M6968" t="s">
        <v>37206</v>
      </c>
      <c r="N6968" t="s">
        <v>40436</v>
      </c>
      <c r="O6968" t="s">
        <v>40437</v>
      </c>
      <c r="P6968">
        <v>0</v>
      </c>
      <c r="Q6968">
        <v>0</v>
      </c>
      <c r="R6968" t="s">
        <v>40444</v>
      </c>
      <c r="S6968" t="s">
        <v>40676</v>
      </c>
      <c r="T6968" t="s">
        <v>42125</v>
      </c>
      <c r="U6968" t="s">
        <v>48498</v>
      </c>
      <c r="W6968" t="s">
        <v>37206</v>
      </c>
      <c r="X6968" t="s">
        <v>40445</v>
      </c>
    </row>
    <row r="6969" spans="1:24">
      <c r="A6969">
        <f>HYPERLINK("https://www.philgeps.gov.ph/GEPSNONPILOT/Tender/SplashBidNoticeAbstractUI.aspx?menuIndex=3&amp;refID=7038809&amp;Result=3","7038809")</f>
        <v>0</v>
      </c>
      <c r="B6969" t="s">
        <v>1157</v>
      </c>
      <c r="C6969" t="s">
        <v>9710</v>
      </c>
      <c r="D6969" t="s">
        <v>16193</v>
      </c>
      <c r="E6969" t="s">
        <v>22440</v>
      </c>
      <c r="F6969" t="s">
        <v>28198</v>
      </c>
      <c r="G6969" t="s">
        <v>28205</v>
      </c>
      <c r="H6969" t="s">
        <v>28215</v>
      </c>
      <c r="I6969" t="s">
        <v>5100</v>
      </c>
      <c r="J6969" t="s">
        <v>32722</v>
      </c>
      <c r="K6969" t="s">
        <v>36689</v>
      </c>
      <c r="M6969" t="s">
        <v>38197</v>
      </c>
      <c r="N6969" t="s">
        <v>40436</v>
      </c>
      <c r="O6969" t="s">
        <v>40437</v>
      </c>
      <c r="P6969">
        <v>0</v>
      </c>
      <c r="Q6969">
        <v>0</v>
      </c>
      <c r="R6969" t="s">
        <v>40444</v>
      </c>
      <c r="S6969" t="s">
        <v>40676</v>
      </c>
      <c r="T6969" t="s">
        <v>42184</v>
      </c>
      <c r="U6969" t="s">
        <v>48499</v>
      </c>
      <c r="W6969" t="s">
        <v>55484</v>
      </c>
      <c r="X6969" t="s">
        <v>40445</v>
      </c>
    </row>
    <row r="6970" spans="1:24">
      <c r="A6970">
        <f>HYPERLINK("https://www.philgeps.gov.ph/GEPSNONPILOT/Tender/SplashBidNoticeAbstractUI.aspx?menuIndex=3&amp;refID=7038790&amp;Result=3","7038790")</f>
        <v>0</v>
      </c>
      <c r="B6970" t="s">
        <v>2183</v>
      </c>
      <c r="C6970" t="s">
        <v>9711</v>
      </c>
      <c r="D6970" t="s">
        <v>16266</v>
      </c>
      <c r="E6970" t="s">
        <v>22441</v>
      </c>
      <c r="F6970" t="s">
        <v>28198</v>
      </c>
      <c r="G6970" t="s">
        <v>28205</v>
      </c>
      <c r="H6970" t="s">
        <v>28215</v>
      </c>
      <c r="I6970" t="s">
        <v>28334</v>
      </c>
      <c r="J6970" t="s">
        <v>32723</v>
      </c>
      <c r="K6970" t="s">
        <v>36706</v>
      </c>
      <c r="M6970" t="s">
        <v>39347</v>
      </c>
      <c r="N6970" t="s">
        <v>40436</v>
      </c>
      <c r="O6970" t="s">
        <v>40437</v>
      </c>
      <c r="P6970">
        <v>0</v>
      </c>
      <c r="Q6970">
        <v>2</v>
      </c>
      <c r="R6970" t="s">
        <v>40444</v>
      </c>
      <c r="S6970" t="s">
        <v>40676</v>
      </c>
      <c r="T6970" t="s">
        <v>42218</v>
      </c>
      <c r="U6970" t="s">
        <v>48439</v>
      </c>
      <c r="W6970" t="s">
        <v>39347</v>
      </c>
      <c r="X6970" t="s">
        <v>40445</v>
      </c>
    </row>
    <row r="6971" spans="1:24">
      <c r="A6971">
        <f>HYPERLINK("https://www.philgeps.gov.ph/GEPSNONPILOT/Tender/SplashBidNoticeAbstractUI.aspx?menuIndex=3&amp;refID=7038801&amp;Result=3","7038801")</f>
        <v>0</v>
      </c>
      <c r="B6971" t="s">
        <v>2187</v>
      </c>
      <c r="C6971" t="s">
        <v>9712</v>
      </c>
      <c r="D6971" t="s">
        <v>16190</v>
      </c>
      <c r="E6971" t="s">
        <v>17001</v>
      </c>
      <c r="F6971" t="s">
        <v>28198</v>
      </c>
      <c r="G6971" t="s">
        <v>28205</v>
      </c>
      <c r="H6971" t="s">
        <v>28215</v>
      </c>
      <c r="I6971" t="s">
        <v>5100</v>
      </c>
      <c r="J6971" t="s">
        <v>32724</v>
      </c>
      <c r="K6971" t="s">
        <v>36707</v>
      </c>
      <c r="M6971" t="s">
        <v>39352</v>
      </c>
      <c r="N6971" t="s">
        <v>40436</v>
      </c>
      <c r="O6971" t="s">
        <v>40437</v>
      </c>
      <c r="P6971">
        <v>0</v>
      </c>
      <c r="Q6971">
        <v>1</v>
      </c>
      <c r="R6971" t="s">
        <v>40444</v>
      </c>
      <c r="S6971" t="s">
        <v>40676</v>
      </c>
      <c r="T6971" t="s">
        <v>42278</v>
      </c>
      <c r="U6971" t="s">
        <v>48500</v>
      </c>
      <c r="W6971" t="s">
        <v>39352</v>
      </c>
      <c r="X6971" t="s">
        <v>40445</v>
      </c>
    </row>
    <row r="6972" spans="1:24">
      <c r="A6972">
        <f>HYPERLINK("https://www.philgeps.gov.ph/GEPSNONPILOT/Tender/SplashBidNoticeAbstractUI.aspx?menuIndex=3&amp;refID=7038786&amp;Result=3","7038786")</f>
        <v>0</v>
      </c>
      <c r="B6972" t="s">
        <v>2193</v>
      </c>
      <c r="C6972" t="s">
        <v>9713</v>
      </c>
      <c r="D6972" t="s">
        <v>16200</v>
      </c>
      <c r="E6972" t="s">
        <v>9713</v>
      </c>
      <c r="F6972" t="s">
        <v>28198</v>
      </c>
      <c r="G6972" t="s">
        <v>28206</v>
      </c>
      <c r="H6972" t="s">
        <v>28215</v>
      </c>
      <c r="I6972" t="s">
        <v>3774</v>
      </c>
      <c r="J6972" t="s">
        <v>32725</v>
      </c>
      <c r="K6972" t="s">
        <v>36688</v>
      </c>
      <c r="M6972" t="s">
        <v>39358</v>
      </c>
      <c r="N6972" t="s">
        <v>40436</v>
      </c>
      <c r="O6972" t="s">
        <v>40437</v>
      </c>
      <c r="P6972">
        <v>0</v>
      </c>
      <c r="Q6972">
        <v>1</v>
      </c>
      <c r="R6972" t="s">
        <v>40444</v>
      </c>
      <c r="S6972" t="s">
        <v>40676</v>
      </c>
      <c r="T6972" t="s">
        <v>42184</v>
      </c>
      <c r="U6972" t="s">
        <v>48501</v>
      </c>
      <c r="V6972" t="s">
        <v>54510</v>
      </c>
      <c r="W6972" t="s">
        <v>39358</v>
      </c>
      <c r="X6972" t="s">
        <v>40445</v>
      </c>
    </row>
    <row r="6973" spans="1:24">
      <c r="A6973">
        <f>HYPERLINK("https://www.philgeps.gov.ph/GEPSNONPILOT/Tender/SplashBidNoticeAbstractUI.aspx?menuIndex=3&amp;refID=7038794&amp;Result=3","7038794")</f>
        <v>0</v>
      </c>
      <c r="B6973" t="s">
        <v>2194</v>
      </c>
      <c r="C6973" t="s">
        <v>9714</v>
      </c>
      <c r="D6973" t="s">
        <v>16212</v>
      </c>
      <c r="E6973" t="s">
        <v>22442</v>
      </c>
      <c r="F6973" t="s">
        <v>28198</v>
      </c>
      <c r="G6973" t="s">
        <v>28206</v>
      </c>
      <c r="H6973" t="s">
        <v>28215</v>
      </c>
      <c r="I6973" t="s">
        <v>28227</v>
      </c>
      <c r="J6973" t="s">
        <v>30196</v>
      </c>
      <c r="K6973" t="s">
        <v>36701</v>
      </c>
      <c r="M6973" t="s">
        <v>39359</v>
      </c>
      <c r="N6973" t="s">
        <v>40436</v>
      </c>
      <c r="O6973" t="s">
        <v>40437</v>
      </c>
      <c r="P6973">
        <v>0</v>
      </c>
      <c r="Q6973">
        <v>0</v>
      </c>
      <c r="R6973" t="s">
        <v>40444</v>
      </c>
      <c r="S6973" t="s">
        <v>40676</v>
      </c>
      <c r="T6973" t="s">
        <v>42184</v>
      </c>
      <c r="U6973" t="s">
        <v>48502</v>
      </c>
      <c r="W6973" t="s">
        <v>39359</v>
      </c>
      <c r="X6973" t="s">
        <v>40445</v>
      </c>
    </row>
    <row r="6974" spans="1:24">
      <c r="A6974">
        <f>HYPERLINK("https://www.philgeps.gov.ph/GEPSNONPILOT/Tender/SplashBidNoticeAbstractUI.aspx?menuIndex=3&amp;refID=7038796&amp;Result=3","7038796")</f>
        <v>0</v>
      </c>
      <c r="B6974" t="s">
        <v>1157</v>
      </c>
      <c r="C6974" t="s">
        <v>9715</v>
      </c>
      <c r="D6974" t="s">
        <v>16193</v>
      </c>
      <c r="E6974" t="s">
        <v>22443</v>
      </c>
      <c r="F6974" t="s">
        <v>28198</v>
      </c>
      <c r="G6974" t="s">
        <v>28205</v>
      </c>
      <c r="H6974" t="s">
        <v>28215</v>
      </c>
      <c r="I6974" t="s">
        <v>28222</v>
      </c>
      <c r="J6974" t="s">
        <v>29503</v>
      </c>
      <c r="K6974" t="s">
        <v>36689</v>
      </c>
      <c r="M6974" t="s">
        <v>38197</v>
      </c>
      <c r="N6974" t="s">
        <v>40436</v>
      </c>
      <c r="O6974" t="s">
        <v>40437</v>
      </c>
      <c r="P6974">
        <v>0</v>
      </c>
      <c r="Q6974">
        <v>1</v>
      </c>
      <c r="R6974" t="s">
        <v>40444</v>
      </c>
      <c r="S6974" t="s">
        <v>40676</v>
      </c>
      <c r="T6974" t="s">
        <v>42184</v>
      </c>
      <c r="U6974" t="s">
        <v>48503</v>
      </c>
      <c r="W6974" t="s">
        <v>55484</v>
      </c>
      <c r="X6974" t="s">
        <v>40445</v>
      </c>
    </row>
    <row r="6975" spans="1:24">
      <c r="A6975">
        <f>HYPERLINK("https://www.philgeps.gov.ph/GEPSNONPILOT/Tender/SplashBidNoticeAbstractUI.aspx?menuIndex=3&amp;refID=7038830&amp;Result=3","7038830")</f>
        <v>0</v>
      </c>
      <c r="B6975" t="s">
        <v>1210</v>
      </c>
      <c r="C6975" t="s">
        <v>9716</v>
      </c>
      <c r="D6975" t="s">
        <v>16230</v>
      </c>
      <c r="E6975" t="s">
        <v>22444</v>
      </c>
      <c r="F6975" t="s">
        <v>28198</v>
      </c>
      <c r="G6975" t="s">
        <v>28207</v>
      </c>
      <c r="H6975" t="s">
        <v>28215</v>
      </c>
      <c r="I6975" t="s">
        <v>4222</v>
      </c>
      <c r="J6975" t="s">
        <v>32726</v>
      </c>
      <c r="K6975" t="s">
        <v>36697</v>
      </c>
      <c r="M6975" t="s">
        <v>38255</v>
      </c>
      <c r="N6975" t="s">
        <v>40436</v>
      </c>
      <c r="O6975" t="s">
        <v>40437</v>
      </c>
      <c r="P6975">
        <v>0</v>
      </c>
      <c r="Q6975">
        <v>3</v>
      </c>
      <c r="R6975" t="s">
        <v>40444</v>
      </c>
      <c r="S6975" t="s">
        <v>40676</v>
      </c>
      <c r="T6975" t="s">
        <v>42245</v>
      </c>
      <c r="U6975" t="s">
        <v>48504</v>
      </c>
      <c r="W6975" t="s">
        <v>55476</v>
      </c>
      <c r="X6975" t="s">
        <v>40445</v>
      </c>
    </row>
    <row r="6976" spans="1:24">
      <c r="A6976">
        <f>HYPERLINK("https://www.philgeps.gov.ph/GEPSNONPILOT/Tender/SplashBidNoticeAbstractUI.aspx?menuIndex=3&amp;refID=7038825&amp;Result=3","7038825")</f>
        <v>0</v>
      </c>
      <c r="B6976" t="s">
        <v>2191</v>
      </c>
      <c r="C6976" t="s">
        <v>9717</v>
      </c>
      <c r="D6976" t="s">
        <v>16247</v>
      </c>
      <c r="E6976" t="s">
        <v>22445</v>
      </c>
      <c r="F6976" t="s">
        <v>28198</v>
      </c>
      <c r="G6976" t="s">
        <v>28205</v>
      </c>
      <c r="H6976" t="s">
        <v>28215</v>
      </c>
      <c r="I6976" t="s">
        <v>28232</v>
      </c>
      <c r="J6976" t="s">
        <v>32727</v>
      </c>
      <c r="K6976" t="s">
        <v>36706</v>
      </c>
      <c r="M6976" t="s">
        <v>39356</v>
      </c>
      <c r="N6976" t="s">
        <v>40436</v>
      </c>
      <c r="O6976" t="s">
        <v>40437</v>
      </c>
      <c r="P6976">
        <v>0</v>
      </c>
      <c r="Q6976">
        <v>0</v>
      </c>
      <c r="R6976" t="s">
        <v>40444</v>
      </c>
      <c r="S6976" t="s">
        <v>40676</v>
      </c>
      <c r="T6976" t="s">
        <v>42184</v>
      </c>
      <c r="U6976" t="s">
        <v>48505</v>
      </c>
      <c r="W6976" t="s">
        <v>39356</v>
      </c>
      <c r="X6976" t="s">
        <v>40445</v>
      </c>
    </row>
    <row r="6977" spans="1:24">
      <c r="A6977">
        <f>HYPERLINK("https://www.philgeps.gov.ph/GEPSNONPILOT/Tender/SplashBidNoticeAbstractUI.aspx?menuIndex=3&amp;refID=7038800&amp;Result=3","7038800")</f>
        <v>0</v>
      </c>
      <c r="B6977" t="s">
        <v>1039</v>
      </c>
      <c r="C6977" t="s">
        <v>9718</v>
      </c>
      <c r="D6977" t="s">
        <v>16255</v>
      </c>
      <c r="E6977" t="s">
        <v>22446</v>
      </c>
      <c r="F6977" t="s">
        <v>28198</v>
      </c>
      <c r="G6977" t="s">
        <v>28205</v>
      </c>
      <c r="H6977" t="s">
        <v>28215</v>
      </c>
      <c r="I6977" t="s">
        <v>28228</v>
      </c>
      <c r="J6977" t="s">
        <v>32728</v>
      </c>
      <c r="K6977" t="s">
        <v>36701</v>
      </c>
      <c r="M6977" t="s">
        <v>38071</v>
      </c>
      <c r="N6977" t="s">
        <v>40436</v>
      </c>
      <c r="O6977" t="s">
        <v>40437</v>
      </c>
      <c r="P6977">
        <v>0</v>
      </c>
      <c r="Q6977">
        <v>0</v>
      </c>
      <c r="R6977" t="s">
        <v>40444</v>
      </c>
      <c r="S6977" t="s">
        <v>40676</v>
      </c>
      <c r="T6977" t="s">
        <v>42233</v>
      </c>
      <c r="U6977" t="s">
        <v>48506</v>
      </c>
      <c r="W6977" t="s">
        <v>38071</v>
      </c>
      <c r="X6977" t="s">
        <v>40445</v>
      </c>
    </row>
    <row r="6978" spans="1:24">
      <c r="A6978">
        <f>HYPERLINK("https://www.philgeps.gov.ph/GEPSNONPILOT/Tender/SplashBidNoticeAbstractUI.aspx?menuIndex=3&amp;refID=7038791&amp;Result=3","7038791")</f>
        <v>0</v>
      </c>
      <c r="B6978" t="s">
        <v>2190</v>
      </c>
      <c r="C6978" t="s">
        <v>9719</v>
      </c>
      <c r="D6978" t="s">
        <v>16188</v>
      </c>
      <c r="E6978" t="s">
        <v>22447</v>
      </c>
      <c r="F6978" t="s">
        <v>28198</v>
      </c>
      <c r="G6978" t="s">
        <v>28205</v>
      </c>
      <c r="H6978" t="s">
        <v>28215</v>
      </c>
      <c r="I6978" t="s">
        <v>28228</v>
      </c>
      <c r="J6978" t="s">
        <v>28352</v>
      </c>
      <c r="K6978" t="s">
        <v>36694</v>
      </c>
      <c r="L6978" t="s">
        <v>2190</v>
      </c>
      <c r="M6978" t="s">
        <v>39355</v>
      </c>
      <c r="N6978" t="s">
        <v>40436</v>
      </c>
      <c r="O6978" t="s">
        <v>40437</v>
      </c>
      <c r="P6978">
        <v>0</v>
      </c>
      <c r="Q6978">
        <v>0</v>
      </c>
      <c r="R6978" t="s">
        <v>40444</v>
      </c>
      <c r="S6978" t="s">
        <v>40676</v>
      </c>
      <c r="T6978" t="s">
        <v>42475</v>
      </c>
      <c r="U6978" t="s">
        <v>48507</v>
      </c>
      <c r="W6978" t="s">
        <v>39355</v>
      </c>
      <c r="X6978" t="s">
        <v>40445</v>
      </c>
    </row>
    <row r="6979" spans="1:24">
      <c r="A6979">
        <f>HYPERLINK("https://www.philgeps.gov.ph/GEPSNONPILOT/Tender/SplashBidNoticeAbstractUI.aspx?menuIndex=3&amp;refID=7038820&amp;Result=3","7038820")</f>
        <v>0</v>
      </c>
      <c r="B6979" t="s">
        <v>842</v>
      </c>
      <c r="C6979" t="s">
        <v>9720</v>
      </c>
      <c r="D6979" t="s">
        <v>16239</v>
      </c>
      <c r="E6979" t="s">
        <v>22448</v>
      </c>
      <c r="F6979" t="s">
        <v>28198</v>
      </c>
      <c r="G6979" t="s">
        <v>28205</v>
      </c>
      <c r="H6979" t="s">
        <v>28214</v>
      </c>
      <c r="I6979" t="s">
        <v>3797</v>
      </c>
      <c r="J6979" t="s">
        <v>32729</v>
      </c>
      <c r="K6979" t="s">
        <v>36692</v>
      </c>
      <c r="M6979" t="s">
        <v>39333</v>
      </c>
      <c r="N6979" t="s">
        <v>40436</v>
      </c>
      <c r="O6979" t="s">
        <v>40437</v>
      </c>
      <c r="P6979">
        <v>0</v>
      </c>
      <c r="Q6979">
        <v>0</v>
      </c>
      <c r="R6979" t="s">
        <v>40444</v>
      </c>
      <c r="S6979" t="s">
        <v>40676</v>
      </c>
      <c r="T6979" t="s">
        <v>42443</v>
      </c>
      <c r="U6979" t="s">
        <v>48508</v>
      </c>
      <c r="W6979" t="s">
        <v>39333</v>
      </c>
      <c r="X6979" t="s">
        <v>40445</v>
      </c>
    </row>
    <row r="6980" spans="1:24">
      <c r="A6980">
        <f>HYPERLINK("https://www.philgeps.gov.ph/GEPSNONPILOT/Tender/SplashBidNoticeAbstractUI.aspx?menuIndex=3&amp;refID=7038815&amp;Result=3","7038815")</f>
        <v>0</v>
      </c>
      <c r="B6980" t="s">
        <v>1157</v>
      </c>
      <c r="C6980" t="s">
        <v>9721</v>
      </c>
      <c r="D6980" t="s">
        <v>16193</v>
      </c>
      <c r="E6980" t="s">
        <v>22449</v>
      </c>
      <c r="F6980" t="s">
        <v>28198</v>
      </c>
      <c r="G6980" t="s">
        <v>28205</v>
      </c>
      <c r="H6980" t="s">
        <v>28215</v>
      </c>
      <c r="I6980" t="s">
        <v>5100</v>
      </c>
      <c r="J6980" t="s">
        <v>32730</v>
      </c>
      <c r="K6980" t="s">
        <v>36689</v>
      </c>
      <c r="M6980" t="s">
        <v>38197</v>
      </c>
      <c r="N6980" t="s">
        <v>40436</v>
      </c>
      <c r="O6980" t="s">
        <v>40437</v>
      </c>
      <c r="P6980">
        <v>0</v>
      </c>
      <c r="Q6980">
        <v>0</v>
      </c>
      <c r="R6980" t="s">
        <v>40444</v>
      </c>
      <c r="S6980" t="s">
        <v>40676</v>
      </c>
      <c r="T6980" t="s">
        <v>42184</v>
      </c>
      <c r="U6980" t="s">
        <v>48509</v>
      </c>
      <c r="W6980" t="s">
        <v>55484</v>
      </c>
      <c r="X6980" t="s">
        <v>40445</v>
      </c>
    </row>
    <row r="6981" spans="1:24">
      <c r="A6981">
        <f>HYPERLINK("https://www.philgeps.gov.ph/GEPSNONPILOT/Tender/SplashBidNoticeAbstractUI.aspx?menuIndex=3&amp;refID=7038819&amp;Result=3","7038819")</f>
        <v>0</v>
      </c>
      <c r="B6981" t="s">
        <v>2195</v>
      </c>
      <c r="C6981" t="s">
        <v>9722</v>
      </c>
      <c r="D6981" t="s">
        <v>16196</v>
      </c>
      <c r="E6981" t="s">
        <v>22450</v>
      </c>
      <c r="F6981" t="s">
        <v>28198</v>
      </c>
      <c r="G6981" t="s">
        <v>28205</v>
      </c>
      <c r="H6981" t="s">
        <v>28215</v>
      </c>
      <c r="I6981" t="s">
        <v>5100</v>
      </c>
      <c r="J6981" t="s">
        <v>32731</v>
      </c>
      <c r="K6981" t="s">
        <v>36693</v>
      </c>
      <c r="M6981" t="s">
        <v>39360</v>
      </c>
      <c r="N6981" t="s">
        <v>40436</v>
      </c>
      <c r="O6981" t="s">
        <v>40437</v>
      </c>
      <c r="P6981">
        <v>0</v>
      </c>
      <c r="Q6981">
        <v>1</v>
      </c>
      <c r="R6981" t="s">
        <v>40444</v>
      </c>
      <c r="S6981" t="s">
        <v>40676</v>
      </c>
      <c r="T6981" t="s">
        <v>42185</v>
      </c>
      <c r="U6981" t="s">
        <v>48510</v>
      </c>
      <c r="W6981" t="s">
        <v>39360</v>
      </c>
      <c r="X6981" t="s">
        <v>40445</v>
      </c>
    </row>
    <row r="6982" spans="1:24">
      <c r="A6982">
        <f>HYPERLINK("https://www.philgeps.gov.ph/GEPSNONPILOT/Tender/SplashBidNoticeAbstractUI.aspx?menuIndex=3&amp;refID=7038813&amp;Result=3","7038813")</f>
        <v>0</v>
      </c>
      <c r="B6982" t="s">
        <v>2190</v>
      </c>
      <c r="C6982" t="s">
        <v>9723</v>
      </c>
      <c r="D6982" t="s">
        <v>16188</v>
      </c>
      <c r="E6982" t="s">
        <v>22451</v>
      </c>
      <c r="F6982" t="s">
        <v>28198</v>
      </c>
      <c r="G6982" t="s">
        <v>28205</v>
      </c>
      <c r="H6982" t="s">
        <v>28215</v>
      </c>
      <c r="I6982" t="s">
        <v>28228</v>
      </c>
      <c r="J6982" t="s">
        <v>28364</v>
      </c>
      <c r="K6982" t="s">
        <v>36701</v>
      </c>
      <c r="L6982" t="s">
        <v>2190</v>
      </c>
      <c r="M6982" t="s">
        <v>39355</v>
      </c>
      <c r="N6982" t="s">
        <v>40436</v>
      </c>
      <c r="O6982" t="s">
        <v>40437</v>
      </c>
      <c r="P6982">
        <v>0</v>
      </c>
      <c r="Q6982">
        <v>0</v>
      </c>
      <c r="R6982" t="s">
        <v>40444</v>
      </c>
      <c r="S6982" t="s">
        <v>40676</v>
      </c>
      <c r="T6982" t="s">
        <v>42475</v>
      </c>
      <c r="U6982" t="s">
        <v>48511</v>
      </c>
      <c r="W6982" t="s">
        <v>39355</v>
      </c>
      <c r="X6982" t="s">
        <v>40445</v>
      </c>
    </row>
    <row r="6983" spans="1:24">
      <c r="A6983">
        <f>HYPERLINK("https://www.philgeps.gov.ph/GEPSNONPILOT/Tender/SplashBidNoticeAbstractUI.aspx?menuIndex=3&amp;refID=7038834&amp;Result=3","7038834")</f>
        <v>0</v>
      </c>
      <c r="B6983" t="s">
        <v>1157</v>
      </c>
      <c r="C6983" t="s">
        <v>9724</v>
      </c>
      <c r="D6983" t="s">
        <v>16193</v>
      </c>
      <c r="E6983" t="s">
        <v>22452</v>
      </c>
      <c r="F6983" t="s">
        <v>28198</v>
      </c>
      <c r="G6983" t="s">
        <v>28205</v>
      </c>
      <c r="H6983" t="s">
        <v>28215</v>
      </c>
      <c r="I6983" t="s">
        <v>28258</v>
      </c>
      <c r="J6983" t="s">
        <v>32732</v>
      </c>
      <c r="K6983" t="s">
        <v>36689</v>
      </c>
      <c r="M6983" t="s">
        <v>38197</v>
      </c>
      <c r="N6983" t="s">
        <v>40436</v>
      </c>
      <c r="O6983" t="s">
        <v>40437</v>
      </c>
      <c r="P6983">
        <v>0</v>
      </c>
      <c r="Q6983">
        <v>1</v>
      </c>
      <c r="R6983" t="s">
        <v>40444</v>
      </c>
      <c r="S6983" t="s">
        <v>40676</v>
      </c>
      <c r="T6983" t="s">
        <v>42184</v>
      </c>
      <c r="U6983" t="s">
        <v>48512</v>
      </c>
      <c r="W6983" t="s">
        <v>55484</v>
      </c>
      <c r="X6983" t="s">
        <v>40445</v>
      </c>
    </row>
    <row r="6984" spans="1:24">
      <c r="A6984">
        <f>HYPERLINK("https://www.philgeps.gov.ph/GEPSNONPILOT/Tender/SplashBidNoticeAbstractUI.aspx?menuIndex=3&amp;refID=7038841&amp;Result=3","7038841")</f>
        <v>0</v>
      </c>
      <c r="B6984" t="s">
        <v>842</v>
      </c>
      <c r="C6984" t="s">
        <v>9725</v>
      </c>
      <c r="D6984" t="s">
        <v>16239</v>
      </c>
      <c r="E6984" t="s">
        <v>22453</v>
      </c>
      <c r="F6984" t="s">
        <v>28198</v>
      </c>
      <c r="G6984" t="s">
        <v>28205</v>
      </c>
      <c r="H6984" t="s">
        <v>28214</v>
      </c>
      <c r="I6984" t="s">
        <v>3797</v>
      </c>
      <c r="J6984" t="s">
        <v>32733</v>
      </c>
      <c r="K6984" t="s">
        <v>36692</v>
      </c>
      <c r="M6984" t="s">
        <v>39333</v>
      </c>
      <c r="N6984" t="s">
        <v>40436</v>
      </c>
      <c r="O6984" t="s">
        <v>40437</v>
      </c>
      <c r="P6984">
        <v>0</v>
      </c>
      <c r="Q6984">
        <v>0</v>
      </c>
      <c r="R6984" t="s">
        <v>40444</v>
      </c>
      <c r="S6984" t="s">
        <v>40676</v>
      </c>
      <c r="T6984" t="s">
        <v>42443</v>
      </c>
      <c r="U6984" t="s">
        <v>48513</v>
      </c>
      <c r="W6984" t="s">
        <v>39333</v>
      </c>
      <c r="X6984" t="s">
        <v>40445</v>
      </c>
    </row>
    <row r="6985" spans="1:24">
      <c r="A6985">
        <f>HYPERLINK("https://www.philgeps.gov.ph/GEPSNONPILOT/Tender/SplashBidNoticeAbstractUI.aspx?menuIndex=3&amp;refID=7038821&amp;Result=3","7038821")</f>
        <v>0</v>
      </c>
      <c r="B6985" t="s">
        <v>2187</v>
      </c>
      <c r="C6985" t="s">
        <v>9726</v>
      </c>
      <c r="D6985" t="s">
        <v>16190</v>
      </c>
      <c r="E6985" t="s">
        <v>17890</v>
      </c>
      <c r="F6985" t="s">
        <v>28198</v>
      </c>
      <c r="G6985" t="s">
        <v>28205</v>
      </c>
      <c r="H6985" t="s">
        <v>28215</v>
      </c>
      <c r="I6985" t="s">
        <v>5100</v>
      </c>
      <c r="J6985" t="s">
        <v>28645</v>
      </c>
      <c r="K6985" t="s">
        <v>36707</v>
      </c>
      <c r="M6985" t="s">
        <v>39352</v>
      </c>
      <c r="N6985" t="s">
        <v>40436</v>
      </c>
      <c r="O6985" t="s">
        <v>40437</v>
      </c>
      <c r="P6985">
        <v>0</v>
      </c>
      <c r="Q6985">
        <v>1</v>
      </c>
      <c r="R6985" t="s">
        <v>40444</v>
      </c>
      <c r="S6985" t="s">
        <v>40676</v>
      </c>
      <c r="T6985" t="s">
        <v>42278</v>
      </c>
      <c r="U6985" t="s">
        <v>48514</v>
      </c>
      <c r="W6985" t="s">
        <v>39352</v>
      </c>
      <c r="X6985" t="s">
        <v>40445</v>
      </c>
    </row>
    <row r="6986" spans="1:24">
      <c r="A6986">
        <f>HYPERLINK("https://www.philgeps.gov.ph/GEPSNONPILOT/Tender/SplashBidNoticeAbstractUI.aspx?menuIndex=3&amp;refID=7038836&amp;Result=3","7038836")</f>
        <v>0</v>
      </c>
      <c r="B6986" t="s">
        <v>2196</v>
      </c>
      <c r="C6986" t="s">
        <v>7083</v>
      </c>
      <c r="D6986" t="s">
        <v>16187</v>
      </c>
      <c r="E6986" t="s">
        <v>20028</v>
      </c>
      <c r="F6986" t="s">
        <v>28198</v>
      </c>
      <c r="G6986" t="s">
        <v>28205</v>
      </c>
      <c r="H6986" t="s">
        <v>28215</v>
      </c>
      <c r="I6986" t="s">
        <v>4200</v>
      </c>
      <c r="J6986" t="s">
        <v>29273</v>
      </c>
      <c r="K6986" t="s">
        <v>36689</v>
      </c>
      <c r="M6986" t="s">
        <v>39361</v>
      </c>
      <c r="N6986" t="s">
        <v>40436</v>
      </c>
      <c r="O6986" t="s">
        <v>40437</v>
      </c>
      <c r="P6986">
        <v>0</v>
      </c>
      <c r="Q6986">
        <v>0</v>
      </c>
      <c r="R6986" t="s">
        <v>40444</v>
      </c>
      <c r="S6986" t="s">
        <v>40676</v>
      </c>
      <c r="T6986" t="s">
        <v>42326</v>
      </c>
      <c r="U6986" t="s">
        <v>48515</v>
      </c>
      <c r="W6986" t="s">
        <v>39361</v>
      </c>
      <c r="X6986" t="s">
        <v>40445</v>
      </c>
    </row>
    <row r="6987" spans="1:24">
      <c r="A6987">
        <f>HYPERLINK("https://www.philgeps.gov.ph/GEPSNONPILOT/Tender/SplashBidNoticeAbstractUI.aspx?menuIndex=3&amp;refID=7038831&amp;Result=3","7038831")</f>
        <v>0</v>
      </c>
      <c r="B6987" t="s">
        <v>230</v>
      </c>
      <c r="C6987" t="s">
        <v>9727</v>
      </c>
      <c r="D6987" t="s">
        <v>16246</v>
      </c>
      <c r="E6987" t="s">
        <v>22454</v>
      </c>
      <c r="F6987" t="s">
        <v>28198</v>
      </c>
      <c r="G6987" t="s">
        <v>28205</v>
      </c>
      <c r="H6987" t="s">
        <v>28215</v>
      </c>
      <c r="I6987" t="s">
        <v>28251</v>
      </c>
      <c r="J6987" t="s">
        <v>29261</v>
      </c>
      <c r="K6987" t="s">
        <v>36707</v>
      </c>
      <c r="M6987" t="s">
        <v>37206</v>
      </c>
      <c r="N6987" t="s">
        <v>40436</v>
      </c>
      <c r="O6987" t="s">
        <v>40437</v>
      </c>
      <c r="P6987">
        <v>0</v>
      </c>
      <c r="Q6987">
        <v>0</v>
      </c>
      <c r="R6987" t="s">
        <v>40444</v>
      </c>
      <c r="S6987" t="s">
        <v>40676</v>
      </c>
      <c r="T6987" t="s">
        <v>42227</v>
      </c>
      <c r="U6987" t="s">
        <v>48516</v>
      </c>
      <c r="W6987" t="s">
        <v>37206</v>
      </c>
      <c r="X6987" t="s">
        <v>40445</v>
      </c>
    </row>
    <row r="6988" spans="1:24">
      <c r="A6988">
        <f>HYPERLINK("https://www.philgeps.gov.ph/GEPSNONPILOT/Tender/SplashBidNoticeAbstractUI.aspx?menuIndex=3&amp;refID=7038874&amp;Result=3","7038874")</f>
        <v>0</v>
      </c>
      <c r="B6988" t="s">
        <v>2197</v>
      </c>
      <c r="C6988" t="s">
        <v>9728</v>
      </c>
      <c r="D6988" t="s">
        <v>16200</v>
      </c>
      <c r="E6988" t="s">
        <v>22455</v>
      </c>
      <c r="F6988" t="s">
        <v>28198</v>
      </c>
      <c r="G6988" t="s">
        <v>28205</v>
      </c>
      <c r="H6988" t="s">
        <v>28214</v>
      </c>
      <c r="I6988" t="s">
        <v>3797</v>
      </c>
      <c r="J6988" t="s">
        <v>28393</v>
      </c>
      <c r="K6988" t="s">
        <v>36695</v>
      </c>
      <c r="M6988" t="s">
        <v>39362</v>
      </c>
      <c r="N6988" t="s">
        <v>40436</v>
      </c>
      <c r="O6988" t="s">
        <v>40437</v>
      </c>
      <c r="P6988">
        <v>0</v>
      </c>
      <c r="Q6988">
        <v>1</v>
      </c>
      <c r="R6988" t="s">
        <v>40444</v>
      </c>
      <c r="S6988" t="s">
        <v>40676</v>
      </c>
      <c r="T6988" t="s">
        <v>42234</v>
      </c>
      <c r="U6988" t="s">
        <v>48517</v>
      </c>
      <c r="W6988" t="s">
        <v>39362</v>
      </c>
      <c r="X6988" t="s">
        <v>40445</v>
      </c>
    </row>
    <row r="6989" spans="1:24">
      <c r="A6989">
        <f>HYPERLINK("https://www.philgeps.gov.ph/GEPSNONPILOT/Tender/SplashBidNoticeAbstractUI.aspx?menuIndex=3&amp;refID=7038817&amp;Result=3","7038817")</f>
        <v>0</v>
      </c>
      <c r="B6989" t="s">
        <v>2185</v>
      </c>
      <c r="C6989" t="s">
        <v>9729</v>
      </c>
      <c r="D6989" t="s">
        <v>16217</v>
      </c>
      <c r="E6989" t="s">
        <v>22456</v>
      </c>
      <c r="F6989" t="s">
        <v>28198</v>
      </c>
      <c r="G6989" t="s">
        <v>28207</v>
      </c>
      <c r="H6989" t="s">
        <v>28215</v>
      </c>
      <c r="I6989" t="s">
        <v>28281</v>
      </c>
      <c r="J6989" t="s">
        <v>29346</v>
      </c>
      <c r="K6989" t="s">
        <v>36707</v>
      </c>
      <c r="M6989" t="s">
        <v>39349</v>
      </c>
      <c r="N6989" t="s">
        <v>40436</v>
      </c>
      <c r="O6989" t="s">
        <v>40437</v>
      </c>
      <c r="P6989">
        <v>0</v>
      </c>
      <c r="Q6989">
        <v>3</v>
      </c>
      <c r="R6989" t="s">
        <v>40444</v>
      </c>
      <c r="S6989" t="s">
        <v>40676</v>
      </c>
      <c r="T6989" t="s">
        <v>42245</v>
      </c>
      <c r="U6989" t="s">
        <v>48449</v>
      </c>
      <c r="W6989" t="s">
        <v>39349</v>
      </c>
      <c r="X6989" t="s">
        <v>40445</v>
      </c>
    </row>
    <row r="6990" spans="1:24">
      <c r="A6990">
        <f>HYPERLINK("https://www.philgeps.gov.ph/GEPSNONPILOT/Tender/SplashBidNoticeAbstractUI.aspx?menuIndex=3&amp;refID=7038871&amp;Result=3","7038871")</f>
        <v>0</v>
      </c>
      <c r="B6990" t="s">
        <v>2187</v>
      </c>
      <c r="C6990" t="s">
        <v>9730</v>
      </c>
      <c r="D6990" t="s">
        <v>16190</v>
      </c>
      <c r="E6990" t="s">
        <v>16565</v>
      </c>
      <c r="F6990" t="s">
        <v>28198</v>
      </c>
      <c r="G6990" t="s">
        <v>28205</v>
      </c>
      <c r="H6990" t="s">
        <v>28215</v>
      </c>
      <c r="I6990" t="s">
        <v>5100</v>
      </c>
      <c r="J6990" t="s">
        <v>32734</v>
      </c>
      <c r="K6990" t="s">
        <v>36707</v>
      </c>
      <c r="M6990" t="s">
        <v>39352</v>
      </c>
      <c r="N6990" t="s">
        <v>40436</v>
      </c>
      <c r="O6990" t="s">
        <v>40437</v>
      </c>
      <c r="P6990">
        <v>0</v>
      </c>
      <c r="Q6990">
        <v>1</v>
      </c>
      <c r="R6990" t="s">
        <v>40444</v>
      </c>
      <c r="S6990" t="s">
        <v>40676</v>
      </c>
      <c r="T6990" t="s">
        <v>42278</v>
      </c>
      <c r="U6990" t="s">
        <v>48518</v>
      </c>
      <c r="W6990" t="s">
        <v>39352</v>
      </c>
      <c r="X6990" t="s">
        <v>40445</v>
      </c>
    </row>
    <row r="6991" spans="1:24">
      <c r="A6991">
        <f>HYPERLINK("https://www.philgeps.gov.ph/GEPSNONPILOT/Tender/SplashBidNoticeAbstractUI.aspx?menuIndex=3&amp;refID=7038835&amp;Result=3","7038835")</f>
        <v>0</v>
      </c>
      <c r="B6991" t="s">
        <v>2198</v>
      </c>
      <c r="C6991" t="s">
        <v>9731</v>
      </c>
      <c r="E6991" t="s">
        <v>22457</v>
      </c>
      <c r="F6991" t="s">
        <v>28198</v>
      </c>
      <c r="G6991" t="s">
        <v>28205</v>
      </c>
      <c r="H6991" t="s">
        <v>28215</v>
      </c>
      <c r="I6991" t="s">
        <v>5100</v>
      </c>
      <c r="J6991" t="s">
        <v>32735</v>
      </c>
      <c r="K6991" t="s">
        <v>36689</v>
      </c>
      <c r="M6991" t="s">
        <v>39363</v>
      </c>
      <c r="N6991" t="s">
        <v>40436</v>
      </c>
      <c r="O6991" t="s">
        <v>40437</v>
      </c>
      <c r="P6991">
        <v>0</v>
      </c>
      <c r="Q6991">
        <v>0</v>
      </c>
      <c r="R6991" t="s">
        <v>40444</v>
      </c>
      <c r="S6991" t="s">
        <v>40676</v>
      </c>
      <c r="T6991" t="s">
        <v>42131</v>
      </c>
      <c r="U6991" t="s">
        <v>48519</v>
      </c>
      <c r="W6991" t="s">
        <v>55508</v>
      </c>
      <c r="X6991" t="s">
        <v>40445</v>
      </c>
    </row>
    <row r="6992" spans="1:24">
      <c r="A6992">
        <f>HYPERLINK("https://www.philgeps.gov.ph/GEPSNONPILOT/Tender/SplashBidNoticeAbstractUI.aspx?menuIndex=3&amp;refID=7038839&amp;Result=3","7038839")</f>
        <v>0</v>
      </c>
      <c r="B6992" t="s">
        <v>2199</v>
      </c>
      <c r="C6992" t="s">
        <v>9732</v>
      </c>
      <c r="D6992" t="s">
        <v>16235</v>
      </c>
      <c r="E6992" t="s">
        <v>22458</v>
      </c>
      <c r="F6992" t="s">
        <v>28198</v>
      </c>
      <c r="G6992" t="s">
        <v>28205</v>
      </c>
      <c r="H6992" t="s">
        <v>28214</v>
      </c>
      <c r="I6992" t="s">
        <v>3797</v>
      </c>
      <c r="J6992" t="s">
        <v>32736</v>
      </c>
      <c r="K6992" t="s">
        <v>36689</v>
      </c>
      <c r="M6992" t="s">
        <v>39364</v>
      </c>
      <c r="N6992" t="s">
        <v>40436</v>
      </c>
      <c r="O6992" t="s">
        <v>40437</v>
      </c>
      <c r="P6992">
        <v>0</v>
      </c>
      <c r="Q6992">
        <v>0</v>
      </c>
      <c r="R6992" t="s">
        <v>40444</v>
      </c>
      <c r="S6992" t="s">
        <v>40676</v>
      </c>
      <c r="T6992" t="s">
        <v>42426</v>
      </c>
      <c r="U6992" t="s">
        <v>48520</v>
      </c>
      <c r="W6992" t="s">
        <v>39364</v>
      </c>
      <c r="X6992" t="s">
        <v>40445</v>
      </c>
    </row>
    <row r="6993" spans="1:24">
      <c r="A6993">
        <f>HYPERLINK("https://www.philgeps.gov.ph/GEPSNONPILOT/Tender/SplashBidNoticeAbstractUI.aspx?menuIndex=3&amp;refID=7038872&amp;Result=3","7038872")</f>
        <v>0</v>
      </c>
      <c r="B6993" t="s">
        <v>842</v>
      </c>
      <c r="C6993" t="s">
        <v>9733</v>
      </c>
      <c r="D6993" t="s">
        <v>16239</v>
      </c>
      <c r="E6993" t="s">
        <v>22459</v>
      </c>
      <c r="F6993" t="s">
        <v>28198</v>
      </c>
      <c r="G6993" t="s">
        <v>28205</v>
      </c>
      <c r="H6993" t="s">
        <v>28214</v>
      </c>
      <c r="I6993" t="s">
        <v>3797</v>
      </c>
      <c r="J6993" t="s">
        <v>32737</v>
      </c>
      <c r="K6993" t="s">
        <v>36692</v>
      </c>
      <c r="M6993" t="s">
        <v>39333</v>
      </c>
      <c r="N6993" t="s">
        <v>40436</v>
      </c>
      <c r="O6993" t="s">
        <v>40437</v>
      </c>
      <c r="P6993">
        <v>0</v>
      </c>
      <c r="Q6993">
        <v>0</v>
      </c>
      <c r="R6993" t="s">
        <v>40444</v>
      </c>
      <c r="S6993" t="s">
        <v>40676</v>
      </c>
      <c r="T6993" t="s">
        <v>42443</v>
      </c>
      <c r="U6993" t="s">
        <v>48521</v>
      </c>
      <c r="W6993" t="s">
        <v>39333</v>
      </c>
      <c r="X6993" t="s">
        <v>40445</v>
      </c>
    </row>
    <row r="6994" spans="1:24">
      <c r="A6994">
        <f>HYPERLINK("https://www.philgeps.gov.ph/GEPSNONPILOT/Tender/SplashBidNoticeAbstractUI.aspx?menuIndex=3&amp;refID=7038858&amp;Result=3","7038858")</f>
        <v>0</v>
      </c>
      <c r="B6994" t="s">
        <v>1157</v>
      </c>
      <c r="C6994" t="s">
        <v>9734</v>
      </c>
      <c r="D6994" t="s">
        <v>16193</v>
      </c>
      <c r="E6994" t="s">
        <v>22460</v>
      </c>
      <c r="F6994" t="s">
        <v>28198</v>
      </c>
      <c r="G6994" t="s">
        <v>28205</v>
      </c>
      <c r="H6994" t="s">
        <v>28215</v>
      </c>
      <c r="I6994" t="s">
        <v>28222</v>
      </c>
      <c r="J6994" t="s">
        <v>29503</v>
      </c>
      <c r="K6994" t="s">
        <v>36689</v>
      </c>
      <c r="M6994" t="s">
        <v>38197</v>
      </c>
      <c r="N6994" t="s">
        <v>40436</v>
      </c>
      <c r="O6994" t="s">
        <v>40437</v>
      </c>
      <c r="P6994">
        <v>0</v>
      </c>
      <c r="Q6994">
        <v>1</v>
      </c>
      <c r="R6994" t="s">
        <v>40444</v>
      </c>
      <c r="S6994" t="s">
        <v>40676</v>
      </c>
      <c r="T6994" t="s">
        <v>42184</v>
      </c>
      <c r="U6994" t="s">
        <v>48503</v>
      </c>
      <c r="W6994" t="s">
        <v>55484</v>
      </c>
      <c r="X6994" t="s">
        <v>40445</v>
      </c>
    </row>
    <row r="6995" spans="1:24">
      <c r="A6995">
        <f>HYPERLINK("https://www.philgeps.gov.ph/GEPSNONPILOT/Tender/SplashBidNoticeAbstractUI.aspx?menuIndex=3&amp;refID=7038864&amp;Result=3","7038864")</f>
        <v>0</v>
      </c>
      <c r="B6995" t="s">
        <v>230</v>
      </c>
      <c r="C6995" t="s">
        <v>9735</v>
      </c>
      <c r="D6995" t="s">
        <v>16246</v>
      </c>
      <c r="E6995" t="s">
        <v>22461</v>
      </c>
      <c r="F6995" t="s">
        <v>28198</v>
      </c>
      <c r="G6995" t="s">
        <v>28205</v>
      </c>
      <c r="H6995" t="s">
        <v>28214</v>
      </c>
      <c r="I6995" t="s">
        <v>3797</v>
      </c>
      <c r="J6995" t="s">
        <v>28921</v>
      </c>
      <c r="K6995" t="s">
        <v>36814</v>
      </c>
      <c r="M6995" t="s">
        <v>37206</v>
      </c>
      <c r="N6995" t="s">
        <v>40436</v>
      </c>
      <c r="O6995" t="s">
        <v>40437</v>
      </c>
      <c r="P6995">
        <v>0</v>
      </c>
      <c r="Q6995">
        <v>0</v>
      </c>
      <c r="R6995" t="s">
        <v>40444</v>
      </c>
      <c r="S6995" t="s">
        <v>40676</v>
      </c>
      <c r="T6995" t="s">
        <v>42107</v>
      </c>
      <c r="U6995" t="s">
        <v>48522</v>
      </c>
      <c r="W6995" t="s">
        <v>37206</v>
      </c>
      <c r="X6995" t="s">
        <v>40445</v>
      </c>
    </row>
    <row r="6996" spans="1:24">
      <c r="A6996">
        <f>HYPERLINK("https://www.philgeps.gov.ph/GEPSNONPILOT/Tender/SplashBidNoticeAbstractUI.aspx?menuIndex=3&amp;refID=7038843&amp;Result=3","7038843")</f>
        <v>0</v>
      </c>
      <c r="B6996" t="s">
        <v>2185</v>
      </c>
      <c r="C6996" t="s">
        <v>9736</v>
      </c>
      <c r="D6996" t="s">
        <v>16217</v>
      </c>
      <c r="E6996" t="s">
        <v>22462</v>
      </c>
      <c r="F6996" t="s">
        <v>28198</v>
      </c>
      <c r="G6996" t="s">
        <v>28207</v>
      </c>
      <c r="H6996" t="s">
        <v>28215</v>
      </c>
      <c r="I6996" t="s">
        <v>4222</v>
      </c>
      <c r="J6996" t="s">
        <v>28772</v>
      </c>
      <c r="K6996" t="s">
        <v>36707</v>
      </c>
      <c r="M6996" t="s">
        <v>39349</v>
      </c>
      <c r="N6996" t="s">
        <v>40436</v>
      </c>
      <c r="O6996" t="s">
        <v>40437</v>
      </c>
      <c r="P6996">
        <v>0</v>
      </c>
      <c r="Q6996">
        <v>2</v>
      </c>
      <c r="R6996" t="s">
        <v>40444</v>
      </c>
      <c r="S6996" t="s">
        <v>40676</v>
      </c>
      <c r="T6996" t="s">
        <v>42245</v>
      </c>
      <c r="U6996" t="s">
        <v>48449</v>
      </c>
      <c r="W6996" t="s">
        <v>39349</v>
      </c>
      <c r="X6996" t="s">
        <v>40445</v>
      </c>
    </row>
    <row r="6997" spans="1:24">
      <c r="A6997">
        <f>HYPERLINK("https://www.philgeps.gov.ph/GEPSNONPILOT/Tender/SplashBidNoticeAbstractUI.aspx?menuIndex=3&amp;refID=7038859&amp;Result=3","7038859")</f>
        <v>0</v>
      </c>
      <c r="B6997" t="s">
        <v>773</v>
      </c>
      <c r="C6997" t="s">
        <v>9737</v>
      </c>
      <c r="D6997" t="s">
        <v>16219</v>
      </c>
      <c r="E6997" t="s">
        <v>22463</v>
      </c>
      <c r="F6997" t="s">
        <v>28198</v>
      </c>
      <c r="G6997" t="s">
        <v>28205</v>
      </c>
      <c r="H6997" t="s">
        <v>28215</v>
      </c>
      <c r="I6997" t="s">
        <v>5100</v>
      </c>
      <c r="J6997" t="s">
        <v>32738</v>
      </c>
      <c r="K6997" t="s">
        <v>36706</v>
      </c>
      <c r="M6997" t="s">
        <v>38111</v>
      </c>
      <c r="N6997" t="s">
        <v>40436</v>
      </c>
      <c r="O6997" t="s">
        <v>40437</v>
      </c>
      <c r="P6997">
        <v>0</v>
      </c>
      <c r="Q6997">
        <v>0</v>
      </c>
      <c r="R6997" t="s">
        <v>40444</v>
      </c>
      <c r="S6997" t="s">
        <v>40676</v>
      </c>
      <c r="T6997" t="s">
        <v>42233</v>
      </c>
      <c r="U6997" t="s">
        <v>48523</v>
      </c>
      <c r="W6997" t="s">
        <v>38111</v>
      </c>
      <c r="X6997" t="s">
        <v>40445</v>
      </c>
    </row>
    <row r="6998" spans="1:24">
      <c r="A6998">
        <f>HYPERLINK("https://www.philgeps.gov.ph/GEPSNONPILOT/Tender/SplashBidNoticeAbstractUI.aspx?menuIndex=3&amp;refID=7038868&amp;Result=3","7038868")</f>
        <v>0</v>
      </c>
      <c r="B6998" t="s">
        <v>2200</v>
      </c>
      <c r="C6998" t="s">
        <v>9738</v>
      </c>
      <c r="D6998" t="s">
        <v>16187</v>
      </c>
      <c r="E6998" t="s">
        <v>20028</v>
      </c>
      <c r="F6998" t="s">
        <v>28198</v>
      </c>
      <c r="G6998" t="s">
        <v>28205</v>
      </c>
      <c r="H6998" t="s">
        <v>28215</v>
      </c>
      <c r="I6998" t="s">
        <v>4200</v>
      </c>
      <c r="J6998" t="s">
        <v>32739</v>
      </c>
      <c r="K6998" t="s">
        <v>36689</v>
      </c>
      <c r="M6998" t="s">
        <v>39365</v>
      </c>
      <c r="N6998" t="s">
        <v>40436</v>
      </c>
      <c r="O6998" t="s">
        <v>40437</v>
      </c>
      <c r="P6998">
        <v>0</v>
      </c>
      <c r="Q6998">
        <v>1</v>
      </c>
      <c r="R6998" t="s">
        <v>40444</v>
      </c>
      <c r="S6998" t="s">
        <v>40676</v>
      </c>
      <c r="T6998" t="s">
        <v>42218</v>
      </c>
      <c r="U6998" t="s">
        <v>48524</v>
      </c>
      <c r="W6998" t="s">
        <v>39365</v>
      </c>
      <c r="X6998" t="s">
        <v>40445</v>
      </c>
    </row>
    <row r="6999" spans="1:24">
      <c r="A6999">
        <f>HYPERLINK("https://www.philgeps.gov.ph/GEPSNONPILOT/Tender/SplashBidNoticeAbstractUI.aspx?menuIndex=3&amp;refID=7038856&amp;Result=3","7038856")</f>
        <v>0</v>
      </c>
      <c r="B6999" t="s">
        <v>688</v>
      </c>
      <c r="C6999" t="s">
        <v>9739</v>
      </c>
      <c r="D6999" t="s">
        <v>16230</v>
      </c>
      <c r="E6999" t="s">
        <v>22464</v>
      </c>
      <c r="F6999" t="s">
        <v>28198</v>
      </c>
      <c r="G6999" t="s">
        <v>28206</v>
      </c>
      <c r="H6999" t="s">
        <v>28215</v>
      </c>
      <c r="I6999" t="s">
        <v>28228</v>
      </c>
      <c r="J6999" t="s">
        <v>32740</v>
      </c>
      <c r="K6999" t="s">
        <v>36707</v>
      </c>
      <c r="M6999" t="s">
        <v>37687</v>
      </c>
      <c r="N6999" t="s">
        <v>40436</v>
      </c>
      <c r="O6999" t="s">
        <v>40437</v>
      </c>
      <c r="P6999">
        <v>0</v>
      </c>
      <c r="Q6999">
        <v>0</v>
      </c>
      <c r="R6999" t="s">
        <v>40444</v>
      </c>
      <c r="S6999" t="s">
        <v>40676</v>
      </c>
      <c r="T6999" t="s">
        <v>42218</v>
      </c>
      <c r="U6999" t="s">
        <v>43866</v>
      </c>
      <c r="W6999" t="s">
        <v>37687</v>
      </c>
      <c r="X6999" t="s">
        <v>40445</v>
      </c>
    </row>
    <row r="7000" spans="1:24">
      <c r="A7000">
        <f>HYPERLINK("https://www.philgeps.gov.ph/GEPSNONPILOT/Tender/SplashBidNoticeAbstractUI.aspx?menuIndex=3&amp;refID=7038857&amp;Result=3","7038857")</f>
        <v>0</v>
      </c>
      <c r="B7000" t="s">
        <v>842</v>
      </c>
      <c r="C7000" t="s">
        <v>9740</v>
      </c>
      <c r="D7000" t="s">
        <v>16239</v>
      </c>
      <c r="E7000" t="s">
        <v>22465</v>
      </c>
      <c r="F7000" t="s">
        <v>28198</v>
      </c>
      <c r="G7000" t="s">
        <v>28205</v>
      </c>
      <c r="H7000" t="s">
        <v>28214</v>
      </c>
      <c r="I7000" t="s">
        <v>3797</v>
      </c>
      <c r="J7000" t="s">
        <v>28491</v>
      </c>
      <c r="K7000" t="s">
        <v>36692</v>
      </c>
      <c r="M7000" t="s">
        <v>39333</v>
      </c>
      <c r="N7000" t="s">
        <v>40436</v>
      </c>
      <c r="O7000" t="s">
        <v>40437</v>
      </c>
      <c r="P7000">
        <v>0</v>
      </c>
      <c r="Q7000">
        <v>0</v>
      </c>
      <c r="R7000" t="s">
        <v>40444</v>
      </c>
      <c r="S7000" t="s">
        <v>40676</v>
      </c>
      <c r="T7000" t="s">
        <v>42443</v>
      </c>
      <c r="U7000" t="s">
        <v>48525</v>
      </c>
      <c r="W7000" t="s">
        <v>39333</v>
      </c>
      <c r="X7000" t="s">
        <v>40445</v>
      </c>
    </row>
    <row r="7001" spans="1:24">
      <c r="A7001">
        <f>HYPERLINK("https://www.philgeps.gov.ph/GEPSNONPILOT/Tender/SplashBidNoticeAbstractUI.aspx?menuIndex=3&amp;refID=7038855&amp;Result=3","7038855")</f>
        <v>0</v>
      </c>
      <c r="B7001" t="s">
        <v>2201</v>
      </c>
      <c r="C7001" t="s">
        <v>9741</v>
      </c>
      <c r="D7001" t="s">
        <v>16249</v>
      </c>
      <c r="E7001" t="s">
        <v>22466</v>
      </c>
      <c r="F7001" t="s">
        <v>28198</v>
      </c>
      <c r="G7001" t="s">
        <v>28205</v>
      </c>
      <c r="H7001" t="s">
        <v>28214</v>
      </c>
      <c r="I7001" t="s">
        <v>3797</v>
      </c>
      <c r="J7001" t="s">
        <v>28361</v>
      </c>
      <c r="K7001" t="s">
        <v>36694</v>
      </c>
      <c r="M7001" t="s">
        <v>39366</v>
      </c>
      <c r="N7001" t="s">
        <v>40436</v>
      </c>
      <c r="O7001" t="s">
        <v>40437</v>
      </c>
      <c r="P7001">
        <v>0</v>
      </c>
      <c r="Q7001">
        <v>5</v>
      </c>
      <c r="R7001" t="s">
        <v>40444</v>
      </c>
      <c r="S7001" t="s">
        <v>40676</v>
      </c>
      <c r="T7001" t="s">
        <v>42362</v>
      </c>
      <c r="U7001" t="s">
        <v>48526</v>
      </c>
      <c r="W7001" t="s">
        <v>39366</v>
      </c>
      <c r="X7001" t="s">
        <v>40445</v>
      </c>
    </row>
    <row r="7002" spans="1:24">
      <c r="A7002">
        <f>HYPERLINK("https://www.philgeps.gov.ph/GEPSNONPILOT/Tender/SplashBidNoticeAbstractUI.aspx?menuIndex=3&amp;refID=7038845&amp;Result=3","7038845")</f>
        <v>0</v>
      </c>
      <c r="B7002" t="s">
        <v>1157</v>
      </c>
      <c r="C7002" t="s">
        <v>9742</v>
      </c>
      <c r="D7002" t="s">
        <v>16193</v>
      </c>
      <c r="E7002" t="s">
        <v>22467</v>
      </c>
      <c r="F7002" t="s">
        <v>28198</v>
      </c>
      <c r="G7002" t="s">
        <v>28205</v>
      </c>
      <c r="H7002" t="s">
        <v>28215</v>
      </c>
      <c r="I7002" t="s">
        <v>8888</v>
      </c>
      <c r="J7002" t="s">
        <v>32741</v>
      </c>
      <c r="K7002" t="s">
        <v>36689</v>
      </c>
      <c r="M7002" t="s">
        <v>38197</v>
      </c>
      <c r="N7002" t="s">
        <v>40436</v>
      </c>
      <c r="O7002" t="s">
        <v>40437</v>
      </c>
      <c r="P7002">
        <v>0</v>
      </c>
      <c r="Q7002">
        <v>2</v>
      </c>
      <c r="R7002" t="s">
        <v>40444</v>
      </c>
      <c r="S7002" t="s">
        <v>40676</v>
      </c>
      <c r="T7002" t="s">
        <v>42184</v>
      </c>
      <c r="U7002" t="s">
        <v>48527</v>
      </c>
      <c r="W7002" t="s">
        <v>55484</v>
      </c>
      <c r="X7002" t="s">
        <v>40445</v>
      </c>
    </row>
    <row r="7003" spans="1:24">
      <c r="A7003">
        <f>HYPERLINK("https://www.philgeps.gov.ph/GEPSNONPILOT/Tender/SplashBidNoticeAbstractUI.aspx?menuIndex=3&amp;refID=7038882&amp;Result=3","7038882")</f>
        <v>0</v>
      </c>
      <c r="B7003" t="s">
        <v>2199</v>
      </c>
      <c r="C7003" t="s">
        <v>9743</v>
      </c>
      <c r="D7003" t="s">
        <v>16235</v>
      </c>
      <c r="E7003" t="s">
        <v>22468</v>
      </c>
      <c r="F7003" t="s">
        <v>28198</v>
      </c>
      <c r="G7003" t="s">
        <v>28205</v>
      </c>
      <c r="H7003" t="s">
        <v>28214</v>
      </c>
      <c r="I7003" t="s">
        <v>3797</v>
      </c>
      <c r="J7003" t="s">
        <v>32742</v>
      </c>
      <c r="K7003" t="s">
        <v>36689</v>
      </c>
      <c r="M7003" t="s">
        <v>39364</v>
      </c>
      <c r="N7003" t="s">
        <v>40436</v>
      </c>
      <c r="O7003" t="s">
        <v>40437</v>
      </c>
      <c r="P7003">
        <v>0</v>
      </c>
      <c r="Q7003">
        <v>0</v>
      </c>
      <c r="R7003" t="s">
        <v>40444</v>
      </c>
      <c r="S7003" t="s">
        <v>40676</v>
      </c>
      <c r="T7003" t="s">
        <v>42426</v>
      </c>
      <c r="U7003" t="s">
        <v>48528</v>
      </c>
      <c r="W7003" t="s">
        <v>39364</v>
      </c>
      <c r="X7003" t="s">
        <v>40445</v>
      </c>
    </row>
    <row r="7004" spans="1:24">
      <c r="A7004">
        <f>HYPERLINK("https://www.philgeps.gov.ph/GEPSNONPILOT/Tender/SplashBidNoticeAbstractUI.aspx?menuIndex=3&amp;refID=7038851&amp;Result=3","7038851")</f>
        <v>0</v>
      </c>
      <c r="B7004" t="s">
        <v>2187</v>
      </c>
      <c r="C7004" t="s">
        <v>9744</v>
      </c>
      <c r="D7004" t="s">
        <v>16190</v>
      </c>
      <c r="E7004" t="s">
        <v>16560</v>
      </c>
      <c r="F7004" t="s">
        <v>28198</v>
      </c>
      <c r="G7004" t="s">
        <v>28205</v>
      </c>
      <c r="H7004" t="s">
        <v>28215</v>
      </c>
      <c r="I7004" t="s">
        <v>5100</v>
      </c>
      <c r="J7004" t="s">
        <v>32743</v>
      </c>
      <c r="K7004" t="s">
        <v>36707</v>
      </c>
      <c r="M7004" t="s">
        <v>39352</v>
      </c>
      <c r="N7004" t="s">
        <v>40436</v>
      </c>
      <c r="O7004" t="s">
        <v>40437</v>
      </c>
      <c r="P7004">
        <v>0</v>
      </c>
      <c r="Q7004">
        <v>1</v>
      </c>
      <c r="R7004" t="s">
        <v>40444</v>
      </c>
      <c r="S7004" t="s">
        <v>40676</v>
      </c>
      <c r="T7004" t="s">
        <v>42278</v>
      </c>
      <c r="U7004" t="s">
        <v>48529</v>
      </c>
      <c r="W7004" t="s">
        <v>39352</v>
      </c>
      <c r="X7004" t="s">
        <v>40445</v>
      </c>
    </row>
    <row r="7005" spans="1:24">
      <c r="A7005">
        <f>HYPERLINK("https://www.philgeps.gov.ph/GEPSNONPILOT/Tender/SplashBidNoticeAbstractUI.aspx?menuIndex=3&amp;refID=7038876&amp;Result=3","7038876")</f>
        <v>0</v>
      </c>
      <c r="B7005" t="s">
        <v>2190</v>
      </c>
      <c r="C7005" t="s">
        <v>9745</v>
      </c>
      <c r="D7005" t="s">
        <v>16188</v>
      </c>
      <c r="E7005" t="s">
        <v>22469</v>
      </c>
      <c r="F7005" t="s">
        <v>28198</v>
      </c>
      <c r="G7005" t="s">
        <v>28205</v>
      </c>
      <c r="H7005" t="s">
        <v>28215</v>
      </c>
      <c r="I7005" t="s">
        <v>28228</v>
      </c>
      <c r="J7005" t="s">
        <v>28829</v>
      </c>
      <c r="K7005" t="s">
        <v>36701</v>
      </c>
      <c r="L7005" t="s">
        <v>2190</v>
      </c>
      <c r="M7005" t="s">
        <v>39355</v>
      </c>
      <c r="N7005" t="s">
        <v>40436</v>
      </c>
      <c r="O7005" t="s">
        <v>40437</v>
      </c>
      <c r="P7005">
        <v>0</v>
      </c>
      <c r="Q7005">
        <v>0</v>
      </c>
      <c r="R7005" t="s">
        <v>40444</v>
      </c>
      <c r="S7005" t="s">
        <v>40676</v>
      </c>
      <c r="T7005" t="s">
        <v>42475</v>
      </c>
      <c r="U7005" t="s">
        <v>48530</v>
      </c>
      <c r="W7005" t="s">
        <v>39355</v>
      </c>
      <c r="X7005" t="s">
        <v>40445</v>
      </c>
    </row>
    <row r="7006" spans="1:24">
      <c r="A7006">
        <f>HYPERLINK("https://www.philgeps.gov.ph/GEPSNONPILOT/Tender/SplashBidNoticeAbstractUI.aspx?menuIndex=3&amp;refID=7038905&amp;Result=3","7038905")</f>
        <v>0</v>
      </c>
      <c r="B7006" t="s">
        <v>2177</v>
      </c>
      <c r="C7006" t="s">
        <v>6634</v>
      </c>
      <c r="D7006" t="s">
        <v>16251</v>
      </c>
      <c r="E7006" t="s">
        <v>22470</v>
      </c>
      <c r="F7006" t="s">
        <v>28198</v>
      </c>
      <c r="G7006" t="s">
        <v>28209</v>
      </c>
      <c r="H7006" t="s">
        <v>28215</v>
      </c>
      <c r="I7006" t="s">
        <v>5100</v>
      </c>
      <c r="J7006" t="s">
        <v>32744</v>
      </c>
      <c r="K7006" t="s">
        <v>36707</v>
      </c>
      <c r="M7006" t="s">
        <v>39339</v>
      </c>
      <c r="N7006" t="s">
        <v>40436</v>
      </c>
      <c r="O7006" t="s">
        <v>40437</v>
      </c>
      <c r="Q7006">
        <v>0</v>
      </c>
      <c r="R7006" t="s">
        <v>40444</v>
      </c>
      <c r="S7006" t="s">
        <v>40696</v>
      </c>
      <c r="T7006" t="s">
        <v>42477</v>
      </c>
      <c r="U7006" t="s">
        <v>48531</v>
      </c>
      <c r="W7006" t="s">
        <v>39339</v>
      </c>
      <c r="X7006" t="s">
        <v>40445</v>
      </c>
    </row>
    <row r="7007" spans="1:24">
      <c r="A7007">
        <f>HYPERLINK("https://www.philgeps.gov.ph/GEPSNONPILOT/Tender/SplashBidNoticeAbstractUI.aspx?menuIndex=3&amp;refID=7038849&amp;Result=3","7038849")</f>
        <v>0</v>
      </c>
      <c r="B7007" t="s">
        <v>2190</v>
      </c>
      <c r="C7007" t="s">
        <v>9746</v>
      </c>
      <c r="D7007" t="s">
        <v>16188</v>
      </c>
      <c r="E7007" t="s">
        <v>22471</v>
      </c>
      <c r="F7007" t="s">
        <v>28198</v>
      </c>
      <c r="G7007" t="s">
        <v>28205</v>
      </c>
      <c r="H7007" t="s">
        <v>28215</v>
      </c>
      <c r="I7007" t="s">
        <v>28228</v>
      </c>
      <c r="J7007" t="s">
        <v>28589</v>
      </c>
      <c r="K7007" t="s">
        <v>36701</v>
      </c>
      <c r="L7007" t="s">
        <v>2190</v>
      </c>
      <c r="M7007" t="s">
        <v>39355</v>
      </c>
      <c r="N7007" t="s">
        <v>40436</v>
      </c>
      <c r="O7007" t="s">
        <v>40437</v>
      </c>
      <c r="P7007">
        <v>0</v>
      </c>
      <c r="Q7007">
        <v>0</v>
      </c>
      <c r="R7007" t="s">
        <v>40444</v>
      </c>
      <c r="S7007" t="s">
        <v>40676</v>
      </c>
      <c r="T7007" t="s">
        <v>42475</v>
      </c>
      <c r="U7007" t="s">
        <v>48532</v>
      </c>
      <c r="W7007" t="s">
        <v>39355</v>
      </c>
      <c r="X7007" t="s">
        <v>40445</v>
      </c>
    </row>
    <row r="7008" spans="1:24">
      <c r="A7008">
        <f>HYPERLINK("https://www.philgeps.gov.ph/GEPSNONPILOT/Tender/SplashBidNoticeAbstractUI.aspx?menuIndex=3&amp;refID=7038901&amp;Result=3","7038901")</f>
        <v>0</v>
      </c>
      <c r="B7008" t="s">
        <v>2202</v>
      </c>
      <c r="C7008" t="s">
        <v>9747</v>
      </c>
      <c r="D7008" t="s">
        <v>16230</v>
      </c>
      <c r="E7008" t="s">
        <v>17190</v>
      </c>
      <c r="F7008" t="s">
        <v>28198</v>
      </c>
      <c r="G7008" t="s">
        <v>28207</v>
      </c>
      <c r="H7008" t="s">
        <v>28215</v>
      </c>
      <c r="I7008" t="s">
        <v>28274</v>
      </c>
      <c r="J7008" t="s">
        <v>32745</v>
      </c>
      <c r="K7008" t="s">
        <v>36689</v>
      </c>
      <c r="M7008" t="s">
        <v>39367</v>
      </c>
      <c r="N7008" t="s">
        <v>40436</v>
      </c>
      <c r="O7008" t="s">
        <v>40437</v>
      </c>
      <c r="P7008">
        <v>0</v>
      </c>
      <c r="Q7008">
        <v>0</v>
      </c>
      <c r="R7008" t="s">
        <v>40444</v>
      </c>
      <c r="S7008" t="s">
        <v>40676</v>
      </c>
      <c r="T7008" t="s">
        <v>42185</v>
      </c>
      <c r="U7008" t="s">
        <v>48533</v>
      </c>
      <c r="W7008" t="s">
        <v>39367</v>
      </c>
      <c r="X7008" t="s">
        <v>40445</v>
      </c>
    </row>
    <row r="7009" spans="1:24">
      <c r="A7009">
        <f>HYPERLINK("https://www.philgeps.gov.ph/GEPSNONPILOT/Tender/SplashBidNoticeAbstractUI.aspx?menuIndex=3&amp;refID=7038911&amp;Result=3","7038911")</f>
        <v>0</v>
      </c>
      <c r="B7009" t="s">
        <v>2190</v>
      </c>
      <c r="C7009" t="s">
        <v>9748</v>
      </c>
      <c r="D7009" t="s">
        <v>16188</v>
      </c>
      <c r="E7009" t="s">
        <v>22472</v>
      </c>
      <c r="F7009" t="s">
        <v>28198</v>
      </c>
      <c r="G7009" t="s">
        <v>28205</v>
      </c>
      <c r="H7009" t="s">
        <v>28215</v>
      </c>
      <c r="I7009" t="s">
        <v>3774</v>
      </c>
      <c r="J7009" t="s">
        <v>32746</v>
      </c>
      <c r="K7009" t="s">
        <v>36707</v>
      </c>
      <c r="L7009" t="s">
        <v>2190</v>
      </c>
      <c r="M7009" t="s">
        <v>39355</v>
      </c>
      <c r="N7009" t="s">
        <v>40436</v>
      </c>
      <c r="O7009" t="s">
        <v>40437</v>
      </c>
      <c r="P7009">
        <v>0</v>
      </c>
      <c r="Q7009">
        <v>1</v>
      </c>
      <c r="R7009" t="s">
        <v>40444</v>
      </c>
      <c r="S7009" t="s">
        <v>40676</v>
      </c>
      <c r="T7009" t="s">
        <v>42475</v>
      </c>
      <c r="U7009" t="s">
        <v>48534</v>
      </c>
      <c r="W7009" t="s">
        <v>39355</v>
      </c>
      <c r="X7009" t="s">
        <v>40445</v>
      </c>
    </row>
    <row r="7010" spans="1:24">
      <c r="A7010">
        <f>HYPERLINK("https://www.philgeps.gov.ph/GEPSNONPILOT/Tender/SplashBidNoticeAbstractUI.aspx?menuIndex=3&amp;refID=7038907&amp;Result=3","7038907")</f>
        <v>0</v>
      </c>
      <c r="B7010" t="s">
        <v>2197</v>
      </c>
      <c r="C7010" t="s">
        <v>9749</v>
      </c>
      <c r="D7010" t="s">
        <v>16200</v>
      </c>
      <c r="E7010" t="s">
        <v>22473</v>
      </c>
      <c r="F7010" t="s">
        <v>28198</v>
      </c>
      <c r="G7010" t="s">
        <v>28205</v>
      </c>
      <c r="H7010" t="s">
        <v>28214</v>
      </c>
      <c r="I7010" t="s">
        <v>3797</v>
      </c>
      <c r="J7010" t="s">
        <v>32747</v>
      </c>
      <c r="K7010" t="s">
        <v>36737</v>
      </c>
      <c r="M7010" t="s">
        <v>39362</v>
      </c>
      <c r="N7010" t="s">
        <v>40436</v>
      </c>
      <c r="O7010" t="s">
        <v>40437</v>
      </c>
      <c r="P7010">
        <v>0</v>
      </c>
      <c r="Q7010">
        <v>2</v>
      </c>
      <c r="R7010" t="s">
        <v>40444</v>
      </c>
      <c r="S7010" t="s">
        <v>40676</v>
      </c>
      <c r="T7010" t="s">
        <v>42234</v>
      </c>
      <c r="U7010" t="s">
        <v>48535</v>
      </c>
      <c r="W7010" t="s">
        <v>39362</v>
      </c>
      <c r="X7010" t="s">
        <v>40445</v>
      </c>
    </row>
    <row r="7011" spans="1:24">
      <c r="A7011">
        <f>HYPERLINK("https://www.philgeps.gov.ph/GEPSNONPILOT/Tender/SplashBidNoticeAbstractUI.aspx?menuIndex=3&amp;refID=7038893&amp;Result=3","7038893")</f>
        <v>0</v>
      </c>
      <c r="B7011" t="s">
        <v>2203</v>
      </c>
      <c r="C7011" t="s">
        <v>9750</v>
      </c>
      <c r="D7011" t="s">
        <v>16226</v>
      </c>
      <c r="E7011" t="s">
        <v>9750</v>
      </c>
      <c r="F7011" t="s">
        <v>28198</v>
      </c>
      <c r="G7011" t="s">
        <v>28207</v>
      </c>
      <c r="H7011" t="s">
        <v>28217</v>
      </c>
      <c r="I7011" t="s">
        <v>4168</v>
      </c>
      <c r="J7011" t="s">
        <v>31460</v>
      </c>
      <c r="K7011" t="s">
        <v>36694</v>
      </c>
      <c r="M7011" t="s">
        <v>39368</v>
      </c>
      <c r="N7011" t="s">
        <v>40436</v>
      </c>
      <c r="O7011" t="s">
        <v>40437</v>
      </c>
      <c r="P7011">
        <v>0</v>
      </c>
      <c r="Q7011">
        <v>0</v>
      </c>
      <c r="R7011" t="s">
        <v>40444</v>
      </c>
      <c r="S7011" t="s">
        <v>40676</v>
      </c>
      <c r="T7011" t="s">
        <v>42190</v>
      </c>
      <c r="U7011" t="s">
        <v>48536</v>
      </c>
      <c r="W7011" t="s">
        <v>39368</v>
      </c>
      <c r="X7011" t="s">
        <v>40445</v>
      </c>
    </row>
    <row r="7012" spans="1:24">
      <c r="A7012">
        <f>HYPERLINK("https://www.philgeps.gov.ph/GEPSNONPILOT/Tender/SplashBidNoticeAbstractUI.aspx?menuIndex=3&amp;refID=7038885&amp;Result=3","7038885")</f>
        <v>0</v>
      </c>
      <c r="B7012" t="s">
        <v>1303</v>
      </c>
      <c r="C7012" t="s">
        <v>9751</v>
      </c>
      <c r="D7012" t="s">
        <v>16200</v>
      </c>
      <c r="E7012" t="s">
        <v>22474</v>
      </c>
      <c r="F7012" t="s">
        <v>28198</v>
      </c>
      <c r="G7012" t="s">
        <v>28207</v>
      </c>
      <c r="H7012" t="s">
        <v>28216</v>
      </c>
      <c r="I7012" t="s">
        <v>28216</v>
      </c>
      <c r="J7012" t="s">
        <v>32748</v>
      </c>
      <c r="K7012" t="s">
        <v>36708</v>
      </c>
      <c r="M7012" t="s">
        <v>38357</v>
      </c>
      <c r="N7012" t="s">
        <v>40436</v>
      </c>
      <c r="O7012" t="s">
        <v>40437</v>
      </c>
      <c r="P7012">
        <v>0</v>
      </c>
      <c r="Q7012">
        <v>0</v>
      </c>
      <c r="R7012" t="s">
        <v>40444</v>
      </c>
      <c r="S7012" t="s">
        <v>40676</v>
      </c>
      <c r="T7012" t="s">
        <v>42478</v>
      </c>
      <c r="U7012" t="s">
        <v>48537</v>
      </c>
      <c r="V7012" t="s">
        <v>54511</v>
      </c>
      <c r="W7012" t="s">
        <v>38357</v>
      </c>
      <c r="X7012" t="s">
        <v>40445</v>
      </c>
    </row>
    <row r="7013" spans="1:24">
      <c r="A7013">
        <f>HYPERLINK("https://www.philgeps.gov.ph/GEPSNONPILOT/Tender/SplashBidNoticeAbstractUI.aspx?menuIndex=3&amp;refID=7038913&amp;Result=3","7038913")</f>
        <v>0</v>
      </c>
      <c r="B7013" t="s">
        <v>2204</v>
      </c>
      <c r="C7013" t="s">
        <v>9752</v>
      </c>
      <c r="D7013" t="s">
        <v>16192</v>
      </c>
      <c r="E7013" t="s">
        <v>22475</v>
      </c>
      <c r="F7013" t="s">
        <v>28198</v>
      </c>
      <c r="G7013" t="s">
        <v>28205</v>
      </c>
      <c r="H7013" t="s">
        <v>28214</v>
      </c>
      <c r="I7013" t="s">
        <v>3797</v>
      </c>
      <c r="J7013" t="s">
        <v>32749</v>
      </c>
      <c r="K7013" t="s">
        <v>36697</v>
      </c>
      <c r="M7013" t="s">
        <v>39369</v>
      </c>
      <c r="N7013" t="s">
        <v>40436</v>
      </c>
      <c r="O7013" t="s">
        <v>40437</v>
      </c>
      <c r="P7013">
        <v>0</v>
      </c>
      <c r="Q7013">
        <v>3</v>
      </c>
      <c r="R7013" t="s">
        <v>40444</v>
      </c>
      <c r="S7013" t="s">
        <v>40676</v>
      </c>
      <c r="T7013" t="s">
        <v>42108</v>
      </c>
      <c r="U7013" t="s">
        <v>48538</v>
      </c>
      <c r="W7013" t="s">
        <v>39369</v>
      </c>
      <c r="X7013" t="s">
        <v>40445</v>
      </c>
    </row>
    <row r="7014" spans="1:24">
      <c r="A7014">
        <f>HYPERLINK("https://www.philgeps.gov.ph/GEPSNONPILOT/Tender/SplashBidNoticeAbstractUI.aspx?menuIndex=3&amp;refID=7038897&amp;Result=3","7038897")</f>
        <v>0</v>
      </c>
      <c r="B7014" t="s">
        <v>214</v>
      </c>
      <c r="C7014" t="s">
        <v>9753</v>
      </c>
      <c r="D7014" t="s">
        <v>16251</v>
      </c>
      <c r="E7014" t="s">
        <v>22476</v>
      </c>
      <c r="F7014" t="s">
        <v>28198</v>
      </c>
      <c r="G7014" t="s">
        <v>28205</v>
      </c>
      <c r="H7014" t="s">
        <v>28215</v>
      </c>
      <c r="I7014" t="s">
        <v>28222</v>
      </c>
      <c r="J7014" t="s">
        <v>32750</v>
      </c>
      <c r="K7014" t="s">
        <v>36697</v>
      </c>
      <c r="M7014" t="s">
        <v>37190</v>
      </c>
      <c r="N7014" t="s">
        <v>40436</v>
      </c>
      <c r="O7014" t="s">
        <v>40437</v>
      </c>
      <c r="P7014">
        <v>0</v>
      </c>
      <c r="Q7014">
        <v>3</v>
      </c>
      <c r="R7014" t="s">
        <v>40444</v>
      </c>
      <c r="S7014" t="s">
        <v>40676</v>
      </c>
      <c r="T7014" t="s">
        <v>42248</v>
      </c>
      <c r="U7014" t="s">
        <v>48539</v>
      </c>
      <c r="W7014" t="s">
        <v>37190</v>
      </c>
      <c r="X7014" t="s">
        <v>40445</v>
      </c>
    </row>
    <row r="7015" spans="1:24">
      <c r="A7015">
        <f>HYPERLINK("https://www.philgeps.gov.ph/GEPSNONPILOT/Tender/SplashBidNoticeAbstractUI.aspx?menuIndex=3&amp;refID=7038908&amp;Result=3","7038908")</f>
        <v>0</v>
      </c>
      <c r="B7015" t="s">
        <v>469</v>
      </c>
      <c r="C7015" t="s">
        <v>9754</v>
      </c>
      <c r="D7015" t="s">
        <v>16235</v>
      </c>
      <c r="E7015" t="s">
        <v>22477</v>
      </c>
      <c r="F7015" t="s">
        <v>28198</v>
      </c>
      <c r="G7015" t="s">
        <v>28207</v>
      </c>
      <c r="H7015" t="s">
        <v>28215</v>
      </c>
      <c r="I7015" t="s">
        <v>28234</v>
      </c>
      <c r="J7015" t="s">
        <v>28687</v>
      </c>
      <c r="K7015" t="s">
        <v>36693</v>
      </c>
      <c r="M7015" t="s">
        <v>37454</v>
      </c>
      <c r="N7015" t="s">
        <v>40436</v>
      </c>
      <c r="O7015" t="s">
        <v>40437</v>
      </c>
      <c r="P7015">
        <v>0</v>
      </c>
      <c r="Q7015">
        <v>2</v>
      </c>
      <c r="R7015" t="s">
        <v>40444</v>
      </c>
      <c r="S7015" t="s">
        <v>40676</v>
      </c>
      <c r="T7015" t="s">
        <v>42185</v>
      </c>
      <c r="U7015" t="s">
        <v>43423</v>
      </c>
      <c r="W7015" t="s">
        <v>37454</v>
      </c>
      <c r="X7015" t="s">
        <v>40445</v>
      </c>
    </row>
    <row r="7016" spans="1:24">
      <c r="A7016">
        <f>HYPERLINK("https://www.philgeps.gov.ph/GEPSNONPILOT/Tender/SplashBidNoticeAbstractUI.aspx?menuIndex=3&amp;refID=7038886&amp;Result=3","7038886")</f>
        <v>0</v>
      </c>
      <c r="B7016" t="s">
        <v>842</v>
      </c>
      <c r="C7016" t="s">
        <v>9755</v>
      </c>
      <c r="D7016" t="s">
        <v>16239</v>
      </c>
      <c r="E7016" t="s">
        <v>22478</v>
      </c>
      <c r="F7016" t="s">
        <v>28198</v>
      </c>
      <c r="G7016" t="s">
        <v>28205</v>
      </c>
      <c r="H7016" t="s">
        <v>28214</v>
      </c>
      <c r="I7016" t="s">
        <v>3797</v>
      </c>
      <c r="J7016" t="s">
        <v>32751</v>
      </c>
      <c r="K7016" t="s">
        <v>36692</v>
      </c>
      <c r="M7016" t="s">
        <v>39333</v>
      </c>
      <c r="N7016" t="s">
        <v>40436</v>
      </c>
      <c r="O7016" t="s">
        <v>40437</v>
      </c>
      <c r="P7016">
        <v>0</v>
      </c>
      <c r="Q7016">
        <v>0</v>
      </c>
      <c r="R7016" t="s">
        <v>40444</v>
      </c>
      <c r="S7016" t="s">
        <v>40676</v>
      </c>
      <c r="T7016" t="s">
        <v>42443</v>
      </c>
      <c r="U7016" t="s">
        <v>48540</v>
      </c>
      <c r="W7016" t="s">
        <v>39333</v>
      </c>
      <c r="X7016" t="s">
        <v>40445</v>
      </c>
    </row>
    <row r="7017" spans="1:24">
      <c r="A7017">
        <f>HYPERLINK("https://www.philgeps.gov.ph/GEPSNONPILOT/Tender/SplashBidNoticeAbstractUI.aspx?menuIndex=3&amp;refID=7038909&amp;Result=3","7038909")</f>
        <v>0</v>
      </c>
      <c r="B7017" t="s">
        <v>1215</v>
      </c>
      <c r="C7017" t="s">
        <v>9756</v>
      </c>
      <c r="D7017" t="s">
        <v>16238</v>
      </c>
      <c r="E7017" t="s">
        <v>22479</v>
      </c>
      <c r="F7017" t="s">
        <v>28198</v>
      </c>
      <c r="G7017" t="s">
        <v>28205</v>
      </c>
      <c r="H7017" t="s">
        <v>28214</v>
      </c>
      <c r="I7017" t="s">
        <v>3797</v>
      </c>
      <c r="J7017" t="s">
        <v>32752</v>
      </c>
      <c r="K7017" t="s">
        <v>36852</v>
      </c>
      <c r="M7017" t="s">
        <v>39334</v>
      </c>
      <c r="N7017" t="s">
        <v>40436</v>
      </c>
      <c r="O7017" t="s">
        <v>40437</v>
      </c>
      <c r="P7017">
        <v>0</v>
      </c>
      <c r="Q7017">
        <v>0</v>
      </c>
      <c r="R7017" t="s">
        <v>40444</v>
      </c>
      <c r="S7017" t="s">
        <v>40676</v>
      </c>
      <c r="T7017" t="s">
        <v>42457</v>
      </c>
      <c r="U7017" t="s">
        <v>48541</v>
      </c>
      <c r="W7017" t="s">
        <v>39334</v>
      </c>
      <c r="X7017" t="s">
        <v>40445</v>
      </c>
    </row>
    <row r="7018" spans="1:24">
      <c r="A7018">
        <f>HYPERLINK("https://www.philgeps.gov.ph/GEPSNONPILOT/Tender/SplashBidNoticeAbstractUI.aspx?menuIndex=3&amp;refID=7038883&amp;Result=3","7038883")</f>
        <v>0</v>
      </c>
      <c r="B7018" t="s">
        <v>688</v>
      </c>
      <c r="C7018" t="s">
        <v>9757</v>
      </c>
      <c r="D7018" t="s">
        <v>16230</v>
      </c>
      <c r="E7018" t="s">
        <v>22480</v>
      </c>
      <c r="F7018" t="s">
        <v>28198</v>
      </c>
      <c r="G7018" t="s">
        <v>28206</v>
      </c>
      <c r="H7018" t="s">
        <v>28215</v>
      </c>
      <c r="I7018" t="s">
        <v>4219</v>
      </c>
      <c r="J7018" t="s">
        <v>28414</v>
      </c>
      <c r="K7018" t="s">
        <v>36701</v>
      </c>
      <c r="M7018" t="s">
        <v>37687</v>
      </c>
      <c r="N7018" t="s">
        <v>40436</v>
      </c>
      <c r="O7018" t="s">
        <v>40437</v>
      </c>
      <c r="P7018">
        <v>0</v>
      </c>
      <c r="Q7018">
        <v>0</v>
      </c>
      <c r="R7018" t="s">
        <v>40444</v>
      </c>
      <c r="S7018" t="s">
        <v>40676</v>
      </c>
      <c r="T7018" t="s">
        <v>42218</v>
      </c>
      <c r="U7018" t="s">
        <v>43866</v>
      </c>
      <c r="W7018" t="s">
        <v>37687</v>
      </c>
      <c r="X7018" t="s">
        <v>40445</v>
      </c>
    </row>
    <row r="7019" spans="1:24">
      <c r="A7019">
        <f>HYPERLINK("https://www.philgeps.gov.ph/GEPSNONPILOT/Tender/SplashBidNoticeAbstractUI.aspx?menuIndex=3&amp;refID=7038924&amp;Result=3","7038924")</f>
        <v>0</v>
      </c>
      <c r="B7019" t="s">
        <v>171</v>
      </c>
      <c r="C7019" t="s">
        <v>9758</v>
      </c>
      <c r="E7019" t="s">
        <v>22481</v>
      </c>
      <c r="F7019" t="s">
        <v>28198</v>
      </c>
      <c r="G7019" t="s">
        <v>28207</v>
      </c>
      <c r="H7019" t="s">
        <v>28215</v>
      </c>
      <c r="I7019" t="s">
        <v>28236</v>
      </c>
      <c r="J7019" t="s">
        <v>28378</v>
      </c>
      <c r="K7019" t="s">
        <v>36701</v>
      </c>
      <c r="M7019" t="s">
        <v>37145</v>
      </c>
      <c r="N7019" t="s">
        <v>40436</v>
      </c>
      <c r="O7019" t="s">
        <v>40437</v>
      </c>
      <c r="P7019">
        <v>0</v>
      </c>
      <c r="Q7019">
        <v>1</v>
      </c>
      <c r="R7019" t="s">
        <v>40444</v>
      </c>
      <c r="S7019" t="s">
        <v>40676</v>
      </c>
      <c r="T7019" t="s">
        <v>42167</v>
      </c>
      <c r="U7019" t="s">
        <v>48542</v>
      </c>
      <c r="V7019" t="s">
        <v>53823</v>
      </c>
      <c r="W7019" t="s">
        <v>39085</v>
      </c>
      <c r="X7019" t="s">
        <v>40445</v>
      </c>
    </row>
    <row r="7020" spans="1:24">
      <c r="A7020">
        <f>HYPERLINK("https://www.philgeps.gov.ph/GEPSNONPILOT/Tender/SplashBidNoticeAbstractUI.aspx?menuIndex=3&amp;refID=7038919&amp;Result=3","7038919")</f>
        <v>0</v>
      </c>
      <c r="B7020" t="s">
        <v>2194</v>
      </c>
      <c r="C7020" t="s">
        <v>9759</v>
      </c>
      <c r="D7020" t="s">
        <v>16212</v>
      </c>
      <c r="E7020" t="s">
        <v>22482</v>
      </c>
      <c r="F7020" t="s">
        <v>28198</v>
      </c>
      <c r="G7020" t="s">
        <v>28206</v>
      </c>
      <c r="H7020" t="s">
        <v>28215</v>
      </c>
      <c r="I7020" t="s">
        <v>5631</v>
      </c>
      <c r="J7020" t="s">
        <v>32753</v>
      </c>
      <c r="K7020" t="s">
        <v>36701</v>
      </c>
      <c r="M7020" t="s">
        <v>39359</v>
      </c>
      <c r="N7020" t="s">
        <v>40436</v>
      </c>
      <c r="O7020" t="s">
        <v>40437</v>
      </c>
      <c r="P7020">
        <v>0</v>
      </c>
      <c r="Q7020">
        <v>0</v>
      </c>
      <c r="R7020" t="s">
        <v>40444</v>
      </c>
      <c r="S7020" t="s">
        <v>40676</v>
      </c>
      <c r="T7020" t="s">
        <v>42184</v>
      </c>
      <c r="U7020" t="s">
        <v>48502</v>
      </c>
      <c r="W7020" t="s">
        <v>39359</v>
      </c>
      <c r="X7020" t="s">
        <v>40445</v>
      </c>
    </row>
    <row r="7021" spans="1:24">
      <c r="A7021">
        <f>HYPERLINK("https://www.philgeps.gov.ph/GEPSNONPILOT/Tender/SplashBidNoticeAbstractUI.aspx?menuIndex=3&amp;refID=7038914&amp;Result=3","7038914")</f>
        <v>0</v>
      </c>
      <c r="B7021" t="s">
        <v>230</v>
      </c>
      <c r="C7021" t="s">
        <v>9760</v>
      </c>
      <c r="D7021" t="s">
        <v>16246</v>
      </c>
      <c r="E7021" t="s">
        <v>22483</v>
      </c>
      <c r="F7021" t="s">
        <v>28198</v>
      </c>
      <c r="G7021" t="s">
        <v>28205</v>
      </c>
      <c r="H7021" t="s">
        <v>28214</v>
      </c>
      <c r="I7021" t="s">
        <v>3797</v>
      </c>
      <c r="J7021" t="s">
        <v>28699</v>
      </c>
      <c r="K7021" t="s">
        <v>36724</v>
      </c>
      <c r="M7021" t="s">
        <v>37206</v>
      </c>
      <c r="N7021" t="s">
        <v>40436</v>
      </c>
      <c r="O7021" t="s">
        <v>40437</v>
      </c>
      <c r="P7021">
        <v>0</v>
      </c>
      <c r="Q7021">
        <v>0</v>
      </c>
      <c r="R7021" t="s">
        <v>40444</v>
      </c>
      <c r="S7021" t="s">
        <v>40676</v>
      </c>
      <c r="T7021" t="s">
        <v>42308</v>
      </c>
      <c r="U7021" t="s">
        <v>48543</v>
      </c>
      <c r="W7021" t="s">
        <v>37206</v>
      </c>
      <c r="X7021" t="s">
        <v>40445</v>
      </c>
    </row>
    <row r="7022" spans="1:24">
      <c r="A7022">
        <f>HYPERLINK("https://www.philgeps.gov.ph/GEPSNONPILOT/Tender/SplashBidNoticeAbstractUI.aspx?menuIndex=3&amp;refID=7038932&amp;Result=3","7038932")</f>
        <v>0</v>
      </c>
      <c r="B7022" t="s">
        <v>2205</v>
      </c>
      <c r="C7022" t="s">
        <v>9761</v>
      </c>
      <c r="D7022" t="s">
        <v>16187</v>
      </c>
      <c r="E7022" t="s">
        <v>22484</v>
      </c>
      <c r="F7022" t="s">
        <v>28198</v>
      </c>
      <c r="G7022" t="s">
        <v>28205</v>
      </c>
      <c r="H7022" t="s">
        <v>28214</v>
      </c>
      <c r="I7022" t="s">
        <v>3797</v>
      </c>
      <c r="J7022" t="s">
        <v>29598</v>
      </c>
      <c r="K7022" t="s">
        <v>36715</v>
      </c>
      <c r="M7022" t="s">
        <v>39370</v>
      </c>
      <c r="N7022" t="s">
        <v>40436</v>
      </c>
      <c r="O7022" t="s">
        <v>40437</v>
      </c>
      <c r="P7022">
        <v>0</v>
      </c>
      <c r="Q7022">
        <v>0</v>
      </c>
      <c r="R7022" t="s">
        <v>40444</v>
      </c>
      <c r="S7022" t="s">
        <v>40676</v>
      </c>
      <c r="T7022" t="s">
        <v>42279</v>
      </c>
      <c r="U7022" t="s">
        <v>48544</v>
      </c>
      <c r="V7022" t="s">
        <v>54512</v>
      </c>
      <c r="W7022" t="s">
        <v>39370</v>
      </c>
      <c r="X7022" t="s">
        <v>40445</v>
      </c>
    </row>
    <row r="7023" spans="1:24">
      <c r="A7023">
        <f>HYPERLINK("https://www.philgeps.gov.ph/GEPSNONPILOT/Tender/SplashBidNoticeAbstractUI.aspx?menuIndex=3&amp;refID=7038923&amp;Result=3","7038923")</f>
        <v>0</v>
      </c>
      <c r="B7023" t="s">
        <v>1210</v>
      </c>
      <c r="C7023" t="s">
        <v>9762</v>
      </c>
      <c r="D7023" t="s">
        <v>16230</v>
      </c>
      <c r="E7023" t="s">
        <v>22485</v>
      </c>
      <c r="F7023" t="s">
        <v>28198</v>
      </c>
      <c r="G7023" t="s">
        <v>28207</v>
      </c>
      <c r="H7023" t="s">
        <v>28215</v>
      </c>
      <c r="I7023" t="s">
        <v>28258</v>
      </c>
      <c r="J7023" t="s">
        <v>32754</v>
      </c>
      <c r="K7023" t="s">
        <v>36697</v>
      </c>
      <c r="M7023" t="s">
        <v>38255</v>
      </c>
      <c r="N7023" t="s">
        <v>40436</v>
      </c>
      <c r="O7023" t="s">
        <v>40437</v>
      </c>
      <c r="P7023">
        <v>0</v>
      </c>
      <c r="Q7023">
        <v>4</v>
      </c>
      <c r="R7023" t="s">
        <v>40444</v>
      </c>
      <c r="S7023" t="s">
        <v>40676</v>
      </c>
      <c r="T7023" t="s">
        <v>42245</v>
      </c>
      <c r="U7023" t="s">
        <v>48545</v>
      </c>
      <c r="W7023" t="s">
        <v>55476</v>
      </c>
      <c r="X7023" t="s">
        <v>40445</v>
      </c>
    </row>
    <row r="7024" spans="1:24">
      <c r="A7024">
        <f>HYPERLINK("https://www.philgeps.gov.ph/GEPSNONPILOT/Tender/SplashBidNoticeAbstractUI.aspx?menuIndex=3&amp;refID=7038916&amp;Result=3","7038916")</f>
        <v>0</v>
      </c>
      <c r="B7024" t="s">
        <v>766</v>
      </c>
      <c r="C7024" t="s">
        <v>9763</v>
      </c>
      <c r="D7024" t="s">
        <v>16219</v>
      </c>
      <c r="E7024" t="s">
        <v>22486</v>
      </c>
      <c r="F7024" t="s">
        <v>28198</v>
      </c>
      <c r="G7024" t="s">
        <v>28207</v>
      </c>
      <c r="H7024" t="s">
        <v>28215</v>
      </c>
      <c r="I7024" t="s">
        <v>28274</v>
      </c>
      <c r="J7024" t="s">
        <v>32755</v>
      </c>
      <c r="K7024" t="s">
        <v>36707</v>
      </c>
      <c r="M7024" t="s">
        <v>37769</v>
      </c>
      <c r="N7024" t="s">
        <v>40436</v>
      </c>
      <c r="O7024" t="s">
        <v>40437</v>
      </c>
      <c r="P7024">
        <v>0</v>
      </c>
      <c r="Q7024">
        <v>0</v>
      </c>
      <c r="R7024" t="s">
        <v>40444</v>
      </c>
      <c r="S7024" t="s">
        <v>40676</v>
      </c>
      <c r="T7024" t="s">
        <v>42185</v>
      </c>
      <c r="U7024" t="s">
        <v>48546</v>
      </c>
      <c r="W7024" t="s">
        <v>37769</v>
      </c>
      <c r="X7024" t="s">
        <v>40445</v>
      </c>
    </row>
    <row r="7025" spans="1:24">
      <c r="A7025">
        <f>HYPERLINK("https://www.philgeps.gov.ph/GEPSNONPILOT/Tender/SplashBidNoticeAbstractUI.aspx?menuIndex=3&amp;refID=7038935&amp;Result=3","7038935")</f>
        <v>0</v>
      </c>
      <c r="B7025" t="s">
        <v>2206</v>
      </c>
      <c r="C7025" t="s">
        <v>9764</v>
      </c>
      <c r="D7025" t="s">
        <v>16207</v>
      </c>
      <c r="E7025" t="s">
        <v>22487</v>
      </c>
      <c r="F7025" t="s">
        <v>28198</v>
      </c>
      <c r="G7025" t="s">
        <v>28205</v>
      </c>
      <c r="H7025" t="s">
        <v>28214</v>
      </c>
      <c r="I7025" t="s">
        <v>8870</v>
      </c>
      <c r="J7025" t="s">
        <v>28804</v>
      </c>
      <c r="K7025" t="s">
        <v>36694</v>
      </c>
      <c r="M7025" t="s">
        <v>39371</v>
      </c>
      <c r="N7025" t="s">
        <v>40436</v>
      </c>
      <c r="O7025" t="s">
        <v>40437</v>
      </c>
      <c r="P7025">
        <v>0</v>
      </c>
      <c r="Q7025">
        <v>1</v>
      </c>
      <c r="R7025" t="s">
        <v>40444</v>
      </c>
      <c r="S7025" t="s">
        <v>40676</v>
      </c>
      <c r="T7025" t="s">
        <v>42185</v>
      </c>
      <c r="U7025" t="s">
        <v>48547</v>
      </c>
      <c r="W7025" t="s">
        <v>39371</v>
      </c>
      <c r="X7025" t="s">
        <v>40445</v>
      </c>
    </row>
    <row r="7026" spans="1:24">
      <c r="A7026">
        <f>HYPERLINK("https://www.philgeps.gov.ph/GEPSNONPILOT/Tender/SplashBidNoticeAbstractUI.aspx?menuIndex=3&amp;refID=7038946&amp;Result=3","7038946")</f>
        <v>0</v>
      </c>
      <c r="B7026" t="s">
        <v>2183</v>
      </c>
      <c r="C7026" t="s">
        <v>9765</v>
      </c>
      <c r="D7026" t="s">
        <v>16266</v>
      </c>
      <c r="E7026" t="s">
        <v>22488</v>
      </c>
      <c r="F7026" t="s">
        <v>28198</v>
      </c>
      <c r="G7026" t="s">
        <v>28205</v>
      </c>
      <c r="H7026" t="s">
        <v>28215</v>
      </c>
      <c r="I7026" t="s">
        <v>5082</v>
      </c>
      <c r="J7026" t="s">
        <v>32756</v>
      </c>
      <c r="K7026" t="s">
        <v>36706</v>
      </c>
      <c r="M7026" t="s">
        <v>39347</v>
      </c>
      <c r="N7026" t="s">
        <v>40436</v>
      </c>
      <c r="O7026" t="s">
        <v>40437</v>
      </c>
      <c r="P7026">
        <v>0</v>
      </c>
      <c r="Q7026">
        <v>1</v>
      </c>
      <c r="R7026" t="s">
        <v>40444</v>
      </c>
      <c r="S7026" t="s">
        <v>40676</v>
      </c>
      <c r="T7026" t="s">
        <v>42145</v>
      </c>
      <c r="U7026" t="s">
        <v>48439</v>
      </c>
      <c r="W7026" t="s">
        <v>39347</v>
      </c>
      <c r="X7026" t="s">
        <v>40445</v>
      </c>
    </row>
    <row r="7027" spans="1:24">
      <c r="A7027">
        <f>HYPERLINK("https://www.philgeps.gov.ph/GEPSNONPILOT/Tender/SplashBidNoticeAbstractUI.aspx?menuIndex=3&amp;refID=7038943&amp;Result=3","7038943")</f>
        <v>0</v>
      </c>
      <c r="B7027" t="s">
        <v>1528</v>
      </c>
      <c r="C7027" t="s">
        <v>9766</v>
      </c>
      <c r="D7027" t="s">
        <v>16230</v>
      </c>
      <c r="E7027" t="s">
        <v>22489</v>
      </c>
      <c r="F7027" t="s">
        <v>28198</v>
      </c>
      <c r="G7027" t="s">
        <v>28205</v>
      </c>
      <c r="H7027" t="s">
        <v>28215</v>
      </c>
      <c r="I7027" t="s">
        <v>28234</v>
      </c>
      <c r="J7027" t="s">
        <v>29291</v>
      </c>
      <c r="K7027" t="s">
        <v>36707</v>
      </c>
      <c r="M7027" t="s">
        <v>38606</v>
      </c>
      <c r="N7027" t="s">
        <v>40436</v>
      </c>
      <c r="O7027" t="s">
        <v>40437</v>
      </c>
      <c r="P7027">
        <v>0</v>
      </c>
      <c r="Q7027">
        <v>2</v>
      </c>
      <c r="R7027" t="s">
        <v>40444</v>
      </c>
      <c r="S7027" t="s">
        <v>40676</v>
      </c>
      <c r="T7027" t="s">
        <v>42426</v>
      </c>
      <c r="U7027" t="s">
        <v>48548</v>
      </c>
      <c r="W7027" t="s">
        <v>38606</v>
      </c>
      <c r="X7027" t="s">
        <v>40445</v>
      </c>
    </row>
    <row r="7028" spans="1:24">
      <c r="A7028">
        <f>HYPERLINK("https://www.philgeps.gov.ph/GEPSNONPILOT/Tender/SplashBidNoticeAbstractUI.aspx?menuIndex=3&amp;refID=7038985&amp;Result=3","7038985")</f>
        <v>0</v>
      </c>
      <c r="B7028" t="s">
        <v>230</v>
      </c>
      <c r="C7028" t="s">
        <v>9767</v>
      </c>
      <c r="D7028" t="s">
        <v>16246</v>
      </c>
      <c r="E7028" t="s">
        <v>22490</v>
      </c>
      <c r="F7028" t="s">
        <v>28198</v>
      </c>
      <c r="G7028" t="s">
        <v>28205</v>
      </c>
      <c r="H7028" t="s">
        <v>28214</v>
      </c>
      <c r="I7028" t="s">
        <v>3797</v>
      </c>
      <c r="J7028" t="s">
        <v>28351</v>
      </c>
      <c r="K7028" t="s">
        <v>36694</v>
      </c>
      <c r="M7028" t="s">
        <v>37206</v>
      </c>
      <c r="N7028" t="s">
        <v>40436</v>
      </c>
      <c r="O7028" t="s">
        <v>40437</v>
      </c>
      <c r="P7028">
        <v>0</v>
      </c>
      <c r="Q7028">
        <v>0</v>
      </c>
      <c r="R7028" t="s">
        <v>40444</v>
      </c>
      <c r="S7028" t="s">
        <v>40676</v>
      </c>
      <c r="T7028" t="s">
        <v>42241</v>
      </c>
      <c r="U7028" t="s">
        <v>48549</v>
      </c>
      <c r="W7028" t="s">
        <v>37206</v>
      </c>
      <c r="X7028" t="s">
        <v>40445</v>
      </c>
    </row>
    <row r="7029" spans="1:24">
      <c r="A7029">
        <f>HYPERLINK("https://www.philgeps.gov.ph/GEPSNONPILOT/Tender/SplashBidNoticeAbstractUI.aspx?menuIndex=3&amp;refID=7038947&amp;Result=3","7038947")</f>
        <v>0</v>
      </c>
      <c r="B7029" t="s">
        <v>2207</v>
      </c>
      <c r="C7029" t="s">
        <v>9768</v>
      </c>
      <c r="D7029" t="s">
        <v>16210</v>
      </c>
      <c r="E7029" t="s">
        <v>22491</v>
      </c>
      <c r="F7029" t="s">
        <v>28198</v>
      </c>
      <c r="G7029" t="s">
        <v>28207</v>
      </c>
      <c r="H7029" t="s">
        <v>28215</v>
      </c>
      <c r="I7029" t="s">
        <v>28234</v>
      </c>
      <c r="J7029" t="s">
        <v>29356</v>
      </c>
      <c r="K7029" t="s">
        <v>36706</v>
      </c>
      <c r="M7029" t="s">
        <v>39372</v>
      </c>
      <c r="N7029" t="s">
        <v>40436</v>
      </c>
      <c r="O7029" t="s">
        <v>40437</v>
      </c>
      <c r="P7029">
        <v>0</v>
      </c>
      <c r="Q7029">
        <v>4</v>
      </c>
      <c r="R7029" t="s">
        <v>40444</v>
      </c>
      <c r="S7029" t="s">
        <v>40676</v>
      </c>
      <c r="T7029" t="s">
        <v>42233</v>
      </c>
      <c r="U7029" t="s">
        <v>48550</v>
      </c>
      <c r="W7029" t="s">
        <v>39372</v>
      </c>
      <c r="X7029" t="s">
        <v>40445</v>
      </c>
    </row>
    <row r="7030" spans="1:24">
      <c r="A7030">
        <f>HYPERLINK("https://www.philgeps.gov.ph/GEPSNONPILOT/Tender/SplashBidNoticeAbstractUI.aspx?menuIndex=3&amp;refID=7038975&amp;Result=3","7038975")</f>
        <v>0</v>
      </c>
      <c r="B7030" t="s">
        <v>2186</v>
      </c>
      <c r="C7030" t="s">
        <v>9769</v>
      </c>
      <c r="D7030" t="s">
        <v>16268</v>
      </c>
      <c r="E7030" t="s">
        <v>22492</v>
      </c>
      <c r="F7030" t="s">
        <v>28198</v>
      </c>
      <c r="G7030" t="s">
        <v>28205</v>
      </c>
      <c r="H7030" t="s">
        <v>28215</v>
      </c>
      <c r="I7030" t="s">
        <v>3797</v>
      </c>
      <c r="J7030" t="s">
        <v>32757</v>
      </c>
      <c r="K7030" t="s">
        <v>36715</v>
      </c>
      <c r="M7030" t="s">
        <v>39350</v>
      </c>
      <c r="N7030" t="s">
        <v>40436</v>
      </c>
      <c r="O7030" t="s">
        <v>40437</v>
      </c>
      <c r="P7030">
        <v>0</v>
      </c>
      <c r="Q7030">
        <v>2</v>
      </c>
      <c r="R7030" t="s">
        <v>40444</v>
      </c>
      <c r="S7030" t="s">
        <v>40676</v>
      </c>
      <c r="T7030" t="s">
        <v>42278</v>
      </c>
      <c r="U7030" t="s">
        <v>48551</v>
      </c>
      <c r="V7030" t="s">
        <v>54513</v>
      </c>
      <c r="W7030" t="s">
        <v>39350</v>
      </c>
      <c r="X7030" t="s">
        <v>40445</v>
      </c>
    </row>
    <row r="7031" spans="1:24">
      <c r="A7031">
        <f>HYPERLINK("https://www.philgeps.gov.ph/GEPSNONPILOT/Tender/SplashBidNoticeAbstractUI.aspx?menuIndex=3&amp;refID=7038979&amp;Result=3","7038979")</f>
        <v>0</v>
      </c>
      <c r="B7031" t="s">
        <v>2208</v>
      </c>
      <c r="C7031" t="s">
        <v>9770</v>
      </c>
      <c r="D7031" t="s">
        <v>16237</v>
      </c>
      <c r="E7031" t="s">
        <v>16494</v>
      </c>
      <c r="F7031" t="s">
        <v>28198</v>
      </c>
      <c r="G7031" t="s">
        <v>28205</v>
      </c>
      <c r="H7031" t="s">
        <v>28214</v>
      </c>
      <c r="I7031" t="s">
        <v>3797</v>
      </c>
      <c r="J7031" t="s">
        <v>28406</v>
      </c>
      <c r="K7031" t="s">
        <v>36701</v>
      </c>
      <c r="M7031" t="s">
        <v>39373</v>
      </c>
      <c r="N7031" t="s">
        <v>40436</v>
      </c>
      <c r="O7031" t="s">
        <v>40437</v>
      </c>
      <c r="P7031">
        <v>0</v>
      </c>
      <c r="Q7031">
        <v>0</v>
      </c>
      <c r="R7031" t="s">
        <v>40444</v>
      </c>
      <c r="S7031" t="s">
        <v>40676</v>
      </c>
      <c r="T7031" t="s">
        <v>42432</v>
      </c>
      <c r="U7031" t="s">
        <v>48552</v>
      </c>
      <c r="W7031" t="s">
        <v>39373</v>
      </c>
      <c r="X7031" t="s">
        <v>40445</v>
      </c>
    </row>
    <row r="7032" spans="1:24">
      <c r="A7032">
        <f>HYPERLINK("https://www.philgeps.gov.ph/GEPSNONPILOT/Tender/SplashBidNoticeAbstractUI.aspx?menuIndex=3&amp;refID=7038965&amp;Result=3","7038965")</f>
        <v>0</v>
      </c>
      <c r="B7032" t="s">
        <v>1157</v>
      </c>
      <c r="C7032" t="s">
        <v>9771</v>
      </c>
      <c r="D7032" t="s">
        <v>16193</v>
      </c>
      <c r="E7032" t="s">
        <v>22493</v>
      </c>
      <c r="F7032" t="s">
        <v>28198</v>
      </c>
      <c r="G7032" t="s">
        <v>28209</v>
      </c>
      <c r="H7032" t="s">
        <v>28215</v>
      </c>
      <c r="I7032" t="s">
        <v>4321</v>
      </c>
      <c r="J7032" t="s">
        <v>32758</v>
      </c>
      <c r="K7032" t="s">
        <v>36689</v>
      </c>
      <c r="M7032" t="s">
        <v>38197</v>
      </c>
      <c r="N7032" t="s">
        <v>40436</v>
      </c>
      <c r="O7032" t="s">
        <v>40437</v>
      </c>
      <c r="P7032">
        <v>0</v>
      </c>
      <c r="Q7032">
        <v>1</v>
      </c>
      <c r="R7032" t="s">
        <v>40444</v>
      </c>
      <c r="S7032" t="s">
        <v>40676</v>
      </c>
      <c r="T7032" t="s">
        <v>42184</v>
      </c>
      <c r="U7032" t="s">
        <v>48553</v>
      </c>
      <c r="W7032" t="s">
        <v>55484</v>
      </c>
      <c r="X7032" t="s">
        <v>40445</v>
      </c>
    </row>
    <row r="7033" spans="1:24">
      <c r="A7033">
        <f>HYPERLINK("https://www.philgeps.gov.ph/GEPSNONPILOT/Tender/SplashBidNoticeAbstractUI.aspx?menuIndex=3&amp;refID=7038942&amp;Result=3","7038942")</f>
        <v>0</v>
      </c>
      <c r="B7033" t="s">
        <v>264</v>
      </c>
      <c r="C7033" t="s">
        <v>9772</v>
      </c>
      <c r="D7033" t="s">
        <v>16209</v>
      </c>
      <c r="E7033" t="s">
        <v>22494</v>
      </c>
      <c r="F7033" t="s">
        <v>28198</v>
      </c>
      <c r="G7033" t="s">
        <v>28210</v>
      </c>
      <c r="H7033" t="s">
        <v>28215</v>
      </c>
      <c r="I7033" t="s">
        <v>28293</v>
      </c>
      <c r="J7033" t="s">
        <v>32759</v>
      </c>
      <c r="K7033" t="s">
        <v>36698</v>
      </c>
      <c r="L7033" t="s">
        <v>264</v>
      </c>
      <c r="M7033" t="s">
        <v>37240</v>
      </c>
      <c r="N7033" t="s">
        <v>40436</v>
      </c>
      <c r="O7033" t="s">
        <v>40437</v>
      </c>
      <c r="P7033">
        <v>0</v>
      </c>
      <c r="Q7033">
        <v>0</v>
      </c>
      <c r="R7033" t="s">
        <v>40444</v>
      </c>
      <c r="S7033" t="s">
        <v>40676</v>
      </c>
      <c r="T7033" t="s">
        <v>42190</v>
      </c>
      <c r="U7033" t="s">
        <v>48554</v>
      </c>
      <c r="W7033" t="s">
        <v>37240</v>
      </c>
      <c r="X7033" t="s">
        <v>40445</v>
      </c>
    </row>
    <row r="7034" spans="1:24">
      <c r="A7034">
        <f>HYPERLINK("https://www.philgeps.gov.ph/GEPSNONPILOT/Tender/SplashBidNoticeAbstractUI.aspx?menuIndex=3&amp;refID=7038938&amp;Result=3","7038938")</f>
        <v>0</v>
      </c>
      <c r="B7034" t="s">
        <v>1157</v>
      </c>
      <c r="C7034" t="s">
        <v>9773</v>
      </c>
      <c r="D7034" t="s">
        <v>16193</v>
      </c>
      <c r="E7034" t="s">
        <v>22495</v>
      </c>
      <c r="F7034" t="s">
        <v>28198</v>
      </c>
      <c r="G7034" t="s">
        <v>28209</v>
      </c>
      <c r="H7034" t="s">
        <v>28215</v>
      </c>
      <c r="I7034" t="s">
        <v>5100</v>
      </c>
      <c r="J7034" t="s">
        <v>32760</v>
      </c>
      <c r="K7034" t="s">
        <v>36689</v>
      </c>
      <c r="M7034" t="s">
        <v>38197</v>
      </c>
      <c r="N7034" t="s">
        <v>40436</v>
      </c>
      <c r="O7034" t="s">
        <v>40437</v>
      </c>
      <c r="P7034">
        <v>0</v>
      </c>
      <c r="Q7034">
        <v>0</v>
      </c>
      <c r="R7034" t="s">
        <v>40444</v>
      </c>
      <c r="S7034" t="s">
        <v>40676</v>
      </c>
      <c r="T7034" t="s">
        <v>42184</v>
      </c>
      <c r="U7034" t="s">
        <v>48555</v>
      </c>
      <c r="W7034" t="s">
        <v>55484</v>
      </c>
      <c r="X7034" t="s">
        <v>40445</v>
      </c>
    </row>
    <row r="7035" spans="1:24">
      <c r="A7035">
        <f>HYPERLINK("https://www.philgeps.gov.ph/GEPSNONPILOT/Tender/SplashBidNoticeAbstractUI.aspx?menuIndex=3&amp;refID=7038974&amp;Result=3","7038974")</f>
        <v>0</v>
      </c>
      <c r="B7035" t="s">
        <v>2209</v>
      </c>
      <c r="C7035" t="s">
        <v>9774</v>
      </c>
      <c r="D7035" t="s">
        <v>16195</v>
      </c>
      <c r="E7035" t="s">
        <v>22496</v>
      </c>
      <c r="F7035" t="s">
        <v>28198</v>
      </c>
      <c r="G7035" t="s">
        <v>28205</v>
      </c>
      <c r="H7035" t="s">
        <v>28215</v>
      </c>
      <c r="I7035" t="s">
        <v>28222</v>
      </c>
      <c r="J7035" t="s">
        <v>28351</v>
      </c>
      <c r="K7035" t="s">
        <v>36706</v>
      </c>
      <c r="M7035" t="s">
        <v>39374</v>
      </c>
      <c r="N7035" t="s">
        <v>40436</v>
      </c>
      <c r="O7035" t="s">
        <v>40437</v>
      </c>
      <c r="P7035">
        <v>0</v>
      </c>
      <c r="Q7035">
        <v>3</v>
      </c>
      <c r="R7035" t="s">
        <v>40444</v>
      </c>
      <c r="S7035" t="s">
        <v>40676</v>
      </c>
      <c r="T7035" t="s">
        <v>42479</v>
      </c>
      <c r="U7035" t="s">
        <v>48556</v>
      </c>
      <c r="W7035" t="s">
        <v>55509</v>
      </c>
      <c r="X7035" t="s">
        <v>40445</v>
      </c>
    </row>
    <row r="7036" spans="1:24">
      <c r="A7036">
        <f>HYPERLINK("https://www.philgeps.gov.ph/GEPSNONPILOT/Tender/SplashBidNoticeAbstractUI.aspx?menuIndex=3&amp;refID=7038952&amp;Result=3","7038952")</f>
        <v>0</v>
      </c>
      <c r="B7036" t="s">
        <v>2202</v>
      </c>
      <c r="C7036" t="s">
        <v>9775</v>
      </c>
      <c r="D7036" t="s">
        <v>16230</v>
      </c>
      <c r="E7036" t="s">
        <v>22497</v>
      </c>
      <c r="F7036" t="s">
        <v>28198</v>
      </c>
      <c r="G7036" t="s">
        <v>28207</v>
      </c>
      <c r="H7036" t="s">
        <v>28215</v>
      </c>
      <c r="I7036" t="s">
        <v>28228</v>
      </c>
      <c r="J7036" t="s">
        <v>28597</v>
      </c>
      <c r="K7036" t="s">
        <v>36689</v>
      </c>
      <c r="M7036" t="s">
        <v>39367</v>
      </c>
      <c r="N7036" t="s">
        <v>40436</v>
      </c>
      <c r="O7036" t="s">
        <v>40437</v>
      </c>
      <c r="P7036">
        <v>0</v>
      </c>
      <c r="Q7036">
        <v>0</v>
      </c>
      <c r="R7036" t="s">
        <v>40444</v>
      </c>
      <c r="S7036" t="s">
        <v>40676</v>
      </c>
      <c r="T7036" t="s">
        <v>42185</v>
      </c>
      <c r="U7036" t="s">
        <v>48557</v>
      </c>
      <c r="W7036" t="s">
        <v>39367</v>
      </c>
      <c r="X7036" t="s">
        <v>40445</v>
      </c>
    </row>
    <row r="7037" spans="1:24">
      <c r="A7037">
        <f>HYPERLINK("https://www.philgeps.gov.ph/GEPSNONPILOT/Tender/SplashBidNoticeAbstractUI.aspx?menuIndex=3&amp;refID=7038940&amp;Result=3","7038940")</f>
        <v>0</v>
      </c>
      <c r="B7037" t="s">
        <v>2209</v>
      </c>
      <c r="C7037" t="s">
        <v>9776</v>
      </c>
      <c r="D7037" t="s">
        <v>16195</v>
      </c>
      <c r="E7037" t="s">
        <v>22498</v>
      </c>
      <c r="F7037" t="s">
        <v>28198</v>
      </c>
      <c r="G7037" t="s">
        <v>28205</v>
      </c>
      <c r="H7037" t="s">
        <v>28215</v>
      </c>
      <c r="I7037" t="s">
        <v>28222</v>
      </c>
      <c r="J7037" t="s">
        <v>28752</v>
      </c>
      <c r="K7037" t="s">
        <v>36706</v>
      </c>
      <c r="M7037" t="s">
        <v>39374</v>
      </c>
      <c r="N7037" t="s">
        <v>40436</v>
      </c>
      <c r="O7037" t="s">
        <v>40437</v>
      </c>
      <c r="P7037">
        <v>0</v>
      </c>
      <c r="Q7037">
        <v>5</v>
      </c>
      <c r="R7037" t="s">
        <v>40444</v>
      </c>
      <c r="S7037" t="s">
        <v>40676</v>
      </c>
      <c r="T7037" t="s">
        <v>42479</v>
      </c>
      <c r="U7037" t="s">
        <v>48556</v>
      </c>
      <c r="W7037" t="s">
        <v>55509</v>
      </c>
      <c r="X7037" t="s">
        <v>40445</v>
      </c>
    </row>
    <row r="7038" spans="1:24">
      <c r="A7038">
        <f>HYPERLINK("https://www.philgeps.gov.ph/GEPSNONPILOT/Tender/SplashBidNoticeAbstractUI.aspx?menuIndex=3&amp;refID=7038957&amp;Result=3","7038957")</f>
        <v>0</v>
      </c>
      <c r="B7038" t="s">
        <v>1215</v>
      </c>
      <c r="C7038" t="s">
        <v>9777</v>
      </c>
      <c r="D7038" t="s">
        <v>16238</v>
      </c>
      <c r="E7038" t="s">
        <v>22499</v>
      </c>
      <c r="F7038" t="s">
        <v>28198</v>
      </c>
      <c r="G7038" t="s">
        <v>28205</v>
      </c>
      <c r="H7038" t="s">
        <v>28214</v>
      </c>
      <c r="I7038" t="s">
        <v>3797</v>
      </c>
      <c r="J7038" t="s">
        <v>32761</v>
      </c>
      <c r="K7038" t="s">
        <v>36809</v>
      </c>
      <c r="M7038" t="s">
        <v>39334</v>
      </c>
      <c r="N7038" t="s">
        <v>40436</v>
      </c>
      <c r="O7038" t="s">
        <v>40437</v>
      </c>
      <c r="P7038">
        <v>0</v>
      </c>
      <c r="Q7038">
        <v>1</v>
      </c>
      <c r="R7038" t="s">
        <v>40444</v>
      </c>
      <c r="S7038" t="s">
        <v>40676</v>
      </c>
      <c r="T7038" t="s">
        <v>42457</v>
      </c>
      <c r="U7038" t="s">
        <v>48558</v>
      </c>
      <c r="W7038" t="s">
        <v>39334</v>
      </c>
      <c r="X7038" t="s">
        <v>40445</v>
      </c>
    </row>
    <row r="7039" spans="1:24">
      <c r="A7039">
        <f>HYPERLINK("https://www.philgeps.gov.ph/GEPSNONPILOT/Tender/SplashBidNoticeAbstractUI.aspx?menuIndex=3&amp;refID=7038987&amp;Result=3","7038987")</f>
        <v>0</v>
      </c>
      <c r="B7039" t="s">
        <v>351</v>
      </c>
      <c r="C7039" t="s">
        <v>9778</v>
      </c>
      <c r="D7039" t="s">
        <v>16258</v>
      </c>
      <c r="E7039" t="s">
        <v>22500</v>
      </c>
      <c r="F7039" t="s">
        <v>28198</v>
      </c>
      <c r="G7039" t="s">
        <v>28205</v>
      </c>
      <c r="H7039" t="s">
        <v>28215</v>
      </c>
      <c r="I7039" t="s">
        <v>5791</v>
      </c>
      <c r="J7039" t="s">
        <v>29411</v>
      </c>
      <c r="K7039" t="s">
        <v>36706</v>
      </c>
      <c r="M7039" t="s">
        <v>37330</v>
      </c>
      <c r="N7039" t="s">
        <v>40436</v>
      </c>
      <c r="O7039" t="s">
        <v>40437</v>
      </c>
      <c r="P7039">
        <v>0</v>
      </c>
      <c r="Q7039">
        <v>0</v>
      </c>
      <c r="R7039" t="s">
        <v>40444</v>
      </c>
      <c r="S7039" t="s">
        <v>40676</v>
      </c>
      <c r="T7039" t="s">
        <v>42136</v>
      </c>
      <c r="U7039" t="s">
        <v>48424</v>
      </c>
      <c r="W7039" t="s">
        <v>37330</v>
      </c>
      <c r="X7039" t="s">
        <v>40445</v>
      </c>
    </row>
    <row r="7040" spans="1:24">
      <c r="A7040">
        <f>HYPERLINK("https://www.philgeps.gov.ph/GEPSNONPILOT/Tender/SplashBidNoticeAbstractUI.aspx?menuIndex=3&amp;refID=7038953&amp;Result=3","7038953")</f>
        <v>0</v>
      </c>
      <c r="B7040" t="s">
        <v>2210</v>
      </c>
      <c r="C7040" t="s">
        <v>7843</v>
      </c>
      <c r="D7040" t="s">
        <v>16187</v>
      </c>
      <c r="E7040" t="s">
        <v>20028</v>
      </c>
      <c r="F7040" t="s">
        <v>28198</v>
      </c>
      <c r="G7040" t="s">
        <v>28205</v>
      </c>
      <c r="H7040" t="s">
        <v>28215</v>
      </c>
      <c r="I7040" t="s">
        <v>4200</v>
      </c>
      <c r="J7040" t="s">
        <v>32762</v>
      </c>
      <c r="K7040" t="s">
        <v>36689</v>
      </c>
      <c r="M7040" t="s">
        <v>39375</v>
      </c>
      <c r="N7040" t="s">
        <v>40436</v>
      </c>
      <c r="O7040" t="s">
        <v>40437</v>
      </c>
      <c r="P7040">
        <v>0</v>
      </c>
      <c r="Q7040">
        <v>0</v>
      </c>
      <c r="R7040" t="s">
        <v>40444</v>
      </c>
      <c r="S7040" t="s">
        <v>40676</v>
      </c>
      <c r="T7040" t="s">
        <v>42129</v>
      </c>
      <c r="U7040" t="s">
        <v>48559</v>
      </c>
      <c r="W7040" t="s">
        <v>39375</v>
      </c>
      <c r="X7040" t="s">
        <v>40445</v>
      </c>
    </row>
    <row r="7041" spans="1:24">
      <c r="A7041">
        <f>HYPERLINK("https://www.philgeps.gov.ph/GEPSNONPILOT/Tender/SplashBidNoticeAbstractUI.aspx?menuIndex=3&amp;refID=7039038&amp;Result=3","7039038")</f>
        <v>0</v>
      </c>
      <c r="B7041" t="s">
        <v>230</v>
      </c>
      <c r="C7041" t="s">
        <v>9779</v>
      </c>
      <c r="D7041" t="s">
        <v>16246</v>
      </c>
      <c r="E7041" t="s">
        <v>22501</v>
      </c>
      <c r="F7041" t="s">
        <v>28198</v>
      </c>
      <c r="G7041" t="s">
        <v>28205</v>
      </c>
      <c r="H7041" t="s">
        <v>28214</v>
      </c>
      <c r="I7041" t="s">
        <v>3797</v>
      </c>
      <c r="J7041" t="s">
        <v>28363</v>
      </c>
      <c r="K7041" t="s">
        <v>36811</v>
      </c>
      <c r="M7041" t="s">
        <v>37206</v>
      </c>
      <c r="N7041" t="s">
        <v>40436</v>
      </c>
      <c r="O7041" t="s">
        <v>40437</v>
      </c>
      <c r="P7041">
        <v>0</v>
      </c>
      <c r="Q7041">
        <v>0</v>
      </c>
      <c r="R7041" t="s">
        <v>40444</v>
      </c>
      <c r="S7041" t="s">
        <v>40676</v>
      </c>
      <c r="T7041" t="s">
        <v>42197</v>
      </c>
      <c r="U7041" t="s">
        <v>48560</v>
      </c>
      <c r="W7041" t="s">
        <v>37206</v>
      </c>
      <c r="X7041" t="s">
        <v>40445</v>
      </c>
    </row>
    <row r="7042" spans="1:24">
      <c r="A7042">
        <f>HYPERLINK("https://www.philgeps.gov.ph/GEPSNONPILOT/Tender/SplashBidNoticeAbstractUI.aspx?menuIndex=3&amp;refID=7038962&amp;Result=3","7038962")</f>
        <v>0</v>
      </c>
      <c r="B7042" t="s">
        <v>2211</v>
      </c>
      <c r="C7042" t="s">
        <v>9780</v>
      </c>
      <c r="D7042" t="s">
        <v>16226</v>
      </c>
      <c r="E7042" t="s">
        <v>22502</v>
      </c>
      <c r="F7042" t="s">
        <v>28198</v>
      </c>
      <c r="G7042" t="s">
        <v>28207</v>
      </c>
      <c r="H7042" t="s">
        <v>28215</v>
      </c>
      <c r="I7042" t="s">
        <v>28290</v>
      </c>
      <c r="J7042" t="s">
        <v>32763</v>
      </c>
      <c r="K7042" t="s">
        <v>36701</v>
      </c>
      <c r="M7042" t="s">
        <v>39376</v>
      </c>
      <c r="N7042" t="s">
        <v>40436</v>
      </c>
      <c r="O7042" t="s">
        <v>40437</v>
      </c>
      <c r="Q7042">
        <v>3</v>
      </c>
      <c r="R7042" t="s">
        <v>40444</v>
      </c>
      <c r="S7042" t="s">
        <v>40697</v>
      </c>
      <c r="T7042" t="s">
        <v>42115</v>
      </c>
      <c r="U7042" t="s">
        <v>48561</v>
      </c>
      <c r="W7042" t="s">
        <v>39376</v>
      </c>
      <c r="X7042" t="s">
        <v>40445</v>
      </c>
    </row>
    <row r="7043" spans="1:24">
      <c r="A7043">
        <f>HYPERLINK("https://www.philgeps.gov.ph/GEPSNONPILOT/Tender/SplashBidNoticeAbstractUI.aspx?menuIndex=3&amp;refID=7039048&amp;Result=3","7039048")</f>
        <v>0</v>
      </c>
      <c r="B7043" t="s">
        <v>2177</v>
      </c>
      <c r="C7043" t="s">
        <v>9781</v>
      </c>
      <c r="D7043" t="s">
        <v>16251</v>
      </c>
      <c r="E7043" t="s">
        <v>22503</v>
      </c>
      <c r="F7043" t="s">
        <v>28198</v>
      </c>
      <c r="G7043" t="s">
        <v>28205</v>
      </c>
      <c r="H7043" t="s">
        <v>28214</v>
      </c>
      <c r="I7043" t="s">
        <v>3797</v>
      </c>
      <c r="J7043" t="s">
        <v>32764</v>
      </c>
      <c r="K7043" t="s">
        <v>36719</v>
      </c>
      <c r="M7043" t="s">
        <v>39339</v>
      </c>
      <c r="N7043" t="s">
        <v>40436</v>
      </c>
      <c r="O7043" t="s">
        <v>40437</v>
      </c>
      <c r="Q7043">
        <v>0</v>
      </c>
      <c r="R7043" t="s">
        <v>40444</v>
      </c>
      <c r="S7043" t="s">
        <v>40698</v>
      </c>
      <c r="T7043" t="s">
        <v>42138</v>
      </c>
      <c r="U7043" t="s">
        <v>48562</v>
      </c>
      <c r="W7043" t="s">
        <v>39339</v>
      </c>
      <c r="X7043" t="s">
        <v>40445</v>
      </c>
    </row>
    <row r="7044" spans="1:24">
      <c r="A7044">
        <f>HYPERLINK("https://www.philgeps.gov.ph/GEPSNONPILOT/Tender/SplashBidNoticeAbstractUI.aspx?menuIndex=3&amp;refID=7038945&amp;Result=3","7038945")</f>
        <v>0</v>
      </c>
      <c r="B7044" t="s">
        <v>1303</v>
      </c>
      <c r="C7044" t="s">
        <v>9782</v>
      </c>
      <c r="D7044" t="s">
        <v>16200</v>
      </c>
      <c r="E7044" t="s">
        <v>22504</v>
      </c>
      <c r="F7044" t="s">
        <v>28198</v>
      </c>
      <c r="G7044" t="s">
        <v>28205</v>
      </c>
      <c r="H7044" t="s">
        <v>28216</v>
      </c>
      <c r="I7044" t="s">
        <v>28216</v>
      </c>
      <c r="J7044" t="s">
        <v>32765</v>
      </c>
      <c r="K7044" t="s">
        <v>36789</v>
      </c>
      <c r="M7044" t="s">
        <v>38357</v>
      </c>
      <c r="N7044" t="s">
        <v>40436</v>
      </c>
      <c r="O7044" t="s">
        <v>40437</v>
      </c>
      <c r="P7044">
        <v>0</v>
      </c>
      <c r="Q7044">
        <v>1</v>
      </c>
      <c r="R7044" t="s">
        <v>40444</v>
      </c>
      <c r="S7044" t="s">
        <v>40676</v>
      </c>
      <c r="T7044" t="s">
        <v>42330</v>
      </c>
      <c r="U7044" t="s">
        <v>48563</v>
      </c>
      <c r="V7044" t="s">
        <v>54514</v>
      </c>
      <c r="W7044" t="s">
        <v>38357</v>
      </c>
      <c r="X7044" t="s">
        <v>40445</v>
      </c>
    </row>
    <row r="7045" spans="1:24">
      <c r="A7045">
        <f>HYPERLINK("https://www.philgeps.gov.ph/GEPSNONPILOT/Tender/SplashBidNoticeAbstractUI.aspx?menuIndex=3&amp;refID=7039055&amp;Result=3","7039055")</f>
        <v>0</v>
      </c>
      <c r="B7045" t="s">
        <v>230</v>
      </c>
      <c r="C7045" t="s">
        <v>9783</v>
      </c>
      <c r="D7045" t="s">
        <v>16246</v>
      </c>
      <c r="E7045" t="s">
        <v>22505</v>
      </c>
      <c r="F7045" t="s">
        <v>28198</v>
      </c>
      <c r="G7045" t="s">
        <v>28205</v>
      </c>
      <c r="H7045" t="s">
        <v>28214</v>
      </c>
      <c r="I7045" t="s">
        <v>3797</v>
      </c>
      <c r="J7045" t="s">
        <v>28351</v>
      </c>
      <c r="K7045" t="s">
        <v>36758</v>
      </c>
      <c r="M7045" t="s">
        <v>37206</v>
      </c>
      <c r="N7045" t="s">
        <v>40436</v>
      </c>
      <c r="O7045" t="s">
        <v>40437</v>
      </c>
      <c r="P7045">
        <v>0</v>
      </c>
      <c r="Q7045">
        <v>0</v>
      </c>
      <c r="R7045" t="s">
        <v>40444</v>
      </c>
      <c r="S7045" t="s">
        <v>40676</v>
      </c>
      <c r="T7045" t="s">
        <v>42204</v>
      </c>
      <c r="U7045" t="s">
        <v>48564</v>
      </c>
      <c r="W7045" t="s">
        <v>37206</v>
      </c>
      <c r="X7045" t="s">
        <v>40445</v>
      </c>
    </row>
    <row r="7046" spans="1:24">
      <c r="A7046">
        <f>HYPERLINK("https://www.philgeps.gov.ph/GEPSNONPILOT/Tender/SplashBidNoticeAbstractUI.aspx?menuIndex=3&amp;refID=7039026&amp;Result=3","7039026")</f>
        <v>0</v>
      </c>
      <c r="B7046" t="s">
        <v>1157</v>
      </c>
      <c r="C7046" t="s">
        <v>9784</v>
      </c>
      <c r="D7046" t="s">
        <v>16193</v>
      </c>
      <c r="E7046" t="s">
        <v>22506</v>
      </c>
      <c r="F7046" t="s">
        <v>28198</v>
      </c>
      <c r="G7046" t="s">
        <v>28209</v>
      </c>
      <c r="H7046" t="s">
        <v>28215</v>
      </c>
      <c r="I7046" t="s">
        <v>28258</v>
      </c>
      <c r="J7046" t="s">
        <v>32766</v>
      </c>
      <c r="K7046" t="s">
        <v>36689</v>
      </c>
      <c r="M7046" t="s">
        <v>38197</v>
      </c>
      <c r="N7046" t="s">
        <v>40436</v>
      </c>
      <c r="O7046" t="s">
        <v>40437</v>
      </c>
      <c r="P7046">
        <v>0</v>
      </c>
      <c r="Q7046">
        <v>8</v>
      </c>
      <c r="R7046" t="s">
        <v>40444</v>
      </c>
      <c r="S7046" t="s">
        <v>40676</v>
      </c>
      <c r="T7046" t="s">
        <v>42184</v>
      </c>
      <c r="U7046" t="s">
        <v>48565</v>
      </c>
      <c r="W7046" t="s">
        <v>55484</v>
      </c>
      <c r="X7046" t="s">
        <v>40445</v>
      </c>
    </row>
    <row r="7047" spans="1:24">
      <c r="A7047">
        <f>HYPERLINK("https://www.philgeps.gov.ph/GEPSNONPILOT/Tender/SplashBidNoticeAbstractUI.aspx?menuIndex=3&amp;refID=7039046&amp;Result=3","7039046")</f>
        <v>0</v>
      </c>
      <c r="B7047" t="s">
        <v>2053</v>
      </c>
      <c r="C7047" t="s">
        <v>9785</v>
      </c>
      <c r="E7047" t="s">
        <v>22507</v>
      </c>
      <c r="F7047" t="s">
        <v>28198</v>
      </c>
      <c r="G7047" t="s">
        <v>28205</v>
      </c>
      <c r="H7047" t="s">
        <v>28214</v>
      </c>
      <c r="I7047" t="s">
        <v>3797</v>
      </c>
      <c r="J7047" t="s">
        <v>32767</v>
      </c>
      <c r="K7047" t="s">
        <v>36689</v>
      </c>
      <c r="M7047" t="s">
        <v>39199</v>
      </c>
      <c r="N7047" t="s">
        <v>40436</v>
      </c>
      <c r="O7047" t="s">
        <v>40437</v>
      </c>
      <c r="Q7047">
        <v>3</v>
      </c>
      <c r="R7047" t="s">
        <v>40444</v>
      </c>
      <c r="S7047" t="s">
        <v>40699</v>
      </c>
      <c r="T7047" t="s">
        <v>42346</v>
      </c>
      <c r="U7047" t="s">
        <v>48566</v>
      </c>
      <c r="V7047" t="s">
        <v>53826</v>
      </c>
      <c r="W7047" t="s">
        <v>39199</v>
      </c>
      <c r="X7047" t="s">
        <v>40445</v>
      </c>
    </row>
    <row r="7048" spans="1:24">
      <c r="A7048">
        <f>HYPERLINK("https://www.philgeps.gov.ph/GEPSNONPILOT/Tender/SplashBidNoticeAbstractUI.aspx?menuIndex=3&amp;refID=7039056&amp;Result=3","7039056")</f>
        <v>0</v>
      </c>
      <c r="B7048" t="s">
        <v>2212</v>
      </c>
      <c r="C7048" t="s">
        <v>9786</v>
      </c>
      <c r="D7048" t="s">
        <v>16246</v>
      </c>
      <c r="E7048" t="s">
        <v>22508</v>
      </c>
      <c r="F7048" t="s">
        <v>28198</v>
      </c>
      <c r="G7048" t="s">
        <v>28205</v>
      </c>
      <c r="H7048" t="s">
        <v>28214</v>
      </c>
      <c r="I7048" t="s">
        <v>3797</v>
      </c>
      <c r="J7048" t="s">
        <v>28430</v>
      </c>
      <c r="K7048" t="s">
        <v>36689</v>
      </c>
      <c r="M7048" t="s">
        <v>39377</v>
      </c>
      <c r="N7048" t="s">
        <v>40436</v>
      </c>
      <c r="O7048" t="s">
        <v>40437</v>
      </c>
      <c r="P7048">
        <v>0</v>
      </c>
      <c r="Q7048">
        <v>0</v>
      </c>
      <c r="R7048" t="s">
        <v>40444</v>
      </c>
      <c r="S7048" t="s">
        <v>40676</v>
      </c>
      <c r="T7048" t="s">
        <v>42390</v>
      </c>
      <c r="U7048" t="s">
        <v>48567</v>
      </c>
      <c r="W7048" t="s">
        <v>39377</v>
      </c>
      <c r="X7048" t="s">
        <v>40445</v>
      </c>
    </row>
    <row r="7049" spans="1:24">
      <c r="A7049">
        <f>HYPERLINK("https://www.philgeps.gov.ph/GEPSNONPILOT/Tender/SplashBidNoticeAbstractUI.aspx?menuIndex=3&amp;refID=7039016&amp;Result=3","7039016")</f>
        <v>0</v>
      </c>
      <c r="B7049" t="s">
        <v>230</v>
      </c>
      <c r="C7049" t="s">
        <v>9787</v>
      </c>
      <c r="D7049" t="s">
        <v>16246</v>
      </c>
      <c r="E7049" t="s">
        <v>22509</v>
      </c>
      <c r="F7049" t="s">
        <v>28198</v>
      </c>
      <c r="G7049" t="s">
        <v>28205</v>
      </c>
      <c r="H7049" t="s">
        <v>28214</v>
      </c>
      <c r="I7049" t="s">
        <v>3797</v>
      </c>
      <c r="J7049" t="s">
        <v>28351</v>
      </c>
      <c r="K7049" t="s">
        <v>36773</v>
      </c>
      <c r="M7049" t="s">
        <v>37206</v>
      </c>
      <c r="N7049" t="s">
        <v>40436</v>
      </c>
      <c r="O7049" t="s">
        <v>40437</v>
      </c>
      <c r="P7049">
        <v>0</v>
      </c>
      <c r="Q7049">
        <v>0</v>
      </c>
      <c r="R7049" t="s">
        <v>40444</v>
      </c>
      <c r="S7049" t="s">
        <v>40676</v>
      </c>
      <c r="T7049" t="s">
        <v>42263</v>
      </c>
      <c r="U7049" t="s">
        <v>48568</v>
      </c>
      <c r="W7049" t="s">
        <v>37206</v>
      </c>
      <c r="X7049" t="s">
        <v>40445</v>
      </c>
    </row>
    <row r="7050" spans="1:24">
      <c r="A7050">
        <f>HYPERLINK("https://www.philgeps.gov.ph/GEPSNONPILOT/Tender/SplashBidNoticeAbstractUI.aspx?menuIndex=3&amp;refID=7038972&amp;Result=3","7038972")</f>
        <v>0</v>
      </c>
      <c r="B7050" t="s">
        <v>2210</v>
      </c>
      <c r="C7050" t="s">
        <v>7828</v>
      </c>
      <c r="D7050" t="s">
        <v>16187</v>
      </c>
      <c r="E7050" t="s">
        <v>20705</v>
      </c>
      <c r="F7050" t="s">
        <v>28198</v>
      </c>
      <c r="G7050" t="s">
        <v>28205</v>
      </c>
      <c r="H7050" t="s">
        <v>28215</v>
      </c>
      <c r="I7050" t="s">
        <v>4200</v>
      </c>
      <c r="J7050" t="s">
        <v>31921</v>
      </c>
      <c r="K7050" t="s">
        <v>36689</v>
      </c>
      <c r="M7050" t="s">
        <v>39375</v>
      </c>
      <c r="N7050" t="s">
        <v>40436</v>
      </c>
      <c r="O7050" t="s">
        <v>40437</v>
      </c>
      <c r="P7050">
        <v>0</v>
      </c>
      <c r="Q7050">
        <v>0</v>
      </c>
      <c r="R7050" t="s">
        <v>40444</v>
      </c>
      <c r="S7050" t="s">
        <v>40676</v>
      </c>
      <c r="T7050" t="s">
        <v>42129</v>
      </c>
      <c r="U7050" t="s">
        <v>48569</v>
      </c>
      <c r="W7050" t="s">
        <v>39375</v>
      </c>
      <c r="X7050" t="s">
        <v>40445</v>
      </c>
    </row>
    <row r="7051" spans="1:24">
      <c r="A7051">
        <f>HYPERLINK("https://www.philgeps.gov.ph/GEPSNONPILOT/Tender/SplashBidNoticeAbstractUI.aspx?menuIndex=3&amp;refID=7039012&amp;Result=3","7039012")</f>
        <v>0</v>
      </c>
      <c r="B7051" t="s">
        <v>2114</v>
      </c>
      <c r="C7051" t="s">
        <v>9788</v>
      </c>
      <c r="D7051" t="s">
        <v>16210</v>
      </c>
      <c r="E7051" t="s">
        <v>22510</v>
      </c>
      <c r="F7051" t="s">
        <v>28198</v>
      </c>
      <c r="G7051" t="s">
        <v>28209</v>
      </c>
      <c r="H7051" t="s">
        <v>28215</v>
      </c>
      <c r="I7051" t="s">
        <v>28225</v>
      </c>
      <c r="J7051" t="s">
        <v>28360</v>
      </c>
      <c r="K7051" t="s">
        <v>36693</v>
      </c>
      <c r="M7051" t="s">
        <v>39268</v>
      </c>
      <c r="N7051" t="s">
        <v>40436</v>
      </c>
      <c r="O7051" t="s">
        <v>40437</v>
      </c>
      <c r="P7051">
        <v>0</v>
      </c>
      <c r="Q7051">
        <v>17</v>
      </c>
      <c r="R7051" t="s">
        <v>40444</v>
      </c>
      <c r="S7051" t="s">
        <v>40676</v>
      </c>
      <c r="T7051" t="s">
        <v>42245</v>
      </c>
      <c r="U7051" t="s">
        <v>48570</v>
      </c>
      <c r="W7051" t="s">
        <v>39268</v>
      </c>
      <c r="X7051" t="s">
        <v>40445</v>
      </c>
    </row>
    <row r="7052" spans="1:24">
      <c r="A7052">
        <f>HYPERLINK("https://www.philgeps.gov.ph/GEPSNONPILOT/Tender/SplashBidNoticeAbstractUI.aspx?menuIndex=3&amp;refID=7039021&amp;Result=3","7039021")</f>
        <v>0</v>
      </c>
      <c r="B7052" t="s">
        <v>2213</v>
      </c>
      <c r="C7052" t="s">
        <v>9786</v>
      </c>
      <c r="D7052" t="s">
        <v>16246</v>
      </c>
      <c r="E7052" t="s">
        <v>22508</v>
      </c>
      <c r="F7052" t="s">
        <v>28198</v>
      </c>
      <c r="G7052" t="s">
        <v>28205</v>
      </c>
      <c r="H7052" t="s">
        <v>28214</v>
      </c>
      <c r="I7052" t="s">
        <v>3797</v>
      </c>
      <c r="J7052" t="s">
        <v>28430</v>
      </c>
      <c r="K7052" t="s">
        <v>36689</v>
      </c>
      <c r="M7052" t="s">
        <v>39378</v>
      </c>
      <c r="N7052" t="s">
        <v>40436</v>
      </c>
      <c r="O7052" t="s">
        <v>40437</v>
      </c>
      <c r="P7052">
        <v>0</v>
      </c>
      <c r="Q7052">
        <v>0</v>
      </c>
      <c r="R7052" t="s">
        <v>40444</v>
      </c>
      <c r="S7052" t="s">
        <v>40676</v>
      </c>
      <c r="T7052" t="s">
        <v>42426</v>
      </c>
      <c r="U7052" t="s">
        <v>48571</v>
      </c>
      <c r="W7052" t="s">
        <v>39378</v>
      </c>
      <c r="X7052" t="s">
        <v>40445</v>
      </c>
    </row>
    <row r="7053" spans="1:24">
      <c r="A7053">
        <f>HYPERLINK("https://www.philgeps.gov.ph/GEPSNONPILOT/Tender/SplashBidNoticeAbstractUI.aspx?menuIndex=3&amp;refID=7038941&amp;Result=3","7038941")</f>
        <v>0</v>
      </c>
      <c r="B7053" t="s">
        <v>1964</v>
      </c>
      <c r="C7053" t="s">
        <v>9789</v>
      </c>
      <c r="D7053" t="s">
        <v>16221</v>
      </c>
      <c r="E7053" t="s">
        <v>22511</v>
      </c>
      <c r="F7053" t="s">
        <v>28198</v>
      </c>
      <c r="G7053" t="s">
        <v>28210</v>
      </c>
      <c r="H7053" t="s">
        <v>28215</v>
      </c>
      <c r="I7053" t="s">
        <v>28226</v>
      </c>
      <c r="J7053" t="s">
        <v>32768</v>
      </c>
      <c r="K7053" t="s">
        <v>36689</v>
      </c>
      <c r="M7053" t="s">
        <v>39099</v>
      </c>
      <c r="N7053" t="s">
        <v>40436</v>
      </c>
      <c r="O7053" t="s">
        <v>40437</v>
      </c>
      <c r="P7053">
        <v>0</v>
      </c>
      <c r="Q7053">
        <v>8</v>
      </c>
      <c r="R7053" t="s">
        <v>40444</v>
      </c>
      <c r="S7053" t="s">
        <v>40676</v>
      </c>
      <c r="T7053" t="s">
        <v>42233</v>
      </c>
      <c r="U7053" t="s">
        <v>47687</v>
      </c>
      <c r="W7053" t="s">
        <v>39099</v>
      </c>
      <c r="X7053" t="s">
        <v>40445</v>
      </c>
    </row>
    <row r="7054" spans="1:24">
      <c r="A7054">
        <f>HYPERLINK("https://www.philgeps.gov.ph/GEPSNONPILOT/Tender/SplashBidNoticeAbstractUI.aspx?menuIndex=3&amp;refID=7039051&amp;Result=3","7039051")</f>
        <v>0</v>
      </c>
      <c r="B7054" t="s">
        <v>1157</v>
      </c>
      <c r="C7054" t="s">
        <v>9790</v>
      </c>
      <c r="D7054" t="s">
        <v>16193</v>
      </c>
      <c r="E7054" t="s">
        <v>16730</v>
      </c>
      <c r="F7054" t="s">
        <v>28198</v>
      </c>
      <c r="G7054" t="s">
        <v>28209</v>
      </c>
      <c r="H7054" t="s">
        <v>28215</v>
      </c>
      <c r="I7054" t="s">
        <v>4219</v>
      </c>
      <c r="J7054" t="s">
        <v>32769</v>
      </c>
      <c r="K7054" t="s">
        <v>36689</v>
      </c>
      <c r="M7054" t="s">
        <v>38197</v>
      </c>
      <c r="N7054" t="s">
        <v>40436</v>
      </c>
      <c r="O7054" t="s">
        <v>40437</v>
      </c>
      <c r="P7054">
        <v>0</v>
      </c>
      <c r="Q7054">
        <v>0</v>
      </c>
      <c r="R7054" t="s">
        <v>40444</v>
      </c>
      <c r="S7054" t="s">
        <v>40676</v>
      </c>
      <c r="T7054" t="s">
        <v>42184</v>
      </c>
      <c r="U7054" t="s">
        <v>48572</v>
      </c>
      <c r="W7054" t="s">
        <v>55484</v>
      </c>
      <c r="X7054" t="s">
        <v>40445</v>
      </c>
    </row>
    <row r="7055" spans="1:24">
      <c r="A7055">
        <f>HYPERLINK("https://www.philgeps.gov.ph/GEPSNONPILOT/Tender/SplashBidNoticeAbstractUI.aspx?menuIndex=3&amp;refID=7039008&amp;Result=3","7039008")</f>
        <v>0</v>
      </c>
      <c r="B7055" t="s">
        <v>2022</v>
      </c>
      <c r="C7055" t="s">
        <v>9791</v>
      </c>
      <c r="D7055" t="s">
        <v>16264</v>
      </c>
      <c r="E7055" t="s">
        <v>22512</v>
      </c>
      <c r="F7055" t="s">
        <v>28198</v>
      </c>
      <c r="G7055" t="s">
        <v>28207</v>
      </c>
      <c r="H7055" t="s">
        <v>28215</v>
      </c>
      <c r="I7055" t="s">
        <v>28257</v>
      </c>
      <c r="J7055" t="s">
        <v>28561</v>
      </c>
      <c r="K7055" t="s">
        <v>36701</v>
      </c>
      <c r="M7055" t="s">
        <v>39162</v>
      </c>
      <c r="N7055" t="s">
        <v>40436</v>
      </c>
      <c r="O7055" t="s">
        <v>40437</v>
      </c>
      <c r="P7055">
        <v>0</v>
      </c>
      <c r="Q7055">
        <v>3</v>
      </c>
      <c r="R7055" t="s">
        <v>40444</v>
      </c>
      <c r="S7055" t="s">
        <v>40676</v>
      </c>
      <c r="T7055" t="s">
        <v>42141</v>
      </c>
      <c r="U7055" t="s">
        <v>47878</v>
      </c>
      <c r="W7055" t="s">
        <v>39162</v>
      </c>
      <c r="X7055" t="s">
        <v>40445</v>
      </c>
    </row>
    <row r="7056" spans="1:24">
      <c r="A7056">
        <f>HYPERLINK("https://www.philgeps.gov.ph/GEPSNONPILOT/Tender/SplashBidNoticeAbstractUI.aspx?menuIndex=3&amp;refID=7039050&amp;Result=3","7039050")</f>
        <v>0</v>
      </c>
      <c r="B7056" t="s">
        <v>2214</v>
      </c>
      <c r="C7056" t="s">
        <v>9792</v>
      </c>
      <c r="D7056" t="s">
        <v>16204</v>
      </c>
      <c r="E7056" t="s">
        <v>22513</v>
      </c>
      <c r="F7056" t="s">
        <v>28198</v>
      </c>
      <c r="G7056" t="s">
        <v>28205</v>
      </c>
      <c r="H7056" t="s">
        <v>28214</v>
      </c>
      <c r="I7056" t="s">
        <v>3797</v>
      </c>
      <c r="J7056" t="s">
        <v>28866</v>
      </c>
      <c r="K7056" t="s">
        <v>36689</v>
      </c>
      <c r="M7056" t="s">
        <v>39379</v>
      </c>
      <c r="N7056" t="s">
        <v>40436</v>
      </c>
      <c r="O7056" t="s">
        <v>40437</v>
      </c>
      <c r="P7056">
        <v>0</v>
      </c>
      <c r="Q7056">
        <v>1</v>
      </c>
      <c r="R7056" t="s">
        <v>40444</v>
      </c>
      <c r="S7056" t="s">
        <v>40676</v>
      </c>
      <c r="T7056" t="s">
        <v>42185</v>
      </c>
      <c r="U7056" t="s">
        <v>48573</v>
      </c>
      <c r="V7056" t="s">
        <v>53944</v>
      </c>
      <c r="W7056" t="s">
        <v>39379</v>
      </c>
      <c r="X7056" t="s">
        <v>40445</v>
      </c>
    </row>
    <row r="7057" spans="1:24">
      <c r="A7057">
        <f>HYPERLINK("https://www.philgeps.gov.ph/GEPSNONPILOT/Tender/SplashBidNoticeAbstractUI.aspx?menuIndex=3&amp;refID=7038991&amp;Result=3","7038991")</f>
        <v>0</v>
      </c>
      <c r="B7057" t="s">
        <v>583</v>
      </c>
      <c r="C7057" t="s">
        <v>9793</v>
      </c>
      <c r="D7057" t="s">
        <v>16235</v>
      </c>
      <c r="E7057" t="s">
        <v>18312</v>
      </c>
      <c r="F7057" t="s">
        <v>28199</v>
      </c>
      <c r="G7057" t="s">
        <v>28207</v>
      </c>
      <c r="H7057" t="s">
        <v>28217</v>
      </c>
      <c r="I7057" t="s">
        <v>3422</v>
      </c>
      <c r="J7057" t="s">
        <v>30817</v>
      </c>
      <c r="K7057" t="s">
        <v>36707</v>
      </c>
      <c r="M7057" t="s">
        <v>37573</v>
      </c>
      <c r="N7057" t="s">
        <v>40436</v>
      </c>
      <c r="O7057" t="s">
        <v>40437</v>
      </c>
      <c r="P7057">
        <v>0</v>
      </c>
      <c r="Q7057">
        <v>1</v>
      </c>
      <c r="R7057" t="s">
        <v>40444</v>
      </c>
      <c r="S7057" t="s">
        <v>40676</v>
      </c>
      <c r="T7057" t="s">
        <v>42455</v>
      </c>
      <c r="U7057" t="s">
        <v>48574</v>
      </c>
      <c r="V7057" t="s">
        <v>53926</v>
      </c>
      <c r="W7057" t="s">
        <v>37573</v>
      </c>
      <c r="X7057" t="s">
        <v>40445</v>
      </c>
    </row>
    <row r="7058" spans="1:24">
      <c r="A7058">
        <f>HYPERLINK("https://www.philgeps.gov.ph/GEPSNONPILOT/Tender/SplashBidNoticeAbstractUI.aspx?menuIndex=3&amp;refID=7039005&amp;Result=3","7039005")</f>
        <v>0</v>
      </c>
      <c r="B7058" t="s">
        <v>47</v>
      </c>
      <c r="C7058" t="s">
        <v>9794</v>
      </c>
      <c r="D7058" t="s">
        <v>16203</v>
      </c>
      <c r="E7058" t="s">
        <v>22514</v>
      </c>
      <c r="F7058" t="s">
        <v>28198</v>
      </c>
      <c r="G7058" t="s">
        <v>28205</v>
      </c>
      <c r="H7058" t="s">
        <v>28215</v>
      </c>
      <c r="I7058" t="s">
        <v>28241</v>
      </c>
      <c r="J7058" t="s">
        <v>28361</v>
      </c>
      <c r="K7058" t="s">
        <v>36689</v>
      </c>
      <c r="M7058" t="s">
        <v>37018</v>
      </c>
      <c r="N7058" t="s">
        <v>40436</v>
      </c>
      <c r="O7058" t="s">
        <v>40437</v>
      </c>
      <c r="P7058">
        <v>0</v>
      </c>
      <c r="Q7058">
        <v>1</v>
      </c>
      <c r="R7058" t="s">
        <v>40444</v>
      </c>
      <c r="S7058" t="s">
        <v>40676</v>
      </c>
      <c r="T7058" t="s">
        <v>42168</v>
      </c>
      <c r="U7058" t="s">
        <v>48575</v>
      </c>
      <c r="W7058" t="s">
        <v>37018</v>
      </c>
      <c r="X7058" t="s">
        <v>40445</v>
      </c>
    </row>
    <row r="7059" spans="1:24">
      <c r="A7059">
        <f>HYPERLINK("https://www.philgeps.gov.ph/GEPSNONPILOT/Tender/SplashBidNoticeAbstractUI.aspx?menuIndex=3&amp;refID=7039089&amp;Result=3","7039089")</f>
        <v>0</v>
      </c>
      <c r="B7059" t="s">
        <v>1210</v>
      </c>
      <c r="C7059" t="s">
        <v>9795</v>
      </c>
      <c r="D7059" t="s">
        <v>16230</v>
      </c>
      <c r="E7059" t="s">
        <v>22515</v>
      </c>
      <c r="F7059" t="s">
        <v>28198</v>
      </c>
      <c r="G7059" t="s">
        <v>28207</v>
      </c>
      <c r="H7059" t="s">
        <v>28215</v>
      </c>
      <c r="I7059" t="s">
        <v>28258</v>
      </c>
      <c r="J7059" t="s">
        <v>32770</v>
      </c>
      <c r="K7059" t="s">
        <v>36697</v>
      </c>
      <c r="M7059" t="s">
        <v>38255</v>
      </c>
      <c r="N7059" t="s">
        <v>40436</v>
      </c>
      <c r="O7059" t="s">
        <v>40437</v>
      </c>
      <c r="P7059">
        <v>0</v>
      </c>
      <c r="Q7059">
        <v>2</v>
      </c>
      <c r="R7059" t="s">
        <v>40444</v>
      </c>
      <c r="S7059" t="s">
        <v>40676</v>
      </c>
      <c r="T7059" t="s">
        <v>42245</v>
      </c>
      <c r="U7059" t="s">
        <v>48576</v>
      </c>
      <c r="W7059" t="s">
        <v>55476</v>
      </c>
      <c r="X7059" t="s">
        <v>40445</v>
      </c>
    </row>
    <row r="7060" spans="1:24">
      <c r="A7060">
        <f>HYPERLINK("https://www.philgeps.gov.ph/GEPSNONPILOT/Tender/SplashBidNoticeAbstractUI.aspx?menuIndex=3&amp;refID=7039118&amp;Result=3","7039118")</f>
        <v>0</v>
      </c>
      <c r="B7060" t="s">
        <v>2215</v>
      </c>
      <c r="C7060" t="s">
        <v>9796</v>
      </c>
      <c r="D7060" t="s">
        <v>16198</v>
      </c>
      <c r="E7060" t="s">
        <v>16322</v>
      </c>
      <c r="F7060" t="s">
        <v>28198</v>
      </c>
      <c r="G7060" t="s">
        <v>28205</v>
      </c>
      <c r="H7060" t="s">
        <v>28214</v>
      </c>
      <c r="I7060" t="s">
        <v>3797</v>
      </c>
      <c r="J7060" t="s">
        <v>32771</v>
      </c>
      <c r="K7060" t="s">
        <v>36802</v>
      </c>
      <c r="M7060" t="s">
        <v>39380</v>
      </c>
      <c r="N7060" t="s">
        <v>40436</v>
      </c>
      <c r="O7060" t="s">
        <v>40437</v>
      </c>
      <c r="P7060">
        <v>0</v>
      </c>
      <c r="Q7060">
        <v>0</v>
      </c>
      <c r="R7060" t="s">
        <v>40444</v>
      </c>
      <c r="S7060" t="s">
        <v>40676</v>
      </c>
      <c r="T7060" t="s">
        <v>42138</v>
      </c>
      <c r="U7060" t="s">
        <v>48577</v>
      </c>
      <c r="W7060" t="s">
        <v>39380</v>
      </c>
      <c r="X7060" t="s">
        <v>40445</v>
      </c>
    </row>
    <row r="7061" spans="1:24">
      <c r="A7061">
        <f>HYPERLINK("https://www.philgeps.gov.ph/GEPSNONPILOT/Tender/SplashBidNoticeAbstractUI.aspx?menuIndex=3&amp;refID=7039003&amp;Result=3","7039003")</f>
        <v>0</v>
      </c>
      <c r="B7061" t="s">
        <v>630</v>
      </c>
      <c r="C7061" t="s">
        <v>9797</v>
      </c>
      <c r="D7061" t="s">
        <v>16200</v>
      </c>
      <c r="E7061" t="s">
        <v>22516</v>
      </c>
      <c r="F7061" t="s">
        <v>28198</v>
      </c>
      <c r="G7061" t="s">
        <v>28205</v>
      </c>
      <c r="H7061" t="s">
        <v>28215</v>
      </c>
      <c r="I7061" t="s">
        <v>28229</v>
      </c>
      <c r="J7061" t="s">
        <v>28561</v>
      </c>
      <c r="K7061" t="s">
        <v>36701</v>
      </c>
      <c r="M7061" t="s">
        <v>39381</v>
      </c>
      <c r="N7061" t="s">
        <v>40436</v>
      </c>
      <c r="O7061" t="s">
        <v>40437</v>
      </c>
      <c r="P7061">
        <v>0</v>
      </c>
      <c r="Q7061">
        <v>0</v>
      </c>
      <c r="R7061" t="s">
        <v>40444</v>
      </c>
      <c r="S7061" t="s">
        <v>40676</v>
      </c>
      <c r="T7061" t="s">
        <v>42205</v>
      </c>
      <c r="U7061" t="s">
        <v>48578</v>
      </c>
      <c r="W7061" t="s">
        <v>39381</v>
      </c>
      <c r="X7061" t="s">
        <v>40445</v>
      </c>
    </row>
    <row r="7062" spans="1:24">
      <c r="A7062">
        <f>HYPERLINK("https://www.philgeps.gov.ph/GEPSNONPILOT/Tender/SplashBidNoticeAbstractUI.aspx?menuIndex=3&amp;refID=7038999&amp;Result=3","7038999")</f>
        <v>0</v>
      </c>
      <c r="B7062" t="s">
        <v>2216</v>
      </c>
      <c r="C7062" t="s">
        <v>9764</v>
      </c>
      <c r="D7062" t="s">
        <v>16207</v>
      </c>
      <c r="E7062" t="s">
        <v>22487</v>
      </c>
      <c r="F7062" t="s">
        <v>28198</v>
      </c>
      <c r="G7062" t="s">
        <v>28205</v>
      </c>
      <c r="H7062" t="s">
        <v>28214</v>
      </c>
      <c r="I7062" t="s">
        <v>8870</v>
      </c>
      <c r="J7062" t="s">
        <v>28361</v>
      </c>
      <c r="K7062" t="s">
        <v>36694</v>
      </c>
      <c r="M7062" t="s">
        <v>39382</v>
      </c>
      <c r="N7062" t="s">
        <v>40436</v>
      </c>
      <c r="O7062" t="s">
        <v>40437</v>
      </c>
      <c r="P7062">
        <v>0</v>
      </c>
      <c r="Q7062">
        <v>2</v>
      </c>
      <c r="R7062" t="s">
        <v>40444</v>
      </c>
      <c r="S7062" t="s">
        <v>40676</v>
      </c>
      <c r="T7062" t="s">
        <v>42245</v>
      </c>
      <c r="U7062" t="s">
        <v>48547</v>
      </c>
      <c r="W7062" t="s">
        <v>39382</v>
      </c>
      <c r="X7062" t="s">
        <v>40445</v>
      </c>
    </row>
    <row r="7063" spans="1:24">
      <c r="A7063">
        <f>HYPERLINK("https://www.philgeps.gov.ph/GEPSNONPILOT/Tender/SplashBidNoticeAbstractUI.aspx?menuIndex=3&amp;refID=7039116&amp;Result=3","7039116")</f>
        <v>0</v>
      </c>
      <c r="B7063" t="s">
        <v>2217</v>
      </c>
      <c r="C7063" t="s">
        <v>9798</v>
      </c>
      <c r="D7063" t="s">
        <v>16199</v>
      </c>
      <c r="E7063" t="s">
        <v>22517</v>
      </c>
      <c r="F7063" t="s">
        <v>28198</v>
      </c>
      <c r="G7063" t="s">
        <v>28207</v>
      </c>
      <c r="H7063" t="s">
        <v>28215</v>
      </c>
      <c r="I7063" t="s">
        <v>5100</v>
      </c>
      <c r="J7063" t="s">
        <v>32772</v>
      </c>
      <c r="K7063" t="s">
        <v>36706</v>
      </c>
      <c r="L7063" t="s">
        <v>2217</v>
      </c>
      <c r="M7063" t="s">
        <v>39383</v>
      </c>
      <c r="N7063" t="s">
        <v>40436</v>
      </c>
      <c r="O7063" t="s">
        <v>40437</v>
      </c>
      <c r="P7063">
        <v>0</v>
      </c>
      <c r="Q7063">
        <v>0</v>
      </c>
      <c r="R7063" t="s">
        <v>40444</v>
      </c>
      <c r="S7063" t="s">
        <v>40676</v>
      </c>
      <c r="T7063" t="s">
        <v>42119</v>
      </c>
      <c r="U7063" t="s">
        <v>48579</v>
      </c>
      <c r="W7063" t="s">
        <v>39383</v>
      </c>
      <c r="X7063" t="s">
        <v>40445</v>
      </c>
    </row>
    <row r="7064" spans="1:24">
      <c r="A7064">
        <f>HYPERLINK("https://www.philgeps.gov.ph/GEPSNONPILOT/Tender/SplashBidNoticeAbstractUI.aspx?menuIndex=3&amp;refID=7039115&amp;Result=3","7039115")</f>
        <v>0</v>
      </c>
      <c r="B7064" t="s">
        <v>389</v>
      </c>
      <c r="C7064" t="s">
        <v>9799</v>
      </c>
      <c r="D7064" t="s">
        <v>16253</v>
      </c>
      <c r="E7064" t="s">
        <v>22518</v>
      </c>
      <c r="F7064" t="s">
        <v>28198</v>
      </c>
      <c r="G7064" t="s">
        <v>28205</v>
      </c>
      <c r="H7064" t="s">
        <v>28214</v>
      </c>
      <c r="I7064" t="s">
        <v>3797</v>
      </c>
      <c r="J7064" t="s">
        <v>29737</v>
      </c>
      <c r="K7064" t="s">
        <v>36687</v>
      </c>
      <c r="M7064" t="s">
        <v>37369</v>
      </c>
      <c r="N7064" t="s">
        <v>40436</v>
      </c>
      <c r="O7064" t="s">
        <v>40437</v>
      </c>
      <c r="P7064">
        <v>0</v>
      </c>
      <c r="Q7064">
        <v>0</v>
      </c>
      <c r="R7064" t="s">
        <v>40444</v>
      </c>
      <c r="S7064" t="s">
        <v>40676</v>
      </c>
      <c r="T7064" t="s">
        <v>42245</v>
      </c>
      <c r="U7064" t="s">
        <v>48580</v>
      </c>
      <c r="W7064" t="s">
        <v>37369</v>
      </c>
      <c r="X7064" t="s">
        <v>40445</v>
      </c>
    </row>
    <row r="7065" spans="1:24">
      <c r="A7065">
        <f>HYPERLINK("https://www.philgeps.gov.ph/GEPSNONPILOT/Tender/SplashBidNoticeAbstractUI.aspx?menuIndex=3&amp;refID=7038993&amp;Result=3","7038993")</f>
        <v>0</v>
      </c>
      <c r="B7065" t="s">
        <v>1130</v>
      </c>
      <c r="C7065" t="s">
        <v>9800</v>
      </c>
      <c r="D7065" t="s">
        <v>16246</v>
      </c>
      <c r="E7065" t="s">
        <v>16834</v>
      </c>
      <c r="F7065" t="s">
        <v>28198</v>
      </c>
      <c r="G7065" t="s">
        <v>28205</v>
      </c>
      <c r="H7065" t="s">
        <v>28214</v>
      </c>
      <c r="I7065" t="s">
        <v>3797</v>
      </c>
      <c r="J7065" t="s">
        <v>28406</v>
      </c>
      <c r="K7065" t="s">
        <v>36701</v>
      </c>
      <c r="M7065" t="s">
        <v>38168</v>
      </c>
      <c r="N7065" t="s">
        <v>40436</v>
      </c>
      <c r="O7065" t="s">
        <v>40437</v>
      </c>
      <c r="P7065">
        <v>0</v>
      </c>
      <c r="Q7065">
        <v>0</v>
      </c>
      <c r="R7065" t="s">
        <v>40444</v>
      </c>
      <c r="S7065" t="s">
        <v>40676</v>
      </c>
      <c r="T7065" t="s">
        <v>42165</v>
      </c>
      <c r="U7065" t="s">
        <v>48581</v>
      </c>
      <c r="V7065" t="s">
        <v>53826</v>
      </c>
      <c r="W7065" t="s">
        <v>38168</v>
      </c>
      <c r="X7065" t="s">
        <v>40445</v>
      </c>
    </row>
    <row r="7066" spans="1:24">
      <c r="A7066">
        <f>HYPERLINK("https://www.philgeps.gov.ph/GEPSNONPILOT/Tender/SplashBidNoticeAbstractUI.aspx?menuIndex=3&amp;refID=7039114&amp;Result=3","7039114")</f>
        <v>0</v>
      </c>
      <c r="B7066" t="s">
        <v>1075</v>
      </c>
      <c r="C7066" t="s">
        <v>9801</v>
      </c>
      <c r="D7066" t="s">
        <v>16249</v>
      </c>
      <c r="E7066" t="s">
        <v>22519</v>
      </c>
      <c r="F7066" t="s">
        <v>28198</v>
      </c>
      <c r="G7066" t="s">
        <v>28205</v>
      </c>
      <c r="H7066" t="s">
        <v>28214</v>
      </c>
      <c r="I7066" t="s">
        <v>3797</v>
      </c>
      <c r="J7066" t="s">
        <v>32773</v>
      </c>
      <c r="K7066" t="s">
        <v>36709</v>
      </c>
      <c r="M7066" t="s">
        <v>38109</v>
      </c>
      <c r="N7066" t="s">
        <v>40436</v>
      </c>
      <c r="O7066" t="s">
        <v>40437</v>
      </c>
      <c r="P7066">
        <v>0</v>
      </c>
      <c r="Q7066">
        <v>8</v>
      </c>
      <c r="R7066" t="s">
        <v>40444</v>
      </c>
      <c r="S7066" t="s">
        <v>40676</v>
      </c>
      <c r="T7066" t="s">
        <v>42165</v>
      </c>
      <c r="U7066" t="s">
        <v>48582</v>
      </c>
      <c r="W7066" t="s">
        <v>38109</v>
      </c>
      <c r="X7066" t="s">
        <v>40445</v>
      </c>
    </row>
    <row r="7067" spans="1:24">
      <c r="A7067">
        <f>HYPERLINK("https://www.philgeps.gov.ph/GEPSNONPILOT/Tender/SplashBidNoticeAbstractUI.aspx?menuIndex=3&amp;refID=7039111&amp;Result=3","7039111")</f>
        <v>0</v>
      </c>
      <c r="B7067" t="s">
        <v>2218</v>
      </c>
      <c r="C7067" t="s">
        <v>9802</v>
      </c>
      <c r="D7067" t="s">
        <v>16197</v>
      </c>
      <c r="E7067" t="s">
        <v>17900</v>
      </c>
      <c r="F7067" t="s">
        <v>28198</v>
      </c>
      <c r="G7067" t="s">
        <v>28205</v>
      </c>
      <c r="H7067" t="s">
        <v>28214</v>
      </c>
      <c r="I7067" t="s">
        <v>5100</v>
      </c>
      <c r="J7067" t="s">
        <v>32774</v>
      </c>
      <c r="K7067" t="s">
        <v>36696</v>
      </c>
      <c r="M7067" t="s">
        <v>39384</v>
      </c>
      <c r="N7067" t="s">
        <v>40436</v>
      </c>
      <c r="O7067" t="s">
        <v>40437</v>
      </c>
      <c r="P7067">
        <v>0</v>
      </c>
      <c r="Q7067">
        <v>0</v>
      </c>
      <c r="R7067" t="s">
        <v>40444</v>
      </c>
      <c r="S7067" t="s">
        <v>40676</v>
      </c>
      <c r="T7067" t="s">
        <v>42145</v>
      </c>
      <c r="U7067" t="s">
        <v>48583</v>
      </c>
      <c r="W7067" t="s">
        <v>39384</v>
      </c>
      <c r="X7067" t="s">
        <v>40445</v>
      </c>
    </row>
    <row r="7068" spans="1:24">
      <c r="A7068">
        <f>HYPERLINK("https://www.philgeps.gov.ph/GEPSNONPILOT/Tender/SplashBidNoticeAbstractUI.aspx?menuIndex=3&amp;refID=7038996&amp;Result=3","7038996")</f>
        <v>0</v>
      </c>
      <c r="B7068" t="s">
        <v>1210</v>
      </c>
      <c r="C7068" t="s">
        <v>9803</v>
      </c>
      <c r="D7068" t="s">
        <v>16230</v>
      </c>
      <c r="E7068" t="s">
        <v>22520</v>
      </c>
      <c r="F7068" t="s">
        <v>28198</v>
      </c>
      <c r="G7068" t="s">
        <v>28207</v>
      </c>
      <c r="H7068" t="s">
        <v>28215</v>
      </c>
      <c r="I7068" t="s">
        <v>6051</v>
      </c>
      <c r="J7068" t="s">
        <v>32775</v>
      </c>
      <c r="K7068" t="s">
        <v>36692</v>
      </c>
      <c r="M7068" t="s">
        <v>38255</v>
      </c>
      <c r="N7068" t="s">
        <v>40436</v>
      </c>
      <c r="O7068" t="s">
        <v>40437</v>
      </c>
      <c r="P7068">
        <v>0</v>
      </c>
      <c r="Q7068">
        <v>1</v>
      </c>
      <c r="R7068" t="s">
        <v>40444</v>
      </c>
      <c r="S7068" t="s">
        <v>40676</v>
      </c>
      <c r="T7068" t="s">
        <v>42245</v>
      </c>
      <c r="U7068" t="s">
        <v>48584</v>
      </c>
      <c r="W7068" t="s">
        <v>55476</v>
      </c>
      <c r="X7068" t="s">
        <v>40445</v>
      </c>
    </row>
    <row r="7069" spans="1:24">
      <c r="A7069">
        <f>HYPERLINK("https://www.philgeps.gov.ph/GEPSNONPILOT/Tender/SplashBidNoticeAbstractUI.aspx?menuIndex=3&amp;refID=7039108&amp;Result=3","7039108")</f>
        <v>0</v>
      </c>
      <c r="B7069" t="s">
        <v>2219</v>
      </c>
      <c r="C7069" t="s">
        <v>9804</v>
      </c>
      <c r="D7069" t="s">
        <v>16244</v>
      </c>
      <c r="E7069" t="s">
        <v>21668</v>
      </c>
      <c r="F7069" t="s">
        <v>28198</v>
      </c>
      <c r="G7069" t="s">
        <v>28205</v>
      </c>
      <c r="H7069" t="s">
        <v>28215</v>
      </c>
      <c r="I7069" t="s">
        <v>5100</v>
      </c>
      <c r="J7069" t="s">
        <v>32776</v>
      </c>
      <c r="K7069" t="s">
        <v>36689</v>
      </c>
      <c r="M7069" t="s">
        <v>39385</v>
      </c>
      <c r="N7069" t="s">
        <v>40436</v>
      </c>
      <c r="O7069" t="s">
        <v>40437</v>
      </c>
      <c r="P7069">
        <v>0</v>
      </c>
      <c r="Q7069">
        <v>0</v>
      </c>
      <c r="R7069" t="s">
        <v>40444</v>
      </c>
      <c r="S7069" t="s">
        <v>40676</v>
      </c>
      <c r="T7069" t="s">
        <v>42141</v>
      </c>
      <c r="U7069" t="s">
        <v>48585</v>
      </c>
      <c r="W7069" t="s">
        <v>39385</v>
      </c>
      <c r="X7069" t="s">
        <v>40445</v>
      </c>
    </row>
    <row r="7070" spans="1:24">
      <c r="A7070">
        <f>HYPERLINK("https://www.philgeps.gov.ph/GEPSNONPILOT/Tender/SplashBidNoticeAbstractUI.aspx?menuIndex=3&amp;refID=7039106&amp;Result=3","7039106")</f>
        <v>0</v>
      </c>
      <c r="B7070" t="s">
        <v>2217</v>
      </c>
      <c r="C7070" t="s">
        <v>9805</v>
      </c>
      <c r="D7070" t="s">
        <v>16199</v>
      </c>
      <c r="E7070" t="s">
        <v>22521</v>
      </c>
      <c r="F7070" t="s">
        <v>28198</v>
      </c>
      <c r="G7070" t="s">
        <v>28207</v>
      </c>
      <c r="H7070" t="s">
        <v>28215</v>
      </c>
      <c r="I7070" t="s">
        <v>5100</v>
      </c>
      <c r="J7070" t="s">
        <v>32777</v>
      </c>
      <c r="K7070" t="s">
        <v>36706</v>
      </c>
      <c r="L7070" t="s">
        <v>2217</v>
      </c>
      <c r="M7070" t="s">
        <v>39383</v>
      </c>
      <c r="N7070" t="s">
        <v>40436</v>
      </c>
      <c r="O7070" t="s">
        <v>40437</v>
      </c>
      <c r="P7070">
        <v>0</v>
      </c>
      <c r="Q7070">
        <v>1</v>
      </c>
      <c r="R7070" t="s">
        <v>40444</v>
      </c>
      <c r="S7070" t="s">
        <v>40676</v>
      </c>
      <c r="T7070" t="s">
        <v>42119</v>
      </c>
      <c r="U7070" t="s">
        <v>48579</v>
      </c>
      <c r="W7070" t="s">
        <v>39383</v>
      </c>
      <c r="X7070" t="s">
        <v>40445</v>
      </c>
    </row>
    <row r="7071" spans="1:24">
      <c r="A7071">
        <f>HYPERLINK("https://www.philgeps.gov.ph/GEPSNONPILOT/Tender/SplashBidNoticeAbstractUI.aspx?menuIndex=3&amp;refID=7039110&amp;Result=3","7039110")</f>
        <v>0</v>
      </c>
      <c r="B7071" t="s">
        <v>2217</v>
      </c>
      <c r="C7071" t="s">
        <v>9806</v>
      </c>
      <c r="D7071" t="s">
        <v>16199</v>
      </c>
      <c r="E7071" t="s">
        <v>22522</v>
      </c>
      <c r="F7071" t="s">
        <v>28198</v>
      </c>
      <c r="G7071" t="s">
        <v>28207</v>
      </c>
      <c r="H7071" t="s">
        <v>28215</v>
      </c>
      <c r="I7071" t="s">
        <v>5100</v>
      </c>
      <c r="J7071" t="s">
        <v>32778</v>
      </c>
      <c r="K7071" t="s">
        <v>36706</v>
      </c>
      <c r="L7071" t="s">
        <v>2217</v>
      </c>
      <c r="M7071" t="s">
        <v>39383</v>
      </c>
      <c r="N7071" t="s">
        <v>40436</v>
      </c>
      <c r="O7071" t="s">
        <v>40437</v>
      </c>
      <c r="P7071">
        <v>0</v>
      </c>
      <c r="Q7071">
        <v>1</v>
      </c>
      <c r="R7071" t="s">
        <v>40444</v>
      </c>
      <c r="S7071" t="s">
        <v>40676</v>
      </c>
      <c r="T7071" t="s">
        <v>42119</v>
      </c>
      <c r="U7071" t="s">
        <v>48579</v>
      </c>
      <c r="W7071" t="s">
        <v>39383</v>
      </c>
      <c r="X7071" t="s">
        <v>40445</v>
      </c>
    </row>
    <row r="7072" spans="1:24">
      <c r="A7072">
        <f>HYPERLINK("https://www.philgeps.gov.ph/GEPSNONPILOT/Tender/SplashBidNoticeAbstractUI.aspx?menuIndex=3&amp;refID=7039085&amp;Result=3","7039085")</f>
        <v>0</v>
      </c>
      <c r="B7072" t="s">
        <v>2220</v>
      </c>
      <c r="C7072" t="s">
        <v>9807</v>
      </c>
      <c r="D7072" t="s">
        <v>16250</v>
      </c>
      <c r="E7072" t="s">
        <v>22523</v>
      </c>
      <c r="F7072" t="s">
        <v>28198</v>
      </c>
      <c r="G7072" t="s">
        <v>28205</v>
      </c>
      <c r="H7072" t="s">
        <v>28215</v>
      </c>
      <c r="I7072" t="s">
        <v>8870</v>
      </c>
      <c r="J7072" t="s">
        <v>32779</v>
      </c>
      <c r="K7072" t="s">
        <v>36692</v>
      </c>
      <c r="M7072" t="s">
        <v>39386</v>
      </c>
      <c r="N7072" t="s">
        <v>40436</v>
      </c>
      <c r="O7072" t="s">
        <v>40437</v>
      </c>
      <c r="P7072">
        <v>0</v>
      </c>
      <c r="Q7072">
        <v>0</v>
      </c>
      <c r="R7072" t="s">
        <v>40444</v>
      </c>
      <c r="S7072" t="s">
        <v>40676</v>
      </c>
      <c r="T7072" t="s">
        <v>42121</v>
      </c>
      <c r="U7072" t="s">
        <v>48586</v>
      </c>
      <c r="V7072" t="s">
        <v>54515</v>
      </c>
      <c r="W7072" t="s">
        <v>39386</v>
      </c>
      <c r="X7072" t="s">
        <v>40445</v>
      </c>
    </row>
    <row r="7073" spans="1:24">
      <c r="A7073">
        <f>HYPERLINK("https://www.philgeps.gov.ph/GEPSNONPILOT/Tender/SplashBidNoticeAbstractUI.aspx?menuIndex=3&amp;refID=7039078&amp;Result=3","7039078")</f>
        <v>0</v>
      </c>
      <c r="B7073" t="s">
        <v>1349</v>
      </c>
      <c r="C7073" t="s">
        <v>9808</v>
      </c>
      <c r="D7073" t="s">
        <v>16249</v>
      </c>
      <c r="E7073" t="s">
        <v>22524</v>
      </c>
      <c r="F7073" t="s">
        <v>28198</v>
      </c>
      <c r="G7073" t="s">
        <v>28207</v>
      </c>
      <c r="H7073" t="s">
        <v>28215</v>
      </c>
      <c r="I7073" t="s">
        <v>28225</v>
      </c>
      <c r="J7073" t="s">
        <v>32780</v>
      </c>
      <c r="K7073" t="s">
        <v>36688</v>
      </c>
      <c r="M7073" t="s">
        <v>38407</v>
      </c>
      <c r="N7073" t="s">
        <v>40436</v>
      </c>
      <c r="O7073" t="s">
        <v>40437</v>
      </c>
      <c r="P7073">
        <v>0</v>
      </c>
      <c r="Q7073">
        <v>3</v>
      </c>
      <c r="R7073" t="s">
        <v>40444</v>
      </c>
      <c r="S7073" t="s">
        <v>40676</v>
      </c>
      <c r="T7073" t="s">
        <v>42233</v>
      </c>
      <c r="U7073" t="s">
        <v>48587</v>
      </c>
      <c r="V7073" t="s">
        <v>54516</v>
      </c>
      <c r="W7073" t="s">
        <v>38407</v>
      </c>
      <c r="X7073" t="s">
        <v>40445</v>
      </c>
    </row>
    <row r="7074" spans="1:24">
      <c r="A7074">
        <f>HYPERLINK("https://www.philgeps.gov.ph/GEPSNONPILOT/Tender/SplashBidNoticeAbstractUI.aspx?menuIndex=3&amp;refID=7039099&amp;Result=3","7039099")</f>
        <v>0</v>
      </c>
      <c r="B7074" t="s">
        <v>2221</v>
      </c>
      <c r="C7074" t="s">
        <v>4827</v>
      </c>
      <c r="D7074" t="s">
        <v>16202</v>
      </c>
      <c r="E7074" t="s">
        <v>16639</v>
      </c>
      <c r="F7074" t="s">
        <v>28198</v>
      </c>
      <c r="G7074" t="s">
        <v>28205</v>
      </c>
      <c r="H7074" t="s">
        <v>28215</v>
      </c>
      <c r="I7074" t="s">
        <v>4200</v>
      </c>
      <c r="J7074" t="s">
        <v>32781</v>
      </c>
      <c r="K7074" t="s">
        <v>36701</v>
      </c>
      <c r="M7074" t="s">
        <v>39387</v>
      </c>
      <c r="N7074" t="s">
        <v>40436</v>
      </c>
      <c r="O7074" t="s">
        <v>40437</v>
      </c>
      <c r="P7074">
        <v>0</v>
      </c>
      <c r="Q7074">
        <v>2</v>
      </c>
      <c r="R7074" t="s">
        <v>40444</v>
      </c>
      <c r="S7074" t="s">
        <v>40676</v>
      </c>
      <c r="T7074" t="s">
        <v>42185</v>
      </c>
      <c r="U7074" t="s">
        <v>48588</v>
      </c>
      <c r="W7074" t="s">
        <v>39387</v>
      </c>
      <c r="X7074" t="s">
        <v>40445</v>
      </c>
    </row>
    <row r="7075" spans="1:24">
      <c r="A7075">
        <f>HYPERLINK("https://www.philgeps.gov.ph/GEPSNONPILOT/Tender/SplashBidNoticeAbstractUI.aspx?menuIndex=3&amp;refID=7039074&amp;Result=3","7039074")</f>
        <v>0</v>
      </c>
      <c r="B7075" t="s">
        <v>2186</v>
      </c>
      <c r="C7075" t="s">
        <v>9809</v>
      </c>
      <c r="D7075" t="s">
        <v>16268</v>
      </c>
      <c r="E7075" t="s">
        <v>22525</v>
      </c>
      <c r="F7075" t="s">
        <v>28198</v>
      </c>
      <c r="G7075" t="s">
        <v>28205</v>
      </c>
      <c r="H7075" t="s">
        <v>28214</v>
      </c>
      <c r="I7075" t="s">
        <v>3797</v>
      </c>
      <c r="J7075" t="s">
        <v>32782</v>
      </c>
      <c r="K7075" t="s">
        <v>36715</v>
      </c>
      <c r="M7075" t="s">
        <v>39350</v>
      </c>
      <c r="N7075" t="s">
        <v>40436</v>
      </c>
      <c r="O7075" t="s">
        <v>40437</v>
      </c>
      <c r="P7075">
        <v>0</v>
      </c>
      <c r="Q7075">
        <v>2</v>
      </c>
      <c r="R7075" t="s">
        <v>40444</v>
      </c>
      <c r="S7075" t="s">
        <v>40676</v>
      </c>
      <c r="T7075" t="s">
        <v>42278</v>
      </c>
      <c r="U7075" t="s">
        <v>48589</v>
      </c>
      <c r="V7075" t="s">
        <v>54517</v>
      </c>
      <c r="W7075" t="s">
        <v>39350</v>
      </c>
      <c r="X7075" t="s">
        <v>40445</v>
      </c>
    </row>
    <row r="7076" spans="1:24">
      <c r="A7076">
        <f>HYPERLINK("https://www.philgeps.gov.ph/GEPSNONPILOT/Tender/SplashBidNoticeAbstractUI.aspx?menuIndex=3&amp;refID=7039098&amp;Result=3","7039098")</f>
        <v>0</v>
      </c>
      <c r="B7076" t="s">
        <v>2222</v>
      </c>
      <c r="C7076" t="s">
        <v>9810</v>
      </c>
      <c r="D7076" t="s">
        <v>16248</v>
      </c>
      <c r="E7076" t="s">
        <v>22526</v>
      </c>
      <c r="F7076" t="s">
        <v>28198</v>
      </c>
      <c r="G7076" t="s">
        <v>28205</v>
      </c>
      <c r="H7076" t="s">
        <v>28214</v>
      </c>
      <c r="I7076" t="s">
        <v>3797</v>
      </c>
      <c r="J7076" t="s">
        <v>28561</v>
      </c>
      <c r="K7076" t="s">
        <v>36694</v>
      </c>
      <c r="M7076" t="s">
        <v>39388</v>
      </c>
      <c r="N7076" t="s">
        <v>40436</v>
      </c>
      <c r="O7076" t="s">
        <v>40437</v>
      </c>
      <c r="Q7076">
        <v>0</v>
      </c>
      <c r="R7076" t="s">
        <v>40444</v>
      </c>
      <c r="S7076" t="s">
        <v>40700</v>
      </c>
      <c r="T7076" t="s">
        <v>42113</v>
      </c>
      <c r="U7076" t="s">
        <v>48590</v>
      </c>
      <c r="W7076" t="s">
        <v>39388</v>
      </c>
      <c r="X7076" t="s">
        <v>40445</v>
      </c>
    </row>
    <row r="7077" spans="1:24">
      <c r="A7077">
        <f>HYPERLINK("https://www.philgeps.gov.ph/GEPSNONPILOT/Tender/SplashBidNoticeAbstractUI.aspx?menuIndex=3&amp;refID=7039059&amp;Result=3","7039059")</f>
        <v>0</v>
      </c>
      <c r="B7077" t="s">
        <v>2208</v>
      </c>
      <c r="C7077" t="s">
        <v>9770</v>
      </c>
      <c r="D7077" t="s">
        <v>16237</v>
      </c>
      <c r="E7077" t="s">
        <v>16508</v>
      </c>
      <c r="F7077" t="s">
        <v>28198</v>
      </c>
      <c r="G7077" t="s">
        <v>28205</v>
      </c>
      <c r="H7077" t="s">
        <v>28214</v>
      </c>
      <c r="I7077" t="s">
        <v>3797</v>
      </c>
      <c r="J7077" t="s">
        <v>28406</v>
      </c>
      <c r="K7077" t="s">
        <v>36701</v>
      </c>
      <c r="M7077" t="s">
        <v>39373</v>
      </c>
      <c r="N7077" t="s">
        <v>40436</v>
      </c>
      <c r="O7077" t="s">
        <v>40437</v>
      </c>
      <c r="P7077">
        <v>0</v>
      </c>
      <c r="Q7077">
        <v>0</v>
      </c>
      <c r="R7077" t="s">
        <v>40444</v>
      </c>
      <c r="S7077" t="s">
        <v>40676</v>
      </c>
      <c r="T7077" t="s">
        <v>42390</v>
      </c>
      <c r="U7077" t="s">
        <v>48591</v>
      </c>
      <c r="W7077" t="s">
        <v>39373</v>
      </c>
      <c r="X7077" t="s">
        <v>40445</v>
      </c>
    </row>
    <row r="7078" spans="1:24">
      <c r="A7078">
        <f>HYPERLINK("https://www.philgeps.gov.ph/GEPSNONPILOT/Tender/SplashBidNoticeAbstractUI.aspx?menuIndex=3&amp;refID=7039065&amp;Result=3","7039065")</f>
        <v>0</v>
      </c>
      <c r="B7078" t="s">
        <v>1108</v>
      </c>
      <c r="C7078" t="s">
        <v>9811</v>
      </c>
      <c r="D7078" t="s">
        <v>16193</v>
      </c>
      <c r="E7078" t="s">
        <v>22527</v>
      </c>
      <c r="F7078" t="s">
        <v>28198</v>
      </c>
      <c r="G7078" t="s">
        <v>28205</v>
      </c>
      <c r="H7078" t="s">
        <v>28215</v>
      </c>
      <c r="I7078" t="s">
        <v>5100</v>
      </c>
      <c r="J7078" t="s">
        <v>32783</v>
      </c>
      <c r="K7078" t="s">
        <v>36707</v>
      </c>
      <c r="M7078" t="s">
        <v>38144</v>
      </c>
      <c r="N7078" t="s">
        <v>40436</v>
      </c>
      <c r="O7078" t="s">
        <v>40437</v>
      </c>
      <c r="P7078">
        <v>0</v>
      </c>
      <c r="Q7078">
        <v>0</v>
      </c>
      <c r="R7078" t="s">
        <v>40444</v>
      </c>
      <c r="S7078" t="s">
        <v>40676</v>
      </c>
      <c r="T7078" t="s">
        <v>42129</v>
      </c>
      <c r="U7078" t="s">
        <v>48592</v>
      </c>
      <c r="W7078" t="s">
        <v>38144</v>
      </c>
      <c r="X7078" t="s">
        <v>40445</v>
      </c>
    </row>
    <row r="7079" spans="1:24">
      <c r="A7079">
        <f>HYPERLINK("https://www.philgeps.gov.ph/GEPSNONPILOT/Tender/SplashBidNoticeAbstractUI.aspx?menuIndex=3&amp;refID=7039066&amp;Result=3","7039066")</f>
        <v>0</v>
      </c>
      <c r="B7079" t="s">
        <v>1215</v>
      </c>
      <c r="C7079" t="s">
        <v>9812</v>
      </c>
      <c r="D7079" t="s">
        <v>16238</v>
      </c>
      <c r="E7079" t="s">
        <v>22528</v>
      </c>
      <c r="F7079" t="s">
        <v>28198</v>
      </c>
      <c r="G7079" t="s">
        <v>28207</v>
      </c>
      <c r="H7079" t="s">
        <v>28214</v>
      </c>
      <c r="I7079" t="s">
        <v>3797</v>
      </c>
      <c r="J7079" t="s">
        <v>32784</v>
      </c>
      <c r="K7079" t="s">
        <v>36701</v>
      </c>
      <c r="M7079" t="s">
        <v>39334</v>
      </c>
      <c r="N7079" t="s">
        <v>40436</v>
      </c>
      <c r="O7079" t="s">
        <v>40437</v>
      </c>
      <c r="P7079">
        <v>0</v>
      </c>
      <c r="Q7079">
        <v>0</v>
      </c>
      <c r="R7079" t="s">
        <v>40444</v>
      </c>
      <c r="S7079" t="s">
        <v>40676</v>
      </c>
      <c r="T7079" t="s">
        <v>42350</v>
      </c>
      <c r="U7079" t="s">
        <v>48593</v>
      </c>
      <c r="W7079" t="s">
        <v>39334</v>
      </c>
      <c r="X7079" t="s">
        <v>40445</v>
      </c>
    </row>
    <row r="7080" spans="1:24">
      <c r="A7080">
        <f>HYPERLINK("https://www.philgeps.gov.ph/GEPSNONPILOT/Tender/SplashBidNoticeAbstractUI.aspx?menuIndex=3&amp;refID=7038990&amp;Result=3","7038990")</f>
        <v>0</v>
      </c>
      <c r="B7080" t="s">
        <v>1215</v>
      </c>
      <c r="C7080" t="s">
        <v>9813</v>
      </c>
      <c r="D7080" t="s">
        <v>16238</v>
      </c>
      <c r="E7080" t="s">
        <v>22529</v>
      </c>
      <c r="F7080" t="s">
        <v>28198</v>
      </c>
      <c r="G7080" t="s">
        <v>28207</v>
      </c>
      <c r="H7080" t="s">
        <v>28214</v>
      </c>
      <c r="I7080" t="s">
        <v>3797</v>
      </c>
      <c r="J7080" t="s">
        <v>32784</v>
      </c>
      <c r="K7080" t="s">
        <v>36701</v>
      </c>
      <c r="M7080" t="s">
        <v>39334</v>
      </c>
      <c r="N7080" t="s">
        <v>40436</v>
      </c>
      <c r="O7080" t="s">
        <v>40437</v>
      </c>
      <c r="P7080">
        <v>0</v>
      </c>
      <c r="Q7080">
        <v>1</v>
      </c>
      <c r="R7080" t="s">
        <v>40444</v>
      </c>
      <c r="S7080" t="s">
        <v>40676</v>
      </c>
      <c r="T7080" t="s">
        <v>42350</v>
      </c>
      <c r="U7080" t="s">
        <v>48593</v>
      </c>
      <c r="W7080" t="s">
        <v>39334</v>
      </c>
      <c r="X7080" t="s">
        <v>40445</v>
      </c>
    </row>
    <row r="7081" spans="1:24">
      <c r="A7081">
        <f>HYPERLINK("https://www.philgeps.gov.ph/GEPSNONPILOT/Tender/SplashBidNoticeAbstractUI.aspx?menuIndex=3&amp;refID=7039063&amp;Result=3","7039063")</f>
        <v>0</v>
      </c>
      <c r="B7081" t="s">
        <v>1075</v>
      </c>
      <c r="C7081" t="s">
        <v>9814</v>
      </c>
      <c r="D7081" t="s">
        <v>16249</v>
      </c>
      <c r="E7081" t="s">
        <v>22530</v>
      </c>
      <c r="F7081" t="s">
        <v>28198</v>
      </c>
      <c r="G7081" t="s">
        <v>28205</v>
      </c>
      <c r="H7081" t="s">
        <v>28214</v>
      </c>
      <c r="I7081" t="s">
        <v>3797</v>
      </c>
      <c r="J7081" t="s">
        <v>32785</v>
      </c>
      <c r="K7081" t="s">
        <v>36829</v>
      </c>
      <c r="M7081" t="s">
        <v>38109</v>
      </c>
      <c r="N7081" t="s">
        <v>40436</v>
      </c>
      <c r="O7081" t="s">
        <v>40437</v>
      </c>
      <c r="P7081">
        <v>0</v>
      </c>
      <c r="Q7081">
        <v>11</v>
      </c>
      <c r="R7081" t="s">
        <v>40444</v>
      </c>
      <c r="S7081" t="s">
        <v>40676</v>
      </c>
      <c r="T7081" t="s">
        <v>42165</v>
      </c>
      <c r="U7081" t="s">
        <v>48594</v>
      </c>
      <c r="W7081" t="s">
        <v>38109</v>
      </c>
      <c r="X7081" t="s">
        <v>40445</v>
      </c>
    </row>
    <row r="7082" spans="1:24">
      <c r="A7082">
        <f>HYPERLINK("https://www.philgeps.gov.ph/GEPSNONPILOT/Tender/SplashBidNoticeAbstractUI.aspx?menuIndex=3&amp;refID=7039076&amp;Result=3","7039076")</f>
        <v>0</v>
      </c>
      <c r="B7082" t="s">
        <v>1157</v>
      </c>
      <c r="C7082" t="s">
        <v>9815</v>
      </c>
      <c r="D7082" t="s">
        <v>16193</v>
      </c>
      <c r="E7082" t="s">
        <v>22531</v>
      </c>
      <c r="F7082" t="s">
        <v>28198</v>
      </c>
      <c r="G7082" t="s">
        <v>28209</v>
      </c>
      <c r="H7082" t="s">
        <v>28215</v>
      </c>
      <c r="I7082" t="s">
        <v>5071</v>
      </c>
      <c r="J7082" t="s">
        <v>32786</v>
      </c>
      <c r="K7082" t="s">
        <v>36689</v>
      </c>
      <c r="M7082" t="s">
        <v>38197</v>
      </c>
      <c r="N7082" t="s">
        <v>40436</v>
      </c>
      <c r="O7082" t="s">
        <v>40437</v>
      </c>
      <c r="P7082">
        <v>0</v>
      </c>
      <c r="Q7082">
        <v>0</v>
      </c>
      <c r="R7082" t="s">
        <v>40444</v>
      </c>
      <c r="S7082" t="s">
        <v>40676</v>
      </c>
      <c r="T7082" t="s">
        <v>42184</v>
      </c>
      <c r="U7082" t="s">
        <v>48595</v>
      </c>
      <c r="W7082" t="s">
        <v>55484</v>
      </c>
      <c r="X7082" t="s">
        <v>40445</v>
      </c>
    </row>
    <row r="7083" spans="1:24">
      <c r="A7083">
        <f>HYPERLINK("https://www.philgeps.gov.ph/GEPSNONPILOT/Tender/SplashBidNoticeAbstractUI.aspx?menuIndex=3&amp;refID=7039129&amp;Result=3","7039129")</f>
        <v>0</v>
      </c>
      <c r="B7083" t="s">
        <v>431</v>
      </c>
      <c r="C7083" t="s">
        <v>9816</v>
      </c>
      <c r="D7083" t="s">
        <v>16213</v>
      </c>
      <c r="E7083" t="s">
        <v>22532</v>
      </c>
      <c r="F7083" t="s">
        <v>28198</v>
      </c>
      <c r="G7083" t="s">
        <v>28205</v>
      </c>
      <c r="H7083" t="s">
        <v>28215</v>
      </c>
      <c r="I7083" t="s">
        <v>28243</v>
      </c>
      <c r="J7083" t="s">
        <v>32787</v>
      </c>
      <c r="K7083" t="s">
        <v>36694</v>
      </c>
      <c r="L7083" t="s">
        <v>431</v>
      </c>
      <c r="M7083" t="s">
        <v>37414</v>
      </c>
      <c r="N7083" t="s">
        <v>40436</v>
      </c>
      <c r="O7083" t="s">
        <v>40437</v>
      </c>
      <c r="P7083">
        <v>0</v>
      </c>
      <c r="Q7083">
        <v>7</v>
      </c>
      <c r="R7083" t="s">
        <v>40444</v>
      </c>
      <c r="S7083" t="s">
        <v>40676</v>
      </c>
      <c r="T7083" t="s">
        <v>42168</v>
      </c>
      <c r="U7083" t="s">
        <v>48596</v>
      </c>
      <c r="V7083" t="s">
        <v>54518</v>
      </c>
      <c r="W7083" t="s">
        <v>37414</v>
      </c>
      <c r="X7083" t="s">
        <v>40445</v>
      </c>
    </row>
    <row r="7084" spans="1:24">
      <c r="A7084">
        <f>HYPERLINK("https://www.philgeps.gov.ph/GEPSNONPILOT/Tender/SplashBidNoticeAbstractUI.aspx?menuIndex=3&amp;refID=7039058&amp;Result=3","7039058")</f>
        <v>0</v>
      </c>
      <c r="B7084" t="s">
        <v>583</v>
      </c>
      <c r="C7084" t="s">
        <v>9817</v>
      </c>
      <c r="D7084" t="s">
        <v>16235</v>
      </c>
      <c r="E7084" t="s">
        <v>22533</v>
      </c>
      <c r="F7084" t="s">
        <v>28198</v>
      </c>
      <c r="G7084" t="s">
        <v>28207</v>
      </c>
      <c r="H7084" t="s">
        <v>28215</v>
      </c>
      <c r="I7084" t="s">
        <v>28246</v>
      </c>
      <c r="J7084" t="s">
        <v>28415</v>
      </c>
      <c r="K7084" t="s">
        <v>36701</v>
      </c>
      <c r="M7084" t="s">
        <v>37573</v>
      </c>
      <c r="N7084" t="s">
        <v>40436</v>
      </c>
      <c r="O7084" t="s">
        <v>40437</v>
      </c>
      <c r="P7084">
        <v>0</v>
      </c>
      <c r="Q7084">
        <v>1</v>
      </c>
      <c r="R7084" t="s">
        <v>40444</v>
      </c>
      <c r="S7084" t="s">
        <v>40676</v>
      </c>
      <c r="T7084" t="s">
        <v>42455</v>
      </c>
      <c r="U7084" t="s">
        <v>48597</v>
      </c>
      <c r="V7084" t="s">
        <v>53926</v>
      </c>
      <c r="W7084" t="s">
        <v>37573</v>
      </c>
      <c r="X7084" t="s">
        <v>40445</v>
      </c>
    </row>
    <row r="7085" spans="1:24">
      <c r="A7085">
        <f>HYPERLINK("https://www.philgeps.gov.ph/GEPSNONPILOT/Tender/SplashBidNoticeAbstractUI.aspx?menuIndex=3&amp;refID=7039131&amp;Result=3","7039131")</f>
        <v>0</v>
      </c>
      <c r="B7085" t="s">
        <v>461</v>
      </c>
      <c r="C7085" t="s">
        <v>9818</v>
      </c>
      <c r="D7085" t="s">
        <v>16208</v>
      </c>
      <c r="E7085" t="s">
        <v>22534</v>
      </c>
      <c r="F7085" t="s">
        <v>28198</v>
      </c>
      <c r="G7085" t="s">
        <v>28205</v>
      </c>
      <c r="H7085" t="s">
        <v>28214</v>
      </c>
      <c r="I7085" t="s">
        <v>3797</v>
      </c>
      <c r="J7085" t="s">
        <v>32788</v>
      </c>
      <c r="K7085" t="s">
        <v>36853</v>
      </c>
      <c r="M7085" t="s">
        <v>39389</v>
      </c>
      <c r="N7085" t="s">
        <v>40436</v>
      </c>
      <c r="O7085" t="s">
        <v>40437</v>
      </c>
      <c r="P7085">
        <v>0</v>
      </c>
      <c r="Q7085">
        <v>0</v>
      </c>
      <c r="R7085" t="s">
        <v>40444</v>
      </c>
      <c r="S7085" t="s">
        <v>40676</v>
      </c>
      <c r="T7085" t="s">
        <v>42234</v>
      </c>
      <c r="U7085" t="s">
        <v>48598</v>
      </c>
      <c r="W7085" t="s">
        <v>39389</v>
      </c>
      <c r="X7085" t="s">
        <v>40445</v>
      </c>
    </row>
    <row r="7086" spans="1:24">
      <c r="A7086">
        <f>HYPERLINK("https://www.philgeps.gov.ph/GEPSNONPILOT/Tender/SplashBidNoticeAbstractUI.aspx?menuIndex=3&amp;refID=7038950&amp;Result=3","7038950")</f>
        <v>0</v>
      </c>
      <c r="B7086" t="s">
        <v>2157</v>
      </c>
      <c r="C7086" t="s">
        <v>9819</v>
      </c>
      <c r="D7086" t="s">
        <v>16204</v>
      </c>
      <c r="E7086" t="s">
        <v>22535</v>
      </c>
      <c r="F7086" t="s">
        <v>28198</v>
      </c>
      <c r="G7086" t="s">
        <v>28205</v>
      </c>
      <c r="H7086" t="s">
        <v>28214</v>
      </c>
      <c r="I7086" t="s">
        <v>3797</v>
      </c>
      <c r="J7086" t="s">
        <v>32789</v>
      </c>
      <c r="K7086" t="s">
        <v>36809</v>
      </c>
      <c r="M7086" t="s">
        <v>39314</v>
      </c>
      <c r="N7086" t="s">
        <v>40436</v>
      </c>
      <c r="O7086" t="s">
        <v>40437</v>
      </c>
      <c r="Q7086">
        <v>17</v>
      </c>
      <c r="R7086" t="s">
        <v>40444</v>
      </c>
      <c r="S7086" t="s">
        <v>40701</v>
      </c>
      <c r="T7086" t="s">
        <v>42121</v>
      </c>
      <c r="U7086" t="s">
        <v>48599</v>
      </c>
      <c r="V7086" t="s">
        <v>54495</v>
      </c>
      <c r="W7086" t="s">
        <v>39314</v>
      </c>
      <c r="X7086" t="s">
        <v>40445</v>
      </c>
    </row>
    <row r="7087" spans="1:24">
      <c r="A7087">
        <f>HYPERLINK("https://www.philgeps.gov.ph/GEPSNONPILOT/Tender/SplashBidNoticeAbstractUI.aspx?menuIndex=3&amp;refID=7039144&amp;Result=3","7039144")</f>
        <v>0</v>
      </c>
      <c r="B7087" t="s">
        <v>461</v>
      </c>
      <c r="C7087" t="s">
        <v>9820</v>
      </c>
      <c r="D7087" t="s">
        <v>16208</v>
      </c>
      <c r="E7087" t="s">
        <v>22536</v>
      </c>
      <c r="F7087" t="s">
        <v>28198</v>
      </c>
      <c r="G7087" t="s">
        <v>28205</v>
      </c>
      <c r="H7087" t="s">
        <v>28214</v>
      </c>
      <c r="I7087" t="s">
        <v>3797</v>
      </c>
      <c r="J7087" t="s">
        <v>32790</v>
      </c>
      <c r="K7087" t="s">
        <v>36854</v>
      </c>
      <c r="M7087" t="s">
        <v>39389</v>
      </c>
      <c r="N7087" t="s">
        <v>40436</v>
      </c>
      <c r="O7087" t="s">
        <v>40437</v>
      </c>
      <c r="P7087">
        <v>0</v>
      </c>
      <c r="Q7087">
        <v>0</v>
      </c>
      <c r="R7087" t="s">
        <v>40444</v>
      </c>
      <c r="S7087" t="s">
        <v>40676</v>
      </c>
      <c r="T7087" t="s">
        <v>42234</v>
      </c>
      <c r="U7087" t="s">
        <v>48600</v>
      </c>
      <c r="W7087" t="s">
        <v>39389</v>
      </c>
      <c r="X7087" t="s">
        <v>40445</v>
      </c>
    </row>
    <row r="7088" spans="1:24">
      <c r="A7088">
        <f>HYPERLINK("https://www.philgeps.gov.ph/GEPSNONPILOT/Tender/SplashBidNoticeAbstractUI.aspx?menuIndex=3&amp;refID=7039126&amp;Result=3","7039126")</f>
        <v>0</v>
      </c>
      <c r="B7088" t="s">
        <v>2219</v>
      </c>
      <c r="C7088" t="s">
        <v>9821</v>
      </c>
      <c r="D7088" t="s">
        <v>16244</v>
      </c>
      <c r="E7088" t="s">
        <v>21668</v>
      </c>
      <c r="F7088" t="s">
        <v>28198</v>
      </c>
      <c r="G7088" t="s">
        <v>28205</v>
      </c>
      <c r="H7088" t="s">
        <v>28215</v>
      </c>
      <c r="I7088" t="s">
        <v>5100</v>
      </c>
      <c r="J7088" t="s">
        <v>32791</v>
      </c>
      <c r="K7088" t="s">
        <v>36695</v>
      </c>
      <c r="M7088" t="s">
        <v>39385</v>
      </c>
      <c r="N7088" t="s">
        <v>40436</v>
      </c>
      <c r="O7088" t="s">
        <v>40437</v>
      </c>
      <c r="P7088">
        <v>0</v>
      </c>
      <c r="Q7088">
        <v>0</v>
      </c>
      <c r="R7088" t="s">
        <v>40444</v>
      </c>
      <c r="S7088" t="s">
        <v>40676</v>
      </c>
      <c r="T7088" t="s">
        <v>42141</v>
      </c>
      <c r="U7088" t="s">
        <v>48601</v>
      </c>
      <c r="W7088" t="s">
        <v>39385</v>
      </c>
      <c r="X7088" t="s">
        <v>40445</v>
      </c>
    </row>
    <row r="7089" spans="1:24">
      <c r="A7089">
        <f>HYPERLINK("https://www.philgeps.gov.ph/GEPSNONPILOT/Tender/SplashBidNoticeAbstractUI.aspx?menuIndex=3&amp;refID=7039121&amp;Result=3","7039121")</f>
        <v>0</v>
      </c>
      <c r="B7089" t="s">
        <v>2217</v>
      </c>
      <c r="C7089" t="s">
        <v>9822</v>
      </c>
      <c r="D7089" t="s">
        <v>16199</v>
      </c>
      <c r="E7089" t="s">
        <v>22537</v>
      </c>
      <c r="F7089" t="s">
        <v>28198</v>
      </c>
      <c r="G7089" t="s">
        <v>28207</v>
      </c>
      <c r="H7089" t="s">
        <v>28215</v>
      </c>
      <c r="I7089" t="s">
        <v>5100</v>
      </c>
      <c r="J7089" t="s">
        <v>32792</v>
      </c>
      <c r="K7089" t="s">
        <v>36706</v>
      </c>
      <c r="L7089" t="s">
        <v>2217</v>
      </c>
      <c r="M7089" t="s">
        <v>39383</v>
      </c>
      <c r="N7089" t="s">
        <v>40436</v>
      </c>
      <c r="O7089" t="s">
        <v>40437</v>
      </c>
      <c r="P7089">
        <v>0</v>
      </c>
      <c r="Q7089">
        <v>0</v>
      </c>
      <c r="R7089" t="s">
        <v>40444</v>
      </c>
      <c r="S7089" t="s">
        <v>40676</v>
      </c>
      <c r="T7089" t="s">
        <v>42119</v>
      </c>
      <c r="U7089" t="s">
        <v>48579</v>
      </c>
      <c r="W7089" t="s">
        <v>39383</v>
      </c>
      <c r="X7089" t="s">
        <v>40445</v>
      </c>
    </row>
    <row r="7090" spans="1:24">
      <c r="A7090">
        <f>HYPERLINK("https://www.philgeps.gov.ph/GEPSNONPILOT/Tender/SplashBidNoticeAbstractUI.aspx?menuIndex=3&amp;refID=7039147&amp;Result=3","7039147")</f>
        <v>0</v>
      </c>
      <c r="B7090" t="s">
        <v>2217</v>
      </c>
      <c r="C7090" t="s">
        <v>9823</v>
      </c>
      <c r="D7090" t="s">
        <v>16199</v>
      </c>
      <c r="E7090" t="s">
        <v>22538</v>
      </c>
      <c r="F7090" t="s">
        <v>28198</v>
      </c>
      <c r="G7090" t="s">
        <v>28207</v>
      </c>
      <c r="H7090" t="s">
        <v>28215</v>
      </c>
      <c r="I7090" t="s">
        <v>5100</v>
      </c>
      <c r="J7090" t="s">
        <v>32793</v>
      </c>
      <c r="K7090" t="s">
        <v>36706</v>
      </c>
      <c r="L7090" t="s">
        <v>2217</v>
      </c>
      <c r="M7090" t="s">
        <v>39383</v>
      </c>
      <c r="N7090" t="s">
        <v>40436</v>
      </c>
      <c r="O7090" t="s">
        <v>40437</v>
      </c>
      <c r="P7090">
        <v>0</v>
      </c>
      <c r="Q7090">
        <v>1</v>
      </c>
      <c r="R7090" t="s">
        <v>40444</v>
      </c>
      <c r="S7090" t="s">
        <v>40676</v>
      </c>
      <c r="T7090" t="s">
        <v>42119</v>
      </c>
      <c r="U7090" t="s">
        <v>48579</v>
      </c>
      <c r="W7090" t="s">
        <v>39383</v>
      </c>
      <c r="X7090" t="s">
        <v>40445</v>
      </c>
    </row>
    <row r="7091" spans="1:24">
      <c r="A7091">
        <f>HYPERLINK("https://www.philgeps.gov.ph/GEPSNONPILOT/Tender/SplashBidNoticeAbstractUI.aspx?menuIndex=3&amp;refID=7039135&amp;Result=3","7039135")</f>
        <v>0</v>
      </c>
      <c r="B7091" t="s">
        <v>2008</v>
      </c>
      <c r="C7091" t="s">
        <v>9824</v>
      </c>
      <c r="D7091" t="s">
        <v>16210</v>
      </c>
      <c r="E7091" t="s">
        <v>22539</v>
      </c>
      <c r="F7091" t="s">
        <v>28198</v>
      </c>
      <c r="G7091" t="s">
        <v>28205</v>
      </c>
      <c r="H7091" t="s">
        <v>28215</v>
      </c>
      <c r="I7091" t="s">
        <v>5656</v>
      </c>
      <c r="J7091" t="s">
        <v>28566</v>
      </c>
      <c r="K7091" t="s">
        <v>36688</v>
      </c>
      <c r="M7091" t="s">
        <v>39146</v>
      </c>
      <c r="N7091" t="s">
        <v>40436</v>
      </c>
      <c r="O7091" t="s">
        <v>40437</v>
      </c>
      <c r="P7091">
        <v>0</v>
      </c>
      <c r="Q7091">
        <v>1</v>
      </c>
      <c r="R7091" t="s">
        <v>40444</v>
      </c>
      <c r="S7091" t="s">
        <v>40676</v>
      </c>
      <c r="T7091" t="s">
        <v>42205</v>
      </c>
      <c r="U7091" t="s">
        <v>48602</v>
      </c>
      <c r="W7091" t="s">
        <v>39146</v>
      </c>
      <c r="X7091" t="s">
        <v>40445</v>
      </c>
    </row>
    <row r="7092" spans="1:24">
      <c r="A7092">
        <f>HYPERLINK("https://www.philgeps.gov.ph/GEPSNONPILOT/Tender/SplashBidNoticeAbstractUI.aspx?menuIndex=3&amp;refID=7039133&amp;Result=3","7039133")</f>
        <v>0</v>
      </c>
      <c r="B7092" t="s">
        <v>2217</v>
      </c>
      <c r="C7092" t="s">
        <v>9825</v>
      </c>
      <c r="D7092" t="s">
        <v>16199</v>
      </c>
      <c r="E7092" t="s">
        <v>22540</v>
      </c>
      <c r="F7092" t="s">
        <v>28198</v>
      </c>
      <c r="G7092" t="s">
        <v>28207</v>
      </c>
      <c r="H7092" t="s">
        <v>28215</v>
      </c>
      <c r="I7092" t="s">
        <v>5100</v>
      </c>
      <c r="J7092" t="s">
        <v>32794</v>
      </c>
      <c r="K7092" t="s">
        <v>36706</v>
      </c>
      <c r="L7092" t="s">
        <v>2217</v>
      </c>
      <c r="M7092" t="s">
        <v>39383</v>
      </c>
      <c r="N7092" t="s">
        <v>40436</v>
      </c>
      <c r="O7092" t="s">
        <v>40437</v>
      </c>
      <c r="P7092">
        <v>0</v>
      </c>
      <c r="Q7092">
        <v>1</v>
      </c>
      <c r="R7092" t="s">
        <v>40444</v>
      </c>
      <c r="S7092" t="s">
        <v>40676</v>
      </c>
      <c r="T7092" t="s">
        <v>42119</v>
      </c>
      <c r="U7092" t="s">
        <v>48579</v>
      </c>
      <c r="W7092" t="s">
        <v>39383</v>
      </c>
      <c r="X7092" t="s">
        <v>40445</v>
      </c>
    </row>
    <row r="7093" spans="1:24">
      <c r="A7093">
        <f>HYPERLINK("https://www.philgeps.gov.ph/GEPSNONPILOT/Tender/SplashBidNoticeAbstractUI.aspx?menuIndex=3&amp;refID=7039148&amp;Result=3","7039148")</f>
        <v>0</v>
      </c>
      <c r="B7093" t="s">
        <v>2223</v>
      </c>
      <c r="C7093" t="s">
        <v>9826</v>
      </c>
      <c r="D7093" t="s">
        <v>16247</v>
      </c>
      <c r="E7093" t="s">
        <v>22541</v>
      </c>
      <c r="F7093" t="s">
        <v>28198</v>
      </c>
      <c r="G7093" t="s">
        <v>28206</v>
      </c>
      <c r="H7093" t="s">
        <v>28215</v>
      </c>
      <c r="I7093" t="s">
        <v>4200</v>
      </c>
      <c r="J7093" t="s">
        <v>32795</v>
      </c>
      <c r="K7093" t="s">
        <v>36688</v>
      </c>
      <c r="M7093" t="s">
        <v>39390</v>
      </c>
      <c r="N7093" t="s">
        <v>40436</v>
      </c>
      <c r="O7093" t="s">
        <v>40437</v>
      </c>
      <c r="P7093">
        <v>0</v>
      </c>
      <c r="Q7093">
        <v>3</v>
      </c>
      <c r="R7093" t="s">
        <v>40444</v>
      </c>
      <c r="S7093" t="s">
        <v>40676</v>
      </c>
      <c r="T7093" t="s">
        <v>42350</v>
      </c>
      <c r="U7093" t="s">
        <v>48603</v>
      </c>
      <c r="W7093" t="s">
        <v>39390</v>
      </c>
      <c r="X7093" t="s">
        <v>40445</v>
      </c>
    </row>
    <row r="7094" spans="1:24">
      <c r="A7094">
        <f>HYPERLINK("https://www.philgeps.gov.ph/GEPSNONPILOT/Tender/SplashBidNoticeAbstractUI.aspx?menuIndex=3&amp;refID=7039150&amp;Result=3","7039150")</f>
        <v>0</v>
      </c>
      <c r="B7094" t="s">
        <v>389</v>
      </c>
      <c r="C7094" t="s">
        <v>9827</v>
      </c>
      <c r="D7094" t="s">
        <v>16253</v>
      </c>
      <c r="E7094" t="s">
        <v>22542</v>
      </c>
      <c r="F7094" t="s">
        <v>28198</v>
      </c>
      <c r="G7094" t="s">
        <v>28205</v>
      </c>
      <c r="H7094" t="s">
        <v>28214</v>
      </c>
      <c r="I7094" t="s">
        <v>3797</v>
      </c>
      <c r="J7094" t="s">
        <v>28623</v>
      </c>
      <c r="K7094" t="s">
        <v>36709</v>
      </c>
      <c r="M7094" t="s">
        <v>37369</v>
      </c>
      <c r="N7094" t="s">
        <v>40436</v>
      </c>
      <c r="O7094" t="s">
        <v>40437</v>
      </c>
      <c r="P7094">
        <v>0</v>
      </c>
      <c r="Q7094">
        <v>0</v>
      </c>
      <c r="R7094" t="s">
        <v>40444</v>
      </c>
      <c r="S7094" t="s">
        <v>40676</v>
      </c>
      <c r="T7094" t="s">
        <v>42245</v>
      </c>
      <c r="U7094" t="s">
        <v>48604</v>
      </c>
      <c r="W7094" t="s">
        <v>37369</v>
      </c>
      <c r="X7094" t="s">
        <v>40445</v>
      </c>
    </row>
    <row r="7095" spans="1:24">
      <c r="A7095">
        <f>HYPERLINK("https://www.philgeps.gov.ph/GEPSNONPILOT/Tender/SplashBidNoticeAbstractUI.aspx?menuIndex=3&amp;refID=7039165&amp;Result=3","7039165")</f>
        <v>0</v>
      </c>
      <c r="B7095" t="s">
        <v>2222</v>
      </c>
      <c r="C7095" t="s">
        <v>9828</v>
      </c>
      <c r="D7095" t="s">
        <v>16248</v>
      </c>
      <c r="E7095" t="s">
        <v>22543</v>
      </c>
      <c r="F7095" t="s">
        <v>28198</v>
      </c>
      <c r="G7095" t="s">
        <v>28205</v>
      </c>
      <c r="H7095" t="s">
        <v>28214</v>
      </c>
      <c r="I7095" t="s">
        <v>3797</v>
      </c>
      <c r="J7095" t="s">
        <v>28378</v>
      </c>
      <c r="K7095" t="s">
        <v>36697</v>
      </c>
      <c r="M7095" t="s">
        <v>39388</v>
      </c>
      <c r="N7095" t="s">
        <v>40436</v>
      </c>
      <c r="O7095" t="s">
        <v>40437</v>
      </c>
      <c r="Q7095">
        <v>0</v>
      </c>
      <c r="R7095" t="s">
        <v>40444</v>
      </c>
      <c r="S7095" t="s">
        <v>40702</v>
      </c>
      <c r="T7095" t="s">
        <v>42113</v>
      </c>
      <c r="U7095" t="s">
        <v>48590</v>
      </c>
      <c r="W7095" t="s">
        <v>39388</v>
      </c>
      <c r="X7095" t="s">
        <v>40445</v>
      </c>
    </row>
    <row r="7096" spans="1:24">
      <c r="A7096">
        <f>HYPERLINK("https://www.philgeps.gov.ph/GEPSNONPILOT/Tender/SplashBidNoticeAbstractUI.aspx?menuIndex=3&amp;refID=7039158&amp;Result=3","7039158")</f>
        <v>0</v>
      </c>
      <c r="B7096" t="s">
        <v>461</v>
      </c>
      <c r="C7096" t="s">
        <v>9829</v>
      </c>
      <c r="D7096" t="s">
        <v>16208</v>
      </c>
      <c r="E7096" t="s">
        <v>22544</v>
      </c>
      <c r="F7096" t="s">
        <v>28198</v>
      </c>
      <c r="G7096" t="s">
        <v>28205</v>
      </c>
      <c r="H7096" t="s">
        <v>28214</v>
      </c>
      <c r="I7096" t="s">
        <v>3797</v>
      </c>
      <c r="J7096" t="s">
        <v>32796</v>
      </c>
      <c r="K7096" t="s">
        <v>36854</v>
      </c>
      <c r="M7096" t="s">
        <v>39389</v>
      </c>
      <c r="N7096" t="s">
        <v>40436</v>
      </c>
      <c r="O7096" t="s">
        <v>40437</v>
      </c>
      <c r="P7096">
        <v>0</v>
      </c>
      <c r="Q7096">
        <v>0</v>
      </c>
      <c r="R7096" t="s">
        <v>40444</v>
      </c>
      <c r="S7096" t="s">
        <v>40676</v>
      </c>
      <c r="T7096" t="s">
        <v>42234</v>
      </c>
      <c r="U7096" t="s">
        <v>48605</v>
      </c>
      <c r="W7096" t="s">
        <v>39389</v>
      </c>
      <c r="X7096" t="s">
        <v>40445</v>
      </c>
    </row>
    <row r="7097" spans="1:24">
      <c r="A7097">
        <f>HYPERLINK("https://www.philgeps.gov.ph/GEPSNONPILOT/Tender/SplashBidNoticeAbstractUI.aspx?menuIndex=3&amp;refID=7039162&amp;Result=3","7039162")</f>
        <v>0</v>
      </c>
      <c r="B7097" t="s">
        <v>1964</v>
      </c>
      <c r="C7097" t="s">
        <v>9830</v>
      </c>
      <c r="D7097" t="s">
        <v>16221</v>
      </c>
      <c r="E7097" t="s">
        <v>22545</v>
      </c>
      <c r="F7097" t="s">
        <v>28198</v>
      </c>
      <c r="G7097" t="s">
        <v>28210</v>
      </c>
      <c r="H7097" t="s">
        <v>28215</v>
      </c>
      <c r="I7097" t="s">
        <v>28234</v>
      </c>
      <c r="J7097" t="s">
        <v>28789</v>
      </c>
      <c r="K7097" t="s">
        <v>36689</v>
      </c>
      <c r="M7097" t="s">
        <v>39099</v>
      </c>
      <c r="N7097" t="s">
        <v>40436</v>
      </c>
      <c r="O7097" t="s">
        <v>40437</v>
      </c>
      <c r="P7097">
        <v>0</v>
      </c>
      <c r="Q7097">
        <v>4</v>
      </c>
      <c r="R7097" t="s">
        <v>40444</v>
      </c>
      <c r="S7097" t="s">
        <v>40676</v>
      </c>
      <c r="T7097" t="s">
        <v>42233</v>
      </c>
      <c r="U7097" t="s">
        <v>47687</v>
      </c>
      <c r="W7097" t="s">
        <v>39099</v>
      </c>
      <c r="X7097" t="s">
        <v>40445</v>
      </c>
    </row>
    <row r="7098" spans="1:24">
      <c r="A7098">
        <f>HYPERLINK("https://www.philgeps.gov.ph/GEPSNONPILOT/Tender/SplashBidNoticeAbstractUI.aspx?menuIndex=3&amp;refID=7039163&amp;Result=3","7039163")</f>
        <v>0</v>
      </c>
      <c r="B7098" t="s">
        <v>461</v>
      </c>
      <c r="C7098" t="s">
        <v>9831</v>
      </c>
      <c r="D7098" t="s">
        <v>16208</v>
      </c>
      <c r="E7098" t="s">
        <v>22546</v>
      </c>
      <c r="F7098" t="s">
        <v>28198</v>
      </c>
      <c r="G7098" t="s">
        <v>28205</v>
      </c>
      <c r="H7098" t="s">
        <v>28214</v>
      </c>
      <c r="I7098" t="s">
        <v>3797</v>
      </c>
      <c r="J7098" t="s">
        <v>28347</v>
      </c>
      <c r="K7098" t="s">
        <v>36717</v>
      </c>
      <c r="M7098" t="s">
        <v>39389</v>
      </c>
      <c r="N7098" t="s">
        <v>40436</v>
      </c>
      <c r="O7098" t="s">
        <v>40437</v>
      </c>
      <c r="P7098">
        <v>0</v>
      </c>
      <c r="Q7098">
        <v>0</v>
      </c>
      <c r="R7098" t="s">
        <v>40444</v>
      </c>
      <c r="S7098" t="s">
        <v>40676</v>
      </c>
      <c r="T7098" t="s">
        <v>42234</v>
      </c>
      <c r="U7098" t="s">
        <v>48606</v>
      </c>
      <c r="W7098" t="s">
        <v>39389</v>
      </c>
      <c r="X7098" t="s">
        <v>40445</v>
      </c>
    </row>
    <row r="7099" spans="1:24">
      <c r="A7099">
        <f>HYPERLINK("https://www.philgeps.gov.ph/GEPSNONPILOT/Tender/SplashBidNoticeAbstractUI.aspx?menuIndex=3&amp;refID=7039137&amp;Result=3","7039137")</f>
        <v>0</v>
      </c>
      <c r="B7099" t="s">
        <v>467</v>
      </c>
      <c r="C7099" t="s">
        <v>9832</v>
      </c>
      <c r="D7099" t="s">
        <v>16215</v>
      </c>
      <c r="E7099" t="s">
        <v>22547</v>
      </c>
      <c r="F7099" t="s">
        <v>28198</v>
      </c>
      <c r="G7099" t="s">
        <v>28205</v>
      </c>
      <c r="H7099" t="s">
        <v>28214</v>
      </c>
      <c r="I7099" t="s">
        <v>3797</v>
      </c>
      <c r="J7099" t="s">
        <v>32797</v>
      </c>
      <c r="K7099" t="s">
        <v>36701</v>
      </c>
      <c r="M7099" t="s">
        <v>37452</v>
      </c>
      <c r="N7099" t="s">
        <v>40436</v>
      </c>
      <c r="O7099" t="s">
        <v>40437</v>
      </c>
      <c r="P7099">
        <v>0</v>
      </c>
      <c r="Q7099">
        <v>0</v>
      </c>
      <c r="R7099" t="s">
        <v>40444</v>
      </c>
      <c r="S7099" t="s">
        <v>40676</v>
      </c>
      <c r="T7099" t="s">
        <v>42233</v>
      </c>
      <c r="U7099" t="s">
        <v>48607</v>
      </c>
      <c r="V7099" t="s">
        <v>54519</v>
      </c>
      <c r="W7099" t="s">
        <v>37452</v>
      </c>
      <c r="X7099" t="s">
        <v>40445</v>
      </c>
    </row>
    <row r="7100" spans="1:24">
      <c r="A7100">
        <f>HYPERLINK("https://www.philgeps.gov.ph/GEPSNONPILOT/Tender/SplashBidNoticeAbstractUI.aspx?menuIndex=3&amp;refID=7039166&amp;Result=3","7039166")</f>
        <v>0</v>
      </c>
      <c r="B7100" t="s">
        <v>2224</v>
      </c>
      <c r="C7100" t="s">
        <v>9833</v>
      </c>
      <c r="D7100" t="s">
        <v>16217</v>
      </c>
      <c r="E7100" t="s">
        <v>22548</v>
      </c>
      <c r="F7100" t="s">
        <v>28198</v>
      </c>
      <c r="G7100" t="s">
        <v>28205</v>
      </c>
      <c r="H7100" t="s">
        <v>28214</v>
      </c>
      <c r="I7100" t="s">
        <v>3797</v>
      </c>
      <c r="J7100" t="s">
        <v>32798</v>
      </c>
      <c r="K7100" t="s">
        <v>36692</v>
      </c>
      <c r="M7100" t="s">
        <v>39391</v>
      </c>
      <c r="N7100" t="s">
        <v>40436</v>
      </c>
      <c r="O7100" t="s">
        <v>40437</v>
      </c>
      <c r="P7100">
        <v>0</v>
      </c>
      <c r="Q7100">
        <v>0</v>
      </c>
      <c r="R7100" t="s">
        <v>40444</v>
      </c>
      <c r="S7100" t="s">
        <v>40676</v>
      </c>
      <c r="T7100" t="s">
        <v>42109</v>
      </c>
      <c r="U7100" t="s">
        <v>48608</v>
      </c>
      <c r="W7100" t="s">
        <v>39391</v>
      </c>
      <c r="X7100" t="s">
        <v>40445</v>
      </c>
    </row>
    <row r="7101" spans="1:24">
      <c r="A7101">
        <f>HYPERLINK("https://www.philgeps.gov.ph/GEPSNONPILOT/Tender/SplashBidNoticeAbstractUI.aspx?menuIndex=3&amp;refID=7039167&amp;Result=3","7039167")</f>
        <v>0</v>
      </c>
      <c r="B7101" t="s">
        <v>2225</v>
      </c>
      <c r="C7101" t="s">
        <v>9834</v>
      </c>
      <c r="D7101" t="s">
        <v>16187</v>
      </c>
      <c r="E7101" t="s">
        <v>22549</v>
      </c>
      <c r="F7101" t="s">
        <v>28198</v>
      </c>
      <c r="G7101" t="s">
        <v>28205</v>
      </c>
      <c r="H7101" t="s">
        <v>28214</v>
      </c>
      <c r="I7101" t="s">
        <v>3797</v>
      </c>
      <c r="J7101" t="s">
        <v>32799</v>
      </c>
      <c r="K7101" t="s">
        <v>36761</v>
      </c>
      <c r="L7101" t="s">
        <v>2225</v>
      </c>
      <c r="M7101" t="s">
        <v>39392</v>
      </c>
      <c r="N7101" t="s">
        <v>40436</v>
      </c>
      <c r="O7101" t="s">
        <v>40437</v>
      </c>
      <c r="P7101">
        <v>0</v>
      </c>
      <c r="Q7101">
        <v>8</v>
      </c>
      <c r="R7101" t="s">
        <v>40444</v>
      </c>
      <c r="S7101" t="s">
        <v>40676</v>
      </c>
      <c r="T7101" t="s">
        <v>42432</v>
      </c>
      <c r="U7101" t="s">
        <v>48609</v>
      </c>
      <c r="W7101" t="s">
        <v>39392</v>
      </c>
      <c r="X7101" t="s">
        <v>40445</v>
      </c>
    </row>
    <row r="7102" spans="1:24">
      <c r="A7102">
        <f>HYPERLINK("https://www.philgeps.gov.ph/GEPSNONPILOT/Tender/SplashBidNoticeAbstractUI.aspx?menuIndex=3&amp;refID=7039141&amp;Result=3","7039141")</f>
        <v>0</v>
      </c>
      <c r="B7102" t="s">
        <v>98</v>
      </c>
      <c r="C7102" t="s">
        <v>9835</v>
      </c>
      <c r="D7102" t="s">
        <v>16227</v>
      </c>
      <c r="E7102" t="s">
        <v>22550</v>
      </c>
      <c r="F7102" t="s">
        <v>28198</v>
      </c>
      <c r="G7102" t="s">
        <v>28205</v>
      </c>
      <c r="H7102" t="s">
        <v>28214</v>
      </c>
      <c r="I7102" t="s">
        <v>3797</v>
      </c>
      <c r="J7102" t="s">
        <v>32800</v>
      </c>
      <c r="K7102" t="s">
        <v>36697</v>
      </c>
      <c r="M7102" t="s">
        <v>39393</v>
      </c>
      <c r="N7102" t="s">
        <v>40436</v>
      </c>
      <c r="O7102" t="s">
        <v>40437</v>
      </c>
      <c r="P7102">
        <v>0</v>
      </c>
      <c r="Q7102">
        <v>1</v>
      </c>
      <c r="R7102" t="s">
        <v>40444</v>
      </c>
      <c r="S7102" t="s">
        <v>40676</v>
      </c>
      <c r="T7102" t="s">
        <v>42480</v>
      </c>
      <c r="U7102" t="s">
        <v>48610</v>
      </c>
      <c r="W7102" t="s">
        <v>39393</v>
      </c>
      <c r="X7102" t="s">
        <v>40445</v>
      </c>
    </row>
    <row r="7103" spans="1:24">
      <c r="A7103">
        <f>HYPERLINK("https://www.philgeps.gov.ph/GEPSNONPILOT/Tender/SplashBidNoticeAbstractUI.aspx?menuIndex=3&amp;refID=7039143&amp;Result=3","7039143")</f>
        <v>0</v>
      </c>
      <c r="B7103" t="s">
        <v>1075</v>
      </c>
      <c r="C7103" t="s">
        <v>9836</v>
      </c>
      <c r="D7103" t="s">
        <v>16249</v>
      </c>
      <c r="E7103" t="s">
        <v>22551</v>
      </c>
      <c r="F7103" t="s">
        <v>28198</v>
      </c>
      <c r="G7103" t="s">
        <v>28205</v>
      </c>
      <c r="H7103" t="s">
        <v>28214</v>
      </c>
      <c r="I7103" t="s">
        <v>3797</v>
      </c>
      <c r="J7103" t="s">
        <v>32801</v>
      </c>
      <c r="K7103" t="s">
        <v>36735</v>
      </c>
      <c r="M7103" t="s">
        <v>38109</v>
      </c>
      <c r="N7103" t="s">
        <v>40436</v>
      </c>
      <c r="O7103" t="s">
        <v>40437</v>
      </c>
      <c r="P7103">
        <v>0</v>
      </c>
      <c r="Q7103">
        <v>14</v>
      </c>
      <c r="R7103" t="s">
        <v>40444</v>
      </c>
      <c r="S7103" t="s">
        <v>40676</v>
      </c>
      <c r="T7103" t="s">
        <v>42165</v>
      </c>
      <c r="U7103" t="s">
        <v>48611</v>
      </c>
      <c r="W7103" t="s">
        <v>38109</v>
      </c>
      <c r="X7103" t="s">
        <v>40445</v>
      </c>
    </row>
    <row r="7104" spans="1:24">
      <c r="A7104">
        <f>HYPERLINK("https://www.philgeps.gov.ph/GEPSNONPILOT/Tender/SplashBidNoticeAbstractUI.aspx?menuIndex=3&amp;refID=7039171&amp;Result=3","7039171")</f>
        <v>0</v>
      </c>
      <c r="B7104" t="s">
        <v>2226</v>
      </c>
      <c r="C7104" t="s">
        <v>9837</v>
      </c>
      <c r="D7104" t="s">
        <v>16258</v>
      </c>
      <c r="E7104" t="s">
        <v>16352</v>
      </c>
      <c r="F7104" t="s">
        <v>28198</v>
      </c>
      <c r="G7104" t="s">
        <v>28205</v>
      </c>
      <c r="H7104" t="s">
        <v>28215</v>
      </c>
      <c r="I7104" t="s">
        <v>28227</v>
      </c>
      <c r="J7104" t="s">
        <v>32802</v>
      </c>
      <c r="K7104" t="s">
        <v>36689</v>
      </c>
      <c r="M7104" t="s">
        <v>39394</v>
      </c>
      <c r="N7104" t="s">
        <v>40436</v>
      </c>
      <c r="O7104" t="s">
        <v>40437</v>
      </c>
      <c r="P7104">
        <v>0</v>
      </c>
      <c r="Q7104">
        <v>1</v>
      </c>
      <c r="R7104" t="s">
        <v>40444</v>
      </c>
      <c r="S7104" t="s">
        <v>40676</v>
      </c>
      <c r="T7104" t="s">
        <v>42119</v>
      </c>
      <c r="U7104" t="s">
        <v>48612</v>
      </c>
      <c r="W7104" t="s">
        <v>39394</v>
      </c>
      <c r="X7104" t="s">
        <v>40445</v>
      </c>
    </row>
    <row r="7105" spans="1:24">
      <c r="A7105">
        <f>HYPERLINK("https://www.philgeps.gov.ph/GEPSNONPILOT/Tender/SplashBidNoticeAbstractUI.aspx?menuIndex=3&amp;refID=7039178&amp;Result=3","7039178")</f>
        <v>0</v>
      </c>
      <c r="B7105" t="s">
        <v>2227</v>
      </c>
      <c r="C7105" t="s">
        <v>9838</v>
      </c>
      <c r="D7105" t="s">
        <v>16233</v>
      </c>
      <c r="E7105" t="s">
        <v>22552</v>
      </c>
      <c r="F7105" t="s">
        <v>28198</v>
      </c>
      <c r="G7105" t="s">
        <v>28205</v>
      </c>
      <c r="H7105" t="s">
        <v>28214</v>
      </c>
      <c r="I7105" t="s">
        <v>3797</v>
      </c>
      <c r="J7105" t="s">
        <v>29331</v>
      </c>
      <c r="K7105" t="s">
        <v>36692</v>
      </c>
      <c r="M7105" t="s">
        <v>39395</v>
      </c>
      <c r="N7105" t="s">
        <v>40436</v>
      </c>
      <c r="O7105" t="s">
        <v>40437</v>
      </c>
      <c r="P7105">
        <v>0</v>
      </c>
      <c r="Q7105">
        <v>2</v>
      </c>
      <c r="R7105" t="s">
        <v>40444</v>
      </c>
      <c r="S7105" t="s">
        <v>40676</v>
      </c>
      <c r="T7105" t="s">
        <v>42113</v>
      </c>
      <c r="U7105" t="s">
        <v>48613</v>
      </c>
      <c r="W7105" t="s">
        <v>39395</v>
      </c>
      <c r="X7105" t="s">
        <v>40445</v>
      </c>
    </row>
    <row r="7106" spans="1:24">
      <c r="A7106">
        <f>HYPERLINK("https://www.philgeps.gov.ph/GEPSNONPILOT/Tender/SplashBidNoticeAbstractUI.aspx?menuIndex=3&amp;refID=7039159&amp;Result=3","7039159")</f>
        <v>0</v>
      </c>
      <c r="B7106" t="s">
        <v>2217</v>
      </c>
      <c r="C7106" t="s">
        <v>9839</v>
      </c>
      <c r="D7106" t="s">
        <v>16199</v>
      </c>
      <c r="E7106" t="s">
        <v>22553</v>
      </c>
      <c r="F7106" t="s">
        <v>28198</v>
      </c>
      <c r="G7106" t="s">
        <v>28207</v>
      </c>
      <c r="H7106" t="s">
        <v>28215</v>
      </c>
      <c r="I7106" t="s">
        <v>5100</v>
      </c>
      <c r="J7106" t="s">
        <v>32803</v>
      </c>
      <c r="K7106" t="s">
        <v>36706</v>
      </c>
      <c r="L7106" t="s">
        <v>2217</v>
      </c>
      <c r="M7106" t="s">
        <v>39383</v>
      </c>
      <c r="N7106" t="s">
        <v>40436</v>
      </c>
      <c r="O7106" t="s">
        <v>40437</v>
      </c>
      <c r="P7106">
        <v>0</v>
      </c>
      <c r="Q7106">
        <v>0</v>
      </c>
      <c r="R7106" t="s">
        <v>40444</v>
      </c>
      <c r="S7106" t="s">
        <v>40676</v>
      </c>
      <c r="T7106" t="s">
        <v>42119</v>
      </c>
      <c r="U7106" t="s">
        <v>48579</v>
      </c>
      <c r="W7106" t="s">
        <v>39383</v>
      </c>
      <c r="X7106" t="s">
        <v>40445</v>
      </c>
    </row>
    <row r="7107" spans="1:24">
      <c r="A7107">
        <f>HYPERLINK("https://www.philgeps.gov.ph/GEPSNONPILOT/Tender/SplashBidNoticeAbstractUI.aspx?menuIndex=3&amp;refID=7039203&amp;Result=3","7039203")</f>
        <v>0</v>
      </c>
      <c r="B7107" t="s">
        <v>1157</v>
      </c>
      <c r="C7107" t="s">
        <v>9840</v>
      </c>
      <c r="D7107" t="s">
        <v>16193</v>
      </c>
      <c r="E7107" t="s">
        <v>22554</v>
      </c>
      <c r="F7107" t="s">
        <v>28198</v>
      </c>
      <c r="G7107" t="s">
        <v>28205</v>
      </c>
      <c r="H7107" t="s">
        <v>28215</v>
      </c>
      <c r="I7107" t="s">
        <v>28222</v>
      </c>
      <c r="J7107" t="s">
        <v>32154</v>
      </c>
      <c r="K7107" t="s">
        <v>36689</v>
      </c>
      <c r="M7107" t="s">
        <v>38197</v>
      </c>
      <c r="N7107" t="s">
        <v>40436</v>
      </c>
      <c r="O7107" t="s">
        <v>40437</v>
      </c>
      <c r="P7107">
        <v>0</v>
      </c>
      <c r="Q7107">
        <v>2</v>
      </c>
      <c r="R7107" t="s">
        <v>40444</v>
      </c>
      <c r="S7107" t="s">
        <v>40676</v>
      </c>
      <c r="T7107" t="s">
        <v>42184</v>
      </c>
      <c r="U7107" t="s">
        <v>48614</v>
      </c>
      <c r="W7107" t="s">
        <v>55484</v>
      </c>
      <c r="X7107" t="s">
        <v>40445</v>
      </c>
    </row>
    <row r="7108" spans="1:24">
      <c r="A7108">
        <f>HYPERLINK("https://www.philgeps.gov.ph/GEPSNONPILOT/Tender/SplashBidNoticeAbstractUI.aspx?menuIndex=3&amp;refID=7039189&amp;Result=3","7039189")</f>
        <v>0</v>
      </c>
      <c r="B7108" t="s">
        <v>1157</v>
      </c>
      <c r="C7108" t="s">
        <v>9841</v>
      </c>
      <c r="D7108" t="s">
        <v>16193</v>
      </c>
      <c r="E7108" t="s">
        <v>22555</v>
      </c>
      <c r="F7108" t="s">
        <v>28198</v>
      </c>
      <c r="G7108" t="s">
        <v>28205</v>
      </c>
      <c r="H7108" t="s">
        <v>28215</v>
      </c>
      <c r="I7108" t="s">
        <v>28243</v>
      </c>
      <c r="J7108" t="s">
        <v>32804</v>
      </c>
      <c r="K7108" t="s">
        <v>36689</v>
      </c>
      <c r="M7108" t="s">
        <v>38197</v>
      </c>
      <c r="N7108" t="s">
        <v>40436</v>
      </c>
      <c r="O7108" t="s">
        <v>40437</v>
      </c>
      <c r="P7108">
        <v>0</v>
      </c>
      <c r="Q7108">
        <v>0</v>
      </c>
      <c r="R7108" t="s">
        <v>40444</v>
      </c>
      <c r="S7108" t="s">
        <v>40676</v>
      </c>
      <c r="T7108" t="s">
        <v>42184</v>
      </c>
      <c r="U7108" t="s">
        <v>48615</v>
      </c>
      <c r="W7108" t="s">
        <v>55484</v>
      </c>
      <c r="X7108" t="s">
        <v>40445</v>
      </c>
    </row>
    <row r="7109" spans="1:24">
      <c r="A7109">
        <f>HYPERLINK("https://www.philgeps.gov.ph/GEPSNONPILOT/Tender/SplashBidNoticeAbstractUI.aspx?menuIndex=3&amp;refID=7039201&amp;Result=3","7039201")</f>
        <v>0</v>
      </c>
      <c r="B7109" t="s">
        <v>2053</v>
      </c>
      <c r="C7109" t="s">
        <v>9842</v>
      </c>
      <c r="E7109" t="s">
        <v>22556</v>
      </c>
      <c r="F7109" t="s">
        <v>28198</v>
      </c>
      <c r="G7109" t="s">
        <v>28205</v>
      </c>
      <c r="H7109" t="s">
        <v>28214</v>
      </c>
      <c r="I7109" t="s">
        <v>3797</v>
      </c>
      <c r="J7109" t="s">
        <v>28559</v>
      </c>
      <c r="K7109" t="s">
        <v>36689</v>
      </c>
      <c r="M7109" t="s">
        <v>39199</v>
      </c>
      <c r="N7109" t="s">
        <v>40436</v>
      </c>
      <c r="O7109" t="s">
        <v>40437</v>
      </c>
      <c r="P7109">
        <v>0</v>
      </c>
      <c r="Q7109">
        <v>5</v>
      </c>
      <c r="R7109" t="s">
        <v>40444</v>
      </c>
      <c r="S7109" t="s">
        <v>40676</v>
      </c>
      <c r="T7109" t="s">
        <v>42134</v>
      </c>
      <c r="U7109" t="s">
        <v>48616</v>
      </c>
      <c r="V7109" t="s">
        <v>53826</v>
      </c>
      <c r="W7109" t="s">
        <v>39199</v>
      </c>
      <c r="X7109" t="s">
        <v>40445</v>
      </c>
    </row>
    <row r="7110" spans="1:24">
      <c r="A7110">
        <f>HYPERLINK("https://www.philgeps.gov.ph/GEPSNONPILOT/Tender/SplashBidNoticeAbstractUI.aspx?menuIndex=3&amp;refID=7039202&amp;Result=3","7039202")</f>
        <v>0</v>
      </c>
      <c r="B7110" t="s">
        <v>2137</v>
      </c>
      <c r="C7110" t="s">
        <v>9843</v>
      </c>
      <c r="D7110" t="s">
        <v>16195</v>
      </c>
      <c r="E7110" t="s">
        <v>16571</v>
      </c>
      <c r="F7110" t="s">
        <v>28198</v>
      </c>
      <c r="G7110" t="s">
        <v>28205</v>
      </c>
      <c r="H7110" t="s">
        <v>28215</v>
      </c>
      <c r="I7110" t="s">
        <v>5100</v>
      </c>
      <c r="J7110" t="s">
        <v>32805</v>
      </c>
      <c r="K7110" t="s">
        <v>36707</v>
      </c>
      <c r="M7110" t="s">
        <v>39294</v>
      </c>
      <c r="N7110" t="s">
        <v>40436</v>
      </c>
      <c r="O7110" t="s">
        <v>40437</v>
      </c>
      <c r="P7110">
        <v>0</v>
      </c>
      <c r="Q7110">
        <v>0</v>
      </c>
      <c r="R7110" t="s">
        <v>40444</v>
      </c>
      <c r="S7110" t="s">
        <v>40676</v>
      </c>
      <c r="T7110" t="s">
        <v>42462</v>
      </c>
      <c r="U7110" t="s">
        <v>48617</v>
      </c>
      <c r="W7110" t="s">
        <v>39294</v>
      </c>
      <c r="X7110" t="s">
        <v>40445</v>
      </c>
    </row>
    <row r="7111" spans="1:24">
      <c r="A7111">
        <f>HYPERLINK("https://www.philgeps.gov.ph/GEPSNONPILOT/Tender/SplashBidNoticeAbstractUI.aspx?menuIndex=3&amp;refID=7039186&amp;Result=3","7039186")</f>
        <v>0</v>
      </c>
      <c r="B7111" t="s">
        <v>2225</v>
      </c>
      <c r="C7111" t="s">
        <v>9844</v>
      </c>
      <c r="D7111" t="s">
        <v>16187</v>
      </c>
      <c r="E7111" t="s">
        <v>22557</v>
      </c>
      <c r="F7111" t="s">
        <v>28198</v>
      </c>
      <c r="G7111" t="s">
        <v>28205</v>
      </c>
      <c r="H7111" t="s">
        <v>28214</v>
      </c>
      <c r="I7111" t="s">
        <v>3797</v>
      </c>
      <c r="J7111" t="s">
        <v>32106</v>
      </c>
      <c r="K7111" t="s">
        <v>36855</v>
      </c>
      <c r="L7111" t="s">
        <v>2225</v>
      </c>
      <c r="M7111" t="s">
        <v>39392</v>
      </c>
      <c r="N7111" t="s">
        <v>40436</v>
      </c>
      <c r="O7111" t="s">
        <v>40437</v>
      </c>
      <c r="P7111">
        <v>0</v>
      </c>
      <c r="Q7111">
        <v>4</v>
      </c>
      <c r="R7111" t="s">
        <v>40444</v>
      </c>
      <c r="S7111" t="s">
        <v>40676</v>
      </c>
      <c r="T7111" t="s">
        <v>42432</v>
      </c>
      <c r="U7111" t="s">
        <v>48609</v>
      </c>
      <c r="W7111" t="s">
        <v>39392</v>
      </c>
      <c r="X7111" t="s">
        <v>40445</v>
      </c>
    </row>
    <row r="7112" spans="1:24">
      <c r="A7112">
        <f>HYPERLINK("https://www.philgeps.gov.ph/GEPSNONPILOT/Tender/SplashBidNoticeAbstractUI.aspx?menuIndex=3&amp;refID=7039197&amp;Result=3","7039197")</f>
        <v>0</v>
      </c>
      <c r="B7112" t="s">
        <v>1157</v>
      </c>
      <c r="C7112" t="s">
        <v>9845</v>
      </c>
      <c r="D7112" t="s">
        <v>16193</v>
      </c>
      <c r="E7112" t="s">
        <v>22558</v>
      </c>
      <c r="F7112" t="s">
        <v>28198</v>
      </c>
      <c r="G7112" t="s">
        <v>28205</v>
      </c>
      <c r="H7112" t="s">
        <v>28215</v>
      </c>
      <c r="I7112" t="s">
        <v>28234</v>
      </c>
      <c r="J7112" t="s">
        <v>32806</v>
      </c>
      <c r="K7112" t="s">
        <v>36689</v>
      </c>
      <c r="M7112" t="s">
        <v>38197</v>
      </c>
      <c r="N7112" t="s">
        <v>40436</v>
      </c>
      <c r="O7112" t="s">
        <v>40437</v>
      </c>
      <c r="P7112">
        <v>0</v>
      </c>
      <c r="Q7112">
        <v>3</v>
      </c>
      <c r="R7112" t="s">
        <v>40444</v>
      </c>
      <c r="S7112" t="s">
        <v>40676</v>
      </c>
      <c r="T7112" t="s">
        <v>42184</v>
      </c>
      <c r="U7112" t="s">
        <v>48618</v>
      </c>
      <c r="W7112" t="s">
        <v>55484</v>
      </c>
      <c r="X7112" t="s">
        <v>40445</v>
      </c>
    </row>
    <row r="7113" spans="1:24">
      <c r="A7113">
        <f>HYPERLINK("https://www.philgeps.gov.ph/GEPSNONPILOT/Tender/SplashBidNoticeAbstractUI.aspx?menuIndex=3&amp;refID=7039181&amp;Result=3","7039181")</f>
        <v>0</v>
      </c>
      <c r="B7113" t="s">
        <v>461</v>
      </c>
      <c r="C7113" t="s">
        <v>9846</v>
      </c>
      <c r="D7113" t="s">
        <v>16208</v>
      </c>
      <c r="E7113" t="s">
        <v>22559</v>
      </c>
      <c r="F7113" t="s">
        <v>28198</v>
      </c>
      <c r="G7113" t="s">
        <v>28205</v>
      </c>
      <c r="H7113" t="s">
        <v>28214</v>
      </c>
      <c r="I7113" t="s">
        <v>3797</v>
      </c>
      <c r="J7113" t="s">
        <v>28699</v>
      </c>
      <c r="K7113" t="s">
        <v>36764</v>
      </c>
      <c r="M7113" t="s">
        <v>39389</v>
      </c>
      <c r="N7113" t="s">
        <v>40436</v>
      </c>
      <c r="O7113" t="s">
        <v>40437</v>
      </c>
      <c r="P7113">
        <v>0</v>
      </c>
      <c r="Q7113">
        <v>0</v>
      </c>
      <c r="R7113" t="s">
        <v>40444</v>
      </c>
      <c r="S7113" t="s">
        <v>40676</v>
      </c>
      <c r="T7113" t="s">
        <v>42234</v>
      </c>
      <c r="U7113" t="s">
        <v>48619</v>
      </c>
      <c r="W7113" t="s">
        <v>39389</v>
      </c>
      <c r="X7113" t="s">
        <v>40445</v>
      </c>
    </row>
    <row r="7114" spans="1:24">
      <c r="A7114">
        <f>HYPERLINK("https://www.philgeps.gov.ph/GEPSNONPILOT/Tender/SplashBidNoticeAbstractUI.aspx?menuIndex=3&amp;refID=7039195&amp;Result=3","7039195")</f>
        <v>0</v>
      </c>
      <c r="B7114" t="s">
        <v>461</v>
      </c>
      <c r="C7114" t="s">
        <v>9847</v>
      </c>
      <c r="D7114" t="s">
        <v>16208</v>
      </c>
      <c r="E7114" t="s">
        <v>22560</v>
      </c>
      <c r="F7114" t="s">
        <v>28198</v>
      </c>
      <c r="G7114" t="s">
        <v>28205</v>
      </c>
      <c r="H7114" t="s">
        <v>28214</v>
      </c>
      <c r="I7114" t="s">
        <v>3797</v>
      </c>
      <c r="J7114" t="s">
        <v>29780</v>
      </c>
      <c r="K7114" t="s">
        <v>36737</v>
      </c>
      <c r="M7114" t="s">
        <v>39389</v>
      </c>
      <c r="N7114" t="s">
        <v>40436</v>
      </c>
      <c r="O7114" t="s">
        <v>40437</v>
      </c>
      <c r="P7114">
        <v>0</v>
      </c>
      <c r="Q7114">
        <v>0</v>
      </c>
      <c r="R7114" t="s">
        <v>40444</v>
      </c>
      <c r="S7114" t="s">
        <v>40676</v>
      </c>
      <c r="T7114" t="s">
        <v>42234</v>
      </c>
      <c r="U7114" t="s">
        <v>48620</v>
      </c>
      <c r="W7114" t="s">
        <v>39389</v>
      </c>
      <c r="X7114" t="s">
        <v>40445</v>
      </c>
    </row>
    <row r="7115" spans="1:24">
      <c r="A7115">
        <f>HYPERLINK("https://www.philgeps.gov.ph/GEPSNONPILOT/Tender/SplashBidNoticeAbstractUI.aspx?menuIndex=3&amp;refID=7039193&amp;Result=3","7039193")</f>
        <v>0</v>
      </c>
      <c r="B7115" t="s">
        <v>1157</v>
      </c>
      <c r="C7115" t="s">
        <v>9848</v>
      </c>
      <c r="D7115" t="s">
        <v>16193</v>
      </c>
      <c r="E7115" t="s">
        <v>22561</v>
      </c>
      <c r="F7115" t="s">
        <v>28198</v>
      </c>
      <c r="G7115" t="s">
        <v>28205</v>
      </c>
      <c r="H7115" t="s">
        <v>28215</v>
      </c>
      <c r="I7115" t="s">
        <v>28222</v>
      </c>
      <c r="J7115" t="s">
        <v>32807</v>
      </c>
      <c r="K7115" t="s">
        <v>36689</v>
      </c>
      <c r="M7115" t="s">
        <v>38197</v>
      </c>
      <c r="N7115" t="s">
        <v>40436</v>
      </c>
      <c r="O7115" t="s">
        <v>40437</v>
      </c>
      <c r="P7115">
        <v>0</v>
      </c>
      <c r="Q7115">
        <v>6</v>
      </c>
      <c r="R7115" t="s">
        <v>40444</v>
      </c>
      <c r="S7115" t="s">
        <v>40676</v>
      </c>
      <c r="T7115" t="s">
        <v>42184</v>
      </c>
      <c r="U7115" t="s">
        <v>48621</v>
      </c>
      <c r="W7115" t="s">
        <v>55484</v>
      </c>
      <c r="X7115" t="s">
        <v>40445</v>
      </c>
    </row>
    <row r="7116" spans="1:24">
      <c r="A7116">
        <f>HYPERLINK("https://www.philgeps.gov.ph/GEPSNONPILOT/Tender/SplashBidNoticeAbstractUI.aspx?menuIndex=3&amp;refID=7039196&amp;Result=3","7039196")</f>
        <v>0</v>
      </c>
      <c r="B7116" t="s">
        <v>2225</v>
      </c>
      <c r="C7116" t="s">
        <v>9849</v>
      </c>
      <c r="D7116" t="s">
        <v>16187</v>
      </c>
      <c r="E7116" t="s">
        <v>22562</v>
      </c>
      <c r="F7116" t="s">
        <v>28198</v>
      </c>
      <c r="G7116" t="s">
        <v>28205</v>
      </c>
      <c r="H7116" t="s">
        <v>28214</v>
      </c>
      <c r="I7116" t="s">
        <v>3797</v>
      </c>
      <c r="J7116" t="s">
        <v>29325</v>
      </c>
      <c r="K7116" t="s">
        <v>36690</v>
      </c>
      <c r="L7116" t="s">
        <v>2225</v>
      </c>
      <c r="M7116" t="s">
        <v>39392</v>
      </c>
      <c r="N7116" t="s">
        <v>40436</v>
      </c>
      <c r="O7116" t="s">
        <v>40437</v>
      </c>
      <c r="P7116">
        <v>0</v>
      </c>
      <c r="Q7116">
        <v>4</v>
      </c>
      <c r="R7116" t="s">
        <v>40444</v>
      </c>
      <c r="S7116" t="s">
        <v>40676</v>
      </c>
      <c r="T7116" t="s">
        <v>42432</v>
      </c>
      <c r="U7116" t="s">
        <v>48609</v>
      </c>
      <c r="W7116" t="s">
        <v>39392</v>
      </c>
      <c r="X7116" t="s">
        <v>40445</v>
      </c>
    </row>
    <row r="7117" spans="1:24">
      <c r="A7117">
        <f>HYPERLINK("https://www.philgeps.gov.ph/GEPSNONPILOT/Tender/SplashBidNoticeAbstractUI.aspx?menuIndex=3&amp;refID=7039188&amp;Result=3","7039188")</f>
        <v>0</v>
      </c>
      <c r="B7117" t="s">
        <v>2228</v>
      </c>
      <c r="C7117" t="s">
        <v>9850</v>
      </c>
      <c r="D7117" t="s">
        <v>16226</v>
      </c>
      <c r="E7117" t="s">
        <v>22563</v>
      </c>
      <c r="F7117" t="s">
        <v>28198</v>
      </c>
      <c r="G7117" t="s">
        <v>28205</v>
      </c>
      <c r="H7117" t="s">
        <v>28215</v>
      </c>
      <c r="I7117" t="s">
        <v>28229</v>
      </c>
      <c r="J7117" t="s">
        <v>30495</v>
      </c>
      <c r="K7117" t="s">
        <v>36688</v>
      </c>
      <c r="M7117" t="s">
        <v>39396</v>
      </c>
      <c r="N7117" t="s">
        <v>40436</v>
      </c>
      <c r="O7117" t="s">
        <v>40437</v>
      </c>
      <c r="P7117">
        <v>0</v>
      </c>
      <c r="Q7117">
        <v>0</v>
      </c>
      <c r="R7117" t="s">
        <v>40444</v>
      </c>
      <c r="S7117" t="s">
        <v>40676</v>
      </c>
      <c r="T7117" t="s">
        <v>42169</v>
      </c>
      <c r="U7117" t="s">
        <v>48622</v>
      </c>
      <c r="W7117" t="s">
        <v>39396</v>
      </c>
      <c r="X7117" t="s">
        <v>40445</v>
      </c>
    </row>
    <row r="7118" spans="1:24">
      <c r="A7118">
        <f>HYPERLINK("https://www.philgeps.gov.ph/GEPSNONPILOT/Tender/SplashBidNoticeAbstractUI.aspx?menuIndex=3&amp;refID=7039210&amp;Result=3","7039210")</f>
        <v>0</v>
      </c>
      <c r="B7118" t="s">
        <v>1691</v>
      </c>
      <c r="C7118" t="s">
        <v>9851</v>
      </c>
      <c r="D7118" t="s">
        <v>16226</v>
      </c>
      <c r="E7118" t="s">
        <v>22564</v>
      </c>
      <c r="F7118" t="s">
        <v>28198</v>
      </c>
      <c r="G7118" t="s">
        <v>28205</v>
      </c>
      <c r="H7118" t="s">
        <v>28215</v>
      </c>
      <c r="I7118" t="s">
        <v>28310</v>
      </c>
      <c r="J7118" t="s">
        <v>32808</v>
      </c>
      <c r="K7118" t="s">
        <v>36707</v>
      </c>
      <c r="M7118" t="s">
        <v>38791</v>
      </c>
      <c r="N7118" t="s">
        <v>40436</v>
      </c>
      <c r="O7118" t="s">
        <v>40437</v>
      </c>
      <c r="P7118">
        <v>0</v>
      </c>
      <c r="Q7118">
        <v>1</v>
      </c>
      <c r="R7118" t="s">
        <v>40444</v>
      </c>
      <c r="S7118" t="s">
        <v>40676</v>
      </c>
      <c r="T7118" t="s">
        <v>42107</v>
      </c>
      <c r="U7118" t="s">
        <v>48623</v>
      </c>
      <c r="W7118" t="s">
        <v>38791</v>
      </c>
      <c r="X7118" t="s">
        <v>40445</v>
      </c>
    </row>
    <row r="7119" spans="1:24">
      <c r="A7119">
        <f>HYPERLINK("https://www.philgeps.gov.ph/GEPSNONPILOT/Tender/SplashBidNoticeAbstractUI.aspx?menuIndex=3&amp;refID=7039209&amp;Result=3","7039209")</f>
        <v>0</v>
      </c>
      <c r="B7119" t="s">
        <v>1157</v>
      </c>
      <c r="C7119" t="s">
        <v>9852</v>
      </c>
      <c r="D7119" t="s">
        <v>16193</v>
      </c>
      <c r="E7119" t="s">
        <v>22565</v>
      </c>
      <c r="F7119" t="s">
        <v>28198</v>
      </c>
      <c r="G7119" t="s">
        <v>28205</v>
      </c>
      <c r="H7119" t="s">
        <v>28215</v>
      </c>
      <c r="I7119" t="s">
        <v>28251</v>
      </c>
      <c r="J7119" t="s">
        <v>32809</v>
      </c>
      <c r="K7119" t="s">
        <v>36689</v>
      </c>
      <c r="M7119" t="s">
        <v>38197</v>
      </c>
      <c r="N7119" t="s">
        <v>40436</v>
      </c>
      <c r="O7119" t="s">
        <v>40437</v>
      </c>
      <c r="P7119">
        <v>0</v>
      </c>
      <c r="Q7119">
        <v>4</v>
      </c>
      <c r="R7119" t="s">
        <v>40444</v>
      </c>
      <c r="S7119" t="s">
        <v>40676</v>
      </c>
      <c r="T7119" t="s">
        <v>42184</v>
      </c>
      <c r="U7119" t="s">
        <v>48624</v>
      </c>
      <c r="W7119" t="s">
        <v>55484</v>
      </c>
      <c r="X7119" t="s">
        <v>40445</v>
      </c>
    </row>
    <row r="7120" spans="1:24">
      <c r="A7120">
        <f>HYPERLINK("https://www.philgeps.gov.ph/GEPSNONPILOT/Tender/SplashBidNoticeAbstractUI.aspx?menuIndex=3&amp;refID=7039217&amp;Result=3","7039217")</f>
        <v>0</v>
      </c>
      <c r="B7120" t="s">
        <v>2229</v>
      </c>
      <c r="C7120" t="s">
        <v>7624</v>
      </c>
      <c r="D7120" t="s">
        <v>16214</v>
      </c>
      <c r="E7120" t="s">
        <v>22566</v>
      </c>
      <c r="F7120" t="s">
        <v>28198</v>
      </c>
      <c r="G7120" t="s">
        <v>28205</v>
      </c>
      <c r="H7120" t="s">
        <v>28214</v>
      </c>
      <c r="I7120" t="s">
        <v>3797</v>
      </c>
      <c r="J7120" t="s">
        <v>28804</v>
      </c>
      <c r="K7120" t="s">
        <v>36701</v>
      </c>
      <c r="M7120" t="s">
        <v>39397</v>
      </c>
      <c r="N7120" t="s">
        <v>40436</v>
      </c>
      <c r="O7120" t="s">
        <v>40437</v>
      </c>
      <c r="P7120">
        <v>0</v>
      </c>
      <c r="Q7120">
        <v>0</v>
      </c>
      <c r="R7120" t="s">
        <v>40444</v>
      </c>
      <c r="S7120" t="s">
        <v>40676</v>
      </c>
      <c r="T7120" t="s">
        <v>42390</v>
      </c>
      <c r="U7120" t="s">
        <v>48625</v>
      </c>
      <c r="W7120" t="s">
        <v>39397</v>
      </c>
      <c r="X7120" t="s">
        <v>40445</v>
      </c>
    </row>
    <row r="7121" spans="1:24">
      <c r="A7121">
        <f>HYPERLINK("https://www.philgeps.gov.ph/GEPSNONPILOT/Tender/SplashBidNoticeAbstractUI.aspx?menuIndex=3&amp;refID=7039192&amp;Result=3","7039192")</f>
        <v>0</v>
      </c>
      <c r="B7121" t="s">
        <v>2225</v>
      </c>
      <c r="C7121" t="s">
        <v>9853</v>
      </c>
      <c r="D7121" t="s">
        <v>16187</v>
      </c>
      <c r="E7121" t="s">
        <v>22567</v>
      </c>
      <c r="F7121" t="s">
        <v>28198</v>
      </c>
      <c r="G7121" t="s">
        <v>28205</v>
      </c>
      <c r="H7121" t="s">
        <v>28214</v>
      </c>
      <c r="I7121" t="s">
        <v>3797</v>
      </c>
      <c r="J7121" t="s">
        <v>31235</v>
      </c>
      <c r="K7121" t="s">
        <v>36697</v>
      </c>
      <c r="L7121" t="s">
        <v>2225</v>
      </c>
      <c r="M7121" t="s">
        <v>39392</v>
      </c>
      <c r="N7121" t="s">
        <v>40436</v>
      </c>
      <c r="O7121" t="s">
        <v>40437</v>
      </c>
      <c r="P7121">
        <v>0</v>
      </c>
      <c r="Q7121">
        <v>4</v>
      </c>
      <c r="R7121" t="s">
        <v>40444</v>
      </c>
      <c r="S7121" t="s">
        <v>40676</v>
      </c>
      <c r="T7121" t="s">
        <v>42432</v>
      </c>
      <c r="U7121" t="s">
        <v>48609</v>
      </c>
      <c r="W7121" t="s">
        <v>39392</v>
      </c>
      <c r="X7121" t="s">
        <v>40445</v>
      </c>
    </row>
    <row r="7122" spans="1:24">
      <c r="A7122">
        <f>HYPERLINK("https://www.philgeps.gov.ph/GEPSNONPILOT/Tender/SplashBidNoticeAbstractUI.aspx?menuIndex=3&amp;refID=7039213&amp;Result=3","7039213")</f>
        <v>0</v>
      </c>
      <c r="B7122" t="s">
        <v>2230</v>
      </c>
      <c r="C7122" t="s">
        <v>9854</v>
      </c>
      <c r="D7122" t="s">
        <v>16194</v>
      </c>
      <c r="E7122" t="s">
        <v>22568</v>
      </c>
      <c r="F7122" t="s">
        <v>28198</v>
      </c>
      <c r="G7122" t="s">
        <v>28205</v>
      </c>
      <c r="H7122" t="s">
        <v>28214</v>
      </c>
      <c r="I7122" t="s">
        <v>5100</v>
      </c>
      <c r="J7122" t="s">
        <v>28561</v>
      </c>
      <c r="K7122" t="s">
        <v>36701</v>
      </c>
      <c r="M7122" t="s">
        <v>39398</v>
      </c>
      <c r="N7122" t="s">
        <v>40436</v>
      </c>
      <c r="O7122" t="s">
        <v>40437</v>
      </c>
      <c r="P7122">
        <v>0</v>
      </c>
      <c r="Q7122">
        <v>0</v>
      </c>
      <c r="R7122" t="s">
        <v>40444</v>
      </c>
      <c r="S7122" t="s">
        <v>40676</v>
      </c>
      <c r="T7122" t="s">
        <v>42481</v>
      </c>
      <c r="U7122" t="s">
        <v>48626</v>
      </c>
      <c r="V7122" t="s">
        <v>54520</v>
      </c>
      <c r="W7122" t="s">
        <v>39398</v>
      </c>
      <c r="X7122" t="s">
        <v>40445</v>
      </c>
    </row>
    <row r="7123" spans="1:24">
      <c r="A7123">
        <f>HYPERLINK("https://www.philgeps.gov.ph/GEPSNONPILOT/Tender/SplashBidNoticeAbstractUI.aspx?menuIndex=3&amp;refID=7039218&amp;Result=3","7039218")</f>
        <v>0</v>
      </c>
      <c r="B7123" t="s">
        <v>2231</v>
      </c>
      <c r="C7123" t="s">
        <v>9855</v>
      </c>
      <c r="D7123" t="s">
        <v>16262</v>
      </c>
      <c r="E7123" t="s">
        <v>22569</v>
      </c>
      <c r="F7123" t="s">
        <v>28198</v>
      </c>
      <c r="G7123" t="s">
        <v>28205</v>
      </c>
      <c r="H7123" t="s">
        <v>28214</v>
      </c>
      <c r="I7123" t="s">
        <v>28235</v>
      </c>
      <c r="J7123" t="s">
        <v>28345</v>
      </c>
      <c r="K7123" t="s">
        <v>36694</v>
      </c>
      <c r="M7123" t="s">
        <v>39399</v>
      </c>
      <c r="N7123" t="s">
        <v>40436</v>
      </c>
      <c r="O7123" t="s">
        <v>40437</v>
      </c>
      <c r="P7123">
        <v>0</v>
      </c>
      <c r="Q7123">
        <v>0</v>
      </c>
      <c r="R7123" t="s">
        <v>40444</v>
      </c>
      <c r="S7123" t="s">
        <v>40676</v>
      </c>
      <c r="T7123" t="s">
        <v>42144</v>
      </c>
      <c r="U7123" t="s">
        <v>48627</v>
      </c>
      <c r="W7123" t="s">
        <v>39399</v>
      </c>
      <c r="X7123" t="s">
        <v>40445</v>
      </c>
    </row>
    <row r="7124" spans="1:24">
      <c r="A7124">
        <f>HYPERLINK("https://www.philgeps.gov.ph/GEPSNONPILOT/Tender/SplashBidNoticeAbstractUI.aspx?menuIndex=3&amp;refID=7039223&amp;Result=3","7039223")</f>
        <v>0</v>
      </c>
      <c r="B7124" t="s">
        <v>2232</v>
      </c>
      <c r="C7124" t="s">
        <v>9856</v>
      </c>
      <c r="D7124" t="s">
        <v>16187</v>
      </c>
      <c r="E7124" t="s">
        <v>22570</v>
      </c>
      <c r="F7124" t="s">
        <v>28198</v>
      </c>
      <c r="G7124" t="s">
        <v>28205</v>
      </c>
      <c r="H7124" t="s">
        <v>28214</v>
      </c>
      <c r="I7124" t="s">
        <v>3797</v>
      </c>
      <c r="J7124" t="s">
        <v>28362</v>
      </c>
      <c r="K7124" t="s">
        <v>36707</v>
      </c>
      <c r="M7124" t="s">
        <v>39400</v>
      </c>
      <c r="N7124" t="s">
        <v>40436</v>
      </c>
      <c r="O7124" t="s">
        <v>40437</v>
      </c>
      <c r="P7124">
        <v>0</v>
      </c>
      <c r="Q7124">
        <v>0</v>
      </c>
      <c r="R7124" t="s">
        <v>40444</v>
      </c>
      <c r="S7124" t="s">
        <v>40676</v>
      </c>
      <c r="T7124" t="s">
        <v>42233</v>
      </c>
      <c r="U7124" t="s">
        <v>48628</v>
      </c>
      <c r="V7124" t="s">
        <v>54521</v>
      </c>
      <c r="W7124" t="s">
        <v>39400</v>
      </c>
      <c r="X7124" t="s">
        <v>40445</v>
      </c>
    </row>
    <row r="7125" spans="1:24">
      <c r="A7125">
        <f>HYPERLINK("https://www.philgeps.gov.ph/GEPSNONPILOT/Tender/SplashBidNoticeAbstractUI.aspx?menuIndex=3&amp;refID=7039225&amp;Result=3","7039225")</f>
        <v>0</v>
      </c>
      <c r="B7125" t="s">
        <v>1157</v>
      </c>
      <c r="C7125" t="s">
        <v>9857</v>
      </c>
      <c r="D7125" t="s">
        <v>16193</v>
      </c>
      <c r="E7125" t="s">
        <v>22571</v>
      </c>
      <c r="F7125" t="s">
        <v>28198</v>
      </c>
      <c r="G7125" t="s">
        <v>28205</v>
      </c>
      <c r="H7125" t="s">
        <v>28215</v>
      </c>
      <c r="I7125" t="s">
        <v>28265</v>
      </c>
      <c r="J7125" t="s">
        <v>32810</v>
      </c>
      <c r="K7125" t="s">
        <v>36689</v>
      </c>
      <c r="M7125" t="s">
        <v>38197</v>
      </c>
      <c r="N7125" t="s">
        <v>40436</v>
      </c>
      <c r="O7125" t="s">
        <v>40437</v>
      </c>
      <c r="P7125">
        <v>0</v>
      </c>
      <c r="Q7125">
        <v>0</v>
      </c>
      <c r="R7125" t="s">
        <v>40444</v>
      </c>
      <c r="S7125" t="s">
        <v>40676</v>
      </c>
      <c r="T7125" t="s">
        <v>42184</v>
      </c>
      <c r="U7125" t="s">
        <v>48629</v>
      </c>
      <c r="W7125" t="s">
        <v>55484</v>
      </c>
      <c r="X7125" t="s">
        <v>40445</v>
      </c>
    </row>
    <row r="7126" spans="1:24">
      <c r="A7126">
        <f>HYPERLINK("https://www.philgeps.gov.ph/GEPSNONPILOT/Tender/SplashBidNoticeAbstractUI.aspx?menuIndex=3&amp;refID=7039227&amp;Result=3","7039227")</f>
        <v>0</v>
      </c>
      <c r="B7126" t="s">
        <v>1528</v>
      </c>
      <c r="C7126" t="s">
        <v>9858</v>
      </c>
      <c r="D7126" t="s">
        <v>16230</v>
      </c>
      <c r="E7126" t="s">
        <v>19657</v>
      </c>
      <c r="F7126" t="s">
        <v>28198</v>
      </c>
      <c r="G7126" t="s">
        <v>28207</v>
      </c>
      <c r="H7126" t="s">
        <v>28215</v>
      </c>
      <c r="I7126" t="s">
        <v>28274</v>
      </c>
      <c r="J7126" t="s">
        <v>28345</v>
      </c>
      <c r="K7126" t="s">
        <v>36715</v>
      </c>
      <c r="M7126" t="s">
        <v>38606</v>
      </c>
      <c r="N7126" t="s">
        <v>40436</v>
      </c>
      <c r="O7126" t="s">
        <v>40437</v>
      </c>
      <c r="Q7126">
        <v>0</v>
      </c>
      <c r="R7126" t="s">
        <v>40444</v>
      </c>
      <c r="S7126" t="s">
        <v>40703</v>
      </c>
      <c r="T7126" t="s">
        <v>42144</v>
      </c>
      <c r="U7126" t="s">
        <v>48630</v>
      </c>
      <c r="W7126" t="s">
        <v>38606</v>
      </c>
      <c r="X7126" t="s">
        <v>40445</v>
      </c>
    </row>
    <row r="7127" spans="1:24">
      <c r="A7127">
        <f>HYPERLINK("https://www.philgeps.gov.ph/GEPSNONPILOT/Tender/SplashBidNoticeAbstractUI.aspx?menuIndex=3&amp;refID=7039232&amp;Result=3","7039232")</f>
        <v>0</v>
      </c>
      <c r="B7127" t="s">
        <v>2231</v>
      </c>
      <c r="C7127" t="s">
        <v>9859</v>
      </c>
      <c r="D7127" t="s">
        <v>16262</v>
      </c>
      <c r="E7127" t="s">
        <v>22572</v>
      </c>
      <c r="F7127" t="s">
        <v>28198</v>
      </c>
      <c r="G7127" t="s">
        <v>28205</v>
      </c>
      <c r="H7127" t="s">
        <v>28214</v>
      </c>
      <c r="I7127" t="s">
        <v>28235</v>
      </c>
      <c r="J7127" t="s">
        <v>28415</v>
      </c>
      <c r="K7127" t="s">
        <v>36777</v>
      </c>
      <c r="M7127" t="s">
        <v>39399</v>
      </c>
      <c r="N7127" t="s">
        <v>40436</v>
      </c>
      <c r="O7127" t="s">
        <v>40437</v>
      </c>
      <c r="P7127">
        <v>0</v>
      </c>
      <c r="Q7127">
        <v>0</v>
      </c>
      <c r="R7127" t="s">
        <v>40444</v>
      </c>
      <c r="S7127" t="s">
        <v>40676</v>
      </c>
      <c r="T7127" t="s">
        <v>42144</v>
      </c>
      <c r="U7127" t="s">
        <v>48627</v>
      </c>
      <c r="W7127" t="s">
        <v>39399</v>
      </c>
      <c r="X7127" t="s">
        <v>40445</v>
      </c>
    </row>
    <row r="7128" spans="1:24">
      <c r="A7128">
        <f>HYPERLINK("https://www.philgeps.gov.ph/GEPSNONPILOT/Tender/SplashBidNoticeAbstractUI.aspx?menuIndex=3&amp;refID=7039216&amp;Result=3","7039216")</f>
        <v>0</v>
      </c>
      <c r="B7128" t="s">
        <v>2225</v>
      </c>
      <c r="C7128" t="s">
        <v>9860</v>
      </c>
      <c r="D7128" t="s">
        <v>16187</v>
      </c>
      <c r="E7128" t="s">
        <v>22573</v>
      </c>
      <c r="F7128" t="s">
        <v>28198</v>
      </c>
      <c r="G7128" t="s">
        <v>28205</v>
      </c>
      <c r="H7128" t="s">
        <v>28214</v>
      </c>
      <c r="I7128" t="s">
        <v>3797</v>
      </c>
      <c r="J7128" t="s">
        <v>32811</v>
      </c>
      <c r="K7128" t="s">
        <v>36692</v>
      </c>
      <c r="L7128" t="s">
        <v>2225</v>
      </c>
      <c r="M7128" t="s">
        <v>39392</v>
      </c>
      <c r="N7128" t="s">
        <v>40436</v>
      </c>
      <c r="O7128" t="s">
        <v>40437</v>
      </c>
      <c r="P7128">
        <v>0</v>
      </c>
      <c r="Q7128">
        <v>1</v>
      </c>
      <c r="R7128" t="s">
        <v>40444</v>
      </c>
      <c r="S7128" t="s">
        <v>40676</v>
      </c>
      <c r="T7128" t="s">
        <v>42432</v>
      </c>
      <c r="U7128" t="s">
        <v>48609</v>
      </c>
      <c r="W7128" t="s">
        <v>39392</v>
      </c>
      <c r="X7128" t="s">
        <v>40445</v>
      </c>
    </row>
    <row r="7129" spans="1:24">
      <c r="A7129">
        <f>HYPERLINK("https://www.philgeps.gov.ph/GEPSNONPILOT/Tender/SplashBidNoticeAbstractUI.aspx?menuIndex=3&amp;refID=7039266&amp;Result=3","7039266")</f>
        <v>0</v>
      </c>
      <c r="B7129" t="s">
        <v>1157</v>
      </c>
      <c r="C7129" t="s">
        <v>9861</v>
      </c>
      <c r="D7129" t="s">
        <v>16193</v>
      </c>
      <c r="E7129" t="s">
        <v>22574</v>
      </c>
      <c r="F7129" t="s">
        <v>28198</v>
      </c>
      <c r="G7129" t="s">
        <v>28205</v>
      </c>
      <c r="H7129" t="s">
        <v>28215</v>
      </c>
      <c r="I7129" t="s">
        <v>3774</v>
      </c>
      <c r="J7129" t="s">
        <v>28406</v>
      </c>
      <c r="K7129" t="s">
        <v>36689</v>
      </c>
      <c r="M7129" t="s">
        <v>38197</v>
      </c>
      <c r="N7129" t="s">
        <v>40436</v>
      </c>
      <c r="O7129" t="s">
        <v>40437</v>
      </c>
      <c r="P7129">
        <v>0</v>
      </c>
      <c r="Q7129">
        <v>0</v>
      </c>
      <c r="R7129" t="s">
        <v>40444</v>
      </c>
      <c r="S7129" t="s">
        <v>40676</v>
      </c>
      <c r="T7129" t="s">
        <v>42184</v>
      </c>
      <c r="U7129" t="s">
        <v>48631</v>
      </c>
      <c r="W7129" t="s">
        <v>55484</v>
      </c>
      <c r="X7129" t="s">
        <v>40445</v>
      </c>
    </row>
    <row r="7130" spans="1:24">
      <c r="A7130">
        <f>HYPERLINK("https://www.philgeps.gov.ph/GEPSNONPILOT/Tender/SplashBidNoticeAbstractUI.aspx?menuIndex=3&amp;refID=7039238&amp;Result=3","7039238")</f>
        <v>0</v>
      </c>
      <c r="B7130" t="s">
        <v>2225</v>
      </c>
      <c r="C7130" t="s">
        <v>9862</v>
      </c>
      <c r="D7130" t="s">
        <v>16187</v>
      </c>
      <c r="E7130" t="s">
        <v>22575</v>
      </c>
      <c r="F7130" t="s">
        <v>28198</v>
      </c>
      <c r="G7130" t="s">
        <v>28205</v>
      </c>
      <c r="H7130" t="s">
        <v>28214</v>
      </c>
      <c r="I7130" t="s">
        <v>3797</v>
      </c>
      <c r="J7130" t="s">
        <v>31972</v>
      </c>
      <c r="K7130" t="s">
        <v>36715</v>
      </c>
      <c r="L7130" t="s">
        <v>2225</v>
      </c>
      <c r="M7130" t="s">
        <v>39392</v>
      </c>
      <c r="N7130" t="s">
        <v>40436</v>
      </c>
      <c r="O7130" t="s">
        <v>40437</v>
      </c>
      <c r="P7130">
        <v>0</v>
      </c>
      <c r="Q7130">
        <v>0</v>
      </c>
      <c r="R7130" t="s">
        <v>40444</v>
      </c>
      <c r="S7130" t="s">
        <v>40676</v>
      </c>
      <c r="T7130" t="s">
        <v>42432</v>
      </c>
      <c r="U7130" t="s">
        <v>48609</v>
      </c>
      <c r="W7130" t="s">
        <v>39392</v>
      </c>
      <c r="X7130" t="s">
        <v>40445</v>
      </c>
    </row>
    <row r="7131" spans="1:24">
      <c r="A7131">
        <f>HYPERLINK("https://www.philgeps.gov.ph/GEPSNONPILOT/Tender/SplashBidNoticeAbstractUI.aspx?menuIndex=3&amp;refID=7039237&amp;Result=3","7039237")</f>
        <v>0</v>
      </c>
      <c r="B7131" t="s">
        <v>1157</v>
      </c>
      <c r="C7131" t="s">
        <v>9863</v>
      </c>
      <c r="D7131" t="s">
        <v>16193</v>
      </c>
      <c r="E7131" t="s">
        <v>22576</v>
      </c>
      <c r="F7131" t="s">
        <v>28198</v>
      </c>
      <c r="G7131" t="s">
        <v>28205</v>
      </c>
      <c r="H7131" t="s">
        <v>28215</v>
      </c>
      <c r="I7131" t="s">
        <v>5100</v>
      </c>
      <c r="J7131" t="s">
        <v>32812</v>
      </c>
      <c r="K7131" t="s">
        <v>36689</v>
      </c>
      <c r="M7131" t="s">
        <v>38197</v>
      </c>
      <c r="N7131" t="s">
        <v>40436</v>
      </c>
      <c r="O7131" t="s">
        <v>40437</v>
      </c>
      <c r="P7131">
        <v>0</v>
      </c>
      <c r="Q7131">
        <v>0</v>
      </c>
      <c r="R7131" t="s">
        <v>40444</v>
      </c>
      <c r="S7131" t="s">
        <v>40676</v>
      </c>
      <c r="T7131" t="s">
        <v>42184</v>
      </c>
      <c r="U7131" t="s">
        <v>48632</v>
      </c>
      <c r="W7131" t="s">
        <v>55484</v>
      </c>
      <c r="X7131" t="s">
        <v>40445</v>
      </c>
    </row>
    <row r="7132" spans="1:24">
      <c r="A7132">
        <f>HYPERLINK("https://www.philgeps.gov.ph/GEPSNONPILOT/Tender/SplashBidNoticeAbstractUI.aspx?menuIndex=3&amp;refID=7039265&amp;Result=3","7039265")</f>
        <v>0</v>
      </c>
      <c r="B7132" t="s">
        <v>2177</v>
      </c>
      <c r="C7132" t="s">
        <v>9864</v>
      </c>
      <c r="D7132" t="s">
        <v>16251</v>
      </c>
      <c r="E7132" t="s">
        <v>22577</v>
      </c>
      <c r="F7132" t="s">
        <v>28198</v>
      </c>
      <c r="G7132" t="s">
        <v>28205</v>
      </c>
      <c r="H7132" t="s">
        <v>28214</v>
      </c>
      <c r="I7132" t="s">
        <v>3797</v>
      </c>
      <c r="J7132" t="s">
        <v>32813</v>
      </c>
      <c r="K7132" t="s">
        <v>36777</v>
      </c>
      <c r="M7132" t="s">
        <v>39339</v>
      </c>
      <c r="N7132" t="s">
        <v>40436</v>
      </c>
      <c r="O7132" t="s">
        <v>40437</v>
      </c>
      <c r="Q7132">
        <v>1</v>
      </c>
      <c r="R7132" t="s">
        <v>40444</v>
      </c>
      <c r="S7132" t="s">
        <v>40704</v>
      </c>
      <c r="T7132" t="s">
        <v>42138</v>
      </c>
      <c r="U7132" t="s">
        <v>48633</v>
      </c>
      <c r="W7132" t="s">
        <v>39339</v>
      </c>
      <c r="X7132" t="s">
        <v>40445</v>
      </c>
    </row>
    <row r="7133" spans="1:24">
      <c r="A7133">
        <f>HYPERLINK("https://www.philgeps.gov.ph/GEPSNONPILOT/Tender/SplashBidNoticeAbstractUI.aspx?menuIndex=3&amp;refID=7039259&amp;Result=3","7039259")</f>
        <v>0</v>
      </c>
      <c r="B7133" t="s">
        <v>2230</v>
      </c>
      <c r="C7133" t="s">
        <v>9865</v>
      </c>
      <c r="D7133" t="s">
        <v>16194</v>
      </c>
      <c r="E7133" t="s">
        <v>3778</v>
      </c>
      <c r="F7133" t="s">
        <v>28198</v>
      </c>
      <c r="G7133" t="s">
        <v>28205</v>
      </c>
      <c r="H7133" t="s">
        <v>28214</v>
      </c>
      <c r="I7133" t="s">
        <v>5100</v>
      </c>
      <c r="J7133" t="s">
        <v>28645</v>
      </c>
      <c r="K7133" t="s">
        <v>36701</v>
      </c>
      <c r="M7133" t="s">
        <v>39398</v>
      </c>
      <c r="N7133" t="s">
        <v>40436</v>
      </c>
      <c r="O7133" t="s">
        <v>40437</v>
      </c>
      <c r="P7133">
        <v>0</v>
      </c>
      <c r="Q7133">
        <v>0</v>
      </c>
      <c r="R7133" t="s">
        <v>40444</v>
      </c>
      <c r="S7133" t="s">
        <v>40676</v>
      </c>
      <c r="T7133" t="s">
        <v>42266</v>
      </c>
      <c r="U7133" t="s">
        <v>48634</v>
      </c>
      <c r="V7133" t="s">
        <v>54520</v>
      </c>
      <c r="W7133" t="s">
        <v>39398</v>
      </c>
      <c r="X7133" t="s">
        <v>40445</v>
      </c>
    </row>
    <row r="7134" spans="1:24">
      <c r="A7134">
        <f>HYPERLINK("https://www.philgeps.gov.ph/GEPSNONPILOT/Tender/SplashBidNoticeAbstractUI.aspx?menuIndex=3&amp;refID=7039263&amp;Result=3","7039263")</f>
        <v>0</v>
      </c>
      <c r="B7134" t="s">
        <v>2233</v>
      </c>
      <c r="C7134" t="s">
        <v>9866</v>
      </c>
      <c r="D7134" t="s">
        <v>16248</v>
      </c>
      <c r="E7134" t="s">
        <v>22578</v>
      </c>
      <c r="F7134" t="s">
        <v>28198</v>
      </c>
      <c r="G7134" t="s">
        <v>28205</v>
      </c>
      <c r="H7134" t="s">
        <v>28215</v>
      </c>
      <c r="I7134" t="s">
        <v>28258</v>
      </c>
      <c r="J7134" t="s">
        <v>30445</v>
      </c>
      <c r="K7134" t="s">
        <v>36687</v>
      </c>
      <c r="M7134" t="s">
        <v>39401</v>
      </c>
      <c r="N7134" t="s">
        <v>40436</v>
      </c>
      <c r="O7134" t="s">
        <v>40437</v>
      </c>
      <c r="P7134">
        <v>0</v>
      </c>
      <c r="Q7134">
        <v>1</v>
      </c>
      <c r="R7134" t="s">
        <v>40444</v>
      </c>
      <c r="S7134" t="s">
        <v>40676</v>
      </c>
      <c r="T7134" t="s">
        <v>42233</v>
      </c>
      <c r="U7134" t="s">
        <v>48635</v>
      </c>
      <c r="W7134" t="s">
        <v>39401</v>
      </c>
      <c r="X7134" t="s">
        <v>40445</v>
      </c>
    </row>
    <row r="7135" spans="1:24">
      <c r="A7135">
        <f>HYPERLINK("https://www.philgeps.gov.ph/GEPSNONPILOT/Tender/SplashBidNoticeAbstractUI.aspx?menuIndex=3&amp;refID=7039268&amp;Result=3","7039268")</f>
        <v>0</v>
      </c>
      <c r="B7135" t="s">
        <v>2234</v>
      </c>
      <c r="C7135" t="s">
        <v>9867</v>
      </c>
      <c r="D7135" t="s">
        <v>16194</v>
      </c>
      <c r="E7135" t="s">
        <v>22579</v>
      </c>
      <c r="F7135" t="s">
        <v>28198</v>
      </c>
      <c r="G7135" t="s">
        <v>28207</v>
      </c>
      <c r="H7135" t="s">
        <v>28215</v>
      </c>
      <c r="I7135" t="s">
        <v>4200</v>
      </c>
      <c r="J7135" t="s">
        <v>28406</v>
      </c>
      <c r="K7135" t="s">
        <v>36693</v>
      </c>
      <c r="M7135" t="s">
        <v>39402</v>
      </c>
      <c r="N7135" t="s">
        <v>40436</v>
      </c>
      <c r="O7135" t="s">
        <v>40437</v>
      </c>
      <c r="P7135">
        <v>0</v>
      </c>
      <c r="Q7135">
        <v>3</v>
      </c>
      <c r="R7135" t="s">
        <v>40444</v>
      </c>
      <c r="S7135" t="s">
        <v>40676</v>
      </c>
      <c r="T7135" t="s">
        <v>42205</v>
      </c>
      <c r="U7135" t="s">
        <v>48636</v>
      </c>
      <c r="W7135" t="s">
        <v>39402</v>
      </c>
      <c r="X7135" t="s">
        <v>40445</v>
      </c>
    </row>
    <row r="7136" spans="1:24">
      <c r="A7136">
        <f>HYPERLINK("https://www.philgeps.gov.ph/GEPSNONPILOT/Tender/SplashBidNoticeAbstractUI.aspx?menuIndex=3&amp;refID=7039230&amp;Result=3","7039230")</f>
        <v>0</v>
      </c>
      <c r="B7136" t="s">
        <v>2225</v>
      </c>
      <c r="C7136" t="s">
        <v>9868</v>
      </c>
      <c r="D7136" t="s">
        <v>16187</v>
      </c>
      <c r="E7136" t="s">
        <v>22580</v>
      </c>
      <c r="F7136" t="s">
        <v>28198</v>
      </c>
      <c r="G7136" t="s">
        <v>28205</v>
      </c>
      <c r="H7136" t="s">
        <v>28214</v>
      </c>
      <c r="I7136" t="s">
        <v>3797</v>
      </c>
      <c r="J7136" t="s">
        <v>32342</v>
      </c>
      <c r="K7136" t="s">
        <v>36736</v>
      </c>
      <c r="L7136" t="s">
        <v>2225</v>
      </c>
      <c r="M7136" t="s">
        <v>39392</v>
      </c>
      <c r="N7136" t="s">
        <v>40436</v>
      </c>
      <c r="O7136" t="s">
        <v>40437</v>
      </c>
      <c r="P7136">
        <v>0</v>
      </c>
      <c r="Q7136">
        <v>2</v>
      </c>
      <c r="R7136" t="s">
        <v>40444</v>
      </c>
      <c r="S7136" t="s">
        <v>40676</v>
      </c>
      <c r="T7136" t="s">
        <v>42432</v>
      </c>
      <c r="U7136" t="s">
        <v>48609</v>
      </c>
      <c r="W7136" t="s">
        <v>39392</v>
      </c>
      <c r="X7136" t="s">
        <v>40445</v>
      </c>
    </row>
    <row r="7137" spans="1:24">
      <c r="A7137">
        <f>HYPERLINK("https://www.philgeps.gov.ph/GEPSNONPILOT/Tender/SplashBidNoticeAbstractUI.aspx?menuIndex=3&amp;refID=7039233&amp;Result=3","7039233")</f>
        <v>0</v>
      </c>
      <c r="B7137" t="s">
        <v>1157</v>
      </c>
      <c r="C7137" t="s">
        <v>9869</v>
      </c>
      <c r="D7137" t="s">
        <v>16193</v>
      </c>
      <c r="E7137" t="s">
        <v>18892</v>
      </c>
      <c r="F7137" t="s">
        <v>28198</v>
      </c>
      <c r="G7137" t="s">
        <v>28205</v>
      </c>
      <c r="H7137" t="s">
        <v>28215</v>
      </c>
      <c r="I7137" t="s">
        <v>28265</v>
      </c>
      <c r="J7137" t="s">
        <v>32814</v>
      </c>
      <c r="K7137" t="s">
        <v>36689</v>
      </c>
      <c r="M7137" t="s">
        <v>38197</v>
      </c>
      <c r="N7137" t="s">
        <v>40436</v>
      </c>
      <c r="O7137" t="s">
        <v>40437</v>
      </c>
      <c r="P7137">
        <v>0</v>
      </c>
      <c r="Q7137">
        <v>0</v>
      </c>
      <c r="R7137" t="s">
        <v>40444</v>
      </c>
      <c r="S7137" t="s">
        <v>40676</v>
      </c>
      <c r="T7137" t="s">
        <v>42184</v>
      </c>
      <c r="U7137" t="s">
        <v>48637</v>
      </c>
      <c r="W7137" t="s">
        <v>55484</v>
      </c>
      <c r="X7137" t="s">
        <v>40445</v>
      </c>
    </row>
    <row r="7138" spans="1:24">
      <c r="A7138">
        <f>HYPERLINK("https://www.philgeps.gov.ph/GEPSNONPILOT/Tender/SplashBidNoticeAbstractUI.aspx?menuIndex=3&amp;refID=7039257&amp;Result=3","7039257")</f>
        <v>0</v>
      </c>
      <c r="B7138" t="s">
        <v>1157</v>
      </c>
      <c r="C7138" t="s">
        <v>9870</v>
      </c>
      <c r="D7138" t="s">
        <v>16193</v>
      </c>
      <c r="E7138" t="s">
        <v>22581</v>
      </c>
      <c r="F7138" t="s">
        <v>28198</v>
      </c>
      <c r="G7138" t="s">
        <v>28205</v>
      </c>
      <c r="H7138" t="s">
        <v>28215</v>
      </c>
      <c r="I7138" t="s">
        <v>28251</v>
      </c>
      <c r="J7138" t="s">
        <v>32815</v>
      </c>
      <c r="K7138" t="s">
        <v>36689</v>
      </c>
      <c r="M7138" t="s">
        <v>38197</v>
      </c>
      <c r="N7138" t="s">
        <v>40436</v>
      </c>
      <c r="O7138" t="s">
        <v>40437</v>
      </c>
      <c r="P7138">
        <v>0</v>
      </c>
      <c r="Q7138">
        <v>4</v>
      </c>
      <c r="R7138" t="s">
        <v>40444</v>
      </c>
      <c r="S7138" t="s">
        <v>40676</v>
      </c>
      <c r="T7138" t="s">
        <v>42184</v>
      </c>
      <c r="U7138" t="s">
        <v>48638</v>
      </c>
      <c r="W7138" t="s">
        <v>55484</v>
      </c>
      <c r="X7138" t="s">
        <v>40445</v>
      </c>
    </row>
    <row r="7139" spans="1:24">
      <c r="A7139">
        <f>HYPERLINK("https://www.philgeps.gov.ph/GEPSNONPILOT/Tender/SplashBidNoticeAbstractUI.aspx?menuIndex=3&amp;refID=7039252&amp;Result=3","7039252")</f>
        <v>0</v>
      </c>
      <c r="B7139" t="s">
        <v>72</v>
      </c>
      <c r="C7139" t="s">
        <v>9871</v>
      </c>
      <c r="E7139" t="s">
        <v>22582</v>
      </c>
      <c r="F7139" t="s">
        <v>28198</v>
      </c>
      <c r="G7139" t="s">
        <v>28205</v>
      </c>
      <c r="H7139" t="s">
        <v>28214</v>
      </c>
      <c r="I7139" t="s">
        <v>3797</v>
      </c>
      <c r="J7139" t="s">
        <v>32816</v>
      </c>
      <c r="K7139" t="s">
        <v>36833</v>
      </c>
      <c r="M7139" t="s">
        <v>39403</v>
      </c>
      <c r="N7139" t="s">
        <v>40436</v>
      </c>
      <c r="O7139" t="s">
        <v>40437</v>
      </c>
      <c r="P7139">
        <v>0</v>
      </c>
      <c r="Q7139">
        <v>4</v>
      </c>
      <c r="R7139" t="s">
        <v>40444</v>
      </c>
      <c r="S7139" t="s">
        <v>40676</v>
      </c>
      <c r="T7139" t="s">
        <v>42435</v>
      </c>
      <c r="U7139" t="s">
        <v>48639</v>
      </c>
      <c r="W7139" t="s">
        <v>39403</v>
      </c>
      <c r="X7139" t="s">
        <v>40445</v>
      </c>
    </row>
    <row r="7140" spans="1:24">
      <c r="A7140">
        <f>HYPERLINK("https://www.philgeps.gov.ph/GEPSNONPILOT/Tender/SplashBidNoticeAbstractUI.aspx?menuIndex=3&amp;refID=7039248&amp;Result=3","7039248")</f>
        <v>0</v>
      </c>
      <c r="B7140" t="s">
        <v>2234</v>
      </c>
      <c r="C7140" t="s">
        <v>9872</v>
      </c>
      <c r="D7140" t="s">
        <v>16194</v>
      </c>
      <c r="E7140" t="s">
        <v>22583</v>
      </c>
      <c r="F7140" t="s">
        <v>28198</v>
      </c>
      <c r="G7140" t="s">
        <v>28208</v>
      </c>
      <c r="H7140" t="s">
        <v>28215</v>
      </c>
      <c r="I7140" t="s">
        <v>4200</v>
      </c>
      <c r="J7140" t="s">
        <v>30305</v>
      </c>
      <c r="K7140" t="s">
        <v>36693</v>
      </c>
      <c r="M7140" t="s">
        <v>39402</v>
      </c>
      <c r="N7140" t="s">
        <v>40436</v>
      </c>
      <c r="O7140" t="s">
        <v>40437</v>
      </c>
      <c r="P7140">
        <v>0</v>
      </c>
      <c r="Q7140">
        <v>3</v>
      </c>
      <c r="R7140" t="s">
        <v>40444</v>
      </c>
      <c r="S7140" t="s">
        <v>40676</v>
      </c>
      <c r="T7140" t="s">
        <v>42205</v>
      </c>
      <c r="U7140" t="s">
        <v>48640</v>
      </c>
      <c r="W7140" t="s">
        <v>39402</v>
      </c>
      <c r="X7140" t="s">
        <v>40445</v>
      </c>
    </row>
    <row r="7141" spans="1:24">
      <c r="A7141">
        <f>HYPERLINK("https://www.philgeps.gov.ph/GEPSNONPILOT/Tender/SplashBidNoticeAbstractUI.aspx?menuIndex=3&amp;refID=7039258&amp;Result=3","7039258")</f>
        <v>0</v>
      </c>
      <c r="B7141" t="s">
        <v>2225</v>
      </c>
      <c r="C7141" t="s">
        <v>9873</v>
      </c>
      <c r="D7141" t="s">
        <v>16187</v>
      </c>
      <c r="E7141" t="s">
        <v>22584</v>
      </c>
      <c r="F7141" t="s">
        <v>28198</v>
      </c>
      <c r="G7141" t="s">
        <v>28205</v>
      </c>
      <c r="H7141" t="s">
        <v>28214</v>
      </c>
      <c r="I7141" t="s">
        <v>3797</v>
      </c>
      <c r="J7141" t="s">
        <v>32817</v>
      </c>
      <c r="K7141" t="s">
        <v>36709</v>
      </c>
      <c r="L7141" t="s">
        <v>2225</v>
      </c>
      <c r="M7141" t="s">
        <v>39392</v>
      </c>
      <c r="N7141" t="s">
        <v>40436</v>
      </c>
      <c r="O7141" t="s">
        <v>40437</v>
      </c>
      <c r="P7141">
        <v>0</v>
      </c>
      <c r="Q7141">
        <v>0</v>
      </c>
      <c r="R7141" t="s">
        <v>40444</v>
      </c>
      <c r="S7141" t="s">
        <v>40676</v>
      </c>
      <c r="T7141" t="s">
        <v>42432</v>
      </c>
      <c r="U7141" t="s">
        <v>48609</v>
      </c>
      <c r="W7141" t="s">
        <v>39392</v>
      </c>
      <c r="X7141" t="s">
        <v>40445</v>
      </c>
    </row>
    <row r="7142" spans="1:24">
      <c r="A7142">
        <f>HYPERLINK("https://www.philgeps.gov.ph/GEPSNONPILOT/Tender/SplashBidNoticeAbstractUI.aspx?menuIndex=3&amp;refID=7039245&amp;Result=3","7039245")</f>
        <v>0</v>
      </c>
      <c r="B7142" t="s">
        <v>1039</v>
      </c>
      <c r="C7142" t="s">
        <v>9874</v>
      </c>
      <c r="D7142" t="s">
        <v>16255</v>
      </c>
      <c r="E7142" t="s">
        <v>22585</v>
      </c>
      <c r="F7142" t="s">
        <v>28198</v>
      </c>
      <c r="G7142" t="s">
        <v>28205</v>
      </c>
      <c r="H7142" t="s">
        <v>28215</v>
      </c>
      <c r="I7142" t="s">
        <v>28225</v>
      </c>
      <c r="J7142" t="s">
        <v>32818</v>
      </c>
      <c r="K7142" t="s">
        <v>36701</v>
      </c>
      <c r="M7142" t="s">
        <v>38071</v>
      </c>
      <c r="N7142" t="s">
        <v>40436</v>
      </c>
      <c r="O7142" t="s">
        <v>40437</v>
      </c>
      <c r="P7142">
        <v>0</v>
      </c>
      <c r="Q7142">
        <v>3</v>
      </c>
      <c r="R7142" t="s">
        <v>40444</v>
      </c>
      <c r="S7142" t="s">
        <v>40676</v>
      </c>
      <c r="T7142" t="s">
        <v>42234</v>
      </c>
      <c r="U7142" t="s">
        <v>48641</v>
      </c>
      <c r="W7142" t="s">
        <v>38071</v>
      </c>
      <c r="X7142" t="s">
        <v>40445</v>
      </c>
    </row>
    <row r="7143" spans="1:24">
      <c r="A7143">
        <f>HYPERLINK("https://www.philgeps.gov.ph/GEPSNONPILOT/Tender/SplashBidNoticeAbstractUI.aspx?menuIndex=3&amp;refID=7039250&amp;Result=3","7039250")</f>
        <v>0</v>
      </c>
      <c r="B7143" t="s">
        <v>1157</v>
      </c>
      <c r="C7143" t="s">
        <v>9875</v>
      </c>
      <c r="D7143" t="s">
        <v>16193</v>
      </c>
      <c r="E7143" t="s">
        <v>18687</v>
      </c>
      <c r="F7143" t="s">
        <v>28198</v>
      </c>
      <c r="G7143" t="s">
        <v>28205</v>
      </c>
      <c r="H7143" t="s">
        <v>28215</v>
      </c>
      <c r="I7143" t="s">
        <v>28265</v>
      </c>
      <c r="J7143" t="s">
        <v>32819</v>
      </c>
      <c r="K7143" t="s">
        <v>36689</v>
      </c>
      <c r="M7143" t="s">
        <v>38197</v>
      </c>
      <c r="N7143" t="s">
        <v>40436</v>
      </c>
      <c r="O7143" t="s">
        <v>40437</v>
      </c>
      <c r="P7143">
        <v>0</v>
      </c>
      <c r="Q7143">
        <v>0</v>
      </c>
      <c r="R7143" t="s">
        <v>40444</v>
      </c>
      <c r="S7143" t="s">
        <v>40676</v>
      </c>
      <c r="T7143" t="s">
        <v>42184</v>
      </c>
      <c r="U7143" t="s">
        <v>48642</v>
      </c>
      <c r="W7143" t="s">
        <v>55484</v>
      </c>
      <c r="X7143" t="s">
        <v>40445</v>
      </c>
    </row>
    <row r="7144" spans="1:24">
      <c r="A7144">
        <f>HYPERLINK("https://www.philgeps.gov.ph/GEPSNONPILOT/Tender/SplashBidNoticeAbstractUI.aspx?menuIndex=3&amp;refID=7039269&amp;Result=3","7039269")</f>
        <v>0</v>
      </c>
      <c r="B7144" t="s">
        <v>2225</v>
      </c>
      <c r="C7144" t="s">
        <v>9876</v>
      </c>
      <c r="D7144" t="s">
        <v>16187</v>
      </c>
      <c r="E7144" t="s">
        <v>22586</v>
      </c>
      <c r="F7144" t="s">
        <v>28198</v>
      </c>
      <c r="G7144" t="s">
        <v>28205</v>
      </c>
      <c r="H7144" t="s">
        <v>28214</v>
      </c>
      <c r="I7144" t="s">
        <v>3797</v>
      </c>
      <c r="J7144" t="s">
        <v>29552</v>
      </c>
      <c r="K7144" t="s">
        <v>36697</v>
      </c>
      <c r="L7144" t="s">
        <v>2225</v>
      </c>
      <c r="M7144" t="s">
        <v>39392</v>
      </c>
      <c r="N7144" t="s">
        <v>40436</v>
      </c>
      <c r="O7144" t="s">
        <v>40437</v>
      </c>
      <c r="P7144">
        <v>0</v>
      </c>
      <c r="Q7144">
        <v>0</v>
      </c>
      <c r="R7144" t="s">
        <v>40444</v>
      </c>
      <c r="S7144" t="s">
        <v>40676</v>
      </c>
      <c r="T7144" t="s">
        <v>42432</v>
      </c>
      <c r="U7144" t="s">
        <v>48609</v>
      </c>
      <c r="W7144" t="s">
        <v>39392</v>
      </c>
      <c r="X7144" t="s">
        <v>40445</v>
      </c>
    </row>
    <row r="7145" spans="1:24">
      <c r="A7145">
        <f>HYPERLINK("https://www.philgeps.gov.ph/GEPSNONPILOT/Tender/SplashBidNoticeAbstractUI.aspx?menuIndex=3&amp;refID=7039284&amp;Result=3","7039284")</f>
        <v>0</v>
      </c>
      <c r="B7145" t="s">
        <v>1037</v>
      </c>
      <c r="C7145" t="s">
        <v>9877</v>
      </c>
      <c r="D7145" t="s">
        <v>16190</v>
      </c>
      <c r="E7145" t="s">
        <v>22587</v>
      </c>
      <c r="F7145" t="s">
        <v>28198</v>
      </c>
      <c r="G7145" t="s">
        <v>28205</v>
      </c>
      <c r="H7145" t="s">
        <v>28215</v>
      </c>
      <c r="I7145" t="s">
        <v>8888</v>
      </c>
      <c r="J7145" t="s">
        <v>30496</v>
      </c>
      <c r="K7145" t="s">
        <v>36689</v>
      </c>
      <c r="M7145" t="s">
        <v>38069</v>
      </c>
      <c r="N7145" t="s">
        <v>40436</v>
      </c>
      <c r="O7145" t="s">
        <v>40437</v>
      </c>
      <c r="P7145">
        <v>0</v>
      </c>
      <c r="Q7145">
        <v>3</v>
      </c>
      <c r="R7145" t="s">
        <v>40444</v>
      </c>
      <c r="S7145" t="s">
        <v>40676</v>
      </c>
      <c r="T7145" t="s">
        <v>42482</v>
      </c>
      <c r="U7145" t="s">
        <v>48643</v>
      </c>
      <c r="V7145" t="s">
        <v>54061</v>
      </c>
      <c r="W7145" t="s">
        <v>38069</v>
      </c>
      <c r="X7145" t="s">
        <v>40445</v>
      </c>
    </row>
    <row r="7146" spans="1:24">
      <c r="A7146">
        <f>HYPERLINK("https://www.philgeps.gov.ph/GEPSNONPILOT/Tender/SplashBidNoticeAbstractUI.aspx?menuIndex=3&amp;refID=7039271&amp;Result=3","7039271")</f>
        <v>0</v>
      </c>
      <c r="B7146" t="s">
        <v>2235</v>
      </c>
      <c r="C7146" t="s">
        <v>9878</v>
      </c>
      <c r="D7146" t="s">
        <v>16246</v>
      </c>
      <c r="E7146" t="s">
        <v>16943</v>
      </c>
      <c r="F7146" t="s">
        <v>28198</v>
      </c>
      <c r="G7146" t="s">
        <v>28205</v>
      </c>
      <c r="H7146" t="s">
        <v>28215</v>
      </c>
      <c r="I7146" t="s">
        <v>4200</v>
      </c>
      <c r="J7146" t="s">
        <v>29113</v>
      </c>
      <c r="K7146" t="s">
        <v>36689</v>
      </c>
      <c r="M7146" t="s">
        <v>39404</v>
      </c>
      <c r="N7146" t="s">
        <v>40436</v>
      </c>
      <c r="O7146" t="s">
        <v>40437</v>
      </c>
      <c r="P7146">
        <v>0</v>
      </c>
      <c r="Q7146">
        <v>0</v>
      </c>
      <c r="R7146" t="s">
        <v>40444</v>
      </c>
      <c r="S7146" t="s">
        <v>40676</v>
      </c>
      <c r="T7146" t="s">
        <v>42297</v>
      </c>
      <c r="U7146" t="s">
        <v>48644</v>
      </c>
      <c r="V7146" t="s">
        <v>54522</v>
      </c>
      <c r="W7146" t="s">
        <v>39404</v>
      </c>
      <c r="X7146" t="s">
        <v>40445</v>
      </c>
    </row>
    <row r="7147" spans="1:24">
      <c r="A7147">
        <f>HYPERLINK("https://www.philgeps.gov.ph/GEPSNONPILOT/Tender/SplashBidNoticeAbstractUI.aspx?menuIndex=3&amp;refID=7039249&amp;Result=3","7039249")</f>
        <v>0</v>
      </c>
      <c r="B7147" t="s">
        <v>2225</v>
      </c>
      <c r="C7147" t="s">
        <v>9879</v>
      </c>
      <c r="D7147" t="s">
        <v>16187</v>
      </c>
      <c r="E7147" t="s">
        <v>22588</v>
      </c>
      <c r="F7147" t="s">
        <v>28198</v>
      </c>
      <c r="G7147" t="s">
        <v>28205</v>
      </c>
      <c r="H7147" t="s">
        <v>28214</v>
      </c>
      <c r="I7147" t="s">
        <v>3797</v>
      </c>
      <c r="J7147" t="s">
        <v>32340</v>
      </c>
      <c r="K7147" t="s">
        <v>36692</v>
      </c>
      <c r="L7147" t="s">
        <v>2225</v>
      </c>
      <c r="M7147" t="s">
        <v>39392</v>
      </c>
      <c r="N7147" t="s">
        <v>40436</v>
      </c>
      <c r="O7147" t="s">
        <v>40437</v>
      </c>
      <c r="P7147">
        <v>0</v>
      </c>
      <c r="Q7147">
        <v>0</v>
      </c>
      <c r="R7147" t="s">
        <v>40444</v>
      </c>
      <c r="S7147" t="s">
        <v>40676</v>
      </c>
      <c r="T7147" t="s">
        <v>42432</v>
      </c>
      <c r="U7147" t="s">
        <v>48609</v>
      </c>
      <c r="W7147" t="s">
        <v>39392</v>
      </c>
      <c r="X7147" t="s">
        <v>40445</v>
      </c>
    </row>
    <row r="7148" spans="1:24">
      <c r="A7148">
        <f>HYPERLINK("https://www.philgeps.gov.ph/GEPSNONPILOT/Tender/SplashBidNoticeAbstractUI.aspx?menuIndex=3&amp;refID=7039276&amp;Result=3","7039276")</f>
        <v>0</v>
      </c>
      <c r="B7148" t="s">
        <v>2236</v>
      </c>
      <c r="C7148" t="s">
        <v>9880</v>
      </c>
      <c r="E7148" t="s">
        <v>22589</v>
      </c>
      <c r="F7148" t="s">
        <v>28198</v>
      </c>
      <c r="G7148" t="s">
        <v>28205</v>
      </c>
      <c r="H7148" t="s">
        <v>28215</v>
      </c>
      <c r="I7148" t="s">
        <v>28222</v>
      </c>
      <c r="J7148" t="s">
        <v>28404</v>
      </c>
      <c r="K7148" t="s">
        <v>36689</v>
      </c>
      <c r="M7148" t="s">
        <v>39405</v>
      </c>
      <c r="N7148" t="s">
        <v>40436</v>
      </c>
      <c r="O7148" t="s">
        <v>40437</v>
      </c>
      <c r="P7148">
        <v>0</v>
      </c>
      <c r="Q7148">
        <v>0</v>
      </c>
      <c r="R7148" t="s">
        <v>40444</v>
      </c>
      <c r="S7148" t="s">
        <v>40676</v>
      </c>
      <c r="T7148" t="s">
        <v>42233</v>
      </c>
      <c r="U7148" t="s">
        <v>48645</v>
      </c>
      <c r="W7148" t="s">
        <v>39405</v>
      </c>
      <c r="X7148" t="s">
        <v>40445</v>
      </c>
    </row>
    <row r="7149" spans="1:24">
      <c r="A7149">
        <f>HYPERLINK("https://www.philgeps.gov.ph/GEPSNONPILOT/Tender/SplashBidNoticeAbstractUI.aspx?menuIndex=3&amp;refID=7039274&amp;Result=3","7039274")</f>
        <v>0</v>
      </c>
      <c r="B7149" t="s">
        <v>1157</v>
      </c>
      <c r="C7149" t="s">
        <v>9881</v>
      </c>
      <c r="D7149" t="s">
        <v>16193</v>
      </c>
      <c r="E7149" t="s">
        <v>22590</v>
      </c>
      <c r="F7149" t="s">
        <v>28198</v>
      </c>
      <c r="G7149" t="s">
        <v>28205</v>
      </c>
      <c r="H7149" t="s">
        <v>28215</v>
      </c>
      <c r="I7149" t="s">
        <v>4200</v>
      </c>
      <c r="J7149" t="s">
        <v>32820</v>
      </c>
      <c r="K7149" t="s">
        <v>36689</v>
      </c>
      <c r="M7149" t="s">
        <v>38197</v>
      </c>
      <c r="N7149" t="s">
        <v>40436</v>
      </c>
      <c r="O7149" t="s">
        <v>40437</v>
      </c>
      <c r="Q7149">
        <v>1</v>
      </c>
      <c r="R7149" t="s">
        <v>40444</v>
      </c>
      <c r="S7149" t="s">
        <v>40705</v>
      </c>
      <c r="T7149" t="s">
        <v>42184</v>
      </c>
      <c r="U7149" t="s">
        <v>48646</v>
      </c>
      <c r="W7149" t="s">
        <v>55484</v>
      </c>
      <c r="X7149" t="s">
        <v>40445</v>
      </c>
    </row>
    <row r="7150" spans="1:24">
      <c r="A7150">
        <f>HYPERLINK("https://www.philgeps.gov.ph/GEPSNONPILOT/Tender/SplashBidNoticeAbstractUI.aspx?menuIndex=3&amp;refID=7039277&amp;Result=3","7039277")</f>
        <v>0</v>
      </c>
      <c r="B7150" t="s">
        <v>2225</v>
      </c>
      <c r="C7150" t="s">
        <v>9882</v>
      </c>
      <c r="D7150" t="s">
        <v>16187</v>
      </c>
      <c r="E7150" t="s">
        <v>22591</v>
      </c>
      <c r="F7150" t="s">
        <v>28198</v>
      </c>
      <c r="G7150" t="s">
        <v>28205</v>
      </c>
      <c r="H7150" t="s">
        <v>28214</v>
      </c>
      <c r="I7150" t="s">
        <v>3797</v>
      </c>
      <c r="J7150" t="s">
        <v>29224</v>
      </c>
      <c r="K7150" t="s">
        <v>36697</v>
      </c>
      <c r="L7150" t="s">
        <v>2225</v>
      </c>
      <c r="M7150" t="s">
        <v>39392</v>
      </c>
      <c r="N7150" t="s">
        <v>40436</v>
      </c>
      <c r="O7150" t="s">
        <v>40437</v>
      </c>
      <c r="P7150">
        <v>0</v>
      </c>
      <c r="Q7150">
        <v>0</v>
      </c>
      <c r="R7150" t="s">
        <v>40444</v>
      </c>
      <c r="S7150" t="s">
        <v>40676</v>
      </c>
      <c r="T7150" t="s">
        <v>42432</v>
      </c>
      <c r="U7150" t="s">
        <v>48609</v>
      </c>
      <c r="W7150" t="s">
        <v>39392</v>
      </c>
      <c r="X7150" t="s">
        <v>40445</v>
      </c>
    </row>
    <row r="7151" spans="1:24">
      <c r="A7151">
        <f>HYPERLINK("https://www.philgeps.gov.ph/GEPSNONPILOT/Tender/SplashBidNoticeAbstractUI.aspx?menuIndex=3&amp;refID=7039303&amp;Result=3","7039303")</f>
        <v>0</v>
      </c>
      <c r="B7151" t="s">
        <v>1318</v>
      </c>
      <c r="C7151" t="s">
        <v>9883</v>
      </c>
      <c r="D7151" t="s">
        <v>16196</v>
      </c>
      <c r="E7151" t="s">
        <v>22592</v>
      </c>
      <c r="F7151" t="s">
        <v>28198</v>
      </c>
      <c r="G7151" t="s">
        <v>28205</v>
      </c>
      <c r="H7151" t="s">
        <v>28215</v>
      </c>
      <c r="I7151" t="s">
        <v>3774</v>
      </c>
      <c r="J7151" t="s">
        <v>32821</v>
      </c>
      <c r="K7151" t="s">
        <v>36706</v>
      </c>
      <c r="M7151" t="s">
        <v>38376</v>
      </c>
      <c r="N7151" t="s">
        <v>40436</v>
      </c>
      <c r="O7151" t="s">
        <v>40437</v>
      </c>
      <c r="P7151">
        <v>0</v>
      </c>
      <c r="Q7151">
        <v>0</v>
      </c>
      <c r="R7151" t="s">
        <v>40444</v>
      </c>
      <c r="S7151" t="s">
        <v>40676</v>
      </c>
      <c r="T7151" t="s">
        <v>42431</v>
      </c>
      <c r="U7151" t="s">
        <v>45608</v>
      </c>
      <c r="W7151" t="s">
        <v>38376</v>
      </c>
      <c r="X7151" t="s">
        <v>40445</v>
      </c>
    </row>
    <row r="7152" spans="1:24">
      <c r="A7152">
        <f>HYPERLINK("https://www.philgeps.gov.ph/GEPSNONPILOT/Tender/SplashBidNoticeAbstractUI.aspx?menuIndex=3&amp;refID=7039272&amp;Result=3","7039272")</f>
        <v>0</v>
      </c>
      <c r="B7152" t="s">
        <v>1186</v>
      </c>
      <c r="C7152" t="s">
        <v>9884</v>
      </c>
      <c r="D7152" t="s">
        <v>16199</v>
      </c>
      <c r="E7152" t="s">
        <v>22593</v>
      </c>
      <c r="F7152" t="s">
        <v>28198</v>
      </c>
      <c r="G7152" t="s">
        <v>28205</v>
      </c>
      <c r="H7152" t="s">
        <v>28215</v>
      </c>
      <c r="I7152" t="s">
        <v>28257</v>
      </c>
      <c r="J7152" t="s">
        <v>28415</v>
      </c>
      <c r="K7152" t="s">
        <v>36693</v>
      </c>
      <c r="M7152" t="s">
        <v>38228</v>
      </c>
      <c r="N7152" t="s">
        <v>40436</v>
      </c>
      <c r="O7152" t="s">
        <v>40437</v>
      </c>
      <c r="P7152">
        <v>0</v>
      </c>
      <c r="Q7152">
        <v>1</v>
      </c>
      <c r="R7152" t="s">
        <v>40444</v>
      </c>
      <c r="S7152" t="s">
        <v>40676</v>
      </c>
      <c r="T7152" t="s">
        <v>42158</v>
      </c>
      <c r="U7152" t="s">
        <v>48647</v>
      </c>
      <c r="V7152" t="s">
        <v>54523</v>
      </c>
      <c r="W7152" t="s">
        <v>38228</v>
      </c>
      <c r="X7152" t="s">
        <v>40445</v>
      </c>
    </row>
    <row r="7153" spans="1:24">
      <c r="A7153">
        <f>HYPERLINK("https://www.philgeps.gov.ph/GEPSNONPILOT/Tender/SplashBidNoticeAbstractUI.aspx?menuIndex=3&amp;refID=7039304&amp;Result=3","7039304")</f>
        <v>0</v>
      </c>
      <c r="B7153" t="s">
        <v>2237</v>
      </c>
      <c r="C7153" t="s">
        <v>9885</v>
      </c>
      <c r="D7153" t="s">
        <v>16222</v>
      </c>
      <c r="E7153" t="s">
        <v>17034</v>
      </c>
      <c r="F7153" t="s">
        <v>28198</v>
      </c>
      <c r="G7153" t="s">
        <v>28205</v>
      </c>
      <c r="H7153" t="s">
        <v>28215</v>
      </c>
      <c r="I7153" t="s">
        <v>5100</v>
      </c>
      <c r="J7153" t="s">
        <v>32822</v>
      </c>
      <c r="K7153" t="s">
        <v>36707</v>
      </c>
      <c r="M7153" t="s">
        <v>39406</v>
      </c>
      <c r="N7153" t="s">
        <v>40436</v>
      </c>
      <c r="O7153" t="s">
        <v>40437</v>
      </c>
      <c r="P7153">
        <v>0</v>
      </c>
      <c r="Q7153">
        <v>1</v>
      </c>
      <c r="R7153" t="s">
        <v>40444</v>
      </c>
      <c r="S7153" t="s">
        <v>40676</v>
      </c>
      <c r="T7153" t="s">
        <v>42216</v>
      </c>
      <c r="U7153" t="s">
        <v>48648</v>
      </c>
      <c r="W7153" t="s">
        <v>39406</v>
      </c>
      <c r="X7153" t="s">
        <v>40445</v>
      </c>
    </row>
    <row r="7154" spans="1:24">
      <c r="A7154">
        <f>HYPERLINK("https://www.philgeps.gov.ph/GEPSNONPILOT/Tender/SplashBidNoticeAbstractUI.aspx?menuIndex=3&amp;refID=7039280&amp;Result=3","7039280")</f>
        <v>0</v>
      </c>
      <c r="B7154" t="s">
        <v>487</v>
      </c>
      <c r="C7154" t="s">
        <v>9886</v>
      </c>
      <c r="D7154" t="s">
        <v>16245</v>
      </c>
      <c r="E7154" t="s">
        <v>22594</v>
      </c>
      <c r="F7154" t="s">
        <v>28198</v>
      </c>
      <c r="G7154" t="s">
        <v>28205</v>
      </c>
      <c r="H7154" t="s">
        <v>28215</v>
      </c>
      <c r="I7154" t="s">
        <v>28220</v>
      </c>
      <c r="J7154" t="s">
        <v>32823</v>
      </c>
      <c r="K7154" t="s">
        <v>36689</v>
      </c>
      <c r="M7154" t="s">
        <v>37472</v>
      </c>
      <c r="N7154" t="s">
        <v>40436</v>
      </c>
      <c r="O7154" t="s">
        <v>40437</v>
      </c>
      <c r="P7154">
        <v>0</v>
      </c>
      <c r="Q7154">
        <v>9</v>
      </c>
      <c r="R7154" t="s">
        <v>40444</v>
      </c>
      <c r="S7154" t="s">
        <v>40676</v>
      </c>
      <c r="T7154" t="s">
        <v>42292</v>
      </c>
      <c r="U7154" t="s">
        <v>48649</v>
      </c>
      <c r="W7154" t="s">
        <v>37472</v>
      </c>
      <c r="X7154" t="s">
        <v>40445</v>
      </c>
    </row>
    <row r="7155" spans="1:24">
      <c r="A7155">
        <f>HYPERLINK("https://www.philgeps.gov.ph/GEPSNONPILOT/Tender/SplashBidNoticeAbstractUI.aspx?menuIndex=3&amp;refID=7039305&amp;Result=3","7039305")</f>
        <v>0</v>
      </c>
      <c r="B7155" t="s">
        <v>2238</v>
      </c>
      <c r="C7155" t="s">
        <v>9887</v>
      </c>
      <c r="D7155" t="s">
        <v>16195</v>
      </c>
      <c r="E7155" t="s">
        <v>17417</v>
      </c>
      <c r="F7155" t="s">
        <v>28198</v>
      </c>
      <c r="G7155" t="s">
        <v>28205</v>
      </c>
      <c r="H7155" t="s">
        <v>28214</v>
      </c>
      <c r="I7155" t="s">
        <v>3797</v>
      </c>
      <c r="J7155" t="s">
        <v>32824</v>
      </c>
      <c r="K7155" t="s">
        <v>36706</v>
      </c>
      <c r="M7155" t="s">
        <v>39407</v>
      </c>
      <c r="N7155" t="s">
        <v>40436</v>
      </c>
      <c r="O7155" t="s">
        <v>40437</v>
      </c>
      <c r="P7155">
        <v>0</v>
      </c>
      <c r="Q7155">
        <v>0</v>
      </c>
      <c r="R7155" t="s">
        <v>40444</v>
      </c>
      <c r="S7155" t="s">
        <v>40676</v>
      </c>
      <c r="T7155" t="s">
        <v>42161</v>
      </c>
      <c r="U7155" t="s">
        <v>48650</v>
      </c>
      <c r="V7155" t="s">
        <v>54524</v>
      </c>
      <c r="W7155" t="s">
        <v>39407</v>
      </c>
      <c r="X7155" t="s">
        <v>40445</v>
      </c>
    </row>
    <row r="7156" spans="1:24">
      <c r="A7156">
        <f>HYPERLINK("https://www.philgeps.gov.ph/GEPSNONPILOT/Tender/SplashBidNoticeAbstractUI.aspx?menuIndex=3&amp;refID=7039297&amp;Result=3","7039297")</f>
        <v>0</v>
      </c>
      <c r="B7156" t="s">
        <v>2230</v>
      </c>
      <c r="C7156" t="s">
        <v>9888</v>
      </c>
      <c r="D7156" t="s">
        <v>16194</v>
      </c>
      <c r="E7156" t="s">
        <v>22595</v>
      </c>
      <c r="F7156" t="s">
        <v>28198</v>
      </c>
      <c r="G7156" t="s">
        <v>28205</v>
      </c>
      <c r="H7156" t="s">
        <v>28214</v>
      </c>
      <c r="I7156" t="s">
        <v>5100</v>
      </c>
      <c r="J7156" t="s">
        <v>28561</v>
      </c>
      <c r="K7156" t="s">
        <v>36701</v>
      </c>
      <c r="M7156" t="s">
        <v>39398</v>
      </c>
      <c r="N7156" t="s">
        <v>40436</v>
      </c>
      <c r="O7156" t="s">
        <v>40437</v>
      </c>
      <c r="P7156">
        <v>0</v>
      </c>
      <c r="Q7156">
        <v>0</v>
      </c>
      <c r="R7156" t="s">
        <v>40444</v>
      </c>
      <c r="S7156" t="s">
        <v>40676</v>
      </c>
      <c r="T7156" t="s">
        <v>42266</v>
      </c>
      <c r="U7156" t="s">
        <v>48651</v>
      </c>
      <c r="V7156" t="s">
        <v>54520</v>
      </c>
      <c r="W7156" t="s">
        <v>39398</v>
      </c>
      <c r="X7156" t="s">
        <v>40445</v>
      </c>
    </row>
    <row r="7157" spans="1:24">
      <c r="A7157">
        <f>HYPERLINK("https://www.philgeps.gov.ph/GEPSNONPILOT/Tender/SplashBidNoticeAbstractUI.aspx?menuIndex=3&amp;refID=7039298&amp;Result=3","7039298")</f>
        <v>0</v>
      </c>
      <c r="B7157" t="s">
        <v>2225</v>
      </c>
      <c r="C7157" t="s">
        <v>9889</v>
      </c>
      <c r="D7157" t="s">
        <v>16187</v>
      </c>
      <c r="E7157" t="s">
        <v>22596</v>
      </c>
      <c r="F7157" t="s">
        <v>28198</v>
      </c>
      <c r="G7157" t="s">
        <v>28205</v>
      </c>
      <c r="H7157" t="s">
        <v>28214</v>
      </c>
      <c r="I7157" t="s">
        <v>3797</v>
      </c>
      <c r="J7157" t="s">
        <v>32480</v>
      </c>
      <c r="K7157" t="s">
        <v>36694</v>
      </c>
      <c r="L7157" t="s">
        <v>2225</v>
      </c>
      <c r="M7157" t="s">
        <v>39392</v>
      </c>
      <c r="N7157" t="s">
        <v>40436</v>
      </c>
      <c r="O7157" t="s">
        <v>40437</v>
      </c>
      <c r="P7157">
        <v>0</v>
      </c>
      <c r="Q7157">
        <v>0</v>
      </c>
      <c r="R7157" t="s">
        <v>40444</v>
      </c>
      <c r="S7157" t="s">
        <v>40676</v>
      </c>
      <c r="T7157" t="s">
        <v>42432</v>
      </c>
      <c r="U7157" t="s">
        <v>48609</v>
      </c>
      <c r="W7157" t="s">
        <v>39392</v>
      </c>
      <c r="X7157" t="s">
        <v>40445</v>
      </c>
    </row>
    <row r="7158" spans="1:24">
      <c r="A7158">
        <f>HYPERLINK("https://www.philgeps.gov.ph/GEPSNONPILOT/Tender/SplashBidNoticeAbstractUI.aspx?menuIndex=3&amp;refID=7039306&amp;Result=3","7039306")</f>
        <v>0</v>
      </c>
      <c r="B7158" t="s">
        <v>577</v>
      </c>
      <c r="C7158" t="s">
        <v>9890</v>
      </c>
      <c r="D7158" t="s">
        <v>16228</v>
      </c>
      <c r="E7158" t="s">
        <v>22597</v>
      </c>
      <c r="F7158" t="s">
        <v>28198</v>
      </c>
      <c r="G7158" t="s">
        <v>28205</v>
      </c>
      <c r="H7158" t="s">
        <v>28215</v>
      </c>
      <c r="I7158" t="s">
        <v>28228</v>
      </c>
      <c r="J7158" t="s">
        <v>32140</v>
      </c>
      <c r="K7158" t="s">
        <v>36701</v>
      </c>
      <c r="L7158" t="s">
        <v>577</v>
      </c>
      <c r="M7158" t="s">
        <v>37566</v>
      </c>
      <c r="N7158" t="s">
        <v>40436</v>
      </c>
      <c r="O7158" t="s">
        <v>40437</v>
      </c>
      <c r="P7158">
        <v>0</v>
      </c>
      <c r="Q7158">
        <v>0</v>
      </c>
      <c r="R7158" t="s">
        <v>40444</v>
      </c>
      <c r="S7158" t="s">
        <v>40676</v>
      </c>
      <c r="T7158" t="s">
        <v>42134</v>
      </c>
      <c r="U7158" t="s">
        <v>48652</v>
      </c>
      <c r="V7158" t="s">
        <v>54525</v>
      </c>
      <c r="W7158" t="s">
        <v>37566</v>
      </c>
      <c r="X7158" t="s">
        <v>40445</v>
      </c>
    </row>
    <row r="7159" spans="1:24">
      <c r="A7159">
        <f>HYPERLINK("https://www.philgeps.gov.ph/GEPSNONPILOT/Tender/SplashBidNoticeAbstractUI.aspx?menuIndex=3&amp;refID=7039293&amp;Result=3","7039293")</f>
        <v>0</v>
      </c>
      <c r="B7159" t="s">
        <v>2233</v>
      </c>
      <c r="C7159" t="s">
        <v>9891</v>
      </c>
      <c r="D7159" t="s">
        <v>16248</v>
      </c>
      <c r="E7159" t="s">
        <v>22598</v>
      </c>
      <c r="F7159" t="s">
        <v>28198</v>
      </c>
      <c r="G7159" t="s">
        <v>28205</v>
      </c>
      <c r="H7159" t="s">
        <v>28215</v>
      </c>
      <c r="I7159" t="s">
        <v>5082</v>
      </c>
      <c r="J7159" t="s">
        <v>32825</v>
      </c>
      <c r="K7159" t="s">
        <v>36687</v>
      </c>
      <c r="M7159" t="s">
        <v>39401</v>
      </c>
      <c r="N7159" t="s">
        <v>40436</v>
      </c>
      <c r="O7159" t="s">
        <v>40437</v>
      </c>
      <c r="P7159">
        <v>0</v>
      </c>
      <c r="Q7159">
        <v>3</v>
      </c>
      <c r="R7159" t="s">
        <v>40444</v>
      </c>
      <c r="S7159" t="s">
        <v>40676</v>
      </c>
      <c r="T7159" t="s">
        <v>42233</v>
      </c>
      <c r="U7159" t="s">
        <v>48653</v>
      </c>
      <c r="W7159" t="s">
        <v>39401</v>
      </c>
      <c r="X7159" t="s">
        <v>40445</v>
      </c>
    </row>
    <row r="7160" spans="1:24">
      <c r="A7160">
        <f>HYPERLINK("https://www.philgeps.gov.ph/GEPSNONPILOT/Tender/SplashBidNoticeAbstractUI.aspx?menuIndex=3&amp;refID=7039295&amp;Result=3","7039295")</f>
        <v>0</v>
      </c>
      <c r="B7160" t="s">
        <v>325</v>
      </c>
      <c r="C7160" t="s">
        <v>9892</v>
      </c>
      <c r="D7160" t="s">
        <v>16226</v>
      </c>
      <c r="E7160" t="s">
        <v>22599</v>
      </c>
      <c r="F7160" t="s">
        <v>28198</v>
      </c>
      <c r="G7160" t="s">
        <v>28209</v>
      </c>
      <c r="H7160" t="s">
        <v>28215</v>
      </c>
      <c r="I7160" t="s">
        <v>28225</v>
      </c>
      <c r="J7160" t="s">
        <v>32826</v>
      </c>
      <c r="K7160" t="s">
        <v>36706</v>
      </c>
      <c r="M7160" t="s">
        <v>37303</v>
      </c>
      <c r="N7160" t="s">
        <v>40436</v>
      </c>
      <c r="O7160" t="s">
        <v>40437</v>
      </c>
      <c r="P7160">
        <v>0</v>
      </c>
      <c r="Q7160">
        <v>1</v>
      </c>
      <c r="R7160" t="s">
        <v>40444</v>
      </c>
      <c r="S7160" t="s">
        <v>40676</v>
      </c>
      <c r="T7160" t="s">
        <v>42184</v>
      </c>
      <c r="U7160" t="s">
        <v>48654</v>
      </c>
      <c r="W7160" t="s">
        <v>55443</v>
      </c>
      <c r="X7160" t="s">
        <v>40445</v>
      </c>
    </row>
    <row r="7161" spans="1:24">
      <c r="A7161">
        <f>HYPERLINK("https://www.philgeps.gov.ph/GEPSNONPILOT/Tender/SplashBidNoticeAbstractUI.aspx?menuIndex=3&amp;refID=7039285&amp;Result=3","7039285")</f>
        <v>0</v>
      </c>
      <c r="B7161" t="s">
        <v>1157</v>
      </c>
      <c r="C7161" t="s">
        <v>9893</v>
      </c>
      <c r="D7161" t="s">
        <v>16193</v>
      </c>
      <c r="E7161" t="s">
        <v>22600</v>
      </c>
      <c r="F7161" t="s">
        <v>28198</v>
      </c>
      <c r="G7161" t="s">
        <v>28205</v>
      </c>
      <c r="H7161" t="s">
        <v>28215</v>
      </c>
      <c r="I7161" t="s">
        <v>3422</v>
      </c>
      <c r="J7161" t="s">
        <v>28364</v>
      </c>
      <c r="K7161" t="s">
        <v>36689</v>
      </c>
      <c r="M7161" t="s">
        <v>38197</v>
      </c>
      <c r="N7161" t="s">
        <v>40436</v>
      </c>
      <c r="O7161" t="s">
        <v>40437</v>
      </c>
      <c r="P7161">
        <v>0</v>
      </c>
      <c r="Q7161">
        <v>0</v>
      </c>
      <c r="R7161" t="s">
        <v>40444</v>
      </c>
      <c r="S7161" t="s">
        <v>40676</v>
      </c>
      <c r="T7161" t="s">
        <v>42184</v>
      </c>
      <c r="U7161" t="s">
        <v>48655</v>
      </c>
      <c r="W7161" t="s">
        <v>55484</v>
      </c>
      <c r="X7161" t="s">
        <v>40445</v>
      </c>
    </row>
    <row r="7162" spans="1:24">
      <c r="A7162">
        <f>HYPERLINK("https://www.philgeps.gov.ph/GEPSNONPILOT/Tender/SplashBidNoticeAbstractUI.aspx?menuIndex=3&amp;refID=7039315&amp;Result=3","7039315")</f>
        <v>0</v>
      </c>
      <c r="B7162" t="s">
        <v>2233</v>
      </c>
      <c r="C7162" t="s">
        <v>9894</v>
      </c>
      <c r="D7162" t="s">
        <v>16248</v>
      </c>
      <c r="E7162" t="s">
        <v>22601</v>
      </c>
      <c r="F7162" t="s">
        <v>28198</v>
      </c>
      <c r="G7162" t="s">
        <v>28205</v>
      </c>
      <c r="H7162" t="s">
        <v>28215</v>
      </c>
      <c r="I7162" t="s">
        <v>5791</v>
      </c>
      <c r="J7162" t="s">
        <v>29304</v>
      </c>
      <c r="K7162" t="s">
        <v>36689</v>
      </c>
      <c r="M7162" t="s">
        <v>39401</v>
      </c>
      <c r="N7162" t="s">
        <v>40436</v>
      </c>
      <c r="O7162" t="s">
        <v>40437</v>
      </c>
      <c r="P7162">
        <v>0</v>
      </c>
      <c r="Q7162">
        <v>1</v>
      </c>
      <c r="R7162" t="s">
        <v>40444</v>
      </c>
      <c r="S7162" t="s">
        <v>40676</v>
      </c>
      <c r="T7162" t="s">
        <v>42233</v>
      </c>
      <c r="U7162" t="s">
        <v>48656</v>
      </c>
      <c r="W7162" t="s">
        <v>39401</v>
      </c>
      <c r="X7162" t="s">
        <v>40445</v>
      </c>
    </row>
    <row r="7163" spans="1:24">
      <c r="A7163">
        <f>HYPERLINK("https://www.philgeps.gov.ph/GEPSNONPILOT/Tender/SplashBidNoticeAbstractUI.aspx?menuIndex=3&amp;refID=7039289&amp;Result=3","7039289")</f>
        <v>0</v>
      </c>
      <c r="B7163" t="s">
        <v>2225</v>
      </c>
      <c r="C7163" t="s">
        <v>9895</v>
      </c>
      <c r="D7163" t="s">
        <v>16187</v>
      </c>
      <c r="E7163" t="s">
        <v>22602</v>
      </c>
      <c r="F7163" t="s">
        <v>28198</v>
      </c>
      <c r="G7163" t="s">
        <v>28205</v>
      </c>
      <c r="H7163" t="s">
        <v>28214</v>
      </c>
      <c r="I7163" t="s">
        <v>3797</v>
      </c>
      <c r="J7163" t="s">
        <v>29679</v>
      </c>
      <c r="K7163" t="s">
        <v>36737</v>
      </c>
      <c r="L7163" t="s">
        <v>2225</v>
      </c>
      <c r="M7163" t="s">
        <v>39392</v>
      </c>
      <c r="N7163" t="s">
        <v>40436</v>
      </c>
      <c r="O7163" t="s">
        <v>40437</v>
      </c>
      <c r="P7163">
        <v>0</v>
      </c>
      <c r="Q7163">
        <v>0</v>
      </c>
      <c r="R7163" t="s">
        <v>40444</v>
      </c>
      <c r="S7163" t="s">
        <v>40676</v>
      </c>
      <c r="T7163" t="s">
        <v>42432</v>
      </c>
      <c r="U7163" t="s">
        <v>48609</v>
      </c>
      <c r="W7163" t="s">
        <v>39392</v>
      </c>
      <c r="X7163" t="s">
        <v>40445</v>
      </c>
    </row>
    <row r="7164" spans="1:24">
      <c r="A7164">
        <f>HYPERLINK("https://www.philgeps.gov.ph/GEPSNONPILOT/Tender/SplashBidNoticeAbstractUI.aspx?menuIndex=3&amp;refID=7039286&amp;Result=3","7039286")</f>
        <v>0</v>
      </c>
      <c r="B7164" t="s">
        <v>1368</v>
      </c>
      <c r="C7164" t="s">
        <v>9896</v>
      </c>
      <c r="D7164" t="s">
        <v>16223</v>
      </c>
      <c r="E7164" t="s">
        <v>22603</v>
      </c>
      <c r="F7164" t="s">
        <v>28198</v>
      </c>
      <c r="G7164" t="s">
        <v>28205</v>
      </c>
      <c r="H7164" t="s">
        <v>28215</v>
      </c>
      <c r="I7164" t="s">
        <v>4505</v>
      </c>
      <c r="J7164" t="s">
        <v>32827</v>
      </c>
      <c r="K7164" t="s">
        <v>36706</v>
      </c>
      <c r="L7164" t="s">
        <v>1368</v>
      </c>
      <c r="M7164" t="s">
        <v>38429</v>
      </c>
      <c r="N7164" t="s">
        <v>40436</v>
      </c>
      <c r="O7164" t="s">
        <v>40437</v>
      </c>
      <c r="P7164">
        <v>0</v>
      </c>
      <c r="Q7164">
        <v>0</v>
      </c>
      <c r="R7164" t="s">
        <v>40444</v>
      </c>
      <c r="S7164" t="s">
        <v>40676</v>
      </c>
      <c r="T7164" t="s">
        <v>42128</v>
      </c>
      <c r="U7164" t="s">
        <v>45746</v>
      </c>
      <c r="V7164" t="s">
        <v>54526</v>
      </c>
      <c r="W7164" t="s">
        <v>38429</v>
      </c>
      <c r="X7164" t="s">
        <v>40445</v>
      </c>
    </row>
    <row r="7165" spans="1:24">
      <c r="A7165">
        <f>HYPERLINK("https://www.philgeps.gov.ph/GEPSNONPILOT/Tender/SplashBidNoticeAbstractUI.aspx?menuIndex=3&amp;refID=7039316&amp;Result=3","7039316")</f>
        <v>0</v>
      </c>
      <c r="B7165" t="s">
        <v>1264</v>
      </c>
      <c r="C7165" t="s">
        <v>9897</v>
      </c>
      <c r="D7165" t="s">
        <v>16209</v>
      </c>
      <c r="E7165" t="s">
        <v>22604</v>
      </c>
      <c r="F7165" t="s">
        <v>28198</v>
      </c>
      <c r="G7165" t="s">
        <v>28205</v>
      </c>
      <c r="H7165" t="s">
        <v>28214</v>
      </c>
      <c r="I7165" t="s">
        <v>3797</v>
      </c>
      <c r="J7165" t="s">
        <v>32828</v>
      </c>
      <c r="K7165" t="s">
        <v>36854</v>
      </c>
      <c r="M7165" t="s">
        <v>38314</v>
      </c>
      <c r="N7165" t="s">
        <v>40436</v>
      </c>
      <c r="O7165" t="s">
        <v>40437</v>
      </c>
      <c r="P7165">
        <v>0</v>
      </c>
      <c r="Q7165">
        <v>3</v>
      </c>
      <c r="R7165" t="s">
        <v>40444</v>
      </c>
      <c r="S7165" t="s">
        <v>40676</v>
      </c>
      <c r="T7165" t="s">
        <v>42195</v>
      </c>
      <c r="U7165" t="s">
        <v>48657</v>
      </c>
      <c r="W7165" t="s">
        <v>38314</v>
      </c>
      <c r="X7165" t="s">
        <v>40445</v>
      </c>
    </row>
    <row r="7166" spans="1:24">
      <c r="A7166">
        <f>HYPERLINK("https://www.philgeps.gov.ph/GEPSNONPILOT/Tender/SplashBidNoticeAbstractUI.aspx?menuIndex=3&amp;refID=7039355&amp;Result=3","7039355")</f>
        <v>0</v>
      </c>
      <c r="B7166" t="s">
        <v>2225</v>
      </c>
      <c r="C7166" t="s">
        <v>9898</v>
      </c>
      <c r="D7166" t="s">
        <v>16187</v>
      </c>
      <c r="E7166" t="s">
        <v>22605</v>
      </c>
      <c r="F7166" t="s">
        <v>28198</v>
      </c>
      <c r="G7166" t="s">
        <v>28205</v>
      </c>
      <c r="H7166" t="s">
        <v>28214</v>
      </c>
      <c r="I7166" t="s">
        <v>3797</v>
      </c>
      <c r="J7166" t="s">
        <v>28363</v>
      </c>
      <c r="K7166" t="s">
        <v>36701</v>
      </c>
      <c r="L7166" t="s">
        <v>2225</v>
      </c>
      <c r="M7166" t="s">
        <v>39392</v>
      </c>
      <c r="N7166" t="s">
        <v>40436</v>
      </c>
      <c r="O7166" t="s">
        <v>40437</v>
      </c>
      <c r="P7166">
        <v>0</v>
      </c>
      <c r="Q7166">
        <v>0</v>
      </c>
      <c r="R7166" t="s">
        <v>40444</v>
      </c>
      <c r="S7166" t="s">
        <v>40676</v>
      </c>
      <c r="T7166" t="s">
        <v>42432</v>
      </c>
      <c r="U7166" t="s">
        <v>48609</v>
      </c>
      <c r="W7166" t="s">
        <v>39392</v>
      </c>
      <c r="X7166" t="s">
        <v>40445</v>
      </c>
    </row>
    <row r="7167" spans="1:24">
      <c r="A7167">
        <f>HYPERLINK("https://www.philgeps.gov.ph/GEPSNONPILOT/Tender/SplashBidNoticeAbstractUI.aspx?menuIndex=3&amp;refID=7039335&amp;Result=3","7039335")</f>
        <v>0</v>
      </c>
      <c r="B7167" t="s">
        <v>325</v>
      </c>
      <c r="C7167" t="s">
        <v>9899</v>
      </c>
      <c r="D7167" t="s">
        <v>16226</v>
      </c>
      <c r="E7167" t="s">
        <v>22606</v>
      </c>
      <c r="F7167" t="s">
        <v>28198</v>
      </c>
      <c r="G7167" t="s">
        <v>28209</v>
      </c>
      <c r="H7167" t="s">
        <v>28215</v>
      </c>
      <c r="I7167" t="s">
        <v>28234</v>
      </c>
      <c r="J7167" t="s">
        <v>28385</v>
      </c>
      <c r="K7167" t="s">
        <v>36706</v>
      </c>
      <c r="M7167" t="s">
        <v>37303</v>
      </c>
      <c r="N7167" t="s">
        <v>40436</v>
      </c>
      <c r="O7167" t="s">
        <v>40437</v>
      </c>
      <c r="P7167">
        <v>0</v>
      </c>
      <c r="Q7167">
        <v>3</v>
      </c>
      <c r="R7167" t="s">
        <v>40444</v>
      </c>
      <c r="S7167" t="s">
        <v>40676</v>
      </c>
      <c r="T7167" t="s">
        <v>42184</v>
      </c>
      <c r="U7167" t="s">
        <v>48658</v>
      </c>
      <c r="W7167" t="s">
        <v>55443</v>
      </c>
      <c r="X7167" t="s">
        <v>40445</v>
      </c>
    </row>
    <row r="7168" spans="1:24">
      <c r="A7168">
        <f>HYPERLINK("https://www.philgeps.gov.ph/GEPSNONPILOT/Tender/SplashBidNoticeAbstractUI.aspx?menuIndex=3&amp;refID=7039347&amp;Result=3","7039347")</f>
        <v>0</v>
      </c>
      <c r="B7168" t="s">
        <v>351</v>
      </c>
      <c r="C7168" t="s">
        <v>9900</v>
      </c>
      <c r="D7168" t="s">
        <v>16258</v>
      </c>
      <c r="E7168" t="s">
        <v>22607</v>
      </c>
      <c r="F7168" t="s">
        <v>28198</v>
      </c>
      <c r="G7168" t="s">
        <v>28205</v>
      </c>
      <c r="H7168" t="s">
        <v>28215</v>
      </c>
      <c r="I7168" t="s">
        <v>5082</v>
      </c>
      <c r="J7168" t="s">
        <v>32829</v>
      </c>
      <c r="K7168" t="s">
        <v>36706</v>
      </c>
      <c r="M7168" t="s">
        <v>37330</v>
      </c>
      <c r="N7168" t="s">
        <v>40436</v>
      </c>
      <c r="O7168" t="s">
        <v>40437</v>
      </c>
      <c r="P7168">
        <v>0</v>
      </c>
      <c r="Q7168">
        <v>0</v>
      </c>
      <c r="R7168" t="s">
        <v>40444</v>
      </c>
      <c r="S7168" t="s">
        <v>40676</v>
      </c>
      <c r="T7168" t="s">
        <v>42136</v>
      </c>
      <c r="U7168" t="s">
        <v>48659</v>
      </c>
      <c r="W7168" t="s">
        <v>37330</v>
      </c>
      <c r="X7168" t="s">
        <v>40445</v>
      </c>
    </row>
    <row r="7169" spans="1:24">
      <c r="A7169">
        <f>HYPERLINK("https://www.philgeps.gov.ph/GEPSNONPILOT/Tender/SplashBidNoticeAbstractUI.aspx?menuIndex=3&amp;refID=7039333&amp;Result=3","7039333")</f>
        <v>0</v>
      </c>
      <c r="B7169" t="s">
        <v>1037</v>
      </c>
      <c r="C7169" t="s">
        <v>9901</v>
      </c>
      <c r="D7169" t="s">
        <v>16190</v>
      </c>
      <c r="E7169" t="s">
        <v>22608</v>
      </c>
      <c r="F7169" t="s">
        <v>28198</v>
      </c>
      <c r="G7169" t="s">
        <v>28205</v>
      </c>
      <c r="H7169" t="s">
        <v>28215</v>
      </c>
      <c r="I7169" t="s">
        <v>8888</v>
      </c>
      <c r="J7169" t="s">
        <v>32830</v>
      </c>
      <c r="K7169" t="s">
        <v>36689</v>
      </c>
      <c r="M7169" t="s">
        <v>38069</v>
      </c>
      <c r="N7169" t="s">
        <v>40436</v>
      </c>
      <c r="O7169" t="s">
        <v>40437</v>
      </c>
      <c r="P7169">
        <v>0</v>
      </c>
      <c r="Q7169">
        <v>1</v>
      </c>
      <c r="R7169" t="s">
        <v>40444</v>
      </c>
      <c r="S7169" t="s">
        <v>40676</v>
      </c>
      <c r="T7169" t="s">
        <v>42482</v>
      </c>
      <c r="U7169" t="s">
        <v>48660</v>
      </c>
      <c r="V7169" t="s">
        <v>54061</v>
      </c>
      <c r="W7169" t="s">
        <v>38069</v>
      </c>
      <c r="X7169" t="s">
        <v>40445</v>
      </c>
    </row>
    <row r="7170" spans="1:24">
      <c r="A7170">
        <f>HYPERLINK("https://www.philgeps.gov.ph/GEPSNONPILOT/Tender/SplashBidNoticeAbstractUI.aspx?menuIndex=3&amp;refID=7039332&amp;Result=3","7039332")</f>
        <v>0</v>
      </c>
      <c r="B7170" t="s">
        <v>1020</v>
      </c>
      <c r="C7170" t="s">
        <v>9902</v>
      </c>
      <c r="D7170" t="s">
        <v>16208</v>
      </c>
      <c r="E7170" t="s">
        <v>22609</v>
      </c>
      <c r="F7170" t="s">
        <v>28198</v>
      </c>
      <c r="G7170" t="s">
        <v>28205</v>
      </c>
      <c r="H7170" t="s">
        <v>28215</v>
      </c>
      <c r="I7170" t="s">
        <v>28265</v>
      </c>
      <c r="J7170" t="s">
        <v>28918</v>
      </c>
      <c r="K7170" t="s">
        <v>36701</v>
      </c>
      <c r="M7170" t="s">
        <v>38049</v>
      </c>
      <c r="N7170" t="s">
        <v>40436</v>
      </c>
      <c r="O7170" t="s">
        <v>40437</v>
      </c>
      <c r="P7170">
        <v>0</v>
      </c>
      <c r="Q7170">
        <v>0</v>
      </c>
      <c r="R7170" t="s">
        <v>40444</v>
      </c>
      <c r="S7170" t="s">
        <v>40676</v>
      </c>
      <c r="T7170" t="s">
        <v>42125</v>
      </c>
      <c r="U7170" t="s">
        <v>48661</v>
      </c>
      <c r="W7170" t="s">
        <v>38049</v>
      </c>
      <c r="X7170" t="s">
        <v>40445</v>
      </c>
    </row>
    <row r="7171" spans="1:24">
      <c r="A7171">
        <f>HYPERLINK("https://www.philgeps.gov.ph/GEPSNONPILOT/Tender/SplashBidNoticeAbstractUI.aspx?menuIndex=3&amp;refID=7039336&amp;Result=3","7039336")</f>
        <v>0</v>
      </c>
      <c r="B7171" t="s">
        <v>2239</v>
      </c>
      <c r="C7171" t="s">
        <v>9903</v>
      </c>
      <c r="D7171" t="s">
        <v>16226</v>
      </c>
      <c r="E7171" t="s">
        <v>22610</v>
      </c>
      <c r="F7171" t="s">
        <v>28198</v>
      </c>
      <c r="G7171" t="s">
        <v>28207</v>
      </c>
      <c r="H7171" t="s">
        <v>28215</v>
      </c>
      <c r="I7171" t="s">
        <v>5100</v>
      </c>
      <c r="J7171" t="s">
        <v>32831</v>
      </c>
      <c r="K7171" t="s">
        <v>36701</v>
      </c>
      <c r="M7171" t="s">
        <v>39408</v>
      </c>
      <c r="N7171" t="s">
        <v>40436</v>
      </c>
      <c r="O7171" t="s">
        <v>40437</v>
      </c>
      <c r="P7171">
        <v>0</v>
      </c>
      <c r="Q7171">
        <v>1</v>
      </c>
      <c r="R7171" t="s">
        <v>40444</v>
      </c>
      <c r="S7171" t="s">
        <v>40676</v>
      </c>
      <c r="T7171" t="s">
        <v>42158</v>
      </c>
      <c r="U7171" t="s">
        <v>48662</v>
      </c>
      <c r="W7171" t="s">
        <v>55510</v>
      </c>
      <c r="X7171" t="s">
        <v>40445</v>
      </c>
    </row>
    <row r="7172" spans="1:24">
      <c r="A7172">
        <f>HYPERLINK("https://www.philgeps.gov.ph/GEPSNONPILOT/Tender/SplashBidNoticeAbstractUI.aspx?menuIndex=3&amp;refID=7039318&amp;Result=3","7039318")</f>
        <v>0</v>
      </c>
      <c r="B7172" t="s">
        <v>98</v>
      </c>
      <c r="C7172" t="s">
        <v>9904</v>
      </c>
      <c r="D7172" t="s">
        <v>16227</v>
      </c>
      <c r="E7172" t="s">
        <v>22611</v>
      </c>
      <c r="F7172" t="s">
        <v>28198</v>
      </c>
      <c r="G7172" t="s">
        <v>28205</v>
      </c>
      <c r="H7172" t="s">
        <v>28214</v>
      </c>
      <c r="I7172" t="s">
        <v>3797</v>
      </c>
      <c r="J7172" t="s">
        <v>32832</v>
      </c>
      <c r="K7172" t="s">
        <v>36737</v>
      </c>
      <c r="M7172" t="s">
        <v>39393</v>
      </c>
      <c r="N7172" t="s">
        <v>40436</v>
      </c>
      <c r="O7172" t="s">
        <v>40437</v>
      </c>
      <c r="P7172">
        <v>0</v>
      </c>
      <c r="Q7172">
        <v>0</v>
      </c>
      <c r="R7172" t="s">
        <v>40444</v>
      </c>
      <c r="S7172" t="s">
        <v>40676</v>
      </c>
      <c r="T7172" t="s">
        <v>42480</v>
      </c>
      <c r="U7172" t="s">
        <v>48663</v>
      </c>
      <c r="W7172" t="s">
        <v>39393</v>
      </c>
      <c r="X7172" t="s">
        <v>40445</v>
      </c>
    </row>
    <row r="7173" spans="1:24">
      <c r="A7173">
        <f>HYPERLINK("https://www.philgeps.gov.ph/GEPSNONPILOT/Tender/SplashBidNoticeAbstractUI.aspx?menuIndex=3&amp;refID=7039326&amp;Result=3","7039326")</f>
        <v>0</v>
      </c>
      <c r="B7173" t="s">
        <v>428</v>
      </c>
      <c r="C7173" t="s">
        <v>9905</v>
      </c>
      <c r="D7173" t="s">
        <v>16219</v>
      </c>
      <c r="E7173" t="s">
        <v>22612</v>
      </c>
      <c r="F7173" t="s">
        <v>28200</v>
      </c>
      <c r="G7173" t="s">
        <v>28205</v>
      </c>
      <c r="H7173" t="s">
        <v>28215</v>
      </c>
      <c r="I7173" t="s">
        <v>28236</v>
      </c>
      <c r="J7173" t="s">
        <v>32833</v>
      </c>
      <c r="K7173" t="s">
        <v>36687</v>
      </c>
      <c r="M7173" t="s">
        <v>37411</v>
      </c>
      <c r="N7173" t="s">
        <v>40436</v>
      </c>
      <c r="O7173" t="s">
        <v>40437</v>
      </c>
      <c r="P7173">
        <v>0</v>
      </c>
      <c r="Q7173">
        <v>0</v>
      </c>
      <c r="R7173" t="s">
        <v>40444</v>
      </c>
      <c r="S7173" t="s">
        <v>40676</v>
      </c>
      <c r="T7173" t="s">
        <v>42188</v>
      </c>
      <c r="U7173" t="s">
        <v>48664</v>
      </c>
      <c r="W7173" t="s">
        <v>37411</v>
      </c>
      <c r="X7173" t="s">
        <v>40445</v>
      </c>
    </row>
    <row r="7174" spans="1:24">
      <c r="A7174">
        <f>HYPERLINK("https://www.philgeps.gov.ph/GEPSNONPILOT/Tender/SplashBidNoticeAbstractUI.aspx?menuIndex=3&amp;refID=7039341&amp;Result=3","7039341")</f>
        <v>0</v>
      </c>
      <c r="B7174" t="s">
        <v>2233</v>
      </c>
      <c r="C7174" t="s">
        <v>9906</v>
      </c>
      <c r="D7174" t="s">
        <v>16248</v>
      </c>
      <c r="E7174" t="s">
        <v>22613</v>
      </c>
      <c r="F7174" t="s">
        <v>28198</v>
      </c>
      <c r="G7174" t="s">
        <v>28205</v>
      </c>
      <c r="H7174" t="s">
        <v>28215</v>
      </c>
      <c r="I7174" t="s">
        <v>28265</v>
      </c>
      <c r="J7174" t="s">
        <v>32834</v>
      </c>
      <c r="K7174" t="s">
        <v>36687</v>
      </c>
      <c r="M7174" t="s">
        <v>39401</v>
      </c>
      <c r="N7174" t="s">
        <v>40436</v>
      </c>
      <c r="O7174" t="s">
        <v>40437</v>
      </c>
      <c r="P7174">
        <v>0</v>
      </c>
      <c r="Q7174">
        <v>0</v>
      </c>
      <c r="R7174" t="s">
        <v>40444</v>
      </c>
      <c r="S7174" t="s">
        <v>40676</v>
      </c>
      <c r="T7174" t="s">
        <v>42233</v>
      </c>
      <c r="U7174" t="s">
        <v>48665</v>
      </c>
      <c r="W7174" t="s">
        <v>39401</v>
      </c>
      <c r="X7174" t="s">
        <v>40445</v>
      </c>
    </row>
    <row r="7175" spans="1:24">
      <c r="A7175">
        <f>HYPERLINK("https://www.philgeps.gov.ph/GEPSNONPILOT/Tender/SplashBidNoticeAbstractUI.aspx?menuIndex=3&amp;refID=7039365&amp;Result=3","7039365")</f>
        <v>0</v>
      </c>
      <c r="B7175" t="s">
        <v>2239</v>
      </c>
      <c r="C7175" t="s">
        <v>9907</v>
      </c>
      <c r="D7175" t="s">
        <v>16226</v>
      </c>
      <c r="E7175" t="s">
        <v>20024</v>
      </c>
      <c r="F7175" t="s">
        <v>28198</v>
      </c>
      <c r="G7175" t="s">
        <v>28207</v>
      </c>
      <c r="H7175" t="s">
        <v>28215</v>
      </c>
      <c r="I7175" t="s">
        <v>28243</v>
      </c>
      <c r="J7175" t="s">
        <v>28414</v>
      </c>
      <c r="K7175" t="s">
        <v>36701</v>
      </c>
      <c r="M7175" t="s">
        <v>39408</v>
      </c>
      <c r="N7175" t="s">
        <v>40436</v>
      </c>
      <c r="O7175" t="s">
        <v>40437</v>
      </c>
      <c r="P7175">
        <v>0</v>
      </c>
      <c r="Q7175">
        <v>2</v>
      </c>
      <c r="R7175" t="s">
        <v>40444</v>
      </c>
      <c r="S7175" t="s">
        <v>40676</v>
      </c>
      <c r="T7175" t="s">
        <v>42158</v>
      </c>
      <c r="U7175" t="s">
        <v>48666</v>
      </c>
      <c r="W7175" t="s">
        <v>55510</v>
      </c>
      <c r="X7175" t="s">
        <v>40445</v>
      </c>
    </row>
    <row r="7176" spans="1:24">
      <c r="A7176">
        <f>HYPERLINK("https://www.philgeps.gov.ph/GEPSNONPILOT/Tender/SplashBidNoticeAbstractUI.aspx?menuIndex=3&amp;refID=7039354&amp;Result=3","7039354")</f>
        <v>0</v>
      </c>
      <c r="B7176" t="s">
        <v>2235</v>
      </c>
      <c r="C7176" t="s">
        <v>9908</v>
      </c>
      <c r="D7176" t="s">
        <v>16246</v>
      </c>
      <c r="E7176" t="s">
        <v>22342</v>
      </c>
      <c r="F7176" t="s">
        <v>28198</v>
      </c>
      <c r="G7176" t="s">
        <v>28205</v>
      </c>
      <c r="H7176" t="s">
        <v>28215</v>
      </c>
      <c r="I7176" t="s">
        <v>28272</v>
      </c>
      <c r="J7176" t="s">
        <v>32835</v>
      </c>
      <c r="K7176" t="s">
        <v>36689</v>
      </c>
      <c r="M7176" t="s">
        <v>39404</v>
      </c>
      <c r="N7176" t="s">
        <v>40436</v>
      </c>
      <c r="O7176" t="s">
        <v>40437</v>
      </c>
      <c r="P7176">
        <v>0</v>
      </c>
      <c r="Q7176">
        <v>1</v>
      </c>
      <c r="R7176" t="s">
        <v>40444</v>
      </c>
      <c r="S7176" t="s">
        <v>40676</v>
      </c>
      <c r="T7176" t="s">
        <v>42468</v>
      </c>
      <c r="U7176" t="s">
        <v>48667</v>
      </c>
      <c r="V7176" t="s">
        <v>54522</v>
      </c>
      <c r="W7176" t="s">
        <v>39404</v>
      </c>
      <c r="X7176" t="s">
        <v>40445</v>
      </c>
    </row>
    <row r="7177" spans="1:24">
      <c r="A7177">
        <f>HYPERLINK("https://www.philgeps.gov.ph/GEPSNONPILOT/Tender/SplashBidNoticeAbstractUI.aspx?menuIndex=3&amp;refID=7039360&amp;Result=3","7039360")</f>
        <v>0</v>
      </c>
      <c r="B7177" t="s">
        <v>1675</v>
      </c>
      <c r="C7177" t="s">
        <v>9909</v>
      </c>
      <c r="D7177" t="s">
        <v>16197</v>
      </c>
      <c r="E7177" t="s">
        <v>22614</v>
      </c>
      <c r="F7177" t="s">
        <v>28198</v>
      </c>
      <c r="G7177" t="s">
        <v>28205</v>
      </c>
      <c r="H7177" t="s">
        <v>28215</v>
      </c>
      <c r="I7177" t="s">
        <v>5100</v>
      </c>
      <c r="J7177" t="s">
        <v>32836</v>
      </c>
      <c r="K7177" t="s">
        <v>36689</v>
      </c>
      <c r="M7177" t="s">
        <v>38771</v>
      </c>
      <c r="N7177" t="s">
        <v>40436</v>
      </c>
      <c r="O7177" t="s">
        <v>40437</v>
      </c>
      <c r="P7177">
        <v>0</v>
      </c>
      <c r="Q7177">
        <v>0</v>
      </c>
      <c r="R7177" t="s">
        <v>40444</v>
      </c>
      <c r="S7177" t="s">
        <v>40676</v>
      </c>
      <c r="T7177" t="s">
        <v>42275</v>
      </c>
      <c r="U7177" t="s">
        <v>48668</v>
      </c>
      <c r="W7177" t="s">
        <v>38771</v>
      </c>
      <c r="X7177" t="s">
        <v>40445</v>
      </c>
    </row>
    <row r="7178" spans="1:24">
      <c r="A7178">
        <f>HYPERLINK("https://www.philgeps.gov.ph/GEPSNONPILOT/Tender/SplashBidNoticeAbstractUI.aspx?menuIndex=3&amp;refID=7039359&amp;Result=3","7039359")</f>
        <v>0</v>
      </c>
      <c r="B7178" t="s">
        <v>1691</v>
      </c>
      <c r="C7178" t="s">
        <v>9910</v>
      </c>
      <c r="D7178" t="s">
        <v>16258</v>
      </c>
      <c r="E7178" t="s">
        <v>22615</v>
      </c>
      <c r="F7178" t="s">
        <v>28198</v>
      </c>
      <c r="G7178" t="s">
        <v>28205</v>
      </c>
      <c r="H7178" t="s">
        <v>28215</v>
      </c>
      <c r="I7178" t="s">
        <v>28310</v>
      </c>
      <c r="J7178" t="s">
        <v>32837</v>
      </c>
      <c r="K7178" t="s">
        <v>36707</v>
      </c>
      <c r="M7178" t="s">
        <v>38791</v>
      </c>
      <c r="N7178" t="s">
        <v>40436</v>
      </c>
      <c r="O7178" t="s">
        <v>40437</v>
      </c>
      <c r="P7178">
        <v>0</v>
      </c>
      <c r="Q7178">
        <v>1</v>
      </c>
      <c r="R7178" t="s">
        <v>40444</v>
      </c>
      <c r="S7178" t="s">
        <v>40676</v>
      </c>
      <c r="T7178" t="s">
        <v>42107</v>
      </c>
      <c r="U7178" t="s">
        <v>48623</v>
      </c>
      <c r="W7178" t="s">
        <v>38791</v>
      </c>
      <c r="X7178" t="s">
        <v>40445</v>
      </c>
    </row>
    <row r="7179" spans="1:24">
      <c r="A7179">
        <f>HYPERLINK("https://www.philgeps.gov.ph/GEPSNONPILOT/Tender/SplashBidNoticeAbstractUI.aspx?menuIndex=3&amp;refID=7039317&amp;Result=3","7039317")</f>
        <v>0</v>
      </c>
      <c r="B7179" t="s">
        <v>1581</v>
      </c>
      <c r="C7179" t="s">
        <v>9911</v>
      </c>
      <c r="D7179" t="s">
        <v>16220</v>
      </c>
      <c r="E7179" t="s">
        <v>22616</v>
      </c>
      <c r="F7179" t="s">
        <v>28198</v>
      </c>
      <c r="G7179" t="s">
        <v>28205</v>
      </c>
      <c r="H7179" t="s">
        <v>28214</v>
      </c>
      <c r="I7179" t="s">
        <v>3797</v>
      </c>
      <c r="J7179" t="s">
        <v>32838</v>
      </c>
      <c r="K7179" t="s">
        <v>36697</v>
      </c>
      <c r="M7179" t="s">
        <v>38666</v>
      </c>
      <c r="N7179" t="s">
        <v>40436</v>
      </c>
      <c r="O7179" t="s">
        <v>40437</v>
      </c>
      <c r="P7179">
        <v>0</v>
      </c>
      <c r="Q7179">
        <v>0</v>
      </c>
      <c r="R7179" t="s">
        <v>40444</v>
      </c>
      <c r="S7179" t="s">
        <v>40676</v>
      </c>
      <c r="T7179" t="s">
        <v>42320</v>
      </c>
      <c r="U7179" t="s">
        <v>48669</v>
      </c>
      <c r="W7179" t="s">
        <v>38666</v>
      </c>
      <c r="X7179" t="s">
        <v>40445</v>
      </c>
    </row>
    <row r="7180" spans="1:24">
      <c r="A7180">
        <f>HYPERLINK("https://www.philgeps.gov.ph/GEPSNONPILOT/Tender/SplashBidNoticeAbstractUI.aspx?menuIndex=3&amp;refID=7039361&amp;Result=3","7039361")</f>
        <v>0</v>
      </c>
      <c r="B7180" t="s">
        <v>98</v>
      </c>
      <c r="C7180" t="s">
        <v>9912</v>
      </c>
      <c r="D7180" t="s">
        <v>16227</v>
      </c>
      <c r="E7180" t="s">
        <v>22617</v>
      </c>
      <c r="F7180" t="s">
        <v>28198</v>
      </c>
      <c r="G7180" t="s">
        <v>28205</v>
      </c>
      <c r="H7180" t="s">
        <v>28214</v>
      </c>
      <c r="I7180" t="s">
        <v>3797</v>
      </c>
      <c r="J7180" t="s">
        <v>32800</v>
      </c>
      <c r="K7180" t="s">
        <v>36697</v>
      </c>
      <c r="M7180" t="s">
        <v>39393</v>
      </c>
      <c r="N7180" t="s">
        <v>40436</v>
      </c>
      <c r="O7180" t="s">
        <v>40437</v>
      </c>
      <c r="P7180">
        <v>0</v>
      </c>
      <c r="Q7180">
        <v>0</v>
      </c>
      <c r="R7180" t="s">
        <v>40444</v>
      </c>
      <c r="S7180" t="s">
        <v>40676</v>
      </c>
      <c r="T7180" t="s">
        <v>42480</v>
      </c>
      <c r="U7180" t="s">
        <v>48670</v>
      </c>
      <c r="W7180" t="s">
        <v>39393</v>
      </c>
      <c r="X7180" t="s">
        <v>40445</v>
      </c>
    </row>
    <row r="7181" spans="1:24">
      <c r="A7181">
        <f>HYPERLINK("https://www.philgeps.gov.ph/GEPSNONPILOT/Tender/SplashBidNoticeAbstractUI.aspx?menuIndex=3&amp;refID=7039369&amp;Result=3","7039369")</f>
        <v>0</v>
      </c>
      <c r="B7181" t="s">
        <v>2240</v>
      </c>
      <c r="C7181" t="s">
        <v>9913</v>
      </c>
      <c r="D7181" t="s">
        <v>16260</v>
      </c>
      <c r="E7181" t="s">
        <v>22618</v>
      </c>
      <c r="F7181" t="s">
        <v>28198</v>
      </c>
      <c r="G7181" t="s">
        <v>28205</v>
      </c>
      <c r="H7181" t="s">
        <v>28214</v>
      </c>
      <c r="I7181" t="s">
        <v>3797</v>
      </c>
      <c r="J7181" t="s">
        <v>28398</v>
      </c>
      <c r="K7181" t="s">
        <v>36689</v>
      </c>
      <c r="M7181" t="s">
        <v>39409</v>
      </c>
      <c r="N7181" t="s">
        <v>40436</v>
      </c>
      <c r="O7181" t="s">
        <v>40437</v>
      </c>
      <c r="P7181">
        <v>0</v>
      </c>
      <c r="Q7181">
        <v>0</v>
      </c>
      <c r="R7181" t="s">
        <v>40444</v>
      </c>
      <c r="S7181" t="s">
        <v>40676</v>
      </c>
      <c r="T7181" t="s">
        <v>42218</v>
      </c>
      <c r="U7181" t="s">
        <v>48671</v>
      </c>
      <c r="W7181" t="s">
        <v>39409</v>
      </c>
      <c r="X7181" t="s">
        <v>40445</v>
      </c>
    </row>
    <row r="7182" spans="1:24">
      <c r="A7182">
        <f>HYPERLINK("https://www.philgeps.gov.ph/GEPSNONPILOT/Tender/SplashBidNoticeAbstractUI.aspx?menuIndex=3&amp;refID=7039357&amp;Result=3","7039357")</f>
        <v>0</v>
      </c>
      <c r="B7182" t="s">
        <v>1157</v>
      </c>
      <c r="C7182" t="s">
        <v>9914</v>
      </c>
      <c r="D7182" t="s">
        <v>16193</v>
      </c>
      <c r="E7182" t="s">
        <v>18692</v>
      </c>
      <c r="F7182" t="s">
        <v>28198</v>
      </c>
      <c r="G7182" t="s">
        <v>28205</v>
      </c>
      <c r="H7182" t="s">
        <v>28215</v>
      </c>
      <c r="I7182" t="s">
        <v>4200</v>
      </c>
      <c r="J7182" t="s">
        <v>32839</v>
      </c>
      <c r="K7182" t="s">
        <v>36689</v>
      </c>
      <c r="M7182" t="s">
        <v>38197</v>
      </c>
      <c r="N7182" t="s">
        <v>40436</v>
      </c>
      <c r="O7182" t="s">
        <v>40437</v>
      </c>
      <c r="P7182">
        <v>0</v>
      </c>
      <c r="Q7182">
        <v>2</v>
      </c>
      <c r="R7182" t="s">
        <v>40444</v>
      </c>
      <c r="S7182" t="s">
        <v>40676</v>
      </c>
      <c r="T7182" t="s">
        <v>42113</v>
      </c>
      <c r="U7182" t="s">
        <v>48672</v>
      </c>
      <c r="W7182" t="s">
        <v>55484</v>
      </c>
      <c r="X7182" t="s">
        <v>40445</v>
      </c>
    </row>
    <row r="7183" spans="1:24">
      <c r="A7183">
        <f>HYPERLINK("https://www.philgeps.gov.ph/GEPSNONPILOT/Tender/SplashBidNoticeAbstractUI.aspx?menuIndex=3&amp;refID=7039378&amp;Result=3","7039378")</f>
        <v>0</v>
      </c>
      <c r="B7183" t="s">
        <v>1845</v>
      </c>
      <c r="C7183" t="s">
        <v>9915</v>
      </c>
      <c r="D7183" t="s">
        <v>16190</v>
      </c>
      <c r="E7183" t="s">
        <v>22619</v>
      </c>
      <c r="F7183" t="s">
        <v>28198</v>
      </c>
      <c r="G7183" t="s">
        <v>28205</v>
      </c>
      <c r="H7183" t="s">
        <v>28215</v>
      </c>
      <c r="I7183" t="s">
        <v>8888</v>
      </c>
      <c r="J7183" t="s">
        <v>32840</v>
      </c>
      <c r="K7183" t="s">
        <v>36687</v>
      </c>
      <c r="M7183" t="s">
        <v>38972</v>
      </c>
      <c r="N7183" t="s">
        <v>40436</v>
      </c>
      <c r="O7183" t="s">
        <v>40437</v>
      </c>
      <c r="Q7183">
        <v>9</v>
      </c>
      <c r="R7183" t="s">
        <v>40444</v>
      </c>
      <c r="S7183" t="s">
        <v>40706</v>
      </c>
      <c r="T7183" t="s">
        <v>42459</v>
      </c>
      <c r="U7183" t="s">
        <v>48277</v>
      </c>
      <c r="W7183" t="s">
        <v>55497</v>
      </c>
      <c r="X7183" t="s">
        <v>40445</v>
      </c>
    </row>
    <row r="7184" spans="1:24">
      <c r="A7184">
        <f>HYPERLINK("https://www.philgeps.gov.ph/GEPSNONPILOT/Tender/SplashBidNoticeAbstractUI.aspx?menuIndex=3&amp;refID=7039368&amp;Result=3","7039368")</f>
        <v>0</v>
      </c>
      <c r="B7184" t="s">
        <v>1157</v>
      </c>
      <c r="C7184" t="s">
        <v>9916</v>
      </c>
      <c r="D7184" t="s">
        <v>16193</v>
      </c>
      <c r="E7184" t="s">
        <v>18709</v>
      </c>
      <c r="F7184" t="s">
        <v>28198</v>
      </c>
      <c r="G7184" t="s">
        <v>28205</v>
      </c>
      <c r="H7184" t="s">
        <v>28215</v>
      </c>
      <c r="I7184" t="s">
        <v>4200</v>
      </c>
      <c r="J7184" t="s">
        <v>32841</v>
      </c>
      <c r="K7184" t="s">
        <v>36689</v>
      </c>
      <c r="M7184" t="s">
        <v>38197</v>
      </c>
      <c r="N7184" t="s">
        <v>40436</v>
      </c>
      <c r="O7184" t="s">
        <v>40437</v>
      </c>
      <c r="P7184">
        <v>0</v>
      </c>
      <c r="Q7184">
        <v>0</v>
      </c>
      <c r="R7184" t="s">
        <v>40444</v>
      </c>
      <c r="S7184" t="s">
        <v>40676</v>
      </c>
      <c r="T7184" t="s">
        <v>42113</v>
      </c>
      <c r="U7184" t="s">
        <v>48673</v>
      </c>
      <c r="W7184" t="s">
        <v>55484</v>
      </c>
      <c r="X7184" t="s">
        <v>40445</v>
      </c>
    </row>
    <row r="7185" spans="1:24">
      <c r="A7185">
        <f>HYPERLINK("https://www.philgeps.gov.ph/GEPSNONPILOT/Tender/SplashBidNoticeAbstractUI.aspx?menuIndex=3&amp;refID=7039352&amp;Result=3","7039352")</f>
        <v>0</v>
      </c>
      <c r="B7185" t="s">
        <v>1845</v>
      </c>
      <c r="C7185" t="s">
        <v>9917</v>
      </c>
      <c r="D7185" t="s">
        <v>16190</v>
      </c>
      <c r="E7185" t="s">
        <v>22620</v>
      </c>
      <c r="F7185" t="s">
        <v>28198</v>
      </c>
      <c r="G7185" t="s">
        <v>28205</v>
      </c>
      <c r="H7185" t="s">
        <v>28215</v>
      </c>
      <c r="I7185" t="s">
        <v>5082</v>
      </c>
      <c r="J7185" t="s">
        <v>32842</v>
      </c>
      <c r="K7185" t="s">
        <v>36687</v>
      </c>
      <c r="M7185" t="s">
        <v>38972</v>
      </c>
      <c r="N7185" t="s">
        <v>40436</v>
      </c>
      <c r="O7185" t="s">
        <v>40437</v>
      </c>
      <c r="Q7185">
        <v>4</v>
      </c>
      <c r="R7185" t="s">
        <v>40444</v>
      </c>
      <c r="S7185" t="s">
        <v>40707</v>
      </c>
      <c r="T7185" t="s">
        <v>42459</v>
      </c>
      <c r="U7185" t="s">
        <v>48277</v>
      </c>
      <c r="W7185" t="s">
        <v>55497</v>
      </c>
      <c r="X7185" t="s">
        <v>40445</v>
      </c>
    </row>
    <row r="7186" spans="1:24">
      <c r="A7186">
        <f>HYPERLINK("https://www.philgeps.gov.ph/GEPSNONPILOT/Tender/SplashBidNoticeAbstractUI.aspx?menuIndex=3&amp;refID=7039351&amp;Result=3","7039351")</f>
        <v>0</v>
      </c>
      <c r="B7186" t="s">
        <v>1306</v>
      </c>
      <c r="C7186" t="s">
        <v>9918</v>
      </c>
      <c r="D7186" t="s">
        <v>16227</v>
      </c>
      <c r="E7186" t="s">
        <v>22621</v>
      </c>
      <c r="F7186" t="s">
        <v>28198</v>
      </c>
      <c r="G7186" t="s">
        <v>28205</v>
      </c>
      <c r="H7186" t="s">
        <v>28214</v>
      </c>
      <c r="I7186" t="s">
        <v>3797</v>
      </c>
      <c r="J7186" t="s">
        <v>32843</v>
      </c>
      <c r="K7186" t="s">
        <v>36694</v>
      </c>
      <c r="M7186" t="s">
        <v>38360</v>
      </c>
      <c r="N7186" t="s">
        <v>40436</v>
      </c>
      <c r="O7186" t="s">
        <v>40437</v>
      </c>
      <c r="P7186">
        <v>0</v>
      </c>
      <c r="Q7186">
        <v>0</v>
      </c>
      <c r="R7186" t="s">
        <v>40444</v>
      </c>
      <c r="S7186" t="s">
        <v>40676</v>
      </c>
      <c r="T7186" t="s">
        <v>42245</v>
      </c>
      <c r="U7186" t="s">
        <v>48674</v>
      </c>
      <c r="W7186" t="s">
        <v>38360</v>
      </c>
      <c r="X7186" t="s">
        <v>40445</v>
      </c>
    </row>
    <row r="7187" spans="1:24">
      <c r="A7187">
        <f>HYPERLINK("https://www.philgeps.gov.ph/GEPSNONPILOT/Tender/SplashBidNoticeAbstractUI.aspx?menuIndex=3&amp;refID=7039381&amp;Result=3","7039381")</f>
        <v>0</v>
      </c>
      <c r="B7187" t="s">
        <v>98</v>
      </c>
      <c r="C7187" t="s">
        <v>9919</v>
      </c>
      <c r="D7187" t="s">
        <v>16227</v>
      </c>
      <c r="E7187" t="s">
        <v>22622</v>
      </c>
      <c r="F7187" t="s">
        <v>28198</v>
      </c>
      <c r="G7187" t="s">
        <v>28205</v>
      </c>
      <c r="H7187" t="s">
        <v>28214</v>
      </c>
      <c r="I7187" t="s">
        <v>3797</v>
      </c>
      <c r="J7187" t="s">
        <v>32844</v>
      </c>
      <c r="K7187" t="s">
        <v>36697</v>
      </c>
      <c r="M7187" t="s">
        <v>39393</v>
      </c>
      <c r="N7187" t="s">
        <v>40436</v>
      </c>
      <c r="O7187" t="s">
        <v>40437</v>
      </c>
      <c r="P7187">
        <v>0</v>
      </c>
      <c r="Q7187">
        <v>0</v>
      </c>
      <c r="R7187" t="s">
        <v>40444</v>
      </c>
      <c r="S7187" t="s">
        <v>40676</v>
      </c>
      <c r="T7187" t="s">
        <v>42480</v>
      </c>
      <c r="U7187" t="s">
        <v>48675</v>
      </c>
      <c r="W7187" t="s">
        <v>39393</v>
      </c>
      <c r="X7187" t="s">
        <v>40445</v>
      </c>
    </row>
    <row r="7188" spans="1:24">
      <c r="A7188">
        <f>HYPERLINK("https://www.philgeps.gov.ph/GEPSNONPILOT/Tender/SplashBidNoticeAbstractUI.aspx?menuIndex=3&amp;refID=7039367&amp;Result=3","7039367")</f>
        <v>0</v>
      </c>
      <c r="B7188" t="s">
        <v>325</v>
      </c>
      <c r="C7188" t="s">
        <v>9920</v>
      </c>
      <c r="D7188" t="s">
        <v>16226</v>
      </c>
      <c r="E7188" t="s">
        <v>22623</v>
      </c>
      <c r="F7188" t="s">
        <v>28198</v>
      </c>
      <c r="G7188" t="s">
        <v>28209</v>
      </c>
      <c r="H7188" t="s">
        <v>28215</v>
      </c>
      <c r="I7188" t="s">
        <v>28227</v>
      </c>
      <c r="J7188" t="s">
        <v>32845</v>
      </c>
      <c r="K7188" t="s">
        <v>36706</v>
      </c>
      <c r="M7188" t="s">
        <v>37303</v>
      </c>
      <c r="N7188" t="s">
        <v>40436</v>
      </c>
      <c r="O7188" t="s">
        <v>40437</v>
      </c>
      <c r="P7188">
        <v>0</v>
      </c>
      <c r="Q7188">
        <v>1</v>
      </c>
      <c r="R7188" t="s">
        <v>40444</v>
      </c>
      <c r="S7188" t="s">
        <v>40676</v>
      </c>
      <c r="T7188" t="s">
        <v>42184</v>
      </c>
      <c r="U7188" t="s">
        <v>48676</v>
      </c>
      <c r="W7188" t="s">
        <v>55443</v>
      </c>
      <c r="X7188" t="s">
        <v>40445</v>
      </c>
    </row>
    <row r="7189" spans="1:24">
      <c r="A7189">
        <f>HYPERLINK("https://www.philgeps.gov.ph/GEPSNONPILOT/Tender/SplashBidNoticeAbstractUI.aspx?menuIndex=3&amp;refID=7039380&amp;Result=3","7039380")</f>
        <v>0</v>
      </c>
      <c r="B7189" t="s">
        <v>1157</v>
      </c>
      <c r="C7189" t="s">
        <v>9921</v>
      </c>
      <c r="D7189" t="s">
        <v>16193</v>
      </c>
      <c r="E7189" t="s">
        <v>18716</v>
      </c>
      <c r="F7189" t="s">
        <v>28198</v>
      </c>
      <c r="G7189" t="s">
        <v>28205</v>
      </c>
      <c r="H7189" t="s">
        <v>28215</v>
      </c>
      <c r="I7189" t="s">
        <v>4200</v>
      </c>
      <c r="J7189" t="s">
        <v>32846</v>
      </c>
      <c r="K7189" t="s">
        <v>36689</v>
      </c>
      <c r="M7189" t="s">
        <v>38197</v>
      </c>
      <c r="N7189" t="s">
        <v>40436</v>
      </c>
      <c r="O7189" t="s">
        <v>40437</v>
      </c>
      <c r="P7189">
        <v>0</v>
      </c>
      <c r="Q7189">
        <v>0</v>
      </c>
      <c r="R7189" t="s">
        <v>40444</v>
      </c>
      <c r="S7189" t="s">
        <v>40676</v>
      </c>
      <c r="T7189" t="s">
        <v>42113</v>
      </c>
      <c r="U7189" t="s">
        <v>48677</v>
      </c>
      <c r="W7189" t="s">
        <v>55484</v>
      </c>
      <c r="X7189" t="s">
        <v>40445</v>
      </c>
    </row>
    <row r="7190" spans="1:24">
      <c r="A7190">
        <f>HYPERLINK("https://www.philgeps.gov.ph/GEPSNONPILOT/Tender/SplashBidNoticeAbstractUI.aspx?menuIndex=3&amp;refID=7039348&amp;Result=3","7039348")</f>
        <v>0</v>
      </c>
      <c r="B7190" t="s">
        <v>2241</v>
      </c>
      <c r="C7190" t="s">
        <v>9922</v>
      </c>
      <c r="D7190" t="s">
        <v>16199</v>
      </c>
      <c r="E7190" t="s">
        <v>22624</v>
      </c>
      <c r="F7190" t="s">
        <v>28198</v>
      </c>
      <c r="G7190" t="s">
        <v>28207</v>
      </c>
      <c r="H7190" t="s">
        <v>28214</v>
      </c>
      <c r="I7190" t="s">
        <v>3797</v>
      </c>
      <c r="J7190" t="s">
        <v>29346</v>
      </c>
      <c r="K7190" t="s">
        <v>36706</v>
      </c>
      <c r="M7190" t="s">
        <v>39410</v>
      </c>
      <c r="N7190" t="s">
        <v>40436</v>
      </c>
      <c r="O7190" t="s">
        <v>40437</v>
      </c>
      <c r="P7190">
        <v>0</v>
      </c>
      <c r="Q7190">
        <v>0</v>
      </c>
      <c r="R7190" t="s">
        <v>40444</v>
      </c>
      <c r="S7190" t="s">
        <v>40676</v>
      </c>
      <c r="T7190" t="s">
        <v>42297</v>
      </c>
      <c r="U7190" t="s">
        <v>48678</v>
      </c>
      <c r="W7190" t="s">
        <v>39410</v>
      </c>
      <c r="X7190" t="s">
        <v>40445</v>
      </c>
    </row>
    <row r="7191" spans="1:24">
      <c r="A7191">
        <f>HYPERLINK("https://www.philgeps.gov.ph/GEPSNONPILOT/Tender/SplashBidNoticeAbstractUI.aspx?menuIndex=3&amp;refID=7039370&amp;Result=3","7039370")</f>
        <v>0</v>
      </c>
      <c r="B7191" t="s">
        <v>305</v>
      </c>
      <c r="C7191" t="s">
        <v>9923</v>
      </c>
      <c r="D7191" t="s">
        <v>16197</v>
      </c>
      <c r="E7191" t="s">
        <v>22625</v>
      </c>
      <c r="F7191" t="s">
        <v>28198</v>
      </c>
      <c r="G7191" t="s">
        <v>28205</v>
      </c>
      <c r="H7191" t="s">
        <v>28215</v>
      </c>
      <c r="I7191" t="s">
        <v>28280</v>
      </c>
      <c r="J7191" t="s">
        <v>32847</v>
      </c>
      <c r="K7191" t="s">
        <v>36701</v>
      </c>
      <c r="M7191" t="s">
        <v>37282</v>
      </c>
      <c r="N7191" t="s">
        <v>40436</v>
      </c>
      <c r="O7191" t="s">
        <v>40437</v>
      </c>
      <c r="P7191">
        <v>0</v>
      </c>
      <c r="Q7191">
        <v>4</v>
      </c>
      <c r="R7191" t="s">
        <v>40444</v>
      </c>
      <c r="S7191" t="s">
        <v>40676</v>
      </c>
      <c r="T7191" t="s">
        <v>42234</v>
      </c>
      <c r="U7191" t="s">
        <v>48679</v>
      </c>
      <c r="W7191" t="s">
        <v>37282</v>
      </c>
      <c r="X7191" t="s">
        <v>40445</v>
      </c>
    </row>
    <row r="7192" spans="1:24">
      <c r="A7192">
        <f>HYPERLINK("https://www.philgeps.gov.ph/GEPSNONPILOT/Tender/SplashBidNoticeAbstractUI.aspx?menuIndex=3&amp;refID=7039384&amp;Result=3","7039384")</f>
        <v>0</v>
      </c>
      <c r="B7192" t="s">
        <v>1039</v>
      </c>
      <c r="C7192" t="s">
        <v>9924</v>
      </c>
      <c r="D7192" t="s">
        <v>16255</v>
      </c>
      <c r="E7192" t="s">
        <v>22626</v>
      </c>
      <c r="F7192" t="s">
        <v>28198</v>
      </c>
      <c r="G7192" t="s">
        <v>28205</v>
      </c>
      <c r="H7192" t="s">
        <v>28215</v>
      </c>
      <c r="I7192" t="s">
        <v>5100</v>
      </c>
      <c r="J7192" t="s">
        <v>30474</v>
      </c>
      <c r="K7192" t="s">
        <v>36701</v>
      </c>
      <c r="M7192" t="s">
        <v>38071</v>
      </c>
      <c r="N7192" t="s">
        <v>40436</v>
      </c>
      <c r="O7192" t="s">
        <v>40437</v>
      </c>
      <c r="P7192">
        <v>0</v>
      </c>
      <c r="Q7192">
        <v>0</v>
      </c>
      <c r="R7192" t="s">
        <v>40444</v>
      </c>
      <c r="S7192" t="s">
        <v>40676</v>
      </c>
      <c r="T7192" t="s">
        <v>42234</v>
      </c>
      <c r="U7192" t="s">
        <v>48680</v>
      </c>
      <c r="W7192" t="s">
        <v>38071</v>
      </c>
      <c r="X7192" t="s">
        <v>40445</v>
      </c>
    </row>
    <row r="7193" spans="1:24">
      <c r="A7193">
        <f>HYPERLINK("https://www.philgeps.gov.ph/GEPSNONPILOT/Tender/SplashBidNoticeAbstractUI.aspx?menuIndex=3&amp;refID=7039388&amp;Result=3","7039388")</f>
        <v>0</v>
      </c>
      <c r="B7193" t="s">
        <v>2233</v>
      </c>
      <c r="C7193" t="s">
        <v>9925</v>
      </c>
      <c r="D7193" t="s">
        <v>16248</v>
      </c>
      <c r="E7193" t="s">
        <v>22627</v>
      </c>
      <c r="F7193" t="s">
        <v>28198</v>
      </c>
      <c r="G7193" t="s">
        <v>28205</v>
      </c>
      <c r="H7193" t="s">
        <v>28215</v>
      </c>
      <c r="I7193" t="s">
        <v>4200</v>
      </c>
      <c r="J7193" t="s">
        <v>28486</v>
      </c>
      <c r="K7193" t="s">
        <v>36687</v>
      </c>
      <c r="M7193" t="s">
        <v>39401</v>
      </c>
      <c r="N7193" t="s">
        <v>40436</v>
      </c>
      <c r="O7193" t="s">
        <v>40437</v>
      </c>
      <c r="P7193">
        <v>0</v>
      </c>
      <c r="Q7193">
        <v>3</v>
      </c>
      <c r="R7193" t="s">
        <v>40444</v>
      </c>
      <c r="S7193" t="s">
        <v>40676</v>
      </c>
      <c r="T7193" t="s">
        <v>42233</v>
      </c>
      <c r="U7193" t="s">
        <v>48681</v>
      </c>
      <c r="W7193" t="s">
        <v>39401</v>
      </c>
      <c r="X7193" t="s">
        <v>40445</v>
      </c>
    </row>
    <row r="7194" spans="1:24">
      <c r="A7194">
        <f>HYPERLINK("https://www.philgeps.gov.ph/GEPSNONPILOT/Tender/SplashBidNoticeAbstractUI.aspx?menuIndex=3&amp;refID=7039379&amp;Result=3","7039379")</f>
        <v>0</v>
      </c>
      <c r="B7194" t="s">
        <v>1622</v>
      </c>
      <c r="C7194" t="s">
        <v>9926</v>
      </c>
      <c r="D7194" t="s">
        <v>16281</v>
      </c>
      <c r="E7194" t="s">
        <v>22628</v>
      </c>
      <c r="F7194" t="s">
        <v>28198</v>
      </c>
      <c r="G7194" t="s">
        <v>28205</v>
      </c>
      <c r="H7194" t="s">
        <v>28215</v>
      </c>
      <c r="I7194" t="s">
        <v>5791</v>
      </c>
      <c r="J7194" t="s">
        <v>32848</v>
      </c>
      <c r="K7194" t="s">
        <v>36688</v>
      </c>
      <c r="M7194" t="s">
        <v>38711</v>
      </c>
      <c r="N7194" t="s">
        <v>40436</v>
      </c>
      <c r="O7194" t="s">
        <v>40437</v>
      </c>
      <c r="P7194">
        <v>0</v>
      </c>
      <c r="Q7194">
        <v>7</v>
      </c>
      <c r="R7194" t="s">
        <v>40444</v>
      </c>
      <c r="S7194" t="s">
        <v>40676</v>
      </c>
      <c r="T7194" t="s">
        <v>42483</v>
      </c>
      <c r="U7194" t="s">
        <v>48682</v>
      </c>
      <c r="V7194" t="s">
        <v>54527</v>
      </c>
      <c r="W7194" t="s">
        <v>38711</v>
      </c>
      <c r="X7194" t="s">
        <v>40445</v>
      </c>
    </row>
    <row r="7195" spans="1:24">
      <c r="A7195">
        <f>HYPERLINK("https://www.philgeps.gov.ph/GEPSNONPILOT/Tender/SplashBidNoticeAbstractUI.aspx?menuIndex=3&amp;refID=7039401&amp;Result=3","7039401")</f>
        <v>0</v>
      </c>
      <c r="B7195" t="s">
        <v>583</v>
      </c>
      <c r="C7195" t="s">
        <v>9927</v>
      </c>
      <c r="D7195" t="s">
        <v>16235</v>
      </c>
      <c r="E7195" t="s">
        <v>19504</v>
      </c>
      <c r="F7195" t="s">
        <v>28199</v>
      </c>
      <c r="G7195" t="s">
        <v>28211</v>
      </c>
      <c r="H7195" t="s">
        <v>28216</v>
      </c>
      <c r="I7195" t="s">
        <v>28216</v>
      </c>
      <c r="J7195" t="s">
        <v>30172</v>
      </c>
      <c r="K7195" t="s">
        <v>36705</v>
      </c>
      <c r="M7195" t="s">
        <v>37573</v>
      </c>
      <c r="N7195" t="s">
        <v>40436</v>
      </c>
      <c r="O7195" t="s">
        <v>40437</v>
      </c>
      <c r="P7195">
        <v>0</v>
      </c>
      <c r="Q7195">
        <v>0</v>
      </c>
      <c r="R7195" t="s">
        <v>40444</v>
      </c>
      <c r="S7195" t="s">
        <v>40676</v>
      </c>
      <c r="T7195" t="s">
        <v>42205</v>
      </c>
      <c r="U7195" t="s">
        <v>48683</v>
      </c>
      <c r="V7195" t="s">
        <v>53926</v>
      </c>
      <c r="W7195" t="s">
        <v>37573</v>
      </c>
      <c r="X7195" t="s">
        <v>40445</v>
      </c>
    </row>
    <row r="7196" spans="1:24">
      <c r="A7196">
        <f>HYPERLINK("https://www.philgeps.gov.ph/GEPSNONPILOT/Tender/SplashBidNoticeAbstractUI.aspx?menuIndex=3&amp;refID=7039395&amp;Result=3","7039395")</f>
        <v>0</v>
      </c>
      <c r="B7196" t="s">
        <v>2242</v>
      </c>
      <c r="C7196" t="s">
        <v>9928</v>
      </c>
      <c r="D7196" t="s">
        <v>16203</v>
      </c>
      <c r="E7196" t="s">
        <v>22629</v>
      </c>
      <c r="F7196" t="s">
        <v>28198</v>
      </c>
      <c r="G7196" t="s">
        <v>28205</v>
      </c>
      <c r="H7196" t="s">
        <v>28214</v>
      </c>
      <c r="I7196" t="s">
        <v>3797</v>
      </c>
      <c r="J7196" t="s">
        <v>28345</v>
      </c>
      <c r="K7196" t="s">
        <v>36707</v>
      </c>
      <c r="M7196" t="s">
        <v>39411</v>
      </c>
      <c r="N7196" t="s">
        <v>40436</v>
      </c>
      <c r="O7196" t="s">
        <v>40437</v>
      </c>
      <c r="P7196">
        <v>0</v>
      </c>
      <c r="Q7196">
        <v>0</v>
      </c>
      <c r="R7196" t="s">
        <v>40444</v>
      </c>
      <c r="S7196" t="s">
        <v>40676</v>
      </c>
      <c r="T7196" t="s">
        <v>42435</v>
      </c>
      <c r="U7196" t="s">
        <v>48684</v>
      </c>
      <c r="V7196" t="s">
        <v>54093</v>
      </c>
      <c r="W7196" t="s">
        <v>39411</v>
      </c>
      <c r="X7196" t="s">
        <v>40445</v>
      </c>
    </row>
    <row r="7197" spans="1:24">
      <c r="A7197">
        <f>HYPERLINK("https://www.philgeps.gov.ph/GEPSNONPILOT/Tender/SplashBidNoticeAbstractUI.aspx?menuIndex=3&amp;refID=7039393&amp;Result=3","7039393")</f>
        <v>0</v>
      </c>
      <c r="B7197" t="s">
        <v>766</v>
      </c>
      <c r="C7197" t="s">
        <v>9929</v>
      </c>
      <c r="D7197" t="s">
        <v>16219</v>
      </c>
      <c r="E7197" t="s">
        <v>22630</v>
      </c>
      <c r="F7197" t="s">
        <v>28198</v>
      </c>
      <c r="G7197" t="s">
        <v>28207</v>
      </c>
      <c r="H7197" t="s">
        <v>28215</v>
      </c>
      <c r="I7197" t="s">
        <v>4200</v>
      </c>
      <c r="J7197" t="s">
        <v>32849</v>
      </c>
      <c r="K7197" t="s">
        <v>36707</v>
      </c>
      <c r="M7197" t="s">
        <v>39412</v>
      </c>
      <c r="N7197" t="s">
        <v>40436</v>
      </c>
      <c r="O7197" t="s">
        <v>40437</v>
      </c>
      <c r="P7197">
        <v>0</v>
      </c>
      <c r="Q7197">
        <v>0</v>
      </c>
      <c r="R7197" t="s">
        <v>40444</v>
      </c>
      <c r="S7197" t="s">
        <v>40676</v>
      </c>
      <c r="T7197" t="s">
        <v>42185</v>
      </c>
      <c r="U7197" t="s">
        <v>48685</v>
      </c>
      <c r="W7197" t="s">
        <v>39412</v>
      </c>
      <c r="X7197" t="s">
        <v>40445</v>
      </c>
    </row>
    <row r="7198" spans="1:24">
      <c r="A7198">
        <f>HYPERLINK("https://www.philgeps.gov.ph/GEPSNONPILOT/Tender/SplashBidNoticeAbstractUI.aspx?menuIndex=3&amp;refID=7039403&amp;Result=3","7039403")</f>
        <v>0</v>
      </c>
      <c r="B7198" t="s">
        <v>98</v>
      </c>
      <c r="C7198" t="s">
        <v>9930</v>
      </c>
      <c r="D7198" t="s">
        <v>16227</v>
      </c>
      <c r="E7198" t="s">
        <v>22631</v>
      </c>
      <c r="F7198" t="s">
        <v>28198</v>
      </c>
      <c r="G7198" t="s">
        <v>28205</v>
      </c>
      <c r="H7198" t="s">
        <v>28214</v>
      </c>
      <c r="I7198" t="s">
        <v>3797</v>
      </c>
      <c r="J7198" t="s">
        <v>32800</v>
      </c>
      <c r="K7198" t="s">
        <v>36694</v>
      </c>
      <c r="M7198" t="s">
        <v>39393</v>
      </c>
      <c r="N7198" t="s">
        <v>40436</v>
      </c>
      <c r="O7198" t="s">
        <v>40437</v>
      </c>
      <c r="P7198">
        <v>0</v>
      </c>
      <c r="Q7198">
        <v>0</v>
      </c>
      <c r="R7198" t="s">
        <v>40444</v>
      </c>
      <c r="S7198" t="s">
        <v>40676</v>
      </c>
      <c r="T7198" t="s">
        <v>42480</v>
      </c>
      <c r="U7198" t="s">
        <v>48686</v>
      </c>
      <c r="W7198" t="s">
        <v>39393</v>
      </c>
      <c r="X7198" t="s">
        <v>40445</v>
      </c>
    </row>
    <row r="7199" spans="1:24">
      <c r="A7199">
        <f>HYPERLINK("https://www.philgeps.gov.ph/GEPSNONPILOT/Tender/SplashBidNoticeAbstractUI.aspx?menuIndex=3&amp;refID=7039390&amp;Result=3","7039390")</f>
        <v>0</v>
      </c>
      <c r="B7199" t="s">
        <v>1157</v>
      </c>
      <c r="C7199" t="s">
        <v>9931</v>
      </c>
      <c r="D7199" t="s">
        <v>16193</v>
      </c>
      <c r="E7199" t="s">
        <v>17375</v>
      </c>
      <c r="F7199" t="s">
        <v>28198</v>
      </c>
      <c r="G7199" t="s">
        <v>28205</v>
      </c>
      <c r="H7199" t="s">
        <v>28215</v>
      </c>
      <c r="I7199" t="s">
        <v>4200</v>
      </c>
      <c r="J7199" t="s">
        <v>32850</v>
      </c>
      <c r="K7199" t="s">
        <v>36689</v>
      </c>
      <c r="M7199" t="s">
        <v>38197</v>
      </c>
      <c r="N7199" t="s">
        <v>40436</v>
      </c>
      <c r="O7199" t="s">
        <v>40437</v>
      </c>
      <c r="P7199">
        <v>0</v>
      </c>
      <c r="Q7199">
        <v>1</v>
      </c>
      <c r="R7199" t="s">
        <v>40444</v>
      </c>
      <c r="S7199" t="s">
        <v>40676</v>
      </c>
      <c r="T7199" t="s">
        <v>42113</v>
      </c>
      <c r="U7199" t="s">
        <v>48687</v>
      </c>
      <c r="W7199" t="s">
        <v>55484</v>
      </c>
      <c r="X7199" t="s">
        <v>40445</v>
      </c>
    </row>
    <row r="7200" spans="1:24">
      <c r="A7200">
        <f>HYPERLINK("https://www.philgeps.gov.ph/GEPSNONPILOT/Tender/SplashBidNoticeAbstractUI.aspx?menuIndex=3&amp;refID=7039400&amp;Result=3","7039400")</f>
        <v>0</v>
      </c>
      <c r="B7200" t="s">
        <v>2218</v>
      </c>
      <c r="C7200" t="s">
        <v>9932</v>
      </c>
      <c r="D7200" t="s">
        <v>16197</v>
      </c>
      <c r="E7200" t="s">
        <v>20114</v>
      </c>
      <c r="F7200" t="s">
        <v>28198</v>
      </c>
      <c r="G7200" t="s">
        <v>28205</v>
      </c>
      <c r="H7200" t="s">
        <v>28215</v>
      </c>
      <c r="I7200" t="s">
        <v>4222</v>
      </c>
      <c r="J7200" t="s">
        <v>28708</v>
      </c>
      <c r="K7200" t="s">
        <v>36696</v>
      </c>
      <c r="M7200" t="s">
        <v>39384</v>
      </c>
      <c r="N7200" t="s">
        <v>40436</v>
      </c>
      <c r="O7200" t="s">
        <v>40437</v>
      </c>
      <c r="P7200">
        <v>0</v>
      </c>
      <c r="Q7200">
        <v>0</v>
      </c>
      <c r="R7200" t="s">
        <v>40444</v>
      </c>
      <c r="S7200" t="s">
        <v>40676</v>
      </c>
      <c r="T7200" t="s">
        <v>42145</v>
      </c>
      <c r="U7200" t="s">
        <v>48688</v>
      </c>
      <c r="W7200" t="s">
        <v>39384</v>
      </c>
      <c r="X7200" t="s">
        <v>40445</v>
      </c>
    </row>
    <row r="7201" spans="1:24">
      <c r="A7201">
        <f>HYPERLINK("https://www.philgeps.gov.ph/GEPSNONPILOT/Tender/SplashBidNoticeAbstractUI.aspx?menuIndex=3&amp;refID=7039394&amp;Result=3","7039394")</f>
        <v>0</v>
      </c>
      <c r="B7201" t="s">
        <v>2243</v>
      </c>
      <c r="C7201" t="s">
        <v>9933</v>
      </c>
      <c r="D7201" t="s">
        <v>16202</v>
      </c>
      <c r="E7201" t="s">
        <v>22632</v>
      </c>
      <c r="F7201" t="s">
        <v>28198</v>
      </c>
      <c r="G7201" t="s">
        <v>28207</v>
      </c>
      <c r="H7201" t="s">
        <v>28215</v>
      </c>
      <c r="I7201" t="s">
        <v>5100</v>
      </c>
      <c r="J7201" t="s">
        <v>32851</v>
      </c>
      <c r="K7201" t="s">
        <v>36706</v>
      </c>
      <c r="M7201" t="s">
        <v>39413</v>
      </c>
      <c r="N7201" t="s">
        <v>40436</v>
      </c>
      <c r="O7201" t="s">
        <v>40437</v>
      </c>
      <c r="P7201">
        <v>0</v>
      </c>
      <c r="Q7201">
        <v>2</v>
      </c>
      <c r="R7201" t="s">
        <v>40444</v>
      </c>
      <c r="S7201" t="s">
        <v>40676</v>
      </c>
      <c r="T7201" t="s">
        <v>42396</v>
      </c>
      <c r="U7201" t="s">
        <v>48689</v>
      </c>
      <c r="W7201" t="s">
        <v>39413</v>
      </c>
      <c r="X7201" t="s">
        <v>40445</v>
      </c>
    </row>
    <row r="7202" spans="1:24">
      <c r="A7202">
        <f>HYPERLINK("https://www.philgeps.gov.ph/GEPSNONPILOT/Tender/SplashBidNoticeAbstractUI.aspx?menuIndex=3&amp;refID=7039397&amp;Result=3","7039397")</f>
        <v>0</v>
      </c>
      <c r="B7202" t="s">
        <v>1157</v>
      </c>
      <c r="C7202" t="s">
        <v>9934</v>
      </c>
      <c r="D7202" t="s">
        <v>16193</v>
      </c>
      <c r="E7202" t="s">
        <v>22633</v>
      </c>
      <c r="F7202" t="s">
        <v>28198</v>
      </c>
      <c r="G7202" t="s">
        <v>28205</v>
      </c>
      <c r="H7202" t="s">
        <v>28215</v>
      </c>
      <c r="I7202" t="s">
        <v>4200</v>
      </c>
      <c r="J7202" t="s">
        <v>32852</v>
      </c>
      <c r="K7202" t="s">
        <v>36689</v>
      </c>
      <c r="M7202" t="s">
        <v>38197</v>
      </c>
      <c r="N7202" t="s">
        <v>40436</v>
      </c>
      <c r="O7202" t="s">
        <v>40437</v>
      </c>
      <c r="P7202">
        <v>0</v>
      </c>
      <c r="Q7202">
        <v>0</v>
      </c>
      <c r="R7202" t="s">
        <v>40444</v>
      </c>
      <c r="S7202" t="s">
        <v>40676</v>
      </c>
      <c r="T7202" t="s">
        <v>42113</v>
      </c>
      <c r="U7202" t="s">
        <v>48690</v>
      </c>
      <c r="W7202" t="s">
        <v>55484</v>
      </c>
      <c r="X7202" t="s">
        <v>40445</v>
      </c>
    </row>
    <row r="7203" spans="1:24">
      <c r="A7203">
        <f>HYPERLINK("https://www.philgeps.gov.ph/GEPSNONPILOT/Tender/SplashBidNoticeAbstractUI.aspx?menuIndex=3&amp;refID=7039391&amp;Result=3","7039391")</f>
        <v>0</v>
      </c>
      <c r="B7203" t="s">
        <v>2244</v>
      </c>
      <c r="C7203" t="s">
        <v>9935</v>
      </c>
      <c r="D7203" t="s">
        <v>16232</v>
      </c>
      <c r="E7203" t="s">
        <v>22634</v>
      </c>
      <c r="F7203" t="s">
        <v>28198</v>
      </c>
      <c r="G7203" t="s">
        <v>28205</v>
      </c>
      <c r="H7203" t="s">
        <v>28215</v>
      </c>
      <c r="I7203" t="s">
        <v>5100</v>
      </c>
      <c r="J7203" t="s">
        <v>32853</v>
      </c>
      <c r="K7203" t="s">
        <v>36696</v>
      </c>
      <c r="M7203" t="s">
        <v>39414</v>
      </c>
      <c r="N7203" t="s">
        <v>40436</v>
      </c>
      <c r="O7203" t="s">
        <v>40437</v>
      </c>
      <c r="P7203">
        <v>0</v>
      </c>
      <c r="Q7203">
        <v>0</v>
      </c>
      <c r="R7203" t="s">
        <v>40444</v>
      </c>
      <c r="S7203" t="s">
        <v>40676</v>
      </c>
      <c r="T7203" t="s">
        <v>42176</v>
      </c>
      <c r="U7203" t="s">
        <v>48691</v>
      </c>
      <c r="W7203" t="s">
        <v>39414</v>
      </c>
      <c r="X7203" t="s">
        <v>40445</v>
      </c>
    </row>
    <row r="7204" spans="1:24">
      <c r="A7204">
        <f>HYPERLINK("https://www.philgeps.gov.ph/GEPSNONPILOT/Tender/SplashBidNoticeAbstractUI.aspx?menuIndex=3&amp;refID=7039392&amp;Result=3","7039392")</f>
        <v>0</v>
      </c>
      <c r="B7204" t="s">
        <v>2237</v>
      </c>
      <c r="C7204" t="s">
        <v>9936</v>
      </c>
      <c r="D7204" t="s">
        <v>16222</v>
      </c>
      <c r="E7204" t="s">
        <v>16766</v>
      </c>
      <c r="F7204" t="s">
        <v>28198</v>
      </c>
      <c r="G7204" t="s">
        <v>28205</v>
      </c>
      <c r="H7204" t="s">
        <v>28215</v>
      </c>
      <c r="I7204" t="s">
        <v>5100</v>
      </c>
      <c r="J7204" t="s">
        <v>32854</v>
      </c>
      <c r="K7204" t="s">
        <v>36707</v>
      </c>
      <c r="M7204" t="s">
        <v>39406</v>
      </c>
      <c r="N7204" t="s">
        <v>40436</v>
      </c>
      <c r="O7204" t="s">
        <v>40437</v>
      </c>
      <c r="P7204">
        <v>0</v>
      </c>
      <c r="Q7204">
        <v>0</v>
      </c>
      <c r="R7204" t="s">
        <v>40444</v>
      </c>
      <c r="S7204" t="s">
        <v>40676</v>
      </c>
      <c r="T7204" t="s">
        <v>42218</v>
      </c>
      <c r="U7204" t="s">
        <v>48692</v>
      </c>
      <c r="W7204" t="s">
        <v>39406</v>
      </c>
      <c r="X7204" t="s">
        <v>40445</v>
      </c>
    </row>
    <row r="7205" spans="1:24">
      <c r="A7205">
        <f>HYPERLINK("https://www.philgeps.gov.ph/GEPSNONPILOT/Tender/SplashBidNoticeAbstractUI.aspx?menuIndex=3&amp;refID=7039407&amp;Result=3","7039407")</f>
        <v>0</v>
      </c>
      <c r="B7205" t="s">
        <v>1157</v>
      </c>
      <c r="C7205" t="s">
        <v>9937</v>
      </c>
      <c r="D7205" t="s">
        <v>16193</v>
      </c>
      <c r="E7205" t="s">
        <v>22635</v>
      </c>
      <c r="F7205" t="s">
        <v>28198</v>
      </c>
      <c r="G7205" t="s">
        <v>28205</v>
      </c>
      <c r="H7205" t="s">
        <v>28215</v>
      </c>
      <c r="I7205" t="s">
        <v>4200</v>
      </c>
      <c r="J7205" t="s">
        <v>32855</v>
      </c>
      <c r="K7205" t="s">
        <v>36689</v>
      </c>
      <c r="M7205" t="s">
        <v>38197</v>
      </c>
      <c r="N7205" t="s">
        <v>40436</v>
      </c>
      <c r="O7205" t="s">
        <v>40437</v>
      </c>
      <c r="P7205">
        <v>0</v>
      </c>
      <c r="Q7205">
        <v>1</v>
      </c>
      <c r="R7205" t="s">
        <v>40444</v>
      </c>
      <c r="S7205" t="s">
        <v>40676</v>
      </c>
      <c r="T7205" t="s">
        <v>42113</v>
      </c>
      <c r="U7205" t="s">
        <v>48693</v>
      </c>
      <c r="W7205" t="s">
        <v>55484</v>
      </c>
      <c r="X7205" t="s">
        <v>40445</v>
      </c>
    </row>
    <row r="7206" spans="1:24">
      <c r="A7206">
        <f>HYPERLINK("https://www.philgeps.gov.ph/GEPSNONPILOT/Tender/SplashBidNoticeAbstractUI.aspx?menuIndex=3&amp;refID=7039427&amp;Result=3","7039427")</f>
        <v>0</v>
      </c>
      <c r="B7206" t="s">
        <v>100</v>
      </c>
      <c r="C7206" t="s">
        <v>9938</v>
      </c>
      <c r="D7206" t="s">
        <v>16228</v>
      </c>
      <c r="E7206" t="s">
        <v>22636</v>
      </c>
      <c r="F7206" t="s">
        <v>28198</v>
      </c>
      <c r="G7206" t="s">
        <v>28205</v>
      </c>
      <c r="H7206" t="s">
        <v>28215</v>
      </c>
      <c r="I7206" t="s">
        <v>5082</v>
      </c>
      <c r="J7206" t="s">
        <v>32856</v>
      </c>
      <c r="K7206" t="s">
        <v>36701</v>
      </c>
      <c r="M7206" t="s">
        <v>37073</v>
      </c>
      <c r="N7206" t="s">
        <v>40436</v>
      </c>
      <c r="O7206" t="s">
        <v>40437</v>
      </c>
      <c r="P7206">
        <v>0</v>
      </c>
      <c r="Q7206">
        <v>0</v>
      </c>
      <c r="R7206" t="s">
        <v>40444</v>
      </c>
      <c r="S7206" t="s">
        <v>40676</v>
      </c>
      <c r="T7206" t="s">
        <v>42184</v>
      </c>
      <c r="U7206" t="s">
        <v>42767</v>
      </c>
      <c r="V7206" t="s">
        <v>53798</v>
      </c>
      <c r="W7206" t="s">
        <v>37073</v>
      </c>
      <c r="X7206" t="s">
        <v>40445</v>
      </c>
    </row>
    <row r="7207" spans="1:24">
      <c r="A7207">
        <f>HYPERLINK("https://www.philgeps.gov.ph/GEPSNONPILOT/Tender/SplashBidNoticeAbstractUI.aspx?menuIndex=3&amp;refID=7039413&amp;Result=3","7039413")</f>
        <v>0</v>
      </c>
      <c r="B7207" t="s">
        <v>1858</v>
      </c>
      <c r="C7207" t="s">
        <v>9939</v>
      </c>
      <c r="D7207" t="s">
        <v>16210</v>
      </c>
      <c r="E7207" t="s">
        <v>22637</v>
      </c>
      <c r="F7207" t="s">
        <v>28198</v>
      </c>
      <c r="G7207" t="s">
        <v>28205</v>
      </c>
      <c r="H7207" t="s">
        <v>28215</v>
      </c>
      <c r="I7207" t="s">
        <v>5082</v>
      </c>
      <c r="J7207" t="s">
        <v>32857</v>
      </c>
      <c r="K7207" t="s">
        <v>36688</v>
      </c>
      <c r="M7207" t="s">
        <v>38986</v>
      </c>
      <c r="N7207" t="s">
        <v>40436</v>
      </c>
      <c r="O7207" t="s">
        <v>40437</v>
      </c>
      <c r="P7207">
        <v>0</v>
      </c>
      <c r="Q7207">
        <v>0</v>
      </c>
      <c r="R7207" t="s">
        <v>40444</v>
      </c>
      <c r="S7207" t="s">
        <v>40676</v>
      </c>
      <c r="T7207" t="s">
        <v>42346</v>
      </c>
      <c r="U7207" t="s">
        <v>48694</v>
      </c>
      <c r="W7207" t="s">
        <v>38986</v>
      </c>
      <c r="X7207" t="s">
        <v>40445</v>
      </c>
    </row>
    <row r="7208" spans="1:24">
      <c r="A7208">
        <f>HYPERLINK("https://www.philgeps.gov.ph/GEPSNONPILOT/Tender/SplashBidNoticeAbstractUI.aspx?menuIndex=3&amp;refID=7039417&amp;Result=3","7039417")</f>
        <v>0</v>
      </c>
      <c r="B7208" t="s">
        <v>1691</v>
      </c>
      <c r="C7208" t="s">
        <v>9940</v>
      </c>
      <c r="D7208" t="s">
        <v>16188</v>
      </c>
      <c r="E7208" t="s">
        <v>22638</v>
      </c>
      <c r="F7208" t="s">
        <v>28198</v>
      </c>
      <c r="G7208" t="s">
        <v>28205</v>
      </c>
      <c r="H7208" t="s">
        <v>28215</v>
      </c>
      <c r="I7208" t="s">
        <v>28310</v>
      </c>
      <c r="J7208" t="s">
        <v>32858</v>
      </c>
      <c r="K7208" t="s">
        <v>36707</v>
      </c>
      <c r="M7208" t="s">
        <v>38791</v>
      </c>
      <c r="N7208" t="s">
        <v>40436</v>
      </c>
      <c r="O7208" t="s">
        <v>40437</v>
      </c>
      <c r="P7208">
        <v>0</v>
      </c>
      <c r="Q7208">
        <v>1</v>
      </c>
      <c r="R7208" t="s">
        <v>40444</v>
      </c>
      <c r="S7208" t="s">
        <v>40676</v>
      </c>
      <c r="T7208" t="s">
        <v>42107</v>
      </c>
      <c r="U7208" t="s">
        <v>48695</v>
      </c>
      <c r="W7208" t="s">
        <v>38791</v>
      </c>
      <c r="X7208" t="s">
        <v>40445</v>
      </c>
    </row>
    <row r="7209" spans="1:24">
      <c r="A7209">
        <f>HYPERLINK("https://www.philgeps.gov.ph/GEPSNONPILOT/Tender/SplashBidNoticeAbstractUI.aspx?menuIndex=3&amp;refID=7039411&amp;Result=3","7039411")</f>
        <v>0</v>
      </c>
      <c r="B7209" t="s">
        <v>2245</v>
      </c>
      <c r="C7209" t="s">
        <v>9941</v>
      </c>
      <c r="D7209" t="s">
        <v>16200</v>
      </c>
      <c r="E7209" t="s">
        <v>22639</v>
      </c>
      <c r="F7209" t="s">
        <v>28198</v>
      </c>
      <c r="G7209" t="s">
        <v>28205</v>
      </c>
      <c r="H7209" t="s">
        <v>28214</v>
      </c>
      <c r="I7209" t="s">
        <v>5100</v>
      </c>
      <c r="J7209" t="s">
        <v>32859</v>
      </c>
      <c r="K7209" t="s">
        <v>36698</v>
      </c>
      <c r="M7209" t="s">
        <v>39415</v>
      </c>
      <c r="N7209" t="s">
        <v>40436</v>
      </c>
      <c r="O7209" t="s">
        <v>40437</v>
      </c>
      <c r="P7209">
        <v>0</v>
      </c>
      <c r="Q7209">
        <v>2</v>
      </c>
      <c r="R7209" t="s">
        <v>40444</v>
      </c>
      <c r="S7209" t="s">
        <v>40676</v>
      </c>
      <c r="T7209" t="s">
        <v>42112</v>
      </c>
      <c r="U7209" t="s">
        <v>48696</v>
      </c>
      <c r="W7209" t="s">
        <v>39415</v>
      </c>
      <c r="X7209" t="s">
        <v>40445</v>
      </c>
    </row>
    <row r="7210" spans="1:24">
      <c r="A7210">
        <f>HYPERLINK("https://www.philgeps.gov.ph/GEPSNONPILOT/Tender/SplashBidNoticeAbstractUI.aspx?menuIndex=3&amp;refID=7039433&amp;Result=3","7039433")</f>
        <v>0</v>
      </c>
      <c r="B7210" t="s">
        <v>1039</v>
      </c>
      <c r="C7210" t="s">
        <v>9942</v>
      </c>
      <c r="D7210" t="s">
        <v>16255</v>
      </c>
      <c r="E7210" t="s">
        <v>22640</v>
      </c>
      <c r="F7210" t="s">
        <v>28198</v>
      </c>
      <c r="G7210" t="s">
        <v>28205</v>
      </c>
      <c r="H7210" t="s">
        <v>28215</v>
      </c>
      <c r="I7210" t="s">
        <v>28228</v>
      </c>
      <c r="J7210" t="s">
        <v>32860</v>
      </c>
      <c r="K7210" t="s">
        <v>36809</v>
      </c>
      <c r="M7210" t="s">
        <v>38071</v>
      </c>
      <c r="N7210" t="s">
        <v>40436</v>
      </c>
      <c r="O7210" t="s">
        <v>40437</v>
      </c>
      <c r="P7210">
        <v>0</v>
      </c>
      <c r="Q7210">
        <v>0</v>
      </c>
      <c r="R7210" t="s">
        <v>40444</v>
      </c>
      <c r="S7210" t="s">
        <v>40676</v>
      </c>
      <c r="T7210" t="s">
        <v>42234</v>
      </c>
      <c r="U7210" t="s">
        <v>48697</v>
      </c>
      <c r="W7210" t="s">
        <v>38071</v>
      </c>
      <c r="X7210" t="s">
        <v>40445</v>
      </c>
    </row>
    <row r="7211" spans="1:24">
      <c r="A7211">
        <f>HYPERLINK("https://www.philgeps.gov.ph/GEPSNONPILOT/Tender/SplashBidNoticeAbstractUI.aspx?menuIndex=3&amp;refID=7039409&amp;Result=3","7039409")</f>
        <v>0</v>
      </c>
      <c r="B7211" t="s">
        <v>1288</v>
      </c>
      <c r="C7211" t="s">
        <v>9943</v>
      </c>
      <c r="D7211" t="s">
        <v>16227</v>
      </c>
      <c r="E7211" t="s">
        <v>22641</v>
      </c>
      <c r="F7211" t="s">
        <v>28200</v>
      </c>
      <c r="G7211" t="s">
        <v>28205</v>
      </c>
      <c r="H7211" t="s">
        <v>28215</v>
      </c>
      <c r="I7211" t="s">
        <v>28243</v>
      </c>
      <c r="J7211" t="s">
        <v>28921</v>
      </c>
      <c r="K7211" t="s">
        <v>36697</v>
      </c>
      <c r="M7211" t="s">
        <v>38341</v>
      </c>
      <c r="N7211" t="s">
        <v>40436</v>
      </c>
      <c r="O7211" t="s">
        <v>40437</v>
      </c>
      <c r="Q7211">
        <v>2</v>
      </c>
      <c r="R7211" t="s">
        <v>40444</v>
      </c>
      <c r="S7211" t="s">
        <v>40708</v>
      </c>
      <c r="T7211" t="s">
        <v>42444</v>
      </c>
      <c r="U7211" t="s">
        <v>48698</v>
      </c>
      <c r="W7211" t="s">
        <v>38341</v>
      </c>
      <c r="X7211" t="s">
        <v>40445</v>
      </c>
    </row>
    <row r="7212" spans="1:24">
      <c r="A7212">
        <f>HYPERLINK("https://www.philgeps.gov.ph/GEPSNONPILOT/Tender/SplashBidNoticeAbstractUI.aspx?menuIndex=3&amp;refID=7039408&amp;Result=3","7039408")</f>
        <v>0</v>
      </c>
      <c r="B7212" t="s">
        <v>469</v>
      </c>
      <c r="C7212" t="s">
        <v>9944</v>
      </c>
      <c r="D7212" t="s">
        <v>16235</v>
      </c>
      <c r="E7212" t="s">
        <v>22642</v>
      </c>
      <c r="F7212" t="s">
        <v>28198</v>
      </c>
      <c r="G7212" t="s">
        <v>28207</v>
      </c>
      <c r="H7212" t="s">
        <v>28215</v>
      </c>
      <c r="I7212" t="s">
        <v>28234</v>
      </c>
      <c r="J7212" t="s">
        <v>29531</v>
      </c>
      <c r="K7212" t="s">
        <v>36693</v>
      </c>
      <c r="M7212" t="s">
        <v>37454</v>
      </c>
      <c r="N7212" t="s">
        <v>40436</v>
      </c>
      <c r="O7212" t="s">
        <v>40437</v>
      </c>
      <c r="P7212">
        <v>0</v>
      </c>
      <c r="Q7212">
        <v>5</v>
      </c>
      <c r="R7212" t="s">
        <v>40444</v>
      </c>
      <c r="S7212" t="s">
        <v>40676</v>
      </c>
      <c r="T7212" t="s">
        <v>42185</v>
      </c>
      <c r="U7212" t="s">
        <v>43423</v>
      </c>
      <c r="W7212" t="s">
        <v>37454</v>
      </c>
      <c r="X7212" t="s">
        <v>40445</v>
      </c>
    </row>
    <row r="7213" spans="1:24">
      <c r="A7213">
        <f>HYPERLINK("https://www.philgeps.gov.ph/GEPSNONPILOT/Tender/SplashBidNoticeAbstractUI.aspx?menuIndex=3&amp;refID=7039449&amp;Result=3","7039449")</f>
        <v>0</v>
      </c>
      <c r="B7213" t="s">
        <v>1675</v>
      </c>
      <c r="C7213" t="s">
        <v>9945</v>
      </c>
      <c r="D7213" t="s">
        <v>16197</v>
      </c>
      <c r="E7213" t="s">
        <v>22643</v>
      </c>
      <c r="F7213" t="s">
        <v>28198</v>
      </c>
      <c r="G7213" t="s">
        <v>28205</v>
      </c>
      <c r="H7213" t="s">
        <v>28215</v>
      </c>
      <c r="I7213" t="s">
        <v>28265</v>
      </c>
      <c r="J7213" t="s">
        <v>32861</v>
      </c>
      <c r="K7213" t="s">
        <v>36689</v>
      </c>
      <c r="M7213" t="s">
        <v>38771</v>
      </c>
      <c r="N7213" t="s">
        <v>40436</v>
      </c>
      <c r="O7213" t="s">
        <v>40437</v>
      </c>
      <c r="P7213">
        <v>0</v>
      </c>
      <c r="Q7213">
        <v>1</v>
      </c>
      <c r="R7213" t="s">
        <v>40444</v>
      </c>
      <c r="S7213" t="s">
        <v>40676</v>
      </c>
      <c r="T7213" t="s">
        <v>42138</v>
      </c>
      <c r="U7213" t="s">
        <v>48699</v>
      </c>
      <c r="W7213" t="s">
        <v>38771</v>
      </c>
      <c r="X7213" t="s">
        <v>40445</v>
      </c>
    </row>
    <row r="7214" spans="1:24">
      <c r="A7214">
        <f>HYPERLINK("https://www.philgeps.gov.ph/GEPSNONPILOT/Tender/SplashBidNoticeAbstractUI.aspx?menuIndex=3&amp;refID=7039448&amp;Result=3","7039448")</f>
        <v>0</v>
      </c>
      <c r="B7214" t="s">
        <v>605</v>
      </c>
      <c r="C7214" t="s">
        <v>9946</v>
      </c>
      <c r="D7214" t="s">
        <v>16220</v>
      </c>
      <c r="E7214" t="s">
        <v>22644</v>
      </c>
      <c r="F7214" t="s">
        <v>28200</v>
      </c>
      <c r="G7214" t="s">
        <v>28207</v>
      </c>
      <c r="H7214" t="s">
        <v>28217</v>
      </c>
      <c r="I7214" t="s">
        <v>4168</v>
      </c>
      <c r="J7214" t="s">
        <v>30162</v>
      </c>
      <c r="K7214" t="s">
        <v>36688</v>
      </c>
      <c r="M7214" t="s">
        <v>37596</v>
      </c>
      <c r="N7214" t="s">
        <v>40436</v>
      </c>
      <c r="O7214" t="s">
        <v>40437</v>
      </c>
      <c r="P7214">
        <v>0</v>
      </c>
      <c r="Q7214">
        <v>0</v>
      </c>
      <c r="R7214" t="s">
        <v>40444</v>
      </c>
      <c r="S7214" t="s">
        <v>40676</v>
      </c>
      <c r="T7214" t="s">
        <v>42245</v>
      </c>
      <c r="U7214" t="s">
        <v>48700</v>
      </c>
      <c r="W7214" t="s">
        <v>37596</v>
      </c>
      <c r="X7214" t="s">
        <v>40445</v>
      </c>
    </row>
    <row r="7215" spans="1:24">
      <c r="A7215">
        <f>HYPERLINK("https://www.philgeps.gov.ph/GEPSNONPILOT/Tender/SplashBidNoticeAbstractUI.aspx?menuIndex=3&amp;refID=7039431&amp;Result=3","7039431")</f>
        <v>0</v>
      </c>
      <c r="B7215" t="s">
        <v>2246</v>
      </c>
      <c r="C7215" t="s">
        <v>9947</v>
      </c>
      <c r="D7215" t="s">
        <v>16274</v>
      </c>
      <c r="E7215" t="s">
        <v>21444</v>
      </c>
      <c r="F7215" t="s">
        <v>28198</v>
      </c>
      <c r="G7215" t="s">
        <v>28205</v>
      </c>
      <c r="H7215" t="s">
        <v>28214</v>
      </c>
      <c r="I7215" t="s">
        <v>3797</v>
      </c>
      <c r="J7215" t="s">
        <v>28379</v>
      </c>
      <c r="K7215" t="s">
        <v>36689</v>
      </c>
      <c r="M7215" t="s">
        <v>39416</v>
      </c>
      <c r="N7215" t="s">
        <v>40436</v>
      </c>
      <c r="O7215" t="s">
        <v>40437</v>
      </c>
      <c r="P7215">
        <v>0</v>
      </c>
      <c r="Q7215">
        <v>0</v>
      </c>
      <c r="R7215" t="s">
        <v>40444</v>
      </c>
      <c r="S7215" t="s">
        <v>40676</v>
      </c>
      <c r="T7215" t="s">
        <v>42145</v>
      </c>
      <c r="U7215" t="s">
        <v>48701</v>
      </c>
      <c r="W7215" t="s">
        <v>55511</v>
      </c>
      <c r="X7215" t="s">
        <v>40445</v>
      </c>
    </row>
    <row r="7216" spans="1:24">
      <c r="A7216">
        <f>HYPERLINK("https://www.philgeps.gov.ph/GEPSNONPILOT/Tender/SplashBidNoticeAbstractUI.aspx?menuIndex=3&amp;refID=7039445&amp;Result=3","7039445")</f>
        <v>0</v>
      </c>
      <c r="B7216" t="s">
        <v>1858</v>
      </c>
      <c r="C7216" t="s">
        <v>9948</v>
      </c>
      <c r="D7216" t="s">
        <v>16210</v>
      </c>
      <c r="E7216" t="s">
        <v>22645</v>
      </c>
      <c r="F7216" t="s">
        <v>28198</v>
      </c>
      <c r="G7216" t="s">
        <v>28205</v>
      </c>
      <c r="H7216" t="s">
        <v>28215</v>
      </c>
      <c r="I7216" t="s">
        <v>4200</v>
      </c>
      <c r="J7216" t="s">
        <v>32862</v>
      </c>
      <c r="K7216" t="s">
        <v>36688</v>
      </c>
      <c r="M7216" t="s">
        <v>38986</v>
      </c>
      <c r="N7216" t="s">
        <v>40436</v>
      </c>
      <c r="O7216" t="s">
        <v>40437</v>
      </c>
      <c r="P7216">
        <v>0</v>
      </c>
      <c r="Q7216">
        <v>2</v>
      </c>
      <c r="R7216" t="s">
        <v>40444</v>
      </c>
      <c r="S7216" t="s">
        <v>40676</v>
      </c>
      <c r="T7216" t="s">
        <v>42346</v>
      </c>
      <c r="U7216" t="s">
        <v>47431</v>
      </c>
      <c r="W7216" t="s">
        <v>38986</v>
      </c>
      <c r="X7216" t="s">
        <v>40445</v>
      </c>
    </row>
    <row r="7217" spans="1:24">
      <c r="A7217">
        <f>HYPERLINK("https://www.philgeps.gov.ph/GEPSNONPILOT/Tender/SplashBidNoticeAbstractUI.aspx?menuIndex=3&amp;refID=7039425&amp;Result=3","7039425")</f>
        <v>0</v>
      </c>
      <c r="B7217" t="s">
        <v>1996</v>
      </c>
      <c r="C7217" t="s">
        <v>9949</v>
      </c>
      <c r="D7217" t="s">
        <v>16261</v>
      </c>
      <c r="E7217" t="s">
        <v>22646</v>
      </c>
      <c r="F7217" t="s">
        <v>28198</v>
      </c>
      <c r="G7217" t="s">
        <v>28205</v>
      </c>
      <c r="H7217" t="s">
        <v>28216</v>
      </c>
      <c r="I7217" t="s">
        <v>28216</v>
      </c>
      <c r="J7217" t="s">
        <v>32863</v>
      </c>
      <c r="K7217" t="s">
        <v>36823</v>
      </c>
      <c r="M7217" t="s">
        <v>39134</v>
      </c>
      <c r="N7217" t="s">
        <v>40436</v>
      </c>
      <c r="O7217" t="s">
        <v>40437</v>
      </c>
      <c r="P7217">
        <v>0</v>
      </c>
      <c r="Q7217">
        <v>3</v>
      </c>
      <c r="R7217" t="s">
        <v>40444</v>
      </c>
      <c r="S7217" t="s">
        <v>40676</v>
      </c>
      <c r="T7217" t="s">
        <v>42158</v>
      </c>
      <c r="U7217" t="s">
        <v>48702</v>
      </c>
      <c r="V7217" t="s">
        <v>54528</v>
      </c>
      <c r="W7217" t="s">
        <v>39134</v>
      </c>
      <c r="X7217" t="s">
        <v>40445</v>
      </c>
    </row>
    <row r="7218" spans="1:24">
      <c r="A7218">
        <f>HYPERLINK("https://www.philgeps.gov.ph/GEPSNONPILOT/Tender/SplashBidNoticeAbstractUI.aspx?menuIndex=3&amp;refID=7039434&amp;Result=3","7039434")</f>
        <v>0</v>
      </c>
      <c r="B7218" t="s">
        <v>2233</v>
      </c>
      <c r="C7218" t="s">
        <v>9950</v>
      </c>
      <c r="D7218" t="s">
        <v>16248</v>
      </c>
      <c r="E7218" t="s">
        <v>22647</v>
      </c>
      <c r="F7218" t="s">
        <v>28198</v>
      </c>
      <c r="G7218" t="s">
        <v>28205</v>
      </c>
      <c r="H7218" t="s">
        <v>28215</v>
      </c>
      <c r="I7218" t="s">
        <v>5791</v>
      </c>
      <c r="J7218" t="s">
        <v>32864</v>
      </c>
      <c r="K7218" t="s">
        <v>36689</v>
      </c>
      <c r="M7218" t="s">
        <v>39401</v>
      </c>
      <c r="N7218" t="s">
        <v>40436</v>
      </c>
      <c r="O7218" t="s">
        <v>40437</v>
      </c>
      <c r="P7218">
        <v>0</v>
      </c>
      <c r="Q7218">
        <v>0</v>
      </c>
      <c r="R7218" t="s">
        <v>40444</v>
      </c>
      <c r="S7218" t="s">
        <v>40676</v>
      </c>
      <c r="T7218" t="s">
        <v>42233</v>
      </c>
      <c r="U7218" t="s">
        <v>48703</v>
      </c>
      <c r="W7218" t="s">
        <v>39401</v>
      </c>
      <c r="X7218" t="s">
        <v>40445</v>
      </c>
    </row>
    <row r="7219" spans="1:24">
      <c r="A7219">
        <f>HYPERLINK("https://www.philgeps.gov.ph/GEPSNONPILOT/Tender/SplashBidNoticeAbstractUI.aspx?menuIndex=3&amp;refID=7039454&amp;Result=3","7039454")</f>
        <v>0</v>
      </c>
      <c r="B7219" t="s">
        <v>2247</v>
      </c>
      <c r="C7219" t="s">
        <v>9951</v>
      </c>
      <c r="D7219" t="s">
        <v>16210</v>
      </c>
      <c r="E7219" t="s">
        <v>22648</v>
      </c>
      <c r="F7219" t="s">
        <v>28198</v>
      </c>
      <c r="G7219" t="s">
        <v>28205</v>
      </c>
      <c r="H7219" t="s">
        <v>28215</v>
      </c>
      <c r="I7219" t="s">
        <v>5100</v>
      </c>
      <c r="J7219" t="s">
        <v>32865</v>
      </c>
      <c r="K7219" t="s">
        <v>36701</v>
      </c>
      <c r="M7219" t="s">
        <v>39417</v>
      </c>
      <c r="N7219" t="s">
        <v>40436</v>
      </c>
      <c r="O7219" t="s">
        <v>40437</v>
      </c>
      <c r="P7219">
        <v>0</v>
      </c>
      <c r="Q7219">
        <v>0</v>
      </c>
      <c r="R7219" t="s">
        <v>40444</v>
      </c>
      <c r="S7219" t="s">
        <v>40676</v>
      </c>
      <c r="T7219" t="s">
        <v>42185</v>
      </c>
      <c r="U7219" t="s">
        <v>48704</v>
      </c>
      <c r="W7219" t="s">
        <v>39417</v>
      </c>
      <c r="X7219" t="s">
        <v>40445</v>
      </c>
    </row>
    <row r="7220" spans="1:24">
      <c r="A7220">
        <f>HYPERLINK("https://www.philgeps.gov.ph/GEPSNONPILOT/Tender/SplashBidNoticeAbstractUI.aspx?menuIndex=3&amp;refID=7039441&amp;Result=3","7039441")</f>
        <v>0</v>
      </c>
      <c r="B7220" t="s">
        <v>1157</v>
      </c>
      <c r="C7220" t="s">
        <v>9952</v>
      </c>
      <c r="D7220" t="s">
        <v>16193</v>
      </c>
      <c r="E7220" t="s">
        <v>22649</v>
      </c>
      <c r="F7220" t="s">
        <v>28198</v>
      </c>
      <c r="G7220" t="s">
        <v>28205</v>
      </c>
      <c r="H7220" t="s">
        <v>28215</v>
      </c>
      <c r="I7220" t="s">
        <v>4200</v>
      </c>
      <c r="J7220" t="s">
        <v>32866</v>
      </c>
      <c r="K7220" t="s">
        <v>36689</v>
      </c>
      <c r="M7220" t="s">
        <v>38197</v>
      </c>
      <c r="N7220" t="s">
        <v>40436</v>
      </c>
      <c r="O7220" t="s">
        <v>40437</v>
      </c>
      <c r="P7220">
        <v>0</v>
      </c>
      <c r="Q7220">
        <v>2</v>
      </c>
      <c r="R7220" t="s">
        <v>40444</v>
      </c>
      <c r="S7220" t="s">
        <v>40676</v>
      </c>
      <c r="T7220" t="s">
        <v>42113</v>
      </c>
      <c r="U7220" t="s">
        <v>48705</v>
      </c>
      <c r="W7220" t="s">
        <v>55484</v>
      </c>
      <c r="X7220" t="s">
        <v>40445</v>
      </c>
    </row>
    <row r="7221" spans="1:24">
      <c r="A7221">
        <f>HYPERLINK("https://www.philgeps.gov.ph/GEPSNONPILOT/Tender/SplashBidNoticeAbstractUI.aspx?menuIndex=3&amp;refID=7039485&amp;Result=3","7039485")</f>
        <v>0</v>
      </c>
      <c r="B7221" t="s">
        <v>2248</v>
      </c>
      <c r="C7221" t="s">
        <v>9953</v>
      </c>
      <c r="D7221" t="s">
        <v>16274</v>
      </c>
      <c r="E7221" t="s">
        <v>22650</v>
      </c>
      <c r="F7221" t="s">
        <v>28198</v>
      </c>
      <c r="G7221" t="s">
        <v>28205</v>
      </c>
      <c r="H7221" t="s">
        <v>28215</v>
      </c>
      <c r="I7221" t="s">
        <v>5082</v>
      </c>
      <c r="J7221" t="s">
        <v>29190</v>
      </c>
      <c r="K7221" t="s">
        <v>36707</v>
      </c>
      <c r="M7221" t="s">
        <v>39418</v>
      </c>
      <c r="N7221" t="s">
        <v>40436</v>
      </c>
      <c r="O7221" t="s">
        <v>40437</v>
      </c>
      <c r="P7221">
        <v>0</v>
      </c>
      <c r="Q7221">
        <v>0</v>
      </c>
      <c r="R7221" t="s">
        <v>40444</v>
      </c>
      <c r="S7221" t="s">
        <v>40676</v>
      </c>
      <c r="T7221" t="s">
        <v>42278</v>
      </c>
      <c r="U7221" t="s">
        <v>48706</v>
      </c>
      <c r="W7221" t="s">
        <v>39418</v>
      </c>
      <c r="X7221" t="s">
        <v>40445</v>
      </c>
    </row>
    <row r="7222" spans="1:24">
      <c r="A7222">
        <f>HYPERLINK("https://www.philgeps.gov.ph/GEPSNONPILOT/Tender/SplashBidNoticeAbstractUI.aspx?menuIndex=3&amp;refID=7039436&amp;Result=3","7039436")</f>
        <v>0</v>
      </c>
      <c r="B7222" t="s">
        <v>2249</v>
      </c>
      <c r="C7222" t="s">
        <v>9954</v>
      </c>
      <c r="D7222" t="s">
        <v>16241</v>
      </c>
      <c r="E7222" t="s">
        <v>22651</v>
      </c>
      <c r="F7222" t="s">
        <v>28198</v>
      </c>
      <c r="G7222" t="s">
        <v>28205</v>
      </c>
      <c r="H7222" t="s">
        <v>28214</v>
      </c>
      <c r="I7222" t="s">
        <v>3797</v>
      </c>
      <c r="J7222" t="s">
        <v>32867</v>
      </c>
      <c r="K7222" t="s">
        <v>36717</v>
      </c>
      <c r="M7222" t="s">
        <v>39419</v>
      </c>
      <c r="N7222" t="s">
        <v>40436</v>
      </c>
      <c r="O7222" t="s">
        <v>40437</v>
      </c>
      <c r="P7222">
        <v>0</v>
      </c>
      <c r="Q7222">
        <v>4</v>
      </c>
      <c r="R7222" t="s">
        <v>40444</v>
      </c>
      <c r="S7222" t="s">
        <v>40676</v>
      </c>
      <c r="T7222" t="s">
        <v>42390</v>
      </c>
      <c r="U7222" t="s">
        <v>48707</v>
      </c>
      <c r="W7222" t="s">
        <v>39419</v>
      </c>
      <c r="X7222" t="s">
        <v>40445</v>
      </c>
    </row>
    <row r="7223" spans="1:24">
      <c r="A7223">
        <f>HYPERLINK("https://www.philgeps.gov.ph/GEPSNONPILOT/Tender/SplashBidNoticeAbstractUI.aspx?menuIndex=3&amp;refID=7039424&amp;Result=3","7039424")</f>
        <v>0</v>
      </c>
      <c r="B7223" t="s">
        <v>2239</v>
      </c>
      <c r="C7223" t="s">
        <v>9955</v>
      </c>
      <c r="D7223" t="s">
        <v>16226</v>
      </c>
      <c r="E7223" t="s">
        <v>18088</v>
      </c>
      <c r="F7223" t="s">
        <v>28198</v>
      </c>
      <c r="G7223" t="s">
        <v>28207</v>
      </c>
      <c r="H7223" t="s">
        <v>28215</v>
      </c>
      <c r="I7223" t="s">
        <v>28250</v>
      </c>
      <c r="J7223" t="s">
        <v>32868</v>
      </c>
      <c r="K7223" t="s">
        <v>36701</v>
      </c>
      <c r="M7223" t="s">
        <v>39408</v>
      </c>
      <c r="N7223" t="s">
        <v>40436</v>
      </c>
      <c r="O7223" t="s">
        <v>40437</v>
      </c>
      <c r="P7223">
        <v>0</v>
      </c>
      <c r="Q7223">
        <v>1</v>
      </c>
      <c r="R7223" t="s">
        <v>40444</v>
      </c>
      <c r="S7223" t="s">
        <v>40676</v>
      </c>
      <c r="T7223" t="s">
        <v>42158</v>
      </c>
      <c r="U7223" t="s">
        <v>48708</v>
      </c>
      <c r="W7223" t="s">
        <v>55510</v>
      </c>
      <c r="X7223" t="s">
        <v>40445</v>
      </c>
    </row>
    <row r="7224" spans="1:24">
      <c r="A7224">
        <f>HYPERLINK("https://www.philgeps.gov.ph/GEPSNONPILOT/Tender/SplashBidNoticeAbstractUI.aspx?menuIndex=3&amp;refID=7039444&amp;Result=3","7039444")</f>
        <v>0</v>
      </c>
      <c r="B7224" t="s">
        <v>100</v>
      </c>
      <c r="C7224" t="s">
        <v>9956</v>
      </c>
      <c r="D7224" t="s">
        <v>16228</v>
      </c>
      <c r="E7224" t="s">
        <v>22652</v>
      </c>
      <c r="F7224" t="s">
        <v>28198</v>
      </c>
      <c r="G7224" t="s">
        <v>28205</v>
      </c>
      <c r="H7224" t="s">
        <v>28215</v>
      </c>
      <c r="I7224" t="s">
        <v>28234</v>
      </c>
      <c r="J7224" t="s">
        <v>32869</v>
      </c>
      <c r="K7224" t="s">
        <v>36701</v>
      </c>
      <c r="M7224" t="s">
        <v>37073</v>
      </c>
      <c r="N7224" t="s">
        <v>40436</v>
      </c>
      <c r="O7224" t="s">
        <v>40437</v>
      </c>
      <c r="P7224">
        <v>0</v>
      </c>
      <c r="Q7224">
        <v>1</v>
      </c>
      <c r="R7224" t="s">
        <v>40444</v>
      </c>
      <c r="S7224" t="s">
        <v>40676</v>
      </c>
      <c r="T7224" t="s">
        <v>42184</v>
      </c>
      <c r="U7224" t="s">
        <v>42767</v>
      </c>
      <c r="V7224" t="s">
        <v>53798</v>
      </c>
      <c r="W7224" t="s">
        <v>37073</v>
      </c>
      <c r="X7224" t="s">
        <v>40445</v>
      </c>
    </row>
    <row r="7225" spans="1:24">
      <c r="A7225">
        <f>HYPERLINK("https://www.philgeps.gov.ph/GEPSNONPILOT/Tender/SplashBidNoticeAbstractUI.aspx?menuIndex=3&amp;refID=7039432&amp;Result=3","7039432")</f>
        <v>0</v>
      </c>
      <c r="B7225" t="s">
        <v>1157</v>
      </c>
      <c r="C7225" t="s">
        <v>9957</v>
      </c>
      <c r="D7225" t="s">
        <v>16193</v>
      </c>
      <c r="E7225" t="s">
        <v>22653</v>
      </c>
      <c r="F7225" t="s">
        <v>28198</v>
      </c>
      <c r="G7225" t="s">
        <v>28205</v>
      </c>
      <c r="H7225" t="s">
        <v>28215</v>
      </c>
      <c r="I7225" t="s">
        <v>4200</v>
      </c>
      <c r="J7225" t="s">
        <v>32870</v>
      </c>
      <c r="K7225" t="s">
        <v>36689</v>
      </c>
      <c r="M7225" t="s">
        <v>38197</v>
      </c>
      <c r="N7225" t="s">
        <v>40436</v>
      </c>
      <c r="O7225" t="s">
        <v>40437</v>
      </c>
      <c r="P7225">
        <v>0</v>
      </c>
      <c r="Q7225">
        <v>1</v>
      </c>
      <c r="R7225" t="s">
        <v>40444</v>
      </c>
      <c r="S7225" t="s">
        <v>40676</v>
      </c>
      <c r="T7225" t="s">
        <v>42113</v>
      </c>
      <c r="U7225" t="s">
        <v>48709</v>
      </c>
      <c r="W7225" t="s">
        <v>55484</v>
      </c>
      <c r="X7225" t="s">
        <v>40445</v>
      </c>
    </row>
    <row r="7226" spans="1:24">
      <c r="A7226">
        <f>HYPERLINK("https://www.philgeps.gov.ph/GEPSNONPILOT/Tender/SplashBidNoticeAbstractUI.aspx?menuIndex=3&amp;refID=7039475&amp;Result=3","7039475")</f>
        <v>0</v>
      </c>
      <c r="B7226" t="s">
        <v>351</v>
      </c>
      <c r="C7226" t="s">
        <v>9958</v>
      </c>
      <c r="D7226" t="s">
        <v>16258</v>
      </c>
      <c r="E7226" t="s">
        <v>22654</v>
      </c>
      <c r="F7226" t="s">
        <v>28198</v>
      </c>
      <c r="G7226" t="s">
        <v>28205</v>
      </c>
      <c r="H7226" t="s">
        <v>28215</v>
      </c>
      <c r="I7226" t="s">
        <v>5082</v>
      </c>
      <c r="J7226" t="s">
        <v>32871</v>
      </c>
      <c r="K7226" t="s">
        <v>36706</v>
      </c>
      <c r="M7226" t="s">
        <v>37330</v>
      </c>
      <c r="N7226" t="s">
        <v>40436</v>
      </c>
      <c r="O7226" t="s">
        <v>40437</v>
      </c>
      <c r="P7226">
        <v>0</v>
      </c>
      <c r="Q7226">
        <v>0</v>
      </c>
      <c r="R7226" t="s">
        <v>40444</v>
      </c>
      <c r="S7226" t="s">
        <v>40676</v>
      </c>
      <c r="T7226" t="s">
        <v>42136</v>
      </c>
      <c r="U7226" t="s">
        <v>48710</v>
      </c>
      <c r="W7226" t="s">
        <v>37330</v>
      </c>
      <c r="X7226" t="s">
        <v>40445</v>
      </c>
    </row>
    <row r="7227" spans="1:24">
      <c r="A7227">
        <f>HYPERLINK("https://www.philgeps.gov.ph/GEPSNONPILOT/Tender/SplashBidNoticeAbstractUI.aspx?menuIndex=3&amp;refID=7039480&amp;Result=3","7039480")</f>
        <v>0</v>
      </c>
      <c r="B7227" t="s">
        <v>1691</v>
      </c>
      <c r="C7227" t="s">
        <v>9959</v>
      </c>
      <c r="D7227" t="s">
        <v>16188</v>
      </c>
      <c r="E7227" t="s">
        <v>22655</v>
      </c>
      <c r="F7227" t="s">
        <v>28198</v>
      </c>
      <c r="G7227" t="s">
        <v>28205</v>
      </c>
      <c r="H7227" t="s">
        <v>28215</v>
      </c>
      <c r="I7227" t="s">
        <v>28258</v>
      </c>
      <c r="J7227" t="s">
        <v>32872</v>
      </c>
      <c r="K7227" t="s">
        <v>36701</v>
      </c>
      <c r="M7227" t="s">
        <v>38791</v>
      </c>
      <c r="N7227" t="s">
        <v>40436</v>
      </c>
      <c r="O7227" t="s">
        <v>40437</v>
      </c>
      <c r="P7227">
        <v>0</v>
      </c>
      <c r="Q7227">
        <v>8</v>
      </c>
      <c r="R7227" t="s">
        <v>40444</v>
      </c>
      <c r="S7227" t="s">
        <v>40676</v>
      </c>
      <c r="T7227" t="s">
        <v>42107</v>
      </c>
      <c r="U7227" t="s">
        <v>48711</v>
      </c>
      <c r="W7227" t="s">
        <v>38791</v>
      </c>
      <c r="X7227" t="s">
        <v>40445</v>
      </c>
    </row>
    <row r="7228" spans="1:24">
      <c r="A7228">
        <f>HYPERLINK("https://www.philgeps.gov.ph/GEPSNONPILOT/Tender/SplashBidNoticeAbstractUI.aspx?menuIndex=3&amp;refID=7039418&amp;Result=3","7039418")</f>
        <v>0</v>
      </c>
      <c r="B7228" t="s">
        <v>1157</v>
      </c>
      <c r="C7228" t="s">
        <v>9960</v>
      </c>
      <c r="D7228" t="s">
        <v>16193</v>
      </c>
      <c r="E7228" t="s">
        <v>22656</v>
      </c>
      <c r="F7228" t="s">
        <v>28198</v>
      </c>
      <c r="G7228" t="s">
        <v>28205</v>
      </c>
      <c r="H7228" t="s">
        <v>28215</v>
      </c>
      <c r="I7228" t="s">
        <v>4200</v>
      </c>
      <c r="J7228" t="s">
        <v>32873</v>
      </c>
      <c r="K7228" t="s">
        <v>36689</v>
      </c>
      <c r="M7228" t="s">
        <v>38197</v>
      </c>
      <c r="N7228" t="s">
        <v>40436</v>
      </c>
      <c r="O7228" t="s">
        <v>40437</v>
      </c>
      <c r="P7228">
        <v>0</v>
      </c>
      <c r="Q7228">
        <v>0</v>
      </c>
      <c r="R7228" t="s">
        <v>40444</v>
      </c>
      <c r="S7228" t="s">
        <v>40676</v>
      </c>
      <c r="T7228" t="s">
        <v>42113</v>
      </c>
      <c r="U7228" t="s">
        <v>48712</v>
      </c>
      <c r="W7228" t="s">
        <v>55484</v>
      </c>
      <c r="X7228" t="s">
        <v>40445</v>
      </c>
    </row>
    <row r="7229" spans="1:24">
      <c r="A7229">
        <f>HYPERLINK("https://www.philgeps.gov.ph/GEPSNONPILOT/Tender/SplashBidNoticeAbstractUI.aspx?menuIndex=3&amp;refID=7039478&amp;Result=3","7039478")</f>
        <v>0</v>
      </c>
      <c r="B7229" t="s">
        <v>1858</v>
      </c>
      <c r="C7229" t="s">
        <v>9961</v>
      </c>
      <c r="D7229" t="s">
        <v>16210</v>
      </c>
      <c r="E7229" t="s">
        <v>22657</v>
      </c>
      <c r="F7229" t="s">
        <v>28198</v>
      </c>
      <c r="G7229" t="s">
        <v>28205</v>
      </c>
      <c r="H7229" t="s">
        <v>28215</v>
      </c>
      <c r="I7229" t="s">
        <v>5082</v>
      </c>
      <c r="J7229" t="s">
        <v>28576</v>
      </c>
      <c r="K7229" t="s">
        <v>36688</v>
      </c>
      <c r="M7229" t="s">
        <v>38986</v>
      </c>
      <c r="N7229" t="s">
        <v>40436</v>
      </c>
      <c r="O7229" t="s">
        <v>40437</v>
      </c>
      <c r="P7229">
        <v>0</v>
      </c>
      <c r="Q7229">
        <v>1</v>
      </c>
      <c r="R7229" t="s">
        <v>40444</v>
      </c>
      <c r="S7229" t="s">
        <v>40676</v>
      </c>
      <c r="T7229" t="s">
        <v>42346</v>
      </c>
      <c r="U7229" t="s">
        <v>48694</v>
      </c>
      <c r="W7229" t="s">
        <v>38986</v>
      </c>
      <c r="X7229" t="s">
        <v>40445</v>
      </c>
    </row>
    <row r="7230" spans="1:24">
      <c r="A7230">
        <f>HYPERLINK("https://www.philgeps.gov.ph/GEPSNONPILOT/Tender/SplashBidNoticeAbstractUI.aspx?menuIndex=3&amp;refID=7039471&amp;Result=3","7039471")</f>
        <v>0</v>
      </c>
      <c r="B7230" t="s">
        <v>1039</v>
      </c>
      <c r="C7230" t="s">
        <v>9962</v>
      </c>
      <c r="D7230" t="s">
        <v>16255</v>
      </c>
      <c r="E7230" t="s">
        <v>22658</v>
      </c>
      <c r="F7230" t="s">
        <v>28198</v>
      </c>
      <c r="G7230" t="s">
        <v>28205</v>
      </c>
      <c r="H7230" t="s">
        <v>28215</v>
      </c>
      <c r="I7230" t="s">
        <v>5082</v>
      </c>
      <c r="J7230" t="s">
        <v>32874</v>
      </c>
      <c r="K7230" t="s">
        <v>36701</v>
      </c>
      <c r="M7230" t="s">
        <v>38071</v>
      </c>
      <c r="N7230" t="s">
        <v>40436</v>
      </c>
      <c r="O7230" t="s">
        <v>40437</v>
      </c>
      <c r="P7230">
        <v>0</v>
      </c>
      <c r="Q7230">
        <v>3</v>
      </c>
      <c r="R7230" t="s">
        <v>40444</v>
      </c>
      <c r="S7230" t="s">
        <v>40676</v>
      </c>
      <c r="T7230" t="s">
        <v>42233</v>
      </c>
      <c r="U7230" t="s">
        <v>48713</v>
      </c>
      <c r="W7230" t="s">
        <v>38071</v>
      </c>
      <c r="X7230" t="s">
        <v>40445</v>
      </c>
    </row>
    <row r="7231" spans="1:24">
      <c r="A7231">
        <f>HYPERLINK("https://www.philgeps.gov.ph/GEPSNONPILOT/Tender/SplashBidNoticeAbstractUI.aspx?menuIndex=3&amp;refID=7039483&amp;Result=3","7039483")</f>
        <v>0</v>
      </c>
      <c r="B7231" t="s">
        <v>100</v>
      </c>
      <c r="C7231" t="s">
        <v>9963</v>
      </c>
      <c r="D7231" t="s">
        <v>16228</v>
      </c>
      <c r="E7231" t="s">
        <v>22659</v>
      </c>
      <c r="F7231" t="s">
        <v>28198</v>
      </c>
      <c r="G7231" t="s">
        <v>28205</v>
      </c>
      <c r="H7231" t="s">
        <v>28215</v>
      </c>
      <c r="I7231" t="s">
        <v>28227</v>
      </c>
      <c r="J7231" t="s">
        <v>28506</v>
      </c>
      <c r="K7231" t="s">
        <v>36701</v>
      </c>
      <c r="M7231" t="s">
        <v>37073</v>
      </c>
      <c r="N7231" t="s">
        <v>40436</v>
      </c>
      <c r="O7231" t="s">
        <v>40437</v>
      </c>
      <c r="P7231">
        <v>0</v>
      </c>
      <c r="Q7231">
        <v>0</v>
      </c>
      <c r="R7231" t="s">
        <v>40444</v>
      </c>
      <c r="S7231" t="s">
        <v>40676</v>
      </c>
      <c r="T7231" t="s">
        <v>42184</v>
      </c>
      <c r="U7231" t="s">
        <v>42767</v>
      </c>
      <c r="V7231" t="s">
        <v>53798</v>
      </c>
      <c r="W7231" t="s">
        <v>37073</v>
      </c>
      <c r="X7231" t="s">
        <v>40445</v>
      </c>
    </row>
    <row r="7232" spans="1:24">
      <c r="A7232">
        <f>HYPERLINK("https://www.philgeps.gov.ph/GEPSNONPILOT/Tender/SplashBidNoticeAbstractUI.aspx?menuIndex=3&amp;refID=7039505&amp;Result=3","7039505")</f>
        <v>0</v>
      </c>
      <c r="B7232" t="s">
        <v>1264</v>
      </c>
      <c r="C7232" t="s">
        <v>9964</v>
      </c>
      <c r="D7232" t="s">
        <v>16209</v>
      </c>
      <c r="E7232" t="s">
        <v>22660</v>
      </c>
      <c r="F7232" t="s">
        <v>28198</v>
      </c>
      <c r="G7232" t="s">
        <v>28205</v>
      </c>
      <c r="H7232" t="s">
        <v>28214</v>
      </c>
      <c r="I7232" t="s">
        <v>3797</v>
      </c>
      <c r="J7232" t="s">
        <v>32875</v>
      </c>
      <c r="K7232" t="s">
        <v>36717</v>
      </c>
      <c r="M7232" t="s">
        <v>38314</v>
      </c>
      <c r="N7232" t="s">
        <v>40436</v>
      </c>
      <c r="O7232" t="s">
        <v>40437</v>
      </c>
      <c r="P7232">
        <v>0</v>
      </c>
      <c r="Q7232">
        <v>4</v>
      </c>
      <c r="R7232" t="s">
        <v>40444</v>
      </c>
      <c r="S7232" t="s">
        <v>40676</v>
      </c>
      <c r="T7232" t="s">
        <v>42195</v>
      </c>
      <c r="U7232" t="s">
        <v>48714</v>
      </c>
      <c r="W7232" t="s">
        <v>38314</v>
      </c>
      <c r="X7232" t="s">
        <v>40445</v>
      </c>
    </row>
    <row r="7233" spans="1:24">
      <c r="A7233">
        <f>HYPERLINK("https://www.philgeps.gov.ph/GEPSNONPILOT/Tender/SplashBidNoticeAbstractUI.aspx?menuIndex=3&amp;refID=7039507&amp;Result=3","7039507")</f>
        <v>0</v>
      </c>
      <c r="B7233" t="s">
        <v>2250</v>
      </c>
      <c r="C7233" t="s">
        <v>9965</v>
      </c>
      <c r="D7233" t="s">
        <v>16195</v>
      </c>
      <c r="E7233" t="s">
        <v>17417</v>
      </c>
      <c r="F7233" t="s">
        <v>28198</v>
      </c>
      <c r="G7233" t="s">
        <v>28205</v>
      </c>
      <c r="H7233" t="s">
        <v>28214</v>
      </c>
      <c r="I7233" t="s">
        <v>3797</v>
      </c>
      <c r="J7233" t="s">
        <v>32876</v>
      </c>
      <c r="K7233" t="s">
        <v>36706</v>
      </c>
      <c r="M7233" t="s">
        <v>39420</v>
      </c>
      <c r="N7233" t="s">
        <v>40436</v>
      </c>
      <c r="O7233" t="s">
        <v>40437</v>
      </c>
      <c r="P7233">
        <v>0</v>
      </c>
      <c r="Q7233">
        <v>1</v>
      </c>
      <c r="R7233" t="s">
        <v>40444</v>
      </c>
      <c r="S7233" t="s">
        <v>40676</v>
      </c>
      <c r="T7233" t="s">
        <v>42275</v>
      </c>
      <c r="U7233" t="s">
        <v>48715</v>
      </c>
      <c r="V7233" t="s">
        <v>54529</v>
      </c>
      <c r="W7233" t="s">
        <v>39420</v>
      </c>
      <c r="X7233" t="s">
        <v>40445</v>
      </c>
    </row>
    <row r="7234" spans="1:24">
      <c r="A7234">
        <f>HYPERLINK("https://www.philgeps.gov.ph/GEPSNONPILOT/Tender/SplashBidNoticeAbstractUI.aspx?menuIndex=3&amp;refID=7039504&amp;Result=3","7039504")</f>
        <v>0</v>
      </c>
      <c r="B7234" t="s">
        <v>1448</v>
      </c>
      <c r="C7234" t="s">
        <v>9966</v>
      </c>
      <c r="D7234" t="s">
        <v>16271</v>
      </c>
      <c r="E7234" t="s">
        <v>22661</v>
      </c>
      <c r="F7234" t="s">
        <v>28198</v>
      </c>
      <c r="G7234" t="s">
        <v>28205</v>
      </c>
      <c r="H7234" t="s">
        <v>28215</v>
      </c>
      <c r="I7234" t="s">
        <v>5100</v>
      </c>
      <c r="J7234" t="s">
        <v>28699</v>
      </c>
      <c r="K7234" t="s">
        <v>36696</v>
      </c>
      <c r="M7234" t="s">
        <v>38515</v>
      </c>
      <c r="N7234" t="s">
        <v>40436</v>
      </c>
      <c r="O7234" t="s">
        <v>40437</v>
      </c>
      <c r="P7234">
        <v>0</v>
      </c>
      <c r="Q7234">
        <v>0</v>
      </c>
      <c r="R7234" t="s">
        <v>40444</v>
      </c>
      <c r="S7234" t="s">
        <v>40676</v>
      </c>
      <c r="T7234" t="s">
        <v>42112</v>
      </c>
      <c r="U7234" t="s">
        <v>48716</v>
      </c>
      <c r="W7234" t="s">
        <v>38515</v>
      </c>
      <c r="X7234" t="s">
        <v>40445</v>
      </c>
    </row>
    <row r="7235" spans="1:24">
      <c r="A7235">
        <f>HYPERLINK("https://www.philgeps.gov.ph/GEPSNONPILOT/Tender/SplashBidNoticeAbstractUI.aspx?menuIndex=3&amp;refID=7039494&amp;Result=3","7039494")</f>
        <v>0</v>
      </c>
      <c r="B7235" t="s">
        <v>2246</v>
      </c>
      <c r="C7235" t="s">
        <v>9967</v>
      </c>
      <c r="D7235" t="s">
        <v>16274</v>
      </c>
      <c r="E7235" t="s">
        <v>22662</v>
      </c>
      <c r="F7235" t="s">
        <v>28198</v>
      </c>
      <c r="G7235" t="s">
        <v>28205</v>
      </c>
      <c r="H7235" t="s">
        <v>28214</v>
      </c>
      <c r="I7235" t="s">
        <v>3797</v>
      </c>
      <c r="J7235" t="s">
        <v>29113</v>
      </c>
      <c r="K7235" t="s">
        <v>36689</v>
      </c>
      <c r="M7235" t="s">
        <v>39416</v>
      </c>
      <c r="N7235" t="s">
        <v>40436</v>
      </c>
      <c r="O7235" t="s">
        <v>40437</v>
      </c>
      <c r="P7235">
        <v>0</v>
      </c>
      <c r="Q7235">
        <v>0</v>
      </c>
      <c r="R7235" t="s">
        <v>40444</v>
      </c>
      <c r="S7235" t="s">
        <v>40676</v>
      </c>
      <c r="T7235" t="s">
        <v>42236</v>
      </c>
      <c r="U7235" t="s">
        <v>48717</v>
      </c>
      <c r="W7235" t="s">
        <v>55511</v>
      </c>
      <c r="X7235" t="s">
        <v>40445</v>
      </c>
    </row>
    <row r="7236" spans="1:24">
      <c r="A7236">
        <f>HYPERLINK("https://www.philgeps.gov.ph/GEPSNONPILOT/Tender/SplashBidNoticeAbstractUI.aspx?menuIndex=3&amp;refID=7039470&amp;Result=3","7039470")</f>
        <v>0</v>
      </c>
      <c r="B7236" t="s">
        <v>2235</v>
      </c>
      <c r="C7236" t="s">
        <v>9968</v>
      </c>
      <c r="D7236" t="s">
        <v>16246</v>
      </c>
      <c r="E7236" t="s">
        <v>19182</v>
      </c>
      <c r="F7236" t="s">
        <v>28198</v>
      </c>
      <c r="G7236" t="s">
        <v>28205</v>
      </c>
      <c r="H7236" t="s">
        <v>28215</v>
      </c>
      <c r="I7236" t="s">
        <v>4222</v>
      </c>
      <c r="J7236" t="s">
        <v>28352</v>
      </c>
      <c r="K7236" t="s">
        <v>36689</v>
      </c>
      <c r="M7236" t="s">
        <v>39404</v>
      </c>
      <c r="N7236" t="s">
        <v>40436</v>
      </c>
      <c r="O7236" t="s">
        <v>40437</v>
      </c>
      <c r="P7236">
        <v>0</v>
      </c>
      <c r="Q7236">
        <v>0</v>
      </c>
      <c r="R7236" t="s">
        <v>40444</v>
      </c>
      <c r="S7236" t="s">
        <v>40676</v>
      </c>
      <c r="T7236" t="s">
        <v>42184</v>
      </c>
      <c r="U7236" t="s">
        <v>48718</v>
      </c>
      <c r="V7236" t="s">
        <v>54522</v>
      </c>
      <c r="W7236" t="s">
        <v>39404</v>
      </c>
      <c r="X7236" t="s">
        <v>40445</v>
      </c>
    </row>
    <row r="7237" spans="1:24">
      <c r="A7237">
        <f>HYPERLINK("https://www.philgeps.gov.ph/GEPSNONPILOT/Tender/SplashBidNoticeAbstractUI.aspx?menuIndex=3&amp;refID=7039466&amp;Result=3","7039466")</f>
        <v>0</v>
      </c>
      <c r="B7237" t="s">
        <v>1448</v>
      </c>
      <c r="C7237" t="s">
        <v>9969</v>
      </c>
      <c r="D7237" t="s">
        <v>16271</v>
      </c>
      <c r="E7237" t="s">
        <v>22663</v>
      </c>
      <c r="F7237" t="s">
        <v>28198</v>
      </c>
      <c r="G7237" t="s">
        <v>28205</v>
      </c>
      <c r="H7237" t="s">
        <v>28215</v>
      </c>
      <c r="I7237" t="s">
        <v>8870</v>
      </c>
      <c r="J7237" t="s">
        <v>28918</v>
      </c>
      <c r="K7237" t="s">
        <v>36696</v>
      </c>
      <c r="M7237" t="s">
        <v>38515</v>
      </c>
      <c r="N7237" t="s">
        <v>40436</v>
      </c>
      <c r="O7237" t="s">
        <v>40437</v>
      </c>
      <c r="P7237">
        <v>0</v>
      </c>
      <c r="Q7237">
        <v>0</v>
      </c>
      <c r="R7237" t="s">
        <v>40444</v>
      </c>
      <c r="S7237" t="s">
        <v>40676</v>
      </c>
      <c r="T7237" t="s">
        <v>42112</v>
      </c>
      <c r="U7237" t="s">
        <v>48719</v>
      </c>
      <c r="W7237" t="s">
        <v>38515</v>
      </c>
      <c r="X7237" t="s">
        <v>40445</v>
      </c>
    </row>
    <row r="7238" spans="1:24">
      <c r="A7238">
        <f>HYPERLINK("https://www.philgeps.gov.ph/GEPSNONPILOT/Tender/SplashBidNoticeAbstractUI.aspx?menuIndex=3&amp;refID=7039460&amp;Result=3","7039460")</f>
        <v>0</v>
      </c>
      <c r="B7238" t="s">
        <v>1858</v>
      </c>
      <c r="C7238" t="s">
        <v>9970</v>
      </c>
      <c r="D7238" t="s">
        <v>16210</v>
      </c>
      <c r="E7238" t="s">
        <v>22664</v>
      </c>
      <c r="F7238" t="s">
        <v>28198</v>
      </c>
      <c r="G7238" t="s">
        <v>28205</v>
      </c>
      <c r="H7238" t="s">
        <v>28215</v>
      </c>
      <c r="I7238" t="s">
        <v>5791</v>
      </c>
      <c r="J7238" t="s">
        <v>29190</v>
      </c>
      <c r="K7238" t="s">
        <v>36688</v>
      </c>
      <c r="M7238" t="s">
        <v>38986</v>
      </c>
      <c r="N7238" t="s">
        <v>40436</v>
      </c>
      <c r="O7238" t="s">
        <v>40437</v>
      </c>
      <c r="P7238">
        <v>0</v>
      </c>
      <c r="Q7238">
        <v>2</v>
      </c>
      <c r="R7238" t="s">
        <v>40444</v>
      </c>
      <c r="S7238" t="s">
        <v>40676</v>
      </c>
      <c r="T7238" t="s">
        <v>42279</v>
      </c>
      <c r="U7238" t="s">
        <v>48720</v>
      </c>
      <c r="W7238" t="s">
        <v>38986</v>
      </c>
      <c r="X7238" t="s">
        <v>40445</v>
      </c>
    </row>
    <row r="7239" spans="1:24">
      <c r="A7239">
        <f>HYPERLINK("https://www.philgeps.gov.ph/GEPSNONPILOT/Tender/SplashBidNoticeAbstractUI.aspx?menuIndex=3&amp;refID=7039491&amp;Result=3","7039491")</f>
        <v>0</v>
      </c>
      <c r="B7239" t="s">
        <v>751</v>
      </c>
      <c r="C7239" t="s">
        <v>9971</v>
      </c>
      <c r="D7239" t="s">
        <v>16187</v>
      </c>
      <c r="E7239" t="s">
        <v>9971</v>
      </c>
      <c r="F7239" t="s">
        <v>28198</v>
      </c>
      <c r="G7239" t="s">
        <v>28205</v>
      </c>
      <c r="H7239" t="s">
        <v>28214</v>
      </c>
      <c r="I7239" t="s">
        <v>3797</v>
      </c>
      <c r="J7239" t="s">
        <v>28818</v>
      </c>
      <c r="K7239" t="s">
        <v>36689</v>
      </c>
      <c r="M7239" t="s">
        <v>37754</v>
      </c>
      <c r="N7239" t="s">
        <v>40436</v>
      </c>
      <c r="O7239" t="s">
        <v>40437</v>
      </c>
      <c r="P7239">
        <v>0</v>
      </c>
      <c r="Q7239">
        <v>0</v>
      </c>
      <c r="R7239" t="s">
        <v>40444</v>
      </c>
      <c r="S7239" t="s">
        <v>40676</v>
      </c>
      <c r="T7239" t="s">
        <v>42245</v>
      </c>
      <c r="U7239" t="s">
        <v>48721</v>
      </c>
      <c r="W7239" t="s">
        <v>37754</v>
      </c>
      <c r="X7239" t="s">
        <v>40445</v>
      </c>
    </row>
    <row r="7240" spans="1:24">
      <c r="A7240">
        <f>HYPERLINK("https://www.philgeps.gov.ph/GEPSNONPILOT/Tender/SplashBidNoticeAbstractUI.aspx?menuIndex=3&amp;refID=7039469&amp;Result=3","7039469")</f>
        <v>0</v>
      </c>
      <c r="B7240" t="s">
        <v>100</v>
      </c>
      <c r="C7240" t="s">
        <v>9972</v>
      </c>
      <c r="D7240" t="s">
        <v>16228</v>
      </c>
      <c r="E7240" t="s">
        <v>22665</v>
      </c>
      <c r="F7240" t="s">
        <v>28198</v>
      </c>
      <c r="G7240" t="s">
        <v>28205</v>
      </c>
      <c r="H7240" t="s">
        <v>28215</v>
      </c>
      <c r="I7240" t="s">
        <v>4505</v>
      </c>
      <c r="J7240" t="s">
        <v>28941</v>
      </c>
      <c r="K7240" t="s">
        <v>36701</v>
      </c>
      <c r="M7240" t="s">
        <v>37073</v>
      </c>
      <c r="N7240" t="s">
        <v>40436</v>
      </c>
      <c r="O7240" t="s">
        <v>40437</v>
      </c>
      <c r="P7240">
        <v>0</v>
      </c>
      <c r="Q7240">
        <v>1</v>
      </c>
      <c r="R7240" t="s">
        <v>40444</v>
      </c>
      <c r="S7240" t="s">
        <v>40676</v>
      </c>
      <c r="T7240" t="s">
        <v>42184</v>
      </c>
      <c r="U7240" t="s">
        <v>42767</v>
      </c>
      <c r="V7240" t="s">
        <v>53798</v>
      </c>
      <c r="W7240" t="s">
        <v>37073</v>
      </c>
      <c r="X7240" t="s">
        <v>40445</v>
      </c>
    </row>
    <row r="7241" spans="1:24">
      <c r="A7241">
        <f>HYPERLINK("https://www.philgeps.gov.ph/GEPSNONPILOT/Tender/SplashBidNoticeAbstractUI.aspx?menuIndex=3&amp;refID=7039456&amp;Result=3","7039456")</f>
        <v>0</v>
      </c>
      <c r="B7241" t="s">
        <v>2251</v>
      </c>
      <c r="C7241" t="s">
        <v>9973</v>
      </c>
      <c r="D7241" t="s">
        <v>16203</v>
      </c>
      <c r="E7241" t="s">
        <v>22666</v>
      </c>
      <c r="F7241" t="s">
        <v>28198</v>
      </c>
      <c r="G7241" t="s">
        <v>28205</v>
      </c>
      <c r="H7241" t="s">
        <v>28214</v>
      </c>
      <c r="I7241" t="s">
        <v>3797</v>
      </c>
      <c r="J7241" t="s">
        <v>32877</v>
      </c>
      <c r="K7241" t="s">
        <v>36697</v>
      </c>
      <c r="M7241" t="s">
        <v>39421</v>
      </c>
      <c r="N7241" t="s">
        <v>40436</v>
      </c>
      <c r="O7241" t="s">
        <v>40437</v>
      </c>
      <c r="P7241">
        <v>0</v>
      </c>
      <c r="Q7241">
        <v>3</v>
      </c>
      <c r="R7241" t="s">
        <v>40444</v>
      </c>
      <c r="S7241" t="s">
        <v>40676</v>
      </c>
      <c r="T7241" t="s">
        <v>42168</v>
      </c>
      <c r="U7241" t="s">
        <v>48722</v>
      </c>
      <c r="V7241" t="s">
        <v>54530</v>
      </c>
      <c r="W7241" t="s">
        <v>39421</v>
      </c>
      <c r="X7241" t="s">
        <v>40445</v>
      </c>
    </row>
    <row r="7242" spans="1:24">
      <c r="A7242">
        <f>HYPERLINK("https://www.philgeps.gov.ph/GEPSNONPILOT/Tender/SplashBidNoticeAbstractUI.aspx?menuIndex=3&amp;refID=7039532&amp;Result=3","7039532")</f>
        <v>0</v>
      </c>
      <c r="B7242" t="s">
        <v>1039</v>
      </c>
      <c r="C7242" t="s">
        <v>9974</v>
      </c>
      <c r="D7242" t="s">
        <v>16255</v>
      </c>
      <c r="E7242" t="s">
        <v>22667</v>
      </c>
      <c r="F7242" t="s">
        <v>28198</v>
      </c>
      <c r="G7242" t="s">
        <v>28205</v>
      </c>
      <c r="H7242" t="s">
        <v>28215</v>
      </c>
      <c r="I7242" t="s">
        <v>4168</v>
      </c>
      <c r="J7242" t="s">
        <v>28589</v>
      </c>
      <c r="K7242" t="s">
        <v>36701</v>
      </c>
      <c r="M7242" t="s">
        <v>38071</v>
      </c>
      <c r="N7242" t="s">
        <v>40436</v>
      </c>
      <c r="O7242" t="s">
        <v>40437</v>
      </c>
      <c r="P7242">
        <v>0</v>
      </c>
      <c r="Q7242">
        <v>1</v>
      </c>
      <c r="R7242" t="s">
        <v>40444</v>
      </c>
      <c r="S7242" t="s">
        <v>40676</v>
      </c>
      <c r="T7242" t="s">
        <v>42234</v>
      </c>
      <c r="U7242" t="s">
        <v>48723</v>
      </c>
      <c r="W7242" t="s">
        <v>38071</v>
      </c>
      <c r="X7242" t="s">
        <v>40445</v>
      </c>
    </row>
    <row r="7243" spans="1:24">
      <c r="A7243">
        <f>HYPERLINK("https://www.philgeps.gov.ph/GEPSNONPILOT/Tender/SplashBidNoticeAbstractUI.aspx?menuIndex=3&amp;refID=7039533&amp;Result=3","7039533")</f>
        <v>0</v>
      </c>
      <c r="B7243" t="s">
        <v>321</v>
      </c>
      <c r="C7243" t="s">
        <v>7467</v>
      </c>
      <c r="D7243" t="s">
        <v>16223</v>
      </c>
      <c r="E7243" t="s">
        <v>22668</v>
      </c>
      <c r="F7243" t="s">
        <v>28198</v>
      </c>
      <c r="G7243" t="s">
        <v>28205</v>
      </c>
      <c r="H7243" t="s">
        <v>28215</v>
      </c>
      <c r="I7243" t="s">
        <v>4168</v>
      </c>
      <c r="J7243" t="s">
        <v>28406</v>
      </c>
      <c r="K7243" t="s">
        <v>36707</v>
      </c>
      <c r="M7243" t="s">
        <v>37299</v>
      </c>
      <c r="N7243" t="s">
        <v>40436</v>
      </c>
      <c r="O7243" t="s">
        <v>40437</v>
      </c>
      <c r="P7243">
        <v>0</v>
      </c>
      <c r="Q7243">
        <v>0</v>
      </c>
      <c r="R7243" t="s">
        <v>40444</v>
      </c>
      <c r="S7243" t="s">
        <v>40676</v>
      </c>
      <c r="T7243" t="s">
        <v>42131</v>
      </c>
      <c r="U7243" t="s">
        <v>48724</v>
      </c>
      <c r="V7243" t="s">
        <v>54531</v>
      </c>
      <c r="W7243" t="s">
        <v>37299</v>
      </c>
      <c r="X7243" t="s">
        <v>40445</v>
      </c>
    </row>
    <row r="7244" spans="1:24">
      <c r="A7244">
        <f>HYPERLINK("https://www.philgeps.gov.ph/GEPSNONPILOT/Tender/SplashBidNoticeAbstractUI.aspx?menuIndex=3&amp;refID=7039509&amp;Result=3","7039509")</f>
        <v>0</v>
      </c>
      <c r="B7244" t="s">
        <v>1858</v>
      </c>
      <c r="C7244" t="s">
        <v>9975</v>
      </c>
      <c r="D7244" t="s">
        <v>16210</v>
      </c>
      <c r="E7244" t="s">
        <v>22669</v>
      </c>
      <c r="F7244" t="s">
        <v>28198</v>
      </c>
      <c r="G7244" t="s">
        <v>28205</v>
      </c>
      <c r="H7244" t="s">
        <v>28215</v>
      </c>
      <c r="I7244" t="s">
        <v>4200</v>
      </c>
      <c r="J7244" t="s">
        <v>32878</v>
      </c>
      <c r="K7244" t="s">
        <v>36688</v>
      </c>
      <c r="M7244" t="s">
        <v>38986</v>
      </c>
      <c r="N7244" t="s">
        <v>40436</v>
      </c>
      <c r="O7244" t="s">
        <v>40437</v>
      </c>
      <c r="P7244">
        <v>0</v>
      </c>
      <c r="Q7244">
        <v>1</v>
      </c>
      <c r="R7244" t="s">
        <v>40444</v>
      </c>
      <c r="S7244" t="s">
        <v>40676</v>
      </c>
      <c r="T7244" t="s">
        <v>42425</v>
      </c>
      <c r="U7244" t="s">
        <v>47431</v>
      </c>
      <c r="W7244" t="s">
        <v>38986</v>
      </c>
      <c r="X7244" t="s">
        <v>40445</v>
      </c>
    </row>
    <row r="7245" spans="1:24">
      <c r="A7245">
        <f>HYPERLINK("https://www.philgeps.gov.ph/GEPSNONPILOT/Tender/SplashBidNoticeAbstractUI.aspx?menuIndex=3&amp;refID=7039467&amp;Result=3","7039467")</f>
        <v>0</v>
      </c>
      <c r="B7245" t="s">
        <v>1709</v>
      </c>
      <c r="C7245" t="s">
        <v>9976</v>
      </c>
      <c r="D7245" t="s">
        <v>16246</v>
      </c>
      <c r="E7245" t="s">
        <v>22670</v>
      </c>
      <c r="F7245" t="s">
        <v>28198</v>
      </c>
      <c r="G7245" t="s">
        <v>28207</v>
      </c>
      <c r="H7245" t="s">
        <v>28215</v>
      </c>
      <c r="I7245" t="s">
        <v>28274</v>
      </c>
      <c r="J7245" t="s">
        <v>28345</v>
      </c>
      <c r="K7245" t="s">
        <v>36701</v>
      </c>
      <c r="M7245" t="s">
        <v>38814</v>
      </c>
      <c r="N7245" t="s">
        <v>40436</v>
      </c>
      <c r="O7245" t="s">
        <v>40437</v>
      </c>
      <c r="P7245">
        <v>0</v>
      </c>
      <c r="Q7245">
        <v>3</v>
      </c>
      <c r="R7245" t="s">
        <v>40444</v>
      </c>
      <c r="S7245" t="s">
        <v>40676</v>
      </c>
      <c r="T7245" t="s">
        <v>42169</v>
      </c>
      <c r="U7245" t="s">
        <v>48725</v>
      </c>
      <c r="V7245" t="s">
        <v>54532</v>
      </c>
      <c r="W7245" t="s">
        <v>38814</v>
      </c>
      <c r="X7245" t="s">
        <v>40445</v>
      </c>
    </row>
    <row r="7246" spans="1:24">
      <c r="A7246">
        <f>HYPERLINK("https://www.philgeps.gov.ph/GEPSNONPILOT/Tender/SplashBidNoticeAbstractUI.aspx?menuIndex=3&amp;refID=7039493&amp;Result=3","7039493")</f>
        <v>0</v>
      </c>
      <c r="B7246" t="s">
        <v>2245</v>
      </c>
      <c r="C7246" t="s">
        <v>9977</v>
      </c>
      <c r="D7246" t="s">
        <v>16200</v>
      </c>
      <c r="E7246" t="s">
        <v>22671</v>
      </c>
      <c r="F7246" t="s">
        <v>28198</v>
      </c>
      <c r="G7246" t="s">
        <v>28205</v>
      </c>
      <c r="H7246" t="s">
        <v>28215</v>
      </c>
      <c r="I7246" t="s">
        <v>5100</v>
      </c>
      <c r="J7246" t="s">
        <v>32879</v>
      </c>
      <c r="K7246" t="s">
        <v>36698</v>
      </c>
      <c r="M7246" t="s">
        <v>39415</v>
      </c>
      <c r="N7246" t="s">
        <v>40436</v>
      </c>
      <c r="O7246" t="s">
        <v>40437</v>
      </c>
      <c r="P7246">
        <v>0</v>
      </c>
      <c r="Q7246">
        <v>3</v>
      </c>
      <c r="R7246" t="s">
        <v>40444</v>
      </c>
      <c r="S7246" t="s">
        <v>40676</v>
      </c>
      <c r="T7246" t="s">
        <v>42112</v>
      </c>
      <c r="U7246" t="s">
        <v>48696</v>
      </c>
      <c r="W7246" t="s">
        <v>39415</v>
      </c>
      <c r="X7246" t="s">
        <v>40445</v>
      </c>
    </row>
    <row r="7247" spans="1:24">
      <c r="A7247">
        <f>HYPERLINK("https://www.philgeps.gov.ph/GEPSNONPILOT/Tender/SplashBidNoticeAbstractUI.aspx?menuIndex=3&amp;refID=7039548&amp;Result=3","7039548")</f>
        <v>0</v>
      </c>
      <c r="B7247" t="s">
        <v>2252</v>
      </c>
      <c r="C7247" t="s">
        <v>9978</v>
      </c>
      <c r="D7247" t="s">
        <v>16192</v>
      </c>
      <c r="E7247" t="s">
        <v>21537</v>
      </c>
      <c r="F7247" t="s">
        <v>28198</v>
      </c>
      <c r="G7247" t="s">
        <v>28205</v>
      </c>
      <c r="H7247" t="s">
        <v>28215</v>
      </c>
      <c r="I7247" t="s">
        <v>28314</v>
      </c>
      <c r="J7247" t="s">
        <v>28629</v>
      </c>
      <c r="K7247" t="s">
        <v>36701</v>
      </c>
      <c r="M7247" t="s">
        <v>39422</v>
      </c>
      <c r="N7247" t="s">
        <v>40436</v>
      </c>
      <c r="O7247" t="s">
        <v>40437</v>
      </c>
      <c r="P7247">
        <v>0</v>
      </c>
      <c r="Q7247">
        <v>0</v>
      </c>
      <c r="R7247" t="s">
        <v>40444</v>
      </c>
      <c r="S7247" t="s">
        <v>40676</v>
      </c>
      <c r="T7247" t="s">
        <v>42216</v>
      </c>
      <c r="U7247" t="s">
        <v>48726</v>
      </c>
      <c r="W7247" t="s">
        <v>39422</v>
      </c>
      <c r="X7247" t="s">
        <v>40445</v>
      </c>
    </row>
    <row r="7248" spans="1:24">
      <c r="A7248">
        <f>HYPERLINK("https://www.philgeps.gov.ph/GEPSNONPILOT/Tender/SplashBidNoticeAbstractUI.aspx?menuIndex=3&amp;refID=7039510&amp;Result=3","7039510")</f>
        <v>0</v>
      </c>
      <c r="B7248" t="s">
        <v>100</v>
      </c>
      <c r="C7248" t="s">
        <v>9979</v>
      </c>
      <c r="D7248" t="s">
        <v>16228</v>
      </c>
      <c r="E7248" t="s">
        <v>22672</v>
      </c>
      <c r="F7248" t="s">
        <v>28198</v>
      </c>
      <c r="G7248" t="s">
        <v>28205</v>
      </c>
      <c r="H7248" t="s">
        <v>28215</v>
      </c>
      <c r="I7248" t="s">
        <v>28227</v>
      </c>
      <c r="J7248" t="s">
        <v>28884</v>
      </c>
      <c r="K7248" t="s">
        <v>36701</v>
      </c>
      <c r="M7248" t="s">
        <v>37073</v>
      </c>
      <c r="N7248" t="s">
        <v>40436</v>
      </c>
      <c r="O7248" t="s">
        <v>40437</v>
      </c>
      <c r="P7248">
        <v>0</v>
      </c>
      <c r="Q7248">
        <v>0</v>
      </c>
      <c r="R7248" t="s">
        <v>40444</v>
      </c>
      <c r="S7248" t="s">
        <v>40676</v>
      </c>
      <c r="T7248" t="s">
        <v>42184</v>
      </c>
      <c r="U7248" t="s">
        <v>42767</v>
      </c>
      <c r="V7248" t="s">
        <v>53798</v>
      </c>
      <c r="W7248" t="s">
        <v>37073</v>
      </c>
      <c r="X7248" t="s">
        <v>40445</v>
      </c>
    </row>
    <row r="7249" spans="1:24">
      <c r="A7249">
        <f>HYPERLINK("https://www.philgeps.gov.ph/GEPSNONPILOT/Tender/SplashBidNoticeAbstractUI.aspx?menuIndex=3&amp;refID=7039538&amp;Result=3","7039538")</f>
        <v>0</v>
      </c>
      <c r="B7249" t="s">
        <v>2253</v>
      </c>
      <c r="C7249" t="s">
        <v>9980</v>
      </c>
      <c r="D7249" t="s">
        <v>16187</v>
      </c>
      <c r="E7249" t="s">
        <v>22673</v>
      </c>
      <c r="F7249" t="s">
        <v>28198</v>
      </c>
      <c r="G7249" t="s">
        <v>28205</v>
      </c>
      <c r="H7249" t="s">
        <v>28214</v>
      </c>
      <c r="I7249" t="s">
        <v>3797</v>
      </c>
      <c r="J7249" t="s">
        <v>28468</v>
      </c>
      <c r="K7249" t="s">
        <v>36694</v>
      </c>
      <c r="L7249" t="s">
        <v>2253</v>
      </c>
      <c r="M7249" t="s">
        <v>39423</v>
      </c>
      <c r="N7249" t="s">
        <v>40436</v>
      </c>
      <c r="O7249" t="s">
        <v>40437</v>
      </c>
      <c r="P7249">
        <v>0</v>
      </c>
      <c r="Q7249">
        <v>0</v>
      </c>
      <c r="R7249" t="s">
        <v>40444</v>
      </c>
      <c r="S7249" t="s">
        <v>40676</v>
      </c>
      <c r="T7249" t="s">
        <v>42234</v>
      </c>
      <c r="U7249" t="s">
        <v>48727</v>
      </c>
      <c r="V7249" t="s">
        <v>54533</v>
      </c>
      <c r="W7249" t="s">
        <v>39423</v>
      </c>
      <c r="X7249" t="s">
        <v>40445</v>
      </c>
    </row>
    <row r="7250" spans="1:24">
      <c r="A7250">
        <f>HYPERLINK("https://www.philgeps.gov.ph/GEPSNONPILOT/Tender/SplashBidNoticeAbstractUI.aspx?menuIndex=3&amp;refID=7039546&amp;Result=3","7039546")</f>
        <v>0</v>
      </c>
      <c r="B7250" t="s">
        <v>1675</v>
      </c>
      <c r="C7250" t="s">
        <v>9981</v>
      </c>
      <c r="D7250" t="s">
        <v>16197</v>
      </c>
      <c r="E7250" t="s">
        <v>22674</v>
      </c>
      <c r="F7250" t="s">
        <v>28198</v>
      </c>
      <c r="G7250" t="s">
        <v>28205</v>
      </c>
      <c r="H7250" t="s">
        <v>28215</v>
      </c>
      <c r="I7250" t="s">
        <v>28247</v>
      </c>
      <c r="J7250" t="s">
        <v>32880</v>
      </c>
      <c r="K7250" t="s">
        <v>36689</v>
      </c>
      <c r="M7250" t="s">
        <v>38771</v>
      </c>
      <c r="N7250" t="s">
        <v>40436</v>
      </c>
      <c r="O7250" t="s">
        <v>40437</v>
      </c>
      <c r="P7250">
        <v>0</v>
      </c>
      <c r="Q7250">
        <v>20</v>
      </c>
      <c r="R7250" t="s">
        <v>40444</v>
      </c>
      <c r="S7250" t="s">
        <v>40676</v>
      </c>
      <c r="T7250" t="s">
        <v>42165</v>
      </c>
      <c r="U7250" t="s">
        <v>48728</v>
      </c>
      <c r="W7250" t="s">
        <v>38771</v>
      </c>
      <c r="X7250" t="s">
        <v>40445</v>
      </c>
    </row>
    <row r="7251" spans="1:24">
      <c r="A7251">
        <f>HYPERLINK("https://www.philgeps.gov.ph/GEPSNONPILOT/Tender/SplashBidNoticeAbstractUI.aspx?menuIndex=3&amp;refID=7039522&amp;Result=3","7039522")</f>
        <v>0</v>
      </c>
      <c r="B7251" t="s">
        <v>2245</v>
      </c>
      <c r="C7251" t="s">
        <v>9982</v>
      </c>
      <c r="D7251" t="s">
        <v>16200</v>
      </c>
      <c r="E7251" t="s">
        <v>22675</v>
      </c>
      <c r="F7251" t="s">
        <v>28198</v>
      </c>
      <c r="G7251" t="s">
        <v>28205</v>
      </c>
      <c r="H7251" t="s">
        <v>28214</v>
      </c>
      <c r="I7251" t="s">
        <v>5100</v>
      </c>
      <c r="J7251" t="s">
        <v>32881</v>
      </c>
      <c r="K7251" t="s">
        <v>36698</v>
      </c>
      <c r="M7251" t="s">
        <v>39415</v>
      </c>
      <c r="N7251" t="s">
        <v>40436</v>
      </c>
      <c r="O7251" t="s">
        <v>40437</v>
      </c>
      <c r="P7251">
        <v>0</v>
      </c>
      <c r="Q7251">
        <v>1</v>
      </c>
      <c r="R7251" t="s">
        <v>40444</v>
      </c>
      <c r="S7251" t="s">
        <v>40676</v>
      </c>
      <c r="T7251" t="s">
        <v>42112</v>
      </c>
      <c r="U7251" t="s">
        <v>48696</v>
      </c>
      <c r="W7251" t="s">
        <v>39415</v>
      </c>
      <c r="X7251" t="s">
        <v>40445</v>
      </c>
    </row>
    <row r="7252" spans="1:24">
      <c r="A7252">
        <f>HYPERLINK("https://www.philgeps.gov.ph/GEPSNONPILOT/Tender/SplashBidNoticeAbstractUI.aspx?menuIndex=3&amp;refID=7039589&amp;Result=3","7039589")</f>
        <v>0</v>
      </c>
      <c r="B7252" t="s">
        <v>388</v>
      </c>
      <c r="C7252" t="s">
        <v>9983</v>
      </c>
      <c r="D7252" t="s">
        <v>16197</v>
      </c>
      <c r="E7252" t="s">
        <v>22676</v>
      </c>
      <c r="F7252" t="s">
        <v>28198</v>
      </c>
      <c r="G7252" t="s">
        <v>28207</v>
      </c>
      <c r="H7252" t="s">
        <v>28215</v>
      </c>
      <c r="I7252" t="s">
        <v>28255</v>
      </c>
      <c r="J7252" t="s">
        <v>28398</v>
      </c>
      <c r="K7252" t="s">
        <v>36701</v>
      </c>
      <c r="M7252" t="s">
        <v>37368</v>
      </c>
      <c r="N7252" t="s">
        <v>40436</v>
      </c>
      <c r="O7252" t="s">
        <v>40437</v>
      </c>
      <c r="P7252">
        <v>0</v>
      </c>
      <c r="Q7252">
        <v>0</v>
      </c>
      <c r="R7252" t="s">
        <v>40444</v>
      </c>
      <c r="S7252" t="s">
        <v>40676</v>
      </c>
      <c r="T7252" t="s">
        <v>42205</v>
      </c>
      <c r="U7252" t="s">
        <v>48729</v>
      </c>
      <c r="V7252" t="s">
        <v>53874</v>
      </c>
      <c r="W7252" t="s">
        <v>37368</v>
      </c>
      <c r="X7252" t="s">
        <v>40445</v>
      </c>
    </row>
    <row r="7253" spans="1:24">
      <c r="A7253">
        <f>HYPERLINK("https://www.philgeps.gov.ph/GEPSNONPILOT/Tender/SplashBidNoticeAbstractUI.aspx?menuIndex=3&amp;refID=7039587&amp;Result=3","7039587")</f>
        <v>0</v>
      </c>
      <c r="B7253" t="s">
        <v>2254</v>
      </c>
      <c r="C7253" t="s">
        <v>9984</v>
      </c>
      <c r="D7253" t="s">
        <v>16197</v>
      </c>
      <c r="E7253" t="s">
        <v>19310</v>
      </c>
      <c r="F7253" t="s">
        <v>28198</v>
      </c>
      <c r="G7253" t="s">
        <v>28207</v>
      </c>
      <c r="H7253" t="s">
        <v>28215</v>
      </c>
      <c r="I7253" t="s">
        <v>28226</v>
      </c>
      <c r="J7253" t="s">
        <v>28967</v>
      </c>
      <c r="K7253" t="s">
        <v>36687</v>
      </c>
      <c r="M7253" t="s">
        <v>39424</v>
      </c>
      <c r="N7253" t="s">
        <v>40436</v>
      </c>
      <c r="O7253" t="s">
        <v>40437</v>
      </c>
      <c r="P7253">
        <v>0</v>
      </c>
      <c r="Q7253">
        <v>8</v>
      </c>
      <c r="R7253" t="s">
        <v>40444</v>
      </c>
      <c r="S7253" t="s">
        <v>40676</v>
      </c>
      <c r="T7253" t="s">
        <v>42131</v>
      </c>
      <c r="U7253" t="s">
        <v>48730</v>
      </c>
      <c r="W7253" t="s">
        <v>39424</v>
      </c>
      <c r="X7253" t="s">
        <v>40445</v>
      </c>
    </row>
    <row r="7254" spans="1:24">
      <c r="A7254">
        <f>HYPERLINK("https://www.philgeps.gov.ph/GEPSNONPILOT/Tender/SplashBidNoticeAbstractUI.aspx?menuIndex=3&amp;refID=7039521&amp;Result=3","7039521")</f>
        <v>0</v>
      </c>
      <c r="B7254" t="s">
        <v>1306</v>
      </c>
      <c r="C7254" t="s">
        <v>9985</v>
      </c>
      <c r="D7254" t="s">
        <v>16227</v>
      </c>
      <c r="E7254" t="s">
        <v>22677</v>
      </c>
      <c r="F7254" t="s">
        <v>28198</v>
      </c>
      <c r="G7254" t="s">
        <v>28205</v>
      </c>
      <c r="H7254" t="s">
        <v>28214</v>
      </c>
      <c r="I7254" t="s">
        <v>3797</v>
      </c>
      <c r="J7254" t="s">
        <v>32882</v>
      </c>
      <c r="K7254" t="s">
        <v>36692</v>
      </c>
      <c r="M7254" t="s">
        <v>38360</v>
      </c>
      <c r="N7254" t="s">
        <v>40436</v>
      </c>
      <c r="O7254" t="s">
        <v>40437</v>
      </c>
      <c r="P7254">
        <v>0</v>
      </c>
      <c r="Q7254">
        <v>0</v>
      </c>
      <c r="R7254" t="s">
        <v>40444</v>
      </c>
      <c r="S7254" t="s">
        <v>40676</v>
      </c>
      <c r="T7254" t="s">
        <v>42177</v>
      </c>
      <c r="U7254" t="s">
        <v>48731</v>
      </c>
      <c r="W7254" t="s">
        <v>38360</v>
      </c>
      <c r="X7254" t="s">
        <v>40445</v>
      </c>
    </row>
    <row r="7255" spans="1:24">
      <c r="A7255">
        <f>HYPERLINK("https://www.philgeps.gov.ph/GEPSNONPILOT/Tender/SplashBidNoticeAbstractUI.aspx?menuIndex=3&amp;refID=7039584&amp;Result=3","7039584")</f>
        <v>0</v>
      </c>
      <c r="B7255" t="s">
        <v>1858</v>
      </c>
      <c r="C7255" t="s">
        <v>9986</v>
      </c>
      <c r="D7255" t="s">
        <v>16210</v>
      </c>
      <c r="E7255" t="s">
        <v>22678</v>
      </c>
      <c r="F7255" t="s">
        <v>28198</v>
      </c>
      <c r="G7255" t="s">
        <v>28205</v>
      </c>
      <c r="H7255" t="s">
        <v>28215</v>
      </c>
      <c r="I7255" t="s">
        <v>4200</v>
      </c>
      <c r="J7255" t="s">
        <v>32883</v>
      </c>
      <c r="K7255" t="s">
        <v>36688</v>
      </c>
      <c r="M7255" t="s">
        <v>38986</v>
      </c>
      <c r="N7255" t="s">
        <v>40436</v>
      </c>
      <c r="O7255" t="s">
        <v>40437</v>
      </c>
      <c r="P7255">
        <v>0</v>
      </c>
      <c r="Q7255">
        <v>2</v>
      </c>
      <c r="R7255" t="s">
        <v>40444</v>
      </c>
      <c r="S7255" t="s">
        <v>40676</v>
      </c>
      <c r="T7255" t="s">
        <v>42244</v>
      </c>
      <c r="U7255" t="s">
        <v>47431</v>
      </c>
      <c r="W7255" t="s">
        <v>38986</v>
      </c>
      <c r="X7255" t="s">
        <v>40445</v>
      </c>
    </row>
    <row r="7256" spans="1:24">
      <c r="A7256">
        <f>HYPERLINK("https://www.philgeps.gov.ph/GEPSNONPILOT/Tender/SplashBidNoticeAbstractUI.aspx?menuIndex=3&amp;refID=7039570&amp;Result=3","7039570")</f>
        <v>0</v>
      </c>
      <c r="B7256" t="s">
        <v>2252</v>
      </c>
      <c r="C7256" t="s">
        <v>9987</v>
      </c>
      <c r="D7256" t="s">
        <v>16192</v>
      </c>
      <c r="E7256" t="s">
        <v>21543</v>
      </c>
      <c r="F7256" t="s">
        <v>28198</v>
      </c>
      <c r="G7256" t="s">
        <v>28205</v>
      </c>
      <c r="H7256" t="s">
        <v>28215</v>
      </c>
      <c r="I7256" t="s">
        <v>28265</v>
      </c>
      <c r="J7256" t="s">
        <v>32884</v>
      </c>
      <c r="K7256" t="s">
        <v>36696</v>
      </c>
      <c r="M7256" t="s">
        <v>39422</v>
      </c>
      <c r="N7256" t="s">
        <v>40436</v>
      </c>
      <c r="O7256" t="s">
        <v>40437</v>
      </c>
      <c r="P7256">
        <v>0</v>
      </c>
      <c r="Q7256">
        <v>0</v>
      </c>
      <c r="R7256" t="s">
        <v>40444</v>
      </c>
      <c r="S7256" t="s">
        <v>40676</v>
      </c>
      <c r="T7256" t="s">
        <v>42216</v>
      </c>
      <c r="U7256" t="s">
        <v>48732</v>
      </c>
      <c r="W7256" t="s">
        <v>39422</v>
      </c>
      <c r="X7256" t="s">
        <v>40445</v>
      </c>
    </row>
    <row r="7257" spans="1:24">
      <c r="A7257">
        <f>HYPERLINK("https://www.philgeps.gov.ph/GEPSNONPILOT/Tender/SplashBidNoticeAbstractUI.aspx?menuIndex=3&amp;refID=7039585&amp;Result=3","7039585")</f>
        <v>0</v>
      </c>
      <c r="B7257" t="s">
        <v>2255</v>
      </c>
      <c r="C7257" t="s">
        <v>9988</v>
      </c>
      <c r="D7257" t="s">
        <v>16187</v>
      </c>
      <c r="E7257" t="s">
        <v>22679</v>
      </c>
      <c r="F7257" t="s">
        <v>28198</v>
      </c>
      <c r="G7257" t="s">
        <v>28207</v>
      </c>
      <c r="H7257" t="s">
        <v>28215</v>
      </c>
      <c r="I7257" t="s">
        <v>28258</v>
      </c>
      <c r="J7257" t="s">
        <v>29392</v>
      </c>
      <c r="K7257" t="s">
        <v>36701</v>
      </c>
      <c r="M7257" t="s">
        <v>39425</v>
      </c>
      <c r="N7257" t="s">
        <v>40436</v>
      </c>
      <c r="O7257" t="s">
        <v>40437</v>
      </c>
      <c r="P7257">
        <v>0</v>
      </c>
      <c r="Q7257">
        <v>2</v>
      </c>
      <c r="R7257" t="s">
        <v>40444</v>
      </c>
      <c r="S7257" t="s">
        <v>40676</v>
      </c>
      <c r="T7257" t="s">
        <v>42169</v>
      </c>
      <c r="U7257" t="s">
        <v>48733</v>
      </c>
      <c r="W7257" t="s">
        <v>39425</v>
      </c>
      <c r="X7257" t="s">
        <v>40445</v>
      </c>
    </row>
    <row r="7258" spans="1:24">
      <c r="A7258">
        <f>HYPERLINK("https://www.philgeps.gov.ph/GEPSNONPILOT/Tender/SplashBidNoticeAbstractUI.aspx?menuIndex=3&amp;refID=7039564&amp;Result=3","7039564")</f>
        <v>0</v>
      </c>
      <c r="B7258" t="s">
        <v>1858</v>
      </c>
      <c r="C7258" t="s">
        <v>9989</v>
      </c>
      <c r="D7258" t="s">
        <v>16210</v>
      </c>
      <c r="E7258" t="s">
        <v>22680</v>
      </c>
      <c r="F7258" t="s">
        <v>28198</v>
      </c>
      <c r="G7258" t="s">
        <v>28205</v>
      </c>
      <c r="H7258" t="s">
        <v>28215</v>
      </c>
      <c r="I7258" t="s">
        <v>5082</v>
      </c>
      <c r="J7258" t="s">
        <v>32885</v>
      </c>
      <c r="K7258" t="s">
        <v>36688</v>
      </c>
      <c r="M7258" t="s">
        <v>38986</v>
      </c>
      <c r="N7258" t="s">
        <v>40436</v>
      </c>
      <c r="O7258" t="s">
        <v>40437</v>
      </c>
      <c r="P7258">
        <v>0</v>
      </c>
      <c r="Q7258">
        <v>0</v>
      </c>
      <c r="R7258" t="s">
        <v>40444</v>
      </c>
      <c r="S7258" t="s">
        <v>40676</v>
      </c>
      <c r="T7258" t="s">
        <v>42346</v>
      </c>
      <c r="U7258" t="s">
        <v>48694</v>
      </c>
      <c r="W7258" t="s">
        <v>38986</v>
      </c>
      <c r="X7258" t="s">
        <v>40445</v>
      </c>
    </row>
    <row r="7259" spans="1:24">
      <c r="A7259">
        <f>HYPERLINK("https://www.philgeps.gov.ph/GEPSNONPILOT/Tender/SplashBidNoticeAbstractUI.aspx?menuIndex=3&amp;refID=7039577&amp;Result=3","7039577")</f>
        <v>0</v>
      </c>
      <c r="B7259" t="s">
        <v>2256</v>
      </c>
      <c r="C7259" t="s">
        <v>9990</v>
      </c>
      <c r="D7259" t="s">
        <v>16209</v>
      </c>
      <c r="E7259" t="s">
        <v>22681</v>
      </c>
      <c r="F7259" t="s">
        <v>28198</v>
      </c>
      <c r="G7259" t="s">
        <v>28205</v>
      </c>
      <c r="H7259" t="s">
        <v>28215</v>
      </c>
      <c r="I7259" t="s">
        <v>3774</v>
      </c>
      <c r="J7259" t="s">
        <v>32886</v>
      </c>
      <c r="K7259" t="s">
        <v>36707</v>
      </c>
      <c r="M7259" t="s">
        <v>39426</v>
      </c>
      <c r="N7259" t="s">
        <v>40436</v>
      </c>
      <c r="O7259" t="s">
        <v>40437</v>
      </c>
      <c r="P7259">
        <v>0</v>
      </c>
      <c r="Q7259">
        <v>0</v>
      </c>
      <c r="R7259" t="s">
        <v>40444</v>
      </c>
      <c r="S7259" t="s">
        <v>40676</v>
      </c>
      <c r="T7259" t="s">
        <v>42184</v>
      </c>
      <c r="U7259" t="s">
        <v>48734</v>
      </c>
      <c r="W7259" t="s">
        <v>39426</v>
      </c>
      <c r="X7259" t="s">
        <v>40445</v>
      </c>
    </row>
    <row r="7260" spans="1:24">
      <c r="A7260">
        <f>HYPERLINK("https://www.philgeps.gov.ph/GEPSNONPILOT/Tender/SplashBidNoticeAbstractUI.aspx?menuIndex=3&amp;refID=7039559&amp;Result=3","7039559")</f>
        <v>0</v>
      </c>
      <c r="B7260" t="s">
        <v>816</v>
      </c>
      <c r="C7260" t="s">
        <v>9991</v>
      </c>
      <c r="D7260" t="s">
        <v>16200</v>
      </c>
      <c r="E7260" t="s">
        <v>22682</v>
      </c>
      <c r="F7260" t="s">
        <v>28198</v>
      </c>
      <c r="G7260" t="s">
        <v>28207</v>
      </c>
      <c r="H7260" t="s">
        <v>28215</v>
      </c>
      <c r="I7260" t="s">
        <v>5103</v>
      </c>
      <c r="J7260" t="s">
        <v>28797</v>
      </c>
      <c r="K7260" t="s">
        <v>36689</v>
      </c>
      <c r="M7260" t="s">
        <v>38793</v>
      </c>
      <c r="N7260" t="s">
        <v>40436</v>
      </c>
      <c r="O7260" t="s">
        <v>40437</v>
      </c>
      <c r="P7260">
        <v>0</v>
      </c>
      <c r="Q7260">
        <v>9</v>
      </c>
      <c r="R7260" t="s">
        <v>40444</v>
      </c>
      <c r="S7260" t="s">
        <v>40676</v>
      </c>
      <c r="T7260" t="s">
        <v>42185</v>
      </c>
      <c r="U7260" t="s">
        <v>48735</v>
      </c>
      <c r="W7260" t="s">
        <v>38793</v>
      </c>
      <c r="X7260" t="s">
        <v>40445</v>
      </c>
    </row>
    <row r="7261" spans="1:24">
      <c r="A7261">
        <f>HYPERLINK("https://www.philgeps.gov.ph/GEPSNONPILOT/Tender/SplashBidNoticeAbstractUI.aspx?menuIndex=3&amp;refID=7039566&amp;Result=3","7039566")</f>
        <v>0</v>
      </c>
      <c r="B7261" t="s">
        <v>580</v>
      </c>
      <c r="C7261" t="s">
        <v>9992</v>
      </c>
      <c r="D7261" t="s">
        <v>16214</v>
      </c>
      <c r="E7261" t="s">
        <v>22683</v>
      </c>
      <c r="F7261" t="s">
        <v>28198</v>
      </c>
      <c r="G7261" t="s">
        <v>28207</v>
      </c>
      <c r="H7261" t="s">
        <v>28215</v>
      </c>
      <c r="I7261" t="s">
        <v>4168</v>
      </c>
      <c r="J7261" t="s">
        <v>30171</v>
      </c>
      <c r="K7261" t="s">
        <v>36707</v>
      </c>
      <c r="M7261" t="s">
        <v>37570</v>
      </c>
      <c r="N7261" t="s">
        <v>40436</v>
      </c>
      <c r="O7261" t="s">
        <v>40437</v>
      </c>
      <c r="P7261">
        <v>0</v>
      </c>
      <c r="Q7261">
        <v>7</v>
      </c>
      <c r="R7261" t="s">
        <v>40444</v>
      </c>
      <c r="S7261" t="s">
        <v>40676</v>
      </c>
      <c r="T7261" t="s">
        <v>42129</v>
      </c>
      <c r="U7261" t="s">
        <v>48736</v>
      </c>
      <c r="W7261" t="s">
        <v>37570</v>
      </c>
      <c r="X7261" t="s">
        <v>40445</v>
      </c>
    </row>
    <row r="7262" spans="1:24">
      <c r="A7262">
        <f>HYPERLINK("https://www.philgeps.gov.ph/GEPSNONPILOT/Tender/SplashBidNoticeAbstractUI.aspx?menuIndex=3&amp;refID=7039540&amp;Result=3","7039540")</f>
        <v>0</v>
      </c>
      <c r="B7262" t="s">
        <v>2235</v>
      </c>
      <c r="C7262" t="s">
        <v>9993</v>
      </c>
      <c r="D7262" t="s">
        <v>16246</v>
      </c>
      <c r="E7262" t="s">
        <v>22684</v>
      </c>
      <c r="F7262" t="s">
        <v>28198</v>
      </c>
      <c r="G7262" t="s">
        <v>28205</v>
      </c>
      <c r="H7262" t="s">
        <v>28215</v>
      </c>
      <c r="I7262" t="s">
        <v>28246</v>
      </c>
      <c r="J7262" t="s">
        <v>28398</v>
      </c>
      <c r="K7262" t="s">
        <v>36689</v>
      </c>
      <c r="M7262" t="s">
        <v>39404</v>
      </c>
      <c r="N7262" t="s">
        <v>40436</v>
      </c>
      <c r="O7262" t="s">
        <v>40437</v>
      </c>
      <c r="P7262">
        <v>0</v>
      </c>
      <c r="Q7262">
        <v>0</v>
      </c>
      <c r="R7262" t="s">
        <v>40444</v>
      </c>
      <c r="S7262" t="s">
        <v>40676</v>
      </c>
      <c r="T7262" t="s">
        <v>42431</v>
      </c>
      <c r="U7262" t="s">
        <v>48737</v>
      </c>
      <c r="V7262" t="s">
        <v>54522</v>
      </c>
      <c r="W7262" t="s">
        <v>39404</v>
      </c>
      <c r="X7262" t="s">
        <v>40445</v>
      </c>
    </row>
    <row r="7263" spans="1:24">
      <c r="A7263">
        <f>HYPERLINK("https://www.philgeps.gov.ph/GEPSNONPILOT/Tender/SplashBidNoticeAbstractUI.aspx?menuIndex=3&amp;refID=7039591&amp;Result=3","7039591")</f>
        <v>0</v>
      </c>
      <c r="B7263" t="s">
        <v>208</v>
      </c>
      <c r="C7263" t="s">
        <v>9994</v>
      </c>
      <c r="E7263" t="s">
        <v>17020</v>
      </c>
      <c r="F7263" t="s">
        <v>28198</v>
      </c>
      <c r="G7263" t="s">
        <v>28208</v>
      </c>
      <c r="H7263" t="s">
        <v>28215</v>
      </c>
      <c r="I7263" t="s">
        <v>28231</v>
      </c>
      <c r="J7263" t="s">
        <v>32887</v>
      </c>
      <c r="K7263" t="s">
        <v>36689</v>
      </c>
      <c r="M7263" t="s">
        <v>37184</v>
      </c>
      <c r="N7263" t="s">
        <v>40436</v>
      </c>
      <c r="O7263" t="s">
        <v>40437</v>
      </c>
      <c r="P7263">
        <v>0</v>
      </c>
      <c r="Q7263">
        <v>4</v>
      </c>
      <c r="R7263" t="s">
        <v>40444</v>
      </c>
      <c r="S7263" t="s">
        <v>40676</v>
      </c>
      <c r="T7263" t="s">
        <v>42244</v>
      </c>
      <c r="U7263" t="s">
        <v>48738</v>
      </c>
      <c r="W7263" t="s">
        <v>37184</v>
      </c>
      <c r="X7263" t="s">
        <v>40445</v>
      </c>
    </row>
    <row r="7264" spans="1:24">
      <c r="A7264">
        <f>HYPERLINK("https://www.philgeps.gov.ph/GEPSNONPILOT/Tender/SplashBidNoticeAbstractUI.aspx?menuIndex=3&amp;refID=7039605&amp;Result=3","7039605")</f>
        <v>0</v>
      </c>
      <c r="B7264" t="s">
        <v>2257</v>
      </c>
      <c r="C7264" t="s">
        <v>8881</v>
      </c>
      <c r="D7264" t="s">
        <v>16204</v>
      </c>
      <c r="E7264" t="s">
        <v>22685</v>
      </c>
      <c r="F7264" t="s">
        <v>28198</v>
      </c>
      <c r="G7264" t="s">
        <v>28205</v>
      </c>
      <c r="H7264" t="s">
        <v>28215</v>
      </c>
      <c r="I7264" t="s">
        <v>8888</v>
      </c>
      <c r="J7264" t="s">
        <v>28345</v>
      </c>
      <c r="K7264" t="s">
        <v>36689</v>
      </c>
      <c r="M7264" t="s">
        <v>39427</v>
      </c>
      <c r="N7264" t="s">
        <v>40436</v>
      </c>
      <c r="O7264" t="s">
        <v>40437</v>
      </c>
      <c r="P7264">
        <v>0</v>
      </c>
      <c r="Q7264">
        <v>4</v>
      </c>
      <c r="R7264" t="s">
        <v>40444</v>
      </c>
      <c r="S7264" t="s">
        <v>40676</v>
      </c>
      <c r="T7264" t="s">
        <v>42185</v>
      </c>
      <c r="U7264" t="s">
        <v>48739</v>
      </c>
      <c r="V7264" t="s">
        <v>54534</v>
      </c>
      <c r="W7264" t="s">
        <v>39427</v>
      </c>
      <c r="X7264" t="s">
        <v>40445</v>
      </c>
    </row>
    <row r="7265" spans="1:24">
      <c r="A7265">
        <f>HYPERLINK("https://www.philgeps.gov.ph/GEPSNONPILOT/Tender/SplashBidNoticeAbstractUI.aspx?menuIndex=3&amp;refID=7039590&amp;Result=3","7039590")</f>
        <v>0</v>
      </c>
      <c r="B7265" t="s">
        <v>2248</v>
      </c>
      <c r="C7265" t="s">
        <v>4810</v>
      </c>
      <c r="D7265" t="s">
        <v>16274</v>
      </c>
      <c r="E7265" t="s">
        <v>22686</v>
      </c>
      <c r="F7265" t="s">
        <v>28198</v>
      </c>
      <c r="G7265" t="s">
        <v>28205</v>
      </c>
      <c r="H7265" t="s">
        <v>28215</v>
      </c>
      <c r="I7265" t="s">
        <v>4168</v>
      </c>
      <c r="J7265" t="s">
        <v>28413</v>
      </c>
      <c r="K7265" t="s">
        <v>36707</v>
      </c>
      <c r="M7265" t="s">
        <v>39418</v>
      </c>
      <c r="N7265" t="s">
        <v>40436</v>
      </c>
      <c r="O7265" t="s">
        <v>40437</v>
      </c>
      <c r="P7265">
        <v>0</v>
      </c>
      <c r="Q7265">
        <v>0</v>
      </c>
      <c r="R7265" t="s">
        <v>40444</v>
      </c>
      <c r="S7265" t="s">
        <v>40676</v>
      </c>
      <c r="T7265" t="s">
        <v>42278</v>
      </c>
      <c r="U7265" t="s">
        <v>48740</v>
      </c>
      <c r="W7265" t="s">
        <v>39418</v>
      </c>
      <c r="X7265" t="s">
        <v>40445</v>
      </c>
    </row>
    <row r="7266" spans="1:24">
      <c r="A7266">
        <f>HYPERLINK("https://www.philgeps.gov.ph/GEPSNONPILOT/Tender/SplashBidNoticeAbstractUI.aspx?menuIndex=3&amp;refID=7039512&amp;Result=3","7039512")</f>
        <v>0</v>
      </c>
      <c r="B7266" t="s">
        <v>1361</v>
      </c>
      <c r="C7266" t="s">
        <v>9995</v>
      </c>
      <c r="D7266" t="s">
        <v>16203</v>
      </c>
      <c r="E7266" t="s">
        <v>22687</v>
      </c>
      <c r="F7266" t="s">
        <v>28198</v>
      </c>
      <c r="G7266" t="s">
        <v>28205</v>
      </c>
      <c r="H7266" t="s">
        <v>28214</v>
      </c>
      <c r="I7266" t="s">
        <v>3797</v>
      </c>
      <c r="J7266" t="s">
        <v>32888</v>
      </c>
      <c r="K7266" t="s">
        <v>36773</v>
      </c>
      <c r="M7266" t="s">
        <v>38421</v>
      </c>
      <c r="N7266" t="s">
        <v>40436</v>
      </c>
      <c r="O7266" t="s">
        <v>40437</v>
      </c>
      <c r="P7266">
        <v>0</v>
      </c>
      <c r="Q7266">
        <v>0</v>
      </c>
      <c r="R7266" t="s">
        <v>40444</v>
      </c>
      <c r="S7266" t="s">
        <v>40676</v>
      </c>
      <c r="T7266" t="s">
        <v>42218</v>
      </c>
      <c r="U7266" t="s">
        <v>48741</v>
      </c>
      <c r="W7266" t="s">
        <v>38421</v>
      </c>
      <c r="X7266" t="s">
        <v>40445</v>
      </c>
    </row>
    <row r="7267" spans="1:24">
      <c r="A7267">
        <f>HYPERLINK("https://www.philgeps.gov.ph/GEPSNONPILOT/Tender/SplashBidNoticeAbstractUI.aspx?menuIndex=3&amp;refID=7039601&amp;Result=3","7039601")</f>
        <v>0</v>
      </c>
      <c r="B7267" t="s">
        <v>1858</v>
      </c>
      <c r="C7267" t="s">
        <v>9996</v>
      </c>
      <c r="D7267" t="s">
        <v>16210</v>
      </c>
      <c r="E7267" t="s">
        <v>22688</v>
      </c>
      <c r="F7267" t="s">
        <v>28198</v>
      </c>
      <c r="G7267" t="s">
        <v>28205</v>
      </c>
      <c r="H7267" t="s">
        <v>28215</v>
      </c>
      <c r="I7267" t="s">
        <v>5791</v>
      </c>
      <c r="J7267" t="s">
        <v>28561</v>
      </c>
      <c r="K7267" t="s">
        <v>36688</v>
      </c>
      <c r="M7267" t="s">
        <v>38986</v>
      </c>
      <c r="N7267" t="s">
        <v>40436</v>
      </c>
      <c r="O7267" t="s">
        <v>40437</v>
      </c>
      <c r="P7267">
        <v>0</v>
      </c>
      <c r="Q7267">
        <v>0</v>
      </c>
      <c r="R7267" t="s">
        <v>40444</v>
      </c>
      <c r="S7267" t="s">
        <v>40676</v>
      </c>
      <c r="T7267" t="s">
        <v>42346</v>
      </c>
      <c r="U7267" t="s">
        <v>48720</v>
      </c>
      <c r="W7267" t="s">
        <v>38986</v>
      </c>
      <c r="X7267" t="s">
        <v>40445</v>
      </c>
    </row>
    <row r="7268" spans="1:24">
      <c r="A7268">
        <f>HYPERLINK("https://www.philgeps.gov.ph/GEPSNONPILOT/Tender/SplashBidNoticeAbstractUI.aspx?menuIndex=3&amp;refID=7039600&amp;Result=3","7039600")</f>
        <v>0</v>
      </c>
      <c r="B7268" t="s">
        <v>2208</v>
      </c>
      <c r="C7268" t="s">
        <v>9997</v>
      </c>
      <c r="D7268" t="s">
        <v>16237</v>
      </c>
      <c r="E7268" t="s">
        <v>16505</v>
      </c>
      <c r="F7268" t="s">
        <v>28198</v>
      </c>
      <c r="G7268" t="s">
        <v>28205</v>
      </c>
      <c r="H7268" t="s">
        <v>28214</v>
      </c>
      <c r="I7268" t="s">
        <v>3797</v>
      </c>
      <c r="J7268" t="s">
        <v>28351</v>
      </c>
      <c r="K7268" t="s">
        <v>36717</v>
      </c>
      <c r="M7268" t="s">
        <v>39373</v>
      </c>
      <c r="N7268" t="s">
        <v>40436</v>
      </c>
      <c r="O7268" t="s">
        <v>40437</v>
      </c>
      <c r="P7268">
        <v>0</v>
      </c>
      <c r="Q7268">
        <v>0</v>
      </c>
      <c r="R7268" t="s">
        <v>40444</v>
      </c>
      <c r="S7268" t="s">
        <v>40676</v>
      </c>
      <c r="T7268" t="s">
        <v>42484</v>
      </c>
      <c r="U7268" t="s">
        <v>48742</v>
      </c>
      <c r="W7268" t="s">
        <v>39373</v>
      </c>
      <c r="X7268" t="s">
        <v>40445</v>
      </c>
    </row>
    <row r="7269" spans="1:24">
      <c r="A7269">
        <f>HYPERLINK("https://www.philgeps.gov.ph/GEPSNONPILOT/Tender/SplashBidNoticeAbstractUI.aspx?menuIndex=3&amp;refID=7039598&amp;Result=3","7039598")</f>
        <v>0</v>
      </c>
      <c r="B7269" t="s">
        <v>2252</v>
      </c>
      <c r="C7269" t="s">
        <v>9998</v>
      </c>
      <c r="D7269" t="s">
        <v>16192</v>
      </c>
      <c r="E7269" t="s">
        <v>21542</v>
      </c>
      <c r="F7269" t="s">
        <v>28198</v>
      </c>
      <c r="G7269" t="s">
        <v>28205</v>
      </c>
      <c r="H7269" t="s">
        <v>28215</v>
      </c>
      <c r="I7269" t="s">
        <v>28227</v>
      </c>
      <c r="J7269" t="s">
        <v>32889</v>
      </c>
      <c r="K7269" t="s">
        <v>36701</v>
      </c>
      <c r="M7269" t="s">
        <v>39422</v>
      </c>
      <c r="N7269" t="s">
        <v>40436</v>
      </c>
      <c r="O7269" t="s">
        <v>40437</v>
      </c>
      <c r="P7269">
        <v>0</v>
      </c>
      <c r="Q7269">
        <v>1</v>
      </c>
      <c r="R7269" t="s">
        <v>40444</v>
      </c>
      <c r="S7269" t="s">
        <v>40676</v>
      </c>
      <c r="T7269" t="s">
        <v>42216</v>
      </c>
      <c r="U7269" t="s">
        <v>48743</v>
      </c>
      <c r="W7269" t="s">
        <v>39422</v>
      </c>
      <c r="X7269" t="s">
        <v>40445</v>
      </c>
    </row>
    <row r="7270" spans="1:24">
      <c r="A7270">
        <f>HYPERLINK("https://www.philgeps.gov.ph/GEPSNONPILOT/Tender/SplashBidNoticeAbstractUI.aspx?menuIndex=3&amp;refID=7039486&amp;Result=3","7039486")</f>
        <v>0</v>
      </c>
      <c r="B7270" t="s">
        <v>2233</v>
      </c>
      <c r="C7270" t="s">
        <v>9999</v>
      </c>
      <c r="D7270" t="s">
        <v>16248</v>
      </c>
      <c r="E7270" t="s">
        <v>22689</v>
      </c>
      <c r="F7270" t="s">
        <v>28198</v>
      </c>
      <c r="G7270" t="s">
        <v>28205</v>
      </c>
      <c r="H7270" t="s">
        <v>28215</v>
      </c>
      <c r="I7270" t="s">
        <v>5791</v>
      </c>
      <c r="J7270" t="s">
        <v>28862</v>
      </c>
      <c r="K7270" t="s">
        <v>36689</v>
      </c>
      <c r="M7270" t="s">
        <v>39401</v>
      </c>
      <c r="N7270" t="s">
        <v>40436</v>
      </c>
      <c r="O7270" t="s">
        <v>40437</v>
      </c>
      <c r="P7270">
        <v>0</v>
      </c>
      <c r="Q7270">
        <v>0</v>
      </c>
      <c r="R7270" t="s">
        <v>40444</v>
      </c>
      <c r="S7270" t="s">
        <v>40676</v>
      </c>
      <c r="T7270" t="s">
        <v>42233</v>
      </c>
      <c r="U7270" t="s">
        <v>48744</v>
      </c>
      <c r="W7270" t="s">
        <v>39401</v>
      </c>
      <c r="X7270" t="s">
        <v>40445</v>
      </c>
    </row>
    <row r="7271" spans="1:24">
      <c r="A7271">
        <f>HYPERLINK("https://www.philgeps.gov.ph/GEPSNONPILOT/Tender/SplashBidNoticeAbstractUI.aspx?menuIndex=3&amp;refID=7039593&amp;Result=3","7039593")</f>
        <v>0</v>
      </c>
      <c r="B7271" t="s">
        <v>2258</v>
      </c>
      <c r="C7271" t="s">
        <v>10000</v>
      </c>
      <c r="D7271" t="s">
        <v>16200</v>
      </c>
      <c r="E7271" t="s">
        <v>22690</v>
      </c>
      <c r="F7271" t="s">
        <v>28198</v>
      </c>
      <c r="G7271" t="s">
        <v>28205</v>
      </c>
      <c r="H7271" t="s">
        <v>28215</v>
      </c>
      <c r="I7271" t="s">
        <v>28224</v>
      </c>
      <c r="J7271" t="s">
        <v>28415</v>
      </c>
      <c r="K7271" t="s">
        <v>36701</v>
      </c>
      <c r="M7271" t="s">
        <v>39428</v>
      </c>
      <c r="N7271" t="s">
        <v>40436</v>
      </c>
      <c r="O7271" t="s">
        <v>40437</v>
      </c>
      <c r="P7271">
        <v>0</v>
      </c>
      <c r="Q7271">
        <v>0</v>
      </c>
      <c r="R7271" t="s">
        <v>40444</v>
      </c>
      <c r="S7271" t="s">
        <v>40676</v>
      </c>
      <c r="T7271" t="s">
        <v>42183</v>
      </c>
      <c r="U7271" t="s">
        <v>48745</v>
      </c>
      <c r="W7271" t="s">
        <v>39428</v>
      </c>
      <c r="X7271" t="s">
        <v>40445</v>
      </c>
    </row>
    <row r="7272" spans="1:24">
      <c r="A7272">
        <f>HYPERLINK("https://www.philgeps.gov.ph/GEPSNONPILOT/Tender/SplashBidNoticeAbstractUI.aspx?menuIndex=3&amp;refID=7039609&amp;Result=3","7039609")</f>
        <v>0</v>
      </c>
      <c r="B7272" t="s">
        <v>2235</v>
      </c>
      <c r="C7272" t="s">
        <v>10001</v>
      </c>
      <c r="D7272" t="s">
        <v>16246</v>
      </c>
      <c r="E7272" t="s">
        <v>22691</v>
      </c>
      <c r="F7272" t="s">
        <v>28198</v>
      </c>
      <c r="G7272" t="s">
        <v>28205</v>
      </c>
      <c r="H7272" t="s">
        <v>28215</v>
      </c>
      <c r="I7272" t="s">
        <v>3774</v>
      </c>
      <c r="J7272" t="s">
        <v>28694</v>
      </c>
      <c r="K7272" t="s">
        <v>36689</v>
      </c>
      <c r="M7272" t="s">
        <v>39404</v>
      </c>
      <c r="N7272" t="s">
        <v>40436</v>
      </c>
      <c r="O7272" t="s">
        <v>40437</v>
      </c>
      <c r="P7272">
        <v>0</v>
      </c>
      <c r="Q7272">
        <v>0</v>
      </c>
      <c r="R7272" t="s">
        <v>40444</v>
      </c>
      <c r="S7272" t="s">
        <v>40676</v>
      </c>
      <c r="T7272" t="s">
        <v>42233</v>
      </c>
      <c r="U7272" t="s">
        <v>48746</v>
      </c>
      <c r="V7272" t="s">
        <v>54522</v>
      </c>
      <c r="W7272" t="s">
        <v>39404</v>
      </c>
      <c r="X7272" t="s">
        <v>40445</v>
      </c>
    </row>
    <row r="7273" spans="1:24">
      <c r="A7273">
        <f>HYPERLINK("https://www.philgeps.gov.ph/GEPSNONPILOT/Tender/SplashBidNoticeAbstractUI.aspx?menuIndex=3&amp;refID=7039634&amp;Result=3","7039634")</f>
        <v>0</v>
      </c>
      <c r="B7273" t="s">
        <v>940</v>
      </c>
      <c r="C7273" t="s">
        <v>10002</v>
      </c>
      <c r="D7273" t="s">
        <v>16264</v>
      </c>
      <c r="E7273" t="s">
        <v>22692</v>
      </c>
      <c r="F7273" t="s">
        <v>28198</v>
      </c>
      <c r="G7273" t="s">
        <v>28205</v>
      </c>
      <c r="H7273" t="s">
        <v>28215</v>
      </c>
      <c r="I7273" t="s">
        <v>28280</v>
      </c>
      <c r="J7273" t="s">
        <v>32890</v>
      </c>
      <c r="K7273" t="s">
        <v>36689</v>
      </c>
      <c r="M7273" t="s">
        <v>37963</v>
      </c>
      <c r="N7273" t="s">
        <v>40436</v>
      </c>
      <c r="O7273" t="s">
        <v>40437</v>
      </c>
      <c r="Q7273">
        <v>5</v>
      </c>
      <c r="R7273" t="s">
        <v>40444</v>
      </c>
      <c r="S7273" t="s">
        <v>40709</v>
      </c>
      <c r="T7273" t="s">
        <v>42427</v>
      </c>
      <c r="U7273" t="s">
        <v>48747</v>
      </c>
      <c r="V7273" t="s">
        <v>54535</v>
      </c>
      <c r="W7273" t="s">
        <v>37963</v>
      </c>
      <c r="X7273" t="s">
        <v>40445</v>
      </c>
    </row>
    <row r="7274" spans="1:24">
      <c r="A7274">
        <f>HYPERLINK("https://www.philgeps.gov.ph/GEPSNONPILOT/Tender/SplashBidNoticeAbstractUI.aspx?menuIndex=3&amp;refID=7039629&amp;Result=3","7039629")</f>
        <v>0</v>
      </c>
      <c r="B7274" t="s">
        <v>388</v>
      </c>
      <c r="C7274" t="s">
        <v>10003</v>
      </c>
      <c r="D7274" t="s">
        <v>16197</v>
      </c>
      <c r="E7274" t="s">
        <v>22693</v>
      </c>
      <c r="F7274" t="s">
        <v>28198</v>
      </c>
      <c r="G7274" t="s">
        <v>28207</v>
      </c>
      <c r="H7274" t="s">
        <v>28215</v>
      </c>
      <c r="I7274" t="s">
        <v>28255</v>
      </c>
      <c r="J7274" t="s">
        <v>32891</v>
      </c>
      <c r="K7274" t="s">
        <v>36701</v>
      </c>
      <c r="M7274" t="s">
        <v>37368</v>
      </c>
      <c r="N7274" t="s">
        <v>40436</v>
      </c>
      <c r="O7274" t="s">
        <v>40437</v>
      </c>
      <c r="P7274">
        <v>0</v>
      </c>
      <c r="Q7274">
        <v>0</v>
      </c>
      <c r="R7274" t="s">
        <v>40444</v>
      </c>
      <c r="S7274" t="s">
        <v>40676</v>
      </c>
      <c r="T7274" t="s">
        <v>42205</v>
      </c>
      <c r="U7274" t="s">
        <v>48748</v>
      </c>
      <c r="V7274" t="s">
        <v>53874</v>
      </c>
      <c r="W7274" t="s">
        <v>37368</v>
      </c>
      <c r="X7274" t="s">
        <v>40445</v>
      </c>
    </row>
    <row r="7275" spans="1:24">
      <c r="A7275">
        <f>HYPERLINK("https://www.philgeps.gov.ph/GEPSNONPILOT/Tender/SplashBidNoticeAbstractUI.aspx?menuIndex=3&amp;refID=7039594&amp;Result=3","7039594")</f>
        <v>0</v>
      </c>
      <c r="B7275" t="s">
        <v>2259</v>
      </c>
      <c r="C7275" t="s">
        <v>10004</v>
      </c>
      <c r="D7275" t="s">
        <v>16222</v>
      </c>
      <c r="E7275" t="s">
        <v>22694</v>
      </c>
      <c r="F7275" t="s">
        <v>28198</v>
      </c>
      <c r="G7275" t="s">
        <v>28205</v>
      </c>
      <c r="H7275" t="s">
        <v>28217</v>
      </c>
      <c r="I7275" t="s">
        <v>3774</v>
      </c>
      <c r="J7275" t="s">
        <v>32892</v>
      </c>
      <c r="K7275" t="s">
        <v>36688</v>
      </c>
      <c r="M7275" t="s">
        <v>39429</v>
      </c>
      <c r="N7275" t="s">
        <v>40436</v>
      </c>
      <c r="O7275" t="s">
        <v>40437</v>
      </c>
      <c r="P7275">
        <v>0</v>
      </c>
      <c r="Q7275">
        <v>0</v>
      </c>
      <c r="R7275" t="s">
        <v>40444</v>
      </c>
      <c r="S7275" t="s">
        <v>40676</v>
      </c>
      <c r="T7275" t="s">
        <v>42131</v>
      </c>
      <c r="U7275" t="s">
        <v>48749</v>
      </c>
      <c r="W7275" t="s">
        <v>39429</v>
      </c>
      <c r="X7275" t="s">
        <v>40445</v>
      </c>
    </row>
    <row r="7276" spans="1:24">
      <c r="A7276">
        <f>HYPERLINK("https://www.philgeps.gov.ph/GEPSNONPILOT/Tender/SplashBidNoticeAbstractUI.aspx?menuIndex=3&amp;refID=7039607&amp;Result=3","7039607")</f>
        <v>0</v>
      </c>
      <c r="B7276" t="s">
        <v>2256</v>
      </c>
      <c r="C7276" t="s">
        <v>10005</v>
      </c>
      <c r="D7276" t="s">
        <v>16209</v>
      </c>
      <c r="E7276" t="s">
        <v>22695</v>
      </c>
      <c r="F7276" t="s">
        <v>28198</v>
      </c>
      <c r="G7276" t="s">
        <v>28207</v>
      </c>
      <c r="H7276" t="s">
        <v>28215</v>
      </c>
      <c r="I7276" t="s">
        <v>5082</v>
      </c>
      <c r="J7276" t="s">
        <v>32893</v>
      </c>
      <c r="K7276" t="s">
        <v>36707</v>
      </c>
      <c r="M7276" t="s">
        <v>39426</v>
      </c>
      <c r="N7276" t="s">
        <v>40436</v>
      </c>
      <c r="O7276" t="s">
        <v>40437</v>
      </c>
      <c r="P7276">
        <v>0</v>
      </c>
      <c r="Q7276">
        <v>0</v>
      </c>
      <c r="R7276" t="s">
        <v>40444</v>
      </c>
      <c r="S7276" t="s">
        <v>40676</v>
      </c>
      <c r="T7276" t="s">
        <v>42184</v>
      </c>
      <c r="U7276" t="s">
        <v>48750</v>
      </c>
      <c r="W7276" t="s">
        <v>39426</v>
      </c>
      <c r="X7276" t="s">
        <v>40445</v>
      </c>
    </row>
    <row r="7277" spans="1:24">
      <c r="A7277">
        <f>HYPERLINK("https://www.philgeps.gov.ph/GEPSNONPILOT/Tender/SplashBidNoticeAbstractUI.aspx?menuIndex=3&amp;refID=7039611&amp;Result=3","7039611")</f>
        <v>0</v>
      </c>
      <c r="B7277" t="s">
        <v>2252</v>
      </c>
      <c r="C7277" t="s">
        <v>10006</v>
      </c>
      <c r="D7277" t="s">
        <v>16192</v>
      </c>
      <c r="E7277" t="s">
        <v>21555</v>
      </c>
      <c r="F7277" t="s">
        <v>28198</v>
      </c>
      <c r="G7277" t="s">
        <v>28205</v>
      </c>
      <c r="H7277" t="s">
        <v>28215</v>
      </c>
      <c r="I7277" t="s">
        <v>28228</v>
      </c>
      <c r="J7277" t="s">
        <v>32894</v>
      </c>
      <c r="K7277" t="s">
        <v>36696</v>
      </c>
      <c r="M7277" t="s">
        <v>39422</v>
      </c>
      <c r="N7277" t="s">
        <v>40436</v>
      </c>
      <c r="O7277" t="s">
        <v>40437</v>
      </c>
      <c r="P7277">
        <v>0</v>
      </c>
      <c r="Q7277">
        <v>0</v>
      </c>
      <c r="R7277" t="s">
        <v>40444</v>
      </c>
      <c r="S7277" t="s">
        <v>40676</v>
      </c>
      <c r="T7277" t="s">
        <v>42216</v>
      </c>
      <c r="U7277" t="s">
        <v>48751</v>
      </c>
      <c r="W7277" t="s">
        <v>39422</v>
      </c>
      <c r="X7277" t="s">
        <v>40445</v>
      </c>
    </row>
    <row r="7278" spans="1:24">
      <c r="A7278">
        <f>HYPERLINK("https://www.philgeps.gov.ph/GEPSNONPILOT/Tender/SplashBidNoticeAbstractUI.aspx?menuIndex=3&amp;refID=7039621&amp;Result=3","7039621")</f>
        <v>0</v>
      </c>
      <c r="B7278" t="s">
        <v>580</v>
      </c>
      <c r="C7278" t="s">
        <v>10007</v>
      </c>
      <c r="D7278" t="s">
        <v>16214</v>
      </c>
      <c r="E7278" t="s">
        <v>22696</v>
      </c>
      <c r="F7278" t="s">
        <v>28198</v>
      </c>
      <c r="G7278" t="s">
        <v>28205</v>
      </c>
      <c r="H7278" t="s">
        <v>28215</v>
      </c>
      <c r="I7278" t="s">
        <v>28257</v>
      </c>
      <c r="J7278" t="s">
        <v>32895</v>
      </c>
      <c r="K7278" t="s">
        <v>36687</v>
      </c>
      <c r="M7278" t="s">
        <v>37570</v>
      </c>
      <c r="N7278" t="s">
        <v>40436</v>
      </c>
      <c r="O7278" t="s">
        <v>40437</v>
      </c>
      <c r="P7278">
        <v>0</v>
      </c>
      <c r="Q7278">
        <v>1</v>
      </c>
      <c r="R7278" t="s">
        <v>40444</v>
      </c>
      <c r="S7278" t="s">
        <v>40676</v>
      </c>
      <c r="T7278" t="s">
        <v>42164</v>
      </c>
      <c r="U7278" t="s">
        <v>48752</v>
      </c>
      <c r="W7278" t="s">
        <v>37570</v>
      </c>
      <c r="X7278" t="s">
        <v>40445</v>
      </c>
    </row>
    <row r="7279" spans="1:24">
      <c r="A7279">
        <f>HYPERLINK("https://www.philgeps.gov.ph/GEPSNONPILOT/Tender/SplashBidNoticeAbstractUI.aspx?menuIndex=3&amp;refID=7039623&amp;Result=3","7039623")</f>
        <v>0</v>
      </c>
      <c r="B7279" t="s">
        <v>2260</v>
      </c>
      <c r="C7279" t="s">
        <v>10008</v>
      </c>
      <c r="D7279" t="s">
        <v>16202</v>
      </c>
      <c r="E7279" t="s">
        <v>22697</v>
      </c>
      <c r="F7279" t="s">
        <v>28198</v>
      </c>
      <c r="G7279" t="s">
        <v>28207</v>
      </c>
      <c r="H7279" t="s">
        <v>28215</v>
      </c>
      <c r="I7279" t="s">
        <v>5071</v>
      </c>
      <c r="J7279" t="s">
        <v>32896</v>
      </c>
      <c r="K7279" t="s">
        <v>36707</v>
      </c>
      <c r="M7279" t="s">
        <v>39430</v>
      </c>
      <c r="N7279" t="s">
        <v>40436</v>
      </c>
      <c r="O7279" t="s">
        <v>40437</v>
      </c>
      <c r="P7279">
        <v>0</v>
      </c>
      <c r="Q7279">
        <v>2</v>
      </c>
      <c r="R7279" t="s">
        <v>40444</v>
      </c>
      <c r="S7279" t="s">
        <v>40676</v>
      </c>
      <c r="T7279" t="s">
        <v>42277</v>
      </c>
      <c r="U7279" t="s">
        <v>48753</v>
      </c>
      <c r="W7279" t="s">
        <v>39430</v>
      </c>
      <c r="X7279" t="s">
        <v>40445</v>
      </c>
    </row>
    <row r="7280" spans="1:24">
      <c r="A7280">
        <f>HYPERLINK("https://www.philgeps.gov.ph/GEPSNONPILOT/Tender/SplashBidNoticeAbstractUI.aspx?menuIndex=3&amp;refID=7039617&amp;Result=3","7039617")</f>
        <v>0</v>
      </c>
      <c r="B7280" t="s">
        <v>1858</v>
      </c>
      <c r="C7280" t="s">
        <v>10009</v>
      </c>
      <c r="D7280" t="s">
        <v>16210</v>
      </c>
      <c r="E7280" t="s">
        <v>22698</v>
      </c>
      <c r="F7280" t="s">
        <v>28198</v>
      </c>
      <c r="G7280" t="s">
        <v>28205</v>
      </c>
      <c r="H7280" t="s">
        <v>28215</v>
      </c>
      <c r="I7280" t="s">
        <v>4200</v>
      </c>
      <c r="J7280" t="s">
        <v>32897</v>
      </c>
      <c r="K7280" t="s">
        <v>36688</v>
      </c>
      <c r="M7280" t="s">
        <v>38986</v>
      </c>
      <c r="N7280" t="s">
        <v>40436</v>
      </c>
      <c r="O7280" t="s">
        <v>40437</v>
      </c>
      <c r="P7280">
        <v>0</v>
      </c>
      <c r="Q7280">
        <v>0</v>
      </c>
      <c r="R7280" t="s">
        <v>40444</v>
      </c>
      <c r="S7280" t="s">
        <v>40676</v>
      </c>
      <c r="T7280" t="s">
        <v>42346</v>
      </c>
      <c r="U7280" t="s">
        <v>47431</v>
      </c>
      <c r="W7280" t="s">
        <v>38986</v>
      </c>
      <c r="X7280" t="s">
        <v>40445</v>
      </c>
    </row>
    <row r="7281" spans="1:24">
      <c r="A7281">
        <f>HYPERLINK("https://www.philgeps.gov.ph/GEPSNONPILOT/Tender/SplashBidNoticeAbstractUI.aspx?menuIndex=3&amp;refID=7039615&amp;Result=3","7039615")</f>
        <v>0</v>
      </c>
      <c r="B7281" t="s">
        <v>2233</v>
      </c>
      <c r="C7281" t="s">
        <v>10010</v>
      </c>
      <c r="D7281" t="s">
        <v>16248</v>
      </c>
      <c r="E7281" t="s">
        <v>22699</v>
      </c>
      <c r="F7281" t="s">
        <v>28198</v>
      </c>
      <c r="G7281" t="s">
        <v>28205</v>
      </c>
      <c r="H7281" t="s">
        <v>28215</v>
      </c>
      <c r="I7281" t="s">
        <v>5791</v>
      </c>
      <c r="J7281" t="s">
        <v>28430</v>
      </c>
      <c r="K7281" t="s">
        <v>36689</v>
      </c>
      <c r="M7281" t="s">
        <v>39401</v>
      </c>
      <c r="N7281" t="s">
        <v>40436</v>
      </c>
      <c r="O7281" t="s">
        <v>40437</v>
      </c>
      <c r="P7281">
        <v>0</v>
      </c>
      <c r="Q7281">
        <v>1</v>
      </c>
      <c r="R7281" t="s">
        <v>40444</v>
      </c>
      <c r="S7281" t="s">
        <v>40676</v>
      </c>
      <c r="T7281" t="s">
        <v>42233</v>
      </c>
      <c r="U7281" t="s">
        <v>48754</v>
      </c>
      <c r="W7281" t="s">
        <v>39401</v>
      </c>
      <c r="X7281" t="s">
        <v>40445</v>
      </c>
    </row>
    <row r="7282" spans="1:24">
      <c r="A7282">
        <f>HYPERLINK("https://www.philgeps.gov.ph/GEPSNONPILOT/Tender/SplashBidNoticeAbstractUI.aspx?menuIndex=3&amp;refID=7039612&amp;Result=3","7039612")</f>
        <v>0</v>
      </c>
      <c r="B7282" t="s">
        <v>388</v>
      </c>
      <c r="C7282" t="s">
        <v>10011</v>
      </c>
      <c r="D7282" t="s">
        <v>16197</v>
      </c>
      <c r="E7282" t="s">
        <v>22700</v>
      </c>
      <c r="F7282" t="s">
        <v>28198</v>
      </c>
      <c r="G7282" t="s">
        <v>28207</v>
      </c>
      <c r="H7282" t="s">
        <v>28215</v>
      </c>
      <c r="I7282" t="s">
        <v>28255</v>
      </c>
      <c r="J7282" t="s">
        <v>32898</v>
      </c>
      <c r="K7282" t="s">
        <v>36701</v>
      </c>
      <c r="M7282" t="s">
        <v>37368</v>
      </c>
      <c r="N7282" t="s">
        <v>40436</v>
      </c>
      <c r="O7282" t="s">
        <v>40437</v>
      </c>
      <c r="P7282">
        <v>0</v>
      </c>
      <c r="Q7282">
        <v>0</v>
      </c>
      <c r="R7282" t="s">
        <v>40444</v>
      </c>
      <c r="S7282" t="s">
        <v>40676</v>
      </c>
      <c r="T7282" t="s">
        <v>42205</v>
      </c>
      <c r="U7282" t="s">
        <v>48755</v>
      </c>
      <c r="V7282" t="s">
        <v>53874</v>
      </c>
      <c r="W7282" t="s">
        <v>37368</v>
      </c>
      <c r="X7282" t="s">
        <v>40445</v>
      </c>
    </row>
    <row r="7283" spans="1:24">
      <c r="A7283">
        <f>HYPERLINK("https://www.philgeps.gov.ph/GEPSNONPILOT/Tender/SplashBidNoticeAbstractUI.aspx?menuIndex=3&amp;refID=7039654&amp;Result=3","7039654")</f>
        <v>0</v>
      </c>
      <c r="B7283" t="s">
        <v>2261</v>
      </c>
      <c r="C7283" t="s">
        <v>10012</v>
      </c>
      <c r="D7283" t="s">
        <v>16212</v>
      </c>
      <c r="E7283" t="s">
        <v>22701</v>
      </c>
      <c r="F7283" t="s">
        <v>28198</v>
      </c>
      <c r="G7283" t="s">
        <v>28205</v>
      </c>
      <c r="H7283" t="s">
        <v>28215</v>
      </c>
      <c r="I7283" t="s">
        <v>5100</v>
      </c>
      <c r="J7283" t="s">
        <v>32899</v>
      </c>
      <c r="K7283" t="s">
        <v>36706</v>
      </c>
      <c r="M7283" t="s">
        <v>39431</v>
      </c>
      <c r="N7283" t="s">
        <v>40436</v>
      </c>
      <c r="O7283" t="s">
        <v>40437</v>
      </c>
      <c r="P7283">
        <v>0</v>
      </c>
      <c r="Q7283">
        <v>0</v>
      </c>
      <c r="R7283" t="s">
        <v>40444</v>
      </c>
      <c r="S7283" t="s">
        <v>40676</v>
      </c>
      <c r="T7283" t="s">
        <v>42158</v>
      </c>
      <c r="U7283" t="s">
        <v>46178</v>
      </c>
      <c r="V7283" t="s">
        <v>54536</v>
      </c>
      <c r="W7283" t="s">
        <v>39431</v>
      </c>
      <c r="X7283" t="s">
        <v>40445</v>
      </c>
    </row>
    <row r="7284" spans="1:24">
      <c r="A7284">
        <f>HYPERLINK("https://www.philgeps.gov.ph/GEPSNONPILOT/Tender/SplashBidNoticeAbstractUI.aspx?menuIndex=3&amp;refID=7039641&amp;Result=3","7039641")</f>
        <v>0</v>
      </c>
      <c r="B7284" t="s">
        <v>2256</v>
      </c>
      <c r="C7284" t="s">
        <v>10013</v>
      </c>
      <c r="D7284" t="s">
        <v>16209</v>
      </c>
      <c r="E7284" t="s">
        <v>22702</v>
      </c>
      <c r="F7284" t="s">
        <v>28198</v>
      </c>
      <c r="G7284" t="s">
        <v>28207</v>
      </c>
      <c r="H7284" t="s">
        <v>28215</v>
      </c>
      <c r="I7284" t="s">
        <v>28237</v>
      </c>
      <c r="J7284" t="s">
        <v>29288</v>
      </c>
      <c r="K7284" t="s">
        <v>36707</v>
      </c>
      <c r="M7284" t="s">
        <v>39426</v>
      </c>
      <c r="N7284" t="s">
        <v>40436</v>
      </c>
      <c r="O7284" t="s">
        <v>40437</v>
      </c>
      <c r="P7284">
        <v>0</v>
      </c>
      <c r="Q7284">
        <v>1</v>
      </c>
      <c r="R7284" t="s">
        <v>40444</v>
      </c>
      <c r="S7284" t="s">
        <v>40676</v>
      </c>
      <c r="T7284" t="s">
        <v>42184</v>
      </c>
      <c r="U7284" t="s">
        <v>48756</v>
      </c>
      <c r="W7284" t="s">
        <v>39426</v>
      </c>
      <c r="X7284" t="s">
        <v>40445</v>
      </c>
    </row>
    <row r="7285" spans="1:24">
      <c r="A7285">
        <f>HYPERLINK("https://www.philgeps.gov.ph/GEPSNONPILOT/Tender/SplashBidNoticeAbstractUI.aspx?menuIndex=3&amp;refID=7039642&amp;Result=3","7039642")</f>
        <v>0</v>
      </c>
      <c r="B7285" t="s">
        <v>1354</v>
      </c>
      <c r="C7285" t="s">
        <v>10014</v>
      </c>
      <c r="D7285" t="s">
        <v>16238</v>
      </c>
      <c r="E7285" t="s">
        <v>10014</v>
      </c>
      <c r="F7285" t="s">
        <v>28198</v>
      </c>
      <c r="G7285" t="s">
        <v>28205</v>
      </c>
      <c r="H7285" t="s">
        <v>28215</v>
      </c>
      <c r="I7285" t="s">
        <v>28261</v>
      </c>
      <c r="J7285" t="s">
        <v>32900</v>
      </c>
      <c r="K7285" t="s">
        <v>36701</v>
      </c>
      <c r="M7285" t="s">
        <v>38412</v>
      </c>
      <c r="N7285" t="s">
        <v>40436</v>
      </c>
      <c r="O7285" t="s">
        <v>40437</v>
      </c>
      <c r="P7285">
        <v>0</v>
      </c>
      <c r="Q7285">
        <v>2</v>
      </c>
      <c r="R7285" t="s">
        <v>40444</v>
      </c>
      <c r="S7285" t="s">
        <v>40676</v>
      </c>
      <c r="T7285" t="s">
        <v>42203</v>
      </c>
      <c r="U7285" t="s">
        <v>48757</v>
      </c>
      <c r="W7285" t="s">
        <v>38412</v>
      </c>
      <c r="X7285" t="s">
        <v>40445</v>
      </c>
    </row>
    <row r="7286" spans="1:24">
      <c r="A7286">
        <f>HYPERLINK("https://www.philgeps.gov.ph/GEPSNONPILOT/Tender/SplashBidNoticeAbstractUI.aspx?menuIndex=3&amp;refID=7039657&amp;Result=3","7039657")</f>
        <v>0</v>
      </c>
      <c r="B7286" t="s">
        <v>2262</v>
      </c>
      <c r="C7286" t="s">
        <v>10015</v>
      </c>
      <c r="D7286" t="s">
        <v>16199</v>
      </c>
      <c r="E7286" t="s">
        <v>16484</v>
      </c>
      <c r="F7286" t="s">
        <v>28200</v>
      </c>
      <c r="G7286" t="s">
        <v>28206</v>
      </c>
      <c r="H7286" t="s">
        <v>28215</v>
      </c>
      <c r="I7286" t="s">
        <v>28280</v>
      </c>
      <c r="J7286" t="s">
        <v>32901</v>
      </c>
      <c r="K7286" t="s">
        <v>36706</v>
      </c>
      <c r="M7286" t="s">
        <v>39432</v>
      </c>
      <c r="N7286" t="s">
        <v>40436</v>
      </c>
      <c r="O7286" t="s">
        <v>40437</v>
      </c>
      <c r="P7286">
        <v>0</v>
      </c>
      <c r="Q7286">
        <v>13</v>
      </c>
      <c r="R7286" t="s">
        <v>40444</v>
      </c>
      <c r="S7286" t="s">
        <v>40676</v>
      </c>
      <c r="T7286" t="s">
        <v>42245</v>
      </c>
      <c r="U7286" t="s">
        <v>48758</v>
      </c>
      <c r="W7286" t="s">
        <v>39432</v>
      </c>
      <c r="X7286" t="s">
        <v>40445</v>
      </c>
    </row>
    <row r="7287" spans="1:24">
      <c r="A7287">
        <f>HYPERLINK("https://www.philgeps.gov.ph/GEPSNONPILOT/Tender/SplashBidNoticeAbstractUI.aspx?menuIndex=3&amp;refID=7039639&amp;Result=3","7039639")</f>
        <v>0</v>
      </c>
      <c r="B7287" t="s">
        <v>509</v>
      </c>
      <c r="C7287" t="s">
        <v>10016</v>
      </c>
      <c r="D7287" t="s">
        <v>16239</v>
      </c>
      <c r="E7287" t="s">
        <v>22703</v>
      </c>
      <c r="F7287" t="s">
        <v>28198</v>
      </c>
      <c r="G7287" t="s">
        <v>28206</v>
      </c>
      <c r="H7287" t="s">
        <v>28215</v>
      </c>
      <c r="I7287" t="s">
        <v>28237</v>
      </c>
      <c r="J7287" t="s">
        <v>32902</v>
      </c>
      <c r="K7287" t="s">
        <v>36688</v>
      </c>
      <c r="M7287" t="s">
        <v>37494</v>
      </c>
      <c r="N7287" t="s">
        <v>40436</v>
      </c>
      <c r="O7287" t="s">
        <v>40437</v>
      </c>
      <c r="P7287">
        <v>0</v>
      </c>
      <c r="Q7287">
        <v>2</v>
      </c>
      <c r="R7287" t="s">
        <v>40444</v>
      </c>
      <c r="S7287" t="s">
        <v>40676</v>
      </c>
      <c r="T7287" t="s">
        <v>42318</v>
      </c>
      <c r="U7287" t="s">
        <v>48759</v>
      </c>
      <c r="W7287" t="s">
        <v>37494</v>
      </c>
      <c r="X7287" t="s">
        <v>40445</v>
      </c>
    </row>
    <row r="7288" spans="1:24">
      <c r="A7288">
        <f>HYPERLINK("https://www.philgeps.gov.ph/GEPSNONPILOT/Tender/SplashBidNoticeAbstractUI.aspx?menuIndex=3&amp;refID=7039643&amp;Result=3","7039643")</f>
        <v>0</v>
      </c>
      <c r="B7288" t="s">
        <v>2259</v>
      </c>
      <c r="C7288" t="s">
        <v>10017</v>
      </c>
      <c r="D7288" t="s">
        <v>16222</v>
      </c>
      <c r="E7288" t="s">
        <v>22704</v>
      </c>
      <c r="F7288" t="s">
        <v>28198</v>
      </c>
      <c r="G7288" t="s">
        <v>28205</v>
      </c>
      <c r="H7288" t="s">
        <v>28215</v>
      </c>
      <c r="I7288" t="s">
        <v>28258</v>
      </c>
      <c r="J7288" t="s">
        <v>28345</v>
      </c>
      <c r="K7288" t="s">
        <v>36688</v>
      </c>
      <c r="M7288" t="s">
        <v>39429</v>
      </c>
      <c r="N7288" t="s">
        <v>40436</v>
      </c>
      <c r="O7288" t="s">
        <v>40437</v>
      </c>
      <c r="P7288">
        <v>0</v>
      </c>
      <c r="Q7288">
        <v>5</v>
      </c>
      <c r="R7288" t="s">
        <v>40444</v>
      </c>
      <c r="S7288" t="s">
        <v>40676</v>
      </c>
      <c r="T7288" t="s">
        <v>42131</v>
      </c>
      <c r="U7288" t="s">
        <v>48760</v>
      </c>
      <c r="W7288" t="s">
        <v>39429</v>
      </c>
      <c r="X7288" t="s">
        <v>40445</v>
      </c>
    </row>
    <row r="7289" spans="1:24">
      <c r="A7289">
        <f>HYPERLINK("https://www.philgeps.gov.ph/GEPSNONPILOT/Tender/SplashBidNoticeAbstractUI.aspx?menuIndex=3&amp;refID=7039671&amp;Result=3","7039671")</f>
        <v>0</v>
      </c>
      <c r="B7289" t="s">
        <v>2256</v>
      </c>
      <c r="C7289" t="s">
        <v>10018</v>
      </c>
      <c r="D7289" t="s">
        <v>16209</v>
      </c>
      <c r="E7289" t="s">
        <v>22705</v>
      </c>
      <c r="F7289" t="s">
        <v>28198</v>
      </c>
      <c r="G7289" t="s">
        <v>28207</v>
      </c>
      <c r="H7289" t="s">
        <v>28215</v>
      </c>
      <c r="I7289" t="s">
        <v>3422</v>
      </c>
      <c r="J7289" t="s">
        <v>32903</v>
      </c>
      <c r="K7289" t="s">
        <v>36707</v>
      </c>
      <c r="M7289" t="s">
        <v>39426</v>
      </c>
      <c r="N7289" t="s">
        <v>40436</v>
      </c>
      <c r="O7289" t="s">
        <v>40437</v>
      </c>
      <c r="P7289">
        <v>0</v>
      </c>
      <c r="Q7289">
        <v>0</v>
      </c>
      <c r="R7289" t="s">
        <v>40444</v>
      </c>
      <c r="S7289" t="s">
        <v>40676</v>
      </c>
      <c r="T7289" t="s">
        <v>42184</v>
      </c>
      <c r="U7289" t="s">
        <v>48761</v>
      </c>
      <c r="W7289" t="s">
        <v>39426</v>
      </c>
      <c r="X7289" t="s">
        <v>40445</v>
      </c>
    </row>
    <row r="7290" spans="1:24">
      <c r="A7290">
        <f>HYPERLINK("https://www.philgeps.gov.ph/GEPSNONPILOT/Tender/SplashBidNoticeAbstractUI.aspx?menuIndex=3&amp;refID=7039655&amp;Result=3","7039655")</f>
        <v>0</v>
      </c>
      <c r="B7290" t="s">
        <v>2235</v>
      </c>
      <c r="C7290" t="s">
        <v>10019</v>
      </c>
      <c r="D7290" t="s">
        <v>16246</v>
      </c>
      <c r="E7290" t="s">
        <v>22706</v>
      </c>
      <c r="F7290" t="s">
        <v>28198</v>
      </c>
      <c r="G7290" t="s">
        <v>28205</v>
      </c>
      <c r="H7290" t="s">
        <v>28215</v>
      </c>
      <c r="I7290" t="s">
        <v>28249</v>
      </c>
      <c r="J7290" t="s">
        <v>32904</v>
      </c>
      <c r="K7290" t="s">
        <v>36689</v>
      </c>
      <c r="M7290" t="s">
        <v>39404</v>
      </c>
      <c r="N7290" t="s">
        <v>40436</v>
      </c>
      <c r="O7290" t="s">
        <v>40437</v>
      </c>
      <c r="P7290">
        <v>0</v>
      </c>
      <c r="Q7290">
        <v>1</v>
      </c>
      <c r="R7290" t="s">
        <v>40444</v>
      </c>
      <c r="S7290" t="s">
        <v>40676</v>
      </c>
      <c r="T7290" t="s">
        <v>42473</v>
      </c>
      <c r="U7290" t="s">
        <v>48762</v>
      </c>
      <c r="V7290" t="s">
        <v>54522</v>
      </c>
      <c r="W7290" t="s">
        <v>39404</v>
      </c>
      <c r="X7290" t="s">
        <v>40445</v>
      </c>
    </row>
    <row r="7291" spans="1:24">
      <c r="A7291">
        <f>HYPERLINK("https://www.philgeps.gov.ph/GEPSNONPILOT/Tender/SplashBidNoticeAbstractUI.aspx?menuIndex=3&amp;refID=7039672&amp;Result=3","7039672")</f>
        <v>0</v>
      </c>
      <c r="B7291" t="s">
        <v>2233</v>
      </c>
      <c r="C7291" t="s">
        <v>10020</v>
      </c>
      <c r="D7291" t="s">
        <v>16248</v>
      </c>
      <c r="E7291" t="s">
        <v>22707</v>
      </c>
      <c r="F7291" t="s">
        <v>28198</v>
      </c>
      <c r="G7291" t="s">
        <v>28205</v>
      </c>
      <c r="H7291" t="s">
        <v>28215</v>
      </c>
      <c r="I7291" t="s">
        <v>28284</v>
      </c>
      <c r="J7291" t="s">
        <v>32905</v>
      </c>
      <c r="K7291" t="s">
        <v>36687</v>
      </c>
      <c r="M7291" t="s">
        <v>39401</v>
      </c>
      <c r="N7291" t="s">
        <v>40436</v>
      </c>
      <c r="O7291" t="s">
        <v>40437</v>
      </c>
      <c r="P7291">
        <v>0</v>
      </c>
      <c r="Q7291">
        <v>2</v>
      </c>
      <c r="R7291" t="s">
        <v>40444</v>
      </c>
      <c r="S7291" t="s">
        <v>40676</v>
      </c>
      <c r="T7291" t="s">
        <v>42233</v>
      </c>
      <c r="U7291" t="s">
        <v>48763</v>
      </c>
      <c r="W7291" t="s">
        <v>39401</v>
      </c>
      <c r="X7291" t="s">
        <v>40445</v>
      </c>
    </row>
    <row r="7292" spans="1:24">
      <c r="A7292">
        <f>HYPERLINK("https://www.philgeps.gov.ph/GEPSNONPILOT/Tender/SplashBidNoticeAbstractUI.aspx?menuIndex=3&amp;refID=7039660&amp;Result=3","7039660")</f>
        <v>0</v>
      </c>
      <c r="B7292" t="s">
        <v>2256</v>
      </c>
      <c r="C7292" t="s">
        <v>10021</v>
      </c>
      <c r="D7292" t="s">
        <v>16209</v>
      </c>
      <c r="E7292" t="s">
        <v>22708</v>
      </c>
      <c r="F7292" t="s">
        <v>28198</v>
      </c>
      <c r="G7292" t="s">
        <v>28207</v>
      </c>
      <c r="H7292" t="s">
        <v>28215</v>
      </c>
      <c r="I7292" t="s">
        <v>4168</v>
      </c>
      <c r="J7292" t="s">
        <v>28671</v>
      </c>
      <c r="K7292" t="s">
        <v>36707</v>
      </c>
      <c r="M7292" t="s">
        <v>39426</v>
      </c>
      <c r="N7292" t="s">
        <v>40436</v>
      </c>
      <c r="O7292" t="s">
        <v>40437</v>
      </c>
      <c r="P7292">
        <v>0</v>
      </c>
      <c r="Q7292">
        <v>0</v>
      </c>
      <c r="R7292" t="s">
        <v>40444</v>
      </c>
      <c r="S7292" t="s">
        <v>40676</v>
      </c>
      <c r="T7292" t="s">
        <v>42184</v>
      </c>
      <c r="U7292" t="s">
        <v>48764</v>
      </c>
      <c r="W7292" t="s">
        <v>39426</v>
      </c>
      <c r="X7292" t="s">
        <v>40445</v>
      </c>
    </row>
    <row r="7293" spans="1:24">
      <c r="A7293">
        <f>HYPERLINK("https://www.philgeps.gov.ph/GEPSNONPILOT/Tender/SplashBidNoticeAbstractUI.aspx?menuIndex=3&amp;refID=7039661&amp;Result=3","7039661")</f>
        <v>0</v>
      </c>
      <c r="B7293" t="s">
        <v>2263</v>
      </c>
      <c r="C7293" t="s">
        <v>10022</v>
      </c>
      <c r="D7293" t="s">
        <v>16215</v>
      </c>
      <c r="E7293" t="s">
        <v>22709</v>
      </c>
      <c r="F7293" t="s">
        <v>28198</v>
      </c>
      <c r="G7293" t="s">
        <v>28205</v>
      </c>
      <c r="H7293" t="s">
        <v>28215</v>
      </c>
      <c r="I7293" t="s">
        <v>28222</v>
      </c>
      <c r="J7293" t="s">
        <v>28424</v>
      </c>
      <c r="K7293" t="s">
        <v>36701</v>
      </c>
      <c r="M7293" t="s">
        <v>39433</v>
      </c>
      <c r="N7293" t="s">
        <v>40436</v>
      </c>
      <c r="O7293" t="s">
        <v>40437</v>
      </c>
      <c r="P7293">
        <v>0</v>
      </c>
      <c r="Q7293">
        <v>8</v>
      </c>
      <c r="R7293" t="s">
        <v>40444</v>
      </c>
      <c r="S7293" t="s">
        <v>40676</v>
      </c>
      <c r="T7293" t="s">
        <v>42110</v>
      </c>
      <c r="U7293" t="s">
        <v>48765</v>
      </c>
      <c r="W7293" t="s">
        <v>39433</v>
      </c>
      <c r="X7293" t="s">
        <v>40445</v>
      </c>
    </row>
    <row r="7294" spans="1:24">
      <c r="A7294">
        <f>HYPERLINK("https://www.philgeps.gov.ph/GEPSNONPILOT/Tender/SplashBidNoticeAbstractUI.aspx?menuIndex=3&amp;refID=7039656&amp;Result=3","7039656")</f>
        <v>0</v>
      </c>
      <c r="B7294" t="s">
        <v>2233</v>
      </c>
      <c r="C7294" t="s">
        <v>10023</v>
      </c>
      <c r="D7294" t="s">
        <v>16248</v>
      </c>
      <c r="E7294" t="s">
        <v>22710</v>
      </c>
      <c r="F7294" t="s">
        <v>28198</v>
      </c>
      <c r="G7294" t="s">
        <v>28205</v>
      </c>
      <c r="H7294" t="s">
        <v>28215</v>
      </c>
      <c r="I7294" t="s">
        <v>4200</v>
      </c>
      <c r="J7294" t="s">
        <v>28414</v>
      </c>
      <c r="K7294" t="s">
        <v>36687</v>
      </c>
      <c r="M7294" t="s">
        <v>39401</v>
      </c>
      <c r="N7294" t="s">
        <v>40436</v>
      </c>
      <c r="O7294" t="s">
        <v>40437</v>
      </c>
      <c r="P7294">
        <v>0</v>
      </c>
      <c r="Q7294">
        <v>1</v>
      </c>
      <c r="R7294" t="s">
        <v>40444</v>
      </c>
      <c r="S7294" t="s">
        <v>40676</v>
      </c>
      <c r="T7294" t="s">
        <v>42233</v>
      </c>
      <c r="U7294" t="s">
        <v>48766</v>
      </c>
      <c r="W7294" t="s">
        <v>39401</v>
      </c>
      <c r="X7294" t="s">
        <v>40445</v>
      </c>
    </row>
    <row r="7295" spans="1:24">
      <c r="A7295">
        <f>HYPERLINK("https://www.philgeps.gov.ph/GEPSNONPILOT/Tender/SplashBidNoticeAbstractUI.aspx?menuIndex=3&amp;refID=7039675&amp;Result=3","7039675")</f>
        <v>0</v>
      </c>
      <c r="B7295" t="s">
        <v>509</v>
      </c>
      <c r="C7295" t="s">
        <v>10024</v>
      </c>
      <c r="D7295" t="s">
        <v>16239</v>
      </c>
      <c r="E7295" t="s">
        <v>22711</v>
      </c>
      <c r="F7295" t="s">
        <v>28198</v>
      </c>
      <c r="G7295" t="s">
        <v>28206</v>
      </c>
      <c r="H7295" t="s">
        <v>28215</v>
      </c>
      <c r="I7295" t="s">
        <v>28283</v>
      </c>
      <c r="J7295" t="s">
        <v>29432</v>
      </c>
      <c r="K7295" t="s">
        <v>36688</v>
      </c>
      <c r="M7295" t="s">
        <v>37494</v>
      </c>
      <c r="N7295" t="s">
        <v>40436</v>
      </c>
      <c r="O7295" t="s">
        <v>40437</v>
      </c>
      <c r="P7295">
        <v>0</v>
      </c>
      <c r="Q7295">
        <v>4</v>
      </c>
      <c r="R7295" t="s">
        <v>40444</v>
      </c>
      <c r="S7295" t="s">
        <v>40676</v>
      </c>
      <c r="T7295" t="s">
        <v>42318</v>
      </c>
      <c r="U7295" t="s">
        <v>48767</v>
      </c>
      <c r="W7295" t="s">
        <v>37494</v>
      </c>
      <c r="X7295" t="s">
        <v>40445</v>
      </c>
    </row>
    <row r="7296" spans="1:24">
      <c r="A7296">
        <f>HYPERLINK("https://www.philgeps.gov.ph/GEPSNONPILOT/Tender/SplashBidNoticeAbstractUI.aspx?menuIndex=3&amp;refID=7039673&amp;Result=3","7039673")</f>
        <v>0</v>
      </c>
      <c r="B7296" t="s">
        <v>2264</v>
      </c>
      <c r="C7296" t="s">
        <v>3422</v>
      </c>
      <c r="D7296" t="s">
        <v>16198</v>
      </c>
      <c r="E7296" t="s">
        <v>17567</v>
      </c>
      <c r="F7296" t="s">
        <v>28198</v>
      </c>
      <c r="G7296" t="s">
        <v>28205</v>
      </c>
      <c r="H7296" t="s">
        <v>28215</v>
      </c>
      <c r="I7296" t="s">
        <v>3422</v>
      </c>
      <c r="J7296" t="s">
        <v>32906</v>
      </c>
      <c r="K7296" t="s">
        <v>36707</v>
      </c>
      <c r="M7296" t="s">
        <v>39434</v>
      </c>
      <c r="N7296" t="s">
        <v>40436</v>
      </c>
      <c r="O7296" t="s">
        <v>40437</v>
      </c>
      <c r="P7296">
        <v>0</v>
      </c>
      <c r="Q7296">
        <v>0</v>
      </c>
      <c r="R7296" t="s">
        <v>40444</v>
      </c>
      <c r="S7296" t="s">
        <v>40676</v>
      </c>
      <c r="T7296" t="s">
        <v>42234</v>
      </c>
      <c r="U7296" t="s">
        <v>48768</v>
      </c>
      <c r="V7296" t="s">
        <v>54537</v>
      </c>
      <c r="W7296" t="s">
        <v>39434</v>
      </c>
      <c r="X7296" t="s">
        <v>40445</v>
      </c>
    </row>
    <row r="7297" spans="1:24">
      <c r="A7297">
        <f>HYPERLINK("https://www.philgeps.gov.ph/GEPSNONPILOT/Tender/SplashBidNoticeAbstractUI.aspx?menuIndex=3&amp;refID=7039677&amp;Result=3","7039677")</f>
        <v>0</v>
      </c>
      <c r="B7297" t="s">
        <v>2261</v>
      </c>
      <c r="C7297" t="s">
        <v>10025</v>
      </c>
      <c r="D7297" t="s">
        <v>16212</v>
      </c>
      <c r="E7297" t="s">
        <v>22712</v>
      </c>
      <c r="F7297" t="s">
        <v>28198</v>
      </c>
      <c r="G7297" t="s">
        <v>28205</v>
      </c>
      <c r="H7297" t="s">
        <v>28215</v>
      </c>
      <c r="I7297" t="s">
        <v>5100</v>
      </c>
      <c r="J7297" t="s">
        <v>32907</v>
      </c>
      <c r="K7297" t="s">
        <v>36706</v>
      </c>
      <c r="M7297" t="s">
        <v>39431</v>
      </c>
      <c r="N7297" t="s">
        <v>40436</v>
      </c>
      <c r="O7297" t="s">
        <v>40437</v>
      </c>
      <c r="P7297">
        <v>0</v>
      </c>
      <c r="Q7297">
        <v>0</v>
      </c>
      <c r="R7297" t="s">
        <v>40444</v>
      </c>
      <c r="S7297" t="s">
        <v>40676</v>
      </c>
      <c r="T7297" t="s">
        <v>42158</v>
      </c>
      <c r="U7297" t="s">
        <v>46178</v>
      </c>
      <c r="V7297" t="s">
        <v>54536</v>
      </c>
      <c r="W7297" t="s">
        <v>39431</v>
      </c>
      <c r="X7297" t="s">
        <v>40445</v>
      </c>
    </row>
    <row r="7298" spans="1:24">
      <c r="A7298">
        <f>HYPERLINK("https://www.philgeps.gov.ph/GEPSNONPILOT/Tender/SplashBidNoticeAbstractUI.aspx?menuIndex=3&amp;refID=7039662&amp;Result=3","7039662")</f>
        <v>0</v>
      </c>
      <c r="B7298" t="s">
        <v>325</v>
      </c>
      <c r="C7298" t="s">
        <v>10026</v>
      </c>
      <c r="D7298" t="s">
        <v>16226</v>
      </c>
      <c r="E7298" t="s">
        <v>22713</v>
      </c>
      <c r="F7298" t="s">
        <v>28198</v>
      </c>
      <c r="G7298" t="s">
        <v>28209</v>
      </c>
      <c r="H7298" t="s">
        <v>28215</v>
      </c>
      <c r="I7298" t="s">
        <v>28249</v>
      </c>
      <c r="J7298" t="s">
        <v>31763</v>
      </c>
      <c r="K7298" t="s">
        <v>36706</v>
      </c>
      <c r="M7298" t="s">
        <v>37303</v>
      </c>
      <c r="N7298" t="s">
        <v>40436</v>
      </c>
      <c r="O7298" t="s">
        <v>40437</v>
      </c>
      <c r="P7298">
        <v>0</v>
      </c>
      <c r="Q7298">
        <v>2</v>
      </c>
      <c r="R7298" t="s">
        <v>40444</v>
      </c>
      <c r="S7298" t="s">
        <v>40676</v>
      </c>
      <c r="T7298" t="s">
        <v>42184</v>
      </c>
      <c r="U7298" t="s">
        <v>48769</v>
      </c>
      <c r="W7298" t="s">
        <v>55443</v>
      </c>
      <c r="X7298" t="s">
        <v>40445</v>
      </c>
    </row>
    <row r="7299" spans="1:24">
      <c r="A7299">
        <f>HYPERLINK("https://www.philgeps.gov.ph/GEPSNONPILOT/Tender/SplashBidNoticeAbstractUI.aspx?menuIndex=3&amp;refID=7039663&amp;Result=3","7039663")</f>
        <v>0</v>
      </c>
      <c r="B7299" t="s">
        <v>52</v>
      </c>
      <c r="C7299" t="s">
        <v>10027</v>
      </c>
      <c r="E7299" t="s">
        <v>22714</v>
      </c>
      <c r="F7299" t="s">
        <v>28198</v>
      </c>
      <c r="G7299" t="s">
        <v>28207</v>
      </c>
      <c r="H7299" t="s">
        <v>28215</v>
      </c>
      <c r="I7299" t="s">
        <v>5082</v>
      </c>
      <c r="J7299" t="s">
        <v>32908</v>
      </c>
      <c r="K7299" t="s">
        <v>36701</v>
      </c>
      <c r="M7299" t="s">
        <v>37589</v>
      </c>
      <c r="N7299" t="s">
        <v>40436</v>
      </c>
      <c r="O7299" t="s">
        <v>40437</v>
      </c>
      <c r="P7299">
        <v>0</v>
      </c>
      <c r="Q7299">
        <v>3</v>
      </c>
      <c r="R7299" t="s">
        <v>40444</v>
      </c>
      <c r="S7299" t="s">
        <v>40676</v>
      </c>
      <c r="T7299" t="s">
        <v>42142</v>
      </c>
      <c r="U7299" t="s">
        <v>48770</v>
      </c>
      <c r="W7299" t="s">
        <v>55453</v>
      </c>
      <c r="X7299" t="s">
        <v>40445</v>
      </c>
    </row>
    <row r="7300" spans="1:24">
      <c r="A7300">
        <f>HYPERLINK("https://www.philgeps.gov.ph/GEPSNONPILOT/Tender/SplashBidNoticeAbstractUI.aspx?menuIndex=3&amp;refID=7039692&amp;Result=3","7039692")</f>
        <v>0</v>
      </c>
      <c r="B7300" t="s">
        <v>2038</v>
      </c>
      <c r="C7300" t="s">
        <v>10028</v>
      </c>
      <c r="D7300" t="s">
        <v>16274</v>
      </c>
      <c r="E7300" t="s">
        <v>22715</v>
      </c>
      <c r="F7300" t="s">
        <v>28198</v>
      </c>
      <c r="G7300" t="s">
        <v>28205</v>
      </c>
      <c r="H7300" t="s">
        <v>28214</v>
      </c>
      <c r="I7300" t="s">
        <v>3797</v>
      </c>
      <c r="J7300" t="s">
        <v>32909</v>
      </c>
      <c r="K7300" t="s">
        <v>36707</v>
      </c>
      <c r="M7300" t="s">
        <v>39181</v>
      </c>
      <c r="N7300" t="s">
        <v>40436</v>
      </c>
      <c r="O7300" t="s">
        <v>40437</v>
      </c>
      <c r="P7300">
        <v>0</v>
      </c>
      <c r="Q7300">
        <v>0</v>
      </c>
      <c r="R7300" t="s">
        <v>40444</v>
      </c>
      <c r="S7300" t="s">
        <v>40676</v>
      </c>
      <c r="T7300" t="s">
        <v>42234</v>
      </c>
      <c r="U7300" t="s">
        <v>48771</v>
      </c>
      <c r="V7300" t="s">
        <v>54538</v>
      </c>
      <c r="W7300" t="s">
        <v>39181</v>
      </c>
      <c r="X7300" t="s">
        <v>40445</v>
      </c>
    </row>
    <row r="7301" spans="1:24">
      <c r="A7301">
        <f>HYPERLINK("https://www.philgeps.gov.ph/GEPSNONPILOT/Tender/SplashBidNoticeAbstractUI.aspx?menuIndex=3&amp;refID=7039678&amp;Result=3","7039678")</f>
        <v>0</v>
      </c>
      <c r="B7301" t="s">
        <v>1354</v>
      </c>
      <c r="C7301" t="s">
        <v>10029</v>
      </c>
      <c r="D7301" t="s">
        <v>16238</v>
      </c>
      <c r="E7301" t="s">
        <v>22716</v>
      </c>
      <c r="F7301" t="s">
        <v>28198</v>
      </c>
      <c r="G7301" t="s">
        <v>28205</v>
      </c>
      <c r="H7301" t="s">
        <v>28215</v>
      </c>
      <c r="I7301" t="s">
        <v>3774</v>
      </c>
      <c r="J7301" t="s">
        <v>32910</v>
      </c>
      <c r="K7301" t="s">
        <v>36701</v>
      </c>
      <c r="M7301" t="s">
        <v>38412</v>
      </c>
      <c r="N7301" t="s">
        <v>40436</v>
      </c>
      <c r="O7301" t="s">
        <v>40437</v>
      </c>
      <c r="P7301">
        <v>0</v>
      </c>
      <c r="Q7301">
        <v>1</v>
      </c>
      <c r="R7301" t="s">
        <v>40444</v>
      </c>
      <c r="S7301" t="s">
        <v>40676</v>
      </c>
      <c r="T7301" t="s">
        <v>42203</v>
      </c>
      <c r="U7301" t="s">
        <v>48772</v>
      </c>
      <c r="W7301" t="s">
        <v>38412</v>
      </c>
      <c r="X7301" t="s">
        <v>40445</v>
      </c>
    </row>
    <row r="7302" spans="1:24">
      <c r="A7302">
        <f>HYPERLINK("https://www.philgeps.gov.ph/GEPSNONPILOT/Tender/SplashBidNoticeAbstractUI.aspx?menuIndex=3&amp;refID=7039689&amp;Result=3","7039689")</f>
        <v>0</v>
      </c>
      <c r="B7302" t="s">
        <v>2256</v>
      </c>
      <c r="C7302" t="s">
        <v>10030</v>
      </c>
      <c r="D7302" t="s">
        <v>16209</v>
      </c>
      <c r="E7302" t="s">
        <v>22717</v>
      </c>
      <c r="F7302" t="s">
        <v>28198</v>
      </c>
      <c r="G7302" t="s">
        <v>28207</v>
      </c>
      <c r="H7302" t="s">
        <v>28215</v>
      </c>
      <c r="I7302" t="s">
        <v>3774</v>
      </c>
      <c r="J7302" t="s">
        <v>32911</v>
      </c>
      <c r="K7302" t="s">
        <v>36707</v>
      </c>
      <c r="M7302" t="s">
        <v>39426</v>
      </c>
      <c r="N7302" t="s">
        <v>40436</v>
      </c>
      <c r="O7302" t="s">
        <v>40437</v>
      </c>
      <c r="P7302">
        <v>0</v>
      </c>
      <c r="Q7302">
        <v>0</v>
      </c>
      <c r="R7302" t="s">
        <v>40444</v>
      </c>
      <c r="S7302" t="s">
        <v>40676</v>
      </c>
      <c r="T7302" t="s">
        <v>42184</v>
      </c>
      <c r="U7302" t="s">
        <v>48773</v>
      </c>
      <c r="W7302" t="s">
        <v>39426</v>
      </c>
      <c r="X7302" t="s">
        <v>40445</v>
      </c>
    </row>
    <row r="7303" spans="1:24">
      <c r="A7303">
        <f>HYPERLINK("https://www.philgeps.gov.ph/GEPSNONPILOT/Tender/SplashBidNoticeAbstractUI.aspx?menuIndex=3&amp;refID=7039681&amp;Result=3","7039681")</f>
        <v>0</v>
      </c>
      <c r="B7303" t="s">
        <v>773</v>
      </c>
      <c r="C7303" t="s">
        <v>10031</v>
      </c>
      <c r="D7303" t="s">
        <v>16219</v>
      </c>
      <c r="E7303" t="s">
        <v>22718</v>
      </c>
      <c r="F7303" t="s">
        <v>28198</v>
      </c>
      <c r="G7303" t="s">
        <v>28205</v>
      </c>
      <c r="H7303" t="s">
        <v>28215</v>
      </c>
      <c r="I7303" t="s">
        <v>5100</v>
      </c>
      <c r="J7303" t="s">
        <v>32912</v>
      </c>
      <c r="K7303" t="s">
        <v>36706</v>
      </c>
      <c r="M7303" t="s">
        <v>38111</v>
      </c>
      <c r="N7303" t="s">
        <v>40436</v>
      </c>
      <c r="O7303" t="s">
        <v>40437</v>
      </c>
      <c r="P7303">
        <v>0</v>
      </c>
      <c r="Q7303">
        <v>0</v>
      </c>
      <c r="R7303" t="s">
        <v>40444</v>
      </c>
      <c r="S7303" t="s">
        <v>40676</v>
      </c>
      <c r="T7303" t="s">
        <v>42233</v>
      </c>
      <c r="U7303" t="s">
        <v>48774</v>
      </c>
      <c r="W7303" t="s">
        <v>38111</v>
      </c>
      <c r="X7303" t="s">
        <v>40445</v>
      </c>
    </row>
    <row r="7304" spans="1:24">
      <c r="A7304">
        <f>HYPERLINK("https://www.philgeps.gov.ph/GEPSNONPILOT/Tender/SplashBidNoticeAbstractUI.aspx?menuIndex=3&amp;refID=7039709&amp;Result=3","7039709")</f>
        <v>0</v>
      </c>
      <c r="B7304" t="s">
        <v>2261</v>
      </c>
      <c r="C7304" t="s">
        <v>10032</v>
      </c>
      <c r="D7304" t="s">
        <v>16212</v>
      </c>
      <c r="E7304" t="s">
        <v>22719</v>
      </c>
      <c r="F7304" t="s">
        <v>28198</v>
      </c>
      <c r="G7304" t="s">
        <v>28205</v>
      </c>
      <c r="H7304" t="s">
        <v>28215</v>
      </c>
      <c r="I7304" t="s">
        <v>5100</v>
      </c>
      <c r="J7304" t="s">
        <v>32913</v>
      </c>
      <c r="K7304" t="s">
        <v>36706</v>
      </c>
      <c r="M7304" t="s">
        <v>39431</v>
      </c>
      <c r="N7304" t="s">
        <v>40436</v>
      </c>
      <c r="O7304" t="s">
        <v>40437</v>
      </c>
      <c r="P7304">
        <v>0</v>
      </c>
      <c r="Q7304">
        <v>0</v>
      </c>
      <c r="R7304" t="s">
        <v>40444</v>
      </c>
      <c r="S7304" t="s">
        <v>40676</v>
      </c>
      <c r="T7304" t="s">
        <v>42158</v>
      </c>
      <c r="U7304" t="s">
        <v>46178</v>
      </c>
      <c r="V7304" t="s">
        <v>54536</v>
      </c>
      <c r="W7304" t="s">
        <v>39431</v>
      </c>
      <c r="X7304" t="s">
        <v>40445</v>
      </c>
    </row>
    <row r="7305" spans="1:24">
      <c r="A7305">
        <f>HYPERLINK("https://www.philgeps.gov.ph/GEPSNONPILOT/Tender/SplashBidNoticeAbstractUI.aspx?menuIndex=3&amp;refID=7039696&amp;Result=3","7039696")</f>
        <v>0</v>
      </c>
      <c r="B7305" t="s">
        <v>325</v>
      </c>
      <c r="C7305" t="s">
        <v>10033</v>
      </c>
      <c r="D7305" t="s">
        <v>16226</v>
      </c>
      <c r="E7305" t="s">
        <v>22720</v>
      </c>
      <c r="F7305" t="s">
        <v>28198</v>
      </c>
      <c r="G7305" t="s">
        <v>28209</v>
      </c>
      <c r="H7305" t="s">
        <v>28215</v>
      </c>
      <c r="I7305" t="s">
        <v>28227</v>
      </c>
      <c r="J7305" t="s">
        <v>28398</v>
      </c>
      <c r="K7305" t="s">
        <v>36706</v>
      </c>
      <c r="M7305" t="s">
        <v>37303</v>
      </c>
      <c r="N7305" t="s">
        <v>40436</v>
      </c>
      <c r="O7305" t="s">
        <v>40437</v>
      </c>
      <c r="P7305">
        <v>0</v>
      </c>
      <c r="Q7305">
        <v>2</v>
      </c>
      <c r="R7305" t="s">
        <v>40444</v>
      </c>
      <c r="S7305" t="s">
        <v>40676</v>
      </c>
      <c r="T7305" t="s">
        <v>42184</v>
      </c>
      <c r="U7305" t="s">
        <v>48775</v>
      </c>
      <c r="W7305" t="s">
        <v>55443</v>
      </c>
      <c r="X7305" t="s">
        <v>40445</v>
      </c>
    </row>
    <row r="7306" spans="1:24">
      <c r="A7306">
        <f>HYPERLINK("https://www.philgeps.gov.ph/GEPSNONPILOT/Tender/SplashBidNoticeAbstractUI.aspx?menuIndex=3&amp;refID=7039683&amp;Result=3","7039683")</f>
        <v>0</v>
      </c>
      <c r="B7306" t="s">
        <v>380</v>
      </c>
      <c r="C7306" t="s">
        <v>3797</v>
      </c>
      <c r="D7306" t="s">
        <v>16256</v>
      </c>
      <c r="E7306" t="s">
        <v>22721</v>
      </c>
      <c r="F7306" t="s">
        <v>28198</v>
      </c>
      <c r="G7306" t="s">
        <v>28205</v>
      </c>
      <c r="H7306" t="s">
        <v>28214</v>
      </c>
      <c r="I7306" t="s">
        <v>3797</v>
      </c>
      <c r="J7306" t="s">
        <v>32914</v>
      </c>
      <c r="K7306" t="s">
        <v>36689</v>
      </c>
      <c r="M7306" t="s">
        <v>37360</v>
      </c>
      <c r="N7306" t="s">
        <v>40436</v>
      </c>
      <c r="O7306" t="s">
        <v>40437</v>
      </c>
      <c r="P7306">
        <v>0</v>
      </c>
      <c r="Q7306">
        <v>0</v>
      </c>
      <c r="R7306" t="s">
        <v>40444</v>
      </c>
      <c r="S7306" t="s">
        <v>40676</v>
      </c>
      <c r="T7306" t="s">
        <v>42169</v>
      </c>
      <c r="U7306" t="s">
        <v>48776</v>
      </c>
      <c r="W7306" t="s">
        <v>37360</v>
      </c>
      <c r="X7306" t="s">
        <v>40445</v>
      </c>
    </row>
    <row r="7307" spans="1:24">
      <c r="A7307">
        <f>HYPERLINK("https://www.philgeps.gov.ph/GEPSNONPILOT/Tender/SplashBidNoticeAbstractUI.aspx?menuIndex=3&amp;refID=7039711&amp;Result=3","7039711")</f>
        <v>0</v>
      </c>
      <c r="B7307" t="s">
        <v>2259</v>
      </c>
      <c r="C7307" t="s">
        <v>10034</v>
      </c>
      <c r="D7307" t="s">
        <v>16222</v>
      </c>
      <c r="E7307" t="s">
        <v>22722</v>
      </c>
      <c r="F7307" t="s">
        <v>28198</v>
      </c>
      <c r="G7307" t="s">
        <v>28205</v>
      </c>
      <c r="H7307" t="s">
        <v>28215</v>
      </c>
      <c r="I7307" t="s">
        <v>28234</v>
      </c>
      <c r="J7307" t="s">
        <v>32915</v>
      </c>
      <c r="K7307" t="s">
        <v>36688</v>
      </c>
      <c r="M7307" t="s">
        <v>39429</v>
      </c>
      <c r="N7307" t="s">
        <v>40436</v>
      </c>
      <c r="O7307" t="s">
        <v>40437</v>
      </c>
      <c r="P7307">
        <v>0</v>
      </c>
      <c r="Q7307">
        <v>5</v>
      </c>
      <c r="R7307" t="s">
        <v>40444</v>
      </c>
      <c r="S7307" t="s">
        <v>40676</v>
      </c>
      <c r="T7307" t="s">
        <v>42131</v>
      </c>
      <c r="U7307" t="s">
        <v>48777</v>
      </c>
      <c r="W7307" t="s">
        <v>39429</v>
      </c>
      <c r="X7307" t="s">
        <v>40445</v>
      </c>
    </row>
    <row r="7308" spans="1:24">
      <c r="A7308">
        <f>HYPERLINK("https://www.philgeps.gov.ph/GEPSNONPILOT/Tender/SplashBidNoticeAbstractUI.aspx?menuIndex=3&amp;refID=7039704&amp;Result=3","7039704")</f>
        <v>0</v>
      </c>
      <c r="B7308" t="s">
        <v>1210</v>
      </c>
      <c r="C7308" t="s">
        <v>10035</v>
      </c>
      <c r="D7308" t="s">
        <v>16230</v>
      </c>
      <c r="E7308" t="s">
        <v>22723</v>
      </c>
      <c r="F7308" t="s">
        <v>28198</v>
      </c>
      <c r="G7308" t="s">
        <v>28207</v>
      </c>
      <c r="H7308" t="s">
        <v>28215</v>
      </c>
      <c r="I7308" t="s">
        <v>6051</v>
      </c>
      <c r="J7308" t="s">
        <v>32916</v>
      </c>
      <c r="K7308" t="s">
        <v>36701</v>
      </c>
      <c r="M7308" t="s">
        <v>38255</v>
      </c>
      <c r="N7308" t="s">
        <v>40436</v>
      </c>
      <c r="O7308" t="s">
        <v>40437</v>
      </c>
      <c r="P7308">
        <v>0</v>
      </c>
      <c r="Q7308">
        <v>2</v>
      </c>
      <c r="R7308" t="s">
        <v>40444</v>
      </c>
      <c r="S7308" t="s">
        <v>40676</v>
      </c>
      <c r="T7308" t="s">
        <v>42245</v>
      </c>
      <c r="U7308" t="s">
        <v>48778</v>
      </c>
      <c r="W7308" t="s">
        <v>55476</v>
      </c>
      <c r="X7308" t="s">
        <v>40445</v>
      </c>
    </row>
    <row r="7309" spans="1:24">
      <c r="A7309">
        <f>HYPERLINK("https://www.philgeps.gov.ph/GEPSNONPILOT/Tender/SplashBidNoticeAbstractUI.aspx?menuIndex=3&amp;refID=7039699&amp;Result=3","7039699")</f>
        <v>0</v>
      </c>
      <c r="B7309" t="s">
        <v>2265</v>
      </c>
      <c r="C7309" t="s">
        <v>10036</v>
      </c>
      <c r="D7309" t="s">
        <v>16199</v>
      </c>
      <c r="E7309" t="s">
        <v>16473</v>
      </c>
      <c r="F7309" t="s">
        <v>28198</v>
      </c>
      <c r="G7309" t="s">
        <v>28207</v>
      </c>
      <c r="H7309" t="s">
        <v>28215</v>
      </c>
      <c r="I7309" t="s">
        <v>28254</v>
      </c>
      <c r="J7309" t="s">
        <v>30939</v>
      </c>
      <c r="K7309" t="s">
        <v>36691</v>
      </c>
      <c r="M7309" t="s">
        <v>39435</v>
      </c>
      <c r="N7309" t="s">
        <v>40436</v>
      </c>
      <c r="O7309" t="s">
        <v>40437</v>
      </c>
      <c r="P7309">
        <v>0</v>
      </c>
      <c r="Q7309">
        <v>1</v>
      </c>
      <c r="R7309" t="s">
        <v>40444</v>
      </c>
      <c r="S7309" t="s">
        <v>40676</v>
      </c>
      <c r="T7309" t="s">
        <v>42158</v>
      </c>
      <c r="U7309" t="s">
        <v>48779</v>
      </c>
      <c r="W7309" t="s">
        <v>39435</v>
      </c>
      <c r="X7309" t="s">
        <v>40445</v>
      </c>
    </row>
    <row r="7310" spans="1:24">
      <c r="A7310">
        <f>HYPERLINK("https://www.philgeps.gov.ph/GEPSNONPILOT/Tender/SplashBidNoticeAbstractUI.aspx?menuIndex=3&amp;refID=7039713&amp;Result=3","7039713")</f>
        <v>0</v>
      </c>
      <c r="B7310" t="s">
        <v>2257</v>
      </c>
      <c r="C7310" t="s">
        <v>10037</v>
      </c>
      <c r="D7310" t="s">
        <v>16204</v>
      </c>
      <c r="E7310" t="s">
        <v>22724</v>
      </c>
      <c r="F7310" t="s">
        <v>28198</v>
      </c>
      <c r="G7310" t="s">
        <v>28205</v>
      </c>
      <c r="H7310" t="s">
        <v>28214</v>
      </c>
      <c r="I7310" t="s">
        <v>3797</v>
      </c>
      <c r="J7310" t="s">
        <v>32917</v>
      </c>
      <c r="K7310" t="s">
        <v>36689</v>
      </c>
      <c r="M7310" t="s">
        <v>39427</v>
      </c>
      <c r="N7310" t="s">
        <v>40436</v>
      </c>
      <c r="O7310" t="s">
        <v>40437</v>
      </c>
      <c r="P7310">
        <v>0</v>
      </c>
      <c r="Q7310">
        <v>0</v>
      </c>
      <c r="R7310" t="s">
        <v>40444</v>
      </c>
      <c r="S7310" t="s">
        <v>40676</v>
      </c>
      <c r="T7310" t="s">
        <v>42185</v>
      </c>
      <c r="U7310" t="s">
        <v>48780</v>
      </c>
      <c r="V7310" t="s">
        <v>54539</v>
      </c>
      <c r="W7310" t="s">
        <v>39427</v>
      </c>
      <c r="X7310" t="s">
        <v>40445</v>
      </c>
    </row>
    <row r="7311" spans="1:24">
      <c r="A7311">
        <f>HYPERLINK("https://www.philgeps.gov.ph/GEPSNONPILOT/Tender/SplashBidNoticeAbstractUI.aspx?menuIndex=3&amp;refID=7039706&amp;Result=3","7039706")</f>
        <v>0</v>
      </c>
      <c r="B7311" t="s">
        <v>509</v>
      </c>
      <c r="C7311" t="s">
        <v>10038</v>
      </c>
      <c r="D7311" t="s">
        <v>16239</v>
      </c>
      <c r="E7311" t="s">
        <v>22725</v>
      </c>
      <c r="F7311" t="s">
        <v>28198</v>
      </c>
      <c r="G7311" t="s">
        <v>28206</v>
      </c>
      <c r="H7311" t="s">
        <v>28215</v>
      </c>
      <c r="I7311" t="s">
        <v>28225</v>
      </c>
      <c r="J7311" t="s">
        <v>29680</v>
      </c>
      <c r="K7311" t="s">
        <v>36688</v>
      </c>
      <c r="M7311" t="s">
        <v>37494</v>
      </c>
      <c r="N7311" t="s">
        <v>40436</v>
      </c>
      <c r="O7311" t="s">
        <v>40437</v>
      </c>
      <c r="P7311">
        <v>0</v>
      </c>
      <c r="Q7311">
        <v>3</v>
      </c>
      <c r="R7311" t="s">
        <v>40444</v>
      </c>
      <c r="S7311" t="s">
        <v>40676</v>
      </c>
      <c r="T7311" t="s">
        <v>42318</v>
      </c>
      <c r="U7311" t="s">
        <v>48781</v>
      </c>
      <c r="W7311" t="s">
        <v>37494</v>
      </c>
      <c r="X7311" t="s">
        <v>40445</v>
      </c>
    </row>
    <row r="7312" spans="1:24">
      <c r="A7312">
        <f>HYPERLINK("https://www.philgeps.gov.ph/GEPSNONPILOT/Tender/SplashBidNoticeAbstractUI.aspx?menuIndex=3&amp;refID=7039712&amp;Result=3","7039712")</f>
        <v>0</v>
      </c>
      <c r="B7312" t="s">
        <v>2199</v>
      </c>
      <c r="C7312" t="s">
        <v>10039</v>
      </c>
      <c r="D7312" t="s">
        <v>16235</v>
      </c>
      <c r="E7312" t="s">
        <v>22726</v>
      </c>
      <c r="F7312" t="s">
        <v>28198</v>
      </c>
      <c r="G7312" t="s">
        <v>28205</v>
      </c>
      <c r="H7312" t="s">
        <v>28214</v>
      </c>
      <c r="I7312" t="s">
        <v>3797</v>
      </c>
      <c r="J7312" t="s">
        <v>32918</v>
      </c>
      <c r="K7312" t="s">
        <v>36689</v>
      </c>
      <c r="M7312" t="s">
        <v>39364</v>
      </c>
      <c r="N7312" t="s">
        <v>40436</v>
      </c>
      <c r="O7312" t="s">
        <v>40437</v>
      </c>
      <c r="P7312">
        <v>0</v>
      </c>
      <c r="Q7312">
        <v>0</v>
      </c>
      <c r="R7312" t="s">
        <v>40444</v>
      </c>
      <c r="S7312" t="s">
        <v>40676</v>
      </c>
      <c r="T7312" t="s">
        <v>42426</v>
      </c>
      <c r="U7312" t="s">
        <v>48782</v>
      </c>
      <c r="W7312" t="s">
        <v>39364</v>
      </c>
      <c r="X7312" t="s">
        <v>40445</v>
      </c>
    </row>
    <row r="7313" spans="1:24">
      <c r="A7313">
        <f>HYPERLINK("https://www.philgeps.gov.ph/GEPSNONPILOT/Tender/SplashBidNoticeAbstractUI.aspx?menuIndex=3&amp;refID=7039698&amp;Result=3","7039698")</f>
        <v>0</v>
      </c>
      <c r="B7313" t="s">
        <v>1354</v>
      </c>
      <c r="C7313" t="s">
        <v>10040</v>
      </c>
      <c r="D7313" t="s">
        <v>16238</v>
      </c>
      <c r="E7313" t="s">
        <v>22727</v>
      </c>
      <c r="F7313" t="s">
        <v>28198</v>
      </c>
      <c r="G7313" t="s">
        <v>28205</v>
      </c>
      <c r="H7313" t="s">
        <v>28215</v>
      </c>
      <c r="I7313" t="s">
        <v>3774</v>
      </c>
      <c r="J7313" t="s">
        <v>32919</v>
      </c>
      <c r="K7313" t="s">
        <v>36701</v>
      </c>
      <c r="M7313" t="s">
        <v>38412</v>
      </c>
      <c r="N7313" t="s">
        <v>40436</v>
      </c>
      <c r="O7313" t="s">
        <v>40437</v>
      </c>
      <c r="P7313">
        <v>0</v>
      </c>
      <c r="Q7313">
        <v>0</v>
      </c>
      <c r="R7313" t="s">
        <v>40444</v>
      </c>
      <c r="S7313" t="s">
        <v>40676</v>
      </c>
      <c r="T7313" t="s">
        <v>42203</v>
      </c>
      <c r="U7313" t="s">
        <v>48783</v>
      </c>
      <c r="W7313" t="s">
        <v>38412</v>
      </c>
      <c r="X7313" t="s">
        <v>40445</v>
      </c>
    </row>
    <row r="7314" spans="1:24">
      <c r="A7314">
        <f>HYPERLINK("https://www.philgeps.gov.ph/GEPSNONPILOT/Tender/SplashBidNoticeAbstractUI.aspx?menuIndex=3&amp;refID=7039697&amp;Result=3","7039697")</f>
        <v>0</v>
      </c>
      <c r="B7314" t="s">
        <v>2258</v>
      </c>
      <c r="C7314" t="s">
        <v>10041</v>
      </c>
      <c r="D7314" t="s">
        <v>16200</v>
      </c>
      <c r="E7314" t="s">
        <v>22728</v>
      </c>
      <c r="F7314" t="s">
        <v>28198</v>
      </c>
      <c r="G7314" t="s">
        <v>28205</v>
      </c>
      <c r="H7314" t="s">
        <v>28215</v>
      </c>
      <c r="I7314" t="s">
        <v>8888</v>
      </c>
      <c r="J7314" t="s">
        <v>32920</v>
      </c>
      <c r="K7314" t="s">
        <v>36701</v>
      </c>
      <c r="M7314" t="s">
        <v>39428</v>
      </c>
      <c r="N7314" t="s">
        <v>40436</v>
      </c>
      <c r="O7314" t="s">
        <v>40437</v>
      </c>
      <c r="P7314">
        <v>0</v>
      </c>
      <c r="Q7314">
        <v>3</v>
      </c>
      <c r="R7314" t="s">
        <v>40444</v>
      </c>
      <c r="S7314" t="s">
        <v>40676</v>
      </c>
      <c r="T7314" t="s">
        <v>42183</v>
      </c>
      <c r="U7314" t="s">
        <v>48784</v>
      </c>
      <c r="W7314" t="s">
        <v>39428</v>
      </c>
      <c r="X7314" t="s">
        <v>40445</v>
      </c>
    </row>
    <row r="7315" spans="1:24">
      <c r="A7315">
        <f>HYPERLINK("https://www.philgeps.gov.ph/GEPSNONPILOT/Tender/SplashBidNoticeAbstractUI.aspx?menuIndex=3&amp;refID=7039729&amp;Result=3","7039729")</f>
        <v>0</v>
      </c>
      <c r="B7315" t="s">
        <v>605</v>
      </c>
      <c r="C7315" t="s">
        <v>10042</v>
      </c>
      <c r="D7315" t="s">
        <v>16220</v>
      </c>
      <c r="E7315" t="s">
        <v>22729</v>
      </c>
      <c r="F7315" t="s">
        <v>28200</v>
      </c>
      <c r="G7315" t="s">
        <v>28207</v>
      </c>
      <c r="H7315" t="s">
        <v>28217</v>
      </c>
      <c r="I7315" t="s">
        <v>4222</v>
      </c>
      <c r="J7315" t="s">
        <v>29597</v>
      </c>
      <c r="K7315" t="s">
        <v>36688</v>
      </c>
      <c r="M7315" t="s">
        <v>37596</v>
      </c>
      <c r="N7315" t="s">
        <v>40436</v>
      </c>
      <c r="O7315" t="s">
        <v>40437</v>
      </c>
      <c r="P7315">
        <v>0</v>
      </c>
      <c r="Q7315">
        <v>0</v>
      </c>
      <c r="R7315" t="s">
        <v>40444</v>
      </c>
      <c r="S7315" t="s">
        <v>40676</v>
      </c>
      <c r="T7315" t="s">
        <v>42245</v>
      </c>
      <c r="U7315" t="s">
        <v>48785</v>
      </c>
      <c r="W7315" t="s">
        <v>37596</v>
      </c>
      <c r="X7315" t="s">
        <v>40445</v>
      </c>
    </row>
    <row r="7316" spans="1:24">
      <c r="A7316">
        <f>HYPERLINK("https://www.philgeps.gov.ph/GEPSNONPILOT/Tender/SplashBidNoticeAbstractUI.aspx?menuIndex=3&amp;refID=7039700&amp;Result=3","7039700")</f>
        <v>0</v>
      </c>
      <c r="B7316" t="s">
        <v>1105</v>
      </c>
      <c r="C7316" t="s">
        <v>10043</v>
      </c>
      <c r="D7316" t="s">
        <v>16206</v>
      </c>
      <c r="E7316" t="s">
        <v>18369</v>
      </c>
      <c r="F7316" t="s">
        <v>28198</v>
      </c>
      <c r="G7316" t="s">
        <v>28207</v>
      </c>
      <c r="H7316" t="s">
        <v>28214</v>
      </c>
      <c r="I7316" t="s">
        <v>3797</v>
      </c>
      <c r="J7316" t="s">
        <v>32921</v>
      </c>
      <c r="K7316" t="s">
        <v>36701</v>
      </c>
      <c r="M7316" t="s">
        <v>38141</v>
      </c>
      <c r="N7316" t="s">
        <v>40436</v>
      </c>
      <c r="O7316" t="s">
        <v>40437</v>
      </c>
      <c r="P7316">
        <v>0</v>
      </c>
      <c r="Q7316">
        <v>0</v>
      </c>
      <c r="R7316" t="s">
        <v>40444</v>
      </c>
      <c r="S7316" t="s">
        <v>40676</v>
      </c>
      <c r="T7316" t="s">
        <v>42184</v>
      </c>
      <c r="U7316" t="s">
        <v>48786</v>
      </c>
      <c r="V7316" t="s">
        <v>54540</v>
      </c>
      <c r="W7316" t="s">
        <v>38141</v>
      </c>
      <c r="X7316" t="s">
        <v>40445</v>
      </c>
    </row>
    <row r="7317" spans="1:24">
      <c r="A7317">
        <f>HYPERLINK("https://www.philgeps.gov.ph/GEPSNONPILOT/Tender/SplashBidNoticeAbstractUI.aspx?menuIndex=3&amp;refID=7039721&amp;Result=3","7039721")</f>
        <v>0</v>
      </c>
      <c r="B7317" t="s">
        <v>2209</v>
      </c>
      <c r="C7317" t="s">
        <v>10044</v>
      </c>
      <c r="D7317" t="s">
        <v>16195</v>
      </c>
      <c r="E7317" t="s">
        <v>22730</v>
      </c>
      <c r="F7317" t="s">
        <v>28198</v>
      </c>
      <c r="G7317" t="s">
        <v>28205</v>
      </c>
      <c r="H7317" t="s">
        <v>28215</v>
      </c>
      <c r="I7317" t="s">
        <v>28237</v>
      </c>
      <c r="J7317" t="s">
        <v>28398</v>
      </c>
      <c r="K7317" t="s">
        <v>36706</v>
      </c>
      <c r="M7317" t="s">
        <v>39374</v>
      </c>
      <c r="N7317" t="s">
        <v>40436</v>
      </c>
      <c r="O7317" t="s">
        <v>40437</v>
      </c>
      <c r="P7317">
        <v>0</v>
      </c>
      <c r="Q7317">
        <v>2</v>
      </c>
      <c r="R7317" t="s">
        <v>40444</v>
      </c>
      <c r="S7317" t="s">
        <v>40676</v>
      </c>
      <c r="T7317" t="s">
        <v>42479</v>
      </c>
      <c r="U7317" t="s">
        <v>48556</v>
      </c>
      <c r="W7317" t="s">
        <v>55509</v>
      </c>
      <c r="X7317" t="s">
        <v>40445</v>
      </c>
    </row>
    <row r="7318" spans="1:24">
      <c r="A7318">
        <f>HYPERLINK("https://www.philgeps.gov.ph/GEPSNONPILOT/Tender/SplashBidNoticeAbstractUI.aspx?menuIndex=3&amp;refID=7039731&amp;Result=3","7039731")</f>
        <v>0</v>
      </c>
      <c r="B7318" t="s">
        <v>1105</v>
      </c>
      <c r="C7318" t="s">
        <v>10045</v>
      </c>
      <c r="D7318" t="s">
        <v>16206</v>
      </c>
      <c r="E7318" t="s">
        <v>18367</v>
      </c>
      <c r="F7318" t="s">
        <v>28198</v>
      </c>
      <c r="G7318" t="s">
        <v>28207</v>
      </c>
      <c r="H7318" t="s">
        <v>28214</v>
      </c>
      <c r="I7318" t="s">
        <v>3797</v>
      </c>
      <c r="J7318" t="s">
        <v>32922</v>
      </c>
      <c r="K7318" t="s">
        <v>36701</v>
      </c>
      <c r="M7318" t="s">
        <v>38141</v>
      </c>
      <c r="N7318" t="s">
        <v>40436</v>
      </c>
      <c r="O7318" t="s">
        <v>40437</v>
      </c>
      <c r="P7318">
        <v>0</v>
      </c>
      <c r="Q7318">
        <v>0</v>
      </c>
      <c r="R7318" t="s">
        <v>40444</v>
      </c>
      <c r="S7318" t="s">
        <v>40676</v>
      </c>
      <c r="T7318" t="s">
        <v>42184</v>
      </c>
      <c r="U7318" t="s">
        <v>48787</v>
      </c>
      <c r="V7318" t="s">
        <v>54541</v>
      </c>
      <c r="W7318" t="s">
        <v>38141</v>
      </c>
      <c r="X7318" t="s">
        <v>40445</v>
      </c>
    </row>
    <row r="7319" spans="1:24">
      <c r="A7319">
        <f>HYPERLINK("https://www.philgeps.gov.ph/GEPSNONPILOT/Tender/SplashBidNoticeAbstractUI.aspx?menuIndex=3&amp;refID=7039718&amp;Result=3","7039718")</f>
        <v>0</v>
      </c>
      <c r="B7319" t="s">
        <v>1990</v>
      </c>
      <c r="C7319" t="s">
        <v>10046</v>
      </c>
      <c r="D7319" t="s">
        <v>16258</v>
      </c>
      <c r="E7319" t="s">
        <v>22731</v>
      </c>
      <c r="F7319" t="s">
        <v>28198</v>
      </c>
      <c r="G7319" t="s">
        <v>28205</v>
      </c>
      <c r="H7319" t="s">
        <v>28214</v>
      </c>
      <c r="I7319" t="s">
        <v>3797</v>
      </c>
      <c r="J7319" t="s">
        <v>32923</v>
      </c>
      <c r="K7319" t="s">
        <v>36736</v>
      </c>
      <c r="M7319" t="s">
        <v>39436</v>
      </c>
      <c r="N7319" t="s">
        <v>40436</v>
      </c>
      <c r="O7319" t="s">
        <v>40437</v>
      </c>
      <c r="P7319">
        <v>0</v>
      </c>
      <c r="Q7319">
        <v>0</v>
      </c>
      <c r="R7319" t="s">
        <v>40444</v>
      </c>
      <c r="S7319" t="s">
        <v>40676</v>
      </c>
      <c r="T7319" t="s">
        <v>42485</v>
      </c>
      <c r="U7319" t="s">
        <v>48788</v>
      </c>
      <c r="V7319" t="s">
        <v>54542</v>
      </c>
      <c r="W7319" t="s">
        <v>39436</v>
      </c>
      <c r="X7319" t="s">
        <v>40445</v>
      </c>
    </row>
    <row r="7320" spans="1:24">
      <c r="A7320">
        <f>HYPERLINK("https://www.philgeps.gov.ph/GEPSNONPILOT/Tender/SplashBidNoticeAbstractUI.aspx?menuIndex=3&amp;refID=7039720&amp;Result=3","7039720")</f>
        <v>0</v>
      </c>
      <c r="B7320" t="s">
        <v>325</v>
      </c>
      <c r="C7320" t="s">
        <v>10047</v>
      </c>
      <c r="D7320" t="s">
        <v>16226</v>
      </c>
      <c r="E7320" t="s">
        <v>22732</v>
      </c>
      <c r="F7320" t="s">
        <v>28198</v>
      </c>
      <c r="G7320" t="s">
        <v>28209</v>
      </c>
      <c r="H7320" t="s">
        <v>28215</v>
      </c>
      <c r="I7320" t="s">
        <v>28227</v>
      </c>
      <c r="J7320" t="s">
        <v>32924</v>
      </c>
      <c r="K7320" t="s">
        <v>36706</v>
      </c>
      <c r="M7320" t="s">
        <v>37303</v>
      </c>
      <c r="N7320" t="s">
        <v>40436</v>
      </c>
      <c r="O7320" t="s">
        <v>40437</v>
      </c>
      <c r="P7320">
        <v>0</v>
      </c>
      <c r="Q7320">
        <v>2</v>
      </c>
      <c r="R7320" t="s">
        <v>40444</v>
      </c>
      <c r="S7320" t="s">
        <v>40676</v>
      </c>
      <c r="T7320" t="s">
        <v>42184</v>
      </c>
      <c r="U7320" t="s">
        <v>48789</v>
      </c>
      <c r="W7320" t="s">
        <v>55443</v>
      </c>
      <c r="X7320" t="s">
        <v>40445</v>
      </c>
    </row>
    <row r="7321" spans="1:24">
      <c r="A7321">
        <f>HYPERLINK("https://www.philgeps.gov.ph/GEPSNONPILOT/Tender/SplashBidNoticeAbstractUI.aspx?menuIndex=3&amp;refID=7039714&amp;Result=3","7039714")</f>
        <v>0</v>
      </c>
      <c r="B7321" t="s">
        <v>1726</v>
      </c>
      <c r="C7321" t="s">
        <v>10048</v>
      </c>
      <c r="D7321" t="s">
        <v>16233</v>
      </c>
      <c r="E7321" t="s">
        <v>22733</v>
      </c>
      <c r="F7321" t="s">
        <v>28198</v>
      </c>
      <c r="G7321" t="s">
        <v>28205</v>
      </c>
      <c r="H7321" t="s">
        <v>28215</v>
      </c>
      <c r="I7321" t="s">
        <v>5100</v>
      </c>
      <c r="J7321" t="s">
        <v>32925</v>
      </c>
      <c r="K7321" t="s">
        <v>36689</v>
      </c>
      <c r="M7321" t="s">
        <v>38835</v>
      </c>
      <c r="N7321" t="s">
        <v>40436</v>
      </c>
      <c r="O7321" t="s">
        <v>40437</v>
      </c>
      <c r="P7321">
        <v>0</v>
      </c>
      <c r="Q7321">
        <v>2</v>
      </c>
      <c r="R7321" t="s">
        <v>40444</v>
      </c>
      <c r="S7321" t="s">
        <v>40676</v>
      </c>
      <c r="T7321" t="s">
        <v>42486</v>
      </c>
      <c r="U7321" t="s">
        <v>48790</v>
      </c>
      <c r="V7321" t="s">
        <v>54543</v>
      </c>
      <c r="W7321" t="s">
        <v>38835</v>
      </c>
      <c r="X7321" t="s">
        <v>40445</v>
      </c>
    </row>
    <row r="7322" spans="1:24">
      <c r="A7322">
        <f>HYPERLINK("https://www.philgeps.gov.ph/GEPSNONPILOT/Tender/SplashBidNoticeAbstractUI.aspx?menuIndex=3&amp;refID=7039724&amp;Result=3","7039724")</f>
        <v>0</v>
      </c>
      <c r="B7322" t="s">
        <v>1354</v>
      </c>
      <c r="C7322" t="s">
        <v>10049</v>
      </c>
      <c r="D7322" t="s">
        <v>16238</v>
      </c>
      <c r="E7322" t="s">
        <v>10049</v>
      </c>
      <c r="F7322" t="s">
        <v>28198</v>
      </c>
      <c r="G7322" t="s">
        <v>28205</v>
      </c>
      <c r="H7322" t="s">
        <v>28215</v>
      </c>
      <c r="I7322" t="s">
        <v>28308</v>
      </c>
      <c r="J7322" t="s">
        <v>32926</v>
      </c>
      <c r="K7322" t="s">
        <v>36701</v>
      </c>
      <c r="M7322" t="s">
        <v>38412</v>
      </c>
      <c r="N7322" t="s">
        <v>40436</v>
      </c>
      <c r="O7322" t="s">
        <v>40437</v>
      </c>
      <c r="P7322">
        <v>0</v>
      </c>
      <c r="Q7322">
        <v>0</v>
      </c>
      <c r="R7322" t="s">
        <v>40444</v>
      </c>
      <c r="S7322" t="s">
        <v>40676</v>
      </c>
      <c r="T7322" t="s">
        <v>42203</v>
      </c>
      <c r="U7322" t="s">
        <v>48791</v>
      </c>
      <c r="W7322" t="s">
        <v>38412</v>
      </c>
      <c r="X7322" t="s">
        <v>40445</v>
      </c>
    </row>
    <row r="7323" spans="1:24">
      <c r="A7323">
        <f>HYPERLINK("https://www.philgeps.gov.ph/GEPSNONPILOT/Tender/SplashBidNoticeAbstractUI.aspx?menuIndex=3&amp;refID=7039726&amp;Result=3","7039726")</f>
        <v>0</v>
      </c>
      <c r="B7323" t="s">
        <v>766</v>
      </c>
      <c r="C7323" t="s">
        <v>10050</v>
      </c>
      <c r="D7323" t="s">
        <v>16219</v>
      </c>
      <c r="E7323" t="s">
        <v>22734</v>
      </c>
      <c r="F7323" t="s">
        <v>28198</v>
      </c>
      <c r="G7323" t="s">
        <v>28205</v>
      </c>
      <c r="H7323" t="s">
        <v>28215</v>
      </c>
      <c r="I7323" t="s">
        <v>4505</v>
      </c>
      <c r="J7323" t="s">
        <v>29437</v>
      </c>
      <c r="K7323" t="s">
        <v>36701</v>
      </c>
      <c r="M7323" t="s">
        <v>38825</v>
      </c>
      <c r="N7323" t="s">
        <v>40436</v>
      </c>
      <c r="O7323" t="s">
        <v>40437</v>
      </c>
      <c r="P7323">
        <v>0</v>
      </c>
      <c r="Q7323">
        <v>4</v>
      </c>
      <c r="R7323" t="s">
        <v>40444</v>
      </c>
      <c r="S7323" t="s">
        <v>40676</v>
      </c>
      <c r="T7323" t="s">
        <v>42234</v>
      </c>
      <c r="U7323" t="s">
        <v>48792</v>
      </c>
      <c r="W7323" t="s">
        <v>38825</v>
      </c>
      <c r="X7323" t="s">
        <v>40445</v>
      </c>
    </row>
    <row r="7324" spans="1:24">
      <c r="A7324">
        <f>HYPERLINK("https://www.philgeps.gov.ph/GEPSNONPILOT/Tender/SplashBidNoticeAbstractUI.aspx?menuIndex=3&amp;refID=7039719&amp;Result=3","7039719")</f>
        <v>0</v>
      </c>
      <c r="B7324" t="s">
        <v>580</v>
      </c>
      <c r="C7324" t="s">
        <v>10051</v>
      </c>
      <c r="D7324" t="s">
        <v>16214</v>
      </c>
      <c r="E7324" t="s">
        <v>22735</v>
      </c>
      <c r="F7324" t="s">
        <v>28198</v>
      </c>
      <c r="G7324" t="s">
        <v>28205</v>
      </c>
      <c r="H7324" t="s">
        <v>28215</v>
      </c>
      <c r="I7324" t="s">
        <v>28234</v>
      </c>
      <c r="J7324" t="s">
        <v>32927</v>
      </c>
      <c r="K7324" t="s">
        <v>36687</v>
      </c>
      <c r="M7324" t="s">
        <v>37570</v>
      </c>
      <c r="N7324" t="s">
        <v>40436</v>
      </c>
      <c r="O7324" t="s">
        <v>40437</v>
      </c>
      <c r="P7324">
        <v>0</v>
      </c>
      <c r="Q7324">
        <v>2</v>
      </c>
      <c r="R7324" t="s">
        <v>40444</v>
      </c>
      <c r="S7324" t="s">
        <v>40676</v>
      </c>
      <c r="T7324" t="s">
        <v>42164</v>
      </c>
      <c r="U7324" t="s">
        <v>48793</v>
      </c>
      <c r="W7324" t="s">
        <v>37570</v>
      </c>
      <c r="X7324" t="s">
        <v>40445</v>
      </c>
    </row>
    <row r="7325" spans="1:24">
      <c r="A7325">
        <f>HYPERLINK("https://www.philgeps.gov.ph/GEPSNONPILOT/Tender/SplashBidNoticeAbstractUI.aspx?menuIndex=3&amp;refID=7039734&amp;Result=3","7039734")</f>
        <v>0</v>
      </c>
      <c r="B7325" t="s">
        <v>2233</v>
      </c>
      <c r="C7325" t="s">
        <v>10052</v>
      </c>
      <c r="D7325" t="s">
        <v>16248</v>
      </c>
      <c r="E7325" t="s">
        <v>22736</v>
      </c>
      <c r="F7325" t="s">
        <v>28198</v>
      </c>
      <c r="G7325" t="s">
        <v>28205</v>
      </c>
      <c r="H7325" t="s">
        <v>28215</v>
      </c>
      <c r="I7325" t="s">
        <v>28311</v>
      </c>
      <c r="J7325" t="s">
        <v>32140</v>
      </c>
      <c r="K7325" t="s">
        <v>36701</v>
      </c>
      <c r="M7325" t="s">
        <v>39401</v>
      </c>
      <c r="N7325" t="s">
        <v>40436</v>
      </c>
      <c r="O7325" t="s">
        <v>40437</v>
      </c>
      <c r="P7325">
        <v>0</v>
      </c>
      <c r="Q7325">
        <v>0</v>
      </c>
      <c r="R7325" t="s">
        <v>40444</v>
      </c>
      <c r="S7325" t="s">
        <v>40676</v>
      </c>
      <c r="T7325" t="s">
        <v>42233</v>
      </c>
      <c r="U7325" t="s">
        <v>48794</v>
      </c>
      <c r="W7325" t="s">
        <v>39401</v>
      </c>
      <c r="X7325" t="s">
        <v>40445</v>
      </c>
    </row>
    <row r="7326" spans="1:24">
      <c r="A7326">
        <f>HYPERLINK("https://www.philgeps.gov.ph/GEPSNONPILOT/Tender/SplashBidNoticeAbstractUI.aspx?menuIndex=3&amp;refID=7039737&amp;Result=3","7039737")</f>
        <v>0</v>
      </c>
      <c r="B7326" t="s">
        <v>509</v>
      </c>
      <c r="C7326" t="s">
        <v>10053</v>
      </c>
      <c r="D7326" t="s">
        <v>16239</v>
      </c>
      <c r="E7326" t="s">
        <v>22737</v>
      </c>
      <c r="F7326" t="s">
        <v>28198</v>
      </c>
      <c r="G7326" t="s">
        <v>28206</v>
      </c>
      <c r="H7326" t="s">
        <v>28215</v>
      </c>
      <c r="I7326" t="s">
        <v>9499</v>
      </c>
      <c r="J7326" t="s">
        <v>28787</v>
      </c>
      <c r="K7326" t="s">
        <v>36688</v>
      </c>
      <c r="M7326" t="s">
        <v>37494</v>
      </c>
      <c r="N7326" t="s">
        <v>40436</v>
      </c>
      <c r="O7326" t="s">
        <v>40437</v>
      </c>
      <c r="P7326">
        <v>0</v>
      </c>
      <c r="Q7326">
        <v>8</v>
      </c>
      <c r="R7326" t="s">
        <v>40444</v>
      </c>
      <c r="S7326" t="s">
        <v>40676</v>
      </c>
      <c r="T7326" t="s">
        <v>42318</v>
      </c>
      <c r="U7326" t="s">
        <v>48795</v>
      </c>
      <c r="W7326" t="s">
        <v>37494</v>
      </c>
      <c r="X7326" t="s">
        <v>40445</v>
      </c>
    </row>
    <row r="7327" spans="1:24">
      <c r="A7327">
        <f>HYPERLINK("https://www.philgeps.gov.ph/GEPSNONPILOT/Tender/SplashBidNoticeAbstractUI.aspx?menuIndex=3&amp;refID=7039738&amp;Result=3","7039738")</f>
        <v>0</v>
      </c>
      <c r="B7327" t="s">
        <v>1675</v>
      </c>
      <c r="C7327" t="s">
        <v>10054</v>
      </c>
      <c r="D7327" t="s">
        <v>16197</v>
      </c>
      <c r="E7327" t="s">
        <v>22738</v>
      </c>
      <c r="F7327" t="s">
        <v>28198</v>
      </c>
      <c r="G7327" t="s">
        <v>28205</v>
      </c>
      <c r="H7327" t="s">
        <v>28215</v>
      </c>
      <c r="I7327" t="s">
        <v>28222</v>
      </c>
      <c r="J7327" t="s">
        <v>32928</v>
      </c>
      <c r="K7327" t="s">
        <v>36689</v>
      </c>
      <c r="M7327" t="s">
        <v>38771</v>
      </c>
      <c r="N7327" t="s">
        <v>40436</v>
      </c>
      <c r="O7327" t="s">
        <v>40437</v>
      </c>
      <c r="P7327">
        <v>0</v>
      </c>
      <c r="Q7327">
        <v>2</v>
      </c>
      <c r="R7327" t="s">
        <v>40444</v>
      </c>
      <c r="S7327" t="s">
        <v>40676</v>
      </c>
      <c r="T7327" t="s">
        <v>42145</v>
      </c>
      <c r="U7327" t="s">
        <v>48796</v>
      </c>
      <c r="W7327" t="s">
        <v>38771</v>
      </c>
      <c r="X7327" t="s">
        <v>40445</v>
      </c>
    </row>
    <row r="7328" spans="1:24">
      <c r="A7328">
        <f>HYPERLINK("https://www.philgeps.gov.ph/GEPSNONPILOT/Tender/SplashBidNoticeAbstractUI.aspx?menuIndex=3&amp;refID=7039769&amp;Result=3","7039769")</f>
        <v>0</v>
      </c>
      <c r="B7328" t="s">
        <v>509</v>
      </c>
      <c r="C7328" t="s">
        <v>10055</v>
      </c>
      <c r="D7328" t="s">
        <v>16239</v>
      </c>
      <c r="E7328" t="s">
        <v>22739</v>
      </c>
      <c r="F7328" t="s">
        <v>28198</v>
      </c>
      <c r="G7328" t="s">
        <v>28206</v>
      </c>
      <c r="H7328" t="s">
        <v>28215</v>
      </c>
      <c r="I7328" t="s">
        <v>5082</v>
      </c>
      <c r="J7328" t="s">
        <v>32929</v>
      </c>
      <c r="K7328" t="s">
        <v>36688</v>
      </c>
      <c r="M7328" t="s">
        <v>37494</v>
      </c>
      <c r="N7328" t="s">
        <v>40436</v>
      </c>
      <c r="O7328" t="s">
        <v>40437</v>
      </c>
      <c r="P7328">
        <v>0</v>
      </c>
      <c r="Q7328">
        <v>1</v>
      </c>
      <c r="R7328" t="s">
        <v>40444</v>
      </c>
      <c r="S7328" t="s">
        <v>40676</v>
      </c>
      <c r="T7328" t="s">
        <v>42318</v>
      </c>
      <c r="U7328" t="s">
        <v>43415</v>
      </c>
      <c r="W7328" t="s">
        <v>37494</v>
      </c>
      <c r="X7328" t="s">
        <v>40445</v>
      </c>
    </row>
    <row r="7329" spans="1:24">
      <c r="A7329">
        <f>HYPERLINK("https://www.philgeps.gov.ph/GEPSNONPILOT/Tender/SplashBidNoticeAbstractUI.aspx?menuIndex=3&amp;refID=7039739&amp;Result=3","7039739")</f>
        <v>0</v>
      </c>
      <c r="B7329" t="s">
        <v>1990</v>
      </c>
      <c r="C7329" t="s">
        <v>10056</v>
      </c>
      <c r="D7329" t="s">
        <v>16258</v>
      </c>
      <c r="E7329" t="s">
        <v>22740</v>
      </c>
      <c r="F7329" t="s">
        <v>28198</v>
      </c>
      <c r="G7329" t="s">
        <v>28205</v>
      </c>
      <c r="H7329" t="s">
        <v>28214</v>
      </c>
      <c r="I7329" t="s">
        <v>3797</v>
      </c>
      <c r="J7329" t="s">
        <v>32930</v>
      </c>
      <c r="K7329" t="s">
        <v>36692</v>
      </c>
      <c r="M7329" t="s">
        <v>39436</v>
      </c>
      <c r="N7329" t="s">
        <v>40436</v>
      </c>
      <c r="O7329" t="s">
        <v>40437</v>
      </c>
      <c r="P7329">
        <v>0</v>
      </c>
      <c r="Q7329">
        <v>0</v>
      </c>
      <c r="R7329" t="s">
        <v>40444</v>
      </c>
      <c r="S7329" t="s">
        <v>40676</v>
      </c>
      <c r="T7329" t="s">
        <v>42485</v>
      </c>
      <c r="U7329" t="s">
        <v>48797</v>
      </c>
      <c r="V7329" t="s">
        <v>54542</v>
      </c>
      <c r="W7329" t="s">
        <v>39436</v>
      </c>
      <c r="X7329" t="s">
        <v>40445</v>
      </c>
    </row>
    <row r="7330" spans="1:24">
      <c r="A7330">
        <f>HYPERLINK("https://www.philgeps.gov.ph/GEPSNONPILOT/Tender/SplashBidNoticeAbstractUI.aspx?menuIndex=3&amp;refID=7039762&amp;Result=3","7039762")</f>
        <v>0</v>
      </c>
      <c r="B7330" t="s">
        <v>2053</v>
      </c>
      <c r="C7330" t="s">
        <v>10057</v>
      </c>
      <c r="E7330" t="s">
        <v>22741</v>
      </c>
      <c r="F7330" t="s">
        <v>28198</v>
      </c>
      <c r="G7330" t="s">
        <v>28205</v>
      </c>
      <c r="H7330" t="s">
        <v>28215</v>
      </c>
      <c r="I7330" t="s">
        <v>3797</v>
      </c>
      <c r="J7330" t="s">
        <v>32931</v>
      </c>
      <c r="K7330" t="s">
        <v>36689</v>
      </c>
      <c r="M7330" t="s">
        <v>39199</v>
      </c>
      <c r="N7330" t="s">
        <v>40436</v>
      </c>
      <c r="O7330" t="s">
        <v>40437</v>
      </c>
      <c r="P7330">
        <v>0</v>
      </c>
      <c r="Q7330">
        <v>3</v>
      </c>
      <c r="R7330" t="s">
        <v>40444</v>
      </c>
      <c r="S7330" t="s">
        <v>40676</v>
      </c>
      <c r="T7330" t="s">
        <v>42134</v>
      </c>
      <c r="U7330" t="s">
        <v>48798</v>
      </c>
      <c r="V7330" t="s">
        <v>53826</v>
      </c>
      <c r="W7330" t="s">
        <v>39199</v>
      </c>
      <c r="X7330" t="s">
        <v>40445</v>
      </c>
    </row>
    <row r="7331" spans="1:24">
      <c r="A7331">
        <f>HYPERLINK("https://www.philgeps.gov.ph/GEPSNONPILOT/Tender/SplashBidNoticeAbstractUI.aspx?menuIndex=3&amp;refID=7039742&amp;Result=3","7039742")</f>
        <v>0</v>
      </c>
      <c r="B7331" t="s">
        <v>2208</v>
      </c>
      <c r="C7331" t="s">
        <v>10058</v>
      </c>
      <c r="D7331" t="s">
        <v>16237</v>
      </c>
      <c r="E7331" t="s">
        <v>16501</v>
      </c>
      <c r="F7331" t="s">
        <v>28198</v>
      </c>
      <c r="G7331" t="s">
        <v>28205</v>
      </c>
      <c r="H7331" t="s">
        <v>28214</v>
      </c>
      <c r="I7331" t="s">
        <v>3797</v>
      </c>
      <c r="J7331" t="s">
        <v>28629</v>
      </c>
      <c r="K7331" t="s">
        <v>36715</v>
      </c>
      <c r="M7331" t="s">
        <v>39373</v>
      </c>
      <c r="N7331" t="s">
        <v>40436</v>
      </c>
      <c r="O7331" t="s">
        <v>40437</v>
      </c>
      <c r="P7331">
        <v>0</v>
      </c>
      <c r="Q7331">
        <v>0</v>
      </c>
      <c r="R7331" t="s">
        <v>40444</v>
      </c>
      <c r="S7331" t="s">
        <v>40676</v>
      </c>
      <c r="T7331" t="s">
        <v>42173</v>
      </c>
      <c r="U7331" t="s">
        <v>48799</v>
      </c>
      <c r="W7331" t="s">
        <v>39373</v>
      </c>
      <c r="X7331" t="s">
        <v>40445</v>
      </c>
    </row>
    <row r="7332" spans="1:24">
      <c r="A7332">
        <f>HYPERLINK("https://www.philgeps.gov.ph/GEPSNONPILOT/Tender/SplashBidNoticeAbstractUI.aspx?menuIndex=3&amp;refID=7039774&amp;Result=3","7039774")</f>
        <v>0</v>
      </c>
      <c r="B7332" t="s">
        <v>1990</v>
      </c>
      <c r="C7332" t="s">
        <v>10059</v>
      </c>
      <c r="D7332" t="s">
        <v>16258</v>
      </c>
      <c r="E7332" t="s">
        <v>22742</v>
      </c>
      <c r="F7332" t="s">
        <v>28198</v>
      </c>
      <c r="G7332" t="s">
        <v>28205</v>
      </c>
      <c r="H7332" t="s">
        <v>28214</v>
      </c>
      <c r="I7332" t="s">
        <v>3797</v>
      </c>
      <c r="J7332" t="s">
        <v>32932</v>
      </c>
      <c r="K7332" t="s">
        <v>36697</v>
      </c>
      <c r="M7332" t="s">
        <v>39436</v>
      </c>
      <c r="N7332" t="s">
        <v>40436</v>
      </c>
      <c r="O7332" t="s">
        <v>40437</v>
      </c>
      <c r="P7332">
        <v>0</v>
      </c>
      <c r="Q7332">
        <v>0</v>
      </c>
      <c r="R7332" t="s">
        <v>40444</v>
      </c>
      <c r="S7332" t="s">
        <v>40676</v>
      </c>
      <c r="T7332" t="s">
        <v>42485</v>
      </c>
      <c r="U7332" t="s">
        <v>48800</v>
      </c>
      <c r="V7332" t="s">
        <v>54542</v>
      </c>
      <c r="W7332" t="s">
        <v>39436</v>
      </c>
      <c r="X7332" t="s">
        <v>40445</v>
      </c>
    </row>
    <row r="7333" spans="1:24">
      <c r="A7333">
        <f>HYPERLINK("https://www.philgeps.gov.ph/GEPSNONPILOT/Tender/SplashBidNoticeAbstractUI.aspx?menuIndex=3&amp;refID=7039760&amp;Result=3","7039760")</f>
        <v>0</v>
      </c>
      <c r="B7333" t="s">
        <v>2233</v>
      </c>
      <c r="C7333" t="s">
        <v>10060</v>
      </c>
      <c r="D7333" t="s">
        <v>16248</v>
      </c>
      <c r="E7333" t="s">
        <v>22743</v>
      </c>
      <c r="F7333" t="s">
        <v>28198</v>
      </c>
      <c r="G7333" t="s">
        <v>28205</v>
      </c>
      <c r="H7333" t="s">
        <v>28215</v>
      </c>
      <c r="I7333" t="s">
        <v>5791</v>
      </c>
      <c r="J7333" t="s">
        <v>28414</v>
      </c>
      <c r="K7333" t="s">
        <v>36689</v>
      </c>
      <c r="M7333" t="s">
        <v>39401</v>
      </c>
      <c r="N7333" t="s">
        <v>40436</v>
      </c>
      <c r="O7333" t="s">
        <v>40437</v>
      </c>
      <c r="P7333">
        <v>0</v>
      </c>
      <c r="Q7333">
        <v>0</v>
      </c>
      <c r="R7333" t="s">
        <v>40444</v>
      </c>
      <c r="S7333" t="s">
        <v>40676</v>
      </c>
      <c r="T7333" t="s">
        <v>42233</v>
      </c>
      <c r="U7333" t="s">
        <v>48801</v>
      </c>
      <c r="W7333" t="s">
        <v>39401</v>
      </c>
      <c r="X7333" t="s">
        <v>40445</v>
      </c>
    </row>
    <row r="7334" spans="1:24">
      <c r="A7334">
        <f>HYPERLINK("https://www.philgeps.gov.ph/GEPSNONPILOT/Tender/SplashBidNoticeAbstractUI.aspx?menuIndex=3&amp;refID=7039764&amp;Result=3","7039764")</f>
        <v>0</v>
      </c>
      <c r="B7334" t="s">
        <v>940</v>
      </c>
      <c r="C7334" t="s">
        <v>10061</v>
      </c>
      <c r="D7334" t="s">
        <v>16192</v>
      </c>
      <c r="E7334" t="s">
        <v>22744</v>
      </c>
      <c r="F7334" t="s">
        <v>28198</v>
      </c>
      <c r="G7334" t="s">
        <v>28205</v>
      </c>
      <c r="H7334" t="s">
        <v>28215</v>
      </c>
      <c r="I7334" t="s">
        <v>28280</v>
      </c>
      <c r="J7334" t="s">
        <v>32933</v>
      </c>
      <c r="K7334" t="s">
        <v>36689</v>
      </c>
      <c r="M7334" t="s">
        <v>37963</v>
      </c>
      <c r="N7334" t="s">
        <v>40436</v>
      </c>
      <c r="O7334" t="s">
        <v>40437</v>
      </c>
      <c r="Q7334">
        <v>5</v>
      </c>
      <c r="R7334" t="s">
        <v>40444</v>
      </c>
      <c r="S7334" t="s">
        <v>40710</v>
      </c>
      <c r="T7334" t="s">
        <v>42427</v>
      </c>
      <c r="U7334" t="s">
        <v>48802</v>
      </c>
      <c r="V7334" t="s">
        <v>54544</v>
      </c>
      <c r="W7334" t="s">
        <v>37963</v>
      </c>
      <c r="X7334" t="s">
        <v>40445</v>
      </c>
    </row>
    <row r="7335" spans="1:24">
      <c r="A7335">
        <f>HYPERLINK("https://www.philgeps.gov.ph/GEPSNONPILOT/Tender/SplashBidNoticeAbstractUI.aspx?menuIndex=3&amp;refID=7039773&amp;Result=3","7039773")</f>
        <v>0</v>
      </c>
      <c r="B7335" t="s">
        <v>2266</v>
      </c>
      <c r="C7335" t="s">
        <v>10062</v>
      </c>
      <c r="D7335" t="s">
        <v>16210</v>
      </c>
      <c r="E7335" t="s">
        <v>22745</v>
      </c>
      <c r="F7335" t="s">
        <v>28198</v>
      </c>
      <c r="G7335" t="s">
        <v>28207</v>
      </c>
      <c r="H7335" t="s">
        <v>28215</v>
      </c>
      <c r="I7335" t="s">
        <v>28330</v>
      </c>
      <c r="J7335" t="s">
        <v>32934</v>
      </c>
      <c r="K7335" t="s">
        <v>36689</v>
      </c>
      <c r="M7335" t="s">
        <v>39437</v>
      </c>
      <c r="N7335" t="s">
        <v>40436</v>
      </c>
      <c r="O7335" t="s">
        <v>40437</v>
      </c>
      <c r="P7335">
        <v>0</v>
      </c>
      <c r="Q7335">
        <v>6</v>
      </c>
      <c r="R7335" t="s">
        <v>40444</v>
      </c>
      <c r="S7335" t="s">
        <v>40676</v>
      </c>
      <c r="T7335" t="s">
        <v>42185</v>
      </c>
      <c r="U7335" t="s">
        <v>48803</v>
      </c>
      <c r="W7335" t="s">
        <v>39437</v>
      </c>
      <c r="X7335" t="s">
        <v>40445</v>
      </c>
    </row>
    <row r="7336" spans="1:24">
      <c r="A7336">
        <f>HYPERLINK("https://www.philgeps.gov.ph/GEPSNONPILOT/Tender/SplashBidNoticeAbstractUI.aspx?menuIndex=3&amp;refID=7039743&amp;Result=3","7039743")</f>
        <v>0</v>
      </c>
      <c r="B7336" t="s">
        <v>2267</v>
      </c>
      <c r="C7336" t="s">
        <v>8537</v>
      </c>
      <c r="D7336" t="s">
        <v>16223</v>
      </c>
      <c r="E7336" t="s">
        <v>22746</v>
      </c>
      <c r="F7336" t="s">
        <v>28198</v>
      </c>
      <c r="G7336" t="s">
        <v>28205</v>
      </c>
      <c r="H7336" t="s">
        <v>28215</v>
      </c>
      <c r="I7336" t="s">
        <v>5100</v>
      </c>
      <c r="J7336" t="s">
        <v>32935</v>
      </c>
      <c r="K7336" t="s">
        <v>36688</v>
      </c>
      <c r="M7336" t="s">
        <v>39438</v>
      </c>
      <c r="N7336" t="s">
        <v>40436</v>
      </c>
      <c r="O7336" t="s">
        <v>40437</v>
      </c>
      <c r="P7336">
        <v>0</v>
      </c>
      <c r="Q7336">
        <v>0</v>
      </c>
      <c r="R7336" t="s">
        <v>40444</v>
      </c>
      <c r="S7336" t="s">
        <v>40676</v>
      </c>
      <c r="T7336" t="s">
        <v>42277</v>
      </c>
      <c r="U7336" t="s">
        <v>44801</v>
      </c>
      <c r="W7336" t="s">
        <v>39438</v>
      </c>
      <c r="X7336" t="s">
        <v>40445</v>
      </c>
    </row>
    <row r="7337" spans="1:24">
      <c r="A7337">
        <f>HYPERLINK("https://www.philgeps.gov.ph/GEPSNONPILOT/Tender/SplashBidNoticeAbstractUI.aspx?menuIndex=3&amp;refID=7039753&amp;Result=3","7039753")</f>
        <v>0</v>
      </c>
      <c r="B7337" t="s">
        <v>351</v>
      </c>
      <c r="C7337" t="s">
        <v>10063</v>
      </c>
      <c r="D7337" t="s">
        <v>16258</v>
      </c>
      <c r="E7337" t="s">
        <v>22747</v>
      </c>
      <c r="F7337" t="s">
        <v>28198</v>
      </c>
      <c r="G7337" t="s">
        <v>28205</v>
      </c>
      <c r="H7337" t="s">
        <v>28215</v>
      </c>
      <c r="I7337" t="s">
        <v>5082</v>
      </c>
      <c r="J7337" t="s">
        <v>32936</v>
      </c>
      <c r="K7337" t="s">
        <v>36706</v>
      </c>
      <c r="M7337" t="s">
        <v>37330</v>
      </c>
      <c r="N7337" t="s">
        <v>40436</v>
      </c>
      <c r="O7337" t="s">
        <v>40437</v>
      </c>
      <c r="P7337">
        <v>0</v>
      </c>
      <c r="Q7337">
        <v>0</v>
      </c>
      <c r="R7337" t="s">
        <v>40444</v>
      </c>
      <c r="S7337" t="s">
        <v>40676</v>
      </c>
      <c r="T7337" t="s">
        <v>42136</v>
      </c>
      <c r="U7337" t="s">
        <v>48804</v>
      </c>
      <c r="W7337" t="s">
        <v>37330</v>
      </c>
      <c r="X7337" t="s">
        <v>40445</v>
      </c>
    </row>
    <row r="7338" spans="1:24">
      <c r="A7338">
        <f>HYPERLINK("https://www.philgeps.gov.ph/GEPSNONPILOT/Tender/SplashBidNoticeAbstractUI.aspx?menuIndex=3&amp;refID=7039767&amp;Result=3","7039767")</f>
        <v>0</v>
      </c>
      <c r="B7338" t="s">
        <v>1210</v>
      </c>
      <c r="C7338" t="s">
        <v>10064</v>
      </c>
      <c r="D7338" t="s">
        <v>16230</v>
      </c>
      <c r="E7338" t="s">
        <v>22748</v>
      </c>
      <c r="F7338" t="s">
        <v>28198</v>
      </c>
      <c r="G7338" t="s">
        <v>28207</v>
      </c>
      <c r="H7338" t="s">
        <v>28215</v>
      </c>
      <c r="I7338" t="s">
        <v>6051</v>
      </c>
      <c r="J7338" t="s">
        <v>32937</v>
      </c>
      <c r="K7338" t="s">
        <v>36692</v>
      </c>
      <c r="M7338" t="s">
        <v>38255</v>
      </c>
      <c r="N7338" t="s">
        <v>40436</v>
      </c>
      <c r="O7338" t="s">
        <v>40437</v>
      </c>
      <c r="P7338">
        <v>0</v>
      </c>
      <c r="Q7338">
        <v>2</v>
      </c>
      <c r="R7338" t="s">
        <v>40444</v>
      </c>
      <c r="S7338" t="s">
        <v>40676</v>
      </c>
      <c r="T7338" t="s">
        <v>42245</v>
      </c>
      <c r="U7338" t="s">
        <v>48805</v>
      </c>
      <c r="W7338" t="s">
        <v>55476</v>
      </c>
      <c r="X7338" t="s">
        <v>40445</v>
      </c>
    </row>
    <row r="7339" spans="1:24">
      <c r="A7339">
        <f>HYPERLINK("https://www.philgeps.gov.ph/GEPSNONPILOT/Tender/SplashBidNoticeAbstractUI.aspx?menuIndex=3&amp;refID=7039786&amp;Result=3","7039786")</f>
        <v>0</v>
      </c>
      <c r="B7339" t="s">
        <v>2262</v>
      </c>
      <c r="C7339" t="s">
        <v>10065</v>
      </c>
      <c r="D7339" t="s">
        <v>16199</v>
      </c>
      <c r="E7339" t="s">
        <v>17820</v>
      </c>
      <c r="F7339" t="s">
        <v>28200</v>
      </c>
      <c r="G7339" t="s">
        <v>28206</v>
      </c>
      <c r="H7339" t="s">
        <v>28215</v>
      </c>
      <c r="I7339" t="s">
        <v>5082</v>
      </c>
      <c r="J7339" t="s">
        <v>32938</v>
      </c>
      <c r="K7339" t="s">
        <v>36687</v>
      </c>
      <c r="M7339" t="s">
        <v>39432</v>
      </c>
      <c r="N7339" t="s">
        <v>40436</v>
      </c>
      <c r="O7339" t="s">
        <v>40437</v>
      </c>
      <c r="P7339">
        <v>0</v>
      </c>
      <c r="Q7339">
        <v>2</v>
      </c>
      <c r="R7339" t="s">
        <v>40444</v>
      </c>
      <c r="S7339" t="s">
        <v>40676</v>
      </c>
      <c r="T7339" t="s">
        <v>42245</v>
      </c>
      <c r="U7339" t="s">
        <v>48806</v>
      </c>
      <c r="W7339" t="s">
        <v>39432</v>
      </c>
      <c r="X7339" t="s">
        <v>40445</v>
      </c>
    </row>
    <row r="7340" spans="1:24">
      <c r="A7340">
        <f>HYPERLINK("https://www.philgeps.gov.ph/GEPSNONPILOT/Tender/SplashBidNoticeAbstractUI.aspx?menuIndex=3&amp;refID=7039775&amp;Result=3","7039775")</f>
        <v>0</v>
      </c>
      <c r="B7340" t="s">
        <v>2268</v>
      </c>
      <c r="C7340" t="s">
        <v>10066</v>
      </c>
      <c r="D7340" t="s">
        <v>16199</v>
      </c>
      <c r="E7340" t="s">
        <v>22749</v>
      </c>
      <c r="F7340" t="s">
        <v>28198</v>
      </c>
      <c r="G7340" t="s">
        <v>28205</v>
      </c>
      <c r="H7340" t="s">
        <v>28216</v>
      </c>
      <c r="I7340" t="s">
        <v>28216</v>
      </c>
      <c r="J7340" t="s">
        <v>32939</v>
      </c>
      <c r="K7340" t="s">
        <v>36701</v>
      </c>
      <c r="M7340" t="s">
        <v>39439</v>
      </c>
      <c r="N7340" t="s">
        <v>40436</v>
      </c>
      <c r="O7340" t="s">
        <v>40437</v>
      </c>
      <c r="Q7340">
        <v>3</v>
      </c>
      <c r="R7340" t="s">
        <v>40444</v>
      </c>
      <c r="S7340" t="s">
        <v>40711</v>
      </c>
      <c r="T7340" t="s">
        <v>42233</v>
      </c>
      <c r="U7340" t="s">
        <v>48807</v>
      </c>
      <c r="W7340" t="s">
        <v>39439</v>
      </c>
      <c r="X7340" t="s">
        <v>40445</v>
      </c>
    </row>
    <row r="7341" spans="1:24">
      <c r="A7341">
        <f>HYPERLINK("https://www.philgeps.gov.ph/GEPSNONPILOT/Tender/SplashBidNoticeAbstractUI.aspx?menuIndex=3&amp;refID=7039788&amp;Result=3","7039788")</f>
        <v>0</v>
      </c>
      <c r="B7341" t="s">
        <v>509</v>
      </c>
      <c r="C7341" t="s">
        <v>10067</v>
      </c>
      <c r="D7341" t="s">
        <v>16239</v>
      </c>
      <c r="E7341" t="s">
        <v>22750</v>
      </c>
      <c r="F7341" t="s">
        <v>28198</v>
      </c>
      <c r="G7341" t="s">
        <v>28206</v>
      </c>
      <c r="H7341" t="s">
        <v>28215</v>
      </c>
      <c r="I7341" t="s">
        <v>5082</v>
      </c>
      <c r="J7341" t="s">
        <v>32940</v>
      </c>
      <c r="K7341" t="s">
        <v>36688</v>
      </c>
      <c r="M7341" t="s">
        <v>37494</v>
      </c>
      <c r="N7341" t="s">
        <v>40436</v>
      </c>
      <c r="O7341" t="s">
        <v>40437</v>
      </c>
      <c r="P7341">
        <v>0</v>
      </c>
      <c r="Q7341">
        <v>2</v>
      </c>
      <c r="R7341" t="s">
        <v>40444</v>
      </c>
      <c r="S7341" t="s">
        <v>40676</v>
      </c>
      <c r="T7341" t="s">
        <v>42318</v>
      </c>
      <c r="U7341" t="s">
        <v>43415</v>
      </c>
      <c r="W7341" t="s">
        <v>37494</v>
      </c>
      <c r="X7341" t="s">
        <v>40445</v>
      </c>
    </row>
    <row r="7342" spans="1:24">
      <c r="A7342">
        <f>HYPERLINK("https://www.philgeps.gov.ph/GEPSNONPILOT/Tender/SplashBidNoticeAbstractUI.aspx?menuIndex=3&amp;refID=7039744&amp;Result=3","7039744")</f>
        <v>0</v>
      </c>
      <c r="B7342" t="s">
        <v>243</v>
      </c>
      <c r="C7342" t="s">
        <v>10068</v>
      </c>
      <c r="D7342" t="s">
        <v>16193</v>
      </c>
      <c r="E7342" t="s">
        <v>22751</v>
      </c>
      <c r="F7342" t="s">
        <v>28198</v>
      </c>
      <c r="G7342" t="s">
        <v>28205</v>
      </c>
      <c r="H7342" t="s">
        <v>28214</v>
      </c>
      <c r="I7342" t="s">
        <v>3797</v>
      </c>
      <c r="J7342" t="s">
        <v>32941</v>
      </c>
      <c r="K7342" t="s">
        <v>36701</v>
      </c>
      <c r="M7342" t="s">
        <v>37219</v>
      </c>
      <c r="N7342" t="s">
        <v>40436</v>
      </c>
      <c r="O7342" t="s">
        <v>40437</v>
      </c>
      <c r="P7342">
        <v>0</v>
      </c>
      <c r="Q7342">
        <v>0</v>
      </c>
      <c r="R7342" t="s">
        <v>40444</v>
      </c>
      <c r="S7342" t="s">
        <v>40676</v>
      </c>
      <c r="T7342" t="s">
        <v>42158</v>
      </c>
      <c r="U7342" t="s">
        <v>48808</v>
      </c>
      <c r="V7342" t="s">
        <v>53830</v>
      </c>
      <c r="W7342" t="s">
        <v>37219</v>
      </c>
      <c r="X7342" t="s">
        <v>40445</v>
      </c>
    </row>
    <row r="7343" spans="1:24">
      <c r="A7343">
        <f>HYPERLINK("https://www.philgeps.gov.ph/GEPSNONPILOT/Tender/SplashBidNoticeAbstractUI.aspx?menuIndex=3&amp;refID=7039784&amp;Result=3","7039784")</f>
        <v>0</v>
      </c>
      <c r="B7343" t="s">
        <v>106</v>
      </c>
      <c r="C7343" t="s">
        <v>10069</v>
      </c>
      <c r="D7343" t="s">
        <v>16210</v>
      </c>
      <c r="E7343" t="s">
        <v>22752</v>
      </c>
      <c r="F7343" t="s">
        <v>28198</v>
      </c>
      <c r="G7343" t="s">
        <v>28205</v>
      </c>
      <c r="H7343" t="s">
        <v>28215</v>
      </c>
      <c r="I7343" t="s">
        <v>28274</v>
      </c>
      <c r="J7343" t="s">
        <v>28899</v>
      </c>
      <c r="K7343" t="s">
        <v>36689</v>
      </c>
      <c r="M7343" t="s">
        <v>37080</v>
      </c>
      <c r="N7343" t="s">
        <v>40436</v>
      </c>
      <c r="O7343" t="s">
        <v>40437</v>
      </c>
      <c r="Q7343">
        <v>10</v>
      </c>
      <c r="R7343" t="s">
        <v>40444</v>
      </c>
      <c r="S7343" t="s">
        <v>40712</v>
      </c>
      <c r="T7343" t="s">
        <v>42366</v>
      </c>
      <c r="U7343" t="s">
        <v>48809</v>
      </c>
      <c r="W7343" t="s">
        <v>37080</v>
      </c>
      <c r="X7343" t="s">
        <v>40445</v>
      </c>
    </row>
    <row r="7344" spans="1:24">
      <c r="A7344">
        <f>HYPERLINK("https://www.philgeps.gov.ph/GEPSNONPILOT/Tender/SplashBidNoticeAbstractUI.aspx?menuIndex=3&amp;refID=7039745&amp;Result=3","7039745")</f>
        <v>0</v>
      </c>
      <c r="B7344" t="s">
        <v>380</v>
      </c>
      <c r="C7344" t="s">
        <v>3797</v>
      </c>
      <c r="D7344" t="s">
        <v>16256</v>
      </c>
      <c r="E7344" t="s">
        <v>22753</v>
      </c>
      <c r="F7344" t="s">
        <v>28198</v>
      </c>
      <c r="G7344" t="s">
        <v>28205</v>
      </c>
      <c r="H7344" t="s">
        <v>28215</v>
      </c>
      <c r="I7344" t="s">
        <v>3797</v>
      </c>
      <c r="J7344" t="s">
        <v>28398</v>
      </c>
      <c r="K7344" t="s">
        <v>36689</v>
      </c>
      <c r="M7344" t="s">
        <v>37360</v>
      </c>
      <c r="N7344" t="s">
        <v>40436</v>
      </c>
      <c r="O7344" t="s">
        <v>40437</v>
      </c>
      <c r="P7344">
        <v>0</v>
      </c>
      <c r="Q7344">
        <v>0</v>
      </c>
      <c r="R7344" t="s">
        <v>40444</v>
      </c>
      <c r="S7344" t="s">
        <v>40676</v>
      </c>
      <c r="T7344" t="s">
        <v>42169</v>
      </c>
      <c r="U7344" t="s">
        <v>48810</v>
      </c>
      <c r="W7344" t="s">
        <v>37360</v>
      </c>
      <c r="X7344" t="s">
        <v>40445</v>
      </c>
    </row>
    <row r="7345" spans="1:24">
      <c r="A7345">
        <f>HYPERLINK("https://www.philgeps.gov.ph/GEPSNONPILOT/Tender/SplashBidNoticeAbstractUI.aspx?menuIndex=3&amp;refID=7039791&amp;Result=3","7039791")</f>
        <v>0</v>
      </c>
      <c r="B7345" t="s">
        <v>2259</v>
      </c>
      <c r="C7345" t="s">
        <v>10070</v>
      </c>
      <c r="D7345" t="s">
        <v>16222</v>
      </c>
      <c r="E7345" t="s">
        <v>22754</v>
      </c>
      <c r="F7345" t="s">
        <v>28198</v>
      </c>
      <c r="G7345" t="s">
        <v>28205</v>
      </c>
      <c r="H7345" t="s">
        <v>28214</v>
      </c>
      <c r="I7345" t="s">
        <v>3797</v>
      </c>
      <c r="J7345" t="s">
        <v>28379</v>
      </c>
      <c r="K7345" t="s">
        <v>36692</v>
      </c>
      <c r="M7345" t="s">
        <v>39429</v>
      </c>
      <c r="N7345" t="s">
        <v>40436</v>
      </c>
      <c r="O7345" t="s">
        <v>40437</v>
      </c>
      <c r="P7345">
        <v>0</v>
      </c>
      <c r="Q7345">
        <v>0</v>
      </c>
      <c r="R7345" t="s">
        <v>40444</v>
      </c>
      <c r="S7345" t="s">
        <v>40676</v>
      </c>
      <c r="T7345" t="s">
        <v>42111</v>
      </c>
      <c r="U7345" t="s">
        <v>48811</v>
      </c>
      <c r="V7345" t="s">
        <v>54545</v>
      </c>
      <c r="W7345" t="s">
        <v>39429</v>
      </c>
      <c r="X7345" t="s">
        <v>40445</v>
      </c>
    </row>
    <row r="7346" spans="1:24">
      <c r="A7346">
        <f>HYPERLINK("https://www.philgeps.gov.ph/GEPSNONPILOT/Tender/SplashBidNoticeAbstractUI.aspx?menuIndex=3&amp;refID=7039814&amp;Result=3","7039814")</f>
        <v>0</v>
      </c>
      <c r="B7346" t="s">
        <v>1340</v>
      </c>
      <c r="C7346" t="s">
        <v>10071</v>
      </c>
      <c r="D7346" t="s">
        <v>16250</v>
      </c>
      <c r="E7346" t="s">
        <v>22755</v>
      </c>
      <c r="F7346" t="s">
        <v>28198</v>
      </c>
      <c r="G7346" t="s">
        <v>28207</v>
      </c>
      <c r="H7346" t="s">
        <v>28215</v>
      </c>
      <c r="I7346" t="s">
        <v>28251</v>
      </c>
      <c r="J7346" t="s">
        <v>29598</v>
      </c>
      <c r="K7346" t="s">
        <v>36701</v>
      </c>
      <c r="M7346" t="s">
        <v>38398</v>
      </c>
      <c r="N7346" t="s">
        <v>40436</v>
      </c>
      <c r="O7346" t="s">
        <v>40437</v>
      </c>
      <c r="P7346">
        <v>0</v>
      </c>
      <c r="Q7346">
        <v>2</v>
      </c>
      <c r="R7346" t="s">
        <v>40444</v>
      </c>
      <c r="S7346" t="s">
        <v>40676</v>
      </c>
      <c r="T7346" t="s">
        <v>42185</v>
      </c>
      <c r="U7346" t="s">
        <v>48812</v>
      </c>
      <c r="V7346" t="s">
        <v>54141</v>
      </c>
      <c r="W7346" t="s">
        <v>38398</v>
      </c>
      <c r="X7346" t="s">
        <v>40445</v>
      </c>
    </row>
    <row r="7347" spans="1:24">
      <c r="A7347">
        <f>HYPERLINK("https://www.philgeps.gov.ph/GEPSNONPILOT/Tender/SplashBidNoticeAbstractUI.aspx?menuIndex=3&amp;refID=7039804&amp;Result=3","7039804")</f>
        <v>0</v>
      </c>
      <c r="B7347" t="s">
        <v>1105</v>
      </c>
      <c r="C7347" t="s">
        <v>10072</v>
      </c>
      <c r="D7347" t="s">
        <v>16206</v>
      </c>
      <c r="E7347" t="s">
        <v>18389</v>
      </c>
      <c r="F7347" t="s">
        <v>28198</v>
      </c>
      <c r="G7347" t="s">
        <v>28207</v>
      </c>
      <c r="H7347" t="s">
        <v>28214</v>
      </c>
      <c r="I7347" t="s">
        <v>3797</v>
      </c>
      <c r="J7347" t="s">
        <v>32942</v>
      </c>
      <c r="K7347" t="s">
        <v>36708</v>
      </c>
      <c r="M7347" t="s">
        <v>38141</v>
      </c>
      <c r="N7347" t="s">
        <v>40436</v>
      </c>
      <c r="O7347" t="s">
        <v>40437</v>
      </c>
      <c r="P7347">
        <v>0</v>
      </c>
      <c r="Q7347">
        <v>1</v>
      </c>
      <c r="R7347" t="s">
        <v>40444</v>
      </c>
      <c r="S7347" t="s">
        <v>40676</v>
      </c>
      <c r="T7347" t="s">
        <v>42184</v>
      </c>
      <c r="U7347" t="s">
        <v>48813</v>
      </c>
      <c r="V7347" t="s">
        <v>54546</v>
      </c>
      <c r="W7347" t="s">
        <v>38141</v>
      </c>
      <c r="X7347" t="s">
        <v>40445</v>
      </c>
    </row>
    <row r="7348" spans="1:24">
      <c r="A7348">
        <f>HYPERLINK("https://www.philgeps.gov.ph/GEPSNONPILOT/Tender/SplashBidNoticeAbstractUI.aspx?menuIndex=3&amp;refID=7039807&amp;Result=3","7039807")</f>
        <v>0</v>
      </c>
      <c r="B7348" t="s">
        <v>498</v>
      </c>
      <c r="C7348" t="s">
        <v>10073</v>
      </c>
      <c r="D7348" t="s">
        <v>16187</v>
      </c>
      <c r="E7348" t="s">
        <v>22756</v>
      </c>
      <c r="F7348" t="s">
        <v>28198</v>
      </c>
      <c r="G7348" t="s">
        <v>28205</v>
      </c>
      <c r="H7348" t="s">
        <v>28215</v>
      </c>
      <c r="I7348" t="s">
        <v>28222</v>
      </c>
      <c r="J7348" t="s">
        <v>29113</v>
      </c>
      <c r="K7348" t="s">
        <v>36707</v>
      </c>
      <c r="M7348" t="s">
        <v>37483</v>
      </c>
      <c r="N7348" t="s">
        <v>40436</v>
      </c>
      <c r="O7348" t="s">
        <v>40437</v>
      </c>
      <c r="P7348">
        <v>0</v>
      </c>
      <c r="Q7348">
        <v>2</v>
      </c>
      <c r="R7348" t="s">
        <v>40444</v>
      </c>
      <c r="S7348" t="s">
        <v>40676</v>
      </c>
      <c r="T7348" t="s">
        <v>42261</v>
      </c>
      <c r="U7348" t="s">
        <v>48814</v>
      </c>
      <c r="W7348" t="s">
        <v>37483</v>
      </c>
      <c r="X7348" t="s">
        <v>40445</v>
      </c>
    </row>
    <row r="7349" spans="1:24">
      <c r="A7349">
        <f>HYPERLINK("https://www.philgeps.gov.ph/GEPSNONPILOT/Tender/SplashBidNoticeAbstractUI.aspx?menuIndex=3&amp;refID=7039797&amp;Result=3","7039797")</f>
        <v>0</v>
      </c>
      <c r="B7349" t="s">
        <v>2208</v>
      </c>
      <c r="C7349" t="s">
        <v>10074</v>
      </c>
      <c r="D7349" t="s">
        <v>16237</v>
      </c>
      <c r="E7349" t="s">
        <v>22757</v>
      </c>
      <c r="F7349" t="s">
        <v>28198</v>
      </c>
      <c r="G7349" t="s">
        <v>28205</v>
      </c>
      <c r="H7349" t="s">
        <v>28215</v>
      </c>
      <c r="I7349" t="s">
        <v>28225</v>
      </c>
      <c r="J7349" t="s">
        <v>32943</v>
      </c>
      <c r="K7349" t="s">
        <v>36701</v>
      </c>
      <c r="M7349" t="s">
        <v>39373</v>
      </c>
      <c r="N7349" t="s">
        <v>40436</v>
      </c>
      <c r="O7349" t="s">
        <v>40437</v>
      </c>
      <c r="P7349">
        <v>0</v>
      </c>
      <c r="Q7349">
        <v>1</v>
      </c>
      <c r="R7349" t="s">
        <v>40444</v>
      </c>
      <c r="S7349" t="s">
        <v>40676</v>
      </c>
      <c r="T7349" t="s">
        <v>42435</v>
      </c>
      <c r="U7349" t="s">
        <v>48815</v>
      </c>
      <c r="W7349" t="s">
        <v>39373</v>
      </c>
      <c r="X7349" t="s">
        <v>40445</v>
      </c>
    </row>
    <row r="7350" spans="1:24">
      <c r="A7350">
        <f>HYPERLINK("https://www.philgeps.gov.ph/GEPSNONPILOT/Tender/SplashBidNoticeAbstractUI.aspx?menuIndex=3&amp;refID=7039795&amp;Result=3","7039795")</f>
        <v>0</v>
      </c>
      <c r="B7350" t="s">
        <v>2269</v>
      </c>
      <c r="C7350" t="s">
        <v>10075</v>
      </c>
      <c r="D7350" t="s">
        <v>16230</v>
      </c>
      <c r="E7350" t="s">
        <v>22758</v>
      </c>
      <c r="F7350" t="s">
        <v>28198</v>
      </c>
      <c r="G7350" t="s">
        <v>28205</v>
      </c>
      <c r="H7350" t="s">
        <v>28214</v>
      </c>
      <c r="I7350" t="s">
        <v>3797</v>
      </c>
      <c r="J7350" t="s">
        <v>32944</v>
      </c>
      <c r="K7350" t="s">
        <v>36735</v>
      </c>
      <c r="M7350" t="s">
        <v>39440</v>
      </c>
      <c r="N7350" t="s">
        <v>40436</v>
      </c>
      <c r="O7350" t="s">
        <v>40437</v>
      </c>
      <c r="Q7350">
        <v>4</v>
      </c>
      <c r="R7350" t="s">
        <v>40444</v>
      </c>
      <c r="S7350" t="s">
        <v>40713</v>
      </c>
      <c r="T7350" t="s">
        <v>42218</v>
      </c>
      <c r="U7350" t="s">
        <v>48816</v>
      </c>
      <c r="V7350" t="s">
        <v>54547</v>
      </c>
      <c r="W7350" t="s">
        <v>39440</v>
      </c>
      <c r="X7350" t="s">
        <v>40445</v>
      </c>
    </row>
    <row r="7351" spans="1:24">
      <c r="A7351">
        <f>HYPERLINK("https://www.philgeps.gov.ph/GEPSNONPILOT/Tender/SplashBidNoticeAbstractUI.aspx?menuIndex=3&amp;refID=7039794&amp;Result=3","7039794")</f>
        <v>0</v>
      </c>
      <c r="B7351" t="s">
        <v>940</v>
      </c>
      <c r="C7351" t="s">
        <v>10076</v>
      </c>
      <c r="D7351" t="s">
        <v>16201</v>
      </c>
      <c r="E7351" t="s">
        <v>22759</v>
      </c>
      <c r="F7351" t="s">
        <v>28198</v>
      </c>
      <c r="G7351" t="s">
        <v>28205</v>
      </c>
      <c r="H7351" t="s">
        <v>28215</v>
      </c>
      <c r="I7351" t="s">
        <v>28280</v>
      </c>
      <c r="J7351" t="s">
        <v>32945</v>
      </c>
      <c r="K7351" t="s">
        <v>36689</v>
      </c>
      <c r="M7351" t="s">
        <v>37963</v>
      </c>
      <c r="N7351" t="s">
        <v>40436</v>
      </c>
      <c r="O7351" t="s">
        <v>40437</v>
      </c>
      <c r="Q7351">
        <v>3</v>
      </c>
      <c r="R7351" t="s">
        <v>40444</v>
      </c>
      <c r="S7351" t="s">
        <v>40714</v>
      </c>
      <c r="T7351" t="s">
        <v>42427</v>
      </c>
      <c r="U7351" t="s">
        <v>48802</v>
      </c>
      <c r="V7351" t="s">
        <v>54544</v>
      </c>
      <c r="W7351" t="s">
        <v>37963</v>
      </c>
      <c r="X7351" t="s">
        <v>40445</v>
      </c>
    </row>
    <row r="7352" spans="1:24">
      <c r="A7352">
        <f>HYPERLINK("https://www.philgeps.gov.ph/GEPSNONPILOT/Tender/SplashBidNoticeAbstractUI.aspx?menuIndex=3&amp;refID=7039808&amp;Result=3","7039808")</f>
        <v>0</v>
      </c>
      <c r="B7352" t="s">
        <v>2270</v>
      </c>
      <c r="C7352" t="s">
        <v>10077</v>
      </c>
      <c r="D7352" t="s">
        <v>16242</v>
      </c>
      <c r="E7352" t="s">
        <v>22760</v>
      </c>
      <c r="F7352" t="s">
        <v>28198</v>
      </c>
      <c r="G7352" t="s">
        <v>28205</v>
      </c>
      <c r="H7352" t="s">
        <v>28215</v>
      </c>
      <c r="I7352" t="s">
        <v>28225</v>
      </c>
      <c r="J7352" t="s">
        <v>32946</v>
      </c>
      <c r="K7352" t="s">
        <v>36707</v>
      </c>
      <c r="M7352" t="s">
        <v>39441</v>
      </c>
      <c r="N7352" t="s">
        <v>40436</v>
      </c>
      <c r="O7352" t="s">
        <v>40437</v>
      </c>
      <c r="P7352">
        <v>0</v>
      </c>
      <c r="Q7352">
        <v>3</v>
      </c>
      <c r="R7352" t="s">
        <v>40444</v>
      </c>
      <c r="S7352" t="s">
        <v>40676</v>
      </c>
      <c r="T7352" t="s">
        <v>42278</v>
      </c>
      <c r="U7352" t="s">
        <v>48817</v>
      </c>
      <c r="W7352" t="s">
        <v>39441</v>
      </c>
      <c r="X7352" t="s">
        <v>40445</v>
      </c>
    </row>
    <row r="7353" spans="1:24">
      <c r="A7353">
        <f>HYPERLINK("https://www.philgeps.gov.ph/GEPSNONPILOT/Tender/SplashBidNoticeAbstractUI.aspx?menuIndex=3&amp;refID=7039796&amp;Result=3","7039796")</f>
        <v>0</v>
      </c>
      <c r="B7353" t="s">
        <v>1990</v>
      </c>
      <c r="C7353" t="s">
        <v>10078</v>
      </c>
      <c r="D7353" t="s">
        <v>16258</v>
      </c>
      <c r="E7353" t="s">
        <v>22761</v>
      </c>
      <c r="F7353" t="s">
        <v>28198</v>
      </c>
      <c r="G7353" t="s">
        <v>28205</v>
      </c>
      <c r="H7353" t="s">
        <v>28214</v>
      </c>
      <c r="I7353" t="s">
        <v>3797</v>
      </c>
      <c r="J7353" t="s">
        <v>32947</v>
      </c>
      <c r="K7353" t="s">
        <v>36697</v>
      </c>
      <c r="M7353" t="s">
        <v>39436</v>
      </c>
      <c r="N7353" t="s">
        <v>40436</v>
      </c>
      <c r="O7353" t="s">
        <v>40437</v>
      </c>
      <c r="P7353">
        <v>0</v>
      </c>
      <c r="Q7353">
        <v>0</v>
      </c>
      <c r="R7353" t="s">
        <v>40444</v>
      </c>
      <c r="S7353" t="s">
        <v>40676</v>
      </c>
      <c r="T7353" t="s">
        <v>42485</v>
      </c>
      <c r="U7353" t="s">
        <v>48818</v>
      </c>
      <c r="V7353" t="s">
        <v>54542</v>
      </c>
      <c r="W7353" t="s">
        <v>39436</v>
      </c>
      <c r="X7353" t="s">
        <v>40445</v>
      </c>
    </row>
    <row r="7354" spans="1:24">
      <c r="A7354">
        <f>HYPERLINK("https://www.philgeps.gov.ph/GEPSNONPILOT/Tender/SplashBidNoticeAbstractUI.aspx?menuIndex=3&amp;refID=7039837&amp;Result=3","7039837")</f>
        <v>0</v>
      </c>
      <c r="B7354" t="s">
        <v>1105</v>
      </c>
      <c r="C7354" t="s">
        <v>10079</v>
      </c>
      <c r="D7354" t="s">
        <v>16206</v>
      </c>
      <c r="E7354" t="s">
        <v>18393</v>
      </c>
      <c r="F7354" t="s">
        <v>28198</v>
      </c>
      <c r="G7354" t="s">
        <v>28207</v>
      </c>
      <c r="H7354" t="s">
        <v>28214</v>
      </c>
      <c r="I7354" t="s">
        <v>3797</v>
      </c>
      <c r="J7354" t="s">
        <v>32948</v>
      </c>
      <c r="K7354" t="s">
        <v>36701</v>
      </c>
      <c r="M7354" t="s">
        <v>38141</v>
      </c>
      <c r="N7354" t="s">
        <v>40436</v>
      </c>
      <c r="O7354" t="s">
        <v>40437</v>
      </c>
      <c r="P7354">
        <v>0</v>
      </c>
      <c r="Q7354">
        <v>0</v>
      </c>
      <c r="R7354" t="s">
        <v>40444</v>
      </c>
      <c r="S7354" t="s">
        <v>40676</v>
      </c>
      <c r="T7354" t="s">
        <v>42184</v>
      </c>
      <c r="U7354" t="s">
        <v>48819</v>
      </c>
      <c r="V7354" t="s">
        <v>54546</v>
      </c>
      <c r="W7354" t="s">
        <v>38141</v>
      </c>
      <c r="X7354" t="s">
        <v>40445</v>
      </c>
    </row>
    <row r="7355" spans="1:24">
      <c r="A7355">
        <f>HYPERLINK("https://www.philgeps.gov.ph/GEPSNONPILOT/Tender/SplashBidNoticeAbstractUI.aspx?menuIndex=3&amp;refID=7039810&amp;Result=3","7039810")</f>
        <v>0</v>
      </c>
      <c r="B7355" t="s">
        <v>1404</v>
      </c>
      <c r="C7355" t="s">
        <v>10080</v>
      </c>
      <c r="D7355" t="s">
        <v>16189</v>
      </c>
      <c r="E7355" t="s">
        <v>22762</v>
      </c>
      <c r="F7355" t="s">
        <v>28198</v>
      </c>
      <c r="G7355" t="s">
        <v>28205</v>
      </c>
      <c r="H7355" t="s">
        <v>28215</v>
      </c>
      <c r="I7355" t="s">
        <v>28257</v>
      </c>
      <c r="J7355" t="s">
        <v>32949</v>
      </c>
      <c r="K7355" t="s">
        <v>36701</v>
      </c>
      <c r="M7355" t="s">
        <v>38469</v>
      </c>
      <c r="N7355" t="s">
        <v>40436</v>
      </c>
      <c r="O7355" t="s">
        <v>40437</v>
      </c>
      <c r="P7355">
        <v>0</v>
      </c>
      <c r="Q7355">
        <v>2</v>
      </c>
      <c r="R7355" t="s">
        <v>40444</v>
      </c>
      <c r="S7355" t="s">
        <v>40676</v>
      </c>
      <c r="T7355" t="s">
        <v>42233</v>
      </c>
      <c r="U7355" t="s">
        <v>48820</v>
      </c>
      <c r="W7355" t="s">
        <v>39460</v>
      </c>
      <c r="X7355" t="s">
        <v>40445</v>
      </c>
    </row>
    <row r="7356" spans="1:24">
      <c r="A7356">
        <f>HYPERLINK("https://www.philgeps.gov.ph/GEPSNONPILOT/Tender/SplashBidNoticeAbstractUI.aspx?menuIndex=3&amp;refID=7039835&amp;Result=3","7039835")</f>
        <v>0</v>
      </c>
      <c r="B7356" t="s">
        <v>599</v>
      </c>
      <c r="C7356" t="s">
        <v>10081</v>
      </c>
      <c r="D7356" t="s">
        <v>16260</v>
      </c>
      <c r="E7356" t="s">
        <v>22763</v>
      </c>
      <c r="F7356" t="s">
        <v>28198</v>
      </c>
      <c r="G7356" t="s">
        <v>28205</v>
      </c>
      <c r="H7356" t="s">
        <v>28215</v>
      </c>
      <c r="I7356" t="s">
        <v>28222</v>
      </c>
      <c r="J7356" t="s">
        <v>28927</v>
      </c>
      <c r="K7356" t="s">
        <v>36701</v>
      </c>
      <c r="M7356" t="s">
        <v>39442</v>
      </c>
      <c r="N7356" t="s">
        <v>40436</v>
      </c>
      <c r="O7356" t="s">
        <v>40437</v>
      </c>
      <c r="P7356">
        <v>0</v>
      </c>
      <c r="Q7356">
        <v>3</v>
      </c>
      <c r="R7356" t="s">
        <v>40444</v>
      </c>
      <c r="S7356" t="s">
        <v>40676</v>
      </c>
      <c r="T7356" t="s">
        <v>42165</v>
      </c>
      <c r="U7356" t="s">
        <v>48821</v>
      </c>
      <c r="V7356" t="s">
        <v>54548</v>
      </c>
      <c r="W7356" t="s">
        <v>39442</v>
      </c>
      <c r="X7356" t="s">
        <v>40445</v>
      </c>
    </row>
    <row r="7357" spans="1:24">
      <c r="A7357">
        <f>HYPERLINK("https://www.philgeps.gov.ph/GEPSNONPILOT/Tender/SplashBidNoticeAbstractUI.aspx?menuIndex=3&amp;refID=7039820&amp;Result=3","7039820")</f>
        <v>0</v>
      </c>
      <c r="B7357" t="s">
        <v>2271</v>
      </c>
      <c r="C7357" t="s">
        <v>10082</v>
      </c>
      <c r="D7357" t="s">
        <v>16200</v>
      </c>
      <c r="E7357" t="s">
        <v>16625</v>
      </c>
      <c r="F7357" t="s">
        <v>28198</v>
      </c>
      <c r="G7357" t="s">
        <v>28207</v>
      </c>
      <c r="H7357" t="s">
        <v>28215</v>
      </c>
      <c r="I7357" t="s">
        <v>5103</v>
      </c>
      <c r="J7357" t="s">
        <v>32950</v>
      </c>
      <c r="K7357" t="s">
        <v>36706</v>
      </c>
      <c r="M7357" t="s">
        <v>39443</v>
      </c>
      <c r="N7357" t="s">
        <v>40436</v>
      </c>
      <c r="O7357" t="s">
        <v>40437</v>
      </c>
      <c r="P7357">
        <v>0</v>
      </c>
      <c r="Q7357">
        <v>10</v>
      </c>
      <c r="R7357" t="s">
        <v>40444</v>
      </c>
      <c r="S7357" t="s">
        <v>40676</v>
      </c>
      <c r="T7357" t="s">
        <v>42417</v>
      </c>
      <c r="U7357" t="s">
        <v>48822</v>
      </c>
      <c r="W7357" t="s">
        <v>39443</v>
      </c>
      <c r="X7357" t="s">
        <v>40445</v>
      </c>
    </row>
    <row r="7358" spans="1:24">
      <c r="A7358">
        <f>HYPERLINK("https://www.philgeps.gov.ph/GEPSNONPILOT/Tender/SplashBidNoticeAbstractUI.aspx?menuIndex=3&amp;refID=7039831&amp;Result=3","7039831")</f>
        <v>0</v>
      </c>
      <c r="B7358" t="s">
        <v>2272</v>
      </c>
      <c r="C7358" t="s">
        <v>10083</v>
      </c>
      <c r="D7358" t="s">
        <v>16220</v>
      </c>
      <c r="E7358" t="s">
        <v>22764</v>
      </c>
      <c r="F7358" t="s">
        <v>28198</v>
      </c>
      <c r="G7358" t="s">
        <v>28207</v>
      </c>
      <c r="H7358" t="s">
        <v>28215</v>
      </c>
      <c r="I7358" t="s">
        <v>4219</v>
      </c>
      <c r="J7358" t="s">
        <v>32951</v>
      </c>
      <c r="K7358" t="s">
        <v>36706</v>
      </c>
      <c r="M7358" t="s">
        <v>39444</v>
      </c>
      <c r="N7358" t="s">
        <v>40436</v>
      </c>
      <c r="O7358" t="s">
        <v>40437</v>
      </c>
      <c r="P7358">
        <v>0</v>
      </c>
      <c r="Q7358">
        <v>0</v>
      </c>
      <c r="R7358" t="s">
        <v>40444</v>
      </c>
      <c r="S7358" t="s">
        <v>40676</v>
      </c>
      <c r="T7358" t="s">
        <v>42233</v>
      </c>
      <c r="U7358" t="s">
        <v>48823</v>
      </c>
      <c r="V7358" t="s">
        <v>54549</v>
      </c>
      <c r="W7358" t="s">
        <v>39444</v>
      </c>
      <c r="X7358" t="s">
        <v>40445</v>
      </c>
    </row>
    <row r="7359" spans="1:24">
      <c r="A7359">
        <f>HYPERLINK("https://www.philgeps.gov.ph/GEPSNONPILOT/Tender/SplashBidNoticeAbstractUI.aspx?menuIndex=3&amp;refID=7039811&amp;Result=3","7039811")</f>
        <v>0</v>
      </c>
      <c r="B7359" t="s">
        <v>2273</v>
      </c>
      <c r="C7359" t="s">
        <v>10084</v>
      </c>
      <c r="D7359" t="s">
        <v>16203</v>
      </c>
      <c r="E7359" t="s">
        <v>22765</v>
      </c>
      <c r="F7359" t="s">
        <v>28198</v>
      </c>
      <c r="G7359" t="s">
        <v>28205</v>
      </c>
      <c r="H7359" t="s">
        <v>28215</v>
      </c>
      <c r="I7359" t="s">
        <v>3797</v>
      </c>
      <c r="J7359" t="s">
        <v>32952</v>
      </c>
      <c r="K7359" t="s">
        <v>36701</v>
      </c>
      <c r="L7359" t="s">
        <v>2273</v>
      </c>
      <c r="M7359" t="s">
        <v>39445</v>
      </c>
      <c r="N7359" t="s">
        <v>40436</v>
      </c>
      <c r="O7359" t="s">
        <v>40437</v>
      </c>
      <c r="P7359">
        <v>0</v>
      </c>
      <c r="Q7359">
        <v>2</v>
      </c>
      <c r="R7359" t="s">
        <v>40444</v>
      </c>
      <c r="S7359" t="s">
        <v>40676</v>
      </c>
      <c r="T7359" t="s">
        <v>42426</v>
      </c>
      <c r="U7359" t="s">
        <v>48824</v>
      </c>
      <c r="W7359" t="s">
        <v>39445</v>
      </c>
      <c r="X7359" t="s">
        <v>40445</v>
      </c>
    </row>
    <row r="7360" spans="1:24">
      <c r="A7360">
        <f>HYPERLINK("https://www.philgeps.gov.ph/GEPSNONPILOT/Tender/SplashBidNoticeAbstractUI.aspx?menuIndex=3&amp;refID=7039822&amp;Result=3","7039822")</f>
        <v>0</v>
      </c>
      <c r="B7360" t="s">
        <v>2274</v>
      </c>
      <c r="C7360" t="s">
        <v>10085</v>
      </c>
      <c r="D7360" t="s">
        <v>16238</v>
      </c>
      <c r="E7360" t="s">
        <v>22766</v>
      </c>
      <c r="F7360" t="s">
        <v>28198</v>
      </c>
      <c r="G7360" t="s">
        <v>28207</v>
      </c>
      <c r="H7360" t="s">
        <v>28215</v>
      </c>
      <c r="I7360" t="s">
        <v>28241</v>
      </c>
      <c r="J7360" t="s">
        <v>32953</v>
      </c>
      <c r="K7360" t="s">
        <v>36701</v>
      </c>
      <c r="M7360" t="s">
        <v>39446</v>
      </c>
      <c r="N7360" t="s">
        <v>40436</v>
      </c>
      <c r="O7360" t="s">
        <v>40437</v>
      </c>
      <c r="P7360">
        <v>0</v>
      </c>
      <c r="Q7360">
        <v>1</v>
      </c>
      <c r="R7360" t="s">
        <v>40444</v>
      </c>
      <c r="S7360" t="s">
        <v>40676</v>
      </c>
      <c r="T7360" t="s">
        <v>42119</v>
      </c>
      <c r="U7360" t="s">
        <v>48825</v>
      </c>
      <c r="W7360" t="s">
        <v>39446</v>
      </c>
      <c r="X7360" t="s">
        <v>40445</v>
      </c>
    </row>
    <row r="7361" spans="1:24">
      <c r="A7361">
        <f>HYPERLINK("https://www.philgeps.gov.ph/GEPSNONPILOT/Tender/SplashBidNoticeAbstractUI.aspx?menuIndex=3&amp;refID=7039828&amp;Result=3","7039828")</f>
        <v>0</v>
      </c>
      <c r="B7361" t="s">
        <v>1990</v>
      </c>
      <c r="C7361" t="s">
        <v>10086</v>
      </c>
      <c r="D7361" t="s">
        <v>16258</v>
      </c>
      <c r="E7361" t="s">
        <v>22767</v>
      </c>
      <c r="F7361" t="s">
        <v>28198</v>
      </c>
      <c r="G7361" t="s">
        <v>28205</v>
      </c>
      <c r="H7361" t="s">
        <v>28214</v>
      </c>
      <c r="I7361" t="s">
        <v>3797</v>
      </c>
      <c r="J7361" t="s">
        <v>32954</v>
      </c>
      <c r="K7361" t="s">
        <v>36777</v>
      </c>
      <c r="M7361" t="s">
        <v>39436</v>
      </c>
      <c r="N7361" t="s">
        <v>40436</v>
      </c>
      <c r="O7361" t="s">
        <v>40437</v>
      </c>
      <c r="P7361">
        <v>0</v>
      </c>
      <c r="Q7361">
        <v>1</v>
      </c>
      <c r="R7361" t="s">
        <v>40444</v>
      </c>
      <c r="S7361" t="s">
        <v>40676</v>
      </c>
      <c r="T7361" t="s">
        <v>42485</v>
      </c>
      <c r="U7361" t="s">
        <v>48826</v>
      </c>
      <c r="V7361" t="s">
        <v>54542</v>
      </c>
      <c r="W7361" t="s">
        <v>39436</v>
      </c>
      <c r="X7361" t="s">
        <v>40445</v>
      </c>
    </row>
    <row r="7362" spans="1:24">
      <c r="A7362">
        <f>HYPERLINK("https://www.philgeps.gov.ph/GEPSNONPILOT/Tender/SplashBidNoticeAbstractUI.aspx?menuIndex=3&amp;refID=7039819&amp;Result=3","7039819")</f>
        <v>0</v>
      </c>
      <c r="B7362" t="s">
        <v>940</v>
      </c>
      <c r="C7362" t="s">
        <v>10087</v>
      </c>
      <c r="D7362" t="s">
        <v>16201</v>
      </c>
      <c r="E7362" t="s">
        <v>22768</v>
      </c>
      <c r="F7362" t="s">
        <v>28198</v>
      </c>
      <c r="G7362" t="s">
        <v>28205</v>
      </c>
      <c r="H7362" t="s">
        <v>28215</v>
      </c>
      <c r="I7362" t="s">
        <v>28280</v>
      </c>
      <c r="J7362" t="s">
        <v>32955</v>
      </c>
      <c r="K7362" t="s">
        <v>36689</v>
      </c>
      <c r="M7362" t="s">
        <v>37963</v>
      </c>
      <c r="N7362" t="s">
        <v>40436</v>
      </c>
      <c r="O7362" t="s">
        <v>40437</v>
      </c>
      <c r="Q7362">
        <v>3</v>
      </c>
      <c r="R7362" t="s">
        <v>40444</v>
      </c>
      <c r="S7362" t="s">
        <v>40715</v>
      </c>
      <c r="T7362" t="s">
        <v>42427</v>
      </c>
      <c r="U7362" t="s">
        <v>48802</v>
      </c>
      <c r="V7362" t="s">
        <v>54544</v>
      </c>
      <c r="W7362" t="s">
        <v>37963</v>
      </c>
      <c r="X7362" t="s">
        <v>40445</v>
      </c>
    </row>
    <row r="7363" spans="1:24">
      <c r="A7363">
        <f>HYPERLINK("https://www.philgeps.gov.ph/GEPSNONPILOT/Tender/SplashBidNoticeAbstractUI.aspx?menuIndex=3&amp;refID=7039848&amp;Result=3","7039848")</f>
        <v>0</v>
      </c>
      <c r="B7363" t="s">
        <v>1404</v>
      </c>
      <c r="C7363" t="s">
        <v>10088</v>
      </c>
      <c r="D7363" t="s">
        <v>16189</v>
      </c>
      <c r="E7363" t="s">
        <v>22769</v>
      </c>
      <c r="F7363" t="s">
        <v>28198</v>
      </c>
      <c r="G7363" t="s">
        <v>28205</v>
      </c>
      <c r="H7363" t="s">
        <v>28215</v>
      </c>
      <c r="I7363" t="s">
        <v>28237</v>
      </c>
      <c r="J7363" t="s">
        <v>32956</v>
      </c>
      <c r="K7363" t="s">
        <v>36701</v>
      </c>
      <c r="M7363" t="s">
        <v>38469</v>
      </c>
      <c r="N7363" t="s">
        <v>40436</v>
      </c>
      <c r="O7363" t="s">
        <v>40437</v>
      </c>
      <c r="P7363">
        <v>0</v>
      </c>
      <c r="Q7363">
        <v>8</v>
      </c>
      <c r="R7363" t="s">
        <v>40444</v>
      </c>
      <c r="S7363" t="s">
        <v>40676</v>
      </c>
      <c r="T7363" t="s">
        <v>42233</v>
      </c>
      <c r="U7363" t="s">
        <v>48827</v>
      </c>
      <c r="W7363" t="s">
        <v>39460</v>
      </c>
      <c r="X7363" t="s">
        <v>40445</v>
      </c>
    </row>
    <row r="7364" spans="1:24">
      <c r="A7364">
        <f>HYPERLINK("https://www.philgeps.gov.ph/GEPSNONPILOT/Tender/SplashBidNoticeAbstractUI.aspx?menuIndex=3&amp;refID=7039825&amp;Result=3","7039825")</f>
        <v>0</v>
      </c>
      <c r="B7364" t="s">
        <v>2258</v>
      </c>
      <c r="C7364" t="s">
        <v>10089</v>
      </c>
      <c r="D7364" t="s">
        <v>16200</v>
      </c>
      <c r="E7364" t="s">
        <v>22770</v>
      </c>
      <c r="F7364" t="s">
        <v>28198</v>
      </c>
      <c r="G7364" t="s">
        <v>28205</v>
      </c>
      <c r="H7364" t="s">
        <v>28215</v>
      </c>
      <c r="I7364" t="s">
        <v>8888</v>
      </c>
      <c r="J7364" t="s">
        <v>32957</v>
      </c>
      <c r="K7364" t="s">
        <v>36701</v>
      </c>
      <c r="M7364" t="s">
        <v>39428</v>
      </c>
      <c r="N7364" t="s">
        <v>40436</v>
      </c>
      <c r="O7364" t="s">
        <v>40437</v>
      </c>
      <c r="P7364">
        <v>0</v>
      </c>
      <c r="Q7364">
        <v>3</v>
      </c>
      <c r="R7364" t="s">
        <v>40444</v>
      </c>
      <c r="S7364" t="s">
        <v>40676</v>
      </c>
      <c r="T7364" t="s">
        <v>42183</v>
      </c>
      <c r="U7364" t="s">
        <v>48828</v>
      </c>
      <c r="W7364" t="s">
        <v>39428</v>
      </c>
      <c r="X7364" t="s">
        <v>40445</v>
      </c>
    </row>
    <row r="7365" spans="1:24">
      <c r="A7365">
        <f>HYPERLINK("https://www.philgeps.gov.ph/GEPSNONPILOT/Tender/SplashBidNoticeAbstractUI.aspx?menuIndex=3&amp;refID=7039843&amp;Result=3","7039843")</f>
        <v>0</v>
      </c>
      <c r="B7365" t="s">
        <v>1434</v>
      </c>
      <c r="C7365" t="s">
        <v>10090</v>
      </c>
      <c r="D7365" t="s">
        <v>16209</v>
      </c>
      <c r="E7365" t="s">
        <v>20205</v>
      </c>
      <c r="F7365" t="s">
        <v>28200</v>
      </c>
      <c r="G7365" t="s">
        <v>28210</v>
      </c>
      <c r="H7365" t="s">
        <v>28215</v>
      </c>
      <c r="I7365" t="s">
        <v>28253</v>
      </c>
      <c r="J7365" t="s">
        <v>32958</v>
      </c>
      <c r="K7365" t="s">
        <v>36691</v>
      </c>
      <c r="M7365" t="s">
        <v>38501</v>
      </c>
      <c r="N7365" t="s">
        <v>40436</v>
      </c>
      <c r="O7365" t="s">
        <v>40437</v>
      </c>
      <c r="P7365">
        <v>0</v>
      </c>
      <c r="Q7365">
        <v>1</v>
      </c>
      <c r="R7365" t="s">
        <v>40444</v>
      </c>
      <c r="S7365" t="s">
        <v>40676</v>
      </c>
      <c r="T7365" t="s">
        <v>42233</v>
      </c>
      <c r="U7365" t="s">
        <v>48829</v>
      </c>
      <c r="V7365" t="s">
        <v>54550</v>
      </c>
      <c r="W7365" t="s">
        <v>38501</v>
      </c>
      <c r="X7365" t="s">
        <v>40445</v>
      </c>
    </row>
    <row r="7366" spans="1:24">
      <c r="A7366">
        <f>HYPERLINK("https://www.philgeps.gov.ph/GEPSNONPILOT/Tender/SplashBidNoticeAbstractUI.aspx?menuIndex=3&amp;refID=7039852&amp;Result=3","7039852")</f>
        <v>0</v>
      </c>
      <c r="B7366" t="s">
        <v>2053</v>
      </c>
      <c r="C7366" t="s">
        <v>10091</v>
      </c>
      <c r="E7366" t="s">
        <v>21956</v>
      </c>
      <c r="F7366" t="s">
        <v>28198</v>
      </c>
      <c r="G7366" t="s">
        <v>28205</v>
      </c>
      <c r="H7366" t="s">
        <v>28215</v>
      </c>
      <c r="I7366" t="s">
        <v>3797</v>
      </c>
      <c r="J7366" t="s">
        <v>28398</v>
      </c>
      <c r="K7366" t="s">
        <v>36689</v>
      </c>
      <c r="M7366" t="s">
        <v>39199</v>
      </c>
      <c r="N7366" t="s">
        <v>40436</v>
      </c>
      <c r="O7366" t="s">
        <v>40437</v>
      </c>
      <c r="P7366">
        <v>0</v>
      </c>
      <c r="Q7366">
        <v>3</v>
      </c>
      <c r="R7366" t="s">
        <v>40444</v>
      </c>
      <c r="S7366" t="s">
        <v>40676</v>
      </c>
      <c r="T7366" t="s">
        <v>42134</v>
      </c>
      <c r="U7366" t="s">
        <v>48830</v>
      </c>
      <c r="V7366" t="s">
        <v>53826</v>
      </c>
      <c r="W7366" t="s">
        <v>39199</v>
      </c>
      <c r="X7366" t="s">
        <v>40445</v>
      </c>
    </row>
    <row r="7367" spans="1:24">
      <c r="A7367">
        <f>HYPERLINK("https://www.philgeps.gov.ph/GEPSNONPILOT/Tender/SplashBidNoticeAbstractUI.aspx?menuIndex=3&amp;refID=7039842&amp;Result=3","7039842")</f>
        <v>0</v>
      </c>
      <c r="B7367" t="s">
        <v>1039</v>
      </c>
      <c r="C7367" t="s">
        <v>10092</v>
      </c>
      <c r="D7367" t="s">
        <v>16255</v>
      </c>
      <c r="E7367" t="s">
        <v>22771</v>
      </c>
      <c r="F7367" t="s">
        <v>28198</v>
      </c>
      <c r="G7367" t="s">
        <v>28205</v>
      </c>
      <c r="H7367" t="s">
        <v>28215</v>
      </c>
      <c r="I7367" t="s">
        <v>28222</v>
      </c>
      <c r="J7367" t="s">
        <v>28418</v>
      </c>
      <c r="K7367" t="s">
        <v>36701</v>
      </c>
      <c r="M7367" t="s">
        <v>38071</v>
      </c>
      <c r="N7367" t="s">
        <v>40436</v>
      </c>
      <c r="O7367" t="s">
        <v>40437</v>
      </c>
      <c r="P7367">
        <v>0</v>
      </c>
      <c r="Q7367">
        <v>2</v>
      </c>
      <c r="R7367" t="s">
        <v>40444</v>
      </c>
      <c r="S7367" t="s">
        <v>40676</v>
      </c>
      <c r="T7367" t="s">
        <v>42194</v>
      </c>
      <c r="U7367" t="s">
        <v>48831</v>
      </c>
      <c r="W7367" t="s">
        <v>38071</v>
      </c>
      <c r="X7367" t="s">
        <v>40445</v>
      </c>
    </row>
    <row r="7368" spans="1:24">
      <c r="A7368">
        <f>HYPERLINK("https://www.philgeps.gov.ph/GEPSNONPILOT/Tender/SplashBidNoticeAbstractUI.aspx?menuIndex=3&amp;refID=7039859&amp;Result=3","7039859")</f>
        <v>0</v>
      </c>
      <c r="B7368" t="s">
        <v>773</v>
      </c>
      <c r="C7368" t="s">
        <v>10093</v>
      </c>
      <c r="D7368" t="s">
        <v>16219</v>
      </c>
      <c r="E7368" t="s">
        <v>22772</v>
      </c>
      <c r="F7368" t="s">
        <v>28198</v>
      </c>
      <c r="G7368" t="s">
        <v>28205</v>
      </c>
      <c r="H7368" t="s">
        <v>28215</v>
      </c>
      <c r="I7368" t="s">
        <v>5100</v>
      </c>
      <c r="J7368" t="s">
        <v>32959</v>
      </c>
      <c r="K7368" t="s">
        <v>36706</v>
      </c>
      <c r="M7368" t="s">
        <v>38111</v>
      </c>
      <c r="N7368" t="s">
        <v>40436</v>
      </c>
      <c r="O7368" t="s">
        <v>40437</v>
      </c>
      <c r="P7368">
        <v>0</v>
      </c>
      <c r="Q7368">
        <v>0</v>
      </c>
      <c r="R7368" t="s">
        <v>40444</v>
      </c>
      <c r="S7368" t="s">
        <v>40676</v>
      </c>
      <c r="T7368" t="s">
        <v>42233</v>
      </c>
      <c r="U7368" t="s">
        <v>48832</v>
      </c>
      <c r="W7368" t="s">
        <v>38111</v>
      </c>
      <c r="X7368" t="s">
        <v>40445</v>
      </c>
    </row>
    <row r="7369" spans="1:24">
      <c r="A7369">
        <f>HYPERLINK("https://www.philgeps.gov.ph/GEPSNONPILOT/Tender/SplashBidNoticeAbstractUI.aspx?menuIndex=3&amp;refID=7039838&amp;Result=3","7039838")</f>
        <v>0</v>
      </c>
      <c r="B7369" t="s">
        <v>2275</v>
      </c>
      <c r="C7369" t="s">
        <v>10094</v>
      </c>
      <c r="D7369" t="s">
        <v>16247</v>
      </c>
      <c r="E7369" t="s">
        <v>18093</v>
      </c>
      <c r="F7369" t="s">
        <v>28198</v>
      </c>
      <c r="G7369" t="s">
        <v>28207</v>
      </c>
      <c r="H7369" t="s">
        <v>28214</v>
      </c>
      <c r="I7369" t="s">
        <v>28242</v>
      </c>
      <c r="J7369" t="s">
        <v>32960</v>
      </c>
      <c r="K7369" t="s">
        <v>36697</v>
      </c>
      <c r="M7369" t="s">
        <v>39447</v>
      </c>
      <c r="N7369" t="s">
        <v>40436</v>
      </c>
      <c r="O7369" t="s">
        <v>40437</v>
      </c>
      <c r="P7369">
        <v>0</v>
      </c>
      <c r="Q7369">
        <v>1</v>
      </c>
      <c r="R7369" t="s">
        <v>40444</v>
      </c>
      <c r="S7369" t="s">
        <v>40676</v>
      </c>
      <c r="T7369" t="s">
        <v>42350</v>
      </c>
      <c r="U7369" t="s">
        <v>48833</v>
      </c>
      <c r="W7369" t="s">
        <v>39447</v>
      </c>
      <c r="X7369" t="s">
        <v>40445</v>
      </c>
    </row>
    <row r="7370" spans="1:24">
      <c r="A7370">
        <f>HYPERLINK("https://www.philgeps.gov.ph/GEPSNONPILOT/Tender/SplashBidNoticeAbstractUI.aspx?menuIndex=3&amp;refID=7039854&amp;Result=3","7039854")</f>
        <v>0</v>
      </c>
      <c r="B7370" t="s">
        <v>351</v>
      </c>
      <c r="C7370" t="s">
        <v>10095</v>
      </c>
      <c r="D7370" t="s">
        <v>16258</v>
      </c>
      <c r="E7370" t="s">
        <v>22773</v>
      </c>
      <c r="F7370" t="s">
        <v>28198</v>
      </c>
      <c r="G7370" t="s">
        <v>28205</v>
      </c>
      <c r="H7370" t="s">
        <v>28215</v>
      </c>
      <c r="I7370" t="s">
        <v>5100</v>
      </c>
      <c r="J7370" t="s">
        <v>32961</v>
      </c>
      <c r="K7370" t="s">
        <v>36706</v>
      </c>
      <c r="M7370" t="s">
        <v>37330</v>
      </c>
      <c r="N7370" t="s">
        <v>40436</v>
      </c>
      <c r="O7370" t="s">
        <v>40437</v>
      </c>
      <c r="P7370">
        <v>0</v>
      </c>
      <c r="Q7370">
        <v>1</v>
      </c>
      <c r="R7370" t="s">
        <v>40444</v>
      </c>
      <c r="S7370" t="s">
        <v>40676</v>
      </c>
      <c r="T7370" t="s">
        <v>42136</v>
      </c>
      <c r="U7370" t="s">
        <v>48834</v>
      </c>
      <c r="W7370" t="s">
        <v>37330</v>
      </c>
      <c r="X7370" t="s">
        <v>40445</v>
      </c>
    </row>
    <row r="7371" spans="1:24">
      <c r="A7371">
        <f>HYPERLINK("https://www.philgeps.gov.ph/GEPSNONPILOT/Tender/SplashBidNoticeAbstractUI.aspx?menuIndex=3&amp;refID=7039817&amp;Result=3","7039817")</f>
        <v>0</v>
      </c>
      <c r="B7371" t="s">
        <v>1528</v>
      </c>
      <c r="C7371" t="s">
        <v>10096</v>
      </c>
      <c r="D7371" t="s">
        <v>16230</v>
      </c>
      <c r="E7371" t="s">
        <v>22774</v>
      </c>
      <c r="F7371" t="s">
        <v>28198</v>
      </c>
      <c r="G7371" t="s">
        <v>28207</v>
      </c>
      <c r="H7371" t="s">
        <v>28215</v>
      </c>
      <c r="I7371" t="s">
        <v>5103</v>
      </c>
      <c r="J7371" t="s">
        <v>32962</v>
      </c>
      <c r="K7371" t="s">
        <v>36707</v>
      </c>
      <c r="M7371" t="s">
        <v>38606</v>
      </c>
      <c r="N7371" t="s">
        <v>40436</v>
      </c>
      <c r="O7371" t="s">
        <v>40437</v>
      </c>
      <c r="P7371">
        <v>0</v>
      </c>
      <c r="Q7371">
        <v>6</v>
      </c>
      <c r="R7371" t="s">
        <v>40444</v>
      </c>
      <c r="S7371" t="s">
        <v>40676</v>
      </c>
      <c r="T7371" t="s">
        <v>42277</v>
      </c>
      <c r="U7371" t="s">
        <v>48835</v>
      </c>
      <c r="W7371" t="s">
        <v>38606</v>
      </c>
      <c r="X7371" t="s">
        <v>40445</v>
      </c>
    </row>
    <row r="7372" spans="1:24">
      <c r="A7372">
        <f>HYPERLINK("https://www.philgeps.gov.ph/GEPSNONPILOT/Tender/SplashBidNoticeAbstractUI.aspx?menuIndex=3&amp;refID=7039886&amp;Result=3","7039886")</f>
        <v>0</v>
      </c>
      <c r="B7372" t="s">
        <v>2276</v>
      </c>
      <c r="C7372" t="s">
        <v>10097</v>
      </c>
      <c r="D7372" t="s">
        <v>16189</v>
      </c>
      <c r="E7372" t="s">
        <v>22775</v>
      </c>
      <c r="F7372" t="s">
        <v>28198</v>
      </c>
      <c r="G7372" t="s">
        <v>28205</v>
      </c>
      <c r="H7372" t="s">
        <v>28215</v>
      </c>
      <c r="I7372" t="s">
        <v>28222</v>
      </c>
      <c r="J7372" t="s">
        <v>29120</v>
      </c>
      <c r="K7372" t="s">
        <v>36689</v>
      </c>
      <c r="M7372" t="s">
        <v>39448</v>
      </c>
      <c r="N7372" t="s">
        <v>40436</v>
      </c>
      <c r="O7372" t="s">
        <v>40437</v>
      </c>
      <c r="P7372">
        <v>0</v>
      </c>
      <c r="Q7372">
        <v>3</v>
      </c>
      <c r="R7372" t="s">
        <v>40444</v>
      </c>
      <c r="S7372" t="s">
        <v>40676</v>
      </c>
      <c r="T7372" t="s">
        <v>42375</v>
      </c>
      <c r="U7372" t="s">
        <v>48836</v>
      </c>
      <c r="W7372" t="s">
        <v>39448</v>
      </c>
      <c r="X7372" t="s">
        <v>40445</v>
      </c>
    </row>
    <row r="7373" spans="1:24">
      <c r="A7373">
        <f>HYPERLINK("https://www.philgeps.gov.ph/GEPSNONPILOT/Tender/SplashBidNoticeAbstractUI.aspx?menuIndex=3&amp;refID=7039881&amp;Result=3","7039881")</f>
        <v>0</v>
      </c>
      <c r="B7373" t="s">
        <v>2277</v>
      </c>
      <c r="C7373" t="s">
        <v>10098</v>
      </c>
      <c r="D7373" t="s">
        <v>16219</v>
      </c>
      <c r="E7373" t="s">
        <v>19338</v>
      </c>
      <c r="F7373" t="s">
        <v>28198</v>
      </c>
      <c r="G7373" t="s">
        <v>28210</v>
      </c>
      <c r="H7373" t="s">
        <v>28215</v>
      </c>
      <c r="I7373" t="s">
        <v>4505</v>
      </c>
      <c r="J7373" t="s">
        <v>32963</v>
      </c>
      <c r="K7373" t="s">
        <v>36688</v>
      </c>
      <c r="M7373" t="s">
        <v>39449</v>
      </c>
      <c r="N7373" t="s">
        <v>40436</v>
      </c>
      <c r="O7373" t="s">
        <v>40437</v>
      </c>
      <c r="P7373">
        <v>0</v>
      </c>
      <c r="Q7373">
        <v>14</v>
      </c>
      <c r="R7373" t="s">
        <v>40444</v>
      </c>
      <c r="S7373" t="s">
        <v>40676</v>
      </c>
      <c r="T7373" t="s">
        <v>42185</v>
      </c>
      <c r="U7373" t="s">
        <v>48837</v>
      </c>
      <c r="W7373" t="s">
        <v>39449</v>
      </c>
      <c r="X7373" t="s">
        <v>40445</v>
      </c>
    </row>
    <row r="7374" spans="1:24">
      <c r="A7374">
        <f>HYPERLINK("https://www.philgeps.gov.ph/GEPSNONPILOT/Tender/SplashBidNoticeAbstractUI.aspx?menuIndex=3&amp;refID=7039876&amp;Result=3","7039876")</f>
        <v>0</v>
      </c>
      <c r="B7374" t="s">
        <v>2208</v>
      </c>
      <c r="C7374" t="s">
        <v>10099</v>
      </c>
      <c r="D7374" t="s">
        <v>16237</v>
      </c>
      <c r="E7374" t="s">
        <v>22776</v>
      </c>
      <c r="F7374" t="s">
        <v>28198</v>
      </c>
      <c r="G7374" t="s">
        <v>28205</v>
      </c>
      <c r="H7374" t="s">
        <v>28215</v>
      </c>
      <c r="I7374" t="s">
        <v>28225</v>
      </c>
      <c r="J7374" t="s">
        <v>32964</v>
      </c>
      <c r="K7374" t="s">
        <v>36701</v>
      </c>
      <c r="M7374" t="s">
        <v>39373</v>
      </c>
      <c r="N7374" t="s">
        <v>40436</v>
      </c>
      <c r="O7374" t="s">
        <v>40437</v>
      </c>
      <c r="P7374">
        <v>0</v>
      </c>
      <c r="Q7374">
        <v>5</v>
      </c>
      <c r="R7374" t="s">
        <v>40444</v>
      </c>
      <c r="S7374" t="s">
        <v>40676</v>
      </c>
      <c r="T7374" t="s">
        <v>42487</v>
      </c>
      <c r="U7374" t="s">
        <v>48838</v>
      </c>
      <c r="W7374" t="s">
        <v>39373</v>
      </c>
      <c r="X7374" t="s">
        <v>40445</v>
      </c>
    </row>
    <row r="7375" spans="1:24">
      <c r="A7375">
        <f>HYPERLINK("https://www.philgeps.gov.ph/GEPSNONPILOT/Tender/SplashBidNoticeAbstractUI.aspx?menuIndex=3&amp;refID=7039891&amp;Result=3","7039891")</f>
        <v>0</v>
      </c>
      <c r="B7375" t="s">
        <v>2278</v>
      </c>
      <c r="C7375" t="s">
        <v>10100</v>
      </c>
      <c r="D7375" t="s">
        <v>16190</v>
      </c>
      <c r="E7375" t="s">
        <v>22777</v>
      </c>
      <c r="F7375" t="s">
        <v>28198</v>
      </c>
      <c r="G7375" t="s">
        <v>28206</v>
      </c>
      <c r="H7375" t="s">
        <v>28215</v>
      </c>
      <c r="I7375" t="s">
        <v>4505</v>
      </c>
      <c r="J7375" t="s">
        <v>32965</v>
      </c>
      <c r="K7375" t="s">
        <v>36687</v>
      </c>
      <c r="M7375" t="s">
        <v>39450</v>
      </c>
      <c r="N7375" t="s">
        <v>40436</v>
      </c>
      <c r="O7375" t="s">
        <v>40437</v>
      </c>
      <c r="P7375">
        <v>0</v>
      </c>
      <c r="Q7375">
        <v>14</v>
      </c>
      <c r="R7375" t="s">
        <v>40444</v>
      </c>
      <c r="S7375" t="s">
        <v>40676</v>
      </c>
      <c r="T7375" t="s">
        <v>42297</v>
      </c>
      <c r="U7375" t="s">
        <v>46024</v>
      </c>
      <c r="V7375" t="s">
        <v>54551</v>
      </c>
      <c r="W7375" t="s">
        <v>39450</v>
      </c>
      <c r="X7375" t="s">
        <v>40445</v>
      </c>
    </row>
    <row r="7376" spans="1:24">
      <c r="A7376">
        <f>HYPERLINK("https://www.philgeps.gov.ph/GEPSNONPILOT/Tender/SplashBidNoticeAbstractUI.aspx?menuIndex=3&amp;refID=7039879&amp;Result=3","7039879")</f>
        <v>0</v>
      </c>
      <c r="B7376" t="s">
        <v>940</v>
      </c>
      <c r="C7376" t="s">
        <v>10101</v>
      </c>
      <c r="D7376" t="s">
        <v>16187</v>
      </c>
      <c r="E7376" t="s">
        <v>22778</v>
      </c>
      <c r="F7376" t="s">
        <v>28198</v>
      </c>
      <c r="G7376" t="s">
        <v>28205</v>
      </c>
      <c r="H7376" t="s">
        <v>28215</v>
      </c>
      <c r="I7376" t="s">
        <v>28280</v>
      </c>
      <c r="J7376" t="s">
        <v>32966</v>
      </c>
      <c r="K7376" t="s">
        <v>36689</v>
      </c>
      <c r="M7376" t="s">
        <v>37963</v>
      </c>
      <c r="N7376" t="s">
        <v>40436</v>
      </c>
      <c r="O7376" t="s">
        <v>40437</v>
      </c>
      <c r="Q7376">
        <v>5</v>
      </c>
      <c r="R7376" t="s">
        <v>40444</v>
      </c>
      <c r="S7376" t="s">
        <v>40716</v>
      </c>
      <c r="T7376" t="s">
        <v>42427</v>
      </c>
      <c r="U7376" t="s">
        <v>48802</v>
      </c>
      <c r="V7376" t="s">
        <v>54544</v>
      </c>
      <c r="W7376" t="s">
        <v>37963</v>
      </c>
      <c r="X7376" t="s">
        <v>40445</v>
      </c>
    </row>
    <row r="7377" spans="1:24">
      <c r="A7377">
        <f>HYPERLINK("https://www.philgeps.gov.ph/GEPSNONPILOT/Tender/SplashBidNoticeAbstractUI.aspx?menuIndex=3&amp;refID=7039874&amp;Result=3","7039874")</f>
        <v>0</v>
      </c>
      <c r="B7377" t="s">
        <v>1118</v>
      </c>
      <c r="C7377" t="s">
        <v>10102</v>
      </c>
      <c r="D7377" t="s">
        <v>16196</v>
      </c>
      <c r="E7377" t="s">
        <v>22779</v>
      </c>
      <c r="F7377" t="s">
        <v>28198</v>
      </c>
      <c r="G7377" t="s">
        <v>28205</v>
      </c>
      <c r="H7377" t="s">
        <v>28215</v>
      </c>
      <c r="I7377" t="s">
        <v>28296</v>
      </c>
      <c r="J7377" t="s">
        <v>32967</v>
      </c>
      <c r="K7377" t="s">
        <v>36706</v>
      </c>
      <c r="M7377" t="s">
        <v>38156</v>
      </c>
      <c r="N7377" t="s">
        <v>40436</v>
      </c>
      <c r="O7377" t="s">
        <v>40437</v>
      </c>
      <c r="P7377">
        <v>0</v>
      </c>
      <c r="Q7377">
        <v>3</v>
      </c>
      <c r="R7377" t="s">
        <v>40444</v>
      </c>
      <c r="S7377" t="s">
        <v>40676</v>
      </c>
      <c r="T7377" t="s">
        <v>42233</v>
      </c>
      <c r="U7377" t="s">
        <v>48839</v>
      </c>
      <c r="W7377" t="s">
        <v>38156</v>
      </c>
      <c r="X7377" t="s">
        <v>40445</v>
      </c>
    </row>
    <row r="7378" spans="1:24">
      <c r="A7378">
        <f>HYPERLINK("https://www.philgeps.gov.ph/GEPSNONPILOT/Tender/SplashBidNoticeAbstractUI.aspx?menuIndex=3&amp;refID=7039875&amp;Result=3","7039875")</f>
        <v>0</v>
      </c>
      <c r="B7378" t="s">
        <v>1460</v>
      </c>
      <c r="C7378" t="s">
        <v>10103</v>
      </c>
      <c r="D7378" t="s">
        <v>16230</v>
      </c>
      <c r="E7378" t="s">
        <v>22780</v>
      </c>
      <c r="F7378" t="s">
        <v>28198</v>
      </c>
      <c r="G7378" t="s">
        <v>28205</v>
      </c>
      <c r="H7378" t="s">
        <v>28214</v>
      </c>
      <c r="I7378" t="s">
        <v>3797</v>
      </c>
      <c r="J7378" t="s">
        <v>31508</v>
      </c>
      <c r="K7378" t="s">
        <v>36701</v>
      </c>
      <c r="M7378" t="s">
        <v>38528</v>
      </c>
      <c r="N7378" t="s">
        <v>40436</v>
      </c>
      <c r="O7378" t="s">
        <v>40437</v>
      </c>
      <c r="P7378">
        <v>0</v>
      </c>
      <c r="Q7378">
        <v>0</v>
      </c>
      <c r="R7378" t="s">
        <v>40444</v>
      </c>
      <c r="S7378" t="s">
        <v>40676</v>
      </c>
      <c r="T7378" t="s">
        <v>42279</v>
      </c>
      <c r="U7378" t="s">
        <v>48840</v>
      </c>
      <c r="W7378" t="s">
        <v>38528</v>
      </c>
      <c r="X7378" t="s">
        <v>40445</v>
      </c>
    </row>
    <row r="7379" spans="1:24">
      <c r="A7379">
        <f>HYPERLINK("https://www.philgeps.gov.ph/GEPSNONPILOT/Tender/SplashBidNoticeAbstractUI.aspx?menuIndex=3&amp;refID=7039862&amp;Result=3","7039862")</f>
        <v>0</v>
      </c>
      <c r="B7379" t="s">
        <v>940</v>
      </c>
      <c r="C7379" t="s">
        <v>10104</v>
      </c>
      <c r="D7379" t="s">
        <v>16192</v>
      </c>
      <c r="E7379" t="s">
        <v>22781</v>
      </c>
      <c r="F7379" t="s">
        <v>28198</v>
      </c>
      <c r="G7379" t="s">
        <v>28205</v>
      </c>
      <c r="H7379" t="s">
        <v>28215</v>
      </c>
      <c r="I7379" t="s">
        <v>28280</v>
      </c>
      <c r="J7379" t="s">
        <v>32968</v>
      </c>
      <c r="K7379" t="s">
        <v>36689</v>
      </c>
      <c r="M7379" t="s">
        <v>37963</v>
      </c>
      <c r="N7379" t="s">
        <v>40436</v>
      </c>
      <c r="O7379" t="s">
        <v>40437</v>
      </c>
      <c r="Q7379">
        <v>1</v>
      </c>
      <c r="R7379" t="s">
        <v>40444</v>
      </c>
      <c r="S7379" t="s">
        <v>40717</v>
      </c>
      <c r="T7379" t="s">
        <v>42427</v>
      </c>
      <c r="U7379" t="s">
        <v>48802</v>
      </c>
      <c r="V7379" t="s">
        <v>54544</v>
      </c>
      <c r="W7379" t="s">
        <v>37963</v>
      </c>
      <c r="X7379" t="s">
        <v>40445</v>
      </c>
    </row>
    <row r="7380" spans="1:24">
      <c r="A7380">
        <f>HYPERLINK("https://www.philgeps.gov.ph/GEPSNONPILOT/Tender/SplashBidNoticeAbstractUI.aspx?menuIndex=3&amp;refID=7039883&amp;Result=3","7039883")</f>
        <v>0</v>
      </c>
      <c r="B7380" t="s">
        <v>2279</v>
      </c>
      <c r="C7380" t="s">
        <v>10105</v>
      </c>
      <c r="E7380" t="s">
        <v>22782</v>
      </c>
      <c r="F7380" t="s">
        <v>28198</v>
      </c>
      <c r="G7380" t="s">
        <v>28205</v>
      </c>
      <c r="H7380" t="s">
        <v>28215</v>
      </c>
      <c r="I7380" t="s">
        <v>28258</v>
      </c>
      <c r="J7380" t="s">
        <v>32969</v>
      </c>
      <c r="K7380" t="s">
        <v>36687</v>
      </c>
      <c r="M7380" t="s">
        <v>39451</v>
      </c>
      <c r="N7380" t="s">
        <v>40436</v>
      </c>
      <c r="O7380" t="s">
        <v>40437</v>
      </c>
      <c r="P7380">
        <v>0</v>
      </c>
      <c r="Q7380">
        <v>6</v>
      </c>
      <c r="R7380" t="s">
        <v>40444</v>
      </c>
      <c r="S7380" t="s">
        <v>40676</v>
      </c>
      <c r="T7380" t="s">
        <v>42457</v>
      </c>
      <c r="U7380" t="s">
        <v>48841</v>
      </c>
      <c r="W7380" t="s">
        <v>39451</v>
      </c>
      <c r="X7380" t="s">
        <v>40445</v>
      </c>
    </row>
    <row r="7381" spans="1:24">
      <c r="A7381">
        <f>HYPERLINK("https://www.philgeps.gov.ph/GEPSNONPILOT/Tender/SplashBidNoticeAbstractUI.aspx?menuIndex=3&amp;refID=7039889&amp;Result=3","7039889")</f>
        <v>0</v>
      </c>
      <c r="B7381" t="s">
        <v>940</v>
      </c>
      <c r="C7381" t="s">
        <v>10106</v>
      </c>
      <c r="D7381" t="s">
        <v>16257</v>
      </c>
      <c r="E7381" t="s">
        <v>22783</v>
      </c>
      <c r="F7381" t="s">
        <v>28198</v>
      </c>
      <c r="G7381" t="s">
        <v>28205</v>
      </c>
      <c r="H7381" t="s">
        <v>28215</v>
      </c>
      <c r="I7381" t="s">
        <v>28280</v>
      </c>
      <c r="J7381" t="s">
        <v>32970</v>
      </c>
      <c r="K7381" t="s">
        <v>36689</v>
      </c>
      <c r="M7381" t="s">
        <v>37963</v>
      </c>
      <c r="N7381" t="s">
        <v>40436</v>
      </c>
      <c r="O7381" t="s">
        <v>40437</v>
      </c>
      <c r="Q7381">
        <v>1</v>
      </c>
      <c r="R7381" t="s">
        <v>40444</v>
      </c>
      <c r="S7381" t="s">
        <v>40718</v>
      </c>
      <c r="T7381" t="s">
        <v>42427</v>
      </c>
      <c r="U7381" t="s">
        <v>48802</v>
      </c>
      <c r="V7381" t="s">
        <v>54544</v>
      </c>
      <c r="W7381" t="s">
        <v>37963</v>
      </c>
      <c r="X7381" t="s">
        <v>40445</v>
      </c>
    </row>
    <row r="7382" spans="1:24">
      <c r="A7382">
        <f>HYPERLINK("https://www.philgeps.gov.ph/GEPSNONPILOT/Tender/SplashBidNoticeAbstractUI.aspx?menuIndex=3&amp;refID=7039885&amp;Result=3","7039885")</f>
        <v>0</v>
      </c>
      <c r="B7382" t="s">
        <v>848</v>
      </c>
      <c r="C7382" t="s">
        <v>10107</v>
      </c>
      <c r="D7382" t="s">
        <v>16219</v>
      </c>
      <c r="E7382" t="s">
        <v>22784</v>
      </c>
      <c r="F7382" t="s">
        <v>28198</v>
      </c>
      <c r="G7382" t="s">
        <v>28205</v>
      </c>
      <c r="H7382" t="s">
        <v>28215</v>
      </c>
      <c r="I7382" t="s">
        <v>5100</v>
      </c>
      <c r="J7382" t="s">
        <v>32971</v>
      </c>
      <c r="K7382" t="s">
        <v>36689</v>
      </c>
      <c r="M7382" t="s">
        <v>38541</v>
      </c>
      <c r="N7382" t="s">
        <v>40436</v>
      </c>
      <c r="O7382" t="s">
        <v>40437</v>
      </c>
      <c r="P7382">
        <v>0</v>
      </c>
      <c r="Q7382">
        <v>0</v>
      </c>
      <c r="R7382" t="s">
        <v>40444</v>
      </c>
      <c r="S7382" t="s">
        <v>40676</v>
      </c>
      <c r="T7382" t="s">
        <v>42108</v>
      </c>
      <c r="U7382" t="s">
        <v>48842</v>
      </c>
      <c r="W7382" t="s">
        <v>38541</v>
      </c>
      <c r="X7382" t="s">
        <v>40445</v>
      </c>
    </row>
    <row r="7383" spans="1:24">
      <c r="A7383">
        <f>HYPERLINK("https://www.philgeps.gov.ph/GEPSNONPILOT/Tender/SplashBidNoticeAbstractUI.aspx?menuIndex=3&amp;refID=7039892&amp;Result=3","7039892")</f>
        <v>0</v>
      </c>
      <c r="B7383" t="s">
        <v>2053</v>
      </c>
      <c r="C7383" t="s">
        <v>10108</v>
      </c>
      <c r="E7383" t="s">
        <v>22785</v>
      </c>
      <c r="F7383" t="s">
        <v>28198</v>
      </c>
      <c r="G7383" t="s">
        <v>28205</v>
      </c>
      <c r="H7383" t="s">
        <v>28214</v>
      </c>
      <c r="I7383" t="s">
        <v>3797</v>
      </c>
      <c r="J7383" t="s">
        <v>29190</v>
      </c>
      <c r="K7383" t="s">
        <v>36689</v>
      </c>
      <c r="M7383" t="s">
        <v>39199</v>
      </c>
      <c r="N7383" t="s">
        <v>40436</v>
      </c>
      <c r="O7383" t="s">
        <v>40437</v>
      </c>
      <c r="P7383">
        <v>0</v>
      </c>
      <c r="Q7383">
        <v>4</v>
      </c>
      <c r="R7383" t="s">
        <v>40444</v>
      </c>
      <c r="S7383" t="s">
        <v>40676</v>
      </c>
      <c r="T7383" t="s">
        <v>42134</v>
      </c>
      <c r="U7383" t="s">
        <v>48843</v>
      </c>
      <c r="V7383" t="s">
        <v>53826</v>
      </c>
      <c r="W7383" t="s">
        <v>39199</v>
      </c>
      <c r="X7383" t="s">
        <v>40445</v>
      </c>
    </row>
    <row r="7384" spans="1:24">
      <c r="A7384">
        <f>HYPERLINK("https://www.philgeps.gov.ph/GEPSNONPILOT/Tender/SplashBidNoticeAbstractUI.aspx?menuIndex=3&amp;refID=7039871&amp;Result=3","7039871")</f>
        <v>0</v>
      </c>
      <c r="B7384" t="s">
        <v>1105</v>
      </c>
      <c r="C7384" t="s">
        <v>10109</v>
      </c>
      <c r="D7384" t="s">
        <v>16206</v>
      </c>
      <c r="E7384" t="s">
        <v>17610</v>
      </c>
      <c r="F7384" t="s">
        <v>28198</v>
      </c>
      <c r="G7384" t="s">
        <v>28207</v>
      </c>
      <c r="H7384" t="s">
        <v>28214</v>
      </c>
      <c r="I7384" t="s">
        <v>3797</v>
      </c>
      <c r="J7384" t="s">
        <v>32972</v>
      </c>
      <c r="K7384" t="s">
        <v>36701</v>
      </c>
      <c r="M7384" t="s">
        <v>38141</v>
      </c>
      <c r="N7384" t="s">
        <v>40436</v>
      </c>
      <c r="O7384" t="s">
        <v>40437</v>
      </c>
      <c r="P7384">
        <v>0</v>
      </c>
      <c r="Q7384">
        <v>0</v>
      </c>
      <c r="R7384" t="s">
        <v>40444</v>
      </c>
      <c r="S7384" t="s">
        <v>40676</v>
      </c>
      <c r="T7384" t="s">
        <v>42184</v>
      </c>
      <c r="U7384" t="s">
        <v>48844</v>
      </c>
      <c r="V7384" t="s">
        <v>54546</v>
      </c>
      <c r="W7384" t="s">
        <v>38141</v>
      </c>
      <c r="X7384" t="s">
        <v>40445</v>
      </c>
    </row>
    <row r="7385" spans="1:24">
      <c r="A7385">
        <f>HYPERLINK("https://www.philgeps.gov.ph/GEPSNONPILOT/Tender/SplashBidNoticeAbstractUI.aspx?menuIndex=3&amp;refID=7039870&amp;Result=3","7039870")</f>
        <v>0</v>
      </c>
      <c r="B7385" t="s">
        <v>1354</v>
      </c>
      <c r="C7385" t="s">
        <v>10110</v>
      </c>
      <c r="D7385" t="s">
        <v>16238</v>
      </c>
      <c r="E7385" t="s">
        <v>10110</v>
      </c>
      <c r="F7385" t="s">
        <v>28198</v>
      </c>
      <c r="G7385" t="s">
        <v>28205</v>
      </c>
      <c r="H7385" t="s">
        <v>28215</v>
      </c>
      <c r="I7385" t="s">
        <v>28228</v>
      </c>
      <c r="J7385" t="s">
        <v>32973</v>
      </c>
      <c r="K7385" t="s">
        <v>36689</v>
      </c>
      <c r="M7385" t="s">
        <v>38412</v>
      </c>
      <c r="N7385" t="s">
        <v>40436</v>
      </c>
      <c r="O7385" t="s">
        <v>40437</v>
      </c>
      <c r="P7385">
        <v>0</v>
      </c>
      <c r="Q7385">
        <v>0</v>
      </c>
      <c r="R7385" t="s">
        <v>40444</v>
      </c>
      <c r="S7385" t="s">
        <v>40676</v>
      </c>
      <c r="T7385" t="s">
        <v>42203</v>
      </c>
      <c r="U7385" t="s">
        <v>48845</v>
      </c>
      <c r="W7385" t="s">
        <v>38412</v>
      </c>
      <c r="X7385" t="s">
        <v>40445</v>
      </c>
    </row>
    <row r="7386" spans="1:24">
      <c r="A7386">
        <f>HYPERLINK("https://www.philgeps.gov.ph/GEPSNONPILOT/Tender/SplashBidNoticeAbstractUI.aspx?menuIndex=3&amp;refID=7039895&amp;Result=3","7039895")</f>
        <v>0</v>
      </c>
      <c r="B7386" t="s">
        <v>2259</v>
      </c>
      <c r="C7386" t="s">
        <v>10111</v>
      </c>
      <c r="D7386" t="s">
        <v>16222</v>
      </c>
      <c r="E7386" t="s">
        <v>22786</v>
      </c>
      <c r="F7386" t="s">
        <v>28198</v>
      </c>
      <c r="G7386" t="s">
        <v>28205</v>
      </c>
      <c r="H7386" t="s">
        <v>28217</v>
      </c>
      <c r="I7386" t="s">
        <v>28257</v>
      </c>
      <c r="J7386" t="s">
        <v>28350</v>
      </c>
      <c r="K7386" t="s">
        <v>36688</v>
      </c>
      <c r="M7386" t="s">
        <v>39429</v>
      </c>
      <c r="N7386" t="s">
        <v>40436</v>
      </c>
      <c r="O7386" t="s">
        <v>40437</v>
      </c>
      <c r="P7386">
        <v>0</v>
      </c>
      <c r="Q7386">
        <v>3</v>
      </c>
      <c r="R7386" t="s">
        <v>40444</v>
      </c>
      <c r="S7386" t="s">
        <v>40676</v>
      </c>
      <c r="T7386" t="s">
        <v>42131</v>
      </c>
      <c r="U7386" t="s">
        <v>48846</v>
      </c>
      <c r="V7386" t="s">
        <v>54552</v>
      </c>
      <c r="W7386" t="s">
        <v>39429</v>
      </c>
      <c r="X7386" t="s">
        <v>40445</v>
      </c>
    </row>
    <row r="7387" spans="1:24">
      <c r="A7387">
        <f>HYPERLINK("https://www.philgeps.gov.ph/GEPSNONPILOT/Tender/SplashBidNoticeAbstractUI.aspx?menuIndex=3&amp;refID=7039894&amp;Result=3","7039894")</f>
        <v>0</v>
      </c>
      <c r="B7387" t="s">
        <v>1729</v>
      </c>
      <c r="C7387" t="s">
        <v>10112</v>
      </c>
      <c r="D7387" t="s">
        <v>16249</v>
      </c>
      <c r="E7387" t="s">
        <v>22787</v>
      </c>
      <c r="F7387" t="s">
        <v>28198</v>
      </c>
      <c r="G7387" t="s">
        <v>28205</v>
      </c>
      <c r="H7387" t="s">
        <v>28215</v>
      </c>
      <c r="I7387" t="s">
        <v>28249</v>
      </c>
      <c r="J7387" t="s">
        <v>32974</v>
      </c>
      <c r="K7387" t="s">
        <v>36701</v>
      </c>
      <c r="M7387" t="s">
        <v>38838</v>
      </c>
      <c r="N7387" t="s">
        <v>40436</v>
      </c>
      <c r="O7387" t="s">
        <v>40437</v>
      </c>
      <c r="P7387">
        <v>0</v>
      </c>
      <c r="Q7387">
        <v>5</v>
      </c>
      <c r="R7387" t="s">
        <v>40444</v>
      </c>
      <c r="S7387" t="s">
        <v>40676</v>
      </c>
      <c r="T7387" t="s">
        <v>42278</v>
      </c>
      <c r="U7387" t="s">
        <v>48847</v>
      </c>
      <c r="W7387" t="s">
        <v>55493</v>
      </c>
      <c r="X7387" t="s">
        <v>40445</v>
      </c>
    </row>
    <row r="7388" spans="1:24">
      <c r="A7388">
        <f>HYPERLINK("https://www.philgeps.gov.ph/GEPSNONPILOT/Tender/SplashBidNoticeAbstractUI.aspx?menuIndex=3&amp;refID=7039910&amp;Result=3","7039910")</f>
        <v>0</v>
      </c>
      <c r="B7388" t="s">
        <v>1354</v>
      </c>
      <c r="C7388" t="s">
        <v>10113</v>
      </c>
      <c r="D7388" t="s">
        <v>16238</v>
      </c>
      <c r="E7388" t="s">
        <v>10113</v>
      </c>
      <c r="F7388" t="s">
        <v>28198</v>
      </c>
      <c r="G7388" t="s">
        <v>28205</v>
      </c>
      <c r="H7388" t="s">
        <v>28215</v>
      </c>
      <c r="I7388" t="s">
        <v>3422</v>
      </c>
      <c r="J7388" t="s">
        <v>32975</v>
      </c>
      <c r="K7388" t="s">
        <v>36701</v>
      </c>
      <c r="M7388" t="s">
        <v>38412</v>
      </c>
      <c r="N7388" t="s">
        <v>40436</v>
      </c>
      <c r="O7388" t="s">
        <v>40437</v>
      </c>
      <c r="P7388">
        <v>0</v>
      </c>
      <c r="Q7388">
        <v>0</v>
      </c>
      <c r="R7388" t="s">
        <v>40444</v>
      </c>
      <c r="S7388" t="s">
        <v>40676</v>
      </c>
      <c r="T7388" t="s">
        <v>42203</v>
      </c>
      <c r="U7388" t="s">
        <v>48848</v>
      </c>
      <c r="W7388" t="s">
        <v>38412</v>
      </c>
      <c r="X7388" t="s">
        <v>40445</v>
      </c>
    </row>
    <row r="7389" spans="1:24">
      <c r="A7389">
        <f>HYPERLINK("https://www.philgeps.gov.ph/GEPSNONPILOT/Tender/SplashBidNoticeAbstractUI.aspx?menuIndex=3&amp;refID=7039935&amp;Result=3","7039935")</f>
        <v>0</v>
      </c>
      <c r="B7389" t="s">
        <v>106</v>
      </c>
      <c r="C7389" t="s">
        <v>10114</v>
      </c>
      <c r="D7389" t="s">
        <v>16210</v>
      </c>
      <c r="E7389" t="s">
        <v>22788</v>
      </c>
      <c r="F7389" t="s">
        <v>28198</v>
      </c>
      <c r="G7389" t="s">
        <v>28205</v>
      </c>
      <c r="H7389" t="s">
        <v>28215</v>
      </c>
      <c r="I7389" t="s">
        <v>28274</v>
      </c>
      <c r="J7389" t="s">
        <v>30197</v>
      </c>
      <c r="K7389" t="s">
        <v>36689</v>
      </c>
      <c r="M7389" t="s">
        <v>37080</v>
      </c>
      <c r="N7389" t="s">
        <v>40436</v>
      </c>
      <c r="O7389" t="s">
        <v>40437</v>
      </c>
      <c r="Q7389">
        <v>1</v>
      </c>
      <c r="R7389" t="s">
        <v>40444</v>
      </c>
      <c r="S7389" t="s">
        <v>40719</v>
      </c>
      <c r="T7389" t="s">
        <v>42366</v>
      </c>
      <c r="U7389" t="s">
        <v>48849</v>
      </c>
      <c r="W7389" t="s">
        <v>37080</v>
      </c>
      <c r="X7389" t="s">
        <v>40445</v>
      </c>
    </row>
    <row r="7390" spans="1:24">
      <c r="A7390">
        <f>HYPERLINK("https://www.philgeps.gov.ph/GEPSNONPILOT/Tender/SplashBidNoticeAbstractUI.aspx?menuIndex=3&amp;refID=7039896&amp;Result=3","7039896")</f>
        <v>0</v>
      </c>
      <c r="B7390" t="s">
        <v>1032</v>
      </c>
      <c r="C7390" t="s">
        <v>10115</v>
      </c>
      <c r="D7390" t="s">
        <v>16191</v>
      </c>
      <c r="E7390" t="s">
        <v>21444</v>
      </c>
      <c r="F7390" t="s">
        <v>28198</v>
      </c>
      <c r="G7390" t="s">
        <v>28205</v>
      </c>
      <c r="H7390" t="s">
        <v>28215</v>
      </c>
      <c r="I7390" t="s">
        <v>3422</v>
      </c>
      <c r="J7390" t="s">
        <v>32976</v>
      </c>
      <c r="K7390" t="s">
        <v>36801</v>
      </c>
      <c r="M7390" t="s">
        <v>38064</v>
      </c>
      <c r="N7390" t="s">
        <v>40436</v>
      </c>
      <c r="O7390" t="s">
        <v>40437</v>
      </c>
      <c r="Q7390">
        <v>1</v>
      </c>
      <c r="R7390" t="s">
        <v>40444</v>
      </c>
      <c r="S7390" t="s">
        <v>40720</v>
      </c>
      <c r="T7390" t="s">
        <v>42168</v>
      </c>
      <c r="U7390" t="s">
        <v>48850</v>
      </c>
      <c r="W7390" t="s">
        <v>38064</v>
      </c>
      <c r="X7390" t="s">
        <v>40445</v>
      </c>
    </row>
    <row r="7391" spans="1:24">
      <c r="A7391">
        <f>HYPERLINK("https://www.philgeps.gov.ph/GEPSNONPILOT/Tender/SplashBidNoticeAbstractUI.aspx?menuIndex=3&amp;refID=7039925&amp;Result=3","7039925")</f>
        <v>0</v>
      </c>
      <c r="B7391" t="s">
        <v>346</v>
      </c>
      <c r="C7391" t="s">
        <v>10116</v>
      </c>
      <c r="D7391" t="s">
        <v>16217</v>
      </c>
      <c r="E7391" t="s">
        <v>22789</v>
      </c>
      <c r="F7391" t="s">
        <v>28198</v>
      </c>
      <c r="G7391" t="s">
        <v>28205</v>
      </c>
      <c r="H7391" t="s">
        <v>28214</v>
      </c>
      <c r="I7391" t="s">
        <v>3797</v>
      </c>
      <c r="J7391" t="s">
        <v>32977</v>
      </c>
      <c r="K7391" t="s">
        <v>36697</v>
      </c>
      <c r="M7391" t="s">
        <v>37325</v>
      </c>
      <c r="N7391" t="s">
        <v>40436</v>
      </c>
      <c r="O7391" t="s">
        <v>40437</v>
      </c>
      <c r="P7391">
        <v>0</v>
      </c>
      <c r="Q7391">
        <v>0</v>
      </c>
      <c r="R7391" t="s">
        <v>40444</v>
      </c>
      <c r="S7391" t="s">
        <v>40676</v>
      </c>
      <c r="T7391" t="s">
        <v>42168</v>
      </c>
      <c r="U7391" t="s">
        <v>48851</v>
      </c>
      <c r="W7391" t="s">
        <v>37325</v>
      </c>
      <c r="X7391" t="s">
        <v>40445</v>
      </c>
    </row>
    <row r="7392" spans="1:24">
      <c r="A7392">
        <f>HYPERLINK("https://www.philgeps.gov.ph/GEPSNONPILOT/Tender/SplashBidNoticeAbstractUI.aspx?menuIndex=3&amp;refID=7039929&amp;Result=3","7039929")</f>
        <v>0</v>
      </c>
      <c r="B7392" t="s">
        <v>105</v>
      </c>
      <c r="C7392" t="s">
        <v>10117</v>
      </c>
      <c r="D7392" t="s">
        <v>16233</v>
      </c>
      <c r="E7392" t="s">
        <v>22790</v>
      </c>
      <c r="F7392" t="s">
        <v>28198</v>
      </c>
      <c r="G7392" t="s">
        <v>28206</v>
      </c>
      <c r="H7392" t="s">
        <v>28215</v>
      </c>
      <c r="I7392" t="s">
        <v>28226</v>
      </c>
      <c r="J7392" t="s">
        <v>29015</v>
      </c>
      <c r="K7392" t="s">
        <v>36715</v>
      </c>
      <c r="M7392" t="s">
        <v>37961</v>
      </c>
      <c r="N7392" t="s">
        <v>40436</v>
      </c>
      <c r="O7392" t="s">
        <v>40437</v>
      </c>
      <c r="P7392">
        <v>0</v>
      </c>
      <c r="Q7392">
        <v>2</v>
      </c>
      <c r="R7392" t="s">
        <v>40444</v>
      </c>
      <c r="S7392" t="s">
        <v>40676</v>
      </c>
      <c r="T7392" t="s">
        <v>42233</v>
      </c>
      <c r="U7392" t="s">
        <v>48852</v>
      </c>
      <c r="V7392" t="s">
        <v>54022</v>
      </c>
      <c r="W7392" t="s">
        <v>37961</v>
      </c>
      <c r="X7392" t="s">
        <v>40445</v>
      </c>
    </row>
    <row r="7393" spans="1:24">
      <c r="A7393">
        <f>HYPERLINK("https://www.philgeps.gov.ph/GEPSNONPILOT/Tender/SplashBidNoticeAbstractUI.aspx?menuIndex=3&amp;refID=7039923&amp;Result=3","7039923")</f>
        <v>0</v>
      </c>
      <c r="B7393" t="s">
        <v>1404</v>
      </c>
      <c r="C7393" t="s">
        <v>10118</v>
      </c>
      <c r="D7393" t="s">
        <v>16189</v>
      </c>
      <c r="E7393" t="s">
        <v>22791</v>
      </c>
      <c r="F7393" t="s">
        <v>28198</v>
      </c>
      <c r="G7393" t="s">
        <v>28205</v>
      </c>
      <c r="H7393" t="s">
        <v>28215</v>
      </c>
      <c r="I7393" t="s">
        <v>4321</v>
      </c>
      <c r="J7393" t="s">
        <v>32978</v>
      </c>
      <c r="K7393" t="s">
        <v>36701</v>
      </c>
      <c r="M7393" t="s">
        <v>38469</v>
      </c>
      <c r="N7393" t="s">
        <v>40436</v>
      </c>
      <c r="O7393" t="s">
        <v>40437</v>
      </c>
      <c r="P7393">
        <v>0</v>
      </c>
      <c r="Q7393">
        <v>3</v>
      </c>
      <c r="R7393" t="s">
        <v>40444</v>
      </c>
      <c r="S7393" t="s">
        <v>40676</v>
      </c>
      <c r="T7393" t="s">
        <v>42233</v>
      </c>
      <c r="U7393" t="s">
        <v>48853</v>
      </c>
      <c r="W7393" t="s">
        <v>39460</v>
      </c>
      <c r="X7393" t="s">
        <v>40445</v>
      </c>
    </row>
    <row r="7394" spans="1:24">
      <c r="A7394">
        <f>HYPERLINK("https://www.philgeps.gov.ph/GEPSNONPILOT/Tender/SplashBidNoticeAbstractUI.aspx?menuIndex=3&amp;refID=7039928&amp;Result=3","7039928")</f>
        <v>0</v>
      </c>
      <c r="B7394" t="s">
        <v>2280</v>
      </c>
      <c r="C7394" t="s">
        <v>10119</v>
      </c>
      <c r="D7394" t="s">
        <v>16244</v>
      </c>
      <c r="E7394" t="s">
        <v>22351</v>
      </c>
      <c r="F7394" t="s">
        <v>28198</v>
      </c>
      <c r="G7394" t="s">
        <v>28205</v>
      </c>
      <c r="H7394" t="s">
        <v>28214</v>
      </c>
      <c r="I7394" t="s">
        <v>3797</v>
      </c>
      <c r="J7394" t="s">
        <v>32979</v>
      </c>
      <c r="K7394" t="s">
        <v>36735</v>
      </c>
      <c r="M7394" t="s">
        <v>39452</v>
      </c>
      <c r="N7394" t="s">
        <v>40436</v>
      </c>
      <c r="O7394" t="s">
        <v>40437</v>
      </c>
      <c r="P7394">
        <v>0</v>
      </c>
      <c r="Q7394">
        <v>4</v>
      </c>
      <c r="R7394" t="s">
        <v>40444</v>
      </c>
      <c r="S7394" t="s">
        <v>40676</v>
      </c>
      <c r="T7394" t="s">
        <v>42106</v>
      </c>
      <c r="U7394" t="s">
        <v>48854</v>
      </c>
      <c r="W7394" t="s">
        <v>39452</v>
      </c>
      <c r="X7394" t="s">
        <v>40445</v>
      </c>
    </row>
    <row r="7395" spans="1:24">
      <c r="A7395">
        <f>HYPERLINK("https://www.philgeps.gov.ph/GEPSNONPILOT/Tender/SplashBidNoticeAbstractUI.aspx?menuIndex=3&amp;refID=7039918&amp;Result=3","7039918")</f>
        <v>0</v>
      </c>
      <c r="B7395" t="s">
        <v>2281</v>
      </c>
      <c r="C7395" t="s">
        <v>10120</v>
      </c>
      <c r="E7395" t="s">
        <v>22792</v>
      </c>
      <c r="F7395" t="s">
        <v>28198</v>
      </c>
      <c r="G7395" t="s">
        <v>28205</v>
      </c>
      <c r="H7395" t="s">
        <v>28215</v>
      </c>
      <c r="I7395" t="s">
        <v>5100</v>
      </c>
      <c r="J7395" t="s">
        <v>32980</v>
      </c>
      <c r="K7395" t="s">
        <v>36689</v>
      </c>
      <c r="M7395" t="s">
        <v>39453</v>
      </c>
      <c r="N7395" t="s">
        <v>40436</v>
      </c>
      <c r="O7395" t="s">
        <v>40437</v>
      </c>
      <c r="P7395">
        <v>0</v>
      </c>
      <c r="Q7395">
        <v>0</v>
      </c>
      <c r="R7395" t="s">
        <v>40444</v>
      </c>
      <c r="S7395" t="s">
        <v>40676</v>
      </c>
      <c r="T7395" t="s">
        <v>42218</v>
      </c>
      <c r="U7395" t="s">
        <v>48855</v>
      </c>
      <c r="W7395" t="s">
        <v>55512</v>
      </c>
      <c r="X7395" t="s">
        <v>40445</v>
      </c>
    </row>
    <row r="7396" spans="1:24">
      <c r="A7396">
        <f>HYPERLINK("https://www.philgeps.gov.ph/GEPSNONPILOT/Tender/SplashBidNoticeAbstractUI.aspx?menuIndex=3&amp;refID=7039932&amp;Result=3","7039932")</f>
        <v>0</v>
      </c>
      <c r="B7396" t="s">
        <v>2277</v>
      </c>
      <c r="C7396" t="s">
        <v>10121</v>
      </c>
      <c r="D7396" t="s">
        <v>16219</v>
      </c>
      <c r="E7396" t="s">
        <v>20366</v>
      </c>
      <c r="F7396" t="s">
        <v>28198</v>
      </c>
      <c r="G7396" t="s">
        <v>28210</v>
      </c>
      <c r="H7396" t="s">
        <v>28215</v>
      </c>
      <c r="I7396" t="s">
        <v>5082</v>
      </c>
      <c r="J7396" t="s">
        <v>32981</v>
      </c>
      <c r="K7396" t="s">
        <v>36688</v>
      </c>
      <c r="M7396" t="s">
        <v>39449</v>
      </c>
      <c r="N7396" t="s">
        <v>40436</v>
      </c>
      <c r="O7396" t="s">
        <v>40437</v>
      </c>
      <c r="P7396">
        <v>0</v>
      </c>
      <c r="Q7396">
        <v>1</v>
      </c>
      <c r="R7396" t="s">
        <v>40444</v>
      </c>
      <c r="S7396" t="s">
        <v>40676</v>
      </c>
      <c r="T7396" t="s">
        <v>42185</v>
      </c>
      <c r="U7396" t="s">
        <v>43698</v>
      </c>
      <c r="W7396" t="s">
        <v>39449</v>
      </c>
      <c r="X7396" t="s">
        <v>40445</v>
      </c>
    </row>
    <row r="7397" spans="1:24">
      <c r="A7397">
        <f>HYPERLINK("https://www.philgeps.gov.ph/GEPSNONPILOT/Tender/SplashBidNoticeAbstractUI.aspx?menuIndex=3&amp;refID=7039917&amp;Result=3","7039917")</f>
        <v>0</v>
      </c>
      <c r="B7397" t="s">
        <v>1405</v>
      </c>
      <c r="C7397" t="s">
        <v>10122</v>
      </c>
      <c r="D7397" t="s">
        <v>16210</v>
      </c>
      <c r="E7397" t="s">
        <v>22793</v>
      </c>
      <c r="F7397" t="s">
        <v>28198</v>
      </c>
      <c r="G7397" t="s">
        <v>28207</v>
      </c>
      <c r="H7397" t="s">
        <v>28215</v>
      </c>
      <c r="I7397" t="s">
        <v>28238</v>
      </c>
      <c r="J7397" t="s">
        <v>28561</v>
      </c>
      <c r="K7397" t="s">
        <v>36715</v>
      </c>
      <c r="M7397" t="s">
        <v>38470</v>
      </c>
      <c r="N7397" t="s">
        <v>40436</v>
      </c>
      <c r="O7397" t="s">
        <v>40437</v>
      </c>
      <c r="P7397">
        <v>0</v>
      </c>
      <c r="Q7397">
        <v>4</v>
      </c>
      <c r="R7397" t="s">
        <v>40444</v>
      </c>
      <c r="S7397" t="s">
        <v>40676</v>
      </c>
      <c r="T7397" t="s">
        <v>42185</v>
      </c>
      <c r="U7397" t="s">
        <v>48856</v>
      </c>
      <c r="W7397" t="s">
        <v>38470</v>
      </c>
      <c r="X7397" t="s">
        <v>40445</v>
      </c>
    </row>
    <row r="7398" spans="1:24">
      <c r="A7398">
        <f>HYPERLINK("https://www.philgeps.gov.ph/GEPSNONPILOT/Tender/SplashBidNoticeAbstractUI.aspx?menuIndex=3&amp;refID=7039924&amp;Result=3","7039924")</f>
        <v>0</v>
      </c>
      <c r="B7398" t="s">
        <v>1846</v>
      </c>
      <c r="C7398" t="s">
        <v>10123</v>
      </c>
      <c r="D7398" t="s">
        <v>16216</v>
      </c>
      <c r="E7398" t="s">
        <v>22794</v>
      </c>
      <c r="F7398" t="s">
        <v>28198</v>
      </c>
      <c r="G7398" t="s">
        <v>28205</v>
      </c>
      <c r="H7398" t="s">
        <v>28214</v>
      </c>
      <c r="I7398" t="s">
        <v>3797</v>
      </c>
      <c r="J7398" t="s">
        <v>28351</v>
      </c>
      <c r="K7398" t="s">
        <v>36689</v>
      </c>
      <c r="M7398" t="s">
        <v>38973</v>
      </c>
      <c r="N7398" t="s">
        <v>40436</v>
      </c>
      <c r="O7398" t="s">
        <v>40437</v>
      </c>
      <c r="P7398">
        <v>0</v>
      </c>
      <c r="Q7398">
        <v>2</v>
      </c>
      <c r="R7398" t="s">
        <v>40444</v>
      </c>
      <c r="S7398" t="s">
        <v>40676</v>
      </c>
      <c r="T7398" t="s">
        <v>42277</v>
      </c>
      <c r="U7398" t="s">
        <v>48857</v>
      </c>
      <c r="W7398" t="s">
        <v>38973</v>
      </c>
      <c r="X7398" t="s">
        <v>40445</v>
      </c>
    </row>
    <row r="7399" spans="1:24">
      <c r="A7399">
        <f>HYPERLINK("https://www.philgeps.gov.ph/GEPSNONPILOT/Tender/SplashBidNoticeAbstractUI.aspx?menuIndex=3&amp;refID=7039926&amp;Result=3","7039926")</f>
        <v>0</v>
      </c>
      <c r="B7399" t="s">
        <v>2282</v>
      </c>
      <c r="C7399" t="s">
        <v>10124</v>
      </c>
      <c r="D7399" t="s">
        <v>16260</v>
      </c>
      <c r="E7399" t="s">
        <v>22795</v>
      </c>
      <c r="F7399" t="s">
        <v>28198</v>
      </c>
      <c r="G7399" t="s">
        <v>28206</v>
      </c>
      <c r="H7399" t="s">
        <v>28215</v>
      </c>
      <c r="I7399" t="s">
        <v>5100</v>
      </c>
      <c r="J7399" t="s">
        <v>32982</v>
      </c>
      <c r="K7399" t="s">
        <v>36701</v>
      </c>
      <c r="M7399" t="s">
        <v>39454</v>
      </c>
      <c r="N7399" t="s">
        <v>40436</v>
      </c>
      <c r="O7399" t="s">
        <v>40437</v>
      </c>
      <c r="P7399">
        <v>0</v>
      </c>
      <c r="Q7399">
        <v>0</v>
      </c>
      <c r="R7399" t="s">
        <v>40444</v>
      </c>
      <c r="S7399" t="s">
        <v>40676</v>
      </c>
      <c r="T7399" t="s">
        <v>42205</v>
      </c>
      <c r="U7399" t="s">
        <v>48858</v>
      </c>
      <c r="W7399" t="s">
        <v>39454</v>
      </c>
      <c r="X7399" t="s">
        <v>40445</v>
      </c>
    </row>
    <row r="7400" spans="1:24">
      <c r="A7400">
        <f>HYPERLINK("https://www.philgeps.gov.ph/GEPSNONPILOT/Tender/SplashBidNoticeAbstractUI.aspx?menuIndex=3&amp;refID=7039922&amp;Result=3","7039922")</f>
        <v>0</v>
      </c>
      <c r="B7400" t="s">
        <v>2053</v>
      </c>
      <c r="C7400" t="s">
        <v>10125</v>
      </c>
      <c r="E7400" t="s">
        <v>22796</v>
      </c>
      <c r="F7400" t="s">
        <v>28198</v>
      </c>
      <c r="G7400" t="s">
        <v>28205</v>
      </c>
      <c r="H7400" t="s">
        <v>28215</v>
      </c>
      <c r="I7400" t="s">
        <v>3797</v>
      </c>
      <c r="J7400" t="s">
        <v>32983</v>
      </c>
      <c r="K7400" t="s">
        <v>36689</v>
      </c>
      <c r="M7400" t="s">
        <v>39199</v>
      </c>
      <c r="N7400" t="s">
        <v>40436</v>
      </c>
      <c r="O7400" t="s">
        <v>40437</v>
      </c>
      <c r="P7400">
        <v>0</v>
      </c>
      <c r="Q7400">
        <v>0</v>
      </c>
      <c r="R7400" t="s">
        <v>40444</v>
      </c>
      <c r="S7400" t="s">
        <v>40676</v>
      </c>
      <c r="T7400" t="s">
        <v>42134</v>
      </c>
      <c r="U7400" t="s">
        <v>48859</v>
      </c>
      <c r="V7400" t="s">
        <v>53826</v>
      </c>
      <c r="W7400" t="s">
        <v>39199</v>
      </c>
      <c r="X7400" t="s">
        <v>40445</v>
      </c>
    </row>
    <row r="7401" spans="1:24">
      <c r="A7401">
        <f>HYPERLINK("https://www.philgeps.gov.ph/GEPSNONPILOT/Tender/SplashBidNoticeAbstractUI.aspx?menuIndex=3&amp;refID=7039916&amp;Result=3","7039916")</f>
        <v>0</v>
      </c>
      <c r="B7401" t="s">
        <v>2276</v>
      </c>
      <c r="C7401" t="s">
        <v>10126</v>
      </c>
      <c r="D7401" t="s">
        <v>16189</v>
      </c>
      <c r="E7401" t="s">
        <v>22797</v>
      </c>
      <c r="F7401" t="s">
        <v>28198</v>
      </c>
      <c r="G7401" t="s">
        <v>28205</v>
      </c>
      <c r="H7401" t="s">
        <v>28215</v>
      </c>
      <c r="I7401" t="s">
        <v>5082</v>
      </c>
      <c r="J7401" t="s">
        <v>32984</v>
      </c>
      <c r="K7401" t="s">
        <v>36689</v>
      </c>
      <c r="M7401" t="s">
        <v>39448</v>
      </c>
      <c r="N7401" t="s">
        <v>40436</v>
      </c>
      <c r="O7401" t="s">
        <v>40437</v>
      </c>
      <c r="P7401">
        <v>0</v>
      </c>
      <c r="Q7401">
        <v>2</v>
      </c>
      <c r="R7401" t="s">
        <v>40444</v>
      </c>
      <c r="S7401" t="s">
        <v>40676</v>
      </c>
      <c r="T7401" t="s">
        <v>42375</v>
      </c>
      <c r="U7401" t="s">
        <v>48860</v>
      </c>
      <c r="W7401" t="s">
        <v>39448</v>
      </c>
      <c r="X7401" t="s">
        <v>40445</v>
      </c>
    </row>
    <row r="7402" spans="1:24">
      <c r="A7402">
        <f>HYPERLINK("https://www.philgeps.gov.ph/GEPSNONPILOT/Tender/SplashBidNoticeAbstractUI.aspx?menuIndex=3&amp;refID=7039906&amp;Result=3","7039906")</f>
        <v>0</v>
      </c>
      <c r="B7402" t="s">
        <v>2282</v>
      </c>
      <c r="C7402" t="s">
        <v>10127</v>
      </c>
      <c r="D7402" t="s">
        <v>16260</v>
      </c>
      <c r="E7402" t="s">
        <v>22798</v>
      </c>
      <c r="F7402" t="s">
        <v>28198</v>
      </c>
      <c r="G7402" t="s">
        <v>28206</v>
      </c>
      <c r="H7402" t="s">
        <v>28215</v>
      </c>
      <c r="I7402" t="s">
        <v>4200</v>
      </c>
      <c r="J7402" t="s">
        <v>32985</v>
      </c>
      <c r="K7402" t="s">
        <v>36701</v>
      </c>
      <c r="M7402" t="s">
        <v>39454</v>
      </c>
      <c r="N7402" t="s">
        <v>40436</v>
      </c>
      <c r="O7402" t="s">
        <v>40437</v>
      </c>
      <c r="P7402">
        <v>0</v>
      </c>
      <c r="Q7402">
        <v>2</v>
      </c>
      <c r="R7402" t="s">
        <v>40444</v>
      </c>
      <c r="S7402" t="s">
        <v>40676</v>
      </c>
      <c r="T7402" t="s">
        <v>42205</v>
      </c>
      <c r="U7402" t="s">
        <v>48861</v>
      </c>
      <c r="W7402" t="s">
        <v>39454</v>
      </c>
      <c r="X7402" t="s">
        <v>40445</v>
      </c>
    </row>
    <row r="7403" spans="1:24">
      <c r="A7403">
        <f>HYPERLINK("https://www.philgeps.gov.ph/GEPSNONPILOT/Tender/SplashBidNoticeAbstractUI.aspx?menuIndex=3&amp;refID=7039915&amp;Result=3","7039915")</f>
        <v>0</v>
      </c>
      <c r="B7403" t="s">
        <v>940</v>
      </c>
      <c r="C7403" t="s">
        <v>10128</v>
      </c>
      <c r="D7403" t="s">
        <v>16232</v>
      </c>
      <c r="E7403" t="s">
        <v>22799</v>
      </c>
      <c r="F7403" t="s">
        <v>28198</v>
      </c>
      <c r="G7403" t="s">
        <v>28205</v>
      </c>
      <c r="H7403" t="s">
        <v>28215</v>
      </c>
      <c r="I7403" t="s">
        <v>28280</v>
      </c>
      <c r="J7403" t="s">
        <v>32986</v>
      </c>
      <c r="K7403" t="s">
        <v>36689</v>
      </c>
      <c r="M7403" t="s">
        <v>37963</v>
      </c>
      <c r="N7403" t="s">
        <v>40436</v>
      </c>
      <c r="O7403" t="s">
        <v>40437</v>
      </c>
      <c r="Q7403">
        <v>2</v>
      </c>
      <c r="R7403" t="s">
        <v>40444</v>
      </c>
      <c r="S7403" t="s">
        <v>40721</v>
      </c>
      <c r="T7403" t="s">
        <v>42427</v>
      </c>
      <c r="U7403" t="s">
        <v>48802</v>
      </c>
      <c r="V7403" t="s">
        <v>54544</v>
      </c>
      <c r="W7403" t="s">
        <v>37963</v>
      </c>
      <c r="X7403" t="s">
        <v>40445</v>
      </c>
    </row>
    <row r="7404" spans="1:24">
      <c r="A7404">
        <f>HYPERLINK("https://www.philgeps.gov.ph/GEPSNONPILOT/Tender/SplashBidNoticeAbstractUI.aspx?menuIndex=3&amp;refID=7039940&amp;Result=3","7039940")</f>
        <v>0</v>
      </c>
      <c r="B7404" t="s">
        <v>2208</v>
      </c>
      <c r="C7404" t="s">
        <v>10129</v>
      </c>
      <c r="D7404" t="s">
        <v>16237</v>
      </c>
      <c r="E7404" t="s">
        <v>22800</v>
      </c>
      <c r="F7404" t="s">
        <v>28198</v>
      </c>
      <c r="G7404" t="s">
        <v>28205</v>
      </c>
      <c r="H7404" t="s">
        <v>28215</v>
      </c>
      <c r="I7404" t="s">
        <v>28265</v>
      </c>
      <c r="J7404" t="s">
        <v>32987</v>
      </c>
      <c r="K7404" t="s">
        <v>36715</v>
      </c>
      <c r="M7404" t="s">
        <v>39373</v>
      </c>
      <c r="N7404" t="s">
        <v>40436</v>
      </c>
      <c r="O7404" t="s">
        <v>40437</v>
      </c>
      <c r="P7404">
        <v>0</v>
      </c>
      <c r="Q7404">
        <v>0</v>
      </c>
      <c r="R7404" t="s">
        <v>40444</v>
      </c>
      <c r="S7404" t="s">
        <v>40676</v>
      </c>
      <c r="T7404" t="s">
        <v>42232</v>
      </c>
      <c r="U7404" t="s">
        <v>48862</v>
      </c>
      <c r="W7404" t="s">
        <v>39373</v>
      </c>
      <c r="X7404" t="s">
        <v>40445</v>
      </c>
    </row>
    <row r="7405" spans="1:24">
      <c r="A7405">
        <f>HYPERLINK("https://www.philgeps.gov.ph/GEPSNONPILOT/Tender/SplashBidNoticeAbstractUI.aspx?menuIndex=3&amp;refID=7039900&amp;Result=3","7039900")</f>
        <v>0</v>
      </c>
      <c r="B7405" t="s">
        <v>773</v>
      </c>
      <c r="C7405" t="s">
        <v>10130</v>
      </c>
      <c r="D7405" t="s">
        <v>16219</v>
      </c>
      <c r="E7405" t="s">
        <v>22801</v>
      </c>
      <c r="F7405" t="s">
        <v>28198</v>
      </c>
      <c r="G7405" t="s">
        <v>28205</v>
      </c>
      <c r="H7405" t="s">
        <v>28215</v>
      </c>
      <c r="I7405" t="s">
        <v>5100</v>
      </c>
      <c r="J7405" t="s">
        <v>32988</v>
      </c>
      <c r="K7405" t="s">
        <v>36706</v>
      </c>
      <c r="M7405" t="s">
        <v>38111</v>
      </c>
      <c r="N7405" t="s">
        <v>40436</v>
      </c>
      <c r="O7405" t="s">
        <v>40437</v>
      </c>
      <c r="P7405">
        <v>0</v>
      </c>
      <c r="Q7405">
        <v>0</v>
      </c>
      <c r="R7405" t="s">
        <v>40444</v>
      </c>
      <c r="S7405" t="s">
        <v>40676</v>
      </c>
      <c r="T7405" t="s">
        <v>42233</v>
      </c>
      <c r="U7405" t="s">
        <v>48863</v>
      </c>
      <c r="W7405" t="s">
        <v>38111</v>
      </c>
      <c r="X7405" t="s">
        <v>40445</v>
      </c>
    </row>
    <row r="7406" spans="1:24">
      <c r="A7406">
        <f>HYPERLINK("https://www.philgeps.gov.ph/GEPSNONPILOT/Tender/SplashBidNoticeAbstractUI.aspx?menuIndex=3&amp;refID=7039949&amp;Result=3","7039949")</f>
        <v>0</v>
      </c>
      <c r="B7406" t="s">
        <v>2278</v>
      </c>
      <c r="C7406" t="s">
        <v>10131</v>
      </c>
      <c r="D7406" t="s">
        <v>16190</v>
      </c>
      <c r="E7406" t="s">
        <v>22802</v>
      </c>
      <c r="F7406" t="s">
        <v>28198</v>
      </c>
      <c r="G7406" t="s">
        <v>28206</v>
      </c>
      <c r="H7406" t="s">
        <v>28215</v>
      </c>
      <c r="I7406" t="s">
        <v>4505</v>
      </c>
      <c r="J7406" t="s">
        <v>32989</v>
      </c>
      <c r="K7406" t="s">
        <v>36687</v>
      </c>
      <c r="M7406" t="s">
        <v>39450</v>
      </c>
      <c r="N7406" t="s">
        <v>40436</v>
      </c>
      <c r="O7406" t="s">
        <v>40437</v>
      </c>
      <c r="P7406">
        <v>0</v>
      </c>
      <c r="Q7406">
        <v>11</v>
      </c>
      <c r="R7406" t="s">
        <v>40444</v>
      </c>
      <c r="S7406" t="s">
        <v>40676</v>
      </c>
      <c r="T7406" t="s">
        <v>42297</v>
      </c>
      <c r="U7406" t="s">
        <v>48864</v>
      </c>
      <c r="V7406" t="s">
        <v>54553</v>
      </c>
      <c r="W7406" t="s">
        <v>39450</v>
      </c>
      <c r="X7406" t="s">
        <v>40445</v>
      </c>
    </row>
    <row r="7407" spans="1:24">
      <c r="A7407">
        <f>HYPERLINK("https://www.philgeps.gov.ph/GEPSNONPILOT/Tender/SplashBidNoticeAbstractUI.aspx?menuIndex=3&amp;refID=7039997&amp;Result=3","7039997")</f>
        <v>0</v>
      </c>
      <c r="B7407" t="s">
        <v>2283</v>
      </c>
      <c r="C7407" t="s">
        <v>10132</v>
      </c>
      <c r="D7407" t="s">
        <v>16225</v>
      </c>
      <c r="E7407" t="s">
        <v>22803</v>
      </c>
      <c r="F7407" t="s">
        <v>28198</v>
      </c>
      <c r="G7407" t="s">
        <v>28205</v>
      </c>
      <c r="H7407" t="s">
        <v>28214</v>
      </c>
      <c r="I7407" t="s">
        <v>3797</v>
      </c>
      <c r="J7407" t="s">
        <v>29566</v>
      </c>
      <c r="K7407" t="s">
        <v>36809</v>
      </c>
      <c r="M7407" t="s">
        <v>39455</v>
      </c>
      <c r="N7407" t="s">
        <v>40436</v>
      </c>
      <c r="O7407" t="s">
        <v>40437</v>
      </c>
      <c r="P7407">
        <v>0</v>
      </c>
      <c r="Q7407">
        <v>0</v>
      </c>
      <c r="R7407" t="s">
        <v>40444</v>
      </c>
      <c r="S7407" t="s">
        <v>40676</v>
      </c>
      <c r="T7407" t="s">
        <v>42245</v>
      </c>
      <c r="U7407" t="s">
        <v>48865</v>
      </c>
      <c r="V7407" t="s">
        <v>54554</v>
      </c>
      <c r="W7407" t="s">
        <v>39455</v>
      </c>
      <c r="X7407" t="s">
        <v>40445</v>
      </c>
    </row>
    <row r="7408" spans="1:24">
      <c r="A7408">
        <f>HYPERLINK("https://www.philgeps.gov.ph/GEPSNONPILOT/Tender/SplashBidNoticeAbstractUI.aspx?menuIndex=3&amp;refID=7039950&amp;Result=3","7039950")</f>
        <v>0</v>
      </c>
      <c r="B7408" t="s">
        <v>2276</v>
      </c>
      <c r="C7408" t="s">
        <v>10133</v>
      </c>
      <c r="D7408" t="s">
        <v>16189</v>
      </c>
      <c r="E7408" t="s">
        <v>22804</v>
      </c>
      <c r="F7408" t="s">
        <v>28198</v>
      </c>
      <c r="G7408" t="s">
        <v>28205</v>
      </c>
      <c r="H7408" t="s">
        <v>28214</v>
      </c>
      <c r="I7408" t="s">
        <v>3797</v>
      </c>
      <c r="J7408" t="s">
        <v>32990</v>
      </c>
      <c r="K7408" t="s">
        <v>36689</v>
      </c>
      <c r="M7408" t="s">
        <v>39448</v>
      </c>
      <c r="N7408" t="s">
        <v>40436</v>
      </c>
      <c r="O7408" t="s">
        <v>40437</v>
      </c>
      <c r="P7408">
        <v>0</v>
      </c>
      <c r="Q7408">
        <v>0</v>
      </c>
      <c r="R7408" t="s">
        <v>40444</v>
      </c>
      <c r="S7408" t="s">
        <v>40676</v>
      </c>
      <c r="T7408" t="s">
        <v>42488</v>
      </c>
      <c r="U7408" t="s">
        <v>48866</v>
      </c>
      <c r="W7408" t="s">
        <v>39448</v>
      </c>
      <c r="X7408" t="s">
        <v>40445</v>
      </c>
    </row>
    <row r="7409" spans="1:24">
      <c r="A7409">
        <f>HYPERLINK("https://www.philgeps.gov.ph/GEPSNONPILOT/Tender/SplashBidNoticeAbstractUI.aspx?menuIndex=3&amp;refID=7039998&amp;Result=3","7039998")</f>
        <v>0</v>
      </c>
      <c r="B7409" t="s">
        <v>1846</v>
      </c>
      <c r="C7409" t="s">
        <v>10134</v>
      </c>
      <c r="D7409" t="s">
        <v>16216</v>
      </c>
      <c r="E7409" t="s">
        <v>22805</v>
      </c>
      <c r="F7409" t="s">
        <v>28198</v>
      </c>
      <c r="G7409" t="s">
        <v>28205</v>
      </c>
      <c r="H7409" t="s">
        <v>28214</v>
      </c>
      <c r="I7409" t="s">
        <v>3797</v>
      </c>
      <c r="J7409" t="s">
        <v>28351</v>
      </c>
      <c r="K7409" t="s">
        <v>36689</v>
      </c>
      <c r="M7409" t="s">
        <v>38973</v>
      </c>
      <c r="N7409" t="s">
        <v>40436</v>
      </c>
      <c r="O7409" t="s">
        <v>40437</v>
      </c>
      <c r="P7409">
        <v>0</v>
      </c>
      <c r="Q7409">
        <v>1</v>
      </c>
      <c r="R7409" t="s">
        <v>40444</v>
      </c>
      <c r="S7409" t="s">
        <v>40676</v>
      </c>
      <c r="T7409" t="s">
        <v>42277</v>
      </c>
      <c r="U7409" t="s">
        <v>48867</v>
      </c>
      <c r="W7409" t="s">
        <v>38973</v>
      </c>
      <c r="X7409" t="s">
        <v>40445</v>
      </c>
    </row>
    <row r="7410" spans="1:24">
      <c r="A7410">
        <f>HYPERLINK("https://www.philgeps.gov.ph/GEPSNONPILOT/Tender/SplashBidNoticeAbstractUI.aspx?menuIndex=3&amp;refID=7039944&amp;Result=3","7039944")</f>
        <v>0</v>
      </c>
      <c r="B7410" t="s">
        <v>2165</v>
      </c>
      <c r="C7410" t="s">
        <v>10135</v>
      </c>
      <c r="D7410" t="s">
        <v>16210</v>
      </c>
      <c r="E7410" t="s">
        <v>22806</v>
      </c>
      <c r="F7410" t="s">
        <v>28198</v>
      </c>
      <c r="G7410" t="s">
        <v>28207</v>
      </c>
      <c r="H7410" t="s">
        <v>28215</v>
      </c>
      <c r="I7410" t="s">
        <v>28258</v>
      </c>
      <c r="J7410" t="s">
        <v>32991</v>
      </c>
      <c r="K7410" t="s">
        <v>36688</v>
      </c>
      <c r="M7410" t="s">
        <v>39322</v>
      </c>
      <c r="N7410" t="s">
        <v>40436</v>
      </c>
      <c r="O7410" t="s">
        <v>40437</v>
      </c>
      <c r="P7410">
        <v>0</v>
      </c>
      <c r="Q7410">
        <v>27</v>
      </c>
      <c r="R7410" t="s">
        <v>40444</v>
      </c>
      <c r="S7410" t="s">
        <v>40676</v>
      </c>
      <c r="T7410" t="s">
        <v>42417</v>
      </c>
      <c r="U7410" t="s">
        <v>48868</v>
      </c>
      <c r="W7410" t="s">
        <v>39322</v>
      </c>
      <c r="X7410" t="s">
        <v>40445</v>
      </c>
    </row>
    <row r="7411" spans="1:24">
      <c r="A7411">
        <f>HYPERLINK("https://www.philgeps.gov.ph/GEPSNONPILOT/Tender/SplashBidNoticeAbstractUI.aspx?menuIndex=3&amp;refID=7039980&amp;Result=3","7039980")</f>
        <v>0</v>
      </c>
      <c r="B7411" t="s">
        <v>2278</v>
      </c>
      <c r="C7411" t="s">
        <v>10136</v>
      </c>
      <c r="D7411" t="s">
        <v>16190</v>
      </c>
      <c r="E7411" t="s">
        <v>22807</v>
      </c>
      <c r="F7411" t="s">
        <v>28198</v>
      </c>
      <c r="G7411" t="s">
        <v>28206</v>
      </c>
      <c r="H7411" t="s">
        <v>28215</v>
      </c>
      <c r="I7411" t="s">
        <v>4505</v>
      </c>
      <c r="J7411" t="s">
        <v>32992</v>
      </c>
      <c r="K7411" t="s">
        <v>36687</v>
      </c>
      <c r="M7411" t="s">
        <v>39450</v>
      </c>
      <c r="N7411" t="s">
        <v>40436</v>
      </c>
      <c r="O7411" t="s">
        <v>40437</v>
      </c>
      <c r="P7411">
        <v>0</v>
      </c>
      <c r="Q7411">
        <v>13</v>
      </c>
      <c r="R7411" t="s">
        <v>40444</v>
      </c>
      <c r="S7411" t="s">
        <v>40676</v>
      </c>
      <c r="T7411" t="s">
        <v>42297</v>
      </c>
      <c r="U7411" t="s">
        <v>46133</v>
      </c>
      <c r="V7411" t="s">
        <v>54553</v>
      </c>
      <c r="W7411" t="s">
        <v>39450</v>
      </c>
      <c r="X7411" t="s">
        <v>40445</v>
      </c>
    </row>
    <row r="7412" spans="1:24">
      <c r="A7412">
        <f>HYPERLINK("https://www.philgeps.gov.ph/GEPSNONPILOT/Tender/SplashBidNoticeAbstractUI.aspx?menuIndex=3&amp;refID=7039982&amp;Result=3","7039982")</f>
        <v>0</v>
      </c>
      <c r="B7412" t="s">
        <v>2284</v>
      </c>
      <c r="C7412" t="s">
        <v>10137</v>
      </c>
      <c r="D7412" t="s">
        <v>16210</v>
      </c>
      <c r="E7412" t="s">
        <v>22808</v>
      </c>
      <c r="F7412" t="s">
        <v>28198</v>
      </c>
      <c r="G7412" t="s">
        <v>28206</v>
      </c>
      <c r="H7412" t="s">
        <v>28215</v>
      </c>
      <c r="I7412" t="s">
        <v>28281</v>
      </c>
      <c r="J7412" t="s">
        <v>30172</v>
      </c>
      <c r="K7412" t="s">
        <v>36696</v>
      </c>
      <c r="L7412" t="s">
        <v>2284</v>
      </c>
      <c r="M7412" t="s">
        <v>39456</v>
      </c>
      <c r="N7412" t="s">
        <v>40436</v>
      </c>
      <c r="O7412" t="s">
        <v>40437</v>
      </c>
      <c r="Q7412">
        <v>16</v>
      </c>
      <c r="R7412" t="s">
        <v>40444</v>
      </c>
      <c r="S7412" t="s">
        <v>40722</v>
      </c>
      <c r="T7412" t="s">
        <v>42455</v>
      </c>
      <c r="U7412" t="s">
        <v>48869</v>
      </c>
      <c r="W7412" t="s">
        <v>39456</v>
      </c>
      <c r="X7412" t="s">
        <v>40445</v>
      </c>
    </row>
    <row r="7413" spans="1:24">
      <c r="A7413">
        <f>HYPERLINK("https://www.philgeps.gov.ph/GEPSNONPILOT/Tender/SplashBidNoticeAbstractUI.aspx?menuIndex=3&amp;refID=7039958&amp;Result=3","7039958")</f>
        <v>0</v>
      </c>
      <c r="B7413" t="s">
        <v>1726</v>
      </c>
      <c r="C7413" t="s">
        <v>10138</v>
      </c>
      <c r="D7413" t="s">
        <v>16233</v>
      </c>
      <c r="E7413" t="s">
        <v>22809</v>
      </c>
      <c r="F7413" t="s">
        <v>28198</v>
      </c>
      <c r="G7413" t="s">
        <v>28205</v>
      </c>
      <c r="H7413" t="s">
        <v>28215</v>
      </c>
      <c r="I7413" t="s">
        <v>5100</v>
      </c>
      <c r="J7413" t="s">
        <v>32993</v>
      </c>
      <c r="K7413" t="s">
        <v>36689</v>
      </c>
      <c r="M7413" t="s">
        <v>38835</v>
      </c>
      <c r="N7413" t="s">
        <v>40436</v>
      </c>
      <c r="O7413" t="s">
        <v>40437</v>
      </c>
      <c r="P7413">
        <v>0</v>
      </c>
      <c r="Q7413">
        <v>0</v>
      </c>
      <c r="R7413" t="s">
        <v>40444</v>
      </c>
      <c r="S7413" t="s">
        <v>40676</v>
      </c>
      <c r="T7413" t="s">
        <v>42486</v>
      </c>
      <c r="U7413" t="s">
        <v>48790</v>
      </c>
      <c r="V7413" t="s">
        <v>54555</v>
      </c>
      <c r="W7413" t="s">
        <v>38835</v>
      </c>
      <c r="X7413" t="s">
        <v>40445</v>
      </c>
    </row>
    <row r="7414" spans="1:24">
      <c r="A7414">
        <f>HYPERLINK("https://www.philgeps.gov.ph/GEPSNONPILOT/Tender/SplashBidNoticeAbstractUI.aspx?menuIndex=3&amp;refID=7039977&amp;Result=3","7039977")</f>
        <v>0</v>
      </c>
      <c r="B7414" t="s">
        <v>1846</v>
      </c>
      <c r="C7414" t="s">
        <v>10139</v>
      </c>
      <c r="D7414" t="s">
        <v>16216</v>
      </c>
      <c r="E7414" t="s">
        <v>22810</v>
      </c>
      <c r="F7414" t="s">
        <v>28198</v>
      </c>
      <c r="G7414" t="s">
        <v>28205</v>
      </c>
      <c r="H7414" t="s">
        <v>28214</v>
      </c>
      <c r="I7414" t="s">
        <v>3797</v>
      </c>
      <c r="J7414" t="s">
        <v>28363</v>
      </c>
      <c r="K7414" t="s">
        <v>36689</v>
      </c>
      <c r="M7414" t="s">
        <v>38973</v>
      </c>
      <c r="N7414" t="s">
        <v>40436</v>
      </c>
      <c r="O7414" t="s">
        <v>40437</v>
      </c>
      <c r="P7414">
        <v>0</v>
      </c>
      <c r="Q7414">
        <v>2</v>
      </c>
      <c r="R7414" t="s">
        <v>40444</v>
      </c>
      <c r="S7414" t="s">
        <v>40676</v>
      </c>
      <c r="T7414" t="s">
        <v>42277</v>
      </c>
      <c r="U7414" t="s">
        <v>48870</v>
      </c>
      <c r="W7414" t="s">
        <v>38973</v>
      </c>
      <c r="X7414" t="s">
        <v>40445</v>
      </c>
    </row>
    <row r="7415" spans="1:24">
      <c r="A7415">
        <f>HYPERLINK("https://www.philgeps.gov.ph/GEPSNONPILOT/Tender/SplashBidNoticeAbstractUI.aspx?menuIndex=3&amp;refID=7039945&amp;Result=3","7039945")</f>
        <v>0</v>
      </c>
      <c r="B7415" t="s">
        <v>1846</v>
      </c>
      <c r="C7415" t="s">
        <v>10140</v>
      </c>
      <c r="D7415" t="s">
        <v>16216</v>
      </c>
      <c r="E7415" t="s">
        <v>22811</v>
      </c>
      <c r="F7415" t="s">
        <v>28198</v>
      </c>
      <c r="G7415" t="s">
        <v>28205</v>
      </c>
      <c r="H7415" t="s">
        <v>28214</v>
      </c>
      <c r="I7415" t="s">
        <v>3797</v>
      </c>
      <c r="J7415" t="s">
        <v>32994</v>
      </c>
      <c r="K7415" t="s">
        <v>36689</v>
      </c>
      <c r="M7415" t="s">
        <v>38973</v>
      </c>
      <c r="N7415" t="s">
        <v>40436</v>
      </c>
      <c r="O7415" t="s">
        <v>40437</v>
      </c>
      <c r="P7415">
        <v>0</v>
      </c>
      <c r="Q7415">
        <v>1</v>
      </c>
      <c r="R7415" t="s">
        <v>40444</v>
      </c>
      <c r="S7415" t="s">
        <v>40676</v>
      </c>
      <c r="T7415" t="s">
        <v>42277</v>
      </c>
      <c r="U7415" t="s">
        <v>48871</v>
      </c>
      <c r="W7415" t="s">
        <v>38973</v>
      </c>
      <c r="X7415" t="s">
        <v>40445</v>
      </c>
    </row>
    <row r="7416" spans="1:24">
      <c r="A7416">
        <f>HYPERLINK("https://www.philgeps.gov.ph/GEPSNONPILOT/Tender/SplashBidNoticeAbstractUI.aspx?menuIndex=3&amp;refID=7039978&amp;Result=3","7039978")</f>
        <v>0</v>
      </c>
      <c r="B7416" t="s">
        <v>1799</v>
      </c>
      <c r="C7416" t="s">
        <v>10141</v>
      </c>
      <c r="D7416" t="s">
        <v>16260</v>
      </c>
      <c r="E7416" t="s">
        <v>22812</v>
      </c>
      <c r="F7416" t="s">
        <v>28198</v>
      </c>
      <c r="G7416" t="s">
        <v>28207</v>
      </c>
      <c r="H7416" t="s">
        <v>28214</v>
      </c>
      <c r="I7416" t="s">
        <v>28290</v>
      </c>
      <c r="J7416" t="s">
        <v>32995</v>
      </c>
      <c r="K7416" t="s">
        <v>36701</v>
      </c>
      <c r="M7416" t="s">
        <v>38916</v>
      </c>
      <c r="N7416" t="s">
        <v>40436</v>
      </c>
      <c r="O7416" t="s">
        <v>40437</v>
      </c>
      <c r="P7416">
        <v>0</v>
      </c>
      <c r="Q7416">
        <v>3</v>
      </c>
      <c r="R7416" t="s">
        <v>40444</v>
      </c>
      <c r="S7416" t="s">
        <v>40676</v>
      </c>
      <c r="T7416" t="s">
        <v>42245</v>
      </c>
      <c r="U7416" t="s">
        <v>48872</v>
      </c>
      <c r="W7416" t="s">
        <v>38916</v>
      </c>
      <c r="X7416" t="s">
        <v>40445</v>
      </c>
    </row>
    <row r="7417" spans="1:24">
      <c r="A7417">
        <f>HYPERLINK("https://www.philgeps.gov.ph/GEPSNONPILOT/Tender/SplashBidNoticeAbstractUI.aspx?menuIndex=3&amp;refID=7039964&amp;Result=3","7039964")</f>
        <v>0</v>
      </c>
      <c r="B7417" t="s">
        <v>2285</v>
      </c>
      <c r="C7417" t="s">
        <v>10142</v>
      </c>
      <c r="D7417" t="s">
        <v>16206</v>
      </c>
      <c r="E7417" t="s">
        <v>16322</v>
      </c>
      <c r="F7417" t="s">
        <v>28198</v>
      </c>
      <c r="G7417" t="s">
        <v>28205</v>
      </c>
      <c r="H7417" t="s">
        <v>28215</v>
      </c>
      <c r="I7417" t="s">
        <v>5100</v>
      </c>
      <c r="J7417" t="s">
        <v>29255</v>
      </c>
      <c r="K7417" t="s">
        <v>36702</v>
      </c>
      <c r="M7417" t="s">
        <v>39457</v>
      </c>
      <c r="N7417" t="s">
        <v>40436</v>
      </c>
      <c r="O7417" t="s">
        <v>40437</v>
      </c>
      <c r="P7417">
        <v>0</v>
      </c>
      <c r="Q7417">
        <v>0</v>
      </c>
      <c r="R7417" t="s">
        <v>40444</v>
      </c>
      <c r="S7417" t="s">
        <v>40676</v>
      </c>
      <c r="T7417" t="s">
        <v>42297</v>
      </c>
      <c r="U7417" t="s">
        <v>48873</v>
      </c>
      <c r="V7417" t="s">
        <v>54556</v>
      </c>
      <c r="W7417" t="s">
        <v>39457</v>
      </c>
      <c r="X7417" t="s">
        <v>40445</v>
      </c>
    </row>
    <row r="7418" spans="1:24">
      <c r="A7418">
        <f>HYPERLINK("https://www.philgeps.gov.ph/GEPSNONPILOT/Tender/SplashBidNoticeAbstractUI.aspx?menuIndex=3&amp;refID=7039959&amp;Result=3","7039959")</f>
        <v>0</v>
      </c>
      <c r="B7418" t="s">
        <v>1729</v>
      </c>
      <c r="C7418" t="s">
        <v>10143</v>
      </c>
      <c r="D7418" t="s">
        <v>16249</v>
      </c>
      <c r="E7418" t="s">
        <v>22813</v>
      </c>
      <c r="F7418" t="s">
        <v>28198</v>
      </c>
      <c r="G7418" t="s">
        <v>28205</v>
      </c>
      <c r="H7418" t="s">
        <v>28215</v>
      </c>
      <c r="I7418" t="s">
        <v>28224</v>
      </c>
      <c r="J7418" t="s">
        <v>32996</v>
      </c>
      <c r="K7418" t="s">
        <v>36701</v>
      </c>
      <c r="M7418" t="s">
        <v>38838</v>
      </c>
      <c r="N7418" t="s">
        <v>40436</v>
      </c>
      <c r="O7418" t="s">
        <v>40437</v>
      </c>
      <c r="P7418">
        <v>0</v>
      </c>
      <c r="Q7418">
        <v>6</v>
      </c>
      <c r="R7418" t="s">
        <v>40444</v>
      </c>
      <c r="S7418" t="s">
        <v>40676</v>
      </c>
      <c r="T7418" t="s">
        <v>42278</v>
      </c>
      <c r="U7418" t="s">
        <v>48874</v>
      </c>
      <c r="W7418" t="s">
        <v>55493</v>
      </c>
      <c r="X7418" t="s">
        <v>40445</v>
      </c>
    </row>
    <row r="7419" spans="1:24">
      <c r="A7419">
        <f>HYPERLINK("https://www.philgeps.gov.ph/GEPSNONPILOT/Tender/SplashBidNoticeAbstractUI.aspx?menuIndex=3&amp;refID=7040005&amp;Result=3","7040005")</f>
        <v>0</v>
      </c>
      <c r="B7419" t="s">
        <v>65</v>
      </c>
      <c r="C7419" t="s">
        <v>10144</v>
      </c>
      <c r="D7419" t="s">
        <v>16210</v>
      </c>
      <c r="E7419" t="s">
        <v>22814</v>
      </c>
      <c r="F7419" t="s">
        <v>28198</v>
      </c>
      <c r="G7419" t="s">
        <v>28207</v>
      </c>
      <c r="H7419" t="s">
        <v>28215</v>
      </c>
      <c r="I7419" t="s">
        <v>5082</v>
      </c>
      <c r="J7419" t="s">
        <v>32997</v>
      </c>
      <c r="K7419" t="s">
        <v>36689</v>
      </c>
      <c r="M7419" t="s">
        <v>39458</v>
      </c>
      <c r="N7419" t="s">
        <v>40436</v>
      </c>
      <c r="O7419" t="s">
        <v>40437</v>
      </c>
      <c r="P7419">
        <v>0</v>
      </c>
      <c r="Q7419">
        <v>1</v>
      </c>
      <c r="R7419" t="s">
        <v>40444</v>
      </c>
      <c r="S7419" t="s">
        <v>40676</v>
      </c>
      <c r="T7419" t="s">
        <v>42396</v>
      </c>
      <c r="U7419" t="s">
        <v>48875</v>
      </c>
      <c r="W7419" t="s">
        <v>39458</v>
      </c>
      <c r="X7419" t="s">
        <v>40445</v>
      </c>
    </row>
    <row r="7420" spans="1:24">
      <c r="A7420">
        <f>HYPERLINK("https://www.philgeps.gov.ph/GEPSNONPILOT/Tender/SplashBidNoticeAbstractUI.aspx?menuIndex=3&amp;refID=7039986&amp;Result=3","7039986")</f>
        <v>0</v>
      </c>
      <c r="B7420" t="s">
        <v>1354</v>
      </c>
      <c r="C7420" t="s">
        <v>10145</v>
      </c>
      <c r="D7420" t="s">
        <v>16238</v>
      </c>
      <c r="E7420" t="s">
        <v>10145</v>
      </c>
      <c r="F7420" t="s">
        <v>28198</v>
      </c>
      <c r="G7420" t="s">
        <v>28205</v>
      </c>
      <c r="H7420" t="s">
        <v>28215</v>
      </c>
      <c r="I7420" t="s">
        <v>5071</v>
      </c>
      <c r="J7420" t="s">
        <v>32998</v>
      </c>
      <c r="K7420" t="s">
        <v>36701</v>
      </c>
      <c r="M7420" t="s">
        <v>38412</v>
      </c>
      <c r="N7420" t="s">
        <v>40436</v>
      </c>
      <c r="O7420" t="s">
        <v>40437</v>
      </c>
      <c r="P7420">
        <v>0</v>
      </c>
      <c r="Q7420">
        <v>0</v>
      </c>
      <c r="R7420" t="s">
        <v>40444</v>
      </c>
      <c r="S7420" t="s">
        <v>40676</v>
      </c>
      <c r="T7420" t="s">
        <v>42203</v>
      </c>
      <c r="U7420" t="s">
        <v>48876</v>
      </c>
      <c r="W7420" t="s">
        <v>38412</v>
      </c>
      <c r="X7420" t="s">
        <v>40445</v>
      </c>
    </row>
    <row r="7421" spans="1:24">
      <c r="A7421">
        <f>HYPERLINK("https://www.philgeps.gov.ph/GEPSNONPILOT/Tender/SplashBidNoticeAbstractUI.aspx?menuIndex=3&amp;refID=7039967&amp;Result=3","7039967")</f>
        <v>0</v>
      </c>
      <c r="B7421" t="s">
        <v>2276</v>
      </c>
      <c r="C7421" t="s">
        <v>10146</v>
      </c>
      <c r="D7421" t="s">
        <v>16189</v>
      </c>
      <c r="E7421" t="s">
        <v>22815</v>
      </c>
      <c r="F7421" t="s">
        <v>28198</v>
      </c>
      <c r="G7421" t="s">
        <v>28205</v>
      </c>
      <c r="H7421" t="s">
        <v>28214</v>
      </c>
      <c r="I7421" t="s">
        <v>3797</v>
      </c>
      <c r="J7421" t="s">
        <v>32999</v>
      </c>
      <c r="K7421" t="s">
        <v>36689</v>
      </c>
      <c r="M7421" t="s">
        <v>39448</v>
      </c>
      <c r="N7421" t="s">
        <v>40436</v>
      </c>
      <c r="O7421" t="s">
        <v>40437</v>
      </c>
      <c r="P7421">
        <v>0</v>
      </c>
      <c r="Q7421">
        <v>0</v>
      </c>
      <c r="R7421" t="s">
        <v>40444</v>
      </c>
      <c r="S7421" t="s">
        <v>40676</v>
      </c>
      <c r="T7421" t="s">
        <v>42375</v>
      </c>
      <c r="U7421" t="s">
        <v>48877</v>
      </c>
      <c r="W7421" t="s">
        <v>39448</v>
      </c>
      <c r="X7421" t="s">
        <v>40445</v>
      </c>
    </row>
    <row r="7422" spans="1:24">
      <c r="A7422">
        <f>HYPERLINK("https://www.philgeps.gov.ph/GEPSNONPILOT/Tender/SplashBidNoticeAbstractUI.aspx?menuIndex=3&amp;refID=7040007&amp;Result=3","7040007")</f>
        <v>0</v>
      </c>
      <c r="B7422" t="s">
        <v>2286</v>
      </c>
      <c r="C7422" t="s">
        <v>10147</v>
      </c>
      <c r="D7422" t="s">
        <v>16204</v>
      </c>
      <c r="E7422" t="s">
        <v>22816</v>
      </c>
      <c r="F7422" t="s">
        <v>28198</v>
      </c>
      <c r="G7422" t="s">
        <v>28205</v>
      </c>
      <c r="H7422" t="s">
        <v>28214</v>
      </c>
      <c r="I7422" t="s">
        <v>3797</v>
      </c>
      <c r="J7422" t="s">
        <v>28449</v>
      </c>
      <c r="K7422" t="s">
        <v>36689</v>
      </c>
      <c r="M7422" t="s">
        <v>39459</v>
      </c>
      <c r="N7422" t="s">
        <v>40436</v>
      </c>
      <c r="O7422" t="s">
        <v>40437</v>
      </c>
      <c r="P7422">
        <v>0</v>
      </c>
      <c r="Q7422">
        <v>0</v>
      </c>
      <c r="R7422" t="s">
        <v>40444</v>
      </c>
      <c r="S7422" t="s">
        <v>40676</v>
      </c>
      <c r="T7422" t="s">
        <v>42185</v>
      </c>
      <c r="U7422" t="s">
        <v>48878</v>
      </c>
      <c r="V7422" t="s">
        <v>54557</v>
      </c>
      <c r="W7422" t="s">
        <v>39459</v>
      </c>
      <c r="X7422" t="s">
        <v>40445</v>
      </c>
    </row>
    <row r="7423" spans="1:24">
      <c r="A7423">
        <f>HYPERLINK("https://www.philgeps.gov.ph/GEPSNONPILOT/Tender/SplashBidNoticeAbstractUI.aspx?menuIndex=3&amp;refID=7039974&amp;Result=3","7039974")</f>
        <v>0</v>
      </c>
      <c r="B7423" t="s">
        <v>1404</v>
      </c>
      <c r="C7423" t="s">
        <v>10148</v>
      </c>
      <c r="D7423" t="s">
        <v>16189</v>
      </c>
      <c r="E7423" t="s">
        <v>22817</v>
      </c>
      <c r="F7423" t="s">
        <v>28198</v>
      </c>
      <c r="G7423" t="s">
        <v>28205</v>
      </c>
      <c r="H7423" t="s">
        <v>28215</v>
      </c>
      <c r="I7423" t="s">
        <v>28224</v>
      </c>
      <c r="J7423" t="s">
        <v>33000</v>
      </c>
      <c r="K7423" t="s">
        <v>36701</v>
      </c>
      <c r="M7423" t="s">
        <v>38469</v>
      </c>
      <c r="N7423" t="s">
        <v>40436</v>
      </c>
      <c r="O7423" t="s">
        <v>40437</v>
      </c>
      <c r="P7423">
        <v>0</v>
      </c>
      <c r="Q7423">
        <v>4</v>
      </c>
      <c r="R7423" t="s">
        <v>40444</v>
      </c>
      <c r="S7423" t="s">
        <v>40676</v>
      </c>
      <c r="T7423" t="s">
        <v>42233</v>
      </c>
      <c r="U7423" t="s">
        <v>48879</v>
      </c>
      <c r="W7423" t="s">
        <v>39460</v>
      </c>
      <c r="X7423" t="s">
        <v>40445</v>
      </c>
    </row>
    <row r="7424" spans="1:24">
      <c r="A7424">
        <f>HYPERLINK("https://www.philgeps.gov.ph/GEPSNONPILOT/Tender/SplashBidNoticeAbstractUI.aspx?menuIndex=3&amp;refID=7040003&amp;Result=3","7040003")</f>
        <v>0</v>
      </c>
      <c r="B7424" t="s">
        <v>1675</v>
      </c>
      <c r="C7424" t="s">
        <v>10149</v>
      </c>
      <c r="D7424" t="s">
        <v>16197</v>
      </c>
      <c r="E7424" t="s">
        <v>22818</v>
      </c>
      <c r="F7424" t="s">
        <v>28198</v>
      </c>
      <c r="G7424" t="s">
        <v>28205</v>
      </c>
      <c r="H7424" t="s">
        <v>28215</v>
      </c>
      <c r="I7424" t="s">
        <v>4222</v>
      </c>
      <c r="J7424" t="s">
        <v>33001</v>
      </c>
      <c r="K7424" t="s">
        <v>36689</v>
      </c>
      <c r="M7424" t="s">
        <v>38771</v>
      </c>
      <c r="N7424" t="s">
        <v>40436</v>
      </c>
      <c r="O7424" t="s">
        <v>40437</v>
      </c>
      <c r="P7424">
        <v>0</v>
      </c>
      <c r="Q7424">
        <v>2</v>
      </c>
      <c r="R7424" t="s">
        <v>40444</v>
      </c>
      <c r="S7424" t="s">
        <v>40676</v>
      </c>
      <c r="T7424" t="s">
        <v>42236</v>
      </c>
      <c r="U7424" t="s">
        <v>48880</v>
      </c>
      <c r="W7424" t="s">
        <v>38771</v>
      </c>
      <c r="X7424" t="s">
        <v>40445</v>
      </c>
    </row>
    <row r="7425" spans="1:24">
      <c r="A7425">
        <f>HYPERLINK("https://www.philgeps.gov.ph/GEPSNONPILOT/Tender/SplashBidNoticeAbstractUI.aspx?menuIndex=3&amp;refID=7040008&amp;Result=3","7040008")</f>
        <v>0</v>
      </c>
      <c r="B7425" t="s">
        <v>900</v>
      </c>
      <c r="C7425" t="s">
        <v>10150</v>
      </c>
      <c r="D7425" t="s">
        <v>16223</v>
      </c>
      <c r="E7425" t="s">
        <v>22819</v>
      </c>
      <c r="F7425" t="s">
        <v>28198</v>
      </c>
      <c r="G7425" t="s">
        <v>28205</v>
      </c>
      <c r="H7425" t="s">
        <v>28215</v>
      </c>
      <c r="I7425" t="s">
        <v>5082</v>
      </c>
      <c r="J7425" t="s">
        <v>32524</v>
      </c>
      <c r="K7425" t="s">
        <v>36701</v>
      </c>
      <c r="M7425" t="s">
        <v>37918</v>
      </c>
      <c r="N7425" t="s">
        <v>40436</v>
      </c>
      <c r="O7425" t="s">
        <v>40437</v>
      </c>
      <c r="P7425">
        <v>0</v>
      </c>
      <c r="Q7425">
        <v>0</v>
      </c>
      <c r="R7425" t="s">
        <v>40444</v>
      </c>
      <c r="S7425" t="s">
        <v>40676</v>
      </c>
      <c r="T7425" t="s">
        <v>42432</v>
      </c>
      <c r="U7425" t="s">
        <v>48881</v>
      </c>
      <c r="V7425" t="s">
        <v>54558</v>
      </c>
      <c r="W7425" t="s">
        <v>37918</v>
      </c>
      <c r="X7425" t="s">
        <v>40445</v>
      </c>
    </row>
    <row r="7426" spans="1:24">
      <c r="A7426">
        <f>HYPERLINK("https://www.philgeps.gov.ph/GEPSNONPILOT/Tender/SplashBidNoticeAbstractUI.aspx?menuIndex=3&amp;refID=7040013&amp;Result=3","7040013")</f>
        <v>0</v>
      </c>
      <c r="B7426" t="s">
        <v>1404</v>
      </c>
      <c r="C7426" t="s">
        <v>10151</v>
      </c>
      <c r="D7426" t="s">
        <v>16189</v>
      </c>
      <c r="E7426" t="s">
        <v>22820</v>
      </c>
      <c r="F7426" t="s">
        <v>28198</v>
      </c>
      <c r="G7426" t="s">
        <v>28205</v>
      </c>
      <c r="H7426" t="s">
        <v>28214</v>
      </c>
      <c r="I7426" t="s">
        <v>3797</v>
      </c>
      <c r="J7426" t="s">
        <v>33002</v>
      </c>
      <c r="K7426" t="s">
        <v>36727</v>
      </c>
      <c r="M7426" t="s">
        <v>39460</v>
      </c>
      <c r="N7426" t="s">
        <v>40436</v>
      </c>
      <c r="O7426" t="s">
        <v>40437</v>
      </c>
      <c r="P7426">
        <v>0</v>
      </c>
      <c r="Q7426">
        <v>0</v>
      </c>
      <c r="R7426" t="s">
        <v>40444</v>
      </c>
      <c r="S7426" t="s">
        <v>40676</v>
      </c>
      <c r="T7426" t="s">
        <v>42158</v>
      </c>
      <c r="U7426" t="s">
        <v>48882</v>
      </c>
      <c r="W7426" t="s">
        <v>39460</v>
      </c>
      <c r="X7426" t="s">
        <v>40445</v>
      </c>
    </row>
    <row r="7427" spans="1:24">
      <c r="A7427">
        <f>HYPERLINK("https://www.philgeps.gov.ph/GEPSNONPILOT/Tender/SplashBidNoticeAbstractUI.aspx?menuIndex=3&amp;refID=7040053&amp;Result=3","7040053")</f>
        <v>0</v>
      </c>
      <c r="B7427" t="s">
        <v>2235</v>
      </c>
      <c r="C7427" t="s">
        <v>10152</v>
      </c>
      <c r="D7427" t="s">
        <v>16246</v>
      </c>
      <c r="E7427" t="s">
        <v>22821</v>
      </c>
      <c r="F7427" t="s">
        <v>28198</v>
      </c>
      <c r="G7427" t="s">
        <v>28205</v>
      </c>
      <c r="H7427" t="s">
        <v>28214</v>
      </c>
      <c r="I7427" t="s">
        <v>3797</v>
      </c>
      <c r="J7427" t="s">
        <v>28398</v>
      </c>
      <c r="K7427" t="s">
        <v>36689</v>
      </c>
      <c r="M7427" t="s">
        <v>39404</v>
      </c>
      <c r="N7427" t="s">
        <v>40436</v>
      </c>
      <c r="O7427" t="s">
        <v>40437</v>
      </c>
      <c r="P7427">
        <v>0</v>
      </c>
      <c r="Q7427">
        <v>0</v>
      </c>
      <c r="R7427" t="s">
        <v>40444</v>
      </c>
      <c r="S7427" t="s">
        <v>40676</v>
      </c>
      <c r="T7427" t="s">
        <v>42455</v>
      </c>
      <c r="U7427" t="s">
        <v>48883</v>
      </c>
      <c r="V7427" t="s">
        <v>54522</v>
      </c>
      <c r="W7427" t="s">
        <v>39404</v>
      </c>
      <c r="X7427" t="s">
        <v>40445</v>
      </c>
    </row>
    <row r="7428" spans="1:24">
      <c r="A7428">
        <f>HYPERLINK("https://www.philgeps.gov.ph/GEPSNONPILOT/Tender/SplashBidNoticeAbstractUI.aspx?menuIndex=3&amp;refID=7040041&amp;Result=3","7040041")</f>
        <v>0</v>
      </c>
      <c r="B7428" t="s">
        <v>900</v>
      </c>
      <c r="C7428" t="s">
        <v>10153</v>
      </c>
      <c r="D7428" t="s">
        <v>16223</v>
      </c>
      <c r="E7428" t="s">
        <v>22822</v>
      </c>
      <c r="F7428" t="s">
        <v>28198</v>
      </c>
      <c r="G7428" t="s">
        <v>28205</v>
      </c>
      <c r="H7428" t="s">
        <v>28215</v>
      </c>
      <c r="I7428" t="s">
        <v>28247</v>
      </c>
      <c r="J7428" t="s">
        <v>33003</v>
      </c>
      <c r="K7428" t="s">
        <v>36694</v>
      </c>
      <c r="M7428" t="s">
        <v>37918</v>
      </c>
      <c r="N7428" t="s">
        <v>40436</v>
      </c>
      <c r="O7428" t="s">
        <v>40437</v>
      </c>
      <c r="P7428">
        <v>0</v>
      </c>
      <c r="Q7428">
        <v>12</v>
      </c>
      <c r="R7428" t="s">
        <v>40444</v>
      </c>
      <c r="S7428" t="s">
        <v>40676</v>
      </c>
      <c r="T7428" t="s">
        <v>42484</v>
      </c>
      <c r="U7428" t="s">
        <v>48884</v>
      </c>
      <c r="V7428" t="s">
        <v>54559</v>
      </c>
      <c r="W7428" t="s">
        <v>37918</v>
      </c>
      <c r="X7428" t="s">
        <v>40445</v>
      </c>
    </row>
    <row r="7429" spans="1:24">
      <c r="A7429">
        <f>HYPERLINK("https://www.philgeps.gov.ph/GEPSNONPILOT/Tender/SplashBidNoticeAbstractUI.aspx?menuIndex=3&amp;refID=7040034&amp;Result=3","7040034")</f>
        <v>0</v>
      </c>
      <c r="B7429" t="s">
        <v>1264</v>
      </c>
      <c r="C7429" t="s">
        <v>10154</v>
      </c>
      <c r="D7429" t="s">
        <v>16209</v>
      </c>
      <c r="E7429" t="s">
        <v>22823</v>
      </c>
      <c r="F7429" t="s">
        <v>28198</v>
      </c>
      <c r="G7429" t="s">
        <v>28205</v>
      </c>
      <c r="H7429" t="s">
        <v>28214</v>
      </c>
      <c r="I7429" t="s">
        <v>3797</v>
      </c>
      <c r="J7429" t="s">
        <v>33004</v>
      </c>
      <c r="K7429" t="s">
        <v>36735</v>
      </c>
      <c r="M7429" t="s">
        <v>38314</v>
      </c>
      <c r="N7429" t="s">
        <v>40436</v>
      </c>
      <c r="O7429" t="s">
        <v>40437</v>
      </c>
      <c r="P7429">
        <v>0</v>
      </c>
      <c r="Q7429">
        <v>3</v>
      </c>
      <c r="R7429" t="s">
        <v>40444</v>
      </c>
      <c r="S7429" t="s">
        <v>40676</v>
      </c>
      <c r="T7429" t="s">
        <v>42195</v>
      </c>
      <c r="U7429" t="s">
        <v>48885</v>
      </c>
      <c r="W7429" t="s">
        <v>38314</v>
      </c>
      <c r="X7429" t="s">
        <v>40445</v>
      </c>
    </row>
    <row r="7430" spans="1:24">
      <c r="A7430">
        <f>HYPERLINK("https://www.philgeps.gov.ph/GEPSNONPILOT/Tender/SplashBidNoticeAbstractUI.aspx?menuIndex=3&amp;refID=7040042&amp;Result=3","7040042")</f>
        <v>0</v>
      </c>
      <c r="B7430" t="s">
        <v>2287</v>
      </c>
      <c r="C7430" t="s">
        <v>10155</v>
      </c>
      <c r="D7430" t="s">
        <v>16252</v>
      </c>
      <c r="E7430" t="s">
        <v>22824</v>
      </c>
      <c r="F7430" t="s">
        <v>28198</v>
      </c>
      <c r="G7430" t="s">
        <v>28205</v>
      </c>
      <c r="H7430" t="s">
        <v>28215</v>
      </c>
      <c r="I7430" t="s">
        <v>5100</v>
      </c>
      <c r="J7430" t="s">
        <v>33005</v>
      </c>
      <c r="K7430" t="s">
        <v>36688</v>
      </c>
      <c r="M7430" t="s">
        <v>39461</v>
      </c>
      <c r="N7430" t="s">
        <v>40436</v>
      </c>
      <c r="O7430" t="s">
        <v>40437</v>
      </c>
      <c r="P7430">
        <v>0</v>
      </c>
      <c r="Q7430">
        <v>0</v>
      </c>
      <c r="R7430" t="s">
        <v>40444</v>
      </c>
      <c r="S7430" t="s">
        <v>40676</v>
      </c>
      <c r="T7430" t="s">
        <v>42473</v>
      </c>
      <c r="U7430" t="s">
        <v>48886</v>
      </c>
      <c r="W7430" t="s">
        <v>39461</v>
      </c>
      <c r="X7430" t="s">
        <v>40445</v>
      </c>
    </row>
    <row r="7431" spans="1:24">
      <c r="A7431">
        <f>HYPERLINK("https://www.philgeps.gov.ph/GEPSNONPILOT/Tender/SplashBidNoticeAbstractUI.aspx?menuIndex=3&amp;refID=7040028&amp;Result=3","7040028")</f>
        <v>0</v>
      </c>
      <c r="B7431" t="s">
        <v>346</v>
      </c>
      <c r="C7431" t="s">
        <v>10156</v>
      </c>
      <c r="D7431" t="s">
        <v>16217</v>
      </c>
      <c r="E7431" t="s">
        <v>22825</v>
      </c>
      <c r="F7431" t="s">
        <v>28198</v>
      </c>
      <c r="G7431" t="s">
        <v>28205</v>
      </c>
      <c r="H7431" t="s">
        <v>28214</v>
      </c>
      <c r="I7431" t="s">
        <v>3797</v>
      </c>
      <c r="J7431" t="s">
        <v>33006</v>
      </c>
      <c r="K7431" t="s">
        <v>36694</v>
      </c>
      <c r="M7431" t="s">
        <v>37325</v>
      </c>
      <c r="N7431" t="s">
        <v>40436</v>
      </c>
      <c r="O7431" t="s">
        <v>40437</v>
      </c>
      <c r="P7431">
        <v>0</v>
      </c>
      <c r="Q7431">
        <v>0</v>
      </c>
      <c r="R7431" t="s">
        <v>40444</v>
      </c>
      <c r="S7431" t="s">
        <v>40676</v>
      </c>
      <c r="T7431" t="s">
        <v>42168</v>
      </c>
      <c r="U7431" t="s">
        <v>48887</v>
      </c>
      <c r="W7431" t="s">
        <v>37325</v>
      </c>
      <c r="X7431" t="s">
        <v>40445</v>
      </c>
    </row>
    <row r="7432" spans="1:24">
      <c r="A7432">
        <f>HYPERLINK("https://www.philgeps.gov.ph/GEPSNONPILOT/Tender/SplashBidNoticeAbstractUI.aspx?menuIndex=3&amp;refID=7040019&amp;Result=3","7040019")</f>
        <v>0</v>
      </c>
      <c r="B7432" t="s">
        <v>2288</v>
      </c>
      <c r="C7432" t="s">
        <v>10157</v>
      </c>
      <c r="D7432" t="s">
        <v>16196</v>
      </c>
      <c r="E7432" t="s">
        <v>22826</v>
      </c>
      <c r="F7432" t="s">
        <v>28198</v>
      </c>
      <c r="G7432" t="s">
        <v>28207</v>
      </c>
      <c r="H7432" t="s">
        <v>28215</v>
      </c>
      <c r="I7432" t="s">
        <v>4219</v>
      </c>
      <c r="J7432" t="s">
        <v>33007</v>
      </c>
      <c r="K7432" t="s">
        <v>36701</v>
      </c>
      <c r="M7432" t="s">
        <v>39462</v>
      </c>
      <c r="N7432" t="s">
        <v>40436</v>
      </c>
      <c r="O7432" t="s">
        <v>40437</v>
      </c>
      <c r="P7432">
        <v>0</v>
      </c>
      <c r="Q7432">
        <v>5</v>
      </c>
      <c r="R7432" t="s">
        <v>40444</v>
      </c>
      <c r="S7432" t="s">
        <v>40676</v>
      </c>
      <c r="T7432" t="s">
        <v>42317</v>
      </c>
      <c r="U7432" t="s">
        <v>48888</v>
      </c>
      <c r="W7432" t="s">
        <v>39462</v>
      </c>
      <c r="X7432" t="s">
        <v>40445</v>
      </c>
    </row>
    <row r="7433" spans="1:24">
      <c r="A7433">
        <f>HYPERLINK("https://www.philgeps.gov.ph/GEPSNONPILOT/Tender/SplashBidNoticeAbstractUI.aspx?menuIndex=3&amp;refID=7040057&amp;Result=3","7040057")</f>
        <v>0</v>
      </c>
      <c r="B7433" t="s">
        <v>2288</v>
      </c>
      <c r="C7433" t="s">
        <v>10158</v>
      </c>
      <c r="D7433" t="s">
        <v>16196</v>
      </c>
      <c r="E7433" t="s">
        <v>22827</v>
      </c>
      <c r="F7433" t="s">
        <v>28198</v>
      </c>
      <c r="G7433" t="s">
        <v>28207</v>
      </c>
      <c r="H7433" t="s">
        <v>28215</v>
      </c>
      <c r="I7433" t="s">
        <v>3774</v>
      </c>
      <c r="J7433" t="s">
        <v>33008</v>
      </c>
      <c r="K7433" t="s">
        <v>36701</v>
      </c>
      <c r="M7433" t="s">
        <v>39462</v>
      </c>
      <c r="N7433" t="s">
        <v>40436</v>
      </c>
      <c r="O7433" t="s">
        <v>40437</v>
      </c>
      <c r="P7433">
        <v>0</v>
      </c>
      <c r="Q7433">
        <v>0</v>
      </c>
      <c r="R7433" t="s">
        <v>40444</v>
      </c>
      <c r="S7433" t="s">
        <v>40676</v>
      </c>
      <c r="T7433" t="s">
        <v>42489</v>
      </c>
      <c r="U7433" t="s">
        <v>48889</v>
      </c>
      <c r="W7433" t="s">
        <v>39462</v>
      </c>
      <c r="X7433" t="s">
        <v>40445</v>
      </c>
    </row>
    <row r="7434" spans="1:24">
      <c r="A7434">
        <f>HYPERLINK("https://www.philgeps.gov.ph/GEPSNONPILOT/Tender/SplashBidNoticeAbstractUI.aspx?menuIndex=3&amp;refID=7040015&amp;Result=3","7040015")</f>
        <v>0</v>
      </c>
      <c r="B7434" t="s">
        <v>171</v>
      </c>
      <c r="C7434" t="s">
        <v>10159</v>
      </c>
      <c r="E7434" t="s">
        <v>22828</v>
      </c>
      <c r="F7434" t="s">
        <v>28198</v>
      </c>
      <c r="G7434" t="s">
        <v>28207</v>
      </c>
      <c r="H7434" t="s">
        <v>28215</v>
      </c>
      <c r="I7434" t="s">
        <v>28234</v>
      </c>
      <c r="J7434" t="s">
        <v>31158</v>
      </c>
      <c r="K7434" t="s">
        <v>36701</v>
      </c>
      <c r="M7434" t="s">
        <v>37145</v>
      </c>
      <c r="N7434" t="s">
        <v>40436</v>
      </c>
      <c r="O7434" t="s">
        <v>40437</v>
      </c>
      <c r="P7434">
        <v>0</v>
      </c>
      <c r="Q7434">
        <v>5</v>
      </c>
      <c r="R7434" t="s">
        <v>40444</v>
      </c>
      <c r="S7434" t="s">
        <v>40676</v>
      </c>
      <c r="T7434" t="s">
        <v>42167</v>
      </c>
      <c r="U7434" t="s">
        <v>48890</v>
      </c>
      <c r="V7434" t="s">
        <v>54560</v>
      </c>
      <c r="W7434" t="s">
        <v>39085</v>
      </c>
      <c r="X7434" t="s">
        <v>40445</v>
      </c>
    </row>
    <row r="7435" spans="1:24">
      <c r="A7435">
        <f>HYPERLINK("https://www.philgeps.gov.ph/GEPSNONPILOT/Tender/SplashBidNoticeAbstractUI.aspx?menuIndex=3&amp;refID=7040036&amp;Result=3","7040036")</f>
        <v>0</v>
      </c>
      <c r="B7435" t="s">
        <v>2289</v>
      </c>
      <c r="C7435" t="s">
        <v>10160</v>
      </c>
      <c r="D7435" t="s">
        <v>16221</v>
      </c>
      <c r="E7435" t="s">
        <v>19360</v>
      </c>
      <c r="F7435" t="s">
        <v>28198</v>
      </c>
      <c r="G7435" t="s">
        <v>28207</v>
      </c>
      <c r="H7435" t="s">
        <v>28215</v>
      </c>
      <c r="I7435" t="s">
        <v>28247</v>
      </c>
      <c r="J7435" t="s">
        <v>29273</v>
      </c>
      <c r="K7435" t="s">
        <v>36715</v>
      </c>
      <c r="M7435" t="s">
        <v>39463</v>
      </c>
      <c r="N7435" t="s">
        <v>40436</v>
      </c>
      <c r="O7435" t="s">
        <v>40437</v>
      </c>
      <c r="P7435">
        <v>0</v>
      </c>
      <c r="Q7435">
        <v>9</v>
      </c>
      <c r="R7435" t="s">
        <v>40444</v>
      </c>
      <c r="S7435" t="s">
        <v>40676</v>
      </c>
      <c r="T7435" t="s">
        <v>42188</v>
      </c>
      <c r="U7435" t="s">
        <v>48891</v>
      </c>
      <c r="W7435" t="s">
        <v>39463</v>
      </c>
      <c r="X7435" t="s">
        <v>40445</v>
      </c>
    </row>
    <row r="7436" spans="1:24">
      <c r="A7436">
        <f>HYPERLINK("https://www.philgeps.gov.ph/GEPSNONPILOT/Tender/SplashBidNoticeAbstractUI.aspx?menuIndex=3&amp;refID=7040065&amp;Result=3","7040065")</f>
        <v>0</v>
      </c>
      <c r="B7436" t="s">
        <v>2270</v>
      </c>
      <c r="C7436" t="s">
        <v>10161</v>
      </c>
      <c r="E7436" t="s">
        <v>22829</v>
      </c>
      <c r="F7436" t="s">
        <v>28198</v>
      </c>
      <c r="G7436" t="s">
        <v>28205</v>
      </c>
      <c r="H7436" t="s">
        <v>28215</v>
      </c>
      <c r="I7436" t="s">
        <v>5100</v>
      </c>
      <c r="J7436" t="s">
        <v>33009</v>
      </c>
      <c r="K7436" t="s">
        <v>36706</v>
      </c>
      <c r="M7436" t="s">
        <v>39441</v>
      </c>
      <c r="N7436" t="s">
        <v>40436</v>
      </c>
      <c r="O7436" t="s">
        <v>40437</v>
      </c>
      <c r="P7436">
        <v>0</v>
      </c>
      <c r="Q7436">
        <v>1</v>
      </c>
      <c r="R7436" t="s">
        <v>40444</v>
      </c>
      <c r="S7436" t="s">
        <v>40676</v>
      </c>
      <c r="T7436" t="s">
        <v>42278</v>
      </c>
      <c r="U7436" t="s">
        <v>48892</v>
      </c>
      <c r="W7436" t="s">
        <v>39441</v>
      </c>
      <c r="X7436" t="s">
        <v>40445</v>
      </c>
    </row>
    <row r="7437" spans="1:24">
      <c r="A7437">
        <f>HYPERLINK("https://www.philgeps.gov.ph/GEPSNONPILOT/Tender/SplashBidNoticeAbstractUI.aspx?menuIndex=3&amp;refID=7040051&amp;Result=3","7040051")</f>
        <v>0</v>
      </c>
      <c r="B7437" t="s">
        <v>1675</v>
      </c>
      <c r="C7437" t="s">
        <v>4742</v>
      </c>
      <c r="D7437" t="s">
        <v>16197</v>
      </c>
      <c r="E7437" t="s">
        <v>22830</v>
      </c>
      <c r="F7437" t="s">
        <v>28198</v>
      </c>
      <c r="G7437" t="s">
        <v>28205</v>
      </c>
      <c r="H7437" t="s">
        <v>28215</v>
      </c>
      <c r="I7437" t="s">
        <v>28280</v>
      </c>
      <c r="J7437" t="s">
        <v>28661</v>
      </c>
      <c r="K7437" t="s">
        <v>36689</v>
      </c>
      <c r="M7437" t="s">
        <v>38771</v>
      </c>
      <c r="N7437" t="s">
        <v>40436</v>
      </c>
      <c r="O7437" t="s">
        <v>40437</v>
      </c>
      <c r="P7437">
        <v>0</v>
      </c>
      <c r="Q7437">
        <v>3</v>
      </c>
      <c r="R7437" t="s">
        <v>40444</v>
      </c>
      <c r="S7437" t="s">
        <v>40676</v>
      </c>
      <c r="T7437" t="s">
        <v>42446</v>
      </c>
      <c r="U7437" t="s">
        <v>48893</v>
      </c>
      <c r="W7437" t="s">
        <v>38771</v>
      </c>
      <c r="X7437" t="s">
        <v>40445</v>
      </c>
    </row>
    <row r="7438" spans="1:24">
      <c r="A7438">
        <f>HYPERLINK("https://www.philgeps.gov.ph/GEPSNONPILOT/Tender/SplashBidNoticeAbstractUI.aspx?menuIndex=3&amp;refID=7040061&amp;Result=3","7040061")</f>
        <v>0</v>
      </c>
      <c r="B7438" t="s">
        <v>1438</v>
      </c>
      <c r="C7438" t="s">
        <v>10162</v>
      </c>
      <c r="D7438" t="s">
        <v>16206</v>
      </c>
      <c r="E7438" t="s">
        <v>22831</v>
      </c>
      <c r="F7438" t="s">
        <v>28198</v>
      </c>
      <c r="G7438" t="s">
        <v>28205</v>
      </c>
      <c r="H7438" t="s">
        <v>28215</v>
      </c>
      <c r="I7438" t="s">
        <v>4168</v>
      </c>
      <c r="J7438" t="s">
        <v>29220</v>
      </c>
      <c r="K7438" t="s">
        <v>36689</v>
      </c>
      <c r="M7438" t="s">
        <v>38505</v>
      </c>
      <c r="N7438" t="s">
        <v>40436</v>
      </c>
      <c r="O7438" t="s">
        <v>40437</v>
      </c>
      <c r="P7438">
        <v>0</v>
      </c>
      <c r="Q7438">
        <v>1</v>
      </c>
      <c r="R7438" t="s">
        <v>40444</v>
      </c>
      <c r="S7438" t="s">
        <v>40676</v>
      </c>
      <c r="T7438" t="s">
        <v>42277</v>
      </c>
      <c r="U7438" t="s">
        <v>48894</v>
      </c>
      <c r="W7438" t="s">
        <v>38505</v>
      </c>
      <c r="X7438" t="s">
        <v>40445</v>
      </c>
    </row>
    <row r="7439" spans="1:24">
      <c r="A7439">
        <f>HYPERLINK("https://www.philgeps.gov.ph/GEPSNONPILOT/Tender/SplashBidNoticeAbstractUI.aspx?menuIndex=3&amp;refID=7040059&amp;Result=3","7040059")</f>
        <v>0</v>
      </c>
      <c r="B7439" t="s">
        <v>1404</v>
      </c>
      <c r="C7439" t="s">
        <v>10163</v>
      </c>
      <c r="D7439" t="s">
        <v>16189</v>
      </c>
      <c r="E7439" t="s">
        <v>22832</v>
      </c>
      <c r="F7439" t="s">
        <v>28198</v>
      </c>
      <c r="G7439" t="s">
        <v>28205</v>
      </c>
      <c r="H7439" t="s">
        <v>28214</v>
      </c>
      <c r="I7439" t="s">
        <v>3797</v>
      </c>
      <c r="J7439" t="s">
        <v>33010</v>
      </c>
      <c r="K7439" t="s">
        <v>36713</v>
      </c>
      <c r="M7439" t="s">
        <v>38469</v>
      </c>
      <c r="N7439" t="s">
        <v>40436</v>
      </c>
      <c r="O7439" t="s">
        <v>40437</v>
      </c>
      <c r="P7439">
        <v>0</v>
      </c>
      <c r="Q7439">
        <v>0</v>
      </c>
      <c r="R7439" t="s">
        <v>40444</v>
      </c>
      <c r="S7439" t="s">
        <v>40676</v>
      </c>
      <c r="T7439" t="s">
        <v>42158</v>
      </c>
      <c r="U7439" t="s">
        <v>48895</v>
      </c>
      <c r="W7439" t="s">
        <v>39460</v>
      </c>
      <c r="X7439" t="s">
        <v>40445</v>
      </c>
    </row>
    <row r="7440" spans="1:24">
      <c r="A7440">
        <f>HYPERLINK("https://www.philgeps.gov.ph/GEPSNONPILOT/Tender/SplashBidNoticeAbstractUI.aspx?menuIndex=3&amp;refID=7040055&amp;Result=3","7040055")</f>
        <v>0</v>
      </c>
      <c r="B7440" t="s">
        <v>1729</v>
      </c>
      <c r="C7440" t="s">
        <v>10164</v>
      </c>
      <c r="D7440" t="s">
        <v>16249</v>
      </c>
      <c r="E7440" t="s">
        <v>22833</v>
      </c>
      <c r="F7440" t="s">
        <v>28198</v>
      </c>
      <c r="G7440" t="s">
        <v>28205</v>
      </c>
      <c r="H7440" t="s">
        <v>28215</v>
      </c>
      <c r="I7440" t="s">
        <v>4200</v>
      </c>
      <c r="J7440" t="s">
        <v>28699</v>
      </c>
      <c r="K7440" t="s">
        <v>36701</v>
      </c>
      <c r="M7440" t="s">
        <v>38838</v>
      </c>
      <c r="N7440" t="s">
        <v>40436</v>
      </c>
      <c r="O7440" t="s">
        <v>40437</v>
      </c>
      <c r="P7440">
        <v>0</v>
      </c>
      <c r="Q7440">
        <v>17</v>
      </c>
      <c r="R7440" t="s">
        <v>40444</v>
      </c>
      <c r="S7440" t="s">
        <v>40676</v>
      </c>
      <c r="T7440" t="s">
        <v>42278</v>
      </c>
      <c r="U7440" t="s">
        <v>48896</v>
      </c>
      <c r="W7440" t="s">
        <v>55493</v>
      </c>
      <c r="X7440" t="s">
        <v>40445</v>
      </c>
    </row>
    <row r="7441" spans="1:24">
      <c r="A7441">
        <f>HYPERLINK("https://www.philgeps.gov.ph/GEPSNONPILOT/Tender/SplashBidNoticeAbstractUI.aspx?menuIndex=3&amp;refID=7040048&amp;Result=3","7040048")</f>
        <v>0</v>
      </c>
      <c r="B7441" t="s">
        <v>2290</v>
      </c>
      <c r="C7441" t="s">
        <v>10165</v>
      </c>
      <c r="D7441" t="s">
        <v>16262</v>
      </c>
      <c r="E7441" t="s">
        <v>22834</v>
      </c>
      <c r="F7441" t="s">
        <v>28198</v>
      </c>
      <c r="G7441" t="s">
        <v>28205</v>
      </c>
      <c r="H7441" t="s">
        <v>28214</v>
      </c>
      <c r="I7441" t="s">
        <v>3797</v>
      </c>
      <c r="J7441" t="s">
        <v>29409</v>
      </c>
      <c r="K7441" t="s">
        <v>36812</v>
      </c>
      <c r="M7441" t="s">
        <v>39464</v>
      </c>
      <c r="N7441" t="s">
        <v>40436</v>
      </c>
      <c r="O7441" t="s">
        <v>40437</v>
      </c>
      <c r="P7441">
        <v>0</v>
      </c>
      <c r="Q7441">
        <v>0</v>
      </c>
      <c r="R7441" t="s">
        <v>40444</v>
      </c>
      <c r="S7441" t="s">
        <v>40676</v>
      </c>
      <c r="T7441" t="s">
        <v>42100</v>
      </c>
      <c r="U7441" t="s">
        <v>48897</v>
      </c>
      <c r="W7441" t="s">
        <v>39464</v>
      </c>
      <c r="X7441" t="s">
        <v>40445</v>
      </c>
    </row>
    <row r="7442" spans="1:24">
      <c r="A7442">
        <f>HYPERLINK("https://www.philgeps.gov.ph/GEPSNONPILOT/Tender/SplashBidNoticeAbstractUI.aspx?menuIndex=3&amp;refID=7040071&amp;Result=3","7040071")</f>
        <v>0</v>
      </c>
      <c r="B7442" t="s">
        <v>2117</v>
      </c>
      <c r="C7442" t="s">
        <v>10166</v>
      </c>
      <c r="D7442" t="s">
        <v>16228</v>
      </c>
      <c r="E7442" t="s">
        <v>22835</v>
      </c>
      <c r="F7442" t="s">
        <v>28198</v>
      </c>
      <c r="G7442" t="s">
        <v>28205</v>
      </c>
      <c r="H7442" t="s">
        <v>28215</v>
      </c>
      <c r="I7442" t="s">
        <v>28274</v>
      </c>
      <c r="J7442" t="s">
        <v>33011</v>
      </c>
      <c r="K7442" t="s">
        <v>36799</v>
      </c>
      <c r="M7442" t="s">
        <v>39271</v>
      </c>
      <c r="N7442" t="s">
        <v>40436</v>
      </c>
      <c r="O7442" t="s">
        <v>40437</v>
      </c>
      <c r="P7442">
        <v>0</v>
      </c>
      <c r="Q7442">
        <v>0</v>
      </c>
      <c r="R7442" t="s">
        <v>40444</v>
      </c>
      <c r="S7442" t="s">
        <v>40676</v>
      </c>
      <c r="T7442" t="s">
        <v>42277</v>
      </c>
      <c r="U7442" t="s">
        <v>48898</v>
      </c>
      <c r="W7442" t="s">
        <v>39271</v>
      </c>
      <c r="X7442" t="s">
        <v>40445</v>
      </c>
    </row>
    <row r="7443" spans="1:24">
      <c r="A7443">
        <f>HYPERLINK("https://www.philgeps.gov.ph/GEPSNONPILOT/Tender/SplashBidNoticeAbstractUI.aspx?menuIndex=3&amp;refID=7040064&amp;Result=3","7040064")</f>
        <v>0</v>
      </c>
      <c r="B7443" t="s">
        <v>916</v>
      </c>
      <c r="C7443" t="s">
        <v>10167</v>
      </c>
      <c r="D7443" t="s">
        <v>16210</v>
      </c>
      <c r="E7443" t="s">
        <v>22836</v>
      </c>
      <c r="F7443" t="s">
        <v>28198</v>
      </c>
      <c r="G7443" t="s">
        <v>28205</v>
      </c>
      <c r="H7443" t="s">
        <v>28217</v>
      </c>
      <c r="I7443" t="s">
        <v>28234</v>
      </c>
      <c r="J7443" t="s">
        <v>29190</v>
      </c>
      <c r="K7443" t="s">
        <v>36705</v>
      </c>
      <c r="M7443" t="s">
        <v>39465</v>
      </c>
      <c r="N7443" t="s">
        <v>40436</v>
      </c>
      <c r="O7443" t="s">
        <v>40437</v>
      </c>
      <c r="P7443">
        <v>0</v>
      </c>
      <c r="Q7443">
        <v>1</v>
      </c>
      <c r="R7443" t="s">
        <v>40444</v>
      </c>
      <c r="S7443" t="s">
        <v>40676</v>
      </c>
      <c r="T7443" t="s">
        <v>42138</v>
      </c>
      <c r="U7443" t="s">
        <v>48899</v>
      </c>
      <c r="W7443" t="s">
        <v>39465</v>
      </c>
      <c r="X7443" t="s">
        <v>40445</v>
      </c>
    </row>
    <row r="7444" spans="1:24">
      <c r="A7444">
        <f>HYPERLINK("https://www.philgeps.gov.ph/GEPSNONPILOT/Tender/SplashBidNoticeAbstractUI.aspx?menuIndex=3&amp;refID=7040069&amp;Result=3","7040069")</f>
        <v>0</v>
      </c>
      <c r="B7444" t="s">
        <v>2286</v>
      </c>
      <c r="C7444" t="s">
        <v>3906</v>
      </c>
      <c r="D7444" t="s">
        <v>16204</v>
      </c>
      <c r="E7444" t="s">
        <v>22837</v>
      </c>
      <c r="F7444" t="s">
        <v>28198</v>
      </c>
      <c r="G7444" t="s">
        <v>28205</v>
      </c>
      <c r="H7444" t="s">
        <v>28214</v>
      </c>
      <c r="I7444" t="s">
        <v>3797</v>
      </c>
      <c r="J7444" t="s">
        <v>33012</v>
      </c>
      <c r="K7444" t="s">
        <v>36689</v>
      </c>
      <c r="M7444" t="s">
        <v>39459</v>
      </c>
      <c r="N7444" t="s">
        <v>40436</v>
      </c>
      <c r="O7444" t="s">
        <v>40437</v>
      </c>
      <c r="P7444">
        <v>0</v>
      </c>
      <c r="Q7444">
        <v>0</v>
      </c>
      <c r="R7444" t="s">
        <v>40444</v>
      </c>
      <c r="S7444" t="s">
        <v>40676</v>
      </c>
      <c r="T7444" t="s">
        <v>42185</v>
      </c>
      <c r="U7444" t="s">
        <v>48900</v>
      </c>
      <c r="V7444" t="s">
        <v>53944</v>
      </c>
      <c r="W7444" t="s">
        <v>39459</v>
      </c>
      <c r="X7444" t="s">
        <v>40445</v>
      </c>
    </row>
    <row r="7445" spans="1:24">
      <c r="A7445">
        <f>HYPERLINK("https://www.philgeps.gov.ph/GEPSNONPILOT/Tender/SplashBidNoticeAbstractUI.aspx?menuIndex=3&amp;refID=7040044&amp;Result=3","7040044")</f>
        <v>0</v>
      </c>
      <c r="B7445" t="s">
        <v>1404</v>
      </c>
      <c r="C7445" t="s">
        <v>10168</v>
      </c>
      <c r="D7445" t="s">
        <v>16189</v>
      </c>
      <c r="E7445" t="s">
        <v>22820</v>
      </c>
      <c r="F7445" t="s">
        <v>28198</v>
      </c>
      <c r="G7445" t="s">
        <v>28205</v>
      </c>
      <c r="H7445" t="s">
        <v>28214</v>
      </c>
      <c r="I7445" t="s">
        <v>3797</v>
      </c>
      <c r="J7445" t="s">
        <v>33013</v>
      </c>
      <c r="K7445" t="s">
        <v>36851</v>
      </c>
      <c r="M7445" t="s">
        <v>38469</v>
      </c>
      <c r="N7445" t="s">
        <v>40436</v>
      </c>
      <c r="O7445" t="s">
        <v>40437</v>
      </c>
      <c r="P7445">
        <v>0</v>
      </c>
      <c r="Q7445">
        <v>0</v>
      </c>
      <c r="R7445" t="s">
        <v>40444</v>
      </c>
      <c r="S7445" t="s">
        <v>40676</v>
      </c>
      <c r="T7445" t="s">
        <v>42158</v>
      </c>
      <c r="U7445" t="s">
        <v>48901</v>
      </c>
      <c r="W7445" t="s">
        <v>39460</v>
      </c>
      <c r="X7445" t="s">
        <v>40445</v>
      </c>
    </row>
    <row r="7446" spans="1:24">
      <c r="A7446">
        <f>HYPERLINK("https://www.philgeps.gov.ph/GEPSNONPILOT/Tender/SplashBidNoticeAbstractUI.aspx?menuIndex=3&amp;refID=7040094&amp;Result=3","7040094")</f>
        <v>0</v>
      </c>
      <c r="B7446" t="s">
        <v>2291</v>
      </c>
      <c r="C7446" t="s">
        <v>10169</v>
      </c>
      <c r="D7446" t="s">
        <v>16265</v>
      </c>
      <c r="E7446" t="s">
        <v>16766</v>
      </c>
      <c r="F7446" t="s">
        <v>28198</v>
      </c>
      <c r="G7446" t="s">
        <v>28205</v>
      </c>
      <c r="H7446" t="s">
        <v>28215</v>
      </c>
      <c r="I7446" t="s">
        <v>5100</v>
      </c>
      <c r="J7446" t="s">
        <v>33014</v>
      </c>
      <c r="K7446" t="s">
        <v>36706</v>
      </c>
      <c r="M7446" t="s">
        <v>39466</v>
      </c>
      <c r="N7446" t="s">
        <v>40436</v>
      </c>
      <c r="O7446" t="s">
        <v>40437</v>
      </c>
      <c r="P7446">
        <v>0</v>
      </c>
      <c r="Q7446">
        <v>0</v>
      </c>
      <c r="R7446" t="s">
        <v>40444</v>
      </c>
      <c r="S7446" t="s">
        <v>40676</v>
      </c>
      <c r="T7446" t="s">
        <v>42165</v>
      </c>
      <c r="U7446" t="s">
        <v>48902</v>
      </c>
      <c r="W7446" t="s">
        <v>39466</v>
      </c>
      <c r="X7446" t="s">
        <v>40445</v>
      </c>
    </row>
    <row r="7447" spans="1:24">
      <c r="A7447">
        <f>HYPERLINK("https://www.philgeps.gov.ph/GEPSNONPILOT/Tender/SplashBidNoticeAbstractUI.aspx?menuIndex=3&amp;refID=7040107&amp;Result=3","7040107")</f>
        <v>0</v>
      </c>
      <c r="B7447" t="s">
        <v>2290</v>
      </c>
      <c r="C7447" t="s">
        <v>10170</v>
      </c>
      <c r="D7447" t="s">
        <v>16262</v>
      </c>
      <c r="E7447" t="s">
        <v>22838</v>
      </c>
      <c r="F7447" t="s">
        <v>28198</v>
      </c>
      <c r="G7447" t="s">
        <v>28205</v>
      </c>
      <c r="H7447" t="s">
        <v>28214</v>
      </c>
      <c r="I7447" t="s">
        <v>3797</v>
      </c>
      <c r="J7447" t="s">
        <v>28760</v>
      </c>
      <c r="K7447" t="s">
        <v>36856</v>
      </c>
      <c r="M7447" t="s">
        <v>39464</v>
      </c>
      <c r="N7447" t="s">
        <v>40436</v>
      </c>
      <c r="O7447" t="s">
        <v>40437</v>
      </c>
      <c r="P7447">
        <v>0</v>
      </c>
      <c r="Q7447">
        <v>0</v>
      </c>
      <c r="R7447" t="s">
        <v>40444</v>
      </c>
      <c r="S7447" t="s">
        <v>40676</v>
      </c>
      <c r="T7447" t="s">
        <v>42100</v>
      </c>
      <c r="U7447" t="s">
        <v>48903</v>
      </c>
      <c r="W7447" t="s">
        <v>39464</v>
      </c>
      <c r="X7447" t="s">
        <v>40445</v>
      </c>
    </row>
    <row r="7448" spans="1:24">
      <c r="A7448">
        <f>HYPERLINK("https://www.philgeps.gov.ph/GEPSNONPILOT/Tender/SplashBidNoticeAbstractUI.aspx?menuIndex=3&amp;refID=7040098&amp;Result=3","7040098")</f>
        <v>0</v>
      </c>
      <c r="B7448" t="s">
        <v>2288</v>
      </c>
      <c r="C7448" t="s">
        <v>10171</v>
      </c>
      <c r="D7448" t="s">
        <v>16196</v>
      </c>
      <c r="E7448" t="s">
        <v>22839</v>
      </c>
      <c r="F7448" t="s">
        <v>28198</v>
      </c>
      <c r="G7448" t="s">
        <v>28207</v>
      </c>
      <c r="H7448" t="s">
        <v>28215</v>
      </c>
      <c r="I7448" t="s">
        <v>5100</v>
      </c>
      <c r="J7448" t="s">
        <v>33015</v>
      </c>
      <c r="K7448" t="s">
        <v>36701</v>
      </c>
      <c r="M7448" t="s">
        <v>39462</v>
      </c>
      <c r="N7448" t="s">
        <v>40436</v>
      </c>
      <c r="O7448" t="s">
        <v>40437</v>
      </c>
      <c r="P7448">
        <v>0</v>
      </c>
      <c r="Q7448">
        <v>0</v>
      </c>
      <c r="R7448" t="s">
        <v>40444</v>
      </c>
      <c r="S7448" t="s">
        <v>40676</v>
      </c>
      <c r="T7448" t="s">
        <v>42141</v>
      </c>
      <c r="U7448" t="s">
        <v>48904</v>
      </c>
      <c r="W7448" t="s">
        <v>39462</v>
      </c>
      <c r="X7448" t="s">
        <v>40445</v>
      </c>
    </row>
    <row r="7449" spans="1:24">
      <c r="A7449">
        <f>HYPERLINK("https://www.philgeps.gov.ph/GEPSNONPILOT/Tender/SplashBidNoticeAbstractUI.aspx?menuIndex=3&amp;refID=7040088&amp;Result=3","7040088")</f>
        <v>0</v>
      </c>
      <c r="B7449" t="s">
        <v>2132</v>
      </c>
      <c r="C7449" t="s">
        <v>10172</v>
      </c>
      <c r="D7449" t="s">
        <v>16210</v>
      </c>
      <c r="E7449" t="s">
        <v>22840</v>
      </c>
      <c r="F7449" t="s">
        <v>28198</v>
      </c>
      <c r="G7449" t="s">
        <v>28205</v>
      </c>
      <c r="H7449" t="s">
        <v>28215</v>
      </c>
      <c r="I7449" t="s">
        <v>28234</v>
      </c>
      <c r="J7449" t="s">
        <v>33016</v>
      </c>
      <c r="K7449" t="s">
        <v>36715</v>
      </c>
      <c r="M7449" t="s">
        <v>39289</v>
      </c>
      <c r="N7449" t="s">
        <v>40436</v>
      </c>
      <c r="O7449" t="s">
        <v>40437</v>
      </c>
      <c r="P7449">
        <v>0</v>
      </c>
      <c r="Q7449">
        <v>7</v>
      </c>
      <c r="R7449" t="s">
        <v>40444</v>
      </c>
      <c r="S7449" t="s">
        <v>40676</v>
      </c>
      <c r="T7449" t="s">
        <v>42459</v>
      </c>
      <c r="U7449" t="s">
        <v>44176</v>
      </c>
      <c r="W7449" t="s">
        <v>39289</v>
      </c>
      <c r="X7449" t="s">
        <v>40445</v>
      </c>
    </row>
    <row r="7450" spans="1:24">
      <c r="A7450">
        <f>HYPERLINK("https://www.philgeps.gov.ph/GEPSNONPILOT/Tender/SplashBidNoticeAbstractUI.aspx?menuIndex=3&amp;refID=7040100&amp;Result=3","7040100")</f>
        <v>0</v>
      </c>
      <c r="B7450" t="s">
        <v>2270</v>
      </c>
      <c r="C7450" t="s">
        <v>10173</v>
      </c>
      <c r="E7450" t="s">
        <v>10173</v>
      </c>
      <c r="F7450" t="s">
        <v>28198</v>
      </c>
      <c r="G7450" t="s">
        <v>28205</v>
      </c>
      <c r="H7450" t="s">
        <v>28215</v>
      </c>
      <c r="I7450" t="s">
        <v>3797</v>
      </c>
      <c r="J7450" t="s">
        <v>33017</v>
      </c>
      <c r="K7450" t="s">
        <v>36706</v>
      </c>
      <c r="M7450" t="s">
        <v>39441</v>
      </c>
      <c r="N7450" t="s">
        <v>40436</v>
      </c>
      <c r="O7450" t="s">
        <v>40437</v>
      </c>
      <c r="P7450">
        <v>0</v>
      </c>
      <c r="Q7450">
        <v>1</v>
      </c>
      <c r="R7450" t="s">
        <v>40444</v>
      </c>
      <c r="S7450" t="s">
        <v>40676</v>
      </c>
      <c r="T7450" t="s">
        <v>42278</v>
      </c>
      <c r="U7450" t="s">
        <v>48905</v>
      </c>
      <c r="W7450" t="s">
        <v>39441</v>
      </c>
      <c r="X7450" t="s">
        <v>40445</v>
      </c>
    </row>
    <row r="7451" spans="1:24">
      <c r="A7451">
        <f>HYPERLINK("https://www.philgeps.gov.ph/GEPSNONPILOT/Tender/SplashBidNoticeAbstractUI.aspx?menuIndex=3&amp;refID=7040104&amp;Result=3","7040104")</f>
        <v>0</v>
      </c>
      <c r="B7451" t="s">
        <v>2235</v>
      </c>
      <c r="C7451" t="s">
        <v>10174</v>
      </c>
      <c r="D7451" t="s">
        <v>16246</v>
      </c>
      <c r="E7451" t="s">
        <v>22841</v>
      </c>
      <c r="F7451" t="s">
        <v>28198</v>
      </c>
      <c r="G7451" t="s">
        <v>28205</v>
      </c>
      <c r="H7451" t="s">
        <v>28214</v>
      </c>
      <c r="I7451" t="s">
        <v>3797</v>
      </c>
      <c r="J7451" t="s">
        <v>28398</v>
      </c>
      <c r="K7451" t="s">
        <v>36689</v>
      </c>
      <c r="M7451" t="s">
        <v>39404</v>
      </c>
      <c r="N7451" t="s">
        <v>40436</v>
      </c>
      <c r="O7451" t="s">
        <v>40437</v>
      </c>
      <c r="P7451">
        <v>0</v>
      </c>
      <c r="Q7451">
        <v>0</v>
      </c>
      <c r="R7451" t="s">
        <v>40444</v>
      </c>
      <c r="S7451" t="s">
        <v>40676</v>
      </c>
      <c r="T7451" t="s">
        <v>42478</v>
      </c>
      <c r="U7451" t="s">
        <v>48906</v>
      </c>
      <c r="V7451" t="s">
        <v>54522</v>
      </c>
      <c r="W7451" t="s">
        <v>39404</v>
      </c>
      <c r="X7451" t="s">
        <v>40445</v>
      </c>
    </row>
    <row r="7452" spans="1:24">
      <c r="A7452">
        <f>HYPERLINK("https://www.philgeps.gov.ph/GEPSNONPILOT/Tender/SplashBidNoticeAbstractUI.aspx?menuIndex=3&amp;refID=7040095&amp;Result=3","7040095")</f>
        <v>0</v>
      </c>
      <c r="B7452" t="s">
        <v>900</v>
      </c>
      <c r="C7452" t="s">
        <v>10175</v>
      </c>
      <c r="D7452" t="s">
        <v>16223</v>
      </c>
      <c r="E7452" t="s">
        <v>22842</v>
      </c>
      <c r="F7452" t="s">
        <v>28198</v>
      </c>
      <c r="G7452" t="s">
        <v>28205</v>
      </c>
      <c r="H7452" t="s">
        <v>28215</v>
      </c>
      <c r="I7452" t="s">
        <v>28254</v>
      </c>
      <c r="J7452" t="s">
        <v>32609</v>
      </c>
      <c r="K7452" t="s">
        <v>36701</v>
      </c>
      <c r="M7452" t="s">
        <v>37918</v>
      </c>
      <c r="N7452" t="s">
        <v>40436</v>
      </c>
      <c r="O7452" t="s">
        <v>40437</v>
      </c>
      <c r="P7452">
        <v>0</v>
      </c>
      <c r="Q7452">
        <v>4</v>
      </c>
      <c r="R7452" t="s">
        <v>40444</v>
      </c>
      <c r="S7452" t="s">
        <v>40676</v>
      </c>
      <c r="T7452" t="s">
        <v>42490</v>
      </c>
      <c r="U7452" t="s">
        <v>48907</v>
      </c>
      <c r="V7452" t="s">
        <v>54561</v>
      </c>
      <c r="W7452" t="s">
        <v>37918</v>
      </c>
      <c r="X7452" t="s">
        <v>40445</v>
      </c>
    </row>
    <row r="7453" spans="1:24">
      <c r="A7453">
        <f>HYPERLINK("https://www.philgeps.gov.ph/GEPSNONPILOT/Tender/SplashBidNoticeAbstractUI.aspx?menuIndex=3&amp;refID=7040079&amp;Result=3","7040079")</f>
        <v>0</v>
      </c>
      <c r="B7453" t="s">
        <v>2292</v>
      </c>
      <c r="C7453" t="s">
        <v>10176</v>
      </c>
      <c r="D7453" t="s">
        <v>16210</v>
      </c>
      <c r="E7453" t="s">
        <v>22843</v>
      </c>
      <c r="F7453" t="s">
        <v>28198</v>
      </c>
      <c r="G7453" t="s">
        <v>28206</v>
      </c>
      <c r="H7453" t="s">
        <v>28215</v>
      </c>
      <c r="I7453" t="s">
        <v>28335</v>
      </c>
      <c r="J7453" t="s">
        <v>33018</v>
      </c>
      <c r="K7453" t="s">
        <v>36715</v>
      </c>
      <c r="M7453" t="s">
        <v>39467</v>
      </c>
      <c r="N7453" t="s">
        <v>40436</v>
      </c>
      <c r="O7453" t="s">
        <v>40437</v>
      </c>
      <c r="P7453">
        <v>0</v>
      </c>
      <c r="Q7453">
        <v>8</v>
      </c>
      <c r="R7453" t="s">
        <v>40444</v>
      </c>
      <c r="S7453" t="s">
        <v>40676</v>
      </c>
      <c r="T7453" t="s">
        <v>42396</v>
      </c>
      <c r="U7453" t="s">
        <v>48908</v>
      </c>
      <c r="W7453" t="s">
        <v>39467</v>
      </c>
      <c r="X7453" t="s">
        <v>40445</v>
      </c>
    </row>
    <row r="7454" spans="1:24">
      <c r="A7454">
        <f>HYPERLINK("https://www.philgeps.gov.ph/GEPSNONPILOT/Tender/SplashBidNoticeAbstractUI.aspx?menuIndex=3&amp;refID=7040075&amp;Result=3","7040075")</f>
        <v>0</v>
      </c>
      <c r="B7454" t="s">
        <v>2288</v>
      </c>
      <c r="C7454" t="s">
        <v>10177</v>
      </c>
      <c r="D7454" t="s">
        <v>16196</v>
      </c>
      <c r="E7454" t="s">
        <v>22844</v>
      </c>
      <c r="F7454" t="s">
        <v>28198</v>
      </c>
      <c r="G7454" t="s">
        <v>28207</v>
      </c>
      <c r="H7454" t="s">
        <v>28215</v>
      </c>
      <c r="I7454" t="s">
        <v>5100</v>
      </c>
      <c r="J7454" t="s">
        <v>33019</v>
      </c>
      <c r="K7454" t="s">
        <v>36701</v>
      </c>
      <c r="M7454" t="s">
        <v>39462</v>
      </c>
      <c r="N7454" t="s">
        <v>40436</v>
      </c>
      <c r="O7454" t="s">
        <v>40437</v>
      </c>
      <c r="P7454">
        <v>0</v>
      </c>
      <c r="Q7454">
        <v>0</v>
      </c>
      <c r="R7454" t="s">
        <v>40444</v>
      </c>
      <c r="S7454" t="s">
        <v>40676</v>
      </c>
      <c r="T7454" t="s">
        <v>42158</v>
      </c>
      <c r="U7454" t="s">
        <v>48909</v>
      </c>
      <c r="W7454" t="s">
        <v>39462</v>
      </c>
      <c r="X7454" t="s">
        <v>40445</v>
      </c>
    </row>
    <row r="7455" spans="1:24">
      <c r="A7455">
        <f>HYPERLINK("https://www.philgeps.gov.ph/GEPSNONPILOT/Tender/SplashBidNoticeAbstractUI.aspx?menuIndex=3&amp;refID=7040074&amp;Result=3","7040074")</f>
        <v>0</v>
      </c>
      <c r="B7455" t="s">
        <v>171</v>
      </c>
      <c r="C7455" t="s">
        <v>10178</v>
      </c>
      <c r="E7455" t="s">
        <v>22845</v>
      </c>
      <c r="F7455" t="s">
        <v>28198</v>
      </c>
      <c r="G7455" t="s">
        <v>28207</v>
      </c>
      <c r="H7455" t="s">
        <v>28215</v>
      </c>
      <c r="I7455" t="s">
        <v>3774</v>
      </c>
      <c r="J7455" t="s">
        <v>28967</v>
      </c>
      <c r="K7455" t="s">
        <v>36696</v>
      </c>
      <c r="M7455" t="s">
        <v>37145</v>
      </c>
      <c r="N7455" t="s">
        <v>40436</v>
      </c>
      <c r="O7455" t="s">
        <v>40437</v>
      </c>
      <c r="P7455">
        <v>0</v>
      </c>
      <c r="Q7455">
        <v>1</v>
      </c>
      <c r="R7455" t="s">
        <v>40444</v>
      </c>
      <c r="S7455" t="s">
        <v>40676</v>
      </c>
      <c r="T7455" t="s">
        <v>42167</v>
      </c>
      <c r="U7455" t="s">
        <v>48910</v>
      </c>
      <c r="V7455" t="s">
        <v>53823</v>
      </c>
      <c r="W7455" t="s">
        <v>39085</v>
      </c>
      <c r="X7455" t="s">
        <v>40445</v>
      </c>
    </row>
    <row r="7456" spans="1:24">
      <c r="A7456">
        <f>HYPERLINK("https://www.philgeps.gov.ph/GEPSNONPILOT/Tender/SplashBidNoticeAbstractUI.aspx?menuIndex=3&amp;refID=7040089&amp;Result=3","7040089")</f>
        <v>0</v>
      </c>
      <c r="B7456" t="s">
        <v>1354</v>
      </c>
      <c r="C7456" t="s">
        <v>10179</v>
      </c>
      <c r="D7456" t="s">
        <v>16238</v>
      </c>
      <c r="E7456" t="s">
        <v>10179</v>
      </c>
      <c r="F7456" t="s">
        <v>28198</v>
      </c>
      <c r="G7456" t="s">
        <v>28205</v>
      </c>
      <c r="H7456" t="s">
        <v>28215</v>
      </c>
      <c r="I7456" t="s">
        <v>28281</v>
      </c>
      <c r="J7456" t="s">
        <v>33020</v>
      </c>
      <c r="K7456" t="s">
        <v>36701</v>
      </c>
      <c r="M7456" t="s">
        <v>38412</v>
      </c>
      <c r="N7456" t="s">
        <v>40436</v>
      </c>
      <c r="O7456" t="s">
        <v>40437</v>
      </c>
      <c r="P7456">
        <v>0</v>
      </c>
      <c r="Q7456">
        <v>1</v>
      </c>
      <c r="R7456" t="s">
        <v>40444</v>
      </c>
      <c r="S7456" t="s">
        <v>40676</v>
      </c>
      <c r="T7456" t="s">
        <v>42203</v>
      </c>
      <c r="U7456" t="s">
        <v>48911</v>
      </c>
      <c r="W7456" t="s">
        <v>38412</v>
      </c>
      <c r="X7456" t="s">
        <v>40445</v>
      </c>
    </row>
    <row r="7457" spans="1:24">
      <c r="A7457">
        <f>HYPERLINK("https://www.philgeps.gov.ph/GEPSNONPILOT/Tender/SplashBidNoticeAbstractUI.aspx?menuIndex=3&amp;refID=7040123&amp;Result=3","7040123")</f>
        <v>0</v>
      </c>
      <c r="B7457" t="s">
        <v>2270</v>
      </c>
      <c r="C7457" t="s">
        <v>10180</v>
      </c>
      <c r="E7457" t="s">
        <v>22846</v>
      </c>
      <c r="F7457" t="s">
        <v>28198</v>
      </c>
      <c r="G7457" t="s">
        <v>28205</v>
      </c>
      <c r="H7457" t="s">
        <v>28215</v>
      </c>
      <c r="I7457" t="s">
        <v>5082</v>
      </c>
      <c r="J7457" t="s">
        <v>33021</v>
      </c>
      <c r="K7457" t="s">
        <v>36707</v>
      </c>
      <c r="M7457" t="s">
        <v>39441</v>
      </c>
      <c r="N7457" t="s">
        <v>40436</v>
      </c>
      <c r="O7457" t="s">
        <v>40437</v>
      </c>
      <c r="P7457">
        <v>0</v>
      </c>
      <c r="Q7457">
        <v>0</v>
      </c>
      <c r="R7457" t="s">
        <v>40444</v>
      </c>
      <c r="S7457" t="s">
        <v>40676</v>
      </c>
      <c r="T7457" t="s">
        <v>42278</v>
      </c>
      <c r="U7457" t="s">
        <v>48912</v>
      </c>
      <c r="W7457" t="s">
        <v>39441</v>
      </c>
      <c r="X7457" t="s">
        <v>40445</v>
      </c>
    </row>
    <row r="7458" spans="1:24">
      <c r="A7458">
        <f>HYPERLINK("https://www.philgeps.gov.ph/GEPSNONPILOT/Tender/SplashBidNoticeAbstractUI.aspx?menuIndex=3&amp;refID=7040113&amp;Result=3","7040113")</f>
        <v>0</v>
      </c>
      <c r="B7458" t="s">
        <v>1133</v>
      </c>
      <c r="C7458" t="s">
        <v>10181</v>
      </c>
      <c r="D7458" t="s">
        <v>16190</v>
      </c>
      <c r="E7458" t="s">
        <v>22847</v>
      </c>
      <c r="F7458" t="s">
        <v>28198</v>
      </c>
      <c r="G7458" t="s">
        <v>28205</v>
      </c>
      <c r="H7458" t="s">
        <v>28214</v>
      </c>
      <c r="I7458" t="s">
        <v>5100</v>
      </c>
      <c r="J7458" t="s">
        <v>28468</v>
      </c>
      <c r="K7458" t="s">
        <v>36689</v>
      </c>
      <c r="M7458" t="s">
        <v>38172</v>
      </c>
      <c r="N7458" t="s">
        <v>40436</v>
      </c>
      <c r="O7458" t="s">
        <v>40437</v>
      </c>
      <c r="P7458">
        <v>0</v>
      </c>
      <c r="Q7458">
        <v>0</v>
      </c>
      <c r="R7458" t="s">
        <v>40444</v>
      </c>
      <c r="S7458" t="s">
        <v>40676</v>
      </c>
      <c r="T7458" t="s">
        <v>42279</v>
      </c>
      <c r="U7458" t="s">
        <v>48913</v>
      </c>
      <c r="W7458" t="s">
        <v>38172</v>
      </c>
      <c r="X7458" t="s">
        <v>40445</v>
      </c>
    </row>
    <row r="7459" spans="1:24">
      <c r="A7459">
        <f>HYPERLINK("https://www.philgeps.gov.ph/GEPSNONPILOT/Tender/SplashBidNoticeAbstractUI.aspx?menuIndex=3&amp;refID=7040110&amp;Result=3","7040110")</f>
        <v>0</v>
      </c>
      <c r="B7459" t="s">
        <v>1349</v>
      </c>
      <c r="C7459" t="s">
        <v>10182</v>
      </c>
      <c r="D7459" t="s">
        <v>16249</v>
      </c>
      <c r="E7459" t="s">
        <v>22524</v>
      </c>
      <c r="F7459" t="s">
        <v>28198</v>
      </c>
      <c r="G7459" t="s">
        <v>28207</v>
      </c>
      <c r="H7459" t="s">
        <v>28216</v>
      </c>
      <c r="I7459" t="s">
        <v>28268</v>
      </c>
      <c r="J7459" t="s">
        <v>28548</v>
      </c>
      <c r="K7459" t="s">
        <v>36693</v>
      </c>
      <c r="M7459" t="s">
        <v>38407</v>
      </c>
      <c r="N7459" t="s">
        <v>40436</v>
      </c>
      <c r="O7459" t="s">
        <v>40437</v>
      </c>
      <c r="P7459">
        <v>0</v>
      </c>
      <c r="Q7459">
        <v>1</v>
      </c>
      <c r="R7459" t="s">
        <v>40444</v>
      </c>
      <c r="S7459" t="s">
        <v>40676</v>
      </c>
      <c r="T7459" t="s">
        <v>42158</v>
      </c>
      <c r="U7459" t="s">
        <v>48914</v>
      </c>
      <c r="V7459" t="s">
        <v>54516</v>
      </c>
      <c r="W7459" t="s">
        <v>38407</v>
      </c>
      <c r="X7459" t="s">
        <v>40445</v>
      </c>
    </row>
    <row r="7460" spans="1:24">
      <c r="A7460">
        <f>HYPERLINK("https://www.philgeps.gov.ph/GEPSNONPILOT/Tender/SplashBidNoticeAbstractUI.aspx?menuIndex=3&amp;refID=7040128&amp;Result=3","7040128")</f>
        <v>0</v>
      </c>
      <c r="B7460" t="s">
        <v>2293</v>
      </c>
      <c r="C7460" t="s">
        <v>10183</v>
      </c>
      <c r="D7460" t="s">
        <v>16208</v>
      </c>
      <c r="E7460" t="s">
        <v>22848</v>
      </c>
      <c r="F7460" t="s">
        <v>28198</v>
      </c>
      <c r="G7460" t="s">
        <v>28207</v>
      </c>
      <c r="H7460" t="s">
        <v>28215</v>
      </c>
      <c r="I7460" t="s">
        <v>4200</v>
      </c>
      <c r="J7460" t="s">
        <v>33022</v>
      </c>
      <c r="K7460" t="s">
        <v>36706</v>
      </c>
      <c r="M7460" t="s">
        <v>39468</v>
      </c>
      <c r="N7460" t="s">
        <v>40436</v>
      </c>
      <c r="O7460" t="s">
        <v>40437</v>
      </c>
      <c r="P7460">
        <v>0</v>
      </c>
      <c r="Q7460">
        <v>0</v>
      </c>
      <c r="R7460" t="s">
        <v>40444</v>
      </c>
      <c r="S7460" t="s">
        <v>40676</v>
      </c>
      <c r="T7460" t="s">
        <v>42297</v>
      </c>
      <c r="U7460" t="s">
        <v>48915</v>
      </c>
      <c r="W7460" t="s">
        <v>39468</v>
      </c>
      <c r="X7460" t="s">
        <v>40445</v>
      </c>
    </row>
    <row r="7461" spans="1:24">
      <c r="A7461">
        <f>HYPERLINK("https://www.philgeps.gov.ph/GEPSNONPILOT/Tender/SplashBidNoticeAbstractUI.aspx?menuIndex=3&amp;refID=7040133&amp;Result=3","7040133")</f>
        <v>0</v>
      </c>
      <c r="B7461" t="s">
        <v>1709</v>
      </c>
      <c r="C7461" t="s">
        <v>10184</v>
      </c>
      <c r="D7461" t="s">
        <v>16204</v>
      </c>
      <c r="E7461" t="s">
        <v>22849</v>
      </c>
      <c r="F7461" t="s">
        <v>28198</v>
      </c>
      <c r="G7461" t="s">
        <v>28207</v>
      </c>
      <c r="H7461" t="s">
        <v>28215</v>
      </c>
      <c r="I7461" t="s">
        <v>28274</v>
      </c>
      <c r="J7461" t="s">
        <v>30243</v>
      </c>
      <c r="K7461" t="s">
        <v>36701</v>
      </c>
      <c r="M7461" t="s">
        <v>38814</v>
      </c>
      <c r="N7461" t="s">
        <v>40436</v>
      </c>
      <c r="O7461" t="s">
        <v>40437</v>
      </c>
      <c r="P7461">
        <v>0</v>
      </c>
      <c r="Q7461">
        <v>2</v>
      </c>
      <c r="R7461" t="s">
        <v>40444</v>
      </c>
      <c r="S7461" t="s">
        <v>40676</v>
      </c>
      <c r="T7461" t="s">
        <v>42169</v>
      </c>
      <c r="U7461" t="s">
        <v>48916</v>
      </c>
      <c r="V7461" t="s">
        <v>54562</v>
      </c>
      <c r="W7461" t="s">
        <v>38814</v>
      </c>
      <c r="X7461" t="s">
        <v>40445</v>
      </c>
    </row>
    <row r="7462" spans="1:24">
      <c r="A7462">
        <f>HYPERLINK("https://www.philgeps.gov.ph/GEPSNONPILOT/Tender/SplashBidNoticeAbstractUI.aspx?menuIndex=3&amp;refID=7040141&amp;Result=3","7040141")</f>
        <v>0</v>
      </c>
      <c r="B7462" t="s">
        <v>2288</v>
      </c>
      <c r="C7462" t="s">
        <v>10185</v>
      </c>
      <c r="D7462" t="s">
        <v>16196</v>
      </c>
      <c r="E7462" t="s">
        <v>22850</v>
      </c>
      <c r="F7462" t="s">
        <v>28198</v>
      </c>
      <c r="G7462" t="s">
        <v>28207</v>
      </c>
      <c r="H7462" t="s">
        <v>28215</v>
      </c>
      <c r="I7462" t="s">
        <v>28282</v>
      </c>
      <c r="J7462" t="s">
        <v>33023</v>
      </c>
      <c r="K7462" t="s">
        <v>36701</v>
      </c>
      <c r="M7462" t="s">
        <v>39462</v>
      </c>
      <c r="N7462" t="s">
        <v>40436</v>
      </c>
      <c r="O7462" t="s">
        <v>40437</v>
      </c>
      <c r="P7462">
        <v>0</v>
      </c>
      <c r="Q7462">
        <v>1</v>
      </c>
      <c r="R7462" t="s">
        <v>40444</v>
      </c>
      <c r="S7462" t="s">
        <v>40676</v>
      </c>
      <c r="T7462" t="s">
        <v>42190</v>
      </c>
      <c r="U7462" t="s">
        <v>48917</v>
      </c>
      <c r="W7462" t="s">
        <v>39462</v>
      </c>
      <c r="X7462" t="s">
        <v>40445</v>
      </c>
    </row>
    <row r="7463" spans="1:24">
      <c r="A7463">
        <f>HYPERLINK("https://www.philgeps.gov.ph/GEPSNONPILOT/Tender/SplashBidNoticeAbstractUI.aspx?menuIndex=3&amp;refID=7040129&amp;Result=3","7040129")</f>
        <v>0</v>
      </c>
      <c r="B7463" t="s">
        <v>1264</v>
      </c>
      <c r="C7463" t="s">
        <v>10186</v>
      </c>
      <c r="D7463" t="s">
        <v>16209</v>
      </c>
      <c r="E7463" t="s">
        <v>22851</v>
      </c>
      <c r="F7463" t="s">
        <v>28198</v>
      </c>
      <c r="G7463" t="s">
        <v>28205</v>
      </c>
      <c r="H7463" t="s">
        <v>28214</v>
      </c>
      <c r="I7463" t="s">
        <v>3797</v>
      </c>
      <c r="J7463" t="s">
        <v>33024</v>
      </c>
      <c r="K7463" t="s">
        <v>36735</v>
      </c>
      <c r="M7463" t="s">
        <v>38314</v>
      </c>
      <c r="N7463" t="s">
        <v>40436</v>
      </c>
      <c r="O7463" t="s">
        <v>40437</v>
      </c>
      <c r="P7463">
        <v>0</v>
      </c>
      <c r="Q7463">
        <v>4</v>
      </c>
      <c r="R7463" t="s">
        <v>40444</v>
      </c>
      <c r="S7463" t="s">
        <v>40676</v>
      </c>
      <c r="T7463" t="s">
        <v>42195</v>
      </c>
      <c r="U7463" t="s">
        <v>48918</v>
      </c>
      <c r="W7463" t="s">
        <v>38314</v>
      </c>
      <c r="X7463" t="s">
        <v>40445</v>
      </c>
    </row>
    <row r="7464" spans="1:24">
      <c r="A7464">
        <f>HYPERLINK("https://www.philgeps.gov.ph/GEPSNONPILOT/Tender/SplashBidNoticeAbstractUI.aspx?menuIndex=3&amp;refID=7040122&amp;Result=3","7040122")</f>
        <v>0</v>
      </c>
      <c r="B7464" t="s">
        <v>1354</v>
      </c>
      <c r="C7464" t="s">
        <v>10187</v>
      </c>
      <c r="D7464" t="s">
        <v>16238</v>
      </c>
      <c r="E7464" t="s">
        <v>10187</v>
      </c>
      <c r="F7464" t="s">
        <v>28198</v>
      </c>
      <c r="G7464" t="s">
        <v>28205</v>
      </c>
      <c r="H7464" t="s">
        <v>28215</v>
      </c>
      <c r="I7464" t="s">
        <v>28227</v>
      </c>
      <c r="J7464" t="s">
        <v>33025</v>
      </c>
      <c r="K7464" t="s">
        <v>36701</v>
      </c>
      <c r="M7464" t="s">
        <v>38412</v>
      </c>
      <c r="N7464" t="s">
        <v>40436</v>
      </c>
      <c r="O7464" t="s">
        <v>40437</v>
      </c>
      <c r="P7464">
        <v>0</v>
      </c>
      <c r="Q7464">
        <v>0</v>
      </c>
      <c r="R7464" t="s">
        <v>40444</v>
      </c>
      <c r="S7464" t="s">
        <v>40676</v>
      </c>
      <c r="T7464" t="s">
        <v>42203</v>
      </c>
      <c r="U7464" t="s">
        <v>48919</v>
      </c>
      <c r="W7464" t="s">
        <v>38412</v>
      </c>
      <c r="X7464" t="s">
        <v>40445</v>
      </c>
    </row>
    <row r="7465" spans="1:24">
      <c r="A7465">
        <f>HYPERLINK("https://www.philgeps.gov.ph/GEPSNONPILOT/Tender/SplashBidNoticeAbstractUI.aspx?menuIndex=3&amp;refID=7040167&amp;Result=3","7040167")</f>
        <v>0</v>
      </c>
      <c r="B7465" t="s">
        <v>1354</v>
      </c>
      <c r="C7465" t="s">
        <v>10188</v>
      </c>
      <c r="D7465" t="s">
        <v>16238</v>
      </c>
      <c r="E7465" t="s">
        <v>10188</v>
      </c>
      <c r="F7465" t="s">
        <v>28198</v>
      </c>
      <c r="G7465" t="s">
        <v>28205</v>
      </c>
      <c r="H7465" t="s">
        <v>28215</v>
      </c>
      <c r="I7465" t="s">
        <v>28286</v>
      </c>
      <c r="J7465" t="s">
        <v>33026</v>
      </c>
      <c r="K7465" t="s">
        <v>36701</v>
      </c>
      <c r="M7465" t="s">
        <v>38412</v>
      </c>
      <c r="N7465" t="s">
        <v>40436</v>
      </c>
      <c r="O7465" t="s">
        <v>40437</v>
      </c>
      <c r="P7465">
        <v>0</v>
      </c>
      <c r="Q7465">
        <v>0</v>
      </c>
      <c r="R7465" t="s">
        <v>40444</v>
      </c>
      <c r="S7465" t="s">
        <v>40676</v>
      </c>
      <c r="T7465" t="s">
        <v>42203</v>
      </c>
      <c r="U7465" t="s">
        <v>48920</v>
      </c>
      <c r="W7465" t="s">
        <v>38412</v>
      </c>
      <c r="X7465" t="s">
        <v>40445</v>
      </c>
    </row>
    <row r="7466" spans="1:24">
      <c r="A7466">
        <f>HYPERLINK("https://www.philgeps.gov.ph/GEPSNONPILOT/Tender/SplashBidNoticeAbstractUI.aspx?menuIndex=3&amp;refID=7040165&amp;Result=3","7040165")</f>
        <v>0</v>
      </c>
      <c r="B7466" t="s">
        <v>2235</v>
      </c>
      <c r="C7466" t="s">
        <v>10189</v>
      </c>
      <c r="D7466" t="s">
        <v>16246</v>
      </c>
      <c r="E7466" t="s">
        <v>22852</v>
      </c>
      <c r="F7466" t="s">
        <v>28198</v>
      </c>
      <c r="G7466" t="s">
        <v>28205</v>
      </c>
      <c r="H7466" t="s">
        <v>28214</v>
      </c>
      <c r="I7466" t="s">
        <v>3797</v>
      </c>
      <c r="J7466" t="s">
        <v>28415</v>
      </c>
      <c r="K7466" t="s">
        <v>36689</v>
      </c>
      <c r="M7466" t="s">
        <v>39404</v>
      </c>
      <c r="N7466" t="s">
        <v>40436</v>
      </c>
      <c r="O7466" t="s">
        <v>40437</v>
      </c>
      <c r="P7466">
        <v>0</v>
      </c>
      <c r="Q7466">
        <v>0</v>
      </c>
      <c r="R7466" t="s">
        <v>40444</v>
      </c>
      <c r="S7466" t="s">
        <v>40676</v>
      </c>
      <c r="T7466" t="s">
        <v>42205</v>
      </c>
      <c r="U7466" t="s">
        <v>48921</v>
      </c>
      <c r="V7466" t="s">
        <v>54522</v>
      </c>
      <c r="W7466" t="s">
        <v>39404</v>
      </c>
      <c r="X7466" t="s">
        <v>40445</v>
      </c>
    </row>
    <row r="7467" spans="1:24">
      <c r="A7467">
        <f>HYPERLINK("https://www.philgeps.gov.ph/GEPSNONPILOT/Tender/SplashBidNoticeAbstractUI.aspx?menuIndex=3&amp;refID=7040157&amp;Result=3","7040157")</f>
        <v>0</v>
      </c>
      <c r="B7467" t="s">
        <v>2294</v>
      </c>
      <c r="C7467" t="s">
        <v>10190</v>
      </c>
      <c r="D7467" t="s">
        <v>16262</v>
      </c>
      <c r="E7467" t="s">
        <v>22853</v>
      </c>
      <c r="F7467" t="s">
        <v>28198</v>
      </c>
      <c r="G7467" t="s">
        <v>28205</v>
      </c>
      <c r="H7467" t="s">
        <v>28214</v>
      </c>
      <c r="I7467" t="s">
        <v>3797</v>
      </c>
      <c r="J7467" t="s">
        <v>33027</v>
      </c>
      <c r="K7467" t="s">
        <v>36745</v>
      </c>
      <c r="M7467" t="s">
        <v>39469</v>
      </c>
      <c r="N7467" t="s">
        <v>40436</v>
      </c>
      <c r="O7467" t="s">
        <v>40437</v>
      </c>
      <c r="P7467">
        <v>0</v>
      </c>
      <c r="Q7467">
        <v>0</v>
      </c>
      <c r="R7467" t="s">
        <v>40444</v>
      </c>
      <c r="S7467" t="s">
        <v>40676</v>
      </c>
      <c r="T7467" t="s">
        <v>42234</v>
      </c>
      <c r="U7467" t="s">
        <v>48922</v>
      </c>
      <c r="V7467" t="s">
        <v>54563</v>
      </c>
      <c r="W7467" t="s">
        <v>39469</v>
      </c>
      <c r="X7467" t="s">
        <v>40445</v>
      </c>
    </row>
    <row r="7468" spans="1:24">
      <c r="A7468">
        <f>HYPERLINK("https://www.philgeps.gov.ph/GEPSNONPILOT/Tender/SplashBidNoticeAbstractUI.aspx?menuIndex=3&amp;refID=7040168&amp;Result=3","7040168")</f>
        <v>0</v>
      </c>
      <c r="B7468" t="s">
        <v>1461</v>
      </c>
      <c r="C7468" t="s">
        <v>10191</v>
      </c>
      <c r="D7468" t="s">
        <v>16238</v>
      </c>
      <c r="E7468" t="s">
        <v>22854</v>
      </c>
      <c r="F7468" t="s">
        <v>28198</v>
      </c>
      <c r="G7468" t="s">
        <v>28207</v>
      </c>
      <c r="H7468" t="s">
        <v>28215</v>
      </c>
      <c r="I7468" t="s">
        <v>28234</v>
      </c>
      <c r="J7468" t="s">
        <v>30308</v>
      </c>
      <c r="K7468" t="s">
        <v>36687</v>
      </c>
      <c r="M7468" t="s">
        <v>38530</v>
      </c>
      <c r="N7468" t="s">
        <v>40436</v>
      </c>
      <c r="O7468" t="s">
        <v>40437</v>
      </c>
      <c r="P7468">
        <v>0</v>
      </c>
      <c r="Q7468">
        <v>2</v>
      </c>
      <c r="R7468" t="s">
        <v>40444</v>
      </c>
      <c r="S7468" t="s">
        <v>40676</v>
      </c>
      <c r="T7468" t="s">
        <v>42233</v>
      </c>
      <c r="U7468" t="s">
        <v>48923</v>
      </c>
      <c r="W7468" t="s">
        <v>38530</v>
      </c>
      <c r="X7468" t="s">
        <v>40445</v>
      </c>
    </row>
    <row r="7469" spans="1:24">
      <c r="A7469">
        <f>HYPERLINK("https://www.philgeps.gov.ph/GEPSNONPILOT/Tender/SplashBidNoticeAbstractUI.aspx?menuIndex=3&amp;refID=7040159&amp;Result=3","7040159")</f>
        <v>0</v>
      </c>
      <c r="B7469" t="s">
        <v>2270</v>
      </c>
      <c r="C7469" t="s">
        <v>10192</v>
      </c>
      <c r="E7469" t="s">
        <v>22855</v>
      </c>
      <c r="F7469" t="s">
        <v>28198</v>
      </c>
      <c r="G7469" t="s">
        <v>28205</v>
      </c>
      <c r="H7469" t="s">
        <v>28215</v>
      </c>
      <c r="I7469" t="s">
        <v>3797</v>
      </c>
      <c r="J7469" t="s">
        <v>28351</v>
      </c>
      <c r="K7469" t="s">
        <v>36714</v>
      </c>
      <c r="M7469" t="s">
        <v>39441</v>
      </c>
      <c r="N7469" t="s">
        <v>40436</v>
      </c>
      <c r="O7469" t="s">
        <v>40437</v>
      </c>
      <c r="P7469">
        <v>0</v>
      </c>
      <c r="Q7469">
        <v>1</v>
      </c>
      <c r="R7469" t="s">
        <v>40444</v>
      </c>
      <c r="S7469" t="s">
        <v>40676</v>
      </c>
      <c r="T7469" t="s">
        <v>42278</v>
      </c>
      <c r="U7469" t="s">
        <v>48924</v>
      </c>
      <c r="W7469" t="s">
        <v>39441</v>
      </c>
      <c r="X7469" t="s">
        <v>40445</v>
      </c>
    </row>
    <row r="7470" spans="1:24">
      <c r="A7470">
        <f>HYPERLINK("https://www.philgeps.gov.ph/GEPSNONPILOT/Tender/SplashBidNoticeAbstractUI.aspx?menuIndex=3&amp;refID=7040152&amp;Result=3","7040152")</f>
        <v>0</v>
      </c>
      <c r="B7470" t="s">
        <v>587</v>
      </c>
      <c r="C7470" t="s">
        <v>10193</v>
      </c>
      <c r="D7470" t="s">
        <v>16230</v>
      </c>
      <c r="E7470" t="s">
        <v>22856</v>
      </c>
      <c r="F7470" t="s">
        <v>28198</v>
      </c>
      <c r="G7470" t="s">
        <v>28205</v>
      </c>
      <c r="H7470" t="s">
        <v>28214</v>
      </c>
      <c r="I7470" t="s">
        <v>28242</v>
      </c>
      <c r="J7470" t="s">
        <v>28378</v>
      </c>
      <c r="K7470" t="s">
        <v>36687</v>
      </c>
      <c r="M7470" t="s">
        <v>37576</v>
      </c>
      <c r="N7470" t="s">
        <v>40436</v>
      </c>
      <c r="O7470" t="s">
        <v>40437</v>
      </c>
      <c r="P7470">
        <v>0</v>
      </c>
      <c r="Q7470">
        <v>0</v>
      </c>
      <c r="R7470" t="s">
        <v>40444</v>
      </c>
      <c r="S7470" t="s">
        <v>40676</v>
      </c>
      <c r="T7470" t="s">
        <v>42218</v>
      </c>
      <c r="U7470" t="s">
        <v>48925</v>
      </c>
      <c r="W7470" t="s">
        <v>37576</v>
      </c>
      <c r="X7470" t="s">
        <v>40445</v>
      </c>
    </row>
    <row r="7471" spans="1:24">
      <c r="A7471">
        <f>HYPERLINK("https://www.philgeps.gov.ph/GEPSNONPILOT/Tender/SplashBidNoticeAbstractUI.aspx?menuIndex=3&amp;refID=7040155&amp;Result=3","7040155")</f>
        <v>0</v>
      </c>
      <c r="B7471" t="s">
        <v>2295</v>
      </c>
      <c r="C7471" t="s">
        <v>10194</v>
      </c>
      <c r="D7471" t="s">
        <v>16222</v>
      </c>
      <c r="E7471" t="s">
        <v>22857</v>
      </c>
      <c r="F7471" t="s">
        <v>28200</v>
      </c>
      <c r="G7471" t="s">
        <v>28207</v>
      </c>
      <c r="H7471" t="s">
        <v>28215</v>
      </c>
      <c r="I7471" t="s">
        <v>28336</v>
      </c>
      <c r="J7471" t="s">
        <v>29866</v>
      </c>
      <c r="K7471" t="s">
        <v>36688</v>
      </c>
      <c r="M7471" t="s">
        <v>39470</v>
      </c>
      <c r="N7471" t="s">
        <v>40436</v>
      </c>
      <c r="O7471" t="s">
        <v>40437</v>
      </c>
      <c r="P7471">
        <v>0</v>
      </c>
      <c r="Q7471">
        <v>0</v>
      </c>
      <c r="R7471" t="s">
        <v>40444</v>
      </c>
      <c r="S7471" t="s">
        <v>40676</v>
      </c>
      <c r="T7471" t="s">
        <v>42161</v>
      </c>
      <c r="U7471" t="s">
        <v>48926</v>
      </c>
      <c r="V7471" t="s">
        <v>54564</v>
      </c>
      <c r="W7471" t="s">
        <v>39470</v>
      </c>
      <c r="X7471" t="s">
        <v>40445</v>
      </c>
    </row>
    <row r="7472" spans="1:24">
      <c r="A7472">
        <f>HYPERLINK("https://www.philgeps.gov.ph/GEPSNONPILOT/Tender/SplashBidNoticeAbstractUI.aspx?menuIndex=3&amp;refID=7040171&amp;Result=3","7040171")</f>
        <v>0</v>
      </c>
      <c r="B7472" t="s">
        <v>171</v>
      </c>
      <c r="C7472" t="s">
        <v>10195</v>
      </c>
      <c r="E7472" t="s">
        <v>22858</v>
      </c>
      <c r="F7472" t="s">
        <v>28198</v>
      </c>
      <c r="G7472" t="s">
        <v>28207</v>
      </c>
      <c r="H7472" t="s">
        <v>28215</v>
      </c>
      <c r="I7472" t="s">
        <v>5100</v>
      </c>
      <c r="J7472" t="s">
        <v>29012</v>
      </c>
      <c r="K7472" t="s">
        <v>36701</v>
      </c>
      <c r="M7472" t="s">
        <v>37145</v>
      </c>
      <c r="N7472" t="s">
        <v>40436</v>
      </c>
      <c r="O7472" t="s">
        <v>40437</v>
      </c>
      <c r="P7472">
        <v>0</v>
      </c>
      <c r="Q7472">
        <v>2</v>
      </c>
      <c r="R7472" t="s">
        <v>40444</v>
      </c>
      <c r="S7472" t="s">
        <v>40676</v>
      </c>
      <c r="T7472" t="s">
        <v>42167</v>
      </c>
      <c r="U7472" t="s">
        <v>48927</v>
      </c>
      <c r="V7472" t="s">
        <v>53823</v>
      </c>
      <c r="W7472" t="s">
        <v>39085</v>
      </c>
      <c r="X7472" t="s">
        <v>40445</v>
      </c>
    </row>
    <row r="7473" spans="1:24">
      <c r="A7473">
        <f>HYPERLINK("https://www.philgeps.gov.ph/GEPSNONPILOT/Tender/SplashBidNoticeAbstractUI.aspx?menuIndex=3&amp;refID=7040125&amp;Result=3","7040125")</f>
        <v>0</v>
      </c>
      <c r="B7473" t="s">
        <v>748</v>
      </c>
      <c r="C7473" t="s">
        <v>10196</v>
      </c>
      <c r="D7473" t="s">
        <v>16203</v>
      </c>
      <c r="E7473" t="s">
        <v>22859</v>
      </c>
      <c r="F7473" t="s">
        <v>28198</v>
      </c>
      <c r="G7473" t="s">
        <v>28205</v>
      </c>
      <c r="H7473" t="s">
        <v>28215</v>
      </c>
      <c r="I7473" t="s">
        <v>3774</v>
      </c>
      <c r="J7473" t="s">
        <v>33028</v>
      </c>
      <c r="K7473" t="s">
        <v>36694</v>
      </c>
      <c r="M7473" t="s">
        <v>37751</v>
      </c>
      <c r="N7473" t="s">
        <v>40436</v>
      </c>
      <c r="O7473" t="s">
        <v>40437</v>
      </c>
      <c r="P7473">
        <v>0</v>
      </c>
      <c r="Q7473">
        <v>1</v>
      </c>
      <c r="R7473" t="s">
        <v>40444</v>
      </c>
      <c r="S7473" t="s">
        <v>40676</v>
      </c>
      <c r="T7473" t="s">
        <v>42491</v>
      </c>
      <c r="U7473" t="s">
        <v>44030</v>
      </c>
      <c r="V7473" t="s">
        <v>53964</v>
      </c>
      <c r="W7473" t="s">
        <v>37751</v>
      </c>
      <c r="X7473" t="s">
        <v>40445</v>
      </c>
    </row>
    <row r="7474" spans="1:24">
      <c r="A7474">
        <f>HYPERLINK("https://www.philgeps.gov.ph/GEPSNONPILOT/Tender/SplashBidNoticeAbstractUI.aspx?menuIndex=3&amp;refID=7040187&amp;Result=3","7040187")</f>
        <v>0</v>
      </c>
      <c r="B7474" t="s">
        <v>688</v>
      </c>
      <c r="C7474" t="s">
        <v>10197</v>
      </c>
      <c r="D7474" t="s">
        <v>16230</v>
      </c>
      <c r="E7474" t="s">
        <v>22860</v>
      </c>
      <c r="F7474" t="s">
        <v>28198</v>
      </c>
      <c r="G7474" t="s">
        <v>28206</v>
      </c>
      <c r="H7474" t="s">
        <v>28215</v>
      </c>
      <c r="I7474" t="s">
        <v>5100</v>
      </c>
      <c r="J7474" t="s">
        <v>30626</v>
      </c>
      <c r="K7474" t="s">
        <v>36687</v>
      </c>
      <c r="M7474" t="s">
        <v>37687</v>
      </c>
      <c r="N7474" t="s">
        <v>40436</v>
      </c>
      <c r="O7474" t="s">
        <v>40437</v>
      </c>
      <c r="P7474">
        <v>0</v>
      </c>
      <c r="Q7474">
        <v>1</v>
      </c>
      <c r="R7474" t="s">
        <v>40444</v>
      </c>
      <c r="S7474" t="s">
        <v>40676</v>
      </c>
      <c r="T7474" t="s">
        <v>42218</v>
      </c>
      <c r="U7474" t="s">
        <v>43866</v>
      </c>
      <c r="W7474" t="s">
        <v>37687</v>
      </c>
      <c r="X7474" t="s">
        <v>40445</v>
      </c>
    </row>
    <row r="7475" spans="1:24">
      <c r="A7475">
        <f>HYPERLINK("https://www.philgeps.gov.ph/GEPSNONPILOT/Tender/SplashBidNoticeAbstractUI.aspx?menuIndex=3&amp;refID=7040151&amp;Result=3","7040151")</f>
        <v>0</v>
      </c>
      <c r="B7475" t="s">
        <v>766</v>
      </c>
      <c r="C7475" t="s">
        <v>10198</v>
      </c>
      <c r="D7475" t="s">
        <v>16219</v>
      </c>
      <c r="E7475" t="s">
        <v>22861</v>
      </c>
      <c r="F7475" t="s">
        <v>28198</v>
      </c>
      <c r="G7475" t="s">
        <v>28205</v>
      </c>
      <c r="H7475" t="s">
        <v>28215</v>
      </c>
      <c r="I7475" t="s">
        <v>5100</v>
      </c>
      <c r="J7475" t="s">
        <v>33029</v>
      </c>
      <c r="K7475" t="s">
        <v>36701</v>
      </c>
      <c r="M7475" t="s">
        <v>38825</v>
      </c>
      <c r="N7475" t="s">
        <v>40436</v>
      </c>
      <c r="O7475" t="s">
        <v>40437</v>
      </c>
      <c r="P7475">
        <v>0</v>
      </c>
      <c r="Q7475">
        <v>0</v>
      </c>
      <c r="R7475" t="s">
        <v>40444</v>
      </c>
      <c r="S7475" t="s">
        <v>40676</v>
      </c>
      <c r="T7475" t="s">
        <v>42234</v>
      </c>
      <c r="U7475" t="s">
        <v>48928</v>
      </c>
      <c r="W7475" t="s">
        <v>38825</v>
      </c>
      <c r="X7475" t="s">
        <v>40445</v>
      </c>
    </row>
    <row r="7476" spans="1:24">
      <c r="A7476">
        <f>HYPERLINK("https://www.philgeps.gov.ph/GEPSNONPILOT/Tender/SplashBidNoticeAbstractUI.aspx?menuIndex=3&amp;refID=7040183&amp;Result=3","7040183")</f>
        <v>0</v>
      </c>
      <c r="B7476" t="s">
        <v>1206</v>
      </c>
      <c r="C7476" t="s">
        <v>10199</v>
      </c>
      <c r="D7476" t="s">
        <v>16203</v>
      </c>
      <c r="E7476" t="s">
        <v>22862</v>
      </c>
      <c r="F7476" t="s">
        <v>28198</v>
      </c>
      <c r="G7476" t="s">
        <v>28205</v>
      </c>
      <c r="H7476" t="s">
        <v>28215</v>
      </c>
      <c r="I7476" t="s">
        <v>28227</v>
      </c>
      <c r="J7476" t="s">
        <v>33030</v>
      </c>
      <c r="K7476" t="s">
        <v>36701</v>
      </c>
      <c r="M7476" t="s">
        <v>39330</v>
      </c>
      <c r="N7476" t="s">
        <v>40436</v>
      </c>
      <c r="O7476" t="s">
        <v>40437</v>
      </c>
      <c r="P7476">
        <v>0</v>
      </c>
      <c r="Q7476">
        <v>0</v>
      </c>
      <c r="R7476" t="s">
        <v>40444</v>
      </c>
      <c r="S7476" t="s">
        <v>40676</v>
      </c>
      <c r="T7476" t="s">
        <v>42277</v>
      </c>
      <c r="U7476" t="s">
        <v>48929</v>
      </c>
      <c r="W7476" t="s">
        <v>39330</v>
      </c>
      <c r="X7476" t="s">
        <v>40445</v>
      </c>
    </row>
    <row r="7477" spans="1:24">
      <c r="A7477">
        <f>HYPERLINK("https://www.philgeps.gov.ph/GEPSNONPILOT/Tender/SplashBidNoticeAbstractUI.aspx?menuIndex=3&amp;refID=7040169&amp;Result=3","7040169")</f>
        <v>0</v>
      </c>
      <c r="B7477" t="s">
        <v>2290</v>
      </c>
      <c r="C7477" t="s">
        <v>10200</v>
      </c>
      <c r="D7477" t="s">
        <v>16262</v>
      </c>
      <c r="E7477" t="s">
        <v>22863</v>
      </c>
      <c r="F7477" t="s">
        <v>28198</v>
      </c>
      <c r="G7477" t="s">
        <v>28205</v>
      </c>
      <c r="H7477" t="s">
        <v>28214</v>
      </c>
      <c r="I7477" t="s">
        <v>3797</v>
      </c>
      <c r="J7477" t="s">
        <v>28927</v>
      </c>
      <c r="K7477" t="s">
        <v>36857</v>
      </c>
      <c r="M7477" t="s">
        <v>39464</v>
      </c>
      <c r="N7477" t="s">
        <v>40436</v>
      </c>
      <c r="O7477" t="s">
        <v>40437</v>
      </c>
      <c r="P7477">
        <v>0</v>
      </c>
      <c r="Q7477">
        <v>0</v>
      </c>
      <c r="R7477" t="s">
        <v>40444</v>
      </c>
      <c r="S7477" t="s">
        <v>40676</v>
      </c>
      <c r="T7477" t="s">
        <v>42100</v>
      </c>
      <c r="U7477" t="s">
        <v>48930</v>
      </c>
      <c r="W7477" t="s">
        <v>39464</v>
      </c>
      <c r="X7477" t="s">
        <v>40445</v>
      </c>
    </row>
    <row r="7478" spans="1:24">
      <c r="A7478">
        <f>HYPERLINK("https://www.philgeps.gov.ph/GEPSNONPILOT/Tender/SplashBidNoticeAbstractUI.aspx?menuIndex=3&amp;refID=7040174&amp;Result=3","7040174")</f>
        <v>0</v>
      </c>
      <c r="B7478" t="s">
        <v>1341</v>
      </c>
      <c r="C7478" t="s">
        <v>10201</v>
      </c>
      <c r="D7478" t="s">
        <v>16188</v>
      </c>
      <c r="E7478" t="s">
        <v>22864</v>
      </c>
      <c r="F7478" t="s">
        <v>28198</v>
      </c>
      <c r="G7478" t="s">
        <v>28206</v>
      </c>
      <c r="H7478" t="s">
        <v>28215</v>
      </c>
      <c r="I7478" t="s">
        <v>3774</v>
      </c>
      <c r="J7478" t="s">
        <v>29900</v>
      </c>
      <c r="K7478" t="s">
        <v>36689</v>
      </c>
      <c r="M7478" t="s">
        <v>38399</v>
      </c>
      <c r="N7478" t="s">
        <v>40436</v>
      </c>
      <c r="O7478" t="s">
        <v>40437</v>
      </c>
      <c r="P7478">
        <v>0</v>
      </c>
      <c r="Q7478">
        <v>0</v>
      </c>
      <c r="R7478" t="s">
        <v>40444</v>
      </c>
      <c r="S7478" t="s">
        <v>40676</v>
      </c>
      <c r="T7478" t="s">
        <v>42378</v>
      </c>
      <c r="U7478" t="s">
        <v>48931</v>
      </c>
      <c r="W7478" t="s">
        <v>38399</v>
      </c>
      <c r="X7478" t="s">
        <v>40445</v>
      </c>
    </row>
    <row r="7479" spans="1:24">
      <c r="A7479">
        <f>HYPERLINK("https://www.philgeps.gov.ph/GEPSNONPILOT/Tender/SplashBidNoticeAbstractUI.aspx?menuIndex=3&amp;refID=7040188&amp;Result=3","7040188")</f>
        <v>0</v>
      </c>
      <c r="B7479" t="s">
        <v>351</v>
      </c>
      <c r="C7479" t="s">
        <v>10202</v>
      </c>
      <c r="D7479" t="s">
        <v>16258</v>
      </c>
      <c r="E7479" t="s">
        <v>22865</v>
      </c>
      <c r="F7479" t="s">
        <v>28198</v>
      </c>
      <c r="G7479" t="s">
        <v>28205</v>
      </c>
      <c r="H7479" t="s">
        <v>28215</v>
      </c>
      <c r="I7479" t="s">
        <v>28277</v>
      </c>
      <c r="J7479" t="s">
        <v>33031</v>
      </c>
      <c r="K7479" t="s">
        <v>36706</v>
      </c>
      <c r="M7479" t="s">
        <v>37330</v>
      </c>
      <c r="N7479" t="s">
        <v>40436</v>
      </c>
      <c r="O7479" t="s">
        <v>40437</v>
      </c>
      <c r="P7479">
        <v>0</v>
      </c>
      <c r="Q7479">
        <v>0</v>
      </c>
      <c r="R7479" t="s">
        <v>40444</v>
      </c>
      <c r="S7479" t="s">
        <v>40676</v>
      </c>
      <c r="T7479" t="s">
        <v>42136</v>
      </c>
      <c r="U7479" t="s">
        <v>48932</v>
      </c>
      <c r="W7479" t="s">
        <v>37330</v>
      </c>
      <c r="X7479" t="s">
        <v>40445</v>
      </c>
    </row>
    <row r="7480" spans="1:24">
      <c r="A7480">
        <f>HYPERLINK("https://www.philgeps.gov.ph/GEPSNONPILOT/Tender/SplashBidNoticeAbstractUI.aspx?menuIndex=3&amp;refID=7040189&amp;Result=3","7040189")</f>
        <v>0</v>
      </c>
      <c r="B7480" t="s">
        <v>2296</v>
      </c>
      <c r="C7480" t="s">
        <v>10203</v>
      </c>
      <c r="D7480" t="s">
        <v>16234</v>
      </c>
      <c r="E7480" t="s">
        <v>22866</v>
      </c>
      <c r="F7480" t="s">
        <v>28198</v>
      </c>
      <c r="G7480" t="s">
        <v>28205</v>
      </c>
      <c r="H7480" t="s">
        <v>28215</v>
      </c>
      <c r="I7480" t="s">
        <v>3774</v>
      </c>
      <c r="J7480" t="s">
        <v>33032</v>
      </c>
      <c r="K7480" t="s">
        <v>36701</v>
      </c>
      <c r="M7480" t="s">
        <v>39471</v>
      </c>
      <c r="N7480" t="s">
        <v>40436</v>
      </c>
      <c r="O7480" t="s">
        <v>40437</v>
      </c>
      <c r="P7480">
        <v>0</v>
      </c>
      <c r="Q7480">
        <v>0</v>
      </c>
      <c r="R7480" t="s">
        <v>40444</v>
      </c>
      <c r="S7480" t="s">
        <v>40676</v>
      </c>
      <c r="T7480" t="s">
        <v>42277</v>
      </c>
      <c r="U7480" t="s">
        <v>48933</v>
      </c>
      <c r="V7480" t="s">
        <v>54565</v>
      </c>
      <c r="W7480" t="s">
        <v>39471</v>
      </c>
      <c r="X7480" t="s">
        <v>40445</v>
      </c>
    </row>
    <row r="7481" spans="1:24">
      <c r="A7481">
        <f>HYPERLINK("https://www.philgeps.gov.ph/GEPSNONPILOT/Tender/SplashBidNoticeAbstractUI.aspx?menuIndex=3&amp;refID=7040149&amp;Result=3","7040149")</f>
        <v>0</v>
      </c>
      <c r="B7481" t="s">
        <v>2297</v>
      </c>
      <c r="C7481" t="s">
        <v>10204</v>
      </c>
      <c r="D7481" t="s">
        <v>16192</v>
      </c>
      <c r="E7481" t="s">
        <v>22867</v>
      </c>
      <c r="F7481" t="s">
        <v>28198</v>
      </c>
      <c r="G7481" t="s">
        <v>28207</v>
      </c>
      <c r="H7481" t="s">
        <v>28215</v>
      </c>
      <c r="I7481" t="s">
        <v>28237</v>
      </c>
      <c r="J7481" t="s">
        <v>28345</v>
      </c>
      <c r="K7481" t="s">
        <v>36688</v>
      </c>
      <c r="M7481" t="s">
        <v>39472</v>
      </c>
      <c r="N7481" t="s">
        <v>40436</v>
      </c>
      <c r="O7481" t="s">
        <v>40437</v>
      </c>
      <c r="P7481">
        <v>0</v>
      </c>
      <c r="Q7481">
        <v>0</v>
      </c>
      <c r="R7481" t="s">
        <v>40444</v>
      </c>
      <c r="S7481" t="s">
        <v>40676</v>
      </c>
      <c r="T7481" t="s">
        <v>42205</v>
      </c>
      <c r="U7481" t="s">
        <v>48934</v>
      </c>
      <c r="V7481" t="s">
        <v>54566</v>
      </c>
      <c r="W7481" t="s">
        <v>39472</v>
      </c>
      <c r="X7481" t="s">
        <v>40445</v>
      </c>
    </row>
    <row r="7482" spans="1:24">
      <c r="A7482">
        <f>HYPERLINK("https://www.philgeps.gov.ph/GEPSNONPILOT/Tender/SplashBidNoticeAbstractUI.aspx?menuIndex=3&amp;refID=7040220&amp;Result=3","7040220")</f>
        <v>0</v>
      </c>
      <c r="B7482" t="s">
        <v>688</v>
      </c>
      <c r="C7482" t="s">
        <v>9678</v>
      </c>
      <c r="D7482" t="s">
        <v>16230</v>
      </c>
      <c r="E7482" t="s">
        <v>22868</v>
      </c>
      <c r="F7482" t="s">
        <v>28198</v>
      </c>
      <c r="G7482" t="s">
        <v>28206</v>
      </c>
      <c r="H7482" t="s">
        <v>28215</v>
      </c>
      <c r="I7482" t="s">
        <v>5100</v>
      </c>
      <c r="J7482" t="s">
        <v>33033</v>
      </c>
      <c r="K7482" t="s">
        <v>36687</v>
      </c>
      <c r="M7482" t="s">
        <v>37687</v>
      </c>
      <c r="N7482" t="s">
        <v>40436</v>
      </c>
      <c r="O7482" t="s">
        <v>40437</v>
      </c>
      <c r="P7482">
        <v>0</v>
      </c>
      <c r="Q7482">
        <v>0</v>
      </c>
      <c r="R7482" t="s">
        <v>40444</v>
      </c>
      <c r="S7482" t="s">
        <v>40676</v>
      </c>
      <c r="T7482" t="s">
        <v>42218</v>
      </c>
      <c r="U7482" t="s">
        <v>43866</v>
      </c>
      <c r="W7482" t="s">
        <v>37687</v>
      </c>
      <c r="X7482" t="s">
        <v>40445</v>
      </c>
    </row>
    <row r="7483" spans="1:24">
      <c r="A7483">
        <f>HYPERLINK("https://www.philgeps.gov.ph/GEPSNONPILOT/Tender/SplashBidNoticeAbstractUI.aspx?menuIndex=3&amp;refID=7040145&amp;Result=3","7040145")</f>
        <v>0</v>
      </c>
      <c r="B7483" t="s">
        <v>1460</v>
      </c>
      <c r="C7483" t="s">
        <v>10205</v>
      </c>
      <c r="D7483" t="s">
        <v>16230</v>
      </c>
      <c r="E7483" t="s">
        <v>22869</v>
      </c>
      <c r="F7483" t="s">
        <v>28198</v>
      </c>
      <c r="G7483" t="s">
        <v>28205</v>
      </c>
      <c r="H7483" t="s">
        <v>28214</v>
      </c>
      <c r="I7483" t="s">
        <v>3797</v>
      </c>
      <c r="J7483" t="s">
        <v>29566</v>
      </c>
      <c r="K7483" t="s">
        <v>36697</v>
      </c>
      <c r="M7483" t="s">
        <v>38528</v>
      </c>
      <c r="N7483" t="s">
        <v>40436</v>
      </c>
      <c r="O7483" t="s">
        <v>40437</v>
      </c>
      <c r="P7483">
        <v>0</v>
      </c>
      <c r="Q7483">
        <v>0</v>
      </c>
      <c r="R7483" t="s">
        <v>40444</v>
      </c>
      <c r="S7483" t="s">
        <v>40676</v>
      </c>
      <c r="T7483" t="s">
        <v>42279</v>
      </c>
      <c r="U7483" t="s">
        <v>48840</v>
      </c>
      <c r="W7483" t="s">
        <v>38528</v>
      </c>
      <c r="X7483" t="s">
        <v>40445</v>
      </c>
    </row>
    <row r="7484" spans="1:24">
      <c r="A7484">
        <f>HYPERLINK("https://www.philgeps.gov.ph/GEPSNONPILOT/Tender/SplashBidNoticeAbstractUI.aspx?menuIndex=3&amp;refID=7040148&amp;Result=3","7040148")</f>
        <v>0</v>
      </c>
      <c r="B7484" t="s">
        <v>1462</v>
      </c>
      <c r="C7484" t="s">
        <v>10206</v>
      </c>
      <c r="D7484" t="s">
        <v>16210</v>
      </c>
      <c r="E7484" t="s">
        <v>22870</v>
      </c>
      <c r="F7484" t="s">
        <v>28198</v>
      </c>
      <c r="G7484" t="s">
        <v>28205</v>
      </c>
      <c r="H7484" t="s">
        <v>28215</v>
      </c>
      <c r="I7484" t="s">
        <v>28244</v>
      </c>
      <c r="J7484" t="s">
        <v>33034</v>
      </c>
      <c r="K7484" t="s">
        <v>36694</v>
      </c>
      <c r="M7484" t="s">
        <v>39256</v>
      </c>
      <c r="N7484" t="s">
        <v>40436</v>
      </c>
      <c r="O7484" t="s">
        <v>40437</v>
      </c>
      <c r="P7484">
        <v>0</v>
      </c>
      <c r="Q7484">
        <v>4</v>
      </c>
      <c r="R7484" t="s">
        <v>40444</v>
      </c>
      <c r="S7484" t="s">
        <v>40676</v>
      </c>
      <c r="T7484" t="s">
        <v>42165</v>
      </c>
      <c r="U7484" t="s">
        <v>48935</v>
      </c>
      <c r="W7484" t="s">
        <v>39256</v>
      </c>
      <c r="X7484" t="s">
        <v>40445</v>
      </c>
    </row>
    <row r="7485" spans="1:24">
      <c r="A7485">
        <f>HYPERLINK("https://www.philgeps.gov.ph/GEPSNONPILOT/Tender/SplashBidNoticeAbstractUI.aspx?menuIndex=3&amp;refID=7040137&amp;Result=3","7040137")</f>
        <v>0</v>
      </c>
      <c r="B7485" t="s">
        <v>900</v>
      </c>
      <c r="C7485" t="s">
        <v>10207</v>
      </c>
      <c r="D7485" t="s">
        <v>16223</v>
      </c>
      <c r="E7485" t="s">
        <v>22871</v>
      </c>
      <c r="F7485" t="s">
        <v>28198</v>
      </c>
      <c r="G7485" t="s">
        <v>28205</v>
      </c>
      <c r="H7485" t="s">
        <v>28215</v>
      </c>
      <c r="I7485" t="s">
        <v>28247</v>
      </c>
      <c r="J7485" t="s">
        <v>33035</v>
      </c>
      <c r="K7485" t="s">
        <v>36694</v>
      </c>
      <c r="M7485" t="s">
        <v>37918</v>
      </c>
      <c r="N7485" t="s">
        <v>40436</v>
      </c>
      <c r="O7485" t="s">
        <v>40437</v>
      </c>
      <c r="P7485">
        <v>0</v>
      </c>
      <c r="Q7485">
        <v>5</v>
      </c>
      <c r="R7485" t="s">
        <v>40444</v>
      </c>
      <c r="S7485" t="s">
        <v>40676</v>
      </c>
      <c r="T7485" t="s">
        <v>42487</v>
      </c>
      <c r="U7485" t="s">
        <v>48936</v>
      </c>
      <c r="V7485" t="s">
        <v>54567</v>
      </c>
      <c r="W7485" t="s">
        <v>37918</v>
      </c>
      <c r="X7485" t="s">
        <v>40445</v>
      </c>
    </row>
    <row r="7486" spans="1:24">
      <c r="A7486">
        <f>HYPERLINK("https://www.philgeps.gov.ph/GEPSNONPILOT/Tender/SplashBidNoticeAbstractUI.aspx?menuIndex=3&amp;refID=7040217&amp;Result=3","7040217")</f>
        <v>0</v>
      </c>
      <c r="B7486" t="s">
        <v>2132</v>
      </c>
      <c r="C7486" t="s">
        <v>10208</v>
      </c>
      <c r="D7486" t="s">
        <v>16210</v>
      </c>
      <c r="E7486" t="s">
        <v>22872</v>
      </c>
      <c r="F7486" t="s">
        <v>28198</v>
      </c>
      <c r="G7486" t="s">
        <v>28205</v>
      </c>
      <c r="H7486" t="s">
        <v>28215</v>
      </c>
      <c r="I7486" t="s">
        <v>28234</v>
      </c>
      <c r="J7486" t="s">
        <v>33036</v>
      </c>
      <c r="K7486" t="s">
        <v>36715</v>
      </c>
      <c r="M7486" t="s">
        <v>39289</v>
      </c>
      <c r="N7486" t="s">
        <v>40436</v>
      </c>
      <c r="O7486" t="s">
        <v>40437</v>
      </c>
      <c r="P7486">
        <v>0</v>
      </c>
      <c r="Q7486">
        <v>6</v>
      </c>
      <c r="R7486" t="s">
        <v>40444</v>
      </c>
      <c r="S7486" t="s">
        <v>40676</v>
      </c>
      <c r="T7486" t="s">
        <v>42459</v>
      </c>
      <c r="U7486" t="s">
        <v>44176</v>
      </c>
      <c r="W7486" t="s">
        <v>39289</v>
      </c>
      <c r="X7486" t="s">
        <v>40445</v>
      </c>
    </row>
    <row r="7487" spans="1:24">
      <c r="A7487">
        <f>HYPERLINK("https://www.philgeps.gov.ph/GEPSNONPILOT/Tender/SplashBidNoticeAbstractUI.aspx?menuIndex=3&amp;refID=7040213&amp;Result=3","7040213")</f>
        <v>0</v>
      </c>
      <c r="B7487" t="s">
        <v>2298</v>
      </c>
      <c r="C7487" t="s">
        <v>10209</v>
      </c>
      <c r="D7487" t="s">
        <v>16240</v>
      </c>
      <c r="E7487" t="s">
        <v>22873</v>
      </c>
      <c r="F7487" t="s">
        <v>28198</v>
      </c>
      <c r="G7487" t="s">
        <v>28205</v>
      </c>
      <c r="H7487" t="s">
        <v>28215</v>
      </c>
      <c r="I7487" t="s">
        <v>28222</v>
      </c>
      <c r="J7487" t="s">
        <v>28663</v>
      </c>
      <c r="K7487" t="s">
        <v>36706</v>
      </c>
      <c r="M7487" t="s">
        <v>39473</v>
      </c>
      <c r="N7487" t="s">
        <v>40436</v>
      </c>
      <c r="O7487" t="s">
        <v>40437</v>
      </c>
      <c r="P7487">
        <v>0</v>
      </c>
      <c r="Q7487">
        <v>3</v>
      </c>
      <c r="R7487" t="s">
        <v>40444</v>
      </c>
      <c r="S7487" t="s">
        <v>40676</v>
      </c>
      <c r="T7487" t="s">
        <v>42158</v>
      </c>
      <c r="U7487" t="s">
        <v>48937</v>
      </c>
      <c r="W7487" t="s">
        <v>39473</v>
      </c>
      <c r="X7487" t="s">
        <v>40445</v>
      </c>
    </row>
    <row r="7488" spans="1:24">
      <c r="A7488">
        <f>HYPERLINK("https://www.philgeps.gov.ph/GEPSNONPILOT/Tender/SplashBidNoticeAbstractUI.aspx?menuIndex=3&amp;refID=7040134&amp;Result=3","7040134")</f>
        <v>0</v>
      </c>
      <c r="B7488" t="s">
        <v>2290</v>
      </c>
      <c r="C7488" t="s">
        <v>10210</v>
      </c>
      <c r="D7488" t="s">
        <v>16262</v>
      </c>
      <c r="E7488" t="s">
        <v>22874</v>
      </c>
      <c r="F7488" t="s">
        <v>28198</v>
      </c>
      <c r="G7488" t="s">
        <v>28205</v>
      </c>
      <c r="H7488" t="s">
        <v>28214</v>
      </c>
      <c r="I7488" t="s">
        <v>3797</v>
      </c>
      <c r="J7488" t="s">
        <v>29113</v>
      </c>
      <c r="K7488" t="s">
        <v>36767</v>
      </c>
      <c r="M7488" t="s">
        <v>39464</v>
      </c>
      <c r="N7488" t="s">
        <v>40436</v>
      </c>
      <c r="O7488" t="s">
        <v>40437</v>
      </c>
      <c r="P7488">
        <v>0</v>
      </c>
      <c r="Q7488">
        <v>0</v>
      </c>
      <c r="R7488" t="s">
        <v>40444</v>
      </c>
      <c r="S7488" t="s">
        <v>40676</v>
      </c>
      <c r="T7488" t="s">
        <v>42100</v>
      </c>
      <c r="U7488" t="s">
        <v>48938</v>
      </c>
      <c r="W7488" t="s">
        <v>39464</v>
      </c>
      <c r="X7488" t="s">
        <v>40445</v>
      </c>
    </row>
    <row r="7489" spans="1:24">
      <c r="A7489">
        <f>HYPERLINK("https://www.philgeps.gov.ph/GEPSNONPILOT/Tender/SplashBidNoticeAbstractUI.aspx?menuIndex=3&amp;refID=7040211&amp;Result=3","7040211")</f>
        <v>0</v>
      </c>
      <c r="B7489" t="s">
        <v>2299</v>
      </c>
      <c r="C7489" t="s">
        <v>10211</v>
      </c>
      <c r="D7489" t="s">
        <v>16251</v>
      </c>
      <c r="E7489" t="s">
        <v>22875</v>
      </c>
      <c r="F7489" t="s">
        <v>28198</v>
      </c>
      <c r="G7489" t="s">
        <v>28205</v>
      </c>
      <c r="H7489" t="s">
        <v>28214</v>
      </c>
      <c r="I7489" t="s">
        <v>3797</v>
      </c>
      <c r="J7489" t="s">
        <v>33037</v>
      </c>
      <c r="K7489" t="s">
        <v>36858</v>
      </c>
      <c r="L7489" t="s">
        <v>2299</v>
      </c>
      <c r="M7489" t="s">
        <v>39474</v>
      </c>
      <c r="N7489" t="s">
        <v>40436</v>
      </c>
      <c r="O7489" t="s">
        <v>40437</v>
      </c>
      <c r="P7489">
        <v>0</v>
      </c>
      <c r="Q7489">
        <v>0</v>
      </c>
      <c r="R7489" t="s">
        <v>40444</v>
      </c>
      <c r="S7489" t="s">
        <v>40676</v>
      </c>
      <c r="T7489" t="s">
        <v>42168</v>
      </c>
      <c r="U7489" t="s">
        <v>48939</v>
      </c>
      <c r="W7489" t="s">
        <v>39474</v>
      </c>
      <c r="X7489" t="s">
        <v>40445</v>
      </c>
    </row>
    <row r="7490" spans="1:24">
      <c r="A7490">
        <f>HYPERLINK("https://www.philgeps.gov.ph/GEPSNONPILOT/Tender/SplashBidNoticeAbstractUI.aspx?menuIndex=3&amp;refID=7040199&amp;Result=3","7040199")</f>
        <v>0</v>
      </c>
      <c r="B7490" t="s">
        <v>2270</v>
      </c>
      <c r="C7490" t="s">
        <v>10212</v>
      </c>
      <c r="E7490" t="s">
        <v>22876</v>
      </c>
      <c r="F7490" t="s">
        <v>28198</v>
      </c>
      <c r="G7490" t="s">
        <v>28205</v>
      </c>
      <c r="H7490" t="s">
        <v>28215</v>
      </c>
      <c r="I7490" t="s">
        <v>3797</v>
      </c>
      <c r="J7490" t="s">
        <v>28351</v>
      </c>
      <c r="K7490" t="s">
        <v>36714</v>
      </c>
      <c r="M7490" t="s">
        <v>39441</v>
      </c>
      <c r="N7490" t="s">
        <v>40436</v>
      </c>
      <c r="O7490" t="s">
        <v>40437</v>
      </c>
      <c r="P7490">
        <v>0</v>
      </c>
      <c r="Q7490">
        <v>2</v>
      </c>
      <c r="R7490" t="s">
        <v>40444</v>
      </c>
      <c r="S7490" t="s">
        <v>40676</v>
      </c>
      <c r="T7490" t="s">
        <v>42278</v>
      </c>
      <c r="U7490" t="s">
        <v>48940</v>
      </c>
      <c r="W7490" t="s">
        <v>39441</v>
      </c>
      <c r="X7490" t="s">
        <v>40445</v>
      </c>
    </row>
    <row r="7491" spans="1:24">
      <c r="A7491">
        <f>HYPERLINK("https://www.philgeps.gov.ph/GEPSNONPILOT/Tender/SplashBidNoticeAbstractUI.aspx?menuIndex=3&amp;refID=7040197&amp;Result=3","7040197")</f>
        <v>0</v>
      </c>
      <c r="B7491" t="s">
        <v>2300</v>
      </c>
      <c r="C7491" t="s">
        <v>10213</v>
      </c>
      <c r="E7491" t="s">
        <v>16473</v>
      </c>
      <c r="F7491" t="s">
        <v>28201</v>
      </c>
      <c r="G7491" t="s">
        <v>28207</v>
      </c>
      <c r="H7491" t="s">
        <v>28215</v>
      </c>
      <c r="I7491" t="s">
        <v>5082</v>
      </c>
      <c r="J7491" t="s">
        <v>33038</v>
      </c>
      <c r="K7491" t="s">
        <v>36691</v>
      </c>
      <c r="M7491" t="s">
        <v>39475</v>
      </c>
      <c r="N7491" t="s">
        <v>40436</v>
      </c>
      <c r="O7491" t="s">
        <v>40437</v>
      </c>
      <c r="P7491">
        <v>0</v>
      </c>
      <c r="Q7491">
        <v>1</v>
      </c>
      <c r="R7491" t="s">
        <v>40444</v>
      </c>
      <c r="S7491" t="s">
        <v>40676</v>
      </c>
      <c r="T7491" t="s">
        <v>42492</v>
      </c>
      <c r="U7491" t="s">
        <v>48941</v>
      </c>
      <c r="W7491" t="s">
        <v>39475</v>
      </c>
      <c r="X7491" t="s">
        <v>40445</v>
      </c>
    </row>
    <row r="7492" spans="1:24">
      <c r="A7492">
        <f>HYPERLINK("https://www.philgeps.gov.ph/GEPSNONPILOT/Tender/SplashBidNoticeAbstractUI.aspx?menuIndex=3&amp;refID=7040236&amp;Result=3","7040236")</f>
        <v>0</v>
      </c>
      <c r="B7492" t="s">
        <v>1264</v>
      </c>
      <c r="C7492" t="s">
        <v>10214</v>
      </c>
      <c r="D7492" t="s">
        <v>16209</v>
      </c>
      <c r="E7492" t="s">
        <v>22877</v>
      </c>
      <c r="F7492" t="s">
        <v>28198</v>
      </c>
      <c r="G7492" t="s">
        <v>28205</v>
      </c>
      <c r="H7492" t="s">
        <v>28214</v>
      </c>
      <c r="I7492" t="s">
        <v>3797</v>
      </c>
      <c r="J7492" t="s">
        <v>33039</v>
      </c>
      <c r="K7492" t="s">
        <v>36735</v>
      </c>
      <c r="M7492" t="s">
        <v>38314</v>
      </c>
      <c r="N7492" t="s">
        <v>40436</v>
      </c>
      <c r="O7492" t="s">
        <v>40437</v>
      </c>
      <c r="P7492">
        <v>0</v>
      </c>
      <c r="Q7492">
        <v>5</v>
      </c>
      <c r="R7492" t="s">
        <v>40444</v>
      </c>
      <c r="S7492" t="s">
        <v>40676</v>
      </c>
      <c r="T7492" t="s">
        <v>42195</v>
      </c>
      <c r="U7492" t="s">
        <v>48942</v>
      </c>
      <c r="W7492" t="s">
        <v>38314</v>
      </c>
      <c r="X7492" t="s">
        <v>40445</v>
      </c>
    </row>
    <row r="7493" spans="1:24">
      <c r="A7493">
        <f>HYPERLINK("https://www.philgeps.gov.ph/GEPSNONPILOT/Tender/SplashBidNoticeAbstractUI.aspx?menuIndex=3&amp;refID=7040208&amp;Result=3","7040208")</f>
        <v>0</v>
      </c>
      <c r="B7493" t="s">
        <v>2058</v>
      </c>
      <c r="C7493" t="s">
        <v>10215</v>
      </c>
      <c r="D7493" t="s">
        <v>16188</v>
      </c>
      <c r="E7493" t="s">
        <v>22878</v>
      </c>
      <c r="F7493" t="s">
        <v>28198</v>
      </c>
      <c r="G7493" t="s">
        <v>28205</v>
      </c>
      <c r="H7493" t="s">
        <v>28215</v>
      </c>
      <c r="I7493" t="s">
        <v>28310</v>
      </c>
      <c r="J7493" t="s">
        <v>33040</v>
      </c>
      <c r="K7493" t="s">
        <v>36705</v>
      </c>
      <c r="M7493" t="s">
        <v>39206</v>
      </c>
      <c r="N7493" t="s">
        <v>40436</v>
      </c>
      <c r="O7493" t="s">
        <v>40437</v>
      </c>
      <c r="P7493">
        <v>0</v>
      </c>
      <c r="Q7493">
        <v>1</v>
      </c>
      <c r="R7493" t="s">
        <v>40444</v>
      </c>
      <c r="S7493" t="s">
        <v>40676</v>
      </c>
      <c r="T7493" t="s">
        <v>42185</v>
      </c>
      <c r="U7493" t="s">
        <v>48943</v>
      </c>
      <c r="V7493" t="s">
        <v>54452</v>
      </c>
      <c r="W7493" t="s">
        <v>39206</v>
      </c>
      <c r="X7493" t="s">
        <v>40445</v>
      </c>
    </row>
    <row r="7494" spans="1:24">
      <c r="A7494">
        <f>HYPERLINK("https://www.philgeps.gov.ph/GEPSNONPILOT/Tender/SplashBidNoticeAbstractUI.aspx?menuIndex=3&amp;refID=7040232&amp;Result=3","7040232")</f>
        <v>0</v>
      </c>
      <c r="B7494" t="s">
        <v>2301</v>
      </c>
      <c r="C7494" t="s">
        <v>10216</v>
      </c>
      <c r="D7494" t="s">
        <v>16235</v>
      </c>
      <c r="E7494" t="s">
        <v>22879</v>
      </c>
      <c r="F7494" t="s">
        <v>28200</v>
      </c>
      <c r="G7494" t="s">
        <v>28207</v>
      </c>
      <c r="H7494" t="s">
        <v>28215</v>
      </c>
      <c r="I7494" t="s">
        <v>5100</v>
      </c>
      <c r="J7494" t="s">
        <v>28537</v>
      </c>
      <c r="K7494" t="s">
        <v>36693</v>
      </c>
      <c r="M7494" t="s">
        <v>39476</v>
      </c>
      <c r="N7494" t="s">
        <v>40436</v>
      </c>
      <c r="O7494" t="s">
        <v>40437</v>
      </c>
      <c r="P7494">
        <v>0</v>
      </c>
      <c r="Q7494">
        <v>0</v>
      </c>
      <c r="R7494" t="s">
        <v>40444</v>
      </c>
      <c r="S7494" t="s">
        <v>40676</v>
      </c>
      <c r="T7494" t="s">
        <v>42245</v>
      </c>
      <c r="U7494" t="s">
        <v>48944</v>
      </c>
      <c r="W7494" t="s">
        <v>39476</v>
      </c>
      <c r="X7494" t="s">
        <v>40445</v>
      </c>
    </row>
    <row r="7495" spans="1:24">
      <c r="A7495">
        <f>HYPERLINK("https://www.philgeps.gov.ph/GEPSNONPILOT/Tender/SplashBidNoticeAbstractUI.aspx?menuIndex=3&amp;refID=7040215&amp;Result=3","7040215")</f>
        <v>0</v>
      </c>
      <c r="B7495" t="s">
        <v>2235</v>
      </c>
      <c r="C7495" t="s">
        <v>10217</v>
      </c>
      <c r="D7495" t="s">
        <v>16246</v>
      </c>
      <c r="E7495" t="s">
        <v>22880</v>
      </c>
      <c r="F7495" t="s">
        <v>28198</v>
      </c>
      <c r="G7495" t="s">
        <v>28205</v>
      </c>
      <c r="H7495" t="s">
        <v>28214</v>
      </c>
      <c r="I7495" t="s">
        <v>3797</v>
      </c>
      <c r="J7495" t="s">
        <v>30308</v>
      </c>
      <c r="K7495" t="s">
        <v>36689</v>
      </c>
      <c r="M7495" t="s">
        <v>39404</v>
      </c>
      <c r="N7495" t="s">
        <v>40436</v>
      </c>
      <c r="O7495" t="s">
        <v>40437</v>
      </c>
      <c r="P7495">
        <v>0</v>
      </c>
      <c r="Q7495">
        <v>0</v>
      </c>
      <c r="R7495" t="s">
        <v>40444</v>
      </c>
      <c r="S7495" t="s">
        <v>40676</v>
      </c>
      <c r="T7495" t="s">
        <v>42385</v>
      </c>
      <c r="U7495" t="s">
        <v>48945</v>
      </c>
      <c r="V7495" t="s">
        <v>54522</v>
      </c>
      <c r="W7495" t="s">
        <v>39404</v>
      </c>
      <c r="X7495" t="s">
        <v>40445</v>
      </c>
    </row>
    <row r="7496" spans="1:24">
      <c r="A7496">
        <f>HYPERLINK("https://www.philgeps.gov.ph/GEPSNONPILOT/Tender/SplashBidNoticeAbstractUI.aspx?menuIndex=3&amp;refID=7040226&amp;Result=3","7040226")</f>
        <v>0</v>
      </c>
      <c r="B7496" t="s">
        <v>1041</v>
      </c>
      <c r="C7496" t="s">
        <v>10218</v>
      </c>
      <c r="D7496" t="s">
        <v>16190</v>
      </c>
      <c r="E7496" t="s">
        <v>22881</v>
      </c>
      <c r="F7496" t="s">
        <v>28198</v>
      </c>
      <c r="G7496" t="s">
        <v>28206</v>
      </c>
      <c r="H7496" t="s">
        <v>28215</v>
      </c>
      <c r="I7496" t="s">
        <v>5100</v>
      </c>
      <c r="J7496" t="s">
        <v>33041</v>
      </c>
      <c r="K7496" t="s">
        <v>36707</v>
      </c>
      <c r="M7496" t="s">
        <v>38074</v>
      </c>
      <c r="N7496" t="s">
        <v>40436</v>
      </c>
      <c r="O7496" t="s">
        <v>40437</v>
      </c>
      <c r="P7496">
        <v>0</v>
      </c>
      <c r="Q7496">
        <v>0</v>
      </c>
      <c r="R7496" t="s">
        <v>40444</v>
      </c>
      <c r="S7496" t="s">
        <v>40676</v>
      </c>
      <c r="T7496" t="s">
        <v>42185</v>
      </c>
      <c r="U7496" t="s">
        <v>48946</v>
      </c>
      <c r="W7496" t="s">
        <v>38074</v>
      </c>
      <c r="X7496" t="s">
        <v>40445</v>
      </c>
    </row>
    <row r="7497" spans="1:24">
      <c r="A7497">
        <f>HYPERLINK("https://www.philgeps.gov.ph/GEPSNONPILOT/Tender/SplashBidNoticeAbstractUI.aspx?menuIndex=3&amp;refID=7040234&amp;Result=3","7040234")</f>
        <v>0</v>
      </c>
      <c r="B7497" t="s">
        <v>2302</v>
      </c>
      <c r="C7497" t="s">
        <v>10219</v>
      </c>
      <c r="D7497" t="s">
        <v>16210</v>
      </c>
      <c r="E7497" t="s">
        <v>22882</v>
      </c>
      <c r="F7497" t="s">
        <v>28198</v>
      </c>
      <c r="G7497" t="s">
        <v>28205</v>
      </c>
      <c r="H7497" t="s">
        <v>28214</v>
      </c>
      <c r="I7497" t="s">
        <v>3797</v>
      </c>
      <c r="J7497" t="s">
        <v>33042</v>
      </c>
      <c r="K7497" t="s">
        <v>36731</v>
      </c>
      <c r="M7497" t="s">
        <v>39477</v>
      </c>
      <c r="N7497" t="s">
        <v>40436</v>
      </c>
      <c r="O7497" t="s">
        <v>40437</v>
      </c>
      <c r="P7497">
        <v>0</v>
      </c>
      <c r="Q7497">
        <v>7</v>
      </c>
      <c r="R7497" t="s">
        <v>40444</v>
      </c>
      <c r="S7497" t="s">
        <v>40676</v>
      </c>
      <c r="T7497" t="s">
        <v>42171</v>
      </c>
      <c r="U7497" t="s">
        <v>48947</v>
      </c>
      <c r="V7497" t="s">
        <v>54568</v>
      </c>
      <c r="W7497" t="s">
        <v>39477</v>
      </c>
      <c r="X7497" t="s">
        <v>40445</v>
      </c>
    </row>
    <row r="7498" spans="1:24">
      <c r="A7498">
        <f>HYPERLINK("https://www.philgeps.gov.ph/GEPSNONPILOT/Tender/SplashBidNoticeAbstractUI.aspx?menuIndex=3&amp;refID=7040235&amp;Result=3","7040235")</f>
        <v>0</v>
      </c>
      <c r="B7498" t="s">
        <v>171</v>
      </c>
      <c r="C7498" t="s">
        <v>10220</v>
      </c>
      <c r="E7498" t="s">
        <v>22883</v>
      </c>
      <c r="F7498" t="s">
        <v>28198</v>
      </c>
      <c r="G7498" t="s">
        <v>28207</v>
      </c>
      <c r="H7498" t="s">
        <v>28215</v>
      </c>
      <c r="I7498" t="s">
        <v>28239</v>
      </c>
      <c r="J7498" t="s">
        <v>28345</v>
      </c>
      <c r="K7498" t="s">
        <v>36701</v>
      </c>
      <c r="M7498" t="s">
        <v>37145</v>
      </c>
      <c r="N7498" t="s">
        <v>40436</v>
      </c>
      <c r="O7498" t="s">
        <v>40437</v>
      </c>
      <c r="Q7498">
        <v>6</v>
      </c>
      <c r="R7498" t="s">
        <v>40444</v>
      </c>
      <c r="S7498" t="s">
        <v>40723</v>
      </c>
      <c r="T7498" t="s">
        <v>42167</v>
      </c>
      <c r="U7498" t="s">
        <v>48948</v>
      </c>
      <c r="V7498" t="s">
        <v>53823</v>
      </c>
      <c r="W7498" t="s">
        <v>39085</v>
      </c>
      <c r="X7498" t="s">
        <v>40445</v>
      </c>
    </row>
    <row r="7499" spans="1:24">
      <c r="A7499">
        <f>HYPERLINK("https://www.philgeps.gov.ph/GEPSNONPILOT/Tender/SplashBidNoticeAbstractUI.aspx?menuIndex=3&amp;refID=7040228&amp;Result=3","7040228")</f>
        <v>0</v>
      </c>
      <c r="B7499" t="s">
        <v>2303</v>
      </c>
      <c r="C7499" t="s">
        <v>10221</v>
      </c>
      <c r="D7499" t="s">
        <v>16271</v>
      </c>
      <c r="E7499" t="s">
        <v>22884</v>
      </c>
      <c r="F7499" t="s">
        <v>28198</v>
      </c>
      <c r="G7499" t="s">
        <v>28210</v>
      </c>
      <c r="H7499" t="s">
        <v>28215</v>
      </c>
      <c r="I7499" t="s">
        <v>4505</v>
      </c>
      <c r="J7499" t="s">
        <v>33043</v>
      </c>
      <c r="K7499" t="s">
        <v>36701</v>
      </c>
      <c r="M7499" t="s">
        <v>39478</v>
      </c>
      <c r="N7499" t="s">
        <v>40436</v>
      </c>
      <c r="O7499" t="s">
        <v>40437</v>
      </c>
      <c r="P7499">
        <v>0</v>
      </c>
      <c r="Q7499">
        <v>5</v>
      </c>
      <c r="R7499" t="s">
        <v>40444</v>
      </c>
      <c r="S7499" t="s">
        <v>40676</v>
      </c>
      <c r="T7499" t="s">
        <v>42277</v>
      </c>
      <c r="U7499" t="s">
        <v>48949</v>
      </c>
      <c r="W7499" t="s">
        <v>39478</v>
      </c>
      <c r="X7499" t="s">
        <v>40445</v>
      </c>
    </row>
    <row r="7500" spans="1:24">
      <c r="A7500">
        <f>HYPERLINK("https://www.philgeps.gov.ph/GEPSNONPILOT/Tender/SplashBidNoticeAbstractUI.aspx?menuIndex=3&amp;refID=7040221&amp;Result=3","7040221")</f>
        <v>0</v>
      </c>
      <c r="B7500" t="s">
        <v>587</v>
      </c>
      <c r="C7500" t="s">
        <v>10222</v>
      </c>
      <c r="D7500" t="s">
        <v>16230</v>
      </c>
      <c r="E7500" t="s">
        <v>22885</v>
      </c>
      <c r="F7500" t="s">
        <v>28198</v>
      </c>
      <c r="G7500" t="s">
        <v>28205</v>
      </c>
      <c r="H7500" t="s">
        <v>28214</v>
      </c>
      <c r="I7500" t="s">
        <v>8870</v>
      </c>
      <c r="J7500" t="s">
        <v>33044</v>
      </c>
      <c r="K7500" t="s">
        <v>36715</v>
      </c>
      <c r="M7500" t="s">
        <v>37576</v>
      </c>
      <c r="N7500" t="s">
        <v>40436</v>
      </c>
      <c r="O7500" t="s">
        <v>40437</v>
      </c>
      <c r="P7500">
        <v>0</v>
      </c>
      <c r="Q7500">
        <v>2</v>
      </c>
      <c r="R7500" t="s">
        <v>40444</v>
      </c>
      <c r="S7500" t="s">
        <v>40676</v>
      </c>
      <c r="T7500" t="s">
        <v>42218</v>
      </c>
      <c r="U7500" t="s">
        <v>48950</v>
      </c>
      <c r="W7500" t="s">
        <v>37576</v>
      </c>
      <c r="X7500" t="s">
        <v>40445</v>
      </c>
    </row>
    <row r="7501" spans="1:24">
      <c r="A7501">
        <f>HYPERLINK("https://www.philgeps.gov.ph/GEPSNONPILOT/Tender/SplashBidNoticeAbstractUI.aspx?menuIndex=3&amp;refID=7040209&amp;Result=3","7040209")</f>
        <v>0</v>
      </c>
      <c r="B7501" t="s">
        <v>1460</v>
      </c>
      <c r="C7501" t="s">
        <v>10223</v>
      </c>
      <c r="D7501" t="s">
        <v>16230</v>
      </c>
      <c r="E7501" t="s">
        <v>22886</v>
      </c>
      <c r="F7501" t="s">
        <v>28198</v>
      </c>
      <c r="G7501" t="s">
        <v>28205</v>
      </c>
      <c r="H7501" t="s">
        <v>28214</v>
      </c>
      <c r="I7501" t="s">
        <v>3797</v>
      </c>
      <c r="J7501" t="s">
        <v>33045</v>
      </c>
      <c r="K7501" t="s">
        <v>36697</v>
      </c>
      <c r="M7501" t="s">
        <v>38528</v>
      </c>
      <c r="N7501" t="s">
        <v>40436</v>
      </c>
      <c r="O7501" t="s">
        <v>40437</v>
      </c>
      <c r="P7501">
        <v>0</v>
      </c>
      <c r="Q7501">
        <v>1</v>
      </c>
      <c r="R7501" t="s">
        <v>40444</v>
      </c>
      <c r="S7501" t="s">
        <v>40676</v>
      </c>
      <c r="T7501" t="s">
        <v>42279</v>
      </c>
      <c r="U7501" t="s">
        <v>48840</v>
      </c>
      <c r="W7501" t="s">
        <v>38528</v>
      </c>
      <c r="X7501" t="s">
        <v>40445</v>
      </c>
    </row>
    <row r="7502" spans="1:24">
      <c r="A7502">
        <f>HYPERLINK("https://www.philgeps.gov.ph/GEPSNONPILOT/Tender/SplashBidNoticeAbstractUI.aspx?menuIndex=3&amp;refID=7040245&amp;Result=3","7040245")</f>
        <v>0</v>
      </c>
      <c r="B7502" t="s">
        <v>2270</v>
      </c>
      <c r="C7502" t="s">
        <v>10224</v>
      </c>
      <c r="E7502" t="s">
        <v>22887</v>
      </c>
      <c r="F7502" t="s">
        <v>28198</v>
      </c>
      <c r="G7502" t="s">
        <v>28205</v>
      </c>
      <c r="H7502" t="s">
        <v>28215</v>
      </c>
      <c r="I7502" t="s">
        <v>3797</v>
      </c>
      <c r="J7502" t="s">
        <v>28351</v>
      </c>
      <c r="K7502" t="s">
        <v>36714</v>
      </c>
      <c r="M7502" t="s">
        <v>39441</v>
      </c>
      <c r="N7502" t="s">
        <v>40436</v>
      </c>
      <c r="O7502" t="s">
        <v>40437</v>
      </c>
      <c r="P7502">
        <v>0</v>
      </c>
      <c r="Q7502">
        <v>1</v>
      </c>
      <c r="R7502" t="s">
        <v>40444</v>
      </c>
      <c r="S7502" t="s">
        <v>40676</v>
      </c>
      <c r="T7502" t="s">
        <v>42278</v>
      </c>
      <c r="U7502" t="s">
        <v>48951</v>
      </c>
      <c r="W7502" t="s">
        <v>39441</v>
      </c>
      <c r="X7502" t="s">
        <v>40445</v>
      </c>
    </row>
    <row r="7503" spans="1:24">
      <c r="A7503">
        <f>HYPERLINK("https://www.philgeps.gov.ph/GEPSNONPILOT/Tender/SplashBidNoticeAbstractUI.aspx?menuIndex=3&amp;refID=7040279&amp;Result=3","7040279")</f>
        <v>0</v>
      </c>
      <c r="B7503" t="s">
        <v>584</v>
      </c>
      <c r="C7503" t="s">
        <v>3797</v>
      </c>
      <c r="E7503" t="s">
        <v>22888</v>
      </c>
      <c r="F7503" t="s">
        <v>28198</v>
      </c>
      <c r="G7503" t="s">
        <v>28213</v>
      </c>
      <c r="H7503" t="s">
        <v>28214</v>
      </c>
      <c r="I7503" t="s">
        <v>3797</v>
      </c>
      <c r="J7503" t="s">
        <v>29113</v>
      </c>
      <c r="K7503" t="s">
        <v>36688</v>
      </c>
      <c r="M7503" t="s">
        <v>37574</v>
      </c>
      <c r="N7503" t="s">
        <v>40436</v>
      </c>
      <c r="O7503" t="s">
        <v>40437</v>
      </c>
      <c r="P7503">
        <v>0</v>
      </c>
      <c r="Q7503">
        <v>0</v>
      </c>
      <c r="R7503" t="s">
        <v>40444</v>
      </c>
      <c r="S7503" t="s">
        <v>40676</v>
      </c>
      <c r="T7503" t="s">
        <v>42098</v>
      </c>
      <c r="U7503" t="s">
        <v>48952</v>
      </c>
      <c r="W7503" t="s">
        <v>37574</v>
      </c>
      <c r="X7503" t="s">
        <v>40445</v>
      </c>
    </row>
    <row r="7504" spans="1:24">
      <c r="A7504">
        <f>HYPERLINK("https://www.philgeps.gov.ph/GEPSNONPILOT/Tender/SplashBidNoticeAbstractUI.aspx?menuIndex=3&amp;refID=7040193&amp;Result=3","7040193")</f>
        <v>0</v>
      </c>
      <c r="B7504" t="s">
        <v>1354</v>
      </c>
      <c r="C7504" t="s">
        <v>10225</v>
      </c>
      <c r="D7504" t="s">
        <v>16238</v>
      </c>
      <c r="E7504" t="s">
        <v>22889</v>
      </c>
      <c r="F7504" t="s">
        <v>28198</v>
      </c>
      <c r="G7504" t="s">
        <v>28205</v>
      </c>
      <c r="H7504" t="s">
        <v>28215</v>
      </c>
      <c r="I7504" t="s">
        <v>28234</v>
      </c>
      <c r="J7504" t="s">
        <v>28817</v>
      </c>
      <c r="K7504" t="s">
        <v>36701</v>
      </c>
      <c r="M7504" t="s">
        <v>38412</v>
      </c>
      <c r="N7504" t="s">
        <v>40436</v>
      </c>
      <c r="O7504" t="s">
        <v>40437</v>
      </c>
      <c r="P7504">
        <v>0</v>
      </c>
      <c r="Q7504">
        <v>1</v>
      </c>
      <c r="R7504" t="s">
        <v>40444</v>
      </c>
      <c r="S7504" t="s">
        <v>40676</v>
      </c>
      <c r="T7504" t="s">
        <v>42203</v>
      </c>
      <c r="U7504" t="s">
        <v>48953</v>
      </c>
      <c r="W7504" t="s">
        <v>38412</v>
      </c>
      <c r="X7504" t="s">
        <v>40445</v>
      </c>
    </row>
    <row r="7505" spans="1:24">
      <c r="A7505">
        <f>HYPERLINK("https://www.philgeps.gov.ph/GEPSNONPILOT/Tender/SplashBidNoticeAbstractUI.aspx?menuIndex=3&amp;refID=7040277&amp;Result=3","7040277")</f>
        <v>0</v>
      </c>
      <c r="B7505" t="s">
        <v>1341</v>
      </c>
      <c r="C7505" t="s">
        <v>10226</v>
      </c>
      <c r="D7505" t="s">
        <v>16188</v>
      </c>
      <c r="E7505" t="s">
        <v>22890</v>
      </c>
      <c r="F7505" t="s">
        <v>28198</v>
      </c>
      <c r="G7505" t="s">
        <v>28206</v>
      </c>
      <c r="H7505" t="s">
        <v>28215</v>
      </c>
      <c r="I7505" t="s">
        <v>5631</v>
      </c>
      <c r="J7505" t="s">
        <v>33046</v>
      </c>
      <c r="K7505" t="s">
        <v>36689</v>
      </c>
      <c r="M7505" t="s">
        <v>38399</v>
      </c>
      <c r="N7505" t="s">
        <v>40436</v>
      </c>
      <c r="O7505" t="s">
        <v>40437</v>
      </c>
      <c r="P7505">
        <v>0</v>
      </c>
      <c r="Q7505">
        <v>0</v>
      </c>
      <c r="R7505" t="s">
        <v>40444</v>
      </c>
      <c r="S7505" t="s">
        <v>40676</v>
      </c>
      <c r="T7505" t="s">
        <v>42378</v>
      </c>
      <c r="U7505" t="s">
        <v>48954</v>
      </c>
      <c r="W7505" t="s">
        <v>38399</v>
      </c>
      <c r="X7505" t="s">
        <v>40445</v>
      </c>
    </row>
    <row r="7506" spans="1:24">
      <c r="A7506">
        <f>HYPERLINK("https://www.philgeps.gov.ph/GEPSNONPILOT/Tender/SplashBidNoticeAbstractUI.aspx?menuIndex=3&amp;refID=7040229&amp;Result=3","7040229")</f>
        <v>0</v>
      </c>
      <c r="B7506" t="s">
        <v>2304</v>
      </c>
      <c r="C7506" t="s">
        <v>10227</v>
      </c>
      <c r="D7506" t="s">
        <v>16241</v>
      </c>
      <c r="E7506" t="s">
        <v>22891</v>
      </c>
      <c r="F7506" t="s">
        <v>28198</v>
      </c>
      <c r="G7506" t="s">
        <v>28205</v>
      </c>
      <c r="H7506" t="s">
        <v>28215</v>
      </c>
      <c r="I7506" t="s">
        <v>5100</v>
      </c>
      <c r="J7506" t="s">
        <v>33047</v>
      </c>
      <c r="K7506" t="s">
        <v>36689</v>
      </c>
      <c r="M7506" t="s">
        <v>39479</v>
      </c>
      <c r="N7506" t="s">
        <v>40436</v>
      </c>
      <c r="O7506" t="s">
        <v>40437</v>
      </c>
      <c r="Q7506">
        <v>1</v>
      </c>
      <c r="R7506" t="s">
        <v>40444</v>
      </c>
      <c r="S7506" t="s">
        <v>40724</v>
      </c>
      <c r="T7506" t="s">
        <v>42165</v>
      </c>
      <c r="U7506" t="s">
        <v>48955</v>
      </c>
      <c r="W7506" t="s">
        <v>39479</v>
      </c>
      <c r="X7506" t="s">
        <v>40445</v>
      </c>
    </row>
    <row r="7507" spans="1:24">
      <c r="A7507">
        <f>HYPERLINK("https://www.philgeps.gov.ph/GEPSNONPILOT/Tender/SplashBidNoticeAbstractUI.aspx?menuIndex=3&amp;refID=7040246&amp;Result=3","7040246")</f>
        <v>0</v>
      </c>
      <c r="B7507" t="s">
        <v>1801</v>
      </c>
      <c r="C7507" t="s">
        <v>10228</v>
      </c>
      <c r="D7507" t="s">
        <v>16192</v>
      </c>
      <c r="E7507" t="s">
        <v>22892</v>
      </c>
      <c r="F7507" t="s">
        <v>28198</v>
      </c>
      <c r="G7507" t="s">
        <v>28205</v>
      </c>
      <c r="H7507" t="s">
        <v>28215</v>
      </c>
      <c r="I7507" t="s">
        <v>28234</v>
      </c>
      <c r="J7507" t="s">
        <v>28464</v>
      </c>
      <c r="K7507" t="s">
        <v>36694</v>
      </c>
      <c r="M7507" t="s">
        <v>39480</v>
      </c>
      <c r="N7507" t="s">
        <v>40436</v>
      </c>
      <c r="O7507" t="s">
        <v>40437</v>
      </c>
      <c r="P7507">
        <v>0</v>
      </c>
      <c r="Q7507">
        <v>8</v>
      </c>
      <c r="R7507" t="s">
        <v>40444</v>
      </c>
      <c r="S7507" t="s">
        <v>40676</v>
      </c>
      <c r="T7507" t="s">
        <v>42244</v>
      </c>
      <c r="U7507" t="s">
        <v>48956</v>
      </c>
      <c r="W7507" t="s">
        <v>39480</v>
      </c>
      <c r="X7507" t="s">
        <v>40445</v>
      </c>
    </row>
    <row r="7508" spans="1:24">
      <c r="A7508">
        <f>HYPERLINK("https://www.philgeps.gov.ph/GEPSNONPILOT/Tender/SplashBidNoticeAbstractUI.aspx?menuIndex=3&amp;refID=7040263&amp;Result=3","7040263")</f>
        <v>0</v>
      </c>
      <c r="B7508" t="s">
        <v>587</v>
      </c>
      <c r="C7508" t="s">
        <v>10229</v>
      </c>
      <c r="D7508" t="s">
        <v>16230</v>
      </c>
      <c r="E7508" t="s">
        <v>19068</v>
      </c>
      <c r="F7508" t="s">
        <v>28198</v>
      </c>
      <c r="G7508" t="s">
        <v>28209</v>
      </c>
      <c r="H7508" t="s">
        <v>28215</v>
      </c>
      <c r="I7508" t="s">
        <v>28238</v>
      </c>
      <c r="J7508" t="s">
        <v>28345</v>
      </c>
      <c r="K7508" t="s">
        <v>36707</v>
      </c>
      <c r="M7508" t="s">
        <v>37576</v>
      </c>
      <c r="N7508" t="s">
        <v>40436</v>
      </c>
      <c r="O7508" t="s">
        <v>40437</v>
      </c>
      <c r="P7508">
        <v>0</v>
      </c>
      <c r="Q7508">
        <v>2</v>
      </c>
      <c r="R7508" t="s">
        <v>40444</v>
      </c>
      <c r="S7508" t="s">
        <v>40676</v>
      </c>
      <c r="T7508" t="s">
        <v>42218</v>
      </c>
      <c r="U7508" t="s">
        <v>48957</v>
      </c>
      <c r="W7508" t="s">
        <v>37576</v>
      </c>
      <c r="X7508" t="s">
        <v>40445</v>
      </c>
    </row>
    <row r="7509" spans="1:24">
      <c r="A7509">
        <f>HYPERLINK("https://www.philgeps.gov.ph/GEPSNONPILOT/Tender/SplashBidNoticeAbstractUI.aspx?menuIndex=3&amp;refID=7040244&amp;Result=3","7040244")</f>
        <v>0</v>
      </c>
      <c r="B7509" t="s">
        <v>2294</v>
      </c>
      <c r="C7509" t="s">
        <v>10230</v>
      </c>
      <c r="D7509" t="s">
        <v>16262</v>
      </c>
      <c r="E7509" t="s">
        <v>22893</v>
      </c>
      <c r="F7509" t="s">
        <v>28198</v>
      </c>
      <c r="G7509" t="s">
        <v>28205</v>
      </c>
      <c r="H7509" t="s">
        <v>28214</v>
      </c>
      <c r="I7509" t="s">
        <v>3797</v>
      </c>
      <c r="J7509" t="s">
        <v>33048</v>
      </c>
      <c r="K7509" t="s">
        <v>36859</v>
      </c>
      <c r="M7509" t="s">
        <v>39469</v>
      </c>
      <c r="N7509" t="s">
        <v>40436</v>
      </c>
      <c r="O7509" t="s">
        <v>40437</v>
      </c>
      <c r="P7509">
        <v>0</v>
      </c>
      <c r="Q7509">
        <v>0</v>
      </c>
      <c r="R7509" t="s">
        <v>40444</v>
      </c>
      <c r="S7509" t="s">
        <v>40676</v>
      </c>
      <c r="T7509" t="s">
        <v>42234</v>
      </c>
      <c r="U7509" t="s">
        <v>48958</v>
      </c>
      <c r="V7509" t="s">
        <v>54569</v>
      </c>
      <c r="W7509" t="s">
        <v>39469</v>
      </c>
      <c r="X7509" t="s">
        <v>40445</v>
      </c>
    </row>
    <row r="7510" spans="1:24">
      <c r="A7510">
        <f>HYPERLINK("https://www.philgeps.gov.ph/GEPSNONPILOT/Tender/SplashBidNoticeAbstractUI.aspx?menuIndex=3&amp;refID=7040194&amp;Result=3","7040194")</f>
        <v>0</v>
      </c>
      <c r="B7510" t="s">
        <v>2302</v>
      </c>
      <c r="C7510" t="s">
        <v>10231</v>
      </c>
      <c r="D7510" t="s">
        <v>16210</v>
      </c>
      <c r="E7510" t="s">
        <v>22894</v>
      </c>
      <c r="F7510" t="s">
        <v>28198</v>
      </c>
      <c r="G7510" t="s">
        <v>28205</v>
      </c>
      <c r="H7510" t="s">
        <v>28214</v>
      </c>
      <c r="I7510" t="s">
        <v>3797</v>
      </c>
      <c r="J7510" t="s">
        <v>33049</v>
      </c>
      <c r="K7510" t="s">
        <v>36690</v>
      </c>
      <c r="M7510" t="s">
        <v>39477</v>
      </c>
      <c r="N7510" t="s">
        <v>40436</v>
      </c>
      <c r="O7510" t="s">
        <v>40437</v>
      </c>
      <c r="P7510">
        <v>0</v>
      </c>
      <c r="Q7510">
        <v>3</v>
      </c>
      <c r="R7510" t="s">
        <v>40444</v>
      </c>
      <c r="S7510" t="s">
        <v>40676</v>
      </c>
      <c r="T7510" t="s">
        <v>42171</v>
      </c>
      <c r="U7510" t="s">
        <v>48959</v>
      </c>
      <c r="V7510" t="s">
        <v>54568</v>
      </c>
      <c r="W7510" t="s">
        <v>39477</v>
      </c>
      <c r="X7510" t="s">
        <v>40445</v>
      </c>
    </row>
    <row r="7511" spans="1:24">
      <c r="A7511">
        <f>HYPERLINK("https://www.philgeps.gov.ph/GEPSNONPILOT/Tender/SplashBidNoticeAbstractUI.aspx?menuIndex=3&amp;refID=7040296&amp;Result=3","7040296")</f>
        <v>0</v>
      </c>
      <c r="B7511" t="s">
        <v>2305</v>
      </c>
      <c r="C7511" t="s">
        <v>10232</v>
      </c>
      <c r="D7511" t="s">
        <v>16197</v>
      </c>
      <c r="E7511" t="s">
        <v>16522</v>
      </c>
      <c r="F7511" t="s">
        <v>28200</v>
      </c>
      <c r="G7511" t="s">
        <v>28205</v>
      </c>
      <c r="H7511" t="s">
        <v>28215</v>
      </c>
      <c r="I7511" t="s">
        <v>5100</v>
      </c>
      <c r="J7511" t="s">
        <v>33050</v>
      </c>
      <c r="K7511" t="s">
        <v>36707</v>
      </c>
      <c r="M7511" t="s">
        <v>39481</v>
      </c>
      <c r="N7511" t="s">
        <v>40436</v>
      </c>
      <c r="O7511" t="s">
        <v>40437</v>
      </c>
      <c r="P7511">
        <v>0</v>
      </c>
      <c r="Q7511">
        <v>0</v>
      </c>
      <c r="R7511" t="s">
        <v>40444</v>
      </c>
      <c r="S7511" t="s">
        <v>40676</v>
      </c>
      <c r="T7511" t="s">
        <v>42287</v>
      </c>
      <c r="U7511" t="s">
        <v>48960</v>
      </c>
      <c r="W7511" t="s">
        <v>39481</v>
      </c>
      <c r="X7511" t="s">
        <v>40445</v>
      </c>
    </row>
    <row r="7512" spans="1:24">
      <c r="A7512">
        <f>HYPERLINK("https://www.philgeps.gov.ph/GEPSNONPILOT/Tender/SplashBidNoticeAbstractUI.aspx?menuIndex=3&amp;refID=7040266&amp;Result=3","7040266")</f>
        <v>0</v>
      </c>
      <c r="B7512" t="s">
        <v>1354</v>
      </c>
      <c r="C7512" t="s">
        <v>10233</v>
      </c>
      <c r="D7512" t="s">
        <v>16238</v>
      </c>
      <c r="E7512" t="s">
        <v>10233</v>
      </c>
      <c r="F7512" t="s">
        <v>28198</v>
      </c>
      <c r="G7512" t="s">
        <v>28205</v>
      </c>
      <c r="H7512" t="s">
        <v>28215</v>
      </c>
      <c r="I7512" t="s">
        <v>4168</v>
      </c>
      <c r="J7512" t="s">
        <v>33051</v>
      </c>
      <c r="K7512" t="s">
        <v>36701</v>
      </c>
      <c r="M7512" t="s">
        <v>38412</v>
      </c>
      <c r="N7512" t="s">
        <v>40436</v>
      </c>
      <c r="O7512" t="s">
        <v>40437</v>
      </c>
      <c r="P7512">
        <v>0</v>
      </c>
      <c r="Q7512">
        <v>1</v>
      </c>
      <c r="R7512" t="s">
        <v>40444</v>
      </c>
      <c r="S7512" t="s">
        <v>40676</v>
      </c>
      <c r="T7512" t="s">
        <v>42203</v>
      </c>
      <c r="U7512" t="s">
        <v>48961</v>
      </c>
      <c r="W7512" t="s">
        <v>38412</v>
      </c>
      <c r="X7512" t="s">
        <v>40445</v>
      </c>
    </row>
    <row r="7513" spans="1:24">
      <c r="A7513">
        <f>HYPERLINK("https://www.philgeps.gov.ph/GEPSNONPILOT/Tender/SplashBidNoticeAbstractUI.aspx?menuIndex=3&amp;refID=7040295&amp;Result=3","7040295")</f>
        <v>0</v>
      </c>
      <c r="B7513" t="s">
        <v>2283</v>
      </c>
      <c r="C7513" t="s">
        <v>10234</v>
      </c>
      <c r="D7513" t="s">
        <v>16225</v>
      </c>
      <c r="E7513" t="s">
        <v>22895</v>
      </c>
      <c r="F7513" t="s">
        <v>28198</v>
      </c>
      <c r="G7513" t="s">
        <v>28205</v>
      </c>
      <c r="H7513" t="s">
        <v>28214</v>
      </c>
      <c r="I7513" t="s">
        <v>3797</v>
      </c>
      <c r="J7513" t="s">
        <v>33052</v>
      </c>
      <c r="K7513" t="s">
        <v>36860</v>
      </c>
      <c r="M7513" t="s">
        <v>39455</v>
      </c>
      <c r="N7513" t="s">
        <v>40436</v>
      </c>
      <c r="O7513" t="s">
        <v>40437</v>
      </c>
      <c r="P7513">
        <v>0</v>
      </c>
      <c r="Q7513">
        <v>0</v>
      </c>
      <c r="R7513" t="s">
        <v>40444</v>
      </c>
      <c r="S7513" t="s">
        <v>40676</v>
      </c>
      <c r="T7513" t="s">
        <v>42245</v>
      </c>
      <c r="U7513" t="s">
        <v>48962</v>
      </c>
      <c r="V7513" t="s">
        <v>54570</v>
      </c>
      <c r="W7513" t="s">
        <v>39455</v>
      </c>
      <c r="X7513" t="s">
        <v>40445</v>
      </c>
    </row>
    <row r="7514" spans="1:24">
      <c r="A7514">
        <f>HYPERLINK("https://www.philgeps.gov.ph/GEPSNONPILOT/Tender/SplashBidNoticeAbstractUI.aspx?menuIndex=3&amp;refID=7040269&amp;Result=3","7040269")</f>
        <v>0</v>
      </c>
      <c r="B7514" t="s">
        <v>250</v>
      </c>
      <c r="C7514" t="s">
        <v>10235</v>
      </c>
      <c r="D7514" t="s">
        <v>16190</v>
      </c>
      <c r="E7514" t="s">
        <v>22896</v>
      </c>
      <c r="F7514" t="s">
        <v>28198</v>
      </c>
      <c r="G7514" t="s">
        <v>28205</v>
      </c>
      <c r="H7514" t="s">
        <v>28215</v>
      </c>
      <c r="I7514" t="s">
        <v>28258</v>
      </c>
      <c r="J7514" t="s">
        <v>33053</v>
      </c>
      <c r="K7514" t="s">
        <v>36701</v>
      </c>
      <c r="M7514" t="s">
        <v>37226</v>
      </c>
      <c r="N7514" t="s">
        <v>40436</v>
      </c>
      <c r="O7514" t="s">
        <v>40437</v>
      </c>
      <c r="P7514">
        <v>0</v>
      </c>
      <c r="Q7514">
        <v>3</v>
      </c>
      <c r="R7514" t="s">
        <v>40444</v>
      </c>
      <c r="S7514" t="s">
        <v>40676</v>
      </c>
      <c r="T7514" t="s">
        <v>42233</v>
      </c>
      <c r="U7514" t="s">
        <v>48963</v>
      </c>
      <c r="W7514" t="s">
        <v>37226</v>
      </c>
      <c r="X7514" t="s">
        <v>40445</v>
      </c>
    </row>
    <row r="7515" spans="1:24">
      <c r="A7515">
        <f>HYPERLINK("https://www.philgeps.gov.ph/GEPSNONPILOT/Tender/SplashBidNoticeAbstractUI.aspx?menuIndex=3&amp;refID=7040288&amp;Result=3","7040288")</f>
        <v>0</v>
      </c>
      <c r="B7515" t="s">
        <v>587</v>
      </c>
      <c r="C7515" t="s">
        <v>10236</v>
      </c>
      <c r="D7515" t="s">
        <v>16230</v>
      </c>
      <c r="E7515" t="s">
        <v>19329</v>
      </c>
      <c r="F7515" t="s">
        <v>28198</v>
      </c>
      <c r="G7515" t="s">
        <v>28209</v>
      </c>
      <c r="H7515" t="s">
        <v>28215</v>
      </c>
      <c r="I7515" t="s">
        <v>28228</v>
      </c>
      <c r="J7515" t="s">
        <v>33054</v>
      </c>
      <c r="K7515" t="s">
        <v>36707</v>
      </c>
      <c r="M7515" t="s">
        <v>37576</v>
      </c>
      <c r="N7515" t="s">
        <v>40436</v>
      </c>
      <c r="O7515" t="s">
        <v>40437</v>
      </c>
      <c r="P7515">
        <v>0</v>
      </c>
      <c r="Q7515">
        <v>1</v>
      </c>
      <c r="R7515" t="s">
        <v>40444</v>
      </c>
      <c r="S7515" t="s">
        <v>40676</v>
      </c>
      <c r="T7515" t="s">
        <v>42218</v>
      </c>
      <c r="U7515" t="s">
        <v>48957</v>
      </c>
      <c r="W7515" t="s">
        <v>37576</v>
      </c>
      <c r="X7515" t="s">
        <v>40445</v>
      </c>
    </row>
    <row r="7516" spans="1:24">
      <c r="A7516">
        <f>HYPERLINK("https://www.philgeps.gov.ph/GEPSNONPILOT/Tender/SplashBidNoticeAbstractUI.aspx?menuIndex=3&amp;refID=7040285&amp;Result=3","7040285")</f>
        <v>0</v>
      </c>
      <c r="B7516" t="s">
        <v>2306</v>
      </c>
      <c r="C7516" t="s">
        <v>10237</v>
      </c>
      <c r="D7516" t="s">
        <v>16209</v>
      </c>
      <c r="E7516" t="s">
        <v>22897</v>
      </c>
      <c r="F7516" t="s">
        <v>28198</v>
      </c>
      <c r="G7516" t="s">
        <v>28205</v>
      </c>
      <c r="H7516" t="s">
        <v>28215</v>
      </c>
      <c r="I7516" t="s">
        <v>8888</v>
      </c>
      <c r="J7516" t="s">
        <v>33055</v>
      </c>
      <c r="K7516" t="s">
        <v>36701</v>
      </c>
      <c r="M7516" t="s">
        <v>39482</v>
      </c>
      <c r="N7516" t="s">
        <v>40436</v>
      </c>
      <c r="O7516" t="s">
        <v>40437</v>
      </c>
      <c r="P7516">
        <v>0</v>
      </c>
      <c r="Q7516">
        <v>2</v>
      </c>
      <c r="R7516" t="s">
        <v>40444</v>
      </c>
      <c r="S7516" t="s">
        <v>40676</v>
      </c>
      <c r="T7516" t="s">
        <v>42372</v>
      </c>
      <c r="U7516" t="s">
        <v>48964</v>
      </c>
      <c r="W7516" t="s">
        <v>39482</v>
      </c>
      <c r="X7516" t="s">
        <v>40445</v>
      </c>
    </row>
    <row r="7517" spans="1:24">
      <c r="A7517">
        <f>HYPERLINK("https://www.philgeps.gov.ph/GEPSNONPILOT/Tender/SplashBidNoticeAbstractUI.aspx?menuIndex=3&amp;refID=7040291&amp;Result=3","7040291")</f>
        <v>0</v>
      </c>
      <c r="B7517" t="s">
        <v>2227</v>
      </c>
      <c r="C7517" t="s">
        <v>10238</v>
      </c>
      <c r="D7517" t="s">
        <v>16233</v>
      </c>
      <c r="E7517" t="s">
        <v>22898</v>
      </c>
      <c r="F7517" t="s">
        <v>28198</v>
      </c>
      <c r="G7517" t="s">
        <v>28205</v>
      </c>
      <c r="H7517" t="s">
        <v>28214</v>
      </c>
      <c r="I7517" t="s">
        <v>3797</v>
      </c>
      <c r="J7517" t="s">
        <v>33056</v>
      </c>
      <c r="K7517" t="s">
        <v>36817</v>
      </c>
      <c r="M7517" t="s">
        <v>39395</v>
      </c>
      <c r="N7517" t="s">
        <v>40436</v>
      </c>
      <c r="O7517" t="s">
        <v>40437</v>
      </c>
      <c r="P7517">
        <v>0</v>
      </c>
      <c r="Q7517">
        <v>1</v>
      </c>
      <c r="R7517" t="s">
        <v>40444</v>
      </c>
      <c r="S7517" t="s">
        <v>40676</v>
      </c>
      <c r="T7517" t="s">
        <v>42113</v>
      </c>
      <c r="U7517" t="s">
        <v>48965</v>
      </c>
      <c r="W7517" t="s">
        <v>39395</v>
      </c>
      <c r="X7517" t="s">
        <v>40445</v>
      </c>
    </row>
    <row r="7518" spans="1:24">
      <c r="A7518">
        <f>HYPERLINK("https://www.philgeps.gov.ph/GEPSNONPILOT/Tender/SplashBidNoticeAbstractUI.aspx?menuIndex=3&amp;refID=7040293&amp;Result=3","7040293")</f>
        <v>0</v>
      </c>
      <c r="B7518" t="s">
        <v>1461</v>
      </c>
      <c r="C7518" t="s">
        <v>10239</v>
      </c>
      <c r="D7518" t="s">
        <v>16238</v>
      </c>
      <c r="E7518" t="s">
        <v>22899</v>
      </c>
      <c r="F7518" t="s">
        <v>28198</v>
      </c>
      <c r="G7518" t="s">
        <v>28212</v>
      </c>
      <c r="H7518" t="s">
        <v>28215</v>
      </c>
      <c r="I7518" t="s">
        <v>28234</v>
      </c>
      <c r="J7518" t="s">
        <v>32634</v>
      </c>
      <c r="K7518" t="s">
        <v>36687</v>
      </c>
      <c r="M7518" t="s">
        <v>38530</v>
      </c>
      <c r="N7518" t="s">
        <v>40436</v>
      </c>
      <c r="O7518" t="s">
        <v>40437</v>
      </c>
      <c r="P7518">
        <v>0</v>
      </c>
      <c r="Q7518">
        <v>1</v>
      </c>
      <c r="R7518" t="s">
        <v>40444</v>
      </c>
      <c r="S7518" t="s">
        <v>40676</v>
      </c>
      <c r="T7518" t="s">
        <v>42233</v>
      </c>
      <c r="U7518" t="s">
        <v>48966</v>
      </c>
      <c r="W7518" t="s">
        <v>38530</v>
      </c>
      <c r="X7518" t="s">
        <v>40445</v>
      </c>
    </row>
    <row r="7519" spans="1:24">
      <c r="A7519">
        <f>HYPERLINK("https://www.philgeps.gov.ph/GEPSNONPILOT/Tender/SplashBidNoticeAbstractUI.aspx?menuIndex=3&amp;refID=7040261&amp;Result=3","7040261")</f>
        <v>0</v>
      </c>
      <c r="B7519" t="s">
        <v>1907</v>
      </c>
      <c r="C7519" t="s">
        <v>10240</v>
      </c>
      <c r="D7519" t="s">
        <v>16251</v>
      </c>
      <c r="E7519" t="s">
        <v>22900</v>
      </c>
      <c r="F7519" t="s">
        <v>28198</v>
      </c>
      <c r="G7519" t="s">
        <v>28206</v>
      </c>
      <c r="H7519" t="s">
        <v>28215</v>
      </c>
      <c r="I7519" t="s">
        <v>4168</v>
      </c>
      <c r="J7519" t="s">
        <v>28350</v>
      </c>
      <c r="K7519" t="s">
        <v>36688</v>
      </c>
      <c r="M7519" t="s">
        <v>39039</v>
      </c>
      <c r="N7519" t="s">
        <v>40436</v>
      </c>
      <c r="O7519" t="s">
        <v>40437</v>
      </c>
      <c r="P7519">
        <v>0</v>
      </c>
      <c r="Q7519">
        <v>2</v>
      </c>
      <c r="R7519" t="s">
        <v>40444</v>
      </c>
      <c r="S7519" t="s">
        <v>40676</v>
      </c>
      <c r="T7519" t="s">
        <v>42233</v>
      </c>
      <c r="U7519" t="s">
        <v>48386</v>
      </c>
      <c r="W7519" t="s">
        <v>39039</v>
      </c>
      <c r="X7519" t="s">
        <v>40445</v>
      </c>
    </row>
    <row r="7520" spans="1:24">
      <c r="A7520">
        <f>HYPERLINK("https://www.philgeps.gov.ph/GEPSNONPILOT/Tender/SplashBidNoticeAbstractUI.aspx?menuIndex=3&amp;refID=7040256&amp;Result=3","7040256")</f>
        <v>0</v>
      </c>
      <c r="B7520" t="s">
        <v>2307</v>
      </c>
      <c r="C7520" t="s">
        <v>10241</v>
      </c>
      <c r="D7520" t="s">
        <v>16234</v>
      </c>
      <c r="E7520" t="s">
        <v>22901</v>
      </c>
      <c r="F7520" t="s">
        <v>28198</v>
      </c>
      <c r="G7520" t="s">
        <v>28205</v>
      </c>
      <c r="H7520" t="s">
        <v>28215</v>
      </c>
      <c r="I7520" t="s">
        <v>5100</v>
      </c>
      <c r="J7520" t="s">
        <v>33057</v>
      </c>
      <c r="K7520" t="s">
        <v>36706</v>
      </c>
      <c r="M7520" t="s">
        <v>39483</v>
      </c>
      <c r="N7520" t="s">
        <v>40436</v>
      </c>
      <c r="O7520" t="s">
        <v>40437</v>
      </c>
      <c r="P7520">
        <v>0</v>
      </c>
      <c r="Q7520">
        <v>2</v>
      </c>
      <c r="R7520" t="s">
        <v>40444</v>
      </c>
      <c r="S7520" t="s">
        <v>40676</v>
      </c>
      <c r="T7520" t="s">
        <v>42228</v>
      </c>
      <c r="U7520" t="s">
        <v>48967</v>
      </c>
      <c r="W7520" t="s">
        <v>39483</v>
      </c>
      <c r="X7520" t="s">
        <v>40445</v>
      </c>
    </row>
    <row r="7521" spans="1:24">
      <c r="A7521">
        <f>HYPERLINK("https://www.philgeps.gov.ph/GEPSNONPILOT/Tender/SplashBidNoticeAbstractUI.aspx?menuIndex=3&amp;refID=7040262&amp;Result=3","7040262")</f>
        <v>0</v>
      </c>
      <c r="B7521" t="s">
        <v>72</v>
      </c>
      <c r="C7521" t="s">
        <v>10242</v>
      </c>
      <c r="E7521" t="s">
        <v>22902</v>
      </c>
      <c r="F7521" t="s">
        <v>28198</v>
      </c>
      <c r="G7521" t="s">
        <v>28205</v>
      </c>
      <c r="H7521" t="s">
        <v>28215</v>
      </c>
      <c r="I7521" t="s">
        <v>28221</v>
      </c>
      <c r="J7521" t="s">
        <v>33058</v>
      </c>
      <c r="K7521" t="s">
        <v>36701</v>
      </c>
      <c r="M7521" t="s">
        <v>39403</v>
      </c>
      <c r="N7521" t="s">
        <v>40436</v>
      </c>
      <c r="O7521" t="s">
        <v>40437</v>
      </c>
      <c r="P7521">
        <v>0</v>
      </c>
      <c r="Q7521">
        <v>9</v>
      </c>
      <c r="R7521" t="s">
        <v>40444</v>
      </c>
      <c r="S7521" t="s">
        <v>40676</v>
      </c>
      <c r="T7521" t="s">
        <v>42435</v>
      </c>
      <c r="U7521" t="s">
        <v>48968</v>
      </c>
      <c r="W7521" t="s">
        <v>39403</v>
      </c>
      <c r="X7521" t="s">
        <v>40445</v>
      </c>
    </row>
    <row r="7522" spans="1:24">
      <c r="A7522">
        <f>HYPERLINK("https://www.philgeps.gov.ph/GEPSNONPILOT/Tender/SplashBidNoticeAbstractUI.aspx?menuIndex=3&amp;refID=7040249&amp;Result=3","7040249")</f>
        <v>0</v>
      </c>
      <c r="B7522" t="s">
        <v>1186</v>
      </c>
      <c r="C7522" t="s">
        <v>10243</v>
      </c>
      <c r="D7522" t="s">
        <v>16199</v>
      </c>
      <c r="E7522" t="s">
        <v>22903</v>
      </c>
      <c r="F7522" t="s">
        <v>28198</v>
      </c>
      <c r="G7522" t="s">
        <v>28205</v>
      </c>
      <c r="H7522" t="s">
        <v>28214</v>
      </c>
      <c r="I7522" t="s">
        <v>3797</v>
      </c>
      <c r="J7522" t="s">
        <v>30244</v>
      </c>
      <c r="K7522" t="s">
        <v>36701</v>
      </c>
      <c r="M7522" t="s">
        <v>38228</v>
      </c>
      <c r="N7522" t="s">
        <v>40436</v>
      </c>
      <c r="O7522" t="s">
        <v>40437</v>
      </c>
      <c r="P7522">
        <v>0</v>
      </c>
      <c r="Q7522">
        <v>0</v>
      </c>
      <c r="R7522" t="s">
        <v>40444</v>
      </c>
      <c r="S7522" t="s">
        <v>40676</v>
      </c>
      <c r="T7522" t="s">
        <v>42373</v>
      </c>
      <c r="U7522" t="s">
        <v>48969</v>
      </c>
      <c r="V7522" t="s">
        <v>54134</v>
      </c>
      <c r="W7522" t="s">
        <v>38228</v>
      </c>
      <c r="X7522" t="s">
        <v>40445</v>
      </c>
    </row>
    <row r="7523" spans="1:24">
      <c r="A7523">
        <f>HYPERLINK("https://www.philgeps.gov.ph/GEPSNONPILOT/Tender/SplashBidNoticeAbstractUI.aspx?menuIndex=3&amp;refID=7040253&amp;Result=3","7040253")</f>
        <v>0</v>
      </c>
      <c r="B7523" t="s">
        <v>2290</v>
      </c>
      <c r="C7523" t="s">
        <v>10244</v>
      </c>
      <c r="D7523" t="s">
        <v>16262</v>
      </c>
      <c r="E7523" t="s">
        <v>22904</v>
      </c>
      <c r="F7523" t="s">
        <v>28198</v>
      </c>
      <c r="G7523" t="s">
        <v>28205</v>
      </c>
      <c r="H7523" t="s">
        <v>28215</v>
      </c>
      <c r="I7523" t="s">
        <v>5082</v>
      </c>
      <c r="J7523" t="s">
        <v>33059</v>
      </c>
      <c r="K7523" t="s">
        <v>36689</v>
      </c>
      <c r="M7523" t="s">
        <v>39464</v>
      </c>
      <c r="N7523" t="s">
        <v>40436</v>
      </c>
      <c r="O7523" t="s">
        <v>40437</v>
      </c>
      <c r="P7523">
        <v>0</v>
      </c>
      <c r="Q7523">
        <v>0</v>
      </c>
      <c r="R7523" t="s">
        <v>40444</v>
      </c>
      <c r="S7523" t="s">
        <v>40676</v>
      </c>
      <c r="T7523" t="s">
        <v>42100</v>
      </c>
      <c r="U7523" t="s">
        <v>48970</v>
      </c>
      <c r="W7523" t="s">
        <v>39464</v>
      </c>
      <c r="X7523" t="s">
        <v>40445</v>
      </c>
    </row>
    <row r="7524" spans="1:24">
      <c r="A7524">
        <f>HYPERLINK("https://www.philgeps.gov.ph/GEPSNONPILOT/Tender/SplashBidNoticeAbstractUI.aspx?menuIndex=3&amp;refID=7040297&amp;Result=3","7040297")</f>
        <v>0</v>
      </c>
      <c r="B7524" t="s">
        <v>1354</v>
      </c>
      <c r="C7524" t="s">
        <v>10245</v>
      </c>
      <c r="D7524" t="s">
        <v>16238</v>
      </c>
      <c r="E7524" t="s">
        <v>22905</v>
      </c>
      <c r="F7524" t="s">
        <v>28198</v>
      </c>
      <c r="G7524" t="s">
        <v>28205</v>
      </c>
      <c r="H7524" t="s">
        <v>28215</v>
      </c>
      <c r="I7524" t="s">
        <v>3774</v>
      </c>
      <c r="J7524" t="s">
        <v>33060</v>
      </c>
      <c r="K7524" t="s">
        <v>36701</v>
      </c>
      <c r="M7524" t="s">
        <v>38412</v>
      </c>
      <c r="N7524" t="s">
        <v>40436</v>
      </c>
      <c r="O7524" t="s">
        <v>40437</v>
      </c>
      <c r="P7524">
        <v>0</v>
      </c>
      <c r="Q7524">
        <v>0</v>
      </c>
      <c r="R7524" t="s">
        <v>40444</v>
      </c>
      <c r="S7524" t="s">
        <v>40676</v>
      </c>
      <c r="T7524" t="s">
        <v>42203</v>
      </c>
      <c r="U7524" t="s">
        <v>48971</v>
      </c>
      <c r="W7524" t="s">
        <v>38412</v>
      </c>
      <c r="X7524" t="s">
        <v>40445</v>
      </c>
    </row>
    <row r="7525" spans="1:24">
      <c r="A7525">
        <f>HYPERLINK("https://www.philgeps.gov.ph/GEPSNONPILOT/Tender/SplashBidNoticeAbstractUI.aspx?menuIndex=3&amp;refID=7040255&amp;Result=3","7040255")</f>
        <v>0</v>
      </c>
      <c r="B7525" t="s">
        <v>583</v>
      </c>
      <c r="C7525" t="s">
        <v>4494</v>
      </c>
      <c r="D7525" t="s">
        <v>16244</v>
      </c>
      <c r="E7525" t="s">
        <v>22906</v>
      </c>
      <c r="F7525" t="s">
        <v>28198</v>
      </c>
      <c r="G7525" t="s">
        <v>28206</v>
      </c>
      <c r="H7525" t="s">
        <v>28215</v>
      </c>
      <c r="I7525" t="s">
        <v>4200</v>
      </c>
      <c r="J7525" t="s">
        <v>28415</v>
      </c>
      <c r="K7525" t="s">
        <v>36687</v>
      </c>
      <c r="M7525" t="s">
        <v>39329</v>
      </c>
      <c r="N7525" t="s">
        <v>40436</v>
      </c>
      <c r="O7525" t="s">
        <v>40437</v>
      </c>
      <c r="P7525">
        <v>0</v>
      </c>
      <c r="Q7525">
        <v>2</v>
      </c>
      <c r="R7525" t="s">
        <v>40444</v>
      </c>
      <c r="S7525" t="s">
        <v>40676</v>
      </c>
      <c r="T7525" t="s">
        <v>42245</v>
      </c>
      <c r="U7525" t="s">
        <v>48972</v>
      </c>
      <c r="W7525" t="s">
        <v>39329</v>
      </c>
      <c r="X7525" t="s">
        <v>40445</v>
      </c>
    </row>
    <row r="7526" spans="1:24">
      <c r="A7526">
        <f>HYPERLINK("https://www.philgeps.gov.ph/GEPSNONPILOT/Tender/SplashBidNoticeAbstractUI.aspx?menuIndex=3&amp;refID=7040307&amp;Result=3","7040307")</f>
        <v>0</v>
      </c>
      <c r="B7526" t="s">
        <v>2299</v>
      </c>
      <c r="C7526" t="s">
        <v>10246</v>
      </c>
      <c r="D7526" t="s">
        <v>16251</v>
      </c>
      <c r="E7526" t="s">
        <v>22907</v>
      </c>
      <c r="F7526" t="s">
        <v>28198</v>
      </c>
      <c r="G7526" t="s">
        <v>28205</v>
      </c>
      <c r="H7526" t="s">
        <v>28214</v>
      </c>
      <c r="I7526" t="s">
        <v>3797</v>
      </c>
      <c r="J7526" t="s">
        <v>33061</v>
      </c>
      <c r="K7526" t="s">
        <v>36749</v>
      </c>
      <c r="L7526" t="s">
        <v>2299</v>
      </c>
      <c r="M7526" t="s">
        <v>39474</v>
      </c>
      <c r="N7526" t="s">
        <v>40436</v>
      </c>
      <c r="O7526" t="s">
        <v>40437</v>
      </c>
      <c r="P7526">
        <v>0</v>
      </c>
      <c r="Q7526">
        <v>0</v>
      </c>
      <c r="R7526" t="s">
        <v>40444</v>
      </c>
      <c r="S7526" t="s">
        <v>40676</v>
      </c>
      <c r="T7526" t="s">
        <v>42168</v>
      </c>
      <c r="U7526" t="s">
        <v>48973</v>
      </c>
      <c r="W7526" t="s">
        <v>39474</v>
      </c>
      <c r="X7526" t="s">
        <v>40445</v>
      </c>
    </row>
    <row r="7527" spans="1:24">
      <c r="A7527">
        <f>HYPERLINK("https://www.philgeps.gov.ph/GEPSNONPILOT/Tender/SplashBidNoticeAbstractUI.aspx?menuIndex=3&amp;refID=7040374&amp;Result=3","7040374")</f>
        <v>0</v>
      </c>
      <c r="B7527" t="s">
        <v>2308</v>
      </c>
      <c r="C7527" t="s">
        <v>10247</v>
      </c>
      <c r="D7527" t="s">
        <v>16204</v>
      </c>
      <c r="E7527" t="s">
        <v>22908</v>
      </c>
      <c r="F7527" t="s">
        <v>28198</v>
      </c>
      <c r="G7527" t="s">
        <v>28210</v>
      </c>
      <c r="H7527" t="s">
        <v>28215</v>
      </c>
      <c r="I7527" t="s">
        <v>5082</v>
      </c>
      <c r="J7527" t="s">
        <v>33062</v>
      </c>
      <c r="K7527" t="s">
        <v>36688</v>
      </c>
      <c r="M7527" t="s">
        <v>39484</v>
      </c>
      <c r="N7527" t="s">
        <v>40436</v>
      </c>
      <c r="O7527" t="s">
        <v>40437</v>
      </c>
      <c r="P7527">
        <v>0</v>
      </c>
      <c r="Q7527">
        <v>5</v>
      </c>
      <c r="R7527" t="s">
        <v>40444</v>
      </c>
      <c r="S7527" t="s">
        <v>40676</v>
      </c>
      <c r="T7527" t="s">
        <v>42205</v>
      </c>
      <c r="U7527" t="s">
        <v>48974</v>
      </c>
      <c r="W7527" t="s">
        <v>39484</v>
      </c>
      <c r="X7527" t="s">
        <v>40445</v>
      </c>
    </row>
    <row r="7528" spans="1:24">
      <c r="A7528">
        <f>HYPERLINK("https://www.philgeps.gov.ph/GEPSNONPILOT/Tender/SplashBidNoticeAbstractUI.aspx?menuIndex=3&amp;refID=7040309&amp;Result=3","7040309")</f>
        <v>0</v>
      </c>
      <c r="B7528" t="s">
        <v>2306</v>
      </c>
      <c r="C7528" t="s">
        <v>10248</v>
      </c>
      <c r="D7528" t="s">
        <v>16209</v>
      </c>
      <c r="E7528" t="s">
        <v>22909</v>
      </c>
      <c r="F7528" t="s">
        <v>28198</v>
      </c>
      <c r="G7528" t="s">
        <v>28205</v>
      </c>
      <c r="H7528" t="s">
        <v>28215</v>
      </c>
      <c r="I7528" t="s">
        <v>28225</v>
      </c>
      <c r="J7528" t="s">
        <v>33063</v>
      </c>
      <c r="K7528" t="s">
        <v>36701</v>
      </c>
      <c r="M7528" t="s">
        <v>39482</v>
      </c>
      <c r="N7528" t="s">
        <v>40436</v>
      </c>
      <c r="O7528" t="s">
        <v>40437</v>
      </c>
      <c r="P7528">
        <v>0</v>
      </c>
      <c r="Q7528">
        <v>4</v>
      </c>
      <c r="R7528" t="s">
        <v>40444</v>
      </c>
      <c r="S7528" t="s">
        <v>40676</v>
      </c>
      <c r="T7528" t="s">
        <v>42372</v>
      </c>
      <c r="U7528" t="s">
        <v>48964</v>
      </c>
      <c r="W7528" t="s">
        <v>39482</v>
      </c>
      <c r="X7528" t="s">
        <v>40445</v>
      </c>
    </row>
    <row r="7529" spans="1:24">
      <c r="A7529">
        <f>HYPERLINK("https://www.philgeps.gov.ph/GEPSNONPILOT/Tender/SplashBidNoticeAbstractUI.aspx?menuIndex=3&amp;refID=7040306&amp;Result=3","7040306")</f>
        <v>0</v>
      </c>
      <c r="B7529" t="s">
        <v>1512</v>
      </c>
      <c r="C7529" t="s">
        <v>10249</v>
      </c>
      <c r="D7529" t="s">
        <v>16254</v>
      </c>
      <c r="E7529" t="s">
        <v>22910</v>
      </c>
      <c r="F7529" t="s">
        <v>28198</v>
      </c>
      <c r="G7529" t="s">
        <v>28205</v>
      </c>
      <c r="H7529" t="s">
        <v>28215</v>
      </c>
      <c r="I7529" t="s">
        <v>28228</v>
      </c>
      <c r="J7529" t="s">
        <v>33064</v>
      </c>
      <c r="K7529" t="s">
        <v>36689</v>
      </c>
      <c r="L7529" t="s">
        <v>1512</v>
      </c>
      <c r="M7529" t="s">
        <v>38589</v>
      </c>
      <c r="N7529" t="s">
        <v>40436</v>
      </c>
      <c r="O7529" t="s">
        <v>40437</v>
      </c>
      <c r="P7529">
        <v>0</v>
      </c>
      <c r="Q7529">
        <v>0</v>
      </c>
      <c r="R7529" t="s">
        <v>40444</v>
      </c>
      <c r="S7529" t="s">
        <v>40676</v>
      </c>
      <c r="T7529" t="s">
        <v>42185</v>
      </c>
      <c r="U7529" t="s">
        <v>48975</v>
      </c>
      <c r="W7529" t="s">
        <v>38589</v>
      </c>
      <c r="X7529" t="s">
        <v>40445</v>
      </c>
    </row>
    <row r="7530" spans="1:24">
      <c r="A7530">
        <f>HYPERLINK("https://www.philgeps.gov.ph/GEPSNONPILOT/Tender/SplashBidNoticeAbstractUI.aspx?menuIndex=3&amp;refID=7040372&amp;Result=3","7040372")</f>
        <v>0</v>
      </c>
      <c r="B7530" t="s">
        <v>2309</v>
      </c>
      <c r="C7530" t="s">
        <v>10250</v>
      </c>
      <c r="D7530" t="s">
        <v>16235</v>
      </c>
      <c r="E7530" t="s">
        <v>22911</v>
      </c>
      <c r="F7530" t="s">
        <v>28198</v>
      </c>
      <c r="G7530" t="s">
        <v>28205</v>
      </c>
      <c r="H7530" t="s">
        <v>28215</v>
      </c>
      <c r="I7530" t="s">
        <v>5100</v>
      </c>
      <c r="J7530" t="s">
        <v>33065</v>
      </c>
      <c r="K7530" t="s">
        <v>36707</v>
      </c>
      <c r="M7530" t="s">
        <v>39485</v>
      </c>
      <c r="N7530" t="s">
        <v>40436</v>
      </c>
      <c r="O7530" t="s">
        <v>40437</v>
      </c>
      <c r="P7530">
        <v>0</v>
      </c>
      <c r="Q7530">
        <v>0</v>
      </c>
      <c r="R7530" t="s">
        <v>40444</v>
      </c>
      <c r="S7530" t="s">
        <v>40676</v>
      </c>
      <c r="T7530" t="s">
        <v>42184</v>
      </c>
      <c r="U7530" t="s">
        <v>48976</v>
      </c>
      <c r="W7530" t="s">
        <v>39485</v>
      </c>
      <c r="X7530" t="s">
        <v>40445</v>
      </c>
    </row>
    <row r="7531" spans="1:24">
      <c r="A7531">
        <f>HYPERLINK("https://www.philgeps.gov.ph/GEPSNONPILOT/Tender/SplashBidNoticeAbstractUI.aspx?menuIndex=3&amp;refID=7040348&amp;Result=3","7040348")</f>
        <v>0</v>
      </c>
      <c r="B7531" t="s">
        <v>2266</v>
      </c>
      <c r="C7531" t="s">
        <v>10251</v>
      </c>
      <c r="D7531" t="s">
        <v>16210</v>
      </c>
      <c r="E7531" t="s">
        <v>22912</v>
      </c>
      <c r="F7531" t="s">
        <v>28198</v>
      </c>
      <c r="G7531" t="s">
        <v>28205</v>
      </c>
      <c r="H7531" t="s">
        <v>28214</v>
      </c>
      <c r="I7531" t="s">
        <v>3797</v>
      </c>
      <c r="J7531" t="s">
        <v>33066</v>
      </c>
      <c r="K7531" t="s">
        <v>36689</v>
      </c>
      <c r="M7531" t="s">
        <v>39486</v>
      </c>
      <c r="N7531" t="s">
        <v>40436</v>
      </c>
      <c r="O7531" t="s">
        <v>40437</v>
      </c>
      <c r="P7531">
        <v>0</v>
      </c>
      <c r="Q7531">
        <v>9</v>
      </c>
      <c r="R7531" t="s">
        <v>40444</v>
      </c>
      <c r="S7531" t="s">
        <v>40676</v>
      </c>
      <c r="T7531" t="s">
        <v>42390</v>
      </c>
      <c r="U7531" t="s">
        <v>48977</v>
      </c>
      <c r="V7531" t="s">
        <v>54571</v>
      </c>
      <c r="W7531" t="s">
        <v>39486</v>
      </c>
      <c r="X7531" t="s">
        <v>40445</v>
      </c>
    </row>
    <row r="7532" spans="1:24">
      <c r="A7532">
        <f>HYPERLINK("https://www.philgeps.gov.ph/GEPSNONPILOT/Tender/SplashBidNoticeAbstractUI.aspx?menuIndex=3&amp;refID=7040347&amp;Result=3","7040347")</f>
        <v>0</v>
      </c>
      <c r="B7532" t="s">
        <v>1579</v>
      </c>
      <c r="C7532" t="s">
        <v>10252</v>
      </c>
      <c r="D7532" t="s">
        <v>16219</v>
      </c>
      <c r="E7532" t="s">
        <v>22913</v>
      </c>
      <c r="F7532" t="s">
        <v>28198</v>
      </c>
      <c r="G7532" t="s">
        <v>28205</v>
      </c>
      <c r="H7532" t="s">
        <v>28214</v>
      </c>
      <c r="I7532" t="s">
        <v>3797</v>
      </c>
      <c r="J7532" t="s">
        <v>28347</v>
      </c>
      <c r="K7532" t="s">
        <v>36697</v>
      </c>
      <c r="M7532" t="s">
        <v>38662</v>
      </c>
      <c r="N7532" t="s">
        <v>40436</v>
      </c>
      <c r="O7532" t="s">
        <v>40437</v>
      </c>
      <c r="P7532">
        <v>0</v>
      </c>
      <c r="Q7532">
        <v>1</v>
      </c>
      <c r="R7532" t="s">
        <v>40444</v>
      </c>
      <c r="S7532" t="s">
        <v>40676</v>
      </c>
      <c r="T7532" t="s">
        <v>42138</v>
      </c>
      <c r="U7532" t="s">
        <v>48978</v>
      </c>
      <c r="W7532" t="s">
        <v>38662</v>
      </c>
      <c r="X7532" t="s">
        <v>40445</v>
      </c>
    </row>
    <row r="7533" spans="1:24">
      <c r="A7533">
        <f>HYPERLINK("https://www.philgeps.gov.ph/GEPSNONPILOT/Tender/SplashBidNoticeAbstractUI.aspx?menuIndex=3&amp;refID=7040349&amp;Result=3","7040349")</f>
        <v>0</v>
      </c>
      <c r="B7533" t="s">
        <v>2310</v>
      </c>
      <c r="C7533" t="s">
        <v>10253</v>
      </c>
      <c r="D7533" t="s">
        <v>16220</v>
      </c>
      <c r="E7533" t="s">
        <v>22914</v>
      </c>
      <c r="F7533" t="s">
        <v>28198</v>
      </c>
      <c r="G7533" t="s">
        <v>28205</v>
      </c>
      <c r="H7533" t="s">
        <v>28215</v>
      </c>
      <c r="I7533" t="s">
        <v>5631</v>
      </c>
      <c r="J7533" t="s">
        <v>33067</v>
      </c>
      <c r="K7533" t="s">
        <v>36707</v>
      </c>
      <c r="M7533" t="s">
        <v>39487</v>
      </c>
      <c r="N7533" t="s">
        <v>40436</v>
      </c>
      <c r="O7533" t="s">
        <v>40437</v>
      </c>
      <c r="P7533">
        <v>0</v>
      </c>
      <c r="Q7533">
        <v>0</v>
      </c>
      <c r="R7533" t="s">
        <v>40444</v>
      </c>
      <c r="S7533" t="s">
        <v>40676</v>
      </c>
      <c r="T7533" t="s">
        <v>42184</v>
      </c>
      <c r="U7533" t="s">
        <v>48979</v>
      </c>
      <c r="W7533" t="s">
        <v>39487</v>
      </c>
      <c r="X7533" t="s">
        <v>40445</v>
      </c>
    </row>
    <row r="7534" spans="1:24">
      <c r="A7534">
        <f>HYPERLINK("https://www.philgeps.gov.ph/GEPSNONPILOT/Tender/SplashBidNoticeAbstractUI.aspx?menuIndex=3&amp;refID=7040346&amp;Result=3","7040346")</f>
        <v>0</v>
      </c>
      <c r="B7534" t="s">
        <v>1904</v>
      </c>
      <c r="C7534" t="s">
        <v>10254</v>
      </c>
      <c r="D7534" t="s">
        <v>16188</v>
      </c>
      <c r="E7534" t="s">
        <v>22915</v>
      </c>
      <c r="F7534" t="s">
        <v>28199</v>
      </c>
      <c r="G7534" t="s">
        <v>28206</v>
      </c>
      <c r="H7534" t="s">
        <v>28215</v>
      </c>
      <c r="I7534" t="s">
        <v>4219</v>
      </c>
      <c r="J7534" t="s">
        <v>33068</v>
      </c>
      <c r="K7534" t="s">
        <v>36701</v>
      </c>
      <c r="M7534" t="s">
        <v>39036</v>
      </c>
      <c r="N7534" t="s">
        <v>40436</v>
      </c>
      <c r="O7534" t="s">
        <v>40437</v>
      </c>
      <c r="Q7534">
        <v>13</v>
      </c>
      <c r="R7534" t="s">
        <v>40444</v>
      </c>
      <c r="S7534" t="s">
        <v>40725</v>
      </c>
      <c r="T7534" t="s">
        <v>42184</v>
      </c>
      <c r="U7534" t="s">
        <v>48980</v>
      </c>
      <c r="W7534" t="s">
        <v>39036</v>
      </c>
      <c r="X7534" t="s">
        <v>40445</v>
      </c>
    </row>
    <row r="7535" spans="1:24">
      <c r="A7535">
        <f>HYPERLINK("https://www.philgeps.gov.ph/GEPSNONPILOT/Tender/SplashBidNoticeAbstractUI.aspx?menuIndex=3&amp;refID=7040359&amp;Result=3","7040359")</f>
        <v>0</v>
      </c>
      <c r="B7535" t="s">
        <v>650</v>
      </c>
      <c r="C7535" t="s">
        <v>10255</v>
      </c>
      <c r="D7535" t="s">
        <v>16254</v>
      </c>
      <c r="E7535" t="s">
        <v>20547</v>
      </c>
      <c r="F7535" t="s">
        <v>28198</v>
      </c>
      <c r="G7535" t="s">
        <v>28205</v>
      </c>
      <c r="H7535" t="s">
        <v>28215</v>
      </c>
      <c r="I7535" t="s">
        <v>28262</v>
      </c>
      <c r="J7535" t="s">
        <v>28406</v>
      </c>
      <c r="K7535" t="s">
        <v>36707</v>
      </c>
      <c r="M7535" t="s">
        <v>37645</v>
      </c>
      <c r="N7535" t="s">
        <v>40436</v>
      </c>
      <c r="O7535" t="s">
        <v>40437</v>
      </c>
      <c r="P7535">
        <v>0</v>
      </c>
      <c r="Q7535">
        <v>2</v>
      </c>
      <c r="R7535" t="s">
        <v>40444</v>
      </c>
      <c r="S7535" t="s">
        <v>40676</v>
      </c>
      <c r="T7535" t="s">
        <v>42277</v>
      </c>
      <c r="U7535" t="s">
        <v>48981</v>
      </c>
      <c r="W7535" t="s">
        <v>37645</v>
      </c>
      <c r="X7535" t="s">
        <v>40445</v>
      </c>
    </row>
    <row r="7536" spans="1:24">
      <c r="A7536">
        <f>HYPERLINK("https://www.philgeps.gov.ph/GEPSNONPILOT/Tender/SplashBidNoticeAbstractUI.aspx?menuIndex=3&amp;refID=7040352&amp;Result=3","7040352")</f>
        <v>0</v>
      </c>
      <c r="B7536" t="s">
        <v>2306</v>
      </c>
      <c r="C7536" t="s">
        <v>10256</v>
      </c>
      <c r="D7536" t="s">
        <v>16209</v>
      </c>
      <c r="E7536" t="s">
        <v>22916</v>
      </c>
      <c r="F7536" t="s">
        <v>28198</v>
      </c>
      <c r="G7536" t="s">
        <v>28205</v>
      </c>
      <c r="H7536" t="s">
        <v>28215</v>
      </c>
      <c r="I7536" t="s">
        <v>5631</v>
      </c>
      <c r="J7536" t="s">
        <v>33069</v>
      </c>
      <c r="K7536" t="s">
        <v>36701</v>
      </c>
      <c r="M7536" t="s">
        <v>39482</v>
      </c>
      <c r="N7536" t="s">
        <v>40436</v>
      </c>
      <c r="O7536" t="s">
        <v>40437</v>
      </c>
      <c r="P7536">
        <v>0</v>
      </c>
      <c r="Q7536">
        <v>0</v>
      </c>
      <c r="R7536" t="s">
        <v>40444</v>
      </c>
      <c r="S7536" t="s">
        <v>40676</v>
      </c>
      <c r="T7536" t="s">
        <v>42372</v>
      </c>
      <c r="U7536" t="s">
        <v>48964</v>
      </c>
      <c r="W7536" t="s">
        <v>39482</v>
      </c>
      <c r="X7536" t="s">
        <v>40445</v>
      </c>
    </row>
    <row r="7537" spans="1:24">
      <c r="A7537">
        <f>HYPERLINK("https://www.philgeps.gov.ph/GEPSNONPILOT/Tender/SplashBidNoticeAbstractUI.aspx?menuIndex=3&amp;refID=7040344&amp;Result=3","7040344")</f>
        <v>0</v>
      </c>
      <c r="B7537" t="s">
        <v>2311</v>
      </c>
      <c r="C7537" t="s">
        <v>10257</v>
      </c>
      <c r="D7537" t="s">
        <v>16191</v>
      </c>
      <c r="E7537" t="s">
        <v>22917</v>
      </c>
      <c r="F7537" t="s">
        <v>28198</v>
      </c>
      <c r="G7537" t="s">
        <v>28205</v>
      </c>
      <c r="H7537" t="s">
        <v>28215</v>
      </c>
      <c r="I7537" t="s">
        <v>4200</v>
      </c>
      <c r="J7537" t="s">
        <v>33070</v>
      </c>
      <c r="K7537" t="s">
        <v>36688</v>
      </c>
      <c r="M7537" t="s">
        <v>39488</v>
      </c>
      <c r="N7537" t="s">
        <v>40436</v>
      </c>
      <c r="O7537" t="s">
        <v>40437</v>
      </c>
      <c r="P7537">
        <v>0</v>
      </c>
      <c r="Q7537">
        <v>1</v>
      </c>
      <c r="R7537" t="s">
        <v>40444</v>
      </c>
      <c r="S7537" t="s">
        <v>40676</v>
      </c>
      <c r="T7537" t="s">
        <v>42184</v>
      </c>
      <c r="U7537" t="s">
        <v>48982</v>
      </c>
      <c r="W7537" t="s">
        <v>39488</v>
      </c>
      <c r="X7537" t="s">
        <v>40445</v>
      </c>
    </row>
    <row r="7538" spans="1:24">
      <c r="A7538">
        <f>HYPERLINK("https://www.philgeps.gov.ph/GEPSNONPILOT/Tender/SplashBidNoticeAbstractUI.aspx?menuIndex=3&amp;refID=7040322&amp;Result=3","7040322")</f>
        <v>0</v>
      </c>
      <c r="B7538" t="s">
        <v>1574</v>
      </c>
      <c r="C7538" t="s">
        <v>10258</v>
      </c>
      <c r="D7538" t="s">
        <v>16202</v>
      </c>
      <c r="E7538" t="s">
        <v>22918</v>
      </c>
      <c r="F7538" t="s">
        <v>28198</v>
      </c>
      <c r="G7538" t="s">
        <v>28205</v>
      </c>
      <c r="H7538" t="s">
        <v>28215</v>
      </c>
      <c r="I7538" t="s">
        <v>28222</v>
      </c>
      <c r="J7538" t="s">
        <v>28699</v>
      </c>
      <c r="K7538" t="s">
        <v>36695</v>
      </c>
      <c r="M7538" t="s">
        <v>38657</v>
      </c>
      <c r="N7538" t="s">
        <v>40436</v>
      </c>
      <c r="O7538" t="s">
        <v>40437</v>
      </c>
      <c r="P7538">
        <v>0</v>
      </c>
      <c r="Q7538">
        <v>5</v>
      </c>
      <c r="R7538" t="s">
        <v>40444</v>
      </c>
      <c r="S7538" t="s">
        <v>40676</v>
      </c>
      <c r="T7538" t="s">
        <v>42145</v>
      </c>
      <c r="U7538" t="s">
        <v>48983</v>
      </c>
      <c r="W7538" t="s">
        <v>38657</v>
      </c>
      <c r="X7538" t="s">
        <v>40445</v>
      </c>
    </row>
    <row r="7539" spans="1:24">
      <c r="A7539">
        <f>HYPERLINK("https://www.philgeps.gov.ph/GEPSNONPILOT/Tender/SplashBidNoticeAbstractUI.aspx?menuIndex=3&amp;refID=7040364&amp;Result=3","7040364")</f>
        <v>0</v>
      </c>
      <c r="B7539" t="s">
        <v>2312</v>
      </c>
      <c r="C7539" t="s">
        <v>10259</v>
      </c>
      <c r="E7539" t="s">
        <v>22919</v>
      </c>
      <c r="F7539" t="s">
        <v>28198</v>
      </c>
      <c r="G7539" t="s">
        <v>28205</v>
      </c>
      <c r="H7539" t="s">
        <v>28215</v>
      </c>
      <c r="I7539" t="s">
        <v>28243</v>
      </c>
      <c r="J7539" t="s">
        <v>28351</v>
      </c>
      <c r="K7539" t="s">
        <v>36689</v>
      </c>
      <c r="M7539" t="s">
        <v>39489</v>
      </c>
      <c r="N7539" t="s">
        <v>40436</v>
      </c>
      <c r="O7539" t="s">
        <v>40437</v>
      </c>
      <c r="P7539">
        <v>0</v>
      </c>
      <c r="Q7539">
        <v>2</v>
      </c>
      <c r="R7539" t="s">
        <v>40444</v>
      </c>
      <c r="S7539" t="s">
        <v>40676</v>
      </c>
      <c r="T7539" t="s">
        <v>42426</v>
      </c>
      <c r="U7539" t="s">
        <v>48984</v>
      </c>
      <c r="W7539" t="s">
        <v>39489</v>
      </c>
      <c r="X7539" t="s">
        <v>40445</v>
      </c>
    </row>
    <row r="7540" spans="1:24">
      <c r="A7540">
        <f>HYPERLINK("https://www.philgeps.gov.ph/GEPSNONPILOT/Tender/SplashBidNoticeAbstractUI.aspx?menuIndex=3&amp;refID=7040382&amp;Result=3","7040382")</f>
        <v>0</v>
      </c>
      <c r="B7540" t="s">
        <v>2266</v>
      </c>
      <c r="C7540" t="s">
        <v>10260</v>
      </c>
      <c r="D7540" t="s">
        <v>16210</v>
      </c>
      <c r="E7540" t="s">
        <v>22920</v>
      </c>
      <c r="F7540" t="s">
        <v>28198</v>
      </c>
      <c r="G7540" t="s">
        <v>28205</v>
      </c>
      <c r="H7540" t="s">
        <v>28215</v>
      </c>
      <c r="I7540" t="s">
        <v>4168</v>
      </c>
      <c r="J7540" t="s">
        <v>33071</v>
      </c>
      <c r="K7540" t="s">
        <v>36689</v>
      </c>
      <c r="M7540" t="s">
        <v>39486</v>
      </c>
      <c r="N7540" t="s">
        <v>40436</v>
      </c>
      <c r="O7540" t="s">
        <v>40437</v>
      </c>
      <c r="P7540">
        <v>0</v>
      </c>
      <c r="Q7540">
        <v>21</v>
      </c>
      <c r="R7540" t="s">
        <v>40444</v>
      </c>
      <c r="S7540" t="s">
        <v>40676</v>
      </c>
      <c r="T7540" t="s">
        <v>42390</v>
      </c>
      <c r="U7540" t="s">
        <v>48985</v>
      </c>
      <c r="V7540" t="s">
        <v>54571</v>
      </c>
      <c r="W7540" t="s">
        <v>39486</v>
      </c>
      <c r="X7540" t="s">
        <v>40445</v>
      </c>
    </row>
    <row r="7541" spans="1:24">
      <c r="A7541">
        <f>HYPERLINK("https://www.philgeps.gov.ph/GEPSNONPILOT/Tender/SplashBidNoticeAbstractUI.aspx?menuIndex=3&amp;refID=7040368&amp;Result=3","7040368")</f>
        <v>0</v>
      </c>
      <c r="B7541" t="s">
        <v>2313</v>
      </c>
      <c r="C7541" t="s">
        <v>10261</v>
      </c>
      <c r="D7541" t="s">
        <v>16226</v>
      </c>
      <c r="E7541" t="s">
        <v>22921</v>
      </c>
      <c r="F7541" t="s">
        <v>28198</v>
      </c>
      <c r="G7541" t="s">
        <v>28205</v>
      </c>
      <c r="H7541" t="s">
        <v>28217</v>
      </c>
      <c r="I7541" t="s">
        <v>28272</v>
      </c>
      <c r="J7541" t="s">
        <v>33072</v>
      </c>
      <c r="K7541" t="s">
        <v>36701</v>
      </c>
      <c r="M7541" t="s">
        <v>39490</v>
      </c>
      <c r="N7541" t="s">
        <v>40436</v>
      </c>
      <c r="O7541" t="s">
        <v>40437</v>
      </c>
      <c r="P7541">
        <v>0</v>
      </c>
      <c r="Q7541">
        <v>4</v>
      </c>
      <c r="R7541" t="s">
        <v>40444</v>
      </c>
      <c r="S7541" t="s">
        <v>40676</v>
      </c>
      <c r="T7541" t="s">
        <v>42138</v>
      </c>
      <c r="U7541" t="s">
        <v>48986</v>
      </c>
      <c r="W7541" t="s">
        <v>39490</v>
      </c>
      <c r="X7541" t="s">
        <v>40445</v>
      </c>
    </row>
    <row r="7542" spans="1:24">
      <c r="A7542">
        <f>HYPERLINK("https://www.philgeps.gov.ph/GEPSNONPILOT/Tender/SplashBidNoticeAbstractUI.aspx?menuIndex=3&amp;refID=7040336&amp;Result=3","7040336")</f>
        <v>0</v>
      </c>
      <c r="B7542" t="s">
        <v>1461</v>
      </c>
      <c r="C7542" t="s">
        <v>10262</v>
      </c>
      <c r="D7542" t="s">
        <v>16238</v>
      </c>
      <c r="E7542" t="s">
        <v>22922</v>
      </c>
      <c r="F7542" t="s">
        <v>28198</v>
      </c>
      <c r="G7542" t="s">
        <v>28207</v>
      </c>
      <c r="H7542" t="s">
        <v>28215</v>
      </c>
      <c r="I7542" t="s">
        <v>28234</v>
      </c>
      <c r="J7542" t="s">
        <v>33073</v>
      </c>
      <c r="K7542" t="s">
        <v>36687</v>
      </c>
      <c r="M7542" t="s">
        <v>38530</v>
      </c>
      <c r="N7542" t="s">
        <v>40436</v>
      </c>
      <c r="O7542" t="s">
        <v>40437</v>
      </c>
      <c r="P7542">
        <v>0</v>
      </c>
      <c r="Q7542">
        <v>4</v>
      </c>
      <c r="R7542" t="s">
        <v>40444</v>
      </c>
      <c r="S7542" t="s">
        <v>40676</v>
      </c>
      <c r="T7542" t="s">
        <v>42233</v>
      </c>
      <c r="U7542" t="s">
        <v>48987</v>
      </c>
      <c r="W7542" t="s">
        <v>38530</v>
      </c>
      <c r="X7542" t="s">
        <v>40445</v>
      </c>
    </row>
    <row r="7543" spans="1:24">
      <c r="A7543">
        <f>HYPERLINK("https://www.philgeps.gov.ph/GEPSNONPILOT/Tender/SplashBidNoticeAbstractUI.aspx?menuIndex=3&amp;refID=7040329&amp;Result=3","7040329")</f>
        <v>0</v>
      </c>
      <c r="B7543" t="s">
        <v>2270</v>
      </c>
      <c r="C7543" t="s">
        <v>10263</v>
      </c>
      <c r="E7543" t="s">
        <v>22923</v>
      </c>
      <c r="F7543" t="s">
        <v>28198</v>
      </c>
      <c r="G7543" t="s">
        <v>28205</v>
      </c>
      <c r="H7543" t="s">
        <v>28215</v>
      </c>
      <c r="I7543" t="s">
        <v>3797</v>
      </c>
      <c r="J7543" t="s">
        <v>29566</v>
      </c>
      <c r="K7543" t="s">
        <v>36717</v>
      </c>
      <c r="M7543" t="s">
        <v>39441</v>
      </c>
      <c r="N7543" t="s">
        <v>40436</v>
      </c>
      <c r="O7543" t="s">
        <v>40437</v>
      </c>
      <c r="P7543">
        <v>0</v>
      </c>
      <c r="Q7543">
        <v>0</v>
      </c>
      <c r="R7543" t="s">
        <v>40444</v>
      </c>
      <c r="S7543" t="s">
        <v>40676</v>
      </c>
      <c r="T7543" t="s">
        <v>42278</v>
      </c>
      <c r="U7543" t="s">
        <v>48988</v>
      </c>
      <c r="W7543" t="s">
        <v>39441</v>
      </c>
      <c r="X7543" t="s">
        <v>40445</v>
      </c>
    </row>
    <row r="7544" spans="1:24">
      <c r="A7544">
        <f>HYPERLINK("https://www.philgeps.gov.ph/GEPSNONPILOT/Tender/SplashBidNoticeAbstractUI.aspx?menuIndex=3&amp;refID=7040383&amp;Result=3","7040383")</f>
        <v>0</v>
      </c>
      <c r="B7544" t="s">
        <v>2312</v>
      </c>
      <c r="C7544" t="s">
        <v>10264</v>
      </c>
      <c r="E7544" t="s">
        <v>22924</v>
      </c>
      <c r="F7544" t="s">
        <v>28198</v>
      </c>
      <c r="G7544" t="s">
        <v>28205</v>
      </c>
      <c r="H7544" t="s">
        <v>28214</v>
      </c>
      <c r="I7544" t="s">
        <v>3797</v>
      </c>
      <c r="J7544" t="s">
        <v>28398</v>
      </c>
      <c r="K7544" t="s">
        <v>36689</v>
      </c>
      <c r="M7544" t="s">
        <v>39489</v>
      </c>
      <c r="N7544" t="s">
        <v>40436</v>
      </c>
      <c r="O7544" t="s">
        <v>40437</v>
      </c>
      <c r="P7544">
        <v>0</v>
      </c>
      <c r="Q7544">
        <v>0</v>
      </c>
      <c r="R7544" t="s">
        <v>40444</v>
      </c>
      <c r="S7544" t="s">
        <v>40676</v>
      </c>
      <c r="T7544" t="s">
        <v>42431</v>
      </c>
      <c r="U7544" t="s">
        <v>48989</v>
      </c>
      <c r="W7544" t="s">
        <v>39489</v>
      </c>
      <c r="X7544" t="s">
        <v>40445</v>
      </c>
    </row>
    <row r="7545" spans="1:24">
      <c r="A7545">
        <f>HYPERLINK("https://www.philgeps.gov.ph/GEPSNONPILOT/Tender/SplashBidNoticeAbstractUI.aspx?menuIndex=3&amp;refID=7040385&amp;Result=3","7040385")</f>
        <v>0</v>
      </c>
      <c r="B7545" t="s">
        <v>2299</v>
      </c>
      <c r="C7545" t="s">
        <v>10265</v>
      </c>
      <c r="D7545" t="s">
        <v>16251</v>
      </c>
      <c r="E7545" t="s">
        <v>22925</v>
      </c>
      <c r="F7545" t="s">
        <v>28198</v>
      </c>
      <c r="G7545" t="s">
        <v>28205</v>
      </c>
      <c r="H7545" t="s">
        <v>28214</v>
      </c>
      <c r="I7545" t="s">
        <v>3797</v>
      </c>
      <c r="J7545" t="s">
        <v>33074</v>
      </c>
      <c r="K7545" t="s">
        <v>36795</v>
      </c>
      <c r="L7545" t="s">
        <v>2299</v>
      </c>
      <c r="M7545" t="s">
        <v>39474</v>
      </c>
      <c r="N7545" t="s">
        <v>40436</v>
      </c>
      <c r="O7545" t="s">
        <v>40437</v>
      </c>
      <c r="P7545">
        <v>0</v>
      </c>
      <c r="Q7545">
        <v>0</v>
      </c>
      <c r="R7545" t="s">
        <v>40444</v>
      </c>
      <c r="S7545" t="s">
        <v>40676</v>
      </c>
      <c r="T7545" t="s">
        <v>42168</v>
      </c>
      <c r="U7545" t="s">
        <v>48990</v>
      </c>
      <c r="W7545" t="s">
        <v>39474</v>
      </c>
      <c r="X7545" t="s">
        <v>40445</v>
      </c>
    </row>
    <row r="7546" spans="1:24">
      <c r="A7546">
        <f>HYPERLINK("https://www.philgeps.gov.ph/GEPSNONPILOT/Tender/SplashBidNoticeAbstractUI.aspx?menuIndex=3&amp;refID=7040421&amp;Result=3","7040421")</f>
        <v>0</v>
      </c>
      <c r="B7546" t="s">
        <v>1562</v>
      </c>
      <c r="C7546" t="s">
        <v>10266</v>
      </c>
      <c r="D7546" t="s">
        <v>16200</v>
      </c>
      <c r="E7546" t="s">
        <v>22926</v>
      </c>
      <c r="F7546" t="s">
        <v>28198</v>
      </c>
      <c r="G7546" t="s">
        <v>28209</v>
      </c>
      <c r="H7546" t="s">
        <v>28215</v>
      </c>
      <c r="I7546" t="s">
        <v>8888</v>
      </c>
      <c r="J7546" t="s">
        <v>33075</v>
      </c>
      <c r="K7546" t="s">
        <v>36707</v>
      </c>
      <c r="M7546" t="s">
        <v>39491</v>
      </c>
      <c r="N7546" t="s">
        <v>40436</v>
      </c>
      <c r="O7546" t="s">
        <v>40437</v>
      </c>
      <c r="P7546">
        <v>0</v>
      </c>
      <c r="Q7546">
        <v>4</v>
      </c>
      <c r="R7546" t="s">
        <v>40444</v>
      </c>
      <c r="S7546" t="s">
        <v>40676</v>
      </c>
      <c r="T7546" t="s">
        <v>42185</v>
      </c>
      <c r="U7546" t="s">
        <v>48991</v>
      </c>
      <c r="V7546" t="s">
        <v>54572</v>
      </c>
      <c r="W7546" t="s">
        <v>39491</v>
      </c>
      <c r="X7546" t="s">
        <v>40445</v>
      </c>
    </row>
    <row r="7547" spans="1:24">
      <c r="A7547">
        <f>HYPERLINK("https://www.philgeps.gov.ph/GEPSNONPILOT/Tender/SplashBidNoticeAbstractUI.aspx?menuIndex=3&amp;refID=7040399&amp;Result=3","7040399")</f>
        <v>0</v>
      </c>
      <c r="B7547" t="s">
        <v>1562</v>
      </c>
      <c r="C7547" t="s">
        <v>10267</v>
      </c>
      <c r="D7547" t="s">
        <v>16200</v>
      </c>
      <c r="E7547" t="s">
        <v>22927</v>
      </c>
      <c r="F7547" t="s">
        <v>28198</v>
      </c>
      <c r="G7547" t="s">
        <v>28209</v>
      </c>
      <c r="H7547" t="s">
        <v>28215</v>
      </c>
      <c r="I7547" t="s">
        <v>28225</v>
      </c>
      <c r="J7547" t="s">
        <v>33076</v>
      </c>
      <c r="K7547" t="s">
        <v>36707</v>
      </c>
      <c r="M7547" t="s">
        <v>39491</v>
      </c>
      <c r="N7547" t="s">
        <v>40436</v>
      </c>
      <c r="O7547" t="s">
        <v>40437</v>
      </c>
      <c r="P7547">
        <v>0</v>
      </c>
      <c r="Q7547">
        <v>5</v>
      </c>
      <c r="R7547" t="s">
        <v>40444</v>
      </c>
      <c r="S7547" t="s">
        <v>40676</v>
      </c>
      <c r="T7547" t="s">
        <v>42185</v>
      </c>
      <c r="U7547" t="s">
        <v>48992</v>
      </c>
      <c r="V7547" t="s">
        <v>54573</v>
      </c>
      <c r="W7547" t="s">
        <v>39491</v>
      </c>
      <c r="X7547" t="s">
        <v>40445</v>
      </c>
    </row>
    <row r="7548" spans="1:24">
      <c r="A7548">
        <f>HYPERLINK("https://www.philgeps.gov.ph/GEPSNONPILOT/Tender/SplashBidNoticeAbstractUI.aspx?menuIndex=3&amp;refID=7040395&amp;Result=3","7040395")</f>
        <v>0</v>
      </c>
      <c r="B7548" t="s">
        <v>2270</v>
      </c>
      <c r="C7548" t="s">
        <v>10268</v>
      </c>
      <c r="E7548" t="s">
        <v>22928</v>
      </c>
      <c r="F7548" t="s">
        <v>28198</v>
      </c>
      <c r="G7548" t="s">
        <v>28205</v>
      </c>
      <c r="H7548" t="s">
        <v>28215</v>
      </c>
      <c r="I7548" t="s">
        <v>5100</v>
      </c>
      <c r="J7548" t="s">
        <v>33077</v>
      </c>
      <c r="K7548" t="s">
        <v>36706</v>
      </c>
      <c r="M7548" t="s">
        <v>39441</v>
      </c>
      <c r="N7548" t="s">
        <v>40436</v>
      </c>
      <c r="O7548" t="s">
        <v>40437</v>
      </c>
      <c r="P7548">
        <v>0</v>
      </c>
      <c r="Q7548">
        <v>1</v>
      </c>
      <c r="R7548" t="s">
        <v>40444</v>
      </c>
      <c r="S7548" t="s">
        <v>40676</v>
      </c>
      <c r="T7548" t="s">
        <v>42278</v>
      </c>
      <c r="U7548" t="s">
        <v>48993</v>
      </c>
      <c r="W7548" t="s">
        <v>39441</v>
      </c>
      <c r="X7548" t="s">
        <v>40445</v>
      </c>
    </row>
    <row r="7549" spans="1:24">
      <c r="A7549">
        <f>HYPERLINK("https://www.philgeps.gov.ph/GEPSNONPILOT/Tender/SplashBidNoticeAbstractUI.aspx?menuIndex=3&amp;refID=7040413&amp;Result=3","7040413")</f>
        <v>0</v>
      </c>
      <c r="B7549" t="s">
        <v>2314</v>
      </c>
      <c r="C7549" t="s">
        <v>10269</v>
      </c>
      <c r="D7549" t="s">
        <v>16195</v>
      </c>
      <c r="E7549" t="s">
        <v>22929</v>
      </c>
      <c r="F7549" t="s">
        <v>28198</v>
      </c>
      <c r="G7549" t="s">
        <v>28205</v>
      </c>
      <c r="H7549" t="s">
        <v>28214</v>
      </c>
      <c r="I7549" t="s">
        <v>28255</v>
      </c>
      <c r="J7549" t="s">
        <v>33078</v>
      </c>
      <c r="K7549" t="s">
        <v>36692</v>
      </c>
      <c r="M7549" t="s">
        <v>39492</v>
      </c>
      <c r="N7549" t="s">
        <v>40436</v>
      </c>
      <c r="O7549" t="s">
        <v>40437</v>
      </c>
      <c r="P7549">
        <v>0</v>
      </c>
      <c r="Q7549">
        <v>9</v>
      </c>
      <c r="R7549" t="s">
        <v>40444</v>
      </c>
      <c r="S7549" t="s">
        <v>40676</v>
      </c>
      <c r="T7549" t="s">
        <v>42138</v>
      </c>
      <c r="U7549" t="s">
        <v>48994</v>
      </c>
      <c r="V7549" t="s">
        <v>54574</v>
      </c>
      <c r="W7549" t="s">
        <v>39492</v>
      </c>
      <c r="X7549" t="s">
        <v>40445</v>
      </c>
    </row>
    <row r="7550" spans="1:24">
      <c r="A7550">
        <f>HYPERLINK("https://www.philgeps.gov.ph/GEPSNONPILOT/Tender/SplashBidNoticeAbstractUI.aspx?menuIndex=3&amp;refID=7040391&amp;Result=3","7040391")</f>
        <v>0</v>
      </c>
      <c r="B7550" t="s">
        <v>1574</v>
      </c>
      <c r="C7550" t="s">
        <v>10270</v>
      </c>
      <c r="D7550" t="s">
        <v>16202</v>
      </c>
      <c r="E7550" t="s">
        <v>22930</v>
      </c>
      <c r="F7550" t="s">
        <v>28198</v>
      </c>
      <c r="G7550" t="s">
        <v>28205</v>
      </c>
      <c r="H7550" t="s">
        <v>28215</v>
      </c>
      <c r="I7550" t="s">
        <v>28295</v>
      </c>
      <c r="J7550" t="s">
        <v>33079</v>
      </c>
      <c r="K7550" t="s">
        <v>36695</v>
      </c>
      <c r="M7550" t="s">
        <v>38657</v>
      </c>
      <c r="N7550" t="s">
        <v>40436</v>
      </c>
      <c r="O7550" t="s">
        <v>40437</v>
      </c>
      <c r="P7550">
        <v>0</v>
      </c>
      <c r="Q7550">
        <v>7</v>
      </c>
      <c r="R7550" t="s">
        <v>40444</v>
      </c>
      <c r="S7550" t="s">
        <v>40676</v>
      </c>
      <c r="T7550" t="s">
        <v>42145</v>
      </c>
      <c r="U7550" t="s">
        <v>48995</v>
      </c>
      <c r="W7550" t="s">
        <v>38657</v>
      </c>
      <c r="X7550" t="s">
        <v>40445</v>
      </c>
    </row>
    <row r="7551" spans="1:24">
      <c r="A7551">
        <f>HYPERLINK("https://www.philgeps.gov.ph/GEPSNONPILOT/Tender/SplashBidNoticeAbstractUI.aspx?menuIndex=3&amp;refID=7040447&amp;Result=3","7040447")</f>
        <v>0</v>
      </c>
      <c r="B7551" t="s">
        <v>2315</v>
      </c>
      <c r="C7551" t="s">
        <v>10271</v>
      </c>
      <c r="D7551" t="s">
        <v>16192</v>
      </c>
      <c r="E7551" t="s">
        <v>22931</v>
      </c>
      <c r="F7551" t="s">
        <v>28198</v>
      </c>
      <c r="G7551" t="s">
        <v>28205</v>
      </c>
      <c r="H7551" t="s">
        <v>28214</v>
      </c>
      <c r="I7551" t="s">
        <v>8870</v>
      </c>
      <c r="J7551" t="s">
        <v>33080</v>
      </c>
      <c r="K7551" t="s">
        <v>36692</v>
      </c>
      <c r="M7551" t="s">
        <v>39493</v>
      </c>
      <c r="N7551" t="s">
        <v>40436</v>
      </c>
      <c r="O7551" t="s">
        <v>40437</v>
      </c>
      <c r="P7551">
        <v>0</v>
      </c>
      <c r="Q7551">
        <v>2</v>
      </c>
      <c r="R7551" t="s">
        <v>40444</v>
      </c>
      <c r="S7551" t="s">
        <v>40676</v>
      </c>
      <c r="T7551" t="s">
        <v>42480</v>
      </c>
      <c r="U7551" t="s">
        <v>48996</v>
      </c>
      <c r="W7551" t="s">
        <v>39493</v>
      </c>
      <c r="X7551" t="s">
        <v>40445</v>
      </c>
    </row>
    <row r="7552" spans="1:24">
      <c r="A7552">
        <f>HYPERLINK("https://www.philgeps.gov.ph/GEPSNONPILOT/Tender/SplashBidNoticeAbstractUI.aspx?menuIndex=3&amp;refID=7040441&amp;Result=3","7040441")</f>
        <v>0</v>
      </c>
      <c r="B7552" t="s">
        <v>2316</v>
      </c>
      <c r="C7552" t="s">
        <v>10272</v>
      </c>
      <c r="D7552" t="s">
        <v>16191</v>
      </c>
      <c r="E7552" t="s">
        <v>22932</v>
      </c>
      <c r="F7552" t="s">
        <v>28200</v>
      </c>
      <c r="G7552" t="s">
        <v>28206</v>
      </c>
      <c r="H7552" t="s">
        <v>28215</v>
      </c>
      <c r="I7552" t="s">
        <v>28238</v>
      </c>
      <c r="J7552" t="s">
        <v>33081</v>
      </c>
      <c r="K7552" t="s">
        <v>36707</v>
      </c>
      <c r="M7552" t="s">
        <v>39494</v>
      </c>
      <c r="N7552" t="s">
        <v>40436</v>
      </c>
      <c r="O7552" t="s">
        <v>40437</v>
      </c>
      <c r="P7552">
        <v>0</v>
      </c>
      <c r="Q7552">
        <v>4</v>
      </c>
      <c r="R7552" t="s">
        <v>40444</v>
      </c>
      <c r="S7552" t="s">
        <v>40676</v>
      </c>
      <c r="T7552" t="s">
        <v>42245</v>
      </c>
      <c r="U7552" t="s">
        <v>48997</v>
      </c>
      <c r="W7552" t="s">
        <v>39494</v>
      </c>
      <c r="X7552" t="s">
        <v>40445</v>
      </c>
    </row>
    <row r="7553" spans="1:24">
      <c r="A7553">
        <f>HYPERLINK("https://www.philgeps.gov.ph/GEPSNONPILOT/Tender/SplashBidNoticeAbstractUI.aspx?menuIndex=3&amp;refID=7040439&amp;Result=3","7040439")</f>
        <v>0</v>
      </c>
      <c r="B7553" t="s">
        <v>1562</v>
      </c>
      <c r="C7553" t="s">
        <v>10273</v>
      </c>
      <c r="D7553" t="s">
        <v>16200</v>
      </c>
      <c r="E7553" t="s">
        <v>22933</v>
      </c>
      <c r="F7553" t="s">
        <v>28198</v>
      </c>
      <c r="G7553" t="s">
        <v>28209</v>
      </c>
      <c r="H7553" t="s">
        <v>28215</v>
      </c>
      <c r="I7553" t="s">
        <v>8888</v>
      </c>
      <c r="J7553" t="s">
        <v>33082</v>
      </c>
      <c r="K7553" t="s">
        <v>36707</v>
      </c>
      <c r="M7553" t="s">
        <v>39491</v>
      </c>
      <c r="N7553" t="s">
        <v>40436</v>
      </c>
      <c r="O7553" t="s">
        <v>40437</v>
      </c>
      <c r="P7553">
        <v>0</v>
      </c>
      <c r="Q7553">
        <v>4</v>
      </c>
      <c r="R7553" t="s">
        <v>40444</v>
      </c>
      <c r="S7553" t="s">
        <v>40676</v>
      </c>
      <c r="T7553" t="s">
        <v>42185</v>
      </c>
      <c r="U7553" t="s">
        <v>48998</v>
      </c>
      <c r="V7553" t="s">
        <v>54572</v>
      </c>
      <c r="W7553" t="s">
        <v>39491</v>
      </c>
      <c r="X7553" t="s">
        <v>40445</v>
      </c>
    </row>
    <row r="7554" spans="1:24">
      <c r="A7554">
        <f>HYPERLINK("https://www.philgeps.gov.ph/GEPSNONPILOT/Tender/SplashBidNoticeAbstractUI.aspx?menuIndex=3&amp;refID=7040442&amp;Result=3","7040442")</f>
        <v>0</v>
      </c>
      <c r="B7554" t="s">
        <v>291</v>
      </c>
      <c r="C7554" t="s">
        <v>10274</v>
      </c>
      <c r="D7554" t="s">
        <v>16254</v>
      </c>
      <c r="E7554" t="s">
        <v>22934</v>
      </c>
      <c r="F7554" t="s">
        <v>28200</v>
      </c>
      <c r="G7554" t="s">
        <v>28205</v>
      </c>
      <c r="H7554" t="s">
        <v>28215</v>
      </c>
      <c r="I7554" t="s">
        <v>5100</v>
      </c>
      <c r="J7554" t="s">
        <v>33083</v>
      </c>
      <c r="K7554" t="s">
        <v>36707</v>
      </c>
      <c r="M7554" t="s">
        <v>37268</v>
      </c>
      <c r="N7554" t="s">
        <v>40436</v>
      </c>
      <c r="O7554" t="s">
        <v>40437</v>
      </c>
      <c r="P7554">
        <v>0</v>
      </c>
      <c r="Q7554">
        <v>0</v>
      </c>
      <c r="R7554" t="s">
        <v>40444</v>
      </c>
      <c r="S7554" t="s">
        <v>40676</v>
      </c>
      <c r="T7554" t="s">
        <v>42128</v>
      </c>
      <c r="U7554" t="s">
        <v>43081</v>
      </c>
      <c r="W7554" t="s">
        <v>37268</v>
      </c>
      <c r="X7554" t="s">
        <v>40445</v>
      </c>
    </row>
    <row r="7555" spans="1:24">
      <c r="A7555">
        <f>HYPERLINK("https://www.philgeps.gov.ph/GEPSNONPILOT/Tender/SplashBidNoticeAbstractUI.aspx?menuIndex=3&amp;refID=7040432&amp;Result=3","7040432")</f>
        <v>0</v>
      </c>
      <c r="B7555" t="s">
        <v>2313</v>
      </c>
      <c r="C7555" t="s">
        <v>10275</v>
      </c>
      <c r="D7555" t="s">
        <v>16226</v>
      </c>
      <c r="E7555" t="s">
        <v>22935</v>
      </c>
      <c r="F7555" t="s">
        <v>28198</v>
      </c>
      <c r="G7555" t="s">
        <v>28205</v>
      </c>
      <c r="H7555" t="s">
        <v>28215</v>
      </c>
      <c r="I7555" t="s">
        <v>28234</v>
      </c>
      <c r="J7555" t="s">
        <v>29316</v>
      </c>
      <c r="K7555" t="s">
        <v>36701</v>
      </c>
      <c r="M7555" t="s">
        <v>39490</v>
      </c>
      <c r="N7555" t="s">
        <v>40436</v>
      </c>
      <c r="O7555" t="s">
        <v>40437</v>
      </c>
      <c r="P7555">
        <v>0</v>
      </c>
      <c r="Q7555">
        <v>1</v>
      </c>
      <c r="R7555" t="s">
        <v>40444</v>
      </c>
      <c r="S7555" t="s">
        <v>40676</v>
      </c>
      <c r="T7555" t="s">
        <v>42138</v>
      </c>
      <c r="U7555" t="s">
        <v>48999</v>
      </c>
      <c r="W7555" t="s">
        <v>39490</v>
      </c>
      <c r="X7555" t="s">
        <v>40445</v>
      </c>
    </row>
    <row r="7556" spans="1:24">
      <c r="A7556">
        <f>HYPERLINK("https://www.philgeps.gov.ph/GEPSNONPILOT/Tender/SplashBidNoticeAbstractUI.aspx?menuIndex=3&amp;refID=7040412&amp;Result=3","7040412")</f>
        <v>0</v>
      </c>
      <c r="B7556" t="s">
        <v>650</v>
      </c>
      <c r="C7556" t="s">
        <v>10276</v>
      </c>
      <c r="D7556" t="s">
        <v>16254</v>
      </c>
      <c r="E7556" t="s">
        <v>22936</v>
      </c>
      <c r="F7556" t="s">
        <v>28198</v>
      </c>
      <c r="G7556" t="s">
        <v>28207</v>
      </c>
      <c r="H7556" t="s">
        <v>28215</v>
      </c>
      <c r="I7556" t="s">
        <v>4505</v>
      </c>
      <c r="J7556" t="s">
        <v>28589</v>
      </c>
      <c r="K7556" t="s">
        <v>36707</v>
      </c>
      <c r="M7556" t="s">
        <v>37645</v>
      </c>
      <c r="N7556" t="s">
        <v>40436</v>
      </c>
      <c r="O7556" t="s">
        <v>40437</v>
      </c>
      <c r="P7556">
        <v>0</v>
      </c>
      <c r="Q7556">
        <v>3</v>
      </c>
      <c r="R7556" t="s">
        <v>40444</v>
      </c>
      <c r="S7556" t="s">
        <v>40676</v>
      </c>
      <c r="T7556" t="s">
        <v>42277</v>
      </c>
      <c r="U7556" t="s">
        <v>49000</v>
      </c>
      <c r="W7556" t="s">
        <v>37645</v>
      </c>
      <c r="X7556" t="s">
        <v>40445</v>
      </c>
    </row>
    <row r="7557" spans="1:24">
      <c r="A7557">
        <f>HYPERLINK("https://www.philgeps.gov.ph/GEPSNONPILOT/Tender/SplashBidNoticeAbstractUI.aspx?menuIndex=3&amp;refID=7040436&amp;Result=3","7040436")</f>
        <v>0</v>
      </c>
      <c r="B7557" t="s">
        <v>1709</v>
      </c>
      <c r="C7557" t="s">
        <v>10277</v>
      </c>
      <c r="D7557" t="s">
        <v>16204</v>
      </c>
      <c r="E7557" t="s">
        <v>22937</v>
      </c>
      <c r="F7557" t="s">
        <v>28198</v>
      </c>
      <c r="G7557" t="s">
        <v>28210</v>
      </c>
      <c r="H7557" t="s">
        <v>28215</v>
      </c>
      <c r="I7557" t="s">
        <v>4168</v>
      </c>
      <c r="J7557" t="s">
        <v>33084</v>
      </c>
      <c r="K7557" t="s">
        <v>36701</v>
      </c>
      <c r="M7557" t="s">
        <v>38814</v>
      </c>
      <c r="N7557" t="s">
        <v>40436</v>
      </c>
      <c r="O7557" t="s">
        <v>40437</v>
      </c>
      <c r="P7557">
        <v>0</v>
      </c>
      <c r="Q7557">
        <v>3</v>
      </c>
      <c r="R7557" t="s">
        <v>40444</v>
      </c>
      <c r="S7557" t="s">
        <v>40676</v>
      </c>
      <c r="T7557" t="s">
        <v>42169</v>
      </c>
      <c r="U7557" t="s">
        <v>49001</v>
      </c>
      <c r="V7557" t="s">
        <v>54575</v>
      </c>
      <c r="W7557" t="s">
        <v>38814</v>
      </c>
      <c r="X7557" t="s">
        <v>40445</v>
      </c>
    </row>
    <row r="7558" spans="1:24">
      <c r="A7558">
        <f>HYPERLINK("https://www.philgeps.gov.ph/GEPSNONPILOT/Tender/SplashBidNoticeAbstractUI.aspx?menuIndex=3&amp;refID=7040450&amp;Result=3","7040450")</f>
        <v>0</v>
      </c>
      <c r="B7558" t="s">
        <v>2317</v>
      </c>
      <c r="C7558" t="s">
        <v>10278</v>
      </c>
      <c r="D7558" t="s">
        <v>16204</v>
      </c>
      <c r="E7558" t="s">
        <v>22938</v>
      </c>
      <c r="F7558" t="s">
        <v>28198</v>
      </c>
      <c r="G7558" t="s">
        <v>28205</v>
      </c>
      <c r="H7558" t="s">
        <v>28214</v>
      </c>
      <c r="I7558" t="s">
        <v>3797</v>
      </c>
      <c r="J7558" t="s">
        <v>33085</v>
      </c>
      <c r="K7558" t="s">
        <v>36689</v>
      </c>
      <c r="M7558" t="s">
        <v>39495</v>
      </c>
      <c r="N7558" t="s">
        <v>40436</v>
      </c>
      <c r="O7558" t="s">
        <v>40437</v>
      </c>
      <c r="P7558">
        <v>0</v>
      </c>
      <c r="Q7558">
        <v>10</v>
      </c>
      <c r="R7558" t="s">
        <v>40444</v>
      </c>
      <c r="S7558" t="s">
        <v>40676</v>
      </c>
      <c r="T7558" t="s">
        <v>42185</v>
      </c>
      <c r="U7558" t="s">
        <v>49002</v>
      </c>
      <c r="V7558" t="s">
        <v>54576</v>
      </c>
      <c r="W7558" t="s">
        <v>39495</v>
      </c>
      <c r="X7558" t="s">
        <v>40445</v>
      </c>
    </row>
    <row r="7559" spans="1:24">
      <c r="A7559">
        <f>HYPERLINK("https://www.philgeps.gov.ph/GEPSNONPILOT/Tender/SplashBidNoticeAbstractUI.aspx?menuIndex=3&amp;refID=7040430&amp;Result=3","7040430")</f>
        <v>0</v>
      </c>
      <c r="B7559" t="s">
        <v>2311</v>
      </c>
      <c r="C7559" t="s">
        <v>10279</v>
      </c>
      <c r="D7559" t="s">
        <v>16191</v>
      </c>
      <c r="E7559" t="s">
        <v>22939</v>
      </c>
      <c r="F7559" t="s">
        <v>28198</v>
      </c>
      <c r="G7559" t="s">
        <v>28205</v>
      </c>
      <c r="H7559" t="s">
        <v>28215</v>
      </c>
      <c r="I7559" t="s">
        <v>28222</v>
      </c>
      <c r="J7559" t="s">
        <v>28415</v>
      </c>
      <c r="K7559" t="s">
        <v>36688</v>
      </c>
      <c r="M7559" t="s">
        <v>39488</v>
      </c>
      <c r="N7559" t="s">
        <v>40436</v>
      </c>
      <c r="O7559" t="s">
        <v>40437</v>
      </c>
      <c r="P7559">
        <v>0</v>
      </c>
      <c r="Q7559">
        <v>2</v>
      </c>
      <c r="R7559" t="s">
        <v>40444</v>
      </c>
      <c r="S7559" t="s">
        <v>40676</v>
      </c>
      <c r="T7559" t="s">
        <v>42205</v>
      </c>
      <c r="U7559" t="s">
        <v>49003</v>
      </c>
      <c r="W7559" t="s">
        <v>39488</v>
      </c>
      <c r="X7559" t="s">
        <v>40445</v>
      </c>
    </row>
    <row r="7560" spans="1:24">
      <c r="A7560">
        <f>HYPERLINK("https://www.philgeps.gov.ph/GEPSNONPILOT/Tender/SplashBidNoticeAbstractUI.aspx?menuIndex=3&amp;refID=7040448&amp;Result=3","7040448")</f>
        <v>0</v>
      </c>
      <c r="B7560" t="s">
        <v>1497</v>
      </c>
      <c r="C7560" t="s">
        <v>10280</v>
      </c>
      <c r="D7560" t="s">
        <v>16211</v>
      </c>
      <c r="E7560" t="s">
        <v>22940</v>
      </c>
      <c r="F7560" t="s">
        <v>28198</v>
      </c>
      <c r="G7560" t="s">
        <v>28205</v>
      </c>
      <c r="H7560" t="s">
        <v>28215</v>
      </c>
      <c r="I7560" t="s">
        <v>28257</v>
      </c>
      <c r="J7560" t="s">
        <v>30817</v>
      </c>
      <c r="K7560" t="s">
        <v>36688</v>
      </c>
      <c r="M7560" t="s">
        <v>38572</v>
      </c>
      <c r="N7560" t="s">
        <v>40436</v>
      </c>
      <c r="O7560" t="s">
        <v>40437</v>
      </c>
      <c r="P7560">
        <v>0</v>
      </c>
      <c r="Q7560">
        <v>0</v>
      </c>
      <c r="R7560" t="s">
        <v>40444</v>
      </c>
      <c r="S7560" t="s">
        <v>40676</v>
      </c>
      <c r="T7560" t="s">
        <v>42129</v>
      </c>
      <c r="U7560" t="s">
        <v>49004</v>
      </c>
      <c r="V7560" t="s">
        <v>54577</v>
      </c>
      <c r="W7560" t="s">
        <v>38572</v>
      </c>
      <c r="X7560" t="s">
        <v>40445</v>
      </c>
    </row>
    <row r="7561" spans="1:24">
      <c r="A7561">
        <f>HYPERLINK("https://www.philgeps.gov.ph/GEPSNONPILOT/Tender/SplashBidNoticeAbstractUI.aspx?menuIndex=3&amp;refID=7040425&amp;Result=3","7040425")</f>
        <v>0</v>
      </c>
      <c r="B7561" t="s">
        <v>2318</v>
      </c>
      <c r="C7561" t="s">
        <v>10281</v>
      </c>
      <c r="D7561" t="s">
        <v>16202</v>
      </c>
      <c r="E7561" t="s">
        <v>22941</v>
      </c>
      <c r="F7561" t="s">
        <v>28200</v>
      </c>
      <c r="G7561" t="s">
        <v>28207</v>
      </c>
      <c r="H7561" t="s">
        <v>28215</v>
      </c>
      <c r="I7561" t="s">
        <v>28270</v>
      </c>
      <c r="J7561" t="s">
        <v>28636</v>
      </c>
      <c r="K7561" t="s">
        <v>36701</v>
      </c>
      <c r="M7561" t="s">
        <v>39496</v>
      </c>
      <c r="N7561" t="s">
        <v>40436</v>
      </c>
      <c r="O7561" t="s">
        <v>40437</v>
      </c>
      <c r="P7561">
        <v>0</v>
      </c>
      <c r="Q7561">
        <v>3</v>
      </c>
      <c r="R7561" t="s">
        <v>40444</v>
      </c>
      <c r="S7561" t="s">
        <v>40676</v>
      </c>
      <c r="T7561" t="s">
        <v>42216</v>
      </c>
      <c r="U7561" t="s">
        <v>49005</v>
      </c>
      <c r="W7561" t="s">
        <v>39496</v>
      </c>
      <c r="X7561" t="s">
        <v>40445</v>
      </c>
    </row>
    <row r="7562" spans="1:24">
      <c r="A7562">
        <f>HYPERLINK("https://www.philgeps.gov.ph/GEPSNONPILOT/Tender/SplashBidNoticeAbstractUI.aspx?menuIndex=3&amp;refID=7040482&amp;Result=3","7040482")</f>
        <v>0</v>
      </c>
      <c r="B7562" t="s">
        <v>414</v>
      </c>
      <c r="C7562" t="s">
        <v>10282</v>
      </c>
      <c r="D7562" t="s">
        <v>16207</v>
      </c>
      <c r="E7562" t="s">
        <v>22942</v>
      </c>
      <c r="F7562" t="s">
        <v>28198</v>
      </c>
      <c r="G7562" t="s">
        <v>28205</v>
      </c>
      <c r="H7562" t="s">
        <v>28214</v>
      </c>
      <c r="I7562" t="s">
        <v>3797</v>
      </c>
      <c r="J7562" t="s">
        <v>30855</v>
      </c>
      <c r="K7562" t="s">
        <v>36701</v>
      </c>
      <c r="M7562" t="s">
        <v>37396</v>
      </c>
      <c r="N7562" t="s">
        <v>40436</v>
      </c>
      <c r="O7562" t="s">
        <v>40437</v>
      </c>
      <c r="P7562">
        <v>0</v>
      </c>
      <c r="Q7562">
        <v>1</v>
      </c>
      <c r="R7562" t="s">
        <v>40444</v>
      </c>
      <c r="S7562" t="s">
        <v>40676</v>
      </c>
      <c r="T7562" t="s">
        <v>42277</v>
      </c>
      <c r="U7562" t="s">
        <v>49006</v>
      </c>
      <c r="W7562" t="s">
        <v>37396</v>
      </c>
      <c r="X7562" t="s">
        <v>40445</v>
      </c>
    </row>
    <row r="7563" spans="1:24">
      <c r="A7563">
        <f>HYPERLINK("https://www.philgeps.gov.ph/GEPSNONPILOT/Tender/SplashBidNoticeAbstractUI.aspx?menuIndex=3&amp;refID=7040405&amp;Result=3","7040405")</f>
        <v>0</v>
      </c>
      <c r="B7563" t="s">
        <v>2319</v>
      </c>
      <c r="C7563" t="s">
        <v>9321</v>
      </c>
      <c r="D7563" t="s">
        <v>16268</v>
      </c>
      <c r="E7563" t="s">
        <v>18348</v>
      </c>
      <c r="F7563" t="s">
        <v>28198</v>
      </c>
      <c r="G7563" t="s">
        <v>28205</v>
      </c>
      <c r="H7563" t="s">
        <v>28215</v>
      </c>
      <c r="I7563" t="s">
        <v>28239</v>
      </c>
      <c r="J7563" t="s">
        <v>28694</v>
      </c>
      <c r="K7563" t="s">
        <v>36701</v>
      </c>
      <c r="M7563" t="s">
        <v>39497</v>
      </c>
      <c r="N7563" t="s">
        <v>40436</v>
      </c>
      <c r="O7563" t="s">
        <v>40437</v>
      </c>
      <c r="P7563">
        <v>0</v>
      </c>
      <c r="Q7563">
        <v>0</v>
      </c>
      <c r="R7563" t="s">
        <v>40444</v>
      </c>
      <c r="S7563" t="s">
        <v>40676</v>
      </c>
      <c r="T7563" t="s">
        <v>42455</v>
      </c>
      <c r="U7563" t="s">
        <v>49007</v>
      </c>
      <c r="W7563" t="s">
        <v>39497</v>
      </c>
      <c r="X7563" t="s">
        <v>40445</v>
      </c>
    </row>
    <row r="7564" spans="1:24">
      <c r="A7564">
        <f>HYPERLINK("https://www.philgeps.gov.ph/GEPSNONPILOT/Tender/SplashBidNoticeAbstractUI.aspx?menuIndex=3&amp;refID=7040498&amp;Result=3","7040498")</f>
        <v>0</v>
      </c>
      <c r="B7564" t="s">
        <v>2038</v>
      </c>
      <c r="C7564" t="s">
        <v>10283</v>
      </c>
      <c r="D7564" t="s">
        <v>16274</v>
      </c>
      <c r="E7564" t="s">
        <v>22943</v>
      </c>
      <c r="F7564" t="s">
        <v>28198</v>
      </c>
      <c r="G7564" t="s">
        <v>28205</v>
      </c>
      <c r="H7564" t="s">
        <v>28214</v>
      </c>
      <c r="I7564" t="s">
        <v>3797</v>
      </c>
      <c r="J7564" t="s">
        <v>33086</v>
      </c>
      <c r="K7564" t="s">
        <v>36812</v>
      </c>
      <c r="M7564" t="s">
        <v>39181</v>
      </c>
      <c r="N7564" t="s">
        <v>40436</v>
      </c>
      <c r="O7564" t="s">
        <v>40437</v>
      </c>
      <c r="P7564">
        <v>0</v>
      </c>
      <c r="Q7564">
        <v>0</v>
      </c>
      <c r="R7564" t="s">
        <v>40444</v>
      </c>
      <c r="S7564" t="s">
        <v>40676</v>
      </c>
      <c r="T7564" t="s">
        <v>42234</v>
      </c>
      <c r="U7564" t="s">
        <v>49008</v>
      </c>
      <c r="V7564" t="s">
        <v>54578</v>
      </c>
      <c r="W7564" t="s">
        <v>39181</v>
      </c>
      <c r="X7564" t="s">
        <v>40445</v>
      </c>
    </row>
    <row r="7565" spans="1:24">
      <c r="A7565">
        <f>HYPERLINK("https://www.philgeps.gov.ph/GEPSNONPILOT/Tender/SplashBidNoticeAbstractUI.aspx?menuIndex=3&amp;refID=7040494&amp;Result=3","7040494")</f>
        <v>0</v>
      </c>
      <c r="B7565" t="s">
        <v>101</v>
      </c>
      <c r="C7565" t="s">
        <v>10284</v>
      </c>
      <c r="D7565" t="s">
        <v>16200</v>
      </c>
      <c r="E7565" t="s">
        <v>22944</v>
      </c>
      <c r="F7565" t="s">
        <v>28198</v>
      </c>
      <c r="G7565" t="s">
        <v>28205</v>
      </c>
      <c r="H7565" t="s">
        <v>28215</v>
      </c>
      <c r="I7565" t="s">
        <v>28234</v>
      </c>
      <c r="J7565" t="s">
        <v>31988</v>
      </c>
      <c r="K7565" t="s">
        <v>36701</v>
      </c>
      <c r="M7565" t="s">
        <v>37075</v>
      </c>
      <c r="N7565" t="s">
        <v>40436</v>
      </c>
      <c r="O7565" t="s">
        <v>40437</v>
      </c>
      <c r="P7565">
        <v>0</v>
      </c>
      <c r="Q7565">
        <v>5</v>
      </c>
      <c r="R7565" t="s">
        <v>40444</v>
      </c>
      <c r="S7565" t="s">
        <v>40676</v>
      </c>
      <c r="T7565" t="s">
        <v>42123</v>
      </c>
      <c r="U7565" t="s">
        <v>49009</v>
      </c>
      <c r="V7565" t="s">
        <v>53799</v>
      </c>
      <c r="W7565" t="s">
        <v>37075</v>
      </c>
      <c r="X7565" t="s">
        <v>40445</v>
      </c>
    </row>
    <row r="7566" spans="1:24">
      <c r="A7566">
        <f>HYPERLINK("https://www.philgeps.gov.ph/GEPSNONPILOT/Tender/SplashBidNoticeAbstractUI.aspx?menuIndex=3&amp;refID=7040488&amp;Result=3","7040488")</f>
        <v>0</v>
      </c>
      <c r="B7566" t="s">
        <v>1497</v>
      </c>
      <c r="C7566" t="s">
        <v>10285</v>
      </c>
      <c r="D7566" t="s">
        <v>16211</v>
      </c>
      <c r="E7566" t="s">
        <v>22945</v>
      </c>
      <c r="F7566" t="s">
        <v>28198</v>
      </c>
      <c r="G7566" t="s">
        <v>28205</v>
      </c>
      <c r="H7566" t="s">
        <v>28215</v>
      </c>
      <c r="I7566" t="s">
        <v>28227</v>
      </c>
      <c r="J7566" t="s">
        <v>33087</v>
      </c>
      <c r="K7566" t="s">
        <v>36688</v>
      </c>
      <c r="M7566" t="s">
        <v>38572</v>
      </c>
      <c r="N7566" t="s">
        <v>40436</v>
      </c>
      <c r="O7566" t="s">
        <v>40437</v>
      </c>
      <c r="P7566">
        <v>0</v>
      </c>
      <c r="Q7566">
        <v>0</v>
      </c>
      <c r="R7566" t="s">
        <v>40444</v>
      </c>
      <c r="S7566" t="s">
        <v>40676</v>
      </c>
      <c r="T7566" t="s">
        <v>42129</v>
      </c>
      <c r="U7566" t="s">
        <v>49010</v>
      </c>
      <c r="V7566" t="s">
        <v>54579</v>
      </c>
      <c r="W7566" t="s">
        <v>38572</v>
      </c>
      <c r="X7566" t="s">
        <v>40445</v>
      </c>
    </row>
    <row r="7567" spans="1:24">
      <c r="A7567">
        <f>HYPERLINK("https://www.philgeps.gov.ph/GEPSNONPILOT/Tender/SplashBidNoticeAbstractUI.aspx?menuIndex=3&amp;refID=7040411&amp;Result=3","7040411")</f>
        <v>0</v>
      </c>
      <c r="B7567" t="s">
        <v>1579</v>
      </c>
      <c r="C7567" t="s">
        <v>10286</v>
      </c>
      <c r="D7567" t="s">
        <v>16219</v>
      </c>
      <c r="E7567" t="s">
        <v>22946</v>
      </c>
      <c r="F7567" t="s">
        <v>28198</v>
      </c>
      <c r="G7567" t="s">
        <v>28205</v>
      </c>
      <c r="H7567" t="s">
        <v>28214</v>
      </c>
      <c r="I7567" t="s">
        <v>3797</v>
      </c>
      <c r="J7567" t="s">
        <v>28347</v>
      </c>
      <c r="K7567" t="s">
        <v>36697</v>
      </c>
      <c r="M7567" t="s">
        <v>38662</v>
      </c>
      <c r="N7567" t="s">
        <v>40436</v>
      </c>
      <c r="O7567" t="s">
        <v>40437</v>
      </c>
      <c r="P7567">
        <v>0</v>
      </c>
      <c r="Q7567">
        <v>0</v>
      </c>
      <c r="R7567" t="s">
        <v>40444</v>
      </c>
      <c r="S7567" t="s">
        <v>40676</v>
      </c>
      <c r="T7567" t="s">
        <v>42138</v>
      </c>
      <c r="U7567" t="s">
        <v>49011</v>
      </c>
      <c r="W7567" t="s">
        <v>38662</v>
      </c>
      <c r="X7567" t="s">
        <v>40445</v>
      </c>
    </row>
    <row r="7568" spans="1:24">
      <c r="A7568">
        <f>HYPERLINK("https://www.philgeps.gov.ph/GEPSNONPILOT/Tender/SplashBidNoticeAbstractUI.aspx?menuIndex=3&amp;refID=7040492&amp;Result=3","7040492")</f>
        <v>0</v>
      </c>
      <c r="B7568" t="s">
        <v>772</v>
      </c>
      <c r="C7568" t="s">
        <v>10287</v>
      </c>
      <c r="D7568" t="s">
        <v>16238</v>
      </c>
      <c r="E7568" t="s">
        <v>22947</v>
      </c>
      <c r="F7568" t="s">
        <v>28198</v>
      </c>
      <c r="G7568" t="s">
        <v>28205</v>
      </c>
      <c r="H7568" t="s">
        <v>28215</v>
      </c>
      <c r="I7568" t="s">
        <v>5656</v>
      </c>
      <c r="J7568" t="s">
        <v>33088</v>
      </c>
      <c r="K7568" t="s">
        <v>36696</v>
      </c>
      <c r="M7568" t="s">
        <v>37775</v>
      </c>
      <c r="N7568" t="s">
        <v>40436</v>
      </c>
      <c r="O7568" t="s">
        <v>40437</v>
      </c>
      <c r="P7568">
        <v>0</v>
      </c>
      <c r="Q7568">
        <v>6</v>
      </c>
      <c r="R7568" t="s">
        <v>40444</v>
      </c>
      <c r="S7568" t="s">
        <v>40676</v>
      </c>
      <c r="T7568" t="s">
        <v>42350</v>
      </c>
      <c r="U7568" t="s">
        <v>49012</v>
      </c>
      <c r="V7568" t="s">
        <v>54580</v>
      </c>
      <c r="W7568" t="s">
        <v>37775</v>
      </c>
      <c r="X7568" t="s">
        <v>40445</v>
      </c>
    </row>
    <row r="7569" spans="1:24">
      <c r="A7569">
        <f>HYPERLINK("https://www.philgeps.gov.ph/GEPSNONPILOT/Tender/SplashBidNoticeAbstractUI.aspx?menuIndex=3&amp;refID=7040495&amp;Result=3","7040495")</f>
        <v>0</v>
      </c>
      <c r="B7569" t="s">
        <v>2305</v>
      </c>
      <c r="C7569" t="s">
        <v>10288</v>
      </c>
      <c r="D7569" t="s">
        <v>16197</v>
      </c>
      <c r="E7569" t="s">
        <v>16524</v>
      </c>
      <c r="F7569" t="s">
        <v>28198</v>
      </c>
      <c r="G7569" t="s">
        <v>28205</v>
      </c>
      <c r="H7569" t="s">
        <v>28215</v>
      </c>
      <c r="I7569" t="s">
        <v>5100</v>
      </c>
      <c r="J7569" t="s">
        <v>33089</v>
      </c>
      <c r="K7569" t="s">
        <v>36707</v>
      </c>
      <c r="M7569" t="s">
        <v>39481</v>
      </c>
      <c r="N7569" t="s">
        <v>40436</v>
      </c>
      <c r="O7569" t="s">
        <v>40437</v>
      </c>
      <c r="P7569">
        <v>0</v>
      </c>
      <c r="Q7569">
        <v>0</v>
      </c>
      <c r="R7569" t="s">
        <v>40444</v>
      </c>
      <c r="S7569" t="s">
        <v>40676</v>
      </c>
      <c r="T7569" t="s">
        <v>42287</v>
      </c>
      <c r="U7569" t="s">
        <v>49013</v>
      </c>
      <c r="W7569" t="s">
        <v>39481</v>
      </c>
      <c r="X7569" t="s">
        <v>40445</v>
      </c>
    </row>
    <row r="7570" spans="1:24">
      <c r="A7570">
        <f>HYPERLINK("https://www.philgeps.gov.ph/GEPSNONPILOT/Tender/SplashBidNoticeAbstractUI.aspx?menuIndex=3&amp;refID=7040419&amp;Result=3","7040419")</f>
        <v>0</v>
      </c>
      <c r="B7570" t="s">
        <v>2320</v>
      </c>
      <c r="C7570" t="s">
        <v>10289</v>
      </c>
      <c r="D7570" t="s">
        <v>16235</v>
      </c>
      <c r="E7570" t="s">
        <v>22948</v>
      </c>
      <c r="F7570" t="s">
        <v>28198</v>
      </c>
      <c r="G7570" t="s">
        <v>28207</v>
      </c>
      <c r="H7570" t="s">
        <v>28215</v>
      </c>
      <c r="I7570" t="s">
        <v>3797</v>
      </c>
      <c r="J7570" t="s">
        <v>33090</v>
      </c>
      <c r="K7570" t="s">
        <v>36707</v>
      </c>
      <c r="M7570" t="s">
        <v>39498</v>
      </c>
      <c r="N7570" t="s">
        <v>40436</v>
      </c>
      <c r="O7570" t="s">
        <v>40437</v>
      </c>
      <c r="P7570">
        <v>0</v>
      </c>
      <c r="Q7570">
        <v>1</v>
      </c>
      <c r="R7570" t="s">
        <v>40444</v>
      </c>
      <c r="S7570" t="s">
        <v>40676</v>
      </c>
      <c r="T7570" t="s">
        <v>42158</v>
      </c>
      <c r="U7570" t="s">
        <v>49014</v>
      </c>
      <c r="W7570" t="s">
        <v>55513</v>
      </c>
      <c r="X7570" t="s">
        <v>40445</v>
      </c>
    </row>
    <row r="7571" spans="1:24">
      <c r="A7571">
        <f>HYPERLINK("https://www.philgeps.gov.ph/GEPSNONPILOT/Tender/SplashBidNoticeAbstractUI.aspx?menuIndex=3&amp;refID=7040491&amp;Result=3","7040491")</f>
        <v>0</v>
      </c>
      <c r="B7571" t="s">
        <v>414</v>
      </c>
      <c r="C7571" t="s">
        <v>10290</v>
      </c>
      <c r="D7571" t="s">
        <v>16207</v>
      </c>
      <c r="E7571" t="s">
        <v>22949</v>
      </c>
      <c r="F7571" t="s">
        <v>28198</v>
      </c>
      <c r="G7571" t="s">
        <v>28205</v>
      </c>
      <c r="H7571" t="s">
        <v>28214</v>
      </c>
      <c r="I7571" t="s">
        <v>3797</v>
      </c>
      <c r="J7571" t="s">
        <v>29503</v>
      </c>
      <c r="K7571" t="s">
        <v>36701</v>
      </c>
      <c r="M7571" t="s">
        <v>37396</v>
      </c>
      <c r="N7571" t="s">
        <v>40436</v>
      </c>
      <c r="O7571" t="s">
        <v>40437</v>
      </c>
      <c r="P7571">
        <v>0</v>
      </c>
      <c r="Q7571">
        <v>0</v>
      </c>
      <c r="R7571" t="s">
        <v>40444</v>
      </c>
      <c r="S7571" t="s">
        <v>40676</v>
      </c>
      <c r="T7571" t="s">
        <v>42277</v>
      </c>
      <c r="U7571" t="s">
        <v>49015</v>
      </c>
      <c r="W7571" t="s">
        <v>37396</v>
      </c>
      <c r="X7571" t="s">
        <v>40445</v>
      </c>
    </row>
    <row r="7572" spans="1:24">
      <c r="A7572">
        <f>HYPERLINK("https://www.philgeps.gov.ph/GEPSNONPILOT/Tender/SplashBidNoticeAbstractUI.aspx?menuIndex=3&amp;refID=7040478&amp;Result=3","7040478")</f>
        <v>0</v>
      </c>
      <c r="B7572" t="s">
        <v>2314</v>
      </c>
      <c r="C7572" t="s">
        <v>10291</v>
      </c>
      <c r="D7572" t="s">
        <v>16195</v>
      </c>
      <c r="E7572" t="s">
        <v>22950</v>
      </c>
      <c r="F7572" t="s">
        <v>28198</v>
      </c>
      <c r="G7572" t="s">
        <v>28205</v>
      </c>
      <c r="H7572" t="s">
        <v>28214</v>
      </c>
      <c r="I7572" t="s">
        <v>28255</v>
      </c>
      <c r="J7572" t="s">
        <v>33091</v>
      </c>
      <c r="K7572" t="s">
        <v>36692</v>
      </c>
      <c r="M7572" t="s">
        <v>39492</v>
      </c>
      <c r="N7572" t="s">
        <v>40436</v>
      </c>
      <c r="O7572" t="s">
        <v>40437</v>
      </c>
      <c r="P7572">
        <v>0</v>
      </c>
      <c r="Q7572">
        <v>8</v>
      </c>
      <c r="R7572" t="s">
        <v>40444</v>
      </c>
      <c r="S7572" t="s">
        <v>40676</v>
      </c>
      <c r="T7572" t="s">
        <v>42138</v>
      </c>
      <c r="U7572" t="s">
        <v>49016</v>
      </c>
      <c r="V7572" t="s">
        <v>54574</v>
      </c>
      <c r="W7572" t="s">
        <v>39492</v>
      </c>
      <c r="X7572" t="s">
        <v>40445</v>
      </c>
    </row>
    <row r="7573" spans="1:24">
      <c r="A7573">
        <f>HYPERLINK("https://www.philgeps.gov.ph/GEPSNONPILOT/Tender/SplashBidNoticeAbstractUI.aspx?menuIndex=3&amp;refID=7040402&amp;Result=3","7040402")</f>
        <v>0</v>
      </c>
      <c r="B7573" t="s">
        <v>1413</v>
      </c>
      <c r="C7573" t="s">
        <v>10292</v>
      </c>
      <c r="D7573" t="s">
        <v>16198</v>
      </c>
      <c r="E7573" t="s">
        <v>22951</v>
      </c>
      <c r="F7573" t="s">
        <v>28198</v>
      </c>
      <c r="G7573" t="s">
        <v>28205</v>
      </c>
      <c r="H7573" t="s">
        <v>28214</v>
      </c>
      <c r="I7573" t="s">
        <v>3797</v>
      </c>
      <c r="J7573" t="s">
        <v>28363</v>
      </c>
      <c r="K7573" t="s">
        <v>36697</v>
      </c>
      <c r="M7573" t="s">
        <v>38478</v>
      </c>
      <c r="N7573" t="s">
        <v>40436</v>
      </c>
      <c r="O7573" t="s">
        <v>40437</v>
      </c>
      <c r="P7573">
        <v>0</v>
      </c>
      <c r="Q7573">
        <v>3</v>
      </c>
      <c r="R7573" t="s">
        <v>40444</v>
      </c>
      <c r="S7573" t="s">
        <v>40676</v>
      </c>
      <c r="T7573" t="s">
        <v>42145</v>
      </c>
      <c r="U7573" t="s">
        <v>49017</v>
      </c>
      <c r="W7573" t="s">
        <v>38478</v>
      </c>
      <c r="X7573" t="s">
        <v>40445</v>
      </c>
    </row>
    <row r="7574" spans="1:24">
      <c r="A7574">
        <f>HYPERLINK("https://www.philgeps.gov.ph/GEPSNONPILOT/Tender/SplashBidNoticeAbstractUI.aspx?menuIndex=3&amp;refID=7040470&amp;Result=3","7040470")</f>
        <v>0</v>
      </c>
      <c r="B7574" t="s">
        <v>1497</v>
      </c>
      <c r="C7574" t="s">
        <v>10293</v>
      </c>
      <c r="D7574" t="s">
        <v>16211</v>
      </c>
      <c r="E7574" t="s">
        <v>22952</v>
      </c>
      <c r="F7574" t="s">
        <v>28198</v>
      </c>
      <c r="G7574" t="s">
        <v>28205</v>
      </c>
      <c r="H7574" t="s">
        <v>28215</v>
      </c>
      <c r="I7574" t="s">
        <v>28227</v>
      </c>
      <c r="J7574" t="s">
        <v>33092</v>
      </c>
      <c r="K7574" t="s">
        <v>36688</v>
      </c>
      <c r="M7574" t="s">
        <v>38572</v>
      </c>
      <c r="N7574" t="s">
        <v>40436</v>
      </c>
      <c r="O7574" t="s">
        <v>40437</v>
      </c>
      <c r="P7574">
        <v>0</v>
      </c>
      <c r="Q7574">
        <v>0</v>
      </c>
      <c r="R7574" t="s">
        <v>40444</v>
      </c>
      <c r="S7574" t="s">
        <v>40676</v>
      </c>
      <c r="T7574" t="s">
        <v>42129</v>
      </c>
      <c r="U7574" t="s">
        <v>49018</v>
      </c>
      <c r="V7574" t="s">
        <v>54581</v>
      </c>
      <c r="W7574" t="s">
        <v>38572</v>
      </c>
      <c r="X7574" t="s">
        <v>40445</v>
      </c>
    </row>
    <row r="7575" spans="1:24">
      <c r="A7575">
        <f>HYPERLINK("https://www.philgeps.gov.ph/GEPSNONPILOT/Tender/SplashBidNoticeAbstractUI.aspx?menuIndex=3&amp;refID=7040423&amp;Result=3","7040423")</f>
        <v>0</v>
      </c>
      <c r="B7575" t="s">
        <v>2305</v>
      </c>
      <c r="C7575" t="s">
        <v>10294</v>
      </c>
      <c r="D7575" t="s">
        <v>16197</v>
      </c>
      <c r="E7575" t="s">
        <v>16516</v>
      </c>
      <c r="F7575" t="s">
        <v>28198</v>
      </c>
      <c r="G7575" t="s">
        <v>28205</v>
      </c>
      <c r="H7575" t="s">
        <v>28215</v>
      </c>
      <c r="I7575" t="s">
        <v>5100</v>
      </c>
      <c r="J7575" t="s">
        <v>33093</v>
      </c>
      <c r="K7575" t="s">
        <v>36707</v>
      </c>
      <c r="M7575" t="s">
        <v>39481</v>
      </c>
      <c r="N7575" t="s">
        <v>40436</v>
      </c>
      <c r="O7575" t="s">
        <v>40437</v>
      </c>
      <c r="P7575">
        <v>0</v>
      </c>
      <c r="Q7575">
        <v>0</v>
      </c>
      <c r="R7575" t="s">
        <v>40444</v>
      </c>
      <c r="S7575" t="s">
        <v>40676</v>
      </c>
      <c r="T7575" t="s">
        <v>42287</v>
      </c>
      <c r="U7575" t="s">
        <v>49019</v>
      </c>
      <c r="W7575" t="s">
        <v>39481</v>
      </c>
      <c r="X7575" t="s">
        <v>40445</v>
      </c>
    </row>
    <row r="7576" spans="1:24">
      <c r="A7576">
        <f>HYPERLINK("https://www.philgeps.gov.ph/GEPSNONPILOT/Tender/SplashBidNoticeAbstractUI.aspx?menuIndex=3&amp;refID=7040479&amp;Result=3","7040479")</f>
        <v>0</v>
      </c>
      <c r="B7576" t="s">
        <v>1730</v>
      </c>
      <c r="C7576" t="s">
        <v>10295</v>
      </c>
      <c r="E7576" t="s">
        <v>22953</v>
      </c>
      <c r="F7576" t="s">
        <v>28198</v>
      </c>
      <c r="G7576" t="s">
        <v>28205</v>
      </c>
      <c r="H7576" t="s">
        <v>28215</v>
      </c>
      <c r="I7576" t="s">
        <v>28247</v>
      </c>
      <c r="J7576" t="s">
        <v>30935</v>
      </c>
      <c r="K7576" t="s">
        <v>36694</v>
      </c>
      <c r="M7576" t="s">
        <v>38840</v>
      </c>
      <c r="N7576" t="s">
        <v>40436</v>
      </c>
      <c r="O7576" t="s">
        <v>40437</v>
      </c>
      <c r="P7576">
        <v>0</v>
      </c>
      <c r="Q7576">
        <v>41</v>
      </c>
      <c r="R7576" t="s">
        <v>40444</v>
      </c>
      <c r="S7576" t="s">
        <v>40676</v>
      </c>
      <c r="T7576" t="s">
        <v>42493</v>
      </c>
      <c r="U7576" t="s">
        <v>46910</v>
      </c>
      <c r="W7576" t="s">
        <v>38840</v>
      </c>
      <c r="X7576" t="s">
        <v>40445</v>
      </c>
    </row>
    <row r="7577" spans="1:24">
      <c r="A7577">
        <f>HYPERLINK("https://www.philgeps.gov.ph/GEPSNONPILOT/Tender/SplashBidNoticeAbstractUI.aspx?menuIndex=3&amp;refID=7040476&amp;Result=3","7040476")</f>
        <v>0</v>
      </c>
      <c r="B7577" t="s">
        <v>2321</v>
      </c>
      <c r="C7577" t="s">
        <v>10296</v>
      </c>
      <c r="D7577" t="s">
        <v>16188</v>
      </c>
      <c r="E7577" t="s">
        <v>22954</v>
      </c>
      <c r="F7577" t="s">
        <v>28198</v>
      </c>
      <c r="G7577" t="s">
        <v>28205</v>
      </c>
      <c r="H7577" t="s">
        <v>28214</v>
      </c>
      <c r="I7577" t="s">
        <v>3797</v>
      </c>
      <c r="J7577" t="s">
        <v>28363</v>
      </c>
      <c r="K7577" t="s">
        <v>36694</v>
      </c>
      <c r="M7577" t="s">
        <v>39499</v>
      </c>
      <c r="N7577" t="s">
        <v>40436</v>
      </c>
      <c r="O7577" t="s">
        <v>40437</v>
      </c>
      <c r="P7577">
        <v>0</v>
      </c>
      <c r="Q7577">
        <v>0</v>
      </c>
      <c r="R7577" t="s">
        <v>40444</v>
      </c>
      <c r="S7577" t="s">
        <v>40676</v>
      </c>
      <c r="T7577" t="s">
        <v>42144</v>
      </c>
      <c r="U7577" t="s">
        <v>49020</v>
      </c>
      <c r="W7577" t="s">
        <v>39499</v>
      </c>
      <c r="X7577" t="s">
        <v>40445</v>
      </c>
    </row>
    <row r="7578" spans="1:24">
      <c r="A7578">
        <f>HYPERLINK("https://www.philgeps.gov.ph/GEPSNONPILOT/Tender/SplashBidNoticeAbstractUI.aspx?menuIndex=3&amp;refID=7040474&amp;Result=3","7040474")</f>
        <v>0</v>
      </c>
      <c r="B7578" t="s">
        <v>2303</v>
      </c>
      <c r="C7578" t="s">
        <v>10297</v>
      </c>
      <c r="D7578" t="s">
        <v>16271</v>
      </c>
      <c r="E7578" t="s">
        <v>22955</v>
      </c>
      <c r="F7578" t="s">
        <v>28198</v>
      </c>
      <c r="G7578" t="s">
        <v>28207</v>
      </c>
      <c r="H7578" t="s">
        <v>28215</v>
      </c>
      <c r="I7578" t="s">
        <v>28266</v>
      </c>
      <c r="J7578" t="s">
        <v>33094</v>
      </c>
      <c r="K7578" t="s">
        <v>36701</v>
      </c>
      <c r="M7578" t="s">
        <v>39478</v>
      </c>
      <c r="N7578" t="s">
        <v>40436</v>
      </c>
      <c r="O7578" t="s">
        <v>40437</v>
      </c>
      <c r="P7578">
        <v>0</v>
      </c>
      <c r="Q7578">
        <v>3</v>
      </c>
      <c r="R7578" t="s">
        <v>40444</v>
      </c>
      <c r="S7578" t="s">
        <v>40676</v>
      </c>
      <c r="T7578" t="s">
        <v>42277</v>
      </c>
      <c r="U7578" t="s">
        <v>49021</v>
      </c>
      <c r="W7578" t="s">
        <v>39478</v>
      </c>
      <c r="X7578" t="s">
        <v>40445</v>
      </c>
    </row>
    <row r="7579" spans="1:24">
      <c r="A7579">
        <f>HYPERLINK("https://www.philgeps.gov.ph/GEPSNONPILOT/Tender/SplashBidNoticeAbstractUI.aspx?menuIndex=3&amp;refID=7040464&amp;Result=3","7040464")</f>
        <v>0</v>
      </c>
      <c r="B7579" t="s">
        <v>2322</v>
      </c>
      <c r="C7579" t="s">
        <v>10298</v>
      </c>
      <c r="D7579" t="s">
        <v>16225</v>
      </c>
      <c r="E7579" t="s">
        <v>22956</v>
      </c>
      <c r="F7579" t="s">
        <v>28198</v>
      </c>
      <c r="G7579" t="s">
        <v>28205</v>
      </c>
      <c r="H7579" t="s">
        <v>28215</v>
      </c>
      <c r="I7579" t="s">
        <v>8888</v>
      </c>
      <c r="J7579" t="s">
        <v>33095</v>
      </c>
      <c r="K7579" t="s">
        <v>36697</v>
      </c>
      <c r="M7579" t="s">
        <v>39500</v>
      </c>
      <c r="N7579" t="s">
        <v>40436</v>
      </c>
      <c r="O7579" t="s">
        <v>40437</v>
      </c>
      <c r="P7579">
        <v>0</v>
      </c>
      <c r="Q7579">
        <v>4</v>
      </c>
      <c r="R7579" t="s">
        <v>40444</v>
      </c>
      <c r="S7579" t="s">
        <v>40676</v>
      </c>
      <c r="T7579" t="s">
        <v>42426</v>
      </c>
      <c r="U7579" t="s">
        <v>49022</v>
      </c>
      <c r="W7579" t="s">
        <v>39500</v>
      </c>
      <c r="X7579" t="s">
        <v>40445</v>
      </c>
    </row>
    <row r="7580" spans="1:24">
      <c r="A7580">
        <f>HYPERLINK("https://www.philgeps.gov.ph/GEPSNONPILOT/Tender/SplashBidNoticeAbstractUI.aspx?menuIndex=3&amp;refID=7040457&amp;Result=3","7040457")</f>
        <v>0</v>
      </c>
      <c r="B7580" t="s">
        <v>2323</v>
      </c>
      <c r="C7580" t="s">
        <v>10299</v>
      </c>
      <c r="D7580" t="s">
        <v>16190</v>
      </c>
      <c r="E7580" t="s">
        <v>22957</v>
      </c>
      <c r="F7580" t="s">
        <v>28198</v>
      </c>
      <c r="G7580" t="s">
        <v>28207</v>
      </c>
      <c r="H7580" t="s">
        <v>28215</v>
      </c>
      <c r="I7580" t="s">
        <v>28258</v>
      </c>
      <c r="J7580" t="s">
        <v>28386</v>
      </c>
      <c r="K7580" t="s">
        <v>36688</v>
      </c>
      <c r="M7580" t="s">
        <v>39501</v>
      </c>
      <c r="N7580" t="s">
        <v>40436</v>
      </c>
      <c r="O7580" t="s">
        <v>40437</v>
      </c>
      <c r="P7580">
        <v>0</v>
      </c>
      <c r="Q7580">
        <v>2</v>
      </c>
      <c r="R7580" t="s">
        <v>40444</v>
      </c>
      <c r="S7580" t="s">
        <v>40676</v>
      </c>
      <c r="T7580" t="s">
        <v>42185</v>
      </c>
      <c r="U7580" t="s">
        <v>49023</v>
      </c>
      <c r="V7580" t="s">
        <v>54582</v>
      </c>
      <c r="W7580" t="s">
        <v>39501</v>
      </c>
      <c r="X7580" t="s">
        <v>40445</v>
      </c>
    </row>
    <row r="7581" spans="1:24">
      <c r="A7581">
        <f>HYPERLINK("https://www.philgeps.gov.ph/GEPSNONPILOT/Tender/SplashBidNoticeAbstractUI.aspx?menuIndex=3&amp;refID=7040502&amp;Result=3","7040502")</f>
        <v>0</v>
      </c>
      <c r="B7581" t="s">
        <v>2314</v>
      </c>
      <c r="C7581" t="s">
        <v>10300</v>
      </c>
      <c r="D7581" t="s">
        <v>16195</v>
      </c>
      <c r="E7581" t="s">
        <v>22958</v>
      </c>
      <c r="F7581" t="s">
        <v>28198</v>
      </c>
      <c r="G7581" t="s">
        <v>28205</v>
      </c>
      <c r="H7581" t="s">
        <v>28214</v>
      </c>
      <c r="I7581" t="s">
        <v>28255</v>
      </c>
      <c r="J7581" t="s">
        <v>33096</v>
      </c>
      <c r="K7581" t="s">
        <v>36692</v>
      </c>
      <c r="M7581" t="s">
        <v>39492</v>
      </c>
      <c r="N7581" t="s">
        <v>40436</v>
      </c>
      <c r="O7581" t="s">
        <v>40437</v>
      </c>
      <c r="P7581">
        <v>0</v>
      </c>
      <c r="Q7581">
        <v>9</v>
      </c>
      <c r="R7581" t="s">
        <v>40444</v>
      </c>
      <c r="S7581" t="s">
        <v>40676</v>
      </c>
      <c r="T7581" t="s">
        <v>42138</v>
      </c>
      <c r="U7581" t="s">
        <v>49024</v>
      </c>
      <c r="V7581" t="s">
        <v>54574</v>
      </c>
      <c r="W7581" t="s">
        <v>39492</v>
      </c>
      <c r="X7581" t="s">
        <v>40445</v>
      </c>
    </row>
    <row r="7582" spans="1:24">
      <c r="A7582">
        <f>HYPERLINK("https://www.philgeps.gov.ph/GEPSNONPILOT/Tender/SplashBidNoticeAbstractUI.aspx?menuIndex=3&amp;refID=7040466&amp;Result=3","7040466")</f>
        <v>0</v>
      </c>
      <c r="B7582" t="s">
        <v>2324</v>
      </c>
      <c r="C7582" t="s">
        <v>10301</v>
      </c>
      <c r="D7582" t="s">
        <v>16187</v>
      </c>
      <c r="E7582" t="s">
        <v>22959</v>
      </c>
      <c r="F7582" t="s">
        <v>28198</v>
      </c>
      <c r="G7582" t="s">
        <v>28205</v>
      </c>
      <c r="H7582" t="s">
        <v>28215</v>
      </c>
      <c r="I7582" t="s">
        <v>28224</v>
      </c>
      <c r="J7582" t="s">
        <v>33097</v>
      </c>
      <c r="K7582" t="s">
        <v>36696</v>
      </c>
      <c r="M7582" t="s">
        <v>39502</v>
      </c>
      <c r="N7582" t="s">
        <v>40436</v>
      </c>
      <c r="O7582" t="s">
        <v>40437</v>
      </c>
      <c r="P7582">
        <v>0</v>
      </c>
      <c r="Q7582">
        <v>4</v>
      </c>
      <c r="R7582" t="s">
        <v>40444</v>
      </c>
      <c r="S7582" t="s">
        <v>40676</v>
      </c>
      <c r="T7582" t="s">
        <v>42390</v>
      </c>
      <c r="U7582" t="s">
        <v>49025</v>
      </c>
      <c r="W7582" t="s">
        <v>39502</v>
      </c>
      <c r="X7582" t="s">
        <v>40445</v>
      </c>
    </row>
    <row r="7583" spans="1:24">
      <c r="A7583">
        <f>HYPERLINK("https://www.philgeps.gov.ph/GEPSNONPILOT/Tender/SplashBidNoticeAbstractUI.aspx?menuIndex=3&amp;refID=7040458&amp;Result=3","7040458")</f>
        <v>0</v>
      </c>
      <c r="B7583" t="s">
        <v>2314</v>
      </c>
      <c r="C7583" t="s">
        <v>10302</v>
      </c>
      <c r="D7583" t="s">
        <v>16195</v>
      </c>
      <c r="E7583" t="s">
        <v>22960</v>
      </c>
      <c r="F7583" t="s">
        <v>28198</v>
      </c>
      <c r="G7583" t="s">
        <v>28205</v>
      </c>
      <c r="H7583" t="s">
        <v>28214</v>
      </c>
      <c r="I7583" t="s">
        <v>28255</v>
      </c>
      <c r="J7583" t="s">
        <v>33098</v>
      </c>
      <c r="K7583" t="s">
        <v>36692</v>
      </c>
      <c r="M7583" t="s">
        <v>39492</v>
      </c>
      <c r="N7583" t="s">
        <v>40436</v>
      </c>
      <c r="O7583" t="s">
        <v>40437</v>
      </c>
      <c r="P7583">
        <v>0</v>
      </c>
      <c r="Q7583">
        <v>7</v>
      </c>
      <c r="R7583" t="s">
        <v>40444</v>
      </c>
      <c r="S7583" t="s">
        <v>40676</v>
      </c>
      <c r="T7583" t="s">
        <v>42138</v>
      </c>
      <c r="U7583" t="s">
        <v>49026</v>
      </c>
      <c r="V7583" t="s">
        <v>54574</v>
      </c>
      <c r="W7583" t="s">
        <v>39492</v>
      </c>
      <c r="X7583" t="s">
        <v>40445</v>
      </c>
    </row>
    <row r="7584" spans="1:24">
      <c r="A7584">
        <f>HYPERLINK("https://www.philgeps.gov.ph/GEPSNONPILOT/Tender/SplashBidNoticeAbstractUI.aspx?menuIndex=3&amp;refID=7040451&amp;Result=3","7040451")</f>
        <v>0</v>
      </c>
      <c r="B7584" t="s">
        <v>772</v>
      </c>
      <c r="C7584" t="s">
        <v>10303</v>
      </c>
      <c r="D7584" t="s">
        <v>16238</v>
      </c>
      <c r="E7584" t="s">
        <v>22961</v>
      </c>
      <c r="F7584" t="s">
        <v>28198</v>
      </c>
      <c r="G7584" t="s">
        <v>28205</v>
      </c>
      <c r="H7584" t="s">
        <v>28215</v>
      </c>
      <c r="I7584" t="s">
        <v>5656</v>
      </c>
      <c r="J7584" t="s">
        <v>33099</v>
      </c>
      <c r="K7584" t="s">
        <v>36696</v>
      </c>
      <c r="M7584" t="s">
        <v>37775</v>
      </c>
      <c r="N7584" t="s">
        <v>40436</v>
      </c>
      <c r="O7584" t="s">
        <v>40437</v>
      </c>
      <c r="P7584">
        <v>0</v>
      </c>
      <c r="Q7584">
        <v>3</v>
      </c>
      <c r="R7584" t="s">
        <v>40444</v>
      </c>
      <c r="S7584" t="s">
        <v>40676</v>
      </c>
      <c r="T7584" t="s">
        <v>42350</v>
      </c>
      <c r="U7584" t="s">
        <v>49027</v>
      </c>
      <c r="V7584" t="s">
        <v>54580</v>
      </c>
      <c r="W7584" t="s">
        <v>37775</v>
      </c>
      <c r="X7584" t="s">
        <v>40445</v>
      </c>
    </row>
    <row r="7585" spans="1:24">
      <c r="A7585">
        <f>HYPERLINK("https://www.philgeps.gov.ph/GEPSNONPILOT/Tender/SplashBidNoticeAbstractUI.aspx?menuIndex=3&amp;refID=7040509&amp;Result=3","7040509")</f>
        <v>0</v>
      </c>
      <c r="B7585" t="s">
        <v>1338</v>
      </c>
      <c r="C7585" t="s">
        <v>10304</v>
      </c>
      <c r="D7585" t="s">
        <v>16197</v>
      </c>
      <c r="E7585" t="s">
        <v>22962</v>
      </c>
      <c r="F7585" t="s">
        <v>28198</v>
      </c>
      <c r="G7585" t="s">
        <v>28207</v>
      </c>
      <c r="H7585" t="s">
        <v>28215</v>
      </c>
      <c r="I7585" t="s">
        <v>28226</v>
      </c>
      <c r="J7585" t="s">
        <v>29374</v>
      </c>
      <c r="K7585" t="s">
        <v>36688</v>
      </c>
      <c r="M7585" t="s">
        <v>38396</v>
      </c>
      <c r="N7585" t="s">
        <v>40436</v>
      </c>
      <c r="O7585" t="s">
        <v>40437</v>
      </c>
      <c r="P7585">
        <v>0</v>
      </c>
      <c r="Q7585">
        <v>4</v>
      </c>
      <c r="R7585" t="s">
        <v>40444</v>
      </c>
      <c r="S7585" t="s">
        <v>40676</v>
      </c>
      <c r="T7585" t="s">
        <v>42185</v>
      </c>
      <c r="U7585" t="s">
        <v>45741</v>
      </c>
      <c r="V7585" t="s">
        <v>54140</v>
      </c>
      <c r="W7585" t="s">
        <v>38396</v>
      </c>
      <c r="X7585" t="s">
        <v>40445</v>
      </c>
    </row>
    <row r="7586" spans="1:24">
      <c r="A7586">
        <f>HYPERLINK("https://www.philgeps.gov.ph/GEPSNONPILOT/Tender/SplashBidNoticeAbstractUI.aspx?menuIndex=3&amp;refID=7040455&amp;Result=3","7040455")</f>
        <v>0</v>
      </c>
      <c r="B7586" t="s">
        <v>2038</v>
      </c>
      <c r="C7586" t="s">
        <v>10305</v>
      </c>
      <c r="D7586" t="s">
        <v>16274</v>
      </c>
      <c r="E7586" t="s">
        <v>22963</v>
      </c>
      <c r="F7586" t="s">
        <v>28198</v>
      </c>
      <c r="G7586" t="s">
        <v>28205</v>
      </c>
      <c r="H7586" t="s">
        <v>28214</v>
      </c>
      <c r="I7586" t="s">
        <v>3797</v>
      </c>
      <c r="J7586" t="s">
        <v>33100</v>
      </c>
      <c r="K7586" t="s">
        <v>36861</v>
      </c>
      <c r="M7586" t="s">
        <v>39181</v>
      </c>
      <c r="N7586" t="s">
        <v>40436</v>
      </c>
      <c r="O7586" t="s">
        <v>40437</v>
      </c>
      <c r="P7586">
        <v>0</v>
      </c>
      <c r="Q7586">
        <v>0</v>
      </c>
      <c r="R7586" t="s">
        <v>40444</v>
      </c>
      <c r="S7586" t="s">
        <v>40676</v>
      </c>
      <c r="T7586" t="s">
        <v>42234</v>
      </c>
      <c r="U7586" t="s">
        <v>49028</v>
      </c>
      <c r="V7586" t="s">
        <v>54583</v>
      </c>
      <c r="W7586" t="s">
        <v>39181</v>
      </c>
      <c r="X7586" t="s">
        <v>40445</v>
      </c>
    </row>
    <row r="7587" spans="1:24">
      <c r="A7587">
        <f>HYPERLINK("https://www.philgeps.gov.ph/GEPSNONPILOT/Tender/SplashBidNoticeAbstractUI.aspx?menuIndex=3&amp;refID=7040532&amp;Result=3","7040532")</f>
        <v>0</v>
      </c>
      <c r="B7587" t="s">
        <v>772</v>
      </c>
      <c r="C7587" t="s">
        <v>10306</v>
      </c>
      <c r="D7587" t="s">
        <v>16238</v>
      </c>
      <c r="E7587" t="s">
        <v>22964</v>
      </c>
      <c r="F7587" t="s">
        <v>28198</v>
      </c>
      <c r="G7587" t="s">
        <v>28205</v>
      </c>
      <c r="H7587" t="s">
        <v>28215</v>
      </c>
      <c r="I7587" t="s">
        <v>5656</v>
      </c>
      <c r="J7587" t="s">
        <v>28837</v>
      </c>
      <c r="K7587" t="s">
        <v>36696</v>
      </c>
      <c r="M7587" t="s">
        <v>37775</v>
      </c>
      <c r="N7587" t="s">
        <v>40436</v>
      </c>
      <c r="O7587" t="s">
        <v>40437</v>
      </c>
      <c r="P7587">
        <v>0</v>
      </c>
      <c r="Q7587">
        <v>2</v>
      </c>
      <c r="R7587" t="s">
        <v>40444</v>
      </c>
      <c r="S7587" t="s">
        <v>40676</v>
      </c>
      <c r="T7587" t="s">
        <v>42480</v>
      </c>
      <c r="U7587" t="s">
        <v>49029</v>
      </c>
      <c r="V7587" t="s">
        <v>54580</v>
      </c>
      <c r="W7587" t="s">
        <v>37775</v>
      </c>
      <c r="X7587" t="s">
        <v>40445</v>
      </c>
    </row>
    <row r="7588" spans="1:24">
      <c r="A7588">
        <f>HYPERLINK("https://www.philgeps.gov.ph/GEPSNONPILOT/Tender/SplashBidNoticeAbstractUI.aspx?menuIndex=3&amp;refID=7040530&amp;Result=3","7040530")</f>
        <v>0</v>
      </c>
      <c r="B7588" t="s">
        <v>1330</v>
      </c>
      <c r="C7588" t="s">
        <v>10307</v>
      </c>
      <c r="D7588" t="s">
        <v>16262</v>
      </c>
      <c r="E7588" t="s">
        <v>22965</v>
      </c>
      <c r="F7588" t="s">
        <v>28198</v>
      </c>
      <c r="G7588" t="s">
        <v>28205</v>
      </c>
      <c r="H7588" t="s">
        <v>28215</v>
      </c>
      <c r="I7588" t="s">
        <v>4168</v>
      </c>
      <c r="J7588" t="s">
        <v>33101</v>
      </c>
      <c r="K7588" t="s">
        <v>36706</v>
      </c>
      <c r="M7588" t="s">
        <v>38388</v>
      </c>
      <c r="N7588" t="s">
        <v>40436</v>
      </c>
      <c r="O7588" t="s">
        <v>40437</v>
      </c>
      <c r="P7588">
        <v>0</v>
      </c>
      <c r="Q7588">
        <v>1</v>
      </c>
      <c r="R7588" t="s">
        <v>40444</v>
      </c>
      <c r="S7588" t="s">
        <v>40676</v>
      </c>
      <c r="T7588" t="s">
        <v>42487</v>
      </c>
      <c r="U7588" t="s">
        <v>49030</v>
      </c>
      <c r="W7588" t="s">
        <v>38388</v>
      </c>
      <c r="X7588" t="s">
        <v>40445</v>
      </c>
    </row>
    <row r="7589" spans="1:24">
      <c r="A7589">
        <f>HYPERLINK("https://www.philgeps.gov.ph/GEPSNONPILOT/Tender/SplashBidNoticeAbstractUI.aspx?menuIndex=3&amp;refID=7040521&amp;Result=3","7040521")</f>
        <v>0</v>
      </c>
      <c r="B7589" t="s">
        <v>1413</v>
      </c>
      <c r="C7589" t="s">
        <v>10308</v>
      </c>
      <c r="D7589" t="s">
        <v>16198</v>
      </c>
      <c r="E7589" t="s">
        <v>22966</v>
      </c>
      <c r="F7589" t="s">
        <v>28198</v>
      </c>
      <c r="G7589" t="s">
        <v>28205</v>
      </c>
      <c r="H7589" t="s">
        <v>28214</v>
      </c>
      <c r="I7589" t="s">
        <v>5100</v>
      </c>
      <c r="J7589" t="s">
        <v>28406</v>
      </c>
      <c r="K7589" t="s">
        <v>36697</v>
      </c>
      <c r="M7589" t="s">
        <v>38478</v>
      </c>
      <c r="N7589" t="s">
        <v>40436</v>
      </c>
      <c r="O7589" t="s">
        <v>40437</v>
      </c>
      <c r="P7589">
        <v>0</v>
      </c>
      <c r="Q7589">
        <v>0</v>
      </c>
      <c r="R7589" t="s">
        <v>40444</v>
      </c>
      <c r="S7589" t="s">
        <v>40676</v>
      </c>
      <c r="T7589" t="s">
        <v>42145</v>
      </c>
      <c r="U7589" t="s">
        <v>49031</v>
      </c>
      <c r="W7589" t="s">
        <v>38478</v>
      </c>
      <c r="X7589" t="s">
        <v>40445</v>
      </c>
    </row>
    <row r="7590" spans="1:24">
      <c r="A7590">
        <f>HYPERLINK("https://www.philgeps.gov.ph/GEPSNONPILOT/Tender/SplashBidNoticeAbstractUI.aspx?menuIndex=3&amp;refID=7040544&amp;Result=3","7040544")</f>
        <v>0</v>
      </c>
      <c r="B7590" t="s">
        <v>1730</v>
      </c>
      <c r="C7590" t="s">
        <v>10295</v>
      </c>
      <c r="E7590" t="s">
        <v>22967</v>
      </c>
      <c r="F7590" t="s">
        <v>28198</v>
      </c>
      <c r="G7590" t="s">
        <v>28205</v>
      </c>
      <c r="H7590" t="s">
        <v>28215</v>
      </c>
      <c r="I7590" t="s">
        <v>28247</v>
      </c>
      <c r="J7590" t="s">
        <v>33102</v>
      </c>
      <c r="K7590" t="s">
        <v>36694</v>
      </c>
      <c r="M7590" t="s">
        <v>38840</v>
      </c>
      <c r="N7590" t="s">
        <v>40436</v>
      </c>
      <c r="O7590" t="s">
        <v>40437</v>
      </c>
      <c r="P7590">
        <v>0</v>
      </c>
      <c r="Q7590">
        <v>40</v>
      </c>
      <c r="R7590" t="s">
        <v>40444</v>
      </c>
      <c r="S7590" t="s">
        <v>40676</v>
      </c>
      <c r="T7590" t="s">
        <v>42494</v>
      </c>
      <c r="U7590" t="s">
        <v>46910</v>
      </c>
      <c r="W7590" t="s">
        <v>38840</v>
      </c>
      <c r="X7590" t="s">
        <v>40445</v>
      </c>
    </row>
    <row r="7591" spans="1:24">
      <c r="A7591">
        <f>HYPERLINK("https://www.philgeps.gov.ph/GEPSNONPILOT/Tender/SplashBidNoticeAbstractUI.aspx?menuIndex=3&amp;refID=7040529&amp;Result=3","7040529")</f>
        <v>0</v>
      </c>
      <c r="B7591" t="s">
        <v>1730</v>
      </c>
      <c r="C7591" t="s">
        <v>10295</v>
      </c>
      <c r="E7591" t="s">
        <v>22968</v>
      </c>
      <c r="F7591" t="s">
        <v>28198</v>
      </c>
      <c r="G7591" t="s">
        <v>28205</v>
      </c>
      <c r="H7591" t="s">
        <v>28215</v>
      </c>
      <c r="I7591" t="s">
        <v>28247</v>
      </c>
      <c r="J7591" t="s">
        <v>30488</v>
      </c>
      <c r="K7591" t="s">
        <v>36694</v>
      </c>
      <c r="M7591" t="s">
        <v>38840</v>
      </c>
      <c r="N7591" t="s">
        <v>40436</v>
      </c>
      <c r="O7591" t="s">
        <v>40437</v>
      </c>
      <c r="P7591">
        <v>0</v>
      </c>
      <c r="Q7591">
        <v>38</v>
      </c>
      <c r="R7591" t="s">
        <v>40444</v>
      </c>
      <c r="S7591" t="s">
        <v>40676</v>
      </c>
      <c r="T7591" t="s">
        <v>42495</v>
      </c>
      <c r="U7591" t="s">
        <v>46910</v>
      </c>
      <c r="W7591" t="s">
        <v>38840</v>
      </c>
      <c r="X7591" t="s">
        <v>40445</v>
      </c>
    </row>
    <row r="7592" spans="1:24">
      <c r="A7592">
        <f>HYPERLINK("https://www.philgeps.gov.ph/GEPSNONPILOT/Tender/SplashBidNoticeAbstractUI.aspx?menuIndex=3&amp;refID=7040525&amp;Result=3","7040525")</f>
        <v>0</v>
      </c>
      <c r="B7592" t="s">
        <v>101</v>
      </c>
      <c r="C7592" t="s">
        <v>10309</v>
      </c>
      <c r="D7592" t="s">
        <v>16200</v>
      </c>
      <c r="E7592" t="s">
        <v>22969</v>
      </c>
      <c r="F7592" t="s">
        <v>28198</v>
      </c>
      <c r="G7592" t="s">
        <v>28205</v>
      </c>
      <c r="H7592" t="s">
        <v>28215</v>
      </c>
      <c r="I7592" t="s">
        <v>28220</v>
      </c>
      <c r="J7592" t="s">
        <v>33103</v>
      </c>
      <c r="K7592" t="s">
        <v>36701</v>
      </c>
      <c r="M7592" t="s">
        <v>37075</v>
      </c>
      <c r="N7592" t="s">
        <v>40436</v>
      </c>
      <c r="O7592" t="s">
        <v>40437</v>
      </c>
      <c r="P7592">
        <v>0</v>
      </c>
      <c r="Q7592">
        <v>4</v>
      </c>
      <c r="R7592" t="s">
        <v>40444</v>
      </c>
      <c r="S7592" t="s">
        <v>40676</v>
      </c>
      <c r="T7592" t="s">
        <v>42123</v>
      </c>
      <c r="U7592" t="s">
        <v>49032</v>
      </c>
      <c r="V7592" t="s">
        <v>53799</v>
      </c>
      <c r="W7592" t="s">
        <v>37075</v>
      </c>
      <c r="X7592" t="s">
        <v>40445</v>
      </c>
    </row>
    <row r="7593" spans="1:24">
      <c r="A7593">
        <f>HYPERLINK("https://www.philgeps.gov.ph/GEPSNONPILOT/Tender/SplashBidNoticeAbstractUI.aspx?menuIndex=3&amp;refID=7040518&amp;Result=3","7040518")</f>
        <v>0</v>
      </c>
      <c r="B7593" t="s">
        <v>2314</v>
      </c>
      <c r="C7593" t="s">
        <v>10310</v>
      </c>
      <c r="D7593" t="s">
        <v>16195</v>
      </c>
      <c r="E7593" t="s">
        <v>22970</v>
      </c>
      <c r="F7593" t="s">
        <v>28198</v>
      </c>
      <c r="G7593" t="s">
        <v>28205</v>
      </c>
      <c r="H7593" t="s">
        <v>28214</v>
      </c>
      <c r="I7593" t="s">
        <v>28255</v>
      </c>
      <c r="J7593" t="s">
        <v>33104</v>
      </c>
      <c r="K7593" t="s">
        <v>36692</v>
      </c>
      <c r="M7593" t="s">
        <v>39492</v>
      </c>
      <c r="N7593" t="s">
        <v>40436</v>
      </c>
      <c r="O7593" t="s">
        <v>40437</v>
      </c>
      <c r="P7593">
        <v>0</v>
      </c>
      <c r="Q7593">
        <v>6</v>
      </c>
      <c r="R7593" t="s">
        <v>40444</v>
      </c>
      <c r="S7593" t="s">
        <v>40676</v>
      </c>
      <c r="T7593" t="s">
        <v>42138</v>
      </c>
      <c r="U7593" t="s">
        <v>49033</v>
      </c>
      <c r="V7593" t="s">
        <v>54574</v>
      </c>
      <c r="W7593" t="s">
        <v>39492</v>
      </c>
      <c r="X7593" t="s">
        <v>40445</v>
      </c>
    </row>
    <row r="7594" spans="1:24">
      <c r="A7594">
        <f>HYPERLINK("https://www.philgeps.gov.ph/GEPSNONPILOT/Tender/SplashBidNoticeAbstractUI.aspx?menuIndex=3&amp;refID=7040547&amp;Result=3","7040547")</f>
        <v>0</v>
      </c>
      <c r="B7594" t="s">
        <v>1330</v>
      </c>
      <c r="C7594" t="s">
        <v>10311</v>
      </c>
      <c r="D7594" t="s">
        <v>16262</v>
      </c>
      <c r="E7594" t="s">
        <v>22971</v>
      </c>
      <c r="F7594" t="s">
        <v>28198</v>
      </c>
      <c r="G7594" t="s">
        <v>28205</v>
      </c>
      <c r="H7594" t="s">
        <v>28215</v>
      </c>
      <c r="I7594" t="s">
        <v>28234</v>
      </c>
      <c r="J7594" t="s">
        <v>33105</v>
      </c>
      <c r="K7594" t="s">
        <v>36706</v>
      </c>
      <c r="M7594" t="s">
        <v>38388</v>
      </c>
      <c r="N7594" t="s">
        <v>40436</v>
      </c>
      <c r="O7594" t="s">
        <v>40437</v>
      </c>
      <c r="P7594">
        <v>0</v>
      </c>
      <c r="Q7594">
        <v>2</v>
      </c>
      <c r="R7594" t="s">
        <v>40444</v>
      </c>
      <c r="S7594" t="s">
        <v>40676</v>
      </c>
      <c r="T7594" t="s">
        <v>42487</v>
      </c>
      <c r="U7594" t="s">
        <v>49034</v>
      </c>
      <c r="W7594" t="s">
        <v>38388</v>
      </c>
      <c r="X7594" t="s">
        <v>40445</v>
      </c>
    </row>
    <row r="7595" spans="1:24">
      <c r="A7595">
        <f>HYPERLINK("https://www.philgeps.gov.ph/GEPSNONPILOT/Tender/SplashBidNoticeAbstractUI.aspx?menuIndex=3&amp;refID=7040524&amp;Result=3","7040524")</f>
        <v>0</v>
      </c>
      <c r="B7595" t="s">
        <v>2325</v>
      </c>
      <c r="C7595" t="s">
        <v>10312</v>
      </c>
      <c r="D7595" t="s">
        <v>16233</v>
      </c>
      <c r="E7595" t="s">
        <v>22972</v>
      </c>
      <c r="F7595" t="s">
        <v>28198</v>
      </c>
      <c r="G7595" t="s">
        <v>28205</v>
      </c>
      <c r="H7595" t="s">
        <v>28214</v>
      </c>
      <c r="I7595" t="s">
        <v>3797</v>
      </c>
      <c r="J7595" t="s">
        <v>33106</v>
      </c>
      <c r="K7595" t="s">
        <v>36692</v>
      </c>
      <c r="M7595" t="s">
        <v>39503</v>
      </c>
      <c r="N7595" t="s">
        <v>40436</v>
      </c>
      <c r="O7595" t="s">
        <v>40437</v>
      </c>
      <c r="P7595">
        <v>0</v>
      </c>
      <c r="Q7595">
        <v>1</v>
      </c>
      <c r="R7595" t="s">
        <v>40444</v>
      </c>
      <c r="S7595" t="s">
        <v>40676</v>
      </c>
      <c r="T7595" t="s">
        <v>42232</v>
      </c>
      <c r="U7595" t="s">
        <v>49035</v>
      </c>
      <c r="W7595" t="s">
        <v>39503</v>
      </c>
      <c r="X7595" t="s">
        <v>40445</v>
      </c>
    </row>
    <row r="7596" spans="1:24">
      <c r="A7596">
        <f>HYPERLINK("https://www.philgeps.gov.ph/GEPSNONPILOT/Tender/SplashBidNoticeAbstractUI.aspx?menuIndex=3&amp;refID=7040515&amp;Result=3","7040515")</f>
        <v>0</v>
      </c>
      <c r="B7596" t="s">
        <v>2324</v>
      </c>
      <c r="C7596" t="s">
        <v>10313</v>
      </c>
      <c r="D7596" t="s">
        <v>16187</v>
      </c>
      <c r="E7596" t="s">
        <v>22973</v>
      </c>
      <c r="F7596" t="s">
        <v>28198</v>
      </c>
      <c r="G7596" t="s">
        <v>28205</v>
      </c>
      <c r="H7596" t="s">
        <v>28215</v>
      </c>
      <c r="I7596" t="s">
        <v>5656</v>
      </c>
      <c r="J7596" t="s">
        <v>33107</v>
      </c>
      <c r="K7596" t="s">
        <v>36697</v>
      </c>
      <c r="M7596" t="s">
        <v>39502</v>
      </c>
      <c r="N7596" t="s">
        <v>40436</v>
      </c>
      <c r="O7596" t="s">
        <v>40437</v>
      </c>
      <c r="P7596">
        <v>0</v>
      </c>
      <c r="Q7596">
        <v>4</v>
      </c>
      <c r="R7596" t="s">
        <v>40444</v>
      </c>
      <c r="S7596" t="s">
        <v>40676</v>
      </c>
      <c r="T7596" t="s">
        <v>42390</v>
      </c>
      <c r="U7596" t="s">
        <v>49036</v>
      </c>
      <c r="W7596" t="s">
        <v>39502</v>
      </c>
      <c r="X7596" t="s">
        <v>40445</v>
      </c>
    </row>
    <row r="7597" spans="1:24">
      <c r="A7597">
        <f>HYPERLINK("https://www.philgeps.gov.ph/GEPSNONPILOT/Tender/SplashBidNoticeAbstractUI.aspx?menuIndex=3&amp;refID=7040517&amp;Result=3","7040517")</f>
        <v>0</v>
      </c>
      <c r="B7597" t="s">
        <v>1497</v>
      </c>
      <c r="C7597" t="s">
        <v>10314</v>
      </c>
      <c r="D7597" t="s">
        <v>16211</v>
      </c>
      <c r="E7597" t="s">
        <v>22974</v>
      </c>
      <c r="F7597" t="s">
        <v>28198</v>
      </c>
      <c r="G7597" t="s">
        <v>28205</v>
      </c>
      <c r="H7597" t="s">
        <v>28215</v>
      </c>
      <c r="I7597" t="s">
        <v>28227</v>
      </c>
      <c r="J7597" t="s">
        <v>33108</v>
      </c>
      <c r="K7597" t="s">
        <v>36688</v>
      </c>
      <c r="M7597" t="s">
        <v>38572</v>
      </c>
      <c r="N7597" t="s">
        <v>40436</v>
      </c>
      <c r="O7597" t="s">
        <v>40437</v>
      </c>
      <c r="P7597">
        <v>0</v>
      </c>
      <c r="Q7597">
        <v>0</v>
      </c>
      <c r="R7597" t="s">
        <v>40444</v>
      </c>
      <c r="S7597" t="s">
        <v>40676</v>
      </c>
      <c r="T7597" t="s">
        <v>42129</v>
      </c>
      <c r="U7597" t="s">
        <v>49037</v>
      </c>
      <c r="V7597" t="s">
        <v>54584</v>
      </c>
      <c r="W7597" t="s">
        <v>38572</v>
      </c>
      <c r="X7597" t="s">
        <v>40445</v>
      </c>
    </row>
    <row r="7598" spans="1:24">
      <c r="A7598">
        <f>HYPERLINK("https://www.philgeps.gov.ph/GEPSNONPILOT/Tender/SplashBidNoticeAbstractUI.aspx?menuIndex=3&amp;refID=7040540&amp;Result=3","7040540")</f>
        <v>0</v>
      </c>
      <c r="B7598" t="s">
        <v>1497</v>
      </c>
      <c r="C7598" t="s">
        <v>10315</v>
      </c>
      <c r="D7598" t="s">
        <v>16211</v>
      </c>
      <c r="E7598" t="s">
        <v>22975</v>
      </c>
      <c r="F7598" t="s">
        <v>28198</v>
      </c>
      <c r="G7598" t="s">
        <v>28205</v>
      </c>
      <c r="H7598" t="s">
        <v>28215</v>
      </c>
      <c r="I7598" t="s">
        <v>28227</v>
      </c>
      <c r="J7598" t="s">
        <v>33109</v>
      </c>
      <c r="K7598" t="s">
        <v>36688</v>
      </c>
      <c r="M7598" t="s">
        <v>38572</v>
      </c>
      <c r="N7598" t="s">
        <v>40436</v>
      </c>
      <c r="O7598" t="s">
        <v>40437</v>
      </c>
      <c r="P7598">
        <v>0</v>
      </c>
      <c r="Q7598">
        <v>0</v>
      </c>
      <c r="R7598" t="s">
        <v>40444</v>
      </c>
      <c r="S7598" t="s">
        <v>40676</v>
      </c>
      <c r="T7598" t="s">
        <v>42129</v>
      </c>
      <c r="U7598" t="s">
        <v>49038</v>
      </c>
      <c r="V7598" t="s">
        <v>54585</v>
      </c>
      <c r="W7598" t="s">
        <v>38572</v>
      </c>
      <c r="X7598" t="s">
        <v>40445</v>
      </c>
    </row>
    <row r="7599" spans="1:24">
      <c r="A7599">
        <f>HYPERLINK("https://www.philgeps.gov.ph/GEPSNONPILOT/Tender/SplashBidNoticeAbstractUI.aspx?menuIndex=3&amp;refID=7040543&amp;Result=3","7040543")</f>
        <v>0</v>
      </c>
      <c r="B7599" t="s">
        <v>335</v>
      </c>
      <c r="C7599" t="s">
        <v>10316</v>
      </c>
      <c r="D7599" t="s">
        <v>16221</v>
      </c>
      <c r="E7599" t="s">
        <v>22976</v>
      </c>
      <c r="F7599" t="s">
        <v>28198</v>
      </c>
      <c r="G7599" t="s">
        <v>28205</v>
      </c>
      <c r="H7599" t="s">
        <v>28217</v>
      </c>
      <c r="I7599" t="s">
        <v>28231</v>
      </c>
      <c r="J7599" t="s">
        <v>33110</v>
      </c>
      <c r="K7599" t="s">
        <v>36862</v>
      </c>
      <c r="M7599" t="s">
        <v>37313</v>
      </c>
      <c r="N7599" t="s">
        <v>40436</v>
      </c>
      <c r="O7599" t="s">
        <v>40437</v>
      </c>
      <c r="P7599">
        <v>0</v>
      </c>
      <c r="Q7599">
        <v>1</v>
      </c>
      <c r="R7599" t="s">
        <v>40444</v>
      </c>
      <c r="S7599" t="s">
        <v>40676</v>
      </c>
      <c r="T7599" t="s">
        <v>42165</v>
      </c>
      <c r="U7599" t="s">
        <v>49039</v>
      </c>
      <c r="W7599" t="s">
        <v>55444</v>
      </c>
      <c r="X7599" t="s">
        <v>40445</v>
      </c>
    </row>
    <row r="7600" spans="1:24">
      <c r="A7600">
        <f>HYPERLINK("https://www.philgeps.gov.ph/GEPSNONPILOT/Tender/SplashBidNoticeAbstractUI.aspx?menuIndex=3&amp;refID=7040512&amp;Result=3","7040512")</f>
        <v>0</v>
      </c>
      <c r="B7600" t="s">
        <v>2326</v>
      </c>
      <c r="C7600" t="s">
        <v>10317</v>
      </c>
      <c r="D7600" t="s">
        <v>16195</v>
      </c>
      <c r="E7600" t="s">
        <v>22977</v>
      </c>
      <c r="F7600" t="s">
        <v>28198</v>
      </c>
      <c r="G7600" t="s">
        <v>28207</v>
      </c>
      <c r="H7600" t="s">
        <v>28215</v>
      </c>
      <c r="I7600" t="s">
        <v>5082</v>
      </c>
      <c r="J7600" t="s">
        <v>28352</v>
      </c>
      <c r="K7600" t="s">
        <v>36707</v>
      </c>
      <c r="M7600" t="s">
        <v>39504</v>
      </c>
      <c r="N7600" t="s">
        <v>40436</v>
      </c>
      <c r="O7600" t="s">
        <v>40437</v>
      </c>
      <c r="P7600">
        <v>0</v>
      </c>
      <c r="Q7600">
        <v>2</v>
      </c>
      <c r="R7600" t="s">
        <v>40444</v>
      </c>
      <c r="S7600" t="s">
        <v>40676</v>
      </c>
      <c r="T7600" t="s">
        <v>42277</v>
      </c>
      <c r="U7600" t="s">
        <v>49040</v>
      </c>
      <c r="W7600" t="s">
        <v>39504</v>
      </c>
      <c r="X7600" t="s">
        <v>40445</v>
      </c>
    </row>
    <row r="7601" spans="1:24">
      <c r="A7601">
        <f>HYPERLINK("https://www.philgeps.gov.ph/GEPSNONPILOT/Tender/SplashBidNoticeAbstractUI.aspx?menuIndex=3&amp;refID=7040514&amp;Result=3","7040514")</f>
        <v>0</v>
      </c>
      <c r="B7601" t="s">
        <v>1698</v>
      </c>
      <c r="C7601" t="s">
        <v>10318</v>
      </c>
      <c r="D7601" t="s">
        <v>16233</v>
      </c>
      <c r="E7601" t="s">
        <v>21988</v>
      </c>
      <c r="F7601" t="s">
        <v>28198</v>
      </c>
      <c r="G7601" t="s">
        <v>28207</v>
      </c>
      <c r="H7601" t="s">
        <v>28215</v>
      </c>
      <c r="I7601" t="s">
        <v>28225</v>
      </c>
      <c r="J7601" t="s">
        <v>29486</v>
      </c>
      <c r="K7601" t="s">
        <v>36688</v>
      </c>
      <c r="L7601" t="s">
        <v>1698</v>
      </c>
      <c r="M7601" t="s">
        <v>38799</v>
      </c>
      <c r="N7601" t="s">
        <v>40436</v>
      </c>
      <c r="O7601" t="s">
        <v>40437</v>
      </c>
      <c r="P7601">
        <v>0</v>
      </c>
      <c r="Q7601">
        <v>0</v>
      </c>
      <c r="R7601" t="s">
        <v>40444</v>
      </c>
      <c r="S7601" t="s">
        <v>40676</v>
      </c>
      <c r="T7601" t="s">
        <v>42129</v>
      </c>
      <c r="U7601" t="s">
        <v>49041</v>
      </c>
      <c r="V7601" t="s">
        <v>54270</v>
      </c>
      <c r="W7601" t="s">
        <v>38799</v>
      </c>
      <c r="X7601" t="s">
        <v>40445</v>
      </c>
    </row>
    <row r="7602" spans="1:24">
      <c r="A7602">
        <f>HYPERLINK("https://www.philgeps.gov.ph/GEPSNONPILOT/Tender/SplashBidNoticeAbstractUI.aspx?menuIndex=3&amp;refID=7040559&amp;Result=3","7040559")</f>
        <v>0</v>
      </c>
      <c r="B7602" t="s">
        <v>1235</v>
      </c>
      <c r="C7602" t="s">
        <v>10319</v>
      </c>
      <c r="E7602" t="s">
        <v>22978</v>
      </c>
      <c r="F7602" t="s">
        <v>28198</v>
      </c>
      <c r="G7602" t="s">
        <v>28205</v>
      </c>
      <c r="H7602" t="s">
        <v>28215</v>
      </c>
      <c r="I7602" t="s">
        <v>28249</v>
      </c>
      <c r="J7602" t="s">
        <v>33111</v>
      </c>
      <c r="K7602" t="s">
        <v>36689</v>
      </c>
      <c r="M7602" t="s">
        <v>38284</v>
      </c>
      <c r="N7602" t="s">
        <v>40436</v>
      </c>
      <c r="O7602" t="s">
        <v>40437</v>
      </c>
      <c r="P7602">
        <v>0</v>
      </c>
      <c r="Q7602">
        <v>3</v>
      </c>
      <c r="R7602" t="s">
        <v>40444</v>
      </c>
      <c r="S7602" t="s">
        <v>40676</v>
      </c>
      <c r="T7602" t="s">
        <v>42319</v>
      </c>
      <c r="U7602" t="s">
        <v>49042</v>
      </c>
      <c r="V7602" t="s">
        <v>54586</v>
      </c>
      <c r="W7602" t="s">
        <v>38284</v>
      </c>
      <c r="X7602" t="s">
        <v>40445</v>
      </c>
    </row>
    <row r="7603" spans="1:24">
      <c r="A7603">
        <f>HYPERLINK("https://www.philgeps.gov.ph/GEPSNONPILOT/Tender/SplashBidNoticeAbstractUI.aspx?menuIndex=3&amp;refID=7040511&amp;Result=3","7040511")</f>
        <v>0</v>
      </c>
      <c r="B7603" t="s">
        <v>2327</v>
      </c>
      <c r="C7603" t="s">
        <v>10320</v>
      </c>
      <c r="D7603" t="s">
        <v>16203</v>
      </c>
      <c r="E7603" t="s">
        <v>22979</v>
      </c>
      <c r="F7603" t="s">
        <v>28198</v>
      </c>
      <c r="G7603" t="s">
        <v>28205</v>
      </c>
      <c r="H7603" t="s">
        <v>28214</v>
      </c>
      <c r="I7603" t="s">
        <v>3797</v>
      </c>
      <c r="J7603" t="s">
        <v>33112</v>
      </c>
      <c r="K7603" t="s">
        <v>36697</v>
      </c>
      <c r="M7603" t="s">
        <v>39505</v>
      </c>
      <c r="N7603" t="s">
        <v>40436</v>
      </c>
      <c r="O7603" t="s">
        <v>40437</v>
      </c>
      <c r="P7603">
        <v>0</v>
      </c>
      <c r="Q7603">
        <v>1</v>
      </c>
      <c r="R7603" t="s">
        <v>40444</v>
      </c>
      <c r="S7603" t="s">
        <v>40676</v>
      </c>
      <c r="T7603" t="s">
        <v>42113</v>
      </c>
      <c r="U7603" t="s">
        <v>49043</v>
      </c>
      <c r="W7603" t="s">
        <v>39505</v>
      </c>
      <c r="X7603" t="s">
        <v>40445</v>
      </c>
    </row>
    <row r="7604" spans="1:24">
      <c r="A7604">
        <f>HYPERLINK("https://www.philgeps.gov.ph/GEPSNONPILOT/Tender/SplashBidNoticeAbstractUI.aspx?menuIndex=3&amp;refID=7040513&amp;Result=3","7040513")</f>
        <v>0</v>
      </c>
      <c r="B7604" t="s">
        <v>196</v>
      </c>
      <c r="C7604" t="s">
        <v>10321</v>
      </c>
      <c r="D7604" t="s">
        <v>16227</v>
      </c>
      <c r="E7604" t="s">
        <v>22980</v>
      </c>
      <c r="F7604" t="s">
        <v>28198</v>
      </c>
      <c r="G7604" t="s">
        <v>28205</v>
      </c>
      <c r="H7604" t="s">
        <v>28215</v>
      </c>
      <c r="I7604" t="s">
        <v>28228</v>
      </c>
      <c r="J7604" t="s">
        <v>33113</v>
      </c>
      <c r="K7604" t="s">
        <v>36728</v>
      </c>
      <c r="M7604" t="s">
        <v>37171</v>
      </c>
      <c r="N7604" t="s">
        <v>40436</v>
      </c>
      <c r="O7604" t="s">
        <v>40437</v>
      </c>
      <c r="P7604">
        <v>0</v>
      </c>
      <c r="Q7604">
        <v>0</v>
      </c>
      <c r="R7604" t="s">
        <v>40444</v>
      </c>
      <c r="S7604" t="s">
        <v>40676</v>
      </c>
      <c r="T7604" t="s">
        <v>42185</v>
      </c>
      <c r="U7604" t="s">
        <v>49044</v>
      </c>
      <c r="W7604" t="s">
        <v>37171</v>
      </c>
      <c r="X7604" t="s">
        <v>40445</v>
      </c>
    </row>
    <row r="7605" spans="1:24">
      <c r="A7605">
        <f>HYPERLINK("https://www.philgeps.gov.ph/GEPSNONPILOT/Tender/SplashBidNoticeAbstractUI.aspx?menuIndex=3&amp;refID=7040557&amp;Result=3","7040557")</f>
        <v>0</v>
      </c>
      <c r="B7605" t="s">
        <v>2328</v>
      </c>
      <c r="C7605" t="s">
        <v>10322</v>
      </c>
      <c r="D7605" t="s">
        <v>16200</v>
      </c>
      <c r="E7605" t="s">
        <v>22981</v>
      </c>
      <c r="F7605" t="s">
        <v>28198</v>
      </c>
      <c r="G7605" t="s">
        <v>28205</v>
      </c>
      <c r="H7605" t="s">
        <v>28215</v>
      </c>
      <c r="I7605" t="s">
        <v>5100</v>
      </c>
      <c r="J7605" t="s">
        <v>33114</v>
      </c>
      <c r="K7605" t="s">
        <v>36701</v>
      </c>
      <c r="M7605" t="s">
        <v>39506</v>
      </c>
      <c r="N7605" t="s">
        <v>40436</v>
      </c>
      <c r="O7605" t="s">
        <v>40437</v>
      </c>
      <c r="Q7605">
        <v>3</v>
      </c>
      <c r="R7605" t="s">
        <v>40444</v>
      </c>
      <c r="S7605" t="s">
        <v>40695</v>
      </c>
      <c r="T7605" t="s">
        <v>42234</v>
      </c>
      <c r="U7605" t="s">
        <v>49045</v>
      </c>
      <c r="W7605" t="s">
        <v>39506</v>
      </c>
      <c r="X7605" t="s">
        <v>40445</v>
      </c>
    </row>
    <row r="7606" spans="1:24">
      <c r="A7606">
        <f>HYPERLINK("https://www.philgeps.gov.ph/GEPSNONPILOT/Tender/SplashBidNoticeAbstractUI.aspx?menuIndex=3&amp;refID=7040556&amp;Result=3","7040556")</f>
        <v>0</v>
      </c>
      <c r="B7606" t="s">
        <v>772</v>
      </c>
      <c r="C7606" t="s">
        <v>10323</v>
      </c>
      <c r="D7606" t="s">
        <v>16238</v>
      </c>
      <c r="E7606" t="s">
        <v>22982</v>
      </c>
      <c r="F7606" t="s">
        <v>28198</v>
      </c>
      <c r="G7606" t="s">
        <v>28205</v>
      </c>
      <c r="H7606" t="s">
        <v>28215</v>
      </c>
      <c r="I7606" t="s">
        <v>28222</v>
      </c>
      <c r="J7606" t="s">
        <v>28818</v>
      </c>
      <c r="K7606" t="s">
        <v>36715</v>
      </c>
      <c r="M7606" t="s">
        <v>37775</v>
      </c>
      <c r="N7606" t="s">
        <v>40436</v>
      </c>
      <c r="O7606" t="s">
        <v>40437</v>
      </c>
      <c r="P7606">
        <v>0</v>
      </c>
      <c r="Q7606">
        <v>3</v>
      </c>
      <c r="R7606" t="s">
        <v>40444</v>
      </c>
      <c r="S7606" t="s">
        <v>40676</v>
      </c>
      <c r="T7606" t="s">
        <v>42480</v>
      </c>
      <c r="U7606" t="s">
        <v>49046</v>
      </c>
      <c r="V7606" t="s">
        <v>54580</v>
      </c>
      <c r="W7606" t="s">
        <v>37775</v>
      </c>
      <c r="X7606" t="s">
        <v>40445</v>
      </c>
    </row>
    <row r="7607" spans="1:24">
      <c r="A7607">
        <f>HYPERLINK("https://www.philgeps.gov.ph/GEPSNONPILOT/Tender/SplashBidNoticeAbstractUI.aspx?menuIndex=3&amp;refID=7040548&amp;Result=3","7040548")</f>
        <v>0</v>
      </c>
      <c r="B7607" t="s">
        <v>2314</v>
      </c>
      <c r="C7607" t="s">
        <v>10324</v>
      </c>
      <c r="D7607" t="s">
        <v>16195</v>
      </c>
      <c r="E7607" t="s">
        <v>22983</v>
      </c>
      <c r="F7607" t="s">
        <v>28198</v>
      </c>
      <c r="G7607" t="s">
        <v>28205</v>
      </c>
      <c r="H7607" t="s">
        <v>28214</v>
      </c>
      <c r="I7607" t="s">
        <v>28255</v>
      </c>
      <c r="J7607" t="s">
        <v>33115</v>
      </c>
      <c r="K7607" t="s">
        <v>36692</v>
      </c>
      <c r="M7607" t="s">
        <v>39492</v>
      </c>
      <c r="N7607" t="s">
        <v>40436</v>
      </c>
      <c r="O7607" t="s">
        <v>40437</v>
      </c>
      <c r="P7607">
        <v>0</v>
      </c>
      <c r="Q7607">
        <v>6</v>
      </c>
      <c r="R7607" t="s">
        <v>40444</v>
      </c>
      <c r="S7607" t="s">
        <v>40676</v>
      </c>
      <c r="T7607" t="s">
        <v>42138</v>
      </c>
      <c r="U7607" t="s">
        <v>49047</v>
      </c>
      <c r="V7607" t="s">
        <v>54574</v>
      </c>
      <c r="W7607" t="s">
        <v>39492</v>
      </c>
      <c r="X7607" t="s">
        <v>40445</v>
      </c>
    </row>
    <row r="7608" spans="1:24">
      <c r="A7608">
        <f>HYPERLINK("https://www.philgeps.gov.ph/GEPSNONPILOT/Tender/SplashBidNoticeAbstractUI.aspx?menuIndex=3&amp;refID=7040510&amp;Result=3","7040510")</f>
        <v>0</v>
      </c>
      <c r="B7608" t="s">
        <v>1730</v>
      </c>
      <c r="C7608" t="s">
        <v>10295</v>
      </c>
      <c r="E7608" t="s">
        <v>22984</v>
      </c>
      <c r="F7608" t="s">
        <v>28198</v>
      </c>
      <c r="G7608" t="s">
        <v>28205</v>
      </c>
      <c r="H7608" t="s">
        <v>28215</v>
      </c>
      <c r="I7608" t="s">
        <v>28247</v>
      </c>
      <c r="J7608" t="s">
        <v>33116</v>
      </c>
      <c r="K7608" t="s">
        <v>36694</v>
      </c>
      <c r="M7608" t="s">
        <v>38840</v>
      </c>
      <c r="N7608" t="s">
        <v>40436</v>
      </c>
      <c r="O7608" t="s">
        <v>40437</v>
      </c>
      <c r="P7608">
        <v>0</v>
      </c>
      <c r="Q7608">
        <v>38</v>
      </c>
      <c r="R7608" t="s">
        <v>40444</v>
      </c>
      <c r="S7608" t="s">
        <v>40676</v>
      </c>
      <c r="T7608" t="s">
        <v>42496</v>
      </c>
      <c r="U7608" t="s">
        <v>46910</v>
      </c>
      <c r="W7608" t="s">
        <v>38840</v>
      </c>
      <c r="X7608" t="s">
        <v>40445</v>
      </c>
    </row>
    <row r="7609" spans="1:24">
      <c r="A7609">
        <f>HYPERLINK("https://www.philgeps.gov.ph/GEPSNONPILOT/Tender/SplashBidNoticeAbstractUI.aspx?menuIndex=3&amp;refID=7040558&amp;Result=3","7040558")</f>
        <v>0</v>
      </c>
      <c r="B7609" t="s">
        <v>2324</v>
      </c>
      <c r="C7609" t="s">
        <v>10325</v>
      </c>
      <c r="D7609" t="s">
        <v>16187</v>
      </c>
      <c r="E7609" t="s">
        <v>22985</v>
      </c>
      <c r="F7609" t="s">
        <v>28198</v>
      </c>
      <c r="G7609" t="s">
        <v>28205</v>
      </c>
      <c r="H7609" t="s">
        <v>28215</v>
      </c>
      <c r="I7609" t="s">
        <v>5656</v>
      </c>
      <c r="J7609" t="s">
        <v>33117</v>
      </c>
      <c r="K7609" t="s">
        <v>36697</v>
      </c>
      <c r="M7609" t="s">
        <v>39502</v>
      </c>
      <c r="N7609" t="s">
        <v>40436</v>
      </c>
      <c r="O7609" t="s">
        <v>40437</v>
      </c>
      <c r="P7609">
        <v>0</v>
      </c>
      <c r="Q7609">
        <v>3</v>
      </c>
      <c r="R7609" t="s">
        <v>40444</v>
      </c>
      <c r="S7609" t="s">
        <v>40676</v>
      </c>
      <c r="T7609" t="s">
        <v>42390</v>
      </c>
      <c r="U7609" t="s">
        <v>49048</v>
      </c>
      <c r="W7609" t="s">
        <v>39502</v>
      </c>
      <c r="X7609" t="s">
        <v>40445</v>
      </c>
    </row>
    <row r="7610" spans="1:24">
      <c r="A7610">
        <f>HYPERLINK("https://www.philgeps.gov.ph/GEPSNONPILOT/Tender/SplashBidNoticeAbstractUI.aspx?menuIndex=3&amp;refID=7040551&amp;Result=3","7040551")</f>
        <v>0</v>
      </c>
      <c r="B7610" t="s">
        <v>2329</v>
      </c>
      <c r="C7610" t="s">
        <v>10326</v>
      </c>
      <c r="D7610" t="s">
        <v>16225</v>
      </c>
      <c r="E7610" t="s">
        <v>22986</v>
      </c>
      <c r="F7610" t="s">
        <v>28198</v>
      </c>
      <c r="G7610" t="s">
        <v>28211</v>
      </c>
      <c r="H7610" t="s">
        <v>28216</v>
      </c>
      <c r="I7610" t="s">
        <v>28274</v>
      </c>
      <c r="J7610" t="s">
        <v>28398</v>
      </c>
      <c r="K7610" t="s">
        <v>36700</v>
      </c>
      <c r="M7610" t="s">
        <v>39507</v>
      </c>
      <c r="N7610" t="s">
        <v>40436</v>
      </c>
      <c r="O7610" t="s">
        <v>40437</v>
      </c>
      <c r="P7610">
        <v>0</v>
      </c>
      <c r="Q7610">
        <v>1</v>
      </c>
      <c r="R7610" t="s">
        <v>40444</v>
      </c>
      <c r="S7610" t="s">
        <v>40676</v>
      </c>
      <c r="T7610" t="s">
        <v>42233</v>
      </c>
      <c r="U7610" t="s">
        <v>49049</v>
      </c>
      <c r="W7610" t="s">
        <v>39507</v>
      </c>
      <c r="X7610" t="s">
        <v>40445</v>
      </c>
    </row>
    <row r="7611" spans="1:24">
      <c r="A7611">
        <f>HYPERLINK("https://www.philgeps.gov.ph/GEPSNONPILOT/Tender/SplashBidNoticeAbstractUI.aspx?menuIndex=3&amp;refID=7040576&amp;Result=3","7040576")</f>
        <v>0</v>
      </c>
      <c r="B7611" t="s">
        <v>772</v>
      </c>
      <c r="C7611" t="s">
        <v>10327</v>
      </c>
      <c r="D7611" t="s">
        <v>16238</v>
      </c>
      <c r="E7611" t="s">
        <v>22987</v>
      </c>
      <c r="F7611" t="s">
        <v>28198</v>
      </c>
      <c r="G7611" t="s">
        <v>28205</v>
      </c>
      <c r="H7611" t="s">
        <v>28215</v>
      </c>
      <c r="I7611" t="s">
        <v>28222</v>
      </c>
      <c r="J7611" t="s">
        <v>28363</v>
      </c>
      <c r="K7611" t="s">
        <v>36715</v>
      </c>
      <c r="M7611" t="s">
        <v>37775</v>
      </c>
      <c r="N7611" t="s">
        <v>40436</v>
      </c>
      <c r="O7611" t="s">
        <v>40437</v>
      </c>
      <c r="P7611">
        <v>0</v>
      </c>
      <c r="Q7611">
        <v>2</v>
      </c>
      <c r="R7611" t="s">
        <v>40444</v>
      </c>
      <c r="S7611" t="s">
        <v>40676</v>
      </c>
      <c r="T7611" t="s">
        <v>42480</v>
      </c>
      <c r="U7611" t="s">
        <v>49050</v>
      </c>
      <c r="V7611" t="s">
        <v>54580</v>
      </c>
      <c r="W7611" t="s">
        <v>37775</v>
      </c>
      <c r="X7611" t="s">
        <v>40445</v>
      </c>
    </row>
    <row r="7612" spans="1:24">
      <c r="A7612">
        <f>HYPERLINK("https://www.philgeps.gov.ph/GEPSNONPILOT/Tender/SplashBidNoticeAbstractUI.aspx?menuIndex=3&amp;refID=7040570&amp;Result=3","7040570")</f>
        <v>0</v>
      </c>
      <c r="B7612" t="s">
        <v>1235</v>
      </c>
      <c r="C7612" t="s">
        <v>10328</v>
      </c>
      <c r="E7612" t="s">
        <v>22988</v>
      </c>
      <c r="F7612" t="s">
        <v>28198</v>
      </c>
      <c r="G7612" t="s">
        <v>28205</v>
      </c>
      <c r="H7612" t="s">
        <v>28215</v>
      </c>
      <c r="I7612" t="s">
        <v>28250</v>
      </c>
      <c r="J7612" t="s">
        <v>33118</v>
      </c>
      <c r="K7612" t="s">
        <v>36689</v>
      </c>
      <c r="M7612" t="s">
        <v>38284</v>
      </c>
      <c r="N7612" t="s">
        <v>40436</v>
      </c>
      <c r="O7612" t="s">
        <v>40437</v>
      </c>
      <c r="P7612">
        <v>0</v>
      </c>
      <c r="Q7612">
        <v>3</v>
      </c>
      <c r="R7612" t="s">
        <v>40444</v>
      </c>
      <c r="S7612" t="s">
        <v>40676</v>
      </c>
      <c r="T7612" t="s">
        <v>42319</v>
      </c>
      <c r="U7612" t="s">
        <v>49051</v>
      </c>
      <c r="V7612" t="s">
        <v>54586</v>
      </c>
      <c r="W7612" t="s">
        <v>38284</v>
      </c>
      <c r="X7612" t="s">
        <v>40445</v>
      </c>
    </row>
    <row r="7613" spans="1:24">
      <c r="A7613">
        <f>HYPERLINK("https://www.philgeps.gov.ph/GEPSNONPILOT/Tender/SplashBidNoticeAbstractUI.aspx?menuIndex=3&amp;refID=7040569&amp;Result=3","7040569")</f>
        <v>0</v>
      </c>
      <c r="B7613" t="s">
        <v>2330</v>
      </c>
      <c r="C7613" t="s">
        <v>10329</v>
      </c>
      <c r="D7613" t="s">
        <v>16197</v>
      </c>
      <c r="E7613" t="s">
        <v>16537</v>
      </c>
      <c r="F7613" t="s">
        <v>28198</v>
      </c>
      <c r="G7613" t="s">
        <v>28207</v>
      </c>
      <c r="H7613" t="s">
        <v>28217</v>
      </c>
      <c r="I7613" t="s">
        <v>4219</v>
      </c>
      <c r="J7613" t="s">
        <v>28373</v>
      </c>
      <c r="K7613" t="s">
        <v>36688</v>
      </c>
      <c r="M7613" t="s">
        <v>39508</v>
      </c>
      <c r="N7613" t="s">
        <v>40436</v>
      </c>
      <c r="O7613" t="s">
        <v>40437</v>
      </c>
      <c r="P7613">
        <v>0</v>
      </c>
      <c r="Q7613">
        <v>4</v>
      </c>
      <c r="R7613" t="s">
        <v>40444</v>
      </c>
      <c r="S7613" t="s">
        <v>40676</v>
      </c>
      <c r="T7613" t="s">
        <v>42497</v>
      </c>
      <c r="U7613" t="s">
        <v>49052</v>
      </c>
      <c r="W7613" t="s">
        <v>39508</v>
      </c>
      <c r="X7613" t="s">
        <v>40445</v>
      </c>
    </row>
    <row r="7614" spans="1:24">
      <c r="A7614">
        <f>HYPERLINK("https://www.philgeps.gov.ph/GEPSNONPILOT/Tender/SplashBidNoticeAbstractUI.aspx?menuIndex=3&amp;refID=7040550&amp;Result=3","7040550")</f>
        <v>0</v>
      </c>
      <c r="B7614" t="s">
        <v>1235</v>
      </c>
      <c r="C7614" t="s">
        <v>6849</v>
      </c>
      <c r="E7614" t="s">
        <v>22989</v>
      </c>
      <c r="F7614" t="s">
        <v>28198</v>
      </c>
      <c r="G7614" t="s">
        <v>28205</v>
      </c>
      <c r="H7614" t="s">
        <v>28215</v>
      </c>
      <c r="I7614" t="s">
        <v>28224</v>
      </c>
      <c r="J7614" t="s">
        <v>33119</v>
      </c>
      <c r="K7614" t="s">
        <v>36689</v>
      </c>
      <c r="M7614" t="s">
        <v>38284</v>
      </c>
      <c r="N7614" t="s">
        <v>40436</v>
      </c>
      <c r="O7614" t="s">
        <v>40437</v>
      </c>
      <c r="P7614">
        <v>0</v>
      </c>
      <c r="Q7614">
        <v>4</v>
      </c>
      <c r="R7614" t="s">
        <v>40444</v>
      </c>
      <c r="S7614" t="s">
        <v>40676</v>
      </c>
      <c r="T7614" t="s">
        <v>42319</v>
      </c>
      <c r="U7614" t="s">
        <v>49053</v>
      </c>
      <c r="V7614" t="s">
        <v>54586</v>
      </c>
      <c r="W7614" t="s">
        <v>38284</v>
      </c>
      <c r="X7614" t="s">
        <v>40445</v>
      </c>
    </row>
    <row r="7615" spans="1:24">
      <c r="A7615">
        <f>HYPERLINK("https://www.philgeps.gov.ph/GEPSNONPILOT/Tender/SplashBidNoticeAbstractUI.aspx?menuIndex=3&amp;refID=7040572&amp;Result=3","7040572")</f>
        <v>0</v>
      </c>
      <c r="B7615" t="s">
        <v>1330</v>
      </c>
      <c r="C7615" t="s">
        <v>10330</v>
      </c>
      <c r="D7615" t="s">
        <v>16262</v>
      </c>
      <c r="E7615" t="s">
        <v>22990</v>
      </c>
      <c r="F7615" t="s">
        <v>28198</v>
      </c>
      <c r="G7615" t="s">
        <v>28205</v>
      </c>
      <c r="H7615" t="s">
        <v>28215</v>
      </c>
      <c r="I7615" t="s">
        <v>28222</v>
      </c>
      <c r="J7615" t="s">
        <v>33120</v>
      </c>
      <c r="K7615" t="s">
        <v>36701</v>
      </c>
      <c r="M7615" t="s">
        <v>38388</v>
      </c>
      <c r="N7615" t="s">
        <v>40436</v>
      </c>
      <c r="O7615" t="s">
        <v>40437</v>
      </c>
      <c r="P7615">
        <v>0</v>
      </c>
      <c r="Q7615">
        <v>10</v>
      </c>
      <c r="R7615" t="s">
        <v>40444</v>
      </c>
      <c r="S7615" t="s">
        <v>40676</v>
      </c>
      <c r="T7615" t="s">
        <v>42487</v>
      </c>
      <c r="U7615" t="s">
        <v>49054</v>
      </c>
      <c r="W7615" t="s">
        <v>38388</v>
      </c>
      <c r="X7615" t="s">
        <v>40445</v>
      </c>
    </row>
    <row r="7616" spans="1:24">
      <c r="A7616">
        <f>HYPERLINK("https://www.philgeps.gov.ph/GEPSNONPILOT/Tender/SplashBidNoticeAbstractUI.aspx?menuIndex=3&amp;refID=7040573&amp;Result=3","7040573")</f>
        <v>0</v>
      </c>
      <c r="B7616" t="s">
        <v>1497</v>
      </c>
      <c r="C7616" t="s">
        <v>10331</v>
      </c>
      <c r="D7616" t="s">
        <v>16211</v>
      </c>
      <c r="E7616" t="s">
        <v>22991</v>
      </c>
      <c r="F7616" t="s">
        <v>28198</v>
      </c>
      <c r="G7616" t="s">
        <v>28205</v>
      </c>
      <c r="H7616" t="s">
        <v>28215</v>
      </c>
      <c r="I7616" t="s">
        <v>28251</v>
      </c>
      <c r="J7616" t="s">
        <v>28486</v>
      </c>
      <c r="K7616" t="s">
        <v>36688</v>
      </c>
      <c r="M7616" t="s">
        <v>38572</v>
      </c>
      <c r="N7616" t="s">
        <v>40436</v>
      </c>
      <c r="O7616" t="s">
        <v>40437</v>
      </c>
      <c r="P7616">
        <v>0</v>
      </c>
      <c r="Q7616">
        <v>0</v>
      </c>
      <c r="R7616" t="s">
        <v>40444</v>
      </c>
      <c r="S7616" t="s">
        <v>40676</v>
      </c>
      <c r="T7616" t="s">
        <v>42129</v>
      </c>
      <c r="U7616" t="s">
        <v>49055</v>
      </c>
      <c r="V7616" t="s">
        <v>54587</v>
      </c>
      <c r="W7616" t="s">
        <v>38572</v>
      </c>
      <c r="X7616" t="s">
        <v>40445</v>
      </c>
    </row>
    <row r="7617" spans="1:24">
      <c r="A7617">
        <f>HYPERLINK("https://www.philgeps.gov.ph/GEPSNONPILOT/Tender/SplashBidNoticeAbstractUI.aspx?menuIndex=3&amp;refID=7040571&amp;Result=3","7040571")</f>
        <v>0</v>
      </c>
      <c r="B7617" t="s">
        <v>1941</v>
      </c>
      <c r="C7617" t="s">
        <v>10332</v>
      </c>
      <c r="D7617" t="s">
        <v>16191</v>
      </c>
      <c r="E7617" t="s">
        <v>22992</v>
      </c>
      <c r="F7617" t="s">
        <v>28198</v>
      </c>
      <c r="G7617" t="s">
        <v>28205</v>
      </c>
      <c r="H7617" t="s">
        <v>28215</v>
      </c>
      <c r="I7617" t="s">
        <v>28222</v>
      </c>
      <c r="J7617" t="s">
        <v>28921</v>
      </c>
      <c r="K7617" t="s">
        <v>36689</v>
      </c>
      <c r="M7617" t="s">
        <v>39075</v>
      </c>
      <c r="N7617" t="s">
        <v>40436</v>
      </c>
      <c r="O7617" t="s">
        <v>40437</v>
      </c>
      <c r="P7617">
        <v>0</v>
      </c>
      <c r="Q7617">
        <v>3</v>
      </c>
      <c r="R7617" t="s">
        <v>40444</v>
      </c>
      <c r="S7617" t="s">
        <v>40676</v>
      </c>
      <c r="T7617" t="s">
        <v>42297</v>
      </c>
      <c r="U7617" t="s">
        <v>49056</v>
      </c>
      <c r="W7617" t="s">
        <v>39075</v>
      </c>
      <c r="X7617" t="s">
        <v>40445</v>
      </c>
    </row>
    <row r="7618" spans="1:24">
      <c r="A7618">
        <f>HYPERLINK("https://www.philgeps.gov.ph/GEPSNONPILOT/Tender/SplashBidNoticeAbstractUI.aspx?menuIndex=3&amp;refID=7040563&amp;Result=3","7040563")</f>
        <v>0</v>
      </c>
      <c r="B7618" t="s">
        <v>1497</v>
      </c>
      <c r="C7618" t="s">
        <v>10333</v>
      </c>
      <c r="D7618" t="s">
        <v>16211</v>
      </c>
      <c r="E7618" t="s">
        <v>22993</v>
      </c>
      <c r="F7618" t="s">
        <v>28198</v>
      </c>
      <c r="G7618" t="s">
        <v>28205</v>
      </c>
      <c r="H7618" t="s">
        <v>28215</v>
      </c>
      <c r="I7618" t="s">
        <v>28224</v>
      </c>
      <c r="J7618" t="s">
        <v>28398</v>
      </c>
      <c r="K7618" t="s">
        <v>36688</v>
      </c>
      <c r="M7618" t="s">
        <v>38572</v>
      </c>
      <c r="N7618" t="s">
        <v>40436</v>
      </c>
      <c r="O7618" t="s">
        <v>40437</v>
      </c>
      <c r="P7618">
        <v>0</v>
      </c>
      <c r="Q7618">
        <v>0</v>
      </c>
      <c r="R7618" t="s">
        <v>40444</v>
      </c>
      <c r="S7618" t="s">
        <v>40676</v>
      </c>
      <c r="T7618" t="s">
        <v>42129</v>
      </c>
      <c r="U7618" t="s">
        <v>49057</v>
      </c>
      <c r="V7618" t="s">
        <v>54588</v>
      </c>
      <c r="W7618" t="s">
        <v>38572</v>
      </c>
      <c r="X7618" t="s">
        <v>40445</v>
      </c>
    </row>
    <row r="7619" spans="1:24">
      <c r="A7619">
        <f>HYPERLINK("https://www.philgeps.gov.ph/GEPSNONPILOT/Tender/SplashBidNoticeAbstractUI.aspx?menuIndex=3&amp;refID=7040561&amp;Result=3","7040561")</f>
        <v>0</v>
      </c>
      <c r="B7619" t="s">
        <v>2314</v>
      </c>
      <c r="C7619" t="s">
        <v>10334</v>
      </c>
      <c r="D7619" t="s">
        <v>16195</v>
      </c>
      <c r="E7619" t="s">
        <v>22994</v>
      </c>
      <c r="F7619" t="s">
        <v>28198</v>
      </c>
      <c r="G7619" t="s">
        <v>28205</v>
      </c>
      <c r="H7619" t="s">
        <v>28214</v>
      </c>
      <c r="I7619" t="s">
        <v>28255</v>
      </c>
      <c r="J7619" t="s">
        <v>33121</v>
      </c>
      <c r="K7619" t="s">
        <v>36692</v>
      </c>
      <c r="M7619" t="s">
        <v>39492</v>
      </c>
      <c r="N7619" t="s">
        <v>40436</v>
      </c>
      <c r="O7619" t="s">
        <v>40437</v>
      </c>
      <c r="P7619">
        <v>0</v>
      </c>
      <c r="Q7619">
        <v>7</v>
      </c>
      <c r="R7619" t="s">
        <v>40444</v>
      </c>
      <c r="S7619" t="s">
        <v>40676</v>
      </c>
      <c r="T7619" t="s">
        <v>42138</v>
      </c>
      <c r="U7619" t="s">
        <v>49058</v>
      </c>
      <c r="V7619" t="s">
        <v>54574</v>
      </c>
      <c r="W7619" t="s">
        <v>39492</v>
      </c>
      <c r="X7619" t="s">
        <v>40445</v>
      </c>
    </row>
    <row r="7620" spans="1:24">
      <c r="A7620">
        <f>HYPERLINK("https://www.philgeps.gov.ph/GEPSNONPILOT/Tender/SplashBidNoticeAbstractUI.aspx?menuIndex=3&amp;refID=7040566&amp;Result=3","7040566")</f>
        <v>0</v>
      </c>
      <c r="B7620" t="s">
        <v>1730</v>
      </c>
      <c r="C7620" t="s">
        <v>10295</v>
      </c>
      <c r="E7620" t="s">
        <v>22995</v>
      </c>
      <c r="F7620" t="s">
        <v>28198</v>
      </c>
      <c r="G7620" t="s">
        <v>28205</v>
      </c>
      <c r="H7620" t="s">
        <v>28215</v>
      </c>
      <c r="I7620" t="s">
        <v>28247</v>
      </c>
      <c r="J7620" t="s">
        <v>33122</v>
      </c>
      <c r="K7620" t="s">
        <v>36694</v>
      </c>
      <c r="M7620" t="s">
        <v>38840</v>
      </c>
      <c r="N7620" t="s">
        <v>40436</v>
      </c>
      <c r="O7620" t="s">
        <v>40437</v>
      </c>
      <c r="P7620">
        <v>0</v>
      </c>
      <c r="Q7620">
        <v>44</v>
      </c>
      <c r="R7620" t="s">
        <v>40444</v>
      </c>
      <c r="S7620" t="s">
        <v>40676</v>
      </c>
      <c r="T7620" t="s">
        <v>42498</v>
      </c>
      <c r="U7620" t="s">
        <v>46910</v>
      </c>
      <c r="W7620" t="s">
        <v>38840</v>
      </c>
      <c r="X7620" t="s">
        <v>40445</v>
      </c>
    </row>
    <row r="7621" spans="1:24">
      <c r="A7621">
        <f>HYPERLINK("https://www.philgeps.gov.ph/GEPSNONPILOT/Tender/SplashBidNoticeAbstractUI.aspx?menuIndex=3&amp;refID=7040581&amp;Result=3","7040581")</f>
        <v>0</v>
      </c>
      <c r="B7621" t="s">
        <v>1330</v>
      </c>
      <c r="C7621" t="s">
        <v>10335</v>
      </c>
      <c r="D7621" t="s">
        <v>16262</v>
      </c>
      <c r="E7621" t="s">
        <v>22996</v>
      </c>
      <c r="F7621" t="s">
        <v>28198</v>
      </c>
      <c r="G7621" t="s">
        <v>28205</v>
      </c>
      <c r="H7621" t="s">
        <v>28215</v>
      </c>
      <c r="I7621" t="s">
        <v>28234</v>
      </c>
      <c r="J7621" t="s">
        <v>33123</v>
      </c>
      <c r="K7621" t="s">
        <v>36706</v>
      </c>
      <c r="M7621" t="s">
        <v>38388</v>
      </c>
      <c r="N7621" t="s">
        <v>40436</v>
      </c>
      <c r="O7621" t="s">
        <v>40437</v>
      </c>
      <c r="P7621">
        <v>0</v>
      </c>
      <c r="Q7621">
        <v>3</v>
      </c>
      <c r="R7621" t="s">
        <v>40444</v>
      </c>
      <c r="S7621" t="s">
        <v>40676</v>
      </c>
      <c r="T7621" t="s">
        <v>42487</v>
      </c>
      <c r="U7621" t="s">
        <v>49059</v>
      </c>
      <c r="W7621" t="s">
        <v>38388</v>
      </c>
      <c r="X7621" t="s">
        <v>40445</v>
      </c>
    </row>
    <row r="7622" spans="1:24">
      <c r="A7622">
        <f>HYPERLINK("https://www.philgeps.gov.ph/GEPSNONPILOT/Tender/SplashBidNoticeAbstractUI.aspx?menuIndex=3&amp;refID=7040564&amp;Result=3","7040564")</f>
        <v>0</v>
      </c>
      <c r="B7622" t="s">
        <v>1159</v>
      </c>
      <c r="C7622" t="s">
        <v>10336</v>
      </c>
      <c r="D7622" t="s">
        <v>16209</v>
      </c>
      <c r="E7622" t="s">
        <v>22997</v>
      </c>
      <c r="F7622" t="s">
        <v>28198</v>
      </c>
      <c r="G7622" t="s">
        <v>28206</v>
      </c>
      <c r="H7622" t="s">
        <v>28215</v>
      </c>
      <c r="I7622" t="s">
        <v>4200</v>
      </c>
      <c r="J7622" t="s">
        <v>33124</v>
      </c>
      <c r="K7622" t="s">
        <v>36689</v>
      </c>
      <c r="M7622" t="s">
        <v>39509</v>
      </c>
      <c r="N7622" t="s">
        <v>40436</v>
      </c>
      <c r="O7622" t="s">
        <v>40437</v>
      </c>
      <c r="P7622">
        <v>0</v>
      </c>
      <c r="Q7622">
        <v>4</v>
      </c>
      <c r="R7622" t="s">
        <v>40444</v>
      </c>
      <c r="S7622" t="s">
        <v>40676</v>
      </c>
      <c r="T7622" t="s">
        <v>42205</v>
      </c>
      <c r="U7622" t="s">
        <v>49060</v>
      </c>
      <c r="W7622" t="s">
        <v>39509</v>
      </c>
      <c r="X7622" t="s">
        <v>40445</v>
      </c>
    </row>
    <row r="7623" spans="1:24">
      <c r="A7623">
        <f>HYPERLINK("https://www.philgeps.gov.ph/GEPSNONPILOT/Tender/SplashBidNoticeAbstractUI.aspx?menuIndex=3&amp;refID=7040562&amp;Result=3","7040562")</f>
        <v>0</v>
      </c>
      <c r="B7623" t="s">
        <v>1330</v>
      </c>
      <c r="C7623" t="s">
        <v>10337</v>
      </c>
      <c r="D7623" t="s">
        <v>16262</v>
      </c>
      <c r="E7623" t="s">
        <v>22998</v>
      </c>
      <c r="F7623" t="s">
        <v>28198</v>
      </c>
      <c r="G7623" t="s">
        <v>28205</v>
      </c>
      <c r="H7623" t="s">
        <v>28215</v>
      </c>
      <c r="I7623" t="s">
        <v>28236</v>
      </c>
      <c r="J7623" t="s">
        <v>33125</v>
      </c>
      <c r="K7623" t="s">
        <v>36701</v>
      </c>
      <c r="M7623" t="s">
        <v>38388</v>
      </c>
      <c r="N7623" t="s">
        <v>40436</v>
      </c>
      <c r="O7623" t="s">
        <v>40437</v>
      </c>
      <c r="P7623">
        <v>0</v>
      </c>
      <c r="Q7623">
        <v>5</v>
      </c>
      <c r="R7623" t="s">
        <v>40444</v>
      </c>
      <c r="S7623" t="s">
        <v>40676</v>
      </c>
      <c r="T7623" t="s">
        <v>42487</v>
      </c>
      <c r="U7623" t="s">
        <v>49061</v>
      </c>
      <c r="W7623" t="s">
        <v>38388</v>
      </c>
      <c r="X7623" t="s">
        <v>40445</v>
      </c>
    </row>
    <row r="7624" spans="1:24">
      <c r="A7624">
        <f>HYPERLINK("https://www.philgeps.gov.ph/GEPSNONPILOT/Tender/SplashBidNoticeAbstractUI.aspx?menuIndex=3&amp;refID=7040578&amp;Result=3","7040578")</f>
        <v>0</v>
      </c>
      <c r="B7624" t="s">
        <v>571</v>
      </c>
      <c r="C7624" t="s">
        <v>10338</v>
      </c>
      <c r="D7624" t="s">
        <v>16210</v>
      </c>
      <c r="E7624" t="s">
        <v>22999</v>
      </c>
      <c r="F7624" t="s">
        <v>28198</v>
      </c>
      <c r="G7624" t="s">
        <v>28205</v>
      </c>
      <c r="H7624" t="s">
        <v>28215</v>
      </c>
      <c r="I7624" t="s">
        <v>28220</v>
      </c>
      <c r="J7624" t="s">
        <v>33126</v>
      </c>
      <c r="K7624" t="s">
        <v>36697</v>
      </c>
      <c r="M7624" t="s">
        <v>38664</v>
      </c>
      <c r="N7624" t="s">
        <v>40436</v>
      </c>
      <c r="O7624" t="s">
        <v>40437</v>
      </c>
      <c r="Q7624">
        <v>58</v>
      </c>
      <c r="R7624" t="s">
        <v>40444</v>
      </c>
      <c r="S7624" t="s">
        <v>40725</v>
      </c>
      <c r="T7624" t="s">
        <v>42165</v>
      </c>
      <c r="U7624" t="s">
        <v>49062</v>
      </c>
      <c r="W7624" t="s">
        <v>38664</v>
      </c>
      <c r="X7624" t="s">
        <v>40445</v>
      </c>
    </row>
    <row r="7625" spans="1:24">
      <c r="A7625">
        <f>HYPERLINK("https://www.philgeps.gov.ph/GEPSNONPILOT/Tender/SplashBidNoticeAbstractUI.aspx?menuIndex=3&amp;refID=7040595&amp;Result=3","7040595")</f>
        <v>0</v>
      </c>
      <c r="B7625" t="s">
        <v>2314</v>
      </c>
      <c r="C7625" t="s">
        <v>10339</v>
      </c>
      <c r="D7625" t="s">
        <v>16195</v>
      </c>
      <c r="E7625" t="s">
        <v>23000</v>
      </c>
      <c r="F7625" t="s">
        <v>28198</v>
      </c>
      <c r="G7625" t="s">
        <v>28205</v>
      </c>
      <c r="H7625" t="s">
        <v>28214</v>
      </c>
      <c r="I7625" t="s">
        <v>28255</v>
      </c>
      <c r="J7625" t="s">
        <v>33127</v>
      </c>
      <c r="K7625" t="s">
        <v>36692</v>
      </c>
      <c r="M7625" t="s">
        <v>39492</v>
      </c>
      <c r="N7625" t="s">
        <v>40436</v>
      </c>
      <c r="O7625" t="s">
        <v>40437</v>
      </c>
      <c r="P7625">
        <v>0</v>
      </c>
      <c r="Q7625">
        <v>6</v>
      </c>
      <c r="R7625" t="s">
        <v>40444</v>
      </c>
      <c r="S7625" t="s">
        <v>40676</v>
      </c>
      <c r="T7625" t="s">
        <v>42138</v>
      </c>
      <c r="U7625" t="s">
        <v>49063</v>
      </c>
      <c r="V7625" t="s">
        <v>54574</v>
      </c>
      <c r="W7625" t="s">
        <v>39492</v>
      </c>
      <c r="X7625" t="s">
        <v>40445</v>
      </c>
    </row>
    <row r="7626" spans="1:24">
      <c r="A7626">
        <f>HYPERLINK("https://www.philgeps.gov.ph/GEPSNONPILOT/Tender/SplashBidNoticeAbstractUI.aspx?menuIndex=3&amp;refID=7040592&amp;Result=3","7040592")</f>
        <v>0</v>
      </c>
      <c r="B7626" t="s">
        <v>1941</v>
      </c>
      <c r="C7626" t="s">
        <v>10340</v>
      </c>
      <c r="D7626" t="s">
        <v>16191</v>
      </c>
      <c r="E7626" t="s">
        <v>23001</v>
      </c>
      <c r="F7626" t="s">
        <v>28198</v>
      </c>
      <c r="G7626" t="s">
        <v>28205</v>
      </c>
      <c r="H7626" t="s">
        <v>28215</v>
      </c>
      <c r="I7626" t="s">
        <v>28234</v>
      </c>
      <c r="J7626" t="s">
        <v>28834</v>
      </c>
      <c r="K7626" t="s">
        <v>36689</v>
      </c>
      <c r="M7626" t="s">
        <v>39075</v>
      </c>
      <c r="N7626" t="s">
        <v>40436</v>
      </c>
      <c r="O7626" t="s">
        <v>40437</v>
      </c>
      <c r="P7626">
        <v>0</v>
      </c>
      <c r="Q7626">
        <v>2</v>
      </c>
      <c r="R7626" t="s">
        <v>40444</v>
      </c>
      <c r="S7626" t="s">
        <v>40676</v>
      </c>
      <c r="T7626" t="s">
        <v>42297</v>
      </c>
      <c r="U7626" t="s">
        <v>49056</v>
      </c>
      <c r="W7626" t="s">
        <v>39075</v>
      </c>
      <c r="X7626" t="s">
        <v>40445</v>
      </c>
    </row>
    <row r="7627" spans="1:24">
      <c r="A7627">
        <f>HYPERLINK("https://www.philgeps.gov.ph/GEPSNONPILOT/Tender/SplashBidNoticeAbstractUI.aspx?menuIndex=3&amp;refID=7040591&amp;Result=3","7040591")</f>
        <v>0</v>
      </c>
      <c r="B7627" t="s">
        <v>1235</v>
      </c>
      <c r="C7627" t="s">
        <v>10341</v>
      </c>
      <c r="E7627" t="s">
        <v>19901</v>
      </c>
      <c r="F7627" t="s">
        <v>28198</v>
      </c>
      <c r="G7627" t="s">
        <v>28205</v>
      </c>
      <c r="H7627" t="s">
        <v>28215</v>
      </c>
      <c r="I7627" t="s">
        <v>28243</v>
      </c>
      <c r="J7627" t="s">
        <v>33128</v>
      </c>
      <c r="K7627" t="s">
        <v>36689</v>
      </c>
      <c r="M7627" t="s">
        <v>38284</v>
      </c>
      <c r="N7627" t="s">
        <v>40436</v>
      </c>
      <c r="O7627" t="s">
        <v>40437</v>
      </c>
      <c r="P7627">
        <v>0</v>
      </c>
      <c r="Q7627">
        <v>6</v>
      </c>
      <c r="R7627" t="s">
        <v>40444</v>
      </c>
      <c r="S7627" t="s">
        <v>40676</v>
      </c>
      <c r="T7627" t="s">
        <v>42319</v>
      </c>
      <c r="U7627" t="s">
        <v>49064</v>
      </c>
      <c r="V7627" t="s">
        <v>54589</v>
      </c>
      <c r="W7627" t="s">
        <v>38284</v>
      </c>
      <c r="X7627" t="s">
        <v>40445</v>
      </c>
    </row>
    <row r="7628" spans="1:24">
      <c r="A7628">
        <f>HYPERLINK("https://www.philgeps.gov.ph/GEPSNONPILOT/Tender/SplashBidNoticeAbstractUI.aspx?menuIndex=3&amp;refID=7040580&amp;Result=3","7040580")</f>
        <v>0</v>
      </c>
      <c r="B7628" t="s">
        <v>2324</v>
      </c>
      <c r="C7628" t="s">
        <v>10342</v>
      </c>
      <c r="D7628" t="s">
        <v>16187</v>
      </c>
      <c r="E7628" t="s">
        <v>23002</v>
      </c>
      <c r="F7628" t="s">
        <v>28198</v>
      </c>
      <c r="G7628" t="s">
        <v>28205</v>
      </c>
      <c r="H7628" t="s">
        <v>28215</v>
      </c>
      <c r="I7628" t="s">
        <v>5656</v>
      </c>
      <c r="J7628" t="s">
        <v>33129</v>
      </c>
      <c r="K7628" t="s">
        <v>36697</v>
      </c>
      <c r="M7628" t="s">
        <v>39502</v>
      </c>
      <c r="N7628" t="s">
        <v>40436</v>
      </c>
      <c r="O7628" t="s">
        <v>40437</v>
      </c>
      <c r="P7628">
        <v>0</v>
      </c>
      <c r="Q7628">
        <v>3</v>
      </c>
      <c r="R7628" t="s">
        <v>40444</v>
      </c>
      <c r="S7628" t="s">
        <v>40676</v>
      </c>
      <c r="T7628" t="s">
        <v>42390</v>
      </c>
      <c r="U7628" t="s">
        <v>49065</v>
      </c>
      <c r="W7628" t="s">
        <v>39502</v>
      </c>
      <c r="X7628" t="s">
        <v>40445</v>
      </c>
    </row>
    <row r="7629" spans="1:24">
      <c r="A7629">
        <f>HYPERLINK("https://www.philgeps.gov.ph/GEPSNONPILOT/Tender/SplashBidNoticeAbstractUI.aspx?menuIndex=3&amp;refID=7040586&amp;Result=3","7040586")</f>
        <v>0</v>
      </c>
      <c r="B7629" t="s">
        <v>772</v>
      </c>
      <c r="C7629" t="s">
        <v>10343</v>
      </c>
      <c r="D7629" t="s">
        <v>16238</v>
      </c>
      <c r="E7629" t="s">
        <v>23003</v>
      </c>
      <c r="F7629" t="s">
        <v>28198</v>
      </c>
      <c r="G7629" t="s">
        <v>28205</v>
      </c>
      <c r="H7629" t="s">
        <v>28215</v>
      </c>
      <c r="I7629" t="s">
        <v>28222</v>
      </c>
      <c r="J7629" t="s">
        <v>28363</v>
      </c>
      <c r="K7629" t="s">
        <v>36715</v>
      </c>
      <c r="M7629" t="s">
        <v>37775</v>
      </c>
      <c r="N7629" t="s">
        <v>40436</v>
      </c>
      <c r="O7629" t="s">
        <v>40437</v>
      </c>
      <c r="P7629">
        <v>0</v>
      </c>
      <c r="Q7629">
        <v>1</v>
      </c>
      <c r="R7629" t="s">
        <v>40444</v>
      </c>
      <c r="S7629" t="s">
        <v>40676</v>
      </c>
      <c r="T7629" t="s">
        <v>42480</v>
      </c>
      <c r="U7629" t="s">
        <v>49066</v>
      </c>
      <c r="V7629" t="s">
        <v>54580</v>
      </c>
      <c r="W7629" t="s">
        <v>37775</v>
      </c>
      <c r="X7629" t="s">
        <v>40445</v>
      </c>
    </row>
    <row r="7630" spans="1:24">
      <c r="A7630">
        <f>HYPERLINK("https://www.philgeps.gov.ph/GEPSNONPILOT/Tender/SplashBidNoticeAbstractUI.aspx?menuIndex=3&amp;refID=7040590&amp;Result=3","7040590")</f>
        <v>0</v>
      </c>
      <c r="B7630" t="s">
        <v>2314</v>
      </c>
      <c r="C7630" t="s">
        <v>10344</v>
      </c>
      <c r="D7630" t="s">
        <v>16195</v>
      </c>
      <c r="E7630" t="s">
        <v>23004</v>
      </c>
      <c r="F7630" t="s">
        <v>28198</v>
      </c>
      <c r="G7630" t="s">
        <v>28205</v>
      </c>
      <c r="H7630" t="s">
        <v>28214</v>
      </c>
      <c r="I7630" t="s">
        <v>28255</v>
      </c>
      <c r="J7630" t="s">
        <v>33130</v>
      </c>
      <c r="K7630" t="s">
        <v>36692</v>
      </c>
      <c r="M7630" t="s">
        <v>39492</v>
      </c>
      <c r="N7630" t="s">
        <v>40436</v>
      </c>
      <c r="O7630" t="s">
        <v>40437</v>
      </c>
      <c r="P7630">
        <v>0</v>
      </c>
      <c r="Q7630">
        <v>6</v>
      </c>
      <c r="R7630" t="s">
        <v>40444</v>
      </c>
      <c r="S7630" t="s">
        <v>40676</v>
      </c>
      <c r="T7630" t="s">
        <v>42138</v>
      </c>
      <c r="U7630" t="s">
        <v>49067</v>
      </c>
      <c r="V7630" t="s">
        <v>54574</v>
      </c>
      <c r="W7630" t="s">
        <v>39492</v>
      </c>
      <c r="X7630" t="s">
        <v>40445</v>
      </c>
    </row>
    <row r="7631" spans="1:24">
      <c r="A7631">
        <f>HYPERLINK("https://www.philgeps.gov.ph/GEPSNONPILOT/Tender/SplashBidNoticeAbstractUI.aspx?menuIndex=3&amp;refID=7040585&amp;Result=3","7040585")</f>
        <v>0</v>
      </c>
      <c r="B7631" t="s">
        <v>2331</v>
      </c>
      <c r="C7631" t="s">
        <v>10345</v>
      </c>
      <c r="E7631" t="s">
        <v>16473</v>
      </c>
      <c r="F7631" t="s">
        <v>28198</v>
      </c>
      <c r="G7631" t="s">
        <v>28210</v>
      </c>
      <c r="H7631" t="s">
        <v>28215</v>
      </c>
      <c r="I7631" t="s">
        <v>4219</v>
      </c>
      <c r="J7631" t="s">
        <v>28406</v>
      </c>
      <c r="K7631" t="s">
        <v>36689</v>
      </c>
      <c r="M7631" t="s">
        <v>39510</v>
      </c>
      <c r="N7631" t="s">
        <v>40436</v>
      </c>
      <c r="O7631" t="s">
        <v>40437</v>
      </c>
      <c r="P7631">
        <v>0</v>
      </c>
      <c r="Q7631">
        <v>16</v>
      </c>
      <c r="R7631" t="s">
        <v>40444</v>
      </c>
      <c r="S7631" t="s">
        <v>40676</v>
      </c>
      <c r="T7631" t="s">
        <v>42245</v>
      </c>
      <c r="U7631" t="s">
        <v>49068</v>
      </c>
      <c r="W7631" t="s">
        <v>39510</v>
      </c>
      <c r="X7631" t="s">
        <v>40445</v>
      </c>
    </row>
    <row r="7632" spans="1:24">
      <c r="A7632">
        <f>HYPERLINK("https://www.philgeps.gov.ph/GEPSNONPILOT/Tender/SplashBidNoticeAbstractUI.aspx?menuIndex=3&amp;refID=7040610&amp;Result=3","7040610")</f>
        <v>0</v>
      </c>
      <c r="B7632" t="s">
        <v>1235</v>
      </c>
      <c r="C7632" t="s">
        <v>10346</v>
      </c>
      <c r="E7632" t="s">
        <v>23005</v>
      </c>
      <c r="F7632" t="s">
        <v>28198</v>
      </c>
      <c r="G7632" t="s">
        <v>28205</v>
      </c>
      <c r="H7632" t="s">
        <v>28215</v>
      </c>
      <c r="I7632" t="s">
        <v>6013</v>
      </c>
      <c r="J7632" t="s">
        <v>33131</v>
      </c>
      <c r="K7632" t="s">
        <v>36689</v>
      </c>
      <c r="M7632" t="s">
        <v>38284</v>
      </c>
      <c r="N7632" t="s">
        <v>40436</v>
      </c>
      <c r="O7632" t="s">
        <v>40437</v>
      </c>
      <c r="P7632">
        <v>0</v>
      </c>
      <c r="Q7632">
        <v>0</v>
      </c>
      <c r="R7632" t="s">
        <v>40444</v>
      </c>
      <c r="S7632" t="s">
        <v>40676</v>
      </c>
      <c r="T7632" t="s">
        <v>42319</v>
      </c>
      <c r="U7632" t="s">
        <v>49069</v>
      </c>
      <c r="V7632" t="s">
        <v>54586</v>
      </c>
      <c r="W7632" t="s">
        <v>38284</v>
      </c>
      <c r="X7632" t="s">
        <v>40445</v>
      </c>
    </row>
    <row r="7633" spans="1:24">
      <c r="A7633">
        <f>HYPERLINK("https://www.philgeps.gov.ph/GEPSNONPILOT/Tender/SplashBidNoticeAbstractUI.aspx?menuIndex=3&amp;refID=7040588&amp;Result=3","7040588")</f>
        <v>0</v>
      </c>
      <c r="B7633" t="s">
        <v>571</v>
      </c>
      <c r="C7633" t="s">
        <v>10347</v>
      </c>
      <c r="D7633" t="s">
        <v>16210</v>
      </c>
      <c r="E7633" t="s">
        <v>23006</v>
      </c>
      <c r="F7633" t="s">
        <v>28198</v>
      </c>
      <c r="G7633" t="s">
        <v>28205</v>
      </c>
      <c r="H7633" t="s">
        <v>28215</v>
      </c>
      <c r="I7633" t="s">
        <v>28220</v>
      </c>
      <c r="J7633" t="s">
        <v>33132</v>
      </c>
      <c r="K7633" t="s">
        <v>36697</v>
      </c>
      <c r="M7633" t="s">
        <v>38664</v>
      </c>
      <c r="N7633" t="s">
        <v>40436</v>
      </c>
      <c r="O7633" t="s">
        <v>40437</v>
      </c>
      <c r="P7633">
        <v>0</v>
      </c>
      <c r="Q7633">
        <v>20</v>
      </c>
      <c r="R7633" t="s">
        <v>40444</v>
      </c>
      <c r="S7633" t="s">
        <v>40676</v>
      </c>
      <c r="T7633" t="s">
        <v>42443</v>
      </c>
      <c r="U7633" t="s">
        <v>49070</v>
      </c>
      <c r="W7633" t="s">
        <v>38664</v>
      </c>
      <c r="X7633" t="s">
        <v>40445</v>
      </c>
    </row>
    <row r="7634" spans="1:24">
      <c r="A7634">
        <f>HYPERLINK("https://www.philgeps.gov.ph/GEPSNONPILOT/Tender/SplashBidNoticeAbstractUI.aspx?menuIndex=3&amp;refID=7040612&amp;Result=3","7040612")</f>
        <v>0</v>
      </c>
      <c r="B7634" t="s">
        <v>2324</v>
      </c>
      <c r="C7634" t="s">
        <v>10348</v>
      </c>
      <c r="D7634" t="s">
        <v>16187</v>
      </c>
      <c r="E7634" t="s">
        <v>23007</v>
      </c>
      <c r="F7634" t="s">
        <v>28198</v>
      </c>
      <c r="G7634" t="s">
        <v>28205</v>
      </c>
      <c r="H7634" t="s">
        <v>28215</v>
      </c>
      <c r="I7634" t="s">
        <v>5656</v>
      </c>
      <c r="J7634" t="s">
        <v>33133</v>
      </c>
      <c r="K7634" t="s">
        <v>36697</v>
      </c>
      <c r="M7634" t="s">
        <v>39502</v>
      </c>
      <c r="N7634" t="s">
        <v>40436</v>
      </c>
      <c r="O7634" t="s">
        <v>40437</v>
      </c>
      <c r="Q7634">
        <v>4</v>
      </c>
      <c r="R7634" t="s">
        <v>40444</v>
      </c>
      <c r="S7634" t="s">
        <v>40726</v>
      </c>
      <c r="T7634" t="s">
        <v>42390</v>
      </c>
      <c r="U7634" t="s">
        <v>49071</v>
      </c>
      <c r="W7634" t="s">
        <v>39502</v>
      </c>
      <c r="X7634" t="s">
        <v>40445</v>
      </c>
    </row>
    <row r="7635" spans="1:24">
      <c r="A7635">
        <f>HYPERLINK("https://www.philgeps.gov.ph/GEPSNONPILOT/Tender/SplashBidNoticeAbstractUI.aspx?menuIndex=3&amp;refID=7040607&amp;Result=3","7040607")</f>
        <v>0</v>
      </c>
      <c r="B7635" t="s">
        <v>1941</v>
      </c>
      <c r="C7635" t="s">
        <v>10349</v>
      </c>
      <c r="D7635" t="s">
        <v>16191</v>
      </c>
      <c r="E7635" t="s">
        <v>23008</v>
      </c>
      <c r="F7635" t="s">
        <v>28198</v>
      </c>
      <c r="G7635" t="s">
        <v>28205</v>
      </c>
      <c r="H7635" t="s">
        <v>28215</v>
      </c>
      <c r="I7635" t="s">
        <v>28284</v>
      </c>
      <c r="J7635" t="s">
        <v>33134</v>
      </c>
      <c r="K7635" t="s">
        <v>36689</v>
      </c>
      <c r="M7635" t="s">
        <v>39075</v>
      </c>
      <c r="N7635" t="s">
        <v>40436</v>
      </c>
      <c r="O7635" t="s">
        <v>40437</v>
      </c>
      <c r="P7635">
        <v>0</v>
      </c>
      <c r="Q7635">
        <v>5</v>
      </c>
      <c r="R7635" t="s">
        <v>40444</v>
      </c>
      <c r="S7635" t="s">
        <v>40676</v>
      </c>
      <c r="T7635" t="s">
        <v>42297</v>
      </c>
      <c r="U7635" t="s">
        <v>49056</v>
      </c>
      <c r="W7635" t="s">
        <v>39075</v>
      </c>
      <c r="X7635" t="s">
        <v>40445</v>
      </c>
    </row>
    <row r="7636" spans="1:24">
      <c r="A7636">
        <f>HYPERLINK("https://www.philgeps.gov.ph/GEPSNONPILOT/Tender/SplashBidNoticeAbstractUI.aspx?menuIndex=3&amp;refID=7040582&amp;Result=3","7040582")</f>
        <v>0</v>
      </c>
      <c r="B7636" t="s">
        <v>2314</v>
      </c>
      <c r="C7636" t="s">
        <v>10350</v>
      </c>
      <c r="D7636" t="s">
        <v>16195</v>
      </c>
      <c r="E7636" t="s">
        <v>23009</v>
      </c>
      <c r="F7636" t="s">
        <v>28198</v>
      </c>
      <c r="G7636" t="s">
        <v>28205</v>
      </c>
      <c r="H7636" t="s">
        <v>28214</v>
      </c>
      <c r="I7636" t="s">
        <v>28255</v>
      </c>
      <c r="J7636" t="s">
        <v>33135</v>
      </c>
      <c r="K7636" t="s">
        <v>36692</v>
      </c>
      <c r="M7636" t="s">
        <v>39492</v>
      </c>
      <c r="N7636" t="s">
        <v>40436</v>
      </c>
      <c r="O7636" t="s">
        <v>40437</v>
      </c>
      <c r="P7636">
        <v>0</v>
      </c>
      <c r="Q7636">
        <v>6</v>
      </c>
      <c r="R7636" t="s">
        <v>40444</v>
      </c>
      <c r="S7636" t="s">
        <v>40676</v>
      </c>
      <c r="T7636" t="s">
        <v>42138</v>
      </c>
      <c r="U7636" t="s">
        <v>49072</v>
      </c>
      <c r="V7636" t="s">
        <v>54574</v>
      </c>
      <c r="W7636" t="s">
        <v>39492</v>
      </c>
      <c r="X7636" t="s">
        <v>40445</v>
      </c>
    </row>
    <row r="7637" spans="1:24">
      <c r="A7637">
        <f>HYPERLINK("https://www.philgeps.gov.ph/GEPSNONPILOT/Tender/SplashBidNoticeAbstractUI.aspx?menuIndex=3&amp;refID=7040606&amp;Result=3","7040606")</f>
        <v>0</v>
      </c>
      <c r="B7637" t="s">
        <v>2332</v>
      </c>
      <c r="C7637" t="s">
        <v>10351</v>
      </c>
      <c r="D7637" t="s">
        <v>16221</v>
      </c>
      <c r="E7637" t="s">
        <v>23010</v>
      </c>
      <c r="F7637" t="s">
        <v>28198</v>
      </c>
      <c r="G7637" t="s">
        <v>28205</v>
      </c>
      <c r="H7637" t="s">
        <v>28214</v>
      </c>
      <c r="I7637" t="s">
        <v>3797</v>
      </c>
      <c r="J7637" t="s">
        <v>33136</v>
      </c>
      <c r="K7637" t="s">
        <v>36692</v>
      </c>
      <c r="M7637" t="s">
        <v>39511</v>
      </c>
      <c r="N7637" t="s">
        <v>40436</v>
      </c>
      <c r="O7637" t="s">
        <v>40437</v>
      </c>
      <c r="P7637">
        <v>0</v>
      </c>
      <c r="Q7637">
        <v>5</v>
      </c>
      <c r="R7637" t="s">
        <v>40444</v>
      </c>
      <c r="S7637" t="s">
        <v>40676</v>
      </c>
      <c r="T7637" t="s">
        <v>42234</v>
      </c>
      <c r="U7637" t="s">
        <v>49073</v>
      </c>
      <c r="V7637" t="s">
        <v>54590</v>
      </c>
      <c r="W7637" t="s">
        <v>39511</v>
      </c>
      <c r="X7637" t="s">
        <v>40445</v>
      </c>
    </row>
    <row r="7638" spans="1:24">
      <c r="A7638">
        <f>HYPERLINK("https://www.philgeps.gov.ph/GEPSNONPILOT/Tender/SplashBidNoticeAbstractUI.aspx?menuIndex=3&amp;refID=7040598&amp;Result=3","7040598")</f>
        <v>0</v>
      </c>
      <c r="B7638" t="s">
        <v>2314</v>
      </c>
      <c r="C7638" t="s">
        <v>10352</v>
      </c>
      <c r="D7638" t="s">
        <v>16195</v>
      </c>
      <c r="E7638" t="s">
        <v>23011</v>
      </c>
      <c r="F7638" t="s">
        <v>28198</v>
      </c>
      <c r="G7638" t="s">
        <v>28205</v>
      </c>
      <c r="H7638" t="s">
        <v>28214</v>
      </c>
      <c r="I7638" t="s">
        <v>28255</v>
      </c>
      <c r="J7638" t="s">
        <v>33137</v>
      </c>
      <c r="K7638" t="s">
        <v>36692</v>
      </c>
      <c r="M7638" t="s">
        <v>39492</v>
      </c>
      <c r="N7638" t="s">
        <v>40436</v>
      </c>
      <c r="O7638" t="s">
        <v>40437</v>
      </c>
      <c r="P7638">
        <v>0</v>
      </c>
      <c r="Q7638">
        <v>5</v>
      </c>
      <c r="R7638" t="s">
        <v>40444</v>
      </c>
      <c r="S7638" t="s">
        <v>40676</v>
      </c>
      <c r="T7638" t="s">
        <v>42138</v>
      </c>
      <c r="U7638" t="s">
        <v>49074</v>
      </c>
      <c r="V7638" t="s">
        <v>54574</v>
      </c>
      <c r="W7638" t="s">
        <v>39492</v>
      </c>
      <c r="X7638" t="s">
        <v>40445</v>
      </c>
    </row>
    <row r="7639" spans="1:24">
      <c r="A7639">
        <f>HYPERLINK("https://www.philgeps.gov.ph/GEPSNONPILOT/Tender/SplashBidNoticeAbstractUI.aspx?menuIndex=3&amp;refID=7040584&amp;Result=3","7040584")</f>
        <v>0</v>
      </c>
      <c r="B7639" t="s">
        <v>1235</v>
      </c>
      <c r="C7639" t="s">
        <v>10353</v>
      </c>
      <c r="E7639" t="s">
        <v>19887</v>
      </c>
      <c r="F7639" t="s">
        <v>28198</v>
      </c>
      <c r="G7639" t="s">
        <v>28205</v>
      </c>
      <c r="H7639" t="s">
        <v>28215</v>
      </c>
      <c r="I7639" t="s">
        <v>28224</v>
      </c>
      <c r="J7639" t="s">
        <v>33138</v>
      </c>
      <c r="K7639" t="s">
        <v>36689</v>
      </c>
      <c r="M7639" t="s">
        <v>38284</v>
      </c>
      <c r="N7639" t="s">
        <v>40436</v>
      </c>
      <c r="O7639" t="s">
        <v>40437</v>
      </c>
      <c r="P7639">
        <v>0</v>
      </c>
      <c r="Q7639">
        <v>3</v>
      </c>
      <c r="R7639" t="s">
        <v>40444</v>
      </c>
      <c r="S7639" t="s">
        <v>40676</v>
      </c>
      <c r="T7639" t="s">
        <v>42319</v>
      </c>
      <c r="U7639" t="s">
        <v>49075</v>
      </c>
      <c r="V7639" t="s">
        <v>54586</v>
      </c>
      <c r="W7639" t="s">
        <v>38284</v>
      </c>
      <c r="X7639" t="s">
        <v>40445</v>
      </c>
    </row>
    <row r="7640" spans="1:24">
      <c r="A7640">
        <f>HYPERLINK("https://www.philgeps.gov.ph/GEPSNONPILOT/Tender/SplashBidNoticeAbstractUI.aspx?menuIndex=3&amp;refID=7040597&amp;Result=3","7040597")</f>
        <v>0</v>
      </c>
      <c r="B7640" t="s">
        <v>2332</v>
      </c>
      <c r="C7640" t="s">
        <v>10354</v>
      </c>
      <c r="D7640" t="s">
        <v>16221</v>
      </c>
      <c r="E7640" t="s">
        <v>23012</v>
      </c>
      <c r="F7640" t="s">
        <v>28198</v>
      </c>
      <c r="G7640" t="s">
        <v>28205</v>
      </c>
      <c r="H7640" t="s">
        <v>28214</v>
      </c>
      <c r="I7640" t="s">
        <v>3797</v>
      </c>
      <c r="J7640" t="s">
        <v>33139</v>
      </c>
      <c r="K7640" t="s">
        <v>36727</v>
      </c>
      <c r="M7640" t="s">
        <v>39511</v>
      </c>
      <c r="N7640" t="s">
        <v>40436</v>
      </c>
      <c r="O7640" t="s">
        <v>40437</v>
      </c>
      <c r="P7640">
        <v>0</v>
      </c>
      <c r="Q7640">
        <v>6</v>
      </c>
      <c r="R7640" t="s">
        <v>40444</v>
      </c>
      <c r="S7640" t="s">
        <v>40676</v>
      </c>
      <c r="T7640" t="s">
        <v>42234</v>
      </c>
      <c r="U7640" t="s">
        <v>49073</v>
      </c>
      <c r="V7640" t="s">
        <v>54591</v>
      </c>
      <c r="W7640" t="s">
        <v>39511</v>
      </c>
      <c r="X7640" t="s">
        <v>40445</v>
      </c>
    </row>
    <row r="7641" spans="1:24">
      <c r="A7641">
        <f>HYPERLINK("https://www.philgeps.gov.ph/GEPSNONPILOT/Tender/SplashBidNoticeAbstractUI.aspx?menuIndex=3&amp;refID=7040600&amp;Result=3","7040600")</f>
        <v>0</v>
      </c>
      <c r="B7641" t="s">
        <v>2333</v>
      </c>
      <c r="C7641" t="s">
        <v>10355</v>
      </c>
      <c r="D7641" t="s">
        <v>16228</v>
      </c>
      <c r="E7641" t="s">
        <v>23013</v>
      </c>
      <c r="F7641" t="s">
        <v>28198</v>
      </c>
      <c r="G7641" t="s">
        <v>28207</v>
      </c>
      <c r="H7641" t="s">
        <v>28215</v>
      </c>
      <c r="I7641" t="s">
        <v>4321</v>
      </c>
      <c r="J7641" t="s">
        <v>29355</v>
      </c>
      <c r="K7641" t="s">
        <v>36701</v>
      </c>
      <c r="M7641" t="s">
        <v>39512</v>
      </c>
      <c r="N7641" t="s">
        <v>40436</v>
      </c>
      <c r="O7641" t="s">
        <v>40437</v>
      </c>
      <c r="P7641">
        <v>0</v>
      </c>
      <c r="Q7641">
        <v>7</v>
      </c>
      <c r="R7641" t="s">
        <v>40444</v>
      </c>
      <c r="S7641" t="s">
        <v>40676</v>
      </c>
      <c r="T7641" t="s">
        <v>42277</v>
      </c>
      <c r="U7641" t="s">
        <v>49076</v>
      </c>
      <c r="V7641" t="s">
        <v>54592</v>
      </c>
      <c r="W7641" t="s">
        <v>39512</v>
      </c>
      <c r="X7641" t="s">
        <v>40445</v>
      </c>
    </row>
    <row r="7642" spans="1:24">
      <c r="A7642">
        <f>HYPERLINK("https://www.philgeps.gov.ph/GEPSNONPILOT/Tender/SplashBidNoticeAbstractUI.aspx?menuIndex=3&amp;refID=7040601&amp;Result=3","7040601")</f>
        <v>0</v>
      </c>
      <c r="B7642" t="s">
        <v>2081</v>
      </c>
      <c r="C7642" t="s">
        <v>10356</v>
      </c>
      <c r="D7642" t="s">
        <v>16210</v>
      </c>
      <c r="E7642" t="s">
        <v>23014</v>
      </c>
      <c r="F7642" t="s">
        <v>28198</v>
      </c>
      <c r="G7642" t="s">
        <v>28207</v>
      </c>
      <c r="H7642" t="s">
        <v>28216</v>
      </c>
      <c r="I7642" t="s">
        <v>28216</v>
      </c>
      <c r="J7642" t="s">
        <v>33140</v>
      </c>
      <c r="K7642" t="s">
        <v>36715</v>
      </c>
      <c r="M7642" t="s">
        <v>39230</v>
      </c>
      <c r="N7642" t="s">
        <v>40436</v>
      </c>
      <c r="O7642" t="s">
        <v>40437</v>
      </c>
      <c r="P7642">
        <v>0</v>
      </c>
      <c r="Q7642">
        <v>4</v>
      </c>
      <c r="R7642" t="s">
        <v>40444</v>
      </c>
      <c r="S7642" t="s">
        <v>40676</v>
      </c>
      <c r="T7642" t="s">
        <v>42245</v>
      </c>
      <c r="U7642" t="s">
        <v>49077</v>
      </c>
      <c r="V7642" t="s">
        <v>54593</v>
      </c>
      <c r="W7642" t="s">
        <v>39230</v>
      </c>
      <c r="X7642" t="s">
        <v>40445</v>
      </c>
    </row>
    <row r="7643" spans="1:24">
      <c r="A7643">
        <f>HYPERLINK("https://www.philgeps.gov.ph/GEPSNONPILOT/Tender/SplashBidNoticeAbstractUI.aspx?menuIndex=3&amp;refID=7040608&amp;Result=3","7040608")</f>
        <v>0</v>
      </c>
      <c r="B7643" t="s">
        <v>2314</v>
      </c>
      <c r="C7643" t="s">
        <v>10357</v>
      </c>
      <c r="D7643" t="s">
        <v>16195</v>
      </c>
      <c r="E7643" t="s">
        <v>23015</v>
      </c>
      <c r="F7643" t="s">
        <v>28198</v>
      </c>
      <c r="G7643" t="s">
        <v>28205</v>
      </c>
      <c r="H7643" t="s">
        <v>28214</v>
      </c>
      <c r="I7643" t="s">
        <v>28255</v>
      </c>
      <c r="J7643" t="s">
        <v>33141</v>
      </c>
      <c r="K7643" t="s">
        <v>36692</v>
      </c>
      <c r="M7643" t="s">
        <v>39492</v>
      </c>
      <c r="N7643" t="s">
        <v>40436</v>
      </c>
      <c r="O7643" t="s">
        <v>40437</v>
      </c>
      <c r="P7643">
        <v>0</v>
      </c>
      <c r="Q7643">
        <v>6</v>
      </c>
      <c r="R7643" t="s">
        <v>40444</v>
      </c>
      <c r="S7643" t="s">
        <v>40676</v>
      </c>
      <c r="T7643" t="s">
        <v>42138</v>
      </c>
      <c r="U7643" t="s">
        <v>49078</v>
      </c>
      <c r="V7643" t="s">
        <v>54574</v>
      </c>
      <c r="W7643" t="s">
        <v>39492</v>
      </c>
      <c r="X7643" t="s">
        <v>40445</v>
      </c>
    </row>
    <row r="7644" spans="1:24">
      <c r="A7644">
        <f>HYPERLINK("https://www.philgeps.gov.ph/GEPSNONPILOT/Tender/SplashBidNoticeAbstractUI.aspx?menuIndex=3&amp;refID=7040613&amp;Result=3","7040613")</f>
        <v>0</v>
      </c>
      <c r="B7644" t="s">
        <v>2332</v>
      </c>
      <c r="C7644" t="s">
        <v>10358</v>
      </c>
      <c r="D7644" t="s">
        <v>16221</v>
      </c>
      <c r="E7644" t="s">
        <v>23016</v>
      </c>
      <c r="F7644" t="s">
        <v>28198</v>
      </c>
      <c r="G7644" t="s">
        <v>28205</v>
      </c>
      <c r="H7644" t="s">
        <v>28214</v>
      </c>
      <c r="I7644" t="s">
        <v>3797</v>
      </c>
      <c r="J7644" t="s">
        <v>33142</v>
      </c>
      <c r="K7644" t="s">
        <v>36805</v>
      </c>
      <c r="M7644" t="s">
        <v>39511</v>
      </c>
      <c r="N7644" t="s">
        <v>40436</v>
      </c>
      <c r="O7644" t="s">
        <v>40437</v>
      </c>
      <c r="P7644">
        <v>0</v>
      </c>
      <c r="Q7644">
        <v>6</v>
      </c>
      <c r="R7644" t="s">
        <v>40444</v>
      </c>
      <c r="S7644" t="s">
        <v>40676</v>
      </c>
      <c r="T7644" t="s">
        <v>42234</v>
      </c>
      <c r="U7644" t="s">
        <v>49073</v>
      </c>
      <c r="V7644" t="s">
        <v>54594</v>
      </c>
      <c r="W7644" t="s">
        <v>39511</v>
      </c>
      <c r="X7644" t="s">
        <v>40445</v>
      </c>
    </row>
    <row r="7645" spans="1:24">
      <c r="A7645">
        <f>HYPERLINK("https://www.philgeps.gov.ph/GEPSNONPILOT/Tender/SplashBidNoticeAbstractUI.aspx?menuIndex=3&amp;refID=7040615&amp;Result=3","7040615")</f>
        <v>0</v>
      </c>
      <c r="B7645" t="s">
        <v>2314</v>
      </c>
      <c r="C7645" t="s">
        <v>10359</v>
      </c>
      <c r="D7645" t="s">
        <v>16195</v>
      </c>
      <c r="E7645" t="s">
        <v>23017</v>
      </c>
      <c r="F7645" t="s">
        <v>28198</v>
      </c>
      <c r="G7645" t="s">
        <v>28205</v>
      </c>
      <c r="H7645" t="s">
        <v>28214</v>
      </c>
      <c r="I7645" t="s">
        <v>28255</v>
      </c>
      <c r="J7645" t="s">
        <v>33143</v>
      </c>
      <c r="K7645" t="s">
        <v>36692</v>
      </c>
      <c r="M7645" t="s">
        <v>39492</v>
      </c>
      <c r="N7645" t="s">
        <v>40436</v>
      </c>
      <c r="O7645" t="s">
        <v>40437</v>
      </c>
      <c r="P7645">
        <v>0</v>
      </c>
      <c r="Q7645">
        <v>6</v>
      </c>
      <c r="R7645" t="s">
        <v>40444</v>
      </c>
      <c r="S7645" t="s">
        <v>40676</v>
      </c>
      <c r="T7645" t="s">
        <v>42138</v>
      </c>
      <c r="U7645" t="s">
        <v>49079</v>
      </c>
      <c r="V7645" t="s">
        <v>54574</v>
      </c>
      <c r="W7645" t="s">
        <v>39492</v>
      </c>
      <c r="X7645" t="s">
        <v>40445</v>
      </c>
    </row>
    <row r="7646" spans="1:24">
      <c r="A7646">
        <f>HYPERLINK("https://www.philgeps.gov.ph/GEPSNONPILOT/Tender/SplashBidNoticeAbstractUI.aspx?menuIndex=3&amp;refID=7040603&amp;Result=3","7040603")</f>
        <v>0</v>
      </c>
      <c r="B7646" t="s">
        <v>2314</v>
      </c>
      <c r="C7646" t="s">
        <v>10360</v>
      </c>
      <c r="D7646" t="s">
        <v>16195</v>
      </c>
      <c r="E7646" t="s">
        <v>23018</v>
      </c>
      <c r="F7646" t="s">
        <v>28198</v>
      </c>
      <c r="G7646" t="s">
        <v>28205</v>
      </c>
      <c r="H7646" t="s">
        <v>28214</v>
      </c>
      <c r="I7646" t="s">
        <v>28255</v>
      </c>
      <c r="J7646" t="s">
        <v>33144</v>
      </c>
      <c r="K7646" t="s">
        <v>36692</v>
      </c>
      <c r="M7646" t="s">
        <v>39492</v>
      </c>
      <c r="N7646" t="s">
        <v>40436</v>
      </c>
      <c r="O7646" t="s">
        <v>40437</v>
      </c>
      <c r="P7646">
        <v>0</v>
      </c>
      <c r="Q7646">
        <v>6</v>
      </c>
      <c r="R7646" t="s">
        <v>40444</v>
      </c>
      <c r="S7646" t="s">
        <v>40676</v>
      </c>
      <c r="T7646" t="s">
        <v>42138</v>
      </c>
      <c r="U7646" t="s">
        <v>49080</v>
      </c>
      <c r="V7646" t="s">
        <v>54574</v>
      </c>
      <c r="W7646" t="s">
        <v>39492</v>
      </c>
      <c r="X7646" t="s">
        <v>40445</v>
      </c>
    </row>
    <row r="7647" spans="1:24">
      <c r="A7647">
        <f>HYPERLINK("https://www.philgeps.gov.ph/GEPSNONPILOT/Tender/SplashBidNoticeAbstractUI.aspx?menuIndex=3&amp;refID=7040633&amp;Result=3","7040633")</f>
        <v>0</v>
      </c>
      <c r="B7647" t="s">
        <v>2314</v>
      </c>
      <c r="C7647" t="s">
        <v>10361</v>
      </c>
      <c r="D7647" t="s">
        <v>16195</v>
      </c>
      <c r="E7647" t="s">
        <v>23019</v>
      </c>
      <c r="F7647" t="s">
        <v>28198</v>
      </c>
      <c r="G7647" t="s">
        <v>28205</v>
      </c>
      <c r="H7647" t="s">
        <v>28214</v>
      </c>
      <c r="I7647" t="s">
        <v>28255</v>
      </c>
      <c r="J7647" t="s">
        <v>33145</v>
      </c>
      <c r="K7647" t="s">
        <v>36692</v>
      </c>
      <c r="M7647" t="s">
        <v>39492</v>
      </c>
      <c r="N7647" t="s">
        <v>40436</v>
      </c>
      <c r="O7647" t="s">
        <v>40437</v>
      </c>
      <c r="P7647">
        <v>0</v>
      </c>
      <c r="Q7647">
        <v>6</v>
      </c>
      <c r="R7647" t="s">
        <v>40444</v>
      </c>
      <c r="S7647" t="s">
        <v>40676</v>
      </c>
      <c r="T7647" t="s">
        <v>42138</v>
      </c>
      <c r="U7647" t="s">
        <v>49081</v>
      </c>
      <c r="V7647" t="s">
        <v>54574</v>
      </c>
      <c r="W7647" t="s">
        <v>39492</v>
      </c>
      <c r="X7647" t="s">
        <v>40445</v>
      </c>
    </row>
    <row r="7648" spans="1:24">
      <c r="A7648">
        <f>HYPERLINK("https://www.philgeps.gov.ph/GEPSNONPILOT/Tender/SplashBidNoticeAbstractUI.aspx?menuIndex=3&amp;refID=7040616&amp;Result=3","7040616")</f>
        <v>0</v>
      </c>
      <c r="B7648" t="s">
        <v>1235</v>
      </c>
      <c r="C7648" t="s">
        <v>10362</v>
      </c>
      <c r="E7648" t="s">
        <v>23020</v>
      </c>
      <c r="F7648" t="s">
        <v>28198</v>
      </c>
      <c r="G7648" t="s">
        <v>28205</v>
      </c>
      <c r="H7648" t="s">
        <v>28215</v>
      </c>
      <c r="I7648" t="s">
        <v>28246</v>
      </c>
      <c r="J7648" t="s">
        <v>33146</v>
      </c>
      <c r="K7648" t="s">
        <v>36689</v>
      </c>
      <c r="M7648" t="s">
        <v>38284</v>
      </c>
      <c r="N7648" t="s">
        <v>40436</v>
      </c>
      <c r="O7648" t="s">
        <v>40437</v>
      </c>
      <c r="P7648">
        <v>0</v>
      </c>
      <c r="Q7648">
        <v>3</v>
      </c>
      <c r="R7648" t="s">
        <v>40444</v>
      </c>
      <c r="S7648" t="s">
        <v>40676</v>
      </c>
      <c r="T7648" t="s">
        <v>42319</v>
      </c>
      <c r="U7648" t="s">
        <v>49082</v>
      </c>
      <c r="V7648" t="s">
        <v>54586</v>
      </c>
      <c r="W7648" t="s">
        <v>38284</v>
      </c>
      <c r="X7648" t="s">
        <v>40445</v>
      </c>
    </row>
    <row r="7649" spans="1:24">
      <c r="A7649">
        <f>HYPERLINK("https://www.philgeps.gov.ph/GEPSNONPILOT/Tender/SplashBidNoticeAbstractUI.aspx?menuIndex=3&amp;refID=7040621&amp;Result=3","7040621")</f>
        <v>0</v>
      </c>
      <c r="B7649" t="s">
        <v>1235</v>
      </c>
      <c r="C7649" t="s">
        <v>10363</v>
      </c>
      <c r="E7649" t="s">
        <v>23021</v>
      </c>
      <c r="F7649" t="s">
        <v>28198</v>
      </c>
      <c r="G7649" t="s">
        <v>28205</v>
      </c>
      <c r="H7649" t="s">
        <v>28215</v>
      </c>
      <c r="I7649" t="s">
        <v>28224</v>
      </c>
      <c r="J7649" t="s">
        <v>33147</v>
      </c>
      <c r="K7649" t="s">
        <v>36689</v>
      </c>
      <c r="M7649" t="s">
        <v>38284</v>
      </c>
      <c r="N7649" t="s">
        <v>40436</v>
      </c>
      <c r="O7649" t="s">
        <v>40437</v>
      </c>
      <c r="P7649">
        <v>0</v>
      </c>
      <c r="Q7649">
        <v>2</v>
      </c>
      <c r="R7649" t="s">
        <v>40444</v>
      </c>
      <c r="S7649" t="s">
        <v>40676</v>
      </c>
      <c r="T7649" t="s">
        <v>42319</v>
      </c>
      <c r="U7649" t="s">
        <v>49083</v>
      </c>
      <c r="V7649" t="s">
        <v>54586</v>
      </c>
      <c r="W7649" t="s">
        <v>38284</v>
      </c>
      <c r="X7649" t="s">
        <v>40445</v>
      </c>
    </row>
    <row r="7650" spans="1:24">
      <c r="A7650">
        <f>HYPERLINK("https://www.philgeps.gov.ph/GEPSNONPILOT/Tender/SplashBidNoticeAbstractUI.aspx?menuIndex=3&amp;refID=7040628&amp;Result=3","7040628")</f>
        <v>0</v>
      </c>
      <c r="B7650" t="s">
        <v>2314</v>
      </c>
      <c r="C7650" t="s">
        <v>10364</v>
      </c>
      <c r="D7650" t="s">
        <v>16195</v>
      </c>
      <c r="E7650" t="s">
        <v>23022</v>
      </c>
      <c r="F7650" t="s">
        <v>28198</v>
      </c>
      <c r="G7650" t="s">
        <v>28205</v>
      </c>
      <c r="H7650" t="s">
        <v>28214</v>
      </c>
      <c r="I7650" t="s">
        <v>28255</v>
      </c>
      <c r="J7650" t="s">
        <v>33148</v>
      </c>
      <c r="K7650" t="s">
        <v>36692</v>
      </c>
      <c r="M7650" t="s">
        <v>39492</v>
      </c>
      <c r="N7650" t="s">
        <v>40436</v>
      </c>
      <c r="O7650" t="s">
        <v>40437</v>
      </c>
      <c r="P7650">
        <v>0</v>
      </c>
      <c r="Q7650">
        <v>6</v>
      </c>
      <c r="R7650" t="s">
        <v>40444</v>
      </c>
      <c r="S7650" t="s">
        <v>40676</v>
      </c>
      <c r="T7650" t="s">
        <v>42138</v>
      </c>
      <c r="U7650" t="s">
        <v>49084</v>
      </c>
      <c r="V7650" t="s">
        <v>54574</v>
      </c>
      <c r="W7650" t="s">
        <v>39492</v>
      </c>
      <c r="X7650" t="s">
        <v>40445</v>
      </c>
    </row>
    <row r="7651" spans="1:24">
      <c r="A7651">
        <f>HYPERLINK("https://www.philgeps.gov.ph/GEPSNONPILOT/Tender/SplashBidNoticeAbstractUI.aspx?menuIndex=3&amp;refID=7040618&amp;Result=3","7040618")</f>
        <v>0</v>
      </c>
      <c r="B7651" t="s">
        <v>2332</v>
      </c>
      <c r="C7651" t="s">
        <v>10365</v>
      </c>
      <c r="D7651" t="s">
        <v>16221</v>
      </c>
      <c r="E7651" t="s">
        <v>23023</v>
      </c>
      <c r="F7651" t="s">
        <v>28198</v>
      </c>
      <c r="G7651" t="s">
        <v>28205</v>
      </c>
      <c r="H7651" t="s">
        <v>28215</v>
      </c>
      <c r="I7651" t="s">
        <v>28234</v>
      </c>
      <c r="J7651" t="s">
        <v>33149</v>
      </c>
      <c r="K7651" t="s">
        <v>36697</v>
      </c>
      <c r="M7651" t="s">
        <v>39511</v>
      </c>
      <c r="N7651" t="s">
        <v>40436</v>
      </c>
      <c r="O7651" t="s">
        <v>40437</v>
      </c>
      <c r="P7651">
        <v>0</v>
      </c>
      <c r="Q7651">
        <v>13</v>
      </c>
      <c r="R7651" t="s">
        <v>40444</v>
      </c>
      <c r="S7651" t="s">
        <v>40676</v>
      </c>
      <c r="T7651" t="s">
        <v>42234</v>
      </c>
      <c r="U7651" t="s">
        <v>49073</v>
      </c>
      <c r="V7651" t="s">
        <v>54595</v>
      </c>
      <c r="W7651" t="s">
        <v>39511</v>
      </c>
      <c r="X7651" t="s">
        <v>40445</v>
      </c>
    </row>
    <row r="7652" spans="1:24">
      <c r="A7652">
        <f>HYPERLINK("https://www.philgeps.gov.ph/GEPSNONPILOT/Tender/SplashBidNoticeAbstractUI.aspx?menuIndex=3&amp;refID=7040638&amp;Result=3","7040638")</f>
        <v>0</v>
      </c>
      <c r="B7652" t="s">
        <v>2334</v>
      </c>
      <c r="C7652" t="s">
        <v>7366</v>
      </c>
      <c r="D7652" t="s">
        <v>16210</v>
      </c>
      <c r="E7652" t="s">
        <v>23024</v>
      </c>
      <c r="F7652" t="s">
        <v>28198</v>
      </c>
      <c r="G7652" t="s">
        <v>28205</v>
      </c>
      <c r="H7652" t="s">
        <v>28215</v>
      </c>
      <c r="I7652" t="s">
        <v>5071</v>
      </c>
      <c r="J7652" t="s">
        <v>33150</v>
      </c>
      <c r="K7652" t="s">
        <v>36707</v>
      </c>
      <c r="M7652" t="s">
        <v>39513</v>
      </c>
      <c r="N7652" t="s">
        <v>40436</v>
      </c>
      <c r="O7652" t="s">
        <v>40437</v>
      </c>
      <c r="P7652">
        <v>0</v>
      </c>
      <c r="Q7652">
        <v>3</v>
      </c>
      <c r="R7652" t="s">
        <v>40444</v>
      </c>
      <c r="S7652" t="s">
        <v>40676</v>
      </c>
      <c r="T7652" t="s">
        <v>42145</v>
      </c>
      <c r="U7652" t="s">
        <v>49085</v>
      </c>
      <c r="W7652" t="s">
        <v>39513</v>
      </c>
      <c r="X7652" t="s">
        <v>40445</v>
      </c>
    </row>
    <row r="7653" spans="1:24">
      <c r="A7653">
        <f>HYPERLINK("https://www.philgeps.gov.ph/GEPSNONPILOT/Tender/SplashBidNoticeAbstractUI.aspx?menuIndex=3&amp;refID=7040619&amp;Result=3","7040619")</f>
        <v>0</v>
      </c>
      <c r="B7653" t="s">
        <v>2314</v>
      </c>
      <c r="C7653" t="s">
        <v>10366</v>
      </c>
      <c r="D7653" t="s">
        <v>16195</v>
      </c>
      <c r="E7653" t="s">
        <v>23025</v>
      </c>
      <c r="F7653" t="s">
        <v>28198</v>
      </c>
      <c r="G7653" t="s">
        <v>28205</v>
      </c>
      <c r="H7653" t="s">
        <v>28214</v>
      </c>
      <c r="I7653" t="s">
        <v>28255</v>
      </c>
      <c r="J7653" t="s">
        <v>33151</v>
      </c>
      <c r="K7653" t="s">
        <v>36692</v>
      </c>
      <c r="M7653" t="s">
        <v>39492</v>
      </c>
      <c r="N7653" t="s">
        <v>40436</v>
      </c>
      <c r="O7653" t="s">
        <v>40437</v>
      </c>
      <c r="P7653">
        <v>0</v>
      </c>
      <c r="Q7653">
        <v>6</v>
      </c>
      <c r="R7653" t="s">
        <v>40444</v>
      </c>
      <c r="S7653" t="s">
        <v>40676</v>
      </c>
      <c r="T7653" t="s">
        <v>42138</v>
      </c>
      <c r="U7653" t="s">
        <v>49086</v>
      </c>
      <c r="V7653" t="s">
        <v>54574</v>
      </c>
      <c r="W7653" t="s">
        <v>39492</v>
      </c>
      <c r="X7653" t="s">
        <v>40445</v>
      </c>
    </row>
    <row r="7654" spans="1:24">
      <c r="A7654">
        <f>HYPERLINK("https://www.philgeps.gov.ph/GEPSNONPILOT/Tender/SplashBidNoticeAbstractUI.aspx?menuIndex=3&amp;refID=7040636&amp;Result=3","7040636")</f>
        <v>0</v>
      </c>
      <c r="B7654" t="s">
        <v>2081</v>
      </c>
      <c r="C7654" t="s">
        <v>10367</v>
      </c>
      <c r="D7654" t="s">
        <v>16210</v>
      </c>
      <c r="E7654" t="s">
        <v>23026</v>
      </c>
      <c r="F7654" t="s">
        <v>28198</v>
      </c>
      <c r="G7654" t="s">
        <v>28207</v>
      </c>
      <c r="H7654" t="s">
        <v>28216</v>
      </c>
      <c r="I7654" t="s">
        <v>28216</v>
      </c>
      <c r="J7654" t="s">
        <v>33152</v>
      </c>
      <c r="K7654" t="s">
        <v>36715</v>
      </c>
      <c r="M7654" t="s">
        <v>39230</v>
      </c>
      <c r="N7654" t="s">
        <v>40436</v>
      </c>
      <c r="O7654" t="s">
        <v>40437</v>
      </c>
      <c r="P7654">
        <v>0</v>
      </c>
      <c r="Q7654">
        <v>4</v>
      </c>
      <c r="R7654" t="s">
        <v>40444</v>
      </c>
      <c r="S7654" t="s">
        <v>40676</v>
      </c>
      <c r="T7654" t="s">
        <v>42245</v>
      </c>
      <c r="U7654" t="s">
        <v>49087</v>
      </c>
      <c r="V7654" t="s">
        <v>54596</v>
      </c>
      <c r="W7654" t="s">
        <v>39230</v>
      </c>
      <c r="X7654" t="s">
        <v>40445</v>
      </c>
    </row>
    <row r="7655" spans="1:24">
      <c r="A7655">
        <f>HYPERLINK("https://www.philgeps.gov.ph/GEPSNONPILOT/Tender/SplashBidNoticeAbstractUI.aspx?menuIndex=3&amp;refID=7040640&amp;Result=3","7040640")</f>
        <v>0</v>
      </c>
      <c r="B7655" t="s">
        <v>2314</v>
      </c>
      <c r="C7655" t="s">
        <v>10368</v>
      </c>
      <c r="D7655" t="s">
        <v>16195</v>
      </c>
      <c r="E7655" t="s">
        <v>23027</v>
      </c>
      <c r="F7655" t="s">
        <v>28198</v>
      </c>
      <c r="G7655" t="s">
        <v>28205</v>
      </c>
      <c r="H7655" t="s">
        <v>28214</v>
      </c>
      <c r="I7655" t="s">
        <v>28255</v>
      </c>
      <c r="J7655" t="s">
        <v>33153</v>
      </c>
      <c r="K7655" t="s">
        <v>36692</v>
      </c>
      <c r="M7655" t="s">
        <v>39492</v>
      </c>
      <c r="N7655" t="s">
        <v>40436</v>
      </c>
      <c r="O7655" t="s">
        <v>40437</v>
      </c>
      <c r="P7655">
        <v>0</v>
      </c>
      <c r="Q7655">
        <v>6</v>
      </c>
      <c r="R7655" t="s">
        <v>40444</v>
      </c>
      <c r="S7655" t="s">
        <v>40676</v>
      </c>
      <c r="T7655" t="s">
        <v>42138</v>
      </c>
      <c r="U7655" t="s">
        <v>49088</v>
      </c>
      <c r="V7655" t="s">
        <v>54574</v>
      </c>
      <c r="W7655" t="s">
        <v>39492</v>
      </c>
      <c r="X7655" t="s">
        <v>40445</v>
      </c>
    </row>
    <row r="7656" spans="1:24">
      <c r="A7656">
        <f>HYPERLINK("https://www.philgeps.gov.ph/GEPSNONPILOT/Tender/SplashBidNoticeAbstractUI.aspx?menuIndex=3&amp;refID=7040626&amp;Result=3","7040626")</f>
        <v>0</v>
      </c>
      <c r="B7656" t="s">
        <v>1235</v>
      </c>
      <c r="C7656" t="s">
        <v>7237</v>
      </c>
      <c r="E7656" t="s">
        <v>23028</v>
      </c>
      <c r="F7656" t="s">
        <v>28198</v>
      </c>
      <c r="G7656" t="s">
        <v>28205</v>
      </c>
      <c r="H7656" t="s">
        <v>28215</v>
      </c>
      <c r="I7656" t="s">
        <v>5100</v>
      </c>
      <c r="J7656" t="s">
        <v>33154</v>
      </c>
      <c r="K7656" t="s">
        <v>36689</v>
      </c>
      <c r="M7656" t="s">
        <v>38284</v>
      </c>
      <c r="N7656" t="s">
        <v>40436</v>
      </c>
      <c r="O7656" t="s">
        <v>40437</v>
      </c>
      <c r="P7656">
        <v>0</v>
      </c>
      <c r="Q7656">
        <v>3</v>
      </c>
      <c r="R7656" t="s">
        <v>40444</v>
      </c>
      <c r="S7656" t="s">
        <v>40676</v>
      </c>
      <c r="T7656" t="s">
        <v>42319</v>
      </c>
      <c r="U7656" t="s">
        <v>49089</v>
      </c>
      <c r="V7656" t="s">
        <v>54586</v>
      </c>
      <c r="W7656" t="s">
        <v>38284</v>
      </c>
      <c r="X7656" t="s">
        <v>40445</v>
      </c>
    </row>
    <row r="7657" spans="1:24">
      <c r="A7657">
        <f>HYPERLINK("https://www.philgeps.gov.ph/GEPSNONPILOT/Tender/SplashBidNoticeAbstractUI.aspx?menuIndex=3&amp;refID=7040637&amp;Result=3","7040637")</f>
        <v>0</v>
      </c>
      <c r="B7657" t="s">
        <v>2335</v>
      </c>
      <c r="C7657" t="s">
        <v>10369</v>
      </c>
      <c r="D7657" t="s">
        <v>16221</v>
      </c>
      <c r="E7657" t="s">
        <v>23029</v>
      </c>
      <c r="F7657" t="s">
        <v>28198</v>
      </c>
      <c r="G7657" t="s">
        <v>28205</v>
      </c>
      <c r="H7657" t="s">
        <v>28214</v>
      </c>
      <c r="I7657" t="s">
        <v>3797</v>
      </c>
      <c r="J7657" t="s">
        <v>28398</v>
      </c>
      <c r="K7657" t="s">
        <v>36687</v>
      </c>
      <c r="M7657" t="s">
        <v>39514</v>
      </c>
      <c r="N7657" t="s">
        <v>40436</v>
      </c>
      <c r="O7657" t="s">
        <v>40437</v>
      </c>
      <c r="P7657">
        <v>0</v>
      </c>
      <c r="Q7657">
        <v>0</v>
      </c>
      <c r="R7657" t="s">
        <v>40444</v>
      </c>
      <c r="S7657" t="s">
        <v>40676</v>
      </c>
      <c r="T7657" t="s">
        <v>42119</v>
      </c>
      <c r="U7657" t="s">
        <v>49090</v>
      </c>
      <c r="W7657" t="s">
        <v>39514</v>
      </c>
      <c r="X7657" t="s">
        <v>40445</v>
      </c>
    </row>
    <row r="7658" spans="1:24">
      <c r="A7658">
        <f>HYPERLINK("https://www.philgeps.gov.ph/GEPSNONPILOT/Tender/SplashBidNoticeAbstractUI.aspx?menuIndex=3&amp;refID=7040635&amp;Result=3","7040635")</f>
        <v>0</v>
      </c>
      <c r="B7658" t="s">
        <v>2314</v>
      </c>
      <c r="C7658" t="s">
        <v>10370</v>
      </c>
      <c r="D7658" t="s">
        <v>16195</v>
      </c>
      <c r="E7658" t="s">
        <v>23030</v>
      </c>
      <c r="F7658" t="s">
        <v>28198</v>
      </c>
      <c r="G7658" t="s">
        <v>28205</v>
      </c>
      <c r="H7658" t="s">
        <v>28214</v>
      </c>
      <c r="I7658" t="s">
        <v>28255</v>
      </c>
      <c r="J7658" t="s">
        <v>33155</v>
      </c>
      <c r="K7658" t="s">
        <v>36692</v>
      </c>
      <c r="M7658" t="s">
        <v>39492</v>
      </c>
      <c r="N7658" t="s">
        <v>40436</v>
      </c>
      <c r="O7658" t="s">
        <v>40437</v>
      </c>
      <c r="P7658">
        <v>0</v>
      </c>
      <c r="Q7658">
        <v>5</v>
      </c>
      <c r="R7658" t="s">
        <v>40444</v>
      </c>
      <c r="S7658" t="s">
        <v>40676</v>
      </c>
      <c r="T7658" t="s">
        <v>42138</v>
      </c>
      <c r="U7658" t="s">
        <v>49091</v>
      </c>
      <c r="V7658" t="s">
        <v>54574</v>
      </c>
      <c r="W7658" t="s">
        <v>39492</v>
      </c>
      <c r="X7658" t="s">
        <v>40445</v>
      </c>
    </row>
    <row r="7659" spans="1:24">
      <c r="A7659">
        <f>HYPERLINK("https://www.philgeps.gov.ph/GEPSNONPILOT/Tender/SplashBidNoticeAbstractUI.aspx?menuIndex=3&amp;refID=7040625&amp;Result=3","7040625")</f>
        <v>0</v>
      </c>
      <c r="B7659" t="s">
        <v>2081</v>
      </c>
      <c r="C7659" t="s">
        <v>10371</v>
      </c>
      <c r="D7659" t="s">
        <v>16210</v>
      </c>
      <c r="E7659" t="s">
        <v>23031</v>
      </c>
      <c r="F7659" t="s">
        <v>28198</v>
      </c>
      <c r="G7659" t="s">
        <v>28207</v>
      </c>
      <c r="H7659" t="s">
        <v>28216</v>
      </c>
      <c r="I7659" t="s">
        <v>28216</v>
      </c>
      <c r="J7659" t="s">
        <v>33156</v>
      </c>
      <c r="K7659" t="s">
        <v>36715</v>
      </c>
      <c r="M7659" t="s">
        <v>39230</v>
      </c>
      <c r="N7659" t="s">
        <v>40436</v>
      </c>
      <c r="O7659" t="s">
        <v>40437</v>
      </c>
      <c r="P7659">
        <v>0</v>
      </c>
      <c r="Q7659">
        <v>4</v>
      </c>
      <c r="R7659" t="s">
        <v>40444</v>
      </c>
      <c r="S7659" t="s">
        <v>40676</v>
      </c>
      <c r="T7659" t="s">
        <v>42245</v>
      </c>
      <c r="U7659" t="s">
        <v>49092</v>
      </c>
      <c r="V7659" t="s">
        <v>54597</v>
      </c>
      <c r="W7659" t="s">
        <v>39230</v>
      </c>
      <c r="X7659" t="s">
        <v>40445</v>
      </c>
    </row>
    <row r="7660" spans="1:24">
      <c r="A7660">
        <f>HYPERLINK("https://www.philgeps.gov.ph/GEPSNONPILOT/Tender/SplashBidNoticeAbstractUI.aspx?menuIndex=3&amp;refID=7040646&amp;Result=3","7040646")</f>
        <v>0</v>
      </c>
      <c r="B7660" t="s">
        <v>2314</v>
      </c>
      <c r="C7660" t="s">
        <v>10372</v>
      </c>
      <c r="D7660" t="s">
        <v>16195</v>
      </c>
      <c r="E7660" t="s">
        <v>23032</v>
      </c>
      <c r="F7660" t="s">
        <v>28198</v>
      </c>
      <c r="G7660" t="s">
        <v>28205</v>
      </c>
      <c r="H7660" t="s">
        <v>28214</v>
      </c>
      <c r="I7660" t="s">
        <v>28255</v>
      </c>
      <c r="J7660" t="s">
        <v>33157</v>
      </c>
      <c r="K7660" t="s">
        <v>36692</v>
      </c>
      <c r="M7660" t="s">
        <v>39492</v>
      </c>
      <c r="N7660" t="s">
        <v>40436</v>
      </c>
      <c r="O7660" t="s">
        <v>40437</v>
      </c>
      <c r="P7660">
        <v>0</v>
      </c>
      <c r="Q7660">
        <v>7</v>
      </c>
      <c r="R7660" t="s">
        <v>40444</v>
      </c>
      <c r="S7660" t="s">
        <v>40676</v>
      </c>
      <c r="T7660" t="s">
        <v>42138</v>
      </c>
      <c r="U7660" t="s">
        <v>49093</v>
      </c>
      <c r="V7660" t="s">
        <v>54574</v>
      </c>
      <c r="W7660" t="s">
        <v>39492</v>
      </c>
      <c r="X7660" t="s">
        <v>40445</v>
      </c>
    </row>
    <row r="7661" spans="1:24">
      <c r="A7661">
        <f>HYPERLINK("https://www.philgeps.gov.ph/GEPSNONPILOT/Tender/SplashBidNoticeAbstractUI.aspx?menuIndex=3&amp;refID=7040643&amp;Result=3","7040643")</f>
        <v>0</v>
      </c>
      <c r="B7661" t="s">
        <v>2314</v>
      </c>
      <c r="C7661" t="s">
        <v>10373</v>
      </c>
      <c r="D7661" t="s">
        <v>16195</v>
      </c>
      <c r="E7661" t="s">
        <v>23033</v>
      </c>
      <c r="F7661" t="s">
        <v>28198</v>
      </c>
      <c r="G7661" t="s">
        <v>28205</v>
      </c>
      <c r="H7661" t="s">
        <v>28214</v>
      </c>
      <c r="I7661" t="s">
        <v>28255</v>
      </c>
      <c r="J7661" t="s">
        <v>33158</v>
      </c>
      <c r="K7661" t="s">
        <v>36692</v>
      </c>
      <c r="M7661" t="s">
        <v>39492</v>
      </c>
      <c r="N7661" t="s">
        <v>40436</v>
      </c>
      <c r="O7661" t="s">
        <v>40437</v>
      </c>
      <c r="P7661">
        <v>0</v>
      </c>
      <c r="Q7661">
        <v>6</v>
      </c>
      <c r="R7661" t="s">
        <v>40444</v>
      </c>
      <c r="S7661" t="s">
        <v>40676</v>
      </c>
      <c r="T7661" t="s">
        <v>42138</v>
      </c>
      <c r="U7661" t="s">
        <v>49094</v>
      </c>
      <c r="V7661" t="s">
        <v>54574</v>
      </c>
      <c r="W7661" t="s">
        <v>39492</v>
      </c>
      <c r="X7661" t="s">
        <v>40445</v>
      </c>
    </row>
    <row r="7662" spans="1:24">
      <c r="A7662">
        <f>HYPERLINK("https://www.philgeps.gov.ph/GEPSNONPILOT/Tender/SplashBidNoticeAbstractUI.aspx?menuIndex=3&amp;refID=7040645&amp;Result=3","7040645")</f>
        <v>0</v>
      </c>
      <c r="B7662" t="s">
        <v>2334</v>
      </c>
      <c r="C7662" t="s">
        <v>10374</v>
      </c>
      <c r="D7662" t="s">
        <v>16210</v>
      </c>
      <c r="E7662" t="s">
        <v>23034</v>
      </c>
      <c r="F7662" t="s">
        <v>28198</v>
      </c>
      <c r="G7662" t="s">
        <v>28205</v>
      </c>
      <c r="H7662" t="s">
        <v>28215</v>
      </c>
      <c r="I7662" t="s">
        <v>28225</v>
      </c>
      <c r="J7662" t="s">
        <v>33159</v>
      </c>
      <c r="K7662" t="s">
        <v>36707</v>
      </c>
      <c r="M7662" t="s">
        <v>39513</v>
      </c>
      <c r="N7662" t="s">
        <v>40436</v>
      </c>
      <c r="O7662" t="s">
        <v>40437</v>
      </c>
      <c r="P7662">
        <v>0</v>
      </c>
      <c r="Q7662">
        <v>11</v>
      </c>
      <c r="R7662" t="s">
        <v>40444</v>
      </c>
      <c r="S7662" t="s">
        <v>40676</v>
      </c>
      <c r="T7662" t="s">
        <v>42145</v>
      </c>
      <c r="U7662" t="s">
        <v>49095</v>
      </c>
      <c r="W7662" t="s">
        <v>39513</v>
      </c>
      <c r="X7662" t="s">
        <v>40445</v>
      </c>
    </row>
    <row r="7663" spans="1:24">
      <c r="A7663">
        <f>HYPERLINK("https://www.philgeps.gov.ph/GEPSNONPILOT/Tender/SplashBidNoticeAbstractUI.aspx?menuIndex=3&amp;refID=7040649&amp;Result=3","7040649")</f>
        <v>0</v>
      </c>
      <c r="B7663" t="s">
        <v>916</v>
      </c>
      <c r="C7663" t="s">
        <v>10375</v>
      </c>
      <c r="E7663" t="s">
        <v>23035</v>
      </c>
      <c r="F7663" t="s">
        <v>28198</v>
      </c>
      <c r="G7663" t="s">
        <v>28205</v>
      </c>
      <c r="H7663" t="s">
        <v>28215</v>
      </c>
      <c r="I7663" t="s">
        <v>28238</v>
      </c>
      <c r="J7663" t="s">
        <v>33160</v>
      </c>
      <c r="K7663" t="s">
        <v>36689</v>
      </c>
      <c r="M7663" t="s">
        <v>37935</v>
      </c>
      <c r="N7663" t="s">
        <v>40436</v>
      </c>
      <c r="O7663" t="s">
        <v>40437</v>
      </c>
      <c r="P7663">
        <v>0</v>
      </c>
      <c r="Q7663">
        <v>12</v>
      </c>
      <c r="R7663" t="s">
        <v>40444</v>
      </c>
      <c r="S7663" t="s">
        <v>40676</v>
      </c>
      <c r="T7663" t="s">
        <v>42138</v>
      </c>
      <c r="U7663" t="s">
        <v>49096</v>
      </c>
      <c r="W7663" t="s">
        <v>37935</v>
      </c>
      <c r="X7663" t="s">
        <v>40445</v>
      </c>
    </row>
    <row r="7664" spans="1:24">
      <c r="A7664">
        <f>HYPERLINK("https://www.philgeps.gov.ph/GEPSNONPILOT/Tender/SplashBidNoticeAbstractUI.aspx?menuIndex=3&amp;refID=7040644&amp;Result=3","7040644")</f>
        <v>0</v>
      </c>
      <c r="B7664" t="s">
        <v>2081</v>
      </c>
      <c r="C7664" t="s">
        <v>10376</v>
      </c>
      <c r="D7664" t="s">
        <v>16210</v>
      </c>
      <c r="E7664" t="s">
        <v>23036</v>
      </c>
      <c r="F7664" t="s">
        <v>28198</v>
      </c>
      <c r="G7664" t="s">
        <v>28207</v>
      </c>
      <c r="H7664" t="s">
        <v>28216</v>
      </c>
      <c r="I7664" t="s">
        <v>28216</v>
      </c>
      <c r="J7664" t="s">
        <v>33161</v>
      </c>
      <c r="K7664" t="s">
        <v>36715</v>
      </c>
      <c r="M7664" t="s">
        <v>39230</v>
      </c>
      <c r="N7664" t="s">
        <v>40436</v>
      </c>
      <c r="O7664" t="s">
        <v>40437</v>
      </c>
      <c r="P7664">
        <v>0</v>
      </c>
      <c r="Q7664">
        <v>4</v>
      </c>
      <c r="R7664" t="s">
        <v>40444</v>
      </c>
      <c r="S7664" t="s">
        <v>40676</v>
      </c>
      <c r="T7664" t="s">
        <v>42245</v>
      </c>
      <c r="U7664" t="s">
        <v>49097</v>
      </c>
      <c r="V7664" t="s">
        <v>54598</v>
      </c>
      <c r="W7664" t="s">
        <v>39230</v>
      </c>
      <c r="X7664" t="s">
        <v>40445</v>
      </c>
    </row>
    <row r="7665" spans="1:24">
      <c r="A7665">
        <f>HYPERLINK("https://www.philgeps.gov.ph/GEPSNONPILOT/Tender/SplashBidNoticeAbstractUI.aspx?menuIndex=3&amp;refID=7040654&amp;Result=3","7040654")</f>
        <v>0</v>
      </c>
      <c r="B7665" t="s">
        <v>2334</v>
      </c>
      <c r="C7665" t="s">
        <v>10377</v>
      </c>
      <c r="D7665" t="s">
        <v>16210</v>
      </c>
      <c r="E7665" t="s">
        <v>23037</v>
      </c>
      <c r="F7665" t="s">
        <v>28198</v>
      </c>
      <c r="G7665" t="s">
        <v>28205</v>
      </c>
      <c r="H7665" t="s">
        <v>28217</v>
      </c>
      <c r="I7665" t="s">
        <v>28276</v>
      </c>
      <c r="J7665" t="s">
        <v>33162</v>
      </c>
      <c r="K7665" t="s">
        <v>36701</v>
      </c>
      <c r="M7665" t="s">
        <v>39513</v>
      </c>
      <c r="N7665" t="s">
        <v>40436</v>
      </c>
      <c r="O7665" t="s">
        <v>40437</v>
      </c>
      <c r="P7665">
        <v>0</v>
      </c>
      <c r="Q7665">
        <v>1</v>
      </c>
      <c r="R7665" t="s">
        <v>40444</v>
      </c>
      <c r="S7665" t="s">
        <v>40676</v>
      </c>
      <c r="T7665" t="s">
        <v>42145</v>
      </c>
      <c r="U7665" t="s">
        <v>49098</v>
      </c>
      <c r="W7665" t="s">
        <v>39513</v>
      </c>
      <c r="X7665" t="s">
        <v>40445</v>
      </c>
    </row>
    <row r="7666" spans="1:24">
      <c r="A7666">
        <f>HYPERLINK("https://www.philgeps.gov.ph/GEPSNONPILOT/Tender/SplashBidNoticeAbstractUI.aspx?menuIndex=3&amp;refID=7040622&amp;Result=3","7040622")</f>
        <v>0</v>
      </c>
      <c r="B7666" t="s">
        <v>2314</v>
      </c>
      <c r="C7666" t="s">
        <v>10378</v>
      </c>
      <c r="D7666" t="s">
        <v>16195</v>
      </c>
      <c r="E7666" t="s">
        <v>23038</v>
      </c>
      <c r="F7666" t="s">
        <v>28198</v>
      </c>
      <c r="G7666" t="s">
        <v>28205</v>
      </c>
      <c r="H7666" t="s">
        <v>28214</v>
      </c>
      <c r="I7666" t="s">
        <v>28255</v>
      </c>
      <c r="J7666" t="s">
        <v>33163</v>
      </c>
      <c r="K7666" t="s">
        <v>36692</v>
      </c>
      <c r="M7666" t="s">
        <v>39492</v>
      </c>
      <c r="N7666" t="s">
        <v>40436</v>
      </c>
      <c r="O7666" t="s">
        <v>40437</v>
      </c>
      <c r="P7666">
        <v>0</v>
      </c>
      <c r="Q7666">
        <v>5</v>
      </c>
      <c r="R7666" t="s">
        <v>40444</v>
      </c>
      <c r="S7666" t="s">
        <v>40676</v>
      </c>
      <c r="T7666" t="s">
        <v>42138</v>
      </c>
      <c r="U7666" t="s">
        <v>49099</v>
      </c>
      <c r="V7666" t="s">
        <v>54574</v>
      </c>
      <c r="W7666" t="s">
        <v>39492</v>
      </c>
      <c r="X7666" t="s">
        <v>40445</v>
      </c>
    </row>
    <row r="7667" spans="1:24">
      <c r="A7667">
        <f>HYPERLINK("https://www.philgeps.gov.ph/GEPSNONPILOT/Tender/SplashBidNoticeAbstractUI.aspx?menuIndex=3&amp;refID=7040687&amp;Result=3","7040687")</f>
        <v>0</v>
      </c>
      <c r="B7667" t="s">
        <v>1962</v>
      </c>
      <c r="C7667" t="s">
        <v>10379</v>
      </c>
      <c r="D7667" t="s">
        <v>16208</v>
      </c>
      <c r="E7667" t="s">
        <v>23039</v>
      </c>
      <c r="F7667" t="s">
        <v>28198</v>
      </c>
      <c r="G7667" t="s">
        <v>28205</v>
      </c>
      <c r="H7667" t="s">
        <v>28215</v>
      </c>
      <c r="I7667" t="s">
        <v>6051</v>
      </c>
      <c r="J7667" t="s">
        <v>33164</v>
      </c>
      <c r="K7667" t="s">
        <v>36707</v>
      </c>
      <c r="M7667" t="s">
        <v>39097</v>
      </c>
      <c r="N7667" t="s">
        <v>40436</v>
      </c>
      <c r="O7667" t="s">
        <v>40437</v>
      </c>
      <c r="P7667">
        <v>0</v>
      </c>
      <c r="Q7667">
        <v>3</v>
      </c>
      <c r="R7667" t="s">
        <v>40444</v>
      </c>
      <c r="S7667" t="s">
        <v>40676</v>
      </c>
      <c r="T7667" t="s">
        <v>42443</v>
      </c>
      <c r="U7667" t="s">
        <v>49100</v>
      </c>
      <c r="W7667" t="s">
        <v>39097</v>
      </c>
      <c r="X7667" t="s">
        <v>40445</v>
      </c>
    </row>
    <row r="7668" spans="1:24">
      <c r="A7668">
        <f>HYPERLINK("https://www.philgeps.gov.ph/GEPSNONPILOT/Tender/SplashBidNoticeAbstractUI.aspx?menuIndex=3&amp;refID=7040685&amp;Result=3","7040685")</f>
        <v>0</v>
      </c>
      <c r="B7668" t="s">
        <v>315</v>
      </c>
      <c r="C7668" t="s">
        <v>10380</v>
      </c>
      <c r="D7668" t="s">
        <v>16191</v>
      </c>
      <c r="E7668" t="s">
        <v>23040</v>
      </c>
      <c r="F7668" t="s">
        <v>28200</v>
      </c>
      <c r="G7668" t="s">
        <v>28207</v>
      </c>
      <c r="H7668" t="s">
        <v>28215</v>
      </c>
      <c r="I7668" t="s">
        <v>28238</v>
      </c>
      <c r="J7668" t="s">
        <v>29936</v>
      </c>
      <c r="K7668" t="s">
        <v>36698</v>
      </c>
      <c r="M7668" t="s">
        <v>39515</v>
      </c>
      <c r="N7668" t="s">
        <v>40436</v>
      </c>
      <c r="O7668" t="s">
        <v>40437</v>
      </c>
      <c r="P7668">
        <v>0</v>
      </c>
      <c r="Q7668">
        <v>3</v>
      </c>
      <c r="R7668" t="s">
        <v>40444</v>
      </c>
      <c r="S7668" t="s">
        <v>40676</v>
      </c>
      <c r="T7668" t="s">
        <v>42378</v>
      </c>
      <c r="U7668" t="s">
        <v>49101</v>
      </c>
      <c r="V7668" t="s">
        <v>45350</v>
      </c>
      <c r="W7668" t="s">
        <v>39515</v>
      </c>
      <c r="X7668" t="s">
        <v>40445</v>
      </c>
    </row>
    <row r="7669" spans="1:24">
      <c r="A7669">
        <f>HYPERLINK("https://www.philgeps.gov.ph/GEPSNONPILOT/Tender/SplashBidNoticeAbstractUI.aspx?menuIndex=3&amp;refID=7040655&amp;Result=3","7040655")</f>
        <v>0</v>
      </c>
      <c r="B7669" t="s">
        <v>2336</v>
      </c>
      <c r="C7669" t="s">
        <v>10381</v>
      </c>
      <c r="D7669" t="s">
        <v>16260</v>
      </c>
      <c r="E7669" t="s">
        <v>23041</v>
      </c>
      <c r="F7669" t="s">
        <v>28198</v>
      </c>
      <c r="G7669" t="s">
        <v>28207</v>
      </c>
      <c r="H7669" t="s">
        <v>28215</v>
      </c>
      <c r="I7669" t="s">
        <v>3797</v>
      </c>
      <c r="J7669" t="s">
        <v>28551</v>
      </c>
      <c r="K7669" t="s">
        <v>36698</v>
      </c>
      <c r="M7669" t="s">
        <v>39516</v>
      </c>
      <c r="N7669" t="s">
        <v>40436</v>
      </c>
      <c r="O7669" t="s">
        <v>40437</v>
      </c>
      <c r="P7669">
        <v>0</v>
      </c>
      <c r="Q7669">
        <v>0</v>
      </c>
      <c r="R7669" t="s">
        <v>40444</v>
      </c>
      <c r="S7669" t="s">
        <v>40676</v>
      </c>
      <c r="T7669" t="s">
        <v>42158</v>
      </c>
      <c r="U7669" t="s">
        <v>49102</v>
      </c>
      <c r="W7669" t="s">
        <v>39516</v>
      </c>
      <c r="X7669" t="s">
        <v>40445</v>
      </c>
    </row>
    <row r="7670" spans="1:24">
      <c r="A7670">
        <f>HYPERLINK("https://www.philgeps.gov.ph/GEPSNONPILOT/Tender/SplashBidNoticeAbstractUI.aspx?menuIndex=3&amp;refID=7040650&amp;Result=3","7040650")</f>
        <v>0</v>
      </c>
      <c r="B7670" t="s">
        <v>2314</v>
      </c>
      <c r="C7670" t="s">
        <v>10382</v>
      </c>
      <c r="D7670" t="s">
        <v>16195</v>
      </c>
      <c r="E7670" t="s">
        <v>23042</v>
      </c>
      <c r="F7670" t="s">
        <v>28198</v>
      </c>
      <c r="G7670" t="s">
        <v>28205</v>
      </c>
      <c r="H7670" t="s">
        <v>28214</v>
      </c>
      <c r="I7670" t="s">
        <v>28255</v>
      </c>
      <c r="J7670" t="s">
        <v>33165</v>
      </c>
      <c r="K7670" t="s">
        <v>36692</v>
      </c>
      <c r="M7670" t="s">
        <v>39492</v>
      </c>
      <c r="N7670" t="s">
        <v>40436</v>
      </c>
      <c r="O7670" t="s">
        <v>40437</v>
      </c>
      <c r="P7670">
        <v>0</v>
      </c>
      <c r="Q7670">
        <v>7</v>
      </c>
      <c r="R7670" t="s">
        <v>40444</v>
      </c>
      <c r="S7670" t="s">
        <v>40676</v>
      </c>
      <c r="T7670" t="s">
        <v>42138</v>
      </c>
      <c r="U7670" t="s">
        <v>49103</v>
      </c>
      <c r="V7670" t="s">
        <v>54574</v>
      </c>
      <c r="W7670" t="s">
        <v>39492</v>
      </c>
      <c r="X7670" t="s">
        <v>40445</v>
      </c>
    </row>
    <row r="7671" spans="1:24">
      <c r="A7671">
        <f>HYPERLINK("https://www.philgeps.gov.ph/GEPSNONPILOT/Tender/SplashBidNoticeAbstractUI.aspx?menuIndex=3&amp;refID=7040658&amp;Result=3","7040658")</f>
        <v>0</v>
      </c>
      <c r="B7671" t="s">
        <v>2337</v>
      </c>
      <c r="C7671" t="s">
        <v>10383</v>
      </c>
      <c r="D7671" t="s">
        <v>16235</v>
      </c>
      <c r="E7671" t="s">
        <v>23043</v>
      </c>
      <c r="F7671" t="s">
        <v>28198</v>
      </c>
      <c r="G7671" t="s">
        <v>28205</v>
      </c>
      <c r="H7671" t="s">
        <v>28214</v>
      </c>
      <c r="I7671" t="s">
        <v>3797</v>
      </c>
      <c r="J7671" t="s">
        <v>28624</v>
      </c>
      <c r="K7671" t="s">
        <v>36701</v>
      </c>
      <c r="M7671" t="s">
        <v>39517</v>
      </c>
      <c r="N7671" t="s">
        <v>40436</v>
      </c>
      <c r="O7671" t="s">
        <v>40437</v>
      </c>
      <c r="P7671">
        <v>0</v>
      </c>
      <c r="Q7671">
        <v>0</v>
      </c>
      <c r="R7671" t="s">
        <v>40444</v>
      </c>
      <c r="S7671" t="s">
        <v>40676</v>
      </c>
      <c r="T7671" t="s">
        <v>42245</v>
      </c>
      <c r="U7671" t="s">
        <v>49104</v>
      </c>
      <c r="W7671" t="s">
        <v>39517</v>
      </c>
      <c r="X7671" t="s">
        <v>40445</v>
      </c>
    </row>
    <row r="7672" spans="1:24">
      <c r="A7672">
        <f>HYPERLINK("https://www.philgeps.gov.ph/GEPSNONPILOT/Tender/SplashBidNoticeAbstractUI.aspx?menuIndex=3&amp;refID=7040670&amp;Result=3","7040670")</f>
        <v>0</v>
      </c>
      <c r="B7672" t="s">
        <v>2081</v>
      </c>
      <c r="C7672" t="s">
        <v>10384</v>
      </c>
      <c r="D7672" t="s">
        <v>16210</v>
      </c>
      <c r="E7672" t="s">
        <v>23044</v>
      </c>
      <c r="F7672" t="s">
        <v>28198</v>
      </c>
      <c r="G7672" t="s">
        <v>28207</v>
      </c>
      <c r="H7672" t="s">
        <v>28216</v>
      </c>
      <c r="I7672" t="s">
        <v>28216</v>
      </c>
      <c r="J7672" t="s">
        <v>33166</v>
      </c>
      <c r="K7672" t="s">
        <v>36715</v>
      </c>
      <c r="M7672" t="s">
        <v>39230</v>
      </c>
      <c r="N7672" t="s">
        <v>40436</v>
      </c>
      <c r="O7672" t="s">
        <v>40437</v>
      </c>
      <c r="P7672">
        <v>0</v>
      </c>
      <c r="Q7672">
        <v>4</v>
      </c>
      <c r="R7672" t="s">
        <v>40444</v>
      </c>
      <c r="S7672" t="s">
        <v>40676</v>
      </c>
      <c r="T7672" t="s">
        <v>42245</v>
      </c>
      <c r="U7672" t="s">
        <v>49105</v>
      </c>
      <c r="V7672" t="s">
        <v>54599</v>
      </c>
      <c r="W7672" t="s">
        <v>39230</v>
      </c>
      <c r="X7672" t="s">
        <v>40445</v>
      </c>
    </row>
    <row r="7673" spans="1:24">
      <c r="A7673">
        <f>HYPERLINK("https://www.philgeps.gov.ph/GEPSNONPILOT/Tender/SplashBidNoticeAbstractUI.aspx?menuIndex=3&amp;refID=7040666&amp;Result=3","7040666")</f>
        <v>0</v>
      </c>
      <c r="B7673" t="s">
        <v>1626</v>
      </c>
      <c r="C7673" t="s">
        <v>7442</v>
      </c>
      <c r="D7673" t="s">
        <v>16218</v>
      </c>
      <c r="E7673" t="s">
        <v>23045</v>
      </c>
      <c r="F7673" t="s">
        <v>28198</v>
      </c>
      <c r="G7673" t="s">
        <v>28207</v>
      </c>
      <c r="H7673" t="s">
        <v>28215</v>
      </c>
      <c r="I7673" t="s">
        <v>28265</v>
      </c>
      <c r="J7673" t="s">
        <v>29472</v>
      </c>
      <c r="K7673" t="s">
        <v>36691</v>
      </c>
      <c r="M7673" t="s">
        <v>38715</v>
      </c>
      <c r="N7673" t="s">
        <v>40436</v>
      </c>
      <c r="O7673" t="s">
        <v>40437</v>
      </c>
      <c r="P7673">
        <v>0</v>
      </c>
      <c r="Q7673">
        <v>1</v>
      </c>
      <c r="R7673" t="s">
        <v>40444</v>
      </c>
      <c r="S7673" t="s">
        <v>40676</v>
      </c>
      <c r="T7673" t="s">
        <v>42277</v>
      </c>
      <c r="U7673" t="s">
        <v>49106</v>
      </c>
      <c r="W7673" t="s">
        <v>38715</v>
      </c>
      <c r="X7673" t="s">
        <v>40445</v>
      </c>
    </row>
    <row r="7674" spans="1:24">
      <c r="A7674">
        <f>HYPERLINK("https://www.philgeps.gov.ph/GEPSNONPILOT/Tender/SplashBidNoticeAbstractUI.aspx?menuIndex=3&amp;refID=7040656&amp;Result=3","7040656")</f>
        <v>0</v>
      </c>
      <c r="B7674" t="s">
        <v>2081</v>
      </c>
      <c r="C7674" t="s">
        <v>10385</v>
      </c>
      <c r="D7674" t="s">
        <v>16210</v>
      </c>
      <c r="E7674" t="s">
        <v>23046</v>
      </c>
      <c r="F7674" t="s">
        <v>28198</v>
      </c>
      <c r="G7674" t="s">
        <v>28207</v>
      </c>
      <c r="H7674" t="s">
        <v>28216</v>
      </c>
      <c r="I7674" t="s">
        <v>28216</v>
      </c>
      <c r="J7674" t="s">
        <v>33156</v>
      </c>
      <c r="K7674" t="s">
        <v>36715</v>
      </c>
      <c r="M7674" t="s">
        <v>39230</v>
      </c>
      <c r="N7674" t="s">
        <v>40436</v>
      </c>
      <c r="O7674" t="s">
        <v>40437</v>
      </c>
      <c r="P7674">
        <v>0</v>
      </c>
      <c r="Q7674">
        <v>4</v>
      </c>
      <c r="R7674" t="s">
        <v>40444</v>
      </c>
      <c r="S7674" t="s">
        <v>40676</v>
      </c>
      <c r="T7674" t="s">
        <v>42245</v>
      </c>
      <c r="U7674" t="s">
        <v>49107</v>
      </c>
      <c r="V7674" t="s">
        <v>54600</v>
      </c>
      <c r="W7674" t="s">
        <v>39230</v>
      </c>
      <c r="X7674" t="s">
        <v>40445</v>
      </c>
    </row>
    <row r="7675" spans="1:24">
      <c r="A7675">
        <f>HYPERLINK("https://www.philgeps.gov.ph/GEPSNONPILOT/Tender/SplashBidNoticeAbstractUI.aspx?menuIndex=3&amp;refID=7040664&amp;Result=3","7040664")</f>
        <v>0</v>
      </c>
      <c r="B7675" t="s">
        <v>2081</v>
      </c>
      <c r="C7675" t="s">
        <v>10386</v>
      </c>
      <c r="D7675" t="s">
        <v>16210</v>
      </c>
      <c r="E7675" t="s">
        <v>23047</v>
      </c>
      <c r="F7675" t="s">
        <v>28198</v>
      </c>
      <c r="G7675" t="s">
        <v>28207</v>
      </c>
      <c r="H7675" t="s">
        <v>28216</v>
      </c>
      <c r="I7675" t="s">
        <v>28216</v>
      </c>
      <c r="J7675" t="s">
        <v>33167</v>
      </c>
      <c r="K7675" t="s">
        <v>36715</v>
      </c>
      <c r="M7675" t="s">
        <v>39230</v>
      </c>
      <c r="N7675" t="s">
        <v>40436</v>
      </c>
      <c r="O7675" t="s">
        <v>40437</v>
      </c>
      <c r="P7675">
        <v>0</v>
      </c>
      <c r="Q7675">
        <v>4</v>
      </c>
      <c r="R7675" t="s">
        <v>40444</v>
      </c>
      <c r="S7675" t="s">
        <v>40676</v>
      </c>
      <c r="T7675" t="s">
        <v>42245</v>
      </c>
      <c r="U7675" t="s">
        <v>49108</v>
      </c>
      <c r="V7675" t="s">
        <v>54601</v>
      </c>
      <c r="W7675" t="s">
        <v>39230</v>
      </c>
      <c r="X7675" t="s">
        <v>40445</v>
      </c>
    </row>
    <row r="7676" spans="1:24">
      <c r="A7676">
        <f>HYPERLINK("https://www.philgeps.gov.ph/GEPSNONPILOT/Tender/SplashBidNoticeAbstractUI.aspx?menuIndex=3&amp;refID=7040651&amp;Result=3","7040651")</f>
        <v>0</v>
      </c>
      <c r="B7676" t="s">
        <v>2081</v>
      </c>
      <c r="C7676" t="s">
        <v>10387</v>
      </c>
      <c r="D7676" t="s">
        <v>16210</v>
      </c>
      <c r="E7676" t="s">
        <v>23048</v>
      </c>
      <c r="F7676" t="s">
        <v>28198</v>
      </c>
      <c r="G7676" t="s">
        <v>28207</v>
      </c>
      <c r="H7676" t="s">
        <v>28216</v>
      </c>
      <c r="I7676" t="s">
        <v>28216</v>
      </c>
      <c r="J7676" t="s">
        <v>33168</v>
      </c>
      <c r="K7676" t="s">
        <v>36715</v>
      </c>
      <c r="M7676" t="s">
        <v>39230</v>
      </c>
      <c r="N7676" t="s">
        <v>40436</v>
      </c>
      <c r="O7676" t="s">
        <v>40437</v>
      </c>
      <c r="P7676">
        <v>0</v>
      </c>
      <c r="Q7676">
        <v>4</v>
      </c>
      <c r="R7676" t="s">
        <v>40444</v>
      </c>
      <c r="S7676" t="s">
        <v>40676</v>
      </c>
      <c r="T7676" t="s">
        <v>42245</v>
      </c>
      <c r="U7676" t="s">
        <v>49109</v>
      </c>
      <c r="V7676" t="s">
        <v>54602</v>
      </c>
      <c r="W7676" t="s">
        <v>39230</v>
      </c>
      <c r="X7676" t="s">
        <v>40445</v>
      </c>
    </row>
    <row r="7677" spans="1:24">
      <c r="A7677">
        <f>HYPERLINK("https://www.philgeps.gov.ph/GEPSNONPILOT/Tender/SplashBidNoticeAbstractUI.aspx?menuIndex=3&amp;refID=7040681&amp;Result=3","7040681")</f>
        <v>0</v>
      </c>
      <c r="B7677" t="s">
        <v>315</v>
      </c>
      <c r="C7677" t="s">
        <v>10388</v>
      </c>
      <c r="D7677" t="s">
        <v>16191</v>
      </c>
      <c r="E7677" t="s">
        <v>23049</v>
      </c>
      <c r="F7677" t="s">
        <v>28200</v>
      </c>
      <c r="G7677" t="s">
        <v>28207</v>
      </c>
      <c r="H7677" t="s">
        <v>28215</v>
      </c>
      <c r="I7677" t="s">
        <v>5100</v>
      </c>
      <c r="J7677" t="s">
        <v>33169</v>
      </c>
      <c r="K7677" t="s">
        <v>36698</v>
      </c>
      <c r="M7677" t="s">
        <v>39515</v>
      </c>
      <c r="N7677" t="s">
        <v>40436</v>
      </c>
      <c r="O7677" t="s">
        <v>40437</v>
      </c>
      <c r="P7677">
        <v>0</v>
      </c>
      <c r="Q7677">
        <v>3</v>
      </c>
      <c r="R7677" t="s">
        <v>40444</v>
      </c>
      <c r="S7677" t="s">
        <v>40676</v>
      </c>
      <c r="T7677" t="s">
        <v>42277</v>
      </c>
      <c r="U7677" t="s">
        <v>49110</v>
      </c>
      <c r="V7677" t="s">
        <v>45350</v>
      </c>
      <c r="W7677" t="s">
        <v>39515</v>
      </c>
      <c r="X7677" t="s">
        <v>40445</v>
      </c>
    </row>
    <row r="7678" spans="1:24">
      <c r="A7678">
        <f>HYPERLINK("https://www.philgeps.gov.ph/GEPSNONPILOT/Tender/SplashBidNoticeAbstractUI.aspx?menuIndex=3&amp;refID=7040660&amp;Result=3","7040660")</f>
        <v>0</v>
      </c>
      <c r="B7678" t="s">
        <v>2334</v>
      </c>
      <c r="C7678" t="s">
        <v>10377</v>
      </c>
      <c r="D7678" t="s">
        <v>16210</v>
      </c>
      <c r="E7678" t="s">
        <v>23050</v>
      </c>
      <c r="F7678" t="s">
        <v>28198</v>
      </c>
      <c r="G7678" t="s">
        <v>28205</v>
      </c>
      <c r="H7678" t="s">
        <v>28217</v>
      </c>
      <c r="I7678" t="s">
        <v>28276</v>
      </c>
      <c r="J7678" t="s">
        <v>33170</v>
      </c>
      <c r="K7678" t="s">
        <v>36701</v>
      </c>
      <c r="M7678" t="s">
        <v>39513</v>
      </c>
      <c r="N7678" t="s">
        <v>40436</v>
      </c>
      <c r="O7678" t="s">
        <v>40437</v>
      </c>
      <c r="P7678">
        <v>0</v>
      </c>
      <c r="Q7678">
        <v>1</v>
      </c>
      <c r="R7678" t="s">
        <v>40444</v>
      </c>
      <c r="S7678" t="s">
        <v>40676</v>
      </c>
      <c r="T7678" t="s">
        <v>42145</v>
      </c>
      <c r="U7678" t="s">
        <v>49111</v>
      </c>
      <c r="W7678" t="s">
        <v>39513</v>
      </c>
      <c r="X7678" t="s">
        <v>40445</v>
      </c>
    </row>
    <row r="7679" spans="1:24">
      <c r="A7679">
        <f>HYPERLINK("https://www.philgeps.gov.ph/GEPSNONPILOT/Tender/SplashBidNoticeAbstractUI.aspx?menuIndex=3&amp;refID=7040663&amp;Result=3","7040663")</f>
        <v>0</v>
      </c>
      <c r="B7679" t="s">
        <v>2338</v>
      </c>
      <c r="C7679" t="s">
        <v>10389</v>
      </c>
      <c r="D7679" t="s">
        <v>16195</v>
      </c>
      <c r="E7679" t="s">
        <v>16863</v>
      </c>
      <c r="F7679" t="s">
        <v>28198</v>
      </c>
      <c r="G7679" t="s">
        <v>28205</v>
      </c>
      <c r="H7679" t="s">
        <v>28215</v>
      </c>
      <c r="I7679" t="s">
        <v>4222</v>
      </c>
      <c r="J7679" t="s">
        <v>33171</v>
      </c>
      <c r="K7679" t="s">
        <v>36689</v>
      </c>
      <c r="M7679" t="s">
        <v>39518</v>
      </c>
      <c r="N7679" t="s">
        <v>40436</v>
      </c>
      <c r="O7679" t="s">
        <v>40437</v>
      </c>
      <c r="P7679">
        <v>0</v>
      </c>
      <c r="Q7679">
        <v>0</v>
      </c>
      <c r="R7679" t="s">
        <v>40444</v>
      </c>
      <c r="S7679" t="s">
        <v>40676</v>
      </c>
      <c r="T7679" t="s">
        <v>42233</v>
      </c>
      <c r="U7679" t="s">
        <v>49112</v>
      </c>
      <c r="W7679" t="s">
        <v>39518</v>
      </c>
      <c r="X7679" t="s">
        <v>40445</v>
      </c>
    </row>
    <row r="7680" spans="1:24">
      <c r="A7680">
        <f>HYPERLINK("https://www.philgeps.gov.ph/GEPSNONPILOT/Tender/SplashBidNoticeAbstractUI.aspx?menuIndex=3&amp;refID=7040673&amp;Result=3","7040673")</f>
        <v>0</v>
      </c>
      <c r="B7680" t="s">
        <v>2338</v>
      </c>
      <c r="C7680" t="s">
        <v>10390</v>
      </c>
      <c r="D7680" t="s">
        <v>16195</v>
      </c>
      <c r="E7680" t="s">
        <v>23051</v>
      </c>
      <c r="F7680" t="s">
        <v>28198</v>
      </c>
      <c r="G7680" t="s">
        <v>28205</v>
      </c>
      <c r="H7680" t="s">
        <v>28215</v>
      </c>
      <c r="I7680" t="s">
        <v>4200</v>
      </c>
      <c r="J7680" t="s">
        <v>28373</v>
      </c>
      <c r="K7680" t="s">
        <v>36689</v>
      </c>
      <c r="M7680" t="s">
        <v>39518</v>
      </c>
      <c r="N7680" t="s">
        <v>40436</v>
      </c>
      <c r="O7680" t="s">
        <v>40437</v>
      </c>
      <c r="P7680">
        <v>0</v>
      </c>
      <c r="Q7680">
        <v>0</v>
      </c>
      <c r="R7680" t="s">
        <v>40444</v>
      </c>
      <c r="S7680" t="s">
        <v>40676</v>
      </c>
      <c r="T7680" t="s">
        <v>42277</v>
      </c>
      <c r="U7680" t="s">
        <v>49113</v>
      </c>
      <c r="W7680" t="s">
        <v>39518</v>
      </c>
      <c r="X7680" t="s">
        <v>40445</v>
      </c>
    </row>
    <row r="7681" spans="1:24">
      <c r="A7681">
        <f>HYPERLINK("https://www.philgeps.gov.ph/GEPSNONPILOT/Tender/SplashBidNoticeAbstractUI.aspx?menuIndex=3&amp;refID=7040683&amp;Result=3","7040683")</f>
        <v>0</v>
      </c>
      <c r="B7681" t="s">
        <v>2339</v>
      </c>
      <c r="C7681" t="s">
        <v>10391</v>
      </c>
      <c r="D7681" t="s">
        <v>16195</v>
      </c>
      <c r="E7681" t="s">
        <v>23052</v>
      </c>
      <c r="F7681" t="s">
        <v>28198</v>
      </c>
      <c r="G7681" t="s">
        <v>28205</v>
      </c>
      <c r="H7681" t="s">
        <v>28215</v>
      </c>
      <c r="I7681" t="s">
        <v>4200</v>
      </c>
      <c r="J7681" t="s">
        <v>28813</v>
      </c>
      <c r="K7681" t="s">
        <v>36689</v>
      </c>
      <c r="M7681" t="s">
        <v>39519</v>
      </c>
      <c r="N7681" t="s">
        <v>40436</v>
      </c>
      <c r="O7681" t="s">
        <v>40437</v>
      </c>
      <c r="P7681">
        <v>0</v>
      </c>
      <c r="Q7681">
        <v>1</v>
      </c>
      <c r="R7681" t="s">
        <v>40444</v>
      </c>
      <c r="S7681" t="s">
        <v>40676</v>
      </c>
      <c r="T7681" t="s">
        <v>42158</v>
      </c>
      <c r="U7681" t="s">
        <v>49114</v>
      </c>
      <c r="W7681" t="s">
        <v>39519</v>
      </c>
      <c r="X7681" t="s">
        <v>40445</v>
      </c>
    </row>
    <row r="7682" spans="1:24">
      <c r="A7682">
        <f>HYPERLINK("https://www.philgeps.gov.ph/GEPSNONPILOT/Tender/SplashBidNoticeAbstractUI.aspx?menuIndex=3&amp;refID=7040688&amp;Result=3","7040688")</f>
        <v>0</v>
      </c>
      <c r="B7682" t="s">
        <v>315</v>
      </c>
      <c r="C7682" t="s">
        <v>10392</v>
      </c>
      <c r="D7682" t="s">
        <v>16191</v>
      </c>
      <c r="E7682" t="s">
        <v>23053</v>
      </c>
      <c r="F7682" t="s">
        <v>28200</v>
      </c>
      <c r="G7682" t="s">
        <v>28207</v>
      </c>
      <c r="H7682" t="s">
        <v>28215</v>
      </c>
      <c r="I7682" t="s">
        <v>5100</v>
      </c>
      <c r="J7682" t="s">
        <v>33172</v>
      </c>
      <c r="K7682" t="s">
        <v>36698</v>
      </c>
      <c r="M7682" t="s">
        <v>39515</v>
      </c>
      <c r="N7682" t="s">
        <v>40436</v>
      </c>
      <c r="O7682" t="s">
        <v>40437</v>
      </c>
      <c r="P7682">
        <v>0</v>
      </c>
      <c r="Q7682">
        <v>2</v>
      </c>
      <c r="R7682" t="s">
        <v>40444</v>
      </c>
      <c r="S7682" t="s">
        <v>40676</v>
      </c>
      <c r="T7682" t="s">
        <v>42205</v>
      </c>
      <c r="U7682" t="s">
        <v>49115</v>
      </c>
      <c r="V7682" t="s">
        <v>45350</v>
      </c>
      <c r="W7682" t="s">
        <v>39515</v>
      </c>
      <c r="X7682" t="s">
        <v>40445</v>
      </c>
    </row>
    <row r="7683" spans="1:24">
      <c r="A7683">
        <f>HYPERLINK("https://www.philgeps.gov.ph/GEPSNONPILOT/Tender/SplashBidNoticeAbstractUI.aspx?menuIndex=3&amp;refID=7040689&amp;Result=3","7040689")</f>
        <v>0</v>
      </c>
      <c r="B7683" t="s">
        <v>282</v>
      </c>
      <c r="C7683" t="s">
        <v>10393</v>
      </c>
      <c r="D7683" t="s">
        <v>16203</v>
      </c>
      <c r="E7683" t="s">
        <v>23054</v>
      </c>
      <c r="F7683" t="s">
        <v>28198</v>
      </c>
      <c r="G7683" t="s">
        <v>28205</v>
      </c>
      <c r="H7683" t="s">
        <v>28215</v>
      </c>
      <c r="I7683" t="s">
        <v>28225</v>
      </c>
      <c r="J7683" t="s">
        <v>33173</v>
      </c>
      <c r="K7683" t="s">
        <v>36687</v>
      </c>
      <c r="M7683" t="s">
        <v>37259</v>
      </c>
      <c r="N7683" t="s">
        <v>40436</v>
      </c>
      <c r="O7683" t="s">
        <v>40437</v>
      </c>
      <c r="P7683">
        <v>0</v>
      </c>
      <c r="Q7683">
        <v>2</v>
      </c>
      <c r="R7683" t="s">
        <v>40444</v>
      </c>
      <c r="S7683" t="s">
        <v>40676</v>
      </c>
      <c r="T7683" t="s">
        <v>42194</v>
      </c>
      <c r="U7683" t="s">
        <v>49116</v>
      </c>
      <c r="V7683" t="s">
        <v>54603</v>
      </c>
      <c r="W7683" t="s">
        <v>37259</v>
      </c>
      <c r="X7683" t="s">
        <v>40445</v>
      </c>
    </row>
    <row r="7684" spans="1:24">
      <c r="A7684">
        <f>HYPERLINK("https://www.philgeps.gov.ph/GEPSNONPILOT/Tender/SplashBidNoticeAbstractUI.aspx?menuIndex=3&amp;refID=7040662&amp;Result=3","7040662")</f>
        <v>0</v>
      </c>
      <c r="B7684" t="s">
        <v>2334</v>
      </c>
      <c r="C7684" t="s">
        <v>10377</v>
      </c>
      <c r="D7684" t="s">
        <v>16210</v>
      </c>
      <c r="E7684" t="s">
        <v>23055</v>
      </c>
      <c r="F7684" t="s">
        <v>28198</v>
      </c>
      <c r="G7684" t="s">
        <v>28205</v>
      </c>
      <c r="H7684" t="s">
        <v>28217</v>
      </c>
      <c r="I7684" t="s">
        <v>28276</v>
      </c>
      <c r="J7684" t="s">
        <v>33174</v>
      </c>
      <c r="K7684" t="s">
        <v>36701</v>
      </c>
      <c r="M7684" t="s">
        <v>39513</v>
      </c>
      <c r="N7684" t="s">
        <v>40436</v>
      </c>
      <c r="O7684" t="s">
        <v>40437</v>
      </c>
      <c r="P7684">
        <v>0</v>
      </c>
      <c r="Q7684">
        <v>0</v>
      </c>
      <c r="R7684" t="s">
        <v>40444</v>
      </c>
      <c r="S7684" t="s">
        <v>40676</v>
      </c>
      <c r="T7684" t="s">
        <v>42145</v>
      </c>
      <c r="U7684" t="s">
        <v>49117</v>
      </c>
      <c r="W7684" t="s">
        <v>39513</v>
      </c>
      <c r="X7684" t="s">
        <v>40445</v>
      </c>
    </row>
    <row r="7685" spans="1:24">
      <c r="A7685">
        <f>HYPERLINK("https://www.philgeps.gov.ph/GEPSNONPILOT/Tender/SplashBidNoticeAbstractUI.aspx?menuIndex=3&amp;refID=7040716&amp;Result=3","7040716")</f>
        <v>0</v>
      </c>
      <c r="B7685" t="s">
        <v>2340</v>
      </c>
      <c r="C7685" t="s">
        <v>10394</v>
      </c>
      <c r="D7685" t="s">
        <v>16196</v>
      </c>
      <c r="E7685" t="s">
        <v>23056</v>
      </c>
      <c r="F7685" t="s">
        <v>28198</v>
      </c>
      <c r="G7685" t="s">
        <v>28208</v>
      </c>
      <c r="H7685" t="s">
        <v>28215</v>
      </c>
      <c r="I7685" t="s">
        <v>5100</v>
      </c>
      <c r="J7685" t="s">
        <v>33175</v>
      </c>
      <c r="K7685" t="s">
        <v>36707</v>
      </c>
      <c r="M7685" t="s">
        <v>39520</v>
      </c>
      <c r="N7685" t="s">
        <v>40436</v>
      </c>
      <c r="O7685" t="s">
        <v>40437</v>
      </c>
      <c r="P7685">
        <v>0</v>
      </c>
      <c r="Q7685">
        <v>3</v>
      </c>
      <c r="R7685" t="s">
        <v>40444</v>
      </c>
      <c r="S7685" t="s">
        <v>40676</v>
      </c>
      <c r="T7685" t="s">
        <v>42499</v>
      </c>
      <c r="U7685" t="s">
        <v>49118</v>
      </c>
      <c r="V7685" t="s">
        <v>54604</v>
      </c>
      <c r="W7685" t="s">
        <v>39520</v>
      </c>
      <c r="X7685" t="s">
        <v>40445</v>
      </c>
    </row>
    <row r="7686" spans="1:24">
      <c r="A7686">
        <f>HYPERLINK("https://www.philgeps.gov.ph/GEPSNONPILOT/Tender/SplashBidNoticeAbstractUI.aspx?menuIndex=3&amp;refID=7040686&amp;Result=3","7040686")</f>
        <v>0</v>
      </c>
      <c r="B7686" t="s">
        <v>929</v>
      </c>
      <c r="C7686" t="s">
        <v>10395</v>
      </c>
      <c r="D7686" t="s">
        <v>16224</v>
      </c>
      <c r="E7686" t="s">
        <v>23057</v>
      </c>
      <c r="F7686" t="s">
        <v>28198</v>
      </c>
      <c r="G7686" t="s">
        <v>28205</v>
      </c>
      <c r="H7686" t="s">
        <v>28215</v>
      </c>
      <c r="I7686" t="s">
        <v>4168</v>
      </c>
      <c r="J7686" t="s">
        <v>33176</v>
      </c>
      <c r="K7686" t="s">
        <v>36688</v>
      </c>
      <c r="M7686" t="s">
        <v>37949</v>
      </c>
      <c r="N7686" t="s">
        <v>40436</v>
      </c>
      <c r="O7686" t="s">
        <v>40437</v>
      </c>
      <c r="P7686">
        <v>0</v>
      </c>
      <c r="Q7686">
        <v>10</v>
      </c>
      <c r="R7686" t="s">
        <v>40444</v>
      </c>
      <c r="S7686" t="s">
        <v>40676</v>
      </c>
      <c r="T7686" t="s">
        <v>42124</v>
      </c>
      <c r="U7686" t="s">
        <v>49119</v>
      </c>
      <c r="W7686" t="s">
        <v>37949</v>
      </c>
      <c r="X7686" t="s">
        <v>40445</v>
      </c>
    </row>
    <row r="7687" spans="1:24">
      <c r="A7687">
        <f>HYPERLINK("https://www.philgeps.gov.ph/GEPSNONPILOT/Tender/SplashBidNoticeAbstractUI.aspx?menuIndex=3&amp;refID=7040700&amp;Result=3","7040700")</f>
        <v>0</v>
      </c>
      <c r="B7687" t="s">
        <v>282</v>
      </c>
      <c r="C7687" t="s">
        <v>10396</v>
      </c>
      <c r="D7687" t="s">
        <v>16203</v>
      </c>
      <c r="E7687" t="s">
        <v>23058</v>
      </c>
      <c r="F7687" t="s">
        <v>28198</v>
      </c>
      <c r="G7687" t="s">
        <v>28205</v>
      </c>
      <c r="H7687" t="s">
        <v>28214</v>
      </c>
      <c r="I7687" t="s">
        <v>5100</v>
      </c>
      <c r="J7687" t="s">
        <v>33177</v>
      </c>
      <c r="K7687" t="s">
        <v>36863</v>
      </c>
      <c r="M7687" t="s">
        <v>37259</v>
      </c>
      <c r="N7687" t="s">
        <v>40436</v>
      </c>
      <c r="O7687" t="s">
        <v>40437</v>
      </c>
      <c r="P7687">
        <v>0</v>
      </c>
      <c r="Q7687">
        <v>6</v>
      </c>
      <c r="R7687" t="s">
        <v>40444</v>
      </c>
      <c r="S7687" t="s">
        <v>40676</v>
      </c>
      <c r="T7687" t="s">
        <v>42194</v>
      </c>
      <c r="U7687" t="s">
        <v>49120</v>
      </c>
      <c r="V7687" t="s">
        <v>54603</v>
      </c>
      <c r="W7687" t="s">
        <v>37259</v>
      </c>
      <c r="X7687" t="s">
        <v>40445</v>
      </c>
    </row>
    <row r="7688" spans="1:24">
      <c r="A7688">
        <f>HYPERLINK("https://www.philgeps.gov.ph/GEPSNONPILOT/Tender/SplashBidNoticeAbstractUI.aspx?menuIndex=3&amp;refID=7040712&amp;Result=3","7040712")</f>
        <v>0</v>
      </c>
      <c r="B7688" t="s">
        <v>2341</v>
      </c>
      <c r="C7688" t="s">
        <v>10397</v>
      </c>
      <c r="D7688" t="s">
        <v>16193</v>
      </c>
      <c r="E7688" t="s">
        <v>23059</v>
      </c>
      <c r="F7688" t="s">
        <v>28198</v>
      </c>
      <c r="G7688" t="s">
        <v>28205</v>
      </c>
      <c r="H7688" t="s">
        <v>28214</v>
      </c>
      <c r="I7688" t="s">
        <v>3797</v>
      </c>
      <c r="J7688" t="s">
        <v>33178</v>
      </c>
      <c r="K7688" t="s">
        <v>36689</v>
      </c>
      <c r="M7688" t="s">
        <v>39521</v>
      </c>
      <c r="N7688" t="s">
        <v>40436</v>
      </c>
      <c r="O7688" t="s">
        <v>40437</v>
      </c>
      <c r="P7688">
        <v>0</v>
      </c>
      <c r="Q7688">
        <v>1</v>
      </c>
      <c r="R7688" t="s">
        <v>40444</v>
      </c>
      <c r="S7688" t="s">
        <v>40676</v>
      </c>
      <c r="T7688" t="s">
        <v>42245</v>
      </c>
      <c r="U7688" t="s">
        <v>49121</v>
      </c>
      <c r="W7688" t="s">
        <v>39521</v>
      </c>
      <c r="X7688" t="s">
        <v>40445</v>
      </c>
    </row>
    <row r="7689" spans="1:24">
      <c r="A7689">
        <f>HYPERLINK("https://www.philgeps.gov.ph/GEPSNONPILOT/Tender/SplashBidNoticeAbstractUI.aspx?menuIndex=3&amp;refID=7040694&amp;Result=3","7040694")</f>
        <v>0</v>
      </c>
      <c r="B7689" t="s">
        <v>2342</v>
      </c>
      <c r="C7689" t="s">
        <v>10398</v>
      </c>
      <c r="D7689" t="s">
        <v>16214</v>
      </c>
      <c r="E7689" t="s">
        <v>23060</v>
      </c>
      <c r="F7689" t="s">
        <v>28198</v>
      </c>
      <c r="G7689" t="s">
        <v>28207</v>
      </c>
      <c r="H7689" t="s">
        <v>28215</v>
      </c>
      <c r="I7689" t="s">
        <v>4219</v>
      </c>
      <c r="J7689" t="s">
        <v>33179</v>
      </c>
      <c r="K7689" t="s">
        <v>36707</v>
      </c>
      <c r="M7689" t="s">
        <v>39522</v>
      </c>
      <c r="N7689" t="s">
        <v>40436</v>
      </c>
      <c r="O7689" t="s">
        <v>40437</v>
      </c>
      <c r="P7689">
        <v>0</v>
      </c>
      <c r="Q7689">
        <v>2</v>
      </c>
      <c r="R7689" t="s">
        <v>40444</v>
      </c>
      <c r="S7689" t="s">
        <v>40676</v>
      </c>
      <c r="T7689" t="s">
        <v>42158</v>
      </c>
      <c r="U7689" t="s">
        <v>49122</v>
      </c>
      <c r="V7689" t="s">
        <v>54605</v>
      </c>
      <c r="W7689" t="s">
        <v>39522</v>
      </c>
      <c r="X7689" t="s">
        <v>40445</v>
      </c>
    </row>
    <row r="7690" spans="1:24">
      <c r="A7690">
        <f>HYPERLINK("https://www.philgeps.gov.ph/GEPSNONPILOT/Tender/SplashBidNoticeAbstractUI.aspx?menuIndex=3&amp;refID=7040711&amp;Result=3","7040711")</f>
        <v>0</v>
      </c>
      <c r="B7690" t="s">
        <v>940</v>
      </c>
      <c r="C7690" t="s">
        <v>10399</v>
      </c>
      <c r="D7690" t="s">
        <v>16278</v>
      </c>
      <c r="E7690" t="s">
        <v>23061</v>
      </c>
      <c r="F7690" t="s">
        <v>28198</v>
      </c>
      <c r="G7690" t="s">
        <v>28205</v>
      </c>
      <c r="H7690" t="s">
        <v>28215</v>
      </c>
      <c r="I7690" t="s">
        <v>28233</v>
      </c>
      <c r="J7690" t="s">
        <v>33180</v>
      </c>
      <c r="K7690" t="s">
        <v>36694</v>
      </c>
      <c r="M7690" t="s">
        <v>37963</v>
      </c>
      <c r="N7690" t="s">
        <v>40436</v>
      </c>
      <c r="O7690" t="s">
        <v>40437</v>
      </c>
      <c r="P7690">
        <v>0</v>
      </c>
      <c r="Q7690">
        <v>4</v>
      </c>
      <c r="R7690" t="s">
        <v>40444</v>
      </c>
      <c r="S7690" t="s">
        <v>40676</v>
      </c>
      <c r="T7690" t="s">
        <v>42462</v>
      </c>
      <c r="U7690" t="s">
        <v>49123</v>
      </c>
      <c r="V7690" t="s">
        <v>54606</v>
      </c>
      <c r="W7690" t="s">
        <v>37963</v>
      </c>
      <c r="X7690" t="s">
        <v>40445</v>
      </c>
    </row>
    <row r="7691" spans="1:24">
      <c r="A7691">
        <f>HYPERLINK("https://www.philgeps.gov.ph/GEPSNONPILOT/Tender/SplashBidNoticeAbstractUI.aspx?menuIndex=3&amp;refID=7040699&amp;Result=3","7040699")</f>
        <v>0</v>
      </c>
      <c r="B7691" t="s">
        <v>315</v>
      </c>
      <c r="C7691" t="s">
        <v>10400</v>
      </c>
      <c r="D7691" t="s">
        <v>16191</v>
      </c>
      <c r="E7691" t="s">
        <v>23053</v>
      </c>
      <c r="F7691" t="s">
        <v>28200</v>
      </c>
      <c r="G7691" t="s">
        <v>28207</v>
      </c>
      <c r="H7691" t="s">
        <v>28215</v>
      </c>
      <c r="I7691" t="s">
        <v>5100</v>
      </c>
      <c r="J7691" t="s">
        <v>33181</v>
      </c>
      <c r="K7691" t="s">
        <v>36698</v>
      </c>
      <c r="M7691" t="s">
        <v>39515</v>
      </c>
      <c r="N7691" t="s">
        <v>40436</v>
      </c>
      <c r="O7691" t="s">
        <v>40437</v>
      </c>
      <c r="P7691">
        <v>0</v>
      </c>
      <c r="Q7691">
        <v>2</v>
      </c>
      <c r="R7691" t="s">
        <v>40444</v>
      </c>
      <c r="S7691" t="s">
        <v>40676</v>
      </c>
      <c r="T7691" t="s">
        <v>42416</v>
      </c>
      <c r="U7691" t="s">
        <v>49110</v>
      </c>
      <c r="V7691" t="s">
        <v>45350</v>
      </c>
      <c r="W7691" t="s">
        <v>39515</v>
      </c>
      <c r="X7691" t="s">
        <v>40445</v>
      </c>
    </row>
    <row r="7692" spans="1:24">
      <c r="A7692">
        <f>HYPERLINK("https://www.philgeps.gov.ph/GEPSNONPILOT/Tender/SplashBidNoticeAbstractUI.aspx?menuIndex=3&amp;refID=7040693&amp;Result=3","7040693")</f>
        <v>0</v>
      </c>
      <c r="B7692" t="s">
        <v>282</v>
      </c>
      <c r="C7692" t="s">
        <v>10401</v>
      </c>
      <c r="D7692" t="s">
        <v>16203</v>
      </c>
      <c r="E7692" t="s">
        <v>23062</v>
      </c>
      <c r="F7692" t="s">
        <v>28198</v>
      </c>
      <c r="G7692" t="s">
        <v>28205</v>
      </c>
      <c r="H7692" t="s">
        <v>28215</v>
      </c>
      <c r="I7692" t="s">
        <v>28222</v>
      </c>
      <c r="J7692" t="s">
        <v>28361</v>
      </c>
      <c r="K7692" t="s">
        <v>36701</v>
      </c>
      <c r="M7692" t="s">
        <v>37259</v>
      </c>
      <c r="N7692" t="s">
        <v>40436</v>
      </c>
      <c r="O7692" t="s">
        <v>40437</v>
      </c>
      <c r="P7692">
        <v>0</v>
      </c>
      <c r="Q7692">
        <v>1</v>
      </c>
      <c r="R7692" t="s">
        <v>40444</v>
      </c>
      <c r="S7692" t="s">
        <v>40676</v>
      </c>
      <c r="T7692" t="s">
        <v>42194</v>
      </c>
      <c r="U7692" t="s">
        <v>49124</v>
      </c>
      <c r="V7692" t="s">
        <v>54603</v>
      </c>
      <c r="W7692" t="s">
        <v>37259</v>
      </c>
      <c r="X7692" t="s">
        <v>40445</v>
      </c>
    </row>
    <row r="7693" spans="1:24">
      <c r="A7693">
        <f>HYPERLINK("https://www.philgeps.gov.ph/GEPSNONPILOT/Tender/SplashBidNoticeAbstractUI.aspx?menuIndex=3&amp;refID=7040695&amp;Result=3","7040695")</f>
        <v>0</v>
      </c>
      <c r="B7693" t="s">
        <v>1061</v>
      </c>
      <c r="C7693" t="s">
        <v>10402</v>
      </c>
      <c r="D7693" t="s">
        <v>16210</v>
      </c>
      <c r="E7693" t="s">
        <v>23063</v>
      </c>
      <c r="F7693" t="s">
        <v>28198</v>
      </c>
      <c r="G7693" t="s">
        <v>28205</v>
      </c>
      <c r="H7693" t="s">
        <v>28216</v>
      </c>
      <c r="I7693" t="s">
        <v>28216</v>
      </c>
      <c r="J7693" t="s">
        <v>28468</v>
      </c>
      <c r="K7693" t="s">
        <v>36820</v>
      </c>
      <c r="M7693" t="s">
        <v>38094</v>
      </c>
      <c r="N7693" t="s">
        <v>40436</v>
      </c>
      <c r="O7693" t="s">
        <v>40437</v>
      </c>
      <c r="P7693">
        <v>0</v>
      </c>
      <c r="Q7693">
        <v>3</v>
      </c>
      <c r="R7693" t="s">
        <v>40444</v>
      </c>
      <c r="S7693" t="s">
        <v>40676</v>
      </c>
      <c r="T7693" t="s">
        <v>42500</v>
      </c>
      <c r="U7693" t="s">
        <v>49125</v>
      </c>
      <c r="W7693" t="s">
        <v>38094</v>
      </c>
      <c r="X7693" t="s">
        <v>40445</v>
      </c>
    </row>
    <row r="7694" spans="1:24">
      <c r="A7694">
        <f>HYPERLINK("https://www.philgeps.gov.ph/GEPSNONPILOT/Tender/SplashBidNoticeAbstractUI.aspx?menuIndex=3&amp;refID=7040710&amp;Result=3","7040710")</f>
        <v>0</v>
      </c>
      <c r="B7694" t="s">
        <v>315</v>
      </c>
      <c r="C7694" t="s">
        <v>10403</v>
      </c>
      <c r="D7694" t="s">
        <v>16191</v>
      </c>
      <c r="E7694" t="s">
        <v>23064</v>
      </c>
      <c r="F7694" t="s">
        <v>28200</v>
      </c>
      <c r="G7694" t="s">
        <v>28207</v>
      </c>
      <c r="H7694" t="s">
        <v>28215</v>
      </c>
      <c r="I7694" t="s">
        <v>4219</v>
      </c>
      <c r="J7694" t="s">
        <v>33182</v>
      </c>
      <c r="K7694" t="s">
        <v>36698</v>
      </c>
      <c r="M7694" t="s">
        <v>39515</v>
      </c>
      <c r="N7694" t="s">
        <v>40436</v>
      </c>
      <c r="O7694" t="s">
        <v>40437</v>
      </c>
      <c r="P7694">
        <v>0</v>
      </c>
      <c r="Q7694">
        <v>5</v>
      </c>
      <c r="R7694" t="s">
        <v>40444</v>
      </c>
      <c r="S7694" t="s">
        <v>40676</v>
      </c>
      <c r="T7694" t="s">
        <v>42416</v>
      </c>
      <c r="U7694" t="s">
        <v>49110</v>
      </c>
      <c r="V7694" t="s">
        <v>45350</v>
      </c>
      <c r="W7694" t="s">
        <v>39515</v>
      </c>
      <c r="X7694" t="s">
        <v>40445</v>
      </c>
    </row>
    <row r="7695" spans="1:24">
      <c r="A7695">
        <f>HYPERLINK("https://www.philgeps.gov.ph/GEPSNONPILOT/Tender/SplashBidNoticeAbstractUI.aspx?menuIndex=3&amp;refID=7040727&amp;Result=3","7040727")</f>
        <v>0</v>
      </c>
      <c r="B7695" t="s">
        <v>1235</v>
      </c>
      <c r="C7695" t="s">
        <v>5821</v>
      </c>
      <c r="E7695" t="s">
        <v>23065</v>
      </c>
      <c r="F7695" t="s">
        <v>28198</v>
      </c>
      <c r="G7695" t="s">
        <v>28205</v>
      </c>
      <c r="H7695" t="s">
        <v>28215</v>
      </c>
      <c r="I7695" t="s">
        <v>28247</v>
      </c>
      <c r="J7695" t="s">
        <v>33183</v>
      </c>
      <c r="K7695" t="s">
        <v>36689</v>
      </c>
      <c r="M7695" t="s">
        <v>38284</v>
      </c>
      <c r="N7695" t="s">
        <v>40436</v>
      </c>
      <c r="O7695" t="s">
        <v>40437</v>
      </c>
      <c r="P7695">
        <v>0</v>
      </c>
      <c r="Q7695">
        <v>9</v>
      </c>
      <c r="R7695" t="s">
        <v>40444</v>
      </c>
      <c r="S7695" t="s">
        <v>40676</v>
      </c>
      <c r="T7695" t="s">
        <v>42319</v>
      </c>
      <c r="U7695" t="s">
        <v>49126</v>
      </c>
      <c r="V7695" t="s">
        <v>54586</v>
      </c>
      <c r="W7695" t="s">
        <v>38284</v>
      </c>
      <c r="X7695" t="s">
        <v>40445</v>
      </c>
    </row>
    <row r="7696" spans="1:24">
      <c r="A7696">
        <f>HYPERLINK("https://www.philgeps.gov.ph/GEPSNONPILOT/Tender/SplashBidNoticeAbstractUI.aspx?menuIndex=3&amp;refID=7040735&amp;Result=3","7040735")</f>
        <v>0</v>
      </c>
      <c r="B7696" t="s">
        <v>940</v>
      </c>
      <c r="C7696" t="s">
        <v>10404</v>
      </c>
      <c r="D7696" t="s">
        <v>16278</v>
      </c>
      <c r="E7696" t="s">
        <v>23066</v>
      </c>
      <c r="F7696" t="s">
        <v>28198</v>
      </c>
      <c r="G7696" t="s">
        <v>28205</v>
      </c>
      <c r="H7696" t="s">
        <v>28215</v>
      </c>
      <c r="I7696" t="s">
        <v>28332</v>
      </c>
      <c r="J7696" t="s">
        <v>33184</v>
      </c>
      <c r="K7696" t="s">
        <v>36715</v>
      </c>
      <c r="M7696" t="s">
        <v>37963</v>
      </c>
      <c r="N7696" t="s">
        <v>40436</v>
      </c>
      <c r="O7696" t="s">
        <v>40437</v>
      </c>
      <c r="Q7696">
        <v>3</v>
      </c>
      <c r="R7696" t="s">
        <v>40444</v>
      </c>
      <c r="S7696" t="s">
        <v>40727</v>
      </c>
      <c r="T7696" t="s">
        <v>42462</v>
      </c>
      <c r="U7696" t="s">
        <v>49123</v>
      </c>
      <c r="V7696" t="s">
        <v>54607</v>
      </c>
      <c r="W7696" t="s">
        <v>37963</v>
      </c>
      <c r="X7696" t="s">
        <v>40445</v>
      </c>
    </row>
    <row r="7697" spans="1:24">
      <c r="A7697">
        <f>HYPERLINK("https://www.philgeps.gov.ph/GEPSNONPILOT/Tender/SplashBidNoticeAbstractUI.aspx?menuIndex=3&amp;refID=7040723&amp;Result=3","7040723")</f>
        <v>0</v>
      </c>
      <c r="B7697" t="s">
        <v>2343</v>
      </c>
      <c r="C7697" t="s">
        <v>10405</v>
      </c>
      <c r="D7697" t="s">
        <v>16210</v>
      </c>
      <c r="E7697" t="s">
        <v>23067</v>
      </c>
      <c r="F7697" t="s">
        <v>28198</v>
      </c>
      <c r="G7697" t="s">
        <v>28205</v>
      </c>
      <c r="H7697" t="s">
        <v>28215</v>
      </c>
      <c r="I7697" t="s">
        <v>3774</v>
      </c>
      <c r="J7697" t="s">
        <v>28415</v>
      </c>
      <c r="K7697" t="s">
        <v>36688</v>
      </c>
      <c r="M7697" t="s">
        <v>39523</v>
      </c>
      <c r="N7697" t="s">
        <v>40436</v>
      </c>
      <c r="O7697" t="s">
        <v>40437</v>
      </c>
      <c r="P7697">
        <v>0</v>
      </c>
      <c r="Q7697">
        <v>0</v>
      </c>
      <c r="R7697" t="s">
        <v>40444</v>
      </c>
      <c r="S7697" t="s">
        <v>40676</v>
      </c>
      <c r="T7697" t="s">
        <v>42205</v>
      </c>
      <c r="U7697" t="s">
        <v>49127</v>
      </c>
      <c r="W7697" t="s">
        <v>39523</v>
      </c>
      <c r="X7697" t="s">
        <v>40445</v>
      </c>
    </row>
    <row r="7698" spans="1:24">
      <c r="A7698">
        <f>HYPERLINK("https://www.philgeps.gov.ph/GEPSNONPILOT/Tender/SplashBidNoticeAbstractUI.aspx?menuIndex=3&amp;refID=7040705&amp;Result=3","7040705")</f>
        <v>0</v>
      </c>
      <c r="B7698" t="s">
        <v>2343</v>
      </c>
      <c r="C7698" t="s">
        <v>10406</v>
      </c>
      <c r="D7698" t="s">
        <v>16210</v>
      </c>
      <c r="E7698" t="s">
        <v>23068</v>
      </c>
      <c r="F7698" t="s">
        <v>28198</v>
      </c>
      <c r="G7698" t="s">
        <v>28205</v>
      </c>
      <c r="H7698" t="s">
        <v>28215</v>
      </c>
      <c r="I7698" t="s">
        <v>28253</v>
      </c>
      <c r="J7698" t="s">
        <v>28694</v>
      </c>
      <c r="K7698" t="s">
        <v>36688</v>
      </c>
      <c r="M7698" t="s">
        <v>39523</v>
      </c>
      <c r="N7698" t="s">
        <v>40436</v>
      </c>
      <c r="O7698" t="s">
        <v>40437</v>
      </c>
      <c r="P7698">
        <v>0</v>
      </c>
      <c r="Q7698">
        <v>0</v>
      </c>
      <c r="R7698" t="s">
        <v>40444</v>
      </c>
      <c r="S7698" t="s">
        <v>40676</v>
      </c>
      <c r="T7698" t="s">
        <v>42205</v>
      </c>
      <c r="U7698" t="s">
        <v>49128</v>
      </c>
      <c r="W7698" t="s">
        <v>39523</v>
      </c>
      <c r="X7698" t="s">
        <v>40445</v>
      </c>
    </row>
    <row r="7699" spans="1:24">
      <c r="A7699">
        <f>HYPERLINK("https://www.philgeps.gov.ph/GEPSNONPILOT/Tender/SplashBidNoticeAbstractUI.aspx?menuIndex=3&amp;refID=7040726&amp;Result=3","7040726")</f>
        <v>0</v>
      </c>
      <c r="B7699" t="s">
        <v>519</v>
      </c>
      <c r="C7699" t="s">
        <v>10407</v>
      </c>
      <c r="D7699" t="s">
        <v>16190</v>
      </c>
      <c r="E7699" t="s">
        <v>23069</v>
      </c>
      <c r="F7699" t="s">
        <v>28201</v>
      </c>
      <c r="G7699" t="s">
        <v>28207</v>
      </c>
      <c r="H7699" t="s">
        <v>28215</v>
      </c>
      <c r="I7699" t="s">
        <v>4200</v>
      </c>
      <c r="J7699" t="s">
        <v>28671</v>
      </c>
      <c r="K7699" t="s">
        <v>36691</v>
      </c>
      <c r="M7699" t="s">
        <v>37504</v>
      </c>
      <c r="N7699" t="s">
        <v>40436</v>
      </c>
      <c r="O7699" t="s">
        <v>40437</v>
      </c>
      <c r="P7699">
        <v>0</v>
      </c>
      <c r="Q7699">
        <v>0</v>
      </c>
      <c r="R7699" t="s">
        <v>40444</v>
      </c>
      <c r="S7699" t="s">
        <v>40676</v>
      </c>
      <c r="T7699" t="s">
        <v>42245</v>
      </c>
      <c r="U7699" t="s">
        <v>49129</v>
      </c>
      <c r="W7699" t="s">
        <v>37504</v>
      </c>
      <c r="X7699" t="s">
        <v>40445</v>
      </c>
    </row>
    <row r="7700" spans="1:24">
      <c r="A7700">
        <f>HYPERLINK("https://www.philgeps.gov.ph/GEPSNONPILOT/Tender/SplashBidNoticeAbstractUI.aspx?menuIndex=3&amp;refID=7040725&amp;Result=3","7040725")</f>
        <v>0</v>
      </c>
      <c r="B7700" t="s">
        <v>2344</v>
      </c>
      <c r="C7700" t="s">
        <v>10408</v>
      </c>
      <c r="D7700" t="s">
        <v>16254</v>
      </c>
      <c r="E7700" t="s">
        <v>23070</v>
      </c>
      <c r="F7700" t="s">
        <v>28198</v>
      </c>
      <c r="G7700" t="s">
        <v>28205</v>
      </c>
      <c r="H7700" t="s">
        <v>28215</v>
      </c>
      <c r="I7700" t="s">
        <v>8870</v>
      </c>
      <c r="J7700" t="s">
        <v>28363</v>
      </c>
      <c r="K7700" t="s">
        <v>36711</v>
      </c>
      <c r="M7700" t="s">
        <v>39524</v>
      </c>
      <c r="N7700" t="s">
        <v>40436</v>
      </c>
      <c r="O7700" t="s">
        <v>40437</v>
      </c>
      <c r="P7700">
        <v>0</v>
      </c>
      <c r="Q7700">
        <v>2</v>
      </c>
      <c r="R7700" t="s">
        <v>40444</v>
      </c>
      <c r="S7700" t="s">
        <v>40676</v>
      </c>
      <c r="T7700" t="s">
        <v>42158</v>
      </c>
      <c r="U7700" t="s">
        <v>49130</v>
      </c>
      <c r="W7700" t="s">
        <v>39524</v>
      </c>
      <c r="X7700" t="s">
        <v>40445</v>
      </c>
    </row>
    <row r="7701" spans="1:24">
      <c r="A7701">
        <f>HYPERLINK("https://www.philgeps.gov.ph/GEPSNONPILOT/Tender/SplashBidNoticeAbstractUI.aspx?menuIndex=3&amp;refID=7040720&amp;Result=3","7040720")</f>
        <v>0</v>
      </c>
      <c r="B7701" t="s">
        <v>2341</v>
      </c>
      <c r="C7701" t="s">
        <v>10409</v>
      </c>
      <c r="D7701" t="s">
        <v>16193</v>
      </c>
      <c r="E7701" t="s">
        <v>23071</v>
      </c>
      <c r="F7701" t="s">
        <v>28198</v>
      </c>
      <c r="G7701" t="s">
        <v>28205</v>
      </c>
      <c r="H7701" t="s">
        <v>28214</v>
      </c>
      <c r="I7701" t="s">
        <v>3797</v>
      </c>
      <c r="J7701" t="s">
        <v>33185</v>
      </c>
      <c r="K7701" t="s">
        <v>36689</v>
      </c>
      <c r="M7701" t="s">
        <v>39521</v>
      </c>
      <c r="N7701" t="s">
        <v>40436</v>
      </c>
      <c r="O7701" t="s">
        <v>40437</v>
      </c>
      <c r="P7701">
        <v>0</v>
      </c>
      <c r="Q7701">
        <v>1</v>
      </c>
      <c r="R7701" t="s">
        <v>40444</v>
      </c>
      <c r="S7701" t="s">
        <v>40676</v>
      </c>
      <c r="T7701" t="s">
        <v>42131</v>
      </c>
      <c r="U7701" t="s">
        <v>49131</v>
      </c>
      <c r="W7701" t="s">
        <v>39521</v>
      </c>
      <c r="X7701" t="s">
        <v>40445</v>
      </c>
    </row>
    <row r="7702" spans="1:24">
      <c r="A7702">
        <f>HYPERLINK("https://www.philgeps.gov.ph/GEPSNONPILOT/Tender/SplashBidNoticeAbstractUI.aspx?menuIndex=3&amp;refID=7040739&amp;Result=3","7040739")</f>
        <v>0</v>
      </c>
      <c r="B7702" t="s">
        <v>2079</v>
      </c>
      <c r="C7702" t="s">
        <v>10410</v>
      </c>
      <c r="D7702" t="s">
        <v>16217</v>
      </c>
      <c r="E7702" t="s">
        <v>23072</v>
      </c>
      <c r="F7702" t="s">
        <v>28198</v>
      </c>
      <c r="G7702" t="s">
        <v>28205</v>
      </c>
      <c r="H7702" t="s">
        <v>28214</v>
      </c>
      <c r="I7702" t="s">
        <v>3797</v>
      </c>
      <c r="J7702" t="s">
        <v>28347</v>
      </c>
      <c r="K7702" t="s">
        <v>36714</v>
      </c>
      <c r="L7702" t="s">
        <v>2079</v>
      </c>
      <c r="M7702" t="s">
        <v>39228</v>
      </c>
      <c r="N7702" t="s">
        <v>40436</v>
      </c>
      <c r="O7702" t="s">
        <v>40437</v>
      </c>
      <c r="P7702">
        <v>0</v>
      </c>
      <c r="Q7702">
        <v>1</v>
      </c>
      <c r="R7702" t="s">
        <v>40444</v>
      </c>
      <c r="S7702" t="s">
        <v>40676</v>
      </c>
      <c r="T7702" t="s">
        <v>42165</v>
      </c>
      <c r="U7702" t="s">
        <v>49132</v>
      </c>
      <c r="W7702" t="s">
        <v>39228</v>
      </c>
      <c r="X7702" t="s">
        <v>40445</v>
      </c>
    </row>
    <row r="7703" spans="1:24">
      <c r="A7703">
        <f>HYPERLINK("https://www.philgeps.gov.ph/GEPSNONPILOT/Tender/SplashBidNoticeAbstractUI.aspx?menuIndex=3&amp;refID=7040719&amp;Result=3","7040719")</f>
        <v>0</v>
      </c>
      <c r="B7703" t="s">
        <v>2345</v>
      </c>
      <c r="C7703" t="s">
        <v>10411</v>
      </c>
      <c r="D7703" t="s">
        <v>16260</v>
      </c>
      <c r="E7703" t="s">
        <v>23073</v>
      </c>
      <c r="F7703" t="s">
        <v>28198</v>
      </c>
      <c r="G7703" t="s">
        <v>28205</v>
      </c>
      <c r="H7703" t="s">
        <v>28214</v>
      </c>
      <c r="I7703" t="s">
        <v>3797</v>
      </c>
      <c r="J7703" t="s">
        <v>33186</v>
      </c>
      <c r="K7703" t="s">
        <v>36786</v>
      </c>
      <c r="M7703" t="s">
        <v>39525</v>
      </c>
      <c r="N7703" t="s">
        <v>40436</v>
      </c>
      <c r="O7703" t="s">
        <v>40437</v>
      </c>
      <c r="P7703">
        <v>0</v>
      </c>
      <c r="Q7703">
        <v>1</v>
      </c>
      <c r="R7703" t="s">
        <v>40444</v>
      </c>
      <c r="S7703" t="s">
        <v>40676</v>
      </c>
      <c r="T7703" t="s">
        <v>42431</v>
      </c>
      <c r="U7703" t="s">
        <v>49133</v>
      </c>
      <c r="W7703" t="s">
        <v>39525</v>
      </c>
      <c r="X7703" t="s">
        <v>40445</v>
      </c>
    </row>
    <row r="7704" spans="1:24">
      <c r="A7704">
        <f>HYPERLINK("https://www.philgeps.gov.ph/GEPSNONPILOT/Tender/SplashBidNoticeAbstractUI.aspx?menuIndex=3&amp;refID=7040737&amp;Result=3","7040737")</f>
        <v>0</v>
      </c>
      <c r="B7704" t="s">
        <v>2343</v>
      </c>
      <c r="C7704" t="s">
        <v>10412</v>
      </c>
      <c r="D7704" t="s">
        <v>16210</v>
      </c>
      <c r="E7704" t="s">
        <v>23074</v>
      </c>
      <c r="F7704" t="s">
        <v>28198</v>
      </c>
      <c r="G7704" t="s">
        <v>28205</v>
      </c>
      <c r="H7704" t="s">
        <v>28215</v>
      </c>
      <c r="I7704" t="s">
        <v>4200</v>
      </c>
      <c r="J7704" t="s">
        <v>28378</v>
      </c>
      <c r="K7704" t="s">
        <v>36688</v>
      </c>
      <c r="M7704" t="s">
        <v>39523</v>
      </c>
      <c r="N7704" t="s">
        <v>40436</v>
      </c>
      <c r="O7704" t="s">
        <v>40437</v>
      </c>
      <c r="P7704">
        <v>0</v>
      </c>
      <c r="Q7704">
        <v>0</v>
      </c>
      <c r="R7704" t="s">
        <v>40444</v>
      </c>
      <c r="S7704" t="s">
        <v>40676</v>
      </c>
      <c r="T7704" t="s">
        <v>42205</v>
      </c>
      <c r="U7704" t="s">
        <v>49134</v>
      </c>
      <c r="W7704" t="s">
        <v>39523</v>
      </c>
      <c r="X7704" t="s">
        <v>40445</v>
      </c>
    </row>
    <row r="7705" spans="1:24">
      <c r="A7705">
        <f>HYPERLINK("https://www.philgeps.gov.ph/GEPSNONPILOT/Tender/SplashBidNoticeAbstractUI.aspx?menuIndex=3&amp;refID=7040744&amp;Result=3","7040744")</f>
        <v>0</v>
      </c>
      <c r="B7705" t="s">
        <v>2343</v>
      </c>
      <c r="C7705" t="s">
        <v>10413</v>
      </c>
      <c r="D7705" t="s">
        <v>16210</v>
      </c>
      <c r="E7705" t="s">
        <v>23075</v>
      </c>
      <c r="F7705" t="s">
        <v>28198</v>
      </c>
      <c r="G7705" t="s">
        <v>28205</v>
      </c>
      <c r="H7705" t="s">
        <v>28215</v>
      </c>
      <c r="I7705" t="s">
        <v>4321</v>
      </c>
      <c r="J7705" t="s">
        <v>28393</v>
      </c>
      <c r="K7705" t="s">
        <v>36688</v>
      </c>
      <c r="M7705" t="s">
        <v>39523</v>
      </c>
      <c r="N7705" t="s">
        <v>40436</v>
      </c>
      <c r="O7705" t="s">
        <v>40437</v>
      </c>
      <c r="P7705">
        <v>0</v>
      </c>
      <c r="Q7705">
        <v>1</v>
      </c>
      <c r="R7705" t="s">
        <v>40444</v>
      </c>
      <c r="S7705" t="s">
        <v>40676</v>
      </c>
      <c r="T7705" t="s">
        <v>42205</v>
      </c>
      <c r="U7705" t="s">
        <v>49135</v>
      </c>
      <c r="W7705" t="s">
        <v>39523</v>
      </c>
      <c r="X7705" t="s">
        <v>40445</v>
      </c>
    </row>
    <row r="7706" spans="1:24">
      <c r="A7706">
        <f>HYPERLINK("https://www.philgeps.gov.ph/GEPSNONPILOT/Tender/SplashBidNoticeAbstractUI.aspx?menuIndex=3&amp;refID=7040745&amp;Result=3","7040745")</f>
        <v>0</v>
      </c>
      <c r="B7706" t="s">
        <v>105</v>
      </c>
      <c r="C7706" t="s">
        <v>10414</v>
      </c>
      <c r="D7706" t="s">
        <v>16233</v>
      </c>
      <c r="E7706" t="s">
        <v>23076</v>
      </c>
      <c r="F7706" t="s">
        <v>28198</v>
      </c>
      <c r="G7706" t="s">
        <v>28206</v>
      </c>
      <c r="H7706" t="s">
        <v>28215</v>
      </c>
      <c r="I7706" t="s">
        <v>5100</v>
      </c>
      <c r="J7706" t="s">
        <v>28551</v>
      </c>
      <c r="K7706" t="s">
        <v>36715</v>
      </c>
      <c r="M7706" t="s">
        <v>37961</v>
      </c>
      <c r="N7706" t="s">
        <v>40436</v>
      </c>
      <c r="O7706" t="s">
        <v>40437</v>
      </c>
      <c r="P7706">
        <v>0</v>
      </c>
      <c r="Q7706">
        <v>0</v>
      </c>
      <c r="R7706" t="s">
        <v>40444</v>
      </c>
      <c r="S7706" t="s">
        <v>40676</v>
      </c>
      <c r="T7706" t="s">
        <v>42233</v>
      </c>
      <c r="U7706" t="s">
        <v>49136</v>
      </c>
      <c r="V7706" t="s">
        <v>54022</v>
      </c>
      <c r="W7706" t="s">
        <v>37961</v>
      </c>
      <c r="X7706" t="s">
        <v>40445</v>
      </c>
    </row>
    <row r="7707" spans="1:24">
      <c r="A7707">
        <f>HYPERLINK("https://www.philgeps.gov.ph/GEPSNONPILOT/Tender/SplashBidNoticeAbstractUI.aspx?menuIndex=3&amp;refID=7040770&amp;Result=3","7040770")</f>
        <v>0</v>
      </c>
      <c r="B7707" t="s">
        <v>282</v>
      </c>
      <c r="C7707" t="s">
        <v>10415</v>
      </c>
      <c r="D7707" t="s">
        <v>16203</v>
      </c>
      <c r="E7707" t="s">
        <v>23077</v>
      </c>
      <c r="F7707" t="s">
        <v>28198</v>
      </c>
      <c r="G7707" t="s">
        <v>28205</v>
      </c>
      <c r="H7707" t="s">
        <v>28215</v>
      </c>
      <c r="I7707" t="s">
        <v>28238</v>
      </c>
      <c r="J7707" t="s">
        <v>33187</v>
      </c>
      <c r="K7707" t="s">
        <v>36687</v>
      </c>
      <c r="M7707" t="s">
        <v>37259</v>
      </c>
      <c r="N7707" t="s">
        <v>40436</v>
      </c>
      <c r="O7707" t="s">
        <v>40437</v>
      </c>
      <c r="P7707">
        <v>0</v>
      </c>
      <c r="Q7707">
        <v>4</v>
      </c>
      <c r="R7707" t="s">
        <v>40444</v>
      </c>
      <c r="S7707" t="s">
        <v>40676</v>
      </c>
      <c r="T7707" t="s">
        <v>42194</v>
      </c>
      <c r="U7707" t="s">
        <v>49137</v>
      </c>
      <c r="V7707" t="s">
        <v>54603</v>
      </c>
      <c r="W7707" t="s">
        <v>37259</v>
      </c>
      <c r="X7707" t="s">
        <v>40445</v>
      </c>
    </row>
    <row r="7708" spans="1:24">
      <c r="A7708">
        <f>HYPERLINK("https://www.philgeps.gov.ph/GEPSNONPILOT/Tender/SplashBidNoticeAbstractUI.aspx?menuIndex=3&amp;refID=7040754&amp;Result=3","7040754")</f>
        <v>0</v>
      </c>
      <c r="B7708" t="s">
        <v>105</v>
      </c>
      <c r="C7708" t="s">
        <v>10416</v>
      </c>
      <c r="D7708" t="s">
        <v>16233</v>
      </c>
      <c r="E7708" t="s">
        <v>23078</v>
      </c>
      <c r="F7708" t="s">
        <v>28198</v>
      </c>
      <c r="G7708" t="s">
        <v>28206</v>
      </c>
      <c r="H7708" t="s">
        <v>28215</v>
      </c>
      <c r="I7708" t="s">
        <v>28228</v>
      </c>
      <c r="J7708" t="s">
        <v>28413</v>
      </c>
      <c r="K7708" t="s">
        <v>36701</v>
      </c>
      <c r="M7708" t="s">
        <v>37961</v>
      </c>
      <c r="N7708" t="s">
        <v>40436</v>
      </c>
      <c r="O7708" t="s">
        <v>40437</v>
      </c>
      <c r="P7708">
        <v>0</v>
      </c>
      <c r="Q7708">
        <v>0</v>
      </c>
      <c r="R7708" t="s">
        <v>40444</v>
      </c>
      <c r="S7708" t="s">
        <v>40676</v>
      </c>
      <c r="T7708" t="s">
        <v>42233</v>
      </c>
      <c r="U7708" t="s">
        <v>49138</v>
      </c>
      <c r="V7708" t="s">
        <v>54022</v>
      </c>
      <c r="W7708" t="s">
        <v>37961</v>
      </c>
      <c r="X7708" t="s">
        <v>40445</v>
      </c>
    </row>
    <row r="7709" spans="1:24">
      <c r="A7709">
        <f>HYPERLINK("https://www.philgeps.gov.ph/GEPSNONPILOT/Tender/SplashBidNoticeAbstractUI.aspx?menuIndex=3&amp;refID=7040753&amp;Result=3","7040753")</f>
        <v>0</v>
      </c>
      <c r="B7709" t="s">
        <v>2345</v>
      </c>
      <c r="C7709" t="s">
        <v>10417</v>
      </c>
      <c r="D7709" t="s">
        <v>16260</v>
      </c>
      <c r="E7709" t="s">
        <v>23079</v>
      </c>
      <c r="F7709" t="s">
        <v>28198</v>
      </c>
      <c r="G7709" t="s">
        <v>28205</v>
      </c>
      <c r="H7709" t="s">
        <v>28214</v>
      </c>
      <c r="I7709" t="s">
        <v>3797</v>
      </c>
      <c r="J7709" t="s">
        <v>33188</v>
      </c>
      <c r="K7709" t="s">
        <v>36841</v>
      </c>
      <c r="M7709" t="s">
        <v>39525</v>
      </c>
      <c r="N7709" t="s">
        <v>40436</v>
      </c>
      <c r="O7709" t="s">
        <v>40437</v>
      </c>
      <c r="P7709">
        <v>0</v>
      </c>
      <c r="Q7709">
        <v>1</v>
      </c>
      <c r="R7709" t="s">
        <v>40444</v>
      </c>
      <c r="S7709" t="s">
        <v>40676</v>
      </c>
      <c r="T7709" t="s">
        <v>42431</v>
      </c>
      <c r="U7709" t="s">
        <v>49133</v>
      </c>
      <c r="W7709" t="s">
        <v>39525</v>
      </c>
      <c r="X7709" t="s">
        <v>40445</v>
      </c>
    </row>
    <row r="7710" spans="1:24">
      <c r="A7710">
        <f>HYPERLINK("https://www.philgeps.gov.ph/GEPSNONPILOT/Tender/SplashBidNoticeAbstractUI.aspx?menuIndex=3&amp;refID=7040764&amp;Result=3","7040764")</f>
        <v>0</v>
      </c>
      <c r="B7710" t="s">
        <v>1962</v>
      </c>
      <c r="C7710" t="s">
        <v>10418</v>
      </c>
      <c r="D7710" t="s">
        <v>16208</v>
      </c>
      <c r="E7710" t="s">
        <v>23080</v>
      </c>
      <c r="F7710" t="s">
        <v>28198</v>
      </c>
      <c r="G7710" t="s">
        <v>28205</v>
      </c>
      <c r="H7710" t="s">
        <v>28214</v>
      </c>
      <c r="I7710" t="s">
        <v>3797</v>
      </c>
      <c r="J7710" t="s">
        <v>28351</v>
      </c>
      <c r="K7710" t="s">
        <v>36692</v>
      </c>
      <c r="M7710" t="s">
        <v>39097</v>
      </c>
      <c r="N7710" t="s">
        <v>40436</v>
      </c>
      <c r="O7710" t="s">
        <v>40437</v>
      </c>
      <c r="P7710">
        <v>0</v>
      </c>
      <c r="Q7710">
        <v>0</v>
      </c>
      <c r="R7710" t="s">
        <v>40444</v>
      </c>
      <c r="S7710" t="s">
        <v>40676</v>
      </c>
      <c r="T7710" t="s">
        <v>42145</v>
      </c>
      <c r="U7710" t="s">
        <v>49139</v>
      </c>
      <c r="W7710" t="s">
        <v>39097</v>
      </c>
      <c r="X7710" t="s">
        <v>40445</v>
      </c>
    </row>
    <row r="7711" spans="1:24">
      <c r="A7711">
        <f>HYPERLINK("https://www.philgeps.gov.ph/GEPSNONPILOT/Tender/SplashBidNoticeAbstractUI.aspx?menuIndex=3&amp;refID=7040752&amp;Result=3","7040752")</f>
        <v>0</v>
      </c>
      <c r="B7711" t="s">
        <v>2343</v>
      </c>
      <c r="C7711" t="s">
        <v>10419</v>
      </c>
      <c r="D7711" t="s">
        <v>16210</v>
      </c>
      <c r="E7711" t="s">
        <v>23081</v>
      </c>
      <c r="F7711" t="s">
        <v>28198</v>
      </c>
      <c r="G7711" t="s">
        <v>28205</v>
      </c>
      <c r="H7711" t="s">
        <v>28215</v>
      </c>
      <c r="I7711" t="s">
        <v>5100</v>
      </c>
      <c r="J7711" t="s">
        <v>28398</v>
      </c>
      <c r="K7711" t="s">
        <v>36688</v>
      </c>
      <c r="M7711" t="s">
        <v>39523</v>
      </c>
      <c r="N7711" t="s">
        <v>40436</v>
      </c>
      <c r="O7711" t="s">
        <v>40437</v>
      </c>
      <c r="P7711">
        <v>0</v>
      </c>
      <c r="Q7711">
        <v>0</v>
      </c>
      <c r="R7711" t="s">
        <v>40444</v>
      </c>
      <c r="S7711" t="s">
        <v>40676</v>
      </c>
      <c r="T7711" t="s">
        <v>42205</v>
      </c>
      <c r="U7711" t="s">
        <v>49140</v>
      </c>
      <c r="W7711" t="s">
        <v>39523</v>
      </c>
      <c r="X7711" t="s">
        <v>40445</v>
      </c>
    </row>
    <row r="7712" spans="1:24">
      <c r="A7712">
        <f>HYPERLINK("https://www.philgeps.gov.ph/GEPSNONPILOT/Tender/SplashBidNoticeAbstractUI.aspx?menuIndex=3&amp;refID=7040762&amp;Result=3","7040762")</f>
        <v>0</v>
      </c>
      <c r="B7712" t="s">
        <v>453</v>
      </c>
      <c r="C7712" t="s">
        <v>10420</v>
      </c>
      <c r="D7712" t="s">
        <v>16214</v>
      </c>
      <c r="E7712" t="s">
        <v>23082</v>
      </c>
      <c r="F7712" t="s">
        <v>28198</v>
      </c>
      <c r="G7712" t="s">
        <v>28207</v>
      </c>
      <c r="H7712" t="s">
        <v>28215</v>
      </c>
      <c r="I7712" t="s">
        <v>4505</v>
      </c>
      <c r="J7712" t="s">
        <v>30671</v>
      </c>
      <c r="K7712" t="s">
        <v>36701</v>
      </c>
      <c r="M7712" t="s">
        <v>37437</v>
      </c>
      <c r="N7712" t="s">
        <v>40436</v>
      </c>
      <c r="O7712" t="s">
        <v>40437</v>
      </c>
      <c r="P7712">
        <v>0</v>
      </c>
      <c r="Q7712">
        <v>6</v>
      </c>
      <c r="R7712" t="s">
        <v>40444</v>
      </c>
      <c r="S7712" t="s">
        <v>40676</v>
      </c>
      <c r="T7712" t="s">
        <v>42278</v>
      </c>
      <c r="U7712" t="s">
        <v>49141</v>
      </c>
      <c r="W7712" t="s">
        <v>37437</v>
      </c>
      <c r="X7712" t="s">
        <v>40445</v>
      </c>
    </row>
    <row r="7713" spans="1:24">
      <c r="A7713">
        <f>HYPERLINK("https://www.philgeps.gov.ph/GEPSNONPILOT/Tender/SplashBidNoticeAbstractUI.aspx?menuIndex=3&amp;refID=7040747&amp;Result=3","7040747")</f>
        <v>0</v>
      </c>
      <c r="B7713" t="s">
        <v>2346</v>
      </c>
      <c r="C7713" t="s">
        <v>10421</v>
      </c>
      <c r="D7713" t="s">
        <v>16193</v>
      </c>
      <c r="E7713" t="s">
        <v>22293</v>
      </c>
      <c r="F7713" t="s">
        <v>28198</v>
      </c>
      <c r="G7713" t="s">
        <v>28205</v>
      </c>
      <c r="H7713" t="s">
        <v>28214</v>
      </c>
      <c r="I7713" t="s">
        <v>3797</v>
      </c>
      <c r="J7713" t="s">
        <v>33189</v>
      </c>
      <c r="K7713" t="s">
        <v>36692</v>
      </c>
      <c r="M7713" t="s">
        <v>39526</v>
      </c>
      <c r="N7713" t="s">
        <v>40436</v>
      </c>
      <c r="O7713" t="s">
        <v>40437</v>
      </c>
      <c r="P7713">
        <v>0</v>
      </c>
      <c r="Q7713">
        <v>7</v>
      </c>
      <c r="R7713" t="s">
        <v>40444</v>
      </c>
      <c r="S7713" t="s">
        <v>40676</v>
      </c>
      <c r="T7713" t="s">
        <v>42418</v>
      </c>
      <c r="U7713" t="s">
        <v>49142</v>
      </c>
      <c r="W7713" t="s">
        <v>39526</v>
      </c>
      <c r="X7713" t="s">
        <v>40445</v>
      </c>
    </row>
    <row r="7714" spans="1:24">
      <c r="A7714">
        <f>HYPERLINK("https://www.philgeps.gov.ph/GEPSNONPILOT/Tender/SplashBidNoticeAbstractUI.aspx?menuIndex=3&amp;refID=7040781&amp;Result=3","7040781")</f>
        <v>0</v>
      </c>
      <c r="B7714" t="s">
        <v>282</v>
      </c>
      <c r="C7714" t="s">
        <v>10422</v>
      </c>
      <c r="D7714" t="s">
        <v>16203</v>
      </c>
      <c r="E7714" t="s">
        <v>23083</v>
      </c>
      <c r="F7714" t="s">
        <v>28198</v>
      </c>
      <c r="G7714" t="s">
        <v>28209</v>
      </c>
      <c r="H7714" t="s">
        <v>28215</v>
      </c>
      <c r="I7714" t="s">
        <v>28249</v>
      </c>
      <c r="J7714" t="s">
        <v>29867</v>
      </c>
      <c r="K7714" t="s">
        <v>36707</v>
      </c>
      <c r="M7714" t="s">
        <v>37259</v>
      </c>
      <c r="N7714" t="s">
        <v>40436</v>
      </c>
      <c r="O7714" t="s">
        <v>40437</v>
      </c>
      <c r="P7714">
        <v>0</v>
      </c>
      <c r="Q7714">
        <v>1</v>
      </c>
      <c r="R7714" t="s">
        <v>40444</v>
      </c>
      <c r="S7714" t="s">
        <v>40676</v>
      </c>
      <c r="T7714" t="s">
        <v>42194</v>
      </c>
      <c r="U7714" t="s">
        <v>49143</v>
      </c>
      <c r="V7714" t="s">
        <v>54603</v>
      </c>
      <c r="W7714" t="s">
        <v>37259</v>
      </c>
      <c r="X7714" t="s">
        <v>40445</v>
      </c>
    </row>
    <row r="7715" spans="1:24">
      <c r="A7715">
        <f>HYPERLINK("https://www.philgeps.gov.ph/GEPSNONPILOT/Tender/SplashBidNoticeAbstractUI.aspx?menuIndex=3&amp;refID=7040779&amp;Result=3","7040779")</f>
        <v>0</v>
      </c>
      <c r="B7715" t="s">
        <v>460</v>
      </c>
      <c r="C7715" t="s">
        <v>10423</v>
      </c>
      <c r="D7715" t="s">
        <v>16217</v>
      </c>
      <c r="E7715" t="s">
        <v>23084</v>
      </c>
      <c r="F7715" t="s">
        <v>28198</v>
      </c>
      <c r="G7715" t="s">
        <v>28205</v>
      </c>
      <c r="H7715" t="s">
        <v>28214</v>
      </c>
      <c r="I7715" t="s">
        <v>3797</v>
      </c>
      <c r="J7715" t="s">
        <v>33190</v>
      </c>
      <c r="K7715" t="s">
        <v>36694</v>
      </c>
      <c r="M7715" t="s">
        <v>37444</v>
      </c>
      <c r="N7715" t="s">
        <v>40436</v>
      </c>
      <c r="O7715" t="s">
        <v>40437</v>
      </c>
      <c r="P7715">
        <v>0</v>
      </c>
      <c r="Q7715">
        <v>0</v>
      </c>
      <c r="R7715" t="s">
        <v>40444</v>
      </c>
      <c r="S7715" t="s">
        <v>40676</v>
      </c>
      <c r="T7715" t="s">
        <v>42501</v>
      </c>
      <c r="U7715" t="s">
        <v>49144</v>
      </c>
      <c r="V7715" t="s">
        <v>54608</v>
      </c>
      <c r="W7715" t="s">
        <v>37444</v>
      </c>
      <c r="X7715" t="s">
        <v>40445</v>
      </c>
    </row>
    <row r="7716" spans="1:24">
      <c r="A7716">
        <f>HYPERLINK("https://www.philgeps.gov.ph/GEPSNONPILOT/Tender/SplashBidNoticeAbstractUI.aspx?menuIndex=3&amp;refID=7040776&amp;Result=3","7040776")</f>
        <v>0</v>
      </c>
      <c r="B7716" t="s">
        <v>519</v>
      </c>
      <c r="C7716" t="s">
        <v>10424</v>
      </c>
      <c r="D7716" t="s">
        <v>16190</v>
      </c>
      <c r="E7716" t="s">
        <v>23069</v>
      </c>
      <c r="F7716" t="s">
        <v>28201</v>
      </c>
      <c r="G7716" t="s">
        <v>28207</v>
      </c>
      <c r="H7716" t="s">
        <v>28217</v>
      </c>
      <c r="I7716" t="s">
        <v>4200</v>
      </c>
      <c r="J7716" t="s">
        <v>33191</v>
      </c>
      <c r="K7716" t="s">
        <v>36691</v>
      </c>
      <c r="M7716" t="s">
        <v>37504</v>
      </c>
      <c r="N7716" t="s">
        <v>40436</v>
      </c>
      <c r="O7716" t="s">
        <v>40437</v>
      </c>
      <c r="P7716">
        <v>0</v>
      </c>
      <c r="Q7716">
        <v>0</v>
      </c>
      <c r="R7716" t="s">
        <v>40444</v>
      </c>
      <c r="S7716" t="s">
        <v>40676</v>
      </c>
      <c r="T7716" t="s">
        <v>42245</v>
      </c>
      <c r="U7716" t="s">
        <v>49145</v>
      </c>
      <c r="W7716" t="s">
        <v>37504</v>
      </c>
      <c r="X7716" t="s">
        <v>40445</v>
      </c>
    </row>
    <row r="7717" spans="1:24">
      <c r="A7717">
        <f>HYPERLINK("https://www.philgeps.gov.ph/GEPSNONPILOT/Tender/SplashBidNoticeAbstractUI.aspx?menuIndex=3&amp;refID=7040760&amp;Result=3","7040760")</f>
        <v>0</v>
      </c>
      <c r="B7717" t="s">
        <v>105</v>
      </c>
      <c r="C7717" t="s">
        <v>10425</v>
      </c>
      <c r="D7717" t="s">
        <v>16233</v>
      </c>
      <c r="E7717" t="s">
        <v>23085</v>
      </c>
      <c r="F7717" t="s">
        <v>28198</v>
      </c>
      <c r="G7717" t="s">
        <v>28206</v>
      </c>
      <c r="H7717" t="s">
        <v>28215</v>
      </c>
      <c r="I7717" t="s">
        <v>4219</v>
      </c>
      <c r="J7717" t="s">
        <v>28687</v>
      </c>
      <c r="K7717" t="s">
        <v>36694</v>
      </c>
      <c r="M7717" t="s">
        <v>37961</v>
      </c>
      <c r="N7717" t="s">
        <v>40436</v>
      </c>
      <c r="O7717" t="s">
        <v>40437</v>
      </c>
      <c r="P7717">
        <v>0</v>
      </c>
      <c r="Q7717">
        <v>5</v>
      </c>
      <c r="R7717" t="s">
        <v>40444</v>
      </c>
      <c r="S7717" t="s">
        <v>40676</v>
      </c>
      <c r="T7717" t="s">
        <v>42233</v>
      </c>
      <c r="U7717" t="s">
        <v>49146</v>
      </c>
      <c r="V7717" t="s">
        <v>54022</v>
      </c>
      <c r="W7717" t="s">
        <v>37961</v>
      </c>
      <c r="X7717" t="s">
        <v>40445</v>
      </c>
    </row>
    <row r="7718" spans="1:24">
      <c r="A7718">
        <f>HYPERLINK("https://www.philgeps.gov.ph/GEPSNONPILOT/Tender/SplashBidNoticeAbstractUI.aspx?menuIndex=3&amp;refID=7040771&amp;Result=3","7040771")</f>
        <v>0</v>
      </c>
      <c r="B7718" t="s">
        <v>1962</v>
      </c>
      <c r="C7718" t="s">
        <v>10426</v>
      </c>
      <c r="D7718" t="s">
        <v>16208</v>
      </c>
      <c r="E7718" t="s">
        <v>23086</v>
      </c>
      <c r="F7718" t="s">
        <v>28198</v>
      </c>
      <c r="G7718" t="s">
        <v>28205</v>
      </c>
      <c r="H7718" t="s">
        <v>28214</v>
      </c>
      <c r="I7718" t="s">
        <v>3797</v>
      </c>
      <c r="J7718" t="s">
        <v>28363</v>
      </c>
      <c r="K7718" t="s">
        <v>36715</v>
      </c>
      <c r="M7718" t="s">
        <v>39097</v>
      </c>
      <c r="N7718" t="s">
        <v>40436</v>
      </c>
      <c r="O7718" t="s">
        <v>40437</v>
      </c>
      <c r="P7718">
        <v>0</v>
      </c>
      <c r="Q7718">
        <v>0</v>
      </c>
      <c r="R7718" t="s">
        <v>40444</v>
      </c>
      <c r="S7718" t="s">
        <v>40676</v>
      </c>
      <c r="T7718" t="s">
        <v>42109</v>
      </c>
      <c r="U7718" t="s">
        <v>49147</v>
      </c>
      <c r="W7718" t="s">
        <v>39097</v>
      </c>
      <c r="X7718" t="s">
        <v>40445</v>
      </c>
    </row>
    <row r="7719" spans="1:24">
      <c r="A7719">
        <f>HYPERLINK("https://www.philgeps.gov.ph/GEPSNONPILOT/Tender/SplashBidNoticeAbstractUI.aspx?menuIndex=3&amp;refID=7040778&amp;Result=3","7040778")</f>
        <v>0</v>
      </c>
      <c r="B7719" t="s">
        <v>2347</v>
      </c>
      <c r="C7719" t="s">
        <v>10427</v>
      </c>
      <c r="D7719" t="s">
        <v>16210</v>
      </c>
      <c r="E7719" t="s">
        <v>23087</v>
      </c>
      <c r="F7719" t="s">
        <v>28198</v>
      </c>
      <c r="G7719" t="s">
        <v>28205</v>
      </c>
      <c r="H7719" t="s">
        <v>28215</v>
      </c>
      <c r="I7719" t="s">
        <v>28258</v>
      </c>
      <c r="J7719" t="s">
        <v>33192</v>
      </c>
      <c r="K7719" t="s">
        <v>36701</v>
      </c>
      <c r="M7719" t="s">
        <v>39527</v>
      </c>
      <c r="N7719" t="s">
        <v>40436</v>
      </c>
      <c r="O7719" t="s">
        <v>40437</v>
      </c>
      <c r="P7719">
        <v>0</v>
      </c>
      <c r="Q7719">
        <v>12</v>
      </c>
      <c r="R7719" t="s">
        <v>40444</v>
      </c>
      <c r="S7719" t="s">
        <v>40676</v>
      </c>
      <c r="T7719" t="s">
        <v>42134</v>
      </c>
      <c r="U7719" t="s">
        <v>49148</v>
      </c>
      <c r="W7719" t="s">
        <v>39527</v>
      </c>
      <c r="X7719" t="s">
        <v>40445</v>
      </c>
    </row>
    <row r="7720" spans="1:24">
      <c r="A7720">
        <f>HYPERLINK("https://www.philgeps.gov.ph/GEPSNONPILOT/Tender/SplashBidNoticeAbstractUI.aspx?menuIndex=3&amp;refID=7040768&amp;Result=3","7040768")</f>
        <v>0</v>
      </c>
      <c r="B7720" t="s">
        <v>1558</v>
      </c>
      <c r="C7720" t="s">
        <v>10428</v>
      </c>
      <c r="D7720" t="s">
        <v>16217</v>
      </c>
      <c r="E7720" t="s">
        <v>16498</v>
      </c>
      <c r="F7720" t="s">
        <v>28198</v>
      </c>
      <c r="G7720" t="s">
        <v>28205</v>
      </c>
      <c r="H7720" t="s">
        <v>28215</v>
      </c>
      <c r="I7720" t="s">
        <v>8888</v>
      </c>
      <c r="J7720" t="s">
        <v>33193</v>
      </c>
      <c r="K7720" t="s">
        <v>36707</v>
      </c>
      <c r="M7720" t="s">
        <v>38640</v>
      </c>
      <c r="N7720" t="s">
        <v>40436</v>
      </c>
      <c r="O7720" t="s">
        <v>40437</v>
      </c>
      <c r="P7720">
        <v>0</v>
      </c>
      <c r="Q7720">
        <v>5</v>
      </c>
      <c r="R7720" t="s">
        <v>40444</v>
      </c>
      <c r="S7720" t="s">
        <v>40676</v>
      </c>
      <c r="T7720" t="s">
        <v>42240</v>
      </c>
      <c r="U7720" t="s">
        <v>49149</v>
      </c>
      <c r="W7720" t="s">
        <v>38640</v>
      </c>
      <c r="X7720" t="s">
        <v>40445</v>
      </c>
    </row>
    <row r="7721" spans="1:24">
      <c r="A7721">
        <f>HYPERLINK("https://www.philgeps.gov.ph/GEPSNONPILOT/Tender/SplashBidNoticeAbstractUI.aspx?menuIndex=3&amp;refID=7040783&amp;Result=3","7040783")</f>
        <v>0</v>
      </c>
      <c r="B7721" t="s">
        <v>2348</v>
      </c>
      <c r="C7721" t="s">
        <v>10429</v>
      </c>
      <c r="D7721" t="s">
        <v>16201</v>
      </c>
      <c r="E7721" t="s">
        <v>23088</v>
      </c>
      <c r="F7721" t="s">
        <v>28198</v>
      </c>
      <c r="G7721" t="s">
        <v>28205</v>
      </c>
      <c r="H7721" t="s">
        <v>28214</v>
      </c>
      <c r="I7721" t="s">
        <v>3797</v>
      </c>
      <c r="J7721" t="s">
        <v>29356</v>
      </c>
      <c r="K7721" t="s">
        <v>36747</v>
      </c>
      <c r="M7721" t="s">
        <v>39528</v>
      </c>
      <c r="N7721" t="s">
        <v>40436</v>
      </c>
      <c r="O7721" t="s">
        <v>40437</v>
      </c>
      <c r="P7721">
        <v>0</v>
      </c>
      <c r="Q7721">
        <v>1</v>
      </c>
      <c r="R7721" t="s">
        <v>40444</v>
      </c>
      <c r="S7721" t="s">
        <v>40676</v>
      </c>
      <c r="T7721" t="s">
        <v>42233</v>
      </c>
      <c r="U7721" t="s">
        <v>49150</v>
      </c>
      <c r="V7721" t="s">
        <v>54609</v>
      </c>
      <c r="W7721" t="s">
        <v>39528</v>
      </c>
      <c r="X7721" t="s">
        <v>40445</v>
      </c>
    </row>
    <row r="7722" spans="1:24">
      <c r="A7722">
        <f>HYPERLINK("https://www.philgeps.gov.ph/GEPSNONPILOT/Tender/SplashBidNoticeAbstractUI.aspx?menuIndex=3&amp;refID=7040774&amp;Result=3","7040774")</f>
        <v>0</v>
      </c>
      <c r="B7722" t="s">
        <v>65</v>
      </c>
      <c r="C7722" t="s">
        <v>10430</v>
      </c>
      <c r="D7722" t="s">
        <v>16210</v>
      </c>
      <c r="E7722" t="s">
        <v>20281</v>
      </c>
      <c r="F7722" t="s">
        <v>28198</v>
      </c>
      <c r="G7722" t="s">
        <v>28205</v>
      </c>
      <c r="H7722" t="s">
        <v>28214</v>
      </c>
      <c r="I7722" t="s">
        <v>3797</v>
      </c>
      <c r="J7722" t="s">
        <v>33194</v>
      </c>
      <c r="K7722" t="s">
        <v>36690</v>
      </c>
      <c r="M7722" t="s">
        <v>38583</v>
      </c>
      <c r="N7722" t="s">
        <v>40436</v>
      </c>
      <c r="O7722" t="s">
        <v>40437</v>
      </c>
      <c r="P7722">
        <v>0</v>
      </c>
      <c r="Q7722">
        <v>6</v>
      </c>
      <c r="R7722" t="s">
        <v>40444</v>
      </c>
      <c r="S7722" t="s">
        <v>40676</v>
      </c>
      <c r="T7722" t="s">
        <v>42168</v>
      </c>
      <c r="U7722" t="s">
        <v>49151</v>
      </c>
      <c r="W7722" t="s">
        <v>38583</v>
      </c>
      <c r="X7722" t="s">
        <v>40445</v>
      </c>
    </row>
    <row r="7723" spans="1:24">
      <c r="A7723">
        <f>HYPERLINK("https://www.philgeps.gov.ph/GEPSNONPILOT/Tender/SplashBidNoticeAbstractUI.aspx?menuIndex=3&amp;refID=7040756&amp;Result=3","7040756")</f>
        <v>0</v>
      </c>
      <c r="B7723" t="s">
        <v>2345</v>
      </c>
      <c r="C7723" t="s">
        <v>10431</v>
      </c>
      <c r="D7723" t="s">
        <v>16260</v>
      </c>
      <c r="E7723" t="s">
        <v>23089</v>
      </c>
      <c r="F7723" t="s">
        <v>28198</v>
      </c>
      <c r="G7723" t="s">
        <v>28205</v>
      </c>
      <c r="H7723" t="s">
        <v>28214</v>
      </c>
      <c r="I7723" t="s">
        <v>3797</v>
      </c>
      <c r="J7723" t="s">
        <v>33195</v>
      </c>
      <c r="K7723" t="s">
        <v>36737</v>
      </c>
      <c r="M7723" t="s">
        <v>39525</v>
      </c>
      <c r="N7723" t="s">
        <v>40436</v>
      </c>
      <c r="O7723" t="s">
        <v>40437</v>
      </c>
      <c r="P7723">
        <v>0</v>
      </c>
      <c r="Q7723">
        <v>1</v>
      </c>
      <c r="R7723" t="s">
        <v>40444</v>
      </c>
      <c r="S7723" t="s">
        <v>40676</v>
      </c>
      <c r="T7723" t="s">
        <v>42431</v>
      </c>
      <c r="U7723" t="s">
        <v>49133</v>
      </c>
      <c r="W7723" t="s">
        <v>39525</v>
      </c>
      <c r="X7723" t="s">
        <v>40445</v>
      </c>
    </row>
    <row r="7724" spans="1:24">
      <c r="A7724">
        <f>HYPERLINK("https://www.philgeps.gov.ph/GEPSNONPILOT/Tender/SplashBidNoticeAbstractUI.aspx?menuIndex=3&amp;refID=7040838&amp;Result=3","7040838")</f>
        <v>0</v>
      </c>
      <c r="B7724" t="s">
        <v>519</v>
      </c>
      <c r="C7724" t="s">
        <v>10432</v>
      </c>
      <c r="D7724" t="s">
        <v>16190</v>
      </c>
      <c r="E7724" t="s">
        <v>23069</v>
      </c>
      <c r="F7724" t="s">
        <v>28201</v>
      </c>
      <c r="G7724" t="s">
        <v>28207</v>
      </c>
      <c r="H7724" t="s">
        <v>28215</v>
      </c>
      <c r="I7724" t="s">
        <v>4200</v>
      </c>
      <c r="J7724" t="s">
        <v>28529</v>
      </c>
      <c r="K7724" t="s">
        <v>36691</v>
      </c>
      <c r="M7724" t="s">
        <v>37504</v>
      </c>
      <c r="N7724" t="s">
        <v>40436</v>
      </c>
      <c r="O7724" t="s">
        <v>40437</v>
      </c>
      <c r="P7724">
        <v>0</v>
      </c>
      <c r="Q7724">
        <v>0</v>
      </c>
      <c r="R7724" t="s">
        <v>40444</v>
      </c>
      <c r="S7724" t="s">
        <v>40676</v>
      </c>
      <c r="T7724" t="s">
        <v>42245</v>
      </c>
      <c r="U7724" t="s">
        <v>49152</v>
      </c>
      <c r="W7724" t="s">
        <v>37504</v>
      </c>
      <c r="X7724" t="s">
        <v>40445</v>
      </c>
    </row>
    <row r="7725" spans="1:24">
      <c r="A7725">
        <f>HYPERLINK("https://www.philgeps.gov.ph/GEPSNONPILOT/Tender/SplashBidNoticeAbstractUI.aspx?menuIndex=3&amp;refID=7040830&amp;Result=3","7040830")</f>
        <v>0</v>
      </c>
      <c r="B7725" t="s">
        <v>519</v>
      </c>
      <c r="C7725" t="s">
        <v>10433</v>
      </c>
      <c r="D7725" t="s">
        <v>16190</v>
      </c>
      <c r="E7725" t="s">
        <v>23069</v>
      </c>
      <c r="F7725" t="s">
        <v>28201</v>
      </c>
      <c r="G7725" t="s">
        <v>28207</v>
      </c>
      <c r="H7725" t="s">
        <v>28215</v>
      </c>
      <c r="I7725" t="s">
        <v>5082</v>
      </c>
      <c r="J7725" t="s">
        <v>30041</v>
      </c>
      <c r="K7725" t="s">
        <v>36691</v>
      </c>
      <c r="M7725" t="s">
        <v>37504</v>
      </c>
      <c r="N7725" t="s">
        <v>40436</v>
      </c>
      <c r="O7725" t="s">
        <v>40437</v>
      </c>
      <c r="P7725">
        <v>0</v>
      </c>
      <c r="Q7725">
        <v>1</v>
      </c>
      <c r="R7725" t="s">
        <v>40444</v>
      </c>
      <c r="S7725" t="s">
        <v>40676</v>
      </c>
      <c r="T7725" t="s">
        <v>42245</v>
      </c>
      <c r="U7725" t="s">
        <v>49153</v>
      </c>
      <c r="W7725" t="s">
        <v>37504</v>
      </c>
      <c r="X7725" t="s">
        <v>40445</v>
      </c>
    </row>
    <row r="7726" spans="1:24">
      <c r="A7726">
        <f>HYPERLINK("https://www.philgeps.gov.ph/GEPSNONPILOT/Tender/SplashBidNoticeAbstractUI.aspx?menuIndex=3&amp;refID=7040761&amp;Result=3","7040761")</f>
        <v>0</v>
      </c>
      <c r="B7726" t="s">
        <v>2343</v>
      </c>
      <c r="C7726" t="s">
        <v>10434</v>
      </c>
      <c r="D7726" t="s">
        <v>16210</v>
      </c>
      <c r="E7726" t="s">
        <v>23090</v>
      </c>
      <c r="F7726" t="s">
        <v>28198</v>
      </c>
      <c r="G7726" t="s">
        <v>28205</v>
      </c>
      <c r="H7726" t="s">
        <v>28215</v>
      </c>
      <c r="I7726" t="s">
        <v>4200</v>
      </c>
      <c r="J7726" t="s">
        <v>28393</v>
      </c>
      <c r="K7726" t="s">
        <v>36688</v>
      </c>
      <c r="M7726" t="s">
        <v>39523</v>
      </c>
      <c r="N7726" t="s">
        <v>40436</v>
      </c>
      <c r="O7726" t="s">
        <v>40437</v>
      </c>
      <c r="P7726">
        <v>0</v>
      </c>
      <c r="Q7726">
        <v>0</v>
      </c>
      <c r="R7726" t="s">
        <v>40444</v>
      </c>
      <c r="S7726" t="s">
        <v>40676</v>
      </c>
      <c r="T7726" t="s">
        <v>42205</v>
      </c>
      <c r="U7726" t="s">
        <v>49154</v>
      </c>
      <c r="W7726" t="s">
        <v>39523</v>
      </c>
      <c r="X7726" t="s">
        <v>40445</v>
      </c>
    </row>
    <row r="7727" spans="1:24">
      <c r="A7727">
        <f>HYPERLINK("https://www.philgeps.gov.ph/GEPSNONPILOT/Tender/SplashBidNoticeAbstractUI.aspx?menuIndex=3&amp;refID=7040818&amp;Result=3","7040818")</f>
        <v>0</v>
      </c>
      <c r="B7727" t="s">
        <v>519</v>
      </c>
      <c r="C7727" t="s">
        <v>10435</v>
      </c>
      <c r="D7727" t="s">
        <v>16190</v>
      </c>
      <c r="E7727" t="s">
        <v>23069</v>
      </c>
      <c r="F7727" t="s">
        <v>28201</v>
      </c>
      <c r="G7727" t="s">
        <v>28207</v>
      </c>
      <c r="H7727" t="s">
        <v>28215</v>
      </c>
      <c r="I7727" t="s">
        <v>4200</v>
      </c>
      <c r="J7727" t="s">
        <v>28878</v>
      </c>
      <c r="K7727" t="s">
        <v>36691</v>
      </c>
      <c r="M7727" t="s">
        <v>37504</v>
      </c>
      <c r="N7727" t="s">
        <v>40436</v>
      </c>
      <c r="O7727" t="s">
        <v>40437</v>
      </c>
      <c r="P7727">
        <v>0</v>
      </c>
      <c r="Q7727">
        <v>0</v>
      </c>
      <c r="R7727" t="s">
        <v>40444</v>
      </c>
      <c r="S7727" t="s">
        <v>40676</v>
      </c>
      <c r="T7727" t="s">
        <v>42245</v>
      </c>
      <c r="U7727" t="s">
        <v>49155</v>
      </c>
      <c r="W7727" t="s">
        <v>37504</v>
      </c>
      <c r="X7727" t="s">
        <v>40445</v>
      </c>
    </row>
    <row r="7728" spans="1:24">
      <c r="A7728">
        <f>HYPERLINK("https://www.philgeps.gov.ph/GEPSNONPILOT/Tender/SplashBidNoticeAbstractUI.aspx?menuIndex=3&amp;refID=7040759&amp;Result=3","7040759")</f>
        <v>0</v>
      </c>
      <c r="B7728" t="s">
        <v>2345</v>
      </c>
      <c r="C7728" t="s">
        <v>10436</v>
      </c>
      <c r="D7728" t="s">
        <v>16260</v>
      </c>
      <c r="E7728" t="s">
        <v>23091</v>
      </c>
      <c r="F7728" t="s">
        <v>28198</v>
      </c>
      <c r="G7728" t="s">
        <v>28205</v>
      </c>
      <c r="H7728" t="s">
        <v>28214</v>
      </c>
      <c r="I7728" t="s">
        <v>3797</v>
      </c>
      <c r="J7728" t="s">
        <v>33196</v>
      </c>
      <c r="K7728" t="s">
        <v>36747</v>
      </c>
      <c r="M7728" t="s">
        <v>39525</v>
      </c>
      <c r="N7728" t="s">
        <v>40436</v>
      </c>
      <c r="O7728" t="s">
        <v>40437</v>
      </c>
      <c r="P7728">
        <v>0</v>
      </c>
      <c r="Q7728">
        <v>2</v>
      </c>
      <c r="R7728" t="s">
        <v>40444</v>
      </c>
      <c r="S7728" t="s">
        <v>40676</v>
      </c>
      <c r="T7728" t="s">
        <v>42431</v>
      </c>
      <c r="U7728" t="s">
        <v>49133</v>
      </c>
      <c r="W7728" t="s">
        <v>39525</v>
      </c>
      <c r="X7728" t="s">
        <v>40445</v>
      </c>
    </row>
    <row r="7729" spans="1:24">
      <c r="A7729">
        <f>HYPERLINK("https://www.philgeps.gov.ph/GEPSNONPILOT/Tender/SplashBidNoticeAbstractUI.aspx?menuIndex=3&amp;refID=7040810&amp;Result=3","7040810")</f>
        <v>0</v>
      </c>
      <c r="B7729" t="s">
        <v>667</v>
      </c>
      <c r="C7729" t="s">
        <v>10437</v>
      </c>
      <c r="D7729" t="s">
        <v>16210</v>
      </c>
      <c r="E7729" t="s">
        <v>17564</v>
      </c>
      <c r="F7729" t="s">
        <v>28198</v>
      </c>
      <c r="G7729" t="s">
        <v>28205</v>
      </c>
      <c r="H7729" t="s">
        <v>28215</v>
      </c>
      <c r="I7729" t="s">
        <v>28288</v>
      </c>
      <c r="J7729" t="s">
        <v>28351</v>
      </c>
      <c r="K7729" t="s">
        <v>36706</v>
      </c>
      <c r="M7729" t="s">
        <v>37663</v>
      </c>
      <c r="N7729" t="s">
        <v>40436</v>
      </c>
      <c r="O7729" t="s">
        <v>40437</v>
      </c>
      <c r="P7729">
        <v>0</v>
      </c>
      <c r="Q7729">
        <v>1</v>
      </c>
      <c r="R7729" t="s">
        <v>40444</v>
      </c>
      <c r="S7729" t="s">
        <v>40676</v>
      </c>
      <c r="T7729" t="s">
        <v>42189</v>
      </c>
      <c r="U7729" t="s">
        <v>49156</v>
      </c>
      <c r="W7729" t="s">
        <v>37663</v>
      </c>
      <c r="X7729" t="s">
        <v>40445</v>
      </c>
    </row>
    <row r="7730" spans="1:24">
      <c r="A7730">
        <f>HYPERLINK("https://www.philgeps.gov.ph/GEPSNONPILOT/Tender/SplashBidNoticeAbstractUI.aspx?menuIndex=3&amp;refID=7040837&amp;Result=3","7040837")</f>
        <v>0</v>
      </c>
      <c r="B7730" t="s">
        <v>512</v>
      </c>
      <c r="C7730" t="s">
        <v>10438</v>
      </c>
      <c r="D7730" t="s">
        <v>16200</v>
      </c>
      <c r="E7730" t="s">
        <v>23092</v>
      </c>
      <c r="F7730" t="s">
        <v>28198</v>
      </c>
      <c r="G7730" t="s">
        <v>28205</v>
      </c>
      <c r="H7730" t="s">
        <v>28214</v>
      </c>
      <c r="I7730" t="s">
        <v>3797</v>
      </c>
      <c r="J7730" t="s">
        <v>32323</v>
      </c>
      <c r="K7730" t="s">
        <v>36690</v>
      </c>
      <c r="M7730" t="s">
        <v>37497</v>
      </c>
      <c r="N7730" t="s">
        <v>40436</v>
      </c>
      <c r="O7730" t="s">
        <v>40437</v>
      </c>
      <c r="P7730">
        <v>0</v>
      </c>
      <c r="Q7730">
        <v>2</v>
      </c>
      <c r="R7730" t="s">
        <v>40444</v>
      </c>
      <c r="S7730" t="s">
        <v>40676</v>
      </c>
      <c r="T7730" t="s">
        <v>42234</v>
      </c>
      <c r="U7730" t="s">
        <v>49157</v>
      </c>
      <c r="V7730" t="s">
        <v>54610</v>
      </c>
      <c r="W7730" t="s">
        <v>37497</v>
      </c>
      <c r="X7730" t="s">
        <v>40445</v>
      </c>
    </row>
    <row r="7731" spans="1:24">
      <c r="A7731">
        <f>HYPERLINK("https://www.philgeps.gov.ph/GEPSNONPILOT/Tender/SplashBidNoticeAbstractUI.aspx?menuIndex=3&amp;refID=7040820&amp;Result=3","7040820")</f>
        <v>0</v>
      </c>
      <c r="B7731" t="s">
        <v>2349</v>
      </c>
      <c r="C7731" t="s">
        <v>10439</v>
      </c>
      <c r="E7731" t="s">
        <v>18183</v>
      </c>
      <c r="F7731" t="s">
        <v>28200</v>
      </c>
      <c r="G7731" t="s">
        <v>28205</v>
      </c>
      <c r="H7731" t="s">
        <v>28215</v>
      </c>
      <c r="I7731" t="s">
        <v>28228</v>
      </c>
      <c r="J7731" t="s">
        <v>28415</v>
      </c>
      <c r="K7731" t="s">
        <v>36689</v>
      </c>
      <c r="M7731" t="s">
        <v>39529</v>
      </c>
      <c r="N7731" t="s">
        <v>40436</v>
      </c>
      <c r="O7731" t="s">
        <v>40437</v>
      </c>
      <c r="P7731">
        <v>0</v>
      </c>
      <c r="Q7731">
        <v>0</v>
      </c>
      <c r="R7731" t="s">
        <v>40444</v>
      </c>
      <c r="S7731" t="s">
        <v>40676</v>
      </c>
      <c r="T7731" t="s">
        <v>42188</v>
      </c>
      <c r="U7731" t="s">
        <v>49158</v>
      </c>
      <c r="W7731" t="s">
        <v>39529</v>
      </c>
      <c r="X7731" t="s">
        <v>40445</v>
      </c>
    </row>
    <row r="7732" spans="1:24">
      <c r="A7732">
        <f>HYPERLINK("https://www.philgeps.gov.ph/GEPSNONPILOT/Tender/SplashBidNoticeAbstractUI.aspx?menuIndex=3&amp;refID=7040807&amp;Result=3","7040807")</f>
        <v>0</v>
      </c>
      <c r="B7732" t="s">
        <v>460</v>
      </c>
      <c r="C7732" t="s">
        <v>10440</v>
      </c>
      <c r="D7732" t="s">
        <v>16217</v>
      </c>
      <c r="E7732" t="s">
        <v>23093</v>
      </c>
      <c r="F7732" t="s">
        <v>28198</v>
      </c>
      <c r="G7732" t="s">
        <v>28205</v>
      </c>
      <c r="H7732" t="s">
        <v>28214</v>
      </c>
      <c r="I7732" t="s">
        <v>3797</v>
      </c>
      <c r="J7732" t="s">
        <v>33197</v>
      </c>
      <c r="K7732" t="s">
        <v>36694</v>
      </c>
      <c r="M7732" t="s">
        <v>37444</v>
      </c>
      <c r="N7732" t="s">
        <v>40436</v>
      </c>
      <c r="O7732" t="s">
        <v>40437</v>
      </c>
      <c r="P7732">
        <v>0</v>
      </c>
      <c r="Q7732">
        <v>0</v>
      </c>
      <c r="R7732" t="s">
        <v>40444</v>
      </c>
      <c r="S7732" t="s">
        <v>40676</v>
      </c>
      <c r="T7732" t="s">
        <v>42502</v>
      </c>
      <c r="U7732" t="s">
        <v>49144</v>
      </c>
      <c r="V7732" t="s">
        <v>54608</v>
      </c>
      <c r="W7732" t="s">
        <v>37444</v>
      </c>
      <c r="X7732" t="s">
        <v>40445</v>
      </c>
    </row>
    <row r="7733" spans="1:24">
      <c r="A7733">
        <f>HYPERLINK("https://www.philgeps.gov.ph/GEPSNONPILOT/Tender/SplashBidNoticeAbstractUI.aspx?menuIndex=3&amp;refID=7040828&amp;Result=3","7040828")</f>
        <v>0</v>
      </c>
      <c r="B7733" t="s">
        <v>460</v>
      </c>
      <c r="C7733" t="s">
        <v>10441</v>
      </c>
      <c r="D7733" t="s">
        <v>16217</v>
      </c>
      <c r="E7733" t="s">
        <v>23094</v>
      </c>
      <c r="F7733" t="s">
        <v>28198</v>
      </c>
      <c r="G7733" t="s">
        <v>28205</v>
      </c>
      <c r="H7733" t="s">
        <v>28214</v>
      </c>
      <c r="I7733" t="s">
        <v>3797</v>
      </c>
      <c r="J7733" t="s">
        <v>33198</v>
      </c>
      <c r="K7733" t="s">
        <v>36694</v>
      </c>
      <c r="M7733" t="s">
        <v>37444</v>
      </c>
      <c r="N7733" t="s">
        <v>40436</v>
      </c>
      <c r="O7733" t="s">
        <v>40437</v>
      </c>
      <c r="P7733">
        <v>0</v>
      </c>
      <c r="Q7733">
        <v>0</v>
      </c>
      <c r="R7733" t="s">
        <v>40444</v>
      </c>
      <c r="S7733" t="s">
        <v>40676</v>
      </c>
      <c r="T7733" t="s">
        <v>42503</v>
      </c>
      <c r="U7733" t="s">
        <v>49144</v>
      </c>
      <c r="V7733" t="s">
        <v>54608</v>
      </c>
      <c r="W7733" t="s">
        <v>37444</v>
      </c>
      <c r="X7733" t="s">
        <v>40445</v>
      </c>
    </row>
    <row r="7734" spans="1:24">
      <c r="A7734">
        <f>HYPERLINK("https://www.philgeps.gov.ph/GEPSNONPILOT/Tender/SplashBidNoticeAbstractUI.aspx?menuIndex=3&amp;refID=7040840&amp;Result=3","7040840")</f>
        <v>0</v>
      </c>
      <c r="B7734" t="s">
        <v>315</v>
      </c>
      <c r="C7734" t="s">
        <v>10442</v>
      </c>
      <c r="D7734" t="s">
        <v>16191</v>
      </c>
      <c r="E7734" t="s">
        <v>23040</v>
      </c>
      <c r="F7734" t="s">
        <v>28200</v>
      </c>
      <c r="G7734" t="s">
        <v>28207</v>
      </c>
      <c r="H7734" t="s">
        <v>28215</v>
      </c>
      <c r="I7734" t="s">
        <v>28262</v>
      </c>
      <c r="J7734" t="s">
        <v>28878</v>
      </c>
      <c r="K7734" t="s">
        <v>36698</v>
      </c>
      <c r="M7734" t="s">
        <v>39515</v>
      </c>
      <c r="N7734" t="s">
        <v>40436</v>
      </c>
      <c r="O7734" t="s">
        <v>40437</v>
      </c>
      <c r="P7734">
        <v>0</v>
      </c>
      <c r="Q7734">
        <v>3</v>
      </c>
      <c r="R7734" t="s">
        <v>40444</v>
      </c>
      <c r="S7734" t="s">
        <v>40676</v>
      </c>
      <c r="T7734" t="s">
        <v>42378</v>
      </c>
      <c r="U7734" t="s">
        <v>49159</v>
      </c>
      <c r="V7734" t="s">
        <v>45350</v>
      </c>
      <c r="W7734" t="s">
        <v>39515</v>
      </c>
      <c r="X7734" t="s">
        <v>40445</v>
      </c>
    </row>
    <row r="7735" spans="1:24">
      <c r="A7735">
        <f>HYPERLINK("https://www.philgeps.gov.ph/GEPSNONPILOT/Tender/SplashBidNoticeAbstractUI.aspx?menuIndex=3&amp;refID=7040788&amp;Result=3","7040788")</f>
        <v>0</v>
      </c>
      <c r="B7735" t="s">
        <v>519</v>
      </c>
      <c r="C7735" t="s">
        <v>10443</v>
      </c>
      <c r="D7735" t="s">
        <v>16190</v>
      </c>
      <c r="E7735" t="s">
        <v>23069</v>
      </c>
      <c r="F7735" t="s">
        <v>28201</v>
      </c>
      <c r="G7735" t="s">
        <v>28207</v>
      </c>
      <c r="H7735" t="s">
        <v>28215</v>
      </c>
      <c r="I7735" t="s">
        <v>5100</v>
      </c>
      <c r="J7735" t="s">
        <v>28691</v>
      </c>
      <c r="K7735" t="s">
        <v>36691</v>
      </c>
      <c r="M7735" t="s">
        <v>37504</v>
      </c>
      <c r="N7735" t="s">
        <v>40436</v>
      </c>
      <c r="O7735" t="s">
        <v>40437</v>
      </c>
      <c r="P7735">
        <v>0</v>
      </c>
      <c r="Q7735">
        <v>0</v>
      </c>
      <c r="R7735" t="s">
        <v>40444</v>
      </c>
      <c r="S7735" t="s">
        <v>40676</v>
      </c>
      <c r="T7735" t="s">
        <v>42245</v>
      </c>
      <c r="U7735" t="s">
        <v>49160</v>
      </c>
      <c r="V7735" t="s">
        <v>54611</v>
      </c>
      <c r="W7735" t="s">
        <v>37504</v>
      </c>
      <c r="X7735" t="s">
        <v>40445</v>
      </c>
    </row>
    <row r="7736" spans="1:24">
      <c r="A7736">
        <f>HYPERLINK("https://www.philgeps.gov.ph/GEPSNONPILOT/Tender/SplashBidNoticeAbstractUI.aspx?menuIndex=3&amp;refID=7040800&amp;Result=3","7040800")</f>
        <v>0</v>
      </c>
      <c r="B7736" t="s">
        <v>1796</v>
      </c>
      <c r="C7736" t="s">
        <v>10444</v>
      </c>
      <c r="E7736" t="s">
        <v>23095</v>
      </c>
      <c r="F7736" t="s">
        <v>28198</v>
      </c>
      <c r="G7736" t="s">
        <v>28205</v>
      </c>
      <c r="H7736" t="s">
        <v>28215</v>
      </c>
      <c r="I7736" t="s">
        <v>28274</v>
      </c>
      <c r="J7736" t="s">
        <v>28921</v>
      </c>
      <c r="K7736" t="s">
        <v>36689</v>
      </c>
      <c r="M7736" t="s">
        <v>38913</v>
      </c>
      <c r="N7736" t="s">
        <v>40436</v>
      </c>
      <c r="O7736" t="s">
        <v>40437</v>
      </c>
      <c r="P7736">
        <v>0</v>
      </c>
      <c r="Q7736">
        <v>1</v>
      </c>
      <c r="R7736" t="s">
        <v>40444</v>
      </c>
      <c r="S7736" t="s">
        <v>40676</v>
      </c>
      <c r="T7736" t="s">
        <v>42457</v>
      </c>
      <c r="U7736" t="s">
        <v>44074</v>
      </c>
      <c r="W7736" t="s">
        <v>38913</v>
      </c>
      <c r="X7736" t="s">
        <v>40445</v>
      </c>
    </row>
    <row r="7737" spans="1:24">
      <c r="A7737">
        <f>HYPERLINK("https://www.philgeps.gov.ph/GEPSNONPILOT/Tender/SplashBidNoticeAbstractUI.aspx?menuIndex=3&amp;refID=7040804&amp;Result=3","7040804")</f>
        <v>0</v>
      </c>
      <c r="B7737" t="s">
        <v>519</v>
      </c>
      <c r="C7737" t="s">
        <v>10445</v>
      </c>
      <c r="D7737" t="s">
        <v>16190</v>
      </c>
      <c r="E7737" t="s">
        <v>23069</v>
      </c>
      <c r="F7737" t="s">
        <v>28201</v>
      </c>
      <c r="G7737" t="s">
        <v>28207</v>
      </c>
      <c r="H7737" t="s">
        <v>28215</v>
      </c>
      <c r="I7737" t="s">
        <v>4219</v>
      </c>
      <c r="J7737" t="s">
        <v>29900</v>
      </c>
      <c r="K7737" t="s">
        <v>36691</v>
      </c>
      <c r="M7737" t="s">
        <v>37504</v>
      </c>
      <c r="N7737" t="s">
        <v>40436</v>
      </c>
      <c r="O7737" t="s">
        <v>40437</v>
      </c>
      <c r="P7737">
        <v>0</v>
      </c>
      <c r="Q7737">
        <v>0</v>
      </c>
      <c r="R7737" t="s">
        <v>40444</v>
      </c>
      <c r="S7737" t="s">
        <v>40676</v>
      </c>
      <c r="T7737" t="s">
        <v>42245</v>
      </c>
      <c r="U7737" t="s">
        <v>49161</v>
      </c>
      <c r="W7737" t="s">
        <v>37504</v>
      </c>
      <c r="X7737" t="s">
        <v>40445</v>
      </c>
    </row>
    <row r="7738" spans="1:24">
      <c r="A7738">
        <f>HYPERLINK("https://www.philgeps.gov.ph/GEPSNONPILOT/Tender/SplashBidNoticeAbstractUI.aspx?menuIndex=3&amp;refID=7040842&amp;Result=3","7040842")</f>
        <v>0</v>
      </c>
      <c r="B7738" t="s">
        <v>512</v>
      </c>
      <c r="C7738" t="s">
        <v>10446</v>
      </c>
      <c r="D7738" t="s">
        <v>16200</v>
      </c>
      <c r="E7738" t="s">
        <v>23096</v>
      </c>
      <c r="F7738" t="s">
        <v>28198</v>
      </c>
      <c r="G7738" t="s">
        <v>28205</v>
      </c>
      <c r="H7738" t="s">
        <v>28214</v>
      </c>
      <c r="I7738" t="s">
        <v>3797</v>
      </c>
      <c r="J7738" t="s">
        <v>29552</v>
      </c>
      <c r="K7738" t="s">
        <v>36692</v>
      </c>
      <c r="M7738" t="s">
        <v>37497</v>
      </c>
      <c r="N7738" t="s">
        <v>40436</v>
      </c>
      <c r="O7738" t="s">
        <v>40437</v>
      </c>
      <c r="P7738">
        <v>0</v>
      </c>
      <c r="Q7738">
        <v>1</v>
      </c>
      <c r="R7738" t="s">
        <v>40444</v>
      </c>
      <c r="S7738" t="s">
        <v>40676</v>
      </c>
      <c r="T7738" t="s">
        <v>42234</v>
      </c>
      <c r="U7738" t="s">
        <v>49162</v>
      </c>
      <c r="V7738" t="s">
        <v>54610</v>
      </c>
      <c r="W7738" t="s">
        <v>37497</v>
      </c>
      <c r="X7738" t="s">
        <v>40445</v>
      </c>
    </row>
    <row r="7739" spans="1:24">
      <c r="A7739">
        <f>HYPERLINK("https://www.philgeps.gov.ph/GEPSNONPILOT/Tender/SplashBidNoticeAbstractUI.aspx?menuIndex=3&amp;refID=7040845&amp;Result=3","7040845")</f>
        <v>0</v>
      </c>
      <c r="B7739" t="s">
        <v>1484</v>
      </c>
      <c r="C7739" t="s">
        <v>10447</v>
      </c>
      <c r="D7739" t="s">
        <v>16246</v>
      </c>
      <c r="E7739" t="s">
        <v>23097</v>
      </c>
      <c r="F7739" t="s">
        <v>28198</v>
      </c>
      <c r="G7739" t="s">
        <v>28205</v>
      </c>
      <c r="H7739" t="s">
        <v>28215</v>
      </c>
      <c r="I7739" t="s">
        <v>28243</v>
      </c>
      <c r="J7739" t="s">
        <v>31485</v>
      </c>
      <c r="K7739" t="s">
        <v>36706</v>
      </c>
      <c r="M7739" t="s">
        <v>38556</v>
      </c>
      <c r="N7739" t="s">
        <v>40436</v>
      </c>
      <c r="O7739" t="s">
        <v>40437</v>
      </c>
      <c r="P7739">
        <v>0</v>
      </c>
      <c r="Q7739">
        <v>0</v>
      </c>
      <c r="R7739" t="s">
        <v>40444</v>
      </c>
      <c r="S7739" t="s">
        <v>40676</v>
      </c>
      <c r="T7739" t="s">
        <v>42158</v>
      </c>
      <c r="U7739" t="s">
        <v>49163</v>
      </c>
      <c r="V7739" t="s">
        <v>54150</v>
      </c>
      <c r="W7739" t="s">
        <v>38556</v>
      </c>
      <c r="X7739" t="s">
        <v>40445</v>
      </c>
    </row>
    <row r="7740" spans="1:24">
      <c r="A7740">
        <f>HYPERLINK("https://www.philgeps.gov.ph/GEPSNONPILOT/Tender/SplashBidNoticeAbstractUI.aspx?menuIndex=3&amp;refID=7040813&amp;Result=3","7040813")</f>
        <v>0</v>
      </c>
      <c r="B7740" t="s">
        <v>2350</v>
      </c>
      <c r="C7740" t="s">
        <v>10448</v>
      </c>
      <c r="E7740" t="s">
        <v>23098</v>
      </c>
      <c r="F7740" t="s">
        <v>28198</v>
      </c>
      <c r="G7740" t="s">
        <v>28205</v>
      </c>
      <c r="H7740" t="s">
        <v>28215</v>
      </c>
      <c r="I7740" t="s">
        <v>28224</v>
      </c>
      <c r="J7740" t="s">
        <v>33199</v>
      </c>
      <c r="K7740" t="s">
        <v>36689</v>
      </c>
      <c r="M7740" t="s">
        <v>39530</v>
      </c>
      <c r="N7740" t="s">
        <v>40436</v>
      </c>
      <c r="O7740" t="s">
        <v>40437</v>
      </c>
      <c r="P7740">
        <v>0</v>
      </c>
      <c r="Q7740">
        <v>1</v>
      </c>
      <c r="R7740" t="s">
        <v>40444</v>
      </c>
      <c r="S7740" t="s">
        <v>40676</v>
      </c>
      <c r="T7740" t="s">
        <v>42168</v>
      </c>
      <c r="U7740" t="s">
        <v>49164</v>
      </c>
      <c r="W7740" t="s">
        <v>39530</v>
      </c>
      <c r="X7740" t="s">
        <v>40445</v>
      </c>
    </row>
    <row r="7741" spans="1:24">
      <c r="A7741">
        <f>HYPERLINK("https://www.philgeps.gov.ph/GEPSNONPILOT/Tender/SplashBidNoticeAbstractUI.aspx?menuIndex=3&amp;refID=7040784&amp;Result=3","7040784")</f>
        <v>0</v>
      </c>
      <c r="B7741" t="s">
        <v>390</v>
      </c>
      <c r="C7741" t="s">
        <v>10449</v>
      </c>
      <c r="D7741" t="s">
        <v>16235</v>
      </c>
      <c r="E7741" t="s">
        <v>23099</v>
      </c>
      <c r="F7741" t="s">
        <v>28198</v>
      </c>
      <c r="G7741" t="s">
        <v>28209</v>
      </c>
      <c r="H7741" t="s">
        <v>28215</v>
      </c>
      <c r="I7741" t="s">
        <v>28273</v>
      </c>
      <c r="J7741" t="s">
        <v>28730</v>
      </c>
      <c r="K7741" t="s">
        <v>36701</v>
      </c>
      <c r="M7741" t="s">
        <v>37370</v>
      </c>
      <c r="N7741" t="s">
        <v>40436</v>
      </c>
      <c r="O7741" t="s">
        <v>40437</v>
      </c>
      <c r="P7741">
        <v>0</v>
      </c>
      <c r="Q7741">
        <v>6</v>
      </c>
      <c r="R7741" t="s">
        <v>40444</v>
      </c>
      <c r="S7741" t="s">
        <v>40676</v>
      </c>
      <c r="T7741" t="s">
        <v>42134</v>
      </c>
      <c r="U7741" t="s">
        <v>49165</v>
      </c>
      <c r="W7741" t="s">
        <v>37370</v>
      </c>
      <c r="X7741" t="s">
        <v>40445</v>
      </c>
    </row>
    <row r="7742" spans="1:24">
      <c r="A7742">
        <f>HYPERLINK("https://www.philgeps.gov.ph/GEPSNONPILOT/Tender/SplashBidNoticeAbstractUI.aspx?menuIndex=3&amp;refID=7040841&amp;Result=3","7040841")</f>
        <v>0</v>
      </c>
      <c r="B7742" t="s">
        <v>2303</v>
      </c>
      <c r="C7742" t="s">
        <v>10450</v>
      </c>
      <c r="D7742" t="s">
        <v>16271</v>
      </c>
      <c r="E7742" t="s">
        <v>23100</v>
      </c>
      <c r="F7742" t="s">
        <v>28198</v>
      </c>
      <c r="G7742" t="s">
        <v>28207</v>
      </c>
      <c r="H7742" t="s">
        <v>28215</v>
      </c>
      <c r="I7742" t="s">
        <v>28266</v>
      </c>
      <c r="J7742" t="s">
        <v>28593</v>
      </c>
      <c r="K7742" t="s">
        <v>36701</v>
      </c>
      <c r="M7742" t="s">
        <v>39478</v>
      </c>
      <c r="N7742" t="s">
        <v>40436</v>
      </c>
      <c r="O7742" t="s">
        <v>40437</v>
      </c>
      <c r="P7742">
        <v>0</v>
      </c>
      <c r="Q7742">
        <v>0</v>
      </c>
      <c r="R7742" t="s">
        <v>40444</v>
      </c>
      <c r="S7742" t="s">
        <v>40676</v>
      </c>
      <c r="T7742" t="s">
        <v>42277</v>
      </c>
      <c r="U7742" t="s">
        <v>49166</v>
      </c>
      <c r="W7742" t="s">
        <v>39478</v>
      </c>
      <c r="X7742" t="s">
        <v>40445</v>
      </c>
    </row>
    <row r="7743" spans="1:24">
      <c r="A7743">
        <f>HYPERLINK("https://www.philgeps.gov.ph/GEPSNONPILOT/Tender/SplashBidNoticeAbstractUI.aspx?menuIndex=3&amp;refID=7040844&amp;Result=3","7040844")</f>
        <v>0</v>
      </c>
      <c r="B7743" t="s">
        <v>512</v>
      </c>
      <c r="C7743" t="s">
        <v>10451</v>
      </c>
      <c r="D7743" t="s">
        <v>16200</v>
      </c>
      <c r="E7743" t="s">
        <v>23101</v>
      </c>
      <c r="F7743" t="s">
        <v>28198</v>
      </c>
      <c r="G7743" t="s">
        <v>28205</v>
      </c>
      <c r="H7743" t="s">
        <v>28214</v>
      </c>
      <c r="I7743" t="s">
        <v>3797</v>
      </c>
      <c r="J7743" t="s">
        <v>32323</v>
      </c>
      <c r="K7743" t="s">
        <v>36690</v>
      </c>
      <c r="M7743" t="s">
        <v>37497</v>
      </c>
      <c r="N7743" t="s">
        <v>40436</v>
      </c>
      <c r="O7743" t="s">
        <v>40437</v>
      </c>
      <c r="P7743">
        <v>0</v>
      </c>
      <c r="Q7743">
        <v>0</v>
      </c>
      <c r="R7743" t="s">
        <v>40444</v>
      </c>
      <c r="S7743" t="s">
        <v>40676</v>
      </c>
      <c r="T7743" t="s">
        <v>42234</v>
      </c>
      <c r="U7743" t="s">
        <v>49167</v>
      </c>
      <c r="V7743" t="s">
        <v>54610</v>
      </c>
      <c r="W7743" t="s">
        <v>37497</v>
      </c>
      <c r="X7743" t="s">
        <v>40445</v>
      </c>
    </row>
    <row r="7744" spans="1:24">
      <c r="A7744">
        <f>HYPERLINK("https://www.philgeps.gov.ph/GEPSNONPILOT/Tender/SplashBidNoticeAbstractUI.aspx?menuIndex=3&amp;refID=7040843&amp;Result=3","7040843")</f>
        <v>0</v>
      </c>
      <c r="B7744" t="s">
        <v>2351</v>
      </c>
      <c r="C7744" t="s">
        <v>10452</v>
      </c>
      <c r="D7744" t="s">
        <v>16197</v>
      </c>
      <c r="E7744" t="s">
        <v>17248</v>
      </c>
      <c r="F7744" t="s">
        <v>28198</v>
      </c>
      <c r="G7744" t="s">
        <v>28206</v>
      </c>
      <c r="H7744" t="s">
        <v>28215</v>
      </c>
      <c r="I7744" t="s">
        <v>5656</v>
      </c>
      <c r="J7744" t="s">
        <v>33200</v>
      </c>
      <c r="K7744" t="s">
        <v>36689</v>
      </c>
      <c r="M7744" t="s">
        <v>39531</v>
      </c>
      <c r="N7744" t="s">
        <v>40436</v>
      </c>
      <c r="O7744" t="s">
        <v>40437</v>
      </c>
      <c r="P7744">
        <v>0</v>
      </c>
      <c r="Q7744">
        <v>0</v>
      </c>
      <c r="R7744" t="s">
        <v>40444</v>
      </c>
      <c r="S7744" t="s">
        <v>40676</v>
      </c>
      <c r="T7744" t="s">
        <v>42245</v>
      </c>
      <c r="U7744" t="s">
        <v>49168</v>
      </c>
      <c r="W7744" t="s">
        <v>39531</v>
      </c>
      <c r="X7744" t="s">
        <v>40445</v>
      </c>
    </row>
    <row r="7745" spans="1:24">
      <c r="A7745">
        <f>HYPERLINK("https://www.philgeps.gov.ph/GEPSNONPILOT/Tender/SplashBidNoticeAbstractUI.aspx?menuIndex=3&amp;refID=7040846&amp;Result=3","7040846")</f>
        <v>0</v>
      </c>
      <c r="B7745" t="s">
        <v>2352</v>
      </c>
      <c r="C7745" t="s">
        <v>10453</v>
      </c>
      <c r="D7745" t="s">
        <v>16239</v>
      </c>
      <c r="E7745" t="s">
        <v>23102</v>
      </c>
      <c r="F7745" t="s">
        <v>28198</v>
      </c>
      <c r="G7745" t="s">
        <v>28205</v>
      </c>
      <c r="H7745" t="s">
        <v>28214</v>
      </c>
      <c r="I7745" t="s">
        <v>3797</v>
      </c>
      <c r="J7745" t="s">
        <v>31114</v>
      </c>
      <c r="K7745" t="s">
        <v>36812</v>
      </c>
      <c r="M7745" t="s">
        <v>39532</v>
      </c>
      <c r="N7745" t="s">
        <v>40436</v>
      </c>
      <c r="O7745" t="s">
        <v>40437</v>
      </c>
      <c r="P7745">
        <v>0</v>
      </c>
      <c r="Q7745">
        <v>3</v>
      </c>
      <c r="R7745" t="s">
        <v>40444</v>
      </c>
      <c r="S7745" t="s">
        <v>40676</v>
      </c>
      <c r="T7745" t="s">
        <v>42168</v>
      </c>
      <c r="U7745" t="s">
        <v>49169</v>
      </c>
      <c r="V7745" t="s">
        <v>54612</v>
      </c>
      <c r="W7745" t="s">
        <v>39532</v>
      </c>
      <c r="X7745" t="s">
        <v>40445</v>
      </c>
    </row>
    <row r="7746" spans="1:24">
      <c r="A7746">
        <f>HYPERLINK("https://www.philgeps.gov.ph/GEPSNONPILOT/Tender/SplashBidNoticeAbstractUI.aspx?menuIndex=3&amp;refID=7040864&amp;Result=3","7040864")</f>
        <v>0</v>
      </c>
      <c r="B7746" t="s">
        <v>519</v>
      </c>
      <c r="C7746" t="s">
        <v>10454</v>
      </c>
      <c r="D7746" t="s">
        <v>16190</v>
      </c>
      <c r="E7746" t="s">
        <v>23069</v>
      </c>
      <c r="F7746" t="s">
        <v>28201</v>
      </c>
      <c r="G7746" t="s">
        <v>28207</v>
      </c>
      <c r="H7746" t="s">
        <v>28215</v>
      </c>
      <c r="I7746" t="s">
        <v>6051</v>
      </c>
      <c r="J7746" t="s">
        <v>28486</v>
      </c>
      <c r="K7746" t="s">
        <v>36691</v>
      </c>
      <c r="M7746" t="s">
        <v>37504</v>
      </c>
      <c r="N7746" t="s">
        <v>40436</v>
      </c>
      <c r="O7746" t="s">
        <v>40437</v>
      </c>
      <c r="P7746">
        <v>0</v>
      </c>
      <c r="Q7746">
        <v>0</v>
      </c>
      <c r="R7746" t="s">
        <v>40444</v>
      </c>
      <c r="S7746" t="s">
        <v>40676</v>
      </c>
      <c r="T7746" t="s">
        <v>42245</v>
      </c>
      <c r="U7746" t="s">
        <v>49170</v>
      </c>
      <c r="W7746" t="s">
        <v>37504</v>
      </c>
      <c r="X7746" t="s">
        <v>40445</v>
      </c>
    </row>
    <row r="7747" spans="1:24">
      <c r="A7747">
        <f>HYPERLINK("https://www.philgeps.gov.ph/GEPSNONPILOT/Tender/SplashBidNoticeAbstractUI.aspx?menuIndex=3&amp;refID=7040851&amp;Result=3","7040851")</f>
        <v>0</v>
      </c>
      <c r="B7747" t="s">
        <v>2350</v>
      </c>
      <c r="C7747" t="s">
        <v>10455</v>
      </c>
      <c r="E7747" t="s">
        <v>23103</v>
      </c>
      <c r="F7747" t="s">
        <v>28198</v>
      </c>
      <c r="G7747" t="s">
        <v>28205</v>
      </c>
      <c r="H7747" t="s">
        <v>28215</v>
      </c>
      <c r="I7747" t="s">
        <v>28224</v>
      </c>
      <c r="J7747" t="s">
        <v>33201</v>
      </c>
      <c r="K7747" t="s">
        <v>36689</v>
      </c>
      <c r="M7747" t="s">
        <v>39530</v>
      </c>
      <c r="N7747" t="s">
        <v>40436</v>
      </c>
      <c r="O7747" t="s">
        <v>40437</v>
      </c>
      <c r="P7747">
        <v>0</v>
      </c>
      <c r="Q7747">
        <v>1</v>
      </c>
      <c r="R7747" t="s">
        <v>40444</v>
      </c>
      <c r="S7747" t="s">
        <v>40676</v>
      </c>
      <c r="T7747" t="s">
        <v>42168</v>
      </c>
      <c r="U7747" t="s">
        <v>49171</v>
      </c>
      <c r="W7747" t="s">
        <v>39530</v>
      </c>
      <c r="X7747" t="s">
        <v>40445</v>
      </c>
    </row>
    <row r="7748" spans="1:24">
      <c r="A7748">
        <f>HYPERLINK("https://www.philgeps.gov.ph/GEPSNONPILOT/Tender/SplashBidNoticeAbstractUI.aspx?menuIndex=3&amp;refID=7040850&amp;Result=3","7040850")</f>
        <v>0</v>
      </c>
      <c r="B7748" t="s">
        <v>2303</v>
      </c>
      <c r="C7748" t="s">
        <v>10456</v>
      </c>
      <c r="D7748" t="s">
        <v>16271</v>
      </c>
      <c r="E7748" t="s">
        <v>23104</v>
      </c>
      <c r="F7748" t="s">
        <v>28198</v>
      </c>
      <c r="G7748" t="s">
        <v>28210</v>
      </c>
      <c r="H7748" t="s">
        <v>28215</v>
      </c>
      <c r="I7748" t="s">
        <v>4505</v>
      </c>
      <c r="J7748" t="s">
        <v>33202</v>
      </c>
      <c r="K7748" t="s">
        <v>36701</v>
      </c>
      <c r="M7748" t="s">
        <v>39478</v>
      </c>
      <c r="N7748" t="s">
        <v>40436</v>
      </c>
      <c r="O7748" t="s">
        <v>40437</v>
      </c>
      <c r="P7748">
        <v>0</v>
      </c>
      <c r="Q7748">
        <v>6</v>
      </c>
      <c r="R7748" t="s">
        <v>40444</v>
      </c>
      <c r="S7748" t="s">
        <v>40676</v>
      </c>
      <c r="T7748" t="s">
        <v>42277</v>
      </c>
      <c r="U7748" t="s">
        <v>49172</v>
      </c>
      <c r="W7748" t="s">
        <v>39478</v>
      </c>
      <c r="X7748" t="s">
        <v>40445</v>
      </c>
    </row>
    <row r="7749" spans="1:24">
      <c r="A7749">
        <f>HYPERLINK("https://www.philgeps.gov.ph/GEPSNONPILOT/Tender/SplashBidNoticeAbstractUI.aspx?menuIndex=3&amp;refID=7040866&amp;Result=3","7040866")</f>
        <v>0</v>
      </c>
      <c r="B7749" t="s">
        <v>2353</v>
      </c>
      <c r="C7749" t="s">
        <v>10457</v>
      </c>
      <c r="D7749" t="s">
        <v>16203</v>
      </c>
      <c r="E7749" t="s">
        <v>23105</v>
      </c>
      <c r="F7749" t="s">
        <v>28198</v>
      </c>
      <c r="G7749" t="s">
        <v>28209</v>
      </c>
      <c r="H7749" t="s">
        <v>28215</v>
      </c>
      <c r="I7749" t="s">
        <v>4505</v>
      </c>
      <c r="J7749" t="s">
        <v>33203</v>
      </c>
      <c r="K7749" t="s">
        <v>36707</v>
      </c>
      <c r="M7749" t="s">
        <v>39533</v>
      </c>
      <c r="N7749" t="s">
        <v>40436</v>
      </c>
      <c r="O7749" t="s">
        <v>40437</v>
      </c>
      <c r="P7749">
        <v>0</v>
      </c>
      <c r="Q7749">
        <v>2</v>
      </c>
      <c r="R7749" t="s">
        <v>40444</v>
      </c>
      <c r="S7749" t="s">
        <v>40676</v>
      </c>
      <c r="T7749" t="s">
        <v>42158</v>
      </c>
      <c r="U7749" t="s">
        <v>49173</v>
      </c>
      <c r="W7749" t="s">
        <v>39533</v>
      </c>
      <c r="X7749" t="s">
        <v>40445</v>
      </c>
    </row>
    <row r="7750" spans="1:24">
      <c r="A7750">
        <f>HYPERLINK("https://www.philgeps.gov.ph/GEPSNONPILOT/Tender/SplashBidNoticeAbstractUI.aspx?menuIndex=3&amp;refID=7040847&amp;Result=3","7040847")</f>
        <v>0</v>
      </c>
      <c r="B7750" t="s">
        <v>512</v>
      </c>
      <c r="C7750" t="s">
        <v>10458</v>
      </c>
      <c r="D7750" t="s">
        <v>16200</v>
      </c>
      <c r="E7750" t="s">
        <v>23106</v>
      </c>
      <c r="F7750" t="s">
        <v>28198</v>
      </c>
      <c r="G7750" t="s">
        <v>28205</v>
      </c>
      <c r="H7750" t="s">
        <v>28214</v>
      </c>
      <c r="I7750" t="s">
        <v>3797</v>
      </c>
      <c r="J7750" t="s">
        <v>29552</v>
      </c>
      <c r="K7750" t="s">
        <v>36692</v>
      </c>
      <c r="M7750" t="s">
        <v>37497</v>
      </c>
      <c r="N7750" t="s">
        <v>40436</v>
      </c>
      <c r="O7750" t="s">
        <v>40437</v>
      </c>
      <c r="P7750">
        <v>0</v>
      </c>
      <c r="Q7750">
        <v>0</v>
      </c>
      <c r="R7750" t="s">
        <v>40444</v>
      </c>
      <c r="S7750" t="s">
        <v>40676</v>
      </c>
      <c r="T7750" t="s">
        <v>42234</v>
      </c>
      <c r="U7750" t="s">
        <v>49162</v>
      </c>
      <c r="V7750" t="s">
        <v>54610</v>
      </c>
      <c r="W7750" t="s">
        <v>37497</v>
      </c>
      <c r="X7750" t="s">
        <v>40445</v>
      </c>
    </row>
    <row r="7751" spans="1:24">
      <c r="A7751">
        <f>HYPERLINK("https://www.philgeps.gov.ph/GEPSNONPILOT/Tender/SplashBidNoticeAbstractUI.aspx?menuIndex=3&amp;refID=7040863&amp;Result=3","7040863")</f>
        <v>0</v>
      </c>
      <c r="B7751" t="s">
        <v>2303</v>
      </c>
      <c r="C7751" t="s">
        <v>10459</v>
      </c>
      <c r="D7751" t="s">
        <v>16271</v>
      </c>
      <c r="E7751" t="s">
        <v>23107</v>
      </c>
      <c r="F7751" t="s">
        <v>28198</v>
      </c>
      <c r="G7751" t="s">
        <v>28210</v>
      </c>
      <c r="H7751" t="s">
        <v>28215</v>
      </c>
      <c r="I7751" t="s">
        <v>4505</v>
      </c>
      <c r="J7751" t="s">
        <v>29023</v>
      </c>
      <c r="K7751" t="s">
        <v>36701</v>
      </c>
      <c r="M7751" t="s">
        <v>39478</v>
      </c>
      <c r="N7751" t="s">
        <v>40436</v>
      </c>
      <c r="O7751" t="s">
        <v>40437</v>
      </c>
      <c r="P7751">
        <v>0</v>
      </c>
      <c r="Q7751">
        <v>7</v>
      </c>
      <c r="R7751" t="s">
        <v>40444</v>
      </c>
      <c r="S7751" t="s">
        <v>40676</v>
      </c>
      <c r="T7751" t="s">
        <v>42277</v>
      </c>
      <c r="U7751" t="s">
        <v>49174</v>
      </c>
      <c r="W7751" t="s">
        <v>39478</v>
      </c>
      <c r="X7751" t="s">
        <v>40445</v>
      </c>
    </row>
    <row r="7752" spans="1:24">
      <c r="A7752">
        <f>HYPERLINK("https://www.philgeps.gov.ph/GEPSNONPILOT/Tender/SplashBidNoticeAbstractUI.aspx?menuIndex=3&amp;refID=7040862&amp;Result=3","7040862")</f>
        <v>0</v>
      </c>
      <c r="B7752" t="s">
        <v>2354</v>
      </c>
      <c r="C7752" t="s">
        <v>10460</v>
      </c>
      <c r="D7752" t="s">
        <v>16210</v>
      </c>
      <c r="E7752" t="s">
        <v>23108</v>
      </c>
      <c r="F7752" t="s">
        <v>28198</v>
      </c>
      <c r="G7752" t="s">
        <v>28205</v>
      </c>
      <c r="H7752" t="s">
        <v>28216</v>
      </c>
      <c r="I7752" t="s">
        <v>28216</v>
      </c>
      <c r="J7752" t="s">
        <v>30991</v>
      </c>
      <c r="K7752" t="s">
        <v>36692</v>
      </c>
      <c r="M7752" t="s">
        <v>39534</v>
      </c>
      <c r="N7752" t="s">
        <v>40436</v>
      </c>
      <c r="O7752" t="s">
        <v>40437</v>
      </c>
      <c r="P7752">
        <v>0</v>
      </c>
      <c r="Q7752">
        <v>8</v>
      </c>
      <c r="R7752" t="s">
        <v>40444</v>
      </c>
      <c r="S7752" t="s">
        <v>40676</v>
      </c>
      <c r="T7752" t="s">
        <v>42504</v>
      </c>
      <c r="U7752" t="s">
        <v>49175</v>
      </c>
      <c r="W7752" t="s">
        <v>39534</v>
      </c>
      <c r="X7752" t="s">
        <v>40445</v>
      </c>
    </row>
    <row r="7753" spans="1:24">
      <c r="A7753">
        <f>HYPERLINK("https://www.philgeps.gov.ph/GEPSNONPILOT/Tender/SplashBidNoticeAbstractUI.aspx?menuIndex=3&amp;refID=7040849&amp;Result=3","7040849")</f>
        <v>0</v>
      </c>
      <c r="B7753" t="s">
        <v>2355</v>
      </c>
      <c r="C7753" t="s">
        <v>10461</v>
      </c>
      <c r="D7753" t="s">
        <v>16210</v>
      </c>
      <c r="E7753" t="s">
        <v>23109</v>
      </c>
      <c r="F7753" t="s">
        <v>28198</v>
      </c>
      <c r="G7753" t="s">
        <v>28205</v>
      </c>
      <c r="H7753" t="s">
        <v>28214</v>
      </c>
      <c r="I7753" t="s">
        <v>3797</v>
      </c>
      <c r="J7753" t="s">
        <v>33204</v>
      </c>
      <c r="K7753" t="s">
        <v>36690</v>
      </c>
      <c r="M7753" t="s">
        <v>39535</v>
      </c>
      <c r="N7753" t="s">
        <v>40436</v>
      </c>
      <c r="O7753" t="s">
        <v>40437</v>
      </c>
      <c r="P7753">
        <v>0</v>
      </c>
      <c r="Q7753">
        <v>36</v>
      </c>
      <c r="R7753" t="s">
        <v>40444</v>
      </c>
      <c r="S7753" t="s">
        <v>40676</v>
      </c>
      <c r="T7753" t="s">
        <v>42234</v>
      </c>
      <c r="U7753" t="s">
        <v>49176</v>
      </c>
      <c r="W7753" t="s">
        <v>39535</v>
      </c>
      <c r="X7753" t="s">
        <v>40445</v>
      </c>
    </row>
    <row r="7754" spans="1:24">
      <c r="A7754">
        <f>HYPERLINK("https://www.philgeps.gov.ph/GEPSNONPILOT/Tender/SplashBidNoticeAbstractUI.aspx?menuIndex=3&amp;refID=7040861&amp;Result=3","7040861")</f>
        <v>0</v>
      </c>
      <c r="B7754" t="s">
        <v>2355</v>
      </c>
      <c r="C7754" t="s">
        <v>10462</v>
      </c>
      <c r="D7754" t="s">
        <v>16210</v>
      </c>
      <c r="E7754" t="s">
        <v>23110</v>
      </c>
      <c r="F7754" t="s">
        <v>28198</v>
      </c>
      <c r="G7754" t="s">
        <v>28205</v>
      </c>
      <c r="H7754" t="s">
        <v>28214</v>
      </c>
      <c r="I7754" t="s">
        <v>3797</v>
      </c>
      <c r="J7754" t="s">
        <v>33205</v>
      </c>
      <c r="K7754" t="s">
        <v>36690</v>
      </c>
      <c r="M7754" t="s">
        <v>39535</v>
      </c>
      <c r="N7754" t="s">
        <v>40436</v>
      </c>
      <c r="O7754" t="s">
        <v>40437</v>
      </c>
      <c r="P7754">
        <v>0</v>
      </c>
      <c r="Q7754">
        <v>23</v>
      </c>
      <c r="R7754" t="s">
        <v>40444</v>
      </c>
      <c r="S7754" t="s">
        <v>40676</v>
      </c>
      <c r="T7754" t="s">
        <v>42234</v>
      </c>
      <c r="U7754" t="s">
        <v>49176</v>
      </c>
      <c r="W7754" t="s">
        <v>39535</v>
      </c>
      <c r="X7754" t="s">
        <v>40445</v>
      </c>
    </row>
    <row r="7755" spans="1:24">
      <c r="A7755">
        <f>HYPERLINK("https://www.philgeps.gov.ph/GEPSNONPILOT/Tender/SplashBidNoticeAbstractUI.aspx?menuIndex=3&amp;refID=7040881&amp;Result=3","7040881")</f>
        <v>0</v>
      </c>
      <c r="B7755" t="s">
        <v>2355</v>
      </c>
      <c r="C7755" t="s">
        <v>10463</v>
      </c>
      <c r="D7755" t="s">
        <v>16210</v>
      </c>
      <c r="E7755" t="s">
        <v>23111</v>
      </c>
      <c r="F7755" t="s">
        <v>28198</v>
      </c>
      <c r="G7755" t="s">
        <v>28205</v>
      </c>
      <c r="H7755" t="s">
        <v>28214</v>
      </c>
      <c r="I7755" t="s">
        <v>3797</v>
      </c>
      <c r="J7755" t="s">
        <v>33206</v>
      </c>
      <c r="K7755" t="s">
        <v>36697</v>
      </c>
      <c r="M7755" t="s">
        <v>39535</v>
      </c>
      <c r="N7755" t="s">
        <v>40436</v>
      </c>
      <c r="O7755" t="s">
        <v>40437</v>
      </c>
      <c r="P7755">
        <v>0</v>
      </c>
      <c r="Q7755">
        <v>21</v>
      </c>
      <c r="R7755" t="s">
        <v>40444</v>
      </c>
      <c r="S7755" t="s">
        <v>40676</v>
      </c>
      <c r="T7755" t="s">
        <v>42234</v>
      </c>
      <c r="U7755" t="s">
        <v>49176</v>
      </c>
      <c r="W7755" t="s">
        <v>39535</v>
      </c>
      <c r="X7755" t="s">
        <v>40445</v>
      </c>
    </row>
    <row r="7756" spans="1:24">
      <c r="A7756">
        <f>HYPERLINK("https://www.philgeps.gov.ph/GEPSNONPILOT/Tender/SplashBidNoticeAbstractUI.aspx?menuIndex=3&amp;refID=7040879&amp;Result=3","7040879")</f>
        <v>0</v>
      </c>
      <c r="B7756" t="s">
        <v>2356</v>
      </c>
      <c r="C7756" t="s">
        <v>10464</v>
      </c>
      <c r="D7756" t="s">
        <v>16264</v>
      </c>
      <c r="E7756" t="s">
        <v>23112</v>
      </c>
      <c r="F7756" t="s">
        <v>28198</v>
      </c>
      <c r="G7756" t="s">
        <v>28205</v>
      </c>
      <c r="H7756" t="s">
        <v>28215</v>
      </c>
      <c r="I7756" t="s">
        <v>5082</v>
      </c>
      <c r="J7756" t="s">
        <v>33207</v>
      </c>
      <c r="K7756" t="s">
        <v>36687</v>
      </c>
      <c r="M7756" t="s">
        <v>39536</v>
      </c>
      <c r="N7756" t="s">
        <v>40436</v>
      </c>
      <c r="O7756" t="s">
        <v>40437</v>
      </c>
      <c r="P7756">
        <v>0</v>
      </c>
      <c r="Q7756">
        <v>2</v>
      </c>
      <c r="R7756" t="s">
        <v>40444</v>
      </c>
      <c r="S7756" t="s">
        <v>40676</v>
      </c>
      <c r="T7756" t="s">
        <v>42505</v>
      </c>
      <c r="U7756" t="s">
        <v>49177</v>
      </c>
      <c r="W7756" t="s">
        <v>39536</v>
      </c>
      <c r="X7756" t="s">
        <v>40445</v>
      </c>
    </row>
    <row r="7757" spans="1:24">
      <c r="A7757">
        <f>HYPERLINK("https://www.philgeps.gov.ph/GEPSNONPILOT/Tender/SplashBidNoticeAbstractUI.aspx?menuIndex=3&amp;refID=7040853&amp;Result=3","7040853")</f>
        <v>0</v>
      </c>
      <c r="B7757" t="s">
        <v>2353</v>
      </c>
      <c r="C7757" t="s">
        <v>10465</v>
      </c>
      <c r="D7757" t="s">
        <v>16203</v>
      </c>
      <c r="E7757" t="s">
        <v>23113</v>
      </c>
      <c r="F7757" t="s">
        <v>28198</v>
      </c>
      <c r="G7757" t="s">
        <v>28209</v>
      </c>
      <c r="H7757" t="s">
        <v>28215</v>
      </c>
      <c r="I7757" t="s">
        <v>4505</v>
      </c>
      <c r="J7757" t="s">
        <v>33208</v>
      </c>
      <c r="K7757" t="s">
        <v>36707</v>
      </c>
      <c r="M7757" t="s">
        <v>39533</v>
      </c>
      <c r="N7757" t="s">
        <v>40436</v>
      </c>
      <c r="O7757" t="s">
        <v>40437</v>
      </c>
      <c r="P7757">
        <v>0</v>
      </c>
      <c r="Q7757">
        <v>3</v>
      </c>
      <c r="R7757" t="s">
        <v>40444</v>
      </c>
      <c r="S7757" t="s">
        <v>40676</v>
      </c>
      <c r="T7757" t="s">
        <v>42158</v>
      </c>
      <c r="U7757" t="s">
        <v>49178</v>
      </c>
      <c r="W7757" t="s">
        <v>39533</v>
      </c>
      <c r="X7757" t="s">
        <v>40445</v>
      </c>
    </row>
    <row r="7758" spans="1:24">
      <c r="A7758">
        <f>HYPERLINK("https://www.philgeps.gov.ph/GEPSNONPILOT/Tender/SplashBidNoticeAbstractUI.aspx?menuIndex=3&amp;refID=7040874&amp;Result=3","7040874")</f>
        <v>0</v>
      </c>
      <c r="B7758" t="s">
        <v>2357</v>
      </c>
      <c r="C7758" t="s">
        <v>10466</v>
      </c>
      <c r="D7758" t="s">
        <v>16209</v>
      </c>
      <c r="E7758" t="s">
        <v>18821</v>
      </c>
      <c r="F7758" t="s">
        <v>28198</v>
      </c>
      <c r="G7758" t="s">
        <v>28205</v>
      </c>
      <c r="H7758" t="s">
        <v>28215</v>
      </c>
      <c r="I7758" t="s">
        <v>28227</v>
      </c>
      <c r="J7758" t="s">
        <v>33209</v>
      </c>
      <c r="K7758" t="s">
        <v>36688</v>
      </c>
      <c r="M7758" t="s">
        <v>39537</v>
      </c>
      <c r="N7758" t="s">
        <v>40436</v>
      </c>
      <c r="O7758" t="s">
        <v>40437</v>
      </c>
      <c r="P7758">
        <v>0</v>
      </c>
      <c r="Q7758">
        <v>0</v>
      </c>
      <c r="R7758" t="s">
        <v>40444</v>
      </c>
      <c r="S7758" t="s">
        <v>40676</v>
      </c>
      <c r="T7758" t="s">
        <v>42205</v>
      </c>
      <c r="U7758" t="s">
        <v>49179</v>
      </c>
      <c r="V7758" t="s">
        <v>54613</v>
      </c>
      <c r="W7758" t="s">
        <v>39537</v>
      </c>
      <c r="X7758" t="s">
        <v>40445</v>
      </c>
    </row>
    <row r="7759" spans="1:24">
      <c r="A7759">
        <f>HYPERLINK("https://www.philgeps.gov.ph/GEPSNONPILOT/Tender/SplashBidNoticeAbstractUI.aspx?menuIndex=3&amp;refID=7040854&amp;Result=3","7040854")</f>
        <v>0</v>
      </c>
      <c r="B7759" t="s">
        <v>460</v>
      </c>
      <c r="C7759" t="s">
        <v>10467</v>
      </c>
      <c r="D7759" t="s">
        <v>16217</v>
      </c>
      <c r="E7759" t="s">
        <v>23114</v>
      </c>
      <c r="F7759" t="s">
        <v>28198</v>
      </c>
      <c r="G7759" t="s">
        <v>28205</v>
      </c>
      <c r="H7759" t="s">
        <v>28215</v>
      </c>
      <c r="I7759" t="s">
        <v>28246</v>
      </c>
      <c r="J7759" t="s">
        <v>28361</v>
      </c>
      <c r="K7759" t="s">
        <v>36701</v>
      </c>
      <c r="M7759" t="s">
        <v>37444</v>
      </c>
      <c r="N7759" t="s">
        <v>40436</v>
      </c>
      <c r="O7759" t="s">
        <v>40437</v>
      </c>
      <c r="P7759">
        <v>0</v>
      </c>
      <c r="Q7759">
        <v>0</v>
      </c>
      <c r="R7759" t="s">
        <v>40444</v>
      </c>
      <c r="S7759" t="s">
        <v>40676</v>
      </c>
      <c r="T7759" t="s">
        <v>42506</v>
      </c>
      <c r="U7759" t="s">
        <v>49144</v>
      </c>
      <c r="V7759" t="s">
        <v>54608</v>
      </c>
      <c r="W7759" t="s">
        <v>37444</v>
      </c>
      <c r="X7759" t="s">
        <v>40445</v>
      </c>
    </row>
    <row r="7760" spans="1:24">
      <c r="A7760">
        <f>HYPERLINK("https://www.philgeps.gov.ph/GEPSNONPILOT/Tender/SplashBidNoticeAbstractUI.aspx?menuIndex=3&amp;refID=7040880&amp;Result=3","7040880")</f>
        <v>0</v>
      </c>
      <c r="B7760" t="s">
        <v>2358</v>
      </c>
      <c r="C7760" t="s">
        <v>10468</v>
      </c>
      <c r="D7760" t="s">
        <v>16195</v>
      </c>
      <c r="E7760" t="s">
        <v>23115</v>
      </c>
      <c r="F7760" t="s">
        <v>28198</v>
      </c>
      <c r="G7760" t="s">
        <v>28210</v>
      </c>
      <c r="H7760" t="s">
        <v>28215</v>
      </c>
      <c r="I7760" t="s">
        <v>5082</v>
      </c>
      <c r="J7760" t="s">
        <v>33210</v>
      </c>
      <c r="K7760" t="s">
        <v>36689</v>
      </c>
      <c r="M7760" t="s">
        <v>39538</v>
      </c>
      <c r="N7760" t="s">
        <v>40436</v>
      </c>
      <c r="O7760" t="s">
        <v>40437</v>
      </c>
      <c r="P7760">
        <v>0</v>
      </c>
      <c r="Q7760">
        <v>3</v>
      </c>
      <c r="R7760" t="s">
        <v>40444</v>
      </c>
      <c r="S7760" t="s">
        <v>40676</v>
      </c>
      <c r="T7760" t="s">
        <v>42185</v>
      </c>
      <c r="U7760" t="s">
        <v>49180</v>
      </c>
      <c r="W7760" t="s">
        <v>39538</v>
      </c>
      <c r="X7760" t="s">
        <v>40445</v>
      </c>
    </row>
    <row r="7761" spans="1:24">
      <c r="A7761">
        <f>HYPERLINK("https://www.philgeps.gov.ph/GEPSNONPILOT/Tender/SplashBidNoticeAbstractUI.aspx?menuIndex=3&amp;refID=7040872&amp;Result=3","7040872")</f>
        <v>0</v>
      </c>
      <c r="B7761" t="s">
        <v>2303</v>
      </c>
      <c r="C7761" t="s">
        <v>10469</v>
      </c>
      <c r="D7761" t="s">
        <v>16271</v>
      </c>
      <c r="E7761" t="s">
        <v>23116</v>
      </c>
      <c r="F7761" t="s">
        <v>28198</v>
      </c>
      <c r="G7761" t="s">
        <v>28210</v>
      </c>
      <c r="H7761" t="s">
        <v>28215</v>
      </c>
      <c r="I7761" t="s">
        <v>4505</v>
      </c>
      <c r="J7761" t="s">
        <v>33211</v>
      </c>
      <c r="K7761" t="s">
        <v>36701</v>
      </c>
      <c r="M7761" t="s">
        <v>39478</v>
      </c>
      <c r="N7761" t="s">
        <v>40436</v>
      </c>
      <c r="O7761" t="s">
        <v>40437</v>
      </c>
      <c r="P7761">
        <v>0</v>
      </c>
      <c r="Q7761">
        <v>10</v>
      </c>
      <c r="R7761" t="s">
        <v>40444</v>
      </c>
      <c r="S7761" t="s">
        <v>40676</v>
      </c>
      <c r="T7761" t="s">
        <v>42277</v>
      </c>
      <c r="U7761" t="s">
        <v>49181</v>
      </c>
      <c r="W7761" t="s">
        <v>39478</v>
      </c>
      <c r="X7761" t="s">
        <v>40445</v>
      </c>
    </row>
    <row r="7762" spans="1:24">
      <c r="A7762">
        <f>HYPERLINK("https://www.philgeps.gov.ph/GEPSNONPILOT/Tender/SplashBidNoticeAbstractUI.aspx?menuIndex=3&amp;refID=7040875&amp;Result=3","7040875")</f>
        <v>0</v>
      </c>
      <c r="B7762" t="s">
        <v>2355</v>
      </c>
      <c r="C7762" t="s">
        <v>10470</v>
      </c>
      <c r="D7762" t="s">
        <v>16210</v>
      </c>
      <c r="E7762" t="s">
        <v>23117</v>
      </c>
      <c r="F7762" t="s">
        <v>28198</v>
      </c>
      <c r="G7762" t="s">
        <v>28205</v>
      </c>
      <c r="H7762" t="s">
        <v>28214</v>
      </c>
      <c r="I7762" t="s">
        <v>3797</v>
      </c>
      <c r="J7762" t="s">
        <v>33212</v>
      </c>
      <c r="K7762" t="s">
        <v>36717</v>
      </c>
      <c r="M7762" t="s">
        <v>39535</v>
      </c>
      <c r="N7762" t="s">
        <v>40436</v>
      </c>
      <c r="O7762" t="s">
        <v>40437</v>
      </c>
      <c r="P7762">
        <v>0</v>
      </c>
      <c r="Q7762">
        <v>25</v>
      </c>
      <c r="R7762" t="s">
        <v>40444</v>
      </c>
      <c r="S7762" t="s">
        <v>40676</v>
      </c>
      <c r="T7762" t="s">
        <v>42234</v>
      </c>
      <c r="U7762" t="s">
        <v>49176</v>
      </c>
      <c r="W7762" t="s">
        <v>39535</v>
      </c>
      <c r="X7762" t="s">
        <v>40445</v>
      </c>
    </row>
    <row r="7763" spans="1:24">
      <c r="A7763">
        <f>HYPERLINK("https://www.philgeps.gov.ph/GEPSNONPILOT/Tender/SplashBidNoticeAbstractUI.aspx?menuIndex=3&amp;refID=7040870&amp;Result=3","7040870")</f>
        <v>0</v>
      </c>
      <c r="B7763" t="s">
        <v>460</v>
      </c>
      <c r="C7763" t="s">
        <v>10471</v>
      </c>
      <c r="D7763" t="s">
        <v>16282</v>
      </c>
      <c r="E7763" t="s">
        <v>23118</v>
      </c>
      <c r="F7763" t="s">
        <v>28198</v>
      </c>
      <c r="G7763" t="s">
        <v>28205</v>
      </c>
      <c r="H7763" t="s">
        <v>28215</v>
      </c>
      <c r="I7763" t="s">
        <v>5100</v>
      </c>
      <c r="J7763" t="s">
        <v>29620</v>
      </c>
      <c r="K7763" t="s">
        <v>36701</v>
      </c>
      <c r="M7763" t="s">
        <v>37444</v>
      </c>
      <c r="N7763" t="s">
        <v>40436</v>
      </c>
      <c r="O7763" t="s">
        <v>40437</v>
      </c>
      <c r="P7763">
        <v>0</v>
      </c>
      <c r="Q7763">
        <v>0</v>
      </c>
      <c r="R7763" t="s">
        <v>40444</v>
      </c>
      <c r="S7763" t="s">
        <v>40676</v>
      </c>
      <c r="T7763" t="s">
        <v>42507</v>
      </c>
      <c r="U7763" t="s">
        <v>49144</v>
      </c>
      <c r="V7763" t="s">
        <v>54608</v>
      </c>
      <c r="W7763" t="s">
        <v>37444</v>
      </c>
      <c r="X7763" t="s">
        <v>40445</v>
      </c>
    </row>
    <row r="7764" spans="1:24">
      <c r="A7764">
        <f>HYPERLINK("https://www.philgeps.gov.ph/GEPSNONPILOT/Tender/SplashBidNoticeAbstractUI.aspx?menuIndex=3&amp;refID=7040882&amp;Result=3","7040882")</f>
        <v>0</v>
      </c>
      <c r="B7764" t="s">
        <v>556</v>
      </c>
      <c r="C7764" t="s">
        <v>10472</v>
      </c>
      <c r="E7764" t="s">
        <v>23119</v>
      </c>
      <c r="F7764" t="s">
        <v>28198</v>
      </c>
      <c r="G7764" t="s">
        <v>28205</v>
      </c>
      <c r="H7764" t="s">
        <v>28214</v>
      </c>
      <c r="I7764" t="s">
        <v>3797</v>
      </c>
      <c r="J7764" t="s">
        <v>28347</v>
      </c>
      <c r="K7764" t="s">
        <v>36717</v>
      </c>
      <c r="M7764" t="s">
        <v>39539</v>
      </c>
      <c r="N7764" t="s">
        <v>40436</v>
      </c>
      <c r="O7764" t="s">
        <v>40437</v>
      </c>
      <c r="P7764">
        <v>0</v>
      </c>
      <c r="Q7764">
        <v>1</v>
      </c>
      <c r="R7764" t="s">
        <v>40444</v>
      </c>
      <c r="S7764" t="s">
        <v>40676</v>
      </c>
      <c r="T7764" t="s">
        <v>42508</v>
      </c>
      <c r="U7764" t="s">
        <v>49182</v>
      </c>
      <c r="V7764" t="s">
        <v>54614</v>
      </c>
      <c r="W7764" t="s">
        <v>39539</v>
      </c>
      <c r="X7764" t="s">
        <v>40445</v>
      </c>
    </row>
    <row r="7765" spans="1:24">
      <c r="A7765">
        <f>HYPERLINK("https://www.philgeps.gov.ph/GEPSNONPILOT/Tender/SplashBidNoticeAbstractUI.aspx?menuIndex=3&amp;refID=7040869&amp;Result=3","7040869")</f>
        <v>0</v>
      </c>
      <c r="B7765" t="s">
        <v>2355</v>
      </c>
      <c r="C7765" t="s">
        <v>10473</v>
      </c>
      <c r="D7765" t="s">
        <v>16210</v>
      </c>
      <c r="E7765" t="s">
        <v>23120</v>
      </c>
      <c r="F7765" t="s">
        <v>28198</v>
      </c>
      <c r="G7765" t="s">
        <v>28205</v>
      </c>
      <c r="H7765" t="s">
        <v>28214</v>
      </c>
      <c r="I7765" t="s">
        <v>3797</v>
      </c>
      <c r="J7765" t="s">
        <v>33213</v>
      </c>
      <c r="K7765" t="s">
        <v>36710</v>
      </c>
      <c r="M7765" t="s">
        <v>39535</v>
      </c>
      <c r="N7765" t="s">
        <v>40436</v>
      </c>
      <c r="O7765" t="s">
        <v>40437</v>
      </c>
      <c r="P7765">
        <v>0</v>
      </c>
      <c r="Q7765">
        <v>32</v>
      </c>
      <c r="R7765" t="s">
        <v>40444</v>
      </c>
      <c r="S7765" t="s">
        <v>40676</v>
      </c>
      <c r="T7765" t="s">
        <v>42234</v>
      </c>
      <c r="U7765" t="s">
        <v>49176</v>
      </c>
      <c r="W7765" t="s">
        <v>39535</v>
      </c>
      <c r="X7765" t="s">
        <v>40445</v>
      </c>
    </row>
    <row r="7766" spans="1:24">
      <c r="A7766">
        <f>HYPERLINK("https://www.philgeps.gov.ph/GEPSNONPILOT/Tender/SplashBidNoticeAbstractUI.aspx?menuIndex=3&amp;refID=7040889&amp;Result=3","7040889")</f>
        <v>0</v>
      </c>
      <c r="B7766" t="s">
        <v>2359</v>
      </c>
      <c r="C7766" t="s">
        <v>10474</v>
      </c>
      <c r="D7766" t="s">
        <v>16244</v>
      </c>
      <c r="E7766" t="s">
        <v>21394</v>
      </c>
      <c r="F7766" t="s">
        <v>28198</v>
      </c>
      <c r="G7766" t="s">
        <v>28205</v>
      </c>
      <c r="H7766" t="s">
        <v>28215</v>
      </c>
      <c r="I7766" t="s">
        <v>8888</v>
      </c>
      <c r="J7766" t="s">
        <v>33214</v>
      </c>
      <c r="K7766" t="s">
        <v>36706</v>
      </c>
      <c r="M7766" t="s">
        <v>39540</v>
      </c>
      <c r="N7766" t="s">
        <v>40436</v>
      </c>
      <c r="O7766" t="s">
        <v>40437</v>
      </c>
      <c r="P7766">
        <v>0</v>
      </c>
      <c r="Q7766">
        <v>0</v>
      </c>
      <c r="R7766" t="s">
        <v>40444</v>
      </c>
      <c r="S7766" t="s">
        <v>40676</v>
      </c>
      <c r="T7766" t="s">
        <v>42346</v>
      </c>
      <c r="U7766" t="s">
        <v>49183</v>
      </c>
      <c r="W7766" t="s">
        <v>39938</v>
      </c>
      <c r="X7766" t="s">
        <v>40445</v>
      </c>
    </row>
    <row r="7767" spans="1:24">
      <c r="A7767">
        <f>HYPERLINK("https://www.philgeps.gov.ph/GEPSNONPILOT/Tender/SplashBidNoticeAbstractUI.aspx?menuIndex=3&amp;refID=7040906&amp;Result=3","7040906")</f>
        <v>0</v>
      </c>
      <c r="B7767" t="s">
        <v>2360</v>
      </c>
      <c r="C7767" t="s">
        <v>10475</v>
      </c>
      <c r="D7767" t="s">
        <v>16221</v>
      </c>
      <c r="E7767" t="s">
        <v>23121</v>
      </c>
      <c r="F7767" t="s">
        <v>28198</v>
      </c>
      <c r="G7767" t="s">
        <v>28205</v>
      </c>
      <c r="H7767" t="s">
        <v>28214</v>
      </c>
      <c r="I7767" t="s">
        <v>3797</v>
      </c>
      <c r="J7767" t="s">
        <v>31789</v>
      </c>
      <c r="K7767" t="s">
        <v>36692</v>
      </c>
      <c r="M7767" t="s">
        <v>39541</v>
      </c>
      <c r="N7767" t="s">
        <v>40436</v>
      </c>
      <c r="O7767" t="s">
        <v>40437</v>
      </c>
      <c r="P7767">
        <v>0</v>
      </c>
      <c r="Q7767">
        <v>3</v>
      </c>
      <c r="R7767" t="s">
        <v>40444</v>
      </c>
      <c r="S7767" t="s">
        <v>40676</v>
      </c>
      <c r="T7767" t="s">
        <v>42509</v>
      </c>
      <c r="U7767" t="s">
        <v>49184</v>
      </c>
      <c r="W7767" t="s">
        <v>39541</v>
      </c>
      <c r="X7767" t="s">
        <v>40445</v>
      </c>
    </row>
    <row r="7768" spans="1:24">
      <c r="A7768">
        <f>HYPERLINK("https://www.philgeps.gov.ph/GEPSNONPILOT/Tender/SplashBidNoticeAbstractUI.aspx?menuIndex=3&amp;refID=7040909&amp;Result=3","7040909")</f>
        <v>0</v>
      </c>
      <c r="B7768" t="s">
        <v>2361</v>
      </c>
      <c r="C7768" t="s">
        <v>10476</v>
      </c>
      <c r="D7768" t="s">
        <v>16190</v>
      </c>
      <c r="E7768" t="s">
        <v>16639</v>
      </c>
      <c r="F7768" t="s">
        <v>28198</v>
      </c>
      <c r="G7768" t="s">
        <v>28207</v>
      </c>
      <c r="H7768" t="s">
        <v>28215</v>
      </c>
      <c r="I7768" t="s">
        <v>4219</v>
      </c>
      <c r="J7768" t="s">
        <v>29273</v>
      </c>
      <c r="K7768" t="s">
        <v>36689</v>
      </c>
      <c r="M7768" t="s">
        <v>39542</v>
      </c>
      <c r="N7768" t="s">
        <v>40436</v>
      </c>
      <c r="O7768" t="s">
        <v>40437</v>
      </c>
      <c r="P7768">
        <v>0</v>
      </c>
      <c r="Q7768">
        <v>3</v>
      </c>
      <c r="R7768" t="s">
        <v>40444</v>
      </c>
      <c r="S7768" t="s">
        <v>40676</v>
      </c>
      <c r="T7768" t="s">
        <v>42245</v>
      </c>
      <c r="U7768" t="s">
        <v>49185</v>
      </c>
      <c r="W7768" t="s">
        <v>39542</v>
      </c>
      <c r="X7768" t="s">
        <v>40445</v>
      </c>
    </row>
    <row r="7769" spans="1:24">
      <c r="A7769">
        <f>HYPERLINK("https://www.philgeps.gov.ph/GEPSNONPILOT/Tender/SplashBidNoticeAbstractUI.aspx?menuIndex=3&amp;refID=7040890&amp;Result=3","7040890")</f>
        <v>0</v>
      </c>
      <c r="B7769" t="s">
        <v>2361</v>
      </c>
      <c r="C7769" t="s">
        <v>10477</v>
      </c>
      <c r="D7769" t="s">
        <v>16190</v>
      </c>
      <c r="E7769" t="s">
        <v>16522</v>
      </c>
      <c r="F7769" t="s">
        <v>28198</v>
      </c>
      <c r="G7769" t="s">
        <v>28207</v>
      </c>
      <c r="H7769" t="s">
        <v>28215</v>
      </c>
      <c r="I7769" t="s">
        <v>4219</v>
      </c>
      <c r="J7769" t="s">
        <v>33215</v>
      </c>
      <c r="K7769" t="s">
        <v>36689</v>
      </c>
      <c r="M7769" t="s">
        <v>39542</v>
      </c>
      <c r="N7769" t="s">
        <v>40436</v>
      </c>
      <c r="O7769" t="s">
        <v>40437</v>
      </c>
      <c r="P7769">
        <v>0</v>
      </c>
      <c r="Q7769">
        <v>7</v>
      </c>
      <c r="R7769" t="s">
        <v>40444</v>
      </c>
      <c r="S7769" t="s">
        <v>40676</v>
      </c>
      <c r="T7769" t="s">
        <v>42105</v>
      </c>
      <c r="U7769" t="s">
        <v>49186</v>
      </c>
      <c r="W7769" t="s">
        <v>39542</v>
      </c>
      <c r="X7769" t="s">
        <v>40445</v>
      </c>
    </row>
    <row r="7770" spans="1:24">
      <c r="A7770">
        <f>HYPERLINK("https://www.philgeps.gov.ph/GEPSNONPILOT/Tender/SplashBidNoticeAbstractUI.aspx?menuIndex=3&amp;refID=7040887&amp;Result=3","7040887")</f>
        <v>0</v>
      </c>
      <c r="B7770" t="s">
        <v>2362</v>
      </c>
      <c r="C7770" t="s">
        <v>10478</v>
      </c>
      <c r="D7770" t="s">
        <v>16248</v>
      </c>
      <c r="E7770" t="s">
        <v>23122</v>
      </c>
      <c r="F7770" t="s">
        <v>28198</v>
      </c>
      <c r="G7770" t="s">
        <v>28205</v>
      </c>
      <c r="H7770" t="s">
        <v>28214</v>
      </c>
      <c r="I7770" t="s">
        <v>3797</v>
      </c>
      <c r="J7770" t="s">
        <v>33216</v>
      </c>
      <c r="K7770" t="s">
        <v>36864</v>
      </c>
      <c r="M7770" t="s">
        <v>39543</v>
      </c>
      <c r="N7770" t="s">
        <v>40436</v>
      </c>
      <c r="O7770" t="s">
        <v>40437</v>
      </c>
      <c r="P7770">
        <v>0</v>
      </c>
      <c r="Q7770">
        <v>1</v>
      </c>
      <c r="R7770" t="s">
        <v>40444</v>
      </c>
      <c r="S7770" t="s">
        <v>40676</v>
      </c>
      <c r="T7770" t="s">
        <v>42165</v>
      </c>
      <c r="U7770" t="s">
        <v>49187</v>
      </c>
      <c r="W7770" t="s">
        <v>39543</v>
      </c>
      <c r="X7770" t="s">
        <v>40445</v>
      </c>
    </row>
    <row r="7771" spans="1:24">
      <c r="A7771">
        <f>HYPERLINK("https://www.philgeps.gov.ph/GEPSNONPILOT/Tender/SplashBidNoticeAbstractUI.aspx?menuIndex=3&amp;refID=7040895&amp;Result=3","7040895")</f>
        <v>0</v>
      </c>
      <c r="B7771" t="s">
        <v>2356</v>
      </c>
      <c r="C7771" t="s">
        <v>10479</v>
      </c>
      <c r="D7771" t="s">
        <v>16264</v>
      </c>
      <c r="E7771" t="s">
        <v>23123</v>
      </c>
      <c r="F7771" t="s">
        <v>28198</v>
      </c>
      <c r="G7771" t="s">
        <v>28205</v>
      </c>
      <c r="H7771" t="s">
        <v>28215</v>
      </c>
      <c r="I7771" t="s">
        <v>4219</v>
      </c>
      <c r="J7771" t="s">
        <v>33217</v>
      </c>
      <c r="K7771" t="s">
        <v>36687</v>
      </c>
      <c r="M7771" t="s">
        <v>39536</v>
      </c>
      <c r="N7771" t="s">
        <v>40436</v>
      </c>
      <c r="O7771" t="s">
        <v>40437</v>
      </c>
      <c r="P7771">
        <v>0</v>
      </c>
      <c r="Q7771">
        <v>8</v>
      </c>
      <c r="R7771" t="s">
        <v>40444</v>
      </c>
      <c r="S7771" t="s">
        <v>40676</v>
      </c>
      <c r="T7771" t="s">
        <v>42100</v>
      </c>
      <c r="U7771" t="s">
        <v>49188</v>
      </c>
      <c r="W7771" t="s">
        <v>39536</v>
      </c>
      <c r="X7771" t="s">
        <v>40445</v>
      </c>
    </row>
    <row r="7772" spans="1:24">
      <c r="A7772">
        <f>HYPERLINK("https://www.philgeps.gov.ph/GEPSNONPILOT/Tender/SplashBidNoticeAbstractUI.aspx?menuIndex=3&amp;refID=7040885&amp;Result=3","7040885")</f>
        <v>0</v>
      </c>
      <c r="B7772" t="s">
        <v>2363</v>
      </c>
      <c r="C7772" t="s">
        <v>10480</v>
      </c>
      <c r="D7772" t="s">
        <v>16221</v>
      </c>
      <c r="E7772" t="s">
        <v>23124</v>
      </c>
      <c r="F7772" t="s">
        <v>28198</v>
      </c>
      <c r="G7772" t="s">
        <v>28205</v>
      </c>
      <c r="H7772" t="s">
        <v>28215</v>
      </c>
      <c r="I7772" t="s">
        <v>8870</v>
      </c>
      <c r="J7772" t="s">
        <v>33218</v>
      </c>
      <c r="K7772" t="s">
        <v>36687</v>
      </c>
      <c r="M7772" t="s">
        <v>39544</v>
      </c>
      <c r="N7772" t="s">
        <v>40436</v>
      </c>
      <c r="O7772" t="s">
        <v>40437</v>
      </c>
      <c r="P7772">
        <v>0</v>
      </c>
      <c r="Q7772">
        <v>2</v>
      </c>
      <c r="R7772" t="s">
        <v>40444</v>
      </c>
      <c r="S7772" t="s">
        <v>40676</v>
      </c>
      <c r="T7772" t="s">
        <v>42184</v>
      </c>
      <c r="U7772" t="s">
        <v>49189</v>
      </c>
      <c r="W7772" t="s">
        <v>39544</v>
      </c>
      <c r="X7772" t="s">
        <v>40445</v>
      </c>
    </row>
    <row r="7773" spans="1:24">
      <c r="A7773">
        <f>HYPERLINK("https://www.philgeps.gov.ph/GEPSNONPILOT/Tender/SplashBidNoticeAbstractUI.aspx?menuIndex=3&amp;refID=7040886&amp;Result=3","7040886")</f>
        <v>0</v>
      </c>
      <c r="B7773" t="s">
        <v>2357</v>
      </c>
      <c r="C7773" t="s">
        <v>10481</v>
      </c>
      <c r="D7773" t="s">
        <v>16209</v>
      </c>
      <c r="E7773" t="s">
        <v>18847</v>
      </c>
      <c r="F7773" t="s">
        <v>28198</v>
      </c>
      <c r="G7773" t="s">
        <v>28205</v>
      </c>
      <c r="H7773" t="s">
        <v>28214</v>
      </c>
      <c r="I7773" t="s">
        <v>3797</v>
      </c>
      <c r="J7773" t="s">
        <v>28606</v>
      </c>
      <c r="K7773" t="s">
        <v>36701</v>
      </c>
      <c r="M7773" t="s">
        <v>39537</v>
      </c>
      <c r="N7773" t="s">
        <v>40436</v>
      </c>
      <c r="O7773" t="s">
        <v>40437</v>
      </c>
      <c r="P7773">
        <v>0</v>
      </c>
      <c r="Q7773">
        <v>1</v>
      </c>
      <c r="R7773" t="s">
        <v>40444</v>
      </c>
      <c r="S7773" t="s">
        <v>40676</v>
      </c>
      <c r="T7773" t="s">
        <v>42097</v>
      </c>
      <c r="U7773" t="s">
        <v>49190</v>
      </c>
      <c r="W7773" t="s">
        <v>39537</v>
      </c>
      <c r="X7773" t="s">
        <v>40445</v>
      </c>
    </row>
    <row r="7774" spans="1:24">
      <c r="A7774">
        <f>HYPERLINK("https://www.philgeps.gov.ph/GEPSNONPILOT/Tender/SplashBidNoticeAbstractUI.aspx?menuIndex=3&amp;refID=7040910&amp;Result=3","7040910")</f>
        <v>0</v>
      </c>
      <c r="B7774" t="s">
        <v>2355</v>
      </c>
      <c r="C7774" t="s">
        <v>10482</v>
      </c>
      <c r="D7774" t="s">
        <v>16210</v>
      </c>
      <c r="E7774" t="s">
        <v>23125</v>
      </c>
      <c r="F7774" t="s">
        <v>28198</v>
      </c>
      <c r="G7774" t="s">
        <v>28205</v>
      </c>
      <c r="H7774" t="s">
        <v>28214</v>
      </c>
      <c r="I7774" t="s">
        <v>3797</v>
      </c>
      <c r="J7774" t="s">
        <v>33219</v>
      </c>
      <c r="K7774" t="s">
        <v>36697</v>
      </c>
      <c r="M7774" t="s">
        <v>39535</v>
      </c>
      <c r="N7774" t="s">
        <v>40436</v>
      </c>
      <c r="O7774" t="s">
        <v>40437</v>
      </c>
      <c r="P7774">
        <v>0</v>
      </c>
      <c r="Q7774">
        <v>19</v>
      </c>
      <c r="R7774" t="s">
        <v>40444</v>
      </c>
      <c r="S7774" t="s">
        <v>40676</v>
      </c>
      <c r="T7774" t="s">
        <v>42234</v>
      </c>
      <c r="U7774" t="s">
        <v>49176</v>
      </c>
      <c r="W7774" t="s">
        <v>39535</v>
      </c>
      <c r="X7774" t="s">
        <v>40445</v>
      </c>
    </row>
    <row r="7775" spans="1:24">
      <c r="A7775">
        <f>HYPERLINK("https://www.philgeps.gov.ph/GEPSNONPILOT/Tender/SplashBidNoticeAbstractUI.aspx?menuIndex=3&amp;refID=7040921&amp;Result=3","7040921")</f>
        <v>0</v>
      </c>
      <c r="B7775" t="s">
        <v>935</v>
      </c>
      <c r="C7775" t="s">
        <v>10483</v>
      </c>
      <c r="D7775" t="s">
        <v>16210</v>
      </c>
      <c r="E7775" t="s">
        <v>23126</v>
      </c>
      <c r="F7775" t="s">
        <v>28198</v>
      </c>
      <c r="G7775" t="s">
        <v>28205</v>
      </c>
      <c r="H7775" t="s">
        <v>28215</v>
      </c>
      <c r="I7775" t="s">
        <v>28239</v>
      </c>
      <c r="J7775" t="s">
        <v>33220</v>
      </c>
      <c r="K7775" t="s">
        <v>36765</v>
      </c>
      <c r="M7775" t="s">
        <v>39545</v>
      </c>
      <c r="N7775" t="s">
        <v>40436</v>
      </c>
      <c r="O7775" t="s">
        <v>40437</v>
      </c>
      <c r="P7775">
        <v>0</v>
      </c>
      <c r="Q7775">
        <v>2</v>
      </c>
      <c r="R7775" t="s">
        <v>40444</v>
      </c>
      <c r="S7775" t="s">
        <v>40676</v>
      </c>
      <c r="T7775" t="s">
        <v>42145</v>
      </c>
      <c r="U7775" t="s">
        <v>49191</v>
      </c>
      <c r="W7775" t="s">
        <v>39545</v>
      </c>
      <c r="X7775" t="s">
        <v>40445</v>
      </c>
    </row>
    <row r="7776" spans="1:24">
      <c r="A7776">
        <f>HYPERLINK("https://www.philgeps.gov.ph/GEPSNONPILOT/Tender/SplashBidNoticeAbstractUI.aspx?menuIndex=3&amp;refID=7040919&amp;Result=3","7040919")</f>
        <v>0</v>
      </c>
      <c r="B7776" t="s">
        <v>2361</v>
      </c>
      <c r="C7776" t="s">
        <v>10484</v>
      </c>
      <c r="D7776" t="s">
        <v>16190</v>
      </c>
      <c r="E7776" t="s">
        <v>18038</v>
      </c>
      <c r="F7776" t="s">
        <v>28198</v>
      </c>
      <c r="G7776" t="s">
        <v>28207</v>
      </c>
      <c r="H7776" t="s">
        <v>28215</v>
      </c>
      <c r="I7776" t="s">
        <v>5082</v>
      </c>
      <c r="J7776" t="s">
        <v>33221</v>
      </c>
      <c r="K7776" t="s">
        <v>36689</v>
      </c>
      <c r="M7776" t="s">
        <v>39542</v>
      </c>
      <c r="N7776" t="s">
        <v>40436</v>
      </c>
      <c r="O7776" t="s">
        <v>40437</v>
      </c>
      <c r="P7776">
        <v>0</v>
      </c>
      <c r="Q7776">
        <v>3</v>
      </c>
      <c r="R7776" t="s">
        <v>40444</v>
      </c>
      <c r="S7776" t="s">
        <v>40676</v>
      </c>
      <c r="T7776" t="s">
        <v>42245</v>
      </c>
      <c r="U7776" t="s">
        <v>49192</v>
      </c>
      <c r="W7776" t="s">
        <v>39542</v>
      </c>
      <c r="X7776" t="s">
        <v>40445</v>
      </c>
    </row>
    <row r="7777" spans="1:24">
      <c r="A7777">
        <f>HYPERLINK("https://www.philgeps.gov.ph/GEPSNONPILOT/Tender/SplashBidNoticeAbstractUI.aspx?menuIndex=3&amp;refID=7040888&amp;Result=3","7040888")</f>
        <v>0</v>
      </c>
      <c r="B7777" t="s">
        <v>2355</v>
      </c>
      <c r="C7777" t="s">
        <v>10485</v>
      </c>
      <c r="D7777" t="s">
        <v>16210</v>
      </c>
      <c r="E7777" t="s">
        <v>23127</v>
      </c>
      <c r="F7777" t="s">
        <v>28198</v>
      </c>
      <c r="G7777" t="s">
        <v>28205</v>
      </c>
      <c r="H7777" t="s">
        <v>28214</v>
      </c>
      <c r="I7777" t="s">
        <v>3797</v>
      </c>
      <c r="J7777" t="s">
        <v>33222</v>
      </c>
      <c r="K7777" t="s">
        <v>36692</v>
      </c>
      <c r="M7777" t="s">
        <v>39535</v>
      </c>
      <c r="N7777" t="s">
        <v>40436</v>
      </c>
      <c r="O7777" t="s">
        <v>40437</v>
      </c>
      <c r="P7777">
        <v>0</v>
      </c>
      <c r="Q7777">
        <v>22</v>
      </c>
      <c r="R7777" t="s">
        <v>40444</v>
      </c>
      <c r="S7777" t="s">
        <v>40676</v>
      </c>
      <c r="T7777" t="s">
        <v>42234</v>
      </c>
      <c r="U7777" t="s">
        <v>49176</v>
      </c>
      <c r="W7777" t="s">
        <v>39535</v>
      </c>
      <c r="X7777" t="s">
        <v>40445</v>
      </c>
    </row>
    <row r="7778" spans="1:24">
      <c r="A7778">
        <f>HYPERLINK("https://www.philgeps.gov.ph/GEPSNONPILOT/Tender/SplashBidNoticeAbstractUI.aspx?menuIndex=3&amp;refID=7040899&amp;Result=3","7040899")</f>
        <v>0</v>
      </c>
      <c r="B7778" t="s">
        <v>2364</v>
      </c>
      <c r="C7778" t="s">
        <v>10486</v>
      </c>
      <c r="D7778" t="s">
        <v>16221</v>
      </c>
      <c r="E7778" t="s">
        <v>23128</v>
      </c>
      <c r="F7778" t="s">
        <v>28198</v>
      </c>
      <c r="G7778" t="s">
        <v>28212</v>
      </c>
      <c r="H7778" t="s">
        <v>28215</v>
      </c>
      <c r="I7778" t="s">
        <v>5791</v>
      </c>
      <c r="J7778" t="s">
        <v>28345</v>
      </c>
      <c r="K7778" t="s">
        <v>36698</v>
      </c>
      <c r="M7778" t="s">
        <v>39546</v>
      </c>
      <c r="N7778" t="s">
        <v>40436</v>
      </c>
      <c r="O7778" t="s">
        <v>40437</v>
      </c>
      <c r="P7778">
        <v>0</v>
      </c>
      <c r="Q7778">
        <v>0</v>
      </c>
      <c r="R7778" t="s">
        <v>40444</v>
      </c>
      <c r="S7778" t="s">
        <v>40676</v>
      </c>
      <c r="T7778" t="s">
        <v>42184</v>
      </c>
      <c r="U7778" t="s">
        <v>49193</v>
      </c>
      <c r="W7778" t="s">
        <v>39546</v>
      </c>
      <c r="X7778" t="s">
        <v>40445</v>
      </c>
    </row>
    <row r="7779" spans="1:24">
      <c r="A7779">
        <f>HYPERLINK("https://www.philgeps.gov.ph/GEPSNONPILOT/Tender/SplashBidNoticeAbstractUI.aspx?menuIndex=3&amp;refID=7040925&amp;Result=3","7040925")</f>
        <v>0</v>
      </c>
      <c r="B7779" t="s">
        <v>2365</v>
      </c>
      <c r="C7779" t="s">
        <v>10487</v>
      </c>
      <c r="D7779" t="s">
        <v>16249</v>
      </c>
      <c r="E7779" t="s">
        <v>23129</v>
      </c>
      <c r="F7779" t="s">
        <v>28198</v>
      </c>
      <c r="G7779" t="s">
        <v>28205</v>
      </c>
      <c r="H7779" t="s">
        <v>28214</v>
      </c>
      <c r="I7779" t="s">
        <v>3797</v>
      </c>
      <c r="J7779" t="s">
        <v>28363</v>
      </c>
      <c r="K7779" t="s">
        <v>36830</v>
      </c>
      <c r="M7779" t="s">
        <v>39547</v>
      </c>
      <c r="N7779" t="s">
        <v>40436</v>
      </c>
      <c r="O7779" t="s">
        <v>40437</v>
      </c>
      <c r="P7779">
        <v>0</v>
      </c>
      <c r="Q7779">
        <v>31</v>
      </c>
      <c r="R7779" t="s">
        <v>40444</v>
      </c>
      <c r="S7779" t="s">
        <v>40676</v>
      </c>
      <c r="T7779" t="s">
        <v>42376</v>
      </c>
      <c r="U7779" t="s">
        <v>49194</v>
      </c>
      <c r="V7779" t="s">
        <v>54051</v>
      </c>
      <c r="W7779" t="s">
        <v>39547</v>
      </c>
      <c r="X7779" t="s">
        <v>40445</v>
      </c>
    </row>
    <row r="7780" spans="1:24">
      <c r="A7780">
        <f>HYPERLINK("https://www.philgeps.gov.ph/GEPSNONPILOT/Tender/SplashBidNoticeAbstractUI.aspx?menuIndex=3&amp;refID=7040923&amp;Result=3","7040923")</f>
        <v>0</v>
      </c>
      <c r="B7780" t="s">
        <v>2366</v>
      </c>
      <c r="C7780" t="s">
        <v>10488</v>
      </c>
      <c r="E7780" t="s">
        <v>23130</v>
      </c>
      <c r="F7780" t="s">
        <v>28198</v>
      </c>
      <c r="G7780" t="s">
        <v>28207</v>
      </c>
      <c r="H7780" t="s">
        <v>28215</v>
      </c>
      <c r="I7780" t="s">
        <v>28220</v>
      </c>
      <c r="J7780" t="s">
        <v>33223</v>
      </c>
      <c r="K7780" t="s">
        <v>36688</v>
      </c>
      <c r="M7780" t="s">
        <v>39548</v>
      </c>
      <c r="N7780" t="s">
        <v>40436</v>
      </c>
      <c r="O7780" t="s">
        <v>40437</v>
      </c>
      <c r="P7780">
        <v>0</v>
      </c>
      <c r="Q7780">
        <v>12</v>
      </c>
      <c r="R7780" t="s">
        <v>40444</v>
      </c>
      <c r="S7780" t="s">
        <v>40676</v>
      </c>
      <c r="T7780" t="s">
        <v>42205</v>
      </c>
      <c r="U7780" t="s">
        <v>49195</v>
      </c>
      <c r="W7780" t="s">
        <v>39548</v>
      </c>
      <c r="X7780" t="s">
        <v>40445</v>
      </c>
    </row>
    <row r="7781" spans="1:24">
      <c r="A7781">
        <f>HYPERLINK("https://www.philgeps.gov.ph/GEPSNONPILOT/Tender/SplashBidNoticeAbstractUI.aspx?menuIndex=3&amp;refID=7040918&amp;Result=3","7040918")</f>
        <v>0</v>
      </c>
      <c r="B7781" t="s">
        <v>2355</v>
      </c>
      <c r="C7781" t="s">
        <v>10489</v>
      </c>
      <c r="D7781" t="s">
        <v>16210</v>
      </c>
      <c r="E7781" t="s">
        <v>23131</v>
      </c>
      <c r="F7781" t="s">
        <v>28198</v>
      </c>
      <c r="G7781" t="s">
        <v>28205</v>
      </c>
      <c r="H7781" t="s">
        <v>28214</v>
      </c>
      <c r="I7781" t="s">
        <v>3797</v>
      </c>
      <c r="J7781" t="s">
        <v>33224</v>
      </c>
      <c r="K7781" t="s">
        <v>36717</v>
      </c>
      <c r="M7781" t="s">
        <v>39535</v>
      </c>
      <c r="N7781" t="s">
        <v>40436</v>
      </c>
      <c r="O7781" t="s">
        <v>40437</v>
      </c>
      <c r="P7781">
        <v>0</v>
      </c>
      <c r="Q7781">
        <v>31</v>
      </c>
      <c r="R7781" t="s">
        <v>40444</v>
      </c>
      <c r="S7781" t="s">
        <v>40676</v>
      </c>
      <c r="T7781" t="s">
        <v>42234</v>
      </c>
      <c r="U7781" t="s">
        <v>49176</v>
      </c>
      <c r="W7781" t="s">
        <v>39535</v>
      </c>
      <c r="X7781" t="s">
        <v>40445</v>
      </c>
    </row>
    <row r="7782" spans="1:24">
      <c r="A7782">
        <f>HYPERLINK("https://www.philgeps.gov.ph/GEPSNONPILOT/Tender/SplashBidNoticeAbstractUI.aspx?menuIndex=3&amp;refID=7040922&amp;Result=3","7040922")</f>
        <v>0</v>
      </c>
      <c r="B7782" t="s">
        <v>2355</v>
      </c>
      <c r="C7782" t="s">
        <v>10490</v>
      </c>
      <c r="D7782" t="s">
        <v>16210</v>
      </c>
      <c r="E7782" t="s">
        <v>23132</v>
      </c>
      <c r="F7782" t="s">
        <v>28198</v>
      </c>
      <c r="G7782" t="s">
        <v>28205</v>
      </c>
      <c r="H7782" t="s">
        <v>28214</v>
      </c>
      <c r="I7782" t="s">
        <v>3797</v>
      </c>
      <c r="J7782" t="s">
        <v>33225</v>
      </c>
      <c r="K7782" t="s">
        <v>36701</v>
      </c>
      <c r="M7782" t="s">
        <v>39535</v>
      </c>
      <c r="N7782" t="s">
        <v>40436</v>
      </c>
      <c r="O7782" t="s">
        <v>40437</v>
      </c>
      <c r="P7782">
        <v>0</v>
      </c>
      <c r="Q7782">
        <v>19</v>
      </c>
      <c r="R7782" t="s">
        <v>40444</v>
      </c>
      <c r="S7782" t="s">
        <v>40676</v>
      </c>
      <c r="T7782" t="s">
        <v>42234</v>
      </c>
      <c r="U7782" t="s">
        <v>49176</v>
      </c>
      <c r="W7782" t="s">
        <v>39535</v>
      </c>
      <c r="X7782" t="s">
        <v>40445</v>
      </c>
    </row>
    <row r="7783" spans="1:24">
      <c r="A7783">
        <f>HYPERLINK("https://www.philgeps.gov.ph/GEPSNONPILOT/Tender/SplashBidNoticeAbstractUI.aspx?menuIndex=3&amp;refID=7040912&amp;Result=3","7040912")</f>
        <v>0</v>
      </c>
      <c r="B7783" t="s">
        <v>2365</v>
      </c>
      <c r="C7783" t="s">
        <v>10491</v>
      </c>
      <c r="D7783" t="s">
        <v>16249</v>
      </c>
      <c r="E7783" t="s">
        <v>23133</v>
      </c>
      <c r="F7783" t="s">
        <v>28198</v>
      </c>
      <c r="G7783" t="s">
        <v>28205</v>
      </c>
      <c r="H7783" t="s">
        <v>28214</v>
      </c>
      <c r="I7783" t="s">
        <v>3797</v>
      </c>
      <c r="J7783" t="s">
        <v>28363</v>
      </c>
      <c r="K7783" t="s">
        <v>36692</v>
      </c>
      <c r="M7783" t="s">
        <v>39547</v>
      </c>
      <c r="N7783" t="s">
        <v>40436</v>
      </c>
      <c r="O7783" t="s">
        <v>40437</v>
      </c>
      <c r="P7783">
        <v>0</v>
      </c>
      <c r="Q7783">
        <v>31</v>
      </c>
      <c r="R7783" t="s">
        <v>40444</v>
      </c>
      <c r="S7783" t="s">
        <v>40676</v>
      </c>
      <c r="T7783" t="s">
        <v>42376</v>
      </c>
      <c r="U7783" t="s">
        <v>49196</v>
      </c>
      <c r="V7783" t="s">
        <v>54051</v>
      </c>
      <c r="W7783" t="s">
        <v>39547</v>
      </c>
      <c r="X7783" t="s">
        <v>40445</v>
      </c>
    </row>
    <row r="7784" spans="1:24">
      <c r="A7784">
        <f>HYPERLINK("https://www.philgeps.gov.ph/GEPSNONPILOT/Tender/SplashBidNoticeAbstractUI.aspx?menuIndex=3&amp;refID=7040926&amp;Result=3","7040926")</f>
        <v>0</v>
      </c>
      <c r="B7784" t="s">
        <v>2361</v>
      </c>
      <c r="C7784" t="s">
        <v>10492</v>
      </c>
      <c r="D7784" t="s">
        <v>16190</v>
      </c>
      <c r="E7784" t="s">
        <v>16684</v>
      </c>
      <c r="F7784" t="s">
        <v>28198</v>
      </c>
      <c r="G7784" t="s">
        <v>28207</v>
      </c>
      <c r="H7784" t="s">
        <v>28215</v>
      </c>
      <c r="I7784" t="s">
        <v>28227</v>
      </c>
      <c r="J7784" t="s">
        <v>28787</v>
      </c>
      <c r="K7784" t="s">
        <v>36689</v>
      </c>
      <c r="M7784" t="s">
        <v>39542</v>
      </c>
      <c r="N7784" t="s">
        <v>40436</v>
      </c>
      <c r="O7784" t="s">
        <v>40437</v>
      </c>
      <c r="P7784">
        <v>0</v>
      </c>
      <c r="Q7784">
        <v>1</v>
      </c>
      <c r="R7784" t="s">
        <v>40444</v>
      </c>
      <c r="S7784" t="s">
        <v>40676</v>
      </c>
      <c r="T7784" t="s">
        <v>42105</v>
      </c>
      <c r="U7784" t="s">
        <v>49197</v>
      </c>
      <c r="W7784" t="s">
        <v>39542</v>
      </c>
      <c r="X7784" t="s">
        <v>40445</v>
      </c>
    </row>
    <row r="7785" spans="1:24">
      <c r="A7785">
        <f>HYPERLINK("https://www.philgeps.gov.ph/GEPSNONPILOT/Tender/SplashBidNoticeAbstractUI.aspx?menuIndex=3&amp;refID=7040908&amp;Result=3","7040908")</f>
        <v>0</v>
      </c>
      <c r="B7785" t="s">
        <v>2367</v>
      </c>
      <c r="C7785" t="s">
        <v>10493</v>
      </c>
      <c r="D7785" t="s">
        <v>16226</v>
      </c>
      <c r="E7785" t="s">
        <v>23134</v>
      </c>
      <c r="F7785" t="s">
        <v>28198</v>
      </c>
      <c r="G7785" t="s">
        <v>28205</v>
      </c>
      <c r="H7785" t="s">
        <v>28215</v>
      </c>
      <c r="I7785" t="s">
        <v>28222</v>
      </c>
      <c r="J7785" t="s">
        <v>28347</v>
      </c>
      <c r="K7785" t="s">
        <v>36715</v>
      </c>
      <c r="M7785" t="s">
        <v>39549</v>
      </c>
      <c r="N7785" t="s">
        <v>40436</v>
      </c>
      <c r="O7785" t="s">
        <v>40437</v>
      </c>
      <c r="P7785">
        <v>0</v>
      </c>
      <c r="Q7785">
        <v>6</v>
      </c>
      <c r="R7785" t="s">
        <v>40444</v>
      </c>
      <c r="S7785" t="s">
        <v>40676</v>
      </c>
      <c r="T7785" t="s">
        <v>42435</v>
      </c>
      <c r="U7785" t="s">
        <v>49198</v>
      </c>
      <c r="W7785" t="s">
        <v>39549</v>
      </c>
      <c r="X7785" t="s">
        <v>40445</v>
      </c>
    </row>
    <row r="7786" spans="1:24">
      <c r="A7786">
        <f>HYPERLINK("https://www.philgeps.gov.ph/GEPSNONPILOT/Tender/SplashBidNoticeAbstractUI.aspx?menuIndex=3&amp;refID=7040927&amp;Result=3","7040927")</f>
        <v>0</v>
      </c>
      <c r="B7786" t="s">
        <v>2368</v>
      </c>
      <c r="C7786" t="s">
        <v>10494</v>
      </c>
      <c r="E7786" t="s">
        <v>23135</v>
      </c>
      <c r="F7786" t="s">
        <v>28198</v>
      </c>
      <c r="G7786" t="s">
        <v>28205</v>
      </c>
      <c r="H7786" t="s">
        <v>28216</v>
      </c>
      <c r="I7786" t="s">
        <v>28216</v>
      </c>
      <c r="J7786" t="s">
        <v>33226</v>
      </c>
      <c r="K7786" t="s">
        <v>36689</v>
      </c>
      <c r="M7786" t="s">
        <v>39550</v>
      </c>
      <c r="N7786" t="s">
        <v>40436</v>
      </c>
      <c r="O7786" t="s">
        <v>40437</v>
      </c>
      <c r="Q7786">
        <v>3</v>
      </c>
      <c r="R7786" t="s">
        <v>40444</v>
      </c>
      <c r="S7786" t="s">
        <v>40728</v>
      </c>
      <c r="T7786" t="s">
        <v>42203</v>
      </c>
      <c r="U7786" t="s">
        <v>49199</v>
      </c>
      <c r="W7786" t="s">
        <v>39550</v>
      </c>
      <c r="X7786" t="s">
        <v>40445</v>
      </c>
    </row>
    <row r="7787" spans="1:24">
      <c r="A7787">
        <f>HYPERLINK("https://www.philgeps.gov.ph/GEPSNONPILOT/Tender/SplashBidNoticeAbstractUI.aspx?menuIndex=3&amp;refID=7040945&amp;Result=3","7040945")</f>
        <v>0</v>
      </c>
      <c r="B7787" t="s">
        <v>2365</v>
      </c>
      <c r="C7787" t="s">
        <v>8479</v>
      </c>
      <c r="D7787" t="s">
        <v>16249</v>
      </c>
      <c r="E7787" t="s">
        <v>23136</v>
      </c>
      <c r="F7787" t="s">
        <v>28198</v>
      </c>
      <c r="G7787" t="s">
        <v>28205</v>
      </c>
      <c r="H7787" t="s">
        <v>28214</v>
      </c>
      <c r="I7787" t="s">
        <v>3797</v>
      </c>
      <c r="J7787" t="s">
        <v>29369</v>
      </c>
      <c r="K7787" t="s">
        <v>36812</v>
      </c>
      <c r="M7787" t="s">
        <v>39547</v>
      </c>
      <c r="N7787" t="s">
        <v>40436</v>
      </c>
      <c r="O7787" t="s">
        <v>40437</v>
      </c>
      <c r="P7787">
        <v>0</v>
      </c>
      <c r="Q7787">
        <v>31</v>
      </c>
      <c r="R7787" t="s">
        <v>40444</v>
      </c>
      <c r="S7787" t="s">
        <v>40676</v>
      </c>
      <c r="T7787" t="s">
        <v>42376</v>
      </c>
      <c r="U7787" t="s">
        <v>49200</v>
      </c>
      <c r="V7787" t="s">
        <v>54051</v>
      </c>
      <c r="W7787" t="s">
        <v>39547</v>
      </c>
      <c r="X7787" t="s">
        <v>40445</v>
      </c>
    </row>
    <row r="7788" spans="1:24">
      <c r="A7788">
        <f>HYPERLINK("https://www.philgeps.gov.ph/GEPSNONPILOT/Tender/SplashBidNoticeAbstractUI.aspx?menuIndex=3&amp;refID=7040956&amp;Result=3","7040956")</f>
        <v>0</v>
      </c>
      <c r="B7788" t="s">
        <v>2369</v>
      </c>
      <c r="C7788" t="s">
        <v>10495</v>
      </c>
      <c r="D7788" t="s">
        <v>16210</v>
      </c>
      <c r="E7788" t="s">
        <v>23137</v>
      </c>
      <c r="F7788" t="s">
        <v>28198</v>
      </c>
      <c r="G7788" t="s">
        <v>28205</v>
      </c>
      <c r="H7788" t="s">
        <v>28215</v>
      </c>
      <c r="I7788" t="s">
        <v>4219</v>
      </c>
      <c r="J7788" t="s">
        <v>33227</v>
      </c>
      <c r="K7788" t="s">
        <v>36706</v>
      </c>
      <c r="M7788" t="s">
        <v>39551</v>
      </c>
      <c r="N7788" t="s">
        <v>40436</v>
      </c>
      <c r="O7788" t="s">
        <v>40437</v>
      </c>
      <c r="P7788">
        <v>0</v>
      </c>
      <c r="Q7788">
        <v>4</v>
      </c>
      <c r="R7788" t="s">
        <v>40444</v>
      </c>
      <c r="S7788" t="s">
        <v>40676</v>
      </c>
      <c r="T7788" t="s">
        <v>42233</v>
      </c>
      <c r="U7788" t="s">
        <v>49201</v>
      </c>
      <c r="W7788" t="s">
        <v>39551</v>
      </c>
      <c r="X7788" t="s">
        <v>40445</v>
      </c>
    </row>
    <row r="7789" spans="1:24">
      <c r="A7789">
        <f>HYPERLINK("https://www.philgeps.gov.ph/GEPSNONPILOT/Tender/SplashBidNoticeAbstractUI.aspx?menuIndex=3&amp;refID=7040935&amp;Result=3","7040935")</f>
        <v>0</v>
      </c>
      <c r="B7789" t="s">
        <v>2359</v>
      </c>
      <c r="C7789" t="s">
        <v>10496</v>
      </c>
      <c r="D7789" t="s">
        <v>16244</v>
      </c>
      <c r="E7789" t="s">
        <v>23138</v>
      </c>
      <c r="F7789" t="s">
        <v>28198</v>
      </c>
      <c r="G7789" t="s">
        <v>28205</v>
      </c>
      <c r="H7789" t="s">
        <v>28215</v>
      </c>
      <c r="I7789" t="s">
        <v>8888</v>
      </c>
      <c r="J7789" t="s">
        <v>33228</v>
      </c>
      <c r="K7789" t="s">
        <v>36706</v>
      </c>
      <c r="M7789" t="s">
        <v>39540</v>
      </c>
      <c r="N7789" t="s">
        <v>40436</v>
      </c>
      <c r="O7789" t="s">
        <v>40437</v>
      </c>
      <c r="P7789">
        <v>0</v>
      </c>
      <c r="Q7789">
        <v>0</v>
      </c>
      <c r="R7789" t="s">
        <v>40444</v>
      </c>
      <c r="S7789" t="s">
        <v>40676</v>
      </c>
      <c r="T7789" t="s">
        <v>42346</v>
      </c>
      <c r="U7789" t="s">
        <v>49202</v>
      </c>
      <c r="W7789" t="s">
        <v>39938</v>
      </c>
      <c r="X7789" t="s">
        <v>40445</v>
      </c>
    </row>
    <row r="7790" spans="1:24">
      <c r="A7790">
        <f>HYPERLINK("https://www.philgeps.gov.ph/GEPSNONPILOT/Tender/SplashBidNoticeAbstractUI.aspx?menuIndex=3&amp;refID=7040961&amp;Result=3","7040961")</f>
        <v>0</v>
      </c>
      <c r="B7790" t="s">
        <v>1914</v>
      </c>
      <c r="C7790" t="s">
        <v>10497</v>
      </c>
      <c r="D7790" t="s">
        <v>16194</v>
      </c>
      <c r="E7790" t="s">
        <v>23139</v>
      </c>
      <c r="F7790" t="s">
        <v>28198</v>
      </c>
      <c r="G7790" t="s">
        <v>28205</v>
      </c>
      <c r="H7790" t="s">
        <v>28215</v>
      </c>
      <c r="I7790" t="s">
        <v>28278</v>
      </c>
      <c r="J7790" t="s">
        <v>33229</v>
      </c>
      <c r="K7790" t="s">
        <v>36688</v>
      </c>
      <c r="M7790" t="s">
        <v>39046</v>
      </c>
      <c r="N7790" t="s">
        <v>40436</v>
      </c>
      <c r="O7790" t="s">
        <v>40437</v>
      </c>
      <c r="P7790">
        <v>0</v>
      </c>
      <c r="Q7790">
        <v>1</v>
      </c>
      <c r="R7790" t="s">
        <v>40444</v>
      </c>
      <c r="S7790" t="s">
        <v>40676</v>
      </c>
      <c r="T7790" t="s">
        <v>42245</v>
      </c>
      <c r="U7790" t="s">
        <v>49203</v>
      </c>
      <c r="W7790" t="s">
        <v>39046</v>
      </c>
      <c r="X7790" t="s">
        <v>40445</v>
      </c>
    </row>
    <row r="7791" spans="1:24">
      <c r="A7791">
        <f>HYPERLINK("https://www.philgeps.gov.ph/GEPSNONPILOT/Tender/SplashBidNoticeAbstractUI.aspx?menuIndex=3&amp;refID=7040934&amp;Result=3","7040934")</f>
        <v>0</v>
      </c>
      <c r="B7791" t="s">
        <v>2370</v>
      </c>
      <c r="C7791" t="s">
        <v>10498</v>
      </c>
      <c r="D7791" t="s">
        <v>16223</v>
      </c>
      <c r="E7791" t="s">
        <v>16322</v>
      </c>
      <c r="F7791" t="s">
        <v>28198</v>
      </c>
      <c r="G7791" t="s">
        <v>28205</v>
      </c>
      <c r="H7791" t="s">
        <v>28217</v>
      </c>
      <c r="I7791" t="s">
        <v>28236</v>
      </c>
      <c r="J7791" t="s">
        <v>33230</v>
      </c>
      <c r="K7791" t="s">
        <v>36706</v>
      </c>
      <c r="M7791" t="s">
        <v>39552</v>
      </c>
      <c r="N7791" t="s">
        <v>40436</v>
      </c>
      <c r="O7791" t="s">
        <v>40437</v>
      </c>
      <c r="P7791">
        <v>0</v>
      </c>
      <c r="Q7791">
        <v>0</v>
      </c>
      <c r="R7791" t="s">
        <v>40444</v>
      </c>
      <c r="S7791" t="s">
        <v>40676</v>
      </c>
      <c r="T7791" t="s">
        <v>42233</v>
      </c>
      <c r="U7791" t="s">
        <v>49204</v>
      </c>
      <c r="W7791" t="s">
        <v>39552</v>
      </c>
      <c r="X7791" t="s">
        <v>40445</v>
      </c>
    </row>
    <row r="7792" spans="1:24">
      <c r="A7792">
        <f>HYPERLINK("https://www.philgeps.gov.ph/GEPSNONPILOT/Tender/SplashBidNoticeAbstractUI.aspx?menuIndex=3&amp;refID=7040957&amp;Result=3","7040957")</f>
        <v>0</v>
      </c>
      <c r="B7792" t="s">
        <v>2369</v>
      </c>
      <c r="C7792" t="s">
        <v>10499</v>
      </c>
      <c r="D7792" t="s">
        <v>16210</v>
      </c>
      <c r="E7792" t="s">
        <v>23140</v>
      </c>
      <c r="F7792" t="s">
        <v>28198</v>
      </c>
      <c r="G7792" t="s">
        <v>28205</v>
      </c>
      <c r="H7792" t="s">
        <v>28215</v>
      </c>
      <c r="I7792" t="s">
        <v>5082</v>
      </c>
      <c r="J7792" t="s">
        <v>28378</v>
      </c>
      <c r="K7792" t="s">
        <v>36706</v>
      </c>
      <c r="M7792" t="s">
        <v>39551</v>
      </c>
      <c r="N7792" t="s">
        <v>40436</v>
      </c>
      <c r="O7792" t="s">
        <v>40437</v>
      </c>
      <c r="P7792">
        <v>0</v>
      </c>
      <c r="Q7792">
        <v>6</v>
      </c>
      <c r="R7792" t="s">
        <v>40444</v>
      </c>
      <c r="S7792" t="s">
        <v>40676</v>
      </c>
      <c r="T7792" t="s">
        <v>42233</v>
      </c>
      <c r="U7792" t="s">
        <v>49201</v>
      </c>
      <c r="W7792" t="s">
        <v>39551</v>
      </c>
      <c r="X7792" t="s">
        <v>40445</v>
      </c>
    </row>
    <row r="7793" spans="1:24">
      <c r="A7793">
        <f>HYPERLINK("https://www.philgeps.gov.ph/GEPSNONPILOT/Tender/SplashBidNoticeAbstractUI.aspx?menuIndex=3&amp;refID=7040962&amp;Result=3","7040962")</f>
        <v>0</v>
      </c>
      <c r="B7793" t="s">
        <v>1914</v>
      </c>
      <c r="C7793" t="s">
        <v>10500</v>
      </c>
      <c r="D7793" t="s">
        <v>16194</v>
      </c>
      <c r="E7793" t="s">
        <v>23139</v>
      </c>
      <c r="F7793" t="s">
        <v>28198</v>
      </c>
      <c r="G7793" t="s">
        <v>28205</v>
      </c>
      <c r="H7793" t="s">
        <v>28215</v>
      </c>
      <c r="I7793" t="s">
        <v>28278</v>
      </c>
      <c r="J7793" t="s">
        <v>33231</v>
      </c>
      <c r="K7793" t="s">
        <v>36688</v>
      </c>
      <c r="M7793" t="s">
        <v>39046</v>
      </c>
      <c r="N7793" t="s">
        <v>40436</v>
      </c>
      <c r="O7793" t="s">
        <v>40437</v>
      </c>
      <c r="P7793">
        <v>0</v>
      </c>
      <c r="Q7793">
        <v>0</v>
      </c>
      <c r="R7793" t="s">
        <v>40444</v>
      </c>
      <c r="S7793" t="s">
        <v>40676</v>
      </c>
      <c r="T7793" t="s">
        <v>42245</v>
      </c>
      <c r="U7793" t="s">
        <v>49205</v>
      </c>
      <c r="W7793" t="s">
        <v>39046</v>
      </c>
      <c r="X7793" t="s">
        <v>40445</v>
      </c>
    </row>
    <row r="7794" spans="1:24">
      <c r="A7794">
        <f>HYPERLINK("https://www.philgeps.gov.ph/GEPSNONPILOT/Tender/SplashBidNoticeAbstractUI.aspx?menuIndex=3&amp;refID=7040940&amp;Result=3","7040940")</f>
        <v>0</v>
      </c>
      <c r="B7794" t="s">
        <v>2365</v>
      </c>
      <c r="C7794" t="s">
        <v>10501</v>
      </c>
      <c r="D7794" t="s">
        <v>16249</v>
      </c>
      <c r="E7794" t="s">
        <v>23141</v>
      </c>
      <c r="F7794" t="s">
        <v>28198</v>
      </c>
      <c r="G7794" t="s">
        <v>28205</v>
      </c>
      <c r="H7794" t="s">
        <v>28214</v>
      </c>
      <c r="I7794" t="s">
        <v>3797</v>
      </c>
      <c r="J7794" t="s">
        <v>28351</v>
      </c>
      <c r="K7794" t="s">
        <v>36694</v>
      </c>
      <c r="M7794" t="s">
        <v>39547</v>
      </c>
      <c r="N7794" t="s">
        <v>40436</v>
      </c>
      <c r="O7794" t="s">
        <v>40437</v>
      </c>
      <c r="P7794">
        <v>0</v>
      </c>
      <c r="Q7794">
        <v>31</v>
      </c>
      <c r="R7794" t="s">
        <v>40444</v>
      </c>
      <c r="S7794" t="s">
        <v>40676</v>
      </c>
      <c r="T7794" t="s">
        <v>42376</v>
      </c>
      <c r="U7794" t="s">
        <v>49206</v>
      </c>
      <c r="V7794" t="s">
        <v>54051</v>
      </c>
      <c r="W7794" t="s">
        <v>39547</v>
      </c>
      <c r="X7794" t="s">
        <v>40445</v>
      </c>
    </row>
    <row r="7795" spans="1:24">
      <c r="A7795">
        <f>HYPERLINK("https://www.philgeps.gov.ph/GEPSNONPILOT/Tender/SplashBidNoticeAbstractUI.aspx?menuIndex=3&amp;refID=7040964&amp;Result=3","7040964")</f>
        <v>0</v>
      </c>
      <c r="B7795" t="s">
        <v>1914</v>
      </c>
      <c r="C7795" t="s">
        <v>10502</v>
      </c>
      <c r="D7795" t="s">
        <v>16194</v>
      </c>
      <c r="E7795" t="s">
        <v>23139</v>
      </c>
      <c r="F7795" t="s">
        <v>28198</v>
      </c>
      <c r="G7795" t="s">
        <v>28205</v>
      </c>
      <c r="H7795" t="s">
        <v>28215</v>
      </c>
      <c r="I7795" t="s">
        <v>28278</v>
      </c>
      <c r="J7795" t="s">
        <v>33232</v>
      </c>
      <c r="K7795" t="s">
        <v>36688</v>
      </c>
      <c r="M7795" t="s">
        <v>39046</v>
      </c>
      <c r="N7795" t="s">
        <v>40436</v>
      </c>
      <c r="O7795" t="s">
        <v>40437</v>
      </c>
      <c r="P7795">
        <v>0</v>
      </c>
      <c r="Q7795">
        <v>0</v>
      </c>
      <c r="R7795" t="s">
        <v>40444</v>
      </c>
      <c r="S7795" t="s">
        <v>40676</v>
      </c>
      <c r="T7795" t="s">
        <v>42245</v>
      </c>
      <c r="U7795" t="s">
        <v>49207</v>
      </c>
      <c r="W7795" t="s">
        <v>39046</v>
      </c>
      <c r="X7795" t="s">
        <v>40445</v>
      </c>
    </row>
    <row r="7796" spans="1:24">
      <c r="A7796">
        <f>HYPERLINK("https://www.philgeps.gov.ph/GEPSNONPILOT/Tender/SplashBidNoticeAbstractUI.aspx?menuIndex=3&amp;refID=7040959&amp;Result=3","7040959")</f>
        <v>0</v>
      </c>
      <c r="B7796" t="s">
        <v>1914</v>
      </c>
      <c r="C7796" t="s">
        <v>10503</v>
      </c>
      <c r="D7796" t="s">
        <v>16194</v>
      </c>
      <c r="E7796" t="s">
        <v>23139</v>
      </c>
      <c r="F7796" t="s">
        <v>28198</v>
      </c>
      <c r="G7796" t="s">
        <v>28205</v>
      </c>
      <c r="H7796" t="s">
        <v>28215</v>
      </c>
      <c r="I7796" t="s">
        <v>28278</v>
      </c>
      <c r="J7796" t="s">
        <v>30308</v>
      </c>
      <c r="K7796" t="s">
        <v>36688</v>
      </c>
      <c r="M7796" t="s">
        <v>39046</v>
      </c>
      <c r="N7796" t="s">
        <v>40436</v>
      </c>
      <c r="O7796" t="s">
        <v>40437</v>
      </c>
      <c r="P7796">
        <v>0</v>
      </c>
      <c r="Q7796">
        <v>0</v>
      </c>
      <c r="R7796" t="s">
        <v>40444</v>
      </c>
      <c r="S7796" t="s">
        <v>40676</v>
      </c>
      <c r="T7796" t="s">
        <v>42205</v>
      </c>
      <c r="U7796" t="s">
        <v>49208</v>
      </c>
      <c r="W7796" t="s">
        <v>39046</v>
      </c>
      <c r="X7796" t="s">
        <v>40445</v>
      </c>
    </row>
    <row r="7797" spans="1:24">
      <c r="A7797">
        <f>HYPERLINK("https://www.philgeps.gov.ph/GEPSNONPILOT/Tender/SplashBidNoticeAbstractUI.aspx?menuIndex=3&amp;refID=7012626-2&amp;Result=3","7012626-2")</f>
        <v>0</v>
      </c>
      <c r="B7797" t="s">
        <v>1900</v>
      </c>
      <c r="C7797" t="s">
        <v>10504</v>
      </c>
      <c r="E7797" t="s">
        <v>23142</v>
      </c>
      <c r="F7797" t="s">
        <v>28198</v>
      </c>
      <c r="G7797" t="s">
        <v>28205</v>
      </c>
      <c r="H7797" t="s">
        <v>28216</v>
      </c>
      <c r="I7797" t="s">
        <v>28216</v>
      </c>
      <c r="J7797" t="s">
        <v>33233</v>
      </c>
      <c r="K7797" t="s">
        <v>36689</v>
      </c>
      <c r="M7797" t="s">
        <v>39032</v>
      </c>
      <c r="N7797" t="s">
        <v>40436</v>
      </c>
      <c r="O7797" t="s">
        <v>40437</v>
      </c>
      <c r="Q7797">
        <v>1</v>
      </c>
      <c r="R7797" t="s">
        <v>40445</v>
      </c>
      <c r="S7797" t="s">
        <v>40729</v>
      </c>
      <c r="T7797" t="s">
        <v>42279</v>
      </c>
      <c r="U7797" t="s">
        <v>49209</v>
      </c>
      <c r="V7797" t="s">
        <v>54615</v>
      </c>
      <c r="W7797" t="s">
        <v>39032</v>
      </c>
      <c r="X7797" t="s">
        <v>40446</v>
      </c>
    </row>
    <row r="7798" spans="1:24">
      <c r="A7798">
        <f>HYPERLINK("https://www.philgeps.gov.ph/GEPSNONPILOT/Tender/SplashBidNoticeAbstractUI.aspx?menuIndex=3&amp;refID=7040933&amp;Result=3","7040933")</f>
        <v>0</v>
      </c>
      <c r="B7798" t="s">
        <v>2365</v>
      </c>
      <c r="C7798" t="s">
        <v>10505</v>
      </c>
      <c r="D7798" t="s">
        <v>16249</v>
      </c>
      <c r="E7798" t="s">
        <v>23143</v>
      </c>
      <c r="F7798" t="s">
        <v>28198</v>
      </c>
      <c r="G7798" t="s">
        <v>28205</v>
      </c>
      <c r="H7798" t="s">
        <v>28214</v>
      </c>
      <c r="I7798" t="s">
        <v>3797</v>
      </c>
      <c r="J7798" t="s">
        <v>28379</v>
      </c>
      <c r="K7798" t="s">
        <v>36694</v>
      </c>
      <c r="M7798" t="s">
        <v>39547</v>
      </c>
      <c r="N7798" t="s">
        <v>40436</v>
      </c>
      <c r="O7798" t="s">
        <v>40437</v>
      </c>
      <c r="P7798">
        <v>0</v>
      </c>
      <c r="Q7798">
        <v>31</v>
      </c>
      <c r="R7798" t="s">
        <v>40444</v>
      </c>
      <c r="S7798" t="s">
        <v>40676</v>
      </c>
      <c r="T7798" t="s">
        <v>42376</v>
      </c>
      <c r="U7798" t="s">
        <v>49210</v>
      </c>
      <c r="V7798" t="s">
        <v>54051</v>
      </c>
      <c r="W7798" t="s">
        <v>39547</v>
      </c>
      <c r="X7798" t="s">
        <v>40445</v>
      </c>
    </row>
    <row r="7799" spans="1:24">
      <c r="A7799">
        <f>HYPERLINK("https://www.philgeps.gov.ph/GEPSNONPILOT/Tender/SplashBidNoticeAbstractUI.aspx?menuIndex=3&amp;refID=7002813&amp;Result=3","7002813")</f>
        <v>0</v>
      </c>
      <c r="B7799" t="s">
        <v>2371</v>
      </c>
      <c r="C7799" t="s">
        <v>10506</v>
      </c>
      <c r="D7799" t="s">
        <v>16219</v>
      </c>
      <c r="E7799" t="s">
        <v>23144</v>
      </c>
      <c r="F7799" t="s">
        <v>28198</v>
      </c>
      <c r="G7799" t="s">
        <v>28205</v>
      </c>
      <c r="H7799" t="s">
        <v>28215</v>
      </c>
      <c r="I7799" t="s">
        <v>4321</v>
      </c>
      <c r="J7799" t="s">
        <v>33234</v>
      </c>
      <c r="K7799" t="s">
        <v>36706</v>
      </c>
      <c r="M7799" t="s">
        <v>39553</v>
      </c>
      <c r="N7799" t="s">
        <v>40436</v>
      </c>
      <c r="O7799" t="s">
        <v>40437</v>
      </c>
      <c r="P7799">
        <v>0</v>
      </c>
      <c r="Q7799">
        <v>0</v>
      </c>
      <c r="R7799" t="s">
        <v>40445</v>
      </c>
      <c r="S7799" t="s">
        <v>40730</v>
      </c>
      <c r="T7799" t="s">
        <v>42277</v>
      </c>
      <c r="U7799" t="s">
        <v>49211</v>
      </c>
      <c r="W7799" t="s">
        <v>39553</v>
      </c>
      <c r="X7799" t="s">
        <v>40465</v>
      </c>
    </row>
    <row r="7800" spans="1:24">
      <c r="A7800">
        <f>HYPERLINK("https://www.philgeps.gov.ph/GEPSNONPILOT/Tender/SplashBidNoticeAbstractUI.aspx?menuIndex=3&amp;refID=7013338&amp;Result=3","7013338")</f>
        <v>0</v>
      </c>
      <c r="B7800" t="s">
        <v>2372</v>
      </c>
      <c r="C7800" t="s">
        <v>10507</v>
      </c>
      <c r="D7800" t="s">
        <v>16188</v>
      </c>
      <c r="E7800" t="s">
        <v>16565</v>
      </c>
      <c r="F7800" t="s">
        <v>28198</v>
      </c>
      <c r="G7800" t="s">
        <v>28205</v>
      </c>
      <c r="H7800" t="s">
        <v>28214</v>
      </c>
      <c r="I7800" t="s">
        <v>3797</v>
      </c>
      <c r="J7800" t="s">
        <v>28699</v>
      </c>
      <c r="K7800" t="s">
        <v>36697</v>
      </c>
      <c r="M7800" t="s">
        <v>39554</v>
      </c>
      <c r="N7800" t="s">
        <v>40436</v>
      </c>
      <c r="O7800" t="s">
        <v>40437</v>
      </c>
      <c r="P7800">
        <v>0</v>
      </c>
      <c r="Q7800">
        <v>2</v>
      </c>
      <c r="R7800" t="s">
        <v>40445</v>
      </c>
      <c r="S7800" t="s">
        <v>40730</v>
      </c>
      <c r="T7800" t="s">
        <v>42480</v>
      </c>
      <c r="U7800" t="s">
        <v>49212</v>
      </c>
      <c r="W7800" t="s">
        <v>39554</v>
      </c>
      <c r="X7800" t="s">
        <v>40459</v>
      </c>
    </row>
    <row r="7801" spans="1:24">
      <c r="A7801">
        <f>HYPERLINK("https://www.philgeps.gov.ph/GEPSNONPILOT/Tender/SplashBidNoticeAbstractUI.aspx?menuIndex=3&amp;refID=7040965&amp;Result=3","7040965")</f>
        <v>0</v>
      </c>
      <c r="B7801" t="s">
        <v>1914</v>
      </c>
      <c r="C7801" t="s">
        <v>10508</v>
      </c>
      <c r="D7801" t="s">
        <v>16194</v>
      </c>
      <c r="E7801" t="s">
        <v>23139</v>
      </c>
      <c r="F7801" t="s">
        <v>28198</v>
      </c>
      <c r="G7801" t="s">
        <v>28205</v>
      </c>
      <c r="H7801" t="s">
        <v>28215</v>
      </c>
      <c r="I7801" t="s">
        <v>28278</v>
      </c>
      <c r="J7801" t="s">
        <v>33235</v>
      </c>
      <c r="K7801" t="s">
        <v>36688</v>
      </c>
      <c r="M7801" t="s">
        <v>39046</v>
      </c>
      <c r="N7801" t="s">
        <v>40436</v>
      </c>
      <c r="O7801" t="s">
        <v>40437</v>
      </c>
      <c r="P7801">
        <v>0</v>
      </c>
      <c r="Q7801">
        <v>0</v>
      </c>
      <c r="R7801" t="s">
        <v>40444</v>
      </c>
      <c r="S7801" t="s">
        <v>40676</v>
      </c>
      <c r="T7801" t="s">
        <v>42245</v>
      </c>
      <c r="U7801" t="s">
        <v>49213</v>
      </c>
      <c r="W7801" t="s">
        <v>39046</v>
      </c>
      <c r="X7801" t="s">
        <v>40445</v>
      </c>
    </row>
    <row r="7802" spans="1:24">
      <c r="A7802">
        <f>HYPERLINK("https://www.philgeps.gov.ph/GEPSNONPILOT/Tender/SplashBidNoticeAbstractUI.aspx?menuIndex=3&amp;refID=7016854&amp;Result=3","7016854")</f>
        <v>0</v>
      </c>
      <c r="B7802" t="s">
        <v>2373</v>
      </c>
      <c r="C7802" t="s">
        <v>10509</v>
      </c>
      <c r="D7802" t="s">
        <v>16221</v>
      </c>
      <c r="E7802" t="s">
        <v>23145</v>
      </c>
      <c r="F7802" t="s">
        <v>28198</v>
      </c>
      <c r="G7802" t="s">
        <v>28205</v>
      </c>
      <c r="H7802" t="s">
        <v>28217</v>
      </c>
      <c r="I7802" t="s">
        <v>4168</v>
      </c>
      <c r="J7802" t="s">
        <v>33236</v>
      </c>
      <c r="K7802" t="s">
        <v>36701</v>
      </c>
      <c r="M7802" t="s">
        <v>39555</v>
      </c>
      <c r="N7802" t="s">
        <v>40436</v>
      </c>
      <c r="O7802" t="s">
        <v>40437</v>
      </c>
      <c r="P7802">
        <v>0</v>
      </c>
      <c r="Q7802">
        <v>8</v>
      </c>
      <c r="R7802" t="s">
        <v>40445</v>
      </c>
      <c r="S7802" t="s">
        <v>40730</v>
      </c>
      <c r="T7802" t="s">
        <v>42459</v>
      </c>
      <c r="U7802" t="s">
        <v>49214</v>
      </c>
      <c r="V7802" t="s">
        <v>54616</v>
      </c>
      <c r="W7802" t="s">
        <v>39555</v>
      </c>
      <c r="X7802" t="s">
        <v>40457</v>
      </c>
    </row>
    <row r="7803" spans="1:24">
      <c r="A7803">
        <f>HYPERLINK("https://www.philgeps.gov.ph/GEPSNONPILOT/Tender/SplashBidNoticeAbstractUI.aspx?menuIndex=3&amp;refID=6972282-2&amp;Result=3","6972282-2")</f>
        <v>0</v>
      </c>
      <c r="B7803" t="s">
        <v>916</v>
      </c>
      <c r="C7803" t="s">
        <v>10510</v>
      </c>
      <c r="D7803" t="s">
        <v>16210</v>
      </c>
      <c r="E7803" t="s">
        <v>23146</v>
      </c>
      <c r="F7803" t="s">
        <v>28198</v>
      </c>
      <c r="G7803" t="s">
        <v>28205</v>
      </c>
      <c r="H7803" t="s">
        <v>28216</v>
      </c>
      <c r="I7803" t="s">
        <v>28216</v>
      </c>
      <c r="J7803" t="s">
        <v>28351</v>
      </c>
      <c r="K7803" t="s">
        <v>36689</v>
      </c>
      <c r="M7803" t="s">
        <v>39556</v>
      </c>
      <c r="N7803" t="s">
        <v>40436</v>
      </c>
      <c r="O7803" t="s">
        <v>40437</v>
      </c>
      <c r="P7803">
        <v>0</v>
      </c>
      <c r="Q7803">
        <v>1</v>
      </c>
      <c r="R7803" t="s">
        <v>40445</v>
      </c>
      <c r="S7803" t="s">
        <v>40730</v>
      </c>
      <c r="T7803" t="s">
        <v>42138</v>
      </c>
      <c r="U7803" t="s">
        <v>49215</v>
      </c>
      <c r="W7803" t="s">
        <v>39556</v>
      </c>
      <c r="X7803" t="s">
        <v>40446</v>
      </c>
    </row>
    <row r="7804" spans="1:24">
      <c r="A7804">
        <f>HYPERLINK("https://www.philgeps.gov.ph/GEPSNONPILOT/Tender/SplashBidNoticeAbstractUI.aspx?menuIndex=3&amp;refID=7040963&amp;Result=3","7040963")</f>
        <v>0</v>
      </c>
      <c r="B7804" t="s">
        <v>916</v>
      </c>
      <c r="C7804" t="s">
        <v>10511</v>
      </c>
      <c r="E7804" t="s">
        <v>23147</v>
      </c>
      <c r="F7804" t="s">
        <v>28198</v>
      </c>
      <c r="G7804" t="s">
        <v>28205</v>
      </c>
      <c r="H7804" t="s">
        <v>28217</v>
      </c>
      <c r="I7804" t="s">
        <v>28234</v>
      </c>
      <c r="J7804" t="s">
        <v>28390</v>
      </c>
      <c r="K7804" t="s">
        <v>36705</v>
      </c>
      <c r="M7804" t="s">
        <v>38951</v>
      </c>
      <c r="N7804" t="s">
        <v>40436</v>
      </c>
      <c r="O7804" t="s">
        <v>40437</v>
      </c>
      <c r="P7804">
        <v>0</v>
      </c>
      <c r="Q7804">
        <v>14</v>
      </c>
      <c r="R7804" t="s">
        <v>40444</v>
      </c>
      <c r="S7804" t="s">
        <v>40676</v>
      </c>
      <c r="T7804" t="s">
        <v>42138</v>
      </c>
      <c r="U7804" t="s">
        <v>49216</v>
      </c>
      <c r="W7804" t="s">
        <v>38951</v>
      </c>
      <c r="X7804" t="s">
        <v>40445</v>
      </c>
    </row>
    <row r="7805" spans="1:24">
      <c r="A7805">
        <f>HYPERLINK("https://www.philgeps.gov.ph/GEPSNONPILOT/Tender/SplashBidNoticeAbstractUI.aspx?menuIndex=3&amp;refID=7019234&amp;Result=3","7019234")</f>
        <v>0</v>
      </c>
      <c r="B7805" t="s">
        <v>2374</v>
      </c>
      <c r="C7805" t="s">
        <v>10512</v>
      </c>
      <c r="D7805" t="s">
        <v>16204</v>
      </c>
      <c r="E7805" t="s">
        <v>17248</v>
      </c>
      <c r="F7805" t="s">
        <v>28198</v>
      </c>
      <c r="G7805" t="s">
        <v>28205</v>
      </c>
      <c r="H7805" t="s">
        <v>28214</v>
      </c>
      <c r="I7805" t="s">
        <v>8870</v>
      </c>
      <c r="J7805" t="s">
        <v>33237</v>
      </c>
      <c r="K7805" t="s">
        <v>36687</v>
      </c>
      <c r="L7805" t="s">
        <v>2374</v>
      </c>
      <c r="M7805" t="s">
        <v>39557</v>
      </c>
      <c r="N7805" t="s">
        <v>40436</v>
      </c>
      <c r="O7805" t="s">
        <v>40437</v>
      </c>
      <c r="P7805">
        <v>0</v>
      </c>
      <c r="Q7805">
        <v>2</v>
      </c>
      <c r="R7805" t="s">
        <v>40445</v>
      </c>
      <c r="S7805" t="s">
        <v>40730</v>
      </c>
      <c r="T7805" t="s">
        <v>42205</v>
      </c>
      <c r="U7805" t="s">
        <v>49217</v>
      </c>
      <c r="W7805" t="s">
        <v>39557</v>
      </c>
      <c r="X7805" t="s">
        <v>40454</v>
      </c>
    </row>
    <row r="7806" spans="1:24">
      <c r="A7806">
        <f>HYPERLINK("https://www.philgeps.gov.ph/GEPSNONPILOT/Tender/SplashBidNoticeAbstractUI.aspx?menuIndex=3&amp;refID=7023579&amp;Result=3","7023579")</f>
        <v>0</v>
      </c>
      <c r="B7806" t="s">
        <v>1426</v>
      </c>
      <c r="C7806" t="s">
        <v>10513</v>
      </c>
      <c r="D7806" t="s">
        <v>16216</v>
      </c>
      <c r="E7806" t="s">
        <v>23148</v>
      </c>
      <c r="F7806" t="s">
        <v>28198</v>
      </c>
      <c r="G7806" t="s">
        <v>28205</v>
      </c>
      <c r="H7806" t="s">
        <v>28215</v>
      </c>
      <c r="I7806" t="s">
        <v>28220</v>
      </c>
      <c r="J7806" t="s">
        <v>32970</v>
      </c>
      <c r="K7806" t="s">
        <v>36715</v>
      </c>
      <c r="M7806" t="s">
        <v>38492</v>
      </c>
      <c r="N7806" t="s">
        <v>40436</v>
      </c>
      <c r="O7806" t="s">
        <v>40437</v>
      </c>
      <c r="P7806">
        <v>0</v>
      </c>
      <c r="Q7806">
        <v>16</v>
      </c>
      <c r="R7806" t="s">
        <v>40445</v>
      </c>
      <c r="S7806" t="s">
        <v>40730</v>
      </c>
      <c r="T7806" t="s">
        <v>42499</v>
      </c>
      <c r="U7806" t="s">
        <v>49218</v>
      </c>
      <c r="V7806" t="s">
        <v>54617</v>
      </c>
      <c r="W7806" t="s">
        <v>38492</v>
      </c>
      <c r="X7806" t="s">
        <v>40453</v>
      </c>
    </row>
    <row r="7807" spans="1:24">
      <c r="A7807">
        <f>HYPERLINK("https://www.philgeps.gov.ph/GEPSNONPILOT/Tender/SplashBidNoticeAbstractUI.aspx?menuIndex=3&amp;refID=7027703&amp;Result=3","7027703")</f>
        <v>0</v>
      </c>
      <c r="B7807" t="s">
        <v>2375</v>
      </c>
      <c r="C7807" t="s">
        <v>10514</v>
      </c>
      <c r="D7807" t="s">
        <v>16191</v>
      </c>
      <c r="E7807" t="s">
        <v>23149</v>
      </c>
      <c r="F7807" t="s">
        <v>28198</v>
      </c>
      <c r="G7807" t="s">
        <v>28205</v>
      </c>
      <c r="H7807" t="s">
        <v>28215</v>
      </c>
      <c r="I7807" t="s">
        <v>5100</v>
      </c>
      <c r="J7807" t="s">
        <v>33238</v>
      </c>
      <c r="K7807" t="s">
        <v>36687</v>
      </c>
      <c r="M7807" t="s">
        <v>39558</v>
      </c>
      <c r="N7807" t="s">
        <v>40436</v>
      </c>
      <c r="O7807" t="s">
        <v>40437</v>
      </c>
      <c r="P7807">
        <v>0</v>
      </c>
      <c r="Q7807">
        <v>1</v>
      </c>
      <c r="R7807" t="s">
        <v>40445</v>
      </c>
      <c r="S7807" t="s">
        <v>40730</v>
      </c>
      <c r="T7807" t="s">
        <v>42133</v>
      </c>
      <c r="U7807" t="s">
        <v>49219</v>
      </c>
      <c r="W7807" t="s">
        <v>39558</v>
      </c>
      <c r="X7807" t="s">
        <v>40451</v>
      </c>
    </row>
    <row r="7808" spans="1:24">
      <c r="A7808">
        <f>HYPERLINK("https://www.philgeps.gov.ph/GEPSNONPILOT/Tender/SplashBidNoticeAbstractUI.aspx?menuIndex=3&amp;refID=7027660&amp;Result=3","7027660")</f>
        <v>0</v>
      </c>
      <c r="B7808" t="s">
        <v>2375</v>
      </c>
      <c r="C7808" t="s">
        <v>10515</v>
      </c>
      <c r="D7808" t="s">
        <v>16191</v>
      </c>
      <c r="E7808" t="s">
        <v>23150</v>
      </c>
      <c r="F7808" t="s">
        <v>28198</v>
      </c>
      <c r="G7808" t="s">
        <v>28205</v>
      </c>
      <c r="H7808" t="s">
        <v>28215</v>
      </c>
      <c r="I7808" t="s">
        <v>5100</v>
      </c>
      <c r="J7808" t="s">
        <v>33239</v>
      </c>
      <c r="K7808" t="s">
        <v>36707</v>
      </c>
      <c r="M7808" t="s">
        <v>39558</v>
      </c>
      <c r="N7808" t="s">
        <v>40436</v>
      </c>
      <c r="O7808" t="s">
        <v>40437</v>
      </c>
      <c r="P7808">
        <v>0</v>
      </c>
      <c r="Q7808">
        <v>2</v>
      </c>
      <c r="R7808" t="s">
        <v>40445</v>
      </c>
      <c r="S7808" t="s">
        <v>40730</v>
      </c>
      <c r="T7808" t="s">
        <v>42133</v>
      </c>
      <c r="U7808" t="s">
        <v>49219</v>
      </c>
      <c r="W7808" t="s">
        <v>39558</v>
      </c>
      <c r="X7808" t="s">
        <v>40451</v>
      </c>
    </row>
    <row r="7809" spans="1:24">
      <c r="A7809">
        <f>HYPERLINK("https://www.philgeps.gov.ph/GEPSNONPILOT/Tender/SplashBidNoticeAbstractUI.aspx?menuIndex=3&amp;refID=7027463&amp;Result=3","7027463")</f>
        <v>0</v>
      </c>
      <c r="B7809" t="s">
        <v>215</v>
      </c>
      <c r="C7809" t="s">
        <v>10516</v>
      </c>
      <c r="D7809" t="s">
        <v>16218</v>
      </c>
      <c r="E7809" t="s">
        <v>23151</v>
      </c>
      <c r="F7809" t="s">
        <v>28198</v>
      </c>
      <c r="G7809" t="s">
        <v>28205</v>
      </c>
      <c r="H7809" t="s">
        <v>28215</v>
      </c>
      <c r="I7809" t="s">
        <v>5082</v>
      </c>
      <c r="J7809" t="s">
        <v>33240</v>
      </c>
      <c r="K7809" t="s">
        <v>36688</v>
      </c>
      <c r="M7809" t="s">
        <v>38271</v>
      </c>
      <c r="N7809" t="s">
        <v>40436</v>
      </c>
      <c r="O7809" t="s">
        <v>40437</v>
      </c>
      <c r="P7809">
        <v>0</v>
      </c>
      <c r="Q7809">
        <v>3</v>
      </c>
      <c r="R7809" t="s">
        <v>40445</v>
      </c>
      <c r="S7809" t="s">
        <v>40730</v>
      </c>
      <c r="T7809" t="s">
        <v>42427</v>
      </c>
      <c r="U7809" t="s">
        <v>49220</v>
      </c>
      <c r="W7809" t="s">
        <v>38271</v>
      </c>
      <c r="X7809" t="s">
        <v>40451</v>
      </c>
    </row>
    <row r="7810" spans="1:24">
      <c r="A7810">
        <f>HYPERLINK("https://www.philgeps.gov.ph/GEPSNONPILOT/Tender/SplashBidNoticeAbstractUI.aspx?menuIndex=3&amp;refID=7031230&amp;Result=3","7031230")</f>
        <v>0</v>
      </c>
      <c r="B7810" t="s">
        <v>2376</v>
      </c>
      <c r="C7810" t="s">
        <v>10517</v>
      </c>
      <c r="D7810" t="s">
        <v>16221</v>
      </c>
      <c r="E7810" t="s">
        <v>16421</v>
      </c>
      <c r="F7810" t="s">
        <v>28198</v>
      </c>
      <c r="G7810" t="s">
        <v>28205</v>
      </c>
      <c r="H7810" t="s">
        <v>28214</v>
      </c>
      <c r="I7810" t="s">
        <v>3797</v>
      </c>
      <c r="J7810" t="s">
        <v>33241</v>
      </c>
      <c r="K7810" t="s">
        <v>36690</v>
      </c>
      <c r="M7810" t="s">
        <v>39559</v>
      </c>
      <c r="N7810" t="s">
        <v>40436</v>
      </c>
      <c r="O7810" t="s">
        <v>40437</v>
      </c>
      <c r="P7810">
        <v>0</v>
      </c>
      <c r="Q7810">
        <v>2</v>
      </c>
      <c r="R7810" t="s">
        <v>40445</v>
      </c>
      <c r="S7810" t="s">
        <v>40730</v>
      </c>
      <c r="T7810" t="s">
        <v>42346</v>
      </c>
      <c r="U7810" t="s">
        <v>49221</v>
      </c>
      <c r="V7810" t="s">
        <v>54618</v>
      </c>
      <c r="W7810" t="s">
        <v>39559</v>
      </c>
      <c r="X7810" t="s">
        <v>40450</v>
      </c>
    </row>
    <row r="7811" spans="1:24">
      <c r="A7811">
        <f>HYPERLINK("https://www.philgeps.gov.ph/GEPSNONPILOT/Tender/SplashBidNoticeAbstractUI.aspx?menuIndex=3&amp;refID=7030462&amp;Result=3","7030462")</f>
        <v>0</v>
      </c>
      <c r="B7811" t="s">
        <v>66</v>
      </c>
      <c r="C7811" t="s">
        <v>10518</v>
      </c>
      <c r="D7811" t="s">
        <v>16212</v>
      </c>
      <c r="E7811" t="s">
        <v>20309</v>
      </c>
      <c r="F7811" t="s">
        <v>28198</v>
      </c>
      <c r="G7811" t="s">
        <v>28205</v>
      </c>
      <c r="H7811" t="s">
        <v>28215</v>
      </c>
      <c r="I7811" t="s">
        <v>28245</v>
      </c>
      <c r="J7811" t="s">
        <v>33242</v>
      </c>
      <c r="K7811" t="s">
        <v>36706</v>
      </c>
      <c r="M7811" t="s">
        <v>37037</v>
      </c>
      <c r="N7811" t="s">
        <v>40436</v>
      </c>
      <c r="O7811" t="s">
        <v>40437</v>
      </c>
      <c r="P7811">
        <v>0</v>
      </c>
      <c r="Q7811">
        <v>1</v>
      </c>
      <c r="R7811" t="s">
        <v>40445</v>
      </c>
      <c r="S7811" t="s">
        <v>40730</v>
      </c>
      <c r="T7811" t="s">
        <v>42184</v>
      </c>
      <c r="U7811" t="s">
        <v>49222</v>
      </c>
      <c r="W7811" t="s">
        <v>37037</v>
      </c>
      <c r="X7811" t="s">
        <v>40450</v>
      </c>
    </row>
    <row r="7812" spans="1:24">
      <c r="A7812">
        <f>HYPERLINK("https://www.philgeps.gov.ph/GEPSNONPILOT/Tender/SplashBidNoticeAbstractUI.aspx?menuIndex=3&amp;refID=7024815&amp;Result=3","7024815")</f>
        <v>0</v>
      </c>
      <c r="B7812" t="s">
        <v>2377</v>
      </c>
      <c r="C7812" t="s">
        <v>10519</v>
      </c>
      <c r="D7812" t="s">
        <v>16260</v>
      </c>
      <c r="E7812" t="s">
        <v>23152</v>
      </c>
      <c r="F7812" t="s">
        <v>28198</v>
      </c>
      <c r="G7812" t="s">
        <v>28205</v>
      </c>
      <c r="H7812" t="s">
        <v>28214</v>
      </c>
      <c r="I7812" t="s">
        <v>3797</v>
      </c>
      <c r="J7812" t="s">
        <v>29120</v>
      </c>
      <c r="K7812" t="s">
        <v>36701</v>
      </c>
      <c r="M7812" t="s">
        <v>39560</v>
      </c>
      <c r="N7812" t="s">
        <v>40436</v>
      </c>
      <c r="O7812" t="s">
        <v>40437</v>
      </c>
      <c r="P7812">
        <v>0</v>
      </c>
      <c r="Q7812">
        <v>0</v>
      </c>
      <c r="R7812" t="s">
        <v>40445</v>
      </c>
      <c r="S7812" t="s">
        <v>40730</v>
      </c>
      <c r="T7812" t="s">
        <v>42141</v>
      </c>
      <c r="U7812" t="s">
        <v>49223</v>
      </c>
      <c r="W7812" t="s">
        <v>39560</v>
      </c>
      <c r="X7812" t="s">
        <v>40452</v>
      </c>
    </row>
    <row r="7813" spans="1:24">
      <c r="A7813">
        <f>HYPERLINK("https://www.philgeps.gov.ph/GEPSNONPILOT/Tender/SplashBidNoticeAbstractUI.aspx?menuIndex=3&amp;refID=7030380&amp;Result=3","7030380")</f>
        <v>0</v>
      </c>
      <c r="B7813" t="s">
        <v>66</v>
      </c>
      <c r="C7813" t="s">
        <v>10520</v>
      </c>
      <c r="D7813" t="s">
        <v>16212</v>
      </c>
      <c r="E7813" t="s">
        <v>23153</v>
      </c>
      <c r="F7813" t="s">
        <v>28198</v>
      </c>
      <c r="G7813" t="s">
        <v>28205</v>
      </c>
      <c r="H7813" t="s">
        <v>28214</v>
      </c>
      <c r="I7813" t="s">
        <v>3797</v>
      </c>
      <c r="J7813" t="s">
        <v>33243</v>
      </c>
      <c r="K7813" t="s">
        <v>36697</v>
      </c>
      <c r="M7813" t="s">
        <v>37037</v>
      </c>
      <c r="N7813" t="s">
        <v>40436</v>
      </c>
      <c r="O7813" t="s">
        <v>40437</v>
      </c>
      <c r="P7813">
        <v>0</v>
      </c>
      <c r="Q7813">
        <v>0</v>
      </c>
      <c r="R7813" t="s">
        <v>40445</v>
      </c>
      <c r="S7813" t="s">
        <v>40730</v>
      </c>
      <c r="T7813" t="s">
        <v>42184</v>
      </c>
      <c r="U7813" t="s">
        <v>49224</v>
      </c>
      <c r="W7813" t="s">
        <v>37037</v>
      </c>
      <c r="X7813" t="s">
        <v>40450</v>
      </c>
    </row>
    <row r="7814" spans="1:24">
      <c r="A7814">
        <f>HYPERLINK("https://www.philgeps.gov.ph/GEPSNONPILOT/Tender/SplashBidNoticeAbstractUI.aspx?menuIndex=3&amp;refID=7020717&amp;Result=3","7020717")</f>
        <v>0</v>
      </c>
      <c r="B7814" t="s">
        <v>2378</v>
      </c>
      <c r="C7814" t="s">
        <v>10521</v>
      </c>
      <c r="D7814" t="s">
        <v>16197</v>
      </c>
      <c r="E7814" t="s">
        <v>18647</v>
      </c>
      <c r="F7814" t="s">
        <v>28198</v>
      </c>
      <c r="G7814" t="s">
        <v>28205</v>
      </c>
      <c r="H7814" t="s">
        <v>28214</v>
      </c>
      <c r="I7814" t="s">
        <v>3797</v>
      </c>
      <c r="J7814" t="s">
        <v>33244</v>
      </c>
      <c r="K7814" t="s">
        <v>36832</v>
      </c>
      <c r="M7814" t="s">
        <v>39561</v>
      </c>
      <c r="N7814" t="s">
        <v>40436</v>
      </c>
      <c r="O7814" t="s">
        <v>40437</v>
      </c>
      <c r="P7814">
        <v>0</v>
      </c>
      <c r="Q7814">
        <v>0</v>
      </c>
      <c r="R7814" t="s">
        <v>40445</v>
      </c>
      <c r="S7814" t="s">
        <v>40730</v>
      </c>
      <c r="T7814" t="s">
        <v>42480</v>
      </c>
      <c r="U7814" t="s">
        <v>49225</v>
      </c>
      <c r="W7814" t="s">
        <v>39561</v>
      </c>
      <c r="X7814" t="s">
        <v>40454</v>
      </c>
    </row>
    <row r="7815" spans="1:24">
      <c r="A7815">
        <f>HYPERLINK("https://www.philgeps.gov.ph/GEPSNONPILOT/Tender/SplashBidNoticeAbstractUI.aspx?menuIndex=3&amp;refID=7029004&amp;Result=3","7029004")</f>
        <v>0</v>
      </c>
      <c r="B7815" t="s">
        <v>1034</v>
      </c>
      <c r="C7815" t="s">
        <v>10522</v>
      </c>
      <c r="D7815" t="s">
        <v>16213</v>
      </c>
      <c r="E7815" t="s">
        <v>23154</v>
      </c>
      <c r="F7815" t="s">
        <v>28198</v>
      </c>
      <c r="G7815" t="s">
        <v>28205</v>
      </c>
      <c r="H7815" t="s">
        <v>28214</v>
      </c>
      <c r="I7815" t="s">
        <v>3797</v>
      </c>
      <c r="J7815" t="s">
        <v>33245</v>
      </c>
      <c r="K7815" t="s">
        <v>36701</v>
      </c>
      <c r="M7815" t="s">
        <v>38066</v>
      </c>
      <c r="N7815" t="s">
        <v>40436</v>
      </c>
      <c r="O7815" t="s">
        <v>40437</v>
      </c>
      <c r="P7815">
        <v>0</v>
      </c>
      <c r="Q7815">
        <v>1</v>
      </c>
      <c r="R7815" t="s">
        <v>40445</v>
      </c>
      <c r="S7815" t="s">
        <v>40730</v>
      </c>
      <c r="T7815" t="s">
        <v>42278</v>
      </c>
      <c r="U7815" t="s">
        <v>49226</v>
      </c>
      <c r="W7815" t="s">
        <v>38066</v>
      </c>
      <c r="X7815" t="s">
        <v>40451</v>
      </c>
    </row>
    <row r="7816" spans="1:24">
      <c r="A7816">
        <f>HYPERLINK("https://www.philgeps.gov.ph/GEPSNONPILOT/Tender/SplashBidNoticeAbstractUI.aspx?menuIndex=3&amp;refID=7030242&amp;Result=3","7030242")</f>
        <v>0</v>
      </c>
      <c r="B7816" t="s">
        <v>66</v>
      </c>
      <c r="C7816" t="s">
        <v>10523</v>
      </c>
      <c r="D7816" t="s">
        <v>16212</v>
      </c>
      <c r="E7816" t="s">
        <v>20308</v>
      </c>
      <c r="F7816" t="s">
        <v>28198</v>
      </c>
      <c r="G7816" t="s">
        <v>28205</v>
      </c>
      <c r="H7816" t="s">
        <v>28215</v>
      </c>
      <c r="I7816" t="s">
        <v>28243</v>
      </c>
      <c r="J7816" t="s">
        <v>33246</v>
      </c>
      <c r="K7816" t="s">
        <v>36706</v>
      </c>
      <c r="M7816" t="s">
        <v>37037</v>
      </c>
      <c r="N7816" t="s">
        <v>40436</v>
      </c>
      <c r="O7816" t="s">
        <v>40437</v>
      </c>
      <c r="P7816">
        <v>0</v>
      </c>
      <c r="Q7816">
        <v>3</v>
      </c>
      <c r="R7816" t="s">
        <v>40445</v>
      </c>
      <c r="S7816" t="s">
        <v>40730</v>
      </c>
      <c r="T7816" t="s">
        <v>42184</v>
      </c>
      <c r="U7816" t="s">
        <v>49227</v>
      </c>
      <c r="W7816" t="s">
        <v>37037</v>
      </c>
      <c r="X7816" t="s">
        <v>40450</v>
      </c>
    </row>
    <row r="7817" spans="1:24">
      <c r="A7817">
        <f>HYPERLINK("https://www.philgeps.gov.ph/GEPSNONPILOT/Tender/SplashBidNoticeAbstractUI.aspx?menuIndex=3&amp;refID=7028032&amp;Result=3","7028032")</f>
        <v>0</v>
      </c>
      <c r="B7817" t="s">
        <v>2379</v>
      </c>
      <c r="C7817" t="s">
        <v>8924</v>
      </c>
      <c r="D7817" t="s">
        <v>16195</v>
      </c>
      <c r="E7817" t="s">
        <v>23155</v>
      </c>
      <c r="F7817" t="s">
        <v>28198</v>
      </c>
      <c r="G7817" t="s">
        <v>28205</v>
      </c>
      <c r="H7817" t="s">
        <v>28217</v>
      </c>
      <c r="I7817" t="s">
        <v>28231</v>
      </c>
      <c r="J7817" t="s">
        <v>33247</v>
      </c>
      <c r="K7817" t="s">
        <v>36788</v>
      </c>
      <c r="M7817" t="s">
        <v>39562</v>
      </c>
      <c r="N7817" t="s">
        <v>40436</v>
      </c>
      <c r="O7817" t="s">
        <v>40437</v>
      </c>
      <c r="Q7817">
        <v>5</v>
      </c>
      <c r="R7817" t="s">
        <v>40445</v>
      </c>
      <c r="S7817" t="s">
        <v>40731</v>
      </c>
      <c r="T7817" t="s">
        <v>42203</v>
      </c>
      <c r="U7817" t="s">
        <v>49228</v>
      </c>
      <c r="W7817" t="s">
        <v>39562</v>
      </c>
      <c r="X7817" t="s">
        <v>40451</v>
      </c>
    </row>
    <row r="7818" spans="1:24">
      <c r="A7818">
        <f>HYPERLINK("https://www.philgeps.gov.ph/GEPSNONPILOT/Tender/SplashBidNoticeAbstractUI.aspx?menuIndex=3&amp;refID=7027504&amp;Result=3","7027504")</f>
        <v>0</v>
      </c>
      <c r="B7818" t="s">
        <v>66</v>
      </c>
      <c r="C7818" t="s">
        <v>4369</v>
      </c>
      <c r="D7818" t="s">
        <v>16212</v>
      </c>
      <c r="E7818" t="s">
        <v>23156</v>
      </c>
      <c r="F7818" t="s">
        <v>28198</v>
      </c>
      <c r="G7818" t="s">
        <v>28205</v>
      </c>
      <c r="H7818" t="s">
        <v>28215</v>
      </c>
      <c r="I7818" t="s">
        <v>8888</v>
      </c>
      <c r="J7818" t="s">
        <v>33248</v>
      </c>
      <c r="K7818" t="s">
        <v>36706</v>
      </c>
      <c r="M7818" t="s">
        <v>37037</v>
      </c>
      <c r="N7818" t="s">
        <v>40436</v>
      </c>
      <c r="O7818" t="s">
        <v>40437</v>
      </c>
      <c r="P7818">
        <v>0</v>
      </c>
      <c r="Q7818">
        <v>5</v>
      </c>
      <c r="R7818" t="s">
        <v>40445</v>
      </c>
      <c r="S7818" t="s">
        <v>40730</v>
      </c>
      <c r="T7818" t="s">
        <v>42184</v>
      </c>
      <c r="U7818" t="s">
        <v>49229</v>
      </c>
      <c r="W7818" t="s">
        <v>37037</v>
      </c>
      <c r="X7818" t="s">
        <v>40451</v>
      </c>
    </row>
    <row r="7819" spans="1:24">
      <c r="A7819">
        <f>HYPERLINK("https://www.philgeps.gov.ph/GEPSNONPILOT/Tender/SplashBidNoticeAbstractUI.aspx?menuIndex=3&amp;refID=7024711&amp;Result=3","7024711")</f>
        <v>0</v>
      </c>
      <c r="B7819" t="s">
        <v>1759</v>
      </c>
      <c r="C7819" t="s">
        <v>10524</v>
      </c>
      <c r="D7819" t="s">
        <v>16199</v>
      </c>
      <c r="E7819" t="s">
        <v>23157</v>
      </c>
      <c r="F7819" t="s">
        <v>28198</v>
      </c>
      <c r="G7819" t="s">
        <v>28205</v>
      </c>
      <c r="H7819" t="s">
        <v>28214</v>
      </c>
      <c r="I7819" t="s">
        <v>3797</v>
      </c>
      <c r="J7819" t="s">
        <v>28351</v>
      </c>
      <c r="K7819" t="s">
        <v>36694</v>
      </c>
      <c r="M7819" t="s">
        <v>38872</v>
      </c>
      <c r="N7819" t="s">
        <v>40436</v>
      </c>
      <c r="O7819" t="s">
        <v>40437</v>
      </c>
      <c r="P7819">
        <v>0</v>
      </c>
      <c r="Q7819">
        <v>0</v>
      </c>
      <c r="R7819" t="s">
        <v>40445</v>
      </c>
      <c r="S7819" t="s">
        <v>40730</v>
      </c>
      <c r="T7819" t="s">
        <v>42482</v>
      </c>
      <c r="U7819" t="s">
        <v>49230</v>
      </c>
      <c r="W7819" t="s">
        <v>38872</v>
      </c>
      <c r="X7819" t="s">
        <v>40452</v>
      </c>
    </row>
    <row r="7820" spans="1:24">
      <c r="A7820">
        <f>HYPERLINK("https://www.philgeps.gov.ph/GEPSNONPILOT/Tender/SplashBidNoticeAbstractUI.aspx?menuIndex=3&amp;refID=7027764&amp;Result=3","7027764")</f>
        <v>0</v>
      </c>
      <c r="B7820" t="s">
        <v>2375</v>
      </c>
      <c r="C7820" t="s">
        <v>10525</v>
      </c>
      <c r="D7820" t="s">
        <v>16191</v>
      </c>
      <c r="E7820" t="s">
        <v>23158</v>
      </c>
      <c r="F7820" t="s">
        <v>28198</v>
      </c>
      <c r="G7820" t="s">
        <v>28205</v>
      </c>
      <c r="H7820" t="s">
        <v>28215</v>
      </c>
      <c r="I7820" t="s">
        <v>5100</v>
      </c>
      <c r="J7820" t="s">
        <v>33238</v>
      </c>
      <c r="K7820" t="s">
        <v>36687</v>
      </c>
      <c r="M7820" t="s">
        <v>39558</v>
      </c>
      <c r="N7820" t="s">
        <v>40436</v>
      </c>
      <c r="O7820" t="s">
        <v>40437</v>
      </c>
      <c r="P7820">
        <v>0</v>
      </c>
      <c r="Q7820">
        <v>2</v>
      </c>
      <c r="R7820" t="s">
        <v>40445</v>
      </c>
      <c r="S7820" t="s">
        <v>40730</v>
      </c>
      <c r="T7820" t="s">
        <v>42121</v>
      </c>
      <c r="U7820" t="s">
        <v>49219</v>
      </c>
      <c r="W7820" t="s">
        <v>39558</v>
      </c>
      <c r="X7820" t="s">
        <v>40451</v>
      </c>
    </row>
    <row r="7821" spans="1:24">
      <c r="A7821">
        <f>HYPERLINK("https://www.philgeps.gov.ph/GEPSNONPILOT/Tender/SplashBidNoticeAbstractUI.aspx?menuIndex=3&amp;refID=7027733&amp;Result=3","7027733")</f>
        <v>0</v>
      </c>
      <c r="B7821" t="s">
        <v>2375</v>
      </c>
      <c r="C7821" t="s">
        <v>10526</v>
      </c>
      <c r="D7821" t="s">
        <v>16191</v>
      </c>
      <c r="E7821" t="s">
        <v>23159</v>
      </c>
      <c r="F7821" t="s">
        <v>28198</v>
      </c>
      <c r="G7821" t="s">
        <v>28205</v>
      </c>
      <c r="H7821" t="s">
        <v>28215</v>
      </c>
      <c r="I7821" t="s">
        <v>5100</v>
      </c>
      <c r="J7821" t="s">
        <v>33249</v>
      </c>
      <c r="K7821" t="s">
        <v>36707</v>
      </c>
      <c r="M7821" t="s">
        <v>39558</v>
      </c>
      <c r="N7821" t="s">
        <v>40436</v>
      </c>
      <c r="O7821" t="s">
        <v>40437</v>
      </c>
      <c r="P7821">
        <v>0</v>
      </c>
      <c r="Q7821">
        <v>2</v>
      </c>
      <c r="R7821" t="s">
        <v>40445</v>
      </c>
      <c r="S7821" t="s">
        <v>40730</v>
      </c>
      <c r="T7821" t="s">
        <v>42188</v>
      </c>
      <c r="U7821" t="s">
        <v>49219</v>
      </c>
      <c r="W7821" t="s">
        <v>39558</v>
      </c>
      <c r="X7821" t="s">
        <v>40451</v>
      </c>
    </row>
    <row r="7822" spans="1:24">
      <c r="A7822">
        <f>HYPERLINK("https://www.philgeps.gov.ph/GEPSNONPILOT/Tender/SplashBidNoticeAbstractUI.aspx?menuIndex=3&amp;refID=7028181&amp;Result=3","7028181")</f>
        <v>0</v>
      </c>
      <c r="B7822" t="s">
        <v>34</v>
      </c>
      <c r="C7822" t="s">
        <v>10527</v>
      </c>
      <c r="D7822" t="s">
        <v>16195</v>
      </c>
      <c r="E7822" t="s">
        <v>10527</v>
      </c>
      <c r="F7822" t="s">
        <v>28198</v>
      </c>
      <c r="G7822" t="s">
        <v>28205</v>
      </c>
      <c r="H7822" t="s">
        <v>28215</v>
      </c>
      <c r="I7822" t="s">
        <v>4168</v>
      </c>
      <c r="J7822" t="s">
        <v>28687</v>
      </c>
      <c r="K7822" t="s">
        <v>36688</v>
      </c>
      <c r="M7822" t="s">
        <v>37003</v>
      </c>
      <c r="N7822" t="s">
        <v>40436</v>
      </c>
      <c r="O7822" t="s">
        <v>40437</v>
      </c>
      <c r="P7822">
        <v>0</v>
      </c>
      <c r="Q7822">
        <v>0</v>
      </c>
      <c r="R7822" t="s">
        <v>40445</v>
      </c>
      <c r="S7822" t="s">
        <v>40730</v>
      </c>
      <c r="T7822" t="s">
        <v>42138</v>
      </c>
      <c r="U7822" t="s">
        <v>49231</v>
      </c>
      <c r="V7822" t="s">
        <v>53779</v>
      </c>
      <c r="W7822" t="s">
        <v>37003</v>
      </c>
      <c r="X7822" t="s">
        <v>40451</v>
      </c>
    </row>
    <row r="7823" spans="1:24">
      <c r="A7823">
        <f>HYPERLINK("https://www.philgeps.gov.ph/GEPSNONPILOT/Tender/SplashBidNoticeAbstractUI.aspx?menuIndex=3&amp;refID=7031350&amp;Result=3","7031350")</f>
        <v>0</v>
      </c>
      <c r="B7823" t="s">
        <v>2376</v>
      </c>
      <c r="C7823" t="s">
        <v>10528</v>
      </c>
      <c r="D7823" t="s">
        <v>16221</v>
      </c>
      <c r="E7823" t="s">
        <v>23160</v>
      </c>
      <c r="F7823" t="s">
        <v>28198</v>
      </c>
      <c r="G7823" t="s">
        <v>28205</v>
      </c>
      <c r="H7823" t="s">
        <v>28214</v>
      </c>
      <c r="I7823" t="s">
        <v>3797</v>
      </c>
      <c r="J7823" t="s">
        <v>33250</v>
      </c>
      <c r="K7823" t="s">
        <v>36692</v>
      </c>
      <c r="M7823" t="s">
        <v>39559</v>
      </c>
      <c r="N7823" t="s">
        <v>40436</v>
      </c>
      <c r="O7823" t="s">
        <v>40437</v>
      </c>
      <c r="P7823">
        <v>0</v>
      </c>
      <c r="Q7823">
        <v>1</v>
      </c>
      <c r="R7823" t="s">
        <v>40445</v>
      </c>
      <c r="S7823" t="s">
        <v>40730</v>
      </c>
      <c r="T7823" t="s">
        <v>42346</v>
      </c>
      <c r="U7823" t="s">
        <v>49232</v>
      </c>
      <c r="V7823" t="s">
        <v>54619</v>
      </c>
      <c r="W7823" t="s">
        <v>39559</v>
      </c>
      <c r="X7823" t="s">
        <v>40450</v>
      </c>
    </row>
    <row r="7824" spans="1:24">
      <c r="A7824">
        <f>HYPERLINK("https://www.philgeps.gov.ph/GEPSNONPILOT/Tender/SplashBidNoticeAbstractUI.aspx?menuIndex=3&amp;refID=7023504&amp;Result=3","7023504")</f>
        <v>0</v>
      </c>
      <c r="B7824" t="s">
        <v>1426</v>
      </c>
      <c r="C7824" t="s">
        <v>10529</v>
      </c>
      <c r="D7824" t="s">
        <v>16216</v>
      </c>
      <c r="E7824" t="s">
        <v>23161</v>
      </c>
      <c r="F7824" t="s">
        <v>28198</v>
      </c>
      <c r="G7824" t="s">
        <v>28205</v>
      </c>
      <c r="H7824" t="s">
        <v>28215</v>
      </c>
      <c r="I7824" t="s">
        <v>28222</v>
      </c>
      <c r="J7824" t="s">
        <v>28468</v>
      </c>
      <c r="K7824" t="s">
        <v>36694</v>
      </c>
      <c r="M7824" t="s">
        <v>38492</v>
      </c>
      <c r="N7824" t="s">
        <v>40436</v>
      </c>
      <c r="O7824" t="s">
        <v>40437</v>
      </c>
      <c r="P7824">
        <v>0</v>
      </c>
      <c r="Q7824">
        <v>10</v>
      </c>
      <c r="R7824" t="s">
        <v>40445</v>
      </c>
      <c r="S7824" t="s">
        <v>40730</v>
      </c>
      <c r="T7824" t="s">
        <v>42499</v>
      </c>
      <c r="U7824" t="s">
        <v>49233</v>
      </c>
      <c r="V7824" t="s">
        <v>54617</v>
      </c>
      <c r="W7824" t="s">
        <v>38492</v>
      </c>
      <c r="X7824" t="s">
        <v>40453</v>
      </c>
    </row>
    <row r="7825" spans="1:24">
      <c r="A7825">
        <f>HYPERLINK("https://www.philgeps.gov.ph/GEPSNONPILOT/Tender/SplashBidNoticeAbstractUI.aspx?menuIndex=3&amp;refID=7032422&amp;Result=3","7032422")</f>
        <v>0</v>
      </c>
      <c r="B7825" t="s">
        <v>2380</v>
      </c>
      <c r="C7825" t="s">
        <v>10530</v>
      </c>
      <c r="D7825" t="s">
        <v>16239</v>
      </c>
      <c r="E7825" t="s">
        <v>23162</v>
      </c>
      <c r="F7825" t="s">
        <v>28198</v>
      </c>
      <c r="G7825" t="s">
        <v>28205</v>
      </c>
      <c r="H7825" t="s">
        <v>28214</v>
      </c>
      <c r="I7825" t="s">
        <v>3797</v>
      </c>
      <c r="J7825" t="s">
        <v>33251</v>
      </c>
      <c r="K7825" t="s">
        <v>36865</v>
      </c>
      <c r="M7825" t="s">
        <v>39563</v>
      </c>
      <c r="N7825" t="s">
        <v>40436</v>
      </c>
      <c r="O7825" t="s">
        <v>40437</v>
      </c>
      <c r="P7825">
        <v>0</v>
      </c>
      <c r="Q7825">
        <v>2</v>
      </c>
      <c r="R7825" t="s">
        <v>40445</v>
      </c>
      <c r="S7825" t="s">
        <v>40730</v>
      </c>
      <c r="T7825" t="s">
        <v>42234</v>
      </c>
      <c r="U7825" t="s">
        <v>49234</v>
      </c>
      <c r="W7825" t="s">
        <v>39563</v>
      </c>
      <c r="X7825" t="s">
        <v>40448</v>
      </c>
    </row>
    <row r="7826" spans="1:24">
      <c r="A7826">
        <f>HYPERLINK("https://www.philgeps.gov.ph/GEPSNONPILOT/Tender/SplashBidNoticeAbstractUI.aspx?menuIndex=3&amp;refID=7032420&amp;Result=3","7032420")</f>
        <v>0</v>
      </c>
      <c r="B7826" t="s">
        <v>2380</v>
      </c>
      <c r="C7826" t="s">
        <v>10531</v>
      </c>
      <c r="D7826" t="s">
        <v>16239</v>
      </c>
      <c r="E7826" t="s">
        <v>23163</v>
      </c>
      <c r="F7826" t="s">
        <v>28198</v>
      </c>
      <c r="G7826" t="s">
        <v>28205</v>
      </c>
      <c r="H7826" t="s">
        <v>28214</v>
      </c>
      <c r="I7826" t="s">
        <v>3797</v>
      </c>
      <c r="J7826" t="s">
        <v>33252</v>
      </c>
      <c r="K7826" t="s">
        <v>36709</v>
      </c>
      <c r="M7826" t="s">
        <v>39563</v>
      </c>
      <c r="N7826" t="s">
        <v>40436</v>
      </c>
      <c r="O7826" t="s">
        <v>40437</v>
      </c>
      <c r="P7826">
        <v>0</v>
      </c>
      <c r="Q7826">
        <v>0</v>
      </c>
      <c r="R7826" t="s">
        <v>40445</v>
      </c>
      <c r="S7826" t="s">
        <v>40730</v>
      </c>
      <c r="T7826" t="s">
        <v>42234</v>
      </c>
      <c r="U7826" t="s">
        <v>49235</v>
      </c>
      <c r="W7826" t="s">
        <v>39563</v>
      </c>
      <c r="X7826" t="s">
        <v>40448</v>
      </c>
    </row>
    <row r="7827" spans="1:24">
      <c r="A7827">
        <f>HYPERLINK("https://www.philgeps.gov.ph/GEPSNONPILOT/Tender/SplashBidNoticeAbstractUI.aspx?menuIndex=3&amp;refID=7031383&amp;Result=3","7031383")</f>
        <v>0</v>
      </c>
      <c r="B7827" t="s">
        <v>2130</v>
      </c>
      <c r="C7827" t="s">
        <v>10532</v>
      </c>
      <c r="D7827" t="s">
        <v>16265</v>
      </c>
      <c r="E7827" t="s">
        <v>23164</v>
      </c>
      <c r="F7827" t="s">
        <v>28198</v>
      </c>
      <c r="G7827" t="s">
        <v>28205</v>
      </c>
      <c r="H7827" t="s">
        <v>28214</v>
      </c>
      <c r="I7827" t="s">
        <v>3797</v>
      </c>
      <c r="J7827" t="s">
        <v>28347</v>
      </c>
      <c r="K7827" t="s">
        <v>36689</v>
      </c>
      <c r="M7827" t="s">
        <v>39287</v>
      </c>
      <c r="N7827" t="s">
        <v>40436</v>
      </c>
      <c r="O7827" t="s">
        <v>40437</v>
      </c>
      <c r="P7827">
        <v>0</v>
      </c>
      <c r="Q7827">
        <v>1</v>
      </c>
      <c r="R7827" t="s">
        <v>40445</v>
      </c>
      <c r="S7827" t="s">
        <v>40730</v>
      </c>
      <c r="T7827" t="s">
        <v>42234</v>
      </c>
      <c r="U7827" t="s">
        <v>49236</v>
      </c>
      <c r="W7827" t="s">
        <v>39287</v>
      </c>
      <c r="X7827" t="s">
        <v>40450</v>
      </c>
    </row>
    <row r="7828" spans="1:24">
      <c r="A7828">
        <f>HYPERLINK("https://www.philgeps.gov.ph/GEPSNONPILOT/Tender/SplashBidNoticeAbstractUI.aspx?menuIndex=3&amp;refID=7032451&amp;Result=3","7032451")</f>
        <v>0</v>
      </c>
      <c r="B7828" t="s">
        <v>2380</v>
      </c>
      <c r="C7828" t="s">
        <v>10533</v>
      </c>
      <c r="D7828" t="s">
        <v>16239</v>
      </c>
      <c r="E7828" t="s">
        <v>23165</v>
      </c>
      <c r="F7828" t="s">
        <v>28198</v>
      </c>
      <c r="G7828" t="s">
        <v>28205</v>
      </c>
      <c r="H7828" t="s">
        <v>28214</v>
      </c>
      <c r="I7828" t="s">
        <v>3797</v>
      </c>
      <c r="J7828" t="s">
        <v>33253</v>
      </c>
      <c r="K7828" t="s">
        <v>36710</v>
      </c>
      <c r="M7828" t="s">
        <v>39563</v>
      </c>
      <c r="N7828" t="s">
        <v>40436</v>
      </c>
      <c r="O7828" t="s">
        <v>40437</v>
      </c>
      <c r="P7828">
        <v>0</v>
      </c>
      <c r="Q7828">
        <v>0</v>
      </c>
      <c r="R7828" t="s">
        <v>40445</v>
      </c>
      <c r="S7828" t="s">
        <v>40730</v>
      </c>
      <c r="T7828" t="s">
        <v>42234</v>
      </c>
      <c r="U7828" t="s">
        <v>49237</v>
      </c>
      <c r="W7828" t="s">
        <v>39563</v>
      </c>
      <c r="X7828" t="s">
        <v>40448</v>
      </c>
    </row>
    <row r="7829" spans="1:24">
      <c r="A7829">
        <f>HYPERLINK("https://www.philgeps.gov.ph/GEPSNONPILOT/Tender/SplashBidNoticeAbstractUI.aspx?menuIndex=3&amp;refID=7032170&amp;Result=3","7032170")</f>
        <v>0</v>
      </c>
      <c r="B7829" t="s">
        <v>1620</v>
      </c>
      <c r="C7829" t="s">
        <v>10534</v>
      </c>
      <c r="D7829" t="s">
        <v>16193</v>
      </c>
      <c r="E7829" t="s">
        <v>23166</v>
      </c>
      <c r="F7829" t="s">
        <v>28198</v>
      </c>
      <c r="G7829" t="s">
        <v>28205</v>
      </c>
      <c r="H7829" t="s">
        <v>28215</v>
      </c>
      <c r="I7829" t="s">
        <v>5100</v>
      </c>
      <c r="J7829" t="s">
        <v>33254</v>
      </c>
      <c r="K7829" t="s">
        <v>36696</v>
      </c>
      <c r="M7829" t="s">
        <v>38709</v>
      </c>
      <c r="N7829" t="s">
        <v>40436</v>
      </c>
      <c r="O7829" t="s">
        <v>40437</v>
      </c>
      <c r="P7829">
        <v>0</v>
      </c>
      <c r="Q7829">
        <v>1</v>
      </c>
      <c r="R7829" t="s">
        <v>40445</v>
      </c>
      <c r="S7829" t="s">
        <v>40730</v>
      </c>
      <c r="T7829" t="s">
        <v>42278</v>
      </c>
      <c r="U7829" t="s">
        <v>46496</v>
      </c>
      <c r="V7829" t="s">
        <v>54620</v>
      </c>
      <c r="W7829" t="s">
        <v>38709</v>
      </c>
      <c r="X7829" t="s">
        <v>40449</v>
      </c>
    </row>
    <row r="7830" spans="1:24">
      <c r="A7830">
        <f>HYPERLINK("https://www.philgeps.gov.ph/GEPSNONPILOT/Tender/SplashBidNoticeAbstractUI.aspx?menuIndex=3&amp;refID=7027276&amp;Result=3","7027276")</f>
        <v>0</v>
      </c>
      <c r="B7830" t="s">
        <v>2381</v>
      </c>
      <c r="C7830" t="s">
        <v>10535</v>
      </c>
      <c r="D7830" t="s">
        <v>16243</v>
      </c>
      <c r="E7830" t="s">
        <v>23167</v>
      </c>
      <c r="F7830" t="s">
        <v>28198</v>
      </c>
      <c r="G7830" t="s">
        <v>28205</v>
      </c>
      <c r="H7830" t="s">
        <v>28215</v>
      </c>
      <c r="I7830" t="s">
        <v>4168</v>
      </c>
      <c r="J7830" t="s">
        <v>33255</v>
      </c>
      <c r="K7830" t="s">
        <v>36701</v>
      </c>
      <c r="M7830" t="s">
        <v>39564</v>
      </c>
      <c r="N7830" t="s">
        <v>40436</v>
      </c>
      <c r="O7830" t="s">
        <v>40437</v>
      </c>
      <c r="P7830">
        <v>0</v>
      </c>
      <c r="Q7830">
        <v>5</v>
      </c>
      <c r="R7830" t="s">
        <v>40445</v>
      </c>
      <c r="S7830" t="s">
        <v>40730</v>
      </c>
      <c r="T7830" t="s">
        <v>42278</v>
      </c>
      <c r="U7830" t="s">
        <v>49238</v>
      </c>
      <c r="W7830" t="s">
        <v>39564</v>
      </c>
      <c r="X7830" t="s">
        <v>40451</v>
      </c>
    </row>
    <row r="7831" spans="1:24">
      <c r="A7831">
        <f>HYPERLINK("https://www.philgeps.gov.ph/GEPSNONPILOT/Tender/SplashBidNoticeAbstractUI.aspx?menuIndex=3&amp;refID=7032417&amp;Result=3","7032417")</f>
        <v>0</v>
      </c>
      <c r="B7831" t="s">
        <v>2380</v>
      </c>
      <c r="C7831" t="s">
        <v>10536</v>
      </c>
      <c r="D7831" t="s">
        <v>16239</v>
      </c>
      <c r="E7831" t="s">
        <v>23168</v>
      </c>
      <c r="F7831" t="s">
        <v>28198</v>
      </c>
      <c r="G7831" t="s">
        <v>28205</v>
      </c>
      <c r="H7831" t="s">
        <v>28214</v>
      </c>
      <c r="I7831" t="s">
        <v>3797</v>
      </c>
      <c r="J7831" t="s">
        <v>33256</v>
      </c>
      <c r="K7831" t="s">
        <v>36694</v>
      </c>
      <c r="M7831" t="s">
        <v>39563</v>
      </c>
      <c r="N7831" t="s">
        <v>40436</v>
      </c>
      <c r="O7831" t="s">
        <v>40437</v>
      </c>
      <c r="P7831">
        <v>0</v>
      </c>
      <c r="Q7831">
        <v>1</v>
      </c>
      <c r="R7831" t="s">
        <v>40445</v>
      </c>
      <c r="S7831" t="s">
        <v>40730</v>
      </c>
      <c r="T7831" t="s">
        <v>42234</v>
      </c>
      <c r="U7831" t="s">
        <v>49239</v>
      </c>
      <c r="W7831" t="s">
        <v>39563</v>
      </c>
      <c r="X7831" t="s">
        <v>40448</v>
      </c>
    </row>
    <row r="7832" spans="1:24">
      <c r="A7832">
        <f>HYPERLINK("https://www.philgeps.gov.ph/GEPSNONPILOT/Tender/SplashBidNoticeAbstractUI.aspx?menuIndex=3&amp;refID=7032446&amp;Result=3","7032446")</f>
        <v>0</v>
      </c>
      <c r="B7832" t="s">
        <v>2380</v>
      </c>
      <c r="C7832" t="s">
        <v>10537</v>
      </c>
      <c r="D7832" t="s">
        <v>16239</v>
      </c>
      <c r="E7832" t="s">
        <v>23169</v>
      </c>
      <c r="F7832" t="s">
        <v>28198</v>
      </c>
      <c r="G7832" t="s">
        <v>28205</v>
      </c>
      <c r="H7832" t="s">
        <v>28214</v>
      </c>
      <c r="I7832" t="s">
        <v>3797</v>
      </c>
      <c r="J7832" t="s">
        <v>33257</v>
      </c>
      <c r="K7832" t="s">
        <v>36713</v>
      </c>
      <c r="M7832" t="s">
        <v>39563</v>
      </c>
      <c r="N7832" t="s">
        <v>40436</v>
      </c>
      <c r="O7832" t="s">
        <v>40437</v>
      </c>
      <c r="P7832">
        <v>0</v>
      </c>
      <c r="Q7832">
        <v>0</v>
      </c>
      <c r="R7832" t="s">
        <v>40445</v>
      </c>
      <c r="S7832" t="s">
        <v>40730</v>
      </c>
      <c r="T7832" t="s">
        <v>42234</v>
      </c>
      <c r="U7832" t="s">
        <v>49240</v>
      </c>
      <c r="W7832" t="s">
        <v>39563</v>
      </c>
      <c r="X7832" t="s">
        <v>40448</v>
      </c>
    </row>
    <row r="7833" spans="1:24">
      <c r="A7833">
        <f>HYPERLINK("https://www.philgeps.gov.ph/GEPSNONPILOT/Tender/SplashBidNoticeAbstractUI.aspx?menuIndex=3&amp;refID=7032437&amp;Result=3","7032437")</f>
        <v>0</v>
      </c>
      <c r="B7833" t="s">
        <v>2380</v>
      </c>
      <c r="C7833" t="s">
        <v>10538</v>
      </c>
      <c r="D7833" t="s">
        <v>16239</v>
      </c>
      <c r="E7833" t="s">
        <v>23170</v>
      </c>
      <c r="F7833" t="s">
        <v>28198</v>
      </c>
      <c r="G7833" t="s">
        <v>28205</v>
      </c>
      <c r="H7833" t="s">
        <v>28214</v>
      </c>
      <c r="I7833" t="s">
        <v>3797</v>
      </c>
      <c r="J7833" t="s">
        <v>33258</v>
      </c>
      <c r="K7833" t="s">
        <v>36777</v>
      </c>
      <c r="M7833" t="s">
        <v>39563</v>
      </c>
      <c r="N7833" t="s">
        <v>40436</v>
      </c>
      <c r="O7833" t="s">
        <v>40437</v>
      </c>
      <c r="P7833">
        <v>0</v>
      </c>
      <c r="Q7833">
        <v>0</v>
      </c>
      <c r="R7833" t="s">
        <v>40445</v>
      </c>
      <c r="S7833" t="s">
        <v>40730</v>
      </c>
      <c r="T7833" t="s">
        <v>42234</v>
      </c>
      <c r="U7833" t="s">
        <v>49241</v>
      </c>
      <c r="W7833" t="s">
        <v>39563</v>
      </c>
      <c r="X7833" t="s">
        <v>40448</v>
      </c>
    </row>
    <row r="7834" spans="1:24">
      <c r="A7834">
        <f>HYPERLINK("https://www.philgeps.gov.ph/GEPSNONPILOT/Tender/SplashBidNoticeAbstractUI.aspx?menuIndex=3&amp;refID=7032443&amp;Result=3","7032443")</f>
        <v>0</v>
      </c>
      <c r="B7834" t="s">
        <v>2380</v>
      </c>
      <c r="C7834" t="s">
        <v>10539</v>
      </c>
      <c r="D7834" t="s">
        <v>16239</v>
      </c>
      <c r="E7834" t="s">
        <v>23171</v>
      </c>
      <c r="F7834" t="s">
        <v>28198</v>
      </c>
      <c r="G7834" t="s">
        <v>28205</v>
      </c>
      <c r="H7834" t="s">
        <v>28214</v>
      </c>
      <c r="I7834" t="s">
        <v>3797</v>
      </c>
      <c r="J7834" t="s">
        <v>33259</v>
      </c>
      <c r="K7834" t="s">
        <v>36736</v>
      </c>
      <c r="M7834" t="s">
        <v>39563</v>
      </c>
      <c r="N7834" t="s">
        <v>40436</v>
      </c>
      <c r="O7834" t="s">
        <v>40437</v>
      </c>
      <c r="P7834">
        <v>0</v>
      </c>
      <c r="Q7834">
        <v>1</v>
      </c>
      <c r="R7834" t="s">
        <v>40445</v>
      </c>
      <c r="S7834" t="s">
        <v>40730</v>
      </c>
      <c r="T7834" t="s">
        <v>42234</v>
      </c>
      <c r="U7834" t="s">
        <v>49242</v>
      </c>
      <c r="W7834" t="s">
        <v>39563</v>
      </c>
      <c r="X7834" t="s">
        <v>40448</v>
      </c>
    </row>
    <row r="7835" spans="1:24">
      <c r="A7835">
        <f>HYPERLINK("https://www.philgeps.gov.ph/GEPSNONPILOT/Tender/SplashBidNoticeAbstractUI.aspx?menuIndex=3&amp;refID=7032432&amp;Result=3","7032432")</f>
        <v>0</v>
      </c>
      <c r="B7835" t="s">
        <v>2380</v>
      </c>
      <c r="C7835" t="s">
        <v>10540</v>
      </c>
      <c r="D7835" t="s">
        <v>16239</v>
      </c>
      <c r="E7835" t="s">
        <v>23172</v>
      </c>
      <c r="F7835" t="s">
        <v>28198</v>
      </c>
      <c r="G7835" t="s">
        <v>28205</v>
      </c>
      <c r="H7835" t="s">
        <v>28214</v>
      </c>
      <c r="I7835" t="s">
        <v>3797</v>
      </c>
      <c r="J7835" t="s">
        <v>33260</v>
      </c>
      <c r="K7835" t="s">
        <v>36724</v>
      </c>
      <c r="M7835" t="s">
        <v>39563</v>
      </c>
      <c r="N7835" t="s">
        <v>40436</v>
      </c>
      <c r="O7835" t="s">
        <v>40437</v>
      </c>
      <c r="P7835">
        <v>0</v>
      </c>
      <c r="Q7835">
        <v>1</v>
      </c>
      <c r="R7835" t="s">
        <v>40445</v>
      </c>
      <c r="S7835" t="s">
        <v>40730</v>
      </c>
      <c r="T7835" t="s">
        <v>42234</v>
      </c>
      <c r="U7835" t="s">
        <v>49243</v>
      </c>
      <c r="W7835" t="s">
        <v>39563</v>
      </c>
      <c r="X7835" t="s">
        <v>40448</v>
      </c>
    </row>
    <row r="7836" spans="1:24">
      <c r="A7836">
        <f>HYPERLINK("https://www.philgeps.gov.ph/GEPSNONPILOT/Tender/SplashBidNoticeAbstractUI.aspx?menuIndex=3&amp;refID=7032456&amp;Result=3","7032456")</f>
        <v>0</v>
      </c>
      <c r="B7836" t="s">
        <v>2380</v>
      </c>
      <c r="C7836" t="s">
        <v>10541</v>
      </c>
      <c r="D7836" t="s">
        <v>16239</v>
      </c>
      <c r="E7836" t="s">
        <v>23173</v>
      </c>
      <c r="F7836" t="s">
        <v>28198</v>
      </c>
      <c r="G7836" t="s">
        <v>28205</v>
      </c>
      <c r="H7836" t="s">
        <v>28214</v>
      </c>
      <c r="I7836" t="s">
        <v>3797</v>
      </c>
      <c r="J7836" t="s">
        <v>33261</v>
      </c>
      <c r="K7836" t="s">
        <v>36787</v>
      </c>
      <c r="M7836" t="s">
        <v>39563</v>
      </c>
      <c r="N7836" t="s">
        <v>40436</v>
      </c>
      <c r="O7836" t="s">
        <v>40437</v>
      </c>
      <c r="P7836">
        <v>0</v>
      </c>
      <c r="Q7836">
        <v>0</v>
      </c>
      <c r="R7836" t="s">
        <v>40445</v>
      </c>
      <c r="S7836" t="s">
        <v>40730</v>
      </c>
      <c r="T7836" t="s">
        <v>42234</v>
      </c>
      <c r="U7836" t="s">
        <v>49244</v>
      </c>
      <c r="W7836" t="s">
        <v>39563</v>
      </c>
      <c r="X7836" t="s">
        <v>40448</v>
      </c>
    </row>
    <row r="7837" spans="1:24">
      <c r="A7837">
        <f>HYPERLINK("https://www.philgeps.gov.ph/GEPSNONPILOT/Tender/SplashBidNoticeAbstractUI.aspx?menuIndex=3&amp;refID=7032430&amp;Result=3","7032430")</f>
        <v>0</v>
      </c>
      <c r="B7837" t="s">
        <v>2380</v>
      </c>
      <c r="C7837" t="s">
        <v>10542</v>
      </c>
      <c r="D7837" t="s">
        <v>16239</v>
      </c>
      <c r="E7837" t="s">
        <v>23174</v>
      </c>
      <c r="F7837" t="s">
        <v>28198</v>
      </c>
      <c r="G7837" t="s">
        <v>28205</v>
      </c>
      <c r="H7837" t="s">
        <v>28214</v>
      </c>
      <c r="I7837" t="s">
        <v>3797</v>
      </c>
      <c r="J7837" t="s">
        <v>33262</v>
      </c>
      <c r="K7837" t="s">
        <v>36831</v>
      </c>
      <c r="M7837" t="s">
        <v>39563</v>
      </c>
      <c r="N7837" t="s">
        <v>40436</v>
      </c>
      <c r="O7837" t="s">
        <v>40437</v>
      </c>
      <c r="P7837">
        <v>0</v>
      </c>
      <c r="Q7837">
        <v>1</v>
      </c>
      <c r="R7837" t="s">
        <v>40445</v>
      </c>
      <c r="S7837" t="s">
        <v>40730</v>
      </c>
      <c r="T7837" t="s">
        <v>42234</v>
      </c>
      <c r="U7837" t="s">
        <v>49245</v>
      </c>
      <c r="W7837" t="s">
        <v>39563</v>
      </c>
      <c r="X7837" t="s">
        <v>40448</v>
      </c>
    </row>
    <row r="7838" spans="1:24">
      <c r="A7838">
        <f>HYPERLINK("https://www.philgeps.gov.ph/GEPSNONPILOT/Tender/SplashBidNoticeAbstractUI.aspx?menuIndex=3&amp;refID=7032426&amp;Result=3","7032426")</f>
        <v>0</v>
      </c>
      <c r="B7838" t="s">
        <v>2380</v>
      </c>
      <c r="C7838" t="s">
        <v>10543</v>
      </c>
      <c r="D7838" t="s">
        <v>16239</v>
      </c>
      <c r="E7838" t="s">
        <v>23175</v>
      </c>
      <c r="F7838" t="s">
        <v>28198</v>
      </c>
      <c r="G7838" t="s">
        <v>28205</v>
      </c>
      <c r="H7838" t="s">
        <v>28214</v>
      </c>
      <c r="I7838" t="s">
        <v>3797</v>
      </c>
      <c r="J7838" t="s">
        <v>33263</v>
      </c>
      <c r="K7838" t="s">
        <v>36694</v>
      </c>
      <c r="M7838" t="s">
        <v>39563</v>
      </c>
      <c r="N7838" t="s">
        <v>40436</v>
      </c>
      <c r="O7838" t="s">
        <v>40437</v>
      </c>
      <c r="P7838">
        <v>0</v>
      </c>
      <c r="Q7838">
        <v>0</v>
      </c>
      <c r="R7838" t="s">
        <v>40445</v>
      </c>
      <c r="S7838" t="s">
        <v>40730</v>
      </c>
      <c r="T7838" t="s">
        <v>42234</v>
      </c>
      <c r="U7838" t="s">
        <v>49246</v>
      </c>
      <c r="W7838" t="s">
        <v>39563</v>
      </c>
      <c r="X7838" t="s">
        <v>40448</v>
      </c>
    </row>
    <row r="7839" spans="1:24">
      <c r="A7839">
        <f>HYPERLINK("https://www.philgeps.gov.ph/GEPSNONPILOT/Tender/SplashBidNoticeAbstractUI.aspx?menuIndex=3&amp;refID=7032463&amp;Result=3","7032463")</f>
        <v>0</v>
      </c>
      <c r="B7839" t="s">
        <v>2380</v>
      </c>
      <c r="C7839" t="s">
        <v>10544</v>
      </c>
      <c r="D7839" t="s">
        <v>16239</v>
      </c>
      <c r="E7839" t="s">
        <v>23176</v>
      </c>
      <c r="F7839" t="s">
        <v>28198</v>
      </c>
      <c r="G7839" t="s">
        <v>28205</v>
      </c>
      <c r="H7839" t="s">
        <v>28214</v>
      </c>
      <c r="I7839" t="s">
        <v>3797</v>
      </c>
      <c r="J7839" t="s">
        <v>33264</v>
      </c>
      <c r="K7839" t="s">
        <v>36777</v>
      </c>
      <c r="M7839" t="s">
        <v>39563</v>
      </c>
      <c r="N7839" t="s">
        <v>40436</v>
      </c>
      <c r="O7839" t="s">
        <v>40437</v>
      </c>
      <c r="P7839">
        <v>0</v>
      </c>
      <c r="Q7839">
        <v>0</v>
      </c>
      <c r="R7839" t="s">
        <v>40445</v>
      </c>
      <c r="S7839" t="s">
        <v>40730</v>
      </c>
      <c r="T7839" t="s">
        <v>42234</v>
      </c>
      <c r="U7839" t="s">
        <v>49247</v>
      </c>
      <c r="W7839" t="s">
        <v>39563</v>
      </c>
      <c r="X7839" t="s">
        <v>40448</v>
      </c>
    </row>
    <row r="7840" spans="1:24">
      <c r="A7840">
        <f>HYPERLINK("https://www.philgeps.gov.ph/GEPSNONPILOT/Tender/SplashBidNoticeAbstractUI.aspx?menuIndex=3&amp;refID=7032192&amp;Result=3","7032192")</f>
        <v>0</v>
      </c>
      <c r="B7840" t="s">
        <v>34</v>
      </c>
      <c r="C7840" t="s">
        <v>10545</v>
      </c>
      <c r="D7840" t="s">
        <v>16195</v>
      </c>
      <c r="E7840" t="s">
        <v>23177</v>
      </c>
      <c r="F7840" t="s">
        <v>28198</v>
      </c>
      <c r="G7840" t="s">
        <v>28205</v>
      </c>
      <c r="H7840" t="s">
        <v>28214</v>
      </c>
      <c r="I7840" t="s">
        <v>3797</v>
      </c>
      <c r="J7840" t="s">
        <v>29275</v>
      </c>
      <c r="K7840" t="s">
        <v>36694</v>
      </c>
      <c r="M7840" t="s">
        <v>39280</v>
      </c>
      <c r="N7840" t="s">
        <v>40436</v>
      </c>
      <c r="O7840" t="s">
        <v>40437</v>
      </c>
      <c r="P7840">
        <v>0</v>
      </c>
      <c r="Q7840">
        <v>0</v>
      </c>
      <c r="R7840" t="s">
        <v>40445</v>
      </c>
      <c r="S7840" t="s">
        <v>40730</v>
      </c>
      <c r="T7840" t="s">
        <v>42190</v>
      </c>
      <c r="U7840" t="s">
        <v>46771</v>
      </c>
      <c r="V7840" t="s">
        <v>53826</v>
      </c>
      <c r="W7840" t="s">
        <v>39280</v>
      </c>
      <c r="X7840" t="s">
        <v>40449</v>
      </c>
    </row>
    <row r="7841" spans="1:24">
      <c r="A7841">
        <f>HYPERLINK("https://www.philgeps.gov.ph/GEPSNONPILOT/Tender/SplashBidNoticeAbstractUI.aspx?menuIndex=3&amp;refID=7032427&amp;Result=3","7032427")</f>
        <v>0</v>
      </c>
      <c r="B7841" t="s">
        <v>2380</v>
      </c>
      <c r="C7841" t="s">
        <v>10546</v>
      </c>
      <c r="D7841" t="s">
        <v>16239</v>
      </c>
      <c r="E7841" t="s">
        <v>23178</v>
      </c>
      <c r="F7841" t="s">
        <v>28198</v>
      </c>
      <c r="G7841" t="s">
        <v>28205</v>
      </c>
      <c r="H7841" t="s">
        <v>28214</v>
      </c>
      <c r="I7841" t="s">
        <v>3797</v>
      </c>
      <c r="J7841" t="s">
        <v>33265</v>
      </c>
      <c r="K7841" t="s">
        <v>36830</v>
      </c>
      <c r="M7841" t="s">
        <v>39563</v>
      </c>
      <c r="N7841" t="s">
        <v>40436</v>
      </c>
      <c r="O7841" t="s">
        <v>40437</v>
      </c>
      <c r="P7841">
        <v>0</v>
      </c>
      <c r="Q7841">
        <v>1</v>
      </c>
      <c r="R7841" t="s">
        <v>40445</v>
      </c>
      <c r="S7841" t="s">
        <v>40730</v>
      </c>
      <c r="T7841" t="s">
        <v>42234</v>
      </c>
      <c r="U7841" t="s">
        <v>49248</v>
      </c>
      <c r="W7841" t="s">
        <v>39563</v>
      </c>
      <c r="X7841" t="s">
        <v>40448</v>
      </c>
    </row>
    <row r="7842" spans="1:24">
      <c r="A7842">
        <f>HYPERLINK("https://www.philgeps.gov.ph/GEPSNONPILOT/Tender/SplashBidNoticeAbstractUI.aspx?menuIndex=3&amp;refID=7032498&amp;Result=3","7032498")</f>
        <v>0</v>
      </c>
      <c r="B7842" t="s">
        <v>2380</v>
      </c>
      <c r="C7842" t="s">
        <v>10547</v>
      </c>
      <c r="D7842" t="s">
        <v>16239</v>
      </c>
      <c r="E7842" t="s">
        <v>23179</v>
      </c>
      <c r="F7842" t="s">
        <v>28198</v>
      </c>
      <c r="G7842" t="s">
        <v>28205</v>
      </c>
      <c r="H7842" t="s">
        <v>28214</v>
      </c>
      <c r="I7842" t="s">
        <v>3797</v>
      </c>
      <c r="J7842" t="s">
        <v>33266</v>
      </c>
      <c r="K7842" t="s">
        <v>36735</v>
      </c>
      <c r="M7842" t="s">
        <v>39563</v>
      </c>
      <c r="N7842" t="s">
        <v>40436</v>
      </c>
      <c r="O7842" t="s">
        <v>40437</v>
      </c>
      <c r="P7842">
        <v>0</v>
      </c>
      <c r="Q7842">
        <v>0</v>
      </c>
      <c r="R7842" t="s">
        <v>40445</v>
      </c>
      <c r="S7842" t="s">
        <v>40730</v>
      </c>
      <c r="T7842" t="s">
        <v>42234</v>
      </c>
      <c r="U7842" t="s">
        <v>49249</v>
      </c>
      <c r="W7842" t="s">
        <v>39563</v>
      </c>
      <c r="X7842" t="s">
        <v>40448</v>
      </c>
    </row>
    <row r="7843" spans="1:24">
      <c r="A7843">
        <f>HYPERLINK("https://www.philgeps.gov.ph/GEPSNONPILOT/Tender/SplashBidNoticeAbstractUI.aspx?menuIndex=3&amp;refID=7032439&amp;Result=3","7032439")</f>
        <v>0</v>
      </c>
      <c r="B7843" t="s">
        <v>2380</v>
      </c>
      <c r="C7843" t="s">
        <v>10548</v>
      </c>
      <c r="D7843" t="s">
        <v>16239</v>
      </c>
      <c r="E7843" t="s">
        <v>23180</v>
      </c>
      <c r="F7843" t="s">
        <v>28198</v>
      </c>
      <c r="G7843" t="s">
        <v>28205</v>
      </c>
      <c r="H7843" t="s">
        <v>28214</v>
      </c>
      <c r="I7843" t="s">
        <v>3797</v>
      </c>
      <c r="J7843" t="s">
        <v>33267</v>
      </c>
      <c r="K7843" t="s">
        <v>36833</v>
      </c>
      <c r="M7843" t="s">
        <v>39563</v>
      </c>
      <c r="N7843" t="s">
        <v>40436</v>
      </c>
      <c r="O7843" t="s">
        <v>40437</v>
      </c>
      <c r="P7843">
        <v>0</v>
      </c>
      <c r="Q7843">
        <v>1</v>
      </c>
      <c r="R7843" t="s">
        <v>40445</v>
      </c>
      <c r="S7843" t="s">
        <v>40730</v>
      </c>
      <c r="T7843" t="s">
        <v>42234</v>
      </c>
      <c r="U7843" t="s">
        <v>49250</v>
      </c>
      <c r="W7843" t="s">
        <v>39563</v>
      </c>
      <c r="X7843" t="s">
        <v>40448</v>
      </c>
    </row>
    <row r="7844" spans="1:24">
      <c r="A7844">
        <f>HYPERLINK("https://www.philgeps.gov.ph/GEPSNONPILOT/Tender/SplashBidNoticeAbstractUI.aspx?menuIndex=3&amp;refID=7032425&amp;Result=3","7032425")</f>
        <v>0</v>
      </c>
      <c r="B7844" t="s">
        <v>2380</v>
      </c>
      <c r="C7844" t="s">
        <v>10549</v>
      </c>
      <c r="D7844" t="s">
        <v>16239</v>
      </c>
      <c r="E7844" t="s">
        <v>23181</v>
      </c>
      <c r="F7844" t="s">
        <v>28198</v>
      </c>
      <c r="G7844" t="s">
        <v>28205</v>
      </c>
      <c r="H7844" t="s">
        <v>28214</v>
      </c>
      <c r="I7844" t="s">
        <v>3797</v>
      </c>
      <c r="J7844" t="s">
        <v>33268</v>
      </c>
      <c r="K7844" t="s">
        <v>36777</v>
      </c>
      <c r="M7844" t="s">
        <v>39563</v>
      </c>
      <c r="N7844" t="s">
        <v>40436</v>
      </c>
      <c r="O7844" t="s">
        <v>40437</v>
      </c>
      <c r="P7844">
        <v>0</v>
      </c>
      <c r="Q7844">
        <v>1</v>
      </c>
      <c r="R7844" t="s">
        <v>40445</v>
      </c>
      <c r="S7844" t="s">
        <v>40730</v>
      </c>
      <c r="T7844" t="s">
        <v>42234</v>
      </c>
      <c r="U7844" t="s">
        <v>49251</v>
      </c>
      <c r="W7844" t="s">
        <v>39563</v>
      </c>
      <c r="X7844" t="s">
        <v>40448</v>
      </c>
    </row>
    <row r="7845" spans="1:24">
      <c r="A7845">
        <f>HYPERLINK("https://www.philgeps.gov.ph/GEPSNONPILOT/Tender/SplashBidNoticeAbstractUI.aspx?menuIndex=3&amp;refID=7032467&amp;Result=3","7032467")</f>
        <v>0</v>
      </c>
      <c r="B7845" t="s">
        <v>2380</v>
      </c>
      <c r="C7845" t="s">
        <v>10550</v>
      </c>
      <c r="D7845" t="s">
        <v>16239</v>
      </c>
      <c r="E7845" t="s">
        <v>23182</v>
      </c>
      <c r="F7845" t="s">
        <v>28198</v>
      </c>
      <c r="G7845" t="s">
        <v>28205</v>
      </c>
      <c r="H7845" t="s">
        <v>28214</v>
      </c>
      <c r="I7845" t="s">
        <v>3797</v>
      </c>
      <c r="J7845" t="s">
        <v>33269</v>
      </c>
      <c r="K7845" t="s">
        <v>36805</v>
      </c>
      <c r="M7845" t="s">
        <v>39563</v>
      </c>
      <c r="N7845" t="s">
        <v>40436</v>
      </c>
      <c r="O7845" t="s">
        <v>40437</v>
      </c>
      <c r="P7845">
        <v>0</v>
      </c>
      <c r="Q7845">
        <v>0</v>
      </c>
      <c r="R7845" t="s">
        <v>40445</v>
      </c>
      <c r="S7845" t="s">
        <v>40730</v>
      </c>
      <c r="T7845" t="s">
        <v>42234</v>
      </c>
      <c r="U7845" t="s">
        <v>49252</v>
      </c>
      <c r="W7845" t="s">
        <v>39563</v>
      </c>
      <c r="X7845" t="s">
        <v>40448</v>
      </c>
    </row>
    <row r="7846" spans="1:24">
      <c r="A7846">
        <f>HYPERLINK("https://www.philgeps.gov.ph/GEPSNONPILOT/Tender/SplashBidNoticeAbstractUI.aspx?menuIndex=3&amp;refID=7032494&amp;Result=3","7032494")</f>
        <v>0</v>
      </c>
      <c r="B7846" t="s">
        <v>2380</v>
      </c>
      <c r="C7846" t="s">
        <v>10551</v>
      </c>
      <c r="D7846" t="s">
        <v>16239</v>
      </c>
      <c r="E7846" t="s">
        <v>23183</v>
      </c>
      <c r="F7846" t="s">
        <v>28198</v>
      </c>
      <c r="G7846" t="s">
        <v>28205</v>
      </c>
      <c r="H7846" t="s">
        <v>28214</v>
      </c>
      <c r="I7846" t="s">
        <v>3797</v>
      </c>
      <c r="J7846" t="s">
        <v>33270</v>
      </c>
      <c r="K7846" t="s">
        <v>36825</v>
      </c>
      <c r="M7846" t="s">
        <v>39563</v>
      </c>
      <c r="N7846" t="s">
        <v>40436</v>
      </c>
      <c r="O7846" t="s">
        <v>40437</v>
      </c>
      <c r="P7846">
        <v>0</v>
      </c>
      <c r="Q7846">
        <v>1</v>
      </c>
      <c r="R7846" t="s">
        <v>40445</v>
      </c>
      <c r="S7846" t="s">
        <v>40730</v>
      </c>
      <c r="T7846" t="s">
        <v>42234</v>
      </c>
      <c r="U7846" t="s">
        <v>49253</v>
      </c>
      <c r="W7846" t="s">
        <v>39563</v>
      </c>
      <c r="X7846" t="s">
        <v>40448</v>
      </c>
    </row>
    <row r="7847" spans="1:24">
      <c r="A7847">
        <f>HYPERLINK("https://www.philgeps.gov.ph/GEPSNONPILOT/Tender/SplashBidNoticeAbstractUI.aspx?menuIndex=3&amp;refID=7032493&amp;Result=3","7032493")</f>
        <v>0</v>
      </c>
      <c r="B7847" t="s">
        <v>2380</v>
      </c>
      <c r="C7847" t="s">
        <v>10552</v>
      </c>
      <c r="D7847" t="s">
        <v>16239</v>
      </c>
      <c r="E7847" t="s">
        <v>23184</v>
      </c>
      <c r="F7847" t="s">
        <v>28198</v>
      </c>
      <c r="G7847" t="s">
        <v>28205</v>
      </c>
      <c r="H7847" t="s">
        <v>28214</v>
      </c>
      <c r="I7847" t="s">
        <v>3797</v>
      </c>
      <c r="J7847" t="s">
        <v>33271</v>
      </c>
      <c r="K7847" t="s">
        <v>36777</v>
      </c>
      <c r="M7847" t="s">
        <v>39563</v>
      </c>
      <c r="N7847" t="s">
        <v>40436</v>
      </c>
      <c r="O7847" t="s">
        <v>40437</v>
      </c>
      <c r="P7847">
        <v>0</v>
      </c>
      <c r="Q7847">
        <v>0</v>
      </c>
      <c r="R7847" t="s">
        <v>40445</v>
      </c>
      <c r="S7847" t="s">
        <v>40730</v>
      </c>
      <c r="T7847" t="s">
        <v>42234</v>
      </c>
      <c r="U7847" t="s">
        <v>49254</v>
      </c>
      <c r="W7847" t="s">
        <v>39563</v>
      </c>
      <c r="X7847" t="s">
        <v>40448</v>
      </c>
    </row>
    <row r="7848" spans="1:24">
      <c r="A7848">
        <f>HYPERLINK("https://www.philgeps.gov.ph/GEPSNONPILOT/Tender/SplashBidNoticeAbstractUI.aspx?menuIndex=3&amp;refID=7032435&amp;Result=3","7032435")</f>
        <v>0</v>
      </c>
      <c r="B7848" t="s">
        <v>2380</v>
      </c>
      <c r="C7848" t="s">
        <v>10553</v>
      </c>
      <c r="D7848" t="s">
        <v>16239</v>
      </c>
      <c r="E7848" t="s">
        <v>23185</v>
      </c>
      <c r="F7848" t="s">
        <v>28198</v>
      </c>
      <c r="G7848" t="s">
        <v>28205</v>
      </c>
      <c r="H7848" t="s">
        <v>28214</v>
      </c>
      <c r="I7848" t="s">
        <v>3797</v>
      </c>
      <c r="J7848" t="s">
        <v>33272</v>
      </c>
      <c r="K7848" t="s">
        <v>36762</v>
      </c>
      <c r="M7848" t="s">
        <v>39563</v>
      </c>
      <c r="N7848" t="s">
        <v>40436</v>
      </c>
      <c r="O7848" t="s">
        <v>40437</v>
      </c>
      <c r="P7848">
        <v>0</v>
      </c>
      <c r="Q7848">
        <v>1</v>
      </c>
      <c r="R7848" t="s">
        <v>40445</v>
      </c>
      <c r="S7848" t="s">
        <v>40730</v>
      </c>
      <c r="T7848" t="s">
        <v>42234</v>
      </c>
      <c r="U7848" t="s">
        <v>49255</v>
      </c>
      <c r="W7848" t="s">
        <v>39563</v>
      </c>
      <c r="X7848" t="s">
        <v>40448</v>
      </c>
    </row>
    <row r="7849" spans="1:24">
      <c r="A7849">
        <f>HYPERLINK("https://www.philgeps.gov.ph/GEPSNONPILOT/Tender/SplashBidNoticeAbstractUI.aspx?menuIndex=3&amp;refID=7032501&amp;Result=3","7032501")</f>
        <v>0</v>
      </c>
      <c r="B7849" t="s">
        <v>2380</v>
      </c>
      <c r="C7849" t="s">
        <v>10554</v>
      </c>
      <c r="D7849" t="s">
        <v>16239</v>
      </c>
      <c r="E7849" t="s">
        <v>23186</v>
      </c>
      <c r="F7849" t="s">
        <v>28198</v>
      </c>
      <c r="G7849" t="s">
        <v>28205</v>
      </c>
      <c r="H7849" t="s">
        <v>28214</v>
      </c>
      <c r="I7849" t="s">
        <v>3797</v>
      </c>
      <c r="J7849" t="s">
        <v>33273</v>
      </c>
      <c r="K7849" t="s">
        <v>36694</v>
      </c>
      <c r="M7849" t="s">
        <v>39563</v>
      </c>
      <c r="N7849" t="s">
        <v>40436</v>
      </c>
      <c r="O7849" t="s">
        <v>40437</v>
      </c>
      <c r="P7849">
        <v>0</v>
      </c>
      <c r="Q7849">
        <v>1</v>
      </c>
      <c r="R7849" t="s">
        <v>40445</v>
      </c>
      <c r="S7849" t="s">
        <v>40730</v>
      </c>
      <c r="T7849" t="s">
        <v>42234</v>
      </c>
      <c r="U7849" t="s">
        <v>49256</v>
      </c>
      <c r="W7849" t="s">
        <v>39563</v>
      </c>
      <c r="X7849" t="s">
        <v>40448</v>
      </c>
    </row>
    <row r="7850" spans="1:24">
      <c r="A7850">
        <f>HYPERLINK("https://www.philgeps.gov.ph/GEPSNONPILOT/Tender/SplashBidNoticeAbstractUI.aspx?menuIndex=3&amp;refID=7032478&amp;Result=3","7032478")</f>
        <v>0</v>
      </c>
      <c r="B7850" t="s">
        <v>2380</v>
      </c>
      <c r="C7850" t="s">
        <v>10555</v>
      </c>
      <c r="D7850" t="s">
        <v>16239</v>
      </c>
      <c r="E7850" t="s">
        <v>23187</v>
      </c>
      <c r="F7850" t="s">
        <v>28198</v>
      </c>
      <c r="G7850" t="s">
        <v>28205</v>
      </c>
      <c r="H7850" t="s">
        <v>28214</v>
      </c>
      <c r="I7850" t="s">
        <v>3797</v>
      </c>
      <c r="J7850" t="s">
        <v>33274</v>
      </c>
      <c r="K7850" t="s">
        <v>36865</v>
      </c>
      <c r="M7850" t="s">
        <v>39563</v>
      </c>
      <c r="N7850" t="s">
        <v>40436</v>
      </c>
      <c r="O7850" t="s">
        <v>40437</v>
      </c>
      <c r="P7850">
        <v>0</v>
      </c>
      <c r="Q7850">
        <v>0</v>
      </c>
      <c r="R7850" t="s">
        <v>40445</v>
      </c>
      <c r="S7850" t="s">
        <v>40730</v>
      </c>
      <c r="T7850" t="s">
        <v>42234</v>
      </c>
      <c r="U7850" t="s">
        <v>49257</v>
      </c>
      <c r="W7850" t="s">
        <v>39563</v>
      </c>
      <c r="X7850" t="s">
        <v>40448</v>
      </c>
    </row>
    <row r="7851" spans="1:24">
      <c r="A7851">
        <f>HYPERLINK("https://www.philgeps.gov.ph/GEPSNONPILOT/Tender/SplashBidNoticeAbstractUI.aspx?menuIndex=3&amp;refID=7032475&amp;Result=3","7032475")</f>
        <v>0</v>
      </c>
      <c r="B7851" t="s">
        <v>2380</v>
      </c>
      <c r="C7851" t="s">
        <v>10556</v>
      </c>
      <c r="D7851" t="s">
        <v>16239</v>
      </c>
      <c r="E7851" t="s">
        <v>23188</v>
      </c>
      <c r="F7851" t="s">
        <v>28198</v>
      </c>
      <c r="G7851" t="s">
        <v>28205</v>
      </c>
      <c r="H7851" t="s">
        <v>28214</v>
      </c>
      <c r="I7851" t="s">
        <v>3797</v>
      </c>
      <c r="J7851" t="s">
        <v>33275</v>
      </c>
      <c r="K7851" t="s">
        <v>36787</v>
      </c>
      <c r="M7851" t="s">
        <v>39563</v>
      </c>
      <c r="N7851" t="s">
        <v>40436</v>
      </c>
      <c r="O7851" t="s">
        <v>40437</v>
      </c>
      <c r="P7851">
        <v>0</v>
      </c>
      <c r="Q7851">
        <v>0</v>
      </c>
      <c r="R7851" t="s">
        <v>40445</v>
      </c>
      <c r="S7851" t="s">
        <v>40730</v>
      </c>
      <c r="T7851" t="s">
        <v>42234</v>
      </c>
      <c r="U7851" t="s">
        <v>49258</v>
      </c>
      <c r="W7851" t="s">
        <v>39563</v>
      </c>
      <c r="X7851" t="s">
        <v>40448</v>
      </c>
    </row>
    <row r="7852" spans="1:24">
      <c r="A7852">
        <f>HYPERLINK("https://www.philgeps.gov.ph/GEPSNONPILOT/Tender/SplashBidNoticeAbstractUI.aspx?menuIndex=3&amp;refID=7032474&amp;Result=3","7032474")</f>
        <v>0</v>
      </c>
      <c r="B7852" t="s">
        <v>2380</v>
      </c>
      <c r="C7852" t="s">
        <v>10557</v>
      </c>
      <c r="D7852" t="s">
        <v>16239</v>
      </c>
      <c r="E7852" t="s">
        <v>23189</v>
      </c>
      <c r="F7852" t="s">
        <v>28198</v>
      </c>
      <c r="G7852" t="s">
        <v>28205</v>
      </c>
      <c r="H7852" t="s">
        <v>28214</v>
      </c>
      <c r="I7852" t="s">
        <v>3797</v>
      </c>
      <c r="J7852" t="s">
        <v>33276</v>
      </c>
      <c r="K7852" t="s">
        <v>36694</v>
      </c>
      <c r="M7852" t="s">
        <v>39563</v>
      </c>
      <c r="N7852" t="s">
        <v>40436</v>
      </c>
      <c r="O7852" t="s">
        <v>40437</v>
      </c>
      <c r="P7852">
        <v>0</v>
      </c>
      <c r="Q7852">
        <v>0</v>
      </c>
      <c r="R7852" t="s">
        <v>40445</v>
      </c>
      <c r="S7852" t="s">
        <v>40730</v>
      </c>
      <c r="T7852" t="s">
        <v>42234</v>
      </c>
      <c r="U7852" t="s">
        <v>49259</v>
      </c>
      <c r="W7852" t="s">
        <v>39563</v>
      </c>
      <c r="X7852" t="s">
        <v>40448</v>
      </c>
    </row>
    <row r="7853" spans="1:24">
      <c r="A7853">
        <f>HYPERLINK("https://www.philgeps.gov.ph/GEPSNONPILOT/Tender/SplashBidNoticeAbstractUI.aspx?menuIndex=3&amp;refID=7032811&amp;Result=3","7032811")</f>
        <v>0</v>
      </c>
      <c r="B7853" t="s">
        <v>2382</v>
      </c>
      <c r="C7853" t="s">
        <v>10558</v>
      </c>
      <c r="E7853" t="s">
        <v>23190</v>
      </c>
      <c r="F7853" t="s">
        <v>28198</v>
      </c>
      <c r="G7853" t="s">
        <v>28205</v>
      </c>
      <c r="H7853" t="s">
        <v>28214</v>
      </c>
      <c r="I7853" t="s">
        <v>3797</v>
      </c>
      <c r="J7853" t="s">
        <v>33277</v>
      </c>
      <c r="K7853" t="s">
        <v>36689</v>
      </c>
      <c r="M7853" t="s">
        <v>39565</v>
      </c>
      <c r="N7853" t="s">
        <v>40436</v>
      </c>
      <c r="O7853" t="s">
        <v>40437</v>
      </c>
      <c r="P7853">
        <v>0</v>
      </c>
      <c r="Q7853">
        <v>1</v>
      </c>
      <c r="R7853" t="s">
        <v>40445</v>
      </c>
      <c r="S7853" t="s">
        <v>40730</v>
      </c>
      <c r="T7853" t="s">
        <v>42245</v>
      </c>
      <c r="U7853" t="s">
        <v>49260</v>
      </c>
      <c r="W7853" t="s">
        <v>39565</v>
      </c>
      <c r="X7853" t="s">
        <v>40447</v>
      </c>
    </row>
    <row r="7854" spans="1:24">
      <c r="A7854">
        <f>HYPERLINK("https://www.philgeps.gov.ph/GEPSNONPILOT/Tender/SplashBidNoticeAbstractUI.aspx?menuIndex=3&amp;refID=7032491&amp;Result=3","7032491")</f>
        <v>0</v>
      </c>
      <c r="B7854" t="s">
        <v>2380</v>
      </c>
      <c r="C7854" t="s">
        <v>10559</v>
      </c>
      <c r="D7854" t="s">
        <v>16239</v>
      </c>
      <c r="E7854" t="s">
        <v>23191</v>
      </c>
      <c r="F7854" t="s">
        <v>28198</v>
      </c>
      <c r="G7854" t="s">
        <v>28205</v>
      </c>
      <c r="H7854" t="s">
        <v>28214</v>
      </c>
      <c r="I7854" t="s">
        <v>3797</v>
      </c>
      <c r="J7854" t="s">
        <v>33278</v>
      </c>
      <c r="K7854" t="s">
        <v>36842</v>
      </c>
      <c r="M7854" t="s">
        <v>39563</v>
      </c>
      <c r="N7854" t="s">
        <v>40436</v>
      </c>
      <c r="O7854" t="s">
        <v>40437</v>
      </c>
      <c r="P7854">
        <v>0</v>
      </c>
      <c r="Q7854">
        <v>0</v>
      </c>
      <c r="R7854" t="s">
        <v>40445</v>
      </c>
      <c r="S7854" t="s">
        <v>40730</v>
      </c>
      <c r="T7854" t="s">
        <v>42234</v>
      </c>
      <c r="U7854" t="s">
        <v>49261</v>
      </c>
      <c r="W7854" t="s">
        <v>39563</v>
      </c>
      <c r="X7854" t="s">
        <v>40448</v>
      </c>
    </row>
    <row r="7855" spans="1:24">
      <c r="A7855">
        <f>HYPERLINK("https://www.philgeps.gov.ph/GEPSNONPILOT/Tender/SplashBidNoticeAbstractUI.aspx?menuIndex=3&amp;refID=7032536&amp;Result=3","7032536")</f>
        <v>0</v>
      </c>
      <c r="B7855" t="s">
        <v>726</v>
      </c>
      <c r="C7855" t="s">
        <v>10560</v>
      </c>
      <c r="D7855" t="s">
        <v>16210</v>
      </c>
      <c r="E7855" t="s">
        <v>23192</v>
      </c>
      <c r="F7855" t="s">
        <v>28198</v>
      </c>
      <c r="G7855" t="s">
        <v>28205</v>
      </c>
      <c r="H7855" t="s">
        <v>28215</v>
      </c>
      <c r="I7855" t="s">
        <v>28234</v>
      </c>
      <c r="J7855" t="s">
        <v>28351</v>
      </c>
      <c r="K7855" t="s">
        <v>36701</v>
      </c>
      <c r="M7855" t="s">
        <v>39566</v>
      </c>
      <c r="N7855" t="s">
        <v>40436</v>
      </c>
      <c r="O7855" t="s">
        <v>40437</v>
      </c>
      <c r="P7855">
        <v>0</v>
      </c>
      <c r="Q7855">
        <v>13</v>
      </c>
      <c r="R7855" t="s">
        <v>40445</v>
      </c>
      <c r="S7855" t="s">
        <v>40730</v>
      </c>
      <c r="T7855" t="s">
        <v>42366</v>
      </c>
      <c r="U7855" t="s">
        <v>49262</v>
      </c>
      <c r="V7855" t="s">
        <v>54621</v>
      </c>
      <c r="W7855" t="s">
        <v>39566</v>
      </c>
      <c r="X7855" t="s">
        <v>40448</v>
      </c>
    </row>
    <row r="7856" spans="1:24">
      <c r="A7856">
        <f>HYPERLINK("https://www.philgeps.gov.ph/GEPSNONPILOT/Tender/SplashBidNoticeAbstractUI.aspx?menuIndex=3&amp;refID=7033151&amp;Result=3","7033151")</f>
        <v>0</v>
      </c>
      <c r="B7856" t="s">
        <v>816</v>
      </c>
      <c r="C7856" t="s">
        <v>10561</v>
      </c>
      <c r="D7856" t="s">
        <v>16200</v>
      </c>
      <c r="E7856" t="s">
        <v>23193</v>
      </c>
      <c r="F7856" t="s">
        <v>28198</v>
      </c>
      <c r="G7856" t="s">
        <v>28205</v>
      </c>
      <c r="H7856" t="s">
        <v>28215</v>
      </c>
      <c r="I7856" t="s">
        <v>28271</v>
      </c>
      <c r="J7856" t="s">
        <v>33279</v>
      </c>
      <c r="K7856" t="s">
        <v>36689</v>
      </c>
      <c r="M7856" t="s">
        <v>37828</v>
      </c>
      <c r="N7856" t="s">
        <v>40436</v>
      </c>
      <c r="O7856" t="s">
        <v>40437</v>
      </c>
      <c r="P7856">
        <v>0</v>
      </c>
      <c r="Q7856">
        <v>3</v>
      </c>
      <c r="R7856" t="s">
        <v>40445</v>
      </c>
      <c r="S7856" t="s">
        <v>40730</v>
      </c>
      <c r="T7856" t="s">
        <v>42277</v>
      </c>
      <c r="U7856" t="s">
        <v>49263</v>
      </c>
      <c r="V7856" t="s">
        <v>54622</v>
      </c>
      <c r="W7856" t="s">
        <v>37828</v>
      </c>
      <c r="X7856" t="s">
        <v>40447</v>
      </c>
    </row>
    <row r="7857" spans="1:24">
      <c r="A7857">
        <f>HYPERLINK("https://www.philgeps.gov.ph/GEPSNONPILOT/Tender/SplashBidNoticeAbstractUI.aspx?menuIndex=3&amp;refID=7032924&amp;Result=3","7032924")</f>
        <v>0</v>
      </c>
      <c r="B7857" t="s">
        <v>92</v>
      </c>
      <c r="C7857" t="s">
        <v>10562</v>
      </c>
      <c r="D7857" t="s">
        <v>16203</v>
      </c>
      <c r="E7857" t="s">
        <v>23194</v>
      </c>
      <c r="F7857" t="s">
        <v>28198</v>
      </c>
      <c r="G7857" t="s">
        <v>28205</v>
      </c>
      <c r="H7857" t="s">
        <v>28215</v>
      </c>
      <c r="I7857" t="s">
        <v>8870</v>
      </c>
      <c r="J7857" t="s">
        <v>29275</v>
      </c>
      <c r="K7857" t="s">
        <v>36687</v>
      </c>
      <c r="M7857" t="s">
        <v>37064</v>
      </c>
      <c r="N7857" t="s">
        <v>40436</v>
      </c>
      <c r="O7857" t="s">
        <v>40437</v>
      </c>
      <c r="P7857">
        <v>0</v>
      </c>
      <c r="Q7857">
        <v>1</v>
      </c>
      <c r="R7857" t="s">
        <v>40445</v>
      </c>
      <c r="S7857" t="s">
        <v>40730</v>
      </c>
      <c r="T7857" t="s">
        <v>42234</v>
      </c>
      <c r="U7857" t="s">
        <v>49264</v>
      </c>
      <c r="W7857" t="s">
        <v>37064</v>
      </c>
      <c r="X7857" t="s">
        <v>40447</v>
      </c>
    </row>
    <row r="7858" spans="1:24">
      <c r="A7858">
        <f>HYPERLINK("https://www.philgeps.gov.ph/GEPSNONPILOT/Tender/SplashBidNoticeAbstractUI.aspx?menuIndex=3&amp;refID=7033257&amp;Result=3","7033257")</f>
        <v>0</v>
      </c>
      <c r="B7858" t="s">
        <v>816</v>
      </c>
      <c r="C7858" t="s">
        <v>10563</v>
      </c>
      <c r="D7858" t="s">
        <v>16200</v>
      </c>
      <c r="E7858" t="s">
        <v>23195</v>
      </c>
      <c r="F7858" t="s">
        <v>28198</v>
      </c>
      <c r="G7858" t="s">
        <v>28205</v>
      </c>
      <c r="H7858" t="s">
        <v>28215</v>
      </c>
      <c r="I7858" t="s">
        <v>4222</v>
      </c>
      <c r="J7858" t="s">
        <v>33280</v>
      </c>
      <c r="K7858" t="s">
        <v>36689</v>
      </c>
      <c r="M7858" t="s">
        <v>37828</v>
      </c>
      <c r="N7858" t="s">
        <v>40436</v>
      </c>
      <c r="O7858" t="s">
        <v>40437</v>
      </c>
      <c r="P7858">
        <v>0</v>
      </c>
      <c r="Q7858">
        <v>7</v>
      </c>
      <c r="R7858" t="s">
        <v>40445</v>
      </c>
      <c r="S7858" t="s">
        <v>40730</v>
      </c>
      <c r="T7858" t="s">
        <v>42168</v>
      </c>
      <c r="U7858" t="s">
        <v>49265</v>
      </c>
      <c r="V7858" t="s">
        <v>54622</v>
      </c>
      <c r="W7858" t="s">
        <v>37828</v>
      </c>
      <c r="X7858" t="s">
        <v>40447</v>
      </c>
    </row>
    <row r="7859" spans="1:24">
      <c r="A7859">
        <f>HYPERLINK("https://www.philgeps.gov.ph/GEPSNONPILOT/Tender/SplashBidNoticeAbstractUI.aspx?menuIndex=3&amp;refID=7033021&amp;Result=3","7033021")</f>
        <v>0</v>
      </c>
      <c r="B7859" t="s">
        <v>323</v>
      </c>
      <c r="C7859" t="s">
        <v>10564</v>
      </c>
      <c r="D7859" t="s">
        <v>16238</v>
      </c>
      <c r="E7859" t="s">
        <v>23196</v>
      </c>
      <c r="F7859" t="s">
        <v>28198</v>
      </c>
      <c r="G7859" t="s">
        <v>28205</v>
      </c>
      <c r="H7859" t="s">
        <v>28215</v>
      </c>
      <c r="I7859" t="s">
        <v>5100</v>
      </c>
      <c r="J7859" t="s">
        <v>33281</v>
      </c>
      <c r="K7859" t="s">
        <v>36689</v>
      </c>
      <c r="M7859" t="s">
        <v>37301</v>
      </c>
      <c r="N7859" t="s">
        <v>40436</v>
      </c>
      <c r="O7859" t="s">
        <v>40437</v>
      </c>
      <c r="P7859">
        <v>0</v>
      </c>
      <c r="Q7859">
        <v>0</v>
      </c>
      <c r="R7859" t="s">
        <v>40445</v>
      </c>
      <c r="S7859" t="s">
        <v>40730</v>
      </c>
      <c r="T7859" t="s">
        <v>42184</v>
      </c>
      <c r="U7859" t="s">
        <v>49266</v>
      </c>
      <c r="W7859" t="s">
        <v>55442</v>
      </c>
      <c r="X7859" t="s">
        <v>40447</v>
      </c>
    </row>
    <row r="7860" spans="1:24">
      <c r="A7860">
        <f>HYPERLINK("https://www.philgeps.gov.ph/GEPSNONPILOT/Tender/SplashBidNoticeAbstractUI.aspx?menuIndex=3&amp;refID=7032523&amp;Result=3","7032523")</f>
        <v>0</v>
      </c>
      <c r="B7860" t="s">
        <v>726</v>
      </c>
      <c r="C7860" t="s">
        <v>10565</v>
      </c>
      <c r="D7860" t="s">
        <v>16210</v>
      </c>
      <c r="E7860" t="s">
        <v>23197</v>
      </c>
      <c r="F7860" t="s">
        <v>28198</v>
      </c>
      <c r="G7860" t="s">
        <v>28205</v>
      </c>
      <c r="H7860" t="s">
        <v>28215</v>
      </c>
      <c r="I7860" t="s">
        <v>28234</v>
      </c>
      <c r="J7860" t="s">
        <v>28699</v>
      </c>
      <c r="K7860" t="s">
        <v>36756</v>
      </c>
      <c r="M7860" t="s">
        <v>39566</v>
      </c>
      <c r="N7860" t="s">
        <v>40436</v>
      </c>
      <c r="O7860" t="s">
        <v>40437</v>
      </c>
      <c r="P7860">
        <v>0</v>
      </c>
      <c r="Q7860">
        <v>15</v>
      </c>
      <c r="R7860" t="s">
        <v>40445</v>
      </c>
      <c r="S7860" t="s">
        <v>40730</v>
      </c>
      <c r="T7860" t="s">
        <v>42366</v>
      </c>
      <c r="U7860" t="s">
        <v>49267</v>
      </c>
      <c r="V7860" t="s">
        <v>54623</v>
      </c>
      <c r="W7860" t="s">
        <v>39566</v>
      </c>
      <c r="X7860" t="s">
        <v>40448</v>
      </c>
    </row>
    <row r="7861" spans="1:24">
      <c r="A7861">
        <f>HYPERLINK("https://www.philgeps.gov.ph/GEPSNONPILOT/Tender/SplashBidNoticeAbstractUI.aspx?menuIndex=3&amp;refID=7032975&amp;Result=3","7032975")</f>
        <v>0</v>
      </c>
      <c r="B7861" t="s">
        <v>1845</v>
      </c>
      <c r="C7861" t="s">
        <v>10566</v>
      </c>
      <c r="D7861" t="s">
        <v>16190</v>
      </c>
      <c r="E7861" t="s">
        <v>23198</v>
      </c>
      <c r="F7861" t="s">
        <v>28198</v>
      </c>
      <c r="G7861" t="s">
        <v>28207</v>
      </c>
      <c r="H7861" t="s">
        <v>28215</v>
      </c>
      <c r="I7861" t="s">
        <v>28268</v>
      </c>
      <c r="J7861" t="s">
        <v>28352</v>
      </c>
      <c r="K7861" t="s">
        <v>36687</v>
      </c>
      <c r="M7861" t="s">
        <v>38972</v>
      </c>
      <c r="N7861" t="s">
        <v>40436</v>
      </c>
      <c r="O7861" t="s">
        <v>40437</v>
      </c>
      <c r="P7861">
        <v>0</v>
      </c>
      <c r="Q7861">
        <v>1</v>
      </c>
      <c r="R7861" t="s">
        <v>40445</v>
      </c>
      <c r="S7861" t="s">
        <v>40730</v>
      </c>
      <c r="T7861" t="s">
        <v>42431</v>
      </c>
      <c r="U7861" t="s">
        <v>47387</v>
      </c>
      <c r="W7861" t="s">
        <v>55497</v>
      </c>
      <c r="X7861" t="s">
        <v>40447</v>
      </c>
    </row>
    <row r="7862" spans="1:24">
      <c r="A7862">
        <f>HYPERLINK("https://www.philgeps.gov.ph/GEPSNONPILOT/Tender/SplashBidNoticeAbstractUI.aspx?menuIndex=3&amp;refID=7032800&amp;Result=3","7032800")</f>
        <v>0</v>
      </c>
      <c r="B7862" t="s">
        <v>34</v>
      </c>
      <c r="C7862" t="s">
        <v>10567</v>
      </c>
      <c r="D7862" t="s">
        <v>16195</v>
      </c>
      <c r="E7862" t="s">
        <v>23199</v>
      </c>
      <c r="F7862" t="s">
        <v>28198</v>
      </c>
      <c r="G7862" t="s">
        <v>28205</v>
      </c>
      <c r="H7862" t="s">
        <v>28215</v>
      </c>
      <c r="I7862" t="s">
        <v>5103</v>
      </c>
      <c r="J7862" t="s">
        <v>31071</v>
      </c>
      <c r="K7862" t="s">
        <v>36696</v>
      </c>
      <c r="M7862" t="s">
        <v>38786</v>
      </c>
      <c r="N7862" t="s">
        <v>40436</v>
      </c>
      <c r="O7862" t="s">
        <v>40437</v>
      </c>
      <c r="P7862">
        <v>0</v>
      </c>
      <c r="Q7862">
        <v>2</v>
      </c>
      <c r="R7862" t="s">
        <v>40445</v>
      </c>
      <c r="S7862" t="s">
        <v>40730</v>
      </c>
      <c r="T7862" t="s">
        <v>42190</v>
      </c>
      <c r="U7862" t="s">
        <v>49268</v>
      </c>
      <c r="V7862" t="s">
        <v>54624</v>
      </c>
      <c r="W7862" t="s">
        <v>38786</v>
      </c>
      <c r="X7862" t="s">
        <v>40447</v>
      </c>
    </row>
    <row r="7863" spans="1:24">
      <c r="A7863">
        <f>HYPERLINK("https://www.philgeps.gov.ph/GEPSNONPILOT/Tender/SplashBidNoticeAbstractUI.aspx?menuIndex=3&amp;refID=7033039&amp;Result=3","7033039")</f>
        <v>0</v>
      </c>
      <c r="B7863" t="s">
        <v>323</v>
      </c>
      <c r="C7863" t="s">
        <v>10568</v>
      </c>
      <c r="D7863" t="s">
        <v>16238</v>
      </c>
      <c r="E7863" t="s">
        <v>23200</v>
      </c>
      <c r="F7863" t="s">
        <v>28198</v>
      </c>
      <c r="G7863" t="s">
        <v>28205</v>
      </c>
      <c r="H7863" t="s">
        <v>28215</v>
      </c>
      <c r="I7863" t="s">
        <v>5100</v>
      </c>
      <c r="J7863" t="s">
        <v>33282</v>
      </c>
      <c r="K7863" t="s">
        <v>36689</v>
      </c>
      <c r="M7863" t="s">
        <v>37301</v>
      </c>
      <c r="N7863" t="s">
        <v>40436</v>
      </c>
      <c r="O7863" t="s">
        <v>40437</v>
      </c>
      <c r="P7863">
        <v>0</v>
      </c>
      <c r="Q7863">
        <v>0</v>
      </c>
      <c r="R7863" t="s">
        <v>40445</v>
      </c>
      <c r="S7863" t="s">
        <v>40730</v>
      </c>
      <c r="T7863" t="s">
        <v>42184</v>
      </c>
      <c r="U7863" t="s">
        <v>49269</v>
      </c>
      <c r="W7863" t="s">
        <v>55442</v>
      </c>
      <c r="X7863" t="s">
        <v>40447</v>
      </c>
    </row>
    <row r="7864" spans="1:24">
      <c r="A7864">
        <f>HYPERLINK("https://www.philgeps.gov.ph/GEPSNONPILOT/Tender/SplashBidNoticeAbstractUI.aspx?menuIndex=3&amp;refID=7032575&amp;Result=3","7032575")</f>
        <v>0</v>
      </c>
      <c r="B7864" t="s">
        <v>2383</v>
      </c>
      <c r="C7864" t="s">
        <v>10569</v>
      </c>
      <c r="D7864" t="s">
        <v>16195</v>
      </c>
      <c r="E7864" t="s">
        <v>23201</v>
      </c>
      <c r="F7864" t="s">
        <v>28198</v>
      </c>
      <c r="G7864" t="s">
        <v>28205</v>
      </c>
      <c r="H7864" t="s">
        <v>28215</v>
      </c>
      <c r="I7864" t="s">
        <v>28222</v>
      </c>
      <c r="J7864" t="s">
        <v>28468</v>
      </c>
      <c r="K7864" t="s">
        <v>36697</v>
      </c>
      <c r="M7864" t="s">
        <v>39567</v>
      </c>
      <c r="N7864" t="s">
        <v>40436</v>
      </c>
      <c r="O7864" t="s">
        <v>40437</v>
      </c>
      <c r="P7864">
        <v>0</v>
      </c>
      <c r="Q7864">
        <v>6</v>
      </c>
      <c r="R7864" t="s">
        <v>40445</v>
      </c>
      <c r="S7864" t="s">
        <v>40730</v>
      </c>
      <c r="T7864" t="s">
        <v>42174</v>
      </c>
      <c r="U7864" t="s">
        <v>49270</v>
      </c>
      <c r="W7864" t="s">
        <v>39567</v>
      </c>
      <c r="X7864" t="s">
        <v>40448</v>
      </c>
    </row>
    <row r="7865" spans="1:24">
      <c r="A7865">
        <f>HYPERLINK("https://www.philgeps.gov.ph/GEPSNONPILOT/Tender/SplashBidNoticeAbstractUI.aspx?menuIndex=3&amp;refID=7033180&amp;Result=3","7033180")</f>
        <v>0</v>
      </c>
      <c r="B7865" t="s">
        <v>816</v>
      </c>
      <c r="C7865" t="s">
        <v>10570</v>
      </c>
      <c r="D7865" t="s">
        <v>16200</v>
      </c>
      <c r="E7865" t="s">
        <v>23202</v>
      </c>
      <c r="F7865" t="s">
        <v>28198</v>
      </c>
      <c r="G7865" t="s">
        <v>28205</v>
      </c>
      <c r="H7865" t="s">
        <v>28215</v>
      </c>
      <c r="I7865" t="s">
        <v>28257</v>
      </c>
      <c r="J7865" t="s">
        <v>33283</v>
      </c>
      <c r="K7865" t="s">
        <v>36689</v>
      </c>
      <c r="M7865" t="s">
        <v>37828</v>
      </c>
      <c r="N7865" t="s">
        <v>40436</v>
      </c>
      <c r="O7865" t="s">
        <v>40437</v>
      </c>
      <c r="P7865">
        <v>0</v>
      </c>
      <c r="Q7865">
        <v>8</v>
      </c>
      <c r="R7865" t="s">
        <v>40445</v>
      </c>
      <c r="S7865" t="s">
        <v>40730</v>
      </c>
      <c r="T7865" t="s">
        <v>42168</v>
      </c>
      <c r="U7865" t="s">
        <v>49271</v>
      </c>
      <c r="V7865" t="s">
        <v>54622</v>
      </c>
      <c r="W7865" t="s">
        <v>37828</v>
      </c>
      <c r="X7865" t="s">
        <v>40447</v>
      </c>
    </row>
    <row r="7866" spans="1:24">
      <c r="A7866">
        <f>HYPERLINK("https://www.philgeps.gov.ph/GEPSNONPILOT/Tender/SplashBidNoticeAbstractUI.aspx?menuIndex=3&amp;refID=7034385&amp;Result=3","7034385")</f>
        <v>0</v>
      </c>
      <c r="B7866" t="s">
        <v>2384</v>
      </c>
      <c r="C7866" t="s">
        <v>10571</v>
      </c>
      <c r="D7866" t="s">
        <v>16227</v>
      </c>
      <c r="E7866" t="s">
        <v>23203</v>
      </c>
      <c r="F7866" t="s">
        <v>28198</v>
      </c>
      <c r="G7866" t="s">
        <v>28205</v>
      </c>
      <c r="H7866" t="s">
        <v>28215</v>
      </c>
      <c r="I7866" t="s">
        <v>28257</v>
      </c>
      <c r="J7866" t="s">
        <v>33284</v>
      </c>
      <c r="K7866" t="s">
        <v>36701</v>
      </c>
      <c r="M7866" t="s">
        <v>39568</v>
      </c>
      <c r="N7866" t="s">
        <v>40436</v>
      </c>
      <c r="O7866" t="s">
        <v>40437</v>
      </c>
      <c r="P7866">
        <v>0</v>
      </c>
      <c r="Q7866">
        <v>4</v>
      </c>
      <c r="R7866" t="s">
        <v>40445</v>
      </c>
      <c r="S7866" t="s">
        <v>40730</v>
      </c>
      <c r="T7866" t="s">
        <v>42499</v>
      </c>
      <c r="U7866" t="s">
        <v>49272</v>
      </c>
      <c r="V7866" t="s">
        <v>54625</v>
      </c>
      <c r="W7866" t="s">
        <v>39568</v>
      </c>
      <c r="X7866" t="s">
        <v>40447</v>
      </c>
    </row>
    <row r="7867" spans="1:24">
      <c r="A7867">
        <f>HYPERLINK("https://www.philgeps.gov.ph/GEPSNONPILOT/Tender/SplashBidNoticeAbstractUI.aspx?menuIndex=3&amp;refID=7034565&amp;Result=3","7034565")</f>
        <v>0</v>
      </c>
      <c r="B7867" t="s">
        <v>686</v>
      </c>
      <c r="C7867" t="s">
        <v>10572</v>
      </c>
      <c r="D7867" t="s">
        <v>16195</v>
      </c>
      <c r="E7867" t="s">
        <v>23204</v>
      </c>
      <c r="F7867" t="s">
        <v>28198</v>
      </c>
      <c r="G7867" t="s">
        <v>28205</v>
      </c>
      <c r="H7867" t="s">
        <v>28215</v>
      </c>
      <c r="I7867" t="s">
        <v>28247</v>
      </c>
      <c r="J7867" t="s">
        <v>28694</v>
      </c>
      <c r="K7867" t="s">
        <v>36701</v>
      </c>
      <c r="M7867" t="s">
        <v>39569</v>
      </c>
      <c r="N7867" t="s">
        <v>40436</v>
      </c>
      <c r="O7867" t="s">
        <v>40437</v>
      </c>
      <c r="P7867">
        <v>0</v>
      </c>
      <c r="Q7867">
        <v>4</v>
      </c>
      <c r="R7867" t="s">
        <v>40445</v>
      </c>
      <c r="S7867" t="s">
        <v>40730</v>
      </c>
      <c r="T7867" t="s">
        <v>42168</v>
      </c>
      <c r="U7867" t="s">
        <v>49273</v>
      </c>
      <c r="V7867" t="s">
        <v>54626</v>
      </c>
      <c r="W7867" t="s">
        <v>39569</v>
      </c>
      <c r="X7867" t="s">
        <v>40447</v>
      </c>
    </row>
    <row r="7868" spans="1:24">
      <c r="A7868">
        <f>HYPERLINK("https://www.philgeps.gov.ph/GEPSNONPILOT/Tender/SplashBidNoticeAbstractUI.aspx?menuIndex=3&amp;refID=7034103&amp;Result=3","7034103")</f>
        <v>0</v>
      </c>
      <c r="B7868" t="s">
        <v>2385</v>
      </c>
      <c r="C7868" t="s">
        <v>10573</v>
      </c>
      <c r="D7868" t="s">
        <v>16217</v>
      </c>
      <c r="E7868" t="s">
        <v>23205</v>
      </c>
      <c r="F7868" t="s">
        <v>28198</v>
      </c>
      <c r="G7868" t="s">
        <v>28207</v>
      </c>
      <c r="H7868" t="s">
        <v>28214</v>
      </c>
      <c r="I7868" t="s">
        <v>28277</v>
      </c>
      <c r="J7868" t="s">
        <v>33285</v>
      </c>
      <c r="K7868" t="s">
        <v>36701</v>
      </c>
      <c r="M7868" t="s">
        <v>39570</v>
      </c>
      <c r="N7868" t="s">
        <v>40436</v>
      </c>
      <c r="O7868" t="s">
        <v>40437</v>
      </c>
      <c r="P7868">
        <v>0</v>
      </c>
      <c r="Q7868">
        <v>0</v>
      </c>
      <c r="R7868" t="s">
        <v>40445</v>
      </c>
      <c r="S7868" t="s">
        <v>40730</v>
      </c>
      <c r="T7868" t="s">
        <v>42184</v>
      </c>
      <c r="U7868" t="s">
        <v>49274</v>
      </c>
      <c r="V7868" t="s">
        <v>53791</v>
      </c>
      <c r="W7868" t="s">
        <v>39570</v>
      </c>
      <c r="X7868" t="s">
        <v>40447</v>
      </c>
    </row>
    <row r="7869" spans="1:24">
      <c r="A7869">
        <f>HYPERLINK("https://www.philgeps.gov.ph/GEPSNONPILOT/Tender/SplashBidNoticeAbstractUI.aspx?menuIndex=3&amp;refID=7034474&amp;Result=3","7034474")</f>
        <v>0</v>
      </c>
      <c r="B7869" t="s">
        <v>1711</v>
      </c>
      <c r="C7869" t="s">
        <v>10574</v>
      </c>
      <c r="D7869" t="s">
        <v>16211</v>
      </c>
      <c r="E7869" t="s">
        <v>23206</v>
      </c>
      <c r="F7869" t="s">
        <v>28198</v>
      </c>
      <c r="G7869" t="s">
        <v>28205</v>
      </c>
      <c r="H7869" t="s">
        <v>28215</v>
      </c>
      <c r="I7869" t="s">
        <v>3774</v>
      </c>
      <c r="J7869" t="s">
        <v>33286</v>
      </c>
      <c r="K7869" t="s">
        <v>36701</v>
      </c>
      <c r="M7869" t="s">
        <v>38816</v>
      </c>
      <c r="N7869" t="s">
        <v>40436</v>
      </c>
      <c r="O7869" t="s">
        <v>40437</v>
      </c>
      <c r="P7869">
        <v>0</v>
      </c>
      <c r="Q7869">
        <v>0</v>
      </c>
      <c r="R7869" t="s">
        <v>40445</v>
      </c>
      <c r="S7869" t="s">
        <v>40730</v>
      </c>
      <c r="T7869" t="s">
        <v>42112</v>
      </c>
      <c r="U7869" t="s">
        <v>49275</v>
      </c>
      <c r="W7869" t="s">
        <v>38816</v>
      </c>
      <c r="X7869" t="s">
        <v>40447</v>
      </c>
    </row>
    <row r="7870" spans="1:24">
      <c r="A7870">
        <f>HYPERLINK("https://www.philgeps.gov.ph/GEPSNONPILOT/Tender/SplashBidNoticeAbstractUI.aspx?menuIndex=3&amp;refID=7034116&amp;Result=3","7034116")</f>
        <v>0</v>
      </c>
      <c r="B7870" t="s">
        <v>2386</v>
      </c>
      <c r="C7870" t="s">
        <v>10575</v>
      </c>
      <c r="D7870" t="s">
        <v>16262</v>
      </c>
      <c r="E7870" t="s">
        <v>23207</v>
      </c>
      <c r="F7870" t="s">
        <v>28198</v>
      </c>
      <c r="G7870" t="s">
        <v>28205</v>
      </c>
      <c r="H7870" t="s">
        <v>28215</v>
      </c>
      <c r="I7870" t="s">
        <v>8888</v>
      </c>
      <c r="J7870" t="s">
        <v>33287</v>
      </c>
      <c r="K7870" t="s">
        <v>36715</v>
      </c>
      <c r="M7870" t="s">
        <v>39571</v>
      </c>
      <c r="N7870" t="s">
        <v>40436</v>
      </c>
      <c r="O7870" t="s">
        <v>40437</v>
      </c>
      <c r="P7870">
        <v>0</v>
      </c>
      <c r="Q7870">
        <v>3</v>
      </c>
      <c r="R7870" t="s">
        <v>40445</v>
      </c>
      <c r="S7870" t="s">
        <v>40730</v>
      </c>
      <c r="T7870" t="s">
        <v>42102</v>
      </c>
      <c r="U7870" t="s">
        <v>49276</v>
      </c>
      <c r="V7870" t="s">
        <v>54627</v>
      </c>
      <c r="W7870" t="s">
        <v>39571</v>
      </c>
      <c r="X7870" t="s">
        <v>40447</v>
      </c>
    </row>
    <row r="7871" spans="1:24">
      <c r="A7871">
        <f>HYPERLINK("https://www.philgeps.gov.ph/GEPSNONPILOT/Tender/SplashBidNoticeAbstractUI.aspx?menuIndex=3&amp;refID=7034711&amp;Result=3","7034711")</f>
        <v>0</v>
      </c>
      <c r="B7871" t="s">
        <v>686</v>
      </c>
      <c r="C7871" t="s">
        <v>10576</v>
      </c>
      <c r="D7871" t="s">
        <v>16195</v>
      </c>
      <c r="E7871" t="s">
        <v>23208</v>
      </c>
      <c r="F7871" t="s">
        <v>28198</v>
      </c>
      <c r="G7871" t="s">
        <v>28205</v>
      </c>
      <c r="H7871" t="s">
        <v>28215</v>
      </c>
      <c r="I7871" t="s">
        <v>8888</v>
      </c>
      <c r="J7871" t="s">
        <v>33288</v>
      </c>
      <c r="K7871" t="s">
        <v>36701</v>
      </c>
      <c r="M7871" t="s">
        <v>39569</v>
      </c>
      <c r="N7871" t="s">
        <v>40436</v>
      </c>
      <c r="O7871" t="s">
        <v>40437</v>
      </c>
      <c r="P7871">
        <v>0</v>
      </c>
      <c r="Q7871">
        <v>5</v>
      </c>
      <c r="R7871" t="s">
        <v>40445</v>
      </c>
      <c r="S7871" t="s">
        <v>40730</v>
      </c>
      <c r="T7871" t="s">
        <v>42168</v>
      </c>
      <c r="U7871" t="s">
        <v>49277</v>
      </c>
      <c r="V7871" t="s">
        <v>54628</v>
      </c>
      <c r="W7871" t="s">
        <v>39569</v>
      </c>
      <c r="X7871" t="s">
        <v>40447</v>
      </c>
    </row>
    <row r="7872" spans="1:24">
      <c r="A7872">
        <f>HYPERLINK("https://www.philgeps.gov.ph/GEPSNONPILOT/Tender/SplashBidNoticeAbstractUI.aspx?menuIndex=3&amp;refID=7034394&amp;Result=3","7034394")</f>
        <v>0</v>
      </c>
      <c r="B7872" t="s">
        <v>2387</v>
      </c>
      <c r="C7872" t="s">
        <v>10577</v>
      </c>
      <c r="E7872" t="s">
        <v>23209</v>
      </c>
      <c r="F7872" t="s">
        <v>28198</v>
      </c>
      <c r="G7872" t="s">
        <v>28205</v>
      </c>
      <c r="H7872" t="s">
        <v>28214</v>
      </c>
      <c r="I7872" t="s">
        <v>3797</v>
      </c>
      <c r="J7872" t="s">
        <v>28378</v>
      </c>
      <c r="K7872" t="s">
        <v>36778</v>
      </c>
      <c r="M7872" t="s">
        <v>39572</v>
      </c>
      <c r="N7872" t="s">
        <v>40436</v>
      </c>
      <c r="O7872" t="s">
        <v>40437</v>
      </c>
      <c r="P7872">
        <v>0</v>
      </c>
      <c r="Q7872">
        <v>1</v>
      </c>
      <c r="R7872" t="s">
        <v>40445</v>
      </c>
      <c r="S7872" t="s">
        <v>40730</v>
      </c>
      <c r="T7872" t="s">
        <v>42374</v>
      </c>
      <c r="U7872" t="s">
        <v>49278</v>
      </c>
      <c r="W7872" t="s">
        <v>39572</v>
      </c>
      <c r="X7872" t="s">
        <v>40447</v>
      </c>
    </row>
    <row r="7873" spans="1:24">
      <c r="A7873">
        <f>HYPERLINK("https://www.philgeps.gov.ph/GEPSNONPILOT/Tender/SplashBidNoticeAbstractUI.aspx?menuIndex=3&amp;refID=7034570&amp;Result=3","7034570")</f>
        <v>0</v>
      </c>
      <c r="B7873" t="s">
        <v>1711</v>
      </c>
      <c r="C7873" t="s">
        <v>10578</v>
      </c>
      <c r="D7873" t="s">
        <v>16211</v>
      </c>
      <c r="E7873" t="s">
        <v>23210</v>
      </c>
      <c r="F7873" t="s">
        <v>28198</v>
      </c>
      <c r="G7873" t="s">
        <v>28205</v>
      </c>
      <c r="H7873" t="s">
        <v>28215</v>
      </c>
      <c r="I7873" t="s">
        <v>3774</v>
      </c>
      <c r="J7873" t="s">
        <v>33289</v>
      </c>
      <c r="K7873" t="s">
        <v>36701</v>
      </c>
      <c r="M7873" t="s">
        <v>38816</v>
      </c>
      <c r="N7873" t="s">
        <v>40436</v>
      </c>
      <c r="O7873" t="s">
        <v>40437</v>
      </c>
      <c r="P7873">
        <v>0</v>
      </c>
      <c r="Q7873">
        <v>0</v>
      </c>
      <c r="R7873" t="s">
        <v>40445</v>
      </c>
      <c r="S7873" t="s">
        <v>40730</v>
      </c>
      <c r="T7873" t="s">
        <v>42112</v>
      </c>
      <c r="U7873" t="s">
        <v>49279</v>
      </c>
      <c r="W7873" t="s">
        <v>38816</v>
      </c>
      <c r="X7873" t="s">
        <v>40447</v>
      </c>
    </row>
    <row r="7874" spans="1:24">
      <c r="A7874">
        <f>HYPERLINK("https://www.philgeps.gov.ph/GEPSNONPILOT/Tender/SplashBidNoticeAbstractUI.aspx?menuIndex=3&amp;refID=7034697&amp;Result=3","7034697")</f>
        <v>0</v>
      </c>
      <c r="B7874" t="s">
        <v>1858</v>
      </c>
      <c r="C7874" t="s">
        <v>10579</v>
      </c>
      <c r="D7874" t="s">
        <v>16210</v>
      </c>
      <c r="E7874" t="s">
        <v>23211</v>
      </c>
      <c r="F7874" t="s">
        <v>28198</v>
      </c>
      <c r="G7874" t="s">
        <v>28205</v>
      </c>
      <c r="H7874" t="s">
        <v>28217</v>
      </c>
      <c r="I7874" t="s">
        <v>28295</v>
      </c>
      <c r="J7874" t="s">
        <v>33290</v>
      </c>
      <c r="K7874" t="s">
        <v>36688</v>
      </c>
      <c r="M7874" t="s">
        <v>39573</v>
      </c>
      <c r="N7874" t="s">
        <v>40436</v>
      </c>
      <c r="O7874" t="s">
        <v>40437</v>
      </c>
      <c r="P7874">
        <v>0</v>
      </c>
      <c r="Q7874">
        <v>6</v>
      </c>
      <c r="R7874" t="s">
        <v>40445</v>
      </c>
      <c r="S7874" t="s">
        <v>40730</v>
      </c>
      <c r="T7874" t="s">
        <v>42346</v>
      </c>
      <c r="U7874" t="s">
        <v>49280</v>
      </c>
      <c r="W7874" t="s">
        <v>39573</v>
      </c>
      <c r="X7874" t="s">
        <v>40447</v>
      </c>
    </row>
    <row r="7875" spans="1:24">
      <c r="A7875">
        <f>HYPERLINK("https://www.philgeps.gov.ph/GEPSNONPILOT/Tender/SplashBidNoticeAbstractUI.aspx?menuIndex=3&amp;refID=7034676&amp;Result=3","7034676")</f>
        <v>0</v>
      </c>
      <c r="B7875" t="s">
        <v>1670</v>
      </c>
      <c r="C7875" t="s">
        <v>10580</v>
      </c>
      <c r="D7875" t="s">
        <v>16258</v>
      </c>
      <c r="E7875" t="s">
        <v>23212</v>
      </c>
      <c r="F7875" t="s">
        <v>28198</v>
      </c>
      <c r="G7875" t="s">
        <v>28205</v>
      </c>
      <c r="H7875" t="s">
        <v>28215</v>
      </c>
      <c r="I7875" t="s">
        <v>28227</v>
      </c>
      <c r="J7875" t="s">
        <v>33291</v>
      </c>
      <c r="K7875" t="s">
        <v>36707</v>
      </c>
      <c r="M7875" t="s">
        <v>38765</v>
      </c>
      <c r="N7875" t="s">
        <v>40436</v>
      </c>
      <c r="O7875" t="s">
        <v>40437</v>
      </c>
      <c r="P7875">
        <v>0</v>
      </c>
      <c r="Q7875">
        <v>1</v>
      </c>
      <c r="R7875" t="s">
        <v>40445</v>
      </c>
      <c r="S7875" t="s">
        <v>40730</v>
      </c>
      <c r="T7875" t="s">
        <v>42399</v>
      </c>
      <c r="U7875" t="s">
        <v>49281</v>
      </c>
      <c r="V7875" t="s">
        <v>54250</v>
      </c>
      <c r="W7875" t="s">
        <v>38765</v>
      </c>
      <c r="X7875" t="s">
        <v>40447</v>
      </c>
    </row>
    <row r="7876" spans="1:24">
      <c r="A7876">
        <f>HYPERLINK("https://www.philgeps.gov.ph/GEPSNONPILOT/Tender/SplashBidNoticeAbstractUI.aspx?menuIndex=3&amp;refID=7032826&amp;Result=3","7032826")</f>
        <v>0</v>
      </c>
      <c r="B7876" t="s">
        <v>268</v>
      </c>
      <c r="C7876" t="s">
        <v>10581</v>
      </c>
      <c r="D7876" t="s">
        <v>16209</v>
      </c>
      <c r="E7876" t="s">
        <v>23213</v>
      </c>
      <c r="F7876" t="s">
        <v>28198</v>
      </c>
      <c r="G7876" t="s">
        <v>28206</v>
      </c>
      <c r="H7876" t="s">
        <v>28215</v>
      </c>
      <c r="I7876" t="s">
        <v>5082</v>
      </c>
      <c r="J7876" t="s">
        <v>33292</v>
      </c>
      <c r="K7876" t="s">
        <v>36689</v>
      </c>
      <c r="M7876" t="s">
        <v>37244</v>
      </c>
      <c r="N7876" t="s">
        <v>40436</v>
      </c>
      <c r="O7876" t="s">
        <v>40437</v>
      </c>
      <c r="Q7876">
        <v>0</v>
      </c>
      <c r="R7876" t="s">
        <v>40445</v>
      </c>
      <c r="S7876" t="s">
        <v>40732</v>
      </c>
      <c r="T7876" t="s">
        <v>42233</v>
      </c>
      <c r="U7876" t="s">
        <v>43038</v>
      </c>
      <c r="W7876" t="s">
        <v>37244</v>
      </c>
      <c r="X7876" t="s">
        <v>40447</v>
      </c>
    </row>
    <row r="7877" spans="1:24">
      <c r="A7877">
        <f>HYPERLINK("https://www.philgeps.gov.ph/GEPSNONPILOT/Tender/SplashBidNoticeAbstractUI.aspx?menuIndex=3&amp;refID=7034626&amp;Result=3","7034626")</f>
        <v>0</v>
      </c>
      <c r="B7877" t="s">
        <v>1354</v>
      </c>
      <c r="C7877" t="s">
        <v>10582</v>
      </c>
      <c r="D7877" t="s">
        <v>16238</v>
      </c>
      <c r="E7877" t="s">
        <v>23214</v>
      </c>
      <c r="F7877" t="s">
        <v>28198</v>
      </c>
      <c r="G7877" t="s">
        <v>28205</v>
      </c>
      <c r="H7877" t="s">
        <v>28215</v>
      </c>
      <c r="I7877" t="s">
        <v>5631</v>
      </c>
      <c r="J7877" t="s">
        <v>28378</v>
      </c>
      <c r="K7877" t="s">
        <v>36701</v>
      </c>
      <c r="M7877" t="s">
        <v>38412</v>
      </c>
      <c r="N7877" t="s">
        <v>40436</v>
      </c>
      <c r="O7877" t="s">
        <v>40437</v>
      </c>
      <c r="P7877">
        <v>0</v>
      </c>
      <c r="Q7877">
        <v>0</v>
      </c>
      <c r="R7877" t="s">
        <v>40445</v>
      </c>
      <c r="S7877" t="s">
        <v>40730</v>
      </c>
      <c r="T7877" t="s">
        <v>42350</v>
      </c>
      <c r="U7877" t="s">
        <v>49282</v>
      </c>
      <c r="W7877" t="s">
        <v>38412</v>
      </c>
      <c r="X7877" t="s">
        <v>40447</v>
      </c>
    </row>
    <row r="7878" spans="1:24">
      <c r="A7878">
        <f>HYPERLINK("https://www.philgeps.gov.ph/GEPSNONPILOT/Tender/SplashBidNoticeAbstractUI.aspx?menuIndex=3&amp;refID=7034609&amp;Result=3","7034609")</f>
        <v>0</v>
      </c>
      <c r="B7878" t="s">
        <v>2388</v>
      </c>
      <c r="C7878" t="s">
        <v>10583</v>
      </c>
      <c r="D7878" t="s">
        <v>16239</v>
      </c>
      <c r="E7878" t="s">
        <v>23215</v>
      </c>
      <c r="F7878" t="s">
        <v>28198</v>
      </c>
      <c r="G7878" t="s">
        <v>28205</v>
      </c>
      <c r="H7878" t="s">
        <v>28215</v>
      </c>
      <c r="I7878" t="s">
        <v>8888</v>
      </c>
      <c r="J7878" t="s">
        <v>28363</v>
      </c>
      <c r="K7878" t="s">
        <v>36695</v>
      </c>
      <c r="M7878" t="s">
        <v>39574</v>
      </c>
      <c r="N7878" t="s">
        <v>40436</v>
      </c>
      <c r="O7878" t="s">
        <v>40437</v>
      </c>
      <c r="P7878">
        <v>0</v>
      </c>
      <c r="Q7878">
        <v>15</v>
      </c>
      <c r="R7878" t="s">
        <v>40445</v>
      </c>
      <c r="S7878" t="s">
        <v>40730</v>
      </c>
      <c r="T7878" t="s">
        <v>42234</v>
      </c>
      <c r="U7878" t="s">
        <v>49283</v>
      </c>
      <c r="W7878" t="s">
        <v>39574</v>
      </c>
      <c r="X7878" t="s">
        <v>40447</v>
      </c>
    </row>
    <row r="7879" spans="1:24">
      <c r="A7879">
        <f>HYPERLINK("https://www.philgeps.gov.ph/GEPSNONPILOT/Tender/SplashBidNoticeAbstractUI.aspx?menuIndex=3&amp;refID=7034003&amp;Result=3","7034003")</f>
        <v>0</v>
      </c>
      <c r="B7879" t="s">
        <v>2389</v>
      </c>
      <c r="C7879" t="s">
        <v>10584</v>
      </c>
      <c r="D7879" t="s">
        <v>16193</v>
      </c>
      <c r="E7879" t="s">
        <v>23216</v>
      </c>
      <c r="F7879" t="s">
        <v>28198</v>
      </c>
      <c r="G7879" t="s">
        <v>28205</v>
      </c>
      <c r="H7879" t="s">
        <v>28214</v>
      </c>
      <c r="I7879" t="s">
        <v>3797</v>
      </c>
      <c r="J7879" t="s">
        <v>33293</v>
      </c>
      <c r="K7879" t="s">
        <v>36775</v>
      </c>
      <c r="M7879" t="s">
        <v>39575</v>
      </c>
      <c r="N7879" t="s">
        <v>40436</v>
      </c>
      <c r="O7879" t="s">
        <v>40437</v>
      </c>
      <c r="P7879">
        <v>0</v>
      </c>
      <c r="Q7879">
        <v>0</v>
      </c>
      <c r="R7879" t="s">
        <v>40445</v>
      </c>
      <c r="S7879" t="s">
        <v>40730</v>
      </c>
      <c r="T7879" t="s">
        <v>42279</v>
      </c>
      <c r="U7879" t="s">
        <v>49284</v>
      </c>
      <c r="V7879" t="s">
        <v>54629</v>
      </c>
      <c r="W7879" t="s">
        <v>39575</v>
      </c>
      <c r="X7879" t="s">
        <v>40447</v>
      </c>
    </row>
    <row r="7880" spans="1:24">
      <c r="A7880">
        <f>HYPERLINK("https://www.philgeps.gov.ph/GEPSNONPILOT/Tender/SplashBidNoticeAbstractUI.aspx?menuIndex=3&amp;refID=7034587&amp;Result=3","7034587")</f>
        <v>0</v>
      </c>
      <c r="B7880" t="s">
        <v>1354</v>
      </c>
      <c r="C7880" t="s">
        <v>10585</v>
      </c>
      <c r="D7880" t="s">
        <v>16238</v>
      </c>
      <c r="E7880" t="s">
        <v>23217</v>
      </c>
      <c r="F7880" t="s">
        <v>28198</v>
      </c>
      <c r="G7880" t="s">
        <v>28205</v>
      </c>
      <c r="H7880" t="s">
        <v>28215</v>
      </c>
      <c r="I7880" t="s">
        <v>28262</v>
      </c>
      <c r="J7880" t="s">
        <v>33294</v>
      </c>
      <c r="K7880" t="s">
        <v>36701</v>
      </c>
      <c r="M7880" t="s">
        <v>38412</v>
      </c>
      <c r="N7880" t="s">
        <v>40436</v>
      </c>
      <c r="O7880" t="s">
        <v>40437</v>
      </c>
      <c r="P7880">
        <v>0</v>
      </c>
      <c r="Q7880">
        <v>0</v>
      </c>
      <c r="R7880" t="s">
        <v>40445</v>
      </c>
      <c r="S7880" t="s">
        <v>40730</v>
      </c>
      <c r="T7880" t="s">
        <v>42350</v>
      </c>
      <c r="U7880" t="s">
        <v>49285</v>
      </c>
      <c r="W7880" t="s">
        <v>38412</v>
      </c>
      <c r="X7880" t="s">
        <v>40447</v>
      </c>
    </row>
    <row r="7881" spans="1:24">
      <c r="A7881">
        <f>HYPERLINK("https://www.philgeps.gov.ph/GEPSNONPILOT/Tender/SplashBidNoticeAbstractUI.aspx?menuIndex=3&amp;refID=7033583&amp;Result=3","7033583")</f>
        <v>0</v>
      </c>
      <c r="B7881" t="s">
        <v>2389</v>
      </c>
      <c r="C7881" t="s">
        <v>10586</v>
      </c>
      <c r="D7881" t="s">
        <v>16193</v>
      </c>
      <c r="E7881" t="s">
        <v>23218</v>
      </c>
      <c r="F7881" t="s">
        <v>28198</v>
      </c>
      <c r="G7881" t="s">
        <v>28205</v>
      </c>
      <c r="H7881" t="s">
        <v>28215</v>
      </c>
      <c r="I7881" t="s">
        <v>28247</v>
      </c>
      <c r="J7881" t="s">
        <v>33295</v>
      </c>
      <c r="K7881" t="s">
        <v>36701</v>
      </c>
      <c r="M7881" t="s">
        <v>39575</v>
      </c>
      <c r="N7881" t="s">
        <v>40436</v>
      </c>
      <c r="O7881" t="s">
        <v>40437</v>
      </c>
      <c r="P7881">
        <v>0</v>
      </c>
      <c r="Q7881">
        <v>5</v>
      </c>
      <c r="R7881" t="s">
        <v>40445</v>
      </c>
      <c r="S7881" t="s">
        <v>40730</v>
      </c>
      <c r="T7881" t="s">
        <v>42279</v>
      </c>
      <c r="U7881" t="s">
        <v>49286</v>
      </c>
      <c r="V7881" t="s">
        <v>54630</v>
      </c>
      <c r="W7881" t="s">
        <v>39575</v>
      </c>
      <c r="X7881" t="s">
        <v>40447</v>
      </c>
    </row>
    <row r="7882" spans="1:24">
      <c r="A7882">
        <f>HYPERLINK("https://www.philgeps.gov.ph/GEPSNONPILOT/Tender/SplashBidNoticeAbstractUI.aspx?menuIndex=3&amp;refID=7034069&amp;Result=3","7034069")</f>
        <v>0</v>
      </c>
      <c r="B7882" t="s">
        <v>2385</v>
      </c>
      <c r="C7882" t="s">
        <v>10587</v>
      </c>
      <c r="D7882" t="s">
        <v>16217</v>
      </c>
      <c r="E7882" t="s">
        <v>23219</v>
      </c>
      <c r="F7882" t="s">
        <v>28198</v>
      </c>
      <c r="G7882" t="s">
        <v>28205</v>
      </c>
      <c r="H7882" t="s">
        <v>28215</v>
      </c>
      <c r="I7882" t="s">
        <v>4505</v>
      </c>
      <c r="J7882" t="s">
        <v>33296</v>
      </c>
      <c r="K7882" t="s">
        <v>36706</v>
      </c>
      <c r="M7882" t="s">
        <v>39570</v>
      </c>
      <c r="N7882" t="s">
        <v>40436</v>
      </c>
      <c r="O7882" t="s">
        <v>40437</v>
      </c>
      <c r="P7882">
        <v>0</v>
      </c>
      <c r="Q7882">
        <v>1</v>
      </c>
      <c r="R7882" t="s">
        <v>40445</v>
      </c>
      <c r="S7882" t="s">
        <v>40730</v>
      </c>
      <c r="T7882" t="s">
        <v>42184</v>
      </c>
      <c r="U7882" t="s">
        <v>49287</v>
      </c>
      <c r="V7882" t="s">
        <v>54631</v>
      </c>
      <c r="W7882" t="s">
        <v>39570</v>
      </c>
      <c r="X7882" t="s">
        <v>40447</v>
      </c>
    </row>
    <row r="7883" spans="1:24">
      <c r="A7883">
        <f>HYPERLINK("https://www.philgeps.gov.ph/GEPSNONPILOT/Tender/SplashBidNoticeAbstractUI.aspx?menuIndex=3&amp;refID=7033989&amp;Result=3","7033989")</f>
        <v>0</v>
      </c>
      <c r="B7883" t="s">
        <v>250</v>
      </c>
      <c r="C7883" t="s">
        <v>10588</v>
      </c>
      <c r="D7883" t="s">
        <v>16190</v>
      </c>
      <c r="E7883" t="s">
        <v>23220</v>
      </c>
      <c r="F7883" t="s">
        <v>28198</v>
      </c>
      <c r="G7883" t="s">
        <v>28205</v>
      </c>
      <c r="H7883" t="s">
        <v>28215</v>
      </c>
      <c r="I7883" t="s">
        <v>5100</v>
      </c>
      <c r="J7883" t="s">
        <v>33297</v>
      </c>
      <c r="K7883" t="s">
        <v>36707</v>
      </c>
      <c r="M7883" t="s">
        <v>37226</v>
      </c>
      <c r="N7883" t="s">
        <v>40436</v>
      </c>
      <c r="O7883" t="s">
        <v>40437</v>
      </c>
      <c r="P7883">
        <v>0</v>
      </c>
      <c r="Q7883">
        <v>4</v>
      </c>
      <c r="R7883" t="s">
        <v>40445</v>
      </c>
      <c r="S7883" t="s">
        <v>40730</v>
      </c>
      <c r="T7883" t="s">
        <v>42234</v>
      </c>
      <c r="U7883" t="s">
        <v>49288</v>
      </c>
      <c r="W7883" t="s">
        <v>37226</v>
      </c>
      <c r="X7883" t="s">
        <v>40447</v>
      </c>
    </row>
    <row r="7884" spans="1:24">
      <c r="A7884">
        <f>HYPERLINK("https://www.philgeps.gov.ph/GEPSNONPILOT/Tender/SplashBidNoticeAbstractUI.aspx?menuIndex=3&amp;refID=7034721&amp;Result=3","7034721")</f>
        <v>0</v>
      </c>
      <c r="B7884" t="s">
        <v>1858</v>
      </c>
      <c r="C7884" t="s">
        <v>10589</v>
      </c>
      <c r="D7884" t="s">
        <v>16210</v>
      </c>
      <c r="E7884" t="s">
        <v>23221</v>
      </c>
      <c r="F7884" t="s">
        <v>28198</v>
      </c>
      <c r="G7884" t="s">
        <v>28205</v>
      </c>
      <c r="H7884" t="s">
        <v>28217</v>
      </c>
      <c r="I7884" t="s">
        <v>28237</v>
      </c>
      <c r="J7884" t="s">
        <v>33298</v>
      </c>
      <c r="K7884" t="s">
        <v>36688</v>
      </c>
      <c r="M7884" t="s">
        <v>39573</v>
      </c>
      <c r="N7884" t="s">
        <v>40436</v>
      </c>
      <c r="O7884" t="s">
        <v>40437</v>
      </c>
      <c r="P7884">
        <v>0</v>
      </c>
      <c r="Q7884">
        <v>1</v>
      </c>
      <c r="R7884" t="s">
        <v>40445</v>
      </c>
      <c r="S7884" t="s">
        <v>40730</v>
      </c>
      <c r="T7884" t="s">
        <v>42346</v>
      </c>
      <c r="U7884" t="s">
        <v>49289</v>
      </c>
      <c r="W7884" t="s">
        <v>39573</v>
      </c>
      <c r="X7884" t="s">
        <v>40447</v>
      </c>
    </row>
    <row r="7885" spans="1:24">
      <c r="A7885">
        <f>HYPERLINK("https://www.philgeps.gov.ph/GEPSNONPILOT/Tender/SplashBidNoticeAbstractUI.aspx?menuIndex=3&amp;refID=7033912&amp;Result=3","7033912")</f>
        <v>0</v>
      </c>
      <c r="B7885" t="s">
        <v>2389</v>
      </c>
      <c r="C7885" t="s">
        <v>10590</v>
      </c>
      <c r="D7885" t="s">
        <v>16193</v>
      </c>
      <c r="E7885" t="s">
        <v>23222</v>
      </c>
      <c r="F7885" t="s">
        <v>28198</v>
      </c>
      <c r="G7885" t="s">
        <v>28205</v>
      </c>
      <c r="H7885" t="s">
        <v>28214</v>
      </c>
      <c r="I7885" t="s">
        <v>3797</v>
      </c>
      <c r="J7885" t="s">
        <v>33299</v>
      </c>
      <c r="K7885" t="s">
        <v>36734</v>
      </c>
      <c r="M7885" t="s">
        <v>39575</v>
      </c>
      <c r="N7885" t="s">
        <v>40436</v>
      </c>
      <c r="O7885" t="s">
        <v>40437</v>
      </c>
      <c r="P7885">
        <v>0</v>
      </c>
      <c r="Q7885">
        <v>0</v>
      </c>
      <c r="R7885" t="s">
        <v>40445</v>
      </c>
      <c r="S7885" t="s">
        <v>40730</v>
      </c>
      <c r="T7885" t="s">
        <v>42279</v>
      </c>
      <c r="U7885" t="s">
        <v>49290</v>
      </c>
      <c r="V7885" t="s">
        <v>54632</v>
      </c>
      <c r="W7885" t="s">
        <v>39575</v>
      </c>
      <c r="X7885" t="s">
        <v>40447</v>
      </c>
    </row>
    <row r="7886" spans="1:24">
      <c r="A7886">
        <f>HYPERLINK("https://www.philgeps.gov.ph/GEPSNONPILOT/Tender/SplashBidNoticeAbstractUI.aspx?menuIndex=3&amp;refID=7034760&amp;Result=3","7034760")</f>
        <v>0</v>
      </c>
      <c r="B7886" t="s">
        <v>95</v>
      </c>
      <c r="C7886" t="s">
        <v>10591</v>
      </c>
      <c r="D7886" t="s">
        <v>16203</v>
      </c>
      <c r="E7886" t="s">
        <v>23223</v>
      </c>
      <c r="F7886" t="s">
        <v>28198</v>
      </c>
      <c r="G7886" t="s">
        <v>28205</v>
      </c>
      <c r="H7886" t="s">
        <v>28214</v>
      </c>
      <c r="I7886" t="s">
        <v>3797</v>
      </c>
      <c r="J7886" t="s">
        <v>33300</v>
      </c>
      <c r="K7886" t="s">
        <v>36697</v>
      </c>
      <c r="M7886" t="s">
        <v>37074</v>
      </c>
      <c r="N7886" t="s">
        <v>40436</v>
      </c>
      <c r="O7886" t="s">
        <v>40437</v>
      </c>
      <c r="P7886">
        <v>0</v>
      </c>
      <c r="Q7886">
        <v>2</v>
      </c>
      <c r="R7886" t="s">
        <v>40445</v>
      </c>
      <c r="S7886" t="s">
        <v>40730</v>
      </c>
      <c r="T7886" t="s">
        <v>42459</v>
      </c>
      <c r="U7886" t="s">
        <v>49291</v>
      </c>
      <c r="W7886" t="s">
        <v>37074</v>
      </c>
      <c r="X7886" t="s">
        <v>40447</v>
      </c>
    </row>
    <row r="7887" spans="1:24">
      <c r="A7887">
        <f>HYPERLINK("https://www.philgeps.gov.ph/GEPSNONPILOT/Tender/SplashBidNoticeAbstractUI.aspx?menuIndex=3&amp;refID=7034755&amp;Result=3","7034755")</f>
        <v>0</v>
      </c>
      <c r="B7887" t="s">
        <v>1858</v>
      </c>
      <c r="C7887" t="s">
        <v>10592</v>
      </c>
      <c r="D7887" t="s">
        <v>16210</v>
      </c>
      <c r="E7887" t="s">
        <v>23224</v>
      </c>
      <c r="F7887" t="s">
        <v>28198</v>
      </c>
      <c r="G7887" t="s">
        <v>28205</v>
      </c>
      <c r="H7887" t="s">
        <v>28215</v>
      </c>
      <c r="I7887" t="s">
        <v>5791</v>
      </c>
      <c r="J7887" t="s">
        <v>28351</v>
      </c>
      <c r="K7887" t="s">
        <v>36688</v>
      </c>
      <c r="M7887" t="s">
        <v>39573</v>
      </c>
      <c r="N7887" t="s">
        <v>40436</v>
      </c>
      <c r="O7887" t="s">
        <v>40437</v>
      </c>
      <c r="P7887">
        <v>0</v>
      </c>
      <c r="Q7887">
        <v>2</v>
      </c>
      <c r="R7887" t="s">
        <v>40445</v>
      </c>
      <c r="S7887" t="s">
        <v>40730</v>
      </c>
      <c r="T7887" t="s">
        <v>42346</v>
      </c>
      <c r="U7887" t="s">
        <v>49292</v>
      </c>
      <c r="W7887" t="s">
        <v>39573</v>
      </c>
      <c r="X7887" t="s">
        <v>40447</v>
      </c>
    </row>
    <row r="7888" spans="1:24">
      <c r="A7888">
        <f>HYPERLINK("https://www.philgeps.gov.ph/GEPSNONPILOT/Tender/SplashBidNoticeAbstractUI.aspx?menuIndex=3&amp;refID=7034789&amp;Result=3","7034789")</f>
        <v>0</v>
      </c>
      <c r="B7888" t="s">
        <v>95</v>
      </c>
      <c r="C7888" t="s">
        <v>10593</v>
      </c>
      <c r="D7888" t="s">
        <v>16203</v>
      </c>
      <c r="E7888" t="s">
        <v>23225</v>
      </c>
      <c r="F7888" t="s">
        <v>28198</v>
      </c>
      <c r="G7888" t="s">
        <v>28205</v>
      </c>
      <c r="H7888" t="s">
        <v>28214</v>
      </c>
      <c r="I7888" t="s">
        <v>3797</v>
      </c>
      <c r="J7888" t="s">
        <v>33301</v>
      </c>
      <c r="K7888" t="s">
        <v>36866</v>
      </c>
      <c r="M7888" t="s">
        <v>37074</v>
      </c>
      <c r="N7888" t="s">
        <v>40436</v>
      </c>
      <c r="O7888" t="s">
        <v>40437</v>
      </c>
      <c r="P7888">
        <v>0</v>
      </c>
      <c r="Q7888">
        <v>2</v>
      </c>
      <c r="R7888" t="s">
        <v>40445</v>
      </c>
      <c r="S7888" t="s">
        <v>40730</v>
      </c>
      <c r="T7888" t="s">
        <v>42459</v>
      </c>
      <c r="U7888" t="s">
        <v>49293</v>
      </c>
      <c r="W7888" t="s">
        <v>37074</v>
      </c>
      <c r="X7888" t="s">
        <v>40447</v>
      </c>
    </row>
    <row r="7889" spans="1:24">
      <c r="A7889">
        <f>HYPERLINK("https://www.philgeps.gov.ph/GEPSNONPILOT/Tender/SplashBidNoticeAbstractUI.aspx?menuIndex=3&amp;refID=7034792&amp;Result=3","7034792")</f>
        <v>0</v>
      </c>
      <c r="B7889" t="s">
        <v>1721</v>
      </c>
      <c r="C7889" t="s">
        <v>10594</v>
      </c>
      <c r="D7889" t="s">
        <v>16196</v>
      </c>
      <c r="E7889" t="s">
        <v>23226</v>
      </c>
      <c r="F7889" t="s">
        <v>28198</v>
      </c>
      <c r="G7889" t="s">
        <v>28205</v>
      </c>
      <c r="H7889" t="s">
        <v>28214</v>
      </c>
      <c r="I7889" t="s">
        <v>28267</v>
      </c>
      <c r="J7889" t="s">
        <v>33302</v>
      </c>
      <c r="K7889" t="s">
        <v>36717</v>
      </c>
      <c r="M7889" t="s">
        <v>39576</v>
      </c>
      <c r="N7889" t="s">
        <v>40436</v>
      </c>
      <c r="O7889" t="s">
        <v>40437</v>
      </c>
      <c r="P7889">
        <v>0</v>
      </c>
      <c r="Q7889">
        <v>3</v>
      </c>
      <c r="R7889" t="s">
        <v>40445</v>
      </c>
      <c r="S7889" t="s">
        <v>40730</v>
      </c>
      <c r="T7889" t="s">
        <v>42292</v>
      </c>
      <c r="U7889" t="s">
        <v>49294</v>
      </c>
      <c r="W7889" t="s">
        <v>39576</v>
      </c>
      <c r="X7889" t="s">
        <v>40447</v>
      </c>
    </row>
    <row r="7890" spans="1:24">
      <c r="A7890">
        <f>HYPERLINK("https://www.philgeps.gov.ph/GEPSNONPILOT/Tender/SplashBidNoticeAbstractUI.aspx?menuIndex=3&amp;refID=7034748&amp;Result=3","7034748")</f>
        <v>0</v>
      </c>
      <c r="B7890" t="s">
        <v>686</v>
      </c>
      <c r="C7890" t="s">
        <v>10595</v>
      </c>
      <c r="D7890" t="s">
        <v>16195</v>
      </c>
      <c r="E7890" t="s">
        <v>23227</v>
      </c>
      <c r="F7890" t="s">
        <v>28198</v>
      </c>
      <c r="G7890" t="s">
        <v>28205</v>
      </c>
      <c r="H7890" t="s">
        <v>28215</v>
      </c>
      <c r="I7890" t="s">
        <v>28247</v>
      </c>
      <c r="J7890" t="s">
        <v>33303</v>
      </c>
      <c r="K7890" t="s">
        <v>36701</v>
      </c>
      <c r="M7890" t="s">
        <v>39569</v>
      </c>
      <c r="N7890" t="s">
        <v>40436</v>
      </c>
      <c r="O7890" t="s">
        <v>40437</v>
      </c>
      <c r="P7890">
        <v>0</v>
      </c>
      <c r="Q7890">
        <v>6</v>
      </c>
      <c r="R7890" t="s">
        <v>40445</v>
      </c>
      <c r="S7890" t="s">
        <v>40730</v>
      </c>
      <c r="T7890" t="s">
        <v>42168</v>
      </c>
      <c r="U7890" t="s">
        <v>49295</v>
      </c>
      <c r="V7890" t="s">
        <v>54633</v>
      </c>
      <c r="W7890" t="s">
        <v>39569</v>
      </c>
      <c r="X7890" t="s">
        <v>40447</v>
      </c>
    </row>
    <row r="7891" spans="1:24">
      <c r="A7891">
        <f>HYPERLINK("https://www.philgeps.gov.ph/GEPSNONPILOT/Tender/SplashBidNoticeAbstractUI.aspx?menuIndex=3&amp;refID=7034888&amp;Result=3","7034888")</f>
        <v>0</v>
      </c>
      <c r="B7891" t="s">
        <v>1858</v>
      </c>
      <c r="C7891" t="s">
        <v>10596</v>
      </c>
      <c r="D7891" t="s">
        <v>16210</v>
      </c>
      <c r="E7891" t="s">
        <v>23228</v>
      </c>
      <c r="F7891" t="s">
        <v>28198</v>
      </c>
      <c r="G7891" t="s">
        <v>28205</v>
      </c>
      <c r="H7891" t="s">
        <v>28215</v>
      </c>
      <c r="I7891" t="s">
        <v>5082</v>
      </c>
      <c r="J7891" t="s">
        <v>33304</v>
      </c>
      <c r="K7891" t="s">
        <v>36688</v>
      </c>
      <c r="M7891" t="s">
        <v>39573</v>
      </c>
      <c r="N7891" t="s">
        <v>40436</v>
      </c>
      <c r="O7891" t="s">
        <v>40437</v>
      </c>
      <c r="P7891">
        <v>0</v>
      </c>
      <c r="Q7891">
        <v>3</v>
      </c>
      <c r="R7891" t="s">
        <v>40445</v>
      </c>
      <c r="S7891" t="s">
        <v>40730</v>
      </c>
      <c r="T7891" t="s">
        <v>42346</v>
      </c>
      <c r="U7891" t="s">
        <v>49296</v>
      </c>
      <c r="W7891" t="s">
        <v>39573</v>
      </c>
      <c r="X7891" t="s">
        <v>40447</v>
      </c>
    </row>
    <row r="7892" spans="1:24">
      <c r="A7892">
        <f>HYPERLINK("https://www.philgeps.gov.ph/GEPSNONPILOT/Tender/SplashBidNoticeAbstractUI.aspx?menuIndex=3&amp;refID=7034772&amp;Result=3","7034772")</f>
        <v>0</v>
      </c>
      <c r="B7892" t="s">
        <v>1858</v>
      </c>
      <c r="C7892" t="s">
        <v>10597</v>
      </c>
      <c r="D7892" t="s">
        <v>16210</v>
      </c>
      <c r="E7892" t="s">
        <v>23229</v>
      </c>
      <c r="F7892" t="s">
        <v>28198</v>
      </c>
      <c r="G7892" t="s">
        <v>28205</v>
      </c>
      <c r="H7892" t="s">
        <v>28215</v>
      </c>
      <c r="I7892" t="s">
        <v>5791</v>
      </c>
      <c r="J7892" t="s">
        <v>33305</v>
      </c>
      <c r="K7892" t="s">
        <v>36688</v>
      </c>
      <c r="M7892" t="s">
        <v>39573</v>
      </c>
      <c r="N7892" t="s">
        <v>40436</v>
      </c>
      <c r="O7892" t="s">
        <v>40437</v>
      </c>
      <c r="P7892">
        <v>0</v>
      </c>
      <c r="Q7892">
        <v>1</v>
      </c>
      <c r="R7892" t="s">
        <v>40445</v>
      </c>
      <c r="S7892" t="s">
        <v>40730</v>
      </c>
      <c r="T7892" t="s">
        <v>42346</v>
      </c>
      <c r="U7892" t="s">
        <v>49292</v>
      </c>
      <c r="W7892" t="s">
        <v>39573</v>
      </c>
      <c r="X7892" t="s">
        <v>40447</v>
      </c>
    </row>
    <row r="7893" spans="1:24">
      <c r="A7893">
        <f>HYPERLINK("https://www.philgeps.gov.ph/GEPSNONPILOT/Tender/SplashBidNoticeAbstractUI.aspx?menuIndex=3&amp;refID=7034765&amp;Result=3","7034765")</f>
        <v>0</v>
      </c>
      <c r="B7893" t="s">
        <v>1858</v>
      </c>
      <c r="C7893" t="s">
        <v>10598</v>
      </c>
      <c r="D7893" t="s">
        <v>16210</v>
      </c>
      <c r="E7893" t="s">
        <v>23230</v>
      </c>
      <c r="F7893" t="s">
        <v>28198</v>
      </c>
      <c r="G7893" t="s">
        <v>28205</v>
      </c>
      <c r="H7893" t="s">
        <v>28215</v>
      </c>
      <c r="I7893" t="s">
        <v>4200</v>
      </c>
      <c r="J7893" t="s">
        <v>33306</v>
      </c>
      <c r="K7893" t="s">
        <v>36688</v>
      </c>
      <c r="M7893" t="s">
        <v>39573</v>
      </c>
      <c r="N7893" t="s">
        <v>40436</v>
      </c>
      <c r="O7893" t="s">
        <v>40437</v>
      </c>
      <c r="P7893">
        <v>0</v>
      </c>
      <c r="Q7893">
        <v>0</v>
      </c>
      <c r="R7893" t="s">
        <v>40445</v>
      </c>
      <c r="S7893" t="s">
        <v>40730</v>
      </c>
      <c r="T7893" t="s">
        <v>42346</v>
      </c>
      <c r="U7893" t="s">
        <v>49297</v>
      </c>
      <c r="W7893" t="s">
        <v>39573</v>
      </c>
      <c r="X7893" t="s">
        <v>40447</v>
      </c>
    </row>
    <row r="7894" spans="1:24">
      <c r="A7894">
        <f>HYPERLINK("https://www.philgeps.gov.ph/GEPSNONPILOT/Tender/SplashBidNoticeAbstractUI.aspx?menuIndex=3&amp;refID=7034856&amp;Result=3","7034856")</f>
        <v>0</v>
      </c>
      <c r="B7894" t="s">
        <v>1858</v>
      </c>
      <c r="C7894" t="s">
        <v>10599</v>
      </c>
      <c r="D7894" t="s">
        <v>16210</v>
      </c>
      <c r="E7894" t="s">
        <v>23231</v>
      </c>
      <c r="F7894" t="s">
        <v>28198</v>
      </c>
      <c r="G7894" t="s">
        <v>28205</v>
      </c>
      <c r="H7894" t="s">
        <v>28217</v>
      </c>
      <c r="I7894" t="s">
        <v>28268</v>
      </c>
      <c r="J7894" t="s">
        <v>28345</v>
      </c>
      <c r="K7894" t="s">
        <v>36688</v>
      </c>
      <c r="M7894" t="s">
        <v>39573</v>
      </c>
      <c r="N7894" t="s">
        <v>40436</v>
      </c>
      <c r="O7894" t="s">
        <v>40437</v>
      </c>
      <c r="P7894">
        <v>0</v>
      </c>
      <c r="Q7894">
        <v>1</v>
      </c>
      <c r="R7894" t="s">
        <v>40445</v>
      </c>
      <c r="S7894" t="s">
        <v>40730</v>
      </c>
      <c r="T7894" t="s">
        <v>42346</v>
      </c>
      <c r="U7894" t="s">
        <v>49298</v>
      </c>
      <c r="W7894" t="s">
        <v>39573</v>
      </c>
      <c r="X7894" t="s">
        <v>40447</v>
      </c>
    </row>
    <row r="7895" spans="1:24">
      <c r="A7895">
        <f>HYPERLINK("https://www.philgeps.gov.ph/GEPSNONPILOT/Tender/SplashBidNoticeAbstractUI.aspx?menuIndex=3&amp;refID=7034807&amp;Result=3","7034807")</f>
        <v>0</v>
      </c>
      <c r="B7895" t="s">
        <v>1450</v>
      </c>
      <c r="C7895" t="s">
        <v>10600</v>
      </c>
      <c r="D7895" t="s">
        <v>16241</v>
      </c>
      <c r="E7895" t="s">
        <v>16625</v>
      </c>
      <c r="F7895" t="s">
        <v>28198</v>
      </c>
      <c r="G7895" t="s">
        <v>28205</v>
      </c>
      <c r="H7895" t="s">
        <v>28215</v>
      </c>
      <c r="I7895" t="s">
        <v>28225</v>
      </c>
      <c r="J7895" t="s">
        <v>28561</v>
      </c>
      <c r="K7895" t="s">
        <v>36701</v>
      </c>
      <c r="M7895" t="s">
        <v>38517</v>
      </c>
      <c r="N7895" t="s">
        <v>40436</v>
      </c>
      <c r="O7895" t="s">
        <v>40437</v>
      </c>
      <c r="P7895">
        <v>0</v>
      </c>
      <c r="Q7895">
        <v>4</v>
      </c>
      <c r="R7895" t="s">
        <v>40445</v>
      </c>
      <c r="S7895" t="s">
        <v>40730</v>
      </c>
      <c r="T7895" t="s">
        <v>42169</v>
      </c>
      <c r="U7895" t="s">
        <v>49299</v>
      </c>
      <c r="W7895" t="s">
        <v>38517</v>
      </c>
      <c r="X7895" t="s">
        <v>40447</v>
      </c>
    </row>
    <row r="7896" spans="1:24">
      <c r="A7896">
        <f>HYPERLINK("https://www.philgeps.gov.ph/GEPSNONPILOT/Tender/SplashBidNoticeAbstractUI.aspx?menuIndex=3&amp;refID=7034876&amp;Result=3","7034876")</f>
        <v>0</v>
      </c>
      <c r="B7896" t="s">
        <v>1858</v>
      </c>
      <c r="C7896" t="s">
        <v>10601</v>
      </c>
      <c r="D7896" t="s">
        <v>16210</v>
      </c>
      <c r="E7896" t="s">
        <v>23232</v>
      </c>
      <c r="F7896" t="s">
        <v>28198</v>
      </c>
      <c r="G7896" t="s">
        <v>28205</v>
      </c>
      <c r="H7896" t="s">
        <v>28215</v>
      </c>
      <c r="I7896" t="s">
        <v>4200</v>
      </c>
      <c r="J7896" t="s">
        <v>33307</v>
      </c>
      <c r="K7896" t="s">
        <v>36688</v>
      </c>
      <c r="M7896" t="s">
        <v>39573</v>
      </c>
      <c r="N7896" t="s">
        <v>40436</v>
      </c>
      <c r="O7896" t="s">
        <v>40437</v>
      </c>
      <c r="P7896">
        <v>0</v>
      </c>
      <c r="Q7896">
        <v>0</v>
      </c>
      <c r="R7896" t="s">
        <v>40445</v>
      </c>
      <c r="S7896" t="s">
        <v>40730</v>
      </c>
      <c r="T7896" t="s">
        <v>42346</v>
      </c>
      <c r="U7896" t="s">
        <v>49297</v>
      </c>
      <c r="W7896" t="s">
        <v>39573</v>
      </c>
      <c r="X7896" t="s">
        <v>40447</v>
      </c>
    </row>
    <row r="7897" spans="1:24">
      <c r="A7897">
        <f>HYPERLINK("https://www.philgeps.gov.ph/GEPSNONPILOT/Tender/SplashBidNoticeAbstractUI.aspx?menuIndex=3&amp;refID=7034818&amp;Result=3","7034818")</f>
        <v>0</v>
      </c>
      <c r="B7897" t="s">
        <v>95</v>
      </c>
      <c r="C7897" t="s">
        <v>10602</v>
      </c>
      <c r="D7897" t="s">
        <v>16203</v>
      </c>
      <c r="E7897" t="s">
        <v>23233</v>
      </c>
      <c r="F7897" t="s">
        <v>28198</v>
      </c>
      <c r="G7897" t="s">
        <v>28205</v>
      </c>
      <c r="H7897" t="s">
        <v>28214</v>
      </c>
      <c r="I7897" t="s">
        <v>3797</v>
      </c>
      <c r="J7897" t="s">
        <v>33308</v>
      </c>
      <c r="K7897" t="s">
        <v>36695</v>
      </c>
      <c r="M7897" t="s">
        <v>37074</v>
      </c>
      <c r="N7897" t="s">
        <v>40436</v>
      </c>
      <c r="O7897" t="s">
        <v>40437</v>
      </c>
      <c r="P7897">
        <v>0</v>
      </c>
      <c r="Q7897">
        <v>2</v>
      </c>
      <c r="R7897" t="s">
        <v>40445</v>
      </c>
      <c r="S7897" t="s">
        <v>40730</v>
      </c>
      <c r="T7897" t="s">
        <v>42459</v>
      </c>
      <c r="U7897" t="s">
        <v>49300</v>
      </c>
      <c r="W7897" t="s">
        <v>37074</v>
      </c>
      <c r="X7897" t="s">
        <v>40447</v>
      </c>
    </row>
    <row r="7898" spans="1:24">
      <c r="A7898">
        <f>HYPERLINK("https://www.philgeps.gov.ph/GEPSNONPILOT/Tender/SplashBidNoticeAbstractUI.aspx?menuIndex=3&amp;refID=7034845&amp;Result=3","7034845")</f>
        <v>0</v>
      </c>
      <c r="B7898" t="s">
        <v>1858</v>
      </c>
      <c r="C7898" t="s">
        <v>10603</v>
      </c>
      <c r="D7898" t="s">
        <v>16210</v>
      </c>
      <c r="E7898" t="s">
        <v>23234</v>
      </c>
      <c r="F7898" t="s">
        <v>28198</v>
      </c>
      <c r="G7898" t="s">
        <v>28205</v>
      </c>
      <c r="H7898" t="s">
        <v>28214</v>
      </c>
      <c r="I7898" t="s">
        <v>3797</v>
      </c>
      <c r="J7898" t="s">
        <v>33309</v>
      </c>
      <c r="K7898" t="s">
        <v>36697</v>
      </c>
      <c r="M7898" t="s">
        <v>39573</v>
      </c>
      <c r="N7898" t="s">
        <v>40436</v>
      </c>
      <c r="O7898" t="s">
        <v>40437</v>
      </c>
      <c r="P7898">
        <v>0</v>
      </c>
      <c r="Q7898">
        <v>1</v>
      </c>
      <c r="R7898" t="s">
        <v>40445</v>
      </c>
      <c r="S7898" t="s">
        <v>40730</v>
      </c>
      <c r="T7898" t="s">
        <v>42346</v>
      </c>
      <c r="U7898" t="s">
        <v>49301</v>
      </c>
      <c r="W7898" t="s">
        <v>39573</v>
      </c>
      <c r="X7898" t="s">
        <v>40447</v>
      </c>
    </row>
    <row r="7899" spans="1:24">
      <c r="A7899">
        <f>HYPERLINK("https://www.philgeps.gov.ph/GEPSNONPILOT/Tender/SplashBidNoticeAbstractUI.aspx?menuIndex=3&amp;refID=7034867&amp;Result=3","7034867")</f>
        <v>0</v>
      </c>
      <c r="B7899" t="s">
        <v>1858</v>
      </c>
      <c r="C7899" t="s">
        <v>10604</v>
      </c>
      <c r="D7899" t="s">
        <v>16210</v>
      </c>
      <c r="E7899" t="s">
        <v>23235</v>
      </c>
      <c r="F7899" t="s">
        <v>28198</v>
      </c>
      <c r="G7899" t="s">
        <v>28205</v>
      </c>
      <c r="H7899" t="s">
        <v>28215</v>
      </c>
      <c r="I7899" t="s">
        <v>5656</v>
      </c>
      <c r="J7899" t="s">
        <v>29113</v>
      </c>
      <c r="K7899" t="s">
        <v>36688</v>
      </c>
      <c r="M7899" t="s">
        <v>39573</v>
      </c>
      <c r="N7899" t="s">
        <v>40436</v>
      </c>
      <c r="O7899" t="s">
        <v>40437</v>
      </c>
      <c r="P7899">
        <v>0</v>
      </c>
      <c r="Q7899">
        <v>1</v>
      </c>
      <c r="R7899" t="s">
        <v>40445</v>
      </c>
      <c r="S7899" t="s">
        <v>40730</v>
      </c>
      <c r="T7899" t="s">
        <v>42346</v>
      </c>
      <c r="U7899" t="s">
        <v>49302</v>
      </c>
      <c r="W7899" t="s">
        <v>39573</v>
      </c>
      <c r="X7899" t="s">
        <v>40447</v>
      </c>
    </row>
    <row r="7900" spans="1:24">
      <c r="A7900">
        <f>HYPERLINK("https://www.philgeps.gov.ph/GEPSNONPILOT/Tender/SplashBidNoticeAbstractUI.aspx?menuIndex=3&amp;refID=7034820&amp;Result=3","7034820")</f>
        <v>0</v>
      </c>
      <c r="B7900" t="s">
        <v>1858</v>
      </c>
      <c r="C7900" t="s">
        <v>10605</v>
      </c>
      <c r="D7900" t="s">
        <v>16210</v>
      </c>
      <c r="E7900" t="s">
        <v>23236</v>
      </c>
      <c r="F7900" t="s">
        <v>28198</v>
      </c>
      <c r="G7900" t="s">
        <v>28205</v>
      </c>
      <c r="H7900" t="s">
        <v>28215</v>
      </c>
      <c r="I7900" t="s">
        <v>4200</v>
      </c>
      <c r="J7900" t="s">
        <v>29291</v>
      </c>
      <c r="K7900" t="s">
        <v>36688</v>
      </c>
      <c r="M7900" t="s">
        <v>39573</v>
      </c>
      <c r="N7900" t="s">
        <v>40436</v>
      </c>
      <c r="O7900" t="s">
        <v>40437</v>
      </c>
      <c r="P7900">
        <v>0</v>
      </c>
      <c r="Q7900">
        <v>0</v>
      </c>
      <c r="R7900" t="s">
        <v>40445</v>
      </c>
      <c r="S7900" t="s">
        <v>40730</v>
      </c>
      <c r="T7900" t="s">
        <v>42346</v>
      </c>
      <c r="U7900" t="s">
        <v>49297</v>
      </c>
      <c r="W7900" t="s">
        <v>39573</v>
      </c>
      <c r="X7900" t="s">
        <v>40447</v>
      </c>
    </row>
    <row r="7901" spans="1:24">
      <c r="A7901">
        <f>HYPERLINK("https://www.philgeps.gov.ph/GEPSNONPILOT/Tender/SplashBidNoticeAbstractUI.aspx?menuIndex=3&amp;refID=7034742&amp;Result=3","7034742")</f>
        <v>0</v>
      </c>
      <c r="B7901" t="s">
        <v>1858</v>
      </c>
      <c r="C7901" t="s">
        <v>10606</v>
      </c>
      <c r="D7901" t="s">
        <v>16210</v>
      </c>
      <c r="E7901" t="s">
        <v>23237</v>
      </c>
      <c r="F7901" t="s">
        <v>28198</v>
      </c>
      <c r="G7901" t="s">
        <v>28205</v>
      </c>
      <c r="H7901" t="s">
        <v>28215</v>
      </c>
      <c r="I7901" t="s">
        <v>5082</v>
      </c>
      <c r="J7901" t="s">
        <v>33310</v>
      </c>
      <c r="K7901" t="s">
        <v>36688</v>
      </c>
      <c r="M7901" t="s">
        <v>39573</v>
      </c>
      <c r="N7901" t="s">
        <v>40436</v>
      </c>
      <c r="O7901" t="s">
        <v>40437</v>
      </c>
      <c r="P7901">
        <v>0</v>
      </c>
      <c r="Q7901">
        <v>2</v>
      </c>
      <c r="R7901" t="s">
        <v>40445</v>
      </c>
      <c r="S7901" t="s">
        <v>40730</v>
      </c>
      <c r="T7901" t="s">
        <v>42346</v>
      </c>
      <c r="U7901" t="s">
        <v>49296</v>
      </c>
      <c r="W7901" t="s">
        <v>39573</v>
      </c>
      <c r="X7901" t="s">
        <v>40447</v>
      </c>
    </row>
    <row r="7902" spans="1:24">
      <c r="A7902">
        <f>HYPERLINK("https://www.philgeps.gov.ph/GEPSNONPILOT/Tender/SplashBidNoticeAbstractUI.aspx?menuIndex=3&amp;refID=7034891&amp;Result=3","7034891")</f>
        <v>0</v>
      </c>
      <c r="B7902" t="s">
        <v>1858</v>
      </c>
      <c r="C7902" t="s">
        <v>10607</v>
      </c>
      <c r="D7902" t="s">
        <v>16210</v>
      </c>
      <c r="E7902" t="s">
        <v>23238</v>
      </c>
      <c r="F7902" t="s">
        <v>28198</v>
      </c>
      <c r="G7902" t="s">
        <v>28205</v>
      </c>
      <c r="H7902" t="s">
        <v>28215</v>
      </c>
      <c r="I7902" t="s">
        <v>5082</v>
      </c>
      <c r="J7902" t="s">
        <v>33311</v>
      </c>
      <c r="K7902" t="s">
        <v>36688</v>
      </c>
      <c r="M7902" t="s">
        <v>39573</v>
      </c>
      <c r="N7902" t="s">
        <v>40436</v>
      </c>
      <c r="O7902" t="s">
        <v>40437</v>
      </c>
      <c r="P7902">
        <v>0</v>
      </c>
      <c r="Q7902">
        <v>1</v>
      </c>
      <c r="R7902" t="s">
        <v>40445</v>
      </c>
      <c r="S7902" t="s">
        <v>40730</v>
      </c>
      <c r="T7902" t="s">
        <v>42346</v>
      </c>
      <c r="U7902" t="s">
        <v>49296</v>
      </c>
      <c r="W7902" t="s">
        <v>39573</v>
      </c>
      <c r="X7902" t="s">
        <v>40447</v>
      </c>
    </row>
    <row r="7903" spans="1:24">
      <c r="A7903">
        <f>HYPERLINK("https://www.philgeps.gov.ph/GEPSNONPILOT/Tender/SplashBidNoticeAbstractUI.aspx?menuIndex=3&amp;refID=7034833&amp;Result=3","7034833")</f>
        <v>0</v>
      </c>
      <c r="B7903" t="s">
        <v>1858</v>
      </c>
      <c r="C7903" t="s">
        <v>10608</v>
      </c>
      <c r="D7903" t="s">
        <v>16210</v>
      </c>
      <c r="E7903" t="s">
        <v>23239</v>
      </c>
      <c r="F7903" t="s">
        <v>28198</v>
      </c>
      <c r="G7903" t="s">
        <v>28205</v>
      </c>
      <c r="H7903" t="s">
        <v>28214</v>
      </c>
      <c r="I7903" t="s">
        <v>3797</v>
      </c>
      <c r="J7903" t="s">
        <v>33312</v>
      </c>
      <c r="K7903" t="s">
        <v>36697</v>
      </c>
      <c r="M7903" t="s">
        <v>39573</v>
      </c>
      <c r="N7903" t="s">
        <v>40436</v>
      </c>
      <c r="O7903" t="s">
        <v>40437</v>
      </c>
      <c r="P7903">
        <v>0</v>
      </c>
      <c r="Q7903">
        <v>2</v>
      </c>
      <c r="R7903" t="s">
        <v>40445</v>
      </c>
      <c r="S7903" t="s">
        <v>40730</v>
      </c>
      <c r="T7903" t="s">
        <v>42346</v>
      </c>
      <c r="U7903" t="s">
        <v>49303</v>
      </c>
      <c r="W7903" t="s">
        <v>39573</v>
      </c>
      <c r="X7903" t="s">
        <v>40447</v>
      </c>
    </row>
    <row r="7904" spans="1:24">
      <c r="A7904">
        <f>HYPERLINK("https://www.philgeps.gov.ph/GEPSNONPILOT/Tender/SplashBidNoticeAbstractUI.aspx?menuIndex=3&amp;refID=7034831&amp;Result=3","7034831")</f>
        <v>0</v>
      </c>
      <c r="B7904" t="s">
        <v>2390</v>
      </c>
      <c r="C7904" t="s">
        <v>10609</v>
      </c>
      <c r="D7904" t="s">
        <v>16195</v>
      </c>
      <c r="E7904" t="s">
        <v>23240</v>
      </c>
      <c r="F7904" t="s">
        <v>28198</v>
      </c>
      <c r="G7904" t="s">
        <v>28205</v>
      </c>
      <c r="H7904" t="s">
        <v>28215</v>
      </c>
      <c r="I7904" t="s">
        <v>5082</v>
      </c>
      <c r="J7904" t="s">
        <v>33313</v>
      </c>
      <c r="K7904" t="s">
        <v>36737</v>
      </c>
      <c r="M7904" t="s">
        <v>39577</v>
      </c>
      <c r="N7904" t="s">
        <v>40436</v>
      </c>
      <c r="O7904" t="s">
        <v>40437</v>
      </c>
      <c r="P7904">
        <v>0</v>
      </c>
      <c r="Q7904">
        <v>7</v>
      </c>
      <c r="R7904" t="s">
        <v>40445</v>
      </c>
      <c r="S7904" t="s">
        <v>40730</v>
      </c>
      <c r="T7904" t="s">
        <v>42459</v>
      </c>
      <c r="U7904" t="s">
        <v>49304</v>
      </c>
      <c r="W7904" t="s">
        <v>39577</v>
      </c>
      <c r="X7904" t="s">
        <v>40447</v>
      </c>
    </row>
    <row r="7905" spans="1:24">
      <c r="A7905">
        <f>HYPERLINK("https://www.philgeps.gov.ph/GEPSNONPILOT/Tender/SplashBidNoticeAbstractUI.aspx?menuIndex=3&amp;refID=7034989&amp;Result=3","7034989")</f>
        <v>0</v>
      </c>
      <c r="B7905" t="s">
        <v>2391</v>
      </c>
      <c r="C7905" t="s">
        <v>10610</v>
      </c>
      <c r="E7905" t="s">
        <v>23241</v>
      </c>
      <c r="F7905" t="s">
        <v>28198</v>
      </c>
      <c r="G7905" t="s">
        <v>28205</v>
      </c>
      <c r="H7905" t="s">
        <v>28215</v>
      </c>
      <c r="I7905" t="s">
        <v>28228</v>
      </c>
      <c r="J7905" t="s">
        <v>33314</v>
      </c>
      <c r="K7905" t="s">
        <v>36689</v>
      </c>
      <c r="M7905" t="s">
        <v>39578</v>
      </c>
      <c r="N7905" t="s">
        <v>40436</v>
      </c>
      <c r="O7905" t="s">
        <v>40437</v>
      </c>
      <c r="P7905">
        <v>0</v>
      </c>
      <c r="Q7905">
        <v>9</v>
      </c>
      <c r="R7905" t="s">
        <v>40445</v>
      </c>
      <c r="S7905" t="s">
        <v>40730</v>
      </c>
      <c r="T7905" t="s">
        <v>42510</v>
      </c>
      <c r="U7905" t="s">
        <v>49305</v>
      </c>
      <c r="W7905" t="s">
        <v>39578</v>
      </c>
      <c r="X7905" t="s">
        <v>40447</v>
      </c>
    </row>
    <row r="7906" spans="1:24">
      <c r="A7906">
        <f>HYPERLINK("https://www.philgeps.gov.ph/GEPSNONPILOT/Tender/SplashBidNoticeAbstractUI.aspx?menuIndex=3&amp;refID=7035057&amp;Result=3","7035057")</f>
        <v>0</v>
      </c>
      <c r="B7906" t="s">
        <v>498</v>
      </c>
      <c r="C7906" t="s">
        <v>10611</v>
      </c>
      <c r="D7906" t="s">
        <v>16187</v>
      </c>
      <c r="E7906" t="s">
        <v>23242</v>
      </c>
      <c r="F7906" t="s">
        <v>28198</v>
      </c>
      <c r="G7906" t="s">
        <v>28205</v>
      </c>
      <c r="H7906" t="s">
        <v>28214</v>
      </c>
      <c r="I7906" t="s">
        <v>3797</v>
      </c>
      <c r="J7906" t="s">
        <v>28379</v>
      </c>
      <c r="K7906" t="s">
        <v>36697</v>
      </c>
      <c r="M7906" t="s">
        <v>37483</v>
      </c>
      <c r="N7906" t="s">
        <v>40436</v>
      </c>
      <c r="O7906" t="s">
        <v>40437</v>
      </c>
      <c r="P7906">
        <v>0</v>
      </c>
      <c r="Q7906">
        <v>1</v>
      </c>
      <c r="R7906" t="s">
        <v>40445</v>
      </c>
      <c r="S7906" t="s">
        <v>40730</v>
      </c>
      <c r="T7906" t="s">
        <v>42194</v>
      </c>
      <c r="U7906" t="s">
        <v>49306</v>
      </c>
      <c r="W7906" t="s">
        <v>37483</v>
      </c>
      <c r="X7906" t="s">
        <v>40447</v>
      </c>
    </row>
    <row r="7907" spans="1:24">
      <c r="A7907">
        <f>HYPERLINK("https://www.philgeps.gov.ph/GEPSNONPILOT/Tender/SplashBidNoticeAbstractUI.aspx?menuIndex=3&amp;refID=7034839&amp;Result=3","7034839")</f>
        <v>0</v>
      </c>
      <c r="B7907" t="s">
        <v>1130</v>
      </c>
      <c r="C7907" t="s">
        <v>10612</v>
      </c>
      <c r="D7907" t="s">
        <v>16246</v>
      </c>
      <c r="E7907" t="s">
        <v>16660</v>
      </c>
      <c r="F7907" t="s">
        <v>28198</v>
      </c>
      <c r="G7907" t="s">
        <v>28205</v>
      </c>
      <c r="H7907" t="s">
        <v>28215</v>
      </c>
      <c r="I7907" t="s">
        <v>5100</v>
      </c>
      <c r="J7907" t="s">
        <v>28406</v>
      </c>
      <c r="K7907" t="s">
        <v>36701</v>
      </c>
      <c r="M7907" t="s">
        <v>38168</v>
      </c>
      <c r="N7907" t="s">
        <v>40436</v>
      </c>
      <c r="O7907" t="s">
        <v>40437</v>
      </c>
      <c r="P7907">
        <v>0</v>
      </c>
      <c r="Q7907">
        <v>0</v>
      </c>
      <c r="R7907" t="s">
        <v>40445</v>
      </c>
      <c r="S7907" t="s">
        <v>40730</v>
      </c>
      <c r="T7907" t="s">
        <v>42133</v>
      </c>
      <c r="U7907" t="s">
        <v>49307</v>
      </c>
      <c r="W7907" t="s">
        <v>38168</v>
      </c>
      <c r="X7907" t="s">
        <v>40447</v>
      </c>
    </row>
    <row r="7908" spans="1:24">
      <c r="A7908">
        <f>HYPERLINK("https://www.philgeps.gov.ph/GEPSNONPILOT/Tender/SplashBidNoticeAbstractUI.aspx?menuIndex=3&amp;refID=7035054&amp;Result=3","7035054")</f>
        <v>0</v>
      </c>
      <c r="B7908" t="s">
        <v>498</v>
      </c>
      <c r="C7908" t="s">
        <v>10613</v>
      </c>
      <c r="D7908" t="s">
        <v>16187</v>
      </c>
      <c r="E7908" t="s">
        <v>23243</v>
      </c>
      <c r="F7908" t="s">
        <v>28198</v>
      </c>
      <c r="G7908" t="s">
        <v>28205</v>
      </c>
      <c r="H7908" t="s">
        <v>28214</v>
      </c>
      <c r="I7908" t="s">
        <v>3797</v>
      </c>
      <c r="J7908" t="s">
        <v>28379</v>
      </c>
      <c r="K7908" t="s">
        <v>36697</v>
      </c>
      <c r="M7908" t="s">
        <v>37483</v>
      </c>
      <c r="N7908" t="s">
        <v>40436</v>
      </c>
      <c r="O7908" t="s">
        <v>40437</v>
      </c>
      <c r="P7908">
        <v>0</v>
      </c>
      <c r="Q7908">
        <v>0</v>
      </c>
      <c r="R7908" t="s">
        <v>40445</v>
      </c>
      <c r="S7908" t="s">
        <v>40730</v>
      </c>
      <c r="T7908" t="s">
        <v>42194</v>
      </c>
      <c r="U7908" t="s">
        <v>49308</v>
      </c>
      <c r="W7908" t="s">
        <v>37483</v>
      </c>
      <c r="X7908" t="s">
        <v>40447</v>
      </c>
    </row>
    <row r="7909" spans="1:24">
      <c r="A7909">
        <f>HYPERLINK("https://www.philgeps.gov.ph/GEPSNONPILOT/Tender/SplashBidNoticeAbstractUI.aspx?menuIndex=3&amp;refID=7035228&amp;Result=3","7035228")</f>
        <v>0</v>
      </c>
      <c r="B7909" t="s">
        <v>2392</v>
      </c>
      <c r="C7909" t="s">
        <v>10614</v>
      </c>
      <c r="D7909" t="s">
        <v>16221</v>
      </c>
      <c r="E7909" t="s">
        <v>23244</v>
      </c>
      <c r="F7909" t="s">
        <v>28198</v>
      </c>
      <c r="G7909" t="s">
        <v>28205</v>
      </c>
      <c r="H7909" t="s">
        <v>28215</v>
      </c>
      <c r="I7909" t="s">
        <v>28220</v>
      </c>
      <c r="J7909" t="s">
        <v>33315</v>
      </c>
      <c r="K7909" t="s">
        <v>36688</v>
      </c>
      <c r="M7909" t="s">
        <v>39579</v>
      </c>
      <c r="N7909" t="s">
        <v>40436</v>
      </c>
      <c r="O7909" t="s">
        <v>40437</v>
      </c>
      <c r="P7909">
        <v>0</v>
      </c>
      <c r="Q7909">
        <v>4</v>
      </c>
      <c r="R7909" t="s">
        <v>40445</v>
      </c>
      <c r="S7909" t="s">
        <v>40730</v>
      </c>
      <c r="T7909" t="s">
        <v>42183</v>
      </c>
      <c r="U7909" t="s">
        <v>49309</v>
      </c>
      <c r="W7909" t="s">
        <v>39579</v>
      </c>
      <c r="X7909" t="s">
        <v>40447</v>
      </c>
    </row>
    <row r="7910" spans="1:24">
      <c r="A7910">
        <f>HYPERLINK("https://www.philgeps.gov.ph/GEPSNONPILOT/Tender/SplashBidNoticeAbstractUI.aspx?menuIndex=3&amp;refID=7034939&amp;Result=3","7034939")</f>
        <v>0</v>
      </c>
      <c r="B7910" t="s">
        <v>2393</v>
      </c>
      <c r="C7910" t="s">
        <v>10615</v>
      </c>
      <c r="D7910" t="s">
        <v>16190</v>
      </c>
      <c r="E7910" t="s">
        <v>20281</v>
      </c>
      <c r="F7910" t="s">
        <v>28198</v>
      </c>
      <c r="G7910" t="s">
        <v>28205</v>
      </c>
      <c r="H7910" t="s">
        <v>28215</v>
      </c>
      <c r="I7910" t="s">
        <v>4219</v>
      </c>
      <c r="J7910" t="s">
        <v>33316</v>
      </c>
      <c r="K7910" t="s">
        <v>36707</v>
      </c>
      <c r="M7910" t="s">
        <v>39580</v>
      </c>
      <c r="N7910" t="s">
        <v>40436</v>
      </c>
      <c r="O7910" t="s">
        <v>40437</v>
      </c>
      <c r="P7910">
        <v>0</v>
      </c>
      <c r="Q7910">
        <v>5</v>
      </c>
      <c r="R7910" t="s">
        <v>40445</v>
      </c>
      <c r="S7910" t="s">
        <v>40730</v>
      </c>
      <c r="T7910" t="s">
        <v>42511</v>
      </c>
      <c r="U7910" t="s">
        <v>49310</v>
      </c>
      <c r="W7910" t="s">
        <v>39580</v>
      </c>
      <c r="X7910" t="s">
        <v>40447</v>
      </c>
    </row>
    <row r="7911" spans="1:24">
      <c r="A7911">
        <f>HYPERLINK("https://www.philgeps.gov.ph/GEPSNONPILOT/Tender/SplashBidNoticeAbstractUI.aspx?menuIndex=3&amp;refID=7035065&amp;Result=3","7035065")</f>
        <v>0</v>
      </c>
      <c r="B7911" t="s">
        <v>498</v>
      </c>
      <c r="C7911" t="s">
        <v>10616</v>
      </c>
      <c r="D7911" t="s">
        <v>16187</v>
      </c>
      <c r="E7911" t="s">
        <v>23245</v>
      </c>
      <c r="F7911" t="s">
        <v>28198</v>
      </c>
      <c r="G7911" t="s">
        <v>28205</v>
      </c>
      <c r="H7911" t="s">
        <v>28214</v>
      </c>
      <c r="I7911" t="s">
        <v>3797</v>
      </c>
      <c r="J7911" t="s">
        <v>28363</v>
      </c>
      <c r="K7911" t="s">
        <v>36697</v>
      </c>
      <c r="M7911" t="s">
        <v>37483</v>
      </c>
      <c r="N7911" t="s">
        <v>40436</v>
      </c>
      <c r="O7911" t="s">
        <v>40437</v>
      </c>
      <c r="P7911">
        <v>0</v>
      </c>
      <c r="Q7911">
        <v>0</v>
      </c>
      <c r="R7911" t="s">
        <v>40445</v>
      </c>
      <c r="S7911" t="s">
        <v>40730</v>
      </c>
      <c r="T7911" t="s">
        <v>42194</v>
      </c>
      <c r="U7911" t="s">
        <v>49311</v>
      </c>
      <c r="W7911" t="s">
        <v>37483</v>
      </c>
      <c r="X7911" t="s">
        <v>40447</v>
      </c>
    </row>
    <row r="7912" spans="1:24">
      <c r="A7912">
        <f>HYPERLINK("https://www.philgeps.gov.ph/GEPSNONPILOT/Tender/SplashBidNoticeAbstractUI.aspx?menuIndex=3&amp;refID=7035068&amp;Result=3","7035068")</f>
        <v>0</v>
      </c>
      <c r="B7912" t="s">
        <v>498</v>
      </c>
      <c r="C7912" t="s">
        <v>10617</v>
      </c>
      <c r="D7912" t="s">
        <v>16187</v>
      </c>
      <c r="E7912" t="s">
        <v>23246</v>
      </c>
      <c r="F7912" t="s">
        <v>28198</v>
      </c>
      <c r="G7912" t="s">
        <v>28205</v>
      </c>
      <c r="H7912" t="s">
        <v>28214</v>
      </c>
      <c r="I7912" t="s">
        <v>3797</v>
      </c>
      <c r="J7912" t="s">
        <v>28379</v>
      </c>
      <c r="K7912" t="s">
        <v>36697</v>
      </c>
      <c r="M7912" t="s">
        <v>37483</v>
      </c>
      <c r="N7912" t="s">
        <v>40436</v>
      </c>
      <c r="O7912" t="s">
        <v>40437</v>
      </c>
      <c r="P7912">
        <v>0</v>
      </c>
      <c r="Q7912">
        <v>1</v>
      </c>
      <c r="R7912" t="s">
        <v>40445</v>
      </c>
      <c r="S7912" t="s">
        <v>40730</v>
      </c>
      <c r="T7912" t="s">
        <v>42194</v>
      </c>
      <c r="U7912" t="s">
        <v>49312</v>
      </c>
      <c r="W7912" t="s">
        <v>37483</v>
      </c>
      <c r="X7912" t="s">
        <v>40447</v>
      </c>
    </row>
    <row r="7913" spans="1:24">
      <c r="A7913">
        <f>HYPERLINK("https://www.philgeps.gov.ph/GEPSNONPILOT/Tender/SplashBidNoticeAbstractUI.aspx?menuIndex=3&amp;refID=7035094&amp;Result=3","7035094")</f>
        <v>0</v>
      </c>
      <c r="B7913" t="s">
        <v>498</v>
      </c>
      <c r="C7913" t="s">
        <v>10618</v>
      </c>
      <c r="D7913" t="s">
        <v>16187</v>
      </c>
      <c r="E7913" t="s">
        <v>23247</v>
      </c>
      <c r="F7913" t="s">
        <v>28198</v>
      </c>
      <c r="G7913" t="s">
        <v>28205</v>
      </c>
      <c r="H7913" t="s">
        <v>28214</v>
      </c>
      <c r="I7913" t="s">
        <v>3797</v>
      </c>
      <c r="J7913" t="s">
        <v>28398</v>
      </c>
      <c r="K7913" t="s">
        <v>36694</v>
      </c>
      <c r="M7913" t="s">
        <v>37483</v>
      </c>
      <c r="N7913" t="s">
        <v>40436</v>
      </c>
      <c r="O7913" t="s">
        <v>40437</v>
      </c>
      <c r="P7913">
        <v>0</v>
      </c>
      <c r="Q7913">
        <v>0</v>
      </c>
      <c r="R7913" t="s">
        <v>40445</v>
      </c>
      <c r="S7913" t="s">
        <v>40730</v>
      </c>
      <c r="T7913" t="s">
        <v>42194</v>
      </c>
      <c r="U7913" t="s">
        <v>49313</v>
      </c>
      <c r="W7913" t="s">
        <v>37483</v>
      </c>
      <c r="X7913" t="s">
        <v>40447</v>
      </c>
    </row>
    <row r="7914" spans="1:24">
      <c r="A7914">
        <f>HYPERLINK("https://www.philgeps.gov.ph/GEPSNONPILOT/Tender/SplashBidNoticeAbstractUI.aspx?menuIndex=3&amp;refID=7035223&amp;Result=3","7035223")</f>
        <v>0</v>
      </c>
      <c r="B7914" t="s">
        <v>2392</v>
      </c>
      <c r="C7914" t="s">
        <v>10619</v>
      </c>
      <c r="D7914" t="s">
        <v>16221</v>
      </c>
      <c r="E7914" t="s">
        <v>23248</v>
      </c>
      <c r="F7914" t="s">
        <v>28198</v>
      </c>
      <c r="G7914" t="s">
        <v>28205</v>
      </c>
      <c r="H7914" t="s">
        <v>28215</v>
      </c>
      <c r="I7914" t="s">
        <v>28239</v>
      </c>
      <c r="J7914" t="s">
        <v>33317</v>
      </c>
      <c r="K7914" t="s">
        <v>36701</v>
      </c>
      <c r="M7914" t="s">
        <v>39579</v>
      </c>
      <c r="N7914" t="s">
        <v>40436</v>
      </c>
      <c r="O7914" t="s">
        <v>40437</v>
      </c>
      <c r="P7914">
        <v>0</v>
      </c>
      <c r="Q7914">
        <v>8</v>
      </c>
      <c r="R7914" t="s">
        <v>40445</v>
      </c>
      <c r="S7914" t="s">
        <v>40730</v>
      </c>
      <c r="T7914" t="s">
        <v>42183</v>
      </c>
      <c r="U7914" t="s">
        <v>49314</v>
      </c>
      <c r="W7914" t="s">
        <v>39579</v>
      </c>
      <c r="X7914" t="s">
        <v>40447</v>
      </c>
    </row>
    <row r="7915" spans="1:24">
      <c r="A7915">
        <f>HYPERLINK("https://www.philgeps.gov.ph/GEPSNONPILOT/Tender/SplashBidNoticeAbstractUI.aspx?menuIndex=3&amp;refID=7035225&amp;Result=3","7035225")</f>
        <v>0</v>
      </c>
      <c r="B7915" t="s">
        <v>2392</v>
      </c>
      <c r="C7915" t="s">
        <v>10620</v>
      </c>
      <c r="D7915" t="s">
        <v>16221</v>
      </c>
      <c r="E7915" t="s">
        <v>23249</v>
      </c>
      <c r="F7915" t="s">
        <v>28198</v>
      </c>
      <c r="G7915" t="s">
        <v>28205</v>
      </c>
      <c r="H7915" t="s">
        <v>28215</v>
      </c>
      <c r="I7915" t="s">
        <v>28220</v>
      </c>
      <c r="J7915" t="s">
        <v>28379</v>
      </c>
      <c r="K7915" t="s">
        <v>36688</v>
      </c>
      <c r="M7915" t="s">
        <v>39579</v>
      </c>
      <c r="N7915" t="s">
        <v>40436</v>
      </c>
      <c r="O7915" t="s">
        <v>40437</v>
      </c>
      <c r="P7915">
        <v>0</v>
      </c>
      <c r="Q7915">
        <v>8</v>
      </c>
      <c r="R7915" t="s">
        <v>40445</v>
      </c>
      <c r="S7915" t="s">
        <v>40730</v>
      </c>
      <c r="T7915" t="s">
        <v>42183</v>
      </c>
      <c r="U7915" t="s">
        <v>49315</v>
      </c>
      <c r="W7915" t="s">
        <v>39579</v>
      </c>
      <c r="X7915" t="s">
        <v>40447</v>
      </c>
    </row>
    <row r="7916" spans="1:24">
      <c r="A7916">
        <f>HYPERLINK("https://www.philgeps.gov.ph/GEPSNONPILOT/Tender/SplashBidNoticeAbstractUI.aspx?menuIndex=3&amp;refID=7035233&amp;Result=3","7035233")</f>
        <v>0</v>
      </c>
      <c r="B7916" t="s">
        <v>2392</v>
      </c>
      <c r="C7916" t="s">
        <v>10621</v>
      </c>
      <c r="D7916" t="s">
        <v>16221</v>
      </c>
      <c r="E7916" t="s">
        <v>23250</v>
      </c>
      <c r="F7916" t="s">
        <v>28198</v>
      </c>
      <c r="G7916" t="s">
        <v>28205</v>
      </c>
      <c r="H7916" t="s">
        <v>28215</v>
      </c>
      <c r="I7916" t="s">
        <v>4200</v>
      </c>
      <c r="J7916" t="s">
        <v>33318</v>
      </c>
      <c r="K7916" t="s">
        <v>36696</v>
      </c>
      <c r="M7916" t="s">
        <v>39579</v>
      </c>
      <c r="N7916" t="s">
        <v>40436</v>
      </c>
      <c r="O7916" t="s">
        <v>40437</v>
      </c>
      <c r="P7916">
        <v>0</v>
      </c>
      <c r="Q7916">
        <v>6</v>
      </c>
      <c r="R7916" t="s">
        <v>40445</v>
      </c>
      <c r="S7916" t="s">
        <v>40730</v>
      </c>
      <c r="T7916" t="s">
        <v>42183</v>
      </c>
      <c r="U7916" t="s">
        <v>49316</v>
      </c>
      <c r="W7916" t="s">
        <v>39579</v>
      </c>
      <c r="X7916" t="s">
        <v>40447</v>
      </c>
    </row>
    <row r="7917" spans="1:24">
      <c r="A7917">
        <f>HYPERLINK("https://www.philgeps.gov.ph/GEPSNONPILOT/Tender/SplashBidNoticeAbstractUI.aspx?menuIndex=3&amp;refID=7035182&amp;Result=3","7035182")</f>
        <v>0</v>
      </c>
      <c r="B7917" t="s">
        <v>2247</v>
      </c>
      <c r="C7917" t="s">
        <v>10622</v>
      </c>
      <c r="D7917" t="s">
        <v>16210</v>
      </c>
      <c r="E7917" t="s">
        <v>22648</v>
      </c>
      <c r="F7917" t="s">
        <v>28198</v>
      </c>
      <c r="G7917" t="s">
        <v>28205</v>
      </c>
      <c r="H7917" t="s">
        <v>28215</v>
      </c>
      <c r="I7917" t="s">
        <v>5100</v>
      </c>
      <c r="J7917" t="s">
        <v>33319</v>
      </c>
      <c r="K7917" t="s">
        <v>36701</v>
      </c>
      <c r="M7917" t="s">
        <v>39417</v>
      </c>
      <c r="N7917" t="s">
        <v>40436</v>
      </c>
      <c r="O7917" t="s">
        <v>40437</v>
      </c>
      <c r="Q7917">
        <v>1</v>
      </c>
      <c r="R7917" t="s">
        <v>40445</v>
      </c>
      <c r="S7917" t="s">
        <v>40733</v>
      </c>
      <c r="T7917" t="s">
        <v>42185</v>
      </c>
      <c r="U7917" t="s">
        <v>49317</v>
      </c>
      <c r="W7917" t="s">
        <v>39417</v>
      </c>
      <c r="X7917" t="s">
        <v>40447</v>
      </c>
    </row>
    <row r="7918" spans="1:24">
      <c r="A7918">
        <f>HYPERLINK("https://www.philgeps.gov.ph/GEPSNONPILOT/Tender/SplashBidNoticeAbstractUI.aspx?menuIndex=3&amp;refID=7035239&amp;Result=3","7035239")</f>
        <v>0</v>
      </c>
      <c r="B7918" t="s">
        <v>2392</v>
      </c>
      <c r="C7918" t="s">
        <v>10623</v>
      </c>
      <c r="D7918" t="s">
        <v>16221</v>
      </c>
      <c r="E7918" t="s">
        <v>23251</v>
      </c>
      <c r="F7918" t="s">
        <v>28198</v>
      </c>
      <c r="G7918" t="s">
        <v>28205</v>
      </c>
      <c r="H7918" t="s">
        <v>28215</v>
      </c>
      <c r="I7918" t="s">
        <v>28224</v>
      </c>
      <c r="J7918" t="s">
        <v>33320</v>
      </c>
      <c r="K7918" t="s">
        <v>36696</v>
      </c>
      <c r="M7918" t="s">
        <v>39579</v>
      </c>
      <c r="N7918" t="s">
        <v>40436</v>
      </c>
      <c r="O7918" t="s">
        <v>40437</v>
      </c>
      <c r="P7918">
        <v>0</v>
      </c>
      <c r="Q7918">
        <v>1</v>
      </c>
      <c r="R7918" t="s">
        <v>40445</v>
      </c>
      <c r="S7918" t="s">
        <v>40730</v>
      </c>
      <c r="T7918" t="s">
        <v>42183</v>
      </c>
      <c r="U7918" t="s">
        <v>49318</v>
      </c>
      <c r="W7918" t="s">
        <v>39579</v>
      </c>
      <c r="X7918" t="s">
        <v>40447</v>
      </c>
    </row>
    <row r="7919" spans="1:24">
      <c r="A7919">
        <f>HYPERLINK("https://www.philgeps.gov.ph/GEPSNONPILOT/Tender/SplashBidNoticeAbstractUI.aspx?menuIndex=3&amp;refID=7035073&amp;Result=3","7035073")</f>
        <v>0</v>
      </c>
      <c r="B7919" t="s">
        <v>498</v>
      </c>
      <c r="C7919" t="s">
        <v>10624</v>
      </c>
      <c r="D7919" t="s">
        <v>16187</v>
      </c>
      <c r="E7919" t="s">
        <v>23252</v>
      </c>
      <c r="F7919" t="s">
        <v>28198</v>
      </c>
      <c r="G7919" t="s">
        <v>28205</v>
      </c>
      <c r="H7919" t="s">
        <v>28214</v>
      </c>
      <c r="I7919" t="s">
        <v>3797</v>
      </c>
      <c r="J7919" t="s">
        <v>28363</v>
      </c>
      <c r="K7919" t="s">
        <v>36697</v>
      </c>
      <c r="M7919" t="s">
        <v>37483</v>
      </c>
      <c r="N7919" t="s">
        <v>40436</v>
      </c>
      <c r="O7919" t="s">
        <v>40437</v>
      </c>
      <c r="P7919">
        <v>0</v>
      </c>
      <c r="Q7919">
        <v>0</v>
      </c>
      <c r="R7919" t="s">
        <v>40445</v>
      </c>
      <c r="S7919" t="s">
        <v>40730</v>
      </c>
      <c r="T7919" t="s">
        <v>42194</v>
      </c>
      <c r="U7919" t="s">
        <v>49319</v>
      </c>
      <c r="W7919" t="s">
        <v>37483</v>
      </c>
      <c r="X7919" t="s">
        <v>40447</v>
      </c>
    </row>
    <row r="7920" spans="1:24">
      <c r="A7920">
        <f>HYPERLINK("https://www.philgeps.gov.ph/GEPSNONPILOT/Tender/SplashBidNoticeAbstractUI.aspx?menuIndex=3&amp;refID=7035086&amp;Result=3","7035086")</f>
        <v>0</v>
      </c>
      <c r="B7920" t="s">
        <v>498</v>
      </c>
      <c r="C7920" t="s">
        <v>10625</v>
      </c>
      <c r="D7920" t="s">
        <v>16187</v>
      </c>
      <c r="E7920" t="s">
        <v>23253</v>
      </c>
      <c r="F7920" t="s">
        <v>28198</v>
      </c>
      <c r="G7920" t="s">
        <v>28205</v>
      </c>
      <c r="H7920" t="s">
        <v>28214</v>
      </c>
      <c r="I7920" t="s">
        <v>3797</v>
      </c>
      <c r="J7920" t="s">
        <v>28395</v>
      </c>
      <c r="K7920" t="s">
        <v>36694</v>
      </c>
      <c r="M7920" t="s">
        <v>37483</v>
      </c>
      <c r="N7920" t="s">
        <v>40436</v>
      </c>
      <c r="O7920" t="s">
        <v>40437</v>
      </c>
      <c r="P7920">
        <v>0</v>
      </c>
      <c r="Q7920">
        <v>1</v>
      </c>
      <c r="R7920" t="s">
        <v>40445</v>
      </c>
      <c r="S7920" t="s">
        <v>40730</v>
      </c>
      <c r="T7920" t="s">
        <v>42194</v>
      </c>
      <c r="U7920" t="s">
        <v>49320</v>
      </c>
      <c r="W7920" t="s">
        <v>37483</v>
      </c>
      <c r="X7920" t="s">
        <v>40447</v>
      </c>
    </row>
    <row r="7921" spans="1:24">
      <c r="A7921">
        <f>HYPERLINK("https://www.philgeps.gov.ph/GEPSNONPILOT/Tender/SplashBidNoticeAbstractUI.aspx?menuIndex=3&amp;refID=7035216&amp;Result=3","7035216")</f>
        <v>0</v>
      </c>
      <c r="B7921" t="s">
        <v>2392</v>
      </c>
      <c r="C7921" t="s">
        <v>10626</v>
      </c>
      <c r="D7921" t="s">
        <v>16221</v>
      </c>
      <c r="E7921" t="s">
        <v>23254</v>
      </c>
      <c r="F7921" t="s">
        <v>28198</v>
      </c>
      <c r="G7921" t="s">
        <v>28205</v>
      </c>
      <c r="H7921" t="s">
        <v>28215</v>
      </c>
      <c r="I7921" t="s">
        <v>4200</v>
      </c>
      <c r="J7921" t="s">
        <v>33321</v>
      </c>
      <c r="K7921" t="s">
        <v>36695</v>
      </c>
      <c r="M7921" t="s">
        <v>39579</v>
      </c>
      <c r="N7921" t="s">
        <v>40436</v>
      </c>
      <c r="O7921" t="s">
        <v>40437</v>
      </c>
      <c r="P7921">
        <v>0</v>
      </c>
      <c r="Q7921">
        <v>3</v>
      </c>
      <c r="R7921" t="s">
        <v>40445</v>
      </c>
      <c r="S7921" t="s">
        <v>40730</v>
      </c>
      <c r="T7921" t="s">
        <v>42183</v>
      </c>
      <c r="U7921" t="s">
        <v>49321</v>
      </c>
      <c r="W7921" t="s">
        <v>39579</v>
      </c>
      <c r="X7921" t="s">
        <v>40447</v>
      </c>
    </row>
    <row r="7922" spans="1:24">
      <c r="A7922">
        <f>HYPERLINK("https://www.philgeps.gov.ph/GEPSNONPILOT/Tender/SplashBidNoticeAbstractUI.aspx?menuIndex=3&amp;refID=7035196&amp;Result=3","7035196")</f>
        <v>0</v>
      </c>
      <c r="B7922" t="s">
        <v>2142</v>
      </c>
      <c r="C7922" t="s">
        <v>10627</v>
      </c>
      <c r="D7922" t="s">
        <v>16198</v>
      </c>
      <c r="E7922" t="s">
        <v>23255</v>
      </c>
      <c r="F7922" t="s">
        <v>28198</v>
      </c>
      <c r="G7922" t="s">
        <v>28205</v>
      </c>
      <c r="H7922" t="s">
        <v>28214</v>
      </c>
      <c r="I7922" t="s">
        <v>3797</v>
      </c>
      <c r="J7922" t="s">
        <v>28345</v>
      </c>
      <c r="K7922" t="s">
        <v>36701</v>
      </c>
      <c r="M7922" t="s">
        <v>39299</v>
      </c>
      <c r="N7922" t="s">
        <v>40436</v>
      </c>
      <c r="O7922" t="s">
        <v>40437</v>
      </c>
      <c r="P7922">
        <v>0</v>
      </c>
      <c r="Q7922">
        <v>0</v>
      </c>
      <c r="R7922" t="s">
        <v>40445</v>
      </c>
      <c r="S7922" t="s">
        <v>40730</v>
      </c>
      <c r="T7922" t="s">
        <v>42399</v>
      </c>
      <c r="U7922" t="s">
        <v>49322</v>
      </c>
      <c r="W7922" t="s">
        <v>39299</v>
      </c>
      <c r="X7922" t="s">
        <v>40447</v>
      </c>
    </row>
    <row r="7923" spans="1:24">
      <c r="A7923">
        <f>HYPERLINK("https://www.philgeps.gov.ph/GEPSNONPILOT/Tender/SplashBidNoticeAbstractUI.aspx?menuIndex=3&amp;refID=7035079&amp;Result=3","7035079")</f>
        <v>0</v>
      </c>
      <c r="B7923" t="s">
        <v>498</v>
      </c>
      <c r="C7923" t="s">
        <v>10628</v>
      </c>
      <c r="D7923" t="s">
        <v>16187</v>
      </c>
      <c r="E7923" t="s">
        <v>23256</v>
      </c>
      <c r="F7923" t="s">
        <v>28198</v>
      </c>
      <c r="G7923" t="s">
        <v>28205</v>
      </c>
      <c r="H7923" t="s">
        <v>28214</v>
      </c>
      <c r="I7923" t="s">
        <v>3797</v>
      </c>
      <c r="J7923" t="s">
        <v>28398</v>
      </c>
      <c r="K7923" t="s">
        <v>36694</v>
      </c>
      <c r="M7923" t="s">
        <v>37483</v>
      </c>
      <c r="N7923" t="s">
        <v>40436</v>
      </c>
      <c r="O7923" t="s">
        <v>40437</v>
      </c>
      <c r="P7923">
        <v>0</v>
      </c>
      <c r="Q7923">
        <v>0</v>
      </c>
      <c r="R7923" t="s">
        <v>40445</v>
      </c>
      <c r="S7923" t="s">
        <v>40730</v>
      </c>
      <c r="T7923" t="s">
        <v>42194</v>
      </c>
      <c r="U7923" t="s">
        <v>49323</v>
      </c>
      <c r="W7923" t="s">
        <v>37483</v>
      </c>
      <c r="X7923" t="s">
        <v>40447</v>
      </c>
    </row>
    <row r="7924" spans="1:24">
      <c r="A7924">
        <f>HYPERLINK("https://www.philgeps.gov.ph/GEPSNONPILOT/Tender/SplashBidNoticeAbstractUI.aspx?menuIndex=3&amp;refID=7035147&amp;Result=3","7035147")</f>
        <v>0</v>
      </c>
      <c r="B7924" t="s">
        <v>2394</v>
      </c>
      <c r="C7924" t="s">
        <v>10629</v>
      </c>
      <c r="D7924" t="s">
        <v>16201</v>
      </c>
      <c r="E7924" t="s">
        <v>23257</v>
      </c>
      <c r="F7924" t="s">
        <v>28198</v>
      </c>
      <c r="G7924" t="s">
        <v>28205</v>
      </c>
      <c r="H7924" t="s">
        <v>28217</v>
      </c>
      <c r="I7924" t="s">
        <v>28258</v>
      </c>
      <c r="J7924" t="s">
        <v>28836</v>
      </c>
      <c r="K7924" t="s">
        <v>36701</v>
      </c>
      <c r="M7924" t="s">
        <v>39581</v>
      </c>
      <c r="N7924" t="s">
        <v>40436</v>
      </c>
      <c r="O7924" t="s">
        <v>40437</v>
      </c>
      <c r="P7924">
        <v>0</v>
      </c>
      <c r="Q7924">
        <v>2</v>
      </c>
      <c r="R7924" t="s">
        <v>40445</v>
      </c>
      <c r="S7924" t="s">
        <v>40730</v>
      </c>
      <c r="T7924" t="s">
        <v>42109</v>
      </c>
      <c r="U7924" t="s">
        <v>49324</v>
      </c>
      <c r="V7924" t="s">
        <v>54634</v>
      </c>
      <c r="W7924" t="s">
        <v>39581</v>
      </c>
      <c r="X7924" t="s">
        <v>40447</v>
      </c>
    </row>
    <row r="7925" spans="1:24">
      <c r="A7925">
        <f>HYPERLINK("https://www.philgeps.gov.ph/GEPSNONPILOT/Tender/SplashBidNoticeAbstractUI.aspx?menuIndex=3&amp;refID=7035249&amp;Result=3","7035249")</f>
        <v>0</v>
      </c>
      <c r="B7925" t="s">
        <v>2392</v>
      </c>
      <c r="C7925" t="s">
        <v>10630</v>
      </c>
      <c r="D7925" t="s">
        <v>16221</v>
      </c>
      <c r="E7925" t="s">
        <v>23258</v>
      </c>
      <c r="F7925" t="s">
        <v>28198</v>
      </c>
      <c r="G7925" t="s">
        <v>28205</v>
      </c>
      <c r="H7925" t="s">
        <v>28215</v>
      </c>
      <c r="I7925" t="s">
        <v>8888</v>
      </c>
      <c r="J7925" t="s">
        <v>33322</v>
      </c>
      <c r="K7925" t="s">
        <v>36688</v>
      </c>
      <c r="M7925" t="s">
        <v>39579</v>
      </c>
      <c r="N7925" t="s">
        <v>40436</v>
      </c>
      <c r="O7925" t="s">
        <v>40437</v>
      </c>
      <c r="P7925">
        <v>0</v>
      </c>
      <c r="Q7925">
        <v>6</v>
      </c>
      <c r="R7925" t="s">
        <v>40445</v>
      </c>
      <c r="S7925" t="s">
        <v>40730</v>
      </c>
      <c r="T7925" t="s">
        <v>42183</v>
      </c>
      <c r="U7925" t="s">
        <v>49325</v>
      </c>
      <c r="W7925" t="s">
        <v>39579</v>
      </c>
      <c r="X7925" t="s">
        <v>40447</v>
      </c>
    </row>
    <row r="7926" spans="1:24">
      <c r="A7926">
        <f>HYPERLINK("https://www.philgeps.gov.ph/GEPSNONPILOT/Tender/SplashBidNoticeAbstractUI.aspx?menuIndex=3&amp;refID=7035257&amp;Result=3","7035257")</f>
        <v>0</v>
      </c>
      <c r="B7926" t="s">
        <v>2392</v>
      </c>
      <c r="C7926" t="s">
        <v>10631</v>
      </c>
      <c r="D7926" t="s">
        <v>16221</v>
      </c>
      <c r="E7926" t="s">
        <v>23259</v>
      </c>
      <c r="F7926" t="s">
        <v>28198</v>
      </c>
      <c r="G7926" t="s">
        <v>28205</v>
      </c>
      <c r="H7926" t="s">
        <v>28214</v>
      </c>
      <c r="I7926" t="s">
        <v>3797</v>
      </c>
      <c r="J7926" t="s">
        <v>33323</v>
      </c>
      <c r="K7926" t="s">
        <v>36717</v>
      </c>
      <c r="M7926" t="s">
        <v>39579</v>
      </c>
      <c r="N7926" t="s">
        <v>40436</v>
      </c>
      <c r="O7926" t="s">
        <v>40437</v>
      </c>
      <c r="P7926">
        <v>0</v>
      </c>
      <c r="Q7926">
        <v>2</v>
      </c>
      <c r="R7926" t="s">
        <v>40445</v>
      </c>
      <c r="S7926" t="s">
        <v>40730</v>
      </c>
      <c r="T7926" t="s">
        <v>42183</v>
      </c>
      <c r="U7926" t="s">
        <v>49326</v>
      </c>
      <c r="W7926" t="s">
        <v>39579</v>
      </c>
      <c r="X7926" t="s">
        <v>40447</v>
      </c>
    </row>
    <row r="7927" spans="1:24">
      <c r="A7927">
        <f>HYPERLINK("https://www.philgeps.gov.ph/GEPSNONPILOT/Tender/SplashBidNoticeAbstractUI.aspx?menuIndex=3&amp;refID=7035291&amp;Result=3","7035291")</f>
        <v>0</v>
      </c>
      <c r="B7927" t="s">
        <v>131</v>
      </c>
      <c r="C7927" t="s">
        <v>10632</v>
      </c>
      <c r="D7927" t="s">
        <v>16237</v>
      </c>
      <c r="E7927" t="s">
        <v>23260</v>
      </c>
      <c r="F7927" t="s">
        <v>28198</v>
      </c>
      <c r="G7927" t="s">
        <v>28205</v>
      </c>
      <c r="H7927" t="s">
        <v>28214</v>
      </c>
      <c r="I7927" t="s">
        <v>3797</v>
      </c>
      <c r="J7927" t="s">
        <v>28345</v>
      </c>
      <c r="K7927" t="s">
        <v>36707</v>
      </c>
      <c r="M7927" t="s">
        <v>37105</v>
      </c>
      <c r="N7927" t="s">
        <v>40436</v>
      </c>
      <c r="O7927" t="s">
        <v>40437</v>
      </c>
      <c r="P7927">
        <v>0</v>
      </c>
      <c r="Q7927">
        <v>0</v>
      </c>
      <c r="R7927" t="s">
        <v>40445</v>
      </c>
      <c r="S7927" t="s">
        <v>40730</v>
      </c>
      <c r="T7927" t="s">
        <v>42158</v>
      </c>
      <c r="U7927" t="s">
        <v>49327</v>
      </c>
      <c r="V7927" t="s">
        <v>54635</v>
      </c>
      <c r="W7927" t="s">
        <v>37105</v>
      </c>
      <c r="X7927" t="s">
        <v>40446</v>
      </c>
    </row>
    <row r="7928" spans="1:24">
      <c r="A7928">
        <f>HYPERLINK("https://www.philgeps.gov.ph/GEPSNONPILOT/Tender/SplashBidNoticeAbstractUI.aspx?menuIndex=3&amp;refID=7035253&amp;Result=3","7035253")</f>
        <v>0</v>
      </c>
      <c r="B7928" t="s">
        <v>2392</v>
      </c>
      <c r="C7928" t="s">
        <v>10633</v>
      </c>
      <c r="D7928" t="s">
        <v>16221</v>
      </c>
      <c r="E7928" t="s">
        <v>23261</v>
      </c>
      <c r="F7928" t="s">
        <v>28198</v>
      </c>
      <c r="G7928" t="s">
        <v>28205</v>
      </c>
      <c r="H7928" t="s">
        <v>28214</v>
      </c>
      <c r="I7928" t="s">
        <v>3797</v>
      </c>
      <c r="J7928" t="s">
        <v>33324</v>
      </c>
      <c r="K7928" t="s">
        <v>36701</v>
      </c>
      <c r="M7928" t="s">
        <v>39579</v>
      </c>
      <c r="N7928" t="s">
        <v>40436</v>
      </c>
      <c r="O7928" t="s">
        <v>40437</v>
      </c>
      <c r="P7928">
        <v>0</v>
      </c>
      <c r="Q7928">
        <v>2</v>
      </c>
      <c r="R7928" t="s">
        <v>40445</v>
      </c>
      <c r="S7928" t="s">
        <v>40730</v>
      </c>
      <c r="T7928" t="s">
        <v>42183</v>
      </c>
      <c r="U7928" t="s">
        <v>49328</v>
      </c>
      <c r="W7928" t="s">
        <v>39579</v>
      </c>
      <c r="X7928" t="s">
        <v>40447</v>
      </c>
    </row>
    <row r="7929" spans="1:24">
      <c r="A7929">
        <f>HYPERLINK("https://www.philgeps.gov.ph/GEPSNONPILOT/Tender/SplashBidNoticeAbstractUI.aspx?menuIndex=3&amp;refID=7035287&amp;Result=3","7035287")</f>
        <v>0</v>
      </c>
      <c r="B7929" t="s">
        <v>2395</v>
      </c>
      <c r="C7929" t="s">
        <v>10634</v>
      </c>
      <c r="D7929" t="s">
        <v>16241</v>
      </c>
      <c r="E7929" t="s">
        <v>18093</v>
      </c>
      <c r="F7929" t="s">
        <v>28198</v>
      </c>
      <c r="G7929" t="s">
        <v>28205</v>
      </c>
      <c r="H7929" t="s">
        <v>28215</v>
      </c>
      <c r="I7929" t="s">
        <v>8870</v>
      </c>
      <c r="J7929" t="s">
        <v>28413</v>
      </c>
      <c r="K7929" t="s">
        <v>36693</v>
      </c>
      <c r="M7929" t="s">
        <v>39582</v>
      </c>
      <c r="N7929" t="s">
        <v>40436</v>
      </c>
      <c r="O7929" t="s">
        <v>40437</v>
      </c>
      <c r="P7929">
        <v>0</v>
      </c>
      <c r="Q7929">
        <v>1</v>
      </c>
      <c r="R7929" t="s">
        <v>40445</v>
      </c>
      <c r="S7929" t="s">
        <v>40730</v>
      </c>
      <c r="T7929" t="s">
        <v>42111</v>
      </c>
      <c r="U7929" t="s">
        <v>49329</v>
      </c>
      <c r="W7929" t="s">
        <v>39582</v>
      </c>
      <c r="X7929" t="s">
        <v>40446</v>
      </c>
    </row>
    <row r="7930" spans="1:24">
      <c r="A7930">
        <f>HYPERLINK("https://www.philgeps.gov.ph/GEPSNONPILOT/Tender/SplashBidNoticeAbstractUI.aspx?menuIndex=3&amp;refID=7035315&amp;Result=3","7035315")</f>
        <v>0</v>
      </c>
      <c r="B7930" t="s">
        <v>435</v>
      </c>
      <c r="C7930" t="s">
        <v>10635</v>
      </c>
      <c r="D7930" t="s">
        <v>16254</v>
      </c>
      <c r="E7930" t="s">
        <v>23262</v>
      </c>
      <c r="F7930" t="s">
        <v>28198</v>
      </c>
      <c r="G7930" t="s">
        <v>28206</v>
      </c>
      <c r="H7930" t="s">
        <v>28215</v>
      </c>
      <c r="I7930" t="s">
        <v>3774</v>
      </c>
      <c r="J7930" t="s">
        <v>33325</v>
      </c>
      <c r="K7930" t="s">
        <v>36689</v>
      </c>
      <c r="M7930" t="s">
        <v>37418</v>
      </c>
      <c r="N7930" t="s">
        <v>40436</v>
      </c>
      <c r="O7930" t="s">
        <v>40437</v>
      </c>
      <c r="P7930">
        <v>0</v>
      </c>
      <c r="Q7930">
        <v>0</v>
      </c>
      <c r="R7930" t="s">
        <v>40445</v>
      </c>
      <c r="S7930" t="s">
        <v>40730</v>
      </c>
      <c r="T7930" t="s">
        <v>42233</v>
      </c>
      <c r="U7930" t="s">
        <v>49330</v>
      </c>
      <c r="W7930" t="s">
        <v>55447</v>
      </c>
      <c r="X7930" t="s">
        <v>40446</v>
      </c>
    </row>
    <row r="7931" spans="1:24">
      <c r="A7931">
        <f>HYPERLINK("https://www.philgeps.gov.ph/GEPSNONPILOT/Tender/SplashBidNoticeAbstractUI.aspx?menuIndex=3&amp;refID=7035281&amp;Result=3","7035281")</f>
        <v>0</v>
      </c>
      <c r="B7931" t="s">
        <v>2396</v>
      </c>
      <c r="C7931" t="s">
        <v>10636</v>
      </c>
      <c r="D7931" t="s">
        <v>16187</v>
      </c>
      <c r="E7931" t="s">
        <v>23263</v>
      </c>
      <c r="F7931" t="s">
        <v>28198</v>
      </c>
      <c r="G7931" t="s">
        <v>28206</v>
      </c>
      <c r="H7931" t="s">
        <v>28215</v>
      </c>
      <c r="I7931" t="s">
        <v>28225</v>
      </c>
      <c r="J7931" t="s">
        <v>33326</v>
      </c>
      <c r="K7931" t="s">
        <v>36691</v>
      </c>
      <c r="M7931" t="s">
        <v>39583</v>
      </c>
      <c r="N7931" t="s">
        <v>40436</v>
      </c>
      <c r="O7931" t="s">
        <v>40437</v>
      </c>
      <c r="P7931">
        <v>0</v>
      </c>
      <c r="Q7931">
        <v>1</v>
      </c>
      <c r="R7931" t="s">
        <v>40445</v>
      </c>
      <c r="S7931" t="s">
        <v>40730</v>
      </c>
      <c r="T7931" t="s">
        <v>42205</v>
      </c>
      <c r="U7931" t="s">
        <v>49331</v>
      </c>
      <c r="W7931" t="s">
        <v>39583</v>
      </c>
      <c r="X7931" t="s">
        <v>40446</v>
      </c>
    </row>
    <row r="7932" spans="1:24">
      <c r="A7932">
        <f>HYPERLINK("https://www.philgeps.gov.ph/GEPSNONPILOT/Tender/SplashBidNoticeAbstractUI.aspx?menuIndex=3&amp;refID=7035316&amp;Result=3","7035316")</f>
        <v>0</v>
      </c>
      <c r="B7932" t="s">
        <v>34</v>
      </c>
      <c r="C7932" t="s">
        <v>10637</v>
      </c>
      <c r="D7932" t="s">
        <v>16195</v>
      </c>
      <c r="E7932" t="s">
        <v>23264</v>
      </c>
      <c r="F7932" t="s">
        <v>28198</v>
      </c>
      <c r="G7932" t="s">
        <v>28207</v>
      </c>
      <c r="H7932" t="s">
        <v>28215</v>
      </c>
      <c r="I7932" t="s">
        <v>4321</v>
      </c>
      <c r="J7932" t="s">
        <v>33327</v>
      </c>
      <c r="K7932" t="s">
        <v>36696</v>
      </c>
      <c r="M7932" t="s">
        <v>37003</v>
      </c>
      <c r="N7932" t="s">
        <v>40436</v>
      </c>
      <c r="O7932" t="s">
        <v>40437</v>
      </c>
      <c r="P7932">
        <v>0</v>
      </c>
      <c r="Q7932">
        <v>2</v>
      </c>
      <c r="R7932" t="s">
        <v>40445</v>
      </c>
      <c r="S7932" t="s">
        <v>40730</v>
      </c>
      <c r="T7932" t="s">
        <v>42190</v>
      </c>
      <c r="U7932" t="s">
        <v>49332</v>
      </c>
      <c r="V7932" t="s">
        <v>54636</v>
      </c>
      <c r="W7932" t="s">
        <v>37003</v>
      </c>
      <c r="X7932" t="s">
        <v>40446</v>
      </c>
    </row>
    <row r="7933" spans="1:24">
      <c r="A7933">
        <f>HYPERLINK("https://www.philgeps.gov.ph/GEPSNONPILOT/Tender/SplashBidNoticeAbstractUI.aspx?menuIndex=3&amp;refID=7035313&amp;Result=3","7035313")</f>
        <v>0</v>
      </c>
      <c r="B7933" t="s">
        <v>2397</v>
      </c>
      <c r="C7933" t="s">
        <v>10638</v>
      </c>
      <c r="D7933" t="s">
        <v>16213</v>
      </c>
      <c r="E7933" t="s">
        <v>23265</v>
      </c>
      <c r="F7933" t="s">
        <v>28198</v>
      </c>
      <c r="G7933" t="s">
        <v>28205</v>
      </c>
      <c r="H7933" t="s">
        <v>28214</v>
      </c>
      <c r="I7933" t="s">
        <v>3797</v>
      </c>
      <c r="J7933" t="s">
        <v>28593</v>
      </c>
      <c r="K7933" t="s">
        <v>36689</v>
      </c>
      <c r="M7933" t="s">
        <v>39584</v>
      </c>
      <c r="N7933" t="s">
        <v>40436</v>
      </c>
      <c r="O7933" t="s">
        <v>40437</v>
      </c>
      <c r="P7933">
        <v>0</v>
      </c>
      <c r="Q7933">
        <v>0</v>
      </c>
      <c r="R7933" t="s">
        <v>40445</v>
      </c>
      <c r="S7933" t="s">
        <v>40730</v>
      </c>
      <c r="T7933" t="s">
        <v>42245</v>
      </c>
      <c r="U7933" t="s">
        <v>49333</v>
      </c>
      <c r="W7933" t="s">
        <v>39584</v>
      </c>
      <c r="X7933" t="s">
        <v>40446</v>
      </c>
    </row>
    <row r="7934" spans="1:24">
      <c r="A7934">
        <f>HYPERLINK("https://www.philgeps.gov.ph/GEPSNONPILOT/Tender/SplashBidNoticeAbstractUI.aspx?menuIndex=3&amp;refID=7035314&amp;Result=3","7035314")</f>
        <v>0</v>
      </c>
      <c r="B7934" t="s">
        <v>2398</v>
      </c>
      <c r="C7934" t="s">
        <v>10639</v>
      </c>
      <c r="D7934" t="s">
        <v>16222</v>
      </c>
      <c r="E7934" t="s">
        <v>20870</v>
      </c>
      <c r="F7934" t="s">
        <v>28198</v>
      </c>
      <c r="G7934" t="s">
        <v>28205</v>
      </c>
      <c r="H7934" t="s">
        <v>28215</v>
      </c>
      <c r="I7934" t="s">
        <v>5100</v>
      </c>
      <c r="J7934" t="s">
        <v>33328</v>
      </c>
      <c r="K7934" t="s">
        <v>36688</v>
      </c>
      <c r="M7934" t="s">
        <v>39585</v>
      </c>
      <c r="N7934" t="s">
        <v>40436</v>
      </c>
      <c r="O7934" t="s">
        <v>40437</v>
      </c>
      <c r="P7934">
        <v>0</v>
      </c>
      <c r="Q7934">
        <v>0</v>
      </c>
      <c r="R7934" t="s">
        <v>40445</v>
      </c>
      <c r="S7934" t="s">
        <v>40730</v>
      </c>
      <c r="T7934" t="s">
        <v>42455</v>
      </c>
      <c r="U7934" t="s">
        <v>49334</v>
      </c>
      <c r="W7934" t="s">
        <v>39585</v>
      </c>
      <c r="X7934" t="s">
        <v>40446</v>
      </c>
    </row>
    <row r="7935" spans="1:24">
      <c r="A7935">
        <f>HYPERLINK("https://www.philgeps.gov.ph/GEPSNONPILOT/Tender/SplashBidNoticeAbstractUI.aspx?menuIndex=3&amp;refID=7035270&amp;Result=3","7035270")</f>
        <v>0</v>
      </c>
      <c r="B7935" t="s">
        <v>2392</v>
      </c>
      <c r="C7935" t="s">
        <v>10640</v>
      </c>
      <c r="D7935" t="s">
        <v>16221</v>
      </c>
      <c r="E7935" t="s">
        <v>23016</v>
      </c>
      <c r="F7935" t="s">
        <v>28198</v>
      </c>
      <c r="G7935" t="s">
        <v>28205</v>
      </c>
      <c r="H7935" t="s">
        <v>28214</v>
      </c>
      <c r="I7935" t="s">
        <v>3797</v>
      </c>
      <c r="J7935" t="s">
        <v>33329</v>
      </c>
      <c r="K7935" t="s">
        <v>36697</v>
      </c>
      <c r="M7935" t="s">
        <v>39579</v>
      </c>
      <c r="N7935" t="s">
        <v>40436</v>
      </c>
      <c r="O7935" t="s">
        <v>40437</v>
      </c>
      <c r="P7935">
        <v>0</v>
      </c>
      <c r="Q7935">
        <v>2</v>
      </c>
      <c r="R7935" t="s">
        <v>40445</v>
      </c>
      <c r="S7935" t="s">
        <v>40730</v>
      </c>
      <c r="T7935" t="s">
        <v>42183</v>
      </c>
      <c r="U7935" t="s">
        <v>49335</v>
      </c>
      <c r="W7935" t="s">
        <v>39579</v>
      </c>
      <c r="X7935" t="s">
        <v>40447</v>
      </c>
    </row>
    <row r="7936" spans="1:24">
      <c r="A7936">
        <f>HYPERLINK("https://www.philgeps.gov.ph/GEPSNONPILOT/Tender/SplashBidNoticeAbstractUI.aspx?menuIndex=3&amp;refID=7035311&amp;Result=3","7035311")</f>
        <v>0</v>
      </c>
      <c r="B7936" t="s">
        <v>2399</v>
      </c>
      <c r="C7936" t="s">
        <v>10641</v>
      </c>
      <c r="D7936" t="s">
        <v>16189</v>
      </c>
      <c r="E7936" t="s">
        <v>23266</v>
      </c>
      <c r="F7936" t="s">
        <v>28198</v>
      </c>
      <c r="G7936" t="s">
        <v>28205</v>
      </c>
      <c r="H7936" t="s">
        <v>28215</v>
      </c>
      <c r="I7936" t="s">
        <v>28258</v>
      </c>
      <c r="J7936" t="s">
        <v>32242</v>
      </c>
      <c r="K7936" t="s">
        <v>36701</v>
      </c>
      <c r="M7936" t="s">
        <v>39586</v>
      </c>
      <c r="N7936" t="s">
        <v>40436</v>
      </c>
      <c r="O7936" t="s">
        <v>40437</v>
      </c>
      <c r="P7936">
        <v>0</v>
      </c>
      <c r="Q7936">
        <v>9</v>
      </c>
      <c r="R7936" t="s">
        <v>40445</v>
      </c>
      <c r="S7936" t="s">
        <v>40730</v>
      </c>
      <c r="T7936" t="s">
        <v>42482</v>
      </c>
      <c r="U7936" t="s">
        <v>49336</v>
      </c>
      <c r="W7936" t="s">
        <v>55514</v>
      </c>
      <c r="X7936" t="s">
        <v>40446</v>
      </c>
    </row>
    <row r="7937" spans="1:24">
      <c r="A7937">
        <f>HYPERLINK("https://www.philgeps.gov.ph/GEPSNONPILOT/Tender/SplashBidNoticeAbstractUI.aspx?menuIndex=3&amp;refID=7035308&amp;Result=3","7035308")</f>
        <v>0</v>
      </c>
      <c r="B7937" t="s">
        <v>2397</v>
      </c>
      <c r="C7937" t="s">
        <v>10642</v>
      </c>
      <c r="D7937" t="s">
        <v>16213</v>
      </c>
      <c r="E7937" t="s">
        <v>23267</v>
      </c>
      <c r="F7937" t="s">
        <v>28198</v>
      </c>
      <c r="G7937" t="s">
        <v>28205</v>
      </c>
      <c r="H7937" t="s">
        <v>28214</v>
      </c>
      <c r="I7937" t="s">
        <v>3797</v>
      </c>
      <c r="J7937" t="s">
        <v>33330</v>
      </c>
      <c r="K7937" t="s">
        <v>36689</v>
      </c>
      <c r="M7937" t="s">
        <v>39584</v>
      </c>
      <c r="N7937" t="s">
        <v>40436</v>
      </c>
      <c r="O7937" t="s">
        <v>40437</v>
      </c>
      <c r="P7937">
        <v>0</v>
      </c>
      <c r="Q7937">
        <v>0</v>
      </c>
      <c r="R7937" t="s">
        <v>40445</v>
      </c>
      <c r="S7937" t="s">
        <v>40730</v>
      </c>
      <c r="T7937" t="s">
        <v>42245</v>
      </c>
      <c r="U7937" t="s">
        <v>49333</v>
      </c>
      <c r="W7937" t="s">
        <v>39584</v>
      </c>
      <c r="X7937" t="s">
        <v>40446</v>
      </c>
    </row>
    <row r="7938" spans="1:24">
      <c r="A7938">
        <f>HYPERLINK("https://www.philgeps.gov.ph/GEPSNONPILOT/Tender/SplashBidNoticeAbstractUI.aspx?menuIndex=3&amp;refID=7035303&amp;Result=3","7035303")</f>
        <v>0</v>
      </c>
      <c r="B7938" t="s">
        <v>2397</v>
      </c>
      <c r="C7938" t="s">
        <v>10643</v>
      </c>
      <c r="D7938" t="s">
        <v>16213</v>
      </c>
      <c r="E7938" t="s">
        <v>23268</v>
      </c>
      <c r="F7938" t="s">
        <v>28198</v>
      </c>
      <c r="G7938" t="s">
        <v>28205</v>
      </c>
      <c r="H7938" t="s">
        <v>28215</v>
      </c>
      <c r="I7938" t="s">
        <v>5100</v>
      </c>
      <c r="J7938" t="s">
        <v>33331</v>
      </c>
      <c r="K7938" t="s">
        <v>36689</v>
      </c>
      <c r="M7938" t="s">
        <v>39584</v>
      </c>
      <c r="N7938" t="s">
        <v>40436</v>
      </c>
      <c r="O7938" t="s">
        <v>40437</v>
      </c>
      <c r="P7938">
        <v>0</v>
      </c>
      <c r="Q7938">
        <v>0</v>
      </c>
      <c r="R7938" t="s">
        <v>40445</v>
      </c>
      <c r="S7938" t="s">
        <v>40730</v>
      </c>
      <c r="T7938" t="s">
        <v>42245</v>
      </c>
      <c r="U7938" t="s">
        <v>49337</v>
      </c>
      <c r="W7938" t="s">
        <v>39584</v>
      </c>
      <c r="X7938" t="s">
        <v>40446</v>
      </c>
    </row>
    <row r="7939" spans="1:24">
      <c r="A7939">
        <f>HYPERLINK("https://www.philgeps.gov.ph/GEPSNONPILOT/Tender/SplashBidNoticeAbstractUI.aspx?menuIndex=3&amp;refID=7035292&amp;Result=3","7035292")</f>
        <v>0</v>
      </c>
      <c r="B7939" t="s">
        <v>2400</v>
      </c>
      <c r="C7939" t="s">
        <v>10644</v>
      </c>
      <c r="D7939" t="s">
        <v>16219</v>
      </c>
      <c r="E7939" t="s">
        <v>17057</v>
      </c>
      <c r="F7939" t="s">
        <v>28198</v>
      </c>
      <c r="G7939" t="s">
        <v>28205</v>
      </c>
      <c r="H7939" t="s">
        <v>28215</v>
      </c>
      <c r="I7939" t="s">
        <v>5100</v>
      </c>
      <c r="J7939" t="s">
        <v>33332</v>
      </c>
      <c r="K7939" t="s">
        <v>36701</v>
      </c>
      <c r="M7939" t="s">
        <v>39587</v>
      </c>
      <c r="N7939" t="s">
        <v>40436</v>
      </c>
      <c r="O7939" t="s">
        <v>40437</v>
      </c>
      <c r="P7939">
        <v>0</v>
      </c>
      <c r="Q7939">
        <v>0</v>
      </c>
      <c r="R7939" t="s">
        <v>40445</v>
      </c>
      <c r="S7939" t="s">
        <v>40730</v>
      </c>
      <c r="T7939" t="s">
        <v>42183</v>
      </c>
      <c r="U7939" t="s">
        <v>49338</v>
      </c>
      <c r="W7939" t="s">
        <v>39587</v>
      </c>
      <c r="X7939" t="s">
        <v>40446</v>
      </c>
    </row>
    <row r="7940" spans="1:24">
      <c r="A7940">
        <f>HYPERLINK("https://www.philgeps.gov.ph/GEPSNONPILOT/Tender/SplashBidNoticeAbstractUI.aspx?menuIndex=3&amp;refID=7035298&amp;Result=3","7035298")</f>
        <v>0</v>
      </c>
      <c r="B7940" t="s">
        <v>512</v>
      </c>
      <c r="C7940" t="s">
        <v>10645</v>
      </c>
      <c r="D7940" t="s">
        <v>16200</v>
      </c>
      <c r="E7940" t="s">
        <v>23269</v>
      </c>
      <c r="F7940" t="s">
        <v>28198</v>
      </c>
      <c r="G7940" t="s">
        <v>28205</v>
      </c>
      <c r="H7940" t="s">
        <v>28214</v>
      </c>
      <c r="I7940" t="s">
        <v>3797</v>
      </c>
      <c r="J7940" t="s">
        <v>31508</v>
      </c>
      <c r="K7940" t="s">
        <v>36694</v>
      </c>
      <c r="M7940" t="s">
        <v>37497</v>
      </c>
      <c r="N7940" t="s">
        <v>40436</v>
      </c>
      <c r="O7940" t="s">
        <v>40437</v>
      </c>
      <c r="P7940">
        <v>0</v>
      </c>
      <c r="Q7940">
        <v>1</v>
      </c>
      <c r="R7940" t="s">
        <v>40445</v>
      </c>
      <c r="S7940" t="s">
        <v>40730</v>
      </c>
      <c r="T7940" t="s">
        <v>42279</v>
      </c>
      <c r="U7940" t="s">
        <v>49339</v>
      </c>
      <c r="V7940" t="s">
        <v>54610</v>
      </c>
      <c r="W7940" t="s">
        <v>37497</v>
      </c>
      <c r="X7940" t="s">
        <v>40446</v>
      </c>
    </row>
    <row r="7941" spans="1:24">
      <c r="A7941">
        <f>HYPERLINK("https://www.philgeps.gov.ph/GEPSNONPILOT/Tender/SplashBidNoticeAbstractUI.aspx?menuIndex=3&amp;refID=7035283&amp;Result=3","7035283")</f>
        <v>0</v>
      </c>
      <c r="B7941" t="s">
        <v>2401</v>
      </c>
      <c r="C7941" t="s">
        <v>10636</v>
      </c>
      <c r="D7941" t="s">
        <v>16187</v>
      </c>
      <c r="E7941" t="s">
        <v>23263</v>
      </c>
      <c r="F7941" t="s">
        <v>28198</v>
      </c>
      <c r="G7941" t="s">
        <v>28206</v>
      </c>
      <c r="H7941" t="s">
        <v>28215</v>
      </c>
      <c r="I7941" t="s">
        <v>28225</v>
      </c>
      <c r="J7941" t="s">
        <v>33333</v>
      </c>
      <c r="K7941" t="s">
        <v>36691</v>
      </c>
      <c r="M7941" t="s">
        <v>39588</v>
      </c>
      <c r="N7941" t="s">
        <v>40436</v>
      </c>
      <c r="O7941" t="s">
        <v>40437</v>
      </c>
      <c r="P7941">
        <v>0</v>
      </c>
      <c r="Q7941">
        <v>2</v>
      </c>
      <c r="R7941" t="s">
        <v>40445</v>
      </c>
      <c r="S7941" t="s">
        <v>40730</v>
      </c>
      <c r="T7941" t="s">
        <v>42216</v>
      </c>
      <c r="U7941" t="s">
        <v>49331</v>
      </c>
      <c r="W7941" t="s">
        <v>39588</v>
      </c>
      <c r="X7941" t="s">
        <v>40446</v>
      </c>
    </row>
    <row r="7942" spans="1:24">
      <c r="A7942">
        <f>HYPERLINK("https://www.philgeps.gov.ph/GEPSNONPILOT/Tender/SplashBidNoticeAbstractUI.aspx?menuIndex=3&amp;refID=7035293&amp;Result=3","7035293")</f>
        <v>0</v>
      </c>
      <c r="B7942" t="s">
        <v>2400</v>
      </c>
      <c r="C7942" t="s">
        <v>10646</v>
      </c>
      <c r="D7942" t="s">
        <v>16219</v>
      </c>
      <c r="E7942" t="s">
        <v>17597</v>
      </c>
      <c r="F7942" t="s">
        <v>28198</v>
      </c>
      <c r="G7942" t="s">
        <v>28205</v>
      </c>
      <c r="H7942" t="s">
        <v>28215</v>
      </c>
      <c r="I7942" t="s">
        <v>28257</v>
      </c>
      <c r="J7942" t="s">
        <v>28352</v>
      </c>
      <c r="K7942" t="s">
        <v>36701</v>
      </c>
      <c r="M7942" t="s">
        <v>39587</v>
      </c>
      <c r="N7942" t="s">
        <v>40436</v>
      </c>
      <c r="O7942" t="s">
        <v>40437</v>
      </c>
      <c r="P7942">
        <v>0</v>
      </c>
      <c r="Q7942">
        <v>0</v>
      </c>
      <c r="R7942" t="s">
        <v>40445</v>
      </c>
      <c r="S7942" t="s">
        <v>40730</v>
      </c>
      <c r="T7942" t="s">
        <v>42183</v>
      </c>
      <c r="U7942" t="s">
        <v>49340</v>
      </c>
      <c r="W7942" t="s">
        <v>39587</v>
      </c>
      <c r="X7942" t="s">
        <v>40446</v>
      </c>
    </row>
    <row r="7943" spans="1:24">
      <c r="A7943">
        <f>HYPERLINK("https://www.philgeps.gov.ph/GEPSNONPILOT/Tender/SplashBidNoticeAbstractUI.aspx?menuIndex=3&amp;refID=7035320&amp;Result=3","7035320")</f>
        <v>0</v>
      </c>
      <c r="B7943" t="s">
        <v>1349</v>
      </c>
      <c r="C7943" t="s">
        <v>6465</v>
      </c>
      <c r="D7943" t="s">
        <v>16249</v>
      </c>
      <c r="E7943" t="s">
        <v>23270</v>
      </c>
      <c r="F7943" t="s">
        <v>28198</v>
      </c>
      <c r="G7943" t="s">
        <v>28205</v>
      </c>
      <c r="H7943" t="s">
        <v>28214</v>
      </c>
      <c r="I7943" t="s">
        <v>3797</v>
      </c>
      <c r="J7943" t="s">
        <v>33334</v>
      </c>
      <c r="K7943" t="s">
        <v>36688</v>
      </c>
      <c r="M7943" t="s">
        <v>38407</v>
      </c>
      <c r="N7943" t="s">
        <v>40436</v>
      </c>
      <c r="O7943" t="s">
        <v>40437</v>
      </c>
      <c r="P7943">
        <v>0</v>
      </c>
      <c r="Q7943">
        <v>1</v>
      </c>
      <c r="R7943" t="s">
        <v>40445</v>
      </c>
      <c r="S7943" t="s">
        <v>40730</v>
      </c>
      <c r="T7943" t="s">
        <v>42233</v>
      </c>
      <c r="U7943" t="s">
        <v>49341</v>
      </c>
      <c r="V7943" t="s">
        <v>54637</v>
      </c>
      <c r="W7943" t="s">
        <v>38407</v>
      </c>
      <c r="X7943" t="s">
        <v>40446</v>
      </c>
    </row>
    <row r="7944" spans="1:24">
      <c r="A7944">
        <f>HYPERLINK("https://www.philgeps.gov.ph/GEPSNONPILOT/Tender/SplashBidNoticeAbstractUI.aspx?menuIndex=3&amp;refID=7035319&amp;Result=3","7035319")</f>
        <v>0</v>
      </c>
      <c r="B7944" t="s">
        <v>435</v>
      </c>
      <c r="C7944" t="s">
        <v>10647</v>
      </c>
      <c r="D7944" t="s">
        <v>16254</v>
      </c>
      <c r="E7944" t="s">
        <v>23271</v>
      </c>
      <c r="F7944" t="s">
        <v>28198</v>
      </c>
      <c r="G7944" t="s">
        <v>28206</v>
      </c>
      <c r="H7944" t="s">
        <v>28215</v>
      </c>
      <c r="I7944" t="s">
        <v>4168</v>
      </c>
      <c r="J7944" t="s">
        <v>33335</v>
      </c>
      <c r="K7944" t="s">
        <v>36689</v>
      </c>
      <c r="M7944" t="s">
        <v>37418</v>
      </c>
      <c r="N7944" t="s">
        <v>40436</v>
      </c>
      <c r="O7944" t="s">
        <v>40437</v>
      </c>
      <c r="P7944">
        <v>0</v>
      </c>
      <c r="Q7944">
        <v>0</v>
      </c>
      <c r="R7944" t="s">
        <v>40445</v>
      </c>
      <c r="S7944" t="s">
        <v>40730</v>
      </c>
      <c r="T7944" t="s">
        <v>42233</v>
      </c>
      <c r="U7944" t="s">
        <v>49342</v>
      </c>
      <c r="W7944" t="s">
        <v>55447</v>
      </c>
      <c r="X7944" t="s">
        <v>40446</v>
      </c>
    </row>
    <row r="7945" spans="1:24">
      <c r="A7945">
        <f>HYPERLINK("https://www.philgeps.gov.ph/GEPSNONPILOT/Tender/SplashBidNoticeAbstractUI.aspx?menuIndex=3&amp;refID=7035299&amp;Result=3","7035299")</f>
        <v>0</v>
      </c>
      <c r="B7945" t="s">
        <v>512</v>
      </c>
      <c r="C7945" t="s">
        <v>10648</v>
      </c>
      <c r="D7945" t="s">
        <v>16200</v>
      </c>
      <c r="E7945" t="s">
        <v>23272</v>
      </c>
      <c r="F7945" t="s">
        <v>28198</v>
      </c>
      <c r="G7945" t="s">
        <v>28205</v>
      </c>
      <c r="H7945" t="s">
        <v>28214</v>
      </c>
      <c r="I7945" t="s">
        <v>3797</v>
      </c>
      <c r="J7945" t="s">
        <v>29552</v>
      </c>
      <c r="K7945" t="s">
        <v>36692</v>
      </c>
      <c r="M7945" t="s">
        <v>37497</v>
      </c>
      <c r="N7945" t="s">
        <v>40436</v>
      </c>
      <c r="O7945" t="s">
        <v>40437</v>
      </c>
      <c r="P7945">
        <v>0</v>
      </c>
      <c r="Q7945">
        <v>1</v>
      </c>
      <c r="R7945" t="s">
        <v>40445</v>
      </c>
      <c r="S7945" t="s">
        <v>40730</v>
      </c>
      <c r="T7945" t="s">
        <v>42279</v>
      </c>
      <c r="U7945" t="s">
        <v>49162</v>
      </c>
      <c r="V7945" t="s">
        <v>54610</v>
      </c>
      <c r="W7945" t="s">
        <v>37497</v>
      </c>
      <c r="X7945" t="s">
        <v>40446</v>
      </c>
    </row>
    <row r="7946" spans="1:24">
      <c r="A7946">
        <f>HYPERLINK("https://www.philgeps.gov.ph/GEPSNONPILOT/Tender/SplashBidNoticeAbstractUI.aspx?menuIndex=3&amp;refID=7035296&amp;Result=3","7035296")</f>
        <v>0</v>
      </c>
      <c r="B7946" t="s">
        <v>512</v>
      </c>
      <c r="C7946" t="s">
        <v>10649</v>
      </c>
      <c r="D7946" t="s">
        <v>16200</v>
      </c>
      <c r="E7946" t="s">
        <v>23273</v>
      </c>
      <c r="F7946" t="s">
        <v>28198</v>
      </c>
      <c r="G7946" t="s">
        <v>28205</v>
      </c>
      <c r="H7946" t="s">
        <v>28214</v>
      </c>
      <c r="I7946" t="s">
        <v>3797</v>
      </c>
      <c r="J7946" t="s">
        <v>33336</v>
      </c>
      <c r="K7946" t="s">
        <v>36867</v>
      </c>
      <c r="M7946" t="s">
        <v>37497</v>
      </c>
      <c r="N7946" t="s">
        <v>40436</v>
      </c>
      <c r="O7946" t="s">
        <v>40437</v>
      </c>
      <c r="P7946">
        <v>0</v>
      </c>
      <c r="Q7946">
        <v>1</v>
      </c>
      <c r="R7946" t="s">
        <v>40445</v>
      </c>
      <c r="S7946" t="s">
        <v>40730</v>
      </c>
      <c r="T7946" t="s">
        <v>42279</v>
      </c>
      <c r="U7946" t="s">
        <v>49343</v>
      </c>
      <c r="V7946" t="s">
        <v>54610</v>
      </c>
      <c r="W7946" t="s">
        <v>37497</v>
      </c>
      <c r="X7946" t="s">
        <v>40446</v>
      </c>
    </row>
    <row r="7947" spans="1:24">
      <c r="A7947">
        <f>HYPERLINK("https://www.philgeps.gov.ph/GEPSNONPILOT/Tender/SplashBidNoticeAbstractUI.aspx?menuIndex=3&amp;refID=7035362&amp;Result=3","7035362")</f>
        <v>0</v>
      </c>
      <c r="B7947" t="s">
        <v>105</v>
      </c>
      <c r="C7947" t="s">
        <v>10650</v>
      </c>
      <c r="D7947" t="s">
        <v>16233</v>
      </c>
      <c r="E7947" t="s">
        <v>23274</v>
      </c>
      <c r="F7947" t="s">
        <v>28198</v>
      </c>
      <c r="G7947" t="s">
        <v>28207</v>
      </c>
      <c r="H7947" t="s">
        <v>28215</v>
      </c>
      <c r="I7947" t="s">
        <v>28274</v>
      </c>
      <c r="J7947" t="s">
        <v>28378</v>
      </c>
      <c r="K7947" t="s">
        <v>36701</v>
      </c>
      <c r="M7947" t="s">
        <v>39589</v>
      </c>
      <c r="N7947" t="s">
        <v>40436</v>
      </c>
      <c r="O7947" t="s">
        <v>40437</v>
      </c>
      <c r="P7947">
        <v>0</v>
      </c>
      <c r="Q7947">
        <v>0</v>
      </c>
      <c r="R7947" t="s">
        <v>40445</v>
      </c>
      <c r="S7947" t="s">
        <v>40730</v>
      </c>
      <c r="T7947" t="s">
        <v>42158</v>
      </c>
      <c r="U7947" t="s">
        <v>49344</v>
      </c>
      <c r="W7947" t="s">
        <v>39589</v>
      </c>
      <c r="X7947" t="s">
        <v>40446</v>
      </c>
    </row>
    <row r="7948" spans="1:24">
      <c r="A7948">
        <f>HYPERLINK("https://www.philgeps.gov.ph/GEPSNONPILOT/Tender/SplashBidNoticeAbstractUI.aspx?menuIndex=3&amp;refID=7035349&amp;Result=3","7035349")</f>
        <v>0</v>
      </c>
      <c r="B7948" t="s">
        <v>2402</v>
      </c>
      <c r="C7948" t="s">
        <v>10651</v>
      </c>
      <c r="D7948" t="s">
        <v>16250</v>
      </c>
      <c r="E7948" t="s">
        <v>23275</v>
      </c>
      <c r="F7948" t="s">
        <v>28198</v>
      </c>
      <c r="G7948" t="s">
        <v>28205</v>
      </c>
      <c r="H7948" t="s">
        <v>28214</v>
      </c>
      <c r="I7948" t="s">
        <v>3797</v>
      </c>
      <c r="J7948" t="s">
        <v>33337</v>
      </c>
      <c r="K7948" t="s">
        <v>36738</v>
      </c>
      <c r="M7948" t="s">
        <v>39590</v>
      </c>
      <c r="N7948" t="s">
        <v>40436</v>
      </c>
      <c r="O7948" t="s">
        <v>40437</v>
      </c>
      <c r="P7948">
        <v>0</v>
      </c>
      <c r="Q7948">
        <v>1</v>
      </c>
      <c r="R7948" t="s">
        <v>40445</v>
      </c>
      <c r="S7948" t="s">
        <v>40730</v>
      </c>
      <c r="T7948" t="s">
        <v>42512</v>
      </c>
      <c r="U7948" t="s">
        <v>49345</v>
      </c>
      <c r="W7948" t="s">
        <v>39590</v>
      </c>
      <c r="X7948" t="s">
        <v>40446</v>
      </c>
    </row>
    <row r="7949" spans="1:24">
      <c r="A7949">
        <f>HYPERLINK("https://www.philgeps.gov.ph/GEPSNONPILOT/Tender/SplashBidNoticeAbstractUI.aspx?menuIndex=3&amp;refID=7035343&amp;Result=3","7035343")</f>
        <v>0</v>
      </c>
      <c r="B7949" t="s">
        <v>2399</v>
      </c>
      <c r="C7949" t="s">
        <v>10652</v>
      </c>
      <c r="D7949" t="s">
        <v>16189</v>
      </c>
      <c r="E7949" t="s">
        <v>23276</v>
      </c>
      <c r="F7949" t="s">
        <v>28198</v>
      </c>
      <c r="G7949" t="s">
        <v>28205</v>
      </c>
      <c r="H7949" t="s">
        <v>28215</v>
      </c>
      <c r="I7949" t="s">
        <v>28262</v>
      </c>
      <c r="J7949" t="s">
        <v>33338</v>
      </c>
      <c r="K7949" t="s">
        <v>36701</v>
      </c>
      <c r="M7949" t="s">
        <v>39586</v>
      </c>
      <c r="N7949" t="s">
        <v>40436</v>
      </c>
      <c r="O7949" t="s">
        <v>40437</v>
      </c>
      <c r="P7949">
        <v>0</v>
      </c>
      <c r="Q7949">
        <v>4</v>
      </c>
      <c r="R7949" t="s">
        <v>40445</v>
      </c>
      <c r="S7949" t="s">
        <v>40730</v>
      </c>
      <c r="T7949" t="s">
        <v>42482</v>
      </c>
      <c r="U7949" t="s">
        <v>49346</v>
      </c>
      <c r="W7949" t="s">
        <v>55514</v>
      </c>
      <c r="X7949" t="s">
        <v>40446</v>
      </c>
    </row>
    <row r="7950" spans="1:24">
      <c r="A7950">
        <f>HYPERLINK("https://www.philgeps.gov.ph/GEPSNONPILOT/Tender/SplashBidNoticeAbstractUI.aspx?menuIndex=3&amp;refID=7035360&amp;Result=3","7035360")</f>
        <v>0</v>
      </c>
      <c r="B7950" t="s">
        <v>106</v>
      </c>
      <c r="C7950" t="s">
        <v>10653</v>
      </c>
      <c r="E7950" t="s">
        <v>23277</v>
      </c>
      <c r="F7950" t="s">
        <v>28198</v>
      </c>
      <c r="G7950" t="s">
        <v>28207</v>
      </c>
      <c r="H7950" t="s">
        <v>28215</v>
      </c>
      <c r="I7950" t="s">
        <v>4219</v>
      </c>
      <c r="J7950" t="s">
        <v>33339</v>
      </c>
      <c r="K7950" t="s">
        <v>36689</v>
      </c>
      <c r="M7950" t="s">
        <v>37080</v>
      </c>
      <c r="N7950" t="s">
        <v>40436</v>
      </c>
      <c r="O7950" t="s">
        <v>40437</v>
      </c>
      <c r="P7950">
        <v>0</v>
      </c>
      <c r="Q7950">
        <v>3</v>
      </c>
      <c r="R7950" t="s">
        <v>40445</v>
      </c>
      <c r="S7950" t="s">
        <v>40730</v>
      </c>
      <c r="T7950" t="s">
        <v>42158</v>
      </c>
      <c r="U7950" t="s">
        <v>49347</v>
      </c>
      <c r="W7950" t="s">
        <v>37080</v>
      </c>
      <c r="X7950" t="s">
        <v>40446</v>
      </c>
    </row>
    <row r="7951" spans="1:24">
      <c r="A7951">
        <f>HYPERLINK("https://www.philgeps.gov.ph/GEPSNONPILOT/Tender/SplashBidNoticeAbstractUI.aspx?menuIndex=3&amp;refID=7035358&amp;Result=3","7035358")</f>
        <v>0</v>
      </c>
      <c r="B7951" t="s">
        <v>2403</v>
      </c>
      <c r="C7951" t="s">
        <v>10654</v>
      </c>
      <c r="D7951" t="s">
        <v>16223</v>
      </c>
      <c r="E7951" t="s">
        <v>23278</v>
      </c>
      <c r="F7951" t="s">
        <v>28198</v>
      </c>
      <c r="G7951" t="s">
        <v>28205</v>
      </c>
      <c r="H7951" t="s">
        <v>28215</v>
      </c>
      <c r="I7951" t="s">
        <v>5100</v>
      </c>
      <c r="J7951" t="s">
        <v>33340</v>
      </c>
      <c r="K7951" t="s">
        <v>36701</v>
      </c>
      <c r="M7951" t="s">
        <v>39591</v>
      </c>
      <c r="N7951" t="s">
        <v>40436</v>
      </c>
      <c r="O7951" t="s">
        <v>40437</v>
      </c>
      <c r="P7951">
        <v>0</v>
      </c>
      <c r="Q7951">
        <v>1</v>
      </c>
      <c r="R7951" t="s">
        <v>40445</v>
      </c>
      <c r="S7951" t="s">
        <v>40730</v>
      </c>
      <c r="T7951" t="s">
        <v>42277</v>
      </c>
      <c r="U7951" t="s">
        <v>49348</v>
      </c>
      <c r="W7951" t="s">
        <v>39591</v>
      </c>
      <c r="X7951" t="s">
        <v>40446</v>
      </c>
    </row>
    <row r="7952" spans="1:24">
      <c r="A7952">
        <f>HYPERLINK("https://www.philgeps.gov.ph/GEPSNONPILOT/Tender/SplashBidNoticeAbstractUI.aspx?menuIndex=3&amp;refID=7035350&amp;Result=3","7035350")</f>
        <v>0</v>
      </c>
      <c r="B7952" t="s">
        <v>397</v>
      </c>
      <c r="C7952" t="s">
        <v>10655</v>
      </c>
      <c r="D7952" t="s">
        <v>16204</v>
      </c>
      <c r="E7952" t="s">
        <v>23279</v>
      </c>
      <c r="F7952" t="s">
        <v>28198</v>
      </c>
      <c r="G7952" t="s">
        <v>28205</v>
      </c>
      <c r="H7952" t="s">
        <v>28214</v>
      </c>
      <c r="I7952" t="s">
        <v>3797</v>
      </c>
      <c r="J7952" t="s">
        <v>33341</v>
      </c>
      <c r="K7952" t="s">
        <v>36689</v>
      </c>
      <c r="M7952" t="s">
        <v>37377</v>
      </c>
      <c r="N7952" t="s">
        <v>40436</v>
      </c>
      <c r="O7952" t="s">
        <v>40437</v>
      </c>
      <c r="P7952">
        <v>0</v>
      </c>
      <c r="Q7952">
        <v>38</v>
      </c>
      <c r="R7952" t="s">
        <v>40445</v>
      </c>
      <c r="S7952" t="s">
        <v>40730</v>
      </c>
      <c r="T7952" t="s">
        <v>42245</v>
      </c>
      <c r="U7952" t="s">
        <v>49349</v>
      </c>
      <c r="W7952" t="s">
        <v>37377</v>
      </c>
      <c r="X7952" t="s">
        <v>40446</v>
      </c>
    </row>
    <row r="7953" spans="1:24">
      <c r="A7953">
        <f>HYPERLINK("https://www.philgeps.gov.ph/GEPSNONPILOT/Tender/SplashBidNoticeAbstractUI.aspx?menuIndex=3&amp;refID=7035381&amp;Result=3","7035381")</f>
        <v>0</v>
      </c>
      <c r="B7953" t="s">
        <v>1858</v>
      </c>
      <c r="C7953" t="s">
        <v>10656</v>
      </c>
      <c r="D7953" t="s">
        <v>16210</v>
      </c>
      <c r="E7953" t="s">
        <v>23280</v>
      </c>
      <c r="F7953" t="s">
        <v>28198</v>
      </c>
      <c r="G7953" t="s">
        <v>28205</v>
      </c>
      <c r="H7953" t="s">
        <v>28217</v>
      </c>
      <c r="I7953" t="s">
        <v>28268</v>
      </c>
      <c r="J7953" t="s">
        <v>28345</v>
      </c>
      <c r="K7953" t="s">
        <v>36688</v>
      </c>
      <c r="M7953" t="s">
        <v>39573</v>
      </c>
      <c r="N7953" t="s">
        <v>40436</v>
      </c>
      <c r="O7953" t="s">
        <v>40437</v>
      </c>
      <c r="P7953">
        <v>0</v>
      </c>
      <c r="Q7953">
        <v>1</v>
      </c>
      <c r="R7953" t="s">
        <v>40445</v>
      </c>
      <c r="S7953" t="s">
        <v>40730</v>
      </c>
      <c r="T7953" t="s">
        <v>42346</v>
      </c>
      <c r="U7953" t="s">
        <v>49350</v>
      </c>
      <c r="W7953" t="s">
        <v>39573</v>
      </c>
      <c r="X7953" t="s">
        <v>40446</v>
      </c>
    </row>
    <row r="7954" spans="1:24">
      <c r="A7954">
        <f>HYPERLINK("https://www.philgeps.gov.ph/GEPSNONPILOT/Tender/SplashBidNoticeAbstractUI.aspx?menuIndex=3&amp;refID=7035339&amp;Result=3","7035339")</f>
        <v>0</v>
      </c>
      <c r="B7954" t="s">
        <v>34</v>
      </c>
      <c r="C7954" t="s">
        <v>10657</v>
      </c>
      <c r="D7954" t="s">
        <v>16195</v>
      </c>
      <c r="E7954" t="s">
        <v>23281</v>
      </c>
      <c r="F7954" t="s">
        <v>28198</v>
      </c>
      <c r="G7954" t="s">
        <v>28205</v>
      </c>
      <c r="H7954" t="s">
        <v>28215</v>
      </c>
      <c r="I7954" t="s">
        <v>28256</v>
      </c>
      <c r="J7954" t="s">
        <v>28818</v>
      </c>
      <c r="K7954" t="s">
        <v>36696</v>
      </c>
      <c r="M7954" t="s">
        <v>37015</v>
      </c>
      <c r="N7954" t="s">
        <v>40436</v>
      </c>
      <c r="O7954" t="s">
        <v>40437</v>
      </c>
      <c r="P7954">
        <v>0</v>
      </c>
      <c r="Q7954">
        <v>13</v>
      </c>
      <c r="R7954" t="s">
        <v>40445</v>
      </c>
      <c r="S7954" t="s">
        <v>40730</v>
      </c>
      <c r="T7954" t="s">
        <v>42138</v>
      </c>
      <c r="U7954" t="s">
        <v>49351</v>
      </c>
      <c r="V7954" t="s">
        <v>53779</v>
      </c>
      <c r="W7954" t="s">
        <v>37015</v>
      </c>
      <c r="X7954" t="s">
        <v>40446</v>
      </c>
    </row>
    <row r="7955" spans="1:24">
      <c r="A7955">
        <f>HYPERLINK("https://www.philgeps.gov.ph/GEPSNONPILOT/Tender/SplashBidNoticeAbstractUI.aspx?menuIndex=3&amp;refID=7035331&amp;Result=3","7035331")</f>
        <v>0</v>
      </c>
      <c r="B7955" t="s">
        <v>34</v>
      </c>
      <c r="C7955" t="s">
        <v>10658</v>
      </c>
      <c r="D7955" t="s">
        <v>16195</v>
      </c>
      <c r="E7955" t="s">
        <v>23282</v>
      </c>
      <c r="F7955" t="s">
        <v>28198</v>
      </c>
      <c r="G7955" t="s">
        <v>28207</v>
      </c>
      <c r="H7955" t="s">
        <v>28215</v>
      </c>
      <c r="I7955" t="s">
        <v>28227</v>
      </c>
      <c r="J7955" t="s">
        <v>28723</v>
      </c>
      <c r="K7955" t="s">
        <v>36696</v>
      </c>
      <c r="M7955" t="s">
        <v>37003</v>
      </c>
      <c r="N7955" t="s">
        <v>40436</v>
      </c>
      <c r="O7955" t="s">
        <v>40437</v>
      </c>
      <c r="P7955">
        <v>0</v>
      </c>
      <c r="Q7955">
        <v>0</v>
      </c>
      <c r="R7955" t="s">
        <v>40445</v>
      </c>
      <c r="S7955" t="s">
        <v>40730</v>
      </c>
      <c r="T7955" t="s">
        <v>42190</v>
      </c>
      <c r="U7955" t="s">
        <v>49352</v>
      </c>
      <c r="V7955" t="s">
        <v>54636</v>
      </c>
      <c r="W7955" t="s">
        <v>37003</v>
      </c>
      <c r="X7955" t="s">
        <v>40446</v>
      </c>
    </row>
    <row r="7956" spans="1:24">
      <c r="A7956">
        <f>HYPERLINK("https://www.philgeps.gov.ph/GEPSNONPILOT/Tender/SplashBidNoticeAbstractUI.aspx?menuIndex=3&amp;refID=7035375&amp;Result=3","7035375")</f>
        <v>0</v>
      </c>
      <c r="B7956" t="s">
        <v>2404</v>
      </c>
      <c r="C7956" t="s">
        <v>10659</v>
      </c>
      <c r="D7956" t="s">
        <v>16195</v>
      </c>
      <c r="E7956" t="s">
        <v>16352</v>
      </c>
      <c r="F7956" t="s">
        <v>28198</v>
      </c>
      <c r="G7956" t="s">
        <v>28205</v>
      </c>
      <c r="H7956" t="s">
        <v>28215</v>
      </c>
      <c r="I7956" t="s">
        <v>5100</v>
      </c>
      <c r="J7956" t="s">
        <v>33342</v>
      </c>
      <c r="K7956" t="s">
        <v>36707</v>
      </c>
      <c r="M7956" t="s">
        <v>39592</v>
      </c>
      <c r="N7956" t="s">
        <v>40436</v>
      </c>
      <c r="O7956" t="s">
        <v>40437</v>
      </c>
      <c r="P7956">
        <v>0</v>
      </c>
      <c r="Q7956">
        <v>0</v>
      </c>
      <c r="R7956" t="s">
        <v>40445</v>
      </c>
      <c r="S7956" t="s">
        <v>40730</v>
      </c>
      <c r="T7956" t="s">
        <v>42233</v>
      </c>
      <c r="U7956" t="s">
        <v>49353</v>
      </c>
      <c r="W7956" t="s">
        <v>39592</v>
      </c>
      <c r="X7956" t="s">
        <v>40446</v>
      </c>
    </row>
    <row r="7957" spans="1:24">
      <c r="A7957">
        <f>HYPERLINK("https://www.philgeps.gov.ph/GEPSNONPILOT/Tender/SplashBidNoticeAbstractUI.aspx?menuIndex=3&amp;refID=7035354&amp;Result=3","7035354")</f>
        <v>0</v>
      </c>
      <c r="B7957" t="s">
        <v>105</v>
      </c>
      <c r="C7957" t="s">
        <v>10660</v>
      </c>
      <c r="D7957" t="s">
        <v>16233</v>
      </c>
      <c r="E7957" t="s">
        <v>23283</v>
      </c>
      <c r="F7957" t="s">
        <v>28198</v>
      </c>
      <c r="G7957" t="s">
        <v>28207</v>
      </c>
      <c r="H7957" t="s">
        <v>28215</v>
      </c>
      <c r="I7957" t="s">
        <v>28274</v>
      </c>
      <c r="J7957" t="s">
        <v>33343</v>
      </c>
      <c r="K7957" t="s">
        <v>36706</v>
      </c>
      <c r="M7957" t="s">
        <v>39589</v>
      </c>
      <c r="N7957" t="s">
        <v>40436</v>
      </c>
      <c r="O7957" t="s">
        <v>40437</v>
      </c>
      <c r="P7957">
        <v>0</v>
      </c>
      <c r="Q7957">
        <v>0</v>
      </c>
      <c r="R7957" t="s">
        <v>40445</v>
      </c>
      <c r="S7957" t="s">
        <v>40730</v>
      </c>
      <c r="T7957" t="s">
        <v>42158</v>
      </c>
      <c r="U7957" t="s">
        <v>49354</v>
      </c>
      <c r="W7957" t="s">
        <v>39589</v>
      </c>
      <c r="X7957" t="s">
        <v>40446</v>
      </c>
    </row>
    <row r="7958" spans="1:24">
      <c r="A7958">
        <f>HYPERLINK("https://www.philgeps.gov.ph/GEPSNONPILOT/Tender/SplashBidNoticeAbstractUI.aspx?menuIndex=3&amp;refID=7035364&amp;Result=3","7035364")</f>
        <v>0</v>
      </c>
      <c r="B7958" t="s">
        <v>255</v>
      </c>
      <c r="C7958" t="s">
        <v>10661</v>
      </c>
      <c r="D7958" t="s">
        <v>16197</v>
      </c>
      <c r="E7958" t="s">
        <v>23284</v>
      </c>
      <c r="F7958" t="s">
        <v>28198</v>
      </c>
      <c r="G7958" t="s">
        <v>28207</v>
      </c>
      <c r="H7958" t="s">
        <v>28215</v>
      </c>
      <c r="I7958" t="s">
        <v>28224</v>
      </c>
      <c r="J7958" t="s">
        <v>33344</v>
      </c>
      <c r="K7958" t="s">
        <v>36707</v>
      </c>
      <c r="M7958" t="s">
        <v>37231</v>
      </c>
      <c r="N7958" t="s">
        <v>40436</v>
      </c>
      <c r="O7958" t="s">
        <v>40437</v>
      </c>
      <c r="P7958">
        <v>0</v>
      </c>
      <c r="Q7958">
        <v>1</v>
      </c>
      <c r="R7958" t="s">
        <v>40445</v>
      </c>
      <c r="S7958" t="s">
        <v>40730</v>
      </c>
      <c r="T7958" t="s">
        <v>42205</v>
      </c>
      <c r="U7958" t="s">
        <v>49355</v>
      </c>
      <c r="V7958" t="s">
        <v>54638</v>
      </c>
      <c r="W7958" t="s">
        <v>37231</v>
      </c>
      <c r="X7958" t="s">
        <v>40446</v>
      </c>
    </row>
    <row r="7959" spans="1:24">
      <c r="A7959">
        <f>HYPERLINK("https://www.philgeps.gov.ph/GEPSNONPILOT/Tender/SplashBidNoticeAbstractUI.aspx?menuIndex=3&amp;refID=7035328&amp;Result=3","7035328")</f>
        <v>0</v>
      </c>
      <c r="B7959" t="s">
        <v>2399</v>
      </c>
      <c r="C7959" t="s">
        <v>10662</v>
      </c>
      <c r="D7959" t="s">
        <v>16189</v>
      </c>
      <c r="E7959" t="s">
        <v>23285</v>
      </c>
      <c r="F7959" t="s">
        <v>28198</v>
      </c>
      <c r="G7959" t="s">
        <v>28205</v>
      </c>
      <c r="H7959" t="s">
        <v>28215</v>
      </c>
      <c r="I7959" t="s">
        <v>8888</v>
      </c>
      <c r="J7959" t="s">
        <v>33345</v>
      </c>
      <c r="K7959" t="s">
        <v>36701</v>
      </c>
      <c r="M7959" t="s">
        <v>39586</v>
      </c>
      <c r="N7959" t="s">
        <v>40436</v>
      </c>
      <c r="O7959" t="s">
        <v>40437</v>
      </c>
      <c r="P7959">
        <v>0</v>
      </c>
      <c r="Q7959">
        <v>6</v>
      </c>
      <c r="R7959" t="s">
        <v>40445</v>
      </c>
      <c r="S7959" t="s">
        <v>40730</v>
      </c>
      <c r="T7959" t="s">
        <v>42482</v>
      </c>
      <c r="U7959" t="s">
        <v>49356</v>
      </c>
      <c r="W7959" t="s">
        <v>55514</v>
      </c>
      <c r="X7959" t="s">
        <v>40446</v>
      </c>
    </row>
    <row r="7960" spans="1:24">
      <c r="A7960">
        <f>HYPERLINK("https://www.philgeps.gov.ph/GEPSNONPILOT/Tender/SplashBidNoticeAbstractUI.aspx?menuIndex=3&amp;refID=7035373&amp;Result=3","7035373")</f>
        <v>0</v>
      </c>
      <c r="B7960" t="s">
        <v>34</v>
      </c>
      <c r="C7960" t="s">
        <v>10663</v>
      </c>
      <c r="D7960" t="s">
        <v>16195</v>
      </c>
      <c r="E7960" t="s">
        <v>23286</v>
      </c>
      <c r="F7960" t="s">
        <v>28198</v>
      </c>
      <c r="G7960" t="s">
        <v>28205</v>
      </c>
      <c r="H7960" t="s">
        <v>28215</v>
      </c>
      <c r="I7960" t="s">
        <v>28256</v>
      </c>
      <c r="J7960" t="s">
        <v>28597</v>
      </c>
      <c r="K7960" t="s">
        <v>36696</v>
      </c>
      <c r="M7960" t="s">
        <v>37015</v>
      </c>
      <c r="N7960" t="s">
        <v>40436</v>
      </c>
      <c r="O7960" t="s">
        <v>40437</v>
      </c>
      <c r="P7960">
        <v>0</v>
      </c>
      <c r="Q7960">
        <v>6</v>
      </c>
      <c r="R7960" t="s">
        <v>40445</v>
      </c>
      <c r="S7960" t="s">
        <v>40730</v>
      </c>
      <c r="T7960" t="s">
        <v>42138</v>
      </c>
      <c r="U7960" t="s">
        <v>49357</v>
      </c>
      <c r="V7960" t="s">
        <v>53779</v>
      </c>
      <c r="W7960" t="s">
        <v>37015</v>
      </c>
      <c r="X7960" t="s">
        <v>40446</v>
      </c>
    </row>
    <row r="7961" spans="1:24">
      <c r="A7961">
        <f>HYPERLINK("https://www.philgeps.gov.ph/GEPSNONPILOT/Tender/SplashBidNoticeAbstractUI.aspx?menuIndex=3&amp;refID=7035374&amp;Result=3","7035374")</f>
        <v>0</v>
      </c>
      <c r="B7961" t="s">
        <v>2405</v>
      </c>
      <c r="C7961" t="s">
        <v>10664</v>
      </c>
      <c r="D7961" t="s">
        <v>16198</v>
      </c>
      <c r="E7961" t="s">
        <v>23287</v>
      </c>
      <c r="F7961" t="s">
        <v>28198</v>
      </c>
      <c r="G7961" t="s">
        <v>28205</v>
      </c>
      <c r="H7961" t="s">
        <v>28214</v>
      </c>
      <c r="I7961" t="s">
        <v>3797</v>
      </c>
      <c r="J7961" t="s">
        <v>33346</v>
      </c>
      <c r="K7961" t="s">
        <v>36717</v>
      </c>
      <c r="M7961" t="s">
        <v>39593</v>
      </c>
      <c r="N7961" t="s">
        <v>40436</v>
      </c>
      <c r="O7961" t="s">
        <v>40437</v>
      </c>
      <c r="P7961">
        <v>0</v>
      </c>
      <c r="Q7961">
        <v>0</v>
      </c>
      <c r="R7961" t="s">
        <v>40445</v>
      </c>
      <c r="S7961" t="s">
        <v>40730</v>
      </c>
      <c r="T7961" t="s">
        <v>42278</v>
      </c>
      <c r="U7961" t="s">
        <v>49358</v>
      </c>
      <c r="W7961" t="s">
        <v>39593</v>
      </c>
      <c r="X7961" t="s">
        <v>40446</v>
      </c>
    </row>
    <row r="7962" spans="1:24">
      <c r="A7962">
        <f>HYPERLINK("https://www.philgeps.gov.ph/GEPSNONPILOT/Tender/SplashBidNoticeAbstractUI.aspx?menuIndex=3&amp;refID=7035325&amp;Result=3","7035325")</f>
        <v>0</v>
      </c>
      <c r="B7962" t="s">
        <v>435</v>
      </c>
      <c r="C7962" t="s">
        <v>10665</v>
      </c>
      <c r="D7962" t="s">
        <v>16254</v>
      </c>
      <c r="E7962" t="s">
        <v>23288</v>
      </c>
      <c r="F7962" t="s">
        <v>28198</v>
      </c>
      <c r="G7962" t="s">
        <v>28206</v>
      </c>
      <c r="H7962" t="s">
        <v>28215</v>
      </c>
      <c r="I7962" t="s">
        <v>28228</v>
      </c>
      <c r="J7962" t="s">
        <v>33347</v>
      </c>
      <c r="K7962" t="s">
        <v>36689</v>
      </c>
      <c r="M7962" t="s">
        <v>37418</v>
      </c>
      <c r="N7962" t="s">
        <v>40436</v>
      </c>
      <c r="O7962" t="s">
        <v>40437</v>
      </c>
      <c r="P7962">
        <v>0</v>
      </c>
      <c r="Q7962">
        <v>0</v>
      </c>
      <c r="R7962" t="s">
        <v>40445</v>
      </c>
      <c r="S7962" t="s">
        <v>40730</v>
      </c>
      <c r="T7962" t="s">
        <v>42233</v>
      </c>
      <c r="U7962" t="s">
        <v>49359</v>
      </c>
      <c r="W7962" t="s">
        <v>55447</v>
      </c>
      <c r="X7962" t="s">
        <v>40446</v>
      </c>
    </row>
    <row r="7963" spans="1:24">
      <c r="A7963">
        <f>HYPERLINK("https://www.philgeps.gov.ph/GEPSNONPILOT/Tender/SplashBidNoticeAbstractUI.aspx?menuIndex=3&amp;refID=7035324&amp;Result=3","7035324")</f>
        <v>0</v>
      </c>
      <c r="B7963" t="s">
        <v>2406</v>
      </c>
      <c r="C7963" t="s">
        <v>10666</v>
      </c>
      <c r="D7963" t="s">
        <v>16253</v>
      </c>
      <c r="E7963" t="s">
        <v>23289</v>
      </c>
      <c r="F7963" t="s">
        <v>28198</v>
      </c>
      <c r="G7963" t="s">
        <v>28205</v>
      </c>
      <c r="H7963" t="s">
        <v>28214</v>
      </c>
      <c r="I7963" t="s">
        <v>3797</v>
      </c>
      <c r="J7963" t="s">
        <v>33348</v>
      </c>
      <c r="K7963" t="s">
        <v>36701</v>
      </c>
      <c r="M7963" t="s">
        <v>39594</v>
      </c>
      <c r="N7963" t="s">
        <v>40436</v>
      </c>
      <c r="O7963" t="s">
        <v>40437</v>
      </c>
      <c r="P7963">
        <v>0</v>
      </c>
      <c r="Q7963">
        <v>0</v>
      </c>
      <c r="R7963" t="s">
        <v>40445</v>
      </c>
      <c r="S7963" t="s">
        <v>40730</v>
      </c>
      <c r="T7963" t="s">
        <v>42378</v>
      </c>
      <c r="U7963" t="s">
        <v>49360</v>
      </c>
      <c r="W7963" t="s">
        <v>39594</v>
      </c>
      <c r="X7963" t="s">
        <v>40446</v>
      </c>
    </row>
    <row r="7964" spans="1:24">
      <c r="A7964">
        <f>HYPERLINK("https://www.philgeps.gov.ph/GEPSNONPILOT/Tender/SplashBidNoticeAbstractUI.aspx?menuIndex=3&amp;refID=7035365&amp;Result=3","7035365")</f>
        <v>0</v>
      </c>
      <c r="B7964" t="s">
        <v>105</v>
      </c>
      <c r="C7964" t="s">
        <v>10667</v>
      </c>
      <c r="D7964" t="s">
        <v>16233</v>
      </c>
      <c r="E7964" t="s">
        <v>23290</v>
      </c>
      <c r="F7964" t="s">
        <v>28198</v>
      </c>
      <c r="G7964" t="s">
        <v>28207</v>
      </c>
      <c r="H7964" t="s">
        <v>28215</v>
      </c>
      <c r="I7964" t="s">
        <v>28274</v>
      </c>
      <c r="J7964" t="s">
        <v>28378</v>
      </c>
      <c r="K7964" t="s">
        <v>36701</v>
      </c>
      <c r="M7964" t="s">
        <v>39589</v>
      </c>
      <c r="N7964" t="s">
        <v>40436</v>
      </c>
      <c r="O7964" t="s">
        <v>40437</v>
      </c>
      <c r="P7964">
        <v>0</v>
      </c>
      <c r="Q7964">
        <v>1</v>
      </c>
      <c r="R7964" t="s">
        <v>40445</v>
      </c>
      <c r="S7964" t="s">
        <v>40730</v>
      </c>
      <c r="T7964" t="s">
        <v>42158</v>
      </c>
      <c r="U7964" t="s">
        <v>49361</v>
      </c>
      <c r="W7964" t="s">
        <v>39589</v>
      </c>
      <c r="X7964" t="s">
        <v>40446</v>
      </c>
    </row>
    <row r="7965" spans="1:24">
      <c r="A7965">
        <f>HYPERLINK("https://www.philgeps.gov.ph/GEPSNONPILOT/Tender/SplashBidNoticeAbstractUI.aspx?menuIndex=3&amp;refID=7035382&amp;Result=3","7035382")</f>
        <v>0</v>
      </c>
      <c r="B7965" t="s">
        <v>1783</v>
      </c>
      <c r="C7965" t="s">
        <v>10668</v>
      </c>
      <c r="D7965" t="s">
        <v>16259</v>
      </c>
      <c r="E7965" t="s">
        <v>23291</v>
      </c>
      <c r="F7965" t="s">
        <v>28198</v>
      </c>
      <c r="G7965" t="s">
        <v>28205</v>
      </c>
      <c r="H7965" t="s">
        <v>28215</v>
      </c>
      <c r="I7965" t="s">
        <v>28247</v>
      </c>
      <c r="J7965" t="s">
        <v>33349</v>
      </c>
      <c r="K7965" t="s">
        <v>36694</v>
      </c>
      <c r="M7965" t="s">
        <v>38899</v>
      </c>
      <c r="N7965" t="s">
        <v>40436</v>
      </c>
      <c r="O7965" t="s">
        <v>40437</v>
      </c>
      <c r="P7965">
        <v>0</v>
      </c>
      <c r="Q7965">
        <v>21</v>
      </c>
      <c r="R7965" t="s">
        <v>40445</v>
      </c>
      <c r="S7965" t="s">
        <v>40730</v>
      </c>
      <c r="T7965" t="s">
        <v>42346</v>
      </c>
      <c r="U7965" t="s">
        <v>49362</v>
      </c>
      <c r="V7965" t="s">
        <v>54639</v>
      </c>
      <c r="W7965" t="s">
        <v>38899</v>
      </c>
      <c r="X7965" t="s">
        <v>40446</v>
      </c>
    </row>
    <row r="7966" spans="1:24">
      <c r="A7966">
        <f>HYPERLINK("https://www.philgeps.gov.ph/GEPSNONPILOT/Tender/SplashBidNoticeAbstractUI.aspx?menuIndex=3&amp;refID=7035402&amp;Result=3","7035402")</f>
        <v>0</v>
      </c>
      <c r="B7966" t="s">
        <v>1345</v>
      </c>
      <c r="C7966" t="s">
        <v>10669</v>
      </c>
      <c r="D7966" t="s">
        <v>16247</v>
      </c>
      <c r="E7966" t="s">
        <v>23292</v>
      </c>
      <c r="F7966" t="s">
        <v>28198</v>
      </c>
      <c r="G7966" t="s">
        <v>28205</v>
      </c>
      <c r="H7966" t="s">
        <v>28215</v>
      </c>
      <c r="I7966" t="s">
        <v>28250</v>
      </c>
      <c r="J7966" t="s">
        <v>33350</v>
      </c>
      <c r="K7966" t="s">
        <v>36688</v>
      </c>
      <c r="M7966" t="s">
        <v>38403</v>
      </c>
      <c r="N7966" t="s">
        <v>40436</v>
      </c>
      <c r="O7966" t="s">
        <v>40437</v>
      </c>
      <c r="P7966">
        <v>0</v>
      </c>
      <c r="Q7966">
        <v>2</v>
      </c>
      <c r="R7966" t="s">
        <v>40445</v>
      </c>
      <c r="S7966" t="s">
        <v>40730</v>
      </c>
      <c r="T7966" t="s">
        <v>42133</v>
      </c>
      <c r="U7966" t="s">
        <v>45667</v>
      </c>
      <c r="W7966" t="s">
        <v>38403</v>
      </c>
      <c r="X7966" t="s">
        <v>40446</v>
      </c>
    </row>
    <row r="7967" spans="1:24">
      <c r="A7967">
        <f>HYPERLINK("https://www.philgeps.gov.ph/GEPSNONPILOT/Tender/SplashBidNoticeAbstractUI.aspx?menuIndex=3&amp;refID=7035403&amp;Result=3","7035403")</f>
        <v>0</v>
      </c>
      <c r="B7967" t="s">
        <v>2407</v>
      </c>
      <c r="C7967" t="s">
        <v>10670</v>
      </c>
      <c r="D7967" t="s">
        <v>16192</v>
      </c>
      <c r="E7967" t="s">
        <v>16929</v>
      </c>
      <c r="F7967" t="s">
        <v>28198</v>
      </c>
      <c r="G7967" t="s">
        <v>28205</v>
      </c>
      <c r="H7967" t="s">
        <v>28215</v>
      </c>
      <c r="I7967" t="s">
        <v>5100</v>
      </c>
      <c r="J7967" t="s">
        <v>33351</v>
      </c>
      <c r="K7967" t="s">
        <v>36701</v>
      </c>
      <c r="L7967" t="s">
        <v>2407</v>
      </c>
      <c r="M7967" t="s">
        <v>39595</v>
      </c>
      <c r="N7967" t="s">
        <v>40436</v>
      </c>
      <c r="O7967" t="s">
        <v>40437</v>
      </c>
      <c r="P7967">
        <v>0</v>
      </c>
      <c r="Q7967">
        <v>0</v>
      </c>
      <c r="R7967" t="s">
        <v>40445</v>
      </c>
      <c r="S7967" t="s">
        <v>40730</v>
      </c>
      <c r="T7967" t="s">
        <v>42378</v>
      </c>
      <c r="U7967" t="s">
        <v>49363</v>
      </c>
      <c r="W7967" t="s">
        <v>39595</v>
      </c>
      <c r="X7967" t="s">
        <v>40446</v>
      </c>
    </row>
    <row r="7968" spans="1:24">
      <c r="A7968">
        <f>HYPERLINK("https://www.philgeps.gov.ph/GEPSNONPILOT/Tender/SplashBidNoticeAbstractUI.aspx?menuIndex=3&amp;refID=7035387&amp;Result=3","7035387")</f>
        <v>0</v>
      </c>
      <c r="B7968" t="s">
        <v>34</v>
      </c>
      <c r="C7968" t="s">
        <v>10671</v>
      </c>
      <c r="D7968" t="s">
        <v>16195</v>
      </c>
      <c r="E7968" t="s">
        <v>23293</v>
      </c>
      <c r="F7968" t="s">
        <v>28198</v>
      </c>
      <c r="G7968" t="s">
        <v>28205</v>
      </c>
      <c r="H7968" t="s">
        <v>28215</v>
      </c>
      <c r="I7968" t="s">
        <v>4168</v>
      </c>
      <c r="J7968" t="s">
        <v>28406</v>
      </c>
      <c r="K7968" t="s">
        <v>36696</v>
      </c>
      <c r="M7968" t="s">
        <v>38786</v>
      </c>
      <c r="N7968" t="s">
        <v>40436</v>
      </c>
      <c r="O7968" t="s">
        <v>40437</v>
      </c>
      <c r="P7968">
        <v>0</v>
      </c>
      <c r="Q7968">
        <v>5</v>
      </c>
      <c r="R7968" t="s">
        <v>40445</v>
      </c>
      <c r="S7968" t="s">
        <v>40730</v>
      </c>
      <c r="T7968" t="s">
        <v>42138</v>
      </c>
      <c r="U7968" t="s">
        <v>49364</v>
      </c>
      <c r="V7968" t="s">
        <v>53779</v>
      </c>
      <c r="W7968" t="s">
        <v>38786</v>
      </c>
      <c r="X7968" t="s">
        <v>40446</v>
      </c>
    </row>
    <row r="7969" spans="1:24">
      <c r="A7969">
        <f>HYPERLINK("https://www.philgeps.gov.ph/GEPSNONPILOT/Tender/SplashBidNoticeAbstractUI.aspx?menuIndex=3&amp;refID=7035406&amp;Result=3","7035406")</f>
        <v>0</v>
      </c>
      <c r="B7969" t="s">
        <v>1858</v>
      </c>
      <c r="C7969" t="s">
        <v>10672</v>
      </c>
      <c r="D7969" t="s">
        <v>16210</v>
      </c>
      <c r="E7969" t="s">
        <v>23294</v>
      </c>
      <c r="F7969" t="s">
        <v>28198</v>
      </c>
      <c r="G7969" t="s">
        <v>28205</v>
      </c>
      <c r="H7969" t="s">
        <v>28215</v>
      </c>
      <c r="I7969" t="s">
        <v>5656</v>
      </c>
      <c r="J7969" t="s">
        <v>29113</v>
      </c>
      <c r="K7969" t="s">
        <v>36688</v>
      </c>
      <c r="M7969" t="s">
        <v>39573</v>
      </c>
      <c r="N7969" t="s">
        <v>40436</v>
      </c>
      <c r="O7969" t="s">
        <v>40437</v>
      </c>
      <c r="P7969">
        <v>0</v>
      </c>
      <c r="Q7969">
        <v>0</v>
      </c>
      <c r="R7969" t="s">
        <v>40445</v>
      </c>
      <c r="S7969" t="s">
        <v>40730</v>
      </c>
      <c r="T7969" t="s">
        <v>42346</v>
      </c>
      <c r="U7969" t="s">
        <v>49365</v>
      </c>
      <c r="W7969" t="s">
        <v>39573</v>
      </c>
      <c r="X7969" t="s">
        <v>40446</v>
      </c>
    </row>
    <row r="7970" spans="1:24">
      <c r="A7970">
        <f>HYPERLINK("https://www.philgeps.gov.ph/GEPSNONPILOT/Tender/SplashBidNoticeAbstractUI.aspx?menuIndex=3&amp;refID=7035399&amp;Result=3","7035399")</f>
        <v>0</v>
      </c>
      <c r="B7970" t="s">
        <v>862</v>
      </c>
      <c r="C7970" t="s">
        <v>10673</v>
      </c>
      <c r="D7970" t="s">
        <v>16248</v>
      </c>
      <c r="E7970" t="s">
        <v>23295</v>
      </c>
      <c r="F7970" t="s">
        <v>28198</v>
      </c>
      <c r="G7970" t="s">
        <v>28205</v>
      </c>
      <c r="H7970" t="s">
        <v>28214</v>
      </c>
      <c r="I7970" t="s">
        <v>3797</v>
      </c>
      <c r="J7970" t="s">
        <v>31928</v>
      </c>
      <c r="K7970" t="s">
        <v>36692</v>
      </c>
      <c r="L7970" t="s">
        <v>862</v>
      </c>
      <c r="M7970" t="s">
        <v>37874</v>
      </c>
      <c r="N7970" t="s">
        <v>40436</v>
      </c>
      <c r="O7970" t="s">
        <v>40437</v>
      </c>
      <c r="P7970">
        <v>0</v>
      </c>
      <c r="Q7970">
        <v>0</v>
      </c>
      <c r="R7970" t="s">
        <v>40445</v>
      </c>
      <c r="S7970" t="s">
        <v>40730</v>
      </c>
      <c r="T7970" t="s">
        <v>42279</v>
      </c>
      <c r="U7970" t="s">
        <v>49366</v>
      </c>
      <c r="V7970" t="s">
        <v>54640</v>
      </c>
      <c r="W7970" t="s">
        <v>37874</v>
      </c>
      <c r="X7970" t="s">
        <v>40446</v>
      </c>
    </row>
    <row r="7971" spans="1:24">
      <c r="A7971">
        <f>HYPERLINK("https://www.philgeps.gov.ph/GEPSNONPILOT/Tender/SplashBidNoticeAbstractUI.aspx?menuIndex=3&amp;refID=7035430&amp;Result=3","7035430")</f>
        <v>0</v>
      </c>
      <c r="B7971" t="s">
        <v>2408</v>
      </c>
      <c r="C7971" t="s">
        <v>10674</v>
      </c>
      <c r="D7971" t="s">
        <v>16223</v>
      </c>
      <c r="E7971" t="s">
        <v>16909</v>
      </c>
      <c r="F7971" t="s">
        <v>28198</v>
      </c>
      <c r="G7971" t="s">
        <v>28205</v>
      </c>
      <c r="H7971" t="s">
        <v>28215</v>
      </c>
      <c r="I7971" t="s">
        <v>4505</v>
      </c>
      <c r="J7971" t="s">
        <v>33352</v>
      </c>
      <c r="K7971" t="s">
        <v>36707</v>
      </c>
      <c r="M7971" t="s">
        <v>39596</v>
      </c>
      <c r="N7971" t="s">
        <v>40436</v>
      </c>
      <c r="O7971" t="s">
        <v>40437</v>
      </c>
      <c r="P7971">
        <v>0</v>
      </c>
      <c r="Q7971">
        <v>0</v>
      </c>
      <c r="R7971" t="s">
        <v>40445</v>
      </c>
      <c r="S7971" t="s">
        <v>40730</v>
      </c>
      <c r="T7971" t="s">
        <v>42245</v>
      </c>
      <c r="U7971" t="s">
        <v>49367</v>
      </c>
      <c r="W7971" t="s">
        <v>39596</v>
      </c>
      <c r="X7971" t="s">
        <v>40446</v>
      </c>
    </row>
    <row r="7972" spans="1:24">
      <c r="A7972">
        <f>HYPERLINK("https://www.philgeps.gov.ph/GEPSNONPILOT/Tender/SplashBidNoticeAbstractUI.aspx?menuIndex=3&amp;refID=7035424&amp;Result=3","7035424")</f>
        <v>0</v>
      </c>
      <c r="B7972" t="s">
        <v>862</v>
      </c>
      <c r="C7972" t="s">
        <v>10675</v>
      </c>
      <c r="D7972" t="s">
        <v>16248</v>
      </c>
      <c r="E7972" t="s">
        <v>23296</v>
      </c>
      <c r="F7972" t="s">
        <v>28198</v>
      </c>
      <c r="G7972" t="s">
        <v>28205</v>
      </c>
      <c r="H7972" t="s">
        <v>28214</v>
      </c>
      <c r="I7972" t="s">
        <v>3797</v>
      </c>
      <c r="J7972" t="s">
        <v>33353</v>
      </c>
      <c r="K7972" t="s">
        <v>36727</v>
      </c>
      <c r="L7972" t="s">
        <v>862</v>
      </c>
      <c r="M7972" t="s">
        <v>37874</v>
      </c>
      <c r="N7972" t="s">
        <v>40436</v>
      </c>
      <c r="O7972" t="s">
        <v>40437</v>
      </c>
      <c r="P7972">
        <v>0</v>
      </c>
      <c r="Q7972">
        <v>1</v>
      </c>
      <c r="R7972" t="s">
        <v>40445</v>
      </c>
      <c r="S7972" t="s">
        <v>40730</v>
      </c>
      <c r="T7972" t="s">
        <v>42279</v>
      </c>
      <c r="U7972" t="s">
        <v>49368</v>
      </c>
      <c r="V7972" t="s">
        <v>54641</v>
      </c>
      <c r="W7972" t="s">
        <v>37874</v>
      </c>
      <c r="X7972" t="s">
        <v>40446</v>
      </c>
    </row>
    <row r="7973" spans="1:24">
      <c r="A7973">
        <f>HYPERLINK("https://www.philgeps.gov.ph/GEPSNONPILOT/Tender/SplashBidNoticeAbstractUI.aspx?menuIndex=3&amp;refID=7035426&amp;Result=3","7035426")</f>
        <v>0</v>
      </c>
      <c r="B7973" t="s">
        <v>2409</v>
      </c>
      <c r="C7973" t="s">
        <v>10676</v>
      </c>
      <c r="D7973" t="s">
        <v>16226</v>
      </c>
      <c r="E7973" t="s">
        <v>23297</v>
      </c>
      <c r="F7973" t="s">
        <v>28198</v>
      </c>
      <c r="G7973" t="s">
        <v>28205</v>
      </c>
      <c r="H7973" t="s">
        <v>28214</v>
      </c>
      <c r="I7973" t="s">
        <v>3797</v>
      </c>
      <c r="J7973" t="s">
        <v>33354</v>
      </c>
      <c r="K7973" t="s">
        <v>36689</v>
      </c>
      <c r="M7973" t="s">
        <v>39597</v>
      </c>
      <c r="N7973" t="s">
        <v>40436</v>
      </c>
      <c r="O7973" t="s">
        <v>40437</v>
      </c>
      <c r="Q7973">
        <v>0</v>
      </c>
      <c r="R7973" t="s">
        <v>40445</v>
      </c>
      <c r="S7973" t="s">
        <v>40734</v>
      </c>
      <c r="T7973" t="s">
        <v>42244</v>
      </c>
      <c r="U7973" t="s">
        <v>49369</v>
      </c>
      <c r="W7973" t="s">
        <v>39597</v>
      </c>
      <c r="X7973" t="s">
        <v>40446</v>
      </c>
    </row>
    <row r="7974" spans="1:24">
      <c r="A7974">
        <f>HYPERLINK("https://www.philgeps.gov.ph/GEPSNONPILOT/Tender/SplashBidNoticeAbstractUI.aspx?menuIndex=3&amp;refID=7035398&amp;Result=3","7035398")</f>
        <v>0</v>
      </c>
      <c r="B7974" t="s">
        <v>2410</v>
      </c>
      <c r="C7974" t="s">
        <v>10677</v>
      </c>
      <c r="D7974" t="s">
        <v>16200</v>
      </c>
      <c r="E7974" t="s">
        <v>23298</v>
      </c>
      <c r="F7974" t="s">
        <v>28198</v>
      </c>
      <c r="G7974" t="s">
        <v>28205</v>
      </c>
      <c r="H7974" t="s">
        <v>28214</v>
      </c>
      <c r="I7974" t="s">
        <v>3797</v>
      </c>
      <c r="J7974" t="s">
        <v>33355</v>
      </c>
      <c r="K7974" t="s">
        <v>36711</v>
      </c>
      <c r="M7974" t="s">
        <v>39598</v>
      </c>
      <c r="N7974" t="s">
        <v>40436</v>
      </c>
      <c r="O7974" t="s">
        <v>40437</v>
      </c>
      <c r="P7974">
        <v>0</v>
      </c>
      <c r="Q7974">
        <v>0</v>
      </c>
      <c r="R7974" t="s">
        <v>40445</v>
      </c>
      <c r="S7974" t="s">
        <v>40730</v>
      </c>
      <c r="T7974" t="s">
        <v>42140</v>
      </c>
      <c r="U7974" t="s">
        <v>49370</v>
      </c>
      <c r="W7974" t="s">
        <v>39598</v>
      </c>
      <c r="X7974" t="s">
        <v>40446</v>
      </c>
    </row>
    <row r="7975" spans="1:24">
      <c r="A7975">
        <f>HYPERLINK("https://www.philgeps.gov.ph/GEPSNONPILOT/Tender/SplashBidNoticeAbstractUI.aspx?menuIndex=3&amp;refID=7035391&amp;Result=3","7035391")</f>
        <v>0</v>
      </c>
      <c r="B7975" t="s">
        <v>2411</v>
      </c>
      <c r="C7975" t="s">
        <v>10678</v>
      </c>
      <c r="D7975" t="s">
        <v>16228</v>
      </c>
      <c r="E7975" t="s">
        <v>17244</v>
      </c>
      <c r="F7975" t="s">
        <v>28198</v>
      </c>
      <c r="G7975" t="s">
        <v>28205</v>
      </c>
      <c r="H7975" t="s">
        <v>28214</v>
      </c>
      <c r="I7975" t="s">
        <v>3797</v>
      </c>
      <c r="J7975" t="s">
        <v>29409</v>
      </c>
      <c r="K7975" t="s">
        <v>36717</v>
      </c>
      <c r="M7975" t="s">
        <v>39599</v>
      </c>
      <c r="N7975" t="s">
        <v>40436</v>
      </c>
      <c r="O7975" t="s">
        <v>40437</v>
      </c>
      <c r="P7975">
        <v>0</v>
      </c>
      <c r="Q7975">
        <v>2</v>
      </c>
      <c r="R7975" t="s">
        <v>40445</v>
      </c>
      <c r="S7975" t="s">
        <v>40730</v>
      </c>
      <c r="T7975" t="s">
        <v>42278</v>
      </c>
      <c r="U7975" t="s">
        <v>49371</v>
      </c>
      <c r="V7975" t="s">
        <v>54642</v>
      </c>
      <c r="W7975" t="s">
        <v>39599</v>
      </c>
      <c r="X7975" t="s">
        <v>40446</v>
      </c>
    </row>
    <row r="7976" spans="1:24">
      <c r="A7976">
        <f>HYPERLINK("https://www.philgeps.gov.ph/GEPSNONPILOT/Tender/SplashBidNoticeAbstractUI.aspx?menuIndex=3&amp;refID=7035413&amp;Result=3","7035413")</f>
        <v>0</v>
      </c>
      <c r="B7976" t="s">
        <v>2409</v>
      </c>
      <c r="C7976" t="s">
        <v>10679</v>
      </c>
      <c r="D7976" t="s">
        <v>16226</v>
      </c>
      <c r="E7976" t="s">
        <v>23299</v>
      </c>
      <c r="F7976" t="s">
        <v>28198</v>
      </c>
      <c r="G7976" t="s">
        <v>28205</v>
      </c>
      <c r="H7976" t="s">
        <v>28214</v>
      </c>
      <c r="I7976" t="s">
        <v>3797</v>
      </c>
      <c r="J7976" t="s">
        <v>33354</v>
      </c>
      <c r="K7976" t="s">
        <v>36689</v>
      </c>
      <c r="M7976" t="s">
        <v>39597</v>
      </c>
      <c r="N7976" t="s">
        <v>40436</v>
      </c>
      <c r="O7976" t="s">
        <v>40437</v>
      </c>
      <c r="Q7976">
        <v>0</v>
      </c>
      <c r="R7976" t="s">
        <v>40445</v>
      </c>
      <c r="S7976" t="s">
        <v>40735</v>
      </c>
      <c r="T7976" t="s">
        <v>42244</v>
      </c>
      <c r="U7976" t="s">
        <v>49372</v>
      </c>
      <c r="W7976" t="s">
        <v>39597</v>
      </c>
      <c r="X7976" t="s">
        <v>40446</v>
      </c>
    </row>
    <row r="7977" spans="1:24">
      <c r="A7977">
        <f>HYPERLINK("https://www.philgeps.gov.ph/GEPSNONPILOT/Tender/SplashBidNoticeAbstractUI.aspx?menuIndex=3&amp;refID=7035422&amp;Result=3","7035422")</f>
        <v>0</v>
      </c>
      <c r="B7977" t="s">
        <v>1858</v>
      </c>
      <c r="C7977" t="s">
        <v>10680</v>
      </c>
      <c r="D7977" t="s">
        <v>16210</v>
      </c>
      <c r="E7977" t="s">
        <v>23300</v>
      </c>
      <c r="F7977" t="s">
        <v>28198</v>
      </c>
      <c r="G7977" t="s">
        <v>28205</v>
      </c>
      <c r="H7977" t="s">
        <v>28215</v>
      </c>
      <c r="I7977" t="s">
        <v>4200</v>
      </c>
      <c r="J7977" t="s">
        <v>33356</v>
      </c>
      <c r="K7977" t="s">
        <v>36688</v>
      </c>
      <c r="M7977" t="s">
        <v>39573</v>
      </c>
      <c r="N7977" t="s">
        <v>40436</v>
      </c>
      <c r="O7977" t="s">
        <v>40437</v>
      </c>
      <c r="P7977">
        <v>0</v>
      </c>
      <c r="Q7977">
        <v>1</v>
      </c>
      <c r="R7977" t="s">
        <v>40445</v>
      </c>
      <c r="S7977" t="s">
        <v>40730</v>
      </c>
      <c r="T7977" t="s">
        <v>42346</v>
      </c>
      <c r="U7977" t="s">
        <v>47431</v>
      </c>
      <c r="W7977" t="s">
        <v>39573</v>
      </c>
      <c r="X7977" t="s">
        <v>40446</v>
      </c>
    </row>
    <row r="7978" spans="1:24">
      <c r="A7978">
        <f>HYPERLINK("https://www.philgeps.gov.ph/GEPSNONPILOT/Tender/SplashBidNoticeAbstractUI.aspx?menuIndex=3&amp;refID=7035435&amp;Result=3","7035435")</f>
        <v>0</v>
      </c>
      <c r="B7978" t="s">
        <v>2412</v>
      </c>
      <c r="C7978" t="s">
        <v>10681</v>
      </c>
      <c r="D7978" t="s">
        <v>16262</v>
      </c>
      <c r="E7978" t="s">
        <v>23301</v>
      </c>
      <c r="F7978" t="s">
        <v>28198</v>
      </c>
      <c r="G7978" t="s">
        <v>28205</v>
      </c>
      <c r="H7978" t="s">
        <v>28214</v>
      </c>
      <c r="I7978" t="s">
        <v>3797</v>
      </c>
      <c r="J7978" t="s">
        <v>33357</v>
      </c>
      <c r="K7978" t="s">
        <v>36727</v>
      </c>
      <c r="M7978" t="s">
        <v>39600</v>
      </c>
      <c r="N7978" t="s">
        <v>40436</v>
      </c>
      <c r="O7978" t="s">
        <v>40437</v>
      </c>
      <c r="P7978">
        <v>0</v>
      </c>
      <c r="Q7978">
        <v>0</v>
      </c>
      <c r="R7978" t="s">
        <v>40445</v>
      </c>
      <c r="S7978" t="s">
        <v>40730</v>
      </c>
      <c r="T7978" t="s">
        <v>42174</v>
      </c>
      <c r="U7978" t="s">
        <v>49373</v>
      </c>
      <c r="W7978" t="s">
        <v>39600</v>
      </c>
      <c r="X7978" t="s">
        <v>40446</v>
      </c>
    </row>
    <row r="7979" spans="1:24">
      <c r="A7979">
        <f>HYPERLINK("https://www.philgeps.gov.ph/GEPSNONPILOT/Tender/SplashBidNoticeAbstractUI.aspx?menuIndex=3&amp;refID=7035408&amp;Result=3","7035408")</f>
        <v>0</v>
      </c>
      <c r="B7979" t="s">
        <v>2404</v>
      </c>
      <c r="C7979" t="s">
        <v>10682</v>
      </c>
      <c r="D7979" t="s">
        <v>16195</v>
      </c>
      <c r="E7979" t="s">
        <v>16424</v>
      </c>
      <c r="F7979" t="s">
        <v>28198</v>
      </c>
      <c r="G7979" t="s">
        <v>28205</v>
      </c>
      <c r="H7979" t="s">
        <v>28215</v>
      </c>
      <c r="I7979" t="s">
        <v>5100</v>
      </c>
      <c r="J7979" t="s">
        <v>33358</v>
      </c>
      <c r="K7979" t="s">
        <v>36707</v>
      </c>
      <c r="M7979" t="s">
        <v>39592</v>
      </c>
      <c r="N7979" t="s">
        <v>40436</v>
      </c>
      <c r="O7979" t="s">
        <v>40437</v>
      </c>
      <c r="P7979">
        <v>0</v>
      </c>
      <c r="Q7979">
        <v>0</v>
      </c>
      <c r="R7979" t="s">
        <v>40445</v>
      </c>
      <c r="S7979" t="s">
        <v>40730</v>
      </c>
      <c r="T7979" t="s">
        <v>42233</v>
      </c>
      <c r="U7979" t="s">
        <v>49374</v>
      </c>
      <c r="W7979" t="s">
        <v>39592</v>
      </c>
      <c r="X7979" t="s">
        <v>40446</v>
      </c>
    </row>
    <row r="7980" spans="1:24">
      <c r="A7980">
        <f>HYPERLINK("https://www.philgeps.gov.ph/GEPSNONPILOT/Tender/SplashBidNoticeAbstractUI.aspx?menuIndex=3&amp;refID=7035409&amp;Result=3","7035409")</f>
        <v>0</v>
      </c>
      <c r="B7980" t="s">
        <v>1783</v>
      </c>
      <c r="C7980" t="s">
        <v>10683</v>
      </c>
      <c r="D7980" t="s">
        <v>16259</v>
      </c>
      <c r="E7980" t="s">
        <v>23302</v>
      </c>
      <c r="F7980" t="s">
        <v>28198</v>
      </c>
      <c r="G7980" t="s">
        <v>28205</v>
      </c>
      <c r="H7980" t="s">
        <v>28214</v>
      </c>
      <c r="I7980" t="s">
        <v>3797</v>
      </c>
      <c r="J7980" t="s">
        <v>33359</v>
      </c>
      <c r="K7980" t="s">
        <v>36697</v>
      </c>
      <c r="M7980" t="s">
        <v>38899</v>
      </c>
      <c r="N7980" t="s">
        <v>40436</v>
      </c>
      <c r="O7980" t="s">
        <v>40437</v>
      </c>
      <c r="P7980">
        <v>0</v>
      </c>
      <c r="Q7980">
        <v>2</v>
      </c>
      <c r="R7980" t="s">
        <v>40445</v>
      </c>
      <c r="S7980" t="s">
        <v>40730</v>
      </c>
      <c r="T7980" t="s">
        <v>42240</v>
      </c>
      <c r="U7980" t="s">
        <v>49375</v>
      </c>
      <c r="V7980" t="s">
        <v>54643</v>
      </c>
      <c r="W7980" t="s">
        <v>38899</v>
      </c>
      <c r="X7980" t="s">
        <v>40446</v>
      </c>
    </row>
    <row r="7981" spans="1:24">
      <c r="A7981">
        <f>HYPERLINK("https://www.philgeps.gov.ph/GEPSNONPILOT/Tender/SplashBidNoticeAbstractUI.aspx?menuIndex=3&amp;refID=7035396&amp;Result=3","7035396")</f>
        <v>0</v>
      </c>
      <c r="B7981" t="s">
        <v>1858</v>
      </c>
      <c r="C7981" t="s">
        <v>10684</v>
      </c>
      <c r="D7981" t="s">
        <v>16210</v>
      </c>
      <c r="E7981" t="s">
        <v>23303</v>
      </c>
      <c r="F7981" t="s">
        <v>28198</v>
      </c>
      <c r="G7981" t="s">
        <v>28205</v>
      </c>
      <c r="H7981" t="s">
        <v>28215</v>
      </c>
      <c r="I7981" t="s">
        <v>4200</v>
      </c>
      <c r="J7981" t="s">
        <v>33307</v>
      </c>
      <c r="K7981" t="s">
        <v>36688</v>
      </c>
      <c r="M7981" t="s">
        <v>39573</v>
      </c>
      <c r="N7981" t="s">
        <v>40436</v>
      </c>
      <c r="O7981" t="s">
        <v>40437</v>
      </c>
      <c r="P7981">
        <v>0</v>
      </c>
      <c r="Q7981">
        <v>0</v>
      </c>
      <c r="R7981" t="s">
        <v>40445</v>
      </c>
      <c r="S7981" t="s">
        <v>40730</v>
      </c>
      <c r="T7981" t="s">
        <v>42346</v>
      </c>
      <c r="U7981" t="s">
        <v>47431</v>
      </c>
      <c r="W7981" t="s">
        <v>39573</v>
      </c>
      <c r="X7981" t="s">
        <v>40446</v>
      </c>
    </row>
    <row r="7982" spans="1:24">
      <c r="A7982">
        <f>HYPERLINK("https://www.philgeps.gov.ph/GEPSNONPILOT/Tender/SplashBidNoticeAbstractUI.aspx?menuIndex=3&amp;refID=7035410&amp;Result=3","7035410")</f>
        <v>0</v>
      </c>
      <c r="B7982" t="s">
        <v>904</v>
      </c>
      <c r="C7982" t="s">
        <v>3622</v>
      </c>
      <c r="D7982" t="s">
        <v>16233</v>
      </c>
      <c r="E7982" t="s">
        <v>23304</v>
      </c>
      <c r="F7982" t="s">
        <v>28198</v>
      </c>
      <c r="G7982" t="s">
        <v>28205</v>
      </c>
      <c r="H7982" t="s">
        <v>28215</v>
      </c>
      <c r="I7982" t="s">
        <v>28225</v>
      </c>
      <c r="J7982" t="s">
        <v>33360</v>
      </c>
      <c r="K7982" t="s">
        <v>36706</v>
      </c>
      <c r="M7982" t="s">
        <v>38008</v>
      </c>
      <c r="N7982" t="s">
        <v>40436</v>
      </c>
      <c r="O7982" t="s">
        <v>40437</v>
      </c>
      <c r="P7982">
        <v>0</v>
      </c>
      <c r="Q7982">
        <v>8</v>
      </c>
      <c r="R7982" t="s">
        <v>40445</v>
      </c>
      <c r="S7982" t="s">
        <v>40730</v>
      </c>
      <c r="T7982" t="s">
        <v>42138</v>
      </c>
      <c r="U7982" t="s">
        <v>49376</v>
      </c>
      <c r="W7982" t="s">
        <v>38008</v>
      </c>
      <c r="X7982" t="s">
        <v>40446</v>
      </c>
    </row>
    <row r="7983" spans="1:24">
      <c r="A7983">
        <f>HYPERLINK("https://www.philgeps.gov.ph/GEPSNONPILOT/Tender/SplashBidNoticeAbstractUI.aspx?menuIndex=3&amp;refID=7035421&amp;Result=3","7035421")</f>
        <v>0</v>
      </c>
      <c r="B7983" t="s">
        <v>1345</v>
      </c>
      <c r="C7983" t="s">
        <v>10685</v>
      </c>
      <c r="D7983" t="s">
        <v>16247</v>
      </c>
      <c r="E7983" t="s">
        <v>23305</v>
      </c>
      <c r="F7983" t="s">
        <v>28198</v>
      </c>
      <c r="G7983" t="s">
        <v>28205</v>
      </c>
      <c r="H7983" t="s">
        <v>28215</v>
      </c>
      <c r="I7983" t="s">
        <v>28224</v>
      </c>
      <c r="J7983" t="s">
        <v>33361</v>
      </c>
      <c r="K7983" t="s">
        <v>36688</v>
      </c>
      <c r="M7983" t="s">
        <v>38403</v>
      </c>
      <c r="N7983" t="s">
        <v>40436</v>
      </c>
      <c r="O7983" t="s">
        <v>40437</v>
      </c>
      <c r="P7983">
        <v>0</v>
      </c>
      <c r="Q7983">
        <v>1</v>
      </c>
      <c r="R7983" t="s">
        <v>40445</v>
      </c>
      <c r="S7983" t="s">
        <v>40730</v>
      </c>
      <c r="T7983" t="s">
        <v>42133</v>
      </c>
      <c r="U7983" t="s">
        <v>45667</v>
      </c>
      <c r="W7983" t="s">
        <v>38403</v>
      </c>
      <c r="X7983" t="s">
        <v>40446</v>
      </c>
    </row>
    <row r="7984" spans="1:24">
      <c r="A7984">
        <f>HYPERLINK("https://www.philgeps.gov.ph/GEPSNONPILOT/Tender/SplashBidNoticeAbstractUI.aspx?menuIndex=3&amp;refID=7035432&amp;Result=3","7035432")</f>
        <v>0</v>
      </c>
      <c r="B7984" t="s">
        <v>1858</v>
      </c>
      <c r="C7984" t="s">
        <v>10686</v>
      </c>
      <c r="D7984" t="s">
        <v>16210</v>
      </c>
      <c r="E7984" t="s">
        <v>23306</v>
      </c>
      <c r="F7984" t="s">
        <v>28198</v>
      </c>
      <c r="G7984" t="s">
        <v>28205</v>
      </c>
      <c r="H7984" t="s">
        <v>28215</v>
      </c>
      <c r="I7984" t="s">
        <v>5791</v>
      </c>
      <c r="J7984" t="s">
        <v>33362</v>
      </c>
      <c r="K7984" t="s">
        <v>36688</v>
      </c>
      <c r="M7984" t="s">
        <v>39573</v>
      </c>
      <c r="N7984" t="s">
        <v>40436</v>
      </c>
      <c r="O7984" t="s">
        <v>40437</v>
      </c>
      <c r="P7984">
        <v>0</v>
      </c>
      <c r="Q7984">
        <v>0</v>
      </c>
      <c r="R7984" t="s">
        <v>40445</v>
      </c>
      <c r="S7984" t="s">
        <v>40730</v>
      </c>
      <c r="T7984" t="s">
        <v>42346</v>
      </c>
      <c r="U7984" t="s">
        <v>48720</v>
      </c>
      <c r="W7984" t="s">
        <v>39573</v>
      </c>
      <c r="X7984" t="s">
        <v>40446</v>
      </c>
    </row>
    <row r="7985" spans="1:24">
      <c r="A7985">
        <f>HYPERLINK("https://www.philgeps.gov.ph/GEPSNONPILOT/Tender/SplashBidNoticeAbstractUI.aspx?menuIndex=3&amp;refID=7035436&amp;Result=3","7035436")</f>
        <v>0</v>
      </c>
      <c r="B7985" t="s">
        <v>1076</v>
      </c>
      <c r="C7985" t="s">
        <v>10687</v>
      </c>
      <c r="D7985" t="s">
        <v>16193</v>
      </c>
      <c r="E7985" t="s">
        <v>23307</v>
      </c>
      <c r="F7985" t="s">
        <v>28198</v>
      </c>
      <c r="G7985" t="s">
        <v>28205</v>
      </c>
      <c r="H7985" t="s">
        <v>28214</v>
      </c>
      <c r="I7985" t="s">
        <v>3797</v>
      </c>
      <c r="J7985" t="s">
        <v>28561</v>
      </c>
      <c r="K7985" t="s">
        <v>36689</v>
      </c>
      <c r="M7985" t="s">
        <v>38110</v>
      </c>
      <c r="N7985" t="s">
        <v>40436</v>
      </c>
      <c r="O7985" t="s">
        <v>40437</v>
      </c>
      <c r="P7985">
        <v>0</v>
      </c>
      <c r="Q7985">
        <v>1</v>
      </c>
      <c r="R7985" t="s">
        <v>40445</v>
      </c>
      <c r="S7985" t="s">
        <v>40730</v>
      </c>
      <c r="T7985" t="s">
        <v>42184</v>
      </c>
      <c r="U7985" t="s">
        <v>49377</v>
      </c>
      <c r="V7985" t="s">
        <v>53826</v>
      </c>
      <c r="W7985" t="s">
        <v>38110</v>
      </c>
      <c r="X7985" t="s">
        <v>40446</v>
      </c>
    </row>
    <row r="7986" spans="1:24">
      <c r="A7986">
        <f>HYPERLINK("https://www.philgeps.gov.ph/GEPSNONPILOT/Tender/SplashBidNoticeAbstractUI.aspx?menuIndex=3&amp;refID=7035470&amp;Result=3","7035470")</f>
        <v>0</v>
      </c>
      <c r="B7986" t="s">
        <v>2413</v>
      </c>
      <c r="C7986" t="s">
        <v>10688</v>
      </c>
      <c r="D7986" t="s">
        <v>16191</v>
      </c>
      <c r="E7986" t="s">
        <v>23308</v>
      </c>
      <c r="F7986" t="s">
        <v>28198</v>
      </c>
      <c r="G7986" t="s">
        <v>28205</v>
      </c>
      <c r="H7986" t="s">
        <v>28217</v>
      </c>
      <c r="I7986" t="s">
        <v>4200</v>
      </c>
      <c r="J7986" t="s">
        <v>33363</v>
      </c>
      <c r="K7986" t="s">
        <v>36694</v>
      </c>
      <c r="M7986" t="s">
        <v>39601</v>
      </c>
      <c r="N7986" t="s">
        <v>40436</v>
      </c>
      <c r="O7986" t="s">
        <v>40437</v>
      </c>
      <c r="P7986">
        <v>0</v>
      </c>
      <c r="Q7986">
        <v>2</v>
      </c>
      <c r="R7986" t="s">
        <v>40445</v>
      </c>
      <c r="S7986" t="s">
        <v>40730</v>
      </c>
      <c r="T7986" t="s">
        <v>42138</v>
      </c>
      <c r="U7986" t="s">
        <v>49378</v>
      </c>
      <c r="V7986" t="s">
        <v>54644</v>
      </c>
      <c r="W7986" t="s">
        <v>39601</v>
      </c>
      <c r="X7986" t="s">
        <v>40446</v>
      </c>
    </row>
    <row r="7987" spans="1:24">
      <c r="A7987">
        <f>HYPERLINK("https://www.philgeps.gov.ph/GEPSNONPILOT/Tender/SplashBidNoticeAbstractUI.aspx?menuIndex=3&amp;refID=7035440&amp;Result=3","7035440")</f>
        <v>0</v>
      </c>
      <c r="B7987" t="s">
        <v>2405</v>
      </c>
      <c r="C7987" t="s">
        <v>10689</v>
      </c>
      <c r="D7987" t="s">
        <v>16198</v>
      </c>
      <c r="E7987" t="s">
        <v>23309</v>
      </c>
      <c r="F7987" t="s">
        <v>28198</v>
      </c>
      <c r="G7987" t="s">
        <v>28205</v>
      </c>
      <c r="H7987" t="s">
        <v>28214</v>
      </c>
      <c r="I7987" t="s">
        <v>3797</v>
      </c>
      <c r="J7987" t="s">
        <v>33364</v>
      </c>
      <c r="K7987" t="s">
        <v>36694</v>
      </c>
      <c r="M7987" t="s">
        <v>39593</v>
      </c>
      <c r="N7987" t="s">
        <v>40436</v>
      </c>
      <c r="O7987" t="s">
        <v>40437</v>
      </c>
      <c r="P7987">
        <v>0</v>
      </c>
      <c r="Q7987">
        <v>0</v>
      </c>
      <c r="R7987" t="s">
        <v>40445</v>
      </c>
      <c r="S7987" t="s">
        <v>40730</v>
      </c>
      <c r="T7987" t="s">
        <v>42278</v>
      </c>
      <c r="U7987" t="s">
        <v>49379</v>
      </c>
      <c r="W7987" t="s">
        <v>39593</v>
      </c>
      <c r="X7987" t="s">
        <v>40446</v>
      </c>
    </row>
    <row r="7988" spans="1:24">
      <c r="A7988">
        <f>HYPERLINK("https://www.philgeps.gov.ph/GEPSNONPILOT/Tender/SplashBidNoticeAbstractUI.aspx?menuIndex=3&amp;refID=7035447&amp;Result=3","7035447")</f>
        <v>0</v>
      </c>
      <c r="B7988" t="s">
        <v>862</v>
      </c>
      <c r="C7988" t="s">
        <v>10690</v>
      </c>
      <c r="D7988" t="s">
        <v>16248</v>
      </c>
      <c r="E7988" t="s">
        <v>23310</v>
      </c>
      <c r="F7988" t="s">
        <v>28198</v>
      </c>
      <c r="G7988" t="s">
        <v>28205</v>
      </c>
      <c r="H7988" t="s">
        <v>28214</v>
      </c>
      <c r="I7988" t="s">
        <v>3797</v>
      </c>
      <c r="J7988" t="s">
        <v>33365</v>
      </c>
      <c r="K7988" t="s">
        <v>36777</v>
      </c>
      <c r="L7988" t="s">
        <v>862</v>
      </c>
      <c r="M7988" t="s">
        <v>37874</v>
      </c>
      <c r="N7988" t="s">
        <v>40436</v>
      </c>
      <c r="O7988" t="s">
        <v>40437</v>
      </c>
      <c r="P7988">
        <v>0</v>
      </c>
      <c r="Q7988">
        <v>0</v>
      </c>
      <c r="R7988" t="s">
        <v>40445</v>
      </c>
      <c r="S7988" t="s">
        <v>40730</v>
      </c>
      <c r="T7988" t="s">
        <v>42279</v>
      </c>
      <c r="U7988" t="s">
        <v>49380</v>
      </c>
      <c r="V7988" t="s">
        <v>54645</v>
      </c>
      <c r="W7988" t="s">
        <v>37874</v>
      </c>
      <c r="X7988" t="s">
        <v>40446</v>
      </c>
    </row>
    <row r="7989" spans="1:24">
      <c r="A7989">
        <f>HYPERLINK("https://www.philgeps.gov.ph/GEPSNONPILOT/Tender/SplashBidNoticeAbstractUI.aspx?menuIndex=3&amp;refID=7035448&amp;Result=3","7035448")</f>
        <v>0</v>
      </c>
      <c r="B7989" t="s">
        <v>1858</v>
      </c>
      <c r="C7989" t="s">
        <v>10691</v>
      </c>
      <c r="D7989" t="s">
        <v>16210</v>
      </c>
      <c r="E7989" t="s">
        <v>23311</v>
      </c>
      <c r="F7989" t="s">
        <v>28198</v>
      </c>
      <c r="G7989" t="s">
        <v>28205</v>
      </c>
      <c r="H7989" t="s">
        <v>28217</v>
      </c>
      <c r="I7989" t="s">
        <v>5631</v>
      </c>
      <c r="J7989" t="s">
        <v>28601</v>
      </c>
      <c r="K7989" t="s">
        <v>36688</v>
      </c>
      <c r="M7989" t="s">
        <v>39573</v>
      </c>
      <c r="N7989" t="s">
        <v>40436</v>
      </c>
      <c r="O7989" t="s">
        <v>40437</v>
      </c>
      <c r="P7989">
        <v>0</v>
      </c>
      <c r="Q7989">
        <v>0</v>
      </c>
      <c r="R7989" t="s">
        <v>40445</v>
      </c>
      <c r="S7989" t="s">
        <v>40730</v>
      </c>
      <c r="T7989" t="s">
        <v>42346</v>
      </c>
      <c r="U7989" t="s">
        <v>49381</v>
      </c>
      <c r="W7989" t="s">
        <v>39573</v>
      </c>
      <c r="X7989" t="s">
        <v>40446</v>
      </c>
    </row>
    <row r="7990" spans="1:24">
      <c r="A7990">
        <f>HYPERLINK("https://www.philgeps.gov.ph/GEPSNONPILOT/Tender/SplashBidNoticeAbstractUI.aspx?menuIndex=3&amp;refID=7035518&amp;Result=3","7035518")</f>
        <v>0</v>
      </c>
      <c r="B7990" t="s">
        <v>1249</v>
      </c>
      <c r="C7990" t="s">
        <v>10692</v>
      </c>
      <c r="D7990" t="s">
        <v>16202</v>
      </c>
      <c r="E7990" t="s">
        <v>18478</v>
      </c>
      <c r="F7990" t="s">
        <v>28198</v>
      </c>
      <c r="G7990" t="s">
        <v>28205</v>
      </c>
      <c r="H7990" t="s">
        <v>28215</v>
      </c>
      <c r="I7990" t="s">
        <v>5100</v>
      </c>
      <c r="J7990" t="s">
        <v>33366</v>
      </c>
      <c r="K7990" t="s">
        <v>36688</v>
      </c>
      <c r="M7990" t="s">
        <v>38299</v>
      </c>
      <c r="N7990" t="s">
        <v>40436</v>
      </c>
      <c r="O7990" t="s">
        <v>40437</v>
      </c>
      <c r="P7990">
        <v>0</v>
      </c>
      <c r="Q7990">
        <v>0</v>
      </c>
      <c r="R7990" t="s">
        <v>40445</v>
      </c>
      <c r="S7990" t="s">
        <v>40730</v>
      </c>
      <c r="T7990" t="s">
        <v>42189</v>
      </c>
      <c r="U7990" t="s">
        <v>49382</v>
      </c>
      <c r="W7990" t="s">
        <v>38299</v>
      </c>
      <c r="X7990" t="s">
        <v>40446</v>
      </c>
    </row>
    <row r="7991" spans="1:24">
      <c r="A7991">
        <f>HYPERLINK("https://www.philgeps.gov.ph/GEPSNONPILOT/Tender/SplashBidNoticeAbstractUI.aspx?menuIndex=3&amp;refID=7035511&amp;Result=3","7035511")</f>
        <v>0</v>
      </c>
      <c r="B7991" t="s">
        <v>2410</v>
      </c>
      <c r="C7991" t="s">
        <v>10693</v>
      </c>
      <c r="D7991" t="s">
        <v>16200</v>
      </c>
      <c r="E7991" t="s">
        <v>23298</v>
      </c>
      <c r="F7991" t="s">
        <v>28198</v>
      </c>
      <c r="G7991" t="s">
        <v>28205</v>
      </c>
      <c r="H7991" t="s">
        <v>28214</v>
      </c>
      <c r="I7991" t="s">
        <v>3797</v>
      </c>
      <c r="J7991" t="s">
        <v>33367</v>
      </c>
      <c r="K7991" t="s">
        <v>36694</v>
      </c>
      <c r="M7991" t="s">
        <v>39598</v>
      </c>
      <c r="N7991" t="s">
        <v>40436</v>
      </c>
      <c r="O7991" t="s">
        <v>40437</v>
      </c>
      <c r="P7991">
        <v>0</v>
      </c>
      <c r="Q7991">
        <v>1</v>
      </c>
      <c r="R7991" t="s">
        <v>40445</v>
      </c>
      <c r="S7991" t="s">
        <v>40730</v>
      </c>
      <c r="T7991" t="s">
        <v>42140</v>
      </c>
      <c r="U7991" t="s">
        <v>49383</v>
      </c>
      <c r="W7991" t="s">
        <v>39598</v>
      </c>
      <c r="X7991" t="s">
        <v>40446</v>
      </c>
    </row>
    <row r="7992" spans="1:24">
      <c r="A7992">
        <f>HYPERLINK("https://www.philgeps.gov.ph/GEPSNONPILOT/Tender/SplashBidNoticeAbstractUI.aspx?menuIndex=3&amp;refID=7035451&amp;Result=3","7035451")</f>
        <v>0</v>
      </c>
      <c r="B7992" t="s">
        <v>1345</v>
      </c>
      <c r="C7992" t="s">
        <v>10694</v>
      </c>
      <c r="D7992" t="s">
        <v>16247</v>
      </c>
      <c r="E7992" t="s">
        <v>23312</v>
      </c>
      <c r="F7992" t="s">
        <v>28198</v>
      </c>
      <c r="G7992" t="s">
        <v>28205</v>
      </c>
      <c r="H7992" t="s">
        <v>28215</v>
      </c>
      <c r="I7992" t="s">
        <v>28241</v>
      </c>
      <c r="J7992" t="s">
        <v>33368</v>
      </c>
      <c r="K7992" t="s">
        <v>36688</v>
      </c>
      <c r="M7992" t="s">
        <v>38403</v>
      </c>
      <c r="N7992" t="s">
        <v>40436</v>
      </c>
      <c r="O7992" t="s">
        <v>40437</v>
      </c>
      <c r="P7992">
        <v>0</v>
      </c>
      <c r="Q7992">
        <v>1</v>
      </c>
      <c r="R7992" t="s">
        <v>40445</v>
      </c>
      <c r="S7992" t="s">
        <v>40730</v>
      </c>
      <c r="T7992" t="s">
        <v>42133</v>
      </c>
      <c r="U7992" t="s">
        <v>45667</v>
      </c>
      <c r="W7992" t="s">
        <v>38403</v>
      </c>
      <c r="X7992" t="s">
        <v>40446</v>
      </c>
    </row>
    <row r="7993" spans="1:24">
      <c r="A7993">
        <f>HYPERLINK("https://www.philgeps.gov.ph/GEPSNONPILOT/Tender/SplashBidNoticeAbstractUI.aspx?menuIndex=3&amp;refID=7035464&amp;Result=3","7035464")</f>
        <v>0</v>
      </c>
      <c r="B7993" t="s">
        <v>1349</v>
      </c>
      <c r="C7993" t="s">
        <v>6465</v>
      </c>
      <c r="D7993" t="s">
        <v>16249</v>
      </c>
      <c r="E7993" t="s">
        <v>23313</v>
      </c>
      <c r="F7993" t="s">
        <v>28198</v>
      </c>
      <c r="G7993" t="s">
        <v>28205</v>
      </c>
      <c r="H7993" t="s">
        <v>28214</v>
      </c>
      <c r="I7993" t="s">
        <v>3797</v>
      </c>
      <c r="J7993" t="s">
        <v>29901</v>
      </c>
      <c r="K7993" t="s">
        <v>36688</v>
      </c>
      <c r="M7993" t="s">
        <v>38407</v>
      </c>
      <c r="N7993" t="s">
        <v>40436</v>
      </c>
      <c r="O7993" t="s">
        <v>40437</v>
      </c>
      <c r="P7993">
        <v>0</v>
      </c>
      <c r="Q7993">
        <v>1</v>
      </c>
      <c r="R7993" t="s">
        <v>40445</v>
      </c>
      <c r="S7993" t="s">
        <v>40730</v>
      </c>
      <c r="T7993" t="s">
        <v>42233</v>
      </c>
      <c r="U7993" t="s">
        <v>49384</v>
      </c>
      <c r="V7993" t="s">
        <v>54646</v>
      </c>
      <c r="W7993" t="s">
        <v>38407</v>
      </c>
      <c r="X7993" t="s">
        <v>40446</v>
      </c>
    </row>
    <row r="7994" spans="1:24">
      <c r="A7994">
        <f>HYPERLINK("https://www.philgeps.gov.ph/GEPSNONPILOT/Tender/SplashBidNoticeAbstractUI.aspx?menuIndex=3&amp;refID=7035509&amp;Result=3","7035509")</f>
        <v>0</v>
      </c>
      <c r="B7994" t="s">
        <v>256</v>
      </c>
      <c r="C7994" t="s">
        <v>10695</v>
      </c>
      <c r="D7994" t="s">
        <v>16206</v>
      </c>
      <c r="E7994" t="s">
        <v>23314</v>
      </c>
      <c r="F7994" t="s">
        <v>28198</v>
      </c>
      <c r="G7994" t="s">
        <v>28205</v>
      </c>
      <c r="H7994" t="s">
        <v>28214</v>
      </c>
      <c r="I7994" t="s">
        <v>3797</v>
      </c>
      <c r="J7994" t="s">
        <v>33369</v>
      </c>
      <c r="K7994" t="s">
        <v>36695</v>
      </c>
      <c r="M7994" t="s">
        <v>39602</v>
      </c>
      <c r="N7994" t="s">
        <v>40436</v>
      </c>
      <c r="O7994" t="s">
        <v>40437</v>
      </c>
      <c r="P7994">
        <v>0</v>
      </c>
      <c r="Q7994">
        <v>1</v>
      </c>
      <c r="R7994" t="s">
        <v>40445</v>
      </c>
      <c r="S7994" t="s">
        <v>40730</v>
      </c>
      <c r="T7994" t="s">
        <v>42278</v>
      </c>
      <c r="U7994" t="s">
        <v>49385</v>
      </c>
      <c r="W7994" t="s">
        <v>39602</v>
      </c>
      <c r="X7994" t="s">
        <v>40446</v>
      </c>
    </row>
    <row r="7995" spans="1:24">
      <c r="A7995">
        <f>HYPERLINK("https://www.philgeps.gov.ph/GEPSNONPILOT/Tender/SplashBidNoticeAbstractUI.aspx?menuIndex=3&amp;refID=7035502&amp;Result=3","7035502")</f>
        <v>0</v>
      </c>
      <c r="B7995" t="s">
        <v>1858</v>
      </c>
      <c r="C7995" t="s">
        <v>10696</v>
      </c>
      <c r="D7995" t="s">
        <v>16210</v>
      </c>
      <c r="E7995" t="s">
        <v>23315</v>
      </c>
      <c r="F7995" t="s">
        <v>28198</v>
      </c>
      <c r="G7995" t="s">
        <v>28205</v>
      </c>
      <c r="H7995" t="s">
        <v>28217</v>
      </c>
      <c r="I7995" t="s">
        <v>28237</v>
      </c>
      <c r="J7995" t="s">
        <v>28378</v>
      </c>
      <c r="K7995" t="s">
        <v>36688</v>
      </c>
      <c r="M7995" t="s">
        <v>39573</v>
      </c>
      <c r="N7995" t="s">
        <v>40436</v>
      </c>
      <c r="O7995" t="s">
        <v>40437</v>
      </c>
      <c r="P7995">
        <v>0</v>
      </c>
      <c r="Q7995">
        <v>0</v>
      </c>
      <c r="R7995" t="s">
        <v>40445</v>
      </c>
      <c r="S7995" t="s">
        <v>40730</v>
      </c>
      <c r="T7995" t="s">
        <v>42346</v>
      </c>
      <c r="U7995" t="s">
        <v>49386</v>
      </c>
      <c r="W7995" t="s">
        <v>39573</v>
      </c>
      <c r="X7995" t="s">
        <v>40446</v>
      </c>
    </row>
    <row r="7996" spans="1:24">
      <c r="A7996">
        <f>HYPERLINK("https://www.philgeps.gov.ph/GEPSNONPILOT/Tender/SplashBidNoticeAbstractUI.aspx?menuIndex=3&amp;refID=7035484&amp;Result=3","7035484")</f>
        <v>0</v>
      </c>
      <c r="B7996" t="s">
        <v>1858</v>
      </c>
      <c r="C7996" t="s">
        <v>10697</v>
      </c>
      <c r="D7996" t="s">
        <v>16210</v>
      </c>
      <c r="E7996" t="s">
        <v>23316</v>
      </c>
      <c r="F7996" t="s">
        <v>28198</v>
      </c>
      <c r="G7996" t="s">
        <v>28205</v>
      </c>
      <c r="H7996" t="s">
        <v>28217</v>
      </c>
      <c r="I7996" t="s">
        <v>28237</v>
      </c>
      <c r="J7996" t="s">
        <v>28378</v>
      </c>
      <c r="K7996" t="s">
        <v>36688</v>
      </c>
      <c r="M7996" t="s">
        <v>39573</v>
      </c>
      <c r="N7996" t="s">
        <v>40436</v>
      </c>
      <c r="O7996" t="s">
        <v>40437</v>
      </c>
      <c r="P7996">
        <v>0</v>
      </c>
      <c r="Q7996">
        <v>1</v>
      </c>
      <c r="R7996" t="s">
        <v>40445</v>
      </c>
      <c r="S7996" t="s">
        <v>40730</v>
      </c>
      <c r="T7996" t="s">
        <v>42346</v>
      </c>
      <c r="U7996" t="s">
        <v>49386</v>
      </c>
      <c r="W7996" t="s">
        <v>39573</v>
      </c>
      <c r="X7996" t="s">
        <v>40446</v>
      </c>
    </row>
    <row r="7997" spans="1:24">
      <c r="A7997">
        <f>HYPERLINK("https://www.philgeps.gov.ph/GEPSNONPILOT/Tender/SplashBidNoticeAbstractUI.aspx?menuIndex=3&amp;refID=7035469&amp;Result=3","7035469")</f>
        <v>0</v>
      </c>
      <c r="B7997" t="s">
        <v>755</v>
      </c>
      <c r="C7997" t="s">
        <v>10698</v>
      </c>
      <c r="D7997" t="s">
        <v>16200</v>
      </c>
      <c r="E7997" t="s">
        <v>23317</v>
      </c>
      <c r="F7997" t="s">
        <v>28198</v>
      </c>
      <c r="G7997" t="s">
        <v>28205</v>
      </c>
      <c r="H7997" t="s">
        <v>28214</v>
      </c>
      <c r="I7997" t="s">
        <v>3797</v>
      </c>
      <c r="J7997" t="s">
        <v>33370</v>
      </c>
      <c r="K7997" t="s">
        <v>36701</v>
      </c>
      <c r="M7997" t="s">
        <v>37758</v>
      </c>
      <c r="N7997" t="s">
        <v>40436</v>
      </c>
      <c r="O7997" t="s">
        <v>40437</v>
      </c>
      <c r="P7997">
        <v>0</v>
      </c>
      <c r="Q7997">
        <v>1</v>
      </c>
      <c r="R7997" t="s">
        <v>40445</v>
      </c>
      <c r="S7997" t="s">
        <v>40730</v>
      </c>
      <c r="T7997" t="s">
        <v>42277</v>
      </c>
      <c r="U7997" t="s">
        <v>44043</v>
      </c>
      <c r="W7997" t="s">
        <v>37758</v>
      </c>
      <c r="X7997" t="s">
        <v>40446</v>
      </c>
    </row>
    <row r="7998" spans="1:24">
      <c r="A7998">
        <f>HYPERLINK("https://www.philgeps.gov.ph/GEPSNONPILOT/Tender/SplashBidNoticeAbstractUI.aspx?menuIndex=3&amp;refID=7035504&amp;Result=3","7035504")</f>
        <v>0</v>
      </c>
      <c r="B7998" t="s">
        <v>2405</v>
      </c>
      <c r="C7998" t="s">
        <v>10699</v>
      </c>
      <c r="D7998" t="s">
        <v>16198</v>
      </c>
      <c r="E7998" t="s">
        <v>23318</v>
      </c>
      <c r="F7998" t="s">
        <v>28198</v>
      </c>
      <c r="G7998" t="s">
        <v>28205</v>
      </c>
      <c r="H7998" t="s">
        <v>28215</v>
      </c>
      <c r="I7998" t="s">
        <v>5100</v>
      </c>
      <c r="J7998" t="s">
        <v>33371</v>
      </c>
      <c r="K7998" t="s">
        <v>36688</v>
      </c>
      <c r="M7998" t="s">
        <v>39593</v>
      </c>
      <c r="N7998" t="s">
        <v>40436</v>
      </c>
      <c r="O7998" t="s">
        <v>40437</v>
      </c>
      <c r="P7998">
        <v>0</v>
      </c>
      <c r="Q7998">
        <v>0</v>
      </c>
      <c r="R7998" t="s">
        <v>40445</v>
      </c>
      <c r="S7998" t="s">
        <v>40730</v>
      </c>
      <c r="T7998" t="s">
        <v>42278</v>
      </c>
      <c r="U7998" t="s">
        <v>49387</v>
      </c>
      <c r="W7998" t="s">
        <v>39593</v>
      </c>
      <c r="X7998" t="s">
        <v>40446</v>
      </c>
    </row>
    <row r="7999" spans="1:24">
      <c r="A7999">
        <f>HYPERLINK("https://www.philgeps.gov.ph/GEPSNONPILOT/Tender/SplashBidNoticeAbstractUI.aspx?menuIndex=3&amp;refID=7035479&amp;Result=3","7035479")</f>
        <v>0</v>
      </c>
      <c r="B7999" t="s">
        <v>34</v>
      </c>
      <c r="C7999" t="s">
        <v>10700</v>
      </c>
      <c r="D7999" t="s">
        <v>16195</v>
      </c>
      <c r="E7999" t="s">
        <v>23319</v>
      </c>
      <c r="F7999" t="s">
        <v>28198</v>
      </c>
      <c r="G7999" t="s">
        <v>28205</v>
      </c>
      <c r="H7999" t="s">
        <v>28215</v>
      </c>
      <c r="I7999" t="s">
        <v>3774</v>
      </c>
      <c r="J7999" t="s">
        <v>28414</v>
      </c>
      <c r="K7999" t="s">
        <v>36696</v>
      </c>
      <c r="M7999" t="s">
        <v>37550</v>
      </c>
      <c r="N7999" t="s">
        <v>40436</v>
      </c>
      <c r="O7999" t="s">
        <v>40437</v>
      </c>
      <c r="P7999">
        <v>0</v>
      </c>
      <c r="Q7999">
        <v>0</v>
      </c>
      <c r="R7999" t="s">
        <v>40445</v>
      </c>
      <c r="S7999" t="s">
        <v>40730</v>
      </c>
      <c r="T7999" t="s">
        <v>42190</v>
      </c>
      <c r="U7999" t="s">
        <v>49388</v>
      </c>
      <c r="V7999" t="s">
        <v>53826</v>
      </c>
      <c r="W7999" t="s">
        <v>37550</v>
      </c>
      <c r="X7999" t="s">
        <v>40446</v>
      </c>
    </row>
    <row r="8000" spans="1:24">
      <c r="A8000">
        <f>HYPERLINK("https://www.philgeps.gov.ph/GEPSNONPILOT/Tender/SplashBidNoticeAbstractUI.aspx?menuIndex=3&amp;refID=7035466&amp;Result=3","7035466")</f>
        <v>0</v>
      </c>
      <c r="B8000" t="s">
        <v>1858</v>
      </c>
      <c r="C8000" t="s">
        <v>10701</v>
      </c>
      <c r="D8000" t="s">
        <v>16210</v>
      </c>
      <c r="E8000" t="s">
        <v>23320</v>
      </c>
      <c r="F8000" t="s">
        <v>28198</v>
      </c>
      <c r="G8000" t="s">
        <v>28205</v>
      </c>
      <c r="H8000" t="s">
        <v>28217</v>
      </c>
      <c r="I8000" t="s">
        <v>5631</v>
      </c>
      <c r="J8000" t="s">
        <v>28884</v>
      </c>
      <c r="K8000" t="s">
        <v>36688</v>
      </c>
      <c r="M8000" t="s">
        <v>39573</v>
      </c>
      <c r="N8000" t="s">
        <v>40436</v>
      </c>
      <c r="O8000" t="s">
        <v>40437</v>
      </c>
      <c r="P8000">
        <v>0</v>
      </c>
      <c r="Q8000">
        <v>0</v>
      </c>
      <c r="R8000" t="s">
        <v>40445</v>
      </c>
      <c r="S8000" t="s">
        <v>40730</v>
      </c>
      <c r="T8000" t="s">
        <v>42346</v>
      </c>
      <c r="U8000" t="s">
        <v>49389</v>
      </c>
      <c r="W8000" t="s">
        <v>39573</v>
      </c>
      <c r="X8000" t="s">
        <v>40446</v>
      </c>
    </row>
    <row r="8001" spans="1:24">
      <c r="A8001">
        <f>HYPERLINK("https://www.philgeps.gov.ph/GEPSNONPILOT/Tender/SplashBidNoticeAbstractUI.aspx?menuIndex=3&amp;refID=7035472&amp;Result=3","7035472")</f>
        <v>0</v>
      </c>
      <c r="B8001" t="s">
        <v>1345</v>
      </c>
      <c r="C8001" t="s">
        <v>10702</v>
      </c>
      <c r="D8001" t="s">
        <v>16247</v>
      </c>
      <c r="E8001" t="s">
        <v>23321</v>
      </c>
      <c r="F8001" t="s">
        <v>28198</v>
      </c>
      <c r="G8001" t="s">
        <v>28205</v>
      </c>
      <c r="H8001" t="s">
        <v>28217</v>
      </c>
      <c r="I8001" t="s">
        <v>28234</v>
      </c>
      <c r="J8001" t="s">
        <v>29620</v>
      </c>
      <c r="K8001" t="s">
        <v>36688</v>
      </c>
      <c r="M8001" t="s">
        <v>38403</v>
      </c>
      <c r="N8001" t="s">
        <v>40436</v>
      </c>
      <c r="O8001" t="s">
        <v>40437</v>
      </c>
      <c r="P8001">
        <v>0</v>
      </c>
      <c r="Q8001">
        <v>2</v>
      </c>
      <c r="R8001" t="s">
        <v>40445</v>
      </c>
      <c r="S8001" t="s">
        <v>40730</v>
      </c>
      <c r="T8001" t="s">
        <v>42133</v>
      </c>
      <c r="U8001" t="s">
        <v>45667</v>
      </c>
      <c r="W8001" t="s">
        <v>38403</v>
      </c>
      <c r="X8001" t="s">
        <v>40446</v>
      </c>
    </row>
    <row r="8002" spans="1:24">
      <c r="A8002">
        <f>HYPERLINK("https://www.philgeps.gov.ph/GEPSNONPILOT/Tender/SplashBidNoticeAbstractUI.aspx?menuIndex=3&amp;refID=7035473&amp;Result=3","7035473")</f>
        <v>0</v>
      </c>
      <c r="B8002" t="s">
        <v>2405</v>
      </c>
      <c r="C8002" t="s">
        <v>10703</v>
      </c>
      <c r="D8002" t="s">
        <v>16198</v>
      </c>
      <c r="E8002" t="s">
        <v>23322</v>
      </c>
      <c r="F8002" t="s">
        <v>28198</v>
      </c>
      <c r="G8002" t="s">
        <v>28205</v>
      </c>
      <c r="H8002" t="s">
        <v>28214</v>
      </c>
      <c r="I8002" t="s">
        <v>3797</v>
      </c>
      <c r="J8002" t="s">
        <v>29324</v>
      </c>
      <c r="K8002" t="s">
        <v>36706</v>
      </c>
      <c r="M8002" t="s">
        <v>39593</v>
      </c>
      <c r="N8002" t="s">
        <v>40436</v>
      </c>
      <c r="O8002" t="s">
        <v>40437</v>
      </c>
      <c r="P8002">
        <v>0</v>
      </c>
      <c r="Q8002">
        <v>0</v>
      </c>
      <c r="R8002" t="s">
        <v>40445</v>
      </c>
      <c r="S8002" t="s">
        <v>40730</v>
      </c>
      <c r="T8002" t="s">
        <v>42278</v>
      </c>
      <c r="U8002" t="s">
        <v>49390</v>
      </c>
      <c r="W8002" t="s">
        <v>39593</v>
      </c>
      <c r="X8002" t="s">
        <v>40446</v>
      </c>
    </row>
    <row r="8003" spans="1:24">
      <c r="A8003">
        <f>HYPERLINK("https://www.philgeps.gov.ph/GEPSNONPILOT/Tender/SplashBidNoticeAbstractUI.aspx?menuIndex=3&amp;refID=7035471&amp;Result=3","7035471")</f>
        <v>0</v>
      </c>
      <c r="B8003" t="s">
        <v>2414</v>
      </c>
      <c r="C8003" t="s">
        <v>10704</v>
      </c>
      <c r="D8003" t="s">
        <v>16213</v>
      </c>
      <c r="E8003" t="s">
        <v>23323</v>
      </c>
      <c r="F8003" t="s">
        <v>28198</v>
      </c>
      <c r="G8003" t="s">
        <v>28205</v>
      </c>
      <c r="H8003" t="s">
        <v>28215</v>
      </c>
      <c r="I8003" t="s">
        <v>4168</v>
      </c>
      <c r="J8003" t="s">
        <v>33372</v>
      </c>
      <c r="K8003" t="s">
        <v>36701</v>
      </c>
      <c r="M8003" t="s">
        <v>39603</v>
      </c>
      <c r="N8003" t="s">
        <v>40436</v>
      </c>
      <c r="O8003" t="s">
        <v>40437</v>
      </c>
      <c r="Q8003">
        <v>5</v>
      </c>
      <c r="R8003" t="s">
        <v>40445</v>
      </c>
      <c r="S8003" t="s">
        <v>40736</v>
      </c>
      <c r="T8003" t="s">
        <v>42192</v>
      </c>
      <c r="U8003" t="s">
        <v>49391</v>
      </c>
      <c r="V8003" t="s">
        <v>54647</v>
      </c>
      <c r="W8003" t="s">
        <v>39603</v>
      </c>
      <c r="X8003" t="s">
        <v>40446</v>
      </c>
    </row>
    <row r="8004" spans="1:24">
      <c r="A8004">
        <f>HYPERLINK("https://www.philgeps.gov.ph/GEPSNONPILOT/Tender/SplashBidNoticeAbstractUI.aspx?menuIndex=3&amp;refID=7035526&amp;Result=3","7035526")</f>
        <v>0</v>
      </c>
      <c r="B8004" t="s">
        <v>2415</v>
      </c>
      <c r="C8004" t="s">
        <v>10705</v>
      </c>
      <c r="D8004" t="s">
        <v>16266</v>
      </c>
      <c r="E8004" t="s">
        <v>23324</v>
      </c>
      <c r="F8004" t="s">
        <v>28198</v>
      </c>
      <c r="G8004" t="s">
        <v>28205</v>
      </c>
      <c r="H8004" t="s">
        <v>28215</v>
      </c>
      <c r="I8004" t="s">
        <v>4222</v>
      </c>
      <c r="J8004" t="s">
        <v>33373</v>
      </c>
      <c r="K8004" t="s">
        <v>36706</v>
      </c>
      <c r="L8004" t="s">
        <v>2415</v>
      </c>
      <c r="M8004" t="s">
        <v>39604</v>
      </c>
      <c r="N8004" t="s">
        <v>40436</v>
      </c>
      <c r="O8004" t="s">
        <v>40437</v>
      </c>
      <c r="P8004">
        <v>0</v>
      </c>
      <c r="Q8004">
        <v>0</v>
      </c>
      <c r="R8004" t="s">
        <v>40445</v>
      </c>
      <c r="S8004" t="s">
        <v>40730</v>
      </c>
      <c r="T8004" t="s">
        <v>42134</v>
      </c>
      <c r="U8004" t="s">
        <v>49392</v>
      </c>
      <c r="W8004" t="s">
        <v>39604</v>
      </c>
      <c r="X8004" t="s">
        <v>40446</v>
      </c>
    </row>
    <row r="8005" spans="1:24">
      <c r="A8005">
        <f>HYPERLINK("https://www.philgeps.gov.ph/GEPSNONPILOT/Tender/SplashBidNoticeAbstractUI.aspx?menuIndex=3&amp;refID=7035494&amp;Result=3","7035494")</f>
        <v>0</v>
      </c>
      <c r="B8005" t="s">
        <v>1858</v>
      </c>
      <c r="C8005" t="s">
        <v>10706</v>
      </c>
      <c r="D8005" t="s">
        <v>16210</v>
      </c>
      <c r="E8005" t="s">
        <v>23325</v>
      </c>
      <c r="F8005" t="s">
        <v>28198</v>
      </c>
      <c r="G8005" t="s">
        <v>28205</v>
      </c>
      <c r="H8005" t="s">
        <v>28217</v>
      </c>
      <c r="I8005" t="s">
        <v>28237</v>
      </c>
      <c r="J8005" t="s">
        <v>28589</v>
      </c>
      <c r="K8005" t="s">
        <v>36688</v>
      </c>
      <c r="M8005" t="s">
        <v>39573</v>
      </c>
      <c r="N8005" t="s">
        <v>40436</v>
      </c>
      <c r="O8005" t="s">
        <v>40437</v>
      </c>
      <c r="P8005">
        <v>0</v>
      </c>
      <c r="Q8005">
        <v>0</v>
      </c>
      <c r="R8005" t="s">
        <v>40445</v>
      </c>
      <c r="S8005" t="s">
        <v>40730</v>
      </c>
      <c r="T8005" t="s">
        <v>42346</v>
      </c>
      <c r="U8005" t="s">
        <v>49386</v>
      </c>
      <c r="W8005" t="s">
        <v>39573</v>
      </c>
      <c r="X8005" t="s">
        <v>40446</v>
      </c>
    </row>
    <row r="8006" spans="1:24">
      <c r="A8006">
        <f>HYPERLINK("https://www.philgeps.gov.ph/GEPSNONPILOT/Tender/SplashBidNoticeAbstractUI.aspx?menuIndex=3&amp;refID=7035544&amp;Result=3","7035544")</f>
        <v>0</v>
      </c>
      <c r="B8006" t="s">
        <v>1858</v>
      </c>
      <c r="C8006" t="s">
        <v>10707</v>
      </c>
      <c r="D8006" t="s">
        <v>16210</v>
      </c>
      <c r="E8006" t="s">
        <v>23326</v>
      </c>
      <c r="F8006" t="s">
        <v>28198</v>
      </c>
      <c r="G8006" t="s">
        <v>28205</v>
      </c>
      <c r="H8006" t="s">
        <v>28217</v>
      </c>
      <c r="I8006" t="s">
        <v>28237</v>
      </c>
      <c r="J8006" t="s">
        <v>28687</v>
      </c>
      <c r="K8006" t="s">
        <v>36688</v>
      </c>
      <c r="M8006" t="s">
        <v>39573</v>
      </c>
      <c r="N8006" t="s">
        <v>40436</v>
      </c>
      <c r="O8006" t="s">
        <v>40437</v>
      </c>
      <c r="P8006">
        <v>0</v>
      </c>
      <c r="Q8006">
        <v>0</v>
      </c>
      <c r="R8006" t="s">
        <v>40445</v>
      </c>
      <c r="S8006" t="s">
        <v>40730</v>
      </c>
      <c r="T8006" t="s">
        <v>42346</v>
      </c>
      <c r="U8006" t="s">
        <v>49386</v>
      </c>
      <c r="W8006" t="s">
        <v>39573</v>
      </c>
      <c r="X8006" t="s">
        <v>40446</v>
      </c>
    </row>
    <row r="8007" spans="1:24">
      <c r="A8007">
        <f>HYPERLINK("https://www.philgeps.gov.ph/GEPSNONPILOT/Tender/SplashBidNoticeAbstractUI.aspx?menuIndex=3&amp;refID=7035530&amp;Result=3","7035530")</f>
        <v>0</v>
      </c>
      <c r="B8007" t="s">
        <v>2416</v>
      </c>
      <c r="C8007" t="s">
        <v>10708</v>
      </c>
      <c r="D8007" t="s">
        <v>16191</v>
      </c>
      <c r="E8007" t="s">
        <v>23327</v>
      </c>
      <c r="F8007" t="s">
        <v>28198</v>
      </c>
      <c r="G8007" t="s">
        <v>28205</v>
      </c>
      <c r="H8007" t="s">
        <v>28215</v>
      </c>
      <c r="I8007" t="s">
        <v>7310</v>
      </c>
      <c r="J8007" t="s">
        <v>33374</v>
      </c>
      <c r="K8007" t="s">
        <v>36701</v>
      </c>
      <c r="M8007" t="s">
        <v>36997</v>
      </c>
      <c r="N8007" t="s">
        <v>40436</v>
      </c>
      <c r="O8007" t="s">
        <v>40437</v>
      </c>
      <c r="P8007">
        <v>0</v>
      </c>
      <c r="Q8007">
        <v>5</v>
      </c>
      <c r="R8007" t="s">
        <v>40445</v>
      </c>
      <c r="S8007" t="s">
        <v>40730</v>
      </c>
      <c r="T8007" t="s">
        <v>42234</v>
      </c>
      <c r="U8007" t="s">
        <v>49393</v>
      </c>
      <c r="V8007" t="s">
        <v>54648</v>
      </c>
      <c r="W8007" t="s">
        <v>36997</v>
      </c>
      <c r="X8007" t="s">
        <v>40446</v>
      </c>
    </row>
    <row r="8008" spans="1:24">
      <c r="A8008">
        <f>HYPERLINK("https://www.philgeps.gov.ph/GEPSNONPILOT/Tender/SplashBidNoticeAbstractUI.aspx?menuIndex=3&amp;refID=7035538&amp;Result=3","7035538")</f>
        <v>0</v>
      </c>
      <c r="B8008" t="s">
        <v>802</v>
      </c>
      <c r="C8008" t="s">
        <v>10709</v>
      </c>
      <c r="D8008" t="s">
        <v>16235</v>
      </c>
      <c r="E8008" t="s">
        <v>23328</v>
      </c>
      <c r="F8008" t="s">
        <v>28198</v>
      </c>
      <c r="G8008" t="s">
        <v>28205</v>
      </c>
      <c r="H8008" t="s">
        <v>28214</v>
      </c>
      <c r="I8008" t="s">
        <v>3797</v>
      </c>
      <c r="J8008" t="s">
        <v>33375</v>
      </c>
      <c r="K8008" t="s">
        <v>36868</v>
      </c>
      <c r="M8008" t="s">
        <v>37809</v>
      </c>
      <c r="N8008" t="s">
        <v>40436</v>
      </c>
      <c r="O8008" t="s">
        <v>40437</v>
      </c>
      <c r="Q8008">
        <v>0</v>
      </c>
      <c r="R8008" t="s">
        <v>40445</v>
      </c>
      <c r="S8008" t="s">
        <v>40737</v>
      </c>
      <c r="T8008" t="s">
        <v>42426</v>
      </c>
      <c r="U8008" t="s">
        <v>49394</v>
      </c>
      <c r="W8008" t="s">
        <v>37809</v>
      </c>
      <c r="X8008" t="s">
        <v>40446</v>
      </c>
    </row>
    <row r="8009" spans="1:24">
      <c r="A8009">
        <f>HYPERLINK("https://www.philgeps.gov.ph/GEPSNONPILOT/Tender/SplashBidNoticeAbstractUI.aspx?menuIndex=3&amp;refID=7035583&amp;Result=3","7035583")</f>
        <v>0</v>
      </c>
      <c r="B8009" t="s">
        <v>258</v>
      </c>
      <c r="C8009" t="s">
        <v>10710</v>
      </c>
      <c r="D8009" t="s">
        <v>16256</v>
      </c>
      <c r="E8009" t="s">
        <v>23329</v>
      </c>
      <c r="F8009" t="s">
        <v>28198</v>
      </c>
      <c r="G8009" t="s">
        <v>28205</v>
      </c>
      <c r="H8009" t="s">
        <v>28215</v>
      </c>
      <c r="I8009" t="s">
        <v>8888</v>
      </c>
      <c r="J8009" t="s">
        <v>33376</v>
      </c>
      <c r="K8009" t="s">
        <v>36688</v>
      </c>
      <c r="M8009" t="s">
        <v>37234</v>
      </c>
      <c r="N8009" t="s">
        <v>40436</v>
      </c>
      <c r="O8009" t="s">
        <v>40437</v>
      </c>
      <c r="P8009">
        <v>0</v>
      </c>
      <c r="Q8009">
        <v>4</v>
      </c>
      <c r="R8009" t="s">
        <v>40445</v>
      </c>
      <c r="S8009" t="s">
        <v>40730</v>
      </c>
      <c r="T8009" t="s">
        <v>42138</v>
      </c>
      <c r="U8009" t="s">
        <v>49395</v>
      </c>
      <c r="W8009" t="s">
        <v>37234</v>
      </c>
      <c r="X8009" t="s">
        <v>40446</v>
      </c>
    </row>
    <row r="8010" spans="1:24">
      <c r="A8010">
        <f>HYPERLINK("https://www.philgeps.gov.ph/GEPSNONPILOT/Tender/SplashBidNoticeAbstractUI.aspx?menuIndex=3&amp;refID=7035543&amp;Result=3","7035543")</f>
        <v>0</v>
      </c>
      <c r="B8010" t="s">
        <v>2410</v>
      </c>
      <c r="C8010" t="s">
        <v>10711</v>
      </c>
      <c r="D8010" t="s">
        <v>16200</v>
      </c>
      <c r="E8010" t="s">
        <v>23298</v>
      </c>
      <c r="F8010" t="s">
        <v>28198</v>
      </c>
      <c r="G8010" t="s">
        <v>28205</v>
      </c>
      <c r="H8010" t="s">
        <v>28214</v>
      </c>
      <c r="I8010" t="s">
        <v>3797</v>
      </c>
      <c r="J8010" t="s">
        <v>33355</v>
      </c>
      <c r="K8010" t="s">
        <v>36711</v>
      </c>
      <c r="M8010" t="s">
        <v>39598</v>
      </c>
      <c r="N8010" t="s">
        <v>40436</v>
      </c>
      <c r="O8010" t="s">
        <v>40437</v>
      </c>
      <c r="P8010">
        <v>0</v>
      </c>
      <c r="Q8010">
        <v>1</v>
      </c>
      <c r="R8010" t="s">
        <v>40445</v>
      </c>
      <c r="S8010" t="s">
        <v>40730</v>
      </c>
      <c r="T8010" t="s">
        <v>42140</v>
      </c>
      <c r="U8010" t="s">
        <v>49396</v>
      </c>
      <c r="W8010" t="s">
        <v>39598</v>
      </c>
      <c r="X8010" t="s">
        <v>40446</v>
      </c>
    </row>
    <row r="8011" spans="1:24">
      <c r="A8011">
        <f>HYPERLINK("https://www.philgeps.gov.ph/GEPSNONPILOT/Tender/SplashBidNoticeAbstractUI.aspx?menuIndex=3&amp;refID=7035535&amp;Result=3","7035535")</f>
        <v>0</v>
      </c>
      <c r="B8011" t="s">
        <v>1858</v>
      </c>
      <c r="C8011" t="s">
        <v>10712</v>
      </c>
      <c r="D8011" t="s">
        <v>16210</v>
      </c>
      <c r="E8011" t="s">
        <v>23330</v>
      </c>
      <c r="F8011" t="s">
        <v>28198</v>
      </c>
      <c r="G8011" t="s">
        <v>28205</v>
      </c>
      <c r="H8011" t="s">
        <v>28217</v>
      </c>
      <c r="I8011" t="s">
        <v>28237</v>
      </c>
      <c r="J8011" t="s">
        <v>33377</v>
      </c>
      <c r="K8011" t="s">
        <v>36688</v>
      </c>
      <c r="M8011" t="s">
        <v>39573</v>
      </c>
      <c r="N8011" t="s">
        <v>40436</v>
      </c>
      <c r="O8011" t="s">
        <v>40437</v>
      </c>
      <c r="P8011">
        <v>0</v>
      </c>
      <c r="Q8011">
        <v>0</v>
      </c>
      <c r="R8011" t="s">
        <v>40445</v>
      </c>
      <c r="S8011" t="s">
        <v>40730</v>
      </c>
      <c r="T8011" t="s">
        <v>42346</v>
      </c>
      <c r="U8011" t="s">
        <v>49386</v>
      </c>
      <c r="W8011" t="s">
        <v>39573</v>
      </c>
      <c r="X8011" t="s">
        <v>40446</v>
      </c>
    </row>
    <row r="8012" spans="1:24">
      <c r="A8012">
        <f>HYPERLINK("https://www.philgeps.gov.ph/GEPSNONPILOT/Tender/SplashBidNoticeAbstractUI.aspx?menuIndex=3&amp;refID=7035574&amp;Result=3","7035574")</f>
        <v>0</v>
      </c>
      <c r="B8012" t="s">
        <v>2417</v>
      </c>
      <c r="C8012" t="s">
        <v>10713</v>
      </c>
      <c r="D8012" t="s">
        <v>16240</v>
      </c>
      <c r="E8012" t="s">
        <v>23331</v>
      </c>
      <c r="F8012" t="s">
        <v>28198</v>
      </c>
      <c r="G8012" t="s">
        <v>28207</v>
      </c>
      <c r="H8012" t="s">
        <v>28215</v>
      </c>
      <c r="I8012" t="s">
        <v>5071</v>
      </c>
      <c r="J8012" t="s">
        <v>33378</v>
      </c>
      <c r="K8012" t="s">
        <v>36707</v>
      </c>
      <c r="M8012" t="s">
        <v>39605</v>
      </c>
      <c r="N8012" t="s">
        <v>40436</v>
      </c>
      <c r="O8012" t="s">
        <v>40437</v>
      </c>
      <c r="P8012">
        <v>0</v>
      </c>
      <c r="Q8012">
        <v>0</v>
      </c>
      <c r="R8012" t="s">
        <v>40445</v>
      </c>
      <c r="S8012" t="s">
        <v>40730</v>
      </c>
      <c r="T8012" t="s">
        <v>42133</v>
      </c>
      <c r="U8012" t="s">
        <v>49397</v>
      </c>
      <c r="W8012" t="s">
        <v>39605</v>
      </c>
      <c r="X8012" t="s">
        <v>40446</v>
      </c>
    </row>
    <row r="8013" spans="1:24">
      <c r="A8013">
        <f>HYPERLINK("https://www.philgeps.gov.ph/GEPSNONPILOT/Tender/SplashBidNoticeAbstractUI.aspx?menuIndex=3&amp;refID=7035572&amp;Result=3","7035572")</f>
        <v>0</v>
      </c>
      <c r="B8013" t="s">
        <v>1858</v>
      </c>
      <c r="C8013" t="s">
        <v>10714</v>
      </c>
      <c r="D8013" t="s">
        <v>16210</v>
      </c>
      <c r="E8013" t="s">
        <v>23332</v>
      </c>
      <c r="F8013" t="s">
        <v>28198</v>
      </c>
      <c r="G8013" t="s">
        <v>28205</v>
      </c>
      <c r="H8013" t="s">
        <v>28217</v>
      </c>
      <c r="I8013" t="s">
        <v>28237</v>
      </c>
      <c r="J8013" t="s">
        <v>33379</v>
      </c>
      <c r="K8013" t="s">
        <v>36688</v>
      </c>
      <c r="M8013" t="s">
        <v>39573</v>
      </c>
      <c r="N8013" t="s">
        <v>40436</v>
      </c>
      <c r="O8013" t="s">
        <v>40437</v>
      </c>
      <c r="P8013">
        <v>0</v>
      </c>
      <c r="Q8013">
        <v>0</v>
      </c>
      <c r="R8013" t="s">
        <v>40445</v>
      </c>
      <c r="S8013" t="s">
        <v>40730</v>
      </c>
      <c r="T8013" t="s">
        <v>42346</v>
      </c>
      <c r="U8013" t="s">
        <v>49386</v>
      </c>
      <c r="W8013" t="s">
        <v>39573</v>
      </c>
      <c r="X8013" t="s">
        <v>40446</v>
      </c>
    </row>
    <row r="8014" spans="1:24">
      <c r="A8014">
        <f>HYPERLINK("https://www.philgeps.gov.ph/GEPSNONPILOT/Tender/SplashBidNoticeAbstractUI.aspx?menuIndex=3&amp;refID=7035525&amp;Result=3","7035525")</f>
        <v>0</v>
      </c>
      <c r="B8014" t="s">
        <v>2404</v>
      </c>
      <c r="C8014" t="s">
        <v>10715</v>
      </c>
      <c r="D8014" t="s">
        <v>16195</v>
      </c>
      <c r="E8014" t="s">
        <v>18093</v>
      </c>
      <c r="F8014" t="s">
        <v>28198</v>
      </c>
      <c r="G8014" t="s">
        <v>28205</v>
      </c>
      <c r="H8014" t="s">
        <v>28215</v>
      </c>
      <c r="I8014" t="s">
        <v>5100</v>
      </c>
      <c r="J8014" t="s">
        <v>33380</v>
      </c>
      <c r="K8014" t="s">
        <v>36707</v>
      </c>
      <c r="M8014" t="s">
        <v>39592</v>
      </c>
      <c r="N8014" t="s">
        <v>40436</v>
      </c>
      <c r="O8014" t="s">
        <v>40437</v>
      </c>
      <c r="P8014">
        <v>0</v>
      </c>
      <c r="Q8014">
        <v>0</v>
      </c>
      <c r="R8014" t="s">
        <v>40445</v>
      </c>
      <c r="S8014" t="s">
        <v>40730</v>
      </c>
      <c r="T8014" t="s">
        <v>42233</v>
      </c>
      <c r="U8014" t="s">
        <v>49398</v>
      </c>
      <c r="W8014" t="s">
        <v>39592</v>
      </c>
      <c r="X8014" t="s">
        <v>40446</v>
      </c>
    </row>
    <row r="8015" spans="1:24">
      <c r="A8015">
        <f>HYPERLINK("https://www.philgeps.gov.ph/GEPSNONPILOT/Tender/SplashBidNoticeAbstractUI.aspx?menuIndex=3&amp;refID=7035545&amp;Result=3","7035545")</f>
        <v>0</v>
      </c>
      <c r="B8015" t="s">
        <v>1345</v>
      </c>
      <c r="C8015" t="s">
        <v>10716</v>
      </c>
      <c r="D8015" t="s">
        <v>16247</v>
      </c>
      <c r="E8015" t="s">
        <v>23333</v>
      </c>
      <c r="F8015" t="s">
        <v>28198</v>
      </c>
      <c r="G8015" t="s">
        <v>28205</v>
      </c>
      <c r="H8015" t="s">
        <v>28215</v>
      </c>
      <c r="I8015" t="s">
        <v>28222</v>
      </c>
      <c r="J8015" t="s">
        <v>32970</v>
      </c>
      <c r="K8015" t="s">
        <v>36688</v>
      </c>
      <c r="M8015" t="s">
        <v>38403</v>
      </c>
      <c r="N8015" t="s">
        <v>40436</v>
      </c>
      <c r="O8015" t="s">
        <v>40437</v>
      </c>
      <c r="P8015">
        <v>0</v>
      </c>
      <c r="Q8015">
        <v>17</v>
      </c>
      <c r="R8015" t="s">
        <v>40445</v>
      </c>
      <c r="S8015" t="s">
        <v>40730</v>
      </c>
      <c r="T8015" t="s">
        <v>42133</v>
      </c>
      <c r="U8015" t="s">
        <v>45667</v>
      </c>
      <c r="W8015" t="s">
        <v>38403</v>
      </c>
      <c r="X8015" t="s">
        <v>40446</v>
      </c>
    </row>
    <row r="8016" spans="1:24">
      <c r="A8016">
        <f>HYPERLINK("https://www.philgeps.gov.ph/GEPSNONPILOT/Tender/SplashBidNoticeAbstractUI.aspx?menuIndex=3&amp;refID=7035567&amp;Result=3","7035567")</f>
        <v>0</v>
      </c>
      <c r="B8016" t="s">
        <v>1858</v>
      </c>
      <c r="C8016" t="s">
        <v>10717</v>
      </c>
      <c r="D8016" t="s">
        <v>16210</v>
      </c>
      <c r="E8016" t="s">
        <v>23334</v>
      </c>
      <c r="F8016" t="s">
        <v>28198</v>
      </c>
      <c r="G8016" t="s">
        <v>28205</v>
      </c>
      <c r="H8016" t="s">
        <v>28217</v>
      </c>
      <c r="I8016" t="s">
        <v>28237</v>
      </c>
      <c r="J8016" t="s">
        <v>33381</v>
      </c>
      <c r="K8016" t="s">
        <v>36688</v>
      </c>
      <c r="M8016" t="s">
        <v>39573</v>
      </c>
      <c r="N8016" t="s">
        <v>40436</v>
      </c>
      <c r="O8016" t="s">
        <v>40437</v>
      </c>
      <c r="P8016">
        <v>0</v>
      </c>
      <c r="Q8016">
        <v>0</v>
      </c>
      <c r="R8016" t="s">
        <v>40445</v>
      </c>
      <c r="S8016" t="s">
        <v>40730</v>
      </c>
      <c r="T8016" t="s">
        <v>42346</v>
      </c>
      <c r="U8016" t="s">
        <v>49386</v>
      </c>
      <c r="W8016" t="s">
        <v>39573</v>
      </c>
      <c r="X8016" t="s">
        <v>40446</v>
      </c>
    </row>
    <row r="8017" spans="1:24">
      <c r="A8017">
        <f>HYPERLINK("https://www.philgeps.gov.ph/GEPSNONPILOT/Tender/SplashBidNoticeAbstractUI.aspx?menuIndex=3&amp;refID=7035520&amp;Result=3","7035520")</f>
        <v>0</v>
      </c>
      <c r="B8017" t="s">
        <v>755</v>
      </c>
      <c r="C8017" t="s">
        <v>10718</v>
      </c>
      <c r="D8017" t="s">
        <v>16200</v>
      </c>
      <c r="E8017" t="s">
        <v>23335</v>
      </c>
      <c r="F8017" t="s">
        <v>28198</v>
      </c>
      <c r="G8017" t="s">
        <v>28205</v>
      </c>
      <c r="H8017" t="s">
        <v>28214</v>
      </c>
      <c r="I8017" t="s">
        <v>3797</v>
      </c>
      <c r="J8017" t="s">
        <v>33382</v>
      </c>
      <c r="K8017" t="s">
        <v>36701</v>
      </c>
      <c r="M8017" t="s">
        <v>37758</v>
      </c>
      <c r="N8017" t="s">
        <v>40436</v>
      </c>
      <c r="O8017" t="s">
        <v>40437</v>
      </c>
      <c r="P8017">
        <v>0</v>
      </c>
      <c r="Q8017">
        <v>1</v>
      </c>
      <c r="R8017" t="s">
        <v>40445</v>
      </c>
      <c r="S8017" t="s">
        <v>40730</v>
      </c>
      <c r="T8017" t="s">
        <v>42277</v>
      </c>
      <c r="U8017" t="s">
        <v>44043</v>
      </c>
      <c r="W8017" t="s">
        <v>37758</v>
      </c>
      <c r="X8017" t="s">
        <v>40446</v>
      </c>
    </row>
    <row r="8018" spans="1:24">
      <c r="A8018">
        <f>HYPERLINK("https://www.philgeps.gov.ph/GEPSNONPILOT/Tender/SplashBidNoticeAbstractUI.aspx?menuIndex=3&amp;refID=7035524&amp;Result=3","7035524")</f>
        <v>0</v>
      </c>
      <c r="B8018" t="s">
        <v>2414</v>
      </c>
      <c r="C8018" t="s">
        <v>10719</v>
      </c>
      <c r="D8018" t="s">
        <v>16213</v>
      </c>
      <c r="E8018" t="s">
        <v>23336</v>
      </c>
      <c r="F8018" t="s">
        <v>28198</v>
      </c>
      <c r="G8018" t="s">
        <v>28205</v>
      </c>
      <c r="H8018" t="s">
        <v>28215</v>
      </c>
      <c r="I8018" t="s">
        <v>28234</v>
      </c>
      <c r="J8018" t="s">
        <v>32642</v>
      </c>
      <c r="K8018" t="s">
        <v>36701</v>
      </c>
      <c r="M8018" t="s">
        <v>39603</v>
      </c>
      <c r="N8018" t="s">
        <v>40436</v>
      </c>
      <c r="O8018" t="s">
        <v>40437</v>
      </c>
      <c r="P8018">
        <v>0</v>
      </c>
      <c r="Q8018">
        <v>3</v>
      </c>
      <c r="R8018" t="s">
        <v>40445</v>
      </c>
      <c r="S8018" t="s">
        <v>40730</v>
      </c>
      <c r="T8018" t="s">
        <v>42192</v>
      </c>
      <c r="U8018" t="s">
        <v>49399</v>
      </c>
      <c r="V8018" t="s">
        <v>54647</v>
      </c>
      <c r="W8018" t="s">
        <v>39603</v>
      </c>
      <c r="X8018" t="s">
        <v>40446</v>
      </c>
    </row>
    <row r="8019" spans="1:24">
      <c r="A8019">
        <f>HYPERLINK("https://www.philgeps.gov.ph/GEPSNONPILOT/Tender/SplashBidNoticeAbstractUI.aspx?menuIndex=3&amp;refID=7035594&amp;Result=3","7035594")</f>
        <v>0</v>
      </c>
      <c r="B8019" t="s">
        <v>1858</v>
      </c>
      <c r="C8019" t="s">
        <v>10720</v>
      </c>
      <c r="D8019" t="s">
        <v>16210</v>
      </c>
      <c r="E8019" t="s">
        <v>23337</v>
      </c>
      <c r="F8019" t="s">
        <v>28198</v>
      </c>
      <c r="G8019" t="s">
        <v>28205</v>
      </c>
      <c r="H8019" t="s">
        <v>28217</v>
      </c>
      <c r="I8019" t="s">
        <v>28238</v>
      </c>
      <c r="J8019" t="s">
        <v>28694</v>
      </c>
      <c r="K8019" t="s">
        <v>36688</v>
      </c>
      <c r="M8019" t="s">
        <v>39573</v>
      </c>
      <c r="N8019" t="s">
        <v>40436</v>
      </c>
      <c r="O8019" t="s">
        <v>40437</v>
      </c>
      <c r="P8019">
        <v>0</v>
      </c>
      <c r="Q8019">
        <v>0</v>
      </c>
      <c r="R8019" t="s">
        <v>40445</v>
      </c>
      <c r="S8019" t="s">
        <v>40730</v>
      </c>
      <c r="T8019" t="s">
        <v>42346</v>
      </c>
      <c r="U8019" t="s">
        <v>49400</v>
      </c>
      <c r="W8019" t="s">
        <v>39573</v>
      </c>
      <c r="X8019" t="s">
        <v>40446</v>
      </c>
    </row>
    <row r="8020" spans="1:24">
      <c r="A8020">
        <f>HYPERLINK("https://www.philgeps.gov.ph/GEPSNONPILOT/Tender/SplashBidNoticeAbstractUI.aspx?menuIndex=3&amp;refID=7035632&amp;Result=3","7035632")</f>
        <v>0</v>
      </c>
      <c r="B8020" t="s">
        <v>1974</v>
      </c>
      <c r="C8020" t="s">
        <v>10721</v>
      </c>
      <c r="D8020" t="s">
        <v>16260</v>
      </c>
      <c r="E8020" t="s">
        <v>23338</v>
      </c>
      <c r="F8020" t="s">
        <v>28198</v>
      </c>
      <c r="G8020" t="s">
        <v>28205</v>
      </c>
      <c r="H8020" t="s">
        <v>28214</v>
      </c>
      <c r="I8020" t="s">
        <v>3797</v>
      </c>
      <c r="J8020" t="s">
        <v>33383</v>
      </c>
      <c r="K8020" t="s">
        <v>36689</v>
      </c>
      <c r="M8020" t="s">
        <v>39110</v>
      </c>
      <c r="N8020" t="s">
        <v>40436</v>
      </c>
      <c r="O8020" t="s">
        <v>40437</v>
      </c>
      <c r="Q8020">
        <v>0</v>
      </c>
      <c r="R8020" t="s">
        <v>40445</v>
      </c>
      <c r="S8020" t="s">
        <v>40738</v>
      </c>
      <c r="T8020" t="s">
        <v>42102</v>
      </c>
      <c r="U8020" t="s">
        <v>49401</v>
      </c>
      <c r="W8020" t="s">
        <v>39110</v>
      </c>
      <c r="X8020" t="s">
        <v>40446</v>
      </c>
    </row>
    <row r="8021" spans="1:24">
      <c r="A8021">
        <f>HYPERLINK("https://www.philgeps.gov.ph/GEPSNONPILOT/Tender/SplashBidNoticeAbstractUI.aspx?menuIndex=3&amp;refID=7035559&amp;Result=3","7035559")</f>
        <v>0</v>
      </c>
      <c r="B8021" t="s">
        <v>1858</v>
      </c>
      <c r="C8021" t="s">
        <v>10722</v>
      </c>
      <c r="D8021" t="s">
        <v>16210</v>
      </c>
      <c r="E8021" t="s">
        <v>23339</v>
      </c>
      <c r="F8021" t="s">
        <v>28198</v>
      </c>
      <c r="G8021" t="s">
        <v>28205</v>
      </c>
      <c r="H8021" t="s">
        <v>28217</v>
      </c>
      <c r="I8021" t="s">
        <v>28237</v>
      </c>
      <c r="J8021" t="s">
        <v>33384</v>
      </c>
      <c r="K8021" t="s">
        <v>36688</v>
      </c>
      <c r="M8021" t="s">
        <v>39573</v>
      </c>
      <c r="N8021" t="s">
        <v>40436</v>
      </c>
      <c r="O8021" t="s">
        <v>40437</v>
      </c>
      <c r="P8021">
        <v>0</v>
      </c>
      <c r="Q8021">
        <v>0</v>
      </c>
      <c r="R8021" t="s">
        <v>40445</v>
      </c>
      <c r="S8021" t="s">
        <v>40730</v>
      </c>
      <c r="T8021" t="s">
        <v>42346</v>
      </c>
      <c r="U8021" t="s">
        <v>49386</v>
      </c>
      <c r="W8021" t="s">
        <v>39573</v>
      </c>
      <c r="X8021" t="s">
        <v>40446</v>
      </c>
    </row>
    <row r="8022" spans="1:24">
      <c r="A8022">
        <f>HYPERLINK("https://www.philgeps.gov.ph/GEPSNONPILOT/Tender/SplashBidNoticeAbstractUI.aspx?menuIndex=3&amp;refID=7035622&amp;Result=3","7035622")</f>
        <v>0</v>
      </c>
      <c r="B8022" t="s">
        <v>1858</v>
      </c>
      <c r="C8022" t="s">
        <v>10723</v>
      </c>
      <c r="D8022" t="s">
        <v>16210</v>
      </c>
      <c r="E8022" t="s">
        <v>23340</v>
      </c>
      <c r="F8022" t="s">
        <v>28198</v>
      </c>
      <c r="G8022" t="s">
        <v>28205</v>
      </c>
      <c r="H8022" t="s">
        <v>28217</v>
      </c>
      <c r="I8022" t="s">
        <v>28238</v>
      </c>
      <c r="J8022" t="s">
        <v>33385</v>
      </c>
      <c r="K8022" t="s">
        <v>36688</v>
      </c>
      <c r="M8022" t="s">
        <v>39573</v>
      </c>
      <c r="N8022" t="s">
        <v>40436</v>
      </c>
      <c r="O8022" t="s">
        <v>40437</v>
      </c>
      <c r="P8022">
        <v>0</v>
      </c>
      <c r="Q8022">
        <v>0</v>
      </c>
      <c r="R8022" t="s">
        <v>40445</v>
      </c>
      <c r="S8022" t="s">
        <v>40730</v>
      </c>
      <c r="T8022" t="s">
        <v>42346</v>
      </c>
      <c r="U8022" t="s">
        <v>49400</v>
      </c>
      <c r="W8022" t="s">
        <v>39573</v>
      </c>
      <c r="X8022" t="s">
        <v>40446</v>
      </c>
    </row>
    <row r="8023" spans="1:24">
      <c r="A8023">
        <f>HYPERLINK("https://www.philgeps.gov.ph/GEPSNONPILOT/Tender/SplashBidNoticeAbstractUI.aspx?menuIndex=3&amp;refID=7035591&amp;Result=3","7035591")</f>
        <v>0</v>
      </c>
      <c r="B8023" t="s">
        <v>2413</v>
      </c>
      <c r="C8023" t="s">
        <v>10724</v>
      </c>
      <c r="D8023" t="s">
        <v>16210</v>
      </c>
      <c r="E8023" t="s">
        <v>23341</v>
      </c>
      <c r="F8023" t="s">
        <v>28198</v>
      </c>
      <c r="G8023" t="s">
        <v>28205</v>
      </c>
      <c r="H8023" t="s">
        <v>28217</v>
      </c>
      <c r="I8023" t="s">
        <v>28220</v>
      </c>
      <c r="J8023" t="s">
        <v>33386</v>
      </c>
      <c r="K8023" t="s">
        <v>36715</v>
      </c>
      <c r="M8023" t="s">
        <v>39601</v>
      </c>
      <c r="N8023" t="s">
        <v>40436</v>
      </c>
      <c r="O8023" t="s">
        <v>40437</v>
      </c>
      <c r="P8023">
        <v>0</v>
      </c>
      <c r="Q8023">
        <v>4</v>
      </c>
      <c r="R8023" t="s">
        <v>40445</v>
      </c>
      <c r="S8023" t="s">
        <v>40730</v>
      </c>
      <c r="T8023" t="s">
        <v>42138</v>
      </c>
      <c r="U8023" t="s">
        <v>49378</v>
      </c>
      <c r="V8023" t="s">
        <v>54649</v>
      </c>
      <c r="W8023" t="s">
        <v>39601</v>
      </c>
      <c r="X8023" t="s">
        <v>40446</v>
      </c>
    </row>
    <row r="8024" spans="1:24">
      <c r="A8024">
        <f>HYPERLINK("https://www.philgeps.gov.ph/GEPSNONPILOT/Tender/SplashBidNoticeAbstractUI.aspx?menuIndex=3&amp;refID=7035610&amp;Result=3","7035610")</f>
        <v>0</v>
      </c>
      <c r="B8024" t="s">
        <v>1858</v>
      </c>
      <c r="C8024" t="s">
        <v>10725</v>
      </c>
      <c r="D8024" t="s">
        <v>16210</v>
      </c>
      <c r="E8024" t="s">
        <v>23342</v>
      </c>
      <c r="F8024" t="s">
        <v>28198</v>
      </c>
      <c r="G8024" t="s">
        <v>28205</v>
      </c>
      <c r="H8024" t="s">
        <v>28217</v>
      </c>
      <c r="I8024" t="s">
        <v>28238</v>
      </c>
      <c r="J8024" t="s">
        <v>33387</v>
      </c>
      <c r="K8024" t="s">
        <v>36688</v>
      </c>
      <c r="M8024" t="s">
        <v>39573</v>
      </c>
      <c r="N8024" t="s">
        <v>40436</v>
      </c>
      <c r="O8024" t="s">
        <v>40437</v>
      </c>
      <c r="P8024">
        <v>0</v>
      </c>
      <c r="Q8024">
        <v>4</v>
      </c>
      <c r="R8024" t="s">
        <v>40445</v>
      </c>
      <c r="S8024" t="s">
        <v>40730</v>
      </c>
      <c r="T8024" t="s">
        <v>42346</v>
      </c>
      <c r="U8024" t="s">
        <v>49400</v>
      </c>
      <c r="W8024" t="s">
        <v>39573</v>
      </c>
      <c r="X8024" t="s">
        <v>40446</v>
      </c>
    </row>
    <row r="8025" spans="1:24">
      <c r="A8025">
        <f>HYPERLINK("https://www.philgeps.gov.ph/GEPSNONPILOT/Tender/SplashBidNoticeAbstractUI.aspx?menuIndex=3&amp;refID=7035640&amp;Result=3","7035640")</f>
        <v>0</v>
      </c>
      <c r="B8025" t="s">
        <v>2418</v>
      </c>
      <c r="C8025" t="s">
        <v>10726</v>
      </c>
      <c r="D8025" t="s">
        <v>16200</v>
      </c>
      <c r="E8025" t="s">
        <v>23343</v>
      </c>
      <c r="F8025" t="s">
        <v>28198</v>
      </c>
      <c r="G8025" t="s">
        <v>28205</v>
      </c>
      <c r="H8025" t="s">
        <v>28215</v>
      </c>
      <c r="I8025" t="s">
        <v>5100</v>
      </c>
      <c r="J8025" t="s">
        <v>33388</v>
      </c>
      <c r="K8025" t="s">
        <v>36707</v>
      </c>
      <c r="M8025" t="s">
        <v>39606</v>
      </c>
      <c r="N8025" t="s">
        <v>40436</v>
      </c>
      <c r="O8025" t="s">
        <v>40437</v>
      </c>
      <c r="P8025">
        <v>0</v>
      </c>
      <c r="Q8025">
        <v>0</v>
      </c>
      <c r="R8025" t="s">
        <v>40445</v>
      </c>
      <c r="S8025" t="s">
        <v>40730</v>
      </c>
      <c r="T8025" t="s">
        <v>42158</v>
      </c>
      <c r="U8025" t="s">
        <v>49402</v>
      </c>
      <c r="W8025" t="s">
        <v>39606</v>
      </c>
      <c r="X8025" t="s">
        <v>40446</v>
      </c>
    </row>
    <row r="8026" spans="1:24">
      <c r="A8026">
        <f>HYPERLINK("https://www.philgeps.gov.ph/GEPSNONPILOT/Tender/SplashBidNoticeAbstractUI.aspx?menuIndex=3&amp;refID=7035649&amp;Result=3","7035649")</f>
        <v>0</v>
      </c>
      <c r="B8026" t="s">
        <v>2419</v>
      </c>
      <c r="C8026" t="s">
        <v>10727</v>
      </c>
      <c r="D8026" t="s">
        <v>16268</v>
      </c>
      <c r="E8026" t="s">
        <v>17727</v>
      </c>
      <c r="F8026" t="s">
        <v>28200</v>
      </c>
      <c r="G8026" t="s">
        <v>28205</v>
      </c>
      <c r="H8026" t="s">
        <v>28215</v>
      </c>
      <c r="I8026" t="s">
        <v>4321</v>
      </c>
      <c r="J8026" t="s">
        <v>33389</v>
      </c>
      <c r="K8026" t="s">
        <v>36701</v>
      </c>
      <c r="M8026" t="s">
        <v>39607</v>
      </c>
      <c r="N8026" t="s">
        <v>40436</v>
      </c>
      <c r="O8026" t="s">
        <v>40437</v>
      </c>
      <c r="P8026">
        <v>0</v>
      </c>
      <c r="Q8026">
        <v>3</v>
      </c>
      <c r="R8026" t="s">
        <v>40445</v>
      </c>
      <c r="S8026" t="s">
        <v>40730</v>
      </c>
      <c r="T8026" t="s">
        <v>42145</v>
      </c>
      <c r="U8026" t="s">
        <v>42746</v>
      </c>
      <c r="W8026" t="s">
        <v>39607</v>
      </c>
      <c r="X8026" t="s">
        <v>40446</v>
      </c>
    </row>
    <row r="8027" spans="1:24">
      <c r="A8027">
        <f>HYPERLINK("https://www.philgeps.gov.ph/GEPSNONPILOT/Tender/SplashBidNoticeAbstractUI.aspx?menuIndex=3&amp;refID=7035639&amp;Result=3","7035639")</f>
        <v>0</v>
      </c>
      <c r="B8027" t="s">
        <v>1858</v>
      </c>
      <c r="C8027" t="s">
        <v>10728</v>
      </c>
      <c r="D8027" t="s">
        <v>16210</v>
      </c>
      <c r="E8027" t="s">
        <v>23344</v>
      </c>
      <c r="F8027" t="s">
        <v>28198</v>
      </c>
      <c r="G8027" t="s">
        <v>28205</v>
      </c>
      <c r="H8027" t="s">
        <v>28217</v>
      </c>
      <c r="I8027" t="s">
        <v>28238</v>
      </c>
      <c r="J8027" t="s">
        <v>33390</v>
      </c>
      <c r="K8027" t="s">
        <v>36688</v>
      </c>
      <c r="M8027" t="s">
        <v>39573</v>
      </c>
      <c r="N8027" t="s">
        <v>40436</v>
      </c>
      <c r="O8027" t="s">
        <v>40437</v>
      </c>
      <c r="P8027">
        <v>0</v>
      </c>
      <c r="Q8027">
        <v>0</v>
      </c>
      <c r="R8027" t="s">
        <v>40445</v>
      </c>
      <c r="S8027" t="s">
        <v>40730</v>
      </c>
      <c r="T8027" t="s">
        <v>42346</v>
      </c>
      <c r="U8027" t="s">
        <v>49400</v>
      </c>
      <c r="W8027" t="s">
        <v>39573</v>
      </c>
      <c r="X8027" t="s">
        <v>40446</v>
      </c>
    </row>
    <row r="8028" spans="1:24">
      <c r="A8028">
        <f>HYPERLINK("https://www.philgeps.gov.ph/GEPSNONPILOT/Tender/SplashBidNoticeAbstractUI.aspx?menuIndex=3&amp;refID=7035687&amp;Result=3","7035687")</f>
        <v>0</v>
      </c>
      <c r="B8028" t="s">
        <v>773</v>
      </c>
      <c r="C8028" t="s">
        <v>10729</v>
      </c>
      <c r="D8028" t="s">
        <v>16219</v>
      </c>
      <c r="E8028" t="s">
        <v>23345</v>
      </c>
      <c r="F8028" t="s">
        <v>28198</v>
      </c>
      <c r="G8028" t="s">
        <v>28205</v>
      </c>
      <c r="H8028" t="s">
        <v>28215</v>
      </c>
      <c r="I8028" t="s">
        <v>28257</v>
      </c>
      <c r="J8028" t="s">
        <v>28719</v>
      </c>
      <c r="K8028" t="s">
        <v>36706</v>
      </c>
      <c r="M8028" t="s">
        <v>38111</v>
      </c>
      <c r="N8028" t="s">
        <v>40436</v>
      </c>
      <c r="O8028" t="s">
        <v>40437</v>
      </c>
      <c r="P8028">
        <v>0</v>
      </c>
      <c r="Q8028">
        <v>0</v>
      </c>
      <c r="R8028" t="s">
        <v>40445</v>
      </c>
      <c r="S8028" t="s">
        <v>40730</v>
      </c>
      <c r="T8028" t="s">
        <v>42233</v>
      </c>
      <c r="U8028" t="s">
        <v>49403</v>
      </c>
      <c r="W8028" t="s">
        <v>38111</v>
      </c>
      <c r="X8028" t="s">
        <v>40446</v>
      </c>
    </row>
    <row r="8029" spans="1:24">
      <c r="A8029">
        <f>HYPERLINK("https://www.philgeps.gov.ph/GEPSNONPILOT/Tender/SplashBidNoticeAbstractUI.aspx?menuIndex=3&amp;refID=7035684&amp;Result=3","7035684")</f>
        <v>0</v>
      </c>
      <c r="B8029" t="s">
        <v>2412</v>
      </c>
      <c r="C8029" t="s">
        <v>10730</v>
      </c>
      <c r="D8029" t="s">
        <v>16262</v>
      </c>
      <c r="E8029" t="s">
        <v>16625</v>
      </c>
      <c r="F8029" t="s">
        <v>28198</v>
      </c>
      <c r="G8029" t="s">
        <v>28205</v>
      </c>
      <c r="H8029" t="s">
        <v>28214</v>
      </c>
      <c r="I8029" t="s">
        <v>3797</v>
      </c>
      <c r="J8029" t="s">
        <v>33391</v>
      </c>
      <c r="K8029" t="s">
        <v>36794</v>
      </c>
      <c r="M8029" t="s">
        <v>39600</v>
      </c>
      <c r="N8029" t="s">
        <v>40436</v>
      </c>
      <c r="O8029" t="s">
        <v>40437</v>
      </c>
      <c r="P8029">
        <v>0</v>
      </c>
      <c r="Q8029">
        <v>0</v>
      </c>
      <c r="R8029" t="s">
        <v>40445</v>
      </c>
      <c r="S8029" t="s">
        <v>40730</v>
      </c>
      <c r="T8029" t="s">
        <v>42174</v>
      </c>
      <c r="U8029" t="s">
        <v>49404</v>
      </c>
      <c r="W8029" t="s">
        <v>39600</v>
      </c>
      <c r="X8029" t="s">
        <v>40446</v>
      </c>
    </row>
    <row r="8030" spans="1:24">
      <c r="A8030">
        <f>HYPERLINK("https://www.philgeps.gov.ph/GEPSNONPILOT/Tender/SplashBidNoticeAbstractUI.aspx?menuIndex=3&amp;refID=7035654&amp;Result=3","7035654")</f>
        <v>0</v>
      </c>
      <c r="B8030" t="s">
        <v>1858</v>
      </c>
      <c r="C8030" t="s">
        <v>10731</v>
      </c>
      <c r="D8030" t="s">
        <v>16210</v>
      </c>
      <c r="E8030" t="s">
        <v>23346</v>
      </c>
      <c r="F8030" t="s">
        <v>28198</v>
      </c>
      <c r="G8030" t="s">
        <v>28205</v>
      </c>
      <c r="H8030" t="s">
        <v>28217</v>
      </c>
      <c r="I8030" t="s">
        <v>28238</v>
      </c>
      <c r="J8030" t="s">
        <v>33392</v>
      </c>
      <c r="K8030" t="s">
        <v>36688</v>
      </c>
      <c r="M8030" t="s">
        <v>39573</v>
      </c>
      <c r="N8030" t="s">
        <v>40436</v>
      </c>
      <c r="O8030" t="s">
        <v>40437</v>
      </c>
      <c r="P8030">
        <v>0</v>
      </c>
      <c r="Q8030">
        <v>0</v>
      </c>
      <c r="R8030" t="s">
        <v>40445</v>
      </c>
      <c r="S8030" t="s">
        <v>40730</v>
      </c>
      <c r="T8030" t="s">
        <v>42346</v>
      </c>
      <c r="U8030" t="s">
        <v>49400</v>
      </c>
      <c r="W8030" t="s">
        <v>39573</v>
      </c>
      <c r="X8030" t="s">
        <v>40446</v>
      </c>
    </row>
    <row r="8031" spans="1:24">
      <c r="A8031">
        <f>HYPERLINK("https://www.philgeps.gov.ph/GEPSNONPILOT/Tender/SplashBidNoticeAbstractUI.aspx?menuIndex=3&amp;refID=7035673&amp;Result=3","7035673")</f>
        <v>0</v>
      </c>
      <c r="B8031" t="s">
        <v>1858</v>
      </c>
      <c r="C8031" t="s">
        <v>10732</v>
      </c>
      <c r="D8031" t="s">
        <v>16210</v>
      </c>
      <c r="E8031" t="s">
        <v>23347</v>
      </c>
      <c r="F8031" t="s">
        <v>28198</v>
      </c>
      <c r="G8031" t="s">
        <v>28205</v>
      </c>
      <c r="H8031" t="s">
        <v>28217</v>
      </c>
      <c r="I8031" t="s">
        <v>28238</v>
      </c>
      <c r="J8031" t="s">
        <v>33393</v>
      </c>
      <c r="K8031" t="s">
        <v>36688</v>
      </c>
      <c r="M8031" t="s">
        <v>39573</v>
      </c>
      <c r="N8031" t="s">
        <v>40436</v>
      </c>
      <c r="O8031" t="s">
        <v>40437</v>
      </c>
      <c r="P8031">
        <v>0</v>
      </c>
      <c r="Q8031">
        <v>0</v>
      </c>
      <c r="R8031" t="s">
        <v>40445</v>
      </c>
      <c r="S8031" t="s">
        <v>40730</v>
      </c>
      <c r="T8031" t="s">
        <v>42346</v>
      </c>
      <c r="U8031" t="s">
        <v>49400</v>
      </c>
      <c r="W8031" t="s">
        <v>39573</v>
      </c>
      <c r="X8031" t="s">
        <v>40446</v>
      </c>
    </row>
    <row r="8032" spans="1:24">
      <c r="A8032">
        <f>HYPERLINK("https://www.philgeps.gov.ph/GEPSNONPILOT/Tender/SplashBidNoticeAbstractUI.aspx?menuIndex=3&amp;refID=7035691&amp;Result=3","7035691")</f>
        <v>0</v>
      </c>
      <c r="B8032" t="s">
        <v>2420</v>
      </c>
      <c r="C8032" t="s">
        <v>10733</v>
      </c>
      <c r="D8032" t="s">
        <v>16190</v>
      </c>
      <c r="E8032" t="s">
        <v>23348</v>
      </c>
      <c r="F8032" t="s">
        <v>28198</v>
      </c>
      <c r="G8032" t="s">
        <v>28205</v>
      </c>
      <c r="H8032" t="s">
        <v>28215</v>
      </c>
      <c r="I8032" t="s">
        <v>5100</v>
      </c>
      <c r="J8032" t="s">
        <v>33394</v>
      </c>
      <c r="K8032" t="s">
        <v>36689</v>
      </c>
      <c r="M8032" t="s">
        <v>39608</v>
      </c>
      <c r="N8032" t="s">
        <v>40436</v>
      </c>
      <c r="O8032" t="s">
        <v>40437</v>
      </c>
      <c r="P8032">
        <v>0</v>
      </c>
      <c r="Q8032">
        <v>0</v>
      </c>
      <c r="R8032" t="s">
        <v>40445</v>
      </c>
      <c r="S8032" t="s">
        <v>40730</v>
      </c>
      <c r="T8032" t="s">
        <v>42431</v>
      </c>
      <c r="U8032" t="s">
        <v>49405</v>
      </c>
      <c r="V8032" t="s">
        <v>54650</v>
      </c>
      <c r="W8032" t="s">
        <v>39608</v>
      </c>
      <c r="X8032" t="s">
        <v>40446</v>
      </c>
    </row>
    <row r="8033" spans="1:24">
      <c r="A8033">
        <f>HYPERLINK("https://www.philgeps.gov.ph/GEPSNONPILOT/Tender/SplashBidNoticeAbstractUI.aspx?menuIndex=3&amp;refID=7035671&amp;Result=3","7035671")</f>
        <v>0</v>
      </c>
      <c r="B8033" t="s">
        <v>2420</v>
      </c>
      <c r="C8033" t="s">
        <v>10734</v>
      </c>
      <c r="D8033" t="s">
        <v>16190</v>
      </c>
      <c r="E8033" t="s">
        <v>23349</v>
      </c>
      <c r="F8033" t="s">
        <v>28198</v>
      </c>
      <c r="G8033" t="s">
        <v>28205</v>
      </c>
      <c r="H8033" t="s">
        <v>28215</v>
      </c>
      <c r="I8033" t="s">
        <v>4200</v>
      </c>
      <c r="J8033" t="s">
        <v>28829</v>
      </c>
      <c r="K8033" t="s">
        <v>36689</v>
      </c>
      <c r="M8033" t="s">
        <v>39608</v>
      </c>
      <c r="N8033" t="s">
        <v>40436</v>
      </c>
      <c r="O8033" t="s">
        <v>40437</v>
      </c>
      <c r="P8033">
        <v>0</v>
      </c>
      <c r="Q8033">
        <v>0</v>
      </c>
      <c r="R8033" t="s">
        <v>40445</v>
      </c>
      <c r="S8033" t="s">
        <v>40730</v>
      </c>
      <c r="T8033" t="s">
        <v>42431</v>
      </c>
      <c r="U8033" t="s">
        <v>49406</v>
      </c>
      <c r="V8033" t="s">
        <v>54650</v>
      </c>
      <c r="W8033" t="s">
        <v>39608</v>
      </c>
      <c r="X8033" t="s">
        <v>40446</v>
      </c>
    </row>
    <row r="8034" spans="1:24">
      <c r="A8034">
        <f>HYPERLINK("https://www.philgeps.gov.ph/GEPSNONPILOT/Tender/SplashBidNoticeAbstractUI.aspx?menuIndex=3&amp;refID=7035669&amp;Result=3","7035669")</f>
        <v>0</v>
      </c>
      <c r="B8034" t="s">
        <v>589</v>
      </c>
      <c r="C8034" t="s">
        <v>10735</v>
      </c>
      <c r="D8034" t="s">
        <v>16199</v>
      </c>
      <c r="E8034" t="s">
        <v>23350</v>
      </c>
      <c r="F8034" t="s">
        <v>28198</v>
      </c>
      <c r="G8034" t="s">
        <v>28205</v>
      </c>
      <c r="H8034" t="s">
        <v>28215</v>
      </c>
      <c r="I8034" t="s">
        <v>28222</v>
      </c>
      <c r="J8034" t="s">
        <v>28379</v>
      </c>
      <c r="K8034" t="s">
        <v>36701</v>
      </c>
      <c r="M8034" t="s">
        <v>37578</v>
      </c>
      <c r="N8034" t="s">
        <v>40436</v>
      </c>
      <c r="O8034" t="s">
        <v>40437</v>
      </c>
      <c r="P8034">
        <v>0</v>
      </c>
      <c r="Q8034">
        <v>3</v>
      </c>
      <c r="R8034" t="s">
        <v>40445</v>
      </c>
      <c r="S8034" t="s">
        <v>40730</v>
      </c>
      <c r="T8034" t="s">
        <v>42183</v>
      </c>
      <c r="U8034" t="s">
        <v>49407</v>
      </c>
      <c r="V8034" t="s">
        <v>54441</v>
      </c>
      <c r="W8034" t="s">
        <v>37578</v>
      </c>
      <c r="X8034" t="s">
        <v>40446</v>
      </c>
    </row>
    <row r="8035" spans="1:24">
      <c r="A8035">
        <f>HYPERLINK("https://www.philgeps.gov.ph/GEPSNONPILOT/Tender/SplashBidNoticeAbstractUI.aspx?menuIndex=3&amp;refID=7035661&amp;Result=3","7035661")</f>
        <v>0</v>
      </c>
      <c r="B8035" t="s">
        <v>340</v>
      </c>
      <c r="C8035" t="s">
        <v>10736</v>
      </c>
      <c r="D8035" t="s">
        <v>16195</v>
      </c>
      <c r="E8035" t="s">
        <v>23351</v>
      </c>
      <c r="F8035" t="s">
        <v>28198</v>
      </c>
      <c r="G8035" t="s">
        <v>28207</v>
      </c>
      <c r="H8035" t="s">
        <v>28215</v>
      </c>
      <c r="I8035" t="s">
        <v>8888</v>
      </c>
      <c r="J8035" t="s">
        <v>33395</v>
      </c>
      <c r="K8035" t="s">
        <v>36689</v>
      </c>
      <c r="M8035" t="s">
        <v>37318</v>
      </c>
      <c r="N8035" t="s">
        <v>40436</v>
      </c>
      <c r="O8035" t="s">
        <v>40437</v>
      </c>
      <c r="P8035">
        <v>0</v>
      </c>
      <c r="Q8035">
        <v>2</v>
      </c>
      <c r="R8035" t="s">
        <v>40445</v>
      </c>
      <c r="S8035" t="s">
        <v>40730</v>
      </c>
      <c r="T8035" t="s">
        <v>42233</v>
      </c>
      <c r="U8035" t="s">
        <v>43170</v>
      </c>
      <c r="W8035" t="s">
        <v>37318</v>
      </c>
      <c r="X8035" t="s">
        <v>40446</v>
      </c>
    </row>
    <row r="8036" spans="1:24">
      <c r="A8036">
        <f>HYPERLINK("https://www.philgeps.gov.ph/GEPSNONPILOT/Tender/SplashBidNoticeAbstractUI.aspx?menuIndex=3&amp;refID=7035677&amp;Result=3","7035677")</f>
        <v>0</v>
      </c>
      <c r="B8036" t="s">
        <v>1610</v>
      </c>
      <c r="C8036" t="s">
        <v>10737</v>
      </c>
      <c r="E8036" t="s">
        <v>23352</v>
      </c>
      <c r="F8036" t="s">
        <v>28198</v>
      </c>
      <c r="G8036" t="s">
        <v>28210</v>
      </c>
      <c r="H8036" t="s">
        <v>28215</v>
      </c>
      <c r="I8036" t="s">
        <v>5082</v>
      </c>
      <c r="J8036" t="s">
        <v>33396</v>
      </c>
      <c r="K8036" t="s">
        <v>36689</v>
      </c>
      <c r="M8036" t="s">
        <v>38697</v>
      </c>
      <c r="N8036" t="s">
        <v>40436</v>
      </c>
      <c r="O8036" t="s">
        <v>40437</v>
      </c>
      <c r="P8036">
        <v>0</v>
      </c>
      <c r="Q8036">
        <v>4</v>
      </c>
      <c r="R8036" t="s">
        <v>40445</v>
      </c>
      <c r="S8036" t="s">
        <v>40730</v>
      </c>
      <c r="T8036" t="s">
        <v>42378</v>
      </c>
      <c r="U8036" t="s">
        <v>49408</v>
      </c>
      <c r="W8036" t="s">
        <v>38697</v>
      </c>
      <c r="X8036" t="s">
        <v>40446</v>
      </c>
    </row>
    <row r="8037" spans="1:24">
      <c r="A8037">
        <f>HYPERLINK("https://www.philgeps.gov.ph/GEPSNONPILOT/Tender/SplashBidNoticeAbstractUI.aspx?menuIndex=3&amp;refID=7035696&amp;Result=3","7035696")</f>
        <v>0</v>
      </c>
      <c r="B8037" t="s">
        <v>1858</v>
      </c>
      <c r="C8037" t="s">
        <v>10738</v>
      </c>
      <c r="D8037" t="s">
        <v>16210</v>
      </c>
      <c r="E8037" t="s">
        <v>23353</v>
      </c>
      <c r="F8037" t="s">
        <v>28198</v>
      </c>
      <c r="G8037" t="s">
        <v>28205</v>
      </c>
      <c r="H8037" t="s">
        <v>28217</v>
      </c>
      <c r="I8037" t="s">
        <v>28238</v>
      </c>
      <c r="J8037" t="s">
        <v>33397</v>
      </c>
      <c r="K8037" t="s">
        <v>36688</v>
      </c>
      <c r="M8037" t="s">
        <v>39573</v>
      </c>
      <c r="N8037" t="s">
        <v>40436</v>
      </c>
      <c r="O8037" t="s">
        <v>40437</v>
      </c>
      <c r="P8037">
        <v>0</v>
      </c>
      <c r="Q8037">
        <v>0</v>
      </c>
      <c r="R8037" t="s">
        <v>40445</v>
      </c>
      <c r="S8037" t="s">
        <v>40730</v>
      </c>
      <c r="T8037" t="s">
        <v>42346</v>
      </c>
      <c r="U8037" t="s">
        <v>49400</v>
      </c>
      <c r="W8037" t="s">
        <v>39573</v>
      </c>
      <c r="X8037" t="s">
        <v>40446</v>
      </c>
    </row>
    <row r="8038" spans="1:24">
      <c r="A8038">
        <f>HYPERLINK("https://www.philgeps.gov.ph/GEPSNONPILOT/Tender/SplashBidNoticeAbstractUI.aspx?menuIndex=3&amp;refID=7035689&amp;Result=3","7035689")</f>
        <v>0</v>
      </c>
      <c r="B8038" t="s">
        <v>1610</v>
      </c>
      <c r="C8038" t="s">
        <v>10739</v>
      </c>
      <c r="E8038" t="s">
        <v>23354</v>
      </c>
      <c r="F8038" t="s">
        <v>28198</v>
      </c>
      <c r="G8038" t="s">
        <v>28207</v>
      </c>
      <c r="H8038" t="s">
        <v>28215</v>
      </c>
      <c r="I8038" t="s">
        <v>28247</v>
      </c>
      <c r="J8038" t="s">
        <v>28406</v>
      </c>
      <c r="K8038" t="s">
        <v>36689</v>
      </c>
      <c r="M8038" t="s">
        <v>38697</v>
      </c>
      <c r="N8038" t="s">
        <v>40436</v>
      </c>
      <c r="O8038" t="s">
        <v>40437</v>
      </c>
      <c r="P8038">
        <v>0</v>
      </c>
      <c r="Q8038">
        <v>3</v>
      </c>
      <c r="R8038" t="s">
        <v>40445</v>
      </c>
      <c r="S8038" t="s">
        <v>40730</v>
      </c>
      <c r="T8038" t="s">
        <v>42378</v>
      </c>
      <c r="U8038" t="s">
        <v>49408</v>
      </c>
      <c r="W8038" t="s">
        <v>38697</v>
      </c>
      <c r="X8038" t="s">
        <v>40446</v>
      </c>
    </row>
    <row r="8039" spans="1:24">
      <c r="A8039">
        <f>HYPERLINK("https://www.philgeps.gov.ph/GEPSNONPILOT/Tender/SplashBidNoticeAbstractUI.aspx?menuIndex=3&amp;refID=7035660&amp;Result=3","7035660")</f>
        <v>0</v>
      </c>
      <c r="B8039" t="s">
        <v>2421</v>
      </c>
      <c r="C8039" t="s">
        <v>10740</v>
      </c>
      <c r="D8039" t="s">
        <v>16203</v>
      </c>
      <c r="E8039" t="s">
        <v>16352</v>
      </c>
      <c r="F8039" t="s">
        <v>28198</v>
      </c>
      <c r="G8039" t="s">
        <v>28206</v>
      </c>
      <c r="H8039" t="s">
        <v>28215</v>
      </c>
      <c r="I8039" t="s">
        <v>5100</v>
      </c>
      <c r="J8039" t="s">
        <v>33398</v>
      </c>
      <c r="K8039" t="s">
        <v>36693</v>
      </c>
      <c r="M8039" t="s">
        <v>39609</v>
      </c>
      <c r="N8039" t="s">
        <v>40436</v>
      </c>
      <c r="O8039" t="s">
        <v>40437</v>
      </c>
      <c r="P8039">
        <v>0</v>
      </c>
      <c r="Q8039">
        <v>0</v>
      </c>
      <c r="R8039" t="s">
        <v>40445</v>
      </c>
      <c r="S8039" t="s">
        <v>40730</v>
      </c>
      <c r="T8039" t="s">
        <v>42287</v>
      </c>
      <c r="U8039" t="s">
        <v>49409</v>
      </c>
      <c r="W8039" t="s">
        <v>39609</v>
      </c>
      <c r="X8039" t="s">
        <v>40446</v>
      </c>
    </row>
    <row r="8040" spans="1:24">
      <c r="A8040">
        <f>HYPERLINK("https://www.philgeps.gov.ph/GEPSNONPILOT/Tender/SplashBidNoticeAbstractUI.aspx?menuIndex=3&amp;refID=7035705&amp;Result=3","7035705")</f>
        <v>0</v>
      </c>
      <c r="B8040" t="s">
        <v>2399</v>
      </c>
      <c r="C8040" t="s">
        <v>10741</v>
      </c>
      <c r="D8040" t="s">
        <v>16189</v>
      </c>
      <c r="E8040" t="s">
        <v>23355</v>
      </c>
      <c r="F8040" t="s">
        <v>28198</v>
      </c>
      <c r="G8040" t="s">
        <v>28205</v>
      </c>
      <c r="H8040" t="s">
        <v>28215</v>
      </c>
      <c r="I8040" t="s">
        <v>28320</v>
      </c>
      <c r="J8040" t="s">
        <v>28699</v>
      </c>
      <c r="K8040" t="s">
        <v>36690</v>
      </c>
      <c r="M8040" t="s">
        <v>39586</v>
      </c>
      <c r="N8040" t="s">
        <v>40436</v>
      </c>
      <c r="O8040" t="s">
        <v>40437</v>
      </c>
      <c r="P8040">
        <v>0</v>
      </c>
      <c r="Q8040">
        <v>9</v>
      </c>
      <c r="R8040" t="s">
        <v>40445</v>
      </c>
      <c r="S8040" t="s">
        <v>40730</v>
      </c>
      <c r="T8040" t="s">
        <v>42482</v>
      </c>
      <c r="U8040" t="s">
        <v>49410</v>
      </c>
      <c r="W8040" t="s">
        <v>55514</v>
      </c>
      <c r="X8040" t="s">
        <v>40446</v>
      </c>
    </row>
    <row r="8041" spans="1:24">
      <c r="A8041">
        <f>HYPERLINK("https://www.philgeps.gov.ph/GEPSNONPILOT/Tender/SplashBidNoticeAbstractUI.aspx?menuIndex=3&amp;refID=7035697&amp;Result=3","7035697")</f>
        <v>0</v>
      </c>
      <c r="B8041" t="s">
        <v>1158</v>
      </c>
      <c r="C8041" t="s">
        <v>10742</v>
      </c>
      <c r="D8041" t="s">
        <v>16210</v>
      </c>
      <c r="E8041" t="s">
        <v>23356</v>
      </c>
      <c r="F8041" t="s">
        <v>28198</v>
      </c>
      <c r="G8041" t="s">
        <v>28205</v>
      </c>
      <c r="H8041" t="s">
        <v>28215</v>
      </c>
      <c r="I8041" t="s">
        <v>5791</v>
      </c>
      <c r="J8041" t="s">
        <v>33399</v>
      </c>
      <c r="K8041" t="s">
        <v>36689</v>
      </c>
      <c r="M8041" t="s">
        <v>38198</v>
      </c>
      <c r="N8041" t="s">
        <v>40436</v>
      </c>
      <c r="O8041" t="s">
        <v>40437</v>
      </c>
      <c r="P8041">
        <v>0</v>
      </c>
      <c r="Q8041">
        <v>9</v>
      </c>
      <c r="R8041" t="s">
        <v>40445</v>
      </c>
      <c r="S8041" t="s">
        <v>40730</v>
      </c>
      <c r="T8041" t="s">
        <v>42168</v>
      </c>
      <c r="U8041" t="s">
        <v>49411</v>
      </c>
      <c r="W8041" t="s">
        <v>38810</v>
      </c>
      <c r="X8041" t="s">
        <v>40446</v>
      </c>
    </row>
    <row r="8042" spans="1:24">
      <c r="A8042">
        <f>HYPERLINK("https://www.philgeps.gov.ph/GEPSNONPILOT/Tender/SplashBidNoticeAbstractUI.aspx?menuIndex=3&amp;refID=7035721&amp;Result=3","7035721")</f>
        <v>0</v>
      </c>
      <c r="B8042" t="s">
        <v>2413</v>
      </c>
      <c r="C8042" t="s">
        <v>10743</v>
      </c>
      <c r="D8042" t="s">
        <v>16224</v>
      </c>
      <c r="E8042" t="s">
        <v>23357</v>
      </c>
      <c r="F8042" t="s">
        <v>28198</v>
      </c>
      <c r="G8042" t="s">
        <v>28205</v>
      </c>
      <c r="H8042" t="s">
        <v>28217</v>
      </c>
      <c r="I8042" t="s">
        <v>4200</v>
      </c>
      <c r="J8042" t="s">
        <v>33400</v>
      </c>
      <c r="K8042" t="s">
        <v>36701</v>
      </c>
      <c r="M8042" t="s">
        <v>39601</v>
      </c>
      <c r="N8042" t="s">
        <v>40436</v>
      </c>
      <c r="O8042" t="s">
        <v>40437</v>
      </c>
      <c r="P8042">
        <v>0</v>
      </c>
      <c r="Q8042">
        <v>3</v>
      </c>
      <c r="R8042" t="s">
        <v>40445</v>
      </c>
      <c r="S8042" t="s">
        <v>40730</v>
      </c>
      <c r="T8042" t="s">
        <v>42138</v>
      </c>
      <c r="U8042" t="s">
        <v>49378</v>
      </c>
      <c r="V8042" t="s">
        <v>54649</v>
      </c>
      <c r="W8042" t="s">
        <v>39601</v>
      </c>
      <c r="X8042" t="s">
        <v>40446</v>
      </c>
    </row>
    <row r="8043" spans="1:24">
      <c r="A8043">
        <f>HYPERLINK("https://www.philgeps.gov.ph/GEPSNONPILOT/Tender/SplashBidNoticeAbstractUI.aspx?menuIndex=3&amp;refID=7035716&amp;Result=3","7035716")</f>
        <v>0</v>
      </c>
      <c r="B8043" t="s">
        <v>1610</v>
      </c>
      <c r="C8043" t="s">
        <v>10744</v>
      </c>
      <c r="E8043" t="s">
        <v>23358</v>
      </c>
      <c r="F8043" t="s">
        <v>28198</v>
      </c>
      <c r="G8043" t="s">
        <v>28207</v>
      </c>
      <c r="H8043" t="s">
        <v>28215</v>
      </c>
      <c r="I8043" t="s">
        <v>28247</v>
      </c>
      <c r="J8043" t="s">
        <v>28539</v>
      </c>
      <c r="K8043" t="s">
        <v>36689</v>
      </c>
      <c r="M8043" t="s">
        <v>38697</v>
      </c>
      <c r="N8043" t="s">
        <v>40436</v>
      </c>
      <c r="O8043" t="s">
        <v>40437</v>
      </c>
      <c r="P8043">
        <v>0</v>
      </c>
      <c r="Q8043">
        <v>4</v>
      </c>
      <c r="R8043" t="s">
        <v>40445</v>
      </c>
      <c r="S8043" t="s">
        <v>40730</v>
      </c>
      <c r="T8043" t="s">
        <v>42378</v>
      </c>
      <c r="U8043" t="s">
        <v>49408</v>
      </c>
      <c r="W8043" t="s">
        <v>38697</v>
      </c>
      <c r="X8043" t="s">
        <v>40446</v>
      </c>
    </row>
    <row r="8044" spans="1:24">
      <c r="A8044">
        <f>HYPERLINK("https://www.philgeps.gov.ph/GEPSNONPILOT/Tender/SplashBidNoticeAbstractUI.aspx?menuIndex=3&amp;refID=7035771&amp;Result=3","7035771")</f>
        <v>0</v>
      </c>
      <c r="B8044" t="s">
        <v>2420</v>
      </c>
      <c r="C8044" t="s">
        <v>10745</v>
      </c>
      <c r="D8044" t="s">
        <v>16190</v>
      </c>
      <c r="E8044" t="s">
        <v>23359</v>
      </c>
      <c r="F8044" t="s">
        <v>28198</v>
      </c>
      <c r="G8044" t="s">
        <v>28205</v>
      </c>
      <c r="H8044" t="s">
        <v>28215</v>
      </c>
      <c r="I8044" t="s">
        <v>28228</v>
      </c>
      <c r="J8044" t="s">
        <v>29409</v>
      </c>
      <c r="K8044" t="s">
        <v>36689</v>
      </c>
      <c r="M8044" t="s">
        <v>39608</v>
      </c>
      <c r="N8044" t="s">
        <v>40436</v>
      </c>
      <c r="O8044" t="s">
        <v>40437</v>
      </c>
      <c r="P8044">
        <v>0</v>
      </c>
      <c r="Q8044">
        <v>1</v>
      </c>
      <c r="R8044" t="s">
        <v>40445</v>
      </c>
      <c r="S8044" t="s">
        <v>40730</v>
      </c>
      <c r="T8044" t="s">
        <v>42431</v>
      </c>
      <c r="U8044" t="s">
        <v>49412</v>
      </c>
      <c r="V8044" t="s">
        <v>54650</v>
      </c>
      <c r="W8044" t="s">
        <v>39608</v>
      </c>
      <c r="X8044" t="s">
        <v>40446</v>
      </c>
    </row>
    <row r="8045" spans="1:24">
      <c r="A8045">
        <f>HYPERLINK("https://www.philgeps.gov.ph/GEPSNONPILOT/Tender/SplashBidNoticeAbstractUI.aspx?menuIndex=3&amp;refID=7035745&amp;Result=3","7035745")</f>
        <v>0</v>
      </c>
      <c r="B8045" t="s">
        <v>2069</v>
      </c>
      <c r="C8045" t="s">
        <v>10746</v>
      </c>
      <c r="D8045" t="s">
        <v>16197</v>
      </c>
      <c r="E8045" t="s">
        <v>23360</v>
      </c>
      <c r="F8045" t="s">
        <v>28198</v>
      </c>
      <c r="G8045" t="s">
        <v>28205</v>
      </c>
      <c r="H8045" t="s">
        <v>28215</v>
      </c>
      <c r="I8045" t="s">
        <v>28243</v>
      </c>
      <c r="J8045" t="s">
        <v>29867</v>
      </c>
      <c r="K8045" t="s">
        <v>36707</v>
      </c>
      <c r="M8045" t="s">
        <v>39218</v>
      </c>
      <c r="N8045" t="s">
        <v>40436</v>
      </c>
      <c r="O8045" t="s">
        <v>40437</v>
      </c>
      <c r="P8045">
        <v>0</v>
      </c>
      <c r="Q8045">
        <v>5</v>
      </c>
      <c r="R8045" t="s">
        <v>40445</v>
      </c>
      <c r="S8045" t="s">
        <v>40730</v>
      </c>
      <c r="T8045" t="s">
        <v>42158</v>
      </c>
      <c r="U8045" t="s">
        <v>49413</v>
      </c>
      <c r="V8045" t="s">
        <v>54651</v>
      </c>
      <c r="W8045" t="s">
        <v>39218</v>
      </c>
      <c r="X8045" t="s">
        <v>40446</v>
      </c>
    </row>
    <row r="8046" spans="1:24">
      <c r="A8046">
        <f>HYPERLINK("https://www.philgeps.gov.ph/GEPSNONPILOT/Tender/SplashBidNoticeAbstractUI.aspx?menuIndex=3&amp;refID=7035770&amp;Result=3","7035770")</f>
        <v>0</v>
      </c>
      <c r="B8046" t="s">
        <v>2335</v>
      </c>
      <c r="C8046" t="s">
        <v>10747</v>
      </c>
      <c r="D8046" t="s">
        <v>16221</v>
      </c>
      <c r="E8046" t="s">
        <v>23361</v>
      </c>
      <c r="F8046" t="s">
        <v>28198</v>
      </c>
      <c r="G8046" t="s">
        <v>28205</v>
      </c>
      <c r="H8046" t="s">
        <v>28214</v>
      </c>
      <c r="I8046" t="s">
        <v>3797</v>
      </c>
      <c r="J8046" t="s">
        <v>28362</v>
      </c>
      <c r="K8046" t="s">
        <v>36699</v>
      </c>
      <c r="M8046" t="s">
        <v>39514</v>
      </c>
      <c r="N8046" t="s">
        <v>40436</v>
      </c>
      <c r="O8046" t="s">
        <v>40437</v>
      </c>
      <c r="P8046">
        <v>0</v>
      </c>
      <c r="Q8046">
        <v>0</v>
      </c>
      <c r="R8046" t="s">
        <v>40445</v>
      </c>
      <c r="S8046" t="s">
        <v>40730</v>
      </c>
      <c r="T8046" t="s">
        <v>42119</v>
      </c>
      <c r="U8046" t="s">
        <v>49414</v>
      </c>
      <c r="W8046" t="s">
        <v>39514</v>
      </c>
      <c r="X8046" t="s">
        <v>40446</v>
      </c>
    </row>
    <row r="8047" spans="1:24">
      <c r="A8047">
        <f>HYPERLINK("https://www.philgeps.gov.ph/GEPSNONPILOT/Tender/SplashBidNoticeAbstractUI.aspx?menuIndex=3&amp;refID=7035768&amp;Result=3","7035768")</f>
        <v>0</v>
      </c>
      <c r="B8047" t="s">
        <v>1181</v>
      </c>
      <c r="C8047" t="s">
        <v>10748</v>
      </c>
      <c r="D8047" t="s">
        <v>16210</v>
      </c>
      <c r="E8047" t="s">
        <v>23362</v>
      </c>
      <c r="F8047" t="s">
        <v>28198</v>
      </c>
      <c r="G8047" t="s">
        <v>28205</v>
      </c>
      <c r="H8047" t="s">
        <v>28215</v>
      </c>
      <c r="I8047" t="s">
        <v>28265</v>
      </c>
      <c r="J8047" t="s">
        <v>33401</v>
      </c>
      <c r="K8047" t="s">
        <v>36706</v>
      </c>
      <c r="M8047" t="s">
        <v>38223</v>
      </c>
      <c r="N8047" t="s">
        <v>40436</v>
      </c>
      <c r="O8047" t="s">
        <v>40437</v>
      </c>
      <c r="P8047">
        <v>0</v>
      </c>
      <c r="Q8047">
        <v>1</v>
      </c>
      <c r="R8047" t="s">
        <v>40445</v>
      </c>
      <c r="S8047" t="s">
        <v>40730</v>
      </c>
      <c r="T8047" t="s">
        <v>42138</v>
      </c>
      <c r="U8047" t="s">
        <v>49415</v>
      </c>
      <c r="W8047" t="s">
        <v>38223</v>
      </c>
      <c r="X8047" t="s">
        <v>40446</v>
      </c>
    </row>
    <row r="8048" spans="1:24">
      <c r="A8048">
        <f>HYPERLINK("https://www.philgeps.gov.ph/GEPSNONPILOT/Tender/SplashBidNoticeAbstractUI.aspx?menuIndex=3&amp;refID=7035731&amp;Result=3","7035731")</f>
        <v>0</v>
      </c>
      <c r="B8048" t="s">
        <v>1974</v>
      </c>
      <c r="C8048" t="s">
        <v>10749</v>
      </c>
      <c r="D8048" t="s">
        <v>16260</v>
      </c>
      <c r="E8048" t="s">
        <v>23363</v>
      </c>
      <c r="F8048" t="s">
        <v>28198</v>
      </c>
      <c r="G8048" t="s">
        <v>28205</v>
      </c>
      <c r="H8048" t="s">
        <v>28214</v>
      </c>
      <c r="I8048" t="s">
        <v>3797</v>
      </c>
      <c r="J8048" t="s">
        <v>28561</v>
      </c>
      <c r="K8048" t="s">
        <v>36689</v>
      </c>
      <c r="M8048" t="s">
        <v>39110</v>
      </c>
      <c r="N8048" t="s">
        <v>40436</v>
      </c>
      <c r="O8048" t="s">
        <v>40437</v>
      </c>
      <c r="Q8048">
        <v>0</v>
      </c>
      <c r="R8048" t="s">
        <v>40445</v>
      </c>
      <c r="S8048" t="s">
        <v>40739</v>
      </c>
      <c r="T8048" t="s">
        <v>42102</v>
      </c>
      <c r="U8048" t="s">
        <v>49416</v>
      </c>
      <c r="W8048" t="s">
        <v>39110</v>
      </c>
      <c r="X8048" t="s">
        <v>40446</v>
      </c>
    </row>
    <row r="8049" spans="1:24">
      <c r="A8049">
        <f>HYPERLINK("https://www.philgeps.gov.ph/GEPSNONPILOT/Tender/SplashBidNoticeAbstractUI.aspx?menuIndex=3&amp;refID=7035777&amp;Result=3","7035777")</f>
        <v>0</v>
      </c>
      <c r="B8049" t="s">
        <v>2147</v>
      </c>
      <c r="C8049" t="s">
        <v>10750</v>
      </c>
      <c r="D8049" t="s">
        <v>16202</v>
      </c>
      <c r="E8049" t="s">
        <v>23364</v>
      </c>
      <c r="F8049" t="s">
        <v>28198</v>
      </c>
      <c r="G8049" t="s">
        <v>28205</v>
      </c>
      <c r="H8049" t="s">
        <v>28214</v>
      </c>
      <c r="I8049" t="s">
        <v>28242</v>
      </c>
      <c r="J8049" t="s">
        <v>33402</v>
      </c>
      <c r="K8049" t="s">
        <v>36813</v>
      </c>
      <c r="M8049" t="s">
        <v>39304</v>
      </c>
      <c r="N8049" t="s">
        <v>40436</v>
      </c>
      <c r="O8049" t="s">
        <v>40437</v>
      </c>
      <c r="P8049">
        <v>0</v>
      </c>
      <c r="Q8049">
        <v>0</v>
      </c>
      <c r="R8049" t="s">
        <v>40445</v>
      </c>
      <c r="S8049" t="s">
        <v>40730</v>
      </c>
      <c r="T8049" t="s">
        <v>42168</v>
      </c>
      <c r="U8049" t="s">
        <v>49417</v>
      </c>
      <c r="W8049" t="s">
        <v>39304</v>
      </c>
      <c r="X8049" t="s">
        <v>40446</v>
      </c>
    </row>
    <row r="8050" spans="1:24">
      <c r="A8050">
        <f>HYPERLINK("https://www.philgeps.gov.ph/GEPSNONPILOT/Tender/SplashBidNoticeAbstractUI.aspx?menuIndex=3&amp;refID=7035729&amp;Result=3","7035729")</f>
        <v>0</v>
      </c>
      <c r="B8050" t="s">
        <v>1610</v>
      </c>
      <c r="C8050" t="s">
        <v>10751</v>
      </c>
      <c r="E8050" t="s">
        <v>23365</v>
      </c>
      <c r="F8050" t="s">
        <v>28198</v>
      </c>
      <c r="G8050" t="s">
        <v>28207</v>
      </c>
      <c r="H8050" t="s">
        <v>28215</v>
      </c>
      <c r="I8050" t="s">
        <v>28230</v>
      </c>
      <c r="J8050" t="s">
        <v>28539</v>
      </c>
      <c r="K8050" t="s">
        <v>36689</v>
      </c>
      <c r="M8050" t="s">
        <v>38697</v>
      </c>
      <c r="N8050" t="s">
        <v>40436</v>
      </c>
      <c r="O8050" t="s">
        <v>40437</v>
      </c>
      <c r="P8050">
        <v>0</v>
      </c>
      <c r="Q8050">
        <v>0</v>
      </c>
      <c r="R8050" t="s">
        <v>40445</v>
      </c>
      <c r="S8050" t="s">
        <v>40730</v>
      </c>
      <c r="T8050" t="s">
        <v>42378</v>
      </c>
      <c r="U8050" t="s">
        <v>49408</v>
      </c>
      <c r="W8050" t="s">
        <v>38697</v>
      </c>
      <c r="X8050" t="s">
        <v>40446</v>
      </c>
    </row>
    <row r="8051" spans="1:24">
      <c r="A8051">
        <f>HYPERLINK("https://www.philgeps.gov.ph/GEPSNONPILOT/Tender/SplashBidNoticeAbstractUI.aspx?menuIndex=3&amp;refID=7035735&amp;Result=3","7035735")</f>
        <v>0</v>
      </c>
      <c r="B8051" t="s">
        <v>2420</v>
      </c>
      <c r="C8051" t="s">
        <v>10752</v>
      </c>
      <c r="D8051" t="s">
        <v>16190</v>
      </c>
      <c r="E8051" t="s">
        <v>23366</v>
      </c>
      <c r="F8051" t="s">
        <v>28198</v>
      </c>
      <c r="G8051" t="s">
        <v>28205</v>
      </c>
      <c r="H8051" t="s">
        <v>28215</v>
      </c>
      <c r="I8051" t="s">
        <v>28234</v>
      </c>
      <c r="J8051" t="s">
        <v>33403</v>
      </c>
      <c r="K8051" t="s">
        <v>36689</v>
      </c>
      <c r="M8051" t="s">
        <v>39608</v>
      </c>
      <c r="N8051" t="s">
        <v>40436</v>
      </c>
      <c r="O8051" t="s">
        <v>40437</v>
      </c>
      <c r="P8051">
        <v>0</v>
      </c>
      <c r="Q8051">
        <v>1</v>
      </c>
      <c r="R8051" t="s">
        <v>40445</v>
      </c>
      <c r="S8051" t="s">
        <v>40730</v>
      </c>
      <c r="T8051" t="s">
        <v>42431</v>
      </c>
      <c r="U8051" t="s">
        <v>49418</v>
      </c>
      <c r="V8051" t="s">
        <v>54650</v>
      </c>
      <c r="W8051" t="s">
        <v>39608</v>
      </c>
      <c r="X8051" t="s">
        <v>40446</v>
      </c>
    </row>
    <row r="8052" spans="1:24">
      <c r="A8052">
        <f>HYPERLINK("https://www.philgeps.gov.ph/GEPSNONPILOT/Tender/SplashBidNoticeAbstractUI.aspx?menuIndex=3&amp;refID=7035727&amp;Result=3","7035727")</f>
        <v>0</v>
      </c>
      <c r="B8052" t="s">
        <v>1858</v>
      </c>
      <c r="C8052" t="s">
        <v>10753</v>
      </c>
      <c r="D8052" t="s">
        <v>16210</v>
      </c>
      <c r="E8052" t="s">
        <v>23367</v>
      </c>
      <c r="F8052" t="s">
        <v>28198</v>
      </c>
      <c r="G8052" t="s">
        <v>28205</v>
      </c>
      <c r="H8052" t="s">
        <v>28217</v>
      </c>
      <c r="I8052" t="s">
        <v>28238</v>
      </c>
      <c r="J8052" t="s">
        <v>33404</v>
      </c>
      <c r="K8052" t="s">
        <v>36688</v>
      </c>
      <c r="M8052" t="s">
        <v>39573</v>
      </c>
      <c r="N8052" t="s">
        <v>40436</v>
      </c>
      <c r="O8052" t="s">
        <v>40437</v>
      </c>
      <c r="P8052">
        <v>0</v>
      </c>
      <c r="Q8052">
        <v>0</v>
      </c>
      <c r="R8052" t="s">
        <v>40445</v>
      </c>
      <c r="S8052" t="s">
        <v>40730</v>
      </c>
      <c r="T8052" t="s">
        <v>42346</v>
      </c>
      <c r="U8052" t="s">
        <v>49400</v>
      </c>
      <c r="W8052" t="s">
        <v>39573</v>
      </c>
      <c r="X8052" t="s">
        <v>40446</v>
      </c>
    </row>
    <row r="8053" spans="1:24">
      <c r="A8053">
        <f>HYPERLINK("https://www.philgeps.gov.ph/GEPSNONPILOT/Tender/SplashBidNoticeAbstractUI.aspx?menuIndex=3&amp;refID=7035743&amp;Result=3","7035743")</f>
        <v>0</v>
      </c>
      <c r="B8053" t="s">
        <v>1858</v>
      </c>
      <c r="C8053" t="s">
        <v>10754</v>
      </c>
      <c r="D8053" t="s">
        <v>16210</v>
      </c>
      <c r="E8053" t="s">
        <v>23368</v>
      </c>
      <c r="F8053" t="s">
        <v>28198</v>
      </c>
      <c r="G8053" t="s">
        <v>28205</v>
      </c>
      <c r="H8053" t="s">
        <v>28217</v>
      </c>
      <c r="I8053" t="s">
        <v>28237</v>
      </c>
      <c r="J8053" t="s">
        <v>33405</v>
      </c>
      <c r="K8053" t="s">
        <v>36688</v>
      </c>
      <c r="M8053" t="s">
        <v>39573</v>
      </c>
      <c r="N8053" t="s">
        <v>40436</v>
      </c>
      <c r="O8053" t="s">
        <v>40437</v>
      </c>
      <c r="P8053">
        <v>0</v>
      </c>
      <c r="Q8053">
        <v>0</v>
      </c>
      <c r="R8053" t="s">
        <v>40445</v>
      </c>
      <c r="S8053" t="s">
        <v>40730</v>
      </c>
      <c r="T8053" t="s">
        <v>42346</v>
      </c>
      <c r="U8053" t="s">
        <v>49386</v>
      </c>
      <c r="W8053" t="s">
        <v>39573</v>
      </c>
      <c r="X8053" t="s">
        <v>40446</v>
      </c>
    </row>
    <row r="8054" spans="1:24">
      <c r="A8054">
        <f>HYPERLINK("https://www.philgeps.gov.ph/GEPSNONPILOT/Tender/SplashBidNoticeAbstractUI.aspx?menuIndex=3&amp;refID=7035836&amp;Result=3","7035836")</f>
        <v>0</v>
      </c>
      <c r="B8054" t="s">
        <v>2069</v>
      </c>
      <c r="C8054" t="s">
        <v>10755</v>
      </c>
      <c r="D8054" t="s">
        <v>16197</v>
      </c>
      <c r="E8054" t="s">
        <v>23369</v>
      </c>
      <c r="F8054" t="s">
        <v>28198</v>
      </c>
      <c r="G8054" t="s">
        <v>28209</v>
      </c>
      <c r="H8054" t="s">
        <v>28214</v>
      </c>
      <c r="I8054" t="s">
        <v>3797</v>
      </c>
      <c r="J8054" t="s">
        <v>28379</v>
      </c>
      <c r="K8054" t="s">
        <v>36692</v>
      </c>
      <c r="M8054" t="s">
        <v>39218</v>
      </c>
      <c r="N8054" t="s">
        <v>40436</v>
      </c>
      <c r="O8054" t="s">
        <v>40437</v>
      </c>
      <c r="P8054">
        <v>0</v>
      </c>
      <c r="Q8054">
        <v>1</v>
      </c>
      <c r="R8054" t="s">
        <v>40445</v>
      </c>
      <c r="S8054" t="s">
        <v>40730</v>
      </c>
      <c r="T8054" t="s">
        <v>42158</v>
      </c>
      <c r="U8054" t="s">
        <v>49419</v>
      </c>
      <c r="V8054" t="s">
        <v>54459</v>
      </c>
      <c r="W8054" t="s">
        <v>39218</v>
      </c>
      <c r="X8054" t="s">
        <v>40446</v>
      </c>
    </row>
    <row r="8055" spans="1:24">
      <c r="A8055">
        <f>HYPERLINK("https://www.philgeps.gov.ph/GEPSNONPILOT/Tender/SplashBidNoticeAbstractUI.aspx?menuIndex=3&amp;refID=7035817&amp;Result=3","7035817")</f>
        <v>0</v>
      </c>
      <c r="B8055" t="s">
        <v>1974</v>
      </c>
      <c r="C8055" t="s">
        <v>10756</v>
      </c>
      <c r="D8055" t="s">
        <v>16260</v>
      </c>
      <c r="E8055" t="s">
        <v>23370</v>
      </c>
      <c r="F8055" t="s">
        <v>28198</v>
      </c>
      <c r="G8055" t="s">
        <v>28205</v>
      </c>
      <c r="H8055" t="s">
        <v>28214</v>
      </c>
      <c r="I8055" t="s">
        <v>3797</v>
      </c>
      <c r="J8055" t="s">
        <v>28393</v>
      </c>
      <c r="K8055" t="s">
        <v>36689</v>
      </c>
      <c r="M8055" t="s">
        <v>39110</v>
      </c>
      <c r="N8055" t="s">
        <v>40436</v>
      </c>
      <c r="O8055" t="s">
        <v>40437</v>
      </c>
      <c r="Q8055">
        <v>0</v>
      </c>
      <c r="R8055" t="s">
        <v>40445</v>
      </c>
      <c r="S8055" t="s">
        <v>40740</v>
      </c>
      <c r="T8055" t="s">
        <v>42102</v>
      </c>
      <c r="U8055" t="s">
        <v>49420</v>
      </c>
      <c r="W8055" t="s">
        <v>39110</v>
      </c>
      <c r="X8055" t="s">
        <v>40446</v>
      </c>
    </row>
    <row r="8056" spans="1:24">
      <c r="A8056">
        <f>HYPERLINK("https://www.philgeps.gov.ph/GEPSNONPILOT/Tender/SplashBidNoticeAbstractUI.aspx?menuIndex=3&amp;refID=7035820&amp;Result=3","7035820")</f>
        <v>0</v>
      </c>
      <c r="B8056" t="s">
        <v>2412</v>
      </c>
      <c r="C8056" t="s">
        <v>10757</v>
      </c>
      <c r="D8056" t="s">
        <v>16262</v>
      </c>
      <c r="E8056" t="s">
        <v>16660</v>
      </c>
      <c r="F8056" t="s">
        <v>28198</v>
      </c>
      <c r="G8056" t="s">
        <v>28205</v>
      </c>
      <c r="H8056" t="s">
        <v>28214</v>
      </c>
      <c r="I8056" t="s">
        <v>3797</v>
      </c>
      <c r="J8056" t="s">
        <v>33406</v>
      </c>
      <c r="K8056" t="s">
        <v>36792</v>
      </c>
      <c r="M8056" t="s">
        <v>39600</v>
      </c>
      <c r="N8056" t="s">
        <v>40436</v>
      </c>
      <c r="O8056" t="s">
        <v>40437</v>
      </c>
      <c r="P8056">
        <v>0</v>
      </c>
      <c r="Q8056">
        <v>0</v>
      </c>
      <c r="R8056" t="s">
        <v>40445</v>
      </c>
      <c r="S8056" t="s">
        <v>40730</v>
      </c>
      <c r="T8056" t="s">
        <v>42174</v>
      </c>
      <c r="U8056" t="s">
        <v>49421</v>
      </c>
      <c r="W8056" t="s">
        <v>39600</v>
      </c>
      <c r="X8056" t="s">
        <v>40446</v>
      </c>
    </row>
    <row r="8057" spans="1:24">
      <c r="A8057">
        <f>HYPERLINK("https://www.philgeps.gov.ph/GEPSNONPILOT/Tender/SplashBidNoticeAbstractUI.aspx?menuIndex=3&amp;refID=7035809&amp;Result=3","7035809")</f>
        <v>0</v>
      </c>
      <c r="B8057" t="s">
        <v>1610</v>
      </c>
      <c r="C8057" t="s">
        <v>10758</v>
      </c>
      <c r="E8057" t="s">
        <v>23371</v>
      </c>
      <c r="F8057" t="s">
        <v>28198</v>
      </c>
      <c r="G8057" t="s">
        <v>28207</v>
      </c>
      <c r="H8057" t="s">
        <v>28215</v>
      </c>
      <c r="I8057" t="s">
        <v>28247</v>
      </c>
      <c r="J8057" t="s">
        <v>30448</v>
      </c>
      <c r="K8057" t="s">
        <v>36689</v>
      </c>
      <c r="M8057" t="s">
        <v>38697</v>
      </c>
      <c r="N8057" t="s">
        <v>40436</v>
      </c>
      <c r="O8057" t="s">
        <v>40437</v>
      </c>
      <c r="P8057">
        <v>0</v>
      </c>
      <c r="Q8057">
        <v>2</v>
      </c>
      <c r="R8057" t="s">
        <v>40445</v>
      </c>
      <c r="S8057" t="s">
        <v>40730</v>
      </c>
      <c r="T8057" t="s">
        <v>42378</v>
      </c>
      <c r="U8057" t="s">
        <v>49408</v>
      </c>
      <c r="W8057" t="s">
        <v>38697</v>
      </c>
      <c r="X8057" t="s">
        <v>40446</v>
      </c>
    </row>
    <row r="8058" spans="1:24">
      <c r="A8058">
        <f>HYPERLINK("https://www.philgeps.gov.ph/GEPSNONPILOT/Tender/SplashBidNoticeAbstractUI.aspx?menuIndex=3&amp;refID=7035749&amp;Result=3","7035749")</f>
        <v>0</v>
      </c>
      <c r="B8058" t="s">
        <v>2422</v>
      </c>
      <c r="C8058" t="s">
        <v>10759</v>
      </c>
      <c r="D8058" t="s">
        <v>16210</v>
      </c>
      <c r="E8058" t="s">
        <v>23372</v>
      </c>
      <c r="F8058" t="s">
        <v>28198</v>
      </c>
      <c r="G8058" t="s">
        <v>28210</v>
      </c>
      <c r="H8058" t="s">
        <v>28215</v>
      </c>
      <c r="I8058" t="s">
        <v>28225</v>
      </c>
      <c r="J8058" t="s">
        <v>33407</v>
      </c>
      <c r="K8058" t="s">
        <v>36693</v>
      </c>
      <c r="M8058" t="s">
        <v>39610</v>
      </c>
      <c r="N8058" t="s">
        <v>40436</v>
      </c>
      <c r="O8058" t="s">
        <v>40437</v>
      </c>
      <c r="Q8058">
        <v>7</v>
      </c>
      <c r="R8058" t="s">
        <v>40445</v>
      </c>
      <c r="S8058" t="s">
        <v>40741</v>
      </c>
      <c r="T8058" t="s">
        <v>42185</v>
      </c>
      <c r="U8058" t="s">
        <v>49422</v>
      </c>
      <c r="W8058" t="s">
        <v>39610</v>
      </c>
      <c r="X8058" t="s">
        <v>40446</v>
      </c>
    </row>
    <row r="8059" spans="1:24">
      <c r="A8059">
        <f>HYPERLINK("https://www.philgeps.gov.ph/GEPSNONPILOT/Tender/SplashBidNoticeAbstractUI.aspx?menuIndex=3&amp;refID=7035824&amp;Result=3","7035824")</f>
        <v>0</v>
      </c>
      <c r="B8059" t="s">
        <v>1610</v>
      </c>
      <c r="C8059" t="s">
        <v>10760</v>
      </c>
      <c r="E8059" t="s">
        <v>23373</v>
      </c>
      <c r="F8059" t="s">
        <v>28198</v>
      </c>
      <c r="G8059" t="s">
        <v>28207</v>
      </c>
      <c r="H8059" t="s">
        <v>28215</v>
      </c>
      <c r="I8059" t="s">
        <v>28247</v>
      </c>
      <c r="J8059" t="s">
        <v>33408</v>
      </c>
      <c r="K8059" t="s">
        <v>36689</v>
      </c>
      <c r="M8059" t="s">
        <v>38697</v>
      </c>
      <c r="N8059" t="s">
        <v>40436</v>
      </c>
      <c r="O8059" t="s">
        <v>40437</v>
      </c>
      <c r="P8059">
        <v>0</v>
      </c>
      <c r="Q8059">
        <v>3</v>
      </c>
      <c r="R8059" t="s">
        <v>40445</v>
      </c>
      <c r="S8059" t="s">
        <v>40730</v>
      </c>
      <c r="T8059" t="s">
        <v>42378</v>
      </c>
      <c r="U8059" t="s">
        <v>49408</v>
      </c>
      <c r="W8059" t="s">
        <v>38697</v>
      </c>
      <c r="X8059" t="s">
        <v>40446</v>
      </c>
    </row>
    <row r="8060" spans="1:24">
      <c r="A8060">
        <f>HYPERLINK("https://www.philgeps.gov.ph/GEPSNONPILOT/Tender/SplashBidNoticeAbstractUI.aspx?menuIndex=3&amp;refID=7035838&amp;Result=3","7035838")</f>
        <v>0</v>
      </c>
      <c r="B8060" t="s">
        <v>1610</v>
      </c>
      <c r="C8060" t="s">
        <v>10761</v>
      </c>
      <c r="E8060" t="s">
        <v>23374</v>
      </c>
      <c r="F8060" t="s">
        <v>28198</v>
      </c>
      <c r="G8060" t="s">
        <v>28207</v>
      </c>
      <c r="H8060" t="s">
        <v>28215</v>
      </c>
      <c r="I8060" t="s">
        <v>28226</v>
      </c>
      <c r="J8060" t="s">
        <v>28884</v>
      </c>
      <c r="K8060" t="s">
        <v>36689</v>
      </c>
      <c r="M8060" t="s">
        <v>38697</v>
      </c>
      <c r="N8060" t="s">
        <v>40436</v>
      </c>
      <c r="O8060" t="s">
        <v>40437</v>
      </c>
      <c r="P8060">
        <v>0</v>
      </c>
      <c r="Q8060">
        <v>1</v>
      </c>
      <c r="R8060" t="s">
        <v>40445</v>
      </c>
      <c r="S8060" t="s">
        <v>40730</v>
      </c>
      <c r="T8060" t="s">
        <v>42378</v>
      </c>
      <c r="U8060" t="s">
        <v>49408</v>
      </c>
      <c r="W8060" t="s">
        <v>38697</v>
      </c>
      <c r="X8060" t="s">
        <v>40446</v>
      </c>
    </row>
    <row r="8061" spans="1:24">
      <c r="A8061">
        <f>HYPERLINK("https://www.philgeps.gov.ph/GEPSNONPILOT/Tender/SplashBidNoticeAbstractUI.aspx?menuIndex=3&amp;refID=7035792&amp;Result=3","7035792")</f>
        <v>0</v>
      </c>
      <c r="B8061" t="s">
        <v>2420</v>
      </c>
      <c r="C8061" t="s">
        <v>10762</v>
      </c>
      <c r="D8061" t="s">
        <v>16190</v>
      </c>
      <c r="E8061" t="s">
        <v>23375</v>
      </c>
      <c r="F8061" t="s">
        <v>28198</v>
      </c>
      <c r="G8061" t="s">
        <v>28205</v>
      </c>
      <c r="H8061" t="s">
        <v>28215</v>
      </c>
      <c r="I8061" t="s">
        <v>5082</v>
      </c>
      <c r="J8061" t="s">
        <v>33409</v>
      </c>
      <c r="K8061" t="s">
        <v>36689</v>
      </c>
      <c r="M8061" t="s">
        <v>39608</v>
      </c>
      <c r="N8061" t="s">
        <v>40436</v>
      </c>
      <c r="O8061" t="s">
        <v>40437</v>
      </c>
      <c r="P8061">
        <v>0</v>
      </c>
      <c r="Q8061">
        <v>2</v>
      </c>
      <c r="R8061" t="s">
        <v>40445</v>
      </c>
      <c r="S8061" t="s">
        <v>40730</v>
      </c>
      <c r="T8061" t="s">
        <v>42431</v>
      </c>
      <c r="U8061" t="s">
        <v>49423</v>
      </c>
      <c r="V8061" t="s">
        <v>54650</v>
      </c>
      <c r="W8061" t="s">
        <v>39608</v>
      </c>
      <c r="X8061" t="s">
        <v>40446</v>
      </c>
    </row>
    <row r="8062" spans="1:24">
      <c r="A8062">
        <f>HYPERLINK("https://www.philgeps.gov.ph/GEPSNONPILOT/Tender/SplashBidNoticeAbstractUI.aspx?menuIndex=3&amp;refID=7035890&amp;Result=3","7035890")</f>
        <v>0</v>
      </c>
      <c r="B8062" t="s">
        <v>2423</v>
      </c>
      <c r="C8062" t="s">
        <v>10763</v>
      </c>
      <c r="D8062" t="s">
        <v>16198</v>
      </c>
      <c r="E8062" t="s">
        <v>17248</v>
      </c>
      <c r="F8062" t="s">
        <v>28198</v>
      </c>
      <c r="G8062" t="s">
        <v>28205</v>
      </c>
      <c r="H8062" t="s">
        <v>28214</v>
      </c>
      <c r="I8062" t="s">
        <v>3797</v>
      </c>
      <c r="J8062" t="s">
        <v>28345</v>
      </c>
      <c r="K8062" t="s">
        <v>36701</v>
      </c>
      <c r="M8062" t="s">
        <v>39611</v>
      </c>
      <c r="N8062" t="s">
        <v>40436</v>
      </c>
      <c r="O8062" t="s">
        <v>40437</v>
      </c>
      <c r="P8062">
        <v>0</v>
      </c>
      <c r="Q8062">
        <v>1</v>
      </c>
      <c r="R8062" t="s">
        <v>40445</v>
      </c>
      <c r="S8062" t="s">
        <v>40730</v>
      </c>
      <c r="T8062" t="s">
        <v>42425</v>
      </c>
      <c r="U8062" t="s">
        <v>49424</v>
      </c>
      <c r="W8062" t="s">
        <v>39611</v>
      </c>
      <c r="X8062" t="s">
        <v>40446</v>
      </c>
    </row>
    <row r="8063" spans="1:24">
      <c r="A8063">
        <f>HYPERLINK("https://www.philgeps.gov.ph/GEPSNONPILOT/Tender/SplashBidNoticeAbstractUI.aspx?menuIndex=3&amp;refID=7035767&amp;Result=3","7035767")</f>
        <v>0</v>
      </c>
      <c r="B8063" t="s">
        <v>2414</v>
      </c>
      <c r="C8063" t="s">
        <v>10764</v>
      </c>
      <c r="D8063" t="s">
        <v>16213</v>
      </c>
      <c r="E8063" t="s">
        <v>23376</v>
      </c>
      <c r="F8063" t="s">
        <v>28198</v>
      </c>
      <c r="G8063" t="s">
        <v>28205</v>
      </c>
      <c r="H8063" t="s">
        <v>28215</v>
      </c>
      <c r="I8063" t="s">
        <v>28258</v>
      </c>
      <c r="J8063" t="s">
        <v>29717</v>
      </c>
      <c r="K8063" t="s">
        <v>36701</v>
      </c>
      <c r="M8063" t="s">
        <v>39603</v>
      </c>
      <c r="N8063" t="s">
        <v>40436</v>
      </c>
      <c r="O8063" t="s">
        <v>40437</v>
      </c>
      <c r="P8063">
        <v>0</v>
      </c>
      <c r="Q8063">
        <v>7</v>
      </c>
      <c r="R8063" t="s">
        <v>40445</v>
      </c>
      <c r="S8063" t="s">
        <v>40730</v>
      </c>
      <c r="T8063" t="s">
        <v>42192</v>
      </c>
      <c r="U8063" t="s">
        <v>49425</v>
      </c>
      <c r="V8063" t="s">
        <v>54647</v>
      </c>
      <c r="W8063" t="s">
        <v>39603</v>
      </c>
      <c r="X8063" t="s">
        <v>40446</v>
      </c>
    </row>
    <row r="8064" spans="1:24">
      <c r="A8064">
        <f>HYPERLINK("https://www.philgeps.gov.ph/GEPSNONPILOT/Tender/SplashBidNoticeAbstractUI.aspx?menuIndex=3&amp;refID=7035882&amp;Result=3","7035882")</f>
        <v>0</v>
      </c>
      <c r="B8064" t="s">
        <v>2147</v>
      </c>
      <c r="C8064" t="s">
        <v>10765</v>
      </c>
      <c r="D8064" t="s">
        <v>16202</v>
      </c>
      <c r="E8064" t="s">
        <v>23377</v>
      </c>
      <c r="F8064" t="s">
        <v>28198</v>
      </c>
      <c r="G8064" t="s">
        <v>28205</v>
      </c>
      <c r="H8064" t="s">
        <v>28214</v>
      </c>
      <c r="I8064" t="s">
        <v>3797</v>
      </c>
      <c r="J8064" t="s">
        <v>33410</v>
      </c>
      <c r="K8064" t="s">
        <v>36711</v>
      </c>
      <c r="M8064" t="s">
        <v>39304</v>
      </c>
      <c r="N8064" t="s">
        <v>40436</v>
      </c>
      <c r="O8064" t="s">
        <v>40437</v>
      </c>
      <c r="P8064">
        <v>0</v>
      </c>
      <c r="Q8064">
        <v>0</v>
      </c>
      <c r="R8064" t="s">
        <v>40445</v>
      </c>
      <c r="S8064" t="s">
        <v>40730</v>
      </c>
      <c r="T8064" t="s">
        <v>42233</v>
      </c>
      <c r="U8064" t="s">
        <v>49426</v>
      </c>
      <c r="W8064" t="s">
        <v>39304</v>
      </c>
      <c r="X8064" t="s">
        <v>40446</v>
      </c>
    </row>
    <row r="8065" spans="1:24">
      <c r="A8065">
        <f>HYPERLINK("https://www.philgeps.gov.ph/GEPSNONPILOT/Tender/SplashBidNoticeAbstractUI.aspx?menuIndex=3&amp;refID=7035779&amp;Result=3","7035779")</f>
        <v>0</v>
      </c>
      <c r="B8065" t="s">
        <v>1610</v>
      </c>
      <c r="C8065" t="s">
        <v>10766</v>
      </c>
      <c r="E8065" t="s">
        <v>23378</v>
      </c>
      <c r="F8065" t="s">
        <v>28198</v>
      </c>
      <c r="G8065" t="s">
        <v>28207</v>
      </c>
      <c r="H8065" t="s">
        <v>28215</v>
      </c>
      <c r="I8065" t="s">
        <v>28278</v>
      </c>
      <c r="J8065" t="s">
        <v>33411</v>
      </c>
      <c r="K8065" t="s">
        <v>36689</v>
      </c>
      <c r="M8065" t="s">
        <v>38697</v>
      </c>
      <c r="N8065" t="s">
        <v>40436</v>
      </c>
      <c r="O8065" t="s">
        <v>40437</v>
      </c>
      <c r="P8065">
        <v>0</v>
      </c>
      <c r="Q8065">
        <v>0</v>
      </c>
      <c r="R8065" t="s">
        <v>40445</v>
      </c>
      <c r="S8065" t="s">
        <v>40730</v>
      </c>
      <c r="T8065" t="s">
        <v>42378</v>
      </c>
      <c r="U8065" t="s">
        <v>49408</v>
      </c>
      <c r="W8065" t="s">
        <v>38697</v>
      </c>
      <c r="X8065" t="s">
        <v>40446</v>
      </c>
    </row>
    <row r="8066" spans="1:24">
      <c r="A8066">
        <f>HYPERLINK("https://www.philgeps.gov.ph/GEPSNONPILOT/Tender/SplashBidNoticeAbstractUI.aspx?menuIndex=3&amp;refID=7035715&amp;Result=3","7035715")</f>
        <v>0</v>
      </c>
      <c r="B8066" t="s">
        <v>2424</v>
      </c>
      <c r="C8066" t="s">
        <v>10767</v>
      </c>
      <c r="D8066" t="s">
        <v>16266</v>
      </c>
      <c r="E8066" t="s">
        <v>17900</v>
      </c>
      <c r="F8066" t="s">
        <v>28198</v>
      </c>
      <c r="G8066" t="s">
        <v>28205</v>
      </c>
      <c r="H8066" t="s">
        <v>28214</v>
      </c>
      <c r="I8066" t="s">
        <v>5100</v>
      </c>
      <c r="J8066" t="s">
        <v>33412</v>
      </c>
      <c r="K8066" t="s">
        <v>36707</v>
      </c>
      <c r="M8066" t="s">
        <v>39612</v>
      </c>
      <c r="N8066" t="s">
        <v>40436</v>
      </c>
      <c r="O8066" t="s">
        <v>40437</v>
      </c>
      <c r="P8066">
        <v>0</v>
      </c>
      <c r="Q8066">
        <v>0</v>
      </c>
      <c r="R8066" t="s">
        <v>40445</v>
      </c>
      <c r="S8066" t="s">
        <v>40730</v>
      </c>
      <c r="T8066" t="s">
        <v>42134</v>
      </c>
      <c r="U8066" t="s">
        <v>49427</v>
      </c>
      <c r="V8066" t="s">
        <v>54652</v>
      </c>
      <c r="W8066" t="s">
        <v>39612</v>
      </c>
      <c r="X8066" t="s">
        <v>40446</v>
      </c>
    </row>
    <row r="8067" spans="1:24">
      <c r="A8067">
        <f>HYPERLINK("https://www.philgeps.gov.ph/GEPSNONPILOT/Tender/SplashBidNoticeAbstractUI.aspx?menuIndex=3&amp;refID=7035703&amp;Result=3","7035703")</f>
        <v>0</v>
      </c>
      <c r="B8067" t="s">
        <v>1610</v>
      </c>
      <c r="C8067" t="s">
        <v>10768</v>
      </c>
      <c r="E8067" t="s">
        <v>23379</v>
      </c>
      <c r="F8067" t="s">
        <v>28198</v>
      </c>
      <c r="G8067" t="s">
        <v>28207</v>
      </c>
      <c r="H8067" t="s">
        <v>28215</v>
      </c>
      <c r="I8067" t="s">
        <v>28278</v>
      </c>
      <c r="J8067" t="s">
        <v>33413</v>
      </c>
      <c r="K8067" t="s">
        <v>36689</v>
      </c>
      <c r="M8067" t="s">
        <v>38697</v>
      </c>
      <c r="N8067" t="s">
        <v>40436</v>
      </c>
      <c r="O8067" t="s">
        <v>40437</v>
      </c>
      <c r="P8067">
        <v>0</v>
      </c>
      <c r="Q8067">
        <v>0</v>
      </c>
      <c r="R8067" t="s">
        <v>40445</v>
      </c>
      <c r="S8067" t="s">
        <v>40730</v>
      </c>
      <c r="T8067" t="s">
        <v>42378</v>
      </c>
      <c r="U8067" t="s">
        <v>49408</v>
      </c>
      <c r="W8067" t="s">
        <v>38697</v>
      </c>
      <c r="X8067" t="s">
        <v>40446</v>
      </c>
    </row>
    <row r="8068" spans="1:24">
      <c r="A8068">
        <f>HYPERLINK("https://www.philgeps.gov.ph/GEPSNONPILOT/Tender/SplashBidNoticeAbstractUI.aspx?menuIndex=3&amp;refID=7035879&amp;Result=3","7035879")</f>
        <v>0</v>
      </c>
      <c r="B8068" t="s">
        <v>2425</v>
      </c>
      <c r="C8068" t="s">
        <v>10769</v>
      </c>
      <c r="D8068" t="s">
        <v>16195</v>
      </c>
      <c r="E8068" t="s">
        <v>18183</v>
      </c>
      <c r="F8068" t="s">
        <v>28198</v>
      </c>
      <c r="G8068" t="s">
        <v>28205</v>
      </c>
      <c r="H8068" t="s">
        <v>28214</v>
      </c>
      <c r="I8068" t="s">
        <v>3797</v>
      </c>
      <c r="J8068" t="s">
        <v>28362</v>
      </c>
      <c r="K8068" t="s">
        <v>36701</v>
      </c>
      <c r="M8068" t="s">
        <v>39613</v>
      </c>
      <c r="N8068" t="s">
        <v>40436</v>
      </c>
      <c r="O8068" t="s">
        <v>40437</v>
      </c>
      <c r="P8068">
        <v>0</v>
      </c>
      <c r="Q8068">
        <v>0</v>
      </c>
      <c r="R8068" t="s">
        <v>40445</v>
      </c>
      <c r="S8068" t="s">
        <v>40730</v>
      </c>
      <c r="T8068" t="s">
        <v>42306</v>
      </c>
      <c r="U8068" t="s">
        <v>49428</v>
      </c>
      <c r="W8068" t="s">
        <v>39613</v>
      </c>
      <c r="X8068" t="s">
        <v>40446</v>
      </c>
    </row>
    <row r="8069" spans="1:24">
      <c r="A8069">
        <f>HYPERLINK("https://www.philgeps.gov.ph/GEPSNONPILOT/Tender/SplashBidNoticeAbstractUI.aspx?menuIndex=3&amp;refID=7035869&amp;Result=3","7035869")</f>
        <v>0</v>
      </c>
      <c r="B8069" t="s">
        <v>1610</v>
      </c>
      <c r="C8069" t="s">
        <v>10770</v>
      </c>
      <c r="E8069" t="s">
        <v>23380</v>
      </c>
      <c r="F8069" t="s">
        <v>28198</v>
      </c>
      <c r="G8069" t="s">
        <v>28207</v>
      </c>
      <c r="H8069" t="s">
        <v>28215</v>
      </c>
      <c r="I8069" t="s">
        <v>5103</v>
      </c>
      <c r="J8069" t="s">
        <v>28671</v>
      </c>
      <c r="K8069" t="s">
        <v>36689</v>
      </c>
      <c r="M8069" t="s">
        <v>38697</v>
      </c>
      <c r="N8069" t="s">
        <v>40436</v>
      </c>
      <c r="O8069" t="s">
        <v>40437</v>
      </c>
      <c r="P8069">
        <v>0</v>
      </c>
      <c r="Q8069">
        <v>5</v>
      </c>
      <c r="R8069" t="s">
        <v>40445</v>
      </c>
      <c r="S8069" t="s">
        <v>40730</v>
      </c>
      <c r="T8069" t="s">
        <v>42378</v>
      </c>
      <c r="U8069" t="s">
        <v>49408</v>
      </c>
      <c r="W8069" t="s">
        <v>38697</v>
      </c>
      <c r="X8069" t="s">
        <v>40446</v>
      </c>
    </row>
    <row r="8070" spans="1:24">
      <c r="A8070">
        <f>HYPERLINK("https://www.philgeps.gov.ph/GEPSNONPILOT/Tender/SplashBidNoticeAbstractUI.aspx?menuIndex=3&amp;refID=7035871&amp;Result=3","7035871")</f>
        <v>0</v>
      </c>
      <c r="B8070" t="s">
        <v>2426</v>
      </c>
      <c r="C8070" t="s">
        <v>10771</v>
      </c>
      <c r="D8070" t="s">
        <v>16221</v>
      </c>
      <c r="E8070" t="s">
        <v>17186</v>
      </c>
      <c r="F8070" t="s">
        <v>28201</v>
      </c>
      <c r="G8070" t="s">
        <v>28210</v>
      </c>
      <c r="H8070" t="s">
        <v>28215</v>
      </c>
      <c r="I8070" t="s">
        <v>4200</v>
      </c>
      <c r="J8070" t="s">
        <v>28589</v>
      </c>
      <c r="K8070" t="s">
        <v>36723</v>
      </c>
      <c r="M8070" t="s">
        <v>39614</v>
      </c>
      <c r="N8070" t="s">
        <v>40436</v>
      </c>
      <c r="O8070" t="s">
        <v>40437</v>
      </c>
      <c r="P8070">
        <v>0</v>
      </c>
      <c r="Q8070">
        <v>0</v>
      </c>
      <c r="R8070" t="s">
        <v>40445</v>
      </c>
      <c r="S8070" t="s">
        <v>40730</v>
      </c>
      <c r="T8070" t="s">
        <v>42131</v>
      </c>
      <c r="U8070" t="s">
        <v>49429</v>
      </c>
      <c r="W8070" t="s">
        <v>39614</v>
      </c>
      <c r="X8070" t="s">
        <v>40446</v>
      </c>
    </row>
    <row r="8071" spans="1:24">
      <c r="A8071">
        <f>HYPERLINK("https://www.philgeps.gov.ph/GEPSNONPILOT/Tender/SplashBidNoticeAbstractUI.aspx?menuIndex=3&amp;refID=7035892&amp;Result=3","7035892")</f>
        <v>0</v>
      </c>
      <c r="B8071" t="s">
        <v>2427</v>
      </c>
      <c r="C8071" t="s">
        <v>10772</v>
      </c>
      <c r="D8071" t="s">
        <v>16222</v>
      </c>
      <c r="E8071" t="s">
        <v>23381</v>
      </c>
      <c r="F8071" t="s">
        <v>28198</v>
      </c>
      <c r="G8071" t="s">
        <v>28205</v>
      </c>
      <c r="H8071" t="s">
        <v>28215</v>
      </c>
      <c r="I8071" t="s">
        <v>5100</v>
      </c>
      <c r="J8071" t="s">
        <v>33414</v>
      </c>
      <c r="K8071" t="s">
        <v>36689</v>
      </c>
      <c r="M8071" t="s">
        <v>39615</v>
      </c>
      <c r="N8071" t="s">
        <v>40436</v>
      </c>
      <c r="O8071" t="s">
        <v>40437</v>
      </c>
      <c r="P8071">
        <v>0</v>
      </c>
      <c r="Q8071">
        <v>1</v>
      </c>
      <c r="R8071" t="s">
        <v>40445</v>
      </c>
      <c r="S8071" t="s">
        <v>40730</v>
      </c>
      <c r="T8071" t="s">
        <v>42158</v>
      </c>
      <c r="U8071" t="s">
        <v>49430</v>
      </c>
      <c r="W8071" t="s">
        <v>39615</v>
      </c>
      <c r="X8071" t="s">
        <v>40446</v>
      </c>
    </row>
    <row r="8072" spans="1:24">
      <c r="A8072">
        <f>HYPERLINK("https://www.philgeps.gov.ph/GEPSNONPILOT/Tender/SplashBidNoticeAbstractUI.aspx?menuIndex=3&amp;refID=7035843&amp;Result=3","7035843")</f>
        <v>0</v>
      </c>
      <c r="B8072" t="s">
        <v>668</v>
      </c>
      <c r="C8072" t="s">
        <v>10773</v>
      </c>
      <c r="D8072" t="s">
        <v>16223</v>
      </c>
      <c r="E8072" t="s">
        <v>23382</v>
      </c>
      <c r="F8072" t="s">
        <v>28198</v>
      </c>
      <c r="G8072" t="s">
        <v>28205</v>
      </c>
      <c r="H8072" t="s">
        <v>28214</v>
      </c>
      <c r="I8072" t="s">
        <v>3797</v>
      </c>
      <c r="J8072" t="s">
        <v>28559</v>
      </c>
      <c r="K8072" t="s">
        <v>36689</v>
      </c>
      <c r="M8072" t="s">
        <v>37664</v>
      </c>
      <c r="N8072" t="s">
        <v>40436</v>
      </c>
      <c r="O8072" t="s">
        <v>40437</v>
      </c>
      <c r="P8072">
        <v>0</v>
      </c>
      <c r="Q8072">
        <v>0</v>
      </c>
      <c r="R8072" t="s">
        <v>40445</v>
      </c>
      <c r="S8072" t="s">
        <v>40730</v>
      </c>
      <c r="T8072" t="s">
        <v>42279</v>
      </c>
      <c r="U8072" t="s">
        <v>49431</v>
      </c>
      <c r="W8072" t="s">
        <v>37664</v>
      </c>
      <c r="X8072" t="s">
        <v>40446</v>
      </c>
    </row>
    <row r="8073" spans="1:24">
      <c r="A8073">
        <f>HYPERLINK("https://www.philgeps.gov.ph/GEPSNONPILOT/Tender/SplashBidNoticeAbstractUI.aspx?menuIndex=3&amp;refID=7035863&amp;Result=3","7035863")</f>
        <v>0</v>
      </c>
      <c r="B8073" t="s">
        <v>2105</v>
      </c>
      <c r="C8073" t="s">
        <v>10774</v>
      </c>
      <c r="D8073" t="s">
        <v>16217</v>
      </c>
      <c r="E8073" t="s">
        <v>23383</v>
      </c>
      <c r="F8073" t="s">
        <v>28198</v>
      </c>
      <c r="G8073" t="s">
        <v>28205</v>
      </c>
      <c r="H8073" t="s">
        <v>28216</v>
      </c>
      <c r="I8073" t="s">
        <v>28216</v>
      </c>
      <c r="J8073" t="s">
        <v>33415</v>
      </c>
      <c r="K8073" t="s">
        <v>36778</v>
      </c>
      <c r="L8073" t="s">
        <v>2105</v>
      </c>
      <c r="M8073" t="s">
        <v>39257</v>
      </c>
      <c r="N8073" t="s">
        <v>40436</v>
      </c>
      <c r="O8073" t="s">
        <v>40437</v>
      </c>
      <c r="P8073">
        <v>0</v>
      </c>
      <c r="Q8073">
        <v>1</v>
      </c>
      <c r="R8073" t="s">
        <v>40445</v>
      </c>
      <c r="S8073" t="s">
        <v>40730</v>
      </c>
      <c r="T8073" t="s">
        <v>42233</v>
      </c>
      <c r="U8073" t="s">
        <v>49432</v>
      </c>
      <c r="W8073" t="s">
        <v>39257</v>
      </c>
      <c r="X8073" t="s">
        <v>40446</v>
      </c>
    </row>
    <row r="8074" spans="1:24">
      <c r="A8074">
        <f>HYPERLINK("https://www.philgeps.gov.ph/GEPSNONPILOT/Tender/SplashBidNoticeAbstractUI.aspx?menuIndex=3&amp;refID=7035870&amp;Result=3","7035870")</f>
        <v>0</v>
      </c>
      <c r="B8074" t="s">
        <v>2428</v>
      </c>
      <c r="C8074" t="s">
        <v>10775</v>
      </c>
      <c r="D8074" t="s">
        <v>16241</v>
      </c>
      <c r="E8074" t="s">
        <v>23384</v>
      </c>
      <c r="F8074" t="s">
        <v>28198</v>
      </c>
      <c r="G8074" t="s">
        <v>28205</v>
      </c>
      <c r="H8074" t="s">
        <v>28214</v>
      </c>
      <c r="I8074" t="s">
        <v>3797</v>
      </c>
      <c r="J8074" t="s">
        <v>31166</v>
      </c>
      <c r="K8074" t="s">
        <v>36690</v>
      </c>
      <c r="M8074" t="s">
        <v>39616</v>
      </c>
      <c r="N8074" t="s">
        <v>40436</v>
      </c>
      <c r="O8074" t="s">
        <v>40437</v>
      </c>
      <c r="P8074">
        <v>0</v>
      </c>
      <c r="Q8074">
        <v>12</v>
      </c>
      <c r="R8074" t="s">
        <v>40445</v>
      </c>
      <c r="S8074" t="s">
        <v>40730</v>
      </c>
      <c r="T8074" t="s">
        <v>42427</v>
      </c>
      <c r="U8074" t="s">
        <v>49433</v>
      </c>
      <c r="W8074" t="s">
        <v>39616</v>
      </c>
      <c r="X8074" t="s">
        <v>40446</v>
      </c>
    </row>
    <row r="8075" spans="1:24">
      <c r="A8075">
        <f>HYPERLINK("https://www.philgeps.gov.ph/GEPSNONPILOT/Tender/SplashBidNoticeAbstractUI.aspx?menuIndex=3&amp;refID=7035859&amp;Result=3","7035859")</f>
        <v>0</v>
      </c>
      <c r="B8075" t="s">
        <v>1181</v>
      </c>
      <c r="C8075" t="s">
        <v>10776</v>
      </c>
      <c r="D8075" t="s">
        <v>16210</v>
      </c>
      <c r="E8075" t="s">
        <v>23362</v>
      </c>
      <c r="F8075" t="s">
        <v>28198</v>
      </c>
      <c r="G8075" t="s">
        <v>28205</v>
      </c>
      <c r="H8075" t="s">
        <v>28215</v>
      </c>
      <c r="I8075" t="s">
        <v>5100</v>
      </c>
      <c r="J8075" t="s">
        <v>33416</v>
      </c>
      <c r="K8075" t="s">
        <v>36715</v>
      </c>
      <c r="M8075" t="s">
        <v>38223</v>
      </c>
      <c r="N8075" t="s">
        <v>40436</v>
      </c>
      <c r="O8075" t="s">
        <v>40437</v>
      </c>
      <c r="P8075">
        <v>0</v>
      </c>
      <c r="Q8075">
        <v>4</v>
      </c>
      <c r="R8075" t="s">
        <v>40445</v>
      </c>
      <c r="S8075" t="s">
        <v>40730</v>
      </c>
      <c r="T8075" t="s">
        <v>42138</v>
      </c>
      <c r="U8075" t="s">
        <v>49415</v>
      </c>
      <c r="W8075" t="s">
        <v>38223</v>
      </c>
      <c r="X8075" t="s">
        <v>40446</v>
      </c>
    </row>
    <row r="8076" spans="1:24">
      <c r="A8076">
        <f>HYPERLINK("https://www.philgeps.gov.ph/GEPSNONPILOT/Tender/SplashBidNoticeAbstractUI.aspx?menuIndex=3&amp;refID=7035901&amp;Result=3","7035901")</f>
        <v>0</v>
      </c>
      <c r="B8076" t="s">
        <v>1202</v>
      </c>
      <c r="C8076" t="s">
        <v>10777</v>
      </c>
      <c r="D8076" t="s">
        <v>16199</v>
      </c>
      <c r="E8076" t="s">
        <v>16352</v>
      </c>
      <c r="F8076" t="s">
        <v>28198</v>
      </c>
      <c r="G8076" t="s">
        <v>28205</v>
      </c>
      <c r="H8076" t="s">
        <v>28216</v>
      </c>
      <c r="I8076" t="s">
        <v>3797</v>
      </c>
      <c r="J8076" t="s">
        <v>28345</v>
      </c>
      <c r="K8076" t="s">
        <v>36688</v>
      </c>
      <c r="M8076" t="s">
        <v>38247</v>
      </c>
      <c r="N8076" t="s">
        <v>40436</v>
      </c>
      <c r="O8076" t="s">
        <v>40437</v>
      </c>
      <c r="P8076">
        <v>0</v>
      </c>
      <c r="Q8076">
        <v>1</v>
      </c>
      <c r="R8076" t="s">
        <v>40445</v>
      </c>
      <c r="S8076" t="s">
        <v>40730</v>
      </c>
      <c r="T8076" t="s">
        <v>42233</v>
      </c>
      <c r="U8076" t="s">
        <v>49434</v>
      </c>
      <c r="W8076" t="s">
        <v>38247</v>
      </c>
      <c r="X8076" t="s">
        <v>40446</v>
      </c>
    </row>
    <row r="8077" spans="1:24">
      <c r="A8077">
        <f>HYPERLINK("https://www.philgeps.gov.ph/GEPSNONPILOT/Tender/SplashBidNoticeAbstractUI.aspx?menuIndex=3&amp;refID=7035905&amp;Result=3","7035905")</f>
        <v>0</v>
      </c>
      <c r="B8077" t="s">
        <v>1181</v>
      </c>
      <c r="C8077" t="s">
        <v>10778</v>
      </c>
      <c r="D8077" t="s">
        <v>16210</v>
      </c>
      <c r="E8077" t="s">
        <v>23362</v>
      </c>
      <c r="F8077" t="s">
        <v>28198</v>
      </c>
      <c r="G8077" t="s">
        <v>28205</v>
      </c>
      <c r="H8077" t="s">
        <v>28215</v>
      </c>
      <c r="I8077" t="s">
        <v>28265</v>
      </c>
      <c r="J8077" t="s">
        <v>33417</v>
      </c>
      <c r="K8077" t="s">
        <v>36706</v>
      </c>
      <c r="M8077" t="s">
        <v>38223</v>
      </c>
      <c r="N8077" t="s">
        <v>40436</v>
      </c>
      <c r="O8077" t="s">
        <v>40437</v>
      </c>
      <c r="P8077">
        <v>0</v>
      </c>
      <c r="Q8077">
        <v>2</v>
      </c>
      <c r="R8077" t="s">
        <v>40445</v>
      </c>
      <c r="S8077" t="s">
        <v>40730</v>
      </c>
      <c r="T8077" t="s">
        <v>42138</v>
      </c>
      <c r="U8077" t="s">
        <v>49415</v>
      </c>
      <c r="W8077" t="s">
        <v>38223</v>
      </c>
      <c r="X8077" t="s">
        <v>40446</v>
      </c>
    </row>
    <row r="8078" spans="1:24">
      <c r="A8078">
        <f>HYPERLINK("https://www.philgeps.gov.ph/GEPSNONPILOT/Tender/SplashBidNoticeAbstractUI.aspx?menuIndex=3&amp;refID=7035912&amp;Result=3","7035912")</f>
        <v>0</v>
      </c>
      <c r="B8078" t="s">
        <v>1386</v>
      </c>
      <c r="C8078" t="s">
        <v>10779</v>
      </c>
      <c r="D8078" t="s">
        <v>16262</v>
      </c>
      <c r="E8078" t="s">
        <v>23385</v>
      </c>
      <c r="F8078" t="s">
        <v>28198</v>
      </c>
      <c r="G8078" t="s">
        <v>28205</v>
      </c>
      <c r="H8078" t="s">
        <v>28215</v>
      </c>
      <c r="I8078" t="s">
        <v>28222</v>
      </c>
      <c r="J8078" t="s">
        <v>28464</v>
      </c>
      <c r="K8078" t="s">
        <v>36706</v>
      </c>
      <c r="M8078" t="s">
        <v>38450</v>
      </c>
      <c r="N8078" t="s">
        <v>40436</v>
      </c>
      <c r="O8078" t="s">
        <v>40437</v>
      </c>
      <c r="P8078">
        <v>0</v>
      </c>
      <c r="Q8078">
        <v>4</v>
      </c>
      <c r="R8078" t="s">
        <v>40445</v>
      </c>
      <c r="S8078" t="s">
        <v>40730</v>
      </c>
      <c r="T8078" t="s">
        <v>42319</v>
      </c>
      <c r="U8078" t="s">
        <v>49435</v>
      </c>
      <c r="W8078" t="s">
        <v>38450</v>
      </c>
      <c r="X8078" t="s">
        <v>40446</v>
      </c>
    </row>
    <row r="8079" spans="1:24">
      <c r="A8079">
        <f>HYPERLINK("https://www.philgeps.gov.ph/GEPSNONPILOT/Tender/SplashBidNoticeAbstractUI.aspx?menuIndex=3&amp;refID=7035920&amp;Result=3","7035920")</f>
        <v>0</v>
      </c>
      <c r="B8079" t="s">
        <v>2429</v>
      </c>
      <c r="C8079" t="s">
        <v>10780</v>
      </c>
      <c r="D8079" t="s">
        <v>16203</v>
      </c>
      <c r="E8079" t="s">
        <v>23386</v>
      </c>
      <c r="F8079" t="s">
        <v>28198</v>
      </c>
      <c r="G8079" t="s">
        <v>28205</v>
      </c>
      <c r="H8079" t="s">
        <v>28215</v>
      </c>
      <c r="I8079" t="s">
        <v>28228</v>
      </c>
      <c r="J8079" t="s">
        <v>33418</v>
      </c>
      <c r="K8079" t="s">
        <v>36736</v>
      </c>
      <c r="M8079" t="s">
        <v>39617</v>
      </c>
      <c r="N8079" t="s">
        <v>40436</v>
      </c>
      <c r="O8079" t="s">
        <v>40437</v>
      </c>
      <c r="P8079">
        <v>0</v>
      </c>
      <c r="Q8079">
        <v>0</v>
      </c>
      <c r="R8079" t="s">
        <v>40445</v>
      </c>
      <c r="S8079" t="s">
        <v>40730</v>
      </c>
      <c r="T8079" t="s">
        <v>42278</v>
      </c>
      <c r="U8079" t="s">
        <v>49436</v>
      </c>
      <c r="W8079" t="s">
        <v>39617</v>
      </c>
      <c r="X8079" t="s">
        <v>40446</v>
      </c>
    </row>
    <row r="8080" spans="1:24">
      <c r="A8080">
        <f>HYPERLINK("https://www.philgeps.gov.ph/GEPSNONPILOT/Tender/SplashBidNoticeAbstractUI.aspx?menuIndex=3&amp;refID=7035909&amp;Result=3","7035909")</f>
        <v>0</v>
      </c>
      <c r="B8080" t="s">
        <v>2069</v>
      </c>
      <c r="C8080" t="s">
        <v>10781</v>
      </c>
      <c r="D8080" t="s">
        <v>16197</v>
      </c>
      <c r="E8080" t="s">
        <v>23387</v>
      </c>
      <c r="F8080" t="s">
        <v>28198</v>
      </c>
      <c r="G8080" t="s">
        <v>28205</v>
      </c>
      <c r="H8080" t="s">
        <v>28215</v>
      </c>
      <c r="I8080" t="s">
        <v>28243</v>
      </c>
      <c r="J8080" t="s">
        <v>28623</v>
      </c>
      <c r="K8080" t="s">
        <v>36707</v>
      </c>
      <c r="M8080" t="s">
        <v>39218</v>
      </c>
      <c r="N8080" t="s">
        <v>40436</v>
      </c>
      <c r="O8080" t="s">
        <v>40437</v>
      </c>
      <c r="P8080">
        <v>0</v>
      </c>
      <c r="Q8080">
        <v>4</v>
      </c>
      <c r="R8080" t="s">
        <v>40445</v>
      </c>
      <c r="S8080" t="s">
        <v>40730</v>
      </c>
      <c r="T8080" t="s">
        <v>42158</v>
      </c>
      <c r="U8080" t="s">
        <v>49437</v>
      </c>
      <c r="V8080" t="s">
        <v>54653</v>
      </c>
      <c r="W8080" t="s">
        <v>39218</v>
      </c>
      <c r="X8080" t="s">
        <v>40446</v>
      </c>
    </row>
    <row r="8081" spans="1:24">
      <c r="A8081">
        <f>HYPERLINK("https://www.philgeps.gov.ph/GEPSNONPILOT/Tender/SplashBidNoticeAbstractUI.aspx?menuIndex=3&amp;refID=7035906&amp;Result=3","7035906")</f>
        <v>0</v>
      </c>
      <c r="B8081" t="s">
        <v>2420</v>
      </c>
      <c r="C8081" t="s">
        <v>10782</v>
      </c>
      <c r="D8081" t="s">
        <v>16190</v>
      </c>
      <c r="E8081" t="s">
        <v>23388</v>
      </c>
      <c r="F8081" t="s">
        <v>28198</v>
      </c>
      <c r="G8081" t="s">
        <v>28205</v>
      </c>
      <c r="H8081" t="s">
        <v>28215</v>
      </c>
      <c r="I8081" t="s">
        <v>5100</v>
      </c>
      <c r="J8081" t="s">
        <v>33419</v>
      </c>
      <c r="K8081" t="s">
        <v>36689</v>
      </c>
      <c r="M8081" t="s">
        <v>39608</v>
      </c>
      <c r="N8081" t="s">
        <v>40436</v>
      </c>
      <c r="O8081" t="s">
        <v>40437</v>
      </c>
      <c r="P8081">
        <v>0</v>
      </c>
      <c r="Q8081">
        <v>0</v>
      </c>
      <c r="R8081" t="s">
        <v>40445</v>
      </c>
      <c r="S8081" t="s">
        <v>40730</v>
      </c>
      <c r="T8081" t="s">
        <v>42431</v>
      </c>
      <c r="U8081" t="s">
        <v>49438</v>
      </c>
      <c r="V8081" t="s">
        <v>54650</v>
      </c>
      <c r="W8081" t="s">
        <v>39608</v>
      </c>
      <c r="X8081" t="s">
        <v>40446</v>
      </c>
    </row>
    <row r="8082" spans="1:24">
      <c r="A8082">
        <f>HYPERLINK("https://www.philgeps.gov.ph/GEPSNONPILOT/Tender/SplashBidNoticeAbstractUI.aspx?menuIndex=3&amp;refID=7035907&amp;Result=3","7035907")</f>
        <v>0</v>
      </c>
      <c r="B8082" t="s">
        <v>1865</v>
      </c>
      <c r="C8082" t="s">
        <v>10783</v>
      </c>
      <c r="D8082" t="s">
        <v>16206</v>
      </c>
      <c r="E8082" t="s">
        <v>23157</v>
      </c>
      <c r="F8082" t="s">
        <v>28198</v>
      </c>
      <c r="G8082" t="s">
        <v>28205</v>
      </c>
      <c r="H8082" t="s">
        <v>28214</v>
      </c>
      <c r="I8082" t="s">
        <v>3797</v>
      </c>
      <c r="J8082" t="s">
        <v>28921</v>
      </c>
      <c r="K8082" t="s">
        <v>36694</v>
      </c>
      <c r="M8082" t="s">
        <v>38993</v>
      </c>
      <c r="N8082" t="s">
        <v>40436</v>
      </c>
      <c r="O8082" t="s">
        <v>40437</v>
      </c>
      <c r="P8082">
        <v>0</v>
      </c>
      <c r="Q8082">
        <v>2</v>
      </c>
      <c r="R8082" t="s">
        <v>40445</v>
      </c>
      <c r="S8082" t="s">
        <v>40730</v>
      </c>
      <c r="T8082" t="s">
        <v>42346</v>
      </c>
      <c r="U8082" t="s">
        <v>49439</v>
      </c>
      <c r="W8082" t="s">
        <v>38993</v>
      </c>
      <c r="X8082" t="s">
        <v>40446</v>
      </c>
    </row>
    <row r="8083" spans="1:24">
      <c r="A8083">
        <f>HYPERLINK("https://www.philgeps.gov.ph/GEPSNONPILOT/Tender/SplashBidNoticeAbstractUI.aspx?menuIndex=3&amp;refID=7035911&amp;Result=3","7035911")</f>
        <v>0</v>
      </c>
      <c r="B8083" t="s">
        <v>2307</v>
      </c>
      <c r="C8083" t="s">
        <v>10784</v>
      </c>
      <c r="D8083" t="s">
        <v>16234</v>
      </c>
      <c r="E8083" t="s">
        <v>23389</v>
      </c>
      <c r="F8083" t="s">
        <v>28198</v>
      </c>
      <c r="G8083" t="s">
        <v>28205</v>
      </c>
      <c r="H8083" t="s">
        <v>28214</v>
      </c>
      <c r="I8083" t="s">
        <v>3797</v>
      </c>
      <c r="J8083" t="s">
        <v>33420</v>
      </c>
      <c r="K8083" t="s">
        <v>36692</v>
      </c>
      <c r="M8083" t="s">
        <v>39483</v>
      </c>
      <c r="N8083" t="s">
        <v>40436</v>
      </c>
      <c r="O8083" t="s">
        <v>40437</v>
      </c>
      <c r="P8083">
        <v>0</v>
      </c>
      <c r="Q8083">
        <v>2</v>
      </c>
      <c r="R8083" t="s">
        <v>40445</v>
      </c>
      <c r="S8083" t="s">
        <v>40730</v>
      </c>
      <c r="T8083" t="s">
        <v>42228</v>
      </c>
      <c r="U8083" t="s">
        <v>49440</v>
      </c>
      <c r="W8083" t="s">
        <v>39483</v>
      </c>
      <c r="X8083" t="s">
        <v>40446</v>
      </c>
    </row>
    <row r="8084" spans="1:24">
      <c r="A8084">
        <f>HYPERLINK("https://www.philgeps.gov.ph/GEPSNONPILOT/Tender/SplashBidNoticeAbstractUI.aspx?menuIndex=3&amp;refID=7035897&amp;Result=3","7035897")</f>
        <v>0</v>
      </c>
      <c r="B8084" t="s">
        <v>1610</v>
      </c>
      <c r="C8084" t="s">
        <v>10785</v>
      </c>
      <c r="E8084" t="s">
        <v>23390</v>
      </c>
      <c r="F8084" t="s">
        <v>28198</v>
      </c>
      <c r="G8084" t="s">
        <v>28207</v>
      </c>
      <c r="H8084" t="s">
        <v>28215</v>
      </c>
      <c r="I8084" t="s">
        <v>28258</v>
      </c>
      <c r="J8084" t="s">
        <v>28529</v>
      </c>
      <c r="K8084" t="s">
        <v>36689</v>
      </c>
      <c r="M8084" t="s">
        <v>38697</v>
      </c>
      <c r="N8084" t="s">
        <v>40436</v>
      </c>
      <c r="O8084" t="s">
        <v>40437</v>
      </c>
      <c r="P8084">
        <v>0</v>
      </c>
      <c r="Q8084">
        <v>8</v>
      </c>
      <c r="R8084" t="s">
        <v>40445</v>
      </c>
      <c r="S8084" t="s">
        <v>40730</v>
      </c>
      <c r="T8084" t="s">
        <v>42378</v>
      </c>
      <c r="U8084" t="s">
        <v>49408</v>
      </c>
      <c r="W8084" t="s">
        <v>38697</v>
      </c>
      <c r="X8084" t="s">
        <v>40446</v>
      </c>
    </row>
    <row r="8085" spans="1:24">
      <c r="A8085">
        <f>HYPERLINK("https://www.philgeps.gov.ph/GEPSNONPILOT/Tender/SplashBidNoticeAbstractUI.aspx?menuIndex=3&amp;refID=7035923&amp;Result=3","7035923")</f>
        <v>0</v>
      </c>
      <c r="B8085" t="s">
        <v>2430</v>
      </c>
      <c r="C8085" t="s">
        <v>10786</v>
      </c>
      <c r="D8085" t="s">
        <v>16248</v>
      </c>
      <c r="E8085" t="s">
        <v>23391</v>
      </c>
      <c r="F8085" t="s">
        <v>28198</v>
      </c>
      <c r="G8085" t="s">
        <v>28205</v>
      </c>
      <c r="H8085" t="s">
        <v>28214</v>
      </c>
      <c r="I8085" t="s">
        <v>3797</v>
      </c>
      <c r="J8085" t="s">
        <v>29595</v>
      </c>
      <c r="K8085" t="s">
        <v>36694</v>
      </c>
      <c r="M8085" t="s">
        <v>39618</v>
      </c>
      <c r="N8085" t="s">
        <v>40436</v>
      </c>
      <c r="O8085" t="s">
        <v>40437</v>
      </c>
      <c r="P8085">
        <v>0</v>
      </c>
      <c r="Q8085">
        <v>0</v>
      </c>
      <c r="R8085" t="s">
        <v>40445</v>
      </c>
      <c r="S8085" t="s">
        <v>40730</v>
      </c>
      <c r="T8085" t="s">
        <v>42183</v>
      </c>
      <c r="U8085" t="s">
        <v>49441</v>
      </c>
      <c r="V8085" t="s">
        <v>54654</v>
      </c>
      <c r="W8085" t="s">
        <v>39618</v>
      </c>
      <c r="X8085" t="s">
        <v>40446</v>
      </c>
    </row>
    <row r="8086" spans="1:24">
      <c r="A8086">
        <f>HYPERLINK("https://www.philgeps.gov.ph/GEPSNONPILOT/Tender/SplashBidNoticeAbstractUI.aspx?menuIndex=3&amp;refID=7035977&amp;Result=3","7035977")</f>
        <v>0</v>
      </c>
      <c r="B8086" t="s">
        <v>1974</v>
      </c>
      <c r="C8086" t="s">
        <v>10787</v>
      </c>
      <c r="D8086" t="s">
        <v>16260</v>
      </c>
      <c r="E8086" t="s">
        <v>23392</v>
      </c>
      <c r="F8086" t="s">
        <v>28198</v>
      </c>
      <c r="G8086" t="s">
        <v>28205</v>
      </c>
      <c r="H8086" t="s">
        <v>28214</v>
      </c>
      <c r="I8086" t="s">
        <v>3797</v>
      </c>
      <c r="J8086" t="s">
        <v>33421</v>
      </c>
      <c r="K8086" t="s">
        <v>36689</v>
      </c>
      <c r="M8086" t="s">
        <v>39110</v>
      </c>
      <c r="N8086" t="s">
        <v>40436</v>
      </c>
      <c r="O8086" t="s">
        <v>40437</v>
      </c>
      <c r="P8086">
        <v>0</v>
      </c>
      <c r="Q8086">
        <v>0</v>
      </c>
      <c r="R8086" t="s">
        <v>40445</v>
      </c>
      <c r="S8086" t="s">
        <v>40730</v>
      </c>
      <c r="T8086" t="s">
        <v>42102</v>
      </c>
      <c r="U8086" t="s">
        <v>49442</v>
      </c>
      <c r="W8086" t="s">
        <v>39110</v>
      </c>
      <c r="X8086" t="s">
        <v>40446</v>
      </c>
    </row>
    <row r="8087" spans="1:24">
      <c r="A8087">
        <f>HYPERLINK("https://www.philgeps.gov.ph/GEPSNONPILOT/Tender/SplashBidNoticeAbstractUI.aspx?menuIndex=3&amp;refID=7035943&amp;Result=3","7035943")</f>
        <v>0</v>
      </c>
      <c r="B8087" t="s">
        <v>1610</v>
      </c>
      <c r="C8087" t="s">
        <v>10788</v>
      </c>
      <c r="E8087" t="s">
        <v>23393</v>
      </c>
      <c r="F8087" t="s">
        <v>28198</v>
      </c>
      <c r="G8087" t="s">
        <v>28207</v>
      </c>
      <c r="H8087" t="s">
        <v>28215</v>
      </c>
      <c r="I8087" t="s">
        <v>28247</v>
      </c>
      <c r="J8087" t="s">
        <v>28540</v>
      </c>
      <c r="K8087" t="s">
        <v>36689</v>
      </c>
      <c r="M8087" t="s">
        <v>38697</v>
      </c>
      <c r="N8087" t="s">
        <v>40436</v>
      </c>
      <c r="O8087" t="s">
        <v>40437</v>
      </c>
      <c r="P8087">
        <v>0</v>
      </c>
      <c r="Q8087">
        <v>3</v>
      </c>
      <c r="R8087" t="s">
        <v>40445</v>
      </c>
      <c r="S8087" t="s">
        <v>40730</v>
      </c>
      <c r="T8087" t="s">
        <v>42378</v>
      </c>
      <c r="U8087" t="s">
        <v>49408</v>
      </c>
      <c r="W8087" t="s">
        <v>38697</v>
      </c>
      <c r="X8087" t="s">
        <v>40446</v>
      </c>
    </row>
    <row r="8088" spans="1:24">
      <c r="A8088">
        <f>HYPERLINK("https://www.philgeps.gov.ph/GEPSNONPILOT/Tender/SplashBidNoticeAbstractUI.aspx?menuIndex=3&amp;refID=7035942&amp;Result=3","7035942")</f>
        <v>0</v>
      </c>
      <c r="B8088" t="s">
        <v>2420</v>
      </c>
      <c r="C8088" t="s">
        <v>10789</v>
      </c>
      <c r="D8088" t="s">
        <v>16190</v>
      </c>
      <c r="E8088" t="s">
        <v>23394</v>
      </c>
      <c r="F8088" t="s">
        <v>28198</v>
      </c>
      <c r="G8088" t="s">
        <v>28205</v>
      </c>
      <c r="H8088" t="s">
        <v>28215</v>
      </c>
      <c r="I8088" t="s">
        <v>5100</v>
      </c>
      <c r="J8088" t="s">
        <v>33422</v>
      </c>
      <c r="K8088" t="s">
        <v>36689</v>
      </c>
      <c r="M8088" t="s">
        <v>39608</v>
      </c>
      <c r="N8088" t="s">
        <v>40436</v>
      </c>
      <c r="O8088" t="s">
        <v>40437</v>
      </c>
      <c r="P8088">
        <v>0</v>
      </c>
      <c r="Q8088">
        <v>1</v>
      </c>
      <c r="R8088" t="s">
        <v>40445</v>
      </c>
      <c r="S8088" t="s">
        <v>40730</v>
      </c>
      <c r="T8088" t="s">
        <v>42431</v>
      </c>
      <c r="U8088" t="s">
        <v>49443</v>
      </c>
      <c r="V8088" t="s">
        <v>54650</v>
      </c>
      <c r="W8088" t="s">
        <v>39608</v>
      </c>
      <c r="X8088" t="s">
        <v>40446</v>
      </c>
    </row>
    <row r="8089" spans="1:24">
      <c r="A8089">
        <f>HYPERLINK("https://www.philgeps.gov.ph/GEPSNONPILOT/Tender/SplashBidNoticeAbstractUI.aspx?menuIndex=3&amp;refID=7035941&amp;Result=3","7035941")</f>
        <v>0</v>
      </c>
      <c r="B8089" t="s">
        <v>1670</v>
      </c>
      <c r="C8089" t="s">
        <v>10790</v>
      </c>
      <c r="D8089" t="s">
        <v>16258</v>
      </c>
      <c r="E8089" t="s">
        <v>23395</v>
      </c>
      <c r="F8089" t="s">
        <v>28198</v>
      </c>
      <c r="G8089" t="s">
        <v>28205</v>
      </c>
      <c r="H8089" t="s">
        <v>28215</v>
      </c>
      <c r="I8089" t="s">
        <v>28258</v>
      </c>
      <c r="J8089" t="s">
        <v>33423</v>
      </c>
      <c r="K8089" t="s">
        <v>36694</v>
      </c>
      <c r="M8089" t="s">
        <v>38765</v>
      </c>
      <c r="N8089" t="s">
        <v>40436</v>
      </c>
      <c r="O8089" t="s">
        <v>40437</v>
      </c>
      <c r="P8089">
        <v>0</v>
      </c>
      <c r="Q8089">
        <v>13</v>
      </c>
      <c r="R8089" t="s">
        <v>40445</v>
      </c>
      <c r="S8089" t="s">
        <v>40730</v>
      </c>
      <c r="T8089" t="s">
        <v>42399</v>
      </c>
      <c r="U8089" t="s">
        <v>49444</v>
      </c>
      <c r="V8089" t="s">
        <v>54250</v>
      </c>
      <c r="W8089" t="s">
        <v>38765</v>
      </c>
      <c r="X8089" t="s">
        <v>40446</v>
      </c>
    </row>
    <row r="8090" spans="1:24">
      <c r="A8090">
        <f>HYPERLINK("https://www.philgeps.gov.ph/GEPSNONPILOT/Tender/SplashBidNoticeAbstractUI.aspx?menuIndex=3&amp;refID=7035955&amp;Result=3","7035955")</f>
        <v>0</v>
      </c>
      <c r="B8090" t="s">
        <v>2431</v>
      </c>
      <c r="C8090" t="s">
        <v>10791</v>
      </c>
      <c r="E8090" t="s">
        <v>19778</v>
      </c>
      <c r="F8090" t="s">
        <v>28198</v>
      </c>
      <c r="G8090" t="s">
        <v>28205</v>
      </c>
      <c r="H8090" t="s">
        <v>28214</v>
      </c>
      <c r="I8090" t="s">
        <v>3797</v>
      </c>
      <c r="J8090" t="s">
        <v>28393</v>
      </c>
      <c r="K8090" t="s">
        <v>36689</v>
      </c>
      <c r="M8090" t="s">
        <v>39619</v>
      </c>
      <c r="N8090" t="s">
        <v>40436</v>
      </c>
      <c r="O8090" t="s">
        <v>40437</v>
      </c>
      <c r="P8090">
        <v>0</v>
      </c>
      <c r="Q8090">
        <v>1</v>
      </c>
      <c r="R8090" t="s">
        <v>40445</v>
      </c>
      <c r="S8090" t="s">
        <v>40730</v>
      </c>
      <c r="T8090" t="s">
        <v>42278</v>
      </c>
      <c r="U8090" t="s">
        <v>49445</v>
      </c>
      <c r="W8090" t="s">
        <v>39619</v>
      </c>
      <c r="X8090" t="s">
        <v>40446</v>
      </c>
    </row>
    <row r="8091" spans="1:24">
      <c r="A8091">
        <f>HYPERLINK("https://www.philgeps.gov.ph/GEPSNONPILOT/Tender/SplashBidNoticeAbstractUI.aspx?menuIndex=3&amp;refID=7035936&amp;Result=3","7035936")</f>
        <v>0</v>
      </c>
      <c r="B8091" t="s">
        <v>1921</v>
      </c>
      <c r="C8091" t="s">
        <v>10792</v>
      </c>
      <c r="D8091" t="s">
        <v>16243</v>
      </c>
      <c r="E8091" t="s">
        <v>23396</v>
      </c>
      <c r="F8091" t="s">
        <v>28198</v>
      </c>
      <c r="G8091" t="s">
        <v>28205</v>
      </c>
      <c r="H8091" t="s">
        <v>28215</v>
      </c>
      <c r="I8091" t="s">
        <v>28222</v>
      </c>
      <c r="J8091" t="s">
        <v>33424</v>
      </c>
      <c r="K8091" t="s">
        <v>36707</v>
      </c>
      <c r="M8091" t="s">
        <v>39054</v>
      </c>
      <c r="N8091" t="s">
        <v>40436</v>
      </c>
      <c r="O8091" t="s">
        <v>40437</v>
      </c>
      <c r="P8091">
        <v>0</v>
      </c>
      <c r="Q8091">
        <v>5</v>
      </c>
      <c r="R8091" t="s">
        <v>40445</v>
      </c>
      <c r="S8091" t="s">
        <v>40730</v>
      </c>
      <c r="T8091" t="s">
        <v>42234</v>
      </c>
      <c r="U8091" t="s">
        <v>49446</v>
      </c>
      <c r="W8091" t="s">
        <v>39054</v>
      </c>
      <c r="X8091" t="s">
        <v>40446</v>
      </c>
    </row>
    <row r="8092" spans="1:24">
      <c r="A8092">
        <f>HYPERLINK("https://www.philgeps.gov.ph/GEPSNONPILOT/Tender/SplashBidNoticeAbstractUI.aspx?menuIndex=3&amp;refID=7035926&amp;Result=3","7035926")</f>
        <v>0</v>
      </c>
      <c r="B8092" t="s">
        <v>401</v>
      </c>
      <c r="C8092" t="s">
        <v>10793</v>
      </c>
      <c r="D8092" t="s">
        <v>16223</v>
      </c>
      <c r="E8092" t="s">
        <v>17018</v>
      </c>
      <c r="F8092" t="s">
        <v>28198</v>
      </c>
      <c r="G8092" t="s">
        <v>28205</v>
      </c>
      <c r="H8092" t="s">
        <v>28215</v>
      </c>
      <c r="I8092" t="s">
        <v>28243</v>
      </c>
      <c r="J8092" t="s">
        <v>28464</v>
      </c>
      <c r="K8092" t="s">
        <v>36706</v>
      </c>
      <c r="M8092" t="s">
        <v>37382</v>
      </c>
      <c r="N8092" t="s">
        <v>40436</v>
      </c>
      <c r="O8092" t="s">
        <v>40437</v>
      </c>
      <c r="P8092">
        <v>0</v>
      </c>
      <c r="Q8092">
        <v>1</v>
      </c>
      <c r="R8092" t="s">
        <v>40445</v>
      </c>
      <c r="S8092" t="s">
        <v>40730</v>
      </c>
      <c r="T8092" t="s">
        <v>42112</v>
      </c>
      <c r="U8092" t="s">
        <v>49447</v>
      </c>
      <c r="W8092" t="s">
        <v>37382</v>
      </c>
      <c r="X8092" t="s">
        <v>40446</v>
      </c>
    </row>
    <row r="8093" spans="1:24">
      <c r="A8093">
        <f>HYPERLINK("https://www.philgeps.gov.ph/GEPSNONPILOT/Tender/SplashBidNoticeAbstractUI.aspx?menuIndex=3&amp;refID=7035958&amp;Result=3","7035958")</f>
        <v>0</v>
      </c>
      <c r="B8093" t="s">
        <v>2307</v>
      </c>
      <c r="C8093" t="s">
        <v>10794</v>
      </c>
      <c r="D8093" t="s">
        <v>16234</v>
      </c>
      <c r="E8093" t="s">
        <v>23397</v>
      </c>
      <c r="F8093" t="s">
        <v>28198</v>
      </c>
      <c r="G8093" t="s">
        <v>28205</v>
      </c>
      <c r="H8093" t="s">
        <v>28214</v>
      </c>
      <c r="I8093" t="s">
        <v>3797</v>
      </c>
      <c r="J8093" t="s">
        <v>33425</v>
      </c>
      <c r="K8093" t="s">
        <v>36692</v>
      </c>
      <c r="M8093" t="s">
        <v>39483</v>
      </c>
      <c r="N8093" t="s">
        <v>40436</v>
      </c>
      <c r="O8093" t="s">
        <v>40437</v>
      </c>
      <c r="P8093">
        <v>0</v>
      </c>
      <c r="Q8093">
        <v>0</v>
      </c>
      <c r="R8093" t="s">
        <v>40445</v>
      </c>
      <c r="S8093" t="s">
        <v>40730</v>
      </c>
      <c r="T8093" t="s">
        <v>42228</v>
      </c>
      <c r="U8093" t="s">
        <v>49448</v>
      </c>
      <c r="W8093" t="s">
        <v>39483</v>
      </c>
      <c r="X8093" t="s">
        <v>40446</v>
      </c>
    </row>
    <row r="8094" spans="1:24">
      <c r="A8094">
        <f>HYPERLINK("https://www.philgeps.gov.ph/GEPSNONPILOT/Tender/SplashBidNoticeAbstractUI.aspx?menuIndex=3&amp;refID=7036006&amp;Result=3","7036006")</f>
        <v>0</v>
      </c>
      <c r="B8094" t="s">
        <v>2432</v>
      </c>
      <c r="C8094" t="s">
        <v>10795</v>
      </c>
      <c r="D8094" t="s">
        <v>16211</v>
      </c>
      <c r="E8094" t="s">
        <v>23398</v>
      </c>
      <c r="F8094" t="s">
        <v>28198</v>
      </c>
      <c r="G8094" t="s">
        <v>28205</v>
      </c>
      <c r="H8094" t="s">
        <v>28214</v>
      </c>
      <c r="I8094" t="s">
        <v>3797</v>
      </c>
      <c r="J8094" t="s">
        <v>29780</v>
      </c>
      <c r="K8094" t="s">
        <v>36795</v>
      </c>
      <c r="M8094" t="s">
        <v>39620</v>
      </c>
      <c r="N8094" t="s">
        <v>40436</v>
      </c>
      <c r="O8094" t="s">
        <v>40437</v>
      </c>
      <c r="P8094">
        <v>0</v>
      </c>
      <c r="Q8094">
        <v>0</v>
      </c>
      <c r="R8094" t="s">
        <v>40445</v>
      </c>
      <c r="S8094" t="s">
        <v>40730</v>
      </c>
      <c r="T8094" t="s">
        <v>42426</v>
      </c>
      <c r="U8094" t="s">
        <v>49449</v>
      </c>
      <c r="W8094" t="s">
        <v>39620</v>
      </c>
      <c r="X8094" t="s">
        <v>40446</v>
      </c>
    </row>
    <row r="8095" spans="1:24">
      <c r="A8095">
        <f>HYPERLINK("https://www.philgeps.gov.ph/GEPSNONPILOT/Tender/SplashBidNoticeAbstractUI.aspx?menuIndex=3&amp;refID=7035993&amp;Result=3","7035993")</f>
        <v>0</v>
      </c>
      <c r="B8095" t="s">
        <v>593</v>
      </c>
      <c r="C8095" t="s">
        <v>10796</v>
      </c>
      <c r="E8095" t="s">
        <v>23399</v>
      </c>
      <c r="F8095" t="s">
        <v>28198</v>
      </c>
      <c r="G8095" t="s">
        <v>28205</v>
      </c>
      <c r="H8095" t="s">
        <v>28214</v>
      </c>
      <c r="I8095" t="s">
        <v>3797</v>
      </c>
      <c r="J8095" t="s">
        <v>28363</v>
      </c>
      <c r="K8095" t="s">
        <v>36694</v>
      </c>
      <c r="M8095" t="s">
        <v>39621</v>
      </c>
      <c r="N8095" t="s">
        <v>40436</v>
      </c>
      <c r="O8095" t="s">
        <v>40437</v>
      </c>
      <c r="P8095">
        <v>0</v>
      </c>
      <c r="Q8095">
        <v>0</v>
      </c>
      <c r="R8095" t="s">
        <v>40445</v>
      </c>
      <c r="S8095" t="s">
        <v>40730</v>
      </c>
      <c r="T8095" t="s">
        <v>42168</v>
      </c>
      <c r="U8095" t="s">
        <v>49450</v>
      </c>
      <c r="V8095" t="s">
        <v>54655</v>
      </c>
      <c r="W8095" t="s">
        <v>39621</v>
      </c>
      <c r="X8095" t="s">
        <v>40446</v>
      </c>
    </row>
    <row r="8096" spans="1:24">
      <c r="A8096">
        <f>HYPERLINK("https://www.philgeps.gov.ph/GEPSNONPILOT/Tender/SplashBidNoticeAbstractUI.aspx?menuIndex=3&amp;refID=7035952&amp;Result=3","7035952")</f>
        <v>0</v>
      </c>
      <c r="B8096" t="s">
        <v>1181</v>
      </c>
      <c r="C8096" t="s">
        <v>10797</v>
      </c>
      <c r="D8096" t="s">
        <v>16210</v>
      </c>
      <c r="E8096" t="s">
        <v>23362</v>
      </c>
      <c r="F8096" t="s">
        <v>28198</v>
      </c>
      <c r="G8096" t="s">
        <v>28205</v>
      </c>
      <c r="H8096" t="s">
        <v>28215</v>
      </c>
      <c r="I8096" t="s">
        <v>28254</v>
      </c>
      <c r="J8096" t="s">
        <v>33426</v>
      </c>
      <c r="K8096" t="s">
        <v>36706</v>
      </c>
      <c r="M8096" t="s">
        <v>38223</v>
      </c>
      <c r="N8096" t="s">
        <v>40436</v>
      </c>
      <c r="O8096" t="s">
        <v>40437</v>
      </c>
      <c r="P8096">
        <v>0</v>
      </c>
      <c r="Q8096">
        <v>11</v>
      </c>
      <c r="R8096" t="s">
        <v>40445</v>
      </c>
      <c r="S8096" t="s">
        <v>40730</v>
      </c>
      <c r="T8096" t="s">
        <v>42138</v>
      </c>
      <c r="U8096" t="s">
        <v>49415</v>
      </c>
      <c r="W8096" t="s">
        <v>38223</v>
      </c>
      <c r="X8096" t="s">
        <v>40446</v>
      </c>
    </row>
    <row r="8097" spans="1:24">
      <c r="A8097">
        <f>HYPERLINK("https://www.philgeps.gov.ph/GEPSNONPILOT/Tender/SplashBidNoticeAbstractUI.aspx?menuIndex=3&amp;refID=7036000&amp;Result=3","7036000")</f>
        <v>0</v>
      </c>
      <c r="B8097" t="s">
        <v>634</v>
      </c>
      <c r="C8097" t="s">
        <v>10798</v>
      </c>
      <c r="D8097" t="s">
        <v>16255</v>
      </c>
      <c r="E8097" t="s">
        <v>23400</v>
      </c>
      <c r="F8097" t="s">
        <v>28198</v>
      </c>
      <c r="G8097" t="s">
        <v>28205</v>
      </c>
      <c r="H8097" t="s">
        <v>28215</v>
      </c>
      <c r="I8097" t="s">
        <v>5082</v>
      </c>
      <c r="J8097" t="s">
        <v>29531</v>
      </c>
      <c r="K8097" t="s">
        <v>36707</v>
      </c>
      <c r="M8097" t="s">
        <v>37627</v>
      </c>
      <c r="N8097" t="s">
        <v>40436</v>
      </c>
      <c r="O8097" t="s">
        <v>40437</v>
      </c>
      <c r="P8097">
        <v>0</v>
      </c>
      <c r="Q8097">
        <v>2</v>
      </c>
      <c r="R8097" t="s">
        <v>40445</v>
      </c>
      <c r="S8097" t="s">
        <v>40730</v>
      </c>
      <c r="T8097" t="s">
        <v>42184</v>
      </c>
      <c r="U8097" t="s">
        <v>49451</v>
      </c>
      <c r="W8097" t="s">
        <v>37627</v>
      </c>
      <c r="X8097" t="s">
        <v>40446</v>
      </c>
    </row>
    <row r="8098" spans="1:24">
      <c r="A8098">
        <f>HYPERLINK("https://www.philgeps.gov.ph/GEPSNONPILOT/Tender/SplashBidNoticeAbstractUI.aspx?menuIndex=3&amp;refID=7035990&amp;Result=3","7035990")</f>
        <v>0</v>
      </c>
      <c r="B8098" t="s">
        <v>2412</v>
      </c>
      <c r="C8098" t="s">
        <v>10799</v>
      </c>
      <c r="D8098" t="s">
        <v>16262</v>
      </c>
      <c r="E8098" t="s">
        <v>19989</v>
      </c>
      <c r="F8098" t="s">
        <v>28198</v>
      </c>
      <c r="G8098" t="s">
        <v>28205</v>
      </c>
      <c r="H8098" t="s">
        <v>28214</v>
      </c>
      <c r="I8098" t="s">
        <v>3797</v>
      </c>
      <c r="J8098" t="s">
        <v>33427</v>
      </c>
      <c r="K8098" t="s">
        <v>36771</v>
      </c>
      <c r="M8098" t="s">
        <v>39600</v>
      </c>
      <c r="N8098" t="s">
        <v>40436</v>
      </c>
      <c r="O8098" t="s">
        <v>40437</v>
      </c>
      <c r="P8098">
        <v>0</v>
      </c>
      <c r="Q8098">
        <v>0</v>
      </c>
      <c r="R8098" t="s">
        <v>40445</v>
      </c>
      <c r="S8098" t="s">
        <v>40730</v>
      </c>
      <c r="T8098" t="s">
        <v>42174</v>
      </c>
      <c r="U8098" t="s">
        <v>49452</v>
      </c>
      <c r="W8098" t="s">
        <v>39600</v>
      </c>
      <c r="X8098" t="s">
        <v>40446</v>
      </c>
    </row>
    <row r="8099" spans="1:24">
      <c r="A8099">
        <f>HYPERLINK("https://www.philgeps.gov.ph/GEPSNONPILOT/Tender/SplashBidNoticeAbstractUI.aspx?menuIndex=3&amp;refID=7035971&amp;Result=3","7035971")</f>
        <v>0</v>
      </c>
      <c r="B8099" t="s">
        <v>2433</v>
      </c>
      <c r="C8099" t="s">
        <v>10800</v>
      </c>
      <c r="D8099" t="s">
        <v>16248</v>
      </c>
      <c r="E8099" t="s">
        <v>18126</v>
      </c>
      <c r="F8099" t="s">
        <v>28198</v>
      </c>
      <c r="G8099" t="s">
        <v>28207</v>
      </c>
      <c r="H8099" t="s">
        <v>28215</v>
      </c>
      <c r="I8099" t="s">
        <v>4219</v>
      </c>
      <c r="J8099" t="s">
        <v>33428</v>
      </c>
      <c r="K8099" t="s">
        <v>36687</v>
      </c>
      <c r="M8099" t="s">
        <v>39622</v>
      </c>
      <c r="N8099" t="s">
        <v>40436</v>
      </c>
      <c r="O8099" t="s">
        <v>40437</v>
      </c>
      <c r="P8099">
        <v>0</v>
      </c>
      <c r="Q8099">
        <v>5</v>
      </c>
      <c r="R8099" t="s">
        <v>40445</v>
      </c>
      <c r="S8099" t="s">
        <v>40730</v>
      </c>
      <c r="T8099" t="s">
        <v>42121</v>
      </c>
      <c r="U8099" t="s">
        <v>49453</v>
      </c>
      <c r="V8099" t="s">
        <v>54656</v>
      </c>
      <c r="W8099" t="s">
        <v>39622</v>
      </c>
      <c r="X8099" t="s">
        <v>40446</v>
      </c>
    </row>
    <row r="8100" spans="1:24">
      <c r="A8100">
        <f>HYPERLINK("https://www.philgeps.gov.ph/GEPSNONPILOT/Tender/SplashBidNoticeAbstractUI.aspx?menuIndex=3&amp;refID=7035985&amp;Result=3","7035985")</f>
        <v>0</v>
      </c>
      <c r="B8100" t="s">
        <v>1921</v>
      </c>
      <c r="C8100" t="s">
        <v>10801</v>
      </c>
      <c r="D8100" t="s">
        <v>16243</v>
      </c>
      <c r="E8100" t="s">
        <v>10801</v>
      </c>
      <c r="F8100" t="s">
        <v>28198</v>
      </c>
      <c r="G8100" t="s">
        <v>28205</v>
      </c>
      <c r="H8100" t="s">
        <v>28215</v>
      </c>
      <c r="I8100" t="s">
        <v>28222</v>
      </c>
      <c r="J8100" t="s">
        <v>28959</v>
      </c>
      <c r="K8100" t="s">
        <v>36707</v>
      </c>
      <c r="M8100" t="s">
        <v>39054</v>
      </c>
      <c r="N8100" t="s">
        <v>40436</v>
      </c>
      <c r="O8100" t="s">
        <v>40437</v>
      </c>
      <c r="P8100">
        <v>0</v>
      </c>
      <c r="Q8100">
        <v>4</v>
      </c>
      <c r="R8100" t="s">
        <v>40445</v>
      </c>
      <c r="S8100" t="s">
        <v>40730</v>
      </c>
      <c r="T8100" t="s">
        <v>42234</v>
      </c>
      <c r="U8100" t="s">
        <v>49454</v>
      </c>
      <c r="W8100" t="s">
        <v>39054</v>
      </c>
      <c r="X8100" t="s">
        <v>40446</v>
      </c>
    </row>
    <row r="8101" spans="1:24">
      <c r="A8101">
        <f>HYPERLINK("https://www.philgeps.gov.ph/GEPSNONPILOT/Tender/SplashBidNoticeAbstractUI.aspx?menuIndex=3&amp;refID=7036003&amp;Result=3","7036003")</f>
        <v>0</v>
      </c>
      <c r="B8101" t="s">
        <v>2420</v>
      </c>
      <c r="C8101" t="s">
        <v>10802</v>
      </c>
      <c r="D8101" t="s">
        <v>16190</v>
      </c>
      <c r="E8101" t="s">
        <v>23401</v>
      </c>
      <c r="F8101" t="s">
        <v>28198</v>
      </c>
      <c r="G8101" t="s">
        <v>28205</v>
      </c>
      <c r="H8101" t="s">
        <v>28215</v>
      </c>
      <c r="I8101" t="s">
        <v>5100</v>
      </c>
      <c r="J8101" t="s">
        <v>33429</v>
      </c>
      <c r="K8101" t="s">
        <v>36689</v>
      </c>
      <c r="M8101" t="s">
        <v>39608</v>
      </c>
      <c r="N8101" t="s">
        <v>40436</v>
      </c>
      <c r="O8101" t="s">
        <v>40437</v>
      </c>
      <c r="P8101">
        <v>0</v>
      </c>
      <c r="Q8101">
        <v>0</v>
      </c>
      <c r="R8101" t="s">
        <v>40445</v>
      </c>
      <c r="S8101" t="s">
        <v>40730</v>
      </c>
      <c r="T8101" t="s">
        <v>42431</v>
      </c>
      <c r="U8101" t="s">
        <v>49438</v>
      </c>
      <c r="V8101" t="s">
        <v>54650</v>
      </c>
      <c r="W8101" t="s">
        <v>39608</v>
      </c>
      <c r="X8101" t="s">
        <v>40446</v>
      </c>
    </row>
    <row r="8102" spans="1:24">
      <c r="A8102">
        <f>HYPERLINK("https://www.philgeps.gov.ph/GEPSNONPILOT/Tender/SplashBidNoticeAbstractUI.aspx?menuIndex=3&amp;refID=7035988&amp;Result=3","7035988")</f>
        <v>0</v>
      </c>
      <c r="B8102" t="s">
        <v>332</v>
      </c>
      <c r="C8102" t="s">
        <v>10803</v>
      </c>
      <c r="E8102" t="s">
        <v>23402</v>
      </c>
      <c r="F8102" t="s">
        <v>28198</v>
      </c>
      <c r="G8102" t="s">
        <v>28205</v>
      </c>
      <c r="H8102" t="s">
        <v>28214</v>
      </c>
      <c r="I8102" t="s">
        <v>3797</v>
      </c>
      <c r="J8102" t="s">
        <v>30991</v>
      </c>
      <c r="K8102" t="s">
        <v>36690</v>
      </c>
      <c r="M8102" t="s">
        <v>39168</v>
      </c>
      <c r="N8102" t="s">
        <v>40436</v>
      </c>
      <c r="O8102" t="s">
        <v>40437</v>
      </c>
      <c r="P8102">
        <v>0</v>
      </c>
      <c r="Q8102">
        <v>1</v>
      </c>
      <c r="R8102" t="s">
        <v>40445</v>
      </c>
      <c r="S8102" t="s">
        <v>40730</v>
      </c>
      <c r="T8102" t="s">
        <v>42183</v>
      </c>
      <c r="U8102" t="s">
        <v>49455</v>
      </c>
      <c r="W8102" t="s">
        <v>37310</v>
      </c>
      <c r="X8102" t="s">
        <v>40446</v>
      </c>
    </row>
    <row r="8103" spans="1:24">
      <c r="A8103">
        <f>HYPERLINK("https://www.philgeps.gov.ph/GEPSNONPILOT/Tender/SplashBidNoticeAbstractUI.aspx?menuIndex=3&amp;refID=7035961&amp;Result=3","7035961")</f>
        <v>0</v>
      </c>
      <c r="B8103" t="s">
        <v>2420</v>
      </c>
      <c r="C8103" t="s">
        <v>10804</v>
      </c>
      <c r="D8103" t="s">
        <v>16190</v>
      </c>
      <c r="E8103" t="s">
        <v>23403</v>
      </c>
      <c r="F8103" t="s">
        <v>28198</v>
      </c>
      <c r="G8103" t="s">
        <v>28205</v>
      </c>
      <c r="H8103" t="s">
        <v>28215</v>
      </c>
      <c r="I8103" t="s">
        <v>5100</v>
      </c>
      <c r="J8103" t="s">
        <v>33430</v>
      </c>
      <c r="K8103" t="s">
        <v>36689</v>
      </c>
      <c r="M8103" t="s">
        <v>39608</v>
      </c>
      <c r="N8103" t="s">
        <v>40436</v>
      </c>
      <c r="O8103" t="s">
        <v>40437</v>
      </c>
      <c r="P8103">
        <v>0</v>
      </c>
      <c r="Q8103">
        <v>0</v>
      </c>
      <c r="R8103" t="s">
        <v>40445</v>
      </c>
      <c r="S8103" t="s">
        <v>40730</v>
      </c>
      <c r="T8103" t="s">
        <v>42431</v>
      </c>
      <c r="U8103" t="s">
        <v>49438</v>
      </c>
      <c r="V8103" t="s">
        <v>54650</v>
      </c>
      <c r="W8103" t="s">
        <v>39608</v>
      </c>
      <c r="X8103" t="s">
        <v>40446</v>
      </c>
    </row>
    <row r="8104" spans="1:24">
      <c r="A8104">
        <f>HYPERLINK("https://www.philgeps.gov.ph/GEPSNONPILOT/Tender/SplashBidNoticeAbstractUI.aspx?menuIndex=3&amp;refID=7035956&amp;Result=3","7035956")</f>
        <v>0</v>
      </c>
      <c r="B8104" t="s">
        <v>1610</v>
      </c>
      <c r="C8104" t="s">
        <v>10805</v>
      </c>
      <c r="E8104" t="s">
        <v>23404</v>
      </c>
      <c r="F8104" t="s">
        <v>28198</v>
      </c>
      <c r="G8104" t="s">
        <v>28207</v>
      </c>
      <c r="H8104" t="s">
        <v>28215</v>
      </c>
      <c r="I8104" t="s">
        <v>28258</v>
      </c>
      <c r="J8104" t="s">
        <v>28352</v>
      </c>
      <c r="K8104" t="s">
        <v>36689</v>
      </c>
      <c r="M8104" t="s">
        <v>38697</v>
      </c>
      <c r="N8104" t="s">
        <v>40436</v>
      </c>
      <c r="O8104" t="s">
        <v>40437</v>
      </c>
      <c r="P8104">
        <v>0</v>
      </c>
      <c r="Q8104">
        <v>10</v>
      </c>
      <c r="R8104" t="s">
        <v>40445</v>
      </c>
      <c r="S8104" t="s">
        <v>40730</v>
      </c>
      <c r="T8104" t="s">
        <v>42378</v>
      </c>
      <c r="U8104" t="s">
        <v>49408</v>
      </c>
      <c r="W8104" t="s">
        <v>38697</v>
      </c>
      <c r="X8104" t="s">
        <v>40446</v>
      </c>
    </row>
    <row r="8105" spans="1:24">
      <c r="A8105">
        <f>HYPERLINK("https://www.philgeps.gov.ph/GEPSNONPILOT/Tender/SplashBidNoticeAbstractUI.aspx?menuIndex=3&amp;refID=7036011&amp;Result=3","7036011")</f>
        <v>0</v>
      </c>
      <c r="B8105" t="s">
        <v>2355</v>
      </c>
      <c r="C8105" t="s">
        <v>10806</v>
      </c>
      <c r="D8105" t="s">
        <v>16210</v>
      </c>
      <c r="E8105" t="s">
        <v>23405</v>
      </c>
      <c r="F8105" t="s">
        <v>28198</v>
      </c>
      <c r="G8105" t="s">
        <v>28205</v>
      </c>
      <c r="H8105" t="s">
        <v>28215</v>
      </c>
      <c r="I8105" t="s">
        <v>28227</v>
      </c>
      <c r="J8105" t="s">
        <v>33431</v>
      </c>
      <c r="K8105" t="s">
        <v>36696</v>
      </c>
      <c r="M8105" t="s">
        <v>39623</v>
      </c>
      <c r="N8105" t="s">
        <v>40436</v>
      </c>
      <c r="O8105" t="s">
        <v>40437</v>
      </c>
      <c r="P8105">
        <v>0</v>
      </c>
      <c r="Q8105">
        <v>4</v>
      </c>
      <c r="R8105" t="s">
        <v>40445</v>
      </c>
      <c r="S8105" t="s">
        <v>40730</v>
      </c>
      <c r="T8105" t="s">
        <v>42103</v>
      </c>
      <c r="U8105" t="s">
        <v>49456</v>
      </c>
      <c r="W8105" t="s">
        <v>39623</v>
      </c>
      <c r="X8105" t="s">
        <v>40446</v>
      </c>
    </row>
    <row r="8106" spans="1:24">
      <c r="A8106">
        <f>HYPERLINK("https://www.philgeps.gov.ph/GEPSNONPILOT/Tender/SplashBidNoticeAbstractUI.aspx?menuIndex=3&amp;refID=7036031&amp;Result=3","7036031")</f>
        <v>0</v>
      </c>
      <c r="B8106" t="s">
        <v>2420</v>
      </c>
      <c r="C8106" t="s">
        <v>10807</v>
      </c>
      <c r="D8106" t="s">
        <v>16190</v>
      </c>
      <c r="E8106" t="s">
        <v>23406</v>
      </c>
      <c r="F8106" t="s">
        <v>28198</v>
      </c>
      <c r="G8106" t="s">
        <v>28205</v>
      </c>
      <c r="H8106" t="s">
        <v>28215</v>
      </c>
      <c r="I8106" t="s">
        <v>5100</v>
      </c>
      <c r="J8106" t="s">
        <v>33432</v>
      </c>
      <c r="K8106" t="s">
        <v>36689</v>
      </c>
      <c r="M8106" t="s">
        <v>39608</v>
      </c>
      <c r="N8106" t="s">
        <v>40436</v>
      </c>
      <c r="O8106" t="s">
        <v>40437</v>
      </c>
      <c r="P8106">
        <v>0</v>
      </c>
      <c r="Q8106">
        <v>0</v>
      </c>
      <c r="R8106" t="s">
        <v>40445</v>
      </c>
      <c r="S8106" t="s">
        <v>40730</v>
      </c>
      <c r="T8106" t="s">
        <v>42431</v>
      </c>
      <c r="U8106" t="s">
        <v>49457</v>
      </c>
      <c r="V8106" t="s">
        <v>54650</v>
      </c>
      <c r="W8106" t="s">
        <v>39608</v>
      </c>
      <c r="X8106" t="s">
        <v>40446</v>
      </c>
    </row>
    <row r="8107" spans="1:24">
      <c r="A8107">
        <f>HYPERLINK("https://www.philgeps.gov.ph/GEPSNONPILOT/Tender/SplashBidNoticeAbstractUI.aspx?menuIndex=3&amp;refID=7036077&amp;Result=3","7036077")</f>
        <v>0</v>
      </c>
      <c r="B8107" t="s">
        <v>2434</v>
      </c>
      <c r="C8107" t="s">
        <v>10808</v>
      </c>
      <c r="D8107" t="s">
        <v>16202</v>
      </c>
      <c r="E8107" t="s">
        <v>10808</v>
      </c>
      <c r="F8107" t="s">
        <v>28198</v>
      </c>
      <c r="G8107" t="s">
        <v>28205</v>
      </c>
      <c r="H8107" t="s">
        <v>28215</v>
      </c>
      <c r="I8107" t="s">
        <v>4222</v>
      </c>
      <c r="J8107" t="s">
        <v>33433</v>
      </c>
      <c r="K8107" t="s">
        <v>36694</v>
      </c>
      <c r="M8107" t="s">
        <v>39624</v>
      </c>
      <c r="N8107" t="s">
        <v>40436</v>
      </c>
      <c r="O8107" t="s">
        <v>40437</v>
      </c>
      <c r="P8107">
        <v>0</v>
      </c>
      <c r="Q8107">
        <v>6</v>
      </c>
      <c r="R8107" t="s">
        <v>40445</v>
      </c>
      <c r="S8107" t="s">
        <v>40730</v>
      </c>
      <c r="T8107" t="s">
        <v>42240</v>
      </c>
      <c r="U8107" t="s">
        <v>49458</v>
      </c>
      <c r="V8107" t="s">
        <v>53932</v>
      </c>
      <c r="W8107" t="s">
        <v>39624</v>
      </c>
      <c r="X8107" t="s">
        <v>40446</v>
      </c>
    </row>
    <row r="8108" spans="1:24">
      <c r="A8108">
        <f>HYPERLINK("https://www.philgeps.gov.ph/GEPSNONPILOT/Tender/SplashBidNoticeAbstractUI.aspx?menuIndex=3&amp;refID=7036023&amp;Result=3","7036023")</f>
        <v>0</v>
      </c>
      <c r="B8108" t="s">
        <v>1386</v>
      </c>
      <c r="C8108" t="s">
        <v>10809</v>
      </c>
      <c r="D8108" t="s">
        <v>16262</v>
      </c>
      <c r="E8108" t="s">
        <v>23407</v>
      </c>
      <c r="F8108" t="s">
        <v>28198</v>
      </c>
      <c r="G8108" t="s">
        <v>28205</v>
      </c>
      <c r="H8108" t="s">
        <v>28215</v>
      </c>
      <c r="I8108" t="s">
        <v>28236</v>
      </c>
      <c r="J8108" t="s">
        <v>31928</v>
      </c>
      <c r="K8108" t="s">
        <v>36706</v>
      </c>
      <c r="M8108" t="s">
        <v>38450</v>
      </c>
      <c r="N8108" t="s">
        <v>40436</v>
      </c>
      <c r="O8108" t="s">
        <v>40437</v>
      </c>
      <c r="P8108">
        <v>0</v>
      </c>
      <c r="Q8108">
        <v>7</v>
      </c>
      <c r="R8108" t="s">
        <v>40445</v>
      </c>
      <c r="S8108" t="s">
        <v>40730</v>
      </c>
      <c r="T8108" t="s">
        <v>42319</v>
      </c>
      <c r="U8108" t="s">
        <v>49459</v>
      </c>
      <c r="W8108" t="s">
        <v>38450</v>
      </c>
      <c r="X8108" t="s">
        <v>40446</v>
      </c>
    </row>
    <row r="8109" spans="1:24">
      <c r="A8109">
        <f>HYPERLINK("https://www.philgeps.gov.ph/GEPSNONPILOT/Tender/SplashBidNoticeAbstractUI.aspx?menuIndex=3&amp;refID=7036073&amp;Result=3","7036073")</f>
        <v>0</v>
      </c>
      <c r="B8109" t="s">
        <v>2420</v>
      </c>
      <c r="C8109" t="s">
        <v>10810</v>
      </c>
      <c r="D8109" t="s">
        <v>16190</v>
      </c>
      <c r="E8109" t="s">
        <v>23408</v>
      </c>
      <c r="F8109" t="s">
        <v>28198</v>
      </c>
      <c r="G8109" t="s">
        <v>28205</v>
      </c>
      <c r="H8109" t="s">
        <v>28215</v>
      </c>
      <c r="I8109" t="s">
        <v>5100</v>
      </c>
      <c r="J8109" t="s">
        <v>33434</v>
      </c>
      <c r="K8109" t="s">
        <v>36689</v>
      </c>
      <c r="M8109" t="s">
        <v>39608</v>
      </c>
      <c r="N8109" t="s">
        <v>40436</v>
      </c>
      <c r="O8109" t="s">
        <v>40437</v>
      </c>
      <c r="P8109">
        <v>0</v>
      </c>
      <c r="Q8109">
        <v>0</v>
      </c>
      <c r="R8109" t="s">
        <v>40445</v>
      </c>
      <c r="S8109" t="s">
        <v>40730</v>
      </c>
      <c r="T8109" t="s">
        <v>42431</v>
      </c>
      <c r="U8109" t="s">
        <v>49460</v>
      </c>
      <c r="V8109" t="s">
        <v>54650</v>
      </c>
      <c r="W8109" t="s">
        <v>39608</v>
      </c>
      <c r="X8109" t="s">
        <v>40446</v>
      </c>
    </row>
    <row r="8110" spans="1:24">
      <c r="A8110">
        <f>HYPERLINK("https://www.philgeps.gov.ph/GEPSNONPILOT/Tender/SplashBidNoticeAbstractUI.aspx?menuIndex=3&amp;refID=7036018&amp;Result=3","7036018")</f>
        <v>0</v>
      </c>
      <c r="B8110" t="s">
        <v>2428</v>
      </c>
      <c r="C8110" t="s">
        <v>10811</v>
      </c>
      <c r="D8110" t="s">
        <v>16227</v>
      </c>
      <c r="E8110" t="s">
        <v>23409</v>
      </c>
      <c r="F8110" t="s">
        <v>28198</v>
      </c>
      <c r="G8110" t="s">
        <v>28205</v>
      </c>
      <c r="H8110" t="s">
        <v>28214</v>
      </c>
      <c r="I8110" t="s">
        <v>3797</v>
      </c>
      <c r="J8110" t="s">
        <v>31166</v>
      </c>
      <c r="K8110" t="s">
        <v>36690</v>
      </c>
      <c r="M8110" t="s">
        <v>39616</v>
      </c>
      <c r="N8110" t="s">
        <v>40436</v>
      </c>
      <c r="O8110" t="s">
        <v>40437</v>
      </c>
      <c r="P8110">
        <v>0</v>
      </c>
      <c r="Q8110">
        <v>17</v>
      </c>
      <c r="R8110" t="s">
        <v>40445</v>
      </c>
      <c r="S8110" t="s">
        <v>40730</v>
      </c>
      <c r="T8110" t="s">
        <v>42427</v>
      </c>
      <c r="U8110" t="s">
        <v>49433</v>
      </c>
      <c r="W8110" t="s">
        <v>39616</v>
      </c>
      <c r="X8110" t="s">
        <v>40446</v>
      </c>
    </row>
    <row r="8111" spans="1:24">
      <c r="A8111">
        <f>HYPERLINK("https://www.philgeps.gov.ph/GEPSNONPILOT/Tender/SplashBidNoticeAbstractUI.aspx?menuIndex=3&amp;refID=7036066&amp;Result=3","7036066")</f>
        <v>0</v>
      </c>
      <c r="B8111" t="s">
        <v>1217</v>
      </c>
      <c r="C8111" t="s">
        <v>10812</v>
      </c>
      <c r="D8111" t="s">
        <v>16260</v>
      </c>
      <c r="E8111" t="s">
        <v>17512</v>
      </c>
      <c r="F8111" t="s">
        <v>28198</v>
      </c>
      <c r="G8111" t="s">
        <v>28205</v>
      </c>
      <c r="H8111" t="s">
        <v>28215</v>
      </c>
      <c r="I8111" t="s">
        <v>4200</v>
      </c>
      <c r="J8111" t="s">
        <v>33435</v>
      </c>
      <c r="K8111" t="s">
        <v>36688</v>
      </c>
      <c r="M8111" t="s">
        <v>38262</v>
      </c>
      <c r="N8111" t="s">
        <v>40436</v>
      </c>
      <c r="O8111" t="s">
        <v>40437</v>
      </c>
      <c r="P8111">
        <v>0</v>
      </c>
      <c r="Q8111">
        <v>0</v>
      </c>
      <c r="R8111" t="s">
        <v>40445</v>
      </c>
      <c r="S8111" t="s">
        <v>40730</v>
      </c>
      <c r="T8111" t="s">
        <v>42131</v>
      </c>
      <c r="U8111" t="s">
        <v>49461</v>
      </c>
      <c r="W8111" t="s">
        <v>38262</v>
      </c>
      <c r="X8111" t="s">
        <v>40446</v>
      </c>
    </row>
    <row r="8112" spans="1:24">
      <c r="A8112">
        <f>HYPERLINK("https://www.philgeps.gov.ph/GEPSNONPILOT/Tender/SplashBidNoticeAbstractUI.aspx?menuIndex=3&amp;refID=7036030&amp;Result=3","7036030")</f>
        <v>0</v>
      </c>
      <c r="B8112" t="s">
        <v>2435</v>
      </c>
      <c r="C8112" t="s">
        <v>10813</v>
      </c>
      <c r="D8112" t="s">
        <v>16246</v>
      </c>
      <c r="E8112" t="s">
        <v>23410</v>
      </c>
      <c r="F8112" t="s">
        <v>28198</v>
      </c>
      <c r="G8112" t="s">
        <v>28206</v>
      </c>
      <c r="H8112" t="s">
        <v>28215</v>
      </c>
      <c r="I8112" t="s">
        <v>4321</v>
      </c>
      <c r="J8112" t="s">
        <v>33436</v>
      </c>
      <c r="K8112" t="s">
        <v>36688</v>
      </c>
      <c r="M8112" t="s">
        <v>39625</v>
      </c>
      <c r="N8112" t="s">
        <v>40436</v>
      </c>
      <c r="O8112" t="s">
        <v>40437</v>
      </c>
      <c r="P8112">
        <v>0</v>
      </c>
      <c r="Q8112">
        <v>6</v>
      </c>
      <c r="R8112" t="s">
        <v>40445</v>
      </c>
      <c r="S8112" t="s">
        <v>40730</v>
      </c>
      <c r="T8112" t="s">
        <v>42233</v>
      </c>
      <c r="U8112" t="s">
        <v>49462</v>
      </c>
      <c r="W8112" t="s">
        <v>39625</v>
      </c>
      <c r="X8112" t="s">
        <v>40446</v>
      </c>
    </row>
    <row r="8113" spans="1:24">
      <c r="A8113">
        <f>HYPERLINK("https://www.philgeps.gov.ph/GEPSNONPILOT/Tender/SplashBidNoticeAbstractUI.aspx?menuIndex=3&amp;refID=7036071&amp;Result=3","7036071")</f>
        <v>0</v>
      </c>
      <c r="B8113" t="s">
        <v>2432</v>
      </c>
      <c r="C8113" t="s">
        <v>10814</v>
      </c>
      <c r="D8113" t="s">
        <v>16211</v>
      </c>
      <c r="E8113" t="s">
        <v>23411</v>
      </c>
      <c r="F8113" t="s">
        <v>28198</v>
      </c>
      <c r="G8113" t="s">
        <v>28205</v>
      </c>
      <c r="H8113" t="s">
        <v>28214</v>
      </c>
      <c r="I8113" t="s">
        <v>3797</v>
      </c>
      <c r="J8113" t="s">
        <v>33437</v>
      </c>
      <c r="K8113" t="s">
        <v>36711</v>
      </c>
      <c r="M8113" t="s">
        <v>39620</v>
      </c>
      <c r="N8113" t="s">
        <v>40436</v>
      </c>
      <c r="O8113" t="s">
        <v>40437</v>
      </c>
      <c r="P8113">
        <v>0</v>
      </c>
      <c r="Q8113">
        <v>1</v>
      </c>
      <c r="R8113" t="s">
        <v>40445</v>
      </c>
      <c r="S8113" t="s">
        <v>40730</v>
      </c>
      <c r="T8113" t="s">
        <v>42426</v>
      </c>
      <c r="U8113" t="s">
        <v>49463</v>
      </c>
      <c r="W8113" t="s">
        <v>39620</v>
      </c>
      <c r="X8113" t="s">
        <v>40446</v>
      </c>
    </row>
    <row r="8114" spans="1:24">
      <c r="A8114">
        <f>HYPERLINK("https://www.philgeps.gov.ph/GEPSNONPILOT/Tender/SplashBidNoticeAbstractUI.aspx?menuIndex=3&amp;refID=7036060&amp;Result=3","7036060")</f>
        <v>0</v>
      </c>
      <c r="B8114" t="s">
        <v>2436</v>
      </c>
      <c r="C8114" t="s">
        <v>10815</v>
      </c>
      <c r="D8114" t="s">
        <v>16195</v>
      </c>
      <c r="E8114" t="s">
        <v>16352</v>
      </c>
      <c r="F8114" t="s">
        <v>28198</v>
      </c>
      <c r="G8114" t="s">
        <v>28205</v>
      </c>
      <c r="H8114" t="s">
        <v>28215</v>
      </c>
      <c r="I8114" t="s">
        <v>5100</v>
      </c>
      <c r="J8114" t="s">
        <v>33438</v>
      </c>
      <c r="K8114" t="s">
        <v>36701</v>
      </c>
      <c r="M8114" t="s">
        <v>39626</v>
      </c>
      <c r="N8114" t="s">
        <v>40436</v>
      </c>
      <c r="O8114" t="s">
        <v>40437</v>
      </c>
      <c r="P8114">
        <v>0</v>
      </c>
      <c r="Q8114">
        <v>0</v>
      </c>
      <c r="R8114" t="s">
        <v>40445</v>
      </c>
      <c r="S8114" t="s">
        <v>40730</v>
      </c>
      <c r="T8114" t="s">
        <v>42234</v>
      </c>
      <c r="U8114" t="s">
        <v>49464</v>
      </c>
      <c r="W8114" t="s">
        <v>39626</v>
      </c>
      <c r="X8114" t="s">
        <v>40446</v>
      </c>
    </row>
    <row r="8115" spans="1:24">
      <c r="A8115">
        <f>HYPERLINK("https://www.philgeps.gov.ph/GEPSNONPILOT/Tender/SplashBidNoticeAbstractUI.aspx?menuIndex=3&amp;refID=7036056&amp;Result=3","7036056")</f>
        <v>0</v>
      </c>
      <c r="B8115" t="s">
        <v>166</v>
      </c>
      <c r="C8115" t="s">
        <v>10816</v>
      </c>
      <c r="D8115" t="s">
        <v>16235</v>
      </c>
      <c r="E8115" t="s">
        <v>22351</v>
      </c>
      <c r="F8115" t="s">
        <v>28198</v>
      </c>
      <c r="G8115" t="s">
        <v>28205</v>
      </c>
      <c r="H8115" t="s">
        <v>28215</v>
      </c>
      <c r="I8115" t="s">
        <v>28238</v>
      </c>
      <c r="J8115" t="s">
        <v>28345</v>
      </c>
      <c r="K8115" t="s">
        <v>36707</v>
      </c>
      <c r="M8115" t="s">
        <v>37140</v>
      </c>
      <c r="N8115" t="s">
        <v>40436</v>
      </c>
      <c r="O8115" t="s">
        <v>40437</v>
      </c>
      <c r="P8115">
        <v>0</v>
      </c>
      <c r="Q8115">
        <v>0</v>
      </c>
      <c r="R8115" t="s">
        <v>40445</v>
      </c>
      <c r="S8115" t="s">
        <v>40730</v>
      </c>
      <c r="T8115" t="s">
        <v>42112</v>
      </c>
      <c r="U8115" t="s">
        <v>49465</v>
      </c>
      <c r="W8115" t="s">
        <v>37140</v>
      </c>
      <c r="X8115" t="s">
        <v>40446</v>
      </c>
    </row>
    <row r="8116" spans="1:24">
      <c r="A8116">
        <f>HYPERLINK("https://www.philgeps.gov.ph/GEPSNONPILOT/Tender/SplashBidNoticeAbstractUI.aspx?menuIndex=3&amp;refID=7036022&amp;Result=3","7036022")</f>
        <v>0</v>
      </c>
      <c r="B8116" t="s">
        <v>1858</v>
      </c>
      <c r="C8116" t="s">
        <v>10817</v>
      </c>
      <c r="D8116" t="s">
        <v>16210</v>
      </c>
      <c r="E8116" t="s">
        <v>23412</v>
      </c>
      <c r="F8116" t="s">
        <v>28198</v>
      </c>
      <c r="G8116" t="s">
        <v>28205</v>
      </c>
      <c r="H8116" t="s">
        <v>28217</v>
      </c>
      <c r="I8116" t="s">
        <v>28268</v>
      </c>
      <c r="J8116" t="s">
        <v>33439</v>
      </c>
      <c r="K8116" t="s">
        <v>36688</v>
      </c>
      <c r="M8116" t="s">
        <v>39573</v>
      </c>
      <c r="N8116" t="s">
        <v>40436</v>
      </c>
      <c r="O8116" t="s">
        <v>40437</v>
      </c>
      <c r="P8116">
        <v>0</v>
      </c>
      <c r="Q8116">
        <v>0</v>
      </c>
      <c r="R8116" t="s">
        <v>40445</v>
      </c>
      <c r="S8116" t="s">
        <v>40730</v>
      </c>
      <c r="T8116" t="s">
        <v>42346</v>
      </c>
      <c r="U8116" t="s">
        <v>49350</v>
      </c>
      <c r="W8116" t="s">
        <v>39573</v>
      </c>
      <c r="X8116" t="s">
        <v>40446</v>
      </c>
    </row>
    <row r="8117" spans="1:24">
      <c r="A8117">
        <f>HYPERLINK("https://www.philgeps.gov.ph/GEPSNONPILOT/Tender/SplashBidNoticeAbstractUI.aspx?menuIndex=3&amp;refID=7036067&amp;Result=3","7036067")</f>
        <v>0</v>
      </c>
      <c r="B8117" t="s">
        <v>2042</v>
      </c>
      <c r="C8117" t="s">
        <v>10818</v>
      </c>
      <c r="D8117" t="s">
        <v>16260</v>
      </c>
      <c r="E8117" t="s">
        <v>23413</v>
      </c>
      <c r="F8117" t="s">
        <v>28198</v>
      </c>
      <c r="G8117" t="s">
        <v>28205</v>
      </c>
      <c r="H8117" t="s">
        <v>28215</v>
      </c>
      <c r="I8117" t="s">
        <v>28226</v>
      </c>
      <c r="J8117" t="s">
        <v>28511</v>
      </c>
      <c r="K8117" t="s">
        <v>36701</v>
      </c>
      <c r="M8117" t="s">
        <v>39186</v>
      </c>
      <c r="N8117" t="s">
        <v>40436</v>
      </c>
      <c r="O8117" t="s">
        <v>40437</v>
      </c>
      <c r="Q8117">
        <v>0</v>
      </c>
      <c r="R8117" t="s">
        <v>40445</v>
      </c>
      <c r="S8117" t="s">
        <v>40742</v>
      </c>
      <c r="T8117" t="s">
        <v>42132</v>
      </c>
      <c r="U8117" t="s">
        <v>49466</v>
      </c>
      <c r="W8117" t="s">
        <v>39186</v>
      </c>
      <c r="X8117" t="s">
        <v>40446</v>
      </c>
    </row>
    <row r="8118" spans="1:24">
      <c r="A8118">
        <f>HYPERLINK("https://www.philgeps.gov.ph/GEPSNONPILOT/Tender/SplashBidNoticeAbstractUI.aspx?menuIndex=3&amp;refID=7036055&amp;Result=3","7036055")</f>
        <v>0</v>
      </c>
      <c r="B8118" t="s">
        <v>2432</v>
      </c>
      <c r="C8118" t="s">
        <v>10819</v>
      </c>
      <c r="D8118" t="s">
        <v>16211</v>
      </c>
      <c r="E8118" t="s">
        <v>23414</v>
      </c>
      <c r="F8118" t="s">
        <v>28198</v>
      </c>
      <c r="G8118" t="s">
        <v>28205</v>
      </c>
      <c r="H8118" t="s">
        <v>28214</v>
      </c>
      <c r="I8118" t="s">
        <v>3797</v>
      </c>
      <c r="J8118" t="s">
        <v>28351</v>
      </c>
      <c r="K8118" t="s">
        <v>36734</v>
      </c>
      <c r="M8118" t="s">
        <v>39620</v>
      </c>
      <c r="N8118" t="s">
        <v>40436</v>
      </c>
      <c r="O8118" t="s">
        <v>40437</v>
      </c>
      <c r="P8118">
        <v>0</v>
      </c>
      <c r="Q8118">
        <v>0</v>
      </c>
      <c r="R8118" t="s">
        <v>40445</v>
      </c>
      <c r="S8118" t="s">
        <v>40730</v>
      </c>
      <c r="T8118" t="s">
        <v>42426</v>
      </c>
      <c r="U8118" t="s">
        <v>49467</v>
      </c>
      <c r="W8118" t="s">
        <v>39620</v>
      </c>
      <c r="X8118" t="s">
        <v>40446</v>
      </c>
    </row>
    <row r="8119" spans="1:24">
      <c r="A8119">
        <f>HYPERLINK("https://www.philgeps.gov.ph/GEPSNONPILOT/Tender/SplashBidNoticeAbstractUI.aspx?menuIndex=3&amp;refID=7036053&amp;Result=3","7036053")</f>
        <v>0</v>
      </c>
      <c r="B8119" t="s">
        <v>1907</v>
      </c>
      <c r="C8119" t="s">
        <v>10820</v>
      </c>
      <c r="D8119" t="s">
        <v>16251</v>
      </c>
      <c r="E8119" t="s">
        <v>23415</v>
      </c>
      <c r="F8119" t="s">
        <v>28198</v>
      </c>
      <c r="G8119" t="s">
        <v>28205</v>
      </c>
      <c r="H8119" t="s">
        <v>28215</v>
      </c>
      <c r="I8119" t="s">
        <v>5100</v>
      </c>
      <c r="J8119" t="s">
        <v>31460</v>
      </c>
      <c r="K8119" t="s">
        <v>36701</v>
      </c>
      <c r="M8119" t="s">
        <v>39039</v>
      </c>
      <c r="N8119" t="s">
        <v>40436</v>
      </c>
      <c r="O8119" t="s">
        <v>40437</v>
      </c>
      <c r="P8119">
        <v>0</v>
      </c>
      <c r="Q8119">
        <v>1</v>
      </c>
      <c r="R8119" t="s">
        <v>40445</v>
      </c>
      <c r="S8119" t="s">
        <v>40730</v>
      </c>
      <c r="T8119" t="s">
        <v>42234</v>
      </c>
      <c r="U8119" t="s">
        <v>49468</v>
      </c>
      <c r="V8119" t="s">
        <v>54657</v>
      </c>
      <c r="W8119" t="s">
        <v>39039</v>
      </c>
      <c r="X8119" t="s">
        <v>40446</v>
      </c>
    </row>
    <row r="8120" spans="1:24">
      <c r="A8120">
        <f>HYPERLINK("https://www.philgeps.gov.ph/GEPSNONPILOT/Tender/SplashBidNoticeAbstractUI.aspx?menuIndex=3&amp;refID=7036151&amp;Result=3","7036151")</f>
        <v>0</v>
      </c>
      <c r="B8120" t="s">
        <v>2437</v>
      </c>
      <c r="C8120" t="s">
        <v>10821</v>
      </c>
      <c r="D8120" t="s">
        <v>16190</v>
      </c>
      <c r="E8120" t="s">
        <v>23416</v>
      </c>
      <c r="F8120" t="s">
        <v>28198</v>
      </c>
      <c r="G8120" t="s">
        <v>28205</v>
      </c>
      <c r="H8120" t="s">
        <v>28214</v>
      </c>
      <c r="I8120" t="s">
        <v>3797</v>
      </c>
      <c r="J8120" t="s">
        <v>28363</v>
      </c>
      <c r="K8120" t="s">
        <v>36701</v>
      </c>
      <c r="M8120" t="s">
        <v>39627</v>
      </c>
      <c r="N8120" t="s">
        <v>40436</v>
      </c>
      <c r="O8120" t="s">
        <v>40437</v>
      </c>
      <c r="P8120">
        <v>0</v>
      </c>
      <c r="Q8120">
        <v>1</v>
      </c>
      <c r="R8120" t="s">
        <v>40445</v>
      </c>
      <c r="S8120" t="s">
        <v>40730</v>
      </c>
      <c r="T8120" t="s">
        <v>42145</v>
      </c>
      <c r="U8120" t="s">
        <v>49469</v>
      </c>
      <c r="W8120" t="s">
        <v>39627</v>
      </c>
      <c r="X8120" t="s">
        <v>40446</v>
      </c>
    </row>
    <row r="8121" spans="1:24">
      <c r="A8121">
        <f>HYPERLINK("https://www.philgeps.gov.ph/GEPSNONPILOT/Tender/SplashBidNoticeAbstractUI.aspx?menuIndex=3&amp;refID=7036070&amp;Result=3","7036070")</f>
        <v>0</v>
      </c>
      <c r="B8121" t="s">
        <v>2149</v>
      </c>
      <c r="C8121" t="s">
        <v>10822</v>
      </c>
      <c r="D8121" t="s">
        <v>16228</v>
      </c>
      <c r="E8121" t="s">
        <v>23417</v>
      </c>
      <c r="F8121" t="s">
        <v>28198</v>
      </c>
      <c r="G8121" t="s">
        <v>28205</v>
      </c>
      <c r="H8121" t="s">
        <v>28214</v>
      </c>
      <c r="I8121" t="s">
        <v>3797</v>
      </c>
      <c r="J8121" t="s">
        <v>33440</v>
      </c>
      <c r="K8121" t="s">
        <v>36817</v>
      </c>
      <c r="M8121" t="s">
        <v>39306</v>
      </c>
      <c r="N8121" t="s">
        <v>40436</v>
      </c>
      <c r="O8121" t="s">
        <v>40437</v>
      </c>
      <c r="P8121">
        <v>0</v>
      </c>
      <c r="Q8121">
        <v>3</v>
      </c>
      <c r="R8121" t="s">
        <v>40445</v>
      </c>
      <c r="S8121" t="s">
        <v>40730</v>
      </c>
      <c r="T8121" t="s">
        <v>42125</v>
      </c>
      <c r="U8121" t="s">
        <v>49470</v>
      </c>
      <c r="W8121" t="s">
        <v>39306</v>
      </c>
      <c r="X8121" t="s">
        <v>40446</v>
      </c>
    </row>
    <row r="8122" spans="1:24">
      <c r="A8122">
        <f>HYPERLINK("https://www.philgeps.gov.ph/GEPSNONPILOT/Tender/SplashBidNoticeAbstractUI.aspx?menuIndex=3&amp;refID=7036152&amp;Result=3","7036152")</f>
        <v>0</v>
      </c>
      <c r="B8122" t="s">
        <v>2428</v>
      </c>
      <c r="C8122" t="s">
        <v>10823</v>
      </c>
      <c r="D8122" t="s">
        <v>16227</v>
      </c>
      <c r="E8122" t="s">
        <v>23418</v>
      </c>
      <c r="F8122" t="s">
        <v>28198</v>
      </c>
      <c r="G8122" t="s">
        <v>28205</v>
      </c>
      <c r="H8122" t="s">
        <v>28214</v>
      </c>
      <c r="I8122" t="s">
        <v>3797</v>
      </c>
      <c r="J8122" t="s">
        <v>31166</v>
      </c>
      <c r="K8122" t="s">
        <v>36690</v>
      </c>
      <c r="M8122" t="s">
        <v>39616</v>
      </c>
      <c r="N8122" t="s">
        <v>40436</v>
      </c>
      <c r="O8122" t="s">
        <v>40437</v>
      </c>
      <c r="P8122">
        <v>0</v>
      </c>
      <c r="Q8122">
        <v>16</v>
      </c>
      <c r="R8122" t="s">
        <v>40445</v>
      </c>
      <c r="S8122" t="s">
        <v>40730</v>
      </c>
      <c r="T8122" t="s">
        <v>42427</v>
      </c>
      <c r="U8122" t="s">
        <v>49471</v>
      </c>
      <c r="W8122" t="s">
        <v>39616</v>
      </c>
      <c r="X8122" t="s">
        <v>40446</v>
      </c>
    </row>
    <row r="8123" spans="1:24">
      <c r="A8123">
        <f>HYPERLINK("https://www.philgeps.gov.ph/GEPSNONPILOT/Tender/SplashBidNoticeAbstractUI.aspx?menuIndex=3&amp;refID=7036026&amp;Result=3","7036026")</f>
        <v>0</v>
      </c>
      <c r="B8123" t="s">
        <v>2432</v>
      </c>
      <c r="C8123" t="s">
        <v>10824</v>
      </c>
      <c r="D8123" t="s">
        <v>16211</v>
      </c>
      <c r="E8123" t="s">
        <v>23419</v>
      </c>
      <c r="F8123" t="s">
        <v>28198</v>
      </c>
      <c r="G8123" t="s">
        <v>28205</v>
      </c>
      <c r="H8123" t="s">
        <v>28214</v>
      </c>
      <c r="I8123" t="s">
        <v>3797</v>
      </c>
      <c r="J8123" t="s">
        <v>33441</v>
      </c>
      <c r="K8123" t="s">
        <v>36715</v>
      </c>
      <c r="M8123" t="s">
        <v>39620</v>
      </c>
      <c r="N8123" t="s">
        <v>40436</v>
      </c>
      <c r="O8123" t="s">
        <v>40437</v>
      </c>
      <c r="P8123">
        <v>0</v>
      </c>
      <c r="Q8123">
        <v>1</v>
      </c>
      <c r="R8123" t="s">
        <v>40445</v>
      </c>
      <c r="S8123" t="s">
        <v>40730</v>
      </c>
      <c r="T8123" t="s">
        <v>42426</v>
      </c>
      <c r="U8123" t="s">
        <v>49472</v>
      </c>
      <c r="W8123" t="s">
        <v>39620</v>
      </c>
      <c r="X8123" t="s">
        <v>40446</v>
      </c>
    </row>
    <row r="8124" spans="1:24">
      <c r="A8124">
        <f>HYPERLINK("https://www.philgeps.gov.ph/GEPSNONPILOT/Tender/SplashBidNoticeAbstractUI.aspx?menuIndex=3&amp;refID=7036130&amp;Result=3","7036130")</f>
        <v>0</v>
      </c>
      <c r="B8124" t="s">
        <v>2437</v>
      </c>
      <c r="C8124" t="s">
        <v>10825</v>
      </c>
      <c r="D8124" t="s">
        <v>16190</v>
      </c>
      <c r="E8124" t="s">
        <v>23420</v>
      </c>
      <c r="F8124" t="s">
        <v>28198</v>
      </c>
      <c r="G8124" t="s">
        <v>28205</v>
      </c>
      <c r="H8124" t="s">
        <v>28214</v>
      </c>
      <c r="I8124" t="s">
        <v>3797</v>
      </c>
      <c r="J8124" t="s">
        <v>28818</v>
      </c>
      <c r="K8124" t="s">
        <v>36694</v>
      </c>
      <c r="M8124" t="s">
        <v>39627</v>
      </c>
      <c r="N8124" t="s">
        <v>40436</v>
      </c>
      <c r="O8124" t="s">
        <v>40437</v>
      </c>
      <c r="P8124">
        <v>0</v>
      </c>
      <c r="Q8124">
        <v>3</v>
      </c>
      <c r="R8124" t="s">
        <v>40445</v>
      </c>
      <c r="S8124" t="s">
        <v>40730</v>
      </c>
      <c r="T8124" t="s">
        <v>42145</v>
      </c>
      <c r="U8124" t="s">
        <v>49473</v>
      </c>
      <c r="W8124" t="s">
        <v>39627</v>
      </c>
      <c r="X8124" t="s">
        <v>40446</v>
      </c>
    </row>
    <row r="8125" spans="1:24">
      <c r="A8125">
        <f>HYPERLINK("https://www.philgeps.gov.ph/GEPSNONPILOT/Tender/SplashBidNoticeAbstractUI.aspx?menuIndex=3&amp;refID=7036059&amp;Result=3","7036059")</f>
        <v>0</v>
      </c>
      <c r="B8125" t="s">
        <v>2420</v>
      </c>
      <c r="C8125" t="s">
        <v>10826</v>
      </c>
      <c r="D8125" t="s">
        <v>16190</v>
      </c>
      <c r="E8125" t="s">
        <v>23421</v>
      </c>
      <c r="F8125" t="s">
        <v>28198</v>
      </c>
      <c r="G8125" t="s">
        <v>28205</v>
      </c>
      <c r="H8125" t="s">
        <v>28215</v>
      </c>
      <c r="I8125" t="s">
        <v>5100</v>
      </c>
      <c r="J8125" t="s">
        <v>33442</v>
      </c>
      <c r="K8125" t="s">
        <v>36689</v>
      </c>
      <c r="M8125" t="s">
        <v>39608</v>
      </c>
      <c r="N8125" t="s">
        <v>40436</v>
      </c>
      <c r="O8125" t="s">
        <v>40437</v>
      </c>
      <c r="P8125">
        <v>0</v>
      </c>
      <c r="Q8125">
        <v>0</v>
      </c>
      <c r="R8125" t="s">
        <v>40445</v>
      </c>
      <c r="S8125" t="s">
        <v>40730</v>
      </c>
      <c r="T8125" t="s">
        <v>42431</v>
      </c>
      <c r="U8125" t="s">
        <v>49474</v>
      </c>
      <c r="V8125" t="s">
        <v>54650</v>
      </c>
      <c r="W8125" t="s">
        <v>39608</v>
      </c>
      <c r="X8125" t="s">
        <v>40446</v>
      </c>
    </row>
    <row r="8126" spans="1:24">
      <c r="A8126">
        <f>HYPERLINK("https://www.philgeps.gov.ph/GEPSNONPILOT/Tender/SplashBidNoticeAbstractUI.aspx?menuIndex=3&amp;refID=7036137&amp;Result=3","7036137")</f>
        <v>0</v>
      </c>
      <c r="B8126" t="s">
        <v>2420</v>
      </c>
      <c r="C8126" t="s">
        <v>10827</v>
      </c>
      <c r="D8126" t="s">
        <v>16190</v>
      </c>
      <c r="E8126" t="s">
        <v>23422</v>
      </c>
      <c r="F8126" t="s">
        <v>28198</v>
      </c>
      <c r="G8126" t="s">
        <v>28205</v>
      </c>
      <c r="H8126" t="s">
        <v>28215</v>
      </c>
      <c r="I8126" t="s">
        <v>5100</v>
      </c>
      <c r="J8126" t="s">
        <v>33443</v>
      </c>
      <c r="K8126" t="s">
        <v>36689</v>
      </c>
      <c r="M8126" t="s">
        <v>39608</v>
      </c>
      <c r="N8126" t="s">
        <v>40436</v>
      </c>
      <c r="O8126" t="s">
        <v>40437</v>
      </c>
      <c r="P8126">
        <v>0</v>
      </c>
      <c r="Q8126">
        <v>1</v>
      </c>
      <c r="R8126" t="s">
        <v>40445</v>
      </c>
      <c r="S8126" t="s">
        <v>40730</v>
      </c>
      <c r="T8126" t="s">
        <v>42431</v>
      </c>
      <c r="U8126" t="s">
        <v>49475</v>
      </c>
      <c r="V8126" t="s">
        <v>54650</v>
      </c>
      <c r="W8126" t="s">
        <v>39608</v>
      </c>
      <c r="X8126" t="s">
        <v>40446</v>
      </c>
    </row>
    <row r="8127" spans="1:24">
      <c r="A8127">
        <f>HYPERLINK("https://www.philgeps.gov.ph/GEPSNONPILOT/Tender/SplashBidNoticeAbstractUI.aspx?menuIndex=3&amp;refID=7036128&amp;Result=3","7036128")</f>
        <v>0</v>
      </c>
      <c r="B8127" t="s">
        <v>1354</v>
      </c>
      <c r="C8127" t="s">
        <v>10828</v>
      </c>
      <c r="D8127" t="s">
        <v>16238</v>
      </c>
      <c r="E8127" t="s">
        <v>23423</v>
      </c>
      <c r="F8127" t="s">
        <v>28198</v>
      </c>
      <c r="G8127" t="s">
        <v>28205</v>
      </c>
      <c r="H8127" t="s">
        <v>28215</v>
      </c>
      <c r="I8127" t="s">
        <v>28228</v>
      </c>
      <c r="J8127" t="s">
        <v>33444</v>
      </c>
      <c r="K8127" t="s">
        <v>36698</v>
      </c>
      <c r="M8127" t="s">
        <v>38412</v>
      </c>
      <c r="N8127" t="s">
        <v>40436</v>
      </c>
      <c r="O8127" t="s">
        <v>40437</v>
      </c>
      <c r="P8127">
        <v>0</v>
      </c>
      <c r="Q8127">
        <v>0</v>
      </c>
      <c r="R8127" t="s">
        <v>40445</v>
      </c>
      <c r="S8127" t="s">
        <v>40730</v>
      </c>
      <c r="T8127" t="s">
        <v>42350</v>
      </c>
      <c r="U8127" t="s">
        <v>49476</v>
      </c>
      <c r="W8127" t="s">
        <v>38412</v>
      </c>
      <c r="X8127" t="s">
        <v>40446</v>
      </c>
    </row>
    <row r="8128" spans="1:24">
      <c r="A8128">
        <f>HYPERLINK("https://www.philgeps.gov.ph/GEPSNONPILOT/Tender/SplashBidNoticeAbstractUI.aspx?menuIndex=3&amp;refID=7036134&amp;Result=3","7036134")</f>
        <v>0</v>
      </c>
      <c r="B8128" t="s">
        <v>1442</v>
      </c>
      <c r="C8128" t="s">
        <v>10829</v>
      </c>
      <c r="D8128" t="s">
        <v>16191</v>
      </c>
      <c r="E8128" t="s">
        <v>23424</v>
      </c>
      <c r="F8128" t="s">
        <v>28198</v>
      </c>
      <c r="G8128" t="s">
        <v>28205</v>
      </c>
      <c r="H8128" t="s">
        <v>28214</v>
      </c>
      <c r="I8128" t="s">
        <v>3797</v>
      </c>
      <c r="J8128" t="s">
        <v>33445</v>
      </c>
      <c r="K8128" t="s">
        <v>36703</v>
      </c>
      <c r="M8128" t="s">
        <v>38509</v>
      </c>
      <c r="N8128" t="s">
        <v>40436</v>
      </c>
      <c r="O8128" t="s">
        <v>40437</v>
      </c>
      <c r="P8128">
        <v>0</v>
      </c>
      <c r="Q8128">
        <v>1</v>
      </c>
      <c r="R8128" t="s">
        <v>40445</v>
      </c>
      <c r="S8128" t="s">
        <v>40730</v>
      </c>
      <c r="T8128" t="s">
        <v>42277</v>
      </c>
      <c r="U8128" t="s">
        <v>45956</v>
      </c>
      <c r="W8128" t="s">
        <v>38509</v>
      </c>
      <c r="X8128" t="s">
        <v>40446</v>
      </c>
    </row>
    <row r="8129" spans="1:24">
      <c r="A8129">
        <f>HYPERLINK("https://www.philgeps.gov.ph/GEPSNONPILOT/Tender/SplashBidNoticeAbstractUI.aspx?menuIndex=3&amp;refID=7036123&amp;Result=3","7036123")</f>
        <v>0</v>
      </c>
      <c r="B8129" t="s">
        <v>2355</v>
      </c>
      <c r="C8129" t="s">
        <v>10830</v>
      </c>
      <c r="D8129" t="s">
        <v>16210</v>
      </c>
      <c r="E8129" t="s">
        <v>23425</v>
      </c>
      <c r="F8129" t="s">
        <v>28198</v>
      </c>
      <c r="G8129" t="s">
        <v>28205</v>
      </c>
      <c r="H8129" t="s">
        <v>28215</v>
      </c>
      <c r="I8129" t="s">
        <v>4200</v>
      </c>
      <c r="J8129" t="s">
        <v>30873</v>
      </c>
      <c r="K8129" t="s">
        <v>36701</v>
      </c>
      <c r="M8129" t="s">
        <v>39623</v>
      </c>
      <c r="N8129" t="s">
        <v>40436</v>
      </c>
      <c r="O8129" t="s">
        <v>40437</v>
      </c>
      <c r="P8129">
        <v>0</v>
      </c>
      <c r="Q8129">
        <v>2</v>
      </c>
      <c r="R8129" t="s">
        <v>40445</v>
      </c>
      <c r="S8129" t="s">
        <v>40730</v>
      </c>
      <c r="T8129" t="s">
        <v>42103</v>
      </c>
      <c r="U8129" t="s">
        <v>49477</v>
      </c>
      <c r="W8129" t="s">
        <v>39623</v>
      </c>
      <c r="X8129" t="s">
        <v>40446</v>
      </c>
    </row>
    <row r="8130" spans="1:24">
      <c r="A8130">
        <f>HYPERLINK("https://www.philgeps.gov.ph/GEPSNONPILOT/Tender/SplashBidNoticeAbstractUI.aspx?menuIndex=3&amp;refID=7036124&amp;Result=3","7036124")</f>
        <v>0</v>
      </c>
      <c r="B8130" t="s">
        <v>52</v>
      </c>
      <c r="C8130" t="s">
        <v>10831</v>
      </c>
      <c r="E8130" t="s">
        <v>23426</v>
      </c>
      <c r="F8130" t="s">
        <v>28198</v>
      </c>
      <c r="G8130" t="s">
        <v>28207</v>
      </c>
      <c r="H8130" t="s">
        <v>28215</v>
      </c>
      <c r="I8130" t="s">
        <v>28292</v>
      </c>
      <c r="J8130" t="s">
        <v>29339</v>
      </c>
      <c r="K8130" t="s">
        <v>36701</v>
      </c>
      <c r="M8130" t="s">
        <v>37589</v>
      </c>
      <c r="N8130" t="s">
        <v>40436</v>
      </c>
      <c r="O8130" t="s">
        <v>40437</v>
      </c>
      <c r="P8130">
        <v>0</v>
      </c>
      <c r="Q8130">
        <v>0</v>
      </c>
      <c r="R8130" t="s">
        <v>40445</v>
      </c>
      <c r="S8130" t="s">
        <v>40730</v>
      </c>
      <c r="T8130" t="s">
        <v>42161</v>
      </c>
      <c r="U8130" t="s">
        <v>49478</v>
      </c>
      <c r="W8130" t="s">
        <v>55453</v>
      </c>
      <c r="X8130" t="s">
        <v>40446</v>
      </c>
    </row>
    <row r="8131" spans="1:24">
      <c r="A8131">
        <f>HYPERLINK("https://www.philgeps.gov.ph/GEPSNONPILOT/Tender/SplashBidNoticeAbstractUI.aspx?menuIndex=3&amp;refID=7036144&amp;Result=3","7036144")</f>
        <v>0</v>
      </c>
      <c r="B8131" t="s">
        <v>2420</v>
      </c>
      <c r="C8131" t="s">
        <v>10832</v>
      </c>
      <c r="D8131" t="s">
        <v>16190</v>
      </c>
      <c r="E8131" t="s">
        <v>23427</v>
      </c>
      <c r="F8131" t="s">
        <v>28198</v>
      </c>
      <c r="G8131" t="s">
        <v>28205</v>
      </c>
      <c r="H8131" t="s">
        <v>28215</v>
      </c>
      <c r="I8131" t="s">
        <v>28224</v>
      </c>
      <c r="J8131" t="s">
        <v>33446</v>
      </c>
      <c r="K8131" t="s">
        <v>36689</v>
      </c>
      <c r="M8131" t="s">
        <v>39608</v>
      </c>
      <c r="N8131" t="s">
        <v>40436</v>
      </c>
      <c r="O8131" t="s">
        <v>40437</v>
      </c>
      <c r="P8131">
        <v>0</v>
      </c>
      <c r="Q8131">
        <v>1</v>
      </c>
      <c r="R8131" t="s">
        <v>40445</v>
      </c>
      <c r="S8131" t="s">
        <v>40730</v>
      </c>
      <c r="T8131" t="s">
        <v>42431</v>
      </c>
      <c r="U8131" t="s">
        <v>49479</v>
      </c>
      <c r="V8131" t="s">
        <v>54650</v>
      </c>
      <c r="W8131" t="s">
        <v>39608</v>
      </c>
      <c r="X8131" t="s">
        <v>40446</v>
      </c>
    </row>
    <row r="8132" spans="1:24">
      <c r="A8132">
        <f>HYPERLINK("https://www.philgeps.gov.ph/GEPSNONPILOT/Tender/SplashBidNoticeAbstractUI.aspx?menuIndex=3&amp;refID=7036122&amp;Result=3","7036122")</f>
        <v>0</v>
      </c>
      <c r="B8132" t="s">
        <v>1698</v>
      </c>
      <c r="C8132" t="s">
        <v>4027</v>
      </c>
      <c r="D8132" t="s">
        <v>16233</v>
      </c>
      <c r="E8132" t="s">
        <v>18560</v>
      </c>
      <c r="F8132" t="s">
        <v>28198</v>
      </c>
      <c r="G8132" t="s">
        <v>28207</v>
      </c>
      <c r="H8132" t="s">
        <v>28215</v>
      </c>
      <c r="I8132" t="s">
        <v>4168</v>
      </c>
      <c r="J8132" t="s">
        <v>33447</v>
      </c>
      <c r="K8132" t="s">
        <v>36688</v>
      </c>
      <c r="L8132" t="s">
        <v>1698</v>
      </c>
      <c r="M8132" t="s">
        <v>38799</v>
      </c>
      <c r="N8132" t="s">
        <v>40436</v>
      </c>
      <c r="O8132" t="s">
        <v>40437</v>
      </c>
      <c r="P8132">
        <v>0</v>
      </c>
      <c r="Q8132">
        <v>0</v>
      </c>
      <c r="R8132" t="s">
        <v>40445</v>
      </c>
      <c r="S8132" t="s">
        <v>40730</v>
      </c>
      <c r="T8132" t="s">
        <v>42218</v>
      </c>
      <c r="U8132" t="s">
        <v>49480</v>
      </c>
      <c r="V8132" t="s">
        <v>54270</v>
      </c>
      <c r="W8132" t="s">
        <v>38799</v>
      </c>
      <c r="X8132" t="s">
        <v>40446</v>
      </c>
    </row>
    <row r="8133" spans="1:24">
      <c r="A8133">
        <f>HYPERLINK("https://www.philgeps.gov.ph/GEPSNONPILOT/Tender/SplashBidNoticeAbstractUI.aspx?menuIndex=3&amp;refID=7036143&amp;Result=3","7036143")</f>
        <v>0</v>
      </c>
      <c r="B8133" t="s">
        <v>2432</v>
      </c>
      <c r="C8133" t="s">
        <v>10833</v>
      </c>
      <c r="D8133" t="s">
        <v>16211</v>
      </c>
      <c r="E8133" t="s">
        <v>23428</v>
      </c>
      <c r="F8133" t="s">
        <v>28198</v>
      </c>
      <c r="G8133" t="s">
        <v>28205</v>
      </c>
      <c r="H8133" t="s">
        <v>28214</v>
      </c>
      <c r="I8133" t="s">
        <v>3797</v>
      </c>
      <c r="J8133" t="s">
        <v>31317</v>
      </c>
      <c r="K8133" t="s">
        <v>36766</v>
      </c>
      <c r="M8133" t="s">
        <v>39620</v>
      </c>
      <c r="N8133" t="s">
        <v>40436</v>
      </c>
      <c r="O8133" t="s">
        <v>40437</v>
      </c>
      <c r="P8133">
        <v>0</v>
      </c>
      <c r="Q8133">
        <v>0</v>
      </c>
      <c r="R8133" t="s">
        <v>40445</v>
      </c>
      <c r="S8133" t="s">
        <v>40730</v>
      </c>
      <c r="T8133" t="s">
        <v>42426</v>
      </c>
      <c r="U8133" t="s">
        <v>49481</v>
      </c>
      <c r="W8133" t="s">
        <v>39620</v>
      </c>
      <c r="X8133" t="s">
        <v>40446</v>
      </c>
    </row>
    <row r="8134" spans="1:24">
      <c r="A8134">
        <f>HYPERLINK("https://www.philgeps.gov.ph/GEPSNONPILOT/Tender/SplashBidNoticeAbstractUI.aspx?menuIndex=3&amp;refID=7036127&amp;Result=3","7036127")</f>
        <v>0</v>
      </c>
      <c r="B8134" t="s">
        <v>895</v>
      </c>
      <c r="C8134" t="s">
        <v>10834</v>
      </c>
      <c r="D8134" t="s">
        <v>16218</v>
      </c>
      <c r="E8134" t="s">
        <v>23429</v>
      </c>
      <c r="F8134" t="s">
        <v>28198</v>
      </c>
      <c r="G8134" t="s">
        <v>28205</v>
      </c>
      <c r="H8134" t="s">
        <v>28215</v>
      </c>
      <c r="I8134" t="s">
        <v>28234</v>
      </c>
      <c r="J8134" t="s">
        <v>33448</v>
      </c>
      <c r="K8134" t="s">
        <v>36694</v>
      </c>
      <c r="M8134" t="s">
        <v>37911</v>
      </c>
      <c r="N8134" t="s">
        <v>40436</v>
      </c>
      <c r="O8134" t="s">
        <v>40437</v>
      </c>
      <c r="P8134">
        <v>0</v>
      </c>
      <c r="Q8134">
        <v>4</v>
      </c>
      <c r="R8134" t="s">
        <v>40445</v>
      </c>
      <c r="S8134" t="s">
        <v>40730</v>
      </c>
      <c r="T8134" t="s">
        <v>42320</v>
      </c>
      <c r="U8134" t="s">
        <v>49482</v>
      </c>
      <c r="W8134" t="s">
        <v>37911</v>
      </c>
      <c r="X8134" t="s">
        <v>40446</v>
      </c>
    </row>
    <row r="8135" spans="1:24">
      <c r="A8135">
        <f>HYPERLINK("https://www.philgeps.gov.ph/GEPSNONPILOT/Tender/SplashBidNoticeAbstractUI.aspx?menuIndex=3&amp;refID=7036118&amp;Result=3","7036118")</f>
        <v>0</v>
      </c>
      <c r="B8135" t="s">
        <v>2420</v>
      </c>
      <c r="C8135" t="s">
        <v>10835</v>
      </c>
      <c r="D8135" t="s">
        <v>16190</v>
      </c>
      <c r="E8135" t="s">
        <v>23430</v>
      </c>
      <c r="F8135" t="s">
        <v>28198</v>
      </c>
      <c r="G8135" t="s">
        <v>28205</v>
      </c>
      <c r="H8135" t="s">
        <v>28215</v>
      </c>
      <c r="I8135" t="s">
        <v>28247</v>
      </c>
      <c r="J8135" t="s">
        <v>33449</v>
      </c>
      <c r="K8135" t="s">
        <v>36689</v>
      </c>
      <c r="M8135" t="s">
        <v>39608</v>
      </c>
      <c r="N8135" t="s">
        <v>40436</v>
      </c>
      <c r="O8135" t="s">
        <v>40437</v>
      </c>
      <c r="P8135">
        <v>0</v>
      </c>
      <c r="Q8135">
        <v>6</v>
      </c>
      <c r="R8135" t="s">
        <v>40445</v>
      </c>
      <c r="S8135" t="s">
        <v>40730</v>
      </c>
      <c r="T8135" t="s">
        <v>42431</v>
      </c>
      <c r="U8135" t="s">
        <v>49483</v>
      </c>
      <c r="V8135" t="s">
        <v>54650</v>
      </c>
      <c r="W8135" t="s">
        <v>39608</v>
      </c>
      <c r="X8135" t="s">
        <v>40446</v>
      </c>
    </row>
    <row r="8136" spans="1:24">
      <c r="A8136">
        <f>HYPERLINK("https://www.philgeps.gov.ph/GEPSNONPILOT/Tender/SplashBidNoticeAbstractUI.aspx?menuIndex=3&amp;refID=7036149&amp;Result=3","7036149")</f>
        <v>0</v>
      </c>
      <c r="B8136" t="s">
        <v>1354</v>
      </c>
      <c r="C8136" t="s">
        <v>10836</v>
      </c>
      <c r="D8136" t="s">
        <v>16238</v>
      </c>
      <c r="E8136" t="s">
        <v>10836</v>
      </c>
      <c r="F8136" t="s">
        <v>28198</v>
      </c>
      <c r="G8136" t="s">
        <v>28205</v>
      </c>
      <c r="H8136" t="s">
        <v>28215</v>
      </c>
      <c r="I8136" t="s">
        <v>5631</v>
      </c>
      <c r="J8136" t="s">
        <v>33450</v>
      </c>
      <c r="K8136" t="s">
        <v>36701</v>
      </c>
      <c r="M8136" t="s">
        <v>38412</v>
      </c>
      <c r="N8136" t="s">
        <v>40436</v>
      </c>
      <c r="O8136" t="s">
        <v>40437</v>
      </c>
      <c r="P8136">
        <v>0</v>
      </c>
      <c r="Q8136">
        <v>0</v>
      </c>
      <c r="R8136" t="s">
        <v>40445</v>
      </c>
      <c r="S8136" t="s">
        <v>40730</v>
      </c>
      <c r="T8136" t="s">
        <v>42350</v>
      </c>
      <c r="U8136" t="s">
        <v>49484</v>
      </c>
      <c r="W8136" t="s">
        <v>38412</v>
      </c>
      <c r="X8136" t="s">
        <v>40446</v>
      </c>
    </row>
    <row r="8137" spans="1:24">
      <c r="A8137">
        <f>HYPERLINK("https://www.philgeps.gov.ph/GEPSNONPILOT/Tender/SplashBidNoticeAbstractUI.aspx?menuIndex=3&amp;refID=7036106&amp;Result=3","7036106")</f>
        <v>0</v>
      </c>
      <c r="B8137" t="s">
        <v>2420</v>
      </c>
      <c r="C8137" t="s">
        <v>10837</v>
      </c>
      <c r="D8137" t="s">
        <v>16190</v>
      </c>
      <c r="E8137" t="s">
        <v>23431</v>
      </c>
      <c r="F8137" t="s">
        <v>28198</v>
      </c>
      <c r="G8137" t="s">
        <v>28205</v>
      </c>
      <c r="H8137" t="s">
        <v>28215</v>
      </c>
      <c r="I8137" t="s">
        <v>28224</v>
      </c>
      <c r="J8137" t="s">
        <v>32097</v>
      </c>
      <c r="K8137" t="s">
        <v>36689</v>
      </c>
      <c r="M8137" t="s">
        <v>39608</v>
      </c>
      <c r="N8137" t="s">
        <v>40436</v>
      </c>
      <c r="O8137" t="s">
        <v>40437</v>
      </c>
      <c r="P8137">
        <v>0</v>
      </c>
      <c r="Q8137">
        <v>0</v>
      </c>
      <c r="R8137" t="s">
        <v>40445</v>
      </c>
      <c r="S8137" t="s">
        <v>40730</v>
      </c>
      <c r="T8137" t="s">
        <v>42431</v>
      </c>
      <c r="U8137" t="s">
        <v>49485</v>
      </c>
      <c r="V8137" t="s">
        <v>54650</v>
      </c>
      <c r="W8137" t="s">
        <v>39608</v>
      </c>
      <c r="X8137" t="s">
        <v>40446</v>
      </c>
    </row>
    <row r="8138" spans="1:24">
      <c r="A8138">
        <f>HYPERLINK("https://www.philgeps.gov.ph/GEPSNONPILOT/Tender/SplashBidNoticeAbstractUI.aspx?menuIndex=3&amp;refID=7036193&amp;Result=3","7036193")</f>
        <v>0</v>
      </c>
      <c r="B8138" t="s">
        <v>242</v>
      </c>
      <c r="C8138" t="s">
        <v>10838</v>
      </c>
      <c r="D8138" t="s">
        <v>16254</v>
      </c>
      <c r="E8138" t="s">
        <v>23432</v>
      </c>
      <c r="F8138" t="s">
        <v>28198</v>
      </c>
      <c r="G8138" t="s">
        <v>28205</v>
      </c>
      <c r="H8138" t="s">
        <v>28214</v>
      </c>
      <c r="I8138" t="s">
        <v>3797</v>
      </c>
      <c r="J8138" t="s">
        <v>30908</v>
      </c>
      <c r="K8138" t="s">
        <v>36834</v>
      </c>
      <c r="M8138" t="s">
        <v>37218</v>
      </c>
      <c r="N8138" t="s">
        <v>40436</v>
      </c>
      <c r="O8138" t="s">
        <v>40437</v>
      </c>
      <c r="P8138">
        <v>0</v>
      </c>
      <c r="Q8138">
        <v>0</v>
      </c>
      <c r="R8138" t="s">
        <v>40445</v>
      </c>
      <c r="S8138" t="s">
        <v>40730</v>
      </c>
      <c r="T8138" t="s">
        <v>42278</v>
      </c>
      <c r="U8138" t="s">
        <v>49486</v>
      </c>
      <c r="W8138" t="s">
        <v>37218</v>
      </c>
      <c r="X8138" t="s">
        <v>40446</v>
      </c>
    </row>
    <row r="8139" spans="1:24">
      <c r="A8139">
        <f>HYPERLINK("https://www.philgeps.gov.ph/GEPSNONPILOT/Tender/SplashBidNoticeAbstractUI.aspx?menuIndex=3&amp;refID=7036094&amp;Result=3","7036094")</f>
        <v>0</v>
      </c>
      <c r="B8139" t="s">
        <v>1442</v>
      </c>
      <c r="C8139" t="s">
        <v>10839</v>
      </c>
      <c r="D8139" t="s">
        <v>16191</v>
      </c>
      <c r="E8139" t="s">
        <v>23433</v>
      </c>
      <c r="F8139" t="s">
        <v>28198</v>
      </c>
      <c r="G8139" t="s">
        <v>28205</v>
      </c>
      <c r="H8139" t="s">
        <v>28214</v>
      </c>
      <c r="I8139" t="s">
        <v>3797</v>
      </c>
      <c r="J8139" t="s">
        <v>33451</v>
      </c>
      <c r="K8139" t="s">
        <v>36791</v>
      </c>
      <c r="M8139" t="s">
        <v>38509</v>
      </c>
      <c r="N8139" t="s">
        <v>40436</v>
      </c>
      <c r="O8139" t="s">
        <v>40437</v>
      </c>
      <c r="P8139">
        <v>0</v>
      </c>
      <c r="Q8139">
        <v>1</v>
      </c>
      <c r="R8139" t="s">
        <v>40445</v>
      </c>
      <c r="S8139" t="s">
        <v>40730</v>
      </c>
      <c r="T8139" t="s">
        <v>42277</v>
      </c>
      <c r="U8139" t="s">
        <v>45956</v>
      </c>
      <c r="W8139" t="s">
        <v>38509</v>
      </c>
      <c r="X8139" t="s">
        <v>40446</v>
      </c>
    </row>
    <row r="8140" spans="1:24">
      <c r="A8140">
        <f>HYPERLINK("https://www.philgeps.gov.ph/GEPSNONPILOT/Tender/SplashBidNoticeAbstractUI.aspx?menuIndex=3&amp;refID=7036168&amp;Result=3","7036168")</f>
        <v>0</v>
      </c>
      <c r="B8140" t="s">
        <v>2438</v>
      </c>
      <c r="C8140" t="s">
        <v>10840</v>
      </c>
      <c r="E8140" t="s">
        <v>23434</v>
      </c>
      <c r="F8140" t="s">
        <v>28198</v>
      </c>
      <c r="G8140" t="s">
        <v>28205</v>
      </c>
      <c r="H8140" t="s">
        <v>28215</v>
      </c>
      <c r="I8140" t="s">
        <v>28228</v>
      </c>
      <c r="J8140" t="s">
        <v>33452</v>
      </c>
      <c r="K8140" t="s">
        <v>36689</v>
      </c>
      <c r="M8140" t="s">
        <v>39628</v>
      </c>
      <c r="N8140" t="s">
        <v>40436</v>
      </c>
      <c r="O8140" t="s">
        <v>40437</v>
      </c>
      <c r="P8140">
        <v>0</v>
      </c>
      <c r="Q8140">
        <v>1</v>
      </c>
      <c r="R8140" t="s">
        <v>40445</v>
      </c>
      <c r="S8140" t="s">
        <v>40730</v>
      </c>
      <c r="T8140" t="s">
        <v>42319</v>
      </c>
      <c r="U8140" t="s">
        <v>49487</v>
      </c>
      <c r="W8140" t="s">
        <v>39628</v>
      </c>
      <c r="X8140" t="s">
        <v>40446</v>
      </c>
    </row>
    <row r="8141" spans="1:24">
      <c r="A8141">
        <f>HYPERLINK("https://www.philgeps.gov.ph/GEPSNONPILOT/Tender/SplashBidNoticeAbstractUI.aspx?menuIndex=3&amp;refID=7036153&amp;Result=3","7036153")</f>
        <v>0</v>
      </c>
      <c r="B8141" t="s">
        <v>2420</v>
      </c>
      <c r="C8141" t="s">
        <v>10841</v>
      </c>
      <c r="D8141" t="s">
        <v>16190</v>
      </c>
      <c r="E8141" t="s">
        <v>23435</v>
      </c>
      <c r="F8141" t="s">
        <v>28198</v>
      </c>
      <c r="G8141" t="s">
        <v>28205</v>
      </c>
      <c r="H8141" t="s">
        <v>28215</v>
      </c>
      <c r="I8141" t="s">
        <v>4200</v>
      </c>
      <c r="J8141" t="s">
        <v>33453</v>
      </c>
      <c r="K8141" t="s">
        <v>36689</v>
      </c>
      <c r="M8141" t="s">
        <v>39608</v>
      </c>
      <c r="N8141" t="s">
        <v>40436</v>
      </c>
      <c r="O8141" t="s">
        <v>40437</v>
      </c>
      <c r="P8141">
        <v>0</v>
      </c>
      <c r="Q8141">
        <v>0</v>
      </c>
      <c r="R8141" t="s">
        <v>40445</v>
      </c>
      <c r="S8141" t="s">
        <v>40730</v>
      </c>
      <c r="T8141" t="s">
        <v>42431</v>
      </c>
      <c r="U8141" t="s">
        <v>49488</v>
      </c>
      <c r="V8141" t="s">
        <v>54650</v>
      </c>
      <c r="W8141" t="s">
        <v>39608</v>
      </c>
      <c r="X8141" t="s">
        <v>40446</v>
      </c>
    </row>
    <row r="8142" spans="1:24">
      <c r="A8142">
        <f>HYPERLINK("https://www.philgeps.gov.ph/GEPSNONPILOT/Tender/SplashBidNoticeAbstractUI.aspx?menuIndex=3&amp;refID=7036204&amp;Result=3","7036204")</f>
        <v>0</v>
      </c>
      <c r="B8142" t="s">
        <v>2439</v>
      </c>
      <c r="C8142" t="s">
        <v>10842</v>
      </c>
      <c r="D8142" t="s">
        <v>16216</v>
      </c>
      <c r="E8142" t="s">
        <v>23436</v>
      </c>
      <c r="F8142" t="s">
        <v>28198</v>
      </c>
      <c r="G8142" t="s">
        <v>28207</v>
      </c>
      <c r="H8142" t="s">
        <v>28215</v>
      </c>
      <c r="I8142" t="s">
        <v>28287</v>
      </c>
      <c r="J8142" t="s">
        <v>33454</v>
      </c>
      <c r="K8142" t="s">
        <v>36694</v>
      </c>
      <c r="M8142" t="s">
        <v>39629</v>
      </c>
      <c r="N8142" t="s">
        <v>40436</v>
      </c>
      <c r="O8142" t="s">
        <v>40437</v>
      </c>
      <c r="P8142">
        <v>0</v>
      </c>
      <c r="Q8142">
        <v>4</v>
      </c>
      <c r="R8142" t="s">
        <v>40445</v>
      </c>
      <c r="S8142" t="s">
        <v>40730</v>
      </c>
      <c r="T8142" t="s">
        <v>42396</v>
      </c>
      <c r="U8142" t="s">
        <v>49489</v>
      </c>
      <c r="W8142" t="s">
        <v>39629</v>
      </c>
      <c r="X8142" t="s">
        <v>40446</v>
      </c>
    </row>
    <row r="8143" spans="1:24">
      <c r="A8143">
        <f>HYPERLINK("https://www.philgeps.gov.ph/GEPSNONPILOT/Tender/SplashBidNoticeAbstractUI.aspx?menuIndex=3&amp;refID=7036201&amp;Result=3","7036201")</f>
        <v>0</v>
      </c>
      <c r="B8143" t="s">
        <v>2432</v>
      </c>
      <c r="C8143" t="s">
        <v>10843</v>
      </c>
      <c r="D8143" t="s">
        <v>16211</v>
      </c>
      <c r="E8143" t="s">
        <v>23437</v>
      </c>
      <c r="F8143" t="s">
        <v>28198</v>
      </c>
      <c r="G8143" t="s">
        <v>28205</v>
      </c>
      <c r="H8143" t="s">
        <v>28214</v>
      </c>
      <c r="I8143" t="s">
        <v>3797</v>
      </c>
      <c r="J8143" t="s">
        <v>31317</v>
      </c>
      <c r="K8143" t="s">
        <v>36711</v>
      </c>
      <c r="M8143" t="s">
        <v>39620</v>
      </c>
      <c r="N8143" t="s">
        <v>40436</v>
      </c>
      <c r="O8143" t="s">
        <v>40437</v>
      </c>
      <c r="P8143">
        <v>0</v>
      </c>
      <c r="Q8143">
        <v>0</v>
      </c>
      <c r="R8143" t="s">
        <v>40445</v>
      </c>
      <c r="S8143" t="s">
        <v>40730</v>
      </c>
      <c r="T8143" t="s">
        <v>42426</v>
      </c>
      <c r="U8143" t="s">
        <v>49490</v>
      </c>
      <c r="W8143" t="s">
        <v>39620</v>
      </c>
      <c r="X8143" t="s">
        <v>40446</v>
      </c>
    </row>
    <row r="8144" spans="1:24">
      <c r="A8144">
        <f>HYPERLINK("https://www.philgeps.gov.ph/GEPSNONPILOT/Tender/SplashBidNoticeAbstractUI.aspx?menuIndex=3&amp;refID=7036185&amp;Result=3","7036185")</f>
        <v>0</v>
      </c>
      <c r="B8144" t="s">
        <v>105</v>
      </c>
      <c r="C8144" t="s">
        <v>10844</v>
      </c>
      <c r="D8144" t="s">
        <v>16233</v>
      </c>
      <c r="E8144" t="s">
        <v>23438</v>
      </c>
      <c r="F8144" t="s">
        <v>28198</v>
      </c>
      <c r="G8144" t="s">
        <v>28207</v>
      </c>
      <c r="H8144" t="s">
        <v>28215</v>
      </c>
      <c r="I8144" t="s">
        <v>28274</v>
      </c>
      <c r="J8144" t="s">
        <v>29809</v>
      </c>
      <c r="K8144" t="s">
        <v>36706</v>
      </c>
      <c r="M8144" t="s">
        <v>39589</v>
      </c>
      <c r="N8144" t="s">
        <v>40436</v>
      </c>
      <c r="O8144" t="s">
        <v>40437</v>
      </c>
      <c r="P8144">
        <v>0</v>
      </c>
      <c r="Q8144">
        <v>0</v>
      </c>
      <c r="R8144" t="s">
        <v>40445</v>
      </c>
      <c r="S8144" t="s">
        <v>40730</v>
      </c>
      <c r="T8144" t="s">
        <v>42158</v>
      </c>
      <c r="U8144" t="s">
        <v>49491</v>
      </c>
      <c r="W8144" t="s">
        <v>39589</v>
      </c>
      <c r="X8144" t="s">
        <v>40446</v>
      </c>
    </row>
    <row r="8145" spans="1:24">
      <c r="A8145">
        <f>HYPERLINK("https://www.philgeps.gov.ph/GEPSNONPILOT/Tender/SplashBidNoticeAbstractUI.aspx?menuIndex=3&amp;refID=7036191&amp;Result=3","7036191")</f>
        <v>0</v>
      </c>
      <c r="B8145" t="s">
        <v>1442</v>
      </c>
      <c r="C8145" t="s">
        <v>10845</v>
      </c>
      <c r="D8145" t="s">
        <v>16191</v>
      </c>
      <c r="E8145" t="s">
        <v>23439</v>
      </c>
      <c r="F8145" t="s">
        <v>28198</v>
      </c>
      <c r="G8145" t="s">
        <v>28205</v>
      </c>
      <c r="H8145" t="s">
        <v>28214</v>
      </c>
      <c r="I8145" t="s">
        <v>3797</v>
      </c>
      <c r="J8145" t="s">
        <v>33455</v>
      </c>
      <c r="K8145" t="s">
        <v>36816</v>
      </c>
      <c r="M8145" t="s">
        <v>38509</v>
      </c>
      <c r="N8145" t="s">
        <v>40436</v>
      </c>
      <c r="O8145" t="s">
        <v>40437</v>
      </c>
      <c r="P8145">
        <v>0</v>
      </c>
      <c r="Q8145">
        <v>1</v>
      </c>
      <c r="R8145" t="s">
        <v>40445</v>
      </c>
      <c r="S8145" t="s">
        <v>40730</v>
      </c>
      <c r="T8145" t="s">
        <v>42277</v>
      </c>
      <c r="U8145" t="s">
        <v>45956</v>
      </c>
      <c r="W8145" t="s">
        <v>38509</v>
      </c>
      <c r="X8145" t="s">
        <v>40446</v>
      </c>
    </row>
    <row r="8146" spans="1:24">
      <c r="A8146">
        <f>HYPERLINK("https://www.philgeps.gov.ph/GEPSNONPILOT/Tender/SplashBidNoticeAbstractUI.aspx?menuIndex=3&amp;refID=7036207&amp;Result=3","7036207")</f>
        <v>0</v>
      </c>
      <c r="B8146" t="s">
        <v>2437</v>
      </c>
      <c r="C8146" t="s">
        <v>10846</v>
      </c>
      <c r="D8146" t="s">
        <v>16190</v>
      </c>
      <c r="E8146" t="s">
        <v>23440</v>
      </c>
      <c r="F8146" t="s">
        <v>28198</v>
      </c>
      <c r="G8146" t="s">
        <v>28205</v>
      </c>
      <c r="H8146" t="s">
        <v>28214</v>
      </c>
      <c r="I8146" t="s">
        <v>3797</v>
      </c>
      <c r="J8146" t="s">
        <v>28927</v>
      </c>
      <c r="K8146" t="s">
        <v>36701</v>
      </c>
      <c r="M8146" t="s">
        <v>39627</v>
      </c>
      <c r="N8146" t="s">
        <v>40436</v>
      </c>
      <c r="O8146" t="s">
        <v>40437</v>
      </c>
      <c r="P8146">
        <v>0</v>
      </c>
      <c r="Q8146">
        <v>3</v>
      </c>
      <c r="R8146" t="s">
        <v>40445</v>
      </c>
      <c r="S8146" t="s">
        <v>40730</v>
      </c>
      <c r="T8146" t="s">
        <v>42145</v>
      </c>
      <c r="U8146" t="s">
        <v>49492</v>
      </c>
      <c r="W8146" t="s">
        <v>39627</v>
      </c>
      <c r="X8146" t="s">
        <v>40446</v>
      </c>
    </row>
    <row r="8147" spans="1:24">
      <c r="A8147">
        <f>HYPERLINK("https://www.philgeps.gov.ph/GEPSNONPILOT/Tender/SplashBidNoticeAbstractUI.aspx?menuIndex=3&amp;refID=7036108&amp;Result=3","7036108")</f>
        <v>0</v>
      </c>
      <c r="B8147" t="s">
        <v>1610</v>
      </c>
      <c r="C8147" t="s">
        <v>10847</v>
      </c>
      <c r="E8147" t="s">
        <v>23441</v>
      </c>
      <c r="F8147" t="s">
        <v>28198</v>
      </c>
      <c r="G8147" t="s">
        <v>28207</v>
      </c>
      <c r="H8147" t="s">
        <v>28215</v>
      </c>
      <c r="I8147" t="s">
        <v>28247</v>
      </c>
      <c r="J8147" t="s">
        <v>28589</v>
      </c>
      <c r="K8147" t="s">
        <v>36689</v>
      </c>
      <c r="M8147" t="s">
        <v>38697</v>
      </c>
      <c r="N8147" t="s">
        <v>40436</v>
      </c>
      <c r="O8147" t="s">
        <v>40437</v>
      </c>
      <c r="P8147">
        <v>0</v>
      </c>
      <c r="Q8147">
        <v>2</v>
      </c>
      <c r="R8147" t="s">
        <v>40445</v>
      </c>
      <c r="S8147" t="s">
        <v>40730</v>
      </c>
      <c r="T8147" t="s">
        <v>42378</v>
      </c>
      <c r="U8147" t="s">
        <v>49408</v>
      </c>
      <c r="W8147" t="s">
        <v>38697</v>
      </c>
      <c r="X8147" t="s">
        <v>40446</v>
      </c>
    </row>
    <row r="8148" spans="1:24">
      <c r="A8148">
        <f>HYPERLINK("https://www.philgeps.gov.ph/GEPSNONPILOT/Tender/SplashBidNoticeAbstractUI.aspx?menuIndex=3&amp;refID=7036196&amp;Result=3","7036196")</f>
        <v>0</v>
      </c>
      <c r="B8148" t="s">
        <v>2420</v>
      </c>
      <c r="C8148" t="s">
        <v>10848</v>
      </c>
      <c r="D8148" t="s">
        <v>16190</v>
      </c>
      <c r="E8148" t="s">
        <v>23442</v>
      </c>
      <c r="F8148" t="s">
        <v>28198</v>
      </c>
      <c r="G8148" t="s">
        <v>28205</v>
      </c>
      <c r="H8148" t="s">
        <v>28215</v>
      </c>
      <c r="I8148" t="s">
        <v>5100</v>
      </c>
      <c r="J8148" t="s">
        <v>33456</v>
      </c>
      <c r="K8148" t="s">
        <v>36689</v>
      </c>
      <c r="M8148" t="s">
        <v>39608</v>
      </c>
      <c r="N8148" t="s">
        <v>40436</v>
      </c>
      <c r="O8148" t="s">
        <v>40437</v>
      </c>
      <c r="P8148">
        <v>0</v>
      </c>
      <c r="Q8148">
        <v>0</v>
      </c>
      <c r="R8148" t="s">
        <v>40445</v>
      </c>
      <c r="S8148" t="s">
        <v>40730</v>
      </c>
      <c r="T8148" t="s">
        <v>42431</v>
      </c>
      <c r="U8148" t="s">
        <v>49493</v>
      </c>
      <c r="V8148" t="s">
        <v>54650</v>
      </c>
      <c r="W8148" t="s">
        <v>39608</v>
      </c>
      <c r="X8148" t="s">
        <v>40446</v>
      </c>
    </row>
    <row r="8149" spans="1:24">
      <c r="A8149">
        <f>HYPERLINK("https://www.philgeps.gov.ph/GEPSNONPILOT/Tender/SplashBidNoticeAbstractUI.aspx?menuIndex=3&amp;refID=7036012&amp;Result=3","7036012")</f>
        <v>0</v>
      </c>
      <c r="B8149" t="s">
        <v>1858</v>
      </c>
      <c r="C8149" t="s">
        <v>10849</v>
      </c>
      <c r="D8149" t="s">
        <v>16210</v>
      </c>
      <c r="E8149" t="s">
        <v>23443</v>
      </c>
      <c r="F8149" t="s">
        <v>28198</v>
      </c>
      <c r="G8149" t="s">
        <v>28205</v>
      </c>
      <c r="H8149" t="s">
        <v>28215</v>
      </c>
      <c r="I8149" t="s">
        <v>5791</v>
      </c>
      <c r="J8149" t="s">
        <v>33457</v>
      </c>
      <c r="K8149" t="s">
        <v>36688</v>
      </c>
      <c r="M8149" t="s">
        <v>39573</v>
      </c>
      <c r="N8149" t="s">
        <v>40436</v>
      </c>
      <c r="O8149" t="s">
        <v>40437</v>
      </c>
      <c r="P8149">
        <v>0</v>
      </c>
      <c r="Q8149">
        <v>0</v>
      </c>
      <c r="R8149" t="s">
        <v>40445</v>
      </c>
      <c r="S8149" t="s">
        <v>40730</v>
      </c>
      <c r="T8149" t="s">
        <v>42346</v>
      </c>
      <c r="U8149" t="s">
        <v>48720</v>
      </c>
      <c r="W8149" t="s">
        <v>39573</v>
      </c>
      <c r="X8149" t="s">
        <v>40446</v>
      </c>
    </row>
    <row r="8150" spans="1:24">
      <c r="A8150">
        <f>HYPERLINK("https://www.philgeps.gov.ph/GEPSNONPILOT/Tender/SplashBidNoticeAbstractUI.aspx?menuIndex=3&amp;refID=7036187&amp;Result=3","7036187")</f>
        <v>0</v>
      </c>
      <c r="B8150" t="s">
        <v>2389</v>
      </c>
      <c r="C8150" t="s">
        <v>10850</v>
      </c>
      <c r="D8150" t="s">
        <v>16193</v>
      </c>
      <c r="E8150" t="s">
        <v>23444</v>
      </c>
      <c r="F8150" t="s">
        <v>28198</v>
      </c>
      <c r="G8150" t="s">
        <v>28205</v>
      </c>
      <c r="H8150" t="s">
        <v>28215</v>
      </c>
      <c r="I8150" t="s">
        <v>28274</v>
      </c>
      <c r="J8150" t="s">
        <v>32898</v>
      </c>
      <c r="K8150" t="s">
        <v>36701</v>
      </c>
      <c r="M8150" t="s">
        <v>39575</v>
      </c>
      <c r="N8150" t="s">
        <v>40436</v>
      </c>
      <c r="O8150" t="s">
        <v>40437</v>
      </c>
      <c r="P8150">
        <v>0</v>
      </c>
      <c r="Q8150">
        <v>1</v>
      </c>
      <c r="R8150" t="s">
        <v>40445</v>
      </c>
      <c r="S8150" t="s">
        <v>40730</v>
      </c>
      <c r="T8150" t="s">
        <v>42279</v>
      </c>
      <c r="U8150" t="s">
        <v>49494</v>
      </c>
      <c r="V8150" t="s">
        <v>54658</v>
      </c>
      <c r="W8150" t="s">
        <v>39575</v>
      </c>
      <c r="X8150" t="s">
        <v>40446</v>
      </c>
    </row>
    <row r="8151" spans="1:24">
      <c r="A8151">
        <f>HYPERLINK("https://www.philgeps.gov.ph/GEPSNONPILOT/Tender/SplashBidNoticeAbstractUI.aspx?menuIndex=3&amp;refID=7036189&amp;Result=3","7036189")</f>
        <v>0</v>
      </c>
      <c r="B8151" t="s">
        <v>223</v>
      </c>
      <c r="C8151" t="s">
        <v>10851</v>
      </c>
      <c r="D8151" t="s">
        <v>16217</v>
      </c>
      <c r="E8151" t="s">
        <v>23445</v>
      </c>
      <c r="F8151" t="s">
        <v>28198</v>
      </c>
      <c r="G8151" t="s">
        <v>28205</v>
      </c>
      <c r="H8151" t="s">
        <v>28215</v>
      </c>
      <c r="I8151" t="s">
        <v>8870</v>
      </c>
      <c r="J8151" t="s">
        <v>33458</v>
      </c>
      <c r="K8151" t="s">
        <v>36697</v>
      </c>
      <c r="M8151" t="s">
        <v>37199</v>
      </c>
      <c r="N8151" t="s">
        <v>40436</v>
      </c>
      <c r="O8151" t="s">
        <v>40437</v>
      </c>
      <c r="P8151">
        <v>0</v>
      </c>
      <c r="Q8151">
        <v>3</v>
      </c>
      <c r="R8151" t="s">
        <v>40445</v>
      </c>
      <c r="S8151" t="s">
        <v>40730</v>
      </c>
      <c r="T8151" t="s">
        <v>42499</v>
      </c>
      <c r="U8151" t="s">
        <v>49495</v>
      </c>
      <c r="W8151" t="s">
        <v>55438</v>
      </c>
      <c r="X8151" t="s">
        <v>40446</v>
      </c>
    </row>
    <row r="8152" spans="1:24">
      <c r="A8152">
        <f>HYPERLINK("https://www.philgeps.gov.ph/GEPSNONPILOT/Tender/SplashBidNoticeAbstractUI.aspx?menuIndex=3&amp;refID=7036181&amp;Result=3","7036181")</f>
        <v>0</v>
      </c>
      <c r="B8152" t="s">
        <v>2437</v>
      </c>
      <c r="C8152" t="s">
        <v>10852</v>
      </c>
      <c r="D8152" t="s">
        <v>16190</v>
      </c>
      <c r="E8152" t="s">
        <v>23446</v>
      </c>
      <c r="F8152" t="s">
        <v>28198</v>
      </c>
      <c r="G8152" t="s">
        <v>28205</v>
      </c>
      <c r="H8152" t="s">
        <v>28214</v>
      </c>
      <c r="I8152" t="s">
        <v>3797</v>
      </c>
      <c r="J8152" t="s">
        <v>31928</v>
      </c>
      <c r="K8152" t="s">
        <v>36697</v>
      </c>
      <c r="M8152" t="s">
        <v>39627</v>
      </c>
      <c r="N8152" t="s">
        <v>40436</v>
      </c>
      <c r="O8152" t="s">
        <v>40437</v>
      </c>
      <c r="P8152">
        <v>0</v>
      </c>
      <c r="Q8152">
        <v>1</v>
      </c>
      <c r="R8152" t="s">
        <v>40445</v>
      </c>
      <c r="S8152" t="s">
        <v>40730</v>
      </c>
      <c r="T8152" t="s">
        <v>42145</v>
      </c>
      <c r="U8152" t="s">
        <v>49496</v>
      </c>
      <c r="W8152" t="s">
        <v>39627</v>
      </c>
      <c r="X8152" t="s">
        <v>40446</v>
      </c>
    </row>
    <row r="8153" spans="1:24">
      <c r="A8153">
        <f>HYPERLINK("https://www.philgeps.gov.ph/GEPSNONPILOT/Tender/SplashBidNoticeAbstractUI.aspx?menuIndex=3&amp;refID=7036186&amp;Result=3","7036186")</f>
        <v>0</v>
      </c>
      <c r="B8153" t="s">
        <v>2420</v>
      </c>
      <c r="C8153" t="s">
        <v>10853</v>
      </c>
      <c r="D8153" t="s">
        <v>16190</v>
      </c>
      <c r="E8153" t="s">
        <v>23447</v>
      </c>
      <c r="F8153" t="s">
        <v>28198</v>
      </c>
      <c r="G8153" t="s">
        <v>28205</v>
      </c>
      <c r="H8153" t="s">
        <v>28215</v>
      </c>
      <c r="I8153" t="s">
        <v>5100</v>
      </c>
      <c r="J8153" t="s">
        <v>33459</v>
      </c>
      <c r="K8153" t="s">
        <v>36689</v>
      </c>
      <c r="M8153" t="s">
        <v>39608</v>
      </c>
      <c r="N8153" t="s">
        <v>40436</v>
      </c>
      <c r="O8153" t="s">
        <v>40437</v>
      </c>
      <c r="P8153">
        <v>0</v>
      </c>
      <c r="Q8153">
        <v>0</v>
      </c>
      <c r="R8153" t="s">
        <v>40445</v>
      </c>
      <c r="S8153" t="s">
        <v>40730</v>
      </c>
      <c r="T8153" t="s">
        <v>42431</v>
      </c>
      <c r="U8153" t="s">
        <v>49497</v>
      </c>
      <c r="V8153" t="s">
        <v>54650</v>
      </c>
      <c r="W8153" t="s">
        <v>39608</v>
      </c>
      <c r="X8153" t="s">
        <v>40446</v>
      </c>
    </row>
    <row r="8154" spans="1:24">
      <c r="A8154">
        <f>HYPERLINK("https://www.philgeps.gov.ph/GEPSNONPILOT/Tender/SplashBidNoticeAbstractUI.aspx?menuIndex=3&amp;refID=7036169&amp;Result=3","7036169")</f>
        <v>0</v>
      </c>
      <c r="B8154" t="s">
        <v>1610</v>
      </c>
      <c r="C8154" t="s">
        <v>10854</v>
      </c>
      <c r="E8154" t="s">
        <v>23448</v>
      </c>
      <c r="F8154" t="s">
        <v>28198</v>
      </c>
      <c r="G8154" t="s">
        <v>28207</v>
      </c>
      <c r="H8154" t="s">
        <v>28215</v>
      </c>
      <c r="I8154" t="s">
        <v>28247</v>
      </c>
      <c r="J8154" t="s">
        <v>29346</v>
      </c>
      <c r="K8154" t="s">
        <v>36689</v>
      </c>
      <c r="M8154" t="s">
        <v>38697</v>
      </c>
      <c r="N8154" t="s">
        <v>40436</v>
      </c>
      <c r="O8154" t="s">
        <v>40437</v>
      </c>
      <c r="P8154">
        <v>0</v>
      </c>
      <c r="Q8154">
        <v>5</v>
      </c>
      <c r="R8154" t="s">
        <v>40445</v>
      </c>
      <c r="S8154" t="s">
        <v>40730</v>
      </c>
      <c r="T8154" t="s">
        <v>42378</v>
      </c>
      <c r="U8154" t="s">
        <v>49408</v>
      </c>
      <c r="W8154" t="s">
        <v>38697</v>
      </c>
      <c r="X8154" t="s">
        <v>40446</v>
      </c>
    </row>
    <row r="8155" spans="1:24">
      <c r="A8155">
        <f>HYPERLINK("https://www.philgeps.gov.ph/GEPSNONPILOT/Tender/SplashBidNoticeAbstractUI.aspx?menuIndex=3&amp;refID=7036177&amp;Result=3","7036177")</f>
        <v>0</v>
      </c>
      <c r="B8155" t="s">
        <v>1442</v>
      </c>
      <c r="C8155" t="s">
        <v>10855</v>
      </c>
      <c r="D8155" t="s">
        <v>16191</v>
      </c>
      <c r="E8155" t="s">
        <v>23449</v>
      </c>
      <c r="F8155" t="s">
        <v>28198</v>
      </c>
      <c r="G8155" t="s">
        <v>28205</v>
      </c>
      <c r="H8155" t="s">
        <v>28214</v>
      </c>
      <c r="I8155" t="s">
        <v>3797</v>
      </c>
      <c r="J8155" t="s">
        <v>30876</v>
      </c>
      <c r="K8155" t="s">
        <v>36802</v>
      </c>
      <c r="M8155" t="s">
        <v>38509</v>
      </c>
      <c r="N8155" t="s">
        <v>40436</v>
      </c>
      <c r="O8155" t="s">
        <v>40437</v>
      </c>
      <c r="P8155">
        <v>0</v>
      </c>
      <c r="Q8155">
        <v>1</v>
      </c>
      <c r="R8155" t="s">
        <v>40445</v>
      </c>
      <c r="S8155" t="s">
        <v>40730</v>
      </c>
      <c r="T8155" t="s">
        <v>42277</v>
      </c>
      <c r="U8155" t="s">
        <v>45956</v>
      </c>
      <c r="W8155" t="s">
        <v>38509</v>
      </c>
      <c r="X8155" t="s">
        <v>40446</v>
      </c>
    </row>
    <row r="8156" spans="1:24">
      <c r="A8156">
        <f>HYPERLINK("https://www.philgeps.gov.ph/GEPSNONPILOT/Tender/SplashBidNoticeAbstractUI.aspx?menuIndex=3&amp;refID=7036092&amp;Result=3","7036092")</f>
        <v>0</v>
      </c>
      <c r="B8156" t="s">
        <v>2432</v>
      </c>
      <c r="C8156" t="s">
        <v>10856</v>
      </c>
      <c r="D8156" t="s">
        <v>16211</v>
      </c>
      <c r="E8156" t="s">
        <v>23450</v>
      </c>
      <c r="F8156" t="s">
        <v>28198</v>
      </c>
      <c r="G8156" t="s">
        <v>28205</v>
      </c>
      <c r="H8156" t="s">
        <v>28214</v>
      </c>
      <c r="I8156" t="s">
        <v>3797</v>
      </c>
      <c r="J8156" t="s">
        <v>28363</v>
      </c>
      <c r="K8156" t="s">
        <v>36697</v>
      </c>
      <c r="M8156" t="s">
        <v>39620</v>
      </c>
      <c r="N8156" t="s">
        <v>40436</v>
      </c>
      <c r="O8156" t="s">
        <v>40437</v>
      </c>
      <c r="P8156">
        <v>0</v>
      </c>
      <c r="Q8156">
        <v>0</v>
      </c>
      <c r="R8156" t="s">
        <v>40445</v>
      </c>
      <c r="S8156" t="s">
        <v>40730</v>
      </c>
      <c r="T8156" t="s">
        <v>42426</v>
      </c>
      <c r="U8156" t="s">
        <v>49498</v>
      </c>
      <c r="W8156" t="s">
        <v>39620</v>
      </c>
      <c r="X8156" t="s">
        <v>40446</v>
      </c>
    </row>
    <row r="8157" spans="1:24">
      <c r="A8157">
        <f>HYPERLINK("https://www.philgeps.gov.ph/GEPSNONPILOT/Tender/SplashBidNoticeAbstractUI.aspx?menuIndex=3&amp;refID=7036180&amp;Result=3","7036180")</f>
        <v>0</v>
      </c>
      <c r="B8157" t="s">
        <v>2420</v>
      </c>
      <c r="C8157" t="s">
        <v>10857</v>
      </c>
      <c r="D8157" t="s">
        <v>16190</v>
      </c>
      <c r="E8157" t="s">
        <v>23451</v>
      </c>
      <c r="F8157" t="s">
        <v>28198</v>
      </c>
      <c r="G8157" t="s">
        <v>28205</v>
      </c>
      <c r="H8157" t="s">
        <v>28215</v>
      </c>
      <c r="I8157" t="s">
        <v>5100</v>
      </c>
      <c r="J8157" t="s">
        <v>33460</v>
      </c>
      <c r="K8157" t="s">
        <v>36689</v>
      </c>
      <c r="M8157" t="s">
        <v>39608</v>
      </c>
      <c r="N8157" t="s">
        <v>40436</v>
      </c>
      <c r="O8157" t="s">
        <v>40437</v>
      </c>
      <c r="P8157">
        <v>0</v>
      </c>
      <c r="Q8157">
        <v>0</v>
      </c>
      <c r="R8157" t="s">
        <v>40445</v>
      </c>
      <c r="S8157" t="s">
        <v>40730</v>
      </c>
      <c r="T8157" t="s">
        <v>42431</v>
      </c>
      <c r="U8157" t="s">
        <v>49499</v>
      </c>
      <c r="V8157" t="s">
        <v>54650</v>
      </c>
      <c r="W8157" t="s">
        <v>39608</v>
      </c>
      <c r="X8157" t="s">
        <v>40446</v>
      </c>
    </row>
    <row r="8158" spans="1:24">
      <c r="A8158">
        <f>HYPERLINK("https://www.philgeps.gov.ph/GEPSNONPILOT/Tender/SplashBidNoticeAbstractUI.aspx?menuIndex=3&amp;refID=7036162&amp;Result=3","7036162")</f>
        <v>0</v>
      </c>
      <c r="B8158" t="s">
        <v>2420</v>
      </c>
      <c r="C8158" t="s">
        <v>10858</v>
      </c>
      <c r="D8158" t="s">
        <v>16190</v>
      </c>
      <c r="E8158" t="s">
        <v>23452</v>
      </c>
      <c r="F8158" t="s">
        <v>28198</v>
      </c>
      <c r="G8158" t="s">
        <v>28205</v>
      </c>
      <c r="H8158" t="s">
        <v>28215</v>
      </c>
      <c r="I8158" t="s">
        <v>28225</v>
      </c>
      <c r="J8158" t="s">
        <v>33461</v>
      </c>
      <c r="K8158" t="s">
        <v>36689</v>
      </c>
      <c r="M8158" t="s">
        <v>39608</v>
      </c>
      <c r="N8158" t="s">
        <v>40436</v>
      </c>
      <c r="O8158" t="s">
        <v>40437</v>
      </c>
      <c r="P8158">
        <v>0</v>
      </c>
      <c r="Q8158">
        <v>5</v>
      </c>
      <c r="R8158" t="s">
        <v>40445</v>
      </c>
      <c r="S8158" t="s">
        <v>40730</v>
      </c>
      <c r="T8158" t="s">
        <v>42431</v>
      </c>
      <c r="U8158" t="s">
        <v>49500</v>
      </c>
      <c r="V8158" t="s">
        <v>54650</v>
      </c>
      <c r="W8158" t="s">
        <v>39608</v>
      </c>
      <c r="X8158" t="s">
        <v>40446</v>
      </c>
    </row>
    <row r="8159" spans="1:24">
      <c r="A8159">
        <f>HYPERLINK("https://www.philgeps.gov.ph/GEPSNONPILOT/Tender/SplashBidNoticeAbstractUI.aspx?menuIndex=3&amp;refID=7036183&amp;Result=3","7036183")</f>
        <v>0</v>
      </c>
      <c r="B8159" t="s">
        <v>1354</v>
      </c>
      <c r="C8159" t="s">
        <v>10859</v>
      </c>
      <c r="D8159" t="s">
        <v>16238</v>
      </c>
      <c r="E8159" t="s">
        <v>10859</v>
      </c>
      <c r="F8159" t="s">
        <v>28198</v>
      </c>
      <c r="G8159" t="s">
        <v>28205</v>
      </c>
      <c r="H8159" t="s">
        <v>28215</v>
      </c>
      <c r="I8159" t="s">
        <v>4168</v>
      </c>
      <c r="J8159" t="s">
        <v>28636</v>
      </c>
      <c r="K8159" t="s">
        <v>36701</v>
      </c>
      <c r="M8159" t="s">
        <v>38412</v>
      </c>
      <c r="N8159" t="s">
        <v>40436</v>
      </c>
      <c r="O8159" t="s">
        <v>40437</v>
      </c>
      <c r="P8159">
        <v>0</v>
      </c>
      <c r="Q8159">
        <v>0</v>
      </c>
      <c r="R8159" t="s">
        <v>40445</v>
      </c>
      <c r="S8159" t="s">
        <v>40730</v>
      </c>
      <c r="T8159" t="s">
        <v>42350</v>
      </c>
      <c r="U8159" t="s">
        <v>49501</v>
      </c>
      <c r="W8159" t="s">
        <v>38412</v>
      </c>
      <c r="X8159" t="s">
        <v>40446</v>
      </c>
    </row>
    <row r="8160" spans="1:24">
      <c r="A8160">
        <f>HYPERLINK("https://www.philgeps.gov.ph/GEPSNONPILOT/Tender/SplashBidNoticeAbstractUI.aspx?menuIndex=3&amp;refID=7036085&amp;Result=3","7036085")</f>
        <v>0</v>
      </c>
      <c r="B8160" t="s">
        <v>2389</v>
      </c>
      <c r="C8160" t="s">
        <v>10860</v>
      </c>
      <c r="D8160" t="s">
        <v>16193</v>
      </c>
      <c r="E8160" t="s">
        <v>23453</v>
      </c>
      <c r="F8160" t="s">
        <v>28198</v>
      </c>
      <c r="G8160" t="s">
        <v>28205</v>
      </c>
      <c r="H8160" t="s">
        <v>28215</v>
      </c>
      <c r="I8160" t="s">
        <v>28222</v>
      </c>
      <c r="J8160" t="s">
        <v>33462</v>
      </c>
      <c r="K8160" t="s">
        <v>36701</v>
      </c>
      <c r="M8160" t="s">
        <v>39575</v>
      </c>
      <c r="N8160" t="s">
        <v>40436</v>
      </c>
      <c r="O8160" t="s">
        <v>40437</v>
      </c>
      <c r="P8160">
        <v>0</v>
      </c>
      <c r="Q8160">
        <v>1</v>
      </c>
      <c r="R8160" t="s">
        <v>40445</v>
      </c>
      <c r="S8160" t="s">
        <v>40730</v>
      </c>
      <c r="T8160" t="s">
        <v>42279</v>
      </c>
      <c r="U8160" t="s">
        <v>49502</v>
      </c>
      <c r="V8160" t="s">
        <v>54659</v>
      </c>
      <c r="W8160" t="s">
        <v>39575</v>
      </c>
      <c r="X8160" t="s">
        <v>40446</v>
      </c>
    </row>
    <row r="8161" spans="1:24">
      <c r="A8161">
        <f>HYPERLINK("https://www.philgeps.gov.ph/GEPSNONPILOT/Tender/SplashBidNoticeAbstractUI.aspx?menuIndex=3&amp;refID=7036157&amp;Result=3","7036157")</f>
        <v>0</v>
      </c>
      <c r="B8161" t="s">
        <v>853</v>
      </c>
      <c r="C8161" t="s">
        <v>10861</v>
      </c>
      <c r="D8161" t="s">
        <v>16218</v>
      </c>
      <c r="E8161" t="s">
        <v>16473</v>
      </c>
      <c r="F8161" t="s">
        <v>28198</v>
      </c>
      <c r="G8161" t="s">
        <v>28205</v>
      </c>
      <c r="H8161" t="s">
        <v>28215</v>
      </c>
      <c r="I8161" t="s">
        <v>3774</v>
      </c>
      <c r="J8161" t="s">
        <v>33463</v>
      </c>
      <c r="K8161" t="s">
        <v>36701</v>
      </c>
      <c r="M8161" t="s">
        <v>37864</v>
      </c>
      <c r="N8161" t="s">
        <v>40436</v>
      </c>
      <c r="O8161" t="s">
        <v>40437</v>
      </c>
      <c r="P8161">
        <v>0</v>
      </c>
      <c r="Q8161">
        <v>2</v>
      </c>
      <c r="R8161" t="s">
        <v>40445</v>
      </c>
      <c r="S8161" t="s">
        <v>40730</v>
      </c>
      <c r="T8161" t="s">
        <v>42291</v>
      </c>
      <c r="U8161" t="s">
        <v>49503</v>
      </c>
      <c r="W8161" t="s">
        <v>37864</v>
      </c>
      <c r="X8161" t="s">
        <v>40446</v>
      </c>
    </row>
    <row r="8162" spans="1:24">
      <c r="A8162">
        <f>HYPERLINK("https://www.philgeps.gov.ph/GEPSNONPILOT/Tender/SplashBidNoticeAbstractUI.aspx?menuIndex=3&amp;refID=7036173&amp;Result=3","7036173")</f>
        <v>0</v>
      </c>
      <c r="B8162" t="s">
        <v>242</v>
      </c>
      <c r="C8162" t="s">
        <v>10862</v>
      </c>
      <c r="D8162" t="s">
        <v>16254</v>
      </c>
      <c r="E8162" t="s">
        <v>23454</v>
      </c>
      <c r="F8162" t="s">
        <v>28198</v>
      </c>
      <c r="G8162" t="s">
        <v>28205</v>
      </c>
      <c r="H8162" t="s">
        <v>28214</v>
      </c>
      <c r="I8162" t="s">
        <v>3797</v>
      </c>
      <c r="J8162" t="s">
        <v>28347</v>
      </c>
      <c r="K8162" t="s">
        <v>36869</v>
      </c>
      <c r="M8162" t="s">
        <v>37218</v>
      </c>
      <c r="N8162" t="s">
        <v>40436</v>
      </c>
      <c r="O8162" t="s">
        <v>40437</v>
      </c>
      <c r="P8162">
        <v>0</v>
      </c>
      <c r="Q8162">
        <v>0</v>
      </c>
      <c r="R8162" t="s">
        <v>40445</v>
      </c>
      <c r="S8162" t="s">
        <v>40730</v>
      </c>
      <c r="T8162" t="s">
        <v>42278</v>
      </c>
      <c r="U8162" t="s">
        <v>49504</v>
      </c>
      <c r="W8162" t="s">
        <v>37218</v>
      </c>
      <c r="X8162" t="s">
        <v>40446</v>
      </c>
    </row>
    <row r="8163" spans="1:24">
      <c r="A8163">
        <f>HYPERLINK("https://www.philgeps.gov.ph/GEPSNONPILOT/Tender/SplashBidNoticeAbstractUI.aspx?menuIndex=3&amp;refID=7036050&amp;Result=3","7036050")</f>
        <v>0</v>
      </c>
      <c r="B8163" t="s">
        <v>1610</v>
      </c>
      <c r="C8163" t="s">
        <v>10863</v>
      </c>
      <c r="E8163" t="s">
        <v>23455</v>
      </c>
      <c r="F8163" t="s">
        <v>28198</v>
      </c>
      <c r="G8163" t="s">
        <v>28207</v>
      </c>
      <c r="H8163" t="s">
        <v>28215</v>
      </c>
      <c r="I8163" t="s">
        <v>28226</v>
      </c>
      <c r="J8163" t="s">
        <v>28529</v>
      </c>
      <c r="K8163" t="s">
        <v>36689</v>
      </c>
      <c r="M8163" t="s">
        <v>38697</v>
      </c>
      <c r="N8163" t="s">
        <v>40436</v>
      </c>
      <c r="O8163" t="s">
        <v>40437</v>
      </c>
      <c r="P8163">
        <v>0</v>
      </c>
      <c r="Q8163">
        <v>5</v>
      </c>
      <c r="R8163" t="s">
        <v>40445</v>
      </c>
      <c r="S8163" t="s">
        <v>40730</v>
      </c>
      <c r="T8163" t="s">
        <v>42378</v>
      </c>
      <c r="U8163" t="s">
        <v>49408</v>
      </c>
      <c r="W8163" t="s">
        <v>38697</v>
      </c>
      <c r="X8163" t="s">
        <v>40446</v>
      </c>
    </row>
    <row r="8164" spans="1:24">
      <c r="A8164">
        <f>HYPERLINK("https://www.philgeps.gov.ph/GEPSNONPILOT/Tender/SplashBidNoticeAbstractUI.aspx?menuIndex=3&amp;refID=7036080&amp;Result=3","7036080")</f>
        <v>0</v>
      </c>
      <c r="B8164" t="s">
        <v>2440</v>
      </c>
      <c r="C8164" t="s">
        <v>10864</v>
      </c>
      <c r="D8164" t="s">
        <v>16230</v>
      </c>
      <c r="E8164" t="s">
        <v>23456</v>
      </c>
      <c r="F8164" t="s">
        <v>28198</v>
      </c>
      <c r="G8164" t="s">
        <v>28205</v>
      </c>
      <c r="H8164" t="s">
        <v>28214</v>
      </c>
      <c r="I8164" t="s">
        <v>3797</v>
      </c>
      <c r="J8164" t="s">
        <v>33464</v>
      </c>
      <c r="K8164" t="s">
        <v>36692</v>
      </c>
      <c r="M8164" t="s">
        <v>39630</v>
      </c>
      <c r="N8164" t="s">
        <v>40436</v>
      </c>
      <c r="O8164" t="s">
        <v>40437</v>
      </c>
      <c r="P8164">
        <v>0</v>
      </c>
      <c r="Q8164">
        <v>0</v>
      </c>
      <c r="R8164" t="s">
        <v>40445</v>
      </c>
      <c r="S8164" t="s">
        <v>40730</v>
      </c>
      <c r="T8164" t="s">
        <v>42482</v>
      </c>
      <c r="U8164" t="s">
        <v>49505</v>
      </c>
      <c r="W8164" t="s">
        <v>39630</v>
      </c>
      <c r="X8164" t="s">
        <v>40446</v>
      </c>
    </row>
    <row r="8165" spans="1:24">
      <c r="A8165">
        <f>HYPERLINK("https://www.philgeps.gov.ph/GEPSNONPILOT/Tender/SplashBidNoticeAbstractUI.aspx?menuIndex=3&amp;refID=7036226&amp;Result=3","7036226")</f>
        <v>0</v>
      </c>
      <c r="B8165" t="s">
        <v>2042</v>
      </c>
      <c r="C8165" t="s">
        <v>10865</v>
      </c>
      <c r="D8165" t="s">
        <v>16260</v>
      </c>
      <c r="E8165" t="s">
        <v>23457</v>
      </c>
      <c r="F8165" t="s">
        <v>28198</v>
      </c>
      <c r="G8165" t="s">
        <v>28205</v>
      </c>
      <c r="H8165" t="s">
        <v>28215</v>
      </c>
      <c r="I8165" t="s">
        <v>4505</v>
      </c>
      <c r="J8165" t="s">
        <v>33465</v>
      </c>
      <c r="K8165" t="s">
        <v>36701</v>
      </c>
      <c r="M8165" t="s">
        <v>39186</v>
      </c>
      <c r="N8165" t="s">
        <v>40436</v>
      </c>
      <c r="O8165" t="s">
        <v>40437</v>
      </c>
      <c r="P8165">
        <v>0</v>
      </c>
      <c r="Q8165">
        <v>3</v>
      </c>
      <c r="R8165" t="s">
        <v>40445</v>
      </c>
      <c r="S8165" t="s">
        <v>40730</v>
      </c>
      <c r="T8165" t="s">
        <v>42132</v>
      </c>
      <c r="U8165" t="s">
        <v>49506</v>
      </c>
      <c r="W8165" t="s">
        <v>39186</v>
      </c>
      <c r="X8165" t="s">
        <v>40446</v>
      </c>
    </row>
    <row r="8166" spans="1:24">
      <c r="A8166">
        <f>HYPERLINK("https://www.philgeps.gov.ph/GEPSNONPILOT/Tender/SplashBidNoticeAbstractUI.aspx?menuIndex=3&amp;refID=7036229&amp;Result=3","7036229")</f>
        <v>0</v>
      </c>
      <c r="B8166" t="s">
        <v>2441</v>
      </c>
      <c r="C8166" t="s">
        <v>10866</v>
      </c>
      <c r="D8166" t="s">
        <v>16195</v>
      </c>
      <c r="E8166" t="s">
        <v>16782</v>
      </c>
      <c r="F8166" t="s">
        <v>28198</v>
      </c>
      <c r="G8166" t="s">
        <v>28205</v>
      </c>
      <c r="H8166" t="s">
        <v>28214</v>
      </c>
      <c r="I8166" t="s">
        <v>3797</v>
      </c>
      <c r="J8166" t="s">
        <v>33466</v>
      </c>
      <c r="K8166" t="s">
        <v>36690</v>
      </c>
      <c r="L8166" t="s">
        <v>2441</v>
      </c>
      <c r="M8166" t="s">
        <v>39631</v>
      </c>
      <c r="N8166" t="s">
        <v>40436</v>
      </c>
      <c r="O8166" t="s">
        <v>40437</v>
      </c>
      <c r="P8166">
        <v>0</v>
      </c>
      <c r="Q8166">
        <v>8</v>
      </c>
      <c r="R8166" t="s">
        <v>40445</v>
      </c>
      <c r="S8166" t="s">
        <v>40730</v>
      </c>
      <c r="T8166" t="s">
        <v>42175</v>
      </c>
      <c r="U8166" t="s">
        <v>49507</v>
      </c>
      <c r="V8166" t="s">
        <v>54660</v>
      </c>
      <c r="W8166" t="s">
        <v>39631</v>
      </c>
      <c r="X8166" t="s">
        <v>40446</v>
      </c>
    </row>
    <row r="8167" spans="1:24">
      <c r="A8167">
        <f>HYPERLINK("https://www.philgeps.gov.ph/GEPSNONPILOT/Tender/SplashBidNoticeAbstractUI.aspx?menuIndex=3&amp;refID=7036239&amp;Result=3","7036239")</f>
        <v>0</v>
      </c>
      <c r="B8167" t="s">
        <v>2389</v>
      </c>
      <c r="C8167" t="s">
        <v>10867</v>
      </c>
      <c r="D8167" t="s">
        <v>16193</v>
      </c>
      <c r="E8167" t="s">
        <v>20308</v>
      </c>
      <c r="F8167" t="s">
        <v>28198</v>
      </c>
      <c r="G8167" t="s">
        <v>28205</v>
      </c>
      <c r="H8167" t="s">
        <v>28215</v>
      </c>
      <c r="I8167" t="s">
        <v>5100</v>
      </c>
      <c r="J8167" t="s">
        <v>33467</v>
      </c>
      <c r="K8167" t="s">
        <v>36805</v>
      </c>
      <c r="M8167" t="s">
        <v>39575</v>
      </c>
      <c r="N8167" t="s">
        <v>40436</v>
      </c>
      <c r="O8167" t="s">
        <v>40437</v>
      </c>
      <c r="P8167">
        <v>0</v>
      </c>
      <c r="Q8167">
        <v>0</v>
      </c>
      <c r="R8167" t="s">
        <v>40445</v>
      </c>
      <c r="S8167" t="s">
        <v>40730</v>
      </c>
      <c r="T8167" t="s">
        <v>42279</v>
      </c>
      <c r="U8167" t="s">
        <v>49508</v>
      </c>
      <c r="V8167" t="s">
        <v>54661</v>
      </c>
      <c r="W8167" t="s">
        <v>39575</v>
      </c>
      <c r="X8167" t="s">
        <v>40446</v>
      </c>
    </row>
    <row r="8168" spans="1:24">
      <c r="A8168">
        <f>HYPERLINK("https://www.philgeps.gov.ph/GEPSNONPILOT/Tender/SplashBidNoticeAbstractUI.aspx?menuIndex=3&amp;refID=7036284&amp;Result=3","7036284")</f>
        <v>0</v>
      </c>
      <c r="B8168" t="s">
        <v>1217</v>
      </c>
      <c r="C8168" t="s">
        <v>10868</v>
      </c>
      <c r="D8168" t="s">
        <v>16260</v>
      </c>
      <c r="E8168" t="s">
        <v>16522</v>
      </c>
      <c r="F8168" t="s">
        <v>28198</v>
      </c>
      <c r="G8168" t="s">
        <v>28205</v>
      </c>
      <c r="H8168" t="s">
        <v>28215</v>
      </c>
      <c r="I8168" t="s">
        <v>28253</v>
      </c>
      <c r="J8168" t="s">
        <v>33468</v>
      </c>
      <c r="K8168" t="s">
        <v>36688</v>
      </c>
      <c r="M8168" t="s">
        <v>38262</v>
      </c>
      <c r="N8168" t="s">
        <v>40436</v>
      </c>
      <c r="O8168" t="s">
        <v>40437</v>
      </c>
      <c r="P8168">
        <v>0</v>
      </c>
      <c r="Q8168">
        <v>1</v>
      </c>
      <c r="R8168" t="s">
        <v>40445</v>
      </c>
      <c r="S8168" t="s">
        <v>40730</v>
      </c>
      <c r="T8168" t="s">
        <v>42131</v>
      </c>
      <c r="U8168" t="s">
        <v>49509</v>
      </c>
      <c r="W8168" t="s">
        <v>38262</v>
      </c>
      <c r="X8168" t="s">
        <v>40446</v>
      </c>
    </row>
    <row r="8169" spans="1:24">
      <c r="A8169">
        <f>HYPERLINK("https://www.philgeps.gov.ph/GEPSNONPILOT/Tender/SplashBidNoticeAbstractUI.aspx?menuIndex=3&amp;refID=7036276&amp;Result=3","7036276")</f>
        <v>0</v>
      </c>
      <c r="B8169" t="s">
        <v>2412</v>
      </c>
      <c r="C8169" t="s">
        <v>10869</v>
      </c>
      <c r="D8169" t="s">
        <v>16262</v>
      </c>
      <c r="E8169" t="s">
        <v>18093</v>
      </c>
      <c r="F8169" t="s">
        <v>28198</v>
      </c>
      <c r="G8169" t="s">
        <v>28205</v>
      </c>
      <c r="H8169" t="s">
        <v>28214</v>
      </c>
      <c r="I8169" t="s">
        <v>3797</v>
      </c>
      <c r="J8169" t="s">
        <v>33469</v>
      </c>
      <c r="K8169" t="s">
        <v>36829</v>
      </c>
      <c r="M8169" t="s">
        <v>39600</v>
      </c>
      <c r="N8169" t="s">
        <v>40436</v>
      </c>
      <c r="O8169" t="s">
        <v>40437</v>
      </c>
      <c r="P8169">
        <v>0</v>
      </c>
      <c r="Q8169">
        <v>0</v>
      </c>
      <c r="R8169" t="s">
        <v>40445</v>
      </c>
      <c r="S8169" t="s">
        <v>40730</v>
      </c>
      <c r="T8169" t="s">
        <v>42174</v>
      </c>
      <c r="U8169" t="s">
        <v>49510</v>
      </c>
      <c r="W8169" t="s">
        <v>39600</v>
      </c>
      <c r="X8169" t="s">
        <v>40446</v>
      </c>
    </row>
    <row r="8170" spans="1:24">
      <c r="A8170">
        <f>HYPERLINK("https://www.philgeps.gov.ph/GEPSNONPILOT/Tender/SplashBidNoticeAbstractUI.aspx?menuIndex=3&amp;refID=7036271&amp;Result=3","7036271")</f>
        <v>0</v>
      </c>
      <c r="B8170" t="s">
        <v>2414</v>
      </c>
      <c r="C8170" t="s">
        <v>10870</v>
      </c>
      <c r="D8170" t="s">
        <v>16213</v>
      </c>
      <c r="E8170" t="s">
        <v>23458</v>
      </c>
      <c r="F8170" t="s">
        <v>28198</v>
      </c>
      <c r="G8170" t="s">
        <v>28205</v>
      </c>
      <c r="H8170" t="s">
        <v>28215</v>
      </c>
      <c r="I8170" t="s">
        <v>5082</v>
      </c>
      <c r="J8170" t="s">
        <v>33470</v>
      </c>
      <c r="K8170" t="s">
        <v>36701</v>
      </c>
      <c r="M8170" t="s">
        <v>39603</v>
      </c>
      <c r="N8170" t="s">
        <v>40436</v>
      </c>
      <c r="O8170" t="s">
        <v>40437</v>
      </c>
      <c r="P8170">
        <v>0</v>
      </c>
      <c r="Q8170">
        <v>1</v>
      </c>
      <c r="R8170" t="s">
        <v>40445</v>
      </c>
      <c r="S8170" t="s">
        <v>40730</v>
      </c>
      <c r="T8170" t="s">
        <v>42192</v>
      </c>
      <c r="U8170" t="s">
        <v>49511</v>
      </c>
      <c r="V8170" t="s">
        <v>54647</v>
      </c>
      <c r="W8170" t="s">
        <v>39603</v>
      </c>
      <c r="X8170" t="s">
        <v>40446</v>
      </c>
    </row>
    <row r="8171" spans="1:24">
      <c r="A8171">
        <f>HYPERLINK("https://www.philgeps.gov.ph/GEPSNONPILOT/Tender/SplashBidNoticeAbstractUI.aspx?menuIndex=3&amp;refID=7036225&amp;Result=3","7036225")</f>
        <v>0</v>
      </c>
      <c r="B8171" t="s">
        <v>309</v>
      </c>
      <c r="C8171" t="s">
        <v>10871</v>
      </c>
      <c r="D8171" t="s">
        <v>16228</v>
      </c>
      <c r="E8171" t="s">
        <v>23459</v>
      </c>
      <c r="F8171" t="s">
        <v>28200</v>
      </c>
      <c r="G8171" t="s">
        <v>28207</v>
      </c>
      <c r="H8171" t="s">
        <v>28215</v>
      </c>
      <c r="I8171" t="s">
        <v>5082</v>
      </c>
      <c r="J8171" t="s">
        <v>33471</v>
      </c>
      <c r="K8171" t="s">
        <v>36688</v>
      </c>
      <c r="M8171" t="s">
        <v>37286</v>
      </c>
      <c r="N8171" t="s">
        <v>40436</v>
      </c>
      <c r="O8171" t="s">
        <v>40437</v>
      </c>
      <c r="P8171">
        <v>0</v>
      </c>
      <c r="Q8171">
        <v>6</v>
      </c>
      <c r="R8171" t="s">
        <v>40445</v>
      </c>
      <c r="S8171" t="s">
        <v>40730</v>
      </c>
      <c r="T8171" t="s">
        <v>42176</v>
      </c>
      <c r="U8171" t="s">
        <v>44334</v>
      </c>
      <c r="V8171" t="s">
        <v>53847</v>
      </c>
      <c r="W8171" t="s">
        <v>55440</v>
      </c>
      <c r="X8171" t="s">
        <v>40446</v>
      </c>
    </row>
    <row r="8172" spans="1:24">
      <c r="A8172">
        <f>HYPERLINK("https://www.philgeps.gov.ph/GEPSNONPILOT/Tender/SplashBidNoticeAbstractUI.aspx?menuIndex=3&amp;refID=7036294&amp;Result=3","7036294")</f>
        <v>0</v>
      </c>
      <c r="B8172" t="s">
        <v>2442</v>
      </c>
      <c r="C8172" t="s">
        <v>10872</v>
      </c>
      <c r="D8172" t="s">
        <v>16240</v>
      </c>
      <c r="E8172" t="s">
        <v>23460</v>
      </c>
      <c r="F8172" t="s">
        <v>28198</v>
      </c>
      <c r="G8172" t="s">
        <v>28205</v>
      </c>
      <c r="H8172" t="s">
        <v>28217</v>
      </c>
      <c r="I8172" t="s">
        <v>28222</v>
      </c>
      <c r="J8172" t="s">
        <v>30685</v>
      </c>
      <c r="K8172" t="s">
        <v>36701</v>
      </c>
      <c r="M8172" t="s">
        <v>39632</v>
      </c>
      <c r="N8172" t="s">
        <v>40436</v>
      </c>
      <c r="O8172" t="s">
        <v>40437</v>
      </c>
      <c r="P8172">
        <v>0</v>
      </c>
      <c r="Q8172">
        <v>0</v>
      </c>
      <c r="R8172" t="s">
        <v>40445</v>
      </c>
      <c r="S8172" t="s">
        <v>40730</v>
      </c>
      <c r="T8172" t="s">
        <v>42279</v>
      </c>
      <c r="U8172" t="s">
        <v>49512</v>
      </c>
      <c r="W8172" t="s">
        <v>39632</v>
      </c>
      <c r="X8172" t="s">
        <v>40446</v>
      </c>
    </row>
    <row r="8173" spans="1:24">
      <c r="A8173">
        <f>HYPERLINK("https://www.philgeps.gov.ph/GEPSNONPILOT/Tender/SplashBidNoticeAbstractUI.aspx?menuIndex=3&amp;refID=7036277&amp;Result=3","7036277")</f>
        <v>0</v>
      </c>
      <c r="B8173" t="s">
        <v>309</v>
      </c>
      <c r="C8173" t="s">
        <v>10873</v>
      </c>
      <c r="D8173" t="s">
        <v>16228</v>
      </c>
      <c r="E8173" t="s">
        <v>23461</v>
      </c>
      <c r="F8173" t="s">
        <v>28200</v>
      </c>
      <c r="G8173" t="s">
        <v>28205</v>
      </c>
      <c r="H8173" t="s">
        <v>28215</v>
      </c>
      <c r="I8173" t="s">
        <v>4505</v>
      </c>
      <c r="J8173" t="s">
        <v>33472</v>
      </c>
      <c r="K8173" t="s">
        <v>36701</v>
      </c>
      <c r="M8173" t="s">
        <v>37286</v>
      </c>
      <c r="N8173" t="s">
        <v>40436</v>
      </c>
      <c r="O8173" t="s">
        <v>40437</v>
      </c>
      <c r="P8173">
        <v>0</v>
      </c>
      <c r="Q8173">
        <v>9</v>
      </c>
      <c r="R8173" t="s">
        <v>40445</v>
      </c>
      <c r="S8173" t="s">
        <v>40730</v>
      </c>
      <c r="T8173" t="s">
        <v>42144</v>
      </c>
      <c r="U8173" t="s">
        <v>44334</v>
      </c>
      <c r="V8173" t="s">
        <v>53847</v>
      </c>
      <c r="W8173" t="s">
        <v>55440</v>
      </c>
      <c r="X8173" t="s">
        <v>40446</v>
      </c>
    </row>
    <row r="8174" spans="1:24">
      <c r="A8174">
        <f>HYPERLINK("https://www.philgeps.gov.ph/GEPSNONPILOT/Tender/SplashBidNoticeAbstractUI.aspx?menuIndex=3&amp;refID=7036267&amp;Result=3","7036267")</f>
        <v>0</v>
      </c>
      <c r="B8174" t="s">
        <v>52</v>
      </c>
      <c r="C8174" t="s">
        <v>10874</v>
      </c>
      <c r="E8174" t="s">
        <v>23462</v>
      </c>
      <c r="F8174" t="s">
        <v>28198</v>
      </c>
      <c r="G8174" t="s">
        <v>28207</v>
      </c>
      <c r="H8174" t="s">
        <v>28215</v>
      </c>
      <c r="I8174" t="s">
        <v>5082</v>
      </c>
      <c r="J8174" t="s">
        <v>33473</v>
      </c>
      <c r="K8174" t="s">
        <v>36701</v>
      </c>
      <c r="M8174" t="s">
        <v>37589</v>
      </c>
      <c r="N8174" t="s">
        <v>40436</v>
      </c>
      <c r="O8174" t="s">
        <v>40437</v>
      </c>
      <c r="P8174">
        <v>0</v>
      </c>
      <c r="Q8174">
        <v>4</v>
      </c>
      <c r="R8174" t="s">
        <v>40445</v>
      </c>
      <c r="S8174" t="s">
        <v>40730</v>
      </c>
      <c r="T8174" t="s">
        <v>42161</v>
      </c>
      <c r="U8174" t="s">
        <v>49513</v>
      </c>
      <c r="W8174" t="s">
        <v>55453</v>
      </c>
      <c r="X8174" t="s">
        <v>40446</v>
      </c>
    </row>
    <row r="8175" spans="1:24">
      <c r="A8175">
        <f>HYPERLINK("https://www.philgeps.gov.ph/GEPSNONPILOT/Tender/SplashBidNoticeAbstractUI.aspx?menuIndex=3&amp;refID=7036244&amp;Result=3","7036244")</f>
        <v>0</v>
      </c>
      <c r="B8175" t="s">
        <v>1735</v>
      </c>
      <c r="C8175" t="s">
        <v>10875</v>
      </c>
      <c r="D8175" t="s">
        <v>16210</v>
      </c>
      <c r="E8175" t="s">
        <v>23463</v>
      </c>
      <c r="F8175" t="s">
        <v>28200</v>
      </c>
      <c r="G8175" t="s">
        <v>28205</v>
      </c>
      <c r="H8175" t="s">
        <v>28215</v>
      </c>
      <c r="I8175" t="s">
        <v>28265</v>
      </c>
      <c r="J8175" t="s">
        <v>28393</v>
      </c>
      <c r="K8175" t="s">
        <v>36701</v>
      </c>
      <c r="M8175" t="s">
        <v>38846</v>
      </c>
      <c r="N8175" t="s">
        <v>40436</v>
      </c>
      <c r="O8175" t="s">
        <v>40437</v>
      </c>
      <c r="P8175">
        <v>0</v>
      </c>
      <c r="Q8175">
        <v>0</v>
      </c>
      <c r="R8175" t="s">
        <v>40445</v>
      </c>
      <c r="S8175" t="s">
        <v>40730</v>
      </c>
      <c r="T8175" t="s">
        <v>42102</v>
      </c>
      <c r="U8175" t="s">
        <v>49514</v>
      </c>
      <c r="V8175" t="s">
        <v>54287</v>
      </c>
      <c r="W8175" t="s">
        <v>38846</v>
      </c>
      <c r="X8175" t="s">
        <v>40446</v>
      </c>
    </row>
    <row r="8176" spans="1:24">
      <c r="A8176">
        <f>HYPERLINK("https://www.philgeps.gov.ph/GEPSNONPILOT/Tender/SplashBidNoticeAbstractUI.aspx?menuIndex=3&amp;refID=7036280&amp;Result=3","7036280")</f>
        <v>0</v>
      </c>
      <c r="B8176" t="s">
        <v>1610</v>
      </c>
      <c r="C8176" t="s">
        <v>10876</v>
      </c>
      <c r="E8176" t="s">
        <v>23464</v>
      </c>
      <c r="F8176" t="s">
        <v>28198</v>
      </c>
      <c r="G8176" t="s">
        <v>28207</v>
      </c>
      <c r="H8176" t="s">
        <v>28215</v>
      </c>
      <c r="I8176" t="s">
        <v>28247</v>
      </c>
      <c r="J8176" t="s">
        <v>28642</v>
      </c>
      <c r="K8176" t="s">
        <v>36689</v>
      </c>
      <c r="M8176" t="s">
        <v>38697</v>
      </c>
      <c r="N8176" t="s">
        <v>40436</v>
      </c>
      <c r="O8176" t="s">
        <v>40437</v>
      </c>
      <c r="P8176">
        <v>0</v>
      </c>
      <c r="Q8176">
        <v>5</v>
      </c>
      <c r="R8176" t="s">
        <v>40445</v>
      </c>
      <c r="S8176" t="s">
        <v>40730</v>
      </c>
      <c r="T8176" t="s">
        <v>42378</v>
      </c>
      <c r="U8176" t="s">
        <v>49408</v>
      </c>
      <c r="W8176" t="s">
        <v>38697</v>
      </c>
      <c r="X8176" t="s">
        <v>40446</v>
      </c>
    </row>
    <row r="8177" spans="1:24">
      <c r="A8177">
        <f>HYPERLINK("https://www.philgeps.gov.ph/GEPSNONPILOT/Tender/SplashBidNoticeAbstractUI.aspx?menuIndex=3&amp;refID=7036261&amp;Result=3","7036261")</f>
        <v>0</v>
      </c>
      <c r="B8177" t="s">
        <v>2443</v>
      </c>
      <c r="C8177" t="s">
        <v>10877</v>
      </c>
      <c r="D8177" t="s">
        <v>16251</v>
      </c>
      <c r="E8177" t="s">
        <v>23465</v>
      </c>
      <c r="F8177" t="s">
        <v>28198</v>
      </c>
      <c r="G8177" t="s">
        <v>28205</v>
      </c>
      <c r="H8177" t="s">
        <v>28215</v>
      </c>
      <c r="I8177" t="s">
        <v>28222</v>
      </c>
      <c r="J8177" t="s">
        <v>28464</v>
      </c>
      <c r="K8177" t="s">
        <v>36694</v>
      </c>
      <c r="M8177" t="s">
        <v>39633</v>
      </c>
      <c r="N8177" t="s">
        <v>40436</v>
      </c>
      <c r="O8177" t="s">
        <v>40437</v>
      </c>
      <c r="P8177">
        <v>0</v>
      </c>
      <c r="Q8177">
        <v>3</v>
      </c>
      <c r="R8177" t="s">
        <v>40445</v>
      </c>
      <c r="S8177" t="s">
        <v>40730</v>
      </c>
      <c r="T8177" t="s">
        <v>42183</v>
      </c>
      <c r="U8177" t="s">
        <v>49515</v>
      </c>
      <c r="W8177" t="s">
        <v>39633</v>
      </c>
      <c r="X8177" t="s">
        <v>40446</v>
      </c>
    </row>
    <row r="8178" spans="1:24">
      <c r="A8178">
        <f>HYPERLINK("https://www.philgeps.gov.ph/GEPSNONPILOT/Tender/SplashBidNoticeAbstractUI.aspx?menuIndex=3&amp;refID=7036273&amp;Result=3","7036273")</f>
        <v>0</v>
      </c>
      <c r="B8178" t="s">
        <v>1610</v>
      </c>
      <c r="C8178" t="s">
        <v>10878</v>
      </c>
      <c r="E8178" t="s">
        <v>23466</v>
      </c>
      <c r="F8178" t="s">
        <v>28198</v>
      </c>
      <c r="G8178" t="s">
        <v>28207</v>
      </c>
      <c r="H8178" t="s">
        <v>28215</v>
      </c>
      <c r="I8178" t="s">
        <v>28225</v>
      </c>
      <c r="J8178" t="s">
        <v>33474</v>
      </c>
      <c r="K8178" t="s">
        <v>36689</v>
      </c>
      <c r="M8178" t="s">
        <v>38697</v>
      </c>
      <c r="N8178" t="s">
        <v>40436</v>
      </c>
      <c r="O8178" t="s">
        <v>40437</v>
      </c>
      <c r="P8178">
        <v>0</v>
      </c>
      <c r="Q8178">
        <v>7</v>
      </c>
      <c r="R8178" t="s">
        <v>40445</v>
      </c>
      <c r="S8178" t="s">
        <v>40730</v>
      </c>
      <c r="T8178" t="s">
        <v>42378</v>
      </c>
      <c r="U8178" t="s">
        <v>49408</v>
      </c>
      <c r="W8178" t="s">
        <v>38697</v>
      </c>
      <c r="X8178" t="s">
        <v>40446</v>
      </c>
    </row>
    <row r="8179" spans="1:24">
      <c r="A8179">
        <f>HYPERLINK("https://www.philgeps.gov.ph/GEPSNONPILOT/Tender/SplashBidNoticeAbstractUI.aspx?menuIndex=3&amp;refID=7036251&amp;Result=3","7036251")</f>
        <v>0</v>
      </c>
      <c r="B8179" t="s">
        <v>1442</v>
      </c>
      <c r="C8179" t="s">
        <v>10879</v>
      </c>
      <c r="D8179" t="s">
        <v>16191</v>
      </c>
      <c r="E8179" t="s">
        <v>23467</v>
      </c>
      <c r="F8179" t="s">
        <v>28198</v>
      </c>
      <c r="G8179" t="s">
        <v>28205</v>
      </c>
      <c r="H8179" t="s">
        <v>28214</v>
      </c>
      <c r="I8179" t="s">
        <v>3797</v>
      </c>
      <c r="J8179" t="s">
        <v>33475</v>
      </c>
      <c r="K8179" t="s">
        <v>36748</v>
      </c>
      <c r="M8179" t="s">
        <v>38509</v>
      </c>
      <c r="N8179" t="s">
        <v>40436</v>
      </c>
      <c r="O8179" t="s">
        <v>40437</v>
      </c>
      <c r="P8179">
        <v>0</v>
      </c>
      <c r="Q8179">
        <v>1</v>
      </c>
      <c r="R8179" t="s">
        <v>40445</v>
      </c>
      <c r="S8179" t="s">
        <v>40730</v>
      </c>
      <c r="T8179" t="s">
        <v>42277</v>
      </c>
      <c r="U8179" t="s">
        <v>45956</v>
      </c>
      <c r="W8179" t="s">
        <v>38509</v>
      </c>
      <c r="X8179" t="s">
        <v>40446</v>
      </c>
    </row>
    <row r="8180" spans="1:24">
      <c r="A8180">
        <f>HYPERLINK("https://www.philgeps.gov.ph/GEPSNONPILOT/Tender/SplashBidNoticeAbstractUI.aspx?menuIndex=3&amp;refID=7036265&amp;Result=3","7036265")</f>
        <v>0</v>
      </c>
      <c r="B8180" t="s">
        <v>1610</v>
      </c>
      <c r="C8180" t="s">
        <v>10880</v>
      </c>
      <c r="E8180" t="s">
        <v>23468</v>
      </c>
      <c r="F8180" t="s">
        <v>28198</v>
      </c>
      <c r="G8180" t="s">
        <v>28207</v>
      </c>
      <c r="H8180" t="s">
        <v>28215</v>
      </c>
      <c r="I8180" t="s">
        <v>28226</v>
      </c>
      <c r="J8180" t="s">
        <v>29012</v>
      </c>
      <c r="K8180" t="s">
        <v>36689</v>
      </c>
      <c r="M8180" t="s">
        <v>38697</v>
      </c>
      <c r="N8180" t="s">
        <v>40436</v>
      </c>
      <c r="O8180" t="s">
        <v>40437</v>
      </c>
      <c r="P8180">
        <v>0</v>
      </c>
      <c r="Q8180">
        <v>1</v>
      </c>
      <c r="R8180" t="s">
        <v>40445</v>
      </c>
      <c r="S8180" t="s">
        <v>40730</v>
      </c>
      <c r="T8180" t="s">
        <v>42378</v>
      </c>
      <c r="U8180" t="s">
        <v>49408</v>
      </c>
      <c r="W8180" t="s">
        <v>38697</v>
      </c>
      <c r="X8180" t="s">
        <v>40446</v>
      </c>
    </row>
    <row r="8181" spans="1:24">
      <c r="A8181">
        <f>HYPERLINK("https://www.philgeps.gov.ph/GEPSNONPILOT/Tender/SplashBidNoticeAbstractUI.aspx?menuIndex=3&amp;refID=7036248&amp;Result=3","7036248")</f>
        <v>0</v>
      </c>
      <c r="B8181" t="s">
        <v>1217</v>
      </c>
      <c r="C8181" t="s">
        <v>10812</v>
      </c>
      <c r="D8181" t="s">
        <v>16260</v>
      </c>
      <c r="E8181" t="s">
        <v>23469</v>
      </c>
      <c r="F8181" t="s">
        <v>28198</v>
      </c>
      <c r="G8181" t="s">
        <v>28205</v>
      </c>
      <c r="H8181" t="s">
        <v>28215</v>
      </c>
      <c r="I8181" t="s">
        <v>5071</v>
      </c>
      <c r="J8181" t="s">
        <v>30539</v>
      </c>
      <c r="K8181" t="s">
        <v>36688</v>
      </c>
      <c r="M8181" t="s">
        <v>38262</v>
      </c>
      <c r="N8181" t="s">
        <v>40436</v>
      </c>
      <c r="O8181" t="s">
        <v>40437</v>
      </c>
      <c r="P8181">
        <v>0</v>
      </c>
      <c r="Q8181">
        <v>0</v>
      </c>
      <c r="R8181" t="s">
        <v>40445</v>
      </c>
      <c r="S8181" t="s">
        <v>40730</v>
      </c>
      <c r="T8181" t="s">
        <v>42131</v>
      </c>
      <c r="U8181" t="s">
        <v>49516</v>
      </c>
      <c r="W8181" t="s">
        <v>38262</v>
      </c>
      <c r="X8181" t="s">
        <v>40446</v>
      </c>
    </row>
    <row r="8182" spans="1:24">
      <c r="A8182">
        <f>HYPERLINK("https://www.philgeps.gov.ph/GEPSNONPILOT/Tender/SplashBidNoticeAbstractUI.aspx?menuIndex=3&amp;refID=7036309&amp;Result=3","7036309")</f>
        <v>0</v>
      </c>
      <c r="B8182" t="s">
        <v>2444</v>
      </c>
      <c r="C8182" t="s">
        <v>10881</v>
      </c>
      <c r="D8182" t="s">
        <v>16235</v>
      </c>
      <c r="E8182" t="s">
        <v>23470</v>
      </c>
      <c r="F8182" t="s">
        <v>28198</v>
      </c>
      <c r="G8182" t="s">
        <v>28205</v>
      </c>
      <c r="H8182" t="s">
        <v>28214</v>
      </c>
      <c r="I8182" t="s">
        <v>3797</v>
      </c>
      <c r="J8182" t="s">
        <v>33476</v>
      </c>
      <c r="K8182" t="s">
        <v>36697</v>
      </c>
      <c r="M8182" t="s">
        <v>39634</v>
      </c>
      <c r="N8182" t="s">
        <v>40436</v>
      </c>
      <c r="O8182" t="s">
        <v>40437</v>
      </c>
      <c r="P8182">
        <v>0</v>
      </c>
      <c r="Q8182">
        <v>0</v>
      </c>
      <c r="R8182" t="s">
        <v>40445</v>
      </c>
      <c r="S8182" t="s">
        <v>40730</v>
      </c>
      <c r="T8182" t="s">
        <v>42109</v>
      </c>
      <c r="U8182" t="s">
        <v>49517</v>
      </c>
      <c r="W8182" t="s">
        <v>39634</v>
      </c>
      <c r="X8182" t="s">
        <v>40446</v>
      </c>
    </row>
    <row r="8183" spans="1:24">
      <c r="A8183">
        <f>HYPERLINK("https://www.philgeps.gov.ph/GEPSNONPILOT/Tender/SplashBidNoticeAbstractUI.aspx?menuIndex=3&amp;refID=7036313&amp;Result=3","7036313")</f>
        <v>0</v>
      </c>
      <c r="B8183" t="s">
        <v>491</v>
      </c>
      <c r="C8183" t="s">
        <v>10882</v>
      </c>
      <c r="E8183" t="s">
        <v>23471</v>
      </c>
      <c r="F8183" t="s">
        <v>28198</v>
      </c>
      <c r="G8183" t="s">
        <v>28205</v>
      </c>
      <c r="H8183" t="s">
        <v>28214</v>
      </c>
      <c r="I8183" t="s">
        <v>5100</v>
      </c>
      <c r="J8183" t="s">
        <v>33477</v>
      </c>
      <c r="K8183" t="s">
        <v>36689</v>
      </c>
      <c r="M8183" t="s">
        <v>37476</v>
      </c>
      <c r="N8183" t="s">
        <v>40436</v>
      </c>
      <c r="O8183" t="s">
        <v>40437</v>
      </c>
      <c r="P8183">
        <v>0</v>
      </c>
      <c r="Q8183">
        <v>1</v>
      </c>
      <c r="R8183" t="s">
        <v>40445</v>
      </c>
      <c r="S8183" t="s">
        <v>40730</v>
      </c>
      <c r="T8183" t="s">
        <v>42390</v>
      </c>
      <c r="U8183" t="s">
        <v>49518</v>
      </c>
      <c r="W8183" t="s">
        <v>37476</v>
      </c>
      <c r="X8183" t="s">
        <v>40446</v>
      </c>
    </row>
    <row r="8184" spans="1:24">
      <c r="A8184">
        <f>HYPERLINK("https://www.philgeps.gov.ph/GEPSNONPILOT/Tender/SplashBidNoticeAbstractUI.aspx?menuIndex=3&amp;refID=7036333&amp;Result=3","7036333")</f>
        <v>0</v>
      </c>
      <c r="B8184" t="s">
        <v>498</v>
      </c>
      <c r="C8184" t="s">
        <v>10883</v>
      </c>
      <c r="D8184" t="s">
        <v>16187</v>
      </c>
      <c r="E8184" t="s">
        <v>23472</v>
      </c>
      <c r="F8184" t="s">
        <v>28198</v>
      </c>
      <c r="G8184" t="s">
        <v>28205</v>
      </c>
      <c r="H8184" t="s">
        <v>28215</v>
      </c>
      <c r="I8184" t="s">
        <v>28222</v>
      </c>
      <c r="J8184" t="s">
        <v>29002</v>
      </c>
      <c r="K8184" t="s">
        <v>36707</v>
      </c>
      <c r="M8184" t="s">
        <v>37483</v>
      </c>
      <c r="N8184" t="s">
        <v>40436</v>
      </c>
      <c r="O8184" t="s">
        <v>40437</v>
      </c>
      <c r="P8184">
        <v>0</v>
      </c>
      <c r="Q8184">
        <v>3</v>
      </c>
      <c r="R8184" t="s">
        <v>40445</v>
      </c>
      <c r="S8184" t="s">
        <v>40730</v>
      </c>
      <c r="T8184" t="s">
        <v>42194</v>
      </c>
      <c r="U8184" t="s">
        <v>49519</v>
      </c>
      <c r="W8184" t="s">
        <v>37483</v>
      </c>
      <c r="X8184" t="s">
        <v>40446</v>
      </c>
    </row>
    <row r="8185" spans="1:24">
      <c r="A8185">
        <f>HYPERLINK("https://www.philgeps.gov.ph/GEPSNONPILOT/Tender/SplashBidNoticeAbstractUI.aspx?menuIndex=3&amp;refID=7036311&amp;Result=3","7036311")</f>
        <v>0</v>
      </c>
      <c r="B8185" t="s">
        <v>1735</v>
      </c>
      <c r="C8185" t="s">
        <v>10884</v>
      </c>
      <c r="D8185" t="s">
        <v>16210</v>
      </c>
      <c r="E8185" t="s">
        <v>23473</v>
      </c>
      <c r="F8185" t="s">
        <v>28200</v>
      </c>
      <c r="G8185" t="s">
        <v>28205</v>
      </c>
      <c r="H8185" t="s">
        <v>28215</v>
      </c>
      <c r="I8185" t="s">
        <v>28265</v>
      </c>
      <c r="J8185" t="s">
        <v>28398</v>
      </c>
      <c r="K8185" t="s">
        <v>36701</v>
      </c>
      <c r="M8185" t="s">
        <v>38846</v>
      </c>
      <c r="N8185" t="s">
        <v>40436</v>
      </c>
      <c r="O8185" t="s">
        <v>40437</v>
      </c>
      <c r="P8185">
        <v>0</v>
      </c>
      <c r="Q8185">
        <v>0</v>
      </c>
      <c r="R8185" t="s">
        <v>40445</v>
      </c>
      <c r="S8185" t="s">
        <v>40730</v>
      </c>
      <c r="T8185" t="s">
        <v>42153</v>
      </c>
      <c r="U8185" t="s">
        <v>49520</v>
      </c>
      <c r="V8185" t="s">
        <v>54287</v>
      </c>
      <c r="W8185" t="s">
        <v>38846</v>
      </c>
      <c r="X8185" t="s">
        <v>40446</v>
      </c>
    </row>
    <row r="8186" spans="1:24">
      <c r="A8186">
        <f>HYPERLINK("https://www.philgeps.gov.ph/GEPSNONPILOT/Tender/SplashBidNoticeAbstractUI.aspx?menuIndex=3&amp;refID=7036302&amp;Result=3","7036302")</f>
        <v>0</v>
      </c>
      <c r="B8186" t="s">
        <v>1217</v>
      </c>
      <c r="C8186" t="s">
        <v>10885</v>
      </c>
      <c r="D8186" t="s">
        <v>16260</v>
      </c>
      <c r="E8186" t="s">
        <v>23474</v>
      </c>
      <c r="F8186" t="s">
        <v>28198</v>
      </c>
      <c r="G8186" t="s">
        <v>28205</v>
      </c>
      <c r="H8186" t="s">
        <v>28215</v>
      </c>
      <c r="I8186" t="s">
        <v>8888</v>
      </c>
      <c r="J8186" t="s">
        <v>33478</v>
      </c>
      <c r="K8186" t="s">
        <v>36688</v>
      </c>
      <c r="M8186" t="s">
        <v>38262</v>
      </c>
      <c r="N8186" t="s">
        <v>40436</v>
      </c>
      <c r="O8186" t="s">
        <v>40437</v>
      </c>
      <c r="P8186">
        <v>0</v>
      </c>
      <c r="Q8186">
        <v>0</v>
      </c>
      <c r="R8186" t="s">
        <v>40445</v>
      </c>
      <c r="S8186" t="s">
        <v>40730</v>
      </c>
      <c r="T8186" t="s">
        <v>42131</v>
      </c>
      <c r="U8186" t="s">
        <v>49521</v>
      </c>
      <c r="W8186" t="s">
        <v>38262</v>
      </c>
      <c r="X8186" t="s">
        <v>40446</v>
      </c>
    </row>
    <row r="8187" spans="1:24">
      <c r="A8187">
        <f>HYPERLINK("https://www.philgeps.gov.ph/GEPSNONPILOT/Tender/SplashBidNoticeAbstractUI.aspx?menuIndex=3&amp;refID=7036325&amp;Result=3","7036325")</f>
        <v>0</v>
      </c>
      <c r="B8187" t="s">
        <v>1217</v>
      </c>
      <c r="C8187" t="s">
        <v>10886</v>
      </c>
      <c r="D8187" t="s">
        <v>16260</v>
      </c>
      <c r="E8187" t="s">
        <v>23475</v>
      </c>
      <c r="F8187" t="s">
        <v>28198</v>
      </c>
      <c r="G8187" t="s">
        <v>28205</v>
      </c>
      <c r="H8187" t="s">
        <v>28215</v>
      </c>
      <c r="I8187" t="s">
        <v>4200</v>
      </c>
      <c r="J8187" t="s">
        <v>33479</v>
      </c>
      <c r="K8187" t="s">
        <v>36688</v>
      </c>
      <c r="M8187" t="s">
        <v>38262</v>
      </c>
      <c r="N8187" t="s">
        <v>40436</v>
      </c>
      <c r="O8187" t="s">
        <v>40437</v>
      </c>
      <c r="P8187">
        <v>0</v>
      </c>
      <c r="Q8187">
        <v>1</v>
      </c>
      <c r="R8187" t="s">
        <v>40445</v>
      </c>
      <c r="S8187" t="s">
        <v>40730</v>
      </c>
      <c r="T8187" t="s">
        <v>42131</v>
      </c>
      <c r="U8187" t="s">
        <v>49522</v>
      </c>
      <c r="W8187" t="s">
        <v>38262</v>
      </c>
      <c r="X8187" t="s">
        <v>40446</v>
      </c>
    </row>
    <row r="8188" spans="1:24">
      <c r="A8188">
        <f>HYPERLINK("https://www.philgeps.gov.ph/GEPSNONPILOT/Tender/SplashBidNoticeAbstractUI.aspx?menuIndex=3&amp;refID=7036250&amp;Result=3","7036250")</f>
        <v>0</v>
      </c>
      <c r="B8188" t="s">
        <v>2439</v>
      </c>
      <c r="C8188" t="s">
        <v>10887</v>
      </c>
      <c r="D8188" t="s">
        <v>16216</v>
      </c>
      <c r="E8188" t="s">
        <v>23476</v>
      </c>
      <c r="F8188" t="s">
        <v>28198</v>
      </c>
      <c r="G8188" t="s">
        <v>28207</v>
      </c>
      <c r="H8188" t="s">
        <v>28215</v>
      </c>
      <c r="I8188" t="s">
        <v>28287</v>
      </c>
      <c r="J8188" t="s">
        <v>28665</v>
      </c>
      <c r="K8188" t="s">
        <v>36694</v>
      </c>
      <c r="M8188" t="s">
        <v>39629</v>
      </c>
      <c r="N8188" t="s">
        <v>40436</v>
      </c>
      <c r="O8188" t="s">
        <v>40437</v>
      </c>
      <c r="P8188">
        <v>0</v>
      </c>
      <c r="Q8188">
        <v>1</v>
      </c>
      <c r="R8188" t="s">
        <v>40445</v>
      </c>
      <c r="S8188" t="s">
        <v>40730</v>
      </c>
      <c r="T8188" t="s">
        <v>42396</v>
      </c>
      <c r="U8188" t="s">
        <v>49523</v>
      </c>
      <c r="W8188" t="s">
        <v>39629</v>
      </c>
      <c r="X8188" t="s">
        <v>40446</v>
      </c>
    </row>
    <row r="8189" spans="1:24">
      <c r="A8189">
        <f>HYPERLINK("https://www.philgeps.gov.ph/GEPSNONPILOT/Tender/SplashBidNoticeAbstractUI.aspx?menuIndex=3&amp;refID=7036318&amp;Result=3","7036318")</f>
        <v>0</v>
      </c>
      <c r="B8189" t="s">
        <v>2433</v>
      </c>
      <c r="C8189" t="s">
        <v>10888</v>
      </c>
      <c r="D8189" t="s">
        <v>16248</v>
      </c>
      <c r="E8189" t="s">
        <v>16307</v>
      </c>
      <c r="F8189" t="s">
        <v>28198</v>
      </c>
      <c r="G8189" t="s">
        <v>28207</v>
      </c>
      <c r="H8189" t="s">
        <v>28215</v>
      </c>
      <c r="I8189" t="s">
        <v>4321</v>
      </c>
      <c r="J8189" t="s">
        <v>33480</v>
      </c>
      <c r="K8189" t="s">
        <v>36687</v>
      </c>
      <c r="M8189" t="s">
        <v>39622</v>
      </c>
      <c r="N8189" t="s">
        <v>40436</v>
      </c>
      <c r="O8189" t="s">
        <v>40437</v>
      </c>
      <c r="P8189">
        <v>0</v>
      </c>
      <c r="Q8189">
        <v>0</v>
      </c>
      <c r="R8189" t="s">
        <v>40445</v>
      </c>
      <c r="S8189" t="s">
        <v>40730</v>
      </c>
      <c r="T8189" t="s">
        <v>42121</v>
      </c>
      <c r="U8189" t="s">
        <v>49524</v>
      </c>
      <c r="V8189" t="s">
        <v>54662</v>
      </c>
      <c r="W8189" t="s">
        <v>39622</v>
      </c>
      <c r="X8189" t="s">
        <v>40446</v>
      </c>
    </row>
    <row r="8190" spans="1:24">
      <c r="A8190">
        <f>HYPERLINK("https://www.philgeps.gov.ph/GEPSNONPILOT/Tender/SplashBidNoticeAbstractUI.aspx?menuIndex=3&amp;refID=7036315&amp;Result=3","7036315")</f>
        <v>0</v>
      </c>
      <c r="B8190" t="s">
        <v>1217</v>
      </c>
      <c r="C8190" t="s">
        <v>10889</v>
      </c>
      <c r="D8190" t="s">
        <v>16260</v>
      </c>
      <c r="E8190" t="s">
        <v>10868</v>
      </c>
      <c r="F8190" t="s">
        <v>28198</v>
      </c>
      <c r="G8190" t="s">
        <v>28205</v>
      </c>
      <c r="H8190" t="s">
        <v>28215</v>
      </c>
      <c r="I8190" t="s">
        <v>28238</v>
      </c>
      <c r="J8190" t="s">
        <v>33481</v>
      </c>
      <c r="K8190" t="s">
        <v>36688</v>
      </c>
      <c r="M8190" t="s">
        <v>38262</v>
      </c>
      <c r="N8190" t="s">
        <v>40436</v>
      </c>
      <c r="O8190" t="s">
        <v>40437</v>
      </c>
      <c r="P8190">
        <v>0</v>
      </c>
      <c r="Q8190">
        <v>1</v>
      </c>
      <c r="R8190" t="s">
        <v>40445</v>
      </c>
      <c r="S8190" t="s">
        <v>40730</v>
      </c>
      <c r="T8190" t="s">
        <v>42131</v>
      </c>
      <c r="U8190" t="s">
        <v>49525</v>
      </c>
      <c r="W8190" t="s">
        <v>38262</v>
      </c>
      <c r="X8190" t="s">
        <v>40446</v>
      </c>
    </row>
    <row r="8191" spans="1:24">
      <c r="A8191">
        <f>HYPERLINK("https://www.philgeps.gov.ph/GEPSNONPILOT/Tender/SplashBidNoticeAbstractUI.aspx?menuIndex=3&amp;refID=7036233&amp;Result=3","7036233")</f>
        <v>0</v>
      </c>
      <c r="B8191" t="s">
        <v>2445</v>
      </c>
      <c r="C8191" t="s">
        <v>10890</v>
      </c>
      <c r="D8191" t="s">
        <v>16203</v>
      </c>
      <c r="E8191" t="s">
        <v>23477</v>
      </c>
      <c r="F8191" t="s">
        <v>28198</v>
      </c>
      <c r="G8191" t="s">
        <v>28205</v>
      </c>
      <c r="H8191" t="s">
        <v>28214</v>
      </c>
      <c r="I8191" t="s">
        <v>3797</v>
      </c>
      <c r="J8191" t="s">
        <v>28345</v>
      </c>
      <c r="K8191" t="s">
        <v>36689</v>
      </c>
      <c r="M8191" t="s">
        <v>39635</v>
      </c>
      <c r="N8191" t="s">
        <v>40436</v>
      </c>
      <c r="O8191" t="s">
        <v>40437</v>
      </c>
      <c r="P8191">
        <v>0</v>
      </c>
      <c r="Q8191">
        <v>0</v>
      </c>
      <c r="R8191" t="s">
        <v>40445</v>
      </c>
      <c r="S8191" t="s">
        <v>40730</v>
      </c>
      <c r="T8191" t="s">
        <v>42346</v>
      </c>
      <c r="U8191" t="s">
        <v>49526</v>
      </c>
      <c r="W8191" t="s">
        <v>39635</v>
      </c>
      <c r="X8191" t="s">
        <v>40446</v>
      </c>
    </row>
    <row r="8192" spans="1:24">
      <c r="A8192">
        <f>HYPERLINK("https://www.philgeps.gov.ph/GEPSNONPILOT/Tender/SplashBidNoticeAbstractUI.aspx?menuIndex=3&amp;refID=7036321&amp;Result=3","7036321")</f>
        <v>0</v>
      </c>
      <c r="B8192" t="s">
        <v>1610</v>
      </c>
      <c r="C8192" t="s">
        <v>10891</v>
      </c>
      <c r="E8192" t="s">
        <v>23478</v>
      </c>
      <c r="F8192" t="s">
        <v>28198</v>
      </c>
      <c r="G8192" t="s">
        <v>28207</v>
      </c>
      <c r="H8192" t="s">
        <v>28215</v>
      </c>
      <c r="I8192" t="s">
        <v>28247</v>
      </c>
      <c r="J8192" t="s">
        <v>33482</v>
      </c>
      <c r="K8192" t="s">
        <v>36689</v>
      </c>
      <c r="M8192" t="s">
        <v>38697</v>
      </c>
      <c r="N8192" t="s">
        <v>40436</v>
      </c>
      <c r="O8192" t="s">
        <v>40437</v>
      </c>
      <c r="P8192">
        <v>0</v>
      </c>
      <c r="Q8192">
        <v>9</v>
      </c>
      <c r="R8192" t="s">
        <v>40445</v>
      </c>
      <c r="S8192" t="s">
        <v>40730</v>
      </c>
      <c r="T8192" t="s">
        <v>42378</v>
      </c>
      <c r="U8192" t="s">
        <v>49408</v>
      </c>
      <c r="W8192" t="s">
        <v>38697</v>
      </c>
      <c r="X8192" t="s">
        <v>40446</v>
      </c>
    </row>
    <row r="8193" spans="1:24">
      <c r="A8193">
        <f>HYPERLINK("https://www.philgeps.gov.ph/GEPSNONPILOT/Tender/SplashBidNoticeAbstractUI.aspx?menuIndex=3&amp;refID=7036219&amp;Result=3","7036219")</f>
        <v>0</v>
      </c>
      <c r="B8193" t="s">
        <v>242</v>
      </c>
      <c r="C8193" t="s">
        <v>10892</v>
      </c>
      <c r="D8193" t="s">
        <v>16254</v>
      </c>
      <c r="E8193" t="s">
        <v>23479</v>
      </c>
      <c r="F8193" t="s">
        <v>28198</v>
      </c>
      <c r="G8193" t="s">
        <v>28205</v>
      </c>
      <c r="H8193" t="s">
        <v>28214</v>
      </c>
      <c r="I8193" t="s">
        <v>3797</v>
      </c>
      <c r="J8193" t="s">
        <v>29224</v>
      </c>
      <c r="K8193" t="s">
        <v>36817</v>
      </c>
      <c r="M8193" t="s">
        <v>37218</v>
      </c>
      <c r="N8193" t="s">
        <v>40436</v>
      </c>
      <c r="O8193" t="s">
        <v>40437</v>
      </c>
      <c r="P8193">
        <v>0</v>
      </c>
      <c r="Q8193">
        <v>0</v>
      </c>
      <c r="R8193" t="s">
        <v>40445</v>
      </c>
      <c r="S8193" t="s">
        <v>40730</v>
      </c>
      <c r="T8193" t="s">
        <v>42278</v>
      </c>
      <c r="U8193" t="s">
        <v>49527</v>
      </c>
      <c r="W8193" t="s">
        <v>37218</v>
      </c>
      <c r="X8193" t="s">
        <v>40446</v>
      </c>
    </row>
    <row r="8194" spans="1:24">
      <c r="A8194">
        <f>HYPERLINK("https://www.philgeps.gov.ph/GEPSNONPILOT/Tender/SplashBidNoticeAbstractUI.aspx?menuIndex=3&amp;refID=7036314&amp;Result=3","7036314")</f>
        <v>0</v>
      </c>
      <c r="B8194" t="s">
        <v>1610</v>
      </c>
      <c r="C8194" t="s">
        <v>10893</v>
      </c>
      <c r="E8194" t="s">
        <v>23480</v>
      </c>
      <c r="F8194" t="s">
        <v>28198</v>
      </c>
      <c r="G8194" t="s">
        <v>28207</v>
      </c>
      <c r="H8194" t="s">
        <v>28215</v>
      </c>
      <c r="I8194" t="s">
        <v>4222</v>
      </c>
      <c r="J8194" t="s">
        <v>28558</v>
      </c>
      <c r="K8194" t="s">
        <v>36689</v>
      </c>
      <c r="M8194" t="s">
        <v>38697</v>
      </c>
      <c r="N8194" t="s">
        <v>40436</v>
      </c>
      <c r="O8194" t="s">
        <v>40437</v>
      </c>
      <c r="P8194">
        <v>0</v>
      </c>
      <c r="Q8194">
        <v>3</v>
      </c>
      <c r="R8194" t="s">
        <v>40445</v>
      </c>
      <c r="S8194" t="s">
        <v>40730</v>
      </c>
      <c r="T8194" t="s">
        <v>42378</v>
      </c>
      <c r="U8194" t="s">
        <v>49408</v>
      </c>
      <c r="W8194" t="s">
        <v>38697</v>
      </c>
      <c r="X8194" t="s">
        <v>40446</v>
      </c>
    </row>
    <row r="8195" spans="1:24">
      <c r="A8195">
        <f>HYPERLINK("https://www.philgeps.gov.ph/GEPSNONPILOT/Tender/SplashBidNoticeAbstractUI.aspx?menuIndex=3&amp;refID=7036342&amp;Result=3","7036342")</f>
        <v>0</v>
      </c>
      <c r="B8195" t="s">
        <v>1735</v>
      </c>
      <c r="C8195" t="s">
        <v>10894</v>
      </c>
      <c r="D8195" t="s">
        <v>16210</v>
      </c>
      <c r="E8195" t="s">
        <v>23481</v>
      </c>
      <c r="F8195" t="s">
        <v>28200</v>
      </c>
      <c r="G8195" t="s">
        <v>28205</v>
      </c>
      <c r="H8195" t="s">
        <v>28215</v>
      </c>
      <c r="I8195" t="s">
        <v>28265</v>
      </c>
      <c r="J8195" t="s">
        <v>28395</v>
      </c>
      <c r="K8195" t="s">
        <v>36701</v>
      </c>
      <c r="M8195" t="s">
        <v>38846</v>
      </c>
      <c r="N8195" t="s">
        <v>40436</v>
      </c>
      <c r="O8195" t="s">
        <v>40437</v>
      </c>
      <c r="P8195">
        <v>0</v>
      </c>
      <c r="Q8195">
        <v>0</v>
      </c>
      <c r="R8195" t="s">
        <v>40445</v>
      </c>
      <c r="S8195" t="s">
        <v>40730</v>
      </c>
      <c r="T8195" t="s">
        <v>42144</v>
      </c>
      <c r="U8195" t="s">
        <v>49528</v>
      </c>
      <c r="V8195" t="s">
        <v>54287</v>
      </c>
      <c r="W8195" t="s">
        <v>38846</v>
      </c>
      <c r="X8195" t="s">
        <v>40446</v>
      </c>
    </row>
    <row r="8196" spans="1:24">
      <c r="A8196">
        <f>HYPERLINK("https://www.philgeps.gov.ph/GEPSNONPILOT/Tender/SplashBidNoticeAbstractUI.aspx?menuIndex=3&amp;refID=7036348&amp;Result=3","7036348")</f>
        <v>0</v>
      </c>
      <c r="B8196" t="s">
        <v>1610</v>
      </c>
      <c r="C8196" t="s">
        <v>10895</v>
      </c>
      <c r="E8196" t="s">
        <v>23482</v>
      </c>
      <c r="F8196" t="s">
        <v>28198</v>
      </c>
      <c r="G8196" t="s">
        <v>28207</v>
      </c>
      <c r="H8196" t="s">
        <v>28215</v>
      </c>
      <c r="I8196" t="s">
        <v>5103</v>
      </c>
      <c r="J8196" t="s">
        <v>28529</v>
      </c>
      <c r="K8196" t="s">
        <v>36689</v>
      </c>
      <c r="M8196" t="s">
        <v>38697</v>
      </c>
      <c r="N8196" t="s">
        <v>40436</v>
      </c>
      <c r="O8196" t="s">
        <v>40437</v>
      </c>
      <c r="P8196">
        <v>0</v>
      </c>
      <c r="Q8196">
        <v>1</v>
      </c>
      <c r="R8196" t="s">
        <v>40445</v>
      </c>
      <c r="S8196" t="s">
        <v>40730</v>
      </c>
      <c r="T8196" t="s">
        <v>42378</v>
      </c>
      <c r="U8196" t="s">
        <v>49408</v>
      </c>
      <c r="W8196" t="s">
        <v>38697</v>
      </c>
      <c r="X8196" t="s">
        <v>40446</v>
      </c>
    </row>
    <row r="8197" spans="1:24">
      <c r="A8197">
        <f>HYPERLINK("https://www.philgeps.gov.ph/GEPSNONPILOT/Tender/SplashBidNoticeAbstractUI.aspx?menuIndex=3&amp;refID=7036323&amp;Result=3","7036323")</f>
        <v>0</v>
      </c>
      <c r="B8197" t="s">
        <v>2446</v>
      </c>
      <c r="C8197" t="s">
        <v>7083</v>
      </c>
      <c r="D8197" t="s">
        <v>16187</v>
      </c>
      <c r="E8197" t="s">
        <v>20028</v>
      </c>
      <c r="F8197" t="s">
        <v>28198</v>
      </c>
      <c r="G8197" t="s">
        <v>28205</v>
      </c>
      <c r="H8197" t="s">
        <v>28215</v>
      </c>
      <c r="I8197" t="s">
        <v>4200</v>
      </c>
      <c r="J8197" t="s">
        <v>28398</v>
      </c>
      <c r="K8197" t="s">
        <v>36689</v>
      </c>
      <c r="M8197" t="s">
        <v>39636</v>
      </c>
      <c r="N8197" t="s">
        <v>40436</v>
      </c>
      <c r="O8197" t="s">
        <v>40437</v>
      </c>
      <c r="P8197">
        <v>0</v>
      </c>
      <c r="Q8197">
        <v>0</v>
      </c>
      <c r="R8197" t="s">
        <v>40445</v>
      </c>
      <c r="S8197" t="s">
        <v>40730</v>
      </c>
      <c r="T8197" t="s">
        <v>42277</v>
      </c>
      <c r="U8197" t="s">
        <v>49529</v>
      </c>
      <c r="W8197" t="s">
        <v>39636</v>
      </c>
      <c r="X8197" t="s">
        <v>40446</v>
      </c>
    </row>
    <row r="8198" spans="1:24">
      <c r="A8198">
        <f>HYPERLINK("https://www.philgeps.gov.ph/GEPSNONPILOT/Tender/SplashBidNoticeAbstractUI.aspx?menuIndex=3&amp;refID=7036345&amp;Result=3","7036345")</f>
        <v>0</v>
      </c>
      <c r="B8198" t="s">
        <v>1217</v>
      </c>
      <c r="C8198" t="s">
        <v>10896</v>
      </c>
      <c r="D8198" t="s">
        <v>16260</v>
      </c>
      <c r="E8198" t="s">
        <v>23483</v>
      </c>
      <c r="F8198" t="s">
        <v>28198</v>
      </c>
      <c r="G8198" t="s">
        <v>28205</v>
      </c>
      <c r="H8198" t="s">
        <v>28215</v>
      </c>
      <c r="I8198" t="s">
        <v>5071</v>
      </c>
      <c r="J8198" t="s">
        <v>33483</v>
      </c>
      <c r="K8198" t="s">
        <v>36688</v>
      </c>
      <c r="M8198" t="s">
        <v>38262</v>
      </c>
      <c r="N8198" t="s">
        <v>40436</v>
      </c>
      <c r="O8198" t="s">
        <v>40437</v>
      </c>
      <c r="P8198">
        <v>0</v>
      </c>
      <c r="Q8198">
        <v>1</v>
      </c>
      <c r="R8198" t="s">
        <v>40445</v>
      </c>
      <c r="S8198" t="s">
        <v>40730</v>
      </c>
      <c r="T8198" t="s">
        <v>42131</v>
      </c>
      <c r="U8198" t="s">
        <v>49530</v>
      </c>
      <c r="W8198" t="s">
        <v>38262</v>
      </c>
      <c r="X8198" t="s">
        <v>40446</v>
      </c>
    </row>
    <row r="8199" spans="1:24">
      <c r="A8199">
        <f>HYPERLINK("https://www.philgeps.gov.ph/GEPSNONPILOT/Tender/SplashBidNoticeAbstractUI.aspx?menuIndex=3&amp;refID=7036358&amp;Result=3","7036358")</f>
        <v>0</v>
      </c>
      <c r="B8199" t="s">
        <v>1735</v>
      </c>
      <c r="C8199" t="s">
        <v>10897</v>
      </c>
      <c r="D8199" t="s">
        <v>16210</v>
      </c>
      <c r="E8199" t="s">
        <v>23484</v>
      </c>
      <c r="F8199" t="s">
        <v>28200</v>
      </c>
      <c r="G8199" t="s">
        <v>28205</v>
      </c>
      <c r="H8199" t="s">
        <v>28215</v>
      </c>
      <c r="I8199" t="s">
        <v>28265</v>
      </c>
      <c r="J8199" t="s">
        <v>28395</v>
      </c>
      <c r="K8199" t="s">
        <v>36701</v>
      </c>
      <c r="M8199" t="s">
        <v>38846</v>
      </c>
      <c r="N8199" t="s">
        <v>40436</v>
      </c>
      <c r="O8199" t="s">
        <v>40437</v>
      </c>
      <c r="P8199">
        <v>0</v>
      </c>
      <c r="Q8199">
        <v>0</v>
      </c>
      <c r="R8199" t="s">
        <v>40445</v>
      </c>
      <c r="S8199" t="s">
        <v>40730</v>
      </c>
      <c r="T8199" t="s">
        <v>42337</v>
      </c>
      <c r="U8199" t="s">
        <v>49531</v>
      </c>
      <c r="V8199" t="s">
        <v>54287</v>
      </c>
      <c r="W8199" t="s">
        <v>38846</v>
      </c>
      <c r="X8199" t="s">
        <v>40446</v>
      </c>
    </row>
    <row r="8200" spans="1:24">
      <c r="A8200">
        <f>HYPERLINK("https://www.philgeps.gov.ph/GEPSNONPILOT/Tender/SplashBidNoticeAbstractUI.aspx?menuIndex=3&amp;refID=7036327&amp;Result=3","7036327")</f>
        <v>0</v>
      </c>
      <c r="B8200" t="s">
        <v>1610</v>
      </c>
      <c r="C8200" t="s">
        <v>10898</v>
      </c>
      <c r="E8200" t="s">
        <v>23485</v>
      </c>
      <c r="F8200" t="s">
        <v>28198</v>
      </c>
      <c r="G8200" t="s">
        <v>28207</v>
      </c>
      <c r="H8200" t="s">
        <v>28215</v>
      </c>
      <c r="I8200" t="s">
        <v>28226</v>
      </c>
      <c r="J8200" t="s">
        <v>29738</v>
      </c>
      <c r="K8200" t="s">
        <v>36689</v>
      </c>
      <c r="M8200" t="s">
        <v>38697</v>
      </c>
      <c r="N8200" t="s">
        <v>40436</v>
      </c>
      <c r="O8200" t="s">
        <v>40437</v>
      </c>
      <c r="P8200">
        <v>0</v>
      </c>
      <c r="Q8200">
        <v>2</v>
      </c>
      <c r="R8200" t="s">
        <v>40445</v>
      </c>
      <c r="S8200" t="s">
        <v>40730</v>
      </c>
      <c r="T8200" t="s">
        <v>42378</v>
      </c>
      <c r="U8200" t="s">
        <v>49408</v>
      </c>
      <c r="W8200" t="s">
        <v>38697</v>
      </c>
      <c r="X8200" t="s">
        <v>40446</v>
      </c>
    </row>
    <row r="8201" spans="1:24">
      <c r="A8201">
        <f>HYPERLINK("https://www.philgeps.gov.ph/GEPSNONPILOT/Tender/SplashBidNoticeAbstractUI.aspx?menuIndex=3&amp;refID=7036340&amp;Result=3","7036340")</f>
        <v>0</v>
      </c>
      <c r="B8201" t="s">
        <v>406</v>
      </c>
      <c r="C8201" t="s">
        <v>10899</v>
      </c>
      <c r="D8201" t="s">
        <v>16203</v>
      </c>
      <c r="E8201" t="s">
        <v>23486</v>
      </c>
      <c r="F8201" t="s">
        <v>28198</v>
      </c>
      <c r="G8201" t="s">
        <v>28205</v>
      </c>
      <c r="H8201" t="s">
        <v>28215</v>
      </c>
      <c r="I8201" t="s">
        <v>8888</v>
      </c>
      <c r="J8201" t="s">
        <v>33484</v>
      </c>
      <c r="K8201" t="s">
        <v>36707</v>
      </c>
      <c r="M8201" t="s">
        <v>37387</v>
      </c>
      <c r="N8201" t="s">
        <v>40436</v>
      </c>
      <c r="O8201" t="s">
        <v>40437</v>
      </c>
      <c r="P8201">
        <v>0</v>
      </c>
      <c r="Q8201">
        <v>25</v>
      </c>
      <c r="R8201" t="s">
        <v>40445</v>
      </c>
      <c r="S8201" t="s">
        <v>40730</v>
      </c>
      <c r="T8201" t="s">
        <v>42390</v>
      </c>
      <c r="U8201" t="s">
        <v>49532</v>
      </c>
      <c r="W8201" t="s">
        <v>37387</v>
      </c>
      <c r="X8201" t="s">
        <v>40446</v>
      </c>
    </row>
    <row r="8202" spans="1:24">
      <c r="A8202">
        <f>HYPERLINK("https://www.philgeps.gov.ph/GEPSNONPILOT/Tender/SplashBidNoticeAbstractUI.aspx?menuIndex=3&amp;refID=7036338&amp;Result=3","7036338")</f>
        <v>0</v>
      </c>
      <c r="B8202" t="s">
        <v>1217</v>
      </c>
      <c r="C8202" t="s">
        <v>10900</v>
      </c>
      <c r="D8202" t="s">
        <v>16260</v>
      </c>
      <c r="E8202" t="s">
        <v>23487</v>
      </c>
      <c r="F8202" t="s">
        <v>28198</v>
      </c>
      <c r="G8202" t="s">
        <v>28205</v>
      </c>
      <c r="H8202" t="s">
        <v>28215</v>
      </c>
      <c r="I8202" t="s">
        <v>28253</v>
      </c>
      <c r="J8202" t="s">
        <v>33485</v>
      </c>
      <c r="K8202" t="s">
        <v>36688</v>
      </c>
      <c r="M8202" t="s">
        <v>38262</v>
      </c>
      <c r="N8202" t="s">
        <v>40436</v>
      </c>
      <c r="O8202" t="s">
        <v>40437</v>
      </c>
      <c r="P8202">
        <v>0</v>
      </c>
      <c r="Q8202">
        <v>1</v>
      </c>
      <c r="R8202" t="s">
        <v>40445</v>
      </c>
      <c r="S8202" t="s">
        <v>40730</v>
      </c>
      <c r="T8202" t="s">
        <v>42131</v>
      </c>
      <c r="U8202" t="s">
        <v>49533</v>
      </c>
      <c r="W8202" t="s">
        <v>38262</v>
      </c>
      <c r="X8202" t="s">
        <v>40446</v>
      </c>
    </row>
    <row r="8203" spans="1:24">
      <c r="A8203">
        <f>HYPERLINK("https://www.philgeps.gov.ph/GEPSNONPILOT/Tender/SplashBidNoticeAbstractUI.aspx?menuIndex=3&amp;refID=7036336&amp;Result=3","7036336")</f>
        <v>0</v>
      </c>
      <c r="B8203" t="s">
        <v>1610</v>
      </c>
      <c r="C8203" t="s">
        <v>10901</v>
      </c>
      <c r="E8203" t="s">
        <v>23488</v>
      </c>
      <c r="F8203" t="s">
        <v>28198</v>
      </c>
      <c r="G8203" t="s">
        <v>28210</v>
      </c>
      <c r="H8203" t="s">
        <v>28215</v>
      </c>
      <c r="I8203" t="s">
        <v>5082</v>
      </c>
      <c r="J8203" t="s">
        <v>33486</v>
      </c>
      <c r="K8203" t="s">
        <v>36689</v>
      </c>
      <c r="M8203" t="s">
        <v>38697</v>
      </c>
      <c r="N8203" t="s">
        <v>40436</v>
      </c>
      <c r="O8203" t="s">
        <v>40437</v>
      </c>
      <c r="P8203">
        <v>0</v>
      </c>
      <c r="Q8203">
        <v>4</v>
      </c>
      <c r="R8203" t="s">
        <v>40445</v>
      </c>
      <c r="S8203" t="s">
        <v>40730</v>
      </c>
      <c r="T8203" t="s">
        <v>42378</v>
      </c>
      <c r="U8203" t="s">
        <v>49408</v>
      </c>
      <c r="W8203" t="s">
        <v>38697</v>
      </c>
      <c r="X8203" t="s">
        <v>40446</v>
      </c>
    </row>
    <row r="8204" spans="1:24">
      <c r="A8204">
        <f>HYPERLINK("https://www.philgeps.gov.ph/GEPSNONPILOT/Tender/SplashBidNoticeAbstractUI.aspx?menuIndex=3&amp;refID=7036361&amp;Result=3","7036361")</f>
        <v>0</v>
      </c>
      <c r="B8204" t="s">
        <v>2447</v>
      </c>
      <c r="C8204" t="s">
        <v>10902</v>
      </c>
      <c r="D8204" t="s">
        <v>16233</v>
      </c>
      <c r="E8204" t="s">
        <v>23489</v>
      </c>
      <c r="F8204" t="s">
        <v>28201</v>
      </c>
      <c r="G8204" t="s">
        <v>28207</v>
      </c>
      <c r="H8204" t="s">
        <v>28215</v>
      </c>
      <c r="I8204" t="s">
        <v>4505</v>
      </c>
      <c r="J8204" t="s">
        <v>28430</v>
      </c>
      <c r="K8204" t="s">
        <v>36693</v>
      </c>
      <c r="M8204" t="s">
        <v>39637</v>
      </c>
      <c r="N8204" t="s">
        <v>40436</v>
      </c>
      <c r="O8204" t="s">
        <v>40437</v>
      </c>
      <c r="P8204">
        <v>0</v>
      </c>
      <c r="Q8204">
        <v>8</v>
      </c>
      <c r="R8204" t="s">
        <v>40445</v>
      </c>
      <c r="S8204" t="s">
        <v>40730</v>
      </c>
      <c r="T8204" t="s">
        <v>42245</v>
      </c>
      <c r="U8204" t="s">
        <v>49534</v>
      </c>
      <c r="W8204" t="s">
        <v>39637</v>
      </c>
      <c r="X8204" t="s">
        <v>40446</v>
      </c>
    </row>
    <row r="8205" spans="1:24">
      <c r="A8205">
        <f>HYPERLINK("https://www.philgeps.gov.ph/GEPSNONPILOT/Tender/SplashBidNoticeAbstractUI.aspx?menuIndex=3&amp;refID=7036360&amp;Result=3","7036360")</f>
        <v>0</v>
      </c>
      <c r="B8205" t="s">
        <v>380</v>
      </c>
      <c r="C8205" t="s">
        <v>3797</v>
      </c>
      <c r="D8205" t="s">
        <v>16256</v>
      </c>
      <c r="E8205" t="s">
        <v>23490</v>
      </c>
      <c r="F8205" t="s">
        <v>28198</v>
      </c>
      <c r="G8205" t="s">
        <v>28205</v>
      </c>
      <c r="H8205" t="s">
        <v>28214</v>
      </c>
      <c r="I8205" t="s">
        <v>3797</v>
      </c>
      <c r="J8205" t="s">
        <v>28398</v>
      </c>
      <c r="K8205" t="s">
        <v>36689</v>
      </c>
      <c r="M8205" t="s">
        <v>37360</v>
      </c>
      <c r="N8205" t="s">
        <v>40436</v>
      </c>
      <c r="O8205" t="s">
        <v>40437</v>
      </c>
      <c r="P8205">
        <v>0</v>
      </c>
      <c r="Q8205">
        <v>0</v>
      </c>
      <c r="R8205" t="s">
        <v>40445</v>
      </c>
      <c r="S8205" t="s">
        <v>40730</v>
      </c>
      <c r="T8205" t="s">
        <v>42185</v>
      </c>
      <c r="U8205" t="s">
        <v>49535</v>
      </c>
      <c r="W8205" t="s">
        <v>37360</v>
      </c>
      <c r="X8205" t="s">
        <v>40446</v>
      </c>
    </row>
    <row r="8206" spans="1:24">
      <c r="A8206">
        <f>HYPERLINK("https://www.philgeps.gov.ph/GEPSNONPILOT/Tender/SplashBidNoticeAbstractUI.aspx?menuIndex=3&amp;refID=7036403&amp;Result=3","7036403")</f>
        <v>0</v>
      </c>
      <c r="B8206" t="s">
        <v>762</v>
      </c>
      <c r="C8206" t="s">
        <v>10903</v>
      </c>
      <c r="D8206" t="s">
        <v>16252</v>
      </c>
      <c r="E8206" t="s">
        <v>23491</v>
      </c>
      <c r="F8206" t="s">
        <v>28198</v>
      </c>
      <c r="G8206" t="s">
        <v>28205</v>
      </c>
      <c r="H8206" t="s">
        <v>28214</v>
      </c>
      <c r="I8206" t="s">
        <v>3797</v>
      </c>
      <c r="J8206" t="s">
        <v>28351</v>
      </c>
      <c r="K8206" t="s">
        <v>36694</v>
      </c>
      <c r="M8206" t="s">
        <v>37765</v>
      </c>
      <c r="N8206" t="s">
        <v>40436</v>
      </c>
      <c r="O8206" t="s">
        <v>40437</v>
      </c>
      <c r="P8206">
        <v>0</v>
      </c>
      <c r="Q8206">
        <v>6</v>
      </c>
      <c r="R8206" t="s">
        <v>40445</v>
      </c>
      <c r="S8206" t="s">
        <v>40730</v>
      </c>
      <c r="T8206" t="s">
        <v>42279</v>
      </c>
      <c r="U8206" t="s">
        <v>49536</v>
      </c>
      <c r="V8206" t="s">
        <v>54663</v>
      </c>
      <c r="W8206" t="s">
        <v>37765</v>
      </c>
      <c r="X8206" t="s">
        <v>40446</v>
      </c>
    </row>
    <row r="8207" spans="1:24">
      <c r="A8207">
        <f>HYPERLINK("https://www.philgeps.gov.ph/GEPSNONPILOT/Tender/SplashBidNoticeAbstractUI.aspx?menuIndex=3&amp;refID=7036341&amp;Result=3","7036341")</f>
        <v>0</v>
      </c>
      <c r="B8207" t="s">
        <v>1610</v>
      </c>
      <c r="C8207" t="s">
        <v>10904</v>
      </c>
      <c r="E8207" t="s">
        <v>23492</v>
      </c>
      <c r="F8207" t="s">
        <v>28198</v>
      </c>
      <c r="G8207" t="s">
        <v>28207</v>
      </c>
      <c r="H8207" t="s">
        <v>28215</v>
      </c>
      <c r="I8207" t="s">
        <v>28258</v>
      </c>
      <c r="J8207" t="s">
        <v>29738</v>
      </c>
      <c r="K8207" t="s">
        <v>36689</v>
      </c>
      <c r="M8207" t="s">
        <v>38697</v>
      </c>
      <c r="N8207" t="s">
        <v>40436</v>
      </c>
      <c r="O8207" t="s">
        <v>40437</v>
      </c>
      <c r="P8207">
        <v>0</v>
      </c>
      <c r="Q8207">
        <v>9</v>
      </c>
      <c r="R8207" t="s">
        <v>40445</v>
      </c>
      <c r="S8207" t="s">
        <v>40730</v>
      </c>
      <c r="T8207" t="s">
        <v>42378</v>
      </c>
      <c r="U8207" t="s">
        <v>49408</v>
      </c>
      <c r="W8207" t="s">
        <v>38697</v>
      </c>
      <c r="X8207" t="s">
        <v>40446</v>
      </c>
    </row>
    <row r="8208" spans="1:24">
      <c r="A8208">
        <f>HYPERLINK("https://www.philgeps.gov.ph/GEPSNONPILOT/Tender/SplashBidNoticeAbstractUI.aspx?menuIndex=3&amp;refID=7036395&amp;Result=3","7036395")</f>
        <v>0</v>
      </c>
      <c r="B8208" t="s">
        <v>2448</v>
      </c>
      <c r="C8208" t="s">
        <v>10905</v>
      </c>
      <c r="D8208" t="s">
        <v>16260</v>
      </c>
      <c r="E8208" t="s">
        <v>23493</v>
      </c>
      <c r="F8208" t="s">
        <v>28198</v>
      </c>
      <c r="G8208" t="s">
        <v>28205</v>
      </c>
      <c r="H8208" t="s">
        <v>28214</v>
      </c>
      <c r="I8208" t="s">
        <v>3797</v>
      </c>
      <c r="J8208" t="s">
        <v>33487</v>
      </c>
      <c r="K8208" t="s">
        <v>36814</v>
      </c>
      <c r="M8208" t="s">
        <v>39638</v>
      </c>
      <c r="N8208" t="s">
        <v>40436</v>
      </c>
      <c r="O8208" t="s">
        <v>40437</v>
      </c>
      <c r="P8208">
        <v>0</v>
      </c>
      <c r="Q8208">
        <v>0</v>
      </c>
      <c r="R8208" t="s">
        <v>40445</v>
      </c>
      <c r="S8208" t="s">
        <v>40730</v>
      </c>
      <c r="T8208" t="s">
        <v>42234</v>
      </c>
      <c r="U8208" t="s">
        <v>49537</v>
      </c>
      <c r="W8208" t="s">
        <v>39638</v>
      </c>
      <c r="X8208" t="s">
        <v>40446</v>
      </c>
    </row>
    <row r="8209" spans="1:24">
      <c r="A8209">
        <f>HYPERLINK("https://www.philgeps.gov.ph/GEPSNONPILOT/Tender/SplashBidNoticeAbstractUI.aspx?menuIndex=3&amp;refID=7036367&amp;Result=3","7036367")</f>
        <v>0</v>
      </c>
      <c r="B8209" t="s">
        <v>2449</v>
      </c>
      <c r="C8209" t="s">
        <v>10906</v>
      </c>
      <c r="D8209" t="s">
        <v>16278</v>
      </c>
      <c r="E8209" t="s">
        <v>16909</v>
      </c>
      <c r="F8209" t="s">
        <v>28198</v>
      </c>
      <c r="G8209" t="s">
        <v>28205</v>
      </c>
      <c r="H8209" t="s">
        <v>28215</v>
      </c>
      <c r="I8209" t="s">
        <v>28248</v>
      </c>
      <c r="J8209" t="s">
        <v>33488</v>
      </c>
      <c r="K8209" t="s">
        <v>36688</v>
      </c>
      <c r="M8209" t="s">
        <v>39639</v>
      </c>
      <c r="N8209" t="s">
        <v>40436</v>
      </c>
      <c r="O8209" t="s">
        <v>40437</v>
      </c>
      <c r="P8209">
        <v>0</v>
      </c>
      <c r="Q8209">
        <v>4</v>
      </c>
      <c r="R8209" t="s">
        <v>40445</v>
      </c>
      <c r="S8209" t="s">
        <v>40730</v>
      </c>
      <c r="T8209" t="s">
        <v>42168</v>
      </c>
      <c r="U8209" t="s">
        <v>49538</v>
      </c>
      <c r="W8209" t="s">
        <v>39639</v>
      </c>
      <c r="X8209" t="s">
        <v>40446</v>
      </c>
    </row>
    <row r="8210" spans="1:24">
      <c r="A8210">
        <f>HYPERLINK("https://www.philgeps.gov.ph/GEPSNONPILOT/Tender/SplashBidNoticeAbstractUI.aspx?menuIndex=3&amp;refID=7036386&amp;Result=3","7036386")</f>
        <v>0</v>
      </c>
      <c r="B8210" t="s">
        <v>2450</v>
      </c>
      <c r="C8210" t="s">
        <v>10907</v>
      </c>
      <c r="E8210" t="s">
        <v>23470</v>
      </c>
      <c r="F8210" t="s">
        <v>28198</v>
      </c>
      <c r="G8210" t="s">
        <v>28205</v>
      </c>
      <c r="H8210" t="s">
        <v>28214</v>
      </c>
      <c r="I8210" t="s">
        <v>3797</v>
      </c>
      <c r="J8210" t="s">
        <v>33489</v>
      </c>
      <c r="K8210" t="s">
        <v>36717</v>
      </c>
      <c r="M8210" t="s">
        <v>39640</v>
      </c>
      <c r="N8210" t="s">
        <v>40436</v>
      </c>
      <c r="O8210" t="s">
        <v>40437</v>
      </c>
      <c r="P8210">
        <v>0</v>
      </c>
      <c r="Q8210">
        <v>0</v>
      </c>
      <c r="R8210" t="s">
        <v>40445</v>
      </c>
      <c r="S8210" t="s">
        <v>40730</v>
      </c>
      <c r="T8210" t="s">
        <v>42138</v>
      </c>
      <c r="U8210" t="s">
        <v>49539</v>
      </c>
      <c r="W8210" t="s">
        <v>39640</v>
      </c>
      <c r="X8210" t="s">
        <v>40446</v>
      </c>
    </row>
    <row r="8211" spans="1:24">
      <c r="A8211">
        <f>HYPERLINK("https://www.philgeps.gov.ph/GEPSNONPILOT/Tender/SplashBidNoticeAbstractUI.aspx?menuIndex=3&amp;refID=7036402&amp;Result=3","7036402")</f>
        <v>0</v>
      </c>
      <c r="B8211" t="s">
        <v>2381</v>
      </c>
      <c r="C8211" t="s">
        <v>10908</v>
      </c>
      <c r="D8211" t="s">
        <v>16243</v>
      </c>
      <c r="E8211" t="s">
        <v>23494</v>
      </c>
      <c r="F8211" t="s">
        <v>28198</v>
      </c>
      <c r="G8211" t="s">
        <v>28205</v>
      </c>
      <c r="H8211" t="s">
        <v>28214</v>
      </c>
      <c r="I8211" t="s">
        <v>3797</v>
      </c>
      <c r="J8211" t="s">
        <v>32323</v>
      </c>
      <c r="K8211" t="s">
        <v>36870</v>
      </c>
      <c r="M8211" t="s">
        <v>39641</v>
      </c>
      <c r="N8211" t="s">
        <v>40436</v>
      </c>
      <c r="O8211" t="s">
        <v>40437</v>
      </c>
      <c r="P8211">
        <v>0</v>
      </c>
      <c r="Q8211">
        <v>0</v>
      </c>
      <c r="R8211" t="s">
        <v>40445</v>
      </c>
      <c r="S8211" t="s">
        <v>40730</v>
      </c>
      <c r="T8211" t="s">
        <v>42278</v>
      </c>
      <c r="U8211" t="s">
        <v>49540</v>
      </c>
      <c r="W8211" t="s">
        <v>39641</v>
      </c>
      <c r="X8211" t="s">
        <v>40446</v>
      </c>
    </row>
    <row r="8212" spans="1:24">
      <c r="A8212">
        <f>HYPERLINK("https://www.philgeps.gov.ph/GEPSNONPILOT/Tender/SplashBidNoticeAbstractUI.aspx?menuIndex=3&amp;refID=7036371&amp;Result=3","7036371")</f>
        <v>0</v>
      </c>
      <c r="B8212" t="s">
        <v>2444</v>
      </c>
      <c r="C8212" t="s">
        <v>10909</v>
      </c>
      <c r="D8212" t="s">
        <v>16235</v>
      </c>
      <c r="E8212" t="s">
        <v>23495</v>
      </c>
      <c r="F8212" t="s">
        <v>28198</v>
      </c>
      <c r="G8212" t="s">
        <v>28205</v>
      </c>
      <c r="H8212" t="s">
        <v>28214</v>
      </c>
      <c r="I8212" t="s">
        <v>3797</v>
      </c>
      <c r="J8212" t="s">
        <v>33490</v>
      </c>
      <c r="K8212" t="s">
        <v>36697</v>
      </c>
      <c r="M8212" t="s">
        <v>39634</v>
      </c>
      <c r="N8212" t="s">
        <v>40436</v>
      </c>
      <c r="O8212" t="s">
        <v>40437</v>
      </c>
      <c r="P8212">
        <v>0</v>
      </c>
      <c r="Q8212">
        <v>0</v>
      </c>
      <c r="R8212" t="s">
        <v>40445</v>
      </c>
      <c r="S8212" t="s">
        <v>40730</v>
      </c>
      <c r="T8212" t="s">
        <v>42109</v>
      </c>
      <c r="U8212" t="s">
        <v>49541</v>
      </c>
      <c r="W8212" t="s">
        <v>39634</v>
      </c>
      <c r="X8212" t="s">
        <v>40446</v>
      </c>
    </row>
    <row r="8213" spans="1:24">
      <c r="A8213">
        <f>HYPERLINK("https://www.philgeps.gov.ph/GEPSNONPILOT/Tender/SplashBidNoticeAbstractUI.aspx?menuIndex=3&amp;refID=7036378&amp;Result=3","7036378")</f>
        <v>0</v>
      </c>
      <c r="B8213" t="s">
        <v>2449</v>
      </c>
      <c r="C8213" t="s">
        <v>6474</v>
      </c>
      <c r="D8213" t="s">
        <v>16278</v>
      </c>
      <c r="E8213" t="s">
        <v>17247</v>
      </c>
      <c r="F8213" t="s">
        <v>28198</v>
      </c>
      <c r="G8213" t="s">
        <v>28205</v>
      </c>
      <c r="H8213" t="s">
        <v>28215</v>
      </c>
      <c r="I8213" t="s">
        <v>4219</v>
      </c>
      <c r="J8213" t="s">
        <v>29113</v>
      </c>
      <c r="K8213" t="s">
        <v>36688</v>
      </c>
      <c r="M8213" t="s">
        <v>39639</v>
      </c>
      <c r="N8213" t="s">
        <v>40436</v>
      </c>
      <c r="O8213" t="s">
        <v>40437</v>
      </c>
      <c r="P8213">
        <v>0</v>
      </c>
      <c r="Q8213">
        <v>3</v>
      </c>
      <c r="R8213" t="s">
        <v>40445</v>
      </c>
      <c r="S8213" t="s">
        <v>40730</v>
      </c>
      <c r="T8213" t="s">
        <v>42168</v>
      </c>
      <c r="U8213" t="s">
        <v>42638</v>
      </c>
      <c r="W8213" t="s">
        <v>39639</v>
      </c>
      <c r="X8213" t="s">
        <v>40446</v>
      </c>
    </row>
    <row r="8214" spans="1:24">
      <c r="A8214">
        <f>HYPERLINK("https://www.philgeps.gov.ph/GEPSNONPILOT/Tender/SplashBidNoticeAbstractUI.aspx?menuIndex=3&amp;refID=7036382&amp;Result=3","7036382")</f>
        <v>0</v>
      </c>
      <c r="B8214" t="s">
        <v>2449</v>
      </c>
      <c r="C8214" t="s">
        <v>10910</v>
      </c>
      <c r="D8214" t="s">
        <v>16278</v>
      </c>
      <c r="E8214" t="s">
        <v>16537</v>
      </c>
      <c r="F8214" t="s">
        <v>28198</v>
      </c>
      <c r="G8214" t="s">
        <v>28205</v>
      </c>
      <c r="H8214" t="s">
        <v>28215</v>
      </c>
      <c r="I8214" t="s">
        <v>5071</v>
      </c>
      <c r="J8214" t="s">
        <v>33491</v>
      </c>
      <c r="K8214" t="s">
        <v>36688</v>
      </c>
      <c r="M8214" t="s">
        <v>39639</v>
      </c>
      <c r="N8214" t="s">
        <v>40436</v>
      </c>
      <c r="O8214" t="s">
        <v>40437</v>
      </c>
      <c r="P8214">
        <v>0</v>
      </c>
      <c r="Q8214">
        <v>4</v>
      </c>
      <c r="R8214" t="s">
        <v>40445</v>
      </c>
      <c r="S8214" t="s">
        <v>40730</v>
      </c>
      <c r="T8214" t="s">
        <v>42194</v>
      </c>
      <c r="U8214" t="s">
        <v>49542</v>
      </c>
      <c r="W8214" t="s">
        <v>39639</v>
      </c>
      <c r="X8214" t="s">
        <v>40446</v>
      </c>
    </row>
    <row r="8215" spans="1:24">
      <c r="A8215">
        <f>HYPERLINK("https://www.philgeps.gov.ph/GEPSNONPILOT/Tender/SplashBidNoticeAbstractUI.aspx?menuIndex=3&amp;refID=7036365&amp;Result=3","7036365")</f>
        <v>0</v>
      </c>
      <c r="B8215" t="s">
        <v>1735</v>
      </c>
      <c r="C8215" t="s">
        <v>10911</v>
      </c>
      <c r="D8215" t="s">
        <v>16210</v>
      </c>
      <c r="E8215" t="s">
        <v>23496</v>
      </c>
      <c r="F8215" t="s">
        <v>28200</v>
      </c>
      <c r="G8215" t="s">
        <v>28205</v>
      </c>
      <c r="H8215" t="s">
        <v>28215</v>
      </c>
      <c r="I8215" t="s">
        <v>28265</v>
      </c>
      <c r="J8215" t="s">
        <v>28393</v>
      </c>
      <c r="K8215" t="s">
        <v>36701</v>
      </c>
      <c r="M8215" t="s">
        <v>38846</v>
      </c>
      <c r="N8215" t="s">
        <v>40436</v>
      </c>
      <c r="O8215" t="s">
        <v>40437</v>
      </c>
      <c r="P8215">
        <v>0</v>
      </c>
      <c r="Q8215">
        <v>0</v>
      </c>
      <c r="R8215" t="s">
        <v>40445</v>
      </c>
      <c r="S8215" t="s">
        <v>40730</v>
      </c>
      <c r="T8215" t="s">
        <v>42337</v>
      </c>
      <c r="U8215" t="s">
        <v>49543</v>
      </c>
      <c r="V8215" t="s">
        <v>54287</v>
      </c>
      <c r="W8215" t="s">
        <v>38846</v>
      </c>
      <c r="X8215" t="s">
        <v>40446</v>
      </c>
    </row>
    <row r="8216" spans="1:24">
      <c r="A8216">
        <f>HYPERLINK("https://www.philgeps.gov.ph/GEPSNONPILOT/Tender/SplashBidNoticeAbstractUI.aspx?menuIndex=3&amp;refID=7036377&amp;Result=3","7036377")</f>
        <v>0</v>
      </c>
      <c r="B8216" t="s">
        <v>2448</v>
      </c>
      <c r="C8216" t="s">
        <v>10912</v>
      </c>
      <c r="D8216" t="s">
        <v>16260</v>
      </c>
      <c r="E8216" t="s">
        <v>23497</v>
      </c>
      <c r="F8216" t="s">
        <v>28198</v>
      </c>
      <c r="G8216" t="s">
        <v>28205</v>
      </c>
      <c r="H8216" t="s">
        <v>28214</v>
      </c>
      <c r="I8216" t="s">
        <v>3797</v>
      </c>
      <c r="J8216" t="s">
        <v>33492</v>
      </c>
      <c r="K8216" t="s">
        <v>36697</v>
      </c>
      <c r="M8216" t="s">
        <v>39638</v>
      </c>
      <c r="N8216" t="s">
        <v>40436</v>
      </c>
      <c r="O8216" t="s">
        <v>40437</v>
      </c>
      <c r="P8216">
        <v>0</v>
      </c>
      <c r="Q8216">
        <v>1</v>
      </c>
      <c r="R8216" t="s">
        <v>40445</v>
      </c>
      <c r="S8216" t="s">
        <v>40730</v>
      </c>
      <c r="T8216" t="s">
        <v>42234</v>
      </c>
      <c r="U8216" t="s">
        <v>49537</v>
      </c>
      <c r="W8216" t="s">
        <v>39638</v>
      </c>
      <c r="X8216" t="s">
        <v>40446</v>
      </c>
    </row>
    <row r="8217" spans="1:24">
      <c r="A8217">
        <f>HYPERLINK("https://www.philgeps.gov.ph/GEPSNONPILOT/Tender/SplashBidNoticeAbstractUI.aspx?menuIndex=3&amp;refID=7036362&amp;Result=3","7036362")</f>
        <v>0</v>
      </c>
      <c r="B8217" t="s">
        <v>2444</v>
      </c>
      <c r="C8217" t="s">
        <v>10913</v>
      </c>
      <c r="D8217" t="s">
        <v>16235</v>
      </c>
      <c r="E8217" t="s">
        <v>23498</v>
      </c>
      <c r="F8217" t="s">
        <v>28198</v>
      </c>
      <c r="G8217" t="s">
        <v>28205</v>
      </c>
      <c r="H8217" t="s">
        <v>28214</v>
      </c>
      <c r="I8217" t="s">
        <v>3797</v>
      </c>
      <c r="J8217" t="s">
        <v>33493</v>
      </c>
      <c r="K8217" t="s">
        <v>36697</v>
      </c>
      <c r="M8217" t="s">
        <v>39634</v>
      </c>
      <c r="N8217" t="s">
        <v>40436</v>
      </c>
      <c r="O8217" t="s">
        <v>40437</v>
      </c>
      <c r="P8217">
        <v>0</v>
      </c>
      <c r="Q8217">
        <v>0</v>
      </c>
      <c r="R8217" t="s">
        <v>40445</v>
      </c>
      <c r="S8217" t="s">
        <v>40730</v>
      </c>
      <c r="T8217" t="s">
        <v>42109</v>
      </c>
      <c r="U8217" t="s">
        <v>49544</v>
      </c>
      <c r="W8217" t="s">
        <v>39634</v>
      </c>
      <c r="X8217" t="s">
        <v>40446</v>
      </c>
    </row>
    <row r="8218" spans="1:24">
      <c r="A8218">
        <f>HYPERLINK("https://www.philgeps.gov.ph/GEPSNONPILOT/Tender/SplashBidNoticeAbstractUI.aspx?menuIndex=3&amp;refID=7036413&amp;Result=3","7036413")</f>
        <v>0</v>
      </c>
      <c r="B8218" t="s">
        <v>600</v>
      </c>
      <c r="C8218" t="s">
        <v>10914</v>
      </c>
      <c r="D8218" t="s">
        <v>16216</v>
      </c>
      <c r="E8218" t="s">
        <v>23499</v>
      </c>
      <c r="F8218" t="s">
        <v>28198</v>
      </c>
      <c r="G8218" t="s">
        <v>28205</v>
      </c>
      <c r="H8218" t="s">
        <v>28215</v>
      </c>
      <c r="I8218" t="s">
        <v>5100</v>
      </c>
      <c r="J8218" t="s">
        <v>33494</v>
      </c>
      <c r="K8218" t="s">
        <v>36707</v>
      </c>
      <c r="M8218" t="s">
        <v>37590</v>
      </c>
      <c r="N8218" t="s">
        <v>40436</v>
      </c>
      <c r="O8218" t="s">
        <v>40437</v>
      </c>
      <c r="P8218">
        <v>0</v>
      </c>
      <c r="Q8218">
        <v>3</v>
      </c>
      <c r="R8218" t="s">
        <v>40445</v>
      </c>
      <c r="S8218" t="s">
        <v>40730</v>
      </c>
      <c r="T8218" t="s">
        <v>42165</v>
      </c>
      <c r="U8218" t="s">
        <v>49545</v>
      </c>
      <c r="W8218" t="s">
        <v>37590</v>
      </c>
      <c r="X8218" t="s">
        <v>40446</v>
      </c>
    </row>
    <row r="8219" spans="1:24">
      <c r="A8219">
        <f>HYPERLINK("https://www.philgeps.gov.ph/GEPSNONPILOT/Tender/SplashBidNoticeAbstractUI.aspx?menuIndex=3&amp;refID=7036404&amp;Result=3","7036404")</f>
        <v>0</v>
      </c>
      <c r="B8219" t="s">
        <v>2448</v>
      </c>
      <c r="C8219" t="s">
        <v>10915</v>
      </c>
      <c r="D8219" t="s">
        <v>16260</v>
      </c>
      <c r="E8219" t="s">
        <v>23500</v>
      </c>
      <c r="F8219" t="s">
        <v>28198</v>
      </c>
      <c r="G8219" t="s">
        <v>28205</v>
      </c>
      <c r="H8219" t="s">
        <v>28214</v>
      </c>
      <c r="I8219" t="s">
        <v>3797</v>
      </c>
      <c r="J8219" t="s">
        <v>33495</v>
      </c>
      <c r="K8219" t="s">
        <v>36789</v>
      </c>
      <c r="M8219" t="s">
        <v>39638</v>
      </c>
      <c r="N8219" t="s">
        <v>40436</v>
      </c>
      <c r="O8219" t="s">
        <v>40437</v>
      </c>
      <c r="P8219">
        <v>0</v>
      </c>
      <c r="Q8219">
        <v>0</v>
      </c>
      <c r="R8219" t="s">
        <v>40445</v>
      </c>
      <c r="S8219" t="s">
        <v>40730</v>
      </c>
      <c r="T8219" t="s">
        <v>42234</v>
      </c>
      <c r="U8219" t="s">
        <v>49537</v>
      </c>
      <c r="W8219" t="s">
        <v>39638</v>
      </c>
      <c r="X8219" t="s">
        <v>40446</v>
      </c>
    </row>
    <row r="8220" spans="1:24">
      <c r="A8220">
        <f>HYPERLINK("https://www.philgeps.gov.ph/GEPSNONPILOT/Tender/SplashBidNoticeAbstractUI.aspx?menuIndex=3&amp;refID=7036411&amp;Result=3","7036411")</f>
        <v>0</v>
      </c>
      <c r="B8220" t="s">
        <v>1427</v>
      </c>
      <c r="C8220" t="s">
        <v>10916</v>
      </c>
      <c r="D8220" t="s">
        <v>16260</v>
      </c>
      <c r="E8220" t="s">
        <v>18073</v>
      </c>
      <c r="F8220" t="s">
        <v>28198</v>
      </c>
      <c r="G8220" t="s">
        <v>28205</v>
      </c>
      <c r="H8220" t="s">
        <v>28214</v>
      </c>
      <c r="I8220" t="s">
        <v>3797</v>
      </c>
      <c r="J8220" t="s">
        <v>28661</v>
      </c>
      <c r="K8220" t="s">
        <v>36713</v>
      </c>
      <c r="M8220" t="s">
        <v>38493</v>
      </c>
      <c r="N8220" t="s">
        <v>40436</v>
      </c>
      <c r="O8220" t="s">
        <v>40437</v>
      </c>
      <c r="P8220">
        <v>0</v>
      </c>
      <c r="Q8220">
        <v>0</v>
      </c>
      <c r="R8220" t="s">
        <v>40445</v>
      </c>
      <c r="S8220" t="s">
        <v>40730</v>
      </c>
      <c r="T8220" t="s">
        <v>42245</v>
      </c>
      <c r="U8220" t="s">
        <v>49546</v>
      </c>
      <c r="W8220" t="s">
        <v>38493</v>
      </c>
      <c r="X8220" t="s">
        <v>40446</v>
      </c>
    </row>
    <row r="8221" spans="1:24">
      <c r="A8221">
        <f>HYPERLINK("https://www.philgeps.gov.ph/GEPSNONPILOT/Tender/SplashBidNoticeAbstractUI.aspx?menuIndex=3&amp;refID=7036416&amp;Result=3","7036416")</f>
        <v>0</v>
      </c>
      <c r="B8221" t="s">
        <v>895</v>
      </c>
      <c r="C8221" t="s">
        <v>10917</v>
      </c>
      <c r="D8221" t="s">
        <v>16218</v>
      </c>
      <c r="E8221" t="s">
        <v>23501</v>
      </c>
      <c r="F8221" t="s">
        <v>28198</v>
      </c>
      <c r="G8221" t="s">
        <v>28205</v>
      </c>
      <c r="H8221" t="s">
        <v>28215</v>
      </c>
      <c r="I8221" t="s">
        <v>28227</v>
      </c>
      <c r="J8221" t="s">
        <v>33496</v>
      </c>
      <c r="K8221" t="s">
        <v>36707</v>
      </c>
      <c r="M8221" t="s">
        <v>37911</v>
      </c>
      <c r="N8221" t="s">
        <v>40436</v>
      </c>
      <c r="O8221" t="s">
        <v>40437</v>
      </c>
      <c r="P8221">
        <v>0</v>
      </c>
      <c r="Q8221">
        <v>0</v>
      </c>
      <c r="R8221" t="s">
        <v>40445</v>
      </c>
      <c r="S8221" t="s">
        <v>40730</v>
      </c>
      <c r="T8221" t="s">
        <v>42320</v>
      </c>
      <c r="U8221" t="s">
        <v>49547</v>
      </c>
      <c r="W8221" t="s">
        <v>37911</v>
      </c>
      <c r="X8221" t="s">
        <v>40446</v>
      </c>
    </row>
    <row r="8222" spans="1:24">
      <c r="A8222">
        <f>HYPERLINK("https://www.philgeps.gov.ph/GEPSNONPILOT/Tender/SplashBidNoticeAbstractUI.aspx?menuIndex=3&amp;refID=7036422&amp;Result=3","7036422")</f>
        <v>0</v>
      </c>
      <c r="B8222" t="s">
        <v>2448</v>
      </c>
      <c r="C8222" t="s">
        <v>10918</v>
      </c>
      <c r="D8222" t="s">
        <v>16260</v>
      </c>
      <c r="E8222" t="s">
        <v>23502</v>
      </c>
      <c r="F8222" t="s">
        <v>28198</v>
      </c>
      <c r="G8222" t="s">
        <v>28205</v>
      </c>
      <c r="H8222" t="s">
        <v>28214</v>
      </c>
      <c r="I8222" t="s">
        <v>3797</v>
      </c>
      <c r="J8222" t="s">
        <v>33497</v>
      </c>
      <c r="K8222" t="s">
        <v>36799</v>
      </c>
      <c r="M8222" t="s">
        <v>39638</v>
      </c>
      <c r="N8222" t="s">
        <v>40436</v>
      </c>
      <c r="O8222" t="s">
        <v>40437</v>
      </c>
      <c r="P8222">
        <v>0</v>
      </c>
      <c r="Q8222">
        <v>1</v>
      </c>
      <c r="R8222" t="s">
        <v>40445</v>
      </c>
      <c r="S8222" t="s">
        <v>40730</v>
      </c>
      <c r="T8222" t="s">
        <v>42234</v>
      </c>
      <c r="U8222" t="s">
        <v>49537</v>
      </c>
      <c r="W8222" t="s">
        <v>39638</v>
      </c>
      <c r="X8222" t="s">
        <v>40446</v>
      </c>
    </row>
    <row r="8223" spans="1:24">
      <c r="A8223">
        <f>HYPERLINK("https://www.philgeps.gov.ph/GEPSNONPILOT/Tender/SplashBidNoticeAbstractUI.aspx?menuIndex=3&amp;refID=7036469&amp;Result=3","7036469")</f>
        <v>0</v>
      </c>
      <c r="B8223" t="s">
        <v>1363</v>
      </c>
      <c r="C8223" t="s">
        <v>10919</v>
      </c>
      <c r="D8223" t="s">
        <v>16199</v>
      </c>
      <c r="E8223" t="s">
        <v>23503</v>
      </c>
      <c r="F8223" t="s">
        <v>28198</v>
      </c>
      <c r="G8223" t="s">
        <v>28205</v>
      </c>
      <c r="H8223" t="s">
        <v>28214</v>
      </c>
      <c r="I8223" t="s">
        <v>3797</v>
      </c>
      <c r="J8223" t="s">
        <v>28415</v>
      </c>
      <c r="K8223" t="s">
        <v>36701</v>
      </c>
      <c r="M8223" t="s">
        <v>38423</v>
      </c>
      <c r="N8223" t="s">
        <v>40436</v>
      </c>
      <c r="O8223" t="s">
        <v>40437</v>
      </c>
      <c r="P8223">
        <v>0</v>
      </c>
      <c r="Q8223">
        <v>0</v>
      </c>
      <c r="R8223" t="s">
        <v>40445</v>
      </c>
      <c r="S8223" t="s">
        <v>40730</v>
      </c>
      <c r="T8223" t="s">
        <v>42240</v>
      </c>
      <c r="U8223" t="s">
        <v>49548</v>
      </c>
      <c r="W8223" t="s">
        <v>38423</v>
      </c>
      <c r="X8223" t="s">
        <v>40446</v>
      </c>
    </row>
    <row r="8224" spans="1:24">
      <c r="A8224">
        <f>HYPERLINK("https://www.philgeps.gov.ph/GEPSNONPILOT/Tender/SplashBidNoticeAbstractUI.aspx?menuIndex=3&amp;refID=7036415&amp;Result=3","7036415")</f>
        <v>0</v>
      </c>
      <c r="B8224" t="s">
        <v>2448</v>
      </c>
      <c r="C8224" t="s">
        <v>10920</v>
      </c>
      <c r="D8224" t="s">
        <v>16260</v>
      </c>
      <c r="E8224" t="s">
        <v>23504</v>
      </c>
      <c r="F8224" t="s">
        <v>28198</v>
      </c>
      <c r="G8224" t="s">
        <v>28205</v>
      </c>
      <c r="H8224" t="s">
        <v>28215</v>
      </c>
      <c r="I8224" t="s">
        <v>3797</v>
      </c>
      <c r="J8224" t="s">
        <v>33498</v>
      </c>
      <c r="K8224" t="s">
        <v>36855</v>
      </c>
      <c r="M8224" t="s">
        <v>39638</v>
      </c>
      <c r="N8224" t="s">
        <v>40436</v>
      </c>
      <c r="O8224" t="s">
        <v>40437</v>
      </c>
      <c r="P8224">
        <v>0</v>
      </c>
      <c r="Q8224">
        <v>0</v>
      </c>
      <c r="R8224" t="s">
        <v>40445</v>
      </c>
      <c r="S8224" t="s">
        <v>40730</v>
      </c>
      <c r="T8224" t="s">
        <v>42234</v>
      </c>
      <c r="U8224" t="s">
        <v>49537</v>
      </c>
      <c r="W8224" t="s">
        <v>39638</v>
      </c>
      <c r="X8224" t="s">
        <v>40446</v>
      </c>
    </row>
    <row r="8225" spans="1:24">
      <c r="A8225">
        <f>HYPERLINK("https://www.philgeps.gov.ph/GEPSNONPILOT/Tender/SplashBidNoticeAbstractUI.aspx?menuIndex=3&amp;refID=7036454&amp;Result=3","7036454")</f>
        <v>0</v>
      </c>
      <c r="B8225" t="s">
        <v>1241</v>
      </c>
      <c r="C8225" t="s">
        <v>10921</v>
      </c>
      <c r="D8225" t="s">
        <v>16216</v>
      </c>
      <c r="E8225" t="s">
        <v>19618</v>
      </c>
      <c r="F8225" t="s">
        <v>28198</v>
      </c>
      <c r="G8225" t="s">
        <v>28206</v>
      </c>
      <c r="H8225" t="s">
        <v>28215</v>
      </c>
      <c r="I8225" t="s">
        <v>8888</v>
      </c>
      <c r="J8225" t="s">
        <v>33499</v>
      </c>
      <c r="K8225" t="s">
        <v>36689</v>
      </c>
      <c r="M8225" t="s">
        <v>38290</v>
      </c>
      <c r="N8225" t="s">
        <v>40436</v>
      </c>
      <c r="O8225" t="s">
        <v>40437</v>
      </c>
      <c r="P8225">
        <v>0</v>
      </c>
      <c r="Q8225">
        <v>3</v>
      </c>
      <c r="R8225" t="s">
        <v>40445</v>
      </c>
      <c r="S8225" t="s">
        <v>40730</v>
      </c>
      <c r="T8225" t="s">
        <v>42124</v>
      </c>
      <c r="U8225" t="s">
        <v>49549</v>
      </c>
      <c r="W8225" t="s">
        <v>38290</v>
      </c>
      <c r="X8225" t="s">
        <v>40446</v>
      </c>
    </row>
    <row r="8226" spans="1:24">
      <c r="A8226">
        <f>HYPERLINK("https://www.philgeps.gov.ph/GEPSNONPILOT/Tender/SplashBidNoticeAbstractUI.aspx?menuIndex=3&amp;refID=7036446&amp;Result=3","7036446")</f>
        <v>0</v>
      </c>
      <c r="B8226" t="s">
        <v>916</v>
      </c>
      <c r="C8226" t="s">
        <v>10922</v>
      </c>
      <c r="E8226" t="s">
        <v>23505</v>
      </c>
      <c r="F8226" t="s">
        <v>28198</v>
      </c>
      <c r="G8226" t="s">
        <v>28205</v>
      </c>
      <c r="H8226" t="s">
        <v>28215</v>
      </c>
      <c r="I8226" t="s">
        <v>28234</v>
      </c>
      <c r="J8226" t="s">
        <v>28351</v>
      </c>
      <c r="K8226" t="s">
        <v>36689</v>
      </c>
      <c r="M8226" t="s">
        <v>38951</v>
      </c>
      <c r="N8226" t="s">
        <v>40436</v>
      </c>
      <c r="O8226" t="s">
        <v>40437</v>
      </c>
      <c r="P8226">
        <v>0</v>
      </c>
      <c r="Q8226">
        <v>11</v>
      </c>
      <c r="R8226" t="s">
        <v>40445</v>
      </c>
      <c r="S8226" t="s">
        <v>40730</v>
      </c>
      <c r="T8226" t="s">
        <v>42138</v>
      </c>
      <c r="U8226" t="s">
        <v>49550</v>
      </c>
      <c r="W8226" t="s">
        <v>38951</v>
      </c>
      <c r="X8226" t="s">
        <v>40446</v>
      </c>
    </row>
    <row r="8227" spans="1:24">
      <c r="A8227">
        <f>HYPERLINK("https://www.philgeps.gov.ph/GEPSNONPILOT/Tender/SplashBidNoticeAbstractUI.aspx?menuIndex=3&amp;refID=7036421&amp;Result=3","7036421")</f>
        <v>0</v>
      </c>
      <c r="B8227" t="s">
        <v>2451</v>
      </c>
      <c r="C8227" t="s">
        <v>10923</v>
      </c>
      <c r="D8227" t="s">
        <v>16195</v>
      </c>
      <c r="E8227" t="s">
        <v>16352</v>
      </c>
      <c r="F8227" t="s">
        <v>28198</v>
      </c>
      <c r="G8227" t="s">
        <v>28205</v>
      </c>
      <c r="H8227" t="s">
        <v>28215</v>
      </c>
      <c r="I8227" t="s">
        <v>5100</v>
      </c>
      <c r="J8227" t="s">
        <v>33500</v>
      </c>
      <c r="K8227" t="s">
        <v>36707</v>
      </c>
      <c r="M8227" t="s">
        <v>39642</v>
      </c>
      <c r="N8227" t="s">
        <v>40436</v>
      </c>
      <c r="O8227" t="s">
        <v>40437</v>
      </c>
      <c r="P8227">
        <v>0</v>
      </c>
      <c r="Q8227">
        <v>0</v>
      </c>
      <c r="R8227" t="s">
        <v>40445</v>
      </c>
      <c r="S8227" t="s">
        <v>40730</v>
      </c>
      <c r="T8227" t="s">
        <v>42158</v>
      </c>
      <c r="U8227" t="s">
        <v>49551</v>
      </c>
      <c r="W8227" t="s">
        <v>39642</v>
      </c>
      <c r="X8227" t="s">
        <v>40446</v>
      </c>
    </row>
    <row r="8228" spans="1:24">
      <c r="A8228">
        <f>HYPERLINK("https://www.philgeps.gov.ph/GEPSNONPILOT/Tender/SplashBidNoticeAbstractUI.aspx?menuIndex=3&amp;refID=7036456&amp;Result=3","7036456")</f>
        <v>0</v>
      </c>
      <c r="B8228" t="s">
        <v>1354</v>
      </c>
      <c r="C8228" t="s">
        <v>10924</v>
      </c>
      <c r="D8228" t="s">
        <v>16238</v>
      </c>
      <c r="E8228" t="s">
        <v>23506</v>
      </c>
      <c r="F8228" t="s">
        <v>28198</v>
      </c>
      <c r="G8228" t="s">
        <v>28205</v>
      </c>
      <c r="H8228" t="s">
        <v>28215</v>
      </c>
      <c r="I8228" t="s">
        <v>28234</v>
      </c>
      <c r="J8228" t="s">
        <v>33501</v>
      </c>
      <c r="K8228" t="s">
        <v>36701</v>
      </c>
      <c r="M8228" t="s">
        <v>38412</v>
      </c>
      <c r="N8228" t="s">
        <v>40436</v>
      </c>
      <c r="O8228" t="s">
        <v>40437</v>
      </c>
      <c r="P8228">
        <v>0</v>
      </c>
      <c r="Q8228">
        <v>0</v>
      </c>
      <c r="R8228" t="s">
        <v>40445</v>
      </c>
      <c r="S8228" t="s">
        <v>40730</v>
      </c>
      <c r="T8228" t="s">
        <v>42350</v>
      </c>
      <c r="U8228" t="s">
        <v>49552</v>
      </c>
      <c r="W8228" t="s">
        <v>38412</v>
      </c>
      <c r="X8228" t="s">
        <v>40446</v>
      </c>
    </row>
    <row r="8229" spans="1:24">
      <c r="A8229">
        <f>HYPERLINK("https://www.philgeps.gov.ph/GEPSNONPILOT/Tender/SplashBidNoticeAbstractUI.aspx?menuIndex=3&amp;refID=7036379&amp;Result=3","7036379")</f>
        <v>0</v>
      </c>
      <c r="B8229" t="s">
        <v>1735</v>
      </c>
      <c r="C8229" t="s">
        <v>10925</v>
      </c>
      <c r="D8229" t="s">
        <v>16210</v>
      </c>
      <c r="E8229" t="s">
        <v>10925</v>
      </c>
      <c r="F8229" t="s">
        <v>28200</v>
      </c>
      <c r="G8229" t="s">
        <v>28205</v>
      </c>
      <c r="H8229" t="s">
        <v>28215</v>
      </c>
      <c r="I8229" t="s">
        <v>4200</v>
      </c>
      <c r="J8229" t="s">
        <v>28398</v>
      </c>
      <c r="K8229" t="s">
        <v>36701</v>
      </c>
      <c r="M8229" t="s">
        <v>38846</v>
      </c>
      <c r="N8229" t="s">
        <v>40436</v>
      </c>
      <c r="O8229" t="s">
        <v>40437</v>
      </c>
      <c r="P8229">
        <v>0</v>
      </c>
      <c r="Q8229">
        <v>0</v>
      </c>
      <c r="R8229" t="s">
        <v>40445</v>
      </c>
      <c r="S8229" t="s">
        <v>40730</v>
      </c>
      <c r="T8229" t="s">
        <v>42128</v>
      </c>
      <c r="U8229" t="s">
        <v>49553</v>
      </c>
      <c r="V8229" t="s">
        <v>54287</v>
      </c>
      <c r="W8229" t="s">
        <v>38846</v>
      </c>
      <c r="X8229" t="s">
        <v>40446</v>
      </c>
    </row>
    <row r="8230" spans="1:24">
      <c r="A8230">
        <f>HYPERLINK("https://www.philgeps.gov.ph/GEPSNONPILOT/Tender/SplashBidNoticeAbstractUI.aspx?menuIndex=3&amp;refID=7036445&amp;Result=3","7036445")</f>
        <v>0</v>
      </c>
      <c r="B8230" t="s">
        <v>773</v>
      </c>
      <c r="C8230" t="s">
        <v>10926</v>
      </c>
      <c r="D8230" t="s">
        <v>16219</v>
      </c>
      <c r="E8230" t="s">
        <v>23507</v>
      </c>
      <c r="F8230" t="s">
        <v>28198</v>
      </c>
      <c r="G8230" t="s">
        <v>28205</v>
      </c>
      <c r="H8230" t="s">
        <v>28215</v>
      </c>
      <c r="I8230" t="s">
        <v>5100</v>
      </c>
      <c r="J8230" t="s">
        <v>33502</v>
      </c>
      <c r="K8230" t="s">
        <v>36706</v>
      </c>
      <c r="M8230" t="s">
        <v>38111</v>
      </c>
      <c r="N8230" t="s">
        <v>40436</v>
      </c>
      <c r="O8230" t="s">
        <v>40437</v>
      </c>
      <c r="P8230">
        <v>0</v>
      </c>
      <c r="Q8230">
        <v>0</v>
      </c>
      <c r="R8230" t="s">
        <v>40445</v>
      </c>
      <c r="S8230" t="s">
        <v>40730</v>
      </c>
      <c r="T8230" t="s">
        <v>42233</v>
      </c>
      <c r="U8230" t="s">
        <v>49554</v>
      </c>
      <c r="W8230" t="s">
        <v>38111</v>
      </c>
      <c r="X8230" t="s">
        <v>40446</v>
      </c>
    </row>
    <row r="8231" spans="1:24">
      <c r="A8231">
        <f>HYPERLINK("https://www.philgeps.gov.ph/GEPSNONPILOT/Tender/SplashBidNoticeAbstractUI.aspx?menuIndex=3&amp;refID=7036443&amp;Result=3","7036443")</f>
        <v>0</v>
      </c>
      <c r="B8231" t="s">
        <v>2452</v>
      </c>
      <c r="C8231" t="s">
        <v>10927</v>
      </c>
      <c r="D8231" t="s">
        <v>16264</v>
      </c>
      <c r="E8231" t="s">
        <v>23508</v>
      </c>
      <c r="F8231" t="s">
        <v>28198</v>
      </c>
      <c r="G8231" t="s">
        <v>28205</v>
      </c>
      <c r="H8231" t="s">
        <v>28214</v>
      </c>
      <c r="I8231" t="s">
        <v>3797</v>
      </c>
      <c r="J8231" t="s">
        <v>33503</v>
      </c>
      <c r="K8231" t="s">
        <v>36701</v>
      </c>
      <c r="M8231" t="s">
        <v>39643</v>
      </c>
      <c r="N8231" t="s">
        <v>40436</v>
      </c>
      <c r="O8231" t="s">
        <v>40437</v>
      </c>
      <c r="P8231">
        <v>0</v>
      </c>
      <c r="Q8231">
        <v>0</v>
      </c>
      <c r="R8231" t="s">
        <v>40445</v>
      </c>
      <c r="S8231" t="s">
        <v>40730</v>
      </c>
      <c r="T8231" t="s">
        <v>42234</v>
      </c>
      <c r="U8231" t="s">
        <v>49555</v>
      </c>
      <c r="W8231" t="s">
        <v>39643</v>
      </c>
      <c r="X8231" t="s">
        <v>40446</v>
      </c>
    </row>
    <row r="8232" spans="1:24">
      <c r="A8232">
        <f>HYPERLINK("https://www.philgeps.gov.ph/GEPSNONPILOT/Tender/SplashBidNoticeAbstractUI.aspx?menuIndex=3&amp;refID=7036489&amp;Result=3","7036489")</f>
        <v>0</v>
      </c>
      <c r="B8232" t="s">
        <v>1354</v>
      </c>
      <c r="C8232" t="s">
        <v>10928</v>
      </c>
      <c r="D8232" t="s">
        <v>16238</v>
      </c>
      <c r="E8232" t="s">
        <v>23509</v>
      </c>
      <c r="F8232" t="s">
        <v>28198</v>
      </c>
      <c r="G8232" t="s">
        <v>28205</v>
      </c>
      <c r="H8232" t="s">
        <v>28215</v>
      </c>
      <c r="I8232" t="s">
        <v>28228</v>
      </c>
      <c r="J8232" t="s">
        <v>33504</v>
      </c>
      <c r="K8232" t="s">
        <v>36698</v>
      </c>
      <c r="M8232" t="s">
        <v>38412</v>
      </c>
      <c r="N8232" t="s">
        <v>40436</v>
      </c>
      <c r="O8232" t="s">
        <v>40437</v>
      </c>
      <c r="P8232">
        <v>0</v>
      </c>
      <c r="Q8232">
        <v>0</v>
      </c>
      <c r="R8232" t="s">
        <v>40445</v>
      </c>
      <c r="S8232" t="s">
        <v>40730</v>
      </c>
      <c r="T8232" t="s">
        <v>42350</v>
      </c>
      <c r="U8232" t="s">
        <v>49556</v>
      </c>
      <c r="W8232" t="s">
        <v>38412</v>
      </c>
      <c r="X8232" t="s">
        <v>40446</v>
      </c>
    </row>
    <row r="8233" spans="1:24">
      <c r="A8233">
        <f>HYPERLINK("https://www.philgeps.gov.ph/GEPSNONPILOT/Tender/SplashBidNoticeAbstractUI.aspx?menuIndex=3&amp;refID=7036438&amp;Result=3","7036438")</f>
        <v>0</v>
      </c>
      <c r="B8233" t="s">
        <v>1363</v>
      </c>
      <c r="C8233" t="s">
        <v>10929</v>
      </c>
      <c r="D8233" t="s">
        <v>16199</v>
      </c>
      <c r="E8233" t="s">
        <v>23510</v>
      </c>
      <c r="F8233" t="s">
        <v>28198</v>
      </c>
      <c r="G8233" t="s">
        <v>28205</v>
      </c>
      <c r="H8233" t="s">
        <v>28214</v>
      </c>
      <c r="I8233" t="s">
        <v>3797</v>
      </c>
      <c r="J8233" t="s">
        <v>28363</v>
      </c>
      <c r="K8233" t="s">
        <v>36694</v>
      </c>
      <c r="M8233" t="s">
        <v>38423</v>
      </c>
      <c r="N8233" t="s">
        <v>40436</v>
      </c>
      <c r="O8233" t="s">
        <v>40437</v>
      </c>
      <c r="P8233">
        <v>0</v>
      </c>
      <c r="Q8233">
        <v>0</v>
      </c>
      <c r="R8233" t="s">
        <v>40445</v>
      </c>
      <c r="S8233" t="s">
        <v>40730</v>
      </c>
      <c r="T8233" t="s">
        <v>42240</v>
      </c>
      <c r="U8233" t="s">
        <v>49548</v>
      </c>
      <c r="W8233" t="s">
        <v>38423</v>
      </c>
      <c r="X8233" t="s">
        <v>40446</v>
      </c>
    </row>
    <row r="8234" spans="1:24">
      <c r="A8234">
        <f>HYPERLINK("https://www.philgeps.gov.ph/GEPSNONPILOT/Tender/SplashBidNoticeAbstractUI.aspx?menuIndex=3&amp;refID=7036488&amp;Result=3","7036488")</f>
        <v>0</v>
      </c>
      <c r="B8234" t="s">
        <v>2231</v>
      </c>
      <c r="C8234" t="s">
        <v>10930</v>
      </c>
      <c r="D8234" t="s">
        <v>16262</v>
      </c>
      <c r="E8234" t="s">
        <v>23511</v>
      </c>
      <c r="F8234" t="s">
        <v>28198</v>
      </c>
      <c r="G8234" t="s">
        <v>28205</v>
      </c>
      <c r="H8234" t="s">
        <v>28214</v>
      </c>
      <c r="I8234" t="s">
        <v>3797</v>
      </c>
      <c r="J8234" t="s">
        <v>29113</v>
      </c>
      <c r="K8234" t="s">
        <v>36714</v>
      </c>
      <c r="M8234" t="s">
        <v>39399</v>
      </c>
      <c r="N8234" t="s">
        <v>40436</v>
      </c>
      <c r="O8234" t="s">
        <v>40437</v>
      </c>
      <c r="P8234">
        <v>0</v>
      </c>
      <c r="Q8234">
        <v>0</v>
      </c>
      <c r="R8234" t="s">
        <v>40445</v>
      </c>
      <c r="S8234" t="s">
        <v>40730</v>
      </c>
      <c r="T8234" t="s">
        <v>42144</v>
      </c>
      <c r="U8234" t="s">
        <v>48627</v>
      </c>
      <c r="W8234" t="s">
        <v>39399</v>
      </c>
      <c r="X8234" t="s">
        <v>40446</v>
      </c>
    </row>
    <row r="8235" spans="1:24">
      <c r="A8235">
        <f>HYPERLINK("https://www.philgeps.gov.ph/GEPSNONPILOT/Tender/SplashBidNoticeAbstractUI.aspx?menuIndex=3&amp;refID=7036430&amp;Result=3","7036430")</f>
        <v>0</v>
      </c>
      <c r="B8235" t="s">
        <v>2381</v>
      </c>
      <c r="C8235" t="s">
        <v>10931</v>
      </c>
      <c r="D8235" t="s">
        <v>16243</v>
      </c>
      <c r="E8235" t="s">
        <v>23512</v>
      </c>
      <c r="F8235" t="s">
        <v>28198</v>
      </c>
      <c r="G8235" t="s">
        <v>28205</v>
      </c>
      <c r="H8235" t="s">
        <v>28214</v>
      </c>
      <c r="I8235" t="s">
        <v>3797</v>
      </c>
      <c r="J8235" t="s">
        <v>31508</v>
      </c>
      <c r="K8235" t="s">
        <v>36735</v>
      </c>
      <c r="M8235" t="s">
        <v>39641</v>
      </c>
      <c r="N8235" t="s">
        <v>40436</v>
      </c>
      <c r="O8235" t="s">
        <v>40437</v>
      </c>
      <c r="P8235">
        <v>0</v>
      </c>
      <c r="Q8235">
        <v>0</v>
      </c>
      <c r="R8235" t="s">
        <v>40445</v>
      </c>
      <c r="S8235" t="s">
        <v>40730</v>
      </c>
      <c r="T8235" t="s">
        <v>42278</v>
      </c>
      <c r="U8235" t="s">
        <v>49557</v>
      </c>
      <c r="W8235" t="s">
        <v>39641</v>
      </c>
      <c r="X8235" t="s">
        <v>40446</v>
      </c>
    </row>
    <row r="8236" spans="1:24">
      <c r="A8236">
        <f>HYPERLINK("https://www.philgeps.gov.ph/GEPSNONPILOT/Tender/SplashBidNoticeAbstractUI.aspx?menuIndex=3&amp;refID=7036448&amp;Result=3","7036448")</f>
        <v>0</v>
      </c>
      <c r="B8236" t="s">
        <v>2453</v>
      </c>
      <c r="C8236" t="s">
        <v>7083</v>
      </c>
      <c r="D8236" t="s">
        <v>16187</v>
      </c>
      <c r="E8236" t="s">
        <v>20028</v>
      </c>
      <c r="F8236" t="s">
        <v>28198</v>
      </c>
      <c r="G8236" t="s">
        <v>28205</v>
      </c>
      <c r="H8236" t="s">
        <v>28215</v>
      </c>
      <c r="I8236" t="s">
        <v>4200</v>
      </c>
      <c r="J8236" t="s">
        <v>33505</v>
      </c>
      <c r="K8236" t="s">
        <v>36689</v>
      </c>
      <c r="M8236" t="s">
        <v>39644</v>
      </c>
      <c r="N8236" t="s">
        <v>40436</v>
      </c>
      <c r="O8236" t="s">
        <v>40437</v>
      </c>
      <c r="P8236">
        <v>0</v>
      </c>
      <c r="Q8236">
        <v>0</v>
      </c>
      <c r="R8236" t="s">
        <v>40445</v>
      </c>
      <c r="S8236" t="s">
        <v>40730</v>
      </c>
      <c r="T8236" t="s">
        <v>42396</v>
      </c>
      <c r="U8236" t="s">
        <v>49558</v>
      </c>
      <c r="W8236" t="s">
        <v>39644</v>
      </c>
      <c r="X8236" t="s">
        <v>40446</v>
      </c>
    </row>
    <row r="8237" spans="1:24">
      <c r="A8237">
        <f>HYPERLINK("https://www.philgeps.gov.ph/GEPSNONPILOT/Tender/SplashBidNoticeAbstractUI.aspx?menuIndex=3&amp;refID=7036487&amp;Result=3","7036487")</f>
        <v>0</v>
      </c>
      <c r="B8237" t="s">
        <v>1241</v>
      </c>
      <c r="C8237" t="s">
        <v>10932</v>
      </c>
      <c r="D8237" t="s">
        <v>16216</v>
      </c>
      <c r="E8237" t="s">
        <v>23513</v>
      </c>
      <c r="F8237" t="s">
        <v>28198</v>
      </c>
      <c r="G8237" t="s">
        <v>28206</v>
      </c>
      <c r="H8237" t="s">
        <v>28215</v>
      </c>
      <c r="I8237" t="s">
        <v>28225</v>
      </c>
      <c r="J8237" t="s">
        <v>31019</v>
      </c>
      <c r="K8237" t="s">
        <v>36689</v>
      </c>
      <c r="M8237" t="s">
        <v>38290</v>
      </c>
      <c r="N8237" t="s">
        <v>40436</v>
      </c>
      <c r="O8237" t="s">
        <v>40437</v>
      </c>
      <c r="P8237">
        <v>0</v>
      </c>
      <c r="Q8237">
        <v>6</v>
      </c>
      <c r="R8237" t="s">
        <v>40445</v>
      </c>
      <c r="S8237" t="s">
        <v>40730</v>
      </c>
      <c r="T8237" t="s">
        <v>42124</v>
      </c>
      <c r="U8237" t="s">
        <v>49559</v>
      </c>
      <c r="W8237" t="s">
        <v>38290</v>
      </c>
      <c r="X8237" t="s">
        <v>40446</v>
      </c>
    </row>
    <row r="8238" spans="1:24">
      <c r="A8238">
        <f>HYPERLINK("https://www.philgeps.gov.ph/GEPSNONPILOT/Tender/SplashBidNoticeAbstractUI.aspx?menuIndex=3&amp;refID=7036425&amp;Result=3","7036425")</f>
        <v>0</v>
      </c>
      <c r="B8238" t="s">
        <v>2452</v>
      </c>
      <c r="C8238" t="s">
        <v>10933</v>
      </c>
      <c r="D8238" t="s">
        <v>16264</v>
      </c>
      <c r="E8238" t="s">
        <v>23514</v>
      </c>
      <c r="F8238" t="s">
        <v>28198</v>
      </c>
      <c r="G8238" t="s">
        <v>28205</v>
      </c>
      <c r="H8238" t="s">
        <v>28214</v>
      </c>
      <c r="I8238" t="s">
        <v>3797</v>
      </c>
      <c r="J8238" t="s">
        <v>33506</v>
      </c>
      <c r="K8238" t="s">
        <v>36694</v>
      </c>
      <c r="M8238" t="s">
        <v>39643</v>
      </c>
      <c r="N8238" t="s">
        <v>40436</v>
      </c>
      <c r="O8238" t="s">
        <v>40437</v>
      </c>
      <c r="P8238">
        <v>0</v>
      </c>
      <c r="Q8238">
        <v>0</v>
      </c>
      <c r="R8238" t="s">
        <v>40445</v>
      </c>
      <c r="S8238" t="s">
        <v>40730</v>
      </c>
      <c r="T8238" t="s">
        <v>42234</v>
      </c>
      <c r="U8238" t="s">
        <v>49555</v>
      </c>
      <c r="W8238" t="s">
        <v>39643</v>
      </c>
      <c r="X8238" t="s">
        <v>40446</v>
      </c>
    </row>
    <row r="8239" spans="1:24">
      <c r="A8239">
        <f>HYPERLINK("https://www.philgeps.gov.ph/GEPSNONPILOT/Tender/SplashBidNoticeAbstractUI.aspx?menuIndex=3&amp;refID=7036475&amp;Result=3","7036475")</f>
        <v>0</v>
      </c>
      <c r="B8239" t="s">
        <v>1354</v>
      </c>
      <c r="C8239" t="s">
        <v>10934</v>
      </c>
      <c r="D8239" t="s">
        <v>16238</v>
      </c>
      <c r="E8239" t="s">
        <v>10934</v>
      </c>
      <c r="F8239" t="s">
        <v>28198</v>
      </c>
      <c r="G8239" t="s">
        <v>28205</v>
      </c>
      <c r="H8239" t="s">
        <v>28215</v>
      </c>
      <c r="I8239" t="s">
        <v>4168</v>
      </c>
      <c r="J8239" t="s">
        <v>33507</v>
      </c>
      <c r="K8239" t="s">
        <v>36701</v>
      </c>
      <c r="M8239" t="s">
        <v>38412</v>
      </c>
      <c r="N8239" t="s">
        <v>40436</v>
      </c>
      <c r="O8239" t="s">
        <v>40437</v>
      </c>
      <c r="P8239">
        <v>0</v>
      </c>
      <c r="Q8239">
        <v>0</v>
      </c>
      <c r="R8239" t="s">
        <v>40445</v>
      </c>
      <c r="S8239" t="s">
        <v>40730</v>
      </c>
      <c r="T8239" t="s">
        <v>42350</v>
      </c>
      <c r="U8239" t="s">
        <v>49560</v>
      </c>
      <c r="W8239" t="s">
        <v>38412</v>
      </c>
      <c r="X8239" t="s">
        <v>40446</v>
      </c>
    </row>
    <row r="8240" spans="1:24">
      <c r="A8240">
        <f>HYPERLINK("https://www.philgeps.gov.ph/GEPSNONPILOT/Tender/SplashBidNoticeAbstractUI.aspx?menuIndex=3&amp;refID=7036472&amp;Result=3","7036472")</f>
        <v>0</v>
      </c>
      <c r="B8240" t="s">
        <v>2453</v>
      </c>
      <c r="C8240" t="s">
        <v>7843</v>
      </c>
      <c r="D8240" t="s">
        <v>16187</v>
      </c>
      <c r="E8240" t="s">
        <v>20705</v>
      </c>
      <c r="F8240" t="s">
        <v>28198</v>
      </c>
      <c r="G8240" t="s">
        <v>28205</v>
      </c>
      <c r="H8240" t="s">
        <v>28215</v>
      </c>
      <c r="I8240" t="s">
        <v>4200</v>
      </c>
      <c r="J8240" t="s">
        <v>28866</v>
      </c>
      <c r="K8240" t="s">
        <v>36689</v>
      </c>
      <c r="M8240" t="s">
        <v>39644</v>
      </c>
      <c r="N8240" t="s">
        <v>40436</v>
      </c>
      <c r="O8240" t="s">
        <v>40437</v>
      </c>
      <c r="P8240">
        <v>0</v>
      </c>
      <c r="Q8240">
        <v>1</v>
      </c>
      <c r="R8240" t="s">
        <v>40445</v>
      </c>
      <c r="S8240" t="s">
        <v>40730</v>
      </c>
      <c r="T8240" t="s">
        <v>42396</v>
      </c>
      <c r="U8240" t="s">
        <v>49561</v>
      </c>
      <c r="W8240" t="s">
        <v>39644</v>
      </c>
      <c r="X8240" t="s">
        <v>40446</v>
      </c>
    </row>
    <row r="8241" spans="1:24">
      <c r="A8241">
        <f>HYPERLINK("https://www.philgeps.gov.ph/GEPSNONPILOT/Tender/SplashBidNoticeAbstractUI.aspx?menuIndex=3&amp;refID=7036484&amp;Result=3","7036484")</f>
        <v>0</v>
      </c>
      <c r="B8241" t="s">
        <v>773</v>
      </c>
      <c r="C8241" t="s">
        <v>10935</v>
      </c>
      <c r="D8241" t="s">
        <v>16219</v>
      </c>
      <c r="E8241" t="s">
        <v>23515</v>
      </c>
      <c r="F8241" t="s">
        <v>28198</v>
      </c>
      <c r="G8241" t="s">
        <v>28205</v>
      </c>
      <c r="H8241" t="s">
        <v>28215</v>
      </c>
      <c r="I8241" t="s">
        <v>5100</v>
      </c>
      <c r="J8241" t="s">
        <v>32689</v>
      </c>
      <c r="K8241" t="s">
        <v>36706</v>
      </c>
      <c r="M8241" t="s">
        <v>38111</v>
      </c>
      <c r="N8241" t="s">
        <v>40436</v>
      </c>
      <c r="O8241" t="s">
        <v>40437</v>
      </c>
      <c r="P8241">
        <v>0</v>
      </c>
      <c r="Q8241">
        <v>0</v>
      </c>
      <c r="R8241" t="s">
        <v>40445</v>
      </c>
      <c r="S8241" t="s">
        <v>40730</v>
      </c>
      <c r="T8241" t="s">
        <v>42233</v>
      </c>
      <c r="U8241" t="s">
        <v>48459</v>
      </c>
      <c r="W8241" t="s">
        <v>38111</v>
      </c>
      <c r="X8241" t="s">
        <v>40446</v>
      </c>
    </row>
    <row r="8242" spans="1:24">
      <c r="A8242">
        <f>HYPERLINK("https://www.philgeps.gov.ph/GEPSNONPILOT/Tender/SplashBidNoticeAbstractUI.aspx?menuIndex=3&amp;refID=7036423&amp;Result=3","7036423")</f>
        <v>0</v>
      </c>
      <c r="B8242" t="s">
        <v>2454</v>
      </c>
      <c r="C8242" t="s">
        <v>10936</v>
      </c>
      <c r="D8242" t="s">
        <v>16250</v>
      </c>
      <c r="E8242" t="s">
        <v>23298</v>
      </c>
      <c r="F8242" t="s">
        <v>28198</v>
      </c>
      <c r="G8242" t="s">
        <v>28205</v>
      </c>
      <c r="H8242" t="s">
        <v>28215</v>
      </c>
      <c r="I8242" t="s">
        <v>5100</v>
      </c>
      <c r="J8242" t="s">
        <v>33508</v>
      </c>
      <c r="K8242" t="s">
        <v>36689</v>
      </c>
      <c r="M8242" t="s">
        <v>39645</v>
      </c>
      <c r="N8242" t="s">
        <v>40436</v>
      </c>
      <c r="O8242" t="s">
        <v>40437</v>
      </c>
      <c r="P8242">
        <v>0</v>
      </c>
      <c r="Q8242">
        <v>0</v>
      </c>
      <c r="R8242" t="s">
        <v>40445</v>
      </c>
      <c r="S8242" t="s">
        <v>40730</v>
      </c>
      <c r="T8242" t="s">
        <v>42245</v>
      </c>
      <c r="U8242" t="s">
        <v>49562</v>
      </c>
      <c r="W8242" t="s">
        <v>39645</v>
      </c>
      <c r="X8242" t="s">
        <v>40446</v>
      </c>
    </row>
    <row r="8243" spans="1:24">
      <c r="A8243">
        <f>HYPERLINK("https://www.philgeps.gov.ph/GEPSNONPILOT/Tender/SplashBidNoticeAbstractUI.aspx?menuIndex=3&amp;refID=7036471&amp;Result=3","7036471")</f>
        <v>0</v>
      </c>
      <c r="B8243" t="s">
        <v>1241</v>
      </c>
      <c r="C8243" t="s">
        <v>10937</v>
      </c>
      <c r="D8243" t="s">
        <v>16216</v>
      </c>
      <c r="E8243" t="s">
        <v>17604</v>
      </c>
      <c r="F8243" t="s">
        <v>28198</v>
      </c>
      <c r="G8243" t="s">
        <v>28206</v>
      </c>
      <c r="H8243" t="s">
        <v>28215</v>
      </c>
      <c r="I8243" t="s">
        <v>28225</v>
      </c>
      <c r="J8243" t="s">
        <v>28589</v>
      </c>
      <c r="K8243" t="s">
        <v>36689</v>
      </c>
      <c r="M8243" t="s">
        <v>38290</v>
      </c>
      <c r="N8243" t="s">
        <v>40436</v>
      </c>
      <c r="O8243" t="s">
        <v>40437</v>
      </c>
      <c r="P8243">
        <v>0</v>
      </c>
      <c r="Q8243">
        <v>19</v>
      </c>
      <c r="R8243" t="s">
        <v>40445</v>
      </c>
      <c r="S8243" t="s">
        <v>40730</v>
      </c>
      <c r="T8243" t="s">
        <v>42124</v>
      </c>
      <c r="U8243" t="s">
        <v>49563</v>
      </c>
      <c r="W8243" t="s">
        <v>38290</v>
      </c>
      <c r="X8243" t="s">
        <v>40446</v>
      </c>
    </row>
    <row r="8244" spans="1:24">
      <c r="A8244">
        <f>HYPERLINK("https://www.philgeps.gov.ph/GEPSNONPILOT/Tender/SplashBidNoticeAbstractUI.aspx?menuIndex=3&amp;refID=7036539&amp;Result=3","7036539")</f>
        <v>0</v>
      </c>
      <c r="B8244" t="s">
        <v>2455</v>
      </c>
      <c r="C8244" t="s">
        <v>10938</v>
      </c>
      <c r="E8244" t="s">
        <v>23516</v>
      </c>
      <c r="F8244" t="s">
        <v>28198</v>
      </c>
      <c r="G8244" t="s">
        <v>28205</v>
      </c>
      <c r="H8244" t="s">
        <v>28215</v>
      </c>
      <c r="I8244" t="s">
        <v>28290</v>
      </c>
      <c r="J8244" t="s">
        <v>33509</v>
      </c>
      <c r="K8244" t="s">
        <v>36689</v>
      </c>
      <c r="M8244" t="s">
        <v>39646</v>
      </c>
      <c r="N8244" t="s">
        <v>40436</v>
      </c>
      <c r="O8244" t="s">
        <v>40437</v>
      </c>
      <c r="P8244">
        <v>0</v>
      </c>
      <c r="Q8244">
        <v>2</v>
      </c>
      <c r="R8244" t="s">
        <v>40445</v>
      </c>
      <c r="S8244" t="s">
        <v>40730</v>
      </c>
      <c r="T8244" t="s">
        <v>42278</v>
      </c>
      <c r="U8244" t="s">
        <v>49564</v>
      </c>
      <c r="W8244" t="s">
        <v>39646</v>
      </c>
      <c r="X8244" t="s">
        <v>40446</v>
      </c>
    </row>
    <row r="8245" spans="1:24">
      <c r="A8245">
        <f>HYPERLINK("https://www.philgeps.gov.ph/GEPSNONPILOT/Tender/SplashBidNoticeAbstractUI.aspx?menuIndex=3&amp;refID=7036535&amp;Result=3","7036535")</f>
        <v>0</v>
      </c>
      <c r="B8245" t="s">
        <v>2231</v>
      </c>
      <c r="C8245" t="s">
        <v>10939</v>
      </c>
      <c r="D8245" t="s">
        <v>16262</v>
      </c>
      <c r="E8245" t="s">
        <v>23517</v>
      </c>
      <c r="F8245" t="s">
        <v>28198</v>
      </c>
      <c r="G8245" t="s">
        <v>28205</v>
      </c>
      <c r="H8245" t="s">
        <v>28214</v>
      </c>
      <c r="I8245" t="s">
        <v>28235</v>
      </c>
      <c r="J8245" t="s">
        <v>33510</v>
      </c>
      <c r="K8245" t="s">
        <v>36694</v>
      </c>
      <c r="M8245" t="s">
        <v>39399</v>
      </c>
      <c r="N8245" t="s">
        <v>40436</v>
      </c>
      <c r="O8245" t="s">
        <v>40437</v>
      </c>
      <c r="P8245">
        <v>0</v>
      </c>
      <c r="Q8245">
        <v>0</v>
      </c>
      <c r="R8245" t="s">
        <v>40445</v>
      </c>
      <c r="S8245" t="s">
        <v>40730</v>
      </c>
      <c r="T8245" t="s">
        <v>42144</v>
      </c>
      <c r="U8245" t="s">
        <v>48627</v>
      </c>
      <c r="W8245" t="s">
        <v>39399</v>
      </c>
      <c r="X8245" t="s">
        <v>40446</v>
      </c>
    </row>
    <row r="8246" spans="1:24">
      <c r="A8246">
        <f>HYPERLINK("https://www.philgeps.gov.ph/GEPSNONPILOT/Tender/SplashBidNoticeAbstractUI.aspx?menuIndex=3&amp;refID=7036530&amp;Result=3","7036530")</f>
        <v>0</v>
      </c>
      <c r="B8246" t="s">
        <v>2456</v>
      </c>
      <c r="C8246" t="s">
        <v>10940</v>
      </c>
      <c r="D8246" t="s">
        <v>16241</v>
      </c>
      <c r="E8246" t="s">
        <v>16307</v>
      </c>
      <c r="F8246" t="s">
        <v>28198</v>
      </c>
      <c r="G8246" t="s">
        <v>28205</v>
      </c>
      <c r="H8246" t="s">
        <v>28214</v>
      </c>
      <c r="I8246" t="s">
        <v>3797</v>
      </c>
      <c r="J8246" t="s">
        <v>29203</v>
      </c>
      <c r="K8246" t="s">
        <v>36687</v>
      </c>
      <c r="M8246" t="s">
        <v>39647</v>
      </c>
      <c r="N8246" t="s">
        <v>40436</v>
      </c>
      <c r="O8246" t="s">
        <v>40437</v>
      </c>
      <c r="P8246">
        <v>0</v>
      </c>
      <c r="Q8246">
        <v>1</v>
      </c>
      <c r="R8246" t="s">
        <v>40445</v>
      </c>
      <c r="S8246" t="s">
        <v>40730</v>
      </c>
      <c r="T8246" t="s">
        <v>42176</v>
      </c>
      <c r="U8246" t="s">
        <v>49565</v>
      </c>
      <c r="W8246" t="s">
        <v>39647</v>
      </c>
      <c r="X8246" t="s">
        <v>40446</v>
      </c>
    </row>
    <row r="8247" spans="1:24">
      <c r="A8247">
        <f>HYPERLINK("https://www.philgeps.gov.ph/GEPSNONPILOT/Tender/SplashBidNoticeAbstractUI.aspx?menuIndex=3&amp;refID=7036490&amp;Result=3","7036490")</f>
        <v>0</v>
      </c>
      <c r="B8247" t="s">
        <v>2412</v>
      </c>
      <c r="C8247" t="s">
        <v>10941</v>
      </c>
      <c r="D8247" t="s">
        <v>16262</v>
      </c>
      <c r="E8247" t="s">
        <v>20281</v>
      </c>
      <c r="F8247" t="s">
        <v>28198</v>
      </c>
      <c r="G8247" t="s">
        <v>28205</v>
      </c>
      <c r="H8247" t="s">
        <v>28214</v>
      </c>
      <c r="I8247" t="s">
        <v>3797</v>
      </c>
      <c r="J8247" t="s">
        <v>33511</v>
      </c>
      <c r="K8247" t="s">
        <v>36758</v>
      </c>
      <c r="M8247" t="s">
        <v>39600</v>
      </c>
      <c r="N8247" t="s">
        <v>40436</v>
      </c>
      <c r="O8247" t="s">
        <v>40437</v>
      </c>
      <c r="P8247">
        <v>0</v>
      </c>
      <c r="Q8247">
        <v>0</v>
      </c>
      <c r="R8247" t="s">
        <v>40445</v>
      </c>
      <c r="S8247" t="s">
        <v>40730</v>
      </c>
      <c r="T8247" t="s">
        <v>42174</v>
      </c>
      <c r="U8247" t="s">
        <v>49566</v>
      </c>
      <c r="W8247" t="s">
        <v>39600</v>
      </c>
      <c r="X8247" t="s">
        <v>40446</v>
      </c>
    </row>
    <row r="8248" spans="1:24">
      <c r="A8248">
        <f>HYPERLINK("https://www.philgeps.gov.ph/GEPSNONPILOT/Tender/SplashBidNoticeAbstractUI.aspx?menuIndex=3&amp;refID=7036529&amp;Result=3","7036529")</f>
        <v>0</v>
      </c>
      <c r="B8248" t="s">
        <v>2438</v>
      </c>
      <c r="C8248" t="s">
        <v>10942</v>
      </c>
      <c r="E8248" t="s">
        <v>23518</v>
      </c>
      <c r="F8248" t="s">
        <v>28198</v>
      </c>
      <c r="G8248" t="s">
        <v>28205</v>
      </c>
      <c r="H8248" t="s">
        <v>28215</v>
      </c>
      <c r="I8248" t="s">
        <v>28222</v>
      </c>
      <c r="J8248" t="s">
        <v>33512</v>
      </c>
      <c r="K8248" t="s">
        <v>36689</v>
      </c>
      <c r="M8248" t="s">
        <v>39628</v>
      </c>
      <c r="N8248" t="s">
        <v>40436</v>
      </c>
      <c r="O8248" t="s">
        <v>40437</v>
      </c>
      <c r="P8248">
        <v>0</v>
      </c>
      <c r="Q8248">
        <v>0</v>
      </c>
      <c r="R8248" t="s">
        <v>40445</v>
      </c>
      <c r="S8248" t="s">
        <v>40730</v>
      </c>
      <c r="T8248" t="s">
        <v>42459</v>
      </c>
      <c r="U8248" t="s">
        <v>49567</v>
      </c>
      <c r="W8248" t="s">
        <v>39628</v>
      </c>
      <c r="X8248" t="s">
        <v>40446</v>
      </c>
    </row>
    <row r="8249" spans="1:24">
      <c r="A8249">
        <f>HYPERLINK("https://www.philgeps.gov.ph/GEPSNONPILOT/Tender/SplashBidNoticeAbstractUI.aspx?menuIndex=3&amp;refID=7036523&amp;Result=3","7036523")</f>
        <v>0</v>
      </c>
      <c r="B8249" t="s">
        <v>1354</v>
      </c>
      <c r="C8249" t="s">
        <v>10943</v>
      </c>
      <c r="D8249" t="s">
        <v>16238</v>
      </c>
      <c r="E8249" t="s">
        <v>23519</v>
      </c>
      <c r="F8249" t="s">
        <v>28198</v>
      </c>
      <c r="G8249" t="s">
        <v>28205</v>
      </c>
      <c r="H8249" t="s">
        <v>28215</v>
      </c>
      <c r="I8249" t="s">
        <v>8888</v>
      </c>
      <c r="J8249" t="s">
        <v>33513</v>
      </c>
      <c r="K8249" t="s">
        <v>36701</v>
      </c>
      <c r="M8249" t="s">
        <v>38412</v>
      </c>
      <c r="N8249" t="s">
        <v>40436</v>
      </c>
      <c r="O8249" t="s">
        <v>40437</v>
      </c>
      <c r="P8249">
        <v>0</v>
      </c>
      <c r="Q8249">
        <v>1</v>
      </c>
      <c r="R8249" t="s">
        <v>40445</v>
      </c>
      <c r="S8249" t="s">
        <v>40730</v>
      </c>
      <c r="T8249" t="s">
        <v>42350</v>
      </c>
      <c r="U8249" t="s">
        <v>49568</v>
      </c>
      <c r="W8249" t="s">
        <v>38412</v>
      </c>
      <c r="X8249" t="s">
        <v>40446</v>
      </c>
    </row>
    <row r="8250" spans="1:24">
      <c r="A8250">
        <f>HYPERLINK("https://www.philgeps.gov.ph/GEPSNONPILOT/Tender/SplashBidNoticeAbstractUI.aspx?menuIndex=3&amp;refID=7036512&amp;Result=3","7036512")</f>
        <v>0</v>
      </c>
      <c r="B8250" t="s">
        <v>1241</v>
      </c>
      <c r="C8250" t="s">
        <v>10944</v>
      </c>
      <c r="D8250" t="s">
        <v>16216</v>
      </c>
      <c r="E8250" t="s">
        <v>23520</v>
      </c>
      <c r="F8250" t="s">
        <v>28198</v>
      </c>
      <c r="G8250" t="s">
        <v>28206</v>
      </c>
      <c r="H8250" t="s">
        <v>28215</v>
      </c>
      <c r="I8250" t="s">
        <v>28247</v>
      </c>
      <c r="J8250" t="s">
        <v>33514</v>
      </c>
      <c r="K8250" t="s">
        <v>36689</v>
      </c>
      <c r="M8250" t="s">
        <v>38290</v>
      </c>
      <c r="N8250" t="s">
        <v>40436</v>
      </c>
      <c r="O8250" t="s">
        <v>40437</v>
      </c>
      <c r="P8250">
        <v>0</v>
      </c>
      <c r="Q8250">
        <v>12</v>
      </c>
      <c r="R8250" t="s">
        <v>40445</v>
      </c>
      <c r="S8250" t="s">
        <v>40730</v>
      </c>
      <c r="T8250" t="s">
        <v>42111</v>
      </c>
      <c r="U8250" t="s">
        <v>49569</v>
      </c>
      <c r="W8250" t="s">
        <v>38290</v>
      </c>
      <c r="X8250" t="s">
        <v>40446</v>
      </c>
    </row>
    <row r="8251" spans="1:24">
      <c r="A8251">
        <f>HYPERLINK("https://www.philgeps.gov.ph/GEPSNONPILOT/Tender/SplashBidNoticeAbstractUI.aspx?menuIndex=3&amp;refID=7036565&amp;Result=3","7036565")</f>
        <v>0</v>
      </c>
      <c r="B8251" t="s">
        <v>2457</v>
      </c>
      <c r="C8251" t="s">
        <v>10945</v>
      </c>
      <c r="D8251" t="s">
        <v>16210</v>
      </c>
      <c r="E8251" t="s">
        <v>23521</v>
      </c>
      <c r="F8251" t="s">
        <v>28201</v>
      </c>
      <c r="G8251" t="s">
        <v>28205</v>
      </c>
      <c r="H8251" t="s">
        <v>28215</v>
      </c>
      <c r="I8251" t="s">
        <v>4200</v>
      </c>
      <c r="J8251" t="s">
        <v>33515</v>
      </c>
      <c r="K8251" t="s">
        <v>36688</v>
      </c>
      <c r="M8251" t="s">
        <v>39648</v>
      </c>
      <c r="N8251" t="s">
        <v>40436</v>
      </c>
      <c r="O8251" t="s">
        <v>40437</v>
      </c>
      <c r="P8251">
        <v>0</v>
      </c>
      <c r="Q8251">
        <v>0</v>
      </c>
      <c r="R8251" t="s">
        <v>40445</v>
      </c>
      <c r="S8251" t="s">
        <v>40730</v>
      </c>
      <c r="T8251" t="s">
        <v>42098</v>
      </c>
      <c r="U8251" t="s">
        <v>49570</v>
      </c>
      <c r="W8251" t="s">
        <v>39648</v>
      </c>
      <c r="X8251" t="s">
        <v>40446</v>
      </c>
    </row>
    <row r="8252" spans="1:24">
      <c r="A8252">
        <f>HYPERLINK("https://www.philgeps.gov.ph/GEPSNONPILOT/Tender/SplashBidNoticeAbstractUI.aspx?menuIndex=3&amp;refID=7036460&amp;Result=3","7036460")</f>
        <v>0</v>
      </c>
      <c r="B8252" t="s">
        <v>853</v>
      </c>
      <c r="C8252" t="s">
        <v>10946</v>
      </c>
      <c r="D8252" t="s">
        <v>16218</v>
      </c>
      <c r="E8252" t="s">
        <v>16766</v>
      </c>
      <c r="F8252" t="s">
        <v>28198</v>
      </c>
      <c r="G8252" t="s">
        <v>28205</v>
      </c>
      <c r="H8252" t="s">
        <v>28215</v>
      </c>
      <c r="I8252" t="s">
        <v>4200</v>
      </c>
      <c r="J8252" t="s">
        <v>33516</v>
      </c>
      <c r="K8252" t="s">
        <v>36701</v>
      </c>
      <c r="M8252" t="s">
        <v>37864</v>
      </c>
      <c r="N8252" t="s">
        <v>40436</v>
      </c>
      <c r="O8252" t="s">
        <v>40437</v>
      </c>
      <c r="P8252">
        <v>0</v>
      </c>
      <c r="Q8252">
        <v>1</v>
      </c>
      <c r="R8252" t="s">
        <v>40445</v>
      </c>
      <c r="S8252" t="s">
        <v>40730</v>
      </c>
      <c r="T8252" t="s">
        <v>42291</v>
      </c>
      <c r="U8252" t="s">
        <v>49571</v>
      </c>
      <c r="W8252" t="s">
        <v>37864</v>
      </c>
      <c r="X8252" t="s">
        <v>40446</v>
      </c>
    </row>
    <row r="8253" spans="1:24">
      <c r="A8253">
        <f>HYPERLINK("https://www.philgeps.gov.ph/GEPSNONPILOT/Tender/SplashBidNoticeAbstractUI.aspx?menuIndex=3&amp;refID=7036511&amp;Result=3","7036511")</f>
        <v>0</v>
      </c>
      <c r="B8253" t="s">
        <v>1363</v>
      </c>
      <c r="C8253" t="s">
        <v>10947</v>
      </c>
      <c r="D8253" t="s">
        <v>16199</v>
      </c>
      <c r="E8253" t="s">
        <v>23522</v>
      </c>
      <c r="F8253" t="s">
        <v>28198</v>
      </c>
      <c r="G8253" t="s">
        <v>28205</v>
      </c>
      <c r="H8253" t="s">
        <v>28215</v>
      </c>
      <c r="I8253" t="s">
        <v>4219</v>
      </c>
      <c r="J8253" t="s">
        <v>30308</v>
      </c>
      <c r="K8253" t="s">
        <v>36707</v>
      </c>
      <c r="M8253" t="s">
        <v>38423</v>
      </c>
      <c r="N8253" t="s">
        <v>40436</v>
      </c>
      <c r="O8253" t="s">
        <v>40437</v>
      </c>
      <c r="P8253">
        <v>0</v>
      </c>
      <c r="Q8253">
        <v>0</v>
      </c>
      <c r="R8253" t="s">
        <v>40445</v>
      </c>
      <c r="S8253" t="s">
        <v>40730</v>
      </c>
      <c r="T8253" t="s">
        <v>42240</v>
      </c>
      <c r="U8253" t="s">
        <v>49548</v>
      </c>
      <c r="W8253" t="s">
        <v>38423</v>
      </c>
      <c r="X8253" t="s">
        <v>40446</v>
      </c>
    </row>
    <row r="8254" spans="1:24">
      <c r="A8254">
        <f>HYPERLINK("https://www.philgeps.gov.ph/GEPSNONPILOT/Tender/SplashBidNoticeAbstractUI.aspx?menuIndex=3&amp;refID=7036546&amp;Result=3","7036546")</f>
        <v>0</v>
      </c>
      <c r="B8254" t="s">
        <v>2231</v>
      </c>
      <c r="C8254" t="s">
        <v>10948</v>
      </c>
      <c r="D8254" t="s">
        <v>16262</v>
      </c>
      <c r="E8254" t="s">
        <v>23523</v>
      </c>
      <c r="F8254" t="s">
        <v>28198</v>
      </c>
      <c r="G8254" t="s">
        <v>28205</v>
      </c>
      <c r="H8254" t="s">
        <v>28214</v>
      </c>
      <c r="I8254" t="s">
        <v>3797</v>
      </c>
      <c r="J8254" t="s">
        <v>28406</v>
      </c>
      <c r="K8254" t="s">
        <v>36777</v>
      </c>
      <c r="M8254" t="s">
        <v>39399</v>
      </c>
      <c r="N8254" t="s">
        <v>40436</v>
      </c>
      <c r="O8254" t="s">
        <v>40437</v>
      </c>
      <c r="P8254">
        <v>0</v>
      </c>
      <c r="Q8254">
        <v>0</v>
      </c>
      <c r="R8254" t="s">
        <v>40445</v>
      </c>
      <c r="S8254" t="s">
        <v>40730</v>
      </c>
      <c r="T8254" t="s">
        <v>42144</v>
      </c>
      <c r="U8254" t="s">
        <v>48627</v>
      </c>
      <c r="W8254" t="s">
        <v>39399</v>
      </c>
      <c r="X8254" t="s">
        <v>40446</v>
      </c>
    </row>
    <row r="8255" spans="1:24">
      <c r="A8255">
        <f>HYPERLINK("https://www.philgeps.gov.ph/GEPSNONPILOT/Tender/SplashBidNoticeAbstractUI.aspx?menuIndex=3&amp;refID=7036559&amp;Result=3","7036559")</f>
        <v>0</v>
      </c>
      <c r="B8255" t="s">
        <v>658</v>
      </c>
      <c r="C8255" t="s">
        <v>10949</v>
      </c>
      <c r="D8255" t="s">
        <v>16264</v>
      </c>
      <c r="E8255" t="s">
        <v>23524</v>
      </c>
      <c r="F8255" t="s">
        <v>28198</v>
      </c>
      <c r="G8255" t="s">
        <v>28209</v>
      </c>
      <c r="H8255" t="s">
        <v>28215</v>
      </c>
      <c r="I8255" t="s">
        <v>28246</v>
      </c>
      <c r="J8255" t="s">
        <v>33517</v>
      </c>
      <c r="K8255" t="s">
        <v>36708</v>
      </c>
      <c r="M8255" t="s">
        <v>37654</v>
      </c>
      <c r="N8255" t="s">
        <v>40436</v>
      </c>
      <c r="O8255" t="s">
        <v>40437</v>
      </c>
      <c r="P8255">
        <v>0</v>
      </c>
      <c r="Q8255">
        <v>1</v>
      </c>
      <c r="R8255" t="s">
        <v>40445</v>
      </c>
      <c r="S8255" t="s">
        <v>40730</v>
      </c>
      <c r="T8255" t="s">
        <v>42146</v>
      </c>
      <c r="U8255" t="s">
        <v>49572</v>
      </c>
      <c r="W8255" t="s">
        <v>37654</v>
      </c>
      <c r="X8255" t="s">
        <v>40446</v>
      </c>
    </row>
    <row r="8256" spans="1:24">
      <c r="A8256">
        <f>HYPERLINK("https://www.philgeps.gov.ph/GEPSNONPILOT/Tender/SplashBidNoticeAbstractUI.aspx?menuIndex=3&amp;refID=7036556&amp;Result=3","7036556")</f>
        <v>0</v>
      </c>
      <c r="B8256" t="s">
        <v>2412</v>
      </c>
      <c r="C8256" t="s">
        <v>10950</v>
      </c>
      <c r="D8256" t="s">
        <v>16262</v>
      </c>
      <c r="E8256" t="s">
        <v>18126</v>
      </c>
      <c r="F8256" t="s">
        <v>28198</v>
      </c>
      <c r="G8256" t="s">
        <v>28205</v>
      </c>
      <c r="H8256" t="s">
        <v>28214</v>
      </c>
      <c r="I8256" t="s">
        <v>3797</v>
      </c>
      <c r="J8256" t="s">
        <v>33518</v>
      </c>
      <c r="K8256" t="s">
        <v>36787</v>
      </c>
      <c r="M8256" t="s">
        <v>39600</v>
      </c>
      <c r="N8256" t="s">
        <v>40436</v>
      </c>
      <c r="O8256" t="s">
        <v>40437</v>
      </c>
      <c r="P8256">
        <v>0</v>
      </c>
      <c r="Q8256">
        <v>0</v>
      </c>
      <c r="R8256" t="s">
        <v>40445</v>
      </c>
      <c r="S8256" t="s">
        <v>40730</v>
      </c>
      <c r="T8256" t="s">
        <v>42174</v>
      </c>
      <c r="U8256" t="s">
        <v>49573</v>
      </c>
      <c r="W8256" t="s">
        <v>39600</v>
      </c>
      <c r="X8256" t="s">
        <v>40446</v>
      </c>
    </row>
    <row r="8257" spans="1:24">
      <c r="A8257">
        <f>HYPERLINK("https://www.philgeps.gov.ph/GEPSNONPILOT/Tender/SplashBidNoticeAbstractUI.aspx?menuIndex=3&amp;refID=7036586&amp;Result=3","7036586")</f>
        <v>0</v>
      </c>
      <c r="B8257" t="s">
        <v>305</v>
      </c>
      <c r="C8257" t="s">
        <v>10951</v>
      </c>
      <c r="D8257" t="s">
        <v>16197</v>
      </c>
      <c r="E8257" t="s">
        <v>22555</v>
      </c>
      <c r="F8257" t="s">
        <v>28198</v>
      </c>
      <c r="G8257" t="s">
        <v>28205</v>
      </c>
      <c r="H8257" t="s">
        <v>28215</v>
      </c>
      <c r="I8257" t="s">
        <v>28221</v>
      </c>
      <c r="J8257" t="s">
        <v>33519</v>
      </c>
      <c r="K8257" t="s">
        <v>36688</v>
      </c>
      <c r="M8257" t="s">
        <v>39649</v>
      </c>
      <c r="N8257" t="s">
        <v>40436</v>
      </c>
      <c r="O8257" t="s">
        <v>40437</v>
      </c>
      <c r="P8257">
        <v>0</v>
      </c>
      <c r="Q8257">
        <v>11</v>
      </c>
      <c r="R8257" t="s">
        <v>40445</v>
      </c>
      <c r="S8257" t="s">
        <v>40730</v>
      </c>
      <c r="T8257" t="s">
        <v>42228</v>
      </c>
      <c r="U8257" t="s">
        <v>49574</v>
      </c>
      <c r="W8257" t="s">
        <v>39649</v>
      </c>
      <c r="X8257" t="s">
        <v>40446</v>
      </c>
    </row>
    <row r="8258" spans="1:24">
      <c r="A8258">
        <f>HYPERLINK("https://www.philgeps.gov.ph/GEPSNONPILOT/Tender/SplashBidNoticeAbstractUI.aspx?menuIndex=3&amp;refID=7036517&amp;Result=3","7036517")</f>
        <v>0</v>
      </c>
      <c r="B8258" t="s">
        <v>70</v>
      </c>
      <c r="C8258" t="s">
        <v>10952</v>
      </c>
      <c r="D8258" t="s">
        <v>16214</v>
      </c>
      <c r="E8258" t="s">
        <v>23525</v>
      </c>
      <c r="F8258" t="s">
        <v>28198</v>
      </c>
      <c r="G8258" t="s">
        <v>28205</v>
      </c>
      <c r="H8258" t="s">
        <v>28215</v>
      </c>
      <c r="I8258" t="s">
        <v>28256</v>
      </c>
      <c r="J8258" t="s">
        <v>31303</v>
      </c>
      <c r="K8258" t="s">
        <v>36697</v>
      </c>
      <c r="M8258" t="s">
        <v>38348</v>
      </c>
      <c r="N8258" t="s">
        <v>40436</v>
      </c>
      <c r="O8258" t="s">
        <v>40437</v>
      </c>
      <c r="P8258">
        <v>0</v>
      </c>
      <c r="Q8258">
        <v>8</v>
      </c>
      <c r="R8258" t="s">
        <v>40445</v>
      </c>
      <c r="S8258" t="s">
        <v>40730</v>
      </c>
      <c r="T8258" t="s">
        <v>42234</v>
      </c>
      <c r="U8258" t="s">
        <v>49575</v>
      </c>
      <c r="W8258" t="s">
        <v>38348</v>
      </c>
      <c r="X8258" t="s">
        <v>40446</v>
      </c>
    </row>
    <row r="8259" spans="1:24">
      <c r="A8259">
        <f>HYPERLINK("https://www.philgeps.gov.ph/GEPSNONPILOT/Tender/SplashBidNoticeAbstractUI.aspx?menuIndex=3&amp;refID=7036576&amp;Result=3","7036576")</f>
        <v>0</v>
      </c>
      <c r="B8259" t="s">
        <v>2231</v>
      </c>
      <c r="C8259" t="s">
        <v>10953</v>
      </c>
      <c r="D8259" t="s">
        <v>16262</v>
      </c>
      <c r="E8259" t="s">
        <v>16341</v>
      </c>
      <c r="F8259" t="s">
        <v>28198</v>
      </c>
      <c r="G8259" t="s">
        <v>28205</v>
      </c>
      <c r="H8259" t="s">
        <v>28214</v>
      </c>
      <c r="I8259" t="s">
        <v>28235</v>
      </c>
      <c r="J8259" t="s">
        <v>28415</v>
      </c>
      <c r="K8259" t="s">
        <v>36777</v>
      </c>
      <c r="M8259" t="s">
        <v>39399</v>
      </c>
      <c r="N8259" t="s">
        <v>40436</v>
      </c>
      <c r="O8259" t="s">
        <v>40437</v>
      </c>
      <c r="P8259">
        <v>0</v>
      </c>
      <c r="Q8259">
        <v>0</v>
      </c>
      <c r="R8259" t="s">
        <v>40445</v>
      </c>
      <c r="S8259" t="s">
        <v>40730</v>
      </c>
      <c r="T8259" t="s">
        <v>42144</v>
      </c>
      <c r="U8259" t="s">
        <v>48627</v>
      </c>
      <c r="W8259" t="s">
        <v>39399</v>
      </c>
      <c r="X8259" t="s">
        <v>40446</v>
      </c>
    </row>
    <row r="8260" spans="1:24">
      <c r="A8260">
        <f>HYPERLINK("https://www.philgeps.gov.ph/GEPSNONPILOT/Tender/SplashBidNoticeAbstractUI.aspx?menuIndex=3&amp;refID=7036579&amp;Result=3","7036579")</f>
        <v>0</v>
      </c>
      <c r="B8260" t="s">
        <v>2458</v>
      </c>
      <c r="C8260" t="s">
        <v>10954</v>
      </c>
      <c r="D8260" t="s">
        <v>16200</v>
      </c>
      <c r="E8260" t="s">
        <v>23526</v>
      </c>
      <c r="F8260" t="s">
        <v>28198</v>
      </c>
      <c r="G8260" t="s">
        <v>28206</v>
      </c>
      <c r="H8260" t="s">
        <v>28215</v>
      </c>
      <c r="I8260" t="s">
        <v>4219</v>
      </c>
      <c r="J8260" t="s">
        <v>33520</v>
      </c>
      <c r="K8260" t="s">
        <v>36706</v>
      </c>
      <c r="M8260" t="s">
        <v>39650</v>
      </c>
      <c r="N8260" t="s">
        <v>40436</v>
      </c>
      <c r="O8260" t="s">
        <v>40437</v>
      </c>
      <c r="Q8260">
        <v>11</v>
      </c>
      <c r="R8260" t="s">
        <v>40445</v>
      </c>
      <c r="S8260" t="s">
        <v>40653</v>
      </c>
      <c r="T8260" t="s">
        <v>42152</v>
      </c>
      <c r="U8260" t="s">
        <v>49576</v>
      </c>
      <c r="V8260" t="s">
        <v>54664</v>
      </c>
      <c r="W8260" t="s">
        <v>55515</v>
      </c>
      <c r="X8260" t="s">
        <v>40446</v>
      </c>
    </row>
    <row r="8261" spans="1:24">
      <c r="A8261">
        <f>HYPERLINK("https://www.philgeps.gov.ph/GEPSNONPILOT/Tender/SplashBidNoticeAbstractUI.aspx?menuIndex=3&amp;refID=7036540&amp;Result=3","7036540")</f>
        <v>0</v>
      </c>
      <c r="B8261" t="s">
        <v>305</v>
      </c>
      <c r="C8261" t="s">
        <v>10955</v>
      </c>
      <c r="D8261" t="s">
        <v>16197</v>
      </c>
      <c r="E8261" t="s">
        <v>23527</v>
      </c>
      <c r="F8261" t="s">
        <v>28198</v>
      </c>
      <c r="G8261" t="s">
        <v>28205</v>
      </c>
      <c r="H8261" t="s">
        <v>28215</v>
      </c>
      <c r="I8261" t="s">
        <v>5082</v>
      </c>
      <c r="J8261" t="s">
        <v>33521</v>
      </c>
      <c r="K8261" t="s">
        <v>36688</v>
      </c>
      <c r="M8261" t="s">
        <v>39649</v>
      </c>
      <c r="N8261" t="s">
        <v>40436</v>
      </c>
      <c r="O8261" t="s">
        <v>40437</v>
      </c>
      <c r="P8261">
        <v>0</v>
      </c>
      <c r="Q8261">
        <v>4</v>
      </c>
      <c r="R8261" t="s">
        <v>40445</v>
      </c>
      <c r="S8261" t="s">
        <v>40730</v>
      </c>
      <c r="T8261" t="s">
        <v>42228</v>
      </c>
      <c r="U8261" t="s">
        <v>49577</v>
      </c>
      <c r="W8261" t="s">
        <v>39649</v>
      </c>
      <c r="X8261" t="s">
        <v>40446</v>
      </c>
    </row>
    <row r="8262" spans="1:24">
      <c r="A8262">
        <f>HYPERLINK("https://www.philgeps.gov.ph/GEPSNONPILOT/Tender/SplashBidNoticeAbstractUI.aspx?menuIndex=3&amp;refID=7036544&amp;Result=3","7036544")</f>
        <v>0</v>
      </c>
      <c r="B8262" t="s">
        <v>2438</v>
      </c>
      <c r="C8262" t="s">
        <v>10956</v>
      </c>
      <c r="E8262" t="s">
        <v>23528</v>
      </c>
      <c r="F8262" t="s">
        <v>28198</v>
      </c>
      <c r="G8262" t="s">
        <v>28205</v>
      </c>
      <c r="H8262" t="s">
        <v>28215</v>
      </c>
      <c r="I8262" t="s">
        <v>28222</v>
      </c>
      <c r="J8262" t="s">
        <v>28559</v>
      </c>
      <c r="K8262" t="s">
        <v>36689</v>
      </c>
      <c r="M8262" t="s">
        <v>39628</v>
      </c>
      <c r="N8262" t="s">
        <v>40436</v>
      </c>
      <c r="O8262" t="s">
        <v>40437</v>
      </c>
      <c r="P8262">
        <v>0</v>
      </c>
      <c r="Q8262">
        <v>0</v>
      </c>
      <c r="R8262" t="s">
        <v>40445</v>
      </c>
      <c r="S8262" t="s">
        <v>40730</v>
      </c>
      <c r="T8262" t="s">
        <v>42459</v>
      </c>
      <c r="U8262" t="s">
        <v>49567</v>
      </c>
      <c r="W8262" t="s">
        <v>39628</v>
      </c>
      <c r="X8262" t="s">
        <v>40446</v>
      </c>
    </row>
    <row r="8263" spans="1:24">
      <c r="A8263">
        <f>HYPERLINK("https://www.philgeps.gov.ph/GEPSNONPILOT/Tender/SplashBidNoticeAbstractUI.aspx?menuIndex=3&amp;refID=7036590&amp;Result=3","7036590")</f>
        <v>0</v>
      </c>
      <c r="B8263" t="s">
        <v>318</v>
      </c>
      <c r="C8263" t="s">
        <v>10957</v>
      </c>
      <c r="D8263" t="s">
        <v>16241</v>
      </c>
      <c r="E8263" t="s">
        <v>23529</v>
      </c>
      <c r="F8263" t="s">
        <v>28198</v>
      </c>
      <c r="G8263" t="s">
        <v>28207</v>
      </c>
      <c r="H8263" t="s">
        <v>28215</v>
      </c>
      <c r="I8263" t="s">
        <v>28247</v>
      </c>
      <c r="J8263" t="s">
        <v>33522</v>
      </c>
      <c r="K8263" t="s">
        <v>36701</v>
      </c>
      <c r="M8263" t="s">
        <v>39651</v>
      </c>
      <c r="N8263" t="s">
        <v>40436</v>
      </c>
      <c r="O8263" t="s">
        <v>40437</v>
      </c>
      <c r="Q8263">
        <v>10</v>
      </c>
      <c r="R8263" t="s">
        <v>40445</v>
      </c>
      <c r="S8263" t="s">
        <v>40743</v>
      </c>
      <c r="T8263" t="s">
        <v>42185</v>
      </c>
      <c r="U8263" t="s">
        <v>49578</v>
      </c>
      <c r="W8263" t="s">
        <v>39651</v>
      </c>
      <c r="X8263" t="s">
        <v>40446</v>
      </c>
    </row>
    <row r="8264" spans="1:24">
      <c r="A8264">
        <f>HYPERLINK("https://www.philgeps.gov.ph/GEPSNONPILOT/Tender/SplashBidNoticeAbstractUI.aspx?menuIndex=3&amp;refID=7036572&amp;Result=3","7036572")</f>
        <v>0</v>
      </c>
      <c r="B8264" t="s">
        <v>2459</v>
      </c>
      <c r="C8264" t="s">
        <v>10958</v>
      </c>
      <c r="E8264" t="s">
        <v>23530</v>
      </c>
      <c r="F8264" t="s">
        <v>28198</v>
      </c>
      <c r="G8264" t="s">
        <v>28205</v>
      </c>
      <c r="H8264" t="s">
        <v>28214</v>
      </c>
      <c r="I8264" t="s">
        <v>3797</v>
      </c>
      <c r="J8264" t="s">
        <v>33523</v>
      </c>
      <c r="K8264" t="s">
        <v>36737</v>
      </c>
      <c r="M8264" t="s">
        <v>39652</v>
      </c>
      <c r="N8264" t="s">
        <v>40436</v>
      </c>
      <c r="O8264" t="s">
        <v>40437</v>
      </c>
      <c r="P8264">
        <v>0</v>
      </c>
      <c r="Q8264">
        <v>20</v>
      </c>
      <c r="R8264" t="s">
        <v>40445</v>
      </c>
      <c r="S8264" t="s">
        <v>40730</v>
      </c>
      <c r="T8264" t="s">
        <v>42346</v>
      </c>
      <c r="U8264" t="s">
        <v>49579</v>
      </c>
      <c r="W8264" t="s">
        <v>39652</v>
      </c>
      <c r="X8264" t="s">
        <v>40446</v>
      </c>
    </row>
    <row r="8265" spans="1:24">
      <c r="A8265">
        <f>HYPERLINK("https://www.philgeps.gov.ph/GEPSNONPILOT/Tender/SplashBidNoticeAbstractUI.aspx?menuIndex=3&amp;refID=7036591&amp;Result=3","7036591")</f>
        <v>0</v>
      </c>
      <c r="B8265" t="s">
        <v>351</v>
      </c>
      <c r="C8265" t="s">
        <v>10959</v>
      </c>
      <c r="D8265" t="s">
        <v>16258</v>
      </c>
      <c r="E8265" t="s">
        <v>23531</v>
      </c>
      <c r="F8265" t="s">
        <v>28198</v>
      </c>
      <c r="G8265" t="s">
        <v>28205</v>
      </c>
      <c r="H8265" t="s">
        <v>28215</v>
      </c>
      <c r="I8265" t="s">
        <v>5791</v>
      </c>
      <c r="J8265" t="s">
        <v>28345</v>
      </c>
      <c r="K8265" t="s">
        <v>36706</v>
      </c>
      <c r="M8265" t="s">
        <v>37330</v>
      </c>
      <c r="N8265" t="s">
        <v>40436</v>
      </c>
      <c r="O8265" t="s">
        <v>40437</v>
      </c>
      <c r="P8265">
        <v>0</v>
      </c>
      <c r="Q8265">
        <v>0</v>
      </c>
      <c r="R8265" t="s">
        <v>40445</v>
      </c>
      <c r="S8265" t="s">
        <v>40730</v>
      </c>
      <c r="T8265" t="s">
        <v>42136</v>
      </c>
      <c r="U8265" t="s">
        <v>49580</v>
      </c>
      <c r="W8265" t="s">
        <v>37330</v>
      </c>
      <c r="X8265" t="s">
        <v>40446</v>
      </c>
    </row>
    <row r="8266" spans="1:24">
      <c r="A8266">
        <f>HYPERLINK("https://www.philgeps.gov.ph/GEPSNONPILOT/Tender/SplashBidNoticeAbstractUI.aspx?menuIndex=3&amp;refID=7036643&amp;Result=3","7036643")</f>
        <v>0</v>
      </c>
      <c r="B8266" t="s">
        <v>773</v>
      </c>
      <c r="C8266" t="s">
        <v>10960</v>
      </c>
      <c r="D8266" t="s">
        <v>16219</v>
      </c>
      <c r="E8266" t="s">
        <v>23532</v>
      </c>
      <c r="F8266" t="s">
        <v>28198</v>
      </c>
      <c r="G8266" t="s">
        <v>28205</v>
      </c>
      <c r="H8266" t="s">
        <v>28215</v>
      </c>
      <c r="I8266" t="s">
        <v>5100</v>
      </c>
      <c r="J8266" t="s">
        <v>33524</v>
      </c>
      <c r="K8266" t="s">
        <v>36706</v>
      </c>
      <c r="M8266" t="s">
        <v>38111</v>
      </c>
      <c r="N8266" t="s">
        <v>40436</v>
      </c>
      <c r="O8266" t="s">
        <v>40437</v>
      </c>
      <c r="P8266">
        <v>0</v>
      </c>
      <c r="Q8266">
        <v>0</v>
      </c>
      <c r="R8266" t="s">
        <v>40445</v>
      </c>
      <c r="S8266" t="s">
        <v>40730</v>
      </c>
      <c r="T8266" t="s">
        <v>42233</v>
      </c>
      <c r="U8266" t="s">
        <v>49581</v>
      </c>
      <c r="W8266" t="s">
        <v>38111</v>
      </c>
      <c r="X8266" t="s">
        <v>40446</v>
      </c>
    </row>
    <row r="8267" spans="1:24">
      <c r="A8267">
        <f>HYPERLINK("https://www.philgeps.gov.ph/GEPSNONPILOT/Tender/SplashBidNoticeAbstractUI.aspx?menuIndex=3&amp;refID=7036502&amp;Result=3","7036502")</f>
        <v>0</v>
      </c>
      <c r="B8267" t="s">
        <v>2438</v>
      </c>
      <c r="C8267" t="s">
        <v>10961</v>
      </c>
      <c r="E8267" t="s">
        <v>23533</v>
      </c>
      <c r="F8267" t="s">
        <v>28198</v>
      </c>
      <c r="G8267" t="s">
        <v>28205</v>
      </c>
      <c r="H8267" t="s">
        <v>28215</v>
      </c>
      <c r="I8267" t="s">
        <v>5100</v>
      </c>
      <c r="J8267" t="s">
        <v>33525</v>
      </c>
      <c r="K8267" t="s">
        <v>36687</v>
      </c>
      <c r="M8267" t="s">
        <v>39628</v>
      </c>
      <c r="N8267" t="s">
        <v>40436</v>
      </c>
      <c r="O8267" t="s">
        <v>40437</v>
      </c>
      <c r="P8267">
        <v>0</v>
      </c>
      <c r="Q8267">
        <v>1</v>
      </c>
      <c r="R8267" t="s">
        <v>40445</v>
      </c>
      <c r="S8267" t="s">
        <v>40730</v>
      </c>
      <c r="T8267" t="s">
        <v>42459</v>
      </c>
      <c r="U8267" t="s">
        <v>49567</v>
      </c>
      <c r="W8267" t="s">
        <v>39628</v>
      </c>
      <c r="X8267" t="s">
        <v>40446</v>
      </c>
    </row>
    <row r="8268" spans="1:24">
      <c r="A8268">
        <f>HYPERLINK("https://www.philgeps.gov.ph/GEPSNONPILOT/Tender/SplashBidNoticeAbstractUI.aspx?menuIndex=3&amp;refID=7036635&amp;Result=3","7036635")</f>
        <v>0</v>
      </c>
      <c r="B8268" t="s">
        <v>2412</v>
      </c>
      <c r="C8268" t="s">
        <v>10962</v>
      </c>
      <c r="D8268" t="s">
        <v>16262</v>
      </c>
      <c r="E8268" t="s">
        <v>16307</v>
      </c>
      <c r="F8268" t="s">
        <v>28198</v>
      </c>
      <c r="G8268" t="s">
        <v>28205</v>
      </c>
      <c r="H8268" t="s">
        <v>28214</v>
      </c>
      <c r="I8268" t="s">
        <v>3797</v>
      </c>
      <c r="J8268" t="s">
        <v>33526</v>
      </c>
      <c r="K8268" t="s">
        <v>36787</v>
      </c>
      <c r="M8268" t="s">
        <v>39600</v>
      </c>
      <c r="N8268" t="s">
        <v>40436</v>
      </c>
      <c r="O8268" t="s">
        <v>40437</v>
      </c>
      <c r="P8268">
        <v>0</v>
      </c>
      <c r="Q8268">
        <v>0</v>
      </c>
      <c r="R8268" t="s">
        <v>40445</v>
      </c>
      <c r="S8268" t="s">
        <v>40730</v>
      </c>
      <c r="T8268" t="s">
        <v>42174</v>
      </c>
      <c r="U8268" t="s">
        <v>49582</v>
      </c>
      <c r="W8268" t="s">
        <v>39600</v>
      </c>
      <c r="X8268" t="s">
        <v>40446</v>
      </c>
    </row>
    <row r="8269" spans="1:24">
      <c r="A8269">
        <f>HYPERLINK("https://www.philgeps.gov.ph/GEPSNONPILOT/Tender/SplashBidNoticeAbstractUI.aspx?menuIndex=3&amp;refID=7036630&amp;Result=3","7036630")</f>
        <v>0</v>
      </c>
      <c r="B8269" t="s">
        <v>1709</v>
      </c>
      <c r="C8269" t="s">
        <v>10963</v>
      </c>
      <c r="D8269" t="s">
        <v>16215</v>
      </c>
      <c r="E8269" t="s">
        <v>23534</v>
      </c>
      <c r="F8269" t="s">
        <v>28198</v>
      </c>
      <c r="G8269" t="s">
        <v>28210</v>
      </c>
      <c r="H8269" t="s">
        <v>28215</v>
      </c>
      <c r="I8269" t="s">
        <v>4200</v>
      </c>
      <c r="J8269" t="s">
        <v>33527</v>
      </c>
      <c r="K8269" t="s">
        <v>36701</v>
      </c>
      <c r="M8269" t="s">
        <v>38814</v>
      </c>
      <c r="N8269" t="s">
        <v>40436</v>
      </c>
      <c r="O8269" t="s">
        <v>40437</v>
      </c>
      <c r="P8269">
        <v>0</v>
      </c>
      <c r="Q8269">
        <v>5</v>
      </c>
      <c r="R8269" t="s">
        <v>40445</v>
      </c>
      <c r="S8269" t="s">
        <v>40730</v>
      </c>
      <c r="T8269" t="s">
        <v>42185</v>
      </c>
      <c r="U8269" t="s">
        <v>49583</v>
      </c>
      <c r="V8269" t="s">
        <v>54665</v>
      </c>
      <c r="W8269" t="s">
        <v>38814</v>
      </c>
      <c r="X8269" t="s">
        <v>40446</v>
      </c>
    </row>
    <row r="8270" spans="1:24">
      <c r="A8270">
        <f>HYPERLINK("https://www.philgeps.gov.ph/GEPSNONPILOT/Tender/SplashBidNoticeAbstractUI.aspx?menuIndex=3&amp;refID=7036594&amp;Result=3","7036594")</f>
        <v>0</v>
      </c>
      <c r="B8270" t="s">
        <v>2256</v>
      </c>
      <c r="C8270" t="s">
        <v>10964</v>
      </c>
      <c r="D8270" t="s">
        <v>16209</v>
      </c>
      <c r="E8270" t="s">
        <v>18348</v>
      </c>
      <c r="F8270" t="s">
        <v>28198</v>
      </c>
      <c r="G8270" t="s">
        <v>28205</v>
      </c>
      <c r="H8270" t="s">
        <v>28214</v>
      </c>
      <c r="I8270" t="s">
        <v>4200</v>
      </c>
      <c r="J8270" t="s">
        <v>33528</v>
      </c>
      <c r="K8270" t="s">
        <v>36692</v>
      </c>
      <c r="M8270" t="s">
        <v>39426</v>
      </c>
      <c r="N8270" t="s">
        <v>40436</v>
      </c>
      <c r="O8270" t="s">
        <v>40437</v>
      </c>
      <c r="P8270">
        <v>0</v>
      </c>
      <c r="Q8270">
        <v>0</v>
      </c>
      <c r="R8270" t="s">
        <v>40445</v>
      </c>
      <c r="S8270" t="s">
        <v>40730</v>
      </c>
      <c r="T8270" t="s">
        <v>42184</v>
      </c>
      <c r="U8270" t="s">
        <v>49584</v>
      </c>
      <c r="W8270" t="s">
        <v>39426</v>
      </c>
      <c r="X8270" t="s">
        <v>40446</v>
      </c>
    </row>
    <row r="8271" spans="1:24">
      <c r="A8271">
        <f>HYPERLINK("https://www.philgeps.gov.ph/GEPSNONPILOT/Tender/SplashBidNoticeAbstractUI.aspx?menuIndex=3&amp;refID=7036629&amp;Result=3","7036629")</f>
        <v>0</v>
      </c>
      <c r="B8271" t="s">
        <v>1185</v>
      </c>
      <c r="C8271" t="s">
        <v>10965</v>
      </c>
      <c r="D8271" t="s">
        <v>16191</v>
      </c>
      <c r="E8271" t="s">
        <v>16834</v>
      </c>
      <c r="F8271" t="s">
        <v>28198</v>
      </c>
      <c r="G8271" t="s">
        <v>28205</v>
      </c>
      <c r="H8271" t="s">
        <v>28214</v>
      </c>
      <c r="I8271" t="s">
        <v>3797</v>
      </c>
      <c r="J8271" t="s">
        <v>28393</v>
      </c>
      <c r="K8271" t="s">
        <v>36701</v>
      </c>
      <c r="M8271" t="s">
        <v>38227</v>
      </c>
      <c r="N8271" t="s">
        <v>40436</v>
      </c>
      <c r="O8271" t="s">
        <v>40437</v>
      </c>
      <c r="P8271">
        <v>0</v>
      </c>
      <c r="Q8271">
        <v>0</v>
      </c>
      <c r="R8271" t="s">
        <v>40445</v>
      </c>
      <c r="S8271" t="s">
        <v>40730</v>
      </c>
      <c r="T8271" t="s">
        <v>42233</v>
      </c>
      <c r="U8271" t="s">
        <v>49585</v>
      </c>
      <c r="W8271" t="s">
        <v>38227</v>
      </c>
      <c r="X8271" t="s">
        <v>40446</v>
      </c>
    </row>
    <row r="8272" spans="1:24">
      <c r="A8272">
        <f>HYPERLINK("https://www.philgeps.gov.ph/GEPSNONPILOT/Tender/SplashBidNoticeAbstractUI.aspx?menuIndex=3&amp;refID=7036592&amp;Result=3","7036592")</f>
        <v>0</v>
      </c>
      <c r="B8272" t="s">
        <v>2231</v>
      </c>
      <c r="C8272" t="s">
        <v>10966</v>
      </c>
      <c r="D8272" t="s">
        <v>16262</v>
      </c>
      <c r="E8272" t="s">
        <v>23535</v>
      </c>
      <c r="F8272" t="s">
        <v>28198</v>
      </c>
      <c r="G8272" t="s">
        <v>28205</v>
      </c>
      <c r="H8272" t="s">
        <v>28214</v>
      </c>
      <c r="I8272" t="s">
        <v>3797</v>
      </c>
      <c r="J8272" t="s">
        <v>28415</v>
      </c>
      <c r="K8272" t="s">
        <v>36715</v>
      </c>
      <c r="M8272" t="s">
        <v>39399</v>
      </c>
      <c r="N8272" t="s">
        <v>40436</v>
      </c>
      <c r="O8272" t="s">
        <v>40437</v>
      </c>
      <c r="P8272">
        <v>0</v>
      </c>
      <c r="Q8272">
        <v>0</v>
      </c>
      <c r="R8272" t="s">
        <v>40445</v>
      </c>
      <c r="S8272" t="s">
        <v>40730</v>
      </c>
      <c r="T8272" t="s">
        <v>42144</v>
      </c>
      <c r="U8272" t="s">
        <v>48627</v>
      </c>
      <c r="W8272" t="s">
        <v>39399</v>
      </c>
      <c r="X8272" t="s">
        <v>40446</v>
      </c>
    </row>
    <row r="8273" spans="1:24">
      <c r="A8273">
        <f>HYPERLINK("https://www.philgeps.gov.ph/GEPSNONPILOT/Tender/SplashBidNoticeAbstractUI.aspx?menuIndex=3&amp;refID=7036631&amp;Result=3","7036631")</f>
        <v>0</v>
      </c>
      <c r="B8273" t="s">
        <v>2231</v>
      </c>
      <c r="C8273" t="s">
        <v>10967</v>
      </c>
      <c r="D8273" t="s">
        <v>16262</v>
      </c>
      <c r="E8273" t="s">
        <v>23536</v>
      </c>
      <c r="F8273" t="s">
        <v>28198</v>
      </c>
      <c r="G8273" t="s">
        <v>28205</v>
      </c>
      <c r="H8273" t="s">
        <v>28214</v>
      </c>
      <c r="I8273" t="s">
        <v>28235</v>
      </c>
      <c r="J8273" t="s">
        <v>28406</v>
      </c>
      <c r="K8273" t="s">
        <v>36805</v>
      </c>
      <c r="M8273" t="s">
        <v>39399</v>
      </c>
      <c r="N8273" t="s">
        <v>40436</v>
      </c>
      <c r="O8273" t="s">
        <v>40437</v>
      </c>
      <c r="P8273">
        <v>0</v>
      </c>
      <c r="Q8273">
        <v>0</v>
      </c>
      <c r="R8273" t="s">
        <v>40445</v>
      </c>
      <c r="S8273" t="s">
        <v>40730</v>
      </c>
      <c r="T8273" t="s">
        <v>42144</v>
      </c>
      <c r="U8273" t="s">
        <v>48627</v>
      </c>
      <c r="W8273" t="s">
        <v>39399</v>
      </c>
      <c r="X8273" t="s">
        <v>40446</v>
      </c>
    </row>
    <row r="8274" spans="1:24">
      <c r="A8274">
        <f>HYPERLINK("https://www.philgeps.gov.ph/GEPSNONPILOT/Tender/SplashBidNoticeAbstractUI.aspx?menuIndex=3&amp;refID=7036613&amp;Result=3","7036613")</f>
        <v>0</v>
      </c>
      <c r="B8274" t="s">
        <v>2231</v>
      </c>
      <c r="C8274" t="s">
        <v>10968</v>
      </c>
      <c r="D8274" t="s">
        <v>16262</v>
      </c>
      <c r="E8274" t="s">
        <v>23537</v>
      </c>
      <c r="F8274" t="s">
        <v>28198</v>
      </c>
      <c r="G8274" t="s">
        <v>28205</v>
      </c>
      <c r="H8274" t="s">
        <v>28214</v>
      </c>
      <c r="I8274" t="s">
        <v>3797</v>
      </c>
      <c r="J8274" t="s">
        <v>28393</v>
      </c>
      <c r="K8274" t="s">
        <v>36694</v>
      </c>
      <c r="M8274" t="s">
        <v>39399</v>
      </c>
      <c r="N8274" t="s">
        <v>40436</v>
      </c>
      <c r="O8274" t="s">
        <v>40437</v>
      </c>
      <c r="P8274">
        <v>0</v>
      </c>
      <c r="Q8274">
        <v>0</v>
      </c>
      <c r="R8274" t="s">
        <v>40445</v>
      </c>
      <c r="S8274" t="s">
        <v>40730</v>
      </c>
      <c r="T8274" t="s">
        <v>42144</v>
      </c>
      <c r="U8274" t="s">
        <v>48627</v>
      </c>
      <c r="W8274" t="s">
        <v>39399</v>
      </c>
      <c r="X8274" t="s">
        <v>40446</v>
      </c>
    </row>
    <row r="8275" spans="1:24">
      <c r="A8275">
        <f>HYPERLINK("https://www.philgeps.gov.ph/GEPSNONPILOT/Tender/SplashBidNoticeAbstractUI.aspx?menuIndex=3&amp;refID=7036595&amp;Result=3","7036595")</f>
        <v>0</v>
      </c>
      <c r="B8275" t="s">
        <v>70</v>
      </c>
      <c r="C8275" t="s">
        <v>10969</v>
      </c>
      <c r="D8275" t="s">
        <v>16214</v>
      </c>
      <c r="E8275" t="s">
        <v>23538</v>
      </c>
      <c r="F8275" t="s">
        <v>28198</v>
      </c>
      <c r="G8275" t="s">
        <v>28205</v>
      </c>
      <c r="H8275" t="s">
        <v>28215</v>
      </c>
      <c r="I8275" t="s">
        <v>5082</v>
      </c>
      <c r="J8275" t="s">
        <v>33529</v>
      </c>
      <c r="K8275" t="s">
        <v>36715</v>
      </c>
      <c r="M8275" t="s">
        <v>38348</v>
      </c>
      <c r="N8275" t="s">
        <v>40436</v>
      </c>
      <c r="O8275" t="s">
        <v>40437</v>
      </c>
      <c r="P8275">
        <v>0</v>
      </c>
      <c r="Q8275">
        <v>4</v>
      </c>
      <c r="R8275" t="s">
        <v>40445</v>
      </c>
      <c r="S8275" t="s">
        <v>40730</v>
      </c>
      <c r="T8275" t="s">
        <v>42234</v>
      </c>
      <c r="U8275" t="s">
        <v>49586</v>
      </c>
      <c r="W8275" t="s">
        <v>38348</v>
      </c>
      <c r="X8275" t="s">
        <v>40446</v>
      </c>
    </row>
    <row r="8276" spans="1:24">
      <c r="A8276">
        <f>HYPERLINK("https://www.philgeps.gov.ph/GEPSNONPILOT/Tender/SplashBidNoticeAbstractUI.aspx?menuIndex=3&amp;refID=7036628&amp;Result=3","7036628")</f>
        <v>0</v>
      </c>
      <c r="B8276" t="s">
        <v>164</v>
      </c>
      <c r="C8276" t="s">
        <v>10970</v>
      </c>
      <c r="D8276" t="s">
        <v>16213</v>
      </c>
      <c r="E8276" t="s">
        <v>23539</v>
      </c>
      <c r="F8276" t="s">
        <v>28198</v>
      </c>
      <c r="G8276" t="s">
        <v>28205</v>
      </c>
      <c r="H8276" t="s">
        <v>28214</v>
      </c>
      <c r="I8276" t="s">
        <v>3797</v>
      </c>
      <c r="J8276" t="s">
        <v>33530</v>
      </c>
      <c r="K8276" t="s">
        <v>36851</v>
      </c>
      <c r="M8276" t="s">
        <v>37138</v>
      </c>
      <c r="N8276" t="s">
        <v>40436</v>
      </c>
      <c r="O8276" t="s">
        <v>40437</v>
      </c>
      <c r="P8276">
        <v>0</v>
      </c>
      <c r="Q8276">
        <v>0</v>
      </c>
      <c r="R8276" t="s">
        <v>40445</v>
      </c>
      <c r="S8276" t="s">
        <v>40730</v>
      </c>
      <c r="T8276" t="s">
        <v>42183</v>
      </c>
      <c r="U8276" t="s">
        <v>42891</v>
      </c>
      <c r="W8276" t="s">
        <v>37138</v>
      </c>
      <c r="X8276" t="s">
        <v>40446</v>
      </c>
    </row>
    <row r="8277" spans="1:24">
      <c r="A8277">
        <f>HYPERLINK("https://www.philgeps.gov.ph/GEPSNONPILOT/Tender/SplashBidNoticeAbstractUI.aspx?menuIndex=3&amp;refID=7036645&amp;Result=3","7036645")</f>
        <v>0</v>
      </c>
      <c r="B8277" t="s">
        <v>164</v>
      </c>
      <c r="C8277" t="s">
        <v>10971</v>
      </c>
      <c r="D8277" t="s">
        <v>16213</v>
      </c>
      <c r="E8277" t="s">
        <v>23540</v>
      </c>
      <c r="F8277" t="s">
        <v>28198</v>
      </c>
      <c r="G8277" t="s">
        <v>28205</v>
      </c>
      <c r="H8277" t="s">
        <v>28214</v>
      </c>
      <c r="I8277" t="s">
        <v>3797</v>
      </c>
      <c r="J8277" t="s">
        <v>33531</v>
      </c>
      <c r="K8277" t="s">
        <v>36811</v>
      </c>
      <c r="M8277" t="s">
        <v>37138</v>
      </c>
      <c r="N8277" t="s">
        <v>40436</v>
      </c>
      <c r="O8277" t="s">
        <v>40437</v>
      </c>
      <c r="P8277">
        <v>0</v>
      </c>
      <c r="Q8277">
        <v>1</v>
      </c>
      <c r="R8277" t="s">
        <v>40445</v>
      </c>
      <c r="S8277" t="s">
        <v>40730</v>
      </c>
      <c r="T8277" t="s">
        <v>42183</v>
      </c>
      <c r="U8277" t="s">
        <v>42891</v>
      </c>
      <c r="W8277" t="s">
        <v>37138</v>
      </c>
      <c r="X8277" t="s">
        <v>40446</v>
      </c>
    </row>
    <row r="8278" spans="1:24">
      <c r="A8278">
        <f>HYPERLINK("https://www.philgeps.gov.ph/GEPSNONPILOT/Tender/SplashBidNoticeAbstractUI.aspx?menuIndex=3&amp;refID=7036608&amp;Result=3","7036608")</f>
        <v>0</v>
      </c>
      <c r="B8278" t="s">
        <v>2456</v>
      </c>
      <c r="C8278" t="s">
        <v>10972</v>
      </c>
      <c r="D8278" t="s">
        <v>16241</v>
      </c>
      <c r="E8278" t="s">
        <v>18192</v>
      </c>
      <c r="F8278" t="s">
        <v>28198</v>
      </c>
      <c r="G8278" t="s">
        <v>28205</v>
      </c>
      <c r="H8278" t="s">
        <v>28214</v>
      </c>
      <c r="I8278" t="s">
        <v>3797</v>
      </c>
      <c r="J8278" t="s">
        <v>28406</v>
      </c>
      <c r="K8278" t="s">
        <v>36687</v>
      </c>
      <c r="M8278" t="s">
        <v>39647</v>
      </c>
      <c r="N8278" t="s">
        <v>40436</v>
      </c>
      <c r="O8278" t="s">
        <v>40437</v>
      </c>
      <c r="P8278">
        <v>0</v>
      </c>
      <c r="Q8278">
        <v>1</v>
      </c>
      <c r="R8278" t="s">
        <v>40445</v>
      </c>
      <c r="S8278" t="s">
        <v>40730</v>
      </c>
      <c r="T8278" t="s">
        <v>42329</v>
      </c>
      <c r="U8278" t="s">
        <v>49565</v>
      </c>
      <c r="W8278" t="s">
        <v>39647</v>
      </c>
      <c r="X8278" t="s">
        <v>40446</v>
      </c>
    </row>
    <row r="8279" spans="1:24">
      <c r="A8279">
        <f>HYPERLINK("https://www.philgeps.gov.ph/GEPSNONPILOT/Tender/SplashBidNoticeAbstractUI.aspx?menuIndex=3&amp;refID=7036602&amp;Result=3","7036602")</f>
        <v>0</v>
      </c>
      <c r="B8279" t="s">
        <v>773</v>
      </c>
      <c r="C8279" t="s">
        <v>10973</v>
      </c>
      <c r="D8279" t="s">
        <v>16219</v>
      </c>
      <c r="E8279" t="s">
        <v>23541</v>
      </c>
      <c r="F8279" t="s">
        <v>28198</v>
      </c>
      <c r="G8279" t="s">
        <v>28205</v>
      </c>
      <c r="H8279" t="s">
        <v>28215</v>
      </c>
      <c r="I8279" t="s">
        <v>5100</v>
      </c>
      <c r="J8279" t="s">
        <v>33532</v>
      </c>
      <c r="K8279" t="s">
        <v>36706</v>
      </c>
      <c r="M8279" t="s">
        <v>38111</v>
      </c>
      <c r="N8279" t="s">
        <v>40436</v>
      </c>
      <c r="O8279" t="s">
        <v>40437</v>
      </c>
      <c r="P8279">
        <v>0</v>
      </c>
      <c r="Q8279">
        <v>0</v>
      </c>
      <c r="R8279" t="s">
        <v>40445</v>
      </c>
      <c r="S8279" t="s">
        <v>40730</v>
      </c>
      <c r="T8279" t="s">
        <v>42233</v>
      </c>
      <c r="U8279" t="s">
        <v>49587</v>
      </c>
      <c r="W8279" t="s">
        <v>38111</v>
      </c>
      <c r="X8279" t="s">
        <v>40446</v>
      </c>
    </row>
    <row r="8280" spans="1:24">
      <c r="A8280">
        <f>HYPERLINK("https://www.philgeps.gov.ph/GEPSNONPILOT/Tender/SplashBidNoticeAbstractUI.aspx?menuIndex=3&amp;refID=7036627&amp;Result=3","7036627")</f>
        <v>0</v>
      </c>
      <c r="B8280" t="s">
        <v>2438</v>
      </c>
      <c r="C8280" t="s">
        <v>10974</v>
      </c>
      <c r="E8280" t="s">
        <v>23542</v>
      </c>
      <c r="F8280" t="s">
        <v>28198</v>
      </c>
      <c r="G8280" t="s">
        <v>28205</v>
      </c>
      <c r="H8280" t="s">
        <v>28215</v>
      </c>
      <c r="I8280" t="s">
        <v>5100</v>
      </c>
      <c r="J8280" t="s">
        <v>33533</v>
      </c>
      <c r="K8280" t="s">
        <v>36689</v>
      </c>
      <c r="M8280" t="s">
        <v>39628</v>
      </c>
      <c r="N8280" t="s">
        <v>40436</v>
      </c>
      <c r="O8280" t="s">
        <v>40437</v>
      </c>
      <c r="P8280">
        <v>0</v>
      </c>
      <c r="Q8280">
        <v>1</v>
      </c>
      <c r="R8280" t="s">
        <v>40445</v>
      </c>
      <c r="S8280" t="s">
        <v>40730</v>
      </c>
      <c r="T8280" t="s">
        <v>42459</v>
      </c>
      <c r="U8280" t="s">
        <v>49588</v>
      </c>
      <c r="W8280" t="s">
        <v>39628</v>
      </c>
      <c r="X8280" t="s">
        <v>40446</v>
      </c>
    </row>
    <row r="8281" spans="1:24">
      <c r="A8281">
        <f>HYPERLINK("https://www.philgeps.gov.ph/GEPSNONPILOT/Tender/SplashBidNoticeAbstractUI.aspx?menuIndex=3&amp;refID=7036644&amp;Result=3","7036644")</f>
        <v>0</v>
      </c>
      <c r="B8281" t="s">
        <v>870</v>
      </c>
      <c r="C8281" t="s">
        <v>10975</v>
      </c>
      <c r="D8281" t="s">
        <v>16221</v>
      </c>
      <c r="E8281" t="s">
        <v>23543</v>
      </c>
      <c r="F8281" t="s">
        <v>28198</v>
      </c>
      <c r="G8281" t="s">
        <v>28205</v>
      </c>
      <c r="H8281" t="s">
        <v>28214</v>
      </c>
      <c r="I8281" t="s">
        <v>3797</v>
      </c>
      <c r="J8281" t="s">
        <v>32291</v>
      </c>
      <c r="K8281" t="s">
        <v>36694</v>
      </c>
      <c r="M8281" t="s">
        <v>37882</v>
      </c>
      <c r="N8281" t="s">
        <v>40436</v>
      </c>
      <c r="O8281" t="s">
        <v>40437</v>
      </c>
      <c r="P8281">
        <v>0</v>
      </c>
      <c r="Q8281">
        <v>1</v>
      </c>
      <c r="R8281" t="s">
        <v>40445</v>
      </c>
      <c r="S8281" t="s">
        <v>40730</v>
      </c>
      <c r="T8281" t="s">
        <v>42279</v>
      </c>
      <c r="U8281" t="s">
        <v>49589</v>
      </c>
      <c r="W8281" t="s">
        <v>37882</v>
      </c>
      <c r="X8281" t="s">
        <v>40446</v>
      </c>
    </row>
    <row r="8282" spans="1:24">
      <c r="A8282">
        <f>HYPERLINK("https://www.philgeps.gov.ph/GEPSNONPILOT/Tender/SplashBidNoticeAbstractUI.aspx?menuIndex=3&amp;refID=7036604&amp;Result=3","7036604")</f>
        <v>0</v>
      </c>
      <c r="B8282" t="s">
        <v>2413</v>
      </c>
      <c r="C8282" t="s">
        <v>10976</v>
      </c>
      <c r="D8282" t="s">
        <v>16191</v>
      </c>
      <c r="E8282" t="s">
        <v>23544</v>
      </c>
      <c r="F8282" t="s">
        <v>28198</v>
      </c>
      <c r="G8282" t="s">
        <v>28205</v>
      </c>
      <c r="H8282" t="s">
        <v>28217</v>
      </c>
      <c r="I8282" t="s">
        <v>28232</v>
      </c>
      <c r="J8282" t="s">
        <v>33534</v>
      </c>
      <c r="K8282" t="s">
        <v>36697</v>
      </c>
      <c r="M8282" t="s">
        <v>39653</v>
      </c>
      <c r="N8282" t="s">
        <v>40436</v>
      </c>
      <c r="O8282" t="s">
        <v>40437</v>
      </c>
      <c r="P8282">
        <v>0</v>
      </c>
      <c r="Q8282">
        <v>4</v>
      </c>
      <c r="R8282" t="s">
        <v>40445</v>
      </c>
      <c r="S8282" t="s">
        <v>40730</v>
      </c>
      <c r="T8282" t="s">
        <v>42125</v>
      </c>
      <c r="U8282" t="s">
        <v>49378</v>
      </c>
      <c r="V8282" t="s">
        <v>54649</v>
      </c>
      <c r="W8282" t="s">
        <v>39653</v>
      </c>
      <c r="X8282" t="s">
        <v>40446</v>
      </c>
    </row>
    <row r="8283" spans="1:24">
      <c r="A8283">
        <f>HYPERLINK("https://www.philgeps.gov.ph/GEPSNONPILOT/Tender/SplashBidNoticeAbstractUI.aspx?menuIndex=3&amp;refID=7036606&amp;Result=3","7036606")</f>
        <v>0</v>
      </c>
      <c r="B8283" t="s">
        <v>1185</v>
      </c>
      <c r="C8283" t="s">
        <v>10977</v>
      </c>
      <c r="D8283" t="s">
        <v>16191</v>
      </c>
      <c r="E8283" t="s">
        <v>18457</v>
      </c>
      <c r="F8283" t="s">
        <v>28198</v>
      </c>
      <c r="G8283" t="s">
        <v>28205</v>
      </c>
      <c r="H8283" t="s">
        <v>28215</v>
      </c>
      <c r="I8283" t="s">
        <v>3797</v>
      </c>
      <c r="J8283" t="s">
        <v>28378</v>
      </c>
      <c r="K8283" t="s">
        <v>36701</v>
      </c>
      <c r="M8283" t="s">
        <v>38227</v>
      </c>
      <c r="N8283" t="s">
        <v>40436</v>
      </c>
      <c r="O8283" t="s">
        <v>40437</v>
      </c>
      <c r="P8283">
        <v>0</v>
      </c>
      <c r="Q8283">
        <v>0</v>
      </c>
      <c r="R8283" t="s">
        <v>40445</v>
      </c>
      <c r="S8283" t="s">
        <v>40730</v>
      </c>
      <c r="T8283" t="s">
        <v>42233</v>
      </c>
      <c r="U8283" t="s">
        <v>49590</v>
      </c>
      <c r="W8283" t="s">
        <v>38227</v>
      </c>
      <c r="X8283" t="s">
        <v>40446</v>
      </c>
    </row>
    <row r="8284" spans="1:24">
      <c r="A8284">
        <f>HYPERLINK("https://www.philgeps.gov.ph/GEPSNONPILOT/Tender/SplashBidNoticeAbstractUI.aspx?menuIndex=3&amp;refID=7036651&amp;Result=3","7036651")</f>
        <v>0</v>
      </c>
      <c r="B8284" t="s">
        <v>2231</v>
      </c>
      <c r="C8284" t="s">
        <v>10978</v>
      </c>
      <c r="D8284" t="s">
        <v>16262</v>
      </c>
      <c r="E8284" t="s">
        <v>23545</v>
      </c>
      <c r="F8284" t="s">
        <v>28198</v>
      </c>
      <c r="G8284" t="s">
        <v>28205</v>
      </c>
      <c r="H8284" t="s">
        <v>28214</v>
      </c>
      <c r="I8284" t="s">
        <v>3797</v>
      </c>
      <c r="J8284" t="s">
        <v>28393</v>
      </c>
      <c r="K8284" t="s">
        <v>36709</v>
      </c>
      <c r="M8284" t="s">
        <v>39399</v>
      </c>
      <c r="N8284" t="s">
        <v>40436</v>
      </c>
      <c r="O8284" t="s">
        <v>40437</v>
      </c>
      <c r="P8284">
        <v>0</v>
      </c>
      <c r="Q8284">
        <v>0</v>
      </c>
      <c r="R8284" t="s">
        <v>40445</v>
      </c>
      <c r="S8284" t="s">
        <v>40730</v>
      </c>
      <c r="T8284" t="s">
        <v>42144</v>
      </c>
      <c r="U8284" t="s">
        <v>48627</v>
      </c>
      <c r="W8284" t="s">
        <v>39399</v>
      </c>
      <c r="X8284" t="s">
        <v>40446</v>
      </c>
    </row>
    <row r="8285" spans="1:24">
      <c r="A8285">
        <f>HYPERLINK("https://www.philgeps.gov.ph/GEPSNONPILOT/Tender/SplashBidNoticeAbstractUI.aspx?menuIndex=3&amp;refID=7036649&amp;Result=3","7036649")</f>
        <v>0</v>
      </c>
      <c r="B8285" t="s">
        <v>1482</v>
      </c>
      <c r="C8285" t="s">
        <v>4180</v>
      </c>
      <c r="D8285" t="s">
        <v>16195</v>
      </c>
      <c r="E8285" t="s">
        <v>23546</v>
      </c>
      <c r="F8285" t="s">
        <v>28198</v>
      </c>
      <c r="G8285" t="s">
        <v>28206</v>
      </c>
      <c r="H8285" t="s">
        <v>28215</v>
      </c>
      <c r="I8285" t="s">
        <v>28227</v>
      </c>
      <c r="J8285" t="s">
        <v>33535</v>
      </c>
      <c r="K8285" t="s">
        <v>36688</v>
      </c>
      <c r="M8285" t="s">
        <v>38554</v>
      </c>
      <c r="N8285" t="s">
        <v>40436</v>
      </c>
      <c r="O8285" t="s">
        <v>40437</v>
      </c>
      <c r="P8285">
        <v>0</v>
      </c>
      <c r="Q8285">
        <v>0</v>
      </c>
      <c r="R8285" t="s">
        <v>40445</v>
      </c>
      <c r="S8285" t="s">
        <v>40730</v>
      </c>
      <c r="T8285" t="s">
        <v>42169</v>
      </c>
      <c r="U8285" t="s">
        <v>49591</v>
      </c>
      <c r="W8285" t="s">
        <v>38554</v>
      </c>
      <c r="X8285" t="s">
        <v>40446</v>
      </c>
    </row>
    <row r="8286" spans="1:24">
      <c r="A8286">
        <f>HYPERLINK("https://www.philgeps.gov.ph/GEPSNONPILOT/Tender/SplashBidNoticeAbstractUI.aspx?menuIndex=3&amp;refID=7036607&amp;Result=3","7036607")</f>
        <v>0</v>
      </c>
      <c r="B8286" t="s">
        <v>916</v>
      </c>
      <c r="C8286" t="s">
        <v>10979</v>
      </c>
      <c r="D8286" t="s">
        <v>16210</v>
      </c>
      <c r="E8286" t="s">
        <v>23547</v>
      </c>
      <c r="F8286" t="s">
        <v>28198</v>
      </c>
      <c r="G8286" t="s">
        <v>28205</v>
      </c>
      <c r="H8286" t="s">
        <v>28215</v>
      </c>
      <c r="I8286" t="s">
        <v>28238</v>
      </c>
      <c r="J8286" t="s">
        <v>33536</v>
      </c>
      <c r="K8286" t="s">
        <v>36701</v>
      </c>
      <c r="M8286" t="s">
        <v>39654</v>
      </c>
      <c r="N8286" t="s">
        <v>40436</v>
      </c>
      <c r="O8286" t="s">
        <v>40437</v>
      </c>
      <c r="P8286">
        <v>0</v>
      </c>
      <c r="Q8286">
        <v>22</v>
      </c>
      <c r="R8286" t="s">
        <v>40445</v>
      </c>
      <c r="S8286" t="s">
        <v>40730</v>
      </c>
      <c r="T8286" t="s">
        <v>42261</v>
      </c>
      <c r="U8286" t="s">
        <v>49592</v>
      </c>
      <c r="W8286" t="s">
        <v>39654</v>
      </c>
      <c r="X8286" t="s">
        <v>40446</v>
      </c>
    </row>
    <row r="8287" spans="1:24">
      <c r="A8287">
        <f>HYPERLINK("https://www.philgeps.gov.ph/GEPSNONPILOT/Tender/SplashBidNoticeAbstractUI.aspx?menuIndex=3&amp;refID=7036707&amp;Result=3","7036707")</f>
        <v>0</v>
      </c>
      <c r="B8287" t="s">
        <v>1185</v>
      </c>
      <c r="C8287" t="s">
        <v>10980</v>
      </c>
      <c r="D8287" t="s">
        <v>16191</v>
      </c>
      <c r="E8287" t="s">
        <v>17244</v>
      </c>
      <c r="F8287" t="s">
        <v>28198</v>
      </c>
      <c r="G8287" t="s">
        <v>28205</v>
      </c>
      <c r="H8287" t="s">
        <v>28214</v>
      </c>
      <c r="I8287" t="s">
        <v>3797</v>
      </c>
      <c r="J8287" t="s">
        <v>33537</v>
      </c>
      <c r="K8287" t="s">
        <v>36707</v>
      </c>
      <c r="M8287" t="s">
        <v>38227</v>
      </c>
      <c r="N8287" t="s">
        <v>40436</v>
      </c>
      <c r="O8287" t="s">
        <v>40437</v>
      </c>
      <c r="P8287">
        <v>0</v>
      </c>
      <c r="Q8287">
        <v>0</v>
      </c>
      <c r="R8287" t="s">
        <v>40445</v>
      </c>
      <c r="S8287" t="s">
        <v>40730</v>
      </c>
      <c r="T8287" t="s">
        <v>42233</v>
      </c>
      <c r="U8287" t="s">
        <v>49593</v>
      </c>
      <c r="W8287" t="s">
        <v>38227</v>
      </c>
      <c r="X8287" t="s">
        <v>40446</v>
      </c>
    </row>
    <row r="8288" spans="1:24">
      <c r="A8288">
        <f>HYPERLINK("https://www.philgeps.gov.ph/GEPSNONPILOT/Tender/SplashBidNoticeAbstractUI.aspx?menuIndex=3&amp;refID=7036672&amp;Result=3","7036672")</f>
        <v>0</v>
      </c>
      <c r="B8288" t="s">
        <v>2460</v>
      </c>
      <c r="C8288" t="s">
        <v>10981</v>
      </c>
      <c r="D8288" t="s">
        <v>16195</v>
      </c>
      <c r="E8288" t="s">
        <v>23548</v>
      </c>
      <c r="F8288" t="s">
        <v>28198</v>
      </c>
      <c r="G8288" t="s">
        <v>28205</v>
      </c>
      <c r="H8288" t="s">
        <v>28215</v>
      </c>
      <c r="I8288" t="s">
        <v>28222</v>
      </c>
      <c r="J8288" t="s">
        <v>30469</v>
      </c>
      <c r="K8288" t="s">
        <v>36701</v>
      </c>
      <c r="M8288" t="s">
        <v>39655</v>
      </c>
      <c r="N8288" t="s">
        <v>40436</v>
      </c>
      <c r="O8288" t="s">
        <v>40437</v>
      </c>
      <c r="P8288">
        <v>0</v>
      </c>
      <c r="Q8288">
        <v>3</v>
      </c>
      <c r="R8288" t="s">
        <v>40445</v>
      </c>
      <c r="S8288" t="s">
        <v>40730</v>
      </c>
      <c r="T8288" t="s">
        <v>42278</v>
      </c>
      <c r="U8288" t="s">
        <v>49594</v>
      </c>
      <c r="W8288" t="s">
        <v>39655</v>
      </c>
      <c r="X8288" t="s">
        <v>40446</v>
      </c>
    </row>
    <row r="8289" spans="1:24">
      <c r="A8289">
        <f>HYPERLINK("https://www.philgeps.gov.ph/GEPSNONPILOT/Tender/SplashBidNoticeAbstractUI.aspx?menuIndex=3&amp;refID=7036695&amp;Result=3","7036695")</f>
        <v>0</v>
      </c>
      <c r="B8289" t="s">
        <v>164</v>
      </c>
      <c r="C8289" t="s">
        <v>10982</v>
      </c>
      <c r="D8289" t="s">
        <v>16213</v>
      </c>
      <c r="E8289" t="s">
        <v>23549</v>
      </c>
      <c r="F8289" t="s">
        <v>28198</v>
      </c>
      <c r="G8289" t="s">
        <v>28205</v>
      </c>
      <c r="H8289" t="s">
        <v>28214</v>
      </c>
      <c r="I8289" t="s">
        <v>3797</v>
      </c>
      <c r="J8289" t="s">
        <v>28345</v>
      </c>
      <c r="K8289" t="s">
        <v>36701</v>
      </c>
      <c r="M8289" t="s">
        <v>37138</v>
      </c>
      <c r="N8289" t="s">
        <v>40436</v>
      </c>
      <c r="O8289" t="s">
        <v>40437</v>
      </c>
      <c r="P8289">
        <v>0</v>
      </c>
      <c r="Q8289">
        <v>0</v>
      </c>
      <c r="R8289" t="s">
        <v>40445</v>
      </c>
      <c r="S8289" t="s">
        <v>40730</v>
      </c>
      <c r="T8289" t="s">
        <v>42346</v>
      </c>
      <c r="U8289" t="s">
        <v>49595</v>
      </c>
      <c r="W8289" t="s">
        <v>37138</v>
      </c>
      <c r="X8289" t="s">
        <v>40446</v>
      </c>
    </row>
    <row r="8290" spans="1:24">
      <c r="A8290">
        <f>HYPERLINK("https://www.philgeps.gov.ph/GEPSNONPILOT/Tender/SplashBidNoticeAbstractUI.aspx?menuIndex=3&amp;refID=7036689&amp;Result=3","7036689")</f>
        <v>0</v>
      </c>
      <c r="B8290" t="s">
        <v>1008</v>
      </c>
      <c r="C8290" t="s">
        <v>10983</v>
      </c>
      <c r="D8290" t="s">
        <v>16235</v>
      </c>
      <c r="E8290" t="s">
        <v>17254</v>
      </c>
      <c r="F8290" t="s">
        <v>28198</v>
      </c>
      <c r="G8290" t="s">
        <v>28205</v>
      </c>
      <c r="H8290" t="s">
        <v>28214</v>
      </c>
      <c r="I8290" t="s">
        <v>3797</v>
      </c>
      <c r="J8290" t="s">
        <v>28347</v>
      </c>
      <c r="K8290" t="s">
        <v>36694</v>
      </c>
      <c r="M8290" t="s">
        <v>38036</v>
      </c>
      <c r="N8290" t="s">
        <v>40436</v>
      </c>
      <c r="O8290" t="s">
        <v>40437</v>
      </c>
      <c r="P8290">
        <v>0</v>
      </c>
      <c r="Q8290">
        <v>2</v>
      </c>
      <c r="R8290" t="s">
        <v>40445</v>
      </c>
      <c r="S8290" t="s">
        <v>40730</v>
      </c>
      <c r="T8290" t="s">
        <v>42513</v>
      </c>
      <c r="U8290" t="s">
        <v>49596</v>
      </c>
      <c r="W8290" t="s">
        <v>38036</v>
      </c>
      <c r="X8290" t="s">
        <v>40446</v>
      </c>
    </row>
    <row r="8291" spans="1:24">
      <c r="A8291">
        <f>HYPERLINK("https://www.philgeps.gov.ph/GEPSNONPILOT/Tender/SplashBidNoticeAbstractUI.aspx?menuIndex=3&amp;refID=7036677&amp;Result=3","7036677")</f>
        <v>0</v>
      </c>
      <c r="B8291" t="s">
        <v>2231</v>
      </c>
      <c r="C8291" t="s">
        <v>10984</v>
      </c>
      <c r="D8291" t="s">
        <v>16262</v>
      </c>
      <c r="E8291" t="s">
        <v>23550</v>
      </c>
      <c r="F8291" t="s">
        <v>28198</v>
      </c>
      <c r="G8291" t="s">
        <v>28205</v>
      </c>
      <c r="H8291" t="s">
        <v>28214</v>
      </c>
      <c r="I8291" t="s">
        <v>28235</v>
      </c>
      <c r="J8291" t="s">
        <v>28415</v>
      </c>
      <c r="K8291" t="s">
        <v>36715</v>
      </c>
      <c r="M8291" t="s">
        <v>39399</v>
      </c>
      <c r="N8291" t="s">
        <v>40436</v>
      </c>
      <c r="O8291" t="s">
        <v>40437</v>
      </c>
      <c r="P8291">
        <v>0</v>
      </c>
      <c r="Q8291">
        <v>0</v>
      </c>
      <c r="R8291" t="s">
        <v>40445</v>
      </c>
      <c r="S8291" t="s">
        <v>40730</v>
      </c>
      <c r="T8291" t="s">
        <v>42144</v>
      </c>
      <c r="U8291" t="s">
        <v>48627</v>
      </c>
      <c r="W8291" t="s">
        <v>39399</v>
      </c>
      <c r="X8291" t="s">
        <v>40446</v>
      </c>
    </row>
    <row r="8292" spans="1:24">
      <c r="A8292">
        <f>HYPERLINK("https://www.philgeps.gov.ph/GEPSNONPILOT/Tender/SplashBidNoticeAbstractUI.aspx?menuIndex=3&amp;refID=7036671&amp;Result=3","7036671")</f>
        <v>0</v>
      </c>
      <c r="B8292" t="s">
        <v>2461</v>
      </c>
      <c r="C8292" t="s">
        <v>10985</v>
      </c>
      <c r="E8292" t="s">
        <v>23551</v>
      </c>
      <c r="F8292" t="s">
        <v>28198</v>
      </c>
      <c r="G8292" t="s">
        <v>28205</v>
      </c>
      <c r="H8292" t="s">
        <v>28215</v>
      </c>
      <c r="I8292" t="s">
        <v>28222</v>
      </c>
      <c r="J8292" t="s">
        <v>33538</v>
      </c>
      <c r="K8292" t="s">
        <v>36689</v>
      </c>
      <c r="M8292" t="s">
        <v>39656</v>
      </c>
      <c r="N8292" t="s">
        <v>40436</v>
      </c>
      <c r="O8292" t="s">
        <v>40437</v>
      </c>
      <c r="P8292">
        <v>0</v>
      </c>
      <c r="Q8292">
        <v>1</v>
      </c>
      <c r="R8292" t="s">
        <v>40445</v>
      </c>
      <c r="S8292" t="s">
        <v>40730</v>
      </c>
      <c r="T8292" t="s">
        <v>42514</v>
      </c>
      <c r="U8292" t="s">
        <v>49597</v>
      </c>
      <c r="W8292" t="s">
        <v>39656</v>
      </c>
      <c r="X8292" t="s">
        <v>40446</v>
      </c>
    </row>
    <row r="8293" spans="1:24">
      <c r="A8293">
        <f>HYPERLINK("https://www.philgeps.gov.ph/GEPSNONPILOT/Tender/SplashBidNoticeAbstractUI.aspx?menuIndex=3&amp;refID=7036698&amp;Result=3","7036698")</f>
        <v>0</v>
      </c>
      <c r="B8293" t="s">
        <v>2412</v>
      </c>
      <c r="C8293" t="s">
        <v>10986</v>
      </c>
      <c r="D8293" t="s">
        <v>16262</v>
      </c>
      <c r="E8293" t="s">
        <v>18192</v>
      </c>
      <c r="F8293" t="s">
        <v>28198</v>
      </c>
      <c r="G8293" t="s">
        <v>28205</v>
      </c>
      <c r="H8293" t="s">
        <v>28214</v>
      </c>
      <c r="I8293" t="s">
        <v>3797</v>
      </c>
      <c r="J8293" t="s">
        <v>33539</v>
      </c>
      <c r="K8293" t="s">
        <v>36711</v>
      </c>
      <c r="M8293" t="s">
        <v>39600</v>
      </c>
      <c r="N8293" t="s">
        <v>40436</v>
      </c>
      <c r="O8293" t="s">
        <v>40437</v>
      </c>
      <c r="P8293">
        <v>0</v>
      </c>
      <c r="Q8293">
        <v>0</v>
      </c>
      <c r="R8293" t="s">
        <v>40445</v>
      </c>
      <c r="S8293" t="s">
        <v>40730</v>
      </c>
      <c r="T8293" t="s">
        <v>42174</v>
      </c>
      <c r="U8293" t="s">
        <v>49598</v>
      </c>
      <c r="W8293" t="s">
        <v>39600</v>
      </c>
      <c r="X8293" t="s">
        <v>40446</v>
      </c>
    </row>
    <row r="8294" spans="1:24">
      <c r="A8294">
        <f>HYPERLINK("https://www.philgeps.gov.ph/GEPSNONPILOT/Tender/SplashBidNoticeAbstractUI.aspx?menuIndex=3&amp;refID=7036670&amp;Result=3","7036670")</f>
        <v>0</v>
      </c>
      <c r="B8294" t="s">
        <v>2256</v>
      </c>
      <c r="C8294" t="s">
        <v>10005</v>
      </c>
      <c r="D8294" t="s">
        <v>16209</v>
      </c>
      <c r="E8294" t="s">
        <v>17760</v>
      </c>
      <c r="F8294" t="s">
        <v>28198</v>
      </c>
      <c r="G8294" t="s">
        <v>28205</v>
      </c>
      <c r="H8294" t="s">
        <v>28215</v>
      </c>
      <c r="I8294" t="s">
        <v>5082</v>
      </c>
      <c r="J8294" t="s">
        <v>33540</v>
      </c>
      <c r="K8294" t="s">
        <v>36707</v>
      </c>
      <c r="M8294" t="s">
        <v>39426</v>
      </c>
      <c r="N8294" t="s">
        <v>40436</v>
      </c>
      <c r="O8294" t="s">
        <v>40437</v>
      </c>
      <c r="P8294">
        <v>0</v>
      </c>
      <c r="Q8294">
        <v>0</v>
      </c>
      <c r="R8294" t="s">
        <v>40445</v>
      </c>
      <c r="S8294" t="s">
        <v>40730</v>
      </c>
      <c r="T8294" t="s">
        <v>42184</v>
      </c>
      <c r="U8294" t="s">
        <v>42638</v>
      </c>
      <c r="W8294" t="s">
        <v>39426</v>
      </c>
      <c r="X8294" t="s">
        <v>40446</v>
      </c>
    </row>
    <row r="8295" spans="1:24">
      <c r="A8295">
        <f>HYPERLINK("https://www.philgeps.gov.ph/GEPSNONPILOT/Tender/SplashBidNoticeAbstractUI.aspx?menuIndex=3&amp;refID=7036680&amp;Result=3","7036680")</f>
        <v>0</v>
      </c>
      <c r="B8295" t="s">
        <v>1185</v>
      </c>
      <c r="C8295" t="s">
        <v>10987</v>
      </c>
      <c r="D8295" t="s">
        <v>16191</v>
      </c>
      <c r="E8295" t="s">
        <v>16860</v>
      </c>
      <c r="F8295" t="s">
        <v>28198</v>
      </c>
      <c r="G8295" t="s">
        <v>28205</v>
      </c>
      <c r="H8295" t="s">
        <v>28214</v>
      </c>
      <c r="I8295" t="s">
        <v>3797</v>
      </c>
      <c r="J8295" t="s">
        <v>30496</v>
      </c>
      <c r="K8295" t="s">
        <v>36694</v>
      </c>
      <c r="M8295" t="s">
        <v>38227</v>
      </c>
      <c r="N8295" t="s">
        <v>40436</v>
      </c>
      <c r="O8295" t="s">
        <v>40437</v>
      </c>
      <c r="P8295">
        <v>0</v>
      </c>
      <c r="Q8295">
        <v>0</v>
      </c>
      <c r="R8295" t="s">
        <v>40445</v>
      </c>
      <c r="S8295" t="s">
        <v>40730</v>
      </c>
      <c r="T8295" t="s">
        <v>42233</v>
      </c>
      <c r="U8295" t="s">
        <v>49599</v>
      </c>
      <c r="W8295" t="s">
        <v>38227</v>
      </c>
      <c r="X8295" t="s">
        <v>40446</v>
      </c>
    </row>
    <row r="8296" spans="1:24">
      <c r="A8296">
        <f>HYPERLINK("https://www.philgeps.gov.ph/GEPSNONPILOT/Tender/SplashBidNoticeAbstractUI.aspx?menuIndex=3&amp;refID=7036691&amp;Result=3","7036691")</f>
        <v>0</v>
      </c>
      <c r="B8296" t="s">
        <v>2256</v>
      </c>
      <c r="C8296" t="s">
        <v>10988</v>
      </c>
      <c r="D8296" t="s">
        <v>16209</v>
      </c>
      <c r="E8296" t="s">
        <v>17880</v>
      </c>
      <c r="F8296" t="s">
        <v>28198</v>
      </c>
      <c r="G8296" t="s">
        <v>28205</v>
      </c>
      <c r="H8296" t="s">
        <v>28215</v>
      </c>
      <c r="I8296" t="s">
        <v>28265</v>
      </c>
      <c r="J8296" t="s">
        <v>33541</v>
      </c>
      <c r="K8296" t="s">
        <v>36707</v>
      </c>
      <c r="M8296" t="s">
        <v>39426</v>
      </c>
      <c r="N8296" t="s">
        <v>40436</v>
      </c>
      <c r="O8296" t="s">
        <v>40437</v>
      </c>
      <c r="P8296">
        <v>0</v>
      </c>
      <c r="Q8296">
        <v>0</v>
      </c>
      <c r="R8296" t="s">
        <v>40445</v>
      </c>
      <c r="S8296" t="s">
        <v>40730</v>
      </c>
      <c r="T8296" t="s">
        <v>42184</v>
      </c>
      <c r="U8296" t="s">
        <v>49600</v>
      </c>
      <c r="W8296" t="s">
        <v>39426</v>
      </c>
      <c r="X8296" t="s">
        <v>40446</v>
      </c>
    </row>
    <row r="8297" spans="1:24">
      <c r="A8297">
        <f>HYPERLINK("https://www.philgeps.gov.ph/GEPSNONPILOT/Tender/SplashBidNoticeAbstractUI.aspx?menuIndex=3&amp;refID=7036667&amp;Result=3","7036667")</f>
        <v>0</v>
      </c>
      <c r="B8297" t="s">
        <v>164</v>
      </c>
      <c r="C8297" t="s">
        <v>10989</v>
      </c>
      <c r="D8297" t="s">
        <v>16213</v>
      </c>
      <c r="E8297" t="s">
        <v>23552</v>
      </c>
      <c r="F8297" t="s">
        <v>28198</v>
      </c>
      <c r="G8297" t="s">
        <v>28205</v>
      </c>
      <c r="H8297" t="s">
        <v>28214</v>
      </c>
      <c r="I8297" t="s">
        <v>3797</v>
      </c>
      <c r="J8297" t="s">
        <v>33542</v>
      </c>
      <c r="K8297" t="s">
        <v>36701</v>
      </c>
      <c r="M8297" t="s">
        <v>37138</v>
      </c>
      <c r="N8297" t="s">
        <v>40436</v>
      </c>
      <c r="O8297" t="s">
        <v>40437</v>
      </c>
      <c r="P8297">
        <v>0</v>
      </c>
      <c r="Q8297">
        <v>0</v>
      </c>
      <c r="R8297" t="s">
        <v>40445</v>
      </c>
      <c r="S8297" t="s">
        <v>40730</v>
      </c>
      <c r="T8297" t="s">
        <v>42346</v>
      </c>
      <c r="U8297" t="s">
        <v>49595</v>
      </c>
      <c r="W8297" t="s">
        <v>37138</v>
      </c>
      <c r="X8297" t="s">
        <v>40446</v>
      </c>
    </row>
    <row r="8298" spans="1:24">
      <c r="A8298">
        <f>HYPERLINK("https://www.philgeps.gov.ph/GEPSNONPILOT/Tender/SplashBidNoticeAbstractUI.aspx?menuIndex=3&amp;refID=7036722&amp;Result=3","7036722")</f>
        <v>0</v>
      </c>
      <c r="B8298" t="s">
        <v>2307</v>
      </c>
      <c r="C8298" t="s">
        <v>10990</v>
      </c>
      <c r="D8298" t="s">
        <v>16234</v>
      </c>
      <c r="E8298" t="s">
        <v>23553</v>
      </c>
      <c r="F8298" t="s">
        <v>28198</v>
      </c>
      <c r="G8298" t="s">
        <v>28205</v>
      </c>
      <c r="H8298" t="s">
        <v>28214</v>
      </c>
      <c r="I8298" t="s">
        <v>3797</v>
      </c>
      <c r="J8298" t="s">
        <v>33543</v>
      </c>
      <c r="K8298" t="s">
        <v>36692</v>
      </c>
      <c r="M8298" t="s">
        <v>39483</v>
      </c>
      <c r="N8298" t="s">
        <v>40436</v>
      </c>
      <c r="O8298" t="s">
        <v>40437</v>
      </c>
      <c r="P8298">
        <v>0</v>
      </c>
      <c r="Q8298">
        <v>0</v>
      </c>
      <c r="R8298" t="s">
        <v>40445</v>
      </c>
      <c r="S8298" t="s">
        <v>40730</v>
      </c>
      <c r="T8298" t="s">
        <v>42228</v>
      </c>
      <c r="U8298" t="s">
        <v>49601</v>
      </c>
      <c r="W8298" t="s">
        <v>39483</v>
      </c>
      <c r="X8298" t="s">
        <v>40446</v>
      </c>
    </row>
    <row r="8299" spans="1:24">
      <c r="A8299">
        <f>HYPERLINK("https://www.philgeps.gov.ph/GEPSNONPILOT/Tender/SplashBidNoticeAbstractUI.aspx?menuIndex=3&amp;refID=7036721&amp;Result=3","7036721")</f>
        <v>0</v>
      </c>
      <c r="B8299" t="s">
        <v>773</v>
      </c>
      <c r="C8299" t="s">
        <v>10991</v>
      </c>
      <c r="D8299" t="s">
        <v>16219</v>
      </c>
      <c r="E8299" t="s">
        <v>23554</v>
      </c>
      <c r="F8299" t="s">
        <v>28198</v>
      </c>
      <c r="G8299" t="s">
        <v>28205</v>
      </c>
      <c r="H8299" t="s">
        <v>28215</v>
      </c>
      <c r="I8299" t="s">
        <v>5100</v>
      </c>
      <c r="J8299" t="s">
        <v>33544</v>
      </c>
      <c r="K8299" t="s">
        <v>36706</v>
      </c>
      <c r="M8299" t="s">
        <v>38111</v>
      </c>
      <c r="N8299" t="s">
        <v>40436</v>
      </c>
      <c r="O8299" t="s">
        <v>40437</v>
      </c>
      <c r="P8299">
        <v>0</v>
      </c>
      <c r="Q8299">
        <v>0</v>
      </c>
      <c r="R8299" t="s">
        <v>40445</v>
      </c>
      <c r="S8299" t="s">
        <v>40730</v>
      </c>
      <c r="T8299" t="s">
        <v>42233</v>
      </c>
      <c r="U8299" t="s">
        <v>49602</v>
      </c>
      <c r="W8299" t="s">
        <v>38111</v>
      </c>
      <c r="X8299" t="s">
        <v>40446</v>
      </c>
    </row>
    <row r="8300" spans="1:24">
      <c r="A8300">
        <f>HYPERLINK("https://www.philgeps.gov.ph/GEPSNONPILOT/Tender/SplashBidNoticeAbstractUI.aspx?menuIndex=3&amp;refID=7036660&amp;Result=3","7036660")</f>
        <v>0</v>
      </c>
      <c r="B8300" t="s">
        <v>351</v>
      </c>
      <c r="C8300" t="s">
        <v>10992</v>
      </c>
      <c r="D8300" t="s">
        <v>16258</v>
      </c>
      <c r="E8300" t="s">
        <v>23555</v>
      </c>
      <c r="F8300" t="s">
        <v>28198</v>
      </c>
      <c r="G8300" t="s">
        <v>28205</v>
      </c>
      <c r="H8300" t="s">
        <v>28215</v>
      </c>
      <c r="I8300" t="s">
        <v>28258</v>
      </c>
      <c r="J8300" t="s">
        <v>30448</v>
      </c>
      <c r="K8300" t="s">
        <v>36706</v>
      </c>
      <c r="M8300" t="s">
        <v>37330</v>
      </c>
      <c r="N8300" t="s">
        <v>40436</v>
      </c>
      <c r="O8300" t="s">
        <v>40437</v>
      </c>
      <c r="P8300">
        <v>0</v>
      </c>
      <c r="Q8300">
        <v>1</v>
      </c>
      <c r="R8300" t="s">
        <v>40445</v>
      </c>
      <c r="S8300" t="s">
        <v>40730</v>
      </c>
      <c r="T8300" t="s">
        <v>42136</v>
      </c>
      <c r="U8300" t="s">
        <v>49603</v>
      </c>
      <c r="W8300" t="s">
        <v>37330</v>
      </c>
      <c r="X8300" t="s">
        <v>40446</v>
      </c>
    </row>
    <row r="8301" spans="1:24">
      <c r="A8301">
        <f>HYPERLINK("https://www.philgeps.gov.ph/GEPSNONPILOT/Tender/SplashBidNoticeAbstractUI.aspx?menuIndex=3&amp;refID=7036723&amp;Result=3","7036723")</f>
        <v>0</v>
      </c>
      <c r="B8301" t="s">
        <v>2256</v>
      </c>
      <c r="C8301" t="s">
        <v>10993</v>
      </c>
      <c r="D8301" t="s">
        <v>16209</v>
      </c>
      <c r="E8301" t="s">
        <v>17873</v>
      </c>
      <c r="F8301" t="s">
        <v>28198</v>
      </c>
      <c r="G8301" t="s">
        <v>28205</v>
      </c>
      <c r="H8301" t="s">
        <v>28214</v>
      </c>
      <c r="I8301" t="s">
        <v>5100</v>
      </c>
      <c r="J8301" t="s">
        <v>33545</v>
      </c>
      <c r="K8301" t="s">
        <v>36707</v>
      </c>
      <c r="M8301" t="s">
        <v>39426</v>
      </c>
      <c r="N8301" t="s">
        <v>40436</v>
      </c>
      <c r="O8301" t="s">
        <v>40437</v>
      </c>
      <c r="P8301">
        <v>0</v>
      </c>
      <c r="Q8301">
        <v>1</v>
      </c>
      <c r="R8301" t="s">
        <v>40445</v>
      </c>
      <c r="S8301" t="s">
        <v>40730</v>
      </c>
      <c r="T8301" t="s">
        <v>42184</v>
      </c>
      <c r="U8301" t="s">
        <v>49604</v>
      </c>
      <c r="W8301" t="s">
        <v>39426</v>
      </c>
      <c r="X8301" t="s">
        <v>40446</v>
      </c>
    </row>
    <row r="8302" spans="1:24">
      <c r="A8302">
        <f>HYPERLINK("https://www.philgeps.gov.ph/GEPSNONPILOT/Tender/SplashBidNoticeAbstractUI.aspx?menuIndex=3&amp;refID=7036727&amp;Result=3","7036727")</f>
        <v>0</v>
      </c>
      <c r="B8302" t="s">
        <v>1585</v>
      </c>
      <c r="C8302" t="s">
        <v>10994</v>
      </c>
      <c r="D8302" t="s">
        <v>16208</v>
      </c>
      <c r="E8302" t="s">
        <v>23556</v>
      </c>
      <c r="F8302" t="s">
        <v>28198</v>
      </c>
      <c r="G8302" t="s">
        <v>28205</v>
      </c>
      <c r="H8302" t="s">
        <v>28214</v>
      </c>
      <c r="I8302" t="s">
        <v>3797</v>
      </c>
      <c r="J8302" t="s">
        <v>28921</v>
      </c>
      <c r="K8302" t="s">
        <v>36851</v>
      </c>
      <c r="M8302" t="s">
        <v>38670</v>
      </c>
      <c r="N8302" t="s">
        <v>40436</v>
      </c>
      <c r="O8302" t="s">
        <v>40437</v>
      </c>
      <c r="P8302">
        <v>0</v>
      </c>
      <c r="Q8302">
        <v>1</v>
      </c>
      <c r="R8302" t="s">
        <v>40445</v>
      </c>
      <c r="S8302" t="s">
        <v>40730</v>
      </c>
      <c r="T8302" t="s">
        <v>42113</v>
      </c>
      <c r="U8302" t="s">
        <v>49605</v>
      </c>
      <c r="W8302" t="s">
        <v>38670</v>
      </c>
      <c r="X8302" t="s">
        <v>40446</v>
      </c>
    </row>
    <row r="8303" spans="1:24">
      <c r="A8303">
        <f>HYPERLINK("https://www.philgeps.gov.ph/GEPSNONPILOT/Tender/SplashBidNoticeAbstractUI.aspx?menuIndex=3&amp;refID=7036715&amp;Result=3","7036715")</f>
        <v>0</v>
      </c>
      <c r="B8303" t="s">
        <v>325</v>
      </c>
      <c r="C8303" t="s">
        <v>10995</v>
      </c>
      <c r="D8303" t="s">
        <v>16226</v>
      </c>
      <c r="E8303" t="s">
        <v>23557</v>
      </c>
      <c r="F8303" t="s">
        <v>28198</v>
      </c>
      <c r="G8303" t="s">
        <v>28205</v>
      </c>
      <c r="H8303" t="s">
        <v>28214</v>
      </c>
      <c r="I8303" t="s">
        <v>3797</v>
      </c>
      <c r="J8303" t="s">
        <v>33546</v>
      </c>
      <c r="K8303" t="s">
        <v>36797</v>
      </c>
      <c r="M8303" t="s">
        <v>37303</v>
      </c>
      <c r="N8303" t="s">
        <v>40436</v>
      </c>
      <c r="O8303" t="s">
        <v>40437</v>
      </c>
      <c r="P8303">
        <v>0</v>
      </c>
      <c r="Q8303">
        <v>0</v>
      </c>
      <c r="R8303" t="s">
        <v>40445</v>
      </c>
      <c r="S8303" t="s">
        <v>40730</v>
      </c>
      <c r="T8303" t="s">
        <v>42123</v>
      </c>
      <c r="U8303" t="s">
        <v>49606</v>
      </c>
      <c r="V8303" t="s">
        <v>54666</v>
      </c>
      <c r="W8303" t="s">
        <v>55443</v>
      </c>
      <c r="X8303" t="s">
        <v>40446</v>
      </c>
    </row>
    <row r="8304" spans="1:24">
      <c r="A8304">
        <f>HYPERLINK("https://www.philgeps.gov.ph/GEPSNONPILOT/Tender/SplashBidNoticeAbstractUI.aspx?menuIndex=3&amp;refID=7036729&amp;Result=3","7036729")</f>
        <v>0</v>
      </c>
      <c r="B8304" t="s">
        <v>2355</v>
      </c>
      <c r="C8304" t="s">
        <v>10996</v>
      </c>
      <c r="D8304" t="s">
        <v>16210</v>
      </c>
      <c r="E8304" t="s">
        <v>23558</v>
      </c>
      <c r="F8304" t="s">
        <v>28198</v>
      </c>
      <c r="G8304" t="s">
        <v>28205</v>
      </c>
      <c r="H8304" t="s">
        <v>28217</v>
      </c>
      <c r="I8304" t="s">
        <v>28231</v>
      </c>
      <c r="J8304" t="s">
        <v>33547</v>
      </c>
      <c r="K8304" t="s">
        <v>36756</v>
      </c>
      <c r="M8304" t="s">
        <v>39623</v>
      </c>
      <c r="N8304" t="s">
        <v>40436</v>
      </c>
      <c r="O8304" t="s">
        <v>40437</v>
      </c>
      <c r="P8304">
        <v>0</v>
      </c>
      <c r="Q8304">
        <v>2</v>
      </c>
      <c r="R8304" t="s">
        <v>40445</v>
      </c>
      <c r="S8304" t="s">
        <v>40730</v>
      </c>
      <c r="T8304" t="s">
        <v>42103</v>
      </c>
      <c r="U8304" t="s">
        <v>49607</v>
      </c>
      <c r="W8304" t="s">
        <v>39623</v>
      </c>
      <c r="X8304" t="s">
        <v>40446</v>
      </c>
    </row>
    <row r="8305" spans="1:24">
      <c r="A8305">
        <f>HYPERLINK("https://www.philgeps.gov.ph/GEPSNONPILOT/Tender/SplashBidNoticeAbstractUI.aspx?menuIndex=3&amp;refID=7036728&amp;Result=3","7036728")</f>
        <v>0</v>
      </c>
      <c r="B8305" t="s">
        <v>2413</v>
      </c>
      <c r="C8305" t="s">
        <v>10997</v>
      </c>
      <c r="D8305" t="s">
        <v>16191</v>
      </c>
      <c r="E8305" t="s">
        <v>23559</v>
      </c>
      <c r="F8305" t="s">
        <v>28198</v>
      </c>
      <c r="G8305" t="s">
        <v>28205</v>
      </c>
      <c r="H8305" t="s">
        <v>28217</v>
      </c>
      <c r="I8305" t="s">
        <v>28232</v>
      </c>
      <c r="J8305" t="s">
        <v>33548</v>
      </c>
      <c r="K8305" t="s">
        <v>36697</v>
      </c>
      <c r="M8305" t="s">
        <v>39653</v>
      </c>
      <c r="N8305" t="s">
        <v>40436</v>
      </c>
      <c r="O8305" t="s">
        <v>40437</v>
      </c>
      <c r="P8305">
        <v>0</v>
      </c>
      <c r="Q8305">
        <v>4</v>
      </c>
      <c r="R8305" t="s">
        <v>40445</v>
      </c>
      <c r="S8305" t="s">
        <v>40730</v>
      </c>
      <c r="T8305" t="s">
        <v>42125</v>
      </c>
      <c r="U8305" t="s">
        <v>49378</v>
      </c>
      <c r="V8305" t="s">
        <v>54667</v>
      </c>
      <c r="W8305" t="s">
        <v>39653</v>
      </c>
      <c r="X8305" t="s">
        <v>40446</v>
      </c>
    </row>
    <row r="8306" spans="1:24">
      <c r="A8306">
        <f>HYPERLINK("https://www.philgeps.gov.ph/GEPSNONPILOT/Tender/SplashBidNoticeAbstractUI.aspx?menuIndex=3&amp;refID=7036784&amp;Result=3","7036784")</f>
        <v>0</v>
      </c>
      <c r="B8306" t="s">
        <v>325</v>
      </c>
      <c r="C8306" t="s">
        <v>10998</v>
      </c>
      <c r="D8306" t="s">
        <v>16226</v>
      </c>
      <c r="E8306" t="s">
        <v>23560</v>
      </c>
      <c r="F8306" t="s">
        <v>28198</v>
      </c>
      <c r="G8306" t="s">
        <v>28205</v>
      </c>
      <c r="H8306" t="s">
        <v>28214</v>
      </c>
      <c r="I8306" t="s">
        <v>3797</v>
      </c>
      <c r="J8306" t="s">
        <v>28683</v>
      </c>
      <c r="K8306" t="s">
        <v>36742</v>
      </c>
      <c r="M8306" t="s">
        <v>37303</v>
      </c>
      <c r="N8306" t="s">
        <v>40436</v>
      </c>
      <c r="O8306" t="s">
        <v>40437</v>
      </c>
      <c r="P8306">
        <v>0</v>
      </c>
      <c r="Q8306">
        <v>0</v>
      </c>
      <c r="R8306" t="s">
        <v>40445</v>
      </c>
      <c r="S8306" t="s">
        <v>40730</v>
      </c>
      <c r="T8306" t="s">
        <v>42123</v>
      </c>
      <c r="U8306" t="s">
        <v>49606</v>
      </c>
      <c r="V8306" t="s">
        <v>54666</v>
      </c>
      <c r="W8306" t="s">
        <v>55443</v>
      </c>
      <c r="X8306" t="s">
        <v>40446</v>
      </c>
    </row>
    <row r="8307" spans="1:24">
      <c r="A8307">
        <f>HYPERLINK("https://www.philgeps.gov.ph/GEPSNONPILOT/Tender/SplashBidNoticeAbstractUI.aspx?menuIndex=3&amp;refID=7036769&amp;Result=3","7036769")</f>
        <v>0</v>
      </c>
      <c r="B8307" t="s">
        <v>1705</v>
      </c>
      <c r="C8307" t="s">
        <v>10999</v>
      </c>
      <c r="D8307" t="s">
        <v>16192</v>
      </c>
      <c r="E8307" t="s">
        <v>23561</v>
      </c>
      <c r="F8307" t="s">
        <v>28198</v>
      </c>
      <c r="G8307" t="s">
        <v>28205</v>
      </c>
      <c r="H8307" t="s">
        <v>28215</v>
      </c>
      <c r="I8307" t="s">
        <v>28222</v>
      </c>
      <c r="J8307" t="s">
        <v>29409</v>
      </c>
      <c r="K8307" t="s">
        <v>36772</v>
      </c>
      <c r="M8307" t="s">
        <v>38808</v>
      </c>
      <c r="N8307" t="s">
        <v>40436</v>
      </c>
      <c r="O8307" t="s">
        <v>40437</v>
      </c>
      <c r="P8307">
        <v>0</v>
      </c>
      <c r="Q8307">
        <v>3</v>
      </c>
      <c r="R8307" t="s">
        <v>40445</v>
      </c>
      <c r="S8307" t="s">
        <v>40730</v>
      </c>
      <c r="T8307" t="s">
        <v>42168</v>
      </c>
      <c r="U8307" t="s">
        <v>49608</v>
      </c>
      <c r="V8307" t="s">
        <v>54271</v>
      </c>
      <c r="W8307" t="s">
        <v>38808</v>
      </c>
      <c r="X8307" t="s">
        <v>40446</v>
      </c>
    </row>
    <row r="8308" spans="1:24">
      <c r="A8308">
        <f>HYPERLINK("https://www.philgeps.gov.ph/GEPSNONPILOT/Tender/SplashBidNoticeAbstractUI.aspx?menuIndex=3&amp;refID=7036778&amp;Result=3","7036778")</f>
        <v>0</v>
      </c>
      <c r="B8308" t="s">
        <v>2078</v>
      </c>
      <c r="C8308" t="s">
        <v>11000</v>
      </c>
      <c r="D8308" t="s">
        <v>16210</v>
      </c>
      <c r="E8308" t="s">
        <v>23562</v>
      </c>
      <c r="F8308" t="s">
        <v>28201</v>
      </c>
      <c r="G8308" t="s">
        <v>28205</v>
      </c>
      <c r="H8308" t="s">
        <v>28215</v>
      </c>
      <c r="I8308" t="s">
        <v>4200</v>
      </c>
      <c r="J8308" t="s">
        <v>28804</v>
      </c>
      <c r="K8308" t="s">
        <v>36688</v>
      </c>
      <c r="M8308" t="s">
        <v>39227</v>
      </c>
      <c r="N8308" t="s">
        <v>40436</v>
      </c>
      <c r="O8308" t="s">
        <v>40437</v>
      </c>
      <c r="P8308">
        <v>0</v>
      </c>
      <c r="Q8308">
        <v>0</v>
      </c>
      <c r="R8308" t="s">
        <v>40445</v>
      </c>
      <c r="S8308" t="s">
        <v>40730</v>
      </c>
      <c r="T8308" t="s">
        <v>42112</v>
      </c>
      <c r="U8308" t="s">
        <v>49609</v>
      </c>
      <c r="W8308" t="s">
        <v>39227</v>
      </c>
      <c r="X8308" t="s">
        <v>40446</v>
      </c>
    </row>
    <row r="8309" spans="1:24">
      <c r="A8309">
        <f>HYPERLINK("https://www.philgeps.gov.ph/GEPSNONPILOT/Tender/SplashBidNoticeAbstractUI.aspx?menuIndex=3&amp;refID=7036765&amp;Result=3","7036765")</f>
        <v>0</v>
      </c>
      <c r="B8309" t="s">
        <v>773</v>
      </c>
      <c r="C8309" t="s">
        <v>11001</v>
      </c>
      <c r="D8309" t="s">
        <v>16219</v>
      </c>
      <c r="E8309" t="s">
        <v>23563</v>
      </c>
      <c r="F8309" t="s">
        <v>28198</v>
      </c>
      <c r="G8309" t="s">
        <v>28205</v>
      </c>
      <c r="H8309" t="s">
        <v>28215</v>
      </c>
      <c r="I8309" t="s">
        <v>5100</v>
      </c>
      <c r="J8309" t="s">
        <v>33549</v>
      </c>
      <c r="K8309" t="s">
        <v>36706</v>
      </c>
      <c r="M8309" t="s">
        <v>38111</v>
      </c>
      <c r="N8309" t="s">
        <v>40436</v>
      </c>
      <c r="O8309" t="s">
        <v>40437</v>
      </c>
      <c r="P8309">
        <v>0</v>
      </c>
      <c r="Q8309">
        <v>0</v>
      </c>
      <c r="R8309" t="s">
        <v>40445</v>
      </c>
      <c r="S8309" t="s">
        <v>40730</v>
      </c>
      <c r="T8309" t="s">
        <v>42233</v>
      </c>
      <c r="U8309" t="s">
        <v>49610</v>
      </c>
      <c r="W8309" t="s">
        <v>38111</v>
      </c>
      <c r="X8309" t="s">
        <v>40446</v>
      </c>
    </row>
    <row r="8310" spans="1:24">
      <c r="A8310">
        <f>HYPERLINK("https://www.philgeps.gov.ph/GEPSNONPILOT/Tender/SplashBidNoticeAbstractUI.aspx?menuIndex=3&amp;refID=7036775&amp;Result=3","7036775")</f>
        <v>0</v>
      </c>
      <c r="B8310" t="s">
        <v>1501</v>
      </c>
      <c r="C8310" t="s">
        <v>11002</v>
      </c>
      <c r="D8310" t="s">
        <v>16192</v>
      </c>
      <c r="E8310" t="s">
        <v>23564</v>
      </c>
      <c r="F8310" t="s">
        <v>28198</v>
      </c>
      <c r="G8310" t="s">
        <v>28207</v>
      </c>
      <c r="H8310" t="s">
        <v>28215</v>
      </c>
      <c r="I8310" t="s">
        <v>3774</v>
      </c>
      <c r="J8310" t="s">
        <v>33550</v>
      </c>
      <c r="K8310" t="s">
        <v>36701</v>
      </c>
      <c r="M8310" t="s">
        <v>38576</v>
      </c>
      <c r="N8310" t="s">
        <v>40436</v>
      </c>
      <c r="O8310" t="s">
        <v>40437</v>
      </c>
      <c r="P8310">
        <v>0</v>
      </c>
      <c r="Q8310">
        <v>0</v>
      </c>
      <c r="R8310" t="s">
        <v>40445</v>
      </c>
      <c r="S8310" t="s">
        <v>40730</v>
      </c>
      <c r="T8310" t="s">
        <v>42124</v>
      </c>
      <c r="U8310" t="s">
        <v>49611</v>
      </c>
      <c r="W8310" t="s">
        <v>38576</v>
      </c>
      <c r="X8310" t="s">
        <v>40446</v>
      </c>
    </row>
    <row r="8311" spans="1:24">
      <c r="A8311">
        <f>HYPERLINK("https://www.philgeps.gov.ph/GEPSNONPILOT/Tender/SplashBidNoticeAbstractUI.aspx?menuIndex=3&amp;refID=7036733&amp;Result=3","7036733")</f>
        <v>0</v>
      </c>
      <c r="B8311" t="s">
        <v>1501</v>
      </c>
      <c r="C8311" t="s">
        <v>11003</v>
      </c>
      <c r="D8311" t="s">
        <v>16192</v>
      </c>
      <c r="E8311" t="s">
        <v>23565</v>
      </c>
      <c r="F8311" t="s">
        <v>28198</v>
      </c>
      <c r="G8311" t="s">
        <v>28207</v>
      </c>
      <c r="H8311" t="s">
        <v>28215</v>
      </c>
      <c r="I8311" t="s">
        <v>28232</v>
      </c>
      <c r="J8311" t="s">
        <v>28414</v>
      </c>
      <c r="K8311" t="s">
        <v>36701</v>
      </c>
      <c r="M8311" t="s">
        <v>38576</v>
      </c>
      <c r="N8311" t="s">
        <v>40436</v>
      </c>
      <c r="O8311" t="s">
        <v>40437</v>
      </c>
      <c r="P8311">
        <v>0</v>
      </c>
      <c r="Q8311">
        <v>0</v>
      </c>
      <c r="R8311" t="s">
        <v>40445</v>
      </c>
      <c r="S8311" t="s">
        <v>40730</v>
      </c>
      <c r="T8311" t="s">
        <v>42124</v>
      </c>
      <c r="U8311" t="s">
        <v>49612</v>
      </c>
      <c r="W8311" t="s">
        <v>38576</v>
      </c>
      <c r="X8311" t="s">
        <v>40446</v>
      </c>
    </row>
    <row r="8312" spans="1:24">
      <c r="A8312">
        <f>HYPERLINK("https://www.philgeps.gov.ph/GEPSNONPILOT/Tender/SplashBidNoticeAbstractUI.aspx?menuIndex=3&amp;refID=7036734&amp;Result=3","7036734")</f>
        <v>0</v>
      </c>
      <c r="B8312" t="s">
        <v>1427</v>
      </c>
      <c r="C8312" t="s">
        <v>11004</v>
      </c>
      <c r="D8312" t="s">
        <v>16260</v>
      </c>
      <c r="E8312" t="s">
        <v>18520</v>
      </c>
      <c r="F8312" t="s">
        <v>28198</v>
      </c>
      <c r="G8312" t="s">
        <v>28205</v>
      </c>
      <c r="H8312" t="s">
        <v>28214</v>
      </c>
      <c r="I8312" t="s">
        <v>3797</v>
      </c>
      <c r="J8312" t="s">
        <v>28351</v>
      </c>
      <c r="K8312" t="s">
        <v>36724</v>
      </c>
      <c r="M8312" t="s">
        <v>38493</v>
      </c>
      <c r="N8312" t="s">
        <v>40436</v>
      </c>
      <c r="O8312" t="s">
        <v>40437</v>
      </c>
      <c r="P8312">
        <v>0</v>
      </c>
      <c r="Q8312">
        <v>0</v>
      </c>
      <c r="R8312" t="s">
        <v>40445</v>
      </c>
      <c r="S8312" t="s">
        <v>40730</v>
      </c>
      <c r="T8312" t="s">
        <v>42115</v>
      </c>
      <c r="U8312" t="s">
        <v>49546</v>
      </c>
      <c r="W8312" t="s">
        <v>38493</v>
      </c>
      <c r="X8312" t="s">
        <v>40446</v>
      </c>
    </row>
    <row r="8313" spans="1:24">
      <c r="A8313">
        <f>HYPERLINK("https://www.philgeps.gov.ph/GEPSNONPILOT/Tender/SplashBidNoticeAbstractUI.aspx?menuIndex=3&amp;refID=7036782&amp;Result=3","7036782")</f>
        <v>0</v>
      </c>
      <c r="B8313" t="s">
        <v>870</v>
      </c>
      <c r="C8313" t="s">
        <v>11005</v>
      </c>
      <c r="D8313" t="s">
        <v>16221</v>
      </c>
      <c r="E8313" t="s">
        <v>23566</v>
      </c>
      <c r="F8313" t="s">
        <v>28198</v>
      </c>
      <c r="G8313" t="s">
        <v>28205</v>
      </c>
      <c r="H8313" t="s">
        <v>28214</v>
      </c>
      <c r="I8313" t="s">
        <v>3797</v>
      </c>
      <c r="J8313" t="s">
        <v>29566</v>
      </c>
      <c r="K8313" t="s">
        <v>36692</v>
      </c>
      <c r="M8313" t="s">
        <v>37882</v>
      </c>
      <c r="N8313" t="s">
        <v>40436</v>
      </c>
      <c r="O8313" t="s">
        <v>40437</v>
      </c>
      <c r="P8313">
        <v>0</v>
      </c>
      <c r="Q8313">
        <v>2</v>
      </c>
      <c r="R8313" t="s">
        <v>40445</v>
      </c>
      <c r="S8313" t="s">
        <v>40730</v>
      </c>
      <c r="T8313" t="s">
        <v>42279</v>
      </c>
      <c r="U8313" t="s">
        <v>49589</v>
      </c>
      <c r="W8313" t="s">
        <v>37882</v>
      </c>
      <c r="X8313" t="s">
        <v>40446</v>
      </c>
    </row>
    <row r="8314" spans="1:24">
      <c r="A8314">
        <f>HYPERLINK("https://www.philgeps.gov.ph/GEPSNONPILOT/Tender/SplashBidNoticeAbstractUI.aspx?menuIndex=3&amp;refID=7036730&amp;Result=3","7036730")</f>
        <v>0</v>
      </c>
      <c r="B8314" t="s">
        <v>2231</v>
      </c>
      <c r="C8314" t="s">
        <v>11006</v>
      </c>
      <c r="D8314" t="s">
        <v>16262</v>
      </c>
      <c r="E8314" t="s">
        <v>23567</v>
      </c>
      <c r="F8314" t="s">
        <v>28198</v>
      </c>
      <c r="G8314" t="s">
        <v>28205</v>
      </c>
      <c r="H8314" t="s">
        <v>28214</v>
      </c>
      <c r="I8314" t="s">
        <v>3797</v>
      </c>
      <c r="J8314" t="s">
        <v>28415</v>
      </c>
      <c r="K8314" t="s">
        <v>36777</v>
      </c>
      <c r="M8314" t="s">
        <v>39399</v>
      </c>
      <c r="N8314" t="s">
        <v>40436</v>
      </c>
      <c r="O8314" t="s">
        <v>40437</v>
      </c>
      <c r="P8314">
        <v>0</v>
      </c>
      <c r="Q8314">
        <v>0</v>
      </c>
      <c r="R8314" t="s">
        <v>40445</v>
      </c>
      <c r="S8314" t="s">
        <v>40730</v>
      </c>
      <c r="T8314" t="s">
        <v>42144</v>
      </c>
      <c r="U8314" t="s">
        <v>48627</v>
      </c>
      <c r="W8314" t="s">
        <v>39399</v>
      </c>
      <c r="X8314" t="s">
        <v>40446</v>
      </c>
    </row>
    <row r="8315" spans="1:24">
      <c r="A8315">
        <f>HYPERLINK("https://www.philgeps.gov.ph/GEPSNONPILOT/Tender/SplashBidNoticeAbstractUI.aspx?menuIndex=3&amp;refID=7036810&amp;Result=3","7036810")</f>
        <v>0</v>
      </c>
      <c r="B8315" t="s">
        <v>318</v>
      </c>
      <c r="C8315" t="s">
        <v>11007</v>
      </c>
      <c r="D8315" t="s">
        <v>16241</v>
      </c>
      <c r="E8315" t="s">
        <v>23568</v>
      </c>
      <c r="F8315" t="s">
        <v>28198</v>
      </c>
      <c r="G8315" t="s">
        <v>28207</v>
      </c>
      <c r="H8315" t="s">
        <v>28215</v>
      </c>
      <c r="I8315" t="s">
        <v>4200</v>
      </c>
      <c r="J8315" t="s">
        <v>33551</v>
      </c>
      <c r="K8315" t="s">
        <v>36707</v>
      </c>
      <c r="M8315" t="s">
        <v>39651</v>
      </c>
      <c r="N8315" t="s">
        <v>40436</v>
      </c>
      <c r="O8315" t="s">
        <v>40437</v>
      </c>
      <c r="Q8315">
        <v>1</v>
      </c>
      <c r="R8315" t="s">
        <v>40445</v>
      </c>
      <c r="S8315" t="s">
        <v>40744</v>
      </c>
      <c r="T8315" t="s">
        <v>42185</v>
      </c>
      <c r="U8315" t="s">
        <v>49613</v>
      </c>
      <c r="W8315" t="s">
        <v>39651</v>
      </c>
      <c r="X8315" t="s">
        <v>40446</v>
      </c>
    </row>
    <row r="8316" spans="1:24">
      <c r="A8316">
        <f>HYPERLINK("https://www.philgeps.gov.ph/GEPSNONPILOT/Tender/SplashBidNoticeAbstractUI.aspx?menuIndex=3&amp;refID=7036800&amp;Result=3","7036800")</f>
        <v>0</v>
      </c>
      <c r="B8316" t="s">
        <v>1405</v>
      </c>
      <c r="C8316" t="s">
        <v>11008</v>
      </c>
      <c r="D8316" t="s">
        <v>16278</v>
      </c>
      <c r="E8316" t="s">
        <v>23569</v>
      </c>
      <c r="F8316" t="s">
        <v>28198</v>
      </c>
      <c r="G8316" t="s">
        <v>28205</v>
      </c>
      <c r="H8316" t="s">
        <v>28215</v>
      </c>
      <c r="I8316" t="s">
        <v>28222</v>
      </c>
      <c r="J8316" t="s">
        <v>29643</v>
      </c>
      <c r="K8316" t="s">
        <v>36694</v>
      </c>
      <c r="M8316" t="s">
        <v>39657</v>
      </c>
      <c r="N8316" t="s">
        <v>40436</v>
      </c>
      <c r="O8316" t="s">
        <v>40437</v>
      </c>
      <c r="P8316">
        <v>0</v>
      </c>
      <c r="Q8316">
        <v>5</v>
      </c>
      <c r="R8316" t="s">
        <v>40445</v>
      </c>
      <c r="S8316" t="s">
        <v>40730</v>
      </c>
      <c r="T8316" t="s">
        <v>42459</v>
      </c>
      <c r="U8316" t="s">
        <v>49614</v>
      </c>
      <c r="W8316" t="s">
        <v>39657</v>
      </c>
      <c r="X8316" t="s">
        <v>40446</v>
      </c>
    </row>
    <row r="8317" spans="1:24">
      <c r="A8317">
        <f>HYPERLINK("https://www.philgeps.gov.ph/GEPSNONPILOT/Tender/SplashBidNoticeAbstractUI.aspx?menuIndex=3&amp;refID=7036756&amp;Result=3","7036756")</f>
        <v>0</v>
      </c>
      <c r="B8317" t="s">
        <v>70</v>
      </c>
      <c r="C8317" t="s">
        <v>11009</v>
      </c>
      <c r="D8317" t="s">
        <v>16214</v>
      </c>
      <c r="E8317" t="s">
        <v>23570</v>
      </c>
      <c r="F8317" t="s">
        <v>28198</v>
      </c>
      <c r="G8317" t="s">
        <v>28205</v>
      </c>
      <c r="H8317" t="s">
        <v>28215</v>
      </c>
      <c r="I8317" t="s">
        <v>4168</v>
      </c>
      <c r="J8317" t="s">
        <v>28922</v>
      </c>
      <c r="K8317" t="s">
        <v>36694</v>
      </c>
      <c r="M8317" t="s">
        <v>38348</v>
      </c>
      <c r="N8317" t="s">
        <v>40436</v>
      </c>
      <c r="O8317" t="s">
        <v>40437</v>
      </c>
      <c r="P8317">
        <v>0</v>
      </c>
      <c r="Q8317">
        <v>1</v>
      </c>
      <c r="R8317" t="s">
        <v>40445</v>
      </c>
      <c r="S8317" t="s">
        <v>40730</v>
      </c>
      <c r="T8317" t="s">
        <v>42233</v>
      </c>
      <c r="U8317" t="s">
        <v>49615</v>
      </c>
      <c r="W8317" t="s">
        <v>38348</v>
      </c>
      <c r="X8317" t="s">
        <v>40446</v>
      </c>
    </row>
    <row r="8318" spans="1:24">
      <c r="A8318">
        <f>HYPERLINK("https://www.philgeps.gov.ph/GEPSNONPILOT/Tender/SplashBidNoticeAbstractUI.aspx?menuIndex=3&amp;refID=7036802&amp;Result=3","7036802")</f>
        <v>0</v>
      </c>
      <c r="B8318" t="s">
        <v>2462</v>
      </c>
      <c r="C8318" t="s">
        <v>11010</v>
      </c>
      <c r="D8318" t="s">
        <v>16274</v>
      </c>
      <c r="E8318" t="s">
        <v>23571</v>
      </c>
      <c r="F8318" t="s">
        <v>28198</v>
      </c>
      <c r="G8318" t="s">
        <v>28205</v>
      </c>
      <c r="H8318" t="s">
        <v>28214</v>
      </c>
      <c r="I8318" t="s">
        <v>3797</v>
      </c>
      <c r="J8318" t="s">
        <v>28561</v>
      </c>
      <c r="K8318" t="s">
        <v>36688</v>
      </c>
      <c r="M8318" t="s">
        <v>39658</v>
      </c>
      <c r="N8318" t="s">
        <v>40436</v>
      </c>
      <c r="O8318" t="s">
        <v>40437</v>
      </c>
      <c r="P8318">
        <v>0</v>
      </c>
      <c r="Q8318">
        <v>0</v>
      </c>
      <c r="R8318" t="s">
        <v>40445</v>
      </c>
      <c r="S8318" t="s">
        <v>40730</v>
      </c>
      <c r="T8318" t="s">
        <v>42515</v>
      </c>
      <c r="U8318" t="s">
        <v>49616</v>
      </c>
      <c r="V8318" t="s">
        <v>54668</v>
      </c>
      <c r="W8318" t="s">
        <v>39658</v>
      </c>
      <c r="X8318" t="s">
        <v>40446</v>
      </c>
    </row>
    <row r="8319" spans="1:24">
      <c r="A8319">
        <f>HYPERLINK("https://www.philgeps.gov.ph/GEPSNONPILOT/Tender/SplashBidNoticeAbstractUI.aspx?menuIndex=3&amp;refID=7036738&amp;Result=3","7036738")</f>
        <v>0</v>
      </c>
      <c r="B8319" t="s">
        <v>870</v>
      </c>
      <c r="C8319" t="s">
        <v>11011</v>
      </c>
      <c r="D8319" t="s">
        <v>16221</v>
      </c>
      <c r="E8319" t="s">
        <v>23572</v>
      </c>
      <c r="F8319" t="s">
        <v>28198</v>
      </c>
      <c r="G8319" t="s">
        <v>28205</v>
      </c>
      <c r="H8319" t="s">
        <v>28214</v>
      </c>
      <c r="I8319" t="s">
        <v>3797</v>
      </c>
      <c r="J8319" t="s">
        <v>29566</v>
      </c>
      <c r="K8319" t="s">
        <v>36692</v>
      </c>
      <c r="M8319" t="s">
        <v>37882</v>
      </c>
      <c r="N8319" t="s">
        <v>40436</v>
      </c>
      <c r="O8319" t="s">
        <v>40437</v>
      </c>
      <c r="P8319">
        <v>0</v>
      </c>
      <c r="Q8319">
        <v>1</v>
      </c>
      <c r="R8319" t="s">
        <v>40445</v>
      </c>
      <c r="S8319" t="s">
        <v>40730</v>
      </c>
      <c r="T8319" t="s">
        <v>42279</v>
      </c>
      <c r="U8319" t="s">
        <v>49589</v>
      </c>
      <c r="W8319" t="s">
        <v>37882</v>
      </c>
      <c r="X8319" t="s">
        <v>40446</v>
      </c>
    </row>
    <row r="8320" spans="1:24">
      <c r="A8320">
        <f>HYPERLINK("https://www.philgeps.gov.ph/GEPSNONPILOT/Tender/SplashBidNoticeAbstractUI.aspx?menuIndex=3&amp;refID=7036774&amp;Result=3","7036774")</f>
        <v>0</v>
      </c>
      <c r="B8320" t="s">
        <v>2231</v>
      </c>
      <c r="C8320" t="s">
        <v>11012</v>
      </c>
      <c r="D8320" t="s">
        <v>16262</v>
      </c>
      <c r="E8320" t="s">
        <v>23573</v>
      </c>
      <c r="F8320" t="s">
        <v>28198</v>
      </c>
      <c r="G8320" t="s">
        <v>28205</v>
      </c>
      <c r="H8320" t="s">
        <v>28214</v>
      </c>
      <c r="I8320" t="s">
        <v>3797</v>
      </c>
      <c r="J8320" t="s">
        <v>28406</v>
      </c>
      <c r="K8320" t="s">
        <v>36697</v>
      </c>
      <c r="M8320" t="s">
        <v>39399</v>
      </c>
      <c r="N8320" t="s">
        <v>40436</v>
      </c>
      <c r="O8320" t="s">
        <v>40437</v>
      </c>
      <c r="P8320">
        <v>0</v>
      </c>
      <c r="Q8320">
        <v>0</v>
      </c>
      <c r="R8320" t="s">
        <v>40445</v>
      </c>
      <c r="S8320" t="s">
        <v>40730</v>
      </c>
      <c r="T8320" t="s">
        <v>42144</v>
      </c>
      <c r="U8320" t="s">
        <v>48627</v>
      </c>
      <c r="W8320" t="s">
        <v>39399</v>
      </c>
      <c r="X8320" t="s">
        <v>40446</v>
      </c>
    </row>
    <row r="8321" spans="1:24">
      <c r="A8321">
        <f>HYPERLINK("https://www.philgeps.gov.ph/GEPSNONPILOT/Tender/SplashBidNoticeAbstractUI.aspx?menuIndex=3&amp;refID=7036790&amp;Result=3","7036790")</f>
        <v>0</v>
      </c>
      <c r="B8321" t="s">
        <v>2463</v>
      </c>
      <c r="C8321" t="s">
        <v>11013</v>
      </c>
      <c r="D8321" t="s">
        <v>16209</v>
      </c>
      <c r="E8321" t="s">
        <v>23574</v>
      </c>
      <c r="F8321" t="s">
        <v>28198</v>
      </c>
      <c r="G8321" t="s">
        <v>28205</v>
      </c>
      <c r="H8321" t="s">
        <v>28214</v>
      </c>
      <c r="I8321" t="s">
        <v>3797</v>
      </c>
      <c r="J8321" t="s">
        <v>31258</v>
      </c>
      <c r="K8321" t="s">
        <v>36749</v>
      </c>
      <c r="M8321" t="s">
        <v>39659</v>
      </c>
      <c r="N8321" t="s">
        <v>40436</v>
      </c>
      <c r="O8321" t="s">
        <v>40437</v>
      </c>
      <c r="P8321">
        <v>0</v>
      </c>
      <c r="Q8321">
        <v>2</v>
      </c>
      <c r="R8321" t="s">
        <v>40445</v>
      </c>
      <c r="S8321" t="s">
        <v>40730</v>
      </c>
      <c r="T8321" t="s">
        <v>42279</v>
      </c>
      <c r="U8321" t="s">
        <v>49617</v>
      </c>
      <c r="V8321" t="s">
        <v>54669</v>
      </c>
      <c r="W8321" t="s">
        <v>39659</v>
      </c>
      <c r="X8321" t="s">
        <v>40446</v>
      </c>
    </row>
    <row r="8322" spans="1:24">
      <c r="A8322">
        <f>HYPERLINK("https://www.philgeps.gov.ph/GEPSNONPILOT/Tender/SplashBidNoticeAbstractUI.aspx?menuIndex=3&amp;refID=7036798&amp;Result=3","7036798")</f>
        <v>0</v>
      </c>
      <c r="B8322" t="s">
        <v>2355</v>
      </c>
      <c r="C8322" t="s">
        <v>11014</v>
      </c>
      <c r="D8322" t="s">
        <v>16210</v>
      </c>
      <c r="E8322" t="s">
        <v>22089</v>
      </c>
      <c r="F8322" t="s">
        <v>28198</v>
      </c>
      <c r="G8322" t="s">
        <v>28205</v>
      </c>
      <c r="H8322" t="s">
        <v>28217</v>
      </c>
      <c r="I8322" t="s">
        <v>6786</v>
      </c>
      <c r="J8322" t="s">
        <v>33552</v>
      </c>
      <c r="K8322" t="s">
        <v>36756</v>
      </c>
      <c r="M8322" t="s">
        <v>39623</v>
      </c>
      <c r="N8322" t="s">
        <v>40436</v>
      </c>
      <c r="O8322" t="s">
        <v>40437</v>
      </c>
      <c r="P8322">
        <v>0</v>
      </c>
      <c r="Q8322">
        <v>2</v>
      </c>
      <c r="R8322" t="s">
        <v>40445</v>
      </c>
      <c r="S8322" t="s">
        <v>40730</v>
      </c>
      <c r="T8322" t="s">
        <v>42103</v>
      </c>
      <c r="U8322" t="s">
        <v>49618</v>
      </c>
      <c r="W8322" t="s">
        <v>39623</v>
      </c>
      <c r="X8322" t="s">
        <v>40446</v>
      </c>
    </row>
    <row r="8323" spans="1:24">
      <c r="A8323">
        <f>HYPERLINK("https://www.philgeps.gov.ph/GEPSNONPILOT/Tender/SplashBidNoticeAbstractUI.aspx?menuIndex=3&amp;refID=7036773&amp;Result=3","7036773")</f>
        <v>0</v>
      </c>
      <c r="B8323" t="s">
        <v>2464</v>
      </c>
      <c r="C8323" t="s">
        <v>11015</v>
      </c>
      <c r="D8323" t="s">
        <v>16197</v>
      </c>
      <c r="E8323" t="s">
        <v>23575</v>
      </c>
      <c r="F8323" t="s">
        <v>28198</v>
      </c>
      <c r="G8323" t="s">
        <v>28205</v>
      </c>
      <c r="H8323" t="s">
        <v>28214</v>
      </c>
      <c r="I8323" t="s">
        <v>3797</v>
      </c>
      <c r="J8323" t="s">
        <v>28379</v>
      </c>
      <c r="K8323" t="s">
        <v>36692</v>
      </c>
      <c r="M8323" t="s">
        <v>39660</v>
      </c>
      <c r="N8323" t="s">
        <v>40436</v>
      </c>
      <c r="O8323" t="s">
        <v>40437</v>
      </c>
      <c r="P8323">
        <v>0</v>
      </c>
      <c r="Q8323">
        <v>0</v>
      </c>
      <c r="R8323" t="s">
        <v>40445</v>
      </c>
      <c r="S8323" t="s">
        <v>40730</v>
      </c>
      <c r="T8323" t="s">
        <v>42232</v>
      </c>
      <c r="U8323" t="s">
        <v>49619</v>
      </c>
      <c r="W8323" t="s">
        <v>39660</v>
      </c>
      <c r="X8323" t="s">
        <v>40446</v>
      </c>
    </row>
    <row r="8324" spans="1:24">
      <c r="A8324">
        <f>HYPERLINK("https://www.philgeps.gov.ph/GEPSNONPILOT/Tender/SplashBidNoticeAbstractUI.aspx?menuIndex=3&amp;refID=7036793&amp;Result=3","7036793")</f>
        <v>0</v>
      </c>
      <c r="B8324" t="s">
        <v>2231</v>
      </c>
      <c r="C8324" t="s">
        <v>11016</v>
      </c>
      <c r="D8324" t="s">
        <v>16262</v>
      </c>
      <c r="E8324" t="s">
        <v>23576</v>
      </c>
      <c r="F8324" t="s">
        <v>28198</v>
      </c>
      <c r="G8324" t="s">
        <v>28205</v>
      </c>
      <c r="H8324" t="s">
        <v>28214</v>
      </c>
      <c r="I8324" t="s">
        <v>3797</v>
      </c>
      <c r="J8324" t="s">
        <v>28345</v>
      </c>
      <c r="K8324" t="s">
        <v>36709</v>
      </c>
      <c r="M8324" t="s">
        <v>39399</v>
      </c>
      <c r="N8324" t="s">
        <v>40436</v>
      </c>
      <c r="O8324" t="s">
        <v>40437</v>
      </c>
      <c r="P8324">
        <v>0</v>
      </c>
      <c r="Q8324">
        <v>0</v>
      </c>
      <c r="R8324" t="s">
        <v>40445</v>
      </c>
      <c r="S8324" t="s">
        <v>40730</v>
      </c>
      <c r="T8324" t="s">
        <v>42144</v>
      </c>
      <c r="U8324" t="s">
        <v>48627</v>
      </c>
      <c r="W8324" t="s">
        <v>39399</v>
      </c>
      <c r="X8324" t="s">
        <v>40446</v>
      </c>
    </row>
    <row r="8325" spans="1:24">
      <c r="A8325">
        <f>HYPERLINK("https://www.philgeps.gov.ph/GEPSNONPILOT/Tender/SplashBidNoticeAbstractUI.aspx?menuIndex=3&amp;refID=7036815&amp;Result=3","7036815")</f>
        <v>0</v>
      </c>
      <c r="B8325" t="s">
        <v>243</v>
      </c>
      <c r="C8325" t="s">
        <v>5631</v>
      </c>
      <c r="D8325" t="s">
        <v>16193</v>
      </c>
      <c r="E8325" t="s">
        <v>23577</v>
      </c>
      <c r="F8325" t="s">
        <v>28201</v>
      </c>
      <c r="G8325" t="s">
        <v>28207</v>
      </c>
      <c r="H8325" t="s">
        <v>28215</v>
      </c>
      <c r="I8325" t="s">
        <v>5631</v>
      </c>
      <c r="J8325" t="s">
        <v>33553</v>
      </c>
      <c r="K8325" t="s">
        <v>36688</v>
      </c>
      <c r="M8325" t="s">
        <v>37219</v>
      </c>
      <c r="N8325" t="s">
        <v>40436</v>
      </c>
      <c r="O8325" t="s">
        <v>40437</v>
      </c>
      <c r="P8325">
        <v>0</v>
      </c>
      <c r="Q8325">
        <v>0</v>
      </c>
      <c r="R8325" t="s">
        <v>40445</v>
      </c>
      <c r="S8325" t="s">
        <v>40730</v>
      </c>
      <c r="T8325" t="s">
        <v>42233</v>
      </c>
      <c r="U8325" t="s">
        <v>49620</v>
      </c>
      <c r="W8325" t="s">
        <v>37219</v>
      </c>
      <c r="X8325" t="s">
        <v>40446</v>
      </c>
    </row>
    <row r="8326" spans="1:24">
      <c r="A8326">
        <f>HYPERLINK("https://www.philgeps.gov.ph/GEPSNONPILOT/Tender/SplashBidNoticeAbstractUI.aspx?menuIndex=3&amp;refID=7036821&amp;Result=3","7036821")</f>
        <v>0</v>
      </c>
      <c r="B8326" t="s">
        <v>1501</v>
      </c>
      <c r="C8326" t="s">
        <v>11017</v>
      </c>
      <c r="D8326" t="s">
        <v>16192</v>
      </c>
      <c r="E8326" t="s">
        <v>23578</v>
      </c>
      <c r="F8326" t="s">
        <v>28198</v>
      </c>
      <c r="G8326" t="s">
        <v>28207</v>
      </c>
      <c r="H8326" t="s">
        <v>28215</v>
      </c>
      <c r="I8326" t="s">
        <v>4219</v>
      </c>
      <c r="J8326" t="s">
        <v>33554</v>
      </c>
      <c r="K8326" t="s">
        <v>36701</v>
      </c>
      <c r="M8326" t="s">
        <v>38576</v>
      </c>
      <c r="N8326" t="s">
        <v>40436</v>
      </c>
      <c r="O8326" t="s">
        <v>40437</v>
      </c>
      <c r="Q8326">
        <v>2</v>
      </c>
      <c r="R8326" t="s">
        <v>40445</v>
      </c>
      <c r="S8326" t="s">
        <v>40745</v>
      </c>
      <c r="T8326" t="s">
        <v>42124</v>
      </c>
      <c r="U8326" t="s">
        <v>49621</v>
      </c>
      <c r="W8326" t="s">
        <v>38576</v>
      </c>
      <c r="X8326" t="s">
        <v>40446</v>
      </c>
    </row>
    <row r="8327" spans="1:24">
      <c r="A8327">
        <f>HYPERLINK("https://www.philgeps.gov.ph/GEPSNONPILOT/Tender/SplashBidNoticeAbstractUI.aspx?menuIndex=3&amp;refID=7036861&amp;Result=3","7036861")</f>
        <v>0</v>
      </c>
      <c r="B8327" t="s">
        <v>2462</v>
      </c>
      <c r="C8327" t="s">
        <v>11018</v>
      </c>
      <c r="D8327" t="s">
        <v>16274</v>
      </c>
      <c r="E8327" t="s">
        <v>16835</v>
      </c>
      <c r="F8327" t="s">
        <v>28198</v>
      </c>
      <c r="G8327" t="s">
        <v>28205</v>
      </c>
      <c r="H8327" t="s">
        <v>28214</v>
      </c>
      <c r="I8327" t="s">
        <v>3797</v>
      </c>
      <c r="J8327" t="s">
        <v>28415</v>
      </c>
      <c r="K8327" t="s">
        <v>36688</v>
      </c>
      <c r="M8327" t="s">
        <v>39658</v>
      </c>
      <c r="N8327" t="s">
        <v>40436</v>
      </c>
      <c r="O8327" t="s">
        <v>40437</v>
      </c>
      <c r="P8327">
        <v>0</v>
      </c>
      <c r="Q8327">
        <v>0</v>
      </c>
      <c r="R8327" t="s">
        <v>40445</v>
      </c>
      <c r="S8327" t="s">
        <v>40730</v>
      </c>
      <c r="T8327" t="s">
        <v>42279</v>
      </c>
      <c r="U8327" t="s">
        <v>49622</v>
      </c>
      <c r="V8327" t="s">
        <v>54670</v>
      </c>
      <c r="W8327" t="s">
        <v>39658</v>
      </c>
      <c r="X8327" t="s">
        <v>40446</v>
      </c>
    </row>
    <row r="8328" spans="1:24">
      <c r="A8328">
        <f>HYPERLINK("https://www.philgeps.gov.ph/GEPSNONPILOT/Tender/SplashBidNoticeAbstractUI.aspx?menuIndex=3&amp;refID=7036834&amp;Result=3","7036834")</f>
        <v>0</v>
      </c>
      <c r="B8328" t="s">
        <v>243</v>
      </c>
      <c r="C8328" t="s">
        <v>5631</v>
      </c>
      <c r="D8328" t="s">
        <v>16193</v>
      </c>
      <c r="E8328" t="s">
        <v>23579</v>
      </c>
      <c r="F8328" t="s">
        <v>28201</v>
      </c>
      <c r="G8328" t="s">
        <v>28207</v>
      </c>
      <c r="H8328" t="s">
        <v>28215</v>
      </c>
      <c r="I8328" t="s">
        <v>5631</v>
      </c>
      <c r="J8328" t="s">
        <v>28348</v>
      </c>
      <c r="K8328" t="s">
        <v>36688</v>
      </c>
      <c r="M8328" t="s">
        <v>37219</v>
      </c>
      <c r="N8328" t="s">
        <v>40436</v>
      </c>
      <c r="O8328" t="s">
        <v>40437</v>
      </c>
      <c r="P8328">
        <v>0</v>
      </c>
      <c r="Q8328">
        <v>0</v>
      </c>
      <c r="R8328" t="s">
        <v>40445</v>
      </c>
      <c r="S8328" t="s">
        <v>40730</v>
      </c>
      <c r="T8328" t="s">
        <v>42233</v>
      </c>
      <c r="U8328" t="s">
        <v>49623</v>
      </c>
      <c r="W8328" t="s">
        <v>37219</v>
      </c>
      <c r="X8328" t="s">
        <v>40446</v>
      </c>
    </row>
    <row r="8329" spans="1:24">
      <c r="A8329">
        <f>HYPERLINK("https://www.philgeps.gov.ph/GEPSNONPILOT/Tender/SplashBidNoticeAbstractUI.aspx?menuIndex=3&amp;refID=7036832&amp;Result=3","7036832")</f>
        <v>0</v>
      </c>
      <c r="B8329" t="s">
        <v>2231</v>
      </c>
      <c r="C8329" t="s">
        <v>11019</v>
      </c>
      <c r="D8329" t="s">
        <v>16262</v>
      </c>
      <c r="E8329" t="s">
        <v>23580</v>
      </c>
      <c r="F8329" t="s">
        <v>28198</v>
      </c>
      <c r="G8329" t="s">
        <v>28205</v>
      </c>
      <c r="H8329" t="s">
        <v>28214</v>
      </c>
      <c r="I8329" t="s">
        <v>28235</v>
      </c>
      <c r="J8329" t="s">
        <v>28378</v>
      </c>
      <c r="K8329" t="s">
        <v>36777</v>
      </c>
      <c r="M8329" t="s">
        <v>39399</v>
      </c>
      <c r="N8329" t="s">
        <v>40436</v>
      </c>
      <c r="O8329" t="s">
        <v>40437</v>
      </c>
      <c r="P8329">
        <v>0</v>
      </c>
      <c r="Q8329">
        <v>0</v>
      </c>
      <c r="R8329" t="s">
        <v>40445</v>
      </c>
      <c r="S8329" t="s">
        <v>40730</v>
      </c>
      <c r="T8329" t="s">
        <v>42144</v>
      </c>
      <c r="U8329" t="s">
        <v>48627</v>
      </c>
      <c r="W8329" t="s">
        <v>39399</v>
      </c>
      <c r="X8329" t="s">
        <v>40446</v>
      </c>
    </row>
    <row r="8330" spans="1:24">
      <c r="A8330">
        <f>HYPERLINK("https://www.philgeps.gov.ph/GEPSNONPILOT/Tender/SplashBidNoticeAbstractUI.aspx?menuIndex=3&amp;refID=7036833&amp;Result=3","7036833")</f>
        <v>0</v>
      </c>
      <c r="B8330" t="s">
        <v>870</v>
      </c>
      <c r="C8330" t="s">
        <v>11020</v>
      </c>
      <c r="D8330" t="s">
        <v>16221</v>
      </c>
      <c r="E8330" t="s">
        <v>23581</v>
      </c>
      <c r="F8330" t="s">
        <v>28198</v>
      </c>
      <c r="G8330" t="s">
        <v>28205</v>
      </c>
      <c r="H8330" t="s">
        <v>28214</v>
      </c>
      <c r="I8330" t="s">
        <v>3797</v>
      </c>
      <c r="J8330" t="s">
        <v>29552</v>
      </c>
      <c r="K8330" t="s">
        <v>36692</v>
      </c>
      <c r="M8330" t="s">
        <v>37882</v>
      </c>
      <c r="N8330" t="s">
        <v>40436</v>
      </c>
      <c r="O8330" t="s">
        <v>40437</v>
      </c>
      <c r="Q8330">
        <v>1</v>
      </c>
      <c r="R8330" t="s">
        <v>40445</v>
      </c>
      <c r="S8330" t="s">
        <v>40746</v>
      </c>
      <c r="T8330" t="s">
        <v>42279</v>
      </c>
      <c r="U8330" t="s">
        <v>49589</v>
      </c>
      <c r="W8330" t="s">
        <v>37882</v>
      </c>
      <c r="X8330" t="s">
        <v>40446</v>
      </c>
    </row>
    <row r="8331" spans="1:24">
      <c r="A8331">
        <f>HYPERLINK("https://www.philgeps.gov.ph/GEPSNONPILOT/Tender/SplashBidNoticeAbstractUI.aspx?menuIndex=3&amp;refID=7036856&amp;Result=3","7036856")</f>
        <v>0</v>
      </c>
      <c r="B8331" t="s">
        <v>1501</v>
      </c>
      <c r="C8331" t="s">
        <v>11021</v>
      </c>
      <c r="D8331" t="s">
        <v>16192</v>
      </c>
      <c r="E8331" t="s">
        <v>23582</v>
      </c>
      <c r="F8331" t="s">
        <v>28198</v>
      </c>
      <c r="G8331" t="s">
        <v>28206</v>
      </c>
      <c r="H8331" t="s">
        <v>28215</v>
      </c>
      <c r="I8331" t="s">
        <v>4321</v>
      </c>
      <c r="J8331" t="s">
        <v>33555</v>
      </c>
      <c r="K8331" t="s">
        <v>36701</v>
      </c>
      <c r="M8331" t="s">
        <v>38576</v>
      </c>
      <c r="N8331" t="s">
        <v>40436</v>
      </c>
      <c r="O8331" t="s">
        <v>40437</v>
      </c>
      <c r="P8331">
        <v>0</v>
      </c>
      <c r="Q8331">
        <v>3</v>
      </c>
      <c r="R8331" t="s">
        <v>40445</v>
      </c>
      <c r="S8331" t="s">
        <v>40730</v>
      </c>
      <c r="T8331" t="s">
        <v>42124</v>
      </c>
      <c r="U8331" t="s">
        <v>49624</v>
      </c>
      <c r="W8331" t="s">
        <v>38576</v>
      </c>
      <c r="X8331" t="s">
        <v>40446</v>
      </c>
    </row>
    <row r="8332" spans="1:24">
      <c r="A8332">
        <f>HYPERLINK("https://www.philgeps.gov.ph/GEPSNONPILOT/Tender/SplashBidNoticeAbstractUI.aspx?menuIndex=3&amp;refID=7036828&amp;Result=3","7036828")</f>
        <v>0</v>
      </c>
      <c r="B8332" t="s">
        <v>2465</v>
      </c>
      <c r="C8332" t="s">
        <v>11022</v>
      </c>
      <c r="D8332" t="s">
        <v>16189</v>
      </c>
      <c r="E8332" t="s">
        <v>23583</v>
      </c>
      <c r="F8332" t="s">
        <v>28198</v>
      </c>
      <c r="G8332" t="s">
        <v>28205</v>
      </c>
      <c r="H8332" t="s">
        <v>28214</v>
      </c>
      <c r="I8332" t="s">
        <v>3797</v>
      </c>
      <c r="J8332" t="s">
        <v>32249</v>
      </c>
      <c r="K8332" t="s">
        <v>36825</v>
      </c>
      <c r="M8332" t="s">
        <v>39661</v>
      </c>
      <c r="N8332" t="s">
        <v>40436</v>
      </c>
      <c r="O8332" t="s">
        <v>40437</v>
      </c>
      <c r="P8332">
        <v>0</v>
      </c>
      <c r="Q8332">
        <v>3</v>
      </c>
      <c r="R8332" t="s">
        <v>40445</v>
      </c>
      <c r="S8332" t="s">
        <v>40730</v>
      </c>
      <c r="T8332" t="s">
        <v>42168</v>
      </c>
      <c r="U8332" t="s">
        <v>49625</v>
      </c>
      <c r="W8332" t="s">
        <v>39661</v>
      </c>
      <c r="X8332" t="s">
        <v>40446</v>
      </c>
    </row>
    <row r="8333" spans="1:24">
      <c r="A8333">
        <f>HYPERLINK("https://www.philgeps.gov.ph/GEPSNONPILOT/Tender/SplashBidNoticeAbstractUI.aspx?menuIndex=3&amp;refID=7036826&amp;Result=3","7036826")</f>
        <v>0</v>
      </c>
      <c r="B8333" t="s">
        <v>2042</v>
      </c>
      <c r="C8333" t="s">
        <v>11023</v>
      </c>
      <c r="D8333" t="s">
        <v>16260</v>
      </c>
      <c r="E8333" t="s">
        <v>23584</v>
      </c>
      <c r="F8333" t="s">
        <v>28198</v>
      </c>
      <c r="G8333" t="s">
        <v>28205</v>
      </c>
      <c r="H8333" t="s">
        <v>28215</v>
      </c>
      <c r="I8333" t="s">
        <v>28266</v>
      </c>
      <c r="J8333" t="s">
        <v>28442</v>
      </c>
      <c r="K8333" t="s">
        <v>36701</v>
      </c>
      <c r="M8333" t="s">
        <v>39186</v>
      </c>
      <c r="N8333" t="s">
        <v>40436</v>
      </c>
      <c r="O8333" t="s">
        <v>40437</v>
      </c>
      <c r="P8333">
        <v>0</v>
      </c>
      <c r="Q8333">
        <v>4</v>
      </c>
      <c r="R8333" t="s">
        <v>40445</v>
      </c>
      <c r="S8333" t="s">
        <v>40730</v>
      </c>
      <c r="T8333" t="s">
        <v>42132</v>
      </c>
      <c r="U8333" t="s">
        <v>49626</v>
      </c>
      <c r="W8333" t="s">
        <v>39186</v>
      </c>
      <c r="X8333" t="s">
        <v>40446</v>
      </c>
    </row>
    <row r="8334" spans="1:24">
      <c r="A8334">
        <f>HYPERLINK("https://www.philgeps.gov.ph/GEPSNONPILOT/Tender/SplashBidNoticeAbstractUI.aspx?menuIndex=3&amp;refID=7036849&amp;Result=3","7036849")</f>
        <v>0</v>
      </c>
      <c r="B8334" t="s">
        <v>2231</v>
      </c>
      <c r="C8334" t="s">
        <v>11024</v>
      </c>
      <c r="D8334" t="s">
        <v>16262</v>
      </c>
      <c r="E8334" t="s">
        <v>23585</v>
      </c>
      <c r="F8334" t="s">
        <v>28198</v>
      </c>
      <c r="G8334" t="s">
        <v>28205</v>
      </c>
      <c r="H8334" t="s">
        <v>28214</v>
      </c>
      <c r="I8334" t="s">
        <v>28235</v>
      </c>
      <c r="J8334" t="s">
        <v>28378</v>
      </c>
      <c r="K8334" t="s">
        <v>36777</v>
      </c>
      <c r="M8334" t="s">
        <v>39399</v>
      </c>
      <c r="N8334" t="s">
        <v>40436</v>
      </c>
      <c r="O8334" t="s">
        <v>40437</v>
      </c>
      <c r="P8334">
        <v>0</v>
      </c>
      <c r="Q8334">
        <v>0</v>
      </c>
      <c r="R8334" t="s">
        <v>40445</v>
      </c>
      <c r="S8334" t="s">
        <v>40730</v>
      </c>
      <c r="T8334" t="s">
        <v>42144</v>
      </c>
      <c r="U8334" t="s">
        <v>49627</v>
      </c>
      <c r="W8334" t="s">
        <v>39399</v>
      </c>
      <c r="X8334" t="s">
        <v>40446</v>
      </c>
    </row>
    <row r="8335" spans="1:24">
      <c r="A8335">
        <f>HYPERLINK("https://www.philgeps.gov.ph/GEPSNONPILOT/Tender/SplashBidNoticeAbstractUI.aspx?menuIndex=3&amp;refID=7036880&amp;Result=3","7036880")</f>
        <v>0</v>
      </c>
      <c r="B8335" t="s">
        <v>719</v>
      </c>
      <c r="C8335" t="s">
        <v>11025</v>
      </c>
      <c r="D8335" t="s">
        <v>16201</v>
      </c>
      <c r="E8335" t="s">
        <v>23586</v>
      </c>
      <c r="F8335" t="s">
        <v>28198</v>
      </c>
      <c r="G8335" t="s">
        <v>28205</v>
      </c>
      <c r="H8335" t="s">
        <v>28215</v>
      </c>
      <c r="I8335" t="s">
        <v>5071</v>
      </c>
      <c r="J8335" t="s">
        <v>33556</v>
      </c>
      <c r="K8335" t="s">
        <v>36701</v>
      </c>
      <c r="M8335" t="s">
        <v>39662</v>
      </c>
      <c r="N8335" t="s">
        <v>40436</v>
      </c>
      <c r="O8335" t="s">
        <v>40437</v>
      </c>
      <c r="P8335">
        <v>0</v>
      </c>
      <c r="Q8335">
        <v>1</v>
      </c>
      <c r="R8335" t="s">
        <v>40445</v>
      </c>
      <c r="S8335" t="s">
        <v>40730</v>
      </c>
      <c r="T8335" t="s">
        <v>42279</v>
      </c>
      <c r="U8335" t="s">
        <v>49628</v>
      </c>
      <c r="W8335" t="s">
        <v>39662</v>
      </c>
      <c r="X8335" t="s">
        <v>40446</v>
      </c>
    </row>
    <row r="8336" spans="1:24">
      <c r="A8336">
        <f>HYPERLINK("https://www.philgeps.gov.ph/GEPSNONPILOT/Tender/SplashBidNoticeAbstractUI.aspx?menuIndex=3&amp;refID=7036884&amp;Result=3","7036884")</f>
        <v>0</v>
      </c>
      <c r="B8336" t="s">
        <v>2465</v>
      </c>
      <c r="C8336" t="s">
        <v>11026</v>
      </c>
      <c r="D8336" t="s">
        <v>16189</v>
      </c>
      <c r="E8336" t="s">
        <v>23587</v>
      </c>
      <c r="F8336" t="s">
        <v>28198</v>
      </c>
      <c r="G8336" t="s">
        <v>28205</v>
      </c>
      <c r="H8336" t="s">
        <v>28214</v>
      </c>
      <c r="I8336" t="s">
        <v>3797</v>
      </c>
      <c r="J8336" t="s">
        <v>33349</v>
      </c>
      <c r="K8336" t="s">
        <v>36832</v>
      </c>
      <c r="M8336" t="s">
        <v>39661</v>
      </c>
      <c r="N8336" t="s">
        <v>40436</v>
      </c>
      <c r="O8336" t="s">
        <v>40437</v>
      </c>
      <c r="P8336">
        <v>0</v>
      </c>
      <c r="Q8336">
        <v>3</v>
      </c>
      <c r="R8336" t="s">
        <v>40445</v>
      </c>
      <c r="S8336" t="s">
        <v>40730</v>
      </c>
      <c r="T8336" t="s">
        <v>42168</v>
      </c>
      <c r="U8336" t="s">
        <v>49629</v>
      </c>
      <c r="W8336" t="s">
        <v>39661</v>
      </c>
      <c r="X8336" t="s">
        <v>40446</v>
      </c>
    </row>
    <row r="8337" spans="1:24">
      <c r="A8337">
        <f>HYPERLINK("https://www.philgeps.gov.ph/GEPSNONPILOT/Tender/SplashBidNoticeAbstractUI.aspx?menuIndex=3&amp;refID=7036863&amp;Result=3","7036863")</f>
        <v>0</v>
      </c>
      <c r="B8337" t="s">
        <v>2419</v>
      </c>
      <c r="C8337" t="s">
        <v>11027</v>
      </c>
      <c r="D8337" t="s">
        <v>16268</v>
      </c>
      <c r="E8337" t="s">
        <v>16329</v>
      </c>
      <c r="F8337" t="s">
        <v>28200</v>
      </c>
      <c r="G8337" t="s">
        <v>28205</v>
      </c>
      <c r="H8337" t="s">
        <v>28215</v>
      </c>
      <c r="I8337" t="s">
        <v>28238</v>
      </c>
      <c r="J8337" t="s">
        <v>33557</v>
      </c>
      <c r="K8337" t="s">
        <v>36715</v>
      </c>
      <c r="M8337" t="s">
        <v>39607</v>
      </c>
      <c r="N8337" t="s">
        <v>40436</v>
      </c>
      <c r="O8337" t="s">
        <v>40437</v>
      </c>
      <c r="P8337">
        <v>0</v>
      </c>
      <c r="Q8337">
        <v>9</v>
      </c>
      <c r="R8337" t="s">
        <v>40445</v>
      </c>
      <c r="S8337" t="s">
        <v>40730</v>
      </c>
      <c r="T8337" t="s">
        <v>42145</v>
      </c>
      <c r="U8337" t="s">
        <v>42746</v>
      </c>
      <c r="W8337" t="s">
        <v>39607</v>
      </c>
      <c r="X8337" t="s">
        <v>40446</v>
      </c>
    </row>
    <row r="8338" spans="1:24">
      <c r="A8338">
        <f>HYPERLINK("https://www.philgeps.gov.ph/GEPSNONPILOT/Tender/SplashBidNoticeAbstractUI.aspx?menuIndex=3&amp;refID=7036868&amp;Result=3","7036868")</f>
        <v>0</v>
      </c>
      <c r="B8338" t="s">
        <v>2465</v>
      </c>
      <c r="C8338" t="s">
        <v>11028</v>
      </c>
      <c r="D8338" t="s">
        <v>16189</v>
      </c>
      <c r="E8338" t="s">
        <v>23588</v>
      </c>
      <c r="F8338" t="s">
        <v>28198</v>
      </c>
      <c r="G8338" t="s">
        <v>28205</v>
      </c>
      <c r="H8338" t="s">
        <v>28214</v>
      </c>
      <c r="I8338" t="s">
        <v>3797</v>
      </c>
      <c r="J8338" t="s">
        <v>30308</v>
      </c>
      <c r="K8338" t="s">
        <v>36778</v>
      </c>
      <c r="M8338" t="s">
        <v>39661</v>
      </c>
      <c r="N8338" t="s">
        <v>40436</v>
      </c>
      <c r="O8338" t="s">
        <v>40437</v>
      </c>
      <c r="P8338">
        <v>0</v>
      </c>
      <c r="Q8338">
        <v>3</v>
      </c>
      <c r="R8338" t="s">
        <v>40445</v>
      </c>
      <c r="S8338" t="s">
        <v>40730</v>
      </c>
      <c r="T8338" t="s">
        <v>42168</v>
      </c>
      <c r="U8338" t="s">
        <v>49630</v>
      </c>
      <c r="W8338" t="s">
        <v>39661</v>
      </c>
      <c r="X8338" t="s">
        <v>40446</v>
      </c>
    </row>
    <row r="8339" spans="1:24">
      <c r="A8339">
        <f>HYPERLINK("https://www.philgeps.gov.ph/GEPSNONPILOT/Tender/SplashBidNoticeAbstractUI.aspx?menuIndex=3&amp;refID=7036876&amp;Result=3","7036876")</f>
        <v>0</v>
      </c>
      <c r="B8339" t="s">
        <v>1709</v>
      </c>
      <c r="C8339" t="s">
        <v>11029</v>
      </c>
      <c r="D8339" t="s">
        <v>16246</v>
      </c>
      <c r="E8339" t="s">
        <v>23589</v>
      </c>
      <c r="F8339" t="s">
        <v>28198</v>
      </c>
      <c r="G8339" t="s">
        <v>28210</v>
      </c>
      <c r="H8339" t="s">
        <v>28215</v>
      </c>
      <c r="I8339" t="s">
        <v>28227</v>
      </c>
      <c r="J8339" t="s">
        <v>33558</v>
      </c>
      <c r="K8339" t="s">
        <v>36701</v>
      </c>
      <c r="M8339" t="s">
        <v>38814</v>
      </c>
      <c r="N8339" t="s">
        <v>40436</v>
      </c>
      <c r="O8339" t="s">
        <v>40437</v>
      </c>
      <c r="P8339">
        <v>0</v>
      </c>
      <c r="Q8339">
        <v>0</v>
      </c>
      <c r="R8339" t="s">
        <v>40445</v>
      </c>
      <c r="S8339" t="s">
        <v>40730</v>
      </c>
      <c r="T8339" t="s">
        <v>42185</v>
      </c>
      <c r="U8339" t="s">
        <v>49631</v>
      </c>
      <c r="V8339" t="s">
        <v>54671</v>
      </c>
      <c r="W8339" t="s">
        <v>38814</v>
      </c>
      <c r="X8339" t="s">
        <v>40446</v>
      </c>
    </row>
    <row r="8340" spans="1:24">
      <c r="A8340">
        <f>HYPERLINK("https://www.philgeps.gov.ph/GEPSNONPILOT/Tender/SplashBidNoticeAbstractUI.aspx?menuIndex=3&amp;refID=7036851&amp;Result=3","7036851")</f>
        <v>0</v>
      </c>
      <c r="B8340" t="s">
        <v>2465</v>
      </c>
      <c r="C8340" t="s">
        <v>11030</v>
      </c>
      <c r="D8340" t="s">
        <v>16189</v>
      </c>
      <c r="E8340" t="s">
        <v>23590</v>
      </c>
      <c r="F8340" t="s">
        <v>28198</v>
      </c>
      <c r="G8340" t="s">
        <v>28205</v>
      </c>
      <c r="H8340" t="s">
        <v>28214</v>
      </c>
      <c r="I8340" t="s">
        <v>3797</v>
      </c>
      <c r="J8340" t="s">
        <v>30308</v>
      </c>
      <c r="K8340" t="s">
        <v>36778</v>
      </c>
      <c r="M8340" t="s">
        <v>39661</v>
      </c>
      <c r="N8340" t="s">
        <v>40436</v>
      </c>
      <c r="O8340" t="s">
        <v>40437</v>
      </c>
      <c r="P8340">
        <v>0</v>
      </c>
      <c r="Q8340">
        <v>3</v>
      </c>
      <c r="R8340" t="s">
        <v>40445</v>
      </c>
      <c r="S8340" t="s">
        <v>40730</v>
      </c>
      <c r="T8340" t="s">
        <v>42168</v>
      </c>
      <c r="U8340" t="s">
        <v>49632</v>
      </c>
      <c r="W8340" t="s">
        <v>39661</v>
      </c>
      <c r="X8340" t="s">
        <v>40446</v>
      </c>
    </row>
    <row r="8341" spans="1:24">
      <c r="A8341">
        <f>HYPERLINK("https://www.philgeps.gov.ph/GEPSNONPILOT/Tender/SplashBidNoticeAbstractUI.aspx?menuIndex=3&amp;refID=7036874&amp;Result=3","7036874")</f>
        <v>0</v>
      </c>
      <c r="B8341" t="s">
        <v>1105</v>
      </c>
      <c r="C8341" t="s">
        <v>11031</v>
      </c>
      <c r="D8341" t="s">
        <v>16206</v>
      </c>
      <c r="E8341" t="s">
        <v>16518</v>
      </c>
      <c r="F8341" t="s">
        <v>28198</v>
      </c>
      <c r="G8341" t="s">
        <v>28205</v>
      </c>
      <c r="H8341" t="s">
        <v>28214</v>
      </c>
      <c r="I8341" t="s">
        <v>3797</v>
      </c>
      <c r="J8341" t="s">
        <v>33559</v>
      </c>
      <c r="K8341" t="s">
        <v>36761</v>
      </c>
      <c r="M8341" t="s">
        <v>38141</v>
      </c>
      <c r="N8341" t="s">
        <v>40436</v>
      </c>
      <c r="O8341" t="s">
        <v>40437</v>
      </c>
      <c r="Q8341">
        <v>13</v>
      </c>
      <c r="R8341" t="s">
        <v>40445</v>
      </c>
      <c r="S8341" t="s">
        <v>40747</v>
      </c>
      <c r="T8341" t="s">
        <v>42168</v>
      </c>
      <c r="U8341" t="s">
        <v>49633</v>
      </c>
      <c r="V8341" t="s">
        <v>54672</v>
      </c>
      <c r="W8341" t="s">
        <v>38141</v>
      </c>
      <c r="X8341" t="s">
        <v>40446</v>
      </c>
    </row>
    <row r="8342" spans="1:24">
      <c r="A8342">
        <f>HYPERLINK("https://www.philgeps.gov.ph/GEPSNONPILOT/Tender/SplashBidNoticeAbstractUI.aspx?menuIndex=3&amp;refID=7036864&amp;Result=3","7036864")</f>
        <v>0</v>
      </c>
      <c r="B8342" t="s">
        <v>2399</v>
      </c>
      <c r="C8342" t="s">
        <v>11032</v>
      </c>
      <c r="D8342" t="s">
        <v>16189</v>
      </c>
      <c r="E8342" t="s">
        <v>23591</v>
      </c>
      <c r="F8342" t="s">
        <v>28198</v>
      </c>
      <c r="G8342" t="s">
        <v>28205</v>
      </c>
      <c r="H8342" t="s">
        <v>28214</v>
      </c>
      <c r="I8342" t="s">
        <v>3797</v>
      </c>
      <c r="J8342" t="s">
        <v>28363</v>
      </c>
      <c r="K8342" t="s">
        <v>36789</v>
      </c>
      <c r="M8342" t="s">
        <v>39586</v>
      </c>
      <c r="N8342" t="s">
        <v>40436</v>
      </c>
      <c r="O8342" t="s">
        <v>40437</v>
      </c>
      <c r="P8342">
        <v>0</v>
      </c>
      <c r="Q8342">
        <v>0</v>
      </c>
      <c r="R8342" t="s">
        <v>40445</v>
      </c>
      <c r="S8342" t="s">
        <v>40730</v>
      </c>
      <c r="T8342" t="s">
        <v>42482</v>
      </c>
      <c r="U8342" t="s">
        <v>49634</v>
      </c>
      <c r="W8342" t="s">
        <v>55514</v>
      </c>
      <c r="X8342" t="s">
        <v>40446</v>
      </c>
    </row>
    <row r="8343" spans="1:24">
      <c r="A8343">
        <f>HYPERLINK("https://www.philgeps.gov.ph/GEPSNONPILOT/Tender/SplashBidNoticeAbstractUI.aspx?menuIndex=3&amp;refID=7036885&amp;Result=3","7036885")</f>
        <v>0</v>
      </c>
      <c r="B8343" t="s">
        <v>870</v>
      </c>
      <c r="C8343" t="s">
        <v>11033</v>
      </c>
      <c r="D8343" t="s">
        <v>16221</v>
      </c>
      <c r="E8343" t="s">
        <v>23592</v>
      </c>
      <c r="F8343" t="s">
        <v>28198</v>
      </c>
      <c r="G8343" t="s">
        <v>28205</v>
      </c>
      <c r="H8343" t="s">
        <v>28214</v>
      </c>
      <c r="I8343" t="s">
        <v>3797</v>
      </c>
      <c r="J8343" t="s">
        <v>29526</v>
      </c>
      <c r="K8343" t="s">
        <v>36690</v>
      </c>
      <c r="M8343" t="s">
        <v>37882</v>
      </c>
      <c r="N8343" t="s">
        <v>40436</v>
      </c>
      <c r="O8343" t="s">
        <v>40437</v>
      </c>
      <c r="P8343">
        <v>0</v>
      </c>
      <c r="Q8343">
        <v>4</v>
      </c>
      <c r="R8343" t="s">
        <v>40445</v>
      </c>
      <c r="S8343" t="s">
        <v>40730</v>
      </c>
      <c r="T8343" t="s">
        <v>42279</v>
      </c>
      <c r="U8343" t="s">
        <v>49589</v>
      </c>
      <c r="W8343" t="s">
        <v>37882</v>
      </c>
      <c r="X8343" t="s">
        <v>40446</v>
      </c>
    </row>
    <row r="8344" spans="1:24">
      <c r="A8344">
        <f>HYPERLINK("https://www.philgeps.gov.ph/GEPSNONPILOT/Tender/SplashBidNoticeAbstractUI.aspx?menuIndex=3&amp;refID=7036855&amp;Result=3","7036855")</f>
        <v>0</v>
      </c>
      <c r="B8344" t="s">
        <v>1705</v>
      </c>
      <c r="C8344" t="s">
        <v>6575</v>
      </c>
      <c r="D8344" t="s">
        <v>16192</v>
      </c>
      <c r="E8344" t="s">
        <v>23593</v>
      </c>
      <c r="F8344" t="s">
        <v>28198</v>
      </c>
      <c r="G8344" t="s">
        <v>28205</v>
      </c>
      <c r="H8344" t="s">
        <v>28215</v>
      </c>
      <c r="I8344" t="s">
        <v>5100</v>
      </c>
      <c r="J8344" t="s">
        <v>33560</v>
      </c>
      <c r="K8344" t="s">
        <v>36718</v>
      </c>
      <c r="M8344" t="s">
        <v>38808</v>
      </c>
      <c r="N8344" t="s">
        <v>40436</v>
      </c>
      <c r="O8344" t="s">
        <v>40437</v>
      </c>
      <c r="P8344">
        <v>0</v>
      </c>
      <c r="Q8344">
        <v>1</v>
      </c>
      <c r="R8344" t="s">
        <v>40445</v>
      </c>
      <c r="S8344" t="s">
        <v>40730</v>
      </c>
      <c r="T8344" t="s">
        <v>42168</v>
      </c>
      <c r="U8344" t="s">
        <v>49635</v>
      </c>
      <c r="V8344" t="s">
        <v>54271</v>
      </c>
      <c r="W8344" t="s">
        <v>38808</v>
      </c>
      <c r="X8344" t="s">
        <v>40446</v>
      </c>
    </row>
    <row r="8345" spans="1:24">
      <c r="A8345">
        <f>HYPERLINK("https://www.philgeps.gov.ph/GEPSNONPILOT/Tender/SplashBidNoticeAbstractUI.aspx?menuIndex=3&amp;refID=7036960&amp;Result=3","7036960")</f>
        <v>0</v>
      </c>
      <c r="B8345" t="s">
        <v>1210</v>
      </c>
      <c r="C8345" t="s">
        <v>11034</v>
      </c>
      <c r="D8345" t="s">
        <v>16230</v>
      </c>
      <c r="E8345" t="s">
        <v>23594</v>
      </c>
      <c r="F8345" t="s">
        <v>28198</v>
      </c>
      <c r="G8345" t="s">
        <v>28207</v>
      </c>
      <c r="H8345" t="s">
        <v>28215</v>
      </c>
      <c r="I8345" t="s">
        <v>28238</v>
      </c>
      <c r="J8345" t="s">
        <v>33561</v>
      </c>
      <c r="K8345" t="s">
        <v>36692</v>
      </c>
      <c r="M8345" t="s">
        <v>38255</v>
      </c>
      <c r="N8345" t="s">
        <v>40436</v>
      </c>
      <c r="O8345" t="s">
        <v>40437</v>
      </c>
      <c r="P8345">
        <v>0</v>
      </c>
      <c r="Q8345">
        <v>7</v>
      </c>
      <c r="R8345" t="s">
        <v>40445</v>
      </c>
      <c r="S8345" t="s">
        <v>40730</v>
      </c>
      <c r="T8345" t="s">
        <v>42245</v>
      </c>
      <c r="U8345" t="s">
        <v>49636</v>
      </c>
      <c r="W8345" t="s">
        <v>55476</v>
      </c>
      <c r="X8345" t="s">
        <v>40446</v>
      </c>
    </row>
    <row r="8346" spans="1:24">
      <c r="A8346">
        <f>HYPERLINK("https://www.philgeps.gov.ph/GEPSNONPILOT/Tender/SplashBidNoticeAbstractUI.aspx?menuIndex=3&amp;refID=7036852&amp;Result=3","7036852")</f>
        <v>0</v>
      </c>
      <c r="B8346" t="s">
        <v>694</v>
      </c>
      <c r="C8346" t="s">
        <v>11035</v>
      </c>
      <c r="D8346" t="s">
        <v>16200</v>
      </c>
      <c r="E8346" t="s">
        <v>23595</v>
      </c>
      <c r="F8346" t="s">
        <v>28198</v>
      </c>
      <c r="G8346" t="s">
        <v>28205</v>
      </c>
      <c r="H8346" t="s">
        <v>28214</v>
      </c>
      <c r="I8346" t="s">
        <v>3797</v>
      </c>
      <c r="J8346" t="s">
        <v>33562</v>
      </c>
      <c r="K8346" t="s">
        <v>36692</v>
      </c>
      <c r="L8346" t="s">
        <v>694</v>
      </c>
      <c r="M8346" t="s">
        <v>37694</v>
      </c>
      <c r="N8346" t="s">
        <v>40436</v>
      </c>
      <c r="O8346" t="s">
        <v>40437</v>
      </c>
      <c r="Q8346">
        <v>2</v>
      </c>
      <c r="R8346" t="s">
        <v>40445</v>
      </c>
      <c r="S8346" t="s">
        <v>40748</v>
      </c>
      <c r="T8346" t="s">
        <v>42279</v>
      </c>
      <c r="U8346" t="s">
        <v>49637</v>
      </c>
      <c r="W8346" t="s">
        <v>37694</v>
      </c>
      <c r="X8346" t="s">
        <v>40446</v>
      </c>
    </row>
    <row r="8347" spans="1:24">
      <c r="A8347">
        <f>HYPERLINK("https://www.philgeps.gov.ph/GEPSNONPILOT/Tender/SplashBidNoticeAbstractUI.aspx?menuIndex=3&amp;refID=7036959&amp;Result=3","7036959")</f>
        <v>0</v>
      </c>
      <c r="B8347" t="s">
        <v>2465</v>
      </c>
      <c r="C8347" t="s">
        <v>11036</v>
      </c>
      <c r="D8347" t="s">
        <v>16189</v>
      </c>
      <c r="E8347" t="s">
        <v>23596</v>
      </c>
      <c r="F8347" t="s">
        <v>28198</v>
      </c>
      <c r="G8347" t="s">
        <v>28205</v>
      </c>
      <c r="H8347" t="s">
        <v>28214</v>
      </c>
      <c r="I8347" t="s">
        <v>3797</v>
      </c>
      <c r="J8347" t="s">
        <v>33563</v>
      </c>
      <c r="K8347" t="s">
        <v>36832</v>
      </c>
      <c r="M8347" t="s">
        <v>39661</v>
      </c>
      <c r="N8347" t="s">
        <v>40436</v>
      </c>
      <c r="O8347" t="s">
        <v>40437</v>
      </c>
      <c r="P8347">
        <v>0</v>
      </c>
      <c r="Q8347">
        <v>3</v>
      </c>
      <c r="R8347" t="s">
        <v>40445</v>
      </c>
      <c r="S8347" t="s">
        <v>40730</v>
      </c>
      <c r="T8347" t="s">
        <v>42168</v>
      </c>
      <c r="U8347" t="s">
        <v>49638</v>
      </c>
      <c r="W8347" t="s">
        <v>39661</v>
      </c>
      <c r="X8347" t="s">
        <v>40446</v>
      </c>
    </row>
    <row r="8348" spans="1:24">
      <c r="A8348">
        <f>HYPERLINK("https://www.philgeps.gov.ph/GEPSNONPILOT/Tender/SplashBidNoticeAbstractUI.aspx?menuIndex=3&amp;refID=7036952&amp;Result=3","7036952")</f>
        <v>0</v>
      </c>
      <c r="B8348" t="s">
        <v>2466</v>
      </c>
      <c r="C8348" t="s">
        <v>11037</v>
      </c>
      <c r="D8348" t="s">
        <v>16232</v>
      </c>
      <c r="E8348" t="s">
        <v>23298</v>
      </c>
      <c r="F8348" t="s">
        <v>28200</v>
      </c>
      <c r="G8348" t="s">
        <v>28205</v>
      </c>
      <c r="H8348" t="s">
        <v>28215</v>
      </c>
      <c r="I8348" t="s">
        <v>28246</v>
      </c>
      <c r="J8348" t="s">
        <v>33564</v>
      </c>
      <c r="K8348" t="s">
        <v>36689</v>
      </c>
      <c r="M8348" t="s">
        <v>39663</v>
      </c>
      <c r="N8348" t="s">
        <v>40436</v>
      </c>
      <c r="O8348" t="s">
        <v>40437</v>
      </c>
      <c r="P8348">
        <v>0</v>
      </c>
      <c r="Q8348">
        <v>0</v>
      </c>
      <c r="R8348" t="s">
        <v>40445</v>
      </c>
      <c r="S8348" t="s">
        <v>40730</v>
      </c>
      <c r="T8348" t="s">
        <v>42098</v>
      </c>
      <c r="U8348" t="s">
        <v>49639</v>
      </c>
      <c r="W8348" t="s">
        <v>39663</v>
      </c>
      <c r="X8348" t="s">
        <v>40446</v>
      </c>
    </row>
    <row r="8349" spans="1:24">
      <c r="A8349">
        <f>HYPERLINK("https://www.philgeps.gov.ph/GEPSNONPILOT/Tender/SplashBidNoticeAbstractUI.aspx?menuIndex=3&amp;refID=7036961&amp;Result=3","7036961")</f>
        <v>0</v>
      </c>
      <c r="B8349" t="s">
        <v>2133</v>
      </c>
      <c r="C8349" t="s">
        <v>11038</v>
      </c>
      <c r="D8349" t="s">
        <v>16203</v>
      </c>
      <c r="E8349" t="s">
        <v>16955</v>
      </c>
      <c r="F8349" t="s">
        <v>28198</v>
      </c>
      <c r="G8349" t="s">
        <v>28205</v>
      </c>
      <c r="H8349" t="s">
        <v>28214</v>
      </c>
      <c r="I8349" t="s">
        <v>3797</v>
      </c>
      <c r="J8349" t="s">
        <v>28351</v>
      </c>
      <c r="K8349" t="s">
        <v>36694</v>
      </c>
      <c r="M8349" t="s">
        <v>39290</v>
      </c>
      <c r="N8349" t="s">
        <v>40436</v>
      </c>
      <c r="O8349" t="s">
        <v>40437</v>
      </c>
      <c r="P8349">
        <v>0</v>
      </c>
      <c r="Q8349">
        <v>1</v>
      </c>
      <c r="R8349" t="s">
        <v>40445</v>
      </c>
      <c r="S8349" t="s">
        <v>40730</v>
      </c>
      <c r="T8349" t="s">
        <v>42234</v>
      </c>
      <c r="U8349" t="s">
        <v>49640</v>
      </c>
      <c r="W8349" t="s">
        <v>39290</v>
      </c>
      <c r="X8349" t="s">
        <v>40446</v>
      </c>
    </row>
    <row r="8350" spans="1:24">
      <c r="A8350">
        <f>HYPERLINK("https://www.philgeps.gov.ph/GEPSNONPILOT/Tender/SplashBidNoticeAbstractUI.aspx?menuIndex=3&amp;refID=7036934&amp;Result=3","7036934")</f>
        <v>0</v>
      </c>
      <c r="B8350" t="s">
        <v>2465</v>
      </c>
      <c r="C8350" t="s">
        <v>11039</v>
      </c>
      <c r="D8350" t="s">
        <v>16189</v>
      </c>
      <c r="E8350" t="s">
        <v>23597</v>
      </c>
      <c r="F8350" t="s">
        <v>28198</v>
      </c>
      <c r="G8350" t="s">
        <v>28205</v>
      </c>
      <c r="H8350" t="s">
        <v>28214</v>
      </c>
      <c r="I8350" t="s">
        <v>3797</v>
      </c>
      <c r="J8350" t="s">
        <v>28817</v>
      </c>
      <c r="K8350" t="s">
        <v>36832</v>
      </c>
      <c r="M8350" t="s">
        <v>39661</v>
      </c>
      <c r="N8350" t="s">
        <v>40436</v>
      </c>
      <c r="O8350" t="s">
        <v>40437</v>
      </c>
      <c r="P8350">
        <v>0</v>
      </c>
      <c r="Q8350">
        <v>3</v>
      </c>
      <c r="R8350" t="s">
        <v>40445</v>
      </c>
      <c r="S8350" t="s">
        <v>40730</v>
      </c>
      <c r="T8350" t="s">
        <v>42168</v>
      </c>
      <c r="U8350" t="s">
        <v>49641</v>
      </c>
      <c r="W8350" t="s">
        <v>39661</v>
      </c>
      <c r="X8350" t="s">
        <v>40446</v>
      </c>
    </row>
    <row r="8351" spans="1:24">
      <c r="A8351">
        <f>HYPERLINK("https://www.philgeps.gov.ph/GEPSNONPILOT/Tender/SplashBidNoticeAbstractUI.aspx?menuIndex=3&amp;refID=7036890&amp;Result=3","7036890")</f>
        <v>0</v>
      </c>
      <c r="B8351" t="s">
        <v>1450</v>
      </c>
      <c r="C8351" t="s">
        <v>11040</v>
      </c>
      <c r="D8351" t="s">
        <v>16241</v>
      </c>
      <c r="E8351" t="s">
        <v>17562</v>
      </c>
      <c r="F8351" t="s">
        <v>28198</v>
      </c>
      <c r="G8351" t="s">
        <v>28206</v>
      </c>
      <c r="H8351" t="s">
        <v>28215</v>
      </c>
      <c r="I8351" t="s">
        <v>28269</v>
      </c>
      <c r="J8351" t="s">
        <v>28589</v>
      </c>
      <c r="K8351" t="s">
        <v>36688</v>
      </c>
      <c r="M8351" t="s">
        <v>38517</v>
      </c>
      <c r="N8351" t="s">
        <v>40436</v>
      </c>
      <c r="O8351" t="s">
        <v>40437</v>
      </c>
      <c r="P8351">
        <v>0</v>
      </c>
      <c r="Q8351">
        <v>0</v>
      </c>
      <c r="R8351" t="s">
        <v>40445</v>
      </c>
      <c r="S8351" t="s">
        <v>40730</v>
      </c>
      <c r="T8351" t="s">
        <v>42169</v>
      </c>
      <c r="U8351" t="s">
        <v>49642</v>
      </c>
      <c r="W8351" t="s">
        <v>38517</v>
      </c>
      <c r="X8351" t="s">
        <v>40446</v>
      </c>
    </row>
    <row r="8352" spans="1:24">
      <c r="A8352">
        <f>HYPERLINK("https://www.philgeps.gov.ph/GEPSNONPILOT/Tender/SplashBidNoticeAbstractUI.aspx?menuIndex=3&amp;refID=7036946&amp;Result=3","7036946")</f>
        <v>0</v>
      </c>
      <c r="B8352" t="s">
        <v>2256</v>
      </c>
      <c r="C8352" t="s">
        <v>11041</v>
      </c>
      <c r="D8352" t="s">
        <v>16209</v>
      </c>
      <c r="E8352" t="s">
        <v>23598</v>
      </c>
      <c r="F8352" t="s">
        <v>28198</v>
      </c>
      <c r="G8352" t="s">
        <v>28205</v>
      </c>
      <c r="H8352" t="s">
        <v>28215</v>
      </c>
      <c r="I8352" t="s">
        <v>4168</v>
      </c>
      <c r="J8352" t="s">
        <v>33081</v>
      </c>
      <c r="K8352" t="s">
        <v>36707</v>
      </c>
      <c r="M8352" t="s">
        <v>39426</v>
      </c>
      <c r="N8352" t="s">
        <v>40436</v>
      </c>
      <c r="O8352" t="s">
        <v>40437</v>
      </c>
      <c r="P8352">
        <v>0</v>
      </c>
      <c r="Q8352">
        <v>0</v>
      </c>
      <c r="R8352" t="s">
        <v>40445</v>
      </c>
      <c r="S8352" t="s">
        <v>40730</v>
      </c>
      <c r="T8352" t="s">
        <v>42184</v>
      </c>
      <c r="U8352" t="s">
        <v>49643</v>
      </c>
      <c r="W8352" t="s">
        <v>39426</v>
      </c>
      <c r="X8352" t="s">
        <v>40446</v>
      </c>
    </row>
    <row r="8353" spans="1:24">
      <c r="A8353">
        <f>HYPERLINK("https://www.philgeps.gov.ph/GEPSNONPILOT/Tender/SplashBidNoticeAbstractUI.aspx?menuIndex=3&amp;refID=7036931&amp;Result=3","7036931")</f>
        <v>0</v>
      </c>
      <c r="B8353" t="s">
        <v>501</v>
      </c>
      <c r="C8353" t="s">
        <v>11042</v>
      </c>
      <c r="D8353" t="s">
        <v>16210</v>
      </c>
      <c r="E8353" t="s">
        <v>23599</v>
      </c>
      <c r="F8353" t="s">
        <v>28198</v>
      </c>
      <c r="G8353" t="s">
        <v>28207</v>
      </c>
      <c r="H8353" t="s">
        <v>28215</v>
      </c>
      <c r="I8353" t="s">
        <v>3774</v>
      </c>
      <c r="J8353" t="s">
        <v>33565</v>
      </c>
      <c r="K8353" t="s">
        <v>36688</v>
      </c>
      <c r="M8353" t="s">
        <v>38072</v>
      </c>
      <c r="N8353" t="s">
        <v>40436</v>
      </c>
      <c r="O8353" t="s">
        <v>40437</v>
      </c>
      <c r="P8353">
        <v>0</v>
      </c>
      <c r="Q8353">
        <v>0</v>
      </c>
      <c r="R8353" t="s">
        <v>40445</v>
      </c>
      <c r="S8353" t="s">
        <v>40730</v>
      </c>
      <c r="T8353" t="s">
        <v>42233</v>
      </c>
      <c r="U8353" t="s">
        <v>49644</v>
      </c>
      <c r="W8353" t="s">
        <v>38072</v>
      </c>
      <c r="X8353" t="s">
        <v>40446</v>
      </c>
    </row>
    <row r="8354" spans="1:24">
      <c r="A8354">
        <f>HYPERLINK("https://www.philgeps.gov.ph/GEPSNONPILOT/Tender/SplashBidNoticeAbstractUI.aspx?menuIndex=3&amp;refID=7036943&amp;Result=3","7036943")</f>
        <v>0</v>
      </c>
      <c r="B8354" t="s">
        <v>248</v>
      </c>
      <c r="C8354" t="s">
        <v>11043</v>
      </c>
      <c r="D8354" t="s">
        <v>16221</v>
      </c>
      <c r="E8354" t="s">
        <v>23600</v>
      </c>
      <c r="F8354" t="s">
        <v>28198</v>
      </c>
      <c r="G8354" t="s">
        <v>28205</v>
      </c>
      <c r="H8354" t="s">
        <v>28214</v>
      </c>
      <c r="I8354" t="s">
        <v>8870</v>
      </c>
      <c r="J8354" t="s">
        <v>33566</v>
      </c>
      <c r="K8354" t="s">
        <v>36697</v>
      </c>
      <c r="M8354" t="s">
        <v>37224</v>
      </c>
      <c r="N8354" t="s">
        <v>40436</v>
      </c>
      <c r="O8354" t="s">
        <v>40437</v>
      </c>
      <c r="P8354">
        <v>0</v>
      </c>
      <c r="Q8354">
        <v>4</v>
      </c>
      <c r="R8354" t="s">
        <v>40445</v>
      </c>
      <c r="S8354" t="s">
        <v>40730</v>
      </c>
      <c r="T8354" t="s">
        <v>42234</v>
      </c>
      <c r="U8354" t="s">
        <v>44801</v>
      </c>
      <c r="W8354" t="s">
        <v>37224</v>
      </c>
      <c r="X8354" t="s">
        <v>40446</v>
      </c>
    </row>
    <row r="8355" spans="1:24">
      <c r="A8355">
        <f>HYPERLINK("https://www.philgeps.gov.ph/GEPSNONPILOT/Tender/SplashBidNoticeAbstractUI.aspx?menuIndex=3&amp;refID=7036894&amp;Result=3","7036894")</f>
        <v>0</v>
      </c>
      <c r="B8355" t="s">
        <v>2467</v>
      </c>
      <c r="C8355" t="s">
        <v>11044</v>
      </c>
      <c r="D8355" t="s">
        <v>16248</v>
      </c>
      <c r="E8355" t="s">
        <v>23601</v>
      </c>
      <c r="F8355" t="s">
        <v>28198</v>
      </c>
      <c r="G8355" t="s">
        <v>28205</v>
      </c>
      <c r="H8355" t="s">
        <v>28215</v>
      </c>
      <c r="I8355" t="s">
        <v>28225</v>
      </c>
      <c r="J8355" t="s">
        <v>33567</v>
      </c>
      <c r="K8355" t="s">
        <v>36688</v>
      </c>
      <c r="M8355" t="s">
        <v>39664</v>
      </c>
      <c r="N8355" t="s">
        <v>40436</v>
      </c>
      <c r="O8355" t="s">
        <v>40437</v>
      </c>
      <c r="P8355">
        <v>0</v>
      </c>
      <c r="Q8355">
        <v>7</v>
      </c>
      <c r="R8355" t="s">
        <v>40445</v>
      </c>
      <c r="S8355" t="s">
        <v>40730</v>
      </c>
      <c r="T8355" t="s">
        <v>42457</v>
      </c>
      <c r="U8355" t="s">
        <v>49645</v>
      </c>
      <c r="W8355" t="s">
        <v>39664</v>
      </c>
      <c r="X8355" t="s">
        <v>40446</v>
      </c>
    </row>
    <row r="8356" spans="1:24">
      <c r="A8356">
        <f>HYPERLINK("https://www.philgeps.gov.ph/GEPSNONPILOT/Tender/SplashBidNoticeAbstractUI.aspx?menuIndex=3&amp;refID=7036956&amp;Result=3","7036956")</f>
        <v>0</v>
      </c>
      <c r="B8356" t="s">
        <v>2467</v>
      </c>
      <c r="C8356" t="s">
        <v>11045</v>
      </c>
      <c r="D8356" t="s">
        <v>16248</v>
      </c>
      <c r="E8356" t="s">
        <v>23602</v>
      </c>
      <c r="F8356" t="s">
        <v>28198</v>
      </c>
      <c r="G8356" t="s">
        <v>28205</v>
      </c>
      <c r="H8356" t="s">
        <v>28215</v>
      </c>
      <c r="I8356" t="s">
        <v>8888</v>
      </c>
      <c r="J8356" t="s">
        <v>33568</v>
      </c>
      <c r="K8356" t="s">
        <v>36688</v>
      </c>
      <c r="M8356" t="s">
        <v>39664</v>
      </c>
      <c r="N8356" t="s">
        <v>40436</v>
      </c>
      <c r="O8356" t="s">
        <v>40437</v>
      </c>
      <c r="P8356">
        <v>0</v>
      </c>
      <c r="Q8356">
        <v>1</v>
      </c>
      <c r="R8356" t="s">
        <v>40445</v>
      </c>
      <c r="S8356" t="s">
        <v>40730</v>
      </c>
      <c r="T8356" t="s">
        <v>42350</v>
      </c>
      <c r="U8356" t="s">
        <v>49646</v>
      </c>
      <c r="W8356" t="s">
        <v>39664</v>
      </c>
      <c r="X8356" t="s">
        <v>40446</v>
      </c>
    </row>
    <row r="8357" spans="1:24">
      <c r="A8357">
        <f>HYPERLINK("https://www.philgeps.gov.ph/GEPSNONPILOT/Tender/SplashBidNoticeAbstractUI.aspx?menuIndex=3&amp;refID=7036976&amp;Result=3","7036976")</f>
        <v>0</v>
      </c>
      <c r="B8357" t="s">
        <v>2464</v>
      </c>
      <c r="C8357" t="s">
        <v>11046</v>
      </c>
      <c r="D8357" t="s">
        <v>16197</v>
      </c>
      <c r="E8357" t="s">
        <v>23603</v>
      </c>
      <c r="F8357" t="s">
        <v>28198</v>
      </c>
      <c r="G8357" t="s">
        <v>28205</v>
      </c>
      <c r="H8357" t="s">
        <v>28215</v>
      </c>
      <c r="I8357" t="s">
        <v>28222</v>
      </c>
      <c r="J8357" t="s">
        <v>33569</v>
      </c>
      <c r="K8357" t="s">
        <v>36707</v>
      </c>
      <c r="M8357" t="s">
        <v>39660</v>
      </c>
      <c r="N8357" t="s">
        <v>40436</v>
      </c>
      <c r="O8357" t="s">
        <v>40437</v>
      </c>
      <c r="P8357">
        <v>0</v>
      </c>
      <c r="Q8357">
        <v>3</v>
      </c>
      <c r="R8357" t="s">
        <v>40445</v>
      </c>
      <c r="S8357" t="s">
        <v>40730</v>
      </c>
      <c r="T8357" t="s">
        <v>42232</v>
      </c>
      <c r="U8357" t="s">
        <v>49647</v>
      </c>
      <c r="W8357" t="s">
        <v>39660</v>
      </c>
      <c r="X8357" t="s">
        <v>40446</v>
      </c>
    </row>
    <row r="8358" spans="1:24">
      <c r="A8358">
        <f>HYPERLINK("https://www.philgeps.gov.ph/GEPSNONPILOT/Tender/SplashBidNoticeAbstractUI.aspx?menuIndex=3&amp;refID=7036941&amp;Result=3","7036941")</f>
        <v>0</v>
      </c>
      <c r="B8358" t="s">
        <v>473</v>
      </c>
      <c r="C8358" t="s">
        <v>11047</v>
      </c>
      <c r="D8358" t="s">
        <v>16223</v>
      </c>
      <c r="E8358" t="s">
        <v>23604</v>
      </c>
      <c r="F8358" t="s">
        <v>28198</v>
      </c>
      <c r="G8358" t="s">
        <v>28207</v>
      </c>
      <c r="H8358" t="s">
        <v>28215</v>
      </c>
      <c r="I8358" t="s">
        <v>28224</v>
      </c>
      <c r="J8358" t="s">
        <v>33570</v>
      </c>
      <c r="K8358" t="s">
        <v>36698</v>
      </c>
      <c r="M8358" t="s">
        <v>37458</v>
      </c>
      <c r="N8358" t="s">
        <v>40436</v>
      </c>
      <c r="O8358" t="s">
        <v>40437</v>
      </c>
      <c r="Q8358">
        <v>1</v>
      </c>
      <c r="R8358" t="s">
        <v>40445</v>
      </c>
      <c r="S8358" t="s">
        <v>40749</v>
      </c>
      <c r="T8358" t="s">
        <v>42169</v>
      </c>
      <c r="U8358" t="s">
        <v>49648</v>
      </c>
      <c r="W8358" t="s">
        <v>37458</v>
      </c>
      <c r="X8358" t="s">
        <v>40446</v>
      </c>
    </row>
    <row r="8359" spans="1:24">
      <c r="A8359">
        <f>HYPERLINK("https://www.philgeps.gov.ph/GEPSNONPILOT/Tender/SplashBidNoticeAbstractUI.aspx?menuIndex=3&amp;refID=7036920&amp;Result=3","7036920")</f>
        <v>0</v>
      </c>
      <c r="B8359" t="s">
        <v>2468</v>
      </c>
      <c r="C8359" t="s">
        <v>11048</v>
      </c>
      <c r="D8359" t="s">
        <v>16245</v>
      </c>
      <c r="E8359" t="s">
        <v>17542</v>
      </c>
      <c r="F8359" t="s">
        <v>28198</v>
      </c>
      <c r="G8359" t="s">
        <v>28205</v>
      </c>
      <c r="H8359" t="s">
        <v>28214</v>
      </c>
      <c r="I8359" t="s">
        <v>3797</v>
      </c>
      <c r="J8359" t="s">
        <v>33571</v>
      </c>
      <c r="K8359" t="s">
        <v>36692</v>
      </c>
      <c r="M8359" t="s">
        <v>39665</v>
      </c>
      <c r="N8359" t="s">
        <v>40436</v>
      </c>
      <c r="O8359" t="s">
        <v>40437</v>
      </c>
      <c r="P8359">
        <v>0</v>
      </c>
      <c r="Q8359">
        <v>0</v>
      </c>
      <c r="R8359" t="s">
        <v>40445</v>
      </c>
      <c r="S8359" t="s">
        <v>40730</v>
      </c>
      <c r="T8359" t="s">
        <v>42279</v>
      </c>
      <c r="U8359" t="s">
        <v>49649</v>
      </c>
      <c r="W8359" t="s">
        <v>39665</v>
      </c>
      <c r="X8359" t="s">
        <v>40446</v>
      </c>
    </row>
    <row r="8360" spans="1:24">
      <c r="A8360">
        <f>HYPERLINK("https://www.philgeps.gov.ph/GEPSNONPILOT/Tender/SplashBidNoticeAbstractUI.aspx?menuIndex=3&amp;refID=7036971&amp;Result=3","7036971")</f>
        <v>0</v>
      </c>
      <c r="B8360" t="s">
        <v>2469</v>
      </c>
      <c r="C8360" t="s">
        <v>11049</v>
      </c>
      <c r="D8360" t="s">
        <v>16221</v>
      </c>
      <c r="E8360" t="s">
        <v>16424</v>
      </c>
      <c r="F8360" t="s">
        <v>28198</v>
      </c>
      <c r="G8360" t="s">
        <v>28205</v>
      </c>
      <c r="H8360" t="s">
        <v>28214</v>
      </c>
      <c r="I8360" t="s">
        <v>3797</v>
      </c>
      <c r="J8360" t="s">
        <v>33572</v>
      </c>
      <c r="K8360" t="s">
        <v>36701</v>
      </c>
      <c r="M8360" t="s">
        <v>39666</v>
      </c>
      <c r="N8360" t="s">
        <v>40436</v>
      </c>
      <c r="O8360" t="s">
        <v>40437</v>
      </c>
      <c r="P8360">
        <v>0</v>
      </c>
      <c r="Q8360">
        <v>0</v>
      </c>
      <c r="R8360" t="s">
        <v>40445</v>
      </c>
      <c r="S8360" t="s">
        <v>40730</v>
      </c>
      <c r="T8360" t="s">
        <v>42278</v>
      </c>
      <c r="U8360" t="s">
        <v>49650</v>
      </c>
      <c r="W8360" t="s">
        <v>39666</v>
      </c>
      <c r="X8360" t="s">
        <v>40446</v>
      </c>
    </row>
    <row r="8361" spans="1:24">
      <c r="A8361">
        <f>HYPERLINK("https://www.philgeps.gov.ph/GEPSNONPILOT/Tender/SplashBidNoticeAbstractUI.aspx?menuIndex=3&amp;refID=7036900&amp;Result=3","7036900")</f>
        <v>0</v>
      </c>
      <c r="B8361" t="s">
        <v>2462</v>
      </c>
      <c r="C8361" t="s">
        <v>11050</v>
      </c>
      <c r="D8361" t="s">
        <v>16274</v>
      </c>
      <c r="E8361" t="s">
        <v>23605</v>
      </c>
      <c r="F8361" t="s">
        <v>28198</v>
      </c>
      <c r="G8361" t="s">
        <v>28205</v>
      </c>
      <c r="H8361" t="s">
        <v>28214</v>
      </c>
      <c r="I8361" t="s">
        <v>3797</v>
      </c>
      <c r="J8361" t="s">
        <v>28415</v>
      </c>
      <c r="K8361" t="s">
        <v>36688</v>
      </c>
      <c r="M8361" t="s">
        <v>39658</v>
      </c>
      <c r="N8361" t="s">
        <v>40436</v>
      </c>
      <c r="O8361" t="s">
        <v>40437</v>
      </c>
      <c r="P8361">
        <v>0</v>
      </c>
      <c r="Q8361">
        <v>0</v>
      </c>
      <c r="R8361" t="s">
        <v>40445</v>
      </c>
      <c r="S8361" t="s">
        <v>40730</v>
      </c>
      <c r="T8361" t="s">
        <v>42516</v>
      </c>
      <c r="U8361" t="s">
        <v>49651</v>
      </c>
      <c r="V8361" t="s">
        <v>54673</v>
      </c>
      <c r="W8361" t="s">
        <v>39658</v>
      </c>
      <c r="X8361" t="s">
        <v>40446</v>
      </c>
    </row>
    <row r="8362" spans="1:24">
      <c r="A8362">
        <f>HYPERLINK("https://www.philgeps.gov.ph/GEPSNONPILOT/Tender/SplashBidNoticeAbstractUI.aspx?menuIndex=3&amp;refID=7036966&amp;Result=3","7036966")</f>
        <v>0</v>
      </c>
      <c r="B8362" t="s">
        <v>743</v>
      </c>
      <c r="C8362" t="s">
        <v>11051</v>
      </c>
      <c r="D8362" t="s">
        <v>16194</v>
      </c>
      <c r="E8362" t="s">
        <v>19005</v>
      </c>
      <c r="F8362" t="s">
        <v>28198</v>
      </c>
      <c r="G8362" t="s">
        <v>28206</v>
      </c>
      <c r="H8362" t="s">
        <v>28214</v>
      </c>
      <c r="I8362" t="s">
        <v>3797</v>
      </c>
      <c r="J8362" t="s">
        <v>29289</v>
      </c>
      <c r="K8362" t="s">
        <v>36688</v>
      </c>
      <c r="M8362" t="s">
        <v>37746</v>
      </c>
      <c r="N8362" t="s">
        <v>40436</v>
      </c>
      <c r="O8362" t="s">
        <v>40437</v>
      </c>
      <c r="P8362">
        <v>0</v>
      </c>
      <c r="Q8362">
        <v>0</v>
      </c>
      <c r="R8362" t="s">
        <v>40445</v>
      </c>
      <c r="S8362" t="s">
        <v>40730</v>
      </c>
      <c r="T8362" t="s">
        <v>42218</v>
      </c>
      <c r="U8362" t="s">
        <v>49652</v>
      </c>
      <c r="W8362" t="s">
        <v>37746</v>
      </c>
      <c r="X8362" t="s">
        <v>40446</v>
      </c>
    </row>
    <row r="8363" spans="1:24">
      <c r="A8363">
        <f>HYPERLINK("https://www.philgeps.gov.ph/GEPSNONPILOT/Tender/SplashBidNoticeAbstractUI.aspx?menuIndex=3&amp;refID=7036916&amp;Result=3","7036916")</f>
        <v>0</v>
      </c>
      <c r="B8363" t="s">
        <v>2465</v>
      </c>
      <c r="C8363" t="s">
        <v>11052</v>
      </c>
      <c r="D8363" t="s">
        <v>16189</v>
      </c>
      <c r="E8363" t="s">
        <v>23606</v>
      </c>
      <c r="F8363" t="s">
        <v>28198</v>
      </c>
      <c r="G8363" t="s">
        <v>28205</v>
      </c>
      <c r="H8363" t="s">
        <v>28214</v>
      </c>
      <c r="I8363" t="s">
        <v>3797</v>
      </c>
      <c r="J8363" t="s">
        <v>33573</v>
      </c>
      <c r="K8363" t="s">
        <v>36787</v>
      </c>
      <c r="M8363" t="s">
        <v>39661</v>
      </c>
      <c r="N8363" t="s">
        <v>40436</v>
      </c>
      <c r="O8363" t="s">
        <v>40437</v>
      </c>
      <c r="P8363">
        <v>0</v>
      </c>
      <c r="Q8363">
        <v>3</v>
      </c>
      <c r="R8363" t="s">
        <v>40445</v>
      </c>
      <c r="S8363" t="s">
        <v>40730</v>
      </c>
      <c r="T8363" t="s">
        <v>42168</v>
      </c>
      <c r="U8363" t="s">
        <v>49653</v>
      </c>
      <c r="W8363" t="s">
        <v>39661</v>
      </c>
      <c r="X8363" t="s">
        <v>40446</v>
      </c>
    </row>
    <row r="8364" spans="1:24">
      <c r="A8364">
        <f>HYPERLINK("https://www.philgeps.gov.ph/GEPSNONPILOT/Tender/SplashBidNoticeAbstractUI.aspx?menuIndex=3&amp;refID=7036977&amp;Result=3","7036977")</f>
        <v>0</v>
      </c>
      <c r="B8364" t="s">
        <v>2256</v>
      </c>
      <c r="C8364" t="s">
        <v>11053</v>
      </c>
      <c r="D8364" t="s">
        <v>16209</v>
      </c>
      <c r="E8364" t="s">
        <v>23607</v>
      </c>
      <c r="F8364" t="s">
        <v>28198</v>
      </c>
      <c r="G8364" t="s">
        <v>28205</v>
      </c>
      <c r="H8364" t="s">
        <v>28215</v>
      </c>
      <c r="I8364" t="s">
        <v>28251</v>
      </c>
      <c r="J8364" t="s">
        <v>33574</v>
      </c>
      <c r="K8364" t="s">
        <v>36707</v>
      </c>
      <c r="M8364" t="s">
        <v>39426</v>
      </c>
      <c r="N8364" t="s">
        <v>40436</v>
      </c>
      <c r="O8364" t="s">
        <v>40437</v>
      </c>
      <c r="P8364">
        <v>0</v>
      </c>
      <c r="Q8364">
        <v>0</v>
      </c>
      <c r="R8364" t="s">
        <v>40445</v>
      </c>
      <c r="S8364" t="s">
        <v>40730</v>
      </c>
      <c r="T8364" t="s">
        <v>42184</v>
      </c>
      <c r="U8364" t="s">
        <v>49654</v>
      </c>
      <c r="W8364" t="s">
        <v>39426</v>
      </c>
      <c r="X8364" t="s">
        <v>40446</v>
      </c>
    </row>
    <row r="8365" spans="1:24">
      <c r="A8365">
        <f>HYPERLINK("https://www.philgeps.gov.ph/GEPSNONPILOT/Tender/SplashBidNoticeAbstractUI.aspx?menuIndex=3&amp;refID=7036987&amp;Result=3","7036987")</f>
        <v>0</v>
      </c>
      <c r="B8365" t="s">
        <v>2466</v>
      </c>
      <c r="C8365" t="s">
        <v>11054</v>
      </c>
      <c r="D8365" t="s">
        <v>16232</v>
      </c>
      <c r="E8365" t="s">
        <v>23298</v>
      </c>
      <c r="F8365" t="s">
        <v>28200</v>
      </c>
      <c r="G8365" t="s">
        <v>28205</v>
      </c>
      <c r="H8365" t="s">
        <v>28215</v>
      </c>
      <c r="I8365" t="s">
        <v>28281</v>
      </c>
      <c r="J8365" t="s">
        <v>33575</v>
      </c>
      <c r="K8365" t="s">
        <v>36689</v>
      </c>
      <c r="M8365" t="s">
        <v>39663</v>
      </c>
      <c r="N8365" t="s">
        <v>40436</v>
      </c>
      <c r="O8365" t="s">
        <v>40437</v>
      </c>
      <c r="P8365">
        <v>0</v>
      </c>
      <c r="Q8365">
        <v>1</v>
      </c>
      <c r="R8365" t="s">
        <v>40445</v>
      </c>
      <c r="S8365" t="s">
        <v>40730</v>
      </c>
      <c r="T8365" t="s">
        <v>42098</v>
      </c>
      <c r="U8365" t="s">
        <v>49655</v>
      </c>
      <c r="W8365" t="s">
        <v>39663</v>
      </c>
      <c r="X8365" t="s">
        <v>40446</v>
      </c>
    </row>
    <row r="8366" spans="1:24">
      <c r="A8366">
        <f>HYPERLINK("https://www.philgeps.gov.ph/GEPSNONPILOT/Tender/SplashBidNoticeAbstractUI.aspx?menuIndex=3&amp;refID=7036974&amp;Result=3","7036974")</f>
        <v>0</v>
      </c>
      <c r="B8366" t="s">
        <v>870</v>
      </c>
      <c r="C8366" t="s">
        <v>11055</v>
      </c>
      <c r="D8366" t="s">
        <v>16221</v>
      </c>
      <c r="E8366" t="s">
        <v>23608</v>
      </c>
      <c r="F8366" t="s">
        <v>28198</v>
      </c>
      <c r="G8366" t="s">
        <v>28205</v>
      </c>
      <c r="H8366" t="s">
        <v>28214</v>
      </c>
      <c r="I8366" t="s">
        <v>3797</v>
      </c>
      <c r="J8366" t="s">
        <v>29325</v>
      </c>
      <c r="K8366" t="s">
        <v>36871</v>
      </c>
      <c r="M8366" t="s">
        <v>37882</v>
      </c>
      <c r="N8366" t="s">
        <v>40436</v>
      </c>
      <c r="O8366" t="s">
        <v>40437</v>
      </c>
      <c r="P8366">
        <v>0</v>
      </c>
      <c r="Q8366">
        <v>4</v>
      </c>
      <c r="R8366" t="s">
        <v>40445</v>
      </c>
      <c r="S8366" t="s">
        <v>40730</v>
      </c>
      <c r="T8366" t="s">
        <v>42244</v>
      </c>
      <c r="U8366" t="s">
        <v>49589</v>
      </c>
      <c r="W8366" t="s">
        <v>37882</v>
      </c>
      <c r="X8366" t="s">
        <v>40446</v>
      </c>
    </row>
    <row r="8367" spans="1:24">
      <c r="A8367">
        <f>HYPERLINK("https://www.philgeps.gov.ph/GEPSNONPILOT/Tender/SplashBidNoticeAbstractUI.aspx?menuIndex=3&amp;refID=7037005&amp;Result=3","7037005")</f>
        <v>0</v>
      </c>
      <c r="B8367" t="s">
        <v>501</v>
      </c>
      <c r="C8367" t="s">
        <v>11056</v>
      </c>
      <c r="D8367" t="s">
        <v>16210</v>
      </c>
      <c r="E8367" t="s">
        <v>23609</v>
      </c>
      <c r="F8367" t="s">
        <v>28198</v>
      </c>
      <c r="G8367" t="s">
        <v>28207</v>
      </c>
      <c r="H8367" t="s">
        <v>28215</v>
      </c>
      <c r="I8367" t="s">
        <v>28232</v>
      </c>
      <c r="J8367" t="s">
        <v>33576</v>
      </c>
      <c r="K8367" t="s">
        <v>36688</v>
      </c>
      <c r="M8367" t="s">
        <v>38072</v>
      </c>
      <c r="N8367" t="s">
        <v>40436</v>
      </c>
      <c r="O8367" t="s">
        <v>40437</v>
      </c>
      <c r="P8367">
        <v>0</v>
      </c>
      <c r="Q8367">
        <v>0</v>
      </c>
      <c r="R8367" t="s">
        <v>40445</v>
      </c>
      <c r="S8367" t="s">
        <v>40730</v>
      </c>
      <c r="T8367" t="s">
        <v>42233</v>
      </c>
      <c r="U8367" t="s">
        <v>49656</v>
      </c>
      <c r="W8367" t="s">
        <v>38072</v>
      </c>
      <c r="X8367" t="s">
        <v>40446</v>
      </c>
    </row>
    <row r="8368" spans="1:24">
      <c r="A8368">
        <f>HYPERLINK("https://www.philgeps.gov.ph/GEPSNONPILOT/Tender/SplashBidNoticeAbstractUI.aspx?menuIndex=3&amp;refID=7036979&amp;Result=3","7036979")</f>
        <v>0</v>
      </c>
      <c r="B8368" t="s">
        <v>1213</v>
      </c>
      <c r="C8368" t="s">
        <v>11057</v>
      </c>
      <c r="D8368" t="s">
        <v>16203</v>
      </c>
      <c r="E8368" t="s">
        <v>18331</v>
      </c>
      <c r="F8368" t="s">
        <v>28198</v>
      </c>
      <c r="G8368" t="s">
        <v>28205</v>
      </c>
      <c r="H8368" t="s">
        <v>28215</v>
      </c>
      <c r="I8368" t="s">
        <v>28222</v>
      </c>
      <c r="J8368" t="s">
        <v>33577</v>
      </c>
      <c r="K8368" t="s">
        <v>36701</v>
      </c>
      <c r="M8368" t="s">
        <v>38258</v>
      </c>
      <c r="N8368" t="s">
        <v>40436</v>
      </c>
      <c r="O8368" t="s">
        <v>40437</v>
      </c>
      <c r="P8368">
        <v>0</v>
      </c>
      <c r="Q8368">
        <v>1</v>
      </c>
      <c r="R8368" t="s">
        <v>40445</v>
      </c>
      <c r="S8368" t="s">
        <v>40730</v>
      </c>
      <c r="T8368" t="s">
        <v>42279</v>
      </c>
      <c r="U8368" t="s">
        <v>49657</v>
      </c>
      <c r="W8368" t="s">
        <v>38258</v>
      </c>
      <c r="X8368" t="s">
        <v>40446</v>
      </c>
    </row>
    <row r="8369" spans="1:24">
      <c r="A8369">
        <f>HYPERLINK("https://www.philgeps.gov.ph/GEPSNONPILOT/Tender/SplashBidNoticeAbstractUI.aspx?menuIndex=3&amp;refID=7037029&amp;Result=3","7037029")</f>
        <v>0</v>
      </c>
      <c r="B8369" t="s">
        <v>2466</v>
      </c>
      <c r="C8369" t="s">
        <v>11058</v>
      </c>
      <c r="D8369" t="s">
        <v>16232</v>
      </c>
      <c r="E8369" t="s">
        <v>23298</v>
      </c>
      <c r="F8369" t="s">
        <v>28200</v>
      </c>
      <c r="G8369" t="s">
        <v>28205</v>
      </c>
      <c r="H8369" t="s">
        <v>28215</v>
      </c>
      <c r="I8369" t="s">
        <v>28246</v>
      </c>
      <c r="J8369" t="s">
        <v>33564</v>
      </c>
      <c r="K8369" t="s">
        <v>36689</v>
      </c>
      <c r="M8369" t="s">
        <v>39663</v>
      </c>
      <c r="N8369" t="s">
        <v>40436</v>
      </c>
      <c r="O8369" t="s">
        <v>40437</v>
      </c>
      <c r="P8369">
        <v>0</v>
      </c>
      <c r="Q8369">
        <v>0</v>
      </c>
      <c r="R8369" t="s">
        <v>40445</v>
      </c>
      <c r="S8369" t="s">
        <v>40730</v>
      </c>
      <c r="T8369" t="s">
        <v>42098</v>
      </c>
      <c r="U8369" t="s">
        <v>49639</v>
      </c>
      <c r="W8369" t="s">
        <v>39663</v>
      </c>
      <c r="X8369" t="s">
        <v>40446</v>
      </c>
    </row>
    <row r="8370" spans="1:24">
      <c r="A8370">
        <f>HYPERLINK("https://www.philgeps.gov.ph/GEPSNONPILOT/Tender/SplashBidNoticeAbstractUI.aspx?menuIndex=3&amp;refID=7036999&amp;Result=3","7036999")</f>
        <v>0</v>
      </c>
      <c r="B8370" t="s">
        <v>2470</v>
      </c>
      <c r="C8370" t="s">
        <v>3446</v>
      </c>
      <c r="D8370" t="s">
        <v>16187</v>
      </c>
      <c r="E8370" t="s">
        <v>23610</v>
      </c>
      <c r="F8370" t="s">
        <v>28198</v>
      </c>
      <c r="G8370" t="s">
        <v>28205</v>
      </c>
      <c r="H8370" t="s">
        <v>28215</v>
      </c>
      <c r="I8370" t="s">
        <v>8888</v>
      </c>
      <c r="J8370" t="s">
        <v>28397</v>
      </c>
      <c r="K8370" t="s">
        <v>36706</v>
      </c>
      <c r="M8370" t="s">
        <v>39667</v>
      </c>
      <c r="N8370" t="s">
        <v>40436</v>
      </c>
      <c r="O8370" t="s">
        <v>40437</v>
      </c>
      <c r="P8370">
        <v>0</v>
      </c>
      <c r="Q8370">
        <v>2</v>
      </c>
      <c r="R8370" t="s">
        <v>40445</v>
      </c>
      <c r="S8370" t="s">
        <v>40730</v>
      </c>
      <c r="T8370" t="s">
        <v>42277</v>
      </c>
      <c r="U8370" t="s">
        <v>49658</v>
      </c>
      <c r="W8370" t="s">
        <v>39667</v>
      </c>
      <c r="X8370" t="s">
        <v>40446</v>
      </c>
    </row>
    <row r="8371" spans="1:24">
      <c r="A8371">
        <f>HYPERLINK("https://www.philgeps.gov.ph/GEPSNONPILOT/Tender/SplashBidNoticeAbstractUI.aspx?menuIndex=3&amp;refID=7037020&amp;Result=3","7037020")</f>
        <v>0</v>
      </c>
      <c r="B8371" t="s">
        <v>2471</v>
      </c>
      <c r="C8371" t="s">
        <v>11059</v>
      </c>
      <c r="E8371" t="s">
        <v>23611</v>
      </c>
      <c r="F8371" t="s">
        <v>28198</v>
      </c>
      <c r="G8371" t="s">
        <v>28205</v>
      </c>
      <c r="H8371" t="s">
        <v>28215</v>
      </c>
      <c r="I8371" t="s">
        <v>5100</v>
      </c>
      <c r="J8371" t="s">
        <v>33578</v>
      </c>
      <c r="K8371" t="s">
        <v>36701</v>
      </c>
      <c r="M8371" t="s">
        <v>39668</v>
      </c>
      <c r="N8371" t="s">
        <v>40436</v>
      </c>
      <c r="O8371" t="s">
        <v>40437</v>
      </c>
      <c r="P8371">
        <v>0</v>
      </c>
      <c r="Q8371">
        <v>0</v>
      </c>
      <c r="R8371" t="s">
        <v>40445</v>
      </c>
      <c r="S8371" t="s">
        <v>40730</v>
      </c>
      <c r="T8371" t="s">
        <v>42168</v>
      </c>
      <c r="U8371" t="s">
        <v>49659</v>
      </c>
      <c r="W8371" t="s">
        <v>39668</v>
      </c>
      <c r="X8371" t="s">
        <v>40446</v>
      </c>
    </row>
    <row r="8372" spans="1:24">
      <c r="A8372">
        <f>HYPERLINK("https://www.philgeps.gov.ph/GEPSNONPILOT/Tender/SplashBidNoticeAbstractUI.aspx?menuIndex=3&amp;refID=7036993&amp;Result=3","7036993")</f>
        <v>0</v>
      </c>
      <c r="B8372" t="s">
        <v>2399</v>
      </c>
      <c r="C8372" t="s">
        <v>11060</v>
      </c>
      <c r="D8372" t="s">
        <v>16189</v>
      </c>
      <c r="E8372" t="s">
        <v>23612</v>
      </c>
      <c r="F8372" t="s">
        <v>28198</v>
      </c>
      <c r="G8372" t="s">
        <v>28205</v>
      </c>
      <c r="H8372" t="s">
        <v>28214</v>
      </c>
      <c r="I8372" t="s">
        <v>3797</v>
      </c>
      <c r="J8372" t="s">
        <v>28363</v>
      </c>
      <c r="K8372" t="s">
        <v>36789</v>
      </c>
      <c r="M8372" t="s">
        <v>39586</v>
      </c>
      <c r="N8372" t="s">
        <v>40436</v>
      </c>
      <c r="O8372" t="s">
        <v>40437</v>
      </c>
      <c r="P8372">
        <v>0</v>
      </c>
      <c r="Q8372">
        <v>0</v>
      </c>
      <c r="R8372" t="s">
        <v>40445</v>
      </c>
      <c r="S8372" t="s">
        <v>40730</v>
      </c>
      <c r="T8372" t="s">
        <v>42482</v>
      </c>
      <c r="U8372" t="s">
        <v>49660</v>
      </c>
      <c r="W8372" t="s">
        <v>55514</v>
      </c>
      <c r="X8372" t="s">
        <v>40446</v>
      </c>
    </row>
    <row r="8373" spans="1:24">
      <c r="A8373">
        <f>HYPERLINK("https://www.philgeps.gov.ph/GEPSNONPILOT/Tender/SplashBidNoticeAbstractUI.aspx?menuIndex=3&amp;refID=7037012&amp;Result=3","7037012")</f>
        <v>0</v>
      </c>
      <c r="B8373" t="s">
        <v>2472</v>
      </c>
      <c r="C8373" t="s">
        <v>11061</v>
      </c>
      <c r="D8373" t="s">
        <v>16190</v>
      </c>
      <c r="E8373" t="s">
        <v>23613</v>
      </c>
      <c r="F8373" t="s">
        <v>28198</v>
      </c>
      <c r="G8373" t="s">
        <v>28205</v>
      </c>
      <c r="H8373" t="s">
        <v>28215</v>
      </c>
      <c r="I8373" t="s">
        <v>28227</v>
      </c>
      <c r="J8373" t="s">
        <v>33579</v>
      </c>
      <c r="K8373" t="s">
        <v>36687</v>
      </c>
      <c r="M8373" t="s">
        <v>39669</v>
      </c>
      <c r="N8373" t="s">
        <v>40436</v>
      </c>
      <c r="O8373" t="s">
        <v>40437</v>
      </c>
      <c r="P8373">
        <v>0</v>
      </c>
      <c r="Q8373">
        <v>0</v>
      </c>
      <c r="R8373" t="s">
        <v>40445</v>
      </c>
      <c r="S8373" t="s">
        <v>40730</v>
      </c>
      <c r="T8373" t="s">
        <v>42205</v>
      </c>
      <c r="U8373" t="s">
        <v>49661</v>
      </c>
      <c r="W8373" t="s">
        <v>39669</v>
      </c>
      <c r="X8373" t="s">
        <v>40446</v>
      </c>
    </row>
    <row r="8374" spans="1:24">
      <c r="A8374">
        <f>HYPERLINK("https://www.philgeps.gov.ph/GEPSNONPILOT/Tender/SplashBidNoticeAbstractUI.aspx?menuIndex=3&amp;refID=7037014&amp;Result=3","7037014")</f>
        <v>0</v>
      </c>
      <c r="B8374" t="s">
        <v>448</v>
      </c>
      <c r="C8374" t="s">
        <v>11062</v>
      </c>
      <c r="D8374" t="s">
        <v>16195</v>
      </c>
      <c r="E8374" t="s">
        <v>23614</v>
      </c>
      <c r="F8374" t="s">
        <v>28198</v>
      </c>
      <c r="G8374" t="s">
        <v>28205</v>
      </c>
      <c r="H8374" t="s">
        <v>28214</v>
      </c>
      <c r="I8374" t="s">
        <v>3797</v>
      </c>
      <c r="J8374" t="s">
        <v>33580</v>
      </c>
      <c r="K8374" t="s">
        <v>36710</v>
      </c>
      <c r="M8374" t="s">
        <v>37432</v>
      </c>
      <c r="N8374" t="s">
        <v>40436</v>
      </c>
      <c r="O8374" t="s">
        <v>40437</v>
      </c>
      <c r="P8374">
        <v>0</v>
      </c>
      <c r="Q8374">
        <v>5</v>
      </c>
      <c r="R8374" t="s">
        <v>40445</v>
      </c>
      <c r="S8374" t="s">
        <v>40730</v>
      </c>
      <c r="T8374" t="s">
        <v>42168</v>
      </c>
      <c r="U8374" t="s">
        <v>49662</v>
      </c>
      <c r="W8374" t="s">
        <v>37432</v>
      </c>
      <c r="X8374" t="s">
        <v>40446</v>
      </c>
    </row>
    <row r="8375" spans="1:24">
      <c r="A8375">
        <f>HYPERLINK("https://www.philgeps.gov.ph/GEPSNONPILOT/Tender/SplashBidNoticeAbstractUI.aspx?menuIndex=3&amp;refID=7037007&amp;Result=3","7037007")</f>
        <v>0</v>
      </c>
      <c r="B8375" t="s">
        <v>2256</v>
      </c>
      <c r="C8375" t="s">
        <v>11063</v>
      </c>
      <c r="D8375" t="s">
        <v>16209</v>
      </c>
      <c r="E8375" t="s">
        <v>23615</v>
      </c>
      <c r="F8375" t="s">
        <v>28198</v>
      </c>
      <c r="G8375" t="s">
        <v>28205</v>
      </c>
      <c r="H8375" t="s">
        <v>28215</v>
      </c>
      <c r="I8375" t="s">
        <v>4168</v>
      </c>
      <c r="J8375" t="s">
        <v>31778</v>
      </c>
      <c r="K8375" t="s">
        <v>36707</v>
      </c>
      <c r="M8375" t="s">
        <v>39426</v>
      </c>
      <c r="N8375" t="s">
        <v>40436</v>
      </c>
      <c r="O8375" t="s">
        <v>40437</v>
      </c>
      <c r="P8375">
        <v>0</v>
      </c>
      <c r="Q8375">
        <v>0</v>
      </c>
      <c r="R8375" t="s">
        <v>40445</v>
      </c>
      <c r="S8375" t="s">
        <v>40730</v>
      </c>
      <c r="T8375" t="s">
        <v>42184</v>
      </c>
      <c r="U8375" t="s">
        <v>49663</v>
      </c>
      <c r="W8375" t="s">
        <v>39426</v>
      </c>
      <c r="X8375" t="s">
        <v>40446</v>
      </c>
    </row>
    <row r="8376" spans="1:24">
      <c r="A8376">
        <f>HYPERLINK("https://www.philgeps.gov.ph/GEPSNONPILOT/Tender/SplashBidNoticeAbstractUI.aspx?menuIndex=3&amp;refID=7037011&amp;Result=3","7037011")</f>
        <v>0</v>
      </c>
      <c r="B8376" t="s">
        <v>2465</v>
      </c>
      <c r="C8376" t="s">
        <v>11064</v>
      </c>
      <c r="D8376" t="s">
        <v>16189</v>
      </c>
      <c r="E8376" t="s">
        <v>23616</v>
      </c>
      <c r="F8376" t="s">
        <v>28198</v>
      </c>
      <c r="G8376" t="s">
        <v>28205</v>
      </c>
      <c r="H8376" t="s">
        <v>28214</v>
      </c>
      <c r="I8376" t="s">
        <v>3797</v>
      </c>
      <c r="J8376" t="s">
        <v>28548</v>
      </c>
      <c r="K8376" t="s">
        <v>36719</v>
      </c>
      <c r="M8376" t="s">
        <v>39661</v>
      </c>
      <c r="N8376" t="s">
        <v>40436</v>
      </c>
      <c r="O8376" t="s">
        <v>40437</v>
      </c>
      <c r="P8376">
        <v>0</v>
      </c>
      <c r="Q8376">
        <v>3</v>
      </c>
      <c r="R8376" t="s">
        <v>40445</v>
      </c>
      <c r="S8376" t="s">
        <v>40730</v>
      </c>
      <c r="T8376" t="s">
        <v>42168</v>
      </c>
      <c r="U8376" t="s">
        <v>49664</v>
      </c>
      <c r="W8376" t="s">
        <v>39661</v>
      </c>
      <c r="X8376" t="s">
        <v>40446</v>
      </c>
    </row>
    <row r="8377" spans="1:24">
      <c r="A8377">
        <f>HYPERLINK("https://www.philgeps.gov.ph/GEPSNONPILOT/Tender/SplashBidNoticeAbstractUI.aspx?menuIndex=3&amp;refID=7037013&amp;Result=3","7037013")</f>
        <v>0</v>
      </c>
      <c r="B8377" t="s">
        <v>1486</v>
      </c>
      <c r="C8377" t="s">
        <v>11065</v>
      </c>
      <c r="D8377" t="s">
        <v>16210</v>
      </c>
      <c r="E8377" t="s">
        <v>20218</v>
      </c>
      <c r="F8377" t="s">
        <v>28198</v>
      </c>
      <c r="G8377" t="s">
        <v>28205</v>
      </c>
      <c r="H8377" t="s">
        <v>28214</v>
      </c>
      <c r="I8377" t="s">
        <v>3797</v>
      </c>
      <c r="J8377" t="s">
        <v>33581</v>
      </c>
      <c r="K8377" t="s">
        <v>36690</v>
      </c>
      <c r="M8377" t="s">
        <v>39670</v>
      </c>
      <c r="N8377" t="s">
        <v>40436</v>
      </c>
      <c r="O8377" t="s">
        <v>40437</v>
      </c>
      <c r="P8377">
        <v>0</v>
      </c>
      <c r="Q8377">
        <v>5</v>
      </c>
      <c r="R8377" t="s">
        <v>40445</v>
      </c>
      <c r="S8377" t="s">
        <v>40730</v>
      </c>
      <c r="T8377" t="s">
        <v>42426</v>
      </c>
      <c r="U8377" t="s">
        <v>49665</v>
      </c>
      <c r="W8377" t="s">
        <v>39670</v>
      </c>
      <c r="X8377" t="s">
        <v>40446</v>
      </c>
    </row>
    <row r="8378" spans="1:24">
      <c r="A8378">
        <f>HYPERLINK("https://www.philgeps.gov.ph/GEPSNONPILOT/Tender/SplashBidNoticeAbstractUI.aspx?menuIndex=3&amp;refID=7036989&amp;Result=3","7036989")</f>
        <v>0</v>
      </c>
      <c r="B8378" t="s">
        <v>2465</v>
      </c>
      <c r="C8378" t="s">
        <v>11066</v>
      </c>
      <c r="D8378" t="s">
        <v>16189</v>
      </c>
      <c r="E8378" t="s">
        <v>23617</v>
      </c>
      <c r="F8378" t="s">
        <v>28198</v>
      </c>
      <c r="G8378" t="s">
        <v>28205</v>
      </c>
      <c r="H8378" t="s">
        <v>28214</v>
      </c>
      <c r="I8378" t="s">
        <v>3797</v>
      </c>
      <c r="J8378" t="s">
        <v>33563</v>
      </c>
      <c r="K8378" t="s">
        <v>36832</v>
      </c>
      <c r="M8378" t="s">
        <v>39661</v>
      </c>
      <c r="N8378" t="s">
        <v>40436</v>
      </c>
      <c r="O8378" t="s">
        <v>40437</v>
      </c>
      <c r="P8378">
        <v>0</v>
      </c>
      <c r="Q8378">
        <v>3</v>
      </c>
      <c r="R8378" t="s">
        <v>40445</v>
      </c>
      <c r="S8378" t="s">
        <v>40730</v>
      </c>
      <c r="T8378" t="s">
        <v>42168</v>
      </c>
      <c r="U8378" t="s">
        <v>49666</v>
      </c>
      <c r="W8378" t="s">
        <v>39661</v>
      </c>
      <c r="X8378" t="s">
        <v>40446</v>
      </c>
    </row>
    <row r="8379" spans="1:24">
      <c r="A8379">
        <f>HYPERLINK("https://www.philgeps.gov.ph/GEPSNONPILOT/Tender/SplashBidNoticeAbstractUI.aspx?menuIndex=3&amp;refID=7037021&amp;Result=3","7037021")</f>
        <v>0</v>
      </c>
      <c r="B8379" t="s">
        <v>150</v>
      </c>
      <c r="C8379" t="s">
        <v>11067</v>
      </c>
      <c r="D8379" t="s">
        <v>16194</v>
      </c>
      <c r="E8379" t="s">
        <v>23618</v>
      </c>
      <c r="F8379" t="s">
        <v>28198</v>
      </c>
      <c r="G8379" t="s">
        <v>28205</v>
      </c>
      <c r="H8379" t="s">
        <v>28215</v>
      </c>
      <c r="I8379" t="s">
        <v>4168</v>
      </c>
      <c r="J8379" t="s">
        <v>33582</v>
      </c>
      <c r="K8379" t="s">
        <v>36701</v>
      </c>
      <c r="M8379" t="s">
        <v>37124</v>
      </c>
      <c r="N8379" t="s">
        <v>40436</v>
      </c>
      <c r="O8379" t="s">
        <v>40437</v>
      </c>
      <c r="P8379">
        <v>0</v>
      </c>
      <c r="Q8379">
        <v>10</v>
      </c>
      <c r="R8379" t="s">
        <v>40445</v>
      </c>
      <c r="S8379" t="s">
        <v>40730</v>
      </c>
      <c r="T8379" t="s">
        <v>42244</v>
      </c>
      <c r="U8379" t="s">
        <v>49667</v>
      </c>
      <c r="W8379" t="s">
        <v>37124</v>
      </c>
      <c r="X8379" t="s">
        <v>40446</v>
      </c>
    </row>
    <row r="8380" spans="1:24">
      <c r="A8380">
        <f>HYPERLINK("https://www.philgeps.gov.ph/GEPSNONPILOT/Tender/SplashBidNoticeAbstractUI.aspx?menuIndex=3&amp;refID=7037030&amp;Result=3","7037030")</f>
        <v>0</v>
      </c>
      <c r="B8380" t="s">
        <v>2465</v>
      </c>
      <c r="C8380" t="s">
        <v>11068</v>
      </c>
      <c r="D8380" t="s">
        <v>16189</v>
      </c>
      <c r="E8380" t="s">
        <v>23619</v>
      </c>
      <c r="F8380" t="s">
        <v>28198</v>
      </c>
      <c r="G8380" t="s">
        <v>28205</v>
      </c>
      <c r="H8380" t="s">
        <v>28214</v>
      </c>
      <c r="I8380" t="s">
        <v>3797</v>
      </c>
      <c r="J8380" t="s">
        <v>28548</v>
      </c>
      <c r="K8380" t="s">
        <v>36719</v>
      </c>
      <c r="M8380" t="s">
        <v>39661</v>
      </c>
      <c r="N8380" t="s">
        <v>40436</v>
      </c>
      <c r="O8380" t="s">
        <v>40437</v>
      </c>
      <c r="P8380">
        <v>0</v>
      </c>
      <c r="Q8380">
        <v>3</v>
      </c>
      <c r="R8380" t="s">
        <v>40445</v>
      </c>
      <c r="S8380" t="s">
        <v>40730</v>
      </c>
      <c r="T8380" t="s">
        <v>42168</v>
      </c>
      <c r="U8380" t="s">
        <v>49668</v>
      </c>
      <c r="W8380" t="s">
        <v>39661</v>
      </c>
      <c r="X8380" t="s">
        <v>40446</v>
      </c>
    </row>
    <row r="8381" spans="1:24">
      <c r="A8381">
        <f>HYPERLINK("https://www.philgeps.gov.ph/GEPSNONPILOT/Tender/SplashBidNoticeAbstractUI.aspx?menuIndex=3&amp;refID=7037001&amp;Result=3","7037001")</f>
        <v>0</v>
      </c>
      <c r="B8381" t="s">
        <v>325</v>
      </c>
      <c r="C8381" t="s">
        <v>11069</v>
      </c>
      <c r="D8381" t="s">
        <v>16226</v>
      </c>
      <c r="E8381" t="s">
        <v>23620</v>
      </c>
      <c r="F8381" t="s">
        <v>28198</v>
      </c>
      <c r="G8381" t="s">
        <v>28205</v>
      </c>
      <c r="H8381" t="s">
        <v>28214</v>
      </c>
      <c r="I8381" t="s">
        <v>3797</v>
      </c>
      <c r="J8381" t="s">
        <v>28683</v>
      </c>
      <c r="K8381" t="s">
        <v>36742</v>
      </c>
      <c r="M8381" t="s">
        <v>37303</v>
      </c>
      <c r="N8381" t="s">
        <v>40436</v>
      </c>
      <c r="O8381" t="s">
        <v>40437</v>
      </c>
      <c r="P8381">
        <v>0</v>
      </c>
      <c r="Q8381">
        <v>1</v>
      </c>
      <c r="R8381" t="s">
        <v>40445</v>
      </c>
      <c r="S8381" t="s">
        <v>40730</v>
      </c>
      <c r="T8381" t="s">
        <v>42123</v>
      </c>
      <c r="U8381" t="s">
        <v>49606</v>
      </c>
      <c r="V8381" t="s">
        <v>54666</v>
      </c>
      <c r="W8381" t="s">
        <v>55443</v>
      </c>
      <c r="X8381" t="s">
        <v>40446</v>
      </c>
    </row>
    <row r="8382" spans="1:24">
      <c r="A8382">
        <f>HYPERLINK("https://www.philgeps.gov.ph/GEPSNONPILOT/Tender/SplashBidNoticeAbstractUI.aspx?menuIndex=3&amp;refID=7037033&amp;Result=3","7037033")</f>
        <v>0</v>
      </c>
      <c r="B8382" t="s">
        <v>2256</v>
      </c>
      <c r="C8382" t="s">
        <v>11070</v>
      </c>
      <c r="D8382" t="s">
        <v>16209</v>
      </c>
      <c r="E8382" t="s">
        <v>23621</v>
      </c>
      <c r="F8382" t="s">
        <v>28198</v>
      </c>
      <c r="G8382" t="s">
        <v>28205</v>
      </c>
      <c r="H8382" t="s">
        <v>28215</v>
      </c>
      <c r="I8382" t="s">
        <v>5082</v>
      </c>
      <c r="J8382" t="s">
        <v>33583</v>
      </c>
      <c r="K8382" t="s">
        <v>36707</v>
      </c>
      <c r="M8382" t="s">
        <v>39426</v>
      </c>
      <c r="N8382" t="s">
        <v>40436</v>
      </c>
      <c r="O8382" t="s">
        <v>40437</v>
      </c>
      <c r="P8382">
        <v>0</v>
      </c>
      <c r="Q8382">
        <v>0</v>
      </c>
      <c r="R8382" t="s">
        <v>40445</v>
      </c>
      <c r="S8382" t="s">
        <v>40730</v>
      </c>
      <c r="T8382" t="s">
        <v>42184</v>
      </c>
      <c r="U8382" t="s">
        <v>49669</v>
      </c>
      <c r="W8382" t="s">
        <v>39426</v>
      </c>
      <c r="X8382" t="s">
        <v>40446</v>
      </c>
    </row>
    <row r="8383" spans="1:24">
      <c r="A8383">
        <f>HYPERLINK("https://www.philgeps.gov.ph/GEPSNONPILOT/Tender/SplashBidNoticeAbstractUI.aspx?menuIndex=3&amp;refID=7037009&amp;Result=3","7037009")</f>
        <v>0</v>
      </c>
      <c r="B8383" t="s">
        <v>2473</v>
      </c>
      <c r="C8383" t="s">
        <v>11071</v>
      </c>
      <c r="D8383" t="s">
        <v>16199</v>
      </c>
      <c r="E8383" t="s">
        <v>23622</v>
      </c>
      <c r="F8383" t="s">
        <v>28198</v>
      </c>
      <c r="G8383" t="s">
        <v>28205</v>
      </c>
      <c r="H8383" t="s">
        <v>28216</v>
      </c>
      <c r="I8383" t="s">
        <v>28216</v>
      </c>
      <c r="J8383" t="s">
        <v>33584</v>
      </c>
      <c r="K8383" t="s">
        <v>36823</v>
      </c>
      <c r="M8383" t="s">
        <v>39671</v>
      </c>
      <c r="N8383" t="s">
        <v>40436</v>
      </c>
      <c r="O8383" t="s">
        <v>40437</v>
      </c>
      <c r="P8383">
        <v>0</v>
      </c>
      <c r="Q8383">
        <v>2</v>
      </c>
      <c r="R8383" t="s">
        <v>40445</v>
      </c>
      <c r="S8383" t="s">
        <v>40730</v>
      </c>
      <c r="T8383" t="s">
        <v>42133</v>
      </c>
      <c r="U8383" t="s">
        <v>49670</v>
      </c>
      <c r="W8383" t="s">
        <v>39671</v>
      </c>
      <c r="X8383" t="s">
        <v>40446</v>
      </c>
    </row>
    <row r="8384" spans="1:24">
      <c r="A8384">
        <f>HYPERLINK("https://www.philgeps.gov.ph/GEPSNONPILOT/Tender/SplashBidNoticeAbstractUI.aspx?menuIndex=3&amp;refID=7037037&amp;Result=3","7037037")</f>
        <v>0</v>
      </c>
      <c r="B8384" t="s">
        <v>2474</v>
      </c>
      <c r="C8384" t="s">
        <v>11072</v>
      </c>
      <c r="D8384" t="s">
        <v>16266</v>
      </c>
      <c r="E8384" t="s">
        <v>23623</v>
      </c>
      <c r="F8384" t="s">
        <v>28198</v>
      </c>
      <c r="G8384" t="s">
        <v>28205</v>
      </c>
      <c r="H8384" t="s">
        <v>28214</v>
      </c>
      <c r="I8384" t="s">
        <v>3797</v>
      </c>
      <c r="J8384" t="s">
        <v>33585</v>
      </c>
      <c r="K8384" t="s">
        <v>36694</v>
      </c>
      <c r="M8384" t="s">
        <v>39672</v>
      </c>
      <c r="N8384" t="s">
        <v>40436</v>
      </c>
      <c r="O8384" t="s">
        <v>40437</v>
      </c>
      <c r="P8384">
        <v>0</v>
      </c>
      <c r="Q8384">
        <v>0</v>
      </c>
      <c r="R8384" t="s">
        <v>40445</v>
      </c>
      <c r="S8384" t="s">
        <v>40730</v>
      </c>
      <c r="T8384" t="s">
        <v>42123</v>
      </c>
      <c r="U8384" t="s">
        <v>49671</v>
      </c>
      <c r="V8384" t="s">
        <v>54674</v>
      </c>
      <c r="W8384" t="s">
        <v>39672</v>
      </c>
      <c r="X8384" t="s">
        <v>40446</v>
      </c>
    </row>
    <row r="8385" spans="1:24">
      <c r="A8385">
        <f>HYPERLINK("https://www.philgeps.gov.ph/GEPSNONPILOT/Tender/SplashBidNoticeAbstractUI.aspx?menuIndex=3&amp;refID=7037035&amp;Result=3","7037035")</f>
        <v>0</v>
      </c>
      <c r="B8385" t="s">
        <v>686</v>
      </c>
      <c r="C8385" t="s">
        <v>11073</v>
      </c>
      <c r="D8385" t="s">
        <v>16195</v>
      </c>
      <c r="E8385" t="s">
        <v>23624</v>
      </c>
      <c r="F8385" t="s">
        <v>28198</v>
      </c>
      <c r="G8385" t="s">
        <v>28205</v>
      </c>
      <c r="H8385" t="s">
        <v>28215</v>
      </c>
      <c r="I8385" t="s">
        <v>28247</v>
      </c>
      <c r="J8385" t="s">
        <v>33586</v>
      </c>
      <c r="K8385" t="s">
        <v>36701</v>
      </c>
      <c r="M8385" t="s">
        <v>39569</v>
      </c>
      <c r="N8385" t="s">
        <v>40436</v>
      </c>
      <c r="O8385" t="s">
        <v>40437</v>
      </c>
      <c r="P8385">
        <v>0</v>
      </c>
      <c r="Q8385">
        <v>13</v>
      </c>
      <c r="R8385" t="s">
        <v>40445</v>
      </c>
      <c r="S8385" t="s">
        <v>40730</v>
      </c>
      <c r="T8385" t="s">
        <v>42168</v>
      </c>
      <c r="U8385" t="s">
        <v>49672</v>
      </c>
      <c r="V8385" t="s">
        <v>54675</v>
      </c>
      <c r="W8385" t="s">
        <v>39569</v>
      </c>
      <c r="X8385" t="s">
        <v>40446</v>
      </c>
    </row>
    <row r="8386" spans="1:24">
      <c r="A8386">
        <f>HYPERLINK("https://www.philgeps.gov.ph/GEPSNONPILOT/Tender/SplashBidNoticeAbstractUI.aspx?menuIndex=3&amp;refID=7037068&amp;Result=3","7037068")</f>
        <v>0</v>
      </c>
      <c r="B8386" t="s">
        <v>2256</v>
      </c>
      <c r="C8386" t="s">
        <v>11074</v>
      </c>
      <c r="D8386" t="s">
        <v>16209</v>
      </c>
      <c r="E8386" t="s">
        <v>23625</v>
      </c>
      <c r="F8386" t="s">
        <v>28198</v>
      </c>
      <c r="G8386" t="s">
        <v>28205</v>
      </c>
      <c r="H8386" t="s">
        <v>28215</v>
      </c>
      <c r="I8386" t="s">
        <v>4200</v>
      </c>
      <c r="J8386" t="s">
        <v>33587</v>
      </c>
      <c r="K8386" t="s">
        <v>36707</v>
      </c>
      <c r="M8386" t="s">
        <v>39426</v>
      </c>
      <c r="N8386" t="s">
        <v>40436</v>
      </c>
      <c r="O8386" t="s">
        <v>40437</v>
      </c>
      <c r="P8386">
        <v>0</v>
      </c>
      <c r="Q8386">
        <v>0</v>
      </c>
      <c r="R8386" t="s">
        <v>40445</v>
      </c>
      <c r="S8386" t="s">
        <v>40730</v>
      </c>
      <c r="T8386" t="s">
        <v>42184</v>
      </c>
      <c r="U8386" t="s">
        <v>49673</v>
      </c>
      <c r="W8386" t="s">
        <v>39426</v>
      </c>
      <c r="X8386" t="s">
        <v>40446</v>
      </c>
    </row>
    <row r="8387" spans="1:24">
      <c r="A8387">
        <f>HYPERLINK("https://www.philgeps.gov.ph/GEPSNONPILOT/Tender/SplashBidNoticeAbstractUI.aspx?menuIndex=3&amp;refID=7037060&amp;Result=3","7037060")</f>
        <v>0</v>
      </c>
      <c r="B8387" t="s">
        <v>2399</v>
      </c>
      <c r="C8387" t="s">
        <v>11075</v>
      </c>
      <c r="D8387" t="s">
        <v>16189</v>
      </c>
      <c r="E8387" t="s">
        <v>23626</v>
      </c>
      <c r="F8387" t="s">
        <v>28198</v>
      </c>
      <c r="G8387" t="s">
        <v>28205</v>
      </c>
      <c r="H8387" t="s">
        <v>28214</v>
      </c>
      <c r="I8387" t="s">
        <v>3797</v>
      </c>
      <c r="J8387" t="s">
        <v>28363</v>
      </c>
      <c r="K8387" t="s">
        <v>36789</v>
      </c>
      <c r="M8387" t="s">
        <v>39586</v>
      </c>
      <c r="N8387" t="s">
        <v>40436</v>
      </c>
      <c r="O8387" t="s">
        <v>40437</v>
      </c>
      <c r="P8387">
        <v>0</v>
      </c>
      <c r="Q8387">
        <v>0</v>
      </c>
      <c r="R8387" t="s">
        <v>40445</v>
      </c>
      <c r="S8387" t="s">
        <v>40730</v>
      </c>
      <c r="T8387" t="s">
        <v>42482</v>
      </c>
      <c r="U8387" t="s">
        <v>49674</v>
      </c>
      <c r="W8387" t="s">
        <v>55514</v>
      </c>
      <c r="X8387" t="s">
        <v>40446</v>
      </c>
    </row>
    <row r="8388" spans="1:24">
      <c r="A8388">
        <f>HYPERLINK("https://www.philgeps.gov.ph/GEPSNONPILOT/Tender/SplashBidNoticeAbstractUI.aspx?menuIndex=3&amp;refID=7037074&amp;Result=3","7037074")</f>
        <v>0</v>
      </c>
      <c r="B8388" t="s">
        <v>1046</v>
      </c>
      <c r="C8388" t="s">
        <v>11076</v>
      </c>
      <c r="E8388" t="s">
        <v>23627</v>
      </c>
      <c r="F8388" t="s">
        <v>28198</v>
      </c>
      <c r="G8388" t="s">
        <v>28205</v>
      </c>
      <c r="H8388" t="s">
        <v>28214</v>
      </c>
      <c r="I8388" t="s">
        <v>3797</v>
      </c>
      <c r="J8388" t="s">
        <v>33588</v>
      </c>
      <c r="K8388" t="s">
        <v>36689</v>
      </c>
      <c r="M8388" t="s">
        <v>38079</v>
      </c>
      <c r="N8388" t="s">
        <v>40436</v>
      </c>
      <c r="O8388" t="s">
        <v>40437</v>
      </c>
      <c r="Q8388">
        <v>2</v>
      </c>
      <c r="R8388" t="s">
        <v>40445</v>
      </c>
      <c r="S8388" t="s">
        <v>40750</v>
      </c>
      <c r="T8388" t="s">
        <v>42341</v>
      </c>
      <c r="U8388" t="s">
        <v>49675</v>
      </c>
      <c r="W8388" t="s">
        <v>38079</v>
      </c>
      <c r="X8388" t="s">
        <v>40446</v>
      </c>
    </row>
    <row r="8389" spans="1:24">
      <c r="A8389">
        <f>HYPERLINK("https://www.philgeps.gov.ph/GEPSNONPILOT/Tender/SplashBidNoticeAbstractUI.aspx?menuIndex=3&amp;refID=7037058&amp;Result=3","7037058")</f>
        <v>0</v>
      </c>
      <c r="B8389" t="s">
        <v>870</v>
      </c>
      <c r="C8389" t="s">
        <v>11077</v>
      </c>
      <c r="D8389" t="s">
        <v>16221</v>
      </c>
      <c r="E8389" t="s">
        <v>23628</v>
      </c>
      <c r="F8389" t="s">
        <v>28198</v>
      </c>
      <c r="G8389" t="s">
        <v>28205</v>
      </c>
      <c r="H8389" t="s">
        <v>28214</v>
      </c>
      <c r="I8389" t="s">
        <v>3797</v>
      </c>
      <c r="J8389" t="s">
        <v>31937</v>
      </c>
      <c r="K8389" t="s">
        <v>36770</v>
      </c>
      <c r="M8389" t="s">
        <v>37882</v>
      </c>
      <c r="N8389" t="s">
        <v>40436</v>
      </c>
      <c r="O8389" t="s">
        <v>40437</v>
      </c>
      <c r="P8389">
        <v>0</v>
      </c>
      <c r="Q8389">
        <v>4</v>
      </c>
      <c r="R8389" t="s">
        <v>40445</v>
      </c>
      <c r="S8389" t="s">
        <v>40730</v>
      </c>
      <c r="T8389" t="s">
        <v>42279</v>
      </c>
      <c r="U8389" t="s">
        <v>49589</v>
      </c>
      <c r="W8389" t="s">
        <v>37882</v>
      </c>
      <c r="X8389" t="s">
        <v>40446</v>
      </c>
    </row>
    <row r="8390" spans="1:24">
      <c r="A8390">
        <f>HYPERLINK("https://www.philgeps.gov.ph/GEPSNONPILOT/Tender/SplashBidNoticeAbstractUI.aspx?menuIndex=3&amp;refID=7037064&amp;Result=3","7037064")</f>
        <v>0</v>
      </c>
      <c r="B8390" t="s">
        <v>318</v>
      </c>
      <c r="C8390" t="s">
        <v>11078</v>
      </c>
      <c r="D8390" t="s">
        <v>16241</v>
      </c>
      <c r="E8390" t="s">
        <v>23629</v>
      </c>
      <c r="F8390" t="s">
        <v>28198</v>
      </c>
      <c r="G8390" t="s">
        <v>28207</v>
      </c>
      <c r="H8390" t="s">
        <v>28215</v>
      </c>
      <c r="I8390" t="s">
        <v>4200</v>
      </c>
      <c r="J8390" t="s">
        <v>33589</v>
      </c>
      <c r="K8390" t="s">
        <v>36707</v>
      </c>
      <c r="M8390" t="s">
        <v>37296</v>
      </c>
      <c r="N8390" t="s">
        <v>40436</v>
      </c>
      <c r="O8390" t="s">
        <v>40437</v>
      </c>
      <c r="Q8390">
        <v>7</v>
      </c>
      <c r="R8390" t="s">
        <v>40445</v>
      </c>
      <c r="S8390" t="s">
        <v>40751</v>
      </c>
      <c r="T8390" t="s">
        <v>42185</v>
      </c>
      <c r="U8390" t="s">
        <v>49676</v>
      </c>
      <c r="V8390" t="s">
        <v>54676</v>
      </c>
      <c r="W8390" t="s">
        <v>37296</v>
      </c>
      <c r="X8390" t="s">
        <v>40446</v>
      </c>
    </row>
    <row r="8391" spans="1:24">
      <c r="A8391">
        <f>HYPERLINK("https://www.philgeps.gov.ph/GEPSNONPILOT/Tender/SplashBidNoticeAbstractUI.aspx?menuIndex=3&amp;refID=7037075&amp;Result=3","7037075")</f>
        <v>0</v>
      </c>
      <c r="B8391" t="s">
        <v>870</v>
      </c>
      <c r="C8391" t="s">
        <v>11079</v>
      </c>
      <c r="D8391" t="s">
        <v>16221</v>
      </c>
      <c r="E8391" t="s">
        <v>23630</v>
      </c>
      <c r="F8391" t="s">
        <v>28198</v>
      </c>
      <c r="G8391" t="s">
        <v>28205</v>
      </c>
      <c r="H8391" t="s">
        <v>28214</v>
      </c>
      <c r="I8391" t="s">
        <v>3797</v>
      </c>
      <c r="J8391" t="s">
        <v>31934</v>
      </c>
      <c r="K8391" t="s">
        <v>36872</v>
      </c>
      <c r="M8391" t="s">
        <v>37882</v>
      </c>
      <c r="N8391" t="s">
        <v>40436</v>
      </c>
      <c r="O8391" t="s">
        <v>40437</v>
      </c>
      <c r="P8391">
        <v>0</v>
      </c>
      <c r="Q8391">
        <v>4</v>
      </c>
      <c r="R8391" t="s">
        <v>40445</v>
      </c>
      <c r="S8391" t="s">
        <v>40730</v>
      </c>
      <c r="T8391" t="s">
        <v>42279</v>
      </c>
      <c r="U8391" t="s">
        <v>49589</v>
      </c>
      <c r="W8391" t="s">
        <v>37882</v>
      </c>
      <c r="X8391" t="s">
        <v>40446</v>
      </c>
    </row>
    <row r="8392" spans="1:24">
      <c r="A8392">
        <f>HYPERLINK("https://www.philgeps.gov.ph/GEPSNONPILOT/Tender/SplashBidNoticeAbstractUI.aspx?menuIndex=3&amp;refID=7037054&amp;Result=3","7037054")</f>
        <v>0</v>
      </c>
      <c r="B8392" t="s">
        <v>632</v>
      </c>
      <c r="C8392" t="s">
        <v>11080</v>
      </c>
      <c r="D8392" t="s">
        <v>16210</v>
      </c>
      <c r="E8392" t="s">
        <v>23631</v>
      </c>
      <c r="F8392" t="s">
        <v>28198</v>
      </c>
      <c r="G8392" t="s">
        <v>28207</v>
      </c>
      <c r="H8392" t="s">
        <v>28215</v>
      </c>
      <c r="I8392" t="s">
        <v>28255</v>
      </c>
      <c r="J8392" t="s">
        <v>33590</v>
      </c>
      <c r="K8392" t="s">
        <v>36756</v>
      </c>
      <c r="M8392" t="s">
        <v>37625</v>
      </c>
      <c r="N8392" t="s">
        <v>40436</v>
      </c>
      <c r="O8392" t="s">
        <v>40437</v>
      </c>
      <c r="Q8392">
        <v>2</v>
      </c>
      <c r="R8392" t="s">
        <v>40445</v>
      </c>
      <c r="S8392" t="s">
        <v>40752</v>
      </c>
      <c r="T8392" t="s">
        <v>42158</v>
      </c>
      <c r="U8392" t="s">
        <v>49677</v>
      </c>
      <c r="V8392" t="s">
        <v>53939</v>
      </c>
      <c r="W8392" t="s">
        <v>37625</v>
      </c>
      <c r="X8392" t="s">
        <v>40446</v>
      </c>
    </row>
    <row r="8393" spans="1:24">
      <c r="A8393">
        <f>HYPERLINK("https://www.philgeps.gov.ph/GEPSNONPILOT/Tender/SplashBidNoticeAbstractUI.aspx?menuIndex=3&amp;refID=7037070&amp;Result=3","7037070")</f>
        <v>0</v>
      </c>
      <c r="B8393" t="s">
        <v>686</v>
      </c>
      <c r="C8393" t="s">
        <v>11081</v>
      </c>
      <c r="D8393" t="s">
        <v>16195</v>
      </c>
      <c r="E8393" t="s">
        <v>23632</v>
      </c>
      <c r="F8393" t="s">
        <v>28198</v>
      </c>
      <c r="G8393" t="s">
        <v>28205</v>
      </c>
      <c r="H8393" t="s">
        <v>28215</v>
      </c>
      <c r="I8393" t="s">
        <v>28225</v>
      </c>
      <c r="J8393" t="s">
        <v>33591</v>
      </c>
      <c r="K8393" t="s">
        <v>36701</v>
      </c>
      <c r="M8393" t="s">
        <v>39569</v>
      </c>
      <c r="N8393" t="s">
        <v>40436</v>
      </c>
      <c r="O8393" t="s">
        <v>40437</v>
      </c>
      <c r="P8393">
        <v>0</v>
      </c>
      <c r="Q8393">
        <v>15</v>
      </c>
      <c r="R8393" t="s">
        <v>40445</v>
      </c>
      <c r="S8393" t="s">
        <v>40730</v>
      </c>
      <c r="T8393" t="s">
        <v>42168</v>
      </c>
      <c r="U8393" t="s">
        <v>49678</v>
      </c>
      <c r="V8393" t="s">
        <v>54677</v>
      </c>
      <c r="W8393" t="s">
        <v>39569</v>
      </c>
      <c r="X8393" t="s">
        <v>40446</v>
      </c>
    </row>
    <row r="8394" spans="1:24">
      <c r="A8394">
        <f>HYPERLINK("https://www.philgeps.gov.ph/GEPSNONPILOT/Tender/SplashBidNoticeAbstractUI.aspx?menuIndex=3&amp;refID=7037045&amp;Result=3","7037045")</f>
        <v>0</v>
      </c>
      <c r="B8394" t="s">
        <v>1900</v>
      </c>
      <c r="C8394" t="s">
        <v>11082</v>
      </c>
      <c r="E8394" t="s">
        <v>23633</v>
      </c>
      <c r="F8394" t="s">
        <v>28198</v>
      </c>
      <c r="G8394" t="s">
        <v>28205</v>
      </c>
      <c r="H8394" t="s">
        <v>28216</v>
      </c>
      <c r="I8394" t="s">
        <v>28216</v>
      </c>
      <c r="J8394" t="s">
        <v>33592</v>
      </c>
      <c r="K8394" t="s">
        <v>36689</v>
      </c>
      <c r="M8394" t="s">
        <v>39032</v>
      </c>
      <c r="N8394" t="s">
        <v>40436</v>
      </c>
      <c r="O8394" t="s">
        <v>40437</v>
      </c>
      <c r="Q8394">
        <v>1</v>
      </c>
      <c r="R8394" t="s">
        <v>40445</v>
      </c>
      <c r="S8394" t="s">
        <v>40753</v>
      </c>
      <c r="T8394" t="s">
        <v>42279</v>
      </c>
      <c r="U8394" t="s">
        <v>49679</v>
      </c>
      <c r="V8394" t="s">
        <v>54678</v>
      </c>
      <c r="W8394" t="s">
        <v>39032</v>
      </c>
      <c r="X8394" t="s">
        <v>40446</v>
      </c>
    </row>
    <row r="8395" spans="1:24">
      <c r="A8395">
        <f>HYPERLINK("https://www.philgeps.gov.ph/GEPSNONPILOT/Tender/SplashBidNoticeAbstractUI.aspx?menuIndex=3&amp;refID=7037052&amp;Result=3","7037052")</f>
        <v>0</v>
      </c>
      <c r="B8395" t="s">
        <v>323</v>
      </c>
      <c r="C8395" t="s">
        <v>11083</v>
      </c>
      <c r="D8395" t="s">
        <v>16238</v>
      </c>
      <c r="E8395" t="s">
        <v>23634</v>
      </c>
      <c r="F8395" t="s">
        <v>28198</v>
      </c>
      <c r="G8395" t="s">
        <v>28205</v>
      </c>
      <c r="H8395" t="s">
        <v>28215</v>
      </c>
      <c r="I8395" t="s">
        <v>5100</v>
      </c>
      <c r="J8395" t="s">
        <v>33593</v>
      </c>
      <c r="K8395" t="s">
        <v>36689</v>
      </c>
      <c r="M8395" t="s">
        <v>37301</v>
      </c>
      <c r="N8395" t="s">
        <v>40436</v>
      </c>
      <c r="O8395" t="s">
        <v>40437</v>
      </c>
      <c r="P8395">
        <v>0</v>
      </c>
      <c r="Q8395">
        <v>0</v>
      </c>
      <c r="R8395" t="s">
        <v>40445</v>
      </c>
      <c r="S8395" t="s">
        <v>40730</v>
      </c>
      <c r="T8395" t="s">
        <v>42184</v>
      </c>
      <c r="U8395" t="s">
        <v>49680</v>
      </c>
      <c r="W8395" t="s">
        <v>55442</v>
      </c>
      <c r="X8395" t="s">
        <v>40446</v>
      </c>
    </row>
    <row r="8396" spans="1:24">
      <c r="A8396">
        <f>HYPERLINK("https://www.philgeps.gov.ph/GEPSNONPILOT/Tender/SplashBidNoticeAbstractUI.aspx?menuIndex=3&amp;refID=7037051&amp;Result=3","7037051")</f>
        <v>0</v>
      </c>
      <c r="B8396" t="s">
        <v>775</v>
      </c>
      <c r="C8396" t="s">
        <v>11084</v>
      </c>
      <c r="D8396" t="s">
        <v>16206</v>
      </c>
      <c r="E8396" t="s">
        <v>23635</v>
      </c>
      <c r="F8396" t="s">
        <v>28198</v>
      </c>
      <c r="G8396" t="s">
        <v>28205</v>
      </c>
      <c r="H8396" t="s">
        <v>28214</v>
      </c>
      <c r="I8396" t="s">
        <v>3797</v>
      </c>
      <c r="J8396" t="s">
        <v>33594</v>
      </c>
      <c r="K8396" t="s">
        <v>36813</v>
      </c>
      <c r="M8396" t="s">
        <v>37779</v>
      </c>
      <c r="N8396" t="s">
        <v>40436</v>
      </c>
      <c r="O8396" t="s">
        <v>40437</v>
      </c>
      <c r="P8396">
        <v>0</v>
      </c>
      <c r="Q8396">
        <v>0</v>
      </c>
      <c r="R8396" t="s">
        <v>40445</v>
      </c>
      <c r="S8396" t="s">
        <v>40730</v>
      </c>
      <c r="T8396" t="s">
        <v>42390</v>
      </c>
      <c r="U8396" t="s">
        <v>49681</v>
      </c>
      <c r="W8396" t="s">
        <v>37779</v>
      </c>
      <c r="X8396" t="s">
        <v>40446</v>
      </c>
    </row>
    <row r="8397" spans="1:24">
      <c r="A8397">
        <f>HYPERLINK("https://www.philgeps.gov.ph/GEPSNONPILOT/Tender/SplashBidNoticeAbstractUI.aspx?menuIndex=3&amp;refID=7037043&amp;Result=3","7037043")</f>
        <v>0</v>
      </c>
      <c r="B8397" t="s">
        <v>1046</v>
      </c>
      <c r="C8397" t="s">
        <v>11085</v>
      </c>
      <c r="E8397" t="s">
        <v>23636</v>
      </c>
      <c r="F8397" t="s">
        <v>28198</v>
      </c>
      <c r="G8397" t="s">
        <v>28205</v>
      </c>
      <c r="H8397" t="s">
        <v>28214</v>
      </c>
      <c r="I8397" t="s">
        <v>3797</v>
      </c>
      <c r="J8397" t="s">
        <v>33595</v>
      </c>
      <c r="K8397" t="s">
        <v>36689</v>
      </c>
      <c r="M8397" t="s">
        <v>38079</v>
      </c>
      <c r="N8397" t="s">
        <v>40436</v>
      </c>
      <c r="O8397" t="s">
        <v>40437</v>
      </c>
      <c r="Q8397">
        <v>2</v>
      </c>
      <c r="R8397" t="s">
        <v>40445</v>
      </c>
      <c r="S8397" t="s">
        <v>40754</v>
      </c>
      <c r="T8397" t="s">
        <v>42168</v>
      </c>
      <c r="U8397" t="s">
        <v>49682</v>
      </c>
      <c r="W8397" t="s">
        <v>38079</v>
      </c>
      <c r="X8397" t="s">
        <v>40446</v>
      </c>
    </row>
    <row r="8398" spans="1:24">
      <c r="A8398">
        <f>HYPERLINK("https://www.philgeps.gov.ph/GEPSNONPILOT/Tender/SplashBidNoticeAbstractUI.aspx?menuIndex=3&amp;refID=7037053&amp;Result=3","7037053")</f>
        <v>0</v>
      </c>
      <c r="B8398" t="s">
        <v>351</v>
      </c>
      <c r="C8398" t="s">
        <v>11086</v>
      </c>
      <c r="D8398" t="s">
        <v>16258</v>
      </c>
      <c r="E8398" t="s">
        <v>23637</v>
      </c>
      <c r="F8398" t="s">
        <v>28198</v>
      </c>
      <c r="G8398" t="s">
        <v>28205</v>
      </c>
      <c r="H8398" t="s">
        <v>28215</v>
      </c>
      <c r="I8398" t="s">
        <v>5082</v>
      </c>
      <c r="J8398" t="s">
        <v>33596</v>
      </c>
      <c r="K8398" t="s">
        <v>36706</v>
      </c>
      <c r="M8398" t="s">
        <v>37330</v>
      </c>
      <c r="N8398" t="s">
        <v>40436</v>
      </c>
      <c r="O8398" t="s">
        <v>40437</v>
      </c>
      <c r="P8398">
        <v>0</v>
      </c>
      <c r="Q8398">
        <v>0</v>
      </c>
      <c r="R8398" t="s">
        <v>40445</v>
      </c>
      <c r="S8398" t="s">
        <v>40730</v>
      </c>
      <c r="T8398" t="s">
        <v>42136</v>
      </c>
      <c r="U8398" t="s">
        <v>49683</v>
      </c>
      <c r="W8398" t="s">
        <v>37330</v>
      </c>
      <c r="X8398" t="s">
        <v>40446</v>
      </c>
    </row>
    <row r="8399" spans="1:24">
      <c r="A8399">
        <f>HYPERLINK("https://www.philgeps.gov.ph/GEPSNONPILOT/Tender/SplashBidNoticeAbstractUI.aspx?menuIndex=3&amp;refID=7037078&amp;Result=3","7037078")</f>
        <v>0</v>
      </c>
      <c r="B8399" t="s">
        <v>2304</v>
      </c>
      <c r="C8399" t="s">
        <v>11087</v>
      </c>
      <c r="D8399" t="s">
        <v>16241</v>
      </c>
      <c r="E8399" t="s">
        <v>23638</v>
      </c>
      <c r="F8399" t="s">
        <v>28198</v>
      </c>
      <c r="G8399" t="s">
        <v>28209</v>
      </c>
      <c r="H8399" t="s">
        <v>28215</v>
      </c>
      <c r="I8399" t="s">
        <v>8888</v>
      </c>
      <c r="J8399" t="s">
        <v>33597</v>
      </c>
      <c r="K8399" t="s">
        <v>36689</v>
      </c>
      <c r="M8399" t="s">
        <v>39479</v>
      </c>
      <c r="N8399" t="s">
        <v>40436</v>
      </c>
      <c r="O8399" t="s">
        <v>40437</v>
      </c>
      <c r="Q8399">
        <v>18</v>
      </c>
      <c r="R8399" t="s">
        <v>40445</v>
      </c>
      <c r="S8399" t="s">
        <v>40755</v>
      </c>
      <c r="T8399" t="s">
        <v>42168</v>
      </c>
      <c r="U8399" t="s">
        <v>49684</v>
      </c>
      <c r="W8399" t="s">
        <v>39479</v>
      </c>
      <c r="X8399" t="s">
        <v>40446</v>
      </c>
    </row>
    <row r="8400" spans="1:24">
      <c r="A8400">
        <f>HYPERLINK("https://www.philgeps.gov.ph/GEPSNONPILOT/Tender/SplashBidNoticeAbstractUI.aspx?menuIndex=3&amp;refID=7037048&amp;Result=3","7037048")</f>
        <v>0</v>
      </c>
      <c r="B8400" t="s">
        <v>1610</v>
      </c>
      <c r="C8400" t="s">
        <v>11088</v>
      </c>
      <c r="E8400" t="s">
        <v>23639</v>
      </c>
      <c r="F8400" t="s">
        <v>28198</v>
      </c>
      <c r="G8400" t="s">
        <v>28207</v>
      </c>
      <c r="H8400" t="s">
        <v>28215</v>
      </c>
      <c r="I8400" t="s">
        <v>28230</v>
      </c>
      <c r="J8400" t="s">
        <v>28597</v>
      </c>
      <c r="K8400" t="s">
        <v>36689</v>
      </c>
      <c r="M8400" t="s">
        <v>38697</v>
      </c>
      <c r="N8400" t="s">
        <v>40436</v>
      </c>
      <c r="O8400" t="s">
        <v>40437</v>
      </c>
      <c r="P8400">
        <v>0</v>
      </c>
      <c r="Q8400">
        <v>3</v>
      </c>
      <c r="R8400" t="s">
        <v>40445</v>
      </c>
      <c r="S8400" t="s">
        <v>40730</v>
      </c>
      <c r="T8400" t="s">
        <v>42378</v>
      </c>
      <c r="U8400" t="s">
        <v>49408</v>
      </c>
      <c r="W8400" t="s">
        <v>38697</v>
      </c>
      <c r="X8400" t="s">
        <v>40446</v>
      </c>
    </row>
    <row r="8401" spans="1:24">
      <c r="A8401">
        <f>HYPERLINK("https://www.philgeps.gov.ph/GEPSNONPILOT/Tender/SplashBidNoticeAbstractUI.aspx?menuIndex=3&amp;refID=7037095&amp;Result=3","7037095")</f>
        <v>0</v>
      </c>
      <c r="B8401" t="s">
        <v>2475</v>
      </c>
      <c r="C8401" t="s">
        <v>11089</v>
      </c>
      <c r="D8401" t="s">
        <v>16199</v>
      </c>
      <c r="E8401" t="s">
        <v>23640</v>
      </c>
      <c r="F8401" t="s">
        <v>28198</v>
      </c>
      <c r="G8401" t="s">
        <v>28208</v>
      </c>
      <c r="H8401" t="s">
        <v>28215</v>
      </c>
      <c r="I8401" t="s">
        <v>28239</v>
      </c>
      <c r="J8401" t="s">
        <v>28397</v>
      </c>
      <c r="K8401" t="s">
        <v>36707</v>
      </c>
      <c r="L8401" t="s">
        <v>2475</v>
      </c>
      <c r="M8401" t="s">
        <v>39673</v>
      </c>
      <c r="N8401" t="s">
        <v>40436</v>
      </c>
      <c r="O8401" t="s">
        <v>40437</v>
      </c>
      <c r="P8401">
        <v>0</v>
      </c>
      <c r="Q8401">
        <v>1</v>
      </c>
      <c r="R8401" t="s">
        <v>40445</v>
      </c>
      <c r="S8401" t="s">
        <v>40730</v>
      </c>
      <c r="T8401" t="s">
        <v>42297</v>
      </c>
      <c r="U8401" t="s">
        <v>49685</v>
      </c>
      <c r="W8401" t="s">
        <v>39673</v>
      </c>
      <c r="X8401" t="s">
        <v>40446</v>
      </c>
    </row>
    <row r="8402" spans="1:24">
      <c r="A8402">
        <f>HYPERLINK("https://www.philgeps.gov.ph/GEPSNONPILOT/Tender/SplashBidNoticeAbstractUI.aspx?menuIndex=3&amp;refID=7037088&amp;Result=3","7037088")</f>
        <v>0</v>
      </c>
      <c r="B8402" t="s">
        <v>1726</v>
      </c>
      <c r="C8402" t="s">
        <v>11090</v>
      </c>
      <c r="D8402" t="s">
        <v>16233</v>
      </c>
      <c r="E8402" t="s">
        <v>23641</v>
      </c>
      <c r="F8402" t="s">
        <v>28198</v>
      </c>
      <c r="G8402" t="s">
        <v>28205</v>
      </c>
      <c r="H8402" t="s">
        <v>28215</v>
      </c>
      <c r="I8402" t="s">
        <v>5100</v>
      </c>
      <c r="J8402" t="s">
        <v>33598</v>
      </c>
      <c r="K8402" t="s">
        <v>36689</v>
      </c>
      <c r="M8402" t="s">
        <v>38835</v>
      </c>
      <c r="N8402" t="s">
        <v>40436</v>
      </c>
      <c r="O8402" t="s">
        <v>40437</v>
      </c>
      <c r="P8402">
        <v>0</v>
      </c>
      <c r="Q8402">
        <v>0</v>
      </c>
      <c r="R8402" t="s">
        <v>40445</v>
      </c>
      <c r="S8402" t="s">
        <v>40730</v>
      </c>
      <c r="T8402" t="s">
        <v>42517</v>
      </c>
      <c r="U8402" t="s">
        <v>48790</v>
      </c>
      <c r="V8402" t="s">
        <v>54679</v>
      </c>
      <c r="W8402" t="s">
        <v>38835</v>
      </c>
      <c r="X8402" t="s">
        <v>40446</v>
      </c>
    </row>
    <row r="8403" spans="1:24">
      <c r="A8403">
        <f>HYPERLINK("https://www.philgeps.gov.ph/GEPSNONPILOT/Tender/SplashBidNoticeAbstractUI.aspx?menuIndex=3&amp;refID=7037057&amp;Result=3","7037057")</f>
        <v>0</v>
      </c>
      <c r="B8403" t="s">
        <v>1046</v>
      </c>
      <c r="C8403" t="s">
        <v>11091</v>
      </c>
      <c r="E8403" t="s">
        <v>23642</v>
      </c>
      <c r="F8403" t="s">
        <v>28198</v>
      </c>
      <c r="G8403" t="s">
        <v>28205</v>
      </c>
      <c r="H8403" t="s">
        <v>28214</v>
      </c>
      <c r="I8403" t="s">
        <v>3797</v>
      </c>
      <c r="J8403" t="s">
        <v>33599</v>
      </c>
      <c r="K8403" t="s">
        <v>36689</v>
      </c>
      <c r="M8403" t="s">
        <v>38079</v>
      </c>
      <c r="N8403" t="s">
        <v>40436</v>
      </c>
      <c r="O8403" t="s">
        <v>40437</v>
      </c>
      <c r="Q8403">
        <v>2</v>
      </c>
      <c r="R8403" t="s">
        <v>40445</v>
      </c>
      <c r="S8403" t="s">
        <v>40756</v>
      </c>
      <c r="T8403" t="s">
        <v>42234</v>
      </c>
      <c r="U8403" t="s">
        <v>49686</v>
      </c>
      <c r="W8403" t="s">
        <v>38079</v>
      </c>
      <c r="X8403" t="s">
        <v>40446</v>
      </c>
    </row>
    <row r="8404" spans="1:24">
      <c r="A8404">
        <f>HYPERLINK("https://www.philgeps.gov.ph/GEPSNONPILOT/Tender/SplashBidNoticeAbstractUI.aspx?menuIndex=3&amp;refID=7037103&amp;Result=3","7037103")</f>
        <v>0</v>
      </c>
      <c r="B8404" t="s">
        <v>2469</v>
      </c>
      <c r="C8404" t="s">
        <v>11092</v>
      </c>
      <c r="D8404" t="s">
        <v>16221</v>
      </c>
      <c r="E8404" t="s">
        <v>18093</v>
      </c>
      <c r="F8404" t="s">
        <v>28198</v>
      </c>
      <c r="G8404" t="s">
        <v>28205</v>
      </c>
      <c r="H8404" t="s">
        <v>28214</v>
      </c>
      <c r="I8404" t="s">
        <v>3797</v>
      </c>
      <c r="J8404" t="s">
        <v>33600</v>
      </c>
      <c r="K8404" t="s">
        <v>36701</v>
      </c>
      <c r="M8404" t="s">
        <v>39666</v>
      </c>
      <c r="N8404" t="s">
        <v>40436</v>
      </c>
      <c r="O8404" t="s">
        <v>40437</v>
      </c>
      <c r="P8404">
        <v>0</v>
      </c>
      <c r="Q8404">
        <v>0</v>
      </c>
      <c r="R8404" t="s">
        <v>40445</v>
      </c>
      <c r="S8404" t="s">
        <v>40730</v>
      </c>
      <c r="T8404" t="s">
        <v>42278</v>
      </c>
      <c r="U8404" t="s">
        <v>49687</v>
      </c>
      <c r="W8404" t="s">
        <v>39666</v>
      </c>
      <c r="X8404" t="s">
        <v>40446</v>
      </c>
    </row>
    <row r="8405" spans="1:24">
      <c r="A8405">
        <f>HYPERLINK("https://www.philgeps.gov.ph/GEPSNONPILOT/Tender/SplashBidNoticeAbstractUI.aspx?menuIndex=3&amp;refID=7037089&amp;Result=3","7037089")</f>
        <v>0</v>
      </c>
      <c r="B8405" t="s">
        <v>2399</v>
      </c>
      <c r="C8405" t="s">
        <v>11093</v>
      </c>
      <c r="D8405" t="s">
        <v>16189</v>
      </c>
      <c r="E8405" t="s">
        <v>23643</v>
      </c>
      <c r="F8405" t="s">
        <v>28198</v>
      </c>
      <c r="G8405" t="s">
        <v>28205</v>
      </c>
      <c r="H8405" t="s">
        <v>28214</v>
      </c>
      <c r="I8405" t="s">
        <v>3797</v>
      </c>
      <c r="J8405" t="s">
        <v>28899</v>
      </c>
      <c r="K8405" t="s">
        <v>36717</v>
      </c>
      <c r="M8405" t="s">
        <v>39586</v>
      </c>
      <c r="N8405" t="s">
        <v>40436</v>
      </c>
      <c r="O8405" t="s">
        <v>40437</v>
      </c>
      <c r="P8405">
        <v>0</v>
      </c>
      <c r="Q8405">
        <v>0</v>
      </c>
      <c r="R8405" t="s">
        <v>40445</v>
      </c>
      <c r="S8405" t="s">
        <v>40730</v>
      </c>
      <c r="T8405" t="s">
        <v>42482</v>
      </c>
      <c r="U8405" t="s">
        <v>49688</v>
      </c>
      <c r="W8405" t="s">
        <v>55514</v>
      </c>
      <c r="X8405" t="s">
        <v>40446</v>
      </c>
    </row>
    <row r="8406" spans="1:24">
      <c r="A8406">
        <f>HYPERLINK("https://www.philgeps.gov.ph/GEPSNONPILOT/Tender/SplashBidNoticeAbstractUI.aspx?menuIndex=3&amp;refID=7037122&amp;Result=3","7037122")</f>
        <v>0</v>
      </c>
      <c r="B8406" t="s">
        <v>2476</v>
      </c>
      <c r="C8406" t="s">
        <v>4328</v>
      </c>
      <c r="D8406" t="s">
        <v>16250</v>
      </c>
      <c r="E8406" t="s">
        <v>23644</v>
      </c>
      <c r="F8406" t="s">
        <v>28198</v>
      </c>
      <c r="G8406" t="s">
        <v>28205</v>
      </c>
      <c r="H8406" t="s">
        <v>28215</v>
      </c>
      <c r="I8406" t="s">
        <v>28254</v>
      </c>
      <c r="J8406" t="s">
        <v>28393</v>
      </c>
      <c r="K8406" t="s">
        <v>36701</v>
      </c>
      <c r="M8406" t="s">
        <v>39674</v>
      </c>
      <c r="N8406" t="s">
        <v>40436</v>
      </c>
      <c r="O8406" t="s">
        <v>40437</v>
      </c>
      <c r="P8406">
        <v>0</v>
      </c>
      <c r="Q8406">
        <v>1</v>
      </c>
      <c r="R8406" t="s">
        <v>40445</v>
      </c>
      <c r="S8406" t="s">
        <v>40730</v>
      </c>
      <c r="T8406" t="s">
        <v>42253</v>
      </c>
      <c r="U8406" t="s">
        <v>49689</v>
      </c>
      <c r="W8406" t="s">
        <v>39674</v>
      </c>
      <c r="X8406" t="s">
        <v>40446</v>
      </c>
    </row>
    <row r="8407" spans="1:24">
      <c r="A8407">
        <f>HYPERLINK("https://www.philgeps.gov.ph/GEPSNONPILOT/Tender/SplashBidNoticeAbstractUI.aspx?menuIndex=3&amp;refID=7037111&amp;Result=3","7037111")</f>
        <v>0</v>
      </c>
      <c r="B8407" t="s">
        <v>2256</v>
      </c>
      <c r="C8407" t="s">
        <v>11094</v>
      </c>
      <c r="D8407" t="s">
        <v>16209</v>
      </c>
      <c r="E8407" t="s">
        <v>23645</v>
      </c>
      <c r="F8407" t="s">
        <v>28198</v>
      </c>
      <c r="G8407" t="s">
        <v>28205</v>
      </c>
      <c r="H8407" t="s">
        <v>28215</v>
      </c>
      <c r="I8407" t="s">
        <v>3774</v>
      </c>
      <c r="J8407" t="s">
        <v>33601</v>
      </c>
      <c r="K8407" t="s">
        <v>36707</v>
      </c>
      <c r="M8407" t="s">
        <v>39426</v>
      </c>
      <c r="N8407" t="s">
        <v>40436</v>
      </c>
      <c r="O8407" t="s">
        <v>40437</v>
      </c>
      <c r="P8407">
        <v>0</v>
      </c>
      <c r="Q8407">
        <v>0</v>
      </c>
      <c r="R8407" t="s">
        <v>40445</v>
      </c>
      <c r="S8407" t="s">
        <v>40730</v>
      </c>
      <c r="T8407" t="s">
        <v>42184</v>
      </c>
      <c r="U8407" t="s">
        <v>49690</v>
      </c>
      <c r="W8407" t="s">
        <v>39426</v>
      </c>
      <c r="X8407" t="s">
        <v>40446</v>
      </c>
    </row>
    <row r="8408" spans="1:24">
      <c r="A8408">
        <f>HYPERLINK("https://www.philgeps.gov.ph/GEPSNONPILOT/Tender/SplashBidNoticeAbstractUI.aspx?menuIndex=3&amp;refID=7037112&amp;Result=3","7037112")</f>
        <v>0</v>
      </c>
      <c r="B8408" t="s">
        <v>1046</v>
      </c>
      <c r="C8408" t="s">
        <v>11095</v>
      </c>
      <c r="E8408" t="s">
        <v>23646</v>
      </c>
      <c r="F8408" t="s">
        <v>28198</v>
      </c>
      <c r="G8408" t="s">
        <v>28205</v>
      </c>
      <c r="H8408" t="s">
        <v>28214</v>
      </c>
      <c r="I8408" t="s">
        <v>3797</v>
      </c>
      <c r="J8408" t="s">
        <v>33602</v>
      </c>
      <c r="K8408" t="s">
        <v>36689</v>
      </c>
      <c r="M8408" t="s">
        <v>38079</v>
      </c>
      <c r="N8408" t="s">
        <v>40436</v>
      </c>
      <c r="O8408" t="s">
        <v>40437</v>
      </c>
      <c r="Q8408">
        <v>2</v>
      </c>
      <c r="R8408" t="s">
        <v>40445</v>
      </c>
      <c r="S8408" t="s">
        <v>40757</v>
      </c>
      <c r="T8408" t="s">
        <v>42113</v>
      </c>
      <c r="U8408" t="s">
        <v>49691</v>
      </c>
      <c r="W8408" t="s">
        <v>38079</v>
      </c>
      <c r="X8408" t="s">
        <v>40446</v>
      </c>
    </row>
    <row r="8409" spans="1:24">
      <c r="A8409">
        <f>HYPERLINK("https://www.philgeps.gov.ph/GEPSNONPILOT/Tender/SplashBidNoticeAbstractUI.aspx?menuIndex=3&amp;refID=7037124&amp;Result=3","7037124")</f>
        <v>0</v>
      </c>
      <c r="B8409" t="s">
        <v>1610</v>
      </c>
      <c r="C8409" t="s">
        <v>11096</v>
      </c>
      <c r="E8409" t="s">
        <v>23647</v>
      </c>
      <c r="F8409" t="s">
        <v>28198</v>
      </c>
      <c r="G8409" t="s">
        <v>28207</v>
      </c>
      <c r="H8409" t="s">
        <v>28215</v>
      </c>
      <c r="I8409" t="s">
        <v>28247</v>
      </c>
      <c r="J8409" t="s">
        <v>28345</v>
      </c>
      <c r="K8409" t="s">
        <v>36689</v>
      </c>
      <c r="M8409" t="s">
        <v>38697</v>
      </c>
      <c r="N8409" t="s">
        <v>40436</v>
      </c>
      <c r="O8409" t="s">
        <v>40437</v>
      </c>
      <c r="P8409">
        <v>0</v>
      </c>
      <c r="Q8409">
        <v>18</v>
      </c>
      <c r="R8409" t="s">
        <v>40445</v>
      </c>
      <c r="S8409" t="s">
        <v>40730</v>
      </c>
      <c r="T8409" t="s">
        <v>42378</v>
      </c>
      <c r="U8409" t="s">
        <v>49408</v>
      </c>
      <c r="W8409" t="s">
        <v>38697</v>
      </c>
      <c r="X8409" t="s">
        <v>40446</v>
      </c>
    </row>
    <row r="8410" spans="1:24">
      <c r="A8410">
        <f>HYPERLINK("https://www.philgeps.gov.ph/GEPSNONPILOT/Tender/SplashBidNoticeAbstractUI.aspx?menuIndex=3&amp;refID=7037133&amp;Result=3","7037133")</f>
        <v>0</v>
      </c>
      <c r="B8410" t="s">
        <v>2133</v>
      </c>
      <c r="C8410" t="s">
        <v>11097</v>
      </c>
      <c r="D8410" t="s">
        <v>16203</v>
      </c>
      <c r="E8410" t="s">
        <v>23648</v>
      </c>
      <c r="F8410" t="s">
        <v>28198</v>
      </c>
      <c r="G8410" t="s">
        <v>28205</v>
      </c>
      <c r="H8410" t="s">
        <v>28214</v>
      </c>
      <c r="I8410" t="s">
        <v>3797</v>
      </c>
      <c r="J8410" t="s">
        <v>29369</v>
      </c>
      <c r="K8410" t="s">
        <v>36701</v>
      </c>
      <c r="M8410" t="s">
        <v>39290</v>
      </c>
      <c r="N8410" t="s">
        <v>40436</v>
      </c>
      <c r="O8410" t="s">
        <v>40437</v>
      </c>
      <c r="P8410">
        <v>0</v>
      </c>
      <c r="Q8410">
        <v>1</v>
      </c>
      <c r="R8410" t="s">
        <v>40445</v>
      </c>
      <c r="S8410" t="s">
        <v>40730</v>
      </c>
      <c r="T8410" t="s">
        <v>42234</v>
      </c>
      <c r="U8410" t="s">
        <v>49692</v>
      </c>
      <c r="W8410" t="s">
        <v>39290</v>
      </c>
      <c r="X8410" t="s">
        <v>40446</v>
      </c>
    </row>
    <row r="8411" spans="1:24">
      <c r="A8411">
        <f>HYPERLINK("https://www.philgeps.gov.ph/GEPSNONPILOT/Tender/SplashBidNoticeAbstractUI.aspx?menuIndex=3&amp;refID=7037130&amp;Result=3","7037130")</f>
        <v>0</v>
      </c>
      <c r="B8411" t="s">
        <v>346</v>
      </c>
      <c r="C8411" t="s">
        <v>11098</v>
      </c>
      <c r="D8411" t="s">
        <v>16217</v>
      </c>
      <c r="E8411" t="s">
        <v>23649</v>
      </c>
      <c r="F8411" t="s">
        <v>28198</v>
      </c>
      <c r="G8411" t="s">
        <v>28205</v>
      </c>
      <c r="H8411" t="s">
        <v>28214</v>
      </c>
      <c r="I8411" t="s">
        <v>3797</v>
      </c>
      <c r="J8411" t="s">
        <v>33603</v>
      </c>
      <c r="K8411" t="s">
        <v>36737</v>
      </c>
      <c r="M8411" t="s">
        <v>37325</v>
      </c>
      <c r="N8411" t="s">
        <v>40436</v>
      </c>
      <c r="O8411" t="s">
        <v>40437</v>
      </c>
      <c r="Q8411">
        <v>0</v>
      </c>
      <c r="R8411" t="s">
        <v>40445</v>
      </c>
      <c r="S8411" t="s">
        <v>40758</v>
      </c>
      <c r="T8411" t="s">
        <v>42168</v>
      </c>
      <c r="U8411" t="s">
        <v>49693</v>
      </c>
      <c r="W8411" t="s">
        <v>37325</v>
      </c>
      <c r="X8411" t="s">
        <v>40446</v>
      </c>
    </row>
    <row r="8412" spans="1:24">
      <c r="A8412">
        <f>HYPERLINK("https://www.philgeps.gov.ph/GEPSNONPILOT/Tender/SplashBidNoticeAbstractUI.aspx?menuIndex=3&amp;refID=7037162&amp;Result=3","7037162")</f>
        <v>0</v>
      </c>
      <c r="B8412" t="s">
        <v>1726</v>
      </c>
      <c r="C8412" t="s">
        <v>11099</v>
      </c>
      <c r="D8412" t="s">
        <v>16233</v>
      </c>
      <c r="E8412" t="s">
        <v>23650</v>
      </c>
      <c r="F8412" t="s">
        <v>28198</v>
      </c>
      <c r="G8412" t="s">
        <v>28205</v>
      </c>
      <c r="H8412" t="s">
        <v>28215</v>
      </c>
      <c r="I8412" t="s">
        <v>9499</v>
      </c>
      <c r="J8412" t="s">
        <v>33604</v>
      </c>
      <c r="K8412" t="s">
        <v>36689</v>
      </c>
      <c r="M8412" t="s">
        <v>38835</v>
      </c>
      <c r="N8412" t="s">
        <v>40436</v>
      </c>
      <c r="O8412" t="s">
        <v>40437</v>
      </c>
      <c r="P8412">
        <v>0</v>
      </c>
      <c r="Q8412">
        <v>4</v>
      </c>
      <c r="R8412" t="s">
        <v>40445</v>
      </c>
      <c r="S8412" t="s">
        <v>40730</v>
      </c>
      <c r="T8412" t="s">
        <v>42517</v>
      </c>
      <c r="U8412" t="s">
        <v>48790</v>
      </c>
      <c r="V8412" t="s">
        <v>54680</v>
      </c>
      <c r="W8412" t="s">
        <v>38835</v>
      </c>
      <c r="X8412" t="s">
        <v>40446</v>
      </c>
    </row>
    <row r="8413" spans="1:24">
      <c r="A8413">
        <f>HYPERLINK("https://www.philgeps.gov.ph/GEPSNONPILOT/Tender/SplashBidNoticeAbstractUI.aspx?menuIndex=3&amp;refID=7037128&amp;Result=3","7037128")</f>
        <v>0</v>
      </c>
      <c r="B8413" t="s">
        <v>806</v>
      </c>
      <c r="C8413" t="s">
        <v>11100</v>
      </c>
      <c r="D8413" t="s">
        <v>16188</v>
      </c>
      <c r="E8413" t="s">
        <v>23651</v>
      </c>
      <c r="F8413" t="s">
        <v>28198</v>
      </c>
      <c r="G8413" t="s">
        <v>28205</v>
      </c>
      <c r="H8413" t="s">
        <v>28214</v>
      </c>
      <c r="I8413" t="s">
        <v>3797</v>
      </c>
      <c r="J8413" t="s">
        <v>33605</v>
      </c>
      <c r="K8413" t="s">
        <v>36873</v>
      </c>
      <c r="M8413" t="s">
        <v>37814</v>
      </c>
      <c r="N8413" t="s">
        <v>40436</v>
      </c>
      <c r="O8413" t="s">
        <v>40437</v>
      </c>
      <c r="P8413">
        <v>0</v>
      </c>
      <c r="Q8413">
        <v>1</v>
      </c>
      <c r="R8413" t="s">
        <v>40445</v>
      </c>
      <c r="S8413" t="s">
        <v>40730</v>
      </c>
      <c r="T8413" t="s">
        <v>42234</v>
      </c>
      <c r="U8413" t="s">
        <v>49694</v>
      </c>
      <c r="W8413" t="s">
        <v>37814</v>
      </c>
      <c r="X8413" t="s">
        <v>40446</v>
      </c>
    </row>
    <row r="8414" spans="1:24">
      <c r="A8414">
        <f>HYPERLINK("https://www.philgeps.gov.ph/GEPSNONPILOT/Tender/SplashBidNoticeAbstractUI.aspx?menuIndex=3&amp;refID=7037105&amp;Result=3","7037105")</f>
        <v>0</v>
      </c>
      <c r="B8414" t="s">
        <v>1610</v>
      </c>
      <c r="C8414" t="s">
        <v>11101</v>
      </c>
      <c r="E8414" t="s">
        <v>23652</v>
      </c>
      <c r="F8414" t="s">
        <v>28198</v>
      </c>
      <c r="G8414" t="s">
        <v>28210</v>
      </c>
      <c r="H8414" t="s">
        <v>28215</v>
      </c>
      <c r="I8414" t="s">
        <v>4168</v>
      </c>
      <c r="J8414" t="s">
        <v>28345</v>
      </c>
      <c r="K8414" t="s">
        <v>36689</v>
      </c>
      <c r="M8414" t="s">
        <v>38697</v>
      </c>
      <c r="N8414" t="s">
        <v>40436</v>
      </c>
      <c r="O8414" t="s">
        <v>40437</v>
      </c>
      <c r="P8414">
        <v>0</v>
      </c>
      <c r="Q8414">
        <v>8</v>
      </c>
      <c r="R8414" t="s">
        <v>40445</v>
      </c>
      <c r="S8414" t="s">
        <v>40730</v>
      </c>
      <c r="T8414" t="s">
        <v>42378</v>
      </c>
      <c r="U8414" t="s">
        <v>49408</v>
      </c>
      <c r="W8414" t="s">
        <v>38697</v>
      </c>
      <c r="X8414" t="s">
        <v>40446</v>
      </c>
    </row>
    <row r="8415" spans="1:24">
      <c r="A8415">
        <f>HYPERLINK("https://www.philgeps.gov.ph/GEPSNONPILOT/Tender/SplashBidNoticeAbstractUI.aspx?menuIndex=3&amp;refID=7037118&amp;Result=3","7037118")</f>
        <v>0</v>
      </c>
      <c r="B8415" t="s">
        <v>2241</v>
      </c>
      <c r="C8415" t="s">
        <v>11102</v>
      </c>
      <c r="D8415" t="s">
        <v>16199</v>
      </c>
      <c r="E8415" t="s">
        <v>23653</v>
      </c>
      <c r="F8415" t="s">
        <v>28198</v>
      </c>
      <c r="G8415" t="s">
        <v>28205</v>
      </c>
      <c r="H8415" t="s">
        <v>28214</v>
      </c>
      <c r="I8415" t="s">
        <v>3797</v>
      </c>
      <c r="J8415" t="s">
        <v>29643</v>
      </c>
      <c r="K8415" t="s">
        <v>36697</v>
      </c>
      <c r="M8415" t="s">
        <v>39410</v>
      </c>
      <c r="N8415" t="s">
        <v>40436</v>
      </c>
      <c r="O8415" t="s">
        <v>40437</v>
      </c>
      <c r="P8415">
        <v>0</v>
      </c>
      <c r="Q8415">
        <v>1</v>
      </c>
      <c r="R8415" t="s">
        <v>40445</v>
      </c>
      <c r="S8415" t="s">
        <v>40730</v>
      </c>
      <c r="T8415" t="s">
        <v>42161</v>
      </c>
      <c r="U8415" t="s">
        <v>49695</v>
      </c>
      <c r="W8415" t="s">
        <v>39410</v>
      </c>
      <c r="X8415" t="s">
        <v>40446</v>
      </c>
    </row>
    <row r="8416" spans="1:24">
      <c r="A8416">
        <f>HYPERLINK("https://www.philgeps.gov.ph/GEPSNONPILOT/Tender/SplashBidNoticeAbstractUI.aspx?menuIndex=3&amp;refID=7037154&amp;Result=3","7037154")</f>
        <v>0</v>
      </c>
      <c r="B8416" t="s">
        <v>806</v>
      </c>
      <c r="C8416" t="s">
        <v>11103</v>
      </c>
      <c r="D8416" t="s">
        <v>16188</v>
      </c>
      <c r="E8416" t="s">
        <v>23654</v>
      </c>
      <c r="F8416" t="s">
        <v>28198</v>
      </c>
      <c r="G8416" t="s">
        <v>28205</v>
      </c>
      <c r="H8416" t="s">
        <v>28214</v>
      </c>
      <c r="I8416" t="s">
        <v>3797</v>
      </c>
      <c r="J8416" t="s">
        <v>28699</v>
      </c>
      <c r="K8416" t="s">
        <v>36697</v>
      </c>
      <c r="M8416" t="s">
        <v>37814</v>
      </c>
      <c r="N8416" t="s">
        <v>40436</v>
      </c>
      <c r="O8416" t="s">
        <v>40437</v>
      </c>
      <c r="P8416">
        <v>0</v>
      </c>
      <c r="Q8416">
        <v>0</v>
      </c>
      <c r="R8416" t="s">
        <v>40445</v>
      </c>
      <c r="S8416" t="s">
        <v>40730</v>
      </c>
      <c r="T8416" t="s">
        <v>42234</v>
      </c>
      <c r="U8416" t="s">
        <v>49694</v>
      </c>
      <c r="W8416" t="s">
        <v>37814</v>
      </c>
      <c r="X8416" t="s">
        <v>40446</v>
      </c>
    </row>
    <row r="8417" spans="1:24">
      <c r="A8417">
        <f>HYPERLINK("https://www.philgeps.gov.ph/GEPSNONPILOT/Tender/SplashBidNoticeAbstractUI.aspx?menuIndex=3&amp;refID=7037151&amp;Result=3","7037151")</f>
        <v>0</v>
      </c>
      <c r="B8417" t="s">
        <v>2295</v>
      </c>
      <c r="C8417" t="s">
        <v>7754</v>
      </c>
      <c r="D8417" t="s">
        <v>16222</v>
      </c>
      <c r="E8417" t="s">
        <v>23655</v>
      </c>
      <c r="F8417" t="s">
        <v>28200</v>
      </c>
      <c r="G8417" t="s">
        <v>28207</v>
      </c>
      <c r="H8417" t="s">
        <v>28215</v>
      </c>
      <c r="I8417" t="s">
        <v>28258</v>
      </c>
      <c r="J8417" t="s">
        <v>33606</v>
      </c>
      <c r="K8417" t="s">
        <v>36688</v>
      </c>
      <c r="M8417" t="s">
        <v>39470</v>
      </c>
      <c r="N8417" t="s">
        <v>40436</v>
      </c>
      <c r="O8417" t="s">
        <v>40437</v>
      </c>
      <c r="P8417">
        <v>0</v>
      </c>
      <c r="Q8417">
        <v>3</v>
      </c>
      <c r="R8417" t="s">
        <v>40445</v>
      </c>
      <c r="S8417" t="s">
        <v>40730</v>
      </c>
      <c r="T8417" t="s">
        <v>42297</v>
      </c>
      <c r="U8417" t="s">
        <v>49696</v>
      </c>
      <c r="V8417" t="s">
        <v>54564</v>
      </c>
      <c r="W8417" t="s">
        <v>39470</v>
      </c>
      <c r="X8417" t="s">
        <v>40446</v>
      </c>
    </row>
    <row r="8418" spans="1:24">
      <c r="A8418">
        <f>HYPERLINK("https://www.philgeps.gov.ph/GEPSNONPILOT/Tender/SplashBidNoticeAbstractUI.aspx?menuIndex=3&amp;refID=7037143&amp;Result=3","7037143")</f>
        <v>0</v>
      </c>
      <c r="B8418" t="s">
        <v>870</v>
      </c>
      <c r="C8418" t="s">
        <v>11104</v>
      </c>
      <c r="D8418" t="s">
        <v>16221</v>
      </c>
      <c r="E8418" t="s">
        <v>23656</v>
      </c>
      <c r="F8418" t="s">
        <v>28198</v>
      </c>
      <c r="G8418" t="s">
        <v>28205</v>
      </c>
      <c r="H8418" t="s">
        <v>28214</v>
      </c>
      <c r="I8418" t="s">
        <v>3797</v>
      </c>
      <c r="J8418" t="s">
        <v>32533</v>
      </c>
      <c r="K8418" t="s">
        <v>36710</v>
      </c>
      <c r="M8418" t="s">
        <v>37882</v>
      </c>
      <c r="N8418" t="s">
        <v>40436</v>
      </c>
      <c r="O8418" t="s">
        <v>40437</v>
      </c>
      <c r="P8418">
        <v>0</v>
      </c>
      <c r="Q8418">
        <v>5</v>
      </c>
      <c r="R8418" t="s">
        <v>40445</v>
      </c>
      <c r="S8418" t="s">
        <v>40730</v>
      </c>
      <c r="T8418" t="s">
        <v>42279</v>
      </c>
      <c r="U8418" t="s">
        <v>49589</v>
      </c>
      <c r="W8418" t="s">
        <v>37882</v>
      </c>
      <c r="X8418" t="s">
        <v>40446</v>
      </c>
    </row>
    <row r="8419" spans="1:24">
      <c r="A8419">
        <f>HYPERLINK("https://www.philgeps.gov.ph/GEPSNONPILOT/Tender/SplashBidNoticeAbstractUI.aspx?menuIndex=3&amp;refID=7037153&amp;Result=3","7037153")</f>
        <v>0</v>
      </c>
      <c r="B8419" t="s">
        <v>309</v>
      </c>
      <c r="C8419" t="s">
        <v>11105</v>
      </c>
      <c r="D8419" t="s">
        <v>16228</v>
      </c>
      <c r="E8419" t="s">
        <v>23657</v>
      </c>
      <c r="F8419" t="s">
        <v>28200</v>
      </c>
      <c r="G8419" t="s">
        <v>28207</v>
      </c>
      <c r="H8419" t="s">
        <v>28215</v>
      </c>
      <c r="I8419" t="s">
        <v>4505</v>
      </c>
      <c r="J8419" t="s">
        <v>33607</v>
      </c>
      <c r="K8419" t="s">
        <v>36701</v>
      </c>
      <c r="M8419" t="s">
        <v>37286</v>
      </c>
      <c r="N8419" t="s">
        <v>40436</v>
      </c>
      <c r="O8419" t="s">
        <v>40437</v>
      </c>
      <c r="P8419">
        <v>0</v>
      </c>
      <c r="Q8419">
        <v>12</v>
      </c>
      <c r="R8419" t="s">
        <v>40445</v>
      </c>
      <c r="S8419" t="s">
        <v>40730</v>
      </c>
      <c r="T8419" t="s">
        <v>42176</v>
      </c>
      <c r="U8419" t="s">
        <v>44334</v>
      </c>
      <c r="V8419" t="s">
        <v>53847</v>
      </c>
      <c r="W8419" t="s">
        <v>55440</v>
      </c>
      <c r="X8419" t="s">
        <v>40446</v>
      </c>
    </row>
    <row r="8420" spans="1:24">
      <c r="A8420">
        <f>HYPERLINK("https://www.philgeps.gov.ph/GEPSNONPILOT/Tender/SplashBidNoticeAbstractUI.aspx?menuIndex=3&amp;refID=7037134&amp;Result=3","7037134")</f>
        <v>0</v>
      </c>
      <c r="B8420" t="s">
        <v>2477</v>
      </c>
      <c r="C8420" t="s">
        <v>11106</v>
      </c>
      <c r="D8420" t="s">
        <v>16191</v>
      </c>
      <c r="E8420" t="s">
        <v>23658</v>
      </c>
      <c r="F8420" t="s">
        <v>28198</v>
      </c>
      <c r="G8420" t="s">
        <v>28205</v>
      </c>
      <c r="H8420" t="s">
        <v>28214</v>
      </c>
      <c r="I8420" t="s">
        <v>3797</v>
      </c>
      <c r="J8420" t="s">
        <v>31989</v>
      </c>
      <c r="K8420" t="s">
        <v>36687</v>
      </c>
      <c r="M8420" t="s">
        <v>39675</v>
      </c>
      <c r="N8420" t="s">
        <v>40436</v>
      </c>
      <c r="O8420" t="s">
        <v>40437</v>
      </c>
      <c r="P8420">
        <v>0</v>
      </c>
      <c r="Q8420">
        <v>1</v>
      </c>
      <c r="R8420" t="s">
        <v>40445</v>
      </c>
      <c r="S8420" t="s">
        <v>40730</v>
      </c>
      <c r="T8420" t="s">
        <v>42234</v>
      </c>
      <c r="U8420" t="s">
        <v>49697</v>
      </c>
      <c r="V8420" t="s">
        <v>53815</v>
      </c>
      <c r="W8420" t="s">
        <v>39675</v>
      </c>
      <c r="X8420" t="s">
        <v>40446</v>
      </c>
    </row>
    <row r="8421" spans="1:24">
      <c r="A8421">
        <f>HYPERLINK("https://www.philgeps.gov.ph/GEPSNONPILOT/Tender/SplashBidNoticeAbstractUI.aspx?menuIndex=3&amp;refID=7037144&amp;Result=3","7037144")</f>
        <v>0</v>
      </c>
      <c r="B8421" t="s">
        <v>1046</v>
      </c>
      <c r="C8421" t="s">
        <v>11107</v>
      </c>
      <c r="E8421" t="s">
        <v>23659</v>
      </c>
      <c r="F8421" t="s">
        <v>28198</v>
      </c>
      <c r="G8421" t="s">
        <v>28205</v>
      </c>
      <c r="H8421" t="s">
        <v>28214</v>
      </c>
      <c r="I8421" t="s">
        <v>3797</v>
      </c>
      <c r="J8421" t="s">
        <v>33608</v>
      </c>
      <c r="K8421" t="s">
        <v>36689</v>
      </c>
      <c r="M8421" t="s">
        <v>38079</v>
      </c>
      <c r="N8421" t="s">
        <v>40436</v>
      </c>
      <c r="O8421" t="s">
        <v>40437</v>
      </c>
      <c r="Q8421">
        <v>2</v>
      </c>
      <c r="R8421" t="s">
        <v>40445</v>
      </c>
      <c r="S8421" t="s">
        <v>40759</v>
      </c>
      <c r="T8421" t="s">
        <v>42278</v>
      </c>
      <c r="U8421" t="s">
        <v>49698</v>
      </c>
      <c r="W8421" t="s">
        <v>38079</v>
      </c>
      <c r="X8421" t="s">
        <v>40446</v>
      </c>
    </row>
    <row r="8422" spans="1:24">
      <c r="A8422">
        <f>HYPERLINK("https://www.philgeps.gov.ph/GEPSNONPILOT/Tender/SplashBidNoticeAbstractUI.aspx?menuIndex=3&amp;refID=7037137&amp;Result=3","7037137")</f>
        <v>0</v>
      </c>
      <c r="B8422" t="s">
        <v>2459</v>
      </c>
      <c r="C8422" t="s">
        <v>11108</v>
      </c>
      <c r="D8422" t="s">
        <v>16203</v>
      </c>
      <c r="E8422" t="s">
        <v>23660</v>
      </c>
      <c r="F8422" t="s">
        <v>28198</v>
      </c>
      <c r="G8422" t="s">
        <v>28205</v>
      </c>
      <c r="H8422" t="s">
        <v>28214</v>
      </c>
      <c r="I8422" t="s">
        <v>3797</v>
      </c>
      <c r="J8422" t="s">
        <v>33609</v>
      </c>
      <c r="K8422" t="s">
        <v>36697</v>
      </c>
      <c r="M8422" t="s">
        <v>39652</v>
      </c>
      <c r="N8422" t="s">
        <v>40436</v>
      </c>
      <c r="O8422" t="s">
        <v>40437</v>
      </c>
      <c r="P8422">
        <v>0</v>
      </c>
      <c r="Q8422">
        <v>20</v>
      </c>
      <c r="R8422" t="s">
        <v>40445</v>
      </c>
      <c r="S8422" t="s">
        <v>40730</v>
      </c>
      <c r="T8422" t="s">
        <v>42346</v>
      </c>
      <c r="U8422" t="s">
        <v>49699</v>
      </c>
      <c r="W8422" t="s">
        <v>39652</v>
      </c>
      <c r="X8422" t="s">
        <v>40446</v>
      </c>
    </row>
    <row r="8423" spans="1:24">
      <c r="A8423">
        <f>HYPERLINK("https://www.philgeps.gov.ph/GEPSNONPILOT/Tender/SplashBidNoticeAbstractUI.aspx?menuIndex=3&amp;refID=7037150&amp;Result=3","7037150")</f>
        <v>0</v>
      </c>
      <c r="B8423" t="s">
        <v>1610</v>
      </c>
      <c r="C8423" t="s">
        <v>11109</v>
      </c>
      <c r="E8423" t="s">
        <v>23661</v>
      </c>
      <c r="F8423" t="s">
        <v>28198</v>
      </c>
      <c r="G8423" t="s">
        <v>28207</v>
      </c>
      <c r="H8423" t="s">
        <v>28215</v>
      </c>
      <c r="I8423" t="s">
        <v>28247</v>
      </c>
      <c r="J8423" t="s">
        <v>28354</v>
      </c>
      <c r="K8423" t="s">
        <v>36689</v>
      </c>
      <c r="M8423" t="s">
        <v>38697</v>
      </c>
      <c r="N8423" t="s">
        <v>40436</v>
      </c>
      <c r="O8423" t="s">
        <v>40437</v>
      </c>
      <c r="P8423">
        <v>0</v>
      </c>
      <c r="Q8423">
        <v>2</v>
      </c>
      <c r="R8423" t="s">
        <v>40445</v>
      </c>
      <c r="S8423" t="s">
        <v>40730</v>
      </c>
      <c r="T8423" t="s">
        <v>42378</v>
      </c>
      <c r="U8423" t="s">
        <v>49408</v>
      </c>
      <c r="W8423" t="s">
        <v>38697</v>
      </c>
      <c r="X8423" t="s">
        <v>40446</v>
      </c>
    </row>
    <row r="8424" spans="1:24">
      <c r="A8424">
        <f>HYPERLINK("https://www.philgeps.gov.ph/GEPSNONPILOT/Tender/SplashBidNoticeAbstractUI.aspx?menuIndex=3&amp;refID=7037165&amp;Result=3","7037165")</f>
        <v>0</v>
      </c>
      <c r="B8424" t="s">
        <v>773</v>
      </c>
      <c r="C8424" t="s">
        <v>11110</v>
      </c>
      <c r="D8424" t="s">
        <v>16219</v>
      </c>
      <c r="E8424" t="s">
        <v>23662</v>
      </c>
      <c r="F8424" t="s">
        <v>28198</v>
      </c>
      <c r="G8424" t="s">
        <v>28205</v>
      </c>
      <c r="H8424" t="s">
        <v>28215</v>
      </c>
      <c r="I8424" t="s">
        <v>5100</v>
      </c>
      <c r="J8424" t="s">
        <v>33610</v>
      </c>
      <c r="K8424" t="s">
        <v>36706</v>
      </c>
      <c r="M8424" t="s">
        <v>38111</v>
      </c>
      <c r="N8424" t="s">
        <v>40436</v>
      </c>
      <c r="O8424" t="s">
        <v>40437</v>
      </c>
      <c r="P8424">
        <v>0</v>
      </c>
      <c r="Q8424">
        <v>0</v>
      </c>
      <c r="R8424" t="s">
        <v>40445</v>
      </c>
      <c r="S8424" t="s">
        <v>40730</v>
      </c>
      <c r="T8424" t="s">
        <v>42233</v>
      </c>
      <c r="U8424" t="s">
        <v>49700</v>
      </c>
      <c r="W8424" t="s">
        <v>38111</v>
      </c>
      <c r="X8424" t="s">
        <v>40446</v>
      </c>
    </row>
    <row r="8425" spans="1:24">
      <c r="A8425">
        <f>HYPERLINK("https://www.philgeps.gov.ph/GEPSNONPILOT/Tender/SplashBidNoticeAbstractUI.aspx?menuIndex=3&amp;refID=7037168&amp;Result=3","7037168")</f>
        <v>0</v>
      </c>
      <c r="B8425" t="s">
        <v>100</v>
      </c>
      <c r="C8425" t="s">
        <v>11111</v>
      </c>
      <c r="D8425" t="s">
        <v>16228</v>
      </c>
      <c r="E8425" t="s">
        <v>23663</v>
      </c>
      <c r="F8425" t="s">
        <v>28198</v>
      </c>
      <c r="G8425" t="s">
        <v>28205</v>
      </c>
      <c r="H8425" t="s">
        <v>28215</v>
      </c>
      <c r="I8425" t="s">
        <v>28226</v>
      </c>
      <c r="J8425" t="s">
        <v>32566</v>
      </c>
      <c r="K8425" t="s">
        <v>36701</v>
      </c>
      <c r="M8425" t="s">
        <v>37073</v>
      </c>
      <c r="N8425" t="s">
        <v>40436</v>
      </c>
      <c r="O8425" t="s">
        <v>40437</v>
      </c>
      <c r="P8425">
        <v>0</v>
      </c>
      <c r="Q8425">
        <v>1</v>
      </c>
      <c r="R8425" t="s">
        <v>40445</v>
      </c>
      <c r="S8425" t="s">
        <v>40730</v>
      </c>
      <c r="T8425" t="s">
        <v>42184</v>
      </c>
      <c r="U8425" t="s">
        <v>42767</v>
      </c>
      <c r="V8425" t="s">
        <v>53798</v>
      </c>
      <c r="W8425" t="s">
        <v>37073</v>
      </c>
      <c r="X8425" t="s">
        <v>40446</v>
      </c>
    </row>
    <row r="8426" spans="1:24">
      <c r="A8426">
        <f>HYPERLINK("https://www.philgeps.gov.ph/GEPSNONPILOT/Tender/SplashBidNoticeAbstractUI.aspx?menuIndex=3&amp;refID=7037140&amp;Result=3","7037140")</f>
        <v>0</v>
      </c>
      <c r="B8426" t="s">
        <v>100</v>
      </c>
      <c r="C8426" t="s">
        <v>11112</v>
      </c>
      <c r="D8426" t="s">
        <v>16228</v>
      </c>
      <c r="E8426" t="s">
        <v>23664</v>
      </c>
      <c r="F8426" t="s">
        <v>28198</v>
      </c>
      <c r="G8426" t="s">
        <v>28205</v>
      </c>
      <c r="H8426" t="s">
        <v>28215</v>
      </c>
      <c r="I8426" t="s">
        <v>3774</v>
      </c>
      <c r="J8426" t="s">
        <v>28702</v>
      </c>
      <c r="K8426" t="s">
        <v>36701</v>
      </c>
      <c r="M8426" t="s">
        <v>37073</v>
      </c>
      <c r="N8426" t="s">
        <v>40436</v>
      </c>
      <c r="O8426" t="s">
        <v>40437</v>
      </c>
      <c r="P8426">
        <v>0</v>
      </c>
      <c r="Q8426">
        <v>0</v>
      </c>
      <c r="R8426" t="s">
        <v>40445</v>
      </c>
      <c r="S8426" t="s">
        <v>40730</v>
      </c>
      <c r="T8426" t="s">
        <v>42184</v>
      </c>
      <c r="U8426" t="s">
        <v>42767</v>
      </c>
      <c r="V8426" t="s">
        <v>53798</v>
      </c>
      <c r="W8426" t="s">
        <v>37073</v>
      </c>
      <c r="X8426" t="s">
        <v>40446</v>
      </c>
    </row>
    <row r="8427" spans="1:24">
      <c r="A8427">
        <f>HYPERLINK("https://www.philgeps.gov.ph/GEPSNONPILOT/Tender/SplashBidNoticeAbstractUI.aspx?menuIndex=3&amp;refID=7037181&amp;Result=3","7037181")</f>
        <v>0</v>
      </c>
      <c r="B8427" t="s">
        <v>1709</v>
      </c>
      <c r="C8427" t="s">
        <v>11113</v>
      </c>
      <c r="D8427" t="s">
        <v>16246</v>
      </c>
      <c r="E8427" t="s">
        <v>23665</v>
      </c>
      <c r="F8427" t="s">
        <v>28198</v>
      </c>
      <c r="G8427" t="s">
        <v>28207</v>
      </c>
      <c r="H8427" t="s">
        <v>28215</v>
      </c>
      <c r="I8427" t="s">
        <v>28278</v>
      </c>
      <c r="J8427" t="s">
        <v>28530</v>
      </c>
      <c r="K8427" t="s">
        <v>36701</v>
      </c>
      <c r="M8427" t="s">
        <v>38814</v>
      </c>
      <c r="N8427" t="s">
        <v>40436</v>
      </c>
      <c r="O8427" t="s">
        <v>40437</v>
      </c>
      <c r="P8427">
        <v>0</v>
      </c>
      <c r="Q8427">
        <v>1</v>
      </c>
      <c r="R8427" t="s">
        <v>40445</v>
      </c>
      <c r="S8427" t="s">
        <v>40730</v>
      </c>
      <c r="T8427" t="s">
        <v>42185</v>
      </c>
      <c r="U8427" t="s">
        <v>49701</v>
      </c>
      <c r="V8427" t="s">
        <v>54681</v>
      </c>
      <c r="W8427" t="s">
        <v>38814</v>
      </c>
      <c r="X8427" t="s">
        <v>40446</v>
      </c>
    </row>
    <row r="8428" spans="1:24">
      <c r="A8428">
        <f>HYPERLINK("https://www.philgeps.gov.ph/GEPSNONPILOT/Tender/SplashBidNoticeAbstractUI.aspx?menuIndex=3&amp;refID=7037169&amp;Result=3","7037169")</f>
        <v>0</v>
      </c>
      <c r="B8428" t="s">
        <v>1210</v>
      </c>
      <c r="C8428" t="s">
        <v>11114</v>
      </c>
      <c r="D8428" t="s">
        <v>16230</v>
      </c>
      <c r="E8428" t="s">
        <v>23666</v>
      </c>
      <c r="F8428" t="s">
        <v>28198</v>
      </c>
      <c r="G8428" t="s">
        <v>28207</v>
      </c>
      <c r="H8428" t="s">
        <v>28215</v>
      </c>
      <c r="I8428" t="s">
        <v>4222</v>
      </c>
      <c r="J8428" t="s">
        <v>33611</v>
      </c>
      <c r="K8428" t="s">
        <v>36697</v>
      </c>
      <c r="M8428" t="s">
        <v>38255</v>
      </c>
      <c r="N8428" t="s">
        <v>40436</v>
      </c>
      <c r="O8428" t="s">
        <v>40437</v>
      </c>
      <c r="P8428">
        <v>0</v>
      </c>
      <c r="Q8428">
        <v>2</v>
      </c>
      <c r="R8428" t="s">
        <v>40445</v>
      </c>
      <c r="S8428" t="s">
        <v>40730</v>
      </c>
      <c r="T8428" t="s">
        <v>42245</v>
      </c>
      <c r="U8428" t="s">
        <v>49702</v>
      </c>
      <c r="W8428" t="s">
        <v>55476</v>
      </c>
      <c r="X8428" t="s">
        <v>40446</v>
      </c>
    </row>
    <row r="8429" spans="1:24">
      <c r="A8429">
        <f>HYPERLINK("https://www.philgeps.gov.ph/GEPSNONPILOT/Tender/SplashBidNoticeAbstractUI.aspx?menuIndex=3&amp;refID=7037189&amp;Result=3","7037189")</f>
        <v>0</v>
      </c>
      <c r="B8429" t="s">
        <v>1017</v>
      </c>
      <c r="C8429" t="s">
        <v>11115</v>
      </c>
      <c r="D8429" t="s">
        <v>16190</v>
      </c>
      <c r="E8429" t="s">
        <v>23667</v>
      </c>
      <c r="F8429" t="s">
        <v>28198</v>
      </c>
      <c r="G8429" t="s">
        <v>28205</v>
      </c>
      <c r="H8429" t="s">
        <v>28215</v>
      </c>
      <c r="I8429" t="s">
        <v>28249</v>
      </c>
      <c r="J8429" t="s">
        <v>33612</v>
      </c>
      <c r="K8429" t="s">
        <v>36701</v>
      </c>
      <c r="M8429" t="s">
        <v>39676</v>
      </c>
      <c r="N8429" t="s">
        <v>40436</v>
      </c>
      <c r="O8429" t="s">
        <v>40437</v>
      </c>
      <c r="Q8429">
        <v>1</v>
      </c>
      <c r="R8429" t="s">
        <v>40445</v>
      </c>
      <c r="S8429" t="s">
        <v>40753</v>
      </c>
      <c r="T8429" t="s">
        <v>42183</v>
      </c>
      <c r="U8429" t="s">
        <v>49703</v>
      </c>
      <c r="W8429" t="s">
        <v>39676</v>
      </c>
      <c r="X8429" t="s">
        <v>40446</v>
      </c>
    </row>
    <row r="8430" spans="1:24">
      <c r="A8430">
        <f>HYPERLINK("https://www.philgeps.gov.ph/GEPSNONPILOT/Tender/SplashBidNoticeAbstractUI.aspx?menuIndex=3&amp;refID=7037180&amp;Result=3","7037180")</f>
        <v>0</v>
      </c>
      <c r="B8430" t="s">
        <v>1610</v>
      </c>
      <c r="C8430" t="s">
        <v>11116</v>
      </c>
      <c r="E8430" t="s">
        <v>23668</v>
      </c>
      <c r="F8430" t="s">
        <v>28198</v>
      </c>
      <c r="G8430" t="s">
        <v>28210</v>
      </c>
      <c r="H8430" t="s">
        <v>28215</v>
      </c>
      <c r="I8430" t="s">
        <v>4168</v>
      </c>
      <c r="J8430" t="s">
        <v>28406</v>
      </c>
      <c r="K8430" t="s">
        <v>36689</v>
      </c>
      <c r="M8430" t="s">
        <v>38697</v>
      </c>
      <c r="N8430" t="s">
        <v>40436</v>
      </c>
      <c r="O8430" t="s">
        <v>40437</v>
      </c>
      <c r="P8430">
        <v>0</v>
      </c>
      <c r="Q8430">
        <v>10</v>
      </c>
      <c r="R8430" t="s">
        <v>40445</v>
      </c>
      <c r="S8430" t="s">
        <v>40730</v>
      </c>
      <c r="T8430" t="s">
        <v>42378</v>
      </c>
      <c r="U8430" t="s">
        <v>49408</v>
      </c>
      <c r="W8430" t="s">
        <v>38697</v>
      </c>
      <c r="X8430" t="s">
        <v>40446</v>
      </c>
    </row>
    <row r="8431" spans="1:24">
      <c r="A8431">
        <f>HYPERLINK("https://www.philgeps.gov.ph/GEPSNONPILOT/Tender/SplashBidNoticeAbstractUI.aspx?menuIndex=3&amp;refID=7037186&amp;Result=3","7037186")</f>
        <v>0</v>
      </c>
      <c r="B8431" t="s">
        <v>1607</v>
      </c>
      <c r="C8431" t="s">
        <v>11117</v>
      </c>
      <c r="D8431" t="s">
        <v>16210</v>
      </c>
      <c r="E8431" t="s">
        <v>23669</v>
      </c>
      <c r="F8431" t="s">
        <v>28198</v>
      </c>
      <c r="G8431" t="s">
        <v>28207</v>
      </c>
      <c r="H8431" t="s">
        <v>28215</v>
      </c>
      <c r="I8431" t="s">
        <v>28247</v>
      </c>
      <c r="J8431" t="s">
        <v>33613</v>
      </c>
      <c r="K8431" t="s">
        <v>36689</v>
      </c>
      <c r="M8431" t="s">
        <v>38694</v>
      </c>
      <c r="N8431" t="s">
        <v>40436</v>
      </c>
      <c r="O8431" t="s">
        <v>40437</v>
      </c>
      <c r="Q8431">
        <v>4</v>
      </c>
      <c r="R8431" t="s">
        <v>40445</v>
      </c>
      <c r="S8431" t="s">
        <v>40760</v>
      </c>
      <c r="T8431" t="s">
        <v>42158</v>
      </c>
      <c r="U8431" t="s">
        <v>49704</v>
      </c>
      <c r="W8431" t="s">
        <v>38694</v>
      </c>
      <c r="X8431" t="s">
        <v>40446</v>
      </c>
    </row>
    <row r="8432" spans="1:24">
      <c r="A8432">
        <f>HYPERLINK("https://www.philgeps.gov.ph/GEPSNONPILOT/Tender/SplashBidNoticeAbstractUI.aspx?menuIndex=3&amp;refID=7037174&amp;Result=3","7037174")</f>
        <v>0</v>
      </c>
      <c r="B8432" t="s">
        <v>346</v>
      </c>
      <c r="C8432" t="s">
        <v>11118</v>
      </c>
      <c r="D8432" t="s">
        <v>16217</v>
      </c>
      <c r="E8432" t="s">
        <v>23670</v>
      </c>
      <c r="F8432" t="s">
        <v>28198</v>
      </c>
      <c r="G8432" t="s">
        <v>28205</v>
      </c>
      <c r="H8432" t="s">
        <v>28214</v>
      </c>
      <c r="I8432" t="s">
        <v>3797</v>
      </c>
      <c r="J8432" t="s">
        <v>33614</v>
      </c>
      <c r="K8432" t="s">
        <v>36737</v>
      </c>
      <c r="M8432" t="s">
        <v>37325</v>
      </c>
      <c r="N8432" t="s">
        <v>40436</v>
      </c>
      <c r="O8432" t="s">
        <v>40437</v>
      </c>
      <c r="Q8432">
        <v>0</v>
      </c>
      <c r="R8432" t="s">
        <v>40445</v>
      </c>
      <c r="S8432" t="s">
        <v>40761</v>
      </c>
      <c r="T8432" t="s">
        <v>42168</v>
      </c>
      <c r="U8432" t="s">
        <v>49705</v>
      </c>
      <c r="W8432" t="s">
        <v>37325</v>
      </c>
      <c r="X8432" t="s">
        <v>40446</v>
      </c>
    </row>
    <row r="8433" spans="1:24">
      <c r="A8433">
        <f>HYPERLINK("https://www.philgeps.gov.ph/GEPSNONPILOT/Tender/SplashBidNoticeAbstractUI.aspx?menuIndex=3&amp;refID=7037184&amp;Result=3","7037184")</f>
        <v>0</v>
      </c>
      <c r="B8433" t="s">
        <v>870</v>
      </c>
      <c r="C8433" t="s">
        <v>11119</v>
      </c>
      <c r="D8433" t="s">
        <v>16221</v>
      </c>
      <c r="E8433" t="s">
        <v>23671</v>
      </c>
      <c r="F8433" t="s">
        <v>28198</v>
      </c>
      <c r="G8433" t="s">
        <v>28205</v>
      </c>
      <c r="H8433" t="s">
        <v>28214</v>
      </c>
      <c r="I8433" t="s">
        <v>3797</v>
      </c>
      <c r="J8433" t="s">
        <v>31936</v>
      </c>
      <c r="K8433" t="s">
        <v>36874</v>
      </c>
      <c r="M8433" t="s">
        <v>37882</v>
      </c>
      <c r="N8433" t="s">
        <v>40436</v>
      </c>
      <c r="O8433" t="s">
        <v>40437</v>
      </c>
      <c r="P8433">
        <v>0</v>
      </c>
      <c r="Q8433">
        <v>3</v>
      </c>
      <c r="R8433" t="s">
        <v>40445</v>
      </c>
      <c r="S8433" t="s">
        <v>40730</v>
      </c>
      <c r="T8433" t="s">
        <v>42279</v>
      </c>
      <c r="U8433" t="s">
        <v>49589</v>
      </c>
      <c r="W8433" t="s">
        <v>37882</v>
      </c>
      <c r="X8433" t="s">
        <v>40446</v>
      </c>
    </row>
    <row r="8434" spans="1:24">
      <c r="A8434">
        <f>HYPERLINK("https://www.philgeps.gov.ph/GEPSNONPILOT/Tender/SplashBidNoticeAbstractUI.aspx?menuIndex=3&amp;refID=7037175&amp;Result=3","7037175")</f>
        <v>0</v>
      </c>
      <c r="B8434" t="s">
        <v>775</v>
      </c>
      <c r="C8434" t="s">
        <v>11120</v>
      </c>
      <c r="D8434" t="s">
        <v>16206</v>
      </c>
      <c r="E8434" t="s">
        <v>23672</v>
      </c>
      <c r="F8434" t="s">
        <v>28198</v>
      </c>
      <c r="G8434" t="s">
        <v>28205</v>
      </c>
      <c r="H8434" t="s">
        <v>28214</v>
      </c>
      <c r="I8434" t="s">
        <v>3797</v>
      </c>
      <c r="J8434" t="s">
        <v>33615</v>
      </c>
      <c r="K8434" t="s">
        <v>36706</v>
      </c>
      <c r="M8434" t="s">
        <v>37779</v>
      </c>
      <c r="N8434" t="s">
        <v>40436</v>
      </c>
      <c r="O8434" t="s">
        <v>40437</v>
      </c>
      <c r="P8434">
        <v>0</v>
      </c>
      <c r="Q8434">
        <v>0</v>
      </c>
      <c r="R8434" t="s">
        <v>40445</v>
      </c>
      <c r="S8434" t="s">
        <v>40730</v>
      </c>
      <c r="T8434" t="s">
        <v>42173</v>
      </c>
      <c r="U8434" t="s">
        <v>49706</v>
      </c>
      <c r="W8434" t="s">
        <v>37779</v>
      </c>
      <c r="X8434" t="s">
        <v>40446</v>
      </c>
    </row>
    <row r="8435" spans="1:24">
      <c r="A8435">
        <f>HYPERLINK("https://www.philgeps.gov.ph/GEPSNONPILOT/Tender/SplashBidNoticeAbstractUI.aspx?menuIndex=3&amp;refID=7037209&amp;Result=3","7037209")</f>
        <v>0</v>
      </c>
      <c r="B8435" t="s">
        <v>773</v>
      </c>
      <c r="C8435" t="s">
        <v>11121</v>
      </c>
      <c r="D8435" t="s">
        <v>16219</v>
      </c>
      <c r="E8435" t="s">
        <v>23673</v>
      </c>
      <c r="F8435" t="s">
        <v>28198</v>
      </c>
      <c r="G8435" t="s">
        <v>28205</v>
      </c>
      <c r="H8435" t="s">
        <v>28215</v>
      </c>
      <c r="I8435" t="s">
        <v>5100</v>
      </c>
      <c r="J8435" t="s">
        <v>33616</v>
      </c>
      <c r="K8435" t="s">
        <v>36706</v>
      </c>
      <c r="M8435" t="s">
        <v>38111</v>
      </c>
      <c r="N8435" t="s">
        <v>40436</v>
      </c>
      <c r="O8435" t="s">
        <v>40437</v>
      </c>
      <c r="P8435">
        <v>0</v>
      </c>
      <c r="Q8435">
        <v>0</v>
      </c>
      <c r="R8435" t="s">
        <v>40445</v>
      </c>
      <c r="S8435" t="s">
        <v>40730</v>
      </c>
      <c r="T8435" t="s">
        <v>42233</v>
      </c>
      <c r="U8435" t="s">
        <v>49707</v>
      </c>
      <c r="W8435" t="s">
        <v>38111</v>
      </c>
      <c r="X8435" t="s">
        <v>40446</v>
      </c>
    </row>
    <row r="8436" spans="1:24">
      <c r="A8436">
        <f>HYPERLINK("https://www.philgeps.gov.ph/GEPSNONPILOT/Tender/SplashBidNoticeAbstractUI.aspx?menuIndex=3&amp;refID=7037211&amp;Result=3","7037211")</f>
        <v>0</v>
      </c>
      <c r="B8436" t="s">
        <v>2459</v>
      </c>
      <c r="C8436" t="s">
        <v>11122</v>
      </c>
      <c r="D8436" t="s">
        <v>16203</v>
      </c>
      <c r="E8436" t="s">
        <v>23674</v>
      </c>
      <c r="F8436" t="s">
        <v>28198</v>
      </c>
      <c r="G8436" t="s">
        <v>28205</v>
      </c>
      <c r="H8436" t="s">
        <v>28214</v>
      </c>
      <c r="I8436" t="s">
        <v>3797</v>
      </c>
      <c r="J8436" t="s">
        <v>33617</v>
      </c>
      <c r="K8436" t="s">
        <v>36737</v>
      </c>
      <c r="M8436" t="s">
        <v>39652</v>
      </c>
      <c r="N8436" t="s">
        <v>40436</v>
      </c>
      <c r="O8436" t="s">
        <v>40437</v>
      </c>
      <c r="P8436">
        <v>0</v>
      </c>
      <c r="Q8436">
        <v>23</v>
      </c>
      <c r="R8436" t="s">
        <v>40445</v>
      </c>
      <c r="S8436" t="s">
        <v>40730</v>
      </c>
      <c r="T8436" t="s">
        <v>42346</v>
      </c>
      <c r="U8436" t="s">
        <v>49708</v>
      </c>
      <c r="W8436" t="s">
        <v>39652</v>
      </c>
      <c r="X8436" t="s">
        <v>40446</v>
      </c>
    </row>
    <row r="8437" spans="1:24">
      <c r="A8437">
        <f>HYPERLINK("https://www.philgeps.gov.ph/GEPSNONPILOT/Tender/SplashBidNoticeAbstractUI.aspx?menuIndex=3&amp;refID=7037194&amp;Result=3","7037194")</f>
        <v>0</v>
      </c>
      <c r="B8437" t="s">
        <v>333</v>
      </c>
      <c r="C8437" t="s">
        <v>11123</v>
      </c>
      <c r="D8437" t="s">
        <v>16218</v>
      </c>
      <c r="E8437" t="s">
        <v>23675</v>
      </c>
      <c r="F8437" t="s">
        <v>28198</v>
      </c>
      <c r="G8437" t="s">
        <v>28205</v>
      </c>
      <c r="H8437" t="s">
        <v>28214</v>
      </c>
      <c r="I8437" t="s">
        <v>3797</v>
      </c>
      <c r="J8437" t="s">
        <v>33618</v>
      </c>
      <c r="K8437" t="s">
        <v>36715</v>
      </c>
      <c r="M8437" t="s">
        <v>37311</v>
      </c>
      <c r="N8437" t="s">
        <v>40436</v>
      </c>
      <c r="O8437" t="s">
        <v>40437</v>
      </c>
      <c r="P8437">
        <v>0</v>
      </c>
      <c r="Q8437">
        <v>1</v>
      </c>
      <c r="R8437" t="s">
        <v>40445</v>
      </c>
      <c r="S8437" t="s">
        <v>40730</v>
      </c>
      <c r="T8437" t="s">
        <v>42168</v>
      </c>
      <c r="U8437" t="s">
        <v>49709</v>
      </c>
      <c r="W8437" t="s">
        <v>37311</v>
      </c>
      <c r="X8437" t="s">
        <v>40446</v>
      </c>
    </row>
    <row r="8438" spans="1:24">
      <c r="A8438">
        <f>HYPERLINK("https://www.philgeps.gov.ph/GEPSNONPILOT/Tender/SplashBidNoticeAbstractUI.aspx?menuIndex=3&amp;refID=7037201&amp;Result=3","7037201")</f>
        <v>0</v>
      </c>
      <c r="B8438" t="s">
        <v>1726</v>
      </c>
      <c r="C8438" t="s">
        <v>11124</v>
      </c>
      <c r="D8438" t="s">
        <v>16233</v>
      </c>
      <c r="E8438" t="s">
        <v>23676</v>
      </c>
      <c r="F8438" t="s">
        <v>28198</v>
      </c>
      <c r="G8438" t="s">
        <v>28205</v>
      </c>
      <c r="H8438" t="s">
        <v>28215</v>
      </c>
      <c r="I8438" t="s">
        <v>5100</v>
      </c>
      <c r="J8438" t="s">
        <v>33619</v>
      </c>
      <c r="K8438" t="s">
        <v>36689</v>
      </c>
      <c r="M8438" t="s">
        <v>38835</v>
      </c>
      <c r="N8438" t="s">
        <v>40436</v>
      </c>
      <c r="O8438" t="s">
        <v>40437</v>
      </c>
      <c r="P8438">
        <v>0</v>
      </c>
      <c r="Q8438">
        <v>0</v>
      </c>
      <c r="R8438" t="s">
        <v>40445</v>
      </c>
      <c r="S8438" t="s">
        <v>40730</v>
      </c>
      <c r="T8438" t="s">
        <v>42517</v>
      </c>
      <c r="U8438" t="s">
        <v>48790</v>
      </c>
      <c r="V8438" t="s">
        <v>54682</v>
      </c>
      <c r="W8438" t="s">
        <v>38835</v>
      </c>
      <c r="X8438" t="s">
        <v>40446</v>
      </c>
    </row>
    <row r="8439" spans="1:24">
      <c r="A8439">
        <f>HYPERLINK("https://www.philgeps.gov.ph/GEPSNONPILOT/Tender/SplashBidNoticeAbstractUI.aspx?menuIndex=3&amp;refID=7037190&amp;Result=3","7037190")</f>
        <v>0</v>
      </c>
      <c r="B8439" t="s">
        <v>404</v>
      </c>
      <c r="C8439" t="s">
        <v>11125</v>
      </c>
      <c r="E8439" t="s">
        <v>23677</v>
      </c>
      <c r="F8439" t="s">
        <v>28198</v>
      </c>
      <c r="G8439" t="s">
        <v>28205</v>
      </c>
      <c r="H8439" t="s">
        <v>28215</v>
      </c>
      <c r="I8439" t="s">
        <v>5082</v>
      </c>
      <c r="J8439" t="s">
        <v>33620</v>
      </c>
      <c r="K8439" t="s">
        <v>36689</v>
      </c>
      <c r="M8439" t="s">
        <v>37385</v>
      </c>
      <c r="N8439" t="s">
        <v>40436</v>
      </c>
      <c r="O8439" t="s">
        <v>40437</v>
      </c>
      <c r="P8439">
        <v>0</v>
      </c>
      <c r="Q8439">
        <v>3</v>
      </c>
      <c r="R8439" t="s">
        <v>40445</v>
      </c>
      <c r="S8439" t="s">
        <v>40730</v>
      </c>
      <c r="T8439" t="s">
        <v>42182</v>
      </c>
      <c r="U8439" t="s">
        <v>49710</v>
      </c>
      <c r="W8439" t="s">
        <v>37385</v>
      </c>
      <c r="X8439" t="s">
        <v>40446</v>
      </c>
    </row>
    <row r="8440" spans="1:24">
      <c r="A8440">
        <f>HYPERLINK("https://www.philgeps.gov.ph/GEPSNONPILOT/Tender/SplashBidNoticeAbstractUI.aspx?menuIndex=3&amp;refID=7037204&amp;Result=3","7037204")</f>
        <v>0</v>
      </c>
      <c r="B8440" t="s">
        <v>870</v>
      </c>
      <c r="C8440" t="s">
        <v>11126</v>
      </c>
      <c r="D8440" t="s">
        <v>16221</v>
      </c>
      <c r="E8440" t="s">
        <v>23678</v>
      </c>
      <c r="F8440" t="s">
        <v>28198</v>
      </c>
      <c r="G8440" t="s">
        <v>28205</v>
      </c>
      <c r="H8440" t="s">
        <v>28214</v>
      </c>
      <c r="I8440" t="s">
        <v>3797</v>
      </c>
      <c r="J8440" t="s">
        <v>32253</v>
      </c>
      <c r="K8440" t="s">
        <v>36710</v>
      </c>
      <c r="M8440" t="s">
        <v>37882</v>
      </c>
      <c r="N8440" t="s">
        <v>40436</v>
      </c>
      <c r="O8440" t="s">
        <v>40437</v>
      </c>
      <c r="P8440">
        <v>0</v>
      </c>
      <c r="Q8440">
        <v>3</v>
      </c>
      <c r="R8440" t="s">
        <v>40445</v>
      </c>
      <c r="S8440" t="s">
        <v>40730</v>
      </c>
      <c r="T8440" t="s">
        <v>42279</v>
      </c>
      <c r="U8440" t="s">
        <v>49589</v>
      </c>
      <c r="W8440" t="s">
        <v>37882</v>
      </c>
      <c r="X8440" t="s">
        <v>40446</v>
      </c>
    </row>
    <row r="8441" spans="1:24">
      <c r="A8441">
        <f>HYPERLINK("https://www.philgeps.gov.ph/GEPSNONPILOT/Tender/SplashBidNoticeAbstractUI.aspx?menuIndex=3&amp;refID=7037206&amp;Result=3","7037206")</f>
        <v>0</v>
      </c>
      <c r="B8441" t="s">
        <v>346</v>
      </c>
      <c r="C8441" t="s">
        <v>11127</v>
      </c>
      <c r="D8441" t="s">
        <v>16217</v>
      </c>
      <c r="E8441" t="s">
        <v>23679</v>
      </c>
      <c r="F8441" t="s">
        <v>28198</v>
      </c>
      <c r="G8441" t="s">
        <v>28205</v>
      </c>
      <c r="H8441" t="s">
        <v>28214</v>
      </c>
      <c r="I8441" t="s">
        <v>3797</v>
      </c>
      <c r="J8441" t="s">
        <v>33621</v>
      </c>
      <c r="K8441" t="s">
        <v>36737</v>
      </c>
      <c r="M8441" t="s">
        <v>37325</v>
      </c>
      <c r="N8441" t="s">
        <v>40436</v>
      </c>
      <c r="O8441" t="s">
        <v>40437</v>
      </c>
      <c r="Q8441">
        <v>0</v>
      </c>
      <c r="R8441" t="s">
        <v>40445</v>
      </c>
      <c r="S8441" t="s">
        <v>40762</v>
      </c>
      <c r="T8441" t="s">
        <v>42168</v>
      </c>
      <c r="U8441" t="s">
        <v>49711</v>
      </c>
      <c r="W8441" t="s">
        <v>37325</v>
      </c>
      <c r="X8441" t="s">
        <v>40446</v>
      </c>
    </row>
    <row r="8442" spans="1:24">
      <c r="A8442">
        <f>HYPERLINK("https://www.philgeps.gov.ph/GEPSNONPILOT/Tender/SplashBidNoticeAbstractUI.aspx?menuIndex=3&amp;refID=7037203&amp;Result=3","7037203")</f>
        <v>0</v>
      </c>
      <c r="B8442" t="s">
        <v>164</v>
      </c>
      <c r="C8442" t="s">
        <v>11128</v>
      </c>
      <c r="D8442" t="s">
        <v>16213</v>
      </c>
      <c r="E8442" t="s">
        <v>23680</v>
      </c>
      <c r="F8442" t="s">
        <v>28198</v>
      </c>
      <c r="G8442" t="s">
        <v>28205</v>
      </c>
      <c r="H8442" t="s">
        <v>28214</v>
      </c>
      <c r="I8442" t="s">
        <v>3797</v>
      </c>
      <c r="J8442" t="s">
        <v>33622</v>
      </c>
      <c r="K8442" t="s">
        <v>36701</v>
      </c>
      <c r="M8442" t="s">
        <v>37138</v>
      </c>
      <c r="N8442" t="s">
        <v>40436</v>
      </c>
      <c r="O8442" t="s">
        <v>40437</v>
      </c>
      <c r="P8442">
        <v>0</v>
      </c>
      <c r="Q8442">
        <v>0</v>
      </c>
      <c r="R8442" t="s">
        <v>40445</v>
      </c>
      <c r="S8442" t="s">
        <v>40730</v>
      </c>
      <c r="T8442" t="s">
        <v>42346</v>
      </c>
      <c r="U8442" t="s">
        <v>49712</v>
      </c>
      <c r="W8442" t="s">
        <v>37138</v>
      </c>
      <c r="X8442" t="s">
        <v>40446</v>
      </c>
    </row>
    <row r="8443" spans="1:24">
      <c r="A8443">
        <f>HYPERLINK("https://www.philgeps.gov.ph/GEPSNONPILOT/Tender/SplashBidNoticeAbstractUI.aspx?menuIndex=3&amp;refID=7037196&amp;Result=3","7037196")</f>
        <v>0</v>
      </c>
      <c r="B8443" t="s">
        <v>2478</v>
      </c>
      <c r="C8443" t="s">
        <v>11129</v>
      </c>
      <c r="D8443" t="s">
        <v>16203</v>
      </c>
      <c r="E8443" t="s">
        <v>19830</v>
      </c>
      <c r="F8443" t="s">
        <v>28198</v>
      </c>
      <c r="G8443" t="s">
        <v>28205</v>
      </c>
      <c r="H8443" t="s">
        <v>28214</v>
      </c>
      <c r="I8443" t="s">
        <v>3797</v>
      </c>
      <c r="J8443" t="s">
        <v>33623</v>
      </c>
      <c r="K8443" t="s">
        <v>36694</v>
      </c>
      <c r="M8443" t="s">
        <v>39677</v>
      </c>
      <c r="N8443" t="s">
        <v>40436</v>
      </c>
      <c r="O8443" t="s">
        <v>40437</v>
      </c>
      <c r="P8443">
        <v>0</v>
      </c>
      <c r="Q8443">
        <v>1</v>
      </c>
      <c r="R8443" t="s">
        <v>40445</v>
      </c>
      <c r="S8443" t="s">
        <v>40730</v>
      </c>
      <c r="T8443" t="s">
        <v>42234</v>
      </c>
      <c r="U8443" t="s">
        <v>49713</v>
      </c>
      <c r="V8443" t="s">
        <v>54683</v>
      </c>
      <c r="W8443" t="s">
        <v>39677</v>
      </c>
      <c r="X8443" t="s">
        <v>40446</v>
      </c>
    </row>
    <row r="8444" spans="1:24">
      <c r="A8444">
        <f>HYPERLINK("https://www.philgeps.gov.ph/GEPSNONPILOT/Tender/SplashBidNoticeAbstractUI.aspx?menuIndex=3&amp;refID=7037214&amp;Result=3","7037214")</f>
        <v>0</v>
      </c>
      <c r="B8444" t="s">
        <v>1210</v>
      </c>
      <c r="C8444" t="s">
        <v>11130</v>
      </c>
      <c r="D8444" t="s">
        <v>16230</v>
      </c>
      <c r="E8444" t="s">
        <v>23681</v>
      </c>
      <c r="F8444" t="s">
        <v>28198</v>
      </c>
      <c r="G8444" t="s">
        <v>28207</v>
      </c>
      <c r="H8444" t="s">
        <v>28215</v>
      </c>
      <c r="I8444" t="s">
        <v>28238</v>
      </c>
      <c r="J8444" t="s">
        <v>29208</v>
      </c>
      <c r="K8444" t="s">
        <v>36692</v>
      </c>
      <c r="M8444" t="s">
        <v>38255</v>
      </c>
      <c r="N8444" t="s">
        <v>40436</v>
      </c>
      <c r="O8444" t="s">
        <v>40437</v>
      </c>
      <c r="P8444">
        <v>0</v>
      </c>
      <c r="Q8444">
        <v>7</v>
      </c>
      <c r="R8444" t="s">
        <v>40445</v>
      </c>
      <c r="S8444" t="s">
        <v>40730</v>
      </c>
      <c r="T8444" t="s">
        <v>42245</v>
      </c>
      <c r="U8444" t="s">
        <v>49714</v>
      </c>
      <c r="W8444" t="s">
        <v>55476</v>
      </c>
      <c r="X8444" t="s">
        <v>40446</v>
      </c>
    </row>
    <row r="8445" spans="1:24">
      <c r="A8445">
        <f>HYPERLINK("https://www.philgeps.gov.ph/GEPSNONPILOT/Tender/SplashBidNoticeAbstractUI.aspx?menuIndex=3&amp;refID=7037199&amp;Result=3","7037199")</f>
        <v>0</v>
      </c>
      <c r="B8445" t="s">
        <v>1133</v>
      </c>
      <c r="C8445" t="s">
        <v>3220</v>
      </c>
      <c r="D8445" t="s">
        <v>16190</v>
      </c>
      <c r="E8445" t="s">
        <v>23682</v>
      </c>
      <c r="F8445" t="s">
        <v>28198</v>
      </c>
      <c r="G8445" t="s">
        <v>28206</v>
      </c>
      <c r="H8445" t="s">
        <v>28215</v>
      </c>
      <c r="I8445" t="s">
        <v>5082</v>
      </c>
      <c r="J8445" t="s">
        <v>33624</v>
      </c>
      <c r="K8445" t="s">
        <v>36689</v>
      </c>
      <c r="M8445" t="s">
        <v>38172</v>
      </c>
      <c r="N8445" t="s">
        <v>40436</v>
      </c>
      <c r="O8445" t="s">
        <v>40437</v>
      </c>
      <c r="P8445">
        <v>0</v>
      </c>
      <c r="Q8445">
        <v>0</v>
      </c>
      <c r="R8445" t="s">
        <v>40445</v>
      </c>
      <c r="S8445" t="s">
        <v>40730</v>
      </c>
      <c r="T8445" t="s">
        <v>42184</v>
      </c>
      <c r="U8445" t="s">
        <v>49715</v>
      </c>
      <c r="W8445" t="s">
        <v>38172</v>
      </c>
      <c r="X8445" t="s">
        <v>40446</v>
      </c>
    </row>
    <row r="8446" spans="1:24">
      <c r="A8446">
        <f>HYPERLINK("https://www.philgeps.gov.ph/GEPSNONPILOT/Tender/SplashBidNoticeAbstractUI.aspx?menuIndex=3&amp;refID=7037228&amp;Result=3","7037228")</f>
        <v>0</v>
      </c>
      <c r="B8446" t="s">
        <v>2295</v>
      </c>
      <c r="C8446" t="s">
        <v>11131</v>
      </c>
      <c r="D8446" t="s">
        <v>16222</v>
      </c>
      <c r="E8446" t="s">
        <v>23683</v>
      </c>
      <c r="F8446" t="s">
        <v>28200</v>
      </c>
      <c r="G8446" t="s">
        <v>28207</v>
      </c>
      <c r="H8446" t="s">
        <v>28215</v>
      </c>
      <c r="I8446" t="s">
        <v>28236</v>
      </c>
      <c r="J8446" t="s">
        <v>29329</v>
      </c>
      <c r="K8446" t="s">
        <v>36688</v>
      </c>
      <c r="M8446" t="s">
        <v>39470</v>
      </c>
      <c r="N8446" t="s">
        <v>40436</v>
      </c>
      <c r="O8446" t="s">
        <v>40437</v>
      </c>
      <c r="P8446">
        <v>0</v>
      </c>
      <c r="Q8446">
        <v>0</v>
      </c>
      <c r="R8446" t="s">
        <v>40445</v>
      </c>
      <c r="S8446" t="s">
        <v>40730</v>
      </c>
      <c r="T8446" t="s">
        <v>42297</v>
      </c>
      <c r="U8446" t="s">
        <v>49716</v>
      </c>
      <c r="V8446" t="s">
        <v>54564</v>
      </c>
      <c r="W8446" t="s">
        <v>39470</v>
      </c>
      <c r="X8446" t="s">
        <v>40446</v>
      </c>
    </row>
    <row r="8447" spans="1:24">
      <c r="A8447">
        <f>HYPERLINK("https://www.philgeps.gov.ph/GEPSNONPILOT/Tender/SplashBidNoticeAbstractUI.aspx?menuIndex=3&amp;refID=7037247&amp;Result=3","7037247")</f>
        <v>0</v>
      </c>
      <c r="B8447" t="s">
        <v>916</v>
      </c>
      <c r="C8447" t="s">
        <v>11132</v>
      </c>
      <c r="D8447" t="s">
        <v>16210</v>
      </c>
      <c r="E8447" t="s">
        <v>23684</v>
      </c>
      <c r="F8447" t="s">
        <v>28198</v>
      </c>
      <c r="G8447" t="s">
        <v>28205</v>
      </c>
      <c r="H8447" t="s">
        <v>28215</v>
      </c>
      <c r="I8447" t="s">
        <v>28234</v>
      </c>
      <c r="J8447" t="s">
        <v>28899</v>
      </c>
      <c r="K8447" t="s">
        <v>36697</v>
      </c>
      <c r="M8447" t="s">
        <v>39556</v>
      </c>
      <c r="N8447" t="s">
        <v>40436</v>
      </c>
      <c r="O8447" t="s">
        <v>40437</v>
      </c>
      <c r="P8447">
        <v>0</v>
      </c>
      <c r="Q8447">
        <v>15</v>
      </c>
      <c r="R8447" t="s">
        <v>40445</v>
      </c>
      <c r="S8447" t="s">
        <v>40730</v>
      </c>
      <c r="T8447" t="s">
        <v>42138</v>
      </c>
      <c r="U8447" t="s">
        <v>49717</v>
      </c>
      <c r="W8447" t="s">
        <v>39556</v>
      </c>
      <c r="X8447" t="s">
        <v>40446</v>
      </c>
    </row>
    <row r="8448" spans="1:24">
      <c r="A8448">
        <f>HYPERLINK("https://www.philgeps.gov.ph/GEPSNONPILOT/Tender/SplashBidNoticeAbstractUI.aspx?menuIndex=3&amp;refID=7037237&amp;Result=3","7037237")</f>
        <v>0</v>
      </c>
      <c r="B8448" t="s">
        <v>2479</v>
      </c>
      <c r="C8448" t="s">
        <v>10769</v>
      </c>
      <c r="D8448" t="s">
        <v>16195</v>
      </c>
      <c r="E8448" t="s">
        <v>19305</v>
      </c>
      <c r="F8448" t="s">
        <v>28198</v>
      </c>
      <c r="G8448" t="s">
        <v>28205</v>
      </c>
      <c r="H8448" t="s">
        <v>28214</v>
      </c>
      <c r="I8448" t="s">
        <v>3797</v>
      </c>
      <c r="J8448" t="s">
        <v>31272</v>
      </c>
      <c r="K8448" t="s">
        <v>36701</v>
      </c>
      <c r="M8448" t="s">
        <v>39678</v>
      </c>
      <c r="N8448" t="s">
        <v>40436</v>
      </c>
      <c r="O8448" t="s">
        <v>40437</v>
      </c>
      <c r="P8448">
        <v>0</v>
      </c>
      <c r="Q8448">
        <v>0</v>
      </c>
      <c r="R8448" t="s">
        <v>40445</v>
      </c>
      <c r="S8448" t="s">
        <v>40730</v>
      </c>
      <c r="T8448" t="s">
        <v>42366</v>
      </c>
      <c r="U8448" t="s">
        <v>49718</v>
      </c>
      <c r="W8448" t="s">
        <v>39678</v>
      </c>
      <c r="X8448" t="s">
        <v>40446</v>
      </c>
    </row>
    <row r="8449" spans="1:24">
      <c r="A8449">
        <f>HYPERLINK("https://www.philgeps.gov.ph/GEPSNONPILOT/Tender/SplashBidNoticeAbstractUI.aspx?menuIndex=3&amp;refID=7037243&amp;Result=3","7037243")</f>
        <v>0</v>
      </c>
      <c r="B8449" t="s">
        <v>870</v>
      </c>
      <c r="C8449" t="s">
        <v>11133</v>
      </c>
      <c r="D8449" t="s">
        <v>16221</v>
      </c>
      <c r="E8449" t="s">
        <v>23685</v>
      </c>
      <c r="F8449" t="s">
        <v>28198</v>
      </c>
      <c r="G8449" t="s">
        <v>28205</v>
      </c>
      <c r="H8449" t="s">
        <v>28214</v>
      </c>
      <c r="I8449" t="s">
        <v>3797</v>
      </c>
      <c r="J8449" t="s">
        <v>32308</v>
      </c>
      <c r="K8449" t="s">
        <v>36692</v>
      </c>
      <c r="M8449" t="s">
        <v>37882</v>
      </c>
      <c r="N8449" t="s">
        <v>40436</v>
      </c>
      <c r="O8449" t="s">
        <v>40437</v>
      </c>
      <c r="P8449">
        <v>0</v>
      </c>
      <c r="Q8449">
        <v>3</v>
      </c>
      <c r="R8449" t="s">
        <v>40445</v>
      </c>
      <c r="S8449" t="s">
        <v>40730</v>
      </c>
      <c r="T8449" t="s">
        <v>42279</v>
      </c>
      <c r="U8449" t="s">
        <v>49589</v>
      </c>
      <c r="W8449" t="s">
        <v>37882</v>
      </c>
      <c r="X8449" t="s">
        <v>40446</v>
      </c>
    </row>
    <row r="8450" spans="1:24">
      <c r="A8450">
        <f>HYPERLINK("https://www.philgeps.gov.ph/GEPSNONPILOT/Tender/SplashBidNoticeAbstractUI.aspx?menuIndex=3&amp;refID=7037218&amp;Result=3","7037218")</f>
        <v>0</v>
      </c>
      <c r="B8450" t="s">
        <v>748</v>
      </c>
      <c r="C8450" t="s">
        <v>11134</v>
      </c>
      <c r="E8450" t="s">
        <v>23686</v>
      </c>
      <c r="F8450" t="s">
        <v>28198</v>
      </c>
      <c r="G8450" t="s">
        <v>28205</v>
      </c>
      <c r="H8450" t="s">
        <v>28214</v>
      </c>
      <c r="I8450" t="s">
        <v>3797</v>
      </c>
      <c r="J8450" t="s">
        <v>29331</v>
      </c>
      <c r="K8450" t="s">
        <v>36690</v>
      </c>
      <c r="M8450" t="s">
        <v>37751</v>
      </c>
      <c r="N8450" t="s">
        <v>40436</v>
      </c>
      <c r="O8450" t="s">
        <v>40437</v>
      </c>
      <c r="Q8450">
        <v>6</v>
      </c>
      <c r="R8450" t="s">
        <v>40445</v>
      </c>
      <c r="S8450" t="s">
        <v>40763</v>
      </c>
      <c r="T8450" t="s">
        <v>42518</v>
      </c>
      <c r="U8450" t="s">
        <v>49719</v>
      </c>
      <c r="V8450" t="s">
        <v>53964</v>
      </c>
      <c r="W8450" t="s">
        <v>37751</v>
      </c>
      <c r="X8450" t="s">
        <v>40446</v>
      </c>
    </row>
    <row r="8451" spans="1:24">
      <c r="A8451">
        <f>HYPERLINK("https://www.philgeps.gov.ph/GEPSNONPILOT/Tender/SplashBidNoticeAbstractUI.aspx?menuIndex=3&amp;refID=7037246&amp;Result=3","7037246")</f>
        <v>0</v>
      </c>
      <c r="B8451" t="s">
        <v>2256</v>
      </c>
      <c r="C8451" t="s">
        <v>11135</v>
      </c>
      <c r="D8451" t="s">
        <v>16209</v>
      </c>
      <c r="E8451" t="s">
        <v>23687</v>
      </c>
      <c r="F8451" t="s">
        <v>28198</v>
      </c>
      <c r="G8451" t="s">
        <v>28205</v>
      </c>
      <c r="H8451" t="s">
        <v>28215</v>
      </c>
      <c r="I8451" t="s">
        <v>4200</v>
      </c>
      <c r="J8451" t="s">
        <v>33625</v>
      </c>
      <c r="K8451" t="s">
        <v>36707</v>
      </c>
      <c r="M8451" t="s">
        <v>39426</v>
      </c>
      <c r="N8451" t="s">
        <v>40436</v>
      </c>
      <c r="O8451" t="s">
        <v>40437</v>
      </c>
      <c r="P8451">
        <v>0</v>
      </c>
      <c r="Q8451">
        <v>0</v>
      </c>
      <c r="R8451" t="s">
        <v>40445</v>
      </c>
      <c r="S8451" t="s">
        <v>40730</v>
      </c>
      <c r="T8451" t="s">
        <v>42184</v>
      </c>
      <c r="U8451" t="s">
        <v>49720</v>
      </c>
      <c r="W8451" t="s">
        <v>39426</v>
      </c>
      <c r="X8451" t="s">
        <v>40446</v>
      </c>
    </row>
    <row r="8452" spans="1:24">
      <c r="A8452">
        <f>HYPERLINK("https://www.philgeps.gov.ph/GEPSNONPILOT/Tender/SplashBidNoticeAbstractUI.aspx?menuIndex=3&amp;refID=7037221&amp;Result=3","7037221")</f>
        <v>0</v>
      </c>
      <c r="B8452" t="s">
        <v>870</v>
      </c>
      <c r="C8452" t="s">
        <v>11136</v>
      </c>
      <c r="D8452" t="s">
        <v>16221</v>
      </c>
      <c r="E8452" t="s">
        <v>23688</v>
      </c>
      <c r="F8452" t="s">
        <v>28198</v>
      </c>
      <c r="G8452" t="s">
        <v>28205</v>
      </c>
      <c r="H8452" t="s">
        <v>28214</v>
      </c>
      <c r="I8452" t="s">
        <v>3797</v>
      </c>
      <c r="J8452" t="s">
        <v>33626</v>
      </c>
      <c r="K8452" t="s">
        <v>36875</v>
      </c>
      <c r="M8452" t="s">
        <v>37882</v>
      </c>
      <c r="N8452" t="s">
        <v>40436</v>
      </c>
      <c r="O8452" t="s">
        <v>40437</v>
      </c>
      <c r="P8452">
        <v>0</v>
      </c>
      <c r="Q8452">
        <v>5</v>
      </c>
      <c r="R8452" t="s">
        <v>40445</v>
      </c>
      <c r="S8452" t="s">
        <v>40730</v>
      </c>
      <c r="T8452" t="s">
        <v>42279</v>
      </c>
      <c r="U8452" t="s">
        <v>49589</v>
      </c>
      <c r="W8452" t="s">
        <v>37882</v>
      </c>
      <c r="X8452" t="s">
        <v>40446</v>
      </c>
    </row>
    <row r="8453" spans="1:24">
      <c r="A8453">
        <f>HYPERLINK("https://www.philgeps.gov.ph/GEPSNONPILOT/Tender/SplashBidNoticeAbstractUI.aspx?menuIndex=3&amp;refID=7037241&amp;Result=3","7037241")</f>
        <v>0</v>
      </c>
      <c r="B8453" t="s">
        <v>862</v>
      </c>
      <c r="C8453" t="s">
        <v>11137</v>
      </c>
      <c r="D8453" t="s">
        <v>16248</v>
      </c>
      <c r="E8453" t="s">
        <v>23689</v>
      </c>
      <c r="F8453" t="s">
        <v>28198</v>
      </c>
      <c r="G8453" t="s">
        <v>28205</v>
      </c>
      <c r="H8453" t="s">
        <v>28214</v>
      </c>
      <c r="I8453" t="s">
        <v>3797</v>
      </c>
      <c r="J8453" t="s">
        <v>33627</v>
      </c>
      <c r="K8453" t="s">
        <v>36777</v>
      </c>
      <c r="L8453" t="s">
        <v>862</v>
      </c>
      <c r="M8453" t="s">
        <v>37874</v>
      </c>
      <c r="N8453" t="s">
        <v>40436</v>
      </c>
      <c r="O8453" t="s">
        <v>40437</v>
      </c>
      <c r="P8453">
        <v>0</v>
      </c>
      <c r="Q8453">
        <v>0</v>
      </c>
      <c r="R8453" t="s">
        <v>40445</v>
      </c>
      <c r="S8453" t="s">
        <v>40730</v>
      </c>
      <c r="T8453" t="s">
        <v>42279</v>
      </c>
      <c r="U8453" t="s">
        <v>49721</v>
      </c>
      <c r="V8453" t="s">
        <v>54684</v>
      </c>
      <c r="W8453" t="s">
        <v>37874</v>
      </c>
      <c r="X8453" t="s">
        <v>40446</v>
      </c>
    </row>
    <row r="8454" spans="1:24">
      <c r="A8454">
        <f>HYPERLINK("https://www.philgeps.gov.ph/GEPSNONPILOT/Tender/SplashBidNoticeAbstractUI.aspx?menuIndex=3&amp;refID=7037239&amp;Result=3","7037239")</f>
        <v>0</v>
      </c>
      <c r="B8454" t="s">
        <v>164</v>
      </c>
      <c r="C8454" t="s">
        <v>11128</v>
      </c>
      <c r="D8454" t="s">
        <v>16213</v>
      </c>
      <c r="E8454" t="s">
        <v>23690</v>
      </c>
      <c r="F8454" t="s">
        <v>28198</v>
      </c>
      <c r="G8454" t="s">
        <v>28205</v>
      </c>
      <c r="H8454" t="s">
        <v>28214</v>
      </c>
      <c r="I8454" t="s">
        <v>3797</v>
      </c>
      <c r="J8454" t="s">
        <v>33628</v>
      </c>
      <c r="K8454" t="s">
        <v>36701</v>
      </c>
      <c r="M8454" t="s">
        <v>37138</v>
      </c>
      <c r="N8454" t="s">
        <v>40436</v>
      </c>
      <c r="O8454" t="s">
        <v>40437</v>
      </c>
      <c r="P8454">
        <v>0</v>
      </c>
      <c r="Q8454">
        <v>0</v>
      </c>
      <c r="R8454" t="s">
        <v>40445</v>
      </c>
      <c r="S8454" t="s">
        <v>40730</v>
      </c>
      <c r="T8454" t="s">
        <v>42346</v>
      </c>
      <c r="U8454" t="s">
        <v>49712</v>
      </c>
      <c r="W8454" t="s">
        <v>37138</v>
      </c>
      <c r="X8454" t="s">
        <v>40446</v>
      </c>
    </row>
    <row r="8455" spans="1:24">
      <c r="A8455">
        <f>HYPERLINK("https://www.philgeps.gov.ph/GEPSNONPILOT/Tender/SplashBidNoticeAbstractUI.aspx?menuIndex=3&amp;refID=7037245&amp;Result=3","7037245")</f>
        <v>0</v>
      </c>
      <c r="B8455" t="s">
        <v>1501</v>
      </c>
      <c r="C8455" t="s">
        <v>11138</v>
      </c>
      <c r="D8455" t="s">
        <v>16192</v>
      </c>
      <c r="E8455" t="s">
        <v>23691</v>
      </c>
      <c r="F8455" t="s">
        <v>28198</v>
      </c>
      <c r="G8455" t="s">
        <v>28207</v>
      </c>
      <c r="H8455" t="s">
        <v>28215</v>
      </c>
      <c r="I8455" t="s">
        <v>28234</v>
      </c>
      <c r="J8455" t="s">
        <v>28345</v>
      </c>
      <c r="K8455" t="s">
        <v>36701</v>
      </c>
      <c r="M8455" t="s">
        <v>38576</v>
      </c>
      <c r="N8455" t="s">
        <v>40436</v>
      </c>
      <c r="O8455" t="s">
        <v>40437</v>
      </c>
      <c r="P8455">
        <v>0</v>
      </c>
      <c r="Q8455">
        <v>1</v>
      </c>
      <c r="R8455" t="s">
        <v>40445</v>
      </c>
      <c r="S8455" t="s">
        <v>40730</v>
      </c>
      <c r="T8455" t="s">
        <v>42124</v>
      </c>
      <c r="U8455" t="s">
        <v>49722</v>
      </c>
      <c r="W8455" t="s">
        <v>38576</v>
      </c>
      <c r="X8455" t="s">
        <v>40446</v>
      </c>
    </row>
    <row r="8456" spans="1:24">
      <c r="A8456">
        <f>HYPERLINK("https://www.philgeps.gov.ph/GEPSNONPILOT/Tender/SplashBidNoticeAbstractUI.aspx?menuIndex=3&amp;refID=7037255&amp;Result=3","7037255")</f>
        <v>0</v>
      </c>
      <c r="B8456" t="s">
        <v>1726</v>
      </c>
      <c r="C8456" t="s">
        <v>11139</v>
      </c>
      <c r="D8456" t="s">
        <v>16233</v>
      </c>
      <c r="E8456" t="s">
        <v>23692</v>
      </c>
      <c r="F8456" t="s">
        <v>28198</v>
      </c>
      <c r="G8456" t="s">
        <v>28205</v>
      </c>
      <c r="H8456" t="s">
        <v>28215</v>
      </c>
      <c r="I8456" t="s">
        <v>5100</v>
      </c>
      <c r="J8456" t="s">
        <v>33629</v>
      </c>
      <c r="K8456" t="s">
        <v>36689</v>
      </c>
      <c r="M8456" t="s">
        <v>38835</v>
      </c>
      <c r="N8456" t="s">
        <v>40436</v>
      </c>
      <c r="O8456" t="s">
        <v>40437</v>
      </c>
      <c r="P8456">
        <v>0</v>
      </c>
      <c r="Q8456">
        <v>1</v>
      </c>
      <c r="R8456" t="s">
        <v>40445</v>
      </c>
      <c r="S8456" t="s">
        <v>40730</v>
      </c>
      <c r="T8456" t="s">
        <v>42517</v>
      </c>
      <c r="U8456" t="s">
        <v>48790</v>
      </c>
      <c r="V8456" t="s">
        <v>54685</v>
      </c>
      <c r="W8456" t="s">
        <v>38835</v>
      </c>
      <c r="X8456" t="s">
        <v>40446</v>
      </c>
    </row>
    <row r="8457" spans="1:24">
      <c r="A8457">
        <f>HYPERLINK("https://www.philgeps.gov.ph/GEPSNONPILOT/Tender/SplashBidNoticeAbstractUI.aspx?menuIndex=3&amp;refID=7037276&amp;Result=3","7037276")</f>
        <v>0</v>
      </c>
      <c r="B8457" t="s">
        <v>760</v>
      </c>
      <c r="C8457" t="s">
        <v>11140</v>
      </c>
      <c r="D8457" t="s">
        <v>16236</v>
      </c>
      <c r="E8457" t="s">
        <v>23693</v>
      </c>
      <c r="F8457" t="s">
        <v>28198</v>
      </c>
      <c r="G8457" t="s">
        <v>28205</v>
      </c>
      <c r="H8457" t="s">
        <v>28215</v>
      </c>
      <c r="I8457" t="s">
        <v>28256</v>
      </c>
      <c r="J8457" t="s">
        <v>33630</v>
      </c>
      <c r="K8457" t="s">
        <v>36694</v>
      </c>
      <c r="M8457" t="s">
        <v>37763</v>
      </c>
      <c r="N8457" t="s">
        <v>40436</v>
      </c>
      <c r="O8457" t="s">
        <v>40437</v>
      </c>
      <c r="P8457">
        <v>0</v>
      </c>
      <c r="Q8457">
        <v>46</v>
      </c>
      <c r="R8457" t="s">
        <v>40445</v>
      </c>
      <c r="S8457" t="s">
        <v>40730</v>
      </c>
      <c r="T8457" t="s">
        <v>42519</v>
      </c>
      <c r="U8457" t="s">
        <v>49723</v>
      </c>
      <c r="V8457" t="s">
        <v>54686</v>
      </c>
      <c r="W8457" t="s">
        <v>37763</v>
      </c>
      <c r="X8457" t="s">
        <v>40446</v>
      </c>
    </row>
    <row r="8458" spans="1:24">
      <c r="A8458">
        <f>HYPERLINK("https://www.philgeps.gov.ph/GEPSNONPILOT/Tender/SplashBidNoticeAbstractUI.aspx?menuIndex=3&amp;refID=7037262&amp;Result=3","7037262")</f>
        <v>0</v>
      </c>
      <c r="B8458" t="s">
        <v>773</v>
      </c>
      <c r="C8458" t="s">
        <v>11141</v>
      </c>
      <c r="D8458" t="s">
        <v>16219</v>
      </c>
      <c r="E8458" t="s">
        <v>23694</v>
      </c>
      <c r="F8458" t="s">
        <v>28198</v>
      </c>
      <c r="G8458" t="s">
        <v>28205</v>
      </c>
      <c r="H8458" t="s">
        <v>28215</v>
      </c>
      <c r="I8458" t="s">
        <v>5100</v>
      </c>
      <c r="J8458" t="s">
        <v>33631</v>
      </c>
      <c r="K8458" t="s">
        <v>36706</v>
      </c>
      <c r="M8458" t="s">
        <v>38111</v>
      </c>
      <c r="N8458" t="s">
        <v>40436</v>
      </c>
      <c r="O8458" t="s">
        <v>40437</v>
      </c>
      <c r="P8458">
        <v>0</v>
      </c>
      <c r="Q8458">
        <v>0</v>
      </c>
      <c r="R8458" t="s">
        <v>40445</v>
      </c>
      <c r="S8458" t="s">
        <v>40730</v>
      </c>
      <c r="T8458" t="s">
        <v>42233</v>
      </c>
      <c r="U8458" t="s">
        <v>49724</v>
      </c>
      <c r="W8458" t="s">
        <v>38111</v>
      </c>
      <c r="X8458" t="s">
        <v>40446</v>
      </c>
    </row>
    <row r="8459" spans="1:24">
      <c r="A8459">
        <f>HYPERLINK("https://www.philgeps.gov.ph/GEPSNONPILOT/Tender/SplashBidNoticeAbstractUI.aspx?menuIndex=3&amp;refID=7037257&amp;Result=3","7037257")</f>
        <v>0</v>
      </c>
      <c r="B8459" t="s">
        <v>2480</v>
      </c>
      <c r="C8459" t="s">
        <v>11142</v>
      </c>
      <c r="D8459" t="s">
        <v>16210</v>
      </c>
      <c r="E8459" t="s">
        <v>23695</v>
      </c>
      <c r="F8459" t="s">
        <v>28198</v>
      </c>
      <c r="G8459" t="s">
        <v>28205</v>
      </c>
      <c r="H8459" t="s">
        <v>28215</v>
      </c>
      <c r="I8459" t="s">
        <v>28222</v>
      </c>
      <c r="J8459" t="s">
        <v>28730</v>
      </c>
      <c r="K8459" t="s">
        <v>36689</v>
      </c>
      <c r="M8459" t="s">
        <v>39679</v>
      </c>
      <c r="N8459" t="s">
        <v>40436</v>
      </c>
      <c r="O8459" t="s">
        <v>40437</v>
      </c>
      <c r="P8459">
        <v>0</v>
      </c>
      <c r="Q8459">
        <v>5</v>
      </c>
      <c r="R8459" t="s">
        <v>40445</v>
      </c>
      <c r="S8459" t="s">
        <v>40730</v>
      </c>
      <c r="T8459" t="s">
        <v>42520</v>
      </c>
      <c r="U8459" t="s">
        <v>49725</v>
      </c>
      <c r="W8459" t="s">
        <v>39679</v>
      </c>
      <c r="X8459" t="s">
        <v>40446</v>
      </c>
    </row>
    <row r="8460" spans="1:24">
      <c r="A8460">
        <f>HYPERLINK("https://www.philgeps.gov.ph/GEPSNONPILOT/Tender/SplashBidNoticeAbstractUI.aspx?menuIndex=3&amp;refID=7037279&amp;Result=3","7037279")</f>
        <v>0</v>
      </c>
      <c r="B8460" t="s">
        <v>1450</v>
      </c>
      <c r="C8460" t="s">
        <v>11143</v>
      </c>
      <c r="D8460" t="s">
        <v>16241</v>
      </c>
      <c r="E8460" t="s">
        <v>19009</v>
      </c>
      <c r="F8460" t="s">
        <v>28198</v>
      </c>
      <c r="G8460" t="s">
        <v>28206</v>
      </c>
      <c r="H8460" t="s">
        <v>28215</v>
      </c>
      <c r="I8460" t="s">
        <v>28225</v>
      </c>
      <c r="J8460" t="s">
        <v>28345</v>
      </c>
      <c r="K8460" t="s">
        <v>36701</v>
      </c>
      <c r="M8460" t="s">
        <v>38517</v>
      </c>
      <c r="N8460" t="s">
        <v>40436</v>
      </c>
      <c r="O8460" t="s">
        <v>40437</v>
      </c>
      <c r="P8460">
        <v>0</v>
      </c>
      <c r="Q8460">
        <v>1</v>
      </c>
      <c r="R8460" t="s">
        <v>40445</v>
      </c>
      <c r="S8460" t="s">
        <v>40730</v>
      </c>
      <c r="T8460" t="s">
        <v>42169</v>
      </c>
      <c r="U8460" t="s">
        <v>49726</v>
      </c>
      <c r="W8460" t="s">
        <v>38517</v>
      </c>
      <c r="X8460" t="s">
        <v>40446</v>
      </c>
    </row>
    <row r="8461" spans="1:24">
      <c r="A8461">
        <f>HYPERLINK("https://www.philgeps.gov.ph/GEPSNONPILOT/Tender/SplashBidNoticeAbstractUI.aspx?menuIndex=3&amp;refID=7037277&amp;Result=3","7037277")</f>
        <v>0</v>
      </c>
      <c r="B8461" t="s">
        <v>1501</v>
      </c>
      <c r="C8461" t="s">
        <v>11144</v>
      </c>
      <c r="D8461" t="s">
        <v>16192</v>
      </c>
      <c r="E8461" t="s">
        <v>23696</v>
      </c>
      <c r="F8461" t="s">
        <v>28198</v>
      </c>
      <c r="G8461" t="s">
        <v>28207</v>
      </c>
      <c r="H8461" t="s">
        <v>28215</v>
      </c>
      <c r="I8461" t="s">
        <v>28247</v>
      </c>
      <c r="J8461" t="s">
        <v>28414</v>
      </c>
      <c r="K8461" t="s">
        <v>36701</v>
      </c>
      <c r="M8461" t="s">
        <v>38576</v>
      </c>
      <c r="N8461" t="s">
        <v>40436</v>
      </c>
      <c r="O8461" t="s">
        <v>40437</v>
      </c>
      <c r="P8461">
        <v>0</v>
      </c>
      <c r="Q8461">
        <v>4</v>
      </c>
      <c r="R8461" t="s">
        <v>40445</v>
      </c>
      <c r="S8461" t="s">
        <v>40730</v>
      </c>
      <c r="T8461" t="s">
        <v>42124</v>
      </c>
      <c r="U8461" t="s">
        <v>49727</v>
      </c>
      <c r="W8461" t="s">
        <v>38576</v>
      </c>
      <c r="X8461" t="s">
        <v>40446</v>
      </c>
    </row>
    <row r="8462" spans="1:24">
      <c r="A8462">
        <f>HYPERLINK("https://www.philgeps.gov.ph/GEPSNONPILOT/Tender/SplashBidNoticeAbstractUI.aspx?menuIndex=3&amp;refID=7037285&amp;Result=3","7037285")</f>
        <v>0</v>
      </c>
      <c r="B8462" t="s">
        <v>2481</v>
      </c>
      <c r="C8462" t="s">
        <v>11145</v>
      </c>
      <c r="E8462" t="s">
        <v>17248</v>
      </c>
      <c r="F8462" t="s">
        <v>28200</v>
      </c>
      <c r="G8462" t="s">
        <v>28205</v>
      </c>
      <c r="H8462" t="s">
        <v>28215</v>
      </c>
      <c r="I8462" t="s">
        <v>28257</v>
      </c>
      <c r="J8462" t="s">
        <v>28406</v>
      </c>
      <c r="K8462" t="s">
        <v>36689</v>
      </c>
      <c r="M8462" t="s">
        <v>39680</v>
      </c>
      <c r="N8462" t="s">
        <v>40436</v>
      </c>
      <c r="O8462" t="s">
        <v>40437</v>
      </c>
      <c r="P8462">
        <v>0</v>
      </c>
      <c r="Q8462">
        <v>3</v>
      </c>
      <c r="R8462" t="s">
        <v>40445</v>
      </c>
      <c r="S8462" t="s">
        <v>40730</v>
      </c>
      <c r="T8462" t="s">
        <v>42098</v>
      </c>
      <c r="U8462" t="s">
        <v>49728</v>
      </c>
      <c r="W8462" t="s">
        <v>39680</v>
      </c>
      <c r="X8462" t="s">
        <v>40446</v>
      </c>
    </row>
    <row r="8463" spans="1:24">
      <c r="A8463">
        <f>HYPERLINK("https://www.philgeps.gov.ph/GEPSNONPILOT/Tender/SplashBidNoticeAbstractUI.aspx?menuIndex=3&amp;refID=7037282&amp;Result=3","7037282")</f>
        <v>0</v>
      </c>
      <c r="B8463" t="s">
        <v>2256</v>
      </c>
      <c r="C8463" t="s">
        <v>11146</v>
      </c>
      <c r="D8463" t="s">
        <v>16209</v>
      </c>
      <c r="E8463" t="s">
        <v>23697</v>
      </c>
      <c r="F8463" t="s">
        <v>28198</v>
      </c>
      <c r="G8463" t="s">
        <v>28205</v>
      </c>
      <c r="H8463" t="s">
        <v>28215</v>
      </c>
      <c r="I8463" t="s">
        <v>3774</v>
      </c>
      <c r="J8463" t="s">
        <v>33632</v>
      </c>
      <c r="K8463" t="s">
        <v>36707</v>
      </c>
      <c r="M8463" t="s">
        <v>39426</v>
      </c>
      <c r="N8463" t="s">
        <v>40436</v>
      </c>
      <c r="O8463" t="s">
        <v>40437</v>
      </c>
      <c r="P8463">
        <v>0</v>
      </c>
      <c r="Q8463">
        <v>0</v>
      </c>
      <c r="R8463" t="s">
        <v>40445</v>
      </c>
      <c r="S8463" t="s">
        <v>40730</v>
      </c>
      <c r="T8463" t="s">
        <v>42184</v>
      </c>
      <c r="U8463" t="s">
        <v>49729</v>
      </c>
      <c r="W8463" t="s">
        <v>39426</v>
      </c>
      <c r="X8463" t="s">
        <v>40446</v>
      </c>
    </row>
    <row r="8464" spans="1:24">
      <c r="A8464">
        <f>HYPERLINK("https://www.philgeps.gov.ph/GEPSNONPILOT/Tender/SplashBidNoticeAbstractUI.aspx?menuIndex=3&amp;refID=7037265&amp;Result=3","7037265")</f>
        <v>0</v>
      </c>
      <c r="B8464" t="s">
        <v>164</v>
      </c>
      <c r="C8464" t="s">
        <v>11147</v>
      </c>
      <c r="D8464" t="s">
        <v>16213</v>
      </c>
      <c r="E8464" t="s">
        <v>23698</v>
      </c>
      <c r="F8464" t="s">
        <v>28198</v>
      </c>
      <c r="G8464" t="s">
        <v>28205</v>
      </c>
      <c r="H8464" t="s">
        <v>28214</v>
      </c>
      <c r="I8464" t="s">
        <v>3797</v>
      </c>
      <c r="J8464" t="s">
        <v>28345</v>
      </c>
      <c r="K8464" t="s">
        <v>36701</v>
      </c>
      <c r="M8464" t="s">
        <v>37138</v>
      </c>
      <c r="N8464" t="s">
        <v>40436</v>
      </c>
      <c r="O8464" t="s">
        <v>40437</v>
      </c>
      <c r="P8464">
        <v>0</v>
      </c>
      <c r="Q8464">
        <v>0</v>
      </c>
      <c r="R8464" t="s">
        <v>40445</v>
      </c>
      <c r="S8464" t="s">
        <v>40730</v>
      </c>
      <c r="T8464" t="s">
        <v>42346</v>
      </c>
      <c r="U8464" t="s">
        <v>49712</v>
      </c>
      <c r="W8464" t="s">
        <v>37138</v>
      </c>
      <c r="X8464" t="s">
        <v>40446</v>
      </c>
    </row>
    <row r="8465" spans="1:24">
      <c r="A8465">
        <f>HYPERLINK("https://www.philgeps.gov.ph/GEPSNONPILOT/Tender/SplashBidNoticeAbstractUI.aspx?menuIndex=3&amp;refID=7037289&amp;Result=3","7037289")</f>
        <v>0</v>
      </c>
      <c r="B8465" t="s">
        <v>2482</v>
      </c>
      <c r="C8465" t="s">
        <v>11148</v>
      </c>
      <c r="D8465" t="s">
        <v>16251</v>
      </c>
      <c r="E8465" t="s">
        <v>16860</v>
      </c>
      <c r="F8465" t="s">
        <v>28198</v>
      </c>
      <c r="G8465" t="s">
        <v>28205</v>
      </c>
      <c r="H8465" t="s">
        <v>28214</v>
      </c>
      <c r="I8465" t="s">
        <v>3797</v>
      </c>
      <c r="J8465" t="s">
        <v>28379</v>
      </c>
      <c r="K8465" t="s">
        <v>36701</v>
      </c>
      <c r="M8465" t="s">
        <v>39681</v>
      </c>
      <c r="N8465" t="s">
        <v>40436</v>
      </c>
      <c r="O8465" t="s">
        <v>40437</v>
      </c>
      <c r="P8465">
        <v>0</v>
      </c>
      <c r="Q8465">
        <v>0</v>
      </c>
      <c r="R8465" t="s">
        <v>40445</v>
      </c>
      <c r="S8465" t="s">
        <v>40730</v>
      </c>
      <c r="T8465" t="s">
        <v>42168</v>
      </c>
      <c r="U8465" t="s">
        <v>49730</v>
      </c>
      <c r="W8465" t="s">
        <v>39681</v>
      </c>
      <c r="X8465" t="s">
        <v>40446</v>
      </c>
    </row>
    <row r="8466" spans="1:24">
      <c r="A8466">
        <f>HYPERLINK("https://www.philgeps.gov.ph/GEPSNONPILOT/Tender/SplashBidNoticeAbstractUI.aspx?menuIndex=3&amp;refID=7037338&amp;Result=3","7037338")</f>
        <v>0</v>
      </c>
      <c r="B8466" t="s">
        <v>2256</v>
      </c>
      <c r="C8466" t="s">
        <v>11063</v>
      </c>
      <c r="D8466" t="s">
        <v>16209</v>
      </c>
      <c r="E8466" t="s">
        <v>23699</v>
      </c>
      <c r="F8466" t="s">
        <v>28198</v>
      </c>
      <c r="G8466" t="s">
        <v>28205</v>
      </c>
      <c r="H8466" t="s">
        <v>28215</v>
      </c>
      <c r="I8466" t="s">
        <v>4168</v>
      </c>
      <c r="J8466" t="s">
        <v>29490</v>
      </c>
      <c r="K8466" t="s">
        <v>36707</v>
      </c>
      <c r="M8466" t="s">
        <v>39426</v>
      </c>
      <c r="N8466" t="s">
        <v>40436</v>
      </c>
      <c r="O8466" t="s">
        <v>40437</v>
      </c>
      <c r="P8466">
        <v>0</v>
      </c>
      <c r="Q8466">
        <v>0</v>
      </c>
      <c r="R8466" t="s">
        <v>40445</v>
      </c>
      <c r="S8466" t="s">
        <v>40730</v>
      </c>
      <c r="T8466" t="s">
        <v>42184</v>
      </c>
      <c r="U8466" t="s">
        <v>49731</v>
      </c>
      <c r="W8466" t="s">
        <v>39426</v>
      </c>
      <c r="X8466" t="s">
        <v>40446</v>
      </c>
    </row>
    <row r="8467" spans="1:24">
      <c r="A8467">
        <f>HYPERLINK("https://www.philgeps.gov.ph/GEPSNONPILOT/Tender/SplashBidNoticeAbstractUI.aspx?menuIndex=3&amp;refID=7037319&amp;Result=3","7037319")</f>
        <v>0</v>
      </c>
      <c r="B8467" t="s">
        <v>1133</v>
      </c>
      <c r="C8467" t="s">
        <v>10074</v>
      </c>
      <c r="D8467" t="s">
        <v>16190</v>
      </c>
      <c r="E8467" t="s">
        <v>23700</v>
      </c>
      <c r="F8467" t="s">
        <v>28198</v>
      </c>
      <c r="G8467" t="s">
        <v>28207</v>
      </c>
      <c r="H8467" t="s">
        <v>28215</v>
      </c>
      <c r="I8467" t="s">
        <v>8888</v>
      </c>
      <c r="J8467" t="s">
        <v>33633</v>
      </c>
      <c r="K8467" t="s">
        <v>36689</v>
      </c>
      <c r="M8467" t="s">
        <v>38172</v>
      </c>
      <c r="N8467" t="s">
        <v>40436</v>
      </c>
      <c r="O8467" t="s">
        <v>40437</v>
      </c>
      <c r="P8467">
        <v>0</v>
      </c>
      <c r="Q8467">
        <v>3</v>
      </c>
      <c r="R8467" t="s">
        <v>40445</v>
      </c>
      <c r="S8467" t="s">
        <v>40730</v>
      </c>
      <c r="T8467" t="s">
        <v>42233</v>
      </c>
      <c r="U8467" t="s">
        <v>45777</v>
      </c>
      <c r="W8467" t="s">
        <v>38172</v>
      </c>
      <c r="X8467" t="s">
        <v>40446</v>
      </c>
    </row>
    <row r="8468" spans="1:24">
      <c r="A8468">
        <f>HYPERLINK("https://www.philgeps.gov.ph/GEPSNONPILOT/Tender/SplashBidNoticeAbstractUI.aspx?menuIndex=3&amp;refID=7037307&amp;Result=3","7037307")</f>
        <v>0</v>
      </c>
      <c r="B8468" t="s">
        <v>1501</v>
      </c>
      <c r="C8468" t="s">
        <v>11149</v>
      </c>
      <c r="D8468" t="s">
        <v>16192</v>
      </c>
      <c r="E8468" t="s">
        <v>23701</v>
      </c>
      <c r="F8468" t="s">
        <v>28198</v>
      </c>
      <c r="G8468" t="s">
        <v>28207</v>
      </c>
      <c r="H8468" t="s">
        <v>28215</v>
      </c>
      <c r="I8468" t="s">
        <v>28247</v>
      </c>
      <c r="J8468" t="s">
        <v>29206</v>
      </c>
      <c r="K8468" t="s">
        <v>36701</v>
      </c>
      <c r="M8468" t="s">
        <v>38576</v>
      </c>
      <c r="N8468" t="s">
        <v>40436</v>
      </c>
      <c r="O8468" t="s">
        <v>40437</v>
      </c>
      <c r="P8468">
        <v>0</v>
      </c>
      <c r="Q8468">
        <v>8</v>
      </c>
      <c r="R8468" t="s">
        <v>40445</v>
      </c>
      <c r="S8468" t="s">
        <v>40730</v>
      </c>
      <c r="T8468" t="s">
        <v>42124</v>
      </c>
      <c r="U8468" t="s">
        <v>49732</v>
      </c>
      <c r="W8468" t="s">
        <v>38576</v>
      </c>
      <c r="X8468" t="s">
        <v>40446</v>
      </c>
    </row>
    <row r="8469" spans="1:24">
      <c r="A8469">
        <f>HYPERLINK("https://www.philgeps.gov.ph/GEPSNONPILOT/Tender/SplashBidNoticeAbstractUI.aspx?menuIndex=3&amp;refID=7037306&amp;Result=3","7037306")</f>
        <v>0</v>
      </c>
      <c r="B8469" t="s">
        <v>2432</v>
      </c>
      <c r="C8469" t="s">
        <v>11150</v>
      </c>
      <c r="D8469" t="s">
        <v>16211</v>
      </c>
      <c r="E8469" t="s">
        <v>23702</v>
      </c>
      <c r="F8469" t="s">
        <v>28198</v>
      </c>
      <c r="G8469" t="s">
        <v>28205</v>
      </c>
      <c r="H8469" t="s">
        <v>28214</v>
      </c>
      <c r="I8469" t="s">
        <v>3797</v>
      </c>
      <c r="J8469" t="s">
        <v>33634</v>
      </c>
      <c r="K8469" t="s">
        <v>36715</v>
      </c>
      <c r="M8469" t="s">
        <v>39620</v>
      </c>
      <c r="N8469" t="s">
        <v>40436</v>
      </c>
      <c r="O8469" t="s">
        <v>40437</v>
      </c>
      <c r="P8469">
        <v>0</v>
      </c>
      <c r="Q8469">
        <v>2</v>
      </c>
      <c r="R8469" t="s">
        <v>40445</v>
      </c>
      <c r="S8469" t="s">
        <v>40730</v>
      </c>
      <c r="T8469" t="s">
        <v>42426</v>
      </c>
      <c r="U8469" t="s">
        <v>49733</v>
      </c>
      <c r="W8469" t="s">
        <v>39620</v>
      </c>
      <c r="X8469" t="s">
        <v>40446</v>
      </c>
    </row>
    <row r="8470" spans="1:24">
      <c r="A8470">
        <f>HYPERLINK("https://www.philgeps.gov.ph/GEPSNONPILOT/Tender/SplashBidNoticeAbstractUI.aspx?menuIndex=3&amp;refID=7037301&amp;Result=3","7037301")</f>
        <v>0</v>
      </c>
      <c r="B8470" t="s">
        <v>2459</v>
      </c>
      <c r="C8470" t="s">
        <v>11151</v>
      </c>
      <c r="D8470" t="s">
        <v>16203</v>
      </c>
      <c r="E8470" t="s">
        <v>23703</v>
      </c>
      <c r="F8470" t="s">
        <v>28198</v>
      </c>
      <c r="G8470" t="s">
        <v>28205</v>
      </c>
      <c r="H8470" t="s">
        <v>28214</v>
      </c>
      <c r="I8470" t="s">
        <v>3797</v>
      </c>
      <c r="J8470" t="s">
        <v>33635</v>
      </c>
      <c r="K8470" t="s">
        <v>36737</v>
      </c>
      <c r="M8470" t="s">
        <v>39652</v>
      </c>
      <c r="N8470" t="s">
        <v>40436</v>
      </c>
      <c r="O8470" t="s">
        <v>40437</v>
      </c>
      <c r="P8470">
        <v>0</v>
      </c>
      <c r="Q8470">
        <v>21</v>
      </c>
      <c r="R8470" t="s">
        <v>40445</v>
      </c>
      <c r="S8470" t="s">
        <v>40730</v>
      </c>
      <c r="T8470" t="s">
        <v>42346</v>
      </c>
      <c r="U8470" t="s">
        <v>49734</v>
      </c>
      <c r="W8470" t="s">
        <v>39652</v>
      </c>
      <c r="X8470" t="s">
        <v>40446</v>
      </c>
    </row>
    <row r="8471" spans="1:24">
      <c r="A8471">
        <f>HYPERLINK("https://www.philgeps.gov.ph/GEPSNONPILOT/Tender/SplashBidNoticeAbstractUI.aspx?menuIndex=3&amp;refID=7037311&amp;Result=3","7037311")</f>
        <v>0</v>
      </c>
      <c r="B8471" t="s">
        <v>1974</v>
      </c>
      <c r="C8471" t="s">
        <v>11152</v>
      </c>
      <c r="D8471" t="s">
        <v>16260</v>
      </c>
      <c r="E8471" t="s">
        <v>23704</v>
      </c>
      <c r="F8471" t="s">
        <v>28198</v>
      </c>
      <c r="G8471" t="s">
        <v>28205</v>
      </c>
      <c r="H8471" t="s">
        <v>28214</v>
      </c>
      <c r="I8471" t="s">
        <v>3797</v>
      </c>
      <c r="J8471" t="s">
        <v>28699</v>
      </c>
      <c r="K8471" t="s">
        <v>36689</v>
      </c>
      <c r="M8471" t="s">
        <v>39110</v>
      </c>
      <c r="N8471" t="s">
        <v>40436</v>
      </c>
      <c r="O8471" t="s">
        <v>40437</v>
      </c>
      <c r="P8471">
        <v>0</v>
      </c>
      <c r="Q8471">
        <v>0</v>
      </c>
      <c r="R8471" t="s">
        <v>40445</v>
      </c>
      <c r="S8471" t="s">
        <v>40730</v>
      </c>
      <c r="T8471" t="s">
        <v>42138</v>
      </c>
      <c r="U8471" t="s">
        <v>49735</v>
      </c>
      <c r="W8471" t="s">
        <v>39110</v>
      </c>
      <c r="X8471" t="s">
        <v>40446</v>
      </c>
    </row>
    <row r="8472" spans="1:24">
      <c r="A8472">
        <f>HYPERLINK("https://www.philgeps.gov.ph/GEPSNONPILOT/Tender/SplashBidNoticeAbstractUI.aspx?menuIndex=3&amp;refID=7037363&amp;Result=3","7037363")</f>
        <v>0</v>
      </c>
      <c r="B8472" t="s">
        <v>2038</v>
      </c>
      <c r="C8472" t="s">
        <v>11153</v>
      </c>
      <c r="D8472" t="s">
        <v>16274</v>
      </c>
      <c r="E8472" t="s">
        <v>23705</v>
      </c>
      <c r="F8472" t="s">
        <v>28198</v>
      </c>
      <c r="G8472" t="s">
        <v>28205</v>
      </c>
      <c r="H8472" t="s">
        <v>28214</v>
      </c>
      <c r="I8472" t="s">
        <v>3797</v>
      </c>
      <c r="J8472" t="s">
        <v>33636</v>
      </c>
      <c r="K8472" t="s">
        <v>36812</v>
      </c>
      <c r="M8472" t="s">
        <v>39181</v>
      </c>
      <c r="N8472" t="s">
        <v>40436</v>
      </c>
      <c r="O8472" t="s">
        <v>40437</v>
      </c>
      <c r="P8472">
        <v>0</v>
      </c>
      <c r="Q8472">
        <v>0</v>
      </c>
      <c r="R8472" t="s">
        <v>40445</v>
      </c>
      <c r="S8472" t="s">
        <v>40730</v>
      </c>
      <c r="T8472" t="s">
        <v>42279</v>
      </c>
      <c r="U8472" t="s">
        <v>49736</v>
      </c>
      <c r="V8472" t="s">
        <v>54687</v>
      </c>
      <c r="W8472" t="s">
        <v>39181</v>
      </c>
      <c r="X8472" t="s">
        <v>40446</v>
      </c>
    </row>
    <row r="8473" spans="1:24">
      <c r="A8473">
        <f>HYPERLINK("https://www.philgeps.gov.ph/GEPSNONPILOT/Tender/SplashBidNoticeAbstractUI.aspx?menuIndex=3&amp;refID=7037295&amp;Result=3","7037295")</f>
        <v>0</v>
      </c>
      <c r="B8473" t="s">
        <v>2483</v>
      </c>
      <c r="C8473" t="s">
        <v>11154</v>
      </c>
      <c r="D8473" t="s">
        <v>16203</v>
      </c>
      <c r="E8473" t="s">
        <v>23706</v>
      </c>
      <c r="F8473" t="s">
        <v>28198</v>
      </c>
      <c r="G8473" t="s">
        <v>28205</v>
      </c>
      <c r="H8473" t="s">
        <v>28215</v>
      </c>
      <c r="I8473" t="s">
        <v>5100</v>
      </c>
      <c r="J8473" t="s">
        <v>33637</v>
      </c>
      <c r="K8473" t="s">
        <v>36692</v>
      </c>
      <c r="M8473" t="s">
        <v>39682</v>
      </c>
      <c r="N8473" t="s">
        <v>40436</v>
      </c>
      <c r="O8473" t="s">
        <v>40437</v>
      </c>
      <c r="P8473">
        <v>0</v>
      </c>
      <c r="Q8473">
        <v>0</v>
      </c>
      <c r="R8473" t="s">
        <v>40445</v>
      </c>
      <c r="S8473" t="s">
        <v>40730</v>
      </c>
      <c r="T8473" t="s">
        <v>42188</v>
      </c>
      <c r="U8473" t="s">
        <v>49737</v>
      </c>
      <c r="W8473" t="s">
        <v>39682</v>
      </c>
      <c r="X8473" t="s">
        <v>40446</v>
      </c>
    </row>
    <row r="8474" spans="1:24">
      <c r="A8474">
        <f>HYPERLINK("https://www.philgeps.gov.ph/GEPSNONPILOT/Tender/SplashBidNoticeAbstractUI.aspx?menuIndex=3&amp;refID=7037336&amp;Result=3","7037336")</f>
        <v>0</v>
      </c>
      <c r="B8474" t="s">
        <v>2434</v>
      </c>
      <c r="C8474" t="s">
        <v>11155</v>
      </c>
      <c r="D8474" t="s">
        <v>16202</v>
      </c>
      <c r="E8474" t="s">
        <v>11155</v>
      </c>
      <c r="F8474" t="s">
        <v>28198</v>
      </c>
      <c r="G8474" t="s">
        <v>28205</v>
      </c>
      <c r="H8474" t="s">
        <v>28215</v>
      </c>
      <c r="I8474" t="s">
        <v>4222</v>
      </c>
      <c r="J8474" t="s">
        <v>33638</v>
      </c>
      <c r="K8474" t="s">
        <v>36694</v>
      </c>
      <c r="M8474" t="s">
        <v>39624</v>
      </c>
      <c r="N8474" t="s">
        <v>40436</v>
      </c>
      <c r="O8474" t="s">
        <v>40437</v>
      </c>
      <c r="P8474">
        <v>0</v>
      </c>
      <c r="Q8474">
        <v>3</v>
      </c>
      <c r="R8474" t="s">
        <v>40445</v>
      </c>
      <c r="S8474" t="s">
        <v>40730</v>
      </c>
      <c r="T8474" t="s">
        <v>42240</v>
      </c>
      <c r="U8474" t="s">
        <v>49738</v>
      </c>
      <c r="V8474" t="s">
        <v>53932</v>
      </c>
      <c r="W8474" t="s">
        <v>39624</v>
      </c>
      <c r="X8474" t="s">
        <v>40446</v>
      </c>
    </row>
    <row r="8475" spans="1:24">
      <c r="A8475">
        <f>HYPERLINK("https://www.philgeps.gov.ph/GEPSNONPILOT/Tender/SplashBidNoticeAbstractUI.aspx?menuIndex=3&amp;refID=7037353&amp;Result=3","7037353")</f>
        <v>0</v>
      </c>
      <c r="B8475" t="s">
        <v>2256</v>
      </c>
      <c r="C8475" t="s">
        <v>11156</v>
      </c>
      <c r="D8475" t="s">
        <v>16209</v>
      </c>
      <c r="E8475" t="s">
        <v>23707</v>
      </c>
      <c r="F8475" t="s">
        <v>28198</v>
      </c>
      <c r="G8475" t="s">
        <v>28205</v>
      </c>
      <c r="H8475" t="s">
        <v>28214</v>
      </c>
      <c r="I8475" t="s">
        <v>5100</v>
      </c>
      <c r="J8475" t="s">
        <v>33639</v>
      </c>
      <c r="K8475" t="s">
        <v>36707</v>
      </c>
      <c r="M8475" t="s">
        <v>39426</v>
      </c>
      <c r="N8475" t="s">
        <v>40436</v>
      </c>
      <c r="O8475" t="s">
        <v>40437</v>
      </c>
      <c r="P8475">
        <v>0</v>
      </c>
      <c r="Q8475">
        <v>0</v>
      </c>
      <c r="R8475" t="s">
        <v>40445</v>
      </c>
      <c r="S8475" t="s">
        <v>40730</v>
      </c>
      <c r="T8475" t="s">
        <v>42184</v>
      </c>
      <c r="U8475" t="s">
        <v>49739</v>
      </c>
      <c r="W8475" t="s">
        <v>39426</v>
      </c>
      <c r="X8475" t="s">
        <v>40446</v>
      </c>
    </row>
    <row r="8476" spans="1:24">
      <c r="A8476">
        <f>HYPERLINK("https://www.philgeps.gov.ph/GEPSNONPILOT/Tender/SplashBidNoticeAbstractUI.aspx?menuIndex=3&amp;refID=7037348&amp;Result=3","7037348")</f>
        <v>0</v>
      </c>
      <c r="B8476" t="s">
        <v>2434</v>
      </c>
      <c r="C8476" t="s">
        <v>11157</v>
      </c>
      <c r="D8476" t="s">
        <v>16202</v>
      </c>
      <c r="E8476" t="s">
        <v>11157</v>
      </c>
      <c r="F8476" t="s">
        <v>28198</v>
      </c>
      <c r="G8476" t="s">
        <v>28205</v>
      </c>
      <c r="H8476" t="s">
        <v>28215</v>
      </c>
      <c r="I8476" t="s">
        <v>4222</v>
      </c>
      <c r="J8476" t="s">
        <v>31441</v>
      </c>
      <c r="K8476" t="s">
        <v>36694</v>
      </c>
      <c r="M8476" t="s">
        <v>39624</v>
      </c>
      <c r="N8476" t="s">
        <v>40436</v>
      </c>
      <c r="O8476" t="s">
        <v>40437</v>
      </c>
      <c r="P8476">
        <v>0</v>
      </c>
      <c r="Q8476">
        <v>4</v>
      </c>
      <c r="R8476" t="s">
        <v>40445</v>
      </c>
      <c r="S8476" t="s">
        <v>40730</v>
      </c>
      <c r="T8476" t="s">
        <v>42240</v>
      </c>
      <c r="U8476" t="s">
        <v>49738</v>
      </c>
      <c r="V8476" t="s">
        <v>53932</v>
      </c>
      <c r="W8476" t="s">
        <v>39624</v>
      </c>
      <c r="X8476" t="s">
        <v>40446</v>
      </c>
    </row>
    <row r="8477" spans="1:24">
      <c r="A8477">
        <f>HYPERLINK("https://www.philgeps.gov.ph/GEPSNONPILOT/Tender/SplashBidNoticeAbstractUI.aspx?menuIndex=3&amp;refID=7037322&amp;Result=3","7037322")</f>
        <v>0</v>
      </c>
      <c r="B8477" t="s">
        <v>226</v>
      </c>
      <c r="C8477" t="s">
        <v>11158</v>
      </c>
      <c r="D8477" t="s">
        <v>16202</v>
      </c>
      <c r="E8477" t="s">
        <v>23708</v>
      </c>
      <c r="F8477" t="s">
        <v>28198</v>
      </c>
      <c r="G8477" t="s">
        <v>28207</v>
      </c>
      <c r="H8477" t="s">
        <v>28215</v>
      </c>
      <c r="I8477" t="s">
        <v>28225</v>
      </c>
      <c r="J8477" t="s">
        <v>28363</v>
      </c>
      <c r="K8477" t="s">
        <v>36688</v>
      </c>
      <c r="M8477" t="s">
        <v>37202</v>
      </c>
      <c r="N8477" t="s">
        <v>40436</v>
      </c>
      <c r="O8477" t="s">
        <v>40437</v>
      </c>
      <c r="P8477">
        <v>0</v>
      </c>
      <c r="Q8477">
        <v>7</v>
      </c>
      <c r="R8477" t="s">
        <v>40445</v>
      </c>
      <c r="S8477" t="s">
        <v>40730</v>
      </c>
      <c r="T8477" t="s">
        <v>42205</v>
      </c>
      <c r="U8477" t="s">
        <v>49740</v>
      </c>
      <c r="V8477" t="s">
        <v>54688</v>
      </c>
      <c r="W8477" t="s">
        <v>37202</v>
      </c>
      <c r="X8477" t="s">
        <v>40446</v>
      </c>
    </row>
    <row r="8478" spans="1:24">
      <c r="A8478">
        <f>HYPERLINK("https://www.philgeps.gov.ph/GEPSNONPILOT/Tender/SplashBidNoticeAbstractUI.aspx?menuIndex=3&amp;refID=7037358&amp;Result=3","7037358")</f>
        <v>0</v>
      </c>
      <c r="B8478" t="s">
        <v>2482</v>
      </c>
      <c r="C8478" t="s">
        <v>11159</v>
      </c>
      <c r="D8478" t="s">
        <v>16251</v>
      </c>
      <c r="E8478" t="s">
        <v>17244</v>
      </c>
      <c r="F8478" t="s">
        <v>28198</v>
      </c>
      <c r="G8478" t="s">
        <v>28205</v>
      </c>
      <c r="H8478" t="s">
        <v>28214</v>
      </c>
      <c r="I8478" t="s">
        <v>3797</v>
      </c>
      <c r="J8478" t="s">
        <v>28561</v>
      </c>
      <c r="K8478" t="s">
        <v>36701</v>
      </c>
      <c r="M8478" t="s">
        <v>39681</v>
      </c>
      <c r="N8478" t="s">
        <v>40436</v>
      </c>
      <c r="O8478" t="s">
        <v>40437</v>
      </c>
      <c r="P8478">
        <v>0</v>
      </c>
      <c r="Q8478">
        <v>1</v>
      </c>
      <c r="R8478" t="s">
        <v>40445</v>
      </c>
      <c r="S8478" t="s">
        <v>40730</v>
      </c>
      <c r="T8478" t="s">
        <v>42168</v>
      </c>
      <c r="U8478" t="s">
        <v>49741</v>
      </c>
      <c r="W8478" t="s">
        <v>39681</v>
      </c>
      <c r="X8478" t="s">
        <v>40446</v>
      </c>
    </row>
    <row r="8479" spans="1:24">
      <c r="A8479">
        <f>HYPERLINK("https://www.philgeps.gov.ph/GEPSNONPILOT/Tender/SplashBidNoticeAbstractUI.aspx?menuIndex=3&amp;refID=7037350&amp;Result=3","7037350")</f>
        <v>0</v>
      </c>
      <c r="B8479" t="s">
        <v>1077</v>
      </c>
      <c r="C8479" t="s">
        <v>11160</v>
      </c>
      <c r="D8479" t="s">
        <v>16238</v>
      </c>
      <c r="E8479" t="s">
        <v>23709</v>
      </c>
      <c r="F8479" t="s">
        <v>28198</v>
      </c>
      <c r="G8479" t="s">
        <v>28205</v>
      </c>
      <c r="H8479" t="s">
        <v>28215</v>
      </c>
      <c r="I8479" t="s">
        <v>28222</v>
      </c>
      <c r="J8479" t="s">
        <v>33640</v>
      </c>
      <c r="K8479" t="s">
        <v>36688</v>
      </c>
      <c r="M8479" t="s">
        <v>38112</v>
      </c>
      <c r="N8479" t="s">
        <v>40436</v>
      </c>
      <c r="O8479" t="s">
        <v>40437</v>
      </c>
      <c r="P8479">
        <v>0</v>
      </c>
      <c r="Q8479">
        <v>2</v>
      </c>
      <c r="R8479" t="s">
        <v>40445</v>
      </c>
      <c r="S8479" t="s">
        <v>40730</v>
      </c>
      <c r="T8479" t="s">
        <v>42435</v>
      </c>
      <c r="U8479" t="s">
        <v>49742</v>
      </c>
      <c r="W8479" t="s">
        <v>38112</v>
      </c>
      <c r="X8479" t="s">
        <v>40446</v>
      </c>
    </row>
    <row r="8480" spans="1:24">
      <c r="A8480">
        <f>HYPERLINK("https://www.philgeps.gov.ph/GEPSNONPILOT/Tender/SplashBidNoticeAbstractUI.aspx?menuIndex=3&amp;refID=7037324&amp;Result=3","7037324")</f>
        <v>0</v>
      </c>
      <c r="B8480" t="s">
        <v>1756</v>
      </c>
      <c r="C8480" t="s">
        <v>11161</v>
      </c>
      <c r="D8480" t="s">
        <v>16253</v>
      </c>
      <c r="E8480" t="s">
        <v>23710</v>
      </c>
      <c r="F8480" t="s">
        <v>28198</v>
      </c>
      <c r="G8480" t="s">
        <v>28205</v>
      </c>
      <c r="H8480" t="s">
        <v>28214</v>
      </c>
      <c r="I8480" t="s">
        <v>3797</v>
      </c>
      <c r="J8480" t="s">
        <v>33562</v>
      </c>
      <c r="K8480" t="s">
        <v>36697</v>
      </c>
      <c r="M8480" t="s">
        <v>38869</v>
      </c>
      <c r="N8480" t="s">
        <v>40436</v>
      </c>
      <c r="O8480" t="s">
        <v>40437</v>
      </c>
      <c r="P8480">
        <v>0</v>
      </c>
      <c r="Q8480">
        <v>0</v>
      </c>
      <c r="R8480" t="s">
        <v>40445</v>
      </c>
      <c r="S8480" t="s">
        <v>40730</v>
      </c>
      <c r="T8480" t="s">
        <v>42521</v>
      </c>
      <c r="U8480" t="s">
        <v>49743</v>
      </c>
      <c r="W8480" t="s">
        <v>38869</v>
      </c>
      <c r="X8480" t="s">
        <v>40446</v>
      </c>
    </row>
    <row r="8481" spans="1:24">
      <c r="A8481">
        <f>HYPERLINK("https://www.philgeps.gov.ph/GEPSNONPILOT/Tender/SplashBidNoticeAbstractUI.aspx?menuIndex=3&amp;refID=7037351&amp;Result=3","7037351")</f>
        <v>0</v>
      </c>
      <c r="B8481" t="s">
        <v>2432</v>
      </c>
      <c r="C8481" t="s">
        <v>11162</v>
      </c>
      <c r="D8481" t="s">
        <v>16211</v>
      </c>
      <c r="E8481" t="s">
        <v>23711</v>
      </c>
      <c r="F8481" t="s">
        <v>28198</v>
      </c>
      <c r="G8481" t="s">
        <v>28205</v>
      </c>
      <c r="H8481" t="s">
        <v>28214</v>
      </c>
      <c r="I8481" t="s">
        <v>3797</v>
      </c>
      <c r="J8481" t="s">
        <v>28559</v>
      </c>
      <c r="K8481" t="s">
        <v>36715</v>
      </c>
      <c r="M8481" t="s">
        <v>39620</v>
      </c>
      <c r="N8481" t="s">
        <v>40436</v>
      </c>
      <c r="O8481" t="s">
        <v>40437</v>
      </c>
      <c r="P8481">
        <v>0</v>
      </c>
      <c r="Q8481">
        <v>0</v>
      </c>
      <c r="R8481" t="s">
        <v>40445</v>
      </c>
      <c r="S8481" t="s">
        <v>40730</v>
      </c>
      <c r="T8481" t="s">
        <v>42426</v>
      </c>
      <c r="U8481" t="s">
        <v>49744</v>
      </c>
      <c r="W8481" t="s">
        <v>39620</v>
      </c>
      <c r="X8481" t="s">
        <v>40446</v>
      </c>
    </row>
    <row r="8482" spans="1:24">
      <c r="A8482">
        <f>HYPERLINK("https://www.philgeps.gov.ph/GEPSNONPILOT/Tender/SplashBidNoticeAbstractUI.aspx?menuIndex=3&amp;refID=7037368&amp;Result=3","7037368")</f>
        <v>0</v>
      </c>
      <c r="B8482" t="s">
        <v>2256</v>
      </c>
      <c r="C8482" t="s">
        <v>11163</v>
      </c>
      <c r="D8482" t="s">
        <v>16209</v>
      </c>
      <c r="E8482" t="s">
        <v>23712</v>
      </c>
      <c r="F8482" t="s">
        <v>28198</v>
      </c>
      <c r="G8482" t="s">
        <v>28205</v>
      </c>
      <c r="H8482" t="s">
        <v>28215</v>
      </c>
      <c r="I8482" t="s">
        <v>28225</v>
      </c>
      <c r="J8482" t="s">
        <v>33641</v>
      </c>
      <c r="K8482" t="s">
        <v>36707</v>
      </c>
      <c r="M8482" t="s">
        <v>39426</v>
      </c>
      <c r="N8482" t="s">
        <v>40436</v>
      </c>
      <c r="O8482" t="s">
        <v>40437</v>
      </c>
      <c r="P8482">
        <v>0</v>
      </c>
      <c r="Q8482">
        <v>1</v>
      </c>
      <c r="R8482" t="s">
        <v>40445</v>
      </c>
      <c r="S8482" t="s">
        <v>40730</v>
      </c>
      <c r="T8482" t="s">
        <v>42184</v>
      </c>
      <c r="U8482" t="s">
        <v>49745</v>
      </c>
      <c r="W8482" t="s">
        <v>39426</v>
      </c>
      <c r="X8482" t="s">
        <v>40446</v>
      </c>
    </row>
    <row r="8483" spans="1:24">
      <c r="A8483">
        <f>HYPERLINK("https://www.philgeps.gov.ph/GEPSNONPILOT/Tender/SplashBidNoticeAbstractUI.aspx?menuIndex=3&amp;refID=7037367&amp;Result=3","7037367")</f>
        <v>0</v>
      </c>
      <c r="B8483" t="s">
        <v>1974</v>
      </c>
      <c r="C8483" t="s">
        <v>11164</v>
      </c>
      <c r="D8483" t="s">
        <v>16260</v>
      </c>
      <c r="E8483" t="s">
        <v>23713</v>
      </c>
      <c r="F8483" t="s">
        <v>28198</v>
      </c>
      <c r="G8483" t="s">
        <v>28205</v>
      </c>
      <c r="H8483" t="s">
        <v>28214</v>
      </c>
      <c r="I8483" t="s">
        <v>3797</v>
      </c>
      <c r="J8483" t="s">
        <v>30534</v>
      </c>
      <c r="K8483" t="s">
        <v>36689</v>
      </c>
      <c r="M8483" t="s">
        <v>39110</v>
      </c>
      <c r="N8483" t="s">
        <v>40436</v>
      </c>
      <c r="O8483" t="s">
        <v>40437</v>
      </c>
      <c r="P8483">
        <v>0</v>
      </c>
      <c r="Q8483">
        <v>1</v>
      </c>
      <c r="R8483" t="s">
        <v>40445</v>
      </c>
      <c r="S8483" t="s">
        <v>40730</v>
      </c>
      <c r="T8483" t="s">
        <v>42138</v>
      </c>
      <c r="U8483" t="s">
        <v>49746</v>
      </c>
      <c r="W8483" t="s">
        <v>39110</v>
      </c>
      <c r="X8483" t="s">
        <v>40446</v>
      </c>
    </row>
    <row r="8484" spans="1:24">
      <c r="A8484">
        <f>HYPERLINK("https://www.philgeps.gov.ph/GEPSNONPILOT/Tender/SplashBidNoticeAbstractUI.aspx?menuIndex=3&amp;refID=7037377&amp;Result=3","7037377")</f>
        <v>0</v>
      </c>
      <c r="B8484" t="s">
        <v>2484</v>
      </c>
      <c r="C8484" t="s">
        <v>11165</v>
      </c>
      <c r="D8484" t="s">
        <v>16209</v>
      </c>
      <c r="E8484" t="s">
        <v>23714</v>
      </c>
      <c r="F8484" t="s">
        <v>28198</v>
      </c>
      <c r="G8484" t="s">
        <v>28209</v>
      </c>
      <c r="H8484" t="s">
        <v>28215</v>
      </c>
      <c r="I8484" t="s">
        <v>28238</v>
      </c>
      <c r="J8484" t="s">
        <v>28559</v>
      </c>
      <c r="K8484" t="s">
        <v>36707</v>
      </c>
      <c r="M8484" t="s">
        <v>39683</v>
      </c>
      <c r="N8484" t="s">
        <v>40436</v>
      </c>
      <c r="O8484" t="s">
        <v>40437</v>
      </c>
      <c r="Q8484">
        <v>3</v>
      </c>
      <c r="R8484" t="s">
        <v>40445</v>
      </c>
      <c r="S8484" t="s">
        <v>40764</v>
      </c>
      <c r="T8484" t="s">
        <v>42228</v>
      </c>
      <c r="U8484" t="s">
        <v>49747</v>
      </c>
      <c r="V8484" t="s">
        <v>54689</v>
      </c>
      <c r="W8484" t="s">
        <v>39683</v>
      </c>
      <c r="X8484" t="s">
        <v>40446</v>
      </c>
    </row>
    <row r="8485" spans="1:24">
      <c r="A8485">
        <f>HYPERLINK("https://www.philgeps.gov.ph/GEPSNONPILOT/Tender/SplashBidNoticeAbstractUI.aspx?menuIndex=3&amp;refID=7037325&amp;Result=3","7037325")</f>
        <v>0</v>
      </c>
      <c r="B8485" t="s">
        <v>1974</v>
      </c>
      <c r="C8485" t="s">
        <v>11166</v>
      </c>
      <c r="D8485" t="s">
        <v>16260</v>
      </c>
      <c r="E8485" t="s">
        <v>23715</v>
      </c>
      <c r="F8485" t="s">
        <v>28198</v>
      </c>
      <c r="G8485" t="s">
        <v>28205</v>
      </c>
      <c r="H8485" t="s">
        <v>28214</v>
      </c>
      <c r="I8485" t="s">
        <v>3797</v>
      </c>
      <c r="J8485" t="s">
        <v>33642</v>
      </c>
      <c r="K8485" t="s">
        <v>36689</v>
      </c>
      <c r="M8485" t="s">
        <v>39110</v>
      </c>
      <c r="N8485" t="s">
        <v>40436</v>
      </c>
      <c r="O8485" t="s">
        <v>40437</v>
      </c>
      <c r="P8485">
        <v>0</v>
      </c>
      <c r="Q8485">
        <v>0</v>
      </c>
      <c r="R8485" t="s">
        <v>40445</v>
      </c>
      <c r="S8485" t="s">
        <v>40730</v>
      </c>
      <c r="T8485" t="s">
        <v>42138</v>
      </c>
      <c r="U8485" t="s">
        <v>49748</v>
      </c>
      <c r="W8485" t="s">
        <v>39110</v>
      </c>
      <c r="X8485" t="s">
        <v>40446</v>
      </c>
    </row>
    <row r="8486" spans="1:24">
      <c r="A8486">
        <f>HYPERLINK("https://www.philgeps.gov.ph/GEPSNONPILOT/Tender/SplashBidNoticeAbstractUI.aspx?menuIndex=3&amp;refID=7037410&amp;Result=3","7037410")</f>
        <v>0</v>
      </c>
      <c r="B8486" t="s">
        <v>1130</v>
      </c>
      <c r="C8486" t="s">
        <v>11167</v>
      </c>
      <c r="D8486" t="s">
        <v>16246</v>
      </c>
      <c r="E8486" t="s">
        <v>18331</v>
      </c>
      <c r="F8486" t="s">
        <v>28198</v>
      </c>
      <c r="G8486" t="s">
        <v>28205</v>
      </c>
      <c r="H8486" t="s">
        <v>28214</v>
      </c>
      <c r="I8486" t="s">
        <v>3797</v>
      </c>
      <c r="J8486" t="s">
        <v>30526</v>
      </c>
      <c r="K8486" t="s">
        <v>36692</v>
      </c>
      <c r="M8486" t="s">
        <v>38168</v>
      </c>
      <c r="N8486" t="s">
        <v>40436</v>
      </c>
      <c r="O8486" t="s">
        <v>40437</v>
      </c>
      <c r="P8486">
        <v>0</v>
      </c>
      <c r="Q8486">
        <v>0</v>
      </c>
      <c r="R8486" t="s">
        <v>40445</v>
      </c>
      <c r="S8486" t="s">
        <v>40730</v>
      </c>
      <c r="T8486" t="s">
        <v>42165</v>
      </c>
      <c r="U8486" t="s">
        <v>49749</v>
      </c>
      <c r="V8486" t="s">
        <v>53826</v>
      </c>
      <c r="W8486" t="s">
        <v>38168</v>
      </c>
      <c r="X8486" t="s">
        <v>40446</v>
      </c>
    </row>
    <row r="8487" spans="1:24">
      <c r="A8487">
        <f>HYPERLINK("https://www.philgeps.gov.ph/GEPSNONPILOT/Tender/SplashBidNoticeAbstractUI.aspx?menuIndex=3&amp;refID=7037343&amp;Result=3","7037343")</f>
        <v>0</v>
      </c>
      <c r="B8487" t="s">
        <v>1895</v>
      </c>
      <c r="C8487" t="s">
        <v>11168</v>
      </c>
      <c r="D8487" t="s">
        <v>16193</v>
      </c>
      <c r="E8487" t="s">
        <v>18070</v>
      </c>
      <c r="F8487" t="s">
        <v>28198</v>
      </c>
      <c r="G8487" t="s">
        <v>28205</v>
      </c>
      <c r="H8487" t="s">
        <v>28214</v>
      </c>
      <c r="I8487" t="s">
        <v>3797</v>
      </c>
      <c r="J8487" t="s">
        <v>33643</v>
      </c>
      <c r="K8487" t="s">
        <v>36715</v>
      </c>
      <c r="M8487" t="s">
        <v>39027</v>
      </c>
      <c r="N8487" t="s">
        <v>40436</v>
      </c>
      <c r="O8487" t="s">
        <v>40437</v>
      </c>
      <c r="P8487">
        <v>0</v>
      </c>
      <c r="Q8487">
        <v>0</v>
      </c>
      <c r="R8487" t="s">
        <v>40445</v>
      </c>
      <c r="S8487" t="s">
        <v>40730</v>
      </c>
      <c r="T8487" t="s">
        <v>42277</v>
      </c>
      <c r="U8487" t="s">
        <v>49750</v>
      </c>
      <c r="W8487" t="s">
        <v>39027</v>
      </c>
      <c r="X8487" t="s">
        <v>40446</v>
      </c>
    </row>
    <row r="8488" spans="1:24">
      <c r="A8488">
        <f>HYPERLINK("https://www.philgeps.gov.ph/GEPSNONPILOT/Tender/SplashBidNoticeAbstractUI.aspx?menuIndex=3&amp;refID=7037332&amp;Result=3","7037332")</f>
        <v>0</v>
      </c>
      <c r="B8488" t="s">
        <v>1501</v>
      </c>
      <c r="C8488" t="s">
        <v>11149</v>
      </c>
      <c r="D8488" t="s">
        <v>16192</v>
      </c>
      <c r="E8488" t="s">
        <v>23716</v>
      </c>
      <c r="F8488" t="s">
        <v>28198</v>
      </c>
      <c r="G8488" t="s">
        <v>28207</v>
      </c>
      <c r="H8488" t="s">
        <v>28215</v>
      </c>
      <c r="I8488" t="s">
        <v>28247</v>
      </c>
      <c r="J8488" t="s">
        <v>28414</v>
      </c>
      <c r="K8488" t="s">
        <v>36701</v>
      </c>
      <c r="M8488" t="s">
        <v>38576</v>
      </c>
      <c r="N8488" t="s">
        <v>40436</v>
      </c>
      <c r="O8488" t="s">
        <v>40437</v>
      </c>
      <c r="P8488">
        <v>0</v>
      </c>
      <c r="Q8488">
        <v>8</v>
      </c>
      <c r="R8488" t="s">
        <v>40445</v>
      </c>
      <c r="S8488" t="s">
        <v>40730</v>
      </c>
      <c r="T8488" t="s">
        <v>42124</v>
      </c>
      <c r="U8488" t="s">
        <v>49751</v>
      </c>
      <c r="W8488" t="s">
        <v>38576</v>
      </c>
      <c r="X8488" t="s">
        <v>40446</v>
      </c>
    </row>
    <row r="8489" spans="1:24">
      <c r="A8489">
        <f>HYPERLINK("https://www.philgeps.gov.ph/GEPSNONPILOT/Tender/SplashBidNoticeAbstractUI.aspx?menuIndex=3&amp;refID=7037439&amp;Result=3","7037439")</f>
        <v>0</v>
      </c>
      <c r="B8489" t="s">
        <v>1709</v>
      </c>
      <c r="C8489" t="s">
        <v>11169</v>
      </c>
      <c r="D8489" t="s">
        <v>16204</v>
      </c>
      <c r="E8489" t="s">
        <v>23717</v>
      </c>
      <c r="F8489" t="s">
        <v>28198</v>
      </c>
      <c r="G8489" t="s">
        <v>28210</v>
      </c>
      <c r="H8489" t="s">
        <v>28215</v>
      </c>
      <c r="I8489" t="s">
        <v>28248</v>
      </c>
      <c r="J8489" t="s">
        <v>29243</v>
      </c>
      <c r="K8489" t="s">
        <v>36701</v>
      </c>
      <c r="M8489" t="s">
        <v>38814</v>
      </c>
      <c r="N8489" t="s">
        <v>40436</v>
      </c>
      <c r="O8489" t="s">
        <v>40437</v>
      </c>
      <c r="P8489">
        <v>0</v>
      </c>
      <c r="Q8489">
        <v>10</v>
      </c>
      <c r="R8489" t="s">
        <v>40445</v>
      </c>
      <c r="S8489" t="s">
        <v>40730</v>
      </c>
      <c r="T8489" t="s">
        <v>42185</v>
      </c>
      <c r="U8489" t="s">
        <v>49752</v>
      </c>
      <c r="V8489" t="s">
        <v>54690</v>
      </c>
      <c r="W8489" t="s">
        <v>38814</v>
      </c>
      <c r="X8489" t="s">
        <v>40446</v>
      </c>
    </row>
    <row r="8490" spans="1:24">
      <c r="A8490">
        <f>HYPERLINK("https://www.philgeps.gov.ph/GEPSNONPILOT/Tender/SplashBidNoticeAbstractUI.aspx?menuIndex=3&amp;refID=7037407&amp;Result=3","7037407")</f>
        <v>0</v>
      </c>
      <c r="B8490" t="s">
        <v>2485</v>
      </c>
      <c r="C8490" t="s">
        <v>11170</v>
      </c>
      <c r="D8490" t="s">
        <v>16219</v>
      </c>
      <c r="E8490" t="s">
        <v>23718</v>
      </c>
      <c r="F8490" t="s">
        <v>28198</v>
      </c>
      <c r="G8490" t="s">
        <v>28205</v>
      </c>
      <c r="H8490" t="s">
        <v>28215</v>
      </c>
      <c r="I8490" t="s">
        <v>6786</v>
      </c>
      <c r="J8490" t="s">
        <v>33644</v>
      </c>
      <c r="K8490" t="s">
        <v>36689</v>
      </c>
      <c r="M8490" t="s">
        <v>39684</v>
      </c>
      <c r="N8490" t="s">
        <v>40436</v>
      </c>
      <c r="O8490" t="s">
        <v>40437</v>
      </c>
      <c r="Q8490">
        <v>3</v>
      </c>
      <c r="R8490" t="s">
        <v>40445</v>
      </c>
      <c r="S8490" t="s">
        <v>40765</v>
      </c>
      <c r="T8490" t="s">
        <v>42346</v>
      </c>
      <c r="U8490" t="s">
        <v>49753</v>
      </c>
      <c r="W8490" t="s">
        <v>39684</v>
      </c>
      <c r="X8490" t="s">
        <v>40446</v>
      </c>
    </row>
    <row r="8491" spans="1:24">
      <c r="A8491">
        <f>HYPERLINK("https://www.philgeps.gov.ph/GEPSNONPILOT/Tender/SplashBidNoticeAbstractUI.aspx?menuIndex=3&amp;refID=7037415&amp;Result=3","7037415")</f>
        <v>0</v>
      </c>
      <c r="B8491" t="s">
        <v>2256</v>
      </c>
      <c r="C8491" t="s">
        <v>11171</v>
      </c>
      <c r="D8491" t="s">
        <v>16209</v>
      </c>
      <c r="E8491" t="s">
        <v>23719</v>
      </c>
      <c r="F8491" t="s">
        <v>28198</v>
      </c>
      <c r="G8491" t="s">
        <v>28205</v>
      </c>
      <c r="H8491" t="s">
        <v>28215</v>
      </c>
      <c r="I8491" t="s">
        <v>28225</v>
      </c>
      <c r="J8491" t="s">
        <v>29320</v>
      </c>
      <c r="K8491" t="s">
        <v>36707</v>
      </c>
      <c r="M8491" t="s">
        <v>39426</v>
      </c>
      <c r="N8491" t="s">
        <v>40436</v>
      </c>
      <c r="O8491" t="s">
        <v>40437</v>
      </c>
      <c r="P8491">
        <v>0</v>
      </c>
      <c r="Q8491">
        <v>1</v>
      </c>
      <c r="R8491" t="s">
        <v>40445</v>
      </c>
      <c r="S8491" t="s">
        <v>40730</v>
      </c>
      <c r="T8491" t="s">
        <v>42184</v>
      </c>
      <c r="U8491" t="s">
        <v>49754</v>
      </c>
      <c r="W8491" t="s">
        <v>39426</v>
      </c>
      <c r="X8491" t="s">
        <v>40446</v>
      </c>
    </row>
    <row r="8492" spans="1:24">
      <c r="A8492">
        <f>HYPERLINK("https://www.philgeps.gov.ph/GEPSNONPILOT/Tender/SplashBidNoticeAbstractUI.aspx?menuIndex=3&amp;refID=7037436&amp;Result=3","7037436")</f>
        <v>0</v>
      </c>
      <c r="B8492" t="s">
        <v>2256</v>
      </c>
      <c r="C8492" t="s">
        <v>11172</v>
      </c>
      <c r="D8492" t="s">
        <v>16209</v>
      </c>
      <c r="E8492" t="s">
        <v>23720</v>
      </c>
      <c r="F8492" t="s">
        <v>28198</v>
      </c>
      <c r="G8492" t="s">
        <v>28205</v>
      </c>
      <c r="H8492" t="s">
        <v>28215</v>
      </c>
      <c r="I8492" t="s">
        <v>28225</v>
      </c>
      <c r="J8492" t="s">
        <v>29329</v>
      </c>
      <c r="K8492" t="s">
        <v>36707</v>
      </c>
      <c r="M8492" t="s">
        <v>39426</v>
      </c>
      <c r="N8492" t="s">
        <v>40436</v>
      </c>
      <c r="O8492" t="s">
        <v>40437</v>
      </c>
      <c r="P8492">
        <v>0</v>
      </c>
      <c r="Q8492">
        <v>4</v>
      </c>
      <c r="R8492" t="s">
        <v>40445</v>
      </c>
      <c r="S8492" t="s">
        <v>40730</v>
      </c>
      <c r="T8492" t="s">
        <v>42184</v>
      </c>
      <c r="U8492" t="s">
        <v>49755</v>
      </c>
      <c r="W8492" t="s">
        <v>39426</v>
      </c>
      <c r="X8492" t="s">
        <v>40446</v>
      </c>
    </row>
    <row r="8493" spans="1:24">
      <c r="A8493">
        <f>HYPERLINK("https://www.philgeps.gov.ph/GEPSNONPILOT/Tender/SplashBidNoticeAbstractUI.aspx?menuIndex=3&amp;refID=7037408&amp;Result=3","7037408")</f>
        <v>0</v>
      </c>
      <c r="B8493" t="s">
        <v>2459</v>
      </c>
      <c r="C8493" t="s">
        <v>11173</v>
      </c>
      <c r="D8493" t="s">
        <v>16203</v>
      </c>
      <c r="E8493" t="s">
        <v>23721</v>
      </c>
      <c r="F8493" t="s">
        <v>28198</v>
      </c>
      <c r="G8493" t="s">
        <v>28205</v>
      </c>
      <c r="H8493" t="s">
        <v>28214</v>
      </c>
      <c r="I8493" t="s">
        <v>3797</v>
      </c>
      <c r="J8493" t="s">
        <v>33645</v>
      </c>
      <c r="K8493" t="s">
        <v>36737</v>
      </c>
      <c r="M8493" t="s">
        <v>39652</v>
      </c>
      <c r="N8493" t="s">
        <v>40436</v>
      </c>
      <c r="O8493" t="s">
        <v>40437</v>
      </c>
      <c r="P8493">
        <v>0</v>
      </c>
      <c r="Q8493">
        <v>21</v>
      </c>
      <c r="R8493" t="s">
        <v>40445</v>
      </c>
      <c r="S8493" t="s">
        <v>40730</v>
      </c>
      <c r="T8493" t="s">
        <v>42346</v>
      </c>
      <c r="U8493" t="s">
        <v>49756</v>
      </c>
      <c r="W8493" t="s">
        <v>39652</v>
      </c>
      <c r="X8493" t="s">
        <v>40446</v>
      </c>
    </row>
    <row r="8494" spans="1:24">
      <c r="A8494">
        <f>HYPERLINK("https://www.philgeps.gov.ph/GEPSNONPILOT/Tender/SplashBidNoticeAbstractUI.aspx?menuIndex=3&amp;refID=7037434&amp;Result=3","7037434")</f>
        <v>0</v>
      </c>
      <c r="B8494" t="s">
        <v>2486</v>
      </c>
      <c r="C8494" t="s">
        <v>11174</v>
      </c>
      <c r="D8494" t="s">
        <v>16193</v>
      </c>
      <c r="E8494" t="s">
        <v>18873</v>
      </c>
      <c r="F8494" t="s">
        <v>28198</v>
      </c>
      <c r="G8494" t="s">
        <v>28205</v>
      </c>
      <c r="H8494" t="s">
        <v>28215</v>
      </c>
      <c r="I8494" t="s">
        <v>28225</v>
      </c>
      <c r="J8494" t="s">
        <v>33646</v>
      </c>
      <c r="K8494" t="s">
        <v>36689</v>
      </c>
      <c r="M8494" t="s">
        <v>39685</v>
      </c>
      <c r="N8494" t="s">
        <v>40436</v>
      </c>
      <c r="O8494" t="s">
        <v>40437</v>
      </c>
      <c r="P8494">
        <v>0</v>
      </c>
      <c r="Q8494">
        <v>7</v>
      </c>
      <c r="R8494" t="s">
        <v>40445</v>
      </c>
      <c r="S8494" t="s">
        <v>40730</v>
      </c>
      <c r="T8494" t="s">
        <v>42184</v>
      </c>
      <c r="U8494" t="s">
        <v>49757</v>
      </c>
      <c r="W8494" t="s">
        <v>39685</v>
      </c>
      <c r="X8494" t="s">
        <v>40446</v>
      </c>
    </row>
    <row r="8495" spans="1:24">
      <c r="A8495">
        <f>HYPERLINK("https://www.philgeps.gov.ph/GEPSNONPILOT/Tender/SplashBidNoticeAbstractUI.aspx?menuIndex=3&amp;refID=7037432&amp;Result=3","7037432")</f>
        <v>0</v>
      </c>
      <c r="B8495" t="s">
        <v>1675</v>
      </c>
      <c r="C8495" t="s">
        <v>11175</v>
      </c>
      <c r="D8495" t="s">
        <v>16197</v>
      </c>
      <c r="E8495" t="s">
        <v>23722</v>
      </c>
      <c r="F8495" t="s">
        <v>28198</v>
      </c>
      <c r="G8495" t="s">
        <v>28205</v>
      </c>
      <c r="H8495" t="s">
        <v>28215</v>
      </c>
      <c r="I8495" t="s">
        <v>4168</v>
      </c>
      <c r="J8495" t="s">
        <v>33647</v>
      </c>
      <c r="K8495" t="s">
        <v>36689</v>
      </c>
      <c r="M8495" t="s">
        <v>38771</v>
      </c>
      <c r="N8495" t="s">
        <v>40436</v>
      </c>
      <c r="O8495" t="s">
        <v>40437</v>
      </c>
      <c r="P8495">
        <v>0</v>
      </c>
      <c r="Q8495">
        <v>9</v>
      </c>
      <c r="R8495" t="s">
        <v>40445</v>
      </c>
      <c r="S8495" t="s">
        <v>40730</v>
      </c>
      <c r="T8495" t="s">
        <v>42399</v>
      </c>
      <c r="U8495" t="s">
        <v>49758</v>
      </c>
      <c r="W8495" t="s">
        <v>38771</v>
      </c>
      <c r="X8495" t="s">
        <v>40446</v>
      </c>
    </row>
    <row r="8496" spans="1:24">
      <c r="A8496">
        <f>HYPERLINK("https://www.philgeps.gov.ph/GEPSNONPILOT/Tender/SplashBidNoticeAbstractUI.aspx?menuIndex=3&amp;refID=7037442&amp;Result=3","7037442")</f>
        <v>0</v>
      </c>
      <c r="B8496" t="s">
        <v>636</v>
      </c>
      <c r="C8496" t="s">
        <v>11176</v>
      </c>
      <c r="D8496" t="s">
        <v>16223</v>
      </c>
      <c r="E8496" t="s">
        <v>23723</v>
      </c>
      <c r="F8496" t="s">
        <v>28198</v>
      </c>
      <c r="G8496" t="s">
        <v>28207</v>
      </c>
      <c r="H8496" t="s">
        <v>28215</v>
      </c>
      <c r="I8496" t="s">
        <v>28225</v>
      </c>
      <c r="J8496" t="s">
        <v>33648</v>
      </c>
      <c r="K8496" t="s">
        <v>36701</v>
      </c>
      <c r="M8496" t="s">
        <v>37629</v>
      </c>
      <c r="N8496" t="s">
        <v>40436</v>
      </c>
      <c r="O8496" t="s">
        <v>40437</v>
      </c>
      <c r="P8496">
        <v>0</v>
      </c>
      <c r="Q8496">
        <v>1</v>
      </c>
      <c r="R8496" t="s">
        <v>40445</v>
      </c>
      <c r="S8496" t="s">
        <v>40730</v>
      </c>
      <c r="T8496" t="s">
        <v>42233</v>
      </c>
      <c r="U8496" t="s">
        <v>49759</v>
      </c>
      <c r="W8496" t="s">
        <v>37629</v>
      </c>
      <c r="X8496" t="s">
        <v>40446</v>
      </c>
    </row>
    <row r="8497" spans="1:24">
      <c r="A8497">
        <f>HYPERLINK("https://www.philgeps.gov.ph/GEPSNONPILOT/Tender/SplashBidNoticeAbstractUI.aspx?menuIndex=3&amp;refID=7037396&amp;Result=3","7037396")</f>
        <v>0</v>
      </c>
      <c r="B8497" t="s">
        <v>2482</v>
      </c>
      <c r="C8497" t="s">
        <v>11177</v>
      </c>
      <c r="D8497" t="s">
        <v>16251</v>
      </c>
      <c r="E8497" t="s">
        <v>17244</v>
      </c>
      <c r="F8497" t="s">
        <v>28198</v>
      </c>
      <c r="G8497" t="s">
        <v>28205</v>
      </c>
      <c r="H8497" t="s">
        <v>28214</v>
      </c>
      <c r="I8497" t="s">
        <v>3797</v>
      </c>
      <c r="J8497" t="s">
        <v>31576</v>
      </c>
      <c r="K8497" t="s">
        <v>36687</v>
      </c>
      <c r="M8497" t="s">
        <v>39681</v>
      </c>
      <c r="N8497" t="s">
        <v>40436</v>
      </c>
      <c r="O8497" t="s">
        <v>40437</v>
      </c>
      <c r="P8497">
        <v>0</v>
      </c>
      <c r="Q8497">
        <v>0</v>
      </c>
      <c r="R8497" t="s">
        <v>40445</v>
      </c>
      <c r="S8497" t="s">
        <v>40730</v>
      </c>
      <c r="T8497" t="s">
        <v>42168</v>
      </c>
      <c r="U8497" t="s">
        <v>49760</v>
      </c>
      <c r="W8497" t="s">
        <v>39681</v>
      </c>
      <c r="X8497" t="s">
        <v>40446</v>
      </c>
    </row>
    <row r="8498" spans="1:24">
      <c r="A8498">
        <f>HYPERLINK("https://www.philgeps.gov.ph/GEPSNONPILOT/Tender/SplashBidNoticeAbstractUI.aspx?menuIndex=3&amp;refID=7037383&amp;Result=3","7037383")</f>
        <v>0</v>
      </c>
      <c r="B8498" t="s">
        <v>2440</v>
      </c>
      <c r="C8498" t="s">
        <v>11178</v>
      </c>
      <c r="D8498" t="s">
        <v>16230</v>
      </c>
      <c r="E8498" t="s">
        <v>23724</v>
      </c>
      <c r="F8498" t="s">
        <v>28198</v>
      </c>
      <c r="G8498" t="s">
        <v>28205</v>
      </c>
      <c r="H8498" t="s">
        <v>28214</v>
      </c>
      <c r="I8498" t="s">
        <v>3797</v>
      </c>
      <c r="J8498" t="s">
        <v>33649</v>
      </c>
      <c r="K8498" t="s">
        <v>36764</v>
      </c>
      <c r="M8498" t="s">
        <v>39630</v>
      </c>
      <c r="N8498" t="s">
        <v>40436</v>
      </c>
      <c r="O8498" t="s">
        <v>40437</v>
      </c>
      <c r="P8498">
        <v>0</v>
      </c>
      <c r="Q8498">
        <v>0</v>
      </c>
      <c r="R8498" t="s">
        <v>40445</v>
      </c>
      <c r="S8498" t="s">
        <v>40730</v>
      </c>
      <c r="T8498" t="s">
        <v>42522</v>
      </c>
      <c r="U8498" t="s">
        <v>49761</v>
      </c>
      <c r="W8498" t="s">
        <v>39630</v>
      </c>
      <c r="X8498" t="s">
        <v>40446</v>
      </c>
    </row>
    <row r="8499" spans="1:24">
      <c r="A8499">
        <f>HYPERLINK("https://www.philgeps.gov.ph/GEPSNONPILOT/Tender/SplashBidNoticeAbstractUI.aspx?menuIndex=3&amp;refID=7037405&amp;Result=3","7037405")</f>
        <v>0</v>
      </c>
      <c r="B8499" t="s">
        <v>526</v>
      </c>
      <c r="C8499" t="s">
        <v>11179</v>
      </c>
      <c r="D8499" t="s">
        <v>16210</v>
      </c>
      <c r="E8499" t="s">
        <v>23725</v>
      </c>
      <c r="F8499" t="s">
        <v>28198</v>
      </c>
      <c r="G8499" t="s">
        <v>28205</v>
      </c>
      <c r="H8499" t="s">
        <v>28215</v>
      </c>
      <c r="I8499" t="s">
        <v>5100</v>
      </c>
      <c r="J8499" t="s">
        <v>28593</v>
      </c>
      <c r="K8499" t="s">
        <v>36693</v>
      </c>
      <c r="M8499" t="s">
        <v>37511</v>
      </c>
      <c r="N8499" t="s">
        <v>40436</v>
      </c>
      <c r="O8499" t="s">
        <v>40437</v>
      </c>
      <c r="P8499">
        <v>0</v>
      </c>
      <c r="Q8499">
        <v>0</v>
      </c>
      <c r="R8499" t="s">
        <v>40445</v>
      </c>
      <c r="S8499" t="s">
        <v>40730</v>
      </c>
      <c r="T8499" t="s">
        <v>42158</v>
      </c>
      <c r="U8499" t="s">
        <v>49762</v>
      </c>
      <c r="W8499" t="s">
        <v>37511</v>
      </c>
      <c r="X8499" t="s">
        <v>40446</v>
      </c>
    </row>
    <row r="8500" spans="1:24">
      <c r="A8500">
        <f>HYPERLINK("https://www.philgeps.gov.ph/GEPSNONPILOT/Tender/SplashBidNoticeAbstractUI.aspx?menuIndex=3&amp;refID=7037403&amp;Result=3","7037403")</f>
        <v>0</v>
      </c>
      <c r="B8500" t="s">
        <v>1698</v>
      </c>
      <c r="C8500" t="s">
        <v>11180</v>
      </c>
      <c r="D8500" t="s">
        <v>16233</v>
      </c>
      <c r="E8500" t="s">
        <v>18560</v>
      </c>
      <c r="F8500" t="s">
        <v>28198</v>
      </c>
      <c r="G8500" t="s">
        <v>28207</v>
      </c>
      <c r="H8500" t="s">
        <v>28215</v>
      </c>
      <c r="I8500" t="s">
        <v>4168</v>
      </c>
      <c r="J8500" t="s">
        <v>33650</v>
      </c>
      <c r="K8500" t="s">
        <v>36688</v>
      </c>
      <c r="L8500" t="s">
        <v>1698</v>
      </c>
      <c r="M8500" t="s">
        <v>38799</v>
      </c>
      <c r="N8500" t="s">
        <v>40436</v>
      </c>
      <c r="O8500" t="s">
        <v>40437</v>
      </c>
      <c r="P8500">
        <v>0</v>
      </c>
      <c r="Q8500">
        <v>0</v>
      </c>
      <c r="R8500" t="s">
        <v>40445</v>
      </c>
      <c r="S8500" t="s">
        <v>40730</v>
      </c>
      <c r="T8500" t="s">
        <v>42218</v>
      </c>
      <c r="U8500" t="s">
        <v>49763</v>
      </c>
      <c r="V8500" t="s">
        <v>54270</v>
      </c>
      <c r="W8500" t="s">
        <v>38799</v>
      </c>
      <c r="X8500" t="s">
        <v>40446</v>
      </c>
    </row>
    <row r="8501" spans="1:24">
      <c r="A8501">
        <f>HYPERLINK("https://www.philgeps.gov.ph/GEPSNONPILOT/Tender/SplashBidNoticeAbstractUI.aspx?menuIndex=3&amp;refID=7037399&amp;Result=3","7037399")</f>
        <v>0</v>
      </c>
      <c r="B8501" t="s">
        <v>2432</v>
      </c>
      <c r="C8501" t="s">
        <v>11181</v>
      </c>
      <c r="D8501" t="s">
        <v>16211</v>
      </c>
      <c r="E8501" t="s">
        <v>23726</v>
      </c>
      <c r="F8501" t="s">
        <v>28198</v>
      </c>
      <c r="G8501" t="s">
        <v>28205</v>
      </c>
      <c r="H8501" t="s">
        <v>28214</v>
      </c>
      <c r="I8501" t="s">
        <v>3797</v>
      </c>
      <c r="J8501" t="s">
        <v>29369</v>
      </c>
      <c r="K8501" t="s">
        <v>36715</v>
      </c>
      <c r="M8501" t="s">
        <v>39620</v>
      </c>
      <c r="N8501" t="s">
        <v>40436</v>
      </c>
      <c r="O8501" t="s">
        <v>40437</v>
      </c>
      <c r="P8501">
        <v>0</v>
      </c>
      <c r="Q8501">
        <v>0</v>
      </c>
      <c r="R8501" t="s">
        <v>40445</v>
      </c>
      <c r="S8501" t="s">
        <v>40730</v>
      </c>
      <c r="T8501" t="s">
        <v>42426</v>
      </c>
      <c r="U8501" t="s">
        <v>49764</v>
      </c>
      <c r="W8501" t="s">
        <v>39620</v>
      </c>
      <c r="X8501" t="s">
        <v>40446</v>
      </c>
    </row>
    <row r="8502" spans="1:24">
      <c r="A8502">
        <f>HYPERLINK("https://www.philgeps.gov.ph/GEPSNONPILOT/Tender/SplashBidNoticeAbstractUI.aspx?menuIndex=3&amp;refID=7037423&amp;Result=3","7037423")</f>
        <v>0</v>
      </c>
      <c r="B8502" t="s">
        <v>1895</v>
      </c>
      <c r="C8502" t="s">
        <v>11182</v>
      </c>
      <c r="D8502" t="s">
        <v>16193</v>
      </c>
      <c r="E8502" t="s">
        <v>17935</v>
      </c>
      <c r="F8502" t="s">
        <v>28198</v>
      </c>
      <c r="G8502" t="s">
        <v>28205</v>
      </c>
      <c r="H8502" t="s">
        <v>28214</v>
      </c>
      <c r="I8502" t="s">
        <v>3797</v>
      </c>
      <c r="J8502" t="s">
        <v>33651</v>
      </c>
      <c r="K8502" t="s">
        <v>36793</v>
      </c>
      <c r="M8502" t="s">
        <v>39027</v>
      </c>
      <c r="N8502" t="s">
        <v>40436</v>
      </c>
      <c r="O8502" t="s">
        <v>40437</v>
      </c>
      <c r="P8502">
        <v>0</v>
      </c>
      <c r="Q8502">
        <v>0</v>
      </c>
      <c r="R8502" t="s">
        <v>40445</v>
      </c>
      <c r="S8502" t="s">
        <v>40730</v>
      </c>
      <c r="T8502" t="s">
        <v>42278</v>
      </c>
      <c r="U8502" t="s">
        <v>49765</v>
      </c>
      <c r="W8502" t="s">
        <v>39027</v>
      </c>
      <c r="X8502" t="s">
        <v>40446</v>
      </c>
    </row>
    <row r="8503" spans="1:24">
      <c r="A8503">
        <f>HYPERLINK("https://www.philgeps.gov.ph/GEPSNONPILOT/Tender/SplashBidNoticeAbstractUI.aspx?menuIndex=3&amp;refID=7037380&amp;Result=3","7037380")</f>
        <v>0</v>
      </c>
      <c r="B8503" t="s">
        <v>2432</v>
      </c>
      <c r="C8503" t="s">
        <v>11183</v>
      </c>
      <c r="D8503" t="s">
        <v>16211</v>
      </c>
      <c r="E8503" t="s">
        <v>23727</v>
      </c>
      <c r="F8503" t="s">
        <v>28198</v>
      </c>
      <c r="G8503" t="s">
        <v>28205</v>
      </c>
      <c r="H8503" t="s">
        <v>28214</v>
      </c>
      <c r="I8503" t="s">
        <v>3797</v>
      </c>
      <c r="J8503" t="s">
        <v>33652</v>
      </c>
      <c r="K8503" t="s">
        <v>36708</v>
      </c>
      <c r="M8503" t="s">
        <v>39620</v>
      </c>
      <c r="N8503" t="s">
        <v>40436</v>
      </c>
      <c r="O8503" t="s">
        <v>40437</v>
      </c>
      <c r="P8503">
        <v>0</v>
      </c>
      <c r="Q8503">
        <v>0</v>
      </c>
      <c r="R8503" t="s">
        <v>40445</v>
      </c>
      <c r="S8503" t="s">
        <v>40730</v>
      </c>
      <c r="T8503" t="s">
        <v>42426</v>
      </c>
      <c r="U8503" t="s">
        <v>49766</v>
      </c>
      <c r="W8503" t="s">
        <v>39620</v>
      </c>
      <c r="X8503" t="s">
        <v>40446</v>
      </c>
    </row>
    <row r="8504" spans="1:24">
      <c r="A8504">
        <f>HYPERLINK("https://www.philgeps.gov.ph/GEPSNONPILOT/Tender/SplashBidNoticeAbstractUI.aspx?menuIndex=3&amp;refID=7037445&amp;Result=3","7037445")</f>
        <v>0</v>
      </c>
      <c r="B8504" t="s">
        <v>1727</v>
      </c>
      <c r="C8504" t="s">
        <v>11184</v>
      </c>
      <c r="D8504" t="s">
        <v>16203</v>
      </c>
      <c r="E8504" t="s">
        <v>23728</v>
      </c>
      <c r="F8504" t="s">
        <v>28198</v>
      </c>
      <c r="G8504" t="s">
        <v>28205</v>
      </c>
      <c r="H8504" t="s">
        <v>28214</v>
      </c>
      <c r="I8504" t="s">
        <v>3797</v>
      </c>
      <c r="J8504" t="s">
        <v>33653</v>
      </c>
      <c r="K8504" t="s">
        <v>36733</v>
      </c>
      <c r="M8504" t="s">
        <v>38836</v>
      </c>
      <c r="N8504" t="s">
        <v>40436</v>
      </c>
      <c r="O8504" t="s">
        <v>40437</v>
      </c>
      <c r="P8504">
        <v>0</v>
      </c>
      <c r="Q8504">
        <v>2</v>
      </c>
      <c r="R8504" t="s">
        <v>40445</v>
      </c>
      <c r="S8504" t="s">
        <v>40730</v>
      </c>
      <c r="T8504" t="s">
        <v>42346</v>
      </c>
      <c r="U8504" t="s">
        <v>49767</v>
      </c>
      <c r="W8504" t="s">
        <v>38836</v>
      </c>
      <c r="X8504" t="s">
        <v>40446</v>
      </c>
    </row>
    <row r="8505" spans="1:24">
      <c r="A8505">
        <f>HYPERLINK("https://www.philgeps.gov.ph/GEPSNONPILOT/Tender/SplashBidNoticeAbstractUI.aspx?menuIndex=3&amp;refID=7037379&amp;Result=3","7037379")</f>
        <v>0</v>
      </c>
      <c r="B8505" t="s">
        <v>2038</v>
      </c>
      <c r="C8505" t="s">
        <v>11185</v>
      </c>
      <c r="D8505" t="s">
        <v>16274</v>
      </c>
      <c r="E8505" t="s">
        <v>23729</v>
      </c>
      <c r="F8505" t="s">
        <v>28198</v>
      </c>
      <c r="G8505" t="s">
        <v>28205</v>
      </c>
      <c r="H8505" t="s">
        <v>28214</v>
      </c>
      <c r="I8505" t="s">
        <v>3797</v>
      </c>
      <c r="J8505" t="s">
        <v>33654</v>
      </c>
      <c r="K8505" t="s">
        <v>36812</v>
      </c>
      <c r="M8505" t="s">
        <v>39181</v>
      </c>
      <c r="N8505" t="s">
        <v>40436</v>
      </c>
      <c r="O8505" t="s">
        <v>40437</v>
      </c>
      <c r="P8505">
        <v>0</v>
      </c>
      <c r="Q8505">
        <v>0</v>
      </c>
      <c r="R8505" t="s">
        <v>40445</v>
      </c>
      <c r="S8505" t="s">
        <v>40730</v>
      </c>
      <c r="T8505" t="s">
        <v>42279</v>
      </c>
      <c r="U8505" t="s">
        <v>49768</v>
      </c>
      <c r="V8505" t="s">
        <v>54691</v>
      </c>
      <c r="W8505" t="s">
        <v>39181</v>
      </c>
      <c r="X8505" t="s">
        <v>40446</v>
      </c>
    </row>
    <row r="8506" spans="1:24">
      <c r="A8506">
        <f>HYPERLINK("https://www.philgeps.gov.ph/GEPSNONPILOT/Tender/SplashBidNoticeAbstractUI.aspx?menuIndex=3&amp;refID=7037472&amp;Result=3","7037472")</f>
        <v>0</v>
      </c>
      <c r="B8506" t="s">
        <v>2459</v>
      </c>
      <c r="C8506" t="s">
        <v>11186</v>
      </c>
      <c r="D8506" t="s">
        <v>16203</v>
      </c>
      <c r="E8506" t="s">
        <v>23730</v>
      </c>
      <c r="F8506" t="s">
        <v>28198</v>
      </c>
      <c r="G8506" t="s">
        <v>28205</v>
      </c>
      <c r="H8506" t="s">
        <v>28214</v>
      </c>
      <c r="I8506" t="s">
        <v>3797</v>
      </c>
      <c r="J8506" t="s">
        <v>33655</v>
      </c>
      <c r="K8506" t="s">
        <v>36692</v>
      </c>
      <c r="M8506" t="s">
        <v>39652</v>
      </c>
      <c r="N8506" t="s">
        <v>40436</v>
      </c>
      <c r="O8506" t="s">
        <v>40437</v>
      </c>
      <c r="P8506">
        <v>0</v>
      </c>
      <c r="Q8506">
        <v>22</v>
      </c>
      <c r="R8506" t="s">
        <v>40445</v>
      </c>
      <c r="S8506" t="s">
        <v>40730</v>
      </c>
      <c r="T8506" t="s">
        <v>42346</v>
      </c>
      <c r="U8506" t="s">
        <v>49769</v>
      </c>
      <c r="W8506" t="s">
        <v>39652</v>
      </c>
      <c r="X8506" t="s">
        <v>40446</v>
      </c>
    </row>
    <row r="8507" spans="1:24">
      <c r="A8507">
        <f>HYPERLINK("https://www.philgeps.gov.ph/GEPSNONPILOT/Tender/SplashBidNoticeAbstractUI.aspx?menuIndex=3&amp;refID=7037530&amp;Result=3","7037530")</f>
        <v>0</v>
      </c>
      <c r="B8507" t="s">
        <v>2487</v>
      </c>
      <c r="C8507" t="s">
        <v>11187</v>
      </c>
      <c r="D8507" t="s">
        <v>16235</v>
      </c>
      <c r="E8507" t="s">
        <v>23470</v>
      </c>
      <c r="F8507" t="s">
        <v>28198</v>
      </c>
      <c r="G8507" t="s">
        <v>28205</v>
      </c>
      <c r="H8507" t="s">
        <v>28214</v>
      </c>
      <c r="I8507" t="s">
        <v>3797</v>
      </c>
      <c r="J8507" t="s">
        <v>33656</v>
      </c>
      <c r="K8507" t="s">
        <v>36697</v>
      </c>
      <c r="M8507" t="s">
        <v>39686</v>
      </c>
      <c r="N8507" t="s">
        <v>40436</v>
      </c>
      <c r="O8507" t="s">
        <v>40437</v>
      </c>
      <c r="P8507">
        <v>0</v>
      </c>
      <c r="Q8507">
        <v>0</v>
      </c>
      <c r="R8507" t="s">
        <v>40445</v>
      </c>
      <c r="S8507" t="s">
        <v>40730</v>
      </c>
      <c r="T8507" t="s">
        <v>42138</v>
      </c>
      <c r="U8507" t="s">
        <v>49770</v>
      </c>
      <c r="W8507" t="s">
        <v>39686</v>
      </c>
      <c r="X8507" t="s">
        <v>40446</v>
      </c>
    </row>
    <row r="8508" spans="1:24">
      <c r="A8508">
        <f>HYPERLINK("https://www.philgeps.gov.ph/GEPSNONPILOT/Tender/SplashBidNoticeAbstractUI.aspx?menuIndex=3&amp;refID=7037469&amp;Result=3","7037469")</f>
        <v>0</v>
      </c>
      <c r="B8508" t="s">
        <v>2486</v>
      </c>
      <c r="C8508" t="s">
        <v>11188</v>
      </c>
      <c r="D8508" t="s">
        <v>16193</v>
      </c>
      <c r="E8508" t="s">
        <v>23731</v>
      </c>
      <c r="F8508" t="s">
        <v>28198</v>
      </c>
      <c r="G8508" t="s">
        <v>28205</v>
      </c>
      <c r="H8508" t="s">
        <v>28215</v>
      </c>
      <c r="I8508" t="s">
        <v>28222</v>
      </c>
      <c r="J8508" t="s">
        <v>28347</v>
      </c>
      <c r="K8508" t="s">
        <v>36689</v>
      </c>
      <c r="M8508" t="s">
        <v>39685</v>
      </c>
      <c r="N8508" t="s">
        <v>40436</v>
      </c>
      <c r="O8508" t="s">
        <v>40437</v>
      </c>
      <c r="P8508">
        <v>0</v>
      </c>
      <c r="Q8508">
        <v>11</v>
      </c>
      <c r="R8508" t="s">
        <v>40445</v>
      </c>
      <c r="S8508" t="s">
        <v>40730</v>
      </c>
      <c r="T8508" t="s">
        <v>42168</v>
      </c>
      <c r="U8508" t="s">
        <v>49757</v>
      </c>
      <c r="W8508" t="s">
        <v>39685</v>
      </c>
      <c r="X8508" t="s">
        <v>40446</v>
      </c>
    </row>
    <row r="8509" spans="1:24">
      <c r="A8509">
        <f>HYPERLINK("https://www.philgeps.gov.ph/GEPSNONPILOT/Tender/SplashBidNoticeAbstractUI.aspx?menuIndex=3&amp;refID=7037518&amp;Result=3","7037518")</f>
        <v>0</v>
      </c>
      <c r="B8509" t="s">
        <v>2486</v>
      </c>
      <c r="C8509" t="s">
        <v>11189</v>
      </c>
      <c r="D8509" t="s">
        <v>16193</v>
      </c>
      <c r="E8509" t="s">
        <v>23732</v>
      </c>
      <c r="F8509" t="s">
        <v>28198</v>
      </c>
      <c r="G8509" t="s">
        <v>28205</v>
      </c>
      <c r="H8509" t="s">
        <v>28215</v>
      </c>
      <c r="I8509" t="s">
        <v>28222</v>
      </c>
      <c r="J8509" t="s">
        <v>28379</v>
      </c>
      <c r="K8509" t="s">
        <v>36689</v>
      </c>
      <c r="M8509" t="s">
        <v>39685</v>
      </c>
      <c r="N8509" t="s">
        <v>40436</v>
      </c>
      <c r="O8509" t="s">
        <v>40437</v>
      </c>
      <c r="P8509">
        <v>0</v>
      </c>
      <c r="Q8509">
        <v>2</v>
      </c>
      <c r="R8509" t="s">
        <v>40445</v>
      </c>
      <c r="S8509" t="s">
        <v>40730</v>
      </c>
      <c r="T8509" t="s">
        <v>42399</v>
      </c>
      <c r="U8509" t="s">
        <v>49757</v>
      </c>
      <c r="W8509" t="s">
        <v>39685</v>
      </c>
      <c r="X8509" t="s">
        <v>40446</v>
      </c>
    </row>
    <row r="8510" spans="1:24">
      <c r="A8510">
        <f>HYPERLINK("https://www.philgeps.gov.ph/GEPSNONPILOT/Tender/SplashBidNoticeAbstractUI.aspx?menuIndex=3&amp;refID=7037513&amp;Result=3","7037513")</f>
        <v>0</v>
      </c>
      <c r="B8510" t="s">
        <v>2488</v>
      </c>
      <c r="C8510" t="s">
        <v>11190</v>
      </c>
      <c r="E8510" t="s">
        <v>23733</v>
      </c>
      <c r="F8510" t="s">
        <v>28198</v>
      </c>
      <c r="G8510" t="s">
        <v>28213</v>
      </c>
      <c r="H8510" t="s">
        <v>28214</v>
      </c>
      <c r="I8510" t="s">
        <v>3797</v>
      </c>
      <c r="J8510" t="s">
        <v>33657</v>
      </c>
      <c r="K8510" t="s">
        <v>36689</v>
      </c>
      <c r="M8510" t="s">
        <v>39687</v>
      </c>
      <c r="N8510" t="s">
        <v>40436</v>
      </c>
      <c r="O8510" t="s">
        <v>40437</v>
      </c>
      <c r="P8510">
        <v>0</v>
      </c>
      <c r="Q8510">
        <v>3</v>
      </c>
      <c r="R8510" t="s">
        <v>40445</v>
      </c>
      <c r="S8510" t="s">
        <v>40730</v>
      </c>
      <c r="T8510" t="s">
        <v>42279</v>
      </c>
      <c r="U8510" t="s">
        <v>49771</v>
      </c>
      <c r="W8510" t="s">
        <v>55516</v>
      </c>
      <c r="X8510" t="s">
        <v>40446</v>
      </c>
    </row>
    <row r="8511" spans="1:24">
      <c r="A8511">
        <f>HYPERLINK("https://www.philgeps.gov.ph/GEPSNONPILOT/Tender/SplashBidNoticeAbstractUI.aspx?menuIndex=3&amp;refID=7037535&amp;Result=3","7037535")</f>
        <v>0</v>
      </c>
      <c r="B8511" t="s">
        <v>871</v>
      </c>
      <c r="C8511" t="s">
        <v>11191</v>
      </c>
      <c r="D8511" t="s">
        <v>16221</v>
      </c>
      <c r="E8511" t="s">
        <v>23734</v>
      </c>
      <c r="F8511" t="s">
        <v>28198</v>
      </c>
      <c r="G8511" t="s">
        <v>28207</v>
      </c>
      <c r="H8511" t="s">
        <v>28215</v>
      </c>
      <c r="I8511" t="s">
        <v>4200</v>
      </c>
      <c r="J8511" t="s">
        <v>28414</v>
      </c>
      <c r="K8511" t="s">
        <v>36706</v>
      </c>
      <c r="M8511" t="s">
        <v>37915</v>
      </c>
      <c r="N8511" t="s">
        <v>40436</v>
      </c>
      <c r="O8511" t="s">
        <v>40437</v>
      </c>
      <c r="P8511">
        <v>0</v>
      </c>
      <c r="Q8511">
        <v>2</v>
      </c>
      <c r="R8511" t="s">
        <v>40445</v>
      </c>
      <c r="S8511" t="s">
        <v>40730</v>
      </c>
      <c r="T8511" t="s">
        <v>42131</v>
      </c>
      <c r="U8511" t="s">
        <v>49772</v>
      </c>
      <c r="W8511" t="s">
        <v>55466</v>
      </c>
      <c r="X8511" t="s">
        <v>40446</v>
      </c>
    </row>
    <row r="8512" spans="1:24">
      <c r="A8512">
        <f>HYPERLINK("https://www.philgeps.gov.ph/GEPSNONPILOT/Tender/SplashBidNoticeAbstractUI.aspx?menuIndex=3&amp;refID=7037512&amp;Result=3","7037512")</f>
        <v>0</v>
      </c>
      <c r="B8512" t="s">
        <v>2432</v>
      </c>
      <c r="C8512" t="s">
        <v>11192</v>
      </c>
      <c r="D8512" t="s">
        <v>16211</v>
      </c>
      <c r="E8512" t="s">
        <v>23735</v>
      </c>
      <c r="F8512" t="s">
        <v>28198</v>
      </c>
      <c r="G8512" t="s">
        <v>28205</v>
      </c>
      <c r="H8512" t="s">
        <v>28214</v>
      </c>
      <c r="I8512" t="s">
        <v>3797</v>
      </c>
      <c r="J8512" t="s">
        <v>33658</v>
      </c>
      <c r="K8512" t="s">
        <v>36697</v>
      </c>
      <c r="M8512" t="s">
        <v>39620</v>
      </c>
      <c r="N8512" t="s">
        <v>40436</v>
      </c>
      <c r="O8512" t="s">
        <v>40437</v>
      </c>
      <c r="P8512">
        <v>0</v>
      </c>
      <c r="Q8512">
        <v>0</v>
      </c>
      <c r="R8512" t="s">
        <v>40445</v>
      </c>
      <c r="S8512" t="s">
        <v>40730</v>
      </c>
      <c r="T8512" t="s">
        <v>42426</v>
      </c>
      <c r="U8512" t="s">
        <v>49773</v>
      </c>
      <c r="W8512" t="s">
        <v>39620</v>
      </c>
      <c r="X8512" t="s">
        <v>40446</v>
      </c>
    </row>
    <row r="8513" spans="1:24">
      <c r="A8513">
        <f>HYPERLINK("https://www.philgeps.gov.ph/GEPSNONPILOT/Tender/SplashBidNoticeAbstractUI.aspx?menuIndex=3&amp;refID=7037461&amp;Result=3","7037461")</f>
        <v>0</v>
      </c>
      <c r="B8513" t="s">
        <v>2484</v>
      </c>
      <c r="C8513" t="s">
        <v>11193</v>
      </c>
      <c r="D8513" t="s">
        <v>16209</v>
      </c>
      <c r="E8513" t="s">
        <v>23736</v>
      </c>
      <c r="F8513" t="s">
        <v>28198</v>
      </c>
      <c r="G8513" t="s">
        <v>28209</v>
      </c>
      <c r="H8513" t="s">
        <v>28215</v>
      </c>
      <c r="I8513" t="s">
        <v>28238</v>
      </c>
      <c r="J8513" t="s">
        <v>33659</v>
      </c>
      <c r="K8513" t="s">
        <v>36707</v>
      </c>
      <c r="M8513" t="s">
        <v>39683</v>
      </c>
      <c r="N8513" t="s">
        <v>40436</v>
      </c>
      <c r="O8513" t="s">
        <v>40437</v>
      </c>
      <c r="Q8513">
        <v>2</v>
      </c>
      <c r="R8513" t="s">
        <v>40445</v>
      </c>
      <c r="S8513" t="s">
        <v>40766</v>
      </c>
      <c r="T8513" t="s">
        <v>42228</v>
      </c>
      <c r="U8513" t="s">
        <v>49747</v>
      </c>
      <c r="V8513" t="s">
        <v>54692</v>
      </c>
      <c r="W8513" t="s">
        <v>39683</v>
      </c>
      <c r="X8513" t="s">
        <v>40446</v>
      </c>
    </row>
    <row r="8514" spans="1:24">
      <c r="A8514">
        <f>HYPERLINK("https://www.philgeps.gov.ph/GEPSNONPILOT/Tender/SplashBidNoticeAbstractUI.aspx?menuIndex=3&amp;refID=7037536&amp;Result=3","7037536")</f>
        <v>0</v>
      </c>
      <c r="B8514" t="s">
        <v>2489</v>
      </c>
      <c r="C8514" t="s">
        <v>11194</v>
      </c>
      <c r="D8514" t="s">
        <v>16202</v>
      </c>
      <c r="E8514" t="s">
        <v>23737</v>
      </c>
      <c r="F8514" t="s">
        <v>28198</v>
      </c>
      <c r="G8514" t="s">
        <v>28205</v>
      </c>
      <c r="H8514" t="s">
        <v>28215</v>
      </c>
      <c r="I8514" t="s">
        <v>8888</v>
      </c>
      <c r="J8514" t="s">
        <v>33660</v>
      </c>
      <c r="K8514" t="s">
        <v>36707</v>
      </c>
      <c r="M8514" t="s">
        <v>39688</v>
      </c>
      <c r="N8514" t="s">
        <v>40436</v>
      </c>
      <c r="O8514" t="s">
        <v>40437</v>
      </c>
      <c r="P8514">
        <v>0</v>
      </c>
      <c r="Q8514">
        <v>4</v>
      </c>
      <c r="R8514" t="s">
        <v>40445</v>
      </c>
      <c r="S8514" t="s">
        <v>40730</v>
      </c>
      <c r="T8514" t="s">
        <v>42183</v>
      </c>
      <c r="U8514" t="s">
        <v>49774</v>
      </c>
      <c r="W8514" t="s">
        <v>39688</v>
      </c>
      <c r="X8514" t="s">
        <v>40446</v>
      </c>
    </row>
    <row r="8515" spans="1:24">
      <c r="A8515">
        <f>HYPERLINK("https://www.philgeps.gov.ph/GEPSNONPILOT/Tender/SplashBidNoticeAbstractUI.aspx?menuIndex=3&amp;refID=7037486&amp;Result=3","7037486")</f>
        <v>0</v>
      </c>
      <c r="B8515" t="s">
        <v>2304</v>
      </c>
      <c r="C8515" t="s">
        <v>11195</v>
      </c>
      <c r="D8515" t="s">
        <v>16241</v>
      </c>
      <c r="E8515" t="s">
        <v>23738</v>
      </c>
      <c r="F8515" t="s">
        <v>28198</v>
      </c>
      <c r="G8515" t="s">
        <v>28205</v>
      </c>
      <c r="H8515" t="s">
        <v>28215</v>
      </c>
      <c r="I8515" t="s">
        <v>28234</v>
      </c>
      <c r="J8515" t="s">
        <v>30534</v>
      </c>
      <c r="K8515" t="s">
        <v>36689</v>
      </c>
      <c r="M8515" t="s">
        <v>39479</v>
      </c>
      <c r="N8515" t="s">
        <v>40436</v>
      </c>
      <c r="O8515" t="s">
        <v>40437</v>
      </c>
      <c r="Q8515">
        <v>12</v>
      </c>
      <c r="R8515" t="s">
        <v>40445</v>
      </c>
      <c r="S8515" t="s">
        <v>40767</v>
      </c>
      <c r="T8515" t="s">
        <v>42278</v>
      </c>
      <c r="U8515" t="s">
        <v>49775</v>
      </c>
      <c r="W8515" t="s">
        <v>39479</v>
      </c>
      <c r="X8515" t="s">
        <v>40446</v>
      </c>
    </row>
    <row r="8516" spans="1:24">
      <c r="A8516">
        <f>HYPERLINK("https://www.philgeps.gov.ph/GEPSNONPILOT/Tender/SplashBidNoticeAbstractUI.aspx?menuIndex=3&amp;refID=7037514&amp;Result=3","7037514")</f>
        <v>0</v>
      </c>
      <c r="B8516" t="s">
        <v>1727</v>
      </c>
      <c r="C8516" t="s">
        <v>11196</v>
      </c>
      <c r="D8516" t="s">
        <v>16203</v>
      </c>
      <c r="E8516" t="s">
        <v>23739</v>
      </c>
      <c r="F8516" t="s">
        <v>28198</v>
      </c>
      <c r="G8516" t="s">
        <v>28205</v>
      </c>
      <c r="H8516" t="s">
        <v>28214</v>
      </c>
      <c r="I8516" t="s">
        <v>3797</v>
      </c>
      <c r="J8516" t="s">
        <v>33661</v>
      </c>
      <c r="K8516" t="s">
        <v>36690</v>
      </c>
      <c r="M8516" t="s">
        <v>38836</v>
      </c>
      <c r="N8516" t="s">
        <v>40436</v>
      </c>
      <c r="O8516" t="s">
        <v>40437</v>
      </c>
      <c r="P8516">
        <v>0</v>
      </c>
      <c r="Q8516">
        <v>2</v>
      </c>
      <c r="R8516" t="s">
        <v>40445</v>
      </c>
      <c r="S8516" t="s">
        <v>40730</v>
      </c>
      <c r="T8516" t="s">
        <v>42346</v>
      </c>
      <c r="U8516" t="s">
        <v>49776</v>
      </c>
      <c r="W8516" t="s">
        <v>38836</v>
      </c>
      <c r="X8516" t="s">
        <v>40446</v>
      </c>
    </row>
    <row r="8517" spans="1:24">
      <c r="A8517">
        <f>HYPERLINK("https://www.philgeps.gov.ph/GEPSNONPILOT/Tender/SplashBidNoticeAbstractUI.aspx?menuIndex=3&amp;refID=7037465&amp;Result=3","7037465")</f>
        <v>0</v>
      </c>
      <c r="B8517" t="s">
        <v>760</v>
      </c>
      <c r="C8517" t="s">
        <v>11197</v>
      </c>
      <c r="D8517" t="s">
        <v>16236</v>
      </c>
      <c r="E8517" t="s">
        <v>23740</v>
      </c>
      <c r="F8517" t="s">
        <v>28198</v>
      </c>
      <c r="G8517" t="s">
        <v>28205</v>
      </c>
      <c r="H8517" t="s">
        <v>28215</v>
      </c>
      <c r="I8517" t="s">
        <v>28222</v>
      </c>
      <c r="J8517" t="s">
        <v>30496</v>
      </c>
      <c r="K8517" t="s">
        <v>36701</v>
      </c>
      <c r="M8517" t="s">
        <v>37763</v>
      </c>
      <c r="N8517" t="s">
        <v>40436</v>
      </c>
      <c r="O8517" t="s">
        <v>40437</v>
      </c>
      <c r="P8517">
        <v>0</v>
      </c>
      <c r="Q8517">
        <v>4</v>
      </c>
      <c r="R8517" t="s">
        <v>40445</v>
      </c>
      <c r="S8517" t="s">
        <v>40730</v>
      </c>
      <c r="T8517" t="s">
        <v>42168</v>
      </c>
      <c r="U8517" t="s">
        <v>49777</v>
      </c>
      <c r="V8517" t="s">
        <v>54686</v>
      </c>
      <c r="W8517" t="s">
        <v>37763</v>
      </c>
      <c r="X8517" t="s">
        <v>40446</v>
      </c>
    </row>
    <row r="8518" spans="1:24">
      <c r="A8518">
        <f>HYPERLINK("https://www.philgeps.gov.ph/GEPSNONPILOT/Tender/SplashBidNoticeAbstractUI.aspx?menuIndex=3&amp;refID=7037485&amp;Result=3","7037485")</f>
        <v>0</v>
      </c>
      <c r="B8518" t="s">
        <v>1423</v>
      </c>
      <c r="C8518" t="s">
        <v>11198</v>
      </c>
      <c r="D8518" t="s">
        <v>16209</v>
      </c>
      <c r="E8518" t="s">
        <v>16660</v>
      </c>
      <c r="F8518" t="s">
        <v>28198</v>
      </c>
      <c r="G8518" t="s">
        <v>28205</v>
      </c>
      <c r="H8518" t="s">
        <v>28215</v>
      </c>
      <c r="I8518" t="s">
        <v>28224</v>
      </c>
      <c r="J8518" t="s">
        <v>33662</v>
      </c>
      <c r="K8518" t="s">
        <v>36774</v>
      </c>
      <c r="M8518" t="s">
        <v>38488</v>
      </c>
      <c r="N8518" t="s">
        <v>40436</v>
      </c>
      <c r="O8518" t="s">
        <v>40437</v>
      </c>
      <c r="P8518">
        <v>0</v>
      </c>
      <c r="Q8518">
        <v>0</v>
      </c>
      <c r="R8518" t="s">
        <v>40445</v>
      </c>
      <c r="S8518" t="s">
        <v>40730</v>
      </c>
      <c r="T8518" t="s">
        <v>42218</v>
      </c>
      <c r="U8518" t="s">
        <v>49778</v>
      </c>
      <c r="W8518" t="s">
        <v>38488</v>
      </c>
      <c r="X8518" t="s">
        <v>40446</v>
      </c>
    </row>
    <row r="8519" spans="1:24">
      <c r="A8519">
        <f>HYPERLINK("https://www.philgeps.gov.ph/GEPSNONPILOT/Tender/SplashBidNoticeAbstractUI.aspx?menuIndex=3&amp;refID=7037493&amp;Result=3","7037493")</f>
        <v>0</v>
      </c>
      <c r="B8519" t="s">
        <v>2256</v>
      </c>
      <c r="C8519" t="s">
        <v>11199</v>
      </c>
      <c r="D8519" t="s">
        <v>16209</v>
      </c>
      <c r="E8519" t="s">
        <v>23741</v>
      </c>
      <c r="F8519" t="s">
        <v>28198</v>
      </c>
      <c r="G8519" t="s">
        <v>28205</v>
      </c>
      <c r="H8519" t="s">
        <v>28215</v>
      </c>
      <c r="I8519" t="s">
        <v>3774</v>
      </c>
      <c r="J8519" t="s">
        <v>33663</v>
      </c>
      <c r="K8519" t="s">
        <v>36707</v>
      </c>
      <c r="M8519" t="s">
        <v>39426</v>
      </c>
      <c r="N8519" t="s">
        <v>40436</v>
      </c>
      <c r="O8519" t="s">
        <v>40437</v>
      </c>
      <c r="P8519">
        <v>0</v>
      </c>
      <c r="Q8519">
        <v>0</v>
      </c>
      <c r="R8519" t="s">
        <v>40445</v>
      </c>
      <c r="S8519" t="s">
        <v>40730</v>
      </c>
      <c r="T8519" t="s">
        <v>42184</v>
      </c>
      <c r="U8519" t="s">
        <v>49779</v>
      </c>
      <c r="W8519" t="s">
        <v>39426</v>
      </c>
      <c r="X8519" t="s">
        <v>40446</v>
      </c>
    </row>
    <row r="8520" spans="1:24">
      <c r="A8520">
        <f>HYPERLINK("https://www.philgeps.gov.ph/GEPSNONPILOT/Tender/SplashBidNoticeAbstractUI.aspx?menuIndex=3&amp;refID=7037473&amp;Result=3","7037473")</f>
        <v>0</v>
      </c>
      <c r="B8520" t="s">
        <v>2490</v>
      </c>
      <c r="C8520" t="s">
        <v>11200</v>
      </c>
      <c r="D8520" t="s">
        <v>16250</v>
      </c>
      <c r="E8520" t="s">
        <v>16473</v>
      </c>
      <c r="F8520" t="s">
        <v>28198</v>
      </c>
      <c r="G8520" t="s">
        <v>28205</v>
      </c>
      <c r="H8520" t="s">
        <v>28215</v>
      </c>
      <c r="I8520" t="s">
        <v>8870</v>
      </c>
      <c r="J8520" t="s">
        <v>28406</v>
      </c>
      <c r="K8520" t="s">
        <v>36707</v>
      </c>
      <c r="M8520" t="s">
        <v>39689</v>
      </c>
      <c r="N8520" t="s">
        <v>40436</v>
      </c>
      <c r="O8520" t="s">
        <v>40437</v>
      </c>
      <c r="P8520">
        <v>0</v>
      </c>
      <c r="Q8520">
        <v>1</v>
      </c>
      <c r="R8520" t="s">
        <v>40445</v>
      </c>
      <c r="S8520" t="s">
        <v>40730</v>
      </c>
      <c r="T8520" t="s">
        <v>42112</v>
      </c>
      <c r="U8520" t="s">
        <v>49780</v>
      </c>
      <c r="W8520" t="s">
        <v>39689</v>
      </c>
      <c r="X8520" t="s">
        <v>40446</v>
      </c>
    </row>
    <row r="8521" spans="1:24">
      <c r="A8521">
        <f>HYPERLINK("https://www.philgeps.gov.ph/GEPSNONPILOT/Tender/SplashBidNoticeAbstractUI.aspx?menuIndex=3&amp;refID=7037481&amp;Result=3","7037481")</f>
        <v>0</v>
      </c>
      <c r="B8521" t="s">
        <v>871</v>
      </c>
      <c r="C8521" t="s">
        <v>11201</v>
      </c>
      <c r="D8521" t="s">
        <v>16221</v>
      </c>
      <c r="E8521" t="s">
        <v>23742</v>
      </c>
      <c r="F8521" t="s">
        <v>28198</v>
      </c>
      <c r="G8521" t="s">
        <v>28206</v>
      </c>
      <c r="H8521" t="s">
        <v>28215</v>
      </c>
      <c r="I8521" t="s">
        <v>4505</v>
      </c>
      <c r="J8521" t="s">
        <v>30455</v>
      </c>
      <c r="K8521" t="s">
        <v>36688</v>
      </c>
      <c r="M8521" t="s">
        <v>37885</v>
      </c>
      <c r="N8521" t="s">
        <v>40436</v>
      </c>
      <c r="O8521" t="s">
        <v>40437</v>
      </c>
      <c r="P8521">
        <v>0</v>
      </c>
      <c r="Q8521">
        <v>3</v>
      </c>
      <c r="R8521" t="s">
        <v>40445</v>
      </c>
      <c r="S8521" t="s">
        <v>40730</v>
      </c>
      <c r="T8521" t="s">
        <v>42131</v>
      </c>
      <c r="U8521" t="s">
        <v>49781</v>
      </c>
      <c r="W8521" t="s">
        <v>55466</v>
      </c>
      <c r="X8521" t="s">
        <v>40446</v>
      </c>
    </row>
    <row r="8522" spans="1:24">
      <c r="A8522">
        <f>HYPERLINK("https://www.philgeps.gov.ph/GEPSNONPILOT/Tender/SplashBidNoticeAbstractUI.aspx?menuIndex=3&amp;refID=7037537&amp;Result=3","7037537")</f>
        <v>0</v>
      </c>
      <c r="B8522" t="s">
        <v>2485</v>
      </c>
      <c r="C8522" t="s">
        <v>11202</v>
      </c>
      <c r="D8522" t="s">
        <v>16219</v>
      </c>
      <c r="E8522" t="s">
        <v>23743</v>
      </c>
      <c r="F8522" t="s">
        <v>28198</v>
      </c>
      <c r="G8522" t="s">
        <v>28205</v>
      </c>
      <c r="H8522" t="s">
        <v>28215</v>
      </c>
      <c r="I8522" t="s">
        <v>28231</v>
      </c>
      <c r="J8522" t="s">
        <v>33664</v>
      </c>
      <c r="K8522" t="s">
        <v>36689</v>
      </c>
      <c r="M8522" t="s">
        <v>39684</v>
      </c>
      <c r="N8522" t="s">
        <v>40436</v>
      </c>
      <c r="O8522" t="s">
        <v>40437</v>
      </c>
      <c r="Q8522">
        <v>2</v>
      </c>
      <c r="R8522" t="s">
        <v>40445</v>
      </c>
      <c r="S8522" t="s">
        <v>40768</v>
      </c>
      <c r="T8522" t="s">
        <v>42279</v>
      </c>
      <c r="U8522" t="s">
        <v>49782</v>
      </c>
      <c r="W8522" t="s">
        <v>39684</v>
      </c>
      <c r="X8522" t="s">
        <v>40446</v>
      </c>
    </row>
    <row r="8523" spans="1:24">
      <c r="A8523">
        <f>HYPERLINK("https://www.philgeps.gov.ph/GEPSNONPILOT/Tender/SplashBidNoticeAbstractUI.aspx?menuIndex=3&amp;refID=7037482&amp;Result=3","7037482")</f>
        <v>0</v>
      </c>
      <c r="B8523" t="s">
        <v>2491</v>
      </c>
      <c r="C8523" t="s">
        <v>11203</v>
      </c>
      <c r="D8523" t="s">
        <v>16228</v>
      </c>
      <c r="E8523" t="s">
        <v>17248</v>
      </c>
      <c r="F8523" t="s">
        <v>28198</v>
      </c>
      <c r="G8523" t="s">
        <v>28205</v>
      </c>
      <c r="H8523" t="s">
        <v>28214</v>
      </c>
      <c r="I8523" t="s">
        <v>3797</v>
      </c>
      <c r="J8523" t="s">
        <v>33665</v>
      </c>
      <c r="K8523" t="s">
        <v>36706</v>
      </c>
      <c r="M8523" t="s">
        <v>39690</v>
      </c>
      <c r="N8523" t="s">
        <v>40436</v>
      </c>
      <c r="O8523" t="s">
        <v>40437</v>
      </c>
      <c r="P8523">
        <v>0</v>
      </c>
      <c r="Q8523">
        <v>0</v>
      </c>
      <c r="R8523" t="s">
        <v>40445</v>
      </c>
      <c r="S8523" t="s">
        <v>40730</v>
      </c>
      <c r="T8523" t="s">
        <v>42240</v>
      </c>
      <c r="U8523" t="s">
        <v>49783</v>
      </c>
      <c r="W8523" t="s">
        <v>39690</v>
      </c>
      <c r="X8523" t="s">
        <v>40446</v>
      </c>
    </row>
    <row r="8524" spans="1:24">
      <c r="A8524">
        <f>HYPERLINK("https://www.philgeps.gov.ph/GEPSNONPILOT/Tender/SplashBidNoticeAbstractUI.aspx?menuIndex=3&amp;refID=7037478&amp;Result=3","7037478")</f>
        <v>0</v>
      </c>
      <c r="B8524" t="s">
        <v>1727</v>
      </c>
      <c r="C8524" t="s">
        <v>11204</v>
      </c>
      <c r="D8524" t="s">
        <v>16203</v>
      </c>
      <c r="E8524" t="s">
        <v>23744</v>
      </c>
      <c r="F8524" t="s">
        <v>28198</v>
      </c>
      <c r="G8524" t="s">
        <v>28205</v>
      </c>
      <c r="H8524" t="s">
        <v>28214</v>
      </c>
      <c r="I8524" t="s">
        <v>3797</v>
      </c>
      <c r="J8524" t="s">
        <v>33666</v>
      </c>
      <c r="K8524" t="s">
        <v>36733</v>
      </c>
      <c r="M8524" t="s">
        <v>38836</v>
      </c>
      <c r="N8524" t="s">
        <v>40436</v>
      </c>
      <c r="O8524" t="s">
        <v>40437</v>
      </c>
      <c r="P8524">
        <v>0</v>
      </c>
      <c r="Q8524">
        <v>0</v>
      </c>
      <c r="R8524" t="s">
        <v>40445</v>
      </c>
      <c r="S8524" t="s">
        <v>40730</v>
      </c>
      <c r="T8524" t="s">
        <v>42346</v>
      </c>
      <c r="U8524" t="s">
        <v>49784</v>
      </c>
      <c r="W8524" t="s">
        <v>38836</v>
      </c>
      <c r="X8524" t="s">
        <v>40446</v>
      </c>
    </row>
    <row r="8525" spans="1:24">
      <c r="A8525">
        <f>HYPERLINK("https://www.philgeps.gov.ph/GEPSNONPILOT/Tender/SplashBidNoticeAbstractUI.aspx?menuIndex=3&amp;refID=7037549&amp;Result=3","7037549")</f>
        <v>0</v>
      </c>
      <c r="B8525" t="s">
        <v>2492</v>
      </c>
      <c r="C8525" t="s">
        <v>11205</v>
      </c>
      <c r="D8525" t="s">
        <v>16224</v>
      </c>
      <c r="E8525" t="s">
        <v>23745</v>
      </c>
      <c r="F8525" t="s">
        <v>28198</v>
      </c>
      <c r="G8525" t="s">
        <v>28205</v>
      </c>
      <c r="H8525" t="s">
        <v>28215</v>
      </c>
      <c r="I8525" t="s">
        <v>28222</v>
      </c>
      <c r="J8525" t="s">
        <v>28363</v>
      </c>
      <c r="K8525" t="s">
        <v>36701</v>
      </c>
      <c r="M8525" t="s">
        <v>39691</v>
      </c>
      <c r="N8525" t="s">
        <v>40436</v>
      </c>
      <c r="O8525" t="s">
        <v>40437</v>
      </c>
      <c r="P8525">
        <v>0</v>
      </c>
      <c r="Q8525">
        <v>0</v>
      </c>
      <c r="R8525" t="s">
        <v>40445</v>
      </c>
      <c r="S8525" t="s">
        <v>40730</v>
      </c>
      <c r="T8525" t="s">
        <v>42168</v>
      </c>
      <c r="U8525" t="s">
        <v>49785</v>
      </c>
      <c r="W8525" t="s">
        <v>39691</v>
      </c>
      <c r="X8525" t="s">
        <v>40446</v>
      </c>
    </row>
    <row r="8526" spans="1:24">
      <c r="A8526">
        <f>HYPERLINK("https://www.philgeps.gov.ph/GEPSNONPILOT/Tender/SplashBidNoticeAbstractUI.aspx?menuIndex=3&amp;refID=7037594&amp;Result=3","7037594")</f>
        <v>0</v>
      </c>
      <c r="B8526" t="s">
        <v>170</v>
      </c>
      <c r="C8526" t="s">
        <v>11206</v>
      </c>
      <c r="D8526" t="s">
        <v>16187</v>
      </c>
      <c r="E8526" t="s">
        <v>23746</v>
      </c>
      <c r="F8526" t="s">
        <v>28198</v>
      </c>
      <c r="G8526" t="s">
        <v>28205</v>
      </c>
      <c r="H8526" t="s">
        <v>28215</v>
      </c>
      <c r="I8526" t="s">
        <v>28238</v>
      </c>
      <c r="J8526" t="s">
        <v>33667</v>
      </c>
      <c r="K8526" t="s">
        <v>36701</v>
      </c>
      <c r="M8526" t="s">
        <v>37144</v>
      </c>
      <c r="N8526" t="s">
        <v>40436</v>
      </c>
      <c r="O8526" t="s">
        <v>40437</v>
      </c>
      <c r="P8526">
        <v>0</v>
      </c>
      <c r="Q8526">
        <v>2</v>
      </c>
      <c r="R8526" t="s">
        <v>40445</v>
      </c>
      <c r="S8526" t="s">
        <v>40730</v>
      </c>
      <c r="T8526" t="s">
        <v>42233</v>
      </c>
      <c r="U8526" t="s">
        <v>49786</v>
      </c>
      <c r="W8526" t="s">
        <v>37144</v>
      </c>
      <c r="X8526" t="s">
        <v>40446</v>
      </c>
    </row>
    <row r="8527" spans="1:24">
      <c r="A8527">
        <f>HYPERLINK("https://www.philgeps.gov.ph/GEPSNONPILOT/Tender/SplashBidNoticeAbstractUI.aspx?menuIndex=3&amp;refID=7037570&amp;Result=3","7037570")</f>
        <v>0</v>
      </c>
      <c r="B8527" t="s">
        <v>1183</v>
      </c>
      <c r="C8527" t="s">
        <v>11207</v>
      </c>
      <c r="D8527" t="s">
        <v>16207</v>
      </c>
      <c r="E8527" t="s">
        <v>23747</v>
      </c>
      <c r="F8527" t="s">
        <v>28198</v>
      </c>
      <c r="G8527" t="s">
        <v>28205</v>
      </c>
      <c r="H8527" t="s">
        <v>28214</v>
      </c>
      <c r="I8527" t="s">
        <v>3797</v>
      </c>
      <c r="J8527" t="s">
        <v>28398</v>
      </c>
      <c r="K8527" t="s">
        <v>36687</v>
      </c>
      <c r="M8527" t="s">
        <v>39692</v>
      </c>
      <c r="N8527" t="s">
        <v>40436</v>
      </c>
      <c r="O8527" t="s">
        <v>40437</v>
      </c>
      <c r="P8527">
        <v>0</v>
      </c>
      <c r="Q8527">
        <v>0</v>
      </c>
      <c r="R8527" t="s">
        <v>40445</v>
      </c>
      <c r="S8527" t="s">
        <v>40730</v>
      </c>
      <c r="T8527" t="s">
        <v>42278</v>
      </c>
      <c r="U8527" t="s">
        <v>49787</v>
      </c>
      <c r="W8527" t="s">
        <v>38225</v>
      </c>
      <c r="X8527" t="s">
        <v>40446</v>
      </c>
    </row>
    <row r="8528" spans="1:24">
      <c r="A8528">
        <f>HYPERLINK("https://www.philgeps.gov.ph/GEPSNONPILOT/Tender/SplashBidNoticeAbstractUI.aspx?menuIndex=3&amp;refID=7037561&amp;Result=3","7037561")</f>
        <v>0</v>
      </c>
      <c r="B8528" t="s">
        <v>2486</v>
      </c>
      <c r="C8528" t="s">
        <v>11208</v>
      </c>
      <c r="D8528" t="s">
        <v>16193</v>
      </c>
      <c r="E8528" t="s">
        <v>23748</v>
      </c>
      <c r="F8528" t="s">
        <v>28198</v>
      </c>
      <c r="G8528" t="s">
        <v>28205</v>
      </c>
      <c r="H8528" t="s">
        <v>28215</v>
      </c>
      <c r="I8528" t="s">
        <v>28222</v>
      </c>
      <c r="J8528" t="s">
        <v>28468</v>
      </c>
      <c r="K8528" t="s">
        <v>36689</v>
      </c>
      <c r="M8528" t="s">
        <v>39685</v>
      </c>
      <c r="N8528" t="s">
        <v>40436</v>
      </c>
      <c r="O8528" t="s">
        <v>40437</v>
      </c>
      <c r="P8528">
        <v>0</v>
      </c>
      <c r="Q8528">
        <v>4</v>
      </c>
      <c r="R8528" t="s">
        <v>40445</v>
      </c>
      <c r="S8528" t="s">
        <v>40730</v>
      </c>
      <c r="T8528" t="s">
        <v>42168</v>
      </c>
      <c r="U8528" t="s">
        <v>49757</v>
      </c>
      <c r="W8528" t="s">
        <v>39685</v>
      </c>
      <c r="X8528" t="s">
        <v>40446</v>
      </c>
    </row>
    <row r="8529" spans="1:24">
      <c r="A8529">
        <f>HYPERLINK("https://www.philgeps.gov.ph/GEPSNONPILOT/Tender/SplashBidNoticeAbstractUI.aspx?menuIndex=3&amp;refID=7037592&amp;Result=3","7037592")</f>
        <v>0</v>
      </c>
      <c r="B8529" t="s">
        <v>2052</v>
      </c>
      <c r="C8529" t="s">
        <v>11209</v>
      </c>
      <c r="D8529" t="s">
        <v>16223</v>
      </c>
      <c r="E8529" t="s">
        <v>23749</v>
      </c>
      <c r="F8529" t="s">
        <v>28198</v>
      </c>
      <c r="G8529" t="s">
        <v>28205</v>
      </c>
      <c r="H8529" t="s">
        <v>28215</v>
      </c>
      <c r="I8529" t="s">
        <v>4219</v>
      </c>
      <c r="J8529" t="s">
        <v>33668</v>
      </c>
      <c r="K8529" t="s">
        <v>36707</v>
      </c>
      <c r="M8529" t="s">
        <v>39198</v>
      </c>
      <c r="N8529" t="s">
        <v>40436</v>
      </c>
      <c r="O8529" t="s">
        <v>40437</v>
      </c>
      <c r="P8529">
        <v>0</v>
      </c>
      <c r="Q8529">
        <v>1</v>
      </c>
      <c r="R8529" t="s">
        <v>40445</v>
      </c>
      <c r="S8529" t="s">
        <v>40730</v>
      </c>
      <c r="T8529" t="s">
        <v>42468</v>
      </c>
      <c r="U8529" t="s">
        <v>49788</v>
      </c>
      <c r="W8529" t="s">
        <v>39198</v>
      </c>
      <c r="X8529" t="s">
        <v>40446</v>
      </c>
    </row>
    <row r="8530" spans="1:24">
      <c r="A8530">
        <f>HYPERLINK("https://www.philgeps.gov.ph/GEPSNONPILOT/Tender/SplashBidNoticeAbstractUI.aspx?menuIndex=3&amp;refID=7037591&amp;Result=3","7037591")</f>
        <v>0</v>
      </c>
      <c r="B8530" t="s">
        <v>1076</v>
      </c>
      <c r="C8530" t="s">
        <v>11210</v>
      </c>
      <c r="D8530" t="s">
        <v>16193</v>
      </c>
      <c r="E8530" t="s">
        <v>23750</v>
      </c>
      <c r="F8530" t="s">
        <v>28198</v>
      </c>
      <c r="G8530" t="s">
        <v>28205</v>
      </c>
      <c r="H8530" t="s">
        <v>28214</v>
      </c>
      <c r="I8530" t="s">
        <v>3797</v>
      </c>
      <c r="J8530" t="s">
        <v>33669</v>
      </c>
      <c r="K8530" t="s">
        <v>36689</v>
      </c>
      <c r="M8530" t="s">
        <v>38110</v>
      </c>
      <c r="N8530" t="s">
        <v>40436</v>
      </c>
      <c r="O8530" t="s">
        <v>40437</v>
      </c>
      <c r="P8530">
        <v>0</v>
      </c>
      <c r="Q8530">
        <v>2</v>
      </c>
      <c r="R8530" t="s">
        <v>40445</v>
      </c>
      <c r="S8530" t="s">
        <v>40730</v>
      </c>
      <c r="T8530" t="s">
        <v>42234</v>
      </c>
      <c r="U8530" t="s">
        <v>49789</v>
      </c>
      <c r="V8530" t="s">
        <v>53826</v>
      </c>
      <c r="W8530" t="s">
        <v>38110</v>
      </c>
      <c r="X8530" t="s">
        <v>40446</v>
      </c>
    </row>
    <row r="8531" spans="1:24">
      <c r="A8531">
        <f>HYPERLINK("https://www.philgeps.gov.ph/GEPSNONPILOT/Tender/SplashBidNoticeAbstractUI.aspx?menuIndex=3&amp;refID=7037552&amp;Result=3","7037552")</f>
        <v>0</v>
      </c>
      <c r="B8531" t="s">
        <v>1675</v>
      </c>
      <c r="C8531" t="s">
        <v>11211</v>
      </c>
      <c r="D8531" t="s">
        <v>16197</v>
      </c>
      <c r="E8531" t="s">
        <v>23751</v>
      </c>
      <c r="F8531" t="s">
        <v>28198</v>
      </c>
      <c r="G8531" t="s">
        <v>28205</v>
      </c>
      <c r="H8531" t="s">
        <v>28215</v>
      </c>
      <c r="I8531" t="s">
        <v>6051</v>
      </c>
      <c r="J8531" t="s">
        <v>28395</v>
      </c>
      <c r="K8531" t="s">
        <v>36689</v>
      </c>
      <c r="M8531" t="s">
        <v>38771</v>
      </c>
      <c r="N8531" t="s">
        <v>40436</v>
      </c>
      <c r="O8531" t="s">
        <v>40437</v>
      </c>
      <c r="P8531">
        <v>0</v>
      </c>
      <c r="Q8531">
        <v>2</v>
      </c>
      <c r="R8531" t="s">
        <v>40445</v>
      </c>
      <c r="S8531" t="s">
        <v>40730</v>
      </c>
      <c r="T8531" t="s">
        <v>42168</v>
      </c>
      <c r="U8531" t="s">
        <v>49790</v>
      </c>
      <c r="W8531" t="s">
        <v>38771</v>
      </c>
      <c r="X8531" t="s">
        <v>40446</v>
      </c>
    </row>
    <row r="8532" spans="1:24">
      <c r="A8532">
        <f>HYPERLINK("https://www.philgeps.gov.ph/GEPSNONPILOT/Tender/SplashBidNoticeAbstractUI.aspx?menuIndex=3&amp;refID=7037597&amp;Result=3","7037597")</f>
        <v>0</v>
      </c>
      <c r="B8532" t="s">
        <v>940</v>
      </c>
      <c r="C8532" t="s">
        <v>11212</v>
      </c>
      <c r="D8532" t="s">
        <v>16210</v>
      </c>
      <c r="E8532" t="s">
        <v>23752</v>
      </c>
      <c r="F8532" t="s">
        <v>28198</v>
      </c>
      <c r="G8532" t="s">
        <v>28210</v>
      </c>
      <c r="H8532" t="s">
        <v>28215</v>
      </c>
      <c r="I8532" t="s">
        <v>4168</v>
      </c>
      <c r="J8532" t="s">
        <v>28642</v>
      </c>
      <c r="K8532" t="s">
        <v>36707</v>
      </c>
      <c r="M8532" t="s">
        <v>39001</v>
      </c>
      <c r="N8532" t="s">
        <v>40436</v>
      </c>
      <c r="O8532" t="s">
        <v>40437</v>
      </c>
      <c r="Q8532">
        <v>16</v>
      </c>
      <c r="R8532" t="s">
        <v>40445</v>
      </c>
      <c r="S8532" t="s">
        <v>40769</v>
      </c>
      <c r="T8532" t="s">
        <v>42129</v>
      </c>
      <c r="U8532" t="s">
        <v>47462</v>
      </c>
      <c r="V8532" t="s">
        <v>54352</v>
      </c>
      <c r="W8532" t="s">
        <v>39001</v>
      </c>
      <c r="X8532" t="s">
        <v>40446</v>
      </c>
    </row>
    <row r="8533" spans="1:24">
      <c r="A8533">
        <f>HYPERLINK("https://www.philgeps.gov.ph/GEPSNONPILOT/Tender/SplashBidNoticeAbstractUI.aspx?menuIndex=3&amp;refID=7037627&amp;Result=3","7037627")</f>
        <v>0</v>
      </c>
      <c r="B8533" t="s">
        <v>1709</v>
      </c>
      <c r="C8533" t="s">
        <v>11213</v>
      </c>
      <c r="D8533" t="s">
        <v>16268</v>
      </c>
      <c r="E8533" t="s">
        <v>23753</v>
      </c>
      <c r="F8533" t="s">
        <v>28198</v>
      </c>
      <c r="G8533" t="s">
        <v>28210</v>
      </c>
      <c r="H8533" t="s">
        <v>28215</v>
      </c>
      <c r="I8533" t="s">
        <v>28266</v>
      </c>
      <c r="J8533" t="s">
        <v>28406</v>
      </c>
      <c r="K8533" t="s">
        <v>36701</v>
      </c>
      <c r="M8533" t="s">
        <v>38814</v>
      </c>
      <c r="N8533" t="s">
        <v>40436</v>
      </c>
      <c r="O8533" t="s">
        <v>40437</v>
      </c>
      <c r="P8533">
        <v>0</v>
      </c>
      <c r="Q8533">
        <v>3</v>
      </c>
      <c r="R8533" t="s">
        <v>40445</v>
      </c>
      <c r="S8533" t="s">
        <v>40730</v>
      </c>
      <c r="T8533" t="s">
        <v>42185</v>
      </c>
      <c r="U8533" t="s">
        <v>49791</v>
      </c>
      <c r="V8533" t="s">
        <v>54693</v>
      </c>
      <c r="W8533" t="s">
        <v>38814</v>
      </c>
      <c r="X8533" t="s">
        <v>40446</v>
      </c>
    </row>
    <row r="8534" spans="1:24">
      <c r="A8534">
        <f>HYPERLINK("https://www.philgeps.gov.ph/GEPSNONPILOT/Tender/SplashBidNoticeAbstractUI.aspx?menuIndex=3&amp;refID=7037557&amp;Result=3","7037557")</f>
        <v>0</v>
      </c>
      <c r="B8534" t="s">
        <v>2488</v>
      </c>
      <c r="C8534" t="s">
        <v>11214</v>
      </c>
      <c r="E8534" t="s">
        <v>23754</v>
      </c>
      <c r="F8534" t="s">
        <v>28198</v>
      </c>
      <c r="G8534" t="s">
        <v>28205</v>
      </c>
      <c r="H8534" t="s">
        <v>28214</v>
      </c>
      <c r="I8534" t="s">
        <v>3797</v>
      </c>
      <c r="J8534" t="s">
        <v>33670</v>
      </c>
      <c r="K8534" t="s">
        <v>36689</v>
      </c>
      <c r="M8534" t="s">
        <v>39687</v>
      </c>
      <c r="N8534" t="s">
        <v>40436</v>
      </c>
      <c r="O8534" t="s">
        <v>40437</v>
      </c>
      <c r="Q8534">
        <v>12</v>
      </c>
      <c r="R8534" t="s">
        <v>40445</v>
      </c>
      <c r="S8534" t="s">
        <v>40770</v>
      </c>
      <c r="T8534" t="s">
        <v>42279</v>
      </c>
      <c r="U8534" t="s">
        <v>49792</v>
      </c>
      <c r="W8534" t="s">
        <v>55516</v>
      </c>
      <c r="X8534" t="s">
        <v>40446</v>
      </c>
    </row>
    <row r="8535" spans="1:24">
      <c r="A8535">
        <f>HYPERLINK("https://www.philgeps.gov.ph/GEPSNONPILOT/Tender/SplashBidNoticeAbstractUI.aspx?menuIndex=3&amp;refID=7037585&amp;Result=3","7037585")</f>
        <v>0</v>
      </c>
      <c r="B8535" t="s">
        <v>1429</v>
      </c>
      <c r="C8535" t="s">
        <v>11215</v>
      </c>
      <c r="D8535" t="s">
        <v>16210</v>
      </c>
      <c r="E8535" t="s">
        <v>23755</v>
      </c>
      <c r="F8535" t="s">
        <v>28198</v>
      </c>
      <c r="G8535" t="s">
        <v>28207</v>
      </c>
      <c r="H8535" t="s">
        <v>28215</v>
      </c>
      <c r="I8535" t="s">
        <v>28270</v>
      </c>
      <c r="J8535" t="s">
        <v>33671</v>
      </c>
      <c r="K8535" t="s">
        <v>36687</v>
      </c>
      <c r="M8535" t="s">
        <v>38495</v>
      </c>
      <c r="N8535" t="s">
        <v>40436</v>
      </c>
      <c r="O8535" t="s">
        <v>40437</v>
      </c>
      <c r="P8535">
        <v>0</v>
      </c>
      <c r="Q8535">
        <v>8</v>
      </c>
      <c r="R8535" t="s">
        <v>40445</v>
      </c>
      <c r="S8535" t="s">
        <v>40730</v>
      </c>
      <c r="T8535" t="s">
        <v>42129</v>
      </c>
      <c r="U8535" t="s">
        <v>49793</v>
      </c>
      <c r="W8535" t="s">
        <v>38495</v>
      </c>
      <c r="X8535" t="s">
        <v>40446</v>
      </c>
    </row>
    <row r="8536" spans="1:24">
      <c r="A8536">
        <f>HYPERLINK("https://www.philgeps.gov.ph/GEPSNONPILOT/Tender/SplashBidNoticeAbstractUI.aspx?menuIndex=3&amp;refID=7037620&amp;Result=3","7037620")</f>
        <v>0</v>
      </c>
      <c r="B8536" t="s">
        <v>2219</v>
      </c>
      <c r="C8536" t="s">
        <v>11216</v>
      </c>
      <c r="D8536" t="s">
        <v>16244</v>
      </c>
      <c r="E8536" t="s">
        <v>23756</v>
      </c>
      <c r="F8536" t="s">
        <v>28198</v>
      </c>
      <c r="G8536" t="s">
        <v>28205</v>
      </c>
      <c r="H8536" t="s">
        <v>28215</v>
      </c>
      <c r="I8536" t="s">
        <v>5100</v>
      </c>
      <c r="J8536" t="s">
        <v>33672</v>
      </c>
      <c r="K8536" t="s">
        <v>36695</v>
      </c>
      <c r="M8536" t="s">
        <v>39385</v>
      </c>
      <c r="N8536" t="s">
        <v>40436</v>
      </c>
      <c r="O8536" t="s">
        <v>40437</v>
      </c>
      <c r="P8536">
        <v>0</v>
      </c>
      <c r="Q8536">
        <v>0</v>
      </c>
      <c r="R8536" t="s">
        <v>40445</v>
      </c>
      <c r="S8536" t="s">
        <v>40730</v>
      </c>
      <c r="T8536" t="s">
        <v>42455</v>
      </c>
      <c r="U8536" t="s">
        <v>49794</v>
      </c>
      <c r="W8536" t="s">
        <v>39385</v>
      </c>
      <c r="X8536" t="s">
        <v>40446</v>
      </c>
    </row>
    <row r="8537" spans="1:24">
      <c r="A8537">
        <f>HYPERLINK("https://www.philgeps.gov.ph/GEPSNONPILOT/Tender/SplashBidNoticeAbstractUI.aspx?menuIndex=3&amp;refID=7037583&amp;Result=3","7037583")</f>
        <v>0</v>
      </c>
      <c r="B8537" t="s">
        <v>840</v>
      </c>
      <c r="C8537" t="s">
        <v>11217</v>
      </c>
      <c r="E8537" t="s">
        <v>23757</v>
      </c>
      <c r="F8537" t="s">
        <v>28198</v>
      </c>
      <c r="G8537" t="s">
        <v>28207</v>
      </c>
      <c r="H8537" t="s">
        <v>28215</v>
      </c>
      <c r="I8537" t="s">
        <v>4200</v>
      </c>
      <c r="J8537" t="s">
        <v>33673</v>
      </c>
      <c r="K8537" t="s">
        <v>36689</v>
      </c>
      <c r="M8537" t="s">
        <v>39693</v>
      </c>
      <c r="N8537" t="s">
        <v>40436</v>
      </c>
      <c r="O8537" t="s">
        <v>40437</v>
      </c>
      <c r="P8537">
        <v>0</v>
      </c>
      <c r="Q8537">
        <v>2</v>
      </c>
      <c r="R8537" t="s">
        <v>40445</v>
      </c>
      <c r="S8537" t="s">
        <v>40730</v>
      </c>
      <c r="T8537" t="s">
        <v>42317</v>
      </c>
      <c r="U8537" t="s">
        <v>44235</v>
      </c>
      <c r="W8537" t="s">
        <v>39693</v>
      </c>
      <c r="X8537" t="s">
        <v>40446</v>
      </c>
    </row>
    <row r="8538" spans="1:24">
      <c r="A8538">
        <f>HYPERLINK("https://www.philgeps.gov.ph/GEPSNONPILOT/Tender/SplashBidNoticeAbstractUI.aspx?menuIndex=3&amp;refID=7037612&amp;Result=3","7037612")</f>
        <v>0</v>
      </c>
      <c r="B8538" t="s">
        <v>2486</v>
      </c>
      <c r="C8538" t="s">
        <v>11218</v>
      </c>
      <c r="D8538" t="s">
        <v>16193</v>
      </c>
      <c r="E8538" t="s">
        <v>23758</v>
      </c>
      <c r="F8538" t="s">
        <v>28198</v>
      </c>
      <c r="G8538" t="s">
        <v>28205</v>
      </c>
      <c r="H8538" t="s">
        <v>28215</v>
      </c>
      <c r="I8538" t="s">
        <v>28222</v>
      </c>
      <c r="J8538" t="s">
        <v>32321</v>
      </c>
      <c r="K8538" t="s">
        <v>36689</v>
      </c>
      <c r="M8538" t="s">
        <v>39685</v>
      </c>
      <c r="N8538" t="s">
        <v>40436</v>
      </c>
      <c r="O8538" t="s">
        <v>40437</v>
      </c>
      <c r="P8538">
        <v>0</v>
      </c>
      <c r="Q8538">
        <v>3</v>
      </c>
      <c r="R8538" t="s">
        <v>40445</v>
      </c>
      <c r="S8538" t="s">
        <v>40730</v>
      </c>
      <c r="T8538" t="s">
        <v>42168</v>
      </c>
      <c r="U8538" t="s">
        <v>49757</v>
      </c>
      <c r="W8538" t="s">
        <v>39685</v>
      </c>
      <c r="X8538" t="s">
        <v>40446</v>
      </c>
    </row>
    <row r="8539" spans="1:24">
      <c r="A8539">
        <f>HYPERLINK("https://www.philgeps.gov.ph/GEPSNONPILOT/Tender/SplashBidNoticeAbstractUI.aspx?menuIndex=3&amp;refID=7037574&amp;Result=3","7037574")</f>
        <v>0</v>
      </c>
      <c r="B8539" t="s">
        <v>2256</v>
      </c>
      <c r="C8539" t="s">
        <v>11219</v>
      </c>
      <c r="D8539" t="s">
        <v>16209</v>
      </c>
      <c r="E8539" t="s">
        <v>23759</v>
      </c>
      <c r="F8539" t="s">
        <v>28198</v>
      </c>
      <c r="G8539" t="s">
        <v>28205</v>
      </c>
      <c r="H8539" t="s">
        <v>28215</v>
      </c>
      <c r="I8539" t="s">
        <v>28296</v>
      </c>
      <c r="J8539" t="s">
        <v>33674</v>
      </c>
      <c r="K8539" t="s">
        <v>36707</v>
      </c>
      <c r="M8539" t="s">
        <v>39426</v>
      </c>
      <c r="N8539" t="s">
        <v>40436</v>
      </c>
      <c r="O8539" t="s">
        <v>40437</v>
      </c>
      <c r="P8539">
        <v>0</v>
      </c>
      <c r="Q8539">
        <v>0</v>
      </c>
      <c r="R8539" t="s">
        <v>40445</v>
      </c>
      <c r="S8539" t="s">
        <v>40730</v>
      </c>
      <c r="T8539" t="s">
        <v>42184</v>
      </c>
      <c r="U8539" t="s">
        <v>49795</v>
      </c>
      <c r="W8539" t="s">
        <v>39426</v>
      </c>
      <c r="X8539" t="s">
        <v>40446</v>
      </c>
    </row>
    <row r="8540" spans="1:24">
      <c r="A8540">
        <f>HYPERLINK("https://www.philgeps.gov.ph/GEPSNONPILOT/Tender/SplashBidNoticeAbstractUI.aspx?menuIndex=3&amp;refID=7037621&amp;Result=3","7037621")</f>
        <v>0</v>
      </c>
      <c r="B8540" t="s">
        <v>2493</v>
      </c>
      <c r="C8540" t="s">
        <v>11220</v>
      </c>
      <c r="D8540" t="s">
        <v>16228</v>
      </c>
      <c r="E8540" t="s">
        <v>23760</v>
      </c>
      <c r="F8540" t="s">
        <v>28198</v>
      </c>
      <c r="G8540" t="s">
        <v>28207</v>
      </c>
      <c r="H8540" t="s">
        <v>28215</v>
      </c>
      <c r="I8540" t="s">
        <v>5100</v>
      </c>
      <c r="J8540" t="s">
        <v>32912</v>
      </c>
      <c r="K8540" t="s">
        <v>36692</v>
      </c>
      <c r="M8540" t="s">
        <v>39694</v>
      </c>
      <c r="N8540" t="s">
        <v>40436</v>
      </c>
      <c r="O8540" t="s">
        <v>40437</v>
      </c>
      <c r="P8540">
        <v>0</v>
      </c>
      <c r="Q8540">
        <v>0</v>
      </c>
      <c r="R8540" t="s">
        <v>40445</v>
      </c>
      <c r="S8540" t="s">
        <v>40730</v>
      </c>
      <c r="T8540" t="s">
        <v>42190</v>
      </c>
      <c r="U8540" t="s">
        <v>49796</v>
      </c>
      <c r="W8540" t="s">
        <v>39694</v>
      </c>
      <c r="X8540" t="s">
        <v>40446</v>
      </c>
    </row>
    <row r="8541" spans="1:24">
      <c r="A8541">
        <f>HYPERLINK("https://www.philgeps.gov.ph/GEPSNONPILOT/Tender/SplashBidNoticeAbstractUI.aspx?menuIndex=3&amp;refID=7037578&amp;Result=3","7037578")</f>
        <v>0</v>
      </c>
      <c r="B8541" t="s">
        <v>848</v>
      </c>
      <c r="C8541" t="s">
        <v>11221</v>
      </c>
      <c r="D8541" t="s">
        <v>16219</v>
      </c>
      <c r="E8541" t="s">
        <v>23761</v>
      </c>
      <c r="F8541" t="s">
        <v>28198</v>
      </c>
      <c r="G8541" t="s">
        <v>28205</v>
      </c>
      <c r="H8541" t="s">
        <v>28214</v>
      </c>
      <c r="I8541" t="s">
        <v>3797</v>
      </c>
      <c r="J8541" t="s">
        <v>33675</v>
      </c>
      <c r="K8541" t="s">
        <v>36689</v>
      </c>
      <c r="M8541" t="s">
        <v>38541</v>
      </c>
      <c r="N8541" t="s">
        <v>40436</v>
      </c>
      <c r="O8541" t="s">
        <v>40437</v>
      </c>
      <c r="P8541">
        <v>0</v>
      </c>
      <c r="Q8541">
        <v>0</v>
      </c>
      <c r="R8541" t="s">
        <v>40445</v>
      </c>
      <c r="S8541" t="s">
        <v>40730</v>
      </c>
      <c r="T8541" t="s">
        <v>42234</v>
      </c>
      <c r="U8541" t="s">
        <v>49797</v>
      </c>
      <c r="W8541" t="s">
        <v>38541</v>
      </c>
      <c r="X8541" t="s">
        <v>40446</v>
      </c>
    </row>
    <row r="8542" spans="1:24">
      <c r="A8542">
        <f>HYPERLINK("https://www.philgeps.gov.ph/GEPSNONPILOT/Tender/SplashBidNoticeAbstractUI.aspx?menuIndex=3&amp;refID=7037599&amp;Result=3","7037599")</f>
        <v>0</v>
      </c>
      <c r="B8542" t="s">
        <v>2494</v>
      </c>
      <c r="C8542" t="s">
        <v>8199</v>
      </c>
      <c r="D8542" t="s">
        <v>16258</v>
      </c>
      <c r="E8542" t="s">
        <v>23762</v>
      </c>
      <c r="F8542" t="s">
        <v>28198</v>
      </c>
      <c r="G8542" t="s">
        <v>28205</v>
      </c>
      <c r="H8542" t="s">
        <v>28215</v>
      </c>
      <c r="I8542" t="s">
        <v>4505</v>
      </c>
      <c r="J8542" t="s">
        <v>33676</v>
      </c>
      <c r="K8542" t="s">
        <v>36706</v>
      </c>
      <c r="M8542" t="s">
        <v>39695</v>
      </c>
      <c r="N8542" t="s">
        <v>40436</v>
      </c>
      <c r="O8542" t="s">
        <v>40437</v>
      </c>
      <c r="P8542">
        <v>0</v>
      </c>
      <c r="Q8542">
        <v>1</v>
      </c>
      <c r="R8542" t="s">
        <v>40445</v>
      </c>
      <c r="S8542" t="s">
        <v>40730</v>
      </c>
      <c r="T8542" t="s">
        <v>42216</v>
      </c>
      <c r="U8542" t="s">
        <v>49798</v>
      </c>
      <c r="V8542" t="s">
        <v>54694</v>
      </c>
      <c r="W8542" t="s">
        <v>39695</v>
      </c>
      <c r="X8542" t="s">
        <v>40446</v>
      </c>
    </row>
    <row r="8543" spans="1:24">
      <c r="A8543">
        <f>HYPERLINK("https://www.philgeps.gov.ph/GEPSNONPILOT/Tender/SplashBidNoticeAbstractUI.aspx?menuIndex=3&amp;refID=7037611&amp;Result=3","7037611")</f>
        <v>0</v>
      </c>
      <c r="B8543" t="s">
        <v>1675</v>
      </c>
      <c r="C8543" t="s">
        <v>11222</v>
      </c>
      <c r="D8543" t="s">
        <v>16197</v>
      </c>
      <c r="E8543" t="s">
        <v>23763</v>
      </c>
      <c r="F8543" t="s">
        <v>28198</v>
      </c>
      <c r="G8543" t="s">
        <v>28205</v>
      </c>
      <c r="H8543" t="s">
        <v>28215</v>
      </c>
      <c r="I8543" t="s">
        <v>28258</v>
      </c>
      <c r="J8543" t="s">
        <v>28548</v>
      </c>
      <c r="K8543" t="s">
        <v>36689</v>
      </c>
      <c r="M8543" t="s">
        <v>38771</v>
      </c>
      <c r="N8543" t="s">
        <v>40436</v>
      </c>
      <c r="O8543" t="s">
        <v>40437</v>
      </c>
      <c r="P8543">
        <v>0</v>
      </c>
      <c r="Q8543">
        <v>5</v>
      </c>
      <c r="R8543" t="s">
        <v>40445</v>
      </c>
      <c r="S8543" t="s">
        <v>40730</v>
      </c>
      <c r="T8543" t="s">
        <v>42234</v>
      </c>
      <c r="U8543" t="s">
        <v>49799</v>
      </c>
      <c r="W8543" t="s">
        <v>38771</v>
      </c>
      <c r="X8543" t="s">
        <v>40446</v>
      </c>
    </row>
    <row r="8544" spans="1:24">
      <c r="A8544">
        <f>HYPERLINK("https://www.philgeps.gov.ph/GEPSNONPILOT/Tender/SplashBidNoticeAbstractUI.aspx?menuIndex=3&amp;refID=7037600&amp;Result=3","7037600")</f>
        <v>0</v>
      </c>
      <c r="B8544" t="s">
        <v>816</v>
      </c>
      <c r="C8544" t="s">
        <v>11223</v>
      </c>
      <c r="D8544" t="s">
        <v>16200</v>
      </c>
      <c r="E8544" t="s">
        <v>23764</v>
      </c>
      <c r="F8544" t="s">
        <v>28198</v>
      </c>
      <c r="G8544" t="s">
        <v>28205</v>
      </c>
      <c r="H8544" t="s">
        <v>28215</v>
      </c>
      <c r="I8544" t="s">
        <v>28227</v>
      </c>
      <c r="J8544" t="s">
        <v>33677</v>
      </c>
      <c r="K8544" t="s">
        <v>36689</v>
      </c>
      <c r="M8544" t="s">
        <v>37828</v>
      </c>
      <c r="N8544" t="s">
        <v>40436</v>
      </c>
      <c r="O8544" t="s">
        <v>40437</v>
      </c>
      <c r="P8544">
        <v>0</v>
      </c>
      <c r="Q8544">
        <v>4</v>
      </c>
      <c r="R8544" t="s">
        <v>40445</v>
      </c>
      <c r="S8544" t="s">
        <v>40730</v>
      </c>
      <c r="T8544" t="s">
        <v>42277</v>
      </c>
      <c r="U8544" t="s">
        <v>49800</v>
      </c>
      <c r="V8544" t="s">
        <v>54622</v>
      </c>
      <c r="W8544" t="s">
        <v>37828</v>
      </c>
      <c r="X8544" t="s">
        <v>40446</v>
      </c>
    </row>
    <row r="8545" spans="1:24">
      <c r="A8545">
        <f>HYPERLINK("https://www.philgeps.gov.ph/GEPSNONPILOT/Tender/SplashBidNoticeAbstractUI.aspx?menuIndex=3&amp;refID=7037628&amp;Result=3","7037628")</f>
        <v>0</v>
      </c>
      <c r="B8545" t="s">
        <v>748</v>
      </c>
      <c r="C8545" t="s">
        <v>11224</v>
      </c>
      <c r="D8545" t="s">
        <v>16203</v>
      </c>
      <c r="E8545" t="s">
        <v>23765</v>
      </c>
      <c r="F8545" t="s">
        <v>28198</v>
      </c>
      <c r="G8545" t="s">
        <v>28205</v>
      </c>
      <c r="H8545" t="s">
        <v>28214</v>
      </c>
      <c r="I8545" t="s">
        <v>3797</v>
      </c>
      <c r="J8545" t="s">
        <v>29331</v>
      </c>
      <c r="K8545" t="s">
        <v>36690</v>
      </c>
      <c r="M8545" t="s">
        <v>37751</v>
      </c>
      <c r="N8545" t="s">
        <v>40436</v>
      </c>
      <c r="O8545" t="s">
        <v>40437</v>
      </c>
      <c r="Q8545">
        <v>5</v>
      </c>
      <c r="R8545" t="s">
        <v>40445</v>
      </c>
      <c r="S8545" t="s">
        <v>40771</v>
      </c>
      <c r="T8545" t="s">
        <v>42523</v>
      </c>
      <c r="U8545" t="s">
        <v>49801</v>
      </c>
      <c r="V8545" t="s">
        <v>53964</v>
      </c>
      <c r="W8545" t="s">
        <v>37751</v>
      </c>
      <c r="X8545" t="s">
        <v>40446</v>
      </c>
    </row>
    <row r="8546" spans="1:24">
      <c r="A8546">
        <f>HYPERLINK("https://www.philgeps.gov.ph/GEPSNONPILOT/Tender/SplashBidNoticeAbstractUI.aspx?menuIndex=3&amp;refID=7037638&amp;Result=3","7037638")</f>
        <v>0</v>
      </c>
      <c r="B8546" t="s">
        <v>1355</v>
      </c>
      <c r="C8546" t="s">
        <v>11225</v>
      </c>
      <c r="D8546" t="s">
        <v>16210</v>
      </c>
      <c r="E8546" t="s">
        <v>23766</v>
      </c>
      <c r="F8546" t="s">
        <v>28198</v>
      </c>
      <c r="G8546" t="s">
        <v>28205</v>
      </c>
      <c r="H8546" t="s">
        <v>28214</v>
      </c>
      <c r="I8546" t="s">
        <v>3797</v>
      </c>
      <c r="J8546" t="s">
        <v>33678</v>
      </c>
      <c r="K8546" t="s">
        <v>36694</v>
      </c>
      <c r="M8546" t="s">
        <v>38413</v>
      </c>
      <c r="N8546" t="s">
        <v>40436</v>
      </c>
      <c r="O8546" t="s">
        <v>40437</v>
      </c>
      <c r="P8546">
        <v>0</v>
      </c>
      <c r="Q8546">
        <v>12</v>
      </c>
      <c r="R8546" t="s">
        <v>40445</v>
      </c>
      <c r="S8546" t="s">
        <v>40730</v>
      </c>
      <c r="T8546" t="s">
        <v>42113</v>
      </c>
      <c r="U8546" t="s">
        <v>49802</v>
      </c>
      <c r="V8546" t="s">
        <v>54150</v>
      </c>
      <c r="W8546" t="s">
        <v>38413</v>
      </c>
      <c r="X8546" t="s">
        <v>40446</v>
      </c>
    </row>
    <row r="8547" spans="1:24">
      <c r="A8547">
        <f>HYPERLINK("https://www.philgeps.gov.ph/GEPSNONPILOT/Tender/SplashBidNoticeAbstractUI.aspx?menuIndex=3&amp;refID=7037689&amp;Result=3","7037689")</f>
        <v>0</v>
      </c>
      <c r="B8547" t="s">
        <v>670</v>
      </c>
      <c r="C8547" t="s">
        <v>11226</v>
      </c>
      <c r="E8547" t="s">
        <v>23767</v>
      </c>
      <c r="F8547" t="s">
        <v>28198</v>
      </c>
      <c r="G8547" t="s">
        <v>28205</v>
      </c>
      <c r="H8547" t="s">
        <v>28215</v>
      </c>
      <c r="I8547" t="s">
        <v>28232</v>
      </c>
      <c r="J8547" t="s">
        <v>28836</v>
      </c>
      <c r="K8547" t="s">
        <v>36701</v>
      </c>
      <c r="M8547" t="s">
        <v>37666</v>
      </c>
      <c r="N8547" t="s">
        <v>40436</v>
      </c>
      <c r="O8547" t="s">
        <v>40437</v>
      </c>
      <c r="P8547">
        <v>0</v>
      </c>
      <c r="Q8547">
        <v>1</v>
      </c>
      <c r="R8547" t="s">
        <v>40445</v>
      </c>
      <c r="S8547" t="s">
        <v>40730</v>
      </c>
      <c r="T8547" t="s">
        <v>42278</v>
      </c>
      <c r="U8547" t="s">
        <v>49803</v>
      </c>
      <c r="W8547" t="s">
        <v>37666</v>
      </c>
      <c r="X8547" t="s">
        <v>40446</v>
      </c>
    </row>
    <row r="8548" spans="1:24">
      <c r="A8548">
        <f>HYPERLINK("https://www.philgeps.gov.ph/GEPSNONPILOT/Tender/SplashBidNoticeAbstractUI.aspx?menuIndex=3&amp;refID=7037636&amp;Result=3","7037636")</f>
        <v>0</v>
      </c>
      <c r="B8548" t="s">
        <v>2256</v>
      </c>
      <c r="C8548" t="s">
        <v>11227</v>
      </c>
      <c r="D8548" t="s">
        <v>16209</v>
      </c>
      <c r="E8548" t="s">
        <v>23768</v>
      </c>
      <c r="F8548" t="s">
        <v>28198</v>
      </c>
      <c r="G8548" t="s">
        <v>28207</v>
      </c>
      <c r="H8548" t="s">
        <v>28215</v>
      </c>
      <c r="I8548" t="s">
        <v>28274</v>
      </c>
      <c r="J8548" t="s">
        <v>33679</v>
      </c>
      <c r="K8548" t="s">
        <v>36707</v>
      </c>
      <c r="M8548" t="s">
        <v>39426</v>
      </c>
      <c r="N8548" t="s">
        <v>40436</v>
      </c>
      <c r="O8548" t="s">
        <v>40437</v>
      </c>
      <c r="P8548">
        <v>0</v>
      </c>
      <c r="Q8548">
        <v>0</v>
      </c>
      <c r="R8548" t="s">
        <v>40445</v>
      </c>
      <c r="S8548" t="s">
        <v>40730</v>
      </c>
      <c r="T8548" t="s">
        <v>42184</v>
      </c>
      <c r="U8548" t="s">
        <v>49804</v>
      </c>
      <c r="W8548" t="s">
        <v>39426</v>
      </c>
      <c r="X8548" t="s">
        <v>40446</v>
      </c>
    </row>
    <row r="8549" spans="1:24">
      <c r="A8549">
        <f>HYPERLINK("https://www.philgeps.gov.ph/GEPSNONPILOT/Tender/SplashBidNoticeAbstractUI.aspx?menuIndex=3&amp;refID=7037687&amp;Result=3","7037687")</f>
        <v>0</v>
      </c>
      <c r="B8549" t="s">
        <v>2495</v>
      </c>
      <c r="C8549" t="s">
        <v>11228</v>
      </c>
      <c r="D8549" t="s">
        <v>16200</v>
      </c>
      <c r="E8549" t="s">
        <v>23769</v>
      </c>
      <c r="F8549" t="s">
        <v>28198</v>
      </c>
      <c r="G8549" t="s">
        <v>28205</v>
      </c>
      <c r="H8549" t="s">
        <v>28214</v>
      </c>
      <c r="I8549" t="s">
        <v>3797</v>
      </c>
      <c r="J8549" t="s">
        <v>29113</v>
      </c>
      <c r="K8549" t="s">
        <v>36701</v>
      </c>
      <c r="M8549" t="s">
        <v>39696</v>
      </c>
      <c r="N8549" t="s">
        <v>40436</v>
      </c>
      <c r="O8549" t="s">
        <v>40437</v>
      </c>
      <c r="P8549">
        <v>0</v>
      </c>
      <c r="Q8549">
        <v>1</v>
      </c>
      <c r="R8549" t="s">
        <v>40445</v>
      </c>
      <c r="S8549" t="s">
        <v>40730</v>
      </c>
      <c r="T8549" t="s">
        <v>42279</v>
      </c>
      <c r="U8549" t="s">
        <v>49805</v>
      </c>
      <c r="W8549" t="s">
        <v>39696</v>
      </c>
      <c r="X8549" t="s">
        <v>40446</v>
      </c>
    </row>
    <row r="8550" spans="1:24">
      <c r="A8550">
        <f>HYPERLINK("https://www.philgeps.gov.ph/GEPSNONPILOT/Tender/SplashBidNoticeAbstractUI.aspx?menuIndex=3&amp;refID=7037686&amp;Result=3","7037686")</f>
        <v>0</v>
      </c>
      <c r="B8550" t="s">
        <v>2494</v>
      </c>
      <c r="C8550" t="s">
        <v>11229</v>
      </c>
      <c r="D8550" t="s">
        <v>16258</v>
      </c>
      <c r="E8550" t="s">
        <v>23770</v>
      </c>
      <c r="F8550" t="s">
        <v>28198</v>
      </c>
      <c r="G8550" t="s">
        <v>28205</v>
      </c>
      <c r="H8550" t="s">
        <v>28215</v>
      </c>
      <c r="I8550" t="s">
        <v>28228</v>
      </c>
      <c r="J8550" t="s">
        <v>33680</v>
      </c>
      <c r="K8550" t="s">
        <v>36706</v>
      </c>
      <c r="M8550" t="s">
        <v>39695</v>
      </c>
      <c r="N8550" t="s">
        <v>40436</v>
      </c>
      <c r="O8550" t="s">
        <v>40437</v>
      </c>
      <c r="P8550">
        <v>0</v>
      </c>
      <c r="Q8550">
        <v>0</v>
      </c>
      <c r="R8550" t="s">
        <v>40445</v>
      </c>
      <c r="S8550" t="s">
        <v>40730</v>
      </c>
      <c r="T8550" t="s">
        <v>42205</v>
      </c>
      <c r="U8550" t="s">
        <v>49806</v>
      </c>
      <c r="V8550" t="s">
        <v>54694</v>
      </c>
      <c r="W8550" t="s">
        <v>39695</v>
      </c>
      <c r="X8550" t="s">
        <v>40446</v>
      </c>
    </row>
    <row r="8551" spans="1:24">
      <c r="A8551">
        <f>HYPERLINK("https://www.philgeps.gov.ph/GEPSNONPILOT/Tender/SplashBidNoticeAbstractUI.aspx?menuIndex=3&amp;refID=7037639&amp;Result=3","7037639")</f>
        <v>0</v>
      </c>
      <c r="B8551" t="s">
        <v>940</v>
      </c>
      <c r="C8551" t="s">
        <v>11230</v>
      </c>
      <c r="D8551" t="s">
        <v>16210</v>
      </c>
      <c r="E8551" t="s">
        <v>23771</v>
      </c>
      <c r="F8551" t="s">
        <v>28198</v>
      </c>
      <c r="G8551" t="s">
        <v>28210</v>
      </c>
      <c r="H8551" t="s">
        <v>28215</v>
      </c>
      <c r="I8551" t="s">
        <v>5082</v>
      </c>
      <c r="J8551" t="s">
        <v>28540</v>
      </c>
      <c r="K8551" t="s">
        <v>36707</v>
      </c>
      <c r="M8551" t="s">
        <v>39001</v>
      </c>
      <c r="N8551" t="s">
        <v>40436</v>
      </c>
      <c r="O8551" t="s">
        <v>40437</v>
      </c>
      <c r="Q8551">
        <v>9</v>
      </c>
      <c r="R8551" t="s">
        <v>40445</v>
      </c>
      <c r="S8551" t="s">
        <v>40772</v>
      </c>
      <c r="T8551" t="s">
        <v>42129</v>
      </c>
      <c r="U8551" t="s">
        <v>47462</v>
      </c>
      <c r="V8551" t="s">
        <v>54352</v>
      </c>
      <c r="W8551" t="s">
        <v>39001</v>
      </c>
      <c r="X8551" t="s">
        <v>40446</v>
      </c>
    </row>
    <row r="8552" spans="1:24">
      <c r="A8552">
        <f>HYPERLINK("https://www.philgeps.gov.ph/GEPSNONPILOT/Tender/SplashBidNoticeAbstractUI.aspx?menuIndex=3&amp;refID=7037674&amp;Result=3","7037674")</f>
        <v>0</v>
      </c>
      <c r="B8552" t="s">
        <v>1675</v>
      </c>
      <c r="C8552" t="s">
        <v>11231</v>
      </c>
      <c r="D8552" t="s">
        <v>16197</v>
      </c>
      <c r="E8552" t="s">
        <v>23772</v>
      </c>
      <c r="F8552" t="s">
        <v>28198</v>
      </c>
      <c r="G8552" t="s">
        <v>28205</v>
      </c>
      <c r="H8552" t="s">
        <v>28215</v>
      </c>
      <c r="I8552" t="s">
        <v>28265</v>
      </c>
      <c r="J8552" t="s">
        <v>33681</v>
      </c>
      <c r="K8552" t="s">
        <v>36689</v>
      </c>
      <c r="M8552" t="s">
        <v>38771</v>
      </c>
      <c r="N8552" t="s">
        <v>40436</v>
      </c>
      <c r="O8552" t="s">
        <v>40437</v>
      </c>
      <c r="P8552">
        <v>0</v>
      </c>
      <c r="Q8552">
        <v>1</v>
      </c>
      <c r="R8552" t="s">
        <v>40445</v>
      </c>
      <c r="S8552" t="s">
        <v>40730</v>
      </c>
      <c r="T8552" t="s">
        <v>42278</v>
      </c>
      <c r="U8552" t="s">
        <v>49807</v>
      </c>
      <c r="W8552" t="s">
        <v>38771</v>
      </c>
      <c r="X8552" t="s">
        <v>40446</v>
      </c>
    </row>
    <row r="8553" spans="1:24">
      <c r="A8553">
        <f>HYPERLINK("https://www.philgeps.gov.ph/GEPSNONPILOT/Tender/SplashBidNoticeAbstractUI.aspx?menuIndex=3&amp;refID=7037680&amp;Result=3","7037680")</f>
        <v>0</v>
      </c>
      <c r="B8553" t="s">
        <v>2256</v>
      </c>
      <c r="C8553" t="s">
        <v>11232</v>
      </c>
      <c r="D8553" t="s">
        <v>16209</v>
      </c>
      <c r="E8553" t="s">
        <v>23773</v>
      </c>
      <c r="F8553" t="s">
        <v>28198</v>
      </c>
      <c r="G8553" t="s">
        <v>28207</v>
      </c>
      <c r="H8553" t="s">
        <v>28215</v>
      </c>
      <c r="I8553" t="s">
        <v>4168</v>
      </c>
      <c r="J8553" t="s">
        <v>33682</v>
      </c>
      <c r="K8553" t="s">
        <v>36707</v>
      </c>
      <c r="M8553" t="s">
        <v>39426</v>
      </c>
      <c r="N8553" t="s">
        <v>40436</v>
      </c>
      <c r="O8553" t="s">
        <v>40437</v>
      </c>
      <c r="P8553">
        <v>0</v>
      </c>
      <c r="Q8553">
        <v>0</v>
      </c>
      <c r="R8553" t="s">
        <v>40445</v>
      </c>
      <c r="S8553" t="s">
        <v>40730</v>
      </c>
      <c r="T8553" t="s">
        <v>42184</v>
      </c>
      <c r="U8553" t="s">
        <v>49808</v>
      </c>
      <c r="W8553" t="s">
        <v>39426</v>
      </c>
      <c r="X8553" t="s">
        <v>40446</v>
      </c>
    </row>
    <row r="8554" spans="1:24">
      <c r="A8554">
        <f>HYPERLINK("https://www.philgeps.gov.ph/GEPSNONPILOT/Tender/SplashBidNoticeAbstractUI.aspx?menuIndex=3&amp;refID=7037632&amp;Result=3","7037632")</f>
        <v>0</v>
      </c>
      <c r="B8554" t="s">
        <v>2486</v>
      </c>
      <c r="C8554" t="s">
        <v>11233</v>
      </c>
      <c r="D8554" t="s">
        <v>16193</v>
      </c>
      <c r="E8554" t="s">
        <v>23774</v>
      </c>
      <c r="F8554" t="s">
        <v>28198</v>
      </c>
      <c r="G8554" t="s">
        <v>28205</v>
      </c>
      <c r="H8554" t="s">
        <v>28215</v>
      </c>
      <c r="I8554" t="s">
        <v>5082</v>
      </c>
      <c r="J8554" t="s">
        <v>33683</v>
      </c>
      <c r="K8554" t="s">
        <v>36689</v>
      </c>
      <c r="M8554" t="s">
        <v>39685</v>
      </c>
      <c r="N8554" t="s">
        <v>40436</v>
      </c>
      <c r="O8554" t="s">
        <v>40437</v>
      </c>
      <c r="P8554">
        <v>0</v>
      </c>
      <c r="Q8554">
        <v>3</v>
      </c>
      <c r="R8554" t="s">
        <v>40445</v>
      </c>
      <c r="S8554" t="s">
        <v>40730</v>
      </c>
      <c r="T8554" t="s">
        <v>42399</v>
      </c>
      <c r="U8554" t="s">
        <v>49757</v>
      </c>
      <c r="W8554" t="s">
        <v>39685</v>
      </c>
      <c r="X8554" t="s">
        <v>40446</v>
      </c>
    </row>
    <row r="8555" spans="1:24">
      <c r="A8555">
        <f>HYPERLINK("https://www.philgeps.gov.ph/GEPSNONPILOT/Tender/SplashBidNoticeAbstractUI.aspx?menuIndex=3&amp;refID=7037675&amp;Result=3","7037675")</f>
        <v>0</v>
      </c>
      <c r="B8555" t="s">
        <v>755</v>
      </c>
      <c r="C8555" t="s">
        <v>11234</v>
      </c>
      <c r="D8555" t="s">
        <v>16200</v>
      </c>
      <c r="E8555" t="s">
        <v>23775</v>
      </c>
      <c r="F8555" t="s">
        <v>28198</v>
      </c>
      <c r="G8555" t="s">
        <v>28205</v>
      </c>
      <c r="H8555" t="s">
        <v>28214</v>
      </c>
      <c r="I8555" t="s">
        <v>3797</v>
      </c>
      <c r="J8555" t="s">
        <v>28398</v>
      </c>
      <c r="K8555" t="s">
        <v>36701</v>
      </c>
      <c r="M8555" t="s">
        <v>37758</v>
      </c>
      <c r="N8555" t="s">
        <v>40436</v>
      </c>
      <c r="O8555" t="s">
        <v>40437</v>
      </c>
      <c r="P8555">
        <v>0</v>
      </c>
      <c r="Q8555">
        <v>0</v>
      </c>
      <c r="R8555" t="s">
        <v>40445</v>
      </c>
      <c r="S8555" t="s">
        <v>40730</v>
      </c>
      <c r="T8555" t="s">
        <v>42277</v>
      </c>
      <c r="U8555" t="s">
        <v>44043</v>
      </c>
      <c r="W8555" t="s">
        <v>37758</v>
      </c>
      <c r="X8555" t="s">
        <v>40446</v>
      </c>
    </row>
    <row r="8556" spans="1:24">
      <c r="A8556">
        <f>HYPERLINK("https://www.philgeps.gov.ph/GEPSNONPILOT/Tender/SplashBidNoticeAbstractUI.aspx?menuIndex=3&amp;refID=7037670&amp;Result=3","7037670")</f>
        <v>0</v>
      </c>
      <c r="B8556" t="s">
        <v>2486</v>
      </c>
      <c r="C8556" t="s">
        <v>11235</v>
      </c>
      <c r="D8556" t="s">
        <v>16193</v>
      </c>
      <c r="E8556" t="s">
        <v>23776</v>
      </c>
      <c r="F8556" t="s">
        <v>28198</v>
      </c>
      <c r="G8556" t="s">
        <v>28205</v>
      </c>
      <c r="H8556" t="s">
        <v>28215</v>
      </c>
      <c r="I8556" t="s">
        <v>4200</v>
      </c>
      <c r="J8556" t="s">
        <v>33684</v>
      </c>
      <c r="K8556" t="s">
        <v>36689</v>
      </c>
      <c r="M8556" t="s">
        <v>39685</v>
      </c>
      <c r="N8556" t="s">
        <v>40436</v>
      </c>
      <c r="O8556" t="s">
        <v>40437</v>
      </c>
      <c r="P8556">
        <v>0</v>
      </c>
      <c r="Q8556">
        <v>5</v>
      </c>
      <c r="R8556" t="s">
        <v>40445</v>
      </c>
      <c r="S8556" t="s">
        <v>40730</v>
      </c>
      <c r="T8556" t="s">
        <v>42168</v>
      </c>
      <c r="U8556" t="s">
        <v>49757</v>
      </c>
      <c r="W8556" t="s">
        <v>39685</v>
      </c>
      <c r="X8556" t="s">
        <v>40446</v>
      </c>
    </row>
    <row r="8557" spans="1:24">
      <c r="A8557">
        <f>HYPERLINK("https://www.philgeps.gov.ph/GEPSNONPILOT/Tender/SplashBidNoticeAbstractUI.aspx?menuIndex=3&amp;refID=7037669&amp;Result=3","7037669")</f>
        <v>0</v>
      </c>
      <c r="B8557" t="s">
        <v>2493</v>
      </c>
      <c r="C8557" t="s">
        <v>11236</v>
      </c>
      <c r="D8557" t="s">
        <v>16228</v>
      </c>
      <c r="E8557" t="s">
        <v>23777</v>
      </c>
      <c r="F8557" t="s">
        <v>28198</v>
      </c>
      <c r="G8557" t="s">
        <v>28207</v>
      </c>
      <c r="H8557" t="s">
        <v>28215</v>
      </c>
      <c r="I8557" t="s">
        <v>5100</v>
      </c>
      <c r="J8557" t="s">
        <v>33685</v>
      </c>
      <c r="K8557" t="s">
        <v>36692</v>
      </c>
      <c r="M8557" t="s">
        <v>39694</v>
      </c>
      <c r="N8557" t="s">
        <v>40436</v>
      </c>
      <c r="O8557" t="s">
        <v>40437</v>
      </c>
      <c r="P8557">
        <v>0</v>
      </c>
      <c r="Q8557">
        <v>0</v>
      </c>
      <c r="R8557" t="s">
        <v>40445</v>
      </c>
      <c r="S8557" t="s">
        <v>40730</v>
      </c>
      <c r="T8557" t="s">
        <v>42190</v>
      </c>
      <c r="U8557" t="s">
        <v>49809</v>
      </c>
      <c r="W8557" t="s">
        <v>39694</v>
      </c>
      <c r="X8557" t="s">
        <v>40446</v>
      </c>
    </row>
    <row r="8558" spans="1:24">
      <c r="A8558">
        <f>HYPERLINK("https://www.philgeps.gov.ph/GEPSNONPILOT/Tender/SplashBidNoticeAbstractUI.aspx?menuIndex=3&amp;refID=7037653&amp;Result=3","7037653")</f>
        <v>0</v>
      </c>
      <c r="B8558" t="s">
        <v>1183</v>
      </c>
      <c r="C8558" t="s">
        <v>11237</v>
      </c>
      <c r="D8558" t="s">
        <v>16207</v>
      </c>
      <c r="E8558" t="s">
        <v>23778</v>
      </c>
      <c r="F8558" t="s">
        <v>28198</v>
      </c>
      <c r="G8558" t="s">
        <v>28205</v>
      </c>
      <c r="H8558" t="s">
        <v>28214</v>
      </c>
      <c r="I8558" t="s">
        <v>3797</v>
      </c>
      <c r="J8558" t="s">
        <v>28398</v>
      </c>
      <c r="K8558" t="s">
        <v>36703</v>
      </c>
      <c r="M8558" t="s">
        <v>39692</v>
      </c>
      <c r="N8558" t="s">
        <v>40436</v>
      </c>
      <c r="O8558" t="s">
        <v>40437</v>
      </c>
      <c r="P8558">
        <v>0</v>
      </c>
      <c r="Q8558">
        <v>0</v>
      </c>
      <c r="R8558" t="s">
        <v>40445</v>
      </c>
      <c r="S8558" t="s">
        <v>40730</v>
      </c>
      <c r="T8558" t="s">
        <v>42278</v>
      </c>
      <c r="U8558" t="s">
        <v>49810</v>
      </c>
      <c r="W8558" t="s">
        <v>38225</v>
      </c>
      <c r="X8558" t="s">
        <v>40446</v>
      </c>
    </row>
    <row r="8559" spans="1:24">
      <c r="A8559">
        <f>HYPERLINK("https://www.philgeps.gov.ph/GEPSNONPILOT/Tender/SplashBidNoticeAbstractUI.aspx?menuIndex=3&amp;refID=7037661&amp;Result=3","7037661")</f>
        <v>0</v>
      </c>
      <c r="B8559" t="s">
        <v>1935</v>
      </c>
      <c r="C8559" t="s">
        <v>11238</v>
      </c>
      <c r="D8559" t="s">
        <v>16260</v>
      </c>
      <c r="E8559" t="s">
        <v>23779</v>
      </c>
      <c r="F8559" t="s">
        <v>28198</v>
      </c>
      <c r="G8559" t="s">
        <v>28205</v>
      </c>
      <c r="H8559" t="s">
        <v>28214</v>
      </c>
      <c r="I8559" t="s">
        <v>3797</v>
      </c>
      <c r="J8559" t="s">
        <v>33686</v>
      </c>
      <c r="K8559" t="s">
        <v>36717</v>
      </c>
      <c r="M8559" t="s">
        <v>39069</v>
      </c>
      <c r="N8559" t="s">
        <v>40436</v>
      </c>
      <c r="O8559" t="s">
        <v>40437</v>
      </c>
      <c r="P8559">
        <v>0</v>
      </c>
      <c r="Q8559">
        <v>0</v>
      </c>
      <c r="R8559" t="s">
        <v>40445</v>
      </c>
      <c r="S8559" t="s">
        <v>40730</v>
      </c>
      <c r="T8559" t="s">
        <v>42234</v>
      </c>
      <c r="U8559" t="s">
        <v>49811</v>
      </c>
      <c r="V8559" t="s">
        <v>54695</v>
      </c>
      <c r="W8559" t="s">
        <v>39069</v>
      </c>
      <c r="X8559" t="s">
        <v>40446</v>
      </c>
    </row>
    <row r="8560" spans="1:24">
      <c r="A8560">
        <f>HYPERLINK("https://www.philgeps.gov.ph/GEPSNONPILOT/Tender/SplashBidNoticeAbstractUI.aspx?menuIndex=3&amp;refID=7037637&amp;Result=3","7037637")</f>
        <v>0</v>
      </c>
      <c r="B8560" t="s">
        <v>390</v>
      </c>
      <c r="C8560" t="s">
        <v>11239</v>
      </c>
      <c r="D8560" t="s">
        <v>16235</v>
      </c>
      <c r="E8560" t="s">
        <v>23780</v>
      </c>
      <c r="F8560" t="s">
        <v>28198</v>
      </c>
      <c r="G8560" t="s">
        <v>28205</v>
      </c>
      <c r="H8560" t="s">
        <v>28215</v>
      </c>
      <c r="I8560" t="s">
        <v>28222</v>
      </c>
      <c r="J8560" t="s">
        <v>33687</v>
      </c>
      <c r="K8560" t="s">
        <v>36692</v>
      </c>
      <c r="M8560" t="s">
        <v>37370</v>
      </c>
      <c r="N8560" t="s">
        <v>40436</v>
      </c>
      <c r="O8560" t="s">
        <v>40437</v>
      </c>
      <c r="P8560">
        <v>0</v>
      </c>
      <c r="Q8560">
        <v>15</v>
      </c>
      <c r="R8560" t="s">
        <v>40445</v>
      </c>
      <c r="S8560" t="s">
        <v>40730</v>
      </c>
      <c r="T8560" t="s">
        <v>42125</v>
      </c>
      <c r="U8560" t="s">
        <v>49812</v>
      </c>
      <c r="W8560" t="s">
        <v>37370</v>
      </c>
      <c r="X8560" t="s">
        <v>40446</v>
      </c>
    </row>
    <row r="8561" spans="1:24">
      <c r="A8561">
        <f>HYPERLINK("https://www.philgeps.gov.ph/GEPSNONPILOT/Tender/SplashBidNoticeAbstractUI.aspx?menuIndex=3&amp;refID=7037660&amp;Result=3","7037660")</f>
        <v>0</v>
      </c>
      <c r="B8561" t="s">
        <v>491</v>
      </c>
      <c r="C8561" t="s">
        <v>11240</v>
      </c>
      <c r="E8561" t="s">
        <v>16919</v>
      </c>
      <c r="F8561" t="s">
        <v>28198</v>
      </c>
      <c r="G8561" t="s">
        <v>28205</v>
      </c>
      <c r="H8561" t="s">
        <v>28214</v>
      </c>
      <c r="I8561" t="s">
        <v>5100</v>
      </c>
      <c r="J8561" t="s">
        <v>33688</v>
      </c>
      <c r="K8561" t="s">
        <v>36689</v>
      </c>
      <c r="M8561" t="s">
        <v>37476</v>
      </c>
      <c r="N8561" t="s">
        <v>40436</v>
      </c>
      <c r="O8561" t="s">
        <v>40437</v>
      </c>
      <c r="P8561">
        <v>0</v>
      </c>
      <c r="Q8561">
        <v>0</v>
      </c>
      <c r="R8561" t="s">
        <v>40445</v>
      </c>
      <c r="S8561" t="s">
        <v>40730</v>
      </c>
      <c r="T8561" t="s">
        <v>42390</v>
      </c>
      <c r="U8561" t="s">
        <v>49813</v>
      </c>
      <c r="W8561" t="s">
        <v>37476</v>
      </c>
      <c r="X8561" t="s">
        <v>40446</v>
      </c>
    </row>
    <row r="8562" spans="1:24">
      <c r="A8562">
        <f>HYPERLINK("https://www.philgeps.gov.ph/GEPSNONPILOT/Tender/SplashBidNoticeAbstractUI.aspx?menuIndex=3&amp;refID=7037663&amp;Result=3","7037663")</f>
        <v>0</v>
      </c>
      <c r="B8562" t="s">
        <v>2485</v>
      </c>
      <c r="C8562" t="s">
        <v>11241</v>
      </c>
      <c r="D8562" t="s">
        <v>16219</v>
      </c>
      <c r="E8562" t="s">
        <v>23781</v>
      </c>
      <c r="F8562" t="s">
        <v>28198</v>
      </c>
      <c r="G8562" t="s">
        <v>28205</v>
      </c>
      <c r="H8562" t="s">
        <v>28214</v>
      </c>
      <c r="I8562" t="s">
        <v>3797</v>
      </c>
      <c r="J8562" t="s">
        <v>28468</v>
      </c>
      <c r="K8562" t="s">
        <v>36689</v>
      </c>
      <c r="M8562" t="s">
        <v>39684</v>
      </c>
      <c r="N8562" t="s">
        <v>40436</v>
      </c>
      <c r="O8562" t="s">
        <v>40437</v>
      </c>
      <c r="P8562">
        <v>0</v>
      </c>
      <c r="Q8562">
        <v>1</v>
      </c>
      <c r="R8562" t="s">
        <v>40445</v>
      </c>
      <c r="S8562" t="s">
        <v>40730</v>
      </c>
      <c r="T8562" t="s">
        <v>42274</v>
      </c>
      <c r="U8562" t="s">
        <v>49814</v>
      </c>
      <c r="W8562" t="s">
        <v>39684</v>
      </c>
      <c r="X8562" t="s">
        <v>40446</v>
      </c>
    </row>
    <row r="8563" spans="1:24">
      <c r="A8563">
        <f>HYPERLINK("https://www.philgeps.gov.ph/GEPSNONPILOT/Tender/SplashBidNoticeAbstractUI.aspx?menuIndex=3&amp;refID=7037700&amp;Result=3","7037700")</f>
        <v>0</v>
      </c>
      <c r="B8563" t="s">
        <v>1159</v>
      </c>
      <c r="C8563" t="s">
        <v>11242</v>
      </c>
      <c r="D8563" t="s">
        <v>16209</v>
      </c>
      <c r="E8563" t="s">
        <v>23782</v>
      </c>
      <c r="F8563" t="s">
        <v>28198</v>
      </c>
      <c r="G8563" t="s">
        <v>28206</v>
      </c>
      <c r="H8563" t="s">
        <v>28215</v>
      </c>
      <c r="I8563" t="s">
        <v>28225</v>
      </c>
      <c r="J8563" t="s">
        <v>33689</v>
      </c>
      <c r="K8563" t="s">
        <v>36689</v>
      </c>
      <c r="M8563" t="s">
        <v>38199</v>
      </c>
      <c r="N8563" t="s">
        <v>40436</v>
      </c>
      <c r="O8563" t="s">
        <v>40437</v>
      </c>
      <c r="P8563">
        <v>0</v>
      </c>
      <c r="Q8563">
        <v>19</v>
      </c>
      <c r="R8563" t="s">
        <v>40445</v>
      </c>
      <c r="S8563" t="s">
        <v>40730</v>
      </c>
      <c r="T8563" t="s">
        <v>42216</v>
      </c>
      <c r="U8563" t="s">
        <v>49815</v>
      </c>
      <c r="W8563" t="s">
        <v>38199</v>
      </c>
      <c r="X8563" t="s">
        <v>40446</v>
      </c>
    </row>
    <row r="8564" spans="1:24">
      <c r="A8564">
        <f>HYPERLINK("https://www.philgeps.gov.ph/GEPSNONPILOT/Tender/SplashBidNoticeAbstractUI.aspx?menuIndex=3&amp;refID=7037699&amp;Result=3","7037699")</f>
        <v>0</v>
      </c>
      <c r="B8564" t="s">
        <v>2493</v>
      </c>
      <c r="C8564" t="s">
        <v>11243</v>
      </c>
      <c r="D8564" t="s">
        <v>16228</v>
      </c>
      <c r="E8564" t="s">
        <v>23783</v>
      </c>
      <c r="F8564" t="s">
        <v>28198</v>
      </c>
      <c r="G8564" t="s">
        <v>28207</v>
      </c>
      <c r="H8564" t="s">
        <v>28215</v>
      </c>
      <c r="I8564" t="s">
        <v>5100</v>
      </c>
      <c r="J8564" t="s">
        <v>33690</v>
      </c>
      <c r="K8564" t="s">
        <v>36692</v>
      </c>
      <c r="M8564" t="s">
        <v>39694</v>
      </c>
      <c r="N8564" t="s">
        <v>40436</v>
      </c>
      <c r="O8564" t="s">
        <v>40437</v>
      </c>
      <c r="P8564">
        <v>0</v>
      </c>
      <c r="Q8564">
        <v>0</v>
      </c>
      <c r="R8564" t="s">
        <v>40445</v>
      </c>
      <c r="S8564" t="s">
        <v>40730</v>
      </c>
      <c r="T8564" t="s">
        <v>42190</v>
      </c>
      <c r="U8564" t="s">
        <v>49816</v>
      </c>
      <c r="W8564" t="s">
        <v>39694</v>
      </c>
      <c r="X8564" t="s">
        <v>40446</v>
      </c>
    </row>
    <row r="8565" spans="1:24">
      <c r="A8565">
        <f>HYPERLINK("https://www.philgeps.gov.ph/GEPSNONPILOT/Tender/SplashBidNoticeAbstractUI.aspx?menuIndex=3&amp;refID=7037667&amp;Result=3","7037667")</f>
        <v>0</v>
      </c>
      <c r="B8565" t="s">
        <v>905</v>
      </c>
      <c r="C8565" t="s">
        <v>11244</v>
      </c>
      <c r="D8565" t="s">
        <v>16199</v>
      </c>
      <c r="E8565" t="s">
        <v>18182</v>
      </c>
      <c r="F8565" t="s">
        <v>28198</v>
      </c>
      <c r="G8565" t="s">
        <v>28205</v>
      </c>
      <c r="H8565" t="s">
        <v>28214</v>
      </c>
      <c r="I8565" t="s">
        <v>3797</v>
      </c>
      <c r="J8565" t="s">
        <v>33691</v>
      </c>
      <c r="K8565" t="s">
        <v>36694</v>
      </c>
      <c r="M8565" t="s">
        <v>37923</v>
      </c>
      <c r="N8565" t="s">
        <v>40436</v>
      </c>
      <c r="O8565" t="s">
        <v>40437</v>
      </c>
      <c r="Q8565">
        <v>2</v>
      </c>
      <c r="R8565" t="s">
        <v>40445</v>
      </c>
      <c r="S8565" t="s">
        <v>40773</v>
      </c>
      <c r="T8565" t="s">
        <v>42346</v>
      </c>
      <c r="U8565" t="s">
        <v>49817</v>
      </c>
      <c r="W8565" t="s">
        <v>37923</v>
      </c>
      <c r="X8565" t="s">
        <v>40446</v>
      </c>
    </row>
    <row r="8566" spans="1:24">
      <c r="A8566">
        <f>HYPERLINK("https://www.philgeps.gov.ph/GEPSNONPILOT/Tender/SplashBidNoticeAbstractUI.aspx?menuIndex=3&amp;refID=7037732&amp;Result=3","7037732")</f>
        <v>0</v>
      </c>
      <c r="B8566" t="s">
        <v>2496</v>
      </c>
      <c r="C8566" t="s">
        <v>11245</v>
      </c>
      <c r="D8566" t="s">
        <v>16216</v>
      </c>
      <c r="E8566" t="s">
        <v>23784</v>
      </c>
      <c r="F8566" t="s">
        <v>28198</v>
      </c>
      <c r="G8566" t="s">
        <v>28205</v>
      </c>
      <c r="H8566" t="s">
        <v>28215</v>
      </c>
      <c r="I8566" t="s">
        <v>28292</v>
      </c>
      <c r="J8566" t="s">
        <v>28866</v>
      </c>
      <c r="K8566" t="s">
        <v>36701</v>
      </c>
      <c r="M8566" t="s">
        <v>39697</v>
      </c>
      <c r="N8566" t="s">
        <v>40436</v>
      </c>
      <c r="O8566" t="s">
        <v>40437</v>
      </c>
      <c r="P8566">
        <v>0</v>
      </c>
      <c r="Q8566">
        <v>1</v>
      </c>
      <c r="R8566" t="s">
        <v>40445</v>
      </c>
      <c r="S8566" t="s">
        <v>40730</v>
      </c>
      <c r="T8566" t="s">
        <v>42278</v>
      </c>
      <c r="U8566" t="s">
        <v>49818</v>
      </c>
      <c r="W8566" t="s">
        <v>39697</v>
      </c>
      <c r="X8566" t="s">
        <v>40446</v>
      </c>
    </row>
    <row r="8567" spans="1:24">
      <c r="A8567">
        <f>HYPERLINK("https://www.philgeps.gov.ph/GEPSNONPILOT/Tender/SplashBidNoticeAbstractUI.aspx?menuIndex=3&amp;refID=7037705&amp;Result=3","7037705")</f>
        <v>0</v>
      </c>
      <c r="B8567" t="s">
        <v>2486</v>
      </c>
      <c r="C8567" t="s">
        <v>11246</v>
      </c>
      <c r="D8567" t="s">
        <v>16193</v>
      </c>
      <c r="E8567" t="s">
        <v>23785</v>
      </c>
      <c r="F8567" t="s">
        <v>28198</v>
      </c>
      <c r="G8567" t="s">
        <v>28205</v>
      </c>
      <c r="H8567" t="s">
        <v>28215</v>
      </c>
      <c r="I8567" t="s">
        <v>8888</v>
      </c>
      <c r="J8567" t="s">
        <v>33692</v>
      </c>
      <c r="K8567" t="s">
        <v>36689</v>
      </c>
      <c r="M8567" t="s">
        <v>39685</v>
      </c>
      <c r="N8567" t="s">
        <v>40436</v>
      </c>
      <c r="O8567" t="s">
        <v>40437</v>
      </c>
      <c r="P8567">
        <v>0</v>
      </c>
      <c r="Q8567">
        <v>11</v>
      </c>
      <c r="R8567" t="s">
        <v>40445</v>
      </c>
      <c r="S8567" t="s">
        <v>40730</v>
      </c>
      <c r="T8567" t="s">
        <v>42168</v>
      </c>
      <c r="U8567" t="s">
        <v>49757</v>
      </c>
      <c r="W8567" t="s">
        <v>39685</v>
      </c>
      <c r="X8567" t="s">
        <v>40446</v>
      </c>
    </row>
    <row r="8568" spans="1:24">
      <c r="A8568">
        <f>HYPERLINK("https://www.philgeps.gov.ph/GEPSNONPILOT/Tender/SplashBidNoticeAbstractUI.aspx?menuIndex=3&amp;refID=7037697&amp;Result=3","7037697")</f>
        <v>0</v>
      </c>
      <c r="B8568" t="s">
        <v>794</v>
      </c>
      <c r="C8568" t="s">
        <v>11247</v>
      </c>
      <c r="E8568" t="s">
        <v>23786</v>
      </c>
      <c r="F8568" t="s">
        <v>28198</v>
      </c>
      <c r="G8568" t="s">
        <v>28205</v>
      </c>
      <c r="H8568" t="s">
        <v>28214</v>
      </c>
      <c r="I8568" t="s">
        <v>3797</v>
      </c>
      <c r="J8568" t="s">
        <v>33693</v>
      </c>
      <c r="K8568" t="s">
        <v>36735</v>
      </c>
      <c r="M8568" t="s">
        <v>37800</v>
      </c>
      <c r="N8568" t="s">
        <v>40436</v>
      </c>
      <c r="O8568" t="s">
        <v>40437</v>
      </c>
      <c r="P8568">
        <v>0</v>
      </c>
      <c r="Q8568">
        <v>0</v>
      </c>
      <c r="R8568" t="s">
        <v>40445</v>
      </c>
      <c r="S8568" t="s">
        <v>40730</v>
      </c>
      <c r="T8568" t="s">
        <v>42234</v>
      </c>
      <c r="U8568" t="s">
        <v>44144</v>
      </c>
      <c r="V8568" t="s">
        <v>54696</v>
      </c>
      <c r="W8568" t="s">
        <v>37800</v>
      </c>
      <c r="X8568" t="s">
        <v>40446</v>
      </c>
    </row>
    <row r="8569" spans="1:24">
      <c r="A8569">
        <f>HYPERLINK("https://www.philgeps.gov.ph/GEPSNONPILOT/Tender/SplashBidNoticeAbstractUI.aspx?menuIndex=3&amp;refID=7037730&amp;Result=3","7037730")</f>
        <v>0</v>
      </c>
      <c r="B8569" t="s">
        <v>360</v>
      </c>
      <c r="C8569" t="s">
        <v>11248</v>
      </c>
      <c r="D8569" t="s">
        <v>16210</v>
      </c>
      <c r="E8569" t="s">
        <v>23787</v>
      </c>
      <c r="F8569" t="s">
        <v>28198</v>
      </c>
      <c r="G8569" t="s">
        <v>28205</v>
      </c>
      <c r="H8569" t="s">
        <v>28215</v>
      </c>
      <c r="I8569" t="s">
        <v>4168</v>
      </c>
      <c r="J8569" t="s">
        <v>33694</v>
      </c>
      <c r="K8569" t="s">
        <v>36689</v>
      </c>
      <c r="M8569" t="s">
        <v>38020</v>
      </c>
      <c r="N8569" t="s">
        <v>40436</v>
      </c>
      <c r="O8569" t="s">
        <v>40437</v>
      </c>
      <c r="P8569">
        <v>0</v>
      </c>
      <c r="Q8569">
        <v>24</v>
      </c>
      <c r="R8569" t="s">
        <v>40445</v>
      </c>
      <c r="S8569" t="s">
        <v>40730</v>
      </c>
      <c r="T8569" t="s">
        <v>42138</v>
      </c>
      <c r="U8569" t="s">
        <v>49819</v>
      </c>
      <c r="V8569" t="s">
        <v>54040</v>
      </c>
      <c r="W8569" t="s">
        <v>38020</v>
      </c>
      <c r="X8569" t="s">
        <v>40446</v>
      </c>
    </row>
    <row r="8570" spans="1:24">
      <c r="A8570">
        <f>HYPERLINK("https://www.philgeps.gov.ph/GEPSNONPILOT/Tender/SplashBidNoticeAbstractUI.aspx?menuIndex=3&amp;refID=7037743&amp;Result=3","7037743")</f>
        <v>0</v>
      </c>
      <c r="B8570" t="s">
        <v>103</v>
      </c>
      <c r="C8570" t="s">
        <v>11249</v>
      </c>
      <c r="D8570" t="s">
        <v>16230</v>
      </c>
      <c r="E8570" t="s">
        <v>16599</v>
      </c>
      <c r="F8570" t="s">
        <v>28198</v>
      </c>
      <c r="G8570" t="s">
        <v>28205</v>
      </c>
      <c r="H8570" t="s">
        <v>28215</v>
      </c>
      <c r="I8570" t="s">
        <v>28222</v>
      </c>
      <c r="J8570" t="s">
        <v>28468</v>
      </c>
      <c r="K8570" t="s">
        <v>36708</v>
      </c>
      <c r="M8570" t="s">
        <v>37077</v>
      </c>
      <c r="N8570" t="s">
        <v>40436</v>
      </c>
      <c r="O8570" t="s">
        <v>40437</v>
      </c>
      <c r="P8570">
        <v>0</v>
      </c>
      <c r="Q8570">
        <v>5</v>
      </c>
      <c r="R8570" t="s">
        <v>40445</v>
      </c>
      <c r="S8570" t="s">
        <v>40730</v>
      </c>
      <c r="T8570" t="s">
        <v>42234</v>
      </c>
      <c r="U8570" t="s">
        <v>49820</v>
      </c>
      <c r="V8570" t="s">
        <v>54697</v>
      </c>
      <c r="W8570" t="s">
        <v>37077</v>
      </c>
      <c r="X8570" t="s">
        <v>40446</v>
      </c>
    </row>
    <row r="8571" spans="1:24">
      <c r="A8571">
        <f>HYPERLINK("https://www.philgeps.gov.ph/GEPSNONPILOT/Tender/SplashBidNoticeAbstractUI.aspx?menuIndex=3&amp;refID=7037746&amp;Result=3","7037746")</f>
        <v>0</v>
      </c>
      <c r="B8571" t="s">
        <v>1675</v>
      </c>
      <c r="C8571" t="s">
        <v>11250</v>
      </c>
      <c r="D8571" t="s">
        <v>16197</v>
      </c>
      <c r="E8571" t="s">
        <v>23788</v>
      </c>
      <c r="F8571" t="s">
        <v>28198</v>
      </c>
      <c r="G8571" t="s">
        <v>28205</v>
      </c>
      <c r="H8571" t="s">
        <v>28215</v>
      </c>
      <c r="I8571" t="s">
        <v>6051</v>
      </c>
      <c r="J8571" t="s">
        <v>33695</v>
      </c>
      <c r="K8571" t="s">
        <v>36689</v>
      </c>
      <c r="M8571" t="s">
        <v>38771</v>
      </c>
      <c r="N8571" t="s">
        <v>40436</v>
      </c>
      <c r="O8571" t="s">
        <v>40437</v>
      </c>
      <c r="P8571">
        <v>0</v>
      </c>
      <c r="Q8571">
        <v>2</v>
      </c>
      <c r="R8571" t="s">
        <v>40445</v>
      </c>
      <c r="S8571" t="s">
        <v>40730</v>
      </c>
      <c r="T8571" t="s">
        <v>42524</v>
      </c>
      <c r="U8571" t="s">
        <v>49821</v>
      </c>
      <c r="W8571" t="s">
        <v>38771</v>
      </c>
      <c r="X8571" t="s">
        <v>40446</v>
      </c>
    </row>
    <row r="8572" spans="1:24">
      <c r="A8572">
        <f>HYPERLINK("https://www.philgeps.gov.ph/GEPSNONPILOT/Tender/SplashBidNoticeAbstractUI.aspx?menuIndex=3&amp;refID=7037737&amp;Result=3","7037737")</f>
        <v>0</v>
      </c>
      <c r="B8572" t="s">
        <v>1585</v>
      </c>
      <c r="C8572" t="s">
        <v>11251</v>
      </c>
      <c r="D8572" t="s">
        <v>16208</v>
      </c>
      <c r="E8572" t="s">
        <v>23789</v>
      </c>
      <c r="F8572" t="s">
        <v>28198</v>
      </c>
      <c r="G8572" t="s">
        <v>28205</v>
      </c>
      <c r="H8572" t="s">
        <v>28214</v>
      </c>
      <c r="I8572" t="s">
        <v>3797</v>
      </c>
      <c r="J8572" t="s">
        <v>28730</v>
      </c>
      <c r="K8572" t="s">
        <v>36749</v>
      </c>
      <c r="M8572" t="s">
        <v>38670</v>
      </c>
      <c r="N8572" t="s">
        <v>40436</v>
      </c>
      <c r="O8572" t="s">
        <v>40437</v>
      </c>
      <c r="P8572">
        <v>0</v>
      </c>
      <c r="Q8572">
        <v>0</v>
      </c>
      <c r="R8572" t="s">
        <v>40445</v>
      </c>
      <c r="S8572" t="s">
        <v>40730</v>
      </c>
      <c r="T8572" t="s">
        <v>42113</v>
      </c>
      <c r="U8572" t="s">
        <v>49605</v>
      </c>
      <c r="W8572" t="s">
        <v>38670</v>
      </c>
      <c r="X8572" t="s">
        <v>40446</v>
      </c>
    </row>
    <row r="8573" spans="1:24">
      <c r="A8573">
        <f>HYPERLINK("https://www.philgeps.gov.ph/GEPSNONPILOT/Tender/SplashBidNoticeAbstractUI.aspx?menuIndex=3&amp;refID=7037658&amp;Result=3","7037658")</f>
        <v>0</v>
      </c>
      <c r="B8573" t="s">
        <v>2494</v>
      </c>
      <c r="C8573" t="s">
        <v>11252</v>
      </c>
      <c r="D8573" t="s">
        <v>16258</v>
      </c>
      <c r="E8573" t="s">
        <v>23790</v>
      </c>
      <c r="F8573" t="s">
        <v>28198</v>
      </c>
      <c r="G8573" t="s">
        <v>28205</v>
      </c>
      <c r="H8573" t="s">
        <v>28215</v>
      </c>
      <c r="I8573" t="s">
        <v>28220</v>
      </c>
      <c r="J8573" t="s">
        <v>33696</v>
      </c>
      <c r="K8573" t="s">
        <v>36706</v>
      </c>
      <c r="M8573" t="s">
        <v>39695</v>
      </c>
      <c r="N8573" t="s">
        <v>40436</v>
      </c>
      <c r="O8573" t="s">
        <v>40437</v>
      </c>
      <c r="P8573">
        <v>0</v>
      </c>
      <c r="Q8573">
        <v>3</v>
      </c>
      <c r="R8573" t="s">
        <v>40445</v>
      </c>
      <c r="S8573" t="s">
        <v>40730</v>
      </c>
      <c r="T8573" t="s">
        <v>42245</v>
      </c>
      <c r="U8573" t="s">
        <v>49822</v>
      </c>
      <c r="V8573" t="s">
        <v>54694</v>
      </c>
      <c r="W8573" t="s">
        <v>39695</v>
      </c>
      <c r="X8573" t="s">
        <v>40446</v>
      </c>
    </row>
    <row r="8574" spans="1:24">
      <c r="A8574">
        <f>HYPERLINK("https://www.philgeps.gov.ph/GEPSNONPILOT/Tender/SplashBidNoticeAbstractUI.aspx?menuIndex=3&amp;refID=7037729&amp;Result=3","7037729")</f>
        <v>0</v>
      </c>
      <c r="B8574" t="s">
        <v>1705</v>
      </c>
      <c r="C8574" t="s">
        <v>11253</v>
      </c>
      <c r="D8574" t="s">
        <v>16192</v>
      </c>
      <c r="E8574" t="s">
        <v>23791</v>
      </c>
      <c r="F8574" t="s">
        <v>28198</v>
      </c>
      <c r="G8574" t="s">
        <v>28205</v>
      </c>
      <c r="H8574" t="s">
        <v>28214</v>
      </c>
      <c r="I8574" t="s">
        <v>3797</v>
      </c>
      <c r="J8574" t="s">
        <v>28927</v>
      </c>
      <c r="K8574" t="s">
        <v>36827</v>
      </c>
      <c r="M8574" t="s">
        <v>38808</v>
      </c>
      <c r="N8574" t="s">
        <v>40436</v>
      </c>
      <c r="O8574" t="s">
        <v>40437</v>
      </c>
      <c r="P8574">
        <v>0</v>
      </c>
      <c r="Q8574">
        <v>0</v>
      </c>
      <c r="R8574" t="s">
        <v>40445</v>
      </c>
      <c r="S8574" t="s">
        <v>40730</v>
      </c>
      <c r="T8574" t="s">
        <v>42168</v>
      </c>
      <c r="U8574" t="s">
        <v>49823</v>
      </c>
      <c r="V8574" t="s">
        <v>54271</v>
      </c>
      <c r="W8574" t="s">
        <v>38808</v>
      </c>
      <c r="X8574" t="s">
        <v>40446</v>
      </c>
    </row>
    <row r="8575" spans="1:24">
      <c r="A8575">
        <f>HYPERLINK("https://www.philgeps.gov.ph/GEPSNONPILOT/Tender/SplashBidNoticeAbstractUI.aspx?menuIndex=3&amp;refID=7037725&amp;Result=3","7037725")</f>
        <v>0</v>
      </c>
      <c r="B8575" t="s">
        <v>2493</v>
      </c>
      <c r="C8575" t="s">
        <v>11254</v>
      </c>
      <c r="D8575" t="s">
        <v>16228</v>
      </c>
      <c r="E8575" t="s">
        <v>23792</v>
      </c>
      <c r="F8575" t="s">
        <v>28198</v>
      </c>
      <c r="G8575" t="s">
        <v>28207</v>
      </c>
      <c r="H8575" t="s">
        <v>28215</v>
      </c>
      <c r="I8575" t="s">
        <v>5100</v>
      </c>
      <c r="J8575" t="s">
        <v>33697</v>
      </c>
      <c r="K8575" t="s">
        <v>36692</v>
      </c>
      <c r="M8575" t="s">
        <v>39694</v>
      </c>
      <c r="N8575" t="s">
        <v>40436</v>
      </c>
      <c r="O8575" t="s">
        <v>40437</v>
      </c>
      <c r="P8575">
        <v>0</v>
      </c>
      <c r="Q8575">
        <v>0</v>
      </c>
      <c r="R8575" t="s">
        <v>40445</v>
      </c>
      <c r="S8575" t="s">
        <v>40730</v>
      </c>
      <c r="T8575" t="s">
        <v>42190</v>
      </c>
      <c r="U8575" t="s">
        <v>49824</v>
      </c>
      <c r="W8575" t="s">
        <v>39694</v>
      </c>
      <c r="X8575" t="s">
        <v>40446</v>
      </c>
    </row>
    <row r="8576" spans="1:24">
      <c r="A8576">
        <f>HYPERLINK("https://www.philgeps.gov.ph/GEPSNONPILOT/Tender/SplashBidNoticeAbstractUI.aspx?menuIndex=3&amp;refID=7037713&amp;Result=3","7037713")</f>
        <v>0</v>
      </c>
      <c r="B8576" t="s">
        <v>1675</v>
      </c>
      <c r="C8576" t="s">
        <v>11255</v>
      </c>
      <c r="D8576" t="s">
        <v>16197</v>
      </c>
      <c r="E8576" t="s">
        <v>23793</v>
      </c>
      <c r="F8576" t="s">
        <v>28198</v>
      </c>
      <c r="G8576" t="s">
        <v>28205</v>
      </c>
      <c r="H8576" t="s">
        <v>28215</v>
      </c>
      <c r="I8576" t="s">
        <v>28243</v>
      </c>
      <c r="J8576" t="s">
        <v>33698</v>
      </c>
      <c r="K8576" t="s">
        <v>36689</v>
      </c>
      <c r="M8576" t="s">
        <v>38771</v>
      </c>
      <c r="N8576" t="s">
        <v>40436</v>
      </c>
      <c r="O8576" t="s">
        <v>40437</v>
      </c>
      <c r="P8576">
        <v>0</v>
      </c>
      <c r="Q8576">
        <v>0</v>
      </c>
      <c r="R8576" t="s">
        <v>40445</v>
      </c>
      <c r="S8576" t="s">
        <v>40730</v>
      </c>
      <c r="T8576" t="s">
        <v>42372</v>
      </c>
      <c r="U8576" t="s">
        <v>49825</v>
      </c>
      <c r="W8576" t="s">
        <v>38771</v>
      </c>
      <c r="X8576" t="s">
        <v>40446</v>
      </c>
    </row>
    <row r="8577" spans="1:24">
      <c r="A8577">
        <f>HYPERLINK("https://www.philgeps.gov.ph/GEPSNONPILOT/Tender/SplashBidNoticeAbstractUI.aspx?menuIndex=3&amp;refID=7037711&amp;Result=3","7037711")</f>
        <v>0</v>
      </c>
      <c r="B8577" t="s">
        <v>2256</v>
      </c>
      <c r="C8577" t="s">
        <v>10988</v>
      </c>
      <c r="D8577" t="s">
        <v>16209</v>
      </c>
      <c r="E8577" t="s">
        <v>23794</v>
      </c>
      <c r="F8577" t="s">
        <v>28198</v>
      </c>
      <c r="G8577" t="s">
        <v>28207</v>
      </c>
      <c r="H8577" t="s">
        <v>28215</v>
      </c>
      <c r="I8577" t="s">
        <v>28265</v>
      </c>
      <c r="J8577" t="s">
        <v>33699</v>
      </c>
      <c r="K8577" t="s">
        <v>36707</v>
      </c>
      <c r="M8577" t="s">
        <v>39426</v>
      </c>
      <c r="N8577" t="s">
        <v>40436</v>
      </c>
      <c r="O8577" t="s">
        <v>40437</v>
      </c>
      <c r="P8577">
        <v>0</v>
      </c>
      <c r="Q8577">
        <v>0</v>
      </c>
      <c r="R8577" t="s">
        <v>40445</v>
      </c>
      <c r="S8577" t="s">
        <v>40730</v>
      </c>
      <c r="T8577" t="s">
        <v>42184</v>
      </c>
      <c r="U8577" t="s">
        <v>49826</v>
      </c>
      <c r="W8577" t="s">
        <v>39426</v>
      </c>
      <c r="X8577" t="s">
        <v>40446</v>
      </c>
    </row>
    <row r="8578" spans="1:24">
      <c r="A8578">
        <f>HYPERLINK("https://www.philgeps.gov.ph/GEPSNONPILOT/Tender/SplashBidNoticeAbstractUI.aspx?menuIndex=3&amp;refID=7037718&amp;Result=3","7037718")</f>
        <v>0</v>
      </c>
      <c r="B8578" t="s">
        <v>670</v>
      </c>
      <c r="C8578" t="s">
        <v>11256</v>
      </c>
      <c r="E8578" t="s">
        <v>23795</v>
      </c>
      <c r="F8578" t="s">
        <v>28198</v>
      </c>
      <c r="G8578" t="s">
        <v>28205</v>
      </c>
      <c r="H8578" t="s">
        <v>28215</v>
      </c>
      <c r="I8578" t="s">
        <v>3774</v>
      </c>
      <c r="J8578" t="s">
        <v>33013</v>
      </c>
      <c r="K8578" t="s">
        <v>36701</v>
      </c>
      <c r="M8578" t="s">
        <v>37666</v>
      </c>
      <c r="N8578" t="s">
        <v>40436</v>
      </c>
      <c r="O8578" t="s">
        <v>40437</v>
      </c>
      <c r="P8578">
        <v>0</v>
      </c>
      <c r="Q8578">
        <v>5</v>
      </c>
      <c r="R8578" t="s">
        <v>40445</v>
      </c>
      <c r="S8578" t="s">
        <v>40730</v>
      </c>
      <c r="T8578" t="s">
        <v>42278</v>
      </c>
      <c r="U8578" t="s">
        <v>49803</v>
      </c>
      <c r="W8578" t="s">
        <v>37666</v>
      </c>
      <c r="X8578" t="s">
        <v>40446</v>
      </c>
    </row>
    <row r="8579" spans="1:24">
      <c r="A8579">
        <f>HYPERLINK("https://www.philgeps.gov.ph/GEPSNONPILOT/Tender/SplashBidNoticeAbstractUI.aspx?menuIndex=3&amp;refID=7037692&amp;Result=3","7037692")</f>
        <v>0</v>
      </c>
      <c r="B8579" t="s">
        <v>2219</v>
      </c>
      <c r="C8579" t="s">
        <v>11257</v>
      </c>
      <c r="D8579" t="s">
        <v>16244</v>
      </c>
      <c r="E8579" t="s">
        <v>23756</v>
      </c>
      <c r="F8579" t="s">
        <v>28198</v>
      </c>
      <c r="G8579" t="s">
        <v>28205</v>
      </c>
      <c r="H8579" t="s">
        <v>28215</v>
      </c>
      <c r="I8579" t="s">
        <v>5100</v>
      </c>
      <c r="J8579" t="s">
        <v>28430</v>
      </c>
      <c r="K8579" t="s">
        <v>36695</v>
      </c>
      <c r="M8579" t="s">
        <v>39385</v>
      </c>
      <c r="N8579" t="s">
        <v>40436</v>
      </c>
      <c r="O8579" t="s">
        <v>40437</v>
      </c>
      <c r="P8579">
        <v>0</v>
      </c>
      <c r="Q8579">
        <v>0</v>
      </c>
      <c r="R8579" t="s">
        <v>40445</v>
      </c>
      <c r="S8579" t="s">
        <v>40730</v>
      </c>
      <c r="T8579" t="s">
        <v>42455</v>
      </c>
      <c r="U8579" t="s">
        <v>49827</v>
      </c>
      <c r="W8579" t="s">
        <v>39385</v>
      </c>
      <c r="X8579" t="s">
        <v>40446</v>
      </c>
    </row>
    <row r="8580" spans="1:24">
      <c r="A8580">
        <f>HYPERLINK("https://www.philgeps.gov.ph/GEPSNONPILOT/Tender/SplashBidNoticeAbstractUI.aspx?menuIndex=3&amp;refID=7037715&amp;Result=3","7037715")</f>
        <v>0</v>
      </c>
      <c r="B8580" t="s">
        <v>2493</v>
      </c>
      <c r="C8580" t="s">
        <v>11258</v>
      </c>
      <c r="D8580" t="s">
        <v>16228</v>
      </c>
      <c r="E8580" t="s">
        <v>23796</v>
      </c>
      <c r="F8580" t="s">
        <v>28198</v>
      </c>
      <c r="G8580" t="s">
        <v>28207</v>
      </c>
      <c r="H8580" t="s">
        <v>28215</v>
      </c>
      <c r="I8580" t="s">
        <v>5100</v>
      </c>
      <c r="J8580" t="s">
        <v>33700</v>
      </c>
      <c r="K8580" t="s">
        <v>36692</v>
      </c>
      <c r="M8580" t="s">
        <v>39694</v>
      </c>
      <c r="N8580" t="s">
        <v>40436</v>
      </c>
      <c r="O8580" t="s">
        <v>40437</v>
      </c>
      <c r="P8580">
        <v>0</v>
      </c>
      <c r="Q8580">
        <v>0</v>
      </c>
      <c r="R8580" t="s">
        <v>40445</v>
      </c>
      <c r="S8580" t="s">
        <v>40730</v>
      </c>
      <c r="T8580" t="s">
        <v>42190</v>
      </c>
      <c r="U8580" t="s">
        <v>49828</v>
      </c>
      <c r="W8580" t="s">
        <v>39694</v>
      </c>
      <c r="X8580" t="s">
        <v>40446</v>
      </c>
    </row>
    <row r="8581" spans="1:24">
      <c r="A8581">
        <f>HYPERLINK("https://www.philgeps.gov.ph/GEPSNONPILOT/Tender/SplashBidNoticeAbstractUI.aspx?menuIndex=3&amp;refID=7037691&amp;Result=3","7037691")</f>
        <v>0</v>
      </c>
      <c r="B8581" t="s">
        <v>816</v>
      </c>
      <c r="C8581" t="s">
        <v>11259</v>
      </c>
      <c r="D8581" t="s">
        <v>16200</v>
      </c>
      <c r="E8581" t="s">
        <v>23797</v>
      </c>
      <c r="F8581" t="s">
        <v>28198</v>
      </c>
      <c r="G8581" t="s">
        <v>28205</v>
      </c>
      <c r="H8581" t="s">
        <v>28215</v>
      </c>
      <c r="I8581" t="s">
        <v>3774</v>
      </c>
      <c r="J8581" t="s">
        <v>33701</v>
      </c>
      <c r="K8581" t="s">
        <v>36689</v>
      </c>
      <c r="M8581" t="s">
        <v>37828</v>
      </c>
      <c r="N8581" t="s">
        <v>40436</v>
      </c>
      <c r="O8581" t="s">
        <v>40437</v>
      </c>
      <c r="P8581">
        <v>0</v>
      </c>
      <c r="Q8581">
        <v>1</v>
      </c>
      <c r="R8581" t="s">
        <v>40445</v>
      </c>
      <c r="S8581" t="s">
        <v>40730</v>
      </c>
      <c r="T8581" t="s">
        <v>42277</v>
      </c>
      <c r="U8581" t="s">
        <v>49829</v>
      </c>
      <c r="V8581" t="s">
        <v>54622</v>
      </c>
      <c r="W8581" t="s">
        <v>37828</v>
      </c>
      <c r="X8581" t="s">
        <v>40446</v>
      </c>
    </row>
    <row r="8582" spans="1:24">
      <c r="A8582">
        <f>HYPERLINK("https://www.philgeps.gov.ph/GEPSNONPILOT/Tender/SplashBidNoticeAbstractUI.aspx?menuIndex=3&amp;refID=7037707&amp;Result=3","7037707")</f>
        <v>0</v>
      </c>
      <c r="B8582" t="s">
        <v>1196</v>
      </c>
      <c r="C8582" t="s">
        <v>11260</v>
      </c>
      <c r="D8582" t="s">
        <v>16188</v>
      </c>
      <c r="E8582" t="s">
        <v>16657</v>
      </c>
      <c r="F8582" t="s">
        <v>28198</v>
      </c>
      <c r="G8582" t="s">
        <v>28205</v>
      </c>
      <c r="H8582" t="s">
        <v>28215</v>
      </c>
      <c r="I8582" t="s">
        <v>5100</v>
      </c>
      <c r="J8582" t="s">
        <v>33702</v>
      </c>
      <c r="K8582" t="s">
        <v>36701</v>
      </c>
      <c r="M8582" t="s">
        <v>38240</v>
      </c>
      <c r="N8582" t="s">
        <v>40436</v>
      </c>
      <c r="O8582" t="s">
        <v>40437</v>
      </c>
      <c r="P8582">
        <v>0</v>
      </c>
      <c r="Q8582">
        <v>0</v>
      </c>
      <c r="R8582" t="s">
        <v>40445</v>
      </c>
      <c r="S8582" t="s">
        <v>40730</v>
      </c>
      <c r="T8582" t="s">
        <v>42124</v>
      </c>
      <c r="U8582" t="s">
        <v>49830</v>
      </c>
      <c r="W8582" t="s">
        <v>38240</v>
      </c>
      <c r="X8582" t="s">
        <v>40446</v>
      </c>
    </row>
    <row r="8583" spans="1:24">
      <c r="A8583">
        <f>HYPERLINK("https://www.philgeps.gov.ph/GEPSNONPILOT/Tender/SplashBidNoticeAbstractUI.aspx?menuIndex=3&amp;refID=7037757&amp;Result=3","7037757")</f>
        <v>0</v>
      </c>
      <c r="B8583" t="s">
        <v>2350</v>
      </c>
      <c r="C8583" t="s">
        <v>11261</v>
      </c>
      <c r="D8583" t="s">
        <v>16188</v>
      </c>
      <c r="E8583" t="s">
        <v>23798</v>
      </c>
      <c r="F8583" t="s">
        <v>28199</v>
      </c>
      <c r="G8583" t="s">
        <v>28206</v>
      </c>
      <c r="H8583" t="s">
        <v>28216</v>
      </c>
      <c r="I8583" t="s">
        <v>28274</v>
      </c>
      <c r="J8583" t="s">
        <v>28996</v>
      </c>
      <c r="K8583" t="s">
        <v>36705</v>
      </c>
      <c r="M8583" t="s">
        <v>39698</v>
      </c>
      <c r="N8583" t="s">
        <v>40436</v>
      </c>
      <c r="O8583" t="s">
        <v>40437</v>
      </c>
      <c r="Q8583">
        <v>2</v>
      </c>
      <c r="R8583" t="s">
        <v>40445</v>
      </c>
      <c r="S8583" t="s">
        <v>40774</v>
      </c>
      <c r="T8583" t="s">
        <v>42525</v>
      </c>
      <c r="U8583" t="s">
        <v>49831</v>
      </c>
      <c r="W8583" t="s">
        <v>39530</v>
      </c>
      <c r="X8583" t="s">
        <v>40446</v>
      </c>
    </row>
    <row r="8584" spans="1:24">
      <c r="A8584">
        <f>HYPERLINK("https://www.philgeps.gov.ph/GEPSNONPILOT/Tender/SplashBidNoticeAbstractUI.aspx?menuIndex=3&amp;refID=7037753&amp;Result=3","7037753")</f>
        <v>0</v>
      </c>
      <c r="B8584" t="s">
        <v>670</v>
      </c>
      <c r="C8584" t="s">
        <v>11262</v>
      </c>
      <c r="E8584" t="s">
        <v>23799</v>
      </c>
      <c r="F8584" t="s">
        <v>28198</v>
      </c>
      <c r="G8584" t="s">
        <v>28205</v>
      </c>
      <c r="H8584" t="s">
        <v>28215</v>
      </c>
      <c r="I8584" t="s">
        <v>28243</v>
      </c>
      <c r="J8584" t="s">
        <v>28379</v>
      </c>
      <c r="K8584" t="s">
        <v>36709</v>
      </c>
      <c r="M8584" t="s">
        <v>37666</v>
      </c>
      <c r="N8584" t="s">
        <v>40436</v>
      </c>
      <c r="O8584" t="s">
        <v>40437</v>
      </c>
      <c r="P8584">
        <v>0</v>
      </c>
      <c r="Q8584">
        <v>5</v>
      </c>
      <c r="R8584" t="s">
        <v>40445</v>
      </c>
      <c r="S8584" t="s">
        <v>40730</v>
      </c>
      <c r="T8584" t="s">
        <v>42278</v>
      </c>
      <c r="U8584" t="s">
        <v>49832</v>
      </c>
      <c r="W8584" t="s">
        <v>37666</v>
      </c>
      <c r="X8584" t="s">
        <v>40446</v>
      </c>
    </row>
    <row r="8585" spans="1:24">
      <c r="A8585">
        <f>HYPERLINK("https://www.philgeps.gov.ph/GEPSNONPILOT/Tender/SplashBidNoticeAbstractUI.aspx?menuIndex=3&amp;refID=7037741&amp;Result=3","7037741")</f>
        <v>0</v>
      </c>
      <c r="B8585" t="s">
        <v>670</v>
      </c>
      <c r="C8585" t="s">
        <v>11263</v>
      </c>
      <c r="E8585" t="s">
        <v>23800</v>
      </c>
      <c r="F8585" t="s">
        <v>28198</v>
      </c>
      <c r="G8585" t="s">
        <v>28205</v>
      </c>
      <c r="H8585" t="s">
        <v>28215</v>
      </c>
      <c r="I8585" t="s">
        <v>7310</v>
      </c>
      <c r="J8585" t="s">
        <v>33703</v>
      </c>
      <c r="K8585" t="s">
        <v>36701</v>
      </c>
      <c r="M8585" t="s">
        <v>37666</v>
      </c>
      <c r="N8585" t="s">
        <v>40436</v>
      </c>
      <c r="O8585" t="s">
        <v>40437</v>
      </c>
      <c r="P8585">
        <v>0</v>
      </c>
      <c r="Q8585">
        <v>3</v>
      </c>
      <c r="R8585" t="s">
        <v>40445</v>
      </c>
      <c r="S8585" t="s">
        <v>40730</v>
      </c>
      <c r="T8585" t="s">
        <v>42278</v>
      </c>
      <c r="U8585" t="s">
        <v>49832</v>
      </c>
      <c r="W8585" t="s">
        <v>37666</v>
      </c>
      <c r="X8585" t="s">
        <v>40446</v>
      </c>
    </row>
    <row r="8586" spans="1:24">
      <c r="A8586">
        <f>HYPERLINK("https://www.philgeps.gov.ph/GEPSNONPILOT/Tender/SplashBidNoticeAbstractUI.aspx?menuIndex=3&amp;refID=7037749&amp;Result=3","7037749")</f>
        <v>0</v>
      </c>
      <c r="B8586" t="s">
        <v>794</v>
      </c>
      <c r="C8586" t="s">
        <v>11264</v>
      </c>
      <c r="E8586" t="s">
        <v>23801</v>
      </c>
      <c r="F8586" t="s">
        <v>28198</v>
      </c>
      <c r="G8586" t="s">
        <v>28205</v>
      </c>
      <c r="H8586" t="s">
        <v>28214</v>
      </c>
      <c r="I8586" t="s">
        <v>3797</v>
      </c>
      <c r="J8586" t="s">
        <v>33704</v>
      </c>
      <c r="K8586" t="s">
        <v>36690</v>
      </c>
      <c r="M8586" t="s">
        <v>37800</v>
      </c>
      <c r="N8586" t="s">
        <v>40436</v>
      </c>
      <c r="O8586" t="s">
        <v>40437</v>
      </c>
      <c r="P8586">
        <v>0</v>
      </c>
      <c r="Q8586">
        <v>1</v>
      </c>
      <c r="R8586" t="s">
        <v>40445</v>
      </c>
      <c r="S8586" t="s">
        <v>40730</v>
      </c>
      <c r="T8586" t="s">
        <v>42234</v>
      </c>
      <c r="U8586" t="s">
        <v>44144</v>
      </c>
      <c r="V8586" t="s">
        <v>54698</v>
      </c>
      <c r="W8586" t="s">
        <v>37800</v>
      </c>
      <c r="X8586" t="s">
        <v>40446</v>
      </c>
    </row>
    <row r="8587" spans="1:24">
      <c r="A8587">
        <f>HYPERLINK("https://www.philgeps.gov.ph/GEPSNONPILOT/Tender/SplashBidNoticeAbstractUI.aspx?menuIndex=3&amp;refID=7037739&amp;Result=3","7037739")</f>
        <v>0</v>
      </c>
      <c r="B8587" t="s">
        <v>2486</v>
      </c>
      <c r="C8587" t="s">
        <v>11265</v>
      </c>
      <c r="D8587" t="s">
        <v>16193</v>
      </c>
      <c r="E8587" t="s">
        <v>23802</v>
      </c>
      <c r="F8587" t="s">
        <v>28198</v>
      </c>
      <c r="G8587" t="s">
        <v>28205</v>
      </c>
      <c r="H8587" t="s">
        <v>28214</v>
      </c>
      <c r="I8587" t="s">
        <v>3797</v>
      </c>
      <c r="J8587" t="s">
        <v>33705</v>
      </c>
      <c r="K8587" t="s">
        <v>36689</v>
      </c>
      <c r="M8587" t="s">
        <v>39685</v>
      </c>
      <c r="N8587" t="s">
        <v>40436</v>
      </c>
      <c r="O8587" t="s">
        <v>40437</v>
      </c>
      <c r="P8587">
        <v>0</v>
      </c>
      <c r="Q8587">
        <v>0</v>
      </c>
      <c r="R8587" t="s">
        <v>40445</v>
      </c>
      <c r="S8587" t="s">
        <v>40730</v>
      </c>
      <c r="T8587" t="s">
        <v>42168</v>
      </c>
      <c r="U8587" t="s">
        <v>49757</v>
      </c>
      <c r="W8587" t="s">
        <v>39685</v>
      </c>
      <c r="X8587" t="s">
        <v>40446</v>
      </c>
    </row>
    <row r="8588" spans="1:24">
      <c r="A8588">
        <f>HYPERLINK("https://www.philgeps.gov.ph/GEPSNONPILOT/Tender/SplashBidNoticeAbstractUI.aspx?menuIndex=3&amp;refID=7037769&amp;Result=3","7037769")</f>
        <v>0</v>
      </c>
      <c r="B8588" t="s">
        <v>1585</v>
      </c>
      <c r="C8588" t="s">
        <v>11266</v>
      </c>
      <c r="D8588" t="s">
        <v>16208</v>
      </c>
      <c r="E8588" t="s">
        <v>23803</v>
      </c>
      <c r="F8588" t="s">
        <v>28198</v>
      </c>
      <c r="G8588" t="s">
        <v>28205</v>
      </c>
      <c r="H8588" t="s">
        <v>28214</v>
      </c>
      <c r="I8588" t="s">
        <v>3797</v>
      </c>
      <c r="J8588" t="s">
        <v>28730</v>
      </c>
      <c r="K8588" t="s">
        <v>36749</v>
      </c>
      <c r="M8588" t="s">
        <v>38670</v>
      </c>
      <c r="N8588" t="s">
        <v>40436</v>
      </c>
      <c r="O8588" t="s">
        <v>40437</v>
      </c>
      <c r="P8588">
        <v>0</v>
      </c>
      <c r="Q8588">
        <v>0</v>
      </c>
      <c r="R8588" t="s">
        <v>40445</v>
      </c>
      <c r="S8588" t="s">
        <v>40730</v>
      </c>
      <c r="T8588" t="s">
        <v>42113</v>
      </c>
      <c r="U8588" t="s">
        <v>49605</v>
      </c>
      <c r="W8588" t="s">
        <v>38670</v>
      </c>
      <c r="X8588" t="s">
        <v>40446</v>
      </c>
    </row>
    <row r="8589" spans="1:24">
      <c r="A8589">
        <f>HYPERLINK("https://www.philgeps.gov.ph/GEPSNONPILOT/Tender/SplashBidNoticeAbstractUI.aspx?menuIndex=3&amp;refID=7037752&amp;Result=3","7037752")</f>
        <v>0</v>
      </c>
      <c r="B8589" t="s">
        <v>1705</v>
      </c>
      <c r="C8589" t="s">
        <v>11267</v>
      </c>
      <c r="D8589" t="s">
        <v>16192</v>
      </c>
      <c r="E8589" t="s">
        <v>23804</v>
      </c>
      <c r="F8589" t="s">
        <v>28198</v>
      </c>
      <c r="G8589" t="s">
        <v>28205</v>
      </c>
      <c r="H8589" t="s">
        <v>28214</v>
      </c>
      <c r="I8589" t="s">
        <v>3797</v>
      </c>
      <c r="J8589" t="s">
        <v>28927</v>
      </c>
      <c r="K8589" t="s">
        <v>36827</v>
      </c>
      <c r="M8589" t="s">
        <v>38808</v>
      </c>
      <c r="N8589" t="s">
        <v>40436</v>
      </c>
      <c r="O8589" t="s">
        <v>40437</v>
      </c>
      <c r="P8589">
        <v>0</v>
      </c>
      <c r="Q8589">
        <v>0</v>
      </c>
      <c r="R8589" t="s">
        <v>40445</v>
      </c>
      <c r="S8589" t="s">
        <v>40730</v>
      </c>
      <c r="T8589" t="s">
        <v>42168</v>
      </c>
      <c r="U8589" t="s">
        <v>49833</v>
      </c>
      <c r="V8589" t="s">
        <v>54271</v>
      </c>
      <c r="W8589" t="s">
        <v>38808</v>
      </c>
      <c r="X8589" t="s">
        <v>40446</v>
      </c>
    </row>
    <row r="8590" spans="1:24">
      <c r="A8590">
        <f>HYPERLINK("https://www.philgeps.gov.ph/GEPSNONPILOT/Tender/SplashBidNoticeAbstractUI.aspx?menuIndex=3&amp;refID=7037761&amp;Result=3","7037761")</f>
        <v>0</v>
      </c>
      <c r="B8590" t="s">
        <v>2348</v>
      </c>
      <c r="C8590" t="s">
        <v>11268</v>
      </c>
      <c r="D8590" t="s">
        <v>16201</v>
      </c>
      <c r="E8590" t="s">
        <v>23805</v>
      </c>
      <c r="F8590" t="s">
        <v>28198</v>
      </c>
      <c r="G8590" t="s">
        <v>28205</v>
      </c>
      <c r="H8590" t="s">
        <v>28214</v>
      </c>
      <c r="I8590" t="s">
        <v>3797</v>
      </c>
      <c r="J8590" t="s">
        <v>28351</v>
      </c>
      <c r="K8590" t="s">
        <v>36787</v>
      </c>
      <c r="M8590" t="s">
        <v>39528</v>
      </c>
      <c r="N8590" t="s">
        <v>40436</v>
      </c>
      <c r="O8590" t="s">
        <v>40437</v>
      </c>
      <c r="P8590">
        <v>0</v>
      </c>
      <c r="Q8590">
        <v>1</v>
      </c>
      <c r="R8590" t="s">
        <v>40445</v>
      </c>
      <c r="S8590" t="s">
        <v>40730</v>
      </c>
      <c r="T8590" t="s">
        <v>42279</v>
      </c>
      <c r="U8590" t="s">
        <v>49834</v>
      </c>
      <c r="V8590" t="s">
        <v>54609</v>
      </c>
      <c r="W8590" t="s">
        <v>39528</v>
      </c>
      <c r="X8590" t="s">
        <v>40446</v>
      </c>
    </row>
    <row r="8591" spans="1:24">
      <c r="A8591">
        <f>HYPERLINK("https://www.philgeps.gov.ph/GEPSNONPILOT/Tender/SplashBidNoticeAbstractUI.aspx?menuIndex=3&amp;refID=7037758&amp;Result=3","7037758")</f>
        <v>0</v>
      </c>
      <c r="B8591" t="s">
        <v>2091</v>
      </c>
      <c r="C8591" t="s">
        <v>11269</v>
      </c>
      <c r="D8591" t="s">
        <v>16244</v>
      </c>
      <c r="E8591" t="s">
        <v>23806</v>
      </c>
      <c r="F8591" t="s">
        <v>28198</v>
      </c>
      <c r="G8591" t="s">
        <v>28205</v>
      </c>
      <c r="H8591" t="s">
        <v>28216</v>
      </c>
      <c r="I8591" t="s">
        <v>28216</v>
      </c>
      <c r="J8591" t="s">
        <v>33706</v>
      </c>
      <c r="K8591" t="s">
        <v>36715</v>
      </c>
      <c r="M8591" t="s">
        <v>39240</v>
      </c>
      <c r="N8591" t="s">
        <v>40436</v>
      </c>
      <c r="O8591" t="s">
        <v>40437</v>
      </c>
      <c r="Q8591">
        <v>3</v>
      </c>
      <c r="R8591" t="s">
        <v>40445</v>
      </c>
      <c r="S8591" t="s">
        <v>40775</v>
      </c>
      <c r="T8591" t="s">
        <v>42108</v>
      </c>
      <c r="U8591" t="s">
        <v>49835</v>
      </c>
      <c r="W8591" t="s">
        <v>39240</v>
      </c>
      <c r="X8591" t="s">
        <v>40446</v>
      </c>
    </row>
    <row r="8592" spans="1:24">
      <c r="A8592">
        <f>HYPERLINK("https://www.philgeps.gov.ph/GEPSNONPILOT/Tender/SplashBidNoticeAbstractUI.aspx?menuIndex=3&amp;refID=7037767&amp;Result=3","7037767")</f>
        <v>0</v>
      </c>
      <c r="B8592" t="s">
        <v>2497</v>
      </c>
      <c r="C8592" t="s">
        <v>11270</v>
      </c>
      <c r="D8592" t="s">
        <v>16263</v>
      </c>
      <c r="E8592" t="s">
        <v>23807</v>
      </c>
      <c r="F8592" t="s">
        <v>28198</v>
      </c>
      <c r="G8592" t="s">
        <v>28205</v>
      </c>
      <c r="H8592" t="s">
        <v>28214</v>
      </c>
      <c r="I8592" t="s">
        <v>3797</v>
      </c>
      <c r="J8592" t="s">
        <v>33707</v>
      </c>
      <c r="K8592" t="s">
        <v>36735</v>
      </c>
      <c r="M8592" t="s">
        <v>39699</v>
      </c>
      <c r="N8592" t="s">
        <v>40436</v>
      </c>
      <c r="O8592" t="s">
        <v>40437</v>
      </c>
      <c r="P8592">
        <v>0</v>
      </c>
      <c r="Q8592">
        <v>0</v>
      </c>
      <c r="R8592" t="s">
        <v>40445</v>
      </c>
      <c r="S8592" t="s">
        <v>40730</v>
      </c>
      <c r="T8592" t="s">
        <v>42435</v>
      </c>
      <c r="U8592" t="s">
        <v>49836</v>
      </c>
      <c r="W8592" t="s">
        <v>39699</v>
      </c>
      <c r="X8592" t="s">
        <v>40446</v>
      </c>
    </row>
    <row r="8593" spans="1:24">
      <c r="A8593">
        <f>HYPERLINK("https://www.philgeps.gov.ph/GEPSNONPILOT/Tender/SplashBidNoticeAbstractUI.aspx?menuIndex=3&amp;refID=7037772&amp;Result=3","7037772")</f>
        <v>0</v>
      </c>
      <c r="B8593" t="s">
        <v>103</v>
      </c>
      <c r="C8593" t="s">
        <v>11271</v>
      </c>
      <c r="D8593" t="s">
        <v>16230</v>
      </c>
      <c r="E8593" t="s">
        <v>16724</v>
      </c>
      <c r="F8593" t="s">
        <v>28198</v>
      </c>
      <c r="G8593" t="s">
        <v>28205</v>
      </c>
      <c r="H8593" t="s">
        <v>28215</v>
      </c>
      <c r="I8593" t="s">
        <v>28222</v>
      </c>
      <c r="J8593" t="s">
        <v>28752</v>
      </c>
      <c r="K8593" t="s">
        <v>36708</v>
      </c>
      <c r="M8593" t="s">
        <v>37077</v>
      </c>
      <c r="N8593" t="s">
        <v>40436</v>
      </c>
      <c r="O8593" t="s">
        <v>40437</v>
      </c>
      <c r="P8593">
        <v>0</v>
      </c>
      <c r="Q8593">
        <v>5</v>
      </c>
      <c r="R8593" t="s">
        <v>40445</v>
      </c>
      <c r="S8593" t="s">
        <v>40730</v>
      </c>
      <c r="T8593" t="s">
        <v>42234</v>
      </c>
      <c r="U8593" t="s">
        <v>49837</v>
      </c>
      <c r="V8593" t="s">
        <v>54699</v>
      </c>
      <c r="W8593" t="s">
        <v>37077</v>
      </c>
      <c r="X8593" t="s">
        <v>40446</v>
      </c>
    </row>
    <row r="8594" spans="1:24">
      <c r="A8594">
        <f>HYPERLINK("https://www.philgeps.gov.ph/GEPSNONPILOT/Tender/SplashBidNoticeAbstractUI.aspx?menuIndex=3&amp;refID=7037771&amp;Result=3","7037771")</f>
        <v>0</v>
      </c>
      <c r="B8594" t="s">
        <v>305</v>
      </c>
      <c r="C8594" t="s">
        <v>11272</v>
      </c>
      <c r="D8594" t="s">
        <v>16197</v>
      </c>
      <c r="E8594" t="s">
        <v>21437</v>
      </c>
      <c r="F8594" t="s">
        <v>28198</v>
      </c>
      <c r="G8594" t="s">
        <v>28205</v>
      </c>
      <c r="H8594" t="s">
        <v>28215</v>
      </c>
      <c r="I8594" t="s">
        <v>5071</v>
      </c>
      <c r="J8594" t="s">
        <v>33708</v>
      </c>
      <c r="K8594" t="s">
        <v>36707</v>
      </c>
      <c r="M8594" t="s">
        <v>39649</v>
      </c>
      <c r="N8594" t="s">
        <v>40436</v>
      </c>
      <c r="O8594" t="s">
        <v>40437</v>
      </c>
      <c r="P8594">
        <v>0</v>
      </c>
      <c r="Q8594">
        <v>4</v>
      </c>
      <c r="R8594" t="s">
        <v>40445</v>
      </c>
      <c r="S8594" t="s">
        <v>40730</v>
      </c>
      <c r="T8594" t="s">
        <v>42432</v>
      </c>
      <c r="U8594" t="s">
        <v>49838</v>
      </c>
      <c r="W8594" t="s">
        <v>39649</v>
      </c>
      <c r="X8594" t="s">
        <v>40446</v>
      </c>
    </row>
    <row r="8595" spans="1:24">
      <c r="A8595">
        <f>HYPERLINK("https://www.philgeps.gov.ph/GEPSNONPILOT/Tender/SplashBidNoticeAbstractUI.aspx?menuIndex=3&amp;refID=7037760&amp;Result=3","7037760")</f>
        <v>0</v>
      </c>
      <c r="B8595" t="s">
        <v>2498</v>
      </c>
      <c r="C8595" t="s">
        <v>11273</v>
      </c>
      <c r="E8595" t="s">
        <v>23808</v>
      </c>
      <c r="F8595" t="s">
        <v>28198</v>
      </c>
      <c r="G8595" t="s">
        <v>28205</v>
      </c>
      <c r="H8595" t="s">
        <v>28215</v>
      </c>
      <c r="I8595" t="s">
        <v>28257</v>
      </c>
      <c r="J8595" t="s">
        <v>33709</v>
      </c>
      <c r="K8595" t="s">
        <v>36689</v>
      </c>
      <c r="M8595" t="s">
        <v>39700</v>
      </c>
      <c r="N8595" t="s">
        <v>40436</v>
      </c>
      <c r="O8595" t="s">
        <v>40437</v>
      </c>
      <c r="Q8595">
        <v>7</v>
      </c>
      <c r="R8595" t="s">
        <v>40445</v>
      </c>
      <c r="S8595" t="s">
        <v>40776</v>
      </c>
      <c r="T8595" t="s">
        <v>42526</v>
      </c>
      <c r="U8595" t="s">
        <v>49839</v>
      </c>
      <c r="W8595" t="s">
        <v>39700</v>
      </c>
      <c r="X8595" t="s">
        <v>40446</v>
      </c>
    </row>
    <row r="8596" spans="1:24">
      <c r="A8596">
        <f>HYPERLINK("https://www.philgeps.gov.ph/GEPSNONPILOT/Tender/SplashBidNoticeAbstractUI.aspx?menuIndex=3&amp;refID=7037787&amp;Result=3","7037787")</f>
        <v>0</v>
      </c>
      <c r="B8596" t="s">
        <v>2499</v>
      </c>
      <c r="C8596" t="s">
        <v>11274</v>
      </c>
      <c r="D8596" t="s">
        <v>16200</v>
      </c>
      <c r="E8596" t="s">
        <v>23809</v>
      </c>
      <c r="F8596" t="s">
        <v>28198</v>
      </c>
      <c r="G8596" t="s">
        <v>28207</v>
      </c>
      <c r="H8596" t="s">
        <v>28217</v>
      </c>
      <c r="I8596" t="s">
        <v>3797</v>
      </c>
      <c r="J8596" t="s">
        <v>28378</v>
      </c>
      <c r="K8596" t="s">
        <v>36715</v>
      </c>
      <c r="M8596" t="s">
        <v>39701</v>
      </c>
      <c r="N8596" t="s">
        <v>40436</v>
      </c>
      <c r="O8596" t="s">
        <v>40437</v>
      </c>
      <c r="P8596">
        <v>0</v>
      </c>
      <c r="Q8596">
        <v>0</v>
      </c>
      <c r="R8596" t="s">
        <v>40445</v>
      </c>
      <c r="S8596" t="s">
        <v>40730</v>
      </c>
      <c r="T8596" t="s">
        <v>42133</v>
      </c>
      <c r="U8596" t="s">
        <v>49840</v>
      </c>
      <c r="W8596" t="s">
        <v>39701</v>
      </c>
      <c r="X8596" t="s">
        <v>40446</v>
      </c>
    </row>
    <row r="8597" spans="1:24">
      <c r="A8597">
        <f>HYPERLINK("https://www.philgeps.gov.ph/GEPSNONPILOT/Tender/SplashBidNoticeAbstractUI.aspx?menuIndex=3&amp;refID=7037777&amp;Result=3","7037777")</f>
        <v>0</v>
      </c>
      <c r="B8597" t="s">
        <v>685</v>
      </c>
      <c r="C8597" t="s">
        <v>11275</v>
      </c>
      <c r="D8597" t="s">
        <v>16199</v>
      </c>
      <c r="E8597" t="s">
        <v>23810</v>
      </c>
      <c r="F8597" t="s">
        <v>28198</v>
      </c>
      <c r="G8597" t="s">
        <v>28205</v>
      </c>
      <c r="H8597" t="s">
        <v>28214</v>
      </c>
      <c r="I8597" t="s">
        <v>3797</v>
      </c>
      <c r="J8597" t="s">
        <v>28398</v>
      </c>
      <c r="K8597" t="s">
        <v>36786</v>
      </c>
      <c r="M8597" t="s">
        <v>37684</v>
      </c>
      <c r="N8597" t="s">
        <v>40436</v>
      </c>
      <c r="O8597" t="s">
        <v>40437</v>
      </c>
      <c r="P8597">
        <v>0</v>
      </c>
      <c r="Q8597">
        <v>0</v>
      </c>
      <c r="R8597" t="s">
        <v>40445</v>
      </c>
      <c r="S8597" t="s">
        <v>40730</v>
      </c>
      <c r="T8597" t="s">
        <v>42184</v>
      </c>
      <c r="U8597" t="s">
        <v>49841</v>
      </c>
      <c r="V8597" t="s">
        <v>54700</v>
      </c>
      <c r="W8597" t="s">
        <v>37684</v>
      </c>
      <c r="X8597" t="s">
        <v>40446</v>
      </c>
    </row>
    <row r="8598" spans="1:24">
      <c r="A8598">
        <f>HYPERLINK("https://www.philgeps.gov.ph/GEPSNONPILOT/Tender/SplashBidNoticeAbstractUI.aspx?menuIndex=3&amp;refID=7037776&amp;Result=3","7037776")</f>
        <v>0</v>
      </c>
      <c r="B8598" t="s">
        <v>2482</v>
      </c>
      <c r="C8598" t="s">
        <v>11276</v>
      </c>
      <c r="D8598" t="s">
        <v>16251</v>
      </c>
      <c r="E8598" t="s">
        <v>19001</v>
      </c>
      <c r="F8598" t="s">
        <v>28198</v>
      </c>
      <c r="G8598" t="s">
        <v>28205</v>
      </c>
      <c r="H8598" t="s">
        <v>28215</v>
      </c>
      <c r="I8598" t="s">
        <v>28298</v>
      </c>
      <c r="J8598" t="s">
        <v>28398</v>
      </c>
      <c r="K8598" t="s">
        <v>36707</v>
      </c>
      <c r="M8598" t="s">
        <v>39681</v>
      </c>
      <c r="N8598" t="s">
        <v>40436</v>
      </c>
      <c r="O8598" t="s">
        <v>40437</v>
      </c>
      <c r="P8598">
        <v>0</v>
      </c>
      <c r="Q8598">
        <v>5</v>
      </c>
      <c r="R8598" t="s">
        <v>40445</v>
      </c>
      <c r="S8598" t="s">
        <v>40730</v>
      </c>
      <c r="T8598" t="s">
        <v>42168</v>
      </c>
      <c r="U8598" t="s">
        <v>49842</v>
      </c>
      <c r="W8598" t="s">
        <v>39681</v>
      </c>
      <c r="X8598" t="s">
        <v>40446</v>
      </c>
    </row>
    <row r="8599" spans="1:24">
      <c r="A8599">
        <f>HYPERLINK("https://www.philgeps.gov.ph/GEPSNONPILOT/Tender/SplashBidNoticeAbstractUI.aspx?menuIndex=3&amp;refID=7037770&amp;Result=3","7037770")</f>
        <v>0</v>
      </c>
      <c r="B8599" t="s">
        <v>2500</v>
      </c>
      <c r="C8599" t="s">
        <v>11277</v>
      </c>
      <c r="D8599" t="s">
        <v>16251</v>
      </c>
      <c r="E8599" t="s">
        <v>23811</v>
      </c>
      <c r="F8599" t="s">
        <v>28198</v>
      </c>
      <c r="G8599" t="s">
        <v>28205</v>
      </c>
      <c r="H8599" t="s">
        <v>28214</v>
      </c>
      <c r="I8599" t="s">
        <v>3797</v>
      </c>
      <c r="J8599" t="s">
        <v>33710</v>
      </c>
      <c r="K8599" t="s">
        <v>36697</v>
      </c>
      <c r="M8599" t="s">
        <v>39702</v>
      </c>
      <c r="N8599" t="s">
        <v>40436</v>
      </c>
      <c r="O8599" t="s">
        <v>40437</v>
      </c>
      <c r="P8599">
        <v>0</v>
      </c>
      <c r="Q8599">
        <v>15</v>
      </c>
      <c r="R8599" t="s">
        <v>40445</v>
      </c>
      <c r="S8599" t="s">
        <v>40730</v>
      </c>
      <c r="T8599" t="s">
        <v>42168</v>
      </c>
      <c r="U8599" t="s">
        <v>49843</v>
      </c>
      <c r="W8599" t="s">
        <v>39702</v>
      </c>
      <c r="X8599" t="s">
        <v>40446</v>
      </c>
    </row>
    <row r="8600" spans="1:24">
      <c r="A8600">
        <f>HYPERLINK("https://www.philgeps.gov.ph/GEPSNONPILOT/Tender/SplashBidNoticeAbstractUI.aspx?menuIndex=3&amp;refID=7037764&amp;Result=3","7037764")</f>
        <v>0</v>
      </c>
      <c r="B8600" t="s">
        <v>1076</v>
      </c>
      <c r="C8600" t="s">
        <v>11210</v>
      </c>
      <c r="D8600" t="s">
        <v>16193</v>
      </c>
      <c r="E8600" t="s">
        <v>23812</v>
      </c>
      <c r="F8600" t="s">
        <v>28198</v>
      </c>
      <c r="G8600" t="s">
        <v>28205</v>
      </c>
      <c r="H8600" t="s">
        <v>28214</v>
      </c>
      <c r="I8600" t="s">
        <v>3797</v>
      </c>
      <c r="J8600" t="s">
        <v>33711</v>
      </c>
      <c r="K8600" t="s">
        <v>36689</v>
      </c>
      <c r="M8600" t="s">
        <v>38110</v>
      </c>
      <c r="N8600" t="s">
        <v>40436</v>
      </c>
      <c r="O8600" t="s">
        <v>40437</v>
      </c>
      <c r="P8600">
        <v>0</v>
      </c>
      <c r="Q8600">
        <v>2</v>
      </c>
      <c r="R8600" t="s">
        <v>40445</v>
      </c>
      <c r="S8600" t="s">
        <v>40730</v>
      </c>
      <c r="T8600" t="s">
        <v>42455</v>
      </c>
      <c r="U8600" t="s">
        <v>49789</v>
      </c>
      <c r="V8600" t="s">
        <v>53826</v>
      </c>
      <c r="W8600" t="s">
        <v>38110</v>
      </c>
      <c r="X8600" t="s">
        <v>40446</v>
      </c>
    </row>
    <row r="8601" spans="1:24">
      <c r="A8601">
        <f>HYPERLINK("https://www.philgeps.gov.ph/GEPSNONPILOT/Tender/SplashBidNoticeAbstractUI.aspx?menuIndex=3&amp;refID=7037765&amp;Result=3","7037765")</f>
        <v>0</v>
      </c>
      <c r="B8601" t="s">
        <v>155</v>
      </c>
      <c r="C8601" t="s">
        <v>11278</v>
      </c>
      <c r="D8601" t="s">
        <v>16235</v>
      </c>
      <c r="E8601" t="s">
        <v>23813</v>
      </c>
      <c r="F8601" t="s">
        <v>28198</v>
      </c>
      <c r="G8601" t="s">
        <v>28205</v>
      </c>
      <c r="H8601" t="s">
        <v>28214</v>
      </c>
      <c r="I8601" t="s">
        <v>3797</v>
      </c>
      <c r="J8601" t="s">
        <v>33712</v>
      </c>
      <c r="K8601" t="s">
        <v>36876</v>
      </c>
      <c r="M8601" t="s">
        <v>37129</v>
      </c>
      <c r="N8601" t="s">
        <v>40436</v>
      </c>
      <c r="O8601" t="s">
        <v>40437</v>
      </c>
      <c r="P8601">
        <v>0</v>
      </c>
      <c r="Q8601">
        <v>0</v>
      </c>
      <c r="R8601" t="s">
        <v>40445</v>
      </c>
      <c r="S8601" t="s">
        <v>40730</v>
      </c>
      <c r="T8601" t="s">
        <v>42234</v>
      </c>
      <c r="U8601" t="s">
        <v>49844</v>
      </c>
      <c r="W8601" t="s">
        <v>37129</v>
      </c>
      <c r="X8601" t="s">
        <v>40446</v>
      </c>
    </row>
    <row r="8602" spans="1:24">
      <c r="A8602">
        <f>HYPERLINK("https://www.philgeps.gov.ph/GEPSNONPILOT/Tender/SplashBidNoticeAbstractUI.aspx?menuIndex=3&amp;refID=7037783&amp;Result=3","7037783")</f>
        <v>0</v>
      </c>
      <c r="B8602" t="s">
        <v>760</v>
      </c>
      <c r="C8602" t="s">
        <v>11279</v>
      </c>
      <c r="D8602" t="s">
        <v>16236</v>
      </c>
      <c r="E8602" t="s">
        <v>23814</v>
      </c>
      <c r="F8602" t="s">
        <v>28198</v>
      </c>
      <c r="G8602" t="s">
        <v>28205</v>
      </c>
      <c r="H8602" t="s">
        <v>28215</v>
      </c>
      <c r="I8602" t="s">
        <v>28256</v>
      </c>
      <c r="J8602" t="s">
        <v>31441</v>
      </c>
      <c r="K8602" t="s">
        <v>36706</v>
      </c>
      <c r="M8602" t="s">
        <v>37763</v>
      </c>
      <c r="N8602" t="s">
        <v>40436</v>
      </c>
      <c r="O8602" t="s">
        <v>40437</v>
      </c>
      <c r="P8602">
        <v>0</v>
      </c>
      <c r="Q8602">
        <v>8</v>
      </c>
      <c r="R8602" t="s">
        <v>40445</v>
      </c>
      <c r="S8602" t="s">
        <v>40730</v>
      </c>
      <c r="T8602" t="s">
        <v>42346</v>
      </c>
      <c r="U8602" t="s">
        <v>49845</v>
      </c>
      <c r="V8602" t="s">
        <v>54686</v>
      </c>
      <c r="W8602" t="s">
        <v>37763</v>
      </c>
      <c r="X8602" t="s">
        <v>40446</v>
      </c>
    </row>
    <row r="8603" spans="1:24">
      <c r="A8603">
        <f>HYPERLINK("https://www.philgeps.gov.ph/GEPSNONPILOT/Tender/SplashBidNoticeAbstractUI.aspx?menuIndex=3&amp;refID=7037788&amp;Result=3","7037788")</f>
        <v>0</v>
      </c>
      <c r="B8603" t="s">
        <v>670</v>
      </c>
      <c r="C8603" t="s">
        <v>11280</v>
      </c>
      <c r="E8603" t="s">
        <v>23815</v>
      </c>
      <c r="F8603" t="s">
        <v>28198</v>
      </c>
      <c r="G8603" t="s">
        <v>28205</v>
      </c>
      <c r="H8603" t="s">
        <v>28215</v>
      </c>
      <c r="I8603" t="s">
        <v>7310</v>
      </c>
      <c r="J8603" t="s">
        <v>28363</v>
      </c>
      <c r="K8603" t="s">
        <v>36694</v>
      </c>
      <c r="M8603" t="s">
        <v>37666</v>
      </c>
      <c r="N8603" t="s">
        <v>40436</v>
      </c>
      <c r="O8603" t="s">
        <v>40437</v>
      </c>
      <c r="P8603">
        <v>0</v>
      </c>
      <c r="Q8603">
        <v>2</v>
      </c>
      <c r="R8603" t="s">
        <v>40445</v>
      </c>
      <c r="S8603" t="s">
        <v>40730</v>
      </c>
      <c r="T8603" t="s">
        <v>42278</v>
      </c>
      <c r="U8603" t="s">
        <v>49846</v>
      </c>
      <c r="W8603" t="s">
        <v>37666</v>
      </c>
      <c r="X8603" t="s">
        <v>40446</v>
      </c>
    </row>
    <row r="8604" spans="1:24">
      <c r="A8604">
        <f>HYPERLINK("https://www.philgeps.gov.ph/GEPSNONPILOT/Tender/SplashBidNoticeAbstractUI.aspx?menuIndex=3&amp;refID=7037778&amp;Result=3","7037778")</f>
        <v>0</v>
      </c>
      <c r="B8604" t="s">
        <v>1705</v>
      </c>
      <c r="C8604" t="s">
        <v>11281</v>
      </c>
      <c r="D8604" t="s">
        <v>16192</v>
      </c>
      <c r="E8604" t="s">
        <v>23816</v>
      </c>
      <c r="F8604" t="s">
        <v>28198</v>
      </c>
      <c r="G8604" t="s">
        <v>28205</v>
      </c>
      <c r="H8604" t="s">
        <v>28214</v>
      </c>
      <c r="I8604" t="s">
        <v>3797</v>
      </c>
      <c r="J8604" t="s">
        <v>28927</v>
      </c>
      <c r="K8604" t="s">
        <v>36827</v>
      </c>
      <c r="M8604" t="s">
        <v>38808</v>
      </c>
      <c r="N8604" t="s">
        <v>40436</v>
      </c>
      <c r="O8604" t="s">
        <v>40437</v>
      </c>
      <c r="P8604">
        <v>0</v>
      </c>
      <c r="Q8604">
        <v>0</v>
      </c>
      <c r="R8604" t="s">
        <v>40445</v>
      </c>
      <c r="S8604" t="s">
        <v>40730</v>
      </c>
      <c r="T8604" t="s">
        <v>42168</v>
      </c>
      <c r="U8604" t="s">
        <v>49833</v>
      </c>
      <c r="V8604" t="s">
        <v>54271</v>
      </c>
      <c r="W8604" t="s">
        <v>38808</v>
      </c>
      <c r="X8604" t="s">
        <v>40446</v>
      </c>
    </row>
    <row r="8605" spans="1:24">
      <c r="A8605">
        <f>HYPERLINK("https://www.philgeps.gov.ph/GEPSNONPILOT/Tender/SplashBidNoticeAbstractUI.aspx?menuIndex=3&amp;refID=7037790&amp;Result=3","7037790")</f>
        <v>0</v>
      </c>
      <c r="B8605" t="s">
        <v>2501</v>
      </c>
      <c r="C8605" t="s">
        <v>11282</v>
      </c>
      <c r="E8605" t="s">
        <v>23817</v>
      </c>
      <c r="F8605" t="s">
        <v>28198</v>
      </c>
      <c r="G8605" t="s">
        <v>28205</v>
      </c>
      <c r="H8605" t="s">
        <v>28215</v>
      </c>
      <c r="I8605" t="s">
        <v>5100</v>
      </c>
      <c r="J8605" t="s">
        <v>33713</v>
      </c>
      <c r="K8605" t="s">
        <v>36689</v>
      </c>
      <c r="M8605" t="s">
        <v>39703</v>
      </c>
      <c r="N8605" t="s">
        <v>40436</v>
      </c>
      <c r="O8605" t="s">
        <v>40437</v>
      </c>
      <c r="P8605">
        <v>0</v>
      </c>
      <c r="Q8605">
        <v>0</v>
      </c>
      <c r="R8605" t="s">
        <v>40445</v>
      </c>
      <c r="S8605" t="s">
        <v>40730</v>
      </c>
      <c r="T8605" t="s">
        <v>42187</v>
      </c>
      <c r="U8605" t="s">
        <v>49847</v>
      </c>
      <c r="W8605" t="s">
        <v>39703</v>
      </c>
      <c r="X8605" t="s">
        <v>40446</v>
      </c>
    </row>
    <row r="8606" spans="1:24">
      <c r="A8606">
        <f>HYPERLINK("https://www.philgeps.gov.ph/GEPSNONPILOT/Tender/SplashBidNoticeAbstractUI.aspx?menuIndex=3&amp;refID=7037805&amp;Result=3","7037805")</f>
        <v>0</v>
      </c>
      <c r="B8606" t="s">
        <v>2502</v>
      </c>
      <c r="C8606" t="s">
        <v>11283</v>
      </c>
      <c r="D8606" t="s">
        <v>16190</v>
      </c>
      <c r="E8606" t="s">
        <v>23818</v>
      </c>
      <c r="F8606" t="s">
        <v>28198</v>
      </c>
      <c r="G8606" t="s">
        <v>28207</v>
      </c>
      <c r="H8606" t="s">
        <v>28215</v>
      </c>
      <c r="I8606" t="s">
        <v>28292</v>
      </c>
      <c r="J8606" t="s">
        <v>33714</v>
      </c>
      <c r="K8606" t="s">
        <v>36698</v>
      </c>
      <c r="M8606" t="s">
        <v>39704</v>
      </c>
      <c r="N8606" t="s">
        <v>40436</v>
      </c>
      <c r="O8606" t="s">
        <v>40437</v>
      </c>
      <c r="P8606">
        <v>0</v>
      </c>
      <c r="Q8606">
        <v>0</v>
      </c>
      <c r="R8606" t="s">
        <v>40445</v>
      </c>
      <c r="S8606" t="s">
        <v>40730</v>
      </c>
      <c r="T8606" t="s">
        <v>42297</v>
      </c>
      <c r="U8606" t="s">
        <v>49848</v>
      </c>
      <c r="W8606" t="s">
        <v>39704</v>
      </c>
      <c r="X8606" t="s">
        <v>40446</v>
      </c>
    </row>
    <row r="8607" spans="1:24">
      <c r="A8607">
        <f>HYPERLINK("https://www.philgeps.gov.ph/GEPSNONPILOT/Tender/SplashBidNoticeAbstractUI.aspx?menuIndex=3&amp;refID=7037794&amp;Result=3","7037794")</f>
        <v>0</v>
      </c>
      <c r="B8607" t="s">
        <v>2482</v>
      </c>
      <c r="C8607" t="s">
        <v>11284</v>
      </c>
      <c r="D8607" t="s">
        <v>16251</v>
      </c>
      <c r="E8607" t="s">
        <v>19001</v>
      </c>
      <c r="F8607" t="s">
        <v>28198</v>
      </c>
      <c r="G8607" t="s">
        <v>28205</v>
      </c>
      <c r="H8607" t="s">
        <v>28215</v>
      </c>
      <c r="I8607" t="s">
        <v>28298</v>
      </c>
      <c r="J8607" t="s">
        <v>28398</v>
      </c>
      <c r="K8607" t="s">
        <v>36707</v>
      </c>
      <c r="M8607" t="s">
        <v>39681</v>
      </c>
      <c r="N8607" t="s">
        <v>40436</v>
      </c>
      <c r="O8607" t="s">
        <v>40437</v>
      </c>
      <c r="P8607">
        <v>0</v>
      </c>
      <c r="Q8607">
        <v>7</v>
      </c>
      <c r="R8607" t="s">
        <v>40445</v>
      </c>
      <c r="S8607" t="s">
        <v>40730</v>
      </c>
      <c r="T8607" t="s">
        <v>42168</v>
      </c>
      <c r="U8607" t="s">
        <v>49849</v>
      </c>
      <c r="W8607" t="s">
        <v>39681</v>
      </c>
      <c r="X8607" t="s">
        <v>40446</v>
      </c>
    </row>
    <row r="8608" spans="1:24">
      <c r="A8608">
        <f>HYPERLINK("https://www.philgeps.gov.ph/GEPSNONPILOT/Tender/SplashBidNoticeAbstractUI.aspx?menuIndex=3&amp;refID=7037792&amp;Result=3","7037792")</f>
        <v>0</v>
      </c>
      <c r="B8608" t="s">
        <v>1585</v>
      </c>
      <c r="C8608" t="s">
        <v>11285</v>
      </c>
      <c r="D8608" t="s">
        <v>16208</v>
      </c>
      <c r="E8608" t="s">
        <v>23819</v>
      </c>
      <c r="F8608" t="s">
        <v>28198</v>
      </c>
      <c r="G8608" t="s">
        <v>28205</v>
      </c>
      <c r="H8608" t="s">
        <v>28214</v>
      </c>
      <c r="I8608" t="s">
        <v>3797</v>
      </c>
      <c r="J8608" t="s">
        <v>29526</v>
      </c>
      <c r="K8608" t="s">
        <v>36738</v>
      </c>
      <c r="M8608" t="s">
        <v>38670</v>
      </c>
      <c r="N8608" t="s">
        <v>40436</v>
      </c>
      <c r="O8608" t="s">
        <v>40437</v>
      </c>
      <c r="P8608">
        <v>0</v>
      </c>
      <c r="Q8608">
        <v>0</v>
      </c>
      <c r="R8608" t="s">
        <v>40445</v>
      </c>
      <c r="S8608" t="s">
        <v>40730</v>
      </c>
      <c r="T8608" t="s">
        <v>42113</v>
      </c>
      <c r="U8608" t="s">
        <v>49605</v>
      </c>
      <c r="W8608" t="s">
        <v>38670</v>
      </c>
      <c r="X8608" t="s">
        <v>40446</v>
      </c>
    </row>
    <row r="8609" spans="1:24">
      <c r="A8609">
        <f>HYPERLINK("https://www.philgeps.gov.ph/GEPSNONPILOT/Tender/SplashBidNoticeAbstractUI.aspx?menuIndex=3&amp;refID=7037802&amp;Result=3","7037802")</f>
        <v>0</v>
      </c>
      <c r="B8609" t="s">
        <v>2503</v>
      </c>
      <c r="C8609" t="s">
        <v>11286</v>
      </c>
      <c r="D8609" t="s">
        <v>16190</v>
      </c>
      <c r="E8609" t="s">
        <v>19160</v>
      </c>
      <c r="F8609" t="s">
        <v>28198</v>
      </c>
      <c r="G8609" t="s">
        <v>28205</v>
      </c>
      <c r="H8609" t="s">
        <v>28215</v>
      </c>
      <c r="I8609" t="s">
        <v>28218</v>
      </c>
      <c r="J8609" t="s">
        <v>33715</v>
      </c>
      <c r="K8609" t="s">
        <v>36698</v>
      </c>
      <c r="M8609" t="s">
        <v>39705</v>
      </c>
      <c r="N8609" t="s">
        <v>40436</v>
      </c>
      <c r="O8609" t="s">
        <v>40437</v>
      </c>
      <c r="P8609">
        <v>0</v>
      </c>
      <c r="Q8609">
        <v>1</v>
      </c>
      <c r="R8609" t="s">
        <v>40445</v>
      </c>
      <c r="S8609" t="s">
        <v>40730</v>
      </c>
      <c r="T8609" t="s">
        <v>42125</v>
      </c>
      <c r="U8609" t="s">
        <v>49850</v>
      </c>
      <c r="V8609" t="s">
        <v>54701</v>
      </c>
      <c r="W8609" t="s">
        <v>39705</v>
      </c>
      <c r="X8609" t="s">
        <v>40446</v>
      </c>
    </row>
    <row r="8610" spans="1:24">
      <c r="A8610">
        <f>HYPERLINK("https://www.philgeps.gov.ph/GEPSNONPILOT/Tender/SplashBidNoticeAbstractUI.aspx?menuIndex=3&amp;refID=7037791&amp;Result=3","7037791")</f>
        <v>0</v>
      </c>
      <c r="B8610" t="s">
        <v>103</v>
      </c>
      <c r="C8610" t="s">
        <v>11287</v>
      </c>
      <c r="D8610" t="s">
        <v>16230</v>
      </c>
      <c r="E8610" t="s">
        <v>18073</v>
      </c>
      <c r="F8610" t="s">
        <v>28198</v>
      </c>
      <c r="G8610" t="s">
        <v>28205</v>
      </c>
      <c r="H8610" t="s">
        <v>28214</v>
      </c>
      <c r="I8610" t="s">
        <v>3797</v>
      </c>
      <c r="J8610" t="s">
        <v>28379</v>
      </c>
      <c r="K8610" t="s">
        <v>36877</v>
      </c>
      <c r="M8610" t="s">
        <v>37077</v>
      </c>
      <c r="N8610" t="s">
        <v>40436</v>
      </c>
      <c r="O8610" t="s">
        <v>40437</v>
      </c>
      <c r="P8610">
        <v>0</v>
      </c>
      <c r="Q8610">
        <v>0</v>
      </c>
      <c r="R8610" t="s">
        <v>40445</v>
      </c>
      <c r="S8610" t="s">
        <v>40730</v>
      </c>
      <c r="T8610" t="s">
        <v>42234</v>
      </c>
      <c r="U8610" t="s">
        <v>49851</v>
      </c>
      <c r="V8610" t="s">
        <v>54702</v>
      </c>
      <c r="W8610" t="s">
        <v>37077</v>
      </c>
      <c r="X8610" t="s">
        <v>40446</v>
      </c>
    </row>
    <row r="8611" spans="1:24">
      <c r="A8611">
        <f>HYPERLINK("https://www.philgeps.gov.ph/GEPSNONPILOT/Tender/SplashBidNoticeAbstractUI.aspx?menuIndex=3&amp;refID=7037821&amp;Result=3","7037821")</f>
        <v>0</v>
      </c>
      <c r="B8611" t="s">
        <v>2500</v>
      </c>
      <c r="C8611" t="s">
        <v>11288</v>
      </c>
      <c r="D8611" t="s">
        <v>16251</v>
      </c>
      <c r="E8611" t="s">
        <v>23820</v>
      </c>
      <c r="F8611" t="s">
        <v>28198</v>
      </c>
      <c r="G8611" t="s">
        <v>28205</v>
      </c>
      <c r="H8611" t="s">
        <v>28214</v>
      </c>
      <c r="I8611" t="s">
        <v>3797</v>
      </c>
      <c r="J8611" t="s">
        <v>33716</v>
      </c>
      <c r="K8611" t="s">
        <v>36697</v>
      </c>
      <c r="M8611" t="s">
        <v>39702</v>
      </c>
      <c r="N8611" t="s">
        <v>40436</v>
      </c>
      <c r="O8611" t="s">
        <v>40437</v>
      </c>
      <c r="P8611">
        <v>0</v>
      </c>
      <c r="Q8611">
        <v>11</v>
      </c>
      <c r="R8611" t="s">
        <v>40445</v>
      </c>
      <c r="S8611" t="s">
        <v>40730</v>
      </c>
      <c r="T8611" t="s">
        <v>42168</v>
      </c>
      <c r="U8611" t="s">
        <v>49852</v>
      </c>
      <c r="W8611" t="s">
        <v>39702</v>
      </c>
      <c r="X8611" t="s">
        <v>40446</v>
      </c>
    </row>
    <row r="8612" spans="1:24">
      <c r="A8612">
        <f>HYPERLINK("https://www.philgeps.gov.ph/GEPSNONPILOT/Tender/SplashBidNoticeAbstractUI.aspx?menuIndex=3&amp;refID=7037793&amp;Result=3","7037793")</f>
        <v>0</v>
      </c>
      <c r="B8612" t="s">
        <v>1705</v>
      </c>
      <c r="C8612" t="s">
        <v>7805</v>
      </c>
      <c r="D8612" t="s">
        <v>16192</v>
      </c>
      <c r="E8612" t="s">
        <v>23821</v>
      </c>
      <c r="F8612" t="s">
        <v>28198</v>
      </c>
      <c r="G8612" t="s">
        <v>28205</v>
      </c>
      <c r="H8612" t="s">
        <v>28215</v>
      </c>
      <c r="I8612" t="s">
        <v>5631</v>
      </c>
      <c r="J8612" t="s">
        <v>33717</v>
      </c>
      <c r="K8612" t="s">
        <v>36718</v>
      </c>
      <c r="M8612" t="s">
        <v>38808</v>
      </c>
      <c r="N8612" t="s">
        <v>40436</v>
      </c>
      <c r="O8612" t="s">
        <v>40437</v>
      </c>
      <c r="Q8612">
        <v>0</v>
      </c>
      <c r="R8612" t="s">
        <v>40445</v>
      </c>
      <c r="S8612" t="s">
        <v>40777</v>
      </c>
      <c r="T8612" t="s">
        <v>42168</v>
      </c>
      <c r="U8612" t="s">
        <v>49853</v>
      </c>
      <c r="V8612" t="s">
        <v>54271</v>
      </c>
      <c r="W8612" t="s">
        <v>38808</v>
      </c>
      <c r="X8612" t="s">
        <v>40446</v>
      </c>
    </row>
    <row r="8613" spans="1:24">
      <c r="A8613">
        <f>HYPERLINK("https://www.philgeps.gov.ph/GEPSNONPILOT/Tender/SplashBidNoticeAbstractUI.aspx?menuIndex=3&amp;refID=7037820&amp;Result=3","7037820")</f>
        <v>0</v>
      </c>
      <c r="B8613" t="s">
        <v>2504</v>
      </c>
      <c r="C8613" t="s">
        <v>11289</v>
      </c>
      <c r="D8613" t="s">
        <v>16210</v>
      </c>
      <c r="E8613" t="s">
        <v>23822</v>
      </c>
      <c r="F8613" t="s">
        <v>28198</v>
      </c>
      <c r="G8613" t="s">
        <v>28205</v>
      </c>
      <c r="H8613" t="s">
        <v>28215</v>
      </c>
      <c r="I8613" t="s">
        <v>4200</v>
      </c>
      <c r="J8613" t="s">
        <v>29261</v>
      </c>
      <c r="K8613" t="s">
        <v>36693</v>
      </c>
      <c r="M8613" t="s">
        <v>39706</v>
      </c>
      <c r="N8613" t="s">
        <v>40436</v>
      </c>
      <c r="O8613" t="s">
        <v>40437</v>
      </c>
      <c r="P8613">
        <v>0</v>
      </c>
      <c r="Q8613">
        <v>1</v>
      </c>
      <c r="R8613" t="s">
        <v>40445</v>
      </c>
      <c r="S8613" t="s">
        <v>40730</v>
      </c>
      <c r="T8613" t="s">
        <v>42190</v>
      </c>
      <c r="U8613" t="s">
        <v>49854</v>
      </c>
      <c r="W8613" t="s">
        <v>39706</v>
      </c>
      <c r="X8613" t="s">
        <v>40446</v>
      </c>
    </row>
    <row r="8614" spans="1:24">
      <c r="A8614">
        <f>HYPERLINK("https://www.philgeps.gov.ph/GEPSNONPILOT/Tender/SplashBidNoticeAbstractUI.aspx?menuIndex=3&amp;refID=7037798&amp;Result=3","7037798")</f>
        <v>0</v>
      </c>
      <c r="B8614" t="s">
        <v>1235</v>
      </c>
      <c r="C8614" t="s">
        <v>10328</v>
      </c>
      <c r="D8614" t="s">
        <v>16260</v>
      </c>
      <c r="E8614" t="s">
        <v>23823</v>
      </c>
      <c r="F8614" t="s">
        <v>28198</v>
      </c>
      <c r="G8614" t="s">
        <v>28205</v>
      </c>
      <c r="H8614" t="s">
        <v>28215</v>
      </c>
      <c r="I8614" t="s">
        <v>28250</v>
      </c>
      <c r="J8614" t="s">
        <v>33718</v>
      </c>
      <c r="K8614" t="s">
        <v>36689</v>
      </c>
      <c r="M8614" t="s">
        <v>38284</v>
      </c>
      <c r="N8614" t="s">
        <v>40436</v>
      </c>
      <c r="O8614" t="s">
        <v>40437</v>
      </c>
      <c r="P8614">
        <v>0</v>
      </c>
      <c r="Q8614">
        <v>4</v>
      </c>
      <c r="R8614" t="s">
        <v>40445</v>
      </c>
      <c r="S8614" t="s">
        <v>40730</v>
      </c>
      <c r="T8614" t="s">
        <v>42527</v>
      </c>
      <c r="U8614" t="s">
        <v>49855</v>
      </c>
      <c r="V8614" t="s">
        <v>54586</v>
      </c>
      <c r="W8614" t="s">
        <v>38284</v>
      </c>
      <c r="X8614" t="s">
        <v>40446</v>
      </c>
    </row>
    <row r="8615" spans="1:24">
      <c r="A8615">
        <f>HYPERLINK("https://www.philgeps.gov.ph/GEPSNONPILOT/Tender/SplashBidNoticeAbstractUI.aspx?menuIndex=3&amp;refID=7037811&amp;Result=3","7037811")</f>
        <v>0</v>
      </c>
      <c r="B8615" t="s">
        <v>2505</v>
      </c>
      <c r="C8615" t="s">
        <v>11290</v>
      </c>
      <c r="D8615" t="s">
        <v>16261</v>
      </c>
      <c r="E8615" t="s">
        <v>16424</v>
      </c>
      <c r="F8615" t="s">
        <v>28198</v>
      </c>
      <c r="G8615" t="s">
        <v>28205</v>
      </c>
      <c r="H8615" t="s">
        <v>28214</v>
      </c>
      <c r="I8615" t="s">
        <v>3797</v>
      </c>
      <c r="J8615" t="s">
        <v>33719</v>
      </c>
      <c r="K8615" t="s">
        <v>36784</v>
      </c>
      <c r="M8615" t="s">
        <v>39707</v>
      </c>
      <c r="N8615" t="s">
        <v>40436</v>
      </c>
      <c r="O8615" t="s">
        <v>40437</v>
      </c>
      <c r="P8615">
        <v>0</v>
      </c>
      <c r="Q8615">
        <v>0</v>
      </c>
      <c r="R8615" t="s">
        <v>40445</v>
      </c>
      <c r="S8615" t="s">
        <v>40730</v>
      </c>
      <c r="T8615" t="s">
        <v>42245</v>
      </c>
      <c r="U8615" t="s">
        <v>49856</v>
      </c>
      <c r="V8615" t="s">
        <v>54703</v>
      </c>
      <c r="W8615" t="s">
        <v>39707</v>
      </c>
      <c r="X8615" t="s">
        <v>40446</v>
      </c>
    </row>
    <row r="8616" spans="1:24">
      <c r="A8616">
        <f>HYPERLINK("https://www.philgeps.gov.ph/GEPSNONPILOT/Tender/SplashBidNoticeAbstractUI.aspx?menuIndex=3&amp;refID=7037814&amp;Result=3","7037814")</f>
        <v>0</v>
      </c>
      <c r="B8616" t="s">
        <v>155</v>
      </c>
      <c r="C8616" t="s">
        <v>11291</v>
      </c>
      <c r="D8616" t="s">
        <v>16235</v>
      </c>
      <c r="E8616" t="s">
        <v>23824</v>
      </c>
      <c r="F8616" t="s">
        <v>28198</v>
      </c>
      <c r="G8616" t="s">
        <v>28205</v>
      </c>
      <c r="H8616" t="s">
        <v>28214</v>
      </c>
      <c r="I8616" t="s">
        <v>3797</v>
      </c>
      <c r="J8616" t="s">
        <v>28398</v>
      </c>
      <c r="K8616" t="s">
        <v>36715</v>
      </c>
      <c r="M8616" t="s">
        <v>37129</v>
      </c>
      <c r="N8616" t="s">
        <v>40436</v>
      </c>
      <c r="O8616" t="s">
        <v>40437</v>
      </c>
      <c r="P8616">
        <v>0</v>
      </c>
      <c r="Q8616">
        <v>0</v>
      </c>
      <c r="R8616" t="s">
        <v>40445</v>
      </c>
      <c r="S8616" t="s">
        <v>40730</v>
      </c>
      <c r="T8616" t="s">
        <v>42234</v>
      </c>
      <c r="U8616" t="s">
        <v>49844</v>
      </c>
      <c r="W8616" t="s">
        <v>37129</v>
      </c>
      <c r="X8616" t="s">
        <v>40446</v>
      </c>
    </row>
    <row r="8617" spans="1:24">
      <c r="A8617">
        <f>HYPERLINK("https://www.philgeps.gov.ph/GEPSNONPILOT/Tender/SplashBidNoticeAbstractUI.aspx?menuIndex=3&amp;refID=7037808&amp;Result=3","7037808")</f>
        <v>0</v>
      </c>
      <c r="B8617" t="s">
        <v>1585</v>
      </c>
      <c r="C8617" t="s">
        <v>11292</v>
      </c>
      <c r="D8617" t="s">
        <v>16208</v>
      </c>
      <c r="E8617" t="s">
        <v>23825</v>
      </c>
      <c r="F8617" t="s">
        <v>28198</v>
      </c>
      <c r="G8617" t="s">
        <v>28205</v>
      </c>
      <c r="H8617" t="s">
        <v>28214</v>
      </c>
      <c r="I8617" t="s">
        <v>3797</v>
      </c>
      <c r="J8617" t="s">
        <v>29526</v>
      </c>
      <c r="K8617" t="s">
        <v>36738</v>
      </c>
      <c r="M8617" t="s">
        <v>38670</v>
      </c>
      <c r="N8617" t="s">
        <v>40436</v>
      </c>
      <c r="O8617" t="s">
        <v>40437</v>
      </c>
      <c r="P8617">
        <v>0</v>
      </c>
      <c r="Q8617">
        <v>0</v>
      </c>
      <c r="R8617" t="s">
        <v>40445</v>
      </c>
      <c r="S8617" t="s">
        <v>40730</v>
      </c>
      <c r="T8617" t="s">
        <v>42113</v>
      </c>
      <c r="U8617" t="s">
        <v>49605</v>
      </c>
      <c r="W8617" t="s">
        <v>38670</v>
      </c>
      <c r="X8617" t="s">
        <v>40446</v>
      </c>
    </row>
    <row r="8618" spans="1:24">
      <c r="A8618">
        <f>HYPERLINK("https://www.philgeps.gov.ph/GEPSNONPILOT/Tender/SplashBidNoticeAbstractUI.aspx?menuIndex=3&amp;refID=7037799&amp;Result=3","7037799")</f>
        <v>0</v>
      </c>
      <c r="B8618" t="s">
        <v>2506</v>
      </c>
      <c r="C8618" t="s">
        <v>11293</v>
      </c>
      <c r="D8618" t="s">
        <v>16188</v>
      </c>
      <c r="E8618" t="s">
        <v>18647</v>
      </c>
      <c r="F8618" t="s">
        <v>28198</v>
      </c>
      <c r="G8618" t="s">
        <v>28209</v>
      </c>
      <c r="H8618" t="s">
        <v>28215</v>
      </c>
      <c r="I8618" t="s">
        <v>28247</v>
      </c>
      <c r="J8618" t="s">
        <v>33720</v>
      </c>
      <c r="K8618" t="s">
        <v>36692</v>
      </c>
      <c r="M8618" t="s">
        <v>39708</v>
      </c>
      <c r="N8618" t="s">
        <v>40436</v>
      </c>
      <c r="O8618" t="s">
        <v>40437</v>
      </c>
      <c r="Q8618">
        <v>30</v>
      </c>
      <c r="R8618" t="s">
        <v>40445</v>
      </c>
      <c r="S8618" t="s">
        <v>40778</v>
      </c>
      <c r="T8618" t="s">
        <v>42135</v>
      </c>
      <c r="U8618" t="s">
        <v>49857</v>
      </c>
      <c r="W8618" t="s">
        <v>55517</v>
      </c>
      <c r="X8618" t="s">
        <v>40446</v>
      </c>
    </row>
    <row r="8619" spans="1:24">
      <c r="A8619">
        <f>HYPERLINK("https://www.philgeps.gov.ph/GEPSNONPILOT/Tender/SplashBidNoticeAbstractUI.aspx?menuIndex=3&amp;refID=7037815&amp;Result=3","7037815")</f>
        <v>0</v>
      </c>
      <c r="B8619" t="s">
        <v>2507</v>
      </c>
      <c r="C8619" t="s">
        <v>11294</v>
      </c>
      <c r="D8619" t="s">
        <v>16227</v>
      </c>
      <c r="E8619" t="s">
        <v>23826</v>
      </c>
      <c r="F8619" t="s">
        <v>28198</v>
      </c>
      <c r="G8619" t="s">
        <v>28205</v>
      </c>
      <c r="H8619" t="s">
        <v>28214</v>
      </c>
      <c r="I8619" t="s">
        <v>3797</v>
      </c>
      <c r="J8619" t="s">
        <v>29163</v>
      </c>
      <c r="K8619" t="s">
        <v>36697</v>
      </c>
      <c r="M8619" t="s">
        <v>39709</v>
      </c>
      <c r="N8619" t="s">
        <v>40436</v>
      </c>
      <c r="O8619" t="s">
        <v>40437</v>
      </c>
      <c r="P8619">
        <v>0</v>
      </c>
      <c r="Q8619">
        <v>29</v>
      </c>
      <c r="R8619" t="s">
        <v>40445</v>
      </c>
      <c r="S8619" t="s">
        <v>40730</v>
      </c>
      <c r="T8619" t="s">
        <v>42234</v>
      </c>
      <c r="U8619" t="s">
        <v>49858</v>
      </c>
      <c r="V8619" t="s">
        <v>54704</v>
      </c>
      <c r="W8619" t="s">
        <v>39709</v>
      </c>
      <c r="X8619" t="s">
        <v>40446</v>
      </c>
    </row>
    <row r="8620" spans="1:24">
      <c r="A8620">
        <f>HYPERLINK("https://www.philgeps.gov.ph/GEPSNONPILOT/Tender/SplashBidNoticeAbstractUI.aspx?menuIndex=3&amp;refID=7037809&amp;Result=3","7037809")</f>
        <v>0</v>
      </c>
      <c r="B8620" t="s">
        <v>2507</v>
      </c>
      <c r="C8620" t="s">
        <v>11295</v>
      </c>
      <c r="D8620" t="s">
        <v>16227</v>
      </c>
      <c r="E8620" t="s">
        <v>23827</v>
      </c>
      <c r="F8620" t="s">
        <v>28198</v>
      </c>
      <c r="G8620" t="s">
        <v>28205</v>
      </c>
      <c r="H8620" t="s">
        <v>28214</v>
      </c>
      <c r="I8620" t="s">
        <v>3797</v>
      </c>
      <c r="J8620" t="s">
        <v>33721</v>
      </c>
      <c r="K8620" t="s">
        <v>36697</v>
      </c>
      <c r="M8620" t="s">
        <v>39709</v>
      </c>
      <c r="N8620" t="s">
        <v>40436</v>
      </c>
      <c r="O8620" t="s">
        <v>40437</v>
      </c>
      <c r="P8620">
        <v>0</v>
      </c>
      <c r="Q8620">
        <v>30</v>
      </c>
      <c r="R8620" t="s">
        <v>40445</v>
      </c>
      <c r="S8620" t="s">
        <v>40730</v>
      </c>
      <c r="T8620" t="s">
        <v>42234</v>
      </c>
      <c r="U8620" t="s">
        <v>49859</v>
      </c>
      <c r="V8620" t="s">
        <v>54704</v>
      </c>
      <c r="W8620" t="s">
        <v>39709</v>
      </c>
      <c r="X8620" t="s">
        <v>40446</v>
      </c>
    </row>
    <row r="8621" spans="1:24">
      <c r="A8621">
        <f>HYPERLINK("https://www.philgeps.gov.ph/GEPSNONPILOT/Tender/SplashBidNoticeAbstractUI.aspx?menuIndex=3&amp;refID=7037795&amp;Result=3","7037795")</f>
        <v>0</v>
      </c>
      <c r="B8621" t="s">
        <v>2500</v>
      </c>
      <c r="C8621" t="s">
        <v>11296</v>
      </c>
      <c r="D8621" t="s">
        <v>16251</v>
      </c>
      <c r="E8621" t="s">
        <v>23828</v>
      </c>
      <c r="F8621" t="s">
        <v>28198</v>
      </c>
      <c r="G8621" t="s">
        <v>28205</v>
      </c>
      <c r="H8621" t="s">
        <v>28214</v>
      </c>
      <c r="I8621" t="s">
        <v>3797</v>
      </c>
      <c r="J8621" t="s">
        <v>33722</v>
      </c>
      <c r="K8621" t="s">
        <v>36697</v>
      </c>
      <c r="M8621" t="s">
        <v>39702</v>
      </c>
      <c r="N8621" t="s">
        <v>40436</v>
      </c>
      <c r="O8621" t="s">
        <v>40437</v>
      </c>
      <c r="P8621">
        <v>0</v>
      </c>
      <c r="Q8621">
        <v>12</v>
      </c>
      <c r="R8621" t="s">
        <v>40445</v>
      </c>
      <c r="S8621" t="s">
        <v>40730</v>
      </c>
      <c r="T8621" t="s">
        <v>42168</v>
      </c>
      <c r="U8621" t="s">
        <v>49860</v>
      </c>
      <c r="W8621" t="s">
        <v>39702</v>
      </c>
      <c r="X8621" t="s">
        <v>40446</v>
      </c>
    </row>
    <row r="8622" spans="1:24">
      <c r="A8622">
        <f>HYPERLINK("https://www.philgeps.gov.ph/GEPSNONPILOT/Tender/SplashBidNoticeAbstractUI.aspx?menuIndex=3&amp;refID=7037857&amp;Result=3","7037857")</f>
        <v>0</v>
      </c>
      <c r="B8622" t="s">
        <v>318</v>
      </c>
      <c r="C8622" t="s">
        <v>11297</v>
      </c>
      <c r="D8622" t="s">
        <v>16241</v>
      </c>
      <c r="E8622" t="s">
        <v>23829</v>
      </c>
      <c r="F8622" t="s">
        <v>28198</v>
      </c>
      <c r="G8622" t="s">
        <v>28205</v>
      </c>
      <c r="H8622" t="s">
        <v>28215</v>
      </c>
      <c r="I8622" t="s">
        <v>4168</v>
      </c>
      <c r="J8622" t="s">
        <v>33723</v>
      </c>
      <c r="K8622" t="s">
        <v>36715</v>
      </c>
      <c r="M8622" t="s">
        <v>39710</v>
      </c>
      <c r="N8622" t="s">
        <v>40436</v>
      </c>
      <c r="O8622" t="s">
        <v>40437</v>
      </c>
      <c r="P8622">
        <v>0</v>
      </c>
      <c r="Q8622">
        <v>11</v>
      </c>
      <c r="R8622" t="s">
        <v>40445</v>
      </c>
      <c r="S8622" t="s">
        <v>40730</v>
      </c>
      <c r="T8622" t="s">
        <v>42278</v>
      </c>
      <c r="U8622" t="s">
        <v>49861</v>
      </c>
      <c r="V8622" t="s">
        <v>54705</v>
      </c>
      <c r="W8622" t="s">
        <v>39710</v>
      </c>
      <c r="X8622" t="s">
        <v>40446</v>
      </c>
    </row>
    <row r="8623" spans="1:24">
      <c r="A8623">
        <f>HYPERLINK("https://www.philgeps.gov.ph/GEPSNONPILOT/Tender/SplashBidNoticeAbstractUI.aspx?menuIndex=3&amp;refID=7037852&amp;Result=3","7037852")</f>
        <v>0</v>
      </c>
      <c r="B8623" t="s">
        <v>2505</v>
      </c>
      <c r="C8623" t="s">
        <v>11298</v>
      </c>
      <c r="D8623" t="s">
        <v>16261</v>
      </c>
      <c r="E8623" t="s">
        <v>18126</v>
      </c>
      <c r="F8623" t="s">
        <v>28198</v>
      </c>
      <c r="G8623" t="s">
        <v>28205</v>
      </c>
      <c r="H8623" t="s">
        <v>28214</v>
      </c>
      <c r="I8623" t="s">
        <v>3797</v>
      </c>
      <c r="J8623" t="s">
        <v>33724</v>
      </c>
      <c r="K8623" t="s">
        <v>36692</v>
      </c>
      <c r="M8623" t="s">
        <v>39707</v>
      </c>
      <c r="N8623" t="s">
        <v>40436</v>
      </c>
      <c r="O8623" t="s">
        <v>40437</v>
      </c>
      <c r="P8623">
        <v>0</v>
      </c>
      <c r="Q8623">
        <v>0</v>
      </c>
      <c r="R8623" t="s">
        <v>40445</v>
      </c>
      <c r="S8623" t="s">
        <v>40730</v>
      </c>
      <c r="T8623" t="s">
        <v>42245</v>
      </c>
      <c r="U8623" t="s">
        <v>49862</v>
      </c>
      <c r="V8623" t="s">
        <v>54706</v>
      </c>
      <c r="W8623" t="s">
        <v>39707</v>
      </c>
      <c r="X8623" t="s">
        <v>40446</v>
      </c>
    </row>
    <row r="8624" spans="1:24">
      <c r="A8624">
        <f>HYPERLINK("https://www.philgeps.gov.ph/GEPSNONPILOT/Tender/SplashBidNoticeAbstractUI.aspx?menuIndex=3&amp;refID=7037806&amp;Result=3","7037806")</f>
        <v>0</v>
      </c>
      <c r="B8624" t="s">
        <v>760</v>
      </c>
      <c r="C8624" t="s">
        <v>11299</v>
      </c>
      <c r="D8624" t="s">
        <v>16236</v>
      </c>
      <c r="E8624" t="s">
        <v>23830</v>
      </c>
      <c r="F8624" t="s">
        <v>28198</v>
      </c>
      <c r="G8624" t="s">
        <v>28205</v>
      </c>
      <c r="H8624" t="s">
        <v>28215</v>
      </c>
      <c r="I8624" t="s">
        <v>8870</v>
      </c>
      <c r="J8624" t="s">
        <v>33725</v>
      </c>
      <c r="K8624" t="s">
        <v>36701</v>
      </c>
      <c r="M8624" t="s">
        <v>37763</v>
      </c>
      <c r="N8624" t="s">
        <v>40436</v>
      </c>
      <c r="O8624" t="s">
        <v>40437</v>
      </c>
      <c r="P8624">
        <v>0</v>
      </c>
      <c r="Q8624">
        <v>2</v>
      </c>
      <c r="R8624" t="s">
        <v>40445</v>
      </c>
      <c r="S8624" t="s">
        <v>40730</v>
      </c>
      <c r="T8624" t="s">
        <v>42234</v>
      </c>
      <c r="U8624" t="s">
        <v>49863</v>
      </c>
      <c r="V8624" t="s">
        <v>54707</v>
      </c>
      <c r="W8624" t="s">
        <v>37763</v>
      </c>
      <c r="X8624" t="s">
        <v>40446</v>
      </c>
    </row>
    <row r="8625" spans="1:24">
      <c r="A8625">
        <f>HYPERLINK("https://www.philgeps.gov.ph/GEPSNONPILOT/Tender/SplashBidNoticeAbstractUI.aspx?menuIndex=3&amp;refID=7037822&amp;Result=3","7037822")</f>
        <v>0</v>
      </c>
      <c r="B8625" t="s">
        <v>2507</v>
      </c>
      <c r="C8625" t="s">
        <v>11300</v>
      </c>
      <c r="D8625" t="s">
        <v>16227</v>
      </c>
      <c r="E8625" t="s">
        <v>23831</v>
      </c>
      <c r="F8625" t="s">
        <v>28198</v>
      </c>
      <c r="G8625" t="s">
        <v>28205</v>
      </c>
      <c r="H8625" t="s">
        <v>28214</v>
      </c>
      <c r="I8625" t="s">
        <v>3797</v>
      </c>
      <c r="J8625" t="s">
        <v>33726</v>
      </c>
      <c r="K8625" t="s">
        <v>36697</v>
      </c>
      <c r="M8625" t="s">
        <v>39709</v>
      </c>
      <c r="N8625" t="s">
        <v>40436</v>
      </c>
      <c r="O8625" t="s">
        <v>40437</v>
      </c>
      <c r="P8625">
        <v>0</v>
      </c>
      <c r="Q8625">
        <v>34</v>
      </c>
      <c r="R8625" t="s">
        <v>40445</v>
      </c>
      <c r="S8625" t="s">
        <v>40730</v>
      </c>
      <c r="T8625" t="s">
        <v>42234</v>
      </c>
      <c r="U8625" t="s">
        <v>49864</v>
      </c>
      <c r="V8625" t="s">
        <v>54704</v>
      </c>
      <c r="W8625" t="s">
        <v>39709</v>
      </c>
      <c r="X8625" t="s">
        <v>40446</v>
      </c>
    </row>
    <row r="8626" spans="1:24">
      <c r="A8626">
        <f>HYPERLINK("https://www.philgeps.gov.ph/GEPSNONPILOT/Tender/SplashBidNoticeAbstractUI.aspx?menuIndex=3&amp;refID=7037865&amp;Result=3","7037865")</f>
        <v>0</v>
      </c>
      <c r="B8626" t="s">
        <v>2508</v>
      </c>
      <c r="C8626" t="s">
        <v>5408</v>
      </c>
      <c r="D8626" t="s">
        <v>16214</v>
      </c>
      <c r="E8626" t="s">
        <v>18990</v>
      </c>
      <c r="F8626" t="s">
        <v>28198</v>
      </c>
      <c r="G8626" t="s">
        <v>28205</v>
      </c>
      <c r="H8626" t="s">
        <v>28215</v>
      </c>
      <c r="I8626" t="s">
        <v>5100</v>
      </c>
      <c r="J8626" t="s">
        <v>28378</v>
      </c>
      <c r="K8626" t="s">
        <v>36688</v>
      </c>
      <c r="M8626" t="s">
        <v>39711</v>
      </c>
      <c r="N8626" t="s">
        <v>40436</v>
      </c>
      <c r="O8626" t="s">
        <v>40437</v>
      </c>
      <c r="P8626">
        <v>0</v>
      </c>
      <c r="Q8626">
        <v>3</v>
      </c>
      <c r="R8626" t="s">
        <v>40445</v>
      </c>
      <c r="S8626" t="s">
        <v>40730</v>
      </c>
      <c r="T8626" t="s">
        <v>42216</v>
      </c>
      <c r="U8626" t="s">
        <v>49865</v>
      </c>
      <c r="W8626" t="s">
        <v>39711</v>
      </c>
      <c r="X8626" t="s">
        <v>40446</v>
      </c>
    </row>
    <row r="8627" spans="1:24">
      <c r="A8627">
        <f>HYPERLINK("https://www.philgeps.gov.ph/GEPSNONPILOT/Tender/SplashBidNoticeAbstractUI.aspx?menuIndex=3&amp;refID=7037851&amp;Result=3","7037851")</f>
        <v>0</v>
      </c>
      <c r="B8627" t="s">
        <v>2500</v>
      </c>
      <c r="C8627" t="s">
        <v>11301</v>
      </c>
      <c r="D8627" t="s">
        <v>16251</v>
      </c>
      <c r="E8627" t="s">
        <v>23832</v>
      </c>
      <c r="F8627" t="s">
        <v>28198</v>
      </c>
      <c r="G8627" t="s">
        <v>28205</v>
      </c>
      <c r="H8627" t="s">
        <v>28214</v>
      </c>
      <c r="I8627" t="s">
        <v>3797</v>
      </c>
      <c r="J8627" t="s">
        <v>33727</v>
      </c>
      <c r="K8627" t="s">
        <v>36737</v>
      </c>
      <c r="M8627" t="s">
        <v>39702</v>
      </c>
      <c r="N8627" t="s">
        <v>40436</v>
      </c>
      <c r="O8627" t="s">
        <v>40437</v>
      </c>
      <c r="P8627">
        <v>0</v>
      </c>
      <c r="Q8627">
        <v>11</v>
      </c>
      <c r="R8627" t="s">
        <v>40445</v>
      </c>
      <c r="S8627" t="s">
        <v>40730</v>
      </c>
      <c r="T8627" t="s">
        <v>42168</v>
      </c>
      <c r="U8627" t="s">
        <v>49866</v>
      </c>
      <c r="W8627" t="s">
        <v>39702</v>
      </c>
      <c r="X8627" t="s">
        <v>40446</v>
      </c>
    </row>
    <row r="8628" spans="1:24">
      <c r="A8628">
        <f>HYPERLINK("https://www.philgeps.gov.ph/GEPSNONPILOT/Tender/SplashBidNoticeAbstractUI.aspx?menuIndex=3&amp;refID=7037824&amp;Result=3","7037824")</f>
        <v>0</v>
      </c>
      <c r="B8628" t="s">
        <v>155</v>
      </c>
      <c r="C8628" t="s">
        <v>11302</v>
      </c>
      <c r="D8628" t="s">
        <v>16235</v>
      </c>
      <c r="E8628" t="s">
        <v>23833</v>
      </c>
      <c r="F8628" t="s">
        <v>28198</v>
      </c>
      <c r="G8628" t="s">
        <v>28205</v>
      </c>
      <c r="H8628" t="s">
        <v>28214</v>
      </c>
      <c r="I8628" t="s">
        <v>3797</v>
      </c>
      <c r="J8628" t="s">
        <v>28378</v>
      </c>
      <c r="K8628" t="s">
        <v>36715</v>
      </c>
      <c r="M8628" t="s">
        <v>37129</v>
      </c>
      <c r="N8628" t="s">
        <v>40436</v>
      </c>
      <c r="O8628" t="s">
        <v>40437</v>
      </c>
      <c r="P8628">
        <v>0</v>
      </c>
      <c r="Q8628">
        <v>0</v>
      </c>
      <c r="R8628" t="s">
        <v>40445</v>
      </c>
      <c r="S8628" t="s">
        <v>40730</v>
      </c>
      <c r="T8628" t="s">
        <v>42234</v>
      </c>
      <c r="U8628" t="s">
        <v>49844</v>
      </c>
      <c r="W8628" t="s">
        <v>37129</v>
      </c>
      <c r="X8628" t="s">
        <v>40446</v>
      </c>
    </row>
    <row r="8629" spans="1:24">
      <c r="A8629">
        <f>HYPERLINK("https://www.philgeps.gov.ph/GEPSNONPILOT/Tender/SplashBidNoticeAbstractUI.aspx?menuIndex=3&amp;refID=7037863&amp;Result=3","7037863")</f>
        <v>0</v>
      </c>
      <c r="B8629" t="s">
        <v>2500</v>
      </c>
      <c r="C8629" t="s">
        <v>11303</v>
      </c>
      <c r="D8629" t="s">
        <v>16251</v>
      </c>
      <c r="E8629" t="s">
        <v>23834</v>
      </c>
      <c r="F8629" t="s">
        <v>28198</v>
      </c>
      <c r="G8629" t="s">
        <v>28205</v>
      </c>
      <c r="H8629" t="s">
        <v>28214</v>
      </c>
      <c r="I8629" t="s">
        <v>3797</v>
      </c>
      <c r="J8629" t="s">
        <v>33728</v>
      </c>
      <c r="K8629" t="s">
        <v>36697</v>
      </c>
      <c r="M8629" t="s">
        <v>39702</v>
      </c>
      <c r="N8629" t="s">
        <v>40436</v>
      </c>
      <c r="O8629" t="s">
        <v>40437</v>
      </c>
      <c r="P8629">
        <v>0</v>
      </c>
      <c r="Q8629">
        <v>11</v>
      </c>
      <c r="R8629" t="s">
        <v>40445</v>
      </c>
      <c r="S8629" t="s">
        <v>40730</v>
      </c>
      <c r="T8629" t="s">
        <v>42168</v>
      </c>
      <c r="U8629" t="s">
        <v>49867</v>
      </c>
      <c r="W8629" t="s">
        <v>39702</v>
      </c>
      <c r="X8629" t="s">
        <v>40446</v>
      </c>
    </row>
    <row r="8630" spans="1:24">
      <c r="A8630">
        <f>HYPERLINK("https://www.philgeps.gov.ph/GEPSNONPILOT/Tender/SplashBidNoticeAbstractUI.aspx?menuIndex=3&amp;refID=7037862&amp;Result=3","7037862")</f>
        <v>0</v>
      </c>
      <c r="B8630" t="s">
        <v>1801</v>
      </c>
      <c r="C8630" t="s">
        <v>11304</v>
      </c>
      <c r="D8630" t="s">
        <v>16192</v>
      </c>
      <c r="E8630" t="s">
        <v>23835</v>
      </c>
      <c r="F8630" t="s">
        <v>28198</v>
      </c>
      <c r="G8630" t="s">
        <v>28205</v>
      </c>
      <c r="H8630" t="s">
        <v>28215</v>
      </c>
      <c r="I8630" t="s">
        <v>28290</v>
      </c>
      <c r="J8630" t="s">
        <v>28347</v>
      </c>
      <c r="K8630" t="s">
        <v>36694</v>
      </c>
      <c r="M8630" t="s">
        <v>39480</v>
      </c>
      <c r="N8630" t="s">
        <v>40436</v>
      </c>
      <c r="O8630" t="s">
        <v>40437</v>
      </c>
      <c r="P8630">
        <v>0</v>
      </c>
      <c r="Q8630">
        <v>6</v>
      </c>
      <c r="R8630" t="s">
        <v>40445</v>
      </c>
      <c r="S8630" t="s">
        <v>40730</v>
      </c>
      <c r="T8630" t="s">
        <v>42244</v>
      </c>
      <c r="U8630" t="s">
        <v>49868</v>
      </c>
      <c r="W8630" t="s">
        <v>39480</v>
      </c>
      <c r="X8630" t="s">
        <v>40446</v>
      </c>
    </row>
    <row r="8631" spans="1:24">
      <c r="A8631">
        <f>HYPERLINK("https://www.philgeps.gov.ph/GEPSNONPILOT/Tender/SplashBidNoticeAbstractUI.aspx?menuIndex=3&amp;refID=7037803&amp;Result=3","7037803")</f>
        <v>0</v>
      </c>
      <c r="B8631" t="s">
        <v>2507</v>
      </c>
      <c r="C8631" t="s">
        <v>11305</v>
      </c>
      <c r="D8631" t="s">
        <v>16227</v>
      </c>
      <c r="E8631" t="s">
        <v>23836</v>
      </c>
      <c r="F8631" t="s">
        <v>28198</v>
      </c>
      <c r="G8631" t="s">
        <v>28205</v>
      </c>
      <c r="H8631" t="s">
        <v>28214</v>
      </c>
      <c r="I8631" t="s">
        <v>3797</v>
      </c>
      <c r="J8631" t="s">
        <v>33729</v>
      </c>
      <c r="K8631" t="s">
        <v>36697</v>
      </c>
      <c r="M8631" t="s">
        <v>39709</v>
      </c>
      <c r="N8631" t="s">
        <v>40436</v>
      </c>
      <c r="O8631" t="s">
        <v>40437</v>
      </c>
      <c r="P8631">
        <v>0</v>
      </c>
      <c r="Q8631">
        <v>33</v>
      </c>
      <c r="R8631" t="s">
        <v>40445</v>
      </c>
      <c r="S8631" t="s">
        <v>40730</v>
      </c>
      <c r="T8631" t="s">
        <v>42234</v>
      </c>
      <c r="U8631" t="s">
        <v>49869</v>
      </c>
      <c r="V8631" t="s">
        <v>54704</v>
      </c>
      <c r="W8631" t="s">
        <v>39709</v>
      </c>
      <c r="X8631" t="s">
        <v>40446</v>
      </c>
    </row>
    <row r="8632" spans="1:24">
      <c r="A8632">
        <f>HYPERLINK("https://www.philgeps.gov.ph/GEPSNONPILOT/Tender/SplashBidNoticeAbstractUI.aspx?menuIndex=3&amp;refID=7037804&amp;Result=3","7037804")</f>
        <v>0</v>
      </c>
      <c r="B8632" t="s">
        <v>155</v>
      </c>
      <c r="C8632" t="s">
        <v>11306</v>
      </c>
      <c r="D8632" t="s">
        <v>16235</v>
      </c>
      <c r="E8632" t="s">
        <v>23837</v>
      </c>
      <c r="F8632" t="s">
        <v>28198</v>
      </c>
      <c r="G8632" t="s">
        <v>28205</v>
      </c>
      <c r="H8632" t="s">
        <v>28214</v>
      </c>
      <c r="I8632" t="s">
        <v>3797</v>
      </c>
      <c r="J8632" t="s">
        <v>28561</v>
      </c>
      <c r="K8632" t="s">
        <v>36715</v>
      </c>
      <c r="M8632" t="s">
        <v>37129</v>
      </c>
      <c r="N8632" t="s">
        <v>40436</v>
      </c>
      <c r="O8632" t="s">
        <v>40437</v>
      </c>
      <c r="P8632">
        <v>0</v>
      </c>
      <c r="Q8632">
        <v>0</v>
      </c>
      <c r="R8632" t="s">
        <v>40445</v>
      </c>
      <c r="S8632" t="s">
        <v>40730</v>
      </c>
      <c r="T8632" t="s">
        <v>42234</v>
      </c>
      <c r="U8632" t="s">
        <v>49844</v>
      </c>
      <c r="W8632" t="s">
        <v>37129</v>
      </c>
      <c r="X8632" t="s">
        <v>40446</v>
      </c>
    </row>
    <row r="8633" spans="1:24">
      <c r="A8633">
        <f>HYPERLINK("https://www.philgeps.gov.ph/GEPSNONPILOT/Tender/SplashBidNoticeAbstractUI.aspx?menuIndex=3&amp;refID=7037849&amp;Result=3","7037849")</f>
        <v>0</v>
      </c>
      <c r="B8633" t="s">
        <v>103</v>
      </c>
      <c r="C8633" t="s">
        <v>11307</v>
      </c>
      <c r="D8633" t="s">
        <v>16230</v>
      </c>
      <c r="E8633" t="s">
        <v>18767</v>
      </c>
      <c r="F8633" t="s">
        <v>28198</v>
      </c>
      <c r="G8633" t="s">
        <v>28205</v>
      </c>
      <c r="H8633" t="s">
        <v>28215</v>
      </c>
      <c r="I8633" t="s">
        <v>28246</v>
      </c>
      <c r="J8633" t="s">
        <v>30738</v>
      </c>
      <c r="K8633" t="s">
        <v>36708</v>
      </c>
      <c r="M8633" t="s">
        <v>37077</v>
      </c>
      <c r="N8633" t="s">
        <v>40436</v>
      </c>
      <c r="O8633" t="s">
        <v>40437</v>
      </c>
      <c r="P8633">
        <v>0</v>
      </c>
      <c r="Q8633">
        <v>1</v>
      </c>
      <c r="R8633" t="s">
        <v>40445</v>
      </c>
      <c r="S8633" t="s">
        <v>40730</v>
      </c>
      <c r="T8633" t="s">
        <v>42233</v>
      </c>
      <c r="U8633" t="s">
        <v>49870</v>
      </c>
      <c r="V8633" t="s">
        <v>54708</v>
      </c>
      <c r="W8633" t="s">
        <v>37077</v>
      </c>
      <c r="X8633" t="s">
        <v>40446</v>
      </c>
    </row>
    <row r="8634" spans="1:24">
      <c r="A8634">
        <f>HYPERLINK("https://www.philgeps.gov.ph/GEPSNONPILOT/Tender/SplashBidNoticeAbstractUI.aspx?menuIndex=3&amp;refID=7037847&amp;Result=3","7037847")</f>
        <v>0</v>
      </c>
      <c r="B8634" t="s">
        <v>2348</v>
      </c>
      <c r="C8634" t="s">
        <v>11308</v>
      </c>
      <c r="D8634" t="s">
        <v>16201</v>
      </c>
      <c r="E8634" t="s">
        <v>23838</v>
      </c>
      <c r="F8634" t="s">
        <v>28198</v>
      </c>
      <c r="G8634" t="s">
        <v>28205</v>
      </c>
      <c r="H8634" t="s">
        <v>28215</v>
      </c>
      <c r="I8634" t="s">
        <v>28236</v>
      </c>
      <c r="J8634" t="s">
        <v>32594</v>
      </c>
      <c r="K8634" t="s">
        <v>36707</v>
      </c>
      <c r="M8634" t="s">
        <v>39528</v>
      </c>
      <c r="N8634" t="s">
        <v>40436</v>
      </c>
      <c r="O8634" t="s">
        <v>40437</v>
      </c>
      <c r="P8634">
        <v>0</v>
      </c>
      <c r="Q8634">
        <v>4</v>
      </c>
      <c r="R8634" t="s">
        <v>40445</v>
      </c>
      <c r="S8634" t="s">
        <v>40730</v>
      </c>
      <c r="T8634" t="s">
        <v>42183</v>
      </c>
      <c r="U8634" t="s">
        <v>49871</v>
      </c>
      <c r="V8634" t="s">
        <v>54609</v>
      </c>
      <c r="W8634" t="s">
        <v>39528</v>
      </c>
      <c r="X8634" t="s">
        <v>40446</v>
      </c>
    </row>
    <row r="8635" spans="1:24">
      <c r="A8635">
        <f>HYPERLINK("https://www.philgeps.gov.ph/GEPSNONPILOT/Tender/SplashBidNoticeAbstractUI.aspx?menuIndex=3&amp;refID=7037860&amp;Result=3","7037860")</f>
        <v>0</v>
      </c>
      <c r="B8635" t="s">
        <v>2509</v>
      </c>
      <c r="C8635" t="s">
        <v>8479</v>
      </c>
      <c r="D8635" t="s">
        <v>16204</v>
      </c>
      <c r="E8635" t="s">
        <v>18990</v>
      </c>
      <c r="F8635" t="s">
        <v>28198</v>
      </c>
      <c r="G8635" t="s">
        <v>28205</v>
      </c>
      <c r="H8635" t="s">
        <v>28215</v>
      </c>
      <c r="I8635" t="s">
        <v>8870</v>
      </c>
      <c r="J8635" t="s">
        <v>33730</v>
      </c>
      <c r="K8635" t="s">
        <v>36688</v>
      </c>
      <c r="M8635" t="s">
        <v>39712</v>
      </c>
      <c r="N8635" t="s">
        <v>40436</v>
      </c>
      <c r="O8635" t="s">
        <v>40437</v>
      </c>
      <c r="P8635">
        <v>0</v>
      </c>
      <c r="Q8635">
        <v>4</v>
      </c>
      <c r="R8635" t="s">
        <v>40445</v>
      </c>
      <c r="S8635" t="s">
        <v>40730</v>
      </c>
      <c r="T8635" t="s">
        <v>42216</v>
      </c>
      <c r="U8635" t="s">
        <v>49865</v>
      </c>
      <c r="W8635" t="s">
        <v>39712</v>
      </c>
      <c r="X8635" t="s">
        <v>40446</v>
      </c>
    </row>
    <row r="8636" spans="1:24">
      <c r="A8636">
        <f>HYPERLINK("https://www.philgeps.gov.ph/GEPSNONPILOT/Tender/SplashBidNoticeAbstractUI.aspx?menuIndex=3&amp;refID=7037842&amp;Result=3","7037842")</f>
        <v>0</v>
      </c>
      <c r="B8636" t="s">
        <v>155</v>
      </c>
      <c r="C8636" t="s">
        <v>11309</v>
      </c>
      <c r="D8636" t="s">
        <v>16235</v>
      </c>
      <c r="E8636" t="s">
        <v>23839</v>
      </c>
      <c r="F8636" t="s">
        <v>28198</v>
      </c>
      <c r="G8636" t="s">
        <v>28205</v>
      </c>
      <c r="H8636" t="s">
        <v>28214</v>
      </c>
      <c r="I8636" t="s">
        <v>3797</v>
      </c>
      <c r="J8636" t="s">
        <v>28415</v>
      </c>
      <c r="K8636" t="s">
        <v>36715</v>
      </c>
      <c r="M8636" t="s">
        <v>37129</v>
      </c>
      <c r="N8636" t="s">
        <v>40436</v>
      </c>
      <c r="O8636" t="s">
        <v>40437</v>
      </c>
      <c r="P8636">
        <v>0</v>
      </c>
      <c r="Q8636">
        <v>0</v>
      </c>
      <c r="R8636" t="s">
        <v>40445</v>
      </c>
      <c r="S8636" t="s">
        <v>40730</v>
      </c>
      <c r="T8636" t="s">
        <v>42234</v>
      </c>
      <c r="U8636" t="s">
        <v>49844</v>
      </c>
      <c r="W8636" t="s">
        <v>37129</v>
      </c>
      <c r="X8636" t="s">
        <v>40446</v>
      </c>
    </row>
    <row r="8637" spans="1:24">
      <c r="A8637">
        <f>HYPERLINK("https://www.philgeps.gov.ph/GEPSNONPILOT/Tender/SplashBidNoticeAbstractUI.aspx?menuIndex=3&amp;refID=7037858&amp;Result=3","7037858")</f>
        <v>0</v>
      </c>
      <c r="B8637" t="s">
        <v>755</v>
      </c>
      <c r="C8637" t="s">
        <v>11310</v>
      </c>
      <c r="D8637" t="s">
        <v>16200</v>
      </c>
      <c r="E8637" t="s">
        <v>23840</v>
      </c>
      <c r="F8637" t="s">
        <v>28198</v>
      </c>
      <c r="G8637" t="s">
        <v>28205</v>
      </c>
      <c r="H8637" t="s">
        <v>28215</v>
      </c>
      <c r="I8637" t="s">
        <v>28220</v>
      </c>
      <c r="J8637" t="s">
        <v>28818</v>
      </c>
      <c r="K8637" t="s">
        <v>36701</v>
      </c>
      <c r="M8637" t="s">
        <v>37758</v>
      </c>
      <c r="N8637" t="s">
        <v>40436</v>
      </c>
      <c r="O8637" t="s">
        <v>40437</v>
      </c>
      <c r="P8637">
        <v>0</v>
      </c>
      <c r="Q8637">
        <v>6</v>
      </c>
      <c r="R8637" t="s">
        <v>40445</v>
      </c>
      <c r="S8637" t="s">
        <v>40730</v>
      </c>
      <c r="T8637" t="s">
        <v>42145</v>
      </c>
      <c r="U8637" t="s">
        <v>44043</v>
      </c>
      <c r="W8637" t="s">
        <v>37758</v>
      </c>
      <c r="X8637" t="s">
        <v>40446</v>
      </c>
    </row>
    <row r="8638" spans="1:24">
      <c r="A8638">
        <f>HYPERLINK("https://www.philgeps.gov.ph/GEPSNONPILOT/Tender/SplashBidNoticeAbstractUI.aspx?menuIndex=3&amp;refID=7037832&amp;Result=3","7037832")</f>
        <v>0</v>
      </c>
      <c r="B8638" t="s">
        <v>2505</v>
      </c>
      <c r="C8638" t="s">
        <v>11311</v>
      </c>
      <c r="D8638" t="s">
        <v>16261</v>
      </c>
      <c r="E8638" t="s">
        <v>18093</v>
      </c>
      <c r="F8638" t="s">
        <v>28198</v>
      </c>
      <c r="G8638" t="s">
        <v>28205</v>
      </c>
      <c r="H8638" t="s">
        <v>28214</v>
      </c>
      <c r="I8638" t="s">
        <v>3797</v>
      </c>
      <c r="J8638" t="s">
        <v>33731</v>
      </c>
      <c r="K8638" t="s">
        <v>36878</v>
      </c>
      <c r="M8638" t="s">
        <v>39707</v>
      </c>
      <c r="N8638" t="s">
        <v>40436</v>
      </c>
      <c r="O8638" t="s">
        <v>40437</v>
      </c>
      <c r="P8638">
        <v>0</v>
      </c>
      <c r="Q8638">
        <v>0</v>
      </c>
      <c r="R8638" t="s">
        <v>40445</v>
      </c>
      <c r="S8638" t="s">
        <v>40730</v>
      </c>
      <c r="T8638" t="s">
        <v>42245</v>
      </c>
      <c r="U8638" t="s">
        <v>49872</v>
      </c>
      <c r="V8638" t="s">
        <v>54709</v>
      </c>
      <c r="W8638" t="s">
        <v>39707</v>
      </c>
      <c r="X8638" t="s">
        <v>40446</v>
      </c>
    </row>
    <row r="8639" spans="1:24">
      <c r="A8639">
        <f>HYPERLINK("https://www.philgeps.gov.ph/GEPSNONPILOT/Tender/SplashBidNoticeAbstractUI.aspx?menuIndex=3&amp;refID=7037829&amp;Result=3","7037829")</f>
        <v>0</v>
      </c>
      <c r="B8639" t="s">
        <v>2510</v>
      </c>
      <c r="C8639" t="s">
        <v>11312</v>
      </c>
      <c r="D8639" t="s">
        <v>16239</v>
      </c>
      <c r="E8639" t="s">
        <v>23841</v>
      </c>
      <c r="F8639" t="s">
        <v>28198</v>
      </c>
      <c r="G8639" t="s">
        <v>28205</v>
      </c>
      <c r="H8639" t="s">
        <v>28215</v>
      </c>
      <c r="I8639" t="s">
        <v>4505</v>
      </c>
      <c r="J8639" t="s">
        <v>33732</v>
      </c>
      <c r="K8639" t="s">
        <v>36715</v>
      </c>
      <c r="M8639" t="s">
        <v>39713</v>
      </c>
      <c r="N8639" t="s">
        <v>40436</v>
      </c>
      <c r="O8639" t="s">
        <v>40437</v>
      </c>
      <c r="P8639">
        <v>0</v>
      </c>
      <c r="Q8639">
        <v>12</v>
      </c>
      <c r="R8639" t="s">
        <v>40445</v>
      </c>
      <c r="S8639" t="s">
        <v>40730</v>
      </c>
      <c r="T8639" t="s">
        <v>42123</v>
      </c>
      <c r="U8639" t="s">
        <v>49873</v>
      </c>
      <c r="W8639" t="s">
        <v>39713</v>
      </c>
      <c r="X8639" t="s">
        <v>40446</v>
      </c>
    </row>
    <row r="8640" spans="1:24">
      <c r="A8640">
        <f>HYPERLINK("https://www.philgeps.gov.ph/GEPSNONPILOT/Tender/SplashBidNoticeAbstractUI.aspx?menuIndex=3&amp;refID=7037833&amp;Result=3","7037833")</f>
        <v>0</v>
      </c>
      <c r="B8640" t="s">
        <v>2507</v>
      </c>
      <c r="C8640" t="s">
        <v>11313</v>
      </c>
      <c r="D8640" t="s">
        <v>16227</v>
      </c>
      <c r="E8640" t="s">
        <v>23842</v>
      </c>
      <c r="F8640" t="s">
        <v>28198</v>
      </c>
      <c r="G8640" t="s">
        <v>28205</v>
      </c>
      <c r="H8640" t="s">
        <v>28214</v>
      </c>
      <c r="I8640" t="s">
        <v>3797</v>
      </c>
      <c r="J8640" t="s">
        <v>33733</v>
      </c>
      <c r="K8640" t="s">
        <v>36697</v>
      </c>
      <c r="M8640" t="s">
        <v>39709</v>
      </c>
      <c r="N8640" t="s">
        <v>40436</v>
      </c>
      <c r="O8640" t="s">
        <v>40437</v>
      </c>
      <c r="P8640">
        <v>0</v>
      </c>
      <c r="Q8640">
        <v>22</v>
      </c>
      <c r="R8640" t="s">
        <v>40445</v>
      </c>
      <c r="S8640" t="s">
        <v>40730</v>
      </c>
      <c r="T8640" t="s">
        <v>42234</v>
      </c>
      <c r="U8640" t="s">
        <v>49874</v>
      </c>
      <c r="V8640" t="s">
        <v>54704</v>
      </c>
      <c r="W8640" t="s">
        <v>39709</v>
      </c>
      <c r="X8640" t="s">
        <v>40446</v>
      </c>
    </row>
    <row r="8641" spans="1:24">
      <c r="A8641">
        <f>HYPERLINK("https://www.philgeps.gov.ph/GEPSNONPILOT/Tender/SplashBidNoticeAbstractUI.aspx?menuIndex=3&amp;refID=7037888&amp;Result=3","7037888")</f>
        <v>0</v>
      </c>
      <c r="B8641" t="s">
        <v>1159</v>
      </c>
      <c r="C8641" t="s">
        <v>11314</v>
      </c>
      <c r="D8641" t="s">
        <v>16252</v>
      </c>
      <c r="E8641" t="s">
        <v>23843</v>
      </c>
      <c r="F8641" t="s">
        <v>28198</v>
      </c>
      <c r="G8641" t="s">
        <v>28206</v>
      </c>
      <c r="H8641" t="s">
        <v>28215</v>
      </c>
      <c r="I8641" t="s">
        <v>5082</v>
      </c>
      <c r="J8641" t="s">
        <v>33734</v>
      </c>
      <c r="K8641" t="s">
        <v>36689</v>
      </c>
      <c r="M8641" t="s">
        <v>38199</v>
      </c>
      <c r="N8641" t="s">
        <v>40436</v>
      </c>
      <c r="O8641" t="s">
        <v>40437</v>
      </c>
      <c r="P8641">
        <v>0</v>
      </c>
      <c r="Q8641">
        <v>6</v>
      </c>
      <c r="R8641" t="s">
        <v>40445</v>
      </c>
      <c r="S8641" t="s">
        <v>40730</v>
      </c>
      <c r="T8641" t="s">
        <v>42216</v>
      </c>
      <c r="U8641" t="s">
        <v>49875</v>
      </c>
      <c r="W8641" t="s">
        <v>38199</v>
      </c>
      <c r="X8641" t="s">
        <v>40446</v>
      </c>
    </row>
    <row r="8642" spans="1:24">
      <c r="A8642">
        <f>HYPERLINK("https://www.philgeps.gov.ph/GEPSNONPILOT/Tender/SplashBidNoticeAbstractUI.aspx?menuIndex=3&amp;refID=7037867&amp;Result=3","7037867")</f>
        <v>0</v>
      </c>
      <c r="B8642" t="s">
        <v>2500</v>
      </c>
      <c r="C8642" t="s">
        <v>11315</v>
      </c>
      <c r="D8642" t="s">
        <v>16251</v>
      </c>
      <c r="E8642" t="s">
        <v>23844</v>
      </c>
      <c r="F8642" t="s">
        <v>28198</v>
      </c>
      <c r="G8642" t="s">
        <v>28205</v>
      </c>
      <c r="H8642" t="s">
        <v>28214</v>
      </c>
      <c r="I8642" t="s">
        <v>3797</v>
      </c>
      <c r="J8642" t="s">
        <v>33735</v>
      </c>
      <c r="K8642" t="s">
        <v>36694</v>
      </c>
      <c r="M8642" t="s">
        <v>39702</v>
      </c>
      <c r="N8642" t="s">
        <v>40436</v>
      </c>
      <c r="O8642" t="s">
        <v>40437</v>
      </c>
      <c r="P8642">
        <v>0</v>
      </c>
      <c r="Q8642">
        <v>11</v>
      </c>
      <c r="R8642" t="s">
        <v>40445</v>
      </c>
      <c r="S8642" t="s">
        <v>40730</v>
      </c>
      <c r="T8642" t="s">
        <v>42168</v>
      </c>
      <c r="U8642" t="s">
        <v>49876</v>
      </c>
      <c r="W8642" t="s">
        <v>39702</v>
      </c>
      <c r="X8642" t="s">
        <v>40446</v>
      </c>
    </row>
    <row r="8643" spans="1:24">
      <c r="A8643">
        <f>HYPERLINK("https://www.philgeps.gov.ph/GEPSNONPILOT/Tender/SplashBidNoticeAbstractUI.aspx?menuIndex=3&amp;refID=7037879&amp;Result=3","7037879")</f>
        <v>0</v>
      </c>
      <c r="B8643" t="s">
        <v>2500</v>
      </c>
      <c r="C8643" t="s">
        <v>11316</v>
      </c>
      <c r="D8643" t="s">
        <v>16251</v>
      </c>
      <c r="E8643" t="s">
        <v>23845</v>
      </c>
      <c r="F8643" t="s">
        <v>28198</v>
      </c>
      <c r="G8643" t="s">
        <v>28205</v>
      </c>
      <c r="H8643" t="s">
        <v>28214</v>
      </c>
      <c r="I8643" t="s">
        <v>3797</v>
      </c>
      <c r="J8643" t="s">
        <v>33736</v>
      </c>
      <c r="K8643" t="s">
        <v>36694</v>
      </c>
      <c r="M8643" t="s">
        <v>39702</v>
      </c>
      <c r="N8643" t="s">
        <v>40436</v>
      </c>
      <c r="O8643" t="s">
        <v>40437</v>
      </c>
      <c r="P8643">
        <v>0</v>
      </c>
      <c r="Q8643">
        <v>10</v>
      </c>
      <c r="R8643" t="s">
        <v>40445</v>
      </c>
      <c r="S8643" t="s">
        <v>40730</v>
      </c>
      <c r="T8643" t="s">
        <v>42168</v>
      </c>
      <c r="U8643" t="s">
        <v>49877</v>
      </c>
      <c r="W8643" t="s">
        <v>39702</v>
      </c>
      <c r="X8643" t="s">
        <v>40446</v>
      </c>
    </row>
    <row r="8644" spans="1:24">
      <c r="A8644">
        <f>HYPERLINK("https://www.philgeps.gov.ph/GEPSNONPILOT/Tender/SplashBidNoticeAbstractUI.aspx?menuIndex=3&amp;refID=7037882&amp;Result=3","7037882")</f>
        <v>0</v>
      </c>
      <c r="B8644" t="s">
        <v>1801</v>
      </c>
      <c r="C8644" t="s">
        <v>11317</v>
      </c>
      <c r="D8644" t="s">
        <v>16192</v>
      </c>
      <c r="E8644" t="s">
        <v>23846</v>
      </c>
      <c r="F8644" t="s">
        <v>28198</v>
      </c>
      <c r="G8644" t="s">
        <v>28205</v>
      </c>
      <c r="H8644" t="s">
        <v>28215</v>
      </c>
      <c r="I8644" t="s">
        <v>4200</v>
      </c>
      <c r="J8644" t="s">
        <v>33737</v>
      </c>
      <c r="K8644" t="s">
        <v>36694</v>
      </c>
      <c r="M8644" t="s">
        <v>39480</v>
      </c>
      <c r="N8644" t="s">
        <v>40436</v>
      </c>
      <c r="O8644" t="s">
        <v>40437</v>
      </c>
      <c r="P8644">
        <v>0</v>
      </c>
      <c r="Q8644">
        <v>1</v>
      </c>
      <c r="R8644" t="s">
        <v>40445</v>
      </c>
      <c r="S8644" t="s">
        <v>40730</v>
      </c>
      <c r="T8644" t="s">
        <v>42244</v>
      </c>
      <c r="U8644" t="s">
        <v>49878</v>
      </c>
      <c r="W8644" t="s">
        <v>39480</v>
      </c>
      <c r="X8644" t="s">
        <v>40446</v>
      </c>
    </row>
    <row r="8645" spans="1:24">
      <c r="A8645">
        <f>HYPERLINK("https://www.philgeps.gov.ph/GEPSNONPILOT/Tender/SplashBidNoticeAbstractUI.aspx?menuIndex=3&amp;refID=7037885&amp;Result=3","7037885")</f>
        <v>0</v>
      </c>
      <c r="B8645" t="s">
        <v>2500</v>
      </c>
      <c r="C8645" t="s">
        <v>11318</v>
      </c>
      <c r="D8645" t="s">
        <v>16251</v>
      </c>
      <c r="E8645" t="s">
        <v>23847</v>
      </c>
      <c r="F8645" t="s">
        <v>28198</v>
      </c>
      <c r="G8645" t="s">
        <v>28205</v>
      </c>
      <c r="H8645" t="s">
        <v>28214</v>
      </c>
      <c r="I8645" t="s">
        <v>3797</v>
      </c>
      <c r="J8645" t="s">
        <v>33738</v>
      </c>
      <c r="K8645" t="s">
        <v>36715</v>
      </c>
      <c r="M8645" t="s">
        <v>39702</v>
      </c>
      <c r="N8645" t="s">
        <v>40436</v>
      </c>
      <c r="O8645" t="s">
        <v>40437</v>
      </c>
      <c r="P8645">
        <v>0</v>
      </c>
      <c r="Q8645">
        <v>11</v>
      </c>
      <c r="R8645" t="s">
        <v>40445</v>
      </c>
      <c r="S8645" t="s">
        <v>40730</v>
      </c>
      <c r="T8645" t="s">
        <v>42168</v>
      </c>
      <c r="U8645" t="s">
        <v>49879</v>
      </c>
      <c r="W8645" t="s">
        <v>39702</v>
      </c>
      <c r="X8645" t="s">
        <v>40446</v>
      </c>
    </row>
    <row r="8646" spans="1:24">
      <c r="A8646">
        <f>HYPERLINK("https://www.philgeps.gov.ph/GEPSNONPILOT/Tender/SplashBidNoticeAbstractUI.aspx?menuIndex=3&amp;refID=7037827&amp;Result=3","7037827")</f>
        <v>0</v>
      </c>
      <c r="B8646" t="s">
        <v>2507</v>
      </c>
      <c r="C8646" t="s">
        <v>11319</v>
      </c>
      <c r="D8646" t="s">
        <v>16227</v>
      </c>
      <c r="E8646" t="s">
        <v>23848</v>
      </c>
      <c r="F8646" t="s">
        <v>28198</v>
      </c>
      <c r="G8646" t="s">
        <v>28205</v>
      </c>
      <c r="H8646" t="s">
        <v>28214</v>
      </c>
      <c r="I8646" t="s">
        <v>3797</v>
      </c>
      <c r="J8646" t="s">
        <v>33739</v>
      </c>
      <c r="K8646" t="s">
        <v>36697</v>
      </c>
      <c r="M8646" t="s">
        <v>39709</v>
      </c>
      <c r="N8646" t="s">
        <v>40436</v>
      </c>
      <c r="O8646" t="s">
        <v>40437</v>
      </c>
      <c r="P8646">
        <v>0</v>
      </c>
      <c r="Q8646">
        <v>27</v>
      </c>
      <c r="R8646" t="s">
        <v>40445</v>
      </c>
      <c r="S8646" t="s">
        <v>40730</v>
      </c>
      <c r="T8646" t="s">
        <v>42234</v>
      </c>
      <c r="U8646" t="s">
        <v>49880</v>
      </c>
      <c r="V8646" t="s">
        <v>54704</v>
      </c>
      <c r="W8646" t="s">
        <v>39709</v>
      </c>
      <c r="X8646" t="s">
        <v>40446</v>
      </c>
    </row>
    <row r="8647" spans="1:24">
      <c r="A8647">
        <f>HYPERLINK("https://www.philgeps.gov.ph/GEPSNONPILOT/Tender/SplashBidNoticeAbstractUI.aspx?menuIndex=3&amp;refID=7037875&amp;Result=3","7037875")</f>
        <v>0</v>
      </c>
      <c r="B8647" t="s">
        <v>670</v>
      </c>
      <c r="C8647" t="s">
        <v>11320</v>
      </c>
      <c r="E8647" t="s">
        <v>23849</v>
      </c>
      <c r="F8647" t="s">
        <v>28198</v>
      </c>
      <c r="G8647" t="s">
        <v>28205</v>
      </c>
      <c r="H8647" t="s">
        <v>28215</v>
      </c>
      <c r="I8647" t="s">
        <v>28228</v>
      </c>
      <c r="J8647" t="s">
        <v>33740</v>
      </c>
      <c r="K8647" t="s">
        <v>36697</v>
      </c>
      <c r="M8647" t="s">
        <v>37666</v>
      </c>
      <c r="N8647" t="s">
        <v>40436</v>
      </c>
      <c r="O8647" t="s">
        <v>40437</v>
      </c>
      <c r="P8647">
        <v>0</v>
      </c>
      <c r="Q8647">
        <v>0</v>
      </c>
      <c r="R8647" t="s">
        <v>40445</v>
      </c>
      <c r="S8647" t="s">
        <v>40730</v>
      </c>
      <c r="T8647" t="s">
        <v>42278</v>
      </c>
      <c r="U8647" t="s">
        <v>49881</v>
      </c>
      <c r="W8647" t="s">
        <v>37666</v>
      </c>
      <c r="X8647" t="s">
        <v>40446</v>
      </c>
    </row>
    <row r="8648" spans="1:24">
      <c r="A8648">
        <f>HYPERLINK("https://www.philgeps.gov.ph/GEPSNONPILOT/Tender/SplashBidNoticeAbstractUI.aspx?menuIndex=3&amp;refID=7037841&amp;Result=3","7037841")</f>
        <v>0</v>
      </c>
      <c r="B8648" t="s">
        <v>2505</v>
      </c>
      <c r="C8648" t="s">
        <v>11321</v>
      </c>
      <c r="D8648" t="s">
        <v>16261</v>
      </c>
      <c r="E8648" t="s">
        <v>17230</v>
      </c>
      <c r="F8648" t="s">
        <v>28198</v>
      </c>
      <c r="G8648" t="s">
        <v>28205</v>
      </c>
      <c r="H8648" t="s">
        <v>28214</v>
      </c>
      <c r="I8648" t="s">
        <v>3797</v>
      </c>
      <c r="J8648" t="s">
        <v>33741</v>
      </c>
      <c r="K8648" t="s">
        <v>36726</v>
      </c>
      <c r="M8648" t="s">
        <v>39707</v>
      </c>
      <c r="N8648" t="s">
        <v>40436</v>
      </c>
      <c r="O8648" t="s">
        <v>40437</v>
      </c>
      <c r="P8648">
        <v>0</v>
      </c>
      <c r="Q8648">
        <v>0</v>
      </c>
      <c r="R8648" t="s">
        <v>40445</v>
      </c>
      <c r="S8648" t="s">
        <v>40730</v>
      </c>
      <c r="T8648" t="s">
        <v>42245</v>
      </c>
      <c r="U8648" t="s">
        <v>49882</v>
      </c>
      <c r="V8648" t="s">
        <v>54710</v>
      </c>
      <c r="W8648" t="s">
        <v>39707</v>
      </c>
      <c r="X8648" t="s">
        <v>40446</v>
      </c>
    </row>
    <row r="8649" spans="1:24">
      <c r="A8649">
        <f>HYPERLINK("https://www.philgeps.gov.ph/GEPSNONPILOT/Tender/SplashBidNoticeAbstractUI.aspx?menuIndex=3&amp;refID=7037826&amp;Result=3","7037826")</f>
        <v>0</v>
      </c>
      <c r="B8649" t="s">
        <v>2504</v>
      </c>
      <c r="C8649" t="s">
        <v>11322</v>
      </c>
      <c r="D8649" t="s">
        <v>16210</v>
      </c>
      <c r="E8649" t="s">
        <v>23850</v>
      </c>
      <c r="F8649" t="s">
        <v>28198</v>
      </c>
      <c r="G8649" t="s">
        <v>28205</v>
      </c>
      <c r="H8649" t="s">
        <v>28215</v>
      </c>
      <c r="I8649" t="s">
        <v>4200</v>
      </c>
      <c r="J8649" t="s">
        <v>28398</v>
      </c>
      <c r="K8649" t="s">
        <v>36693</v>
      </c>
      <c r="M8649" t="s">
        <v>39706</v>
      </c>
      <c r="N8649" t="s">
        <v>40436</v>
      </c>
      <c r="O8649" t="s">
        <v>40437</v>
      </c>
      <c r="P8649">
        <v>0</v>
      </c>
      <c r="Q8649">
        <v>2</v>
      </c>
      <c r="R8649" t="s">
        <v>40445</v>
      </c>
      <c r="S8649" t="s">
        <v>40730</v>
      </c>
      <c r="T8649" t="s">
        <v>42528</v>
      </c>
      <c r="U8649" t="s">
        <v>49854</v>
      </c>
      <c r="W8649" t="s">
        <v>39706</v>
      </c>
      <c r="X8649" t="s">
        <v>40446</v>
      </c>
    </row>
    <row r="8650" spans="1:24">
      <c r="A8650">
        <f>HYPERLINK("https://www.philgeps.gov.ph/GEPSNONPILOT/Tender/SplashBidNoticeAbstractUI.aspx?menuIndex=3&amp;refID=7037914&amp;Result=3","7037914")</f>
        <v>0</v>
      </c>
      <c r="B8650" t="s">
        <v>2511</v>
      </c>
      <c r="C8650" t="s">
        <v>11323</v>
      </c>
      <c r="D8650" t="s">
        <v>16260</v>
      </c>
      <c r="E8650" t="s">
        <v>23851</v>
      </c>
      <c r="F8650" t="s">
        <v>28198</v>
      </c>
      <c r="G8650" t="s">
        <v>28205</v>
      </c>
      <c r="H8650" t="s">
        <v>28214</v>
      </c>
      <c r="I8650" t="s">
        <v>3797</v>
      </c>
      <c r="J8650" t="s">
        <v>28398</v>
      </c>
      <c r="K8650" t="s">
        <v>36769</v>
      </c>
      <c r="M8650" t="s">
        <v>39714</v>
      </c>
      <c r="N8650" t="s">
        <v>40436</v>
      </c>
      <c r="O8650" t="s">
        <v>40437</v>
      </c>
      <c r="P8650">
        <v>0</v>
      </c>
      <c r="Q8650">
        <v>0</v>
      </c>
      <c r="R8650" t="s">
        <v>40445</v>
      </c>
      <c r="S8650" t="s">
        <v>40730</v>
      </c>
      <c r="T8650" t="s">
        <v>42102</v>
      </c>
      <c r="U8650" t="s">
        <v>49883</v>
      </c>
      <c r="V8650" t="s">
        <v>54711</v>
      </c>
      <c r="W8650" t="s">
        <v>39714</v>
      </c>
      <c r="X8650" t="s">
        <v>40446</v>
      </c>
    </row>
    <row r="8651" spans="1:24">
      <c r="A8651">
        <f>HYPERLINK("https://www.philgeps.gov.ph/GEPSNONPILOT/Tender/SplashBidNoticeAbstractUI.aspx?menuIndex=3&amp;refID=7037911&amp;Result=3","7037911")</f>
        <v>0</v>
      </c>
      <c r="B8651" t="s">
        <v>1853</v>
      </c>
      <c r="C8651" t="s">
        <v>11324</v>
      </c>
      <c r="D8651" t="s">
        <v>16193</v>
      </c>
      <c r="E8651" t="s">
        <v>23852</v>
      </c>
      <c r="F8651" t="s">
        <v>28198</v>
      </c>
      <c r="G8651" t="s">
        <v>28205</v>
      </c>
      <c r="H8651" t="s">
        <v>28214</v>
      </c>
      <c r="I8651" t="s">
        <v>3797</v>
      </c>
      <c r="J8651" t="s">
        <v>33742</v>
      </c>
      <c r="K8651" t="s">
        <v>36701</v>
      </c>
      <c r="M8651" t="s">
        <v>38980</v>
      </c>
      <c r="N8651" t="s">
        <v>40436</v>
      </c>
      <c r="O8651" t="s">
        <v>40437</v>
      </c>
      <c r="Q8651">
        <v>2</v>
      </c>
      <c r="R8651" t="s">
        <v>40445</v>
      </c>
      <c r="S8651" t="s">
        <v>40743</v>
      </c>
      <c r="T8651" t="s">
        <v>42279</v>
      </c>
      <c r="U8651" t="s">
        <v>49884</v>
      </c>
      <c r="W8651" t="s">
        <v>38980</v>
      </c>
      <c r="X8651" t="s">
        <v>40446</v>
      </c>
    </row>
    <row r="8652" spans="1:24">
      <c r="A8652">
        <f>HYPERLINK("https://www.philgeps.gov.ph/GEPSNONPILOT/Tender/SplashBidNoticeAbstractUI.aspx?menuIndex=3&amp;refID=7037835&amp;Result=3","7037835")</f>
        <v>0</v>
      </c>
      <c r="B8652" t="s">
        <v>155</v>
      </c>
      <c r="C8652" t="s">
        <v>11325</v>
      </c>
      <c r="D8652" t="s">
        <v>16235</v>
      </c>
      <c r="E8652" t="s">
        <v>23853</v>
      </c>
      <c r="F8652" t="s">
        <v>28198</v>
      </c>
      <c r="G8652" t="s">
        <v>28205</v>
      </c>
      <c r="H8652" t="s">
        <v>28214</v>
      </c>
      <c r="I8652" t="s">
        <v>3797</v>
      </c>
      <c r="J8652" t="s">
        <v>28415</v>
      </c>
      <c r="K8652" t="s">
        <v>36715</v>
      </c>
      <c r="M8652" t="s">
        <v>37129</v>
      </c>
      <c r="N8652" t="s">
        <v>40436</v>
      </c>
      <c r="O8652" t="s">
        <v>40437</v>
      </c>
      <c r="P8652">
        <v>0</v>
      </c>
      <c r="Q8652">
        <v>0</v>
      </c>
      <c r="R8652" t="s">
        <v>40445</v>
      </c>
      <c r="S8652" t="s">
        <v>40730</v>
      </c>
      <c r="T8652" t="s">
        <v>42234</v>
      </c>
      <c r="U8652" t="s">
        <v>49844</v>
      </c>
      <c r="W8652" t="s">
        <v>37129</v>
      </c>
      <c r="X8652" t="s">
        <v>40446</v>
      </c>
    </row>
    <row r="8653" spans="1:24">
      <c r="A8653">
        <f>HYPERLINK("https://www.philgeps.gov.ph/GEPSNONPILOT/Tender/SplashBidNoticeAbstractUI.aspx?menuIndex=3&amp;refID=7037915&amp;Result=3","7037915")</f>
        <v>0</v>
      </c>
      <c r="B8653" t="s">
        <v>2512</v>
      </c>
      <c r="C8653" t="s">
        <v>11326</v>
      </c>
      <c r="D8653" t="s">
        <v>16210</v>
      </c>
      <c r="E8653" t="s">
        <v>23854</v>
      </c>
      <c r="F8653" t="s">
        <v>28198</v>
      </c>
      <c r="G8653" t="s">
        <v>28205</v>
      </c>
      <c r="H8653" t="s">
        <v>28215</v>
      </c>
      <c r="I8653" t="s">
        <v>4200</v>
      </c>
      <c r="J8653" t="s">
        <v>28636</v>
      </c>
      <c r="K8653" t="s">
        <v>36691</v>
      </c>
      <c r="M8653" t="s">
        <v>39715</v>
      </c>
      <c r="N8653" t="s">
        <v>40436</v>
      </c>
      <c r="O8653" t="s">
        <v>40437</v>
      </c>
      <c r="P8653">
        <v>0</v>
      </c>
      <c r="Q8653">
        <v>5</v>
      </c>
      <c r="R8653" t="s">
        <v>40445</v>
      </c>
      <c r="S8653" t="s">
        <v>40730</v>
      </c>
      <c r="T8653" t="s">
        <v>42205</v>
      </c>
      <c r="U8653" t="s">
        <v>49885</v>
      </c>
      <c r="W8653" t="s">
        <v>39715</v>
      </c>
      <c r="X8653" t="s">
        <v>40446</v>
      </c>
    </row>
    <row r="8654" spans="1:24">
      <c r="A8654">
        <f>HYPERLINK("https://www.philgeps.gov.ph/GEPSNONPILOT/Tender/SplashBidNoticeAbstractUI.aspx?menuIndex=3&amp;refID=7037909&amp;Result=3","7037909")</f>
        <v>0</v>
      </c>
      <c r="B8654" t="s">
        <v>950</v>
      </c>
      <c r="C8654" t="s">
        <v>11327</v>
      </c>
      <c r="D8654" t="s">
        <v>16232</v>
      </c>
      <c r="E8654" t="s">
        <v>23855</v>
      </c>
      <c r="F8654" t="s">
        <v>28198</v>
      </c>
      <c r="G8654" t="s">
        <v>28205</v>
      </c>
      <c r="H8654" t="s">
        <v>28214</v>
      </c>
      <c r="I8654" t="s">
        <v>3797</v>
      </c>
      <c r="J8654" t="s">
        <v>33743</v>
      </c>
      <c r="K8654" t="s">
        <v>36853</v>
      </c>
      <c r="M8654" t="s">
        <v>37974</v>
      </c>
      <c r="N8654" t="s">
        <v>40436</v>
      </c>
      <c r="O8654" t="s">
        <v>40437</v>
      </c>
      <c r="P8654">
        <v>0</v>
      </c>
      <c r="Q8654">
        <v>0</v>
      </c>
      <c r="R8654" t="s">
        <v>40445</v>
      </c>
      <c r="S8654" t="s">
        <v>40730</v>
      </c>
      <c r="T8654" t="s">
        <v>42279</v>
      </c>
      <c r="U8654" t="s">
        <v>49886</v>
      </c>
      <c r="W8654" t="s">
        <v>37974</v>
      </c>
      <c r="X8654" t="s">
        <v>40446</v>
      </c>
    </row>
    <row r="8655" spans="1:24">
      <c r="A8655">
        <f>HYPERLINK("https://www.philgeps.gov.ph/GEPSNONPILOT/Tender/SplashBidNoticeAbstractUI.aspx?menuIndex=3&amp;refID=7037917&amp;Result=3","7037917")</f>
        <v>0</v>
      </c>
      <c r="B8655" t="s">
        <v>2513</v>
      </c>
      <c r="C8655" t="s">
        <v>11328</v>
      </c>
      <c r="D8655" t="s">
        <v>16202</v>
      </c>
      <c r="E8655" t="s">
        <v>18229</v>
      </c>
      <c r="F8655" t="s">
        <v>28198</v>
      </c>
      <c r="G8655" t="s">
        <v>28205</v>
      </c>
      <c r="H8655" t="s">
        <v>28217</v>
      </c>
      <c r="I8655" t="s">
        <v>28231</v>
      </c>
      <c r="J8655" t="s">
        <v>29432</v>
      </c>
      <c r="K8655" t="s">
        <v>36774</v>
      </c>
      <c r="M8655" t="s">
        <v>39716</v>
      </c>
      <c r="N8655" t="s">
        <v>40436</v>
      </c>
      <c r="O8655" t="s">
        <v>40437</v>
      </c>
      <c r="P8655">
        <v>0</v>
      </c>
      <c r="Q8655">
        <v>0</v>
      </c>
      <c r="R8655" t="s">
        <v>40445</v>
      </c>
      <c r="S8655" t="s">
        <v>40730</v>
      </c>
      <c r="T8655" t="s">
        <v>42297</v>
      </c>
      <c r="U8655" t="s">
        <v>49887</v>
      </c>
      <c r="V8655" t="s">
        <v>54712</v>
      </c>
      <c r="W8655" t="s">
        <v>39716</v>
      </c>
      <c r="X8655" t="s">
        <v>40446</v>
      </c>
    </row>
    <row r="8656" spans="1:24">
      <c r="A8656">
        <f>HYPERLINK("https://www.philgeps.gov.ph/GEPSNONPILOT/Tender/SplashBidNoticeAbstractUI.aspx?menuIndex=3&amp;refID=7037920&amp;Result=3","7037920")</f>
        <v>0</v>
      </c>
      <c r="B8656" t="s">
        <v>2500</v>
      </c>
      <c r="C8656" t="s">
        <v>11329</v>
      </c>
      <c r="D8656" t="s">
        <v>16251</v>
      </c>
      <c r="E8656" t="s">
        <v>23856</v>
      </c>
      <c r="F8656" t="s">
        <v>28198</v>
      </c>
      <c r="G8656" t="s">
        <v>28205</v>
      </c>
      <c r="H8656" t="s">
        <v>28214</v>
      </c>
      <c r="I8656" t="s">
        <v>3797</v>
      </c>
      <c r="J8656" t="s">
        <v>33744</v>
      </c>
      <c r="K8656" t="s">
        <v>36727</v>
      </c>
      <c r="M8656" t="s">
        <v>39702</v>
      </c>
      <c r="N8656" t="s">
        <v>40436</v>
      </c>
      <c r="O8656" t="s">
        <v>40437</v>
      </c>
      <c r="P8656">
        <v>0</v>
      </c>
      <c r="Q8656">
        <v>10</v>
      </c>
      <c r="R8656" t="s">
        <v>40445</v>
      </c>
      <c r="S8656" t="s">
        <v>40730</v>
      </c>
      <c r="T8656" t="s">
        <v>42168</v>
      </c>
      <c r="U8656" t="s">
        <v>49888</v>
      </c>
      <c r="W8656" t="s">
        <v>39702</v>
      </c>
      <c r="X8656" t="s">
        <v>40446</v>
      </c>
    </row>
    <row r="8657" spans="1:24">
      <c r="A8657">
        <f>HYPERLINK("https://www.philgeps.gov.ph/GEPSNONPILOT/Tender/SplashBidNoticeAbstractUI.aspx?menuIndex=3&amp;refID=7037904&amp;Result=3","7037904")</f>
        <v>0</v>
      </c>
      <c r="B8657" t="s">
        <v>950</v>
      </c>
      <c r="C8657" t="s">
        <v>11330</v>
      </c>
      <c r="D8657" t="s">
        <v>16232</v>
      </c>
      <c r="E8657" t="s">
        <v>23857</v>
      </c>
      <c r="F8657" t="s">
        <v>28198</v>
      </c>
      <c r="G8657" t="s">
        <v>28205</v>
      </c>
      <c r="H8657" t="s">
        <v>28214</v>
      </c>
      <c r="I8657" t="s">
        <v>3797</v>
      </c>
      <c r="J8657" t="s">
        <v>33745</v>
      </c>
      <c r="K8657" t="s">
        <v>36853</v>
      </c>
      <c r="M8657" t="s">
        <v>37974</v>
      </c>
      <c r="N8657" t="s">
        <v>40436</v>
      </c>
      <c r="O8657" t="s">
        <v>40437</v>
      </c>
      <c r="P8657">
        <v>0</v>
      </c>
      <c r="Q8657">
        <v>0</v>
      </c>
      <c r="R8657" t="s">
        <v>40445</v>
      </c>
      <c r="S8657" t="s">
        <v>40730</v>
      </c>
      <c r="T8657" t="s">
        <v>42279</v>
      </c>
      <c r="U8657" t="s">
        <v>49886</v>
      </c>
      <c r="W8657" t="s">
        <v>37974</v>
      </c>
      <c r="X8657" t="s">
        <v>40446</v>
      </c>
    </row>
    <row r="8658" spans="1:24">
      <c r="A8658">
        <f>HYPERLINK("https://www.philgeps.gov.ph/GEPSNONPILOT/Tender/SplashBidNoticeAbstractUI.aspx?menuIndex=3&amp;refID=7037899&amp;Result=3","7037899")</f>
        <v>0</v>
      </c>
      <c r="B8658" t="s">
        <v>1801</v>
      </c>
      <c r="C8658" t="s">
        <v>11331</v>
      </c>
      <c r="D8658" t="s">
        <v>16192</v>
      </c>
      <c r="E8658" t="s">
        <v>23858</v>
      </c>
      <c r="F8658" t="s">
        <v>28198</v>
      </c>
      <c r="G8658" t="s">
        <v>28205</v>
      </c>
      <c r="H8658" t="s">
        <v>28215</v>
      </c>
      <c r="I8658" t="s">
        <v>28281</v>
      </c>
      <c r="J8658" t="s">
        <v>33746</v>
      </c>
      <c r="K8658" t="s">
        <v>36694</v>
      </c>
      <c r="M8658" t="s">
        <v>39480</v>
      </c>
      <c r="N8658" t="s">
        <v>40436</v>
      </c>
      <c r="O8658" t="s">
        <v>40437</v>
      </c>
      <c r="P8658">
        <v>0</v>
      </c>
      <c r="Q8658">
        <v>11</v>
      </c>
      <c r="R8658" t="s">
        <v>40445</v>
      </c>
      <c r="S8658" t="s">
        <v>40730</v>
      </c>
      <c r="T8658" t="s">
        <v>42244</v>
      </c>
      <c r="U8658" t="s">
        <v>49889</v>
      </c>
      <c r="W8658" t="s">
        <v>39480</v>
      </c>
      <c r="X8658" t="s">
        <v>40446</v>
      </c>
    </row>
    <row r="8659" spans="1:24">
      <c r="A8659">
        <f>HYPERLINK("https://www.philgeps.gov.ph/GEPSNONPILOT/Tender/SplashBidNoticeAbstractUI.aspx?menuIndex=3&amp;refID=7037894&amp;Result=3","7037894")</f>
        <v>0</v>
      </c>
      <c r="B8659" t="s">
        <v>950</v>
      </c>
      <c r="C8659" t="s">
        <v>11332</v>
      </c>
      <c r="D8659" t="s">
        <v>16232</v>
      </c>
      <c r="E8659" t="s">
        <v>23859</v>
      </c>
      <c r="F8659" t="s">
        <v>28198</v>
      </c>
      <c r="G8659" t="s">
        <v>28205</v>
      </c>
      <c r="H8659" t="s">
        <v>28214</v>
      </c>
      <c r="I8659" t="s">
        <v>3797</v>
      </c>
      <c r="J8659" t="s">
        <v>33747</v>
      </c>
      <c r="K8659" t="s">
        <v>36857</v>
      </c>
      <c r="M8659" t="s">
        <v>37974</v>
      </c>
      <c r="N8659" t="s">
        <v>40436</v>
      </c>
      <c r="O8659" t="s">
        <v>40437</v>
      </c>
      <c r="P8659">
        <v>0</v>
      </c>
      <c r="Q8659">
        <v>1</v>
      </c>
      <c r="R8659" t="s">
        <v>40445</v>
      </c>
      <c r="S8659" t="s">
        <v>40730</v>
      </c>
      <c r="T8659" t="s">
        <v>42279</v>
      </c>
      <c r="U8659" t="s">
        <v>49886</v>
      </c>
      <c r="W8659" t="s">
        <v>37974</v>
      </c>
      <c r="X8659" t="s">
        <v>40446</v>
      </c>
    </row>
    <row r="8660" spans="1:24">
      <c r="A8660">
        <f>HYPERLINK("https://www.philgeps.gov.ph/GEPSNONPILOT/Tender/SplashBidNoticeAbstractUI.aspx?menuIndex=3&amp;refID=7037916&amp;Result=3","7037916")</f>
        <v>0</v>
      </c>
      <c r="B8660" t="s">
        <v>950</v>
      </c>
      <c r="C8660" t="s">
        <v>11333</v>
      </c>
      <c r="D8660" t="s">
        <v>16232</v>
      </c>
      <c r="E8660" t="s">
        <v>23860</v>
      </c>
      <c r="F8660" t="s">
        <v>28198</v>
      </c>
      <c r="G8660" t="s">
        <v>28205</v>
      </c>
      <c r="H8660" t="s">
        <v>28214</v>
      </c>
      <c r="I8660" t="s">
        <v>3797</v>
      </c>
      <c r="J8660" t="s">
        <v>33748</v>
      </c>
      <c r="K8660" t="s">
        <v>36853</v>
      </c>
      <c r="M8660" t="s">
        <v>37974</v>
      </c>
      <c r="N8660" t="s">
        <v>40436</v>
      </c>
      <c r="O8660" t="s">
        <v>40437</v>
      </c>
      <c r="P8660">
        <v>0</v>
      </c>
      <c r="Q8660">
        <v>0</v>
      </c>
      <c r="R8660" t="s">
        <v>40445</v>
      </c>
      <c r="S8660" t="s">
        <v>40730</v>
      </c>
      <c r="T8660" t="s">
        <v>42279</v>
      </c>
      <c r="U8660" t="s">
        <v>49886</v>
      </c>
      <c r="W8660" t="s">
        <v>37974</v>
      </c>
      <c r="X8660" t="s">
        <v>40446</v>
      </c>
    </row>
    <row r="8661" spans="1:24">
      <c r="A8661">
        <f>HYPERLINK("https://www.philgeps.gov.ph/GEPSNONPILOT/Tender/SplashBidNoticeAbstractUI.aspx?menuIndex=3&amp;refID=7037870&amp;Result=3","7037870")</f>
        <v>0</v>
      </c>
      <c r="B8661" t="s">
        <v>2514</v>
      </c>
      <c r="C8661" t="s">
        <v>11334</v>
      </c>
      <c r="D8661" t="s">
        <v>16217</v>
      </c>
      <c r="E8661" t="s">
        <v>23861</v>
      </c>
      <c r="F8661" t="s">
        <v>28198</v>
      </c>
      <c r="G8661" t="s">
        <v>28205</v>
      </c>
      <c r="H8661" t="s">
        <v>28215</v>
      </c>
      <c r="I8661" t="s">
        <v>28298</v>
      </c>
      <c r="J8661" t="s">
        <v>29331</v>
      </c>
      <c r="K8661" t="s">
        <v>36701</v>
      </c>
      <c r="M8661" t="s">
        <v>39717</v>
      </c>
      <c r="N8661" t="s">
        <v>40436</v>
      </c>
      <c r="O8661" t="s">
        <v>40437</v>
      </c>
      <c r="P8661">
        <v>0</v>
      </c>
      <c r="Q8661">
        <v>8</v>
      </c>
      <c r="R8661" t="s">
        <v>40445</v>
      </c>
      <c r="S8661" t="s">
        <v>40730</v>
      </c>
      <c r="T8661" t="s">
        <v>42234</v>
      </c>
      <c r="U8661" t="s">
        <v>49890</v>
      </c>
      <c r="V8661" t="s">
        <v>54713</v>
      </c>
      <c r="W8661" t="s">
        <v>39717</v>
      </c>
      <c r="X8661" t="s">
        <v>40446</v>
      </c>
    </row>
    <row r="8662" spans="1:24">
      <c r="A8662">
        <f>HYPERLINK("https://www.philgeps.gov.ph/GEPSNONPILOT/Tender/SplashBidNoticeAbstractUI.aspx?menuIndex=3&amp;refID=7037907&amp;Result=3","7037907")</f>
        <v>0</v>
      </c>
      <c r="B8662" t="s">
        <v>1853</v>
      </c>
      <c r="C8662" t="s">
        <v>11335</v>
      </c>
      <c r="D8662" t="s">
        <v>16193</v>
      </c>
      <c r="E8662" t="s">
        <v>23862</v>
      </c>
      <c r="F8662" t="s">
        <v>28198</v>
      </c>
      <c r="G8662" t="s">
        <v>28205</v>
      </c>
      <c r="H8662" t="s">
        <v>28214</v>
      </c>
      <c r="I8662" t="s">
        <v>3797</v>
      </c>
      <c r="J8662" t="s">
        <v>33749</v>
      </c>
      <c r="K8662" t="s">
        <v>36701</v>
      </c>
      <c r="M8662" t="s">
        <v>38980</v>
      </c>
      <c r="N8662" t="s">
        <v>40436</v>
      </c>
      <c r="O8662" t="s">
        <v>40437</v>
      </c>
      <c r="Q8662">
        <v>2</v>
      </c>
      <c r="R8662" t="s">
        <v>40445</v>
      </c>
      <c r="S8662" t="s">
        <v>40744</v>
      </c>
      <c r="T8662" t="s">
        <v>42279</v>
      </c>
      <c r="U8662" t="s">
        <v>49891</v>
      </c>
      <c r="W8662" t="s">
        <v>38980</v>
      </c>
      <c r="X8662" t="s">
        <v>40446</v>
      </c>
    </row>
    <row r="8663" spans="1:24">
      <c r="A8663">
        <f>HYPERLINK("https://www.philgeps.gov.ph/GEPSNONPILOT/Tender/SplashBidNoticeAbstractUI.aspx?menuIndex=3&amp;refID=7037928&amp;Result=3","7037928")</f>
        <v>0</v>
      </c>
      <c r="B8663" t="s">
        <v>1853</v>
      </c>
      <c r="C8663" t="s">
        <v>11336</v>
      </c>
      <c r="D8663" t="s">
        <v>16193</v>
      </c>
      <c r="E8663" t="s">
        <v>23863</v>
      </c>
      <c r="F8663" t="s">
        <v>28198</v>
      </c>
      <c r="G8663" t="s">
        <v>28205</v>
      </c>
      <c r="H8663" t="s">
        <v>28214</v>
      </c>
      <c r="I8663" t="s">
        <v>3797</v>
      </c>
      <c r="J8663" t="s">
        <v>31508</v>
      </c>
      <c r="K8663" t="s">
        <v>36697</v>
      </c>
      <c r="M8663" t="s">
        <v>38980</v>
      </c>
      <c r="N8663" t="s">
        <v>40436</v>
      </c>
      <c r="O8663" t="s">
        <v>40437</v>
      </c>
      <c r="Q8663">
        <v>0</v>
      </c>
      <c r="R8663" t="s">
        <v>40445</v>
      </c>
      <c r="S8663" t="s">
        <v>40779</v>
      </c>
      <c r="T8663" t="s">
        <v>42279</v>
      </c>
      <c r="U8663" t="s">
        <v>49892</v>
      </c>
      <c r="W8663" t="s">
        <v>38980</v>
      </c>
      <c r="X8663" t="s">
        <v>40446</v>
      </c>
    </row>
    <row r="8664" spans="1:24">
      <c r="A8664">
        <f>HYPERLINK("https://www.philgeps.gov.ph/GEPSNONPILOT/Tender/SplashBidNoticeAbstractUI.aspx?menuIndex=3&amp;refID=7037869&amp;Result=3","7037869")</f>
        <v>0</v>
      </c>
      <c r="B8664" t="s">
        <v>2515</v>
      </c>
      <c r="C8664" t="s">
        <v>8479</v>
      </c>
      <c r="D8664" t="s">
        <v>16204</v>
      </c>
      <c r="E8664" t="s">
        <v>18990</v>
      </c>
      <c r="F8664" t="s">
        <v>28198</v>
      </c>
      <c r="G8664" t="s">
        <v>28205</v>
      </c>
      <c r="H8664" t="s">
        <v>28215</v>
      </c>
      <c r="I8664" t="s">
        <v>8870</v>
      </c>
      <c r="J8664" t="s">
        <v>28345</v>
      </c>
      <c r="K8664" t="s">
        <v>36688</v>
      </c>
      <c r="M8664" t="s">
        <v>39718</v>
      </c>
      <c r="N8664" t="s">
        <v>40436</v>
      </c>
      <c r="O8664" t="s">
        <v>40437</v>
      </c>
      <c r="P8664">
        <v>0</v>
      </c>
      <c r="Q8664">
        <v>3</v>
      </c>
      <c r="R8664" t="s">
        <v>40445</v>
      </c>
      <c r="S8664" t="s">
        <v>40730</v>
      </c>
      <c r="T8664" t="s">
        <v>42218</v>
      </c>
      <c r="U8664" t="s">
        <v>49865</v>
      </c>
      <c r="W8664" t="s">
        <v>39718</v>
      </c>
      <c r="X8664" t="s">
        <v>40446</v>
      </c>
    </row>
    <row r="8665" spans="1:24">
      <c r="A8665">
        <f>HYPERLINK("https://www.philgeps.gov.ph/GEPSNONPILOT/Tender/SplashBidNoticeAbstractUI.aspx?menuIndex=3&amp;refID=7037874&amp;Result=3","7037874")</f>
        <v>0</v>
      </c>
      <c r="B8665" t="s">
        <v>318</v>
      </c>
      <c r="C8665" t="s">
        <v>11337</v>
      </c>
      <c r="D8665" t="s">
        <v>16241</v>
      </c>
      <c r="E8665" t="s">
        <v>23864</v>
      </c>
      <c r="F8665" t="s">
        <v>28198</v>
      </c>
      <c r="G8665" t="s">
        <v>28205</v>
      </c>
      <c r="H8665" t="s">
        <v>28215</v>
      </c>
      <c r="I8665" t="s">
        <v>4168</v>
      </c>
      <c r="J8665" t="s">
        <v>33750</v>
      </c>
      <c r="K8665" t="s">
        <v>36715</v>
      </c>
      <c r="M8665" t="s">
        <v>39710</v>
      </c>
      <c r="N8665" t="s">
        <v>40436</v>
      </c>
      <c r="O8665" t="s">
        <v>40437</v>
      </c>
      <c r="P8665">
        <v>0</v>
      </c>
      <c r="Q8665">
        <v>9</v>
      </c>
      <c r="R8665" t="s">
        <v>40445</v>
      </c>
      <c r="S8665" t="s">
        <v>40730</v>
      </c>
      <c r="T8665" t="s">
        <v>42278</v>
      </c>
      <c r="U8665" t="s">
        <v>49893</v>
      </c>
      <c r="V8665" t="s">
        <v>54714</v>
      </c>
      <c r="W8665" t="s">
        <v>39710</v>
      </c>
      <c r="X8665" t="s">
        <v>40446</v>
      </c>
    </row>
    <row r="8666" spans="1:24">
      <c r="A8666">
        <f>HYPERLINK("https://www.philgeps.gov.ph/GEPSNONPILOT/Tender/SplashBidNoticeAbstractUI.aspx?menuIndex=3&amp;refID=7037923&amp;Result=3","7037923")</f>
        <v>0</v>
      </c>
      <c r="B8666" t="s">
        <v>1853</v>
      </c>
      <c r="C8666" t="s">
        <v>11338</v>
      </c>
      <c r="D8666" t="s">
        <v>16193</v>
      </c>
      <c r="E8666" t="s">
        <v>23865</v>
      </c>
      <c r="F8666" t="s">
        <v>28198</v>
      </c>
      <c r="G8666" t="s">
        <v>28205</v>
      </c>
      <c r="H8666" t="s">
        <v>28214</v>
      </c>
      <c r="I8666" t="s">
        <v>3797</v>
      </c>
      <c r="J8666" t="s">
        <v>33751</v>
      </c>
      <c r="K8666" t="s">
        <v>36697</v>
      </c>
      <c r="M8666" t="s">
        <v>38980</v>
      </c>
      <c r="N8666" t="s">
        <v>40436</v>
      </c>
      <c r="O8666" t="s">
        <v>40437</v>
      </c>
      <c r="Q8666">
        <v>0</v>
      </c>
      <c r="R8666" t="s">
        <v>40445</v>
      </c>
      <c r="S8666" t="s">
        <v>40780</v>
      </c>
      <c r="T8666" t="s">
        <v>42279</v>
      </c>
      <c r="U8666" t="s">
        <v>49894</v>
      </c>
      <c r="W8666" t="s">
        <v>38980</v>
      </c>
      <c r="X8666" t="s">
        <v>40446</v>
      </c>
    </row>
    <row r="8667" spans="1:24">
      <c r="A8667">
        <f>HYPERLINK("https://www.philgeps.gov.ph/GEPSNONPILOT/Tender/SplashBidNoticeAbstractUI.aspx?menuIndex=3&amp;refID=7037925&amp;Result=3","7037925")</f>
        <v>0</v>
      </c>
      <c r="B8667" t="s">
        <v>2516</v>
      </c>
      <c r="C8667" t="s">
        <v>11339</v>
      </c>
      <c r="D8667" t="s">
        <v>16221</v>
      </c>
      <c r="E8667" t="s">
        <v>23866</v>
      </c>
      <c r="F8667" t="s">
        <v>28198</v>
      </c>
      <c r="G8667" t="s">
        <v>28206</v>
      </c>
      <c r="H8667" t="s">
        <v>28215</v>
      </c>
      <c r="I8667" t="s">
        <v>5631</v>
      </c>
      <c r="J8667" t="s">
        <v>33752</v>
      </c>
      <c r="K8667" t="s">
        <v>36706</v>
      </c>
      <c r="M8667" t="s">
        <v>39719</v>
      </c>
      <c r="N8667" t="s">
        <v>40436</v>
      </c>
      <c r="O8667" t="s">
        <v>40437</v>
      </c>
      <c r="P8667">
        <v>0</v>
      </c>
      <c r="Q8667">
        <v>0</v>
      </c>
      <c r="R8667" t="s">
        <v>40445</v>
      </c>
      <c r="S8667" t="s">
        <v>40730</v>
      </c>
      <c r="T8667" t="s">
        <v>42100</v>
      </c>
      <c r="U8667" t="s">
        <v>49895</v>
      </c>
      <c r="W8667" t="s">
        <v>39719</v>
      </c>
      <c r="X8667" t="s">
        <v>40446</v>
      </c>
    </row>
    <row r="8668" spans="1:24">
      <c r="A8668">
        <f>HYPERLINK("https://www.philgeps.gov.ph/GEPSNONPILOT/Tender/SplashBidNoticeAbstractUI.aspx?menuIndex=3&amp;refID=7037927&amp;Result=3","7037927")</f>
        <v>0</v>
      </c>
      <c r="B8668" t="s">
        <v>2500</v>
      </c>
      <c r="C8668" t="s">
        <v>11340</v>
      </c>
      <c r="D8668" t="s">
        <v>16251</v>
      </c>
      <c r="E8668" t="s">
        <v>23867</v>
      </c>
      <c r="F8668" t="s">
        <v>28198</v>
      </c>
      <c r="G8668" t="s">
        <v>28205</v>
      </c>
      <c r="H8668" t="s">
        <v>28214</v>
      </c>
      <c r="I8668" t="s">
        <v>3797</v>
      </c>
      <c r="J8668" t="s">
        <v>33753</v>
      </c>
      <c r="K8668" t="s">
        <v>36737</v>
      </c>
      <c r="M8668" t="s">
        <v>39702</v>
      </c>
      <c r="N8668" t="s">
        <v>40436</v>
      </c>
      <c r="O8668" t="s">
        <v>40437</v>
      </c>
      <c r="P8668">
        <v>0</v>
      </c>
      <c r="Q8668">
        <v>11</v>
      </c>
      <c r="R8668" t="s">
        <v>40445</v>
      </c>
      <c r="S8668" t="s">
        <v>40730</v>
      </c>
      <c r="T8668" t="s">
        <v>42168</v>
      </c>
      <c r="U8668" t="s">
        <v>49896</v>
      </c>
      <c r="W8668" t="s">
        <v>39702</v>
      </c>
      <c r="X8668" t="s">
        <v>40446</v>
      </c>
    </row>
    <row r="8669" spans="1:24">
      <c r="A8669">
        <f>HYPERLINK("https://www.philgeps.gov.ph/GEPSNONPILOT/Tender/SplashBidNoticeAbstractUI.aspx?menuIndex=3&amp;refID=7037968&amp;Result=3","7037968")</f>
        <v>0</v>
      </c>
      <c r="B8669" t="s">
        <v>2517</v>
      </c>
      <c r="C8669" t="s">
        <v>11341</v>
      </c>
      <c r="D8669" t="s">
        <v>16217</v>
      </c>
      <c r="E8669" t="s">
        <v>23868</v>
      </c>
      <c r="F8669" t="s">
        <v>28198</v>
      </c>
      <c r="G8669" t="s">
        <v>28206</v>
      </c>
      <c r="H8669" t="s">
        <v>28215</v>
      </c>
      <c r="I8669" t="s">
        <v>4219</v>
      </c>
      <c r="J8669" t="s">
        <v>33754</v>
      </c>
      <c r="K8669" t="s">
        <v>36707</v>
      </c>
      <c r="M8669" t="s">
        <v>39720</v>
      </c>
      <c r="N8669" t="s">
        <v>40436</v>
      </c>
      <c r="O8669" t="s">
        <v>40437</v>
      </c>
      <c r="P8669">
        <v>0</v>
      </c>
      <c r="Q8669">
        <v>8</v>
      </c>
      <c r="R8669" t="s">
        <v>40445</v>
      </c>
      <c r="S8669" t="s">
        <v>40730</v>
      </c>
      <c r="T8669" t="s">
        <v>42233</v>
      </c>
      <c r="U8669" t="s">
        <v>49897</v>
      </c>
      <c r="W8669" t="s">
        <v>39720</v>
      </c>
      <c r="X8669" t="s">
        <v>40446</v>
      </c>
    </row>
    <row r="8670" spans="1:24">
      <c r="A8670">
        <f>HYPERLINK("https://www.philgeps.gov.ph/GEPSNONPILOT/Tender/SplashBidNoticeAbstractUI.aspx?menuIndex=3&amp;refID=7037963&amp;Result=3","7037963")</f>
        <v>0</v>
      </c>
      <c r="B8670" t="s">
        <v>2518</v>
      </c>
      <c r="C8670" t="s">
        <v>11342</v>
      </c>
      <c r="E8670" t="s">
        <v>23869</v>
      </c>
      <c r="F8670" t="s">
        <v>28198</v>
      </c>
      <c r="G8670" t="s">
        <v>28205</v>
      </c>
      <c r="H8670" t="s">
        <v>28214</v>
      </c>
      <c r="I8670" t="s">
        <v>3797</v>
      </c>
      <c r="J8670" t="s">
        <v>28363</v>
      </c>
      <c r="K8670" t="s">
        <v>36697</v>
      </c>
      <c r="M8670" t="s">
        <v>39721</v>
      </c>
      <c r="N8670" t="s">
        <v>40436</v>
      </c>
      <c r="O8670" t="s">
        <v>40437</v>
      </c>
      <c r="P8670">
        <v>0</v>
      </c>
      <c r="Q8670">
        <v>0</v>
      </c>
      <c r="R8670" t="s">
        <v>40445</v>
      </c>
      <c r="S8670" t="s">
        <v>40730</v>
      </c>
      <c r="T8670" t="s">
        <v>42234</v>
      </c>
      <c r="U8670" t="s">
        <v>49898</v>
      </c>
      <c r="W8670" t="s">
        <v>39721</v>
      </c>
      <c r="X8670" t="s">
        <v>40446</v>
      </c>
    </row>
    <row r="8671" spans="1:24">
      <c r="A8671">
        <f>HYPERLINK("https://www.philgeps.gov.ph/GEPSNONPILOT/Tender/SplashBidNoticeAbstractUI.aspx?menuIndex=3&amp;refID=7037924&amp;Result=3","7037924")</f>
        <v>0</v>
      </c>
      <c r="B8671" t="s">
        <v>950</v>
      </c>
      <c r="C8671" t="s">
        <v>11343</v>
      </c>
      <c r="D8671" t="s">
        <v>16232</v>
      </c>
      <c r="E8671" t="s">
        <v>23870</v>
      </c>
      <c r="F8671" t="s">
        <v>28198</v>
      </c>
      <c r="G8671" t="s">
        <v>28205</v>
      </c>
      <c r="H8671" t="s">
        <v>28214</v>
      </c>
      <c r="I8671" t="s">
        <v>3797</v>
      </c>
      <c r="J8671" t="s">
        <v>33755</v>
      </c>
      <c r="K8671" t="s">
        <v>36854</v>
      </c>
      <c r="M8671" t="s">
        <v>37974</v>
      </c>
      <c r="N8671" t="s">
        <v>40436</v>
      </c>
      <c r="O8671" t="s">
        <v>40437</v>
      </c>
      <c r="P8671">
        <v>0</v>
      </c>
      <c r="Q8671">
        <v>0</v>
      </c>
      <c r="R8671" t="s">
        <v>40445</v>
      </c>
      <c r="S8671" t="s">
        <v>40730</v>
      </c>
      <c r="T8671" t="s">
        <v>42279</v>
      </c>
      <c r="U8671" t="s">
        <v>49886</v>
      </c>
      <c r="W8671" t="s">
        <v>37974</v>
      </c>
      <c r="X8671" t="s">
        <v>40446</v>
      </c>
    </row>
    <row r="8672" spans="1:24">
      <c r="A8672">
        <f>HYPERLINK("https://www.philgeps.gov.ph/GEPSNONPILOT/Tender/SplashBidNoticeAbstractUI.aspx?menuIndex=3&amp;refID=7037951&amp;Result=3","7037951")</f>
        <v>0</v>
      </c>
      <c r="B8672" t="s">
        <v>2500</v>
      </c>
      <c r="C8672" t="s">
        <v>11344</v>
      </c>
      <c r="D8672" t="s">
        <v>16251</v>
      </c>
      <c r="E8672" t="s">
        <v>23871</v>
      </c>
      <c r="F8672" t="s">
        <v>28198</v>
      </c>
      <c r="G8672" t="s">
        <v>28205</v>
      </c>
      <c r="H8672" t="s">
        <v>28214</v>
      </c>
      <c r="I8672" t="s">
        <v>3797</v>
      </c>
      <c r="J8672" t="s">
        <v>33756</v>
      </c>
      <c r="K8672" t="s">
        <v>36737</v>
      </c>
      <c r="M8672" t="s">
        <v>39702</v>
      </c>
      <c r="N8672" t="s">
        <v>40436</v>
      </c>
      <c r="O8672" t="s">
        <v>40437</v>
      </c>
      <c r="P8672">
        <v>0</v>
      </c>
      <c r="Q8672">
        <v>11</v>
      </c>
      <c r="R8672" t="s">
        <v>40445</v>
      </c>
      <c r="S8672" t="s">
        <v>40730</v>
      </c>
      <c r="T8672" t="s">
        <v>42168</v>
      </c>
      <c r="U8672" t="s">
        <v>49899</v>
      </c>
      <c r="W8672" t="s">
        <v>39702</v>
      </c>
      <c r="X8672" t="s">
        <v>40446</v>
      </c>
    </row>
    <row r="8673" spans="1:24">
      <c r="A8673">
        <f>HYPERLINK("https://www.philgeps.gov.ph/GEPSNONPILOT/Tender/SplashBidNoticeAbstractUI.aspx?menuIndex=3&amp;refID=7037947&amp;Result=3","7037947")</f>
        <v>0</v>
      </c>
      <c r="B8673" t="s">
        <v>950</v>
      </c>
      <c r="C8673" t="s">
        <v>11345</v>
      </c>
      <c r="D8673" t="s">
        <v>16232</v>
      </c>
      <c r="E8673" t="s">
        <v>23872</v>
      </c>
      <c r="F8673" t="s">
        <v>28198</v>
      </c>
      <c r="G8673" t="s">
        <v>28205</v>
      </c>
      <c r="H8673" t="s">
        <v>28214</v>
      </c>
      <c r="I8673" t="s">
        <v>3797</v>
      </c>
      <c r="J8673" t="s">
        <v>33757</v>
      </c>
      <c r="K8673" t="s">
        <v>36738</v>
      </c>
      <c r="M8673" t="s">
        <v>37974</v>
      </c>
      <c r="N8673" t="s">
        <v>40436</v>
      </c>
      <c r="O8673" t="s">
        <v>40437</v>
      </c>
      <c r="P8673">
        <v>0</v>
      </c>
      <c r="Q8673">
        <v>0</v>
      </c>
      <c r="R8673" t="s">
        <v>40445</v>
      </c>
      <c r="S8673" t="s">
        <v>40730</v>
      </c>
      <c r="T8673" t="s">
        <v>42279</v>
      </c>
      <c r="U8673" t="s">
        <v>49886</v>
      </c>
      <c r="W8673" t="s">
        <v>37974</v>
      </c>
      <c r="X8673" t="s">
        <v>40446</v>
      </c>
    </row>
    <row r="8674" spans="1:24">
      <c r="A8674">
        <f>HYPERLINK("https://www.philgeps.gov.ph/GEPSNONPILOT/Tender/SplashBidNoticeAbstractUI.aspx?menuIndex=3&amp;refID=7037962&amp;Result=3","7037962")</f>
        <v>0</v>
      </c>
      <c r="B8674" t="s">
        <v>1620</v>
      </c>
      <c r="C8674" t="s">
        <v>11346</v>
      </c>
      <c r="D8674" t="s">
        <v>16193</v>
      </c>
      <c r="E8674" t="s">
        <v>23873</v>
      </c>
      <c r="F8674" t="s">
        <v>28198</v>
      </c>
      <c r="G8674" t="s">
        <v>28205</v>
      </c>
      <c r="H8674" t="s">
        <v>28215</v>
      </c>
      <c r="I8674" t="s">
        <v>5100</v>
      </c>
      <c r="J8674" t="s">
        <v>33758</v>
      </c>
      <c r="K8674" t="s">
        <v>36696</v>
      </c>
      <c r="M8674" t="s">
        <v>38709</v>
      </c>
      <c r="N8674" t="s">
        <v>40436</v>
      </c>
      <c r="O8674" t="s">
        <v>40437</v>
      </c>
      <c r="P8674">
        <v>0</v>
      </c>
      <c r="Q8674">
        <v>2</v>
      </c>
      <c r="R8674" t="s">
        <v>40445</v>
      </c>
      <c r="S8674" t="s">
        <v>40730</v>
      </c>
      <c r="T8674" t="s">
        <v>42194</v>
      </c>
      <c r="U8674" t="s">
        <v>46496</v>
      </c>
      <c r="V8674" t="s">
        <v>54715</v>
      </c>
      <c r="W8674" t="s">
        <v>38709</v>
      </c>
      <c r="X8674" t="s">
        <v>40446</v>
      </c>
    </row>
    <row r="8675" spans="1:24">
      <c r="A8675">
        <f>HYPERLINK("https://www.philgeps.gov.ph/GEPSNONPILOT/Tender/SplashBidNoticeAbstractUI.aspx?menuIndex=3&amp;refID=7037921&amp;Result=3","7037921")</f>
        <v>0</v>
      </c>
      <c r="B8675" t="s">
        <v>1853</v>
      </c>
      <c r="C8675" t="s">
        <v>11347</v>
      </c>
      <c r="D8675" t="s">
        <v>16193</v>
      </c>
      <c r="E8675" t="s">
        <v>23874</v>
      </c>
      <c r="F8675" t="s">
        <v>28198</v>
      </c>
      <c r="G8675" t="s">
        <v>28205</v>
      </c>
      <c r="H8675" t="s">
        <v>28214</v>
      </c>
      <c r="I8675" t="s">
        <v>3797</v>
      </c>
      <c r="J8675" t="s">
        <v>33759</v>
      </c>
      <c r="K8675" t="s">
        <v>36697</v>
      </c>
      <c r="M8675" t="s">
        <v>38980</v>
      </c>
      <c r="N8675" t="s">
        <v>40436</v>
      </c>
      <c r="O8675" t="s">
        <v>40437</v>
      </c>
      <c r="Q8675">
        <v>0</v>
      </c>
      <c r="R8675" t="s">
        <v>40445</v>
      </c>
      <c r="S8675" t="s">
        <v>40751</v>
      </c>
      <c r="T8675" t="s">
        <v>42279</v>
      </c>
      <c r="U8675" t="s">
        <v>49900</v>
      </c>
      <c r="W8675" t="s">
        <v>38980</v>
      </c>
      <c r="X8675" t="s">
        <v>40446</v>
      </c>
    </row>
    <row r="8676" spans="1:24">
      <c r="A8676">
        <f>HYPERLINK("https://www.philgeps.gov.ph/GEPSNONPILOT/Tender/SplashBidNoticeAbstractUI.aspx?menuIndex=3&amp;refID=7037943&amp;Result=3","7037943")</f>
        <v>0</v>
      </c>
      <c r="B8676" t="s">
        <v>2516</v>
      </c>
      <c r="C8676" t="s">
        <v>11348</v>
      </c>
      <c r="D8676" t="s">
        <v>16221</v>
      </c>
      <c r="E8676" t="s">
        <v>23875</v>
      </c>
      <c r="F8676" t="s">
        <v>28198</v>
      </c>
      <c r="G8676" t="s">
        <v>28206</v>
      </c>
      <c r="H8676" t="s">
        <v>28215</v>
      </c>
      <c r="I8676" t="s">
        <v>5100</v>
      </c>
      <c r="J8676" t="s">
        <v>33760</v>
      </c>
      <c r="K8676" t="s">
        <v>36706</v>
      </c>
      <c r="M8676" t="s">
        <v>39719</v>
      </c>
      <c r="N8676" t="s">
        <v>40436</v>
      </c>
      <c r="O8676" t="s">
        <v>40437</v>
      </c>
      <c r="Q8676">
        <v>1</v>
      </c>
      <c r="R8676" t="s">
        <v>40445</v>
      </c>
      <c r="S8676" t="s">
        <v>40781</v>
      </c>
      <c r="T8676" t="s">
        <v>42100</v>
      </c>
      <c r="U8676" t="s">
        <v>49895</v>
      </c>
      <c r="W8676" t="s">
        <v>39719</v>
      </c>
      <c r="X8676" t="s">
        <v>40446</v>
      </c>
    </row>
    <row r="8677" spans="1:24">
      <c r="A8677">
        <f>HYPERLINK("https://www.philgeps.gov.ph/GEPSNONPILOT/Tender/SplashBidNoticeAbstractUI.aspx?menuIndex=3&amp;refID=7037971&amp;Result=3","7037971")</f>
        <v>0</v>
      </c>
      <c r="B8677" t="s">
        <v>2518</v>
      </c>
      <c r="C8677" t="s">
        <v>11349</v>
      </c>
      <c r="E8677" t="s">
        <v>23876</v>
      </c>
      <c r="F8677" t="s">
        <v>28198</v>
      </c>
      <c r="G8677" t="s">
        <v>28205</v>
      </c>
      <c r="H8677" t="s">
        <v>28215</v>
      </c>
      <c r="I8677" t="s">
        <v>28265</v>
      </c>
      <c r="J8677" t="s">
        <v>29432</v>
      </c>
      <c r="K8677" t="s">
        <v>36706</v>
      </c>
      <c r="M8677" t="s">
        <v>39721</v>
      </c>
      <c r="N8677" t="s">
        <v>40436</v>
      </c>
      <c r="O8677" t="s">
        <v>40437</v>
      </c>
      <c r="P8677">
        <v>0</v>
      </c>
      <c r="Q8677">
        <v>0</v>
      </c>
      <c r="R8677" t="s">
        <v>40445</v>
      </c>
      <c r="S8677" t="s">
        <v>40730</v>
      </c>
      <c r="T8677" t="s">
        <v>42233</v>
      </c>
      <c r="U8677" t="s">
        <v>49901</v>
      </c>
      <c r="W8677" t="s">
        <v>39721</v>
      </c>
      <c r="X8677" t="s">
        <v>40446</v>
      </c>
    </row>
    <row r="8678" spans="1:24">
      <c r="A8678">
        <f>HYPERLINK("https://www.philgeps.gov.ph/GEPSNONPILOT/Tender/SplashBidNoticeAbstractUI.aspx?menuIndex=3&amp;refID=7037946&amp;Result=3","7037946")</f>
        <v>0</v>
      </c>
      <c r="B8678" t="s">
        <v>2519</v>
      </c>
      <c r="C8678" t="s">
        <v>11350</v>
      </c>
      <c r="D8678" t="s">
        <v>16210</v>
      </c>
      <c r="E8678" t="s">
        <v>23854</v>
      </c>
      <c r="F8678" t="s">
        <v>28198</v>
      </c>
      <c r="G8678" t="s">
        <v>28205</v>
      </c>
      <c r="H8678" t="s">
        <v>28215</v>
      </c>
      <c r="I8678" t="s">
        <v>4200</v>
      </c>
      <c r="J8678" t="s">
        <v>30305</v>
      </c>
      <c r="K8678" t="s">
        <v>36691</v>
      </c>
      <c r="M8678" t="s">
        <v>39722</v>
      </c>
      <c r="N8678" t="s">
        <v>40436</v>
      </c>
      <c r="O8678" t="s">
        <v>40437</v>
      </c>
      <c r="P8678">
        <v>0</v>
      </c>
      <c r="Q8678">
        <v>5</v>
      </c>
      <c r="R8678" t="s">
        <v>40445</v>
      </c>
      <c r="S8678" t="s">
        <v>40730</v>
      </c>
      <c r="T8678" t="s">
        <v>42205</v>
      </c>
      <c r="U8678" t="s">
        <v>49902</v>
      </c>
      <c r="W8678" t="s">
        <v>39722</v>
      </c>
      <c r="X8678" t="s">
        <v>40446</v>
      </c>
    </row>
    <row r="8679" spans="1:24">
      <c r="A8679">
        <f>HYPERLINK("https://www.philgeps.gov.ph/GEPSNONPILOT/Tender/SplashBidNoticeAbstractUI.aspx?menuIndex=3&amp;refID=7037930&amp;Result=3","7037930")</f>
        <v>0</v>
      </c>
      <c r="B8679" t="s">
        <v>950</v>
      </c>
      <c r="C8679" t="s">
        <v>11351</v>
      </c>
      <c r="D8679" t="s">
        <v>16232</v>
      </c>
      <c r="E8679" t="s">
        <v>23877</v>
      </c>
      <c r="F8679" t="s">
        <v>28198</v>
      </c>
      <c r="G8679" t="s">
        <v>28205</v>
      </c>
      <c r="H8679" t="s">
        <v>28214</v>
      </c>
      <c r="I8679" t="s">
        <v>3797</v>
      </c>
      <c r="J8679" t="s">
        <v>33761</v>
      </c>
      <c r="K8679" t="s">
        <v>36690</v>
      </c>
      <c r="M8679" t="s">
        <v>37974</v>
      </c>
      <c r="N8679" t="s">
        <v>40436</v>
      </c>
      <c r="O8679" t="s">
        <v>40437</v>
      </c>
      <c r="P8679">
        <v>0</v>
      </c>
      <c r="Q8679">
        <v>0</v>
      </c>
      <c r="R8679" t="s">
        <v>40445</v>
      </c>
      <c r="S8679" t="s">
        <v>40730</v>
      </c>
      <c r="T8679" t="s">
        <v>42279</v>
      </c>
      <c r="U8679" t="s">
        <v>49886</v>
      </c>
      <c r="W8679" t="s">
        <v>37974</v>
      </c>
      <c r="X8679" t="s">
        <v>40446</v>
      </c>
    </row>
    <row r="8680" spans="1:24">
      <c r="A8680">
        <f>HYPERLINK("https://www.philgeps.gov.ph/GEPSNONPILOT/Tender/SplashBidNoticeAbstractUI.aspx?menuIndex=3&amp;refID=7037939&amp;Result=3","7037939")</f>
        <v>0</v>
      </c>
      <c r="B8680" t="s">
        <v>950</v>
      </c>
      <c r="C8680" t="s">
        <v>11352</v>
      </c>
      <c r="D8680" t="s">
        <v>16232</v>
      </c>
      <c r="E8680" t="s">
        <v>23878</v>
      </c>
      <c r="F8680" t="s">
        <v>28198</v>
      </c>
      <c r="G8680" t="s">
        <v>28205</v>
      </c>
      <c r="H8680" t="s">
        <v>28214</v>
      </c>
      <c r="I8680" t="s">
        <v>3797</v>
      </c>
      <c r="J8680" t="s">
        <v>33762</v>
      </c>
      <c r="K8680" t="s">
        <v>36717</v>
      </c>
      <c r="M8680" t="s">
        <v>37974</v>
      </c>
      <c r="N8680" t="s">
        <v>40436</v>
      </c>
      <c r="O8680" t="s">
        <v>40437</v>
      </c>
      <c r="P8680">
        <v>0</v>
      </c>
      <c r="Q8680">
        <v>0</v>
      </c>
      <c r="R8680" t="s">
        <v>40445</v>
      </c>
      <c r="S8680" t="s">
        <v>40730</v>
      </c>
      <c r="T8680" t="s">
        <v>42279</v>
      </c>
      <c r="U8680" t="s">
        <v>49886</v>
      </c>
      <c r="W8680" t="s">
        <v>37974</v>
      </c>
      <c r="X8680" t="s">
        <v>40446</v>
      </c>
    </row>
    <row r="8681" spans="1:24">
      <c r="A8681">
        <f>HYPERLINK("https://www.philgeps.gov.ph/GEPSNONPILOT/Tender/SplashBidNoticeAbstractUI.aspx?menuIndex=3&amp;refID=7037958&amp;Result=3","7037958")</f>
        <v>0</v>
      </c>
      <c r="B8681" t="s">
        <v>2517</v>
      </c>
      <c r="C8681" t="s">
        <v>11353</v>
      </c>
      <c r="D8681" t="s">
        <v>16217</v>
      </c>
      <c r="E8681" t="s">
        <v>23879</v>
      </c>
      <c r="F8681" t="s">
        <v>28198</v>
      </c>
      <c r="G8681" t="s">
        <v>28206</v>
      </c>
      <c r="H8681" t="s">
        <v>28215</v>
      </c>
      <c r="I8681" t="s">
        <v>5103</v>
      </c>
      <c r="J8681" t="s">
        <v>33763</v>
      </c>
      <c r="K8681" t="s">
        <v>36707</v>
      </c>
      <c r="M8681" t="s">
        <v>39720</v>
      </c>
      <c r="N8681" t="s">
        <v>40436</v>
      </c>
      <c r="O8681" t="s">
        <v>40437</v>
      </c>
      <c r="P8681">
        <v>0</v>
      </c>
      <c r="Q8681">
        <v>2</v>
      </c>
      <c r="R8681" t="s">
        <v>40445</v>
      </c>
      <c r="S8681" t="s">
        <v>40730</v>
      </c>
      <c r="T8681" t="s">
        <v>42233</v>
      </c>
      <c r="U8681" t="s">
        <v>49903</v>
      </c>
      <c r="W8681" t="s">
        <v>39720</v>
      </c>
      <c r="X8681" t="s">
        <v>40446</v>
      </c>
    </row>
    <row r="8682" spans="1:24">
      <c r="A8682">
        <f>HYPERLINK("https://www.philgeps.gov.ph/GEPSNONPILOT/Tender/SplashBidNoticeAbstractUI.aspx?menuIndex=3&amp;refID=7037973&amp;Result=3","7037973")</f>
        <v>0</v>
      </c>
      <c r="B8682" t="s">
        <v>2517</v>
      </c>
      <c r="C8682" t="s">
        <v>11341</v>
      </c>
      <c r="D8682" t="s">
        <v>16217</v>
      </c>
      <c r="E8682" t="s">
        <v>23880</v>
      </c>
      <c r="F8682" t="s">
        <v>28198</v>
      </c>
      <c r="G8682" t="s">
        <v>28206</v>
      </c>
      <c r="H8682" t="s">
        <v>28215</v>
      </c>
      <c r="I8682" t="s">
        <v>4219</v>
      </c>
      <c r="J8682" t="s">
        <v>33764</v>
      </c>
      <c r="K8682" t="s">
        <v>36707</v>
      </c>
      <c r="M8682" t="s">
        <v>39720</v>
      </c>
      <c r="N8682" t="s">
        <v>40436</v>
      </c>
      <c r="O8682" t="s">
        <v>40437</v>
      </c>
      <c r="P8682">
        <v>0</v>
      </c>
      <c r="Q8682">
        <v>6</v>
      </c>
      <c r="R8682" t="s">
        <v>40445</v>
      </c>
      <c r="S8682" t="s">
        <v>40730</v>
      </c>
      <c r="T8682" t="s">
        <v>42233</v>
      </c>
      <c r="U8682" t="s">
        <v>49897</v>
      </c>
      <c r="W8682" t="s">
        <v>39720</v>
      </c>
      <c r="X8682" t="s">
        <v>40446</v>
      </c>
    </row>
    <row r="8683" spans="1:24">
      <c r="A8683">
        <f>HYPERLINK("https://www.philgeps.gov.ph/GEPSNONPILOT/Tender/SplashBidNoticeAbstractUI.aspx?menuIndex=3&amp;refID=7037967&amp;Result=3","7037967")</f>
        <v>0</v>
      </c>
      <c r="B8683" t="s">
        <v>1652</v>
      </c>
      <c r="C8683" t="s">
        <v>11354</v>
      </c>
      <c r="D8683" t="s">
        <v>16216</v>
      </c>
      <c r="E8683" t="s">
        <v>23881</v>
      </c>
      <c r="F8683" t="s">
        <v>28198</v>
      </c>
      <c r="G8683" t="s">
        <v>28205</v>
      </c>
      <c r="H8683" t="s">
        <v>28215</v>
      </c>
      <c r="I8683" t="s">
        <v>28250</v>
      </c>
      <c r="J8683" t="s">
        <v>33765</v>
      </c>
      <c r="K8683" t="s">
        <v>36707</v>
      </c>
      <c r="M8683" t="s">
        <v>38746</v>
      </c>
      <c r="N8683" t="s">
        <v>40436</v>
      </c>
      <c r="O8683" t="s">
        <v>40437</v>
      </c>
      <c r="P8683">
        <v>0</v>
      </c>
      <c r="Q8683">
        <v>3</v>
      </c>
      <c r="R8683" t="s">
        <v>40445</v>
      </c>
      <c r="S8683" t="s">
        <v>40730</v>
      </c>
      <c r="T8683" t="s">
        <v>42098</v>
      </c>
      <c r="U8683" t="s">
        <v>49904</v>
      </c>
      <c r="W8683" t="s">
        <v>38746</v>
      </c>
      <c r="X8683" t="s">
        <v>40446</v>
      </c>
    </row>
    <row r="8684" spans="1:24">
      <c r="A8684">
        <f>HYPERLINK("https://www.philgeps.gov.ph/GEPSNONPILOT/Tender/SplashBidNoticeAbstractUI.aspx?menuIndex=3&amp;refID=7037936&amp;Result=3","7037936")</f>
        <v>0</v>
      </c>
      <c r="B8684" t="s">
        <v>2500</v>
      </c>
      <c r="C8684" t="s">
        <v>11355</v>
      </c>
      <c r="D8684" t="s">
        <v>16251</v>
      </c>
      <c r="E8684" t="s">
        <v>23882</v>
      </c>
      <c r="F8684" t="s">
        <v>28198</v>
      </c>
      <c r="G8684" t="s">
        <v>28205</v>
      </c>
      <c r="H8684" t="s">
        <v>28214</v>
      </c>
      <c r="I8684" t="s">
        <v>3797</v>
      </c>
      <c r="J8684" t="s">
        <v>33766</v>
      </c>
      <c r="K8684" t="s">
        <v>36851</v>
      </c>
      <c r="M8684" t="s">
        <v>39702</v>
      </c>
      <c r="N8684" t="s">
        <v>40436</v>
      </c>
      <c r="O8684" t="s">
        <v>40437</v>
      </c>
      <c r="P8684">
        <v>0</v>
      </c>
      <c r="Q8684">
        <v>11</v>
      </c>
      <c r="R8684" t="s">
        <v>40445</v>
      </c>
      <c r="S8684" t="s">
        <v>40730</v>
      </c>
      <c r="T8684" t="s">
        <v>42168</v>
      </c>
      <c r="U8684" t="s">
        <v>49905</v>
      </c>
      <c r="W8684" t="s">
        <v>39702</v>
      </c>
      <c r="X8684" t="s">
        <v>40446</v>
      </c>
    </row>
    <row r="8685" spans="1:24">
      <c r="A8685">
        <f>HYPERLINK("https://www.philgeps.gov.ph/GEPSNONPILOT/Tender/SplashBidNoticeAbstractUI.aspx?menuIndex=3&amp;refID=7037986&amp;Result=3","7037986")</f>
        <v>0</v>
      </c>
      <c r="B8685" t="s">
        <v>2500</v>
      </c>
      <c r="C8685" t="s">
        <v>11356</v>
      </c>
      <c r="D8685" t="s">
        <v>16251</v>
      </c>
      <c r="E8685" t="s">
        <v>23883</v>
      </c>
      <c r="F8685" t="s">
        <v>28198</v>
      </c>
      <c r="G8685" t="s">
        <v>28205</v>
      </c>
      <c r="H8685" t="s">
        <v>28214</v>
      </c>
      <c r="I8685" t="s">
        <v>3797</v>
      </c>
      <c r="J8685" t="s">
        <v>33767</v>
      </c>
      <c r="K8685" t="s">
        <v>36715</v>
      </c>
      <c r="M8685" t="s">
        <v>39702</v>
      </c>
      <c r="N8685" t="s">
        <v>40436</v>
      </c>
      <c r="O8685" t="s">
        <v>40437</v>
      </c>
      <c r="P8685">
        <v>0</v>
      </c>
      <c r="Q8685">
        <v>8</v>
      </c>
      <c r="R8685" t="s">
        <v>40445</v>
      </c>
      <c r="S8685" t="s">
        <v>40730</v>
      </c>
      <c r="T8685" t="s">
        <v>42168</v>
      </c>
      <c r="U8685" t="s">
        <v>49906</v>
      </c>
      <c r="W8685" t="s">
        <v>39702</v>
      </c>
      <c r="X8685" t="s">
        <v>40446</v>
      </c>
    </row>
    <row r="8686" spans="1:24">
      <c r="A8686">
        <f>HYPERLINK("https://www.philgeps.gov.ph/GEPSNONPILOT/Tender/SplashBidNoticeAbstractUI.aspx?menuIndex=3&amp;refID=7037975&amp;Result=3","7037975")</f>
        <v>0</v>
      </c>
      <c r="B8686" t="s">
        <v>2518</v>
      </c>
      <c r="C8686" t="s">
        <v>11357</v>
      </c>
      <c r="E8686" t="s">
        <v>23884</v>
      </c>
      <c r="F8686" t="s">
        <v>28198</v>
      </c>
      <c r="G8686" t="s">
        <v>28205</v>
      </c>
      <c r="H8686" t="s">
        <v>28215</v>
      </c>
      <c r="I8686" t="s">
        <v>5100</v>
      </c>
      <c r="J8686" t="s">
        <v>33768</v>
      </c>
      <c r="K8686" t="s">
        <v>36706</v>
      </c>
      <c r="M8686" t="s">
        <v>39721</v>
      </c>
      <c r="N8686" t="s">
        <v>40436</v>
      </c>
      <c r="O8686" t="s">
        <v>40437</v>
      </c>
      <c r="P8686">
        <v>0</v>
      </c>
      <c r="Q8686">
        <v>0</v>
      </c>
      <c r="R8686" t="s">
        <v>40445</v>
      </c>
      <c r="S8686" t="s">
        <v>40730</v>
      </c>
      <c r="T8686" t="s">
        <v>42233</v>
      </c>
      <c r="U8686" t="s">
        <v>49907</v>
      </c>
      <c r="W8686" t="s">
        <v>39721</v>
      </c>
      <c r="X8686" t="s">
        <v>40446</v>
      </c>
    </row>
    <row r="8687" spans="1:24">
      <c r="A8687">
        <f>HYPERLINK("https://www.philgeps.gov.ph/GEPSNONPILOT/Tender/SplashBidNoticeAbstractUI.aspx?menuIndex=3&amp;refID=7037969&amp;Result=3","7037969")</f>
        <v>0</v>
      </c>
      <c r="B8687" t="s">
        <v>2500</v>
      </c>
      <c r="C8687" t="s">
        <v>11358</v>
      </c>
      <c r="D8687" t="s">
        <v>16251</v>
      </c>
      <c r="E8687" t="s">
        <v>23885</v>
      </c>
      <c r="F8687" t="s">
        <v>28198</v>
      </c>
      <c r="G8687" t="s">
        <v>28205</v>
      </c>
      <c r="H8687" t="s">
        <v>28214</v>
      </c>
      <c r="I8687" t="s">
        <v>3797</v>
      </c>
      <c r="J8687" t="s">
        <v>33769</v>
      </c>
      <c r="K8687" t="s">
        <v>36715</v>
      </c>
      <c r="M8687" t="s">
        <v>39702</v>
      </c>
      <c r="N8687" t="s">
        <v>40436</v>
      </c>
      <c r="O8687" t="s">
        <v>40437</v>
      </c>
      <c r="P8687">
        <v>0</v>
      </c>
      <c r="Q8687">
        <v>9</v>
      </c>
      <c r="R8687" t="s">
        <v>40445</v>
      </c>
      <c r="S8687" t="s">
        <v>40730</v>
      </c>
      <c r="T8687" t="s">
        <v>42168</v>
      </c>
      <c r="U8687" t="s">
        <v>49908</v>
      </c>
      <c r="W8687" t="s">
        <v>39702</v>
      </c>
      <c r="X8687" t="s">
        <v>40446</v>
      </c>
    </row>
    <row r="8688" spans="1:24">
      <c r="A8688">
        <f>HYPERLINK("https://www.philgeps.gov.ph/GEPSNONPILOT/Tender/SplashBidNoticeAbstractUI.aspx?menuIndex=3&amp;refID=7037989&amp;Result=3","7037989")</f>
        <v>0</v>
      </c>
      <c r="B8688" t="s">
        <v>2520</v>
      </c>
      <c r="C8688" t="s">
        <v>11359</v>
      </c>
      <c r="D8688" t="s">
        <v>16210</v>
      </c>
      <c r="E8688" t="s">
        <v>23886</v>
      </c>
      <c r="F8688" t="s">
        <v>28198</v>
      </c>
      <c r="G8688" t="s">
        <v>28205</v>
      </c>
      <c r="H8688" t="s">
        <v>28215</v>
      </c>
      <c r="I8688" t="s">
        <v>28216</v>
      </c>
      <c r="J8688" t="s">
        <v>28347</v>
      </c>
      <c r="K8688" t="s">
        <v>36862</v>
      </c>
      <c r="M8688" t="s">
        <v>39723</v>
      </c>
      <c r="N8688" t="s">
        <v>40436</v>
      </c>
      <c r="O8688" t="s">
        <v>40437</v>
      </c>
      <c r="Q8688">
        <v>10</v>
      </c>
      <c r="R8688" t="s">
        <v>40445</v>
      </c>
      <c r="S8688" t="s">
        <v>40782</v>
      </c>
      <c r="T8688" t="s">
        <v>42106</v>
      </c>
      <c r="U8688" t="s">
        <v>49909</v>
      </c>
      <c r="V8688" t="s">
        <v>54716</v>
      </c>
      <c r="W8688" t="s">
        <v>39723</v>
      </c>
      <c r="X8688" t="s">
        <v>40446</v>
      </c>
    </row>
    <row r="8689" spans="1:24">
      <c r="A8689">
        <f>HYPERLINK("https://www.philgeps.gov.ph/GEPSNONPILOT/Tender/SplashBidNoticeAbstractUI.aspx?menuIndex=3&amp;refID=7037972&amp;Result=3","7037972")</f>
        <v>0</v>
      </c>
      <c r="B8689" t="s">
        <v>1652</v>
      </c>
      <c r="C8689" t="s">
        <v>6543</v>
      </c>
      <c r="D8689" t="s">
        <v>16216</v>
      </c>
      <c r="E8689" t="s">
        <v>23887</v>
      </c>
      <c r="F8689" t="s">
        <v>28198</v>
      </c>
      <c r="G8689" t="s">
        <v>28205</v>
      </c>
      <c r="H8689" t="s">
        <v>28215</v>
      </c>
      <c r="I8689" t="s">
        <v>28249</v>
      </c>
      <c r="J8689" t="s">
        <v>33770</v>
      </c>
      <c r="K8689" t="s">
        <v>36707</v>
      </c>
      <c r="M8689" t="s">
        <v>38746</v>
      </c>
      <c r="N8689" t="s">
        <v>40436</v>
      </c>
      <c r="O8689" t="s">
        <v>40437</v>
      </c>
      <c r="P8689">
        <v>0</v>
      </c>
      <c r="Q8689">
        <v>5</v>
      </c>
      <c r="R8689" t="s">
        <v>40445</v>
      </c>
      <c r="S8689" t="s">
        <v>40730</v>
      </c>
      <c r="T8689" t="s">
        <v>42098</v>
      </c>
      <c r="U8689" t="s">
        <v>49910</v>
      </c>
      <c r="W8689" t="s">
        <v>38746</v>
      </c>
      <c r="X8689" t="s">
        <v>40446</v>
      </c>
    </row>
    <row r="8690" spans="1:24">
      <c r="A8690">
        <f>HYPERLINK("https://www.philgeps.gov.ph/GEPSNONPILOT/Tender/SplashBidNoticeAbstractUI.aspx?menuIndex=3&amp;refID=7037981&amp;Result=3","7037981")</f>
        <v>0</v>
      </c>
      <c r="B8690" t="s">
        <v>2500</v>
      </c>
      <c r="C8690" t="s">
        <v>11360</v>
      </c>
      <c r="D8690" t="s">
        <v>16251</v>
      </c>
      <c r="E8690" t="s">
        <v>23888</v>
      </c>
      <c r="F8690" t="s">
        <v>28198</v>
      </c>
      <c r="G8690" t="s">
        <v>28205</v>
      </c>
      <c r="H8690" t="s">
        <v>28214</v>
      </c>
      <c r="I8690" t="s">
        <v>3797</v>
      </c>
      <c r="J8690" t="s">
        <v>33771</v>
      </c>
      <c r="K8690" t="s">
        <v>36694</v>
      </c>
      <c r="M8690" t="s">
        <v>39702</v>
      </c>
      <c r="N8690" t="s">
        <v>40436</v>
      </c>
      <c r="O8690" t="s">
        <v>40437</v>
      </c>
      <c r="P8690">
        <v>0</v>
      </c>
      <c r="Q8690">
        <v>10</v>
      </c>
      <c r="R8690" t="s">
        <v>40445</v>
      </c>
      <c r="S8690" t="s">
        <v>40730</v>
      </c>
      <c r="T8690" t="s">
        <v>42168</v>
      </c>
      <c r="U8690" t="s">
        <v>49911</v>
      </c>
      <c r="W8690" t="s">
        <v>39702</v>
      </c>
      <c r="X8690" t="s">
        <v>40446</v>
      </c>
    </row>
    <row r="8691" spans="1:24">
      <c r="A8691">
        <f>HYPERLINK("https://www.philgeps.gov.ph/GEPSNONPILOT/Tender/SplashBidNoticeAbstractUI.aspx?menuIndex=3&amp;refID=7037988&amp;Result=3","7037988")</f>
        <v>0</v>
      </c>
      <c r="B8691" t="s">
        <v>2476</v>
      </c>
      <c r="C8691" t="s">
        <v>11361</v>
      </c>
      <c r="D8691" t="s">
        <v>16250</v>
      </c>
      <c r="E8691" t="s">
        <v>23889</v>
      </c>
      <c r="F8691" t="s">
        <v>28198</v>
      </c>
      <c r="G8691" t="s">
        <v>28205</v>
      </c>
      <c r="H8691" t="s">
        <v>28215</v>
      </c>
      <c r="I8691" t="s">
        <v>28234</v>
      </c>
      <c r="J8691" t="s">
        <v>31223</v>
      </c>
      <c r="K8691" t="s">
        <v>36701</v>
      </c>
      <c r="M8691" t="s">
        <v>39674</v>
      </c>
      <c r="N8691" t="s">
        <v>40436</v>
      </c>
      <c r="O8691" t="s">
        <v>40437</v>
      </c>
      <c r="P8691">
        <v>0</v>
      </c>
      <c r="Q8691">
        <v>1</v>
      </c>
      <c r="R8691" t="s">
        <v>40445</v>
      </c>
      <c r="S8691" t="s">
        <v>40730</v>
      </c>
      <c r="T8691" t="s">
        <v>42253</v>
      </c>
      <c r="U8691" t="s">
        <v>49912</v>
      </c>
      <c r="W8691" t="s">
        <v>39674</v>
      </c>
      <c r="X8691" t="s">
        <v>40446</v>
      </c>
    </row>
    <row r="8692" spans="1:24">
      <c r="A8692">
        <f>HYPERLINK("https://www.philgeps.gov.ph/GEPSNONPILOT/Tender/SplashBidNoticeAbstractUI.aspx?menuIndex=3&amp;refID=7037995&amp;Result=3","7037995")</f>
        <v>0</v>
      </c>
      <c r="B8692" t="s">
        <v>1618</v>
      </c>
      <c r="C8692" t="s">
        <v>11362</v>
      </c>
      <c r="D8692" t="s">
        <v>16215</v>
      </c>
      <c r="E8692" t="s">
        <v>23890</v>
      </c>
      <c r="F8692" t="s">
        <v>28198</v>
      </c>
      <c r="G8692" t="s">
        <v>28205</v>
      </c>
      <c r="H8692" t="s">
        <v>28214</v>
      </c>
      <c r="I8692" t="s">
        <v>3797</v>
      </c>
      <c r="J8692" t="s">
        <v>33772</v>
      </c>
      <c r="K8692" t="s">
        <v>36697</v>
      </c>
      <c r="M8692" t="s">
        <v>38705</v>
      </c>
      <c r="N8692" t="s">
        <v>40436</v>
      </c>
      <c r="O8692" t="s">
        <v>40437</v>
      </c>
      <c r="P8692">
        <v>0</v>
      </c>
      <c r="Q8692">
        <v>10</v>
      </c>
      <c r="R8692" t="s">
        <v>40445</v>
      </c>
      <c r="S8692" t="s">
        <v>40730</v>
      </c>
      <c r="T8692" t="s">
        <v>42511</v>
      </c>
      <c r="U8692" t="s">
        <v>49913</v>
      </c>
      <c r="W8692" t="s">
        <v>55492</v>
      </c>
      <c r="X8692" t="s">
        <v>40446</v>
      </c>
    </row>
    <row r="8693" spans="1:24">
      <c r="A8693">
        <f>HYPERLINK("https://www.philgeps.gov.ph/GEPSNONPILOT/Tender/SplashBidNoticeAbstractUI.aspx?menuIndex=3&amp;refID=7037974&amp;Result=3","7037974")</f>
        <v>0</v>
      </c>
      <c r="B8693" t="s">
        <v>2521</v>
      </c>
      <c r="C8693" t="s">
        <v>11363</v>
      </c>
      <c r="D8693" t="s">
        <v>16201</v>
      </c>
      <c r="E8693" t="s">
        <v>23891</v>
      </c>
      <c r="F8693" t="s">
        <v>28198</v>
      </c>
      <c r="G8693" t="s">
        <v>28205</v>
      </c>
      <c r="H8693" t="s">
        <v>28215</v>
      </c>
      <c r="I8693" t="s">
        <v>5082</v>
      </c>
      <c r="J8693" t="s">
        <v>33773</v>
      </c>
      <c r="K8693" t="s">
        <v>36687</v>
      </c>
      <c r="M8693" t="s">
        <v>39724</v>
      </c>
      <c r="N8693" t="s">
        <v>40436</v>
      </c>
      <c r="O8693" t="s">
        <v>40437</v>
      </c>
      <c r="P8693">
        <v>0</v>
      </c>
      <c r="Q8693">
        <v>1</v>
      </c>
      <c r="R8693" t="s">
        <v>40445</v>
      </c>
      <c r="S8693" t="s">
        <v>40730</v>
      </c>
      <c r="T8693" t="s">
        <v>42471</v>
      </c>
      <c r="U8693" t="s">
        <v>49914</v>
      </c>
      <c r="V8693" t="s">
        <v>54717</v>
      </c>
      <c r="W8693" t="s">
        <v>39724</v>
      </c>
      <c r="X8693" t="s">
        <v>40446</v>
      </c>
    </row>
    <row r="8694" spans="1:24">
      <c r="A8694">
        <f>HYPERLINK("https://www.philgeps.gov.ph/GEPSNONPILOT/Tender/SplashBidNoticeAbstractUI.aspx?menuIndex=3&amp;refID=7037978&amp;Result=3","7037978")</f>
        <v>0</v>
      </c>
      <c r="B8694" t="s">
        <v>1652</v>
      </c>
      <c r="C8694" t="s">
        <v>11364</v>
      </c>
      <c r="D8694" t="s">
        <v>16216</v>
      </c>
      <c r="E8694" t="s">
        <v>23892</v>
      </c>
      <c r="F8694" t="s">
        <v>28198</v>
      </c>
      <c r="G8694" t="s">
        <v>28205</v>
      </c>
      <c r="H8694" t="s">
        <v>28215</v>
      </c>
      <c r="I8694" t="s">
        <v>4200</v>
      </c>
      <c r="J8694" t="s">
        <v>33774</v>
      </c>
      <c r="K8694" t="s">
        <v>36707</v>
      </c>
      <c r="M8694" t="s">
        <v>38746</v>
      </c>
      <c r="N8694" t="s">
        <v>40436</v>
      </c>
      <c r="O8694" t="s">
        <v>40437</v>
      </c>
      <c r="P8694">
        <v>0</v>
      </c>
      <c r="Q8694">
        <v>6</v>
      </c>
      <c r="R8694" t="s">
        <v>40445</v>
      </c>
      <c r="S8694" t="s">
        <v>40730</v>
      </c>
      <c r="T8694" t="s">
        <v>42098</v>
      </c>
      <c r="U8694" t="s">
        <v>49915</v>
      </c>
      <c r="W8694" t="s">
        <v>38746</v>
      </c>
      <c r="X8694" t="s">
        <v>40446</v>
      </c>
    </row>
    <row r="8695" spans="1:24">
      <c r="A8695">
        <f>HYPERLINK("https://www.philgeps.gov.ph/GEPSNONPILOT/Tender/SplashBidNoticeAbstractUI.aspx?menuIndex=3&amp;refID=7037991&amp;Result=3","7037991")</f>
        <v>0</v>
      </c>
      <c r="B8695" t="s">
        <v>2500</v>
      </c>
      <c r="C8695" t="s">
        <v>11365</v>
      </c>
      <c r="D8695" t="s">
        <v>16251</v>
      </c>
      <c r="E8695" t="s">
        <v>23893</v>
      </c>
      <c r="F8695" t="s">
        <v>28198</v>
      </c>
      <c r="G8695" t="s">
        <v>28205</v>
      </c>
      <c r="H8695" t="s">
        <v>28214</v>
      </c>
      <c r="I8695" t="s">
        <v>3797</v>
      </c>
      <c r="J8695" t="s">
        <v>33775</v>
      </c>
      <c r="K8695" t="s">
        <v>36694</v>
      </c>
      <c r="M8695" t="s">
        <v>39702</v>
      </c>
      <c r="N8695" t="s">
        <v>40436</v>
      </c>
      <c r="O8695" t="s">
        <v>40437</v>
      </c>
      <c r="P8695">
        <v>0</v>
      </c>
      <c r="Q8695">
        <v>11</v>
      </c>
      <c r="R8695" t="s">
        <v>40445</v>
      </c>
      <c r="S8695" t="s">
        <v>40730</v>
      </c>
      <c r="T8695" t="s">
        <v>42168</v>
      </c>
      <c r="U8695" t="s">
        <v>49916</v>
      </c>
      <c r="W8695" t="s">
        <v>39702</v>
      </c>
      <c r="X8695" t="s">
        <v>40446</v>
      </c>
    </row>
    <row r="8696" spans="1:24">
      <c r="A8696">
        <f>HYPERLINK("https://www.philgeps.gov.ph/GEPSNONPILOT/Tender/SplashBidNoticeAbstractUI.aspx?menuIndex=3&amp;refID=7038012&amp;Result=3","7038012")</f>
        <v>0</v>
      </c>
      <c r="B8696" t="s">
        <v>1618</v>
      </c>
      <c r="C8696" t="s">
        <v>11366</v>
      </c>
      <c r="D8696" t="s">
        <v>16215</v>
      </c>
      <c r="E8696" t="s">
        <v>23894</v>
      </c>
      <c r="F8696" t="s">
        <v>28198</v>
      </c>
      <c r="G8696" t="s">
        <v>28205</v>
      </c>
      <c r="H8696" t="s">
        <v>28214</v>
      </c>
      <c r="I8696" t="s">
        <v>3797</v>
      </c>
      <c r="J8696" t="s">
        <v>33776</v>
      </c>
      <c r="K8696" t="s">
        <v>36692</v>
      </c>
      <c r="M8696" t="s">
        <v>38705</v>
      </c>
      <c r="N8696" t="s">
        <v>40436</v>
      </c>
      <c r="O8696" t="s">
        <v>40437</v>
      </c>
      <c r="P8696">
        <v>0</v>
      </c>
      <c r="Q8696">
        <v>16</v>
      </c>
      <c r="R8696" t="s">
        <v>40445</v>
      </c>
      <c r="S8696" t="s">
        <v>40730</v>
      </c>
      <c r="T8696" t="s">
        <v>42183</v>
      </c>
      <c r="U8696" t="s">
        <v>49917</v>
      </c>
      <c r="W8696" t="s">
        <v>55492</v>
      </c>
      <c r="X8696" t="s">
        <v>40446</v>
      </c>
    </row>
    <row r="8697" spans="1:24">
      <c r="A8697">
        <f>HYPERLINK("https://www.philgeps.gov.ph/GEPSNONPILOT/Tender/SplashBidNoticeAbstractUI.aspx?menuIndex=3&amp;refID=7037999&amp;Result=3","7037999")</f>
        <v>0</v>
      </c>
      <c r="B8697" t="s">
        <v>999</v>
      </c>
      <c r="C8697" t="s">
        <v>11367</v>
      </c>
      <c r="D8697" t="s">
        <v>16201</v>
      </c>
      <c r="E8697" t="s">
        <v>23895</v>
      </c>
      <c r="F8697" t="s">
        <v>28198</v>
      </c>
      <c r="G8697" t="s">
        <v>28205</v>
      </c>
      <c r="H8697" t="s">
        <v>28215</v>
      </c>
      <c r="I8697" t="s">
        <v>4168</v>
      </c>
      <c r="J8697" t="s">
        <v>28652</v>
      </c>
      <c r="K8697" t="s">
        <v>36701</v>
      </c>
      <c r="M8697" t="s">
        <v>38027</v>
      </c>
      <c r="N8697" t="s">
        <v>40436</v>
      </c>
      <c r="O8697" t="s">
        <v>40437</v>
      </c>
      <c r="P8697">
        <v>0</v>
      </c>
      <c r="Q8697">
        <v>0</v>
      </c>
      <c r="R8697" t="s">
        <v>40445</v>
      </c>
      <c r="S8697" t="s">
        <v>40730</v>
      </c>
      <c r="T8697" t="s">
        <v>42113</v>
      </c>
      <c r="U8697" t="s">
        <v>49918</v>
      </c>
      <c r="W8697" t="s">
        <v>38027</v>
      </c>
      <c r="X8697" t="s">
        <v>40446</v>
      </c>
    </row>
    <row r="8698" spans="1:24">
      <c r="A8698">
        <f>HYPERLINK("https://www.philgeps.gov.ph/GEPSNONPILOT/Tender/SplashBidNoticeAbstractUI.aspx?menuIndex=3&amp;refID=7037993&amp;Result=3","7037993")</f>
        <v>0</v>
      </c>
      <c r="B8698" t="s">
        <v>999</v>
      </c>
      <c r="C8698" t="s">
        <v>11368</v>
      </c>
      <c r="D8698" t="s">
        <v>16201</v>
      </c>
      <c r="E8698" t="s">
        <v>23896</v>
      </c>
      <c r="F8698" t="s">
        <v>28198</v>
      </c>
      <c r="G8698" t="s">
        <v>28205</v>
      </c>
      <c r="H8698" t="s">
        <v>28215</v>
      </c>
      <c r="I8698" t="s">
        <v>5791</v>
      </c>
      <c r="J8698" t="s">
        <v>33777</v>
      </c>
      <c r="K8698" t="s">
        <v>36701</v>
      </c>
      <c r="M8698" t="s">
        <v>38027</v>
      </c>
      <c r="N8698" t="s">
        <v>40436</v>
      </c>
      <c r="O8698" t="s">
        <v>40437</v>
      </c>
      <c r="P8698">
        <v>0</v>
      </c>
      <c r="Q8698">
        <v>0</v>
      </c>
      <c r="R8698" t="s">
        <v>40445</v>
      </c>
      <c r="S8698" t="s">
        <v>40730</v>
      </c>
      <c r="T8698" t="s">
        <v>42113</v>
      </c>
      <c r="U8698" t="s">
        <v>49919</v>
      </c>
      <c r="W8698" t="s">
        <v>38027</v>
      </c>
      <c r="X8698" t="s">
        <v>40446</v>
      </c>
    </row>
    <row r="8699" spans="1:24">
      <c r="A8699">
        <f>HYPERLINK("https://www.philgeps.gov.ph/GEPSNONPILOT/Tender/SplashBidNoticeAbstractUI.aspx?menuIndex=3&amp;refID=7038011&amp;Result=3","7038011")</f>
        <v>0</v>
      </c>
      <c r="B8699" t="s">
        <v>2500</v>
      </c>
      <c r="C8699" t="s">
        <v>11369</v>
      </c>
      <c r="D8699" t="s">
        <v>16251</v>
      </c>
      <c r="E8699" t="s">
        <v>23897</v>
      </c>
      <c r="F8699" t="s">
        <v>28198</v>
      </c>
      <c r="G8699" t="s">
        <v>28205</v>
      </c>
      <c r="H8699" t="s">
        <v>28214</v>
      </c>
      <c r="I8699" t="s">
        <v>3797</v>
      </c>
      <c r="J8699" t="s">
        <v>33778</v>
      </c>
      <c r="K8699" t="s">
        <v>36737</v>
      </c>
      <c r="M8699" t="s">
        <v>39702</v>
      </c>
      <c r="N8699" t="s">
        <v>40436</v>
      </c>
      <c r="O8699" t="s">
        <v>40437</v>
      </c>
      <c r="P8699">
        <v>0</v>
      </c>
      <c r="Q8699">
        <v>10</v>
      </c>
      <c r="R8699" t="s">
        <v>40445</v>
      </c>
      <c r="S8699" t="s">
        <v>40730</v>
      </c>
      <c r="T8699" t="s">
        <v>42168</v>
      </c>
      <c r="U8699" t="s">
        <v>49920</v>
      </c>
      <c r="W8699" t="s">
        <v>39702</v>
      </c>
      <c r="X8699" t="s">
        <v>40446</v>
      </c>
    </row>
    <row r="8700" spans="1:24">
      <c r="A8700">
        <f>HYPERLINK("https://www.philgeps.gov.ph/GEPSNONPILOT/Tender/SplashBidNoticeAbstractUI.aspx?menuIndex=3&amp;refID=7038005&amp;Result=3","7038005")</f>
        <v>0</v>
      </c>
      <c r="B8700" t="s">
        <v>453</v>
      </c>
      <c r="C8700" t="s">
        <v>11370</v>
      </c>
      <c r="D8700" t="s">
        <v>16214</v>
      </c>
      <c r="E8700" t="s">
        <v>23898</v>
      </c>
      <c r="F8700" t="s">
        <v>28198</v>
      </c>
      <c r="G8700" t="s">
        <v>28207</v>
      </c>
      <c r="H8700" t="s">
        <v>28215</v>
      </c>
      <c r="I8700" t="s">
        <v>4505</v>
      </c>
      <c r="J8700" t="s">
        <v>28397</v>
      </c>
      <c r="K8700" t="s">
        <v>36701</v>
      </c>
      <c r="M8700" t="s">
        <v>37437</v>
      </c>
      <c r="N8700" t="s">
        <v>40436</v>
      </c>
      <c r="O8700" t="s">
        <v>40437</v>
      </c>
      <c r="P8700">
        <v>0</v>
      </c>
      <c r="Q8700">
        <v>5</v>
      </c>
      <c r="R8700" t="s">
        <v>40445</v>
      </c>
      <c r="S8700" t="s">
        <v>40730</v>
      </c>
      <c r="T8700" t="s">
        <v>42469</v>
      </c>
      <c r="U8700" t="s">
        <v>49921</v>
      </c>
      <c r="W8700" t="s">
        <v>37437</v>
      </c>
      <c r="X8700" t="s">
        <v>40446</v>
      </c>
    </row>
    <row r="8701" spans="1:24">
      <c r="A8701">
        <f>HYPERLINK("https://www.philgeps.gov.ph/GEPSNONPILOT/Tender/SplashBidNoticeAbstractUI.aspx?menuIndex=3&amp;refID=7038004&amp;Result=3","7038004")</f>
        <v>0</v>
      </c>
      <c r="B8701" t="s">
        <v>999</v>
      </c>
      <c r="C8701" t="s">
        <v>11371</v>
      </c>
      <c r="D8701" t="s">
        <v>16201</v>
      </c>
      <c r="E8701" t="s">
        <v>23899</v>
      </c>
      <c r="F8701" t="s">
        <v>28198</v>
      </c>
      <c r="G8701" t="s">
        <v>28205</v>
      </c>
      <c r="H8701" t="s">
        <v>28215</v>
      </c>
      <c r="I8701" t="s">
        <v>28220</v>
      </c>
      <c r="J8701" t="s">
        <v>29329</v>
      </c>
      <c r="K8701" t="s">
        <v>36701</v>
      </c>
      <c r="M8701" t="s">
        <v>38027</v>
      </c>
      <c r="N8701" t="s">
        <v>40436</v>
      </c>
      <c r="O8701" t="s">
        <v>40437</v>
      </c>
      <c r="P8701">
        <v>0</v>
      </c>
      <c r="Q8701">
        <v>1</v>
      </c>
      <c r="R8701" t="s">
        <v>40445</v>
      </c>
      <c r="S8701" t="s">
        <v>40730</v>
      </c>
      <c r="T8701" t="s">
        <v>42113</v>
      </c>
      <c r="U8701" t="s">
        <v>49922</v>
      </c>
      <c r="W8701" t="s">
        <v>38027</v>
      </c>
      <c r="X8701" t="s">
        <v>40446</v>
      </c>
    </row>
    <row r="8702" spans="1:24">
      <c r="A8702">
        <f>HYPERLINK("https://www.philgeps.gov.ph/GEPSNONPILOT/Tender/SplashBidNoticeAbstractUI.aspx?menuIndex=3&amp;refID=7038003&amp;Result=3","7038003")</f>
        <v>0</v>
      </c>
      <c r="B8702" t="s">
        <v>2500</v>
      </c>
      <c r="C8702" t="s">
        <v>11372</v>
      </c>
      <c r="D8702" t="s">
        <v>16251</v>
      </c>
      <c r="E8702" t="s">
        <v>23900</v>
      </c>
      <c r="F8702" t="s">
        <v>28198</v>
      </c>
      <c r="G8702" t="s">
        <v>28205</v>
      </c>
      <c r="H8702" t="s">
        <v>28214</v>
      </c>
      <c r="I8702" t="s">
        <v>3797</v>
      </c>
      <c r="J8702" t="s">
        <v>33779</v>
      </c>
      <c r="K8702" t="s">
        <v>36715</v>
      </c>
      <c r="M8702" t="s">
        <v>39702</v>
      </c>
      <c r="N8702" t="s">
        <v>40436</v>
      </c>
      <c r="O8702" t="s">
        <v>40437</v>
      </c>
      <c r="P8702">
        <v>0</v>
      </c>
      <c r="Q8702">
        <v>10</v>
      </c>
      <c r="R8702" t="s">
        <v>40445</v>
      </c>
      <c r="S8702" t="s">
        <v>40730</v>
      </c>
      <c r="T8702" t="s">
        <v>42168</v>
      </c>
      <c r="U8702" t="s">
        <v>49923</v>
      </c>
      <c r="W8702" t="s">
        <v>39702</v>
      </c>
      <c r="X8702" t="s">
        <v>40446</v>
      </c>
    </row>
    <row r="8703" spans="1:24">
      <c r="A8703">
        <f>HYPERLINK("https://www.philgeps.gov.ph/GEPSNONPILOT/Tender/SplashBidNoticeAbstractUI.aspx?menuIndex=3&amp;refID=7038013&amp;Result=3","7038013")</f>
        <v>0</v>
      </c>
      <c r="B8703" t="s">
        <v>768</v>
      </c>
      <c r="C8703" t="s">
        <v>11373</v>
      </c>
      <c r="D8703" t="s">
        <v>16196</v>
      </c>
      <c r="E8703" t="s">
        <v>23901</v>
      </c>
      <c r="F8703" t="s">
        <v>28198</v>
      </c>
      <c r="G8703" t="s">
        <v>28205</v>
      </c>
      <c r="H8703" t="s">
        <v>28217</v>
      </c>
      <c r="I8703" t="s">
        <v>28222</v>
      </c>
      <c r="J8703" t="s">
        <v>28486</v>
      </c>
      <c r="K8703" t="s">
        <v>36701</v>
      </c>
      <c r="M8703" t="s">
        <v>37771</v>
      </c>
      <c r="N8703" t="s">
        <v>40436</v>
      </c>
      <c r="O8703" t="s">
        <v>40437</v>
      </c>
      <c r="P8703">
        <v>0</v>
      </c>
      <c r="Q8703">
        <v>0</v>
      </c>
      <c r="R8703" t="s">
        <v>40445</v>
      </c>
      <c r="S8703" t="s">
        <v>40730</v>
      </c>
      <c r="T8703" t="s">
        <v>42297</v>
      </c>
      <c r="U8703" t="s">
        <v>49924</v>
      </c>
      <c r="W8703" t="s">
        <v>37771</v>
      </c>
      <c r="X8703" t="s">
        <v>40446</v>
      </c>
    </row>
    <row r="8704" spans="1:24">
      <c r="A8704">
        <f>HYPERLINK("https://www.philgeps.gov.ph/GEPSNONPILOT/Tender/SplashBidNoticeAbstractUI.aspx?menuIndex=3&amp;refID=7038000&amp;Result=3","7038000")</f>
        <v>0</v>
      </c>
      <c r="B8704" t="s">
        <v>2500</v>
      </c>
      <c r="C8704" t="s">
        <v>11374</v>
      </c>
      <c r="D8704" t="s">
        <v>16251</v>
      </c>
      <c r="E8704" t="s">
        <v>23902</v>
      </c>
      <c r="F8704" t="s">
        <v>28198</v>
      </c>
      <c r="G8704" t="s">
        <v>28205</v>
      </c>
      <c r="H8704" t="s">
        <v>28214</v>
      </c>
      <c r="I8704" t="s">
        <v>3797</v>
      </c>
      <c r="J8704" t="s">
        <v>33780</v>
      </c>
      <c r="K8704" t="s">
        <v>36727</v>
      </c>
      <c r="M8704" t="s">
        <v>39702</v>
      </c>
      <c r="N8704" t="s">
        <v>40436</v>
      </c>
      <c r="O8704" t="s">
        <v>40437</v>
      </c>
      <c r="P8704">
        <v>0</v>
      </c>
      <c r="Q8704">
        <v>11</v>
      </c>
      <c r="R8704" t="s">
        <v>40445</v>
      </c>
      <c r="S8704" t="s">
        <v>40730</v>
      </c>
      <c r="T8704" t="s">
        <v>42168</v>
      </c>
      <c r="U8704" t="s">
        <v>49925</v>
      </c>
      <c r="W8704" t="s">
        <v>39702</v>
      </c>
      <c r="X8704" t="s">
        <v>40446</v>
      </c>
    </row>
    <row r="8705" spans="1:24">
      <c r="A8705">
        <f>HYPERLINK("https://www.philgeps.gov.ph/GEPSNONPILOT/Tender/SplashBidNoticeAbstractUI.aspx?menuIndex=3&amp;refID=7038006&amp;Result=3","7038006")</f>
        <v>0</v>
      </c>
      <c r="B8705" t="s">
        <v>1618</v>
      </c>
      <c r="C8705" t="s">
        <v>11375</v>
      </c>
      <c r="D8705" t="s">
        <v>16215</v>
      </c>
      <c r="E8705" t="s">
        <v>23903</v>
      </c>
      <c r="F8705" t="s">
        <v>28198</v>
      </c>
      <c r="G8705" t="s">
        <v>28205</v>
      </c>
      <c r="H8705" t="s">
        <v>28214</v>
      </c>
      <c r="I8705" t="s">
        <v>3797</v>
      </c>
      <c r="J8705" t="s">
        <v>33781</v>
      </c>
      <c r="K8705" t="s">
        <v>36692</v>
      </c>
      <c r="M8705" t="s">
        <v>38705</v>
      </c>
      <c r="N8705" t="s">
        <v>40436</v>
      </c>
      <c r="O8705" t="s">
        <v>40437</v>
      </c>
      <c r="P8705">
        <v>0</v>
      </c>
      <c r="Q8705">
        <v>13</v>
      </c>
      <c r="R8705" t="s">
        <v>40445</v>
      </c>
      <c r="S8705" t="s">
        <v>40730</v>
      </c>
      <c r="T8705" t="s">
        <v>42253</v>
      </c>
      <c r="U8705" t="s">
        <v>49926</v>
      </c>
      <c r="W8705" t="s">
        <v>55492</v>
      </c>
      <c r="X8705" t="s">
        <v>40446</v>
      </c>
    </row>
    <row r="8706" spans="1:24">
      <c r="A8706">
        <f>HYPERLINK("https://www.philgeps.gov.ph/GEPSNONPILOT/Tender/SplashBidNoticeAbstractUI.aspx?menuIndex=3&amp;refID=7038014&amp;Result=3","7038014")</f>
        <v>0</v>
      </c>
      <c r="B8706" t="s">
        <v>165</v>
      </c>
      <c r="C8706" t="s">
        <v>11376</v>
      </c>
      <c r="D8706" t="s">
        <v>16241</v>
      </c>
      <c r="E8706" t="s">
        <v>23904</v>
      </c>
      <c r="F8706" t="s">
        <v>28198</v>
      </c>
      <c r="G8706" t="s">
        <v>28205</v>
      </c>
      <c r="H8706" t="s">
        <v>28214</v>
      </c>
      <c r="I8706" t="s">
        <v>3797</v>
      </c>
      <c r="J8706" t="s">
        <v>32480</v>
      </c>
      <c r="K8706" t="s">
        <v>36692</v>
      </c>
      <c r="M8706" t="s">
        <v>37139</v>
      </c>
      <c r="N8706" t="s">
        <v>40436</v>
      </c>
      <c r="O8706" t="s">
        <v>40437</v>
      </c>
      <c r="P8706">
        <v>0</v>
      </c>
      <c r="Q8706">
        <v>0</v>
      </c>
      <c r="R8706" t="s">
        <v>40445</v>
      </c>
      <c r="S8706" t="s">
        <v>40730</v>
      </c>
      <c r="T8706" t="s">
        <v>42234</v>
      </c>
      <c r="U8706" t="s">
        <v>49927</v>
      </c>
      <c r="V8706" t="s">
        <v>54718</v>
      </c>
      <c r="W8706" t="s">
        <v>55518</v>
      </c>
      <c r="X8706" t="s">
        <v>40446</v>
      </c>
    </row>
    <row r="8707" spans="1:24">
      <c r="A8707">
        <f>HYPERLINK("https://www.philgeps.gov.ph/GEPSNONPILOT/Tender/SplashBidNoticeAbstractUI.aspx?menuIndex=3&amp;refID=7038029&amp;Result=3","7038029")</f>
        <v>0</v>
      </c>
      <c r="B8707" t="s">
        <v>2500</v>
      </c>
      <c r="C8707" t="s">
        <v>11377</v>
      </c>
      <c r="D8707" t="s">
        <v>16251</v>
      </c>
      <c r="E8707" t="s">
        <v>23905</v>
      </c>
      <c r="F8707" t="s">
        <v>28198</v>
      </c>
      <c r="G8707" t="s">
        <v>28205</v>
      </c>
      <c r="H8707" t="s">
        <v>28214</v>
      </c>
      <c r="I8707" t="s">
        <v>3797</v>
      </c>
      <c r="J8707" t="s">
        <v>33782</v>
      </c>
      <c r="K8707" t="s">
        <v>36737</v>
      </c>
      <c r="M8707" t="s">
        <v>39702</v>
      </c>
      <c r="N8707" t="s">
        <v>40436</v>
      </c>
      <c r="O8707" t="s">
        <v>40437</v>
      </c>
      <c r="P8707">
        <v>0</v>
      </c>
      <c r="Q8707">
        <v>7</v>
      </c>
      <c r="R8707" t="s">
        <v>40445</v>
      </c>
      <c r="S8707" t="s">
        <v>40730</v>
      </c>
      <c r="T8707" t="s">
        <v>42168</v>
      </c>
      <c r="U8707" t="s">
        <v>49928</v>
      </c>
      <c r="W8707" t="s">
        <v>39702</v>
      </c>
      <c r="X8707" t="s">
        <v>40446</v>
      </c>
    </row>
    <row r="8708" spans="1:24">
      <c r="A8708">
        <f>HYPERLINK("https://www.philgeps.gov.ph/GEPSNONPILOT/Tender/SplashBidNoticeAbstractUI.aspx?menuIndex=3&amp;refID=7038026&amp;Result=3","7038026")</f>
        <v>0</v>
      </c>
      <c r="B8708" t="s">
        <v>2522</v>
      </c>
      <c r="C8708" t="s">
        <v>11378</v>
      </c>
      <c r="D8708" t="s">
        <v>16220</v>
      </c>
      <c r="E8708" t="s">
        <v>16322</v>
      </c>
      <c r="F8708" t="s">
        <v>28198</v>
      </c>
      <c r="G8708" t="s">
        <v>28205</v>
      </c>
      <c r="H8708" t="s">
        <v>28214</v>
      </c>
      <c r="I8708" t="s">
        <v>3797</v>
      </c>
      <c r="J8708" t="s">
        <v>28813</v>
      </c>
      <c r="K8708" t="s">
        <v>36687</v>
      </c>
      <c r="M8708" t="s">
        <v>39725</v>
      </c>
      <c r="N8708" t="s">
        <v>40436</v>
      </c>
      <c r="O8708" t="s">
        <v>40437</v>
      </c>
      <c r="P8708">
        <v>0</v>
      </c>
      <c r="Q8708">
        <v>1</v>
      </c>
      <c r="R8708" t="s">
        <v>40445</v>
      </c>
      <c r="S8708" t="s">
        <v>40730</v>
      </c>
      <c r="T8708" t="s">
        <v>42297</v>
      </c>
      <c r="U8708" t="s">
        <v>49929</v>
      </c>
      <c r="W8708" t="s">
        <v>39725</v>
      </c>
      <c r="X8708" t="s">
        <v>40446</v>
      </c>
    </row>
    <row r="8709" spans="1:24">
      <c r="A8709">
        <f>HYPERLINK("https://www.philgeps.gov.ph/GEPSNONPILOT/Tender/SplashBidNoticeAbstractUI.aspx?menuIndex=3&amp;refID=7038023&amp;Result=3","7038023")</f>
        <v>0</v>
      </c>
      <c r="B8709" t="s">
        <v>1292</v>
      </c>
      <c r="C8709" t="s">
        <v>11379</v>
      </c>
      <c r="D8709" t="s">
        <v>16195</v>
      </c>
      <c r="E8709" t="s">
        <v>16782</v>
      </c>
      <c r="F8709" t="s">
        <v>28198</v>
      </c>
      <c r="G8709" t="s">
        <v>28205</v>
      </c>
      <c r="H8709" t="s">
        <v>28215</v>
      </c>
      <c r="I8709" t="s">
        <v>5100</v>
      </c>
      <c r="J8709" t="s">
        <v>33783</v>
      </c>
      <c r="K8709" t="s">
        <v>36715</v>
      </c>
      <c r="M8709" t="s">
        <v>38345</v>
      </c>
      <c r="N8709" t="s">
        <v>40436</v>
      </c>
      <c r="O8709" t="s">
        <v>40437</v>
      </c>
      <c r="P8709">
        <v>0</v>
      </c>
      <c r="Q8709">
        <v>0</v>
      </c>
      <c r="R8709" t="s">
        <v>40445</v>
      </c>
      <c r="S8709" t="s">
        <v>40730</v>
      </c>
      <c r="T8709" t="s">
        <v>42185</v>
      </c>
      <c r="U8709" t="s">
        <v>49930</v>
      </c>
      <c r="W8709" t="s">
        <v>38345</v>
      </c>
      <c r="X8709" t="s">
        <v>40446</v>
      </c>
    </row>
    <row r="8710" spans="1:24">
      <c r="A8710">
        <f>HYPERLINK("https://www.philgeps.gov.ph/GEPSNONPILOT/Tender/SplashBidNoticeAbstractUI.aspx?menuIndex=3&amp;refID=7038024&amp;Result=3","7038024")</f>
        <v>0</v>
      </c>
      <c r="B8710" t="s">
        <v>2500</v>
      </c>
      <c r="C8710" t="s">
        <v>11380</v>
      </c>
      <c r="D8710" t="s">
        <v>16251</v>
      </c>
      <c r="E8710" t="s">
        <v>23906</v>
      </c>
      <c r="F8710" t="s">
        <v>28198</v>
      </c>
      <c r="G8710" t="s">
        <v>28205</v>
      </c>
      <c r="H8710" t="s">
        <v>28214</v>
      </c>
      <c r="I8710" t="s">
        <v>3797</v>
      </c>
      <c r="J8710" t="s">
        <v>33784</v>
      </c>
      <c r="K8710" t="s">
        <v>36737</v>
      </c>
      <c r="M8710" t="s">
        <v>39702</v>
      </c>
      <c r="N8710" t="s">
        <v>40436</v>
      </c>
      <c r="O8710" t="s">
        <v>40437</v>
      </c>
      <c r="P8710">
        <v>0</v>
      </c>
      <c r="Q8710">
        <v>6</v>
      </c>
      <c r="R8710" t="s">
        <v>40445</v>
      </c>
      <c r="S8710" t="s">
        <v>40730</v>
      </c>
      <c r="T8710" t="s">
        <v>42168</v>
      </c>
      <c r="U8710" t="s">
        <v>49931</v>
      </c>
      <c r="W8710" t="s">
        <v>39702</v>
      </c>
      <c r="X8710" t="s">
        <v>40446</v>
      </c>
    </row>
    <row r="8711" spans="1:24">
      <c r="A8711">
        <f>HYPERLINK("https://www.philgeps.gov.ph/GEPSNONPILOT/Tender/SplashBidNoticeAbstractUI.aspx?menuIndex=3&amp;refID=7038037&amp;Result=3","7038037")</f>
        <v>0</v>
      </c>
      <c r="B8711" t="s">
        <v>2500</v>
      </c>
      <c r="C8711" t="s">
        <v>11381</v>
      </c>
      <c r="D8711" t="s">
        <v>16251</v>
      </c>
      <c r="E8711" t="s">
        <v>23907</v>
      </c>
      <c r="F8711" t="s">
        <v>28198</v>
      </c>
      <c r="G8711" t="s">
        <v>28205</v>
      </c>
      <c r="H8711" t="s">
        <v>28214</v>
      </c>
      <c r="I8711" t="s">
        <v>3797</v>
      </c>
      <c r="J8711" t="s">
        <v>33785</v>
      </c>
      <c r="K8711" t="s">
        <v>36817</v>
      </c>
      <c r="M8711" t="s">
        <v>39702</v>
      </c>
      <c r="N8711" t="s">
        <v>40436</v>
      </c>
      <c r="O8711" t="s">
        <v>40437</v>
      </c>
      <c r="P8711">
        <v>0</v>
      </c>
      <c r="Q8711">
        <v>7</v>
      </c>
      <c r="R8711" t="s">
        <v>40445</v>
      </c>
      <c r="S8711" t="s">
        <v>40730</v>
      </c>
      <c r="T8711" t="s">
        <v>42168</v>
      </c>
      <c r="U8711" t="s">
        <v>49932</v>
      </c>
      <c r="W8711" t="s">
        <v>39702</v>
      </c>
      <c r="X8711" t="s">
        <v>40446</v>
      </c>
    </row>
    <row r="8712" spans="1:24">
      <c r="A8712">
        <f>HYPERLINK("https://www.philgeps.gov.ph/GEPSNONPILOT/Tender/SplashBidNoticeAbstractUI.aspx?menuIndex=3&amp;refID=7038015&amp;Result=3","7038015")</f>
        <v>0</v>
      </c>
      <c r="B8712" t="s">
        <v>2500</v>
      </c>
      <c r="C8712" t="s">
        <v>11382</v>
      </c>
      <c r="D8712" t="s">
        <v>16251</v>
      </c>
      <c r="E8712" t="s">
        <v>23908</v>
      </c>
      <c r="F8712" t="s">
        <v>28198</v>
      </c>
      <c r="G8712" t="s">
        <v>28205</v>
      </c>
      <c r="H8712" t="s">
        <v>28214</v>
      </c>
      <c r="I8712" t="s">
        <v>3797</v>
      </c>
      <c r="J8712" t="s">
        <v>33786</v>
      </c>
      <c r="K8712" t="s">
        <v>36694</v>
      </c>
      <c r="M8712" t="s">
        <v>39702</v>
      </c>
      <c r="N8712" t="s">
        <v>40436</v>
      </c>
      <c r="O8712" t="s">
        <v>40437</v>
      </c>
      <c r="P8712">
        <v>0</v>
      </c>
      <c r="Q8712">
        <v>9</v>
      </c>
      <c r="R8712" t="s">
        <v>40445</v>
      </c>
      <c r="S8712" t="s">
        <v>40730</v>
      </c>
      <c r="T8712" t="s">
        <v>42168</v>
      </c>
      <c r="U8712" t="s">
        <v>49933</v>
      </c>
      <c r="W8712" t="s">
        <v>39702</v>
      </c>
      <c r="X8712" t="s">
        <v>40446</v>
      </c>
    </row>
    <row r="8713" spans="1:24">
      <c r="A8713">
        <f>HYPERLINK("https://www.philgeps.gov.ph/GEPSNONPILOT/Tender/SplashBidNoticeAbstractUI.aspx?menuIndex=3&amp;refID=7038051&amp;Result=3","7038051")</f>
        <v>0</v>
      </c>
      <c r="B8713" t="s">
        <v>2523</v>
      </c>
      <c r="C8713" t="s">
        <v>11383</v>
      </c>
      <c r="D8713" t="s">
        <v>16210</v>
      </c>
      <c r="E8713" t="s">
        <v>23909</v>
      </c>
      <c r="F8713" t="s">
        <v>28198</v>
      </c>
      <c r="G8713" t="s">
        <v>28205</v>
      </c>
      <c r="H8713" t="s">
        <v>28215</v>
      </c>
      <c r="I8713" t="s">
        <v>4168</v>
      </c>
      <c r="J8713" t="s">
        <v>33787</v>
      </c>
      <c r="K8713" t="s">
        <v>36723</v>
      </c>
      <c r="M8713" t="s">
        <v>39726</v>
      </c>
      <c r="N8713" t="s">
        <v>40436</v>
      </c>
      <c r="O8713" t="s">
        <v>40437</v>
      </c>
      <c r="P8713">
        <v>0</v>
      </c>
      <c r="Q8713">
        <v>3</v>
      </c>
      <c r="R8713" t="s">
        <v>40445</v>
      </c>
      <c r="S8713" t="s">
        <v>40730</v>
      </c>
      <c r="T8713" t="s">
        <v>42233</v>
      </c>
      <c r="U8713" t="s">
        <v>49934</v>
      </c>
      <c r="W8713" t="s">
        <v>39726</v>
      </c>
      <c r="X8713" t="s">
        <v>40446</v>
      </c>
    </row>
    <row r="8714" spans="1:24">
      <c r="A8714">
        <f>HYPERLINK("https://www.philgeps.gov.ph/GEPSNONPILOT/Tender/SplashBidNoticeAbstractUI.aspx?menuIndex=3&amp;refID=7038075&amp;Result=3","7038075")</f>
        <v>0</v>
      </c>
      <c r="B8714" t="s">
        <v>1391</v>
      </c>
      <c r="C8714" t="s">
        <v>11384</v>
      </c>
      <c r="D8714" t="s">
        <v>16233</v>
      </c>
      <c r="E8714" t="s">
        <v>23910</v>
      </c>
      <c r="F8714" t="s">
        <v>28198</v>
      </c>
      <c r="G8714" t="s">
        <v>28205</v>
      </c>
      <c r="H8714" t="s">
        <v>28215</v>
      </c>
      <c r="I8714" t="s">
        <v>5100</v>
      </c>
      <c r="J8714" t="s">
        <v>33788</v>
      </c>
      <c r="K8714" t="s">
        <v>36707</v>
      </c>
      <c r="M8714" t="s">
        <v>38455</v>
      </c>
      <c r="N8714" t="s">
        <v>40436</v>
      </c>
      <c r="O8714" t="s">
        <v>40437</v>
      </c>
      <c r="P8714">
        <v>0</v>
      </c>
      <c r="Q8714">
        <v>0</v>
      </c>
      <c r="R8714" t="s">
        <v>40445</v>
      </c>
      <c r="S8714" t="s">
        <v>40730</v>
      </c>
      <c r="T8714" t="s">
        <v>42240</v>
      </c>
      <c r="U8714" t="s">
        <v>49935</v>
      </c>
      <c r="V8714" t="s">
        <v>54719</v>
      </c>
      <c r="W8714" t="s">
        <v>38455</v>
      </c>
      <c r="X8714" t="s">
        <v>40446</v>
      </c>
    </row>
    <row r="8715" spans="1:24">
      <c r="A8715">
        <f>HYPERLINK("https://www.philgeps.gov.ph/GEPSNONPILOT/Tender/SplashBidNoticeAbstractUI.aspx?menuIndex=3&amp;refID=7038070&amp;Result=3","7038070")</f>
        <v>0</v>
      </c>
      <c r="B8715" t="s">
        <v>1391</v>
      </c>
      <c r="C8715" t="s">
        <v>11385</v>
      </c>
      <c r="D8715" t="s">
        <v>16233</v>
      </c>
      <c r="E8715" t="s">
        <v>23911</v>
      </c>
      <c r="F8715" t="s">
        <v>28198</v>
      </c>
      <c r="G8715" t="s">
        <v>28205</v>
      </c>
      <c r="H8715" t="s">
        <v>28215</v>
      </c>
      <c r="I8715" t="s">
        <v>5082</v>
      </c>
      <c r="J8715" t="s">
        <v>33789</v>
      </c>
      <c r="K8715" t="s">
        <v>36707</v>
      </c>
      <c r="M8715" t="s">
        <v>38455</v>
      </c>
      <c r="N8715" t="s">
        <v>40436</v>
      </c>
      <c r="O8715" t="s">
        <v>40437</v>
      </c>
      <c r="P8715">
        <v>0</v>
      </c>
      <c r="Q8715">
        <v>1</v>
      </c>
      <c r="R8715" t="s">
        <v>40445</v>
      </c>
      <c r="S8715" t="s">
        <v>40730</v>
      </c>
      <c r="T8715" t="s">
        <v>42240</v>
      </c>
      <c r="U8715" t="s">
        <v>49936</v>
      </c>
      <c r="V8715" t="s">
        <v>54719</v>
      </c>
      <c r="W8715" t="s">
        <v>38455</v>
      </c>
      <c r="X8715" t="s">
        <v>40446</v>
      </c>
    </row>
    <row r="8716" spans="1:24">
      <c r="A8716">
        <f>HYPERLINK("https://www.philgeps.gov.ph/GEPSNONPILOT/Tender/SplashBidNoticeAbstractUI.aspx?menuIndex=3&amp;refID=7038066&amp;Result=3","7038066")</f>
        <v>0</v>
      </c>
      <c r="B8716" t="s">
        <v>1222</v>
      </c>
      <c r="C8716" t="s">
        <v>11386</v>
      </c>
      <c r="D8716" t="s">
        <v>16236</v>
      </c>
      <c r="E8716" t="s">
        <v>23912</v>
      </c>
      <c r="F8716" t="s">
        <v>28198</v>
      </c>
      <c r="G8716" t="s">
        <v>28205</v>
      </c>
      <c r="H8716" t="s">
        <v>28214</v>
      </c>
      <c r="I8716" t="s">
        <v>3797</v>
      </c>
      <c r="J8716" t="s">
        <v>28629</v>
      </c>
      <c r="K8716" t="s">
        <v>36709</v>
      </c>
      <c r="M8716" t="s">
        <v>38268</v>
      </c>
      <c r="N8716" t="s">
        <v>40436</v>
      </c>
      <c r="O8716" t="s">
        <v>40437</v>
      </c>
      <c r="P8716">
        <v>0</v>
      </c>
      <c r="Q8716">
        <v>0</v>
      </c>
      <c r="R8716" t="s">
        <v>40445</v>
      </c>
      <c r="S8716" t="s">
        <v>40730</v>
      </c>
      <c r="T8716" t="s">
        <v>42244</v>
      </c>
      <c r="U8716" t="s">
        <v>49937</v>
      </c>
      <c r="W8716" t="s">
        <v>38268</v>
      </c>
      <c r="X8716" t="s">
        <v>40446</v>
      </c>
    </row>
    <row r="8717" spans="1:24">
      <c r="A8717">
        <f>HYPERLINK("https://www.philgeps.gov.ph/GEPSNONPILOT/Tender/SplashBidNoticeAbstractUI.aspx?menuIndex=3&amp;refID=7038034&amp;Result=3","7038034")</f>
        <v>0</v>
      </c>
      <c r="B8717" t="s">
        <v>2524</v>
      </c>
      <c r="C8717" t="s">
        <v>11387</v>
      </c>
      <c r="D8717" t="s">
        <v>16220</v>
      </c>
      <c r="E8717" t="s">
        <v>16322</v>
      </c>
      <c r="F8717" t="s">
        <v>28198</v>
      </c>
      <c r="G8717" t="s">
        <v>28205</v>
      </c>
      <c r="H8717" t="s">
        <v>28214</v>
      </c>
      <c r="I8717" t="s">
        <v>3797</v>
      </c>
      <c r="J8717" t="s">
        <v>28378</v>
      </c>
      <c r="K8717" t="s">
        <v>36687</v>
      </c>
      <c r="M8717" t="s">
        <v>39727</v>
      </c>
      <c r="N8717" t="s">
        <v>40436</v>
      </c>
      <c r="O8717" t="s">
        <v>40437</v>
      </c>
      <c r="P8717">
        <v>0</v>
      </c>
      <c r="Q8717">
        <v>1</v>
      </c>
      <c r="R8717" t="s">
        <v>40445</v>
      </c>
      <c r="S8717" t="s">
        <v>40730</v>
      </c>
      <c r="T8717" t="s">
        <v>42297</v>
      </c>
      <c r="U8717" t="s">
        <v>49938</v>
      </c>
      <c r="W8717" t="s">
        <v>39727</v>
      </c>
      <c r="X8717" t="s">
        <v>40446</v>
      </c>
    </row>
    <row r="8718" spans="1:24">
      <c r="A8718">
        <f>HYPERLINK("https://www.philgeps.gov.ph/GEPSNONPILOT/Tender/SplashBidNoticeAbstractUI.aspx?menuIndex=3&amp;refID=7038063&amp;Result=3","7038063")</f>
        <v>0</v>
      </c>
      <c r="B8718" t="s">
        <v>1391</v>
      </c>
      <c r="C8718" t="s">
        <v>11388</v>
      </c>
      <c r="D8718" t="s">
        <v>16233</v>
      </c>
      <c r="E8718" t="s">
        <v>23913</v>
      </c>
      <c r="F8718" t="s">
        <v>28198</v>
      </c>
      <c r="G8718" t="s">
        <v>28205</v>
      </c>
      <c r="H8718" t="s">
        <v>28215</v>
      </c>
      <c r="I8718" t="s">
        <v>4200</v>
      </c>
      <c r="J8718" t="s">
        <v>33790</v>
      </c>
      <c r="K8718" t="s">
        <v>36707</v>
      </c>
      <c r="M8718" t="s">
        <v>38455</v>
      </c>
      <c r="N8718" t="s">
        <v>40436</v>
      </c>
      <c r="O8718" t="s">
        <v>40437</v>
      </c>
      <c r="P8718">
        <v>0</v>
      </c>
      <c r="Q8718">
        <v>0</v>
      </c>
      <c r="R8718" t="s">
        <v>40445</v>
      </c>
      <c r="S8718" t="s">
        <v>40730</v>
      </c>
      <c r="T8718" t="s">
        <v>42240</v>
      </c>
      <c r="U8718" t="s">
        <v>49939</v>
      </c>
      <c r="V8718" t="s">
        <v>54719</v>
      </c>
      <c r="W8718" t="s">
        <v>38455</v>
      </c>
      <c r="X8718" t="s">
        <v>40446</v>
      </c>
    </row>
    <row r="8719" spans="1:24">
      <c r="A8719">
        <f>HYPERLINK("https://www.philgeps.gov.ph/GEPSNONPILOT/Tender/SplashBidNoticeAbstractUI.aspx?menuIndex=3&amp;refID=7038074&amp;Result=3","7038074")</f>
        <v>0</v>
      </c>
      <c r="B8719" t="s">
        <v>1222</v>
      </c>
      <c r="C8719" t="s">
        <v>11389</v>
      </c>
      <c r="D8719" t="s">
        <v>16236</v>
      </c>
      <c r="E8719" t="s">
        <v>23914</v>
      </c>
      <c r="F8719" t="s">
        <v>28198</v>
      </c>
      <c r="G8719" t="s">
        <v>28205</v>
      </c>
      <c r="H8719" t="s">
        <v>28214</v>
      </c>
      <c r="I8719" t="s">
        <v>3797</v>
      </c>
      <c r="J8719" t="s">
        <v>28398</v>
      </c>
      <c r="K8719" t="s">
        <v>36709</v>
      </c>
      <c r="M8719" t="s">
        <v>38268</v>
      </c>
      <c r="N8719" t="s">
        <v>40436</v>
      </c>
      <c r="O8719" t="s">
        <v>40437</v>
      </c>
      <c r="P8719">
        <v>0</v>
      </c>
      <c r="Q8719">
        <v>0</v>
      </c>
      <c r="R8719" t="s">
        <v>40445</v>
      </c>
      <c r="S8719" t="s">
        <v>40730</v>
      </c>
      <c r="T8719" t="s">
        <v>42244</v>
      </c>
      <c r="U8719" t="s">
        <v>49940</v>
      </c>
      <c r="W8719" t="s">
        <v>38268</v>
      </c>
      <c r="X8719" t="s">
        <v>40446</v>
      </c>
    </row>
    <row r="8720" spans="1:24">
      <c r="A8720">
        <f>HYPERLINK("https://www.philgeps.gov.ph/GEPSNONPILOT/Tender/SplashBidNoticeAbstractUI.aspx?menuIndex=3&amp;refID=7038033&amp;Result=3","7038033")</f>
        <v>0</v>
      </c>
      <c r="B8720" t="s">
        <v>2500</v>
      </c>
      <c r="C8720" t="s">
        <v>11390</v>
      </c>
      <c r="D8720" t="s">
        <v>16251</v>
      </c>
      <c r="E8720" t="s">
        <v>23915</v>
      </c>
      <c r="F8720" t="s">
        <v>28198</v>
      </c>
      <c r="G8720" t="s">
        <v>28205</v>
      </c>
      <c r="H8720" t="s">
        <v>28214</v>
      </c>
      <c r="I8720" t="s">
        <v>3797</v>
      </c>
      <c r="J8720" t="s">
        <v>33791</v>
      </c>
      <c r="K8720" t="s">
        <v>36697</v>
      </c>
      <c r="M8720" t="s">
        <v>39702</v>
      </c>
      <c r="N8720" t="s">
        <v>40436</v>
      </c>
      <c r="O8720" t="s">
        <v>40437</v>
      </c>
      <c r="P8720">
        <v>0</v>
      </c>
      <c r="Q8720">
        <v>7</v>
      </c>
      <c r="R8720" t="s">
        <v>40445</v>
      </c>
      <c r="S8720" t="s">
        <v>40730</v>
      </c>
      <c r="T8720" t="s">
        <v>42168</v>
      </c>
      <c r="U8720" t="s">
        <v>49941</v>
      </c>
      <c r="W8720" t="s">
        <v>39702</v>
      </c>
      <c r="X8720" t="s">
        <v>40446</v>
      </c>
    </row>
    <row r="8721" spans="1:24">
      <c r="A8721">
        <f>HYPERLINK("https://www.philgeps.gov.ph/GEPSNONPILOT/Tender/SplashBidNoticeAbstractUI.aspx?menuIndex=3&amp;refID=7038055&amp;Result=3","7038055")</f>
        <v>0</v>
      </c>
      <c r="B8721" t="s">
        <v>1222</v>
      </c>
      <c r="C8721" t="s">
        <v>11391</v>
      </c>
      <c r="D8721" t="s">
        <v>16236</v>
      </c>
      <c r="E8721" t="s">
        <v>23916</v>
      </c>
      <c r="F8721" t="s">
        <v>28198</v>
      </c>
      <c r="G8721" t="s">
        <v>28205</v>
      </c>
      <c r="H8721" t="s">
        <v>28214</v>
      </c>
      <c r="I8721" t="s">
        <v>3797</v>
      </c>
      <c r="J8721" t="s">
        <v>33792</v>
      </c>
      <c r="K8721" t="s">
        <v>36777</v>
      </c>
      <c r="M8721" t="s">
        <v>38268</v>
      </c>
      <c r="N8721" t="s">
        <v>40436</v>
      </c>
      <c r="O8721" t="s">
        <v>40437</v>
      </c>
      <c r="P8721">
        <v>0</v>
      </c>
      <c r="Q8721">
        <v>0</v>
      </c>
      <c r="R8721" t="s">
        <v>40445</v>
      </c>
      <c r="S8721" t="s">
        <v>40730</v>
      </c>
      <c r="T8721" t="s">
        <v>42279</v>
      </c>
      <c r="U8721" t="s">
        <v>49942</v>
      </c>
      <c r="W8721" t="s">
        <v>38268</v>
      </c>
      <c r="X8721" t="s">
        <v>40446</v>
      </c>
    </row>
    <row r="8722" spans="1:24">
      <c r="A8722">
        <f>HYPERLINK("https://www.philgeps.gov.ph/GEPSNONPILOT/Tender/SplashBidNoticeAbstractUI.aspx?menuIndex=3&amp;refID=7038056&amp;Result=3","7038056")</f>
        <v>0</v>
      </c>
      <c r="B8722" t="s">
        <v>2525</v>
      </c>
      <c r="C8722" t="s">
        <v>11392</v>
      </c>
      <c r="D8722" t="s">
        <v>16187</v>
      </c>
      <c r="E8722" t="s">
        <v>16766</v>
      </c>
      <c r="F8722" t="s">
        <v>28198</v>
      </c>
      <c r="G8722" t="s">
        <v>28205</v>
      </c>
      <c r="H8722" t="s">
        <v>28215</v>
      </c>
      <c r="I8722" t="s">
        <v>5100</v>
      </c>
      <c r="J8722" t="s">
        <v>33793</v>
      </c>
      <c r="K8722" t="s">
        <v>36707</v>
      </c>
      <c r="M8722" t="s">
        <v>39728</v>
      </c>
      <c r="N8722" t="s">
        <v>40436</v>
      </c>
      <c r="O8722" t="s">
        <v>40437</v>
      </c>
      <c r="P8722">
        <v>0</v>
      </c>
      <c r="Q8722">
        <v>0</v>
      </c>
      <c r="R8722" t="s">
        <v>40445</v>
      </c>
      <c r="S8722" t="s">
        <v>40730</v>
      </c>
      <c r="T8722" t="s">
        <v>42103</v>
      </c>
      <c r="U8722" t="s">
        <v>49943</v>
      </c>
      <c r="W8722" t="s">
        <v>39728</v>
      </c>
      <c r="X8722" t="s">
        <v>40446</v>
      </c>
    </row>
    <row r="8723" spans="1:24">
      <c r="A8723">
        <f>HYPERLINK("https://www.philgeps.gov.ph/GEPSNONPILOT/Tender/SplashBidNoticeAbstractUI.aspx?menuIndex=3&amp;refID=7038080&amp;Result=3","7038080")</f>
        <v>0</v>
      </c>
      <c r="B8723" t="s">
        <v>1391</v>
      </c>
      <c r="C8723" t="s">
        <v>11393</v>
      </c>
      <c r="D8723" t="s">
        <v>16233</v>
      </c>
      <c r="E8723" t="s">
        <v>23917</v>
      </c>
      <c r="F8723" t="s">
        <v>28198</v>
      </c>
      <c r="G8723" t="s">
        <v>28205</v>
      </c>
      <c r="H8723" t="s">
        <v>28215</v>
      </c>
      <c r="I8723" t="s">
        <v>5100</v>
      </c>
      <c r="J8723" t="s">
        <v>33794</v>
      </c>
      <c r="K8723" t="s">
        <v>36707</v>
      </c>
      <c r="M8723" t="s">
        <v>38455</v>
      </c>
      <c r="N8723" t="s">
        <v>40436</v>
      </c>
      <c r="O8723" t="s">
        <v>40437</v>
      </c>
      <c r="P8723">
        <v>0</v>
      </c>
      <c r="Q8723">
        <v>0</v>
      </c>
      <c r="R8723" t="s">
        <v>40445</v>
      </c>
      <c r="S8723" t="s">
        <v>40730</v>
      </c>
      <c r="T8723" t="s">
        <v>42240</v>
      </c>
      <c r="U8723" t="s">
        <v>49944</v>
      </c>
      <c r="V8723" t="s">
        <v>54719</v>
      </c>
      <c r="W8723" t="s">
        <v>38455</v>
      </c>
      <c r="X8723" t="s">
        <v>40446</v>
      </c>
    </row>
    <row r="8724" spans="1:24">
      <c r="A8724">
        <f>HYPERLINK("https://www.philgeps.gov.ph/GEPSNONPILOT/Tender/SplashBidNoticeAbstractUI.aspx?menuIndex=3&amp;refID=7038053&amp;Result=3","7038053")</f>
        <v>0</v>
      </c>
      <c r="B8724" t="s">
        <v>2525</v>
      </c>
      <c r="C8724" t="s">
        <v>11394</v>
      </c>
      <c r="D8724" t="s">
        <v>16187</v>
      </c>
      <c r="E8724" t="s">
        <v>16473</v>
      </c>
      <c r="F8724" t="s">
        <v>28198</v>
      </c>
      <c r="G8724" t="s">
        <v>28205</v>
      </c>
      <c r="H8724" t="s">
        <v>28215</v>
      </c>
      <c r="I8724" t="s">
        <v>5100</v>
      </c>
      <c r="J8724" t="s">
        <v>33795</v>
      </c>
      <c r="K8724" t="s">
        <v>36706</v>
      </c>
      <c r="M8724" t="s">
        <v>39728</v>
      </c>
      <c r="N8724" t="s">
        <v>40436</v>
      </c>
      <c r="O8724" t="s">
        <v>40437</v>
      </c>
      <c r="P8724">
        <v>0</v>
      </c>
      <c r="Q8724">
        <v>1</v>
      </c>
      <c r="R8724" t="s">
        <v>40445</v>
      </c>
      <c r="S8724" t="s">
        <v>40730</v>
      </c>
      <c r="T8724" t="s">
        <v>42103</v>
      </c>
      <c r="U8724" t="s">
        <v>49945</v>
      </c>
      <c r="W8724" t="s">
        <v>39728</v>
      </c>
      <c r="X8724" t="s">
        <v>40446</v>
      </c>
    </row>
    <row r="8725" spans="1:24">
      <c r="A8725">
        <f>HYPERLINK("https://www.philgeps.gov.ph/GEPSNONPILOT/Tender/SplashBidNoticeAbstractUI.aspx?menuIndex=3&amp;refID=7038083&amp;Result=3","7038083")</f>
        <v>0</v>
      </c>
      <c r="B8725" t="s">
        <v>1391</v>
      </c>
      <c r="C8725" t="s">
        <v>11395</v>
      </c>
      <c r="D8725" t="s">
        <v>16233</v>
      </c>
      <c r="E8725" t="s">
        <v>23918</v>
      </c>
      <c r="F8725" t="s">
        <v>28198</v>
      </c>
      <c r="G8725" t="s">
        <v>28205</v>
      </c>
      <c r="H8725" t="s">
        <v>28215</v>
      </c>
      <c r="I8725" t="s">
        <v>5100</v>
      </c>
      <c r="J8725" t="s">
        <v>33794</v>
      </c>
      <c r="K8725" t="s">
        <v>36707</v>
      </c>
      <c r="M8725" t="s">
        <v>38455</v>
      </c>
      <c r="N8725" t="s">
        <v>40436</v>
      </c>
      <c r="O8725" t="s">
        <v>40437</v>
      </c>
      <c r="P8725">
        <v>0</v>
      </c>
      <c r="Q8725">
        <v>0</v>
      </c>
      <c r="R8725" t="s">
        <v>40445</v>
      </c>
      <c r="S8725" t="s">
        <v>40730</v>
      </c>
      <c r="T8725" t="s">
        <v>42240</v>
      </c>
      <c r="U8725" t="s">
        <v>49946</v>
      </c>
      <c r="V8725" t="s">
        <v>54719</v>
      </c>
      <c r="W8725" t="s">
        <v>38455</v>
      </c>
      <c r="X8725" t="s">
        <v>40446</v>
      </c>
    </row>
    <row r="8726" spans="1:24">
      <c r="A8726">
        <f>HYPERLINK("https://www.philgeps.gov.ph/GEPSNONPILOT/Tender/SplashBidNoticeAbstractUI.aspx?menuIndex=3&amp;refID=7038078&amp;Result=3","7038078")</f>
        <v>0</v>
      </c>
      <c r="B8726" t="s">
        <v>1391</v>
      </c>
      <c r="C8726" t="s">
        <v>11396</v>
      </c>
      <c r="D8726" t="s">
        <v>16233</v>
      </c>
      <c r="E8726" t="s">
        <v>23919</v>
      </c>
      <c r="F8726" t="s">
        <v>28198</v>
      </c>
      <c r="G8726" t="s">
        <v>28205</v>
      </c>
      <c r="H8726" t="s">
        <v>28215</v>
      </c>
      <c r="I8726" t="s">
        <v>5100</v>
      </c>
      <c r="J8726" t="s">
        <v>33788</v>
      </c>
      <c r="K8726" t="s">
        <v>36707</v>
      </c>
      <c r="M8726" t="s">
        <v>38455</v>
      </c>
      <c r="N8726" t="s">
        <v>40436</v>
      </c>
      <c r="O8726" t="s">
        <v>40437</v>
      </c>
      <c r="P8726">
        <v>0</v>
      </c>
      <c r="Q8726">
        <v>0</v>
      </c>
      <c r="R8726" t="s">
        <v>40445</v>
      </c>
      <c r="S8726" t="s">
        <v>40730</v>
      </c>
      <c r="T8726" t="s">
        <v>42240</v>
      </c>
      <c r="U8726" t="s">
        <v>49947</v>
      </c>
      <c r="V8726" t="s">
        <v>54720</v>
      </c>
      <c r="W8726" t="s">
        <v>38455</v>
      </c>
      <c r="X8726" t="s">
        <v>40446</v>
      </c>
    </row>
    <row r="8727" spans="1:24">
      <c r="A8727">
        <f>HYPERLINK("https://www.philgeps.gov.ph/GEPSNONPILOT/Tender/SplashBidNoticeAbstractUI.aspx?menuIndex=3&amp;refID=7038027&amp;Result=3","7038027")</f>
        <v>0</v>
      </c>
      <c r="B8727" t="s">
        <v>2500</v>
      </c>
      <c r="C8727" t="s">
        <v>11397</v>
      </c>
      <c r="D8727" t="s">
        <v>16251</v>
      </c>
      <c r="E8727" t="s">
        <v>23920</v>
      </c>
      <c r="F8727" t="s">
        <v>28198</v>
      </c>
      <c r="G8727" t="s">
        <v>28205</v>
      </c>
      <c r="H8727" t="s">
        <v>28214</v>
      </c>
      <c r="I8727" t="s">
        <v>3797</v>
      </c>
      <c r="J8727" t="s">
        <v>33796</v>
      </c>
      <c r="K8727" t="s">
        <v>36715</v>
      </c>
      <c r="M8727" t="s">
        <v>39702</v>
      </c>
      <c r="N8727" t="s">
        <v>40436</v>
      </c>
      <c r="O8727" t="s">
        <v>40437</v>
      </c>
      <c r="P8727">
        <v>0</v>
      </c>
      <c r="Q8727">
        <v>7</v>
      </c>
      <c r="R8727" t="s">
        <v>40445</v>
      </c>
      <c r="S8727" t="s">
        <v>40730</v>
      </c>
      <c r="T8727" t="s">
        <v>42168</v>
      </c>
      <c r="U8727" t="s">
        <v>49948</v>
      </c>
      <c r="W8727" t="s">
        <v>39702</v>
      </c>
      <c r="X8727" t="s">
        <v>40446</v>
      </c>
    </row>
    <row r="8728" spans="1:24">
      <c r="A8728">
        <f>HYPERLINK("https://www.philgeps.gov.ph/GEPSNONPILOT/Tender/SplashBidNoticeAbstractUI.aspx?menuIndex=3&amp;refID=7038108&amp;Result=3","7038108")</f>
        <v>0</v>
      </c>
      <c r="B8728" t="s">
        <v>2526</v>
      </c>
      <c r="C8728" t="s">
        <v>11398</v>
      </c>
      <c r="D8728" t="s">
        <v>16264</v>
      </c>
      <c r="E8728" t="s">
        <v>23921</v>
      </c>
      <c r="F8728" t="s">
        <v>28200</v>
      </c>
      <c r="G8728" t="s">
        <v>28205</v>
      </c>
      <c r="H8728" t="s">
        <v>28215</v>
      </c>
      <c r="I8728" t="s">
        <v>5100</v>
      </c>
      <c r="J8728" t="s">
        <v>33797</v>
      </c>
      <c r="K8728" t="s">
        <v>36706</v>
      </c>
      <c r="M8728" t="s">
        <v>39729</v>
      </c>
      <c r="N8728" t="s">
        <v>40436</v>
      </c>
      <c r="O8728" t="s">
        <v>40437</v>
      </c>
      <c r="P8728">
        <v>0</v>
      </c>
      <c r="Q8728">
        <v>0</v>
      </c>
      <c r="R8728" t="s">
        <v>40445</v>
      </c>
      <c r="S8728" t="s">
        <v>40730</v>
      </c>
      <c r="T8728" t="s">
        <v>42234</v>
      </c>
      <c r="U8728" t="s">
        <v>49949</v>
      </c>
      <c r="W8728" t="s">
        <v>39729</v>
      </c>
      <c r="X8728" t="s">
        <v>40446</v>
      </c>
    </row>
    <row r="8729" spans="1:24">
      <c r="A8729">
        <f>HYPERLINK("https://www.philgeps.gov.ph/GEPSNONPILOT/Tender/SplashBidNoticeAbstractUI.aspx?menuIndex=3&amp;refID=7038082&amp;Result=3","7038082")</f>
        <v>0</v>
      </c>
      <c r="B8729" t="s">
        <v>1391</v>
      </c>
      <c r="C8729" t="s">
        <v>11399</v>
      </c>
      <c r="D8729" t="s">
        <v>16233</v>
      </c>
      <c r="E8729" t="s">
        <v>23922</v>
      </c>
      <c r="F8729" t="s">
        <v>28198</v>
      </c>
      <c r="G8729" t="s">
        <v>28205</v>
      </c>
      <c r="H8729" t="s">
        <v>28215</v>
      </c>
      <c r="I8729" t="s">
        <v>5100</v>
      </c>
      <c r="J8729" t="s">
        <v>33798</v>
      </c>
      <c r="K8729" t="s">
        <v>36707</v>
      </c>
      <c r="M8729" t="s">
        <v>38455</v>
      </c>
      <c r="N8729" t="s">
        <v>40436</v>
      </c>
      <c r="O8729" t="s">
        <v>40437</v>
      </c>
      <c r="P8729">
        <v>0</v>
      </c>
      <c r="Q8729">
        <v>0</v>
      </c>
      <c r="R8729" t="s">
        <v>40445</v>
      </c>
      <c r="S8729" t="s">
        <v>40730</v>
      </c>
      <c r="T8729" t="s">
        <v>42240</v>
      </c>
      <c r="U8729" t="s">
        <v>49950</v>
      </c>
      <c r="V8729" t="s">
        <v>54719</v>
      </c>
      <c r="W8729" t="s">
        <v>38455</v>
      </c>
      <c r="X8729" t="s">
        <v>40446</v>
      </c>
    </row>
    <row r="8730" spans="1:24">
      <c r="A8730">
        <f>HYPERLINK("https://www.philgeps.gov.ph/GEPSNONPILOT/Tender/SplashBidNoticeAbstractUI.aspx?menuIndex=3&amp;refID=7038077&amp;Result=3","7038077")</f>
        <v>0</v>
      </c>
      <c r="B8730" t="s">
        <v>2527</v>
      </c>
      <c r="C8730" t="s">
        <v>11400</v>
      </c>
      <c r="D8730" t="s">
        <v>16198</v>
      </c>
      <c r="E8730" t="s">
        <v>23923</v>
      </c>
      <c r="F8730" t="s">
        <v>28198</v>
      </c>
      <c r="G8730" t="s">
        <v>28208</v>
      </c>
      <c r="H8730" t="s">
        <v>28214</v>
      </c>
      <c r="I8730" t="s">
        <v>3797</v>
      </c>
      <c r="J8730" t="s">
        <v>33799</v>
      </c>
      <c r="K8730" t="s">
        <v>36697</v>
      </c>
      <c r="M8730" t="s">
        <v>39730</v>
      </c>
      <c r="N8730" t="s">
        <v>40436</v>
      </c>
      <c r="O8730" t="s">
        <v>40437</v>
      </c>
      <c r="P8730">
        <v>0</v>
      </c>
      <c r="Q8730">
        <v>2</v>
      </c>
      <c r="R8730" t="s">
        <v>40445</v>
      </c>
      <c r="S8730" t="s">
        <v>40730</v>
      </c>
      <c r="T8730" t="s">
        <v>42471</v>
      </c>
      <c r="U8730" t="s">
        <v>49951</v>
      </c>
      <c r="W8730" t="s">
        <v>39730</v>
      </c>
      <c r="X8730" t="s">
        <v>40446</v>
      </c>
    </row>
    <row r="8731" spans="1:24">
      <c r="A8731">
        <f>HYPERLINK("https://www.philgeps.gov.ph/GEPSNONPILOT/Tender/SplashBidNoticeAbstractUI.aspx?menuIndex=3&amp;refID=7038103&amp;Result=3","7038103")</f>
        <v>0</v>
      </c>
      <c r="B8731" t="s">
        <v>1391</v>
      </c>
      <c r="C8731" t="s">
        <v>11401</v>
      </c>
      <c r="D8731" t="s">
        <v>16233</v>
      </c>
      <c r="E8731" t="s">
        <v>23924</v>
      </c>
      <c r="F8731" t="s">
        <v>28198</v>
      </c>
      <c r="G8731" t="s">
        <v>28205</v>
      </c>
      <c r="H8731" t="s">
        <v>28215</v>
      </c>
      <c r="I8731" t="s">
        <v>5100</v>
      </c>
      <c r="J8731" t="s">
        <v>33788</v>
      </c>
      <c r="K8731" t="s">
        <v>36707</v>
      </c>
      <c r="M8731" t="s">
        <v>38455</v>
      </c>
      <c r="N8731" t="s">
        <v>40436</v>
      </c>
      <c r="O8731" t="s">
        <v>40437</v>
      </c>
      <c r="P8731">
        <v>0</v>
      </c>
      <c r="Q8731">
        <v>0</v>
      </c>
      <c r="R8731" t="s">
        <v>40445</v>
      </c>
      <c r="S8731" t="s">
        <v>40730</v>
      </c>
      <c r="T8731" t="s">
        <v>42140</v>
      </c>
      <c r="U8731" t="s">
        <v>49952</v>
      </c>
      <c r="V8731" t="s">
        <v>54719</v>
      </c>
      <c r="W8731" t="s">
        <v>38455</v>
      </c>
      <c r="X8731" t="s">
        <v>40446</v>
      </c>
    </row>
    <row r="8732" spans="1:24">
      <c r="A8732">
        <f>HYPERLINK("https://www.philgeps.gov.ph/GEPSNONPILOT/Tender/SplashBidNoticeAbstractUI.aspx?menuIndex=3&amp;refID=7038101&amp;Result=3","7038101")</f>
        <v>0</v>
      </c>
      <c r="B8732" t="s">
        <v>1391</v>
      </c>
      <c r="C8732" t="s">
        <v>11402</v>
      </c>
      <c r="D8732" t="s">
        <v>16233</v>
      </c>
      <c r="E8732" t="s">
        <v>23925</v>
      </c>
      <c r="F8732" t="s">
        <v>28198</v>
      </c>
      <c r="G8732" t="s">
        <v>28205</v>
      </c>
      <c r="H8732" t="s">
        <v>28215</v>
      </c>
      <c r="I8732" t="s">
        <v>5100</v>
      </c>
      <c r="J8732" t="s">
        <v>33794</v>
      </c>
      <c r="K8732" t="s">
        <v>36707</v>
      </c>
      <c r="M8732" t="s">
        <v>38455</v>
      </c>
      <c r="N8732" t="s">
        <v>40436</v>
      </c>
      <c r="O8732" t="s">
        <v>40437</v>
      </c>
      <c r="P8732">
        <v>0</v>
      </c>
      <c r="Q8732">
        <v>0</v>
      </c>
      <c r="R8732" t="s">
        <v>40445</v>
      </c>
      <c r="S8732" t="s">
        <v>40730</v>
      </c>
      <c r="T8732" t="s">
        <v>42140</v>
      </c>
      <c r="U8732" t="s">
        <v>49953</v>
      </c>
      <c r="V8732" t="s">
        <v>54719</v>
      </c>
      <c r="W8732" t="s">
        <v>38455</v>
      </c>
      <c r="X8732" t="s">
        <v>40446</v>
      </c>
    </row>
    <row r="8733" spans="1:24">
      <c r="A8733">
        <f>HYPERLINK("https://www.philgeps.gov.ph/GEPSNONPILOT/Tender/SplashBidNoticeAbstractUI.aspx?menuIndex=3&amp;refID=7038086&amp;Result=3","7038086")</f>
        <v>0</v>
      </c>
      <c r="B8733" t="s">
        <v>2527</v>
      </c>
      <c r="C8733" t="s">
        <v>11403</v>
      </c>
      <c r="D8733" t="s">
        <v>16198</v>
      </c>
      <c r="E8733" t="s">
        <v>23926</v>
      </c>
      <c r="F8733" t="s">
        <v>28198</v>
      </c>
      <c r="G8733" t="s">
        <v>28208</v>
      </c>
      <c r="H8733" t="s">
        <v>28214</v>
      </c>
      <c r="I8733" t="s">
        <v>3797</v>
      </c>
      <c r="J8733" t="s">
        <v>33800</v>
      </c>
      <c r="K8733" t="s">
        <v>36697</v>
      </c>
      <c r="M8733" t="s">
        <v>39730</v>
      </c>
      <c r="N8733" t="s">
        <v>40436</v>
      </c>
      <c r="O8733" t="s">
        <v>40437</v>
      </c>
      <c r="P8733">
        <v>0</v>
      </c>
      <c r="Q8733">
        <v>2</v>
      </c>
      <c r="R8733" t="s">
        <v>40445</v>
      </c>
      <c r="S8733" t="s">
        <v>40730</v>
      </c>
      <c r="T8733" t="s">
        <v>42499</v>
      </c>
      <c r="U8733" t="s">
        <v>49954</v>
      </c>
      <c r="W8733" t="s">
        <v>39730</v>
      </c>
      <c r="X8733" t="s">
        <v>40446</v>
      </c>
    </row>
    <row r="8734" spans="1:24">
      <c r="A8734">
        <f>HYPERLINK("https://www.philgeps.gov.ph/GEPSNONPILOT/Tender/SplashBidNoticeAbstractUI.aspx?menuIndex=3&amp;refID=7038099&amp;Result=3","7038099")</f>
        <v>0</v>
      </c>
      <c r="B8734" t="s">
        <v>1222</v>
      </c>
      <c r="C8734" t="s">
        <v>11404</v>
      </c>
      <c r="D8734" t="s">
        <v>16236</v>
      </c>
      <c r="E8734" t="s">
        <v>23927</v>
      </c>
      <c r="F8734" t="s">
        <v>28198</v>
      </c>
      <c r="G8734" t="s">
        <v>28205</v>
      </c>
      <c r="H8734" t="s">
        <v>28214</v>
      </c>
      <c r="I8734" t="s">
        <v>3797</v>
      </c>
      <c r="J8734" t="s">
        <v>33801</v>
      </c>
      <c r="K8734" t="s">
        <v>36777</v>
      </c>
      <c r="M8734" t="s">
        <v>38268</v>
      </c>
      <c r="N8734" t="s">
        <v>40436</v>
      </c>
      <c r="O8734" t="s">
        <v>40437</v>
      </c>
      <c r="P8734">
        <v>0</v>
      </c>
      <c r="Q8734">
        <v>0</v>
      </c>
      <c r="R8734" t="s">
        <v>40445</v>
      </c>
      <c r="S8734" t="s">
        <v>40730</v>
      </c>
      <c r="T8734" t="s">
        <v>42279</v>
      </c>
      <c r="U8734" t="s">
        <v>49955</v>
      </c>
      <c r="W8734" t="s">
        <v>38268</v>
      </c>
      <c r="X8734" t="s">
        <v>40446</v>
      </c>
    </row>
    <row r="8735" spans="1:24">
      <c r="A8735">
        <f>HYPERLINK("https://www.philgeps.gov.ph/GEPSNONPILOT/Tender/SplashBidNoticeAbstractUI.aspx?menuIndex=3&amp;refID=7038097&amp;Result=3","7038097")</f>
        <v>0</v>
      </c>
      <c r="B8735" t="s">
        <v>1391</v>
      </c>
      <c r="C8735" t="s">
        <v>11405</v>
      </c>
      <c r="D8735" t="s">
        <v>16233</v>
      </c>
      <c r="E8735" t="s">
        <v>23928</v>
      </c>
      <c r="F8735" t="s">
        <v>28198</v>
      </c>
      <c r="G8735" t="s">
        <v>28205</v>
      </c>
      <c r="H8735" t="s">
        <v>28215</v>
      </c>
      <c r="I8735" t="s">
        <v>5100</v>
      </c>
      <c r="J8735" t="s">
        <v>33794</v>
      </c>
      <c r="K8735" t="s">
        <v>36707</v>
      </c>
      <c r="M8735" t="s">
        <v>38455</v>
      </c>
      <c r="N8735" t="s">
        <v>40436</v>
      </c>
      <c r="O8735" t="s">
        <v>40437</v>
      </c>
      <c r="P8735">
        <v>0</v>
      </c>
      <c r="Q8735">
        <v>0</v>
      </c>
      <c r="R8735" t="s">
        <v>40445</v>
      </c>
      <c r="S8735" t="s">
        <v>40730</v>
      </c>
      <c r="T8735" t="s">
        <v>42140</v>
      </c>
      <c r="U8735" t="s">
        <v>49956</v>
      </c>
      <c r="V8735" t="s">
        <v>54719</v>
      </c>
      <c r="W8735" t="s">
        <v>38455</v>
      </c>
      <c r="X8735" t="s">
        <v>40446</v>
      </c>
    </row>
    <row r="8736" spans="1:24">
      <c r="A8736">
        <f>HYPERLINK("https://www.philgeps.gov.ph/GEPSNONPILOT/Tender/SplashBidNoticeAbstractUI.aspx?menuIndex=3&amp;refID=7038095&amp;Result=3","7038095")</f>
        <v>0</v>
      </c>
      <c r="B8736" t="s">
        <v>1391</v>
      </c>
      <c r="C8736" t="s">
        <v>11406</v>
      </c>
      <c r="D8736" t="s">
        <v>16233</v>
      </c>
      <c r="E8736" t="s">
        <v>23929</v>
      </c>
      <c r="F8736" t="s">
        <v>28198</v>
      </c>
      <c r="G8736" t="s">
        <v>28205</v>
      </c>
      <c r="H8736" t="s">
        <v>28215</v>
      </c>
      <c r="I8736" t="s">
        <v>5100</v>
      </c>
      <c r="J8736" t="s">
        <v>33788</v>
      </c>
      <c r="K8736" t="s">
        <v>36707</v>
      </c>
      <c r="M8736" t="s">
        <v>38455</v>
      </c>
      <c r="N8736" t="s">
        <v>40436</v>
      </c>
      <c r="O8736" t="s">
        <v>40437</v>
      </c>
      <c r="P8736">
        <v>0</v>
      </c>
      <c r="Q8736">
        <v>0</v>
      </c>
      <c r="R8736" t="s">
        <v>40445</v>
      </c>
      <c r="S8736" t="s">
        <v>40730</v>
      </c>
      <c r="T8736" t="s">
        <v>42140</v>
      </c>
      <c r="U8736" t="s">
        <v>49957</v>
      </c>
      <c r="V8736" t="s">
        <v>54719</v>
      </c>
      <c r="W8736" t="s">
        <v>38455</v>
      </c>
      <c r="X8736" t="s">
        <v>40446</v>
      </c>
    </row>
    <row r="8737" spans="1:24">
      <c r="A8737">
        <f>HYPERLINK("https://www.philgeps.gov.ph/GEPSNONPILOT/Tender/SplashBidNoticeAbstractUI.aspx?menuIndex=3&amp;refID=7038113&amp;Result=3","7038113")</f>
        <v>0</v>
      </c>
      <c r="B8737" t="s">
        <v>2296</v>
      </c>
      <c r="C8737" t="s">
        <v>11407</v>
      </c>
      <c r="D8737" t="s">
        <v>16234</v>
      </c>
      <c r="E8737" t="s">
        <v>18563</v>
      </c>
      <c r="F8737" t="s">
        <v>28198</v>
      </c>
      <c r="G8737" t="s">
        <v>28205</v>
      </c>
      <c r="H8737" t="s">
        <v>28215</v>
      </c>
      <c r="I8737" t="s">
        <v>5100</v>
      </c>
      <c r="J8737" t="s">
        <v>33802</v>
      </c>
      <c r="K8737" t="s">
        <v>36707</v>
      </c>
      <c r="M8737" t="s">
        <v>39471</v>
      </c>
      <c r="N8737" t="s">
        <v>40436</v>
      </c>
      <c r="O8737" t="s">
        <v>40437</v>
      </c>
      <c r="P8737">
        <v>0</v>
      </c>
      <c r="Q8737">
        <v>3</v>
      </c>
      <c r="R8737" t="s">
        <v>40445</v>
      </c>
      <c r="S8737" t="s">
        <v>40730</v>
      </c>
      <c r="T8737" t="s">
        <v>42278</v>
      </c>
      <c r="U8737" t="s">
        <v>49958</v>
      </c>
      <c r="V8737" t="s">
        <v>54565</v>
      </c>
      <c r="W8737" t="s">
        <v>39471</v>
      </c>
      <c r="X8737" t="s">
        <v>40446</v>
      </c>
    </row>
    <row r="8738" spans="1:24">
      <c r="A8738">
        <f>HYPERLINK("https://www.philgeps.gov.ph/GEPSNONPILOT/Tender/SplashBidNoticeAbstractUI.aspx?menuIndex=3&amp;refID=7038102&amp;Result=3","7038102")</f>
        <v>0</v>
      </c>
      <c r="B8738" t="s">
        <v>935</v>
      </c>
      <c r="C8738" t="s">
        <v>11408</v>
      </c>
      <c r="D8738" t="s">
        <v>16210</v>
      </c>
      <c r="E8738" t="s">
        <v>23930</v>
      </c>
      <c r="F8738" t="s">
        <v>28198</v>
      </c>
      <c r="G8738" t="s">
        <v>28205</v>
      </c>
      <c r="H8738" t="s">
        <v>28215</v>
      </c>
      <c r="I8738" t="s">
        <v>28238</v>
      </c>
      <c r="J8738" t="s">
        <v>33803</v>
      </c>
      <c r="K8738" t="s">
        <v>36694</v>
      </c>
      <c r="M8738" t="s">
        <v>39731</v>
      </c>
      <c r="N8738" t="s">
        <v>40436</v>
      </c>
      <c r="O8738" t="s">
        <v>40437</v>
      </c>
      <c r="P8738">
        <v>0</v>
      </c>
      <c r="Q8738">
        <v>10</v>
      </c>
      <c r="R8738" t="s">
        <v>40445</v>
      </c>
      <c r="S8738" t="s">
        <v>40730</v>
      </c>
      <c r="T8738" t="s">
        <v>42145</v>
      </c>
      <c r="U8738" t="s">
        <v>46492</v>
      </c>
      <c r="V8738" t="s">
        <v>54721</v>
      </c>
      <c r="W8738" t="s">
        <v>39731</v>
      </c>
      <c r="X8738" t="s">
        <v>40446</v>
      </c>
    </row>
    <row r="8739" spans="1:24">
      <c r="A8739">
        <f>HYPERLINK("https://www.philgeps.gov.ph/GEPSNONPILOT/Tender/SplashBidNoticeAbstractUI.aspx?menuIndex=3&amp;refID=7038091&amp;Result=3","7038091")</f>
        <v>0</v>
      </c>
      <c r="B8739" t="s">
        <v>930</v>
      </c>
      <c r="C8739" t="s">
        <v>11409</v>
      </c>
      <c r="D8739" t="s">
        <v>16221</v>
      </c>
      <c r="E8739" t="s">
        <v>23931</v>
      </c>
      <c r="F8739" t="s">
        <v>28198</v>
      </c>
      <c r="G8739" t="s">
        <v>28205</v>
      </c>
      <c r="H8739" t="s">
        <v>28215</v>
      </c>
      <c r="I8739" t="s">
        <v>28319</v>
      </c>
      <c r="J8739" t="s">
        <v>33804</v>
      </c>
      <c r="K8739" t="s">
        <v>36689</v>
      </c>
      <c r="M8739" t="s">
        <v>37951</v>
      </c>
      <c r="N8739" t="s">
        <v>40436</v>
      </c>
      <c r="O8739" t="s">
        <v>40437</v>
      </c>
      <c r="P8739">
        <v>0</v>
      </c>
      <c r="Q8739">
        <v>1</v>
      </c>
      <c r="R8739" t="s">
        <v>40445</v>
      </c>
      <c r="S8739" t="s">
        <v>40730</v>
      </c>
      <c r="T8739" t="s">
        <v>42346</v>
      </c>
      <c r="U8739" t="s">
        <v>49959</v>
      </c>
      <c r="W8739" t="s">
        <v>37951</v>
      </c>
      <c r="X8739" t="s">
        <v>40446</v>
      </c>
    </row>
    <row r="8740" spans="1:24">
      <c r="A8740">
        <f>HYPERLINK("https://www.philgeps.gov.ph/GEPSNONPILOT/Tender/SplashBidNoticeAbstractUI.aspx?menuIndex=3&amp;refID=7038114&amp;Result=3","7038114")</f>
        <v>0</v>
      </c>
      <c r="B8740" t="s">
        <v>2526</v>
      </c>
      <c r="C8740" t="s">
        <v>11410</v>
      </c>
      <c r="D8740" t="s">
        <v>16264</v>
      </c>
      <c r="E8740" t="s">
        <v>23932</v>
      </c>
      <c r="F8740" t="s">
        <v>28200</v>
      </c>
      <c r="G8740" t="s">
        <v>28205</v>
      </c>
      <c r="H8740" t="s">
        <v>28215</v>
      </c>
      <c r="I8740" t="s">
        <v>5100</v>
      </c>
      <c r="J8740" t="s">
        <v>33805</v>
      </c>
      <c r="K8740" t="s">
        <v>36706</v>
      </c>
      <c r="M8740" t="s">
        <v>39729</v>
      </c>
      <c r="N8740" t="s">
        <v>40436</v>
      </c>
      <c r="O8740" t="s">
        <v>40437</v>
      </c>
      <c r="P8740">
        <v>0</v>
      </c>
      <c r="Q8740">
        <v>0</v>
      </c>
      <c r="R8740" t="s">
        <v>40445</v>
      </c>
      <c r="S8740" t="s">
        <v>40730</v>
      </c>
      <c r="T8740" t="s">
        <v>42234</v>
      </c>
      <c r="U8740" t="s">
        <v>49960</v>
      </c>
      <c r="W8740" t="s">
        <v>39729</v>
      </c>
      <c r="X8740" t="s">
        <v>40446</v>
      </c>
    </row>
    <row r="8741" spans="1:24">
      <c r="A8741">
        <f>HYPERLINK("https://www.philgeps.gov.ph/GEPSNONPILOT/Tender/SplashBidNoticeAbstractUI.aspx?menuIndex=3&amp;refID=7038090&amp;Result=3","7038090")</f>
        <v>0</v>
      </c>
      <c r="B8741" t="s">
        <v>1484</v>
      </c>
      <c r="C8741" t="s">
        <v>11411</v>
      </c>
      <c r="D8741" t="s">
        <v>16246</v>
      </c>
      <c r="E8741" t="s">
        <v>23933</v>
      </c>
      <c r="F8741" t="s">
        <v>28198</v>
      </c>
      <c r="G8741" t="s">
        <v>28205</v>
      </c>
      <c r="H8741" t="s">
        <v>28215</v>
      </c>
      <c r="I8741" t="s">
        <v>28232</v>
      </c>
      <c r="J8741" t="s">
        <v>33806</v>
      </c>
      <c r="K8741" t="s">
        <v>36707</v>
      </c>
      <c r="M8741" t="s">
        <v>38556</v>
      </c>
      <c r="N8741" t="s">
        <v>40436</v>
      </c>
      <c r="O8741" t="s">
        <v>40437</v>
      </c>
      <c r="P8741">
        <v>0</v>
      </c>
      <c r="Q8741">
        <v>0</v>
      </c>
      <c r="R8741" t="s">
        <v>40445</v>
      </c>
      <c r="S8741" t="s">
        <v>40730</v>
      </c>
      <c r="T8741" t="s">
        <v>42233</v>
      </c>
      <c r="U8741" t="s">
        <v>49961</v>
      </c>
      <c r="V8741" t="s">
        <v>54150</v>
      </c>
      <c r="W8741" t="s">
        <v>38556</v>
      </c>
      <c r="X8741" t="s">
        <v>40446</v>
      </c>
    </row>
    <row r="8742" spans="1:24">
      <c r="A8742">
        <f>HYPERLINK("https://www.philgeps.gov.ph/GEPSNONPILOT/Tender/SplashBidNoticeAbstractUI.aspx?menuIndex=3&amp;refID=7038116&amp;Result=3","7038116")</f>
        <v>0</v>
      </c>
      <c r="B8742" t="s">
        <v>632</v>
      </c>
      <c r="C8742" t="s">
        <v>7187</v>
      </c>
      <c r="D8742" t="s">
        <v>16210</v>
      </c>
      <c r="E8742" t="s">
        <v>23934</v>
      </c>
      <c r="F8742" t="s">
        <v>28198</v>
      </c>
      <c r="G8742" t="s">
        <v>28205</v>
      </c>
      <c r="H8742" t="s">
        <v>28215</v>
      </c>
      <c r="I8742" t="s">
        <v>28220</v>
      </c>
      <c r="J8742" t="s">
        <v>33807</v>
      </c>
      <c r="K8742" t="s">
        <v>36701</v>
      </c>
      <c r="M8742" t="s">
        <v>39732</v>
      </c>
      <c r="N8742" t="s">
        <v>40436</v>
      </c>
      <c r="O8742" t="s">
        <v>40437</v>
      </c>
      <c r="P8742">
        <v>0</v>
      </c>
      <c r="Q8742">
        <v>82</v>
      </c>
      <c r="R8742" t="s">
        <v>40445</v>
      </c>
      <c r="S8742" t="s">
        <v>40730</v>
      </c>
      <c r="T8742" t="s">
        <v>42168</v>
      </c>
      <c r="U8742" t="s">
        <v>49962</v>
      </c>
      <c r="W8742" t="s">
        <v>39732</v>
      </c>
      <c r="X8742" t="s">
        <v>40446</v>
      </c>
    </row>
    <row r="8743" spans="1:24">
      <c r="A8743">
        <f>HYPERLINK("https://www.philgeps.gov.ph/GEPSNONPILOT/Tender/SplashBidNoticeAbstractUI.aspx?menuIndex=3&amp;refID=7038115&amp;Result=3","7038115")</f>
        <v>0</v>
      </c>
      <c r="B8743" t="s">
        <v>1093</v>
      </c>
      <c r="C8743" t="s">
        <v>11412</v>
      </c>
      <c r="D8743" t="s">
        <v>16187</v>
      </c>
      <c r="E8743" t="s">
        <v>23935</v>
      </c>
      <c r="F8743" t="s">
        <v>28198</v>
      </c>
      <c r="G8743" t="s">
        <v>28205</v>
      </c>
      <c r="H8743" t="s">
        <v>28215</v>
      </c>
      <c r="I8743" t="s">
        <v>4168</v>
      </c>
      <c r="J8743" t="s">
        <v>29113</v>
      </c>
      <c r="K8743" t="s">
        <v>36706</v>
      </c>
      <c r="M8743" t="s">
        <v>38128</v>
      </c>
      <c r="N8743" t="s">
        <v>40436</v>
      </c>
      <c r="O8743" t="s">
        <v>40437</v>
      </c>
      <c r="P8743">
        <v>0</v>
      </c>
      <c r="Q8743">
        <v>9</v>
      </c>
      <c r="R8743" t="s">
        <v>40445</v>
      </c>
      <c r="S8743" t="s">
        <v>40730</v>
      </c>
      <c r="T8743" t="s">
        <v>42232</v>
      </c>
      <c r="U8743" t="s">
        <v>49963</v>
      </c>
      <c r="W8743" t="s">
        <v>38128</v>
      </c>
      <c r="X8743" t="s">
        <v>40446</v>
      </c>
    </row>
    <row r="8744" spans="1:24">
      <c r="A8744">
        <f>HYPERLINK("https://www.philgeps.gov.ph/GEPSNONPILOT/Tender/SplashBidNoticeAbstractUI.aspx?menuIndex=3&amp;refID=7038118&amp;Result=3","7038118")</f>
        <v>0</v>
      </c>
      <c r="B8744" t="s">
        <v>2296</v>
      </c>
      <c r="C8744" t="s">
        <v>11413</v>
      </c>
      <c r="D8744" t="s">
        <v>16234</v>
      </c>
      <c r="E8744" t="s">
        <v>18767</v>
      </c>
      <c r="F8744" t="s">
        <v>28198</v>
      </c>
      <c r="G8744" t="s">
        <v>28205</v>
      </c>
      <c r="H8744" t="s">
        <v>28215</v>
      </c>
      <c r="I8744" t="s">
        <v>5100</v>
      </c>
      <c r="J8744" t="s">
        <v>33808</v>
      </c>
      <c r="K8744" t="s">
        <v>36701</v>
      </c>
      <c r="M8744" t="s">
        <v>39471</v>
      </c>
      <c r="N8744" t="s">
        <v>40436</v>
      </c>
      <c r="O8744" t="s">
        <v>40437</v>
      </c>
      <c r="P8744">
        <v>0</v>
      </c>
      <c r="Q8744">
        <v>4</v>
      </c>
      <c r="R8744" t="s">
        <v>40445</v>
      </c>
      <c r="S8744" t="s">
        <v>40730</v>
      </c>
      <c r="T8744" t="s">
        <v>42278</v>
      </c>
      <c r="U8744" t="s">
        <v>49964</v>
      </c>
      <c r="V8744" t="s">
        <v>54565</v>
      </c>
      <c r="W8744" t="s">
        <v>39471</v>
      </c>
      <c r="X8744" t="s">
        <v>40446</v>
      </c>
    </row>
    <row r="8745" spans="1:24">
      <c r="A8745">
        <f>HYPERLINK("https://www.philgeps.gov.ph/GEPSNONPILOT/Tender/SplashBidNoticeAbstractUI.aspx?menuIndex=3&amp;refID=7038089&amp;Result=3","7038089")</f>
        <v>0</v>
      </c>
      <c r="B8745" t="s">
        <v>1391</v>
      </c>
      <c r="C8745" t="s">
        <v>11414</v>
      </c>
      <c r="D8745" t="s">
        <v>16233</v>
      </c>
      <c r="E8745" t="s">
        <v>23936</v>
      </c>
      <c r="F8745" t="s">
        <v>28198</v>
      </c>
      <c r="G8745" t="s">
        <v>28205</v>
      </c>
      <c r="H8745" t="s">
        <v>28215</v>
      </c>
      <c r="I8745" t="s">
        <v>5100</v>
      </c>
      <c r="J8745" t="s">
        <v>33788</v>
      </c>
      <c r="K8745" t="s">
        <v>36707</v>
      </c>
      <c r="M8745" t="s">
        <v>38455</v>
      </c>
      <c r="N8745" t="s">
        <v>40436</v>
      </c>
      <c r="O8745" t="s">
        <v>40437</v>
      </c>
      <c r="P8745">
        <v>0</v>
      </c>
      <c r="Q8745">
        <v>0</v>
      </c>
      <c r="R8745" t="s">
        <v>40445</v>
      </c>
      <c r="S8745" t="s">
        <v>40730</v>
      </c>
      <c r="T8745" t="s">
        <v>42140</v>
      </c>
      <c r="U8745" t="s">
        <v>49965</v>
      </c>
      <c r="V8745" t="s">
        <v>54719</v>
      </c>
      <c r="W8745" t="s">
        <v>38455</v>
      </c>
      <c r="X8745" t="s">
        <v>40446</v>
      </c>
    </row>
    <row r="8746" spans="1:24">
      <c r="A8746">
        <f>HYPERLINK("https://www.philgeps.gov.ph/GEPSNONPILOT/Tender/SplashBidNoticeAbstractUI.aspx?menuIndex=3&amp;refID=7021697&amp;Result=3","7021697")</f>
        <v>0</v>
      </c>
      <c r="B8746" t="s">
        <v>78</v>
      </c>
      <c r="C8746" t="s">
        <v>11415</v>
      </c>
      <c r="D8746" t="s">
        <v>16217</v>
      </c>
      <c r="E8746" t="s">
        <v>23937</v>
      </c>
      <c r="F8746" t="s">
        <v>28198</v>
      </c>
      <c r="G8746" t="s">
        <v>28205</v>
      </c>
      <c r="H8746" t="s">
        <v>28214</v>
      </c>
      <c r="I8746" t="s">
        <v>3797</v>
      </c>
      <c r="J8746" t="s">
        <v>33809</v>
      </c>
      <c r="K8746" t="s">
        <v>36717</v>
      </c>
      <c r="M8746" t="s">
        <v>39733</v>
      </c>
      <c r="N8746" t="s">
        <v>40436</v>
      </c>
      <c r="O8746" t="s">
        <v>40437</v>
      </c>
      <c r="P8746">
        <v>0</v>
      </c>
      <c r="Q8746">
        <v>0</v>
      </c>
      <c r="R8746" t="s">
        <v>40446</v>
      </c>
      <c r="S8746" t="s">
        <v>40783</v>
      </c>
      <c r="T8746" t="s">
        <v>42426</v>
      </c>
      <c r="U8746" t="s">
        <v>49966</v>
      </c>
      <c r="V8746" t="s">
        <v>53791</v>
      </c>
      <c r="W8746" t="s">
        <v>39733</v>
      </c>
      <c r="X8746" t="s">
        <v>40453</v>
      </c>
    </row>
    <row r="8747" spans="1:24">
      <c r="A8747">
        <f>HYPERLINK("https://www.philgeps.gov.ph/GEPSNONPILOT/Tender/SplashBidNoticeAbstractUI.aspx?menuIndex=3&amp;refID=7038139&amp;Result=3","7038139")</f>
        <v>0</v>
      </c>
      <c r="B8747" t="s">
        <v>990</v>
      </c>
      <c r="C8747" t="s">
        <v>11416</v>
      </c>
      <c r="D8747" t="s">
        <v>16210</v>
      </c>
      <c r="E8747" t="s">
        <v>23938</v>
      </c>
      <c r="F8747" t="s">
        <v>28198</v>
      </c>
      <c r="G8747" t="s">
        <v>28205</v>
      </c>
      <c r="H8747" t="s">
        <v>28214</v>
      </c>
      <c r="I8747" t="s">
        <v>3797</v>
      </c>
      <c r="J8747" t="s">
        <v>32106</v>
      </c>
      <c r="K8747" t="s">
        <v>36690</v>
      </c>
      <c r="M8747" t="s">
        <v>38017</v>
      </c>
      <c r="N8747" t="s">
        <v>40436</v>
      </c>
      <c r="O8747" t="s">
        <v>40437</v>
      </c>
      <c r="Q8747">
        <v>34</v>
      </c>
      <c r="R8747" t="s">
        <v>40445</v>
      </c>
      <c r="S8747" t="s">
        <v>40784</v>
      </c>
      <c r="T8747" t="s">
        <v>42168</v>
      </c>
      <c r="U8747" t="s">
        <v>49967</v>
      </c>
      <c r="W8747" t="s">
        <v>38017</v>
      </c>
      <c r="X8747" t="s">
        <v>40446</v>
      </c>
    </row>
    <row r="8748" spans="1:24">
      <c r="A8748">
        <f>HYPERLINK("https://www.philgeps.gov.ph/GEPSNONPILOT/Tender/SplashBidNoticeAbstractUI.aspx?menuIndex=3&amp;refID=7038132&amp;Result=3","7038132")</f>
        <v>0</v>
      </c>
      <c r="B8748" t="s">
        <v>2296</v>
      </c>
      <c r="C8748" t="s">
        <v>11417</v>
      </c>
      <c r="D8748" t="s">
        <v>16234</v>
      </c>
      <c r="E8748" t="s">
        <v>22555</v>
      </c>
      <c r="F8748" t="s">
        <v>28198</v>
      </c>
      <c r="G8748" t="s">
        <v>28205</v>
      </c>
      <c r="H8748" t="s">
        <v>28214</v>
      </c>
      <c r="I8748" t="s">
        <v>3797</v>
      </c>
      <c r="J8748" t="s">
        <v>33810</v>
      </c>
      <c r="K8748" t="s">
        <v>36715</v>
      </c>
      <c r="M8748" t="s">
        <v>39471</v>
      </c>
      <c r="N8748" t="s">
        <v>40436</v>
      </c>
      <c r="O8748" t="s">
        <v>40437</v>
      </c>
      <c r="P8748">
        <v>0</v>
      </c>
      <c r="Q8748">
        <v>3</v>
      </c>
      <c r="R8748" t="s">
        <v>40445</v>
      </c>
      <c r="S8748" t="s">
        <v>40730</v>
      </c>
      <c r="T8748" t="s">
        <v>42278</v>
      </c>
      <c r="U8748" t="s">
        <v>49968</v>
      </c>
      <c r="V8748" t="s">
        <v>54565</v>
      </c>
      <c r="W8748" t="s">
        <v>39471</v>
      </c>
      <c r="X8748" t="s">
        <v>40446</v>
      </c>
    </row>
    <row r="8749" spans="1:24">
      <c r="A8749">
        <f>HYPERLINK("https://www.philgeps.gov.ph/GEPSNONPILOT/Tender/SplashBidNoticeAbstractUI.aspx?menuIndex=3&amp;refID=7038122&amp;Result=3","7038122")</f>
        <v>0</v>
      </c>
      <c r="B8749" t="s">
        <v>2296</v>
      </c>
      <c r="C8749" t="s">
        <v>11418</v>
      </c>
      <c r="D8749" t="s">
        <v>16234</v>
      </c>
      <c r="E8749" t="s">
        <v>23939</v>
      </c>
      <c r="F8749" t="s">
        <v>28198</v>
      </c>
      <c r="G8749" t="s">
        <v>28205</v>
      </c>
      <c r="H8749" t="s">
        <v>28215</v>
      </c>
      <c r="I8749" t="s">
        <v>5100</v>
      </c>
      <c r="J8749" t="s">
        <v>33811</v>
      </c>
      <c r="K8749" t="s">
        <v>36707</v>
      </c>
      <c r="M8749" t="s">
        <v>39471</v>
      </c>
      <c r="N8749" t="s">
        <v>40436</v>
      </c>
      <c r="O8749" t="s">
        <v>40437</v>
      </c>
      <c r="P8749">
        <v>0</v>
      </c>
      <c r="Q8749">
        <v>4</v>
      </c>
      <c r="R8749" t="s">
        <v>40445</v>
      </c>
      <c r="S8749" t="s">
        <v>40730</v>
      </c>
      <c r="T8749" t="s">
        <v>42278</v>
      </c>
      <c r="U8749" t="s">
        <v>49969</v>
      </c>
      <c r="V8749" t="s">
        <v>54565</v>
      </c>
      <c r="W8749" t="s">
        <v>39471</v>
      </c>
      <c r="X8749" t="s">
        <v>40446</v>
      </c>
    </row>
    <row r="8750" spans="1:24">
      <c r="A8750">
        <f>HYPERLINK("https://www.philgeps.gov.ph/GEPSNONPILOT/Tender/SplashBidNoticeAbstractUI.aspx?menuIndex=3&amp;refID=7038141&amp;Result=3","7038141")</f>
        <v>0</v>
      </c>
      <c r="B8750" t="s">
        <v>990</v>
      </c>
      <c r="C8750" t="s">
        <v>11419</v>
      </c>
      <c r="D8750" t="s">
        <v>16210</v>
      </c>
      <c r="E8750" t="s">
        <v>23940</v>
      </c>
      <c r="F8750" t="s">
        <v>28198</v>
      </c>
      <c r="G8750" t="s">
        <v>28205</v>
      </c>
      <c r="H8750" t="s">
        <v>28214</v>
      </c>
      <c r="I8750" t="s">
        <v>3797</v>
      </c>
      <c r="J8750" t="s">
        <v>33812</v>
      </c>
      <c r="K8750" t="s">
        <v>36692</v>
      </c>
      <c r="M8750" t="s">
        <v>38017</v>
      </c>
      <c r="N8750" t="s">
        <v>40436</v>
      </c>
      <c r="O8750" t="s">
        <v>40437</v>
      </c>
      <c r="Q8750">
        <v>63</v>
      </c>
      <c r="R8750" t="s">
        <v>40445</v>
      </c>
      <c r="S8750" t="s">
        <v>40785</v>
      </c>
      <c r="T8750" t="s">
        <v>42168</v>
      </c>
      <c r="U8750" t="s">
        <v>49970</v>
      </c>
      <c r="W8750" t="s">
        <v>38017</v>
      </c>
      <c r="X8750" t="s">
        <v>40446</v>
      </c>
    </row>
    <row r="8751" spans="1:24">
      <c r="A8751">
        <f>HYPERLINK("https://www.philgeps.gov.ph/GEPSNONPILOT/Tender/SplashBidNoticeAbstractUI.aspx?menuIndex=3&amp;refID=7019468&amp;Result=3","7019468")</f>
        <v>0</v>
      </c>
      <c r="B8751" t="s">
        <v>78</v>
      </c>
      <c r="C8751" t="s">
        <v>11420</v>
      </c>
      <c r="D8751" t="s">
        <v>16217</v>
      </c>
      <c r="E8751" t="s">
        <v>23941</v>
      </c>
      <c r="F8751" t="s">
        <v>28198</v>
      </c>
      <c r="G8751" t="s">
        <v>28205</v>
      </c>
      <c r="H8751" t="s">
        <v>28214</v>
      </c>
      <c r="I8751" t="s">
        <v>3797</v>
      </c>
      <c r="J8751" t="s">
        <v>33813</v>
      </c>
      <c r="K8751" t="s">
        <v>36717</v>
      </c>
      <c r="M8751" t="s">
        <v>39733</v>
      </c>
      <c r="N8751" t="s">
        <v>40436</v>
      </c>
      <c r="O8751" t="s">
        <v>40437</v>
      </c>
      <c r="P8751">
        <v>0</v>
      </c>
      <c r="Q8751">
        <v>1</v>
      </c>
      <c r="R8751" t="s">
        <v>40446</v>
      </c>
      <c r="S8751" t="s">
        <v>40783</v>
      </c>
      <c r="T8751" t="s">
        <v>42426</v>
      </c>
      <c r="U8751" t="s">
        <v>49971</v>
      </c>
      <c r="V8751" t="s">
        <v>53791</v>
      </c>
      <c r="W8751" t="s">
        <v>39733</v>
      </c>
      <c r="X8751" t="s">
        <v>40454</v>
      </c>
    </row>
    <row r="8752" spans="1:24">
      <c r="A8752">
        <f>HYPERLINK("https://www.philgeps.gov.ph/GEPSNONPILOT/Tender/SplashBidNoticeAbstractUI.aspx?menuIndex=3&amp;refID=6851485-2&amp;Result=3","6851485-2")</f>
        <v>0</v>
      </c>
      <c r="B8752" t="s">
        <v>847</v>
      </c>
      <c r="C8752" t="s">
        <v>11421</v>
      </c>
      <c r="E8752" t="s">
        <v>23942</v>
      </c>
      <c r="F8752" t="s">
        <v>28198</v>
      </c>
      <c r="G8752" t="s">
        <v>28205</v>
      </c>
      <c r="H8752" t="s">
        <v>28216</v>
      </c>
      <c r="I8752" t="s">
        <v>28216</v>
      </c>
      <c r="J8752" t="s">
        <v>33814</v>
      </c>
      <c r="K8752" t="s">
        <v>36705</v>
      </c>
      <c r="M8752" t="s">
        <v>39734</v>
      </c>
      <c r="N8752" t="s">
        <v>40436</v>
      </c>
      <c r="O8752" t="s">
        <v>40437</v>
      </c>
      <c r="Q8752">
        <v>1</v>
      </c>
      <c r="R8752" t="s">
        <v>40446</v>
      </c>
      <c r="S8752" t="s">
        <v>40786</v>
      </c>
      <c r="T8752" t="s">
        <v>42180</v>
      </c>
      <c r="U8752" t="s">
        <v>49972</v>
      </c>
      <c r="V8752" t="s">
        <v>53995</v>
      </c>
      <c r="W8752" t="s">
        <v>39734</v>
      </c>
      <c r="X8752" t="s">
        <v>40452</v>
      </c>
    </row>
    <row r="8753" spans="1:24">
      <c r="A8753">
        <f>HYPERLINK("https://www.philgeps.gov.ph/GEPSNONPILOT/Tender/SplashBidNoticeAbstractUI.aspx?menuIndex=3&amp;refID=7038130&amp;Result=3","7038130")</f>
        <v>0</v>
      </c>
      <c r="B8753" t="s">
        <v>990</v>
      </c>
      <c r="C8753" t="s">
        <v>11422</v>
      </c>
      <c r="D8753" t="s">
        <v>16210</v>
      </c>
      <c r="E8753" t="s">
        <v>23943</v>
      </c>
      <c r="F8753" t="s">
        <v>28198</v>
      </c>
      <c r="G8753" t="s">
        <v>28205</v>
      </c>
      <c r="H8753" t="s">
        <v>28214</v>
      </c>
      <c r="I8753" t="s">
        <v>3797</v>
      </c>
      <c r="J8753" t="s">
        <v>33815</v>
      </c>
      <c r="K8753" t="s">
        <v>36692</v>
      </c>
      <c r="M8753" t="s">
        <v>38017</v>
      </c>
      <c r="N8753" t="s">
        <v>40436</v>
      </c>
      <c r="O8753" t="s">
        <v>40437</v>
      </c>
      <c r="Q8753">
        <v>29</v>
      </c>
      <c r="R8753" t="s">
        <v>40445</v>
      </c>
      <c r="S8753" t="s">
        <v>40787</v>
      </c>
      <c r="T8753" t="s">
        <v>42168</v>
      </c>
      <c r="U8753" t="s">
        <v>49973</v>
      </c>
      <c r="W8753" t="s">
        <v>38017</v>
      </c>
      <c r="X8753" t="s">
        <v>40446</v>
      </c>
    </row>
    <row r="8754" spans="1:24">
      <c r="A8754">
        <f>HYPERLINK("https://www.philgeps.gov.ph/GEPSNONPILOT/Tender/SplashBidNoticeAbstractUI.aspx?menuIndex=3&amp;refID=7019396&amp;Result=3","7019396")</f>
        <v>0</v>
      </c>
      <c r="B8754" t="s">
        <v>78</v>
      </c>
      <c r="C8754" t="s">
        <v>11423</v>
      </c>
      <c r="D8754" t="s">
        <v>16217</v>
      </c>
      <c r="E8754" t="s">
        <v>23944</v>
      </c>
      <c r="F8754" t="s">
        <v>28198</v>
      </c>
      <c r="G8754" t="s">
        <v>28205</v>
      </c>
      <c r="H8754" t="s">
        <v>28215</v>
      </c>
      <c r="I8754" t="s">
        <v>5103</v>
      </c>
      <c r="J8754" t="s">
        <v>28436</v>
      </c>
      <c r="K8754" t="s">
        <v>36707</v>
      </c>
      <c r="M8754" t="s">
        <v>39735</v>
      </c>
      <c r="N8754" t="s">
        <v>40436</v>
      </c>
      <c r="O8754" t="s">
        <v>40437</v>
      </c>
      <c r="P8754">
        <v>0</v>
      </c>
      <c r="Q8754">
        <v>5</v>
      </c>
      <c r="R8754" t="s">
        <v>40446</v>
      </c>
      <c r="S8754" t="s">
        <v>40783</v>
      </c>
      <c r="T8754" t="s">
        <v>42184</v>
      </c>
      <c r="U8754" t="s">
        <v>49974</v>
      </c>
      <c r="V8754" t="s">
        <v>53791</v>
      </c>
      <c r="W8754" t="s">
        <v>39735</v>
      </c>
      <c r="X8754" t="s">
        <v>40454</v>
      </c>
    </row>
    <row r="8755" spans="1:24">
      <c r="A8755">
        <f>HYPERLINK("https://www.philgeps.gov.ph/GEPSNONPILOT/Tender/SplashBidNoticeAbstractUI.aspx?menuIndex=3&amp;refID=7038153&amp;Result=3","7038153")</f>
        <v>0</v>
      </c>
      <c r="B8755" t="s">
        <v>755</v>
      </c>
      <c r="C8755" t="s">
        <v>11424</v>
      </c>
      <c r="D8755" t="s">
        <v>16200</v>
      </c>
      <c r="E8755" t="s">
        <v>21045</v>
      </c>
      <c r="F8755" t="s">
        <v>28198</v>
      </c>
      <c r="G8755" t="s">
        <v>28205</v>
      </c>
      <c r="H8755" t="s">
        <v>28215</v>
      </c>
      <c r="I8755" t="s">
        <v>5100</v>
      </c>
      <c r="J8755" t="s">
        <v>33816</v>
      </c>
      <c r="K8755" t="s">
        <v>36707</v>
      </c>
      <c r="M8755" t="s">
        <v>37758</v>
      </c>
      <c r="N8755" t="s">
        <v>40436</v>
      </c>
      <c r="O8755" t="s">
        <v>40437</v>
      </c>
      <c r="P8755">
        <v>0</v>
      </c>
      <c r="Q8755">
        <v>1</v>
      </c>
      <c r="R8755" t="s">
        <v>40445</v>
      </c>
      <c r="S8755" t="s">
        <v>40730</v>
      </c>
      <c r="T8755" t="s">
        <v>42277</v>
      </c>
      <c r="U8755" t="s">
        <v>44043</v>
      </c>
      <c r="W8755" t="s">
        <v>37758</v>
      </c>
      <c r="X8755" t="s">
        <v>40446</v>
      </c>
    </row>
    <row r="8756" spans="1:24">
      <c r="A8756">
        <f>HYPERLINK("https://www.philgeps.gov.ph/GEPSNONPILOT/Tender/SplashBidNoticeAbstractUI.aspx?menuIndex=3&amp;refID=7038144&amp;Result=3","7038144")</f>
        <v>0</v>
      </c>
      <c r="B8756" t="s">
        <v>990</v>
      </c>
      <c r="C8756" t="s">
        <v>11425</v>
      </c>
      <c r="D8756" t="s">
        <v>16210</v>
      </c>
      <c r="E8756" t="s">
        <v>23945</v>
      </c>
      <c r="F8756" t="s">
        <v>28198</v>
      </c>
      <c r="G8756" t="s">
        <v>28205</v>
      </c>
      <c r="H8756" t="s">
        <v>28214</v>
      </c>
      <c r="I8756" t="s">
        <v>3797</v>
      </c>
      <c r="J8756" t="s">
        <v>33817</v>
      </c>
      <c r="K8756" t="s">
        <v>36717</v>
      </c>
      <c r="M8756" t="s">
        <v>38017</v>
      </c>
      <c r="N8756" t="s">
        <v>40436</v>
      </c>
      <c r="O8756" t="s">
        <v>40437</v>
      </c>
      <c r="Q8756">
        <v>64</v>
      </c>
      <c r="R8756" t="s">
        <v>40445</v>
      </c>
      <c r="S8756" t="s">
        <v>40788</v>
      </c>
      <c r="T8756" t="s">
        <v>42168</v>
      </c>
      <c r="U8756" t="s">
        <v>49975</v>
      </c>
      <c r="W8756" t="s">
        <v>38017</v>
      </c>
      <c r="X8756" t="s">
        <v>40446</v>
      </c>
    </row>
    <row r="8757" spans="1:24">
      <c r="A8757">
        <f>HYPERLINK("https://www.philgeps.gov.ph/GEPSNONPILOT/Tender/SplashBidNoticeAbstractUI.aspx?menuIndex=3&amp;refID=7023981&amp;Result=3","7023981")</f>
        <v>0</v>
      </c>
      <c r="B8757" t="s">
        <v>2528</v>
      </c>
      <c r="C8757" t="s">
        <v>11426</v>
      </c>
      <c r="D8757" t="s">
        <v>16200</v>
      </c>
      <c r="E8757" t="s">
        <v>17327</v>
      </c>
      <c r="F8757" t="s">
        <v>28198</v>
      </c>
      <c r="G8757" t="s">
        <v>28205</v>
      </c>
      <c r="H8757" t="s">
        <v>28215</v>
      </c>
      <c r="I8757" t="s">
        <v>28243</v>
      </c>
      <c r="J8757" t="s">
        <v>33818</v>
      </c>
      <c r="K8757" t="s">
        <v>36701</v>
      </c>
      <c r="M8757" t="s">
        <v>39736</v>
      </c>
      <c r="N8757" t="s">
        <v>40436</v>
      </c>
      <c r="O8757" t="s">
        <v>40437</v>
      </c>
      <c r="P8757">
        <v>0</v>
      </c>
      <c r="Q8757">
        <v>0</v>
      </c>
      <c r="R8757" t="s">
        <v>40446</v>
      </c>
      <c r="S8757" t="s">
        <v>40783</v>
      </c>
      <c r="T8757" t="s">
        <v>42234</v>
      </c>
      <c r="U8757" t="s">
        <v>49976</v>
      </c>
      <c r="V8757" t="s">
        <v>54722</v>
      </c>
      <c r="W8757" t="s">
        <v>39736</v>
      </c>
      <c r="X8757" t="s">
        <v>40453</v>
      </c>
    </row>
    <row r="8758" spans="1:24">
      <c r="A8758">
        <f>HYPERLINK("https://www.philgeps.gov.ph/GEPSNONPILOT/Tender/SplashBidNoticeAbstractUI.aspx?menuIndex=3&amp;refID=7038146&amp;Result=3","7038146")</f>
        <v>0</v>
      </c>
      <c r="B8758" t="s">
        <v>990</v>
      </c>
      <c r="C8758" t="s">
        <v>11427</v>
      </c>
      <c r="D8758" t="s">
        <v>16210</v>
      </c>
      <c r="E8758" t="s">
        <v>23946</v>
      </c>
      <c r="F8758" t="s">
        <v>28198</v>
      </c>
      <c r="G8758" t="s">
        <v>28205</v>
      </c>
      <c r="H8758" t="s">
        <v>28214</v>
      </c>
      <c r="I8758" t="s">
        <v>3797</v>
      </c>
      <c r="J8758" t="s">
        <v>33819</v>
      </c>
      <c r="K8758" t="s">
        <v>36694</v>
      </c>
      <c r="M8758" t="s">
        <v>38017</v>
      </c>
      <c r="N8758" t="s">
        <v>40436</v>
      </c>
      <c r="O8758" t="s">
        <v>40437</v>
      </c>
      <c r="Q8758">
        <v>58</v>
      </c>
      <c r="R8758" t="s">
        <v>40445</v>
      </c>
      <c r="S8758" t="s">
        <v>40789</v>
      </c>
      <c r="T8758" t="s">
        <v>42168</v>
      </c>
      <c r="U8758" t="s">
        <v>49977</v>
      </c>
      <c r="W8758" t="s">
        <v>38017</v>
      </c>
      <c r="X8758" t="s">
        <v>40446</v>
      </c>
    </row>
    <row r="8759" spans="1:24">
      <c r="A8759">
        <f>HYPERLINK("https://www.philgeps.gov.ph/GEPSNONPILOT/Tender/SplashBidNoticeAbstractUI.aspx?menuIndex=3&amp;refID=7022670&amp;Result=3","7022670")</f>
        <v>0</v>
      </c>
      <c r="B8759" t="s">
        <v>1577</v>
      </c>
      <c r="C8759" t="s">
        <v>11428</v>
      </c>
      <c r="D8759" t="s">
        <v>16232</v>
      </c>
      <c r="E8759" t="s">
        <v>23947</v>
      </c>
      <c r="F8759" t="s">
        <v>28198</v>
      </c>
      <c r="G8759" t="s">
        <v>28205</v>
      </c>
      <c r="H8759" t="s">
        <v>28214</v>
      </c>
      <c r="I8759" t="s">
        <v>3797</v>
      </c>
      <c r="J8759" t="s">
        <v>33820</v>
      </c>
      <c r="K8759" t="s">
        <v>36694</v>
      </c>
      <c r="M8759" t="s">
        <v>39737</v>
      </c>
      <c r="N8759" t="s">
        <v>40436</v>
      </c>
      <c r="O8759" t="s">
        <v>40437</v>
      </c>
      <c r="P8759">
        <v>0</v>
      </c>
      <c r="Q8759">
        <v>2</v>
      </c>
      <c r="R8759" t="s">
        <v>40446</v>
      </c>
      <c r="S8759" t="s">
        <v>40783</v>
      </c>
      <c r="T8759" t="s">
        <v>42482</v>
      </c>
      <c r="U8759" t="s">
        <v>49978</v>
      </c>
      <c r="W8759" t="s">
        <v>39737</v>
      </c>
      <c r="X8759" t="s">
        <v>40453</v>
      </c>
    </row>
    <row r="8760" spans="1:24">
      <c r="A8760">
        <f>HYPERLINK("https://www.philgeps.gov.ph/GEPSNONPILOT/Tender/SplashBidNoticeAbstractUI.aspx?menuIndex=3&amp;refID=7021705&amp;Result=3","7021705")</f>
        <v>0</v>
      </c>
      <c r="B8760" t="s">
        <v>78</v>
      </c>
      <c r="C8760" t="s">
        <v>11429</v>
      </c>
      <c r="D8760" t="s">
        <v>16217</v>
      </c>
      <c r="E8760" t="s">
        <v>23948</v>
      </c>
      <c r="F8760" t="s">
        <v>28198</v>
      </c>
      <c r="G8760" t="s">
        <v>28205</v>
      </c>
      <c r="H8760" t="s">
        <v>28214</v>
      </c>
      <c r="I8760" t="s">
        <v>3797</v>
      </c>
      <c r="J8760" t="s">
        <v>33821</v>
      </c>
      <c r="K8760" t="s">
        <v>36733</v>
      </c>
      <c r="M8760" t="s">
        <v>39733</v>
      </c>
      <c r="N8760" t="s">
        <v>40436</v>
      </c>
      <c r="O8760" t="s">
        <v>40437</v>
      </c>
      <c r="P8760">
        <v>0</v>
      </c>
      <c r="Q8760">
        <v>0</v>
      </c>
      <c r="R8760" t="s">
        <v>40446</v>
      </c>
      <c r="S8760" t="s">
        <v>40783</v>
      </c>
      <c r="T8760" t="s">
        <v>42426</v>
      </c>
      <c r="U8760" t="s">
        <v>49979</v>
      </c>
      <c r="V8760" t="s">
        <v>53791</v>
      </c>
      <c r="W8760" t="s">
        <v>39733</v>
      </c>
      <c r="X8760" t="s">
        <v>40453</v>
      </c>
    </row>
    <row r="8761" spans="1:24">
      <c r="A8761">
        <f>HYPERLINK("https://www.philgeps.gov.ph/GEPSNONPILOT/Tender/SplashBidNoticeAbstractUI.aspx?menuIndex=3&amp;refID=7038154&amp;Result=3","7038154")</f>
        <v>0</v>
      </c>
      <c r="B8761" t="s">
        <v>2142</v>
      </c>
      <c r="C8761" t="s">
        <v>11430</v>
      </c>
      <c r="D8761" t="s">
        <v>16198</v>
      </c>
      <c r="E8761" t="s">
        <v>23949</v>
      </c>
      <c r="F8761" t="s">
        <v>28198</v>
      </c>
      <c r="G8761" t="s">
        <v>28205</v>
      </c>
      <c r="H8761" t="s">
        <v>28214</v>
      </c>
      <c r="I8761" t="s">
        <v>3797</v>
      </c>
      <c r="J8761" t="s">
        <v>28378</v>
      </c>
      <c r="K8761" t="s">
        <v>36715</v>
      </c>
      <c r="M8761" t="s">
        <v>39299</v>
      </c>
      <c r="N8761" t="s">
        <v>40436</v>
      </c>
      <c r="O8761" t="s">
        <v>40437</v>
      </c>
      <c r="P8761">
        <v>0</v>
      </c>
      <c r="Q8761">
        <v>0</v>
      </c>
      <c r="R8761" t="s">
        <v>40445</v>
      </c>
      <c r="S8761" t="s">
        <v>40730</v>
      </c>
      <c r="T8761" t="s">
        <v>42194</v>
      </c>
      <c r="U8761" t="s">
        <v>49980</v>
      </c>
      <c r="W8761" t="s">
        <v>39299</v>
      </c>
      <c r="X8761" t="s">
        <v>40446</v>
      </c>
    </row>
    <row r="8762" spans="1:24">
      <c r="A8762">
        <f>HYPERLINK("https://www.philgeps.gov.ph/GEPSNONPILOT/Tender/SplashBidNoticeAbstractUI.aspx?menuIndex=3&amp;refID=7022615&amp;Result=3","7022615")</f>
        <v>0</v>
      </c>
      <c r="B8762" t="s">
        <v>2529</v>
      </c>
      <c r="C8762" t="s">
        <v>11431</v>
      </c>
      <c r="D8762" t="s">
        <v>16245</v>
      </c>
      <c r="E8762" t="s">
        <v>23950</v>
      </c>
      <c r="F8762" t="s">
        <v>28198</v>
      </c>
      <c r="G8762" t="s">
        <v>28205</v>
      </c>
      <c r="H8762" t="s">
        <v>28215</v>
      </c>
      <c r="I8762" t="s">
        <v>6051</v>
      </c>
      <c r="J8762" t="s">
        <v>28398</v>
      </c>
      <c r="K8762" t="s">
        <v>36701</v>
      </c>
      <c r="M8762" t="s">
        <v>39738</v>
      </c>
      <c r="N8762" t="s">
        <v>40436</v>
      </c>
      <c r="O8762" t="s">
        <v>40437</v>
      </c>
      <c r="P8762">
        <v>0</v>
      </c>
      <c r="Q8762">
        <v>0</v>
      </c>
      <c r="R8762" t="s">
        <v>40446</v>
      </c>
      <c r="S8762" t="s">
        <v>40783</v>
      </c>
      <c r="T8762" t="s">
        <v>42319</v>
      </c>
      <c r="U8762" t="s">
        <v>49981</v>
      </c>
      <c r="W8762" t="s">
        <v>39738</v>
      </c>
      <c r="X8762" t="s">
        <v>40453</v>
      </c>
    </row>
    <row r="8763" spans="1:24">
      <c r="A8763">
        <f>HYPERLINK("https://www.philgeps.gov.ph/GEPSNONPILOT/Tender/SplashBidNoticeAbstractUI.aspx?menuIndex=3&amp;refID=7038150&amp;Result=3","7038150")</f>
        <v>0</v>
      </c>
      <c r="B8763" t="s">
        <v>2530</v>
      </c>
      <c r="C8763" t="s">
        <v>11432</v>
      </c>
      <c r="D8763" t="s">
        <v>16190</v>
      </c>
      <c r="E8763" t="s">
        <v>23951</v>
      </c>
      <c r="F8763" t="s">
        <v>28198</v>
      </c>
      <c r="G8763" t="s">
        <v>28205</v>
      </c>
      <c r="H8763" t="s">
        <v>28215</v>
      </c>
      <c r="I8763" t="s">
        <v>3422</v>
      </c>
      <c r="J8763" t="s">
        <v>28356</v>
      </c>
      <c r="K8763" t="s">
        <v>36688</v>
      </c>
      <c r="L8763" t="s">
        <v>2530</v>
      </c>
      <c r="M8763" t="s">
        <v>39739</v>
      </c>
      <c r="N8763" t="s">
        <v>40436</v>
      </c>
      <c r="O8763" t="s">
        <v>40437</v>
      </c>
      <c r="P8763">
        <v>0</v>
      </c>
      <c r="Q8763">
        <v>0</v>
      </c>
      <c r="R8763" t="s">
        <v>40445</v>
      </c>
      <c r="S8763" t="s">
        <v>40730</v>
      </c>
      <c r="T8763" t="s">
        <v>42138</v>
      </c>
      <c r="U8763" t="s">
        <v>49982</v>
      </c>
      <c r="V8763" t="s">
        <v>54723</v>
      </c>
      <c r="W8763" t="s">
        <v>39739</v>
      </c>
      <c r="X8763" t="s">
        <v>40446</v>
      </c>
    </row>
    <row r="8764" spans="1:24">
      <c r="A8764">
        <f>HYPERLINK("https://www.philgeps.gov.ph/GEPSNONPILOT/Tender/SplashBidNoticeAbstractUI.aspx?menuIndex=3&amp;refID=7023992&amp;Result=3","7023992")</f>
        <v>0</v>
      </c>
      <c r="B8764" t="s">
        <v>2528</v>
      </c>
      <c r="C8764" t="s">
        <v>11433</v>
      </c>
      <c r="D8764" t="s">
        <v>16200</v>
      </c>
      <c r="E8764" t="s">
        <v>22038</v>
      </c>
      <c r="F8764" t="s">
        <v>28198</v>
      </c>
      <c r="G8764" t="s">
        <v>28205</v>
      </c>
      <c r="H8764" t="s">
        <v>28215</v>
      </c>
      <c r="I8764" t="s">
        <v>28243</v>
      </c>
      <c r="J8764" t="s">
        <v>33822</v>
      </c>
      <c r="K8764" t="s">
        <v>36701</v>
      </c>
      <c r="M8764" t="s">
        <v>39736</v>
      </c>
      <c r="N8764" t="s">
        <v>40436</v>
      </c>
      <c r="O8764" t="s">
        <v>40437</v>
      </c>
      <c r="P8764">
        <v>0</v>
      </c>
      <c r="Q8764">
        <v>1</v>
      </c>
      <c r="R8764" t="s">
        <v>40446</v>
      </c>
      <c r="S8764" t="s">
        <v>40783</v>
      </c>
      <c r="T8764" t="s">
        <v>42234</v>
      </c>
      <c r="U8764" t="s">
        <v>49983</v>
      </c>
      <c r="V8764" t="s">
        <v>54722</v>
      </c>
      <c r="W8764" t="s">
        <v>39736</v>
      </c>
      <c r="X8764" t="s">
        <v>40453</v>
      </c>
    </row>
    <row r="8765" spans="1:24">
      <c r="A8765">
        <f>HYPERLINK("https://www.philgeps.gov.ph/GEPSNONPILOT/Tender/SplashBidNoticeAbstractUI.aspx?menuIndex=3&amp;refID=7038149&amp;Result=3","7038149")</f>
        <v>0</v>
      </c>
      <c r="B8765" t="s">
        <v>977</v>
      </c>
      <c r="C8765" t="s">
        <v>11434</v>
      </c>
      <c r="D8765" t="s">
        <v>16217</v>
      </c>
      <c r="E8765" t="s">
        <v>23952</v>
      </c>
      <c r="F8765" t="s">
        <v>28198</v>
      </c>
      <c r="G8765" t="s">
        <v>28205</v>
      </c>
      <c r="H8765" t="s">
        <v>28215</v>
      </c>
      <c r="I8765" t="s">
        <v>28228</v>
      </c>
      <c r="J8765" t="s">
        <v>33823</v>
      </c>
      <c r="K8765" t="s">
        <v>36697</v>
      </c>
      <c r="M8765" t="s">
        <v>38003</v>
      </c>
      <c r="N8765" t="s">
        <v>40436</v>
      </c>
      <c r="O8765" t="s">
        <v>40437</v>
      </c>
      <c r="P8765">
        <v>0</v>
      </c>
      <c r="Q8765">
        <v>0</v>
      </c>
      <c r="R8765" t="s">
        <v>40445</v>
      </c>
      <c r="S8765" t="s">
        <v>40730</v>
      </c>
      <c r="T8765" t="s">
        <v>42138</v>
      </c>
      <c r="U8765" t="s">
        <v>49984</v>
      </c>
      <c r="W8765" t="s">
        <v>55469</v>
      </c>
      <c r="X8765" t="s">
        <v>40446</v>
      </c>
    </row>
    <row r="8766" spans="1:24">
      <c r="A8766">
        <f>HYPERLINK("https://www.philgeps.gov.ph/GEPSNONPILOT/Tender/SplashBidNoticeAbstractUI.aspx?menuIndex=3&amp;refID=7024022&amp;Result=3","7024022")</f>
        <v>0</v>
      </c>
      <c r="B8766" t="s">
        <v>2528</v>
      </c>
      <c r="C8766" t="s">
        <v>11435</v>
      </c>
      <c r="D8766" t="s">
        <v>16223</v>
      </c>
      <c r="E8766" t="s">
        <v>20336</v>
      </c>
      <c r="F8766" t="s">
        <v>28198</v>
      </c>
      <c r="G8766" t="s">
        <v>28205</v>
      </c>
      <c r="H8766" t="s">
        <v>28215</v>
      </c>
      <c r="I8766" t="s">
        <v>4200</v>
      </c>
      <c r="J8766" t="s">
        <v>33824</v>
      </c>
      <c r="K8766" t="s">
        <v>36701</v>
      </c>
      <c r="M8766" t="s">
        <v>39736</v>
      </c>
      <c r="N8766" t="s">
        <v>40436</v>
      </c>
      <c r="O8766" t="s">
        <v>40437</v>
      </c>
      <c r="P8766">
        <v>0</v>
      </c>
      <c r="Q8766">
        <v>0</v>
      </c>
      <c r="R8766" t="s">
        <v>40446</v>
      </c>
      <c r="S8766" t="s">
        <v>40783</v>
      </c>
      <c r="T8766" t="s">
        <v>42234</v>
      </c>
      <c r="U8766" t="s">
        <v>49985</v>
      </c>
      <c r="V8766" t="s">
        <v>54722</v>
      </c>
      <c r="W8766" t="s">
        <v>39736</v>
      </c>
      <c r="X8766" t="s">
        <v>40453</v>
      </c>
    </row>
    <row r="8767" spans="1:24">
      <c r="A8767">
        <f>HYPERLINK("https://www.philgeps.gov.ph/GEPSNONPILOT/Tender/SplashBidNoticeAbstractUI.aspx?menuIndex=3&amp;refID=7026028&amp;Result=3","7026028")</f>
        <v>0</v>
      </c>
      <c r="B8767" t="s">
        <v>566</v>
      </c>
      <c r="C8767" t="s">
        <v>11436</v>
      </c>
      <c r="E8767" t="s">
        <v>23953</v>
      </c>
      <c r="F8767" t="s">
        <v>28198</v>
      </c>
      <c r="G8767" t="s">
        <v>28205</v>
      </c>
      <c r="H8767" t="s">
        <v>28215</v>
      </c>
      <c r="I8767" t="s">
        <v>8888</v>
      </c>
      <c r="J8767" t="s">
        <v>33825</v>
      </c>
      <c r="K8767" t="s">
        <v>36689</v>
      </c>
      <c r="M8767" t="s">
        <v>38045</v>
      </c>
      <c r="N8767" t="s">
        <v>40436</v>
      </c>
      <c r="O8767" t="s">
        <v>40437</v>
      </c>
      <c r="P8767">
        <v>0</v>
      </c>
      <c r="Q8767">
        <v>0</v>
      </c>
      <c r="R8767" t="s">
        <v>40446</v>
      </c>
      <c r="S8767" t="s">
        <v>40783</v>
      </c>
      <c r="T8767" t="s">
        <v>42168</v>
      </c>
      <c r="U8767" t="s">
        <v>49986</v>
      </c>
      <c r="W8767" t="s">
        <v>38045</v>
      </c>
      <c r="X8767" t="s">
        <v>40452</v>
      </c>
    </row>
    <row r="8768" spans="1:24">
      <c r="A8768">
        <f>HYPERLINK("https://www.philgeps.gov.ph/GEPSNONPILOT/Tender/SplashBidNoticeAbstractUI.aspx?menuIndex=3&amp;refID=7024007&amp;Result=3","7024007")</f>
        <v>0</v>
      </c>
      <c r="B8768" t="s">
        <v>2528</v>
      </c>
      <c r="C8768" t="s">
        <v>11437</v>
      </c>
      <c r="D8768" t="s">
        <v>16223</v>
      </c>
      <c r="E8768" t="s">
        <v>20303</v>
      </c>
      <c r="F8768" t="s">
        <v>28198</v>
      </c>
      <c r="G8768" t="s">
        <v>28205</v>
      </c>
      <c r="H8768" t="s">
        <v>28215</v>
      </c>
      <c r="I8768" t="s">
        <v>28243</v>
      </c>
      <c r="J8768" t="s">
        <v>33826</v>
      </c>
      <c r="K8768" t="s">
        <v>36701</v>
      </c>
      <c r="M8768" t="s">
        <v>39736</v>
      </c>
      <c r="N8768" t="s">
        <v>40436</v>
      </c>
      <c r="O8768" t="s">
        <v>40437</v>
      </c>
      <c r="P8768">
        <v>0</v>
      </c>
      <c r="Q8768">
        <v>1</v>
      </c>
      <c r="R8768" t="s">
        <v>40446</v>
      </c>
      <c r="S8768" t="s">
        <v>40783</v>
      </c>
      <c r="T8768" t="s">
        <v>42234</v>
      </c>
      <c r="U8768" t="s">
        <v>49987</v>
      </c>
      <c r="V8768" t="s">
        <v>54722</v>
      </c>
      <c r="W8768" t="s">
        <v>39736</v>
      </c>
      <c r="X8768" t="s">
        <v>40453</v>
      </c>
    </row>
    <row r="8769" spans="1:24">
      <c r="A8769">
        <f>HYPERLINK("https://www.philgeps.gov.ph/GEPSNONPILOT/Tender/SplashBidNoticeAbstractUI.aspx?menuIndex=3&amp;refID=7026152&amp;Result=3","7026152")</f>
        <v>0</v>
      </c>
      <c r="B8769" t="s">
        <v>1354</v>
      </c>
      <c r="C8769" t="s">
        <v>11438</v>
      </c>
      <c r="D8769" t="s">
        <v>16238</v>
      </c>
      <c r="E8769" t="s">
        <v>23954</v>
      </c>
      <c r="F8769" t="s">
        <v>28198</v>
      </c>
      <c r="G8769" t="s">
        <v>28205</v>
      </c>
      <c r="H8769" t="s">
        <v>28215</v>
      </c>
      <c r="I8769" t="s">
        <v>5103</v>
      </c>
      <c r="J8769" t="s">
        <v>33827</v>
      </c>
      <c r="K8769" t="s">
        <v>36701</v>
      </c>
      <c r="M8769" t="s">
        <v>38412</v>
      </c>
      <c r="N8769" t="s">
        <v>40436</v>
      </c>
      <c r="O8769" t="s">
        <v>40437</v>
      </c>
      <c r="Q8769">
        <v>7</v>
      </c>
      <c r="R8769" t="s">
        <v>40446</v>
      </c>
      <c r="S8769" t="s">
        <v>40790</v>
      </c>
      <c r="T8769" t="s">
        <v>42203</v>
      </c>
      <c r="U8769" t="s">
        <v>49988</v>
      </c>
      <c r="W8769" t="s">
        <v>38412</v>
      </c>
      <c r="X8769" t="s">
        <v>40452</v>
      </c>
    </row>
    <row r="8770" spans="1:24">
      <c r="A8770">
        <f>HYPERLINK("https://www.philgeps.gov.ph/GEPSNONPILOT/Tender/SplashBidNoticeAbstractUI.aspx?menuIndex=3&amp;refID=7024458&amp;Result=3","7024458")</f>
        <v>0</v>
      </c>
      <c r="B8770" t="s">
        <v>566</v>
      </c>
      <c r="C8770" t="s">
        <v>11439</v>
      </c>
      <c r="E8770" t="s">
        <v>23955</v>
      </c>
      <c r="F8770" t="s">
        <v>28198</v>
      </c>
      <c r="G8770" t="s">
        <v>28205</v>
      </c>
      <c r="H8770" t="s">
        <v>28215</v>
      </c>
      <c r="I8770" t="s">
        <v>8888</v>
      </c>
      <c r="J8770" t="s">
        <v>33828</v>
      </c>
      <c r="K8770" t="s">
        <v>36689</v>
      </c>
      <c r="M8770" t="s">
        <v>38045</v>
      </c>
      <c r="N8770" t="s">
        <v>40436</v>
      </c>
      <c r="O8770" t="s">
        <v>40437</v>
      </c>
      <c r="P8770">
        <v>0</v>
      </c>
      <c r="Q8770">
        <v>1</v>
      </c>
      <c r="R8770" t="s">
        <v>40446</v>
      </c>
      <c r="S8770" t="s">
        <v>40783</v>
      </c>
      <c r="T8770" t="s">
        <v>42168</v>
      </c>
      <c r="U8770" t="s">
        <v>49989</v>
      </c>
      <c r="W8770" t="s">
        <v>38045</v>
      </c>
      <c r="X8770" t="s">
        <v>40452</v>
      </c>
    </row>
    <row r="8771" spans="1:24">
      <c r="A8771">
        <f>HYPERLINK("https://www.philgeps.gov.ph/GEPSNONPILOT/Tender/SplashBidNoticeAbstractUI.aspx?menuIndex=3&amp;refID=7025638&amp;Result=3","7025638")</f>
        <v>0</v>
      </c>
      <c r="B8771" t="s">
        <v>2531</v>
      </c>
      <c r="C8771" t="s">
        <v>11440</v>
      </c>
      <c r="D8771" t="s">
        <v>16207</v>
      </c>
      <c r="E8771" t="s">
        <v>23956</v>
      </c>
      <c r="F8771" t="s">
        <v>28198</v>
      </c>
      <c r="G8771" t="s">
        <v>28205</v>
      </c>
      <c r="H8771" t="s">
        <v>28215</v>
      </c>
      <c r="I8771" t="s">
        <v>28227</v>
      </c>
      <c r="J8771" t="s">
        <v>33829</v>
      </c>
      <c r="K8771" t="s">
        <v>36695</v>
      </c>
      <c r="M8771" t="s">
        <v>39740</v>
      </c>
      <c r="N8771" t="s">
        <v>40436</v>
      </c>
      <c r="O8771" t="s">
        <v>40437</v>
      </c>
      <c r="P8771">
        <v>0</v>
      </c>
      <c r="Q8771">
        <v>1</v>
      </c>
      <c r="R8771" t="s">
        <v>40446</v>
      </c>
      <c r="S8771" t="s">
        <v>40783</v>
      </c>
      <c r="T8771" t="s">
        <v>42279</v>
      </c>
      <c r="U8771" t="s">
        <v>49990</v>
      </c>
      <c r="W8771" t="s">
        <v>55519</v>
      </c>
      <c r="X8771" t="s">
        <v>40452</v>
      </c>
    </row>
    <row r="8772" spans="1:24">
      <c r="A8772">
        <f>HYPERLINK("https://www.philgeps.gov.ph/GEPSNONPILOT/Tender/SplashBidNoticeAbstractUI.aspx?menuIndex=3&amp;refID=7025586&amp;Result=3","7025586")</f>
        <v>0</v>
      </c>
      <c r="B8772" t="s">
        <v>2532</v>
      </c>
      <c r="C8772" t="s">
        <v>11441</v>
      </c>
      <c r="D8772" t="s">
        <v>16227</v>
      </c>
      <c r="E8772" t="s">
        <v>23957</v>
      </c>
      <c r="F8772" t="s">
        <v>28198</v>
      </c>
      <c r="G8772" t="s">
        <v>28205</v>
      </c>
      <c r="H8772" t="s">
        <v>28215</v>
      </c>
      <c r="I8772" t="s">
        <v>28222</v>
      </c>
      <c r="J8772" t="s">
        <v>32515</v>
      </c>
      <c r="K8772" t="s">
        <v>36701</v>
      </c>
      <c r="M8772" t="s">
        <v>39741</v>
      </c>
      <c r="N8772" t="s">
        <v>40436</v>
      </c>
      <c r="O8772" t="s">
        <v>40437</v>
      </c>
      <c r="P8772">
        <v>0</v>
      </c>
      <c r="Q8772">
        <v>11</v>
      </c>
      <c r="R8772" t="s">
        <v>40446</v>
      </c>
      <c r="S8772" t="s">
        <v>40783</v>
      </c>
      <c r="T8772" t="s">
        <v>42319</v>
      </c>
      <c r="U8772" t="s">
        <v>49991</v>
      </c>
      <c r="W8772" t="s">
        <v>39741</v>
      </c>
      <c r="X8772" t="s">
        <v>40452</v>
      </c>
    </row>
    <row r="8773" spans="1:24">
      <c r="A8773">
        <f>HYPERLINK("https://www.philgeps.gov.ph/GEPSNONPILOT/Tender/SplashBidNoticeAbstractUI.aspx?menuIndex=3&amp;refID=7024421&amp;Result=3","7024421")</f>
        <v>0</v>
      </c>
      <c r="B8773" t="s">
        <v>566</v>
      </c>
      <c r="C8773" t="s">
        <v>11442</v>
      </c>
      <c r="E8773" t="s">
        <v>23958</v>
      </c>
      <c r="F8773" t="s">
        <v>28198</v>
      </c>
      <c r="G8773" t="s">
        <v>28205</v>
      </c>
      <c r="H8773" t="s">
        <v>28215</v>
      </c>
      <c r="I8773" t="s">
        <v>8888</v>
      </c>
      <c r="J8773" t="s">
        <v>33830</v>
      </c>
      <c r="K8773" t="s">
        <v>36689</v>
      </c>
      <c r="M8773" t="s">
        <v>38045</v>
      </c>
      <c r="N8773" t="s">
        <v>40436</v>
      </c>
      <c r="O8773" t="s">
        <v>40437</v>
      </c>
      <c r="P8773">
        <v>0</v>
      </c>
      <c r="Q8773">
        <v>10</v>
      </c>
      <c r="R8773" t="s">
        <v>40446</v>
      </c>
      <c r="S8773" t="s">
        <v>40783</v>
      </c>
      <c r="T8773" t="s">
        <v>42168</v>
      </c>
      <c r="U8773" t="s">
        <v>49992</v>
      </c>
      <c r="W8773" t="s">
        <v>38045</v>
      </c>
      <c r="X8773" t="s">
        <v>40452</v>
      </c>
    </row>
    <row r="8774" spans="1:24">
      <c r="A8774">
        <f>HYPERLINK("https://www.philgeps.gov.ph/GEPSNONPILOT/Tender/SplashBidNoticeAbstractUI.aspx?menuIndex=3&amp;refID=7025369&amp;Result=3","7025369")</f>
        <v>0</v>
      </c>
      <c r="B8774" t="s">
        <v>1687</v>
      </c>
      <c r="C8774" t="s">
        <v>11443</v>
      </c>
      <c r="D8774" t="s">
        <v>16200</v>
      </c>
      <c r="E8774" t="s">
        <v>23959</v>
      </c>
      <c r="F8774" t="s">
        <v>28198</v>
      </c>
      <c r="G8774" t="s">
        <v>28205</v>
      </c>
      <c r="H8774" t="s">
        <v>28214</v>
      </c>
      <c r="I8774" t="s">
        <v>3797</v>
      </c>
      <c r="J8774" t="s">
        <v>33831</v>
      </c>
      <c r="K8774" t="s">
        <v>36879</v>
      </c>
      <c r="M8774" t="s">
        <v>38784</v>
      </c>
      <c r="N8774" t="s">
        <v>40436</v>
      </c>
      <c r="O8774" t="s">
        <v>40437</v>
      </c>
      <c r="P8774">
        <v>0</v>
      </c>
      <c r="Q8774">
        <v>1</v>
      </c>
      <c r="R8774" t="s">
        <v>40446</v>
      </c>
      <c r="S8774" t="s">
        <v>40783</v>
      </c>
      <c r="T8774" t="s">
        <v>42390</v>
      </c>
      <c r="U8774" t="s">
        <v>49993</v>
      </c>
      <c r="W8774" t="s">
        <v>38784</v>
      </c>
      <c r="X8774" t="s">
        <v>40452</v>
      </c>
    </row>
    <row r="8775" spans="1:24">
      <c r="A8775">
        <f>HYPERLINK("https://www.philgeps.gov.ph/GEPSNONPILOT/Tender/SplashBidNoticeAbstractUI.aspx?menuIndex=3&amp;refID=7024470&amp;Result=3","7024470")</f>
        <v>0</v>
      </c>
      <c r="B8775" t="s">
        <v>566</v>
      </c>
      <c r="C8775" t="s">
        <v>11444</v>
      </c>
      <c r="E8775" t="s">
        <v>23960</v>
      </c>
      <c r="F8775" t="s">
        <v>28198</v>
      </c>
      <c r="G8775" t="s">
        <v>28205</v>
      </c>
      <c r="H8775" t="s">
        <v>28215</v>
      </c>
      <c r="I8775" t="s">
        <v>8888</v>
      </c>
      <c r="J8775" t="s">
        <v>33832</v>
      </c>
      <c r="K8775" t="s">
        <v>36689</v>
      </c>
      <c r="M8775" t="s">
        <v>38045</v>
      </c>
      <c r="N8775" t="s">
        <v>40436</v>
      </c>
      <c r="O8775" t="s">
        <v>40437</v>
      </c>
      <c r="P8775">
        <v>0</v>
      </c>
      <c r="Q8775">
        <v>1</v>
      </c>
      <c r="R8775" t="s">
        <v>40446</v>
      </c>
      <c r="S8775" t="s">
        <v>40783</v>
      </c>
      <c r="T8775" t="s">
        <v>42168</v>
      </c>
      <c r="U8775" t="s">
        <v>49994</v>
      </c>
      <c r="W8775" t="s">
        <v>38045</v>
      </c>
      <c r="X8775" t="s">
        <v>40452</v>
      </c>
    </row>
    <row r="8776" spans="1:24">
      <c r="A8776">
        <f>HYPERLINK("https://www.philgeps.gov.ph/GEPSNONPILOT/Tender/SplashBidNoticeAbstractUI.aspx?menuIndex=3&amp;refID=7026012&amp;Result=3","7026012")</f>
        <v>0</v>
      </c>
      <c r="B8776" t="s">
        <v>566</v>
      </c>
      <c r="C8776" t="s">
        <v>11445</v>
      </c>
      <c r="E8776" t="s">
        <v>23961</v>
      </c>
      <c r="F8776" t="s">
        <v>28198</v>
      </c>
      <c r="G8776" t="s">
        <v>28205</v>
      </c>
      <c r="H8776" t="s">
        <v>28215</v>
      </c>
      <c r="I8776" t="s">
        <v>8888</v>
      </c>
      <c r="J8776" t="s">
        <v>33833</v>
      </c>
      <c r="K8776" t="s">
        <v>36689</v>
      </c>
      <c r="M8776" t="s">
        <v>38045</v>
      </c>
      <c r="N8776" t="s">
        <v>40436</v>
      </c>
      <c r="O8776" t="s">
        <v>40437</v>
      </c>
      <c r="P8776">
        <v>0</v>
      </c>
      <c r="Q8776">
        <v>0</v>
      </c>
      <c r="R8776" t="s">
        <v>40446</v>
      </c>
      <c r="S8776" t="s">
        <v>40783</v>
      </c>
      <c r="T8776" t="s">
        <v>42168</v>
      </c>
      <c r="U8776" t="s">
        <v>49995</v>
      </c>
      <c r="W8776" t="s">
        <v>38045</v>
      </c>
      <c r="X8776" t="s">
        <v>40452</v>
      </c>
    </row>
    <row r="8777" spans="1:24">
      <c r="A8777">
        <f>HYPERLINK("https://www.philgeps.gov.ph/GEPSNONPILOT/Tender/SplashBidNoticeAbstractUI.aspx?menuIndex=3&amp;refID=7026258&amp;Result=3","7026258")</f>
        <v>0</v>
      </c>
      <c r="B8777" t="s">
        <v>566</v>
      </c>
      <c r="C8777" t="s">
        <v>11446</v>
      </c>
      <c r="E8777" t="s">
        <v>23962</v>
      </c>
      <c r="F8777" t="s">
        <v>28198</v>
      </c>
      <c r="G8777" t="s">
        <v>28205</v>
      </c>
      <c r="H8777" t="s">
        <v>28215</v>
      </c>
      <c r="I8777" t="s">
        <v>8888</v>
      </c>
      <c r="J8777" t="s">
        <v>33834</v>
      </c>
      <c r="K8777" t="s">
        <v>36689</v>
      </c>
      <c r="M8777" t="s">
        <v>38045</v>
      </c>
      <c r="N8777" t="s">
        <v>40436</v>
      </c>
      <c r="O8777" t="s">
        <v>40437</v>
      </c>
      <c r="P8777">
        <v>0</v>
      </c>
      <c r="Q8777">
        <v>0</v>
      </c>
      <c r="R8777" t="s">
        <v>40446</v>
      </c>
      <c r="S8777" t="s">
        <v>40783</v>
      </c>
      <c r="T8777" t="s">
        <v>42168</v>
      </c>
      <c r="U8777" t="s">
        <v>49996</v>
      </c>
      <c r="W8777" t="s">
        <v>38045</v>
      </c>
      <c r="X8777" t="s">
        <v>40452</v>
      </c>
    </row>
    <row r="8778" spans="1:24">
      <c r="A8778">
        <f>HYPERLINK("https://www.philgeps.gov.ph/GEPSNONPILOT/Tender/SplashBidNoticeAbstractUI.aspx?menuIndex=3&amp;refID=7024826&amp;Result=3","7024826")</f>
        <v>0</v>
      </c>
      <c r="B8778" t="s">
        <v>2117</v>
      </c>
      <c r="C8778" t="s">
        <v>11447</v>
      </c>
      <c r="D8778" t="s">
        <v>16228</v>
      </c>
      <c r="E8778" t="s">
        <v>23963</v>
      </c>
      <c r="F8778" t="s">
        <v>28198</v>
      </c>
      <c r="G8778" t="s">
        <v>28205</v>
      </c>
      <c r="H8778" t="s">
        <v>28215</v>
      </c>
      <c r="I8778" t="s">
        <v>28228</v>
      </c>
      <c r="J8778" t="s">
        <v>31858</v>
      </c>
      <c r="K8778" t="s">
        <v>36701</v>
      </c>
      <c r="M8778" t="s">
        <v>39271</v>
      </c>
      <c r="N8778" t="s">
        <v>40436</v>
      </c>
      <c r="O8778" t="s">
        <v>40437</v>
      </c>
      <c r="P8778">
        <v>0</v>
      </c>
      <c r="Q8778">
        <v>0</v>
      </c>
      <c r="R8778" t="s">
        <v>40446</v>
      </c>
      <c r="S8778" t="s">
        <v>40783</v>
      </c>
      <c r="T8778" t="s">
        <v>42110</v>
      </c>
      <c r="U8778" t="s">
        <v>49997</v>
      </c>
      <c r="W8778" t="s">
        <v>39271</v>
      </c>
      <c r="X8778" t="s">
        <v>40452</v>
      </c>
    </row>
    <row r="8779" spans="1:24">
      <c r="A8779">
        <f>HYPERLINK("https://www.philgeps.gov.ph/GEPSNONPILOT/Tender/SplashBidNoticeAbstractUI.aspx?menuIndex=3&amp;refID=7025391&amp;Result=3","7025391")</f>
        <v>0</v>
      </c>
      <c r="B8779" t="s">
        <v>48</v>
      </c>
      <c r="C8779" t="s">
        <v>11448</v>
      </c>
      <c r="D8779" t="s">
        <v>16204</v>
      </c>
      <c r="E8779" t="s">
        <v>23964</v>
      </c>
      <c r="F8779" t="s">
        <v>28198</v>
      </c>
      <c r="G8779" t="s">
        <v>28205</v>
      </c>
      <c r="H8779" t="s">
        <v>28214</v>
      </c>
      <c r="I8779" t="s">
        <v>3797</v>
      </c>
      <c r="J8779" t="s">
        <v>33835</v>
      </c>
      <c r="K8779" t="s">
        <v>36842</v>
      </c>
      <c r="M8779" t="s">
        <v>39742</v>
      </c>
      <c r="N8779" t="s">
        <v>40436</v>
      </c>
      <c r="O8779" t="s">
        <v>40437</v>
      </c>
      <c r="Q8779">
        <v>7</v>
      </c>
      <c r="R8779" t="s">
        <v>40446</v>
      </c>
      <c r="S8779" t="s">
        <v>40791</v>
      </c>
      <c r="T8779" t="s">
        <v>42234</v>
      </c>
      <c r="U8779" t="s">
        <v>49998</v>
      </c>
      <c r="V8779" t="s">
        <v>46476</v>
      </c>
      <c r="W8779" t="s">
        <v>39742</v>
      </c>
      <c r="X8779" t="s">
        <v>40452</v>
      </c>
    </row>
    <row r="8780" spans="1:24">
      <c r="A8780">
        <f>HYPERLINK("https://www.philgeps.gov.ph/GEPSNONPILOT/Tender/SplashBidNoticeAbstractUI.aspx?menuIndex=3&amp;refID=7026177&amp;Result=3","7026177")</f>
        <v>0</v>
      </c>
      <c r="B8780" t="s">
        <v>1354</v>
      </c>
      <c r="C8780" t="s">
        <v>11449</v>
      </c>
      <c r="D8780" t="s">
        <v>16238</v>
      </c>
      <c r="E8780" t="s">
        <v>11449</v>
      </c>
      <c r="F8780" t="s">
        <v>28198</v>
      </c>
      <c r="G8780" t="s">
        <v>28205</v>
      </c>
      <c r="H8780" t="s">
        <v>28215</v>
      </c>
      <c r="I8780" t="s">
        <v>5103</v>
      </c>
      <c r="J8780" t="s">
        <v>29369</v>
      </c>
      <c r="K8780" t="s">
        <v>36701</v>
      </c>
      <c r="M8780" t="s">
        <v>38412</v>
      </c>
      <c r="N8780" t="s">
        <v>40436</v>
      </c>
      <c r="O8780" t="s">
        <v>40437</v>
      </c>
      <c r="Q8780">
        <v>3</v>
      </c>
      <c r="R8780" t="s">
        <v>40446</v>
      </c>
      <c r="S8780" t="s">
        <v>40792</v>
      </c>
      <c r="T8780" t="s">
        <v>42188</v>
      </c>
      <c r="U8780" t="s">
        <v>49999</v>
      </c>
      <c r="W8780" t="s">
        <v>38412</v>
      </c>
      <c r="X8780" t="s">
        <v>40452</v>
      </c>
    </row>
    <row r="8781" spans="1:24">
      <c r="A8781">
        <f>HYPERLINK("https://www.philgeps.gov.ph/GEPSNONPILOT/Tender/SplashBidNoticeAbstractUI.aspx?menuIndex=3&amp;refID=7026230&amp;Result=3","7026230")</f>
        <v>0</v>
      </c>
      <c r="B8781" t="s">
        <v>1354</v>
      </c>
      <c r="C8781" t="s">
        <v>11450</v>
      </c>
      <c r="D8781" t="s">
        <v>16238</v>
      </c>
      <c r="E8781" t="s">
        <v>11450</v>
      </c>
      <c r="F8781" t="s">
        <v>28198</v>
      </c>
      <c r="G8781" t="s">
        <v>28205</v>
      </c>
      <c r="H8781" t="s">
        <v>28215</v>
      </c>
      <c r="I8781" t="s">
        <v>5082</v>
      </c>
      <c r="J8781" t="s">
        <v>33836</v>
      </c>
      <c r="K8781" t="s">
        <v>36701</v>
      </c>
      <c r="M8781" t="s">
        <v>38412</v>
      </c>
      <c r="N8781" t="s">
        <v>40436</v>
      </c>
      <c r="O8781" t="s">
        <v>40437</v>
      </c>
      <c r="Q8781">
        <v>7</v>
      </c>
      <c r="R8781" t="s">
        <v>40446</v>
      </c>
      <c r="S8781" t="s">
        <v>40793</v>
      </c>
      <c r="T8781" t="s">
        <v>42188</v>
      </c>
      <c r="U8781" t="s">
        <v>50000</v>
      </c>
      <c r="W8781" t="s">
        <v>38412</v>
      </c>
      <c r="X8781" t="s">
        <v>40452</v>
      </c>
    </row>
    <row r="8782" spans="1:24">
      <c r="A8782">
        <f>HYPERLINK("https://www.philgeps.gov.ph/GEPSNONPILOT/Tender/SplashBidNoticeAbstractUI.aspx?menuIndex=3&amp;refID=7026250&amp;Result=3","7026250")</f>
        <v>0</v>
      </c>
      <c r="B8782" t="s">
        <v>1354</v>
      </c>
      <c r="C8782" t="s">
        <v>11451</v>
      </c>
      <c r="D8782" t="s">
        <v>16238</v>
      </c>
      <c r="E8782" t="s">
        <v>23965</v>
      </c>
      <c r="F8782" t="s">
        <v>28198</v>
      </c>
      <c r="G8782" t="s">
        <v>28205</v>
      </c>
      <c r="H8782" t="s">
        <v>28215</v>
      </c>
      <c r="I8782" t="s">
        <v>28234</v>
      </c>
      <c r="J8782" t="s">
        <v>33837</v>
      </c>
      <c r="K8782" t="s">
        <v>36701</v>
      </c>
      <c r="M8782" t="s">
        <v>38412</v>
      </c>
      <c r="N8782" t="s">
        <v>40436</v>
      </c>
      <c r="O8782" t="s">
        <v>40437</v>
      </c>
      <c r="Q8782">
        <v>1</v>
      </c>
      <c r="R8782" t="s">
        <v>40446</v>
      </c>
      <c r="S8782" t="s">
        <v>40794</v>
      </c>
      <c r="T8782" t="s">
        <v>42188</v>
      </c>
      <c r="U8782" t="s">
        <v>50001</v>
      </c>
      <c r="W8782" t="s">
        <v>38412</v>
      </c>
      <c r="X8782" t="s">
        <v>40452</v>
      </c>
    </row>
    <row r="8783" spans="1:24">
      <c r="A8783">
        <f>HYPERLINK("https://www.philgeps.gov.ph/GEPSNONPILOT/Tender/SplashBidNoticeAbstractUI.aspx?menuIndex=3&amp;refID=7024029&amp;Result=3","7024029")</f>
        <v>0</v>
      </c>
      <c r="B8783" t="s">
        <v>2528</v>
      </c>
      <c r="C8783" t="s">
        <v>11452</v>
      </c>
      <c r="D8783" t="s">
        <v>16200</v>
      </c>
      <c r="E8783" t="s">
        <v>20337</v>
      </c>
      <c r="F8783" t="s">
        <v>28198</v>
      </c>
      <c r="G8783" t="s">
        <v>28205</v>
      </c>
      <c r="H8783" t="s">
        <v>28215</v>
      </c>
      <c r="I8783" t="s">
        <v>28222</v>
      </c>
      <c r="J8783" t="s">
        <v>29291</v>
      </c>
      <c r="K8783" t="s">
        <v>36701</v>
      </c>
      <c r="M8783" t="s">
        <v>39736</v>
      </c>
      <c r="N8783" t="s">
        <v>40436</v>
      </c>
      <c r="O8783" t="s">
        <v>40437</v>
      </c>
      <c r="P8783">
        <v>0</v>
      </c>
      <c r="Q8783">
        <v>3</v>
      </c>
      <c r="R8783" t="s">
        <v>40446</v>
      </c>
      <c r="S8783" t="s">
        <v>40783</v>
      </c>
      <c r="T8783" t="s">
        <v>42234</v>
      </c>
      <c r="U8783" t="s">
        <v>50002</v>
      </c>
      <c r="V8783" t="s">
        <v>54722</v>
      </c>
      <c r="W8783" t="s">
        <v>39736</v>
      </c>
      <c r="X8783" t="s">
        <v>40453</v>
      </c>
    </row>
    <row r="8784" spans="1:24">
      <c r="A8784">
        <f>HYPERLINK("https://www.philgeps.gov.ph/GEPSNONPILOT/Tender/SplashBidNoticeAbstractUI.aspx?menuIndex=3&amp;refID=7026307&amp;Result=3","7026307")</f>
        <v>0</v>
      </c>
      <c r="B8784" t="s">
        <v>566</v>
      </c>
      <c r="C8784" t="s">
        <v>11453</v>
      </c>
      <c r="E8784" t="s">
        <v>23966</v>
      </c>
      <c r="F8784" t="s">
        <v>28198</v>
      </c>
      <c r="G8784" t="s">
        <v>28205</v>
      </c>
      <c r="H8784" t="s">
        <v>28215</v>
      </c>
      <c r="I8784" t="s">
        <v>8888</v>
      </c>
      <c r="J8784" t="s">
        <v>33838</v>
      </c>
      <c r="K8784" t="s">
        <v>36689</v>
      </c>
      <c r="M8784" t="s">
        <v>38045</v>
      </c>
      <c r="N8784" t="s">
        <v>40436</v>
      </c>
      <c r="O8784" t="s">
        <v>40437</v>
      </c>
      <c r="P8784">
        <v>0</v>
      </c>
      <c r="Q8784">
        <v>0</v>
      </c>
      <c r="R8784" t="s">
        <v>40446</v>
      </c>
      <c r="S8784" t="s">
        <v>40783</v>
      </c>
      <c r="T8784" t="s">
        <v>42168</v>
      </c>
      <c r="U8784" t="s">
        <v>50003</v>
      </c>
      <c r="W8784" t="s">
        <v>38045</v>
      </c>
      <c r="X8784" t="s">
        <v>40452</v>
      </c>
    </row>
    <row r="8785" spans="1:24">
      <c r="A8785">
        <f>HYPERLINK("https://www.philgeps.gov.ph/GEPSNONPILOT/Tender/SplashBidNoticeAbstractUI.aspx?menuIndex=3&amp;refID=7026637&amp;Result=3","7026637")</f>
        <v>0</v>
      </c>
      <c r="B8785" t="s">
        <v>2533</v>
      </c>
      <c r="C8785" t="s">
        <v>11454</v>
      </c>
      <c r="D8785" t="s">
        <v>16210</v>
      </c>
      <c r="E8785" t="s">
        <v>23967</v>
      </c>
      <c r="F8785" t="s">
        <v>28198</v>
      </c>
      <c r="G8785" t="s">
        <v>28207</v>
      </c>
      <c r="H8785" t="s">
        <v>28215</v>
      </c>
      <c r="I8785" t="s">
        <v>28263</v>
      </c>
      <c r="J8785" t="s">
        <v>28378</v>
      </c>
      <c r="K8785" t="s">
        <v>36694</v>
      </c>
      <c r="M8785" t="s">
        <v>39743</v>
      </c>
      <c r="N8785" t="s">
        <v>40436</v>
      </c>
      <c r="O8785" t="s">
        <v>40437</v>
      </c>
      <c r="P8785">
        <v>0</v>
      </c>
      <c r="Q8785">
        <v>3</v>
      </c>
      <c r="R8785" t="s">
        <v>40446</v>
      </c>
      <c r="S8785" t="s">
        <v>40783</v>
      </c>
      <c r="T8785" t="s">
        <v>42112</v>
      </c>
      <c r="U8785" t="s">
        <v>50004</v>
      </c>
      <c r="W8785" t="s">
        <v>39743</v>
      </c>
      <c r="X8785" t="s">
        <v>40452</v>
      </c>
    </row>
    <row r="8786" spans="1:24">
      <c r="A8786">
        <f>HYPERLINK("https://www.philgeps.gov.ph/GEPSNONPILOT/Tender/SplashBidNoticeAbstractUI.aspx?menuIndex=3&amp;refID=7024014&amp;Result=3","7024014")</f>
        <v>0</v>
      </c>
      <c r="B8786" t="s">
        <v>2528</v>
      </c>
      <c r="C8786" t="s">
        <v>11455</v>
      </c>
      <c r="D8786" t="s">
        <v>16223</v>
      </c>
      <c r="E8786" t="s">
        <v>20312</v>
      </c>
      <c r="F8786" t="s">
        <v>28198</v>
      </c>
      <c r="G8786" t="s">
        <v>28205</v>
      </c>
      <c r="H8786" t="s">
        <v>28215</v>
      </c>
      <c r="I8786" t="s">
        <v>28243</v>
      </c>
      <c r="J8786" t="s">
        <v>33839</v>
      </c>
      <c r="K8786" t="s">
        <v>36701</v>
      </c>
      <c r="M8786" t="s">
        <v>39736</v>
      </c>
      <c r="N8786" t="s">
        <v>40436</v>
      </c>
      <c r="O8786" t="s">
        <v>40437</v>
      </c>
      <c r="P8786">
        <v>0</v>
      </c>
      <c r="Q8786">
        <v>0</v>
      </c>
      <c r="R8786" t="s">
        <v>40446</v>
      </c>
      <c r="S8786" t="s">
        <v>40783</v>
      </c>
      <c r="T8786" t="s">
        <v>42234</v>
      </c>
      <c r="U8786" t="s">
        <v>50005</v>
      </c>
      <c r="V8786" t="s">
        <v>54722</v>
      </c>
      <c r="W8786" t="s">
        <v>39736</v>
      </c>
      <c r="X8786" t="s">
        <v>40453</v>
      </c>
    </row>
    <row r="8787" spans="1:24">
      <c r="A8787">
        <f>HYPERLINK("https://www.philgeps.gov.ph/GEPSNONPILOT/Tender/SplashBidNoticeAbstractUI.aspx?menuIndex=3&amp;refID=7027266&amp;Result=3","7027266")</f>
        <v>0</v>
      </c>
      <c r="B8787" t="s">
        <v>48</v>
      </c>
      <c r="C8787" t="s">
        <v>11456</v>
      </c>
      <c r="D8787" t="s">
        <v>16204</v>
      </c>
      <c r="E8787" t="s">
        <v>23968</v>
      </c>
      <c r="F8787" t="s">
        <v>28198</v>
      </c>
      <c r="G8787" t="s">
        <v>28208</v>
      </c>
      <c r="H8787" t="s">
        <v>28215</v>
      </c>
      <c r="I8787" t="s">
        <v>28257</v>
      </c>
      <c r="J8787" t="s">
        <v>33840</v>
      </c>
      <c r="K8787" t="s">
        <v>36701</v>
      </c>
      <c r="M8787" t="s">
        <v>37019</v>
      </c>
      <c r="N8787" t="s">
        <v>40436</v>
      </c>
      <c r="O8787" t="s">
        <v>40437</v>
      </c>
      <c r="P8787">
        <v>0</v>
      </c>
      <c r="Q8787">
        <v>9</v>
      </c>
      <c r="R8787" t="s">
        <v>40446</v>
      </c>
      <c r="S8787" t="s">
        <v>40783</v>
      </c>
      <c r="T8787" t="s">
        <v>42234</v>
      </c>
      <c r="U8787" t="s">
        <v>50006</v>
      </c>
      <c r="V8787" t="s">
        <v>54724</v>
      </c>
      <c r="W8787" t="s">
        <v>37019</v>
      </c>
      <c r="X8787" t="s">
        <v>40451</v>
      </c>
    </row>
    <row r="8788" spans="1:24">
      <c r="A8788">
        <f>HYPERLINK("https://www.philgeps.gov.ph/GEPSNONPILOT/Tender/SplashBidNoticeAbstractUI.aspx?menuIndex=3&amp;refID=7028544&amp;Result=3","7028544")</f>
        <v>0</v>
      </c>
      <c r="B8788" t="s">
        <v>1687</v>
      </c>
      <c r="C8788" t="s">
        <v>11457</v>
      </c>
      <c r="D8788" t="s">
        <v>16200</v>
      </c>
      <c r="E8788" t="s">
        <v>23969</v>
      </c>
      <c r="F8788" t="s">
        <v>28198</v>
      </c>
      <c r="G8788" t="s">
        <v>28205</v>
      </c>
      <c r="H8788" t="s">
        <v>28215</v>
      </c>
      <c r="I8788" t="s">
        <v>28225</v>
      </c>
      <c r="J8788" t="s">
        <v>33841</v>
      </c>
      <c r="K8788" t="s">
        <v>36687</v>
      </c>
      <c r="M8788" t="s">
        <v>38784</v>
      </c>
      <c r="N8788" t="s">
        <v>40436</v>
      </c>
      <c r="O8788" t="s">
        <v>40437</v>
      </c>
      <c r="P8788">
        <v>0</v>
      </c>
      <c r="Q8788">
        <v>1</v>
      </c>
      <c r="R8788" t="s">
        <v>40446</v>
      </c>
      <c r="S8788" t="s">
        <v>40783</v>
      </c>
      <c r="T8788" t="s">
        <v>42112</v>
      </c>
      <c r="U8788" t="s">
        <v>50007</v>
      </c>
      <c r="W8788" t="s">
        <v>38784</v>
      </c>
      <c r="X8788" t="s">
        <v>40451</v>
      </c>
    </row>
    <row r="8789" spans="1:24">
      <c r="A8789">
        <f>HYPERLINK("https://www.philgeps.gov.ph/GEPSNONPILOT/Tender/SplashBidNoticeAbstractUI.aspx?menuIndex=3&amp;refID=7027242&amp;Result=3","7027242")</f>
        <v>0</v>
      </c>
      <c r="B8789" t="s">
        <v>169</v>
      </c>
      <c r="C8789" t="s">
        <v>11458</v>
      </c>
      <c r="D8789" t="s">
        <v>16243</v>
      </c>
      <c r="E8789" t="s">
        <v>23970</v>
      </c>
      <c r="F8789" t="s">
        <v>28198</v>
      </c>
      <c r="G8789" t="s">
        <v>28205</v>
      </c>
      <c r="H8789" t="s">
        <v>28214</v>
      </c>
      <c r="I8789" t="s">
        <v>3797</v>
      </c>
      <c r="J8789" t="s">
        <v>33842</v>
      </c>
      <c r="K8789" t="s">
        <v>36832</v>
      </c>
      <c r="M8789" t="s">
        <v>37143</v>
      </c>
      <c r="N8789" t="s">
        <v>40436</v>
      </c>
      <c r="O8789" t="s">
        <v>40437</v>
      </c>
      <c r="P8789">
        <v>0</v>
      </c>
      <c r="Q8789">
        <v>0</v>
      </c>
      <c r="R8789" t="s">
        <v>40446</v>
      </c>
      <c r="S8789" t="s">
        <v>40783</v>
      </c>
      <c r="T8789" t="s">
        <v>42138</v>
      </c>
      <c r="U8789" t="s">
        <v>50008</v>
      </c>
      <c r="W8789" t="s">
        <v>37143</v>
      </c>
      <c r="X8789" t="s">
        <v>40451</v>
      </c>
    </row>
    <row r="8790" spans="1:24">
      <c r="A8790">
        <f>HYPERLINK("https://www.philgeps.gov.ph/GEPSNONPILOT/Tender/SplashBidNoticeAbstractUI.aspx?menuIndex=3&amp;refID=7027756&amp;Result=3","7027756")</f>
        <v>0</v>
      </c>
      <c r="B8790" t="s">
        <v>169</v>
      </c>
      <c r="C8790" t="s">
        <v>11459</v>
      </c>
      <c r="D8790" t="s">
        <v>16243</v>
      </c>
      <c r="E8790" t="s">
        <v>23971</v>
      </c>
      <c r="F8790" t="s">
        <v>28198</v>
      </c>
      <c r="G8790" t="s">
        <v>28205</v>
      </c>
      <c r="H8790" t="s">
        <v>28214</v>
      </c>
      <c r="I8790" t="s">
        <v>3797</v>
      </c>
      <c r="J8790" t="s">
        <v>33843</v>
      </c>
      <c r="K8790" t="s">
        <v>36880</v>
      </c>
      <c r="M8790" t="s">
        <v>37143</v>
      </c>
      <c r="N8790" t="s">
        <v>40436</v>
      </c>
      <c r="O8790" t="s">
        <v>40437</v>
      </c>
      <c r="P8790">
        <v>0</v>
      </c>
      <c r="Q8790">
        <v>0</v>
      </c>
      <c r="R8790" t="s">
        <v>40446</v>
      </c>
      <c r="S8790" t="s">
        <v>40783</v>
      </c>
      <c r="T8790" t="s">
        <v>42138</v>
      </c>
      <c r="U8790" t="s">
        <v>50009</v>
      </c>
      <c r="W8790" t="s">
        <v>37143</v>
      </c>
      <c r="X8790" t="s">
        <v>40451</v>
      </c>
    </row>
    <row r="8791" spans="1:24">
      <c r="A8791">
        <f>HYPERLINK("https://www.philgeps.gov.ph/GEPSNONPILOT/Tender/SplashBidNoticeAbstractUI.aspx?menuIndex=3&amp;refID=7027341&amp;Result=3","7027341")</f>
        <v>0</v>
      </c>
      <c r="B8791" t="s">
        <v>78</v>
      </c>
      <c r="C8791" t="s">
        <v>11460</v>
      </c>
      <c r="D8791" t="s">
        <v>16217</v>
      </c>
      <c r="E8791" t="s">
        <v>23972</v>
      </c>
      <c r="F8791" t="s">
        <v>28198</v>
      </c>
      <c r="G8791" t="s">
        <v>28205</v>
      </c>
      <c r="H8791" t="s">
        <v>28214</v>
      </c>
      <c r="I8791" t="s">
        <v>3797</v>
      </c>
      <c r="J8791" t="s">
        <v>33844</v>
      </c>
      <c r="K8791" t="s">
        <v>36724</v>
      </c>
      <c r="M8791" t="s">
        <v>39733</v>
      </c>
      <c r="N8791" t="s">
        <v>40436</v>
      </c>
      <c r="O8791" t="s">
        <v>40437</v>
      </c>
      <c r="P8791">
        <v>0</v>
      </c>
      <c r="Q8791">
        <v>0</v>
      </c>
      <c r="R8791" t="s">
        <v>40446</v>
      </c>
      <c r="S8791" t="s">
        <v>40783</v>
      </c>
      <c r="T8791" t="s">
        <v>42426</v>
      </c>
      <c r="U8791" t="s">
        <v>50010</v>
      </c>
      <c r="V8791" t="s">
        <v>53791</v>
      </c>
      <c r="W8791" t="s">
        <v>39733</v>
      </c>
      <c r="X8791" t="s">
        <v>40451</v>
      </c>
    </row>
    <row r="8792" spans="1:24">
      <c r="A8792">
        <f>HYPERLINK("https://www.philgeps.gov.ph/GEPSNONPILOT/Tender/SplashBidNoticeAbstractUI.aspx?menuIndex=3&amp;refID=7026354&amp;Result=3","7026354")</f>
        <v>0</v>
      </c>
      <c r="B8792" t="s">
        <v>1354</v>
      </c>
      <c r="C8792" t="s">
        <v>11461</v>
      </c>
      <c r="D8792" t="s">
        <v>16238</v>
      </c>
      <c r="E8792" t="s">
        <v>11461</v>
      </c>
      <c r="F8792" t="s">
        <v>28198</v>
      </c>
      <c r="G8792" t="s">
        <v>28205</v>
      </c>
      <c r="H8792" t="s">
        <v>28215</v>
      </c>
      <c r="I8792" t="s">
        <v>28332</v>
      </c>
      <c r="J8792" t="s">
        <v>33845</v>
      </c>
      <c r="K8792" t="s">
        <v>36701</v>
      </c>
      <c r="M8792" t="s">
        <v>38412</v>
      </c>
      <c r="N8792" t="s">
        <v>40436</v>
      </c>
      <c r="O8792" t="s">
        <v>40437</v>
      </c>
      <c r="Q8792">
        <v>0</v>
      </c>
      <c r="R8792" t="s">
        <v>40446</v>
      </c>
      <c r="S8792" t="s">
        <v>40795</v>
      </c>
      <c r="T8792" t="s">
        <v>42176</v>
      </c>
      <c r="U8792" t="s">
        <v>50011</v>
      </c>
      <c r="W8792" t="s">
        <v>38412</v>
      </c>
      <c r="X8792" t="s">
        <v>40452</v>
      </c>
    </row>
    <row r="8793" spans="1:24">
      <c r="A8793">
        <f>HYPERLINK("https://www.philgeps.gov.ph/GEPSNONPILOT/Tender/SplashBidNoticeAbstractUI.aspx?menuIndex=3&amp;refID=7028570&amp;Result=3","7028570")</f>
        <v>0</v>
      </c>
      <c r="B8793" t="s">
        <v>1063</v>
      </c>
      <c r="C8793" t="s">
        <v>11462</v>
      </c>
      <c r="D8793" t="s">
        <v>16188</v>
      </c>
      <c r="E8793" t="s">
        <v>11462</v>
      </c>
      <c r="F8793" t="s">
        <v>28198</v>
      </c>
      <c r="G8793" t="s">
        <v>28205</v>
      </c>
      <c r="H8793" t="s">
        <v>28214</v>
      </c>
      <c r="I8793" t="s">
        <v>28235</v>
      </c>
      <c r="J8793" t="s">
        <v>33846</v>
      </c>
      <c r="K8793" t="s">
        <v>36689</v>
      </c>
      <c r="M8793" t="s">
        <v>38534</v>
      </c>
      <c r="N8793" t="s">
        <v>40436</v>
      </c>
      <c r="O8793" t="s">
        <v>40437</v>
      </c>
      <c r="P8793">
        <v>0</v>
      </c>
      <c r="Q8793">
        <v>1</v>
      </c>
      <c r="R8793" t="s">
        <v>40446</v>
      </c>
      <c r="S8793" t="s">
        <v>40783</v>
      </c>
      <c r="T8793" t="s">
        <v>42424</v>
      </c>
      <c r="U8793" t="s">
        <v>50012</v>
      </c>
      <c r="W8793" t="s">
        <v>38534</v>
      </c>
      <c r="X8793" t="s">
        <v>40451</v>
      </c>
    </row>
    <row r="8794" spans="1:24">
      <c r="A8794">
        <f>HYPERLINK("https://www.philgeps.gov.ph/GEPSNONPILOT/Tender/SplashBidNoticeAbstractUI.aspx?menuIndex=3&amp;refID=7027754&amp;Result=3","7027754")</f>
        <v>0</v>
      </c>
      <c r="B8794" t="s">
        <v>78</v>
      </c>
      <c r="C8794" t="s">
        <v>11463</v>
      </c>
      <c r="D8794" t="s">
        <v>16217</v>
      </c>
      <c r="E8794" t="s">
        <v>23973</v>
      </c>
      <c r="F8794" t="s">
        <v>28198</v>
      </c>
      <c r="G8794" t="s">
        <v>28205</v>
      </c>
      <c r="H8794" t="s">
        <v>28215</v>
      </c>
      <c r="I8794" t="s">
        <v>28265</v>
      </c>
      <c r="J8794" t="s">
        <v>33847</v>
      </c>
      <c r="K8794" t="s">
        <v>36697</v>
      </c>
      <c r="M8794" t="s">
        <v>39735</v>
      </c>
      <c r="N8794" t="s">
        <v>40436</v>
      </c>
      <c r="O8794" t="s">
        <v>40437</v>
      </c>
      <c r="P8794">
        <v>0</v>
      </c>
      <c r="Q8794">
        <v>1</v>
      </c>
      <c r="R8794" t="s">
        <v>40446</v>
      </c>
      <c r="S8794" t="s">
        <v>40783</v>
      </c>
      <c r="T8794" t="s">
        <v>42184</v>
      </c>
      <c r="U8794" t="s">
        <v>50013</v>
      </c>
      <c r="V8794" t="s">
        <v>53791</v>
      </c>
      <c r="W8794" t="s">
        <v>39735</v>
      </c>
      <c r="X8794" t="s">
        <v>40451</v>
      </c>
    </row>
    <row r="8795" spans="1:24">
      <c r="A8795">
        <f>HYPERLINK("https://www.philgeps.gov.ph/GEPSNONPILOT/Tender/SplashBidNoticeAbstractUI.aspx?menuIndex=3&amp;refID=7027747&amp;Result=3","7027747")</f>
        <v>0</v>
      </c>
      <c r="B8795" t="s">
        <v>78</v>
      </c>
      <c r="C8795" t="s">
        <v>11464</v>
      </c>
      <c r="D8795" t="s">
        <v>16217</v>
      </c>
      <c r="E8795" t="s">
        <v>23974</v>
      </c>
      <c r="F8795" t="s">
        <v>28198</v>
      </c>
      <c r="G8795" t="s">
        <v>28205</v>
      </c>
      <c r="H8795" t="s">
        <v>28215</v>
      </c>
      <c r="I8795" t="s">
        <v>4505</v>
      </c>
      <c r="J8795" t="s">
        <v>33848</v>
      </c>
      <c r="K8795" t="s">
        <v>36707</v>
      </c>
      <c r="M8795" t="s">
        <v>39735</v>
      </c>
      <c r="N8795" t="s">
        <v>40436</v>
      </c>
      <c r="O8795" t="s">
        <v>40437</v>
      </c>
      <c r="P8795">
        <v>0</v>
      </c>
      <c r="Q8795">
        <v>1</v>
      </c>
      <c r="R8795" t="s">
        <v>40446</v>
      </c>
      <c r="S8795" t="s">
        <v>40783</v>
      </c>
      <c r="T8795" t="s">
        <v>42184</v>
      </c>
      <c r="U8795" t="s">
        <v>50014</v>
      </c>
      <c r="V8795" t="s">
        <v>53791</v>
      </c>
      <c r="W8795" t="s">
        <v>39735</v>
      </c>
      <c r="X8795" t="s">
        <v>40451</v>
      </c>
    </row>
    <row r="8796" spans="1:24">
      <c r="A8796">
        <f>HYPERLINK("https://www.philgeps.gov.ph/GEPSNONPILOT/Tender/SplashBidNoticeAbstractUI.aspx?menuIndex=3&amp;refID=7027194&amp;Result=3","7027194")</f>
        <v>0</v>
      </c>
      <c r="B8796" t="s">
        <v>566</v>
      </c>
      <c r="C8796" t="s">
        <v>11465</v>
      </c>
      <c r="E8796" t="s">
        <v>23975</v>
      </c>
      <c r="F8796" t="s">
        <v>28198</v>
      </c>
      <c r="G8796" t="s">
        <v>28205</v>
      </c>
      <c r="H8796" t="s">
        <v>28215</v>
      </c>
      <c r="I8796" t="s">
        <v>28256</v>
      </c>
      <c r="J8796" t="s">
        <v>33849</v>
      </c>
      <c r="K8796" t="s">
        <v>36689</v>
      </c>
      <c r="M8796" t="s">
        <v>38045</v>
      </c>
      <c r="N8796" t="s">
        <v>40436</v>
      </c>
      <c r="O8796" t="s">
        <v>40437</v>
      </c>
      <c r="Q8796">
        <v>3</v>
      </c>
      <c r="R8796" t="s">
        <v>40446</v>
      </c>
      <c r="S8796" t="s">
        <v>40796</v>
      </c>
      <c r="T8796" t="s">
        <v>42168</v>
      </c>
      <c r="U8796" t="s">
        <v>50015</v>
      </c>
      <c r="W8796" t="s">
        <v>38045</v>
      </c>
      <c r="X8796" t="s">
        <v>40451</v>
      </c>
    </row>
    <row r="8797" spans="1:24">
      <c r="A8797">
        <f>HYPERLINK("https://www.philgeps.gov.ph/GEPSNONPILOT/Tender/SplashBidNoticeAbstractUI.aspx?menuIndex=3&amp;refID=7027351&amp;Result=3","7027351")</f>
        <v>0</v>
      </c>
      <c r="B8797" t="s">
        <v>78</v>
      </c>
      <c r="C8797" t="s">
        <v>11466</v>
      </c>
      <c r="D8797" t="s">
        <v>16217</v>
      </c>
      <c r="E8797" t="s">
        <v>23976</v>
      </c>
      <c r="F8797" t="s">
        <v>28198</v>
      </c>
      <c r="G8797" t="s">
        <v>28205</v>
      </c>
      <c r="H8797" t="s">
        <v>28214</v>
      </c>
      <c r="I8797" t="s">
        <v>3797</v>
      </c>
      <c r="J8797" t="s">
        <v>33850</v>
      </c>
      <c r="K8797" t="s">
        <v>36724</v>
      </c>
      <c r="M8797" t="s">
        <v>39733</v>
      </c>
      <c r="N8797" t="s">
        <v>40436</v>
      </c>
      <c r="O8797" t="s">
        <v>40437</v>
      </c>
      <c r="P8797">
        <v>0</v>
      </c>
      <c r="Q8797">
        <v>0</v>
      </c>
      <c r="R8797" t="s">
        <v>40446</v>
      </c>
      <c r="S8797" t="s">
        <v>40783</v>
      </c>
      <c r="T8797" t="s">
        <v>42426</v>
      </c>
      <c r="U8797" t="s">
        <v>50010</v>
      </c>
      <c r="V8797" t="s">
        <v>53791</v>
      </c>
      <c r="W8797" t="s">
        <v>39733</v>
      </c>
      <c r="X8797" t="s">
        <v>40451</v>
      </c>
    </row>
    <row r="8798" spans="1:24">
      <c r="A8798">
        <f>HYPERLINK("https://www.philgeps.gov.ph/GEPSNONPILOT/Tender/SplashBidNoticeAbstractUI.aspx?menuIndex=3&amp;refID=7028865&amp;Result=3","7028865")</f>
        <v>0</v>
      </c>
      <c r="B8798" t="s">
        <v>1282</v>
      </c>
      <c r="C8798" t="s">
        <v>11467</v>
      </c>
      <c r="D8798" t="s">
        <v>16214</v>
      </c>
      <c r="E8798" t="s">
        <v>23977</v>
      </c>
      <c r="F8798" t="s">
        <v>28198</v>
      </c>
      <c r="G8798" t="s">
        <v>28205</v>
      </c>
      <c r="H8798" t="s">
        <v>28214</v>
      </c>
      <c r="I8798" t="s">
        <v>3797</v>
      </c>
      <c r="J8798" t="s">
        <v>33851</v>
      </c>
      <c r="K8798" t="s">
        <v>36808</v>
      </c>
      <c r="M8798" t="s">
        <v>38334</v>
      </c>
      <c r="N8798" t="s">
        <v>40436</v>
      </c>
      <c r="O8798" t="s">
        <v>40437</v>
      </c>
      <c r="P8798">
        <v>0</v>
      </c>
      <c r="Q8798">
        <v>3</v>
      </c>
      <c r="R8798" t="s">
        <v>40446</v>
      </c>
      <c r="S8798" t="s">
        <v>40783</v>
      </c>
      <c r="T8798" t="s">
        <v>42279</v>
      </c>
      <c r="U8798" t="s">
        <v>45679</v>
      </c>
      <c r="V8798" t="s">
        <v>54725</v>
      </c>
      <c r="W8798" t="s">
        <v>38334</v>
      </c>
      <c r="X8798" t="s">
        <v>40451</v>
      </c>
    </row>
    <row r="8799" spans="1:24">
      <c r="A8799">
        <f>HYPERLINK("https://www.philgeps.gov.ph/GEPSNONPILOT/Tender/SplashBidNoticeAbstractUI.aspx?menuIndex=3&amp;refID=7028925&amp;Result=3","7028925")</f>
        <v>0</v>
      </c>
      <c r="B8799" t="s">
        <v>1282</v>
      </c>
      <c r="C8799" t="s">
        <v>11468</v>
      </c>
      <c r="D8799" t="s">
        <v>16214</v>
      </c>
      <c r="E8799" t="s">
        <v>23978</v>
      </c>
      <c r="F8799" t="s">
        <v>28198</v>
      </c>
      <c r="G8799" t="s">
        <v>28205</v>
      </c>
      <c r="H8799" t="s">
        <v>28214</v>
      </c>
      <c r="I8799" t="s">
        <v>3797</v>
      </c>
      <c r="J8799" t="s">
        <v>33852</v>
      </c>
      <c r="K8799" t="s">
        <v>36690</v>
      </c>
      <c r="M8799" t="s">
        <v>38334</v>
      </c>
      <c r="N8799" t="s">
        <v>40436</v>
      </c>
      <c r="O8799" t="s">
        <v>40437</v>
      </c>
      <c r="P8799">
        <v>0</v>
      </c>
      <c r="Q8799">
        <v>6</v>
      </c>
      <c r="R8799" t="s">
        <v>40446</v>
      </c>
      <c r="S8799" t="s">
        <v>40783</v>
      </c>
      <c r="T8799" t="s">
        <v>42279</v>
      </c>
      <c r="U8799" t="s">
        <v>45679</v>
      </c>
      <c r="V8799" t="s">
        <v>54726</v>
      </c>
      <c r="W8799" t="s">
        <v>38334</v>
      </c>
      <c r="X8799" t="s">
        <v>40451</v>
      </c>
    </row>
    <row r="8800" spans="1:24">
      <c r="A8800">
        <f>HYPERLINK("https://www.philgeps.gov.ph/GEPSNONPILOT/Tender/SplashBidNoticeAbstractUI.aspx?menuIndex=3&amp;refID=7028311&amp;Result=3","7028311")</f>
        <v>0</v>
      </c>
      <c r="B8800" t="s">
        <v>2534</v>
      </c>
      <c r="C8800" t="s">
        <v>11469</v>
      </c>
      <c r="D8800" t="s">
        <v>16250</v>
      </c>
      <c r="E8800" t="s">
        <v>23979</v>
      </c>
      <c r="F8800" t="s">
        <v>28198</v>
      </c>
      <c r="G8800" t="s">
        <v>28205</v>
      </c>
      <c r="H8800" t="s">
        <v>28214</v>
      </c>
      <c r="I8800" t="s">
        <v>3797</v>
      </c>
      <c r="J8800" t="s">
        <v>31925</v>
      </c>
      <c r="K8800" t="s">
        <v>36694</v>
      </c>
      <c r="L8800" t="s">
        <v>2534</v>
      </c>
      <c r="M8800" t="s">
        <v>39744</v>
      </c>
      <c r="N8800" t="s">
        <v>40436</v>
      </c>
      <c r="O8800" t="s">
        <v>40437</v>
      </c>
      <c r="Q8800">
        <v>3</v>
      </c>
      <c r="R8800" t="s">
        <v>40446</v>
      </c>
      <c r="S8800" t="s">
        <v>40797</v>
      </c>
      <c r="T8800" t="s">
        <v>42529</v>
      </c>
      <c r="U8800" t="s">
        <v>50016</v>
      </c>
      <c r="V8800" t="s">
        <v>53881</v>
      </c>
      <c r="W8800" t="s">
        <v>39744</v>
      </c>
      <c r="X8800" t="s">
        <v>40451</v>
      </c>
    </row>
    <row r="8801" spans="1:24">
      <c r="A8801">
        <f>HYPERLINK("https://www.philgeps.gov.ph/GEPSNONPILOT/Tender/SplashBidNoticeAbstractUI.aspx?menuIndex=3&amp;refID=7030470&amp;Result=3","7030470")</f>
        <v>0</v>
      </c>
      <c r="B8801" t="s">
        <v>1282</v>
      </c>
      <c r="C8801" t="s">
        <v>11470</v>
      </c>
      <c r="D8801" t="s">
        <v>16214</v>
      </c>
      <c r="E8801" t="s">
        <v>23980</v>
      </c>
      <c r="F8801" t="s">
        <v>28198</v>
      </c>
      <c r="G8801" t="s">
        <v>28205</v>
      </c>
      <c r="H8801" t="s">
        <v>28214</v>
      </c>
      <c r="I8801" t="s">
        <v>3797</v>
      </c>
      <c r="J8801" t="s">
        <v>29595</v>
      </c>
      <c r="K8801" t="s">
        <v>36737</v>
      </c>
      <c r="M8801" t="s">
        <v>38334</v>
      </c>
      <c r="N8801" t="s">
        <v>40436</v>
      </c>
      <c r="O8801" t="s">
        <v>40437</v>
      </c>
      <c r="P8801">
        <v>0</v>
      </c>
      <c r="Q8801">
        <v>0</v>
      </c>
      <c r="R8801" t="s">
        <v>40446</v>
      </c>
      <c r="S8801" t="s">
        <v>40783</v>
      </c>
      <c r="T8801" t="s">
        <v>42279</v>
      </c>
      <c r="U8801" t="s">
        <v>45679</v>
      </c>
      <c r="V8801" t="s">
        <v>54727</v>
      </c>
      <c r="W8801" t="s">
        <v>38334</v>
      </c>
      <c r="X8801" t="s">
        <v>40450</v>
      </c>
    </row>
    <row r="8802" spans="1:24">
      <c r="A8802">
        <f>HYPERLINK("https://www.philgeps.gov.ph/GEPSNONPILOT/Tender/SplashBidNoticeAbstractUI.aspx?menuIndex=3&amp;refID=7030405&amp;Result=3","7030405")</f>
        <v>0</v>
      </c>
      <c r="B8802" t="s">
        <v>1282</v>
      </c>
      <c r="C8802" t="s">
        <v>11471</v>
      </c>
      <c r="D8802" t="s">
        <v>16214</v>
      </c>
      <c r="E8802" t="s">
        <v>23981</v>
      </c>
      <c r="F8802" t="s">
        <v>28198</v>
      </c>
      <c r="G8802" t="s">
        <v>28205</v>
      </c>
      <c r="H8802" t="s">
        <v>28214</v>
      </c>
      <c r="I8802" t="s">
        <v>3797</v>
      </c>
      <c r="J8802" t="s">
        <v>29595</v>
      </c>
      <c r="K8802" t="s">
        <v>36737</v>
      </c>
      <c r="M8802" t="s">
        <v>38334</v>
      </c>
      <c r="N8802" t="s">
        <v>40436</v>
      </c>
      <c r="O8802" t="s">
        <v>40437</v>
      </c>
      <c r="P8802">
        <v>0</v>
      </c>
      <c r="Q8802">
        <v>0</v>
      </c>
      <c r="R8802" t="s">
        <v>40446</v>
      </c>
      <c r="S8802" t="s">
        <v>40783</v>
      </c>
      <c r="T8802" t="s">
        <v>42279</v>
      </c>
      <c r="U8802" t="s">
        <v>45679</v>
      </c>
      <c r="V8802" t="s">
        <v>54728</v>
      </c>
      <c r="W8802" t="s">
        <v>38334</v>
      </c>
      <c r="X8802" t="s">
        <v>40450</v>
      </c>
    </row>
    <row r="8803" spans="1:24">
      <c r="A8803">
        <f>HYPERLINK("https://www.philgeps.gov.ph/GEPSNONPILOT/Tender/SplashBidNoticeAbstractUI.aspx?menuIndex=3&amp;refID=7030330&amp;Result=3","7030330")</f>
        <v>0</v>
      </c>
      <c r="B8803" t="s">
        <v>1282</v>
      </c>
      <c r="C8803" t="s">
        <v>11472</v>
      </c>
      <c r="D8803" t="s">
        <v>16214</v>
      </c>
      <c r="E8803" t="s">
        <v>23982</v>
      </c>
      <c r="F8803" t="s">
        <v>28198</v>
      </c>
      <c r="G8803" t="s">
        <v>28205</v>
      </c>
      <c r="H8803" t="s">
        <v>28214</v>
      </c>
      <c r="I8803" t="s">
        <v>3797</v>
      </c>
      <c r="J8803" t="s">
        <v>33853</v>
      </c>
      <c r="K8803" t="s">
        <v>36742</v>
      </c>
      <c r="M8803" t="s">
        <v>38334</v>
      </c>
      <c r="N8803" t="s">
        <v>40436</v>
      </c>
      <c r="O8803" t="s">
        <v>40437</v>
      </c>
      <c r="P8803">
        <v>0</v>
      </c>
      <c r="Q8803">
        <v>5</v>
      </c>
      <c r="R8803" t="s">
        <v>40446</v>
      </c>
      <c r="S8803" t="s">
        <v>40783</v>
      </c>
      <c r="T8803" t="s">
        <v>42279</v>
      </c>
      <c r="U8803" t="s">
        <v>45679</v>
      </c>
      <c r="V8803" t="s">
        <v>54729</v>
      </c>
      <c r="W8803" t="s">
        <v>38334</v>
      </c>
      <c r="X8803" t="s">
        <v>40450</v>
      </c>
    </row>
    <row r="8804" spans="1:24">
      <c r="A8804">
        <f>HYPERLINK("https://www.philgeps.gov.ph/GEPSNONPILOT/Tender/SplashBidNoticeAbstractUI.aspx?menuIndex=3&amp;refID=7028600&amp;Result=3","7028600")</f>
        <v>0</v>
      </c>
      <c r="B8804" t="s">
        <v>1063</v>
      </c>
      <c r="C8804" t="s">
        <v>11473</v>
      </c>
      <c r="D8804" t="s">
        <v>16188</v>
      </c>
      <c r="E8804" t="s">
        <v>11473</v>
      </c>
      <c r="F8804" t="s">
        <v>28198</v>
      </c>
      <c r="G8804" t="s">
        <v>28205</v>
      </c>
      <c r="H8804" t="s">
        <v>28214</v>
      </c>
      <c r="I8804" t="s">
        <v>28235</v>
      </c>
      <c r="J8804" t="s">
        <v>33854</v>
      </c>
      <c r="K8804" t="s">
        <v>36689</v>
      </c>
      <c r="M8804" t="s">
        <v>38534</v>
      </c>
      <c r="N8804" t="s">
        <v>40436</v>
      </c>
      <c r="O8804" t="s">
        <v>40437</v>
      </c>
      <c r="P8804">
        <v>0</v>
      </c>
      <c r="Q8804">
        <v>1</v>
      </c>
      <c r="R8804" t="s">
        <v>40446</v>
      </c>
      <c r="S8804" t="s">
        <v>40783</v>
      </c>
      <c r="T8804" t="s">
        <v>42424</v>
      </c>
      <c r="U8804" t="s">
        <v>50012</v>
      </c>
      <c r="W8804" t="s">
        <v>38534</v>
      </c>
      <c r="X8804" t="s">
        <v>40451</v>
      </c>
    </row>
    <row r="8805" spans="1:24">
      <c r="A8805">
        <f>HYPERLINK("https://www.philgeps.gov.ph/GEPSNONPILOT/Tender/SplashBidNoticeAbstractUI.aspx?menuIndex=3&amp;refID=7030350&amp;Result=3","7030350")</f>
        <v>0</v>
      </c>
      <c r="B8805" t="s">
        <v>703</v>
      </c>
      <c r="C8805" t="s">
        <v>11474</v>
      </c>
      <c r="D8805" t="s">
        <v>16240</v>
      </c>
      <c r="E8805" t="s">
        <v>23983</v>
      </c>
      <c r="F8805" t="s">
        <v>28198</v>
      </c>
      <c r="G8805" t="s">
        <v>28205</v>
      </c>
      <c r="H8805" t="s">
        <v>28215</v>
      </c>
      <c r="I8805" t="s">
        <v>28228</v>
      </c>
      <c r="J8805" t="s">
        <v>33855</v>
      </c>
      <c r="K8805" t="s">
        <v>36701</v>
      </c>
      <c r="M8805" t="s">
        <v>37703</v>
      </c>
      <c r="N8805" t="s">
        <v>40436</v>
      </c>
      <c r="O8805" t="s">
        <v>40437</v>
      </c>
      <c r="P8805">
        <v>0</v>
      </c>
      <c r="Q8805">
        <v>0</v>
      </c>
      <c r="R8805" t="s">
        <v>40446</v>
      </c>
      <c r="S8805" t="s">
        <v>40783</v>
      </c>
      <c r="T8805" t="s">
        <v>42245</v>
      </c>
      <c r="U8805" t="s">
        <v>50017</v>
      </c>
      <c r="W8805" t="s">
        <v>37703</v>
      </c>
      <c r="X8805" t="s">
        <v>40450</v>
      </c>
    </row>
    <row r="8806" spans="1:24">
      <c r="A8806">
        <f>HYPERLINK("https://www.philgeps.gov.ph/GEPSNONPILOT/Tender/SplashBidNoticeAbstractUI.aspx?menuIndex=3&amp;refID=7030447&amp;Result=3","7030447")</f>
        <v>0</v>
      </c>
      <c r="B8806" t="s">
        <v>2535</v>
      </c>
      <c r="C8806" t="s">
        <v>11475</v>
      </c>
      <c r="D8806" t="s">
        <v>16236</v>
      </c>
      <c r="E8806" t="s">
        <v>23984</v>
      </c>
      <c r="F8806" t="s">
        <v>28198</v>
      </c>
      <c r="G8806" t="s">
        <v>28205</v>
      </c>
      <c r="H8806" t="s">
        <v>28214</v>
      </c>
      <c r="I8806" t="s">
        <v>3797</v>
      </c>
      <c r="J8806" t="s">
        <v>33856</v>
      </c>
      <c r="K8806" t="s">
        <v>36881</v>
      </c>
      <c r="M8806" t="s">
        <v>39745</v>
      </c>
      <c r="N8806" t="s">
        <v>40436</v>
      </c>
      <c r="O8806" t="s">
        <v>40437</v>
      </c>
      <c r="P8806">
        <v>0</v>
      </c>
      <c r="Q8806">
        <v>0</v>
      </c>
      <c r="R8806" t="s">
        <v>40446</v>
      </c>
      <c r="S8806" t="s">
        <v>40783</v>
      </c>
      <c r="T8806" t="s">
        <v>42234</v>
      </c>
      <c r="U8806" t="s">
        <v>50018</v>
      </c>
      <c r="W8806" t="s">
        <v>39745</v>
      </c>
      <c r="X8806" t="s">
        <v>40450</v>
      </c>
    </row>
    <row r="8807" spans="1:24">
      <c r="A8807">
        <f>HYPERLINK("https://www.philgeps.gov.ph/GEPSNONPILOT/Tender/SplashBidNoticeAbstractUI.aspx?menuIndex=3&amp;refID=7027579&amp;Result=3","7027579")</f>
        <v>0</v>
      </c>
      <c r="B8807" t="s">
        <v>169</v>
      </c>
      <c r="C8807" t="s">
        <v>11476</v>
      </c>
      <c r="D8807" t="s">
        <v>16243</v>
      </c>
      <c r="E8807" t="s">
        <v>23985</v>
      </c>
      <c r="F8807" t="s">
        <v>28198</v>
      </c>
      <c r="G8807" t="s">
        <v>28205</v>
      </c>
      <c r="H8807" t="s">
        <v>28214</v>
      </c>
      <c r="I8807" t="s">
        <v>3797</v>
      </c>
      <c r="J8807" t="s">
        <v>33857</v>
      </c>
      <c r="K8807" t="s">
        <v>36793</v>
      </c>
      <c r="M8807" t="s">
        <v>37143</v>
      </c>
      <c r="N8807" t="s">
        <v>40436</v>
      </c>
      <c r="O8807" t="s">
        <v>40437</v>
      </c>
      <c r="P8807">
        <v>0</v>
      </c>
      <c r="Q8807">
        <v>0</v>
      </c>
      <c r="R8807" t="s">
        <v>40446</v>
      </c>
      <c r="S8807" t="s">
        <v>40783</v>
      </c>
      <c r="T8807" t="s">
        <v>42138</v>
      </c>
      <c r="U8807" t="s">
        <v>50019</v>
      </c>
      <c r="W8807" t="s">
        <v>37143</v>
      </c>
      <c r="X8807" t="s">
        <v>40451</v>
      </c>
    </row>
    <row r="8808" spans="1:24">
      <c r="A8808">
        <f>HYPERLINK("https://www.philgeps.gov.ph/GEPSNONPILOT/Tender/SplashBidNoticeAbstractUI.aspx?menuIndex=3&amp;refID=7030254&amp;Result=3","7030254")</f>
        <v>0</v>
      </c>
      <c r="B8808" t="s">
        <v>1282</v>
      </c>
      <c r="C8808" t="s">
        <v>11477</v>
      </c>
      <c r="D8808" t="s">
        <v>16214</v>
      </c>
      <c r="E8808" t="s">
        <v>23986</v>
      </c>
      <c r="F8808" t="s">
        <v>28198</v>
      </c>
      <c r="G8808" t="s">
        <v>28205</v>
      </c>
      <c r="H8808" t="s">
        <v>28214</v>
      </c>
      <c r="I8808" t="s">
        <v>3797</v>
      </c>
      <c r="J8808" t="s">
        <v>32533</v>
      </c>
      <c r="K8808" t="s">
        <v>36742</v>
      </c>
      <c r="M8808" t="s">
        <v>38334</v>
      </c>
      <c r="N8808" t="s">
        <v>40436</v>
      </c>
      <c r="O8808" t="s">
        <v>40437</v>
      </c>
      <c r="P8808">
        <v>0</v>
      </c>
      <c r="Q8808">
        <v>5</v>
      </c>
      <c r="R8808" t="s">
        <v>40446</v>
      </c>
      <c r="S8808" t="s">
        <v>40783</v>
      </c>
      <c r="T8808" t="s">
        <v>42279</v>
      </c>
      <c r="U8808" t="s">
        <v>45679</v>
      </c>
      <c r="V8808" t="s">
        <v>54730</v>
      </c>
      <c r="W8808" t="s">
        <v>38334</v>
      </c>
      <c r="X8808" t="s">
        <v>40450</v>
      </c>
    </row>
    <row r="8809" spans="1:24">
      <c r="A8809">
        <f>HYPERLINK("https://www.philgeps.gov.ph/GEPSNONPILOT/Tender/SplashBidNoticeAbstractUI.aspx?menuIndex=3&amp;refID=7029603&amp;Result=3","7029603")</f>
        <v>0</v>
      </c>
      <c r="B8809" t="s">
        <v>1778</v>
      </c>
      <c r="C8809" t="s">
        <v>11478</v>
      </c>
      <c r="D8809" t="s">
        <v>16249</v>
      </c>
      <c r="E8809" t="s">
        <v>23987</v>
      </c>
      <c r="F8809" t="s">
        <v>28198</v>
      </c>
      <c r="G8809" t="s">
        <v>28205</v>
      </c>
      <c r="H8809" t="s">
        <v>28215</v>
      </c>
      <c r="I8809" t="s">
        <v>28243</v>
      </c>
      <c r="J8809" t="s">
        <v>33858</v>
      </c>
      <c r="K8809" t="s">
        <v>36715</v>
      </c>
      <c r="M8809" t="s">
        <v>38894</v>
      </c>
      <c r="N8809" t="s">
        <v>40436</v>
      </c>
      <c r="O8809" t="s">
        <v>40437</v>
      </c>
      <c r="P8809">
        <v>0</v>
      </c>
      <c r="Q8809">
        <v>7</v>
      </c>
      <c r="R8809" t="s">
        <v>40446</v>
      </c>
      <c r="S8809" t="s">
        <v>40783</v>
      </c>
      <c r="T8809" t="s">
        <v>42275</v>
      </c>
      <c r="U8809" t="s">
        <v>50020</v>
      </c>
      <c r="V8809" t="s">
        <v>54731</v>
      </c>
      <c r="W8809" t="s">
        <v>38894</v>
      </c>
      <c r="X8809" t="s">
        <v>40451</v>
      </c>
    </row>
    <row r="8810" spans="1:24">
      <c r="A8810">
        <f>HYPERLINK("https://www.philgeps.gov.ph/GEPSNONPILOT/Tender/SplashBidNoticeAbstractUI.aspx?menuIndex=3&amp;refID=7030653&amp;Result=3","7030653")</f>
        <v>0</v>
      </c>
      <c r="B8810" t="s">
        <v>35</v>
      </c>
      <c r="C8810" t="s">
        <v>11479</v>
      </c>
      <c r="E8810" t="s">
        <v>23988</v>
      </c>
      <c r="F8810" t="s">
        <v>28198</v>
      </c>
      <c r="G8810" t="s">
        <v>28205</v>
      </c>
      <c r="H8810" t="s">
        <v>28215</v>
      </c>
      <c r="I8810" t="s">
        <v>3797</v>
      </c>
      <c r="J8810" t="s">
        <v>33859</v>
      </c>
      <c r="K8810" t="s">
        <v>36689</v>
      </c>
      <c r="M8810" t="s">
        <v>37004</v>
      </c>
      <c r="N8810" t="s">
        <v>40436</v>
      </c>
      <c r="O8810" t="s">
        <v>40437</v>
      </c>
      <c r="P8810">
        <v>0</v>
      </c>
      <c r="Q8810">
        <v>0</v>
      </c>
      <c r="R8810" t="s">
        <v>40446</v>
      </c>
      <c r="S8810" t="s">
        <v>40783</v>
      </c>
      <c r="T8810" t="s">
        <v>42234</v>
      </c>
      <c r="U8810" t="s">
        <v>50021</v>
      </c>
      <c r="W8810" t="s">
        <v>37004</v>
      </c>
      <c r="X8810" t="s">
        <v>40450</v>
      </c>
    </row>
    <row r="8811" spans="1:24">
      <c r="A8811">
        <f>HYPERLINK("https://www.philgeps.gov.ph/GEPSNONPILOT/Tender/SplashBidNoticeAbstractUI.aspx?menuIndex=3&amp;refID=7027358&amp;Result=3","7027358")</f>
        <v>0</v>
      </c>
      <c r="B8811" t="s">
        <v>78</v>
      </c>
      <c r="C8811" t="s">
        <v>11480</v>
      </c>
      <c r="D8811" t="s">
        <v>16217</v>
      </c>
      <c r="E8811" t="s">
        <v>23989</v>
      </c>
      <c r="F8811" t="s">
        <v>28198</v>
      </c>
      <c r="G8811" t="s">
        <v>28205</v>
      </c>
      <c r="H8811" t="s">
        <v>28214</v>
      </c>
      <c r="I8811" t="s">
        <v>3797</v>
      </c>
      <c r="J8811" t="s">
        <v>33860</v>
      </c>
      <c r="K8811" t="s">
        <v>36724</v>
      </c>
      <c r="M8811" t="s">
        <v>39733</v>
      </c>
      <c r="N8811" t="s">
        <v>40436</v>
      </c>
      <c r="O8811" t="s">
        <v>40437</v>
      </c>
      <c r="P8811">
        <v>0</v>
      </c>
      <c r="Q8811">
        <v>0</v>
      </c>
      <c r="R8811" t="s">
        <v>40446</v>
      </c>
      <c r="S8811" t="s">
        <v>40783</v>
      </c>
      <c r="T8811" t="s">
        <v>42426</v>
      </c>
      <c r="U8811" t="s">
        <v>50022</v>
      </c>
      <c r="V8811" t="s">
        <v>53791</v>
      </c>
      <c r="W8811" t="s">
        <v>39733</v>
      </c>
      <c r="X8811" t="s">
        <v>40451</v>
      </c>
    </row>
    <row r="8812" spans="1:24">
      <c r="A8812">
        <f>HYPERLINK("https://www.philgeps.gov.ph/GEPSNONPILOT/Tender/SplashBidNoticeAbstractUI.aspx?menuIndex=3&amp;refID=7030623&amp;Result=3","7030623")</f>
        <v>0</v>
      </c>
      <c r="B8812" t="s">
        <v>2536</v>
      </c>
      <c r="C8812" t="s">
        <v>11481</v>
      </c>
      <c r="D8812" t="s">
        <v>16235</v>
      </c>
      <c r="E8812" t="s">
        <v>23990</v>
      </c>
      <c r="F8812" t="s">
        <v>28198</v>
      </c>
      <c r="G8812" t="s">
        <v>28205</v>
      </c>
      <c r="H8812" t="s">
        <v>28214</v>
      </c>
      <c r="I8812" t="s">
        <v>3797</v>
      </c>
      <c r="J8812" t="s">
        <v>28363</v>
      </c>
      <c r="K8812" t="s">
        <v>36694</v>
      </c>
      <c r="M8812" t="s">
        <v>39746</v>
      </c>
      <c r="N8812" t="s">
        <v>40436</v>
      </c>
      <c r="O8812" t="s">
        <v>40437</v>
      </c>
      <c r="P8812">
        <v>0</v>
      </c>
      <c r="Q8812">
        <v>0</v>
      </c>
      <c r="R8812" t="s">
        <v>40446</v>
      </c>
      <c r="S8812" t="s">
        <v>40783</v>
      </c>
      <c r="T8812" t="s">
        <v>42471</v>
      </c>
      <c r="U8812" t="s">
        <v>50023</v>
      </c>
      <c r="V8812" t="s">
        <v>50023</v>
      </c>
      <c r="W8812" t="s">
        <v>39746</v>
      </c>
      <c r="X8812" t="s">
        <v>40450</v>
      </c>
    </row>
    <row r="8813" spans="1:24">
      <c r="A8813">
        <f>HYPERLINK("https://www.philgeps.gov.ph/GEPSNONPILOT/Tender/SplashBidNoticeAbstractUI.aspx?menuIndex=3&amp;refID=7027399&amp;Result=3","7027399")</f>
        <v>0</v>
      </c>
      <c r="B8813" t="s">
        <v>48</v>
      </c>
      <c r="C8813" t="s">
        <v>11482</v>
      </c>
      <c r="D8813" t="s">
        <v>16204</v>
      </c>
      <c r="E8813" t="s">
        <v>23991</v>
      </c>
      <c r="F8813" t="s">
        <v>28198</v>
      </c>
      <c r="G8813" t="s">
        <v>28208</v>
      </c>
      <c r="H8813" t="s">
        <v>28215</v>
      </c>
      <c r="I8813" t="s">
        <v>4168</v>
      </c>
      <c r="J8813" t="s">
        <v>33861</v>
      </c>
      <c r="K8813" t="s">
        <v>36701</v>
      </c>
      <c r="M8813" t="s">
        <v>37019</v>
      </c>
      <c r="N8813" t="s">
        <v>40436</v>
      </c>
      <c r="O8813" t="s">
        <v>40437</v>
      </c>
      <c r="P8813">
        <v>0</v>
      </c>
      <c r="Q8813">
        <v>7</v>
      </c>
      <c r="R8813" t="s">
        <v>40446</v>
      </c>
      <c r="S8813" t="s">
        <v>40783</v>
      </c>
      <c r="T8813" t="s">
        <v>42234</v>
      </c>
      <c r="U8813" t="s">
        <v>50024</v>
      </c>
      <c r="V8813" t="s">
        <v>54724</v>
      </c>
      <c r="W8813" t="s">
        <v>37019</v>
      </c>
      <c r="X8813" t="s">
        <v>40451</v>
      </c>
    </row>
    <row r="8814" spans="1:24">
      <c r="A8814">
        <f>HYPERLINK("https://www.philgeps.gov.ph/GEPSNONPILOT/Tender/SplashBidNoticeAbstractUI.aspx?menuIndex=3&amp;refID=7030567&amp;Result=3","7030567")</f>
        <v>0</v>
      </c>
      <c r="B8814" t="s">
        <v>2535</v>
      </c>
      <c r="C8814" t="s">
        <v>11483</v>
      </c>
      <c r="D8814" t="s">
        <v>16236</v>
      </c>
      <c r="E8814" t="s">
        <v>23992</v>
      </c>
      <c r="F8814" t="s">
        <v>28198</v>
      </c>
      <c r="G8814" t="s">
        <v>28205</v>
      </c>
      <c r="H8814" t="s">
        <v>28214</v>
      </c>
      <c r="I8814" t="s">
        <v>3797</v>
      </c>
      <c r="J8814" t="s">
        <v>33862</v>
      </c>
      <c r="K8814" t="s">
        <v>36882</v>
      </c>
      <c r="M8814" t="s">
        <v>39745</v>
      </c>
      <c r="N8814" t="s">
        <v>40436</v>
      </c>
      <c r="O8814" t="s">
        <v>40437</v>
      </c>
      <c r="P8814">
        <v>0</v>
      </c>
      <c r="Q8814">
        <v>0</v>
      </c>
      <c r="R8814" t="s">
        <v>40446</v>
      </c>
      <c r="S8814" t="s">
        <v>40783</v>
      </c>
      <c r="T8814" t="s">
        <v>42234</v>
      </c>
      <c r="U8814" t="s">
        <v>50025</v>
      </c>
      <c r="W8814" t="s">
        <v>39745</v>
      </c>
      <c r="X8814" t="s">
        <v>40450</v>
      </c>
    </row>
    <row r="8815" spans="1:24">
      <c r="A8815">
        <f>HYPERLINK("https://www.philgeps.gov.ph/GEPSNONPILOT/Tender/SplashBidNoticeAbstractUI.aspx?menuIndex=3&amp;refID=7030640&amp;Result=3","7030640")</f>
        <v>0</v>
      </c>
      <c r="B8815" t="s">
        <v>2535</v>
      </c>
      <c r="C8815" t="s">
        <v>11484</v>
      </c>
      <c r="D8815" t="s">
        <v>16236</v>
      </c>
      <c r="E8815" t="s">
        <v>23993</v>
      </c>
      <c r="F8815" t="s">
        <v>28198</v>
      </c>
      <c r="G8815" t="s">
        <v>28205</v>
      </c>
      <c r="H8815" t="s">
        <v>28214</v>
      </c>
      <c r="I8815" t="s">
        <v>3797</v>
      </c>
      <c r="J8815" t="s">
        <v>33863</v>
      </c>
      <c r="K8815" t="s">
        <v>36789</v>
      </c>
      <c r="M8815" t="s">
        <v>39745</v>
      </c>
      <c r="N8815" t="s">
        <v>40436</v>
      </c>
      <c r="O8815" t="s">
        <v>40437</v>
      </c>
      <c r="P8815">
        <v>0</v>
      </c>
      <c r="Q8815">
        <v>0</v>
      </c>
      <c r="R8815" t="s">
        <v>40446</v>
      </c>
      <c r="S8815" t="s">
        <v>40783</v>
      </c>
      <c r="T8815" t="s">
        <v>42234</v>
      </c>
      <c r="U8815" t="s">
        <v>50026</v>
      </c>
      <c r="W8815" t="s">
        <v>39745</v>
      </c>
      <c r="X8815" t="s">
        <v>40450</v>
      </c>
    </row>
    <row r="8816" spans="1:24">
      <c r="A8816">
        <f>HYPERLINK("https://www.philgeps.gov.ph/GEPSNONPILOT/Tender/SplashBidNoticeAbstractUI.aspx?menuIndex=3&amp;refID=7030617&amp;Result=3","7030617")</f>
        <v>0</v>
      </c>
      <c r="B8816" t="s">
        <v>2537</v>
      </c>
      <c r="C8816" t="s">
        <v>11485</v>
      </c>
      <c r="D8816" t="s">
        <v>16265</v>
      </c>
      <c r="E8816" t="s">
        <v>23994</v>
      </c>
      <c r="F8816" t="s">
        <v>28198</v>
      </c>
      <c r="G8816" t="s">
        <v>28205</v>
      </c>
      <c r="H8816" t="s">
        <v>28215</v>
      </c>
      <c r="I8816" t="s">
        <v>28222</v>
      </c>
      <c r="J8816" t="s">
        <v>28730</v>
      </c>
      <c r="K8816" t="s">
        <v>36715</v>
      </c>
      <c r="M8816" t="s">
        <v>39747</v>
      </c>
      <c r="N8816" t="s">
        <v>40436</v>
      </c>
      <c r="O8816" t="s">
        <v>40437</v>
      </c>
      <c r="P8816">
        <v>0</v>
      </c>
      <c r="Q8816">
        <v>2</v>
      </c>
      <c r="R8816" t="s">
        <v>40446</v>
      </c>
      <c r="S8816" t="s">
        <v>40783</v>
      </c>
      <c r="T8816" t="s">
        <v>42279</v>
      </c>
      <c r="U8816" t="s">
        <v>50027</v>
      </c>
      <c r="V8816" t="s">
        <v>53826</v>
      </c>
      <c r="W8816" t="s">
        <v>39747</v>
      </c>
      <c r="X8816" t="s">
        <v>40450</v>
      </c>
    </row>
    <row r="8817" spans="1:24">
      <c r="A8817">
        <f>HYPERLINK("https://www.philgeps.gov.ph/GEPSNONPILOT/Tender/SplashBidNoticeAbstractUI.aspx?menuIndex=3&amp;refID=7027738&amp;Result=3","7027738")</f>
        <v>0</v>
      </c>
      <c r="B8817" t="s">
        <v>78</v>
      </c>
      <c r="C8817" t="s">
        <v>11486</v>
      </c>
      <c r="D8817" t="s">
        <v>16217</v>
      </c>
      <c r="E8817" t="s">
        <v>23995</v>
      </c>
      <c r="F8817" t="s">
        <v>28198</v>
      </c>
      <c r="G8817" t="s">
        <v>28205</v>
      </c>
      <c r="H8817" t="s">
        <v>28215</v>
      </c>
      <c r="I8817" t="s">
        <v>5082</v>
      </c>
      <c r="J8817" t="s">
        <v>33864</v>
      </c>
      <c r="K8817" t="s">
        <v>36707</v>
      </c>
      <c r="M8817" t="s">
        <v>39735</v>
      </c>
      <c r="N8817" t="s">
        <v>40436</v>
      </c>
      <c r="O8817" t="s">
        <v>40437</v>
      </c>
      <c r="P8817">
        <v>0</v>
      </c>
      <c r="Q8817">
        <v>2</v>
      </c>
      <c r="R8817" t="s">
        <v>40446</v>
      </c>
      <c r="S8817" t="s">
        <v>40783</v>
      </c>
      <c r="T8817" t="s">
        <v>42184</v>
      </c>
      <c r="U8817" t="s">
        <v>50028</v>
      </c>
      <c r="V8817" t="s">
        <v>53791</v>
      </c>
      <c r="W8817" t="s">
        <v>39735</v>
      </c>
      <c r="X8817" t="s">
        <v>40451</v>
      </c>
    </row>
    <row r="8818" spans="1:24">
      <c r="A8818">
        <f>HYPERLINK("https://www.philgeps.gov.ph/GEPSNONPILOT/Tender/SplashBidNoticeAbstractUI.aspx?menuIndex=3&amp;refID=7029161&amp;Result=3","7029161")</f>
        <v>0</v>
      </c>
      <c r="B8818" t="s">
        <v>2538</v>
      </c>
      <c r="C8818" t="s">
        <v>11487</v>
      </c>
      <c r="D8818" t="s">
        <v>16200</v>
      </c>
      <c r="E8818" t="s">
        <v>23996</v>
      </c>
      <c r="F8818" t="s">
        <v>28198</v>
      </c>
      <c r="G8818" t="s">
        <v>28205</v>
      </c>
      <c r="H8818" t="s">
        <v>28215</v>
      </c>
      <c r="I8818" t="s">
        <v>28222</v>
      </c>
      <c r="J8818" t="s">
        <v>28347</v>
      </c>
      <c r="K8818" t="s">
        <v>36694</v>
      </c>
      <c r="M8818" t="s">
        <v>39748</v>
      </c>
      <c r="N8818" t="s">
        <v>40436</v>
      </c>
      <c r="O8818" t="s">
        <v>40437</v>
      </c>
      <c r="Q8818">
        <v>11</v>
      </c>
      <c r="R8818" t="s">
        <v>40446</v>
      </c>
      <c r="S8818" t="s">
        <v>40798</v>
      </c>
      <c r="T8818" t="s">
        <v>42459</v>
      </c>
      <c r="U8818" t="s">
        <v>50029</v>
      </c>
      <c r="W8818" t="s">
        <v>39748</v>
      </c>
      <c r="X8818" t="s">
        <v>40451</v>
      </c>
    </row>
    <row r="8819" spans="1:24">
      <c r="A8819">
        <f>HYPERLINK("https://www.philgeps.gov.ph/GEPSNONPILOT/Tender/SplashBidNoticeAbstractUI.aspx?menuIndex=3&amp;refID=7030667&amp;Result=3","7030667")</f>
        <v>0</v>
      </c>
      <c r="B8819" t="s">
        <v>2535</v>
      </c>
      <c r="C8819" t="s">
        <v>11488</v>
      </c>
      <c r="D8819" t="s">
        <v>16236</v>
      </c>
      <c r="E8819" t="s">
        <v>23997</v>
      </c>
      <c r="F8819" t="s">
        <v>28198</v>
      </c>
      <c r="G8819" t="s">
        <v>28205</v>
      </c>
      <c r="H8819" t="s">
        <v>28214</v>
      </c>
      <c r="I8819" t="s">
        <v>3797</v>
      </c>
      <c r="J8819" t="s">
        <v>33865</v>
      </c>
      <c r="K8819" t="s">
        <v>36694</v>
      </c>
      <c r="M8819" t="s">
        <v>39745</v>
      </c>
      <c r="N8819" t="s">
        <v>40436</v>
      </c>
      <c r="O8819" t="s">
        <v>40437</v>
      </c>
      <c r="P8819">
        <v>0</v>
      </c>
      <c r="Q8819">
        <v>0</v>
      </c>
      <c r="R8819" t="s">
        <v>40446</v>
      </c>
      <c r="S8819" t="s">
        <v>40783</v>
      </c>
      <c r="T8819" t="s">
        <v>42234</v>
      </c>
      <c r="U8819" t="s">
        <v>50030</v>
      </c>
      <c r="W8819" t="s">
        <v>39745</v>
      </c>
      <c r="X8819" t="s">
        <v>40450</v>
      </c>
    </row>
    <row r="8820" spans="1:24">
      <c r="A8820">
        <f>HYPERLINK("https://www.philgeps.gov.ph/GEPSNONPILOT/Tender/SplashBidNoticeAbstractUI.aspx?menuIndex=3&amp;refID=7030587&amp;Result=3","7030587")</f>
        <v>0</v>
      </c>
      <c r="B8820" t="s">
        <v>2535</v>
      </c>
      <c r="C8820" t="s">
        <v>11489</v>
      </c>
      <c r="D8820" t="s">
        <v>16236</v>
      </c>
      <c r="E8820" t="s">
        <v>23998</v>
      </c>
      <c r="F8820" t="s">
        <v>28198</v>
      </c>
      <c r="G8820" t="s">
        <v>28205</v>
      </c>
      <c r="H8820" t="s">
        <v>28214</v>
      </c>
      <c r="I8820" t="s">
        <v>3797</v>
      </c>
      <c r="J8820" t="s">
        <v>33866</v>
      </c>
      <c r="K8820" t="s">
        <v>36713</v>
      </c>
      <c r="M8820" t="s">
        <v>39745</v>
      </c>
      <c r="N8820" t="s">
        <v>40436</v>
      </c>
      <c r="O8820" t="s">
        <v>40437</v>
      </c>
      <c r="P8820">
        <v>0</v>
      </c>
      <c r="Q8820">
        <v>0</v>
      </c>
      <c r="R8820" t="s">
        <v>40446</v>
      </c>
      <c r="S8820" t="s">
        <v>40783</v>
      </c>
      <c r="T8820" t="s">
        <v>42234</v>
      </c>
      <c r="U8820" t="s">
        <v>50031</v>
      </c>
      <c r="W8820" t="s">
        <v>39745</v>
      </c>
      <c r="X8820" t="s">
        <v>40450</v>
      </c>
    </row>
    <row r="8821" spans="1:24">
      <c r="A8821">
        <f>HYPERLINK("https://www.philgeps.gov.ph/GEPSNONPILOT/Tender/SplashBidNoticeAbstractUI.aspx?menuIndex=3&amp;refID=7031158&amp;Result=3","7031158")</f>
        <v>0</v>
      </c>
      <c r="B8821" t="s">
        <v>67</v>
      </c>
      <c r="C8821" t="s">
        <v>11490</v>
      </c>
      <c r="D8821" t="s">
        <v>16192</v>
      </c>
      <c r="E8821" t="s">
        <v>23999</v>
      </c>
      <c r="F8821" t="s">
        <v>28198</v>
      </c>
      <c r="G8821" t="s">
        <v>28205</v>
      </c>
      <c r="H8821" t="s">
        <v>28215</v>
      </c>
      <c r="I8821" t="s">
        <v>28238</v>
      </c>
      <c r="J8821" t="s">
        <v>33867</v>
      </c>
      <c r="K8821" t="s">
        <v>36688</v>
      </c>
      <c r="M8821" t="s">
        <v>37039</v>
      </c>
      <c r="N8821" t="s">
        <v>40436</v>
      </c>
      <c r="O8821" t="s">
        <v>40437</v>
      </c>
      <c r="P8821">
        <v>0</v>
      </c>
      <c r="Q8821">
        <v>2</v>
      </c>
      <c r="R8821" t="s">
        <v>40446</v>
      </c>
      <c r="S8821" t="s">
        <v>40783</v>
      </c>
      <c r="T8821" t="s">
        <v>42427</v>
      </c>
      <c r="U8821" t="s">
        <v>42701</v>
      </c>
      <c r="V8821" t="s">
        <v>54732</v>
      </c>
      <c r="W8821" t="s">
        <v>37039</v>
      </c>
      <c r="X8821" t="s">
        <v>40450</v>
      </c>
    </row>
    <row r="8822" spans="1:24">
      <c r="A8822">
        <f>HYPERLINK("https://www.philgeps.gov.ph/GEPSNONPILOT/Tender/SplashBidNoticeAbstractUI.aspx?menuIndex=3&amp;refID=7029976&amp;Result=3","7029976")</f>
        <v>0</v>
      </c>
      <c r="B8822" t="s">
        <v>701</v>
      </c>
      <c r="C8822" t="s">
        <v>11491</v>
      </c>
      <c r="D8822" t="s">
        <v>16254</v>
      </c>
      <c r="E8822" t="s">
        <v>24000</v>
      </c>
      <c r="F8822" t="s">
        <v>28198</v>
      </c>
      <c r="G8822" t="s">
        <v>28205</v>
      </c>
      <c r="H8822" t="s">
        <v>28215</v>
      </c>
      <c r="I8822" t="s">
        <v>28220</v>
      </c>
      <c r="J8822" t="s">
        <v>28351</v>
      </c>
      <c r="K8822" t="s">
        <v>36694</v>
      </c>
      <c r="M8822" t="s">
        <v>37701</v>
      </c>
      <c r="N8822" t="s">
        <v>40436</v>
      </c>
      <c r="O8822" t="s">
        <v>40437</v>
      </c>
      <c r="Q8822">
        <v>10</v>
      </c>
      <c r="R8822" t="s">
        <v>40446</v>
      </c>
      <c r="S8822" t="s">
        <v>40799</v>
      </c>
      <c r="T8822" t="s">
        <v>42279</v>
      </c>
      <c r="U8822" t="s">
        <v>50032</v>
      </c>
      <c r="W8822" t="s">
        <v>37701</v>
      </c>
      <c r="X8822" t="s">
        <v>40450</v>
      </c>
    </row>
    <row r="8823" spans="1:24">
      <c r="A8823">
        <f>HYPERLINK("https://www.philgeps.gov.ph/GEPSNONPILOT/Tender/SplashBidNoticeAbstractUI.aspx?menuIndex=3&amp;refID=7029581&amp;Result=3","7029581")</f>
        <v>0</v>
      </c>
      <c r="B8823" t="s">
        <v>2539</v>
      </c>
      <c r="C8823" t="s">
        <v>11492</v>
      </c>
      <c r="E8823" t="s">
        <v>16473</v>
      </c>
      <c r="F8823" t="s">
        <v>28200</v>
      </c>
      <c r="G8823" t="s">
        <v>28212</v>
      </c>
      <c r="H8823" t="s">
        <v>28215</v>
      </c>
      <c r="I8823" t="s">
        <v>4505</v>
      </c>
      <c r="J8823" t="s">
        <v>33868</v>
      </c>
      <c r="K8823" t="s">
        <v>36689</v>
      </c>
      <c r="M8823" t="s">
        <v>39749</v>
      </c>
      <c r="N8823" t="s">
        <v>40436</v>
      </c>
      <c r="O8823" t="s">
        <v>40437</v>
      </c>
      <c r="P8823">
        <v>0</v>
      </c>
      <c r="Q8823">
        <v>1</v>
      </c>
      <c r="R8823" t="s">
        <v>40446</v>
      </c>
      <c r="S8823" t="s">
        <v>40783</v>
      </c>
      <c r="T8823" t="s">
        <v>42161</v>
      </c>
      <c r="U8823" t="s">
        <v>50033</v>
      </c>
      <c r="W8823" t="s">
        <v>39749</v>
      </c>
      <c r="X8823" t="s">
        <v>40451</v>
      </c>
    </row>
    <row r="8824" spans="1:24">
      <c r="A8824">
        <f>HYPERLINK("https://www.philgeps.gov.ph/GEPSNONPILOT/Tender/SplashBidNoticeAbstractUI.aspx?menuIndex=3&amp;refID=7030663&amp;Result=3","7030663")</f>
        <v>0</v>
      </c>
      <c r="B8824" t="s">
        <v>2536</v>
      </c>
      <c r="C8824" t="s">
        <v>11493</v>
      </c>
      <c r="D8824" t="s">
        <v>16235</v>
      </c>
      <c r="E8824" t="s">
        <v>24001</v>
      </c>
      <c r="F8824" t="s">
        <v>28198</v>
      </c>
      <c r="G8824" t="s">
        <v>28205</v>
      </c>
      <c r="H8824" t="s">
        <v>28214</v>
      </c>
      <c r="I8824" t="s">
        <v>3797</v>
      </c>
      <c r="J8824" t="s">
        <v>28398</v>
      </c>
      <c r="K8824" t="s">
        <v>36715</v>
      </c>
      <c r="M8824" t="s">
        <v>39746</v>
      </c>
      <c r="N8824" t="s">
        <v>40436</v>
      </c>
      <c r="O8824" t="s">
        <v>40437</v>
      </c>
      <c r="P8824">
        <v>0</v>
      </c>
      <c r="Q8824">
        <v>0</v>
      </c>
      <c r="R8824" t="s">
        <v>40446</v>
      </c>
      <c r="S8824" t="s">
        <v>40783</v>
      </c>
      <c r="T8824" t="s">
        <v>42209</v>
      </c>
      <c r="U8824" t="s">
        <v>50034</v>
      </c>
      <c r="V8824" t="s">
        <v>50034</v>
      </c>
      <c r="W8824" t="s">
        <v>39746</v>
      </c>
      <c r="X8824" t="s">
        <v>40450</v>
      </c>
    </row>
    <row r="8825" spans="1:24">
      <c r="A8825">
        <f>HYPERLINK("https://www.philgeps.gov.ph/GEPSNONPILOT/Tender/SplashBidNoticeAbstractUI.aspx?menuIndex=3&amp;refID=7030707&amp;Result=3","7030707")</f>
        <v>0</v>
      </c>
      <c r="B8825" t="s">
        <v>340</v>
      </c>
      <c r="C8825" t="s">
        <v>11494</v>
      </c>
      <c r="D8825" t="s">
        <v>16195</v>
      </c>
      <c r="E8825" t="s">
        <v>24002</v>
      </c>
      <c r="F8825" t="s">
        <v>28198</v>
      </c>
      <c r="G8825" t="s">
        <v>28207</v>
      </c>
      <c r="H8825" t="s">
        <v>28215</v>
      </c>
      <c r="I8825" t="s">
        <v>4200</v>
      </c>
      <c r="J8825" t="s">
        <v>30305</v>
      </c>
      <c r="K8825" t="s">
        <v>36689</v>
      </c>
      <c r="M8825" t="s">
        <v>37318</v>
      </c>
      <c r="N8825" t="s">
        <v>40436</v>
      </c>
      <c r="O8825" t="s">
        <v>40437</v>
      </c>
      <c r="P8825">
        <v>0</v>
      </c>
      <c r="Q8825">
        <v>1</v>
      </c>
      <c r="R8825" t="s">
        <v>40446</v>
      </c>
      <c r="S8825" t="s">
        <v>40783</v>
      </c>
      <c r="T8825" t="s">
        <v>42233</v>
      </c>
      <c r="U8825" t="s">
        <v>43170</v>
      </c>
      <c r="W8825" t="s">
        <v>37318</v>
      </c>
      <c r="X8825" t="s">
        <v>40450</v>
      </c>
    </row>
    <row r="8826" spans="1:24">
      <c r="A8826">
        <f>HYPERLINK("https://www.philgeps.gov.ph/GEPSNONPILOT/Tender/SplashBidNoticeAbstractUI.aspx?menuIndex=3&amp;refID=7029586&amp;Result=3","7029586")</f>
        <v>0</v>
      </c>
      <c r="B8826" t="s">
        <v>2539</v>
      </c>
      <c r="C8826" t="s">
        <v>11495</v>
      </c>
      <c r="E8826" t="s">
        <v>16766</v>
      </c>
      <c r="F8826" t="s">
        <v>28200</v>
      </c>
      <c r="G8826" t="s">
        <v>28212</v>
      </c>
      <c r="H8826" t="s">
        <v>28215</v>
      </c>
      <c r="I8826" t="s">
        <v>5100</v>
      </c>
      <c r="J8826" t="s">
        <v>33869</v>
      </c>
      <c r="K8826" t="s">
        <v>36689</v>
      </c>
      <c r="M8826" t="s">
        <v>39749</v>
      </c>
      <c r="N8826" t="s">
        <v>40436</v>
      </c>
      <c r="O8826" t="s">
        <v>40437</v>
      </c>
      <c r="P8826">
        <v>0</v>
      </c>
      <c r="Q8826">
        <v>1</v>
      </c>
      <c r="R8826" t="s">
        <v>40446</v>
      </c>
      <c r="S8826" t="s">
        <v>40783</v>
      </c>
      <c r="T8826" t="s">
        <v>42161</v>
      </c>
      <c r="U8826" t="s">
        <v>50035</v>
      </c>
      <c r="W8826" t="s">
        <v>39749</v>
      </c>
      <c r="X8826" t="s">
        <v>40451</v>
      </c>
    </row>
    <row r="8827" spans="1:24">
      <c r="A8827">
        <f>HYPERLINK("https://www.philgeps.gov.ph/GEPSNONPILOT/Tender/SplashBidNoticeAbstractUI.aspx?menuIndex=3&amp;refID=7031252&amp;Result=3","7031252")</f>
        <v>0</v>
      </c>
      <c r="B8827" t="s">
        <v>67</v>
      </c>
      <c r="C8827" t="s">
        <v>11496</v>
      </c>
      <c r="D8827" t="s">
        <v>16192</v>
      </c>
      <c r="E8827" t="s">
        <v>24003</v>
      </c>
      <c r="F8827" t="s">
        <v>28198</v>
      </c>
      <c r="G8827" t="s">
        <v>28205</v>
      </c>
      <c r="H8827" t="s">
        <v>28215</v>
      </c>
      <c r="I8827" t="s">
        <v>28225</v>
      </c>
      <c r="J8827" t="s">
        <v>33072</v>
      </c>
      <c r="K8827" t="s">
        <v>36688</v>
      </c>
      <c r="M8827" t="s">
        <v>37039</v>
      </c>
      <c r="N8827" t="s">
        <v>40436</v>
      </c>
      <c r="O8827" t="s">
        <v>40437</v>
      </c>
      <c r="P8827">
        <v>0</v>
      </c>
      <c r="Q8827">
        <v>1</v>
      </c>
      <c r="R8827" t="s">
        <v>40446</v>
      </c>
      <c r="S8827" t="s">
        <v>40783</v>
      </c>
      <c r="T8827" t="s">
        <v>42427</v>
      </c>
      <c r="U8827" t="s">
        <v>42701</v>
      </c>
      <c r="V8827" t="s">
        <v>54733</v>
      </c>
      <c r="W8827" t="s">
        <v>37039</v>
      </c>
      <c r="X8827" t="s">
        <v>40450</v>
      </c>
    </row>
    <row r="8828" spans="1:24">
      <c r="A8828">
        <f>HYPERLINK("https://www.philgeps.gov.ph/GEPSNONPILOT/Tender/SplashBidNoticeAbstractUI.aspx?menuIndex=3&amp;refID=7031258&amp;Result=3","7031258")</f>
        <v>0</v>
      </c>
      <c r="B8828" t="s">
        <v>2540</v>
      </c>
      <c r="C8828" t="s">
        <v>11497</v>
      </c>
      <c r="D8828" t="s">
        <v>16271</v>
      </c>
      <c r="E8828" t="s">
        <v>24004</v>
      </c>
      <c r="F8828" t="s">
        <v>28198</v>
      </c>
      <c r="G8828" t="s">
        <v>28205</v>
      </c>
      <c r="H8828" t="s">
        <v>28215</v>
      </c>
      <c r="I8828" t="s">
        <v>28259</v>
      </c>
      <c r="J8828" t="s">
        <v>28351</v>
      </c>
      <c r="K8828" t="s">
        <v>36689</v>
      </c>
      <c r="M8828" t="s">
        <v>39750</v>
      </c>
      <c r="N8828" t="s">
        <v>40436</v>
      </c>
      <c r="O8828" t="s">
        <v>40437</v>
      </c>
      <c r="P8828">
        <v>0</v>
      </c>
      <c r="Q8828">
        <v>3</v>
      </c>
      <c r="R8828" t="s">
        <v>40446</v>
      </c>
      <c r="S8828" t="s">
        <v>40783</v>
      </c>
      <c r="T8828" t="s">
        <v>42103</v>
      </c>
      <c r="U8828" t="s">
        <v>50036</v>
      </c>
      <c r="W8828" t="s">
        <v>39750</v>
      </c>
      <c r="X8828" t="s">
        <v>40450</v>
      </c>
    </row>
    <row r="8829" spans="1:24">
      <c r="A8829">
        <f>HYPERLINK("https://www.philgeps.gov.ph/GEPSNONPILOT/Tender/SplashBidNoticeAbstractUI.aspx?menuIndex=3&amp;refID=7030122&amp;Result=3","7030122")</f>
        <v>0</v>
      </c>
      <c r="B8829" t="s">
        <v>2117</v>
      </c>
      <c r="C8829" t="s">
        <v>11498</v>
      </c>
      <c r="D8829" t="s">
        <v>16228</v>
      </c>
      <c r="E8829" t="s">
        <v>24005</v>
      </c>
      <c r="F8829" t="s">
        <v>28198</v>
      </c>
      <c r="G8829" t="s">
        <v>28205</v>
      </c>
      <c r="H8829" t="s">
        <v>28214</v>
      </c>
      <c r="I8829" t="s">
        <v>3797</v>
      </c>
      <c r="J8829" t="s">
        <v>33870</v>
      </c>
      <c r="K8829" t="s">
        <v>36708</v>
      </c>
      <c r="M8829" t="s">
        <v>39271</v>
      </c>
      <c r="N8829" t="s">
        <v>40436</v>
      </c>
      <c r="O8829" t="s">
        <v>40437</v>
      </c>
      <c r="P8829">
        <v>0</v>
      </c>
      <c r="Q8829">
        <v>1</v>
      </c>
      <c r="R8829" t="s">
        <v>40446</v>
      </c>
      <c r="S8829" t="s">
        <v>40783</v>
      </c>
      <c r="T8829" t="s">
        <v>42110</v>
      </c>
      <c r="U8829" t="s">
        <v>50037</v>
      </c>
      <c r="W8829" t="s">
        <v>39271</v>
      </c>
      <c r="X8829" t="s">
        <v>40450</v>
      </c>
    </row>
    <row r="8830" spans="1:24">
      <c r="A8830">
        <f>HYPERLINK("https://www.philgeps.gov.ph/GEPSNONPILOT/Tender/SplashBidNoticeAbstractUI.aspx?menuIndex=3&amp;refID=7028972&amp;Result=3","7028972")</f>
        <v>0</v>
      </c>
      <c r="B8830" t="s">
        <v>964</v>
      </c>
      <c r="C8830" t="s">
        <v>11499</v>
      </c>
      <c r="E8830" t="s">
        <v>24006</v>
      </c>
      <c r="F8830" t="s">
        <v>28198</v>
      </c>
      <c r="G8830" t="s">
        <v>28205</v>
      </c>
      <c r="H8830" t="s">
        <v>28215</v>
      </c>
      <c r="I8830" t="s">
        <v>28238</v>
      </c>
      <c r="J8830" t="s">
        <v>33871</v>
      </c>
      <c r="K8830" t="s">
        <v>36689</v>
      </c>
      <c r="M8830" t="s">
        <v>37990</v>
      </c>
      <c r="N8830" t="s">
        <v>40436</v>
      </c>
      <c r="O8830" t="s">
        <v>40437</v>
      </c>
      <c r="Q8830">
        <v>17</v>
      </c>
      <c r="R8830" t="s">
        <v>40446</v>
      </c>
      <c r="S8830" t="s">
        <v>40800</v>
      </c>
      <c r="T8830" t="s">
        <v>42234</v>
      </c>
      <c r="U8830" t="s">
        <v>50038</v>
      </c>
      <c r="W8830" t="s">
        <v>55468</v>
      </c>
      <c r="X8830" t="s">
        <v>40451</v>
      </c>
    </row>
    <row r="8831" spans="1:24">
      <c r="A8831">
        <f>HYPERLINK("https://www.philgeps.gov.ph/GEPSNONPILOT/Tender/SplashBidNoticeAbstractUI.aspx?menuIndex=3&amp;refID=7032072&amp;Result=3","7032072")</f>
        <v>0</v>
      </c>
      <c r="B8831" t="s">
        <v>65</v>
      </c>
      <c r="C8831" t="s">
        <v>11500</v>
      </c>
      <c r="D8831" t="s">
        <v>16210</v>
      </c>
      <c r="E8831" t="s">
        <v>24007</v>
      </c>
      <c r="F8831" t="s">
        <v>28198</v>
      </c>
      <c r="G8831" t="s">
        <v>28205</v>
      </c>
      <c r="H8831" t="s">
        <v>28215</v>
      </c>
      <c r="I8831" t="s">
        <v>4168</v>
      </c>
      <c r="J8831" t="s">
        <v>33872</v>
      </c>
      <c r="K8831" t="s">
        <v>36689</v>
      </c>
      <c r="M8831" t="s">
        <v>37447</v>
      </c>
      <c r="N8831" t="s">
        <v>40436</v>
      </c>
      <c r="O8831" t="s">
        <v>40437</v>
      </c>
      <c r="P8831">
        <v>0</v>
      </c>
      <c r="Q8831">
        <v>3</v>
      </c>
      <c r="R8831" t="s">
        <v>40446</v>
      </c>
      <c r="S8831" t="s">
        <v>40783</v>
      </c>
      <c r="T8831" t="s">
        <v>42346</v>
      </c>
      <c r="U8831" t="s">
        <v>50039</v>
      </c>
      <c r="W8831" t="s">
        <v>37447</v>
      </c>
      <c r="X8831" t="s">
        <v>40449</v>
      </c>
    </row>
    <row r="8832" spans="1:24">
      <c r="A8832">
        <f>HYPERLINK("https://www.philgeps.gov.ph/GEPSNONPILOT/Tender/SplashBidNoticeAbstractUI.aspx?menuIndex=3&amp;refID=7032159&amp;Result=3","7032159")</f>
        <v>0</v>
      </c>
      <c r="B8832" t="s">
        <v>34</v>
      </c>
      <c r="C8832" t="s">
        <v>11501</v>
      </c>
      <c r="D8832" t="s">
        <v>16195</v>
      </c>
      <c r="E8832" t="s">
        <v>24008</v>
      </c>
      <c r="F8832" t="s">
        <v>28198</v>
      </c>
      <c r="G8832" t="s">
        <v>28205</v>
      </c>
      <c r="H8832" t="s">
        <v>28214</v>
      </c>
      <c r="I8832" t="s">
        <v>3797</v>
      </c>
      <c r="J8832" t="s">
        <v>33873</v>
      </c>
      <c r="K8832" t="s">
        <v>36804</v>
      </c>
      <c r="M8832" t="s">
        <v>39280</v>
      </c>
      <c r="N8832" t="s">
        <v>40436</v>
      </c>
      <c r="O8832" t="s">
        <v>40437</v>
      </c>
      <c r="P8832">
        <v>0</v>
      </c>
      <c r="Q8832">
        <v>4</v>
      </c>
      <c r="R8832" t="s">
        <v>40446</v>
      </c>
      <c r="S8832" t="s">
        <v>40783</v>
      </c>
      <c r="T8832" t="s">
        <v>42346</v>
      </c>
      <c r="U8832" t="s">
        <v>46771</v>
      </c>
      <c r="V8832" t="s">
        <v>53826</v>
      </c>
      <c r="W8832" t="s">
        <v>39280</v>
      </c>
      <c r="X8832" t="s">
        <v>40449</v>
      </c>
    </row>
    <row r="8833" spans="1:24">
      <c r="A8833">
        <f>HYPERLINK("https://www.philgeps.gov.ph/GEPSNONPILOT/Tender/SplashBidNoticeAbstractUI.aspx?menuIndex=3&amp;refID=7031689&amp;Result=3","7031689")</f>
        <v>0</v>
      </c>
      <c r="B8833" t="s">
        <v>2541</v>
      </c>
      <c r="C8833" t="s">
        <v>11502</v>
      </c>
      <c r="D8833" t="s">
        <v>16206</v>
      </c>
      <c r="E8833" t="s">
        <v>24009</v>
      </c>
      <c r="F8833" t="s">
        <v>28198</v>
      </c>
      <c r="G8833" t="s">
        <v>28205</v>
      </c>
      <c r="H8833" t="s">
        <v>28214</v>
      </c>
      <c r="I8833" t="s">
        <v>3797</v>
      </c>
      <c r="J8833" t="s">
        <v>33874</v>
      </c>
      <c r="K8833" t="s">
        <v>36780</v>
      </c>
      <c r="M8833" t="s">
        <v>39751</v>
      </c>
      <c r="N8833" t="s">
        <v>40436</v>
      </c>
      <c r="O8833" t="s">
        <v>40437</v>
      </c>
      <c r="P8833">
        <v>0</v>
      </c>
      <c r="Q8833">
        <v>1</v>
      </c>
      <c r="R8833" t="s">
        <v>40446</v>
      </c>
      <c r="S8833" t="s">
        <v>40783</v>
      </c>
      <c r="T8833" t="s">
        <v>42346</v>
      </c>
      <c r="U8833" t="s">
        <v>50040</v>
      </c>
      <c r="W8833" t="s">
        <v>39751</v>
      </c>
      <c r="X8833" t="s">
        <v>40450</v>
      </c>
    </row>
    <row r="8834" spans="1:24">
      <c r="A8834">
        <f>HYPERLINK("https://www.philgeps.gov.ph/GEPSNONPILOT/Tender/SplashBidNoticeAbstractUI.aspx?menuIndex=3&amp;refID=7031640&amp;Result=3","7031640")</f>
        <v>0</v>
      </c>
      <c r="B8834" t="s">
        <v>2501</v>
      </c>
      <c r="C8834" t="s">
        <v>10074</v>
      </c>
      <c r="E8834" t="s">
        <v>24010</v>
      </c>
      <c r="F8834" t="s">
        <v>28198</v>
      </c>
      <c r="G8834" t="s">
        <v>28205</v>
      </c>
      <c r="H8834" t="s">
        <v>28215</v>
      </c>
      <c r="I8834" t="s">
        <v>4200</v>
      </c>
      <c r="J8834" t="s">
        <v>28345</v>
      </c>
      <c r="K8834" t="s">
        <v>36689</v>
      </c>
      <c r="M8834" t="s">
        <v>39703</v>
      </c>
      <c r="N8834" t="s">
        <v>40436</v>
      </c>
      <c r="O8834" t="s">
        <v>40437</v>
      </c>
      <c r="P8834">
        <v>0</v>
      </c>
      <c r="Q8834">
        <v>0</v>
      </c>
      <c r="R8834" t="s">
        <v>40446</v>
      </c>
      <c r="S8834" t="s">
        <v>40783</v>
      </c>
      <c r="T8834" t="s">
        <v>42175</v>
      </c>
      <c r="U8834" t="s">
        <v>48815</v>
      </c>
      <c r="W8834" t="s">
        <v>39703</v>
      </c>
      <c r="X8834" t="s">
        <v>40450</v>
      </c>
    </row>
    <row r="8835" spans="1:24">
      <c r="A8835">
        <f>HYPERLINK("https://www.philgeps.gov.ph/GEPSNONPILOT/Tender/SplashBidNoticeAbstractUI.aspx?menuIndex=3&amp;refID=7032139&amp;Result=3","7032139")</f>
        <v>0</v>
      </c>
      <c r="B8835" t="s">
        <v>701</v>
      </c>
      <c r="C8835" t="s">
        <v>11503</v>
      </c>
      <c r="D8835" t="s">
        <v>16254</v>
      </c>
      <c r="E8835" t="s">
        <v>24011</v>
      </c>
      <c r="F8835" t="s">
        <v>28198</v>
      </c>
      <c r="G8835" t="s">
        <v>28205</v>
      </c>
      <c r="H8835" t="s">
        <v>28215</v>
      </c>
      <c r="I8835" t="s">
        <v>28297</v>
      </c>
      <c r="J8835" t="s">
        <v>30908</v>
      </c>
      <c r="K8835" t="s">
        <v>36694</v>
      </c>
      <c r="M8835" t="s">
        <v>37701</v>
      </c>
      <c r="N8835" t="s">
        <v>40436</v>
      </c>
      <c r="O8835" t="s">
        <v>40437</v>
      </c>
      <c r="Q8835">
        <v>22</v>
      </c>
      <c r="R8835" t="s">
        <v>40446</v>
      </c>
      <c r="S8835" t="s">
        <v>40801</v>
      </c>
      <c r="T8835" t="s">
        <v>42346</v>
      </c>
      <c r="U8835" t="s">
        <v>50041</v>
      </c>
      <c r="W8835" t="s">
        <v>37701</v>
      </c>
      <c r="X8835" t="s">
        <v>40449</v>
      </c>
    </row>
    <row r="8836" spans="1:24">
      <c r="A8836">
        <f>HYPERLINK("https://www.philgeps.gov.ph/GEPSNONPILOT/Tender/SplashBidNoticeAbstractUI.aspx?menuIndex=3&amp;refID=7031537&amp;Result=3","7031537")</f>
        <v>0</v>
      </c>
      <c r="B8836" t="s">
        <v>1834</v>
      </c>
      <c r="C8836" t="s">
        <v>11504</v>
      </c>
      <c r="D8836" t="s">
        <v>16209</v>
      </c>
      <c r="E8836" t="s">
        <v>24012</v>
      </c>
      <c r="F8836" t="s">
        <v>28198</v>
      </c>
      <c r="G8836" t="s">
        <v>28205</v>
      </c>
      <c r="H8836" t="s">
        <v>28215</v>
      </c>
      <c r="I8836" t="s">
        <v>3422</v>
      </c>
      <c r="J8836" t="s">
        <v>33875</v>
      </c>
      <c r="K8836" t="s">
        <v>36689</v>
      </c>
      <c r="M8836" t="s">
        <v>38959</v>
      </c>
      <c r="N8836" t="s">
        <v>40436</v>
      </c>
      <c r="O8836" t="s">
        <v>40437</v>
      </c>
      <c r="P8836">
        <v>0</v>
      </c>
      <c r="Q8836">
        <v>2</v>
      </c>
      <c r="R8836" t="s">
        <v>40446</v>
      </c>
      <c r="S8836" t="s">
        <v>40783</v>
      </c>
      <c r="T8836" t="s">
        <v>42106</v>
      </c>
      <c r="U8836" t="s">
        <v>50042</v>
      </c>
      <c r="W8836" t="s">
        <v>38959</v>
      </c>
      <c r="X8836" t="s">
        <v>40450</v>
      </c>
    </row>
    <row r="8837" spans="1:24">
      <c r="A8837">
        <f>HYPERLINK("https://www.philgeps.gov.ph/GEPSNONPILOT/Tender/SplashBidNoticeAbstractUI.aspx?menuIndex=3&amp;refID=7032125&amp;Result=3","7032125")</f>
        <v>0</v>
      </c>
      <c r="B8837" t="s">
        <v>65</v>
      </c>
      <c r="C8837" t="s">
        <v>11505</v>
      </c>
      <c r="D8837" t="s">
        <v>16210</v>
      </c>
      <c r="E8837" t="s">
        <v>24013</v>
      </c>
      <c r="F8837" t="s">
        <v>28198</v>
      </c>
      <c r="G8837" t="s">
        <v>28205</v>
      </c>
      <c r="H8837" t="s">
        <v>28215</v>
      </c>
      <c r="I8837" t="s">
        <v>28256</v>
      </c>
      <c r="J8837" t="s">
        <v>33876</v>
      </c>
      <c r="K8837" t="s">
        <v>36689</v>
      </c>
      <c r="M8837" t="s">
        <v>37447</v>
      </c>
      <c r="N8837" t="s">
        <v>40436</v>
      </c>
      <c r="O8837" t="s">
        <v>40437</v>
      </c>
      <c r="P8837">
        <v>0</v>
      </c>
      <c r="Q8837">
        <v>7</v>
      </c>
      <c r="R8837" t="s">
        <v>40446</v>
      </c>
      <c r="S8837" t="s">
        <v>40783</v>
      </c>
      <c r="T8837" t="s">
        <v>42346</v>
      </c>
      <c r="U8837" t="s">
        <v>50043</v>
      </c>
      <c r="W8837" t="s">
        <v>37447</v>
      </c>
      <c r="X8837" t="s">
        <v>40449</v>
      </c>
    </row>
    <row r="8838" spans="1:24">
      <c r="A8838">
        <f>HYPERLINK("https://www.philgeps.gov.ph/GEPSNONPILOT/Tender/SplashBidNoticeAbstractUI.aspx?menuIndex=3&amp;refID=7031571&amp;Result=3","7031571")</f>
        <v>0</v>
      </c>
      <c r="B8838" t="s">
        <v>2542</v>
      </c>
      <c r="C8838" t="s">
        <v>11506</v>
      </c>
      <c r="E8838" t="s">
        <v>16352</v>
      </c>
      <c r="F8838" t="s">
        <v>28198</v>
      </c>
      <c r="G8838" t="s">
        <v>28205</v>
      </c>
      <c r="H8838" t="s">
        <v>28214</v>
      </c>
      <c r="I8838" t="s">
        <v>3797</v>
      </c>
      <c r="J8838" t="s">
        <v>30193</v>
      </c>
      <c r="K8838" t="s">
        <v>36689</v>
      </c>
      <c r="M8838" t="s">
        <v>39752</v>
      </c>
      <c r="N8838" t="s">
        <v>40436</v>
      </c>
      <c r="O8838" t="s">
        <v>40437</v>
      </c>
      <c r="P8838">
        <v>0</v>
      </c>
      <c r="Q8838">
        <v>0</v>
      </c>
      <c r="R8838" t="s">
        <v>40446</v>
      </c>
      <c r="S8838" t="s">
        <v>40783</v>
      </c>
      <c r="T8838" t="s">
        <v>42184</v>
      </c>
      <c r="U8838" t="s">
        <v>50044</v>
      </c>
      <c r="W8838" t="s">
        <v>39752</v>
      </c>
      <c r="X8838" t="s">
        <v>40450</v>
      </c>
    </row>
    <row r="8839" spans="1:24">
      <c r="A8839">
        <f>HYPERLINK("https://www.philgeps.gov.ph/GEPSNONPILOT/Tender/SplashBidNoticeAbstractUI.aspx?menuIndex=3&amp;refID=7031376&amp;Result=3","7031376")</f>
        <v>0</v>
      </c>
      <c r="B8839" t="s">
        <v>1450</v>
      </c>
      <c r="C8839" t="s">
        <v>11507</v>
      </c>
      <c r="D8839" t="s">
        <v>16241</v>
      </c>
      <c r="E8839" t="s">
        <v>19989</v>
      </c>
      <c r="F8839" t="s">
        <v>28198</v>
      </c>
      <c r="G8839" t="s">
        <v>28205</v>
      </c>
      <c r="H8839" t="s">
        <v>28215</v>
      </c>
      <c r="I8839" t="s">
        <v>28222</v>
      </c>
      <c r="J8839" t="s">
        <v>28351</v>
      </c>
      <c r="K8839" t="s">
        <v>36701</v>
      </c>
      <c r="M8839" t="s">
        <v>38517</v>
      </c>
      <c r="N8839" t="s">
        <v>40436</v>
      </c>
      <c r="O8839" t="s">
        <v>40437</v>
      </c>
      <c r="P8839">
        <v>0</v>
      </c>
      <c r="Q8839">
        <v>1</v>
      </c>
      <c r="R8839" t="s">
        <v>40446</v>
      </c>
      <c r="S8839" t="s">
        <v>40783</v>
      </c>
      <c r="T8839" t="s">
        <v>42185</v>
      </c>
      <c r="U8839" t="s">
        <v>50045</v>
      </c>
      <c r="W8839" t="s">
        <v>38517</v>
      </c>
      <c r="X8839" t="s">
        <v>40450</v>
      </c>
    </row>
    <row r="8840" spans="1:24">
      <c r="A8840">
        <f>HYPERLINK("https://www.philgeps.gov.ph/GEPSNONPILOT/Tender/SplashBidNoticeAbstractUI.aspx?menuIndex=3&amp;refID=7032164&amp;Result=3","7032164")</f>
        <v>0</v>
      </c>
      <c r="B8840" t="s">
        <v>34</v>
      </c>
      <c r="C8840" t="s">
        <v>11508</v>
      </c>
      <c r="D8840" t="s">
        <v>16195</v>
      </c>
      <c r="E8840" t="s">
        <v>24014</v>
      </c>
      <c r="F8840" t="s">
        <v>28198</v>
      </c>
      <c r="G8840" t="s">
        <v>28205</v>
      </c>
      <c r="H8840" t="s">
        <v>28214</v>
      </c>
      <c r="I8840" t="s">
        <v>3797</v>
      </c>
      <c r="J8840" t="s">
        <v>29159</v>
      </c>
      <c r="K8840" t="s">
        <v>36883</v>
      </c>
      <c r="M8840" t="s">
        <v>39280</v>
      </c>
      <c r="N8840" t="s">
        <v>40436</v>
      </c>
      <c r="O8840" t="s">
        <v>40437</v>
      </c>
      <c r="P8840">
        <v>0</v>
      </c>
      <c r="Q8840">
        <v>0</v>
      </c>
      <c r="R8840" t="s">
        <v>40446</v>
      </c>
      <c r="S8840" t="s">
        <v>40783</v>
      </c>
      <c r="T8840" t="s">
        <v>42346</v>
      </c>
      <c r="U8840" t="s">
        <v>46771</v>
      </c>
      <c r="V8840" t="s">
        <v>53826</v>
      </c>
      <c r="W8840" t="s">
        <v>39280</v>
      </c>
      <c r="X8840" t="s">
        <v>40449</v>
      </c>
    </row>
    <row r="8841" spans="1:24">
      <c r="A8841">
        <f>HYPERLINK("https://www.philgeps.gov.ph/GEPSNONPILOT/Tender/SplashBidNoticeAbstractUI.aspx?menuIndex=3&amp;refID=7031485&amp;Result=3","7031485")</f>
        <v>0</v>
      </c>
      <c r="B8841" t="s">
        <v>65</v>
      </c>
      <c r="C8841" t="s">
        <v>11509</v>
      </c>
      <c r="D8841" t="s">
        <v>16210</v>
      </c>
      <c r="E8841" t="s">
        <v>24015</v>
      </c>
      <c r="F8841" t="s">
        <v>28198</v>
      </c>
      <c r="G8841" t="s">
        <v>28205</v>
      </c>
      <c r="H8841" t="s">
        <v>28215</v>
      </c>
      <c r="I8841" t="s">
        <v>4200</v>
      </c>
      <c r="J8841" t="s">
        <v>33877</v>
      </c>
      <c r="K8841" t="s">
        <v>36689</v>
      </c>
      <c r="M8841" t="s">
        <v>37789</v>
      </c>
      <c r="N8841" t="s">
        <v>40436</v>
      </c>
      <c r="O8841" t="s">
        <v>40437</v>
      </c>
      <c r="P8841">
        <v>0</v>
      </c>
      <c r="Q8841">
        <v>5</v>
      </c>
      <c r="R8841" t="s">
        <v>40446</v>
      </c>
      <c r="S8841" t="s">
        <v>40783</v>
      </c>
      <c r="T8841" t="s">
        <v>42530</v>
      </c>
      <c r="U8841" t="s">
        <v>50046</v>
      </c>
      <c r="W8841" t="s">
        <v>37789</v>
      </c>
      <c r="X8841" t="s">
        <v>40450</v>
      </c>
    </row>
    <row r="8842" spans="1:24">
      <c r="A8842">
        <f>HYPERLINK("https://www.philgeps.gov.ph/GEPSNONPILOT/Tender/SplashBidNoticeAbstractUI.aspx?menuIndex=3&amp;refID=7031394&amp;Result=3","7031394")</f>
        <v>0</v>
      </c>
      <c r="B8842" t="s">
        <v>1912</v>
      </c>
      <c r="C8842" t="s">
        <v>11510</v>
      </c>
      <c r="D8842" t="s">
        <v>16260</v>
      </c>
      <c r="E8842" t="s">
        <v>24016</v>
      </c>
      <c r="F8842" t="s">
        <v>28198</v>
      </c>
      <c r="G8842" t="s">
        <v>28205</v>
      </c>
      <c r="H8842" t="s">
        <v>28215</v>
      </c>
      <c r="I8842" t="s">
        <v>28301</v>
      </c>
      <c r="J8842" t="s">
        <v>30567</v>
      </c>
      <c r="K8842" t="s">
        <v>36707</v>
      </c>
      <c r="M8842" t="s">
        <v>39044</v>
      </c>
      <c r="N8842" t="s">
        <v>40436</v>
      </c>
      <c r="O8842" t="s">
        <v>40437</v>
      </c>
      <c r="P8842">
        <v>0</v>
      </c>
      <c r="Q8842">
        <v>1</v>
      </c>
      <c r="R8842" t="s">
        <v>40446</v>
      </c>
      <c r="S8842" t="s">
        <v>40783</v>
      </c>
      <c r="T8842" t="s">
        <v>42244</v>
      </c>
      <c r="U8842" t="s">
        <v>50047</v>
      </c>
      <c r="V8842" t="s">
        <v>54734</v>
      </c>
      <c r="W8842" t="s">
        <v>39044</v>
      </c>
      <c r="X8842" t="s">
        <v>40450</v>
      </c>
    </row>
    <row r="8843" spans="1:24">
      <c r="A8843">
        <f>HYPERLINK("https://www.philgeps.gov.ph/GEPSNONPILOT/Tender/SplashBidNoticeAbstractUI.aspx?menuIndex=3&amp;refID=7031338&amp;Result=3","7031338")</f>
        <v>0</v>
      </c>
      <c r="B8843" t="s">
        <v>67</v>
      </c>
      <c r="C8843" t="s">
        <v>11511</v>
      </c>
      <c r="D8843" t="s">
        <v>16192</v>
      </c>
      <c r="E8843" t="s">
        <v>24017</v>
      </c>
      <c r="F8843" t="s">
        <v>28198</v>
      </c>
      <c r="G8843" t="s">
        <v>28205</v>
      </c>
      <c r="H8843" t="s">
        <v>28215</v>
      </c>
      <c r="I8843" t="s">
        <v>3774</v>
      </c>
      <c r="J8843" t="s">
        <v>33878</v>
      </c>
      <c r="K8843" t="s">
        <v>36688</v>
      </c>
      <c r="M8843" t="s">
        <v>37039</v>
      </c>
      <c r="N8843" t="s">
        <v>40436</v>
      </c>
      <c r="O8843" t="s">
        <v>40437</v>
      </c>
      <c r="P8843">
        <v>0</v>
      </c>
      <c r="Q8843">
        <v>0</v>
      </c>
      <c r="R8843" t="s">
        <v>40446</v>
      </c>
      <c r="S8843" t="s">
        <v>40783</v>
      </c>
      <c r="T8843" t="s">
        <v>42427</v>
      </c>
      <c r="U8843" t="s">
        <v>42701</v>
      </c>
      <c r="V8843" t="s">
        <v>54735</v>
      </c>
      <c r="W8843" t="s">
        <v>37039</v>
      </c>
      <c r="X8843" t="s">
        <v>40450</v>
      </c>
    </row>
    <row r="8844" spans="1:24">
      <c r="A8844">
        <f>HYPERLINK("https://www.philgeps.gov.ph/GEPSNONPILOT/Tender/SplashBidNoticeAbstractUI.aspx?menuIndex=3&amp;refID=7032590&amp;Result=3","7032590")</f>
        <v>0</v>
      </c>
      <c r="B8844" t="s">
        <v>2543</v>
      </c>
      <c r="C8844" t="s">
        <v>11512</v>
      </c>
      <c r="D8844" t="s">
        <v>16247</v>
      </c>
      <c r="E8844" t="s">
        <v>24018</v>
      </c>
      <c r="F8844" t="s">
        <v>28198</v>
      </c>
      <c r="G8844" t="s">
        <v>28205</v>
      </c>
      <c r="H8844" t="s">
        <v>28214</v>
      </c>
      <c r="I8844" t="s">
        <v>3797</v>
      </c>
      <c r="J8844" t="s">
        <v>28395</v>
      </c>
      <c r="K8844" t="s">
        <v>36694</v>
      </c>
      <c r="M8844" t="s">
        <v>39753</v>
      </c>
      <c r="N8844" t="s">
        <v>40436</v>
      </c>
      <c r="O8844" t="s">
        <v>40437</v>
      </c>
      <c r="P8844">
        <v>0</v>
      </c>
      <c r="Q8844">
        <v>2</v>
      </c>
      <c r="R8844" t="s">
        <v>40446</v>
      </c>
      <c r="S8844" t="s">
        <v>40783</v>
      </c>
      <c r="T8844" t="s">
        <v>42213</v>
      </c>
      <c r="U8844" t="s">
        <v>50048</v>
      </c>
      <c r="W8844" t="s">
        <v>39753</v>
      </c>
      <c r="X8844" t="s">
        <v>40448</v>
      </c>
    </row>
    <row r="8845" spans="1:24">
      <c r="A8845">
        <f>HYPERLINK("https://www.philgeps.gov.ph/GEPSNONPILOT/Tender/SplashBidNoticeAbstractUI.aspx?menuIndex=3&amp;refID=7032407&amp;Result=3","7032407")</f>
        <v>0</v>
      </c>
      <c r="B8845" t="s">
        <v>65</v>
      </c>
      <c r="C8845" t="s">
        <v>11513</v>
      </c>
      <c r="D8845" t="s">
        <v>16210</v>
      </c>
      <c r="E8845" t="s">
        <v>24019</v>
      </c>
      <c r="F8845" t="s">
        <v>28198</v>
      </c>
      <c r="G8845" t="s">
        <v>28205</v>
      </c>
      <c r="H8845" t="s">
        <v>28215</v>
      </c>
      <c r="I8845" t="s">
        <v>28255</v>
      </c>
      <c r="J8845" t="s">
        <v>33879</v>
      </c>
      <c r="K8845" t="s">
        <v>36689</v>
      </c>
      <c r="M8845" t="s">
        <v>38707</v>
      </c>
      <c r="N8845" t="s">
        <v>40436</v>
      </c>
      <c r="O8845" t="s">
        <v>40437</v>
      </c>
      <c r="P8845">
        <v>0</v>
      </c>
      <c r="Q8845">
        <v>2</v>
      </c>
      <c r="R8845" t="s">
        <v>40446</v>
      </c>
      <c r="S8845" t="s">
        <v>40783</v>
      </c>
      <c r="T8845" t="s">
        <v>42346</v>
      </c>
      <c r="U8845" t="s">
        <v>50049</v>
      </c>
      <c r="W8845" t="s">
        <v>38707</v>
      </c>
      <c r="X8845" t="s">
        <v>40448</v>
      </c>
    </row>
    <row r="8846" spans="1:24">
      <c r="A8846">
        <f>HYPERLINK("https://www.philgeps.gov.ph/GEPSNONPILOT/Tender/SplashBidNoticeAbstractUI.aspx?menuIndex=3&amp;refID=7032165&amp;Result=3","7032165")</f>
        <v>0</v>
      </c>
      <c r="B8846" t="s">
        <v>34</v>
      </c>
      <c r="C8846" t="s">
        <v>11514</v>
      </c>
      <c r="D8846" t="s">
        <v>16195</v>
      </c>
      <c r="E8846" t="s">
        <v>24020</v>
      </c>
      <c r="F8846" t="s">
        <v>28198</v>
      </c>
      <c r="G8846" t="s">
        <v>28205</v>
      </c>
      <c r="H8846" t="s">
        <v>28214</v>
      </c>
      <c r="I8846" t="s">
        <v>3797</v>
      </c>
      <c r="J8846" t="s">
        <v>30496</v>
      </c>
      <c r="K8846" t="s">
        <v>36789</v>
      </c>
      <c r="M8846" t="s">
        <v>39280</v>
      </c>
      <c r="N8846" t="s">
        <v>40436</v>
      </c>
      <c r="O8846" t="s">
        <v>40437</v>
      </c>
      <c r="P8846">
        <v>0</v>
      </c>
      <c r="Q8846">
        <v>0</v>
      </c>
      <c r="R8846" t="s">
        <v>40446</v>
      </c>
      <c r="S8846" t="s">
        <v>40783</v>
      </c>
      <c r="T8846" t="s">
        <v>42346</v>
      </c>
      <c r="U8846" t="s">
        <v>46771</v>
      </c>
      <c r="V8846" t="s">
        <v>53826</v>
      </c>
      <c r="W8846" t="s">
        <v>39280</v>
      </c>
      <c r="X8846" t="s">
        <v>40449</v>
      </c>
    </row>
    <row r="8847" spans="1:24">
      <c r="A8847">
        <f>HYPERLINK("https://www.philgeps.gov.ph/GEPSNONPILOT/Tender/SplashBidNoticeAbstractUI.aspx?menuIndex=3&amp;refID=7032582&amp;Result=3","7032582")</f>
        <v>0</v>
      </c>
      <c r="B8847" t="s">
        <v>2543</v>
      </c>
      <c r="C8847" t="s">
        <v>11515</v>
      </c>
      <c r="D8847" t="s">
        <v>16247</v>
      </c>
      <c r="E8847" t="s">
        <v>24021</v>
      </c>
      <c r="F8847" t="s">
        <v>28198</v>
      </c>
      <c r="G8847" t="s">
        <v>28205</v>
      </c>
      <c r="H8847" t="s">
        <v>28214</v>
      </c>
      <c r="I8847" t="s">
        <v>3797</v>
      </c>
      <c r="J8847" t="s">
        <v>28921</v>
      </c>
      <c r="K8847" t="s">
        <v>36764</v>
      </c>
      <c r="M8847" t="s">
        <v>39753</v>
      </c>
      <c r="N8847" t="s">
        <v>40436</v>
      </c>
      <c r="O8847" t="s">
        <v>40437</v>
      </c>
      <c r="P8847">
        <v>0</v>
      </c>
      <c r="Q8847">
        <v>2</v>
      </c>
      <c r="R8847" t="s">
        <v>40446</v>
      </c>
      <c r="S8847" t="s">
        <v>40783</v>
      </c>
      <c r="T8847" t="s">
        <v>42213</v>
      </c>
      <c r="U8847" t="s">
        <v>50048</v>
      </c>
      <c r="W8847" t="s">
        <v>39753</v>
      </c>
      <c r="X8847" t="s">
        <v>40448</v>
      </c>
    </row>
    <row r="8848" spans="1:24">
      <c r="A8848">
        <f>HYPERLINK("https://www.philgeps.gov.ph/GEPSNONPILOT/Tender/SplashBidNoticeAbstractUI.aspx?menuIndex=3&amp;refID=7032587&amp;Result=3","7032587")</f>
        <v>0</v>
      </c>
      <c r="B8848" t="s">
        <v>2543</v>
      </c>
      <c r="C8848" t="s">
        <v>11516</v>
      </c>
      <c r="D8848" t="s">
        <v>16247</v>
      </c>
      <c r="E8848" t="s">
        <v>24022</v>
      </c>
      <c r="F8848" t="s">
        <v>28198</v>
      </c>
      <c r="G8848" t="s">
        <v>28205</v>
      </c>
      <c r="H8848" t="s">
        <v>28214</v>
      </c>
      <c r="I8848" t="s">
        <v>3797</v>
      </c>
      <c r="J8848" t="s">
        <v>28818</v>
      </c>
      <c r="K8848" t="s">
        <v>36851</v>
      </c>
      <c r="M8848" t="s">
        <v>39753</v>
      </c>
      <c r="N8848" t="s">
        <v>40436</v>
      </c>
      <c r="O8848" t="s">
        <v>40437</v>
      </c>
      <c r="P8848">
        <v>0</v>
      </c>
      <c r="Q8848">
        <v>2</v>
      </c>
      <c r="R8848" t="s">
        <v>40446</v>
      </c>
      <c r="S8848" t="s">
        <v>40783</v>
      </c>
      <c r="T8848" t="s">
        <v>42213</v>
      </c>
      <c r="U8848" t="s">
        <v>50048</v>
      </c>
      <c r="W8848" t="s">
        <v>39753</v>
      </c>
      <c r="X8848" t="s">
        <v>40448</v>
      </c>
    </row>
    <row r="8849" spans="1:24">
      <c r="A8849">
        <f>HYPERLINK("https://www.philgeps.gov.ph/GEPSNONPILOT/Tender/SplashBidNoticeAbstractUI.aspx?menuIndex=3&amp;refID=7032171&amp;Result=3","7032171")</f>
        <v>0</v>
      </c>
      <c r="B8849" t="s">
        <v>34</v>
      </c>
      <c r="C8849" t="s">
        <v>11517</v>
      </c>
      <c r="D8849" t="s">
        <v>16195</v>
      </c>
      <c r="E8849" t="s">
        <v>24023</v>
      </c>
      <c r="F8849" t="s">
        <v>28198</v>
      </c>
      <c r="G8849" t="s">
        <v>28205</v>
      </c>
      <c r="H8849" t="s">
        <v>28214</v>
      </c>
      <c r="I8849" t="s">
        <v>3797</v>
      </c>
      <c r="J8849" t="s">
        <v>28464</v>
      </c>
      <c r="K8849" t="s">
        <v>36883</v>
      </c>
      <c r="M8849" t="s">
        <v>39280</v>
      </c>
      <c r="N8849" t="s">
        <v>40436</v>
      </c>
      <c r="O8849" t="s">
        <v>40437</v>
      </c>
      <c r="P8849">
        <v>0</v>
      </c>
      <c r="Q8849">
        <v>0</v>
      </c>
      <c r="R8849" t="s">
        <v>40446</v>
      </c>
      <c r="S8849" t="s">
        <v>40783</v>
      </c>
      <c r="T8849" t="s">
        <v>42346</v>
      </c>
      <c r="U8849" t="s">
        <v>46771</v>
      </c>
      <c r="V8849" t="s">
        <v>53826</v>
      </c>
      <c r="W8849" t="s">
        <v>39280</v>
      </c>
      <c r="X8849" t="s">
        <v>40449</v>
      </c>
    </row>
    <row r="8850" spans="1:24">
      <c r="A8850">
        <f>HYPERLINK("https://www.philgeps.gov.ph/GEPSNONPILOT/Tender/SplashBidNoticeAbstractUI.aspx?menuIndex=3&amp;refID=7032395&amp;Result=3","7032395")</f>
        <v>0</v>
      </c>
      <c r="B8850" t="s">
        <v>65</v>
      </c>
      <c r="C8850" t="s">
        <v>11518</v>
      </c>
      <c r="D8850" t="s">
        <v>16210</v>
      </c>
      <c r="E8850" t="s">
        <v>24024</v>
      </c>
      <c r="F8850" t="s">
        <v>28198</v>
      </c>
      <c r="G8850" t="s">
        <v>28205</v>
      </c>
      <c r="H8850" t="s">
        <v>28215</v>
      </c>
      <c r="I8850" t="s">
        <v>3774</v>
      </c>
      <c r="J8850" t="s">
        <v>33880</v>
      </c>
      <c r="K8850" t="s">
        <v>36689</v>
      </c>
      <c r="M8850" t="s">
        <v>38707</v>
      </c>
      <c r="N8850" t="s">
        <v>40436</v>
      </c>
      <c r="O8850" t="s">
        <v>40437</v>
      </c>
      <c r="P8850">
        <v>0</v>
      </c>
      <c r="Q8850">
        <v>0</v>
      </c>
      <c r="R8850" t="s">
        <v>40446</v>
      </c>
      <c r="S8850" t="s">
        <v>40783</v>
      </c>
      <c r="T8850" t="s">
        <v>42346</v>
      </c>
      <c r="U8850" t="s">
        <v>50050</v>
      </c>
      <c r="W8850" t="s">
        <v>38707</v>
      </c>
      <c r="X8850" t="s">
        <v>40448</v>
      </c>
    </row>
    <row r="8851" spans="1:24">
      <c r="A8851">
        <f>HYPERLINK("https://www.philgeps.gov.ph/GEPSNONPILOT/Tender/SplashBidNoticeAbstractUI.aspx?menuIndex=3&amp;refID=7032388&amp;Result=3","7032388")</f>
        <v>0</v>
      </c>
      <c r="B8851" t="s">
        <v>65</v>
      </c>
      <c r="C8851" t="s">
        <v>11519</v>
      </c>
      <c r="D8851" t="s">
        <v>16210</v>
      </c>
      <c r="E8851" t="s">
        <v>24025</v>
      </c>
      <c r="F8851" t="s">
        <v>28198</v>
      </c>
      <c r="G8851" t="s">
        <v>28205</v>
      </c>
      <c r="H8851" t="s">
        <v>28215</v>
      </c>
      <c r="I8851" t="s">
        <v>28274</v>
      </c>
      <c r="J8851" t="s">
        <v>28468</v>
      </c>
      <c r="K8851" t="s">
        <v>36689</v>
      </c>
      <c r="M8851" t="s">
        <v>38707</v>
      </c>
      <c r="N8851" t="s">
        <v>40436</v>
      </c>
      <c r="O8851" t="s">
        <v>40437</v>
      </c>
      <c r="P8851">
        <v>0</v>
      </c>
      <c r="Q8851">
        <v>0</v>
      </c>
      <c r="R8851" t="s">
        <v>40446</v>
      </c>
      <c r="S8851" t="s">
        <v>40783</v>
      </c>
      <c r="T8851" t="s">
        <v>42346</v>
      </c>
      <c r="U8851" t="s">
        <v>50051</v>
      </c>
      <c r="W8851" t="s">
        <v>38707</v>
      </c>
      <c r="X8851" t="s">
        <v>40448</v>
      </c>
    </row>
    <row r="8852" spans="1:24">
      <c r="A8852">
        <f>HYPERLINK("https://www.philgeps.gov.ph/GEPSNONPILOT/Tender/SplashBidNoticeAbstractUI.aspx?menuIndex=3&amp;refID=7032373&amp;Result=3","7032373")</f>
        <v>0</v>
      </c>
      <c r="B8852" t="s">
        <v>65</v>
      </c>
      <c r="C8852" t="s">
        <v>11520</v>
      </c>
      <c r="D8852" t="s">
        <v>16210</v>
      </c>
      <c r="E8852" t="s">
        <v>24026</v>
      </c>
      <c r="F8852" t="s">
        <v>28198</v>
      </c>
      <c r="G8852" t="s">
        <v>28205</v>
      </c>
      <c r="H8852" t="s">
        <v>28215</v>
      </c>
      <c r="I8852" t="s">
        <v>4321</v>
      </c>
      <c r="J8852" t="s">
        <v>28468</v>
      </c>
      <c r="K8852" t="s">
        <v>36689</v>
      </c>
      <c r="M8852" t="s">
        <v>38707</v>
      </c>
      <c r="N8852" t="s">
        <v>40436</v>
      </c>
      <c r="O8852" t="s">
        <v>40437</v>
      </c>
      <c r="P8852">
        <v>0</v>
      </c>
      <c r="Q8852">
        <v>3</v>
      </c>
      <c r="R8852" t="s">
        <v>40446</v>
      </c>
      <c r="S8852" t="s">
        <v>40783</v>
      </c>
      <c r="T8852" t="s">
        <v>42346</v>
      </c>
      <c r="U8852" t="s">
        <v>50052</v>
      </c>
      <c r="W8852" t="s">
        <v>38707</v>
      </c>
      <c r="X8852" t="s">
        <v>40448</v>
      </c>
    </row>
    <row r="8853" spans="1:24">
      <c r="A8853">
        <f>HYPERLINK("https://www.philgeps.gov.ph/GEPSNONPILOT/Tender/SplashBidNoticeAbstractUI.aspx?menuIndex=3&amp;refID=7032378&amp;Result=3","7032378")</f>
        <v>0</v>
      </c>
      <c r="B8853" t="s">
        <v>65</v>
      </c>
      <c r="C8853" t="s">
        <v>11521</v>
      </c>
      <c r="D8853" t="s">
        <v>16210</v>
      </c>
      <c r="E8853" t="s">
        <v>24027</v>
      </c>
      <c r="F8853" t="s">
        <v>28198</v>
      </c>
      <c r="G8853" t="s">
        <v>28205</v>
      </c>
      <c r="H8853" t="s">
        <v>28215</v>
      </c>
      <c r="I8853" t="s">
        <v>5100</v>
      </c>
      <c r="J8853" t="s">
        <v>33881</v>
      </c>
      <c r="K8853" t="s">
        <v>36689</v>
      </c>
      <c r="M8853" t="s">
        <v>38707</v>
      </c>
      <c r="N8853" t="s">
        <v>40436</v>
      </c>
      <c r="O8853" t="s">
        <v>40437</v>
      </c>
      <c r="P8853">
        <v>0</v>
      </c>
      <c r="Q8853">
        <v>3</v>
      </c>
      <c r="R8853" t="s">
        <v>40446</v>
      </c>
      <c r="S8853" t="s">
        <v>40783</v>
      </c>
      <c r="T8853" t="s">
        <v>42346</v>
      </c>
      <c r="U8853" t="s">
        <v>50053</v>
      </c>
      <c r="W8853" t="s">
        <v>38707</v>
      </c>
      <c r="X8853" t="s">
        <v>40448</v>
      </c>
    </row>
    <row r="8854" spans="1:24">
      <c r="A8854">
        <f>HYPERLINK("https://www.philgeps.gov.ph/GEPSNONPILOT/Tender/SplashBidNoticeAbstractUI.aspx?menuIndex=3&amp;refID=7032187&amp;Result=3","7032187")</f>
        <v>0</v>
      </c>
      <c r="B8854" t="s">
        <v>34</v>
      </c>
      <c r="C8854" t="s">
        <v>11522</v>
      </c>
      <c r="D8854" t="s">
        <v>16195</v>
      </c>
      <c r="E8854" t="s">
        <v>24028</v>
      </c>
      <c r="F8854" t="s">
        <v>28198</v>
      </c>
      <c r="G8854" t="s">
        <v>28205</v>
      </c>
      <c r="H8854" t="s">
        <v>28214</v>
      </c>
      <c r="I8854" t="s">
        <v>3797</v>
      </c>
      <c r="J8854" t="s">
        <v>33882</v>
      </c>
      <c r="K8854" t="s">
        <v>36709</v>
      </c>
      <c r="M8854" t="s">
        <v>39280</v>
      </c>
      <c r="N8854" t="s">
        <v>40436</v>
      </c>
      <c r="O8854" t="s">
        <v>40437</v>
      </c>
      <c r="P8854">
        <v>0</v>
      </c>
      <c r="Q8854">
        <v>1</v>
      </c>
      <c r="R8854" t="s">
        <v>40446</v>
      </c>
      <c r="S8854" t="s">
        <v>40783</v>
      </c>
      <c r="T8854" t="s">
        <v>42346</v>
      </c>
      <c r="U8854" t="s">
        <v>46771</v>
      </c>
      <c r="V8854" t="s">
        <v>53826</v>
      </c>
      <c r="W8854" t="s">
        <v>39280</v>
      </c>
      <c r="X8854" t="s">
        <v>40449</v>
      </c>
    </row>
    <row r="8855" spans="1:24">
      <c r="A8855">
        <f>HYPERLINK("https://www.philgeps.gov.ph/GEPSNONPILOT/Tender/SplashBidNoticeAbstractUI.aspx?menuIndex=3&amp;refID=7032589&amp;Result=3","7032589")</f>
        <v>0</v>
      </c>
      <c r="B8855" t="s">
        <v>2543</v>
      </c>
      <c r="C8855" t="s">
        <v>11523</v>
      </c>
      <c r="D8855" t="s">
        <v>16247</v>
      </c>
      <c r="E8855" t="s">
        <v>24029</v>
      </c>
      <c r="F8855" t="s">
        <v>28198</v>
      </c>
      <c r="G8855" t="s">
        <v>28205</v>
      </c>
      <c r="H8855" t="s">
        <v>28214</v>
      </c>
      <c r="I8855" t="s">
        <v>3797</v>
      </c>
      <c r="J8855" t="s">
        <v>28818</v>
      </c>
      <c r="K8855" t="s">
        <v>36851</v>
      </c>
      <c r="M8855" t="s">
        <v>39753</v>
      </c>
      <c r="N8855" t="s">
        <v>40436</v>
      </c>
      <c r="O8855" t="s">
        <v>40437</v>
      </c>
      <c r="P8855">
        <v>0</v>
      </c>
      <c r="Q8855">
        <v>2</v>
      </c>
      <c r="R8855" t="s">
        <v>40446</v>
      </c>
      <c r="S8855" t="s">
        <v>40783</v>
      </c>
      <c r="T8855" t="s">
        <v>42213</v>
      </c>
      <c r="U8855" t="s">
        <v>50048</v>
      </c>
      <c r="W8855" t="s">
        <v>39753</v>
      </c>
      <c r="X8855" t="s">
        <v>40448</v>
      </c>
    </row>
    <row r="8856" spans="1:24">
      <c r="A8856">
        <f>HYPERLINK("https://www.philgeps.gov.ph/GEPSNONPILOT/Tender/SplashBidNoticeAbstractUI.aspx?menuIndex=3&amp;refID=7032368&amp;Result=3","7032368")</f>
        <v>0</v>
      </c>
      <c r="B8856" t="s">
        <v>740</v>
      </c>
      <c r="C8856" t="s">
        <v>11524</v>
      </c>
      <c r="D8856" t="s">
        <v>16189</v>
      </c>
      <c r="E8856" t="s">
        <v>24030</v>
      </c>
      <c r="F8856" t="s">
        <v>28198</v>
      </c>
      <c r="G8856" t="s">
        <v>28205</v>
      </c>
      <c r="H8856" t="s">
        <v>28214</v>
      </c>
      <c r="I8856" t="s">
        <v>3797</v>
      </c>
      <c r="J8856" t="s">
        <v>33883</v>
      </c>
      <c r="K8856" t="s">
        <v>36717</v>
      </c>
      <c r="M8856" t="s">
        <v>37743</v>
      </c>
      <c r="N8856" t="s">
        <v>40436</v>
      </c>
      <c r="O8856" t="s">
        <v>40437</v>
      </c>
      <c r="P8856">
        <v>0</v>
      </c>
      <c r="Q8856">
        <v>6</v>
      </c>
      <c r="R8856" t="s">
        <v>40446</v>
      </c>
      <c r="S8856" t="s">
        <v>40783</v>
      </c>
      <c r="T8856" t="s">
        <v>42240</v>
      </c>
      <c r="U8856" t="s">
        <v>44012</v>
      </c>
      <c r="W8856" t="s">
        <v>55458</v>
      </c>
      <c r="X8856" t="s">
        <v>40448</v>
      </c>
    </row>
    <row r="8857" spans="1:24">
      <c r="A8857">
        <f>HYPERLINK("https://www.philgeps.gov.ph/GEPSNONPILOT/Tender/SplashBidNoticeAbstractUI.aspx?menuIndex=3&amp;refID=7032369&amp;Result=3","7032369")</f>
        <v>0</v>
      </c>
      <c r="B8857" t="s">
        <v>65</v>
      </c>
      <c r="C8857" t="s">
        <v>11525</v>
      </c>
      <c r="D8857" t="s">
        <v>16210</v>
      </c>
      <c r="E8857" t="s">
        <v>24031</v>
      </c>
      <c r="F8857" t="s">
        <v>28198</v>
      </c>
      <c r="G8857" t="s">
        <v>28205</v>
      </c>
      <c r="H8857" t="s">
        <v>28215</v>
      </c>
      <c r="I8857" t="s">
        <v>5100</v>
      </c>
      <c r="J8857" t="s">
        <v>33884</v>
      </c>
      <c r="K8857" t="s">
        <v>36689</v>
      </c>
      <c r="M8857" t="s">
        <v>38707</v>
      </c>
      <c r="N8857" t="s">
        <v>40436</v>
      </c>
      <c r="O8857" t="s">
        <v>40437</v>
      </c>
      <c r="P8857">
        <v>0</v>
      </c>
      <c r="Q8857">
        <v>2</v>
      </c>
      <c r="R8857" t="s">
        <v>40446</v>
      </c>
      <c r="S8857" t="s">
        <v>40783</v>
      </c>
      <c r="T8857" t="s">
        <v>42346</v>
      </c>
      <c r="U8857" t="s">
        <v>50054</v>
      </c>
      <c r="W8857" t="s">
        <v>38707</v>
      </c>
      <c r="X8857" t="s">
        <v>40448</v>
      </c>
    </row>
    <row r="8858" spans="1:24">
      <c r="A8858">
        <f>HYPERLINK("https://www.philgeps.gov.ph/GEPSNONPILOT/Tender/SplashBidNoticeAbstractUI.aspx?menuIndex=3&amp;refID=7032189&amp;Result=3","7032189")</f>
        <v>0</v>
      </c>
      <c r="B8858" t="s">
        <v>34</v>
      </c>
      <c r="C8858" t="s">
        <v>11526</v>
      </c>
      <c r="D8858" t="s">
        <v>16195</v>
      </c>
      <c r="E8858" t="s">
        <v>24032</v>
      </c>
      <c r="F8858" t="s">
        <v>28198</v>
      </c>
      <c r="G8858" t="s">
        <v>28205</v>
      </c>
      <c r="H8858" t="s">
        <v>28214</v>
      </c>
      <c r="I8858" t="s">
        <v>3797</v>
      </c>
      <c r="J8858" t="s">
        <v>33885</v>
      </c>
      <c r="K8858" t="s">
        <v>36750</v>
      </c>
      <c r="M8858" t="s">
        <v>39280</v>
      </c>
      <c r="N8858" t="s">
        <v>40436</v>
      </c>
      <c r="O8858" t="s">
        <v>40437</v>
      </c>
      <c r="P8858">
        <v>0</v>
      </c>
      <c r="Q8858">
        <v>3</v>
      </c>
      <c r="R8858" t="s">
        <v>40446</v>
      </c>
      <c r="S8858" t="s">
        <v>40783</v>
      </c>
      <c r="T8858" t="s">
        <v>42346</v>
      </c>
      <c r="U8858" t="s">
        <v>46771</v>
      </c>
      <c r="V8858" t="s">
        <v>53826</v>
      </c>
      <c r="W8858" t="s">
        <v>39280</v>
      </c>
      <c r="X8858" t="s">
        <v>40449</v>
      </c>
    </row>
    <row r="8859" spans="1:24">
      <c r="A8859">
        <f>HYPERLINK("https://www.philgeps.gov.ph/GEPSNONPILOT/Tender/SplashBidNoticeAbstractUI.aspx?menuIndex=3&amp;refID=7032591&amp;Result=3","7032591")</f>
        <v>0</v>
      </c>
      <c r="B8859" t="s">
        <v>65</v>
      </c>
      <c r="C8859" t="s">
        <v>11527</v>
      </c>
      <c r="D8859" t="s">
        <v>16210</v>
      </c>
      <c r="E8859" t="s">
        <v>24033</v>
      </c>
      <c r="F8859" t="s">
        <v>28198</v>
      </c>
      <c r="G8859" t="s">
        <v>28205</v>
      </c>
      <c r="H8859" t="s">
        <v>28215</v>
      </c>
      <c r="I8859" t="s">
        <v>28256</v>
      </c>
      <c r="J8859" t="s">
        <v>33886</v>
      </c>
      <c r="K8859" t="s">
        <v>36689</v>
      </c>
      <c r="M8859" t="s">
        <v>39272</v>
      </c>
      <c r="N8859" t="s">
        <v>40436</v>
      </c>
      <c r="O8859" t="s">
        <v>40437</v>
      </c>
      <c r="P8859">
        <v>0</v>
      </c>
      <c r="Q8859">
        <v>10</v>
      </c>
      <c r="R8859" t="s">
        <v>40446</v>
      </c>
      <c r="S8859" t="s">
        <v>40783</v>
      </c>
      <c r="T8859" t="s">
        <v>42346</v>
      </c>
      <c r="U8859" t="s">
        <v>50055</v>
      </c>
      <c r="W8859" t="s">
        <v>39272</v>
      </c>
      <c r="X8859" t="s">
        <v>40448</v>
      </c>
    </row>
    <row r="8860" spans="1:24">
      <c r="A8860">
        <f>HYPERLINK("https://www.philgeps.gov.ph/GEPSNONPILOT/Tender/SplashBidNoticeAbstractUI.aspx?menuIndex=3&amp;refID=7032594&amp;Result=3","7032594")</f>
        <v>0</v>
      </c>
      <c r="B8860" t="s">
        <v>1018</v>
      </c>
      <c r="C8860" t="s">
        <v>11528</v>
      </c>
      <c r="D8860" t="s">
        <v>16248</v>
      </c>
      <c r="E8860" t="s">
        <v>24034</v>
      </c>
      <c r="F8860" t="s">
        <v>28198</v>
      </c>
      <c r="G8860" t="s">
        <v>28205</v>
      </c>
      <c r="H8860" t="s">
        <v>28214</v>
      </c>
      <c r="I8860" t="s">
        <v>3797</v>
      </c>
      <c r="J8860" t="s">
        <v>33887</v>
      </c>
      <c r="K8860" t="s">
        <v>36737</v>
      </c>
      <c r="M8860" t="s">
        <v>38047</v>
      </c>
      <c r="N8860" t="s">
        <v>40436</v>
      </c>
      <c r="O8860" t="s">
        <v>40437</v>
      </c>
      <c r="P8860">
        <v>0</v>
      </c>
      <c r="Q8860">
        <v>0</v>
      </c>
      <c r="R8860" t="s">
        <v>40446</v>
      </c>
      <c r="S8860" t="s">
        <v>40783</v>
      </c>
      <c r="T8860" t="s">
        <v>42134</v>
      </c>
      <c r="U8860" t="s">
        <v>50056</v>
      </c>
      <c r="W8860" t="s">
        <v>38047</v>
      </c>
      <c r="X8860" t="s">
        <v>40448</v>
      </c>
    </row>
    <row r="8861" spans="1:24">
      <c r="A8861">
        <f>HYPERLINK("https://www.philgeps.gov.ph/GEPSNONPILOT/Tender/SplashBidNoticeAbstractUI.aspx?menuIndex=3&amp;refID=7032178&amp;Result=3","7032178")</f>
        <v>0</v>
      </c>
      <c r="B8861" t="s">
        <v>34</v>
      </c>
      <c r="C8861" t="s">
        <v>11529</v>
      </c>
      <c r="D8861" t="s">
        <v>16195</v>
      </c>
      <c r="E8861" t="s">
        <v>24035</v>
      </c>
      <c r="F8861" t="s">
        <v>28198</v>
      </c>
      <c r="G8861" t="s">
        <v>28205</v>
      </c>
      <c r="H8861" t="s">
        <v>28214</v>
      </c>
      <c r="I8861" t="s">
        <v>3797</v>
      </c>
      <c r="J8861" t="s">
        <v>28351</v>
      </c>
      <c r="K8861" t="s">
        <v>36715</v>
      </c>
      <c r="M8861" t="s">
        <v>39280</v>
      </c>
      <c r="N8861" t="s">
        <v>40436</v>
      </c>
      <c r="O8861" t="s">
        <v>40437</v>
      </c>
      <c r="P8861">
        <v>0</v>
      </c>
      <c r="Q8861">
        <v>0</v>
      </c>
      <c r="R8861" t="s">
        <v>40446</v>
      </c>
      <c r="S8861" t="s">
        <v>40783</v>
      </c>
      <c r="T8861" t="s">
        <v>42346</v>
      </c>
      <c r="U8861" t="s">
        <v>46771</v>
      </c>
      <c r="V8861" t="s">
        <v>53826</v>
      </c>
      <c r="W8861" t="s">
        <v>39280</v>
      </c>
      <c r="X8861" t="s">
        <v>40449</v>
      </c>
    </row>
    <row r="8862" spans="1:24">
      <c r="A8862">
        <f>HYPERLINK("https://www.philgeps.gov.ph/GEPSNONPILOT/Tender/SplashBidNoticeAbstractUI.aspx?menuIndex=3&amp;refID=7032827&amp;Result=3","7032827")</f>
        <v>0</v>
      </c>
      <c r="B8862" t="s">
        <v>2544</v>
      </c>
      <c r="C8862" t="s">
        <v>11530</v>
      </c>
      <c r="D8862" t="s">
        <v>16261</v>
      </c>
      <c r="E8862" t="s">
        <v>24036</v>
      </c>
      <c r="F8862" t="s">
        <v>28198</v>
      </c>
      <c r="G8862" t="s">
        <v>28205</v>
      </c>
      <c r="H8862" t="s">
        <v>28214</v>
      </c>
      <c r="I8862" t="s">
        <v>4505</v>
      </c>
      <c r="J8862" t="s">
        <v>33888</v>
      </c>
      <c r="K8862" t="s">
        <v>36701</v>
      </c>
      <c r="M8862" t="s">
        <v>39754</v>
      </c>
      <c r="N8862" t="s">
        <v>40436</v>
      </c>
      <c r="O8862" t="s">
        <v>40437</v>
      </c>
      <c r="P8862">
        <v>0</v>
      </c>
      <c r="Q8862">
        <v>1</v>
      </c>
      <c r="R8862" t="s">
        <v>40446</v>
      </c>
      <c r="S8862" t="s">
        <v>40783</v>
      </c>
      <c r="T8862" t="s">
        <v>42531</v>
      </c>
      <c r="U8862" t="s">
        <v>50057</v>
      </c>
      <c r="W8862" t="s">
        <v>39754</v>
      </c>
      <c r="X8862" t="s">
        <v>40447</v>
      </c>
    </row>
    <row r="8863" spans="1:24">
      <c r="A8863">
        <f>HYPERLINK("https://www.philgeps.gov.ph/GEPSNONPILOT/Tender/SplashBidNoticeAbstractUI.aspx?menuIndex=3&amp;refID=7032844&amp;Result=3","7032844")</f>
        <v>0</v>
      </c>
      <c r="B8863" t="s">
        <v>2403</v>
      </c>
      <c r="C8863" t="s">
        <v>11531</v>
      </c>
      <c r="D8863" t="s">
        <v>16223</v>
      </c>
      <c r="E8863" t="s">
        <v>24037</v>
      </c>
      <c r="F8863" t="s">
        <v>28198</v>
      </c>
      <c r="G8863" t="s">
        <v>28205</v>
      </c>
      <c r="H8863" t="s">
        <v>28215</v>
      </c>
      <c r="I8863" t="s">
        <v>5100</v>
      </c>
      <c r="J8863" t="s">
        <v>33889</v>
      </c>
      <c r="K8863" t="s">
        <v>36701</v>
      </c>
      <c r="M8863" t="s">
        <v>39591</v>
      </c>
      <c r="N8863" t="s">
        <v>40436</v>
      </c>
      <c r="O8863" t="s">
        <v>40437</v>
      </c>
      <c r="P8863">
        <v>0</v>
      </c>
      <c r="Q8863">
        <v>0</v>
      </c>
      <c r="R8863" t="s">
        <v>40446</v>
      </c>
      <c r="S8863" t="s">
        <v>40783</v>
      </c>
      <c r="T8863" t="s">
        <v>42277</v>
      </c>
      <c r="U8863" t="s">
        <v>50058</v>
      </c>
      <c r="W8863" t="s">
        <v>39591</v>
      </c>
      <c r="X8863" t="s">
        <v>40447</v>
      </c>
    </row>
    <row r="8864" spans="1:24">
      <c r="A8864">
        <f>HYPERLINK("https://www.philgeps.gov.ph/GEPSNONPILOT/Tender/SplashBidNoticeAbstractUI.aspx?menuIndex=3&amp;refID=7032817&amp;Result=3","7032817")</f>
        <v>0</v>
      </c>
      <c r="B8864" t="s">
        <v>2545</v>
      </c>
      <c r="C8864" t="s">
        <v>11532</v>
      </c>
      <c r="D8864" t="s">
        <v>16213</v>
      </c>
      <c r="E8864" t="s">
        <v>24038</v>
      </c>
      <c r="F8864" t="s">
        <v>28198</v>
      </c>
      <c r="G8864" t="s">
        <v>28205</v>
      </c>
      <c r="H8864" t="s">
        <v>28214</v>
      </c>
      <c r="I8864" t="s">
        <v>3797</v>
      </c>
      <c r="J8864" t="s">
        <v>33890</v>
      </c>
      <c r="K8864" t="s">
        <v>36704</v>
      </c>
      <c r="M8864" t="s">
        <v>39755</v>
      </c>
      <c r="N8864" t="s">
        <v>40436</v>
      </c>
      <c r="O8864" t="s">
        <v>40437</v>
      </c>
      <c r="P8864">
        <v>0</v>
      </c>
      <c r="Q8864">
        <v>0</v>
      </c>
      <c r="R8864" t="s">
        <v>40446</v>
      </c>
      <c r="S8864" t="s">
        <v>40783</v>
      </c>
      <c r="T8864" t="s">
        <v>42245</v>
      </c>
      <c r="U8864" t="s">
        <v>50059</v>
      </c>
      <c r="W8864" t="s">
        <v>39755</v>
      </c>
      <c r="X8864" t="s">
        <v>40447</v>
      </c>
    </row>
    <row r="8865" spans="1:24">
      <c r="A8865">
        <f>HYPERLINK("https://www.philgeps.gov.ph/GEPSNONPILOT/Tender/SplashBidNoticeAbstractUI.aspx?menuIndex=3&amp;refID=7032180&amp;Result=3","7032180")</f>
        <v>0</v>
      </c>
      <c r="B8865" t="s">
        <v>34</v>
      </c>
      <c r="C8865" t="s">
        <v>11533</v>
      </c>
      <c r="D8865" t="s">
        <v>16195</v>
      </c>
      <c r="E8865" t="s">
        <v>24039</v>
      </c>
      <c r="F8865" t="s">
        <v>28198</v>
      </c>
      <c r="G8865" t="s">
        <v>28205</v>
      </c>
      <c r="H8865" t="s">
        <v>28214</v>
      </c>
      <c r="I8865" t="s">
        <v>3797</v>
      </c>
      <c r="J8865" t="s">
        <v>28654</v>
      </c>
      <c r="K8865" t="s">
        <v>36735</v>
      </c>
      <c r="M8865" t="s">
        <v>39280</v>
      </c>
      <c r="N8865" t="s">
        <v>40436</v>
      </c>
      <c r="O8865" t="s">
        <v>40437</v>
      </c>
      <c r="P8865">
        <v>0</v>
      </c>
      <c r="Q8865">
        <v>0</v>
      </c>
      <c r="R8865" t="s">
        <v>40446</v>
      </c>
      <c r="S8865" t="s">
        <v>40783</v>
      </c>
      <c r="T8865" t="s">
        <v>42346</v>
      </c>
      <c r="U8865" t="s">
        <v>46771</v>
      </c>
      <c r="V8865" t="s">
        <v>53826</v>
      </c>
      <c r="W8865" t="s">
        <v>39280</v>
      </c>
      <c r="X8865" t="s">
        <v>40449</v>
      </c>
    </row>
    <row r="8866" spans="1:24">
      <c r="A8866">
        <f>HYPERLINK("https://www.philgeps.gov.ph/GEPSNONPILOT/Tender/SplashBidNoticeAbstractUI.aspx?menuIndex=3&amp;refID=7032196&amp;Result=3","7032196")</f>
        <v>0</v>
      </c>
      <c r="B8866" t="s">
        <v>34</v>
      </c>
      <c r="C8866" t="s">
        <v>11534</v>
      </c>
      <c r="D8866" t="s">
        <v>16195</v>
      </c>
      <c r="E8866" t="s">
        <v>24040</v>
      </c>
      <c r="F8866" t="s">
        <v>28198</v>
      </c>
      <c r="G8866" t="s">
        <v>28205</v>
      </c>
      <c r="H8866" t="s">
        <v>28214</v>
      </c>
      <c r="I8866" t="s">
        <v>3797</v>
      </c>
      <c r="J8866" t="s">
        <v>33132</v>
      </c>
      <c r="K8866" t="s">
        <v>36842</v>
      </c>
      <c r="M8866" t="s">
        <v>39280</v>
      </c>
      <c r="N8866" t="s">
        <v>40436</v>
      </c>
      <c r="O8866" t="s">
        <v>40437</v>
      </c>
      <c r="P8866">
        <v>0</v>
      </c>
      <c r="Q8866">
        <v>2</v>
      </c>
      <c r="R8866" t="s">
        <v>40446</v>
      </c>
      <c r="S8866" t="s">
        <v>40783</v>
      </c>
      <c r="T8866" t="s">
        <v>42346</v>
      </c>
      <c r="U8866" t="s">
        <v>46771</v>
      </c>
      <c r="V8866" t="s">
        <v>53826</v>
      </c>
      <c r="W8866" t="s">
        <v>39280</v>
      </c>
      <c r="X8866" t="s">
        <v>40449</v>
      </c>
    </row>
    <row r="8867" spans="1:24">
      <c r="A8867">
        <f>HYPERLINK("https://www.philgeps.gov.ph/GEPSNONPILOT/Tender/SplashBidNoticeAbstractUI.aspx?menuIndex=3&amp;refID=7032185&amp;Result=3","7032185")</f>
        <v>0</v>
      </c>
      <c r="B8867" t="s">
        <v>34</v>
      </c>
      <c r="C8867" t="s">
        <v>11535</v>
      </c>
      <c r="D8867" t="s">
        <v>16195</v>
      </c>
      <c r="E8867" t="s">
        <v>24041</v>
      </c>
      <c r="F8867" t="s">
        <v>28198</v>
      </c>
      <c r="G8867" t="s">
        <v>28205</v>
      </c>
      <c r="H8867" t="s">
        <v>28214</v>
      </c>
      <c r="I8867" t="s">
        <v>3797</v>
      </c>
      <c r="J8867" t="s">
        <v>33891</v>
      </c>
      <c r="K8867" t="s">
        <v>36783</v>
      </c>
      <c r="M8867" t="s">
        <v>39280</v>
      </c>
      <c r="N8867" t="s">
        <v>40436</v>
      </c>
      <c r="O8867" t="s">
        <v>40437</v>
      </c>
      <c r="P8867">
        <v>0</v>
      </c>
      <c r="Q8867">
        <v>2</v>
      </c>
      <c r="R8867" t="s">
        <v>40446</v>
      </c>
      <c r="S8867" t="s">
        <v>40783</v>
      </c>
      <c r="T8867" t="s">
        <v>42346</v>
      </c>
      <c r="U8867" t="s">
        <v>46771</v>
      </c>
      <c r="V8867" t="s">
        <v>53826</v>
      </c>
      <c r="W8867" t="s">
        <v>39280</v>
      </c>
      <c r="X8867" t="s">
        <v>40449</v>
      </c>
    </row>
    <row r="8868" spans="1:24">
      <c r="A8868">
        <f>HYPERLINK("https://www.philgeps.gov.ph/GEPSNONPILOT/Tender/SplashBidNoticeAbstractUI.aspx?menuIndex=3&amp;refID=7032862&amp;Result=3","7032862")</f>
        <v>0</v>
      </c>
      <c r="B8868" t="s">
        <v>2397</v>
      </c>
      <c r="C8868" t="s">
        <v>4359</v>
      </c>
      <c r="D8868" t="s">
        <v>16213</v>
      </c>
      <c r="E8868" t="s">
        <v>24042</v>
      </c>
      <c r="F8868" t="s">
        <v>28198</v>
      </c>
      <c r="G8868" t="s">
        <v>28205</v>
      </c>
      <c r="H8868" t="s">
        <v>28214</v>
      </c>
      <c r="I8868" t="s">
        <v>3797</v>
      </c>
      <c r="J8868" t="s">
        <v>28377</v>
      </c>
      <c r="K8868" t="s">
        <v>36778</v>
      </c>
      <c r="M8868" t="s">
        <v>39584</v>
      </c>
      <c r="N8868" t="s">
        <v>40436</v>
      </c>
      <c r="O8868" t="s">
        <v>40437</v>
      </c>
      <c r="P8868">
        <v>0</v>
      </c>
      <c r="Q8868">
        <v>0</v>
      </c>
      <c r="R8868" t="s">
        <v>40446</v>
      </c>
      <c r="S8868" t="s">
        <v>40783</v>
      </c>
      <c r="T8868" t="s">
        <v>42245</v>
      </c>
      <c r="U8868" t="s">
        <v>50060</v>
      </c>
      <c r="W8868" t="s">
        <v>39584</v>
      </c>
      <c r="X8868" t="s">
        <v>40447</v>
      </c>
    </row>
    <row r="8869" spans="1:24">
      <c r="A8869">
        <f>HYPERLINK("https://www.philgeps.gov.ph/GEPSNONPILOT/Tender/SplashBidNoticeAbstractUI.aspx?menuIndex=3&amp;refID=7032854&amp;Result=3","7032854")</f>
        <v>0</v>
      </c>
      <c r="B8869" t="s">
        <v>2546</v>
      </c>
      <c r="C8869" t="s">
        <v>11536</v>
      </c>
      <c r="D8869" t="s">
        <v>16228</v>
      </c>
      <c r="E8869" t="s">
        <v>24043</v>
      </c>
      <c r="F8869" t="s">
        <v>28198</v>
      </c>
      <c r="G8869" t="s">
        <v>28205</v>
      </c>
      <c r="H8869" t="s">
        <v>28214</v>
      </c>
      <c r="I8869" t="s">
        <v>3797</v>
      </c>
      <c r="J8869" t="s">
        <v>28379</v>
      </c>
      <c r="K8869" t="s">
        <v>36884</v>
      </c>
      <c r="M8869" t="s">
        <v>39756</v>
      </c>
      <c r="N8869" t="s">
        <v>40436</v>
      </c>
      <c r="O8869" t="s">
        <v>40437</v>
      </c>
      <c r="P8869">
        <v>0</v>
      </c>
      <c r="Q8869">
        <v>1</v>
      </c>
      <c r="R8869" t="s">
        <v>40446</v>
      </c>
      <c r="S8869" t="s">
        <v>40783</v>
      </c>
      <c r="T8869" t="s">
        <v>42176</v>
      </c>
      <c r="U8869" t="s">
        <v>50061</v>
      </c>
      <c r="W8869" t="s">
        <v>39756</v>
      </c>
      <c r="X8869" t="s">
        <v>40447</v>
      </c>
    </row>
    <row r="8870" spans="1:24">
      <c r="A8870">
        <f>HYPERLINK("https://www.philgeps.gov.ph/GEPSNONPILOT/Tender/SplashBidNoticeAbstractUI.aspx?menuIndex=3&amp;refID=7032861&amp;Result=3","7032861")</f>
        <v>0</v>
      </c>
      <c r="B8870" t="s">
        <v>436</v>
      </c>
      <c r="C8870" t="s">
        <v>11537</v>
      </c>
      <c r="D8870" t="s">
        <v>16247</v>
      </c>
      <c r="E8870" t="s">
        <v>24044</v>
      </c>
      <c r="F8870" t="s">
        <v>28198</v>
      </c>
      <c r="G8870" t="s">
        <v>28205</v>
      </c>
      <c r="H8870" t="s">
        <v>28215</v>
      </c>
      <c r="I8870" t="s">
        <v>28298</v>
      </c>
      <c r="J8870" t="s">
        <v>29369</v>
      </c>
      <c r="K8870" t="s">
        <v>36715</v>
      </c>
      <c r="M8870" t="s">
        <v>39757</v>
      </c>
      <c r="N8870" t="s">
        <v>40436</v>
      </c>
      <c r="O8870" t="s">
        <v>40437</v>
      </c>
      <c r="Q8870">
        <v>10</v>
      </c>
      <c r="R8870" t="s">
        <v>40446</v>
      </c>
      <c r="S8870" t="s">
        <v>40802</v>
      </c>
      <c r="T8870" t="s">
        <v>42234</v>
      </c>
      <c r="U8870" t="s">
        <v>50062</v>
      </c>
      <c r="W8870" t="s">
        <v>39757</v>
      </c>
      <c r="X8870" t="s">
        <v>40447</v>
      </c>
    </row>
    <row r="8871" spans="1:24">
      <c r="A8871">
        <f>HYPERLINK("https://www.philgeps.gov.ph/GEPSNONPILOT/Tender/SplashBidNoticeAbstractUI.aspx?menuIndex=3&amp;refID=7032851&amp;Result=3","7032851")</f>
        <v>0</v>
      </c>
      <c r="B8871" t="s">
        <v>1488</v>
      </c>
      <c r="C8871" t="s">
        <v>11538</v>
      </c>
      <c r="D8871" t="s">
        <v>16226</v>
      </c>
      <c r="E8871" t="s">
        <v>24045</v>
      </c>
      <c r="F8871" t="s">
        <v>28198</v>
      </c>
      <c r="G8871" t="s">
        <v>28205</v>
      </c>
      <c r="H8871" t="s">
        <v>28215</v>
      </c>
      <c r="I8871" t="s">
        <v>5631</v>
      </c>
      <c r="J8871" t="s">
        <v>31880</v>
      </c>
      <c r="K8871" t="s">
        <v>36706</v>
      </c>
      <c r="M8871" t="s">
        <v>38562</v>
      </c>
      <c r="N8871" t="s">
        <v>40436</v>
      </c>
      <c r="O8871" t="s">
        <v>40437</v>
      </c>
      <c r="P8871">
        <v>0</v>
      </c>
      <c r="Q8871">
        <v>0</v>
      </c>
      <c r="R8871" t="s">
        <v>40446</v>
      </c>
      <c r="S8871" t="s">
        <v>40783</v>
      </c>
      <c r="T8871" t="s">
        <v>42158</v>
      </c>
      <c r="U8871" t="s">
        <v>50063</v>
      </c>
      <c r="W8871" t="s">
        <v>38562</v>
      </c>
      <c r="X8871" t="s">
        <v>40447</v>
      </c>
    </row>
    <row r="8872" spans="1:24">
      <c r="A8872">
        <f>HYPERLINK("https://www.philgeps.gov.ph/GEPSNONPILOT/Tender/SplashBidNoticeAbstractUI.aspx?menuIndex=3&amp;refID=7032182&amp;Result=3","7032182")</f>
        <v>0</v>
      </c>
      <c r="B8872" t="s">
        <v>34</v>
      </c>
      <c r="C8872" t="s">
        <v>11539</v>
      </c>
      <c r="D8872" t="s">
        <v>16195</v>
      </c>
      <c r="E8872" t="s">
        <v>24046</v>
      </c>
      <c r="F8872" t="s">
        <v>28198</v>
      </c>
      <c r="G8872" t="s">
        <v>28205</v>
      </c>
      <c r="H8872" t="s">
        <v>28214</v>
      </c>
      <c r="I8872" t="s">
        <v>3797</v>
      </c>
      <c r="J8872" t="s">
        <v>29011</v>
      </c>
      <c r="K8872" t="s">
        <v>36804</v>
      </c>
      <c r="M8872" t="s">
        <v>39280</v>
      </c>
      <c r="N8872" t="s">
        <v>40436</v>
      </c>
      <c r="O8872" t="s">
        <v>40437</v>
      </c>
      <c r="P8872">
        <v>0</v>
      </c>
      <c r="Q8872">
        <v>0</v>
      </c>
      <c r="R8872" t="s">
        <v>40446</v>
      </c>
      <c r="S8872" t="s">
        <v>40783</v>
      </c>
      <c r="T8872" t="s">
        <v>42346</v>
      </c>
      <c r="U8872" t="s">
        <v>46771</v>
      </c>
      <c r="V8872" t="s">
        <v>53826</v>
      </c>
      <c r="W8872" t="s">
        <v>39280</v>
      </c>
      <c r="X8872" t="s">
        <v>40449</v>
      </c>
    </row>
    <row r="8873" spans="1:24">
      <c r="A8873">
        <f>HYPERLINK("https://www.philgeps.gov.ph/GEPSNONPILOT/Tender/SplashBidNoticeAbstractUI.aspx?menuIndex=3&amp;refID=7032845&amp;Result=3","7032845")</f>
        <v>0</v>
      </c>
      <c r="B8873" t="s">
        <v>2547</v>
      </c>
      <c r="C8873" t="s">
        <v>11540</v>
      </c>
      <c r="D8873" t="s">
        <v>16231</v>
      </c>
      <c r="E8873" t="s">
        <v>24047</v>
      </c>
      <c r="F8873" t="s">
        <v>28198</v>
      </c>
      <c r="G8873" t="s">
        <v>28205</v>
      </c>
      <c r="H8873" t="s">
        <v>28215</v>
      </c>
      <c r="I8873" t="s">
        <v>28236</v>
      </c>
      <c r="J8873" t="s">
        <v>32432</v>
      </c>
      <c r="K8873" t="s">
        <v>36690</v>
      </c>
      <c r="M8873" t="s">
        <v>39758</v>
      </c>
      <c r="N8873" t="s">
        <v>40436</v>
      </c>
      <c r="O8873" t="s">
        <v>40437</v>
      </c>
      <c r="P8873">
        <v>0</v>
      </c>
      <c r="Q8873">
        <v>10</v>
      </c>
      <c r="R8873" t="s">
        <v>40446</v>
      </c>
      <c r="S8873" t="s">
        <v>40783</v>
      </c>
      <c r="T8873" t="s">
        <v>42168</v>
      </c>
      <c r="U8873" t="s">
        <v>50064</v>
      </c>
      <c r="W8873" t="s">
        <v>39758</v>
      </c>
      <c r="X8873" t="s">
        <v>40447</v>
      </c>
    </row>
    <row r="8874" spans="1:24">
      <c r="A8874">
        <f>HYPERLINK("https://www.philgeps.gov.ph/GEPSNONPILOT/Tender/SplashBidNoticeAbstractUI.aspx?menuIndex=3&amp;refID=7032805&amp;Result=3","7032805")</f>
        <v>0</v>
      </c>
      <c r="B8874" t="s">
        <v>1062</v>
      </c>
      <c r="C8874" t="s">
        <v>11541</v>
      </c>
      <c r="D8874" t="s">
        <v>16210</v>
      </c>
      <c r="E8874" t="s">
        <v>24048</v>
      </c>
      <c r="F8874" t="s">
        <v>28198</v>
      </c>
      <c r="G8874" t="s">
        <v>28207</v>
      </c>
      <c r="H8874" t="s">
        <v>28215</v>
      </c>
      <c r="I8874" t="s">
        <v>28258</v>
      </c>
      <c r="J8874" t="s">
        <v>33892</v>
      </c>
      <c r="K8874" t="s">
        <v>36701</v>
      </c>
      <c r="M8874" t="s">
        <v>38095</v>
      </c>
      <c r="N8874" t="s">
        <v>40436</v>
      </c>
      <c r="O8874" t="s">
        <v>40437</v>
      </c>
      <c r="Q8874">
        <v>19</v>
      </c>
      <c r="R8874" t="s">
        <v>40446</v>
      </c>
      <c r="S8874" t="s">
        <v>40803</v>
      </c>
      <c r="T8874" t="s">
        <v>42134</v>
      </c>
      <c r="U8874" t="s">
        <v>50065</v>
      </c>
      <c r="W8874" t="s">
        <v>38095</v>
      </c>
      <c r="X8874" t="s">
        <v>40447</v>
      </c>
    </row>
    <row r="8875" spans="1:24">
      <c r="A8875">
        <f>HYPERLINK("https://www.philgeps.gov.ph/GEPSNONPILOT/Tender/SplashBidNoticeAbstractUI.aspx?menuIndex=3&amp;refID=7032797&amp;Result=3","7032797")</f>
        <v>0</v>
      </c>
      <c r="B8875" t="s">
        <v>2548</v>
      </c>
      <c r="C8875" t="s">
        <v>11542</v>
      </c>
      <c r="D8875" t="s">
        <v>16210</v>
      </c>
      <c r="E8875" t="s">
        <v>24049</v>
      </c>
      <c r="F8875" t="s">
        <v>28198</v>
      </c>
      <c r="G8875" t="s">
        <v>28205</v>
      </c>
      <c r="H8875" t="s">
        <v>28215</v>
      </c>
      <c r="I8875" t="s">
        <v>28247</v>
      </c>
      <c r="J8875" t="s">
        <v>33893</v>
      </c>
      <c r="K8875" t="s">
        <v>36689</v>
      </c>
      <c r="M8875" t="s">
        <v>39759</v>
      </c>
      <c r="N8875" t="s">
        <v>40436</v>
      </c>
      <c r="O8875" t="s">
        <v>40437</v>
      </c>
      <c r="Q8875">
        <v>24</v>
      </c>
      <c r="R8875" t="s">
        <v>40446</v>
      </c>
      <c r="S8875" t="s">
        <v>40605</v>
      </c>
      <c r="T8875" t="s">
        <v>42244</v>
      </c>
      <c r="U8875" t="s">
        <v>50066</v>
      </c>
      <c r="W8875" t="s">
        <v>39759</v>
      </c>
      <c r="X8875" t="s">
        <v>40447</v>
      </c>
    </row>
    <row r="8876" spans="1:24">
      <c r="A8876">
        <f>HYPERLINK("https://www.philgeps.gov.ph/GEPSNONPILOT/Tender/SplashBidNoticeAbstractUI.aspx?menuIndex=3&amp;refID=7032698&amp;Result=3","7032698")</f>
        <v>0</v>
      </c>
      <c r="B8876" t="s">
        <v>2549</v>
      </c>
      <c r="C8876" t="s">
        <v>11543</v>
      </c>
      <c r="D8876" t="s">
        <v>16223</v>
      </c>
      <c r="E8876" t="s">
        <v>16909</v>
      </c>
      <c r="F8876" t="s">
        <v>28200</v>
      </c>
      <c r="G8876" t="s">
        <v>28205</v>
      </c>
      <c r="H8876" t="s">
        <v>28214</v>
      </c>
      <c r="I8876" t="s">
        <v>5100</v>
      </c>
      <c r="J8876" t="s">
        <v>28378</v>
      </c>
      <c r="K8876" t="s">
        <v>36718</v>
      </c>
      <c r="M8876" t="s">
        <v>39760</v>
      </c>
      <c r="N8876" t="s">
        <v>40436</v>
      </c>
      <c r="O8876" t="s">
        <v>40437</v>
      </c>
      <c r="P8876">
        <v>0</v>
      </c>
      <c r="Q8876">
        <v>0</v>
      </c>
      <c r="R8876" t="s">
        <v>40446</v>
      </c>
      <c r="S8876" t="s">
        <v>40783</v>
      </c>
      <c r="T8876" t="s">
        <v>42113</v>
      </c>
      <c r="U8876" t="s">
        <v>50067</v>
      </c>
      <c r="W8876" t="s">
        <v>39760</v>
      </c>
      <c r="X8876" t="s">
        <v>40448</v>
      </c>
    </row>
    <row r="8877" spans="1:24">
      <c r="A8877">
        <f>HYPERLINK("https://www.philgeps.gov.ph/GEPSNONPILOT/Tender/SplashBidNoticeAbstractUI.aspx?menuIndex=3&amp;refID=7032633&amp;Result=3","7032633")</f>
        <v>0</v>
      </c>
      <c r="B8877" t="s">
        <v>2550</v>
      </c>
      <c r="C8877" t="s">
        <v>11544</v>
      </c>
      <c r="D8877" t="s">
        <v>16246</v>
      </c>
      <c r="E8877" t="s">
        <v>24050</v>
      </c>
      <c r="F8877" t="s">
        <v>28198</v>
      </c>
      <c r="G8877" t="s">
        <v>28205</v>
      </c>
      <c r="H8877" t="s">
        <v>28215</v>
      </c>
      <c r="I8877" t="s">
        <v>28258</v>
      </c>
      <c r="J8877" t="s">
        <v>33894</v>
      </c>
      <c r="K8877" t="s">
        <v>36701</v>
      </c>
      <c r="M8877" t="s">
        <v>39761</v>
      </c>
      <c r="N8877" t="s">
        <v>40436</v>
      </c>
      <c r="O8877" t="s">
        <v>40437</v>
      </c>
      <c r="P8877">
        <v>0</v>
      </c>
      <c r="Q8877">
        <v>7</v>
      </c>
      <c r="R8877" t="s">
        <v>40446</v>
      </c>
      <c r="S8877" t="s">
        <v>40783</v>
      </c>
      <c r="T8877" t="s">
        <v>42511</v>
      </c>
      <c r="U8877" t="s">
        <v>50068</v>
      </c>
      <c r="W8877" t="s">
        <v>39761</v>
      </c>
      <c r="X8877" t="s">
        <v>40448</v>
      </c>
    </row>
    <row r="8878" spans="1:24">
      <c r="A8878">
        <f>HYPERLINK("https://www.philgeps.gov.ph/GEPSNONPILOT/Tender/SplashBidNoticeAbstractUI.aspx?menuIndex=3&amp;refID=7032793&amp;Result=3","7032793")</f>
        <v>0</v>
      </c>
      <c r="B8878" t="s">
        <v>2548</v>
      </c>
      <c r="C8878" t="s">
        <v>11545</v>
      </c>
      <c r="D8878" t="s">
        <v>16210</v>
      </c>
      <c r="E8878" t="s">
        <v>24051</v>
      </c>
      <c r="F8878" t="s">
        <v>28198</v>
      </c>
      <c r="G8878" t="s">
        <v>28205</v>
      </c>
      <c r="H8878" t="s">
        <v>28215</v>
      </c>
      <c r="I8878" t="s">
        <v>28247</v>
      </c>
      <c r="J8878" t="s">
        <v>33895</v>
      </c>
      <c r="K8878" t="s">
        <v>36689</v>
      </c>
      <c r="M8878" t="s">
        <v>39759</v>
      </c>
      <c r="N8878" t="s">
        <v>40436</v>
      </c>
      <c r="O8878" t="s">
        <v>40437</v>
      </c>
      <c r="Q8878">
        <v>24</v>
      </c>
      <c r="R8878" t="s">
        <v>40446</v>
      </c>
      <c r="S8878" t="s">
        <v>40804</v>
      </c>
      <c r="T8878" t="s">
        <v>42244</v>
      </c>
      <c r="U8878" t="s">
        <v>50069</v>
      </c>
      <c r="W8878" t="s">
        <v>39759</v>
      </c>
      <c r="X8878" t="s">
        <v>40447</v>
      </c>
    </row>
    <row r="8879" spans="1:24">
      <c r="A8879">
        <f>HYPERLINK("https://www.philgeps.gov.ph/GEPSNONPILOT/Tender/SplashBidNoticeAbstractUI.aspx?menuIndex=3&amp;refID=7032595&amp;Result=3","7032595")</f>
        <v>0</v>
      </c>
      <c r="B8879" t="s">
        <v>2543</v>
      </c>
      <c r="C8879" t="s">
        <v>11546</v>
      </c>
      <c r="D8879" t="s">
        <v>16247</v>
      </c>
      <c r="E8879" t="s">
        <v>24052</v>
      </c>
      <c r="F8879" t="s">
        <v>28198</v>
      </c>
      <c r="G8879" t="s">
        <v>28205</v>
      </c>
      <c r="H8879" t="s">
        <v>28214</v>
      </c>
      <c r="I8879" t="s">
        <v>3797</v>
      </c>
      <c r="J8879" t="s">
        <v>28398</v>
      </c>
      <c r="K8879" t="s">
        <v>36715</v>
      </c>
      <c r="M8879" t="s">
        <v>39753</v>
      </c>
      <c r="N8879" t="s">
        <v>40436</v>
      </c>
      <c r="O8879" t="s">
        <v>40437</v>
      </c>
      <c r="P8879">
        <v>0</v>
      </c>
      <c r="Q8879">
        <v>2</v>
      </c>
      <c r="R8879" t="s">
        <v>40446</v>
      </c>
      <c r="S8879" t="s">
        <v>40783</v>
      </c>
      <c r="T8879" t="s">
        <v>42213</v>
      </c>
      <c r="U8879" t="s">
        <v>50048</v>
      </c>
      <c r="W8879" t="s">
        <v>39753</v>
      </c>
      <c r="X8879" t="s">
        <v>40448</v>
      </c>
    </row>
    <row r="8880" spans="1:24">
      <c r="A8880">
        <f>HYPERLINK("https://www.philgeps.gov.ph/GEPSNONPILOT/Tender/SplashBidNoticeAbstractUI.aspx?menuIndex=3&amp;refID=7032599&amp;Result=3","7032599")</f>
        <v>0</v>
      </c>
      <c r="B8880" t="s">
        <v>65</v>
      </c>
      <c r="C8880" t="s">
        <v>11547</v>
      </c>
      <c r="D8880" t="s">
        <v>16210</v>
      </c>
      <c r="E8880" t="s">
        <v>24053</v>
      </c>
      <c r="F8880" t="s">
        <v>28198</v>
      </c>
      <c r="G8880" t="s">
        <v>28205</v>
      </c>
      <c r="H8880" t="s">
        <v>28215</v>
      </c>
      <c r="I8880" t="s">
        <v>4200</v>
      </c>
      <c r="J8880" t="s">
        <v>33896</v>
      </c>
      <c r="K8880" t="s">
        <v>36689</v>
      </c>
      <c r="M8880" t="s">
        <v>39272</v>
      </c>
      <c r="N8880" t="s">
        <v>40436</v>
      </c>
      <c r="O8880" t="s">
        <v>40437</v>
      </c>
      <c r="P8880">
        <v>0</v>
      </c>
      <c r="Q8880">
        <v>1</v>
      </c>
      <c r="R8880" t="s">
        <v>40446</v>
      </c>
      <c r="S8880" t="s">
        <v>40783</v>
      </c>
      <c r="T8880" t="s">
        <v>42346</v>
      </c>
      <c r="U8880" t="s">
        <v>50070</v>
      </c>
      <c r="W8880" t="s">
        <v>39272</v>
      </c>
      <c r="X8880" t="s">
        <v>40448</v>
      </c>
    </row>
    <row r="8881" spans="1:24">
      <c r="A8881">
        <f>HYPERLINK("https://www.philgeps.gov.ph/GEPSNONPILOT/Tender/SplashBidNoticeAbstractUI.aspx?menuIndex=3&amp;refID=7032598&amp;Result=3","7032598")</f>
        <v>0</v>
      </c>
      <c r="B8881" t="s">
        <v>2543</v>
      </c>
      <c r="C8881" t="s">
        <v>11548</v>
      </c>
      <c r="D8881" t="s">
        <v>16247</v>
      </c>
      <c r="E8881" t="s">
        <v>24054</v>
      </c>
      <c r="F8881" t="s">
        <v>28198</v>
      </c>
      <c r="G8881" t="s">
        <v>28205</v>
      </c>
      <c r="H8881" t="s">
        <v>28214</v>
      </c>
      <c r="I8881" t="s">
        <v>3797</v>
      </c>
      <c r="J8881" t="s">
        <v>28468</v>
      </c>
      <c r="K8881" t="s">
        <v>36692</v>
      </c>
      <c r="M8881" t="s">
        <v>39753</v>
      </c>
      <c r="N8881" t="s">
        <v>40436</v>
      </c>
      <c r="O8881" t="s">
        <v>40437</v>
      </c>
      <c r="P8881">
        <v>0</v>
      </c>
      <c r="Q8881">
        <v>2</v>
      </c>
      <c r="R8881" t="s">
        <v>40446</v>
      </c>
      <c r="S8881" t="s">
        <v>40783</v>
      </c>
      <c r="T8881" t="s">
        <v>42213</v>
      </c>
      <c r="U8881" t="s">
        <v>50048</v>
      </c>
      <c r="W8881" t="s">
        <v>39753</v>
      </c>
      <c r="X8881" t="s">
        <v>40448</v>
      </c>
    </row>
    <row r="8882" spans="1:24">
      <c r="A8882">
        <f>HYPERLINK("https://www.philgeps.gov.ph/GEPSNONPILOT/Tender/SplashBidNoticeAbstractUI.aspx?menuIndex=3&amp;refID=7032174&amp;Result=3","7032174")</f>
        <v>0</v>
      </c>
      <c r="B8882" t="s">
        <v>34</v>
      </c>
      <c r="C8882" t="s">
        <v>11549</v>
      </c>
      <c r="D8882" t="s">
        <v>16195</v>
      </c>
      <c r="E8882" t="s">
        <v>24055</v>
      </c>
      <c r="F8882" t="s">
        <v>28198</v>
      </c>
      <c r="G8882" t="s">
        <v>28205</v>
      </c>
      <c r="H8882" t="s">
        <v>28214</v>
      </c>
      <c r="I8882" t="s">
        <v>3797</v>
      </c>
      <c r="J8882" t="s">
        <v>33885</v>
      </c>
      <c r="K8882" t="s">
        <v>36864</v>
      </c>
      <c r="M8882" t="s">
        <v>39280</v>
      </c>
      <c r="N8882" t="s">
        <v>40436</v>
      </c>
      <c r="O8882" t="s">
        <v>40437</v>
      </c>
      <c r="P8882">
        <v>0</v>
      </c>
      <c r="Q8882">
        <v>3</v>
      </c>
      <c r="R8882" t="s">
        <v>40446</v>
      </c>
      <c r="S8882" t="s">
        <v>40783</v>
      </c>
      <c r="T8882" t="s">
        <v>42346</v>
      </c>
      <c r="U8882" t="s">
        <v>46771</v>
      </c>
      <c r="V8882" t="s">
        <v>53826</v>
      </c>
      <c r="W8882" t="s">
        <v>39280</v>
      </c>
      <c r="X8882" t="s">
        <v>40449</v>
      </c>
    </row>
    <row r="8883" spans="1:24">
      <c r="A8883">
        <f>HYPERLINK("https://www.philgeps.gov.ph/GEPSNONPILOT/Tender/SplashBidNoticeAbstractUI.aspx?menuIndex=3&amp;refID=7032868&amp;Result=3","7032868")</f>
        <v>0</v>
      </c>
      <c r="B8883" t="s">
        <v>1976</v>
      </c>
      <c r="C8883" t="s">
        <v>11550</v>
      </c>
      <c r="D8883" t="s">
        <v>16225</v>
      </c>
      <c r="E8883" t="s">
        <v>24056</v>
      </c>
      <c r="F8883" t="s">
        <v>28198</v>
      </c>
      <c r="G8883" t="s">
        <v>28205</v>
      </c>
      <c r="H8883" t="s">
        <v>28215</v>
      </c>
      <c r="I8883" t="s">
        <v>4200</v>
      </c>
      <c r="J8883" t="s">
        <v>33897</v>
      </c>
      <c r="K8883" t="s">
        <v>36694</v>
      </c>
      <c r="M8883" t="s">
        <v>39112</v>
      </c>
      <c r="N8883" t="s">
        <v>40436</v>
      </c>
      <c r="O8883" t="s">
        <v>40437</v>
      </c>
      <c r="P8883">
        <v>0</v>
      </c>
      <c r="Q8883">
        <v>4</v>
      </c>
      <c r="R8883" t="s">
        <v>40446</v>
      </c>
      <c r="S8883" t="s">
        <v>40783</v>
      </c>
      <c r="T8883" t="s">
        <v>42279</v>
      </c>
      <c r="U8883" t="s">
        <v>50071</v>
      </c>
      <c r="W8883" t="s">
        <v>39112</v>
      </c>
      <c r="X8883" t="s">
        <v>40447</v>
      </c>
    </row>
    <row r="8884" spans="1:24">
      <c r="A8884">
        <f>HYPERLINK("https://www.philgeps.gov.ph/GEPSNONPILOT/Tender/SplashBidNoticeAbstractUI.aspx?menuIndex=3&amp;refID=7032872&amp;Result=3","7032872")</f>
        <v>0</v>
      </c>
      <c r="B8884" t="s">
        <v>1488</v>
      </c>
      <c r="C8884" t="s">
        <v>11551</v>
      </c>
      <c r="D8884" t="s">
        <v>16226</v>
      </c>
      <c r="E8884" t="s">
        <v>24057</v>
      </c>
      <c r="F8884" t="s">
        <v>28198</v>
      </c>
      <c r="G8884" t="s">
        <v>28205</v>
      </c>
      <c r="H8884" t="s">
        <v>28215</v>
      </c>
      <c r="I8884" t="s">
        <v>5791</v>
      </c>
      <c r="J8884" t="s">
        <v>33898</v>
      </c>
      <c r="K8884" t="s">
        <v>36706</v>
      </c>
      <c r="M8884" t="s">
        <v>38562</v>
      </c>
      <c r="N8884" t="s">
        <v>40436</v>
      </c>
      <c r="O8884" t="s">
        <v>40437</v>
      </c>
      <c r="P8884">
        <v>0</v>
      </c>
      <c r="Q8884">
        <v>0</v>
      </c>
      <c r="R8884" t="s">
        <v>40446</v>
      </c>
      <c r="S8884" t="s">
        <v>40783</v>
      </c>
      <c r="T8884" t="s">
        <v>42158</v>
      </c>
      <c r="U8884" t="s">
        <v>50072</v>
      </c>
      <c r="W8884" t="s">
        <v>38562</v>
      </c>
      <c r="X8884" t="s">
        <v>40447</v>
      </c>
    </row>
    <row r="8885" spans="1:24">
      <c r="A8885">
        <f>HYPERLINK("https://www.philgeps.gov.ph/GEPSNONPILOT/Tender/SplashBidNoticeAbstractUI.aspx?menuIndex=3&amp;refID=7032876&amp;Result=3","7032876")</f>
        <v>0</v>
      </c>
      <c r="B8885" t="s">
        <v>2551</v>
      </c>
      <c r="C8885" t="s">
        <v>11552</v>
      </c>
      <c r="D8885" t="s">
        <v>16209</v>
      </c>
      <c r="E8885" t="s">
        <v>17248</v>
      </c>
      <c r="F8885" t="s">
        <v>28200</v>
      </c>
      <c r="G8885" t="s">
        <v>28205</v>
      </c>
      <c r="H8885" t="s">
        <v>28214</v>
      </c>
      <c r="I8885" t="s">
        <v>3797</v>
      </c>
      <c r="J8885" t="s">
        <v>30773</v>
      </c>
      <c r="K8885" t="s">
        <v>36697</v>
      </c>
      <c r="M8885" t="s">
        <v>39762</v>
      </c>
      <c r="N8885" t="s">
        <v>40436</v>
      </c>
      <c r="O8885" t="s">
        <v>40437</v>
      </c>
      <c r="P8885">
        <v>0</v>
      </c>
      <c r="Q8885">
        <v>1</v>
      </c>
      <c r="R8885" t="s">
        <v>40446</v>
      </c>
      <c r="S8885" t="s">
        <v>40783</v>
      </c>
      <c r="T8885" t="s">
        <v>42133</v>
      </c>
      <c r="U8885" t="s">
        <v>50073</v>
      </c>
      <c r="W8885" t="s">
        <v>39762</v>
      </c>
      <c r="X8885" t="s">
        <v>40447</v>
      </c>
    </row>
    <row r="8886" spans="1:24">
      <c r="A8886">
        <f>HYPERLINK("https://www.philgeps.gov.ph/GEPSNONPILOT/Tender/SplashBidNoticeAbstractUI.aspx?menuIndex=3&amp;refID=7032873&amp;Result=3","7032873")</f>
        <v>0</v>
      </c>
      <c r="B8886" t="s">
        <v>2552</v>
      </c>
      <c r="C8886" t="s">
        <v>11553</v>
      </c>
      <c r="D8886" t="s">
        <v>16265</v>
      </c>
      <c r="E8886" t="s">
        <v>16684</v>
      </c>
      <c r="F8886" t="s">
        <v>28198</v>
      </c>
      <c r="G8886" t="s">
        <v>28205</v>
      </c>
      <c r="H8886" t="s">
        <v>28215</v>
      </c>
      <c r="I8886" t="s">
        <v>5100</v>
      </c>
      <c r="J8886" t="s">
        <v>33899</v>
      </c>
      <c r="K8886" t="s">
        <v>36706</v>
      </c>
      <c r="M8886" t="s">
        <v>39763</v>
      </c>
      <c r="N8886" t="s">
        <v>40436</v>
      </c>
      <c r="O8886" t="s">
        <v>40437</v>
      </c>
      <c r="P8886">
        <v>0</v>
      </c>
      <c r="Q8886">
        <v>2</v>
      </c>
      <c r="R8886" t="s">
        <v>40446</v>
      </c>
      <c r="S8886" t="s">
        <v>40783</v>
      </c>
      <c r="T8886" t="s">
        <v>42234</v>
      </c>
      <c r="U8886" t="s">
        <v>50074</v>
      </c>
      <c r="W8886" t="s">
        <v>39763</v>
      </c>
      <c r="X8886" t="s">
        <v>40447</v>
      </c>
    </row>
    <row r="8887" spans="1:24">
      <c r="A8887">
        <f>HYPERLINK("https://www.philgeps.gov.ph/GEPSNONPILOT/Tender/SplashBidNoticeAbstractUI.aspx?menuIndex=3&amp;refID=7032624&amp;Result=3","7032624")</f>
        <v>0</v>
      </c>
      <c r="B8887" t="s">
        <v>2550</v>
      </c>
      <c r="C8887" t="s">
        <v>11554</v>
      </c>
      <c r="D8887" t="s">
        <v>16246</v>
      </c>
      <c r="E8887" t="s">
        <v>24058</v>
      </c>
      <c r="F8887" t="s">
        <v>28198</v>
      </c>
      <c r="G8887" t="s">
        <v>28205</v>
      </c>
      <c r="H8887" t="s">
        <v>28215</v>
      </c>
      <c r="I8887" t="s">
        <v>4219</v>
      </c>
      <c r="J8887" t="s">
        <v>33900</v>
      </c>
      <c r="K8887" t="s">
        <v>36701</v>
      </c>
      <c r="M8887" t="s">
        <v>39761</v>
      </c>
      <c r="N8887" t="s">
        <v>40436</v>
      </c>
      <c r="O8887" t="s">
        <v>40437</v>
      </c>
      <c r="P8887">
        <v>0</v>
      </c>
      <c r="Q8887">
        <v>5</v>
      </c>
      <c r="R8887" t="s">
        <v>40446</v>
      </c>
      <c r="S8887" t="s">
        <v>40783</v>
      </c>
      <c r="T8887" t="s">
        <v>42292</v>
      </c>
      <c r="U8887" t="s">
        <v>50075</v>
      </c>
      <c r="W8887" t="s">
        <v>39761</v>
      </c>
      <c r="X8887" t="s">
        <v>40448</v>
      </c>
    </row>
    <row r="8888" spans="1:24">
      <c r="A8888">
        <f>HYPERLINK("https://www.philgeps.gov.ph/GEPSNONPILOT/Tender/SplashBidNoticeAbstractUI.aspx?menuIndex=3&amp;refID=7032951&amp;Result=3","7032951")</f>
        <v>0</v>
      </c>
      <c r="B8888" t="s">
        <v>2547</v>
      </c>
      <c r="C8888" t="s">
        <v>11555</v>
      </c>
      <c r="D8888" t="s">
        <v>16210</v>
      </c>
      <c r="E8888" t="s">
        <v>24059</v>
      </c>
      <c r="F8888" t="s">
        <v>28198</v>
      </c>
      <c r="G8888" t="s">
        <v>28205</v>
      </c>
      <c r="H8888" t="s">
        <v>28214</v>
      </c>
      <c r="I8888" t="s">
        <v>5100</v>
      </c>
      <c r="J8888" t="s">
        <v>33901</v>
      </c>
      <c r="K8888" t="s">
        <v>36694</v>
      </c>
      <c r="M8888" t="s">
        <v>39758</v>
      </c>
      <c r="N8888" t="s">
        <v>40436</v>
      </c>
      <c r="O8888" t="s">
        <v>40437</v>
      </c>
      <c r="P8888">
        <v>0</v>
      </c>
      <c r="Q8888">
        <v>1</v>
      </c>
      <c r="R8888" t="s">
        <v>40446</v>
      </c>
      <c r="S8888" t="s">
        <v>40783</v>
      </c>
      <c r="T8888" t="s">
        <v>42168</v>
      </c>
      <c r="U8888" t="s">
        <v>50064</v>
      </c>
      <c r="W8888" t="s">
        <v>39758</v>
      </c>
      <c r="X8888" t="s">
        <v>40447</v>
      </c>
    </row>
    <row r="8889" spans="1:24">
      <c r="A8889">
        <f>HYPERLINK("https://www.philgeps.gov.ph/GEPSNONPILOT/Tender/SplashBidNoticeAbstractUI.aspx?menuIndex=3&amp;refID=7032956&amp;Result=3","7032956")</f>
        <v>0</v>
      </c>
      <c r="B8889" t="s">
        <v>2553</v>
      </c>
      <c r="C8889" t="s">
        <v>11556</v>
      </c>
      <c r="D8889" t="s">
        <v>16200</v>
      </c>
      <c r="E8889" t="s">
        <v>22662</v>
      </c>
      <c r="F8889" t="s">
        <v>28198</v>
      </c>
      <c r="G8889" t="s">
        <v>28205</v>
      </c>
      <c r="H8889" t="s">
        <v>28215</v>
      </c>
      <c r="I8889" t="s">
        <v>28228</v>
      </c>
      <c r="J8889" t="s">
        <v>33902</v>
      </c>
      <c r="K8889" t="s">
        <v>36705</v>
      </c>
      <c r="M8889" t="s">
        <v>39764</v>
      </c>
      <c r="N8889" t="s">
        <v>40436</v>
      </c>
      <c r="O8889" t="s">
        <v>40437</v>
      </c>
      <c r="P8889">
        <v>0</v>
      </c>
      <c r="Q8889">
        <v>0</v>
      </c>
      <c r="R8889" t="s">
        <v>40446</v>
      </c>
      <c r="S8889" t="s">
        <v>40783</v>
      </c>
      <c r="T8889" t="s">
        <v>42109</v>
      </c>
      <c r="U8889" t="s">
        <v>50076</v>
      </c>
      <c r="W8889" t="s">
        <v>39764</v>
      </c>
      <c r="X8889" t="s">
        <v>40447</v>
      </c>
    </row>
    <row r="8890" spans="1:24">
      <c r="A8890">
        <f>HYPERLINK("https://www.philgeps.gov.ph/GEPSNONPILOT/Tender/SplashBidNoticeAbstractUI.aspx?menuIndex=3&amp;refID=7032935&amp;Result=3","7032935")</f>
        <v>0</v>
      </c>
      <c r="B8890" t="s">
        <v>1282</v>
      </c>
      <c r="C8890" t="s">
        <v>11557</v>
      </c>
      <c r="D8890" t="s">
        <v>16214</v>
      </c>
      <c r="E8890" t="s">
        <v>24060</v>
      </c>
      <c r="F8890" t="s">
        <v>28198</v>
      </c>
      <c r="G8890" t="s">
        <v>28205</v>
      </c>
      <c r="H8890" t="s">
        <v>28214</v>
      </c>
      <c r="I8890" t="s">
        <v>3797</v>
      </c>
      <c r="J8890" t="s">
        <v>33903</v>
      </c>
      <c r="K8890" t="s">
        <v>36885</v>
      </c>
      <c r="M8890" t="s">
        <v>38334</v>
      </c>
      <c r="N8890" t="s">
        <v>40436</v>
      </c>
      <c r="O8890" t="s">
        <v>40437</v>
      </c>
      <c r="P8890">
        <v>0</v>
      </c>
      <c r="Q8890">
        <v>5</v>
      </c>
      <c r="R8890" t="s">
        <v>40446</v>
      </c>
      <c r="S8890" t="s">
        <v>40783</v>
      </c>
      <c r="T8890" t="s">
        <v>42279</v>
      </c>
      <c r="U8890" t="s">
        <v>45679</v>
      </c>
      <c r="V8890" t="s">
        <v>54736</v>
      </c>
      <c r="W8890" t="s">
        <v>38334</v>
      </c>
      <c r="X8890" t="s">
        <v>40447</v>
      </c>
    </row>
    <row r="8891" spans="1:24">
      <c r="A8891">
        <f>HYPERLINK("https://www.philgeps.gov.ph/GEPSNONPILOT/Tender/SplashBidNoticeAbstractUI.aspx?menuIndex=3&amp;refID=7032810&amp;Result=3","7032810")</f>
        <v>0</v>
      </c>
      <c r="B8891" t="s">
        <v>155</v>
      </c>
      <c r="C8891" t="s">
        <v>11558</v>
      </c>
      <c r="D8891" t="s">
        <v>16235</v>
      </c>
      <c r="E8891" t="s">
        <v>24061</v>
      </c>
      <c r="F8891" t="s">
        <v>28198</v>
      </c>
      <c r="G8891" t="s">
        <v>28207</v>
      </c>
      <c r="H8891" t="s">
        <v>28215</v>
      </c>
      <c r="I8891" t="s">
        <v>5082</v>
      </c>
      <c r="J8891" t="s">
        <v>33904</v>
      </c>
      <c r="K8891" t="s">
        <v>36701</v>
      </c>
      <c r="M8891" t="s">
        <v>39765</v>
      </c>
      <c r="N8891" t="s">
        <v>40436</v>
      </c>
      <c r="O8891" t="s">
        <v>40437</v>
      </c>
      <c r="P8891">
        <v>0</v>
      </c>
      <c r="Q8891">
        <v>2</v>
      </c>
      <c r="R8891" t="s">
        <v>40446</v>
      </c>
      <c r="S8891" t="s">
        <v>40783</v>
      </c>
      <c r="T8891" t="s">
        <v>42103</v>
      </c>
      <c r="U8891" t="s">
        <v>50077</v>
      </c>
      <c r="W8891" t="s">
        <v>55520</v>
      </c>
      <c r="X8891" t="s">
        <v>40447</v>
      </c>
    </row>
    <row r="8892" spans="1:24">
      <c r="A8892">
        <f>HYPERLINK("https://www.philgeps.gov.ph/GEPSNONPILOT/Tender/SplashBidNoticeAbstractUI.aspx?menuIndex=3&amp;refID=7032948&amp;Result=3","7032948")</f>
        <v>0</v>
      </c>
      <c r="B8892" t="s">
        <v>2501</v>
      </c>
      <c r="C8892" t="s">
        <v>11559</v>
      </c>
      <c r="E8892" t="s">
        <v>24062</v>
      </c>
      <c r="F8892" t="s">
        <v>28198</v>
      </c>
      <c r="G8892" t="s">
        <v>28205</v>
      </c>
      <c r="H8892" t="s">
        <v>28215</v>
      </c>
      <c r="I8892" t="s">
        <v>4200</v>
      </c>
      <c r="J8892" t="s">
        <v>28361</v>
      </c>
      <c r="K8892" t="s">
        <v>36689</v>
      </c>
      <c r="M8892" t="s">
        <v>39703</v>
      </c>
      <c r="N8892" t="s">
        <v>40436</v>
      </c>
      <c r="O8892" t="s">
        <v>40437</v>
      </c>
      <c r="P8892">
        <v>0</v>
      </c>
      <c r="Q8892">
        <v>0</v>
      </c>
      <c r="R8892" t="s">
        <v>40446</v>
      </c>
      <c r="S8892" t="s">
        <v>40783</v>
      </c>
      <c r="T8892" t="s">
        <v>42175</v>
      </c>
      <c r="U8892" t="s">
        <v>50078</v>
      </c>
      <c r="W8892" t="s">
        <v>39703</v>
      </c>
      <c r="X8892" t="s">
        <v>40447</v>
      </c>
    </row>
    <row r="8893" spans="1:24">
      <c r="A8893">
        <f>HYPERLINK("https://www.philgeps.gov.ph/GEPSNONPILOT/Tender/SplashBidNoticeAbstractUI.aspx?menuIndex=3&amp;refID=7032923&amp;Result=3","7032923")</f>
        <v>0</v>
      </c>
      <c r="B8893" t="s">
        <v>1488</v>
      </c>
      <c r="C8893" t="s">
        <v>11560</v>
      </c>
      <c r="D8893" t="s">
        <v>16226</v>
      </c>
      <c r="E8893" t="s">
        <v>24063</v>
      </c>
      <c r="F8893" t="s">
        <v>28198</v>
      </c>
      <c r="G8893" t="s">
        <v>28205</v>
      </c>
      <c r="H8893" t="s">
        <v>28215</v>
      </c>
      <c r="I8893" t="s">
        <v>6013</v>
      </c>
      <c r="J8893" t="s">
        <v>33905</v>
      </c>
      <c r="K8893" t="s">
        <v>36706</v>
      </c>
      <c r="M8893" t="s">
        <v>38562</v>
      </c>
      <c r="N8893" t="s">
        <v>40436</v>
      </c>
      <c r="O8893" t="s">
        <v>40437</v>
      </c>
      <c r="P8893">
        <v>0</v>
      </c>
      <c r="Q8893">
        <v>0</v>
      </c>
      <c r="R8893" t="s">
        <v>40446</v>
      </c>
      <c r="S8893" t="s">
        <v>40783</v>
      </c>
      <c r="T8893" t="s">
        <v>42158</v>
      </c>
      <c r="U8893" t="s">
        <v>50079</v>
      </c>
      <c r="W8893" t="s">
        <v>38562</v>
      </c>
      <c r="X8893" t="s">
        <v>40447</v>
      </c>
    </row>
    <row r="8894" spans="1:24">
      <c r="A8894">
        <f>HYPERLINK("https://www.philgeps.gov.ph/GEPSNONPILOT/Tender/SplashBidNoticeAbstractUI.aspx?menuIndex=3&amp;refID=7032918&amp;Result=3","7032918")</f>
        <v>0</v>
      </c>
      <c r="B8894" t="s">
        <v>574</v>
      </c>
      <c r="C8894" t="s">
        <v>11561</v>
      </c>
      <c r="D8894" t="s">
        <v>16210</v>
      </c>
      <c r="E8894" t="s">
        <v>24064</v>
      </c>
      <c r="F8894" t="s">
        <v>28198</v>
      </c>
      <c r="G8894" t="s">
        <v>28205</v>
      </c>
      <c r="H8894" t="s">
        <v>28215</v>
      </c>
      <c r="I8894" t="s">
        <v>28222</v>
      </c>
      <c r="J8894" t="s">
        <v>28730</v>
      </c>
      <c r="K8894" t="s">
        <v>36701</v>
      </c>
      <c r="M8894" t="s">
        <v>39766</v>
      </c>
      <c r="N8894" t="s">
        <v>40436</v>
      </c>
      <c r="O8894" t="s">
        <v>40437</v>
      </c>
      <c r="P8894">
        <v>0</v>
      </c>
      <c r="Q8894">
        <v>6</v>
      </c>
      <c r="R8894" t="s">
        <v>40446</v>
      </c>
      <c r="S8894" t="s">
        <v>40783</v>
      </c>
      <c r="T8894" t="s">
        <v>42187</v>
      </c>
      <c r="U8894" t="s">
        <v>50080</v>
      </c>
      <c r="W8894" t="s">
        <v>39766</v>
      </c>
      <c r="X8894" t="s">
        <v>40447</v>
      </c>
    </row>
    <row r="8895" spans="1:24">
      <c r="A8895">
        <f>HYPERLINK("https://www.philgeps.gov.ph/GEPSNONPILOT/Tender/SplashBidNoticeAbstractUI.aspx?menuIndex=3&amp;refID=7032946&amp;Result=3","7032946")</f>
        <v>0</v>
      </c>
      <c r="B8895" t="s">
        <v>1488</v>
      </c>
      <c r="C8895" t="s">
        <v>11562</v>
      </c>
      <c r="D8895" t="s">
        <v>16226</v>
      </c>
      <c r="E8895" t="s">
        <v>24065</v>
      </c>
      <c r="F8895" t="s">
        <v>28198</v>
      </c>
      <c r="G8895" t="s">
        <v>28205</v>
      </c>
      <c r="H8895" t="s">
        <v>28215</v>
      </c>
      <c r="I8895" t="s">
        <v>5100</v>
      </c>
      <c r="J8895" t="s">
        <v>33906</v>
      </c>
      <c r="K8895" t="s">
        <v>36706</v>
      </c>
      <c r="M8895" t="s">
        <v>38562</v>
      </c>
      <c r="N8895" t="s">
        <v>40436</v>
      </c>
      <c r="O8895" t="s">
        <v>40437</v>
      </c>
      <c r="P8895">
        <v>0</v>
      </c>
      <c r="Q8895">
        <v>1</v>
      </c>
      <c r="R8895" t="s">
        <v>40446</v>
      </c>
      <c r="S8895" t="s">
        <v>40783</v>
      </c>
      <c r="T8895" t="s">
        <v>42158</v>
      </c>
      <c r="U8895" t="s">
        <v>50081</v>
      </c>
      <c r="W8895" t="s">
        <v>38562</v>
      </c>
      <c r="X8895" t="s">
        <v>40447</v>
      </c>
    </row>
    <row r="8896" spans="1:24">
      <c r="A8896">
        <f>HYPERLINK("https://www.philgeps.gov.ph/GEPSNONPILOT/Tender/SplashBidNoticeAbstractUI.aspx?menuIndex=3&amp;refID=7032936&amp;Result=3","7032936")</f>
        <v>0</v>
      </c>
      <c r="B8896" t="s">
        <v>2554</v>
      </c>
      <c r="C8896" t="s">
        <v>11563</v>
      </c>
      <c r="D8896" t="s">
        <v>16251</v>
      </c>
      <c r="E8896" t="s">
        <v>17562</v>
      </c>
      <c r="F8896" t="s">
        <v>28198</v>
      </c>
      <c r="G8896" t="s">
        <v>28205</v>
      </c>
      <c r="H8896" t="s">
        <v>28214</v>
      </c>
      <c r="I8896" t="s">
        <v>3797</v>
      </c>
      <c r="J8896" t="s">
        <v>28699</v>
      </c>
      <c r="K8896" t="s">
        <v>36737</v>
      </c>
      <c r="M8896" t="s">
        <v>39767</v>
      </c>
      <c r="N8896" t="s">
        <v>40436</v>
      </c>
      <c r="O8896" t="s">
        <v>40437</v>
      </c>
      <c r="P8896">
        <v>0</v>
      </c>
      <c r="Q8896">
        <v>1</v>
      </c>
      <c r="R8896" t="s">
        <v>40446</v>
      </c>
      <c r="S8896" t="s">
        <v>40783</v>
      </c>
      <c r="T8896" t="s">
        <v>42278</v>
      </c>
      <c r="U8896" t="s">
        <v>50082</v>
      </c>
      <c r="W8896" t="s">
        <v>39767</v>
      </c>
      <c r="X8896" t="s">
        <v>40447</v>
      </c>
    </row>
    <row r="8897" spans="1:24">
      <c r="A8897">
        <f>HYPERLINK("https://www.philgeps.gov.ph/GEPSNONPILOT/Tender/SplashBidNoticeAbstractUI.aspx?menuIndex=3&amp;refID=7032906&amp;Result=3","7032906")</f>
        <v>0</v>
      </c>
      <c r="B8897" t="s">
        <v>1488</v>
      </c>
      <c r="C8897" t="s">
        <v>11564</v>
      </c>
      <c r="D8897" t="s">
        <v>16226</v>
      </c>
      <c r="E8897" t="s">
        <v>24066</v>
      </c>
      <c r="F8897" t="s">
        <v>28198</v>
      </c>
      <c r="G8897" t="s">
        <v>28205</v>
      </c>
      <c r="H8897" t="s">
        <v>28215</v>
      </c>
      <c r="I8897" t="s">
        <v>8888</v>
      </c>
      <c r="J8897" t="s">
        <v>28362</v>
      </c>
      <c r="K8897" t="s">
        <v>36706</v>
      </c>
      <c r="M8897" t="s">
        <v>38562</v>
      </c>
      <c r="N8897" t="s">
        <v>40436</v>
      </c>
      <c r="O8897" t="s">
        <v>40437</v>
      </c>
      <c r="P8897">
        <v>0</v>
      </c>
      <c r="Q8897">
        <v>1</v>
      </c>
      <c r="R8897" t="s">
        <v>40446</v>
      </c>
      <c r="S8897" t="s">
        <v>40783</v>
      </c>
      <c r="T8897" t="s">
        <v>42158</v>
      </c>
      <c r="U8897" t="s">
        <v>50083</v>
      </c>
      <c r="W8897" t="s">
        <v>38562</v>
      </c>
      <c r="X8897" t="s">
        <v>40447</v>
      </c>
    </row>
    <row r="8898" spans="1:24">
      <c r="A8898">
        <f>HYPERLINK("https://www.philgeps.gov.ph/GEPSNONPILOT/Tender/SplashBidNoticeAbstractUI.aspx?menuIndex=3&amp;refID=7032902&amp;Result=3","7032902")</f>
        <v>0</v>
      </c>
      <c r="B8898" t="s">
        <v>2555</v>
      </c>
      <c r="C8898" t="s">
        <v>11565</v>
      </c>
      <c r="D8898" t="s">
        <v>16262</v>
      </c>
      <c r="E8898" t="s">
        <v>24067</v>
      </c>
      <c r="F8898" t="s">
        <v>28198</v>
      </c>
      <c r="G8898" t="s">
        <v>28205</v>
      </c>
      <c r="H8898" t="s">
        <v>28214</v>
      </c>
      <c r="I8898" t="s">
        <v>3797</v>
      </c>
      <c r="J8898" t="s">
        <v>33907</v>
      </c>
      <c r="K8898" t="s">
        <v>36717</v>
      </c>
      <c r="M8898" t="s">
        <v>39768</v>
      </c>
      <c r="N8898" t="s">
        <v>40436</v>
      </c>
      <c r="O8898" t="s">
        <v>40437</v>
      </c>
      <c r="P8898">
        <v>0</v>
      </c>
      <c r="Q8898">
        <v>2</v>
      </c>
      <c r="R8898" t="s">
        <v>40446</v>
      </c>
      <c r="S8898" t="s">
        <v>40783</v>
      </c>
      <c r="T8898" t="s">
        <v>42168</v>
      </c>
      <c r="U8898" t="s">
        <v>50084</v>
      </c>
      <c r="W8898" t="s">
        <v>39768</v>
      </c>
      <c r="X8898" t="s">
        <v>40447</v>
      </c>
    </row>
    <row r="8899" spans="1:24">
      <c r="A8899">
        <f>HYPERLINK("https://www.philgeps.gov.ph/GEPSNONPILOT/Tender/SplashBidNoticeAbstractUI.aspx?menuIndex=3&amp;refID=7032928&amp;Result=3","7032928")</f>
        <v>0</v>
      </c>
      <c r="B8899" t="s">
        <v>1172</v>
      </c>
      <c r="C8899" t="s">
        <v>11566</v>
      </c>
      <c r="D8899" t="s">
        <v>16210</v>
      </c>
      <c r="E8899" t="s">
        <v>24068</v>
      </c>
      <c r="F8899" t="s">
        <v>28198</v>
      </c>
      <c r="G8899" t="s">
        <v>28205</v>
      </c>
      <c r="H8899" t="s">
        <v>28215</v>
      </c>
      <c r="I8899" t="s">
        <v>9499</v>
      </c>
      <c r="J8899" t="s">
        <v>33908</v>
      </c>
      <c r="K8899" t="s">
        <v>36701</v>
      </c>
      <c r="M8899" t="s">
        <v>38214</v>
      </c>
      <c r="N8899" t="s">
        <v>40436</v>
      </c>
      <c r="O8899" t="s">
        <v>40437</v>
      </c>
      <c r="P8899">
        <v>0</v>
      </c>
      <c r="Q8899">
        <v>10</v>
      </c>
      <c r="R8899" t="s">
        <v>40446</v>
      </c>
      <c r="S8899" t="s">
        <v>40783</v>
      </c>
      <c r="T8899" t="s">
        <v>42346</v>
      </c>
      <c r="U8899" t="s">
        <v>50085</v>
      </c>
      <c r="V8899" t="s">
        <v>54737</v>
      </c>
      <c r="W8899" t="s">
        <v>38214</v>
      </c>
      <c r="X8899" t="s">
        <v>40447</v>
      </c>
    </row>
    <row r="8900" spans="1:24">
      <c r="A8900">
        <f>HYPERLINK("https://www.philgeps.gov.ph/GEPSNONPILOT/Tender/SplashBidNoticeAbstractUI.aspx?menuIndex=3&amp;refID=7032885&amp;Result=3","7032885")</f>
        <v>0</v>
      </c>
      <c r="B8900" t="s">
        <v>2403</v>
      </c>
      <c r="C8900" t="s">
        <v>11567</v>
      </c>
      <c r="D8900" t="s">
        <v>16223</v>
      </c>
      <c r="E8900" t="s">
        <v>24069</v>
      </c>
      <c r="F8900" t="s">
        <v>28198</v>
      </c>
      <c r="G8900" t="s">
        <v>28205</v>
      </c>
      <c r="H8900" t="s">
        <v>28215</v>
      </c>
      <c r="I8900" t="s">
        <v>5100</v>
      </c>
      <c r="J8900" t="s">
        <v>33909</v>
      </c>
      <c r="K8900" t="s">
        <v>36701</v>
      </c>
      <c r="M8900" t="s">
        <v>39591</v>
      </c>
      <c r="N8900" t="s">
        <v>40436</v>
      </c>
      <c r="O8900" t="s">
        <v>40437</v>
      </c>
      <c r="P8900">
        <v>0</v>
      </c>
      <c r="Q8900">
        <v>0</v>
      </c>
      <c r="R8900" t="s">
        <v>40446</v>
      </c>
      <c r="S8900" t="s">
        <v>40783</v>
      </c>
      <c r="T8900" t="s">
        <v>42277</v>
      </c>
      <c r="U8900" t="s">
        <v>50086</v>
      </c>
      <c r="W8900" t="s">
        <v>39591</v>
      </c>
      <c r="X8900" t="s">
        <v>40447</v>
      </c>
    </row>
    <row r="8901" spans="1:24">
      <c r="A8901">
        <f>HYPERLINK("https://www.philgeps.gov.ph/GEPSNONPILOT/Tender/SplashBidNoticeAbstractUI.aspx?menuIndex=3&amp;refID=7032978&amp;Result=3","7032978")</f>
        <v>0</v>
      </c>
      <c r="B8901" t="s">
        <v>2547</v>
      </c>
      <c r="C8901" t="s">
        <v>11568</v>
      </c>
      <c r="D8901" t="s">
        <v>16210</v>
      </c>
      <c r="E8901" t="s">
        <v>24070</v>
      </c>
      <c r="F8901" t="s">
        <v>28198</v>
      </c>
      <c r="G8901" t="s">
        <v>28205</v>
      </c>
      <c r="H8901" t="s">
        <v>28214</v>
      </c>
      <c r="I8901" t="s">
        <v>5100</v>
      </c>
      <c r="J8901" t="s">
        <v>33910</v>
      </c>
      <c r="K8901" t="s">
        <v>36690</v>
      </c>
      <c r="M8901" t="s">
        <v>39758</v>
      </c>
      <c r="N8901" t="s">
        <v>40436</v>
      </c>
      <c r="O8901" t="s">
        <v>40437</v>
      </c>
      <c r="P8901">
        <v>0</v>
      </c>
      <c r="Q8901">
        <v>3</v>
      </c>
      <c r="R8901" t="s">
        <v>40446</v>
      </c>
      <c r="S8901" t="s">
        <v>40783</v>
      </c>
      <c r="T8901" t="s">
        <v>42168</v>
      </c>
      <c r="U8901" t="s">
        <v>50064</v>
      </c>
      <c r="W8901" t="s">
        <v>39758</v>
      </c>
      <c r="X8901" t="s">
        <v>40447</v>
      </c>
    </row>
    <row r="8902" spans="1:24">
      <c r="A8902">
        <f>HYPERLINK("https://www.philgeps.gov.ph/GEPSNONPILOT/Tender/SplashBidNoticeAbstractUI.aspx?menuIndex=3&amp;refID=7032997&amp;Result=3","7032997")</f>
        <v>0</v>
      </c>
      <c r="B8902" t="s">
        <v>1488</v>
      </c>
      <c r="C8902" t="s">
        <v>11569</v>
      </c>
      <c r="D8902" t="s">
        <v>16226</v>
      </c>
      <c r="E8902" t="s">
        <v>24071</v>
      </c>
      <c r="F8902" t="s">
        <v>28198</v>
      </c>
      <c r="G8902" t="s">
        <v>28205</v>
      </c>
      <c r="H8902" t="s">
        <v>28215</v>
      </c>
      <c r="I8902" t="s">
        <v>5100</v>
      </c>
      <c r="J8902" t="s">
        <v>33911</v>
      </c>
      <c r="K8902" t="s">
        <v>36706</v>
      </c>
      <c r="M8902" t="s">
        <v>38562</v>
      </c>
      <c r="N8902" t="s">
        <v>40436</v>
      </c>
      <c r="O8902" t="s">
        <v>40437</v>
      </c>
      <c r="P8902">
        <v>0</v>
      </c>
      <c r="Q8902">
        <v>0</v>
      </c>
      <c r="R8902" t="s">
        <v>40446</v>
      </c>
      <c r="S8902" t="s">
        <v>40783</v>
      </c>
      <c r="T8902" t="s">
        <v>42158</v>
      </c>
      <c r="U8902" t="s">
        <v>50087</v>
      </c>
      <c r="W8902" t="s">
        <v>38562</v>
      </c>
      <c r="X8902" t="s">
        <v>40447</v>
      </c>
    </row>
    <row r="8903" spans="1:24">
      <c r="A8903">
        <f>HYPERLINK("https://www.philgeps.gov.ph/GEPSNONPILOT/Tender/SplashBidNoticeAbstractUI.aspx?menuIndex=3&amp;refID=7032970&amp;Result=3","7032970")</f>
        <v>0</v>
      </c>
      <c r="B8903" t="s">
        <v>1488</v>
      </c>
      <c r="C8903" t="s">
        <v>11570</v>
      </c>
      <c r="D8903" t="s">
        <v>16226</v>
      </c>
      <c r="E8903" t="s">
        <v>24072</v>
      </c>
      <c r="F8903" t="s">
        <v>28198</v>
      </c>
      <c r="G8903" t="s">
        <v>28205</v>
      </c>
      <c r="H8903" t="s">
        <v>28215</v>
      </c>
      <c r="I8903" t="s">
        <v>5100</v>
      </c>
      <c r="J8903" t="s">
        <v>33912</v>
      </c>
      <c r="K8903" t="s">
        <v>36706</v>
      </c>
      <c r="M8903" t="s">
        <v>38562</v>
      </c>
      <c r="N8903" t="s">
        <v>40436</v>
      </c>
      <c r="O8903" t="s">
        <v>40437</v>
      </c>
      <c r="P8903">
        <v>0</v>
      </c>
      <c r="Q8903">
        <v>1</v>
      </c>
      <c r="R8903" t="s">
        <v>40446</v>
      </c>
      <c r="S8903" t="s">
        <v>40783</v>
      </c>
      <c r="T8903" t="s">
        <v>42158</v>
      </c>
      <c r="U8903" t="s">
        <v>50088</v>
      </c>
      <c r="W8903" t="s">
        <v>38562</v>
      </c>
      <c r="X8903" t="s">
        <v>40447</v>
      </c>
    </row>
    <row r="8904" spans="1:24">
      <c r="A8904">
        <f>HYPERLINK("https://www.philgeps.gov.ph/GEPSNONPILOT/Tender/SplashBidNoticeAbstractUI.aspx?menuIndex=3&amp;refID=7033013&amp;Result=3","7033013")</f>
        <v>0</v>
      </c>
      <c r="B8904" t="s">
        <v>806</v>
      </c>
      <c r="C8904" t="s">
        <v>11571</v>
      </c>
      <c r="D8904" t="s">
        <v>16188</v>
      </c>
      <c r="E8904" t="s">
        <v>24073</v>
      </c>
      <c r="F8904" t="s">
        <v>28198</v>
      </c>
      <c r="G8904" t="s">
        <v>28205</v>
      </c>
      <c r="H8904" t="s">
        <v>28215</v>
      </c>
      <c r="I8904" t="s">
        <v>8870</v>
      </c>
      <c r="J8904" t="s">
        <v>33913</v>
      </c>
      <c r="K8904" t="s">
        <v>36697</v>
      </c>
      <c r="M8904" t="s">
        <v>37865</v>
      </c>
      <c r="N8904" t="s">
        <v>40436</v>
      </c>
      <c r="O8904" t="s">
        <v>40437</v>
      </c>
      <c r="P8904">
        <v>0</v>
      </c>
      <c r="Q8904">
        <v>6</v>
      </c>
      <c r="R8904" t="s">
        <v>40446</v>
      </c>
      <c r="S8904" t="s">
        <v>40783</v>
      </c>
      <c r="T8904" t="s">
        <v>42165</v>
      </c>
      <c r="U8904" t="s">
        <v>50089</v>
      </c>
      <c r="W8904" t="s">
        <v>55465</v>
      </c>
      <c r="X8904" t="s">
        <v>40447</v>
      </c>
    </row>
    <row r="8905" spans="1:24">
      <c r="A8905">
        <f>HYPERLINK("https://www.philgeps.gov.ph/GEPSNONPILOT/Tender/SplashBidNoticeAbstractUI.aspx?menuIndex=3&amp;refID=7033062&amp;Result=3","7033062")</f>
        <v>0</v>
      </c>
      <c r="B8905" t="s">
        <v>1488</v>
      </c>
      <c r="C8905" t="s">
        <v>11572</v>
      </c>
      <c r="D8905" t="s">
        <v>16226</v>
      </c>
      <c r="E8905" t="s">
        <v>24074</v>
      </c>
      <c r="F8905" t="s">
        <v>28198</v>
      </c>
      <c r="G8905" t="s">
        <v>28205</v>
      </c>
      <c r="H8905" t="s">
        <v>28215</v>
      </c>
      <c r="I8905" t="s">
        <v>5100</v>
      </c>
      <c r="J8905" t="s">
        <v>33914</v>
      </c>
      <c r="K8905" t="s">
        <v>36706</v>
      </c>
      <c r="M8905" t="s">
        <v>38562</v>
      </c>
      <c r="N8905" t="s">
        <v>40436</v>
      </c>
      <c r="O8905" t="s">
        <v>40437</v>
      </c>
      <c r="P8905">
        <v>0</v>
      </c>
      <c r="Q8905">
        <v>2</v>
      </c>
      <c r="R8905" t="s">
        <v>40446</v>
      </c>
      <c r="S8905" t="s">
        <v>40783</v>
      </c>
      <c r="T8905" t="s">
        <v>42390</v>
      </c>
      <c r="U8905" t="s">
        <v>50090</v>
      </c>
      <c r="W8905" t="s">
        <v>38562</v>
      </c>
      <c r="X8905" t="s">
        <v>40447</v>
      </c>
    </row>
    <row r="8906" spans="1:24">
      <c r="A8906">
        <f>HYPERLINK("https://www.philgeps.gov.ph/GEPSNONPILOT/Tender/SplashBidNoticeAbstractUI.aspx?menuIndex=3&amp;refID=7033049&amp;Result=3","7033049")</f>
        <v>0</v>
      </c>
      <c r="B8906" t="s">
        <v>461</v>
      </c>
      <c r="C8906" t="s">
        <v>5837</v>
      </c>
      <c r="D8906" t="s">
        <v>16208</v>
      </c>
      <c r="E8906" t="s">
        <v>24075</v>
      </c>
      <c r="F8906" t="s">
        <v>28198</v>
      </c>
      <c r="G8906" t="s">
        <v>28205</v>
      </c>
      <c r="H8906" t="s">
        <v>28215</v>
      </c>
      <c r="I8906" t="s">
        <v>28222</v>
      </c>
      <c r="J8906" t="s">
        <v>32515</v>
      </c>
      <c r="K8906" t="s">
        <v>36689</v>
      </c>
      <c r="M8906" t="s">
        <v>37445</v>
      </c>
      <c r="N8906" t="s">
        <v>40436</v>
      </c>
      <c r="O8906" t="s">
        <v>40437</v>
      </c>
      <c r="P8906">
        <v>0</v>
      </c>
      <c r="Q8906">
        <v>4</v>
      </c>
      <c r="R8906" t="s">
        <v>40446</v>
      </c>
      <c r="S8906" t="s">
        <v>40783</v>
      </c>
      <c r="T8906" t="s">
        <v>42319</v>
      </c>
      <c r="U8906" t="s">
        <v>50091</v>
      </c>
      <c r="V8906" t="s">
        <v>54738</v>
      </c>
      <c r="W8906" t="s">
        <v>37445</v>
      </c>
      <c r="X8906" t="s">
        <v>40447</v>
      </c>
    </row>
    <row r="8907" spans="1:24">
      <c r="A8907">
        <f>HYPERLINK("https://www.philgeps.gov.ph/GEPSNONPILOT/Tender/SplashBidNoticeAbstractUI.aspx?menuIndex=3&amp;refID=7032892&amp;Result=3","7032892")</f>
        <v>0</v>
      </c>
      <c r="B8907" t="s">
        <v>1488</v>
      </c>
      <c r="C8907" t="s">
        <v>11551</v>
      </c>
      <c r="D8907" t="s">
        <v>16226</v>
      </c>
      <c r="E8907" t="s">
        <v>24076</v>
      </c>
      <c r="F8907" t="s">
        <v>28198</v>
      </c>
      <c r="G8907" t="s">
        <v>28205</v>
      </c>
      <c r="H8907" t="s">
        <v>28215</v>
      </c>
      <c r="I8907" t="s">
        <v>5791</v>
      </c>
      <c r="J8907" t="s">
        <v>33915</v>
      </c>
      <c r="K8907" t="s">
        <v>36706</v>
      </c>
      <c r="M8907" t="s">
        <v>38562</v>
      </c>
      <c r="N8907" t="s">
        <v>40436</v>
      </c>
      <c r="O8907" t="s">
        <v>40437</v>
      </c>
      <c r="P8907">
        <v>0</v>
      </c>
      <c r="Q8907">
        <v>0</v>
      </c>
      <c r="R8907" t="s">
        <v>40446</v>
      </c>
      <c r="S8907" t="s">
        <v>40783</v>
      </c>
      <c r="T8907" t="s">
        <v>42158</v>
      </c>
      <c r="U8907" t="s">
        <v>50092</v>
      </c>
      <c r="W8907" t="s">
        <v>38562</v>
      </c>
      <c r="X8907" t="s">
        <v>40447</v>
      </c>
    </row>
    <row r="8908" spans="1:24">
      <c r="A8908">
        <f>HYPERLINK("https://www.philgeps.gov.ph/GEPSNONPILOT/Tender/SplashBidNoticeAbstractUI.aspx?menuIndex=3&amp;refID=7033085&amp;Result=3","7033085")</f>
        <v>0</v>
      </c>
      <c r="B8908" t="s">
        <v>2153</v>
      </c>
      <c r="C8908" t="s">
        <v>11573</v>
      </c>
      <c r="D8908" t="s">
        <v>16235</v>
      </c>
      <c r="E8908" t="s">
        <v>17417</v>
      </c>
      <c r="F8908" t="s">
        <v>28198</v>
      </c>
      <c r="G8908" t="s">
        <v>28205</v>
      </c>
      <c r="H8908" t="s">
        <v>28215</v>
      </c>
      <c r="I8908" t="s">
        <v>28222</v>
      </c>
      <c r="J8908" t="s">
        <v>28373</v>
      </c>
      <c r="K8908" t="s">
        <v>36701</v>
      </c>
      <c r="M8908" t="s">
        <v>39310</v>
      </c>
      <c r="N8908" t="s">
        <v>40436</v>
      </c>
      <c r="O8908" t="s">
        <v>40437</v>
      </c>
      <c r="P8908">
        <v>0</v>
      </c>
      <c r="Q8908">
        <v>0</v>
      </c>
      <c r="R8908" t="s">
        <v>40446</v>
      </c>
      <c r="S8908" t="s">
        <v>40783</v>
      </c>
      <c r="T8908" t="s">
        <v>42119</v>
      </c>
      <c r="U8908" t="s">
        <v>50093</v>
      </c>
      <c r="W8908" t="s">
        <v>39310</v>
      </c>
      <c r="X8908" t="s">
        <v>40447</v>
      </c>
    </row>
    <row r="8909" spans="1:24">
      <c r="A8909">
        <f>HYPERLINK("https://www.philgeps.gov.ph/GEPSNONPILOT/Tender/SplashBidNoticeAbstractUI.aspx?menuIndex=3&amp;refID=7033024&amp;Result=3","7033024")</f>
        <v>0</v>
      </c>
      <c r="B8909" t="s">
        <v>2556</v>
      </c>
      <c r="C8909" t="s">
        <v>11574</v>
      </c>
      <c r="D8909" t="s">
        <v>16213</v>
      </c>
      <c r="E8909" t="s">
        <v>19551</v>
      </c>
      <c r="F8909" t="s">
        <v>28198</v>
      </c>
      <c r="G8909" t="s">
        <v>28205</v>
      </c>
      <c r="H8909" t="s">
        <v>28214</v>
      </c>
      <c r="I8909" t="s">
        <v>3797</v>
      </c>
      <c r="J8909" t="s">
        <v>28486</v>
      </c>
      <c r="K8909" t="s">
        <v>36704</v>
      </c>
      <c r="M8909" t="s">
        <v>39769</v>
      </c>
      <c r="N8909" t="s">
        <v>40436</v>
      </c>
      <c r="O8909" t="s">
        <v>40437</v>
      </c>
      <c r="P8909">
        <v>0</v>
      </c>
      <c r="Q8909">
        <v>1</v>
      </c>
      <c r="R8909" t="s">
        <v>40446</v>
      </c>
      <c r="S8909" t="s">
        <v>40783</v>
      </c>
      <c r="T8909" t="s">
        <v>42245</v>
      </c>
      <c r="U8909" t="s">
        <v>50094</v>
      </c>
      <c r="W8909" t="s">
        <v>39769</v>
      </c>
      <c r="X8909" t="s">
        <v>40447</v>
      </c>
    </row>
    <row r="8910" spans="1:24">
      <c r="A8910">
        <f>HYPERLINK("https://www.philgeps.gov.ph/GEPSNONPILOT/Tender/SplashBidNoticeAbstractUI.aspx?menuIndex=3&amp;refID=7033172&amp;Result=3","7033172")</f>
        <v>0</v>
      </c>
      <c r="B8910" t="s">
        <v>1261</v>
      </c>
      <c r="C8910" t="s">
        <v>11575</v>
      </c>
      <c r="D8910" t="s">
        <v>16223</v>
      </c>
      <c r="E8910" t="s">
        <v>24077</v>
      </c>
      <c r="F8910" t="s">
        <v>28198</v>
      </c>
      <c r="G8910" t="s">
        <v>28205</v>
      </c>
      <c r="H8910" t="s">
        <v>28215</v>
      </c>
      <c r="I8910" t="s">
        <v>5100</v>
      </c>
      <c r="J8910" t="s">
        <v>33916</v>
      </c>
      <c r="K8910" t="s">
        <v>36701</v>
      </c>
      <c r="M8910" t="s">
        <v>38311</v>
      </c>
      <c r="N8910" t="s">
        <v>40436</v>
      </c>
      <c r="O8910" t="s">
        <v>40437</v>
      </c>
      <c r="P8910">
        <v>0</v>
      </c>
      <c r="Q8910">
        <v>0</v>
      </c>
      <c r="R8910" t="s">
        <v>40446</v>
      </c>
      <c r="S8910" t="s">
        <v>40783</v>
      </c>
      <c r="T8910" t="s">
        <v>42385</v>
      </c>
      <c r="U8910" t="s">
        <v>50095</v>
      </c>
      <c r="W8910" t="s">
        <v>38311</v>
      </c>
      <c r="X8910" t="s">
        <v>40447</v>
      </c>
    </row>
    <row r="8911" spans="1:24">
      <c r="A8911">
        <f>HYPERLINK("https://www.philgeps.gov.ph/GEPSNONPILOT/Tender/SplashBidNoticeAbstractUI.aspx?menuIndex=3&amp;refID=7033092&amp;Result=3","7033092")</f>
        <v>0</v>
      </c>
      <c r="B8911" t="s">
        <v>2032</v>
      </c>
      <c r="C8911" t="s">
        <v>11576</v>
      </c>
      <c r="D8911" t="s">
        <v>16190</v>
      </c>
      <c r="E8911" t="s">
        <v>24078</v>
      </c>
      <c r="F8911" t="s">
        <v>28198</v>
      </c>
      <c r="G8911" t="s">
        <v>28205</v>
      </c>
      <c r="H8911" t="s">
        <v>28215</v>
      </c>
      <c r="I8911" t="s">
        <v>28222</v>
      </c>
      <c r="J8911" t="s">
        <v>29316</v>
      </c>
      <c r="K8911" t="s">
        <v>36701</v>
      </c>
      <c r="M8911" t="s">
        <v>39174</v>
      </c>
      <c r="N8911" t="s">
        <v>40436</v>
      </c>
      <c r="O8911" t="s">
        <v>40437</v>
      </c>
      <c r="P8911">
        <v>0</v>
      </c>
      <c r="Q8911">
        <v>1</v>
      </c>
      <c r="R8911" t="s">
        <v>40446</v>
      </c>
      <c r="S8911" t="s">
        <v>40783</v>
      </c>
      <c r="T8911" t="s">
        <v>42194</v>
      </c>
      <c r="U8911" t="s">
        <v>50096</v>
      </c>
      <c r="W8911" t="s">
        <v>39174</v>
      </c>
      <c r="X8911" t="s">
        <v>40447</v>
      </c>
    </row>
    <row r="8912" spans="1:24">
      <c r="A8912">
        <f>HYPERLINK("https://www.philgeps.gov.ph/GEPSNONPILOT/Tender/SplashBidNoticeAbstractUI.aspx?menuIndex=3&amp;refID=7033025&amp;Result=3","7033025")</f>
        <v>0</v>
      </c>
      <c r="B8912" t="s">
        <v>1488</v>
      </c>
      <c r="C8912" t="s">
        <v>11577</v>
      </c>
      <c r="D8912" t="s">
        <v>16226</v>
      </c>
      <c r="E8912" t="s">
        <v>24079</v>
      </c>
      <c r="F8912" t="s">
        <v>28198</v>
      </c>
      <c r="G8912" t="s">
        <v>28205</v>
      </c>
      <c r="H8912" t="s">
        <v>28215</v>
      </c>
      <c r="I8912" t="s">
        <v>28222</v>
      </c>
      <c r="J8912" t="s">
        <v>28363</v>
      </c>
      <c r="K8912" t="s">
        <v>36701</v>
      </c>
      <c r="M8912" t="s">
        <v>38562</v>
      </c>
      <c r="N8912" t="s">
        <v>40436</v>
      </c>
      <c r="O8912" t="s">
        <v>40437</v>
      </c>
      <c r="P8912">
        <v>0</v>
      </c>
      <c r="Q8912">
        <v>3</v>
      </c>
      <c r="R8912" t="s">
        <v>40446</v>
      </c>
      <c r="S8912" t="s">
        <v>40783</v>
      </c>
      <c r="T8912" t="s">
        <v>42390</v>
      </c>
      <c r="U8912" t="s">
        <v>50097</v>
      </c>
      <c r="W8912" t="s">
        <v>38562</v>
      </c>
      <c r="X8912" t="s">
        <v>40447</v>
      </c>
    </row>
    <row r="8913" spans="1:24">
      <c r="A8913">
        <f>HYPERLINK("https://www.philgeps.gov.ph/GEPSNONPILOT/Tender/SplashBidNoticeAbstractUI.aspx?menuIndex=3&amp;refID=7033063&amp;Result=3","7033063")</f>
        <v>0</v>
      </c>
      <c r="B8913" t="s">
        <v>1688</v>
      </c>
      <c r="C8913" t="s">
        <v>11578</v>
      </c>
      <c r="D8913" t="s">
        <v>16265</v>
      </c>
      <c r="E8913" t="s">
        <v>22994</v>
      </c>
      <c r="F8913" t="s">
        <v>28198</v>
      </c>
      <c r="G8913" t="s">
        <v>28205</v>
      </c>
      <c r="H8913" t="s">
        <v>28214</v>
      </c>
      <c r="I8913" t="s">
        <v>3797</v>
      </c>
      <c r="J8913" t="s">
        <v>28363</v>
      </c>
      <c r="K8913" t="s">
        <v>36789</v>
      </c>
      <c r="M8913" t="s">
        <v>38785</v>
      </c>
      <c r="N8913" t="s">
        <v>40436</v>
      </c>
      <c r="O8913" t="s">
        <v>40437</v>
      </c>
      <c r="P8913">
        <v>0</v>
      </c>
      <c r="Q8913">
        <v>0</v>
      </c>
      <c r="R8913" t="s">
        <v>40446</v>
      </c>
      <c r="S8913" t="s">
        <v>40783</v>
      </c>
      <c r="T8913" t="s">
        <v>42279</v>
      </c>
      <c r="U8913" t="s">
        <v>50098</v>
      </c>
      <c r="W8913" t="s">
        <v>38785</v>
      </c>
      <c r="X8913" t="s">
        <v>40447</v>
      </c>
    </row>
    <row r="8914" spans="1:24">
      <c r="A8914">
        <f>HYPERLINK("https://www.philgeps.gov.ph/GEPSNONPILOT/Tender/SplashBidNoticeAbstractUI.aspx?menuIndex=3&amp;refID=7033156&amp;Result=3","7033156")</f>
        <v>0</v>
      </c>
      <c r="B8914" t="s">
        <v>423</v>
      </c>
      <c r="C8914" t="s">
        <v>11579</v>
      </c>
      <c r="D8914" t="s">
        <v>16188</v>
      </c>
      <c r="E8914" t="s">
        <v>17462</v>
      </c>
      <c r="F8914" t="s">
        <v>28198</v>
      </c>
      <c r="G8914" t="s">
        <v>28205</v>
      </c>
      <c r="H8914" t="s">
        <v>28214</v>
      </c>
      <c r="I8914" t="s">
        <v>3797</v>
      </c>
      <c r="J8914" t="s">
        <v>29369</v>
      </c>
      <c r="K8914" t="s">
        <v>36701</v>
      </c>
      <c r="M8914" t="s">
        <v>37405</v>
      </c>
      <c r="N8914" t="s">
        <v>40436</v>
      </c>
      <c r="O8914" t="s">
        <v>40437</v>
      </c>
      <c r="P8914">
        <v>0</v>
      </c>
      <c r="Q8914">
        <v>0</v>
      </c>
      <c r="R8914" t="s">
        <v>40446</v>
      </c>
      <c r="S8914" t="s">
        <v>40783</v>
      </c>
      <c r="T8914" t="s">
        <v>42160</v>
      </c>
      <c r="U8914" t="s">
        <v>50099</v>
      </c>
      <c r="W8914" t="s">
        <v>37405</v>
      </c>
      <c r="X8914" t="s">
        <v>40447</v>
      </c>
    </row>
    <row r="8915" spans="1:24">
      <c r="A8915">
        <f>HYPERLINK("https://www.philgeps.gov.ph/GEPSNONPILOT/Tender/SplashBidNoticeAbstractUI.aspx?menuIndex=3&amp;refID=7033175&amp;Result=3","7033175")</f>
        <v>0</v>
      </c>
      <c r="B8915" t="s">
        <v>2405</v>
      </c>
      <c r="C8915" t="s">
        <v>11580</v>
      </c>
      <c r="D8915" t="s">
        <v>16198</v>
      </c>
      <c r="E8915" t="s">
        <v>24080</v>
      </c>
      <c r="F8915" t="s">
        <v>28198</v>
      </c>
      <c r="G8915" t="s">
        <v>28205</v>
      </c>
      <c r="H8915" t="s">
        <v>28215</v>
      </c>
      <c r="I8915" t="s">
        <v>28258</v>
      </c>
      <c r="J8915" t="s">
        <v>33917</v>
      </c>
      <c r="K8915" t="s">
        <v>36688</v>
      </c>
      <c r="L8915" t="s">
        <v>2405</v>
      </c>
      <c r="M8915" t="s">
        <v>39593</v>
      </c>
      <c r="N8915" t="s">
        <v>40436</v>
      </c>
      <c r="O8915" t="s">
        <v>40437</v>
      </c>
      <c r="P8915">
        <v>0</v>
      </c>
      <c r="Q8915">
        <v>2</v>
      </c>
      <c r="R8915" t="s">
        <v>40446</v>
      </c>
      <c r="S8915" t="s">
        <v>40783</v>
      </c>
      <c r="T8915" t="s">
        <v>42183</v>
      </c>
      <c r="U8915" t="s">
        <v>50100</v>
      </c>
      <c r="W8915" t="s">
        <v>39593</v>
      </c>
      <c r="X8915" t="s">
        <v>40447</v>
      </c>
    </row>
    <row r="8916" spans="1:24">
      <c r="A8916">
        <f>HYPERLINK("https://www.philgeps.gov.ph/GEPSNONPILOT/Tender/SplashBidNoticeAbstractUI.aspx?menuIndex=3&amp;refID=7033053&amp;Result=3","7033053")</f>
        <v>0</v>
      </c>
      <c r="B8916" t="s">
        <v>2153</v>
      </c>
      <c r="C8916" t="s">
        <v>11581</v>
      </c>
      <c r="D8916" t="s">
        <v>16235</v>
      </c>
      <c r="E8916" t="s">
        <v>16909</v>
      </c>
      <c r="F8916" t="s">
        <v>28198</v>
      </c>
      <c r="G8916" t="s">
        <v>28205</v>
      </c>
      <c r="H8916" t="s">
        <v>28215</v>
      </c>
      <c r="I8916" t="s">
        <v>28275</v>
      </c>
      <c r="J8916" t="s">
        <v>28373</v>
      </c>
      <c r="K8916" t="s">
        <v>36701</v>
      </c>
      <c r="M8916" t="s">
        <v>39310</v>
      </c>
      <c r="N8916" t="s">
        <v>40436</v>
      </c>
      <c r="O8916" t="s">
        <v>40437</v>
      </c>
      <c r="P8916">
        <v>0</v>
      </c>
      <c r="Q8916">
        <v>0</v>
      </c>
      <c r="R8916" t="s">
        <v>40446</v>
      </c>
      <c r="S8916" t="s">
        <v>40783</v>
      </c>
      <c r="T8916" t="s">
        <v>42119</v>
      </c>
      <c r="U8916" t="s">
        <v>50101</v>
      </c>
      <c r="W8916" t="s">
        <v>39310</v>
      </c>
      <c r="X8916" t="s">
        <v>40447</v>
      </c>
    </row>
    <row r="8917" spans="1:24">
      <c r="A8917">
        <f>HYPERLINK("https://www.philgeps.gov.ph/GEPSNONPILOT/Tender/SplashBidNoticeAbstractUI.aspx?menuIndex=3&amp;refID=7033165&amp;Result=3","7033165")</f>
        <v>0</v>
      </c>
      <c r="B8917" t="s">
        <v>2557</v>
      </c>
      <c r="C8917" t="s">
        <v>10866</v>
      </c>
      <c r="E8917" t="s">
        <v>24081</v>
      </c>
      <c r="F8917" t="s">
        <v>28198</v>
      </c>
      <c r="G8917" t="s">
        <v>28205</v>
      </c>
      <c r="H8917" t="s">
        <v>28215</v>
      </c>
      <c r="I8917" t="s">
        <v>3797</v>
      </c>
      <c r="J8917" t="s">
        <v>33918</v>
      </c>
      <c r="K8917" t="s">
        <v>36689</v>
      </c>
      <c r="M8917" t="s">
        <v>39770</v>
      </c>
      <c r="N8917" t="s">
        <v>40436</v>
      </c>
      <c r="O8917" t="s">
        <v>40437</v>
      </c>
      <c r="P8917">
        <v>0</v>
      </c>
      <c r="Q8917">
        <v>0</v>
      </c>
      <c r="R8917" t="s">
        <v>40446</v>
      </c>
      <c r="S8917" t="s">
        <v>40783</v>
      </c>
      <c r="T8917" t="s">
        <v>42279</v>
      </c>
      <c r="U8917" t="s">
        <v>50102</v>
      </c>
      <c r="W8917" t="s">
        <v>39770</v>
      </c>
      <c r="X8917" t="s">
        <v>40447</v>
      </c>
    </row>
    <row r="8918" spans="1:24">
      <c r="A8918">
        <f>HYPERLINK("https://www.philgeps.gov.ph/GEPSNONPILOT/Tender/SplashBidNoticeAbstractUI.aspx?menuIndex=3&amp;refID=7033091&amp;Result=3","7033091")</f>
        <v>0</v>
      </c>
      <c r="B8918" t="s">
        <v>2558</v>
      </c>
      <c r="C8918" t="s">
        <v>11582</v>
      </c>
      <c r="E8918" t="s">
        <v>24082</v>
      </c>
      <c r="F8918" t="s">
        <v>28198</v>
      </c>
      <c r="G8918" t="s">
        <v>28205</v>
      </c>
      <c r="H8918" t="s">
        <v>28215</v>
      </c>
      <c r="I8918" t="s">
        <v>7310</v>
      </c>
      <c r="J8918" t="s">
        <v>33919</v>
      </c>
      <c r="K8918" t="s">
        <v>36694</v>
      </c>
      <c r="M8918" t="s">
        <v>39771</v>
      </c>
      <c r="N8918" t="s">
        <v>40436</v>
      </c>
      <c r="O8918" t="s">
        <v>40437</v>
      </c>
      <c r="P8918">
        <v>0</v>
      </c>
      <c r="Q8918">
        <v>9</v>
      </c>
      <c r="R8918" t="s">
        <v>40446</v>
      </c>
      <c r="S8918" t="s">
        <v>40783</v>
      </c>
      <c r="T8918" t="s">
        <v>42234</v>
      </c>
      <c r="U8918" t="s">
        <v>50103</v>
      </c>
      <c r="V8918" t="s">
        <v>54739</v>
      </c>
      <c r="W8918" t="s">
        <v>39771</v>
      </c>
      <c r="X8918" t="s">
        <v>40447</v>
      </c>
    </row>
    <row r="8919" spans="1:24">
      <c r="A8919">
        <f>HYPERLINK("https://www.philgeps.gov.ph/GEPSNONPILOT/Tender/SplashBidNoticeAbstractUI.aspx?menuIndex=3&amp;refID=7033170&amp;Result=3","7033170")</f>
        <v>0</v>
      </c>
      <c r="B8919" t="s">
        <v>461</v>
      </c>
      <c r="C8919" t="s">
        <v>11583</v>
      </c>
      <c r="D8919" t="s">
        <v>16208</v>
      </c>
      <c r="E8919" t="s">
        <v>24083</v>
      </c>
      <c r="F8919" t="s">
        <v>28198</v>
      </c>
      <c r="G8919" t="s">
        <v>28205</v>
      </c>
      <c r="H8919" t="s">
        <v>28215</v>
      </c>
      <c r="I8919" t="s">
        <v>28243</v>
      </c>
      <c r="J8919" t="s">
        <v>28363</v>
      </c>
      <c r="K8919" t="s">
        <v>36689</v>
      </c>
      <c r="M8919" t="s">
        <v>37445</v>
      </c>
      <c r="N8919" t="s">
        <v>40436</v>
      </c>
      <c r="O8919" t="s">
        <v>40437</v>
      </c>
      <c r="P8919">
        <v>0</v>
      </c>
      <c r="Q8919">
        <v>2</v>
      </c>
      <c r="R8919" t="s">
        <v>40446</v>
      </c>
      <c r="S8919" t="s">
        <v>40783</v>
      </c>
      <c r="T8919" t="s">
        <v>42319</v>
      </c>
      <c r="U8919" t="s">
        <v>50104</v>
      </c>
      <c r="V8919" t="s">
        <v>54740</v>
      </c>
      <c r="W8919" t="s">
        <v>37445</v>
      </c>
      <c r="X8919" t="s">
        <v>40447</v>
      </c>
    </row>
    <row r="8920" spans="1:24">
      <c r="A8920">
        <f>HYPERLINK("https://www.philgeps.gov.ph/GEPSNONPILOT/Tender/SplashBidNoticeAbstractUI.aspx?menuIndex=3&amp;refID=7033106&amp;Result=3","7033106")</f>
        <v>0</v>
      </c>
      <c r="B8920" t="s">
        <v>2386</v>
      </c>
      <c r="C8920" t="s">
        <v>11584</v>
      </c>
      <c r="D8920" t="s">
        <v>16262</v>
      </c>
      <c r="E8920" t="s">
        <v>24084</v>
      </c>
      <c r="F8920" t="s">
        <v>28198</v>
      </c>
      <c r="G8920" t="s">
        <v>28205</v>
      </c>
      <c r="H8920" t="s">
        <v>28214</v>
      </c>
      <c r="I8920" t="s">
        <v>3797</v>
      </c>
      <c r="J8920" t="s">
        <v>33920</v>
      </c>
      <c r="K8920" t="s">
        <v>36692</v>
      </c>
      <c r="M8920" t="s">
        <v>39571</v>
      </c>
      <c r="N8920" t="s">
        <v>40436</v>
      </c>
      <c r="O8920" t="s">
        <v>40437</v>
      </c>
      <c r="P8920">
        <v>0</v>
      </c>
      <c r="Q8920">
        <v>1</v>
      </c>
      <c r="R8920" t="s">
        <v>40446</v>
      </c>
      <c r="S8920" t="s">
        <v>40783</v>
      </c>
      <c r="T8920" t="s">
        <v>42346</v>
      </c>
      <c r="U8920" t="s">
        <v>50105</v>
      </c>
      <c r="V8920" t="s">
        <v>54741</v>
      </c>
      <c r="W8920" t="s">
        <v>39571</v>
      </c>
      <c r="X8920" t="s">
        <v>40447</v>
      </c>
    </row>
    <row r="8921" spans="1:24">
      <c r="A8921">
        <f>HYPERLINK("https://www.philgeps.gov.ph/GEPSNONPILOT/Tender/SplashBidNoticeAbstractUI.aspx?menuIndex=3&amp;refID=7033133&amp;Result=3","7033133")</f>
        <v>0</v>
      </c>
      <c r="B8921" t="s">
        <v>2559</v>
      </c>
      <c r="C8921" t="s">
        <v>11585</v>
      </c>
      <c r="D8921" t="s">
        <v>16246</v>
      </c>
      <c r="E8921" t="s">
        <v>24085</v>
      </c>
      <c r="F8921" t="s">
        <v>28198</v>
      </c>
      <c r="G8921" t="s">
        <v>28205</v>
      </c>
      <c r="H8921" t="s">
        <v>28214</v>
      </c>
      <c r="I8921" t="s">
        <v>3797</v>
      </c>
      <c r="J8921" t="s">
        <v>28699</v>
      </c>
      <c r="K8921" t="s">
        <v>36692</v>
      </c>
      <c r="M8921" t="s">
        <v>39772</v>
      </c>
      <c r="N8921" t="s">
        <v>40436</v>
      </c>
      <c r="O8921" t="s">
        <v>40437</v>
      </c>
      <c r="P8921">
        <v>0</v>
      </c>
      <c r="Q8921">
        <v>0</v>
      </c>
      <c r="R8921" t="s">
        <v>40446</v>
      </c>
      <c r="S8921" t="s">
        <v>40783</v>
      </c>
      <c r="T8921" t="s">
        <v>42152</v>
      </c>
      <c r="U8921" t="s">
        <v>50106</v>
      </c>
      <c r="W8921" t="s">
        <v>39772</v>
      </c>
      <c r="X8921" t="s">
        <v>40447</v>
      </c>
    </row>
    <row r="8922" spans="1:24">
      <c r="A8922">
        <f>HYPERLINK("https://www.philgeps.gov.ph/GEPSNONPILOT/Tender/SplashBidNoticeAbstractUI.aspx?menuIndex=3&amp;refID=7033105&amp;Result=3","7033105")</f>
        <v>0</v>
      </c>
      <c r="B8922" t="s">
        <v>854</v>
      </c>
      <c r="C8922" t="s">
        <v>11586</v>
      </c>
      <c r="D8922" t="s">
        <v>16252</v>
      </c>
      <c r="E8922" t="s">
        <v>24086</v>
      </c>
      <c r="F8922" t="s">
        <v>28198</v>
      </c>
      <c r="G8922" t="s">
        <v>28206</v>
      </c>
      <c r="H8922" t="s">
        <v>28215</v>
      </c>
      <c r="I8922" t="s">
        <v>5100</v>
      </c>
      <c r="J8922" t="s">
        <v>33921</v>
      </c>
      <c r="K8922" t="s">
        <v>36706</v>
      </c>
      <c r="M8922" t="s">
        <v>37866</v>
      </c>
      <c r="N8922" t="s">
        <v>40436</v>
      </c>
      <c r="O8922" t="s">
        <v>40437</v>
      </c>
      <c r="P8922">
        <v>0</v>
      </c>
      <c r="Q8922">
        <v>0</v>
      </c>
      <c r="R8922" t="s">
        <v>40446</v>
      </c>
      <c r="S8922" t="s">
        <v>40783</v>
      </c>
      <c r="T8922" t="s">
        <v>42317</v>
      </c>
      <c r="U8922" t="s">
        <v>50107</v>
      </c>
      <c r="W8922" t="s">
        <v>37866</v>
      </c>
      <c r="X8922" t="s">
        <v>40447</v>
      </c>
    </row>
    <row r="8923" spans="1:24">
      <c r="A8923">
        <f>HYPERLINK("https://www.philgeps.gov.ph/GEPSNONPILOT/Tender/SplashBidNoticeAbstractUI.aspx?menuIndex=3&amp;refID=7033111&amp;Result=3","7033111")</f>
        <v>0</v>
      </c>
      <c r="B8923" t="s">
        <v>848</v>
      </c>
      <c r="C8923" t="s">
        <v>11587</v>
      </c>
      <c r="D8923" t="s">
        <v>16219</v>
      </c>
      <c r="E8923" t="s">
        <v>24087</v>
      </c>
      <c r="F8923" t="s">
        <v>28198</v>
      </c>
      <c r="G8923" t="s">
        <v>28205</v>
      </c>
      <c r="H8923" t="s">
        <v>28214</v>
      </c>
      <c r="I8923" t="s">
        <v>3797</v>
      </c>
      <c r="J8923" t="s">
        <v>33922</v>
      </c>
      <c r="K8923" t="s">
        <v>36689</v>
      </c>
      <c r="M8923" t="s">
        <v>38541</v>
      </c>
      <c r="N8923" t="s">
        <v>40436</v>
      </c>
      <c r="O8923" t="s">
        <v>40437</v>
      </c>
      <c r="P8923">
        <v>0</v>
      </c>
      <c r="Q8923">
        <v>0</v>
      </c>
      <c r="R8923" t="s">
        <v>40446</v>
      </c>
      <c r="S8923" t="s">
        <v>40783</v>
      </c>
      <c r="T8923" t="s">
        <v>42234</v>
      </c>
      <c r="U8923" t="s">
        <v>50108</v>
      </c>
      <c r="W8923" t="s">
        <v>38541</v>
      </c>
      <c r="X8923" t="s">
        <v>40447</v>
      </c>
    </row>
    <row r="8924" spans="1:24">
      <c r="A8924">
        <f>HYPERLINK("https://www.philgeps.gov.ph/GEPSNONPILOT/Tender/SplashBidNoticeAbstractUI.aspx?menuIndex=3&amp;refID=7033183&amp;Result=3","7033183")</f>
        <v>0</v>
      </c>
      <c r="B8924" t="s">
        <v>2560</v>
      </c>
      <c r="C8924" t="s">
        <v>11588</v>
      </c>
      <c r="D8924" t="s">
        <v>16210</v>
      </c>
      <c r="E8924" t="s">
        <v>24088</v>
      </c>
      <c r="F8924" t="s">
        <v>28198</v>
      </c>
      <c r="G8924" t="s">
        <v>28205</v>
      </c>
      <c r="H8924" t="s">
        <v>28214</v>
      </c>
      <c r="I8924" t="s">
        <v>3797</v>
      </c>
      <c r="J8924" t="s">
        <v>33923</v>
      </c>
      <c r="K8924" t="s">
        <v>36692</v>
      </c>
      <c r="M8924" t="s">
        <v>39773</v>
      </c>
      <c r="N8924" t="s">
        <v>40436</v>
      </c>
      <c r="O8924" t="s">
        <v>40437</v>
      </c>
      <c r="Q8924">
        <v>57</v>
      </c>
      <c r="R8924" t="s">
        <v>40446</v>
      </c>
      <c r="S8924" t="s">
        <v>40805</v>
      </c>
      <c r="T8924" t="s">
        <v>42480</v>
      </c>
      <c r="U8924" t="s">
        <v>50109</v>
      </c>
      <c r="V8924" t="s">
        <v>54742</v>
      </c>
      <c r="W8924" t="s">
        <v>39773</v>
      </c>
      <c r="X8924" t="s">
        <v>40447</v>
      </c>
    </row>
    <row r="8925" spans="1:24">
      <c r="A8925">
        <f>HYPERLINK("https://www.philgeps.gov.ph/GEPSNONPILOT/Tender/SplashBidNoticeAbstractUI.aspx?menuIndex=3&amp;refID=7033109&amp;Result=3","7033109")</f>
        <v>0</v>
      </c>
      <c r="B8925" t="s">
        <v>461</v>
      </c>
      <c r="C8925" t="s">
        <v>5837</v>
      </c>
      <c r="D8925" t="s">
        <v>16208</v>
      </c>
      <c r="E8925" t="s">
        <v>24089</v>
      </c>
      <c r="F8925" t="s">
        <v>28198</v>
      </c>
      <c r="G8925" t="s">
        <v>28205</v>
      </c>
      <c r="H8925" t="s">
        <v>28215</v>
      </c>
      <c r="I8925" t="s">
        <v>28222</v>
      </c>
      <c r="J8925" t="s">
        <v>31789</v>
      </c>
      <c r="K8925" t="s">
        <v>36689</v>
      </c>
      <c r="M8925" t="s">
        <v>37445</v>
      </c>
      <c r="N8925" t="s">
        <v>40436</v>
      </c>
      <c r="O8925" t="s">
        <v>40437</v>
      </c>
      <c r="P8925">
        <v>0</v>
      </c>
      <c r="Q8925">
        <v>4</v>
      </c>
      <c r="R8925" t="s">
        <v>40446</v>
      </c>
      <c r="S8925" t="s">
        <v>40783</v>
      </c>
      <c r="T8925" t="s">
        <v>42319</v>
      </c>
      <c r="U8925" t="s">
        <v>50110</v>
      </c>
      <c r="V8925" t="s">
        <v>54743</v>
      </c>
      <c r="W8925" t="s">
        <v>37445</v>
      </c>
      <c r="X8925" t="s">
        <v>40447</v>
      </c>
    </row>
    <row r="8926" spans="1:24">
      <c r="A8926">
        <f>HYPERLINK("https://www.philgeps.gov.ph/GEPSNONPILOT/Tender/SplashBidNoticeAbstractUI.aspx?menuIndex=3&amp;refID=7033240&amp;Result=3","7033240")</f>
        <v>0</v>
      </c>
      <c r="B8926" t="s">
        <v>397</v>
      </c>
      <c r="C8926" t="s">
        <v>11589</v>
      </c>
      <c r="D8926" t="s">
        <v>16204</v>
      </c>
      <c r="E8926" t="s">
        <v>24090</v>
      </c>
      <c r="F8926" t="s">
        <v>28198</v>
      </c>
      <c r="G8926" t="s">
        <v>28205</v>
      </c>
      <c r="H8926" t="s">
        <v>28214</v>
      </c>
      <c r="I8926" t="s">
        <v>3797</v>
      </c>
      <c r="J8926" t="s">
        <v>33924</v>
      </c>
      <c r="K8926" t="s">
        <v>36689</v>
      </c>
      <c r="M8926" t="s">
        <v>37377</v>
      </c>
      <c r="N8926" t="s">
        <v>40436</v>
      </c>
      <c r="O8926" t="s">
        <v>40437</v>
      </c>
      <c r="P8926">
        <v>0</v>
      </c>
      <c r="Q8926">
        <v>71</v>
      </c>
      <c r="R8926" t="s">
        <v>40446</v>
      </c>
      <c r="S8926" t="s">
        <v>40783</v>
      </c>
      <c r="T8926" t="s">
        <v>42233</v>
      </c>
      <c r="U8926" t="s">
        <v>50111</v>
      </c>
      <c r="W8926" t="s">
        <v>37377</v>
      </c>
      <c r="X8926" t="s">
        <v>40447</v>
      </c>
    </row>
    <row r="8927" spans="1:24">
      <c r="A8927">
        <f>HYPERLINK("https://www.philgeps.gov.ph/GEPSNONPILOT/Tender/SplashBidNoticeAbstractUI.aspx?menuIndex=3&amp;refID=7033179&amp;Result=3","7033179")</f>
        <v>0</v>
      </c>
      <c r="B8927" t="s">
        <v>685</v>
      </c>
      <c r="C8927" t="s">
        <v>11590</v>
      </c>
      <c r="D8927" t="s">
        <v>16199</v>
      </c>
      <c r="E8927" t="s">
        <v>24091</v>
      </c>
      <c r="F8927" t="s">
        <v>28198</v>
      </c>
      <c r="G8927" t="s">
        <v>28205</v>
      </c>
      <c r="H8927" t="s">
        <v>28214</v>
      </c>
      <c r="I8927" t="s">
        <v>3797</v>
      </c>
      <c r="J8927" t="s">
        <v>28379</v>
      </c>
      <c r="K8927" t="s">
        <v>36803</v>
      </c>
      <c r="M8927" t="s">
        <v>39774</v>
      </c>
      <c r="N8927" t="s">
        <v>40436</v>
      </c>
      <c r="O8927" t="s">
        <v>40437</v>
      </c>
      <c r="P8927">
        <v>0</v>
      </c>
      <c r="Q8927">
        <v>0</v>
      </c>
      <c r="R8927" t="s">
        <v>40446</v>
      </c>
      <c r="S8927" t="s">
        <v>40783</v>
      </c>
      <c r="T8927" t="s">
        <v>42279</v>
      </c>
      <c r="U8927" t="s">
        <v>50112</v>
      </c>
      <c r="W8927" t="s">
        <v>39774</v>
      </c>
      <c r="X8927" t="s">
        <v>40447</v>
      </c>
    </row>
    <row r="8928" spans="1:24">
      <c r="A8928">
        <f>HYPERLINK("https://www.philgeps.gov.ph/GEPSNONPILOT/Tender/SplashBidNoticeAbstractUI.aspx?menuIndex=3&amp;refID=7033178&amp;Result=3","7033178")</f>
        <v>0</v>
      </c>
      <c r="B8928" t="s">
        <v>2419</v>
      </c>
      <c r="C8928" t="s">
        <v>11591</v>
      </c>
      <c r="D8928" t="s">
        <v>16268</v>
      </c>
      <c r="E8928" t="s">
        <v>24092</v>
      </c>
      <c r="F8928" t="s">
        <v>28200</v>
      </c>
      <c r="G8928" t="s">
        <v>28205</v>
      </c>
      <c r="H8928" t="s">
        <v>28215</v>
      </c>
      <c r="I8928" t="s">
        <v>28231</v>
      </c>
      <c r="J8928" t="s">
        <v>33925</v>
      </c>
      <c r="K8928" t="s">
        <v>36688</v>
      </c>
      <c r="M8928" t="s">
        <v>39607</v>
      </c>
      <c r="N8928" t="s">
        <v>40436</v>
      </c>
      <c r="O8928" t="s">
        <v>40437</v>
      </c>
      <c r="P8928">
        <v>0</v>
      </c>
      <c r="Q8928">
        <v>3</v>
      </c>
      <c r="R8928" t="s">
        <v>40446</v>
      </c>
      <c r="S8928" t="s">
        <v>40783</v>
      </c>
      <c r="T8928" t="s">
        <v>42145</v>
      </c>
      <c r="U8928" t="s">
        <v>42746</v>
      </c>
      <c r="W8928" t="s">
        <v>39607</v>
      </c>
      <c r="X8928" t="s">
        <v>40447</v>
      </c>
    </row>
    <row r="8929" spans="1:24">
      <c r="A8929">
        <f>HYPERLINK("https://www.philgeps.gov.ph/GEPSNONPILOT/Tender/SplashBidNoticeAbstractUI.aspx?menuIndex=3&amp;refID=7033245&amp;Result=3","7033245")</f>
        <v>0</v>
      </c>
      <c r="B8929" t="s">
        <v>2561</v>
      </c>
      <c r="C8929" t="s">
        <v>11592</v>
      </c>
      <c r="D8929" t="s">
        <v>16235</v>
      </c>
      <c r="E8929" t="s">
        <v>17417</v>
      </c>
      <c r="F8929" t="s">
        <v>28198</v>
      </c>
      <c r="G8929" t="s">
        <v>28205</v>
      </c>
      <c r="H8929" t="s">
        <v>28214</v>
      </c>
      <c r="I8929" t="s">
        <v>3797</v>
      </c>
      <c r="J8929" t="s">
        <v>33926</v>
      </c>
      <c r="K8929" t="s">
        <v>36715</v>
      </c>
      <c r="M8929" t="s">
        <v>39775</v>
      </c>
      <c r="N8929" t="s">
        <v>40436</v>
      </c>
      <c r="O8929" t="s">
        <v>40437</v>
      </c>
      <c r="P8929">
        <v>0</v>
      </c>
      <c r="Q8929">
        <v>0</v>
      </c>
      <c r="R8929" t="s">
        <v>40446</v>
      </c>
      <c r="S8929" t="s">
        <v>40783</v>
      </c>
      <c r="T8929" t="s">
        <v>42119</v>
      </c>
      <c r="U8929" t="s">
        <v>50113</v>
      </c>
      <c r="W8929" t="s">
        <v>39775</v>
      </c>
      <c r="X8929" t="s">
        <v>40447</v>
      </c>
    </row>
    <row r="8930" spans="1:24">
      <c r="A8930">
        <f>HYPERLINK("https://www.philgeps.gov.ph/GEPSNONPILOT/Tender/SplashBidNoticeAbstractUI.aspx?menuIndex=3&amp;refID=7033207&amp;Result=3","7033207")</f>
        <v>0</v>
      </c>
      <c r="B8930" t="s">
        <v>2069</v>
      </c>
      <c r="C8930" t="s">
        <v>11593</v>
      </c>
      <c r="D8930" t="s">
        <v>16197</v>
      </c>
      <c r="E8930" t="s">
        <v>24093</v>
      </c>
      <c r="F8930" t="s">
        <v>28198</v>
      </c>
      <c r="G8930" t="s">
        <v>28205</v>
      </c>
      <c r="H8930" t="s">
        <v>28215</v>
      </c>
      <c r="I8930" t="s">
        <v>28224</v>
      </c>
      <c r="J8930" t="s">
        <v>28393</v>
      </c>
      <c r="K8930" t="s">
        <v>36707</v>
      </c>
      <c r="M8930" t="s">
        <v>39218</v>
      </c>
      <c r="N8930" t="s">
        <v>40436</v>
      </c>
      <c r="O8930" t="s">
        <v>40437</v>
      </c>
      <c r="P8930">
        <v>0</v>
      </c>
      <c r="Q8930">
        <v>2</v>
      </c>
      <c r="R8930" t="s">
        <v>40446</v>
      </c>
      <c r="S8930" t="s">
        <v>40783</v>
      </c>
      <c r="T8930" t="s">
        <v>42158</v>
      </c>
      <c r="U8930" t="s">
        <v>50114</v>
      </c>
      <c r="V8930" t="s">
        <v>54744</v>
      </c>
      <c r="W8930" t="s">
        <v>39218</v>
      </c>
      <c r="X8930" t="s">
        <v>40447</v>
      </c>
    </row>
    <row r="8931" spans="1:24">
      <c r="A8931">
        <f>HYPERLINK("https://www.philgeps.gov.ph/GEPSNONPILOT/Tender/SplashBidNoticeAbstractUI.aspx?menuIndex=3&amp;refID=7033205&amp;Result=3","7033205")</f>
        <v>0</v>
      </c>
      <c r="B8931" t="s">
        <v>1214</v>
      </c>
      <c r="C8931" t="s">
        <v>11594</v>
      </c>
      <c r="D8931" t="s">
        <v>16187</v>
      </c>
      <c r="E8931" t="s">
        <v>24094</v>
      </c>
      <c r="F8931" t="s">
        <v>28198</v>
      </c>
      <c r="G8931" t="s">
        <v>28205</v>
      </c>
      <c r="H8931" t="s">
        <v>28214</v>
      </c>
      <c r="I8931" t="s">
        <v>3797</v>
      </c>
      <c r="J8931" t="s">
        <v>33927</v>
      </c>
      <c r="K8931" t="s">
        <v>36715</v>
      </c>
      <c r="M8931" t="s">
        <v>38259</v>
      </c>
      <c r="N8931" t="s">
        <v>40436</v>
      </c>
      <c r="O8931" t="s">
        <v>40437</v>
      </c>
      <c r="P8931">
        <v>0</v>
      </c>
      <c r="Q8931">
        <v>0</v>
      </c>
      <c r="R8931" t="s">
        <v>40446</v>
      </c>
      <c r="S8931" t="s">
        <v>40783</v>
      </c>
      <c r="T8931" t="s">
        <v>42175</v>
      </c>
      <c r="U8931" t="s">
        <v>50115</v>
      </c>
      <c r="W8931" t="s">
        <v>38259</v>
      </c>
      <c r="X8931" t="s">
        <v>40447</v>
      </c>
    </row>
    <row r="8932" spans="1:24">
      <c r="A8932">
        <f>HYPERLINK("https://www.philgeps.gov.ph/GEPSNONPILOT/Tender/SplashBidNoticeAbstractUI.aspx?menuIndex=3&amp;refID=7033191&amp;Result=3","7033191")</f>
        <v>0</v>
      </c>
      <c r="B8932" t="s">
        <v>1030</v>
      </c>
      <c r="C8932" t="s">
        <v>11595</v>
      </c>
      <c r="D8932" t="s">
        <v>16230</v>
      </c>
      <c r="E8932" t="s">
        <v>24095</v>
      </c>
      <c r="F8932" t="s">
        <v>28198</v>
      </c>
      <c r="G8932" t="s">
        <v>28205</v>
      </c>
      <c r="H8932" t="s">
        <v>28215</v>
      </c>
      <c r="I8932" t="s">
        <v>28228</v>
      </c>
      <c r="J8932" t="s">
        <v>33928</v>
      </c>
      <c r="K8932" t="s">
        <v>36690</v>
      </c>
      <c r="M8932" t="s">
        <v>38062</v>
      </c>
      <c r="N8932" t="s">
        <v>40436</v>
      </c>
      <c r="O8932" t="s">
        <v>40437</v>
      </c>
      <c r="P8932">
        <v>0</v>
      </c>
      <c r="Q8932">
        <v>2</v>
      </c>
      <c r="R8932" t="s">
        <v>40446</v>
      </c>
      <c r="S8932" t="s">
        <v>40783</v>
      </c>
      <c r="T8932" t="s">
        <v>42234</v>
      </c>
      <c r="U8932" t="s">
        <v>50116</v>
      </c>
      <c r="W8932" t="s">
        <v>38062</v>
      </c>
      <c r="X8932" t="s">
        <v>40447</v>
      </c>
    </row>
    <row r="8933" spans="1:24">
      <c r="A8933">
        <f>HYPERLINK("https://www.philgeps.gov.ph/GEPSNONPILOT/Tender/SplashBidNoticeAbstractUI.aspx?menuIndex=3&amp;refID=7033217&amp;Result=3","7033217")</f>
        <v>0</v>
      </c>
      <c r="B8933" t="s">
        <v>752</v>
      </c>
      <c r="C8933" t="s">
        <v>11596</v>
      </c>
      <c r="D8933" t="s">
        <v>16216</v>
      </c>
      <c r="E8933" t="s">
        <v>24096</v>
      </c>
      <c r="F8933" t="s">
        <v>28198</v>
      </c>
      <c r="G8933" t="s">
        <v>28205</v>
      </c>
      <c r="H8933" t="s">
        <v>28215</v>
      </c>
      <c r="I8933" t="s">
        <v>5100</v>
      </c>
      <c r="J8933" t="s">
        <v>33929</v>
      </c>
      <c r="K8933" t="s">
        <v>36706</v>
      </c>
      <c r="M8933" t="s">
        <v>37755</v>
      </c>
      <c r="N8933" t="s">
        <v>40436</v>
      </c>
      <c r="O8933" t="s">
        <v>40437</v>
      </c>
      <c r="P8933">
        <v>0</v>
      </c>
      <c r="Q8933">
        <v>1</v>
      </c>
      <c r="R8933" t="s">
        <v>40446</v>
      </c>
      <c r="S8933" t="s">
        <v>40783</v>
      </c>
      <c r="T8933" t="s">
        <v>42194</v>
      </c>
      <c r="U8933" t="s">
        <v>48491</v>
      </c>
      <c r="W8933" t="s">
        <v>37755</v>
      </c>
      <c r="X8933" t="s">
        <v>40447</v>
      </c>
    </row>
    <row r="8934" spans="1:24">
      <c r="A8934">
        <f>HYPERLINK("https://www.philgeps.gov.ph/GEPSNONPILOT/Tender/SplashBidNoticeAbstractUI.aspx?menuIndex=3&amp;refID=7033278&amp;Result=3","7033278")</f>
        <v>0</v>
      </c>
      <c r="B8934" t="s">
        <v>2042</v>
      </c>
      <c r="C8934" t="s">
        <v>11597</v>
      </c>
      <c r="D8934" t="s">
        <v>16260</v>
      </c>
      <c r="E8934" t="s">
        <v>24097</v>
      </c>
      <c r="F8934" t="s">
        <v>28198</v>
      </c>
      <c r="G8934" t="s">
        <v>28205</v>
      </c>
      <c r="H8934" t="s">
        <v>28215</v>
      </c>
      <c r="I8934" t="s">
        <v>28247</v>
      </c>
      <c r="J8934" t="s">
        <v>28629</v>
      </c>
      <c r="K8934" t="s">
        <v>36701</v>
      </c>
      <c r="M8934" t="s">
        <v>39186</v>
      </c>
      <c r="N8934" t="s">
        <v>40436</v>
      </c>
      <c r="O8934" t="s">
        <v>40437</v>
      </c>
      <c r="Q8934">
        <v>6</v>
      </c>
      <c r="R8934" t="s">
        <v>40446</v>
      </c>
      <c r="S8934" t="s">
        <v>40806</v>
      </c>
      <c r="T8934" t="s">
        <v>42132</v>
      </c>
      <c r="U8934" t="s">
        <v>50117</v>
      </c>
      <c r="W8934" t="s">
        <v>39186</v>
      </c>
      <c r="X8934" t="s">
        <v>40447</v>
      </c>
    </row>
    <row r="8935" spans="1:24">
      <c r="A8935">
        <f>HYPERLINK("https://www.philgeps.gov.ph/GEPSNONPILOT/Tender/SplashBidNoticeAbstractUI.aspx?menuIndex=3&amp;refID=7033198&amp;Result=3","7033198")</f>
        <v>0</v>
      </c>
      <c r="B8935" t="s">
        <v>2562</v>
      </c>
      <c r="C8935" t="s">
        <v>11598</v>
      </c>
      <c r="D8935" t="s">
        <v>16194</v>
      </c>
      <c r="E8935" t="s">
        <v>18229</v>
      </c>
      <c r="F8935" t="s">
        <v>28198</v>
      </c>
      <c r="G8935" t="s">
        <v>28207</v>
      </c>
      <c r="H8935" t="s">
        <v>28215</v>
      </c>
      <c r="I8935" t="s">
        <v>28227</v>
      </c>
      <c r="J8935" t="s">
        <v>28373</v>
      </c>
      <c r="K8935" t="s">
        <v>36701</v>
      </c>
      <c r="M8935" t="s">
        <v>39776</v>
      </c>
      <c r="N8935" t="s">
        <v>40436</v>
      </c>
      <c r="O8935" t="s">
        <v>40437</v>
      </c>
      <c r="P8935">
        <v>0</v>
      </c>
      <c r="Q8935">
        <v>3</v>
      </c>
      <c r="R8935" t="s">
        <v>40446</v>
      </c>
      <c r="S8935" t="s">
        <v>40783</v>
      </c>
      <c r="T8935" t="s">
        <v>42161</v>
      </c>
      <c r="U8935" t="s">
        <v>50118</v>
      </c>
      <c r="W8935" t="s">
        <v>39776</v>
      </c>
      <c r="X8935" t="s">
        <v>40447</v>
      </c>
    </row>
    <row r="8936" spans="1:24">
      <c r="A8936">
        <f>HYPERLINK("https://www.philgeps.gov.ph/GEPSNONPILOT/Tender/SplashBidNoticeAbstractUI.aspx?menuIndex=3&amp;refID=7033274&amp;Result=3","7033274")</f>
        <v>0</v>
      </c>
      <c r="B8936" t="s">
        <v>2217</v>
      </c>
      <c r="C8936" t="s">
        <v>11599</v>
      </c>
      <c r="D8936" t="s">
        <v>16199</v>
      </c>
      <c r="E8936" t="s">
        <v>24098</v>
      </c>
      <c r="F8936" t="s">
        <v>28198</v>
      </c>
      <c r="G8936" t="s">
        <v>28207</v>
      </c>
      <c r="H8936" t="s">
        <v>28215</v>
      </c>
      <c r="I8936" t="s">
        <v>28277</v>
      </c>
      <c r="J8936" t="s">
        <v>33930</v>
      </c>
      <c r="K8936" t="s">
        <v>36688</v>
      </c>
      <c r="L8936" t="s">
        <v>2217</v>
      </c>
      <c r="M8936" t="s">
        <v>39383</v>
      </c>
      <c r="N8936" t="s">
        <v>40436</v>
      </c>
      <c r="O8936" t="s">
        <v>40437</v>
      </c>
      <c r="P8936">
        <v>0</v>
      </c>
      <c r="Q8936">
        <v>0</v>
      </c>
      <c r="R8936" t="s">
        <v>40446</v>
      </c>
      <c r="S8936" t="s">
        <v>40783</v>
      </c>
      <c r="T8936" t="s">
        <v>42184</v>
      </c>
      <c r="U8936" t="s">
        <v>48579</v>
      </c>
      <c r="W8936" t="s">
        <v>39383</v>
      </c>
      <c r="X8936" t="s">
        <v>40447</v>
      </c>
    </row>
    <row r="8937" spans="1:24">
      <c r="A8937">
        <f>HYPERLINK("https://www.philgeps.gov.ph/GEPSNONPILOT/Tender/SplashBidNoticeAbstractUI.aspx?menuIndex=3&amp;refID=7033263&amp;Result=3","7033263")</f>
        <v>0</v>
      </c>
      <c r="B8937" t="s">
        <v>397</v>
      </c>
      <c r="C8937" t="s">
        <v>11600</v>
      </c>
      <c r="D8937" t="s">
        <v>16204</v>
      </c>
      <c r="E8937" t="s">
        <v>24099</v>
      </c>
      <c r="F8937" t="s">
        <v>28198</v>
      </c>
      <c r="G8937" t="s">
        <v>28205</v>
      </c>
      <c r="H8937" t="s">
        <v>28214</v>
      </c>
      <c r="I8937" t="s">
        <v>3797</v>
      </c>
      <c r="J8937" t="s">
        <v>33931</v>
      </c>
      <c r="K8937" t="s">
        <v>36689</v>
      </c>
      <c r="M8937" t="s">
        <v>37377</v>
      </c>
      <c r="N8937" t="s">
        <v>40436</v>
      </c>
      <c r="O8937" t="s">
        <v>40437</v>
      </c>
      <c r="P8937">
        <v>0</v>
      </c>
      <c r="Q8937">
        <v>70</v>
      </c>
      <c r="R8937" t="s">
        <v>40446</v>
      </c>
      <c r="S8937" t="s">
        <v>40783</v>
      </c>
      <c r="T8937" t="s">
        <v>42233</v>
      </c>
      <c r="U8937" t="s">
        <v>50119</v>
      </c>
      <c r="W8937" t="s">
        <v>37377</v>
      </c>
      <c r="X8937" t="s">
        <v>40447</v>
      </c>
    </row>
    <row r="8938" spans="1:24">
      <c r="A8938">
        <f>HYPERLINK("https://www.philgeps.gov.ph/GEPSNONPILOT/Tender/SplashBidNoticeAbstractUI.aspx?menuIndex=3&amp;refID=7033242&amp;Result=3","7033242")</f>
        <v>0</v>
      </c>
      <c r="B8938" t="s">
        <v>2419</v>
      </c>
      <c r="C8938" t="s">
        <v>11601</v>
      </c>
      <c r="D8938" t="s">
        <v>16268</v>
      </c>
      <c r="E8938" t="s">
        <v>19215</v>
      </c>
      <c r="F8938" t="s">
        <v>28200</v>
      </c>
      <c r="G8938" t="s">
        <v>28205</v>
      </c>
      <c r="H8938" t="s">
        <v>28215</v>
      </c>
      <c r="I8938" t="s">
        <v>28268</v>
      </c>
      <c r="J8938" t="s">
        <v>28730</v>
      </c>
      <c r="K8938" t="s">
        <v>36694</v>
      </c>
      <c r="M8938" t="s">
        <v>39607</v>
      </c>
      <c r="N8938" t="s">
        <v>40436</v>
      </c>
      <c r="O8938" t="s">
        <v>40437</v>
      </c>
      <c r="P8938">
        <v>0</v>
      </c>
      <c r="Q8938">
        <v>4</v>
      </c>
      <c r="R8938" t="s">
        <v>40446</v>
      </c>
      <c r="S8938" t="s">
        <v>40783</v>
      </c>
      <c r="T8938" t="s">
        <v>42145</v>
      </c>
      <c r="U8938" t="s">
        <v>42746</v>
      </c>
      <c r="W8938" t="s">
        <v>39607</v>
      </c>
      <c r="X8938" t="s">
        <v>40447</v>
      </c>
    </row>
    <row r="8939" spans="1:24">
      <c r="A8939">
        <f>HYPERLINK("https://www.philgeps.gov.ph/GEPSNONPILOT/Tender/SplashBidNoticeAbstractUI.aspx?menuIndex=3&amp;refID=7033277&amp;Result=3","7033277")</f>
        <v>0</v>
      </c>
      <c r="B8939" t="s">
        <v>2560</v>
      </c>
      <c r="C8939" t="s">
        <v>11602</v>
      </c>
      <c r="D8939" t="s">
        <v>16210</v>
      </c>
      <c r="E8939" t="s">
        <v>24100</v>
      </c>
      <c r="F8939" t="s">
        <v>28198</v>
      </c>
      <c r="G8939" t="s">
        <v>28205</v>
      </c>
      <c r="H8939" t="s">
        <v>28214</v>
      </c>
      <c r="I8939" t="s">
        <v>3797</v>
      </c>
      <c r="J8939" t="s">
        <v>33932</v>
      </c>
      <c r="K8939" t="s">
        <v>36735</v>
      </c>
      <c r="M8939" t="s">
        <v>39773</v>
      </c>
      <c r="N8939" t="s">
        <v>40436</v>
      </c>
      <c r="O8939" t="s">
        <v>40437</v>
      </c>
      <c r="Q8939">
        <v>61</v>
      </c>
      <c r="R8939" t="s">
        <v>40446</v>
      </c>
      <c r="S8939" t="s">
        <v>40807</v>
      </c>
      <c r="T8939" t="s">
        <v>42480</v>
      </c>
      <c r="U8939" t="s">
        <v>50120</v>
      </c>
      <c r="V8939" t="s">
        <v>54742</v>
      </c>
      <c r="W8939" t="s">
        <v>39773</v>
      </c>
      <c r="X8939" t="s">
        <v>40447</v>
      </c>
    </row>
    <row r="8940" spans="1:24">
      <c r="A8940">
        <f>HYPERLINK("https://www.philgeps.gov.ph/GEPSNONPILOT/Tender/SplashBidNoticeAbstractUI.aspx?menuIndex=3&amp;refID=7033223&amp;Result=3","7033223")</f>
        <v>0</v>
      </c>
      <c r="B8940" t="s">
        <v>1004</v>
      </c>
      <c r="C8940" t="s">
        <v>5631</v>
      </c>
      <c r="D8940" t="s">
        <v>16187</v>
      </c>
      <c r="E8940" t="s">
        <v>24101</v>
      </c>
      <c r="F8940" t="s">
        <v>28198</v>
      </c>
      <c r="G8940" t="s">
        <v>28205</v>
      </c>
      <c r="H8940" t="s">
        <v>28215</v>
      </c>
      <c r="I8940" t="s">
        <v>5631</v>
      </c>
      <c r="J8940" t="s">
        <v>28804</v>
      </c>
      <c r="K8940" t="s">
        <v>36706</v>
      </c>
      <c r="M8940" t="s">
        <v>38032</v>
      </c>
      <c r="N8940" t="s">
        <v>40436</v>
      </c>
      <c r="O8940" t="s">
        <v>40437</v>
      </c>
      <c r="P8940">
        <v>0</v>
      </c>
      <c r="Q8940">
        <v>0</v>
      </c>
      <c r="R8940" t="s">
        <v>40446</v>
      </c>
      <c r="S8940" t="s">
        <v>40783</v>
      </c>
      <c r="T8940" t="s">
        <v>42203</v>
      </c>
      <c r="U8940" t="s">
        <v>50121</v>
      </c>
      <c r="W8940" t="s">
        <v>38032</v>
      </c>
      <c r="X8940" t="s">
        <v>40447</v>
      </c>
    </row>
    <row r="8941" spans="1:24">
      <c r="A8941">
        <f>HYPERLINK("https://www.philgeps.gov.ph/GEPSNONPILOT/Tender/SplashBidNoticeAbstractUI.aspx?menuIndex=3&amp;refID=7033281&amp;Result=3","7033281")</f>
        <v>0</v>
      </c>
      <c r="B8941" t="s">
        <v>2561</v>
      </c>
      <c r="C8941" t="s">
        <v>11603</v>
      </c>
      <c r="D8941" t="s">
        <v>16235</v>
      </c>
      <c r="E8941" t="s">
        <v>16909</v>
      </c>
      <c r="F8941" t="s">
        <v>28198</v>
      </c>
      <c r="G8941" t="s">
        <v>28209</v>
      </c>
      <c r="H8941" t="s">
        <v>28215</v>
      </c>
      <c r="I8941" t="s">
        <v>5100</v>
      </c>
      <c r="J8941" t="s">
        <v>33933</v>
      </c>
      <c r="K8941" t="s">
        <v>36701</v>
      </c>
      <c r="M8941" t="s">
        <v>39775</v>
      </c>
      <c r="N8941" t="s">
        <v>40436</v>
      </c>
      <c r="O8941" t="s">
        <v>40437</v>
      </c>
      <c r="P8941">
        <v>0</v>
      </c>
      <c r="Q8941">
        <v>0</v>
      </c>
      <c r="R8941" t="s">
        <v>40446</v>
      </c>
      <c r="S8941" t="s">
        <v>40783</v>
      </c>
      <c r="T8941" t="s">
        <v>42119</v>
      </c>
      <c r="U8941" t="s">
        <v>50122</v>
      </c>
      <c r="W8941" t="s">
        <v>39775</v>
      </c>
      <c r="X8941" t="s">
        <v>40447</v>
      </c>
    </row>
    <row r="8942" spans="1:24">
      <c r="A8942">
        <f>HYPERLINK("https://www.philgeps.gov.ph/GEPSNONPILOT/Tender/SplashBidNoticeAbstractUI.aspx?menuIndex=3&amp;refID=7033268&amp;Result=3","7033268")</f>
        <v>0</v>
      </c>
      <c r="B8942" t="s">
        <v>2560</v>
      </c>
      <c r="C8942" t="s">
        <v>11604</v>
      </c>
      <c r="D8942" t="s">
        <v>16210</v>
      </c>
      <c r="E8942" t="s">
        <v>24102</v>
      </c>
      <c r="F8942" t="s">
        <v>28198</v>
      </c>
      <c r="G8942" t="s">
        <v>28205</v>
      </c>
      <c r="H8942" t="s">
        <v>28214</v>
      </c>
      <c r="I8942" t="s">
        <v>3797</v>
      </c>
      <c r="J8942" t="s">
        <v>33934</v>
      </c>
      <c r="K8942" t="s">
        <v>36692</v>
      </c>
      <c r="M8942" t="s">
        <v>39773</v>
      </c>
      <c r="N8942" t="s">
        <v>40436</v>
      </c>
      <c r="O8942" t="s">
        <v>40437</v>
      </c>
      <c r="Q8942">
        <v>60</v>
      </c>
      <c r="R8942" t="s">
        <v>40446</v>
      </c>
      <c r="S8942" t="s">
        <v>40808</v>
      </c>
      <c r="T8942" t="s">
        <v>42480</v>
      </c>
      <c r="U8942" t="s">
        <v>50123</v>
      </c>
      <c r="V8942" t="s">
        <v>54742</v>
      </c>
      <c r="W8942" t="s">
        <v>39773</v>
      </c>
      <c r="X8942" t="s">
        <v>40447</v>
      </c>
    </row>
    <row r="8943" spans="1:24">
      <c r="A8943">
        <f>HYPERLINK("https://www.philgeps.gov.ph/GEPSNONPILOT/Tender/SplashBidNoticeAbstractUI.aspx?menuIndex=3&amp;refID=7033259&amp;Result=3","7033259")</f>
        <v>0</v>
      </c>
      <c r="B8943" t="s">
        <v>2560</v>
      </c>
      <c r="C8943" t="s">
        <v>11605</v>
      </c>
      <c r="D8943" t="s">
        <v>16210</v>
      </c>
      <c r="E8943" t="s">
        <v>24103</v>
      </c>
      <c r="F8943" t="s">
        <v>28198</v>
      </c>
      <c r="G8943" t="s">
        <v>28205</v>
      </c>
      <c r="H8943" t="s">
        <v>28214</v>
      </c>
      <c r="I8943" t="s">
        <v>3797</v>
      </c>
      <c r="J8943" t="s">
        <v>33935</v>
      </c>
      <c r="K8943" t="s">
        <v>36692</v>
      </c>
      <c r="M8943" t="s">
        <v>39773</v>
      </c>
      <c r="N8943" t="s">
        <v>40436</v>
      </c>
      <c r="O8943" t="s">
        <v>40437</v>
      </c>
      <c r="Q8943">
        <v>56</v>
      </c>
      <c r="R8943" t="s">
        <v>40446</v>
      </c>
      <c r="S8943" t="s">
        <v>40809</v>
      </c>
      <c r="T8943" t="s">
        <v>42480</v>
      </c>
      <c r="U8943" t="s">
        <v>50124</v>
      </c>
      <c r="V8943" t="s">
        <v>54742</v>
      </c>
      <c r="W8943" t="s">
        <v>39773</v>
      </c>
      <c r="X8943" t="s">
        <v>40447</v>
      </c>
    </row>
    <row r="8944" spans="1:24">
      <c r="A8944">
        <f>HYPERLINK("https://www.philgeps.gov.ph/GEPSNONPILOT/Tender/SplashBidNoticeAbstractUI.aspx?menuIndex=3&amp;refID=7033325&amp;Result=3","7033325")</f>
        <v>0</v>
      </c>
      <c r="B8944" t="s">
        <v>181</v>
      </c>
      <c r="C8944" t="s">
        <v>11606</v>
      </c>
      <c r="D8944" t="s">
        <v>16209</v>
      </c>
      <c r="E8944" t="s">
        <v>20114</v>
      </c>
      <c r="F8944" t="s">
        <v>28198</v>
      </c>
      <c r="G8944" t="s">
        <v>28205</v>
      </c>
      <c r="H8944" t="s">
        <v>28214</v>
      </c>
      <c r="I8944" t="s">
        <v>3797</v>
      </c>
      <c r="J8944" t="s">
        <v>31485</v>
      </c>
      <c r="K8944" t="s">
        <v>36694</v>
      </c>
      <c r="M8944" t="s">
        <v>37156</v>
      </c>
      <c r="N8944" t="s">
        <v>40436</v>
      </c>
      <c r="O8944" t="s">
        <v>40437</v>
      </c>
      <c r="P8944">
        <v>0</v>
      </c>
      <c r="Q8944">
        <v>0</v>
      </c>
      <c r="R8944" t="s">
        <v>40446</v>
      </c>
      <c r="S8944" t="s">
        <v>40783</v>
      </c>
      <c r="T8944" t="s">
        <v>42136</v>
      </c>
      <c r="U8944" t="s">
        <v>42915</v>
      </c>
      <c r="W8944" t="s">
        <v>37156</v>
      </c>
      <c r="X8944" t="s">
        <v>40447</v>
      </c>
    </row>
    <row r="8945" spans="1:24">
      <c r="A8945">
        <f>HYPERLINK("https://www.philgeps.gov.ph/GEPSNONPILOT/Tender/SplashBidNoticeAbstractUI.aspx?menuIndex=3&amp;refID=7033289&amp;Result=3","7033289")</f>
        <v>0</v>
      </c>
      <c r="B8945" t="s">
        <v>2563</v>
      </c>
      <c r="C8945" t="s">
        <v>11607</v>
      </c>
      <c r="D8945" t="s">
        <v>16210</v>
      </c>
      <c r="E8945" t="s">
        <v>24104</v>
      </c>
      <c r="F8945" t="s">
        <v>28198</v>
      </c>
      <c r="G8945" t="s">
        <v>28207</v>
      </c>
      <c r="H8945" t="s">
        <v>28215</v>
      </c>
      <c r="I8945" t="s">
        <v>28244</v>
      </c>
      <c r="J8945" t="s">
        <v>30162</v>
      </c>
      <c r="K8945" t="s">
        <v>36693</v>
      </c>
      <c r="M8945" t="s">
        <v>39777</v>
      </c>
      <c r="N8945" t="s">
        <v>40436</v>
      </c>
      <c r="O8945" t="s">
        <v>40437</v>
      </c>
      <c r="P8945">
        <v>0</v>
      </c>
      <c r="Q8945">
        <v>8</v>
      </c>
      <c r="R8945" t="s">
        <v>40446</v>
      </c>
      <c r="S8945" t="s">
        <v>40783</v>
      </c>
      <c r="T8945" t="s">
        <v>42245</v>
      </c>
      <c r="U8945" t="s">
        <v>50125</v>
      </c>
      <c r="W8945" t="s">
        <v>39777</v>
      </c>
      <c r="X8945" t="s">
        <v>40447</v>
      </c>
    </row>
    <row r="8946" spans="1:24">
      <c r="A8946">
        <f>HYPERLINK("https://www.philgeps.gov.ph/GEPSNONPILOT/Tender/SplashBidNoticeAbstractUI.aspx?menuIndex=3&amp;refID=7033324&amp;Result=3","7033324")</f>
        <v>0</v>
      </c>
      <c r="B8946" t="s">
        <v>2564</v>
      </c>
      <c r="C8946" t="s">
        <v>11608</v>
      </c>
      <c r="D8946" t="s">
        <v>16244</v>
      </c>
      <c r="E8946" t="s">
        <v>24105</v>
      </c>
      <c r="F8946" t="s">
        <v>28198</v>
      </c>
      <c r="G8946" t="s">
        <v>28205</v>
      </c>
      <c r="H8946" t="s">
        <v>28214</v>
      </c>
      <c r="I8946" t="s">
        <v>3797</v>
      </c>
      <c r="J8946" t="s">
        <v>33936</v>
      </c>
      <c r="K8946" t="s">
        <v>36692</v>
      </c>
      <c r="M8946" t="s">
        <v>39778</v>
      </c>
      <c r="N8946" t="s">
        <v>40436</v>
      </c>
      <c r="O8946" t="s">
        <v>40437</v>
      </c>
      <c r="P8946">
        <v>0</v>
      </c>
      <c r="Q8946">
        <v>0</v>
      </c>
      <c r="R8946" t="s">
        <v>40446</v>
      </c>
      <c r="S8946" t="s">
        <v>40783</v>
      </c>
      <c r="T8946" t="s">
        <v>42438</v>
      </c>
      <c r="U8946" t="s">
        <v>50126</v>
      </c>
      <c r="W8946" t="s">
        <v>39778</v>
      </c>
      <c r="X8946" t="s">
        <v>40447</v>
      </c>
    </row>
    <row r="8947" spans="1:24">
      <c r="A8947">
        <f>HYPERLINK("https://www.philgeps.gov.ph/GEPSNONPILOT/Tender/SplashBidNoticeAbstractUI.aspx?menuIndex=3&amp;refID=7033326&amp;Result=3","7033326")</f>
        <v>0</v>
      </c>
      <c r="B8947" t="s">
        <v>2217</v>
      </c>
      <c r="C8947" t="s">
        <v>11609</v>
      </c>
      <c r="D8947" t="s">
        <v>16199</v>
      </c>
      <c r="E8947" t="s">
        <v>24106</v>
      </c>
      <c r="F8947" t="s">
        <v>28198</v>
      </c>
      <c r="G8947" t="s">
        <v>28207</v>
      </c>
      <c r="H8947" t="s">
        <v>28215</v>
      </c>
      <c r="I8947" t="s">
        <v>5100</v>
      </c>
      <c r="J8947" t="s">
        <v>33937</v>
      </c>
      <c r="K8947" t="s">
        <v>36706</v>
      </c>
      <c r="L8947" t="s">
        <v>2217</v>
      </c>
      <c r="M8947" t="s">
        <v>39383</v>
      </c>
      <c r="N8947" t="s">
        <v>40436</v>
      </c>
      <c r="O8947" t="s">
        <v>40437</v>
      </c>
      <c r="P8947">
        <v>0</v>
      </c>
      <c r="Q8947">
        <v>1</v>
      </c>
      <c r="R8947" t="s">
        <v>40446</v>
      </c>
      <c r="S8947" t="s">
        <v>40783</v>
      </c>
      <c r="T8947" t="s">
        <v>42184</v>
      </c>
      <c r="U8947" t="s">
        <v>48579</v>
      </c>
      <c r="W8947" t="s">
        <v>39383</v>
      </c>
      <c r="X8947" t="s">
        <v>40447</v>
      </c>
    </row>
    <row r="8948" spans="1:24">
      <c r="A8948">
        <f>HYPERLINK("https://www.philgeps.gov.ph/GEPSNONPILOT/Tender/SplashBidNoticeAbstractUI.aspx?menuIndex=3&amp;refID=7033322&amp;Result=3","7033322")</f>
        <v>0</v>
      </c>
      <c r="B8948" t="s">
        <v>2565</v>
      </c>
      <c r="C8948" t="s">
        <v>11610</v>
      </c>
      <c r="D8948" t="s">
        <v>16219</v>
      </c>
      <c r="E8948" t="s">
        <v>24107</v>
      </c>
      <c r="F8948" t="s">
        <v>28198</v>
      </c>
      <c r="G8948" t="s">
        <v>28205</v>
      </c>
      <c r="H8948" t="s">
        <v>28215</v>
      </c>
      <c r="I8948" t="s">
        <v>5100</v>
      </c>
      <c r="J8948" t="s">
        <v>33938</v>
      </c>
      <c r="K8948" t="s">
        <v>36701</v>
      </c>
      <c r="M8948" t="s">
        <v>39779</v>
      </c>
      <c r="N8948" t="s">
        <v>40436</v>
      </c>
      <c r="O8948" t="s">
        <v>40437</v>
      </c>
      <c r="P8948">
        <v>0</v>
      </c>
      <c r="Q8948">
        <v>0</v>
      </c>
      <c r="R8948" t="s">
        <v>40446</v>
      </c>
      <c r="S8948" t="s">
        <v>40783</v>
      </c>
      <c r="T8948" t="s">
        <v>42133</v>
      </c>
      <c r="U8948" t="s">
        <v>50127</v>
      </c>
      <c r="W8948" t="s">
        <v>39779</v>
      </c>
      <c r="X8948" t="s">
        <v>40447</v>
      </c>
    </row>
    <row r="8949" spans="1:24">
      <c r="A8949">
        <f>HYPERLINK("https://www.philgeps.gov.ph/GEPSNONPILOT/Tender/SplashBidNoticeAbstractUI.aspx?menuIndex=3&amp;refID=7033318&amp;Result=3","7033318")</f>
        <v>0</v>
      </c>
      <c r="B8949" t="s">
        <v>1259</v>
      </c>
      <c r="C8949" t="s">
        <v>11611</v>
      </c>
      <c r="D8949" t="s">
        <v>16219</v>
      </c>
      <c r="E8949" t="s">
        <v>24108</v>
      </c>
      <c r="F8949" t="s">
        <v>28198</v>
      </c>
      <c r="G8949" t="s">
        <v>28205</v>
      </c>
      <c r="H8949" t="s">
        <v>28215</v>
      </c>
      <c r="I8949" t="s">
        <v>28222</v>
      </c>
      <c r="J8949" t="s">
        <v>28921</v>
      </c>
      <c r="K8949" t="s">
        <v>36689</v>
      </c>
      <c r="M8949" t="s">
        <v>38309</v>
      </c>
      <c r="N8949" t="s">
        <v>40436</v>
      </c>
      <c r="O8949" t="s">
        <v>40437</v>
      </c>
      <c r="P8949">
        <v>0</v>
      </c>
      <c r="Q8949">
        <v>5</v>
      </c>
      <c r="R8949" t="s">
        <v>40446</v>
      </c>
      <c r="S8949" t="s">
        <v>40783</v>
      </c>
      <c r="T8949" t="s">
        <v>42482</v>
      </c>
      <c r="U8949" t="s">
        <v>50128</v>
      </c>
      <c r="W8949" t="s">
        <v>38309</v>
      </c>
      <c r="X8949" t="s">
        <v>40447</v>
      </c>
    </row>
    <row r="8950" spans="1:24">
      <c r="A8950">
        <f>HYPERLINK("https://www.philgeps.gov.ph/GEPSNONPILOT/Tender/SplashBidNoticeAbstractUI.aspx?menuIndex=3&amp;refID=7033251&amp;Result=3","7033251")</f>
        <v>0</v>
      </c>
      <c r="B8950" t="s">
        <v>2566</v>
      </c>
      <c r="C8950" t="s">
        <v>11612</v>
      </c>
      <c r="D8950" t="s">
        <v>16223</v>
      </c>
      <c r="E8950" t="s">
        <v>24109</v>
      </c>
      <c r="F8950" t="s">
        <v>28198</v>
      </c>
      <c r="G8950" t="s">
        <v>28205</v>
      </c>
      <c r="H8950" t="s">
        <v>28215</v>
      </c>
      <c r="I8950" t="s">
        <v>4168</v>
      </c>
      <c r="J8950" t="s">
        <v>33939</v>
      </c>
      <c r="K8950" t="s">
        <v>36701</v>
      </c>
      <c r="M8950" t="s">
        <v>39780</v>
      </c>
      <c r="N8950" t="s">
        <v>40436</v>
      </c>
      <c r="O8950" t="s">
        <v>40437</v>
      </c>
      <c r="P8950">
        <v>0</v>
      </c>
      <c r="Q8950">
        <v>2</v>
      </c>
      <c r="R8950" t="s">
        <v>40446</v>
      </c>
      <c r="S8950" t="s">
        <v>40783</v>
      </c>
      <c r="T8950" t="s">
        <v>42234</v>
      </c>
      <c r="U8950" t="s">
        <v>50129</v>
      </c>
      <c r="W8950" t="s">
        <v>39780</v>
      </c>
      <c r="X8950" t="s">
        <v>40447</v>
      </c>
    </row>
    <row r="8951" spans="1:24">
      <c r="A8951">
        <f>HYPERLINK("https://www.philgeps.gov.ph/GEPSNONPILOT/Tender/SplashBidNoticeAbstractUI.aspx?menuIndex=3&amp;refID=7033310&amp;Result=3","7033310")</f>
        <v>0</v>
      </c>
      <c r="B8951" t="s">
        <v>2567</v>
      </c>
      <c r="C8951" t="s">
        <v>11613</v>
      </c>
      <c r="D8951" t="s">
        <v>16274</v>
      </c>
      <c r="E8951" t="s">
        <v>24110</v>
      </c>
      <c r="F8951" t="s">
        <v>28198</v>
      </c>
      <c r="G8951" t="s">
        <v>28205</v>
      </c>
      <c r="H8951" t="s">
        <v>28214</v>
      </c>
      <c r="I8951" t="s">
        <v>3797</v>
      </c>
      <c r="J8951" t="s">
        <v>28347</v>
      </c>
      <c r="K8951" t="s">
        <v>36886</v>
      </c>
      <c r="M8951" t="s">
        <v>39781</v>
      </c>
      <c r="N8951" t="s">
        <v>40436</v>
      </c>
      <c r="O8951" t="s">
        <v>40437</v>
      </c>
      <c r="P8951">
        <v>0</v>
      </c>
      <c r="Q8951">
        <v>0</v>
      </c>
      <c r="R8951" t="s">
        <v>40446</v>
      </c>
      <c r="S8951" t="s">
        <v>40783</v>
      </c>
      <c r="T8951" t="s">
        <v>42532</v>
      </c>
      <c r="U8951" t="s">
        <v>50130</v>
      </c>
      <c r="W8951" t="s">
        <v>39781</v>
      </c>
      <c r="X8951" t="s">
        <v>40447</v>
      </c>
    </row>
    <row r="8952" spans="1:24">
      <c r="A8952">
        <f>HYPERLINK("https://www.philgeps.gov.ph/GEPSNONPILOT/Tender/SplashBidNoticeAbstractUI.aspx?menuIndex=3&amp;refID=7033311&amp;Result=3","7033311")</f>
        <v>0</v>
      </c>
      <c r="B8952" t="s">
        <v>1214</v>
      </c>
      <c r="C8952" t="s">
        <v>11614</v>
      </c>
      <c r="D8952" t="s">
        <v>16187</v>
      </c>
      <c r="E8952" t="s">
        <v>19094</v>
      </c>
      <c r="F8952" t="s">
        <v>28198</v>
      </c>
      <c r="G8952" t="s">
        <v>28205</v>
      </c>
      <c r="H8952" t="s">
        <v>28214</v>
      </c>
      <c r="I8952" t="s">
        <v>3797</v>
      </c>
      <c r="J8952" t="s">
        <v>28436</v>
      </c>
      <c r="K8952" t="s">
        <v>36715</v>
      </c>
      <c r="M8952" t="s">
        <v>38259</v>
      </c>
      <c r="N8952" t="s">
        <v>40436</v>
      </c>
      <c r="O8952" t="s">
        <v>40437</v>
      </c>
      <c r="P8952">
        <v>0</v>
      </c>
      <c r="Q8952">
        <v>0</v>
      </c>
      <c r="R8952" t="s">
        <v>40446</v>
      </c>
      <c r="S8952" t="s">
        <v>40783</v>
      </c>
      <c r="T8952" t="s">
        <v>42111</v>
      </c>
      <c r="U8952" t="s">
        <v>50131</v>
      </c>
      <c r="W8952" t="s">
        <v>38259</v>
      </c>
      <c r="X8952" t="s">
        <v>40447</v>
      </c>
    </row>
    <row r="8953" spans="1:24">
      <c r="A8953">
        <f>HYPERLINK("https://www.philgeps.gov.ph/GEPSNONPILOT/Tender/SplashBidNoticeAbstractUI.aspx?menuIndex=3&amp;refID=7033200&amp;Result=3","7033200")</f>
        <v>0</v>
      </c>
      <c r="B8953" t="s">
        <v>2474</v>
      </c>
      <c r="C8953" t="s">
        <v>11615</v>
      </c>
      <c r="D8953" t="s">
        <v>16266</v>
      </c>
      <c r="E8953" t="s">
        <v>24111</v>
      </c>
      <c r="F8953" t="s">
        <v>28198</v>
      </c>
      <c r="G8953" t="s">
        <v>28207</v>
      </c>
      <c r="H8953" t="s">
        <v>28215</v>
      </c>
      <c r="I8953" t="s">
        <v>28227</v>
      </c>
      <c r="J8953" t="s">
        <v>33940</v>
      </c>
      <c r="K8953" t="s">
        <v>36687</v>
      </c>
      <c r="M8953" t="s">
        <v>39672</v>
      </c>
      <c r="N8953" t="s">
        <v>40436</v>
      </c>
      <c r="O8953" t="s">
        <v>40437</v>
      </c>
      <c r="P8953">
        <v>0</v>
      </c>
      <c r="Q8953">
        <v>0</v>
      </c>
      <c r="R8953" t="s">
        <v>40446</v>
      </c>
      <c r="S8953" t="s">
        <v>40783</v>
      </c>
      <c r="T8953" t="s">
        <v>42158</v>
      </c>
      <c r="U8953" t="s">
        <v>50132</v>
      </c>
      <c r="W8953" t="s">
        <v>39672</v>
      </c>
      <c r="X8953" t="s">
        <v>40447</v>
      </c>
    </row>
    <row r="8954" spans="1:24">
      <c r="A8954">
        <f>HYPERLINK("https://www.philgeps.gov.ph/GEPSNONPILOT/Tender/SplashBidNoticeAbstractUI.aspx?menuIndex=3&amp;refID=7033350&amp;Result=3","7033350")</f>
        <v>0</v>
      </c>
      <c r="B8954" t="s">
        <v>2568</v>
      </c>
      <c r="C8954" t="s">
        <v>11616</v>
      </c>
      <c r="D8954" t="s">
        <v>16207</v>
      </c>
      <c r="E8954" t="s">
        <v>24112</v>
      </c>
      <c r="F8954" t="s">
        <v>28198</v>
      </c>
      <c r="G8954" t="s">
        <v>28207</v>
      </c>
      <c r="H8954" t="s">
        <v>28215</v>
      </c>
      <c r="I8954" t="s">
        <v>28234</v>
      </c>
      <c r="J8954" t="s">
        <v>29172</v>
      </c>
      <c r="K8954" t="s">
        <v>36701</v>
      </c>
      <c r="M8954" t="s">
        <v>39782</v>
      </c>
      <c r="N8954" t="s">
        <v>40436</v>
      </c>
      <c r="O8954" t="s">
        <v>40437</v>
      </c>
      <c r="P8954">
        <v>0</v>
      </c>
      <c r="Q8954">
        <v>3</v>
      </c>
      <c r="R8954" t="s">
        <v>40446</v>
      </c>
      <c r="S8954" t="s">
        <v>40783</v>
      </c>
      <c r="T8954" t="s">
        <v>42132</v>
      </c>
      <c r="U8954" t="s">
        <v>50133</v>
      </c>
      <c r="W8954" t="s">
        <v>39782</v>
      </c>
      <c r="X8954" t="s">
        <v>40447</v>
      </c>
    </row>
    <row r="8955" spans="1:24">
      <c r="A8955">
        <f>HYPERLINK("https://www.philgeps.gov.ph/GEPSNONPILOT/Tender/SplashBidNoticeAbstractUI.aspx?menuIndex=3&amp;refID=7033308&amp;Result=3","7033308")</f>
        <v>0</v>
      </c>
      <c r="B8955" t="s">
        <v>65</v>
      </c>
      <c r="C8955" t="s">
        <v>11617</v>
      </c>
      <c r="D8955" t="s">
        <v>16210</v>
      </c>
      <c r="E8955" t="s">
        <v>24113</v>
      </c>
      <c r="F8955" t="s">
        <v>28198</v>
      </c>
      <c r="G8955" t="s">
        <v>28205</v>
      </c>
      <c r="H8955" t="s">
        <v>28215</v>
      </c>
      <c r="I8955" t="s">
        <v>3422</v>
      </c>
      <c r="J8955" t="s">
        <v>33941</v>
      </c>
      <c r="K8955" t="s">
        <v>36689</v>
      </c>
      <c r="M8955" t="s">
        <v>37036</v>
      </c>
      <c r="N8955" t="s">
        <v>40436</v>
      </c>
      <c r="O8955" t="s">
        <v>40437</v>
      </c>
      <c r="P8955">
        <v>0</v>
      </c>
      <c r="Q8955">
        <v>5</v>
      </c>
      <c r="R8955" t="s">
        <v>40446</v>
      </c>
      <c r="S8955" t="s">
        <v>40783</v>
      </c>
      <c r="T8955" t="s">
        <v>42346</v>
      </c>
      <c r="U8955" t="s">
        <v>50134</v>
      </c>
      <c r="V8955" t="s">
        <v>53786</v>
      </c>
      <c r="W8955" t="s">
        <v>37036</v>
      </c>
      <c r="X8955" t="s">
        <v>40447</v>
      </c>
    </row>
    <row r="8956" spans="1:24">
      <c r="A8956">
        <f>HYPERLINK("https://www.philgeps.gov.ph/GEPSNONPILOT/Tender/SplashBidNoticeAbstractUI.aspx?menuIndex=3&amp;refID=7033312&amp;Result=3","7033312")</f>
        <v>0</v>
      </c>
      <c r="B8956" t="s">
        <v>181</v>
      </c>
      <c r="C8956" t="s">
        <v>11618</v>
      </c>
      <c r="D8956" t="s">
        <v>16209</v>
      </c>
      <c r="E8956" t="s">
        <v>20114</v>
      </c>
      <c r="F8956" t="s">
        <v>28198</v>
      </c>
      <c r="G8956" t="s">
        <v>28205</v>
      </c>
      <c r="H8956" t="s">
        <v>28214</v>
      </c>
      <c r="I8956" t="s">
        <v>3797</v>
      </c>
      <c r="J8956" t="s">
        <v>29346</v>
      </c>
      <c r="K8956" t="s">
        <v>36715</v>
      </c>
      <c r="M8956" t="s">
        <v>37156</v>
      </c>
      <c r="N8956" t="s">
        <v>40436</v>
      </c>
      <c r="O8956" t="s">
        <v>40437</v>
      </c>
      <c r="P8956">
        <v>0</v>
      </c>
      <c r="Q8956">
        <v>0</v>
      </c>
      <c r="R8956" t="s">
        <v>40446</v>
      </c>
      <c r="S8956" t="s">
        <v>40783</v>
      </c>
      <c r="T8956" t="s">
        <v>42136</v>
      </c>
      <c r="U8956" t="s">
        <v>42915</v>
      </c>
      <c r="W8956" t="s">
        <v>37156</v>
      </c>
      <c r="X8956" t="s">
        <v>40447</v>
      </c>
    </row>
    <row r="8957" spans="1:24">
      <c r="A8957">
        <f>HYPERLINK("https://www.philgeps.gov.ph/GEPSNONPILOT/Tender/SplashBidNoticeAbstractUI.aspx?menuIndex=3&amp;refID=7033338&amp;Result=3","7033338")</f>
        <v>0</v>
      </c>
      <c r="B8957" t="s">
        <v>181</v>
      </c>
      <c r="C8957" t="s">
        <v>11619</v>
      </c>
      <c r="D8957" t="s">
        <v>16209</v>
      </c>
      <c r="E8957" t="s">
        <v>16621</v>
      </c>
      <c r="F8957" t="s">
        <v>28198</v>
      </c>
      <c r="G8957" t="s">
        <v>28205</v>
      </c>
      <c r="H8957" t="s">
        <v>28214</v>
      </c>
      <c r="I8957" t="s">
        <v>3797</v>
      </c>
      <c r="J8957" t="s">
        <v>33942</v>
      </c>
      <c r="K8957" t="s">
        <v>36694</v>
      </c>
      <c r="M8957" t="s">
        <v>37156</v>
      </c>
      <c r="N8957" t="s">
        <v>40436</v>
      </c>
      <c r="O8957" t="s">
        <v>40437</v>
      </c>
      <c r="P8957">
        <v>0</v>
      </c>
      <c r="Q8957">
        <v>0</v>
      </c>
      <c r="R8957" t="s">
        <v>40446</v>
      </c>
      <c r="S8957" t="s">
        <v>40783</v>
      </c>
      <c r="T8957" t="s">
        <v>42136</v>
      </c>
      <c r="U8957" t="s">
        <v>42915</v>
      </c>
      <c r="W8957" t="s">
        <v>37156</v>
      </c>
      <c r="X8957" t="s">
        <v>40447</v>
      </c>
    </row>
    <row r="8958" spans="1:24">
      <c r="A8958">
        <f>HYPERLINK("https://www.philgeps.gov.ph/GEPSNONPILOT/Tender/SplashBidNoticeAbstractUI.aspx?menuIndex=3&amp;refID=7033303&amp;Result=3","7033303")</f>
        <v>0</v>
      </c>
      <c r="B8958" t="s">
        <v>2217</v>
      </c>
      <c r="C8958" t="s">
        <v>11620</v>
      </c>
      <c r="D8958" t="s">
        <v>16199</v>
      </c>
      <c r="E8958" t="s">
        <v>24114</v>
      </c>
      <c r="F8958" t="s">
        <v>28198</v>
      </c>
      <c r="G8958" t="s">
        <v>28207</v>
      </c>
      <c r="H8958" t="s">
        <v>28215</v>
      </c>
      <c r="I8958" t="s">
        <v>5100</v>
      </c>
      <c r="J8958" t="s">
        <v>33943</v>
      </c>
      <c r="K8958" t="s">
        <v>36688</v>
      </c>
      <c r="L8958" t="s">
        <v>2217</v>
      </c>
      <c r="M8958" t="s">
        <v>39383</v>
      </c>
      <c r="N8958" t="s">
        <v>40436</v>
      </c>
      <c r="O8958" t="s">
        <v>40437</v>
      </c>
      <c r="P8958">
        <v>0</v>
      </c>
      <c r="Q8958">
        <v>2</v>
      </c>
      <c r="R8958" t="s">
        <v>40446</v>
      </c>
      <c r="S8958" t="s">
        <v>40783</v>
      </c>
      <c r="T8958" t="s">
        <v>42184</v>
      </c>
      <c r="U8958" t="s">
        <v>48579</v>
      </c>
      <c r="W8958" t="s">
        <v>39383</v>
      </c>
      <c r="X8958" t="s">
        <v>40447</v>
      </c>
    </row>
    <row r="8959" spans="1:24">
      <c r="A8959">
        <f>HYPERLINK("https://www.philgeps.gov.ph/GEPSNONPILOT/Tender/SplashBidNoticeAbstractUI.aspx?menuIndex=3&amp;refID=7033297&amp;Result=3","7033297")</f>
        <v>0</v>
      </c>
      <c r="B8959" t="s">
        <v>181</v>
      </c>
      <c r="C8959" t="s">
        <v>11621</v>
      </c>
      <c r="D8959" t="s">
        <v>16209</v>
      </c>
      <c r="E8959" t="s">
        <v>24115</v>
      </c>
      <c r="F8959" t="s">
        <v>28198</v>
      </c>
      <c r="G8959" t="s">
        <v>28205</v>
      </c>
      <c r="H8959" t="s">
        <v>28214</v>
      </c>
      <c r="I8959" t="s">
        <v>3797</v>
      </c>
      <c r="J8959" t="s">
        <v>28345</v>
      </c>
      <c r="K8959" t="s">
        <v>36694</v>
      </c>
      <c r="M8959" t="s">
        <v>37156</v>
      </c>
      <c r="N8959" t="s">
        <v>40436</v>
      </c>
      <c r="O8959" t="s">
        <v>40437</v>
      </c>
      <c r="P8959">
        <v>0</v>
      </c>
      <c r="Q8959">
        <v>0</v>
      </c>
      <c r="R8959" t="s">
        <v>40446</v>
      </c>
      <c r="S8959" t="s">
        <v>40783</v>
      </c>
      <c r="T8959" t="s">
        <v>42136</v>
      </c>
      <c r="U8959" t="s">
        <v>42915</v>
      </c>
      <c r="W8959" t="s">
        <v>37156</v>
      </c>
      <c r="X8959" t="s">
        <v>40447</v>
      </c>
    </row>
    <row r="8960" spans="1:24">
      <c r="A8960">
        <f>HYPERLINK("https://www.philgeps.gov.ph/GEPSNONPILOT/Tender/SplashBidNoticeAbstractUI.aspx?menuIndex=3&amp;refID=7033296&amp;Result=3","7033296")</f>
        <v>0</v>
      </c>
      <c r="B8960" t="s">
        <v>2560</v>
      </c>
      <c r="C8960" t="s">
        <v>11622</v>
      </c>
      <c r="D8960" t="s">
        <v>16210</v>
      </c>
      <c r="E8960" t="s">
        <v>24116</v>
      </c>
      <c r="F8960" t="s">
        <v>28198</v>
      </c>
      <c r="G8960" t="s">
        <v>28205</v>
      </c>
      <c r="H8960" t="s">
        <v>28214</v>
      </c>
      <c r="I8960" t="s">
        <v>3797</v>
      </c>
      <c r="J8960" t="s">
        <v>33944</v>
      </c>
      <c r="K8960" t="s">
        <v>36692</v>
      </c>
      <c r="M8960" t="s">
        <v>39773</v>
      </c>
      <c r="N8960" t="s">
        <v>40436</v>
      </c>
      <c r="O8960" t="s">
        <v>40437</v>
      </c>
      <c r="Q8960">
        <v>58</v>
      </c>
      <c r="R8960" t="s">
        <v>40446</v>
      </c>
      <c r="S8960" t="s">
        <v>40810</v>
      </c>
      <c r="T8960" t="s">
        <v>42480</v>
      </c>
      <c r="U8960" t="s">
        <v>50135</v>
      </c>
      <c r="V8960" t="s">
        <v>54742</v>
      </c>
      <c r="W8960" t="s">
        <v>39773</v>
      </c>
      <c r="X8960" t="s">
        <v>40447</v>
      </c>
    </row>
    <row r="8961" spans="1:24">
      <c r="A8961">
        <f>HYPERLINK("https://www.philgeps.gov.ph/GEPSNONPILOT/Tender/SplashBidNoticeAbstractUI.aspx?menuIndex=3&amp;refID=7033346&amp;Result=3","7033346")</f>
        <v>0</v>
      </c>
      <c r="B8961" t="s">
        <v>2217</v>
      </c>
      <c r="C8961" t="s">
        <v>11623</v>
      </c>
      <c r="D8961" t="s">
        <v>16199</v>
      </c>
      <c r="E8961" t="s">
        <v>24117</v>
      </c>
      <c r="F8961" t="s">
        <v>28198</v>
      </c>
      <c r="G8961" t="s">
        <v>28207</v>
      </c>
      <c r="H8961" t="s">
        <v>28215</v>
      </c>
      <c r="I8961" t="s">
        <v>5100</v>
      </c>
      <c r="J8961" t="s">
        <v>33945</v>
      </c>
      <c r="K8961" t="s">
        <v>36688</v>
      </c>
      <c r="L8961" t="s">
        <v>2217</v>
      </c>
      <c r="M8961" t="s">
        <v>39383</v>
      </c>
      <c r="N8961" t="s">
        <v>40436</v>
      </c>
      <c r="O8961" t="s">
        <v>40437</v>
      </c>
      <c r="P8961">
        <v>0</v>
      </c>
      <c r="Q8961">
        <v>2</v>
      </c>
      <c r="R8961" t="s">
        <v>40446</v>
      </c>
      <c r="S8961" t="s">
        <v>40783</v>
      </c>
      <c r="T8961" t="s">
        <v>42184</v>
      </c>
      <c r="U8961" t="s">
        <v>48579</v>
      </c>
      <c r="W8961" t="s">
        <v>39383</v>
      </c>
      <c r="X8961" t="s">
        <v>40447</v>
      </c>
    </row>
    <row r="8962" spans="1:24">
      <c r="A8962">
        <f>HYPERLINK("https://www.philgeps.gov.ph/GEPSNONPILOT/Tender/SplashBidNoticeAbstractUI.aspx?menuIndex=3&amp;refID=7033328&amp;Result=3","7033328")</f>
        <v>0</v>
      </c>
      <c r="B8962" t="s">
        <v>1172</v>
      </c>
      <c r="C8962" t="s">
        <v>11624</v>
      </c>
      <c r="D8962" t="s">
        <v>16210</v>
      </c>
      <c r="E8962" t="s">
        <v>24118</v>
      </c>
      <c r="F8962" t="s">
        <v>28198</v>
      </c>
      <c r="G8962" t="s">
        <v>28205</v>
      </c>
      <c r="H8962" t="s">
        <v>28215</v>
      </c>
      <c r="I8962" t="s">
        <v>28280</v>
      </c>
      <c r="J8962" t="s">
        <v>30935</v>
      </c>
      <c r="K8962" t="s">
        <v>36694</v>
      </c>
      <c r="M8962" t="s">
        <v>38214</v>
      </c>
      <c r="N8962" t="s">
        <v>40436</v>
      </c>
      <c r="O8962" t="s">
        <v>40437</v>
      </c>
      <c r="P8962">
        <v>0</v>
      </c>
      <c r="Q8962">
        <v>14</v>
      </c>
      <c r="R8962" t="s">
        <v>40446</v>
      </c>
      <c r="S8962" t="s">
        <v>40783</v>
      </c>
      <c r="T8962" t="s">
        <v>42346</v>
      </c>
      <c r="U8962" t="s">
        <v>50136</v>
      </c>
      <c r="W8962" t="s">
        <v>38214</v>
      </c>
      <c r="X8962" t="s">
        <v>40447</v>
      </c>
    </row>
    <row r="8963" spans="1:24">
      <c r="A8963">
        <f>HYPERLINK("https://www.philgeps.gov.ph/GEPSNONPILOT/Tender/SplashBidNoticeAbstractUI.aspx?menuIndex=3&amp;refID=7033292&amp;Result=3","7033292")</f>
        <v>0</v>
      </c>
      <c r="B8963" t="s">
        <v>2419</v>
      </c>
      <c r="C8963" t="s">
        <v>11625</v>
      </c>
      <c r="D8963" t="s">
        <v>16268</v>
      </c>
      <c r="E8963" t="s">
        <v>19355</v>
      </c>
      <c r="F8963" t="s">
        <v>28200</v>
      </c>
      <c r="G8963" t="s">
        <v>28205</v>
      </c>
      <c r="H8963" t="s">
        <v>28215</v>
      </c>
      <c r="I8963" t="s">
        <v>28226</v>
      </c>
      <c r="J8963" t="s">
        <v>33946</v>
      </c>
      <c r="K8963" t="s">
        <v>36694</v>
      </c>
      <c r="M8963" t="s">
        <v>39607</v>
      </c>
      <c r="N8963" t="s">
        <v>40436</v>
      </c>
      <c r="O8963" t="s">
        <v>40437</v>
      </c>
      <c r="P8963">
        <v>0</v>
      </c>
      <c r="Q8963">
        <v>7</v>
      </c>
      <c r="R8963" t="s">
        <v>40446</v>
      </c>
      <c r="S8963" t="s">
        <v>40783</v>
      </c>
      <c r="T8963" t="s">
        <v>42145</v>
      </c>
      <c r="U8963" t="s">
        <v>42746</v>
      </c>
      <c r="W8963" t="s">
        <v>39607</v>
      </c>
      <c r="X8963" t="s">
        <v>40447</v>
      </c>
    </row>
    <row r="8964" spans="1:24">
      <c r="A8964">
        <f>HYPERLINK("https://www.philgeps.gov.ph/GEPSNONPILOT/Tender/SplashBidNoticeAbstractUI.aspx?menuIndex=3&amp;refID=7033356&amp;Result=3","7033356")</f>
        <v>0</v>
      </c>
      <c r="B8964" t="s">
        <v>181</v>
      </c>
      <c r="C8964" t="s">
        <v>11626</v>
      </c>
      <c r="D8964" t="s">
        <v>16209</v>
      </c>
      <c r="E8964" t="s">
        <v>24115</v>
      </c>
      <c r="F8964" t="s">
        <v>28198</v>
      </c>
      <c r="G8964" t="s">
        <v>28205</v>
      </c>
      <c r="H8964" t="s">
        <v>28214</v>
      </c>
      <c r="I8964" t="s">
        <v>3797</v>
      </c>
      <c r="J8964" t="s">
        <v>28486</v>
      </c>
      <c r="K8964" t="s">
        <v>36694</v>
      </c>
      <c r="M8964" t="s">
        <v>37156</v>
      </c>
      <c r="N8964" t="s">
        <v>40436</v>
      </c>
      <c r="O8964" t="s">
        <v>40437</v>
      </c>
      <c r="P8964">
        <v>0</v>
      </c>
      <c r="Q8964">
        <v>0</v>
      </c>
      <c r="R8964" t="s">
        <v>40446</v>
      </c>
      <c r="S8964" t="s">
        <v>40783</v>
      </c>
      <c r="T8964" t="s">
        <v>42136</v>
      </c>
      <c r="U8964" t="s">
        <v>42915</v>
      </c>
      <c r="W8964" t="s">
        <v>37156</v>
      </c>
      <c r="X8964" t="s">
        <v>40447</v>
      </c>
    </row>
    <row r="8965" spans="1:24">
      <c r="A8965">
        <f>HYPERLINK("https://www.philgeps.gov.ph/GEPSNONPILOT/Tender/SplashBidNoticeAbstractUI.aspx?menuIndex=3&amp;refID=7033332&amp;Result=3","7033332")</f>
        <v>0</v>
      </c>
      <c r="B8965" t="s">
        <v>2566</v>
      </c>
      <c r="C8965" t="s">
        <v>11627</v>
      </c>
      <c r="D8965" t="s">
        <v>16223</v>
      </c>
      <c r="E8965" t="s">
        <v>24119</v>
      </c>
      <c r="F8965" t="s">
        <v>28198</v>
      </c>
      <c r="G8965" t="s">
        <v>28205</v>
      </c>
      <c r="H8965" t="s">
        <v>28214</v>
      </c>
      <c r="I8965" t="s">
        <v>3797</v>
      </c>
      <c r="J8965" t="s">
        <v>33947</v>
      </c>
      <c r="K8965" t="s">
        <v>36697</v>
      </c>
      <c r="M8965" t="s">
        <v>39780</v>
      </c>
      <c r="N8965" t="s">
        <v>40436</v>
      </c>
      <c r="O8965" t="s">
        <v>40437</v>
      </c>
      <c r="P8965">
        <v>0</v>
      </c>
      <c r="Q8965">
        <v>4</v>
      </c>
      <c r="R8965" t="s">
        <v>40446</v>
      </c>
      <c r="S8965" t="s">
        <v>40783</v>
      </c>
      <c r="T8965" t="s">
        <v>42234</v>
      </c>
      <c r="U8965" t="s">
        <v>50137</v>
      </c>
      <c r="W8965" t="s">
        <v>39780</v>
      </c>
      <c r="X8965" t="s">
        <v>40447</v>
      </c>
    </row>
    <row r="8966" spans="1:24">
      <c r="A8966">
        <f>HYPERLINK("https://www.philgeps.gov.ph/GEPSNONPILOT/Tender/SplashBidNoticeAbstractUI.aspx?menuIndex=3&amp;refID=7033396&amp;Result=3","7033396")</f>
        <v>0</v>
      </c>
      <c r="B8966" t="s">
        <v>668</v>
      </c>
      <c r="C8966" t="s">
        <v>11628</v>
      </c>
      <c r="D8966" t="s">
        <v>16223</v>
      </c>
      <c r="E8966" t="s">
        <v>24120</v>
      </c>
      <c r="F8966" t="s">
        <v>28198</v>
      </c>
      <c r="G8966" t="s">
        <v>28205</v>
      </c>
      <c r="H8966" t="s">
        <v>28215</v>
      </c>
      <c r="I8966" t="s">
        <v>28258</v>
      </c>
      <c r="J8966" t="s">
        <v>28378</v>
      </c>
      <c r="K8966" t="s">
        <v>36689</v>
      </c>
      <c r="M8966" t="s">
        <v>37664</v>
      </c>
      <c r="N8966" t="s">
        <v>40436</v>
      </c>
      <c r="O8966" t="s">
        <v>40437</v>
      </c>
      <c r="P8966">
        <v>0</v>
      </c>
      <c r="Q8966">
        <v>1</v>
      </c>
      <c r="R8966" t="s">
        <v>40446</v>
      </c>
      <c r="S8966" t="s">
        <v>40783</v>
      </c>
      <c r="T8966" t="s">
        <v>42103</v>
      </c>
      <c r="U8966" t="s">
        <v>50138</v>
      </c>
      <c r="W8966" t="s">
        <v>37664</v>
      </c>
      <c r="X8966" t="s">
        <v>40447</v>
      </c>
    </row>
    <row r="8967" spans="1:24">
      <c r="A8967">
        <f>HYPERLINK("https://www.philgeps.gov.ph/GEPSNONPILOT/Tender/SplashBidNoticeAbstractUI.aspx?menuIndex=3&amp;refID=7033358&amp;Result=3","7033358")</f>
        <v>0</v>
      </c>
      <c r="B8967" t="s">
        <v>1259</v>
      </c>
      <c r="C8967" t="s">
        <v>11629</v>
      </c>
      <c r="D8967" t="s">
        <v>16219</v>
      </c>
      <c r="E8967" t="s">
        <v>24121</v>
      </c>
      <c r="F8967" t="s">
        <v>28198</v>
      </c>
      <c r="G8967" t="s">
        <v>28205</v>
      </c>
      <c r="H8967" t="s">
        <v>28215</v>
      </c>
      <c r="I8967" t="s">
        <v>28222</v>
      </c>
      <c r="J8967" t="s">
        <v>28921</v>
      </c>
      <c r="K8967" t="s">
        <v>36689</v>
      </c>
      <c r="M8967" t="s">
        <v>38309</v>
      </c>
      <c r="N8967" t="s">
        <v>40436</v>
      </c>
      <c r="O8967" t="s">
        <v>40437</v>
      </c>
      <c r="P8967">
        <v>0</v>
      </c>
      <c r="Q8967">
        <v>4</v>
      </c>
      <c r="R8967" t="s">
        <v>40446</v>
      </c>
      <c r="S8967" t="s">
        <v>40783</v>
      </c>
      <c r="T8967" t="s">
        <v>42482</v>
      </c>
      <c r="U8967" t="s">
        <v>50128</v>
      </c>
      <c r="W8967" t="s">
        <v>38309</v>
      </c>
      <c r="X8967" t="s">
        <v>40447</v>
      </c>
    </row>
    <row r="8968" spans="1:24">
      <c r="A8968">
        <f>HYPERLINK("https://www.philgeps.gov.ph/GEPSNONPILOT/Tender/SplashBidNoticeAbstractUI.aspx?menuIndex=3&amp;refID=7033376&amp;Result=3","7033376")</f>
        <v>0</v>
      </c>
      <c r="B8968" t="s">
        <v>2569</v>
      </c>
      <c r="C8968" t="s">
        <v>11630</v>
      </c>
      <c r="D8968" t="s">
        <v>16193</v>
      </c>
      <c r="E8968" t="s">
        <v>24122</v>
      </c>
      <c r="F8968" t="s">
        <v>28200</v>
      </c>
      <c r="G8968" t="s">
        <v>28205</v>
      </c>
      <c r="H8968" t="s">
        <v>28214</v>
      </c>
      <c r="I8968" t="s">
        <v>3797</v>
      </c>
      <c r="J8968" t="s">
        <v>29432</v>
      </c>
      <c r="K8968" t="s">
        <v>36802</v>
      </c>
      <c r="L8968" t="s">
        <v>2569</v>
      </c>
      <c r="M8968" t="s">
        <v>39783</v>
      </c>
      <c r="N8968" t="s">
        <v>40436</v>
      </c>
      <c r="O8968" t="s">
        <v>40437</v>
      </c>
      <c r="P8968">
        <v>0</v>
      </c>
      <c r="Q8968">
        <v>0</v>
      </c>
      <c r="R8968" t="s">
        <v>40446</v>
      </c>
      <c r="S8968" t="s">
        <v>40783</v>
      </c>
      <c r="T8968" t="s">
        <v>42112</v>
      </c>
      <c r="U8968" t="s">
        <v>50139</v>
      </c>
      <c r="W8968" t="s">
        <v>39783</v>
      </c>
      <c r="X8968" t="s">
        <v>40447</v>
      </c>
    </row>
    <row r="8969" spans="1:24">
      <c r="A8969">
        <f>HYPERLINK("https://www.philgeps.gov.ph/GEPSNONPILOT/Tender/SplashBidNoticeAbstractUI.aspx?menuIndex=3&amp;refID=7033397&amp;Result=3","7033397")</f>
        <v>0</v>
      </c>
      <c r="B8969" t="s">
        <v>2142</v>
      </c>
      <c r="C8969" t="s">
        <v>11631</v>
      </c>
      <c r="D8969" t="s">
        <v>16198</v>
      </c>
      <c r="E8969" t="s">
        <v>24123</v>
      </c>
      <c r="F8969" t="s">
        <v>28198</v>
      </c>
      <c r="G8969" t="s">
        <v>28205</v>
      </c>
      <c r="H8969" t="s">
        <v>28214</v>
      </c>
      <c r="I8969" t="s">
        <v>3797</v>
      </c>
      <c r="J8969" t="s">
        <v>28561</v>
      </c>
      <c r="K8969" t="s">
        <v>36694</v>
      </c>
      <c r="M8969" t="s">
        <v>39299</v>
      </c>
      <c r="N8969" t="s">
        <v>40436</v>
      </c>
      <c r="O8969" t="s">
        <v>40437</v>
      </c>
      <c r="P8969">
        <v>0</v>
      </c>
      <c r="Q8969">
        <v>0</v>
      </c>
      <c r="R8969" t="s">
        <v>40446</v>
      </c>
      <c r="S8969" t="s">
        <v>40783</v>
      </c>
      <c r="T8969" t="s">
        <v>42399</v>
      </c>
      <c r="U8969" t="s">
        <v>50140</v>
      </c>
      <c r="W8969" t="s">
        <v>39299</v>
      </c>
      <c r="X8969" t="s">
        <v>40447</v>
      </c>
    </row>
    <row r="8970" spans="1:24">
      <c r="A8970">
        <f>HYPERLINK("https://www.philgeps.gov.ph/GEPSNONPILOT/Tender/SplashBidNoticeAbstractUI.aspx?menuIndex=3&amp;refID=7033372&amp;Result=3","7033372")</f>
        <v>0</v>
      </c>
      <c r="B8970" t="s">
        <v>2570</v>
      </c>
      <c r="C8970" t="s">
        <v>11632</v>
      </c>
      <c r="D8970" t="s">
        <v>16195</v>
      </c>
      <c r="E8970" t="s">
        <v>18851</v>
      </c>
      <c r="F8970" t="s">
        <v>28198</v>
      </c>
      <c r="G8970" t="s">
        <v>28205</v>
      </c>
      <c r="H8970" t="s">
        <v>28214</v>
      </c>
      <c r="I8970" t="s">
        <v>3797</v>
      </c>
      <c r="J8970" t="s">
        <v>28663</v>
      </c>
      <c r="K8970" t="s">
        <v>36697</v>
      </c>
      <c r="L8970" t="s">
        <v>2570</v>
      </c>
      <c r="M8970" t="s">
        <v>39784</v>
      </c>
      <c r="N8970" t="s">
        <v>40436</v>
      </c>
      <c r="O8970" t="s">
        <v>40437</v>
      </c>
      <c r="P8970">
        <v>0</v>
      </c>
      <c r="Q8970">
        <v>1</v>
      </c>
      <c r="R8970" t="s">
        <v>40446</v>
      </c>
      <c r="S8970" t="s">
        <v>40783</v>
      </c>
      <c r="T8970" t="s">
        <v>42234</v>
      </c>
      <c r="U8970" t="s">
        <v>50141</v>
      </c>
      <c r="W8970" t="s">
        <v>39784</v>
      </c>
      <c r="X8970" t="s">
        <v>40447</v>
      </c>
    </row>
    <row r="8971" spans="1:24">
      <c r="A8971">
        <f>HYPERLINK("https://www.philgeps.gov.ph/GEPSNONPILOT/Tender/SplashBidNoticeAbstractUI.aspx?menuIndex=3&amp;refID=7033373&amp;Result=3","7033373")</f>
        <v>0</v>
      </c>
      <c r="B8971" t="s">
        <v>559</v>
      </c>
      <c r="C8971" t="s">
        <v>11633</v>
      </c>
      <c r="D8971" t="s">
        <v>16195</v>
      </c>
      <c r="E8971" t="s">
        <v>24124</v>
      </c>
      <c r="F8971" t="s">
        <v>28198</v>
      </c>
      <c r="G8971" t="s">
        <v>28209</v>
      </c>
      <c r="H8971" t="s">
        <v>28215</v>
      </c>
      <c r="I8971" t="s">
        <v>5100</v>
      </c>
      <c r="J8971" t="s">
        <v>33948</v>
      </c>
      <c r="K8971" t="s">
        <v>36688</v>
      </c>
      <c r="M8971" t="s">
        <v>37545</v>
      </c>
      <c r="N8971" t="s">
        <v>40436</v>
      </c>
      <c r="O8971" t="s">
        <v>40437</v>
      </c>
      <c r="P8971">
        <v>0</v>
      </c>
      <c r="Q8971">
        <v>0</v>
      </c>
      <c r="R8971" t="s">
        <v>40446</v>
      </c>
      <c r="S8971" t="s">
        <v>40783</v>
      </c>
      <c r="T8971" t="s">
        <v>42417</v>
      </c>
      <c r="U8971" t="s">
        <v>50142</v>
      </c>
      <c r="V8971" t="s">
        <v>54745</v>
      </c>
      <c r="W8971" t="s">
        <v>37545</v>
      </c>
      <c r="X8971" t="s">
        <v>40447</v>
      </c>
    </row>
    <row r="8972" spans="1:24">
      <c r="A8972">
        <f>HYPERLINK("https://www.philgeps.gov.ph/GEPSNONPILOT/Tender/SplashBidNoticeAbstractUI.aspx?menuIndex=3&amp;refID=7033364&amp;Result=3","7033364")</f>
        <v>0</v>
      </c>
      <c r="B8972" t="s">
        <v>2386</v>
      </c>
      <c r="C8972" t="s">
        <v>11634</v>
      </c>
      <c r="D8972" t="s">
        <v>16262</v>
      </c>
      <c r="E8972" t="s">
        <v>19713</v>
      </c>
      <c r="F8972" t="s">
        <v>28198</v>
      </c>
      <c r="G8972" t="s">
        <v>28205</v>
      </c>
      <c r="H8972" t="s">
        <v>28214</v>
      </c>
      <c r="I8972" t="s">
        <v>3797</v>
      </c>
      <c r="J8972" t="s">
        <v>30526</v>
      </c>
      <c r="K8972" t="s">
        <v>36692</v>
      </c>
      <c r="M8972" t="s">
        <v>39571</v>
      </c>
      <c r="N8972" t="s">
        <v>40436</v>
      </c>
      <c r="O8972" t="s">
        <v>40437</v>
      </c>
      <c r="P8972">
        <v>0</v>
      </c>
      <c r="Q8972">
        <v>0</v>
      </c>
      <c r="R8972" t="s">
        <v>40446</v>
      </c>
      <c r="S8972" t="s">
        <v>40783</v>
      </c>
      <c r="T8972" t="s">
        <v>42346</v>
      </c>
      <c r="U8972" t="s">
        <v>50143</v>
      </c>
      <c r="V8972" t="s">
        <v>54627</v>
      </c>
      <c r="W8972" t="s">
        <v>39571</v>
      </c>
      <c r="X8972" t="s">
        <v>40447</v>
      </c>
    </row>
    <row r="8973" spans="1:24">
      <c r="A8973">
        <f>HYPERLINK("https://www.philgeps.gov.ph/GEPSNONPILOT/Tender/SplashBidNoticeAbstractUI.aspx?menuIndex=3&amp;refID=7033388&amp;Result=3","7033388")</f>
        <v>0</v>
      </c>
      <c r="B8973" t="s">
        <v>2217</v>
      </c>
      <c r="C8973" t="s">
        <v>11635</v>
      </c>
      <c r="D8973" t="s">
        <v>16199</v>
      </c>
      <c r="E8973" t="s">
        <v>24125</v>
      </c>
      <c r="F8973" t="s">
        <v>28198</v>
      </c>
      <c r="G8973" t="s">
        <v>28207</v>
      </c>
      <c r="H8973" t="s">
        <v>28215</v>
      </c>
      <c r="I8973" t="s">
        <v>5100</v>
      </c>
      <c r="J8973" t="s">
        <v>33949</v>
      </c>
      <c r="K8973" t="s">
        <v>36693</v>
      </c>
      <c r="L8973" t="s">
        <v>2217</v>
      </c>
      <c r="M8973" t="s">
        <v>39383</v>
      </c>
      <c r="N8973" t="s">
        <v>40436</v>
      </c>
      <c r="O8973" t="s">
        <v>40437</v>
      </c>
      <c r="P8973">
        <v>0</v>
      </c>
      <c r="Q8973">
        <v>0</v>
      </c>
      <c r="R8973" t="s">
        <v>40446</v>
      </c>
      <c r="S8973" t="s">
        <v>40783</v>
      </c>
      <c r="T8973" t="s">
        <v>42184</v>
      </c>
      <c r="U8973" t="s">
        <v>48579</v>
      </c>
      <c r="W8973" t="s">
        <v>39383</v>
      </c>
      <c r="X8973" t="s">
        <v>40447</v>
      </c>
    </row>
    <row r="8974" spans="1:24">
      <c r="A8974">
        <f>HYPERLINK("https://www.philgeps.gov.ph/GEPSNONPILOT/Tender/SplashBidNoticeAbstractUI.aspx?menuIndex=3&amp;refID=7033386&amp;Result=3","7033386")</f>
        <v>0</v>
      </c>
      <c r="B8974" t="s">
        <v>677</v>
      </c>
      <c r="C8974" t="s">
        <v>11636</v>
      </c>
      <c r="D8974" t="s">
        <v>16247</v>
      </c>
      <c r="E8974" t="s">
        <v>24126</v>
      </c>
      <c r="F8974" t="s">
        <v>28198</v>
      </c>
      <c r="G8974" t="s">
        <v>28206</v>
      </c>
      <c r="H8974" t="s">
        <v>28215</v>
      </c>
      <c r="I8974" t="s">
        <v>28234</v>
      </c>
      <c r="J8974" t="s">
        <v>33950</v>
      </c>
      <c r="K8974" t="s">
        <v>36688</v>
      </c>
      <c r="M8974" t="s">
        <v>37675</v>
      </c>
      <c r="N8974" t="s">
        <v>40436</v>
      </c>
      <c r="O8974" t="s">
        <v>40437</v>
      </c>
      <c r="Q8974">
        <v>2</v>
      </c>
      <c r="R8974" t="s">
        <v>40446</v>
      </c>
      <c r="S8974" t="s">
        <v>40811</v>
      </c>
      <c r="T8974" t="s">
        <v>42216</v>
      </c>
      <c r="U8974" t="s">
        <v>50144</v>
      </c>
      <c r="W8974" t="s">
        <v>37675</v>
      </c>
      <c r="X8974" t="s">
        <v>40447</v>
      </c>
    </row>
    <row r="8975" spans="1:24">
      <c r="A8975">
        <f>HYPERLINK("https://www.philgeps.gov.ph/GEPSNONPILOT/Tender/SplashBidNoticeAbstractUI.aspx?menuIndex=3&amp;refID=7033371&amp;Result=3","7033371")</f>
        <v>0</v>
      </c>
      <c r="B8975" t="s">
        <v>2217</v>
      </c>
      <c r="C8975" t="s">
        <v>11637</v>
      </c>
      <c r="D8975" t="s">
        <v>16199</v>
      </c>
      <c r="E8975" t="s">
        <v>24127</v>
      </c>
      <c r="F8975" t="s">
        <v>28198</v>
      </c>
      <c r="G8975" t="s">
        <v>28207</v>
      </c>
      <c r="H8975" t="s">
        <v>28215</v>
      </c>
      <c r="I8975" t="s">
        <v>5100</v>
      </c>
      <c r="J8975" t="s">
        <v>33930</v>
      </c>
      <c r="K8975" t="s">
        <v>36688</v>
      </c>
      <c r="L8975" t="s">
        <v>2217</v>
      </c>
      <c r="M8975" t="s">
        <v>39383</v>
      </c>
      <c r="N8975" t="s">
        <v>40436</v>
      </c>
      <c r="O8975" t="s">
        <v>40437</v>
      </c>
      <c r="P8975">
        <v>0</v>
      </c>
      <c r="Q8975">
        <v>0</v>
      </c>
      <c r="R8975" t="s">
        <v>40446</v>
      </c>
      <c r="S8975" t="s">
        <v>40783</v>
      </c>
      <c r="T8975" t="s">
        <v>42184</v>
      </c>
      <c r="U8975" t="s">
        <v>48579</v>
      </c>
      <c r="W8975" t="s">
        <v>39383</v>
      </c>
      <c r="X8975" t="s">
        <v>40447</v>
      </c>
    </row>
    <row r="8976" spans="1:24">
      <c r="A8976">
        <f>HYPERLINK("https://www.philgeps.gov.ph/GEPSNONPILOT/Tender/SplashBidNoticeAbstractUI.aspx?menuIndex=3&amp;refID=7033403&amp;Result=3","7033403")</f>
        <v>0</v>
      </c>
      <c r="B8976" t="s">
        <v>1744</v>
      </c>
      <c r="C8976" t="s">
        <v>11638</v>
      </c>
      <c r="D8976" t="s">
        <v>16210</v>
      </c>
      <c r="E8976" t="s">
        <v>24128</v>
      </c>
      <c r="F8976" t="s">
        <v>28198</v>
      </c>
      <c r="G8976" t="s">
        <v>28207</v>
      </c>
      <c r="H8976" t="s">
        <v>28216</v>
      </c>
      <c r="I8976" t="s">
        <v>28312</v>
      </c>
      <c r="J8976" t="s">
        <v>28413</v>
      </c>
      <c r="K8976" t="s">
        <v>36689</v>
      </c>
      <c r="M8976" t="s">
        <v>38856</v>
      </c>
      <c r="N8976" t="s">
        <v>40436</v>
      </c>
      <c r="O8976" t="s">
        <v>40437</v>
      </c>
      <c r="Q8976">
        <v>3</v>
      </c>
      <c r="R8976" t="s">
        <v>40446</v>
      </c>
      <c r="S8976" t="s">
        <v>40812</v>
      </c>
      <c r="T8976" t="s">
        <v>42169</v>
      </c>
      <c r="U8976" t="s">
        <v>50145</v>
      </c>
      <c r="V8976" t="s">
        <v>54290</v>
      </c>
      <c r="W8976" t="s">
        <v>55495</v>
      </c>
      <c r="X8976" t="s">
        <v>40447</v>
      </c>
    </row>
    <row r="8977" spans="1:24">
      <c r="A8977">
        <f>HYPERLINK("https://www.philgeps.gov.ph/GEPSNONPILOT/Tender/SplashBidNoticeAbstractUI.aspx?menuIndex=3&amp;refID=7033422&amp;Result=3","7033422")</f>
        <v>0</v>
      </c>
      <c r="B8977" t="s">
        <v>2571</v>
      </c>
      <c r="C8977" t="s">
        <v>11639</v>
      </c>
      <c r="D8977" t="s">
        <v>16228</v>
      </c>
      <c r="E8977" t="s">
        <v>24129</v>
      </c>
      <c r="F8977" t="s">
        <v>28198</v>
      </c>
      <c r="G8977" t="s">
        <v>28205</v>
      </c>
      <c r="H8977" t="s">
        <v>28214</v>
      </c>
      <c r="I8977" t="s">
        <v>5100</v>
      </c>
      <c r="J8977" t="s">
        <v>33951</v>
      </c>
      <c r="K8977" t="s">
        <v>36707</v>
      </c>
      <c r="M8977" t="s">
        <v>39785</v>
      </c>
      <c r="N8977" t="s">
        <v>40436</v>
      </c>
      <c r="O8977" t="s">
        <v>40437</v>
      </c>
      <c r="P8977">
        <v>0</v>
      </c>
      <c r="Q8977">
        <v>1</v>
      </c>
      <c r="R8977" t="s">
        <v>40446</v>
      </c>
      <c r="S8977" t="s">
        <v>40783</v>
      </c>
      <c r="T8977" t="s">
        <v>42144</v>
      </c>
      <c r="U8977" t="s">
        <v>50146</v>
      </c>
      <c r="V8977" t="s">
        <v>54746</v>
      </c>
      <c r="W8977" t="s">
        <v>39785</v>
      </c>
      <c r="X8977" t="s">
        <v>40447</v>
      </c>
    </row>
    <row r="8978" spans="1:24">
      <c r="A8978">
        <f>HYPERLINK("https://www.philgeps.gov.ph/GEPSNONPILOT/Tender/SplashBidNoticeAbstractUI.aspx?menuIndex=3&amp;refID=7033361&amp;Result=3","7033361")</f>
        <v>0</v>
      </c>
      <c r="B8978" t="s">
        <v>2567</v>
      </c>
      <c r="C8978" t="s">
        <v>11640</v>
      </c>
      <c r="D8978" t="s">
        <v>16274</v>
      </c>
      <c r="E8978" t="s">
        <v>24130</v>
      </c>
      <c r="F8978" t="s">
        <v>28198</v>
      </c>
      <c r="G8978" t="s">
        <v>28205</v>
      </c>
      <c r="H8978" t="s">
        <v>28214</v>
      </c>
      <c r="I8978" t="s">
        <v>3797</v>
      </c>
      <c r="J8978" t="s">
        <v>33952</v>
      </c>
      <c r="K8978" t="s">
        <v>36766</v>
      </c>
      <c r="M8978" t="s">
        <v>39781</v>
      </c>
      <c r="N8978" t="s">
        <v>40436</v>
      </c>
      <c r="O8978" t="s">
        <v>40437</v>
      </c>
      <c r="P8978">
        <v>0</v>
      </c>
      <c r="Q8978">
        <v>0</v>
      </c>
      <c r="R8978" t="s">
        <v>40446</v>
      </c>
      <c r="S8978" t="s">
        <v>40783</v>
      </c>
      <c r="T8978" t="s">
        <v>42532</v>
      </c>
      <c r="U8978" t="s">
        <v>50147</v>
      </c>
      <c r="W8978" t="s">
        <v>39781</v>
      </c>
      <c r="X8978" t="s">
        <v>40447</v>
      </c>
    </row>
    <row r="8979" spans="1:24">
      <c r="A8979">
        <f>HYPERLINK("https://www.philgeps.gov.ph/GEPSNONPILOT/Tender/SplashBidNoticeAbstractUI.aspx?menuIndex=3&amp;refID=7033405&amp;Result=3","7033405")</f>
        <v>0</v>
      </c>
      <c r="B8979" t="s">
        <v>2568</v>
      </c>
      <c r="C8979" t="s">
        <v>11641</v>
      </c>
      <c r="D8979" t="s">
        <v>16207</v>
      </c>
      <c r="E8979" t="s">
        <v>24131</v>
      </c>
      <c r="F8979" t="s">
        <v>28198</v>
      </c>
      <c r="G8979" t="s">
        <v>28207</v>
      </c>
      <c r="H8979" t="s">
        <v>28215</v>
      </c>
      <c r="I8979" t="s">
        <v>28222</v>
      </c>
      <c r="J8979" t="s">
        <v>29261</v>
      </c>
      <c r="K8979" t="s">
        <v>36701</v>
      </c>
      <c r="M8979" t="s">
        <v>39782</v>
      </c>
      <c r="N8979" t="s">
        <v>40436</v>
      </c>
      <c r="O8979" t="s">
        <v>40437</v>
      </c>
      <c r="P8979">
        <v>0</v>
      </c>
      <c r="Q8979">
        <v>0</v>
      </c>
      <c r="R8979" t="s">
        <v>40446</v>
      </c>
      <c r="S8979" t="s">
        <v>40783</v>
      </c>
      <c r="T8979" t="s">
        <v>42193</v>
      </c>
      <c r="U8979" t="s">
        <v>50148</v>
      </c>
      <c r="W8979" t="s">
        <v>39782</v>
      </c>
      <c r="X8979" t="s">
        <v>40447</v>
      </c>
    </row>
    <row r="8980" spans="1:24">
      <c r="A8980">
        <f>HYPERLINK("https://www.philgeps.gov.ph/GEPSNONPILOT/Tender/SplashBidNoticeAbstractUI.aspx?menuIndex=3&amp;refID=7033408&amp;Result=3","7033408")</f>
        <v>0</v>
      </c>
      <c r="B8980" t="s">
        <v>2572</v>
      </c>
      <c r="C8980" t="s">
        <v>11642</v>
      </c>
      <c r="D8980" t="s">
        <v>16244</v>
      </c>
      <c r="E8980" t="s">
        <v>24132</v>
      </c>
      <c r="F8980" t="s">
        <v>28198</v>
      </c>
      <c r="G8980" t="s">
        <v>28205</v>
      </c>
      <c r="H8980" t="s">
        <v>28215</v>
      </c>
      <c r="I8980" t="s">
        <v>5656</v>
      </c>
      <c r="J8980" t="s">
        <v>33953</v>
      </c>
      <c r="K8980" t="s">
        <v>36701</v>
      </c>
      <c r="M8980" t="s">
        <v>39786</v>
      </c>
      <c r="N8980" t="s">
        <v>40436</v>
      </c>
      <c r="O8980" t="s">
        <v>40437</v>
      </c>
      <c r="P8980">
        <v>0</v>
      </c>
      <c r="Q8980">
        <v>4</v>
      </c>
      <c r="R8980" t="s">
        <v>40446</v>
      </c>
      <c r="S8980" t="s">
        <v>40783</v>
      </c>
      <c r="T8980" t="s">
        <v>42529</v>
      </c>
      <c r="U8980" t="s">
        <v>50149</v>
      </c>
      <c r="W8980" t="s">
        <v>39786</v>
      </c>
      <c r="X8980" t="s">
        <v>40447</v>
      </c>
    </row>
    <row r="8981" spans="1:24">
      <c r="A8981">
        <f>HYPERLINK("https://www.philgeps.gov.ph/GEPSNONPILOT/Tender/SplashBidNoticeAbstractUI.aspx?menuIndex=3&amp;refID=7033431&amp;Result=3","7033431")</f>
        <v>0</v>
      </c>
      <c r="B8981" t="s">
        <v>2568</v>
      </c>
      <c r="C8981" t="s">
        <v>11643</v>
      </c>
      <c r="D8981" t="s">
        <v>16207</v>
      </c>
      <c r="E8981" t="s">
        <v>24133</v>
      </c>
      <c r="F8981" t="s">
        <v>28198</v>
      </c>
      <c r="G8981" t="s">
        <v>28207</v>
      </c>
      <c r="H8981" t="s">
        <v>28215</v>
      </c>
      <c r="I8981" t="s">
        <v>28234</v>
      </c>
      <c r="J8981" t="s">
        <v>28378</v>
      </c>
      <c r="K8981" t="s">
        <v>36701</v>
      </c>
      <c r="M8981" t="s">
        <v>39782</v>
      </c>
      <c r="N8981" t="s">
        <v>40436</v>
      </c>
      <c r="O8981" t="s">
        <v>40437</v>
      </c>
      <c r="P8981">
        <v>0</v>
      </c>
      <c r="Q8981">
        <v>4</v>
      </c>
      <c r="R8981" t="s">
        <v>40446</v>
      </c>
      <c r="S8981" t="s">
        <v>40783</v>
      </c>
      <c r="T8981" t="s">
        <v>42128</v>
      </c>
      <c r="U8981" t="s">
        <v>50150</v>
      </c>
      <c r="W8981" t="s">
        <v>39782</v>
      </c>
      <c r="X8981" t="s">
        <v>40447</v>
      </c>
    </row>
    <row r="8982" spans="1:24">
      <c r="A8982">
        <f>HYPERLINK("https://www.philgeps.gov.ph/GEPSNONPILOT/Tender/SplashBidNoticeAbstractUI.aspx?menuIndex=3&amp;refID=7033389&amp;Result=3","7033389")</f>
        <v>0</v>
      </c>
      <c r="B8982" t="s">
        <v>2573</v>
      </c>
      <c r="C8982" t="s">
        <v>11644</v>
      </c>
      <c r="D8982" t="s">
        <v>16237</v>
      </c>
      <c r="E8982" t="s">
        <v>24134</v>
      </c>
      <c r="F8982" t="s">
        <v>28198</v>
      </c>
      <c r="G8982" t="s">
        <v>28205</v>
      </c>
      <c r="H8982" t="s">
        <v>28215</v>
      </c>
      <c r="I8982" t="s">
        <v>5100</v>
      </c>
      <c r="J8982" t="s">
        <v>33954</v>
      </c>
      <c r="K8982" t="s">
        <v>36701</v>
      </c>
      <c r="M8982" t="s">
        <v>39787</v>
      </c>
      <c r="N8982" t="s">
        <v>40436</v>
      </c>
      <c r="O8982" t="s">
        <v>40437</v>
      </c>
      <c r="P8982">
        <v>0</v>
      </c>
      <c r="Q8982">
        <v>3</v>
      </c>
      <c r="R8982" t="s">
        <v>40446</v>
      </c>
      <c r="S8982" t="s">
        <v>40783</v>
      </c>
      <c r="T8982" t="s">
        <v>42425</v>
      </c>
      <c r="U8982" t="s">
        <v>50151</v>
      </c>
      <c r="W8982" t="s">
        <v>39787</v>
      </c>
      <c r="X8982" t="s">
        <v>40447</v>
      </c>
    </row>
    <row r="8983" spans="1:24">
      <c r="A8983">
        <f>HYPERLINK("https://www.philgeps.gov.ph/GEPSNONPILOT/Tender/SplashBidNoticeAbstractUI.aspx?menuIndex=3&amp;refID=7033423&amp;Result=3","7033423")</f>
        <v>0</v>
      </c>
      <c r="B8983" t="s">
        <v>2574</v>
      </c>
      <c r="C8983" t="s">
        <v>11645</v>
      </c>
      <c r="E8983" t="s">
        <v>24135</v>
      </c>
      <c r="F8983" t="s">
        <v>28198</v>
      </c>
      <c r="G8983" t="s">
        <v>28205</v>
      </c>
      <c r="H8983" t="s">
        <v>28215</v>
      </c>
      <c r="I8983" t="s">
        <v>28234</v>
      </c>
      <c r="J8983" t="s">
        <v>33955</v>
      </c>
      <c r="K8983" t="s">
        <v>36715</v>
      </c>
      <c r="M8983" t="s">
        <v>39788</v>
      </c>
      <c r="N8983" t="s">
        <v>40436</v>
      </c>
      <c r="O8983" t="s">
        <v>40437</v>
      </c>
      <c r="Q8983">
        <v>1</v>
      </c>
      <c r="R8983" t="s">
        <v>40446</v>
      </c>
      <c r="S8983" t="s">
        <v>40813</v>
      </c>
      <c r="T8983" t="s">
        <v>42279</v>
      </c>
      <c r="U8983" t="s">
        <v>50152</v>
      </c>
      <c r="W8983" t="s">
        <v>39788</v>
      </c>
      <c r="X8983" t="s">
        <v>40447</v>
      </c>
    </row>
    <row r="8984" spans="1:24">
      <c r="A8984">
        <f>HYPERLINK("https://www.philgeps.gov.ph/GEPSNONPILOT/Tender/SplashBidNoticeAbstractUI.aspx?menuIndex=3&amp;refID=7033430&amp;Result=3","7033430")</f>
        <v>0</v>
      </c>
      <c r="B8984" t="s">
        <v>2517</v>
      </c>
      <c r="C8984" t="s">
        <v>11646</v>
      </c>
      <c r="D8984" t="s">
        <v>16217</v>
      </c>
      <c r="E8984" t="s">
        <v>24136</v>
      </c>
      <c r="F8984" t="s">
        <v>28198</v>
      </c>
      <c r="G8984" t="s">
        <v>28206</v>
      </c>
      <c r="H8984" t="s">
        <v>28215</v>
      </c>
      <c r="I8984" t="s">
        <v>28256</v>
      </c>
      <c r="J8984" t="s">
        <v>33956</v>
      </c>
      <c r="K8984" t="s">
        <v>36707</v>
      </c>
      <c r="M8984" t="s">
        <v>39720</v>
      </c>
      <c r="N8984" t="s">
        <v>40436</v>
      </c>
      <c r="O8984" t="s">
        <v>40437</v>
      </c>
      <c r="P8984">
        <v>0</v>
      </c>
      <c r="Q8984">
        <v>6</v>
      </c>
      <c r="R8984" t="s">
        <v>40446</v>
      </c>
      <c r="S8984" t="s">
        <v>40783</v>
      </c>
      <c r="T8984" t="s">
        <v>42233</v>
      </c>
      <c r="U8984" t="s">
        <v>50153</v>
      </c>
      <c r="W8984" t="s">
        <v>39720</v>
      </c>
      <c r="X8984" t="s">
        <v>40447</v>
      </c>
    </row>
    <row r="8985" spans="1:24">
      <c r="A8985">
        <f>HYPERLINK("https://www.philgeps.gov.ph/GEPSNONPILOT/Tender/SplashBidNoticeAbstractUI.aspx?menuIndex=3&amp;refID=7033471&amp;Result=3","7033471")</f>
        <v>0</v>
      </c>
      <c r="B8985" t="s">
        <v>618</v>
      </c>
      <c r="C8985" t="s">
        <v>11647</v>
      </c>
      <c r="D8985" t="s">
        <v>16241</v>
      </c>
      <c r="E8985" t="s">
        <v>17572</v>
      </c>
      <c r="F8985" t="s">
        <v>28198</v>
      </c>
      <c r="G8985" t="s">
        <v>28205</v>
      </c>
      <c r="H8985" t="s">
        <v>28214</v>
      </c>
      <c r="I8985" t="s">
        <v>3797</v>
      </c>
      <c r="J8985" t="s">
        <v>31789</v>
      </c>
      <c r="K8985" t="s">
        <v>36692</v>
      </c>
      <c r="M8985" t="s">
        <v>37610</v>
      </c>
      <c r="N8985" t="s">
        <v>40436</v>
      </c>
      <c r="O8985" t="s">
        <v>40437</v>
      </c>
      <c r="P8985">
        <v>0</v>
      </c>
      <c r="Q8985">
        <v>0</v>
      </c>
      <c r="R8985" t="s">
        <v>40446</v>
      </c>
      <c r="S8985" t="s">
        <v>40783</v>
      </c>
      <c r="T8985" t="s">
        <v>42183</v>
      </c>
      <c r="U8985" t="s">
        <v>50154</v>
      </c>
      <c r="V8985" t="s">
        <v>54747</v>
      </c>
      <c r="W8985" t="s">
        <v>37610</v>
      </c>
      <c r="X8985" t="s">
        <v>40447</v>
      </c>
    </row>
    <row r="8986" spans="1:24">
      <c r="A8986">
        <f>HYPERLINK("https://www.philgeps.gov.ph/GEPSNONPILOT/Tender/SplashBidNoticeAbstractUI.aspx?menuIndex=3&amp;refID=7033463&amp;Result=3","7033463")</f>
        <v>0</v>
      </c>
      <c r="B8986" t="s">
        <v>2575</v>
      </c>
      <c r="C8986" t="s">
        <v>11648</v>
      </c>
      <c r="D8986" t="s">
        <v>16190</v>
      </c>
      <c r="E8986" t="s">
        <v>24137</v>
      </c>
      <c r="F8986" t="s">
        <v>28198</v>
      </c>
      <c r="G8986" t="s">
        <v>28205</v>
      </c>
      <c r="H8986" t="s">
        <v>28214</v>
      </c>
      <c r="I8986" t="s">
        <v>3797</v>
      </c>
      <c r="J8986" t="s">
        <v>28345</v>
      </c>
      <c r="K8986" t="s">
        <v>36701</v>
      </c>
      <c r="M8986" t="s">
        <v>39789</v>
      </c>
      <c r="N8986" t="s">
        <v>40436</v>
      </c>
      <c r="O8986" t="s">
        <v>40437</v>
      </c>
      <c r="P8986">
        <v>0</v>
      </c>
      <c r="Q8986">
        <v>1</v>
      </c>
      <c r="R8986" t="s">
        <v>40446</v>
      </c>
      <c r="S8986" t="s">
        <v>40783</v>
      </c>
      <c r="T8986" t="s">
        <v>42161</v>
      </c>
      <c r="U8986" t="s">
        <v>50155</v>
      </c>
      <c r="V8986" t="s">
        <v>54748</v>
      </c>
      <c r="W8986" t="s">
        <v>39789</v>
      </c>
      <c r="X8986" t="s">
        <v>40447</v>
      </c>
    </row>
    <row r="8987" spans="1:24">
      <c r="A8987">
        <f>HYPERLINK("https://www.philgeps.gov.ph/GEPSNONPILOT/Tender/SplashBidNoticeAbstractUI.aspx?menuIndex=3&amp;refID=7033439&amp;Result=3","7033439")</f>
        <v>0</v>
      </c>
      <c r="B8987" t="s">
        <v>2386</v>
      </c>
      <c r="C8987" t="s">
        <v>11649</v>
      </c>
      <c r="D8987" t="s">
        <v>16262</v>
      </c>
      <c r="E8987" t="s">
        <v>24138</v>
      </c>
      <c r="F8987" t="s">
        <v>28198</v>
      </c>
      <c r="G8987" t="s">
        <v>28205</v>
      </c>
      <c r="H8987" t="s">
        <v>28214</v>
      </c>
      <c r="I8987" t="s">
        <v>3797</v>
      </c>
      <c r="J8987" t="s">
        <v>29113</v>
      </c>
      <c r="K8987" t="s">
        <v>36692</v>
      </c>
      <c r="M8987" t="s">
        <v>39571</v>
      </c>
      <c r="N8987" t="s">
        <v>40436</v>
      </c>
      <c r="O8987" t="s">
        <v>40437</v>
      </c>
      <c r="P8987">
        <v>0</v>
      </c>
      <c r="Q8987">
        <v>0</v>
      </c>
      <c r="R8987" t="s">
        <v>40446</v>
      </c>
      <c r="S8987" t="s">
        <v>40783</v>
      </c>
      <c r="T8987" t="s">
        <v>42346</v>
      </c>
      <c r="U8987" t="s">
        <v>50156</v>
      </c>
      <c r="V8987" t="s">
        <v>54627</v>
      </c>
      <c r="W8987" t="s">
        <v>39571</v>
      </c>
      <c r="X8987" t="s">
        <v>40447</v>
      </c>
    </row>
    <row r="8988" spans="1:24">
      <c r="A8988">
        <f>HYPERLINK("https://www.philgeps.gov.ph/GEPSNONPILOT/Tender/SplashBidNoticeAbstractUI.aspx?menuIndex=3&amp;refID=7033435&amp;Result=3","7033435")</f>
        <v>0</v>
      </c>
      <c r="B8988" t="s">
        <v>1147</v>
      </c>
      <c r="C8988" t="s">
        <v>11650</v>
      </c>
      <c r="D8988" t="s">
        <v>16213</v>
      </c>
      <c r="E8988" t="s">
        <v>24139</v>
      </c>
      <c r="F8988" t="s">
        <v>28198</v>
      </c>
      <c r="G8988" t="s">
        <v>28205</v>
      </c>
      <c r="H8988" t="s">
        <v>28215</v>
      </c>
      <c r="I8988" t="s">
        <v>28234</v>
      </c>
      <c r="J8988" t="s">
        <v>29113</v>
      </c>
      <c r="K8988" t="s">
        <v>36718</v>
      </c>
      <c r="M8988" t="s">
        <v>38187</v>
      </c>
      <c r="N8988" t="s">
        <v>40436</v>
      </c>
      <c r="O8988" t="s">
        <v>40437</v>
      </c>
      <c r="P8988">
        <v>0</v>
      </c>
      <c r="Q8988">
        <v>5</v>
      </c>
      <c r="R8988" t="s">
        <v>40446</v>
      </c>
      <c r="S8988" t="s">
        <v>40783</v>
      </c>
      <c r="T8988" t="s">
        <v>42346</v>
      </c>
      <c r="U8988" t="s">
        <v>50157</v>
      </c>
      <c r="W8988" t="s">
        <v>38187</v>
      </c>
      <c r="X8988" t="s">
        <v>40447</v>
      </c>
    </row>
    <row r="8989" spans="1:24">
      <c r="A8989">
        <f>HYPERLINK("https://www.philgeps.gov.ph/GEPSNONPILOT/Tender/SplashBidNoticeAbstractUI.aspx?menuIndex=3&amp;refID=7033453&amp;Result=3","7033453")</f>
        <v>0</v>
      </c>
      <c r="B8989" t="s">
        <v>1179</v>
      </c>
      <c r="C8989" t="s">
        <v>11651</v>
      </c>
      <c r="D8989" t="s">
        <v>16193</v>
      </c>
      <c r="E8989" t="s">
        <v>18992</v>
      </c>
      <c r="F8989" t="s">
        <v>28200</v>
      </c>
      <c r="G8989" t="s">
        <v>28206</v>
      </c>
      <c r="H8989" t="s">
        <v>28214</v>
      </c>
      <c r="I8989" t="s">
        <v>28237</v>
      </c>
      <c r="J8989" t="s">
        <v>33957</v>
      </c>
      <c r="K8989" t="s">
        <v>36707</v>
      </c>
      <c r="L8989" t="s">
        <v>1179</v>
      </c>
      <c r="M8989" t="s">
        <v>38221</v>
      </c>
      <c r="N8989" t="s">
        <v>40436</v>
      </c>
      <c r="O8989" t="s">
        <v>40437</v>
      </c>
      <c r="P8989">
        <v>0</v>
      </c>
      <c r="Q8989">
        <v>0</v>
      </c>
      <c r="R8989" t="s">
        <v>40446</v>
      </c>
      <c r="S8989" t="s">
        <v>40783</v>
      </c>
      <c r="T8989" t="s">
        <v>42279</v>
      </c>
      <c r="U8989" t="s">
        <v>50158</v>
      </c>
      <c r="W8989" t="s">
        <v>38221</v>
      </c>
      <c r="X8989" t="s">
        <v>40447</v>
      </c>
    </row>
    <row r="8990" spans="1:24">
      <c r="A8990">
        <f>HYPERLINK("https://www.philgeps.gov.ph/GEPSNONPILOT/Tender/SplashBidNoticeAbstractUI.aspx?menuIndex=3&amp;refID=7033455&amp;Result=3","7033455")</f>
        <v>0</v>
      </c>
      <c r="B8990" t="s">
        <v>2576</v>
      </c>
      <c r="C8990" t="s">
        <v>11652</v>
      </c>
      <c r="D8990" t="s">
        <v>16255</v>
      </c>
      <c r="E8990" t="s">
        <v>24140</v>
      </c>
      <c r="F8990" t="s">
        <v>28198</v>
      </c>
      <c r="G8990" t="s">
        <v>28205</v>
      </c>
      <c r="H8990" t="s">
        <v>28215</v>
      </c>
      <c r="I8990" t="s">
        <v>28274</v>
      </c>
      <c r="J8990" t="s">
        <v>33958</v>
      </c>
      <c r="K8990" t="s">
        <v>36701</v>
      </c>
      <c r="M8990" t="s">
        <v>39790</v>
      </c>
      <c r="N8990" t="s">
        <v>40436</v>
      </c>
      <c r="O8990" t="s">
        <v>40437</v>
      </c>
      <c r="P8990">
        <v>0</v>
      </c>
      <c r="Q8990">
        <v>0</v>
      </c>
      <c r="R8990" t="s">
        <v>40446</v>
      </c>
      <c r="S8990" t="s">
        <v>40783</v>
      </c>
      <c r="T8990" t="s">
        <v>42218</v>
      </c>
      <c r="U8990" t="s">
        <v>50159</v>
      </c>
      <c r="W8990" t="s">
        <v>39790</v>
      </c>
      <c r="X8990" t="s">
        <v>40447</v>
      </c>
    </row>
    <row r="8991" spans="1:24">
      <c r="A8991">
        <f>HYPERLINK("https://www.philgeps.gov.ph/GEPSNONPILOT/Tender/SplashBidNoticeAbstractUI.aspx?menuIndex=3&amp;refID=7033476&amp;Result=3","7033476")</f>
        <v>0</v>
      </c>
      <c r="B8991" t="s">
        <v>1147</v>
      </c>
      <c r="C8991" t="s">
        <v>11653</v>
      </c>
      <c r="D8991" t="s">
        <v>16213</v>
      </c>
      <c r="E8991" t="s">
        <v>24141</v>
      </c>
      <c r="F8991" t="s">
        <v>28198</v>
      </c>
      <c r="G8991" t="s">
        <v>28205</v>
      </c>
      <c r="H8991" t="s">
        <v>28215</v>
      </c>
      <c r="I8991" t="s">
        <v>28222</v>
      </c>
      <c r="J8991" t="s">
        <v>33959</v>
      </c>
      <c r="K8991" t="s">
        <v>36718</v>
      </c>
      <c r="M8991" t="s">
        <v>38187</v>
      </c>
      <c r="N8991" t="s">
        <v>40436</v>
      </c>
      <c r="O8991" t="s">
        <v>40437</v>
      </c>
      <c r="P8991">
        <v>0</v>
      </c>
      <c r="Q8991">
        <v>7</v>
      </c>
      <c r="R8991" t="s">
        <v>40446</v>
      </c>
      <c r="S8991" t="s">
        <v>40783</v>
      </c>
      <c r="T8991" t="s">
        <v>42346</v>
      </c>
      <c r="U8991" t="s">
        <v>50160</v>
      </c>
      <c r="W8991" t="s">
        <v>38187</v>
      </c>
      <c r="X8991" t="s">
        <v>40447</v>
      </c>
    </row>
    <row r="8992" spans="1:24">
      <c r="A8992">
        <f>HYPERLINK("https://www.philgeps.gov.ph/GEPSNONPILOT/Tender/SplashBidNoticeAbstractUI.aspx?menuIndex=3&amp;refID=7033441&amp;Result=3","7033441")</f>
        <v>0</v>
      </c>
      <c r="B8992" t="s">
        <v>2564</v>
      </c>
      <c r="C8992" t="s">
        <v>11654</v>
      </c>
      <c r="D8992" t="s">
        <v>16244</v>
      </c>
      <c r="E8992" t="s">
        <v>24142</v>
      </c>
      <c r="F8992" t="s">
        <v>28198</v>
      </c>
      <c r="G8992" t="s">
        <v>28205</v>
      </c>
      <c r="H8992" t="s">
        <v>28214</v>
      </c>
      <c r="I8992" t="s">
        <v>3797</v>
      </c>
      <c r="J8992" t="s">
        <v>33960</v>
      </c>
      <c r="K8992" t="s">
        <v>36692</v>
      </c>
      <c r="M8992" t="s">
        <v>39778</v>
      </c>
      <c r="N8992" t="s">
        <v>40436</v>
      </c>
      <c r="O8992" t="s">
        <v>40437</v>
      </c>
      <c r="P8992">
        <v>0</v>
      </c>
      <c r="Q8992">
        <v>0</v>
      </c>
      <c r="R8992" t="s">
        <v>40446</v>
      </c>
      <c r="S8992" t="s">
        <v>40783</v>
      </c>
      <c r="T8992" t="s">
        <v>42278</v>
      </c>
      <c r="U8992" t="s">
        <v>50161</v>
      </c>
      <c r="W8992" t="s">
        <v>39778</v>
      </c>
      <c r="X8992" t="s">
        <v>40447</v>
      </c>
    </row>
    <row r="8993" spans="1:24">
      <c r="A8993">
        <f>HYPERLINK("https://www.philgeps.gov.ph/GEPSNONPILOT/Tender/SplashBidNoticeAbstractUI.aspx?menuIndex=3&amp;refID=7033472&amp;Result=3","7033472")</f>
        <v>0</v>
      </c>
      <c r="B8993" t="s">
        <v>854</v>
      </c>
      <c r="C8993" t="s">
        <v>11655</v>
      </c>
      <c r="D8993" t="s">
        <v>16252</v>
      </c>
      <c r="E8993" t="s">
        <v>24143</v>
      </c>
      <c r="F8993" t="s">
        <v>28198</v>
      </c>
      <c r="G8993" t="s">
        <v>28206</v>
      </c>
      <c r="H8993" t="s">
        <v>28215</v>
      </c>
      <c r="I8993" t="s">
        <v>5100</v>
      </c>
      <c r="J8993" t="s">
        <v>33961</v>
      </c>
      <c r="K8993" t="s">
        <v>36706</v>
      </c>
      <c r="M8993" t="s">
        <v>37866</v>
      </c>
      <c r="N8993" t="s">
        <v>40436</v>
      </c>
      <c r="O8993" t="s">
        <v>40437</v>
      </c>
      <c r="P8993">
        <v>0</v>
      </c>
      <c r="Q8993">
        <v>0</v>
      </c>
      <c r="R8993" t="s">
        <v>40446</v>
      </c>
      <c r="S8993" t="s">
        <v>40783</v>
      </c>
      <c r="T8993" t="s">
        <v>42163</v>
      </c>
      <c r="U8993" t="s">
        <v>48069</v>
      </c>
      <c r="W8993" t="s">
        <v>37866</v>
      </c>
      <c r="X8993" t="s">
        <v>40447</v>
      </c>
    </row>
    <row r="8994" spans="1:24">
      <c r="A8994">
        <f>HYPERLINK("https://www.philgeps.gov.ph/GEPSNONPILOT/Tender/SplashBidNoticeAbstractUI.aspx?menuIndex=3&amp;refID=7033529&amp;Result=3","7033529")</f>
        <v>0</v>
      </c>
      <c r="B8994" t="s">
        <v>2566</v>
      </c>
      <c r="C8994" t="s">
        <v>11656</v>
      </c>
      <c r="D8994" t="s">
        <v>16223</v>
      </c>
      <c r="E8994" t="s">
        <v>24144</v>
      </c>
      <c r="F8994" t="s">
        <v>28198</v>
      </c>
      <c r="G8994" t="s">
        <v>28205</v>
      </c>
      <c r="H8994" t="s">
        <v>28215</v>
      </c>
      <c r="I8994" t="s">
        <v>3422</v>
      </c>
      <c r="J8994" t="s">
        <v>28363</v>
      </c>
      <c r="K8994" t="s">
        <v>36742</v>
      </c>
      <c r="M8994" t="s">
        <v>39780</v>
      </c>
      <c r="N8994" t="s">
        <v>40436</v>
      </c>
      <c r="O8994" t="s">
        <v>40437</v>
      </c>
      <c r="P8994">
        <v>0</v>
      </c>
      <c r="Q8994">
        <v>0</v>
      </c>
      <c r="R8994" t="s">
        <v>40446</v>
      </c>
      <c r="S8994" t="s">
        <v>40783</v>
      </c>
      <c r="T8994" t="s">
        <v>42234</v>
      </c>
      <c r="U8994" t="s">
        <v>50162</v>
      </c>
      <c r="W8994" t="s">
        <v>39780</v>
      </c>
      <c r="X8994" t="s">
        <v>40447</v>
      </c>
    </row>
    <row r="8995" spans="1:24">
      <c r="A8995">
        <f>HYPERLINK("https://www.philgeps.gov.ph/GEPSNONPILOT/Tender/SplashBidNoticeAbstractUI.aspx?menuIndex=3&amp;refID=7033442&amp;Result=3","7033442")</f>
        <v>0</v>
      </c>
      <c r="B8995" t="s">
        <v>207</v>
      </c>
      <c r="C8995" t="s">
        <v>3458</v>
      </c>
      <c r="D8995" t="s">
        <v>16210</v>
      </c>
      <c r="E8995" t="s">
        <v>16657</v>
      </c>
      <c r="F8995" t="s">
        <v>28201</v>
      </c>
      <c r="G8995" t="s">
        <v>28205</v>
      </c>
      <c r="H8995" t="s">
        <v>28215</v>
      </c>
      <c r="I8995" t="s">
        <v>5082</v>
      </c>
      <c r="J8995" t="s">
        <v>33962</v>
      </c>
      <c r="K8995" t="s">
        <v>36688</v>
      </c>
      <c r="M8995" t="s">
        <v>37183</v>
      </c>
      <c r="N8995" t="s">
        <v>40436</v>
      </c>
      <c r="O8995" t="s">
        <v>40437</v>
      </c>
      <c r="P8995">
        <v>0</v>
      </c>
      <c r="Q8995">
        <v>1</v>
      </c>
      <c r="R8995" t="s">
        <v>40446</v>
      </c>
      <c r="S8995" t="s">
        <v>40783</v>
      </c>
      <c r="T8995" t="s">
        <v>42177</v>
      </c>
      <c r="U8995" t="s">
        <v>50163</v>
      </c>
      <c r="W8995" t="s">
        <v>37183</v>
      </c>
      <c r="X8995" t="s">
        <v>40447</v>
      </c>
    </row>
    <row r="8996" spans="1:24">
      <c r="A8996">
        <f>HYPERLINK("https://www.philgeps.gov.ph/GEPSNONPILOT/Tender/SplashBidNoticeAbstractUI.aspx?menuIndex=3&amp;refID=7033474&amp;Result=3","7033474")</f>
        <v>0</v>
      </c>
      <c r="B8996" t="s">
        <v>2577</v>
      </c>
      <c r="C8996" t="s">
        <v>11657</v>
      </c>
      <c r="D8996" t="s">
        <v>16250</v>
      </c>
      <c r="E8996" t="s">
        <v>24145</v>
      </c>
      <c r="F8996" t="s">
        <v>28198</v>
      </c>
      <c r="G8996" t="s">
        <v>28205</v>
      </c>
      <c r="H8996" t="s">
        <v>28215</v>
      </c>
      <c r="I8996" t="s">
        <v>5100</v>
      </c>
      <c r="J8996" t="s">
        <v>33963</v>
      </c>
      <c r="K8996" t="s">
        <v>36706</v>
      </c>
      <c r="M8996" t="s">
        <v>39791</v>
      </c>
      <c r="N8996" t="s">
        <v>40436</v>
      </c>
      <c r="O8996" t="s">
        <v>40437</v>
      </c>
      <c r="P8996">
        <v>0</v>
      </c>
      <c r="Q8996">
        <v>0</v>
      </c>
      <c r="R8996" t="s">
        <v>40446</v>
      </c>
      <c r="S8996" t="s">
        <v>40783</v>
      </c>
      <c r="T8996" t="s">
        <v>42533</v>
      </c>
      <c r="U8996" t="s">
        <v>50164</v>
      </c>
      <c r="V8996" t="s">
        <v>53818</v>
      </c>
      <c r="W8996" t="s">
        <v>39791</v>
      </c>
      <c r="X8996" t="s">
        <v>40447</v>
      </c>
    </row>
    <row r="8997" spans="1:24">
      <c r="A8997">
        <f>HYPERLINK("https://www.philgeps.gov.ph/GEPSNONPILOT/Tender/SplashBidNoticeAbstractUI.aspx?menuIndex=3&amp;refID=7033524&amp;Result=3","7033524")</f>
        <v>0</v>
      </c>
      <c r="B8997" t="s">
        <v>2578</v>
      </c>
      <c r="C8997" t="s">
        <v>11658</v>
      </c>
      <c r="D8997" t="s">
        <v>16197</v>
      </c>
      <c r="E8997" t="s">
        <v>18328</v>
      </c>
      <c r="F8997" t="s">
        <v>28198</v>
      </c>
      <c r="G8997" t="s">
        <v>28205</v>
      </c>
      <c r="H8997" t="s">
        <v>28215</v>
      </c>
      <c r="I8997" t="s">
        <v>5100</v>
      </c>
      <c r="J8997" t="s">
        <v>33964</v>
      </c>
      <c r="K8997" t="s">
        <v>36706</v>
      </c>
      <c r="M8997" t="s">
        <v>39792</v>
      </c>
      <c r="N8997" t="s">
        <v>40436</v>
      </c>
      <c r="O8997" t="s">
        <v>40437</v>
      </c>
      <c r="P8997">
        <v>0</v>
      </c>
      <c r="Q8997">
        <v>0</v>
      </c>
      <c r="R8997" t="s">
        <v>40446</v>
      </c>
      <c r="S8997" t="s">
        <v>40783</v>
      </c>
      <c r="T8997" t="s">
        <v>42168</v>
      </c>
      <c r="U8997" t="s">
        <v>50165</v>
      </c>
      <c r="V8997" t="s">
        <v>54749</v>
      </c>
      <c r="W8997" t="s">
        <v>39792</v>
      </c>
      <c r="X8997" t="s">
        <v>40447</v>
      </c>
    </row>
    <row r="8998" spans="1:24">
      <c r="A8998">
        <f>HYPERLINK("https://www.philgeps.gov.ph/GEPSNONPILOT/Tender/SplashBidNoticeAbstractUI.aspx?menuIndex=3&amp;refID=7033508&amp;Result=3","7033508")</f>
        <v>0</v>
      </c>
      <c r="B8998" t="s">
        <v>1147</v>
      </c>
      <c r="C8998" t="s">
        <v>11659</v>
      </c>
      <c r="D8998" t="s">
        <v>16213</v>
      </c>
      <c r="E8998" t="s">
        <v>24146</v>
      </c>
      <c r="F8998" t="s">
        <v>28198</v>
      </c>
      <c r="G8998" t="s">
        <v>28205</v>
      </c>
      <c r="H8998" t="s">
        <v>28215</v>
      </c>
      <c r="I8998" t="s">
        <v>28239</v>
      </c>
      <c r="J8998" t="s">
        <v>28927</v>
      </c>
      <c r="K8998" t="s">
        <v>36718</v>
      </c>
      <c r="M8998" t="s">
        <v>38187</v>
      </c>
      <c r="N8998" t="s">
        <v>40436</v>
      </c>
      <c r="O8998" t="s">
        <v>40437</v>
      </c>
      <c r="P8998">
        <v>0</v>
      </c>
      <c r="Q8998">
        <v>5</v>
      </c>
      <c r="R8998" t="s">
        <v>40446</v>
      </c>
      <c r="S8998" t="s">
        <v>40783</v>
      </c>
      <c r="T8998" t="s">
        <v>42346</v>
      </c>
      <c r="U8998" t="s">
        <v>50166</v>
      </c>
      <c r="W8998" t="s">
        <v>38187</v>
      </c>
      <c r="X8998" t="s">
        <v>40447</v>
      </c>
    </row>
    <row r="8999" spans="1:24">
      <c r="A8999">
        <f>HYPERLINK("https://www.philgeps.gov.ph/GEPSNONPILOT/Tender/SplashBidNoticeAbstractUI.aspx?menuIndex=3&amp;refID=7033531&amp;Result=3","7033531")</f>
        <v>0</v>
      </c>
      <c r="B8999" t="s">
        <v>249</v>
      </c>
      <c r="C8999" t="s">
        <v>11660</v>
      </c>
      <c r="D8999" t="s">
        <v>16254</v>
      </c>
      <c r="E8999" t="s">
        <v>24147</v>
      </c>
      <c r="F8999" t="s">
        <v>28198</v>
      </c>
      <c r="G8999" t="s">
        <v>28205</v>
      </c>
      <c r="H8999" t="s">
        <v>28215</v>
      </c>
      <c r="I8999" t="s">
        <v>3774</v>
      </c>
      <c r="J8999" t="s">
        <v>33965</v>
      </c>
      <c r="K8999" t="s">
        <v>36707</v>
      </c>
      <c r="L8999" t="s">
        <v>249</v>
      </c>
      <c r="M8999" t="s">
        <v>37225</v>
      </c>
      <c r="N8999" t="s">
        <v>40436</v>
      </c>
      <c r="O8999" t="s">
        <v>40437</v>
      </c>
      <c r="P8999">
        <v>0</v>
      </c>
      <c r="Q8999">
        <v>3</v>
      </c>
      <c r="R8999" t="s">
        <v>40446</v>
      </c>
      <c r="S8999" t="s">
        <v>40783</v>
      </c>
      <c r="T8999" t="s">
        <v>42482</v>
      </c>
      <c r="U8999" t="s">
        <v>50167</v>
      </c>
      <c r="V8999" t="s">
        <v>54750</v>
      </c>
      <c r="W8999" t="s">
        <v>37225</v>
      </c>
      <c r="X8999" t="s">
        <v>40447</v>
      </c>
    </row>
    <row r="9000" spans="1:24">
      <c r="A9000">
        <f>HYPERLINK("https://www.philgeps.gov.ph/GEPSNONPILOT/Tender/SplashBidNoticeAbstractUI.aspx?menuIndex=3&amp;refID=7033528&amp;Result=3","7033528")</f>
        <v>0</v>
      </c>
      <c r="B9000" t="s">
        <v>2579</v>
      </c>
      <c r="C9000" t="s">
        <v>11661</v>
      </c>
      <c r="D9000" t="s">
        <v>16195</v>
      </c>
      <c r="E9000" t="s">
        <v>24148</v>
      </c>
      <c r="F9000" t="s">
        <v>28198</v>
      </c>
      <c r="G9000" t="s">
        <v>28205</v>
      </c>
      <c r="H9000" t="s">
        <v>28215</v>
      </c>
      <c r="I9000" t="s">
        <v>5100</v>
      </c>
      <c r="J9000" t="s">
        <v>33966</v>
      </c>
      <c r="K9000" t="s">
        <v>36701</v>
      </c>
      <c r="M9000" t="s">
        <v>39793</v>
      </c>
      <c r="N9000" t="s">
        <v>40436</v>
      </c>
      <c r="O9000" t="s">
        <v>40437</v>
      </c>
      <c r="P9000">
        <v>0</v>
      </c>
      <c r="Q9000">
        <v>0</v>
      </c>
      <c r="R9000" t="s">
        <v>40446</v>
      </c>
      <c r="S9000" t="s">
        <v>40783</v>
      </c>
      <c r="T9000" t="s">
        <v>42534</v>
      </c>
      <c r="U9000" t="s">
        <v>50168</v>
      </c>
      <c r="V9000" t="s">
        <v>54745</v>
      </c>
      <c r="W9000" t="s">
        <v>39793</v>
      </c>
      <c r="X9000" t="s">
        <v>40447</v>
      </c>
    </row>
    <row r="9001" spans="1:24">
      <c r="A9001">
        <f>HYPERLINK("https://www.philgeps.gov.ph/GEPSNONPILOT/Tender/SplashBidNoticeAbstractUI.aspx?menuIndex=3&amp;refID=7033500&amp;Result=3","7033500")</f>
        <v>0</v>
      </c>
      <c r="B9001" t="s">
        <v>2276</v>
      </c>
      <c r="C9001" t="s">
        <v>11662</v>
      </c>
      <c r="D9001" t="s">
        <v>16189</v>
      </c>
      <c r="E9001" t="s">
        <v>24149</v>
      </c>
      <c r="F9001" t="s">
        <v>28198</v>
      </c>
      <c r="G9001" t="s">
        <v>28205</v>
      </c>
      <c r="H9001" t="s">
        <v>28215</v>
      </c>
      <c r="I9001" t="s">
        <v>28222</v>
      </c>
      <c r="J9001" t="s">
        <v>28468</v>
      </c>
      <c r="K9001" t="s">
        <v>36689</v>
      </c>
      <c r="M9001" t="s">
        <v>39448</v>
      </c>
      <c r="N9001" t="s">
        <v>40436</v>
      </c>
      <c r="O9001" t="s">
        <v>40437</v>
      </c>
      <c r="P9001">
        <v>0</v>
      </c>
      <c r="Q9001">
        <v>4</v>
      </c>
      <c r="R9001" t="s">
        <v>40446</v>
      </c>
      <c r="S9001" t="s">
        <v>40783</v>
      </c>
      <c r="T9001" t="s">
        <v>42459</v>
      </c>
      <c r="U9001" t="s">
        <v>50169</v>
      </c>
      <c r="W9001" t="s">
        <v>39448</v>
      </c>
      <c r="X9001" t="s">
        <v>40447</v>
      </c>
    </row>
    <row r="9002" spans="1:24">
      <c r="A9002">
        <f>HYPERLINK("https://www.philgeps.gov.ph/GEPSNONPILOT/Tender/SplashBidNoticeAbstractUI.aspx?menuIndex=3&amp;refID=7033506&amp;Result=3","7033506")</f>
        <v>0</v>
      </c>
      <c r="B9002" t="s">
        <v>2042</v>
      </c>
      <c r="C9002" t="s">
        <v>11663</v>
      </c>
      <c r="D9002" t="s">
        <v>16260</v>
      </c>
      <c r="E9002" t="s">
        <v>24150</v>
      </c>
      <c r="F9002" t="s">
        <v>28198</v>
      </c>
      <c r="G9002" t="s">
        <v>28205</v>
      </c>
      <c r="H9002" t="s">
        <v>28217</v>
      </c>
      <c r="I9002" t="s">
        <v>3797</v>
      </c>
      <c r="J9002" t="s">
        <v>31789</v>
      </c>
      <c r="K9002" t="s">
        <v>36827</v>
      </c>
      <c r="M9002" t="s">
        <v>39186</v>
      </c>
      <c r="N9002" t="s">
        <v>40436</v>
      </c>
      <c r="O9002" t="s">
        <v>40437</v>
      </c>
      <c r="Q9002">
        <v>0</v>
      </c>
      <c r="R9002" t="s">
        <v>40446</v>
      </c>
      <c r="S9002" t="s">
        <v>40814</v>
      </c>
      <c r="T9002" t="s">
        <v>42132</v>
      </c>
      <c r="U9002" t="s">
        <v>50170</v>
      </c>
      <c r="W9002" t="s">
        <v>39186</v>
      </c>
      <c r="X9002" t="s">
        <v>40447</v>
      </c>
    </row>
    <row r="9003" spans="1:24">
      <c r="A9003">
        <f>HYPERLINK("https://www.philgeps.gov.ph/GEPSNONPILOT/Tender/SplashBidNoticeAbstractUI.aspx?menuIndex=3&amp;refID=7033501&amp;Result=3","7033501")</f>
        <v>0</v>
      </c>
      <c r="B9003" t="s">
        <v>2568</v>
      </c>
      <c r="C9003" t="s">
        <v>11664</v>
      </c>
      <c r="D9003" t="s">
        <v>16207</v>
      </c>
      <c r="E9003" t="s">
        <v>24151</v>
      </c>
      <c r="F9003" t="s">
        <v>28198</v>
      </c>
      <c r="G9003" t="s">
        <v>28207</v>
      </c>
      <c r="H9003" t="s">
        <v>28215</v>
      </c>
      <c r="I9003" t="s">
        <v>28234</v>
      </c>
      <c r="J9003" t="s">
        <v>29531</v>
      </c>
      <c r="K9003" t="s">
        <v>36701</v>
      </c>
      <c r="M9003" t="s">
        <v>39782</v>
      </c>
      <c r="N9003" t="s">
        <v>40436</v>
      </c>
      <c r="O9003" t="s">
        <v>40437</v>
      </c>
      <c r="P9003">
        <v>0</v>
      </c>
      <c r="Q9003">
        <v>6</v>
      </c>
      <c r="R9003" t="s">
        <v>40446</v>
      </c>
      <c r="S9003" t="s">
        <v>40783</v>
      </c>
      <c r="T9003" t="s">
        <v>42287</v>
      </c>
      <c r="U9003" t="s">
        <v>50171</v>
      </c>
      <c r="W9003" t="s">
        <v>39782</v>
      </c>
      <c r="X9003" t="s">
        <v>40447</v>
      </c>
    </row>
    <row r="9004" spans="1:24">
      <c r="A9004">
        <f>HYPERLINK("https://www.philgeps.gov.ph/GEPSNONPILOT/Tender/SplashBidNoticeAbstractUI.aspx?menuIndex=3&amp;refID=7033556&amp;Result=3","7033556")</f>
        <v>0</v>
      </c>
      <c r="B9004" t="s">
        <v>499</v>
      </c>
      <c r="C9004" t="s">
        <v>11665</v>
      </c>
      <c r="D9004" t="s">
        <v>16193</v>
      </c>
      <c r="E9004" t="s">
        <v>24152</v>
      </c>
      <c r="F9004" t="s">
        <v>28198</v>
      </c>
      <c r="G9004" t="s">
        <v>28205</v>
      </c>
      <c r="H9004" t="s">
        <v>28215</v>
      </c>
      <c r="I9004" t="s">
        <v>28222</v>
      </c>
      <c r="J9004" t="s">
        <v>28921</v>
      </c>
      <c r="K9004" t="s">
        <v>36701</v>
      </c>
      <c r="M9004" t="s">
        <v>37484</v>
      </c>
      <c r="N9004" t="s">
        <v>40436</v>
      </c>
      <c r="O9004" t="s">
        <v>40437</v>
      </c>
      <c r="P9004">
        <v>0</v>
      </c>
      <c r="Q9004">
        <v>6</v>
      </c>
      <c r="R9004" t="s">
        <v>40446</v>
      </c>
      <c r="S9004" t="s">
        <v>40783</v>
      </c>
      <c r="T9004" t="s">
        <v>42535</v>
      </c>
      <c r="U9004" t="s">
        <v>50172</v>
      </c>
      <c r="W9004" t="s">
        <v>37484</v>
      </c>
      <c r="X9004" t="s">
        <v>40447</v>
      </c>
    </row>
    <row r="9005" spans="1:24">
      <c r="A9005">
        <f>HYPERLINK("https://www.philgeps.gov.ph/GEPSNONPILOT/Tender/SplashBidNoticeAbstractUI.aspx?menuIndex=3&amp;refID=7033492&amp;Result=3","7033492")</f>
        <v>0</v>
      </c>
      <c r="B9005" t="s">
        <v>829</v>
      </c>
      <c r="C9005" t="s">
        <v>11666</v>
      </c>
      <c r="D9005" t="s">
        <v>16244</v>
      </c>
      <c r="E9005" t="s">
        <v>18331</v>
      </c>
      <c r="F9005" t="s">
        <v>28198</v>
      </c>
      <c r="G9005" t="s">
        <v>28205</v>
      </c>
      <c r="H9005" t="s">
        <v>28215</v>
      </c>
      <c r="I9005" t="s">
        <v>4200</v>
      </c>
      <c r="J9005" t="s">
        <v>33967</v>
      </c>
      <c r="K9005" t="s">
        <v>36701</v>
      </c>
      <c r="M9005" t="s">
        <v>37841</v>
      </c>
      <c r="N9005" t="s">
        <v>40436</v>
      </c>
      <c r="O9005" t="s">
        <v>40437</v>
      </c>
      <c r="P9005">
        <v>0</v>
      </c>
      <c r="Q9005">
        <v>2</v>
      </c>
      <c r="R9005" t="s">
        <v>40446</v>
      </c>
      <c r="S9005" t="s">
        <v>40783</v>
      </c>
      <c r="T9005" t="s">
        <v>42278</v>
      </c>
      <c r="U9005" t="s">
        <v>50173</v>
      </c>
      <c r="V9005" t="s">
        <v>54751</v>
      </c>
      <c r="W9005" t="s">
        <v>37841</v>
      </c>
      <c r="X9005" t="s">
        <v>40447</v>
      </c>
    </row>
    <row r="9006" spans="1:24">
      <c r="A9006">
        <f>HYPERLINK("https://www.philgeps.gov.ph/GEPSNONPILOT/Tender/SplashBidNoticeAbstractUI.aspx?menuIndex=3&amp;refID=7033539&amp;Result=3","7033539")</f>
        <v>0</v>
      </c>
      <c r="B9006" t="s">
        <v>2564</v>
      </c>
      <c r="C9006" t="s">
        <v>11667</v>
      </c>
      <c r="D9006" t="s">
        <v>16244</v>
      </c>
      <c r="E9006" t="s">
        <v>24153</v>
      </c>
      <c r="F9006" t="s">
        <v>28198</v>
      </c>
      <c r="G9006" t="s">
        <v>28205</v>
      </c>
      <c r="H9006" t="s">
        <v>28214</v>
      </c>
      <c r="I9006" t="s">
        <v>3797</v>
      </c>
      <c r="J9006" t="s">
        <v>33968</v>
      </c>
      <c r="K9006" t="s">
        <v>36697</v>
      </c>
      <c r="M9006" t="s">
        <v>39778</v>
      </c>
      <c r="N9006" t="s">
        <v>40436</v>
      </c>
      <c r="O9006" t="s">
        <v>40437</v>
      </c>
      <c r="P9006">
        <v>0</v>
      </c>
      <c r="Q9006">
        <v>0</v>
      </c>
      <c r="R9006" t="s">
        <v>40446</v>
      </c>
      <c r="S9006" t="s">
        <v>40783</v>
      </c>
      <c r="T9006" t="s">
        <v>42372</v>
      </c>
      <c r="U9006" t="s">
        <v>50174</v>
      </c>
      <c r="W9006" t="s">
        <v>39778</v>
      </c>
      <c r="X9006" t="s">
        <v>40447</v>
      </c>
    </row>
    <row r="9007" spans="1:24">
      <c r="A9007">
        <f>HYPERLINK("https://www.philgeps.gov.ph/GEPSNONPILOT/Tender/SplashBidNoticeAbstractUI.aspx?menuIndex=3&amp;refID=7033567&amp;Result=3","7033567")</f>
        <v>0</v>
      </c>
      <c r="B9007" t="s">
        <v>2386</v>
      </c>
      <c r="C9007" t="s">
        <v>11668</v>
      </c>
      <c r="D9007" t="s">
        <v>16262</v>
      </c>
      <c r="E9007" t="s">
        <v>24154</v>
      </c>
      <c r="F9007" t="s">
        <v>28198</v>
      </c>
      <c r="G9007" t="s">
        <v>28205</v>
      </c>
      <c r="H9007" t="s">
        <v>28214</v>
      </c>
      <c r="I9007" t="s">
        <v>3797</v>
      </c>
      <c r="J9007" t="s">
        <v>33969</v>
      </c>
      <c r="K9007" t="s">
        <v>36692</v>
      </c>
      <c r="M9007" t="s">
        <v>39571</v>
      </c>
      <c r="N9007" t="s">
        <v>40436</v>
      </c>
      <c r="O9007" t="s">
        <v>40437</v>
      </c>
      <c r="P9007">
        <v>0</v>
      </c>
      <c r="Q9007">
        <v>0</v>
      </c>
      <c r="R9007" t="s">
        <v>40446</v>
      </c>
      <c r="S9007" t="s">
        <v>40783</v>
      </c>
      <c r="T9007" t="s">
        <v>42346</v>
      </c>
      <c r="U9007" t="s">
        <v>50175</v>
      </c>
      <c r="V9007" t="s">
        <v>54627</v>
      </c>
      <c r="W9007" t="s">
        <v>39571</v>
      </c>
      <c r="X9007" t="s">
        <v>40447</v>
      </c>
    </row>
    <row r="9008" spans="1:24">
      <c r="A9008">
        <f>HYPERLINK("https://www.philgeps.gov.ph/GEPSNONPILOT/Tender/SplashBidNoticeAbstractUI.aspx?menuIndex=3&amp;refID=7033532&amp;Result=3","7033532")</f>
        <v>0</v>
      </c>
      <c r="B9008" t="s">
        <v>2386</v>
      </c>
      <c r="C9008" t="s">
        <v>11669</v>
      </c>
      <c r="D9008" t="s">
        <v>16262</v>
      </c>
      <c r="E9008" t="s">
        <v>24155</v>
      </c>
      <c r="F9008" t="s">
        <v>28198</v>
      </c>
      <c r="G9008" t="s">
        <v>28205</v>
      </c>
      <c r="H9008" t="s">
        <v>28214</v>
      </c>
      <c r="I9008" t="s">
        <v>3797</v>
      </c>
      <c r="J9008" t="s">
        <v>28351</v>
      </c>
      <c r="K9008" t="s">
        <v>36692</v>
      </c>
      <c r="M9008" t="s">
        <v>39571</v>
      </c>
      <c r="N9008" t="s">
        <v>40436</v>
      </c>
      <c r="O9008" t="s">
        <v>40437</v>
      </c>
      <c r="P9008">
        <v>0</v>
      </c>
      <c r="Q9008">
        <v>0</v>
      </c>
      <c r="R9008" t="s">
        <v>40446</v>
      </c>
      <c r="S9008" t="s">
        <v>40783</v>
      </c>
      <c r="T9008" t="s">
        <v>42346</v>
      </c>
      <c r="U9008" t="s">
        <v>50176</v>
      </c>
      <c r="V9008" t="s">
        <v>54627</v>
      </c>
      <c r="W9008" t="s">
        <v>39571</v>
      </c>
      <c r="X9008" t="s">
        <v>40447</v>
      </c>
    </row>
    <row r="9009" spans="1:24">
      <c r="A9009">
        <f>HYPERLINK("https://www.philgeps.gov.ph/GEPSNONPILOT/Tender/SplashBidNoticeAbstractUI.aspx?menuIndex=3&amp;refID=7033629&amp;Result=3","7033629")</f>
        <v>0</v>
      </c>
      <c r="B9009" t="s">
        <v>2580</v>
      </c>
      <c r="C9009" t="s">
        <v>11670</v>
      </c>
      <c r="D9009" t="s">
        <v>16190</v>
      </c>
      <c r="E9009" t="s">
        <v>24156</v>
      </c>
      <c r="F9009" t="s">
        <v>28198</v>
      </c>
      <c r="G9009" t="s">
        <v>28205</v>
      </c>
      <c r="H9009" t="s">
        <v>28215</v>
      </c>
      <c r="I9009" t="s">
        <v>4200</v>
      </c>
      <c r="J9009" t="s">
        <v>33970</v>
      </c>
      <c r="K9009" t="s">
        <v>36779</v>
      </c>
      <c r="M9009" t="s">
        <v>39794</v>
      </c>
      <c r="N9009" t="s">
        <v>40436</v>
      </c>
      <c r="O9009" t="s">
        <v>40437</v>
      </c>
      <c r="P9009">
        <v>0</v>
      </c>
      <c r="Q9009">
        <v>0</v>
      </c>
      <c r="R9009" t="s">
        <v>40446</v>
      </c>
      <c r="S9009" t="s">
        <v>40783</v>
      </c>
      <c r="T9009" t="s">
        <v>42179</v>
      </c>
      <c r="U9009" t="s">
        <v>50177</v>
      </c>
      <c r="W9009" t="s">
        <v>39794</v>
      </c>
      <c r="X9009" t="s">
        <v>40447</v>
      </c>
    </row>
    <row r="9010" spans="1:24">
      <c r="A9010">
        <f>HYPERLINK("https://www.philgeps.gov.ph/GEPSNONPILOT/Tender/SplashBidNoticeAbstractUI.aspx?menuIndex=3&amp;refID=7033620&amp;Result=3","7033620")</f>
        <v>0</v>
      </c>
      <c r="B9010" t="s">
        <v>2580</v>
      </c>
      <c r="C9010" t="s">
        <v>11671</v>
      </c>
      <c r="D9010" t="s">
        <v>16190</v>
      </c>
      <c r="E9010" t="s">
        <v>24157</v>
      </c>
      <c r="F9010" t="s">
        <v>28198</v>
      </c>
      <c r="G9010" t="s">
        <v>28205</v>
      </c>
      <c r="H9010" t="s">
        <v>28215</v>
      </c>
      <c r="I9010" t="s">
        <v>4200</v>
      </c>
      <c r="J9010" t="s">
        <v>28345</v>
      </c>
      <c r="K9010" t="s">
        <v>36779</v>
      </c>
      <c r="M9010" t="s">
        <v>39794</v>
      </c>
      <c r="N9010" t="s">
        <v>40436</v>
      </c>
      <c r="O9010" t="s">
        <v>40437</v>
      </c>
      <c r="P9010">
        <v>0</v>
      </c>
      <c r="Q9010">
        <v>1</v>
      </c>
      <c r="R9010" t="s">
        <v>40446</v>
      </c>
      <c r="S9010" t="s">
        <v>40783</v>
      </c>
      <c r="T9010" t="s">
        <v>42179</v>
      </c>
      <c r="U9010" t="s">
        <v>50178</v>
      </c>
      <c r="W9010" t="s">
        <v>39794</v>
      </c>
      <c r="X9010" t="s">
        <v>40447</v>
      </c>
    </row>
    <row r="9011" spans="1:24">
      <c r="A9011">
        <f>HYPERLINK("https://www.philgeps.gov.ph/GEPSNONPILOT/Tender/SplashBidNoticeAbstractUI.aspx?menuIndex=3&amp;refID=7033619&amp;Result=3","7033619")</f>
        <v>0</v>
      </c>
      <c r="B9011" t="s">
        <v>2217</v>
      </c>
      <c r="C9011" t="s">
        <v>11672</v>
      </c>
      <c r="D9011" t="s">
        <v>16199</v>
      </c>
      <c r="E9011" t="s">
        <v>24158</v>
      </c>
      <c r="F9011" t="s">
        <v>28198</v>
      </c>
      <c r="G9011" t="s">
        <v>28205</v>
      </c>
      <c r="H9011" t="s">
        <v>28215</v>
      </c>
      <c r="I9011" t="s">
        <v>28258</v>
      </c>
      <c r="J9011" t="s">
        <v>28363</v>
      </c>
      <c r="K9011" t="s">
        <v>36701</v>
      </c>
      <c r="L9011" t="s">
        <v>2217</v>
      </c>
      <c r="M9011" t="s">
        <v>39383</v>
      </c>
      <c r="N9011" t="s">
        <v>40436</v>
      </c>
      <c r="O9011" t="s">
        <v>40437</v>
      </c>
      <c r="P9011">
        <v>0</v>
      </c>
      <c r="Q9011">
        <v>11</v>
      </c>
      <c r="R9011" t="s">
        <v>40446</v>
      </c>
      <c r="S9011" t="s">
        <v>40783</v>
      </c>
      <c r="T9011" t="s">
        <v>42346</v>
      </c>
      <c r="U9011" t="s">
        <v>50179</v>
      </c>
      <c r="W9011" t="s">
        <v>39383</v>
      </c>
      <c r="X9011" t="s">
        <v>40447</v>
      </c>
    </row>
    <row r="9012" spans="1:24">
      <c r="A9012">
        <f>HYPERLINK("https://www.philgeps.gov.ph/GEPSNONPILOT/Tender/SplashBidNoticeAbstractUI.aspx?menuIndex=3&amp;refID=7033593&amp;Result=3","7033593")</f>
        <v>0</v>
      </c>
      <c r="B9012" t="s">
        <v>2217</v>
      </c>
      <c r="C9012" t="s">
        <v>11673</v>
      </c>
      <c r="D9012" t="s">
        <v>16199</v>
      </c>
      <c r="E9012" t="s">
        <v>24159</v>
      </c>
      <c r="F9012" t="s">
        <v>28198</v>
      </c>
      <c r="G9012" t="s">
        <v>28205</v>
      </c>
      <c r="H9012" t="s">
        <v>28215</v>
      </c>
      <c r="I9012" t="s">
        <v>28237</v>
      </c>
      <c r="J9012" t="s">
        <v>33971</v>
      </c>
      <c r="K9012" t="s">
        <v>36692</v>
      </c>
      <c r="L9012" t="s">
        <v>2217</v>
      </c>
      <c r="M9012" t="s">
        <v>39383</v>
      </c>
      <c r="N9012" t="s">
        <v>40436</v>
      </c>
      <c r="O9012" t="s">
        <v>40437</v>
      </c>
      <c r="P9012">
        <v>0</v>
      </c>
      <c r="Q9012">
        <v>3</v>
      </c>
      <c r="R9012" t="s">
        <v>40446</v>
      </c>
      <c r="S9012" t="s">
        <v>40783</v>
      </c>
      <c r="T9012" t="s">
        <v>42346</v>
      </c>
      <c r="U9012" t="s">
        <v>50180</v>
      </c>
      <c r="W9012" t="s">
        <v>39383</v>
      </c>
      <c r="X9012" t="s">
        <v>40447</v>
      </c>
    </row>
    <row r="9013" spans="1:24">
      <c r="A9013">
        <f>HYPERLINK("https://www.philgeps.gov.ph/GEPSNONPILOT/Tender/SplashBidNoticeAbstractUI.aspx?menuIndex=3&amp;refID=7033625&amp;Result=3","7033625")</f>
        <v>0</v>
      </c>
      <c r="B9013" t="s">
        <v>2581</v>
      </c>
      <c r="C9013" t="s">
        <v>11674</v>
      </c>
      <c r="D9013" t="s">
        <v>16200</v>
      </c>
      <c r="E9013" t="s">
        <v>24160</v>
      </c>
      <c r="F9013" t="s">
        <v>28198</v>
      </c>
      <c r="G9013" t="s">
        <v>28208</v>
      </c>
      <c r="H9013" t="s">
        <v>28214</v>
      </c>
      <c r="I9013" t="s">
        <v>3797</v>
      </c>
      <c r="J9013" t="s">
        <v>33972</v>
      </c>
      <c r="K9013" t="s">
        <v>36694</v>
      </c>
      <c r="M9013" t="s">
        <v>39795</v>
      </c>
      <c r="N9013" t="s">
        <v>40436</v>
      </c>
      <c r="O9013" t="s">
        <v>40437</v>
      </c>
      <c r="P9013">
        <v>0</v>
      </c>
      <c r="Q9013">
        <v>0</v>
      </c>
      <c r="R9013" t="s">
        <v>40446</v>
      </c>
      <c r="S9013" t="s">
        <v>40783</v>
      </c>
      <c r="T9013" t="s">
        <v>42279</v>
      </c>
      <c r="U9013" t="s">
        <v>50181</v>
      </c>
      <c r="W9013" t="s">
        <v>39795</v>
      </c>
      <c r="X9013" t="s">
        <v>40447</v>
      </c>
    </row>
    <row r="9014" spans="1:24">
      <c r="A9014">
        <f>HYPERLINK("https://www.philgeps.gov.ph/GEPSNONPILOT/Tender/SplashBidNoticeAbstractUI.aspx?menuIndex=3&amp;refID=7033650&amp;Result=3","7033650")</f>
        <v>0</v>
      </c>
      <c r="B9014" t="s">
        <v>2263</v>
      </c>
      <c r="C9014" t="s">
        <v>11675</v>
      </c>
      <c r="D9014" t="s">
        <v>16215</v>
      </c>
      <c r="E9014" t="s">
        <v>24161</v>
      </c>
      <c r="F9014" t="s">
        <v>28198</v>
      </c>
      <c r="G9014" t="s">
        <v>28205</v>
      </c>
      <c r="H9014" t="s">
        <v>28214</v>
      </c>
      <c r="I9014" t="s">
        <v>3797</v>
      </c>
      <c r="J9014" t="s">
        <v>33973</v>
      </c>
      <c r="K9014" t="s">
        <v>36697</v>
      </c>
      <c r="M9014" t="s">
        <v>39433</v>
      </c>
      <c r="N9014" t="s">
        <v>40436</v>
      </c>
      <c r="O9014" t="s">
        <v>40437</v>
      </c>
      <c r="P9014">
        <v>0</v>
      </c>
      <c r="Q9014">
        <v>0</v>
      </c>
      <c r="R9014" t="s">
        <v>40446</v>
      </c>
      <c r="S9014" t="s">
        <v>40783</v>
      </c>
      <c r="T9014" t="s">
        <v>42278</v>
      </c>
      <c r="U9014" t="s">
        <v>50182</v>
      </c>
      <c r="W9014" t="s">
        <v>39433</v>
      </c>
      <c r="X9014" t="s">
        <v>40447</v>
      </c>
    </row>
    <row r="9015" spans="1:24">
      <c r="A9015">
        <f>HYPERLINK("https://www.philgeps.gov.ph/GEPSNONPILOT/Tender/SplashBidNoticeAbstractUI.aspx?menuIndex=3&amp;refID=7033609&amp;Result=3","7033609")</f>
        <v>0</v>
      </c>
      <c r="B9015" t="s">
        <v>2217</v>
      </c>
      <c r="C9015" t="s">
        <v>11676</v>
      </c>
      <c r="D9015" t="s">
        <v>16199</v>
      </c>
      <c r="E9015" t="s">
        <v>24162</v>
      </c>
      <c r="F9015" t="s">
        <v>28198</v>
      </c>
      <c r="G9015" t="s">
        <v>28205</v>
      </c>
      <c r="H9015" t="s">
        <v>28215</v>
      </c>
      <c r="I9015" t="s">
        <v>28237</v>
      </c>
      <c r="J9015" t="s">
        <v>31928</v>
      </c>
      <c r="K9015" t="s">
        <v>36701</v>
      </c>
      <c r="L9015" t="s">
        <v>2217</v>
      </c>
      <c r="M9015" t="s">
        <v>39383</v>
      </c>
      <c r="N9015" t="s">
        <v>40436</v>
      </c>
      <c r="O9015" t="s">
        <v>40437</v>
      </c>
      <c r="P9015">
        <v>0</v>
      </c>
      <c r="Q9015">
        <v>3</v>
      </c>
      <c r="R9015" t="s">
        <v>40446</v>
      </c>
      <c r="S9015" t="s">
        <v>40783</v>
      </c>
      <c r="T9015" t="s">
        <v>42346</v>
      </c>
      <c r="U9015" t="s">
        <v>50183</v>
      </c>
      <c r="W9015" t="s">
        <v>39383</v>
      </c>
      <c r="X9015" t="s">
        <v>40447</v>
      </c>
    </row>
    <row r="9016" spans="1:24">
      <c r="A9016">
        <f>HYPERLINK("https://www.philgeps.gov.ph/GEPSNONPILOT/Tender/SplashBidNoticeAbstractUI.aspx?menuIndex=3&amp;refID=7033653&amp;Result=3","7033653")</f>
        <v>0</v>
      </c>
      <c r="B9016" t="s">
        <v>2263</v>
      </c>
      <c r="C9016" t="s">
        <v>11677</v>
      </c>
      <c r="D9016" t="s">
        <v>16215</v>
      </c>
      <c r="E9016" t="s">
        <v>24163</v>
      </c>
      <c r="F9016" t="s">
        <v>28198</v>
      </c>
      <c r="G9016" t="s">
        <v>28205</v>
      </c>
      <c r="H9016" t="s">
        <v>28214</v>
      </c>
      <c r="I9016" t="s">
        <v>3797</v>
      </c>
      <c r="J9016" t="s">
        <v>30526</v>
      </c>
      <c r="K9016" t="s">
        <v>36832</v>
      </c>
      <c r="M9016" t="s">
        <v>39433</v>
      </c>
      <c r="N9016" t="s">
        <v>40436</v>
      </c>
      <c r="O9016" t="s">
        <v>40437</v>
      </c>
      <c r="P9016">
        <v>0</v>
      </c>
      <c r="Q9016">
        <v>1</v>
      </c>
      <c r="R9016" t="s">
        <v>40446</v>
      </c>
      <c r="S9016" t="s">
        <v>40783</v>
      </c>
      <c r="T9016" t="s">
        <v>42278</v>
      </c>
      <c r="U9016" t="s">
        <v>50184</v>
      </c>
      <c r="W9016" t="s">
        <v>39433</v>
      </c>
      <c r="X9016" t="s">
        <v>40447</v>
      </c>
    </row>
    <row r="9017" spans="1:24">
      <c r="A9017">
        <f>HYPERLINK("https://www.philgeps.gov.ph/GEPSNONPILOT/Tender/SplashBidNoticeAbstractUI.aspx?menuIndex=3&amp;refID=7033648&amp;Result=3","7033648")</f>
        <v>0</v>
      </c>
      <c r="B9017" t="s">
        <v>2582</v>
      </c>
      <c r="C9017" t="s">
        <v>11678</v>
      </c>
      <c r="D9017" t="s">
        <v>16220</v>
      </c>
      <c r="E9017" t="s">
        <v>24164</v>
      </c>
      <c r="F9017" t="s">
        <v>28198</v>
      </c>
      <c r="G9017" t="s">
        <v>28205</v>
      </c>
      <c r="H9017" t="s">
        <v>28215</v>
      </c>
      <c r="I9017" t="s">
        <v>3774</v>
      </c>
      <c r="J9017" t="s">
        <v>33974</v>
      </c>
      <c r="K9017" t="s">
        <v>36688</v>
      </c>
      <c r="M9017" t="s">
        <v>39796</v>
      </c>
      <c r="N9017" t="s">
        <v>40436</v>
      </c>
      <c r="O9017" t="s">
        <v>40437</v>
      </c>
      <c r="P9017">
        <v>0</v>
      </c>
      <c r="Q9017">
        <v>0</v>
      </c>
      <c r="R9017" t="s">
        <v>40446</v>
      </c>
      <c r="S9017" t="s">
        <v>40783</v>
      </c>
      <c r="T9017" t="s">
        <v>42319</v>
      </c>
      <c r="U9017" t="s">
        <v>50185</v>
      </c>
      <c r="W9017" t="s">
        <v>39796</v>
      </c>
      <c r="X9017" t="s">
        <v>40447</v>
      </c>
    </row>
    <row r="9018" spans="1:24">
      <c r="A9018">
        <f>HYPERLINK("https://www.philgeps.gov.ph/GEPSNONPILOT/Tender/SplashBidNoticeAbstractUI.aspx?menuIndex=3&amp;refID=7033585&amp;Result=3","7033585")</f>
        <v>0</v>
      </c>
      <c r="B9018" t="s">
        <v>2564</v>
      </c>
      <c r="C9018" t="s">
        <v>11679</v>
      </c>
      <c r="D9018" t="s">
        <v>16244</v>
      </c>
      <c r="E9018" t="s">
        <v>24165</v>
      </c>
      <c r="F9018" t="s">
        <v>28198</v>
      </c>
      <c r="G9018" t="s">
        <v>28205</v>
      </c>
      <c r="H9018" t="s">
        <v>28214</v>
      </c>
      <c r="I9018" t="s">
        <v>3797</v>
      </c>
      <c r="J9018" t="s">
        <v>33975</v>
      </c>
      <c r="K9018" t="s">
        <v>36692</v>
      </c>
      <c r="M9018" t="s">
        <v>39778</v>
      </c>
      <c r="N9018" t="s">
        <v>40436</v>
      </c>
      <c r="O9018" t="s">
        <v>40437</v>
      </c>
      <c r="P9018">
        <v>0</v>
      </c>
      <c r="Q9018">
        <v>0</v>
      </c>
      <c r="R9018" t="s">
        <v>40446</v>
      </c>
      <c r="S9018" t="s">
        <v>40783</v>
      </c>
      <c r="T9018" t="s">
        <v>42482</v>
      </c>
      <c r="U9018" t="s">
        <v>50186</v>
      </c>
      <c r="W9018" t="s">
        <v>39778</v>
      </c>
      <c r="X9018" t="s">
        <v>40447</v>
      </c>
    </row>
    <row r="9019" spans="1:24">
      <c r="A9019">
        <f>HYPERLINK("https://www.philgeps.gov.ph/GEPSNONPILOT/Tender/SplashBidNoticeAbstractUI.aspx?menuIndex=3&amp;refID=7033652&amp;Result=3","7033652")</f>
        <v>0</v>
      </c>
      <c r="B9019" t="s">
        <v>2263</v>
      </c>
      <c r="C9019" t="s">
        <v>11680</v>
      </c>
      <c r="D9019" t="s">
        <v>16215</v>
      </c>
      <c r="E9019" t="s">
        <v>24166</v>
      </c>
      <c r="F9019" t="s">
        <v>28198</v>
      </c>
      <c r="G9019" t="s">
        <v>28205</v>
      </c>
      <c r="H9019" t="s">
        <v>28214</v>
      </c>
      <c r="I9019" t="s">
        <v>3797</v>
      </c>
      <c r="J9019" t="s">
        <v>33976</v>
      </c>
      <c r="K9019" t="s">
        <v>36737</v>
      </c>
      <c r="M9019" t="s">
        <v>39433</v>
      </c>
      <c r="N9019" t="s">
        <v>40436</v>
      </c>
      <c r="O9019" t="s">
        <v>40437</v>
      </c>
      <c r="P9019">
        <v>0</v>
      </c>
      <c r="Q9019">
        <v>1</v>
      </c>
      <c r="R9019" t="s">
        <v>40446</v>
      </c>
      <c r="S9019" t="s">
        <v>40783</v>
      </c>
      <c r="T9019" t="s">
        <v>42278</v>
      </c>
      <c r="U9019" t="s">
        <v>50187</v>
      </c>
      <c r="W9019" t="s">
        <v>39433</v>
      </c>
      <c r="X9019" t="s">
        <v>40447</v>
      </c>
    </row>
    <row r="9020" spans="1:24">
      <c r="A9020">
        <f>HYPERLINK("https://www.philgeps.gov.ph/GEPSNONPILOT/Tender/SplashBidNoticeAbstractUI.aspx?menuIndex=3&amp;refID=7033584&amp;Result=3","7033584")</f>
        <v>0</v>
      </c>
      <c r="B9020" t="s">
        <v>2583</v>
      </c>
      <c r="C9020" t="s">
        <v>4810</v>
      </c>
      <c r="D9020" t="s">
        <v>16244</v>
      </c>
      <c r="E9020" t="s">
        <v>24167</v>
      </c>
      <c r="F9020" t="s">
        <v>28198</v>
      </c>
      <c r="G9020" t="s">
        <v>28207</v>
      </c>
      <c r="H9020" t="s">
        <v>28215</v>
      </c>
      <c r="I9020" t="s">
        <v>4168</v>
      </c>
      <c r="J9020" t="s">
        <v>28415</v>
      </c>
      <c r="K9020" t="s">
        <v>36701</v>
      </c>
      <c r="M9020" t="s">
        <v>39797</v>
      </c>
      <c r="N9020" t="s">
        <v>40436</v>
      </c>
      <c r="O9020" t="s">
        <v>40437</v>
      </c>
      <c r="P9020">
        <v>0</v>
      </c>
      <c r="Q9020">
        <v>5</v>
      </c>
      <c r="R9020" t="s">
        <v>40446</v>
      </c>
      <c r="S9020" t="s">
        <v>40783</v>
      </c>
      <c r="T9020" t="s">
        <v>42100</v>
      </c>
      <c r="U9020" t="s">
        <v>50188</v>
      </c>
      <c r="W9020" t="s">
        <v>39797</v>
      </c>
      <c r="X9020" t="s">
        <v>40447</v>
      </c>
    </row>
    <row r="9021" spans="1:24">
      <c r="A9021">
        <f>HYPERLINK("https://www.philgeps.gov.ph/GEPSNONPILOT/Tender/SplashBidNoticeAbstractUI.aspx?menuIndex=3&amp;refID=7033662&amp;Result=3","7033662")</f>
        <v>0</v>
      </c>
      <c r="B9021" t="s">
        <v>2584</v>
      </c>
      <c r="C9021" t="s">
        <v>11681</v>
      </c>
      <c r="D9021" t="s">
        <v>16203</v>
      </c>
      <c r="E9021" t="s">
        <v>16322</v>
      </c>
      <c r="F9021" t="s">
        <v>28198</v>
      </c>
      <c r="G9021" t="s">
        <v>28205</v>
      </c>
      <c r="H9021" t="s">
        <v>28215</v>
      </c>
      <c r="I9021" t="s">
        <v>5100</v>
      </c>
      <c r="J9021" t="s">
        <v>33977</v>
      </c>
      <c r="K9021" t="s">
        <v>36708</v>
      </c>
      <c r="M9021" t="s">
        <v>39798</v>
      </c>
      <c r="N9021" t="s">
        <v>40436</v>
      </c>
      <c r="O9021" t="s">
        <v>40437</v>
      </c>
      <c r="P9021">
        <v>0</v>
      </c>
      <c r="Q9021">
        <v>0</v>
      </c>
      <c r="R9021" t="s">
        <v>40446</v>
      </c>
      <c r="S9021" t="s">
        <v>40783</v>
      </c>
      <c r="T9021" t="s">
        <v>42346</v>
      </c>
      <c r="U9021" t="s">
        <v>50189</v>
      </c>
      <c r="V9021" t="s">
        <v>54752</v>
      </c>
      <c r="W9021" t="s">
        <v>39798</v>
      </c>
      <c r="X9021" t="s">
        <v>40447</v>
      </c>
    </row>
    <row r="9022" spans="1:24">
      <c r="A9022">
        <f>HYPERLINK("https://www.philgeps.gov.ph/GEPSNONPILOT/Tender/SplashBidNoticeAbstractUI.aspx?menuIndex=3&amp;refID=7033693&amp;Result=3","7033693")</f>
        <v>0</v>
      </c>
      <c r="B9022" t="s">
        <v>207</v>
      </c>
      <c r="C9022" t="s">
        <v>11682</v>
      </c>
      <c r="D9022" t="s">
        <v>16210</v>
      </c>
      <c r="E9022" t="s">
        <v>16657</v>
      </c>
      <c r="F9022" t="s">
        <v>28204</v>
      </c>
      <c r="G9022" t="s">
        <v>28205</v>
      </c>
      <c r="H9022" t="s">
        <v>28215</v>
      </c>
      <c r="I9022" t="s">
        <v>28241</v>
      </c>
      <c r="J9022" t="s">
        <v>33978</v>
      </c>
      <c r="K9022" t="s">
        <v>36688</v>
      </c>
      <c r="M9022" t="s">
        <v>37183</v>
      </c>
      <c r="N9022" t="s">
        <v>40436</v>
      </c>
      <c r="O9022" t="s">
        <v>40437</v>
      </c>
      <c r="P9022">
        <v>0</v>
      </c>
      <c r="Q9022">
        <v>2</v>
      </c>
      <c r="R9022" t="s">
        <v>40446</v>
      </c>
      <c r="S9022" t="s">
        <v>40783</v>
      </c>
      <c r="T9022" t="s">
        <v>42177</v>
      </c>
      <c r="U9022" t="s">
        <v>50190</v>
      </c>
      <c r="W9022" t="s">
        <v>37183</v>
      </c>
      <c r="X9022" t="s">
        <v>40447</v>
      </c>
    </row>
    <row r="9023" spans="1:24">
      <c r="A9023">
        <f>HYPERLINK("https://www.philgeps.gov.ph/GEPSNONPILOT/Tender/SplashBidNoticeAbstractUI.aspx?menuIndex=3&amp;refID=7033579&amp;Result=3","7033579")</f>
        <v>0</v>
      </c>
      <c r="B9023" t="s">
        <v>2581</v>
      </c>
      <c r="C9023" t="s">
        <v>11683</v>
      </c>
      <c r="D9023" t="s">
        <v>16200</v>
      </c>
      <c r="E9023" t="s">
        <v>24168</v>
      </c>
      <c r="F9023" t="s">
        <v>28198</v>
      </c>
      <c r="G9023" t="s">
        <v>28208</v>
      </c>
      <c r="H9023" t="s">
        <v>28214</v>
      </c>
      <c r="I9023" t="s">
        <v>3797</v>
      </c>
      <c r="J9023" t="s">
        <v>28730</v>
      </c>
      <c r="K9023" t="s">
        <v>36692</v>
      </c>
      <c r="M9023" t="s">
        <v>39795</v>
      </c>
      <c r="N9023" t="s">
        <v>40436</v>
      </c>
      <c r="O9023" t="s">
        <v>40437</v>
      </c>
      <c r="P9023">
        <v>0</v>
      </c>
      <c r="Q9023">
        <v>2</v>
      </c>
      <c r="R9023" t="s">
        <v>40446</v>
      </c>
      <c r="S9023" t="s">
        <v>40783</v>
      </c>
      <c r="T9023" t="s">
        <v>42279</v>
      </c>
      <c r="U9023" t="s">
        <v>50191</v>
      </c>
      <c r="W9023" t="s">
        <v>39795</v>
      </c>
      <c r="X9023" t="s">
        <v>40447</v>
      </c>
    </row>
    <row r="9024" spans="1:24">
      <c r="A9024">
        <f>HYPERLINK("https://www.philgeps.gov.ph/GEPSNONPILOT/Tender/SplashBidNoticeAbstractUI.aspx?menuIndex=3&amp;refID=7033659&amp;Result=3","7033659")</f>
        <v>0</v>
      </c>
      <c r="B9024" t="s">
        <v>340</v>
      </c>
      <c r="C9024" t="s">
        <v>11684</v>
      </c>
      <c r="D9024" t="s">
        <v>16195</v>
      </c>
      <c r="E9024" t="s">
        <v>24169</v>
      </c>
      <c r="F9024" t="s">
        <v>28198</v>
      </c>
      <c r="G9024" t="s">
        <v>28207</v>
      </c>
      <c r="H9024" t="s">
        <v>28215</v>
      </c>
      <c r="I9024" t="s">
        <v>4200</v>
      </c>
      <c r="J9024" t="s">
        <v>28694</v>
      </c>
      <c r="K9024" t="s">
        <v>36689</v>
      </c>
      <c r="M9024" t="s">
        <v>37318</v>
      </c>
      <c r="N9024" t="s">
        <v>40436</v>
      </c>
      <c r="O9024" t="s">
        <v>40437</v>
      </c>
      <c r="P9024">
        <v>0</v>
      </c>
      <c r="Q9024">
        <v>2</v>
      </c>
      <c r="R9024" t="s">
        <v>40446</v>
      </c>
      <c r="S9024" t="s">
        <v>40783</v>
      </c>
      <c r="T9024" t="s">
        <v>42233</v>
      </c>
      <c r="U9024" t="s">
        <v>43170</v>
      </c>
      <c r="W9024" t="s">
        <v>37318</v>
      </c>
      <c r="X9024" t="s">
        <v>40447</v>
      </c>
    </row>
    <row r="9025" spans="1:24">
      <c r="A9025">
        <f>HYPERLINK("https://www.philgeps.gov.ph/GEPSNONPILOT/Tender/SplashBidNoticeAbstractUI.aspx?menuIndex=3&amp;refID=7033643&amp;Result=3","7033643")</f>
        <v>0</v>
      </c>
      <c r="B9025" t="s">
        <v>2585</v>
      </c>
      <c r="C9025" t="s">
        <v>11685</v>
      </c>
      <c r="D9025" t="s">
        <v>16238</v>
      </c>
      <c r="E9025" t="s">
        <v>24170</v>
      </c>
      <c r="F9025" t="s">
        <v>28198</v>
      </c>
      <c r="G9025" t="s">
        <v>28205</v>
      </c>
      <c r="H9025" t="s">
        <v>28215</v>
      </c>
      <c r="I9025" t="s">
        <v>4200</v>
      </c>
      <c r="J9025" t="s">
        <v>33979</v>
      </c>
      <c r="K9025" t="s">
        <v>36694</v>
      </c>
      <c r="M9025" t="s">
        <v>39799</v>
      </c>
      <c r="N9025" t="s">
        <v>40436</v>
      </c>
      <c r="O9025" t="s">
        <v>40437</v>
      </c>
      <c r="P9025">
        <v>0</v>
      </c>
      <c r="Q9025">
        <v>1</v>
      </c>
      <c r="R9025" t="s">
        <v>40446</v>
      </c>
      <c r="S9025" t="s">
        <v>40783</v>
      </c>
      <c r="T9025" t="s">
        <v>42244</v>
      </c>
      <c r="U9025" t="s">
        <v>50192</v>
      </c>
      <c r="W9025" t="s">
        <v>39799</v>
      </c>
      <c r="X9025" t="s">
        <v>40447</v>
      </c>
    </row>
    <row r="9026" spans="1:24">
      <c r="A9026">
        <f>HYPERLINK("https://www.philgeps.gov.ph/GEPSNONPILOT/Tender/SplashBidNoticeAbstractUI.aspx?menuIndex=3&amp;refID=7033618&amp;Result=3","7033618")</f>
        <v>0</v>
      </c>
      <c r="B9026" t="s">
        <v>2586</v>
      </c>
      <c r="C9026" t="s">
        <v>11686</v>
      </c>
      <c r="D9026" t="s">
        <v>16188</v>
      </c>
      <c r="E9026" t="s">
        <v>24171</v>
      </c>
      <c r="F9026" t="s">
        <v>28198</v>
      </c>
      <c r="G9026" t="s">
        <v>28207</v>
      </c>
      <c r="H9026" t="s">
        <v>28215</v>
      </c>
      <c r="I9026" t="s">
        <v>4168</v>
      </c>
      <c r="J9026" t="s">
        <v>32609</v>
      </c>
      <c r="K9026" t="s">
        <v>36694</v>
      </c>
      <c r="M9026" t="s">
        <v>39800</v>
      </c>
      <c r="N9026" t="s">
        <v>40436</v>
      </c>
      <c r="O9026" t="s">
        <v>40437</v>
      </c>
      <c r="P9026">
        <v>0</v>
      </c>
      <c r="Q9026">
        <v>4</v>
      </c>
      <c r="R9026" t="s">
        <v>40446</v>
      </c>
      <c r="S9026" t="s">
        <v>40783</v>
      </c>
      <c r="T9026" t="s">
        <v>42326</v>
      </c>
      <c r="U9026" t="s">
        <v>44801</v>
      </c>
      <c r="W9026" t="s">
        <v>39800</v>
      </c>
      <c r="X9026" t="s">
        <v>40447</v>
      </c>
    </row>
    <row r="9027" spans="1:24">
      <c r="A9027">
        <f>HYPERLINK("https://www.philgeps.gov.ph/GEPSNONPILOT/Tender/SplashBidNoticeAbstractUI.aspx?menuIndex=3&amp;refID=7033663&amp;Result=3","7033663")</f>
        <v>0</v>
      </c>
      <c r="B9027" t="s">
        <v>340</v>
      </c>
      <c r="C9027" t="s">
        <v>11687</v>
      </c>
      <c r="D9027" t="s">
        <v>16195</v>
      </c>
      <c r="E9027" t="s">
        <v>24172</v>
      </c>
      <c r="F9027" t="s">
        <v>28198</v>
      </c>
      <c r="G9027" t="s">
        <v>28207</v>
      </c>
      <c r="H9027" t="s">
        <v>28215</v>
      </c>
      <c r="I9027" t="s">
        <v>4200</v>
      </c>
      <c r="J9027" t="s">
        <v>33980</v>
      </c>
      <c r="K9027" t="s">
        <v>36689</v>
      </c>
      <c r="M9027" t="s">
        <v>37318</v>
      </c>
      <c r="N9027" t="s">
        <v>40436</v>
      </c>
      <c r="O9027" t="s">
        <v>40437</v>
      </c>
      <c r="P9027">
        <v>0</v>
      </c>
      <c r="Q9027">
        <v>1</v>
      </c>
      <c r="R9027" t="s">
        <v>40446</v>
      </c>
      <c r="S9027" t="s">
        <v>40783</v>
      </c>
      <c r="T9027" t="s">
        <v>42233</v>
      </c>
      <c r="U9027" t="s">
        <v>43170</v>
      </c>
      <c r="W9027" t="s">
        <v>37318</v>
      </c>
      <c r="X9027" t="s">
        <v>40447</v>
      </c>
    </row>
    <row r="9028" spans="1:24">
      <c r="A9028">
        <f>HYPERLINK("https://www.philgeps.gov.ph/GEPSNONPILOT/Tender/SplashBidNoticeAbstractUI.aspx?menuIndex=3&amp;refID=7033699&amp;Result=3","7033699")</f>
        <v>0</v>
      </c>
      <c r="B9028" t="s">
        <v>890</v>
      </c>
      <c r="C9028" t="s">
        <v>11688</v>
      </c>
      <c r="D9028" t="s">
        <v>16213</v>
      </c>
      <c r="E9028" t="s">
        <v>24173</v>
      </c>
      <c r="F9028" t="s">
        <v>28198</v>
      </c>
      <c r="G9028" t="s">
        <v>28205</v>
      </c>
      <c r="H9028" t="s">
        <v>28214</v>
      </c>
      <c r="I9028" t="s">
        <v>28242</v>
      </c>
      <c r="J9028" t="s">
        <v>33981</v>
      </c>
      <c r="K9028" t="s">
        <v>36692</v>
      </c>
      <c r="M9028" t="s">
        <v>37906</v>
      </c>
      <c r="N9028" t="s">
        <v>40436</v>
      </c>
      <c r="O9028" t="s">
        <v>40437</v>
      </c>
      <c r="P9028">
        <v>0</v>
      </c>
      <c r="Q9028">
        <v>4</v>
      </c>
      <c r="R9028" t="s">
        <v>40446</v>
      </c>
      <c r="S9028" t="s">
        <v>40783</v>
      </c>
      <c r="T9028" t="s">
        <v>42279</v>
      </c>
      <c r="U9028" t="s">
        <v>50193</v>
      </c>
      <c r="W9028" t="s">
        <v>37906</v>
      </c>
      <c r="X9028" t="s">
        <v>40447</v>
      </c>
    </row>
    <row r="9029" spans="1:24">
      <c r="A9029">
        <f>HYPERLINK("https://www.philgeps.gov.ph/GEPSNONPILOT/Tender/SplashBidNoticeAbstractUI.aspx?menuIndex=3&amp;refID=7033561&amp;Result=3","7033561")</f>
        <v>0</v>
      </c>
      <c r="B9029" t="s">
        <v>2587</v>
      </c>
      <c r="C9029" t="s">
        <v>11689</v>
      </c>
      <c r="D9029" t="s">
        <v>16217</v>
      </c>
      <c r="E9029" t="s">
        <v>24174</v>
      </c>
      <c r="F9029" t="s">
        <v>28198</v>
      </c>
      <c r="G9029" t="s">
        <v>28205</v>
      </c>
      <c r="H9029" t="s">
        <v>28214</v>
      </c>
      <c r="I9029" t="s">
        <v>3797</v>
      </c>
      <c r="J9029" t="s">
        <v>33982</v>
      </c>
      <c r="K9029" t="s">
        <v>36715</v>
      </c>
      <c r="M9029" t="s">
        <v>39801</v>
      </c>
      <c r="N9029" t="s">
        <v>40436</v>
      </c>
      <c r="O9029" t="s">
        <v>40437</v>
      </c>
      <c r="P9029">
        <v>0</v>
      </c>
      <c r="Q9029">
        <v>0</v>
      </c>
      <c r="R9029" t="s">
        <v>40446</v>
      </c>
      <c r="S9029" t="s">
        <v>40783</v>
      </c>
      <c r="T9029" t="s">
        <v>42346</v>
      </c>
      <c r="U9029" t="s">
        <v>50194</v>
      </c>
      <c r="W9029" t="s">
        <v>39801</v>
      </c>
      <c r="X9029" t="s">
        <v>40447</v>
      </c>
    </row>
    <row r="9030" spans="1:24">
      <c r="A9030">
        <f>HYPERLINK("https://www.philgeps.gov.ph/GEPSNONPILOT/Tender/SplashBidNoticeAbstractUI.aspx?menuIndex=3&amp;refID=7033672&amp;Result=3","7033672")</f>
        <v>0</v>
      </c>
      <c r="B9030" t="s">
        <v>2588</v>
      </c>
      <c r="C9030" t="s">
        <v>11690</v>
      </c>
      <c r="D9030" t="s">
        <v>16222</v>
      </c>
      <c r="E9030" t="s">
        <v>24175</v>
      </c>
      <c r="F9030" t="s">
        <v>28198</v>
      </c>
      <c r="G9030" t="s">
        <v>28205</v>
      </c>
      <c r="H9030" t="s">
        <v>28214</v>
      </c>
      <c r="I9030" t="s">
        <v>3797</v>
      </c>
      <c r="J9030" t="s">
        <v>28818</v>
      </c>
      <c r="K9030" t="s">
        <v>36697</v>
      </c>
      <c r="M9030" t="s">
        <v>39802</v>
      </c>
      <c r="N9030" t="s">
        <v>40436</v>
      </c>
      <c r="O9030" t="s">
        <v>40437</v>
      </c>
      <c r="P9030">
        <v>0</v>
      </c>
      <c r="Q9030">
        <v>0</v>
      </c>
      <c r="R9030" t="s">
        <v>40446</v>
      </c>
      <c r="S9030" t="s">
        <v>40783</v>
      </c>
      <c r="T9030" t="s">
        <v>42398</v>
      </c>
      <c r="U9030" t="s">
        <v>50195</v>
      </c>
      <c r="W9030" t="s">
        <v>39802</v>
      </c>
      <c r="X9030" t="s">
        <v>40447</v>
      </c>
    </row>
    <row r="9031" spans="1:24">
      <c r="A9031">
        <f>HYPERLINK("https://www.philgeps.gov.ph/GEPSNONPILOT/Tender/SplashBidNoticeAbstractUI.aspx?menuIndex=3&amp;refID=7033746&amp;Result=3","7033746")</f>
        <v>0</v>
      </c>
      <c r="B9031" t="s">
        <v>249</v>
      </c>
      <c r="C9031" t="s">
        <v>11691</v>
      </c>
      <c r="D9031" t="s">
        <v>16254</v>
      </c>
      <c r="E9031" t="s">
        <v>24176</v>
      </c>
      <c r="F9031" t="s">
        <v>28198</v>
      </c>
      <c r="G9031" t="s">
        <v>28205</v>
      </c>
      <c r="H9031" t="s">
        <v>28215</v>
      </c>
      <c r="I9031" t="s">
        <v>28228</v>
      </c>
      <c r="J9031" t="s">
        <v>33983</v>
      </c>
      <c r="K9031" t="s">
        <v>36692</v>
      </c>
      <c r="L9031" t="s">
        <v>249</v>
      </c>
      <c r="M9031" t="s">
        <v>37225</v>
      </c>
      <c r="N9031" t="s">
        <v>40436</v>
      </c>
      <c r="O9031" t="s">
        <v>40437</v>
      </c>
      <c r="P9031">
        <v>0</v>
      </c>
      <c r="Q9031">
        <v>0</v>
      </c>
      <c r="R9031" t="s">
        <v>40446</v>
      </c>
      <c r="S9031" t="s">
        <v>40783</v>
      </c>
      <c r="T9031" t="s">
        <v>42482</v>
      </c>
      <c r="U9031" t="s">
        <v>50196</v>
      </c>
      <c r="V9031" t="s">
        <v>54750</v>
      </c>
      <c r="W9031" t="s">
        <v>37225</v>
      </c>
      <c r="X9031" t="s">
        <v>40447</v>
      </c>
    </row>
    <row r="9032" spans="1:24">
      <c r="A9032">
        <f>HYPERLINK("https://www.philgeps.gov.ph/GEPSNONPILOT/Tender/SplashBidNoticeAbstractUI.aspx?menuIndex=3&amp;refID=7033747&amp;Result=3","7033747")</f>
        <v>0</v>
      </c>
      <c r="B9032" t="s">
        <v>2589</v>
      </c>
      <c r="C9032" t="s">
        <v>11692</v>
      </c>
      <c r="D9032" t="s">
        <v>16201</v>
      </c>
      <c r="E9032" t="s">
        <v>24177</v>
      </c>
      <c r="F9032" t="s">
        <v>28198</v>
      </c>
      <c r="G9032" t="s">
        <v>28209</v>
      </c>
      <c r="H9032" t="s">
        <v>28215</v>
      </c>
      <c r="I9032" t="s">
        <v>5100</v>
      </c>
      <c r="J9032" t="s">
        <v>33984</v>
      </c>
      <c r="K9032" t="s">
        <v>36810</v>
      </c>
      <c r="M9032" t="s">
        <v>39803</v>
      </c>
      <c r="N9032" t="s">
        <v>40436</v>
      </c>
      <c r="O9032" t="s">
        <v>40437</v>
      </c>
      <c r="P9032">
        <v>0</v>
      </c>
      <c r="Q9032">
        <v>0</v>
      </c>
      <c r="R9032" t="s">
        <v>40446</v>
      </c>
      <c r="S9032" t="s">
        <v>40783</v>
      </c>
      <c r="T9032" t="s">
        <v>42438</v>
      </c>
      <c r="U9032" t="s">
        <v>50197</v>
      </c>
      <c r="V9032" t="s">
        <v>54753</v>
      </c>
      <c r="W9032" t="s">
        <v>39803</v>
      </c>
      <c r="X9032" t="s">
        <v>40447</v>
      </c>
    </row>
    <row r="9033" spans="1:24">
      <c r="A9033">
        <f>HYPERLINK("https://www.philgeps.gov.ph/GEPSNONPILOT/Tender/SplashBidNoticeAbstractUI.aspx?menuIndex=3&amp;refID=7033749&amp;Result=3","7033749")</f>
        <v>0</v>
      </c>
      <c r="B9033" t="s">
        <v>1996</v>
      </c>
      <c r="C9033" t="s">
        <v>11693</v>
      </c>
      <c r="D9033" t="s">
        <v>16261</v>
      </c>
      <c r="E9033" t="s">
        <v>24178</v>
      </c>
      <c r="F9033" t="s">
        <v>28198</v>
      </c>
      <c r="G9033" t="s">
        <v>28205</v>
      </c>
      <c r="H9033" t="s">
        <v>28214</v>
      </c>
      <c r="I9033" t="s">
        <v>3797</v>
      </c>
      <c r="J9033" t="s">
        <v>33985</v>
      </c>
      <c r="K9033" t="s">
        <v>36854</v>
      </c>
      <c r="M9033" t="s">
        <v>39134</v>
      </c>
      <c r="N9033" t="s">
        <v>40436</v>
      </c>
      <c r="O9033" t="s">
        <v>40437</v>
      </c>
      <c r="P9033">
        <v>0</v>
      </c>
      <c r="Q9033">
        <v>1</v>
      </c>
      <c r="R9033" t="s">
        <v>40446</v>
      </c>
      <c r="S9033" t="s">
        <v>40783</v>
      </c>
      <c r="T9033" t="s">
        <v>42121</v>
      </c>
      <c r="U9033" t="s">
        <v>50198</v>
      </c>
      <c r="V9033" t="s">
        <v>54404</v>
      </c>
      <c r="W9033" t="s">
        <v>39134</v>
      </c>
      <c r="X9033" t="s">
        <v>40447</v>
      </c>
    </row>
    <row r="9034" spans="1:24">
      <c r="A9034">
        <f>HYPERLINK("https://www.philgeps.gov.ph/GEPSNONPILOT/Tender/SplashBidNoticeAbstractUI.aspx?menuIndex=3&amp;refID=7033770&amp;Result=3","7033770")</f>
        <v>0</v>
      </c>
      <c r="B9034" t="s">
        <v>2590</v>
      </c>
      <c r="C9034" t="s">
        <v>11694</v>
      </c>
      <c r="D9034" t="s">
        <v>16195</v>
      </c>
      <c r="E9034" t="s">
        <v>24179</v>
      </c>
      <c r="F9034" t="s">
        <v>28198</v>
      </c>
      <c r="G9034" t="s">
        <v>28206</v>
      </c>
      <c r="H9034" t="s">
        <v>28215</v>
      </c>
      <c r="I9034" t="s">
        <v>28227</v>
      </c>
      <c r="J9034" t="s">
        <v>33986</v>
      </c>
      <c r="K9034" t="s">
        <v>36688</v>
      </c>
      <c r="M9034" t="s">
        <v>39804</v>
      </c>
      <c r="N9034" t="s">
        <v>40436</v>
      </c>
      <c r="O9034" t="s">
        <v>40437</v>
      </c>
      <c r="P9034">
        <v>0</v>
      </c>
      <c r="Q9034">
        <v>0</v>
      </c>
      <c r="R9034" t="s">
        <v>40446</v>
      </c>
      <c r="S9034" t="s">
        <v>40783</v>
      </c>
      <c r="T9034" t="s">
        <v>42185</v>
      </c>
      <c r="U9034" t="s">
        <v>50199</v>
      </c>
      <c r="W9034" t="s">
        <v>39804</v>
      </c>
      <c r="X9034" t="s">
        <v>40447</v>
      </c>
    </row>
    <row r="9035" spans="1:24">
      <c r="A9035">
        <f>HYPERLINK("https://www.philgeps.gov.ph/GEPSNONPILOT/Tender/SplashBidNoticeAbstractUI.aspx?menuIndex=3&amp;refID=7033685&amp;Result=3","7033685")</f>
        <v>0</v>
      </c>
      <c r="B9035" t="s">
        <v>683</v>
      </c>
      <c r="C9035" t="s">
        <v>11695</v>
      </c>
      <c r="D9035" t="s">
        <v>16196</v>
      </c>
      <c r="E9035" t="s">
        <v>24180</v>
      </c>
      <c r="F9035" t="s">
        <v>28198</v>
      </c>
      <c r="G9035" t="s">
        <v>28205</v>
      </c>
      <c r="H9035" t="s">
        <v>28215</v>
      </c>
      <c r="I9035" t="s">
        <v>28259</v>
      </c>
      <c r="J9035" t="s">
        <v>33987</v>
      </c>
      <c r="K9035" t="s">
        <v>36701</v>
      </c>
      <c r="M9035" t="s">
        <v>37681</v>
      </c>
      <c r="N9035" t="s">
        <v>40436</v>
      </c>
      <c r="O9035" t="s">
        <v>40437</v>
      </c>
      <c r="P9035">
        <v>0</v>
      </c>
      <c r="Q9035">
        <v>2</v>
      </c>
      <c r="R9035" t="s">
        <v>40446</v>
      </c>
      <c r="S9035" t="s">
        <v>40783</v>
      </c>
      <c r="T9035" t="s">
        <v>42118</v>
      </c>
      <c r="U9035" t="s">
        <v>50200</v>
      </c>
      <c r="W9035" t="s">
        <v>37681</v>
      </c>
      <c r="X9035" t="s">
        <v>40447</v>
      </c>
    </row>
    <row r="9036" spans="1:24">
      <c r="A9036">
        <f>HYPERLINK("https://www.philgeps.gov.ph/GEPSNONPILOT/Tender/SplashBidNoticeAbstractUI.aspx?menuIndex=3&amp;refID=7033735&amp;Result=3","7033735")</f>
        <v>0</v>
      </c>
      <c r="B9036" t="s">
        <v>1990</v>
      </c>
      <c r="C9036" t="s">
        <v>11696</v>
      </c>
      <c r="D9036" t="s">
        <v>16258</v>
      </c>
      <c r="E9036" t="s">
        <v>24181</v>
      </c>
      <c r="F9036" t="s">
        <v>28198</v>
      </c>
      <c r="G9036" t="s">
        <v>28205</v>
      </c>
      <c r="H9036" t="s">
        <v>28214</v>
      </c>
      <c r="I9036" t="s">
        <v>3797</v>
      </c>
      <c r="J9036" t="s">
        <v>33988</v>
      </c>
      <c r="K9036" t="s">
        <v>36690</v>
      </c>
      <c r="M9036" t="s">
        <v>39436</v>
      </c>
      <c r="N9036" t="s">
        <v>40436</v>
      </c>
      <c r="O9036" t="s">
        <v>40437</v>
      </c>
      <c r="P9036">
        <v>0</v>
      </c>
      <c r="Q9036">
        <v>0</v>
      </c>
      <c r="R9036" t="s">
        <v>40446</v>
      </c>
      <c r="S9036" t="s">
        <v>40783</v>
      </c>
      <c r="T9036" t="s">
        <v>42467</v>
      </c>
      <c r="U9036" t="s">
        <v>50201</v>
      </c>
      <c r="V9036" t="s">
        <v>54542</v>
      </c>
      <c r="W9036" t="s">
        <v>39436</v>
      </c>
      <c r="X9036" t="s">
        <v>40447</v>
      </c>
    </row>
    <row r="9037" spans="1:24">
      <c r="A9037">
        <f>HYPERLINK("https://www.philgeps.gov.ph/GEPSNONPILOT/Tender/SplashBidNoticeAbstractUI.aspx?menuIndex=3&amp;refID=7033742&amp;Result=3","7033742")</f>
        <v>0</v>
      </c>
      <c r="B9037" t="s">
        <v>766</v>
      </c>
      <c r="C9037" t="s">
        <v>11697</v>
      </c>
      <c r="D9037" t="s">
        <v>16219</v>
      </c>
      <c r="E9037" t="s">
        <v>24182</v>
      </c>
      <c r="F9037" t="s">
        <v>28198</v>
      </c>
      <c r="G9037" t="s">
        <v>28209</v>
      </c>
      <c r="H9037" t="s">
        <v>28214</v>
      </c>
      <c r="I9037" t="s">
        <v>28274</v>
      </c>
      <c r="J9037" t="s">
        <v>33989</v>
      </c>
      <c r="K9037" t="s">
        <v>36735</v>
      </c>
      <c r="M9037" t="s">
        <v>38825</v>
      </c>
      <c r="N9037" t="s">
        <v>40436</v>
      </c>
      <c r="O9037" t="s">
        <v>40437</v>
      </c>
      <c r="P9037">
        <v>0</v>
      </c>
      <c r="Q9037">
        <v>1</v>
      </c>
      <c r="R9037" t="s">
        <v>40446</v>
      </c>
      <c r="S9037" t="s">
        <v>40783</v>
      </c>
      <c r="T9037" t="s">
        <v>42183</v>
      </c>
      <c r="U9037" t="s">
        <v>50202</v>
      </c>
      <c r="W9037" t="s">
        <v>38825</v>
      </c>
      <c r="X9037" t="s">
        <v>40447</v>
      </c>
    </row>
    <row r="9038" spans="1:24">
      <c r="A9038">
        <f>HYPERLINK("https://www.philgeps.gov.ph/GEPSNONPILOT/Tender/SplashBidNoticeAbstractUI.aspx?menuIndex=3&amp;refID=7033696&amp;Result=3","7033696")</f>
        <v>0</v>
      </c>
      <c r="B9038" t="s">
        <v>2591</v>
      </c>
      <c r="C9038" t="s">
        <v>11698</v>
      </c>
      <c r="D9038" t="s">
        <v>16209</v>
      </c>
      <c r="E9038" t="s">
        <v>24183</v>
      </c>
      <c r="F9038" t="s">
        <v>28198</v>
      </c>
      <c r="G9038" t="s">
        <v>28207</v>
      </c>
      <c r="H9038" t="s">
        <v>28215</v>
      </c>
      <c r="I9038" t="s">
        <v>28257</v>
      </c>
      <c r="J9038" t="s">
        <v>28345</v>
      </c>
      <c r="K9038" t="s">
        <v>36706</v>
      </c>
      <c r="M9038" t="s">
        <v>39805</v>
      </c>
      <c r="N9038" t="s">
        <v>40436</v>
      </c>
      <c r="O9038" t="s">
        <v>40437</v>
      </c>
      <c r="P9038">
        <v>0</v>
      </c>
      <c r="Q9038">
        <v>2</v>
      </c>
      <c r="R9038" t="s">
        <v>40446</v>
      </c>
      <c r="S9038" t="s">
        <v>40783</v>
      </c>
      <c r="T9038" t="s">
        <v>42277</v>
      </c>
      <c r="U9038" t="s">
        <v>50203</v>
      </c>
      <c r="W9038" t="s">
        <v>39805</v>
      </c>
      <c r="X9038" t="s">
        <v>40447</v>
      </c>
    </row>
    <row r="9039" spans="1:24">
      <c r="A9039">
        <f>HYPERLINK("https://www.philgeps.gov.ph/GEPSNONPILOT/Tender/SplashBidNoticeAbstractUI.aspx?menuIndex=3&amp;refID=7033715&amp;Result=3","7033715")</f>
        <v>0</v>
      </c>
      <c r="B9039" t="s">
        <v>1990</v>
      </c>
      <c r="C9039" t="s">
        <v>11699</v>
      </c>
      <c r="D9039" t="s">
        <v>16258</v>
      </c>
      <c r="E9039" t="s">
        <v>24184</v>
      </c>
      <c r="F9039" t="s">
        <v>28198</v>
      </c>
      <c r="G9039" t="s">
        <v>28205</v>
      </c>
      <c r="H9039" t="s">
        <v>28214</v>
      </c>
      <c r="I9039" t="s">
        <v>3797</v>
      </c>
      <c r="J9039" t="s">
        <v>33990</v>
      </c>
      <c r="K9039" t="s">
        <v>36821</v>
      </c>
      <c r="M9039" t="s">
        <v>39436</v>
      </c>
      <c r="N9039" t="s">
        <v>40436</v>
      </c>
      <c r="O9039" t="s">
        <v>40437</v>
      </c>
      <c r="P9039">
        <v>0</v>
      </c>
      <c r="Q9039">
        <v>0</v>
      </c>
      <c r="R9039" t="s">
        <v>40446</v>
      </c>
      <c r="S9039" t="s">
        <v>40783</v>
      </c>
      <c r="T9039" t="s">
        <v>42467</v>
      </c>
      <c r="U9039" t="s">
        <v>50204</v>
      </c>
      <c r="V9039" t="s">
        <v>54542</v>
      </c>
      <c r="W9039" t="s">
        <v>39436</v>
      </c>
      <c r="X9039" t="s">
        <v>40447</v>
      </c>
    </row>
    <row r="9040" spans="1:24">
      <c r="A9040">
        <f>HYPERLINK("https://www.philgeps.gov.ph/GEPSNONPILOT/Tender/SplashBidNoticeAbstractUI.aspx?menuIndex=3&amp;refID=7033750&amp;Result=3","7033750")</f>
        <v>0</v>
      </c>
      <c r="B9040" t="s">
        <v>840</v>
      </c>
      <c r="C9040" t="s">
        <v>11700</v>
      </c>
      <c r="E9040" t="s">
        <v>24185</v>
      </c>
      <c r="F9040" t="s">
        <v>28198</v>
      </c>
      <c r="G9040" t="s">
        <v>28207</v>
      </c>
      <c r="H9040" t="s">
        <v>28215</v>
      </c>
      <c r="I9040" t="s">
        <v>28302</v>
      </c>
      <c r="J9040" t="s">
        <v>33991</v>
      </c>
      <c r="K9040" t="s">
        <v>36689</v>
      </c>
      <c r="M9040" t="s">
        <v>39693</v>
      </c>
      <c r="N9040" t="s">
        <v>40436</v>
      </c>
      <c r="O9040" t="s">
        <v>40437</v>
      </c>
      <c r="P9040">
        <v>0</v>
      </c>
      <c r="Q9040">
        <v>1</v>
      </c>
      <c r="R9040" t="s">
        <v>40446</v>
      </c>
      <c r="S9040" t="s">
        <v>40783</v>
      </c>
      <c r="T9040" t="s">
        <v>42385</v>
      </c>
      <c r="U9040" t="s">
        <v>44235</v>
      </c>
      <c r="W9040" t="s">
        <v>39693</v>
      </c>
      <c r="X9040" t="s">
        <v>40447</v>
      </c>
    </row>
    <row r="9041" spans="1:24">
      <c r="A9041">
        <f>HYPERLINK("https://www.philgeps.gov.ph/GEPSNONPILOT/Tender/SplashBidNoticeAbstractUI.aspx?menuIndex=3&amp;refID=7033726&amp;Result=3","7033726")</f>
        <v>0</v>
      </c>
      <c r="B9041" t="s">
        <v>583</v>
      </c>
      <c r="C9041" t="s">
        <v>11701</v>
      </c>
      <c r="D9041" t="s">
        <v>16235</v>
      </c>
      <c r="E9041" t="s">
        <v>16502</v>
      </c>
      <c r="F9041" t="s">
        <v>28198</v>
      </c>
      <c r="G9041" t="s">
        <v>28205</v>
      </c>
      <c r="H9041" t="s">
        <v>28215</v>
      </c>
      <c r="I9041" t="s">
        <v>28249</v>
      </c>
      <c r="J9041" t="s">
        <v>33992</v>
      </c>
      <c r="K9041" t="s">
        <v>36700</v>
      </c>
      <c r="M9041" t="s">
        <v>39806</v>
      </c>
      <c r="N9041" t="s">
        <v>40436</v>
      </c>
      <c r="O9041" t="s">
        <v>40437</v>
      </c>
      <c r="Q9041">
        <v>2</v>
      </c>
      <c r="R9041" t="s">
        <v>40446</v>
      </c>
      <c r="S9041" t="s">
        <v>40815</v>
      </c>
      <c r="T9041" t="s">
        <v>42480</v>
      </c>
      <c r="U9041" t="s">
        <v>50205</v>
      </c>
      <c r="V9041" t="s">
        <v>54754</v>
      </c>
      <c r="W9041" t="s">
        <v>39806</v>
      </c>
      <c r="X9041" t="s">
        <v>40447</v>
      </c>
    </row>
    <row r="9042" spans="1:24">
      <c r="A9042">
        <f>HYPERLINK("https://www.philgeps.gov.ph/GEPSNONPILOT/Tender/SplashBidNoticeAbstractUI.aspx?menuIndex=3&amp;refID=7033769&amp;Result=3","7033769")</f>
        <v>0</v>
      </c>
      <c r="B9042" t="s">
        <v>2592</v>
      </c>
      <c r="C9042" t="s">
        <v>11702</v>
      </c>
      <c r="D9042" t="s">
        <v>16224</v>
      </c>
      <c r="E9042" t="s">
        <v>24186</v>
      </c>
      <c r="F9042" t="s">
        <v>28198</v>
      </c>
      <c r="G9042" t="s">
        <v>28205</v>
      </c>
      <c r="H9042" t="s">
        <v>28214</v>
      </c>
      <c r="I9042" t="s">
        <v>3797</v>
      </c>
      <c r="J9042" t="s">
        <v>28468</v>
      </c>
      <c r="K9042" t="s">
        <v>36717</v>
      </c>
      <c r="L9042" t="s">
        <v>2592</v>
      </c>
      <c r="M9042" t="s">
        <v>39807</v>
      </c>
      <c r="N9042" t="s">
        <v>40436</v>
      </c>
      <c r="O9042" t="s">
        <v>40437</v>
      </c>
      <c r="P9042">
        <v>0</v>
      </c>
      <c r="Q9042">
        <v>1</v>
      </c>
      <c r="R9042" t="s">
        <v>40446</v>
      </c>
      <c r="S9042" t="s">
        <v>40783</v>
      </c>
      <c r="T9042" t="s">
        <v>42279</v>
      </c>
      <c r="U9042" t="s">
        <v>50206</v>
      </c>
      <c r="V9042" t="s">
        <v>54755</v>
      </c>
      <c r="W9042" t="s">
        <v>39807</v>
      </c>
      <c r="X9042" t="s">
        <v>40447</v>
      </c>
    </row>
    <row r="9043" spans="1:24">
      <c r="A9043">
        <f>HYPERLINK("https://www.philgeps.gov.ph/GEPSNONPILOT/Tender/SplashBidNoticeAbstractUI.aspx?menuIndex=3&amp;refID=7033720&amp;Result=3","7033720")</f>
        <v>0</v>
      </c>
      <c r="B9043" t="s">
        <v>1142</v>
      </c>
      <c r="C9043" t="s">
        <v>11703</v>
      </c>
      <c r="D9043" t="s">
        <v>16223</v>
      </c>
      <c r="E9043" t="s">
        <v>24187</v>
      </c>
      <c r="F9043" t="s">
        <v>28200</v>
      </c>
      <c r="G9043" t="s">
        <v>28206</v>
      </c>
      <c r="H9043" t="s">
        <v>28215</v>
      </c>
      <c r="I9043" t="s">
        <v>8888</v>
      </c>
      <c r="J9043" t="s">
        <v>33993</v>
      </c>
      <c r="K9043" t="s">
        <v>36706</v>
      </c>
      <c r="M9043" t="s">
        <v>38182</v>
      </c>
      <c r="N9043" t="s">
        <v>40436</v>
      </c>
      <c r="O9043" t="s">
        <v>40437</v>
      </c>
      <c r="P9043">
        <v>0</v>
      </c>
      <c r="Q9043">
        <v>1</v>
      </c>
      <c r="R9043" t="s">
        <v>40446</v>
      </c>
      <c r="S9043" t="s">
        <v>40783</v>
      </c>
      <c r="T9043" t="s">
        <v>42133</v>
      </c>
      <c r="U9043" t="s">
        <v>50207</v>
      </c>
      <c r="W9043" t="s">
        <v>38182</v>
      </c>
      <c r="X9043" t="s">
        <v>40447</v>
      </c>
    </row>
    <row r="9044" spans="1:24">
      <c r="A9044">
        <f>HYPERLINK("https://www.philgeps.gov.ph/GEPSNONPILOT/Tender/SplashBidNoticeAbstractUI.aspx?menuIndex=3&amp;refID=7033772&amp;Result=3","7033772")</f>
        <v>0</v>
      </c>
      <c r="B9044" t="s">
        <v>2578</v>
      </c>
      <c r="C9044" t="s">
        <v>11704</v>
      </c>
      <c r="D9044" t="s">
        <v>16197</v>
      </c>
      <c r="E9044" t="s">
        <v>18328</v>
      </c>
      <c r="F9044" t="s">
        <v>28198</v>
      </c>
      <c r="G9044" t="s">
        <v>28205</v>
      </c>
      <c r="H9044" t="s">
        <v>28215</v>
      </c>
      <c r="I9044" t="s">
        <v>5100</v>
      </c>
      <c r="J9044" t="s">
        <v>33994</v>
      </c>
      <c r="K9044" t="s">
        <v>36706</v>
      </c>
      <c r="M9044" t="s">
        <v>39792</v>
      </c>
      <c r="N9044" t="s">
        <v>40436</v>
      </c>
      <c r="O9044" t="s">
        <v>40437</v>
      </c>
      <c r="P9044">
        <v>0</v>
      </c>
      <c r="Q9044">
        <v>0</v>
      </c>
      <c r="R9044" t="s">
        <v>40446</v>
      </c>
      <c r="S9044" t="s">
        <v>40783</v>
      </c>
      <c r="T9044" t="s">
        <v>42168</v>
      </c>
      <c r="U9044" t="s">
        <v>50208</v>
      </c>
      <c r="V9044" t="s">
        <v>54756</v>
      </c>
      <c r="W9044" t="s">
        <v>39792</v>
      </c>
      <c r="X9044" t="s">
        <v>40447</v>
      </c>
    </row>
    <row r="9045" spans="1:24">
      <c r="A9045">
        <f>HYPERLINK("https://www.philgeps.gov.ph/GEPSNONPILOT/Tender/SplashBidNoticeAbstractUI.aspx?menuIndex=3&amp;refID=7033707&amp;Result=3","7033707")</f>
        <v>0</v>
      </c>
      <c r="B9045" t="s">
        <v>2593</v>
      </c>
      <c r="C9045" t="s">
        <v>11705</v>
      </c>
      <c r="D9045" t="s">
        <v>16268</v>
      </c>
      <c r="E9045" t="s">
        <v>24188</v>
      </c>
      <c r="F9045" t="s">
        <v>28198</v>
      </c>
      <c r="G9045" t="s">
        <v>28205</v>
      </c>
      <c r="H9045" t="s">
        <v>28214</v>
      </c>
      <c r="I9045" t="s">
        <v>5100</v>
      </c>
      <c r="J9045" t="s">
        <v>33995</v>
      </c>
      <c r="K9045" t="s">
        <v>36717</v>
      </c>
      <c r="M9045" t="s">
        <v>39808</v>
      </c>
      <c r="N9045" t="s">
        <v>40436</v>
      </c>
      <c r="O9045" t="s">
        <v>40437</v>
      </c>
      <c r="P9045">
        <v>0</v>
      </c>
      <c r="Q9045">
        <v>6</v>
      </c>
      <c r="R9045" t="s">
        <v>40446</v>
      </c>
      <c r="S9045" t="s">
        <v>40783</v>
      </c>
      <c r="T9045" t="s">
        <v>42183</v>
      </c>
      <c r="U9045" t="s">
        <v>50209</v>
      </c>
      <c r="W9045" t="s">
        <v>39808</v>
      </c>
      <c r="X9045" t="s">
        <v>40447</v>
      </c>
    </row>
    <row r="9046" spans="1:24">
      <c r="A9046">
        <f>HYPERLINK("https://www.philgeps.gov.ph/GEPSNONPILOT/Tender/SplashBidNoticeAbstractUI.aspx?menuIndex=3&amp;refID=7033795&amp;Result=3","7033795")</f>
        <v>0</v>
      </c>
      <c r="B9046" t="s">
        <v>2594</v>
      </c>
      <c r="C9046" t="s">
        <v>6275</v>
      </c>
      <c r="D9046" t="s">
        <v>16196</v>
      </c>
      <c r="E9046" t="s">
        <v>16352</v>
      </c>
      <c r="F9046" t="s">
        <v>28200</v>
      </c>
      <c r="G9046" t="s">
        <v>28205</v>
      </c>
      <c r="H9046" t="s">
        <v>28215</v>
      </c>
      <c r="I9046" t="s">
        <v>28227</v>
      </c>
      <c r="J9046" t="s">
        <v>33996</v>
      </c>
      <c r="K9046" t="s">
        <v>36688</v>
      </c>
      <c r="M9046" t="s">
        <v>39809</v>
      </c>
      <c r="N9046" t="s">
        <v>40436</v>
      </c>
      <c r="O9046" t="s">
        <v>40437</v>
      </c>
      <c r="P9046">
        <v>0</v>
      </c>
      <c r="Q9046">
        <v>0</v>
      </c>
      <c r="R9046" t="s">
        <v>40446</v>
      </c>
      <c r="S9046" t="s">
        <v>40783</v>
      </c>
      <c r="T9046" t="s">
        <v>42180</v>
      </c>
      <c r="U9046" t="s">
        <v>50210</v>
      </c>
      <c r="W9046" t="s">
        <v>39809</v>
      </c>
      <c r="X9046" t="s">
        <v>40447</v>
      </c>
    </row>
    <row r="9047" spans="1:24">
      <c r="A9047">
        <f>HYPERLINK("https://www.philgeps.gov.ph/GEPSNONPILOT/Tender/SplashBidNoticeAbstractUI.aspx?menuIndex=3&amp;refID=7033809&amp;Result=3","7033809")</f>
        <v>0</v>
      </c>
      <c r="B9047" t="s">
        <v>2595</v>
      </c>
      <c r="C9047" t="s">
        <v>11706</v>
      </c>
      <c r="D9047" t="s">
        <v>16235</v>
      </c>
      <c r="E9047" t="s">
        <v>20151</v>
      </c>
      <c r="F9047" t="s">
        <v>28198</v>
      </c>
      <c r="G9047" t="s">
        <v>28205</v>
      </c>
      <c r="H9047" t="s">
        <v>28215</v>
      </c>
      <c r="I9047" t="s">
        <v>4219</v>
      </c>
      <c r="J9047" t="s">
        <v>33997</v>
      </c>
      <c r="K9047" t="s">
        <v>36707</v>
      </c>
      <c r="M9047" t="s">
        <v>39810</v>
      </c>
      <c r="N9047" t="s">
        <v>40436</v>
      </c>
      <c r="O9047" t="s">
        <v>40437</v>
      </c>
      <c r="P9047">
        <v>0</v>
      </c>
      <c r="Q9047">
        <v>8</v>
      </c>
      <c r="R9047" t="s">
        <v>40446</v>
      </c>
      <c r="S9047" t="s">
        <v>40783</v>
      </c>
      <c r="T9047" t="s">
        <v>42183</v>
      </c>
      <c r="U9047" t="s">
        <v>50211</v>
      </c>
      <c r="W9047" t="s">
        <v>39810</v>
      </c>
      <c r="X9047" t="s">
        <v>40447</v>
      </c>
    </row>
    <row r="9048" spans="1:24">
      <c r="A9048">
        <f>HYPERLINK("https://www.philgeps.gov.ph/GEPSNONPILOT/Tender/SplashBidNoticeAbstractUI.aspx?menuIndex=3&amp;refID=7033791&amp;Result=3","7033791")</f>
        <v>0</v>
      </c>
      <c r="B9048" t="s">
        <v>583</v>
      </c>
      <c r="C9048" t="s">
        <v>11707</v>
      </c>
      <c r="D9048" t="s">
        <v>16235</v>
      </c>
      <c r="E9048" t="s">
        <v>16494</v>
      </c>
      <c r="F9048" t="s">
        <v>28198</v>
      </c>
      <c r="G9048" t="s">
        <v>28205</v>
      </c>
      <c r="H9048" t="s">
        <v>28215</v>
      </c>
      <c r="I9048" t="s">
        <v>28224</v>
      </c>
      <c r="J9048" t="s">
        <v>33998</v>
      </c>
      <c r="K9048" t="s">
        <v>36701</v>
      </c>
      <c r="M9048" t="s">
        <v>39806</v>
      </c>
      <c r="N9048" t="s">
        <v>40436</v>
      </c>
      <c r="O9048" t="s">
        <v>40437</v>
      </c>
      <c r="Q9048">
        <v>4</v>
      </c>
      <c r="R9048" t="s">
        <v>40446</v>
      </c>
      <c r="S9048" t="s">
        <v>40816</v>
      </c>
      <c r="T9048" t="s">
        <v>42480</v>
      </c>
      <c r="U9048" t="s">
        <v>50212</v>
      </c>
      <c r="V9048" t="s">
        <v>54754</v>
      </c>
      <c r="W9048" t="s">
        <v>39806</v>
      </c>
      <c r="X9048" t="s">
        <v>40447</v>
      </c>
    </row>
    <row r="9049" spans="1:24">
      <c r="A9049">
        <f>HYPERLINK("https://www.philgeps.gov.ph/GEPSNONPILOT/Tender/SplashBidNoticeAbstractUI.aspx?menuIndex=3&amp;refID=7033792&amp;Result=3","7033792")</f>
        <v>0</v>
      </c>
      <c r="B9049" t="s">
        <v>2589</v>
      </c>
      <c r="C9049" t="s">
        <v>3516</v>
      </c>
      <c r="D9049" t="s">
        <v>16201</v>
      </c>
      <c r="E9049" t="s">
        <v>24189</v>
      </c>
      <c r="F9049" t="s">
        <v>28198</v>
      </c>
      <c r="G9049" t="s">
        <v>28209</v>
      </c>
      <c r="H9049" t="s">
        <v>28215</v>
      </c>
      <c r="I9049" t="s">
        <v>8888</v>
      </c>
      <c r="J9049" t="s">
        <v>33999</v>
      </c>
      <c r="K9049" t="s">
        <v>36701</v>
      </c>
      <c r="M9049" t="s">
        <v>39803</v>
      </c>
      <c r="N9049" t="s">
        <v>40436</v>
      </c>
      <c r="O9049" t="s">
        <v>40437</v>
      </c>
      <c r="P9049">
        <v>0</v>
      </c>
      <c r="Q9049">
        <v>1</v>
      </c>
      <c r="R9049" t="s">
        <v>40446</v>
      </c>
      <c r="S9049" t="s">
        <v>40783</v>
      </c>
      <c r="T9049" t="s">
        <v>42438</v>
      </c>
      <c r="U9049" t="s">
        <v>50213</v>
      </c>
      <c r="V9049" t="s">
        <v>54753</v>
      </c>
      <c r="W9049" t="s">
        <v>39803</v>
      </c>
      <c r="X9049" t="s">
        <v>40447</v>
      </c>
    </row>
    <row r="9050" spans="1:24">
      <c r="A9050">
        <f>HYPERLINK("https://www.philgeps.gov.ph/GEPSNONPILOT/Tender/SplashBidNoticeAbstractUI.aspx?menuIndex=3&amp;refID=7033814&amp;Result=3","7033814")</f>
        <v>0</v>
      </c>
      <c r="B9050" t="s">
        <v>2591</v>
      </c>
      <c r="C9050" t="s">
        <v>11708</v>
      </c>
      <c r="D9050" t="s">
        <v>16209</v>
      </c>
      <c r="E9050" t="s">
        <v>24190</v>
      </c>
      <c r="F9050" t="s">
        <v>28198</v>
      </c>
      <c r="G9050" t="s">
        <v>28209</v>
      </c>
      <c r="H9050" t="s">
        <v>28215</v>
      </c>
      <c r="I9050" t="s">
        <v>28310</v>
      </c>
      <c r="J9050" t="s">
        <v>28868</v>
      </c>
      <c r="K9050" t="s">
        <v>36706</v>
      </c>
      <c r="M9050" t="s">
        <v>39805</v>
      </c>
      <c r="N9050" t="s">
        <v>40436</v>
      </c>
      <c r="O9050" t="s">
        <v>40437</v>
      </c>
      <c r="P9050">
        <v>0</v>
      </c>
      <c r="Q9050">
        <v>1</v>
      </c>
      <c r="R9050" t="s">
        <v>40446</v>
      </c>
      <c r="S9050" t="s">
        <v>40783</v>
      </c>
      <c r="T9050" t="s">
        <v>42277</v>
      </c>
      <c r="U9050" t="s">
        <v>50214</v>
      </c>
      <c r="W9050" t="s">
        <v>39805</v>
      </c>
      <c r="X9050" t="s">
        <v>40447</v>
      </c>
    </row>
    <row r="9051" spans="1:24">
      <c r="A9051">
        <f>HYPERLINK("https://www.philgeps.gov.ph/GEPSNONPILOT/Tender/SplashBidNoticeAbstractUI.aspx?menuIndex=3&amp;refID=7033853&amp;Result=3","7033853")</f>
        <v>0</v>
      </c>
      <c r="B9051" t="s">
        <v>1223</v>
      </c>
      <c r="C9051" t="s">
        <v>11709</v>
      </c>
      <c r="D9051" t="s">
        <v>16188</v>
      </c>
      <c r="E9051" t="s">
        <v>24191</v>
      </c>
      <c r="F9051" t="s">
        <v>28198</v>
      </c>
      <c r="G9051" t="s">
        <v>28206</v>
      </c>
      <c r="H9051" t="s">
        <v>28215</v>
      </c>
      <c r="I9051" t="s">
        <v>5100</v>
      </c>
      <c r="J9051" t="s">
        <v>34000</v>
      </c>
      <c r="K9051" t="s">
        <v>36689</v>
      </c>
      <c r="M9051" t="s">
        <v>38269</v>
      </c>
      <c r="N9051" t="s">
        <v>40436</v>
      </c>
      <c r="O9051" t="s">
        <v>40437</v>
      </c>
      <c r="Q9051">
        <v>3</v>
      </c>
      <c r="R9051" t="s">
        <v>40446</v>
      </c>
      <c r="S9051" t="s">
        <v>40817</v>
      </c>
      <c r="T9051" t="s">
        <v>42185</v>
      </c>
      <c r="U9051" t="s">
        <v>45350</v>
      </c>
      <c r="W9051" t="s">
        <v>38269</v>
      </c>
      <c r="X9051" t="s">
        <v>40447</v>
      </c>
    </row>
    <row r="9052" spans="1:24">
      <c r="A9052">
        <f>HYPERLINK("https://www.philgeps.gov.ph/GEPSNONPILOT/Tender/SplashBidNoticeAbstractUI.aspx?menuIndex=3&amp;refID=7033808&amp;Result=3","7033808")</f>
        <v>0</v>
      </c>
      <c r="B9052" t="s">
        <v>2596</v>
      </c>
      <c r="C9052" t="s">
        <v>11710</v>
      </c>
      <c r="D9052" t="s">
        <v>16193</v>
      </c>
      <c r="E9052" t="s">
        <v>24192</v>
      </c>
      <c r="F9052" t="s">
        <v>28198</v>
      </c>
      <c r="G9052" t="s">
        <v>28205</v>
      </c>
      <c r="H9052" t="s">
        <v>28214</v>
      </c>
      <c r="I9052" t="s">
        <v>3797</v>
      </c>
      <c r="J9052" t="s">
        <v>32533</v>
      </c>
      <c r="K9052" t="s">
        <v>36761</v>
      </c>
      <c r="M9052" t="s">
        <v>39811</v>
      </c>
      <c r="N9052" t="s">
        <v>40436</v>
      </c>
      <c r="O9052" t="s">
        <v>40437</v>
      </c>
      <c r="P9052">
        <v>0</v>
      </c>
      <c r="Q9052">
        <v>2</v>
      </c>
      <c r="R9052" t="s">
        <v>40446</v>
      </c>
      <c r="S9052" t="s">
        <v>40783</v>
      </c>
      <c r="T9052" t="s">
        <v>42292</v>
      </c>
      <c r="U9052" t="s">
        <v>50215</v>
      </c>
      <c r="W9052" t="s">
        <v>39811</v>
      </c>
      <c r="X9052" t="s">
        <v>40447</v>
      </c>
    </row>
    <row r="9053" spans="1:24">
      <c r="A9053">
        <f>HYPERLINK("https://www.philgeps.gov.ph/GEPSNONPILOT/Tender/SplashBidNoticeAbstractUI.aspx?menuIndex=3&amp;refID=7033788&amp;Result=3","7033788")</f>
        <v>0</v>
      </c>
      <c r="B9053" t="s">
        <v>552</v>
      </c>
      <c r="C9053" t="s">
        <v>11711</v>
      </c>
      <c r="E9053" t="s">
        <v>24193</v>
      </c>
      <c r="F9053" t="s">
        <v>28198</v>
      </c>
      <c r="G9053" t="s">
        <v>28205</v>
      </c>
      <c r="H9053" t="s">
        <v>28215</v>
      </c>
      <c r="I9053" t="s">
        <v>5100</v>
      </c>
      <c r="J9053" t="s">
        <v>34001</v>
      </c>
      <c r="K9053" t="s">
        <v>36701</v>
      </c>
      <c r="M9053" t="s">
        <v>37538</v>
      </c>
      <c r="N9053" t="s">
        <v>40436</v>
      </c>
      <c r="O9053" t="s">
        <v>40437</v>
      </c>
      <c r="P9053">
        <v>0</v>
      </c>
      <c r="Q9053">
        <v>0</v>
      </c>
      <c r="R9053" t="s">
        <v>40446</v>
      </c>
      <c r="S9053" t="s">
        <v>40783</v>
      </c>
      <c r="T9053" t="s">
        <v>42278</v>
      </c>
      <c r="U9053" t="s">
        <v>42743</v>
      </c>
      <c r="W9053" t="s">
        <v>37538</v>
      </c>
      <c r="X9053" t="s">
        <v>40447</v>
      </c>
    </row>
    <row r="9054" spans="1:24">
      <c r="A9054">
        <f>HYPERLINK("https://www.philgeps.gov.ph/GEPSNONPILOT/Tender/SplashBidNoticeAbstractUI.aspx?menuIndex=3&amp;refID=7033835&amp;Result=3","7033835")</f>
        <v>0</v>
      </c>
      <c r="B9054" t="s">
        <v>552</v>
      </c>
      <c r="C9054" t="s">
        <v>11712</v>
      </c>
      <c r="E9054" t="s">
        <v>24194</v>
      </c>
      <c r="F9054" t="s">
        <v>28198</v>
      </c>
      <c r="G9054" t="s">
        <v>28205</v>
      </c>
      <c r="H9054" t="s">
        <v>28214</v>
      </c>
      <c r="I9054" t="s">
        <v>3797</v>
      </c>
      <c r="J9054" t="s">
        <v>29526</v>
      </c>
      <c r="K9054" t="s">
        <v>36690</v>
      </c>
      <c r="M9054" t="s">
        <v>37538</v>
      </c>
      <c r="N9054" t="s">
        <v>40436</v>
      </c>
      <c r="O9054" t="s">
        <v>40437</v>
      </c>
      <c r="P9054">
        <v>0</v>
      </c>
      <c r="Q9054">
        <v>2</v>
      </c>
      <c r="R9054" t="s">
        <v>40446</v>
      </c>
      <c r="S9054" t="s">
        <v>40783</v>
      </c>
      <c r="T9054" t="s">
        <v>42278</v>
      </c>
      <c r="U9054" t="s">
        <v>42743</v>
      </c>
      <c r="W9054" t="s">
        <v>37538</v>
      </c>
      <c r="X9054" t="s">
        <v>40447</v>
      </c>
    </row>
    <row r="9055" spans="1:24">
      <c r="A9055">
        <f>HYPERLINK("https://www.philgeps.gov.ph/GEPSNONPILOT/Tender/SplashBidNoticeAbstractUI.aspx?menuIndex=3&amp;refID=7033776&amp;Result=3","7033776")</f>
        <v>0</v>
      </c>
      <c r="B9055" t="s">
        <v>1908</v>
      </c>
      <c r="C9055" t="s">
        <v>11713</v>
      </c>
      <c r="D9055" t="s">
        <v>16199</v>
      </c>
      <c r="E9055" t="s">
        <v>24195</v>
      </c>
      <c r="F9055" t="s">
        <v>28198</v>
      </c>
      <c r="G9055" t="s">
        <v>28205</v>
      </c>
      <c r="H9055" t="s">
        <v>28214</v>
      </c>
      <c r="I9055" t="s">
        <v>3797</v>
      </c>
      <c r="J9055" t="s">
        <v>34002</v>
      </c>
      <c r="K9055" t="s">
        <v>36694</v>
      </c>
      <c r="M9055" t="s">
        <v>39040</v>
      </c>
      <c r="N9055" t="s">
        <v>40436</v>
      </c>
      <c r="O9055" t="s">
        <v>40437</v>
      </c>
      <c r="P9055">
        <v>0</v>
      </c>
      <c r="Q9055">
        <v>0</v>
      </c>
      <c r="R9055" t="s">
        <v>40446</v>
      </c>
      <c r="S9055" t="s">
        <v>40783</v>
      </c>
      <c r="T9055" t="s">
        <v>42168</v>
      </c>
      <c r="U9055" t="s">
        <v>50216</v>
      </c>
      <c r="V9055" t="s">
        <v>54365</v>
      </c>
      <c r="W9055" t="s">
        <v>39040</v>
      </c>
      <c r="X9055" t="s">
        <v>40447</v>
      </c>
    </row>
    <row r="9056" spans="1:24">
      <c r="A9056">
        <f>HYPERLINK("https://www.philgeps.gov.ph/GEPSNONPILOT/Tender/SplashBidNoticeAbstractUI.aspx?menuIndex=3&amp;refID=7033800&amp;Result=3","7033800")</f>
        <v>0</v>
      </c>
      <c r="B9056" t="s">
        <v>65</v>
      </c>
      <c r="C9056" t="s">
        <v>11714</v>
      </c>
      <c r="D9056" t="s">
        <v>16210</v>
      </c>
      <c r="E9056" t="s">
        <v>24196</v>
      </c>
      <c r="F9056" t="s">
        <v>28198</v>
      </c>
      <c r="G9056" t="s">
        <v>28205</v>
      </c>
      <c r="H9056" t="s">
        <v>28215</v>
      </c>
      <c r="I9056" t="s">
        <v>4168</v>
      </c>
      <c r="J9056" t="s">
        <v>34003</v>
      </c>
      <c r="K9056" t="s">
        <v>36689</v>
      </c>
      <c r="M9056" t="s">
        <v>39812</v>
      </c>
      <c r="N9056" t="s">
        <v>40436</v>
      </c>
      <c r="O9056" t="s">
        <v>40437</v>
      </c>
      <c r="P9056">
        <v>0</v>
      </c>
      <c r="Q9056">
        <v>6</v>
      </c>
      <c r="R9056" t="s">
        <v>40446</v>
      </c>
      <c r="S9056" t="s">
        <v>40783</v>
      </c>
      <c r="T9056" t="s">
        <v>42244</v>
      </c>
      <c r="U9056" t="s">
        <v>50217</v>
      </c>
      <c r="W9056" t="s">
        <v>39812</v>
      </c>
      <c r="X9056" t="s">
        <v>40447</v>
      </c>
    </row>
    <row r="9057" spans="1:24">
      <c r="A9057">
        <f>HYPERLINK("https://www.philgeps.gov.ph/GEPSNONPILOT/Tender/SplashBidNoticeAbstractUI.aspx?menuIndex=3&amp;refID=7033845&amp;Result=3","7033845")</f>
        <v>0</v>
      </c>
      <c r="B9057" t="s">
        <v>2592</v>
      </c>
      <c r="C9057" t="s">
        <v>11715</v>
      </c>
      <c r="E9057" t="s">
        <v>24197</v>
      </c>
      <c r="F9057" t="s">
        <v>28198</v>
      </c>
      <c r="G9057" t="s">
        <v>28205</v>
      </c>
      <c r="H9057" t="s">
        <v>28214</v>
      </c>
      <c r="I9057" t="s">
        <v>3797</v>
      </c>
      <c r="J9057" t="s">
        <v>28468</v>
      </c>
      <c r="K9057" t="s">
        <v>36717</v>
      </c>
      <c r="L9057" t="s">
        <v>2592</v>
      </c>
      <c r="M9057" t="s">
        <v>39807</v>
      </c>
      <c r="N9057" t="s">
        <v>40436</v>
      </c>
      <c r="O9057" t="s">
        <v>40437</v>
      </c>
      <c r="P9057">
        <v>0</v>
      </c>
      <c r="Q9057">
        <v>0</v>
      </c>
      <c r="R9057" t="s">
        <v>40446</v>
      </c>
      <c r="S9057" t="s">
        <v>40783</v>
      </c>
      <c r="T9057" t="s">
        <v>42279</v>
      </c>
      <c r="U9057" t="s">
        <v>50206</v>
      </c>
      <c r="V9057" t="s">
        <v>54755</v>
      </c>
      <c r="W9057" t="s">
        <v>39807</v>
      </c>
      <c r="X9057" t="s">
        <v>40447</v>
      </c>
    </row>
    <row r="9058" spans="1:24">
      <c r="A9058">
        <f>HYPERLINK("https://www.philgeps.gov.ph/GEPSNONPILOT/Tender/SplashBidNoticeAbstractUI.aspx?menuIndex=3&amp;refID=7033824&amp;Result=3","7033824")</f>
        <v>0</v>
      </c>
      <c r="B9058" t="s">
        <v>1460</v>
      </c>
      <c r="C9058" t="s">
        <v>11716</v>
      </c>
      <c r="D9058" t="s">
        <v>16230</v>
      </c>
      <c r="E9058" t="s">
        <v>24198</v>
      </c>
      <c r="F9058" t="s">
        <v>28198</v>
      </c>
      <c r="G9058" t="s">
        <v>28205</v>
      </c>
      <c r="H9058" t="s">
        <v>28214</v>
      </c>
      <c r="I9058" t="s">
        <v>3797</v>
      </c>
      <c r="J9058" t="s">
        <v>29163</v>
      </c>
      <c r="K9058" t="s">
        <v>36724</v>
      </c>
      <c r="M9058" t="s">
        <v>38528</v>
      </c>
      <c r="N9058" t="s">
        <v>40436</v>
      </c>
      <c r="O9058" t="s">
        <v>40437</v>
      </c>
      <c r="P9058">
        <v>0</v>
      </c>
      <c r="Q9058">
        <v>2</v>
      </c>
      <c r="R9058" t="s">
        <v>40446</v>
      </c>
      <c r="S9058" t="s">
        <v>40783</v>
      </c>
      <c r="T9058" t="s">
        <v>42279</v>
      </c>
      <c r="U9058" t="s">
        <v>48840</v>
      </c>
      <c r="W9058" t="s">
        <v>38528</v>
      </c>
      <c r="X9058" t="s">
        <v>40447</v>
      </c>
    </row>
    <row r="9059" spans="1:24">
      <c r="A9059">
        <f>HYPERLINK("https://www.philgeps.gov.ph/GEPSNONPILOT/Tender/SplashBidNoticeAbstractUI.aspx?menuIndex=3&amp;refID=7033850&amp;Result=3","7033850")</f>
        <v>0</v>
      </c>
      <c r="B9059" t="s">
        <v>2597</v>
      </c>
      <c r="C9059" t="s">
        <v>11717</v>
      </c>
      <c r="D9059" t="s">
        <v>16195</v>
      </c>
      <c r="E9059" t="s">
        <v>24199</v>
      </c>
      <c r="F9059" t="s">
        <v>28198</v>
      </c>
      <c r="G9059" t="s">
        <v>28205</v>
      </c>
      <c r="H9059" t="s">
        <v>28215</v>
      </c>
      <c r="I9059" t="s">
        <v>28228</v>
      </c>
      <c r="J9059" t="s">
        <v>28385</v>
      </c>
      <c r="K9059" t="s">
        <v>36706</v>
      </c>
      <c r="M9059" t="s">
        <v>39813</v>
      </c>
      <c r="N9059" t="s">
        <v>40436</v>
      </c>
      <c r="O9059" t="s">
        <v>40437</v>
      </c>
      <c r="P9059">
        <v>0</v>
      </c>
      <c r="Q9059">
        <v>0</v>
      </c>
      <c r="R9059" t="s">
        <v>40446</v>
      </c>
      <c r="S9059" t="s">
        <v>40783</v>
      </c>
      <c r="T9059" t="s">
        <v>42188</v>
      </c>
      <c r="U9059" t="s">
        <v>50218</v>
      </c>
      <c r="W9059" t="s">
        <v>39813</v>
      </c>
      <c r="X9059" t="s">
        <v>40447</v>
      </c>
    </row>
    <row r="9060" spans="1:24">
      <c r="A9060">
        <f>HYPERLINK("https://www.philgeps.gov.ph/GEPSNONPILOT/Tender/SplashBidNoticeAbstractUI.aspx?menuIndex=3&amp;refID=7033819&amp;Result=3","7033819")</f>
        <v>0</v>
      </c>
      <c r="B9060" t="s">
        <v>1996</v>
      </c>
      <c r="C9060" t="s">
        <v>11718</v>
      </c>
      <c r="D9060" t="s">
        <v>16261</v>
      </c>
      <c r="E9060" t="s">
        <v>24200</v>
      </c>
      <c r="F9060" t="s">
        <v>28198</v>
      </c>
      <c r="G9060" t="s">
        <v>28205</v>
      </c>
      <c r="H9060" t="s">
        <v>28214</v>
      </c>
      <c r="I9060" t="s">
        <v>3797</v>
      </c>
      <c r="J9060" t="s">
        <v>34004</v>
      </c>
      <c r="K9060" t="s">
        <v>36735</v>
      </c>
      <c r="M9060" t="s">
        <v>39134</v>
      </c>
      <c r="N9060" t="s">
        <v>40436</v>
      </c>
      <c r="O9060" t="s">
        <v>40437</v>
      </c>
      <c r="P9060">
        <v>0</v>
      </c>
      <c r="Q9060">
        <v>0</v>
      </c>
      <c r="R9060" t="s">
        <v>40446</v>
      </c>
      <c r="S9060" t="s">
        <v>40783</v>
      </c>
      <c r="T9060" t="s">
        <v>42121</v>
      </c>
      <c r="U9060" t="s">
        <v>50219</v>
      </c>
      <c r="V9060" t="s">
        <v>54404</v>
      </c>
      <c r="W9060" t="s">
        <v>39134</v>
      </c>
      <c r="X9060" t="s">
        <v>40447</v>
      </c>
    </row>
    <row r="9061" spans="1:24">
      <c r="A9061">
        <f>HYPERLINK("https://www.philgeps.gov.ph/GEPSNONPILOT/Tender/SplashBidNoticeAbstractUI.aspx?menuIndex=3&amp;refID=7033844&amp;Result=3","7033844")</f>
        <v>0</v>
      </c>
      <c r="B9061" t="s">
        <v>2588</v>
      </c>
      <c r="C9061" t="s">
        <v>11719</v>
      </c>
      <c r="D9061" t="s">
        <v>16222</v>
      </c>
      <c r="E9061" t="s">
        <v>24201</v>
      </c>
      <c r="F9061" t="s">
        <v>28198</v>
      </c>
      <c r="G9061" t="s">
        <v>28205</v>
      </c>
      <c r="H9061" t="s">
        <v>28214</v>
      </c>
      <c r="I9061" t="s">
        <v>3797</v>
      </c>
      <c r="J9061" t="s">
        <v>28699</v>
      </c>
      <c r="K9061" t="s">
        <v>36690</v>
      </c>
      <c r="M9061" t="s">
        <v>39802</v>
      </c>
      <c r="N9061" t="s">
        <v>40436</v>
      </c>
      <c r="O9061" t="s">
        <v>40437</v>
      </c>
      <c r="P9061">
        <v>0</v>
      </c>
      <c r="Q9061">
        <v>0</v>
      </c>
      <c r="R9061" t="s">
        <v>40446</v>
      </c>
      <c r="S9061" t="s">
        <v>40783</v>
      </c>
      <c r="T9061" t="s">
        <v>42183</v>
      </c>
      <c r="U9061" t="s">
        <v>50220</v>
      </c>
      <c r="W9061" t="s">
        <v>39802</v>
      </c>
      <c r="X9061" t="s">
        <v>40447</v>
      </c>
    </row>
    <row r="9062" spans="1:24">
      <c r="A9062">
        <f>HYPERLINK("https://www.philgeps.gov.ph/GEPSNONPILOT/Tender/SplashBidNoticeAbstractUI.aspx?menuIndex=3&amp;refID=7033860&amp;Result=3","7033860")</f>
        <v>0</v>
      </c>
      <c r="B9062" t="s">
        <v>2597</v>
      </c>
      <c r="C9062" t="s">
        <v>11720</v>
      </c>
      <c r="D9062" t="s">
        <v>16195</v>
      </c>
      <c r="E9062" t="s">
        <v>24202</v>
      </c>
      <c r="F9062" t="s">
        <v>28198</v>
      </c>
      <c r="G9062" t="s">
        <v>28205</v>
      </c>
      <c r="H9062" t="s">
        <v>28215</v>
      </c>
      <c r="I9062" t="s">
        <v>4219</v>
      </c>
      <c r="J9062" t="s">
        <v>34005</v>
      </c>
      <c r="K9062" t="s">
        <v>36687</v>
      </c>
      <c r="M9062" t="s">
        <v>39813</v>
      </c>
      <c r="N9062" t="s">
        <v>40436</v>
      </c>
      <c r="O9062" t="s">
        <v>40437</v>
      </c>
      <c r="P9062">
        <v>0</v>
      </c>
      <c r="Q9062">
        <v>2</v>
      </c>
      <c r="R9062" t="s">
        <v>40446</v>
      </c>
      <c r="S9062" t="s">
        <v>40783</v>
      </c>
      <c r="T9062" t="s">
        <v>42188</v>
      </c>
      <c r="U9062" t="s">
        <v>50218</v>
      </c>
      <c r="W9062" t="s">
        <v>39813</v>
      </c>
      <c r="X9062" t="s">
        <v>40447</v>
      </c>
    </row>
    <row r="9063" spans="1:24">
      <c r="A9063">
        <f>HYPERLINK("https://www.philgeps.gov.ph/GEPSNONPILOT/Tender/SplashBidNoticeAbstractUI.aspx?menuIndex=3&amp;refID=7033820&amp;Result=3","7033820")</f>
        <v>0</v>
      </c>
      <c r="B9063" t="s">
        <v>2589</v>
      </c>
      <c r="C9063" t="s">
        <v>11721</v>
      </c>
      <c r="D9063" t="s">
        <v>16201</v>
      </c>
      <c r="E9063" t="s">
        <v>24203</v>
      </c>
      <c r="F9063" t="s">
        <v>28198</v>
      </c>
      <c r="G9063" t="s">
        <v>28209</v>
      </c>
      <c r="H9063" t="s">
        <v>28215</v>
      </c>
      <c r="I9063" t="s">
        <v>5100</v>
      </c>
      <c r="J9063" t="s">
        <v>34006</v>
      </c>
      <c r="K9063" t="s">
        <v>36726</v>
      </c>
      <c r="M9063" t="s">
        <v>39803</v>
      </c>
      <c r="N9063" t="s">
        <v>40436</v>
      </c>
      <c r="O9063" t="s">
        <v>40437</v>
      </c>
      <c r="P9063">
        <v>0</v>
      </c>
      <c r="Q9063">
        <v>0</v>
      </c>
      <c r="R9063" t="s">
        <v>40446</v>
      </c>
      <c r="S9063" t="s">
        <v>40783</v>
      </c>
      <c r="T9063" t="s">
        <v>42438</v>
      </c>
      <c r="U9063" t="s">
        <v>50221</v>
      </c>
      <c r="V9063" t="s">
        <v>54753</v>
      </c>
      <c r="W9063" t="s">
        <v>39803</v>
      </c>
      <c r="X9063" t="s">
        <v>40447</v>
      </c>
    </row>
    <row r="9064" spans="1:24">
      <c r="A9064">
        <f>HYPERLINK("https://www.philgeps.gov.ph/GEPSNONPILOT/Tender/SplashBidNoticeAbstractUI.aspx?menuIndex=3&amp;refID=7033823&amp;Result=3","7033823")</f>
        <v>0</v>
      </c>
      <c r="B9064" t="s">
        <v>2578</v>
      </c>
      <c r="C9064" t="s">
        <v>11722</v>
      </c>
      <c r="D9064" t="s">
        <v>16197</v>
      </c>
      <c r="E9064" t="s">
        <v>18328</v>
      </c>
      <c r="F9064" t="s">
        <v>28198</v>
      </c>
      <c r="G9064" t="s">
        <v>28205</v>
      </c>
      <c r="H9064" t="s">
        <v>28215</v>
      </c>
      <c r="I9064" t="s">
        <v>5100</v>
      </c>
      <c r="J9064" t="s">
        <v>34007</v>
      </c>
      <c r="K9064" t="s">
        <v>36706</v>
      </c>
      <c r="M9064" t="s">
        <v>39792</v>
      </c>
      <c r="N9064" t="s">
        <v>40436</v>
      </c>
      <c r="O9064" t="s">
        <v>40437</v>
      </c>
      <c r="P9064">
        <v>0</v>
      </c>
      <c r="Q9064">
        <v>0</v>
      </c>
      <c r="R9064" t="s">
        <v>40446</v>
      </c>
      <c r="S9064" t="s">
        <v>40783</v>
      </c>
      <c r="T9064" t="s">
        <v>42168</v>
      </c>
      <c r="U9064" t="s">
        <v>50222</v>
      </c>
      <c r="V9064" t="s">
        <v>54756</v>
      </c>
      <c r="W9064" t="s">
        <v>39792</v>
      </c>
      <c r="X9064" t="s">
        <v>40447</v>
      </c>
    </row>
    <row r="9065" spans="1:24">
      <c r="A9065">
        <f>HYPERLINK("https://www.philgeps.gov.ph/GEPSNONPILOT/Tender/SplashBidNoticeAbstractUI.aspx?menuIndex=3&amp;refID=7033923&amp;Result=3","7033923")</f>
        <v>0</v>
      </c>
      <c r="B9065" t="s">
        <v>2591</v>
      </c>
      <c r="C9065" t="s">
        <v>11723</v>
      </c>
      <c r="D9065" t="s">
        <v>16209</v>
      </c>
      <c r="E9065" t="s">
        <v>24204</v>
      </c>
      <c r="F9065" t="s">
        <v>28198</v>
      </c>
      <c r="G9065" t="s">
        <v>28207</v>
      </c>
      <c r="H9065" t="s">
        <v>28215</v>
      </c>
      <c r="I9065" t="s">
        <v>28232</v>
      </c>
      <c r="J9065" t="s">
        <v>28345</v>
      </c>
      <c r="K9065" t="s">
        <v>36706</v>
      </c>
      <c r="M9065" t="s">
        <v>39805</v>
      </c>
      <c r="N9065" t="s">
        <v>40436</v>
      </c>
      <c r="O9065" t="s">
        <v>40437</v>
      </c>
      <c r="P9065">
        <v>0</v>
      </c>
      <c r="Q9065">
        <v>2</v>
      </c>
      <c r="R9065" t="s">
        <v>40446</v>
      </c>
      <c r="S9065" t="s">
        <v>40783</v>
      </c>
      <c r="T9065" t="s">
        <v>42233</v>
      </c>
      <c r="U9065" t="s">
        <v>50223</v>
      </c>
      <c r="W9065" t="s">
        <v>39805</v>
      </c>
      <c r="X9065" t="s">
        <v>40447</v>
      </c>
    </row>
    <row r="9066" spans="1:24">
      <c r="A9066">
        <f>HYPERLINK("https://www.philgeps.gov.ph/GEPSNONPILOT/Tender/SplashBidNoticeAbstractUI.aspx?menuIndex=3&amp;refID=7033818&amp;Result=3","7033818")</f>
        <v>0</v>
      </c>
      <c r="B9066" t="s">
        <v>552</v>
      </c>
      <c r="C9066" t="s">
        <v>11724</v>
      </c>
      <c r="E9066" t="s">
        <v>24205</v>
      </c>
      <c r="F9066" t="s">
        <v>28198</v>
      </c>
      <c r="G9066" t="s">
        <v>28205</v>
      </c>
      <c r="H9066" t="s">
        <v>28214</v>
      </c>
      <c r="I9066" t="s">
        <v>3797</v>
      </c>
      <c r="J9066" t="s">
        <v>34008</v>
      </c>
      <c r="K9066" t="s">
        <v>36697</v>
      </c>
      <c r="M9066" t="s">
        <v>37538</v>
      </c>
      <c r="N9066" t="s">
        <v>40436</v>
      </c>
      <c r="O9066" t="s">
        <v>40437</v>
      </c>
      <c r="P9066">
        <v>0</v>
      </c>
      <c r="Q9066">
        <v>0</v>
      </c>
      <c r="R9066" t="s">
        <v>40446</v>
      </c>
      <c r="S9066" t="s">
        <v>40783</v>
      </c>
      <c r="T9066" t="s">
        <v>42278</v>
      </c>
      <c r="U9066" t="s">
        <v>42743</v>
      </c>
      <c r="W9066" t="s">
        <v>37538</v>
      </c>
      <c r="X9066" t="s">
        <v>40447</v>
      </c>
    </row>
    <row r="9067" spans="1:24">
      <c r="A9067">
        <f>HYPERLINK("https://www.philgeps.gov.ph/GEPSNONPILOT/Tender/SplashBidNoticeAbstractUI.aspx?menuIndex=3&amp;refID=7033910&amp;Result=3","7033910")</f>
        <v>0</v>
      </c>
      <c r="B9067" t="s">
        <v>714</v>
      </c>
      <c r="C9067" t="s">
        <v>11725</v>
      </c>
      <c r="D9067" t="s">
        <v>16213</v>
      </c>
      <c r="E9067" t="s">
        <v>24206</v>
      </c>
      <c r="F9067" t="s">
        <v>28198</v>
      </c>
      <c r="G9067" t="s">
        <v>28205</v>
      </c>
      <c r="H9067" t="s">
        <v>28214</v>
      </c>
      <c r="I9067" t="s">
        <v>3797</v>
      </c>
      <c r="J9067" t="s">
        <v>34009</v>
      </c>
      <c r="K9067" t="s">
        <v>36771</v>
      </c>
      <c r="M9067" t="s">
        <v>37715</v>
      </c>
      <c r="N9067" t="s">
        <v>40436</v>
      </c>
      <c r="O9067" t="s">
        <v>40437</v>
      </c>
      <c r="P9067">
        <v>0</v>
      </c>
      <c r="Q9067">
        <v>0</v>
      </c>
      <c r="R9067" t="s">
        <v>40446</v>
      </c>
      <c r="S9067" t="s">
        <v>40783</v>
      </c>
      <c r="T9067" t="s">
        <v>42240</v>
      </c>
      <c r="U9067" t="s">
        <v>50224</v>
      </c>
      <c r="W9067" t="s">
        <v>37715</v>
      </c>
      <c r="X9067" t="s">
        <v>40447</v>
      </c>
    </row>
    <row r="9068" spans="1:24">
      <c r="A9068">
        <f>HYPERLINK("https://www.philgeps.gov.ph/GEPSNONPILOT/Tender/SplashBidNoticeAbstractUI.aspx?menuIndex=3&amp;refID=7033917&amp;Result=3","7033917")</f>
        <v>0</v>
      </c>
      <c r="B9068" t="s">
        <v>1996</v>
      </c>
      <c r="C9068" t="s">
        <v>11726</v>
      </c>
      <c r="D9068" t="s">
        <v>16261</v>
      </c>
      <c r="E9068" t="s">
        <v>24207</v>
      </c>
      <c r="F9068" t="s">
        <v>28198</v>
      </c>
      <c r="G9068" t="s">
        <v>28205</v>
      </c>
      <c r="H9068" t="s">
        <v>28214</v>
      </c>
      <c r="I9068" t="s">
        <v>3797</v>
      </c>
      <c r="J9068" t="s">
        <v>34010</v>
      </c>
      <c r="K9068" t="s">
        <v>36697</v>
      </c>
      <c r="M9068" t="s">
        <v>39134</v>
      </c>
      <c r="N9068" t="s">
        <v>40436</v>
      </c>
      <c r="O9068" t="s">
        <v>40437</v>
      </c>
      <c r="P9068">
        <v>0</v>
      </c>
      <c r="Q9068">
        <v>0</v>
      </c>
      <c r="R9068" t="s">
        <v>40446</v>
      </c>
      <c r="S9068" t="s">
        <v>40783</v>
      </c>
      <c r="T9068" t="s">
        <v>42121</v>
      </c>
      <c r="U9068" t="s">
        <v>50225</v>
      </c>
      <c r="V9068" t="s">
        <v>54404</v>
      </c>
      <c r="W9068" t="s">
        <v>39134</v>
      </c>
      <c r="X9068" t="s">
        <v>40447</v>
      </c>
    </row>
    <row r="9069" spans="1:24">
      <c r="A9069">
        <f>HYPERLINK("https://www.philgeps.gov.ph/GEPSNONPILOT/Tender/SplashBidNoticeAbstractUI.aspx?menuIndex=3&amp;refID=7033951&amp;Result=3","7033951")</f>
        <v>0</v>
      </c>
      <c r="B9069" t="s">
        <v>1223</v>
      </c>
      <c r="C9069" t="s">
        <v>11727</v>
      </c>
      <c r="D9069" t="s">
        <v>16188</v>
      </c>
      <c r="E9069" t="s">
        <v>24208</v>
      </c>
      <c r="F9069" t="s">
        <v>28198</v>
      </c>
      <c r="G9069" t="s">
        <v>28206</v>
      </c>
      <c r="H9069" t="s">
        <v>28215</v>
      </c>
      <c r="I9069" t="s">
        <v>4505</v>
      </c>
      <c r="J9069" t="s">
        <v>34011</v>
      </c>
      <c r="K9069" t="s">
        <v>36701</v>
      </c>
      <c r="M9069" t="s">
        <v>38269</v>
      </c>
      <c r="N9069" t="s">
        <v>40436</v>
      </c>
      <c r="O9069" t="s">
        <v>40437</v>
      </c>
      <c r="Q9069">
        <v>4</v>
      </c>
      <c r="R9069" t="s">
        <v>40446</v>
      </c>
      <c r="S9069" t="s">
        <v>40818</v>
      </c>
      <c r="T9069" t="s">
        <v>42185</v>
      </c>
      <c r="U9069" t="s">
        <v>45350</v>
      </c>
      <c r="W9069" t="s">
        <v>38269</v>
      </c>
      <c r="X9069" t="s">
        <v>40447</v>
      </c>
    </row>
    <row r="9070" spans="1:24">
      <c r="A9070">
        <f>HYPERLINK("https://www.philgeps.gov.ph/GEPSNONPILOT/Tender/SplashBidNoticeAbstractUI.aspx?menuIndex=3&amp;refID=7033932&amp;Result=3","7033932")</f>
        <v>0</v>
      </c>
      <c r="B9070" t="s">
        <v>1223</v>
      </c>
      <c r="C9070" t="s">
        <v>11728</v>
      </c>
      <c r="D9070" t="s">
        <v>16188</v>
      </c>
      <c r="E9070" t="s">
        <v>24209</v>
      </c>
      <c r="F9070" t="s">
        <v>28198</v>
      </c>
      <c r="G9070" t="s">
        <v>28206</v>
      </c>
      <c r="H9070" t="s">
        <v>28215</v>
      </c>
      <c r="I9070" t="s">
        <v>5100</v>
      </c>
      <c r="J9070" t="s">
        <v>28378</v>
      </c>
      <c r="K9070" t="s">
        <v>36689</v>
      </c>
      <c r="M9070" t="s">
        <v>38269</v>
      </c>
      <c r="N9070" t="s">
        <v>40436</v>
      </c>
      <c r="O9070" t="s">
        <v>40437</v>
      </c>
      <c r="Q9070">
        <v>2</v>
      </c>
      <c r="R9070" t="s">
        <v>40446</v>
      </c>
      <c r="S9070" t="s">
        <v>40818</v>
      </c>
      <c r="T9070" t="s">
        <v>42185</v>
      </c>
      <c r="U9070" t="s">
        <v>45350</v>
      </c>
      <c r="W9070" t="s">
        <v>38269</v>
      </c>
      <c r="X9070" t="s">
        <v>40447</v>
      </c>
    </row>
    <row r="9071" spans="1:24">
      <c r="A9071">
        <f>HYPERLINK("https://www.philgeps.gov.ph/GEPSNONPILOT/Tender/SplashBidNoticeAbstractUI.aspx?menuIndex=3&amp;refID=7033902&amp;Result=3","7033902")</f>
        <v>0</v>
      </c>
      <c r="B9071" t="s">
        <v>2598</v>
      </c>
      <c r="C9071" t="s">
        <v>11729</v>
      </c>
      <c r="D9071" t="s">
        <v>16265</v>
      </c>
      <c r="E9071" t="s">
        <v>24210</v>
      </c>
      <c r="F9071" t="s">
        <v>28198</v>
      </c>
      <c r="G9071" t="s">
        <v>28205</v>
      </c>
      <c r="H9071" t="s">
        <v>28215</v>
      </c>
      <c r="I9071" t="s">
        <v>28236</v>
      </c>
      <c r="J9071" t="s">
        <v>34012</v>
      </c>
      <c r="K9071" t="s">
        <v>36701</v>
      </c>
      <c r="M9071" t="s">
        <v>39814</v>
      </c>
      <c r="N9071" t="s">
        <v>40436</v>
      </c>
      <c r="O9071" t="s">
        <v>40437</v>
      </c>
      <c r="P9071">
        <v>0</v>
      </c>
      <c r="Q9071">
        <v>2</v>
      </c>
      <c r="R9071" t="s">
        <v>40446</v>
      </c>
      <c r="S9071" t="s">
        <v>40783</v>
      </c>
      <c r="T9071" t="s">
        <v>42168</v>
      </c>
      <c r="U9071" t="s">
        <v>50226</v>
      </c>
      <c r="W9071" t="s">
        <v>39814</v>
      </c>
      <c r="X9071" t="s">
        <v>40447</v>
      </c>
    </row>
    <row r="9072" spans="1:24">
      <c r="A9072">
        <f>HYPERLINK("https://www.philgeps.gov.ph/GEPSNONPILOT/Tender/SplashBidNoticeAbstractUI.aspx?menuIndex=3&amp;refID=7033905&amp;Result=3","7033905")</f>
        <v>0</v>
      </c>
      <c r="B9072" t="s">
        <v>2578</v>
      </c>
      <c r="C9072" t="s">
        <v>11730</v>
      </c>
      <c r="D9072" t="s">
        <v>16197</v>
      </c>
      <c r="E9072" t="s">
        <v>18328</v>
      </c>
      <c r="F9072" t="s">
        <v>28198</v>
      </c>
      <c r="G9072" t="s">
        <v>28205</v>
      </c>
      <c r="H9072" t="s">
        <v>28215</v>
      </c>
      <c r="I9072" t="s">
        <v>28228</v>
      </c>
      <c r="J9072" t="s">
        <v>34013</v>
      </c>
      <c r="K9072" t="s">
        <v>36706</v>
      </c>
      <c r="M9072" t="s">
        <v>39792</v>
      </c>
      <c r="N9072" t="s">
        <v>40436</v>
      </c>
      <c r="O9072" t="s">
        <v>40437</v>
      </c>
      <c r="P9072">
        <v>0</v>
      </c>
      <c r="Q9072">
        <v>0</v>
      </c>
      <c r="R9072" t="s">
        <v>40446</v>
      </c>
      <c r="S9072" t="s">
        <v>40783</v>
      </c>
      <c r="T9072" t="s">
        <v>42168</v>
      </c>
      <c r="U9072" t="s">
        <v>50227</v>
      </c>
      <c r="V9072" t="s">
        <v>54756</v>
      </c>
      <c r="W9072" t="s">
        <v>39792</v>
      </c>
      <c r="X9072" t="s">
        <v>40447</v>
      </c>
    </row>
    <row r="9073" spans="1:24">
      <c r="A9073">
        <f>HYPERLINK("https://www.philgeps.gov.ph/GEPSNONPILOT/Tender/SplashBidNoticeAbstractUI.aspx?menuIndex=3&amp;refID=7033962&amp;Result=3","7033962")</f>
        <v>0</v>
      </c>
      <c r="B9073" t="s">
        <v>1460</v>
      </c>
      <c r="C9073" t="s">
        <v>11731</v>
      </c>
      <c r="D9073" t="s">
        <v>16230</v>
      </c>
      <c r="E9073" t="s">
        <v>24211</v>
      </c>
      <c r="F9073" t="s">
        <v>28198</v>
      </c>
      <c r="G9073" t="s">
        <v>28205</v>
      </c>
      <c r="H9073" t="s">
        <v>28214</v>
      </c>
      <c r="I9073" t="s">
        <v>3797</v>
      </c>
      <c r="J9073" t="s">
        <v>29163</v>
      </c>
      <c r="K9073" t="s">
        <v>36724</v>
      </c>
      <c r="M9073" t="s">
        <v>38528</v>
      </c>
      <c r="N9073" t="s">
        <v>40436</v>
      </c>
      <c r="O9073" t="s">
        <v>40437</v>
      </c>
      <c r="P9073">
        <v>0</v>
      </c>
      <c r="Q9073">
        <v>2</v>
      </c>
      <c r="R9073" t="s">
        <v>40446</v>
      </c>
      <c r="S9073" t="s">
        <v>40783</v>
      </c>
      <c r="T9073" t="s">
        <v>42279</v>
      </c>
      <c r="U9073" t="s">
        <v>50228</v>
      </c>
      <c r="W9073" t="s">
        <v>38528</v>
      </c>
      <c r="X9073" t="s">
        <v>40447</v>
      </c>
    </row>
    <row r="9074" spans="1:24">
      <c r="A9074">
        <f>HYPERLINK("https://www.philgeps.gov.ph/GEPSNONPILOT/Tender/SplashBidNoticeAbstractUI.aspx?menuIndex=3&amp;refID=7033877&amp;Result=3","7033877")</f>
        <v>0</v>
      </c>
      <c r="B9074" t="s">
        <v>1223</v>
      </c>
      <c r="C9074" t="s">
        <v>11732</v>
      </c>
      <c r="D9074" t="s">
        <v>16188</v>
      </c>
      <c r="E9074" t="s">
        <v>24212</v>
      </c>
      <c r="F9074" t="s">
        <v>28198</v>
      </c>
      <c r="G9074" t="s">
        <v>28206</v>
      </c>
      <c r="H9074" t="s">
        <v>28215</v>
      </c>
      <c r="I9074" t="s">
        <v>4505</v>
      </c>
      <c r="J9074" t="s">
        <v>28345</v>
      </c>
      <c r="K9074" t="s">
        <v>36689</v>
      </c>
      <c r="M9074" t="s">
        <v>38269</v>
      </c>
      <c r="N9074" t="s">
        <v>40436</v>
      </c>
      <c r="O9074" t="s">
        <v>40437</v>
      </c>
      <c r="Q9074">
        <v>2</v>
      </c>
      <c r="R9074" t="s">
        <v>40446</v>
      </c>
      <c r="S9074" t="s">
        <v>40819</v>
      </c>
      <c r="T9074" t="s">
        <v>42185</v>
      </c>
      <c r="U9074" t="s">
        <v>45350</v>
      </c>
      <c r="W9074" t="s">
        <v>38269</v>
      </c>
      <c r="X9074" t="s">
        <v>40447</v>
      </c>
    </row>
    <row r="9075" spans="1:24">
      <c r="A9075">
        <f>HYPERLINK("https://www.philgeps.gov.ph/GEPSNONPILOT/Tender/SplashBidNoticeAbstractUI.aspx?menuIndex=3&amp;refID=7033872&amp;Result=3","7033872")</f>
        <v>0</v>
      </c>
      <c r="B9075" t="s">
        <v>2592</v>
      </c>
      <c r="C9075" t="s">
        <v>11733</v>
      </c>
      <c r="D9075" t="s">
        <v>16224</v>
      </c>
      <c r="E9075" t="s">
        <v>24213</v>
      </c>
      <c r="F9075" t="s">
        <v>28198</v>
      </c>
      <c r="G9075" t="s">
        <v>28205</v>
      </c>
      <c r="H9075" t="s">
        <v>28214</v>
      </c>
      <c r="I9075" t="s">
        <v>3797</v>
      </c>
      <c r="J9075" t="s">
        <v>28468</v>
      </c>
      <c r="K9075" t="s">
        <v>36717</v>
      </c>
      <c r="L9075" t="s">
        <v>2592</v>
      </c>
      <c r="M9075" t="s">
        <v>39807</v>
      </c>
      <c r="N9075" t="s">
        <v>40436</v>
      </c>
      <c r="O9075" t="s">
        <v>40437</v>
      </c>
      <c r="P9075">
        <v>0</v>
      </c>
      <c r="Q9075">
        <v>1</v>
      </c>
      <c r="R9075" t="s">
        <v>40446</v>
      </c>
      <c r="S9075" t="s">
        <v>40783</v>
      </c>
      <c r="T9075" t="s">
        <v>42279</v>
      </c>
      <c r="U9075" t="s">
        <v>50206</v>
      </c>
      <c r="V9075" t="s">
        <v>54755</v>
      </c>
      <c r="W9075" t="s">
        <v>39807</v>
      </c>
      <c r="X9075" t="s">
        <v>40447</v>
      </c>
    </row>
    <row r="9076" spans="1:24">
      <c r="A9076">
        <f>HYPERLINK("https://www.philgeps.gov.ph/GEPSNONPILOT/Tender/SplashBidNoticeAbstractUI.aspx?menuIndex=3&amp;refID=7033881&amp;Result=3","7033881")</f>
        <v>0</v>
      </c>
      <c r="B9076" t="s">
        <v>1183</v>
      </c>
      <c r="C9076" t="s">
        <v>11734</v>
      </c>
      <c r="D9076" t="s">
        <v>16207</v>
      </c>
      <c r="E9076" t="s">
        <v>24214</v>
      </c>
      <c r="F9076" t="s">
        <v>28198</v>
      </c>
      <c r="G9076" t="s">
        <v>28205</v>
      </c>
      <c r="H9076" t="s">
        <v>28215</v>
      </c>
      <c r="I9076" t="s">
        <v>8870</v>
      </c>
      <c r="J9076" t="s">
        <v>34014</v>
      </c>
      <c r="K9076" t="s">
        <v>36688</v>
      </c>
      <c r="M9076" t="s">
        <v>38225</v>
      </c>
      <c r="N9076" t="s">
        <v>40436</v>
      </c>
      <c r="O9076" t="s">
        <v>40437</v>
      </c>
      <c r="P9076">
        <v>0</v>
      </c>
      <c r="Q9076">
        <v>5</v>
      </c>
      <c r="R9076" t="s">
        <v>40446</v>
      </c>
      <c r="S9076" t="s">
        <v>40783</v>
      </c>
      <c r="T9076" t="s">
        <v>42435</v>
      </c>
      <c r="U9076" t="s">
        <v>50229</v>
      </c>
      <c r="W9076" t="s">
        <v>38225</v>
      </c>
      <c r="X9076" t="s">
        <v>40447</v>
      </c>
    </row>
    <row r="9077" spans="1:24">
      <c r="A9077">
        <f>HYPERLINK("https://www.philgeps.gov.ph/GEPSNONPILOT/Tender/SplashBidNoticeAbstractUI.aspx?menuIndex=3&amp;refID=7033865&amp;Result=3","7033865")</f>
        <v>0</v>
      </c>
      <c r="B9077" t="s">
        <v>2578</v>
      </c>
      <c r="C9077" t="s">
        <v>11735</v>
      </c>
      <c r="D9077" t="s">
        <v>16197</v>
      </c>
      <c r="E9077" t="s">
        <v>18328</v>
      </c>
      <c r="F9077" t="s">
        <v>28198</v>
      </c>
      <c r="G9077" t="s">
        <v>28205</v>
      </c>
      <c r="H9077" t="s">
        <v>28215</v>
      </c>
      <c r="I9077" t="s">
        <v>28228</v>
      </c>
      <c r="J9077" t="s">
        <v>34015</v>
      </c>
      <c r="K9077" t="s">
        <v>36706</v>
      </c>
      <c r="M9077" t="s">
        <v>39792</v>
      </c>
      <c r="N9077" t="s">
        <v>40436</v>
      </c>
      <c r="O9077" t="s">
        <v>40437</v>
      </c>
      <c r="P9077">
        <v>0</v>
      </c>
      <c r="Q9077">
        <v>0</v>
      </c>
      <c r="R9077" t="s">
        <v>40446</v>
      </c>
      <c r="S9077" t="s">
        <v>40783</v>
      </c>
      <c r="T9077" t="s">
        <v>42168</v>
      </c>
      <c r="U9077" t="s">
        <v>50230</v>
      </c>
      <c r="V9077" t="s">
        <v>54756</v>
      </c>
      <c r="W9077" t="s">
        <v>39792</v>
      </c>
      <c r="X9077" t="s">
        <v>40447</v>
      </c>
    </row>
    <row r="9078" spans="1:24">
      <c r="A9078">
        <f>HYPERLINK("https://www.philgeps.gov.ph/GEPSNONPILOT/Tender/SplashBidNoticeAbstractUI.aspx?menuIndex=3&amp;refID=7033977&amp;Result=3","7033977")</f>
        <v>0</v>
      </c>
      <c r="B9078" t="s">
        <v>2599</v>
      </c>
      <c r="C9078" t="s">
        <v>4359</v>
      </c>
      <c r="D9078" t="s">
        <v>16195</v>
      </c>
      <c r="E9078" t="s">
        <v>24215</v>
      </c>
      <c r="F9078" t="s">
        <v>28198</v>
      </c>
      <c r="G9078" t="s">
        <v>28206</v>
      </c>
      <c r="H9078" t="s">
        <v>28215</v>
      </c>
      <c r="I9078" t="s">
        <v>5100</v>
      </c>
      <c r="J9078" t="s">
        <v>34016</v>
      </c>
      <c r="K9078" t="s">
        <v>36688</v>
      </c>
      <c r="M9078" t="s">
        <v>39815</v>
      </c>
      <c r="N9078" t="s">
        <v>40436</v>
      </c>
      <c r="O9078" t="s">
        <v>40437</v>
      </c>
      <c r="P9078">
        <v>0</v>
      </c>
      <c r="Q9078">
        <v>0</v>
      </c>
      <c r="R9078" t="s">
        <v>40446</v>
      </c>
      <c r="S9078" t="s">
        <v>40783</v>
      </c>
      <c r="T9078" t="s">
        <v>42185</v>
      </c>
      <c r="U9078" t="s">
        <v>50231</v>
      </c>
      <c r="W9078" t="s">
        <v>39815</v>
      </c>
      <c r="X9078" t="s">
        <v>40447</v>
      </c>
    </row>
    <row r="9079" spans="1:24">
      <c r="A9079">
        <f>HYPERLINK("https://www.philgeps.gov.ph/GEPSNONPILOT/Tender/SplashBidNoticeAbstractUI.aspx?menuIndex=3&amp;refID=7033994&amp;Result=3","7033994")</f>
        <v>0</v>
      </c>
      <c r="B9079" t="s">
        <v>1996</v>
      </c>
      <c r="C9079" t="s">
        <v>11736</v>
      </c>
      <c r="D9079" t="s">
        <v>16261</v>
      </c>
      <c r="E9079" t="s">
        <v>24216</v>
      </c>
      <c r="F9079" t="s">
        <v>28198</v>
      </c>
      <c r="G9079" t="s">
        <v>28205</v>
      </c>
      <c r="H9079" t="s">
        <v>28214</v>
      </c>
      <c r="I9079" t="s">
        <v>3797</v>
      </c>
      <c r="J9079" t="s">
        <v>34017</v>
      </c>
      <c r="K9079" t="s">
        <v>36804</v>
      </c>
      <c r="M9079" t="s">
        <v>39134</v>
      </c>
      <c r="N9079" t="s">
        <v>40436</v>
      </c>
      <c r="O9079" t="s">
        <v>40437</v>
      </c>
      <c r="P9079">
        <v>0</v>
      </c>
      <c r="Q9079">
        <v>0</v>
      </c>
      <c r="R9079" t="s">
        <v>40446</v>
      </c>
      <c r="S9079" t="s">
        <v>40783</v>
      </c>
      <c r="T9079" t="s">
        <v>42121</v>
      </c>
      <c r="U9079" t="s">
        <v>50232</v>
      </c>
      <c r="V9079" t="s">
        <v>54404</v>
      </c>
      <c r="W9079" t="s">
        <v>39134</v>
      </c>
      <c r="X9079" t="s">
        <v>40447</v>
      </c>
    </row>
    <row r="9080" spans="1:24">
      <c r="A9080">
        <f>HYPERLINK("https://www.philgeps.gov.ph/GEPSNONPILOT/Tender/SplashBidNoticeAbstractUI.aspx?menuIndex=3&amp;refID=7033863&amp;Result=3","7033863")</f>
        <v>0</v>
      </c>
      <c r="B9080" t="s">
        <v>2581</v>
      </c>
      <c r="C9080" t="s">
        <v>11737</v>
      </c>
      <c r="D9080" t="s">
        <v>16200</v>
      </c>
      <c r="E9080" t="s">
        <v>24217</v>
      </c>
      <c r="F9080" t="s">
        <v>28198</v>
      </c>
      <c r="G9080" t="s">
        <v>28208</v>
      </c>
      <c r="H9080" t="s">
        <v>28214</v>
      </c>
      <c r="I9080" t="s">
        <v>3797</v>
      </c>
      <c r="J9080" t="s">
        <v>34018</v>
      </c>
      <c r="K9080" t="s">
        <v>36697</v>
      </c>
      <c r="M9080" t="s">
        <v>39795</v>
      </c>
      <c r="N9080" t="s">
        <v>40436</v>
      </c>
      <c r="O9080" t="s">
        <v>40437</v>
      </c>
      <c r="P9080">
        <v>0</v>
      </c>
      <c r="Q9080">
        <v>0</v>
      </c>
      <c r="R9080" t="s">
        <v>40446</v>
      </c>
      <c r="S9080" t="s">
        <v>40783</v>
      </c>
      <c r="T9080" t="s">
        <v>42279</v>
      </c>
      <c r="U9080" t="s">
        <v>50233</v>
      </c>
      <c r="W9080" t="s">
        <v>39795</v>
      </c>
      <c r="X9080" t="s">
        <v>40447</v>
      </c>
    </row>
    <row r="9081" spans="1:24">
      <c r="A9081">
        <f>HYPERLINK("https://www.philgeps.gov.ph/GEPSNONPILOT/Tender/SplashBidNoticeAbstractUI.aspx?menuIndex=3&amp;refID=7033987&amp;Result=3","7033987")</f>
        <v>0</v>
      </c>
      <c r="B9081" t="s">
        <v>202</v>
      </c>
      <c r="C9081" t="s">
        <v>11738</v>
      </c>
      <c r="D9081" t="s">
        <v>16217</v>
      </c>
      <c r="E9081" t="s">
        <v>24218</v>
      </c>
      <c r="F9081" t="s">
        <v>28198</v>
      </c>
      <c r="G9081" t="s">
        <v>28205</v>
      </c>
      <c r="H9081" t="s">
        <v>28217</v>
      </c>
      <c r="I9081" t="s">
        <v>28258</v>
      </c>
      <c r="J9081" t="s">
        <v>34019</v>
      </c>
      <c r="K9081" t="s">
        <v>36697</v>
      </c>
      <c r="M9081" t="s">
        <v>37516</v>
      </c>
      <c r="N9081" t="s">
        <v>40436</v>
      </c>
      <c r="O9081" t="s">
        <v>40437</v>
      </c>
      <c r="Q9081">
        <v>8</v>
      </c>
      <c r="R9081" t="s">
        <v>40446</v>
      </c>
      <c r="S9081" t="s">
        <v>40820</v>
      </c>
      <c r="T9081" t="s">
        <v>42240</v>
      </c>
      <c r="U9081" t="s">
        <v>43546</v>
      </c>
      <c r="V9081" t="s">
        <v>54757</v>
      </c>
      <c r="W9081" t="s">
        <v>37516</v>
      </c>
      <c r="X9081" t="s">
        <v>40447</v>
      </c>
    </row>
    <row r="9082" spans="1:24">
      <c r="A9082">
        <f>HYPERLINK("https://www.philgeps.gov.ph/GEPSNONPILOT/Tender/SplashBidNoticeAbstractUI.aspx?menuIndex=3&amp;refID=7033996&amp;Result=3","7033996")</f>
        <v>0</v>
      </c>
      <c r="B9082" t="s">
        <v>1462</v>
      </c>
      <c r="C9082" t="s">
        <v>11739</v>
      </c>
      <c r="D9082" t="s">
        <v>16210</v>
      </c>
      <c r="E9082" t="s">
        <v>24219</v>
      </c>
      <c r="F9082" t="s">
        <v>28198</v>
      </c>
      <c r="G9082" t="s">
        <v>28209</v>
      </c>
      <c r="H9082" t="s">
        <v>28215</v>
      </c>
      <c r="I9082" t="s">
        <v>28255</v>
      </c>
      <c r="J9082" t="s">
        <v>34020</v>
      </c>
      <c r="K9082" t="s">
        <v>36694</v>
      </c>
      <c r="M9082" t="s">
        <v>39816</v>
      </c>
      <c r="N9082" t="s">
        <v>40436</v>
      </c>
      <c r="O9082" t="s">
        <v>40437</v>
      </c>
      <c r="P9082">
        <v>0</v>
      </c>
      <c r="Q9082">
        <v>0</v>
      </c>
      <c r="R9082" t="s">
        <v>40446</v>
      </c>
      <c r="S9082" t="s">
        <v>40783</v>
      </c>
      <c r="T9082" t="s">
        <v>42103</v>
      </c>
      <c r="U9082" t="s">
        <v>50234</v>
      </c>
      <c r="W9082" t="s">
        <v>39816</v>
      </c>
      <c r="X9082" t="s">
        <v>40447</v>
      </c>
    </row>
    <row r="9083" spans="1:24">
      <c r="A9083">
        <f>HYPERLINK("https://www.philgeps.gov.ph/GEPSNONPILOT/Tender/SplashBidNoticeAbstractUI.aspx?menuIndex=3&amp;refID=7034034&amp;Result=3","7034034")</f>
        <v>0</v>
      </c>
      <c r="B9083" t="s">
        <v>1223</v>
      </c>
      <c r="C9083" t="s">
        <v>11740</v>
      </c>
      <c r="D9083" t="s">
        <v>16188</v>
      </c>
      <c r="E9083" t="s">
        <v>24220</v>
      </c>
      <c r="F9083" t="s">
        <v>28198</v>
      </c>
      <c r="G9083" t="s">
        <v>28206</v>
      </c>
      <c r="H9083" t="s">
        <v>28215</v>
      </c>
      <c r="I9083" t="s">
        <v>4505</v>
      </c>
      <c r="J9083" t="s">
        <v>34021</v>
      </c>
      <c r="K9083" t="s">
        <v>36701</v>
      </c>
      <c r="M9083" t="s">
        <v>38269</v>
      </c>
      <c r="N9083" t="s">
        <v>40436</v>
      </c>
      <c r="O9083" t="s">
        <v>40437</v>
      </c>
      <c r="Q9083">
        <v>8</v>
      </c>
      <c r="R9083" t="s">
        <v>40446</v>
      </c>
      <c r="S9083" t="s">
        <v>40821</v>
      </c>
      <c r="T9083" t="s">
        <v>42185</v>
      </c>
      <c r="U9083" t="s">
        <v>45350</v>
      </c>
      <c r="W9083" t="s">
        <v>38269</v>
      </c>
      <c r="X9083" t="s">
        <v>40447</v>
      </c>
    </row>
    <row r="9084" spans="1:24">
      <c r="A9084">
        <f>HYPERLINK("https://www.philgeps.gov.ph/GEPSNONPILOT/Tender/SplashBidNoticeAbstractUI.aspx?menuIndex=3&amp;refID=7033986&amp;Result=3","7033986")</f>
        <v>0</v>
      </c>
      <c r="B9084" t="s">
        <v>849</v>
      </c>
      <c r="C9084" t="s">
        <v>11741</v>
      </c>
      <c r="D9084" t="s">
        <v>16244</v>
      </c>
      <c r="E9084" t="s">
        <v>23745</v>
      </c>
      <c r="F9084" t="s">
        <v>28198</v>
      </c>
      <c r="G9084" t="s">
        <v>28205</v>
      </c>
      <c r="H9084" t="s">
        <v>28214</v>
      </c>
      <c r="I9084" t="s">
        <v>3797</v>
      </c>
      <c r="J9084" t="s">
        <v>28390</v>
      </c>
      <c r="K9084" t="s">
        <v>36717</v>
      </c>
      <c r="M9084" t="s">
        <v>37861</v>
      </c>
      <c r="N9084" t="s">
        <v>40436</v>
      </c>
      <c r="O9084" t="s">
        <v>40437</v>
      </c>
      <c r="P9084">
        <v>0</v>
      </c>
      <c r="Q9084">
        <v>0</v>
      </c>
      <c r="R9084" t="s">
        <v>40446</v>
      </c>
      <c r="S9084" t="s">
        <v>40783</v>
      </c>
      <c r="T9084" t="s">
        <v>42278</v>
      </c>
      <c r="U9084" t="s">
        <v>50235</v>
      </c>
      <c r="V9084" t="s">
        <v>53988</v>
      </c>
      <c r="W9084" t="s">
        <v>37861</v>
      </c>
      <c r="X9084" t="s">
        <v>40447</v>
      </c>
    </row>
    <row r="9085" spans="1:24">
      <c r="A9085">
        <f>HYPERLINK("https://www.philgeps.gov.ph/GEPSNONPILOT/Tender/SplashBidNoticeAbstractUI.aspx?menuIndex=3&amp;refID=7034033&amp;Result=3","7034033")</f>
        <v>0</v>
      </c>
      <c r="B9085" t="s">
        <v>202</v>
      </c>
      <c r="C9085" t="s">
        <v>11742</v>
      </c>
      <c r="D9085" t="s">
        <v>16217</v>
      </c>
      <c r="E9085" t="s">
        <v>24221</v>
      </c>
      <c r="F9085" t="s">
        <v>28198</v>
      </c>
      <c r="G9085" t="s">
        <v>28205</v>
      </c>
      <c r="H9085" t="s">
        <v>28215</v>
      </c>
      <c r="I9085" t="s">
        <v>28247</v>
      </c>
      <c r="J9085" t="s">
        <v>28347</v>
      </c>
      <c r="K9085" t="s">
        <v>36694</v>
      </c>
      <c r="M9085" t="s">
        <v>37516</v>
      </c>
      <c r="N9085" t="s">
        <v>40436</v>
      </c>
      <c r="O9085" t="s">
        <v>40437</v>
      </c>
      <c r="P9085">
        <v>0</v>
      </c>
      <c r="Q9085">
        <v>32</v>
      </c>
      <c r="R9085" t="s">
        <v>40446</v>
      </c>
      <c r="S9085" t="s">
        <v>40783</v>
      </c>
      <c r="T9085" t="s">
        <v>42240</v>
      </c>
      <c r="U9085" t="s">
        <v>43546</v>
      </c>
      <c r="V9085" t="s">
        <v>54757</v>
      </c>
      <c r="W9085" t="s">
        <v>37516</v>
      </c>
      <c r="X9085" t="s">
        <v>40447</v>
      </c>
    </row>
    <row r="9086" spans="1:24">
      <c r="A9086">
        <f>HYPERLINK("https://www.philgeps.gov.ph/GEPSNONPILOT/Tender/SplashBidNoticeAbstractUI.aspx?menuIndex=3&amp;refID=7034044&amp;Result=3","7034044")</f>
        <v>0</v>
      </c>
      <c r="B9086" t="s">
        <v>2600</v>
      </c>
      <c r="C9086" t="s">
        <v>11743</v>
      </c>
      <c r="D9086" t="s">
        <v>16255</v>
      </c>
      <c r="E9086" t="s">
        <v>21106</v>
      </c>
      <c r="F9086" t="s">
        <v>28198</v>
      </c>
      <c r="G9086" t="s">
        <v>28205</v>
      </c>
      <c r="H9086" t="s">
        <v>28215</v>
      </c>
      <c r="I9086" t="s">
        <v>28243</v>
      </c>
      <c r="J9086" t="s">
        <v>28363</v>
      </c>
      <c r="K9086" t="s">
        <v>36701</v>
      </c>
      <c r="M9086" t="s">
        <v>39817</v>
      </c>
      <c r="N9086" t="s">
        <v>40436</v>
      </c>
      <c r="O9086" t="s">
        <v>40437</v>
      </c>
      <c r="P9086">
        <v>0</v>
      </c>
      <c r="Q9086">
        <v>5</v>
      </c>
      <c r="R9086" t="s">
        <v>40446</v>
      </c>
      <c r="S9086" t="s">
        <v>40783</v>
      </c>
      <c r="T9086" t="s">
        <v>42346</v>
      </c>
      <c r="U9086" t="s">
        <v>50236</v>
      </c>
      <c r="W9086" t="s">
        <v>39817</v>
      </c>
      <c r="X9086" t="s">
        <v>40447</v>
      </c>
    </row>
    <row r="9087" spans="1:24">
      <c r="A9087">
        <f>HYPERLINK("https://www.philgeps.gov.ph/GEPSNONPILOT/Tender/SplashBidNoticeAbstractUI.aspx?menuIndex=3&amp;refID=7034015&amp;Result=3","7034015")</f>
        <v>0</v>
      </c>
      <c r="B9087" t="s">
        <v>1112</v>
      </c>
      <c r="C9087" t="s">
        <v>11744</v>
      </c>
      <c r="D9087" t="s">
        <v>16191</v>
      </c>
      <c r="E9087" t="s">
        <v>24222</v>
      </c>
      <c r="F9087" t="s">
        <v>28198</v>
      </c>
      <c r="G9087" t="s">
        <v>28206</v>
      </c>
      <c r="H9087" t="s">
        <v>28215</v>
      </c>
      <c r="I9087" t="s">
        <v>5082</v>
      </c>
      <c r="J9087" t="s">
        <v>28430</v>
      </c>
      <c r="K9087" t="s">
        <v>36707</v>
      </c>
      <c r="M9087" t="s">
        <v>38149</v>
      </c>
      <c r="N9087" t="s">
        <v>40436</v>
      </c>
      <c r="O9087" t="s">
        <v>40437</v>
      </c>
      <c r="Q9087">
        <v>4</v>
      </c>
      <c r="R9087" t="s">
        <v>40446</v>
      </c>
      <c r="S9087" t="s">
        <v>40822</v>
      </c>
      <c r="T9087" t="s">
        <v>42115</v>
      </c>
      <c r="U9087" t="s">
        <v>50237</v>
      </c>
      <c r="V9087" t="s">
        <v>54089</v>
      </c>
      <c r="W9087" t="s">
        <v>38149</v>
      </c>
      <c r="X9087" t="s">
        <v>40447</v>
      </c>
    </row>
    <row r="9088" spans="1:24">
      <c r="A9088">
        <f>HYPERLINK("https://www.philgeps.gov.ph/GEPSNONPILOT/Tender/SplashBidNoticeAbstractUI.aspx?menuIndex=3&amp;refID=7034013&amp;Result=3","7034013")</f>
        <v>0</v>
      </c>
      <c r="B9088" t="s">
        <v>320</v>
      </c>
      <c r="C9088" t="s">
        <v>11745</v>
      </c>
      <c r="D9088" t="s">
        <v>16199</v>
      </c>
      <c r="E9088" t="s">
        <v>16524</v>
      </c>
      <c r="F9088" t="s">
        <v>28198</v>
      </c>
      <c r="G9088" t="s">
        <v>28205</v>
      </c>
      <c r="H9088" t="s">
        <v>28214</v>
      </c>
      <c r="I9088" t="s">
        <v>3797</v>
      </c>
      <c r="J9088" t="s">
        <v>34022</v>
      </c>
      <c r="K9088" t="s">
        <v>36689</v>
      </c>
      <c r="M9088" t="s">
        <v>37298</v>
      </c>
      <c r="N9088" t="s">
        <v>40436</v>
      </c>
      <c r="O9088" t="s">
        <v>40437</v>
      </c>
      <c r="P9088">
        <v>0</v>
      </c>
      <c r="Q9088">
        <v>0</v>
      </c>
      <c r="R9088" t="s">
        <v>40446</v>
      </c>
      <c r="S9088" t="s">
        <v>40783</v>
      </c>
      <c r="T9088" t="s">
        <v>42279</v>
      </c>
      <c r="U9088" t="s">
        <v>50238</v>
      </c>
      <c r="W9088" t="s">
        <v>37298</v>
      </c>
      <c r="X9088" t="s">
        <v>40447</v>
      </c>
    </row>
    <row r="9089" spans="1:24">
      <c r="A9089">
        <f>HYPERLINK("https://www.philgeps.gov.ph/GEPSNONPILOT/Tender/SplashBidNoticeAbstractUI.aspx?menuIndex=3&amp;refID=7034004&amp;Result=3","7034004")</f>
        <v>0</v>
      </c>
      <c r="B9089" t="s">
        <v>44</v>
      </c>
      <c r="C9089" t="s">
        <v>11746</v>
      </c>
      <c r="D9089" t="s">
        <v>16200</v>
      </c>
      <c r="E9089" t="s">
        <v>24223</v>
      </c>
      <c r="F9089" t="s">
        <v>28198</v>
      </c>
      <c r="G9089" t="s">
        <v>28205</v>
      </c>
      <c r="H9089" t="s">
        <v>28215</v>
      </c>
      <c r="I9089" t="s">
        <v>5082</v>
      </c>
      <c r="J9089" t="s">
        <v>30064</v>
      </c>
      <c r="K9089" t="s">
        <v>36701</v>
      </c>
      <c r="M9089" t="s">
        <v>37014</v>
      </c>
      <c r="N9089" t="s">
        <v>40436</v>
      </c>
      <c r="O9089" t="s">
        <v>40437</v>
      </c>
      <c r="P9089">
        <v>0</v>
      </c>
      <c r="Q9089">
        <v>6</v>
      </c>
      <c r="R9089" t="s">
        <v>40446</v>
      </c>
      <c r="S9089" t="s">
        <v>40783</v>
      </c>
      <c r="T9089" t="s">
        <v>42205</v>
      </c>
      <c r="U9089" t="s">
        <v>42665</v>
      </c>
      <c r="W9089" t="s">
        <v>37014</v>
      </c>
      <c r="X9089" t="s">
        <v>40447</v>
      </c>
    </row>
    <row r="9090" spans="1:24">
      <c r="A9090">
        <f>HYPERLINK("https://www.philgeps.gov.ph/GEPSNONPILOT/Tender/SplashBidNoticeAbstractUI.aspx?menuIndex=3&amp;refID=7034027&amp;Result=3","7034027")</f>
        <v>0</v>
      </c>
      <c r="B9090" t="s">
        <v>2601</v>
      </c>
      <c r="C9090" t="s">
        <v>11747</v>
      </c>
      <c r="D9090" t="s">
        <v>16212</v>
      </c>
      <c r="E9090" t="s">
        <v>24224</v>
      </c>
      <c r="F9090" t="s">
        <v>28198</v>
      </c>
      <c r="G9090" t="s">
        <v>28205</v>
      </c>
      <c r="H9090" t="s">
        <v>28215</v>
      </c>
      <c r="I9090" t="s">
        <v>3797</v>
      </c>
      <c r="J9090" t="s">
        <v>34023</v>
      </c>
      <c r="K9090" t="s">
        <v>36689</v>
      </c>
      <c r="M9090" t="s">
        <v>39818</v>
      </c>
      <c r="N9090" t="s">
        <v>40436</v>
      </c>
      <c r="O9090" t="s">
        <v>40437</v>
      </c>
      <c r="P9090">
        <v>0</v>
      </c>
      <c r="Q9090">
        <v>1</v>
      </c>
      <c r="R9090" t="s">
        <v>40446</v>
      </c>
      <c r="S9090" t="s">
        <v>40783</v>
      </c>
      <c r="T9090" t="s">
        <v>42234</v>
      </c>
      <c r="U9090" t="s">
        <v>50239</v>
      </c>
      <c r="W9090" t="s">
        <v>39818</v>
      </c>
      <c r="X9090" t="s">
        <v>40447</v>
      </c>
    </row>
    <row r="9091" spans="1:24">
      <c r="A9091">
        <f>HYPERLINK("https://www.philgeps.gov.ph/GEPSNONPILOT/Tender/SplashBidNoticeAbstractUI.aspx?menuIndex=3&amp;refID=7034009&amp;Result=3","7034009")</f>
        <v>0</v>
      </c>
      <c r="B9091" t="s">
        <v>2602</v>
      </c>
      <c r="C9091" t="s">
        <v>11748</v>
      </c>
      <c r="D9091" t="s">
        <v>16223</v>
      </c>
      <c r="E9091" t="s">
        <v>17248</v>
      </c>
      <c r="F9091" t="s">
        <v>28198</v>
      </c>
      <c r="G9091" t="s">
        <v>28205</v>
      </c>
      <c r="H9091" t="s">
        <v>28214</v>
      </c>
      <c r="I9091" t="s">
        <v>3797</v>
      </c>
      <c r="J9091" t="s">
        <v>34024</v>
      </c>
      <c r="K9091" t="s">
        <v>36696</v>
      </c>
      <c r="M9091" t="s">
        <v>39819</v>
      </c>
      <c r="N9091" t="s">
        <v>40436</v>
      </c>
      <c r="O9091" t="s">
        <v>40437</v>
      </c>
      <c r="P9091">
        <v>0</v>
      </c>
      <c r="Q9091">
        <v>0</v>
      </c>
      <c r="R9091" t="s">
        <v>40446</v>
      </c>
      <c r="S9091" t="s">
        <v>40783</v>
      </c>
      <c r="T9091" t="s">
        <v>42129</v>
      </c>
      <c r="U9091" t="s">
        <v>50240</v>
      </c>
      <c r="W9091" t="s">
        <v>39819</v>
      </c>
      <c r="X9091" t="s">
        <v>40447</v>
      </c>
    </row>
    <row r="9092" spans="1:24">
      <c r="A9092">
        <f>HYPERLINK("https://www.philgeps.gov.ph/GEPSNONPILOT/Tender/SplashBidNoticeAbstractUI.aspx?menuIndex=3&amp;refID=7034000&amp;Result=3","7034000")</f>
        <v>0</v>
      </c>
      <c r="B9092" t="s">
        <v>787</v>
      </c>
      <c r="C9092" t="s">
        <v>11749</v>
      </c>
      <c r="D9092" t="s">
        <v>16207</v>
      </c>
      <c r="E9092" t="s">
        <v>24225</v>
      </c>
      <c r="F9092" t="s">
        <v>28198</v>
      </c>
      <c r="G9092" t="s">
        <v>28205</v>
      </c>
      <c r="H9092" t="s">
        <v>28215</v>
      </c>
      <c r="I9092" t="s">
        <v>28222</v>
      </c>
      <c r="J9092" t="s">
        <v>34025</v>
      </c>
      <c r="K9092" t="s">
        <v>36715</v>
      </c>
      <c r="M9092" t="s">
        <v>37792</v>
      </c>
      <c r="N9092" t="s">
        <v>40436</v>
      </c>
      <c r="O9092" t="s">
        <v>40437</v>
      </c>
      <c r="P9092">
        <v>0</v>
      </c>
      <c r="Q9092">
        <v>6</v>
      </c>
      <c r="R9092" t="s">
        <v>40446</v>
      </c>
      <c r="S9092" t="s">
        <v>40783</v>
      </c>
      <c r="T9092" t="s">
        <v>42319</v>
      </c>
      <c r="U9092" t="s">
        <v>50241</v>
      </c>
      <c r="V9092" t="s">
        <v>54758</v>
      </c>
      <c r="W9092" t="s">
        <v>37792</v>
      </c>
      <c r="X9092" t="s">
        <v>40447</v>
      </c>
    </row>
    <row r="9093" spans="1:24">
      <c r="A9093">
        <f>HYPERLINK("https://www.philgeps.gov.ph/GEPSNONPILOT/Tender/SplashBidNoticeAbstractUI.aspx?menuIndex=3&amp;refID=7034071&amp;Result=3","7034071")</f>
        <v>0</v>
      </c>
      <c r="B9093" t="s">
        <v>1223</v>
      </c>
      <c r="C9093" t="s">
        <v>11750</v>
      </c>
      <c r="D9093" t="s">
        <v>16188</v>
      </c>
      <c r="E9093" t="s">
        <v>24226</v>
      </c>
      <c r="F9093" t="s">
        <v>28198</v>
      </c>
      <c r="G9093" t="s">
        <v>28206</v>
      </c>
      <c r="H9093" t="s">
        <v>28215</v>
      </c>
      <c r="I9093" t="s">
        <v>4505</v>
      </c>
      <c r="J9093" t="s">
        <v>28862</v>
      </c>
      <c r="K9093" t="s">
        <v>36701</v>
      </c>
      <c r="M9093" t="s">
        <v>38269</v>
      </c>
      <c r="N9093" t="s">
        <v>40436</v>
      </c>
      <c r="O9093" t="s">
        <v>40437</v>
      </c>
      <c r="Q9093">
        <v>7</v>
      </c>
      <c r="R9093" t="s">
        <v>40446</v>
      </c>
      <c r="S9093" t="s">
        <v>40823</v>
      </c>
      <c r="T9093" t="s">
        <v>42185</v>
      </c>
      <c r="U9093" t="s">
        <v>45350</v>
      </c>
      <c r="W9093" t="s">
        <v>38269</v>
      </c>
      <c r="X9093" t="s">
        <v>40447</v>
      </c>
    </row>
    <row r="9094" spans="1:24">
      <c r="A9094">
        <f>HYPERLINK("https://www.philgeps.gov.ph/GEPSNONPILOT/Tender/SplashBidNoticeAbstractUI.aspx?menuIndex=3&amp;refID=7034064&amp;Result=3","7034064")</f>
        <v>0</v>
      </c>
      <c r="B9094" t="s">
        <v>2486</v>
      </c>
      <c r="C9094" t="s">
        <v>11751</v>
      </c>
      <c r="D9094" t="s">
        <v>16193</v>
      </c>
      <c r="E9094" t="s">
        <v>24227</v>
      </c>
      <c r="F9094" t="s">
        <v>28198</v>
      </c>
      <c r="G9094" t="s">
        <v>28207</v>
      </c>
      <c r="H9094" t="s">
        <v>28215</v>
      </c>
      <c r="I9094" t="s">
        <v>28224</v>
      </c>
      <c r="J9094" t="s">
        <v>34026</v>
      </c>
      <c r="K9094" t="s">
        <v>36689</v>
      </c>
      <c r="M9094" t="s">
        <v>39685</v>
      </c>
      <c r="N9094" t="s">
        <v>40436</v>
      </c>
      <c r="O9094" t="s">
        <v>40437</v>
      </c>
      <c r="Q9094">
        <v>1</v>
      </c>
      <c r="R9094" t="s">
        <v>40446</v>
      </c>
      <c r="S9094" t="s">
        <v>40824</v>
      </c>
      <c r="T9094" t="s">
        <v>42190</v>
      </c>
      <c r="U9094" t="s">
        <v>49757</v>
      </c>
      <c r="W9094" t="s">
        <v>39685</v>
      </c>
      <c r="X9094" t="s">
        <v>40447</v>
      </c>
    </row>
    <row r="9095" spans="1:24">
      <c r="A9095">
        <f>HYPERLINK("https://www.philgeps.gov.ph/GEPSNONPILOT/Tender/SplashBidNoticeAbstractUI.aspx?menuIndex=3&amp;refID=7034070&amp;Result=3","7034070")</f>
        <v>0</v>
      </c>
      <c r="B9095" t="s">
        <v>2599</v>
      </c>
      <c r="C9095" t="s">
        <v>11752</v>
      </c>
      <c r="D9095" t="s">
        <v>16195</v>
      </c>
      <c r="E9095" t="s">
        <v>24228</v>
      </c>
      <c r="F9095" t="s">
        <v>28198</v>
      </c>
      <c r="G9095" t="s">
        <v>28206</v>
      </c>
      <c r="H9095" t="s">
        <v>28215</v>
      </c>
      <c r="I9095" t="s">
        <v>5100</v>
      </c>
      <c r="J9095" t="s">
        <v>34027</v>
      </c>
      <c r="K9095" t="s">
        <v>36688</v>
      </c>
      <c r="M9095" t="s">
        <v>39815</v>
      </c>
      <c r="N9095" t="s">
        <v>40436</v>
      </c>
      <c r="O9095" t="s">
        <v>40437</v>
      </c>
      <c r="P9095">
        <v>0</v>
      </c>
      <c r="Q9095">
        <v>0</v>
      </c>
      <c r="R9095" t="s">
        <v>40446</v>
      </c>
      <c r="S9095" t="s">
        <v>40783</v>
      </c>
      <c r="T9095" t="s">
        <v>42185</v>
      </c>
      <c r="U9095" t="s">
        <v>50242</v>
      </c>
      <c r="W9095" t="s">
        <v>39815</v>
      </c>
      <c r="X9095" t="s">
        <v>40447</v>
      </c>
    </row>
    <row r="9096" spans="1:24">
      <c r="A9096">
        <f>HYPERLINK("https://www.philgeps.gov.ph/GEPSNONPILOT/Tender/SplashBidNoticeAbstractUI.aspx?menuIndex=3&amp;refID=7034062&amp;Result=3","7034062")</f>
        <v>0</v>
      </c>
      <c r="B9096" t="s">
        <v>2601</v>
      </c>
      <c r="C9096" t="s">
        <v>11753</v>
      </c>
      <c r="D9096" t="s">
        <v>16212</v>
      </c>
      <c r="E9096" t="s">
        <v>24229</v>
      </c>
      <c r="F9096" t="s">
        <v>28198</v>
      </c>
      <c r="G9096" t="s">
        <v>28205</v>
      </c>
      <c r="H9096" t="s">
        <v>28215</v>
      </c>
      <c r="I9096" t="s">
        <v>28222</v>
      </c>
      <c r="J9096" t="s">
        <v>28468</v>
      </c>
      <c r="K9096" t="s">
        <v>36689</v>
      </c>
      <c r="M9096" t="s">
        <v>39818</v>
      </c>
      <c r="N9096" t="s">
        <v>40436</v>
      </c>
      <c r="O9096" t="s">
        <v>40437</v>
      </c>
      <c r="P9096">
        <v>0</v>
      </c>
      <c r="Q9096">
        <v>4</v>
      </c>
      <c r="R9096" t="s">
        <v>40446</v>
      </c>
      <c r="S9096" t="s">
        <v>40783</v>
      </c>
      <c r="T9096" t="s">
        <v>42234</v>
      </c>
      <c r="U9096" t="s">
        <v>50243</v>
      </c>
      <c r="W9096" t="s">
        <v>39818</v>
      </c>
      <c r="X9096" t="s">
        <v>40447</v>
      </c>
    </row>
    <row r="9097" spans="1:24">
      <c r="A9097">
        <f>HYPERLINK("https://www.philgeps.gov.ph/GEPSNONPILOT/Tender/SplashBidNoticeAbstractUI.aspx?menuIndex=3&amp;refID=7034019&amp;Result=3","7034019")</f>
        <v>0</v>
      </c>
      <c r="B9097" t="s">
        <v>668</v>
      </c>
      <c r="C9097" t="s">
        <v>11754</v>
      </c>
      <c r="D9097" t="s">
        <v>16223</v>
      </c>
      <c r="E9097" t="s">
        <v>24230</v>
      </c>
      <c r="F9097" t="s">
        <v>28198</v>
      </c>
      <c r="G9097" t="s">
        <v>28205</v>
      </c>
      <c r="H9097" t="s">
        <v>28215</v>
      </c>
      <c r="I9097" t="s">
        <v>5100</v>
      </c>
      <c r="J9097" t="s">
        <v>34028</v>
      </c>
      <c r="K9097" t="s">
        <v>36689</v>
      </c>
      <c r="M9097" t="s">
        <v>37664</v>
      </c>
      <c r="N9097" t="s">
        <v>40436</v>
      </c>
      <c r="O9097" t="s">
        <v>40437</v>
      </c>
      <c r="P9097">
        <v>0</v>
      </c>
      <c r="Q9097">
        <v>0</v>
      </c>
      <c r="R9097" t="s">
        <v>40446</v>
      </c>
      <c r="S9097" t="s">
        <v>40783</v>
      </c>
      <c r="T9097" t="s">
        <v>42279</v>
      </c>
      <c r="U9097" t="s">
        <v>50244</v>
      </c>
      <c r="W9097" t="s">
        <v>37664</v>
      </c>
      <c r="X9097" t="s">
        <v>40447</v>
      </c>
    </row>
    <row r="9098" spans="1:24">
      <c r="A9098">
        <f>HYPERLINK("https://www.philgeps.gov.ph/GEPSNONPILOT/Tender/SplashBidNoticeAbstractUI.aspx?menuIndex=3&amp;refID=7034059&amp;Result=3","7034059")</f>
        <v>0</v>
      </c>
      <c r="B9098" t="s">
        <v>1219</v>
      </c>
      <c r="C9098" t="s">
        <v>11755</v>
      </c>
      <c r="D9098" t="s">
        <v>16235</v>
      </c>
      <c r="E9098" t="s">
        <v>24231</v>
      </c>
      <c r="F9098" t="s">
        <v>28198</v>
      </c>
      <c r="G9098" t="s">
        <v>28205</v>
      </c>
      <c r="H9098" t="s">
        <v>28214</v>
      </c>
      <c r="I9098" t="s">
        <v>3797</v>
      </c>
      <c r="J9098" t="s">
        <v>34029</v>
      </c>
      <c r="K9098" t="s">
        <v>36692</v>
      </c>
      <c r="M9098" t="s">
        <v>39820</v>
      </c>
      <c r="N9098" t="s">
        <v>40436</v>
      </c>
      <c r="O9098" t="s">
        <v>40437</v>
      </c>
      <c r="P9098">
        <v>0</v>
      </c>
      <c r="Q9098">
        <v>4</v>
      </c>
      <c r="R9098" t="s">
        <v>40446</v>
      </c>
      <c r="S9098" t="s">
        <v>40783</v>
      </c>
      <c r="T9098" t="s">
        <v>42346</v>
      </c>
      <c r="U9098" t="s">
        <v>50245</v>
      </c>
      <c r="W9098" t="s">
        <v>39820</v>
      </c>
      <c r="X9098" t="s">
        <v>40447</v>
      </c>
    </row>
    <row r="9099" spans="1:24">
      <c r="A9099">
        <f>HYPERLINK("https://www.philgeps.gov.ph/GEPSNONPILOT/Tender/SplashBidNoticeAbstractUI.aspx?menuIndex=3&amp;refID=7034058&amp;Result=3","7034058")</f>
        <v>0</v>
      </c>
      <c r="B9099" t="s">
        <v>1186</v>
      </c>
      <c r="C9099" t="s">
        <v>11756</v>
      </c>
      <c r="D9099" t="s">
        <v>16199</v>
      </c>
      <c r="E9099" t="s">
        <v>24232</v>
      </c>
      <c r="F9099" t="s">
        <v>28198</v>
      </c>
      <c r="G9099" t="s">
        <v>28205</v>
      </c>
      <c r="H9099" t="s">
        <v>28214</v>
      </c>
      <c r="I9099" t="s">
        <v>3797</v>
      </c>
      <c r="J9099" t="s">
        <v>28363</v>
      </c>
      <c r="K9099" t="s">
        <v>36701</v>
      </c>
      <c r="M9099" t="s">
        <v>38228</v>
      </c>
      <c r="N9099" t="s">
        <v>40436</v>
      </c>
      <c r="O9099" t="s">
        <v>40437</v>
      </c>
      <c r="P9099">
        <v>0</v>
      </c>
      <c r="Q9099">
        <v>0</v>
      </c>
      <c r="R9099" t="s">
        <v>40446</v>
      </c>
      <c r="S9099" t="s">
        <v>40783</v>
      </c>
      <c r="T9099" t="s">
        <v>42234</v>
      </c>
      <c r="U9099" t="s">
        <v>50246</v>
      </c>
      <c r="V9099" t="s">
        <v>54134</v>
      </c>
      <c r="W9099" t="s">
        <v>38228</v>
      </c>
      <c r="X9099" t="s">
        <v>40447</v>
      </c>
    </row>
    <row r="9100" spans="1:24">
      <c r="A9100">
        <f>HYPERLINK("https://www.philgeps.gov.ph/GEPSNONPILOT/Tender/SplashBidNoticeAbstractUI.aspx?menuIndex=3&amp;refID=7034063&amp;Result=3","7034063")</f>
        <v>0</v>
      </c>
      <c r="B9100" t="s">
        <v>202</v>
      </c>
      <c r="C9100" t="s">
        <v>11757</v>
      </c>
      <c r="E9100" t="s">
        <v>24233</v>
      </c>
      <c r="F9100" t="s">
        <v>28198</v>
      </c>
      <c r="G9100" t="s">
        <v>28205</v>
      </c>
      <c r="H9100" t="s">
        <v>28215</v>
      </c>
      <c r="I9100" t="s">
        <v>4168</v>
      </c>
      <c r="J9100" t="s">
        <v>34030</v>
      </c>
      <c r="K9100" t="s">
        <v>36694</v>
      </c>
      <c r="M9100" t="s">
        <v>37516</v>
      </c>
      <c r="N9100" t="s">
        <v>40436</v>
      </c>
      <c r="O9100" t="s">
        <v>40437</v>
      </c>
      <c r="Q9100">
        <v>4</v>
      </c>
      <c r="R9100" t="s">
        <v>40446</v>
      </c>
      <c r="S9100" t="s">
        <v>40666</v>
      </c>
      <c r="T9100" t="s">
        <v>42240</v>
      </c>
      <c r="U9100" t="s">
        <v>43546</v>
      </c>
      <c r="V9100" t="s">
        <v>54420</v>
      </c>
      <c r="W9100" t="s">
        <v>37516</v>
      </c>
      <c r="X9100" t="s">
        <v>40447</v>
      </c>
    </row>
    <row r="9101" spans="1:24">
      <c r="A9101">
        <f>HYPERLINK("https://www.philgeps.gov.ph/GEPSNONPILOT/Tender/SplashBidNoticeAbstractUI.aspx?menuIndex=3&amp;refID=7034045&amp;Result=3","7034045")</f>
        <v>0</v>
      </c>
      <c r="B9101" t="s">
        <v>2602</v>
      </c>
      <c r="C9101" t="s">
        <v>5207</v>
      </c>
      <c r="D9101" t="s">
        <v>16223</v>
      </c>
      <c r="E9101" t="s">
        <v>16588</v>
      </c>
      <c r="F9101" t="s">
        <v>28198</v>
      </c>
      <c r="G9101" t="s">
        <v>28205</v>
      </c>
      <c r="H9101" t="s">
        <v>28215</v>
      </c>
      <c r="I9101" t="s">
        <v>28258</v>
      </c>
      <c r="J9101" t="s">
        <v>34031</v>
      </c>
      <c r="K9101" t="s">
        <v>36696</v>
      </c>
      <c r="M9101" t="s">
        <v>39819</v>
      </c>
      <c r="N9101" t="s">
        <v>40436</v>
      </c>
      <c r="O9101" t="s">
        <v>40437</v>
      </c>
      <c r="P9101">
        <v>0</v>
      </c>
      <c r="Q9101">
        <v>1</v>
      </c>
      <c r="R9101" t="s">
        <v>40446</v>
      </c>
      <c r="S9101" t="s">
        <v>40783</v>
      </c>
      <c r="T9101" t="s">
        <v>42129</v>
      </c>
      <c r="U9101" t="s">
        <v>50240</v>
      </c>
      <c r="W9101" t="s">
        <v>39819</v>
      </c>
      <c r="X9101" t="s">
        <v>40447</v>
      </c>
    </row>
    <row r="9102" spans="1:24">
      <c r="A9102">
        <f>HYPERLINK("https://www.philgeps.gov.ph/GEPSNONPILOT/Tender/SplashBidNoticeAbstractUI.aspx?menuIndex=3&amp;refID=7034039&amp;Result=3","7034039")</f>
        <v>0</v>
      </c>
      <c r="B9102" t="s">
        <v>668</v>
      </c>
      <c r="C9102" t="s">
        <v>11758</v>
      </c>
      <c r="D9102" t="s">
        <v>16223</v>
      </c>
      <c r="E9102" t="s">
        <v>24234</v>
      </c>
      <c r="F9102" t="s">
        <v>28198</v>
      </c>
      <c r="G9102" t="s">
        <v>28205</v>
      </c>
      <c r="H9102" t="s">
        <v>28214</v>
      </c>
      <c r="I9102" t="s">
        <v>28236</v>
      </c>
      <c r="J9102" t="s">
        <v>34032</v>
      </c>
      <c r="K9102" t="s">
        <v>36689</v>
      </c>
      <c r="M9102" t="s">
        <v>37664</v>
      </c>
      <c r="N9102" t="s">
        <v>40436</v>
      </c>
      <c r="O9102" t="s">
        <v>40437</v>
      </c>
      <c r="P9102">
        <v>0</v>
      </c>
      <c r="Q9102">
        <v>0</v>
      </c>
      <c r="R9102" t="s">
        <v>40446</v>
      </c>
      <c r="S9102" t="s">
        <v>40783</v>
      </c>
      <c r="T9102" t="s">
        <v>42279</v>
      </c>
      <c r="U9102" t="s">
        <v>50244</v>
      </c>
      <c r="W9102" t="s">
        <v>37664</v>
      </c>
      <c r="X9102" t="s">
        <v>40447</v>
      </c>
    </row>
    <row r="9103" spans="1:24">
      <c r="A9103">
        <f>HYPERLINK("https://www.philgeps.gov.ph/GEPSNONPILOT/Tender/SplashBidNoticeAbstractUI.aspx?menuIndex=3&amp;refID=7034072&amp;Result=3","7034072")</f>
        <v>0</v>
      </c>
      <c r="B9103" t="s">
        <v>44</v>
      </c>
      <c r="C9103" t="s">
        <v>11759</v>
      </c>
      <c r="D9103" t="s">
        <v>16200</v>
      </c>
      <c r="E9103" t="s">
        <v>24235</v>
      </c>
      <c r="F9103" t="s">
        <v>28198</v>
      </c>
      <c r="G9103" t="s">
        <v>28205</v>
      </c>
      <c r="H9103" t="s">
        <v>28214</v>
      </c>
      <c r="I9103" t="s">
        <v>3797</v>
      </c>
      <c r="J9103" t="s">
        <v>34033</v>
      </c>
      <c r="K9103" t="s">
        <v>36697</v>
      </c>
      <c r="M9103" t="s">
        <v>37014</v>
      </c>
      <c r="N9103" t="s">
        <v>40436</v>
      </c>
      <c r="O9103" t="s">
        <v>40437</v>
      </c>
      <c r="P9103">
        <v>0</v>
      </c>
      <c r="Q9103">
        <v>1</v>
      </c>
      <c r="R9103" t="s">
        <v>40446</v>
      </c>
      <c r="S9103" t="s">
        <v>40783</v>
      </c>
      <c r="T9103" t="s">
        <v>42113</v>
      </c>
      <c r="U9103" t="s">
        <v>42665</v>
      </c>
      <c r="W9103" t="s">
        <v>37014</v>
      </c>
      <c r="X9103" t="s">
        <v>40447</v>
      </c>
    </row>
    <row r="9104" spans="1:24">
      <c r="A9104">
        <f>HYPERLINK("https://www.philgeps.gov.ph/GEPSNONPILOT/Tender/SplashBidNoticeAbstractUI.aspx?menuIndex=3&amp;refID=7034081&amp;Result=3","7034081")</f>
        <v>0</v>
      </c>
      <c r="B9104" t="s">
        <v>2589</v>
      </c>
      <c r="C9104" t="s">
        <v>11760</v>
      </c>
      <c r="D9104" t="s">
        <v>16201</v>
      </c>
      <c r="E9104" t="s">
        <v>18644</v>
      </c>
      <c r="F9104" t="s">
        <v>28198</v>
      </c>
      <c r="G9104" t="s">
        <v>28209</v>
      </c>
      <c r="H9104" t="s">
        <v>28214</v>
      </c>
      <c r="I9104" t="s">
        <v>3797</v>
      </c>
      <c r="J9104" t="s">
        <v>28351</v>
      </c>
      <c r="K9104" t="s">
        <v>36690</v>
      </c>
      <c r="M9104" t="s">
        <v>39803</v>
      </c>
      <c r="N9104" t="s">
        <v>40436</v>
      </c>
      <c r="O9104" t="s">
        <v>40437</v>
      </c>
      <c r="P9104">
        <v>0</v>
      </c>
      <c r="Q9104">
        <v>0</v>
      </c>
      <c r="R9104" t="s">
        <v>40446</v>
      </c>
      <c r="S9104" t="s">
        <v>40783</v>
      </c>
      <c r="T9104" t="s">
        <v>42438</v>
      </c>
      <c r="U9104" t="s">
        <v>50247</v>
      </c>
      <c r="V9104" t="s">
        <v>54753</v>
      </c>
      <c r="W9104" t="s">
        <v>39803</v>
      </c>
      <c r="X9104" t="s">
        <v>40447</v>
      </c>
    </row>
    <row r="9105" spans="1:24">
      <c r="A9105">
        <f>HYPERLINK("https://www.philgeps.gov.ph/GEPSNONPILOT/Tender/SplashBidNoticeAbstractUI.aspx?menuIndex=3&amp;refID=7033964&amp;Result=3","7033964")</f>
        <v>0</v>
      </c>
      <c r="B9105" t="s">
        <v>1223</v>
      </c>
      <c r="C9105" t="s">
        <v>11761</v>
      </c>
      <c r="D9105" t="s">
        <v>16188</v>
      </c>
      <c r="E9105" t="s">
        <v>24236</v>
      </c>
      <c r="F9105" t="s">
        <v>28198</v>
      </c>
      <c r="G9105" t="s">
        <v>28206</v>
      </c>
      <c r="H9105" t="s">
        <v>28215</v>
      </c>
      <c r="I9105" t="s">
        <v>4505</v>
      </c>
      <c r="J9105" t="s">
        <v>34034</v>
      </c>
      <c r="K9105" t="s">
        <v>36701</v>
      </c>
      <c r="M9105" t="s">
        <v>38269</v>
      </c>
      <c r="N9105" t="s">
        <v>40436</v>
      </c>
      <c r="O9105" t="s">
        <v>40437</v>
      </c>
      <c r="Q9105">
        <v>5</v>
      </c>
      <c r="R9105" t="s">
        <v>40446</v>
      </c>
      <c r="S9105" t="s">
        <v>40821</v>
      </c>
      <c r="T9105" t="s">
        <v>42185</v>
      </c>
      <c r="U9105" t="s">
        <v>45350</v>
      </c>
      <c r="W9105" t="s">
        <v>38269</v>
      </c>
      <c r="X9105" t="s">
        <v>40447</v>
      </c>
    </row>
    <row r="9106" spans="1:24">
      <c r="A9106">
        <f>HYPERLINK("https://www.philgeps.gov.ph/GEPSNONPILOT/Tender/SplashBidNoticeAbstractUI.aspx?menuIndex=3&amp;refID=7034119&amp;Result=3","7034119")</f>
        <v>0</v>
      </c>
      <c r="B9106" t="s">
        <v>1223</v>
      </c>
      <c r="C9106" t="s">
        <v>11762</v>
      </c>
      <c r="D9106" t="s">
        <v>16188</v>
      </c>
      <c r="E9106" t="s">
        <v>24237</v>
      </c>
      <c r="F9106" t="s">
        <v>28198</v>
      </c>
      <c r="G9106" t="s">
        <v>28206</v>
      </c>
      <c r="H9106" t="s">
        <v>28215</v>
      </c>
      <c r="I9106" t="s">
        <v>4505</v>
      </c>
      <c r="J9106" t="s">
        <v>31141</v>
      </c>
      <c r="K9106" t="s">
        <v>36701</v>
      </c>
      <c r="M9106" t="s">
        <v>38269</v>
      </c>
      <c r="N9106" t="s">
        <v>40436</v>
      </c>
      <c r="O9106" t="s">
        <v>40437</v>
      </c>
      <c r="Q9106">
        <v>2</v>
      </c>
      <c r="R9106" t="s">
        <v>40446</v>
      </c>
      <c r="S9106" t="s">
        <v>40825</v>
      </c>
      <c r="T9106" t="s">
        <v>42185</v>
      </c>
      <c r="U9106" t="s">
        <v>45350</v>
      </c>
      <c r="W9106" t="s">
        <v>38269</v>
      </c>
      <c r="X9106" t="s">
        <v>40447</v>
      </c>
    </row>
    <row r="9107" spans="1:24">
      <c r="A9107">
        <f>HYPERLINK("https://www.philgeps.gov.ph/GEPSNONPILOT/Tender/SplashBidNoticeAbstractUI.aspx?menuIndex=3&amp;refID=7034126&amp;Result=3","7034126")</f>
        <v>0</v>
      </c>
      <c r="B9107" t="s">
        <v>2603</v>
      </c>
      <c r="C9107" t="s">
        <v>11763</v>
      </c>
      <c r="D9107" t="s">
        <v>16194</v>
      </c>
      <c r="E9107" t="s">
        <v>24238</v>
      </c>
      <c r="F9107" t="s">
        <v>28198</v>
      </c>
      <c r="G9107" t="s">
        <v>28205</v>
      </c>
      <c r="H9107" t="s">
        <v>28214</v>
      </c>
      <c r="I9107" t="s">
        <v>3797</v>
      </c>
      <c r="J9107" t="s">
        <v>34035</v>
      </c>
      <c r="K9107" t="s">
        <v>36737</v>
      </c>
      <c r="M9107" t="s">
        <v>39821</v>
      </c>
      <c r="N9107" t="s">
        <v>40436</v>
      </c>
      <c r="O9107" t="s">
        <v>40437</v>
      </c>
      <c r="P9107">
        <v>0</v>
      </c>
      <c r="Q9107">
        <v>21</v>
      </c>
      <c r="R9107" t="s">
        <v>40446</v>
      </c>
      <c r="S9107" t="s">
        <v>40783</v>
      </c>
      <c r="T9107" t="s">
        <v>42234</v>
      </c>
      <c r="U9107" t="s">
        <v>50248</v>
      </c>
      <c r="W9107" t="s">
        <v>55521</v>
      </c>
      <c r="X9107" t="s">
        <v>40447</v>
      </c>
    </row>
    <row r="9108" spans="1:24">
      <c r="A9108">
        <f>HYPERLINK("https://www.philgeps.gov.ph/GEPSNONPILOT/Tender/SplashBidNoticeAbstractUI.aspx?menuIndex=3&amp;refID=7034136&amp;Result=3","7034136")</f>
        <v>0</v>
      </c>
      <c r="B9108" t="s">
        <v>2596</v>
      </c>
      <c r="C9108" t="s">
        <v>11764</v>
      </c>
      <c r="D9108" t="s">
        <v>16193</v>
      </c>
      <c r="E9108" t="s">
        <v>24239</v>
      </c>
      <c r="F9108" t="s">
        <v>28198</v>
      </c>
      <c r="G9108" t="s">
        <v>28205</v>
      </c>
      <c r="H9108" t="s">
        <v>28214</v>
      </c>
      <c r="I9108" t="s">
        <v>3797</v>
      </c>
      <c r="J9108" t="s">
        <v>29643</v>
      </c>
      <c r="K9108" t="s">
        <v>36692</v>
      </c>
      <c r="M9108" t="s">
        <v>39811</v>
      </c>
      <c r="N9108" t="s">
        <v>40436</v>
      </c>
      <c r="O9108" t="s">
        <v>40437</v>
      </c>
      <c r="P9108">
        <v>0</v>
      </c>
      <c r="Q9108">
        <v>1</v>
      </c>
      <c r="R9108" t="s">
        <v>40446</v>
      </c>
      <c r="S9108" t="s">
        <v>40783</v>
      </c>
      <c r="T9108" t="s">
        <v>42292</v>
      </c>
      <c r="U9108" t="s">
        <v>50249</v>
      </c>
      <c r="W9108" t="s">
        <v>39811</v>
      </c>
      <c r="X9108" t="s">
        <v>40447</v>
      </c>
    </row>
    <row r="9109" spans="1:24">
      <c r="A9109">
        <f>HYPERLINK("https://www.philgeps.gov.ph/GEPSNONPILOT/Tender/SplashBidNoticeAbstractUI.aspx?menuIndex=3&amp;refID=7034134&amp;Result=3","7034134")</f>
        <v>0</v>
      </c>
      <c r="B9109" t="s">
        <v>202</v>
      </c>
      <c r="C9109" t="s">
        <v>11765</v>
      </c>
      <c r="D9109" t="s">
        <v>16217</v>
      </c>
      <c r="E9109" t="s">
        <v>24240</v>
      </c>
      <c r="F9109" t="s">
        <v>28198</v>
      </c>
      <c r="G9109" t="s">
        <v>28205</v>
      </c>
      <c r="H9109" t="s">
        <v>28215</v>
      </c>
      <c r="I9109" t="s">
        <v>28247</v>
      </c>
      <c r="J9109" t="s">
        <v>34036</v>
      </c>
      <c r="K9109" t="s">
        <v>36694</v>
      </c>
      <c r="M9109" t="s">
        <v>37516</v>
      </c>
      <c r="N9109" t="s">
        <v>40436</v>
      </c>
      <c r="O9109" t="s">
        <v>40437</v>
      </c>
      <c r="Q9109">
        <v>35</v>
      </c>
      <c r="R9109" t="s">
        <v>40446</v>
      </c>
      <c r="S9109" t="s">
        <v>40826</v>
      </c>
      <c r="T9109" t="s">
        <v>42240</v>
      </c>
      <c r="U9109" t="s">
        <v>43546</v>
      </c>
      <c r="V9109" t="s">
        <v>54420</v>
      </c>
      <c r="W9109" t="s">
        <v>37516</v>
      </c>
      <c r="X9109" t="s">
        <v>40447</v>
      </c>
    </row>
    <row r="9110" spans="1:24">
      <c r="A9110">
        <f>HYPERLINK("https://www.philgeps.gov.ph/GEPSNONPILOT/Tender/SplashBidNoticeAbstractUI.aspx?menuIndex=3&amp;refID=7034076&amp;Result=3","7034076")</f>
        <v>0</v>
      </c>
      <c r="B9110" t="s">
        <v>787</v>
      </c>
      <c r="C9110" t="s">
        <v>11766</v>
      </c>
      <c r="D9110" t="s">
        <v>16207</v>
      </c>
      <c r="E9110" t="s">
        <v>24241</v>
      </c>
      <c r="F9110" t="s">
        <v>28198</v>
      </c>
      <c r="G9110" t="s">
        <v>28205</v>
      </c>
      <c r="H9110" t="s">
        <v>28215</v>
      </c>
      <c r="I9110" t="s">
        <v>28222</v>
      </c>
      <c r="J9110" t="s">
        <v>29291</v>
      </c>
      <c r="K9110" t="s">
        <v>36701</v>
      </c>
      <c r="M9110" t="s">
        <v>37792</v>
      </c>
      <c r="N9110" t="s">
        <v>40436</v>
      </c>
      <c r="O9110" t="s">
        <v>40437</v>
      </c>
      <c r="P9110">
        <v>0</v>
      </c>
      <c r="Q9110">
        <v>5</v>
      </c>
      <c r="R9110" t="s">
        <v>40446</v>
      </c>
      <c r="S9110" t="s">
        <v>40783</v>
      </c>
      <c r="T9110" t="s">
        <v>42319</v>
      </c>
      <c r="U9110" t="s">
        <v>50250</v>
      </c>
      <c r="V9110" t="s">
        <v>54758</v>
      </c>
      <c r="W9110" t="s">
        <v>37792</v>
      </c>
      <c r="X9110" t="s">
        <v>40447</v>
      </c>
    </row>
    <row r="9111" spans="1:24">
      <c r="A9111">
        <f>HYPERLINK("https://www.philgeps.gov.ph/GEPSNONPILOT/Tender/SplashBidNoticeAbstractUI.aspx?menuIndex=3&amp;refID=7034127&amp;Result=3","7034127")</f>
        <v>0</v>
      </c>
      <c r="B9111" t="s">
        <v>44</v>
      </c>
      <c r="C9111" t="s">
        <v>11767</v>
      </c>
      <c r="D9111" t="s">
        <v>16200</v>
      </c>
      <c r="E9111" t="s">
        <v>24242</v>
      </c>
      <c r="F9111" t="s">
        <v>28198</v>
      </c>
      <c r="G9111" t="s">
        <v>28205</v>
      </c>
      <c r="H9111" t="s">
        <v>28214</v>
      </c>
      <c r="I9111" t="s">
        <v>3797</v>
      </c>
      <c r="J9111" t="s">
        <v>34037</v>
      </c>
      <c r="K9111" t="s">
        <v>36697</v>
      </c>
      <c r="M9111" t="s">
        <v>37014</v>
      </c>
      <c r="N9111" t="s">
        <v>40436</v>
      </c>
      <c r="O9111" t="s">
        <v>40437</v>
      </c>
      <c r="P9111">
        <v>0</v>
      </c>
      <c r="Q9111">
        <v>0</v>
      </c>
      <c r="R9111" t="s">
        <v>40446</v>
      </c>
      <c r="S9111" t="s">
        <v>40783</v>
      </c>
      <c r="T9111" t="s">
        <v>42455</v>
      </c>
      <c r="U9111" t="s">
        <v>42665</v>
      </c>
      <c r="W9111" t="s">
        <v>37014</v>
      </c>
      <c r="X9111" t="s">
        <v>40447</v>
      </c>
    </row>
    <row r="9112" spans="1:24">
      <c r="A9112">
        <f>HYPERLINK("https://www.philgeps.gov.ph/GEPSNONPILOT/Tender/SplashBidNoticeAbstractUI.aspx?menuIndex=3&amp;refID=7034122&amp;Result=3","7034122")</f>
        <v>0</v>
      </c>
      <c r="B9112" t="s">
        <v>2599</v>
      </c>
      <c r="C9112" t="s">
        <v>11768</v>
      </c>
      <c r="D9112" t="s">
        <v>16195</v>
      </c>
      <c r="E9112" t="s">
        <v>17338</v>
      </c>
      <c r="F9112" t="s">
        <v>28198</v>
      </c>
      <c r="G9112" t="s">
        <v>28206</v>
      </c>
      <c r="H9112" t="s">
        <v>28215</v>
      </c>
      <c r="I9112" t="s">
        <v>5100</v>
      </c>
      <c r="J9112" t="s">
        <v>34027</v>
      </c>
      <c r="K9112" t="s">
        <v>36688</v>
      </c>
      <c r="M9112" t="s">
        <v>39815</v>
      </c>
      <c r="N9112" t="s">
        <v>40436</v>
      </c>
      <c r="O9112" t="s">
        <v>40437</v>
      </c>
      <c r="P9112">
        <v>0</v>
      </c>
      <c r="Q9112">
        <v>0</v>
      </c>
      <c r="R9112" t="s">
        <v>40446</v>
      </c>
      <c r="S9112" t="s">
        <v>40783</v>
      </c>
      <c r="T9112" t="s">
        <v>42185</v>
      </c>
      <c r="U9112" t="s">
        <v>50242</v>
      </c>
      <c r="W9112" t="s">
        <v>39815</v>
      </c>
      <c r="X9112" t="s">
        <v>40447</v>
      </c>
    </row>
    <row r="9113" spans="1:24">
      <c r="A9113">
        <f>HYPERLINK("https://www.philgeps.gov.ph/GEPSNONPILOT/Tender/SplashBidNoticeAbstractUI.aspx?menuIndex=3&amp;refID=7033974&amp;Result=3","7033974")</f>
        <v>0</v>
      </c>
      <c r="B9113" t="s">
        <v>1361</v>
      </c>
      <c r="C9113" t="s">
        <v>11769</v>
      </c>
      <c r="D9113" t="s">
        <v>16203</v>
      </c>
      <c r="E9113" t="s">
        <v>24243</v>
      </c>
      <c r="F9113" t="s">
        <v>28198</v>
      </c>
      <c r="G9113" t="s">
        <v>28205</v>
      </c>
      <c r="H9113" t="s">
        <v>28215</v>
      </c>
      <c r="I9113" t="s">
        <v>3422</v>
      </c>
      <c r="J9113" t="s">
        <v>29159</v>
      </c>
      <c r="K9113" t="s">
        <v>36694</v>
      </c>
      <c r="M9113" t="s">
        <v>38421</v>
      </c>
      <c r="N9113" t="s">
        <v>40436</v>
      </c>
      <c r="O9113" t="s">
        <v>40437</v>
      </c>
      <c r="P9113">
        <v>0</v>
      </c>
      <c r="Q9113">
        <v>4</v>
      </c>
      <c r="R9113" t="s">
        <v>40446</v>
      </c>
      <c r="S9113" t="s">
        <v>40783</v>
      </c>
      <c r="T9113" t="s">
        <v>42183</v>
      </c>
      <c r="U9113" t="s">
        <v>50251</v>
      </c>
      <c r="W9113" t="s">
        <v>38421</v>
      </c>
      <c r="X9113" t="s">
        <v>40447</v>
      </c>
    </row>
    <row r="9114" spans="1:24">
      <c r="A9114">
        <f>HYPERLINK("https://www.philgeps.gov.ph/GEPSNONPILOT/Tender/SplashBidNoticeAbstractUI.aspx?menuIndex=3&amp;refID=7034107&amp;Result=3","7034107")</f>
        <v>0</v>
      </c>
      <c r="B9114" t="s">
        <v>1500</v>
      </c>
      <c r="C9114" t="s">
        <v>11770</v>
      </c>
      <c r="D9114" t="s">
        <v>16213</v>
      </c>
      <c r="E9114" t="s">
        <v>24244</v>
      </c>
      <c r="F9114" t="s">
        <v>28198</v>
      </c>
      <c r="G9114" t="s">
        <v>28205</v>
      </c>
      <c r="H9114" t="s">
        <v>28215</v>
      </c>
      <c r="I9114" t="s">
        <v>28222</v>
      </c>
      <c r="J9114" t="s">
        <v>34038</v>
      </c>
      <c r="K9114" t="s">
        <v>36701</v>
      </c>
      <c r="M9114" t="s">
        <v>38575</v>
      </c>
      <c r="N9114" t="s">
        <v>40436</v>
      </c>
      <c r="O9114" t="s">
        <v>40437</v>
      </c>
      <c r="P9114">
        <v>0</v>
      </c>
      <c r="Q9114">
        <v>11</v>
      </c>
      <c r="R9114" t="s">
        <v>40446</v>
      </c>
      <c r="S9114" t="s">
        <v>40783</v>
      </c>
      <c r="T9114" t="s">
        <v>42111</v>
      </c>
      <c r="U9114" t="s">
        <v>50252</v>
      </c>
      <c r="W9114" t="s">
        <v>38575</v>
      </c>
      <c r="X9114" t="s">
        <v>40447</v>
      </c>
    </row>
    <row r="9115" spans="1:24">
      <c r="A9115">
        <f>HYPERLINK("https://www.philgeps.gov.ph/GEPSNONPILOT/Tender/SplashBidNoticeAbstractUI.aspx?menuIndex=3&amp;refID=7034099&amp;Result=3","7034099")</f>
        <v>0</v>
      </c>
      <c r="B9115" t="s">
        <v>1108</v>
      </c>
      <c r="C9115" t="s">
        <v>11771</v>
      </c>
      <c r="D9115" t="s">
        <v>16193</v>
      </c>
      <c r="E9115" t="s">
        <v>24245</v>
      </c>
      <c r="F9115" t="s">
        <v>28198</v>
      </c>
      <c r="G9115" t="s">
        <v>28205</v>
      </c>
      <c r="H9115" t="s">
        <v>28215</v>
      </c>
      <c r="I9115" t="s">
        <v>28225</v>
      </c>
      <c r="J9115" t="s">
        <v>34039</v>
      </c>
      <c r="K9115" t="s">
        <v>36707</v>
      </c>
      <c r="M9115" t="s">
        <v>38144</v>
      </c>
      <c r="N9115" t="s">
        <v>40436</v>
      </c>
      <c r="O9115" t="s">
        <v>40437</v>
      </c>
      <c r="P9115">
        <v>0</v>
      </c>
      <c r="Q9115">
        <v>1</v>
      </c>
      <c r="R9115" t="s">
        <v>40446</v>
      </c>
      <c r="S9115" t="s">
        <v>40783</v>
      </c>
      <c r="T9115" t="s">
        <v>42129</v>
      </c>
      <c r="U9115" t="s">
        <v>50253</v>
      </c>
      <c r="W9115" t="s">
        <v>38144</v>
      </c>
      <c r="X9115" t="s">
        <v>40447</v>
      </c>
    </row>
    <row r="9116" spans="1:24">
      <c r="A9116">
        <f>HYPERLINK("https://www.philgeps.gov.ph/GEPSNONPILOT/Tender/SplashBidNoticeAbstractUI.aspx?menuIndex=3&amp;refID=7034117&amp;Result=3","7034117")</f>
        <v>0</v>
      </c>
      <c r="B9116" t="s">
        <v>2589</v>
      </c>
      <c r="C9116" t="s">
        <v>11772</v>
      </c>
      <c r="D9116" t="s">
        <v>16201</v>
      </c>
      <c r="E9116" t="s">
        <v>24246</v>
      </c>
      <c r="F9116" t="s">
        <v>28198</v>
      </c>
      <c r="G9116" t="s">
        <v>28205</v>
      </c>
      <c r="H9116" t="s">
        <v>28214</v>
      </c>
      <c r="I9116" t="s">
        <v>3797</v>
      </c>
      <c r="J9116" t="s">
        <v>34040</v>
      </c>
      <c r="K9116" t="s">
        <v>36690</v>
      </c>
      <c r="M9116" t="s">
        <v>39803</v>
      </c>
      <c r="N9116" t="s">
        <v>40436</v>
      </c>
      <c r="O9116" t="s">
        <v>40437</v>
      </c>
      <c r="P9116">
        <v>0</v>
      </c>
      <c r="Q9116">
        <v>0</v>
      </c>
      <c r="R9116" t="s">
        <v>40446</v>
      </c>
      <c r="S9116" t="s">
        <v>40783</v>
      </c>
      <c r="T9116" t="s">
        <v>42438</v>
      </c>
      <c r="U9116" t="s">
        <v>50254</v>
      </c>
      <c r="V9116" t="s">
        <v>54753</v>
      </c>
      <c r="W9116" t="s">
        <v>39803</v>
      </c>
      <c r="X9116" t="s">
        <v>40447</v>
      </c>
    </row>
    <row r="9117" spans="1:24">
      <c r="A9117">
        <f>HYPERLINK("https://www.philgeps.gov.ph/GEPSNONPILOT/Tender/SplashBidNoticeAbstractUI.aspx?menuIndex=3&amp;refID=7034110&amp;Result=3","7034110")</f>
        <v>0</v>
      </c>
      <c r="B9117" t="s">
        <v>1213</v>
      </c>
      <c r="C9117" t="s">
        <v>11773</v>
      </c>
      <c r="D9117" t="s">
        <v>16203</v>
      </c>
      <c r="E9117" t="s">
        <v>16660</v>
      </c>
      <c r="F9117" t="s">
        <v>28198</v>
      </c>
      <c r="G9117" t="s">
        <v>28205</v>
      </c>
      <c r="H9117" t="s">
        <v>28214</v>
      </c>
      <c r="I9117" t="s">
        <v>3797</v>
      </c>
      <c r="J9117" t="s">
        <v>28559</v>
      </c>
      <c r="K9117" t="s">
        <v>36811</v>
      </c>
      <c r="M9117" t="s">
        <v>38258</v>
      </c>
      <c r="N9117" t="s">
        <v>40436</v>
      </c>
      <c r="O9117" t="s">
        <v>40437</v>
      </c>
      <c r="P9117">
        <v>0</v>
      </c>
      <c r="Q9117">
        <v>0</v>
      </c>
      <c r="R9117" t="s">
        <v>40446</v>
      </c>
      <c r="S9117" t="s">
        <v>40783</v>
      </c>
      <c r="T9117" t="s">
        <v>42346</v>
      </c>
      <c r="U9117" t="s">
        <v>50255</v>
      </c>
      <c r="W9117" t="s">
        <v>38258</v>
      </c>
      <c r="X9117" t="s">
        <v>40447</v>
      </c>
    </row>
    <row r="9118" spans="1:24">
      <c r="A9118">
        <f>HYPERLINK("https://www.philgeps.gov.ph/GEPSNONPILOT/Tender/SplashBidNoticeAbstractUI.aspx?menuIndex=3&amp;refID=7034096&amp;Result=3","7034096")</f>
        <v>0</v>
      </c>
      <c r="B9118" t="s">
        <v>1223</v>
      </c>
      <c r="C9118" t="s">
        <v>11774</v>
      </c>
      <c r="D9118" t="s">
        <v>16188</v>
      </c>
      <c r="E9118" t="s">
        <v>24247</v>
      </c>
      <c r="F9118" t="s">
        <v>28198</v>
      </c>
      <c r="G9118" t="s">
        <v>28206</v>
      </c>
      <c r="H9118" t="s">
        <v>28215</v>
      </c>
      <c r="I9118" t="s">
        <v>4505</v>
      </c>
      <c r="J9118" t="s">
        <v>34041</v>
      </c>
      <c r="K9118" t="s">
        <v>36701</v>
      </c>
      <c r="M9118" t="s">
        <v>38269</v>
      </c>
      <c r="N9118" t="s">
        <v>40436</v>
      </c>
      <c r="O9118" t="s">
        <v>40437</v>
      </c>
      <c r="Q9118">
        <v>6</v>
      </c>
      <c r="R9118" t="s">
        <v>40446</v>
      </c>
      <c r="S9118" t="s">
        <v>40648</v>
      </c>
      <c r="T9118" t="s">
        <v>42185</v>
      </c>
      <c r="U9118" t="s">
        <v>45350</v>
      </c>
      <c r="W9118" t="s">
        <v>38269</v>
      </c>
      <c r="X9118" t="s">
        <v>40447</v>
      </c>
    </row>
    <row r="9119" spans="1:24">
      <c r="A9119">
        <f>HYPERLINK("https://www.philgeps.gov.ph/GEPSNONPILOT/Tender/SplashBidNoticeAbstractUI.aspx?menuIndex=3&amp;refID=7034132&amp;Result=3","7034132")</f>
        <v>0</v>
      </c>
      <c r="B9119" t="s">
        <v>2572</v>
      </c>
      <c r="C9119" t="s">
        <v>11775</v>
      </c>
      <c r="D9119" t="s">
        <v>16244</v>
      </c>
      <c r="E9119" t="s">
        <v>24248</v>
      </c>
      <c r="F9119" t="s">
        <v>28198</v>
      </c>
      <c r="G9119" t="s">
        <v>28205</v>
      </c>
      <c r="H9119" t="s">
        <v>28215</v>
      </c>
      <c r="I9119" t="s">
        <v>28222</v>
      </c>
      <c r="J9119" t="s">
        <v>28818</v>
      </c>
      <c r="K9119" t="s">
        <v>36701</v>
      </c>
      <c r="M9119" t="s">
        <v>39786</v>
      </c>
      <c r="N9119" t="s">
        <v>40436</v>
      </c>
      <c r="O9119" t="s">
        <v>40437</v>
      </c>
      <c r="P9119">
        <v>0</v>
      </c>
      <c r="Q9119">
        <v>5</v>
      </c>
      <c r="R9119" t="s">
        <v>40446</v>
      </c>
      <c r="S9119" t="s">
        <v>40783</v>
      </c>
      <c r="T9119" t="s">
        <v>42529</v>
      </c>
      <c r="U9119" t="s">
        <v>50256</v>
      </c>
      <c r="W9119" t="s">
        <v>39786</v>
      </c>
      <c r="X9119" t="s">
        <v>40447</v>
      </c>
    </row>
    <row r="9120" spans="1:24">
      <c r="A9120">
        <f>HYPERLINK("https://www.philgeps.gov.ph/GEPSNONPILOT/Tender/SplashBidNoticeAbstractUI.aspx?menuIndex=3&amp;refID=7034098&amp;Result=3","7034098")</f>
        <v>0</v>
      </c>
      <c r="B9120" t="s">
        <v>2604</v>
      </c>
      <c r="C9120" t="s">
        <v>11776</v>
      </c>
      <c r="D9120" t="s">
        <v>16220</v>
      </c>
      <c r="E9120" t="s">
        <v>24249</v>
      </c>
      <c r="F9120" t="s">
        <v>28198</v>
      </c>
      <c r="G9120" t="s">
        <v>28205</v>
      </c>
      <c r="H9120" t="s">
        <v>28215</v>
      </c>
      <c r="I9120" t="s">
        <v>5100</v>
      </c>
      <c r="J9120" t="s">
        <v>34042</v>
      </c>
      <c r="K9120" t="s">
        <v>36701</v>
      </c>
      <c r="L9120" t="s">
        <v>2604</v>
      </c>
      <c r="M9120" t="s">
        <v>39822</v>
      </c>
      <c r="N9120" t="s">
        <v>40436</v>
      </c>
      <c r="O9120" t="s">
        <v>40437</v>
      </c>
      <c r="P9120">
        <v>0</v>
      </c>
      <c r="Q9120">
        <v>1</v>
      </c>
      <c r="R9120" t="s">
        <v>40446</v>
      </c>
      <c r="S9120" t="s">
        <v>40783</v>
      </c>
      <c r="T9120" t="s">
        <v>42100</v>
      </c>
      <c r="U9120" t="s">
        <v>50257</v>
      </c>
      <c r="V9120" t="s">
        <v>54759</v>
      </c>
      <c r="W9120" t="s">
        <v>39822</v>
      </c>
      <c r="X9120" t="s">
        <v>40447</v>
      </c>
    </row>
    <row r="9121" spans="1:24">
      <c r="A9121">
        <f>HYPERLINK("https://www.philgeps.gov.ph/GEPSNONPILOT/Tender/SplashBidNoticeAbstractUI.aspx?menuIndex=3&amp;refID=7034102&amp;Result=3","7034102")</f>
        <v>0</v>
      </c>
      <c r="B9121" t="s">
        <v>44</v>
      </c>
      <c r="C9121" t="s">
        <v>11777</v>
      </c>
      <c r="D9121" t="s">
        <v>16200</v>
      </c>
      <c r="E9121" t="s">
        <v>24250</v>
      </c>
      <c r="F9121" t="s">
        <v>28198</v>
      </c>
      <c r="G9121" t="s">
        <v>28205</v>
      </c>
      <c r="H9121" t="s">
        <v>28214</v>
      </c>
      <c r="I9121" t="s">
        <v>3797</v>
      </c>
      <c r="J9121" t="s">
        <v>34043</v>
      </c>
      <c r="K9121" t="s">
        <v>36697</v>
      </c>
      <c r="M9121" t="s">
        <v>37014</v>
      </c>
      <c r="N9121" t="s">
        <v>40436</v>
      </c>
      <c r="O9121" t="s">
        <v>40437</v>
      </c>
      <c r="P9121">
        <v>0</v>
      </c>
      <c r="Q9121">
        <v>1</v>
      </c>
      <c r="R9121" t="s">
        <v>40446</v>
      </c>
      <c r="S9121" t="s">
        <v>40783</v>
      </c>
      <c r="T9121" t="s">
        <v>42233</v>
      </c>
      <c r="U9121" t="s">
        <v>42665</v>
      </c>
      <c r="W9121" t="s">
        <v>37014</v>
      </c>
      <c r="X9121" t="s">
        <v>40447</v>
      </c>
    </row>
    <row r="9122" spans="1:24">
      <c r="A9122">
        <f>HYPERLINK("https://www.philgeps.gov.ph/GEPSNONPILOT/Tender/SplashBidNoticeAbstractUI.aspx?menuIndex=3&amp;refID=7034094&amp;Result=3","7034094")</f>
        <v>0</v>
      </c>
      <c r="B9122" t="s">
        <v>1460</v>
      </c>
      <c r="C9122" t="s">
        <v>11778</v>
      </c>
      <c r="D9122" t="s">
        <v>16230</v>
      </c>
      <c r="E9122" t="s">
        <v>24251</v>
      </c>
      <c r="F9122" t="s">
        <v>28198</v>
      </c>
      <c r="G9122" t="s">
        <v>28205</v>
      </c>
      <c r="H9122" t="s">
        <v>28214</v>
      </c>
      <c r="I9122" t="s">
        <v>3797</v>
      </c>
      <c r="J9122" t="s">
        <v>29566</v>
      </c>
      <c r="K9122" t="s">
        <v>36697</v>
      </c>
      <c r="M9122" t="s">
        <v>38528</v>
      </c>
      <c r="N9122" t="s">
        <v>40436</v>
      </c>
      <c r="O9122" t="s">
        <v>40437</v>
      </c>
      <c r="P9122">
        <v>0</v>
      </c>
      <c r="Q9122">
        <v>0</v>
      </c>
      <c r="R9122" t="s">
        <v>40446</v>
      </c>
      <c r="S9122" t="s">
        <v>40783</v>
      </c>
      <c r="T9122" t="s">
        <v>42279</v>
      </c>
      <c r="U9122" t="s">
        <v>48840</v>
      </c>
      <c r="W9122" t="s">
        <v>38528</v>
      </c>
      <c r="X9122" t="s">
        <v>40447</v>
      </c>
    </row>
    <row r="9123" spans="1:24">
      <c r="A9123">
        <f>HYPERLINK("https://www.philgeps.gov.ph/GEPSNONPILOT/Tender/SplashBidNoticeAbstractUI.aspx?menuIndex=3&amp;refID=7034101&amp;Result=3","7034101")</f>
        <v>0</v>
      </c>
      <c r="B9123" t="s">
        <v>202</v>
      </c>
      <c r="C9123" t="s">
        <v>11779</v>
      </c>
      <c r="E9123" t="s">
        <v>24252</v>
      </c>
      <c r="F9123" t="s">
        <v>28198</v>
      </c>
      <c r="G9123" t="s">
        <v>28205</v>
      </c>
      <c r="H9123" t="s">
        <v>28215</v>
      </c>
      <c r="I9123" t="s">
        <v>28258</v>
      </c>
      <c r="J9123" t="s">
        <v>34044</v>
      </c>
      <c r="K9123" t="s">
        <v>36694</v>
      </c>
      <c r="M9123" t="s">
        <v>37516</v>
      </c>
      <c r="N9123" t="s">
        <v>40436</v>
      </c>
      <c r="O9123" t="s">
        <v>40437</v>
      </c>
      <c r="Q9123">
        <v>13</v>
      </c>
      <c r="R9123" t="s">
        <v>40446</v>
      </c>
      <c r="S9123" t="s">
        <v>40665</v>
      </c>
      <c r="T9123" t="s">
        <v>42240</v>
      </c>
      <c r="U9123" t="s">
        <v>43546</v>
      </c>
      <c r="V9123" t="s">
        <v>54420</v>
      </c>
      <c r="W9123" t="s">
        <v>37516</v>
      </c>
      <c r="X9123" t="s">
        <v>40447</v>
      </c>
    </row>
    <row r="9124" spans="1:24">
      <c r="A9124">
        <f>HYPERLINK("https://www.philgeps.gov.ph/GEPSNONPILOT/Tender/SplashBidNoticeAbstractUI.aspx?menuIndex=3&amp;refID=7034137&amp;Result=3","7034137")</f>
        <v>0</v>
      </c>
      <c r="B9124" t="s">
        <v>2599</v>
      </c>
      <c r="C9124" t="s">
        <v>11780</v>
      </c>
      <c r="D9124" t="s">
        <v>16195</v>
      </c>
      <c r="E9124" t="s">
        <v>24253</v>
      </c>
      <c r="F9124" t="s">
        <v>28198</v>
      </c>
      <c r="G9124" t="s">
        <v>28206</v>
      </c>
      <c r="H9124" t="s">
        <v>28215</v>
      </c>
      <c r="I9124" t="s">
        <v>5100</v>
      </c>
      <c r="J9124" t="s">
        <v>34027</v>
      </c>
      <c r="K9124" t="s">
        <v>36688</v>
      </c>
      <c r="M9124" t="s">
        <v>39815</v>
      </c>
      <c r="N9124" t="s">
        <v>40436</v>
      </c>
      <c r="O9124" t="s">
        <v>40437</v>
      </c>
      <c r="P9124">
        <v>0</v>
      </c>
      <c r="Q9124">
        <v>0</v>
      </c>
      <c r="R9124" t="s">
        <v>40446</v>
      </c>
      <c r="S9124" t="s">
        <v>40783</v>
      </c>
      <c r="T9124" t="s">
        <v>42185</v>
      </c>
      <c r="U9124" t="s">
        <v>50242</v>
      </c>
      <c r="W9124" t="s">
        <v>39815</v>
      </c>
      <c r="X9124" t="s">
        <v>40447</v>
      </c>
    </row>
    <row r="9125" spans="1:24">
      <c r="A9125">
        <f>HYPERLINK("https://www.philgeps.gov.ph/GEPSNONPILOT/Tender/SplashBidNoticeAbstractUI.aspx?menuIndex=3&amp;refID=7034084&amp;Result=3","7034084")</f>
        <v>0</v>
      </c>
      <c r="B9125" t="s">
        <v>2605</v>
      </c>
      <c r="C9125" t="s">
        <v>11781</v>
      </c>
      <c r="D9125" t="s">
        <v>16188</v>
      </c>
      <c r="E9125" t="s">
        <v>16473</v>
      </c>
      <c r="F9125" t="s">
        <v>28198</v>
      </c>
      <c r="G9125" t="s">
        <v>28206</v>
      </c>
      <c r="H9125" t="s">
        <v>28215</v>
      </c>
      <c r="I9125" t="s">
        <v>28222</v>
      </c>
      <c r="J9125" t="s">
        <v>34045</v>
      </c>
      <c r="K9125" t="s">
        <v>36707</v>
      </c>
      <c r="M9125" t="s">
        <v>39823</v>
      </c>
      <c r="N9125" t="s">
        <v>40436</v>
      </c>
      <c r="O9125" t="s">
        <v>40437</v>
      </c>
      <c r="P9125">
        <v>0</v>
      </c>
      <c r="Q9125">
        <v>0</v>
      </c>
      <c r="R9125" t="s">
        <v>40446</v>
      </c>
      <c r="S9125" t="s">
        <v>40783</v>
      </c>
      <c r="T9125" t="s">
        <v>42216</v>
      </c>
      <c r="U9125" t="s">
        <v>50258</v>
      </c>
      <c r="W9125" t="s">
        <v>39823</v>
      </c>
      <c r="X9125" t="s">
        <v>40447</v>
      </c>
    </row>
    <row r="9126" spans="1:24">
      <c r="A9126">
        <f>HYPERLINK("https://www.philgeps.gov.ph/GEPSNONPILOT/Tender/SplashBidNoticeAbstractUI.aspx?menuIndex=3&amp;refID=7034169&amp;Result=3","7034169")</f>
        <v>0</v>
      </c>
      <c r="B9126" t="s">
        <v>1223</v>
      </c>
      <c r="C9126" t="s">
        <v>11782</v>
      </c>
      <c r="D9126" t="s">
        <v>16188</v>
      </c>
      <c r="E9126" t="s">
        <v>24254</v>
      </c>
      <c r="F9126" t="s">
        <v>28198</v>
      </c>
      <c r="G9126" t="s">
        <v>28206</v>
      </c>
      <c r="H9126" t="s">
        <v>28215</v>
      </c>
      <c r="I9126" t="s">
        <v>4505</v>
      </c>
      <c r="J9126" t="s">
        <v>30559</v>
      </c>
      <c r="K9126" t="s">
        <v>36701</v>
      </c>
      <c r="M9126" t="s">
        <v>38269</v>
      </c>
      <c r="N9126" t="s">
        <v>40436</v>
      </c>
      <c r="O9126" t="s">
        <v>40437</v>
      </c>
      <c r="Q9126">
        <v>5</v>
      </c>
      <c r="R9126" t="s">
        <v>40446</v>
      </c>
      <c r="S9126" t="s">
        <v>40827</v>
      </c>
      <c r="T9126" t="s">
        <v>42185</v>
      </c>
      <c r="U9126" t="s">
        <v>45350</v>
      </c>
      <c r="W9126" t="s">
        <v>38269</v>
      </c>
      <c r="X9126" t="s">
        <v>40447</v>
      </c>
    </row>
    <row r="9127" spans="1:24">
      <c r="A9127">
        <f>HYPERLINK("https://www.philgeps.gov.ph/GEPSNONPILOT/Tender/SplashBidNoticeAbstractUI.aspx?menuIndex=3&amp;refID=7034168&amp;Result=3","7034168")</f>
        <v>0</v>
      </c>
      <c r="B9127" t="s">
        <v>2606</v>
      </c>
      <c r="C9127" t="s">
        <v>11783</v>
      </c>
      <c r="D9127" t="s">
        <v>16252</v>
      </c>
      <c r="E9127" t="s">
        <v>24255</v>
      </c>
      <c r="F9127" t="s">
        <v>28198</v>
      </c>
      <c r="G9127" t="s">
        <v>28205</v>
      </c>
      <c r="H9127" t="s">
        <v>28214</v>
      </c>
      <c r="I9127" t="s">
        <v>3797</v>
      </c>
      <c r="J9127" t="s">
        <v>28345</v>
      </c>
      <c r="K9127" t="s">
        <v>36707</v>
      </c>
      <c r="M9127" t="s">
        <v>39824</v>
      </c>
      <c r="N9127" t="s">
        <v>40436</v>
      </c>
      <c r="O9127" t="s">
        <v>40437</v>
      </c>
      <c r="Q9127">
        <v>0</v>
      </c>
      <c r="R9127" t="s">
        <v>40446</v>
      </c>
      <c r="S9127" t="s">
        <v>40590</v>
      </c>
      <c r="T9127" t="s">
        <v>42160</v>
      </c>
      <c r="U9127" t="s">
        <v>50259</v>
      </c>
      <c r="W9127" t="s">
        <v>39824</v>
      </c>
      <c r="X9127" t="s">
        <v>40447</v>
      </c>
    </row>
    <row r="9128" spans="1:24">
      <c r="A9128">
        <f>HYPERLINK("https://www.philgeps.gov.ph/GEPSNONPILOT/Tender/SplashBidNoticeAbstractUI.aspx?menuIndex=3&amp;refID=7034156&amp;Result=3","7034156")</f>
        <v>0</v>
      </c>
      <c r="B9128" t="s">
        <v>2607</v>
      </c>
      <c r="C9128" t="s">
        <v>11784</v>
      </c>
      <c r="D9128" t="s">
        <v>16208</v>
      </c>
      <c r="E9128" t="s">
        <v>24256</v>
      </c>
      <c r="F9128" t="s">
        <v>28198</v>
      </c>
      <c r="G9128" t="s">
        <v>28205</v>
      </c>
      <c r="H9128" t="s">
        <v>28215</v>
      </c>
      <c r="I9128" t="s">
        <v>28258</v>
      </c>
      <c r="J9128" t="s">
        <v>29316</v>
      </c>
      <c r="K9128" t="s">
        <v>36697</v>
      </c>
      <c r="M9128" t="s">
        <v>39825</v>
      </c>
      <c r="N9128" t="s">
        <v>40436</v>
      </c>
      <c r="O9128" t="s">
        <v>40437</v>
      </c>
      <c r="Q9128">
        <v>8</v>
      </c>
      <c r="R9128" t="s">
        <v>40446</v>
      </c>
      <c r="S9128" t="s">
        <v>40828</v>
      </c>
      <c r="T9128" t="s">
        <v>42346</v>
      </c>
      <c r="U9128" t="s">
        <v>50260</v>
      </c>
      <c r="V9128" t="s">
        <v>54760</v>
      </c>
      <c r="W9128" t="s">
        <v>39825</v>
      </c>
      <c r="X9128" t="s">
        <v>40447</v>
      </c>
    </row>
    <row r="9129" spans="1:24">
      <c r="A9129">
        <f>HYPERLINK("https://www.philgeps.gov.ph/GEPSNONPILOT/Tender/SplashBidNoticeAbstractUI.aspx?menuIndex=3&amp;refID=7034178&amp;Result=3","7034178")</f>
        <v>0</v>
      </c>
      <c r="B9129" t="s">
        <v>840</v>
      </c>
      <c r="C9129" t="s">
        <v>11785</v>
      </c>
      <c r="E9129" t="s">
        <v>24257</v>
      </c>
      <c r="F9129" t="s">
        <v>28198</v>
      </c>
      <c r="G9129" t="s">
        <v>28207</v>
      </c>
      <c r="H9129" t="s">
        <v>28215</v>
      </c>
      <c r="I9129" t="s">
        <v>8888</v>
      </c>
      <c r="J9129" t="s">
        <v>34046</v>
      </c>
      <c r="K9129" t="s">
        <v>36689</v>
      </c>
      <c r="M9129" t="s">
        <v>39693</v>
      </c>
      <c r="N9129" t="s">
        <v>40436</v>
      </c>
      <c r="O9129" t="s">
        <v>40437</v>
      </c>
      <c r="P9129">
        <v>0</v>
      </c>
      <c r="Q9129">
        <v>4</v>
      </c>
      <c r="R9129" t="s">
        <v>40446</v>
      </c>
      <c r="S9129" t="s">
        <v>40783</v>
      </c>
      <c r="T9129" t="s">
        <v>42385</v>
      </c>
      <c r="U9129" t="s">
        <v>44235</v>
      </c>
      <c r="W9129" t="s">
        <v>39693</v>
      </c>
      <c r="X9129" t="s">
        <v>40447</v>
      </c>
    </row>
    <row r="9130" spans="1:24">
      <c r="A9130">
        <f>HYPERLINK("https://www.philgeps.gov.ph/GEPSNONPILOT/Tender/SplashBidNoticeAbstractUI.aspx?menuIndex=3&amp;refID=7034150&amp;Result=3","7034150")</f>
        <v>0</v>
      </c>
      <c r="B9130" t="s">
        <v>2599</v>
      </c>
      <c r="C9130" t="s">
        <v>11786</v>
      </c>
      <c r="D9130" t="s">
        <v>16195</v>
      </c>
      <c r="E9130" t="s">
        <v>24258</v>
      </c>
      <c r="F9130" t="s">
        <v>28198</v>
      </c>
      <c r="G9130" t="s">
        <v>28206</v>
      </c>
      <c r="H9130" t="s">
        <v>28215</v>
      </c>
      <c r="I9130" t="s">
        <v>5100</v>
      </c>
      <c r="J9130" t="s">
        <v>34027</v>
      </c>
      <c r="K9130" t="s">
        <v>36688</v>
      </c>
      <c r="M9130" t="s">
        <v>39815</v>
      </c>
      <c r="N9130" t="s">
        <v>40436</v>
      </c>
      <c r="O9130" t="s">
        <v>40437</v>
      </c>
      <c r="P9130">
        <v>0</v>
      </c>
      <c r="Q9130">
        <v>0</v>
      </c>
      <c r="R9130" t="s">
        <v>40446</v>
      </c>
      <c r="S9130" t="s">
        <v>40783</v>
      </c>
      <c r="T9130" t="s">
        <v>42185</v>
      </c>
      <c r="U9130" t="s">
        <v>50242</v>
      </c>
      <c r="W9130" t="s">
        <v>39815</v>
      </c>
      <c r="X9130" t="s">
        <v>40447</v>
      </c>
    </row>
    <row r="9131" spans="1:24">
      <c r="A9131">
        <f>HYPERLINK("https://www.philgeps.gov.ph/GEPSNONPILOT/Tender/SplashBidNoticeAbstractUI.aspx?menuIndex=3&amp;refID=7034182&amp;Result=3","7034182")</f>
        <v>0</v>
      </c>
      <c r="B9131" t="s">
        <v>2599</v>
      </c>
      <c r="C9131" t="s">
        <v>11787</v>
      </c>
      <c r="D9131" t="s">
        <v>16195</v>
      </c>
      <c r="E9131" t="s">
        <v>24259</v>
      </c>
      <c r="F9131" t="s">
        <v>28198</v>
      </c>
      <c r="G9131" t="s">
        <v>28206</v>
      </c>
      <c r="H9131" t="s">
        <v>28215</v>
      </c>
      <c r="I9131" t="s">
        <v>5100</v>
      </c>
      <c r="J9131" t="s">
        <v>34027</v>
      </c>
      <c r="K9131" t="s">
        <v>36688</v>
      </c>
      <c r="M9131" t="s">
        <v>39815</v>
      </c>
      <c r="N9131" t="s">
        <v>40436</v>
      </c>
      <c r="O9131" t="s">
        <v>40437</v>
      </c>
      <c r="P9131">
        <v>0</v>
      </c>
      <c r="Q9131">
        <v>0</v>
      </c>
      <c r="R9131" t="s">
        <v>40446</v>
      </c>
      <c r="S9131" t="s">
        <v>40783</v>
      </c>
      <c r="T9131" t="s">
        <v>42185</v>
      </c>
      <c r="U9131" t="s">
        <v>50242</v>
      </c>
      <c r="W9131" t="s">
        <v>39815</v>
      </c>
      <c r="X9131" t="s">
        <v>40447</v>
      </c>
    </row>
    <row r="9132" spans="1:24">
      <c r="A9132">
        <f>HYPERLINK("https://www.philgeps.gov.ph/GEPSNONPILOT/Tender/SplashBidNoticeAbstractUI.aspx?menuIndex=3&amp;refID=7034154&amp;Result=3","7034154")</f>
        <v>0</v>
      </c>
      <c r="B9132" t="s">
        <v>2603</v>
      </c>
      <c r="C9132" t="s">
        <v>11788</v>
      </c>
      <c r="D9132" t="s">
        <v>16194</v>
      </c>
      <c r="E9132" t="s">
        <v>24260</v>
      </c>
      <c r="F9132" t="s">
        <v>28198</v>
      </c>
      <c r="G9132" t="s">
        <v>28205</v>
      </c>
      <c r="H9132" t="s">
        <v>28214</v>
      </c>
      <c r="I9132" t="s">
        <v>3797</v>
      </c>
      <c r="J9132" t="s">
        <v>34047</v>
      </c>
      <c r="K9132" t="s">
        <v>36694</v>
      </c>
      <c r="M9132" t="s">
        <v>39821</v>
      </c>
      <c r="N9132" t="s">
        <v>40436</v>
      </c>
      <c r="O9132" t="s">
        <v>40437</v>
      </c>
      <c r="P9132">
        <v>0</v>
      </c>
      <c r="Q9132">
        <v>19</v>
      </c>
      <c r="R9132" t="s">
        <v>40446</v>
      </c>
      <c r="S9132" t="s">
        <v>40783</v>
      </c>
      <c r="T9132" t="s">
        <v>42234</v>
      </c>
      <c r="U9132" t="s">
        <v>50248</v>
      </c>
      <c r="W9132" t="s">
        <v>55521</v>
      </c>
      <c r="X9132" t="s">
        <v>40447</v>
      </c>
    </row>
    <row r="9133" spans="1:24">
      <c r="A9133">
        <f>HYPERLINK("https://www.philgeps.gov.ph/GEPSNONPILOT/Tender/SplashBidNoticeAbstractUI.aspx?menuIndex=3&amp;refID=7034142&amp;Result=3","7034142")</f>
        <v>0</v>
      </c>
      <c r="B9133" t="s">
        <v>1223</v>
      </c>
      <c r="C9133" t="s">
        <v>11789</v>
      </c>
      <c r="D9133" t="s">
        <v>16188</v>
      </c>
      <c r="E9133" t="s">
        <v>24261</v>
      </c>
      <c r="F9133" t="s">
        <v>28198</v>
      </c>
      <c r="G9133" t="s">
        <v>28206</v>
      </c>
      <c r="H9133" t="s">
        <v>28215</v>
      </c>
      <c r="I9133" t="s">
        <v>4505</v>
      </c>
      <c r="J9133" t="s">
        <v>34048</v>
      </c>
      <c r="K9133" t="s">
        <v>36701</v>
      </c>
      <c r="M9133" t="s">
        <v>38269</v>
      </c>
      <c r="N9133" t="s">
        <v>40436</v>
      </c>
      <c r="O9133" t="s">
        <v>40437</v>
      </c>
      <c r="Q9133">
        <v>6</v>
      </c>
      <c r="R9133" t="s">
        <v>40446</v>
      </c>
      <c r="S9133" t="s">
        <v>40829</v>
      </c>
      <c r="T9133" t="s">
        <v>42185</v>
      </c>
      <c r="U9133" t="s">
        <v>45350</v>
      </c>
      <c r="W9133" t="s">
        <v>38269</v>
      </c>
      <c r="X9133" t="s">
        <v>40447</v>
      </c>
    </row>
    <row r="9134" spans="1:24">
      <c r="A9134">
        <f>HYPERLINK("https://www.philgeps.gov.ph/GEPSNONPILOT/Tender/SplashBidNoticeAbstractUI.aspx?menuIndex=3&amp;refID=7034164&amp;Result=3","7034164")</f>
        <v>0</v>
      </c>
      <c r="B9134" t="s">
        <v>202</v>
      </c>
      <c r="C9134" t="s">
        <v>11790</v>
      </c>
      <c r="D9134" t="s">
        <v>16217</v>
      </c>
      <c r="E9134" t="s">
        <v>24262</v>
      </c>
      <c r="F9134" t="s">
        <v>28198</v>
      </c>
      <c r="G9134" t="s">
        <v>28205</v>
      </c>
      <c r="H9134" t="s">
        <v>28215</v>
      </c>
      <c r="I9134" t="s">
        <v>28247</v>
      </c>
      <c r="J9134" t="s">
        <v>34049</v>
      </c>
      <c r="K9134" t="s">
        <v>36694</v>
      </c>
      <c r="M9134" t="s">
        <v>37516</v>
      </c>
      <c r="N9134" t="s">
        <v>40436</v>
      </c>
      <c r="O9134" t="s">
        <v>40437</v>
      </c>
      <c r="Q9134">
        <v>31</v>
      </c>
      <c r="R9134" t="s">
        <v>40446</v>
      </c>
      <c r="S9134" t="s">
        <v>40830</v>
      </c>
      <c r="T9134" t="s">
        <v>42240</v>
      </c>
      <c r="U9134" t="s">
        <v>43546</v>
      </c>
      <c r="V9134" t="s">
        <v>54420</v>
      </c>
      <c r="W9134" t="s">
        <v>37516</v>
      </c>
      <c r="X9134" t="s">
        <v>40447</v>
      </c>
    </row>
    <row r="9135" spans="1:24">
      <c r="A9135">
        <f>HYPERLINK("https://www.philgeps.gov.ph/GEPSNONPILOT/Tender/SplashBidNoticeAbstractUI.aspx?menuIndex=3&amp;refID=7034146&amp;Result=3","7034146")</f>
        <v>0</v>
      </c>
      <c r="B9135" t="s">
        <v>743</v>
      </c>
      <c r="C9135" t="s">
        <v>11791</v>
      </c>
      <c r="D9135" t="s">
        <v>16194</v>
      </c>
      <c r="E9135" t="s">
        <v>24263</v>
      </c>
      <c r="F9135" t="s">
        <v>28198</v>
      </c>
      <c r="G9135" t="s">
        <v>28206</v>
      </c>
      <c r="H9135" t="s">
        <v>28215</v>
      </c>
      <c r="I9135" t="s">
        <v>28257</v>
      </c>
      <c r="J9135" t="s">
        <v>34050</v>
      </c>
      <c r="K9135" t="s">
        <v>36688</v>
      </c>
      <c r="M9135" t="s">
        <v>37746</v>
      </c>
      <c r="N9135" t="s">
        <v>40436</v>
      </c>
      <c r="O9135" t="s">
        <v>40437</v>
      </c>
      <c r="P9135">
        <v>0</v>
      </c>
      <c r="Q9135">
        <v>4</v>
      </c>
      <c r="R9135" t="s">
        <v>40446</v>
      </c>
      <c r="S9135" t="s">
        <v>40783</v>
      </c>
      <c r="T9135" t="s">
        <v>42218</v>
      </c>
      <c r="U9135" t="s">
        <v>50261</v>
      </c>
      <c r="W9135" t="s">
        <v>37746</v>
      </c>
      <c r="X9135" t="s">
        <v>40447</v>
      </c>
    </row>
    <row r="9136" spans="1:24">
      <c r="A9136">
        <f>HYPERLINK("https://www.philgeps.gov.ph/GEPSNONPILOT/Tender/SplashBidNoticeAbstractUI.aspx?menuIndex=3&amp;refID=7034183&amp;Result=3","7034183")</f>
        <v>0</v>
      </c>
      <c r="B9136" t="s">
        <v>574</v>
      </c>
      <c r="C9136" t="s">
        <v>11792</v>
      </c>
      <c r="D9136" t="s">
        <v>16210</v>
      </c>
      <c r="E9136" t="s">
        <v>24264</v>
      </c>
      <c r="F9136" t="s">
        <v>28198</v>
      </c>
      <c r="G9136" t="s">
        <v>28205</v>
      </c>
      <c r="H9136" t="s">
        <v>28215</v>
      </c>
      <c r="I9136" t="s">
        <v>5103</v>
      </c>
      <c r="J9136" t="s">
        <v>34051</v>
      </c>
      <c r="K9136" t="s">
        <v>36701</v>
      </c>
      <c r="M9136" t="s">
        <v>39766</v>
      </c>
      <c r="N9136" t="s">
        <v>40436</v>
      </c>
      <c r="O9136" t="s">
        <v>40437</v>
      </c>
      <c r="P9136">
        <v>0</v>
      </c>
      <c r="Q9136">
        <v>8</v>
      </c>
      <c r="R9136" t="s">
        <v>40446</v>
      </c>
      <c r="S9136" t="s">
        <v>40783</v>
      </c>
      <c r="T9136" t="s">
        <v>42187</v>
      </c>
      <c r="U9136" t="s">
        <v>50262</v>
      </c>
      <c r="W9136" t="s">
        <v>39766</v>
      </c>
      <c r="X9136" t="s">
        <v>40447</v>
      </c>
    </row>
    <row r="9137" spans="1:24">
      <c r="A9137">
        <f>HYPERLINK("https://www.philgeps.gov.ph/GEPSNONPILOT/Tender/SplashBidNoticeAbstractUI.aspx?menuIndex=3&amp;refID=7034221&amp;Result=3","7034221")</f>
        <v>0</v>
      </c>
      <c r="B9137" t="s">
        <v>1501</v>
      </c>
      <c r="C9137" t="s">
        <v>11793</v>
      </c>
      <c r="D9137" t="s">
        <v>16192</v>
      </c>
      <c r="E9137" t="s">
        <v>24265</v>
      </c>
      <c r="F9137" t="s">
        <v>28198</v>
      </c>
      <c r="G9137" t="s">
        <v>28207</v>
      </c>
      <c r="H9137" t="s">
        <v>28215</v>
      </c>
      <c r="I9137" t="s">
        <v>28298</v>
      </c>
      <c r="J9137" t="s">
        <v>28345</v>
      </c>
      <c r="K9137" t="s">
        <v>36689</v>
      </c>
      <c r="M9137" t="s">
        <v>38576</v>
      </c>
      <c r="N9137" t="s">
        <v>40436</v>
      </c>
      <c r="O9137" t="s">
        <v>40437</v>
      </c>
      <c r="P9137">
        <v>0</v>
      </c>
      <c r="Q9137">
        <v>2</v>
      </c>
      <c r="R9137" t="s">
        <v>40446</v>
      </c>
      <c r="S9137" t="s">
        <v>40783</v>
      </c>
      <c r="T9137" t="s">
        <v>42115</v>
      </c>
      <c r="U9137" t="s">
        <v>50263</v>
      </c>
      <c r="W9137" t="s">
        <v>38576</v>
      </c>
      <c r="X9137" t="s">
        <v>40447</v>
      </c>
    </row>
    <row r="9138" spans="1:24">
      <c r="A9138">
        <f>HYPERLINK("https://www.philgeps.gov.ph/GEPSNONPILOT/Tender/SplashBidNoticeAbstractUI.aspx?menuIndex=3&amp;refID=7034212&amp;Result=3","7034212")</f>
        <v>0</v>
      </c>
      <c r="B9138" t="s">
        <v>2599</v>
      </c>
      <c r="C9138" t="s">
        <v>11794</v>
      </c>
      <c r="D9138" t="s">
        <v>16195</v>
      </c>
      <c r="E9138" t="s">
        <v>24266</v>
      </c>
      <c r="F9138" t="s">
        <v>28198</v>
      </c>
      <c r="G9138" t="s">
        <v>28206</v>
      </c>
      <c r="H9138" t="s">
        <v>28215</v>
      </c>
      <c r="I9138" t="s">
        <v>5100</v>
      </c>
      <c r="J9138" t="s">
        <v>34027</v>
      </c>
      <c r="K9138" t="s">
        <v>36688</v>
      </c>
      <c r="M9138" t="s">
        <v>39815</v>
      </c>
      <c r="N9138" t="s">
        <v>40436</v>
      </c>
      <c r="O9138" t="s">
        <v>40437</v>
      </c>
      <c r="P9138">
        <v>0</v>
      </c>
      <c r="Q9138">
        <v>0</v>
      </c>
      <c r="R9138" t="s">
        <v>40446</v>
      </c>
      <c r="S9138" t="s">
        <v>40783</v>
      </c>
      <c r="T9138" t="s">
        <v>42185</v>
      </c>
      <c r="U9138" t="s">
        <v>50242</v>
      </c>
      <c r="W9138" t="s">
        <v>39815</v>
      </c>
      <c r="X9138" t="s">
        <v>40447</v>
      </c>
    </row>
    <row r="9139" spans="1:24">
      <c r="A9139">
        <f>HYPERLINK("https://www.philgeps.gov.ph/GEPSNONPILOT/Tender/SplashBidNoticeAbstractUI.aspx?menuIndex=3&amp;refID=7034193&amp;Result=3","7034193")</f>
        <v>0</v>
      </c>
      <c r="B9139" t="s">
        <v>1517</v>
      </c>
      <c r="C9139" t="s">
        <v>11795</v>
      </c>
      <c r="D9139" t="s">
        <v>16235</v>
      </c>
      <c r="E9139" t="s">
        <v>24267</v>
      </c>
      <c r="F9139" t="s">
        <v>28198</v>
      </c>
      <c r="G9139" t="s">
        <v>28205</v>
      </c>
      <c r="H9139" t="s">
        <v>28215</v>
      </c>
      <c r="I9139" t="s">
        <v>28225</v>
      </c>
      <c r="J9139" t="s">
        <v>34052</v>
      </c>
      <c r="K9139" t="s">
        <v>36689</v>
      </c>
      <c r="M9139" t="s">
        <v>39826</v>
      </c>
      <c r="N9139" t="s">
        <v>40436</v>
      </c>
      <c r="O9139" t="s">
        <v>40437</v>
      </c>
      <c r="P9139">
        <v>0</v>
      </c>
      <c r="Q9139">
        <v>5</v>
      </c>
      <c r="R9139" t="s">
        <v>40446</v>
      </c>
      <c r="S9139" t="s">
        <v>40783</v>
      </c>
      <c r="T9139" t="s">
        <v>42168</v>
      </c>
      <c r="U9139" t="s">
        <v>50264</v>
      </c>
      <c r="V9139" t="s">
        <v>54761</v>
      </c>
      <c r="W9139" t="s">
        <v>39826</v>
      </c>
      <c r="X9139" t="s">
        <v>40447</v>
      </c>
    </row>
    <row r="9140" spans="1:24">
      <c r="A9140">
        <f>HYPERLINK("https://www.philgeps.gov.ph/GEPSNONPILOT/Tender/SplashBidNoticeAbstractUI.aspx?menuIndex=3&amp;refID=7034191&amp;Result=3","7034191")</f>
        <v>0</v>
      </c>
      <c r="B9140" t="s">
        <v>2018</v>
      </c>
      <c r="C9140" t="s">
        <v>11796</v>
      </c>
      <c r="D9140" t="s">
        <v>16222</v>
      </c>
      <c r="E9140" t="s">
        <v>24268</v>
      </c>
      <c r="F9140" t="s">
        <v>28198</v>
      </c>
      <c r="G9140" t="s">
        <v>28205</v>
      </c>
      <c r="H9140" t="s">
        <v>28215</v>
      </c>
      <c r="I9140" t="s">
        <v>28222</v>
      </c>
      <c r="J9140" t="s">
        <v>32581</v>
      </c>
      <c r="K9140" t="s">
        <v>36701</v>
      </c>
      <c r="M9140" t="s">
        <v>39158</v>
      </c>
      <c r="N9140" t="s">
        <v>40436</v>
      </c>
      <c r="O9140" t="s">
        <v>40437</v>
      </c>
      <c r="P9140">
        <v>0</v>
      </c>
      <c r="Q9140">
        <v>1</v>
      </c>
      <c r="R9140" t="s">
        <v>40446</v>
      </c>
      <c r="S9140" t="s">
        <v>40783</v>
      </c>
      <c r="T9140" t="s">
        <v>42536</v>
      </c>
      <c r="U9140" t="s">
        <v>50265</v>
      </c>
      <c r="W9140" t="s">
        <v>39158</v>
      </c>
      <c r="X9140" t="s">
        <v>40447</v>
      </c>
    </row>
    <row r="9141" spans="1:24">
      <c r="A9141">
        <f>HYPERLINK("https://www.philgeps.gov.ph/GEPSNONPILOT/Tender/SplashBidNoticeAbstractUI.aspx?menuIndex=3&amp;refID=7034201&amp;Result=3","7034201")</f>
        <v>0</v>
      </c>
      <c r="B9141" t="s">
        <v>2608</v>
      </c>
      <c r="C9141" t="s">
        <v>11797</v>
      </c>
      <c r="D9141" t="s">
        <v>16249</v>
      </c>
      <c r="E9141" t="s">
        <v>24269</v>
      </c>
      <c r="F9141" t="s">
        <v>28198</v>
      </c>
      <c r="G9141" t="s">
        <v>28205</v>
      </c>
      <c r="H9141" t="s">
        <v>28214</v>
      </c>
      <c r="I9141" t="s">
        <v>3797</v>
      </c>
      <c r="J9141" t="s">
        <v>29632</v>
      </c>
      <c r="K9141" t="s">
        <v>36724</v>
      </c>
      <c r="L9141" t="s">
        <v>2608</v>
      </c>
      <c r="M9141" t="s">
        <v>39827</v>
      </c>
      <c r="N9141" t="s">
        <v>40436</v>
      </c>
      <c r="O9141" t="s">
        <v>40437</v>
      </c>
      <c r="P9141">
        <v>0</v>
      </c>
      <c r="Q9141">
        <v>10</v>
      </c>
      <c r="R9141" t="s">
        <v>40446</v>
      </c>
      <c r="S9141" t="s">
        <v>40783</v>
      </c>
      <c r="T9141" t="s">
        <v>42390</v>
      </c>
      <c r="U9141" t="s">
        <v>50266</v>
      </c>
      <c r="W9141" t="s">
        <v>39827</v>
      </c>
      <c r="X9141" t="s">
        <v>40447</v>
      </c>
    </row>
    <row r="9142" spans="1:24">
      <c r="A9142">
        <f>HYPERLINK("https://www.philgeps.gov.ph/GEPSNONPILOT/Tender/SplashBidNoticeAbstractUI.aspx?menuIndex=3&amp;refID=7034186&amp;Result=3","7034186")</f>
        <v>0</v>
      </c>
      <c r="B9142" t="s">
        <v>1223</v>
      </c>
      <c r="C9142" t="s">
        <v>11798</v>
      </c>
      <c r="D9142" t="s">
        <v>16188</v>
      </c>
      <c r="E9142" t="s">
        <v>24270</v>
      </c>
      <c r="F9142" t="s">
        <v>28198</v>
      </c>
      <c r="G9142" t="s">
        <v>28206</v>
      </c>
      <c r="H9142" t="s">
        <v>28215</v>
      </c>
      <c r="I9142" t="s">
        <v>4505</v>
      </c>
      <c r="J9142" t="s">
        <v>30233</v>
      </c>
      <c r="K9142" t="s">
        <v>36701</v>
      </c>
      <c r="M9142" t="s">
        <v>38269</v>
      </c>
      <c r="N9142" t="s">
        <v>40436</v>
      </c>
      <c r="O9142" t="s">
        <v>40437</v>
      </c>
      <c r="Q9142">
        <v>6</v>
      </c>
      <c r="R9142" t="s">
        <v>40446</v>
      </c>
      <c r="S9142" t="s">
        <v>40831</v>
      </c>
      <c r="T9142" t="s">
        <v>42185</v>
      </c>
      <c r="U9142" t="s">
        <v>45350</v>
      </c>
      <c r="W9142" t="s">
        <v>38269</v>
      </c>
      <c r="X9142" t="s">
        <v>40447</v>
      </c>
    </row>
    <row r="9143" spans="1:24">
      <c r="A9143">
        <f>HYPERLINK("https://www.philgeps.gov.ph/GEPSNONPILOT/Tender/SplashBidNoticeAbstractUI.aspx?menuIndex=3&amp;refID=7034238&amp;Result=3","7034238")</f>
        <v>0</v>
      </c>
      <c r="B9143" t="s">
        <v>1108</v>
      </c>
      <c r="C9143" t="s">
        <v>11799</v>
      </c>
      <c r="D9143" t="s">
        <v>16193</v>
      </c>
      <c r="E9143" t="s">
        <v>24271</v>
      </c>
      <c r="F9143" t="s">
        <v>28198</v>
      </c>
      <c r="G9143" t="s">
        <v>28205</v>
      </c>
      <c r="H9143" t="s">
        <v>28215</v>
      </c>
      <c r="I9143" t="s">
        <v>5100</v>
      </c>
      <c r="J9143" t="s">
        <v>34053</v>
      </c>
      <c r="K9143" t="s">
        <v>36707</v>
      </c>
      <c r="M9143" t="s">
        <v>38144</v>
      </c>
      <c r="N9143" t="s">
        <v>40436</v>
      </c>
      <c r="O9143" t="s">
        <v>40437</v>
      </c>
      <c r="P9143">
        <v>0</v>
      </c>
      <c r="Q9143">
        <v>0</v>
      </c>
      <c r="R9143" t="s">
        <v>40446</v>
      </c>
      <c r="S9143" t="s">
        <v>40783</v>
      </c>
      <c r="T9143" t="s">
        <v>42129</v>
      </c>
      <c r="U9143" t="s">
        <v>50267</v>
      </c>
      <c r="W9143" t="s">
        <v>38144</v>
      </c>
      <c r="X9143" t="s">
        <v>40447</v>
      </c>
    </row>
    <row r="9144" spans="1:24">
      <c r="A9144">
        <f>HYPERLINK("https://www.philgeps.gov.ph/GEPSNONPILOT/Tender/SplashBidNoticeAbstractUI.aspx?menuIndex=3&amp;refID=7034234&amp;Result=3","7034234")</f>
        <v>0</v>
      </c>
      <c r="B9144" t="s">
        <v>2069</v>
      </c>
      <c r="C9144" t="s">
        <v>11800</v>
      </c>
      <c r="D9144" t="s">
        <v>16197</v>
      </c>
      <c r="E9144" t="s">
        <v>24272</v>
      </c>
      <c r="F9144" t="s">
        <v>28198</v>
      </c>
      <c r="G9144" t="s">
        <v>28205</v>
      </c>
      <c r="H9144" t="s">
        <v>28215</v>
      </c>
      <c r="I9144" t="s">
        <v>28249</v>
      </c>
      <c r="J9144" t="s">
        <v>28468</v>
      </c>
      <c r="K9144" t="s">
        <v>36707</v>
      </c>
      <c r="M9144" t="s">
        <v>39218</v>
      </c>
      <c r="N9144" t="s">
        <v>40436</v>
      </c>
      <c r="O9144" t="s">
        <v>40437</v>
      </c>
      <c r="P9144">
        <v>0</v>
      </c>
      <c r="Q9144">
        <v>2</v>
      </c>
      <c r="R9144" t="s">
        <v>40446</v>
      </c>
      <c r="S9144" t="s">
        <v>40783</v>
      </c>
      <c r="T9144" t="s">
        <v>42390</v>
      </c>
      <c r="U9144" t="s">
        <v>50268</v>
      </c>
      <c r="V9144" t="s">
        <v>54762</v>
      </c>
      <c r="W9144" t="s">
        <v>39218</v>
      </c>
      <c r="X9144" t="s">
        <v>40447</v>
      </c>
    </row>
    <row r="9145" spans="1:24">
      <c r="A9145">
        <f>HYPERLINK("https://www.philgeps.gov.ph/GEPSNONPILOT/Tender/SplashBidNoticeAbstractUI.aspx?menuIndex=3&amp;refID=7034194&amp;Result=3","7034194")</f>
        <v>0</v>
      </c>
      <c r="B9145" t="s">
        <v>202</v>
      </c>
      <c r="C9145" t="s">
        <v>11801</v>
      </c>
      <c r="D9145" t="s">
        <v>16217</v>
      </c>
      <c r="E9145" t="s">
        <v>24273</v>
      </c>
      <c r="F9145" t="s">
        <v>28198</v>
      </c>
      <c r="G9145" t="s">
        <v>28205</v>
      </c>
      <c r="H9145" t="s">
        <v>28215</v>
      </c>
      <c r="I9145" t="s">
        <v>28234</v>
      </c>
      <c r="J9145" t="s">
        <v>28699</v>
      </c>
      <c r="K9145" t="s">
        <v>36701</v>
      </c>
      <c r="M9145" t="s">
        <v>37516</v>
      </c>
      <c r="N9145" t="s">
        <v>40436</v>
      </c>
      <c r="O9145" t="s">
        <v>40437</v>
      </c>
      <c r="Q9145">
        <v>6</v>
      </c>
      <c r="R9145" t="s">
        <v>40446</v>
      </c>
      <c r="S9145" t="s">
        <v>40832</v>
      </c>
      <c r="T9145" t="s">
        <v>42240</v>
      </c>
      <c r="U9145" t="s">
        <v>50269</v>
      </c>
      <c r="V9145" t="s">
        <v>54757</v>
      </c>
      <c r="W9145" t="s">
        <v>37516</v>
      </c>
      <c r="X9145" t="s">
        <v>40447</v>
      </c>
    </row>
    <row r="9146" spans="1:24">
      <c r="A9146">
        <f>HYPERLINK("https://www.philgeps.gov.ph/GEPSNONPILOT/Tender/SplashBidNoticeAbstractUI.aspx?menuIndex=3&amp;refID=7034326&amp;Result=3","7034326")</f>
        <v>0</v>
      </c>
      <c r="B9146" t="s">
        <v>2609</v>
      </c>
      <c r="C9146" t="s">
        <v>11802</v>
      </c>
      <c r="D9146" t="s">
        <v>16210</v>
      </c>
      <c r="E9146" t="s">
        <v>16766</v>
      </c>
      <c r="F9146" t="s">
        <v>28200</v>
      </c>
      <c r="G9146" t="s">
        <v>28205</v>
      </c>
      <c r="H9146" t="s">
        <v>28215</v>
      </c>
      <c r="I9146" t="s">
        <v>5071</v>
      </c>
      <c r="J9146" t="s">
        <v>34054</v>
      </c>
      <c r="K9146" t="s">
        <v>36688</v>
      </c>
      <c r="M9146" t="s">
        <v>39828</v>
      </c>
      <c r="N9146" t="s">
        <v>40436</v>
      </c>
      <c r="O9146" t="s">
        <v>40437</v>
      </c>
      <c r="P9146">
        <v>0</v>
      </c>
      <c r="Q9146">
        <v>8</v>
      </c>
      <c r="R9146" t="s">
        <v>40446</v>
      </c>
      <c r="S9146" t="s">
        <v>40783</v>
      </c>
      <c r="T9146" t="s">
        <v>42134</v>
      </c>
      <c r="U9146" t="s">
        <v>50270</v>
      </c>
      <c r="W9146" t="s">
        <v>39828</v>
      </c>
      <c r="X9146" t="s">
        <v>40447</v>
      </c>
    </row>
    <row r="9147" spans="1:24">
      <c r="A9147">
        <f>HYPERLINK("https://www.philgeps.gov.ph/GEPSNONPILOT/Tender/SplashBidNoticeAbstractUI.aspx?menuIndex=3&amp;refID=7034279&amp;Result=3","7034279")</f>
        <v>0</v>
      </c>
      <c r="B9147" t="s">
        <v>1210</v>
      </c>
      <c r="C9147" t="s">
        <v>11803</v>
      </c>
      <c r="D9147" t="s">
        <v>16230</v>
      </c>
      <c r="E9147" t="s">
        <v>24274</v>
      </c>
      <c r="F9147" t="s">
        <v>28198</v>
      </c>
      <c r="G9147" t="s">
        <v>28207</v>
      </c>
      <c r="H9147" t="s">
        <v>28215</v>
      </c>
      <c r="I9147" t="s">
        <v>5631</v>
      </c>
      <c r="J9147" t="s">
        <v>30927</v>
      </c>
      <c r="K9147" t="s">
        <v>36756</v>
      </c>
      <c r="M9147" t="s">
        <v>38255</v>
      </c>
      <c r="N9147" t="s">
        <v>40436</v>
      </c>
      <c r="O9147" t="s">
        <v>40437</v>
      </c>
      <c r="P9147">
        <v>0</v>
      </c>
      <c r="Q9147">
        <v>0</v>
      </c>
      <c r="R9147" t="s">
        <v>40446</v>
      </c>
      <c r="S9147" t="s">
        <v>40783</v>
      </c>
      <c r="T9147" t="s">
        <v>42245</v>
      </c>
      <c r="U9147" t="s">
        <v>50271</v>
      </c>
      <c r="W9147" t="s">
        <v>55476</v>
      </c>
      <c r="X9147" t="s">
        <v>40447</v>
      </c>
    </row>
    <row r="9148" spans="1:24">
      <c r="A9148">
        <f>HYPERLINK("https://www.philgeps.gov.ph/GEPSNONPILOT/Tender/SplashBidNoticeAbstractUI.aspx?menuIndex=3&amp;refID=7034297&amp;Result=3","7034297")</f>
        <v>0</v>
      </c>
      <c r="B9148" t="s">
        <v>688</v>
      </c>
      <c r="C9148" t="s">
        <v>11804</v>
      </c>
      <c r="D9148" t="s">
        <v>16230</v>
      </c>
      <c r="E9148" t="s">
        <v>24275</v>
      </c>
      <c r="F9148" t="s">
        <v>28198</v>
      </c>
      <c r="G9148" t="s">
        <v>28206</v>
      </c>
      <c r="H9148" t="s">
        <v>28215</v>
      </c>
      <c r="I9148" t="s">
        <v>28228</v>
      </c>
      <c r="J9148" t="s">
        <v>34055</v>
      </c>
      <c r="K9148" t="s">
        <v>36696</v>
      </c>
      <c r="M9148" t="s">
        <v>37687</v>
      </c>
      <c r="N9148" t="s">
        <v>40436</v>
      </c>
      <c r="O9148" t="s">
        <v>40437</v>
      </c>
      <c r="P9148">
        <v>0</v>
      </c>
      <c r="Q9148">
        <v>0</v>
      </c>
      <c r="R9148" t="s">
        <v>40446</v>
      </c>
      <c r="S9148" t="s">
        <v>40783</v>
      </c>
      <c r="T9148" t="s">
        <v>42218</v>
      </c>
      <c r="U9148" t="s">
        <v>50272</v>
      </c>
      <c r="W9148" t="s">
        <v>37687</v>
      </c>
      <c r="X9148" t="s">
        <v>40447</v>
      </c>
    </row>
    <row r="9149" spans="1:24">
      <c r="A9149">
        <f>HYPERLINK("https://www.philgeps.gov.ph/GEPSNONPILOT/Tender/SplashBidNoticeAbstractUI.aspx?menuIndex=3&amp;refID=7034261&amp;Result=3","7034261")</f>
        <v>0</v>
      </c>
      <c r="B9149" t="s">
        <v>1491</v>
      </c>
      <c r="C9149" t="s">
        <v>11805</v>
      </c>
      <c r="D9149" t="s">
        <v>16233</v>
      </c>
      <c r="E9149" t="s">
        <v>24276</v>
      </c>
      <c r="F9149" t="s">
        <v>28198</v>
      </c>
      <c r="G9149" t="s">
        <v>28205</v>
      </c>
      <c r="H9149" t="s">
        <v>28214</v>
      </c>
      <c r="I9149" t="s">
        <v>5100</v>
      </c>
      <c r="J9149" t="s">
        <v>34056</v>
      </c>
      <c r="K9149" t="s">
        <v>36694</v>
      </c>
      <c r="M9149" t="s">
        <v>38566</v>
      </c>
      <c r="N9149" t="s">
        <v>40436</v>
      </c>
      <c r="O9149" t="s">
        <v>40437</v>
      </c>
      <c r="P9149">
        <v>0</v>
      </c>
      <c r="Q9149">
        <v>0</v>
      </c>
      <c r="R9149" t="s">
        <v>40446</v>
      </c>
      <c r="S9149" t="s">
        <v>40783</v>
      </c>
      <c r="T9149" t="s">
        <v>42103</v>
      </c>
      <c r="U9149" t="s">
        <v>50273</v>
      </c>
      <c r="W9149" t="s">
        <v>38566</v>
      </c>
      <c r="X9149" t="s">
        <v>40447</v>
      </c>
    </row>
    <row r="9150" spans="1:24">
      <c r="A9150">
        <f>HYPERLINK("https://www.philgeps.gov.ph/GEPSNONPILOT/Tender/SplashBidNoticeAbstractUI.aspx?menuIndex=3&amp;refID=7034328&amp;Result=3","7034328")</f>
        <v>0</v>
      </c>
      <c r="B9150" t="s">
        <v>46</v>
      </c>
      <c r="C9150" t="s">
        <v>11806</v>
      </c>
      <c r="D9150" t="s">
        <v>16202</v>
      </c>
      <c r="E9150" t="s">
        <v>24277</v>
      </c>
      <c r="F9150" t="s">
        <v>28198</v>
      </c>
      <c r="G9150" t="s">
        <v>28208</v>
      </c>
      <c r="H9150" t="s">
        <v>28216</v>
      </c>
      <c r="I9150" t="s">
        <v>28216</v>
      </c>
      <c r="J9150" t="s">
        <v>34057</v>
      </c>
      <c r="K9150" t="s">
        <v>36689</v>
      </c>
      <c r="L9150" t="s">
        <v>46</v>
      </c>
      <c r="M9150" t="s">
        <v>37017</v>
      </c>
      <c r="N9150" t="s">
        <v>40436</v>
      </c>
      <c r="O9150" t="s">
        <v>40437</v>
      </c>
      <c r="Q9150">
        <v>5</v>
      </c>
      <c r="R9150" t="s">
        <v>40446</v>
      </c>
      <c r="S9150" t="s">
        <v>40833</v>
      </c>
      <c r="T9150" t="s">
        <v>42537</v>
      </c>
      <c r="U9150" t="s">
        <v>50274</v>
      </c>
      <c r="W9150" t="s">
        <v>37017</v>
      </c>
      <c r="X9150" t="s">
        <v>40447</v>
      </c>
    </row>
    <row r="9151" spans="1:24">
      <c r="A9151">
        <f>HYPERLINK("https://www.philgeps.gov.ph/GEPSNONPILOT/Tender/SplashBidNoticeAbstractUI.aspx?menuIndex=3&amp;refID=7034239&amp;Result=3","7034239")</f>
        <v>0</v>
      </c>
      <c r="B9151" t="s">
        <v>688</v>
      </c>
      <c r="C9151" t="s">
        <v>11807</v>
      </c>
      <c r="D9151" t="s">
        <v>16230</v>
      </c>
      <c r="E9151" t="s">
        <v>24278</v>
      </c>
      <c r="F9151" t="s">
        <v>28198</v>
      </c>
      <c r="G9151" t="s">
        <v>28206</v>
      </c>
      <c r="H9151" t="s">
        <v>28215</v>
      </c>
      <c r="I9151" t="s">
        <v>28228</v>
      </c>
      <c r="J9151" t="s">
        <v>34058</v>
      </c>
      <c r="K9151" t="s">
        <v>36701</v>
      </c>
      <c r="M9151" t="s">
        <v>37687</v>
      </c>
      <c r="N9151" t="s">
        <v>40436</v>
      </c>
      <c r="O9151" t="s">
        <v>40437</v>
      </c>
      <c r="P9151">
        <v>0</v>
      </c>
      <c r="Q9151">
        <v>0</v>
      </c>
      <c r="R9151" t="s">
        <v>40446</v>
      </c>
      <c r="S9151" t="s">
        <v>40783</v>
      </c>
      <c r="T9151" t="s">
        <v>42218</v>
      </c>
      <c r="U9151" t="s">
        <v>50275</v>
      </c>
      <c r="W9151" t="s">
        <v>37687</v>
      </c>
      <c r="X9151" t="s">
        <v>40447</v>
      </c>
    </row>
    <row r="9152" spans="1:24">
      <c r="A9152">
        <f>HYPERLINK("https://www.philgeps.gov.ph/GEPSNONPILOT/Tender/SplashBidNoticeAbstractUI.aspx?menuIndex=3&amp;refID=7034249&amp;Result=3","7034249")</f>
        <v>0</v>
      </c>
      <c r="B9152" t="s">
        <v>2599</v>
      </c>
      <c r="C9152" t="s">
        <v>11808</v>
      </c>
      <c r="D9152" t="s">
        <v>16195</v>
      </c>
      <c r="E9152" t="s">
        <v>23546</v>
      </c>
      <c r="F9152" t="s">
        <v>28198</v>
      </c>
      <c r="G9152" t="s">
        <v>28206</v>
      </c>
      <c r="H9152" t="s">
        <v>28215</v>
      </c>
      <c r="I9152" t="s">
        <v>5100</v>
      </c>
      <c r="J9152" t="s">
        <v>34027</v>
      </c>
      <c r="K9152" t="s">
        <v>36688</v>
      </c>
      <c r="M9152" t="s">
        <v>39815</v>
      </c>
      <c r="N9152" t="s">
        <v>40436</v>
      </c>
      <c r="O9152" t="s">
        <v>40437</v>
      </c>
      <c r="P9152">
        <v>0</v>
      </c>
      <c r="Q9152">
        <v>0</v>
      </c>
      <c r="R9152" t="s">
        <v>40446</v>
      </c>
      <c r="S9152" t="s">
        <v>40783</v>
      </c>
      <c r="T9152" t="s">
        <v>42185</v>
      </c>
      <c r="U9152" t="s">
        <v>50242</v>
      </c>
      <c r="W9152" t="s">
        <v>39815</v>
      </c>
      <c r="X9152" t="s">
        <v>40447</v>
      </c>
    </row>
    <row r="9153" spans="1:24">
      <c r="A9153">
        <f>HYPERLINK("https://www.philgeps.gov.ph/GEPSNONPILOT/Tender/SplashBidNoticeAbstractUI.aspx?menuIndex=3&amp;refID=7034370&amp;Result=3","7034370")</f>
        <v>0</v>
      </c>
      <c r="B9153" t="s">
        <v>2324</v>
      </c>
      <c r="C9153" t="s">
        <v>11809</v>
      </c>
      <c r="D9153" t="s">
        <v>16187</v>
      </c>
      <c r="E9153" t="s">
        <v>24279</v>
      </c>
      <c r="F9153" t="s">
        <v>28198</v>
      </c>
      <c r="G9153" t="s">
        <v>28205</v>
      </c>
      <c r="H9153" t="s">
        <v>28214</v>
      </c>
      <c r="I9153" t="s">
        <v>3797</v>
      </c>
      <c r="J9153" t="s">
        <v>34059</v>
      </c>
      <c r="K9153" t="s">
        <v>36887</v>
      </c>
      <c r="M9153" t="s">
        <v>39502</v>
      </c>
      <c r="N9153" t="s">
        <v>40436</v>
      </c>
      <c r="O9153" t="s">
        <v>40437</v>
      </c>
      <c r="P9153">
        <v>0</v>
      </c>
      <c r="Q9153">
        <v>1</v>
      </c>
      <c r="R9153" t="s">
        <v>40446</v>
      </c>
      <c r="S9153" t="s">
        <v>40783</v>
      </c>
      <c r="T9153" t="s">
        <v>42234</v>
      </c>
      <c r="U9153" t="s">
        <v>50276</v>
      </c>
      <c r="W9153" t="s">
        <v>39502</v>
      </c>
      <c r="X9153" t="s">
        <v>40447</v>
      </c>
    </row>
    <row r="9154" spans="1:24">
      <c r="A9154">
        <f>HYPERLINK("https://www.philgeps.gov.ph/GEPSNONPILOT/Tender/SplashBidNoticeAbstractUI.aspx?menuIndex=3&amp;refID=7034361&amp;Result=3","7034361")</f>
        <v>0</v>
      </c>
      <c r="B9154" t="s">
        <v>1491</v>
      </c>
      <c r="C9154" t="s">
        <v>11810</v>
      </c>
      <c r="D9154" t="s">
        <v>16233</v>
      </c>
      <c r="E9154" t="s">
        <v>24280</v>
      </c>
      <c r="F9154" t="s">
        <v>28198</v>
      </c>
      <c r="G9154" t="s">
        <v>28205</v>
      </c>
      <c r="H9154" t="s">
        <v>28214</v>
      </c>
      <c r="I9154" t="s">
        <v>5100</v>
      </c>
      <c r="J9154" t="s">
        <v>34060</v>
      </c>
      <c r="K9154" t="s">
        <v>36715</v>
      </c>
      <c r="M9154" t="s">
        <v>38566</v>
      </c>
      <c r="N9154" t="s">
        <v>40436</v>
      </c>
      <c r="O9154" t="s">
        <v>40437</v>
      </c>
      <c r="P9154">
        <v>0</v>
      </c>
      <c r="Q9154">
        <v>0</v>
      </c>
      <c r="R9154" t="s">
        <v>40446</v>
      </c>
      <c r="S9154" t="s">
        <v>40783</v>
      </c>
      <c r="T9154" t="s">
        <v>42136</v>
      </c>
      <c r="U9154" t="s">
        <v>50277</v>
      </c>
      <c r="W9154" t="s">
        <v>38566</v>
      </c>
      <c r="X9154" t="s">
        <v>40447</v>
      </c>
    </row>
    <row r="9155" spans="1:24">
      <c r="A9155">
        <f>HYPERLINK("https://www.philgeps.gov.ph/GEPSNONPILOT/Tender/SplashBidNoticeAbstractUI.aspx?menuIndex=3&amp;refID=7034357&amp;Result=3","7034357")</f>
        <v>0</v>
      </c>
      <c r="B9155" t="s">
        <v>2608</v>
      </c>
      <c r="C9155" t="s">
        <v>11811</v>
      </c>
      <c r="D9155" t="s">
        <v>16249</v>
      </c>
      <c r="E9155" t="s">
        <v>24281</v>
      </c>
      <c r="F9155" t="s">
        <v>28198</v>
      </c>
      <c r="G9155" t="s">
        <v>28205</v>
      </c>
      <c r="H9155" t="s">
        <v>28214</v>
      </c>
      <c r="I9155" t="s">
        <v>3797</v>
      </c>
      <c r="J9155" t="s">
        <v>29632</v>
      </c>
      <c r="K9155" t="s">
        <v>36713</v>
      </c>
      <c r="L9155" t="s">
        <v>2608</v>
      </c>
      <c r="M9155" t="s">
        <v>39827</v>
      </c>
      <c r="N9155" t="s">
        <v>40436</v>
      </c>
      <c r="O9155" t="s">
        <v>40437</v>
      </c>
      <c r="P9155">
        <v>0</v>
      </c>
      <c r="Q9155">
        <v>9</v>
      </c>
      <c r="R9155" t="s">
        <v>40446</v>
      </c>
      <c r="S9155" t="s">
        <v>40783</v>
      </c>
      <c r="T9155" t="s">
        <v>42390</v>
      </c>
      <c r="U9155" t="s">
        <v>50278</v>
      </c>
      <c r="W9155" t="s">
        <v>39827</v>
      </c>
      <c r="X9155" t="s">
        <v>40447</v>
      </c>
    </row>
    <row r="9156" spans="1:24">
      <c r="A9156">
        <f>HYPERLINK("https://www.philgeps.gov.ph/GEPSNONPILOT/Tender/SplashBidNoticeAbstractUI.aspx?menuIndex=3&amp;refID=7034259&amp;Result=3","7034259")</f>
        <v>0</v>
      </c>
      <c r="B9156" t="s">
        <v>2610</v>
      </c>
      <c r="C9156" t="s">
        <v>11812</v>
      </c>
      <c r="D9156" t="s">
        <v>16254</v>
      </c>
      <c r="E9156" t="s">
        <v>16473</v>
      </c>
      <c r="F9156" t="s">
        <v>28198</v>
      </c>
      <c r="G9156" t="s">
        <v>28205</v>
      </c>
      <c r="H9156" t="s">
        <v>28215</v>
      </c>
      <c r="I9156" t="s">
        <v>5100</v>
      </c>
      <c r="J9156" t="s">
        <v>34061</v>
      </c>
      <c r="K9156" t="s">
        <v>36707</v>
      </c>
      <c r="L9156" t="s">
        <v>2610</v>
      </c>
      <c r="M9156" t="s">
        <v>39829</v>
      </c>
      <c r="N9156" t="s">
        <v>40436</v>
      </c>
      <c r="O9156" t="s">
        <v>40437</v>
      </c>
      <c r="P9156">
        <v>0</v>
      </c>
      <c r="Q9156">
        <v>1</v>
      </c>
      <c r="R9156" t="s">
        <v>40446</v>
      </c>
      <c r="S9156" t="s">
        <v>40783</v>
      </c>
      <c r="T9156" t="s">
        <v>42188</v>
      </c>
      <c r="U9156" t="s">
        <v>50279</v>
      </c>
      <c r="V9156" t="s">
        <v>54763</v>
      </c>
      <c r="W9156" t="s">
        <v>39829</v>
      </c>
      <c r="X9156" t="s">
        <v>40447</v>
      </c>
    </row>
    <row r="9157" spans="1:24">
      <c r="A9157">
        <f>HYPERLINK("https://www.philgeps.gov.ph/GEPSNONPILOT/Tender/SplashBidNoticeAbstractUI.aspx?menuIndex=3&amp;refID=7034296&amp;Result=3","7034296")</f>
        <v>0</v>
      </c>
      <c r="B9157" t="s">
        <v>2063</v>
      </c>
      <c r="C9157" t="s">
        <v>11813</v>
      </c>
      <c r="D9157" t="s">
        <v>16244</v>
      </c>
      <c r="E9157" t="s">
        <v>24282</v>
      </c>
      <c r="F9157" t="s">
        <v>28198</v>
      </c>
      <c r="G9157" t="s">
        <v>28205</v>
      </c>
      <c r="H9157" t="s">
        <v>28214</v>
      </c>
      <c r="I9157" t="s">
        <v>3797</v>
      </c>
      <c r="J9157" t="s">
        <v>29409</v>
      </c>
      <c r="K9157" t="s">
        <v>36694</v>
      </c>
      <c r="M9157" t="s">
        <v>39212</v>
      </c>
      <c r="N9157" t="s">
        <v>40436</v>
      </c>
      <c r="O9157" t="s">
        <v>40437</v>
      </c>
      <c r="P9157">
        <v>0</v>
      </c>
      <c r="Q9157">
        <v>0</v>
      </c>
      <c r="R9157" t="s">
        <v>40446</v>
      </c>
      <c r="S9157" t="s">
        <v>40783</v>
      </c>
      <c r="T9157" t="s">
        <v>42279</v>
      </c>
      <c r="U9157" t="s">
        <v>50280</v>
      </c>
      <c r="W9157" t="s">
        <v>39212</v>
      </c>
      <c r="X9157" t="s">
        <v>40447</v>
      </c>
    </row>
    <row r="9158" spans="1:24">
      <c r="A9158">
        <f>HYPERLINK("https://www.philgeps.gov.ph/GEPSNONPILOT/Tender/SplashBidNoticeAbstractUI.aspx?menuIndex=3&amp;refID=7034358&amp;Result=3","7034358")</f>
        <v>0</v>
      </c>
      <c r="B9158" t="s">
        <v>1331</v>
      </c>
      <c r="C9158" t="s">
        <v>11814</v>
      </c>
      <c r="D9158" t="s">
        <v>16209</v>
      </c>
      <c r="E9158" t="s">
        <v>24283</v>
      </c>
      <c r="F9158" t="s">
        <v>28198</v>
      </c>
      <c r="G9158" t="s">
        <v>28205</v>
      </c>
      <c r="H9158" t="s">
        <v>28215</v>
      </c>
      <c r="I9158" t="s">
        <v>4168</v>
      </c>
      <c r="J9158" t="s">
        <v>34062</v>
      </c>
      <c r="K9158" t="s">
        <v>36701</v>
      </c>
      <c r="M9158" t="s">
        <v>38389</v>
      </c>
      <c r="N9158" t="s">
        <v>40436</v>
      </c>
      <c r="O9158" t="s">
        <v>40437</v>
      </c>
      <c r="P9158">
        <v>0</v>
      </c>
      <c r="Q9158">
        <v>0</v>
      </c>
      <c r="R9158" t="s">
        <v>40446</v>
      </c>
      <c r="S9158" t="s">
        <v>40783</v>
      </c>
      <c r="T9158" t="s">
        <v>42346</v>
      </c>
      <c r="U9158" t="s">
        <v>50281</v>
      </c>
      <c r="W9158" t="s">
        <v>38389</v>
      </c>
      <c r="X9158" t="s">
        <v>40447</v>
      </c>
    </row>
    <row r="9159" spans="1:24">
      <c r="A9159">
        <f>HYPERLINK("https://www.philgeps.gov.ph/GEPSNONPILOT/Tender/SplashBidNoticeAbstractUI.aspx?menuIndex=3&amp;refID=7034356&amp;Result=3","7034356")</f>
        <v>0</v>
      </c>
      <c r="B9159" t="s">
        <v>2157</v>
      </c>
      <c r="C9159" t="s">
        <v>11815</v>
      </c>
      <c r="D9159" t="s">
        <v>16204</v>
      </c>
      <c r="E9159" t="s">
        <v>24284</v>
      </c>
      <c r="F9159" t="s">
        <v>28198</v>
      </c>
      <c r="G9159" t="s">
        <v>28205</v>
      </c>
      <c r="H9159" t="s">
        <v>28215</v>
      </c>
      <c r="I9159" t="s">
        <v>28240</v>
      </c>
      <c r="J9159" t="s">
        <v>34063</v>
      </c>
      <c r="K9159" t="s">
        <v>36707</v>
      </c>
      <c r="M9159" t="s">
        <v>39314</v>
      </c>
      <c r="N9159" t="s">
        <v>40436</v>
      </c>
      <c r="O9159" t="s">
        <v>40437</v>
      </c>
      <c r="P9159">
        <v>0</v>
      </c>
      <c r="Q9159">
        <v>3</v>
      </c>
      <c r="R9159" t="s">
        <v>40446</v>
      </c>
      <c r="S9159" t="s">
        <v>40783</v>
      </c>
      <c r="T9159" t="s">
        <v>42279</v>
      </c>
      <c r="U9159" t="s">
        <v>50282</v>
      </c>
      <c r="W9159" t="s">
        <v>55522</v>
      </c>
      <c r="X9159" t="s">
        <v>40447</v>
      </c>
    </row>
    <row r="9160" spans="1:24">
      <c r="A9160">
        <f>HYPERLINK("https://www.philgeps.gov.ph/GEPSNONPILOT/Tender/SplashBidNoticeAbstractUI.aspx?menuIndex=3&amp;refID=7034382&amp;Result=3","7034382")</f>
        <v>0</v>
      </c>
      <c r="B9160" t="s">
        <v>46</v>
      </c>
      <c r="C9160" t="s">
        <v>11816</v>
      </c>
      <c r="D9160" t="s">
        <v>16197</v>
      </c>
      <c r="E9160" t="s">
        <v>24285</v>
      </c>
      <c r="F9160" t="s">
        <v>28198</v>
      </c>
      <c r="G9160" t="s">
        <v>28208</v>
      </c>
      <c r="H9160" t="s">
        <v>28216</v>
      </c>
      <c r="I9160" t="s">
        <v>28216</v>
      </c>
      <c r="J9160" t="s">
        <v>34064</v>
      </c>
      <c r="K9160" t="s">
        <v>36689</v>
      </c>
      <c r="L9160" t="s">
        <v>46</v>
      </c>
      <c r="M9160" t="s">
        <v>37017</v>
      </c>
      <c r="N9160" t="s">
        <v>40436</v>
      </c>
      <c r="O9160" t="s">
        <v>40437</v>
      </c>
      <c r="Q9160">
        <v>5</v>
      </c>
      <c r="R9160" t="s">
        <v>40446</v>
      </c>
      <c r="S9160" t="s">
        <v>40834</v>
      </c>
      <c r="T9160" t="s">
        <v>42349</v>
      </c>
      <c r="U9160" t="s">
        <v>50283</v>
      </c>
      <c r="W9160" t="s">
        <v>37017</v>
      </c>
      <c r="X9160" t="s">
        <v>40447</v>
      </c>
    </row>
    <row r="9161" spans="1:24">
      <c r="A9161">
        <f>HYPERLINK("https://www.philgeps.gov.ph/GEPSNONPILOT/Tender/SplashBidNoticeAbstractUI.aspx?menuIndex=3&amp;refID=7034312&amp;Result=3","7034312")</f>
        <v>0</v>
      </c>
      <c r="B9161" t="s">
        <v>2611</v>
      </c>
      <c r="C9161" t="s">
        <v>11817</v>
      </c>
      <c r="D9161" t="s">
        <v>16190</v>
      </c>
      <c r="E9161" t="s">
        <v>17049</v>
      </c>
      <c r="F9161" t="s">
        <v>28198</v>
      </c>
      <c r="G9161" t="s">
        <v>28207</v>
      </c>
      <c r="H9161" t="s">
        <v>28215</v>
      </c>
      <c r="I9161" t="s">
        <v>5100</v>
      </c>
      <c r="J9161" t="s">
        <v>34065</v>
      </c>
      <c r="K9161" t="s">
        <v>36706</v>
      </c>
      <c r="M9161" t="s">
        <v>39830</v>
      </c>
      <c r="N9161" t="s">
        <v>40436</v>
      </c>
      <c r="O9161" t="s">
        <v>40437</v>
      </c>
      <c r="P9161">
        <v>0</v>
      </c>
      <c r="Q9161">
        <v>0</v>
      </c>
      <c r="R9161" t="s">
        <v>40446</v>
      </c>
      <c r="S9161" t="s">
        <v>40783</v>
      </c>
      <c r="T9161" t="s">
        <v>42234</v>
      </c>
      <c r="U9161" t="s">
        <v>50284</v>
      </c>
      <c r="W9161" t="s">
        <v>39830</v>
      </c>
      <c r="X9161" t="s">
        <v>40447</v>
      </c>
    </row>
    <row r="9162" spans="1:24">
      <c r="A9162">
        <f>HYPERLINK("https://www.philgeps.gov.ph/GEPSNONPILOT/Tender/SplashBidNoticeAbstractUI.aspx?menuIndex=3&amp;refID=7034347&amp;Result=3","7034347")</f>
        <v>0</v>
      </c>
      <c r="B9162" t="s">
        <v>1037</v>
      </c>
      <c r="C9162" t="s">
        <v>11818</v>
      </c>
      <c r="D9162" t="s">
        <v>16190</v>
      </c>
      <c r="E9162" t="s">
        <v>24286</v>
      </c>
      <c r="F9162" t="s">
        <v>28198</v>
      </c>
      <c r="G9162" t="s">
        <v>28205</v>
      </c>
      <c r="H9162" t="s">
        <v>28215</v>
      </c>
      <c r="I9162" t="s">
        <v>8888</v>
      </c>
      <c r="J9162" t="s">
        <v>34066</v>
      </c>
      <c r="K9162" t="s">
        <v>36689</v>
      </c>
      <c r="M9162" t="s">
        <v>38069</v>
      </c>
      <c r="N9162" t="s">
        <v>40436</v>
      </c>
      <c r="O9162" t="s">
        <v>40437</v>
      </c>
      <c r="P9162">
        <v>0</v>
      </c>
      <c r="Q9162">
        <v>3</v>
      </c>
      <c r="R9162" t="s">
        <v>40446</v>
      </c>
      <c r="S9162" t="s">
        <v>40783</v>
      </c>
      <c r="T9162" t="s">
        <v>42482</v>
      </c>
      <c r="U9162" t="s">
        <v>50285</v>
      </c>
      <c r="V9162" t="s">
        <v>54061</v>
      </c>
      <c r="W9162" t="s">
        <v>38069</v>
      </c>
      <c r="X9162" t="s">
        <v>40447</v>
      </c>
    </row>
    <row r="9163" spans="1:24">
      <c r="A9163">
        <f>HYPERLINK("https://www.philgeps.gov.ph/GEPSNONPILOT/Tender/SplashBidNoticeAbstractUI.aspx?menuIndex=3&amp;refID=7034265&amp;Result=3","7034265")</f>
        <v>0</v>
      </c>
      <c r="B9163" t="s">
        <v>46</v>
      </c>
      <c r="C9163" t="s">
        <v>11819</v>
      </c>
      <c r="D9163" t="s">
        <v>16233</v>
      </c>
      <c r="E9163" t="s">
        <v>24287</v>
      </c>
      <c r="F9163" t="s">
        <v>28198</v>
      </c>
      <c r="G9163" t="s">
        <v>28208</v>
      </c>
      <c r="H9163" t="s">
        <v>28216</v>
      </c>
      <c r="I9163" t="s">
        <v>28216</v>
      </c>
      <c r="J9163" t="s">
        <v>34067</v>
      </c>
      <c r="K9163" t="s">
        <v>36689</v>
      </c>
      <c r="L9163" t="s">
        <v>46</v>
      </c>
      <c r="M9163" t="s">
        <v>37017</v>
      </c>
      <c r="N9163" t="s">
        <v>40436</v>
      </c>
      <c r="O9163" t="s">
        <v>40437</v>
      </c>
      <c r="Q9163">
        <v>5</v>
      </c>
      <c r="R9163" t="s">
        <v>40446</v>
      </c>
      <c r="S9163" t="s">
        <v>40835</v>
      </c>
      <c r="T9163" t="s">
        <v>42248</v>
      </c>
      <c r="U9163" t="s">
        <v>50286</v>
      </c>
      <c r="W9163" t="s">
        <v>37017</v>
      </c>
      <c r="X9163" t="s">
        <v>40447</v>
      </c>
    </row>
    <row r="9164" spans="1:24">
      <c r="A9164">
        <f>HYPERLINK("https://www.philgeps.gov.ph/GEPSNONPILOT/Tender/SplashBidNoticeAbstractUI.aspx?menuIndex=3&amp;refID=7034353&amp;Result=3","7034353")</f>
        <v>0</v>
      </c>
      <c r="B9164" t="s">
        <v>2612</v>
      </c>
      <c r="C9164" t="s">
        <v>11820</v>
      </c>
      <c r="D9164" t="s">
        <v>16193</v>
      </c>
      <c r="E9164" t="s">
        <v>16352</v>
      </c>
      <c r="F9164" t="s">
        <v>28198</v>
      </c>
      <c r="G9164" t="s">
        <v>28205</v>
      </c>
      <c r="H9164" t="s">
        <v>28214</v>
      </c>
      <c r="I9164" t="s">
        <v>3797</v>
      </c>
      <c r="J9164" t="s">
        <v>29758</v>
      </c>
      <c r="K9164" t="s">
        <v>36687</v>
      </c>
      <c r="M9164" t="s">
        <v>39831</v>
      </c>
      <c r="N9164" t="s">
        <v>40436</v>
      </c>
      <c r="O9164" t="s">
        <v>40437</v>
      </c>
      <c r="Q9164">
        <v>0</v>
      </c>
      <c r="R9164" t="s">
        <v>40446</v>
      </c>
      <c r="S9164" t="s">
        <v>40836</v>
      </c>
      <c r="T9164" t="s">
        <v>42190</v>
      </c>
      <c r="U9164" t="s">
        <v>50287</v>
      </c>
      <c r="W9164" t="s">
        <v>39831</v>
      </c>
      <c r="X9164" t="s">
        <v>40447</v>
      </c>
    </row>
    <row r="9165" spans="1:24">
      <c r="A9165">
        <f>HYPERLINK("https://www.philgeps.gov.ph/GEPSNONPILOT/Tender/SplashBidNoticeAbstractUI.aspx?menuIndex=3&amp;refID=7034411&amp;Result=3","7034411")</f>
        <v>0</v>
      </c>
      <c r="B9165" t="s">
        <v>1037</v>
      </c>
      <c r="C9165" t="s">
        <v>11821</v>
      </c>
      <c r="D9165" t="s">
        <v>16190</v>
      </c>
      <c r="E9165" t="s">
        <v>24288</v>
      </c>
      <c r="F9165" t="s">
        <v>28198</v>
      </c>
      <c r="G9165" t="s">
        <v>28205</v>
      </c>
      <c r="H9165" t="s">
        <v>28215</v>
      </c>
      <c r="I9165" t="s">
        <v>28259</v>
      </c>
      <c r="J9165" t="s">
        <v>34068</v>
      </c>
      <c r="K9165" t="s">
        <v>36689</v>
      </c>
      <c r="M9165" t="s">
        <v>38069</v>
      </c>
      <c r="N9165" t="s">
        <v>40436</v>
      </c>
      <c r="O9165" t="s">
        <v>40437</v>
      </c>
      <c r="P9165">
        <v>0</v>
      </c>
      <c r="Q9165">
        <v>0</v>
      </c>
      <c r="R9165" t="s">
        <v>40446</v>
      </c>
      <c r="S9165" t="s">
        <v>40783</v>
      </c>
      <c r="T9165" t="s">
        <v>42482</v>
      </c>
      <c r="U9165" t="s">
        <v>50288</v>
      </c>
      <c r="V9165" t="s">
        <v>54061</v>
      </c>
      <c r="W9165" t="s">
        <v>38069</v>
      </c>
      <c r="X9165" t="s">
        <v>40447</v>
      </c>
    </row>
    <row r="9166" spans="1:24">
      <c r="A9166">
        <f>HYPERLINK("https://www.philgeps.gov.ph/GEPSNONPILOT/Tender/SplashBidNoticeAbstractUI.aspx?menuIndex=3&amp;refID=7034409&amp;Result=3","7034409")</f>
        <v>0</v>
      </c>
      <c r="B9166" t="s">
        <v>1164</v>
      </c>
      <c r="C9166" t="s">
        <v>11822</v>
      </c>
      <c r="D9166" t="s">
        <v>16203</v>
      </c>
      <c r="E9166" t="s">
        <v>24289</v>
      </c>
      <c r="F9166" t="s">
        <v>28198</v>
      </c>
      <c r="G9166" t="s">
        <v>28205</v>
      </c>
      <c r="H9166" t="s">
        <v>28215</v>
      </c>
      <c r="I9166" t="s">
        <v>28228</v>
      </c>
      <c r="J9166" t="s">
        <v>34069</v>
      </c>
      <c r="K9166" t="s">
        <v>36707</v>
      </c>
      <c r="M9166" t="s">
        <v>38204</v>
      </c>
      <c r="N9166" t="s">
        <v>40436</v>
      </c>
      <c r="O9166" t="s">
        <v>40437</v>
      </c>
      <c r="P9166">
        <v>0</v>
      </c>
      <c r="Q9166">
        <v>2</v>
      </c>
      <c r="R9166" t="s">
        <v>40446</v>
      </c>
      <c r="S9166" t="s">
        <v>40783</v>
      </c>
      <c r="T9166" t="s">
        <v>42346</v>
      </c>
      <c r="U9166" t="s">
        <v>50289</v>
      </c>
      <c r="W9166" t="s">
        <v>38204</v>
      </c>
      <c r="X9166" t="s">
        <v>40447</v>
      </c>
    </row>
    <row r="9167" spans="1:24">
      <c r="A9167">
        <f>HYPERLINK("https://www.philgeps.gov.ph/GEPSNONPILOT/Tender/SplashBidNoticeAbstractUI.aspx?menuIndex=3&amp;refID=7034391&amp;Result=3","7034391")</f>
        <v>0</v>
      </c>
      <c r="B9167" t="s">
        <v>1037</v>
      </c>
      <c r="C9167" t="s">
        <v>11823</v>
      </c>
      <c r="D9167" t="s">
        <v>16190</v>
      </c>
      <c r="E9167" t="s">
        <v>24290</v>
      </c>
      <c r="F9167" t="s">
        <v>28198</v>
      </c>
      <c r="G9167" t="s">
        <v>28205</v>
      </c>
      <c r="H9167" t="s">
        <v>28215</v>
      </c>
      <c r="I9167" t="s">
        <v>28314</v>
      </c>
      <c r="J9167" t="s">
        <v>28363</v>
      </c>
      <c r="K9167" t="s">
        <v>36689</v>
      </c>
      <c r="M9167" t="s">
        <v>38069</v>
      </c>
      <c r="N9167" t="s">
        <v>40436</v>
      </c>
      <c r="O9167" t="s">
        <v>40437</v>
      </c>
      <c r="P9167">
        <v>0</v>
      </c>
      <c r="Q9167">
        <v>1</v>
      </c>
      <c r="R9167" t="s">
        <v>40446</v>
      </c>
      <c r="S9167" t="s">
        <v>40783</v>
      </c>
      <c r="T9167" t="s">
        <v>42482</v>
      </c>
      <c r="U9167" t="s">
        <v>50290</v>
      </c>
      <c r="V9167" t="s">
        <v>54061</v>
      </c>
      <c r="W9167" t="s">
        <v>38069</v>
      </c>
      <c r="X9167" t="s">
        <v>40447</v>
      </c>
    </row>
    <row r="9168" spans="1:24">
      <c r="A9168">
        <f>HYPERLINK("https://www.philgeps.gov.ph/GEPSNONPILOT/Tender/SplashBidNoticeAbstractUI.aspx?menuIndex=3&amp;refID=7034408&amp;Result=3","7034408")</f>
        <v>0</v>
      </c>
      <c r="B9168" t="s">
        <v>2612</v>
      </c>
      <c r="C9168" t="s">
        <v>11824</v>
      </c>
      <c r="D9168" t="s">
        <v>16193</v>
      </c>
      <c r="E9168" t="s">
        <v>16424</v>
      </c>
      <c r="F9168" t="s">
        <v>28198</v>
      </c>
      <c r="G9168" t="s">
        <v>28205</v>
      </c>
      <c r="H9168" t="s">
        <v>28214</v>
      </c>
      <c r="I9168" t="s">
        <v>3797</v>
      </c>
      <c r="J9168" t="s">
        <v>28589</v>
      </c>
      <c r="K9168" t="s">
        <v>36687</v>
      </c>
      <c r="M9168" t="s">
        <v>39831</v>
      </c>
      <c r="N9168" t="s">
        <v>40436</v>
      </c>
      <c r="O9168" t="s">
        <v>40437</v>
      </c>
      <c r="Q9168">
        <v>0</v>
      </c>
      <c r="R9168" t="s">
        <v>40446</v>
      </c>
      <c r="S9168" t="s">
        <v>40837</v>
      </c>
      <c r="T9168" t="s">
        <v>42119</v>
      </c>
      <c r="U9168" t="s">
        <v>50291</v>
      </c>
      <c r="W9168" t="s">
        <v>39831</v>
      </c>
      <c r="X9168" t="s">
        <v>40447</v>
      </c>
    </row>
    <row r="9169" spans="1:24">
      <c r="A9169">
        <f>HYPERLINK("https://www.philgeps.gov.ph/GEPSNONPILOT/Tender/SplashBidNoticeAbstractUI.aspx?menuIndex=3&amp;refID=7034448&amp;Result=3","7034448")</f>
        <v>0</v>
      </c>
      <c r="B9169" t="s">
        <v>2490</v>
      </c>
      <c r="C9169" t="s">
        <v>11825</v>
      </c>
      <c r="D9169" t="s">
        <v>16250</v>
      </c>
      <c r="E9169" t="s">
        <v>16473</v>
      </c>
      <c r="F9169" t="s">
        <v>28198</v>
      </c>
      <c r="G9169" t="s">
        <v>28205</v>
      </c>
      <c r="H9169" t="s">
        <v>28215</v>
      </c>
      <c r="I9169" t="s">
        <v>5100</v>
      </c>
      <c r="J9169" t="s">
        <v>34070</v>
      </c>
      <c r="K9169" t="s">
        <v>36707</v>
      </c>
      <c r="M9169" t="s">
        <v>39689</v>
      </c>
      <c r="N9169" t="s">
        <v>40436</v>
      </c>
      <c r="O9169" t="s">
        <v>40437</v>
      </c>
      <c r="P9169">
        <v>0</v>
      </c>
      <c r="Q9169">
        <v>0</v>
      </c>
      <c r="R9169" t="s">
        <v>40446</v>
      </c>
      <c r="S9169" t="s">
        <v>40783</v>
      </c>
      <c r="T9169" t="s">
        <v>42103</v>
      </c>
      <c r="U9169" t="s">
        <v>50292</v>
      </c>
      <c r="W9169" t="s">
        <v>39689</v>
      </c>
      <c r="X9169" t="s">
        <v>40447</v>
      </c>
    </row>
    <row r="9170" spans="1:24">
      <c r="A9170">
        <f>HYPERLINK("https://www.philgeps.gov.ph/GEPSNONPILOT/Tender/SplashBidNoticeAbstractUI.aspx?menuIndex=3&amp;refID=7034447&amp;Result=3","7034447")</f>
        <v>0</v>
      </c>
      <c r="B9170" t="s">
        <v>2599</v>
      </c>
      <c r="C9170" t="s">
        <v>11826</v>
      </c>
      <c r="D9170" t="s">
        <v>16195</v>
      </c>
      <c r="E9170" t="s">
        <v>19902</v>
      </c>
      <c r="F9170" t="s">
        <v>28198</v>
      </c>
      <c r="G9170" t="s">
        <v>28206</v>
      </c>
      <c r="H9170" t="s">
        <v>28215</v>
      </c>
      <c r="I9170" t="s">
        <v>5100</v>
      </c>
      <c r="J9170" t="s">
        <v>34027</v>
      </c>
      <c r="K9170" t="s">
        <v>36688</v>
      </c>
      <c r="M9170" t="s">
        <v>39815</v>
      </c>
      <c r="N9170" t="s">
        <v>40436</v>
      </c>
      <c r="O9170" t="s">
        <v>40437</v>
      </c>
      <c r="P9170">
        <v>0</v>
      </c>
      <c r="Q9170">
        <v>0</v>
      </c>
      <c r="R9170" t="s">
        <v>40446</v>
      </c>
      <c r="S9170" t="s">
        <v>40783</v>
      </c>
      <c r="T9170" t="s">
        <v>42185</v>
      </c>
      <c r="U9170" t="s">
        <v>50242</v>
      </c>
      <c r="W9170" t="s">
        <v>39815</v>
      </c>
      <c r="X9170" t="s">
        <v>40447</v>
      </c>
    </row>
    <row r="9171" spans="1:24">
      <c r="A9171">
        <f>HYPERLINK("https://www.philgeps.gov.ph/GEPSNONPILOT/Tender/SplashBidNoticeAbstractUI.aspx?menuIndex=3&amp;refID=7034439&amp;Result=3","7034439")</f>
        <v>0</v>
      </c>
      <c r="B9171" t="s">
        <v>688</v>
      </c>
      <c r="C9171" t="s">
        <v>11827</v>
      </c>
      <c r="D9171" t="s">
        <v>16230</v>
      </c>
      <c r="E9171" t="s">
        <v>24291</v>
      </c>
      <c r="F9171" t="s">
        <v>28198</v>
      </c>
      <c r="G9171" t="s">
        <v>28206</v>
      </c>
      <c r="H9171" t="s">
        <v>28215</v>
      </c>
      <c r="I9171" t="s">
        <v>4219</v>
      </c>
      <c r="J9171" t="s">
        <v>34071</v>
      </c>
      <c r="K9171" t="s">
        <v>36701</v>
      </c>
      <c r="M9171" t="s">
        <v>37687</v>
      </c>
      <c r="N9171" t="s">
        <v>40436</v>
      </c>
      <c r="O9171" t="s">
        <v>40437</v>
      </c>
      <c r="P9171">
        <v>0</v>
      </c>
      <c r="Q9171">
        <v>0</v>
      </c>
      <c r="R9171" t="s">
        <v>40446</v>
      </c>
      <c r="S9171" t="s">
        <v>40783</v>
      </c>
      <c r="T9171" t="s">
        <v>42218</v>
      </c>
      <c r="U9171" t="s">
        <v>50272</v>
      </c>
      <c r="W9171" t="s">
        <v>37687</v>
      </c>
      <c r="X9171" t="s">
        <v>40447</v>
      </c>
    </row>
    <row r="9172" spans="1:24">
      <c r="A9172">
        <f>HYPERLINK("https://www.philgeps.gov.ph/GEPSNONPILOT/Tender/SplashBidNoticeAbstractUI.aspx?menuIndex=3&amp;refID=7034402&amp;Result=3","7034402")</f>
        <v>0</v>
      </c>
      <c r="B9172" t="s">
        <v>2581</v>
      </c>
      <c r="C9172" t="s">
        <v>11828</v>
      </c>
      <c r="D9172" t="s">
        <v>16200</v>
      </c>
      <c r="E9172" t="s">
        <v>24292</v>
      </c>
      <c r="F9172" t="s">
        <v>28198</v>
      </c>
      <c r="G9172" t="s">
        <v>28208</v>
      </c>
      <c r="H9172" t="s">
        <v>28214</v>
      </c>
      <c r="I9172" t="s">
        <v>3797</v>
      </c>
      <c r="J9172" t="s">
        <v>34072</v>
      </c>
      <c r="K9172" t="s">
        <v>36701</v>
      </c>
      <c r="M9172" t="s">
        <v>39795</v>
      </c>
      <c r="N9172" t="s">
        <v>40436</v>
      </c>
      <c r="O9172" t="s">
        <v>40437</v>
      </c>
      <c r="P9172">
        <v>0</v>
      </c>
      <c r="Q9172">
        <v>0</v>
      </c>
      <c r="R9172" t="s">
        <v>40446</v>
      </c>
      <c r="S9172" t="s">
        <v>40783</v>
      </c>
      <c r="T9172" t="s">
        <v>42279</v>
      </c>
      <c r="U9172" t="s">
        <v>50293</v>
      </c>
      <c r="W9172" t="s">
        <v>39795</v>
      </c>
      <c r="X9172" t="s">
        <v>40447</v>
      </c>
    </row>
    <row r="9173" spans="1:24">
      <c r="A9173">
        <f>HYPERLINK("https://www.philgeps.gov.ph/GEPSNONPILOT/Tender/SplashBidNoticeAbstractUI.aspx?menuIndex=3&amp;refID=7034446&amp;Result=3","7034446")</f>
        <v>0</v>
      </c>
      <c r="B9173" t="s">
        <v>2613</v>
      </c>
      <c r="C9173" t="s">
        <v>11829</v>
      </c>
      <c r="D9173" t="s">
        <v>16209</v>
      </c>
      <c r="E9173" t="s">
        <v>24293</v>
      </c>
      <c r="F9173" t="s">
        <v>28200</v>
      </c>
      <c r="G9173" t="s">
        <v>28205</v>
      </c>
      <c r="H9173" t="s">
        <v>28215</v>
      </c>
      <c r="I9173" t="s">
        <v>28248</v>
      </c>
      <c r="J9173" t="s">
        <v>34073</v>
      </c>
      <c r="K9173" t="s">
        <v>36715</v>
      </c>
      <c r="M9173" t="s">
        <v>39832</v>
      </c>
      <c r="N9173" t="s">
        <v>40436</v>
      </c>
      <c r="O9173" t="s">
        <v>40437</v>
      </c>
      <c r="P9173">
        <v>0</v>
      </c>
      <c r="Q9173">
        <v>2</v>
      </c>
      <c r="R9173" t="s">
        <v>40446</v>
      </c>
      <c r="S9173" t="s">
        <v>40783</v>
      </c>
      <c r="T9173" t="s">
        <v>42148</v>
      </c>
      <c r="U9173" t="s">
        <v>50294</v>
      </c>
      <c r="V9173" t="s">
        <v>54764</v>
      </c>
      <c r="W9173" t="s">
        <v>39832</v>
      </c>
      <c r="X9173" t="s">
        <v>40447</v>
      </c>
    </row>
    <row r="9174" spans="1:24">
      <c r="A9174">
        <f>HYPERLINK("https://www.philgeps.gov.ph/GEPSNONPILOT/Tender/SplashBidNoticeAbstractUI.aspx?menuIndex=3&amp;refID=7034456&amp;Result=3","7034456")</f>
        <v>0</v>
      </c>
      <c r="B9174" t="s">
        <v>242</v>
      </c>
      <c r="C9174" t="s">
        <v>11830</v>
      </c>
      <c r="D9174" t="s">
        <v>16254</v>
      </c>
      <c r="E9174" t="s">
        <v>24294</v>
      </c>
      <c r="F9174" t="s">
        <v>28198</v>
      </c>
      <c r="G9174" t="s">
        <v>28205</v>
      </c>
      <c r="H9174" t="s">
        <v>28214</v>
      </c>
      <c r="I9174" t="s">
        <v>3797</v>
      </c>
      <c r="J9174" t="s">
        <v>28390</v>
      </c>
      <c r="K9174" t="s">
        <v>36757</v>
      </c>
      <c r="M9174" t="s">
        <v>37218</v>
      </c>
      <c r="N9174" t="s">
        <v>40436</v>
      </c>
      <c r="O9174" t="s">
        <v>40437</v>
      </c>
      <c r="P9174">
        <v>0</v>
      </c>
      <c r="Q9174">
        <v>1</v>
      </c>
      <c r="R9174" t="s">
        <v>40446</v>
      </c>
      <c r="S9174" t="s">
        <v>40783</v>
      </c>
      <c r="T9174" t="s">
        <v>42183</v>
      </c>
      <c r="U9174" t="s">
        <v>50295</v>
      </c>
      <c r="W9174" t="s">
        <v>37218</v>
      </c>
      <c r="X9174" t="s">
        <v>40447</v>
      </c>
    </row>
    <row r="9175" spans="1:24">
      <c r="A9175">
        <f>HYPERLINK("https://www.philgeps.gov.ph/GEPSNONPILOT/Tender/SplashBidNoticeAbstractUI.aspx?menuIndex=3&amp;refID=7034455&amp;Result=3","7034455")</f>
        <v>0</v>
      </c>
      <c r="B9175" t="s">
        <v>2608</v>
      </c>
      <c r="C9175" t="s">
        <v>11831</v>
      </c>
      <c r="D9175" t="s">
        <v>16249</v>
      </c>
      <c r="E9175" t="s">
        <v>24295</v>
      </c>
      <c r="F9175" t="s">
        <v>28198</v>
      </c>
      <c r="G9175" t="s">
        <v>28205</v>
      </c>
      <c r="H9175" t="s">
        <v>28214</v>
      </c>
      <c r="I9175" t="s">
        <v>3797</v>
      </c>
      <c r="J9175" t="s">
        <v>29683</v>
      </c>
      <c r="K9175" t="s">
        <v>36692</v>
      </c>
      <c r="L9175" t="s">
        <v>2608</v>
      </c>
      <c r="M9175" t="s">
        <v>39827</v>
      </c>
      <c r="N9175" t="s">
        <v>40436</v>
      </c>
      <c r="O9175" t="s">
        <v>40437</v>
      </c>
      <c r="P9175">
        <v>0</v>
      </c>
      <c r="Q9175">
        <v>13</v>
      </c>
      <c r="R9175" t="s">
        <v>40446</v>
      </c>
      <c r="S9175" t="s">
        <v>40783</v>
      </c>
      <c r="T9175" t="s">
        <v>42123</v>
      </c>
      <c r="U9175" t="s">
        <v>50296</v>
      </c>
      <c r="W9175" t="s">
        <v>39827</v>
      </c>
      <c r="X9175" t="s">
        <v>40447</v>
      </c>
    </row>
    <row r="9176" spans="1:24">
      <c r="A9176">
        <f>HYPERLINK("https://www.philgeps.gov.ph/GEPSNONPILOT/Tender/SplashBidNoticeAbstractUI.aspx?menuIndex=3&amp;refID=7034401&amp;Result=3","7034401")</f>
        <v>0</v>
      </c>
      <c r="B9176" t="s">
        <v>381</v>
      </c>
      <c r="C9176" t="s">
        <v>11832</v>
      </c>
      <c r="D9176" t="s">
        <v>16203</v>
      </c>
      <c r="E9176" t="s">
        <v>24296</v>
      </c>
      <c r="F9176" t="s">
        <v>28198</v>
      </c>
      <c r="G9176" t="s">
        <v>28205</v>
      </c>
      <c r="H9176" t="s">
        <v>28215</v>
      </c>
      <c r="I9176" t="s">
        <v>28300</v>
      </c>
      <c r="J9176" t="s">
        <v>34074</v>
      </c>
      <c r="K9176" t="s">
        <v>36690</v>
      </c>
      <c r="M9176" t="s">
        <v>39833</v>
      </c>
      <c r="N9176" t="s">
        <v>40436</v>
      </c>
      <c r="O9176" t="s">
        <v>40437</v>
      </c>
      <c r="Q9176">
        <v>0</v>
      </c>
      <c r="R9176" t="s">
        <v>40446</v>
      </c>
      <c r="S9176" t="s">
        <v>40838</v>
      </c>
      <c r="T9176" t="s">
        <v>42279</v>
      </c>
      <c r="U9176" t="s">
        <v>50297</v>
      </c>
      <c r="V9176" t="s">
        <v>54765</v>
      </c>
      <c r="W9176" t="s">
        <v>39833</v>
      </c>
      <c r="X9176" t="s">
        <v>40447</v>
      </c>
    </row>
    <row r="9177" spans="1:24">
      <c r="A9177">
        <f>HYPERLINK("https://www.philgeps.gov.ph/GEPSNONPILOT/Tender/SplashBidNoticeAbstractUI.aspx?menuIndex=3&amp;refID=7034452&amp;Result=3","7034452")</f>
        <v>0</v>
      </c>
      <c r="B9177" t="s">
        <v>490</v>
      </c>
      <c r="C9177" t="s">
        <v>11833</v>
      </c>
      <c r="D9177" t="s">
        <v>16200</v>
      </c>
      <c r="E9177" t="s">
        <v>24297</v>
      </c>
      <c r="F9177" t="s">
        <v>28198</v>
      </c>
      <c r="G9177" t="s">
        <v>28205</v>
      </c>
      <c r="H9177" t="s">
        <v>28214</v>
      </c>
      <c r="I9177" t="s">
        <v>3797</v>
      </c>
      <c r="J9177" t="s">
        <v>34075</v>
      </c>
      <c r="K9177" t="s">
        <v>36717</v>
      </c>
      <c r="M9177" t="s">
        <v>37475</v>
      </c>
      <c r="N9177" t="s">
        <v>40436</v>
      </c>
      <c r="O9177" t="s">
        <v>40437</v>
      </c>
      <c r="P9177">
        <v>0</v>
      </c>
      <c r="Q9177">
        <v>5</v>
      </c>
      <c r="R9177" t="s">
        <v>40446</v>
      </c>
      <c r="S9177" t="s">
        <v>40783</v>
      </c>
      <c r="T9177" t="s">
        <v>42240</v>
      </c>
      <c r="U9177" t="s">
        <v>50298</v>
      </c>
      <c r="V9177" t="s">
        <v>54766</v>
      </c>
      <c r="W9177" t="s">
        <v>37475</v>
      </c>
      <c r="X9177" t="s">
        <v>40447</v>
      </c>
    </row>
    <row r="9178" spans="1:24">
      <c r="A9178">
        <f>HYPERLINK("https://www.philgeps.gov.ph/GEPSNONPILOT/Tender/SplashBidNoticeAbstractUI.aspx?menuIndex=3&amp;refID=7034442&amp;Result=3","7034442")</f>
        <v>0</v>
      </c>
      <c r="B9178" t="s">
        <v>381</v>
      </c>
      <c r="C9178" t="s">
        <v>11834</v>
      </c>
      <c r="D9178" t="s">
        <v>16203</v>
      </c>
      <c r="E9178" t="s">
        <v>24298</v>
      </c>
      <c r="F9178" t="s">
        <v>28198</v>
      </c>
      <c r="G9178" t="s">
        <v>28205</v>
      </c>
      <c r="H9178" t="s">
        <v>28215</v>
      </c>
      <c r="I9178" t="s">
        <v>6013</v>
      </c>
      <c r="J9178" t="s">
        <v>34076</v>
      </c>
      <c r="K9178" t="s">
        <v>36690</v>
      </c>
      <c r="M9178" t="s">
        <v>39833</v>
      </c>
      <c r="N9178" t="s">
        <v>40436</v>
      </c>
      <c r="O9178" t="s">
        <v>40437</v>
      </c>
      <c r="P9178">
        <v>0</v>
      </c>
      <c r="Q9178">
        <v>1</v>
      </c>
      <c r="R9178" t="s">
        <v>40446</v>
      </c>
      <c r="S9178" t="s">
        <v>40783</v>
      </c>
      <c r="T9178" t="s">
        <v>42279</v>
      </c>
      <c r="U9178" t="s">
        <v>50299</v>
      </c>
      <c r="V9178" t="s">
        <v>54765</v>
      </c>
      <c r="W9178" t="s">
        <v>39833</v>
      </c>
      <c r="X9178" t="s">
        <v>40447</v>
      </c>
    </row>
    <row r="9179" spans="1:24">
      <c r="A9179">
        <f>HYPERLINK("https://www.philgeps.gov.ph/GEPSNONPILOT/Tender/SplashBidNoticeAbstractUI.aspx?menuIndex=3&amp;refID=7034450&amp;Result=3","7034450")</f>
        <v>0</v>
      </c>
      <c r="B9179" t="s">
        <v>2609</v>
      </c>
      <c r="C9179" t="s">
        <v>11835</v>
      </c>
      <c r="D9179" t="s">
        <v>16210</v>
      </c>
      <c r="E9179" t="s">
        <v>18647</v>
      </c>
      <c r="F9179" t="s">
        <v>28200</v>
      </c>
      <c r="G9179" t="s">
        <v>28205</v>
      </c>
      <c r="H9179" t="s">
        <v>28215</v>
      </c>
      <c r="I9179" t="s">
        <v>4200</v>
      </c>
      <c r="J9179" t="s">
        <v>34077</v>
      </c>
      <c r="K9179" t="s">
        <v>36688</v>
      </c>
      <c r="M9179" t="s">
        <v>39828</v>
      </c>
      <c r="N9179" t="s">
        <v>40436</v>
      </c>
      <c r="O9179" t="s">
        <v>40437</v>
      </c>
      <c r="P9179">
        <v>0</v>
      </c>
      <c r="Q9179">
        <v>4</v>
      </c>
      <c r="R9179" t="s">
        <v>40446</v>
      </c>
      <c r="S9179" t="s">
        <v>40783</v>
      </c>
      <c r="T9179" t="s">
        <v>42134</v>
      </c>
      <c r="U9179" t="s">
        <v>50300</v>
      </c>
      <c r="W9179" t="s">
        <v>39828</v>
      </c>
      <c r="X9179" t="s">
        <v>40447</v>
      </c>
    </row>
    <row r="9180" spans="1:24">
      <c r="A9180">
        <f>HYPERLINK("https://www.philgeps.gov.ph/GEPSNONPILOT/Tender/SplashBidNoticeAbstractUI.aspx?menuIndex=3&amp;refID=7034416&amp;Result=3","7034416")</f>
        <v>0</v>
      </c>
      <c r="B9180" t="s">
        <v>2614</v>
      </c>
      <c r="C9180" t="s">
        <v>11836</v>
      </c>
      <c r="D9180" t="s">
        <v>16278</v>
      </c>
      <c r="E9180" t="s">
        <v>16572</v>
      </c>
      <c r="F9180" t="s">
        <v>28198</v>
      </c>
      <c r="G9180" t="s">
        <v>28205</v>
      </c>
      <c r="H9180" t="s">
        <v>28214</v>
      </c>
      <c r="I9180" t="s">
        <v>3797</v>
      </c>
      <c r="J9180" t="s">
        <v>34078</v>
      </c>
      <c r="K9180" t="s">
        <v>36707</v>
      </c>
      <c r="M9180" t="s">
        <v>39834</v>
      </c>
      <c r="N9180" t="s">
        <v>40436</v>
      </c>
      <c r="O9180" t="s">
        <v>40437</v>
      </c>
      <c r="P9180">
        <v>0</v>
      </c>
      <c r="Q9180">
        <v>0</v>
      </c>
      <c r="R9180" t="s">
        <v>40446</v>
      </c>
      <c r="S9180" t="s">
        <v>40783</v>
      </c>
      <c r="T9180" t="s">
        <v>42176</v>
      </c>
      <c r="U9180" t="s">
        <v>50301</v>
      </c>
      <c r="W9180" t="s">
        <v>39834</v>
      </c>
      <c r="X9180" t="s">
        <v>40447</v>
      </c>
    </row>
    <row r="9181" spans="1:24">
      <c r="A9181">
        <f>HYPERLINK("https://www.philgeps.gov.ph/GEPSNONPILOT/Tender/SplashBidNoticeAbstractUI.aspx?menuIndex=3&amp;refID=7034407&amp;Result=3","7034407")</f>
        <v>0</v>
      </c>
      <c r="B9181" t="s">
        <v>46</v>
      </c>
      <c r="C9181" t="s">
        <v>11837</v>
      </c>
      <c r="D9181" t="s">
        <v>16202</v>
      </c>
      <c r="E9181" t="s">
        <v>24299</v>
      </c>
      <c r="F9181" t="s">
        <v>28198</v>
      </c>
      <c r="G9181" t="s">
        <v>28208</v>
      </c>
      <c r="H9181" t="s">
        <v>28216</v>
      </c>
      <c r="I9181" t="s">
        <v>28216</v>
      </c>
      <c r="J9181" t="s">
        <v>34079</v>
      </c>
      <c r="K9181" t="s">
        <v>36689</v>
      </c>
      <c r="L9181" t="s">
        <v>46</v>
      </c>
      <c r="M9181" t="s">
        <v>37017</v>
      </c>
      <c r="N9181" t="s">
        <v>40436</v>
      </c>
      <c r="O9181" t="s">
        <v>40437</v>
      </c>
      <c r="Q9181">
        <v>5</v>
      </c>
      <c r="R9181" t="s">
        <v>40446</v>
      </c>
      <c r="S9181" t="s">
        <v>40839</v>
      </c>
      <c r="T9181" t="s">
        <v>42349</v>
      </c>
      <c r="U9181" t="s">
        <v>50302</v>
      </c>
      <c r="W9181" t="s">
        <v>37017</v>
      </c>
      <c r="X9181" t="s">
        <v>40447</v>
      </c>
    </row>
    <row r="9182" spans="1:24">
      <c r="A9182">
        <f>HYPERLINK("https://www.philgeps.gov.ph/GEPSNONPILOT/Tender/SplashBidNoticeAbstractUI.aspx?menuIndex=3&amp;refID=7034468&amp;Result=3","7034468")</f>
        <v>0</v>
      </c>
      <c r="B9182" t="s">
        <v>291</v>
      </c>
      <c r="C9182" t="s">
        <v>11838</v>
      </c>
      <c r="D9182" t="s">
        <v>16254</v>
      </c>
      <c r="E9182" t="s">
        <v>24300</v>
      </c>
      <c r="F9182" t="s">
        <v>28200</v>
      </c>
      <c r="G9182" t="s">
        <v>28205</v>
      </c>
      <c r="H9182" t="s">
        <v>28215</v>
      </c>
      <c r="I9182" t="s">
        <v>28249</v>
      </c>
      <c r="J9182" t="s">
        <v>34080</v>
      </c>
      <c r="K9182" t="s">
        <v>36707</v>
      </c>
      <c r="M9182" t="s">
        <v>37268</v>
      </c>
      <c r="N9182" t="s">
        <v>40436</v>
      </c>
      <c r="O9182" t="s">
        <v>40437</v>
      </c>
      <c r="P9182">
        <v>0</v>
      </c>
      <c r="Q9182">
        <v>0</v>
      </c>
      <c r="R9182" t="s">
        <v>40446</v>
      </c>
      <c r="S9182" t="s">
        <v>40783</v>
      </c>
      <c r="T9182" t="s">
        <v>42176</v>
      </c>
      <c r="U9182" t="s">
        <v>43081</v>
      </c>
      <c r="W9182" t="s">
        <v>37268</v>
      </c>
      <c r="X9182" t="s">
        <v>40447</v>
      </c>
    </row>
    <row r="9183" spans="1:24">
      <c r="A9183">
        <f>HYPERLINK("https://www.philgeps.gov.ph/GEPSNONPILOT/Tender/SplashBidNoticeAbstractUI.aspx?menuIndex=3&amp;refID=7034451&amp;Result=3","7034451")</f>
        <v>0</v>
      </c>
      <c r="B9183" t="s">
        <v>65</v>
      </c>
      <c r="C9183" t="s">
        <v>11839</v>
      </c>
      <c r="D9183" t="s">
        <v>16210</v>
      </c>
      <c r="E9183" t="s">
        <v>24301</v>
      </c>
      <c r="F9183" t="s">
        <v>28198</v>
      </c>
      <c r="G9183" t="s">
        <v>28205</v>
      </c>
      <c r="H9183" t="s">
        <v>28215</v>
      </c>
      <c r="I9183" t="s">
        <v>4200</v>
      </c>
      <c r="J9183" t="s">
        <v>34081</v>
      </c>
      <c r="K9183" t="s">
        <v>36689</v>
      </c>
      <c r="M9183" t="s">
        <v>39812</v>
      </c>
      <c r="N9183" t="s">
        <v>40436</v>
      </c>
      <c r="O9183" t="s">
        <v>40437</v>
      </c>
      <c r="P9183">
        <v>0</v>
      </c>
      <c r="Q9183">
        <v>4</v>
      </c>
      <c r="R9183" t="s">
        <v>40446</v>
      </c>
      <c r="S9183" t="s">
        <v>40783</v>
      </c>
      <c r="T9183" t="s">
        <v>42346</v>
      </c>
      <c r="U9183" t="s">
        <v>50303</v>
      </c>
      <c r="W9183" t="s">
        <v>39812</v>
      </c>
      <c r="X9183" t="s">
        <v>40447</v>
      </c>
    </row>
    <row r="9184" spans="1:24">
      <c r="A9184">
        <f>HYPERLINK("https://www.philgeps.gov.ph/GEPSNONPILOT/Tender/SplashBidNoticeAbstractUI.aspx?menuIndex=3&amp;refID=7034435&amp;Result=3","7034435")</f>
        <v>0</v>
      </c>
      <c r="B9184" t="s">
        <v>1037</v>
      </c>
      <c r="C9184" t="s">
        <v>11840</v>
      </c>
      <c r="D9184" t="s">
        <v>16190</v>
      </c>
      <c r="E9184" t="s">
        <v>24302</v>
      </c>
      <c r="F9184" t="s">
        <v>28198</v>
      </c>
      <c r="G9184" t="s">
        <v>28205</v>
      </c>
      <c r="H9184" t="s">
        <v>28215</v>
      </c>
      <c r="I9184" t="s">
        <v>5100</v>
      </c>
      <c r="J9184" t="s">
        <v>34082</v>
      </c>
      <c r="K9184" t="s">
        <v>36689</v>
      </c>
      <c r="M9184" t="s">
        <v>38069</v>
      </c>
      <c r="N9184" t="s">
        <v>40436</v>
      </c>
      <c r="O9184" t="s">
        <v>40437</v>
      </c>
      <c r="P9184">
        <v>0</v>
      </c>
      <c r="Q9184">
        <v>1</v>
      </c>
      <c r="R9184" t="s">
        <v>40446</v>
      </c>
      <c r="S9184" t="s">
        <v>40783</v>
      </c>
      <c r="T9184" t="s">
        <v>42482</v>
      </c>
      <c r="U9184" t="s">
        <v>50304</v>
      </c>
      <c r="V9184" t="s">
        <v>54061</v>
      </c>
      <c r="W9184" t="s">
        <v>38069</v>
      </c>
      <c r="X9184" t="s">
        <v>40447</v>
      </c>
    </row>
    <row r="9185" spans="1:24">
      <c r="A9185">
        <f>HYPERLINK("https://www.philgeps.gov.ph/GEPSNONPILOT/Tender/SplashBidNoticeAbstractUI.aspx?menuIndex=3&amp;refID=7034497&amp;Result=3","7034497")</f>
        <v>0</v>
      </c>
      <c r="B9185" t="s">
        <v>291</v>
      </c>
      <c r="C9185" t="s">
        <v>11841</v>
      </c>
      <c r="D9185" t="s">
        <v>16254</v>
      </c>
      <c r="E9185" t="s">
        <v>24303</v>
      </c>
      <c r="F9185" t="s">
        <v>28200</v>
      </c>
      <c r="G9185" t="s">
        <v>28205</v>
      </c>
      <c r="H9185" t="s">
        <v>28215</v>
      </c>
      <c r="I9185" t="s">
        <v>28247</v>
      </c>
      <c r="J9185" t="s">
        <v>34083</v>
      </c>
      <c r="K9185" t="s">
        <v>36707</v>
      </c>
      <c r="M9185" t="s">
        <v>37268</v>
      </c>
      <c r="N9185" t="s">
        <v>40436</v>
      </c>
      <c r="O9185" t="s">
        <v>40437</v>
      </c>
      <c r="P9185">
        <v>0</v>
      </c>
      <c r="Q9185">
        <v>6</v>
      </c>
      <c r="R9185" t="s">
        <v>40446</v>
      </c>
      <c r="S9185" t="s">
        <v>40783</v>
      </c>
      <c r="T9185" t="s">
        <v>42144</v>
      </c>
      <c r="U9185" t="s">
        <v>43081</v>
      </c>
      <c r="W9185" t="s">
        <v>37268</v>
      </c>
      <c r="X9185" t="s">
        <v>40447</v>
      </c>
    </row>
    <row r="9186" spans="1:24">
      <c r="A9186">
        <f>HYPERLINK("https://www.philgeps.gov.ph/GEPSNONPILOT/Tender/SplashBidNoticeAbstractUI.aspx?menuIndex=3&amp;refID=7034449&amp;Result=3","7034449")</f>
        <v>0</v>
      </c>
      <c r="B9186" t="s">
        <v>985</v>
      </c>
      <c r="C9186" t="s">
        <v>11842</v>
      </c>
      <c r="D9186" t="s">
        <v>16210</v>
      </c>
      <c r="E9186" t="s">
        <v>24304</v>
      </c>
      <c r="F9186" t="s">
        <v>28198</v>
      </c>
      <c r="G9186" t="s">
        <v>28207</v>
      </c>
      <c r="H9186" t="s">
        <v>28215</v>
      </c>
      <c r="I9186" t="s">
        <v>28234</v>
      </c>
      <c r="J9186" t="s">
        <v>28393</v>
      </c>
      <c r="K9186" t="s">
        <v>36715</v>
      </c>
      <c r="M9186" t="s">
        <v>38012</v>
      </c>
      <c r="N9186" t="s">
        <v>40436</v>
      </c>
      <c r="O9186" t="s">
        <v>40437</v>
      </c>
      <c r="P9186">
        <v>0</v>
      </c>
      <c r="Q9186">
        <v>10</v>
      </c>
      <c r="R9186" t="s">
        <v>40446</v>
      </c>
      <c r="S9186" t="s">
        <v>40783</v>
      </c>
      <c r="T9186" t="s">
        <v>42378</v>
      </c>
      <c r="U9186" t="s">
        <v>50305</v>
      </c>
      <c r="W9186" t="s">
        <v>38012</v>
      </c>
      <c r="X9186" t="s">
        <v>40447</v>
      </c>
    </row>
    <row r="9187" spans="1:24">
      <c r="A9187">
        <f>HYPERLINK("https://www.philgeps.gov.ph/GEPSNONPILOT/Tender/SplashBidNoticeAbstractUI.aspx?menuIndex=3&amp;refID=7034499&amp;Result=3","7034499")</f>
        <v>0</v>
      </c>
      <c r="B9187" t="s">
        <v>2572</v>
      </c>
      <c r="C9187" t="s">
        <v>11843</v>
      </c>
      <c r="D9187" t="s">
        <v>16244</v>
      </c>
      <c r="E9187" t="s">
        <v>24305</v>
      </c>
      <c r="F9187" t="s">
        <v>28198</v>
      </c>
      <c r="G9187" t="s">
        <v>28205</v>
      </c>
      <c r="H9187" t="s">
        <v>28215</v>
      </c>
      <c r="I9187" t="s">
        <v>28222</v>
      </c>
      <c r="J9187" t="s">
        <v>28921</v>
      </c>
      <c r="K9187" t="s">
        <v>36701</v>
      </c>
      <c r="M9187" t="s">
        <v>39786</v>
      </c>
      <c r="N9187" t="s">
        <v>40436</v>
      </c>
      <c r="O9187" t="s">
        <v>40437</v>
      </c>
      <c r="P9187">
        <v>0</v>
      </c>
      <c r="Q9187">
        <v>6</v>
      </c>
      <c r="R9187" t="s">
        <v>40446</v>
      </c>
      <c r="S9187" t="s">
        <v>40783</v>
      </c>
      <c r="T9187" t="s">
        <v>42529</v>
      </c>
      <c r="U9187" t="s">
        <v>50306</v>
      </c>
      <c r="W9187" t="s">
        <v>39786</v>
      </c>
      <c r="X9187" t="s">
        <v>40447</v>
      </c>
    </row>
    <row r="9188" spans="1:24">
      <c r="A9188">
        <f>HYPERLINK("https://www.philgeps.gov.ph/GEPSNONPILOT/Tender/SplashBidNoticeAbstractUI.aspx?menuIndex=3&amp;refID=7034476&amp;Result=3","7034476")</f>
        <v>0</v>
      </c>
      <c r="B9188" t="s">
        <v>226</v>
      </c>
      <c r="C9188" t="s">
        <v>11844</v>
      </c>
      <c r="D9188" t="s">
        <v>16202</v>
      </c>
      <c r="E9188" t="s">
        <v>24306</v>
      </c>
      <c r="F9188" t="s">
        <v>28198</v>
      </c>
      <c r="G9188" t="s">
        <v>28205</v>
      </c>
      <c r="H9188" t="s">
        <v>28215</v>
      </c>
      <c r="I9188" t="s">
        <v>8888</v>
      </c>
      <c r="J9188" t="s">
        <v>34084</v>
      </c>
      <c r="K9188" t="s">
        <v>36688</v>
      </c>
      <c r="M9188" t="s">
        <v>37202</v>
      </c>
      <c r="N9188" t="s">
        <v>40436</v>
      </c>
      <c r="O9188" t="s">
        <v>40437</v>
      </c>
      <c r="Q9188">
        <v>28</v>
      </c>
      <c r="R9188" t="s">
        <v>40446</v>
      </c>
      <c r="S9188" t="s">
        <v>40840</v>
      </c>
      <c r="T9188" t="s">
        <v>42346</v>
      </c>
      <c r="U9188" t="s">
        <v>50307</v>
      </c>
      <c r="W9188" t="s">
        <v>37202</v>
      </c>
      <c r="X9188" t="s">
        <v>40447</v>
      </c>
    </row>
    <row r="9189" spans="1:24">
      <c r="A9189">
        <f>HYPERLINK("https://www.philgeps.gov.ph/GEPSNONPILOT/Tender/SplashBidNoticeAbstractUI.aspx?menuIndex=3&amp;refID=7034484&amp;Result=3","7034484")</f>
        <v>0</v>
      </c>
      <c r="B9189" t="s">
        <v>2615</v>
      </c>
      <c r="C9189" t="s">
        <v>11845</v>
      </c>
      <c r="D9189" t="s">
        <v>16212</v>
      </c>
      <c r="E9189" t="s">
        <v>24307</v>
      </c>
      <c r="F9189" t="s">
        <v>28198</v>
      </c>
      <c r="G9189" t="s">
        <v>28205</v>
      </c>
      <c r="H9189" t="s">
        <v>28215</v>
      </c>
      <c r="I9189" t="s">
        <v>5100</v>
      </c>
      <c r="J9189" t="s">
        <v>34085</v>
      </c>
      <c r="K9189" t="s">
        <v>36706</v>
      </c>
      <c r="M9189" t="s">
        <v>39835</v>
      </c>
      <c r="N9189" t="s">
        <v>40436</v>
      </c>
      <c r="O9189" t="s">
        <v>40437</v>
      </c>
      <c r="P9189">
        <v>0</v>
      </c>
      <c r="Q9189">
        <v>0</v>
      </c>
      <c r="R9189" t="s">
        <v>40446</v>
      </c>
      <c r="S9189" t="s">
        <v>40783</v>
      </c>
      <c r="T9189" t="s">
        <v>42160</v>
      </c>
      <c r="U9189" t="s">
        <v>50308</v>
      </c>
      <c r="W9189" t="s">
        <v>39835</v>
      </c>
      <c r="X9189" t="s">
        <v>40447</v>
      </c>
    </row>
    <row r="9190" spans="1:24">
      <c r="A9190">
        <f>HYPERLINK("https://www.philgeps.gov.ph/GEPSNONPILOT/Tender/SplashBidNoticeAbstractUI.aspx?menuIndex=3&amp;refID=7034470&amp;Result=3","7034470")</f>
        <v>0</v>
      </c>
      <c r="B9190" t="s">
        <v>2609</v>
      </c>
      <c r="C9190" t="s">
        <v>11846</v>
      </c>
      <c r="D9190" t="s">
        <v>16210</v>
      </c>
      <c r="E9190" t="s">
        <v>16639</v>
      </c>
      <c r="F9190" t="s">
        <v>28200</v>
      </c>
      <c r="G9190" t="s">
        <v>28205</v>
      </c>
      <c r="H9190" t="s">
        <v>28215</v>
      </c>
      <c r="I9190" t="s">
        <v>28241</v>
      </c>
      <c r="J9190" t="s">
        <v>28629</v>
      </c>
      <c r="K9190" t="s">
        <v>36688</v>
      </c>
      <c r="M9190" t="s">
        <v>39828</v>
      </c>
      <c r="N9190" t="s">
        <v>40436</v>
      </c>
      <c r="O9190" t="s">
        <v>40437</v>
      </c>
      <c r="P9190">
        <v>0</v>
      </c>
      <c r="Q9190">
        <v>10</v>
      </c>
      <c r="R9190" t="s">
        <v>40446</v>
      </c>
      <c r="S9190" t="s">
        <v>40783</v>
      </c>
      <c r="T9190" t="s">
        <v>42134</v>
      </c>
      <c r="U9190" t="s">
        <v>50309</v>
      </c>
      <c r="W9190" t="s">
        <v>39828</v>
      </c>
      <c r="X9190" t="s">
        <v>40447</v>
      </c>
    </row>
    <row r="9191" spans="1:24">
      <c r="A9191">
        <f>HYPERLINK("https://www.philgeps.gov.ph/GEPSNONPILOT/Tender/SplashBidNoticeAbstractUI.aspx?menuIndex=3&amp;refID=7034556&amp;Result=3","7034556")</f>
        <v>0</v>
      </c>
      <c r="B9191" t="s">
        <v>46</v>
      </c>
      <c r="C9191" t="s">
        <v>11847</v>
      </c>
      <c r="D9191" t="s">
        <v>16202</v>
      </c>
      <c r="E9191" t="s">
        <v>24308</v>
      </c>
      <c r="F9191" t="s">
        <v>28198</v>
      </c>
      <c r="G9191" t="s">
        <v>28208</v>
      </c>
      <c r="H9191" t="s">
        <v>28215</v>
      </c>
      <c r="I9191" t="s">
        <v>28251</v>
      </c>
      <c r="J9191" t="s">
        <v>34086</v>
      </c>
      <c r="K9191" t="s">
        <v>36689</v>
      </c>
      <c r="L9191" t="s">
        <v>46</v>
      </c>
      <c r="M9191" t="s">
        <v>38060</v>
      </c>
      <c r="N9191" t="s">
        <v>40436</v>
      </c>
      <c r="O9191" t="s">
        <v>40437</v>
      </c>
      <c r="Q9191">
        <v>6</v>
      </c>
      <c r="R9191" t="s">
        <v>40446</v>
      </c>
      <c r="S9191" t="s">
        <v>40841</v>
      </c>
      <c r="T9191" t="s">
        <v>42538</v>
      </c>
      <c r="U9191" t="s">
        <v>50310</v>
      </c>
      <c r="W9191" t="s">
        <v>38060</v>
      </c>
      <c r="X9191" t="s">
        <v>40447</v>
      </c>
    </row>
    <row r="9192" spans="1:24">
      <c r="A9192">
        <f>HYPERLINK("https://www.philgeps.gov.ph/GEPSNONPILOT/Tender/SplashBidNoticeAbstractUI.aspx?menuIndex=3&amp;refID=7034553&amp;Result=3","7034553")</f>
        <v>0</v>
      </c>
      <c r="B9192" t="s">
        <v>2599</v>
      </c>
      <c r="C9192" t="s">
        <v>11848</v>
      </c>
      <c r="D9192" t="s">
        <v>16195</v>
      </c>
      <c r="E9192" t="s">
        <v>24309</v>
      </c>
      <c r="F9192" t="s">
        <v>28198</v>
      </c>
      <c r="G9192" t="s">
        <v>28206</v>
      </c>
      <c r="H9192" t="s">
        <v>28215</v>
      </c>
      <c r="I9192" t="s">
        <v>5100</v>
      </c>
      <c r="J9192" t="s">
        <v>34027</v>
      </c>
      <c r="K9192" t="s">
        <v>36688</v>
      </c>
      <c r="M9192" t="s">
        <v>39815</v>
      </c>
      <c r="N9192" t="s">
        <v>40436</v>
      </c>
      <c r="O9192" t="s">
        <v>40437</v>
      </c>
      <c r="P9192">
        <v>0</v>
      </c>
      <c r="Q9192">
        <v>0</v>
      </c>
      <c r="R9192" t="s">
        <v>40446</v>
      </c>
      <c r="S9192" t="s">
        <v>40783</v>
      </c>
      <c r="T9192" t="s">
        <v>42185</v>
      </c>
      <c r="U9192" t="s">
        <v>50242</v>
      </c>
      <c r="W9192" t="s">
        <v>39815</v>
      </c>
      <c r="X9192" t="s">
        <v>40447</v>
      </c>
    </row>
    <row r="9193" spans="1:24">
      <c r="A9193">
        <f>HYPERLINK("https://www.philgeps.gov.ph/GEPSNONPILOT/Tender/SplashBidNoticeAbstractUI.aspx?menuIndex=3&amp;refID=7034559&amp;Result=3","7034559")</f>
        <v>0</v>
      </c>
      <c r="B9193" t="s">
        <v>2616</v>
      </c>
      <c r="C9193" t="s">
        <v>11849</v>
      </c>
      <c r="D9193" t="s">
        <v>16278</v>
      </c>
      <c r="E9193" t="s">
        <v>16572</v>
      </c>
      <c r="F9193" t="s">
        <v>28198</v>
      </c>
      <c r="G9193" t="s">
        <v>28205</v>
      </c>
      <c r="H9193" t="s">
        <v>28214</v>
      </c>
      <c r="I9193" t="s">
        <v>3797</v>
      </c>
      <c r="J9193" t="s">
        <v>34087</v>
      </c>
      <c r="K9193" t="s">
        <v>36694</v>
      </c>
      <c r="M9193" t="s">
        <v>39836</v>
      </c>
      <c r="N9193" t="s">
        <v>40436</v>
      </c>
      <c r="O9193" t="s">
        <v>40437</v>
      </c>
      <c r="P9193">
        <v>0</v>
      </c>
      <c r="Q9193">
        <v>0</v>
      </c>
      <c r="R9193" t="s">
        <v>40446</v>
      </c>
      <c r="S9193" t="s">
        <v>40783</v>
      </c>
      <c r="T9193" t="s">
        <v>42176</v>
      </c>
      <c r="U9193" t="s">
        <v>50311</v>
      </c>
      <c r="W9193" t="s">
        <v>39836</v>
      </c>
      <c r="X9193" t="s">
        <v>40447</v>
      </c>
    </row>
    <row r="9194" spans="1:24">
      <c r="A9194">
        <f>HYPERLINK("https://www.philgeps.gov.ph/GEPSNONPILOT/Tender/SplashBidNoticeAbstractUI.aspx?menuIndex=3&amp;refID=7034531&amp;Result=3","7034531")</f>
        <v>0</v>
      </c>
      <c r="B9194" t="s">
        <v>787</v>
      </c>
      <c r="C9194" t="s">
        <v>11850</v>
      </c>
      <c r="D9194" t="s">
        <v>16207</v>
      </c>
      <c r="E9194" t="s">
        <v>24310</v>
      </c>
      <c r="F9194" t="s">
        <v>28198</v>
      </c>
      <c r="G9194" t="s">
        <v>28205</v>
      </c>
      <c r="H9194" t="s">
        <v>28214</v>
      </c>
      <c r="I9194" t="s">
        <v>3797</v>
      </c>
      <c r="J9194" t="s">
        <v>34088</v>
      </c>
      <c r="K9194" t="s">
        <v>36694</v>
      </c>
      <c r="M9194" t="s">
        <v>37792</v>
      </c>
      <c r="N9194" t="s">
        <v>40436</v>
      </c>
      <c r="O9194" t="s">
        <v>40437</v>
      </c>
      <c r="P9194">
        <v>0</v>
      </c>
      <c r="Q9194">
        <v>3</v>
      </c>
      <c r="R9194" t="s">
        <v>40446</v>
      </c>
      <c r="S9194" t="s">
        <v>40783</v>
      </c>
      <c r="T9194" t="s">
        <v>42319</v>
      </c>
      <c r="U9194" t="s">
        <v>50312</v>
      </c>
      <c r="V9194" t="s">
        <v>53971</v>
      </c>
      <c r="W9194" t="s">
        <v>37792</v>
      </c>
      <c r="X9194" t="s">
        <v>40447</v>
      </c>
    </row>
    <row r="9195" spans="1:24">
      <c r="A9195">
        <f>HYPERLINK("https://www.philgeps.gov.ph/GEPSNONPILOT/Tender/SplashBidNoticeAbstractUI.aspx?menuIndex=3&amp;refID=7034472&amp;Result=3","7034472")</f>
        <v>0</v>
      </c>
      <c r="B9195" t="s">
        <v>1908</v>
      </c>
      <c r="C9195" t="s">
        <v>11851</v>
      </c>
      <c r="D9195" t="s">
        <v>16199</v>
      </c>
      <c r="E9195" t="s">
        <v>24311</v>
      </c>
      <c r="F9195" t="s">
        <v>28198</v>
      </c>
      <c r="G9195" t="s">
        <v>28205</v>
      </c>
      <c r="H9195" t="s">
        <v>28215</v>
      </c>
      <c r="I9195" t="s">
        <v>8888</v>
      </c>
      <c r="J9195" t="s">
        <v>34089</v>
      </c>
      <c r="K9195" t="s">
        <v>36701</v>
      </c>
      <c r="M9195" t="s">
        <v>39126</v>
      </c>
      <c r="N9195" t="s">
        <v>40436</v>
      </c>
      <c r="O9195" t="s">
        <v>40437</v>
      </c>
      <c r="P9195">
        <v>0</v>
      </c>
      <c r="Q9195">
        <v>12</v>
      </c>
      <c r="R9195" t="s">
        <v>40446</v>
      </c>
      <c r="S9195" t="s">
        <v>40783</v>
      </c>
      <c r="T9195" t="s">
        <v>42168</v>
      </c>
      <c r="U9195" t="s">
        <v>50313</v>
      </c>
      <c r="V9195" t="s">
        <v>54398</v>
      </c>
      <c r="W9195" t="s">
        <v>39126</v>
      </c>
      <c r="X9195" t="s">
        <v>40447</v>
      </c>
    </row>
    <row r="9196" spans="1:24">
      <c r="A9196">
        <f>HYPERLINK("https://www.philgeps.gov.ph/GEPSNONPILOT/Tender/SplashBidNoticeAbstractUI.aspx?menuIndex=3&amp;refID=7034490&amp;Result=3","7034490")</f>
        <v>0</v>
      </c>
      <c r="B9196" t="s">
        <v>46</v>
      </c>
      <c r="C9196" t="s">
        <v>11852</v>
      </c>
      <c r="D9196" t="s">
        <v>16202</v>
      </c>
      <c r="E9196" t="s">
        <v>24312</v>
      </c>
      <c r="F9196" t="s">
        <v>28198</v>
      </c>
      <c r="G9196" t="s">
        <v>28208</v>
      </c>
      <c r="H9196" t="s">
        <v>28215</v>
      </c>
      <c r="I9196" t="s">
        <v>28257</v>
      </c>
      <c r="J9196" t="s">
        <v>34090</v>
      </c>
      <c r="K9196" t="s">
        <v>36689</v>
      </c>
      <c r="L9196" t="s">
        <v>46</v>
      </c>
      <c r="M9196" t="s">
        <v>38060</v>
      </c>
      <c r="N9196" t="s">
        <v>40436</v>
      </c>
      <c r="O9196" t="s">
        <v>40437</v>
      </c>
      <c r="Q9196">
        <v>5</v>
      </c>
      <c r="R9196" t="s">
        <v>40446</v>
      </c>
      <c r="S9196" t="s">
        <v>40842</v>
      </c>
      <c r="T9196" t="s">
        <v>42183</v>
      </c>
      <c r="U9196" t="s">
        <v>50314</v>
      </c>
      <c r="W9196" t="s">
        <v>38060</v>
      </c>
      <c r="X9196" t="s">
        <v>40447</v>
      </c>
    </row>
    <row r="9197" spans="1:24">
      <c r="A9197">
        <f>HYPERLINK("https://www.philgeps.gov.ph/GEPSNONPILOT/Tender/SplashBidNoticeAbstractUI.aspx?menuIndex=3&amp;refID=7034518&amp;Result=3","7034518")</f>
        <v>0</v>
      </c>
      <c r="B9197" t="s">
        <v>2609</v>
      </c>
      <c r="C9197" t="s">
        <v>11853</v>
      </c>
      <c r="D9197" t="s">
        <v>16210</v>
      </c>
      <c r="E9197" t="s">
        <v>18038</v>
      </c>
      <c r="F9197" t="s">
        <v>28200</v>
      </c>
      <c r="G9197" t="s">
        <v>28205</v>
      </c>
      <c r="H9197" t="s">
        <v>28215</v>
      </c>
      <c r="I9197" t="s">
        <v>9499</v>
      </c>
      <c r="J9197" t="s">
        <v>34091</v>
      </c>
      <c r="K9197" t="s">
        <v>36688</v>
      </c>
      <c r="M9197" t="s">
        <v>39828</v>
      </c>
      <c r="N9197" t="s">
        <v>40436</v>
      </c>
      <c r="O9197" t="s">
        <v>40437</v>
      </c>
      <c r="P9197">
        <v>0</v>
      </c>
      <c r="Q9197">
        <v>6</v>
      </c>
      <c r="R9197" t="s">
        <v>40446</v>
      </c>
      <c r="S9197" t="s">
        <v>40783</v>
      </c>
      <c r="T9197" t="s">
        <v>42134</v>
      </c>
      <c r="U9197" t="s">
        <v>50315</v>
      </c>
      <c r="W9197" t="s">
        <v>39828</v>
      </c>
      <c r="X9197" t="s">
        <v>40447</v>
      </c>
    </row>
    <row r="9198" spans="1:24">
      <c r="A9198">
        <f>HYPERLINK("https://www.philgeps.gov.ph/GEPSNONPILOT/Tender/SplashBidNoticeAbstractUI.aspx?menuIndex=3&amp;refID=7034504&amp;Result=3","7034504")</f>
        <v>0</v>
      </c>
      <c r="B9198" t="s">
        <v>46</v>
      </c>
      <c r="C9198" t="s">
        <v>11854</v>
      </c>
      <c r="D9198" t="s">
        <v>16202</v>
      </c>
      <c r="E9198" t="s">
        <v>24313</v>
      </c>
      <c r="F9198" t="s">
        <v>28198</v>
      </c>
      <c r="G9198" t="s">
        <v>28208</v>
      </c>
      <c r="H9198" t="s">
        <v>28215</v>
      </c>
      <c r="I9198" t="s">
        <v>4219</v>
      </c>
      <c r="J9198" t="s">
        <v>34092</v>
      </c>
      <c r="K9198" t="s">
        <v>36689</v>
      </c>
      <c r="L9198" t="s">
        <v>46</v>
      </c>
      <c r="M9198" t="s">
        <v>38060</v>
      </c>
      <c r="N9198" t="s">
        <v>40436</v>
      </c>
      <c r="O9198" t="s">
        <v>40437</v>
      </c>
      <c r="Q9198">
        <v>7</v>
      </c>
      <c r="R9198" t="s">
        <v>40446</v>
      </c>
      <c r="S9198" t="s">
        <v>40843</v>
      </c>
      <c r="T9198" t="s">
        <v>42183</v>
      </c>
      <c r="U9198" t="s">
        <v>50316</v>
      </c>
      <c r="W9198" t="s">
        <v>38060</v>
      </c>
      <c r="X9198" t="s">
        <v>40447</v>
      </c>
    </row>
    <row r="9199" spans="1:24">
      <c r="A9199">
        <f>HYPERLINK("https://www.philgeps.gov.ph/GEPSNONPILOT/Tender/SplashBidNoticeAbstractUI.aspx?menuIndex=3&amp;refID=7034510&amp;Result=3","7034510")</f>
        <v>0</v>
      </c>
      <c r="B9199" t="s">
        <v>242</v>
      </c>
      <c r="C9199" t="s">
        <v>11855</v>
      </c>
      <c r="D9199" t="s">
        <v>16254</v>
      </c>
      <c r="E9199" t="s">
        <v>24314</v>
      </c>
      <c r="F9199" t="s">
        <v>28198</v>
      </c>
      <c r="G9199" t="s">
        <v>28205</v>
      </c>
      <c r="H9199" t="s">
        <v>28214</v>
      </c>
      <c r="I9199" t="s">
        <v>3797</v>
      </c>
      <c r="J9199" t="s">
        <v>34093</v>
      </c>
      <c r="K9199" t="s">
        <v>36697</v>
      </c>
      <c r="M9199" t="s">
        <v>37218</v>
      </c>
      <c r="N9199" t="s">
        <v>40436</v>
      </c>
      <c r="O9199" t="s">
        <v>40437</v>
      </c>
      <c r="P9199">
        <v>0</v>
      </c>
      <c r="Q9199">
        <v>0</v>
      </c>
      <c r="R9199" t="s">
        <v>40446</v>
      </c>
      <c r="S9199" t="s">
        <v>40783</v>
      </c>
      <c r="T9199" t="s">
        <v>42183</v>
      </c>
      <c r="U9199" t="s">
        <v>50317</v>
      </c>
      <c r="W9199" t="s">
        <v>37218</v>
      </c>
      <c r="X9199" t="s">
        <v>40447</v>
      </c>
    </row>
    <row r="9200" spans="1:24">
      <c r="A9200">
        <f>HYPERLINK("https://www.philgeps.gov.ph/GEPSNONPILOT/Tender/SplashBidNoticeAbstractUI.aspx?menuIndex=3&amp;refID=7034516&amp;Result=3","7034516")</f>
        <v>0</v>
      </c>
      <c r="B9200" t="s">
        <v>688</v>
      </c>
      <c r="C9200" t="s">
        <v>11856</v>
      </c>
      <c r="D9200" t="s">
        <v>16230</v>
      </c>
      <c r="E9200" t="s">
        <v>24315</v>
      </c>
      <c r="F9200" t="s">
        <v>28198</v>
      </c>
      <c r="G9200" t="s">
        <v>28206</v>
      </c>
      <c r="H9200" t="s">
        <v>28215</v>
      </c>
      <c r="I9200" t="s">
        <v>4219</v>
      </c>
      <c r="J9200" t="s">
        <v>34094</v>
      </c>
      <c r="K9200" t="s">
        <v>36707</v>
      </c>
      <c r="M9200" t="s">
        <v>37687</v>
      </c>
      <c r="N9200" t="s">
        <v>40436</v>
      </c>
      <c r="O9200" t="s">
        <v>40437</v>
      </c>
      <c r="P9200">
        <v>0</v>
      </c>
      <c r="Q9200">
        <v>1</v>
      </c>
      <c r="R9200" t="s">
        <v>40446</v>
      </c>
      <c r="S9200" t="s">
        <v>40783</v>
      </c>
      <c r="T9200" t="s">
        <v>42218</v>
      </c>
      <c r="U9200" t="s">
        <v>50318</v>
      </c>
      <c r="W9200" t="s">
        <v>37687</v>
      </c>
      <c r="X9200" t="s">
        <v>40447</v>
      </c>
    </row>
    <row r="9201" spans="1:24">
      <c r="A9201">
        <f>HYPERLINK("https://www.philgeps.gov.ph/GEPSNONPILOT/Tender/SplashBidNoticeAbstractUI.aspx?menuIndex=3&amp;refID=7034512&amp;Result=3","7034512")</f>
        <v>0</v>
      </c>
      <c r="B9201" t="s">
        <v>2142</v>
      </c>
      <c r="C9201" t="s">
        <v>11857</v>
      </c>
      <c r="D9201" t="s">
        <v>16198</v>
      </c>
      <c r="E9201" t="s">
        <v>24316</v>
      </c>
      <c r="F9201" t="s">
        <v>28198</v>
      </c>
      <c r="G9201" t="s">
        <v>28205</v>
      </c>
      <c r="H9201" t="s">
        <v>28214</v>
      </c>
      <c r="I9201" t="s">
        <v>3797</v>
      </c>
      <c r="J9201" t="s">
        <v>28398</v>
      </c>
      <c r="K9201" t="s">
        <v>36715</v>
      </c>
      <c r="M9201" t="s">
        <v>39299</v>
      </c>
      <c r="N9201" t="s">
        <v>40436</v>
      </c>
      <c r="O9201" t="s">
        <v>40437</v>
      </c>
      <c r="P9201">
        <v>0</v>
      </c>
      <c r="Q9201">
        <v>0</v>
      </c>
      <c r="R9201" t="s">
        <v>40446</v>
      </c>
      <c r="S9201" t="s">
        <v>40783</v>
      </c>
      <c r="T9201" t="s">
        <v>42399</v>
      </c>
      <c r="U9201" t="s">
        <v>50319</v>
      </c>
      <c r="W9201" t="s">
        <v>39299</v>
      </c>
      <c r="X9201" t="s">
        <v>40447</v>
      </c>
    </row>
    <row r="9202" spans="1:24">
      <c r="A9202">
        <f>HYPERLINK("https://www.philgeps.gov.ph/GEPSNONPILOT/Tender/SplashBidNoticeAbstractUI.aspx?menuIndex=3&amp;refID=7034521&amp;Result=3","7034521")</f>
        <v>0</v>
      </c>
      <c r="B9202" t="s">
        <v>2599</v>
      </c>
      <c r="C9202" t="s">
        <v>11858</v>
      </c>
      <c r="D9202" t="s">
        <v>16195</v>
      </c>
      <c r="E9202" t="s">
        <v>24317</v>
      </c>
      <c r="F9202" t="s">
        <v>28198</v>
      </c>
      <c r="G9202" t="s">
        <v>28206</v>
      </c>
      <c r="H9202" t="s">
        <v>28215</v>
      </c>
      <c r="I9202" t="s">
        <v>5100</v>
      </c>
      <c r="J9202" t="s">
        <v>34027</v>
      </c>
      <c r="K9202" t="s">
        <v>36688</v>
      </c>
      <c r="M9202" t="s">
        <v>39815</v>
      </c>
      <c r="N9202" t="s">
        <v>40436</v>
      </c>
      <c r="O9202" t="s">
        <v>40437</v>
      </c>
      <c r="P9202">
        <v>0</v>
      </c>
      <c r="Q9202">
        <v>0</v>
      </c>
      <c r="R9202" t="s">
        <v>40446</v>
      </c>
      <c r="S9202" t="s">
        <v>40783</v>
      </c>
      <c r="T9202" t="s">
        <v>42185</v>
      </c>
      <c r="U9202" t="s">
        <v>50242</v>
      </c>
      <c r="W9202" t="s">
        <v>39815</v>
      </c>
      <c r="X9202" t="s">
        <v>40447</v>
      </c>
    </row>
    <row r="9203" spans="1:24">
      <c r="A9203">
        <f>HYPERLINK("https://www.philgeps.gov.ph/GEPSNONPILOT/Tender/SplashBidNoticeAbstractUI.aspx?menuIndex=3&amp;refID=7034602&amp;Result=3","7034602")</f>
        <v>0</v>
      </c>
      <c r="B9203" t="s">
        <v>1536</v>
      </c>
      <c r="C9203" t="s">
        <v>11859</v>
      </c>
      <c r="D9203" t="s">
        <v>16222</v>
      </c>
      <c r="E9203" t="s">
        <v>24318</v>
      </c>
      <c r="F9203" t="s">
        <v>28198</v>
      </c>
      <c r="G9203" t="s">
        <v>28205</v>
      </c>
      <c r="H9203" t="s">
        <v>28214</v>
      </c>
      <c r="I9203" t="s">
        <v>3797</v>
      </c>
      <c r="J9203" t="s">
        <v>34095</v>
      </c>
      <c r="K9203" t="s">
        <v>36777</v>
      </c>
      <c r="M9203" t="s">
        <v>38629</v>
      </c>
      <c r="N9203" t="s">
        <v>40436</v>
      </c>
      <c r="O9203" t="s">
        <v>40437</v>
      </c>
      <c r="P9203">
        <v>0</v>
      </c>
      <c r="Q9203">
        <v>0</v>
      </c>
      <c r="R9203" t="s">
        <v>40446</v>
      </c>
      <c r="S9203" t="s">
        <v>40783</v>
      </c>
      <c r="T9203" t="s">
        <v>42278</v>
      </c>
      <c r="U9203" t="s">
        <v>46255</v>
      </c>
      <c r="W9203" t="s">
        <v>38629</v>
      </c>
      <c r="X9203" t="s">
        <v>40447</v>
      </c>
    </row>
    <row r="9204" spans="1:24">
      <c r="A9204">
        <f>HYPERLINK("https://www.philgeps.gov.ph/GEPSNONPILOT/Tender/SplashBidNoticeAbstractUI.aspx?menuIndex=3&amp;refID=7034509&amp;Result=3","7034509")</f>
        <v>0</v>
      </c>
      <c r="B9204" t="s">
        <v>1045</v>
      </c>
      <c r="C9204" t="s">
        <v>11860</v>
      </c>
      <c r="D9204" t="s">
        <v>16255</v>
      </c>
      <c r="E9204" t="s">
        <v>24319</v>
      </c>
      <c r="F9204" t="s">
        <v>28198</v>
      </c>
      <c r="G9204" t="s">
        <v>28205</v>
      </c>
      <c r="H9204" t="s">
        <v>28215</v>
      </c>
      <c r="I9204" t="s">
        <v>6786</v>
      </c>
      <c r="J9204" t="s">
        <v>34096</v>
      </c>
      <c r="K9204" t="s">
        <v>36756</v>
      </c>
      <c r="M9204" t="s">
        <v>38078</v>
      </c>
      <c r="N9204" t="s">
        <v>40436</v>
      </c>
      <c r="O9204" t="s">
        <v>40437</v>
      </c>
      <c r="P9204">
        <v>0</v>
      </c>
      <c r="Q9204">
        <v>0</v>
      </c>
      <c r="R9204" t="s">
        <v>40446</v>
      </c>
      <c r="S9204" t="s">
        <v>40783</v>
      </c>
      <c r="T9204" t="s">
        <v>42346</v>
      </c>
      <c r="U9204" t="s">
        <v>50320</v>
      </c>
      <c r="V9204" t="s">
        <v>54767</v>
      </c>
      <c r="W9204" t="s">
        <v>38078</v>
      </c>
      <c r="X9204" t="s">
        <v>40447</v>
      </c>
    </row>
    <row r="9205" spans="1:24">
      <c r="A9205">
        <f>HYPERLINK("https://www.philgeps.gov.ph/GEPSNONPILOT/Tender/SplashBidNoticeAbstractUI.aspx?menuIndex=3&amp;refID=7034562&amp;Result=3","7034562")</f>
        <v>0</v>
      </c>
      <c r="B9205" t="s">
        <v>242</v>
      </c>
      <c r="C9205" t="s">
        <v>11861</v>
      </c>
      <c r="D9205" t="s">
        <v>16254</v>
      </c>
      <c r="E9205" t="s">
        <v>24320</v>
      </c>
      <c r="F9205" t="s">
        <v>28198</v>
      </c>
      <c r="G9205" t="s">
        <v>28205</v>
      </c>
      <c r="H9205" t="s">
        <v>28214</v>
      </c>
      <c r="I9205" t="s">
        <v>3797</v>
      </c>
      <c r="J9205" t="s">
        <v>30991</v>
      </c>
      <c r="K9205" t="s">
        <v>36767</v>
      </c>
      <c r="M9205" t="s">
        <v>37218</v>
      </c>
      <c r="N9205" t="s">
        <v>40436</v>
      </c>
      <c r="O9205" t="s">
        <v>40437</v>
      </c>
      <c r="P9205">
        <v>0</v>
      </c>
      <c r="Q9205">
        <v>0</v>
      </c>
      <c r="R9205" t="s">
        <v>40446</v>
      </c>
      <c r="S9205" t="s">
        <v>40783</v>
      </c>
      <c r="T9205" t="s">
        <v>42183</v>
      </c>
      <c r="U9205" t="s">
        <v>50321</v>
      </c>
      <c r="W9205" t="s">
        <v>37218</v>
      </c>
      <c r="X9205" t="s">
        <v>40447</v>
      </c>
    </row>
    <row r="9206" spans="1:24">
      <c r="A9206">
        <f>HYPERLINK("https://www.philgeps.gov.ph/GEPSNONPILOT/Tender/SplashBidNoticeAbstractUI.aspx?menuIndex=3&amp;refID=7034601&amp;Result=3","7034601")</f>
        <v>0</v>
      </c>
      <c r="B9206" t="s">
        <v>2609</v>
      </c>
      <c r="C9206" t="s">
        <v>11862</v>
      </c>
      <c r="D9206" t="s">
        <v>16210</v>
      </c>
      <c r="E9206" t="s">
        <v>17186</v>
      </c>
      <c r="F9206" t="s">
        <v>28200</v>
      </c>
      <c r="G9206" t="s">
        <v>28205</v>
      </c>
      <c r="H9206" t="s">
        <v>28215</v>
      </c>
      <c r="I9206" t="s">
        <v>28239</v>
      </c>
      <c r="J9206" t="s">
        <v>28378</v>
      </c>
      <c r="K9206" t="s">
        <v>36707</v>
      </c>
      <c r="M9206" t="s">
        <v>39828</v>
      </c>
      <c r="N9206" t="s">
        <v>40436</v>
      </c>
      <c r="O9206" t="s">
        <v>40437</v>
      </c>
      <c r="P9206">
        <v>0</v>
      </c>
      <c r="Q9206">
        <v>4</v>
      </c>
      <c r="R9206" t="s">
        <v>40446</v>
      </c>
      <c r="S9206" t="s">
        <v>40783</v>
      </c>
      <c r="T9206" t="s">
        <v>42134</v>
      </c>
      <c r="U9206" t="s">
        <v>50322</v>
      </c>
      <c r="W9206" t="s">
        <v>39828</v>
      </c>
      <c r="X9206" t="s">
        <v>40447</v>
      </c>
    </row>
    <row r="9207" spans="1:24">
      <c r="A9207">
        <f>HYPERLINK("https://www.philgeps.gov.ph/GEPSNONPILOT/Tender/SplashBidNoticeAbstractUI.aspx?menuIndex=3&amp;refID=7034608&amp;Result=3","7034608")</f>
        <v>0</v>
      </c>
      <c r="B9207" t="s">
        <v>2572</v>
      </c>
      <c r="C9207" t="s">
        <v>11863</v>
      </c>
      <c r="D9207" t="s">
        <v>16244</v>
      </c>
      <c r="E9207" t="s">
        <v>24321</v>
      </c>
      <c r="F9207" t="s">
        <v>28198</v>
      </c>
      <c r="G9207" t="s">
        <v>28205</v>
      </c>
      <c r="H9207" t="s">
        <v>28215</v>
      </c>
      <c r="I9207" t="s">
        <v>28222</v>
      </c>
      <c r="J9207" t="s">
        <v>30526</v>
      </c>
      <c r="K9207" t="s">
        <v>36701</v>
      </c>
      <c r="M9207" t="s">
        <v>39786</v>
      </c>
      <c r="N9207" t="s">
        <v>40436</v>
      </c>
      <c r="O9207" t="s">
        <v>40437</v>
      </c>
      <c r="P9207">
        <v>0</v>
      </c>
      <c r="Q9207">
        <v>4</v>
      </c>
      <c r="R9207" t="s">
        <v>40446</v>
      </c>
      <c r="S9207" t="s">
        <v>40783</v>
      </c>
      <c r="T9207" t="s">
        <v>42529</v>
      </c>
      <c r="U9207" t="s">
        <v>50323</v>
      </c>
      <c r="W9207" t="s">
        <v>39786</v>
      </c>
      <c r="X9207" t="s">
        <v>40447</v>
      </c>
    </row>
    <row r="9208" spans="1:24">
      <c r="A9208">
        <f>HYPERLINK("https://www.philgeps.gov.ph/GEPSNONPILOT/Tender/SplashBidNoticeAbstractUI.aspx?menuIndex=3&amp;refID=7034579&amp;Result=3","7034579")</f>
        <v>0</v>
      </c>
      <c r="B9208" t="s">
        <v>787</v>
      </c>
      <c r="C9208" t="s">
        <v>11864</v>
      </c>
      <c r="D9208" t="s">
        <v>16207</v>
      </c>
      <c r="E9208" t="s">
        <v>24322</v>
      </c>
      <c r="F9208" t="s">
        <v>28198</v>
      </c>
      <c r="G9208" t="s">
        <v>28205</v>
      </c>
      <c r="H9208" t="s">
        <v>28214</v>
      </c>
      <c r="I9208" t="s">
        <v>3797</v>
      </c>
      <c r="J9208" t="s">
        <v>34097</v>
      </c>
      <c r="K9208" t="s">
        <v>36694</v>
      </c>
      <c r="M9208" t="s">
        <v>37792</v>
      </c>
      <c r="N9208" t="s">
        <v>40436</v>
      </c>
      <c r="O9208" t="s">
        <v>40437</v>
      </c>
      <c r="P9208">
        <v>0</v>
      </c>
      <c r="Q9208">
        <v>4</v>
      </c>
      <c r="R9208" t="s">
        <v>40446</v>
      </c>
      <c r="S9208" t="s">
        <v>40783</v>
      </c>
      <c r="T9208" t="s">
        <v>42319</v>
      </c>
      <c r="U9208" t="s">
        <v>50324</v>
      </c>
      <c r="V9208" t="s">
        <v>53971</v>
      </c>
      <c r="W9208" t="s">
        <v>37792</v>
      </c>
      <c r="X9208" t="s">
        <v>40447</v>
      </c>
    </row>
    <row r="9209" spans="1:24">
      <c r="A9209">
        <f>HYPERLINK("https://www.philgeps.gov.ph/GEPSNONPILOT/Tender/SplashBidNoticeAbstractUI.aspx?menuIndex=3&amp;refID=7034610&amp;Result=3","7034610")</f>
        <v>0</v>
      </c>
      <c r="B9209" t="s">
        <v>2617</v>
      </c>
      <c r="C9209" t="s">
        <v>5631</v>
      </c>
      <c r="D9209" t="s">
        <v>16187</v>
      </c>
      <c r="E9209" t="s">
        <v>24101</v>
      </c>
      <c r="F9209" t="s">
        <v>28198</v>
      </c>
      <c r="G9209" t="s">
        <v>28205</v>
      </c>
      <c r="H9209" t="s">
        <v>28215</v>
      </c>
      <c r="I9209" t="s">
        <v>5631</v>
      </c>
      <c r="J9209" t="s">
        <v>28804</v>
      </c>
      <c r="K9209" t="s">
        <v>36706</v>
      </c>
      <c r="M9209" t="s">
        <v>39837</v>
      </c>
      <c r="N9209" t="s">
        <v>40436</v>
      </c>
      <c r="O9209" t="s">
        <v>40437</v>
      </c>
      <c r="P9209">
        <v>0</v>
      </c>
      <c r="Q9209">
        <v>0</v>
      </c>
      <c r="R9209" t="s">
        <v>40446</v>
      </c>
      <c r="S9209" t="s">
        <v>40783</v>
      </c>
      <c r="T9209" t="s">
        <v>42203</v>
      </c>
      <c r="U9209" t="s">
        <v>50325</v>
      </c>
      <c r="W9209" t="s">
        <v>39837</v>
      </c>
      <c r="X9209" t="s">
        <v>40447</v>
      </c>
    </row>
    <row r="9210" spans="1:24">
      <c r="A9210">
        <f>HYPERLINK("https://www.philgeps.gov.ph/GEPSNONPILOT/Tender/SplashBidNoticeAbstractUI.aspx?menuIndex=3&amp;refID=7034597&amp;Result=3","7034597")</f>
        <v>0</v>
      </c>
      <c r="B9210" t="s">
        <v>242</v>
      </c>
      <c r="C9210" t="s">
        <v>11865</v>
      </c>
      <c r="D9210" t="s">
        <v>16254</v>
      </c>
      <c r="E9210" t="s">
        <v>24323</v>
      </c>
      <c r="F9210" t="s">
        <v>28198</v>
      </c>
      <c r="G9210" t="s">
        <v>28205</v>
      </c>
      <c r="H9210" t="s">
        <v>28214</v>
      </c>
      <c r="I9210" t="s">
        <v>3797</v>
      </c>
      <c r="J9210" t="s">
        <v>34098</v>
      </c>
      <c r="K9210" t="s">
        <v>36737</v>
      </c>
      <c r="M9210" t="s">
        <v>37218</v>
      </c>
      <c r="N9210" t="s">
        <v>40436</v>
      </c>
      <c r="O9210" t="s">
        <v>40437</v>
      </c>
      <c r="P9210">
        <v>0</v>
      </c>
      <c r="Q9210">
        <v>0</v>
      </c>
      <c r="R9210" t="s">
        <v>40446</v>
      </c>
      <c r="S9210" t="s">
        <v>40783</v>
      </c>
      <c r="T9210" t="s">
        <v>42183</v>
      </c>
      <c r="U9210" t="s">
        <v>50321</v>
      </c>
      <c r="W9210" t="s">
        <v>37218</v>
      </c>
      <c r="X9210" t="s">
        <v>40447</v>
      </c>
    </row>
    <row r="9211" spans="1:24">
      <c r="A9211">
        <f>HYPERLINK("https://www.philgeps.gov.ph/GEPSNONPILOT/Tender/SplashBidNoticeAbstractUI.aspx?menuIndex=3&amp;refID=7034583&amp;Result=3","7034583")</f>
        <v>0</v>
      </c>
      <c r="B9211" t="s">
        <v>2618</v>
      </c>
      <c r="C9211" t="s">
        <v>11866</v>
      </c>
      <c r="D9211" t="s">
        <v>16228</v>
      </c>
      <c r="E9211" t="s">
        <v>24324</v>
      </c>
      <c r="F9211" t="s">
        <v>28198</v>
      </c>
      <c r="G9211" t="s">
        <v>28207</v>
      </c>
      <c r="H9211" t="s">
        <v>28215</v>
      </c>
      <c r="I9211" t="s">
        <v>28258</v>
      </c>
      <c r="J9211" t="s">
        <v>34099</v>
      </c>
      <c r="K9211" t="s">
        <v>36701</v>
      </c>
      <c r="M9211" t="s">
        <v>39838</v>
      </c>
      <c r="N9211" t="s">
        <v>40436</v>
      </c>
      <c r="O9211" t="s">
        <v>40437</v>
      </c>
      <c r="P9211">
        <v>0</v>
      </c>
      <c r="Q9211">
        <v>5</v>
      </c>
      <c r="R9211" t="s">
        <v>40446</v>
      </c>
      <c r="S9211" t="s">
        <v>40783</v>
      </c>
      <c r="T9211" t="s">
        <v>42190</v>
      </c>
      <c r="U9211" t="s">
        <v>50326</v>
      </c>
      <c r="W9211" t="s">
        <v>39838</v>
      </c>
      <c r="X9211" t="s">
        <v>40447</v>
      </c>
    </row>
    <row r="9212" spans="1:24">
      <c r="A9212">
        <f>HYPERLINK("https://www.philgeps.gov.ph/GEPSNONPILOT/Tender/SplashBidNoticeAbstractUI.aspx?menuIndex=3&amp;refID=7034616&amp;Result=3","7034616")</f>
        <v>0</v>
      </c>
      <c r="B9212" t="s">
        <v>1021</v>
      </c>
      <c r="C9212" t="s">
        <v>11867</v>
      </c>
      <c r="D9212" t="s">
        <v>16204</v>
      </c>
      <c r="E9212" t="s">
        <v>24325</v>
      </c>
      <c r="F9212" t="s">
        <v>28198</v>
      </c>
      <c r="G9212" t="s">
        <v>28205</v>
      </c>
      <c r="H9212" t="s">
        <v>28214</v>
      </c>
      <c r="I9212" t="s">
        <v>3797</v>
      </c>
      <c r="J9212" t="s">
        <v>29552</v>
      </c>
      <c r="K9212" t="s">
        <v>36690</v>
      </c>
      <c r="M9212" t="s">
        <v>38052</v>
      </c>
      <c r="N9212" t="s">
        <v>40436</v>
      </c>
      <c r="O9212" t="s">
        <v>40437</v>
      </c>
      <c r="P9212">
        <v>0</v>
      </c>
      <c r="Q9212">
        <v>21</v>
      </c>
      <c r="R9212" t="s">
        <v>40446</v>
      </c>
      <c r="S9212" t="s">
        <v>40783</v>
      </c>
      <c r="T9212" t="s">
        <v>42279</v>
      </c>
      <c r="U9212" t="s">
        <v>44707</v>
      </c>
      <c r="V9212" t="s">
        <v>54048</v>
      </c>
      <c r="W9212" t="s">
        <v>38052</v>
      </c>
      <c r="X9212" t="s">
        <v>40447</v>
      </c>
    </row>
    <row r="9213" spans="1:24">
      <c r="A9213">
        <f>HYPERLINK("https://www.philgeps.gov.ph/GEPSNONPILOT/Tender/SplashBidNoticeAbstractUI.aspx?menuIndex=3&amp;refID=7034636&amp;Result=3","7034636")</f>
        <v>0</v>
      </c>
      <c r="B9213" t="s">
        <v>1536</v>
      </c>
      <c r="C9213" t="s">
        <v>11868</v>
      </c>
      <c r="D9213" t="s">
        <v>16222</v>
      </c>
      <c r="E9213" t="s">
        <v>24326</v>
      </c>
      <c r="F9213" t="s">
        <v>28198</v>
      </c>
      <c r="G9213" t="s">
        <v>28205</v>
      </c>
      <c r="H9213" t="s">
        <v>28214</v>
      </c>
      <c r="I9213" t="s">
        <v>3797</v>
      </c>
      <c r="J9213" t="s">
        <v>34100</v>
      </c>
      <c r="K9213" t="s">
        <v>36851</v>
      </c>
      <c r="M9213" t="s">
        <v>38629</v>
      </c>
      <c r="N9213" t="s">
        <v>40436</v>
      </c>
      <c r="O9213" t="s">
        <v>40437</v>
      </c>
      <c r="P9213">
        <v>0</v>
      </c>
      <c r="Q9213">
        <v>0</v>
      </c>
      <c r="R9213" t="s">
        <v>40446</v>
      </c>
      <c r="S9213" t="s">
        <v>40783</v>
      </c>
      <c r="T9213" t="s">
        <v>42278</v>
      </c>
      <c r="U9213" t="s">
        <v>46255</v>
      </c>
      <c r="W9213" t="s">
        <v>38629</v>
      </c>
      <c r="X9213" t="s">
        <v>40447</v>
      </c>
    </row>
    <row r="9214" spans="1:24">
      <c r="A9214">
        <f>HYPERLINK("https://www.philgeps.gov.ph/GEPSNONPILOT/Tender/SplashBidNoticeAbstractUI.aspx?menuIndex=3&amp;refID=7034631&amp;Result=3","7034631")</f>
        <v>0</v>
      </c>
      <c r="B9214" t="s">
        <v>461</v>
      </c>
      <c r="C9214" t="s">
        <v>5837</v>
      </c>
      <c r="D9214" t="s">
        <v>16208</v>
      </c>
      <c r="E9214" t="s">
        <v>24327</v>
      </c>
      <c r="F9214" t="s">
        <v>28198</v>
      </c>
      <c r="G9214" t="s">
        <v>28205</v>
      </c>
      <c r="H9214" t="s">
        <v>28215</v>
      </c>
      <c r="I9214" t="s">
        <v>28222</v>
      </c>
      <c r="J9214" t="s">
        <v>28752</v>
      </c>
      <c r="K9214" t="s">
        <v>36689</v>
      </c>
      <c r="M9214" t="s">
        <v>37445</v>
      </c>
      <c r="N9214" t="s">
        <v>40436</v>
      </c>
      <c r="O9214" t="s">
        <v>40437</v>
      </c>
      <c r="P9214">
        <v>0</v>
      </c>
      <c r="Q9214">
        <v>3</v>
      </c>
      <c r="R9214" t="s">
        <v>40446</v>
      </c>
      <c r="S9214" t="s">
        <v>40783</v>
      </c>
      <c r="T9214" t="s">
        <v>42319</v>
      </c>
      <c r="U9214" t="s">
        <v>50327</v>
      </c>
      <c r="V9214" t="s">
        <v>54768</v>
      </c>
      <c r="W9214" t="s">
        <v>37445</v>
      </c>
      <c r="X9214" t="s">
        <v>40447</v>
      </c>
    </row>
    <row r="9215" spans="1:24">
      <c r="A9215">
        <f>HYPERLINK("https://www.philgeps.gov.ph/GEPSNONPILOT/Tender/SplashBidNoticeAbstractUI.aspx?menuIndex=3&amp;refID=7034585&amp;Result=3","7034585")</f>
        <v>0</v>
      </c>
      <c r="B9215" t="s">
        <v>2599</v>
      </c>
      <c r="C9215" t="s">
        <v>11869</v>
      </c>
      <c r="D9215" t="s">
        <v>16195</v>
      </c>
      <c r="E9215" t="s">
        <v>24328</v>
      </c>
      <c r="F9215" t="s">
        <v>28198</v>
      </c>
      <c r="G9215" t="s">
        <v>28206</v>
      </c>
      <c r="H9215" t="s">
        <v>28215</v>
      </c>
      <c r="I9215" t="s">
        <v>5100</v>
      </c>
      <c r="J9215" t="s">
        <v>34027</v>
      </c>
      <c r="K9215" t="s">
        <v>36688</v>
      </c>
      <c r="M9215" t="s">
        <v>39815</v>
      </c>
      <c r="N9215" t="s">
        <v>40436</v>
      </c>
      <c r="O9215" t="s">
        <v>40437</v>
      </c>
      <c r="P9215">
        <v>0</v>
      </c>
      <c r="Q9215">
        <v>0</v>
      </c>
      <c r="R9215" t="s">
        <v>40446</v>
      </c>
      <c r="S9215" t="s">
        <v>40783</v>
      </c>
      <c r="T9215" t="s">
        <v>42185</v>
      </c>
      <c r="U9215" t="s">
        <v>50242</v>
      </c>
      <c r="W9215" t="s">
        <v>39815</v>
      </c>
      <c r="X9215" t="s">
        <v>40447</v>
      </c>
    </row>
    <row r="9216" spans="1:24">
      <c r="A9216">
        <f>HYPERLINK("https://www.philgeps.gov.ph/GEPSNONPILOT/Tender/SplashBidNoticeAbstractUI.aspx?menuIndex=3&amp;refID=7034613&amp;Result=3","7034613")</f>
        <v>0</v>
      </c>
      <c r="B9216" t="s">
        <v>2613</v>
      </c>
      <c r="C9216" t="s">
        <v>11870</v>
      </c>
      <c r="D9216" t="s">
        <v>16209</v>
      </c>
      <c r="E9216" t="s">
        <v>24329</v>
      </c>
      <c r="F9216" t="s">
        <v>28200</v>
      </c>
      <c r="G9216" t="s">
        <v>28207</v>
      </c>
      <c r="H9216" t="s">
        <v>28215</v>
      </c>
      <c r="I9216" t="s">
        <v>28248</v>
      </c>
      <c r="J9216" t="s">
        <v>34101</v>
      </c>
      <c r="K9216" t="s">
        <v>36701</v>
      </c>
      <c r="M9216" t="s">
        <v>39832</v>
      </c>
      <c r="N9216" t="s">
        <v>40436</v>
      </c>
      <c r="O9216" t="s">
        <v>40437</v>
      </c>
      <c r="P9216">
        <v>0</v>
      </c>
      <c r="Q9216">
        <v>2</v>
      </c>
      <c r="R9216" t="s">
        <v>40446</v>
      </c>
      <c r="S9216" t="s">
        <v>40783</v>
      </c>
      <c r="T9216" t="s">
        <v>42148</v>
      </c>
      <c r="U9216" t="s">
        <v>50328</v>
      </c>
      <c r="V9216" t="s">
        <v>54769</v>
      </c>
      <c r="W9216" t="s">
        <v>39832</v>
      </c>
      <c r="X9216" t="s">
        <v>40447</v>
      </c>
    </row>
    <row r="9217" spans="1:24">
      <c r="A9217">
        <f>HYPERLINK("https://www.philgeps.gov.ph/GEPSNONPILOT/Tender/SplashBidNoticeAbstractUI.aspx?menuIndex=3&amp;refID=7034629&amp;Result=3","7034629")</f>
        <v>0</v>
      </c>
      <c r="B9217" t="s">
        <v>1212</v>
      </c>
      <c r="C9217" t="s">
        <v>11871</v>
      </c>
      <c r="D9217" t="s">
        <v>16264</v>
      </c>
      <c r="E9217" t="s">
        <v>24330</v>
      </c>
      <c r="F9217" t="s">
        <v>28198</v>
      </c>
      <c r="G9217" t="s">
        <v>28205</v>
      </c>
      <c r="H9217" t="s">
        <v>28214</v>
      </c>
      <c r="I9217" t="s">
        <v>5100</v>
      </c>
      <c r="J9217" t="s">
        <v>34102</v>
      </c>
      <c r="K9217" t="s">
        <v>36697</v>
      </c>
      <c r="M9217" t="s">
        <v>38257</v>
      </c>
      <c r="N9217" t="s">
        <v>40436</v>
      </c>
      <c r="O9217" t="s">
        <v>40437</v>
      </c>
      <c r="P9217">
        <v>0</v>
      </c>
      <c r="Q9217">
        <v>1</v>
      </c>
      <c r="R9217" t="s">
        <v>40446</v>
      </c>
      <c r="S9217" t="s">
        <v>40783</v>
      </c>
      <c r="T9217" t="s">
        <v>42183</v>
      </c>
      <c r="U9217" t="s">
        <v>50329</v>
      </c>
      <c r="W9217" t="s">
        <v>38257</v>
      </c>
      <c r="X9217" t="s">
        <v>40447</v>
      </c>
    </row>
    <row r="9218" spans="1:24">
      <c r="A9218">
        <f>HYPERLINK("https://www.philgeps.gov.ph/GEPSNONPILOT/Tender/SplashBidNoticeAbstractUI.aspx?menuIndex=3&amp;refID=7034638&amp;Result=3","7034638")</f>
        <v>0</v>
      </c>
      <c r="B9218" t="s">
        <v>2619</v>
      </c>
      <c r="C9218" t="s">
        <v>11872</v>
      </c>
      <c r="D9218" t="s">
        <v>16210</v>
      </c>
      <c r="E9218" t="s">
        <v>24331</v>
      </c>
      <c r="F9218" t="s">
        <v>28198</v>
      </c>
      <c r="G9218" t="s">
        <v>28205</v>
      </c>
      <c r="H9218" t="s">
        <v>28214</v>
      </c>
      <c r="I9218" t="s">
        <v>3797</v>
      </c>
      <c r="J9218" t="s">
        <v>34103</v>
      </c>
      <c r="K9218" t="s">
        <v>36689</v>
      </c>
      <c r="M9218" t="s">
        <v>39839</v>
      </c>
      <c r="N9218" t="s">
        <v>40436</v>
      </c>
      <c r="O9218" t="s">
        <v>40437</v>
      </c>
      <c r="P9218">
        <v>0</v>
      </c>
      <c r="Q9218">
        <v>1</v>
      </c>
      <c r="R9218" t="s">
        <v>40446</v>
      </c>
      <c r="S9218" t="s">
        <v>40783</v>
      </c>
      <c r="T9218" t="s">
        <v>42480</v>
      </c>
      <c r="U9218" t="s">
        <v>50330</v>
      </c>
      <c r="W9218" t="s">
        <v>39839</v>
      </c>
      <c r="X9218" t="s">
        <v>40447</v>
      </c>
    </row>
    <row r="9219" spans="1:24">
      <c r="A9219">
        <f>HYPERLINK("https://www.philgeps.gov.ph/GEPSNONPILOT/Tender/SplashBidNoticeAbstractUI.aspx?menuIndex=3&amp;refID=7034639&amp;Result=3","7034639")</f>
        <v>0</v>
      </c>
      <c r="B9219" t="s">
        <v>787</v>
      </c>
      <c r="C9219" t="s">
        <v>11873</v>
      </c>
      <c r="D9219" t="s">
        <v>16207</v>
      </c>
      <c r="E9219" t="s">
        <v>24332</v>
      </c>
      <c r="F9219" t="s">
        <v>28198</v>
      </c>
      <c r="G9219" t="s">
        <v>28205</v>
      </c>
      <c r="H9219" t="s">
        <v>28214</v>
      </c>
      <c r="I9219" t="s">
        <v>3797</v>
      </c>
      <c r="J9219" t="s">
        <v>34104</v>
      </c>
      <c r="K9219" t="s">
        <v>36694</v>
      </c>
      <c r="M9219" t="s">
        <v>37792</v>
      </c>
      <c r="N9219" t="s">
        <v>40436</v>
      </c>
      <c r="O9219" t="s">
        <v>40437</v>
      </c>
      <c r="P9219">
        <v>0</v>
      </c>
      <c r="Q9219">
        <v>3</v>
      </c>
      <c r="R9219" t="s">
        <v>40446</v>
      </c>
      <c r="S9219" t="s">
        <v>40783</v>
      </c>
      <c r="T9219" t="s">
        <v>42319</v>
      </c>
      <c r="U9219" t="s">
        <v>50331</v>
      </c>
      <c r="V9219" t="s">
        <v>53971</v>
      </c>
      <c r="W9219" t="s">
        <v>37792</v>
      </c>
      <c r="X9219" t="s">
        <v>40447</v>
      </c>
    </row>
    <row r="9220" spans="1:24">
      <c r="A9220">
        <f>HYPERLINK("https://www.philgeps.gov.ph/GEPSNONPILOT/Tender/SplashBidNoticeAbstractUI.aspx?menuIndex=3&amp;refID=7034643&amp;Result=3","7034643")</f>
        <v>0</v>
      </c>
      <c r="B9220" t="s">
        <v>2324</v>
      </c>
      <c r="C9220" t="s">
        <v>11874</v>
      </c>
      <c r="D9220" t="s">
        <v>16187</v>
      </c>
      <c r="E9220" t="s">
        <v>24333</v>
      </c>
      <c r="F9220" t="s">
        <v>28198</v>
      </c>
      <c r="G9220" t="s">
        <v>28205</v>
      </c>
      <c r="H9220" t="s">
        <v>28214</v>
      </c>
      <c r="I9220" t="s">
        <v>3797</v>
      </c>
      <c r="J9220" t="s">
        <v>34105</v>
      </c>
      <c r="K9220" t="s">
        <v>36716</v>
      </c>
      <c r="M9220" t="s">
        <v>39502</v>
      </c>
      <c r="N9220" t="s">
        <v>40436</v>
      </c>
      <c r="O9220" t="s">
        <v>40437</v>
      </c>
      <c r="P9220">
        <v>0</v>
      </c>
      <c r="Q9220">
        <v>0</v>
      </c>
      <c r="R9220" t="s">
        <v>40446</v>
      </c>
      <c r="S9220" t="s">
        <v>40783</v>
      </c>
      <c r="T9220" t="s">
        <v>42234</v>
      </c>
      <c r="U9220" t="s">
        <v>50332</v>
      </c>
      <c r="W9220" t="s">
        <v>39502</v>
      </c>
      <c r="X9220" t="s">
        <v>40447</v>
      </c>
    </row>
    <row r="9221" spans="1:24">
      <c r="A9221">
        <f>HYPERLINK("https://www.philgeps.gov.ph/GEPSNONPILOT/Tender/SplashBidNoticeAbstractUI.aspx?menuIndex=3&amp;refID=7034622&amp;Result=3","7034622")</f>
        <v>0</v>
      </c>
      <c r="B9221" t="s">
        <v>1536</v>
      </c>
      <c r="C9221" t="s">
        <v>11875</v>
      </c>
      <c r="D9221" t="s">
        <v>16222</v>
      </c>
      <c r="E9221" t="s">
        <v>24334</v>
      </c>
      <c r="F9221" t="s">
        <v>28198</v>
      </c>
      <c r="G9221" t="s">
        <v>28205</v>
      </c>
      <c r="H9221" t="s">
        <v>28214</v>
      </c>
      <c r="I9221" t="s">
        <v>3797</v>
      </c>
      <c r="J9221" t="s">
        <v>34106</v>
      </c>
      <c r="K9221" t="s">
        <v>36724</v>
      </c>
      <c r="M9221" t="s">
        <v>38629</v>
      </c>
      <c r="N9221" t="s">
        <v>40436</v>
      </c>
      <c r="O9221" t="s">
        <v>40437</v>
      </c>
      <c r="P9221">
        <v>0</v>
      </c>
      <c r="Q9221">
        <v>0</v>
      </c>
      <c r="R9221" t="s">
        <v>40446</v>
      </c>
      <c r="S9221" t="s">
        <v>40783</v>
      </c>
      <c r="T9221" t="s">
        <v>42278</v>
      </c>
      <c r="U9221" t="s">
        <v>46255</v>
      </c>
      <c r="W9221" t="s">
        <v>38629</v>
      </c>
      <c r="X9221" t="s">
        <v>40447</v>
      </c>
    </row>
    <row r="9222" spans="1:24">
      <c r="A9222">
        <f>HYPERLINK("https://www.philgeps.gov.ph/GEPSNONPILOT/Tender/SplashBidNoticeAbstractUI.aspx?menuIndex=3&amp;refID=7034573&amp;Result=3","7034573")</f>
        <v>0</v>
      </c>
      <c r="B9222" t="s">
        <v>2609</v>
      </c>
      <c r="C9222" t="s">
        <v>11876</v>
      </c>
      <c r="D9222" t="s">
        <v>16210</v>
      </c>
      <c r="E9222" t="s">
        <v>16684</v>
      </c>
      <c r="F9222" t="s">
        <v>28200</v>
      </c>
      <c r="G9222" t="s">
        <v>28205</v>
      </c>
      <c r="H9222" t="s">
        <v>28215</v>
      </c>
      <c r="I9222" t="s">
        <v>28239</v>
      </c>
      <c r="J9222" t="s">
        <v>28561</v>
      </c>
      <c r="K9222" t="s">
        <v>36687</v>
      </c>
      <c r="M9222" t="s">
        <v>39828</v>
      </c>
      <c r="N9222" t="s">
        <v>40436</v>
      </c>
      <c r="O9222" t="s">
        <v>40437</v>
      </c>
      <c r="P9222">
        <v>0</v>
      </c>
      <c r="Q9222">
        <v>7</v>
      </c>
      <c r="R9222" t="s">
        <v>40446</v>
      </c>
      <c r="S9222" t="s">
        <v>40783</v>
      </c>
      <c r="T9222" t="s">
        <v>42134</v>
      </c>
      <c r="U9222" t="s">
        <v>50333</v>
      </c>
      <c r="W9222" t="s">
        <v>39828</v>
      </c>
      <c r="X9222" t="s">
        <v>40447</v>
      </c>
    </row>
    <row r="9223" spans="1:24">
      <c r="A9223">
        <f>HYPERLINK("https://www.philgeps.gov.ph/GEPSNONPILOT/Tender/SplashBidNoticeAbstractUI.aspx?menuIndex=3&amp;refID=7034529&amp;Result=3","7034529")</f>
        <v>0</v>
      </c>
      <c r="B9223" t="s">
        <v>1021</v>
      </c>
      <c r="C9223" t="s">
        <v>11877</v>
      </c>
      <c r="D9223" t="s">
        <v>16204</v>
      </c>
      <c r="E9223" t="s">
        <v>24335</v>
      </c>
      <c r="F9223" t="s">
        <v>28198</v>
      </c>
      <c r="G9223" t="s">
        <v>28205</v>
      </c>
      <c r="H9223" t="s">
        <v>28214</v>
      </c>
      <c r="I9223" t="s">
        <v>3797</v>
      </c>
      <c r="J9223" t="s">
        <v>28699</v>
      </c>
      <c r="K9223" t="s">
        <v>36694</v>
      </c>
      <c r="M9223" t="s">
        <v>38052</v>
      </c>
      <c r="N9223" t="s">
        <v>40436</v>
      </c>
      <c r="O9223" t="s">
        <v>40437</v>
      </c>
      <c r="P9223">
        <v>0</v>
      </c>
      <c r="Q9223">
        <v>23</v>
      </c>
      <c r="R9223" t="s">
        <v>40446</v>
      </c>
      <c r="S9223" t="s">
        <v>40783</v>
      </c>
      <c r="T9223" t="s">
        <v>42279</v>
      </c>
      <c r="U9223" t="s">
        <v>50334</v>
      </c>
      <c r="V9223" t="s">
        <v>54048</v>
      </c>
      <c r="W9223" t="s">
        <v>38052</v>
      </c>
      <c r="X9223" t="s">
        <v>40447</v>
      </c>
    </row>
    <row r="9224" spans="1:24">
      <c r="A9224">
        <f>HYPERLINK("https://www.philgeps.gov.ph/GEPSNONPILOT/Tender/SplashBidNoticeAbstractUI.aspx?menuIndex=3&amp;refID=7034647&amp;Result=3","7034647")</f>
        <v>0</v>
      </c>
      <c r="B9224" t="s">
        <v>2620</v>
      </c>
      <c r="C9224" t="s">
        <v>11878</v>
      </c>
      <c r="D9224" t="s">
        <v>16244</v>
      </c>
      <c r="E9224" t="s">
        <v>11878</v>
      </c>
      <c r="F9224" t="s">
        <v>28198</v>
      </c>
      <c r="G9224" t="s">
        <v>28205</v>
      </c>
      <c r="H9224" t="s">
        <v>28214</v>
      </c>
      <c r="I9224" t="s">
        <v>3797</v>
      </c>
      <c r="J9224" t="s">
        <v>28347</v>
      </c>
      <c r="K9224" t="s">
        <v>36690</v>
      </c>
      <c r="M9224" t="s">
        <v>39840</v>
      </c>
      <c r="N9224" t="s">
        <v>40436</v>
      </c>
      <c r="O9224" t="s">
        <v>40437</v>
      </c>
      <c r="P9224">
        <v>0</v>
      </c>
      <c r="Q9224">
        <v>2</v>
      </c>
      <c r="R9224" t="s">
        <v>40446</v>
      </c>
      <c r="S9224" t="s">
        <v>40783</v>
      </c>
      <c r="T9224" t="s">
        <v>42230</v>
      </c>
      <c r="U9224" t="s">
        <v>50335</v>
      </c>
      <c r="W9224" t="s">
        <v>39840</v>
      </c>
      <c r="X9224" t="s">
        <v>40447</v>
      </c>
    </row>
    <row r="9225" spans="1:24">
      <c r="A9225">
        <f>HYPERLINK("https://www.philgeps.gov.ph/GEPSNONPILOT/Tender/SplashBidNoticeAbstractUI.aspx?menuIndex=3&amp;refID=7034664&amp;Result=3","7034664")</f>
        <v>0</v>
      </c>
      <c r="B9225" t="s">
        <v>381</v>
      </c>
      <c r="C9225" t="s">
        <v>11879</v>
      </c>
      <c r="D9225" t="s">
        <v>16203</v>
      </c>
      <c r="E9225" t="s">
        <v>24336</v>
      </c>
      <c r="F9225" t="s">
        <v>28198</v>
      </c>
      <c r="G9225" t="s">
        <v>28205</v>
      </c>
      <c r="H9225" t="s">
        <v>28215</v>
      </c>
      <c r="I9225" t="s">
        <v>28246</v>
      </c>
      <c r="J9225" t="s">
        <v>34107</v>
      </c>
      <c r="K9225" t="s">
        <v>36690</v>
      </c>
      <c r="M9225" t="s">
        <v>39833</v>
      </c>
      <c r="N9225" t="s">
        <v>40436</v>
      </c>
      <c r="O9225" t="s">
        <v>40437</v>
      </c>
      <c r="P9225">
        <v>0</v>
      </c>
      <c r="Q9225">
        <v>0</v>
      </c>
      <c r="R9225" t="s">
        <v>40446</v>
      </c>
      <c r="S9225" t="s">
        <v>40783</v>
      </c>
      <c r="T9225" t="s">
        <v>42279</v>
      </c>
      <c r="U9225" t="s">
        <v>50336</v>
      </c>
      <c r="V9225" t="s">
        <v>54765</v>
      </c>
      <c r="W9225" t="s">
        <v>39833</v>
      </c>
      <c r="X9225" t="s">
        <v>40447</v>
      </c>
    </row>
    <row r="9226" spans="1:24">
      <c r="A9226">
        <f>HYPERLINK("https://www.philgeps.gov.ph/GEPSNONPILOT/Tender/SplashBidNoticeAbstractUI.aspx?menuIndex=3&amp;refID=7034652&amp;Result=3","7034652")</f>
        <v>0</v>
      </c>
      <c r="B9226" t="s">
        <v>1422</v>
      </c>
      <c r="C9226" t="s">
        <v>11880</v>
      </c>
      <c r="D9226" t="s">
        <v>16247</v>
      </c>
      <c r="E9226" t="s">
        <v>24337</v>
      </c>
      <c r="F9226" t="s">
        <v>28198</v>
      </c>
      <c r="G9226" t="s">
        <v>28205</v>
      </c>
      <c r="H9226" t="s">
        <v>28215</v>
      </c>
      <c r="I9226" t="s">
        <v>28234</v>
      </c>
      <c r="J9226" t="s">
        <v>29409</v>
      </c>
      <c r="K9226" t="s">
        <v>36715</v>
      </c>
      <c r="M9226" t="s">
        <v>38487</v>
      </c>
      <c r="N9226" t="s">
        <v>40436</v>
      </c>
      <c r="O9226" t="s">
        <v>40437</v>
      </c>
      <c r="P9226">
        <v>0</v>
      </c>
      <c r="Q9226">
        <v>7</v>
      </c>
      <c r="R9226" t="s">
        <v>40446</v>
      </c>
      <c r="S9226" t="s">
        <v>40783</v>
      </c>
      <c r="T9226" t="s">
        <v>42183</v>
      </c>
      <c r="U9226" t="s">
        <v>50337</v>
      </c>
      <c r="V9226" t="s">
        <v>54173</v>
      </c>
      <c r="W9226" t="s">
        <v>38487</v>
      </c>
      <c r="X9226" t="s">
        <v>40447</v>
      </c>
    </row>
    <row r="9227" spans="1:24">
      <c r="A9227">
        <f>HYPERLINK("https://www.philgeps.gov.ph/GEPSNONPILOT/Tender/SplashBidNoticeAbstractUI.aspx?menuIndex=3&amp;refID=7034569&amp;Result=3","7034569")</f>
        <v>0</v>
      </c>
      <c r="B9227" t="s">
        <v>1021</v>
      </c>
      <c r="C9227" t="s">
        <v>11881</v>
      </c>
      <c r="D9227" t="s">
        <v>16204</v>
      </c>
      <c r="E9227" t="s">
        <v>24338</v>
      </c>
      <c r="F9227" t="s">
        <v>28198</v>
      </c>
      <c r="G9227" t="s">
        <v>28205</v>
      </c>
      <c r="H9227" t="s">
        <v>28214</v>
      </c>
      <c r="I9227" t="s">
        <v>3797</v>
      </c>
      <c r="J9227" t="s">
        <v>28730</v>
      </c>
      <c r="K9227" t="s">
        <v>36692</v>
      </c>
      <c r="M9227" t="s">
        <v>38052</v>
      </c>
      <c r="N9227" t="s">
        <v>40436</v>
      </c>
      <c r="O9227" t="s">
        <v>40437</v>
      </c>
      <c r="P9227">
        <v>0</v>
      </c>
      <c r="Q9227">
        <v>21</v>
      </c>
      <c r="R9227" t="s">
        <v>40446</v>
      </c>
      <c r="S9227" t="s">
        <v>40783</v>
      </c>
      <c r="T9227" t="s">
        <v>42279</v>
      </c>
      <c r="U9227" t="s">
        <v>50338</v>
      </c>
      <c r="V9227" t="s">
        <v>54048</v>
      </c>
      <c r="W9227" t="s">
        <v>38052</v>
      </c>
      <c r="X9227" t="s">
        <v>40447</v>
      </c>
    </row>
    <row r="9228" spans="1:24">
      <c r="A9228">
        <f>HYPERLINK("https://www.philgeps.gov.ph/GEPSNONPILOT/Tender/SplashBidNoticeAbstractUI.aspx?menuIndex=3&amp;refID=7034692&amp;Result=3","7034692")</f>
        <v>0</v>
      </c>
      <c r="B9228" t="s">
        <v>381</v>
      </c>
      <c r="C9228" t="s">
        <v>11882</v>
      </c>
      <c r="D9228" t="s">
        <v>16203</v>
      </c>
      <c r="E9228" t="s">
        <v>24339</v>
      </c>
      <c r="F9228" t="s">
        <v>28198</v>
      </c>
      <c r="G9228" t="s">
        <v>28205</v>
      </c>
      <c r="H9228" t="s">
        <v>28215</v>
      </c>
      <c r="I9228" t="s">
        <v>8888</v>
      </c>
      <c r="J9228" t="s">
        <v>34108</v>
      </c>
      <c r="K9228" t="s">
        <v>36715</v>
      </c>
      <c r="M9228" t="s">
        <v>39833</v>
      </c>
      <c r="N9228" t="s">
        <v>40436</v>
      </c>
      <c r="O9228" t="s">
        <v>40437</v>
      </c>
      <c r="P9228">
        <v>0</v>
      </c>
      <c r="Q9228">
        <v>2</v>
      </c>
      <c r="R9228" t="s">
        <v>40446</v>
      </c>
      <c r="S9228" t="s">
        <v>40783</v>
      </c>
      <c r="T9228" t="s">
        <v>42279</v>
      </c>
      <c r="U9228" t="s">
        <v>50339</v>
      </c>
      <c r="V9228" t="s">
        <v>54765</v>
      </c>
      <c r="W9228" t="s">
        <v>39833</v>
      </c>
      <c r="X9228" t="s">
        <v>40447</v>
      </c>
    </row>
    <row r="9229" spans="1:24">
      <c r="A9229">
        <f>HYPERLINK("https://www.philgeps.gov.ph/GEPSNONPILOT/Tender/SplashBidNoticeAbstractUI.aspx?menuIndex=3&amp;refID=7034706&amp;Result=3","7034706")</f>
        <v>0</v>
      </c>
      <c r="B9229" t="s">
        <v>1514</v>
      </c>
      <c r="C9229" t="s">
        <v>11883</v>
      </c>
      <c r="D9229" t="s">
        <v>16188</v>
      </c>
      <c r="E9229" t="s">
        <v>24340</v>
      </c>
      <c r="F9229" t="s">
        <v>28198</v>
      </c>
      <c r="G9229" t="s">
        <v>28205</v>
      </c>
      <c r="H9229" t="s">
        <v>28215</v>
      </c>
      <c r="I9229" t="s">
        <v>28222</v>
      </c>
      <c r="J9229" t="s">
        <v>28351</v>
      </c>
      <c r="K9229" t="s">
        <v>36701</v>
      </c>
      <c r="M9229" t="s">
        <v>38591</v>
      </c>
      <c r="N9229" t="s">
        <v>40436</v>
      </c>
      <c r="O9229" t="s">
        <v>40437</v>
      </c>
      <c r="P9229">
        <v>0</v>
      </c>
      <c r="Q9229">
        <v>5</v>
      </c>
      <c r="R9229" t="s">
        <v>40446</v>
      </c>
      <c r="S9229" t="s">
        <v>40783</v>
      </c>
      <c r="T9229" t="s">
        <v>42292</v>
      </c>
      <c r="U9229" t="s">
        <v>50340</v>
      </c>
      <c r="W9229" t="s">
        <v>38591</v>
      </c>
      <c r="X9229" t="s">
        <v>40447</v>
      </c>
    </row>
    <row r="9230" spans="1:24">
      <c r="A9230">
        <f>HYPERLINK("https://www.philgeps.gov.ph/GEPSNONPILOT/Tender/SplashBidNoticeAbstractUI.aspx?menuIndex=3&amp;refID=7034655&amp;Result=3","7034655")</f>
        <v>0</v>
      </c>
      <c r="B9230" t="s">
        <v>1021</v>
      </c>
      <c r="C9230" t="s">
        <v>11884</v>
      </c>
      <c r="D9230" t="s">
        <v>16204</v>
      </c>
      <c r="E9230" t="s">
        <v>24341</v>
      </c>
      <c r="F9230" t="s">
        <v>28198</v>
      </c>
      <c r="G9230" t="s">
        <v>28205</v>
      </c>
      <c r="H9230" t="s">
        <v>28214</v>
      </c>
      <c r="I9230" t="s">
        <v>3797</v>
      </c>
      <c r="J9230" t="s">
        <v>29566</v>
      </c>
      <c r="K9230" t="s">
        <v>36692</v>
      </c>
      <c r="M9230" t="s">
        <v>38052</v>
      </c>
      <c r="N9230" t="s">
        <v>40436</v>
      </c>
      <c r="O9230" t="s">
        <v>40437</v>
      </c>
      <c r="P9230">
        <v>0</v>
      </c>
      <c r="Q9230">
        <v>19</v>
      </c>
      <c r="R9230" t="s">
        <v>40446</v>
      </c>
      <c r="S9230" t="s">
        <v>40783</v>
      </c>
      <c r="T9230" t="s">
        <v>42279</v>
      </c>
      <c r="U9230" t="s">
        <v>44707</v>
      </c>
      <c r="V9230" t="s">
        <v>54048</v>
      </c>
      <c r="W9230" t="s">
        <v>38052</v>
      </c>
      <c r="X9230" t="s">
        <v>40447</v>
      </c>
    </row>
    <row r="9231" spans="1:24">
      <c r="A9231">
        <f>HYPERLINK("https://www.philgeps.gov.ph/GEPSNONPILOT/Tender/SplashBidNoticeAbstractUI.aspx?menuIndex=3&amp;refID=7034682&amp;Result=3","7034682")</f>
        <v>0</v>
      </c>
      <c r="B9231" t="s">
        <v>381</v>
      </c>
      <c r="C9231" t="s">
        <v>11885</v>
      </c>
      <c r="D9231" t="s">
        <v>16203</v>
      </c>
      <c r="E9231" t="s">
        <v>24342</v>
      </c>
      <c r="F9231" t="s">
        <v>28198</v>
      </c>
      <c r="G9231" t="s">
        <v>28205</v>
      </c>
      <c r="H9231" t="s">
        <v>28215</v>
      </c>
      <c r="I9231" t="s">
        <v>8888</v>
      </c>
      <c r="J9231" t="s">
        <v>34109</v>
      </c>
      <c r="K9231" t="s">
        <v>36715</v>
      </c>
      <c r="M9231" t="s">
        <v>39833</v>
      </c>
      <c r="N9231" t="s">
        <v>40436</v>
      </c>
      <c r="O9231" t="s">
        <v>40437</v>
      </c>
      <c r="P9231">
        <v>0</v>
      </c>
      <c r="Q9231">
        <v>1</v>
      </c>
      <c r="R9231" t="s">
        <v>40446</v>
      </c>
      <c r="S9231" t="s">
        <v>40783</v>
      </c>
      <c r="T9231" t="s">
        <v>42279</v>
      </c>
      <c r="U9231" t="s">
        <v>50341</v>
      </c>
      <c r="V9231" t="s">
        <v>54765</v>
      </c>
      <c r="W9231" t="s">
        <v>39833</v>
      </c>
      <c r="X9231" t="s">
        <v>40447</v>
      </c>
    </row>
    <row r="9232" spans="1:24">
      <c r="A9232">
        <f>HYPERLINK("https://www.philgeps.gov.ph/GEPSNONPILOT/Tender/SplashBidNoticeAbstractUI.aspx?menuIndex=3&amp;refID=7034690&amp;Result=3","7034690")</f>
        <v>0</v>
      </c>
      <c r="B9232" t="s">
        <v>2621</v>
      </c>
      <c r="C9232" t="s">
        <v>11886</v>
      </c>
      <c r="D9232" t="s">
        <v>16203</v>
      </c>
      <c r="E9232" t="s">
        <v>24343</v>
      </c>
      <c r="F9232" t="s">
        <v>28198</v>
      </c>
      <c r="G9232" t="s">
        <v>28205</v>
      </c>
      <c r="H9232" t="s">
        <v>28215</v>
      </c>
      <c r="I9232" t="s">
        <v>28222</v>
      </c>
      <c r="J9232" t="s">
        <v>34110</v>
      </c>
      <c r="K9232" t="s">
        <v>36707</v>
      </c>
      <c r="M9232" t="s">
        <v>39841</v>
      </c>
      <c r="N9232" t="s">
        <v>40436</v>
      </c>
      <c r="O9232" t="s">
        <v>40437</v>
      </c>
      <c r="P9232">
        <v>0</v>
      </c>
      <c r="Q9232">
        <v>5</v>
      </c>
      <c r="R9232" t="s">
        <v>40446</v>
      </c>
      <c r="S9232" t="s">
        <v>40783</v>
      </c>
      <c r="T9232" t="s">
        <v>42511</v>
      </c>
      <c r="U9232" t="s">
        <v>50342</v>
      </c>
      <c r="W9232" t="s">
        <v>39841</v>
      </c>
      <c r="X9232" t="s">
        <v>40447</v>
      </c>
    </row>
    <row r="9233" spans="1:24">
      <c r="A9233">
        <f>HYPERLINK("https://www.philgeps.gov.ph/GEPSNONPILOT/Tender/SplashBidNoticeAbstractUI.aspx?menuIndex=3&amp;refID=7034699&amp;Result=3","7034699")</f>
        <v>0</v>
      </c>
      <c r="B9233" t="s">
        <v>2622</v>
      </c>
      <c r="C9233" t="s">
        <v>11887</v>
      </c>
      <c r="D9233" t="s">
        <v>16207</v>
      </c>
      <c r="E9233" t="s">
        <v>24344</v>
      </c>
      <c r="F9233" t="s">
        <v>28198</v>
      </c>
      <c r="G9233" t="s">
        <v>28209</v>
      </c>
      <c r="H9233" t="s">
        <v>28215</v>
      </c>
      <c r="I9233" t="s">
        <v>28280</v>
      </c>
      <c r="J9233" t="s">
        <v>29531</v>
      </c>
      <c r="K9233" t="s">
        <v>36701</v>
      </c>
      <c r="M9233" t="s">
        <v>39842</v>
      </c>
      <c r="N9233" t="s">
        <v>40436</v>
      </c>
      <c r="O9233" t="s">
        <v>40437</v>
      </c>
      <c r="P9233">
        <v>0</v>
      </c>
      <c r="Q9233">
        <v>4</v>
      </c>
      <c r="R9233" t="s">
        <v>40446</v>
      </c>
      <c r="S9233" t="s">
        <v>40783</v>
      </c>
      <c r="T9233" t="s">
        <v>42425</v>
      </c>
      <c r="U9233" t="s">
        <v>50343</v>
      </c>
      <c r="V9233" t="s">
        <v>54770</v>
      </c>
      <c r="W9233" t="s">
        <v>39842</v>
      </c>
      <c r="X9233" t="s">
        <v>40447</v>
      </c>
    </row>
    <row r="9234" spans="1:24">
      <c r="A9234">
        <f>HYPERLINK("https://www.philgeps.gov.ph/GEPSNONPILOT/Tender/SplashBidNoticeAbstractUI.aspx?menuIndex=3&amp;refID=7034674&amp;Result=3","7034674")</f>
        <v>0</v>
      </c>
      <c r="B9234" t="s">
        <v>67</v>
      </c>
      <c r="C9234" t="s">
        <v>11888</v>
      </c>
      <c r="D9234" t="s">
        <v>16192</v>
      </c>
      <c r="E9234" t="s">
        <v>24345</v>
      </c>
      <c r="F9234" t="s">
        <v>28198</v>
      </c>
      <c r="G9234" t="s">
        <v>28205</v>
      </c>
      <c r="H9234" t="s">
        <v>28215</v>
      </c>
      <c r="I9234" t="s">
        <v>28280</v>
      </c>
      <c r="J9234" t="s">
        <v>34111</v>
      </c>
      <c r="K9234" t="s">
        <v>36694</v>
      </c>
      <c r="M9234" t="s">
        <v>37039</v>
      </c>
      <c r="N9234" t="s">
        <v>40436</v>
      </c>
      <c r="O9234" t="s">
        <v>40437</v>
      </c>
      <c r="P9234">
        <v>0</v>
      </c>
      <c r="Q9234">
        <v>2</v>
      </c>
      <c r="R9234" t="s">
        <v>40446</v>
      </c>
      <c r="S9234" t="s">
        <v>40783</v>
      </c>
      <c r="T9234" t="s">
        <v>42427</v>
      </c>
      <c r="U9234" t="s">
        <v>50344</v>
      </c>
      <c r="V9234" t="s">
        <v>54771</v>
      </c>
      <c r="W9234" t="s">
        <v>37039</v>
      </c>
      <c r="X9234" t="s">
        <v>40447</v>
      </c>
    </row>
    <row r="9235" spans="1:24">
      <c r="A9235">
        <f>HYPERLINK("https://www.philgeps.gov.ph/GEPSNONPILOT/Tender/SplashBidNoticeAbstractUI.aspx?menuIndex=3&amp;refID=7034733&amp;Result=3","7034733")</f>
        <v>0</v>
      </c>
      <c r="B9235" t="s">
        <v>381</v>
      </c>
      <c r="C9235" t="s">
        <v>11889</v>
      </c>
      <c r="D9235" t="s">
        <v>16203</v>
      </c>
      <c r="E9235" t="s">
        <v>24346</v>
      </c>
      <c r="F9235" t="s">
        <v>28198</v>
      </c>
      <c r="G9235" t="s">
        <v>28205</v>
      </c>
      <c r="H9235" t="s">
        <v>28215</v>
      </c>
      <c r="I9235" t="s">
        <v>28302</v>
      </c>
      <c r="J9235" t="s">
        <v>34112</v>
      </c>
      <c r="K9235" t="s">
        <v>36701</v>
      </c>
      <c r="M9235" t="s">
        <v>39833</v>
      </c>
      <c r="N9235" t="s">
        <v>40436</v>
      </c>
      <c r="O9235" t="s">
        <v>40437</v>
      </c>
      <c r="P9235">
        <v>0</v>
      </c>
      <c r="Q9235">
        <v>3</v>
      </c>
      <c r="R9235" t="s">
        <v>40446</v>
      </c>
      <c r="S9235" t="s">
        <v>40783</v>
      </c>
      <c r="T9235" t="s">
        <v>42279</v>
      </c>
      <c r="U9235" t="s">
        <v>50345</v>
      </c>
      <c r="V9235" t="s">
        <v>54765</v>
      </c>
      <c r="W9235" t="s">
        <v>39833</v>
      </c>
      <c r="X9235" t="s">
        <v>40447</v>
      </c>
    </row>
    <row r="9236" spans="1:24">
      <c r="A9236">
        <f>HYPERLINK("https://www.philgeps.gov.ph/GEPSNONPILOT/Tender/SplashBidNoticeAbstractUI.aspx?menuIndex=3&amp;refID=7034716&amp;Result=3","7034716")</f>
        <v>0</v>
      </c>
      <c r="B9236" t="s">
        <v>2623</v>
      </c>
      <c r="C9236" t="s">
        <v>11890</v>
      </c>
      <c r="D9236" t="s">
        <v>16224</v>
      </c>
      <c r="E9236" t="s">
        <v>24347</v>
      </c>
      <c r="F9236" t="s">
        <v>28198</v>
      </c>
      <c r="G9236" t="s">
        <v>28205</v>
      </c>
      <c r="H9236" t="s">
        <v>28215</v>
      </c>
      <c r="I9236" t="s">
        <v>28225</v>
      </c>
      <c r="J9236" t="s">
        <v>34113</v>
      </c>
      <c r="K9236" t="s">
        <v>36701</v>
      </c>
      <c r="M9236" t="s">
        <v>39843</v>
      </c>
      <c r="N9236" t="s">
        <v>40436</v>
      </c>
      <c r="O9236" t="s">
        <v>40437</v>
      </c>
      <c r="P9236">
        <v>0</v>
      </c>
      <c r="Q9236">
        <v>10</v>
      </c>
      <c r="R9236" t="s">
        <v>40446</v>
      </c>
      <c r="S9236" t="s">
        <v>40783</v>
      </c>
      <c r="T9236" t="s">
        <v>42424</v>
      </c>
      <c r="U9236" t="s">
        <v>50346</v>
      </c>
      <c r="V9236" t="s">
        <v>54772</v>
      </c>
      <c r="W9236" t="s">
        <v>55523</v>
      </c>
      <c r="X9236" t="s">
        <v>40447</v>
      </c>
    </row>
    <row r="9237" spans="1:24">
      <c r="A9237">
        <f>HYPERLINK("https://www.philgeps.gov.ph/GEPSNONPILOT/Tender/SplashBidNoticeAbstractUI.aspx?menuIndex=3&amp;refID=7034719&amp;Result=3","7034719")</f>
        <v>0</v>
      </c>
      <c r="B9237" t="s">
        <v>840</v>
      </c>
      <c r="C9237" t="s">
        <v>11891</v>
      </c>
      <c r="E9237" t="s">
        <v>24348</v>
      </c>
      <c r="F9237" t="s">
        <v>28198</v>
      </c>
      <c r="G9237" t="s">
        <v>28205</v>
      </c>
      <c r="H9237" t="s">
        <v>28215</v>
      </c>
      <c r="I9237" t="s">
        <v>28222</v>
      </c>
      <c r="J9237" t="s">
        <v>34114</v>
      </c>
      <c r="K9237" t="s">
        <v>36717</v>
      </c>
      <c r="M9237" t="s">
        <v>38830</v>
      </c>
      <c r="N9237" t="s">
        <v>40436</v>
      </c>
      <c r="O9237" t="s">
        <v>40437</v>
      </c>
      <c r="Q9237">
        <v>9</v>
      </c>
      <c r="R9237" t="s">
        <v>40446</v>
      </c>
      <c r="S9237" t="s">
        <v>40844</v>
      </c>
      <c r="T9237" t="s">
        <v>42493</v>
      </c>
      <c r="U9237" t="s">
        <v>50347</v>
      </c>
      <c r="W9237" t="s">
        <v>38830</v>
      </c>
      <c r="X9237" t="s">
        <v>40447</v>
      </c>
    </row>
    <row r="9238" spans="1:24">
      <c r="A9238">
        <f>HYPERLINK("https://www.philgeps.gov.ph/GEPSNONPILOT/Tender/SplashBidNoticeAbstractUI.aspx?menuIndex=3&amp;refID=7034686&amp;Result=3","7034686")</f>
        <v>0</v>
      </c>
      <c r="B9238" t="s">
        <v>646</v>
      </c>
      <c r="C9238" t="s">
        <v>11892</v>
      </c>
      <c r="D9238" t="s">
        <v>16235</v>
      </c>
      <c r="E9238" t="s">
        <v>24349</v>
      </c>
      <c r="F9238" t="s">
        <v>28198</v>
      </c>
      <c r="G9238" t="s">
        <v>28205</v>
      </c>
      <c r="H9238" t="s">
        <v>28214</v>
      </c>
      <c r="I9238" t="s">
        <v>3797</v>
      </c>
      <c r="J9238" t="s">
        <v>28836</v>
      </c>
      <c r="K9238" t="s">
        <v>36690</v>
      </c>
      <c r="M9238" t="s">
        <v>37640</v>
      </c>
      <c r="N9238" t="s">
        <v>40436</v>
      </c>
      <c r="O9238" t="s">
        <v>40437</v>
      </c>
      <c r="P9238">
        <v>0</v>
      </c>
      <c r="Q9238">
        <v>0</v>
      </c>
      <c r="R9238" t="s">
        <v>40446</v>
      </c>
      <c r="S9238" t="s">
        <v>40783</v>
      </c>
      <c r="T9238" t="s">
        <v>42168</v>
      </c>
      <c r="U9238" t="s">
        <v>50348</v>
      </c>
      <c r="W9238" t="s">
        <v>37640</v>
      </c>
      <c r="X9238" t="s">
        <v>40447</v>
      </c>
    </row>
    <row r="9239" spans="1:24">
      <c r="A9239">
        <f>HYPERLINK("https://www.philgeps.gov.ph/GEPSNONPILOT/Tender/SplashBidNoticeAbstractUI.aspx?menuIndex=3&amp;refID=7034713&amp;Result=3","7034713")</f>
        <v>0</v>
      </c>
      <c r="B9239" t="s">
        <v>381</v>
      </c>
      <c r="C9239" t="s">
        <v>11893</v>
      </c>
      <c r="D9239" t="s">
        <v>16203</v>
      </c>
      <c r="E9239" t="s">
        <v>24350</v>
      </c>
      <c r="F9239" t="s">
        <v>28198</v>
      </c>
      <c r="G9239" t="s">
        <v>28205</v>
      </c>
      <c r="H9239" t="s">
        <v>28215</v>
      </c>
      <c r="I9239" t="s">
        <v>6013</v>
      </c>
      <c r="J9239" t="s">
        <v>34115</v>
      </c>
      <c r="K9239" t="s">
        <v>36690</v>
      </c>
      <c r="M9239" t="s">
        <v>39833</v>
      </c>
      <c r="N9239" t="s">
        <v>40436</v>
      </c>
      <c r="O9239" t="s">
        <v>40437</v>
      </c>
      <c r="P9239">
        <v>0</v>
      </c>
      <c r="Q9239">
        <v>1</v>
      </c>
      <c r="R9239" t="s">
        <v>40446</v>
      </c>
      <c r="S9239" t="s">
        <v>40783</v>
      </c>
      <c r="T9239" t="s">
        <v>42279</v>
      </c>
      <c r="U9239" t="s">
        <v>50349</v>
      </c>
      <c r="V9239" t="s">
        <v>54765</v>
      </c>
      <c r="W9239" t="s">
        <v>39833</v>
      </c>
      <c r="X9239" t="s">
        <v>40447</v>
      </c>
    </row>
    <row r="9240" spans="1:24">
      <c r="A9240">
        <f>HYPERLINK("https://www.philgeps.gov.ph/GEPSNONPILOT/Tender/SplashBidNoticeAbstractUI.aspx?menuIndex=3&amp;refID=7034688&amp;Result=3","7034688")</f>
        <v>0</v>
      </c>
      <c r="B9240" t="s">
        <v>305</v>
      </c>
      <c r="C9240" t="s">
        <v>11894</v>
      </c>
      <c r="D9240" t="s">
        <v>16197</v>
      </c>
      <c r="E9240" t="s">
        <v>24351</v>
      </c>
      <c r="F9240" t="s">
        <v>28198</v>
      </c>
      <c r="G9240" t="s">
        <v>28205</v>
      </c>
      <c r="H9240" t="s">
        <v>28215</v>
      </c>
      <c r="I9240" t="s">
        <v>4219</v>
      </c>
      <c r="J9240" t="s">
        <v>34116</v>
      </c>
      <c r="K9240" t="s">
        <v>36707</v>
      </c>
      <c r="M9240" t="s">
        <v>39649</v>
      </c>
      <c r="N9240" t="s">
        <v>40436</v>
      </c>
      <c r="O9240" t="s">
        <v>40437</v>
      </c>
      <c r="P9240">
        <v>0</v>
      </c>
      <c r="Q9240">
        <v>10</v>
      </c>
      <c r="R9240" t="s">
        <v>40446</v>
      </c>
      <c r="S9240" t="s">
        <v>40783</v>
      </c>
      <c r="T9240" t="s">
        <v>42459</v>
      </c>
      <c r="U9240" t="s">
        <v>50350</v>
      </c>
      <c r="W9240" t="s">
        <v>39649</v>
      </c>
      <c r="X9240" t="s">
        <v>40447</v>
      </c>
    </row>
    <row r="9241" spans="1:24">
      <c r="A9241">
        <f>HYPERLINK("https://www.philgeps.gov.ph/GEPSNONPILOT/Tender/SplashBidNoticeAbstractUI.aspx?menuIndex=3&amp;refID=7034670&amp;Result=3","7034670")</f>
        <v>0</v>
      </c>
      <c r="B9241" t="s">
        <v>2609</v>
      </c>
      <c r="C9241" t="s">
        <v>11895</v>
      </c>
      <c r="D9241" t="s">
        <v>16210</v>
      </c>
      <c r="E9241" t="s">
        <v>17031</v>
      </c>
      <c r="F9241" t="s">
        <v>28200</v>
      </c>
      <c r="G9241" t="s">
        <v>28205</v>
      </c>
      <c r="H9241" t="s">
        <v>28215</v>
      </c>
      <c r="I9241" t="s">
        <v>28225</v>
      </c>
      <c r="J9241" t="s">
        <v>28345</v>
      </c>
      <c r="K9241" t="s">
        <v>36688</v>
      </c>
      <c r="M9241" t="s">
        <v>39828</v>
      </c>
      <c r="N9241" t="s">
        <v>40436</v>
      </c>
      <c r="O9241" t="s">
        <v>40437</v>
      </c>
      <c r="P9241">
        <v>0</v>
      </c>
      <c r="Q9241">
        <v>6</v>
      </c>
      <c r="R9241" t="s">
        <v>40446</v>
      </c>
      <c r="S9241" t="s">
        <v>40783</v>
      </c>
      <c r="T9241" t="s">
        <v>42134</v>
      </c>
      <c r="U9241" t="s">
        <v>50351</v>
      </c>
      <c r="W9241" t="s">
        <v>39828</v>
      </c>
      <c r="X9241" t="s">
        <v>40447</v>
      </c>
    </row>
    <row r="9242" spans="1:24">
      <c r="A9242">
        <f>HYPERLINK("https://www.philgeps.gov.ph/GEPSNONPILOT/Tender/SplashBidNoticeAbstractUI.aspx?menuIndex=3&amp;refID=7034737&amp;Result=3","7034737")</f>
        <v>0</v>
      </c>
      <c r="B9242" t="s">
        <v>2624</v>
      </c>
      <c r="C9242" t="s">
        <v>11896</v>
      </c>
      <c r="D9242" t="s">
        <v>16193</v>
      </c>
      <c r="E9242" t="s">
        <v>16424</v>
      </c>
      <c r="F9242" t="s">
        <v>28198</v>
      </c>
      <c r="G9242" t="s">
        <v>28205</v>
      </c>
      <c r="H9242" t="s">
        <v>28217</v>
      </c>
      <c r="I9242" t="s">
        <v>28254</v>
      </c>
      <c r="J9242" t="s">
        <v>28694</v>
      </c>
      <c r="K9242" t="s">
        <v>36687</v>
      </c>
      <c r="M9242" t="s">
        <v>39844</v>
      </c>
      <c r="N9242" t="s">
        <v>40436</v>
      </c>
      <c r="O9242" t="s">
        <v>40437</v>
      </c>
      <c r="Q9242">
        <v>0</v>
      </c>
      <c r="R9242" t="s">
        <v>40446</v>
      </c>
      <c r="S9242" t="s">
        <v>40845</v>
      </c>
      <c r="T9242" t="s">
        <v>42119</v>
      </c>
      <c r="U9242" t="s">
        <v>50352</v>
      </c>
      <c r="W9242" t="s">
        <v>39844</v>
      </c>
      <c r="X9242" t="s">
        <v>40447</v>
      </c>
    </row>
    <row r="9243" spans="1:24">
      <c r="A9243">
        <f>HYPERLINK("https://www.philgeps.gov.ph/GEPSNONPILOT/Tender/SplashBidNoticeAbstractUI.aspx?menuIndex=3&amp;refID=7034712&amp;Result=3","7034712")</f>
        <v>0</v>
      </c>
      <c r="B9243" t="s">
        <v>646</v>
      </c>
      <c r="C9243" t="s">
        <v>11897</v>
      </c>
      <c r="D9243" t="s">
        <v>16235</v>
      </c>
      <c r="E9243" t="s">
        <v>24352</v>
      </c>
      <c r="F9243" t="s">
        <v>28198</v>
      </c>
      <c r="G9243" t="s">
        <v>28205</v>
      </c>
      <c r="H9243" t="s">
        <v>28214</v>
      </c>
      <c r="I9243" t="s">
        <v>3797</v>
      </c>
      <c r="J9243" t="s">
        <v>34117</v>
      </c>
      <c r="K9243" t="s">
        <v>36694</v>
      </c>
      <c r="M9243" t="s">
        <v>37640</v>
      </c>
      <c r="N9243" t="s">
        <v>40436</v>
      </c>
      <c r="O9243" t="s">
        <v>40437</v>
      </c>
      <c r="P9243">
        <v>0</v>
      </c>
      <c r="Q9243">
        <v>0</v>
      </c>
      <c r="R9243" t="s">
        <v>40446</v>
      </c>
      <c r="S9243" t="s">
        <v>40783</v>
      </c>
      <c r="T9243" t="s">
        <v>42168</v>
      </c>
      <c r="U9243" t="s">
        <v>50353</v>
      </c>
      <c r="W9243" t="s">
        <v>37640</v>
      </c>
      <c r="X9243" t="s">
        <v>40447</v>
      </c>
    </row>
    <row r="9244" spans="1:24">
      <c r="A9244">
        <f>HYPERLINK("https://www.philgeps.gov.ph/GEPSNONPILOT/Tender/SplashBidNoticeAbstractUI.aspx?menuIndex=3&amp;refID=7034821&amp;Result=3","7034821")</f>
        <v>0</v>
      </c>
      <c r="B9244" t="s">
        <v>2409</v>
      </c>
      <c r="C9244" t="s">
        <v>11898</v>
      </c>
      <c r="D9244" t="s">
        <v>16226</v>
      </c>
      <c r="E9244" t="s">
        <v>24353</v>
      </c>
      <c r="F9244" t="s">
        <v>28198</v>
      </c>
      <c r="G9244" t="s">
        <v>28205</v>
      </c>
      <c r="H9244" t="s">
        <v>28214</v>
      </c>
      <c r="I9244" t="s">
        <v>3797</v>
      </c>
      <c r="J9244" t="s">
        <v>34118</v>
      </c>
      <c r="K9244" t="s">
        <v>36768</v>
      </c>
      <c r="M9244" t="s">
        <v>39597</v>
      </c>
      <c r="N9244" t="s">
        <v>40436</v>
      </c>
      <c r="O9244" t="s">
        <v>40437</v>
      </c>
      <c r="Q9244">
        <v>0</v>
      </c>
      <c r="R9244" t="s">
        <v>40446</v>
      </c>
      <c r="S9244" t="s">
        <v>40846</v>
      </c>
      <c r="T9244" t="s">
        <v>42279</v>
      </c>
      <c r="U9244" t="s">
        <v>50354</v>
      </c>
      <c r="W9244" t="s">
        <v>39597</v>
      </c>
      <c r="X9244" t="s">
        <v>40447</v>
      </c>
    </row>
    <row r="9245" spans="1:24">
      <c r="A9245">
        <f>HYPERLINK("https://www.philgeps.gov.ph/GEPSNONPILOT/Tender/SplashBidNoticeAbstractUI.aspx?menuIndex=3&amp;refID=7034728&amp;Result=3","7034728")</f>
        <v>0</v>
      </c>
      <c r="B9245" t="s">
        <v>2625</v>
      </c>
      <c r="C9245" t="s">
        <v>11899</v>
      </c>
      <c r="D9245" t="s">
        <v>16223</v>
      </c>
      <c r="E9245" t="s">
        <v>16473</v>
      </c>
      <c r="F9245" t="s">
        <v>28198</v>
      </c>
      <c r="G9245" t="s">
        <v>28207</v>
      </c>
      <c r="H9245" t="s">
        <v>28214</v>
      </c>
      <c r="I9245" t="s">
        <v>3797</v>
      </c>
      <c r="J9245" t="s">
        <v>28797</v>
      </c>
      <c r="K9245" t="s">
        <v>36692</v>
      </c>
      <c r="M9245" t="s">
        <v>39845</v>
      </c>
      <c r="N9245" t="s">
        <v>40436</v>
      </c>
      <c r="O9245" t="s">
        <v>40437</v>
      </c>
      <c r="P9245">
        <v>0</v>
      </c>
      <c r="Q9245">
        <v>1</v>
      </c>
      <c r="R9245" t="s">
        <v>40446</v>
      </c>
      <c r="S9245" t="s">
        <v>40783</v>
      </c>
      <c r="T9245" t="s">
        <v>42103</v>
      </c>
      <c r="U9245" t="s">
        <v>50355</v>
      </c>
      <c r="W9245" t="s">
        <v>39845</v>
      </c>
      <c r="X9245" t="s">
        <v>40447</v>
      </c>
    </row>
    <row r="9246" spans="1:24">
      <c r="A9246">
        <f>HYPERLINK("https://www.philgeps.gov.ph/GEPSNONPILOT/Tender/SplashBidNoticeAbstractUI.aspx?menuIndex=3&amp;refID=7034766&amp;Result=3","7034766")</f>
        <v>0</v>
      </c>
      <c r="B9246" t="s">
        <v>2324</v>
      </c>
      <c r="C9246" t="s">
        <v>11900</v>
      </c>
      <c r="D9246" t="s">
        <v>16187</v>
      </c>
      <c r="E9246" t="s">
        <v>24354</v>
      </c>
      <c r="F9246" t="s">
        <v>28198</v>
      </c>
      <c r="G9246" t="s">
        <v>28205</v>
      </c>
      <c r="H9246" t="s">
        <v>28214</v>
      </c>
      <c r="I9246" t="s">
        <v>3797</v>
      </c>
      <c r="J9246" t="s">
        <v>34119</v>
      </c>
      <c r="K9246" t="s">
        <v>36888</v>
      </c>
      <c r="M9246" t="s">
        <v>39502</v>
      </c>
      <c r="N9246" t="s">
        <v>40436</v>
      </c>
      <c r="O9246" t="s">
        <v>40437</v>
      </c>
      <c r="P9246">
        <v>0</v>
      </c>
      <c r="Q9246">
        <v>0</v>
      </c>
      <c r="R9246" t="s">
        <v>40446</v>
      </c>
      <c r="S9246" t="s">
        <v>40783</v>
      </c>
      <c r="T9246" t="s">
        <v>42234</v>
      </c>
      <c r="U9246" t="s">
        <v>50356</v>
      </c>
      <c r="W9246" t="s">
        <v>39502</v>
      </c>
      <c r="X9246" t="s">
        <v>40447</v>
      </c>
    </row>
    <row r="9247" spans="1:24">
      <c r="A9247">
        <f>HYPERLINK("https://www.philgeps.gov.ph/GEPSNONPILOT/Tender/SplashBidNoticeAbstractUI.aspx?menuIndex=3&amp;refID=7034812&amp;Result=3","7034812")</f>
        <v>0</v>
      </c>
      <c r="B9247" t="s">
        <v>2626</v>
      </c>
      <c r="C9247" t="s">
        <v>11901</v>
      </c>
      <c r="E9247" t="s">
        <v>24355</v>
      </c>
      <c r="F9247" t="s">
        <v>28198</v>
      </c>
      <c r="G9247" t="s">
        <v>28207</v>
      </c>
      <c r="H9247" t="s">
        <v>28215</v>
      </c>
      <c r="I9247" t="s">
        <v>28304</v>
      </c>
      <c r="J9247" t="s">
        <v>29020</v>
      </c>
      <c r="K9247" t="s">
        <v>36689</v>
      </c>
      <c r="M9247" t="s">
        <v>39846</v>
      </c>
      <c r="N9247" t="s">
        <v>40436</v>
      </c>
      <c r="O9247" t="s">
        <v>40437</v>
      </c>
      <c r="Q9247">
        <v>3</v>
      </c>
      <c r="R9247" t="s">
        <v>40446</v>
      </c>
      <c r="S9247" t="s">
        <v>40847</v>
      </c>
      <c r="T9247" t="s">
        <v>42185</v>
      </c>
      <c r="U9247" t="s">
        <v>44769</v>
      </c>
      <c r="W9247" t="s">
        <v>39846</v>
      </c>
      <c r="X9247" t="s">
        <v>40447</v>
      </c>
    </row>
    <row r="9248" spans="1:24">
      <c r="A9248">
        <f>HYPERLINK("https://www.philgeps.gov.ph/GEPSNONPILOT/Tender/SplashBidNoticeAbstractUI.aspx?menuIndex=3&amp;refID=7034754&amp;Result=3","7034754")</f>
        <v>0</v>
      </c>
      <c r="B9248" t="s">
        <v>2409</v>
      </c>
      <c r="C9248" t="s">
        <v>11902</v>
      </c>
      <c r="D9248" t="s">
        <v>16226</v>
      </c>
      <c r="E9248" t="s">
        <v>24356</v>
      </c>
      <c r="F9248" t="s">
        <v>28198</v>
      </c>
      <c r="G9248" t="s">
        <v>28205</v>
      </c>
      <c r="H9248" t="s">
        <v>28214</v>
      </c>
      <c r="I9248" t="s">
        <v>3797</v>
      </c>
      <c r="J9248" t="s">
        <v>29691</v>
      </c>
      <c r="K9248" t="s">
        <v>36697</v>
      </c>
      <c r="M9248" t="s">
        <v>39597</v>
      </c>
      <c r="N9248" t="s">
        <v>40436</v>
      </c>
      <c r="O9248" t="s">
        <v>40437</v>
      </c>
      <c r="Q9248">
        <v>0</v>
      </c>
      <c r="R9248" t="s">
        <v>40446</v>
      </c>
      <c r="S9248" t="s">
        <v>40848</v>
      </c>
      <c r="T9248" t="s">
        <v>42279</v>
      </c>
      <c r="U9248" t="s">
        <v>50354</v>
      </c>
      <c r="W9248" t="s">
        <v>39597</v>
      </c>
      <c r="X9248" t="s">
        <v>40447</v>
      </c>
    </row>
    <row r="9249" spans="1:24">
      <c r="A9249">
        <f>HYPERLINK("https://www.philgeps.gov.ph/GEPSNONPILOT/Tender/SplashBidNoticeAbstractUI.aspx?menuIndex=3&amp;refID=7034730&amp;Result=3","7034730")</f>
        <v>0</v>
      </c>
      <c r="B9249" t="s">
        <v>646</v>
      </c>
      <c r="C9249" t="s">
        <v>11903</v>
      </c>
      <c r="D9249" t="s">
        <v>16235</v>
      </c>
      <c r="E9249" t="s">
        <v>24357</v>
      </c>
      <c r="F9249" t="s">
        <v>28198</v>
      </c>
      <c r="G9249" t="s">
        <v>28205</v>
      </c>
      <c r="H9249" t="s">
        <v>28214</v>
      </c>
      <c r="I9249" t="s">
        <v>3797</v>
      </c>
      <c r="J9249" t="s">
        <v>28699</v>
      </c>
      <c r="K9249" t="s">
        <v>36690</v>
      </c>
      <c r="M9249" t="s">
        <v>37640</v>
      </c>
      <c r="N9249" t="s">
        <v>40436</v>
      </c>
      <c r="O9249" t="s">
        <v>40437</v>
      </c>
      <c r="P9249">
        <v>0</v>
      </c>
      <c r="Q9249">
        <v>0</v>
      </c>
      <c r="R9249" t="s">
        <v>40446</v>
      </c>
      <c r="S9249" t="s">
        <v>40783</v>
      </c>
      <c r="T9249" t="s">
        <v>42168</v>
      </c>
      <c r="U9249" t="s">
        <v>50357</v>
      </c>
      <c r="W9249" t="s">
        <v>37640</v>
      </c>
      <c r="X9249" t="s">
        <v>40447</v>
      </c>
    </row>
    <row r="9250" spans="1:24">
      <c r="A9250">
        <f>HYPERLINK("https://www.philgeps.gov.ph/GEPSNONPILOT/Tender/SplashBidNoticeAbstractUI.aspx?menuIndex=3&amp;refID=7034743&amp;Result=3","7034743")</f>
        <v>0</v>
      </c>
      <c r="B9250" t="s">
        <v>2623</v>
      </c>
      <c r="C9250" t="s">
        <v>11904</v>
      </c>
      <c r="D9250" t="s">
        <v>16224</v>
      </c>
      <c r="E9250" t="s">
        <v>24358</v>
      </c>
      <c r="F9250" t="s">
        <v>28198</v>
      </c>
      <c r="G9250" t="s">
        <v>28205</v>
      </c>
      <c r="H9250" t="s">
        <v>28215</v>
      </c>
      <c r="I9250" t="s">
        <v>28248</v>
      </c>
      <c r="J9250" t="s">
        <v>34120</v>
      </c>
      <c r="K9250" t="s">
        <v>36694</v>
      </c>
      <c r="M9250" t="s">
        <v>39843</v>
      </c>
      <c r="N9250" t="s">
        <v>40436</v>
      </c>
      <c r="O9250" t="s">
        <v>40437</v>
      </c>
      <c r="P9250">
        <v>0</v>
      </c>
      <c r="Q9250">
        <v>0</v>
      </c>
      <c r="R9250" t="s">
        <v>40446</v>
      </c>
      <c r="S9250" t="s">
        <v>40783</v>
      </c>
      <c r="T9250" t="s">
        <v>42424</v>
      </c>
      <c r="U9250" t="s">
        <v>50358</v>
      </c>
      <c r="V9250" t="s">
        <v>54773</v>
      </c>
      <c r="W9250" t="s">
        <v>55523</v>
      </c>
      <c r="X9250" t="s">
        <v>40447</v>
      </c>
    </row>
    <row r="9251" spans="1:24">
      <c r="A9251">
        <f>HYPERLINK("https://www.philgeps.gov.ph/GEPSNONPILOT/Tender/SplashBidNoticeAbstractUI.aspx?menuIndex=3&amp;refID=7034770&amp;Result=3","7034770")</f>
        <v>0</v>
      </c>
      <c r="B9251" t="s">
        <v>2623</v>
      </c>
      <c r="C9251" t="s">
        <v>11905</v>
      </c>
      <c r="D9251" t="s">
        <v>16224</v>
      </c>
      <c r="E9251" t="s">
        <v>24359</v>
      </c>
      <c r="F9251" t="s">
        <v>28198</v>
      </c>
      <c r="G9251" t="s">
        <v>28205</v>
      </c>
      <c r="H9251" t="s">
        <v>28215</v>
      </c>
      <c r="I9251" t="s">
        <v>28248</v>
      </c>
      <c r="J9251" t="s">
        <v>34121</v>
      </c>
      <c r="K9251" t="s">
        <v>36694</v>
      </c>
      <c r="M9251" t="s">
        <v>39843</v>
      </c>
      <c r="N9251" t="s">
        <v>40436</v>
      </c>
      <c r="O9251" t="s">
        <v>40437</v>
      </c>
      <c r="P9251">
        <v>0</v>
      </c>
      <c r="Q9251">
        <v>5</v>
      </c>
      <c r="R9251" t="s">
        <v>40446</v>
      </c>
      <c r="S9251" t="s">
        <v>40783</v>
      </c>
      <c r="T9251" t="s">
        <v>42424</v>
      </c>
      <c r="U9251" t="s">
        <v>50359</v>
      </c>
      <c r="V9251" t="s">
        <v>54772</v>
      </c>
      <c r="W9251" t="s">
        <v>55523</v>
      </c>
      <c r="X9251" t="s">
        <v>40447</v>
      </c>
    </row>
    <row r="9252" spans="1:24">
      <c r="A9252">
        <f>HYPERLINK("https://www.philgeps.gov.ph/GEPSNONPILOT/Tender/SplashBidNoticeAbstractUI.aspx?menuIndex=3&amp;refID=7034739&amp;Result=3","7034739")</f>
        <v>0</v>
      </c>
      <c r="B9252" t="s">
        <v>305</v>
      </c>
      <c r="C9252" t="s">
        <v>11906</v>
      </c>
      <c r="D9252" t="s">
        <v>16197</v>
      </c>
      <c r="E9252" t="s">
        <v>24360</v>
      </c>
      <c r="F9252" t="s">
        <v>28198</v>
      </c>
      <c r="G9252" t="s">
        <v>28205</v>
      </c>
      <c r="H9252" t="s">
        <v>28215</v>
      </c>
      <c r="I9252" t="s">
        <v>28227</v>
      </c>
      <c r="J9252" t="s">
        <v>34122</v>
      </c>
      <c r="K9252" t="s">
        <v>36707</v>
      </c>
      <c r="M9252" t="s">
        <v>39649</v>
      </c>
      <c r="N9252" t="s">
        <v>40436</v>
      </c>
      <c r="O9252" t="s">
        <v>40437</v>
      </c>
      <c r="Q9252">
        <v>6</v>
      </c>
      <c r="R9252" t="s">
        <v>40446</v>
      </c>
      <c r="S9252" t="s">
        <v>40849</v>
      </c>
      <c r="T9252" t="s">
        <v>42228</v>
      </c>
      <c r="U9252" t="s">
        <v>50360</v>
      </c>
      <c r="W9252" t="s">
        <v>39649</v>
      </c>
      <c r="X9252" t="s">
        <v>40447</v>
      </c>
    </row>
    <row r="9253" spans="1:24">
      <c r="A9253">
        <f>HYPERLINK("https://www.philgeps.gov.ph/GEPSNONPILOT/Tender/SplashBidNoticeAbstractUI.aspx?menuIndex=3&amp;refID=7034761&amp;Result=3","7034761")</f>
        <v>0</v>
      </c>
      <c r="B9253" t="s">
        <v>1108</v>
      </c>
      <c r="C9253" t="s">
        <v>11907</v>
      </c>
      <c r="D9253" t="s">
        <v>16193</v>
      </c>
      <c r="E9253" t="s">
        <v>24361</v>
      </c>
      <c r="F9253" t="s">
        <v>28198</v>
      </c>
      <c r="G9253" t="s">
        <v>28205</v>
      </c>
      <c r="H9253" t="s">
        <v>28214</v>
      </c>
      <c r="I9253" t="s">
        <v>3797</v>
      </c>
      <c r="J9253" t="s">
        <v>33417</v>
      </c>
      <c r="K9253" t="s">
        <v>36694</v>
      </c>
      <c r="M9253" t="s">
        <v>38144</v>
      </c>
      <c r="N9253" t="s">
        <v>40436</v>
      </c>
      <c r="O9253" t="s">
        <v>40437</v>
      </c>
      <c r="P9253">
        <v>0</v>
      </c>
      <c r="Q9253">
        <v>2</v>
      </c>
      <c r="R9253" t="s">
        <v>40446</v>
      </c>
      <c r="S9253" t="s">
        <v>40783</v>
      </c>
      <c r="T9253" t="s">
        <v>42183</v>
      </c>
      <c r="U9253" t="s">
        <v>50361</v>
      </c>
      <c r="W9253" t="s">
        <v>38144</v>
      </c>
      <c r="X9253" t="s">
        <v>40447</v>
      </c>
    </row>
    <row r="9254" spans="1:24">
      <c r="A9254">
        <f>HYPERLINK("https://www.philgeps.gov.ph/GEPSNONPILOT/Tender/SplashBidNoticeAbstractUI.aspx?menuIndex=3&amp;refID=7034853&amp;Result=3","7034853")</f>
        <v>0</v>
      </c>
      <c r="B9254" t="s">
        <v>1517</v>
      </c>
      <c r="C9254" t="s">
        <v>11908</v>
      </c>
      <c r="D9254" t="s">
        <v>16235</v>
      </c>
      <c r="E9254" t="s">
        <v>24362</v>
      </c>
      <c r="F9254" t="s">
        <v>28198</v>
      </c>
      <c r="G9254" t="s">
        <v>28205</v>
      </c>
      <c r="H9254" t="s">
        <v>28215</v>
      </c>
      <c r="I9254" t="s">
        <v>8888</v>
      </c>
      <c r="J9254" t="s">
        <v>28561</v>
      </c>
      <c r="K9254" t="s">
        <v>36689</v>
      </c>
      <c r="M9254" t="s">
        <v>39826</v>
      </c>
      <c r="N9254" t="s">
        <v>40436</v>
      </c>
      <c r="O9254" t="s">
        <v>40437</v>
      </c>
      <c r="P9254">
        <v>0</v>
      </c>
      <c r="Q9254">
        <v>5</v>
      </c>
      <c r="R9254" t="s">
        <v>40446</v>
      </c>
      <c r="S9254" t="s">
        <v>40783</v>
      </c>
      <c r="T9254" t="s">
        <v>42168</v>
      </c>
      <c r="U9254" t="s">
        <v>50264</v>
      </c>
      <c r="V9254" t="s">
        <v>54761</v>
      </c>
      <c r="W9254" t="s">
        <v>39826</v>
      </c>
      <c r="X9254" t="s">
        <v>40447</v>
      </c>
    </row>
    <row r="9255" spans="1:24">
      <c r="A9255">
        <f>HYPERLINK("https://www.philgeps.gov.ph/GEPSNONPILOT/Tender/SplashBidNoticeAbstractUI.aspx?menuIndex=3&amp;refID=7034747&amp;Result=3","7034747")</f>
        <v>0</v>
      </c>
      <c r="B9255" t="s">
        <v>2572</v>
      </c>
      <c r="C9255" t="s">
        <v>11909</v>
      </c>
      <c r="D9255" t="s">
        <v>16244</v>
      </c>
      <c r="E9255" t="s">
        <v>24363</v>
      </c>
      <c r="F9255" t="s">
        <v>28198</v>
      </c>
      <c r="G9255" t="s">
        <v>28205</v>
      </c>
      <c r="H9255" t="s">
        <v>28215</v>
      </c>
      <c r="I9255" t="s">
        <v>28222</v>
      </c>
      <c r="J9255" t="s">
        <v>34123</v>
      </c>
      <c r="K9255" t="s">
        <v>36701</v>
      </c>
      <c r="M9255" t="s">
        <v>39786</v>
      </c>
      <c r="N9255" t="s">
        <v>40436</v>
      </c>
      <c r="O9255" t="s">
        <v>40437</v>
      </c>
      <c r="P9255">
        <v>0</v>
      </c>
      <c r="Q9255">
        <v>3</v>
      </c>
      <c r="R9255" t="s">
        <v>40446</v>
      </c>
      <c r="S9255" t="s">
        <v>40783</v>
      </c>
      <c r="T9255" t="s">
        <v>42529</v>
      </c>
      <c r="U9255" t="s">
        <v>50362</v>
      </c>
      <c r="W9255" t="s">
        <v>39786</v>
      </c>
      <c r="X9255" t="s">
        <v>40447</v>
      </c>
    </row>
    <row r="9256" spans="1:24">
      <c r="A9256">
        <f>HYPERLINK("https://www.philgeps.gov.ph/GEPSNONPILOT/Tender/SplashBidNoticeAbstractUI.aspx?menuIndex=3&amp;refID=7034786&amp;Result=3","7034786")</f>
        <v>0</v>
      </c>
      <c r="B9256" t="s">
        <v>632</v>
      </c>
      <c r="C9256" t="s">
        <v>11910</v>
      </c>
      <c r="D9256" t="s">
        <v>16210</v>
      </c>
      <c r="E9256" t="s">
        <v>24364</v>
      </c>
      <c r="F9256" t="s">
        <v>28198</v>
      </c>
      <c r="G9256" t="s">
        <v>28207</v>
      </c>
      <c r="H9256" t="s">
        <v>28215</v>
      </c>
      <c r="I9256" t="s">
        <v>28225</v>
      </c>
      <c r="J9256" t="s">
        <v>34124</v>
      </c>
      <c r="K9256" t="s">
        <v>36688</v>
      </c>
      <c r="M9256" t="s">
        <v>39847</v>
      </c>
      <c r="N9256" t="s">
        <v>40436</v>
      </c>
      <c r="O9256" t="s">
        <v>40437</v>
      </c>
      <c r="Q9256">
        <v>5</v>
      </c>
      <c r="R9256" t="s">
        <v>40446</v>
      </c>
      <c r="S9256" t="s">
        <v>40850</v>
      </c>
      <c r="T9256" t="s">
        <v>42233</v>
      </c>
      <c r="U9256" t="s">
        <v>50363</v>
      </c>
      <c r="V9256" t="s">
        <v>54774</v>
      </c>
      <c r="W9256" t="s">
        <v>39847</v>
      </c>
      <c r="X9256" t="s">
        <v>40447</v>
      </c>
    </row>
    <row r="9257" spans="1:24">
      <c r="A9257">
        <f>HYPERLINK("https://www.philgeps.gov.ph/GEPSNONPILOT/Tender/SplashBidNoticeAbstractUI.aspx?menuIndex=3&amp;refID=7034850&amp;Result=3","7034850")</f>
        <v>0</v>
      </c>
      <c r="B9257" t="s">
        <v>2626</v>
      </c>
      <c r="C9257" t="s">
        <v>11911</v>
      </c>
      <c r="E9257" t="s">
        <v>24365</v>
      </c>
      <c r="F9257" t="s">
        <v>28198</v>
      </c>
      <c r="G9257" t="s">
        <v>28207</v>
      </c>
      <c r="H9257" t="s">
        <v>28215</v>
      </c>
      <c r="I9257" t="s">
        <v>28274</v>
      </c>
      <c r="J9257" t="s">
        <v>28393</v>
      </c>
      <c r="K9257" t="s">
        <v>36689</v>
      </c>
      <c r="M9257" t="s">
        <v>39846</v>
      </c>
      <c r="N9257" t="s">
        <v>40436</v>
      </c>
      <c r="O9257" t="s">
        <v>40437</v>
      </c>
      <c r="Q9257">
        <v>0</v>
      </c>
      <c r="R9257" t="s">
        <v>40446</v>
      </c>
      <c r="S9257" t="s">
        <v>40851</v>
      </c>
      <c r="T9257" t="s">
        <v>42185</v>
      </c>
      <c r="U9257" t="s">
        <v>44769</v>
      </c>
      <c r="W9257" t="s">
        <v>39846</v>
      </c>
      <c r="X9257" t="s">
        <v>40447</v>
      </c>
    </row>
    <row r="9258" spans="1:24">
      <c r="A9258">
        <f>HYPERLINK("https://www.philgeps.gov.ph/GEPSNONPILOT/Tender/SplashBidNoticeAbstractUI.aspx?menuIndex=3&amp;refID=7034822&amp;Result=3","7034822")</f>
        <v>0</v>
      </c>
      <c r="B9258" t="s">
        <v>895</v>
      </c>
      <c r="C9258" t="s">
        <v>11912</v>
      </c>
      <c r="D9258" t="s">
        <v>16218</v>
      </c>
      <c r="E9258" t="s">
        <v>24366</v>
      </c>
      <c r="F9258" t="s">
        <v>28198</v>
      </c>
      <c r="G9258" t="s">
        <v>28205</v>
      </c>
      <c r="H9258" t="s">
        <v>28215</v>
      </c>
      <c r="I9258" t="s">
        <v>5082</v>
      </c>
      <c r="J9258" t="s">
        <v>34125</v>
      </c>
      <c r="K9258" t="s">
        <v>36701</v>
      </c>
      <c r="M9258" t="s">
        <v>37911</v>
      </c>
      <c r="N9258" t="s">
        <v>40436</v>
      </c>
      <c r="O9258" t="s">
        <v>40437</v>
      </c>
      <c r="P9258">
        <v>0</v>
      </c>
      <c r="Q9258">
        <v>3</v>
      </c>
      <c r="R9258" t="s">
        <v>40446</v>
      </c>
      <c r="S9258" t="s">
        <v>40783</v>
      </c>
      <c r="T9258" t="s">
        <v>42320</v>
      </c>
      <c r="U9258" t="s">
        <v>50364</v>
      </c>
      <c r="W9258" t="s">
        <v>37911</v>
      </c>
      <c r="X9258" t="s">
        <v>40447</v>
      </c>
    </row>
    <row r="9259" spans="1:24">
      <c r="A9259">
        <f>HYPERLINK("https://www.philgeps.gov.ph/GEPSNONPILOT/Tender/SplashBidNoticeAbstractUI.aspx?menuIndex=3&amp;refID=7034852&amp;Result=3","7034852")</f>
        <v>0</v>
      </c>
      <c r="B9259" t="s">
        <v>116</v>
      </c>
      <c r="C9259" t="s">
        <v>11913</v>
      </c>
      <c r="D9259" t="s">
        <v>16207</v>
      </c>
      <c r="E9259" t="s">
        <v>24367</v>
      </c>
      <c r="F9259" t="s">
        <v>28198</v>
      </c>
      <c r="G9259" t="s">
        <v>28205</v>
      </c>
      <c r="H9259" t="s">
        <v>28215</v>
      </c>
      <c r="I9259" t="s">
        <v>8888</v>
      </c>
      <c r="J9259" t="s">
        <v>34126</v>
      </c>
      <c r="K9259" t="s">
        <v>36707</v>
      </c>
      <c r="M9259" t="s">
        <v>38634</v>
      </c>
      <c r="N9259" t="s">
        <v>40436</v>
      </c>
      <c r="O9259" t="s">
        <v>40437</v>
      </c>
      <c r="P9259">
        <v>0</v>
      </c>
      <c r="Q9259">
        <v>6</v>
      </c>
      <c r="R9259" t="s">
        <v>40446</v>
      </c>
      <c r="S9259" t="s">
        <v>40783</v>
      </c>
      <c r="T9259" t="s">
        <v>42278</v>
      </c>
      <c r="U9259" t="s">
        <v>50365</v>
      </c>
      <c r="W9259" t="s">
        <v>38634</v>
      </c>
      <c r="X9259" t="s">
        <v>40447</v>
      </c>
    </row>
    <row r="9260" spans="1:24">
      <c r="A9260">
        <f>HYPERLINK("https://www.philgeps.gov.ph/GEPSNONPILOT/Tender/SplashBidNoticeAbstractUI.aspx?menuIndex=3&amp;refID=7034823&amp;Result=3","7034823")</f>
        <v>0</v>
      </c>
      <c r="B9260" t="s">
        <v>2410</v>
      </c>
      <c r="C9260" t="s">
        <v>11914</v>
      </c>
      <c r="D9260" t="s">
        <v>16200</v>
      </c>
      <c r="E9260" t="s">
        <v>23263</v>
      </c>
      <c r="F9260" t="s">
        <v>28198</v>
      </c>
      <c r="G9260" t="s">
        <v>28205</v>
      </c>
      <c r="H9260" t="s">
        <v>28214</v>
      </c>
      <c r="I9260" t="s">
        <v>3797</v>
      </c>
      <c r="J9260" t="s">
        <v>34127</v>
      </c>
      <c r="K9260" t="s">
        <v>36701</v>
      </c>
      <c r="M9260" t="s">
        <v>39598</v>
      </c>
      <c r="N9260" t="s">
        <v>40436</v>
      </c>
      <c r="O9260" t="s">
        <v>40437</v>
      </c>
      <c r="P9260">
        <v>0</v>
      </c>
      <c r="Q9260">
        <v>0</v>
      </c>
      <c r="R9260" t="s">
        <v>40446</v>
      </c>
      <c r="S9260" t="s">
        <v>40783</v>
      </c>
      <c r="T9260" t="s">
        <v>42140</v>
      </c>
      <c r="U9260" t="s">
        <v>50366</v>
      </c>
      <c r="W9260" t="s">
        <v>39598</v>
      </c>
      <c r="X9260" t="s">
        <v>40447</v>
      </c>
    </row>
    <row r="9261" spans="1:24">
      <c r="A9261">
        <f>HYPERLINK("https://www.philgeps.gov.ph/GEPSNONPILOT/Tender/SplashBidNoticeAbstractUI.aspx?menuIndex=3&amp;refID=7034842&amp;Result=3","7034842")</f>
        <v>0</v>
      </c>
      <c r="B9261" t="s">
        <v>2627</v>
      </c>
      <c r="C9261" t="s">
        <v>11915</v>
      </c>
      <c r="D9261" t="s">
        <v>16198</v>
      </c>
      <c r="E9261" t="s">
        <v>24368</v>
      </c>
      <c r="F9261" t="s">
        <v>28198</v>
      </c>
      <c r="G9261" t="s">
        <v>28205</v>
      </c>
      <c r="H9261" t="s">
        <v>28214</v>
      </c>
      <c r="I9261" t="s">
        <v>3797</v>
      </c>
      <c r="J9261" t="s">
        <v>31166</v>
      </c>
      <c r="K9261" t="s">
        <v>36690</v>
      </c>
      <c r="M9261" t="s">
        <v>39848</v>
      </c>
      <c r="N9261" t="s">
        <v>40436</v>
      </c>
      <c r="O9261" t="s">
        <v>40437</v>
      </c>
      <c r="P9261">
        <v>0</v>
      </c>
      <c r="Q9261">
        <v>18</v>
      </c>
      <c r="R9261" t="s">
        <v>40446</v>
      </c>
      <c r="S9261" t="s">
        <v>40783</v>
      </c>
      <c r="T9261" t="s">
        <v>42390</v>
      </c>
      <c r="U9261" t="s">
        <v>50367</v>
      </c>
      <c r="W9261" t="s">
        <v>39848</v>
      </c>
      <c r="X9261" t="s">
        <v>40447</v>
      </c>
    </row>
    <row r="9262" spans="1:24">
      <c r="A9262">
        <f>HYPERLINK("https://www.philgeps.gov.ph/GEPSNONPILOT/Tender/SplashBidNoticeAbstractUI.aspx?menuIndex=3&amp;refID=7034920&amp;Result=3","7034920")</f>
        <v>0</v>
      </c>
      <c r="B9262" t="s">
        <v>2628</v>
      </c>
      <c r="C9262" t="s">
        <v>11916</v>
      </c>
      <c r="D9262" t="s">
        <v>16261</v>
      </c>
      <c r="E9262" t="s">
        <v>24369</v>
      </c>
      <c r="F9262" t="s">
        <v>28198</v>
      </c>
      <c r="G9262" t="s">
        <v>28205</v>
      </c>
      <c r="H9262" t="s">
        <v>28215</v>
      </c>
      <c r="I9262" t="s">
        <v>28320</v>
      </c>
      <c r="J9262" t="s">
        <v>28406</v>
      </c>
      <c r="K9262" t="s">
        <v>36694</v>
      </c>
      <c r="M9262" t="s">
        <v>39849</v>
      </c>
      <c r="N9262" t="s">
        <v>40436</v>
      </c>
      <c r="O9262" t="s">
        <v>40437</v>
      </c>
      <c r="P9262">
        <v>0</v>
      </c>
      <c r="Q9262">
        <v>2</v>
      </c>
      <c r="R9262" t="s">
        <v>40446</v>
      </c>
      <c r="S9262" t="s">
        <v>40783</v>
      </c>
      <c r="T9262" t="s">
        <v>42129</v>
      </c>
      <c r="U9262" t="s">
        <v>50368</v>
      </c>
      <c r="W9262" t="s">
        <v>39849</v>
      </c>
      <c r="X9262" t="s">
        <v>40447</v>
      </c>
    </row>
    <row r="9263" spans="1:24">
      <c r="A9263">
        <f>HYPERLINK("https://www.philgeps.gov.ph/GEPSNONPILOT/Tender/SplashBidNoticeAbstractUI.aspx?menuIndex=3&amp;refID=7034906&amp;Result=3","7034906")</f>
        <v>0</v>
      </c>
      <c r="B9263" t="s">
        <v>2324</v>
      </c>
      <c r="C9263" t="s">
        <v>11917</v>
      </c>
      <c r="D9263" t="s">
        <v>16187</v>
      </c>
      <c r="E9263" t="s">
        <v>24370</v>
      </c>
      <c r="F9263" t="s">
        <v>28198</v>
      </c>
      <c r="G9263" t="s">
        <v>28205</v>
      </c>
      <c r="H9263" t="s">
        <v>28214</v>
      </c>
      <c r="I9263" t="s">
        <v>3797</v>
      </c>
      <c r="J9263" t="s">
        <v>34128</v>
      </c>
      <c r="K9263" t="s">
        <v>36740</v>
      </c>
      <c r="M9263" t="s">
        <v>39502</v>
      </c>
      <c r="N9263" t="s">
        <v>40436</v>
      </c>
      <c r="O9263" t="s">
        <v>40437</v>
      </c>
      <c r="P9263">
        <v>0</v>
      </c>
      <c r="Q9263">
        <v>0</v>
      </c>
      <c r="R9263" t="s">
        <v>40446</v>
      </c>
      <c r="S9263" t="s">
        <v>40783</v>
      </c>
      <c r="T9263" t="s">
        <v>42234</v>
      </c>
      <c r="U9263" t="s">
        <v>50369</v>
      </c>
      <c r="W9263" t="s">
        <v>39502</v>
      </c>
      <c r="X9263" t="s">
        <v>40447</v>
      </c>
    </row>
    <row r="9264" spans="1:24">
      <c r="A9264">
        <f>HYPERLINK("https://www.philgeps.gov.ph/GEPSNONPILOT/Tender/SplashBidNoticeAbstractUI.aspx?menuIndex=3&amp;refID=7034909&amp;Result=3","7034909")</f>
        <v>0</v>
      </c>
      <c r="B9264" t="s">
        <v>2629</v>
      </c>
      <c r="C9264" t="s">
        <v>11918</v>
      </c>
      <c r="D9264" t="s">
        <v>16257</v>
      </c>
      <c r="E9264" t="s">
        <v>24371</v>
      </c>
      <c r="F9264" t="s">
        <v>28198</v>
      </c>
      <c r="G9264" t="s">
        <v>28208</v>
      </c>
      <c r="H9264" t="s">
        <v>28214</v>
      </c>
      <c r="I9264" t="s">
        <v>3797</v>
      </c>
      <c r="J9264" t="s">
        <v>30947</v>
      </c>
      <c r="K9264" t="s">
        <v>36735</v>
      </c>
      <c r="M9264" t="s">
        <v>39850</v>
      </c>
      <c r="N9264" t="s">
        <v>40436</v>
      </c>
      <c r="O9264" t="s">
        <v>40437</v>
      </c>
      <c r="P9264">
        <v>0</v>
      </c>
      <c r="Q9264">
        <v>3</v>
      </c>
      <c r="R9264" t="s">
        <v>40446</v>
      </c>
      <c r="S9264" t="s">
        <v>40783</v>
      </c>
      <c r="T9264" t="s">
        <v>42113</v>
      </c>
      <c r="U9264" t="s">
        <v>50370</v>
      </c>
      <c r="W9264" t="s">
        <v>39850</v>
      </c>
      <c r="X9264" t="s">
        <v>40447</v>
      </c>
    </row>
    <row r="9265" spans="1:24">
      <c r="A9265">
        <f>HYPERLINK("https://www.philgeps.gov.ph/GEPSNONPILOT/Tender/SplashBidNoticeAbstractUI.aspx?menuIndex=3&amp;refID=7034815&amp;Result=3","7034815")</f>
        <v>0</v>
      </c>
      <c r="B9265" t="s">
        <v>34</v>
      </c>
      <c r="C9265" t="s">
        <v>11919</v>
      </c>
      <c r="D9265" t="s">
        <v>16195</v>
      </c>
      <c r="E9265" t="s">
        <v>24372</v>
      </c>
      <c r="F9265" t="s">
        <v>28198</v>
      </c>
      <c r="G9265" t="s">
        <v>28205</v>
      </c>
      <c r="H9265" t="s">
        <v>28214</v>
      </c>
      <c r="I9265" t="s">
        <v>3797</v>
      </c>
      <c r="J9265" t="s">
        <v>30488</v>
      </c>
      <c r="K9265" t="s">
        <v>36725</v>
      </c>
      <c r="M9265" t="s">
        <v>39280</v>
      </c>
      <c r="N9265" t="s">
        <v>40436</v>
      </c>
      <c r="O9265" t="s">
        <v>40437</v>
      </c>
      <c r="P9265">
        <v>0</v>
      </c>
      <c r="Q9265">
        <v>1</v>
      </c>
      <c r="R9265" t="s">
        <v>40446</v>
      </c>
      <c r="S9265" t="s">
        <v>40783</v>
      </c>
      <c r="T9265" t="s">
        <v>42346</v>
      </c>
      <c r="U9265" t="s">
        <v>46771</v>
      </c>
      <c r="V9265" t="s">
        <v>53826</v>
      </c>
      <c r="W9265" t="s">
        <v>39280</v>
      </c>
      <c r="X9265" t="s">
        <v>40447</v>
      </c>
    </row>
    <row r="9266" spans="1:24">
      <c r="A9266">
        <f>HYPERLINK("https://www.philgeps.gov.ph/GEPSNONPILOT/Tender/SplashBidNoticeAbstractUI.aspx?menuIndex=3&amp;refID=7034854&amp;Result=3","7034854")</f>
        <v>0</v>
      </c>
      <c r="B9266" t="s">
        <v>34</v>
      </c>
      <c r="C9266" t="s">
        <v>11920</v>
      </c>
      <c r="D9266" t="s">
        <v>16195</v>
      </c>
      <c r="E9266" t="s">
        <v>24373</v>
      </c>
      <c r="F9266" t="s">
        <v>28198</v>
      </c>
      <c r="G9266" t="s">
        <v>28205</v>
      </c>
      <c r="H9266" t="s">
        <v>28214</v>
      </c>
      <c r="I9266" t="s">
        <v>3797</v>
      </c>
      <c r="J9266" t="s">
        <v>34129</v>
      </c>
      <c r="K9266" t="s">
        <v>36750</v>
      </c>
      <c r="M9266" t="s">
        <v>39280</v>
      </c>
      <c r="N9266" t="s">
        <v>40436</v>
      </c>
      <c r="O9266" t="s">
        <v>40437</v>
      </c>
      <c r="P9266">
        <v>0</v>
      </c>
      <c r="Q9266">
        <v>3</v>
      </c>
      <c r="R9266" t="s">
        <v>40446</v>
      </c>
      <c r="S9266" t="s">
        <v>40783</v>
      </c>
      <c r="T9266" t="s">
        <v>42346</v>
      </c>
      <c r="U9266" t="s">
        <v>46771</v>
      </c>
      <c r="V9266" t="s">
        <v>53826</v>
      </c>
      <c r="W9266" t="s">
        <v>39280</v>
      </c>
      <c r="X9266" t="s">
        <v>40447</v>
      </c>
    </row>
    <row r="9267" spans="1:24">
      <c r="A9267">
        <f>HYPERLINK("https://www.philgeps.gov.ph/GEPSNONPILOT/Tender/SplashBidNoticeAbstractUI.aspx?menuIndex=3&amp;refID=7034889&amp;Result=3","7034889")</f>
        <v>0</v>
      </c>
      <c r="B9267" t="s">
        <v>895</v>
      </c>
      <c r="C9267" t="s">
        <v>11921</v>
      </c>
      <c r="D9267" t="s">
        <v>16218</v>
      </c>
      <c r="E9267" t="s">
        <v>24374</v>
      </c>
      <c r="F9267" t="s">
        <v>28198</v>
      </c>
      <c r="G9267" t="s">
        <v>28205</v>
      </c>
      <c r="H9267" t="s">
        <v>28215</v>
      </c>
      <c r="I9267" t="s">
        <v>28227</v>
      </c>
      <c r="J9267" t="s">
        <v>34130</v>
      </c>
      <c r="K9267" t="s">
        <v>36715</v>
      </c>
      <c r="M9267" t="s">
        <v>37911</v>
      </c>
      <c r="N9267" t="s">
        <v>40436</v>
      </c>
      <c r="O9267" t="s">
        <v>40437</v>
      </c>
      <c r="P9267">
        <v>0</v>
      </c>
      <c r="Q9267">
        <v>0</v>
      </c>
      <c r="R9267" t="s">
        <v>40446</v>
      </c>
      <c r="S9267" t="s">
        <v>40783</v>
      </c>
      <c r="T9267" t="s">
        <v>42292</v>
      </c>
      <c r="U9267" t="s">
        <v>50371</v>
      </c>
      <c r="W9267" t="s">
        <v>37911</v>
      </c>
      <c r="X9267" t="s">
        <v>40447</v>
      </c>
    </row>
    <row r="9268" spans="1:24">
      <c r="A9268">
        <f>HYPERLINK("https://www.philgeps.gov.ph/GEPSNONPILOT/Tender/SplashBidNoticeAbstractUI.aspx?menuIndex=3&amp;refID=7034890&amp;Result=3","7034890")</f>
        <v>0</v>
      </c>
      <c r="B9268" t="s">
        <v>892</v>
      </c>
      <c r="C9268" t="s">
        <v>11922</v>
      </c>
      <c r="D9268" t="s">
        <v>16195</v>
      </c>
      <c r="E9268" t="s">
        <v>24375</v>
      </c>
      <c r="F9268" t="s">
        <v>28198</v>
      </c>
      <c r="G9268" t="s">
        <v>28205</v>
      </c>
      <c r="H9268" t="s">
        <v>28215</v>
      </c>
      <c r="I9268" t="s">
        <v>4321</v>
      </c>
      <c r="J9268" t="s">
        <v>34131</v>
      </c>
      <c r="K9268" t="s">
        <v>36689</v>
      </c>
      <c r="M9268" t="s">
        <v>37908</v>
      </c>
      <c r="N9268" t="s">
        <v>40436</v>
      </c>
      <c r="O9268" t="s">
        <v>40437</v>
      </c>
      <c r="P9268">
        <v>0</v>
      </c>
      <c r="Q9268">
        <v>7</v>
      </c>
      <c r="R9268" t="s">
        <v>40446</v>
      </c>
      <c r="S9268" t="s">
        <v>40783</v>
      </c>
      <c r="T9268" t="s">
        <v>42279</v>
      </c>
      <c r="U9268" t="s">
        <v>50372</v>
      </c>
      <c r="W9268" t="s">
        <v>37908</v>
      </c>
      <c r="X9268" t="s">
        <v>40447</v>
      </c>
    </row>
    <row r="9269" spans="1:24">
      <c r="A9269">
        <f>HYPERLINK("https://www.philgeps.gov.ph/GEPSNONPILOT/Tender/SplashBidNoticeAbstractUI.aspx?menuIndex=3&amp;refID=7034904&amp;Result=3","7034904")</f>
        <v>0</v>
      </c>
      <c r="B9269" t="s">
        <v>1159</v>
      </c>
      <c r="C9269" t="s">
        <v>11923</v>
      </c>
      <c r="D9269" t="s">
        <v>16271</v>
      </c>
      <c r="E9269" t="s">
        <v>24376</v>
      </c>
      <c r="F9269" t="s">
        <v>28198</v>
      </c>
      <c r="G9269" t="s">
        <v>28206</v>
      </c>
      <c r="H9269" t="s">
        <v>28215</v>
      </c>
      <c r="I9269" t="s">
        <v>5082</v>
      </c>
      <c r="J9269" t="s">
        <v>34132</v>
      </c>
      <c r="K9269" t="s">
        <v>36689</v>
      </c>
      <c r="M9269" t="s">
        <v>38199</v>
      </c>
      <c r="N9269" t="s">
        <v>40436</v>
      </c>
      <c r="O9269" t="s">
        <v>40437</v>
      </c>
      <c r="P9269">
        <v>0</v>
      </c>
      <c r="Q9269">
        <v>1</v>
      </c>
      <c r="R9269" t="s">
        <v>40446</v>
      </c>
      <c r="S9269" t="s">
        <v>40783</v>
      </c>
      <c r="T9269" t="s">
        <v>42216</v>
      </c>
      <c r="U9269" t="s">
        <v>50373</v>
      </c>
      <c r="W9269" t="s">
        <v>38199</v>
      </c>
      <c r="X9269" t="s">
        <v>40447</v>
      </c>
    </row>
    <row r="9270" spans="1:24">
      <c r="A9270">
        <f>HYPERLINK("https://www.philgeps.gov.ph/GEPSNONPILOT/Tender/SplashBidNoticeAbstractUI.aspx?menuIndex=3&amp;refID=7034894&amp;Result=3","7034894")</f>
        <v>0</v>
      </c>
      <c r="B9270" t="s">
        <v>690</v>
      </c>
      <c r="C9270" t="s">
        <v>11924</v>
      </c>
      <c r="D9270" t="s">
        <v>16260</v>
      </c>
      <c r="E9270" t="s">
        <v>24377</v>
      </c>
      <c r="F9270" t="s">
        <v>28198</v>
      </c>
      <c r="G9270" t="s">
        <v>28205</v>
      </c>
      <c r="H9270" t="s">
        <v>28214</v>
      </c>
      <c r="I9270" t="s">
        <v>3797</v>
      </c>
      <c r="J9270" t="s">
        <v>34133</v>
      </c>
      <c r="K9270" t="s">
        <v>36889</v>
      </c>
      <c r="M9270" t="s">
        <v>37689</v>
      </c>
      <c r="N9270" t="s">
        <v>40436</v>
      </c>
      <c r="O9270" t="s">
        <v>40437</v>
      </c>
      <c r="P9270">
        <v>0</v>
      </c>
      <c r="Q9270">
        <v>1</v>
      </c>
      <c r="R9270" t="s">
        <v>40446</v>
      </c>
      <c r="S9270" t="s">
        <v>40783</v>
      </c>
      <c r="T9270" t="s">
        <v>42346</v>
      </c>
      <c r="U9270" t="s">
        <v>50374</v>
      </c>
      <c r="W9270" t="s">
        <v>37689</v>
      </c>
      <c r="X9270" t="s">
        <v>40447</v>
      </c>
    </row>
    <row r="9271" spans="1:24">
      <c r="A9271">
        <f>HYPERLINK("https://www.philgeps.gov.ph/GEPSNONPILOT/Tender/SplashBidNoticeAbstractUI.aspx?menuIndex=3&amp;refID=7034908&amp;Result=3","7034908")</f>
        <v>0</v>
      </c>
      <c r="B9271" t="s">
        <v>2328</v>
      </c>
      <c r="C9271" t="s">
        <v>11925</v>
      </c>
      <c r="D9271" t="s">
        <v>16200</v>
      </c>
      <c r="E9271" t="s">
        <v>24378</v>
      </c>
      <c r="F9271" t="s">
        <v>28198</v>
      </c>
      <c r="G9271" t="s">
        <v>28205</v>
      </c>
      <c r="H9271" t="s">
        <v>28215</v>
      </c>
      <c r="I9271" t="s">
        <v>3774</v>
      </c>
      <c r="J9271" t="s">
        <v>34134</v>
      </c>
      <c r="K9271" t="s">
        <v>36706</v>
      </c>
      <c r="M9271" t="s">
        <v>39506</v>
      </c>
      <c r="N9271" t="s">
        <v>40436</v>
      </c>
      <c r="O9271" t="s">
        <v>40437</v>
      </c>
      <c r="P9271">
        <v>0</v>
      </c>
      <c r="Q9271">
        <v>2</v>
      </c>
      <c r="R9271" t="s">
        <v>40446</v>
      </c>
      <c r="S9271" t="s">
        <v>40783</v>
      </c>
      <c r="T9271" t="s">
        <v>42279</v>
      </c>
      <c r="U9271" t="s">
        <v>50375</v>
      </c>
      <c r="W9271" t="s">
        <v>39506</v>
      </c>
      <c r="X9271" t="s">
        <v>40447</v>
      </c>
    </row>
    <row r="9272" spans="1:24">
      <c r="A9272">
        <f>HYPERLINK("https://www.philgeps.gov.ph/GEPSNONPILOT/Tender/SplashBidNoticeAbstractUI.aspx?menuIndex=3&amp;refID=7034846&amp;Result=3","7034846")</f>
        <v>0</v>
      </c>
      <c r="B9272" t="s">
        <v>445</v>
      </c>
      <c r="C9272" t="s">
        <v>11926</v>
      </c>
      <c r="D9272" t="s">
        <v>16202</v>
      </c>
      <c r="E9272" t="s">
        <v>24379</v>
      </c>
      <c r="F9272" t="s">
        <v>28198</v>
      </c>
      <c r="G9272" t="s">
        <v>28205</v>
      </c>
      <c r="H9272" t="s">
        <v>28215</v>
      </c>
      <c r="I9272" t="s">
        <v>28234</v>
      </c>
      <c r="J9272" t="s">
        <v>34135</v>
      </c>
      <c r="K9272" t="s">
        <v>36692</v>
      </c>
      <c r="M9272" t="s">
        <v>37429</v>
      </c>
      <c r="N9272" t="s">
        <v>40436</v>
      </c>
      <c r="O9272" t="s">
        <v>40437</v>
      </c>
      <c r="P9272">
        <v>0</v>
      </c>
      <c r="Q9272">
        <v>8</v>
      </c>
      <c r="R9272" t="s">
        <v>40446</v>
      </c>
      <c r="S9272" t="s">
        <v>40783</v>
      </c>
      <c r="T9272" t="s">
        <v>42372</v>
      </c>
      <c r="U9272" t="s">
        <v>43410</v>
      </c>
      <c r="W9272" t="s">
        <v>37429</v>
      </c>
      <c r="X9272" t="s">
        <v>40447</v>
      </c>
    </row>
    <row r="9273" spans="1:24">
      <c r="A9273">
        <f>HYPERLINK("https://www.philgeps.gov.ph/GEPSNONPILOT/Tender/SplashBidNoticeAbstractUI.aspx?menuIndex=3&amp;refID=7034840&amp;Result=3","7034840")</f>
        <v>0</v>
      </c>
      <c r="B9273" t="s">
        <v>2038</v>
      </c>
      <c r="C9273" t="s">
        <v>11927</v>
      </c>
      <c r="D9273" t="s">
        <v>16274</v>
      </c>
      <c r="E9273" t="s">
        <v>24380</v>
      </c>
      <c r="F9273" t="s">
        <v>28198</v>
      </c>
      <c r="G9273" t="s">
        <v>28205</v>
      </c>
      <c r="H9273" t="s">
        <v>28214</v>
      </c>
      <c r="I9273" t="s">
        <v>3797</v>
      </c>
      <c r="J9273" t="s">
        <v>34136</v>
      </c>
      <c r="K9273" t="s">
        <v>36812</v>
      </c>
      <c r="M9273" t="s">
        <v>39181</v>
      </c>
      <c r="N9273" t="s">
        <v>40436</v>
      </c>
      <c r="O9273" t="s">
        <v>40437</v>
      </c>
      <c r="Q9273">
        <v>0</v>
      </c>
      <c r="R9273" t="s">
        <v>40446</v>
      </c>
      <c r="S9273" t="s">
        <v>40852</v>
      </c>
      <c r="T9273" t="s">
        <v>42279</v>
      </c>
      <c r="U9273" t="s">
        <v>50376</v>
      </c>
      <c r="V9273" t="s">
        <v>54775</v>
      </c>
      <c r="W9273" t="s">
        <v>39181</v>
      </c>
      <c r="X9273" t="s">
        <v>40447</v>
      </c>
    </row>
    <row r="9274" spans="1:24">
      <c r="A9274">
        <f>HYPERLINK("https://www.philgeps.gov.ph/GEPSNONPILOT/Tender/SplashBidNoticeAbstractUI.aspx?menuIndex=3&amp;refID=7034958&amp;Result=3","7034958")</f>
        <v>0</v>
      </c>
      <c r="B9274" t="s">
        <v>86</v>
      </c>
      <c r="C9274" t="s">
        <v>11928</v>
      </c>
      <c r="D9274" t="s">
        <v>16197</v>
      </c>
      <c r="E9274" t="s">
        <v>24381</v>
      </c>
      <c r="F9274" t="s">
        <v>28198</v>
      </c>
      <c r="G9274" t="s">
        <v>28205</v>
      </c>
      <c r="H9274" t="s">
        <v>28215</v>
      </c>
      <c r="I9274" t="s">
        <v>28225</v>
      </c>
      <c r="J9274" t="s">
        <v>34137</v>
      </c>
      <c r="K9274" t="s">
        <v>36701</v>
      </c>
      <c r="M9274" t="s">
        <v>37058</v>
      </c>
      <c r="N9274" t="s">
        <v>40436</v>
      </c>
      <c r="O9274" t="s">
        <v>40437</v>
      </c>
      <c r="P9274">
        <v>0</v>
      </c>
      <c r="Q9274">
        <v>5</v>
      </c>
      <c r="R9274" t="s">
        <v>40446</v>
      </c>
      <c r="S9274" t="s">
        <v>40783</v>
      </c>
      <c r="T9274" t="s">
        <v>42234</v>
      </c>
      <c r="U9274" t="s">
        <v>50377</v>
      </c>
      <c r="V9274" t="s">
        <v>54776</v>
      </c>
      <c r="W9274" t="s">
        <v>37058</v>
      </c>
      <c r="X9274" t="s">
        <v>40447</v>
      </c>
    </row>
    <row r="9275" spans="1:24">
      <c r="A9275">
        <f>HYPERLINK("https://www.philgeps.gov.ph/GEPSNONPILOT/Tender/SplashBidNoticeAbstractUI.aspx?menuIndex=3&amp;refID=7034870&amp;Result=3","7034870")</f>
        <v>0</v>
      </c>
      <c r="B9275" t="s">
        <v>116</v>
      </c>
      <c r="C9275" t="s">
        <v>11929</v>
      </c>
      <c r="D9275" t="s">
        <v>16207</v>
      </c>
      <c r="E9275" t="s">
        <v>24382</v>
      </c>
      <c r="F9275" t="s">
        <v>28198</v>
      </c>
      <c r="G9275" t="s">
        <v>28205</v>
      </c>
      <c r="H9275" t="s">
        <v>28215</v>
      </c>
      <c r="I9275" t="s">
        <v>28228</v>
      </c>
      <c r="J9275" t="s">
        <v>34138</v>
      </c>
      <c r="K9275" t="s">
        <v>36697</v>
      </c>
      <c r="M9275" t="s">
        <v>38634</v>
      </c>
      <c r="N9275" t="s">
        <v>40436</v>
      </c>
      <c r="O9275" t="s">
        <v>40437</v>
      </c>
      <c r="P9275">
        <v>0</v>
      </c>
      <c r="Q9275">
        <v>2</v>
      </c>
      <c r="R9275" t="s">
        <v>40446</v>
      </c>
      <c r="S9275" t="s">
        <v>40783</v>
      </c>
      <c r="T9275" t="s">
        <v>42278</v>
      </c>
      <c r="U9275" t="s">
        <v>50378</v>
      </c>
      <c r="W9275" t="s">
        <v>38634</v>
      </c>
      <c r="X9275" t="s">
        <v>40447</v>
      </c>
    </row>
    <row r="9276" spans="1:24">
      <c r="A9276">
        <f>HYPERLINK("https://www.philgeps.gov.ph/GEPSNONPILOT/Tender/SplashBidNoticeAbstractUI.aspx?menuIndex=3&amp;refID=7034935&amp;Result=3","7034935")</f>
        <v>0</v>
      </c>
      <c r="B9276" t="s">
        <v>1169</v>
      </c>
      <c r="C9276" t="s">
        <v>11930</v>
      </c>
      <c r="D9276" t="s">
        <v>16250</v>
      </c>
      <c r="E9276" t="s">
        <v>24383</v>
      </c>
      <c r="F9276" t="s">
        <v>28198</v>
      </c>
      <c r="G9276" t="s">
        <v>28205</v>
      </c>
      <c r="H9276" t="s">
        <v>28214</v>
      </c>
      <c r="I9276" t="s">
        <v>3797</v>
      </c>
      <c r="J9276" t="s">
        <v>28927</v>
      </c>
      <c r="K9276" t="s">
        <v>36694</v>
      </c>
      <c r="M9276" t="s">
        <v>38209</v>
      </c>
      <c r="N9276" t="s">
        <v>40436</v>
      </c>
      <c r="O9276" t="s">
        <v>40437</v>
      </c>
      <c r="P9276">
        <v>0</v>
      </c>
      <c r="Q9276">
        <v>0</v>
      </c>
      <c r="R9276" t="s">
        <v>40446</v>
      </c>
      <c r="S9276" t="s">
        <v>40783</v>
      </c>
      <c r="T9276" t="s">
        <v>42183</v>
      </c>
      <c r="U9276" t="s">
        <v>50379</v>
      </c>
      <c r="V9276" t="s">
        <v>54777</v>
      </c>
      <c r="W9276" t="s">
        <v>38209</v>
      </c>
      <c r="X9276" t="s">
        <v>40447</v>
      </c>
    </row>
    <row r="9277" spans="1:24">
      <c r="A9277">
        <f>HYPERLINK("https://www.philgeps.gov.ph/GEPSNONPILOT/Tender/SplashBidNoticeAbstractUI.aspx?menuIndex=3&amp;refID=7034931&amp;Result=3","7034931")</f>
        <v>0</v>
      </c>
      <c r="B9277" t="s">
        <v>2324</v>
      </c>
      <c r="C9277" t="s">
        <v>11931</v>
      </c>
      <c r="D9277" t="s">
        <v>16187</v>
      </c>
      <c r="E9277" t="s">
        <v>24384</v>
      </c>
      <c r="F9277" t="s">
        <v>28198</v>
      </c>
      <c r="G9277" t="s">
        <v>28205</v>
      </c>
      <c r="H9277" t="s">
        <v>28214</v>
      </c>
      <c r="I9277" t="s">
        <v>3797</v>
      </c>
      <c r="J9277" t="s">
        <v>34139</v>
      </c>
      <c r="K9277" t="s">
        <v>36694</v>
      </c>
      <c r="M9277" t="s">
        <v>39502</v>
      </c>
      <c r="N9277" t="s">
        <v>40436</v>
      </c>
      <c r="O9277" t="s">
        <v>40437</v>
      </c>
      <c r="P9277">
        <v>0</v>
      </c>
      <c r="Q9277">
        <v>0</v>
      </c>
      <c r="R9277" t="s">
        <v>40446</v>
      </c>
      <c r="S9277" t="s">
        <v>40783</v>
      </c>
      <c r="T9277" t="s">
        <v>42234</v>
      </c>
      <c r="U9277" t="s">
        <v>50380</v>
      </c>
      <c r="W9277" t="s">
        <v>39502</v>
      </c>
      <c r="X9277" t="s">
        <v>40447</v>
      </c>
    </row>
    <row r="9278" spans="1:24">
      <c r="A9278">
        <f>HYPERLINK("https://www.philgeps.gov.ph/GEPSNONPILOT/Tender/SplashBidNoticeAbstractUI.aspx?menuIndex=3&amp;refID=7034859&amp;Result=3","7034859")</f>
        <v>0</v>
      </c>
      <c r="B9278" t="s">
        <v>2430</v>
      </c>
      <c r="C9278" t="s">
        <v>11932</v>
      </c>
      <c r="D9278" t="s">
        <v>16248</v>
      </c>
      <c r="E9278" t="s">
        <v>24385</v>
      </c>
      <c r="F9278" t="s">
        <v>28198</v>
      </c>
      <c r="G9278" t="s">
        <v>28205</v>
      </c>
      <c r="H9278" t="s">
        <v>28214</v>
      </c>
      <c r="I9278" t="s">
        <v>3797</v>
      </c>
      <c r="J9278" t="s">
        <v>34140</v>
      </c>
      <c r="K9278" t="s">
        <v>36797</v>
      </c>
      <c r="M9278" t="s">
        <v>39618</v>
      </c>
      <c r="N9278" t="s">
        <v>40436</v>
      </c>
      <c r="O9278" t="s">
        <v>40437</v>
      </c>
      <c r="P9278">
        <v>0</v>
      </c>
      <c r="Q9278">
        <v>0</v>
      </c>
      <c r="R9278" t="s">
        <v>40446</v>
      </c>
      <c r="S9278" t="s">
        <v>40783</v>
      </c>
      <c r="T9278" t="s">
        <v>42183</v>
      </c>
      <c r="U9278" t="s">
        <v>50381</v>
      </c>
      <c r="V9278" t="s">
        <v>54778</v>
      </c>
      <c r="W9278" t="s">
        <v>39618</v>
      </c>
      <c r="X9278" t="s">
        <v>40447</v>
      </c>
    </row>
    <row r="9279" spans="1:24">
      <c r="A9279">
        <f>HYPERLINK("https://www.philgeps.gov.ph/GEPSNONPILOT/Tender/SplashBidNoticeAbstractUI.aspx?menuIndex=3&amp;refID=7034941&amp;Result=3","7034941")</f>
        <v>0</v>
      </c>
      <c r="B9279" t="s">
        <v>2627</v>
      </c>
      <c r="C9279" t="s">
        <v>11933</v>
      </c>
      <c r="D9279" t="s">
        <v>16198</v>
      </c>
      <c r="E9279" t="s">
        <v>24386</v>
      </c>
      <c r="F9279" t="s">
        <v>28198</v>
      </c>
      <c r="G9279" t="s">
        <v>28205</v>
      </c>
      <c r="H9279" t="s">
        <v>28214</v>
      </c>
      <c r="I9279" t="s">
        <v>3797</v>
      </c>
      <c r="J9279" t="s">
        <v>31166</v>
      </c>
      <c r="K9279" t="s">
        <v>36690</v>
      </c>
      <c r="M9279" t="s">
        <v>39848</v>
      </c>
      <c r="N9279" t="s">
        <v>40436</v>
      </c>
      <c r="O9279" t="s">
        <v>40437</v>
      </c>
      <c r="P9279">
        <v>0</v>
      </c>
      <c r="Q9279">
        <v>17</v>
      </c>
      <c r="R9279" t="s">
        <v>40446</v>
      </c>
      <c r="S9279" t="s">
        <v>40783</v>
      </c>
      <c r="T9279" t="s">
        <v>42390</v>
      </c>
      <c r="U9279" t="s">
        <v>50382</v>
      </c>
      <c r="W9279" t="s">
        <v>39848</v>
      </c>
      <c r="X9279" t="s">
        <v>40447</v>
      </c>
    </row>
    <row r="9280" spans="1:24">
      <c r="A9280">
        <f>HYPERLINK("https://www.philgeps.gov.ph/GEPSNONPILOT/Tender/SplashBidNoticeAbstractUI.aspx?menuIndex=3&amp;refID=7034871&amp;Result=3","7034871")</f>
        <v>0</v>
      </c>
      <c r="B9280" t="s">
        <v>34</v>
      </c>
      <c r="C9280" t="s">
        <v>11934</v>
      </c>
      <c r="D9280" t="s">
        <v>16195</v>
      </c>
      <c r="E9280" t="s">
        <v>24387</v>
      </c>
      <c r="F9280" t="s">
        <v>28198</v>
      </c>
      <c r="G9280" t="s">
        <v>28205</v>
      </c>
      <c r="H9280" t="s">
        <v>28214</v>
      </c>
      <c r="I9280" t="s">
        <v>3797</v>
      </c>
      <c r="J9280" t="s">
        <v>34020</v>
      </c>
      <c r="K9280" t="s">
        <v>36727</v>
      </c>
      <c r="M9280" t="s">
        <v>39280</v>
      </c>
      <c r="N9280" t="s">
        <v>40436</v>
      </c>
      <c r="O9280" t="s">
        <v>40437</v>
      </c>
      <c r="P9280">
        <v>0</v>
      </c>
      <c r="Q9280">
        <v>0</v>
      </c>
      <c r="R9280" t="s">
        <v>40446</v>
      </c>
      <c r="S9280" t="s">
        <v>40783</v>
      </c>
      <c r="T9280" t="s">
        <v>42346</v>
      </c>
      <c r="U9280" t="s">
        <v>46771</v>
      </c>
      <c r="W9280" t="s">
        <v>39280</v>
      </c>
      <c r="X9280" t="s">
        <v>40447</v>
      </c>
    </row>
    <row r="9281" spans="1:24">
      <c r="A9281">
        <f>HYPERLINK("https://www.philgeps.gov.ph/GEPSNONPILOT/Tender/SplashBidNoticeAbstractUI.aspx?menuIndex=3&amp;refID=7034924&amp;Result=3","7034924")</f>
        <v>0</v>
      </c>
      <c r="B9281" t="s">
        <v>2627</v>
      </c>
      <c r="C9281" t="s">
        <v>11935</v>
      </c>
      <c r="D9281" t="s">
        <v>16265</v>
      </c>
      <c r="E9281" t="s">
        <v>16847</v>
      </c>
      <c r="F9281" t="s">
        <v>28198</v>
      </c>
      <c r="G9281" t="s">
        <v>28205</v>
      </c>
      <c r="H9281" t="s">
        <v>28214</v>
      </c>
      <c r="I9281" t="s">
        <v>3797</v>
      </c>
      <c r="J9281" t="s">
        <v>31166</v>
      </c>
      <c r="K9281" t="s">
        <v>36690</v>
      </c>
      <c r="M9281" t="s">
        <v>39848</v>
      </c>
      <c r="N9281" t="s">
        <v>40436</v>
      </c>
      <c r="O9281" t="s">
        <v>40437</v>
      </c>
      <c r="P9281">
        <v>0</v>
      </c>
      <c r="Q9281">
        <v>14</v>
      </c>
      <c r="R9281" t="s">
        <v>40446</v>
      </c>
      <c r="S9281" t="s">
        <v>40783</v>
      </c>
      <c r="T9281" t="s">
        <v>42390</v>
      </c>
      <c r="U9281" t="s">
        <v>50383</v>
      </c>
      <c r="W9281" t="s">
        <v>39848</v>
      </c>
      <c r="X9281" t="s">
        <v>40447</v>
      </c>
    </row>
    <row r="9282" spans="1:24">
      <c r="A9282">
        <f>HYPERLINK("https://www.philgeps.gov.ph/GEPSNONPILOT/Tender/SplashBidNoticeAbstractUI.aspx?menuIndex=3&amp;refID=7034945&amp;Result=3","7034945")</f>
        <v>0</v>
      </c>
      <c r="B9282" t="s">
        <v>2324</v>
      </c>
      <c r="C9282" t="s">
        <v>11936</v>
      </c>
      <c r="D9282" t="s">
        <v>16187</v>
      </c>
      <c r="E9282" t="s">
        <v>24388</v>
      </c>
      <c r="F9282" t="s">
        <v>28198</v>
      </c>
      <c r="G9282" t="s">
        <v>28205</v>
      </c>
      <c r="H9282" t="s">
        <v>28214</v>
      </c>
      <c r="I9282" t="s">
        <v>3797</v>
      </c>
      <c r="J9282" t="s">
        <v>34141</v>
      </c>
      <c r="K9282" t="s">
        <v>36694</v>
      </c>
      <c r="M9282" t="s">
        <v>39502</v>
      </c>
      <c r="N9282" t="s">
        <v>40436</v>
      </c>
      <c r="O9282" t="s">
        <v>40437</v>
      </c>
      <c r="P9282">
        <v>0</v>
      </c>
      <c r="Q9282">
        <v>0</v>
      </c>
      <c r="R9282" t="s">
        <v>40446</v>
      </c>
      <c r="S9282" t="s">
        <v>40783</v>
      </c>
      <c r="T9282" t="s">
        <v>42234</v>
      </c>
      <c r="U9282" t="s">
        <v>50384</v>
      </c>
      <c r="W9282" t="s">
        <v>39502</v>
      </c>
      <c r="X9282" t="s">
        <v>40447</v>
      </c>
    </row>
    <row r="9283" spans="1:24">
      <c r="A9283">
        <f>HYPERLINK("https://www.philgeps.gov.ph/GEPSNONPILOT/Tender/SplashBidNoticeAbstractUI.aspx?menuIndex=3&amp;refID=7034966&amp;Result=3","7034966")</f>
        <v>0</v>
      </c>
      <c r="B9283" t="s">
        <v>2391</v>
      </c>
      <c r="C9283" t="s">
        <v>11937</v>
      </c>
      <c r="E9283" t="s">
        <v>24389</v>
      </c>
      <c r="F9283" t="s">
        <v>28198</v>
      </c>
      <c r="G9283" t="s">
        <v>28205</v>
      </c>
      <c r="H9283" t="s">
        <v>28215</v>
      </c>
      <c r="I9283" t="s">
        <v>6051</v>
      </c>
      <c r="J9283" t="s">
        <v>34142</v>
      </c>
      <c r="K9283" t="s">
        <v>36689</v>
      </c>
      <c r="M9283" t="s">
        <v>39578</v>
      </c>
      <c r="N9283" t="s">
        <v>40436</v>
      </c>
      <c r="O9283" t="s">
        <v>40437</v>
      </c>
      <c r="P9283">
        <v>0</v>
      </c>
      <c r="Q9283">
        <v>1</v>
      </c>
      <c r="R9283" t="s">
        <v>40446</v>
      </c>
      <c r="S9283" t="s">
        <v>40783</v>
      </c>
      <c r="T9283" t="s">
        <v>42510</v>
      </c>
      <c r="U9283" t="s">
        <v>49305</v>
      </c>
      <c r="W9283" t="s">
        <v>39578</v>
      </c>
      <c r="X9283" t="s">
        <v>40447</v>
      </c>
    </row>
    <row r="9284" spans="1:24">
      <c r="A9284">
        <f>HYPERLINK("https://www.philgeps.gov.ph/GEPSNONPILOT/Tender/SplashBidNoticeAbstractUI.aspx?menuIndex=3&amp;refID=7034972&amp;Result=3","7034972")</f>
        <v>0</v>
      </c>
      <c r="B9284" t="s">
        <v>2391</v>
      </c>
      <c r="C9284" t="s">
        <v>11938</v>
      </c>
      <c r="E9284" t="s">
        <v>24390</v>
      </c>
      <c r="F9284" t="s">
        <v>28198</v>
      </c>
      <c r="G9284" t="s">
        <v>28205</v>
      </c>
      <c r="H9284" t="s">
        <v>28215</v>
      </c>
      <c r="I9284" t="s">
        <v>28225</v>
      </c>
      <c r="J9284" t="s">
        <v>34143</v>
      </c>
      <c r="K9284" t="s">
        <v>36689</v>
      </c>
      <c r="M9284" t="s">
        <v>39578</v>
      </c>
      <c r="N9284" t="s">
        <v>40436</v>
      </c>
      <c r="O9284" t="s">
        <v>40437</v>
      </c>
      <c r="P9284">
        <v>0</v>
      </c>
      <c r="Q9284">
        <v>6</v>
      </c>
      <c r="R9284" t="s">
        <v>40446</v>
      </c>
      <c r="S9284" t="s">
        <v>40783</v>
      </c>
      <c r="T9284" t="s">
        <v>42510</v>
      </c>
      <c r="U9284" t="s">
        <v>49305</v>
      </c>
      <c r="W9284" t="s">
        <v>39578</v>
      </c>
      <c r="X9284" t="s">
        <v>40447</v>
      </c>
    </row>
    <row r="9285" spans="1:24">
      <c r="A9285">
        <f>HYPERLINK("https://www.philgeps.gov.ph/GEPSNONPILOT/Tender/SplashBidNoticeAbstractUI.aspx?menuIndex=3&amp;refID=7034866&amp;Result=3","7034866")</f>
        <v>0</v>
      </c>
      <c r="B9285" t="s">
        <v>2324</v>
      </c>
      <c r="C9285" t="s">
        <v>11939</v>
      </c>
      <c r="D9285" t="s">
        <v>16187</v>
      </c>
      <c r="E9285" t="s">
        <v>24391</v>
      </c>
      <c r="F9285" t="s">
        <v>28198</v>
      </c>
      <c r="G9285" t="s">
        <v>28205</v>
      </c>
      <c r="H9285" t="s">
        <v>28214</v>
      </c>
      <c r="I9285" t="s">
        <v>3797</v>
      </c>
      <c r="J9285" t="s">
        <v>34144</v>
      </c>
      <c r="K9285" t="s">
        <v>36890</v>
      </c>
      <c r="M9285" t="s">
        <v>39502</v>
      </c>
      <c r="N9285" t="s">
        <v>40436</v>
      </c>
      <c r="O9285" t="s">
        <v>40437</v>
      </c>
      <c r="P9285">
        <v>0</v>
      </c>
      <c r="Q9285">
        <v>0</v>
      </c>
      <c r="R9285" t="s">
        <v>40446</v>
      </c>
      <c r="S9285" t="s">
        <v>40783</v>
      </c>
      <c r="T9285" t="s">
        <v>42234</v>
      </c>
      <c r="U9285" t="s">
        <v>50385</v>
      </c>
      <c r="W9285" t="s">
        <v>39502</v>
      </c>
      <c r="X9285" t="s">
        <v>40447</v>
      </c>
    </row>
    <row r="9286" spans="1:24">
      <c r="A9286">
        <f>HYPERLINK("https://www.philgeps.gov.ph/GEPSNONPILOT/Tender/SplashBidNoticeAbstractUI.aspx?menuIndex=3&amp;refID=7034956&amp;Result=3","7034956")</f>
        <v>0</v>
      </c>
      <c r="B9286" t="s">
        <v>2630</v>
      </c>
      <c r="C9286" t="s">
        <v>11940</v>
      </c>
      <c r="D9286" t="s">
        <v>16193</v>
      </c>
      <c r="E9286" t="s">
        <v>24392</v>
      </c>
      <c r="F9286" t="s">
        <v>28198</v>
      </c>
      <c r="G9286" t="s">
        <v>28205</v>
      </c>
      <c r="H9286" t="s">
        <v>28214</v>
      </c>
      <c r="I9286" t="s">
        <v>3797</v>
      </c>
      <c r="J9286" t="s">
        <v>34145</v>
      </c>
      <c r="K9286" t="s">
        <v>36692</v>
      </c>
      <c r="M9286" t="s">
        <v>39851</v>
      </c>
      <c r="N9286" t="s">
        <v>40436</v>
      </c>
      <c r="O9286" t="s">
        <v>40437</v>
      </c>
      <c r="P9286">
        <v>0</v>
      </c>
      <c r="Q9286">
        <v>0</v>
      </c>
      <c r="R9286" t="s">
        <v>40446</v>
      </c>
      <c r="S9286" t="s">
        <v>40783</v>
      </c>
      <c r="T9286" t="s">
        <v>42539</v>
      </c>
      <c r="U9286" t="s">
        <v>50386</v>
      </c>
      <c r="W9286" t="s">
        <v>39851</v>
      </c>
      <c r="X9286" t="s">
        <v>40447</v>
      </c>
    </row>
    <row r="9287" spans="1:24">
      <c r="A9287">
        <f>HYPERLINK("https://www.philgeps.gov.ph/GEPSNONPILOT/Tender/SplashBidNoticeAbstractUI.aspx?menuIndex=3&amp;refID=7034990&amp;Result=3","7034990")</f>
        <v>0</v>
      </c>
      <c r="B9287" t="s">
        <v>998</v>
      </c>
      <c r="C9287" t="s">
        <v>11941</v>
      </c>
      <c r="D9287" t="s">
        <v>16209</v>
      </c>
      <c r="E9287" t="s">
        <v>16473</v>
      </c>
      <c r="F9287" t="s">
        <v>28198</v>
      </c>
      <c r="G9287" t="s">
        <v>28205</v>
      </c>
      <c r="H9287" t="s">
        <v>28215</v>
      </c>
      <c r="I9287" t="s">
        <v>28255</v>
      </c>
      <c r="J9287" t="s">
        <v>31969</v>
      </c>
      <c r="K9287" t="s">
        <v>36706</v>
      </c>
      <c r="L9287" t="s">
        <v>998</v>
      </c>
      <c r="M9287" t="s">
        <v>38026</v>
      </c>
      <c r="N9287" t="s">
        <v>40436</v>
      </c>
      <c r="O9287" t="s">
        <v>40437</v>
      </c>
      <c r="P9287">
        <v>0</v>
      </c>
      <c r="Q9287">
        <v>0</v>
      </c>
      <c r="R9287" t="s">
        <v>40446</v>
      </c>
      <c r="S9287" t="s">
        <v>40783</v>
      </c>
      <c r="T9287" t="s">
        <v>42341</v>
      </c>
      <c r="U9287" t="s">
        <v>50387</v>
      </c>
      <c r="V9287" t="s">
        <v>54779</v>
      </c>
      <c r="W9287" t="s">
        <v>38026</v>
      </c>
      <c r="X9287" t="s">
        <v>40447</v>
      </c>
    </row>
    <row r="9288" spans="1:24">
      <c r="A9288">
        <f>HYPERLINK("https://www.philgeps.gov.ph/GEPSNONPILOT/Tender/SplashBidNoticeAbstractUI.aspx?menuIndex=3&amp;refID=7034988&amp;Result=3","7034988")</f>
        <v>0</v>
      </c>
      <c r="B9288" t="s">
        <v>2324</v>
      </c>
      <c r="C9288" t="s">
        <v>11942</v>
      </c>
      <c r="D9288" t="s">
        <v>16187</v>
      </c>
      <c r="E9288" t="s">
        <v>24393</v>
      </c>
      <c r="F9288" t="s">
        <v>28198</v>
      </c>
      <c r="G9288" t="s">
        <v>28205</v>
      </c>
      <c r="H9288" t="s">
        <v>28214</v>
      </c>
      <c r="I9288" t="s">
        <v>3797</v>
      </c>
      <c r="J9288" t="s">
        <v>34146</v>
      </c>
      <c r="K9288" t="s">
        <v>36715</v>
      </c>
      <c r="M9288" t="s">
        <v>39502</v>
      </c>
      <c r="N9288" t="s">
        <v>40436</v>
      </c>
      <c r="O9288" t="s">
        <v>40437</v>
      </c>
      <c r="P9288">
        <v>0</v>
      </c>
      <c r="Q9288">
        <v>0</v>
      </c>
      <c r="R9288" t="s">
        <v>40446</v>
      </c>
      <c r="S9288" t="s">
        <v>40783</v>
      </c>
      <c r="T9288" t="s">
        <v>42234</v>
      </c>
      <c r="U9288" t="s">
        <v>50388</v>
      </c>
      <c r="W9288" t="s">
        <v>39502</v>
      </c>
      <c r="X9288" t="s">
        <v>40447</v>
      </c>
    </row>
    <row r="9289" spans="1:24">
      <c r="A9289">
        <f>HYPERLINK("https://www.philgeps.gov.ph/GEPSNONPILOT/Tender/SplashBidNoticeAbstractUI.aspx?menuIndex=3&amp;refID=7034981&amp;Result=3","7034981")</f>
        <v>0</v>
      </c>
      <c r="B9289" t="s">
        <v>2324</v>
      </c>
      <c r="C9289" t="s">
        <v>11943</v>
      </c>
      <c r="D9289" t="s">
        <v>16187</v>
      </c>
      <c r="E9289" t="s">
        <v>24394</v>
      </c>
      <c r="F9289" t="s">
        <v>28198</v>
      </c>
      <c r="G9289" t="s">
        <v>28205</v>
      </c>
      <c r="H9289" t="s">
        <v>28214</v>
      </c>
      <c r="I9289" t="s">
        <v>3797</v>
      </c>
      <c r="J9289" t="s">
        <v>34147</v>
      </c>
      <c r="K9289" t="s">
        <v>36851</v>
      </c>
      <c r="M9289" t="s">
        <v>39502</v>
      </c>
      <c r="N9289" t="s">
        <v>40436</v>
      </c>
      <c r="O9289" t="s">
        <v>40437</v>
      </c>
      <c r="P9289">
        <v>0</v>
      </c>
      <c r="Q9289">
        <v>0</v>
      </c>
      <c r="R9289" t="s">
        <v>40446</v>
      </c>
      <c r="S9289" t="s">
        <v>40783</v>
      </c>
      <c r="T9289" t="s">
        <v>42234</v>
      </c>
      <c r="U9289" t="s">
        <v>50389</v>
      </c>
      <c r="W9289" t="s">
        <v>39502</v>
      </c>
      <c r="X9289" t="s">
        <v>40447</v>
      </c>
    </row>
    <row r="9290" spans="1:24">
      <c r="A9290">
        <f>HYPERLINK("https://www.philgeps.gov.ph/GEPSNONPILOT/Tender/SplashBidNoticeAbstractUI.aspx?menuIndex=3&amp;refID=7034985&amp;Result=3","7034985")</f>
        <v>0</v>
      </c>
      <c r="B9290" t="s">
        <v>2391</v>
      </c>
      <c r="C9290" t="s">
        <v>11944</v>
      </c>
      <c r="E9290" t="s">
        <v>24395</v>
      </c>
      <c r="F9290" t="s">
        <v>28198</v>
      </c>
      <c r="G9290" t="s">
        <v>28205</v>
      </c>
      <c r="H9290" t="s">
        <v>28215</v>
      </c>
      <c r="I9290" t="s">
        <v>28316</v>
      </c>
      <c r="J9290" t="s">
        <v>34148</v>
      </c>
      <c r="K9290" t="s">
        <v>36689</v>
      </c>
      <c r="M9290" t="s">
        <v>39578</v>
      </c>
      <c r="N9290" t="s">
        <v>40436</v>
      </c>
      <c r="O9290" t="s">
        <v>40437</v>
      </c>
      <c r="P9290">
        <v>0</v>
      </c>
      <c r="Q9290">
        <v>7</v>
      </c>
      <c r="R9290" t="s">
        <v>40446</v>
      </c>
      <c r="S9290" t="s">
        <v>40783</v>
      </c>
      <c r="T9290" t="s">
        <v>42510</v>
      </c>
      <c r="U9290" t="s">
        <v>49305</v>
      </c>
      <c r="W9290" t="s">
        <v>39578</v>
      </c>
      <c r="X9290" t="s">
        <v>40447</v>
      </c>
    </row>
    <row r="9291" spans="1:24">
      <c r="A9291">
        <f>HYPERLINK("https://www.philgeps.gov.ph/GEPSNONPILOT/Tender/SplashBidNoticeAbstractUI.aspx?menuIndex=3&amp;refID=7034999&amp;Result=3","7034999")</f>
        <v>0</v>
      </c>
      <c r="B9291" t="s">
        <v>2324</v>
      </c>
      <c r="C9291" t="s">
        <v>11945</v>
      </c>
      <c r="D9291" t="s">
        <v>16187</v>
      </c>
      <c r="E9291" t="s">
        <v>24396</v>
      </c>
      <c r="F9291" t="s">
        <v>28198</v>
      </c>
      <c r="G9291" t="s">
        <v>28205</v>
      </c>
      <c r="H9291" t="s">
        <v>28214</v>
      </c>
      <c r="I9291" t="s">
        <v>3797</v>
      </c>
      <c r="J9291" t="s">
        <v>34149</v>
      </c>
      <c r="K9291" t="s">
        <v>36711</v>
      </c>
      <c r="M9291" t="s">
        <v>39502</v>
      </c>
      <c r="N9291" t="s">
        <v>40436</v>
      </c>
      <c r="O9291" t="s">
        <v>40437</v>
      </c>
      <c r="P9291">
        <v>0</v>
      </c>
      <c r="Q9291">
        <v>0</v>
      </c>
      <c r="R9291" t="s">
        <v>40446</v>
      </c>
      <c r="S9291" t="s">
        <v>40783</v>
      </c>
      <c r="T9291" t="s">
        <v>42234</v>
      </c>
      <c r="U9291" t="s">
        <v>50390</v>
      </c>
      <c r="W9291" t="s">
        <v>39502</v>
      </c>
      <c r="X9291" t="s">
        <v>40447</v>
      </c>
    </row>
    <row r="9292" spans="1:24">
      <c r="A9292">
        <f>HYPERLINK("https://www.philgeps.gov.ph/GEPSNONPILOT/Tender/SplashBidNoticeAbstractUI.aspx?menuIndex=3&amp;refID=7035001&amp;Result=3","7035001")</f>
        <v>0</v>
      </c>
      <c r="B9292" t="s">
        <v>2631</v>
      </c>
      <c r="C9292" t="s">
        <v>11946</v>
      </c>
      <c r="D9292" t="s">
        <v>16191</v>
      </c>
      <c r="E9292" t="s">
        <v>24397</v>
      </c>
      <c r="F9292" t="s">
        <v>28198</v>
      </c>
      <c r="G9292" t="s">
        <v>28205</v>
      </c>
      <c r="H9292" t="s">
        <v>28214</v>
      </c>
      <c r="I9292" t="s">
        <v>3797</v>
      </c>
      <c r="J9292" t="s">
        <v>34150</v>
      </c>
      <c r="K9292" t="s">
        <v>36701</v>
      </c>
      <c r="M9292" t="s">
        <v>39852</v>
      </c>
      <c r="N9292" t="s">
        <v>40436</v>
      </c>
      <c r="O9292" t="s">
        <v>40437</v>
      </c>
      <c r="P9292">
        <v>0</v>
      </c>
      <c r="Q9292">
        <v>3</v>
      </c>
      <c r="R9292" t="s">
        <v>40446</v>
      </c>
      <c r="S9292" t="s">
        <v>40783</v>
      </c>
      <c r="T9292" t="s">
        <v>42234</v>
      </c>
      <c r="U9292" t="s">
        <v>50391</v>
      </c>
      <c r="V9292" t="s">
        <v>54780</v>
      </c>
      <c r="W9292" t="s">
        <v>39852</v>
      </c>
      <c r="X9292" t="s">
        <v>40447</v>
      </c>
    </row>
    <row r="9293" spans="1:24">
      <c r="A9293">
        <f>HYPERLINK("https://www.philgeps.gov.ph/GEPSNONPILOT/Tender/SplashBidNoticeAbstractUI.aspx?menuIndex=3&amp;refID=7034975&amp;Result=3","7034975")</f>
        <v>0</v>
      </c>
      <c r="B9293" t="s">
        <v>1330</v>
      </c>
      <c r="C9293" t="s">
        <v>11947</v>
      </c>
      <c r="D9293" t="s">
        <v>16262</v>
      </c>
      <c r="E9293" t="s">
        <v>24398</v>
      </c>
      <c r="F9293" t="s">
        <v>28198</v>
      </c>
      <c r="G9293" t="s">
        <v>28205</v>
      </c>
      <c r="H9293" t="s">
        <v>28214</v>
      </c>
      <c r="I9293" t="s">
        <v>3797</v>
      </c>
      <c r="J9293" t="s">
        <v>34151</v>
      </c>
      <c r="K9293" t="s">
        <v>36737</v>
      </c>
      <c r="M9293" t="s">
        <v>39853</v>
      </c>
      <c r="N9293" t="s">
        <v>40436</v>
      </c>
      <c r="O9293" t="s">
        <v>40437</v>
      </c>
      <c r="P9293">
        <v>0</v>
      </c>
      <c r="Q9293">
        <v>0</v>
      </c>
      <c r="R9293" t="s">
        <v>40446</v>
      </c>
      <c r="S9293" t="s">
        <v>40783</v>
      </c>
      <c r="T9293" t="s">
        <v>42113</v>
      </c>
      <c r="U9293" t="s">
        <v>50392</v>
      </c>
      <c r="W9293" t="s">
        <v>39853</v>
      </c>
      <c r="X9293" t="s">
        <v>40447</v>
      </c>
    </row>
    <row r="9294" spans="1:24">
      <c r="A9294">
        <f>HYPERLINK("https://www.philgeps.gov.ph/GEPSNONPILOT/Tender/SplashBidNoticeAbstractUI.aspx?menuIndex=3&amp;refID=7035010&amp;Result=3","7035010")</f>
        <v>0</v>
      </c>
      <c r="B9294" t="s">
        <v>2391</v>
      </c>
      <c r="C9294" t="s">
        <v>11948</v>
      </c>
      <c r="E9294" t="s">
        <v>24399</v>
      </c>
      <c r="F9294" t="s">
        <v>28198</v>
      </c>
      <c r="G9294" t="s">
        <v>28205</v>
      </c>
      <c r="H9294" t="s">
        <v>28215</v>
      </c>
      <c r="I9294" t="s">
        <v>28337</v>
      </c>
      <c r="J9294" t="s">
        <v>34152</v>
      </c>
      <c r="K9294" t="s">
        <v>36689</v>
      </c>
      <c r="M9294" t="s">
        <v>39578</v>
      </c>
      <c r="N9294" t="s">
        <v>40436</v>
      </c>
      <c r="O9294" t="s">
        <v>40437</v>
      </c>
      <c r="P9294">
        <v>0</v>
      </c>
      <c r="Q9294">
        <v>4</v>
      </c>
      <c r="R9294" t="s">
        <v>40446</v>
      </c>
      <c r="S9294" t="s">
        <v>40783</v>
      </c>
      <c r="T9294" t="s">
        <v>42510</v>
      </c>
      <c r="U9294" t="s">
        <v>49305</v>
      </c>
      <c r="W9294" t="s">
        <v>39578</v>
      </c>
      <c r="X9294" t="s">
        <v>40447</v>
      </c>
    </row>
    <row r="9295" spans="1:24">
      <c r="A9295">
        <f>HYPERLINK("https://www.philgeps.gov.ph/GEPSNONPILOT/Tender/SplashBidNoticeAbstractUI.aspx?menuIndex=3&amp;refID=7034980&amp;Result=3","7034980")</f>
        <v>0</v>
      </c>
      <c r="B9295" t="s">
        <v>1308</v>
      </c>
      <c r="C9295" t="s">
        <v>11949</v>
      </c>
      <c r="D9295" t="s">
        <v>16274</v>
      </c>
      <c r="E9295" t="s">
        <v>24400</v>
      </c>
      <c r="F9295" t="s">
        <v>28198</v>
      </c>
      <c r="G9295" t="s">
        <v>28208</v>
      </c>
      <c r="H9295" t="s">
        <v>28214</v>
      </c>
      <c r="I9295" t="s">
        <v>3797</v>
      </c>
      <c r="J9295" t="s">
        <v>34153</v>
      </c>
      <c r="K9295" t="s">
        <v>36810</v>
      </c>
      <c r="M9295" t="s">
        <v>38362</v>
      </c>
      <c r="N9295" t="s">
        <v>40436</v>
      </c>
      <c r="O9295" t="s">
        <v>40437</v>
      </c>
      <c r="P9295">
        <v>0</v>
      </c>
      <c r="Q9295">
        <v>0</v>
      </c>
      <c r="R9295" t="s">
        <v>40446</v>
      </c>
      <c r="S9295" t="s">
        <v>40783</v>
      </c>
      <c r="T9295" t="s">
        <v>42183</v>
      </c>
      <c r="U9295" t="s">
        <v>50393</v>
      </c>
      <c r="W9295" t="s">
        <v>38362</v>
      </c>
      <c r="X9295" t="s">
        <v>40447</v>
      </c>
    </row>
    <row r="9296" spans="1:24">
      <c r="A9296">
        <f>HYPERLINK("https://www.philgeps.gov.ph/GEPSNONPILOT/Tender/SplashBidNoticeAbstractUI.aspx?menuIndex=3&amp;refID=7035008&amp;Result=3","7035008")</f>
        <v>0</v>
      </c>
      <c r="B9296" t="s">
        <v>2630</v>
      </c>
      <c r="C9296" t="s">
        <v>11950</v>
      </c>
      <c r="D9296" t="s">
        <v>16193</v>
      </c>
      <c r="E9296" t="s">
        <v>24401</v>
      </c>
      <c r="F9296" t="s">
        <v>28198</v>
      </c>
      <c r="G9296" t="s">
        <v>28205</v>
      </c>
      <c r="H9296" t="s">
        <v>28214</v>
      </c>
      <c r="I9296" t="s">
        <v>3797</v>
      </c>
      <c r="J9296" t="s">
        <v>34154</v>
      </c>
      <c r="K9296" t="s">
        <v>36692</v>
      </c>
      <c r="M9296" t="s">
        <v>39851</v>
      </c>
      <c r="N9296" t="s">
        <v>40436</v>
      </c>
      <c r="O9296" t="s">
        <v>40437</v>
      </c>
      <c r="P9296">
        <v>0</v>
      </c>
      <c r="Q9296">
        <v>0</v>
      </c>
      <c r="R9296" t="s">
        <v>40446</v>
      </c>
      <c r="S9296" t="s">
        <v>40783</v>
      </c>
      <c r="T9296" t="s">
        <v>42278</v>
      </c>
      <c r="U9296" t="s">
        <v>50386</v>
      </c>
      <c r="W9296" t="s">
        <v>39851</v>
      </c>
      <c r="X9296" t="s">
        <v>40447</v>
      </c>
    </row>
    <row r="9297" spans="1:24">
      <c r="A9297">
        <f>HYPERLINK("https://www.philgeps.gov.ph/GEPSNONPILOT/Tender/SplashBidNoticeAbstractUI.aspx?menuIndex=3&amp;refID=7035009&amp;Result=3","7035009")</f>
        <v>0</v>
      </c>
      <c r="B9297" t="s">
        <v>2510</v>
      </c>
      <c r="C9297" t="s">
        <v>11951</v>
      </c>
      <c r="D9297" t="s">
        <v>16239</v>
      </c>
      <c r="E9297" t="s">
        <v>24402</v>
      </c>
      <c r="F9297" t="s">
        <v>28198</v>
      </c>
      <c r="G9297" t="s">
        <v>28205</v>
      </c>
      <c r="H9297" t="s">
        <v>28215</v>
      </c>
      <c r="I9297" t="s">
        <v>4505</v>
      </c>
      <c r="J9297" t="s">
        <v>34155</v>
      </c>
      <c r="K9297" t="s">
        <v>36715</v>
      </c>
      <c r="M9297" t="s">
        <v>39713</v>
      </c>
      <c r="N9297" t="s">
        <v>40436</v>
      </c>
      <c r="O9297" t="s">
        <v>40437</v>
      </c>
      <c r="P9297">
        <v>0</v>
      </c>
      <c r="Q9297">
        <v>12</v>
      </c>
      <c r="R9297" t="s">
        <v>40446</v>
      </c>
      <c r="S9297" t="s">
        <v>40783</v>
      </c>
      <c r="T9297" t="s">
        <v>42165</v>
      </c>
      <c r="U9297" t="s">
        <v>50394</v>
      </c>
      <c r="W9297" t="s">
        <v>39713</v>
      </c>
      <c r="X9297" t="s">
        <v>40447</v>
      </c>
    </row>
    <row r="9298" spans="1:24">
      <c r="A9298">
        <f>HYPERLINK("https://www.philgeps.gov.ph/GEPSNONPILOT/Tender/SplashBidNoticeAbstractUI.aspx?menuIndex=3&amp;refID=7034983&amp;Result=3","7034983")</f>
        <v>0</v>
      </c>
      <c r="B9298" t="s">
        <v>1330</v>
      </c>
      <c r="C9298" t="s">
        <v>11952</v>
      </c>
      <c r="D9298" t="s">
        <v>16262</v>
      </c>
      <c r="E9298" t="s">
        <v>24403</v>
      </c>
      <c r="F9298" t="s">
        <v>28198</v>
      </c>
      <c r="G9298" t="s">
        <v>28205</v>
      </c>
      <c r="H9298" t="s">
        <v>28214</v>
      </c>
      <c r="I9298" t="s">
        <v>3797</v>
      </c>
      <c r="J9298" t="s">
        <v>34156</v>
      </c>
      <c r="K9298" t="s">
        <v>36757</v>
      </c>
      <c r="M9298" t="s">
        <v>39853</v>
      </c>
      <c r="N9298" t="s">
        <v>40436</v>
      </c>
      <c r="O9298" t="s">
        <v>40437</v>
      </c>
      <c r="P9298">
        <v>0</v>
      </c>
      <c r="Q9298">
        <v>0</v>
      </c>
      <c r="R9298" t="s">
        <v>40446</v>
      </c>
      <c r="S9298" t="s">
        <v>40783</v>
      </c>
      <c r="T9298" t="s">
        <v>42113</v>
      </c>
      <c r="U9298" t="s">
        <v>50392</v>
      </c>
      <c r="W9298" t="s">
        <v>39853</v>
      </c>
      <c r="X9298" t="s">
        <v>40447</v>
      </c>
    </row>
    <row r="9299" spans="1:24">
      <c r="A9299">
        <f>HYPERLINK("https://www.philgeps.gov.ph/GEPSNONPILOT/Tender/SplashBidNoticeAbstractUI.aspx?menuIndex=3&amp;refID=7035002&amp;Result=3","7035002")</f>
        <v>0</v>
      </c>
      <c r="B9299" t="s">
        <v>1480</v>
      </c>
      <c r="C9299" t="s">
        <v>11953</v>
      </c>
      <c r="D9299" t="s">
        <v>16193</v>
      </c>
      <c r="E9299" t="s">
        <v>24404</v>
      </c>
      <c r="F9299" t="s">
        <v>28198</v>
      </c>
      <c r="G9299" t="s">
        <v>28205</v>
      </c>
      <c r="H9299" t="s">
        <v>28215</v>
      </c>
      <c r="I9299" t="s">
        <v>28227</v>
      </c>
      <c r="J9299" t="s">
        <v>34157</v>
      </c>
      <c r="K9299" t="s">
        <v>36689</v>
      </c>
      <c r="M9299" t="s">
        <v>38551</v>
      </c>
      <c r="N9299" t="s">
        <v>40436</v>
      </c>
      <c r="O9299" t="s">
        <v>40437</v>
      </c>
      <c r="P9299">
        <v>0</v>
      </c>
      <c r="Q9299">
        <v>2</v>
      </c>
      <c r="R9299" t="s">
        <v>40446</v>
      </c>
      <c r="S9299" t="s">
        <v>40783</v>
      </c>
      <c r="T9299" t="s">
        <v>42278</v>
      </c>
      <c r="U9299" t="s">
        <v>46071</v>
      </c>
      <c r="V9299" t="s">
        <v>54189</v>
      </c>
      <c r="W9299" t="s">
        <v>38551</v>
      </c>
      <c r="X9299" t="s">
        <v>40447</v>
      </c>
    </row>
    <row r="9300" spans="1:24">
      <c r="A9300">
        <f>HYPERLINK("https://www.philgeps.gov.ph/GEPSNONPILOT/Tender/SplashBidNoticeAbstractUI.aspx?menuIndex=3&amp;refID=7034977&amp;Result=3","7034977")</f>
        <v>0</v>
      </c>
      <c r="B9300" t="s">
        <v>2632</v>
      </c>
      <c r="C9300" t="s">
        <v>11954</v>
      </c>
      <c r="D9300" t="s">
        <v>16209</v>
      </c>
      <c r="E9300" t="s">
        <v>17186</v>
      </c>
      <c r="F9300" t="s">
        <v>28198</v>
      </c>
      <c r="G9300" t="s">
        <v>28209</v>
      </c>
      <c r="H9300" t="s">
        <v>28215</v>
      </c>
      <c r="I9300" t="s">
        <v>28326</v>
      </c>
      <c r="J9300" t="s">
        <v>34158</v>
      </c>
      <c r="K9300" t="s">
        <v>36693</v>
      </c>
      <c r="M9300" t="s">
        <v>39854</v>
      </c>
      <c r="N9300" t="s">
        <v>40436</v>
      </c>
      <c r="O9300" t="s">
        <v>40437</v>
      </c>
      <c r="P9300">
        <v>0</v>
      </c>
      <c r="Q9300">
        <v>0</v>
      </c>
      <c r="R9300" t="s">
        <v>40446</v>
      </c>
      <c r="S9300" t="s">
        <v>40783</v>
      </c>
      <c r="T9300" t="s">
        <v>42295</v>
      </c>
      <c r="U9300" t="s">
        <v>50395</v>
      </c>
      <c r="W9300" t="s">
        <v>39854</v>
      </c>
      <c r="X9300" t="s">
        <v>40447</v>
      </c>
    </row>
    <row r="9301" spans="1:24">
      <c r="A9301">
        <f>HYPERLINK("https://www.philgeps.gov.ph/GEPSNONPILOT/Tender/SplashBidNoticeAbstractUI.aspx?menuIndex=3&amp;refID=7035005&amp;Result=3","7035005")</f>
        <v>0</v>
      </c>
      <c r="B9301" t="s">
        <v>1308</v>
      </c>
      <c r="C9301" t="s">
        <v>11949</v>
      </c>
      <c r="D9301" t="s">
        <v>16274</v>
      </c>
      <c r="E9301" t="s">
        <v>24405</v>
      </c>
      <c r="F9301" t="s">
        <v>28198</v>
      </c>
      <c r="G9301" t="s">
        <v>28208</v>
      </c>
      <c r="H9301" t="s">
        <v>28214</v>
      </c>
      <c r="I9301" t="s">
        <v>3797</v>
      </c>
      <c r="J9301" t="s">
        <v>34159</v>
      </c>
      <c r="K9301" t="s">
        <v>36803</v>
      </c>
      <c r="M9301" t="s">
        <v>38362</v>
      </c>
      <c r="N9301" t="s">
        <v>40436</v>
      </c>
      <c r="O9301" t="s">
        <v>40437</v>
      </c>
      <c r="P9301">
        <v>0</v>
      </c>
      <c r="Q9301">
        <v>0</v>
      </c>
      <c r="R9301" t="s">
        <v>40446</v>
      </c>
      <c r="S9301" t="s">
        <v>40783</v>
      </c>
      <c r="T9301" t="s">
        <v>42183</v>
      </c>
      <c r="U9301" t="s">
        <v>50396</v>
      </c>
      <c r="W9301" t="s">
        <v>38362</v>
      </c>
      <c r="X9301" t="s">
        <v>40447</v>
      </c>
    </row>
    <row r="9302" spans="1:24">
      <c r="A9302">
        <f>HYPERLINK("https://www.philgeps.gov.ph/GEPSNONPILOT/Tender/SplashBidNoticeAbstractUI.aspx?menuIndex=3&amp;refID=7035011&amp;Result=3","7035011")</f>
        <v>0</v>
      </c>
      <c r="B9302" t="s">
        <v>2324</v>
      </c>
      <c r="C9302" t="s">
        <v>11955</v>
      </c>
      <c r="D9302" t="s">
        <v>16187</v>
      </c>
      <c r="E9302" t="s">
        <v>24406</v>
      </c>
      <c r="F9302" t="s">
        <v>28198</v>
      </c>
      <c r="G9302" t="s">
        <v>28205</v>
      </c>
      <c r="H9302" t="s">
        <v>28214</v>
      </c>
      <c r="I9302" t="s">
        <v>3797</v>
      </c>
      <c r="J9302" t="s">
        <v>34160</v>
      </c>
      <c r="K9302" t="s">
        <v>36891</v>
      </c>
      <c r="M9302" t="s">
        <v>39502</v>
      </c>
      <c r="N9302" t="s">
        <v>40436</v>
      </c>
      <c r="O9302" t="s">
        <v>40437</v>
      </c>
      <c r="P9302">
        <v>0</v>
      </c>
      <c r="Q9302">
        <v>0</v>
      </c>
      <c r="R9302" t="s">
        <v>40446</v>
      </c>
      <c r="S9302" t="s">
        <v>40783</v>
      </c>
      <c r="T9302" t="s">
        <v>42165</v>
      </c>
      <c r="U9302" t="s">
        <v>50397</v>
      </c>
      <c r="W9302" t="s">
        <v>39502</v>
      </c>
      <c r="X9302" t="s">
        <v>40447</v>
      </c>
    </row>
    <row r="9303" spans="1:24">
      <c r="A9303">
        <f>HYPERLINK("https://www.philgeps.gov.ph/GEPSNONPILOT/Tender/SplashBidNoticeAbstractUI.aspx?menuIndex=3&amp;refID=7034996&amp;Result=3","7034996")</f>
        <v>0</v>
      </c>
      <c r="B9303" t="s">
        <v>2391</v>
      </c>
      <c r="C9303" t="s">
        <v>11956</v>
      </c>
      <c r="E9303" t="s">
        <v>24407</v>
      </c>
      <c r="F9303" t="s">
        <v>28198</v>
      </c>
      <c r="G9303" t="s">
        <v>28205</v>
      </c>
      <c r="H9303" t="s">
        <v>28215</v>
      </c>
      <c r="I9303" t="s">
        <v>28338</v>
      </c>
      <c r="J9303" t="s">
        <v>28921</v>
      </c>
      <c r="K9303" t="s">
        <v>36689</v>
      </c>
      <c r="M9303" t="s">
        <v>39578</v>
      </c>
      <c r="N9303" t="s">
        <v>40436</v>
      </c>
      <c r="O9303" t="s">
        <v>40437</v>
      </c>
      <c r="P9303">
        <v>0</v>
      </c>
      <c r="Q9303">
        <v>3</v>
      </c>
      <c r="R9303" t="s">
        <v>40446</v>
      </c>
      <c r="S9303" t="s">
        <v>40783</v>
      </c>
      <c r="T9303" t="s">
        <v>42510</v>
      </c>
      <c r="U9303" t="s">
        <v>49305</v>
      </c>
      <c r="W9303" t="s">
        <v>39578</v>
      </c>
      <c r="X9303" t="s">
        <v>40447</v>
      </c>
    </row>
    <row r="9304" spans="1:24">
      <c r="A9304">
        <f>HYPERLINK("https://www.philgeps.gov.ph/GEPSNONPILOT/Tender/SplashBidNoticeAbstractUI.aspx?menuIndex=3&amp;refID=7035024&amp;Result=3","7035024")</f>
        <v>0</v>
      </c>
      <c r="B9304" t="s">
        <v>2391</v>
      </c>
      <c r="C9304" t="s">
        <v>11957</v>
      </c>
      <c r="E9304" t="s">
        <v>24408</v>
      </c>
      <c r="F9304" t="s">
        <v>28198</v>
      </c>
      <c r="G9304" t="s">
        <v>28205</v>
      </c>
      <c r="H9304" t="s">
        <v>28215</v>
      </c>
      <c r="I9304" t="s">
        <v>28325</v>
      </c>
      <c r="J9304" t="s">
        <v>33132</v>
      </c>
      <c r="K9304" t="s">
        <v>36689</v>
      </c>
      <c r="M9304" t="s">
        <v>39578</v>
      </c>
      <c r="N9304" t="s">
        <v>40436</v>
      </c>
      <c r="O9304" t="s">
        <v>40437</v>
      </c>
      <c r="P9304">
        <v>0</v>
      </c>
      <c r="Q9304">
        <v>11</v>
      </c>
      <c r="R9304" t="s">
        <v>40446</v>
      </c>
      <c r="S9304" t="s">
        <v>40783</v>
      </c>
      <c r="T9304" t="s">
        <v>42510</v>
      </c>
      <c r="U9304" t="s">
        <v>49305</v>
      </c>
      <c r="W9304" t="s">
        <v>39578</v>
      </c>
      <c r="X9304" t="s">
        <v>40447</v>
      </c>
    </row>
    <row r="9305" spans="1:24">
      <c r="A9305">
        <f>HYPERLINK("https://www.philgeps.gov.ph/GEPSNONPILOT/Tender/SplashBidNoticeAbstractUI.aspx?menuIndex=3&amp;refID=7034998&amp;Result=3","7034998")</f>
        <v>0</v>
      </c>
      <c r="B9305" t="s">
        <v>1159</v>
      </c>
      <c r="C9305" t="s">
        <v>11958</v>
      </c>
      <c r="D9305" t="s">
        <v>16209</v>
      </c>
      <c r="E9305" t="s">
        <v>24409</v>
      </c>
      <c r="F9305" t="s">
        <v>28198</v>
      </c>
      <c r="G9305" t="s">
        <v>28207</v>
      </c>
      <c r="H9305" t="s">
        <v>28215</v>
      </c>
      <c r="I9305" t="s">
        <v>5100</v>
      </c>
      <c r="J9305" t="s">
        <v>29531</v>
      </c>
      <c r="K9305" t="s">
        <v>36689</v>
      </c>
      <c r="M9305" t="s">
        <v>38199</v>
      </c>
      <c r="N9305" t="s">
        <v>40436</v>
      </c>
      <c r="O9305" t="s">
        <v>40437</v>
      </c>
      <c r="P9305">
        <v>0</v>
      </c>
      <c r="Q9305">
        <v>1</v>
      </c>
      <c r="R9305" t="s">
        <v>40446</v>
      </c>
      <c r="S9305" t="s">
        <v>40783</v>
      </c>
      <c r="T9305" t="s">
        <v>42216</v>
      </c>
      <c r="U9305" t="s">
        <v>50398</v>
      </c>
      <c r="W9305" t="s">
        <v>38199</v>
      </c>
      <c r="X9305" t="s">
        <v>40447</v>
      </c>
    </row>
    <row r="9306" spans="1:24">
      <c r="A9306">
        <f>HYPERLINK("https://www.philgeps.gov.ph/GEPSNONPILOT/Tender/SplashBidNoticeAbstractUI.aspx?menuIndex=3&amp;refID=7035007&amp;Result=3","7035007")</f>
        <v>0</v>
      </c>
      <c r="B9306" t="s">
        <v>2190</v>
      </c>
      <c r="C9306" t="s">
        <v>11959</v>
      </c>
      <c r="D9306" t="s">
        <v>16188</v>
      </c>
      <c r="E9306" t="s">
        <v>24410</v>
      </c>
      <c r="F9306" t="s">
        <v>28198</v>
      </c>
      <c r="G9306" t="s">
        <v>28205</v>
      </c>
      <c r="H9306" t="s">
        <v>28214</v>
      </c>
      <c r="I9306" t="s">
        <v>3797</v>
      </c>
      <c r="J9306" t="s">
        <v>28468</v>
      </c>
      <c r="K9306" t="s">
        <v>36697</v>
      </c>
      <c r="L9306" t="s">
        <v>2190</v>
      </c>
      <c r="M9306" t="s">
        <v>39855</v>
      </c>
      <c r="N9306" t="s">
        <v>40436</v>
      </c>
      <c r="O9306" t="s">
        <v>40437</v>
      </c>
      <c r="P9306">
        <v>0</v>
      </c>
      <c r="Q9306">
        <v>0</v>
      </c>
      <c r="R9306" t="s">
        <v>40446</v>
      </c>
      <c r="S9306" t="s">
        <v>40783</v>
      </c>
      <c r="T9306" t="s">
        <v>42234</v>
      </c>
      <c r="U9306" t="s">
        <v>50399</v>
      </c>
      <c r="V9306" t="s">
        <v>54781</v>
      </c>
      <c r="W9306" t="s">
        <v>39855</v>
      </c>
      <c r="X9306" t="s">
        <v>40447</v>
      </c>
    </row>
    <row r="9307" spans="1:24">
      <c r="A9307">
        <f>HYPERLINK("https://www.philgeps.gov.ph/GEPSNONPILOT/Tender/SplashBidNoticeAbstractUI.aspx?menuIndex=3&amp;refID=7035015&amp;Result=3","7035015")</f>
        <v>0</v>
      </c>
      <c r="B9307" t="s">
        <v>2391</v>
      </c>
      <c r="C9307" t="s">
        <v>11960</v>
      </c>
      <c r="E9307" t="s">
        <v>24411</v>
      </c>
      <c r="F9307" t="s">
        <v>28198</v>
      </c>
      <c r="G9307" t="s">
        <v>28205</v>
      </c>
      <c r="H9307" t="s">
        <v>28215</v>
      </c>
      <c r="I9307" t="s">
        <v>28325</v>
      </c>
      <c r="J9307" t="s">
        <v>34161</v>
      </c>
      <c r="K9307" t="s">
        <v>36689</v>
      </c>
      <c r="M9307" t="s">
        <v>39578</v>
      </c>
      <c r="N9307" t="s">
        <v>40436</v>
      </c>
      <c r="O9307" t="s">
        <v>40437</v>
      </c>
      <c r="P9307">
        <v>0</v>
      </c>
      <c r="Q9307">
        <v>10</v>
      </c>
      <c r="R9307" t="s">
        <v>40446</v>
      </c>
      <c r="S9307" t="s">
        <v>40783</v>
      </c>
      <c r="T9307" t="s">
        <v>42510</v>
      </c>
      <c r="U9307" t="s">
        <v>49305</v>
      </c>
      <c r="W9307" t="s">
        <v>39578</v>
      </c>
      <c r="X9307" t="s">
        <v>40447</v>
      </c>
    </row>
    <row r="9308" spans="1:24">
      <c r="A9308">
        <f>HYPERLINK("https://www.philgeps.gov.ph/GEPSNONPILOT/Tender/SplashBidNoticeAbstractUI.aspx?menuIndex=3&amp;refID=7035028&amp;Result=3","7035028")</f>
        <v>0</v>
      </c>
      <c r="B9308" t="s">
        <v>2324</v>
      </c>
      <c r="C9308" t="s">
        <v>11961</v>
      </c>
      <c r="D9308" t="s">
        <v>16187</v>
      </c>
      <c r="E9308" t="s">
        <v>24412</v>
      </c>
      <c r="F9308" t="s">
        <v>28198</v>
      </c>
      <c r="G9308" t="s">
        <v>28205</v>
      </c>
      <c r="H9308" t="s">
        <v>28214</v>
      </c>
      <c r="I9308" t="s">
        <v>3797</v>
      </c>
      <c r="J9308" t="s">
        <v>34162</v>
      </c>
      <c r="K9308" t="s">
        <v>36852</v>
      </c>
      <c r="M9308" t="s">
        <v>39502</v>
      </c>
      <c r="N9308" t="s">
        <v>40436</v>
      </c>
      <c r="O9308" t="s">
        <v>40437</v>
      </c>
      <c r="P9308">
        <v>0</v>
      </c>
      <c r="Q9308">
        <v>1</v>
      </c>
      <c r="R9308" t="s">
        <v>40446</v>
      </c>
      <c r="S9308" t="s">
        <v>40783</v>
      </c>
      <c r="T9308" t="s">
        <v>42165</v>
      </c>
      <c r="U9308" t="s">
        <v>50400</v>
      </c>
      <c r="W9308" t="s">
        <v>39502</v>
      </c>
      <c r="X9308" t="s">
        <v>40447</v>
      </c>
    </row>
    <row r="9309" spans="1:24">
      <c r="A9309">
        <f>HYPERLINK("https://www.philgeps.gov.ph/GEPSNONPILOT/Tender/SplashBidNoticeAbstractUI.aspx?menuIndex=3&amp;refID=7035055&amp;Result=3","7035055")</f>
        <v>0</v>
      </c>
      <c r="B9309" t="s">
        <v>1480</v>
      </c>
      <c r="C9309" t="s">
        <v>11962</v>
      </c>
      <c r="D9309" t="s">
        <v>16193</v>
      </c>
      <c r="E9309" t="s">
        <v>24413</v>
      </c>
      <c r="F9309" t="s">
        <v>28198</v>
      </c>
      <c r="G9309" t="s">
        <v>28205</v>
      </c>
      <c r="H9309" t="s">
        <v>28214</v>
      </c>
      <c r="I9309" t="s">
        <v>28260</v>
      </c>
      <c r="J9309" t="s">
        <v>34163</v>
      </c>
      <c r="K9309" t="s">
        <v>36717</v>
      </c>
      <c r="M9309" t="s">
        <v>38551</v>
      </c>
      <c r="N9309" t="s">
        <v>40436</v>
      </c>
      <c r="O9309" t="s">
        <v>40437</v>
      </c>
      <c r="P9309">
        <v>0</v>
      </c>
      <c r="Q9309">
        <v>1</v>
      </c>
      <c r="R9309" t="s">
        <v>40446</v>
      </c>
      <c r="S9309" t="s">
        <v>40783</v>
      </c>
      <c r="T9309" t="s">
        <v>42278</v>
      </c>
      <c r="U9309" t="s">
        <v>50401</v>
      </c>
      <c r="V9309" t="s">
        <v>54189</v>
      </c>
      <c r="W9309" t="s">
        <v>38551</v>
      </c>
      <c r="X9309" t="s">
        <v>40447</v>
      </c>
    </row>
    <row r="9310" spans="1:24">
      <c r="A9310">
        <f>HYPERLINK("https://www.philgeps.gov.ph/GEPSNONPILOT/Tender/SplashBidNoticeAbstractUI.aspx?menuIndex=3&amp;refID=7035019&amp;Result=3","7035019")</f>
        <v>0</v>
      </c>
      <c r="B9310" t="s">
        <v>2391</v>
      </c>
      <c r="C9310" t="s">
        <v>11963</v>
      </c>
      <c r="E9310" t="s">
        <v>24414</v>
      </c>
      <c r="F9310" t="s">
        <v>28198</v>
      </c>
      <c r="G9310" t="s">
        <v>28205</v>
      </c>
      <c r="H9310" t="s">
        <v>28215</v>
      </c>
      <c r="I9310" t="s">
        <v>8870</v>
      </c>
      <c r="J9310" t="s">
        <v>34164</v>
      </c>
      <c r="K9310" t="s">
        <v>36689</v>
      </c>
      <c r="M9310" t="s">
        <v>39578</v>
      </c>
      <c r="N9310" t="s">
        <v>40436</v>
      </c>
      <c r="O9310" t="s">
        <v>40437</v>
      </c>
      <c r="P9310">
        <v>0</v>
      </c>
      <c r="Q9310">
        <v>15</v>
      </c>
      <c r="R9310" t="s">
        <v>40446</v>
      </c>
      <c r="S9310" t="s">
        <v>40783</v>
      </c>
      <c r="T9310" t="s">
        <v>42346</v>
      </c>
      <c r="U9310" t="s">
        <v>49305</v>
      </c>
      <c r="W9310" t="s">
        <v>39578</v>
      </c>
      <c r="X9310" t="s">
        <v>40447</v>
      </c>
    </row>
    <row r="9311" spans="1:24">
      <c r="A9311">
        <f>HYPERLINK("https://www.philgeps.gov.ph/GEPSNONPILOT/Tender/SplashBidNoticeAbstractUI.aspx?menuIndex=3&amp;refID=7035053&amp;Result=3","7035053")</f>
        <v>0</v>
      </c>
      <c r="B9311" t="s">
        <v>1657</v>
      </c>
      <c r="C9311" t="s">
        <v>11964</v>
      </c>
      <c r="D9311" t="s">
        <v>16260</v>
      </c>
      <c r="E9311" t="s">
        <v>24415</v>
      </c>
      <c r="F9311" t="s">
        <v>28198</v>
      </c>
      <c r="G9311" t="s">
        <v>28205</v>
      </c>
      <c r="H9311" t="s">
        <v>28214</v>
      </c>
      <c r="I9311" t="s">
        <v>3797</v>
      </c>
      <c r="J9311" t="s">
        <v>34165</v>
      </c>
      <c r="K9311" t="s">
        <v>36829</v>
      </c>
      <c r="M9311" t="s">
        <v>38751</v>
      </c>
      <c r="N9311" t="s">
        <v>40436</v>
      </c>
      <c r="O9311" t="s">
        <v>40437</v>
      </c>
      <c r="P9311">
        <v>0</v>
      </c>
      <c r="Q9311">
        <v>0</v>
      </c>
      <c r="R9311" t="s">
        <v>40446</v>
      </c>
      <c r="S9311" t="s">
        <v>40783</v>
      </c>
      <c r="T9311" t="s">
        <v>42177</v>
      </c>
      <c r="U9311" t="s">
        <v>50402</v>
      </c>
      <c r="V9311" t="s">
        <v>54782</v>
      </c>
      <c r="W9311" t="s">
        <v>38751</v>
      </c>
      <c r="X9311" t="s">
        <v>40447</v>
      </c>
    </row>
    <row r="9312" spans="1:24">
      <c r="A9312">
        <f>HYPERLINK("https://www.philgeps.gov.ph/GEPSNONPILOT/Tender/SplashBidNoticeAbstractUI.aspx?menuIndex=3&amp;refID=7035020&amp;Result=3","7035020")</f>
        <v>0</v>
      </c>
      <c r="B9312" t="s">
        <v>1480</v>
      </c>
      <c r="C9312" t="s">
        <v>11965</v>
      </c>
      <c r="D9312" t="s">
        <v>16193</v>
      </c>
      <c r="E9312" t="s">
        <v>24416</v>
      </c>
      <c r="F9312" t="s">
        <v>28198</v>
      </c>
      <c r="G9312" t="s">
        <v>28205</v>
      </c>
      <c r="H9312" t="s">
        <v>28215</v>
      </c>
      <c r="I9312" t="s">
        <v>28227</v>
      </c>
      <c r="J9312" t="s">
        <v>34166</v>
      </c>
      <c r="K9312" t="s">
        <v>36689</v>
      </c>
      <c r="M9312" t="s">
        <v>38551</v>
      </c>
      <c r="N9312" t="s">
        <v>40436</v>
      </c>
      <c r="O9312" t="s">
        <v>40437</v>
      </c>
      <c r="P9312">
        <v>0</v>
      </c>
      <c r="Q9312">
        <v>3</v>
      </c>
      <c r="R9312" t="s">
        <v>40446</v>
      </c>
      <c r="S9312" t="s">
        <v>40783</v>
      </c>
      <c r="T9312" t="s">
        <v>42278</v>
      </c>
      <c r="U9312" t="s">
        <v>46071</v>
      </c>
      <c r="V9312" t="s">
        <v>54189</v>
      </c>
      <c r="W9312" t="s">
        <v>38551</v>
      </c>
      <c r="X9312" t="s">
        <v>40447</v>
      </c>
    </row>
    <row r="9313" spans="1:24">
      <c r="A9313">
        <f>HYPERLINK("https://www.philgeps.gov.ph/GEPSNONPILOT/Tender/SplashBidNoticeAbstractUI.aspx?menuIndex=3&amp;refID=7035049&amp;Result=3","7035049")</f>
        <v>0</v>
      </c>
      <c r="B9313" t="s">
        <v>2324</v>
      </c>
      <c r="C9313" t="s">
        <v>11966</v>
      </c>
      <c r="D9313" t="s">
        <v>16187</v>
      </c>
      <c r="E9313" t="s">
        <v>24417</v>
      </c>
      <c r="F9313" t="s">
        <v>28198</v>
      </c>
      <c r="G9313" t="s">
        <v>28205</v>
      </c>
      <c r="H9313" t="s">
        <v>28214</v>
      </c>
      <c r="I9313" t="s">
        <v>3797</v>
      </c>
      <c r="J9313" t="s">
        <v>34167</v>
      </c>
      <c r="K9313" t="s">
        <v>36737</v>
      </c>
      <c r="M9313" t="s">
        <v>39502</v>
      </c>
      <c r="N9313" t="s">
        <v>40436</v>
      </c>
      <c r="O9313" t="s">
        <v>40437</v>
      </c>
      <c r="P9313">
        <v>0</v>
      </c>
      <c r="Q9313">
        <v>0</v>
      </c>
      <c r="R9313" t="s">
        <v>40446</v>
      </c>
      <c r="S9313" t="s">
        <v>40783</v>
      </c>
      <c r="T9313" t="s">
        <v>42165</v>
      </c>
      <c r="U9313" t="s">
        <v>50403</v>
      </c>
      <c r="W9313" t="s">
        <v>39502</v>
      </c>
      <c r="X9313" t="s">
        <v>40447</v>
      </c>
    </row>
    <row r="9314" spans="1:24">
      <c r="A9314">
        <f>HYPERLINK("https://www.philgeps.gov.ph/GEPSNONPILOT/Tender/SplashBidNoticeAbstractUI.aspx?menuIndex=3&amp;refID=7035040&amp;Result=3","7035040")</f>
        <v>0</v>
      </c>
      <c r="B9314" t="s">
        <v>2324</v>
      </c>
      <c r="C9314" t="s">
        <v>11967</v>
      </c>
      <c r="D9314" t="s">
        <v>16187</v>
      </c>
      <c r="E9314" t="s">
        <v>24418</v>
      </c>
      <c r="F9314" t="s">
        <v>28198</v>
      </c>
      <c r="G9314" t="s">
        <v>28205</v>
      </c>
      <c r="H9314" t="s">
        <v>28214</v>
      </c>
      <c r="I9314" t="s">
        <v>3797</v>
      </c>
      <c r="J9314" t="s">
        <v>34168</v>
      </c>
      <c r="K9314" t="s">
        <v>36887</v>
      </c>
      <c r="M9314" t="s">
        <v>39502</v>
      </c>
      <c r="N9314" t="s">
        <v>40436</v>
      </c>
      <c r="O9314" t="s">
        <v>40437</v>
      </c>
      <c r="P9314">
        <v>0</v>
      </c>
      <c r="Q9314">
        <v>0</v>
      </c>
      <c r="R9314" t="s">
        <v>40446</v>
      </c>
      <c r="S9314" t="s">
        <v>40783</v>
      </c>
      <c r="T9314" t="s">
        <v>42165</v>
      </c>
      <c r="U9314" t="s">
        <v>50404</v>
      </c>
      <c r="W9314" t="s">
        <v>39502</v>
      </c>
      <c r="X9314" t="s">
        <v>40447</v>
      </c>
    </row>
    <row r="9315" spans="1:24">
      <c r="A9315">
        <f>HYPERLINK("https://www.philgeps.gov.ph/GEPSNONPILOT/Tender/SplashBidNoticeAbstractUI.aspx?menuIndex=3&amp;refID=7035014&amp;Result=3","7035014")</f>
        <v>0</v>
      </c>
      <c r="B9315" t="s">
        <v>34</v>
      </c>
      <c r="C9315" t="s">
        <v>11968</v>
      </c>
      <c r="D9315" t="s">
        <v>16195</v>
      </c>
      <c r="E9315" t="s">
        <v>24419</v>
      </c>
      <c r="F9315" t="s">
        <v>28198</v>
      </c>
      <c r="G9315" t="s">
        <v>28205</v>
      </c>
      <c r="H9315" t="s">
        <v>28214</v>
      </c>
      <c r="I9315" t="s">
        <v>3797</v>
      </c>
      <c r="J9315" t="s">
        <v>28351</v>
      </c>
      <c r="K9315" t="s">
        <v>36715</v>
      </c>
      <c r="M9315" t="s">
        <v>39280</v>
      </c>
      <c r="N9315" t="s">
        <v>40436</v>
      </c>
      <c r="O9315" t="s">
        <v>40437</v>
      </c>
      <c r="P9315">
        <v>0</v>
      </c>
      <c r="Q9315">
        <v>0</v>
      </c>
      <c r="R9315" t="s">
        <v>40446</v>
      </c>
      <c r="S9315" t="s">
        <v>40783</v>
      </c>
      <c r="T9315" t="s">
        <v>42346</v>
      </c>
      <c r="U9315" t="s">
        <v>46771</v>
      </c>
      <c r="W9315" t="s">
        <v>39280</v>
      </c>
      <c r="X9315" t="s">
        <v>40447</v>
      </c>
    </row>
    <row r="9316" spans="1:24">
      <c r="A9316">
        <f>HYPERLINK("https://www.philgeps.gov.ph/GEPSNONPILOT/Tender/SplashBidNoticeAbstractUI.aspx?menuIndex=3&amp;refID=7035045&amp;Result=3","7035045")</f>
        <v>0</v>
      </c>
      <c r="B9316" t="s">
        <v>2630</v>
      </c>
      <c r="C9316" t="s">
        <v>11969</v>
      </c>
      <c r="D9316" t="s">
        <v>16193</v>
      </c>
      <c r="E9316" t="s">
        <v>24420</v>
      </c>
      <c r="F9316" t="s">
        <v>28198</v>
      </c>
      <c r="G9316" t="s">
        <v>28205</v>
      </c>
      <c r="H9316" t="s">
        <v>28214</v>
      </c>
      <c r="I9316" t="s">
        <v>3797</v>
      </c>
      <c r="J9316" t="s">
        <v>34169</v>
      </c>
      <c r="K9316" t="s">
        <v>36692</v>
      </c>
      <c r="M9316" t="s">
        <v>39851</v>
      </c>
      <c r="N9316" t="s">
        <v>40436</v>
      </c>
      <c r="O9316" t="s">
        <v>40437</v>
      </c>
      <c r="P9316">
        <v>0</v>
      </c>
      <c r="Q9316">
        <v>0</v>
      </c>
      <c r="R9316" t="s">
        <v>40446</v>
      </c>
      <c r="S9316" t="s">
        <v>40783</v>
      </c>
      <c r="T9316" t="s">
        <v>42278</v>
      </c>
      <c r="U9316" t="s">
        <v>50386</v>
      </c>
      <c r="W9316" t="s">
        <v>39851</v>
      </c>
      <c r="X9316" t="s">
        <v>40447</v>
      </c>
    </row>
    <row r="9317" spans="1:24">
      <c r="A9317">
        <f>HYPERLINK("https://www.philgeps.gov.ph/GEPSNONPILOT/Tender/SplashBidNoticeAbstractUI.aspx?menuIndex=3&amp;refID=7035041&amp;Result=3","7035041")</f>
        <v>0</v>
      </c>
      <c r="B9317" t="s">
        <v>847</v>
      </c>
      <c r="C9317" t="s">
        <v>11970</v>
      </c>
      <c r="E9317" t="s">
        <v>24421</v>
      </c>
      <c r="F9317" t="s">
        <v>28198</v>
      </c>
      <c r="G9317" t="s">
        <v>28205</v>
      </c>
      <c r="H9317" t="s">
        <v>28216</v>
      </c>
      <c r="I9317" t="s">
        <v>28216</v>
      </c>
      <c r="J9317" t="s">
        <v>34170</v>
      </c>
      <c r="K9317" t="s">
        <v>36892</v>
      </c>
      <c r="M9317" t="s">
        <v>39734</v>
      </c>
      <c r="N9317" t="s">
        <v>40436</v>
      </c>
      <c r="O9317" t="s">
        <v>40437</v>
      </c>
      <c r="Q9317">
        <v>6</v>
      </c>
      <c r="R9317" t="s">
        <v>40446</v>
      </c>
      <c r="S9317" t="s">
        <v>40853</v>
      </c>
      <c r="T9317" t="s">
        <v>42180</v>
      </c>
      <c r="U9317" t="s">
        <v>50405</v>
      </c>
      <c r="W9317" t="s">
        <v>39734</v>
      </c>
      <c r="X9317" t="s">
        <v>40447</v>
      </c>
    </row>
    <row r="9318" spans="1:24">
      <c r="A9318">
        <f>HYPERLINK("https://www.philgeps.gov.ph/GEPSNONPILOT/Tender/SplashBidNoticeAbstractUI.aspx?menuIndex=3&amp;refID=7035038&amp;Result=3","7035038")</f>
        <v>0</v>
      </c>
      <c r="B9318" t="s">
        <v>2324</v>
      </c>
      <c r="C9318" t="s">
        <v>11971</v>
      </c>
      <c r="D9318" t="s">
        <v>16187</v>
      </c>
      <c r="E9318" t="s">
        <v>24422</v>
      </c>
      <c r="F9318" t="s">
        <v>28198</v>
      </c>
      <c r="G9318" t="s">
        <v>28205</v>
      </c>
      <c r="H9318" t="s">
        <v>28214</v>
      </c>
      <c r="I9318" t="s">
        <v>3797</v>
      </c>
      <c r="J9318" t="s">
        <v>34171</v>
      </c>
      <c r="K9318" t="s">
        <v>36887</v>
      </c>
      <c r="M9318" t="s">
        <v>39502</v>
      </c>
      <c r="N9318" t="s">
        <v>40436</v>
      </c>
      <c r="O9318" t="s">
        <v>40437</v>
      </c>
      <c r="P9318">
        <v>0</v>
      </c>
      <c r="Q9318">
        <v>0</v>
      </c>
      <c r="R9318" t="s">
        <v>40446</v>
      </c>
      <c r="S9318" t="s">
        <v>40783</v>
      </c>
      <c r="T9318" t="s">
        <v>42165</v>
      </c>
      <c r="U9318" t="s">
        <v>50406</v>
      </c>
      <c r="W9318" t="s">
        <v>39502</v>
      </c>
      <c r="X9318" t="s">
        <v>40447</v>
      </c>
    </row>
    <row r="9319" spans="1:24">
      <c r="A9319">
        <f>HYPERLINK("https://www.philgeps.gov.ph/GEPSNONPILOT/Tender/SplashBidNoticeAbstractUI.aspx?menuIndex=3&amp;refID=7035026&amp;Result=3","7035026")</f>
        <v>0</v>
      </c>
      <c r="B9319" t="s">
        <v>34</v>
      </c>
      <c r="C9319" t="s">
        <v>11972</v>
      </c>
      <c r="D9319" t="s">
        <v>16195</v>
      </c>
      <c r="E9319" t="s">
        <v>24423</v>
      </c>
      <c r="F9319" t="s">
        <v>28198</v>
      </c>
      <c r="G9319" t="s">
        <v>28205</v>
      </c>
      <c r="H9319" t="s">
        <v>28214</v>
      </c>
      <c r="I9319" t="s">
        <v>3797</v>
      </c>
      <c r="J9319" t="s">
        <v>33885</v>
      </c>
      <c r="K9319" t="s">
        <v>36893</v>
      </c>
      <c r="M9319" t="s">
        <v>39280</v>
      </c>
      <c r="N9319" t="s">
        <v>40436</v>
      </c>
      <c r="O9319" t="s">
        <v>40437</v>
      </c>
      <c r="P9319">
        <v>0</v>
      </c>
      <c r="Q9319">
        <v>2</v>
      </c>
      <c r="R9319" t="s">
        <v>40446</v>
      </c>
      <c r="S9319" t="s">
        <v>40783</v>
      </c>
      <c r="T9319" t="s">
        <v>42346</v>
      </c>
      <c r="U9319" t="s">
        <v>46771</v>
      </c>
      <c r="W9319" t="s">
        <v>39280</v>
      </c>
      <c r="X9319" t="s">
        <v>40447</v>
      </c>
    </row>
    <row r="9320" spans="1:24">
      <c r="A9320">
        <f>HYPERLINK("https://www.philgeps.gov.ph/GEPSNONPILOT/Tender/SplashBidNoticeAbstractUI.aspx?menuIndex=3&amp;refID=7035033&amp;Result=3","7035033")</f>
        <v>0</v>
      </c>
      <c r="B9320" t="s">
        <v>2630</v>
      </c>
      <c r="C9320" t="s">
        <v>11973</v>
      </c>
      <c r="D9320" t="s">
        <v>16193</v>
      </c>
      <c r="E9320" t="s">
        <v>24424</v>
      </c>
      <c r="F9320" t="s">
        <v>28198</v>
      </c>
      <c r="G9320" t="s">
        <v>28205</v>
      </c>
      <c r="H9320" t="s">
        <v>28214</v>
      </c>
      <c r="I9320" t="s">
        <v>3797</v>
      </c>
      <c r="J9320" t="s">
        <v>34154</v>
      </c>
      <c r="K9320" t="s">
        <v>36692</v>
      </c>
      <c r="M9320" t="s">
        <v>39851</v>
      </c>
      <c r="N9320" t="s">
        <v>40436</v>
      </c>
      <c r="O9320" t="s">
        <v>40437</v>
      </c>
      <c r="P9320">
        <v>0</v>
      </c>
      <c r="Q9320">
        <v>0</v>
      </c>
      <c r="R9320" t="s">
        <v>40446</v>
      </c>
      <c r="S9320" t="s">
        <v>40783</v>
      </c>
      <c r="T9320" t="s">
        <v>42278</v>
      </c>
      <c r="U9320" t="s">
        <v>50386</v>
      </c>
      <c r="W9320" t="s">
        <v>39851</v>
      </c>
      <c r="X9320" t="s">
        <v>40447</v>
      </c>
    </row>
    <row r="9321" spans="1:24">
      <c r="A9321">
        <f>HYPERLINK("https://www.philgeps.gov.ph/GEPSNONPILOT/Tender/SplashBidNoticeAbstractUI.aspx?menuIndex=3&amp;refID=7035044&amp;Result=3","7035044")</f>
        <v>0</v>
      </c>
      <c r="B9321" t="s">
        <v>2324</v>
      </c>
      <c r="C9321" t="s">
        <v>11974</v>
      </c>
      <c r="D9321" t="s">
        <v>16187</v>
      </c>
      <c r="E9321" t="s">
        <v>24425</v>
      </c>
      <c r="F9321" t="s">
        <v>28198</v>
      </c>
      <c r="G9321" t="s">
        <v>28205</v>
      </c>
      <c r="H9321" t="s">
        <v>28214</v>
      </c>
      <c r="I9321" t="s">
        <v>3797</v>
      </c>
      <c r="J9321" t="s">
        <v>34172</v>
      </c>
      <c r="K9321" t="s">
        <v>36850</v>
      </c>
      <c r="M9321" t="s">
        <v>39502</v>
      </c>
      <c r="N9321" t="s">
        <v>40436</v>
      </c>
      <c r="O9321" t="s">
        <v>40437</v>
      </c>
      <c r="P9321">
        <v>0</v>
      </c>
      <c r="Q9321">
        <v>1</v>
      </c>
      <c r="R9321" t="s">
        <v>40446</v>
      </c>
      <c r="S9321" t="s">
        <v>40783</v>
      </c>
      <c r="T9321" t="s">
        <v>42165</v>
      </c>
      <c r="U9321" t="s">
        <v>50407</v>
      </c>
      <c r="W9321" t="s">
        <v>39502</v>
      </c>
      <c r="X9321" t="s">
        <v>40447</v>
      </c>
    </row>
    <row r="9322" spans="1:24">
      <c r="A9322">
        <f>HYPERLINK("https://www.philgeps.gov.ph/GEPSNONPILOT/Tender/SplashBidNoticeAbstractUI.aspx?menuIndex=3&amp;refID=7035032&amp;Result=3","7035032")</f>
        <v>0</v>
      </c>
      <c r="B9322" t="s">
        <v>2327</v>
      </c>
      <c r="C9322" t="s">
        <v>11975</v>
      </c>
      <c r="D9322" t="s">
        <v>16203</v>
      </c>
      <c r="E9322" t="s">
        <v>24426</v>
      </c>
      <c r="F9322" t="s">
        <v>28198</v>
      </c>
      <c r="G9322" t="s">
        <v>28205</v>
      </c>
      <c r="H9322" t="s">
        <v>28215</v>
      </c>
      <c r="I9322" t="s">
        <v>28240</v>
      </c>
      <c r="J9322" t="s">
        <v>28752</v>
      </c>
      <c r="K9322" t="s">
        <v>36694</v>
      </c>
      <c r="M9322" t="s">
        <v>39856</v>
      </c>
      <c r="N9322" t="s">
        <v>40436</v>
      </c>
      <c r="O9322" t="s">
        <v>40437</v>
      </c>
      <c r="Q9322">
        <v>1</v>
      </c>
      <c r="R9322" t="s">
        <v>40446</v>
      </c>
      <c r="S9322" t="s">
        <v>40854</v>
      </c>
      <c r="T9322" t="s">
        <v>42234</v>
      </c>
      <c r="U9322" t="s">
        <v>50408</v>
      </c>
      <c r="W9322" t="s">
        <v>39856</v>
      </c>
      <c r="X9322" t="s">
        <v>40447</v>
      </c>
    </row>
    <row r="9323" spans="1:24">
      <c r="A9323">
        <f>HYPERLINK("https://www.philgeps.gov.ph/GEPSNONPILOT/Tender/SplashBidNoticeAbstractUI.aspx?menuIndex=3&amp;refID=7035056&amp;Result=3","7035056")</f>
        <v>0</v>
      </c>
      <c r="B9323" t="s">
        <v>1657</v>
      </c>
      <c r="C9323" t="s">
        <v>11976</v>
      </c>
      <c r="D9323" t="s">
        <v>16260</v>
      </c>
      <c r="E9323" t="s">
        <v>24427</v>
      </c>
      <c r="F9323" t="s">
        <v>28202</v>
      </c>
      <c r="G9323" t="s">
        <v>28205</v>
      </c>
      <c r="H9323" t="s">
        <v>28214</v>
      </c>
      <c r="I9323" t="s">
        <v>3797</v>
      </c>
      <c r="J9323" t="s">
        <v>32960</v>
      </c>
      <c r="K9323" t="s">
        <v>36866</v>
      </c>
      <c r="M9323" t="s">
        <v>38751</v>
      </c>
      <c r="N9323" t="s">
        <v>40436</v>
      </c>
      <c r="O9323" t="s">
        <v>40437</v>
      </c>
      <c r="P9323">
        <v>0</v>
      </c>
      <c r="Q9323">
        <v>0</v>
      </c>
      <c r="R9323" t="s">
        <v>40446</v>
      </c>
      <c r="S9323" t="s">
        <v>40783</v>
      </c>
      <c r="T9323" t="s">
        <v>42177</v>
      </c>
      <c r="U9323" t="s">
        <v>50409</v>
      </c>
      <c r="V9323" t="s">
        <v>54782</v>
      </c>
      <c r="W9323" t="s">
        <v>38751</v>
      </c>
      <c r="X9323" t="s">
        <v>40447</v>
      </c>
    </row>
    <row r="9324" spans="1:24">
      <c r="A9324">
        <f>HYPERLINK("https://www.philgeps.gov.ph/GEPSNONPILOT/Tender/SplashBidNoticeAbstractUI.aspx?menuIndex=3&amp;refID=7035034&amp;Result=3","7035034")</f>
        <v>0</v>
      </c>
      <c r="B9324" t="s">
        <v>34</v>
      </c>
      <c r="C9324" t="s">
        <v>11977</v>
      </c>
      <c r="D9324" t="s">
        <v>16195</v>
      </c>
      <c r="E9324" t="s">
        <v>24428</v>
      </c>
      <c r="F9324" t="s">
        <v>28198</v>
      </c>
      <c r="G9324" t="s">
        <v>28205</v>
      </c>
      <c r="H9324" t="s">
        <v>28214</v>
      </c>
      <c r="I9324" t="s">
        <v>3797</v>
      </c>
      <c r="J9324" t="s">
        <v>34173</v>
      </c>
      <c r="K9324" t="s">
        <v>36894</v>
      </c>
      <c r="M9324" t="s">
        <v>39280</v>
      </c>
      <c r="N9324" t="s">
        <v>40436</v>
      </c>
      <c r="O9324" t="s">
        <v>40437</v>
      </c>
      <c r="P9324">
        <v>0</v>
      </c>
      <c r="Q9324">
        <v>4</v>
      </c>
      <c r="R9324" t="s">
        <v>40446</v>
      </c>
      <c r="S9324" t="s">
        <v>40783</v>
      </c>
      <c r="T9324" t="s">
        <v>42346</v>
      </c>
      <c r="U9324" t="s">
        <v>46771</v>
      </c>
      <c r="W9324" t="s">
        <v>39280</v>
      </c>
      <c r="X9324" t="s">
        <v>40447</v>
      </c>
    </row>
    <row r="9325" spans="1:24">
      <c r="A9325">
        <f>HYPERLINK("https://www.philgeps.gov.ph/GEPSNONPILOT/Tender/SplashBidNoticeAbstractUI.aspx?menuIndex=3&amp;refID=7035083&amp;Result=3","7035083")</f>
        <v>0</v>
      </c>
      <c r="B9325" t="s">
        <v>2633</v>
      </c>
      <c r="C9325" t="s">
        <v>11978</v>
      </c>
      <c r="D9325" t="s">
        <v>16215</v>
      </c>
      <c r="E9325" t="s">
        <v>24429</v>
      </c>
      <c r="F9325" t="s">
        <v>28198</v>
      </c>
      <c r="G9325" t="s">
        <v>28205</v>
      </c>
      <c r="H9325" t="s">
        <v>28214</v>
      </c>
      <c r="I9325" t="s">
        <v>28260</v>
      </c>
      <c r="J9325" t="s">
        <v>28351</v>
      </c>
      <c r="K9325" t="s">
        <v>36717</v>
      </c>
      <c r="M9325" t="s">
        <v>39857</v>
      </c>
      <c r="N9325" t="s">
        <v>40436</v>
      </c>
      <c r="O9325" t="s">
        <v>40437</v>
      </c>
      <c r="P9325">
        <v>0</v>
      </c>
      <c r="Q9325">
        <v>9</v>
      </c>
      <c r="R9325" t="s">
        <v>40446</v>
      </c>
      <c r="S9325" t="s">
        <v>40783</v>
      </c>
      <c r="T9325" t="s">
        <v>42459</v>
      </c>
      <c r="U9325" t="s">
        <v>50410</v>
      </c>
      <c r="W9325" t="s">
        <v>39857</v>
      </c>
      <c r="X9325" t="s">
        <v>40447</v>
      </c>
    </row>
    <row r="9326" spans="1:24">
      <c r="A9326">
        <f>HYPERLINK("https://www.philgeps.gov.ph/GEPSNONPILOT/Tender/SplashBidNoticeAbstractUI.aspx?menuIndex=3&amp;refID=7035064&amp;Result=3","7035064")</f>
        <v>0</v>
      </c>
      <c r="B9326" t="s">
        <v>914</v>
      </c>
      <c r="C9326" t="s">
        <v>11979</v>
      </c>
      <c r="D9326" t="s">
        <v>16210</v>
      </c>
      <c r="E9326" t="s">
        <v>24430</v>
      </c>
      <c r="F9326" t="s">
        <v>28198</v>
      </c>
      <c r="G9326" t="s">
        <v>28205</v>
      </c>
      <c r="H9326" t="s">
        <v>28215</v>
      </c>
      <c r="I9326" t="s">
        <v>28234</v>
      </c>
      <c r="J9326" t="s">
        <v>28468</v>
      </c>
      <c r="K9326" t="s">
        <v>36697</v>
      </c>
      <c r="M9326" t="s">
        <v>37933</v>
      </c>
      <c r="N9326" t="s">
        <v>40436</v>
      </c>
      <c r="O9326" t="s">
        <v>40437</v>
      </c>
      <c r="P9326">
        <v>0</v>
      </c>
      <c r="Q9326">
        <v>16</v>
      </c>
      <c r="R9326" t="s">
        <v>40446</v>
      </c>
      <c r="S9326" t="s">
        <v>40783</v>
      </c>
      <c r="T9326" t="s">
        <v>42168</v>
      </c>
      <c r="U9326" t="s">
        <v>44419</v>
      </c>
      <c r="V9326" t="s">
        <v>54014</v>
      </c>
      <c r="W9326" t="s">
        <v>37933</v>
      </c>
      <c r="X9326" t="s">
        <v>40447</v>
      </c>
    </row>
    <row r="9327" spans="1:24">
      <c r="A9327">
        <f>HYPERLINK("https://www.philgeps.gov.ph/GEPSNONPILOT/Tender/SplashBidNoticeAbstractUI.aspx?menuIndex=3&amp;refID=7035077&amp;Result=3","7035077")</f>
        <v>0</v>
      </c>
      <c r="B9327" t="s">
        <v>2634</v>
      </c>
      <c r="C9327" t="s">
        <v>11980</v>
      </c>
      <c r="D9327" t="s">
        <v>16187</v>
      </c>
      <c r="E9327" t="s">
        <v>24431</v>
      </c>
      <c r="F9327" t="s">
        <v>28198</v>
      </c>
      <c r="G9327" t="s">
        <v>28205</v>
      </c>
      <c r="H9327" t="s">
        <v>28214</v>
      </c>
      <c r="I9327" t="s">
        <v>3797</v>
      </c>
      <c r="J9327" t="s">
        <v>28417</v>
      </c>
      <c r="K9327" t="s">
        <v>36694</v>
      </c>
      <c r="M9327" t="s">
        <v>39858</v>
      </c>
      <c r="N9327" t="s">
        <v>40436</v>
      </c>
      <c r="O9327" t="s">
        <v>40437</v>
      </c>
      <c r="P9327">
        <v>0</v>
      </c>
      <c r="Q9327">
        <v>0</v>
      </c>
      <c r="R9327" t="s">
        <v>40446</v>
      </c>
      <c r="S9327" t="s">
        <v>40783</v>
      </c>
      <c r="T9327" t="s">
        <v>42359</v>
      </c>
      <c r="U9327" t="s">
        <v>50411</v>
      </c>
      <c r="W9327" t="s">
        <v>39858</v>
      </c>
      <c r="X9327" t="s">
        <v>40447</v>
      </c>
    </row>
    <row r="9328" spans="1:24">
      <c r="A9328">
        <f>HYPERLINK("https://www.philgeps.gov.ph/GEPSNONPILOT/Tender/SplashBidNoticeAbstractUI.aspx?menuIndex=3&amp;refID=7035043&amp;Result=3","7035043")</f>
        <v>0</v>
      </c>
      <c r="B9328" t="s">
        <v>34</v>
      </c>
      <c r="C9328" t="s">
        <v>11981</v>
      </c>
      <c r="D9328" t="s">
        <v>16195</v>
      </c>
      <c r="E9328" t="s">
        <v>24432</v>
      </c>
      <c r="F9328" t="s">
        <v>28198</v>
      </c>
      <c r="G9328" t="s">
        <v>28205</v>
      </c>
      <c r="H9328" t="s">
        <v>28214</v>
      </c>
      <c r="I9328" t="s">
        <v>3797</v>
      </c>
      <c r="J9328" t="s">
        <v>34174</v>
      </c>
      <c r="K9328" t="s">
        <v>36749</v>
      </c>
      <c r="M9328" t="s">
        <v>39280</v>
      </c>
      <c r="N9328" t="s">
        <v>40436</v>
      </c>
      <c r="O9328" t="s">
        <v>40437</v>
      </c>
      <c r="P9328">
        <v>0</v>
      </c>
      <c r="Q9328">
        <v>0</v>
      </c>
      <c r="R9328" t="s">
        <v>40446</v>
      </c>
      <c r="S9328" t="s">
        <v>40783</v>
      </c>
      <c r="T9328" t="s">
        <v>42346</v>
      </c>
      <c r="U9328" t="s">
        <v>50412</v>
      </c>
      <c r="W9328" t="s">
        <v>39280</v>
      </c>
      <c r="X9328" t="s">
        <v>40447</v>
      </c>
    </row>
    <row r="9329" spans="1:24">
      <c r="A9329">
        <f>HYPERLINK("https://www.philgeps.gov.ph/GEPSNONPILOT/Tender/SplashBidNoticeAbstractUI.aspx?menuIndex=3&amp;refID=7035069&amp;Result=3","7035069")</f>
        <v>0</v>
      </c>
      <c r="B9329" t="s">
        <v>2629</v>
      </c>
      <c r="C9329" t="s">
        <v>11918</v>
      </c>
      <c r="D9329" t="s">
        <v>16257</v>
      </c>
      <c r="E9329" t="s">
        <v>24371</v>
      </c>
      <c r="F9329" t="s">
        <v>28198</v>
      </c>
      <c r="G9329" t="s">
        <v>28205</v>
      </c>
      <c r="H9329" t="s">
        <v>28214</v>
      </c>
      <c r="I9329" t="s">
        <v>3797</v>
      </c>
      <c r="J9329" t="s">
        <v>30947</v>
      </c>
      <c r="K9329" t="s">
        <v>36735</v>
      </c>
      <c r="M9329" t="s">
        <v>39859</v>
      </c>
      <c r="N9329" t="s">
        <v>40436</v>
      </c>
      <c r="O9329" t="s">
        <v>40437</v>
      </c>
      <c r="P9329">
        <v>0</v>
      </c>
      <c r="Q9329">
        <v>2</v>
      </c>
      <c r="R9329" t="s">
        <v>40446</v>
      </c>
      <c r="S9329" t="s">
        <v>40783</v>
      </c>
      <c r="T9329" t="s">
        <v>42540</v>
      </c>
      <c r="U9329" t="s">
        <v>50370</v>
      </c>
      <c r="W9329" t="s">
        <v>39859</v>
      </c>
      <c r="X9329" t="s">
        <v>40447</v>
      </c>
    </row>
    <row r="9330" spans="1:24">
      <c r="A9330">
        <f>HYPERLINK("https://www.philgeps.gov.ph/GEPSNONPILOT/Tender/SplashBidNoticeAbstractUI.aspx?menuIndex=3&amp;refID=7035058&amp;Result=3","7035058")</f>
        <v>0</v>
      </c>
      <c r="B9330" t="s">
        <v>1657</v>
      </c>
      <c r="C9330" t="s">
        <v>11982</v>
      </c>
      <c r="D9330" t="s">
        <v>16260</v>
      </c>
      <c r="E9330" t="s">
        <v>24433</v>
      </c>
      <c r="F9330" t="s">
        <v>28198</v>
      </c>
      <c r="G9330" t="s">
        <v>28205</v>
      </c>
      <c r="H9330" t="s">
        <v>28214</v>
      </c>
      <c r="I9330" t="s">
        <v>3797</v>
      </c>
      <c r="J9330" t="s">
        <v>34175</v>
      </c>
      <c r="K9330" t="s">
        <v>36895</v>
      </c>
      <c r="M9330" t="s">
        <v>38751</v>
      </c>
      <c r="N9330" t="s">
        <v>40436</v>
      </c>
      <c r="O9330" t="s">
        <v>40437</v>
      </c>
      <c r="P9330">
        <v>0</v>
      </c>
      <c r="Q9330">
        <v>0</v>
      </c>
      <c r="R9330" t="s">
        <v>40446</v>
      </c>
      <c r="S9330" t="s">
        <v>40783</v>
      </c>
      <c r="T9330" t="s">
        <v>42177</v>
      </c>
      <c r="U9330" t="s">
        <v>50413</v>
      </c>
      <c r="V9330" t="s">
        <v>54782</v>
      </c>
      <c r="W9330" t="s">
        <v>38751</v>
      </c>
      <c r="X9330" t="s">
        <v>40447</v>
      </c>
    </row>
    <row r="9331" spans="1:24">
      <c r="A9331">
        <f>HYPERLINK("https://www.philgeps.gov.ph/GEPSNONPILOT/Tender/SplashBidNoticeAbstractUI.aspx?menuIndex=3&amp;refID=7035084&amp;Result=3","7035084")</f>
        <v>0</v>
      </c>
      <c r="B9331" t="s">
        <v>2634</v>
      </c>
      <c r="C9331" t="s">
        <v>11983</v>
      </c>
      <c r="D9331" t="s">
        <v>16187</v>
      </c>
      <c r="E9331" t="s">
        <v>24434</v>
      </c>
      <c r="F9331" t="s">
        <v>28198</v>
      </c>
      <c r="G9331" t="s">
        <v>28205</v>
      </c>
      <c r="H9331" t="s">
        <v>28214</v>
      </c>
      <c r="I9331" t="s">
        <v>3797</v>
      </c>
      <c r="J9331" t="s">
        <v>28378</v>
      </c>
      <c r="K9331" t="s">
        <v>36715</v>
      </c>
      <c r="M9331" t="s">
        <v>39858</v>
      </c>
      <c r="N9331" t="s">
        <v>40436</v>
      </c>
      <c r="O9331" t="s">
        <v>40437</v>
      </c>
      <c r="P9331">
        <v>0</v>
      </c>
      <c r="Q9331">
        <v>0</v>
      </c>
      <c r="R9331" t="s">
        <v>40446</v>
      </c>
      <c r="S9331" t="s">
        <v>40783</v>
      </c>
      <c r="T9331" t="s">
        <v>42359</v>
      </c>
      <c r="U9331" t="s">
        <v>50414</v>
      </c>
      <c r="W9331" t="s">
        <v>39858</v>
      </c>
      <c r="X9331" t="s">
        <v>40447</v>
      </c>
    </row>
    <row r="9332" spans="1:24">
      <c r="A9332">
        <f>HYPERLINK("https://www.philgeps.gov.ph/GEPSNONPILOT/Tender/SplashBidNoticeAbstractUI.aspx?menuIndex=3&amp;refID=7035062&amp;Result=3","7035062")</f>
        <v>0</v>
      </c>
      <c r="B9332" t="s">
        <v>65</v>
      </c>
      <c r="C9332" t="s">
        <v>11984</v>
      </c>
      <c r="D9332" t="s">
        <v>16210</v>
      </c>
      <c r="E9332" t="s">
        <v>24435</v>
      </c>
      <c r="F9332" t="s">
        <v>28198</v>
      </c>
      <c r="G9332" t="s">
        <v>28205</v>
      </c>
      <c r="H9332" t="s">
        <v>28215</v>
      </c>
      <c r="I9332" t="s">
        <v>28257</v>
      </c>
      <c r="J9332" t="s">
        <v>34176</v>
      </c>
      <c r="K9332" t="s">
        <v>36689</v>
      </c>
      <c r="M9332" t="s">
        <v>38707</v>
      </c>
      <c r="N9332" t="s">
        <v>40436</v>
      </c>
      <c r="O9332" t="s">
        <v>40437</v>
      </c>
      <c r="P9332">
        <v>0</v>
      </c>
      <c r="Q9332">
        <v>7</v>
      </c>
      <c r="R9332" t="s">
        <v>40446</v>
      </c>
      <c r="S9332" t="s">
        <v>40783</v>
      </c>
      <c r="T9332" t="s">
        <v>42346</v>
      </c>
      <c r="U9332" t="s">
        <v>50415</v>
      </c>
      <c r="W9332" t="s">
        <v>38707</v>
      </c>
      <c r="X9332" t="s">
        <v>40447</v>
      </c>
    </row>
    <row r="9333" spans="1:24">
      <c r="A9333">
        <f>HYPERLINK("https://www.philgeps.gov.ph/GEPSNONPILOT/Tender/SplashBidNoticeAbstractUI.aspx?menuIndex=3&amp;refID=7035060&amp;Result=3","7035060")</f>
        <v>0</v>
      </c>
      <c r="B9333" t="s">
        <v>1657</v>
      </c>
      <c r="C9333" t="s">
        <v>11985</v>
      </c>
      <c r="D9333" t="s">
        <v>16260</v>
      </c>
      <c r="E9333" t="s">
        <v>24436</v>
      </c>
      <c r="F9333" t="s">
        <v>28198</v>
      </c>
      <c r="G9333" t="s">
        <v>28205</v>
      </c>
      <c r="H9333" t="s">
        <v>28214</v>
      </c>
      <c r="I9333" t="s">
        <v>3797</v>
      </c>
      <c r="J9333" t="s">
        <v>28393</v>
      </c>
      <c r="K9333" t="s">
        <v>36831</v>
      </c>
      <c r="M9333" t="s">
        <v>38751</v>
      </c>
      <c r="N9333" t="s">
        <v>40436</v>
      </c>
      <c r="O9333" t="s">
        <v>40437</v>
      </c>
      <c r="P9333">
        <v>0</v>
      </c>
      <c r="Q9333">
        <v>0</v>
      </c>
      <c r="R9333" t="s">
        <v>40446</v>
      </c>
      <c r="S9333" t="s">
        <v>40783</v>
      </c>
      <c r="T9333" t="s">
        <v>42177</v>
      </c>
      <c r="U9333" t="s">
        <v>50416</v>
      </c>
      <c r="V9333" t="s">
        <v>54782</v>
      </c>
      <c r="W9333" t="s">
        <v>38751</v>
      </c>
      <c r="X9333" t="s">
        <v>40447</v>
      </c>
    </row>
    <row r="9334" spans="1:24">
      <c r="A9334">
        <f>HYPERLINK("https://www.philgeps.gov.ph/GEPSNONPILOT/Tender/SplashBidNoticeAbstractUI.aspx?menuIndex=3&amp;refID=7035113&amp;Result=3","7035113")</f>
        <v>0</v>
      </c>
      <c r="B9334" t="s">
        <v>2633</v>
      </c>
      <c r="C9334" t="s">
        <v>11978</v>
      </c>
      <c r="D9334" t="s">
        <v>16215</v>
      </c>
      <c r="E9334" t="s">
        <v>24437</v>
      </c>
      <c r="F9334" t="s">
        <v>28198</v>
      </c>
      <c r="G9334" t="s">
        <v>28205</v>
      </c>
      <c r="H9334" t="s">
        <v>28214</v>
      </c>
      <c r="I9334" t="s">
        <v>28260</v>
      </c>
      <c r="J9334" t="s">
        <v>28347</v>
      </c>
      <c r="K9334" t="s">
        <v>36690</v>
      </c>
      <c r="M9334" t="s">
        <v>39857</v>
      </c>
      <c r="N9334" t="s">
        <v>40436</v>
      </c>
      <c r="O9334" t="s">
        <v>40437</v>
      </c>
      <c r="P9334">
        <v>0</v>
      </c>
      <c r="Q9334">
        <v>9</v>
      </c>
      <c r="R9334" t="s">
        <v>40446</v>
      </c>
      <c r="S9334" t="s">
        <v>40783</v>
      </c>
      <c r="T9334" t="s">
        <v>42459</v>
      </c>
      <c r="U9334" t="s">
        <v>50417</v>
      </c>
      <c r="W9334" t="s">
        <v>39857</v>
      </c>
      <c r="X9334" t="s">
        <v>40447</v>
      </c>
    </row>
    <row r="9335" spans="1:24">
      <c r="A9335">
        <f>HYPERLINK("https://www.philgeps.gov.ph/GEPSNONPILOT/Tender/SplashBidNoticeAbstractUI.aspx?menuIndex=3&amp;refID=7035096&amp;Result=3","7035096")</f>
        <v>0</v>
      </c>
      <c r="B9335" t="s">
        <v>2633</v>
      </c>
      <c r="C9335" t="s">
        <v>11978</v>
      </c>
      <c r="D9335" t="s">
        <v>16215</v>
      </c>
      <c r="E9335" t="s">
        <v>24438</v>
      </c>
      <c r="F9335" t="s">
        <v>28198</v>
      </c>
      <c r="G9335" t="s">
        <v>28205</v>
      </c>
      <c r="H9335" t="s">
        <v>28214</v>
      </c>
      <c r="I9335" t="s">
        <v>28260</v>
      </c>
      <c r="J9335" t="s">
        <v>28395</v>
      </c>
      <c r="K9335" t="s">
        <v>36694</v>
      </c>
      <c r="M9335" t="s">
        <v>39857</v>
      </c>
      <c r="N9335" t="s">
        <v>40436</v>
      </c>
      <c r="O9335" t="s">
        <v>40437</v>
      </c>
      <c r="P9335">
        <v>0</v>
      </c>
      <c r="Q9335">
        <v>9</v>
      </c>
      <c r="R9335" t="s">
        <v>40446</v>
      </c>
      <c r="S9335" t="s">
        <v>40783</v>
      </c>
      <c r="T9335" t="s">
        <v>42459</v>
      </c>
      <c r="U9335" t="s">
        <v>50418</v>
      </c>
      <c r="W9335" t="s">
        <v>39857</v>
      </c>
      <c r="X9335" t="s">
        <v>40447</v>
      </c>
    </row>
    <row r="9336" spans="1:24">
      <c r="A9336">
        <f>HYPERLINK("https://www.philgeps.gov.ph/GEPSNONPILOT/Tender/SplashBidNoticeAbstractUI.aspx?menuIndex=3&amp;refID=7035090&amp;Result=3","7035090")</f>
        <v>0</v>
      </c>
      <c r="B9336" t="s">
        <v>2633</v>
      </c>
      <c r="C9336" t="s">
        <v>11978</v>
      </c>
      <c r="D9336" t="s">
        <v>16215</v>
      </c>
      <c r="E9336" t="s">
        <v>24439</v>
      </c>
      <c r="F9336" t="s">
        <v>28198</v>
      </c>
      <c r="G9336" t="s">
        <v>28205</v>
      </c>
      <c r="H9336" t="s">
        <v>28214</v>
      </c>
      <c r="I9336" t="s">
        <v>28260</v>
      </c>
      <c r="J9336" t="s">
        <v>28379</v>
      </c>
      <c r="K9336" t="s">
        <v>36697</v>
      </c>
      <c r="M9336" t="s">
        <v>39857</v>
      </c>
      <c r="N9336" t="s">
        <v>40436</v>
      </c>
      <c r="O9336" t="s">
        <v>40437</v>
      </c>
      <c r="P9336">
        <v>0</v>
      </c>
      <c r="Q9336">
        <v>9</v>
      </c>
      <c r="R9336" t="s">
        <v>40446</v>
      </c>
      <c r="S9336" t="s">
        <v>40783</v>
      </c>
      <c r="T9336" t="s">
        <v>42459</v>
      </c>
      <c r="U9336" t="s">
        <v>50419</v>
      </c>
      <c r="W9336" t="s">
        <v>39857</v>
      </c>
      <c r="X9336" t="s">
        <v>40447</v>
      </c>
    </row>
    <row r="9337" spans="1:24">
      <c r="A9337">
        <f>HYPERLINK("https://www.philgeps.gov.ph/GEPSNONPILOT/Tender/SplashBidNoticeAbstractUI.aspx?menuIndex=3&amp;refID=7035085&amp;Result=3","7035085")</f>
        <v>0</v>
      </c>
      <c r="B9337" t="s">
        <v>2635</v>
      </c>
      <c r="C9337" t="s">
        <v>11986</v>
      </c>
      <c r="D9337" t="s">
        <v>16220</v>
      </c>
      <c r="E9337" t="s">
        <v>24440</v>
      </c>
      <c r="F9337" t="s">
        <v>28198</v>
      </c>
      <c r="G9337" t="s">
        <v>28205</v>
      </c>
      <c r="H9337" t="s">
        <v>28214</v>
      </c>
      <c r="I9337" t="s">
        <v>3797</v>
      </c>
      <c r="J9337" t="s">
        <v>34177</v>
      </c>
      <c r="K9337" t="s">
        <v>36798</v>
      </c>
      <c r="L9337" t="s">
        <v>2635</v>
      </c>
      <c r="M9337" t="s">
        <v>39860</v>
      </c>
      <c r="N9337" t="s">
        <v>40436</v>
      </c>
      <c r="O9337" t="s">
        <v>40437</v>
      </c>
      <c r="P9337">
        <v>0</v>
      </c>
      <c r="Q9337">
        <v>0</v>
      </c>
      <c r="R9337" t="s">
        <v>40446</v>
      </c>
      <c r="S9337" t="s">
        <v>40783</v>
      </c>
      <c r="T9337" t="s">
        <v>42115</v>
      </c>
      <c r="U9337" t="s">
        <v>50420</v>
      </c>
      <c r="W9337" t="s">
        <v>39860</v>
      </c>
      <c r="X9337" t="s">
        <v>40447</v>
      </c>
    </row>
    <row r="9338" spans="1:24">
      <c r="A9338">
        <f>HYPERLINK("https://www.philgeps.gov.ph/GEPSNONPILOT/Tender/SplashBidNoticeAbstractUI.aspx?menuIndex=3&amp;refID=7035067&amp;Result=3","7035067")</f>
        <v>0</v>
      </c>
      <c r="B9338" t="s">
        <v>1480</v>
      </c>
      <c r="C9338" t="s">
        <v>11987</v>
      </c>
      <c r="D9338" t="s">
        <v>16193</v>
      </c>
      <c r="E9338" t="s">
        <v>24441</v>
      </c>
      <c r="F9338" t="s">
        <v>28198</v>
      </c>
      <c r="G9338" t="s">
        <v>28205</v>
      </c>
      <c r="H9338" t="s">
        <v>28214</v>
      </c>
      <c r="I9338" t="s">
        <v>28260</v>
      </c>
      <c r="J9338" t="s">
        <v>34178</v>
      </c>
      <c r="K9338" t="s">
        <v>36742</v>
      </c>
      <c r="M9338" t="s">
        <v>38551</v>
      </c>
      <c r="N9338" t="s">
        <v>40436</v>
      </c>
      <c r="O9338" t="s">
        <v>40437</v>
      </c>
      <c r="P9338">
        <v>0</v>
      </c>
      <c r="Q9338">
        <v>2</v>
      </c>
      <c r="R9338" t="s">
        <v>40446</v>
      </c>
      <c r="S9338" t="s">
        <v>40783</v>
      </c>
      <c r="T9338" t="s">
        <v>42278</v>
      </c>
      <c r="U9338" t="s">
        <v>50401</v>
      </c>
      <c r="V9338" t="s">
        <v>54189</v>
      </c>
      <c r="W9338" t="s">
        <v>38551</v>
      </c>
      <c r="X9338" t="s">
        <v>40447</v>
      </c>
    </row>
    <row r="9339" spans="1:24">
      <c r="A9339">
        <f>HYPERLINK("https://www.philgeps.gov.ph/GEPSNONPILOT/Tender/SplashBidNoticeAbstractUI.aspx?menuIndex=3&amp;refID=7035087&amp;Result=3","7035087")</f>
        <v>0</v>
      </c>
      <c r="B9339" t="s">
        <v>2636</v>
      </c>
      <c r="C9339" t="s">
        <v>11988</v>
      </c>
      <c r="D9339" t="s">
        <v>16249</v>
      </c>
      <c r="E9339" t="s">
        <v>17248</v>
      </c>
      <c r="F9339" t="s">
        <v>28198</v>
      </c>
      <c r="G9339" t="s">
        <v>28205</v>
      </c>
      <c r="H9339" t="s">
        <v>28215</v>
      </c>
      <c r="I9339" t="s">
        <v>4505</v>
      </c>
      <c r="J9339" t="s">
        <v>34179</v>
      </c>
      <c r="K9339" t="s">
        <v>36701</v>
      </c>
      <c r="M9339" t="s">
        <v>39861</v>
      </c>
      <c r="N9339" t="s">
        <v>40436</v>
      </c>
      <c r="O9339" t="s">
        <v>40437</v>
      </c>
      <c r="P9339">
        <v>0</v>
      </c>
      <c r="Q9339">
        <v>1</v>
      </c>
      <c r="R9339" t="s">
        <v>40446</v>
      </c>
      <c r="S9339" t="s">
        <v>40783</v>
      </c>
      <c r="T9339" t="s">
        <v>42177</v>
      </c>
      <c r="U9339" t="s">
        <v>50421</v>
      </c>
      <c r="W9339" t="s">
        <v>39861</v>
      </c>
      <c r="X9339" t="s">
        <v>40447</v>
      </c>
    </row>
    <row r="9340" spans="1:24">
      <c r="A9340">
        <f>HYPERLINK("https://www.philgeps.gov.ph/GEPSNONPILOT/Tender/SplashBidNoticeAbstractUI.aspx?menuIndex=3&amp;refID=7035089&amp;Result=3","7035089")</f>
        <v>0</v>
      </c>
      <c r="B9340" t="s">
        <v>2637</v>
      </c>
      <c r="C9340" t="s">
        <v>11989</v>
      </c>
      <c r="D9340" t="s">
        <v>16193</v>
      </c>
      <c r="E9340" t="s">
        <v>24442</v>
      </c>
      <c r="F9340" t="s">
        <v>28198</v>
      </c>
      <c r="G9340" t="s">
        <v>28205</v>
      </c>
      <c r="H9340" t="s">
        <v>28215</v>
      </c>
      <c r="I9340" t="s">
        <v>28222</v>
      </c>
      <c r="J9340" t="s">
        <v>28351</v>
      </c>
      <c r="K9340" t="s">
        <v>36689</v>
      </c>
      <c r="M9340" t="s">
        <v>39862</v>
      </c>
      <c r="N9340" t="s">
        <v>40436</v>
      </c>
      <c r="O9340" t="s">
        <v>40437</v>
      </c>
      <c r="P9340">
        <v>0</v>
      </c>
      <c r="Q9340">
        <v>7</v>
      </c>
      <c r="R9340" t="s">
        <v>40446</v>
      </c>
      <c r="S9340" t="s">
        <v>40783</v>
      </c>
      <c r="T9340" t="s">
        <v>42244</v>
      </c>
      <c r="U9340" t="s">
        <v>47490</v>
      </c>
      <c r="W9340" t="s">
        <v>39862</v>
      </c>
      <c r="X9340" t="s">
        <v>40447</v>
      </c>
    </row>
    <row r="9341" spans="1:24">
      <c r="A9341">
        <f>HYPERLINK("https://www.philgeps.gov.ph/GEPSNONPILOT/Tender/SplashBidNoticeAbstractUI.aspx?menuIndex=3&amp;refID=7035072&amp;Result=3","7035072")</f>
        <v>0</v>
      </c>
      <c r="B9341" t="s">
        <v>346</v>
      </c>
      <c r="C9341" t="s">
        <v>11990</v>
      </c>
      <c r="D9341" t="s">
        <v>16217</v>
      </c>
      <c r="E9341" t="s">
        <v>24443</v>
      </c>
      <c r="F9341" t="s">
        <v>28198</v>
      </c>
      <c r="G9341" t="s">
        <v>28205</v>
      </c>
      <c r="H9341" t="s">
        <v>28214</v>
      </c>
      <c r="I9341" t="s">
        <v>3797</v>
      </c>
      <c r="J9341" t="s">
        <v>28351</v>
      </c>
      <c r="K9341" t="s">
        <v>36697</v>
      </c>
      <c r="M9341" t="s">
        <v>37325</v>
      </c>
      <c r="N9341" t="s">
        <v>40436</v>
      </c>
      <c r="O9341" t="s">
        <v>40437</v>
      </c>
      <c r="Q9341">
        <v>0</v>
      </c>
      <c r="R9341" t="s">
        <v>40446</v>
      </c>
      <c r="S9341" t="s">
        <v>40855</v>
      </c>
      <c r="T9341" t="s">
        <v>42168</v>
      </c>
      <c r="U9341" t="s">
        <v>50422</v>
      </c>
      <c r="W9341" t="s">
        <v>37325</v>
      </c>
      <c r="X9341" t="s">
        <v>40447</v>
      </c>
    </row>
    <row r="9342" spans="1:24">
      <c r="A9342">
        <f>HYPERLINK("https://www.philgeps.gov.ph/GEPSNONPILOT/Tender/SplashBidNoticeAbstractUI.aspx?menuIndex=3&amp;refID=7035115&amp;Result=3","7035115")</f>
        <v>0</v>
      </c>
      <c r="B9342" t="s">
        <v>2634</v>
      </c>
      <c r="C9342" t="s">
        <v>11991</v>
      </c>
      <c r="D9342" t="s">
        <v>16187</v>
      </c>
      <c r="E9342" t="s">
        <v>24444</v>
      </c>
      <c r="F9342" t="s">
        <v>28198</v>
      </c>
      <c r="G9342" t="s">
        <v>28205</v>
      </c>
      <c r="H9342" t="s">
        <v>28214</v>
      </c>
      <c r="I9342" t="s">
        <v>3797</v>
      </c>
      <c r="J9342" t="s">
        <v>34180</v>
      </c>
      <c r="K9342" t="s">
        <v>36697</v>
      </c>
      <c r="M9342" t="s">
        <v>39858</v>
      </c>
      <c r="N9342" t="s">
        <v>40436</v>
      </c>
      <c r="O9342" t="s">
        <v>40437</v>
      </c>
      <c r="P9342">
        <v>0</v>
      </c>
      <c r="Q9342">
        <v>0</v>
      </c>
      <c r="R9342" t="s">
        <v>40446</v>
      </c>
      <c r="S9342" t="s">
        <v>40783</v>
      </c>
      <c r="T9342" t="s">
        <v>42359</v>
      </c>
      <c r="U9342" t="s">
        <v>50423</v>
      </c>
      <c r="W9342" t="s">
        <v>39858</v>
      </c>
      <c r="X9342" t="s">
        <v>40447</v>
      </c>
    </row>
    <row r="9343" spans="1:24">
      <c r="A9343">
        <f>HYPERLINK("https://www.philgeps.gov.ph/GEPSNONPILOT/Tender/SplashBidNoticeAbstractUI.aspx?menuIndex=3&amp;refID=7035121&amp;Result=3","7035121")</f>
        <v>0</v>
      </c>
      <c r="B9343" t="s">
        <v>512</v>
      </c>
      <c r="C9343" t="s">
        <v>11992</v>
      </c>
      <c r="D9343" t="s">
        <v>16200</v>
      </c>
      <c r="E9343" t="s">
        <v>24445</v>
      </c>
      <c r="F9343" t="s">
        <v>28198</v>
      </c>
      <c r="G9343" t="s">
        <v>28205</v>
      </c>
      <c r="H9343" t="s">
        <v>28214</v>
      </c>
      <c r="I9343" t="s">
        <v>3797</v>
      </c>
      <c r="J9343" t="s">
        <v>29632</v>
      </c>
      <c r="K9343" t="s">
        <v>36715</v>
      </c>
      <c r="M9343" t="s">
        <v>37497</v>
      </c>
      <c r="N9343" t="s">
        <v>40436</v>
      </c>
      <c r="O9343" t="s">
        <v>40437</v>
      </c>
      <c r="P9343">
        <v>0</v>
      </c>
      <c r="Q9343">
        <v>2</v>
      </c>
      <c r="R9343" t="s">
        <v>40446</v>
      </c>
      <c r="S9343" t="s">
        <v>40783</v>
      </c>
      <c r="T9343" t="s">
        <v>42279</v>
      </c>
      <c r="U9343" t="s">
        <v>50424</v>
      </c>
      <c r="V9343" t="s">
        <v>54610</v>
      </c>
      <c r="W9343" t="s">
        <v>37497</v>
      </c>
      <c r="X9343" t="s">
        <v>40447</v>
      </c>
    </row>
    <row r="9344" spans="1:24">
      <c r="A9344">
        <f>HYPERLINK("https://www.philgeps.gov.ph/GEPSNONPILOT/Tender/SplashBidNoticeAbstractUI.aspx?menuIndex=3&amp;refID=7035102&amp;Result=3","7035102")</f>
        <v>0</v>
      </c>
      <c r="B9344" t="s">
        <v>2638</v>
      </c>
      <c r="C9344" t="s">
        <v>11993</v>
      </c>
      <c r="D9344" t="s">
        <v>16203</v>
      </c>
      <c r="E9344" t="s">
        <v>24446</v>
      </c>
      <c r="F9344" t="s">
        <v>28198</v>
      </c>
      <c r="G9344" t="s">
        <v>28205</v>
      </c>
      <c r="H9344" t="s">
        <v>28214</v>
      </c>
      <c r="I9344" t="s">
        <v>3797</v>
      </c>
      <c r="J9344" t="s">
        <v>29160</v>
      </c>
      <c r="K9344" t="s">
        <v>36707</v>
      </c>
      <c r="M9344" t="s">
        <v>39863</v>
      </c>
      <c r="N9344" t="s">
        <v>40436</v>
      </c>
      <c r="O9344" t="s">
        <v>40437</v>
      </c>
      <c r="P9344">
        <v>0</v>
      </c>
      <c r="Q9344">
        <v>0</v>
      </c>
      <c r="R9344" t="s">
        <v>40446</v>
      </c>
      <c r="S9344" t="s">
        <v>40783</v>
      </c>
      <c r="T9344" t="s">
        <v>42176</v>
      </c>
      <c r="U9344" t="s">
        <v>50425</v>
      </c>
      <c r="W9344" t="s">
        <v>39863</v>
      </c>
      <c r="X9344" t="s">
        <v>40447</v>
      </c>
    </row>
    <row r="9345" spans="1:24">
      <c r="A9345">
        <f>HYPERLINK("https://www.philgeps.gov.ph/GEPSNONPILOT/Tender/SplashBidNoticeAbstractUI.aspx?menuIndex=3&amp;refID=7035142&amp;Result=3","7035142")</f>
        <v>0</v>
      </c>
      <c r="B9345" t="s">
        <v>346</v>
      </c>
      <c r="C9345" t="s">
        <v>11994</v>
      </c>
      <c r="D9345" t="s">
        <v>16217</v>
      </c>
      <c r="E9345" t="s">
        <v>24447</v>
      </c>
      <c r="F9345" t="s">
        <v>28198</v>
      </c>
      <c r="G9345" t="s">
        <v>28205</v>
      </c>
      <c r="H9345" t="s">
        <v>28214</v>
      </c>
      <c r="I9345" t="s">
        <v>3797</v>
      </c>
      <c r="J9345" t="s">
        <v>34181</v>
      </c>
      <c r="K9345" t="s">
        <v>36694</v>
      </c>
      <c r="M9345" t="s">
        <v>37325</v>
      </c>
      <c r="N9345" t="s">
        <v>40436</v>
      </c>
      <c r="O9345" t="s">
        <v>40437</v>
      </c>
      <c r="Q9345">
        <v>0</v>
      </c>
      <c r="R9345" t="s">
        <v>40446</v>
      </c>
      <c r="S9345" t="s">
        <v>40856</v>
      </c>
      <c r="T9345" t="s">
        <v>42168</v>
      </c>
      <c r="U9345" t="s">
        <v>50426</v>
      </c>
      <c r="W9345" t="s">
        <v>37325</v>
      </c>
      <c r="X9345" t="s">
        <v>40447</v>
      </c>
    </row>
    <row r="9346" spans="1:24">
      <c r="A9346">
        <f>HYPERLINK("https://www.philgeps.gov.ph/GEPSNONPILOT/Tender/SplashBidNoticeAbstractUI.aspx?menuIndex=3&amp;refID=7035118&amp;Result=3","7035118")</f>
        <v>0</v>
      </c>
      <c r="B9346" t="s">
        <v>512</v>
      </c>
      <c r="C9346" t="s">
        <v>11995</v>
      </c>
      <c r="D9346" t="s">
        <v>16200</v>
      </c>
      <c r="E9346" t="s">
        <v>24448</v>
      </c>
      <c r="F9346" t="s">
        <v>28198</v>
      </c>
      <c r="G9346" t="s">
        <v>28205</v>
      </c>
      <c r="H9346" t="s">
        <v>28214</v>
      </c>
      <c r="I9346" t="s">
        <v>3797</v>
      </c>
      <c r="J9346" t="s">
        <v>29632</v>
      </c>
      <c r="K9346" t="s">
        <v>36896</v>
      </c>
      <c r="M9346" t="s">
        <v>37497</v>
      </c>
      <c r="N9346" t="s">
        <v>40436</v>
      </c>
      <c r="O9346" t="s">
        <v>40437</v>
      </c>
      <c r="P9346">
        <v>0</v>
      </c>
      <c r="Q9346">
        <v>0</v>
      </c>
      <c r="R9346" t="s">
        <v>40446</v>
      </c>
      <c r="S9346" t="s">
        <v>40783</v>
      </c>
      <c r="T9346" t="s">
        <v>42279</v>
      </c>
      <c r="U9346" t="s">
        <v>50427</v>
      </c>
      <c r="V9346" t="s">
        <v>54610</v>
      </c>
      <c r="W9346" t="s">
        <v>37497</v>
      </c>
      <c r="X9346" t="s">
        <v>40447</v>
      </c>
    </row>
    <row r="9347" spans="1:24">
      <c r="A9347">
        <f>HYPERLINK("https://www.philgeps.gov.ph/GEPSNONPILOT/Tender/SplashBidNoticeAbstractUI.aspx?menuIndex=3&amp;refID=7035120&amp;Result=3","7035120")</f>
        <v>0</v>
      </c>
      <c r="B9347" t="s">
        <v>2639</v>
      </c>
      <c r="C9347" t="s">
        <v>11996</v>
      </c>
      <c r="D9347" t="s">
        <v>16210</v>
      </c>
      <c r="E9347" t="s">
        <v>24449</v>
      </c>
      <c r="F9347" t="s">
        <v>28198</v>
      </c>
      <c r="G9347" t="s">
        <v>28205</v>
      </c>
      <c r="H9347" t="s">
        <v>28214</v>
      </c>
      <c r="I9347" t="s">
        <v>3797</v>
      </c>
      <c r="J9347" t="s">
        <v>34182</v>
      </c>
      <c r="K9347" t="s">
        <v>36694</v>
      </c>
      <c r="M9347" t="s">
        <v>39864</v>
      </c>
      <c r="N9347" t="s">
        <v>40436</v>
      </c>
      <c r="O9347" t="s">
        <v>40437</v>
      </c>
      <c r="P9347">
        <v>0</v>
      </c>
      <c r="Q9347">
        <v>15</v>
      </c>
      <c r="R9347" t="s">
        <v>40446</v>
      </c>
      <c r="S9347" t="s">
        <v>40783</v>
      </c>
      <c r="T9347" t="s">
        <v>42234</v>
      </c>
      <c r="U9347" t="s">
        <v>50428</v>
      </c>
      <c r="W9347" t="s">
        <v>39864</v>
      </c>
      <c r="X9347" t="s">
        <v>40447</v>
      </c>
    </row>
    <row r="9348" spans="1:24">
      <c r="A9348">
        <f>HYPERLINK("https://www.philgeps.gov.ph/GEPSNONPILOT/Tender/SplashBidNoticeAbstractUI.aspx?menuIndex=3&amp;refID=7035114&amp;Result=3","7035114")</f>
        <v>0</v>
      </c>
      <c r="B9348" t="s">
        <v>2639</v>
      </c>
      <c r="C9348" t="s">
        <v>11997</v>
      </c>
      <c r="D9348" t="s">
        <v>16210</v>
      </c>
      <c r="E9348" t="s">
        <v>24450</v>
      </c>
      <c r="F9348" t="s">
        <v>28198</v>
      </c>
      <c r="G9348" t="s">
        <v>28205</v>
      </c>
      <c r="H9348" t="s">
        <v>28214</v>
      </c>
      <c r="I9348" t="s">
        <v>3797</v>
      </c>
      <c r="J9348" t="s">
        <v>34183</v>
      </c>
      <c r="K9348" t="s">
        <v>36697</v>
      </c>
      <c r="M9348" t="s">
        <v>39864</v>
      </c>
      <c r="N9348" t="s">
        <v>40436</v>
      </c>
      <c r="O9348" t="s">
        <v>40437</v>
      </c>
      <c r="P9348">
        <v>0</v>
      </c>
      <c r="Q9348">
        <v>14</v>
      </c>
      <c r="R9348" t="s">
        <v>40446</v>
      </c>
      <c r="S9348" t="s">
        <v>40783</v>
      </c>
      <c r="T9348" t="s">
        <v>42234</v>
      </c>
      <c r="U9348" t="s">
        <v>50429</v>
      </c>
      <c r="W9348" t="s">
        <v>39864</v>
      </c>
      <c r="X9348" t="s">
        <v>40447</v>
      </c>
    </row>
    <row r="9349" spans="1:24">
      <c r="A9349">
        <f>HYPERLINK("https://www.philgeps.gov.ph/GEPSNONPILOT/Tender/SplashBidNoticeAbstractUI.aspx?menuIndex=3&amp;refID=7035139&amp;Result=3","7035139")</f>
        <v>0</v>
      </c>
      <c r="B9349" t="s">
        <v>512</v>
      </c>
      <c r="C9349" t="s">
        <v>11998</v>
      </c>
      <c r="D9349" t="s">
        <v>16200</v>
      </c>
      <c r="E9349" t="s">
        <v>24451</v>
      </c>
      <c r="F9349" t="s">
        <v>28198</v>
      </c>
      <c r="G9349" t="s">
        <v>28205</v>
      </c>
      <c r="H9349" t="s">
        <v>28214</v>
      </c>
      <c r="I9349" t="s">
        <v>3797</v>
      </c>
      <c r="J9349" t="s">
        <v>29552</v>
      </c>
      <c r="K9349" t="s">
        <v>36697</v>
      </c>
      <c r="M9349" t="s">
        <v>37497</v>
      </c>
      <c r="N9349" t="s">
        <v>40436</v>
      </c>
      <c r="O9349" t="s">
        <v>40437</v>
      </c>
      <c r="P9349">
        <v>0</v>
      </c>
      <c r="Q9349">
        <v>3</v>
      </c>
      <c r="R9349" t="s">
        <v>40446</v>
      </c>
      <c r="S9349" t="s">
        <v>40783</v>
      </c>
      <c r="T9349" t="s">
        <v>42279</v>
      </c>
      <c r="U9349" t="s">
        <v>49162</v>
      </c>
      <c r="V9349" t="s">
        <v>54610</v>
      </c>
      <c r="W9349" t="s">
        <v>37497</v>
      </c>
      <c r="X9349" t="s">
        <v>40447</v>
      </c>
    </row>
    <row r="9350" spans="1:24">
      <c r="A9350">
        <f>HYPERLINK("https://www.philgeps.gov.ph/GEPSNONPILOT/Tender/SplashBidNoticeAbstractUI.aspx?menuIndex=3&amp;refID=7035116&amp;Result=3","7035116")</f>
        <v>0</v>
      </c>
      <c r="B9350" t="s">
        <v>2640</v>
      </c>
      <c r="C9350" t="s">
        <v>11999</v>
      </c>
      <c r="D9350" t="s">
        <v>16209</v>
      </c>
      <c r="E9350" t="s">
        <v>24452</v>
      </c>
      <c r="F9350" t="s">
        <v>28198</v>
      </c>
      <c r="G9350" t="s">
        <v>28207</v>
      </c>
      <c r="H9350" t="s">
        <v>28215</v>
      </c>
      <c r="I9350" t="s">
        <v>28233</v>
      </c>
      <c r="J9350" t="s">
        <v>28708</v>
      </c>
      <c r="K9350" t="s">
        <v>36701</v>
      </c>
      <c r="M9350" t="s">
        <v>39865</v>
      </c>
      <c r="N9350" t="s">
        <v>40436</v>
      </c>
      <c r="O9350" t="s">
        <v>40437</v>
      </c>
      <c r="P9350">
        <v>0</v>
      </c>
      <c r="Q9350">
        <v>2</v>
      </c>
      <c r="R9350" t="s">
        <v>40446</v>
      </c>
      <c r="S9350" t="s">
        <v>40783</v>
      </c>
      <c r="T9350" t="s">
        <v>42277</v>
      </c>
      <c r="U9350" t="s">
        <v>50430</v>
      </c>
      <c r="W9350" t="s">
        <v>39865</v>
      </c>
      <c r="X9350" t="s">
        <v>40447</v>
      </c>
    </row>
    <row r="9351" spans="1:24">
      <c r="A9351">
        <f>HYPERLINK("https://www.philgeps.gov.ph/GEPSNONPILOT/Tender/SplashBidNoticeAbstractUI.aspx?menuIndex=3&amp;refID=7035074&amp;Result=3","7035074")</f>
        <v>0</v>
      </c>
      <c r="B9351" t="s">
        <v>1744</v>
      </c>
      <c r="C9351" t="s">
        <v>12000</v>
      </c>
      <c r="E9351" t="s">
        <v>24263</v>
      </c>
      <c r="F9351" t="s">
        <v>28198</v>
      </c>
      <c r="G9351" t="s">
        <v>28207</v>
      </c>
      <c r="H9351" t="s">
        <v>28216</v>
      </c>
      <c r="I9351" t="s">
        <v>28312</v>
      </c>
      <c r="J9351" t="s">
        <v>28415</v>
      </c>
      <c r="K9351" t="s">
        <v>36689</v>
      </c>
      <c r="M9351" t="s">
        <v>38856</v>
      </c>
      <c r="N9351" t="s">
        <v>40436</v>
      </c>
      <c r="O9351" t="s">
        <v>40437</v>
      </c>
      <c r="Q9351">
        <v>4</v>
      </c>
      <c r="R9351" t="s">
        <v>40446</v>
      </c>
      <c r="S9351" t="s">
        <v>40857</v>
      </c>
      <c r="T9351" t="s">
        <v>42169</v>
      </c>
      <c r="U9351" t="s">
        <v>50431</v>
      </c>
      <c r="V9351" t="s">
        <v>54290</v>
      </c>
      <c r="W9351" t="s">
        <v>55495</v>
      </c>
      <c r="X9351" t="s">
        <v>40447</v>
      </c>
    </row>
    <row r="9352" spans="1:24">
      <c r="A9352">
        <f>HYPERLINK("https://www.philgeps.gov.ph/GEPSNONPILOT/Tender/SplashBidNoticeAbstractUI.aspx?menuIndex=3&amp;refID=7035091&amp;Result=3","7035091")</f>
        <v>0</v>
      </c>
      <c r="B9352" t="s">
        <v>2394</v>
      </c>
      <c r="C9352" t="s">
        <v>12001</v>
      </c>
      <c r="D9352" t="s">
        <v>16201</v>
      </c>
      <c r="E9352" t="s">
        <v>24453</v>
      </c>
      <c r="F9352" t="s">
        <v>28198</v>
      </c>
      <c r="G9352" t="s">
        <v>28205</v>
      </c>
      <c r="H9352" t="s">
        <v>28215</v>
      </c>
      <c r="I9352" t="s">
        <v>28225</v>
      </c>
      <c r="J9352" t="s">
        <v>34184</v>
      </c>
      <c r="K9352" t="s">
        <v>36701</v>
      </c>
      <c r="M9352" t="s">
        <v>39581</v>
      </c>
      <c r="N9352" t="s">
        <v>40436</v>
      </c>
      <c r="O9352" t="s">
        <v>40437</v>
      </c>
      <c r="P9352">
        <v>0</v>
      </c>
      <c r="Q9352">
        <v>3</v>
      </c>
      <c r="R9352" t="s">
        <v>40446</v>
      </c>
      <c r="S9352" t="s">
        <v>40783</v>
      </c>
      <c r="T9352" t="s">
        <v>42113</v>
      </c>
      <c r="U9352" t="s">
        <v>50432</v>
      </c>
      <c r="V9352" t="s">
        <v>54634</v>
      </c>
      <c r="W9352" t="s">
        <v>39581</v>
      </c>
      <c r="X9352" t="s">
        <v>40447</v>
      </c>
    </row>
    <row r="9353" spans="1:24">
      <c r="A9353">
        <f>HYPERLINK("https://www.philgeps.gov.ph/GEPSNONPILOT/Tender/SplashBidNoticeAbstractUI.aspx?menuIndex=3&amp;refID=7035131&amp;Result=3","7035131")</f>
        <v>0</v>
      </c>
      <c r="B9353" t="s">
        <v>346</v>
      </c>
      <c r="C9353" t="s">
        <v>12002</v>
      </c>
      <c r="D9353" t="s">
        <v>16217</v>
      </c>
      <c r="E9353" t="s">
        <v>24454</v>
      </c>
      <c r="F9353" t="s">
        <v>28198</v>
      </c>
      <c r="G9353" t="s">
        <v>28205</v>
      </c>
      <c r="H9353" t="s">
        <v>28214</v>
      </c>
      <c r="I9353" t="s">
        <v>3797</v>
      </c>
      <c r="J9353" t="s">
        <v>34185</v>
      </c>
      <c r="K9353" t="s">
        <v>36694</v>
      </c>
      <c r="M9353" t="s">
        <v>37325</v>
      </c>
      <c r="N9353" t="s">
        <v>40436</v>
      </c>
      <c r="O9353" t="s">
        <v>40437</v>
      </c>
      <c r="Q9353">
        <v>0</v>
      </c>
      <c r="R9353" t="s">
        <v>40446</v>
      </c>
      <c r="S9353" t="s">
        <v>40858</v>
      </c>
      <c r="T9353" t="s">
        <v>42168</v>
      </c>
      <c r="U9353" t="s">
        <v>50433</v>
      </c>
      <c r="W9353" t="s">
        <v>37325</v>
      </c>
      <c r="X9353" t="s">
        <v>40447</v>
      </c>
    </row>
    <row r="9354" spans="1:24">
      <c r="A9354">
        <f>HYPERLINK("https://www.philgeps.gov.ph/GEPSNONPILOT/Tender/SplashBidNoticeAbstractUI.aspx?menuIndex=3&amp;refID=7035144&amp;Result=3","7035144")</f>
        <v>0</v>
      </c>
      <c r="B9354" t="s">
        <v>940</v>
      </c>
      <c r="C9354" t="s">
        <v>12003</v>
      </c>
      <c r="D9354" t="s">
        <v>16278</v>
      </c>
      <c r="E9354" t="s">
        <v>24455</v>
      </c>
      <c r="F9354" t="s">
        <v>28199</v>
      </c>
      <c r="G9354" t="s">
        <v>28213</v>
      </c>
      <c r="H9354" t="s">
        <v>28215</v>
      </c>
      <c r="I9354" t="s">
        <v>28280</v>
      </c>
      <c r="J9354" t="s">
        <v>32078</v>
      </c>
      <c r="K9354" t="s">
        <v>36689</v>
      </c>
      <c r="M9354" t="s">
        <v>37963</v>
      </c>
      <c r="N9354" t="s">
        <v>40436</v>
      </c>
      <c r="O9354" t="s">
        <v>40437</v>
      </c>
      <c r="Q9354">
        <v>15</v>
      </c>
      <c r="R9354" t="s">
        <v>40446</v>
      </c>
      <c r="S9354" t="s">
        <v>40859</v>
      </c>
      <c r="T9354" t="s">
        <v>42541</v>
      </c>
      <c r="U9354" t="s">
        <v>50434</v>
      </c>
      <c r="W9354" t="s">
        <v>37963</v>
      </c>
      <c r="X9354" t="s">
        <v>40447</v>
      </c>
    </row>
    <row r="9355" spans="1:24">
      <c r="A9355">
        <f>HYPERLINK("https://www.philgeps.gov.ph/GEPSNONPILOT/Tender/SplashBidNoticeAbstractUI.aspx?menuIndex=3&amp;refID=7035133&amp;Result=3","7035133")</f>
        <v>0</v>
      </c>
      <c r="B9355" t="s">
        <v>512</v>
      </c>
      <c r="C9355" t="s">
        <v>12004</v>
      </c>
      <c r="D9355" t="s">
        <v>16200</v>
      </c>
      <c r="E9355" t="s">
        <v>24456</v>
      </c>
      <c r="F9355" t="s">
        <v>28198</v>
      </c>
      <c r="G9355" t="s">
        <v>28205</v>
      </c>
      <c r="H9355" t="s">
        <v>28214</v>
      </c>
      <c r="I9355" t="s">
        <v>3797</v>
      </c>
      <c r="J9355" t="s">
        <v>32323</v>
      </c>
      <c r="K9355" t="s">
        <v>36690</v>
      </c>
      <c r="M9355" t="s">
        <v>37497</v>
      </c>
      <c r="N9355" t="s">
        <v>40436</v>
      </c>
      <c r="O9355" t="s">
        <v>40437</v>
      </c>
      <c r="P9355">
        <v>0</v>
      </c>
      <c r="Q9355">
        <v>3</v>
      </c>
      <c r="R9355" t="s">
        <v>40446</v>
      </c>
      <c r="S9355" t="s">
        <v>40783</v>
      </c>
      <c r="T9355" t="s">
        <v>42279</v>
      </c>
      <c r="U9355" t="s">
        <v>49162</v>
      </c>
      <c r="V9355" t="s">
        <v>54610</v>
      </c>
      <c r="W9355" t="s">
        <v>37497</v>
      </c>
      <c r="X9355" t="s">
        <v>40447</v>
      </c>
    </row>
    <row r="9356" spans="1:24">
      <c r="A9356">
        <f>HYPERLINK("https://www.philgeps.gov.ph/GEPSNONPILOT/Tender/SplashBidNoticeAbstractUI.aspx?menuIndex=3&amp;refID=7035152&amp;Result=3","7035152")</f>
        <v>0</v>
      </c>
      <c r="B9356" t="s">
        <v>2543</v>
      </c>
      <c r="C9356" t="s">
        <v>12005</v>
      </c>
      <c r="D9356" t="s">
        <v>16247</v>
      </c>
      <c r="E9356" t="s">
        <v>24457</v>
      </c>
      <c r="F9356" t="s">
        <v>28198</v>
      </c>
      <c r="G9356" t="s">
        <v>28205</v>
      </c>
      <c r="H9356" t="s">
        <v>28214</v>
      </c>
      <c r="I9356" t="s">
        <v>3797</v>
      </c>
      <c r="J9356" t="s">
        <v>28927</v>
      </c>
      <c r="K9356" t="s">
        <v>36694</v>
      </c>
      <c r="M9356" t="s">
        <v>39753</v>
      </c>
      <c r="N9356" t="s">
        <v>40436</v>
      </c>
      <c r="O9356" t="s">
        <v>40437</v>
      </c>
      <c r="P9356">
        <v>0</v>
      </c>
      <c r="Q9356">
        <v>1</v>
      </c>
      <c r="R9356" t="s">
        <v>40446</v>
      </c>
      <c r="S9356" t="s">
        <v>40783</v>
      </c>
      <c r="T9356" t="s">
        <v>42213</v>
      </c>
      <c r="U9356" t="s">
        <v>50048</v>
      </c>
      <c r="W9356" t="s">
        <v>39753</v>
      </c>
      <c r="X9356" t="s">
        <v>40447</v>
      </c>
    </row>
    <row r="9357" spans="1:24">
      <c r="A9357">
        <f>HYPERLINK("https://www.philgeps.gov.ph/GEPSNONPILOT/Tender/SplashBidNoticeAbstractUI.aspx?menuIndex=3&amp;refID=7035129&amp;Result=3","7035129")</f>
        <v>0</v>
      </c>
      <c r="B9357" t="s">
        <v>2633</v>
      </c>
      <c r="C9357" t="s">
        <v>11978</v>
      </c>
      <c r="D9357" t="s">
        <v>16215</v>
      </c>
      <c r="E9357" t="s">
        <v>24458</v>
      </c>
      <c r="F9357" t="s">
        <v>28198</v>
      </c>
      <c r="G9357" t="s">
        <v>28205</v>
      </c>
      <c r="H9357" t="s">
        <v>28214</v>
      </c>
      <c r="I9357" t="s">
        <v>28260</v>
      </c>
      <c r="J9357" t="s">
        <v>28363</v>
      </c>
      <c r="K9357" t="s">
        <v>36697</v>
      </c>
      <c r="M9357" t="s">
        <v>39857</v>
      </c>
      <c r="N9357" t="s">
        <v>40436</v>
      </c>
      <c r="O9357" t="s">
        <v>40437</v>
      </c>
      <c r="P9357">
        <v>0</v>
      </c>
      <c r="Q9357">
        <v>9</v>
      </c>
      <c r="R9357" t="s">
        <v>40446</v>
      </c>
      <c r="S9357" t="s">
        <v>40783</v>
      </c>
      <c r="T9357" t="s">
        <v>42459</v>
      </c>
      <c r="U9357" t="s">
        <v>50435</v>
      </c>
      <c r="W9357" t="s">
        <v>39857</v>
      </c>
      <c r="X9357" t="s">
        <v>40447</v>
      </c>
    </row>
    <row r="9358" spans="1:24">
      <c r="A9358">
        <f>HYPERLINK("https://www.philgeps.gov.ph/GEPSNONPILOT/Tender/SplashBidNoticeAbstractUI.aspx?menuIndex=3&amp;refID=7035153&amp;Result=3","7035153")</f>
        <v>0</v>
      </c>
      <c r="B9358" t="s">
        <v>512</v>
      </c>
      <c r="C9358" t="s">
        <v>12006</v>
      </c>
      <c r="D9358" t="s">
        <v>16200</v>
      </c>
      <c r="E9358" t="s">
        <v>24459</v>
      </c>
      <c r="F9358" t="s">
        <v>28198</v>
      </c>
      <c r="G9358" t="s">
        <v>28205</v>
      </c>
      <c r="H9358" t="s">
        <v>28214</v>
      </c>
      <c r="I9358" t="s">
        <v>3797</v>
      </c>
      <c r="J9358" t="s">
        <v>29595</v>
      </c>
      <c r="K9358" t="s">
        <v>36709</v>
      </c>
      <c r="M9358" t="s">
        <v>37497</v>
      </c>
      <c r="N9358" t="s">
        <v>40436</v>
      </c>
      <c r="O9358" t="s">
        <v>40437</v>
      </c>
      <c r="P9358">
        <v>0</v>
      </c>
      <c r="Q9358">
        <v>0</v>
      </c>
      <c r="R9358" t="s">
        <v>40446</v>
      </c>
      <c r="S9358" t="s">
        <v>40783</v>
      </c>
      <c r="T9358" t="s">
        <v>42279</v>
      </c>
      <c r="U9358" t="s">
        <v>50436</v>
      </c>
      <c r="V9358" t="s">
        <v>54610</v>
      </c>
      <c r="W9358" t="s">
        <v>37497</v>
      </c>
      <c r="X9358" t="s">
        <v>40447</v>
      </c>
    </row>
    <row r="9359" spans="1:24">
      <c r="A9359">
        <f>HYPERLINK("https://www.philgeps.gov.ph/GEPSNONPILOT/Tender/SplashBidNoticeAbstractUI.aspx?menuIndex=3&amp;refID=7035155&amp;Result=3","7035155")</f>
        <v>0</v>
      </c>
      <c r="B9359" t="s">
        <v>2543</v>
      </c>
      <c r="C9359" t="s">
        <v>12007</v>
      </c>
      <c r="D9359" t="s">
        <v>16247</v>
      </c>
      <c r="E9359" t="s">
        <v>24460</v>
      </c>
      <c r="F9359" t="s">
        <v>28198</v>
      </c>
      <c r="G9359" t="s">
        <v>28205</v>
      </c>
      <c r="H9359" t="s">
        <v>28214</v>
      </c>
      <c r="I9359" t="s">
        <v>3797</v>
      </c>
      <c r="J9359" t="s">
        <v>28927</v>
      </c>
      <c r="K9359" t="s">
        <v>36694</v>
      </c>
      <c r="M9359" t="s">
        <v>39753</v>
      </c>
      <c r="N9359" t="s">
        <v>40436</v>
      </c>
      <c r="O9359" t="s">
        <v>40437</v>
      </c>
      <c r="P9359">
        <v>0</v>
      </c>
      <c r="Q9359">
        <v>1</v>
      </c>
      <c r="R9359" t="s">
        <v>40446</v>
      </c>
      <c r="S9359" t="s">
        <v>40783</v>
      </c>
      <c r="T9359" t="s">
        <v>42213</v>
      </c>
      <c r="U9359" t="s">
        <v>50048</v>
      </c>
      <c r="W9359" t="s">
        <v>39753</v>
      </c>
      <c r="X9359" t="s">
        <v>40447</v>
      </c>
    </row>
    <row r="9360" spans="1:24">
      <c r="A9360">
        <f>HYPERLINK("https://www.philgeps.gov.ph/GEPSNONPILOT/Tender/SplashBidNoticeAbstractUI.aspx?menuIndex=3&amp;refID=7035122&amp;Result=3","7035122")</f>
        <v>0</v>
      </c>
      <c r="B9360" t="s">
        <v>346</v>
      </c>
      <c r="C9360" t="s">
        <v>12008</v>
      </c>
      <c r="D9360" t="s">
        <v>16217</v>
      </c>
      <c r="E9360" t="s">
        <v>24461</v>
      </c>
      <c r="F9360" t="s">
        <v>28198</v>
      </c>
      <c r="G9360" t="s">
        <v>28205</v>
      </c>
      <c r="H9360" t="s">
        <v>28214</v>
      </c>
      <c r="I9360" t="s">
        <v>3797</v>
      </c>
      <c r="J9360" t="s">
        <v>34186</v>
      </c>
      <c r="K9360" t="s">
        <v>36694</v>
      </c>
      <c r="M9360" t="s">
        <v>37325</v>
      </c>
      <c r="N9360" t="s">
        <v>40436</v>
      </c>
      <c r="O9360" t="s">
        <v>40437</v>
      </c>
      <c r="Q9360">
        <v>0</v>
      </c>
      <c r="R9360" t="s">
        <v>40446</v>
      </c>
      <c r="S9360" t="s">
        <v>40860</v>
      </c>
      <c r="T9360" t="s">
        <v>42168</v>
      </c>
      <c r="U9360" t="s">
        <v>50437</v>
      </c>
      <c r="W9360" t="s">
        <v>37325</v>
      </c>
      <c r="X9360" t="s">
        <v>40447</v>
      </c>
    </row>
    <row r="9361" spans="1:24">
      <c r="A9361">
        <f>HYPERLINK("https://www.philgeps.gov.ph/GEPSNONPILOT/Tender/SplashBidNoticeAbstractUI.aspx?menuIndex=3&amp;refID=7035132&amp;Result=3","7035132")</f>
        <v>0</v>
      </c>
      <c r="B9361" t="s">
        <v>2639</v>
      </c>
      <c r="C9361" t="s">
        <v>12009</v>
      </c>
      <c r="D9361" t="s">
        <v>16210</v>
      </c>
      <c r="E9361" t="s">
        <v>24462</v>
      </c>
      <c r="F9361" t="s">
        <v>28198</v>
      </c>
      <c r="G9361" t="s">
        <v>28205</v>
      </c>
      <c r="H9361" t="s">
        <v>28214</v>
      </c>
      <c r="I9361" t="s">
        <v>3797</v>
      </c>
      <c r="J9361" t="s">
        <v>34187</v>
      </c>
      <c r="K9361" t="s">
        <v>36697</v>
      </c>
      <c r="M9361" t="s">
        <v>39864</v>
      </c>
      <c r="N9361" t="s">
        <v>40436</v>
      </c>
      <c r="O9361" t="s">
        <v>40437</v>
      </c>
      <c r="P9361">
        <v>0</v>
      </c>
      <c r="Q9361">
        <v>15</v>
      </c>
      <c r="R9361" t="s">
        <v>40446</v>
      </c>
      <c r="S9361" t="s">
        <v>40783</v>
      </c>
      <c r="T9361" t="s">
        <v>42234</v>
      </c>
      <c r="U9361" t="s">
        <v>50438</v>
      </c>
      <c r="W9361" t="s">
        <v>39864</v>
      </c>
      <c r="X9361" t="s">
        <v>40447</v>
      </c>
    </row>
    <row r="9362" spans="1:24">
      <c r="A9362">
        <f>HYPERLINK("https://www.philgeps.gov.ph/GEPSNONPILOT/Tender/SplashBidNoticeAbstractUI.aspx?menuIndex=3&amp;refID=7035148&amp;Result=3","7035148")</f>
        <v>0</v>
      </c>
      <c r="B9362" t="s">
        <v>346</v>
      </c>
      <c r="C9362" t="s">
        <v>12010</v>
      </c>
      <c r="D9362" t="s">
        <v>16217</v>
      </c>
      <c r="E9362" t="s">
        <v>24463</v>
      </c>
      <c r="F9362" t="s">
        <v>28198</v>
      </c>
      <c r="G9362" t="s">
        <v>28205</v>
      </c>
      <c r="H9362" t="s">
        <v>28215</v>
      </c>
      <c r="I9362" t="s">
        <v>28219</v>
      </c>
      <c r="J9362" t="s">
        <v>34188</v>
      </c>
      <c r="K9362" t="s">
        <v>36701</v>
      </c>
      <c r="M9362" t="s">
        <v>37325</v>
      </c>
      <c r="N9362" t="s">
        <v>40436</v>
      </c>
      <c r="O9362" t="s">
        <v>40437</v>
      </c>
      <c r="Q9362">
        <v>1</v>
      </c>
      <c r="R9362" t="s">
        <v>40446</v>
      </c>
      <c r="S9362" t="s">
        <v>40861</v>
      </c>
      <c r="T9362" t="s">
        <v>42168</v>
      </c>
      <c r="U9362" t="s">
        <v>50439</v>
      </c>
      <c r="W9362" t="s">
        <v>37325</v>
      </c>
      <c r="X9362" t="s">
        <v>40447</v>
      </c>
    </row>
    <row r="9363" spans="1:24">
      <c r="A9363">
        <f>HYPERLINK("https://www.philgeps.gov.ph/GEPSNONPILOT/Tender/SplashBidNoticeAbstractUI.aspx?menuIndex=3&amp;refID=7035125&amp;Result=3","7035125")</f>
        <v>0</v>
      </c>
      <c r="B9363" t="s">
        <v>2639</v>
      </c>
      <c r="C9363" t="s">
        <v>12011</v>
      </c>
      <c r="D9363" t="s">
        <v>16210</v>
      </c>
      <c r="E9363" t="s">
        <v>24464</v>
      </c>
      <c r="F9363" t="s">
        <v>28198</v>
      </c>
      <c r="G9363" t="s">
        <v>28205</v>
      </c>
      <c r="H9363" t="s">
        <v>28214</v>
      </c>
      <c r="I9363" t="s">
        <v>3797</v>
      </c>
      <c r="J9363" t="s">
        <v>34189</v>
      </c>
      <c r="K9363" t="s">
        <v>36692</v>
      </c>
      <c r="M9363" t="s">
        <v>39864</v>
      </c>
      <c r="N9363" t="s">
        <v>40436</v>
      </c>
      <c r="O9363" t="s">
        <v>40437</v>
      </c>
      <c r="P9363">
        <v>0</v>
      </c>
      <c r="Q9363">
        <v>14</v>
      </c>
      <c r="R9363" t="s">
        <v>40446</v>
      </c>
      <c r="S9363" t="s">
        <v>40783</v>
      </c>
      <c r="T9363" t="s">
        <v>42234</v>
      </c>
      <c r="U9363" t="s">
        <v>50440</v>
      </c>
      <c r="W9363" t="s">
        <v>39864</v>
      </c>
      <c r="X9363" t="s">
        <v>40447</v>
      </c>
    </row>
    <row r="9364" spans="1:24">
      <c r="A9364">
        <f>HYPERLINK("https://www.philgeps.gov.ph/GEPSNONPILOT/Tender/SplashBidNoticeAbstractUI.aspx?menuIndex=3&amp;refID=7035156&amp;Result=3","7035156")</f>
        <v>0</v>
      </c>
      <c r="B9364" t="s">
        <v>2543</v>
      </c>
      <c r="C9364" t="s">
        <v>12012</v>
      </c>
      <c r="D9364" t="s">
        <v>16247</v>
      </c>
      <c r="E9364" t="s">
        <v>24465</v>
      </c>
      <c r="F9364" t="s">
        <v>28198</v>
      </c>
      <c r="G9364" t="s">
        <v>28205</v>
      </c>
      <c r="H9364" t="s">
        <v>28214</v>
      </c>
      <c r="I9364" t="s">
        <v>3797</v>
      </c>
      <c r="J9364" t="s">
        <v>28468</v>
      </c>
      <c r="K9364" t="s">
        <v>36692</v>
      </c>
      <c r="M9364" t="s">
        <v>39753</v>
      </c>
      <c r="N9364" t="s">
        <v>40436</v>
      </c>
      <c r="O9364" t="s">
        <v>40437</v>
      </c>
      <c r="P9364">
        <v>0</v>
      </c>
      <c r="Q9364">
        <v>3</v>
      </c>
      <c r="R9364" t="s">
        <v>40446</v>
      </c>
      <c r="S9364" t="s">
        <v>40783</v>
      </c>
      <c r="T9364" t="s">
        <v>42213</v>
      </c>
      <c r="U9364" t="s">
        <v>50048</v>
      </c>
      <c r="W9364" t="s">
        <v>39753</v>
      </c>
      <c r="X9364" t="s">
        <v>40447</v>
      </c>
    </row>
    <row r="9365" spans="1:24">
      <c r="A9365">
        <f>HYPERLINK("https://www.philgeps.gov.ph/GEPSNONPILOT/Tender/SplashBidNoticeAbstractUI.aspx?menuIndex=3&amp;refID=7035161&amp;Result=3","7035161")</f>
        <v>0</v>
      </c>
      <c r="B9365" t="s">
        <v>2105</v>
      </c>
      <c r="C9365" t="s">
        <v>12013</v>
      </c>
      <c r="D9365" t="s">
        <v>16217</v>
      </c>
      <c r="E9365" t="s">
        <v>24466</v>
      </c>
      <c r="F9365" t="s">
        <v>28198</v>
      </c>
      <c r="G9365" t="s">
        <v>28205</v>
      </c>
      <c r="H9365" t="s">
        <v>28215</v>
      </c>
      <c r="I9365" t="s">
        <v>28228</v>
      </c>
      <c r="J9365" t="s">
        <v>34190</v>
      </c>
      <c r="K9365" t="s">
        <v>36707</v>
      </c>
      <c r="L9365" t="s">
        <v>2105</v>
      </c>
      <c r="M9365" t="s">
        <v>39257</v>
      </c>
      <c r="N9365" t="s">
        <v>40436</v>
      </c>
      <c r="O9365" t="s">
        <v>40437</v>
      </c>
      <c r="Q9365">
        <v>0</v>
      </c>
      <c r="R9365" t="s">
        <v>40446</v>
      </c>
      <c r="S9365" t="s">
        <v>40862</v>
      </c>
      <c r="T9365" t="s">
        <v>42158</v>
      </c>
      <c r="U9365" t="s">
        <v>50441</v>
      </c>
      <c r="W9365" t="s">
        <v>39257</v>
      </c>
      <c r="X9365" t="s">
        <v>40447</v>
      </c>
    </row>
    <row r="9366" spans="1:24">
      <c r="A9366">
        <f>HYPERLINK("https://www.philgeps.gov.ph/GEPSNONPILOT/Tender/SplashBidNoticeAbstractUI.aspx?menuIndex=3&amp;refID=7035127&amp;Result=3","7035127")</f>
        <v>0</v>
      </c>
      <c r="B9366" t="s">
        <v>512</v>
      </c>
      <c r="C9366" t="s">
        <v>12014</v>
      </c>
      <c r="D9366" t="s">
        <v>16200</v>
      </c>
      <c r="E9366" t="s">
        <v>24467</v>
      </c>
      <c r="F9366" t="s">
        <v>28198</v>
      </c>
      <c r="G9366" t="s">
        <v>28205</v>
      </c>
      <c r="H9366" t="s">
        <v>28214</v>
      </c>
      <c r="I9366" t="s">
        <v>3797</v>
      </c>
      <c r="J9366" t="s">
        <v>29224</v>
      </c>
      <c r="K9366" t="s">
        <v>36692</v>
      </c>
      <c r="M9366" t="s">
        <v>37497</v>
      </c>
      <c r="N9366" t="s">
        <v>40436</v>
      </c>
      <c r="O9366" t="s">
        <v>40437</v>
      </c>
      <c r="P9366">
        <v>0</v>
      </c>
      <c r="Q9366">
        <v>2</v>
      </c>
      <c r="R9366" t="s">
        <v>40446</v>
      </c>
      <c r="S9366" t="s">
        <v>40783</v>
      </c>
      <c r="T9366" t="s">
        <v>42279</v>
      </c>
      <c r="U9366" t="s">
        <v>49162</v>
      </c>
      <c r="V9366" t="s">
        <v>54610</v>
      </c>
      <c r="W9366" t="s">
        <v>37497</v>
      </c>
      <c r="X9366" t="s">
        <v>40447</v>
      </c>
    </row>
    <row r="9367" spans="1:24">
      <c r="A9367">
        <f>HYPERLINK("https://www.philgeps.gov.ph/GEPSNONPILOT/Tender/SplashBidNoticeAbstractUI.aspx?menuIndex=3&amp;refID=7035197&amp;Result=3","7035197")</f>
        <v>0</v>
      </c>
      <c r="B9367" t="s">
        <v>943</v>
      </c>
      <c r="C9367" t="s">
        <v>12015</v>
      </c>
      <c r="D9367" t="s">
        <v>16193</v>
      </c>
      <c r="E9367" t="s">
        <v>24468</v>
      </c>
      <c r="F9367" t="s">
        <v>28198</v>
      </c>
      <c r="G9367" t="s">
        <v>28205</v>
      </c>
      <c r="H9367" t="s">
        <v>28214</v>
      </c>
      <c r="I9367" t="s">
        <v>3797</v>
      </c>
      <c r="J9367" t="s">
        <v>34191</v>
      </c>
      <c r="K9367" t="s">
        <v>36778</v>
      </c>
      <c r="M9367" t="s">
        <v>38717</v>
      </c>
      <c r="N9367" t="s">
        <v>40436</v>
      </c>
      <c r="O9367" t="s">
        <v>40437</v>
      </c>
      <c r="P9367">
        <v>0</v>
      </c>
      <c r="Q9367">
        <v>2</v>
      </c>
      <c r="R9367" t="s">
        <v>40446</v>
      </c>
      <c r="S9367" t="s">
        <v>40783</v>
      </c>
      <c r="T9367" t="s">
        <v>42188</v>
      </c>
      <c r="U9367" t="s">
        <v>50442</v>
      </c>
      <c r="W9367" t="s">
        <v>38717</v>
      </c>
      <c r="X9367" t="s">
        <v>40447</v>
      </c>
    </row>
    <row r="9368" spans="1:24">
      <c r="A9368">
        <f>HYPERLINK("https://www.philgeps.gov.ph/GEPSNONPILOT/Tender/SplashBidNoticeAbstractUI.aspx?menuIndex=3&amp;refID=7035164&amp;Result=3","7035164")</f>
        <v>0</v>
      </c>
      <c r="B9368" t="s">
        <v>2105</v>
      </c>
      <c r="C9368" t="s">
        <v>12016</v>
      </c>
      <c r="D9368" t="s">
        <v>16217</v>
      </c>
      <c r="E9368" t="s">
        <v>24469</v>
      </c>
      <c r="F9368" t="s">
        <v>28198</v>
      </c>
      <c r="G9368" t="s">
        <v>28205</v>
      </c>
      <c r="H9368" t="s">
        <v>28215</v>
      </c>
      <c r="I9368" t="s">
        <v>5100</v>
      </c>
      <c r="J9368" t="s">
        <v>34192</v>
      </c>
      <c r="K9368" t="s">
        <v>36707</v>
      </c>
      <c r="L9368" t="s">
        <v>2105</v>
      </c>
      <c r="M9368" t="s">
        <v>39257</v>
      </c>
      <c r="N9368" t="s">
        <v>40436</v>
      </c>
      <c r="O9368" t="s">
        <v>40437</v>
      </c>
      <c r="Q9368">
        <v>0</v>
      </c>
      <c r="R9368" t="s">
        <v>40446</v>
      </c>
      <c r="S9368" t="s">
        <v>40863</v>
      </c>
      <c r="T9368" t="s">
        <v>42158</v>
      </c>
      <c r="U9368" t="s">
        <v>50443</v>
      </c>
      <c r="W9368" t="s">
        <v>39257</v>
      </c>
      <c r="X9368" t="s">
        <v>40447</v>
      </c>
    </row>
    <row r="9369" spans="1:24">
      <c r="A9369">
        <f>HYPERLINK("https://www.philgeps.gov.ph/GEPSNONPILOT/Tender/SplashBidNoticeAbstractUI.aspx?menuIndex=3&amp;refID=7035158&amp;Result=3","7035158")</f>
        <v>0</v>
      </c>
      <c r="B9369" t="s">
        <v>2105</v>
      </c>
      <c r="C9369" t="s">
        <v>12017</v>
      </c>
      <c r="D9369" t="s">
        <v>16217</v>
      </c>
      <c r="E9369" t="s">
        <v>24470</v>
      </c>
      <c r="F9369" t="s">
        <v>28198</v>
      </c>
      <c r="G9369" t="s">
        <v>28205</v>
      </c>
      <c r="H9369" t="s">
        <v>28215</v>
      </c>
      <c r="I9369" t="s">
        <v>5100</v>
      </c>
      <c r="J9369" t="s">
        <v>34193</v>
      </c>
      <c r="K9369" t="s">
        <v>36707</v>
      </c>
      <c r="L9369" t="s">
        <v>2105</v>
      </c>
      <c r="M9369" t="s">
        <v>39257</v>
      </c>
      <c r="N9369" t="s">
        <v>40436</v>
      </c>
      <c r="O9369" t="s">
        <v>40437</v>
      </c>
      <c r="Q9369">
        <v>0</v>
      </c>
      <c r="R9369" t="s">
        <v>40446</v>
      </c>
      <c r="S9369" t="s">
        <v>40864</v>
      </c>
      <c r="T9369" t="s">
        <v>42158</v>
      </c>
      <c r="U9369" t="s">
        <v>50444</v>
      </c>
      <c r="W9369" t="s">
        <v>39257</v>
      </c>
      <c r="X9369" t="s">
        <v>40447</v>
      </c>
    </row>
    <row r="9370" spans="1:24">
      <c r="A9370">
        <f>HYPERLINK("https://www.philgeps.gov.ph/GEPSNONPILOT/Tender/SplashBidNoticeAbstractUI.aspx?menuIndex=3&amp;refID=7035195&amp;Result=3","7035195")</f>
        <v>0</v>
      </c>
      <c r="B9370" t="s">
        <v>2106</v>
      </c>
      <c r="C9370" t="s">
        <v>12018</v>
      </c>
      <c r="D9370" t="s">
        <v>16203</v>
      </c>
      <c r="E9370" t="s">
        <v>24471</v>
      </c>
      <c r="F9370" t="s">
        <v>28198</v>
      </c>
      <c r="G9370" t="s">
        <v>28205</v>
      </c>
      <c r="H9370" t="s">
        <v>28214</v>
      </c>
      <c r="I9370" t="s">
        <v>8870</v>
      </c>
      <c r="J9370" t="s">
        <v>34194</v>
      </c>
      <c r="K9370" t="s">
        <v>36697</v>
      </c>
      <c r="M9370" t="s">
        <v>39259</v>
      </c>
      <c r="N9370" t="s">
        <v>40436</v>
      </c>
      <c r="O9370" t="s">
        <v>40437</v>
      </c>
      <c r="P9370">
        <v>0</v>
      </c>
      <c r="Q9370">
        <v>2</v>
      </c>
      <c r="R9370" t="s">
        <v>40446</v>
      </c>
      <c r="S9370" t="s">
        <v>40783</v>
      </c>
      <c r="T9370" t="s">
        <v>42279</v>
      </c>
      <c r="U9370" t="s">
        <v>50445</v>
      </c>
      <c r="W9370" t="s">
        <v>39259</v>
      </c>
      <c r="X9370" t="s">
        <v>40447</v>
      </c>
    </row>
    <row r="9371" spans="1:24">
      <c r="A9371">
        <f>HYPERLINK("https://www.philgeps.gov.ph/GEPSNONPILOT/Tender/SplashBidNoticeAbstractUI.aspx?menuIndex=3&amp;refID=7035192&amp;Result=3","7035192")</f>
        <v>0</v>
      </c>
      <c r="B9371" t="s">
        <v>978</v>
      </c>
      <c r="C9371" t="s">
        <v>12019</v>
      </c>
      <c r="D9371" t="s">
        <v>16247</v>
      </c>
      <c r="E9371" t="s">
        <v>24472</v>
      </c>
      <c r="F9371" t="s">
        <v>28198</v>
      </c>
      <c r="G9371" t="s">
        <v>28208</v>
      </c>
      <c r="H9371" t="s">
        <v>28214</v>
      </c>
      <c r="I9371" t="s">
        <v>3797</v>
      </c>
      <c r="J9371" t="s">
        <v>34195</v>
      </c>
      <c r="K9371" t="s">
        <v>36690</v>
      </c>
      <c r="M9371" t="s">
        <v>38004</v>
      </c>
      <c r="N9371" t="s">
        <v>40436</v>
      </c>
      <c r="O9371" t="s">
        <v>40437</v>
      </c>
      <c r="P9371">
        <v>0</v>
      </c>
      <c r="Q9371">
        <v>22</v>
      </c>
      <c r="R9371" t="s">
        <v>40446</v>
      </c>
      <c r="S9371" t="s">
        <v>40783</v>
      </c>
      <c r="T9371" t="s">
        <v>42234</v>
      </c>
      <c r="U9371" t="s">
        <v>50446</v>
      </c>
      <c r="V9371" t="s">
        <v>54783</v>
      </c>
      <c r="W9371" t="s">
        <v>38004</v>
      </c>
      <c r="X9371" t="s">
        <v>40447</v>
      </c>
    </row>
    <row r="9372" spans="1:24">
      <c r="A9372">
        <f>HYPERLINK("https://www.philgeps.gov.ph/GEPSNONPILOT/Tender/SplashBidNoticeAbstractUI.aspx?menuIndex=3&amp;refID=7035202&amp;Result=3","7035202")</f>
        <v>0</v>
      </c>
      <c r="B9372" t="s">
        <v>943</v>
      </c>
      <c r="C9372" t="s">
        <v>12020</v>
      </c>
      <c r="D9372" t="s">
        <v>16193</v>
      </c>
      <c r="E9372" t="s">
        <v>24473</v>
      </c>
      <c r="F9372" t="s">
        <v>28198</v>
      </c>
      <c r="G9372" t="s">
        <v>28205</v>
      </c>
      <c r="H9372" t="s">
        <v>28214</v>
      </c>
      <c r="I9372" t="s">
        <v>3797</v>
      </c>
      <c r="J9372" t="s">
        <v>34196</v>
      </c>
      <c r="K9372" t="s">
        <v>36773</v>
      </c>
      <c r="M9372" t="s">
        <v>38717</v>
      </c>
      <c r="N9372" t="s">
        <v>40436</v>
      </c>
      <c r="O9372" t="s">
        <v>40437</v>
      </c>
      <c r="P9372">
        <v>0</v>
      </c>
      <c r="Q9372">
        <v>0</v>
      </c>
      <c r="R9372" t="s">
        <v>40446</v>
      </c>
      <c r="S9372" t="s">
        <v>40783</v>
      </c>
      <c r="T9372" t="s">
        <v>42188</v>
      </c>
      <c r="U9372" t="s">
        <v>50447</v>
      </c>
      <c r="W9372" t="s">
        <v>38717</v>
      </c>
      <c r="X9372" t="s">
        <v>40447</v>
      </c>
    </row>
    <row r="9373" spans="1:24">
      <c r="A9373">
        <f>HYPERLINK("https://www.philgeps.gov.ph/GEPSNONPILOT/Tender/SplashBidNoticeAbstractUI.aspx?menuIndex=3&amp;refID=7035189&amp;Result=3","7035189")</f>
        <v>0</v>
      </c>
      <c r="B9373" t="s">
        <v>943</v>
      </c>
      <c r="C9373" t="s">
        <v>12021</v>
      </c>
      <c r="D9373" t="s">
        <v>16193</v>
      </c>
      <c r="E9373" t="s">
        <v>24474</v>
      </c>
      <c r="F9373" t="s">
        <v>28198</v>
      </c>
      <c r="G9373" t="s">
        <v>28205</v>
      </c>
      <c r="H9373" t="s">
        <v>28214</v>
      </c>
      <c r="I9373" t="s">
        <v>3797</v>
      </c>
      <c r="J9373" t="s">
        <v>28351</v>
      </c>
      <c r="K9373" t="s">
        <v>36694</v>
      </c>
      <c r="M9373" t="s">
        <v>38717</v>
      </c>
      <c r="N9373" t="s">
        <v>40436</v>
      </c>
      <c r="O9373" t="s">
        <v>40437</v>
      </c>
      <c r="P9373">
        <v>0</v>
      </c>
      <c r="Q9373">
        <v>1</v>
      </c>
      <c r="R9373" t="s">
        <v>40446</v>
      </c>
      <c r="S9373" t="s">
        <v>40783</v>
      </c>
      <c r="T9373" t="s">
        <v>42188</v>
      </c>
      <c r="U9373" t="s">
        <v>50448</v>
      </c>
      <c r="W9373" t="s">
        <v>38717</v>
      </c>
      <c r="X9373" t="s">
        <v>40447</v>
      </c>
    </row>
    <row r="9374" spans="1:24">
      <c r="A9374">
        <f>HYPERLINK("https://www.philgeps.gov.ph/GEPSNONPILOT/Tender/SplashBidNoticeAbstractUI.aspx?menuIndex=3&amp;refID=7035186&amp;Result=3","7035186")</f>
        <v>0</v>
      </c>
      <c r="B9374" t="s">
        <v>2641</v>
      </c>
      <c r="C9374" t="s">
        <v>12022</v>
      </c>
      <c r="D9374" t="s">
        <v>16210</v>
      </c>
      <c r="E9374" t="s">
        <v>18192</v>
      </c>
      <c r="F9374" t="s">
        <v>28198</v>
      </c>
      <c r="G9374" t="s">
        <v>28205</v>
      </c>
      <c r="H9374" t="s">
        <v>28217</v>
      </c>
      <c r="I9374" t="s">
        <v>28239</v>
      </c>
      <c r="J9374" t="s">
        <v>31764</v>
      </c>
      <c r="K9374" t="s">
        <v>36687</v>
      </c>
      <c r="M9374" t="s">
        <v>39866</v>
      </c>
      <c r="N9374" t="s">
        <v>40436</v>
      </c>
      <c r="O9374" t="s">
        <v>40437</v>
      </c>
      <c r="P9374">
        <v>0</v>
      </c>
      <c r="Q9374">
        <v>5</v>
      </c>
      <c r="R9374" t="s">
        <v>40446</v>
      </c>
      <c r="S9374" t="s">
        <v>40783</v>
      </c>
      <c r="T9374" t="s">
        <v>42129</v>
      </c>
      <c r="U9374" t="s">
        <v>50449</v>
      </c>
      <c r="W9374" t="s">
        <v>39866</v>
      </c>
      <c r="X9374" t="s">
        <v>40447</v>
      </c>
    </row>
    <row r="9375" spans="1:24">
      <c r="A9375">
        <f>HYPERLINK("https://www.philgeps.gov.ph/GEPSNONPILOT/Tender/SplashBidNoticeAbstractUI.aspx?menuIndex=3&amp;refID=7035163&amp;Result=3","7035163")</f>
        <v>0</v>
      </c>
      <c r="B9375" t="s">
        <v>2105</v>
      </c>
      <c r="C9375" t="s">
        <v>12023</v>
      </c>
      <c r="D9375" t="s">
        <v>16217</v>
      </c>
      <c r="E9375" t="s">
        <v>24475</v>
      </c>
      <c r="F9375" t="s">
        <v>28198</v>
      </c>
      <c r="G9375" t="s">
        <v>28205</v>
      </c>
      <c r="H9375" t="s">
        <v>28215</v>
      </c>
      <c r="I9375" t="s">
        <v>5100</v>
      </c>
      <c r="J9375" t="s">
        <v>34197</v>
      </c>
      <c r="K9375" t="s">
        <v>36707</v>
      </c>
      <c r="L9375" t="s">
        <v>2105</v>
      </c>
      <c r="M9375" t="s">
        <v>39257</v>
      </c>
      <c r="N9375" t="s">
        <v>40436</v>
      </c>
      <c r="O9375" t="s">
        <v>40437</v>
      </c>
      <c r="Q9375">
        <v>0</v>
      </c>
      <c r="R9375" t="s">
        <v>40446</v>
      </c>
      <c r="S9375" t="s">
        <v>40863</v>
      </c>
      <c r="T9375" t="s">
        <v>42158</v>
      </c>
      <c r="U9375" t="s">
        <v>50450</v>
      </c>
      <c r="W9375" t="s">
        <v>39257</v>
      </c>
      <c r="X9375" t="s">
        <v>40447</v>
      </c>
    </row>
    <row r="9376" spans="1:24">
      <c r="A9376">
        <f>HYPERLINK("https://www.philgeps.gov.ph/GEPSNONPILOT/Tender/SplashBidNoticeAbstractUI.aspx?menuIndex=3&amp;refID=7035199&amp;Result=3","7035199")</f>
        <v>0</v>
      </c>
      <c r="B9376" t="s">
        <v>978</v>
      </c>
      <c r="C9376" t="s">
        <v>12024</v>
      </c>
      <c r="D9376" t="s">
        <v>16247</v>
      </c>
      <c r="E9376" t="s">
        <v>24476</v>
      </c>
      <c r="F9376" t="s">
        <v>28198</v>
      </c>
      <c r="G9376" t="s">
        <v>28208</v>
      </c>
      <c r="H9376" t="s">
        <v>28214</v>
      </c>
      <c r="I9376" t="s">
        <v>3797</v>
      </c>
      <c r="J9376" t="s">
        <v>34198</v>
      </c>
      <c r="K9376" t="s">
        <v>36690</v>
      </c>
      <c r="M9376" t="s">
        <v>38004</v>
      </c>
      <c r="N9376" t="s">
        <v>40436</v>
      </c>
      <c r="O9376" t="s">
        <v>40437</v>
      </c>
      <c r="P9376">
        <v>0</v>
      </c>
      <c r="Q9376">
        <v>23</v>
      </c>
      <c r="R9376" t="s">
        <v>40446</v>
      </c>
      <c r="S9376" t="s">
        <v>40783</v>
      </c>
      <c r="T9376" t="s">
        <v>42234</v>
      </c>
      <c r="U9376" t="s">
        <v>50451</v>
      </c>
      <c r="V9376" t="s">
        <v>54784</v>
      </c>
      <c r="W9376" t="s">
        <v>38004</v>
      </c>
      <c r="X9376" t="s">
        <v>40447</v>
      </c>
    </row>
    <row r="9377" spans="1:24">
      <c r="A9377">
        <f>HYPERLINK("https://www.philgeps.gov.ph/GEPSNONPILOT/Tender/SplashBidNoticeAbstractUI.aspx?menuIndex=3&amp;refID=7035183&amp;Result=3","7035183")</f>
        <v>0</v>
      </c>
      <c r="B9377" t="s">
        <v>943</v>
      </c>
      <c r="C9377" t="s">
        <v>12025</v>
      </c>
      <c r="D9377" t="s">
        <v>16193</v>
      </c>
      <c r="E9377" t="s">
        <v>24477</v>
      </c>
      <c r="F9377" t="s">
        <v>28198</v>
      </c>
      <c r="G9377" t="s">
        <v>28205</v>
      </c>
      <c r="H9377" t="s">
        <v>28214</v>
      </c>
      <c r="I9377" t="s">
        <v>3797</v>
      </c>
      <c r="J9377" t="s">
        <v>34199</v>
      </c>
      <c r="K9377" t="s">
        <v>36707</v>
      </c>
      <c r="M9377" t="s">
        <v>38717</v>
      </c>
      <c r="N9377" t="s">
        <v>40436</v>
      </c>
      <c r="O9377" t="s">
        <v>40437</v>
      </c>
      <c r="P9377">
        <v>0</v>
      </c>
      <c r="Q9377">
        <v>1</v>
      </c>
      <c r="R9377" t="s">
        <v>40446</v>
      </c>
      <c r="S9377" t="s">
        <v>40783</v>
      </c>
      <c r="T9377" t="s">
        <v>42188</v>
      </c>
      <c r="U9377" t="s">
        <v>50452</v>
      </c>
      <c r="W9377" t="s">
        <v>38717</v>
      </c>
      <c r="X9377" t="s">
        <v>40447</v>
      </c>
    </row>
    <row r="9378" spans="1:24">
      <c r="A9378">
        <f>HYPERLINK("https://www.philgeps.gov.ph/GEPSNONPILOT/Tender/SplashBidNoticeAbstractUI.aspx?menuIndex=3&amp;refID=7035191&amp;Result=3","7035191")</f>
        <v>0</v>
      </c>
      <c r="B9378" t="s">
        <v>2080</v>
      </c>
      <c r="C9378" t="s">
        <v>12026</v>
      </c>
      <c r="D9378" t="s">
        <v>16230</v>
      </c>
      <c r="E9378" t="s">
        <v>24478</v>
      </c>
      <c r="F9378" t="s">
        <v>28198</v>
      </c>
      <c r="G9378" t="s">
        <v>28205</v>
      </c>
      <c r="H9378" t="s">
        <v>28214</v>
      </c>
      <c r="I9378" t="s">
        <v>28245</v>
      </c>
      <c r="J9378" t="s">
        <v>34200</v>
      </c>
      <c r="K9378" t="s">
        <v>36733</v>
      </c>
      <c r="M9378" t="s">
        <v>39242</v>
      </c>
      <c r="N9378" t="s">
        <v>40436</v>
      </c>
      <c r="O9378" t="s">
        <v>40437</v>
      </c>
      <c r="Q9378">
        <v>11</v>
      </c>
      <c r="R9378" t="s">
        <v>40446</v>
      </c>
      <c r="S9378" t="s">
        <v>40865</v>
      </c>
      <c r="T9378" t="s">
        <v>42346</v>
      </c>
      <c r="U9378" t="s">
        <v>50453</v>
      </c>
      <c r="W9378" t="s">
        <v>39242</v>
      </c>
      <c r="X9378" t="s">
        <v>40447</v>
      </c>
    </row>
    <row r="9379" spans="1:24">
      <c r="A9379">
        <f>HYPERLINK("https://www.philgeps.gov.ph/GEPSNONPILOT/Tender/SplashBidNoticeAbstractUI.aspx?menuIndex=3&amp;refID=7035208&amp;Result=3","7035208")</f>
        <v>0</v>
      </c>
      <c r="B9379" t="s">
        <v>978</v>
      </c>
      <c r="C9379" t="s">
        <v>12027</v>
      </c>
      <c r="D9379" t="s">
        <v>16247</v>
      </c>
      <c r="E9379" t="s">
        <v>24479</v>
      </c>
      <c r="F9379" t="s">
        <v>28198</v>
      </c>
      <c r="G9379" t="s">
        <v>28208</v>
      </c>
      <c r="H9379" t="s">
        <v>28214</v>
      </c>
      <c r="I9379" t="s">
        <v>3797</v>
      </c>
      <c r="J9379" t="s">
        <v>34201</v>
      </c>
      <c r="K9379" t="s">
        <v>36710</v>
      </c>
      <c r="M9379" t="s">
        <v>38004</v>
      </c>
      <c r="N9379" t="s">
        <v>40436</v>
      </c>
      <c r="O9379" t="s">
        <v>40437</v>
      </c>
      <c r="P9379">
        <v>0</v>
      </c>
      <c r="Q9379">
        <v>23</v>
      </c>
      <c r="R9379" t="s">
        <v>40446</v>
      </c>
      <c r="S9379" t="s">
        <v>40783</v>
      </c>
      <c r="T9379" t="s">
        <v>42234</v>
      </c>
      <c r="U9379" t="s">
        <v>50454</v>
      </c>
      <c r="V9379" t="s">
        <v>54785</v>
      </c>
      <c r="W9379" t="s">
        <v>38004</v>
      </c>
      <c r="X9379" t="s">
        <v>40447</v>
      </c>
    </row>
    <row r="9380" spans="1:24">
      <c r="A9380">
        <f>HYPERLINK("https://www.philgeps.gov.ph/GEPSNONPILOT/Tender/SplashBidNoticeAbstractUI.aspx?menuIndex=3&amp;refID=7035205&amp;Result=3","7035205")</f>
        <v>0</v>
      </c>
      <c r="B9380" t="s">
        <v>943</v>
      </c>
      <c r="C9380" t="s">
        <v>12028</v>
      </c>
      <c r="D9380" t="s">
        <v>16193</v>
      </c>
      <c r="E9380" t="s">
        <v>24480</v>
      </c>
      <c r="F9380" t="s">
        <v>28198</v>
      </c>
      <c r="G9380" t="s">
        <v>28205</v>
      </c>
      <c r="H9380" t="s">
        <v>28214</v>
      </c>
      <c r="I9380" t="s">
        <v>3797</v>
      </c>
      <c r="J9380" t="s">
        <v>34202</v>
      </c>
      <c r="K9380" t="s">
        <v>36773</v>
      </c>
      <c r="M9380" t="s">
        <v>38717</v>
      </c>
      <c r="N9380" t="s">
        <v>40436</v>
      </c>
      <c r="O9380" t="s">
        <v>40437</v>
      </c>
      <c r="P9380">
        <v>0</v>
      </c>
      <c r="Q9380">
        <v>1</v>
      </c>
      <c r="R9380" t="s">
        <v>40446</v>
      </c>
      <c r="S9380" t="s">
        <v>40783</v>
      </c>
      <c r="T9380" t="s">
        <v>42188</v>
      </c>
      <c r="U9380" t="s">
        <v>50447</v>
      </c>
      <c r="W9380" t="s">
        <v>38717</v>
      </c>
      <c r="X9380" t="s">
        <v>40447</v>
      </c>
    </row>
    <row r="9381" spans="1:24">
      <c r="A9381">
        <f>HYPERLINK("https://www.philgeps.gov.ph/GEPSNONPILOT/Tender/SplashBidNoticeAbstractUI.aspx?menuIndex=3&amp;refID=7035166&amp;Result=3","7035166")</f>
        <v>0</v>
      </c>
      <c r="B9381" t="s">
        <v>2642</v>
      </c>
      <c r="C9381" t="s">
        <v>12029</v>
      </c>
      <c r="D9381" t="s">
        <v>16260</v>
      </c>
      <c r="E9381" t="s">
        <v>24481</v>
      </c>
      <c r="F9381" t="s">
        <v>28198</v>
      </c>
      <c r="G9381" t="s">
        <v>28205</v>
      </c>
      <c r="H9381" t="s">
        <v>28215</v>
      </c>
      <c r="I9381" t="s">
        <v>5082</v>
      </c>
      <c r="J9381" t="s">
        <v>34203</v>
      </c>
      <c r="K9381" t="s">
        <v>36687</v>
      </c>
      <c r="M9381" t="s">
        <v>39867</v>
      </c>
      <c r="N9381" t="s">
        <v>40436</v>
      </c>
      <c r="O9381" t="s">
        <v>40437</v>
      </c>
      <c r="P9381">
        <v>0</v>
      </c>
      <c r="Q9381">
        <v>0</v>
      </c>
      <c r="R9381" t="s">
        <v>40446</v>
      </c>
      <c r="S9381" t="s">
        <v>40783</v>
      </c>
      <c r="T9381" t="s">
        <v>42109</v>
      </c>
      <c r="U9381" t="s">
        <v>50455</v>
      </c>
      <c r="V9381" t="s">
        <v>54786</v>
      </c>
      <c r="W9381" t="s">
        <v>39867</v>
      </c>
      <c r="X9381" t="s">
        <v>40447</v>
      </c>
    </row>
    <row r="9382" spans="1:24">
      <c r="A9382">
        <f>HYPERLINK("https://www.philgeps.gov.ph/GEPSNONPILOT/Tender/SplashBidNoticeAbstractUI.aspx?menuIndex=3&amp;refID=7035203&amp;Result=3","7035203")</f>
        <v>0</v>
      </c>
      <c r="B9382" t="s">
        <v>978</v>
      </c>
      <c r="C9382" t="s">
        <v>12030</v>
      </c>
      <c r="D9382" t="s">
        <v>16247</v>
      </c>
      <c r="E9382" t="s">
        <v>24482</v>
      </c>
      <c r="F9382" t="s">
        <v>28198</v>
      </c>
      <c r="G9382" t="s">
        <v>28208</v>
      </c>
      <c r="H9382" t="s">
        <v>28214</v>
      </c>
      <c r="I9382" t="s">
        <v>3797</v>
      </c>
      <c r="J9382" t="s">
        <v>34204</v>
      </c>
      <c r="K9382" t="s">
        <v>36735</v>
      </c>
      <c r="M9382" t="s">
        <v>38004</v>
      </c>
      <c r="N9382" t="s">
        <v>40436</v>
      </c>
      <c r="O9382" t="s">
        <v>40437</v>
      </c>
      <c r="P9382">
        <v>0</v>
      </c>
      <c r="Q9382">
        <v>22</v>
      </c>
      <c r="R9382" t="s">
        <v>40446</v>
      </c>
      <c r="S9382" t="s">
        <v>40783</v>
      </c>
      <c r="T9382" t="s">
        <v>42234</v>
      </c>
      <c r="U9382" t="s">
        <v>50456</v>
      </c>
      <c r="V9382" t="s">
        <v>54787</v>
      </c>
      <c r="W9382" t="s">
        <v>38004</v>
      </c>
      <c r="X9382" t="s">
        <v>40447</v>
      </c>
    </row>
    <row r="9383" spans="1:24">
      <c r="A9383">
        <f>HYPERLINK("https://www.philgeps.gov.ph/GEPSNONPILOT/Tender/SplashBidNoticeAbstractUI.aspx?menuIndex=3&amp;refID=7035210&amp;Result=3","7035210")</f>
        <v>0</v>
      </c>
      <c r="B9383" t="s">
        <v>360</v>
      </c>
      <c r="C9383" t="s">
        <v>12031</v>
      </c>
      <c r="D9383" t="s">
        <v>16210</v>
      </c>
      <c r="E9383" t="s">
        <v>24483</v>
      </c>
      <c r="F9383" t="s">
        <v>28198</v>
      </c>
      <c r="G9383" t="s">
        <v>28207</v>
      </c>
      <c r="H9383" t="s">
        <v>28216</v>
      </c>
      <c r="I9383" t="s">
        <v>28216</v>
      </c>
      <c r="J9383" t="s">
        <v>28415</v>
      </c>
      <c r="K9383" t="s">
        <v>36689</v>
      </c>
      <c r="M9383" t="s">
        <v>38588</v>
      </c>
      <c r="N9383" t="s">
        <v>40436</v>
      </c>
      <c r="O9383" t="s">
        <v>40437</v>
      </c>
      <c r="Q9383">
        <v>4</v>
      </c>
      <c r="R9383" t="s">
        <v>40446</v>
      </c>
      <c r="S9383" t="s">
        <v>40866</v>
      </c>
      <c r="T9383" t="s">
        <v>42169</v>
      </c>
      <c r="U9383" t="s">
        <v>50457</v>
      </c>
      <c r="V9383" t="s">
        <v>54788</v>
      </c>
      <c r="W9383" t="s">
        <v>38588</v>
      </c>
      <c r="X9383" t="s">
        <v>40447</v>
      </c>
    </row>
    <row r="9384" spans="1:24">
      <c r="A9384">
        <f>HYPERLINK("https://www.philgeps.gov.ph/GEPSNONPILOT/Tender/SplashBidNoticeAbstractUI.aspx?menuIndex=3&amp;refID=7035206&amp;Result=3","7035206")</f>
        <v>0</v>
      </c>
      <c r="B9384" t="s">
        <v>978</v>
      </c>
      <c r="C9384" t="s">
        <v>12032</v>
      </c>
      <c r="D9384" t="s">
        <v>16247</v>
      </c>
      <c r="E9384" t="s">
        <v>24484</v>
      </c>
      <c r="F9384" t="s">
        <v>28198</v>
      </c>
      <c r="G9384" t="s">
        <v>28208</v>
      </c>
      <c r="H9384" t="s">
        <v>28214</v>
      </c>
      <c r="I9384" t="s">
        <v>3797</v>
      </c>
      <c r="J9384" t="s">
        <v>34205</v>
      </c>
      <c r="K9384" t="s">
        <v>36710</v>
      </c>
      <c r="M9384" t="s">
        <v>38004</v>
      </c>
      <c r="N9384" t="s">
        <v>40436</v>
      </c>
      <c r="O9384" t="s">
        <v>40437</v>
      </c>
      <c r="P9384">
        <v>0</v>
      </c>
      <c r="Q9384">
        <v>22</v>
      </c>
      <c r="R9384" t="s">
        <v>40446</v>
      </c>
      <c r="S9384" t="s">
        <v>40783</v>
      </c>
      <c r="T9384" t="s">
        <v>42234</v>
      </c>
      <c r="U9384" t="s">
        <v>50458</v>
      </c>
      <c r="V9384" t="s">
        <v>54789</v>
      </c>
      <c r="W9384" t="s">
        <v>38004</v>
      </c>
      <c r="X9384" t="s">
        <v>40447</v>
      </c>
    </row>
    <row r="9385" spans="1:24">
      <c r="A9385">
        <f>HYPERLINK("https://www.philgeps.gov.ph/GEPSNONPILOT/Tender/SplashBidNoticeAbstractUI.aspx?menuIndex=3&amp;refID=7035212&amp;Result=3","7035212")</f>
        <v>0</v>
      </c>
      <c r="B9385" t="s">
        <v>978</v>
      </c>
      <c r="C9385" t="s">
        <v>12033</v>
      </c>
      <c r="D9385" t="s">
        <v>16247</v>
      </c>
      <c r="E9385" t="s">
        <v>24485</v>
      </c>
      <c r="F9385" t="s">
        <v>28198</v>
      </c>
      <c r="G9385" t="s">
        <v>28208</v>
      </c>
      <c r="H9385" t="s">
        <v>28214</v>
      </c>
      <c r="I9385" t="s">
        <v>3797</v>
      </c>
      <c r="J9385" t="s">
        <v>34206</v>
      </c>
      <c r="K9385" t="s">
        <v>36735</v>
      </c>
      <c r="M9385" t="s">
        <v>38004</v>
      </c>
      <c r="N9385" t="s">
        <v>40436</v>
      </c>
      <c r="O9385" t="s">
        <v>40437</v>
      </c>
      <c r="P9385">
        <v>0</v>
      </c>
      <c r="Q9385">
        <v>15</v>
      </c>
      <c r="R9385" t="s">
        <v>40446</v>
      </c>
      <c r="S9385" t="s">
        <v>40783</v>
      </c>
      <c r="T9385" t="s">
        <v>42234</v>
      </c>
      <c r="U9385" t="s">
        <v>50459</v>
      </c>
      <c r="V9385" t="s">
        <v>54790</v>
      </c>
      <c r="W9385" t="s">
        <v>38004</v>
      </c>
      <c r="X9385" t="s">
        <v>40447</v>
      </c>
    </row>
    <row r="9386" spans="1:24">
      <c r="A9386">
        <f>HYPERLINK("https://www.philgeps.gov.ph/GEPSNONPILOT/Tender/SplashBidNoticeAbstractUI.aspx?menuIndex=3&amp;refID=7035222&amp;Result=3","7035222")</f>
        <v>0</v>
      </c>
      <c r="B9386" t="s">
        <v>978</v>
      </c>
      <c r="C9386" t="s">
        <v>12034</v>
      </c>
      <c r="D9386" t="s">
        <v>16247</v>
      </c>
      <c r="E9386" t="s">
        <v>24486</v>
      </c>
      <c r="F9386" t="s">
        <v>28198</v>
      </c>
      <c r="G9386" t="s">
        <v>28208</v>
      </c>
      <c r="H9386" t="s">
        <v>28214</v>
      </c>
      <c r="I9386" t="s">
        <v>3797</v>
      </c>
      <c r="J9386" t="s">
        <v>34207</v>
      </c>
      <c r="K9386" t="s">
        <v>36690</v>
      </c>
      <c r="M9386" t="s">
        <v>38004</v>
      </c>
      <c r="N9386" t="s">
        <v>40436</v>
      </c>
      <c r="O9386" t="s">
        <v>40437</v>
      </c>
      <c r="P9386">
        <v>0</v>
      </c>
      <c r="Q9386">
        <v>19</v>
      </c>
      <c r="R9386" t="s">
        <v>40446</v>
      </c>
      <c r="S9386" t="s">
        <v>40783</v>
      </c>
      <c r="T9386" t="s">
        <v>42234</v>
      </c>
      <c r="U9386" t="s">
        <v>50460</v>
      </c>
      <c r="V9386" t="s">
        <v>54791</v>
      </c>
      <c r="W9386" t="s">
        <v>38004</v>
      </c>
      <c r="X9386" t="s">
        <v>40447</v>
      </c>
    </row>
    <row r="9387" spans="1:24">
      <c r="A9387">
        <f>HYPERLINK("https://www.philgeps.gov.ph/GEPSNONPILOT/Tender/SplashBidNoticeAbstractUI.aspx?menuIndex=3&amp;refID=7035219&amp;Result=3","7035219")</f>
        <v>0</v>
      </c>
      <c r="B9387" t="s">
        <v>2642</v>
      </c>
      <c r="C9387" t="s">
        <v>12035</v>
      </c>
      <c r="D9387" t="s">
        <v>16260</v>
      </c>
      <c r="E9387" t="s">
        <v>24487</v>
      </c>
      <c r="F9387" t="s">
        <v>28198</v>
      </c>
      <c r="G9387" t="s">
        <v>28205</v>
      </c>
      <c r="H9387" t="s">
        <v>28215</v>
      </c>
      <c r="I9387" t="s">
        <v>28222</v>
      </c>
      <c r="J9387" t="s">
        <v>30496</v>
      </c>
      <c r="K9387" t="s">
        <v>36707</v>
      </c>
      <c r="M9387" t="s">
        <v>39867</v>
      </c>
      <c r="N9387" t="s">
        <v>40436</v>
      </c>
      <c r="O9387" t="s">
        <v>40437</v>
      </c>
      <c r="P9387">
        <v>0</v>
      </c>
      <c r="Q9387">
        <v>2</v>
      </c>
      <c r="R9387" t="s">
        <v>40446</v>
      </c>
      <c r="S9387" t="s">
        <v>40783</v>
      </c>
      <c r="T9387" t="s">
        <v>42109</v>
      </c>
      <c r="U9387" t="s">
        <v>50461</v>
      </c>
      <c r="V9387" t="s">
        <v>54786</v>
      </c>
      <c r="W9387" t="s">
        <v>39867</v>
      </c>
      <c r="X9387" t="s">
        <v>40447</v>
      </c>
    </row>
    <row r="9388" spans="1:24">
      <c r="A9388">
        <f>HYPERLINK("https://www.philgeps.gov.ph/GEPSNONPILOT/Tender/SplashBidNoticeAbstractUI.aspx?menuIndex=3&amp;refID=7035247&amp;Result=3","7035247")</f>
        <v>0</v>
      </c>
      <c r="B9388" t="s">
        <v>593</v>
      </c>
      <c r="C9388" t="s">
        <v>12036</v>
      </c>
      <c r="E9388" t="s">
        <v>24488</v>
      </c>
      <c r="F9388" t="s">
        <v>28198</v>
      </c>
      <c r="G9388" t="s">
        <v>28205</v>
      </c>
      <c r="H9388" t="s">
        <v>28214</v>
      </c>
      <c r="I9388" t="s">
        <v>3797</v>
      </c>
      <c r="J9388" t="s">
        <v>32323</v>
      </c>
      <c r="K9388" t="s">
        <v>36692</v>
      </c>
      <c r="M9388" t="s">
        <v>39621</v>
      </c>
      <c r="N9388" t="s">
        <v>40436</v>
      </c>
      <c r="O9388" t="s">
        <v>40437</v>
      </c>
      <c r="P9388">
        <v>0</v>
      </c>
      <c r="Q9388">
        <v>0</v>
      </c>
      <c r="R9388" t="s">
        <v>40446</v>
      </c>
      <c r="S9388" t="s">
        <v>40783</v>
      </c>
      <c r="T9388" t="s">
        <v>42168</v>
      </c>
      <c r="U9388" t="s">
        <v>50462</v>
      </c>
      <c r="V9388" t="s">
        <v>54655</v>
      </c>
      <c r="W9388" t="s">
        <v>39621</v>
      </c>
      <c r="X9388" t="s">
        <v>40447</v>
      </c>
    </row>
    <row r="9389" spans="1:24">
      <c r="A9389">
        <f>HYPERLINK("https://www.philgeps.gov.ph/GEPSNONPILOT/Tender/SplashBidNoticeAbstractUI.aspx?menuIndex=3&amp;refID=7035235&amp;Result=3","7035235")</f>
        <v>0</v>
      </c>
      <c r="B9389" t="s">
        <v>593</v>
      </c>
      <c r="C9389" t="s">
        <v>12037</v>
      </c>
      <c r="E9389" t="s">
        <v>24489</v>
      </c>
      <c r="F9389" t="s">
        <v>28198</v>
      </c>
      <c r="G9389" t="s">
        <v>28205</v>
      </c>
      <c r="H9389" t="s">
        <v>28214</v>
      </c>
      <c r="I9389" t="s">
        <v>3797</v>
      </c>
      <c r="J9389" t="s">
        <v>32342</v>
      </c>
      <c r="K9389" t="s">
        <v>36692</v>
      </c>
      <c r="M9389" t="s">
        <v>39621</v>
      </c>
      <c r="N9389" t="s">
        <v>40436</v>
      </c>
      <c r="O9389" t="s">
        <v>40437</v>
      </c>
      <c r="P9389">
        <v>0</v>
      </c>
      <c r="Q9389">
        <v>0</v>
      </c>
      <c r="R9389" t="s">
        <v>40446</v>
      </c>
      <c r="S9389" t="s">
        <v>40783</v>
      </c>
      <c r="T9389" t="s">
        <v>42168</v>
      </c>
      <c r="U9389" t="s">
        <v>50462</v>
      </c>
      <c r="V9389" t="s">
        <v>54655</v>
      </c>
      <c r="W9389" t="s">
        <v>39621</v>
      </c>
      <c r="X9389" t="s">
        <v>40447</v>
      </c>
    </row>
    <row r="9390" spans="1:24">
      <c r="A9390">
        <f>HYPERLINK("https://www.philgeps.gov.ph/GEPSNONPILOT/Tender/SplashBidNoticeAbstractUI.aspx?menuIndex=3&amp;refID=7035217&amp;Result=3","7035217")</f>
        <v>0</v>
      </c>
      <c r="B9390" t="s">
        <v>978</v>
      </c>
      <c r="C9390" t="s">
        <v>12038</v>
      </c>
      <c r="D9390" t="s">
        <v>16247</v>
      </c>
      <c r="E9390" t="s">
        <v>24490</v>
      </c>
      <c r="F9390" t="s">
        <v>28198</v>
      </c>
      <c r="G9390" t="s">
        <v>28208</v>
      </c>
      <c r="H9390" t="s">
        <v>28214</v>
      </c>
      <c r="I9390" t="s">
        <v>3797</v>
      </c>
      <c r="J9390" t="s">
        <v>34208</v>
      </c>
      <c r="K9390" t="s">
        <v>36735</v>
      </c>
      <c r="M9390" t="s">
        <v>38004</v>
      </c>
      <c r="N9390" t="s">
        <v>40436</v>
      </c>
      <c r="O9390" t="s">
        <v>40437</v>
      </c>
      <c r="P9390">
        <v>0</v>
      </c>
      <c r="Q9390">
        <v>14</v>
      </c>
      <c r="R9390" t="s">
        <v>40446</v>
      </c>
      <c r="S9390" t="s">
        <v>40783</v>
      </c>
      <c r="T9390" t="s">
        <v>42234</v>
      </c>
      <c r="U9390" t="s">
        <v>50463</v>
      </c>
      <c r="V9390" t="s">
        <v>54792</v>
      </c>
      <c r="W9390" t="s">
        <v>38004</v>
      </c>
      <c r="X9390" t="s">
        <v>40447</v>
      </c>
    </row>
    <row r="9391" spans="1:24">
      <c r="A9391">
        <f>HYPERLINK("https://www.philgeps.gov.ph/GEPSNONPILOT/Tender/SplashBidNoticeAbstractUI.aspx?menuIndex=3&amp;refID=7035238&amp;Result=3","7035238")</f>
        <v>0</v>
      </c>
      <c r="B9391" t="s">
        <v>593</v>
      </c>
      <c r="C9391" t="s">
        <v>12039</v>
      </c>
      <c r="E9391" t="s">
        <v>24491</v>
      </c>
      <c r="F9391" t="s">
        <v>28198</v>
      </c>
      <c r="G9391" t="s">
        <v>28205</v>
      </c>
      <c r="H9391" t="s">
        <v>28214</v>
      </c>
      <c r="I9391" t="s">
        <v>3797</v>
      </c>
      <c r="J9391" t="s">
        <v>34209</v>
      </c>
      <c r="K9391" t="s">
        <v>36690</v>
      </c>
      <c r="M9391" t="s">
        <v>39621</v>
      </c>
      <c r="N9391" t="s">
        <v>40436</v>
      </c>
      <c r="O9391" t="s">
        <v>40437</v>
      </c>
      <c r="P9391">
        <v>0</v>
      </c>
      <c r="Q9391">
        <v>2</v>
      </c>
      <c r="R9391" t="s">
        <v>40446</v>
      </c>
      <c r="S9391" t="s">
        <v>40783</v>
      </c>
      <c r="T9391" t="s">
        <v>42168</v>
      </c>
      <c r="U9391" t="s">
        <v>50462</v>
      </c>
      <c r="V9391" t="s">
        <v>54655</v>
      </c>
      <c r="W9391" t="s">
        <v>39621</v>
      </c>
      <c r="X9391" t="s">
        <v>40447</v>
      </c>
    </row>
    <row r="9392" spans="1:24">
      <c r="A9392">
        <f>HYPERLINK("https://www.philgeps.gov.ph/GEPSNONPILOT/Tender/SplashBidNoticeAbstractUI.aspx?menuIndex=3&amp;refID=7035243&amp;Result=3","7035243")</f>
        <v>0</v>
      </c>
      <c r="B9392" t="s">
        <v>593</v>
      </c>
      <c r="C9392" t="s">
        <v>12040</v>
      </c>
      <c r="E9392" t="s">
        <v>24492</v>
      </c>
      <c r="F9392" t="s">
        <v>28198</v>
      </c>
      <c r="G9392" t="s">
        <v>28205</v>
      </c>
      <c r="H9392" t="s">
        <v>28214</v>
      </c>
      <c r="I9392" t="s">
        <v>3797</v>
      </c>
      <c r="J9392" t="s">
        <v>32342</v>
      </c>
      <c r="K9392" t="s">
        <v>36717</v>
      </c>
      <c r="M9392" t="s">
        <v>39621</v>
      </c>
      <c r="N9392" t="s">
        <v>40436</v>
      </c>
      <c r="O9392" t="s">
        <v>40437</v>
      </c>
      <c r="P9392">
        <v>0</v>
      </c>
      <c r="Q9392">
        <v>0</v>
      </c>
      <c r="R9392" t="s">
        <v>40446</v>
      </c>
      <c r="S9392" t="s">
        <v>40783</v>
      </c>
      <c r="T9392" t="s">
        <v>42168</v>
      </c>
      <c r="U9392" t="s">
        <v>50462</v>
      </c>
      <c r="V9392" t="s">
        <v>54655</v>
      </c>
      <c r="W9392" t="s">
        <v>39621</v>
      </c>
      <c r="X9392" t="s">
        <v>40447</v>
      </c>
    </row>
    <row r="9393" spans="1:24">
      <c r="A9393">
        <f>HYPERLINK("https://www.philgeps.gov.ph/GEPSNONPILOT/Tender/SplashBidNoticeAbstractUI.aspx?menuIndex=3&amp;refID=7035227&amp;Result=3","7035227")</f>
        <v>0</v>
      </c>
      <c r="B9393" t="s">
        <v>978</v>
      </c>
      <c r="C9393" t="s">
        <v>12041</v>
      </c>
      <c r="D9393" t="s">
        <v>16247</v>
      </c>
      <c r="E9393" t="s">
        <v>24493</v>
      </c>
      <c r="F9393" t="s">
        <v>28198</v>
      </c>
      <c r="G9393" t="s">
        <v>28208</v>
      </c>
      <c r="H9393" t="s">
        <v>28214</v>
      </c>
      <c r="I9393" t="s">
        <v>3797</v>
      </c>
      <c r="J9393" t="s">
        <v>34210</v>
      </c>
      <c r="K9393" t="s">
        <v>36710</v>
      </c>
      <c r="M9393" t="s">
        <v>38004</v>
      </c>
      <c r="N9393" t="s">
        <v>40436</v>
      </c>
      <c r="O9393" t="s">
        <v>40437</v>
      </c>
      <c r="P9393">
        <v>0</v>
      </c>
      <c r="Q9393">
        <v>19</v>
      </c>
      <c r="R9393" t="s">
        <v>40446</v>
      </c>
      <c r="S9393" t="s">
        <v>40783</v>
      </c>
      <c r="T9393" t="s">
        <v>42234</v>
      </c>
      <c r="U9393" t="s">
        <v>50464</v>
      </c>
      <c r="V9393" t="s">
        <v>54793</v>
      </c>
      <c r="W9393" t="s">
        <v>38004</v>
      </c>
      <c r="X9393" t="s">
        <v>40447</v>
      </c>
    </row>
    <row r="9394" spans="1:24">
      <c r="A9394">
        <f>HYPERLINK("https://www.philgeps.gov.ph/GEPSNONPILOT/Tender/SplashBidNoticeAbstractUI.aspx?menuIndex=3&amp;refID=7035213&amp;Result=3","7035213")</f>
        <v>0</v>
      </c>
      <c r="B9394" t="s">
        <v>2643</v>
      </c>
      <c r="C9394" t="s">
        <v>12042</v>
      </c>
      <c r="D9394" t="s">
        <v>16200</v>
      </c>
      <c r="E9394" t="s">
        <v>23263</v>
      </c>
      <c r="F9394" t="s">
        <v>28198</v>
      </c>
      <c r="G9394" t="s">
        <v>28205</v>
      </c>
      <c r="H9394" t="s">
        <v>28214</v>
      </c>
      <c r="I9394" t="s">
        <v>8870</v>
      </c>
      <c r="J9394" t="s">
        <v>28345</v>
      </c>
      <c r="K9394" t="s">
        <v>36707</v>
      </c>
      <c r="M9394" t="s">
        <v>39868</v>
      </c>
      <c r="N9394" t="s">
        <v>40436</v>
      </c>
      <c r="O9394" t="s">
        <v>40437</v>
      </c>
      <c r="P9394">
        <v>0</v>
      </c>
      <c r="Q9394">
        <v>0</v>
      </c>
      <c r="R9394" t="s">
        <v>40446</v>
      </c>
      <c r="S9394" t="s">
        <v>40783</v>
      </c>
      <c r="T9394" t="s">
        <v>42279</v>
      </c>
      <c r="U9394" t="s">
        <v>50465</v>
      </c>
      <c r="W9394" t="s">
        <v>39868</v>
      </c>
      <c r="X9394" t="s">
        <v>40447</v>
      </c>
    </row>
    <row r="9395" spans="1:24">
      <c r="A9395">
        <f>HYPERLINK("https://www.philgeps.gov.ph/GEPSNONPILOT/Tender/SplashBidNoticeAbstractUI.aspx?menuIndex=3&amp;refID=7035226&amp;Result=3","7035226")</f>
        <v>0</v>
      </c>
      <c r="B9395" t="s">
        <v>2641</v>
      </c>
      <c r="C9395" t="s">
        <v>12043</v>
      </c>
      <c r="D9395" t="s">
        <v>16210</v>
      </c>
      <c r="E9395" t="s">
        <v>18192</v>
      </c>
      <c r="F9395" t="s">
        <v>28198</v>
      </c>
      <c r="G9395" t="s">
        <v>28205</v>
      </c>
      <c r="H9395" t="s">
        <v>28215</v>
      </c>
      <c r="I9395" t="s">
        <v>4200</v>
      </c>
      <c r="J9395" t="s">
        <v>28858</v>
      </c>
      <c r="K9395" t="s">
        <v>36707</v>
      </c>
      <c r="M9395" t="s">
        <v>39866</v>
      </c>
      <c r="N9395" t="s">
        <v>40436</v>
      </c>
      <c r="O9395" t="s">
        <v>40437</v>
      </c>
      <c r="P9395">
        <v>0</v>
      </c>
      <c r="Q9395">
        <v>0</v>
      </c>
      <c r="R9395" t="s">
        <v>40446</v>
      </c>
      <c r="S9395" t="s">
        <v>40783</v>
      </c>
      <c r="T9395" t="s">
        <v>42176</v>
      </c>
      <c r="U9395" t="s">
        <v>50466</v>
      </c>
      <c r="W9395" t="s">
        <v>39866</v>
      </c>
      <c r="X9395" t="s">
        <v>40447</v>
      </c>
    </row>
    <row r="9396" spans="1:24">
      <c r="A9396">
        <f>HYPERLINK("https://www.philgeps.gov.ph/GEPSNONPILOT/Tender/SplashBidNoticeAbstractUI.aspx?menuIndex=3&amp;refID=7035214&amp;Result=3","7035214")</f>
        <v>0</v>
      </c>
      <c r="B9396" t="s">
        <v>978</v>
      </c>
      <c r="C9396" t="s">
        <v>12044</v>
      </c>
      <c r="D9396" t="s">
        <v>16247</v>
      </c>
      <c r="E9396" t="s">
        <v>24494</v>
      </c>
      <c r="F9396" t="s">
        <v>28198</v>
      </c>
      <c r="G9396" t="s">
        <v>28208</v>
      </c>
      <c r="H9396" t="s">
        <v>28214</v>
      </c>
      <c r="I9396" t="s">
        <v>3797</v>
      </c>
      <c r="J9396" t="s">
        <v>34211</v>
      </c>
      <c r="K9396" t="s">
        <v>36833</v>
      </c>
      <c r="M9396" t="s">
        <v>38004</v>
      </c>
      <c r="N9396" t="s">
        <v>40436</v>
      </c>
      <c r="O9396" t="s">
        <v>40437</v>
      </c>
      <c r="P9396">
        <v>0</v>
      </c>
      <c r="Q9396">
        <v>18</v>
      </c>
      <c r="R9396" t="s">
        <v>40446</v>
      </c>
      <c r="S9396" t="s">
        <v>40783</v>
      </c>
      <c r="T9396" t="s">
        <v>42234</v>
      </c>
      <c r="U9396" t="s">
        <v>50467</v>
      </c>
      <c r="V9396" t="s">
        <v>54794</v>
      </c>
      <c r="W9396" t="s">
        <v>38004</v>
      </c>
      <c r="X9396" t="s">
        <v>40447</v>
      </c>
    </row>
    <row r="9397" spans="1:24">
      <c r="A9397">
        <f>HYPERLINK("https://www.philgeps.gov.ph/GEPSNONPILOT/Tender/SplashBidNoticeAbstractUI.aspx?menuIndex=3&amp;refID=7035263&amp;Result=3","7035263")</f>
        <v>0</v>
      </c>
      <c r="B9397" t="s">
        <v>571</v>
      </c>
      <c r="C9397" t="s">
        <v>12045</v>
      </c>
      <c r="D9397" t="s">
        <v>16210</v>
      </c>
      <c r="E9397" t="s">
        <v>24495</v>
      </c>
      <c r="F9397" t="s">
        <v>28198</v>
      </c>
      <c r="G9397" t="s">
        <v>28205</v>
      </c>
      <c r="H9397" t="s">
        <v>28215</v>
      </c>
      <c r="I9397" t="s">
        <v>28220</v>
      </c>
      <c r="J9397" t="s">
        <v>28699</v>
      </c>
      <c r="K9397" t="s">
        <v>36697</v>
      </c>
      <c r="M9397" t="s">
        <v>38664</v>
      </c>
      <c r="N9397" t="s">
        <v>40436</v>
      </c>
      <c r="O9397" t="s">
        <v>40437</v>
      </c>
      <c r="P9397">
        <v>0</v>
      </c>
      <c r="Q9397">
        <v>19</v>
      </c>
      <c r="R9397" t="s">
        <v>40446</v>
      </c>
      <c r="S9397" t="s">
        <v>40783</v>
      </c>
      <c r="T9397" t="s">
        <v>42341</v>
      </c>
      <c r="U9397" t="s">
        <v>50468</v>
      </c>
      <c r="W9397" t="s">
        <v>38664</v>
      </c>
      <c r="X9397" t="s">
        <v>40447</v>
      </c>
    </row>
    <row r="9398" spans="1:24">
      <c r="A9398">
        <f>HYPERLINK("https://www.philgeps.gov.ph/GEPSNONPILOT/Tender/SplashBidNoticeAbstractUI.aspx?menuIndex=3&amp;refID=7035255&amp;Result=3","7035255")</f>
        <v>0</v>
      </c>
      <c r="B9398" t="s">
        <v>2642</v>
      </c>
      <c r="C9398" t="s">
        <v>12046</v>
      </c>
      <c r="D9398" t="s">
        <v>16260</v>
      </c>
      <c r="E9398" t="s">
        <v>24496</v>
      </c>
      <c r="F9398" t="s">
        <v>28198</v>
      </c>
      <c r="G9398" t="s">
        <v>28205</v>
      </c>
      <c r="H9398" t="s">
        <v>28215</v>
      </c>
      <c r="I9398" t="s">
        <v>28222</v>
      </c>
      <c r="J9398" t="s">
        <v>28818</v>
      </c>
      <c r="K9398" t="s">
        <v>36707</v>
      </c>
      <c r="M9398" t="s">
        <v>39867</v>
      </c>
      <c r="N9398" t="s">
        <v>40436</v>
      </c>
      <c r="O9398" t="s">
        <v>40437</v>
      </c>
      <c r="P9398">
        <v>0</v>
      </c>
      <c r="Q9398">
        <v>1</v>
      </c>
      <c r="R9398" t="s">
        <v>40446</v>
      </c>
      <c r="S9398" t="s">
        <v>40783</v>
      </c>
      <c r="T9398" t="s">
        <v>42109</v>
      </c>
      <c r="U9398" t="s">
        <v>50469</v>
      </c>
      <c r="V9398" t="s">
        <v>54786</v>
      </c>
      <c r="W9398" t="s">
        <v>39867</v>
      </c>
      <c r="X9398" t="s">
        <v>40447</v>
      </c>
    </row>
    <row r="9399" spans="1:24">
      <c r="A9399">
        <f>HYPERLINK("https://www.philgeps.gov.ph/GEPSNONPILOT/Tender/SplashBidNoticeAbstractUI.aspx?menuIndex=3&amp;refID=7035252&amp;Result=3","7035252")</f>
        <v>0</v>
      </c>
      <c r="B9399" t="s">
        <v>2644</v>
      </c>
      <c r="C9399" t="s">
        <v>12047</v>
      </c>
      <c r="D9399" t="s">
        <v>16206</v>
      </c>
      <c r="E9399" t="s">
        <v>21542</v>
      </c>
      <c r="F9399" t="s">
        <v>28198</v>
      </c>
      <c r="G9399" t="s">
        <v>28207</v>
      </c>
      <c r="H9399" t="s">
        <v>28215</v>
      </c>
      <c r="I9399" t="s">
        <v>8888</v>
      </c>
      <c r="J9399" t="s">
        <v>29120</v>
      </c>
      <c r="K9399" t="s">
        <v>36688</v>
      </c>
      <c r="M9399" t="s">
        <v>39869</v>
      </c>
      <c r="N9399" t="s">
        <v>40436</v>
      </c>
      <c r="O9399" t="s">
        <v>40437</v>
      </c>
      <c r="P9399">
        <v>0</v>
      </c>
      <c r="Q9399">
        <v>0</v>
      </c>
      <c r="R9399" t="s">
        <v>40446</v>
      </c>
      <c r="S9399" t="s">
        <v>40783</v>
      </c>
      <c r="T9399" t="s">
        <v>42169</v>
      </c>
      <c r="U9399" t="s">
        <v>50470</v>
      </c>
      <c r="W9399" t="s">
        <v>55524</v>
      </c>
      <c r="X9399" t="s">
        <v>40447</v>
      </c>
    </row>
    <row r="9400" spans="1:24">
      <c r="A9400">
        <f>HYPERLINK("https://www.philgeps.gov.ph/GEPSNONPILOT/Tender/SplashBidNoticeAbstractUI.aspx?menuIndex=3&amp;refID=7035224&amp;Result=3","7035224")</f>
        <v>0</v>
      </c>
      <c r="B9400" t="s">
        <v>978</v>
      </c>
      <c r="C9400" t="s">
        <v>12048</v>
      </c>
      <c r="D9400" t="s">
        <v>16247</v>
      </c>
      <c r="E9400" t="s">
        <v>24497</v>
      </c>
      <c r="F9400" t="s">
        <v>28198</v>
      </c>
      <c r="G9400" t="s">
        <v>28208</v>
      </c>
      <c r="H9400" t="s">
        <v>28214</v>
      </c>
      <c r="I9400" t="s">
        <v>3797</v>
      </c>
      <c r="J9400" t="s">
        <v>34212</v>
      </c>
      <c r="K9400" t="s">
        <v>36690</v>
      </c>
      <c r="M9400" t="s">
        <v>38004</v>
      </c>
      <c r="N9400" t="s">
        <v>40436</v>
      </c>
      <c r="O9400" t="s">
        <v>40437</v>
      </c>
      <c r="P9400">
        <v>0</v>
      </c>
      <c r="Q9400">
        <v>19</v>
      </c>
      <c r="R9400" t="s">
        <v>40446</v>
      </c>
      <c r="S9400" t="s">
        <v>40783</v>
      </c>
      <c r="T9400" t="s">
        <v>42234</v>
      </c>
      <c r="U9400" t="s">
        <v>50471</v>
      </c>
      <c r="V9400" t="s">
        <v>54795</v>
      </c>
      <c r="W9400" t="s">
        <v>38004</v>
      </c>
      <c r="X9400" t="s">
        <v>40447</v>
      </c>
    </row>
    <row r="9401" spans="1:24">
      <c r="A9401">
        <f>HYPERLINK("https://www.philgeps.gov.ph/GEPSNONPILOT/Tender/SplashBidNoticeAbstractUI.aspx?menuIndex=3&amp;refID=7035251&amp;Result=3","7035251")</f>
        <v>0</v>
      </c>
      <c r="B9401" t="s">
        <v>593</v>
      </c>
      <c r="C9401" t="s">
        <v>12049</v>
      </c>
      <c r="E9401" t="s">
        <v>24498</v>
      </c>
      <c r="F9401" t="s">
        <v>28198</v>
      </c>
      <c r="G9401" t="s">
        <v>28205</v>
      </c>
      <c r="H9401" t="s">
        <v>28214</v>
      </c>
      <c r="I9401" t="s">
        <v>3797</v>
      </c>
      <c r="J9401" t="s">
        <v>29224</v>
      </c>
      <c r="K9401" t="s">
        <v>36692</v>
      </c>
      <c r="M9401" t="s">
        <v>39621</v>
      </c>
      <c r="N9401" t="s">
        <v>40436</v>
      </c>
      <c r="O9401" t="s">
        <v>40437</v>
      </c>
      <c r="P9401">
        <v>0</v>
      </c>
      <c r="Q9401">
        <v>0</v>
      </c>
      <c r="R9401" t="s">
        <v>40446</v>
      </c>
      <c r="S9401" t="s">
        <v>40783</v>
      </c>
      <c r="T9401" t="s">
        <v>42168</v>
      </c>
      <c r="U9401" t="s">
        <v>50462</v>
      </c>
      <c r="V9401" t="s">
        <v>54655</v>
      </c>
      <c r="W9401" t="s">
        <v>39621</v>
      </c>
      <c r="X9401" t="s">
        <v>40447</v>
      </c>
    </row>
    <row r="9402" spans="1:24">
      <c r="A9402">
        <f>HYPERLINK("https://www.philgeps.gov.ph/GEPSNONPILOT/Tender/SplashBidNoticeAbstractUI.aspx?menuIndex=3&amp;refID=7035258&amp;Result=3","7035258")</f>
        <v>0</v>
      </c>
      <c r="B9402" t="s">
        <v>2642</v>
      </c>
      <c r="C9402" t="s">
        <v>12050</v>
      </c>
      <c r="D9402" t="s">
        <v>16260</v>
      </c>
      <c r="E9402" t="s">
        <v>24499</v>
      </c>
      <c r="F9402" t="s">
        <v>28198</v>
      </c>
      <c r="G9402" t="s">
        <v>28205</v>
      </c>
      <c r="H9402" t="s">
        <v>28215</v>
      </c>
      <c r="I9402" t="s">
        <v>28222</v>
      </c>
      <c r="J9402" t="s">
        <v>28752</v>
      </c>
      <c r="K9402" t="s">
        <v>36707</v>
      </c>
      <c r="M9402" t="s">
        <v>39867</v>
      </c>
      <c r="N9402" t="s">
        <v>40436</v>
      </c>
      <c r="O9402" t="s">
        <v>40437</v>
      </c>
      <c r="P9402">
        <v>0</v>
      </c>
      <c r="Q9402">
        <v>3</v>
      </c>
      <c r="R9402" t="s">
        <v>40446</v>
      </c>
      <c r="S9402" t="s">
        <v>40783</v>
      </c>
      <c r="T9402" t="s">
        <v>42109</v>
      </c>
      <c r="U9402" t="s">
        <v>50472</v>
      </c>
      <c r="V9402" t="s">
        <v>54786</v>
      </c>
      <c r="W9402" t="s">
        <v>39867</v>
      </c>
      <c r="X9402" t="s">
        <v>40447</v>
      </c>
    </row>
    <row r="9403" spans="1:24">
      <c r="A9403">
        <f>HYPERLINK("https://www.philgeps.gov.ph/GEPSNONPILOT/Tender/SplashBidNoticeAbstractUI.aspx?menuIndex=3&amp;refID=7035260&amp;Result=3","7035260")</f>
        <v>0</v>
      </c>
      <c r="B9403" t="s">
        <v>571</v>
      </c>
      <c r="C9403" t="s">
        <v>12051</v>
      </c>
      <c r="D9403" t="s">
        <v>16210</v>
      </c>
      <c r="E9403" t="s">
        <v>24500</v>
      </c>
      <c r="F9403" t="s">
        <v>28198</v>
      </c>
      <c r="G9403" t="s">
        <v>28205</v>
      </c>
      <c r="H9403" t="s">
        <v>28215</v>
      </c>
      <c r="I9403" t="s">
        <v>28220</v>
      </c>
      <c r="J9403" t="s">
        <v>28730</v>
      </c>
      <c r="K9403" t="s">
        <v>36697</v>
      </c>
      <c r="M9403" t="s">
        <v>38664</v>
      </c>
      <c r="N9403" t="s">
        <v>40436</v>
      </c>
      <c r="O9403" t="s">
        <v>40437</v>
      </c>
      <c r="P9403">
        <v>0</v>
      </c>
      <c r="Q9403">
        <v>27</v>
      </c>
      <c r="R9403" t="s">
        <v>40446</v>
      </c>
      <c r="S9403" t="s">
        <v>40783</v>
      </c>
      <c r="T9403" t="s">
        <v>42234</v>
      </c>
      <c r="U9403" t="s">
        <v>50473</v>
      </c>
      <c r="W9403" t="s">
        <v>38664</v>
      </c>
      <c r="X9403" t="s">
        <v>40447</v>
      </c>
    </row>
    <row r="9404" spans="1:24">
      <c r="A9404">
        <f>HYPERLINK("https://www.philgeps.gov.ph/GEPSNONPILOT/Tender/SplashBidNoticeAbstractUI.aspx?menuIndex=3&amp;refID=7035268&amp;Result=3","7035268")</f>
        <v>0</v>
      </c>
      <c r="B9404" t="s">
        <v>2645</v>
      </c>
      <c r="C9404" t="s">
        <v>12052</v>
      </c>
      <c r="D9404" t="s">
        <v>16208</v>
      </c>
      <c r="E9404" t="s">
        <v>24501</v>
      </c>
      <c r="F9404" t="s">
        <v>28198</v>
      </c>
      <c r="G9404" t="s">
        <v>28205</v>
      </c>
      <c r="H9404" t="s">
        <v>28215</v>
      </c>
      <c r="I9404" t="s">
        <v>28220</v>
      </c>
      <c r="J9404" t="s">
        <v>28363</v>
      </c>
      <c r="K9404" t="s">
        <v>36715</v>
      </c>
      <c r="M9404" t="s">
        <v>39870</v>
      </c>
      <c r="N9404" t="s">
        <v>40436</v>
      </c>
      <c r="O9404" t="s">
        <v>40437</v>
      </c>
      <c r="Q9404">
        <v>16</v>
      </c>
      <c r="R9404" t="s">
        <v>40446</v>
      </c>
      <c r="S9404" t="s">
        <v>40867</v>
      </c>
      <c r="T9404" t="s">
        <v>42138</v>
      </c>
      <c r="U9404" t="s">
        <v>50474</v>
      </c>
      <c r="W9404" t="s">
        <v>39870</v>
      </c>
      <c r="X9404" t="s">
        <v>40447</v>
      </c>
    </row>
    <row r="9405" spans="1:24">
      <c r="A9405">
        <f>HYPERLINK("https://www.philgeps.gov.ph/GEPSNONPILOT/Tender/SplashBidNoticeAbstractUI.aspx?menuIndex=3&amp;refID=6929481&amp;Result=3","6929481")</f>
        <v>0</v>
      </c>
      <c r="B9405" t="s">
        <v>2480</v>
      </c>
      <c r="C9405" t="s">
        <v>12053</v>
      </c>
      <c r="D9405" t="s">
        <v>16210</v>
      </c>
      <c r="E9405" t="s">
        <v>24502</v>
      </c>
      <c r="F9405" t="s">
        <v>28198</v>
      </c>
      <c r="G9405" t="s">
        <v>28205</v>
      </c>
      <c r="H9405" t="s">
        <v>28215</v>
      </c>
      <c r="I9405" t="s">
        <v>4168</v>
      </c>
      <c r="J9405" t="s">
        <v>34213</v>
      </c>
      <c r="K9405" t="s">
        <v>36689</v>
      </c>
      <c r="M9405" t="s">
        <v>39679</v>
      </c>
      <c r="N9405" t="s">
        <v>40436</v>
      </c>
      <c r="O9405" t="s">
        <v>40437</v>
      </c>
      <c r="P9405">
        <v>0</v>
      </c>
      <c r="Q9405">
        <v>18</v>
      </c>
      <c r="R9405" t="s">
        <v>40447</v>
      </c>
      <c r="S9405" t="s">
        <v>40868</v>
      </c>
      <c r="T9405" t="s">
        <v>42542</v>
      </c>
      <c r="U9405" t="s">
        <v>50475</v>
      </c>
      <c r="W9405" t="s">
        <v>39679</v>
      </c>
      <c r="X9405" t="s">
        <v>40514</v>
      </c>
    </row>
    <row r="9406" spans="1:24">
      <c r="A9406">
        <f>HYPERLINK("https://www.philgeps.gov.ph/GEPSNONPILOT/Tender/SplashBidNoticeAbstractUI.aspx?menuIndex=3&amp;refID=7035254&amp;Result=3","7035254")</f>
        <v>0</v>
      </c>
      <c r="B9406" t="s">
        <v>593</v>
      </c>
      <c r="C9406" t="s">
        <v>12054</v>
      </c>
      <c r="E9406" t="s">
        <v>24503</v>
      </c>
      <c r="F9406" t="s">
        <v>28198</v>
      </c>
      <c r="G9406" t="s">
        <v>28205</v>
      </c>
      <c r="H9406" t="s">
        <v>28214</v>
      </c>
      <c r="I9406" t="s">
        <v>3797</v>
      </c>
      <c r="J9406" t="s">
        <v>29632</v>
      </c>
      <c r="K9406" t="s">
        <v>36694</v>
      </c>
      <c r="M9406" t="s">
        <v>39621</v>
      </c>
      <c r="N9406" t="s">
        <v>40436</v>
      </c>
      <c r="O9406" t="s">
        <v>40437</v>
      </c>
      <c r="Q9406">
        <v>0</v>
      </c>
      <c r="R9406" t="s">
        <v>40446</v>
      </c>
      <c r="S9406" t="s">
        <v>40869</v>
      </c>
      <c r="T9406" t="s">
        <v>42168</v>
      </c>
      <c r="U9406" t="s">
        <v>50462</v>
      </c>
      <c r="V9406" t="s">
        <v>54655</v>
      </c>
      <c r="W9406" t="s">
        <v>39621</v>
      </c>
      <c r="X9406" t="s">
        <v>40447</v>
      </c>
    </row>
    <row r="9407" spans="1:24">
      <c r="A9407">
        <f>HYPERLINK("https://www.philgeps.gov.ph/GEPSNONPILOT/Tender/SplashBidNoticeAbstractUI.aspx?menuIndex=3&amp;refID=6816667&amp;Result=3","6816667")</f>
        <v>0</v>
      </c>
      <c r="B9407" t="s">
        <v>439</v>
      </c>
      <c r="C9407" t="s">
        <v>12055</v>
      </c>
      <c r="D9407" t="s">
        <v>16213</v>
      </c>
      <c r="E9407" t="s">
        <v>24504</v>
      </c>
      <c r="F9407" t="s">
        <v>28198</v>
      </c>
      <c r="G9407" t="s">
        <v>28205</v>
      </c>
      <c r="H9407" t="s">
        <v>28214</v>
      </c>
      <c r="I9407" t="s">
        <v>28255</v>
      </c>
      <c r="J9407" t="s">
        <v>30991</v>
      </c>
      <c r="K9407" t="s">
        <v>36710</v>
      </c>
      <c r="M9407" t="s">
        <v>39871</v>
      </c>
      <c r="N9407" t="s">
        <v>40436</v>
      </c>
      <c r="O9407" t="s">
        <v>40437</v>
      </c>
      <c r="P9407">
        <v>0</v>
      </c>
      <c r="Q9407">
        <v>6</v>
      </c>
      <c r="R9407" t="s">
        <v>40447</v>
      </c>
      <c r="S9407" t="s">
        <v>40868</v>
      </c>
      <c r="T9407" t="s">
        <v>42292</v>
      </c>
      <c r="U9407" t="s">
        <v>50476</v>
      </c>
      <c r="V9407" t="s">
        <v>54796</v>
      </c>
      <c r="W9407" t="s">
        <v>39871</v>
      </c>
      <c r="X9407" t="s">
        <v>40542</v>
      </c>
    </row>
    <row r="9408" spans="1:24">
      <c r="A9408">
        <f>HYPERLINK("https://www.philgeps.gov.ph/GEPSNONPILOT/Tender/SplashBidNoticeAbstractUI.aspx?menuIndex=3&amp;refID=7009126&amp;Result=3","7009126")</f>
        <v>0</v>
      </c>
      <c r="B9408" t="s">
        <v>2646</v>
      </c>
      <c r="C9408" t="s">
        <v>12056</v>
      </c>
      <c r="D9408" t="s">
        <v>16260</v>
      </c>
      <c r="E9408" t="s">
        <v>24505</v>
      </c>
      <c r="F9408" t="s">
        <v>28198</v>
      </c>
      <c r="G9408" t="s">
        <v>28205</v>
      </c>
      <c r="H9408" t="s">
        <v>28214</v>
      </c>
      <c r="I9408" t="s">
        <v>3797</v>
      </c>
      <c r="J9408" t="s">
        <v>34214</v>
      </c>
      <c r="K9408" t="s">
        <v>36709</v>
      </c>
      <c r="M9408" t="s">
        <v>39872</v>
      </c>
      <c r="N9408" t="s">
        <v>40436</v>
      </c>
      <c r="O9408" t="s">
        <v>40437</v>
      </c>
      <c r="P9408">
        <v>0</v>
      </c>
      <c r="Q9408">
        <v>0</v>
      </c>
      <c r="R9408" t="s">
        <v>40447</v>
      </c>
      <c r="S9408" t="s">
        <v>40868</v>
      </c>
      <c r="T9408" t="s">
        <v>42319</v>
      </c>
      <c r="U9408" t="s">
        <v>50477</v>
      </c>
      <c r="V9408" t="s">
        <v>54797</v>
      </c>
      <c r="W9408" t="s">
        <v>39872</v>
      </c>
      <c r="X9408" t="s">
        <v>40466</v>
      </c>
    </row>
    <row r="9409" spans="1:24">
      <c r="A9409">
        <f>HYPERLINK("https://www.philgeps.gov.ph/GEPSNONPILOT/Tender/SplashBidNoticeAbstractUI.aspx?menuIndex=3&amp;refID=7018907&amp;Result=3","7018907")</f>
        <v>0</v>
      </c>
      <c r="B9409" t="s">
        <v>1673</v>
      </c>
      <c r="C9409" t="s">
        <v>12057</v>
      </c>
      <c r="D9409" t="s">
        <v>16251</v>
      </c>
      <c r="E9409" t="s">
        <v>24506</v>
      </c>
      <c r="F9409" t="s">
        <v>28198</v>
      </c>
      <c r="G9409" t="s">
        <v>28205</v>
      </c>
      <c r="H9409" t="s">
        <v>28214</v>
      </c>
      <c r="I9409" t="s">
        <v>3797</v>
      </c>
      <c r="J9409" t="s">
        <v>34215</v>
      </c>
      <c r="K9409" t="s">
        <v>36777</v>
      </c>
      <c r="M9409" t="s">
        <v>38768</v>
      </c>
      <c r="N9409" t="s">
        <v>40436</v>
      </c>
      <c r="O9409" t="s">
        <v>40437</v>
      </c>
      <c r="P9409">
        <v>0</v>
      </c>
      <c r="Q9409">
        <v>2</v>
      </c>
      <c r="R9409" t="s">
        <v>40447</v>
      </c>
      <c r="S9409" t="s">
        <v>40868</v>
      </c>
      <c r="T9409" t="s">
        <v>42424</v>
      </c>
      <c r="U9409" t="s">
        <v>50478</v>
      </c>
      <c r="W9409" t="s">
        <v>38768</v>
      </c>
      <c r="X9409" t="s">
        <v>40455</v>
      </c>
    </row>
    <row r="9410" spans="1:24">
      <c r="A9410">
        <f>HYPERLINK("https://www.philgeps.gov.ph/GEPSNONPILOT/Tender/SplashBidNoticeAbstractUI.aspx?menuIndex=3&amp;refID=7019094&amp;Result=3","7019094")</f>
        <v>0</v>
      </c>
      <c r="B9410" t="s">
        <v>2647</v>
      </c>
      <c r="C9410" t="s">
        <v>12058</v>
      </c>
      <c r="D9410" t="s">
        <v>16246</v>
      </c>
      <c r="E9410" t="s">
        <v>24507</v>
      </c>
      <c r="F9410" t="s">
        <v>28198</v>
      </c>
      <c r="G9410" t="s">
        <v>28205</v>
      </c>
      <c r="H9410" t="s">
        <v>28215</v>
      </c>
      <c r="I9410" t="s">
        <v>4168</v>
      </c>
      <c r="J9410" t="s">
        <v>34213</v>
      </c>
      <c r="K9410" t="s">
        <v>36701</v>
      </c>
      <c r="M9410" t="s">
        <v>39873</v>
      </c>
      <c r="N9410" t="s">
        <v>40436</v>
      </c>
      <c r="O9410" t="s">
        <v>40437</v>
      </c>
      <c r="P9410">
        <v>0</v>
      </c>
      <c r="Q9410">
        <v>7</v>
      </c>
      <c r="R9410" t="s">
        <v>40447</v>
      </c>
      <c r="S9410" t="s">
        <v>40868</v>
      </c>
      <c r="T9410" t="s">
        <v>42543</v>
      </c>
      <c r="U9410" t="s">
        <v>50479</v>
      </c>
      <c r="W9410" t="s">
        <v>39873</v>
      </c>
      <c r="X9410" t="s">
        <v>40455</v>
      </c>
    </row>
    <row r="9411" spans="1:24">
      <c r="A9411">
        <f>HYPERLINK("https://www.philgeps.gov.ph/GEPSNONPILOT/Tender/SplashBidNoticeAbstractUI.aspx?menuIndex=3&amp;refID=7018901&amp;Result=3","7018901")</f>
        <v>0</v>
      </c>
      <c r="B9411" t="s">
        <v>1673</v>
      </c>
      <c r="C9411" t="s">
        <v>12059</v>
      </c>
      <c r="D9411" t="s">
        <v>16251</v>
      </c>
      <c r="E9411" t="s">
        <v>24508</v>
      </c>
      <c r="F9411" t="s">
        <v>28198</v>
      </c>
      <c r="G9411" t="s">
        <v>28205</v>
      </c>
      <c r="H9411" t="s">
        <v>28214</v>
      </c>
      <c r="I9411" t="s">
        <v>3797</v>
      </c>
      <c r="J9411" t="s">
        <v>34216</v>
      </c>
      <c r="K9411" t="s">
        <v>36692</v>
      </c>
      <c r="M9411" t="s">
        <v>38768</v>
      </c>
      <c r="N9411" t="s">
        <v>40436</v>
      </c>
      <c r="O9411" t="s">
        <v>40437</v>
      </c>
      <c r="P9411">
        <v>0</v>
      </c>
      <c r="Q9411">
        <v>2</v>
      </c>
      <c r="R9411" t="s">
        <v>40447</v>
      </c>
      <c r="S9411" t="s">
        <v>40868</v>
      </c>
      <c r="T9411" t="s">
        <v>42424</v>
      </c>
      <c r="U9411" t="s">
        <v>50480</v>
      </c>
      <c r="W9411" t="s">
        <v>38768</v>
      </c>
      <c r="X9411" t="s">
        <v>40455</v>
      </c>
    </row>
    <row r="9412" spans="1:24">
      <c r="A9412">
        <f>HYPERLINK("https://www.philgeps.gov.ph/GEPSNONPILOT/Tender/SplashBidNoticeAbstractUI.aspx?menuIndex=3&amp;refID=7009153&amp;Result=3","7009153")</f>
        <v>0</v>
      </c>
      <c r="B9412" t="s">
        <v>2646</v>
      </c>
      <c r="C9412" t="s">
        <v>12060</v>
      </c>
      <c r="D9412" t="s">
        <v>16260</v>
      </c>
      <c r="E9412" t="s">
        <v>24509</v>
      </c>
      <c r="F9412" t="s">
        <v>28198</v>
      </c>
      <c r="G9412" t="s">
        <v>28205</v>
      </c>
      <c r="H9412" t="s">
        <v>28214</v>
      </c>
      <c r="I9412" t="s">
        <v>3797</v>
      </c>
      <c r="J9412" t="s">
        <v>28818</v>
      </c>
      <c r="K9412" t="s">
        <v>36787</v>
      </c>
      <c r="M9412" t="s">
        <v>39872</v>
      </c>
      <c r="N9412" t="s">
        <v>40436</v>
      </c>
      <c r="O9412" t="s">
        <v>40437</v>
      </c>
      <c r="P9412">
        <v>0</v>
      </c>
      <c r="Q9412">
        <v>0</v>
      </c>
      <c r="R9412" t="s">
        <v>40447</v>
      </c>
      <c r="S9412" t="s">
        <v>40868</v>
      </c>
      <c r="T9412" t="s">
        <v>42319</v>
      </c>
      <c r="U9412" t="s">
        <v>50481</v>
      </c>
      <c r="V9412" t="s">
        <v>54797</v>
      </c>
      <c r="W9412" t="s">
        <v>39872</v>
      </c>
      <c r="X9412" t="s">
        <v>40466</v>
      </c>
    </row>
    <row r="9413" spans="1:24">
      <c r="A9413">
        <f>HYPERLINK("https://www.philgeps.gov.ph/GEPSNONPILOT/Tender/SplashBidNoticeAbstractUI.aspx?menuIndex=3&amp;refID=7035272&amp;Result=3","7035272")</f>
        <v>0</v>
      </c>
      <c r="B9413" t="s">
        <v>2645</v>
      </c>
      <c r="C9413" t="s">
        <v>12061</v>
      </c>
      <c r="D9413" t="s">
        <v>16208</v>
      </c>
      <c r="E9413" t="s">
        <v>24510</v>
      </c>
      <c r="F9413" t="s">
        <v>28198</v>
      </c>
      <c r="G9413" t="s">
        <v>28205</v>
      </c>
      <c r="H9413" t="s">
        <v>28215</v>
      </c>
      <c r="I9413" t="s">
        <v>6051</v>
      </c>
      <c r="J9413" t="s">
        <v>28351</v>
      </c>
      <c r="K9413" t="s">
        <v>36694</v>
      </c>
      <c r="M9413" t="s">
        <v>39870</v>
      </c>
      <c r="N9413" t="s">
        <v>40436</v>
      </c>
      <c r="O9413" t="s">
        <v>40437</v>
      </c>
      <c r="Q9413">
        <v>5</v>
      </c>
      <c r="R9413" t="s">
        <v>40446</v>
      </c>
      <c r="S9413" t="s">
        <v>40870</v>
      </c>
      <c r="T9413" t="s">
        <v>42138</v>
      </c>
      <c r="U9413" t="s">
        <v>50482</v>
      </c>
      <c r="W9413" t="s">
        <v>39870</v>
      </c>
      <c r="X9413" t="s">
        <v>40447</v>
      </c>
    </row>
    <row r="9414" spans="1:24">
      <c r="A9414">
        <f>HYPERLINK("https://www.philgeps.gov.ph/GEPSNONPILOT/Tender/SplashBidNoticeAbstractUI.aspx?menuIndex=3&amp;refID=7024379&amp;Result=3","7024379")</f>
        <v>0</v>
      </c>
      <c r="B9414" t="s">
        <v>545</v>
      </c>
      <c r="C9414" t="s">
        <v>12062</v>
      </c>
      <c r="D9414" t="s">
        <v>16224</v>
      </c>
      <c r="E9414" t="s">
        <v>24511</v>
      </c>
      <c r="F9414" t="s">
        <v>28198</v>
      </c>
      <c r="G9414" t="s">
        <v>28205</v>
      </c>
      <c r="H9414" t="s">
        <v>28215</v>
      </c>
      <c r="I9414" t="s">
        <v>5791</v>
      </c>
      <c r="J9414" t="s">
        <v>34217</v>
      </c>
      <c r="K9414" t="s">
        <v>36689</v>
      </c>
      <c r="M9414" t="s">
        <v>37531</v>
      </c>
      <c r="N9414" t="s">
        <v>40436</v>
      </c>
      <c r="O9414" t="s">
        <v>40437</v>
      </c>
      <c r="Q9414">
        <v>4</v>
      </c>
      <c r="R9414" t="s">
        <v>40447</v>
      </c>
      <c r="S9414" t="s">
        <v>40871</v>
      </c>
      <c r="T9414" t="s">
        <v>42279</v>
      </c>
      <c r="U9414" t="s">
        <v>50483</v>
      </c>
      <c r="V9414" t="s">
        <v>54798</v>
      </c>
      <c r="W9414" t="s">
        <v>37531</v>
      </c>
      <c r="X9414" t="s">
        <v>40452</v>
      </c>
    </row>
    <row r="9415" spans="1:24">
      <c r="A9415">
        <f>HYPERLINK("https://www.philgeps.gov.ph/GEPSNONPILOT/Tender/SplashBidNoticeAbstractUI.aspx?menuIndex=3&amp;refID=7019084&amp;Result=3","7019084")</f>
        <v>0</v>
      </c>
      <c r="B9415" t="s">
        <v>2647</v>
      </c>
      <c r="C9415" t="s">
        <v>12063</v>
      </c>
      <c r="D9415" t="s">
        <v>16246</v>
      </c>
      <c r="E9415" t="s">
        <v>24512</v>
      </c>
      <c r="F9415" t="s">
        <v>28198</v>
      </c>
      <c r="G9415" t="s">
        <v>28205</v>
      </c>
      <c r="H9415" t="s">
        <v>28215</v>
      </c>
      <c r="I9415" t="s">
        <v>28234</v>
      </c>
      <c r="J9415" t="s">
        <v>34218</v>
      </c>
      <c r="K9415" t="s">
        <v>36701</v>
      </c>
      <c r="M9415" t="s">
        <v>39873</v>
      </c>
      <c r="N9415" t="s">
        <v>40436</v>
      </c>
      <c r="O9415" t="s">
        <v>40437</v>
      </c>
      <c r="P9415">
        <v>0</v>
      </c>
      <c r="Q9415">
        <v>8</v>
      </c>
      <c r="R9415" t="s">
        <v>40447</v>
      </c>
      <c r="S9415" t="s">
        <v>40868</v>
      </c>
      <c r="T9415" t="s">
        <v>42543</v>
      </c>
      <c r="U9415" t="s">
        <v>50484</v>
      </c>
      <c r="W9415" t="s">
        <v>39873</v>
      </c>
      <c r="X9415" t="s">
        <v>40455</v>
      </c>
    </row>
    <row r="9416" spans="1:24">
      <c r="A9416">
        <f>HYPERLINK("https://www.philgeps.gov.ph/GEPSNONPILOT/Tender/SplashBidNoticeAbstractUI.aspx?menuIndex=3&amp;refID=7016830&amp;Result=3","7016830")</f>
        <v>0</v>
      </c>
      <c r="B9416" t="s">
        <v>2109</v>
      </c>
      <c r="C9416" t="s">
        <v>12064</v>
      </c>
      <c r="D9416" t="s">
        <v>16195</v>
      </c>
      <c r="E9416" t="s">
        <v>24513</v>
      </c>
      <c r="F9416" t="s">
        <v>28198</v>
      </c>
      <c r="G9416" t="s">
        <v>28205</v>
      </c>
      <c r="H9416" t="s">
        <v>28215</v>
      </c>
      <c r="I9416" t="s">
        <v>28256</v>
      </c>
      <c r="J9416" t="s">
        <v>30484</v>
      </c>
      <c r="K9416" t="s">
        <v>36688</v>
      </c>
      <c r="M9416" t="s">
        <v>39263</v>
      </c>
      <c r="N9416" t="s">
        <v>40436</v>
      </c>
      <c r="O9416" t="s">
        <v>40437</v>
      </c>
      <c r="Q9416">
        <v>21</v>
      </c>
      <c r="R9416" t="s">
        <v>40447</v>
      </c>
      <c r="S9416" t="s">
        <v>40872</v>
      </c>
      <c r="T9416" t="s">
        <v>42346</v>
      </c>
      <c r="U9416" t="s">
        <v>50485</v>
      </c>
      <c r="W9416" t="s">
        <v>39263</v>
      </c>
      <c r="X9416" t="s">
        <v>40457</v>
      </c>
    </row>
    <row r="9417" spans="1:24">
      <c r="A9417">
        <f>HYPERLINK("https://www.philgeps.gov.ph/GEPSNONPILOT/Tender/SplashBidNoticeAbstractUI.aspx?menuIndex=3&amp;refID=7024140&amp;Result=3","7024140")</f>
        <v>0</v>
      </c>
      <c r="B9417" t="s">
        <v>1673</v>
      </c>
      <c r="C9417" t="s">
        <v>12065</v>
      </c>
      <c r="D9417" t="s">
        <v>16251</v>
      </c>
      <c r="E9417" t="s">
        <v>24514</v>
      </c>
      <c r="F9417" t="s">
        <v>28198</v>
      </c>
      <c r="G9417" t="s">
        <v>28205</v>
      </c>
      <c r="H9417" t="s">
        <v>28215</v>
      </c>
      <c r="I9417" t="s">
        <v>8888</v>
      </c>
      <c r="J9417" t="s">
        <v>34219</v>
      </c>
      <c r="K9417" t="s">
        <v>36701</v>
      </c>
      <c r="M9417" t="s">
        <v>38768</v>
      </c>
      <c r="N9417" t="s">
        <v>40436</v>
      </c>
      <c r="O9417" t="s">
        <v>40437</v>
      </c>
      <c r="P9417">
        <v>0</v>
      </c>
      <c r="Q9417">
        <v>2</v>
      </c>
      <c r="R9417" t="s">
        <v>40447</v>
      </c>
      <c r="S9417" t="s">
        <v>40868</v>
      </c>
      <c r="T9417" t="s">
        <v>42424</v>
      </c>
      <c r="U9417" t="s">
        <v>50486</v>
      </c>
      <c r="W9417" t="s">
        <v>38768</v>
      </c>
      <c r="X9417" t="s">
        <v>40453</v>
      </c>
    </row>
    <row r="9418" spans="1:24">
      <c r="A9418">
        <f>HYPERLINK("https://www.philgeps.gov.ph/GEPSNONPILOT/Tender/SplashBidNoticeAbstractUI.aspx?menuIndex=3&amp;refID=7018860&amp;Result=3","7018860")</f>
        <v>0</v>
      </c>
      <c r="B9418" t="s">
        <v>2647</v>
      </c>
      <c r="C9418" t="s">
        <v>12066</v>
      </c>
      <c r="D9418" t="s">
        <v>16246</v>
      </c>
      <c r="E9418" t="s">
        <v>24515</v>
      </c>
      <c r="F9418" t="s">
        <v>28198</v>
      </c>
      <c r="G9418" t="s">
        <v>28205</v>
      </c>
      <c r="H9418" t="s">
        <v>28214</v>
      </c>
      <c r="I9418" t="s">
        <v>8870</v>
      </c>
      <c r="J9418" t="s">
        <v>28347</v>
      </c>
      <c r="K9418" t="s">
        <v>36697</v>
      </c>
      <c r="M9418" t="s">
        <v>39873</v>
      </c>
      <c r="N9418" t="s">
        <v>40436</v>
      </c>
      <c r="O9418" t="s">
        <v>40437</v>
      </c>
      <c r="P9418">
        <v>0</v>
      </c>
      <c r="Q9418">
        <v>3</v>
      </c>
      <c r="R9418" t="s">
        <v>40447</v>
      </c>
      <c r="S9418" t="s">
        <v>40868</v>
      </c>
      <c r="T9418" t="s">
        <v>42543</v>
      </c>
      <c r="U9418" t="s">
        <v>50487</v>
      </c>
      <c r="W9418" t="s">
        <v>39873</v>
      </c>
      <c r="X9418" t="s">
        <v>40456</v>
      </c>
    </row>
    <row r="9419" spans="1:24">
      <c r="A9419">
        <f>HYPERLINK("https://www.philgeps.gov.ph/GEPSNONPILOT/Tender/SplashBidNoticeAbstractUI.aspx?menuIndex=3&amp;refID=7024050&amp;Result=3","7024050")</f>
        <v>0</v>
      </c>
      <c r="B9419" t="s">
        <v>439</v>
      </c>
      <c r="C9419" t="s">
        <v>12067</v>
      </c>
      <c r="D9419" t="s">
        <v>16213</v>
      </c>
      <c r="E9419" t="s">
        <v>24516</v>
      </c>
      <c r="F9419" t="s">
        <v>28198</v>
      </c>
      <c r="G9419" t="s">
        <v>28205</v>
      </c>
      <c r="H9419" t="s">
        <v>28214</v>
      </c>
      <c r="I9419" t="s">
        <v>28255</v>
      </c>
      <c r="J9419" t="s">
        <v>34220</v>
      </c>
      <c r="K9419" t="s">
        <v>36710</v>
      </c>
      <c r="M9419" t="s">
        <v>39871</v>
      </c>
      <c r="N9419" t="s">
        <v>40436</v>
      </c>
      <c r="O9419" t="s">
        <v>40437</v>
      </c>
      <c r="Q9419">
        <v>6</v>
      </c>
      <c r="R9419" t="s">
        <v>40447</v>
      </c>
      <c r="S9419" t="s">
        <v>40873</v>
      </c>
      <c r="T9419" t="s">
        <v>42415</v>
      </c>
      <c r="U9419" t="s">
        <v>50488</v>
      </c>
      <c r="V9419" t="s">
        <v>54799</v>
      </c>
      <c r="W9419" t="s">
        <v>39871</v>
      </c>
      <c r="X9419" t="s">
        <v>40453</v>
      </c>
    </row>
    <row r="9420" spans="1:24">
      <c r="A9420">
        <f>HYPERLINK("https://www.philgeps.gov.ph/GEPSNONPILOT/Tender/SplashBidNoticeAbstractUI.aspx?menuIndex=3&amp;refID=7009160&amp;Result=3","7009160")</f>
        <v>0</v>
      </c>
      <c r="B9420" t="s">
        <v>2646</v>
      </c>
      <c r="C9420" t="s">
        <v>12068</v>
      </c>
      <c r="D9420" t="s">
        <v>16260</v>
      </c>
      <c r="E9420" t="s">
        <v>24517</v>
      </c>
      <c r="F9420" t="s">
        <v>28198</v>
      </c>
      <c r="G9420" t="s">
        <v>28205</v>
      </c>
      <c r="H9420" t="s">
        <v>28214</v>
      </c>
      <c r="I9420" t="s">
        <v>3797</v>
      </c>
      <c r="J9420" t="s">
        <v>28363</v>
      </c>
      <c r="K9420" t="s">
        <v>36694</v>
      </c>
      <c r="M9420" t="s">
        <v>39872</v>
      </c>
      <c r="N9420" t="s">
        <v>40436</v>
      </c>
      <c r="O9420" t="s">
        <v>40437</v>
      </c>
      <c r="P9420">
        <v>0</v>
      </c>
      <c r="Q9420">
        <v>0</v>
      </c>
      <c r="R9420" t="s">
        <v>40447</v>
      </c>
      <c r="S9420" t="s">
        <v>40868</v>
      </c>
      <c r="T9420" t="s">
        <v>42124</v>
      </c>
      <c r="U9420" t="s">
        <v>50489</v>
      </c>
      <c r="V9420" t="s">
        <v>54797</v>
      </c>
      <c r="W9420" t="s">
        <v>39872</v>
      </c>
      <c r="X9420" t="s">
        <v>40466</v>
      </c>
    </row>
    <row r="9421" spans="1:24">
      <c r="A9421">
        <f>HYPERLINK("https://www.philgeps.gov.ph/GEPSNONPILOT/Tender/SplashBidNoticeAbstractUI.aspx?menuIndex=3&amp;refID=7020137&amp;Result=3","7020137")</f>
        <v>0</v>
      </c>
      <c r="B9421" t="s">
        <v>2109</v>
      </c>
      <c r="C9421" t="s">
        <v>12069</v>
      </c>
      <c r="D9421" t="s">
        <v>16195</v>
      </c>
      <c r="E9421" t="s">
        <v>24518</v>
      </c>
      <c r="F9421" t="s">
        <v>28198</v>
      </c>
      <c r="G9421" t="s">
        <v>28205</v>
      </c>
      <c r="H9421" t="s">
        <v>28215</v>
      </c>
      <c r="I9421" t="s">
        <v>28256</v>
      </c>
      <c r="J9421" t="s">
        <v>34221</v>
      </c>
      <c r="K9421" t="s">
        <v>36688</v>
      </c>
      <c r="M9421" t="s">
        <v>39263</v>
      </c>
      <c r="N9421" t="s">
        <v>40436</v>
      </c>
      <c r="O9421" t="s">
        <v>40437</v>
      </c>
      <c r="P9421">
        <v>0</v>
      </c>
      <c r="Q9421">
        <v>17</v>
      </c>
      <c r="R9421" t="s">
        <v>40447</v>
      </c>
      <c r="S9421" t="s">
        <v>40868</v>
      </c>
      <c r="T9421" t="s">
        <v>42240</v>
      </c>
      <c r="U9421" t="s">
        <v>50490</v>
      </c>
      <c r="W9421" t="s">
        <v>39263</v>
      </c>
      <c r="X9421" t="s">
        <v>40454</v>
      </c>
    </row>
    <row r="9422" spans="1:24">
      <c r="A9422">
        <f>HYPERLINK("https://www.philgeps.gov.ph/GEPSNONPILOT/Tender/SplashBidNoticeAbstractUI.aspx?menuIndex=3&amp;refID=7018858&amp;Result=3","7018858")</f>
        <v>0</v>
      </c>
      <c r="B9422" t="s">
        <v>2647</v>
      </c>
      <c r="C9422" t="s">
        <v>12070</v>
      </c>
      <c r="D9422" t="s">
        <v>16246</v>
      </c>
      <c r="E9422" t="s">
        <v>24519</v>
      </c>
      <c r="F9422" t="s">
        <v>28198</v>
      </c>
      <c r="G9422" t="s">
        <v>28205</v>
      </c>
      <c r="H9422" t="s">
        <v>28214</v>
      </c>
      <c r="I9422" t="s">
        <v>3797</v>
      </c>
      <c r="J9422" t="s">
        <v>30908</v>
      </c>
      <c r="K9422" t="s">
        <v>36897</v>
      </c>
      <c r="M9422" t="s">
        <v>39873</v>
      </c>
      <c r="N9422" t="s">
        <v>40436</v>
      </c>
      <c r="O9422" t="s">
        <v>40437</v>
      </c>
      <c r="P9422">
        <v>0</v>
      </c>
      <c r="Q9422">
        <v>2</v>
      </c>
      <c r="R9422" t="s">
        <v>40447</v>
      </c>
      <c r="S9422" t="s">
        <v>40868</v>
      </c>
      <c r="T9422" t="s">
        <v>42543</v>
      </c>
      <c r="U9422" t="s">
        <v>50491</v>
      </c>
      <c r="W9422" t="s">
        <v>39873</v>
      </c>
      <c r="X9422" t="s">
        <v>40456</v>
      </c>
    </row>
    <row r="9423" spans="1:24">
      <c r="A9423">
        <f>HYPERLINK("https://www.philgeps.gov.ph/GEPSNONPILOT/Tender/SplashBidNoticeAbstractUI.aspx?menuIndex=3&amp;refID=7023296&amp;Result=3","7023296")</f>
        <v>0</v>
      </c>
      <c r="B9423" t="s">
        <v>439</v>
      </c>
      <c r="C9423" t="s">
        <v>12071</v>
      </c>
      <c r="D9423" t="s">
        <v>16213</v>
      </c>
      <c r="E9423" t="s">
        <v>24520</v>
      </c>
      <c r="F9423" t="s">
        <v>28198</v>
      </c>
      <c r="G9423" t="s">
        <v>28205</v>
      </c>
      <c r="H9423" t="s">
        <v>28214</v>
      </c>
      <c r="I9423" t="s">
        <v>3797</v>
      </c>
      <c r="J9423" t="s">
        <v>34222</v>
      </c>
      <c r="K9423" t="s">
        <v>36898</v>
      </c>
      <c r="M9423" t="s">
        <v>39871</v>
      </c>
      <c r="N9423" t="s">
        <v>40436</v>
      </c>
      <c r="O9423" t="s">
        <v>40437</v>
      </c>
      <c r="Q9423">
        <v>4</v>
      </c>
      <c r="R9423" t="s">
        <v>40447</v>
      </c>
      <c r="S9423" t="s">
        <v>40874</v>
      </c>
      <c r="T9423" t="s">
        <v>42346</v>
      </c>
      <c r="U9423" t="s">
        <v>50492</v>
      </c>
      <c r="V9423" t="s">
        <v>54800</v>
      </c>
      <c r="W9423" t="s">
        <v>39871</v>
      </c>
      <c r="X9423" t="s">
        <v>40453</v>
      </c>
    </row>
    <row r="9424" spans="1:24">
      <c r="A9424">
        <f>HYPERLINK("https://www.philgeps.gov.ph/GEPSNONPILOT/Tender/SplashBidNoticeAbstractUI.aspx?menuIndex=3&amp;refID=7024077&amp;Result=3","7024077")</f>
        <v>0</v>
      </c>
      <c r="B9424" t="s">
        <v>439</v>
      </c>
      <c r="C9424" t="s">
        <v>12072</v>
      </c>
      <c r="D9424" t="s">
        <v>16213</v>
      </c>
      <c r="E9424" t="s">
        <v>24521</v>
      </c>
      <c r="F9424" t="s">
        <v>28198</v>
      </c>
      <c r="G9424" t="s">
        <v>28205</v>
      </c>
      <c r="H9424" t="s">
        <v>28214</v>
      </c>
      <c r="I9424" t="s">
        <v>28235</v>
      </c>
      <c r="J9424" t="s">
        <v>34223</v>
      </c>
      <c r="K9424" t="s">
        <v>36717</v>
      </c>
      <c r="M9424" t="s">
        <v>39871</v>
      </c>
      <c r="N9424" t="s">
        <v>40436</v>
      </c>
      <c r="O9424" t="s">
        <v>40437</v>
      </c>
      <c r="Q9424">
        <v>3</v>
      </c>
      <c r="R9424" t="s">
        <v>40447</v>
      </c>
      <c r="S9424" t="s">
        <v>40875</v>
      </c>
      <c r="T9424" t="s">
        <v>42279</v>
      </c>
      <c r="U9424" t="s">
        <v>50493</v>
      </c>
      <c r="V9424" t="s">
        <v>54801</v>
      </c>
      <c r="W9424" t="s">
        <v>39871</v>
      </c>
      <c r="X9424" t="s">
        <v>40453</v>
      </c>
    </row>
    <row r="9425" spans="1:24">
      <c r="A9425">
        <f>HYPERLINK("https://www.philgeps.gov.ph/GEPSNONPILOT/Tender/SplashBidNoticeAbstractUI.aspx?menuIndex=3&amp;refID=7024389&amp;Result=3","7024389")</f>
        <v>0</v>
      </c>
      <c r="B9425" t="s">
        <v>545</v>
      </c>
      <c r="C9425" t="s">
        <v>12073</v>
      </c>
      <c r="D9425" t="s">
        <v>16224</v>
      </c>
      <c r="E9425" t="s">
        <v>24522</v>
      </c>
      <c r="F9425" t="s">
        <v>28198</v>
      </c>
      <c r="G9425" t="s">
        <v>28205</v>
      </c>
      <c r="H9425" t="s">
        <v>28215</v>
      </c>
      <c r="I9425" t="s">
        <v>5791</v>
      </c>
      <c r="J9425" t="s">
        <v>34224</v>
      </c>
      <c r="K9425" t="s">
        <v>36689</v>
      </c>
      <c r="M9425" t="s">
        <v>37531</v>
      </c>
      <c r="N9425" t="s">
        <v>40436</v>
      </c>
      <c r="O9425" t="s">
        <v>40437</v>
      </c>
      <c r="Q9425">
        <v>2</v>
      </c>
      <c r="R9425" t="s">
        <v>40447</v>
      </c>
      <c r="S9425" t="s">
        <v>40876</v>
      </c>
      <c r="T9425" t="s">
        <v>42279</v>
      </c>
      <c r="U9425" t="s">
        <v>50494</v>
      </c>
      <c r="V9425" t="s">
        <v>54798</v>
      </c>
      <c r="W9425" t="s">
        <v>37531</v>
      </c>
      <c r="X9425" t="s">
        <v>40452</v>
      </c>
    </row>
    <row r="9426" spans="1:24">
      <c r="A9426">
        <f>HYPERLINK("https://www.philgeps.gov.ph/GEPSNONPILOT/Tender/SplashBidNoticeAbstractUI.aspx?menuIndex=3&amp;refID=7024457&amp;Result=3","7024457")</f>
        <v>0</v>
      </c>
      <c r="B9426" t="s">
        <v>545</v>
      </c>
      <c r="C9426" t="s">
        <v>12074</v>
      </c>
      <c r="D9426" t="s">
        <v>16224</v>
      </c>
      <c r="E9426" t="s">
        <v>24523</v>
      </c>
      <c r="F9426" t="s">
        <v>28198</v>
      </c>
      <c r="G9426" t="s">
        <v>28205</v>
      </c>
      <c r="H9426" t="s">
        <v>28215</v>
      </c>
      <c r="I9426" t="s">
        <v>5791</v>
      </c>
      <c r="J9426" t="s">
        <v>34225</v>
      </c>
      <c r="K9426" t="s">
        <v>36689</v>
      </c>
      <c r="M9426" t="s">
        <v>37531</v>
      </c>
      <c r="N9426" t="s">
        <v>40436</v>
      </c>
      <c r="O9426" t="s">
        <v>40437</v>
      </c>
      <c r="Q9426">
        <v>0</v>
      </c>
      <c r="R9426" t="s">
        <v>40447</v>
      </c>
      <c r="S9426" t="s">
        <v>40877</v>
      </c>
      <c r="T9426" t="s">
        <v>42279</v>
      </c>
      <c r="U9426" t="s">
        <v>50495</v>
      </c>
      <c r="V9426" t="s">
        <v>54798</v>
      </c>
      <c r="W9426" t="s">
        <v>37531</v>
      </c>
      <c r="X9426" t="s">
        <v>40452</v>
      </c>
    </row>
    <row r="9427" spans="1:24">
      <c r="A9427">
        <f>HYPERLINK("https://www.philgeps.gov.ph/GEPSNONPILOT/Tender/SplashBidNoticeAbstractUI.aspx?menuIndex=3&amp;refID=7025393&amp;Result=3","7025393")</f>
        <v>0</v>
      </c>
      <c r="B9427" t="s">
        <v>2440</v>
      </c>
      <c r="C9427" t="s">
        <v>12075</v>
      </c>
      <c r="D9427" t="s">
        <v>16230</v>
      </c>
      <c r="E9427" t="s">
        <v>24524</v>
      </c>
      <c r="F9427" t="s">
        <v>28198</v>
      </c>
      <c r="G9427" t="s">
        <v>28205</v>
      </c>
      <c r="H9427" t="s">
        <v>28214</v>
      </c>
      <c r="I9427" t="s">
        <v>3797</v>
      </c>
      <c r="J9427" t="s">
        <v>28752</v>
      </c>
      <c r="K9427" t="s">
        <v>36694</v>
      </c>
      <c r="M9427" t="s">
        <v>39630</v>
      </c>
      <c r="N9427" t="s">
        <v>40436</v>
      </c>
      <c r="O9427" t="s">
        <v>40437</v>
      </c>
      <c r="Q9427">
        <v>1</v>
      </c>
      <c r="R9427" t="s">
        <v>40447</v>
      </c>
      <c r="S9427" t="s">
        <v>40878</v>
      </c>
      <c r="T9427" t="s">
        <v>42544</v>
      </c>
      <c r="U9427" t="s">
        <v>50496</v>
      </c>
      <c r="W9427" t="s">
        <v>39630</v>
      </c>
      <c r="X9427" t="s">
        <v>40452</v>
      </c>
    </row>
    <row r="9428" spans="1:24">
      <c r="A9428">
        <f>HYPERLINK("https://www.philgeps.gov.ph/GEPSNONPILOT/Tender/SplashBidNoticeAbstractUI.aspx?menuIndex=3&amp;refID=7024422&amp;Result=3","7024422")</f>
        <v>0</v>
      </c>
      <c r="B9428" t="s">
        <v>545</v>
      </c>
      <c r="C9428" t="s">
        <v>12076</v>
      </c>
      <c r="D9428" t="s">
        <v>16224</v>
      </c>
      <c r="E9428" t="s">
        <v>24525</v>
      </c>
      <c r="F9428" t="s">
        <v>28198</v>
      </c>
      <c r="G9428" t="s">
        <v>28205</v>
      </c>
      <c r="H9428" t="s">
        <v>28215</v>
      </c>
      <c r="I9428" t="s">
        <v>5791</v>
      </c>
      <c r="J9428" t="s">
        <v>34226</v>
      </c>
      <c r="K9428" t="s">
        <v>36689</v>
      </c>
      <c r="M9428" t="s">
        <v>37531</v>
      </c>
      <c r="N9428" t="s">
        <v>40436</v>
      </c>
      <c r="O9428" t="s">
        <v>40437</v>
      </c>
      <c r="Q9428">
        <v>0</v>
      </c>
      <c r="R9428" t="s">
        <v>40447</v>
      </c>
      <c r="S9428" t="s">
        <v>40879</v>
      </c>
      <c r="T9428" t="s">
        <v>42279</v>
      </c>
      <c r="U9428" t="s">
        <v>50497</v>
      </c>
      <c r="V9428" t="s">
        <v>54798</v>
      </c>
      <c r="W9428" t="s">
        <v>37531</v>
      </c>
      <c r="X9428" t="s">
        <v>40452</v>
      </c>
    </row>
    <row r="9429" spans="1:24">
      <c r="A9429">
        <f>HYPERLINK("https://www.philgeps.gov.ph/GEPSNONPILOT/Tender/SplashBidNoticeAbstractUI.aspx?menuIndex=3&amp;refID=7024434&amp;Result=3","7024434")</f>
        <v>0</v>
      </c>
      <c r="B9429" t="s">
        <v>545</v>
      </c>
      <c r="C9429" t="s">
        <v>12077</v>
      </c>
      <c r="D9429" t="s">
        <v>16224</v>
      </c>
      <c r="E9429" t="s">
        <v>24526</v>
      </c>
      <c r="F9429" t="s">
        <v>28198</v>
      </c>
      <c r="G9429" t="s">
        <v>28205</v>
      </c>
      <c r="H9429" t="s">
        <v>28215</v>
      </c>
      <c r="I9429" t="s">
        <v>5791</v>
      </c>
      <c r="J9429" t="s">
        <v>34227</v>
      </c>
      <c r="K9429" t="s">
        <v>36689</v>
      </c>
      <c r="M9429" t="s">
        <v>37531</v>
      </c>
      <c r="N9429" t="s">
        <v>40436</v>
      </c>
      <c r="O9429" t="s">
        <v>40437</v>
      </c>
      <c r="Q9429">
        <v>2</v>
      </c>
      <c r="R9429" t="s">
        <v>40447</v>
      </c>
      <c r="S9429" t="s">
        <v>40880</v>
      </c>
      <c r="T9429" t="s">
        <v>42279</v>
      </c>
      <c r="U9429" t="s">
        <v>50498</v>
      </c>
      <c r="V9429" t="s">
        <v>54798</v>
      </c>
      <c r="W9429" t="s">
        <v>37531</v>
      </c>
      <c r="X9429" t="s">
        <v>40452</v>
      </c>
    </row>
    <row r="9430" spans="1:24">
      <c r="A9430">
        <f>HYPERLINK("https://www.philgeps.gov.ph/GEPSNONPILOT/Tender/SplashBidNoticeAbstractUI.aspx?menuIndex=3&amp;refID=7025220&amp;Result=3","7025220")</f>
        <v>0</v>
      </c>
      <c r="B9430" t="s">
        <v>2432</v>
      </c>
      <c r="C9430" t="s">
        <v>12078</v>
      </c>
      <c r="D9430" t="s">
        <v>16211</v>
      </c>
      <c r="E9430" t="s">
        <v>24527</v>
      </c>
      <c r="F9430" t="s">
        <v>28198</v>
      </c>
      <c r="G9430" t="s">
        <v>28205</v>
      </c>
      <c r="H9430" t="s">
        <v>28215</v>
      </c>
      <c r="I9430" t="s">
        <v>3774</v>
      </c>
      <c r="J9430" t="s">
        <v>34228</v>
      </c>
      <c r="K9430" t="s">
        <v>36707</v>
      </c>
      <c r="M9430" t="s">
        <v>39620</v>
      </c>
      <c r="N9430" t="s">
        <v>40436</v>
      </c>
      <c r="O9430" t="s">
        <v>40437</v>
      </c>
      <c r="P9430">
        <v>0</v>
      </c>
      <c r="Q9430">
        <v>0</v>
      </c>
      <c r="R9430" t="s">
        <v>40447</v>
      </c>
      <c r="S9430" t="s">
        <v>40868</v>
      </c>
      <c r="T9430" t="s">
        <v>42346</v>
      </c>
      <c r="U9430" t="s">
        <v>50499</v>
      </c>
      <c r="W9430" t="s">
        <v>39620</v>
      </c>
      <c r="X9430" t="s">
        <v>40452</v>
      </c>
    </row>
    <row r="9431" spans="1:24">
      <c r="A9431">
        <f>HYPERLINK("https://www.philgeps.gov.ph/GEPSNONPILOT/Tender/SplashBidNoticeAbstractUI.aspx?menuIndex=3&amp;refID=7024400&amp;Result=3","7024400")</f>
        <v>0</v>
      </c>
      <c r="B9431" t="s">
        <v>545</v>
      </c>
      <c r="C9431" t="s">
        <v>12079</v>
      </c>
      <c r="D9431" t="s">
        <v>16224</v>
      </c>
      <c r="E9431" t="s">
        <v>24528</v>
      </c>
      <c r="F9431" t="s">
        <v>28198</v>
      </c>
      <c r="G9431" t="s">
        <v>28205</v>
      </c>
      <c r="H9431" t="s">
        <v>28215</v>
      </c>
      <c r="I9431" t="s">
        <v>5791</v>
      </c>
      <c r="J9431" t="s">
        <v>34229</v>
      </c>
      <c r="K9431" t="s">
        <v>36689</v>
      </c>
      <c r="M9431" t="s">
        <v>37531</v>
      </c>
      <c r="N9431" t="s">
        <v>40436</v>
      </c>
      <c r="O9431" t="s">
        <v>40437</v>
      </c>
      <c r="Q9431">
        <v>2</v>
      </c>
      <c r="R9431" t="s">
        <v>40447</v>
      </c>
      <c r="S9431" t="s">
        <v>40881</v>
      </c>
      <c r="T9431" t="s">
        <v>42279</v>
      </c>
      <c r="U9431" t="s">
        <v>50500</v>
      </c>
      <c r="V9431" t="s">
        <v>54798</v>
      </c>
      <c r="W9431" t="s">
        <v>37531</v>
      </c>
      <c r="X9431" t="s">
        <v>40452</v>
      </c>
    </row>
    <row r="9432" spans="1:24">
      <c r="A9432">
        <f>HYPERLINK("https://www.philgeps.gov.ph/GEPSNONPILOT/Tender/SplashBidNoticeAbstractUI.aspx?menuIndex=3&amp;refID=7025445&amp;Result=3","7025445")</f>
        <v>0</v>
      </c>
      <c r="B9432" t="s">
        <v>2538</v>
      </c>
      <c r="C9432" t="s">
        <v>12080</v>
      </c>
      <c r="D9432" t="s">
        <v>16200</v>
      </c>
      <c r="E9432" t="s">
        <v>24529</v>
      </c>
      <c r="F9432" t="s">
        <v>28198</v>
      </c>
      <c r="G9432" t="s">
        <v>28205</v>
      </c>
      <c r="H9432" t="s">
        <v>28214</v>
      </c>
      <c r="I9432" t="s">
        <v>3797</v>
      </c>
      <c r="J9432" t="s">
        <v>34230</v>
      </c>
      <c r="K9432" t="s">
        <v>36733</v>
      </c>
      <c r="M9432" t="s">
        <v>39748</v>
      </c>
      <c r="N9432" t="s">
        <v>40436</v>
      </c>
      <c r="O9432" t="s">
        <v>40437</v>
      </c>
      <c r="P9432">
        <v>0</v>
      </c>
      <c r="Q9432">
        <v>5</v>
      </c>
      <c r="R9432" t="s">
        <v>40447</v>
      </c>
      <c r="S9432" t="s">
        <v>40868</v>
      </c>
      <c r="T9432" t="s">
        <v>42529</v>
      </c>
      <c r="U9432" t="s">
        <v>50501</v>
      </c>
      <c r="V9432" t="s">
        <v>54802</v>
      </c>
      <c r="W9432" t="s">
        <v>39748</v>
      </c>
      <c r="X9432" t="s">
        <v>40452</v>
      </c>
    </row>
    <row r="9433" spans="1:24">
      <c r="A9433">
        <f>HYPERLINK("https://www.philgeps.gov.ph/GEPSNONPILOT/Tender/SplashBidNoticeAbstractUI.aspx?menuIndex=3&amp;refID=7025210&amp;Result=3","7025210")</f>
        <v>0</v>
      </c>
      <c r="B9433" t="s">
        <v>2432</v>
      </c>
      <c r="C9433" t="s">
        <v>12081</v>
      </c>
      <c r="D9433" t="s">
        <v>16211</v>
      </c>
      <c r="E9433" t="s">
        <v>24530</v>
      </c>
      <c r="F9433" t="s">
        <v>28198</v>
      </c>
      <c r="G9433" t="s">
        <v>28205</v>
      </c>
      <c r="H9433" t="s">
        <v>28215</v>
      </c>
      <c r="I9433" t="s">
        <v>28279</v>
      </c>
      <c r="J9433" t="s">
        <v>34231</v>
      </c>
      <c r="K9433" t="s">
        <v>36707</v>
      </c>
      <c r="M9433" t="s">
        <v>39620</v>
      </c>
      <c r="N9433" t="s">
        <v>40436</v>
      </c>
      <c r="O9433" t="s">
        <v>40437</v>
      </c>
      <c r="P9433">
        <v>0</v>
      </c>
      <c r="Q9433">
        <v>2</v>
      </c>
      <c r="R9433" t="s">
        <v>40447</v>
      </c>
      <c r="S9433" t="s">
        <v>40868</v>
      </c>
      <c r="T9433" t="s">
        <v>42346</v>
      </c>
      <c r="U9433" t="s">
        <v>50502</v>
      </c>
      <c r="W9433" t="s">
        <v>39620</v>
      </c>
      <c r="X9433" t="s">
        <v>40452</v>
      </c>
    </row>
    <row r="9434" spans="1:24">
      <c r="A9434">
        <f>HYPERLINK("https://www.philgeps.gov.ph/GEPSNONPILOT/Tender/SplashBidNoticeAbstractUI.aspx?menuIndex=3&amp;refID=7025228&amp;Result=3","7025228")</f>
        <v>0</v>
      </c>
      <c r="B9434" t="s">
        <v>2432</v>
      </c>
      <c r="C9434" t="s">
        <v>6101</v>
      </c>
      <c r="D9434" t="s">
        <v>16211</v>
      </c>
      <c r="E9434" t="s">
        <v>24531</v>
      </c>
      <c r="F9434" t="s">
        <v>28198</v>
      </c>
      <c r="G9434" t="s">
        <v>28205</v>
      </c>
      <c r="H9434" t="s">
        <v>28215</v>
      </c>
      <c r="I9434" t="s">
        <v>4168</v>
      </c>
      <c r="J9434" t="s">
        <v>34232</v>
      </c>
      <c r="K9434" t="s">
        <v>36707</v>
      </c>
      <c r="M9434" t="s">
        <v>39620</v>
      </c>
      <c r="N9434" t="s">
        <v>40436</v>
      </c>
      <c r="O9434" t="s">
        <v>40437</v>
      </c>
      <c r="P9434">
        <v>0</v>
      </c>
      <c r="Q9434">
        <v>6</v>
      </c>
      <c r="R9434" t="s">
        <v>40447</v>
      </c>
      <c r="S9434" t="s">
        <v>40868</v>
      </c>
      <c r="T9434" t="s">
        <v>42346</v>
      </c>
      <c r="U9434" t="s">
        <v>50503</v>
      </c>
      <c r="W9434" t="s">
        <v>39620</v>
      </c>
      <c r="X9434" t="s">
        <v>40452</v>
      </c>
    </row>
    <row r="9435" spans="1:24">
      <c r="A9435">
        <f>HYPERLINK("https://www.philgeps.gov.ph/GEPSNONPILOT/Tender/SplashBidNoticeAbstractUI.aspx?menuIndex=3&amp;refID=7025185&amp;Result=3","7025185")</f>
        <v>0</v>
      </c>
      <c r="B9435" t="s">
        <v>2440</v>
      </c>
      <c r="C9435" t="s">
        <v>12082</v>
      </c>
      <c r="D9435" t="s">
        <v>16230</v>
      </c>
      <c r="E9435" t="s">
        <v>24532</v>
      </c>
      <c r="F9435" t="s">
        <v>28198</v>
      </c>
      <c r="G9435" t="s">
        <v>28205</v>
      </c>
      <c r="H9435" t="s">
        <v>28214</v>
      </c>
      <c r="I9435" t="s">
        <v>3797</v>
      </c>
      <c r="J9435" t="s">
        <v>34233</v>
      </c>
      <c r="K9435" t="s">
        <v>36692</v>
      </c>
      <c r="M9435" t="s">
        <v>39630</v>
      </c>
      <c r="N9435" t="s">
        <v>40436</v>
      </c>
      <c r="O9435" t="s">
        <v>40437</v>
      </c>
      <c r="P9435">
        <v>0</v>
      </c>
      <c r="Q9435">
        <v>1</v>
      </c>
      <c r="R9435" t="s">
        <v>40447</v>
      </c>
      <c r="S9435" t="s">
        <v>40868</v>
      </c>
      <c r="T9435" t="s">
        <v>42292</v>
      </c>
      <c r="U9435" t="s">
        <v>50504</v>
      </c>
      <c r="W9435" t="s">
        <v>39630</v>
      </c>
      <c r="X9435" t="s">
        <v>40452</v>
      </c>
    </row>
    <row r="9436" spans="1:24">
      <c r="A9436">
        <f>HYPERLINK("https://www.philgeps.gov.ph/GEPSNONPILOT/Tender/SplashBidNoticeAbstractUI.aspx?menuIndex=3&amp;refID=7025240&amp;Result=3","7025240")</f>
        <v>0</v>
      </c>
      <c r="B9436" t="s">
        <v>2432</v>
      </c>
      <c r="C9436" t="s">
        <v>12083</v>
      </c>
      <c r="D9436" t="s">
        <v>16211</v>
      </c>
      <c r="E9436" t="s">
        <v>24533</v>
      </c>
      <c r="F9436" t="s">
        <v>28198</v>
      </c>
      <c r="G9436" t="s">
        <v>28205</v>
      </c>
      <c r="H9436" t="s">
        <v>28215</v>
      </c>
      <c r="I9436" t="s">
        <v>5791</v>
      </c>
      <c r="J9436" t="s">
        <v>34234</v>
      </c>
      <c r="K9436" t="s">
        <v>36707</v>
      </c>
      <c r="M9436" t="s">
        <v>39620</v>
      </c>
      <c r="N9436" t="s">
        <v>40436</v>
      </c>
      <c r="O9436" t="s">
        <v>40437</v>
      </c>
      <c r="P9436">
        <v>0</v>
      </c>
      <c r="Q9436">
        <v>3</v>
      </c>
      <c r="R9436" t="s">
        <v>40447</v>
      </c>
      <c r="S9436" t="s">
        <v>40868</v>
      </c>
      <c r="T9436" t="s">
        <v>42346</v>
      </c>
      <c r="U9436" t="s">
        <v>50505</v>
      </c>
      <c r="W9436" t="s">
        <v>39620</v>
      </c>
      <c r="X9436" t="s">
        <v>40452</v>
      </c>
    </row>
    <row r="9437" spans="1:24">
      <c r="A9437">
        <f>HYPERLINK("https://www.philgeps.gov.ph/GEPSNONPILOT/Tender/SplashBidNoticeAbstractUI.aspx?menuIndex=3&amp;refID=7024575&amp;Result=3","7024575")</f>
        <v>0</v>
      </c>
      <c r="B9437" t="s">
        <v>545</v>
      </c>
      <c r="C9437" t="s">
        <v>12084</v>
      </c>
      <c r="D9437" t="s">
        <v>16224</v>
      </c>
      <c r="E9437" t="s">
        <v>24534</v>
      </c>
      <c r="F9437" t="s">
        <v>28198</v>
      </c>
      <c r="G9437" t="s">
        <v>28205</v>
      </c>
      <c r="H9437" t="s">
        <v>28215</v>
      </c>
      <c r="I9437" t="s">
        <v>28238</v>
      </c>
      <c r="J9437" t="s">
        <v>34235</v>
      </c>
      <c r="K9437" t="s">
        <v>36689</v>
      </c>
      <c r="M9437" t="s">
        <v>37531</v>
      </c>
      <c r="N9437" t="s">
        <v>40436</v>
      </c>
      <c r="O9437" t="s">
        <v>40437</v>
      </c>
      <c r="Q9437">
        <v>14</v>
      </c>
      <c r="R9437" t="s">
        <v>40447</v>
      </c>
      <c r="S9437" t="s">
        <v>40882</v>
      </c>
      <c r="T9437" t="s">
        <v>42183</v>
      </c>
      <c r="U9437" t="s">
        <v>50506</v>
      </c>
      <c r="V9437" t="s">
        <v>54803</v>
      </c>
      <c r="W9437" t="s">
        <v>37531</v>
      </c>
      <c r="X9437" t="s">
        <v>40452</v>
      </c>
    </row>
    <row r="9438" spans="1:24">
      <c r="A9438">
        <f>HYPERLINK("https://www.philgeps.gov.ph/GEPSNONPILOT/Tender/SplashBidNoticeAbstractUI.aspx?menuIndex=3&amp;refID=7025498&amp;Result=3","7025498")</f>
        <v>0</v>
      </c>
      <c r="B9438" t="s">
        <v>37</v>
      </c>
      <c r="C9438" t="s">
        <v>12085</v>
      </c>
      <c r="D9438" t="s">
        <v>16194</v>
      </c>
      <c r="E9438" t="s">
        <v>24535</v>
      </c>
      <c r="F9438" t="s">
        <v>28198</v>
      </c>
      <c r="G9438" t="s">
        <v>28205</v>
      </c>
      <c r="H9438" t="s">
        <v>28214</v>
      </c>
      <c r="I9438" t="s">
        <v>3797</v>
      </c>
      <c r="J9438" t="s">
        <v>28363</v>
      </c>
      <c r="K9438" t="s">
        <v>36701</v>
      </c>
      <c r="M9438" t="s">
        <v>37007</v>
      </c>
      <c r="N9438" t="s">
        <v>40436</v>
      </c>
      <c r="O9438" t="s">
        <v>40437</v>
      </c>
      <c r="P9438">
        <v>0</v>
      </c>
      <c r="Q9438">
        <v>10</v>
      </c>
      <c r="R9438" t="s">
        <v>40447</v>
      </c>
      <c r="S9438" t="s">
        <v>40868</v>
      </c>
      <c r="T9438" t="s">
        <v>42415</v>
      </c>
      <c r="U9438" t="s">
        <v>50507</v>
      </c>
      <c r="W9438" t="s">
        <v>37007</v>
      </c>
      <c r="X9438" t="s">
        <v>40452</v>
      </c>
    </row>
    <row r="9439" spans="1:24">
      <c r="A9439">
        <f>HYPERLINK("https://www.philgeps.gov.ph/GEPSNONPILOT/Tender/SplashBidNoticeAbstractUI.aspx?menuIndex=3&amp;refID=7026455&amp;Result=3","7026455")</f>
        <v>0</v>
      </c>
      <c r="B9439" t="s">
        <v>2130</v>
      </c>
      <c r="C9439" t="s">
        <v>12086</v>
      </c>
      <c r="D9439" t="s">
        <v>16265</v>
      </c>
      <c r="E9439" t="s">
        <v>24536</v>
      </c>
      <c r="F9439" t="s">
        <v>28198</v>
      </c>
      <c r="G9439" t="s">
        <v>28205</v>
      </c>
      <c r="H9439" t="s">
        <v>28215</v>
      </c>
      <c r="I9439" t="s">
        <v>28298</v>
      </c>
      <c r="J9439" t="s">
        <v>29261</v>
      </c>
      <c r="K9439" t="s">
        <v>36689</v>
      </c>
      <c r="M9439" t="s">
        <v>39287</v>
      </c>
      <c r="N9439" t="s">
        <v>40436</v>
      </c>
      <c r="O9439" t="s">
        <v>40437</v>
      </c>
      <c r="P9439">
        <v>0</v>
      </c>
      <c r="Q9439">
        <v>6</v>
      </c>
      <c r="R9439" t="s">
        <v>40447</v>
      </c>
      <c r="S9439" t="s">
        <v>40868</v>
      </c>
      <c r="T9439" t="s">
        <v>42234</v>
      </c>
      <c r="U9439" t="s">
        <v>50508</v>
      </c>
      <c r="W9439" t="s">
        <v>39287</v>
      </c>
      <c r="X9439" t="s">
        <v>40452</v>
      </c>
    </row>
    <row r="9440" spans="1:24">
      <c r="A9440">
        <f>HYPERLINK("https://www.philgeps.gov.ph/GEPSNONPILOT/Tender/SplashBidNoticeAbstractUI.aspx?menuIndex=3&amp;refID=7026379&amp;Result=3","7026379")</f>
        <v>0</v>
      </c>
      <c r="B9440" t="s">
        <v>2648</v>
      </c>
      <c r="C9440" t="s">
        <v>12087</v>
      </c>
      <c r="D9440" t="s">
        <v>16214</v>
      </c>
      <c r="E9440" t="s">
        <v>24537</v>
      </c>
      <c r="F9440" t="s">
        <v>28198</v>
      </c>
      <c r="G9440" t="s">
        <v>28205</v>
      </c>
      <c r="H9440" t="s">
        <v>28214</v>
      </c>
      <c r="I9440" t="s">
        <v>3797</v>
      </c>
      <c r="J9440" t="s">
        <v>28699</v>
      </c>
      <c r="K9440" t="s">
        <v>36827</v>
      </c>
      <c r="M9440" t="s">
        <v>39874</v>
      </c>
      <c r="N9440" t="s">
        <v>40436</v>
      </c>
      <c r="O9440" t="s">
        <v>40437</v>
      </c>
      <c r="P9440">
        <v>0</v>
      </c>
      <c r="Q9440">
        <v>2</v>
      </c>
      <c r="R9440" t="s">
        <v>40447</v>
      </c>
      <c r="S9440" t="s">
        <v>40868</v>
      </c>
      <c r="T9440" t="s">
        <v>42319</v>
      </c>
      <c r="U9440" t="s">
        <v>50509</v>
      </c>
      <c r="V9440" t="s">
        <v>54804</v>
      </c>
      <c r="W9440" t="s">
        <v>39874</v>
      </c>
      <c r="X9440" t="s">
        <v>40452</v>
      </c>
    </row>
    <row r="9441" spans="1:24">
      <c r="A9441">
        <f>HYPERLINK("https://www.philgeps.gov.ph/GEPSNONPILOT/Tender/SplashBidNoticeAbstractUI.aspx?menuIndex=3&amp;refID=7026100&amp;Result=3","7026100")</f>
        <v>0</v>
      </c>
      <c r="B9441" t="s">
        <v>2649</v>
      </c>
      <c r="C9441" t="s">
        <v>12088</v>
      </c>
      <c r="D9441" t="s">
        <v>16195</v>
      </c>
      <c r="E9441" t="s">
        <v>24538</v>
      </c>
      <c r="F9441" t="s">
        <v>28198</v>
      </c>
      <c r="G9441" t="s">
        <v>28205</v>
      </c>
      <c r="H9441" t="s">
        <v>28215</v>
      </c>
      <c r="I9441" t="s">
        <v>28222</v>
      </c>
      <c r="J9441" t="s">
        <v>29409</v>
      </c>
      <c r="K9441" t="s">
        <v>36701</v>
      </c>
      <c r="M9441" t="s">
        <v>39875</v>
      </c>
      <c r="N9441" t="s">
        <v>40436</v>
      </c>
      <c r="O9441" t="s">
        <v>40437</v>
      </c>
      <c r="Q9441">
        <v>5</v>
      </c>
      <c r="R9441" t="s">
        <v>40447</v>
      </c>
      <c r="S9441" t="s">
        <v>40883</v>
      </c>
      <c r="T9441" t="s">
        <v>42319</v>
      </c>
      <c r="U9441" t="s">
        <v>50510</v>
      </c>
      <c r="W9441" t="s">
        <v>39875</v>
      </c>
      <c r="X9441" t="s">
        <v>40452</v>
      </c>
    </row>
    <row r="9442" spans="1:24">
      <c r="A9442">
        <f>HYPERLINK("https://www.philgeps.gov.ph/GEPSNONPILOT/Tender/SplashBidNoticeAbstractUI.aspx?menuIndex=3&amp;refID=7027214&amp;Result=3","7027214")</f>
        <v>0</v>
      </c>
      <c r="B9442" t="s">
        <v>2567</v>
      </c>
      <c r="C9442" t="s">
        <v>12089</v>
      </c>
      <c r="D9442" t="s">
        <v>16274</v>
      </c>
      <c r="E9442" t="s">
        <v>24539</v>
      </c>
      <c r="F9442" t="s">
        <v>28198</v>
      </c>
      <c r="G9442" t="s">
        <v>28205</v>
      </c>
      <c r="H9442" t="s">
        <v>28215</v>
      </c>
      <c r="I9442" t="s">
        <v>28224</v>
      </c>
      <c r="J9442" t="s">
        <v>29224</v>
      </c>
      <c r="K9442" t="s">
        <v>36707</v>
      </c>
      <c r="M9442" t="s">
        <v>39781</v>
      </c>
      <c r="N9442" t="s">
        <v>40436</v>
      </c>
      <c r="O9442" t="s">
        <v>40437</v>
      </c>
      <c r="P9442">
        <v>0</v>
      </c>
      <c r="Q9442">
        <v>3</v>
      </c>
      <c r="R9442" t="s">
        <v>40447</v>
      </c>
      <c r="S9442" t="s">
        <v>40868</v>
      </c>
      <c r="T9442" t="s">
        <v>42532</v>
      </c>
      <c r="U9442" t="s">
        <v>50511</v>
      </c>
      <c r="W9442" t="s">
        <v>39781</v>
      </c>
      <c r="X9442" t="s">
        <v>40451</v>
      </c>
    </row>
    <row r="9443" spans="1:24">
      <c r="A9443">
        <f>HYPERLINK("https://www.philgeps.gov.ph/GEPSNONPILOT/Tender/SplashBidNoticeAbstractUI.aspx?menuIndex=3&amp;refID=7024498&amp;Result=3","7024498")</f>
        <v>0</v>
      </c>
      <c r="B9443" t="s">
        <v>545</v>
      </c>
      <c r="C9443" t="s">
        <v>12090</v>
      </c>
      <c r="D9443" t="s">
        <v>16224</v>
      </c>
      <c r="E9443" t="s">
        <v>24540</v>
      </c>
      <c r="F9443" t="s">
        <v>28198</v>
      </c>
      <c r="G9443" t="s">
        <v>28205</v>
      </c>
      <c r="H9443" t="s">
        <v>28215</v>
      </c>
      <c r="I9443" t="s">
        <v>5791</v>
      </c>
      <c r="J9443" t="s">
        <v>34236</v>
      </c>
      <c r="K9443" t="s">
        <v>36689</v>
      </c>
      <c r="M9443" t="s">
        <v>37531</v>
      </c>
      <c r="N9443" t="s">
        <v>40436</v>
      </c>
      <c r="O9443" t="s">
        <v>40437</v>
      </c>
      <c r="Q9443">
        <v>1</v>
      </c>
      <c r="R9443" t="s">
        <v>40447</v>
      </c>
      <c r="S9443" t="s">
        <v>40884</v>
      </c>
      <c r="T9443" t="s">
        <v>42279</v>
      </c>
      <c r="U9443" t="s">
        <v>50512</v>
      </c>
      <c r="V9443" t="s">
        <v>54798</v>
      </c>
      <c r="W9443" t="s">
        <v>37531</v>
      </c>
      <c r="X9443" t="s">
        <v>40452</v>
      </c>
    </row>
    <row r="9444" spans="1:24">
      <c r="A9444">
        <f>HYPERLINK("https://www.philgeps.gov.ph/GEPSNONPILOT/Tender/SplashBidNoticeAbstractUI.aspx?menuIndex=3&amp;refID=7025084&amp;Result=3","7025084")</f>
        <v>0</v>
      </c>
      <c r="B9444" t="s">
        <v>2432</v>
      </c>
      <c r="C9444" t="s">
        <v>12091</v>
      </c>
      <c r="D9444" t="s">
        <v>16211</v>
      </c>
      <c r="E9444" t="s">
        <v>24541</v>
      </c>
      <c r="F9444" t="s">
        <v>28198</v>
      </c>
      <c r="G9444" t="s">
        <v>28205</v>
      </c>
      <c r="H9444" t="s">
        <v>28215</v>
      </c>
      <c r="I9444" t="s">
        <v>8888</v>
      </c>
      <c r="J9444" t="s">
        <v>34237</v>
      </c>
      <c r="K9444" t="s">
        <v>36707</v>
      </c>
      <c r="M9444" t="s">
        <v>39620</v>
      </c>
      <c r="N9444" t="s">
        <v>40436</v>
      </c>
      <c r="O9444" t="s">
        <v>40437</v>
      </c>
      <c r="P9444">
        <v>0</v>
      </c>
      <c r="Q9444">
        <v>3</v>
      </c>
      <c r="R9444" t="s">
        <v>40447</v>
      </c>
      <c r="S9444" t="s">
        <v>40868</v>
      </c>
      <c r="T9444" t="s">
        <v>42346</v>
      </c>
      <c r="U9444" t="s">
        <v>50503</v>
      </c>
      <c r="W9444" t="s">
        <v>39620</v>
      </c>
      <c r="X9444" t="s">
        <v>40452</v>
      </c>
    </row>
    <row r="9445" spans="1:24">
      <c r="A9445">
        <f>HYPERLINK("https://www.philgeps.gov.ph/GEPSNONPILOT/Tender/SplashBidNoticeAbstractUI.aspx?menuIndex=3&amp;refID=7028309&amp;Result=3","7028309")</f>
        <v>0</v>
      </c>
      <c r="B9445" t="s">
        <v>86</v>
      </c>
      <c r="C9445" t="s">
        <v>12092</v>
      </c>
      <c r="D9445" t="s">
        <v>16197</v>
      </c>
      <c r="E9445" t="s">
        <v>24542</v>
      </c>
      <c r="F9445" t="s">
        <v>28198</v>
      </c>
      <c r="G9445" t="s">
        <v>28205</v>
      </c>
      <c r="H9445" t="s">
        <v>28214</v>
      </c>
      <c r="I9445" t="s">
        <v>3797</v>
      </c>
      <c r="J9445" t="s">
        <v>28434</v>
      </c>
      <c r="K9445" t="s">
        <v>36697</v>
      </c>
      <c r="M9445" t="s">
        <v>37058</v>
      </c>
      <c r="N9445" t="s">
        <v>40436</v>
      </c>
      <c r="O9445" t="s">
        <v>40437</v>
      </c>
      <c r="Q9445">
        <v>0</v>
      </c>
      <c r="R9445" t="s">
        <v>40447</v>
      </c>
      <c r="S9445" t="s">
        <v>40885</v>
      </c>
      <c r="T9445" t="s">
        <v>42165</v>
      </c>
      <c r="U9445" t="s">
        <v>50513</v>
      </c>
      <c r="V9445" t="s">
        <v>53793</v>
      </c>
      <c r="W9445" t="s">
        <v>37058</v>
      </c>
      <c r="X9445" t="s">
        <v>40451</v>
      </c>
    </row>
    <row r="9446" spans="1:24">
      <c r="A9446">
        <f>HYPERLINK("https://www.philgeps.gov.ph/GEPSNONPILOT/Tender/SplashBidNoticeAbstractUI.aspx?menuIndex=3&amp;refID=7028279&amp;Result=3","7028279")</f>
        <v>0</v>
      </c>
      <c r="B9446" t="s">
        <v>1711</v>
      </c>
      <c r="C9446" t="s">
        <v>12093</v>
      </c>
      <c r="D9446" t="s">
        <v>16211</v>
      </c>
      <c r="E9446" t="s">
        <v>24543</v>
      </c>
      <c r="F9446" t="s">
        <v>28198</v>
      </c>
      <c r="G9446" t="s">
        <v>28205</v>
      </c>
      <c r="H9446" t="s">
        <v>28214</v>
      </c>
      <c r="I9446" t="s">
        <v>3797</v>
      </c>
      <c r="J9446" t="s">
        <v>31258</v>
      </c>
      <c r="K9446" t="s">
        <v>36899</v>
      </c>
      <c r="M9446" t="s">
        <v>39876</v>
      </c>
      <c r="N9446" t="s">
        <v>40436</v>
      </c>
      <c r="O9446" t="s">
        <v>40437</v>
      </c>
      <c r="P9446">
        <v>0</v>
      </c>
      <c r="Q9446">
        <v>2</v>
      </c>
      <c r="R9446" t="s">
        <v>40447</v>
      </c>
      <c r="S9446" t="s">
        <v>40868</v>
      </c>
      <c r="T9446" t="s">
        <v>42234</v>
      </c>
      <c r="U9446" t="s">
        <v>50514</v>
      </c>
      <c r="W9446" t="s">
        <v>39876</v>
      </c>
      <c r="X9446" t="s">
        <v>40451</v>
      </c>
    </row>
    <row r="9447" spans="1:24">
      <c r="A9447">
        <f>HYPERLINK("https://www.philgeps.gov.ph/GEPSNONPILOT/Tender/SplashBidNoticeAbstractUI.aspx?menuIndex=3&amp;refID=7028238&amp;Result=3","7028238")</f>
        <v>0</v>
      </c>
      <c r="B9447" t="s">
        <v>86</v>
      </c>
      <c r="C9447" t="s">
        <v>12094</v>
      </c>
      <c r="D9447" t="s">
        <v>16197</v>
      </c>
      <c r="E9447" t="s">
        <v>24544</v>
      </c>
      <c r="F9447" t="s">
        <v>28198</v>
      </c>
      <c r="G9447" t="s">
        <v>28205</v>
      </c>
      <c r="H9447" t="s">
        <v>28214</v>
      </c>
      <c r="I9447" t="s">
        <v>3797</v>
      </c>
      <c r="J9447" t="s">
        <v>34238</v>
      </c>
      <c r="K9447" t="s">
        <v>36697</v>
      </c>
      <c r="M9447" t="s">
        <v>37058</v>
      </c>
      <c r="N9447" t="s">
        <v>40436</v>
      </c>
      <c r="O9447" t="s">
        <v>40437</v>
      </c>
      <c r="Q9447">
        <v>0</v>
      </c>
      <c r="R9447" t="s">
        <v>40447</v>
      </c>
      <c r="S9447" t="s">
        <v>40886</v>
      </c>
      <c r="T9447" t="s">
        <v>42165</v>
      </c>
      <c r="U9447" t="s">
        <v>50515</v>
      </c>
      <c r="V9447" t="s">
        <v>53793</v>
      </c>
      <c r="W9447" t="s">
        <v>37058</v>
      </c>
      <c r="X9447" t="s">
        <v>40451</v>
      </c>
    </row>
    <row r="9448" spans="1:24">
      <c r="A9448">
        <f>HYPERLINK("https://www.philgeps.gov.ph/GEPSNONPILOT/Tender/SplashBidNoticeAbstractUI.aspx?menuIndex=3&amp;refID=7025202&amp;Result=3","7025202")</f>
        <v>0</v>
      </c>
      <c r="B9448" t="s">
        <v>2432</v>
      </c>
      <c r="C9448" t="s">
        <v>12091</v>
      </c>
      <c r="D9448" t="s">
        <v>16211</v>
      </c>
      <c r="E9448" t="s">
        <v>24545</v>
      </c>
      <c r="F9448" t="s">
        <v>28198</v>
      </c>
      <c r="G9448" t="s">
        <v>28205</v>
      </c>
      <c r="H9448" t="s">
        <v>28215</v>
      </c>
      <c r="I9448" t="s">
        <v>8888</v>
      </c>
      <c r="J9448" t="s">
        <v>34239</v>
      </c>
      <c r="K9448" t="s">
        <v>36707</v>
      </c>
      <c r="M9448" t="s">
        <v>39620</v>
      </c>
      <c r="N9448" t="s">
        <v>40436</v>
      </c>
      <c r="O9448" t="s">
        <v>40437</v>
      </c>
      <c r="P9448">
        <v>0</v>
      </c>
      <c r="Q9448">
        <v>3</v>
      </c>
      <c r="R9448" t="s">
        <v>40447</v>
      </c>
      <c r="S9448" t="s">
        <v>40868</v>
      </c>
      <c r="T9448" t="s">
        <v>42346</v>
      </c>
      <c r="U9448" t="s">
        <v>50503</v>
      </c>
      <c r="W9448" t="s">
        <v>39620</v>
      </c>
      <c r="X9448" t="s">
        <v>40452</v>
      </c>
    </row>
    <row r="9449" spans="1:24">
      <c r="A9449">
        <f>HYPERLINK("https://www.philgeps.gov.ph/GEPSNONPILOT/Tender/SplashBidNoticeAbstractUI.aspx?menuIndex=3&amp;refID=7028306&amp;Result=3","7028306")</f>
        <v>0</v>
      </c>
      <c r="B9449" t="s">
        <v>2650</v>
      </c>
      <c r="C9449" t="s">
        <v>12095</v>
      </c>
      <c r="D9449" t="s">
        <v>16195</v>
      </c>
      <c r="E9449" t="s">
        <v>24546</v>
      </c>
      <c r="F9449" t="s">
        <v>28198</v>
      </c>
      <c r="G9449" t="s">
        <v>28205</v>
      </c>
      <c r="H9449" t="s">
        <v>28214</v>
      </c>
      <c r="I9449" t="s">
        <v>3797</v>
      </c>
      <c r="J9449" t="s">
        <v>28468</v>
      </c>
      <c r="K9449" t="s">
        <v>36697</v>
      </c>
      <c r="M9449" t="s">
        <v>39877</v>
      </c>
      <c r="N9449" t="s">
        <v>40436</v>
      </c>
      <c r="O9449" t="s">
        <v>40437</v>
      </c>
      <c r="P9449">
        <v>0</v>
      </c>
      <c r="Q9449">
        <v>2</v>
      </c>
      <c r="R9449" t="s">
        <v>40447</v>
      </c>
      <c r="S9449" t="s">
        <v>40868</v>
      </c>
      <c r="T9449" t="s">
        <v>42183</v>
      </c>
      <c r="U9449" t="s">
        <v>50516</v>
      </c>
      <c r="W9449" t="s">
        <v>39877</v>
      </c>
      <c r="X9449" t="s">
        <v>40451</v>
      </c>
    </row>
    <row r="9450" spans="1:24">
      <c r="A9450">
        <f>HYPERLINK("https://www.philgeps.gov.ph/GEPSNONPILOT/Tender/SplashBidNoticeAbstractUI.aspx?menuIndex=3&amp;refID=7028246&amp;Result=3","7028246")</f>
        <v>0</v>
      </c>
      <c r="B9450" t="s">
        <v>1275</v>
      </c>
      <c r="C9450" t="s">
        <v>12096</v>
      </c>
      <c r="D9450" t="s">
        <v>16248</v>
      </c>
      <c r="E9450" t="s">
        <v>24547</v>
      </c>
      <c r="F9450" t="s">
        <v>28198</v>
      </c>
      <c r="G9450" t="s">
        <v>28205</v>
      </c>
      <c r="H9450" t="s">
        <v>28214</v>
      </c>
      <c r="I9450" t="s">
        <v>3797</v>
      </c>
      <c r="J9450" t="s">
        <v>34240</v>
      </c>
      <c r="K9450" t="s">
        <v>36900</v>
      </c>
      <c r="M9450" t="s">
        <v>38327</v>
      </c>
      <c r="N9450" t="s">
        <v>40436</v>
      </c>
      <c r="O9450" t="s">
        <v>40437</v>
      </c>
      <c r="P9450">
        <v>0</v>
      </c>
      <c r="Q9450">
        <v>0</v>
      </c>
      <c r="R9450" t="s">
        <v>40447</v>
      </c>
      <c r="S9450" t="s">
        <v>40868</v>
      </c>
      <c r="T9450" t="s">
        <v>42240</v>
      </c>
      <c r="U9450" t="s">
        <v>45481</v>
      </c>
      <c r="V9450" t="s">
        <v>54805</v>
      </c>
      <c r="W9450" t="s">
        <v>38327</v>
      </c>
      <c r="X9450" t="s">
        <v>40451</v>
      </c>
    </row>
    <row r="9451" spans="1:24">
      <c r="A9451">
        <f>HYPERLINK("https://www.philgeps.gov.ph/GEPSNONPILOT/Tender/SplashBidNoticeAbstractUI.aspx?menuIndex=3&amp;refID=7027920&amp;Result=3","7027920")</f>
        <v>0</v>
      </c>
      <c r="B9451" t="s">
        <v>2651</v>
      </c>
      <c r="C9451" t="s">
        <v>12097</v>
      </c>
      <c r="D9451" t="s">
        <v>16261</v>
      </c>
      <c r="E9451" t="s">
        <v>24548</v>
      </c>
      <c r="F9451" t="s">
        <v>28198</v>
      </c>
      <c r="G9451" t="s">
        <v>28205</v>
      </c>
      <c r="H9451" t="s">
        <v>28214</v>
      </c>
      <c r="I9451" t="s">
        <v>3797</v>
      </c>
      <c r="J9451" t="s">
        <v>34241</v>
      </c>
      <c r="K9451" t="s">
        <v>36689</v>
      </c>
      <c r="M9451" t="s">
        <v>39878</v>
      </c>
      <c r="N9451" t="s">
        <v>40436</v>
      </c>
      <c r="O9451" t="s">
        <v>40437</v>
      </c>
      <c r="P9451">
        <v>0</v>
      </c>
      <c r="Q9451">
        <v>0</v>
      </c>
      <c r="R9451" t="s">
        <v>40447</v>
      </c>
      <c r="S9451" t="s">
        <v>40868</v>
      </c>
      <c r="T9451" t="s">
        <v>42279</v>
      </c>
      <c r="U9451" t="s">
        <v>50517</v>
      </c>
      <c r="V9451" t="s">
        <v>54806</v>
      </c>
      <c r="W9451" t="s">
        <v>39878</v>
      </c>
      <c r="X9451" t="s">
        <v>40451</v>
      </c>
    </row>
    <row r="9452" spans="1:24">
      <c r="A9452">
        <f>HYPERLINK("https://www.philgeps.gov.ph/GEPSNONPILOT/Tender/SplashBidNoticeAbstractUI.aspx?menuIndex=3&amp;refID=7027760&amp;Result=3","7027760")</f>
        <v>0</v>
      </c>
      <c r="B9452" t="s">
        <v>233</v>
      </c>
      <c r="C9452" t="s">
        <v>12098</v>
      </c>
      <c r="E9452" t="s">
        <v>24549</v>
      </c>
      <c r="F9452" t="s">
        <v>28198</v>
      </c>
      <c r="G9452" t="s">
        <v>28205</v>
      </c>
      <c r="H9452" t="s">
        <v>28214</v>
      </c>
      <c r="I9452" t="s">
        <v>8870</v>
      </c>
      <c r="J9452" t="s">
        <v>28921</v>
      </c>
      <c r="K9452" t="s">
        <v>36867</v>
      </c>
      <c r="M9452" t="s">
        <v>37209</v>
      </c>
      <c r="N9452" t="s">
        <v>40436</v>
      </c>
      <c r="O9452" t="s">
        <v>40437</v>
      </c>
      <c r="P9452">
        <v>0</v>
      </c>
      <c r="Q9452">
        <v>10</v>
      </c>
      <c r="R9452" t="s">
        <v>40447</v>
      </c>
      <c r="S9452" t="s">
        <v>40868</v>
      </c>
      <c r="T9452" t="s">
        <v>42529</v>
      </c>
      <c r="U9452" t="s">
        <v>50518</v>
      </c>
      <c r="W9452" t="s">
        <v>37209</v>
      </c>
      <c r="X9452" t="s">
        <v>40451</v>
      </c>
    </row>
    <row r="9453" spans="1:24">
      <c r="A9453">
        <f>HYPERLINK("https://www.philgeps.gov.ph/GEPSNONPILOT/Tender/SplashBidNoticeAbstractUI.aspx?menuIndex=3&amp;refID=7027876&amp;Result=3","7027876")</f>
        <v>0</v>
      </c>
      <c r="B9453" t="s">
        <v>2651</v>
      </c>
      <c r="C9453" t="s">
        <v>12099</v>
      </c>
      <c r="D9453" t="s">
        <v>16261</v>
      </c>
      <c r="E9453" t="s">
        <v>24548</v>
      </c>
      <c r="F9453" t="s">
        <v>28198</v>
      </c>
      <c r="G9453" t="s">
        <v>28205</v>
      </c>
      <c r="H9453" t="s">
        <v>28214</v>
      </c>
      <c r="I9453" t="s">
        <v>3797</v>
      </c>
      <c r="J9453" t="s">
        <v>34242</v>
      </c>
      <c r="K9453" t="s">
        <v>36689</v>
      </c>
      <c r="M9453" t="s">
        <v>39878</v>
      </c>
      <c r="N9453" t="s">
        <v>40436</v>
      </c>
      <c r="O9453" t="s">
        <v>40437</v>
      </c>
      <c r="P9453">
        <v>0</v>
      </c>
      <c r="Q9453">
        <v>0</v>
      </c>
      <c r="R9453" t="s">
        <v>40447</v>
      </c>
      <c r="S9453" t="s">
        <v>40868</v>
      </c>
      <c r="T9453" t="s">
        <v>42279</v>
      </c>
      <c r="U9453" t="s">
        <v>50519</v>
      </c>
      <c r="V9453" t="s">
        <v>54806</v>
      </c>
      <c r="W9453" t="s">
        <v>39878</v>
      </c>
      <c r="X9453" t="s">
        <v>40451</v>
      </c>
    </row>
    <row r="9454" spans="1:24">
      <c r="A9454">
        <f>HYPERLINK("https://www.philgeps.gov.ph/GEPSNONPILOT/Tender/SplashBidNoticeAbstractUI.aspx?menuIndex=3&amp;refID=7027680&amp;Result=3","7027680")</f>
        <v>0</v>
      </c>
      <c r="B9454" t="s">
        <v>2651</v>
      </c>
      <c r="C9454" t="s">
        <v>12100</v>
      </c>
      <c r="D9454" t="s">
        <v>16261</v>
      </c>
      <c r="E9454" t="s">
        <v>24548</v>
      </c>
      <c r="F9454" t="s">
        <v>28198</v>
      </c>
      <c r="G9454" t="s">
        <v>28205</v>
      </c>
      <c r="H9454" t="s">
        <v>28214</v>
      </c>
      <c r="I9454" t="s">
        <v>3797</v>
      </c>
      <c r="J9454" t="s">
        <v>34243</v>
      </c>
      <c r="K9454" t="s">
        <v>36689</v>
      </c>
      <c r="M9454" t="s">
        <v>39878</v>
      </c>
      <c r="N9454" t="s">
        <v>40436</v>
      </c>
      <c r="O9454" t="s">
        <v>40437</v>
      </c>
      <c r="P9454">
        <v>0</v>
      </c>
      <c r="Q9454">
        <v>0</v>
      </c>
      <c r="R9454" t="s">
        <v>40447</v>
      </c>
      <c r="S9454" t="s">
        <v>40868</v>
      </c>
      <c r="T9454" t="s">
        <v>42279</v>
      </c>
      <c r="U9454" t="s">
        <v>50520</v>
      </c>
      <c r="V9454" t="s">
        <v>54806</v>
      </c>
      <c r="W9454" t="s">
        <v>39878</v>
      </c>
      <c r="X9454" t="s">
        <v>40451</v>
      </c>
    </row>
    <row r="9455" spans="1:24">
      <c r="A9455">
        <f>HYPERLINK("https://www.philgeps.gov.ph/GEPSNONPILOT/Tender/SplashBidNoticeAbstractUI.aspx?menuIndex=3&amp;refID=7027618&amp;Result=3","7027618")</f>
        <v>0</v>
      </c>
      <c r="B9455" t="s">
        <v>1149</v>
      </c>
      <c r="C9455" t="s">
        <v>12101</v>
      </c>
      <c r="D9455" t="s">
        <v>16258</v>
      </c>
      <c r="E9455" t="s">
        <v>24550</v>
      </c>
      <c r="F9455" t="s">
        <v>28198</v>
      </c>
      <c r="G9455" t="s">
        <v>28205</v>
      </c>
      <c r="H9455" t="s">
        <v>28215</v>
      </c>
      <c r="I9455" t="s">
        <v>3774</v>
      </c>
      <c r="J9455" t="s">
        <v>34244</v>
      </c>
      <c r="K9455" t="s">
        <v>36706</v>
      </c>
      <c r="M9455" t="s">
        <v>38189</v>
      </c>
      <c r="N9455" t="s">
        <v>40436</v>
      </c>
      <c r="O9455" t="s">
        <v>40437</v>
      </c>
      <c r="P9455">
        <v>0</v>
      </c>
      <c r="Q9455">
        <v>0</v>
      </c>
      <c r="R9455" t="s">
        <v>40447</v>
      </c>
      <c r="S9455" t="s">
        <v>40868</v>
      </c>
      <c r="T9455" t="s">
        <v>42471</v>
      </c>
      <c r="U9455" t="s">
        <v>50521</v>
      </c>
      <c r="W9455" t="s">
        <v>55525</v>
      </c>
      <c r="X9455" t="s">
        <v>40451</v>
      </c>
    </row>
    <row r="9456" spans="1:24">
      <c r="A9456">
        <f>HYPERLINK("https://www.philgeps.gov.ph/GEPSNONPILOT/Tender/SplashBidNoticeAbstractUI.aspx?menuIndex=3&amp;refID=7028608&amp;Result=3","7028608")</f>
        <v>0</v>
      </c>
      <c r="B9456" t="s">
        <v>2652</v>
      </c>
      <c r="C9456" t="s">
        <v>12102</v>
      </c>
      <c r="D9456" t="s">
        <v>16217</v>
      </c>
      <c r="E9456" t="s">
        <v>24551</v>
      </c>
      <c r="F9456" t="s">
        <v>28198</v>
      </c>
      <c r="G9456" t="s">
        <v>28205</v>
      </c>
      <c r="H9456" t="s">
        <v>28215</v>
      </c>
      <c r="I9456" t="s">
        <v>28228</v>
      </c>
      <c r="J9456" t="s">
        <v>28752</v>
      </c>
      <c r="K9456" t="s">
        <v>36701</v>
      </c>
      <c r="M9456" t="s">
        <v>39879</v>
      </c>
      <c r="N9456" t="s">
        <v>40436</v>
      </c>
      <c r="O9456" t="s">
        <v>40437</v>
      </c>
      <c r="P9456">
        <v>0</v>
      </c>
      <c r="Q9456">
        <v>0</v>
      </c>
      <c r="R9456" t="s">
        <v>40447</v>
      </c>
      <c r="S9456" t="s">
        <v>40868</v>
      </c>
      <c r="T9456" t="s">
        <v>42145</v>
      </c>
      <c r="U9456" t="s">
        <v>50522</v>
      </c>
      <c r="V9456" t="s">
        <v>54807</v>
      </c>
      <c r="W9456" t="s">
        <v>39879</v>
      </c>
      <c r="X9456" t="s">
        <v>40451</v>
      </c>
    </row>
    <row r="9457" spans="1:24">
      <c r="A9457">
        <f>HYPERLINK("https://www.philgeps.gov.ph/GEPSNONPILOT/Tender/SplashBidNoticeAbstractUI.aspx?menuIndex=3&amp;refID=7027590&amp;Result=3","7027590")</f>
        <v>0</v>
      </c>
      <c r="B9457" t="s">
        <v>2651</v>
      </c>
      <c r="C9457" t="s">
        <v>12103</v>
      </c>
      <c r="D9457" t="s">
        <v>16261</v>
      </c>
      <c r="E9457" t="s">
        <v>24548</v>
      </c>
      <c r="F9457" t="s">
        <v>28198</v>
      </c>
      <c r="G9457" t="s">
        <v>28205</v>
      </c>
      <c r="H9457" t="s">
        <v>28214</v>
      </c>
      <c r="I9457" t="s">
        <v>3797</v>
      </c>
      <c r="J9457" t="s">
        <v>34242</v>
      </c>
      <c r="K9457" t="s">
        <v>36689</v>
      </c>
      <c r="M9457" t="s">
        <v>39878</v>
      </c>
      <c r="N9457" t="s">
        <v>40436</v>
      </c>
      <c r="O9457" t="s">
        <v>40437</v>
      </c>
      <c r="P9457">
        <v>0</v>
      </c>
      <c r="Q9457">
        <v>0</v>
      </c>
      <c r="R9457" t="s">
        <v>40447</v>
      </c>
      <c r="S9457" t="s">
        <v>40868</v>
      </c>
      <c r="T9457" t="s">
        <v>42279</v>
      </c>
      <c r="U9457" t="s">
        <v>50523</v>
      </c>
      <c r="V9457" t="s">
        <v>54806</v>
      </c>
      <c r="W9457" t="s">
        <v>39878</v>
      </c>
      <c r="X9457" t="s">
        <v>40451</v>
      </c>
    </row>
    <row r="9458" spans="1:24">
      <c r="A9458">
        <f>HYPERLINK("https://www.philgeps.gov.ph/GEPSNONPILOT/Tender/SplashBidNoticeAbstractUI.aspx?menuIndex=3&amp;refID=7027594&amp;Result=3","7027594")</f>
        <v>0</v>
      </c>
      <c r="B9458" t="s">
        <v>1149</v>
      </c>
      <c r="C9458" t="s">
        <v>12104</v>
      </c>
      <c r="D9458" t="s">
        <v>16258</v>
      </c>
      <c r="E9458" t="s">
        <v>24552</v>
      </c>
      <c r="F9458" t="s">
        <v>28198</v>
      </c>
      <c r="G9458" t="s">
        <v>28205</v>
      </c>
      <c r="H9458" t="s">
        <v>28215</v>
      </c>
      <c r="I9458" t="s">
        <v>3422</v>
      </c>
      <c r="J9458" t="s">
        <v>34245</v>
      </c>
      <c r="K9458" t="s">
        <v>36689</v>
      </c>
      <c r="M9458" t="s">
        <v>38189</v>
      </c>
      <c r="N9458" t="s">
        <v>40436</v>
      </c>
      <c r="O9458" t="s">
        <v>40437</v>
      </c>
      <c r="P9458">
        <v>0</v>
      </c>
      <c r="Q9458">
        <v>0</v>
      </c>
      <c r="R9458" t="s">
        <v>40447</v>
      </c>
      <c r="S9458" t="s">
        <v>40868</v>
      </c>
      <c r="T9458" t="s">
        <v>42471</v>
      </c>
      <c r="U9458" t="s">
        <v>50524</v>
      </c>
      <c r="W9458" t="s">
        <v>55525</v>
      </c>
      <c r="X9458" t="s">
        <v>40451</v>
      </c>
    </row>
    <row r="9459" spans="1:24">
      <c r="A9459">
        <f>HYPERLINK("https://www.philgeps.gov.ph/GEPSNONPILOT/Tender/SplashBidNoticeAbstractUI.aspx?menuIndex=3&amp;refID=7028390&amp;Result=3","7028390")</f>
        <v>0</v>
      </c>
      <c r="B9459" t="s">
        <v>86</v>
      </c>
      <c r="C9459" t="s">
        <v>12105</v>
      </c>
      <c r="D9459" t="s">
        <v>16197</v>
      </c>
      <c r="E9459" t="s">
        <v>24553</v>
      </c>
      <c r="F9459" t="s">
        <v>28198</v>
      </c>
      <c r="G9459" t="s">
        <v>28205</v>
      </c>
      <c r="H9459" t="s">
        <v>28214</v>
      </c>
      <c r="I9459" t="s">
        <v>3797</v>
      </c>
      <c r="J9459" t="s">
        <v>28434</v>
      </c>
      <c r="K9459" t="s">
        <v>36697</v>
      </c>
      <c r="M9459" t="s">
        <v>37058</v>
      </c>
      <c r="N9459" t="s">
        <v>40436</v>
      </c>
      <c r="O9459" t="s">
        <v>40437</v>
      </c>
      <c r="Q9459">
        <v>0</v>
      </c>
      <c r="R9459" t="s">
        <v>40447</v>
      </c>
      <c r="S9459" t="s">
        <v>40887</v>
      </c>
      <c r="T9459" t="s">
        <v>42165</v>
      </c>
      <c r="U9459" t="s">
        <v>50525</v>
      </c>
      <c r="V9459" t="s">
        <v>54808</v>
      </c>
      <c r="W9459" t="s">
        <v>37058</v>
      </c>
      <c r="X9459" t="s">
        <v>40451</v>
      </c>
    </row>
    <row r="9460" spans="1:24">
      <c r="A9460">
        <f>HYPERLINK("https://www.philgeps.gov.ph/GEPSNONPILOT/Tender/SplashBidNoticeAbstractUI.aspx?menuIndex=3&amp;refID=7027265&amp;Result=3","7027265")</f>
        <v>0</v>
      </c>
      <c r="B9460" t="s">
        <v>2653</v>
      </c>
      <c r="C9460" t="s">
        <v>12106</v>
      </c>
      <c r="D9460" t="s">
        <v>16199</v>
      </c>
      <c r="E9460" t="s">
        <v>24554</v>
      </c>
      <c r="F9460" t="s">
        <v>28198</v>
      </c>
      <c r="G9460" t="s">
        <v>28205</v>
      </c>
      <c r="H9460" t="s">
        <v>28214</v>
      </c>
      <c r="I9460" t="s">
        <v>28267</v>
      </c>
      <c r="J9460" t="s">
        <v>34246</v>
      </c>
      <c r="K9460" t="s">
        <v>36697</v>
      </c>
      <c r="M9460" t="s">
        <v>39880</v>
      </c>
      <c r="N9460" t="s">
        <v>40436</v>
      </c>
      <c r="O9460" t="s">
        <v>40437</v>
      </c>
      <c r="P9460">
        <v>0</v>
      </c>
      <c r="Q9460">
        <v>2</v>
      </c>
      <c r="R9460" t="s">
        <v>40447</v>
      </c>
      <c r="S9460" t="s">
        <v>40868</v>
      </c>
      <c r="T9460" t="s">
        <v>42183</v>
      </c>
      <c r="U9460" t="s">
        <v>50526</v>
      </c>
      <c r="W9460" t="s">
        <v>39880</v>
      </c>
      <c r="X9460" t="s">
        <v>40451</v>
      </c>
    </row>
    <row r="9461" spans="1:24">
      <c r="A9461">
        <f>HYPERLINK("https://www.philgeps.gov.ph/GEPSNONPILOT/Tender/SplashBidNoticeAbstractUI.aspx?menuIndex=3&amp;refID=7028601&amp;Result=3","7028601")</f>
        <v>0</v>
      </c>
      <c r="B9461" t="s">
        <v>1711</v>
      </c>
      <c r="C9461" t="s">
        <v>12107</v>
      </c>
      <c r="D9461" t="s">
        <v>16211</v>
      </c>
      <c r="E9461" t="s">
        <v>24555</v>
      </c>
      <c r="F9461" t="s">
        <v>28198</v>
      </c>
      <c r="G9461" t="s">
        <v>28205</v>
      </c>
      <c r="H9461" t="s">
        <v>28214</v>
      </c>
      <c r="I9461" t="s">
        <v>3797</v>
      </c>
      <c r="J9461" t="s">
        <v>29325</v>
      </c>
      <c r="K9461" t="s">
        <v>36901</v>
      </c>
      <c r="M9461" t="s">
        <v>39876</v>
      </c>
      <c r="N9461" t="s">
        <v>40436</v>
      </c>
      <c r="O9461" t="s">
        <v>40437</v>
      </c>
      <c r="P9461">
        <v>0</v>
      </c>
      <c r="Q9461">
        <v>2</v>
      </c>
      <c r="R9461" t="s">
        <v>40447</v>
      </c>
      <c r="S9461" t="s">
        <v>40868</v>
      </c>
      <c r="T9461" t="s">
        <v>42234</v>
      </c>
      <c r="U9461" t="s">
        <v>50514</v>
      </c>
      <c r="W9461" t="s">
        <v>39876</v>
      </c>
      <c r="X9461" t="s">
        <v>40451</v>
      </c>
    </row>
    <row r="9462" spans="1:24">
      <c r="A9462">
        <f>HYPERLINK("https://www.philgeps.gov.ph/GEPSNONPILOT/Tender/SplashBidNoticeAbstractUI.aspx?menuIndex=3&amp;refID=7028694&amp;Result=3","7028694")</f>
        <v>0</v>
      </c>
      <c r="B9462" t="s">
        <v>2654</v>
      </c>
      <c r="C9462" t="s">
        <v>12108</v>
      </c>
      <c r="D9462" t="s">
        <v>16255</v>
      </c>
      <c r="E9462" t="s">
        <v>24556</v>
      </c>
      <c r="F9462" t="s">
        <v>28198</v>
      </c>
      <c r="G9462" t="s">
        <v>28205</v>
      </c>
      <c r="H9462" t="s">
        <v>28215</v>
      </c>
      <c r="I9462" t="s">
        <v>4321</v>
      </c>
      <c r="J9462" t="s">
        <v>34247</v>
      </c>
      <c r="K9462" t="s">
        <v>36694</v>
      </c>
      <c r="M9462" t="s">
        <v>39881</v>
      </c>
      <c r="N9462" t="s">
        <v>40436</v>
      </c>
      <c r="O9462" t="s">
        <v>40437</v>
      </c>
      <c r="Q9462">
        <v>5</v>
      </c>
      <c r="R9462" t="s">
        <v>40447</v>
      </c>
      <c r="S9462" t="s">
        <v>40888</v>
      </c>
      <c r="T9462" t="s">
        <v>42545</v>
      </c>
      <c r="U9462" t="s">
        <v>50527</v>
      </c>
      <c r="V9462" t="s">
        <v>54809</v>
      </c>
      <c r="W9462" t="s">
        <v>39881</v>
      </c>
      <c r="X9462" t="s">
        <v>40451</v>
      </c>
    </row>
    <row r="9463" spans="1:24">
      <c r="A9463">
        <f>HYPERLINK("https://www.philgeps.gov.ph/GEPSNONPILOT/Tender/SplashBidNoticeAbstractUI.aspx?menuIndex=3&amp;refID=7028426&amp;Result=3","7028426")</f>
        <v>0</v>
      </c>
      <c r="B9463" t="s">
        <v>86</v>
      </c>
      <c r="C9463" t="s">
        <v>12109</v>
      </c>
      <c r="D9463" t="s">
        <v>16197</v>
      </c>
      <c r="E9463" t="s">
        <v>24557</v>
      </c>
      <c r="F9463" t="s">
        <v>28198</v>
      </c>
      <c r="G9463" t="s">
        <v>28205</v>
      </c>
      <c r="H9463" t="s">
        <v>28214</v>
      </c>
      <c r="I9463" t="s">
        <v>3797</v>
      </c>
      <c r="J9463" t="s">
        <v>34248</v>
      </c>
      <c r="K9463" t="s">
        <v>36697</v>
      </c>
      <c r="M9463" t="s">
        <v>37058</v>
      </c>
      <c r="N9463" t="s">
        <v>40436</v>
      </c>
      <c r="O9463" t="s">
        <v>40437</v>
      </c>
      <c r="Q9463">
        <v>0</v>
      </c>
      <c r="R9463" t="s">
        <v>40447</v>
      </c>
      <c r="S9463" t="s">
        <v>40709</v>
      </c>
      <c r="T9463" t="s">
        <v>42165</v>
      </c>
      <c r="U9463" t="s">
        <v>50528</v>
      </c>
      <c r="V9463" t="s">
        <v>53793</v>
      </c>
      <c r="W9463" t="s">
        <v>37058</v>
      </c>
      <c r="X9463" t="s">
        <v>40451</v>
      </c>
    </row>
    <row r="9464" spans="1:24">
      <c r="A9464">
        <f>HYPERLINK("https://www.philgeps.gov.ph/GEPSNONPILOT/Tender/SplashBidNoticeAbstractUI.aspx?menuIndex=3&amp;refID=7028703&amp;Result=3","7028703")</f>
        <v>0</v>
      </c>
      <c r="B9464" t="s">
        <v>1711</v>
      </c>
      <c r="C9464" t="s">
        <v>12110</v>
      </c>
      <c r="D9464" t="s">
        <v>16211</v>
      </c>
      <c r="E9464" t="s">
        <v>24558</v>
      </c>
      <c r="F9464" t="s">
        <v>28198</v>
      </c>
      <c r="G9464" t="s">
        <v>28205</v>
      </c>
      <c r="H9464" t="s">
        <v>28214</v>
      </c>
      <c r="I9464" t="s">
        <v>3797</v>
      </c>
      <c r="J9464" t="s">
        <v>34249</v>
      </c>
      <c r="K9464" t="s">
        <v>36846</v>
      </c>
      <c r="M9464" t="s">
        <v>39876</v>
      </c>
      <c r="N9464" t="s">
        <v>40436</v>
      </c>
      <c r="O9464" t="s">
        <v>40437</v>
      </c>
      <c r="P9464">
        <v>0</v>
      </c>
      <c r="Q9464">
        <v>2</v>
      </c>
      <c r="R9464" t="s">
        <v>40447</v>
      </c>
      <c r="S9464" t="s">
        <v>40868</v>
      </c>
      <c r="T9464" t="s">
        <v>42234</v>
      </c>
      <c r="U9464" t="s">
        <v>50514</v>
      </c>
      <c r="W9464" t="s">
        <v>39876</v>
      </c>
      <c r="X9464" t="s">
        <v>40451</v>
      </c>
    </row>
    <row r="9465" spans="1:24">
      <c r="A9465">
        <f>HYPERLINK("https://www.philgeps.gov.ph/GEPSNONPILOT/Tender/SplashBidNoticeAbstractUI.aspx?menuIndex=3&amp;refID=7028383&amp;Result=3","7028383")</f>
        <v>0</v>
      </c>
      <c r="B9465" t="s">
        <v>2655</v>
      </c>
      <c r="C9465" t="s">
        <v>12111</v>
      </c>
      <c r="D9465" t="s">
        <v>16188</v>
      </c>
      <c r="E9465" t="s">
        <v>24559</v>
      </c>
      <c r="F9465" t="s">
        <v>28198</v>
      </c>
      <c r="G9465" t="s">
        <v>28205</v>
      </c>
      <c r="H9465" t="s">
        <v>28215</v>
      </c>
      <c r="I9465" t="s">
        <v>28255</v>
      </c>
      <c r="J9465" t="s">
        <v>34250</v>
      </c>
      <c r="K9465" t="s">
        <v>36701</v>
      </c>
      <c r="M9465" t="s">
        <v>39882</v>
      </c>
      <c r="N9465" t="s">
        <v>40436</v>
      </c>
      <c r="O9465" t="s">
        <v>40437</v>
      </c>
      <c r="P9465">
        <v>0</v>
      </c>
      <c r="Q9465">
        <v>0</v>
      </c>
      <c r="R9465" t="s">
        <v>40447</v>
      </c>
      <c r="S9465" t="s">
        <v>40868</v>
      </c>
      <c r="T9465" t="s">
        <v>42234</v>
      </c>
      <c r="U9465" t="s">
        <v>50529</v>
      </c>
      <c r="V9465" t="s">
        <v>54810</v>
      </c>
      <c r="W9465" t="s">
        <v>39882</v>
      </c>
      <c r="X9465" t="s">
        <v>40451</v>
      </c>
    </row>
    <row r="9466" spans="1:24">
      <c r="A9466">
        <f>HYPERLINK("https://www.philgeps.gov.ph/GEPSNONPILOT/Tender/SplashBidNoticeAbstractUI.aspx?menuIndex=3&amp;refID=7029204&amp;Result=3","7029204")</f>
        <v>0</v>
      </c>
      <c r="B9466" t="s">
        <v>916</v>
      </c>
      <c r="C9466" t="s">
        <v>12112</v>
      </c>
      <c r="D9466" t="s">
        <v>16210</v>
      </c>
      <c r="E9466" t="s">
        <v>24560</v>
      </c>
      <c r="F9466" t="s">
        <v>28198</v>
      </c>
      <c r="G9466" t="s">
        <v>28205</v>
      </c>
      <c r="H9466" t="s">
        <v>28215</v>
      </c>
      <c r="I9466" t="s">
        <v>5103</v>
      </c>
      <c r="J9466" t="s">
        <v>34251</v>
      </c>
      <c r="K9466" t="s">
        <v>36689</v>
      </c>
      <c r="M9466" t="s">
        <v>39883</v>
      </c>
      <c r="N9466" t="s">
        <v>40436</v>
      </c>
      <c r="O9466" t="s">
        <v>40437</v>
      </c>
      <c r="P9466">
        <v>0</v>
      </c>
      <c r="Q9466">
        <v>24</v>
      </c>
      <c r="R9466" t="s">
        <v>40447</v>
      </c>
      <c r="S9466" t="s">
        <v>40868</v>
      </c>
      <c r="T9466" t="s">
        <v>42168</v>
      </c>
      <c r="U9466" t="s">
        <v>50530</v>
      </c>
      <c r="W9466" t="s">
        <v>39883</v>
      </c>
      <c r="X9466" t="s">
        <v>40451</v>
      </c>
    </row>
    <row r="9467" spans="1:24">
      <c r="A9467">
        <f>HYPERLINK("https://www.philgeps.gov.ph/GEPSNONPILOT/Tender/SplashBidNoticeAbstractUI.aspx?menuIndex=3&amp;refID=7028993&amp;Result=3","7028993")</f>
        <v>0</v>
      </c>
      <c r="B9467" t="s">
        <v>2652</v>
      </c>
      <c r="C9467" t="s">
        <v>12113</v>
      </c>
      <c r="D9467" t="s">
        <v>16217</v>
      </c>
      <c r="E9467" t="s">
        <v>24561</v>
      </c>
      <c r="F9467" t="s">
        <v>28198</v>
      </c>
      <c r="G9467" t="s">
        <v>28205</v>
      </c>
      <c r="H9467" t="s">
        <v>28214</v>
      </c>
      <c r="I9467" t="s">
        <v>3797</v>
      </c>
      <c r="J9467" t="s">
        <v>34020</v>
      </c>
      <c r="K9467" t="s">
        <v>36737</v>
      </c>
      <c r="M9467" t="s">
        <v>39879</v>
      </c>
      <c r="N9467" t="s">
        <v>40436</v>
      </c>
      <c r="O9467" t="s">
        <v>40437</v>
      </c>
      <c r="P9467">
        <v>0</v>
      </c>
      <c r="Q9467">
        <v>0</v>
      </c>
      <c r="R9467" t="s">
        <v>40447</v>
      </c>
      <c r="S9467" t="s">
        <v>40868</v>
      </c>
      <c r="T9467" t="s">
        <v>42145</v>
      </c>
      <c r="U9467" t="s">
        <v>50531</v>
      </c>
      <c r="W9467" t="s">
        <v>39879</v>
      </c>
      <c r="X9467" t="s">
        <v>40451</v>
      </c>
    </row>
    <row r="9468" spans="1:24">
      <c r="A9468">
        <f>HYPERLINK("https://www.philgeps.gov.ph/GEPSNONPILOT/Tender/SplashBidNoticeAbstractUI.aspx?menuIndex=3&amp;refID=7029040&amp;Result=3","7029040")</f>
        <v>0</v>
      </c>
      <c r="B9468" t="s">
        <v>2656</v>
      </c>
      <c r="C9468" t="s">
        <v>12114</v>
      </c>
      <c r="D9468" t="s">
        <v>16196</v>
      </c>
      <c r="E9468" t="s">
        <v>17248</v>
      </c>
      <c r="F9468" t="s">
        <v>28198</v>
      </c>
      <c r="G9468" t="s">
        <v>28205</v>
      </c>
      <c r="H9468" t="s">
        <v>28215</v>
      </c>
      <c r="I9468" t="s">
        <v>5100</v>
      </c>
      <c r="J9468" t="s">
        <v>34252</v>
      </c>
      <c r="K9468" t="s">
        <v>36701</v>
      </c>
      <c r="M9468" t="s">
        <v>39884</v>
      </c>
      <c r="N9468" t="s">
        <v>40436</v>
      </c>
      <c r="O9468" t="s">
        <v>40437</v>
      </c>
      <c r="P9468">
        <v>0</v>
      </c>
      <c r="Q9468">
        <v>0</v>
      </c>
      <c r="R9468" t="s">
        <v>40447</v>
      </c>
      <c r="S9468" t="s">
        <v>40868</v>
      </c>
      <c r="T9468" t="s">
        <v>42169</v>
      </c>
      <c r="U9468" t="s">
        <v>50532</v>
      </c>
      <c r="W9468" t="s">
        <v>39884</v>
      </c>
      <c r="X9468" t="s">
        <v>40451</v>
      </c>
    </row>
    <row r="9469" spans="1:24">
      <c r="A9469">
        <f>HYPERLINK("https://www.philgeps.gov.ph/GEPSNONPILOT/Tender/SplashBidNoticeAbstractUI.aspx?menuIndex=3&amp;refID=7028991&amp;Result=3","7028991")</f>
        <v>0</v>
      </c>
      <c r="B9469" t="s">
        <v>2657</v>
      </c>
      <c r="C9469" t="s">
        <v>12115</v>
      </c>
      <c r="D9469" t="s">
        <v>16219</v>
      </c>
      <c r="E9469" t="s">
        <v>17633</v>
      </c>
      <c r="F9469" t="s">
        <v>28198</v>
      </c>
      <c r="G9469" t="s">
        <v>28205</v>
      </c>
      <c r="H9469" t="s">
        <v>28214</v>
      </c>
      <c r="I9469" t="s">
        <v>3797</v>
      </c>
      <c r="J9469" t="s">
        <v>28351</v>
      </c>
      <c r="K9469" t="s">
        <v>36692</v>
      </c>
      <c r="M9469" t="s">
        <v>39885</v>
      </c>
      <c r="N9469" t="s">
        <v>40436</v>
      </c>
      <c r="O9469" t="s">
        <v>40437</v>
      </c>
      <c r="P9469">
        <v>0</v>
      </c>
      <c r="Q9469">
        <v>0</v>
      </c>
      <c r="R9469" t="s">
        <v>40447</v>
      </c>
      <c r="S9469" t="s">
        <v>40868</v>
      </c>
      <c r="T9469" t="s">
        <v>42183</v>
      </c>
      <c r="U9469" t="s">
        <v>50533</v>
      </c>
      <c r="W9469" t="s">
        <v>39885</v>
      </c>
      <c r="X9469" t="s">
        <v>40451</v>
      </c>
    </row>
    <row r="9470" spans="1:24">
      <c r="A9470">
        <f>HYPERLINK("https://www.philgeps.gov.ph/GEPSNONPILOT/Tender/SplashBidNoticeAbstractUI.aspx?menuIndex=3&amp;refID=7028958&amp;Result=3","7028958")</f>
        <v>0</v>
      </c>
      <c r="B9470" t="s">
        <v>1711</v>
      </c>
      <c r="C9470" t="s">
        <v>12116</v>
      </c>
      <c r="D9470" t="s">
        <v>16211</v>
      </c>
      <c r="E9470" t="s">
        <v>24562</v>
      </c>
      <c r="F9470" t="s">
        <v>28198</v>
      </c>
      <c r="G9470" t="s">
        <v>28205</v>
      </c>
      <c r="H9470" t="s">
        <v>28214</v>
      </c>
      <c r="I9470" t="s">
        <v>3797</v>
      </c>
      <c r="J9470" t="s">
        <v>31934</v>
      </c>
      <c r="K9470" t="s">
        <v>36800</v>
      </c>
      <c r="M9470" t="s">
        <v>39876</v>
      </c>
      <c r="N9470" t="s">
        <v>40436</v>
      </c>
      <c r="O9470" t="s">
        <v>40437</v>
      </c>
      <c r="P9470">
        <v>0</v>
      </c>
      <c r="Q9470">
        <v>2</v>
      </c>
      <c r="R9470" t="s">
        <v>40447</v>
      </c>
      <c r="S9470" t="s">
        <v>40868</v>
      </c>
      <c r="T9470" t="s">
        <v>42234</v>
      </c>
      <c r="U9470" t="s">
        <v>50514</v>
      </c>
      <c r="W9470" t="s">
        <v>39876</v>
      </c>
      <c r="X9470" t="s">
        <v>40451</v>
      </c>
    </row>
    <row r="9471" spans="1:24">
      <c r="A9471">
        <f>HYPERLINK("https://www.philgeps.gov.ph/GEPSNONPILOT/Tender/SplashBidNoticeAbstractUI.aspx?menuIndex=3&amp;refID=7029077&amp;Result=3","7029077")</f>
        <v>0</v>
      </c>
      <c r="B9471" t="s">
        <v>2657</v>
      </c>
      <c r="C9471" t="s">
        <v>12117</v>
      </c>
      <c r="D9471" t="s">
        <v>16219</v>
      </c>
      <c r="E9471" t="s">
        <v>17677</v>
      </c>
      <c r="F9471" t="s">
        <v>28198</v>
      </c>
      <c r="G9471" t="s">
        <v>28205</v>
      </c>
      <c r="H9471" t="s">
        <v>28214</v>
      </c>
      <c r="I9471" t="s">
        <v>3797</v>
      </c>
      <c r="J9471" t="s">
        <v>28351</v>
      </c>
      <c r="K9471" t="s">
        <v>36692</v>
      </c>
      <c r="M9471" t="s">
        <v>39885</v>
      </c>
      <c r="N9471" t="s">
        <v>40436</v>
      </c>
      <c r="O9471" t="s">
        <v>40437</v>
      </c>
      <c r="P9471">
        <v>0</v>
      </c>
      <c r="Q9471">
        <v>0</v>
      </c>
      <c r="R9471" t="s">
        <v>40447</v>
      </c>
      <c r="S9471" t="s">
        <v>40868</v>
      </c>
      <c r="T9471" t="s">
        <v>42183</v>
      </c>
      <c r="U9471" t="s">
        <v>50534</v>
      </c>
      <c r="W9471" t="s">
        <v>39885</v>
      </c>
      <c r="X9471" t="s">
        <v>40451</v>
      </c>
    </row>
    <row r="9472" spans="1:24">
      <c r="A9472">
        <f>HYPERLINK("https://www.philgeps.gov.ph/GEPSNONPILOT/Tender/SplashBidNoticeAbstractUI.aspx?menuIndex=3&amp;refID=7028844&amp;Result=3","7028844")</f>
        <v>0</v>
      </c>
      <c r="B9472" t="s">
        <v>2657</v>
      </c>
      <c r="C9472" t="s">
        <v>12118</v>
      </c>
      <c r="D9472" t="s">
        <v>16219</v>
      </c>
      <c r="E9472" t="s">
        <v>17564</v>
      </c>
      <c r="F9472" t="s">
        <v>28198</v>
      </c>
      <c r="G9472" t="s">
        <v>28205</v>
      </c>
      <c r="H9472" t="s">
        <v>28214</v>
      </c>
      <c r="I9472" t="s">
        <v>3797</v>
      </c>
      <c r="J9472" t="s">
        <v>28351</v>
      </c>
      <c r="K9472" t="s">
        <v>36692</v>
      </c>
      <c r="M9472" t="s">
        <v>39885</v>
      </c>
      <c r="N9472" t="s">
        <v>40436</v>
      </c>
      <c r="O9472" t="s">
        <v>40437</v>
      </c>
      <c r="P9472">
        <v>0</v>
      </c>
      <c r="Q9472">
        <v>0</v>
      </c>
      <c r="R9472" t="s">
        <v>40447</v>
      </c>
      <c r="S9472" t="s">
        <v>40868</v>
      </c>
      <c r="T9472" t="s">
        <v>42183</v>
      </c>
      <c r="U9472" t="s">
        <v>50535</v>
      </c>
      <c r="W9472" t="s">
        <v>39885</v>
      </c>
      <c r="X9472" t="s">
        <v>40451</v>
      </c>
    </row>
    <row r="9473" spans="1:24">
      <c r="A9473">
        <f>HYPERLINK("https://www.philgeps.gov.ph/GEPSNONPILOT/Tender/SplashBidNoticeAbstractUI.aspx?menuIndex=3&amp;refID=7029376&amp;Result=3","7029376")</f>
        <v>0</v>
      </c>
      <c r="B9473" t="s">
        <v>2652</v>
      </c>
      <c r="C9473" t="s">
        <v>12119</v>
      </c>
      <c r="D9473" t="s">
        <v>16217</v>
      </c>
      <c r="E9473" t="s">
        <v>24563</v>
      </c>
      <c r="F9473" t="s">
        <v>28198</v>
      </c>
      <c r="G9473" t="s">
        <v>28205</v>
      </c>
      <c r="H9473" t="s">
        <v>28214</v>
      </c>
      <c r="I9473" t="s">
        <v>3797</v>
      </c>
      <c r="J9473" t="s">
        <v>28379</v>
      </c>
      <c r="K9473" t="s">
        <v>36697</v>
      </c>
      <c r="M9473" t="s">
        <v>39879</v>
      </c>
      <c r="N9473" t="s">
        <v>40436</v>
      </c>
      <c r="O9473" t="s">
        <v>40437</v>
      </c>
      <c r="P9473">
        <v>0</v>
      </c>
      <c r="Q9473">
        <v>0</v>
      </c>
      <c r="R9473" t="s">
        <v>40447</v>
      </c>
      <c r="S9473" t="s">
        <v>40868</v>
      </c>
      <c r="T9473" t="s">
        <v>42145</v>
      </c>
      <c r="U9473" t="s">
        <v>50536</v>
      </c>
      <c r="W9473" t="s">
        <v>39879</v>
      </c>
      <c r="X9473" t="s">
        <v>40451</v>
      </c>
    </row>
    <row r="9474" spans="1:24">
      <c r="A9474">
        <f>HYPERLINK("https://www.philgeps.gov.ph/GEPSNONPILOT/Tender/SplashBidNoticeAbstractUI.aspx?menuIndex=3&amp;refID=7029176&amp;Result=3","7029176")</f>
        <v>0</v>
      </c>
      <c r="B9474" t="s">
        <v>2657</v>
      </c>
      <c r="C9474" t="s">
        <v>12120</v>
      </c>
      <c r="D9474" t="s">
        <v>16219</v>
      </c>
      <c r="E9474" t="s">
        <v>24564</v>
      </c>
      <c r="F9474" t="s">
        <v>28198</v>
      </c>
      <c r="G9474" t="s">
        <v>28205</v>
      </c>
      <c r="H9474" t="s">
        <v>28214</v>
      </c>
      <c r="I9474" t="s">
        <v>3797</v>
      </c>
      <c r="J9474" t="s">
        <v>28351</v>
      </c>
      <c r="K9474" t="s">
        <v>36692</v>
      </c>
      <c r="M9474" t="s">
        <v>39885</v>
      </c>
      <c r="N9474" t="s">
        <v>40436</v>
      </c>
      <c r="O9474" t="s">
        <v>40437</v>
      </c>
      <c r="P9474">
        <v>0</v>
      </c>
      <c r="Q9474">
        <v>0</v>
      </c>
      <c r="R9474" t="s">
        <v>40447</v>
      </c>
      <c r="S9474" t="s">
        <v>40868</v>
      </c>
      <c r="T9474" t="s">
        <v>42183</v>
      </c>
      <c r="U9474" t="s">
        <v>50537</v>
      </c>
      <c r="W9474" t="s">
        <v>39885</v>
      </c>
      <c r="X9474" t="s">
        <v>40451</v>
      </c>
    </row>
    <row r="9475" spans="1:24">
      <c r="A9475">
        <f>HYPERLINK("https://www.philgeps.gov.ph/GEPSNONPILOT/Tender/SplashBidNoticeAbstractUI.aspx?menuIndex=3&amp;refID=7029311&amp;Result=3","7029311")</f>
        <v>0</v>
      </c>
      <c r="B9475" t="s">
        <v>2657</v>
      </c>
      <c r="C9475" t="s">
        <v>12121</v>
      </c>
      <c r="D9475" t="s">
        <v>16219</v>
      </c>
      <c r="E9475" t="s">
        <v>24565</v>
      </c>
      <c r="F9475" t="s">
        <v>28198</v>
      </c>
      <c r="G9475" t="s">
        <v>28205</v>
      </c>
      <c r="H9475" t="s">
        <v>28214</v>
      </c>
      <c r="I9475" t="s">
        <v>3797</v>
      </c>
      <c r="J9475" t="s">
        <v>34253</v>
      </c>
      <c r="K9475" t="s">
        <v>36692</v>
      </c>
      <c r="M9475" t="s">
        <v>39885</v>
      </c>
      <c r="N9475" t="s">
        <v>40436</v>
      </c>
      <c r="O9475" t="s">
        <v>40437</v>
      </c>
      <c r="P9475">
        <v>0</v>
      </c>
      <c r="Q9475">
        <v>0</v>
      </c>
      <c r="R9475" t="s">
        <v>40447</v>
      </c>
      <c r="S9475" t="s">
        <v>40868</v>
      </c>
      <c r="T9475" t="s">
        <v>42183</v>
      </c>
      <c r="U9475" t="s">
        <v>50538</v>
      </c>
      <c r="W9475" t="s">
        <v>39885</v>
      </c>
      <c r="X9475" t="s">
        <v>40451</v>
      </c>
    </row>
    <row r="9476" spans="1:24">
      <c r="A9476">
        <f>HYPERLINK("https://www.philgeps.gov.ph/GEPSNONPILOT/Tender/SplashBidNoticeAbstractUI.aspx?menuIndex=3&amp;refID=7029267&amp;Result=3","7029267")</f>
        <v>0</v>
      </c>
      <c r="B9476" t="s">
        <v>2657</v>
      </c>
      <c r="C9476" t="s">
        <v>12122</v>
      </c>
      <c r="D9476" t="s">
        <v>16219</v>
      </c>
      <c r="E9476" t="s">
        <v>23861</v>
      </c>
      <c r="F9476" t="s">
        <v>28198</v>
      </c>
      <c r="G9476" t="s">
        <v>28205</v>
      </c>
      <c r="H9476" t="s">
        <v>28214</v>
      </c>
      <c r="I9476" t="s">
        <v>3797</v>
      </c>
      <c r="J9476" t="s">
        <v>28351</v>
      </c>
      <c r="K9476" t="s">
        <v>36692</v>
      </c>
      <c r="M9476" t="s">
        <v>39885</v>
      </c>
      <c r="N9476" t="s">
        <v>40436</v>
      </c>
      <c r="O9476" t="s">
        <v>40437</v>
      </c>
      <c r="P9476">
        <v>0</v>
      </c>
      <c r="Q9476">
        <v>0</v>
      </c>
      <c r="R9476" t="s">
        <v>40447</v>
      </c>
      <c r="S9476" t="s">
        <v>40868</v>
      </c>
      <c r="T9476" t="s">
        <v>42183</v>
      </c>
      <c r="U9476" t="s">
        <v>50539</v>
      </c>
      <c r="W9476" t="s">
        <v>39885</v>
      </c>
      <c r="X9476" t="s">
        <v>40451</v>
      </c>
    </row>
    <row r="9477" spans="1:24">
      <c r="A9477">
        <f>HYPERLINK("https://www.philgeps.gov.ph/GEPSNONPILOT/Tender/SplashBidNoticeAbstractUI.aspx?menuIndex=3&amp;refID=7028930&amp;Result=3","7028930")</f>
        <v>0</v>
      </c>
      <c r="B9477" t="s">
        <v>2652</v>
      </c>
      <c r="C9477" t="s">
        <v>12123</v>
      </c>
      <c r="D9477" t="s">
        <v>16217</v>
      </c>
      <c r="E9477" t="s">
        <v>24152</v>
      </c>
      <c r="F9477" t="s">
        <v>28198</v>
      </c>
      <c r="G9477" t="s">
        <v>28205</v>
      </c>
      <c r="H9477" t="s">
        <v>28214</v>
      </c>
      <c r="I9477" t="s">
        <v>3797</v>
      </c>
      <c r="J9477" t="s">
        <v>34020</v>
      </c>
      <c r="K9477" t="s">
        <v>36737</v>
      </c>
      <c r="M9477" t="s">
        <v>39879</v>
      </c>
      <c r="N9477" t="s">
        <v>40436</v>
      </c>
      <c r="O9477" t="s">
        <v>40437</v>
      </c>
      <c r="P9477">
        <v>0</v>
      </c>
      <c r="Q9477">
        <v>1</v>
      </c>
      <c r="R9477" t="s">
        <v>40447</v>
      </c>
      <c r="S9477" t="s">
        <v>40868</v>
      </c>
      <c r="T9477" t="s">
        <v>42145</v>
      </c>
      <c r="U9477" t="s">
        <v>50540</v>
      </c>
      <c r="W9477" t="s">
        <v>39879</v>
      </c>
      <c r="X9477" t="s">
        <v>40451</v>
      </c>
    </row>
    <row r="9478" spans="1:24">
      <c r="A9478">
        <f>HYPERLINK("https://www.philgeps.gov.ph/GEPSNONPILOT/Tender/SplashBidNoticeAbstractUI.aspx?menuIndex=3&amp;refID=7029219&amp;Result=3","7029219")</f>
        <v>0</v>
      </c>
      <c r="B9478" t="s">
        <v>571</v>
      </c>
      <c r="C9478" t="s">
        <v>12124</v>
      </c>
      <c r="D9478" t="s">
        <v>16210</v>
      </c>
      <c r="E9478" t="s">
        <v>24566</v>
      </c>
      <c r="F9478" t="s">
        <v>28198</v>
      </c>
      <c r="G9478" t="s">
        <v>28205</v>
      </c>
      <c r="H9478" t="s">
        <v>28215</v>
      </c>
      <c r="I9478" t="s">
        <v>28220</v>
      </c>
      <c r="J9478" t="s">
        <v>34254</v>
      </c>
      <c r="K9478" t="s">
        <v>36697</v>
      </c>
      <c r="M9478" t="s">
        <v>38664</v>
      </c>
      <c r="N9478" t="s">
        <v>40436</v>
      </c>
      <c r="O9478" t="s">
        <v>40437</v>
      </c>
      <c r="P9478">
        <v>0</v>
      </c>
      <c r="Q9478">
        <v>23</v>
      </c>
      <c r="R9478" t="s">
        <v>40447</v>
      </c>
      <c r="S9478" t="s">
        <v>40868</v>
      </c>
      <c r="T9478" t="s">
        <v>42279</v>
      </c>
      <c r="U9478" t="s">
        <v>50541</v>
      </c>
      <c r="W9478" t="s">
        <v>38664</v>
      </c>
      <c r="X9478" t="s">
        <v>40451</v>
      </c>
    </row>
    <row r="9479" spans="1:24">
      <c r="A9479">
        <f>HYPERLINK("https://www.philgeps.gov.ph/GEPSNONPILOT/Tender/SplashBidNoticeAbstractUI.aspx?menuIndex=3&amp;refID=7029345&amp;Result=3","7029345")</f>
        <v>0</v>
      </c>
      <c r="B9479" t="s">
        <v>2657</v>
      </c>
      <c r="C9479" t="s">
        <v>12125</v>
      </c>
      <c r="D9479" t="s">
        <v>16219</v>
      </c>
      <c r="E9479" t="s">
        <v>18722</v>
      </c>
      <c r="F9479" t="s">
        <v>28198</v>
      </c>
      <c r="G9479" t="s">
        <v>28205</v>
      </c>
      <c r="H9479" t="s">
        <v>28214</v>
      </c>
      <c r="I9479" t="s">
        <v>3797</v>
      </c>
      <c r="J9479" t="s">
        <v>28347</v>
      </c>
      <c r="K9479" t="s">
        <v>36692</v>
      </c>
      <c r="M9479" t="s">
        <v>39885</v>
      </c>
      <c r="N9479" t="s">
        <v>40436</v>
      </c>
      <c r="O9479" t="s">
        <v>40437</v>
      </c>
      <c r="P9479">
        <v>0</v>
      </c>
      <c r="Q9479">
        <v>0</v>
      </c>
      <c r="R9479" t="s">
        <v>40447</v>
      </c>
      <c r="S9479" t="s">
        <v>40868</v>
      </c>
      <c r="T9479" t="s">
        <v>42183</v>
      </c>
      <c r="U9479" t="s">
        <v>50542</v>
      </c>
      <c r="W9479" t="s">
        <v>39885</v>
      </c>
      <c r="X9479" t="s">
        <v>40451</v>
      </c>
    </row>
    <row r="9480" spans="1:24">
      <c r="A9480">
        <f>HYPERLINK("https://www.philgeps.gov.ph/GEPSNONPILOT/Tender/SplashBidNoticeAbstractUI.aspx?menuIndex=3&amp;refID=7029825&amp;Result=3","7029825")</f>
        <v>0</v>
      </c>
      <c r="B9480" t="s">
        <v>2658</v>
      </c>
      <c r="C9480" t="s">
        <v>12126</v>
      </c>
      <c r="D9480" t="s">
        <v>16222</v>
      </c>
      <c r="E9480" t="s">
        <v>17049</v>
      </c>
      <c r="F9480" t="s">
        <v>28198</v>
      </c>
      <c r="G9480" t="s">
        <v>28205</v>
      </c>
      <c r="H9480" t="s">
        <v>28215</v>
      </c>
      <c r="I9480" t="s">
        <v>5100</v>
      </c>
      <c r="J9480" t="s">
        <v>34255</v>
      </c>
      <c r="K9480" t="s">
        <v>36706</v>
      </c>
      <c r="M9480" t="s">
        <v>38086</v>
      </c>
      <c r="N9480" t="s">
        <v>40436</v>
      </c>
      <c r="O9480" t="s">
        <v>40437</v>
      </c>
      <c r="P9480">
        <v>0</v>
      </c>
      <c r="Q9480">
        <v>0</v>
      </c>
      <c r="R9480" t="s">
        <v>40447</v>
      </c>
      <c r="S9480" t="s">
        <v>40868</v>
      </c>
      <c r="T9480" t="s">
        <v>42375</v>
      </c>
      <c r="U9480" t="s">
        <v>50543</v>
      </c>
      <c r="W9480" t="s">
        <v>38086</v>
      </c>
      <c r="X9480" t="s">
        <v>40450</v>
      </c>
    </row>
    <row r="9481" spans="1:24">
      <c r="A9481">
        <f>HYPERLINK("https://www.philgeps.gov.ph/GEPSNONPILOT/Tender/SplashBidNoticeAbstractUI.aspx?menuIndex=3&amp;refID=7029094&amp;Result=3","7029094")</f>
        <v>0</v>
      </c>
      <c r="B9481" t="s">
        <v>2656</v>
      </c>
      <c r="C9481" t="s">
        <v>12127</v>
      </c>
      <c r="D9481" t="s">
        <v>16196</v>
      </c>
      <c r="E9481" t="s">
        <v>16588</v>
      </c>
      <c r="F9481" t="s">
        <v>28198</v>
      </c>
      <c r="G9481" t="s">
        <v>28205</v>
      </c>
      <c r="H9481" t="s">
        <v>28215</v>
      </c>
      <c r="I9481" t="s">
        <v>5100</v>
      </c>
      <c r="J9481" t="s">
        <v>34256</v>
      </c>
      <c r="K9481" t="s">
        <v>36701</v>
      </c>
      <c r="M9481" t="s">
        <v>39884</v>
      </c>
      <c r="N9481" t="s">
        <v>40436</v>
      </c>
      <c r="O9481" t="s">
        <v>40437</v>
      </c>
      <c r="P9481">
        <v>0</v>
      </c>
      <c r="Q9481">
        <v>0</v>
      </c>
      <c r="R9481" t="s">
        <v>40447</v>
      </c>
      <c r="S9481" t="s">
        <v>40868</v>
      </c>
      <c r="T9481" t="s">
        <v>42169</v>
      </c>
      <c r="U9481" t="s">
        <v>50544</v>
      </c>
      <c r="W9481" t="s">
        <v>39884</v>
      </c>
      <c r="X9481" t="s">
        <v>40451</v>
      </c>
    </row>
    <row r="9482" spans="1:24">
      <c r="A9482">
        <f>HYPERLINK("https://www.philgeps.gov.ph/GEPSNONPILOT/Tender/SplashBidNoticeAbstractUI.aspx?menuIndex=3&amp;refID=7029259&amp;Result=3","7029259")</f>
        <v>0</v>
      </c>
      <c r="B9482" t="s">
        <v>2652</v>
      </c>
      <c r="C9482" t="s">
        <v>12128</v>
      </c>
      <c r="D9482" t="s">
        <v>16217</v>
      </c>
      <c r="E9482" t="s">
        <v>24567</v>
      </c>
      <c r="F9482" t="s">
        <v>28198</v>
      </c>
      <c r="G9482" t="s">
        <v>28205</v>
      </c>
      <c r="H9482" t="s">
        <v>28214</v>
      </c>
      <c r="I9482" t="s">
        <v>3797</v>
      </c>
      <c r="J9482" t="s">
        <v>34257</v>
      </c>
      <c r="K9482" t="s">
        <v>36735</v>
      </c>
      <c r="M9482" t="s">
        <v>39879</v>
      </c>
      <c r="N9482" t="s">
        <v>40436</v>
      </c>
      <c r="O9482" t="s">
        <v>40437</v>
      </c>
      <c r="P9482">
        <v>0</v>
      </c>
      <c r="Q9482">
        <v>1</v>
      </c>
      <c r="R9482" t="s">
        <v>40447</v>
      </c>
      <c r="S9482" t="s">
        <v>40868</v>
      </c>
      <c r="T9482" t="s">
        <v>42145</v>
      </c>
      <c r="U9482" t="s">
        <v>50545</v>
      </c>
      <c r="W9482" t="s">
        <v>39879</v>
      </c>
      <c r="X9482" t="s">
        <v>40451</v>
      </c>
    </row>
    <row r="9483" spans="1:24">
      <c r="A9483">
        <f>HYPERLINK("https://www.philgeps.gov.ph/GEPSNONPILOT/Tender/SplashBidNoticeAbstractUI.aspx?menuIndex=3&amp;refID=7029349&amp;Result=3","7029349")</f>
        <v>0</v>
      </c>
      <c r="B9483" t="s">
        <v>186</v>
      </c>
      <c r="C9483" t="s">
        <v>12129</v>
      </c>
      <c r="D9483" t="s">
        <v>16248</v>
      </c>
      <c r="E9483" t="s">
        <v>24568</v>
      </c>
      <c r="F9483" t="s">
        <v>28198</v>
      </c>
      <c r="G9483" t="s">
        <v>28205</v>
      </c>
      <c r="H9483" t="s">
        <v>28214</v>
      </c>
      <c r="I9483" t="s">
        <v>3797</v>
      </c>
      <c r="J9483" t="s">
        <v>34258</v>
      </c>
      <c r="K9483" t="s">
        <v>36687</v>
      </c>
      <c r="M9483" t="s">
        <v>37884</v>
      </c>
      <c r="N9483" t="s">
        <v>40436</v>
      </c>
      <c r="O9483" t="s">
        <v>40437</v>
      </c>
      <c r="P9483">
        <v>0</v>
      </c>
      <c r="Q9483">
        <v>4</v>
      </c>
      <c r="R9483" t="s">
        <v>40447</v>
      </c>
      <c r="S9483" t="s">
        <v>40868</v>
      </c>
      <c r="T9483" t="s">
        <v>42169</v>
      </c>
      <c r="U9483" t="s">
        <v>50546</v>
      </c>
      <c r="V9483" t="s">
        <v>54811</v>
      </c>
      <c r="W9483" t="s">
        <v>37884</v>
      </c>
      <c r="X9483" t="s">
        <v>40451</v>
      </c>
    </row>
    <row r="9484" spans="1:24">
      <c r="A9484">
        <f>HYPERLINK("https://www.philgeps.gov.ph/GEPSNONPILOT/Tender/SplashBidNoticeAbstractUI.aspx?menuIndex=3&amp;refID=7030080&amp;Result=3","7030080")</f>
        <v>0</v>
      </c>
      <c r="B9484" t="s">
        <v>2659</v>
      </c>
      <c r="C9484" t="s">
        <v>6910</v>
      </c>
      <c r="D9484" t="s">
        <v>16195</v>
      </c>
      <c r="E9484" t="s">
        <v>18093</v>
      </c>
      <c r="F9484" t="s">
        <v>28198</v>
      </c>
      <c r="G9484" t="s">
        <v>28205</v>
      </c>
      <c r="H9484" t="s">
        <v>28215</v>
      </c>
      <c r="I9484" t="s">
        <v>5100</v>
      </c>
      <c r="J9484" t="s">
        <v>34259</v>
      </c>
      <c r="K9484" t="s">
        <v>36707</v>
      </c>
      <c r="M9484" t="s">
        <v>39886</v>
      </c>
      <c r="N9484" t="s">
        <v>40436</v>
      </c>
      <c r="O9484" t="s">
        <v>40437</v>
      </c>
      <c r="P9484">
        <v>0</v>
      </c>
      <c r="Q9484">
        <v>1</v>
      </c>
      <c r="R9484" t="s">
        <v>40447</v>
      </c>
      <c r="S9484" t="s">
        <v>40868</v>
      </c>
      <c r="T9484" t="s">
        <v>42279</v>
      </c>
      <c r="U9484" t="s">
        <v>50547</v>
      </c>
      <c r="W9484" t="s">
        <v>39886</v>
      </c>
      <c r="X9484" t="s">
        <v>40450</v>
      </c>
    </row>
    <row r="9485" spans="1:24">
      <c r="A9485">
        <f>HYPERLINK("https://www.philgeps.gov.ph/GEPSNONPILOT/Tender/SplashBidNoticeAbstractUI.aspx?menuIndex=3&amp;refID=7029229&amp;Result=3","7029229")</f>
        <v>0</v>
      </c>
      <c r="B9485" t="s">
        <v>2657</v>
      </c>
      <c r="C9485" t="s">
        <v>12130</v>
      </c>
      <c r="D9485" t="s">
        <v>16219</v>
      </c>
      <c r="E9485" t="s">
        <v>24569</v>
      </c>
      <c r="F9485" t="s">
        <v>28198</v>
      </c>
      <c r="G9485" t="s">
        <v>28205</v>
      </c>
      <c r="H9485" t="s">
        <v>28214</v>
      </c>
      <c r="I9485" t="s">
        <v>3797</v>
      </c>
      <c r="J9485" t="s">
        <v>28351</v>
      </c>
      <c r="K9485" t="s">
        <v>36692</v>
      </c>
      <c r="M9485" t="s">
        <v>39885</v>
      </c>
      <c r="N9485" t="s">
        <v>40436</v>
      </c>
      <c r="O9485" t="s">
        <v>40437</v>
      </c>
      <c r="P9485">
        <v>0</v>
      </c>
      <c r="Q9485">
        <v>0</v>
      </c>
      <c r="R9485" t="s">
        <v>40447</v>
      </c>
      <c r="S9485" t="s">
        <v>40868</v>
      </c>
      <c r="T9485" t="s">
        <v>42183</v>
      </c>
      <c r="U9485" t="s">
        <v>50548</v>
      </c>
      <c r="W9485" t="s">
        <v>39885</v>
      </c>
      <c r="X9485" t="s">
        <v>40451</v>
      </c>
    </row>
    <row r="9486" spans="1:24">
      <c r="A9486">
        <f>HYPERLINK("https://www.philgeps.gov.ph/GEPSNONPILOT/Tender/SplashBidNoticeAbstractUI.aspx?menuIndex=3&amp;refID=7029852&amp;Result=3","7029852")</f>
        <v>0</v>
      </c>
      <c r="B9486" t="s">
        <v>2660</v>
      </c>
      <c r="C9486" t="s">
        <v>12131</v>
      </c>
      <c r="D9486" t="s">
        <v>16258</v>
      </c>
      <c r="E9486" t="s">
        <v>24570</v>
      </c>
      <c r="F9486" t="s">
        <v>28198</v>
      </c>
      <c r="G9486" t="s">
        <v>28206</v>
      </c>
      <c r="H9486" t="s">
        <v>28215</v>
      </c>
      <c r="I9486" t="s">
        <v>28319</v>
      </c>
      <c r="J9486" t="s">
        <v>28345</v>
      </c>
      <c r="K9486" t="s">
        <v>36701</v>
      </c>
      <c r="M9486" t="s">
        <v>39887</v>
      </c>
      <c r="N9486" t="s">
        <v>40436</v>
      </c>
      <c r="O9486" t="s">
        <v>40437</v>
      </c>
      <c r="P9486">
        <v>0</v>
      </c>
      <c r="Q9486">
        <v>1</v>
      </c>
      <c r="R9486" t="s">
        <v>40447</v>
      </c>
      <c r="S9486" t="s">
        <v>40868</v>
      </c>
      <c r="T9486" t="s">
        <v>42159</v>
      </c>
      <c r="U9486" t="s">
        <v>50549</v>
      </c>
      <c r="W9486" t="s">
        <v>39887</v>
      </c>
      <c r="X9486" t="s">
        <v>40450</v>
      </c>
    </row>
    <row r="9487" spans="1:24">
      <c r="A9487">
        <f>HYPERLINK("https://www.philgeps.gov.ph/GEPSNONPILOT/Tender/SplashBidNoticeAbstractUI.aspx?menuIndex=3&amp;refID=7030018&amp;Result=3","7030018")</f>
        <v>0</v>
      </c>
      <c r="B9487" t="s">
        <v>2659</v>
      </c>
      <c r="C9487" t="s">
        <v>12132</v>
      </c>
      <c r="D9487" t="s">
        <v>16195</v>
      </c>
      <c r="E9487" t="s">
        <v>16424</v>
      </c>
      <c r="F9487" t="s">
        <v>28198</v>
      </c>
      <c r="G9487" t="s">
        <v>28205</v>
      </c>
      <c r="H9487" t="s">
        <v>28215</v>
      </c>
      <c r="I9487" t="s">
        <v>5100</v>
      </c>
      <c r="J9487" t="s">
        <v>34260</v>
      </c>
      <c r="K9487" t="s">
        <v>36707</v>
      </c>
      <c r="M9487" t="s">
        <v>39886</v>
      </c>
      <c r="N9487" t="s">
        <v>40436</v>
      </c>
      <c r="O9487" t="s">
        <v>40437</v>
      </c>
      <c r="P9487">
        <v>0</v>
      </c>
      <c r="Q9487">
        <v>1</v>
      </c>
      <c r="R9487" t="s">
        <v>40447</v>
      </c>
      <c r="S9487" t="s">
        <v>40868</v>
      </c>
      <c r="T9487" t="s">
        <v>42103</v>
      </c>
      <c r="U9487" t="s">
        <v>50550</v>
      </c>
      <c r="W9487" t="s">
        <v>39886</v>
      </c>
      <c r="X9487" t="s">
        <v>40450</v>
      </c>
    </row>
    <row r="9488" spans="1:24">
      <c r="A9488">
        <f>HYPERLINK("https://www.philgeps.gov.ph/GEPSNONPILOT/Tender/SplashBidNoticeAbstractUI.aspx?menuIndex=3&amp;refID=7029597&amp;Result=3","7029597")</f>
        <v>0</v>
      </c>
      <c r="B9488" t="s">
        <v>1778</v>
      </c>
      <c r="C9488" t="s">
        <v>12133</v>
      </c>
      <c r="D9488" t="s">
        <v>16249</v>
      </c>
      <c r="E9488" t="s">
        <v>24571</v>
      </c>
      <c r="F9488" t="s">
        <v>28198</v>
      </c>
      <c r="G9488" t="s">
        <v>28205</v>
      </c>
      <c r="H9488" t="s">
        <v>28215</v>
      </c>
      <c r="I9488" t="s">
        <v>28249</v>
      </c>
      <c r="J9488" t="s">
        <v>34261</v>
      </c>
      <c r="K9488" t="s">
        <v>36701</v>
      </c>
      <c r="M9488" t="s">
        <v>38894</v>
      </c>
      <c r="N9488" t="s">
        <v>40436</v>
      </c>
      <c r="O9488" t="s">
        <v>40437</v>
      </c>
      <c r="P9488">
        <v>0</v>
      </c>
      <c r="Q9488">
        <v>6</v>
      </c>
      <c r="R9488" t="s">
        <v>40447</v>
      </c>
      <c r="S9488" t="s">
        <v>40868</v>
      </c>
      <c r="T9488" t="s">
        <v>42278</v>
      </c>
      <c r="U9488" t="s">
        <v>50551</v>
      </c>
      <c r="V9488" t="s">
        <v>54812</v>
      </c>
      <c r="W9488" t="s">
        <v>38894</v>
      </c>
      <c r="X9488" t="s">
        <v>40451</v>
      </c>
    </row>
    <row r="9489" spans="1:24">
      <c r="A9489">
        <f>HYPERLINK("https://www.philgeps.gov.ph/GEPSNONPILOT/Tender/SplashBidNoticeAbstractUI.aspx?menuIndex=3&amp;refID=7030155&amp;Result=3","7030155")</f>
        <v>0</v>
      </c>
      <c r="B9489" t="s">
        <v>101</v>
      </c>
      <c r="C9489" t="s">
        <v>12134</v>
      </c>
      <c r="D9489" t="s">
        <v>16200</v>
      </c>
      <c r="E9489" t="s">
        <v>24572</v>
      </c>
      <c r="F9489" t="s">
        <v>28198</v>
      </c>
      <c r="G9489" t="s">
        <v>28205</v>
      </c>
      <c r="H9489" t="s">
        <v>28214</v>
      </c>
      <c r="I9489" t="s">
        <v>3797</v>
      </c>
      <c r="J9489" t="s">
        <v>34262</v>
      </c>
      <c r="K9489" t="s">
        <v>36715</v>
      </c>
      <c r="M9489" t="s">
        <v>37075</v>
      </c>
      <c r="N9489" t="s">
        <v>40436</v>
      </c>
      <c r="O9489" t="s">
        <v>40437</v>
      </c>
      <c r="P9489">
        <v>0</v>
      </c>
      <c r="Q9489">
        <v>1</v>
      </c>
      <c r="R9489" t="s">
        <v>40447</v>
      </c>
      <c r="S9489" t="s">
        <v>40868</v>
      </c>
      <c r="T9489" t="s">
        <v>42390</v>
      </c>
      <c r="U9489" t="s">
        <v>50552</v>
      </c>
      <c r="V9489" t="s">
        <v>53799</v>
      </c>
      <c r="W9489" t="s">
        <v>37075</v>
      </c>
      <c r="X9489" t="s">
        <v>40450</v>
      </c>
    </row>
    <row r="9490" spans="1:24">
      <c r="A9490">
        <f>HYPERLINK("https://www.philgeps.gov.ph/GEPSNONPILOT/Tender/SplashBidNoticeAbstractUI.aspx?menuIndex=3&amp;refID=7030009&amp;Result=3","7030009")</f>
        <v>0</v>
      </c>
      <c r="B9490" t="s">
        <v>668</v>
      </c>
      <c r="C9490" t="s">
        <v>12135</v>
      </c>
      <c r="D9490" t="s">
        <v>16223</v>
      </c>
      <c r="E9490" t="s">
        <v>24573</v>
      </c>
      <c r="F9490" t="s">
        <v>28198</v>
      </c>
      <c r="G9490" t="s">
        <v>28205</v>
      </c>
      <c r="H9490" t="s">
        <v>28214</v>
      </c>
      <c r="I9490" t="s">
        <v>3797</v>
      </c>
      <c r="J9490" t="s">
        <v>34263</v>
      </c>
      <c r="K9490" t="s">
        <v>36689</v>
      </c>
      <c r="M9490" t="s">
        <v>37664</v>
      </c>
      <c r="N9490" t="s">
        <v>40436</v>
      </c>
      <c r="O9490" t="s">
        <v>40437</v>
      </c>
      <c r="P9490">
        <v>0</v>
      </c>
      <c r="Q9490">
        <v>0</v>
      </c>
      <c r="R9490" t="s">
        <v>40447</v>
      </c>
      <c r="S9490" t="s">
        <v>40868</v>
      </c>
      <c r="T9490" t="s">
        <v>42103</v>
      </c>
      <c r="U9490" t="s">
        <v>50553</v>
      </c>
      <c r="W9490" t="s">
        <v>37664</v>
      </c>
      <c r="X9490" t="s">
        <v>40450</v>
      </c>
    </row>
    <row r="9491" spans="1:24">
      <c r="A9491">
        <f>HYPERLINK("https://www.philgeps.gov.ph/GEPSNONPILOT/Tender/SplashBidNoticeAbstractUI.aspx?menuIndex=3&amp;refID=7030120&amp;Result=3","7030120")</f>
        <v>0</v>
      </c>
      <c r="B9491" t="s">
        <v>2661</v>
      </c>
      <c r="C9491" t="s">
        <v>12136</v>
      </c>
      <c r="D9491" t="s">
        <v>16245</v>
      </c>
      <c r="E9491" t="s">
        <v>24574</v>
      </c>
      <c r="F9491" t="s">
        <v>28198</v>
      </c>
      <c r="G9491" t="s">
        <v>28205</v>
      </c>
      <c r="H9491" t="s">
        <v>28215</v>
      </c>
      <c r="I9491" t="s">
        <v>28260</v>
      </c>
      <c r="J9491" t="s">
        <v>30433</v>
      </c>
      <c r="K9491" t="s">
        <v>36701</v>
      </c>
      <c r="M9491" t="s">
        <v>39888</v>
      </c>
      <c r="N9491" t="s">
        <v>40436</v>
      </c>
      <c r="O9491" t="s">
        <v>40437</v>
      </c>
      <c r="P9491">
        <v>0</v>
      </c>
      <c r="Q9491">
        <v>0</v>
      </c>
      <c r="R9491" t="s">
        <v>40447</v>
      </c>
      <c r="S9491" t="s">
        <v>40868</v>
      </c>
      <c r="T9491" t="s">
        <v>42279</v>
      </c>
      <c r="U9491" t="s">
        <v>50554</v>
      </c>
      <c r="W9491" t="s">
        <v>39888</v>
      </c>
      <c r="X9491" t="s">
        <v>40450</v>
      </c>
    </row>
    <row r="9492" spans="1:24">
      <c r="A9492">
        <f>HYPERLINK("https://www.philgeps.gov.ph/GEPSNONPILOT/Tender/SplashBidNoticeAbstractUI.aspx?menuIndex=3&amp;refID=7030211&amp;Result=3","7030211")</f>
        <v>0</v>
      </c>
      <c r="B9492" t="s">
        <v>2662</v>
      </c>
      <c r="C9492" t="s">
        <v>12137</v>
      </c>
      <c r="D9492" t="s">
        <v>16195</v>
      </c>
      <c r="E9492" t="s">
        <v>24575</v>
      </c>
      <c r="F9492" t="s">
        <v>28198</v>
      </c>
      <c r="G9492" t="s">
        <v>28207</v>
      </c>
      <c r="H9492" t="s">
        <v>28215</v>
      </c>
      <c r="I9492" t="s">
        <v>4321</v>
      </c>
      <c r="J9492" t="s">
        <v>34264</v>
      </c>
      <c r="K9492" t="s">
        <v>36707</v>
      </c>
      <c r="M9492" t="s">
        <v>39889</v>
      </c>
      <c r="N9492" t="s">
        <v>40436</v>
      </c>
      <c r="O9492" t="s">
        <v>40437</v>
      </c>
      <c r="P9492">
        <v>0</v>
      </c>
      <c r="Q9492">
        <v>0</v>
      </c>
      <c r="R9492" t="s">
        <v>40447</v>
      </c>
      <c r="S9492" t="s">
        <v>40868</v>
      </c>
      <c r="T9492" t="s">
        <v>42205</v>
      </c>
      <c r="U9492" t="s">
        <v>50555</v>
      </c>
      <c r="W9492" t="s">
        <v>39889</v>
      </c>
      <c r="X9492" t="s">
        <v>40450</v>
      </c>
    </row>
    <row r="9493" spans="1:24">
      <c r="A9493">
        <f>HYPERLINK("https://www.philgeps.gov.ph/GEPSNONPILOT/Tender/SplashBidNoticeAbstractUI.aspx?menuIndex=3&amp;refID=7030212&amp;Result=3","7030212")</f>
        <v>0</v>
      </c>
      <c r="B9493" t="s">
        <v>2083</v>
      </c>
      <c r="C9493" t="s">
        <v>12138</v>
      </c>
      <c r="E9493" t="s">
        <v>24576</v>
      </c>
      <c r="F9493" t="s">
        <v>28198</v>
      </c>
      <c r="G9493" t="s">
        <v>28207</v>
      </c>
      <c r="H9493" t="s">
        <v>28215</v>
      </c>
      <c r="I9493" t="s">
        <v>28249</v>
      </c>
      <c r="J9493" t="s">
        <v>28345</v>
      </c>
      <c r="K9493" t="s">
        <v>36701</v>
      </c>
      <c r="M9493" t="s">
        <v>39232</v>
      </c>
      <c r="N9493" t="s">
        <v>40436</v>
      </c>
      <c r="O9493" t="s">
        <v>40437</v>
      </c>
      <c r="Q9493">
        <v>1</v>
      </c>
      <c r="R9493" t="s">
        <v>40447</v>
      </c>
      <c r="S9493" t="s">
        <v>40889</v>
      </c>
      <c r="T9493" t="s">
        <v>42133</v>
      </c>
      <c r="U9493" t="s">
        <v>50556</v>
      </c>
      <c r="W9493" t="s">
        <v>39232</v>
      </c>
      <c r="X9493" t="s">
        <v>40450</v>
      </c>
    </row>
    <row r="9494" spans="1:24">
      <c r="A9494">
        <f>HYPERLINK("https://www.philgeps.gov.ph/GEPSNONPILOT/Tender/SplashBidNoticeAbstractUI.aspx?menuIndex=3&amp;refID=7030193&amp;Result=3","7030193")</f>
        <v>0</v>
      </c>
      <c r="B9494" t="s">
        <v>2663</v>
      </c>
      <c r="C9494" t="s">
        <v>12139</v>
      </c>
      <c r="D9494" t="s">
        <v>16221</v>
      </c>
      <c r="E9494" t="s">
        <v>24577</v>
      </c>
      <c r="F9494" t="s">
        <v>28198</v>
      </c>
      <c r="G9494" t="s">
        <v>28205</v>
      </c>
      <c r="H9494" t="s">
        <v>28214</v>
      </c>
      <c r="I9494" t="s">
        <v>3797</v>
      </c>
      <c r="J9494" t="s">
        <v>34265</v>
      </c>
      <c r="K9494" t="s">
        <v>36737</v>
      </c>
      <c r="M9494" t="s">
        <v>39890</v>
      </c>
      <c r="N9494" t="s">
        <v>40436</v>
      </c>
      <c r="O9494" t="s">
        <v>40437</v>
      </c>
      <c r="P9494">
        <v>0</v>
      </c>
      <c r="Q9494">
        <v>4</v>
      </c>
      <c r="R9494" t="s">
        <v>40447</v>
      </c>
      <c r="S9494" t="s">
        <v>40868</v>
      </c>
      <c r="T9494" t="s">
        <v>42278</v>
      </c>
      <c r="U9494" t="s">
        <v>50557</v>
      </c>
      <c r="W9494" t="s">
        <v>55526</v>
      </c>
      <c r="X9494" t="s">
        <v>40450</v>
      </c>
    </row>
    <row r="9495" spans="1:24">
      <c r="A9495">
        <f>HYPERLINK("https://www.philgeps.gov.ph/GEPSNONPILOT/Tender/SplashBidNoticeAbstractUI.aspx?menuIndex=3&amp;refID=7029992&amp;Result=3","7029992")</f>
        <v>0</v>
      </c>
      <c r="B9495" t="s">
        <v>1076</v>
      </c>
      <c r="C9495" t="s">
        <v>12140</v>
      </c>
      <c r="D9495" t="s">
        <v>16193</v>
      </c>
      <c r="E9495" t="s">
        <v>24578</v>
      </c>
      <c r="F9495" t="s">
        <v>28198</v>
      </c>
      <c r="G9495" t="s">
        <v>28205</v>
      </c>
      <c r="H9495" t="s">
        <v>28214</v>
      </c>
      <c r="I9495" t="s">
        <v>3797</v>
      </c>
      <c r="J9495" t="s">
        <v>28379</v>
      </c>
      <c r="K9495" t="s">
        <v>36689</v>
      </c>
      <c r="M9495" t="s">
        <v>38110</v>
      </c>
      <c r="N9495" t="s">
        <v>40436</v>
      </c>
      <c r="O9495" t="s">
        <v>40437</v>
      </c>
      <c r="P9495">
        <v>0</v>
      </c>
      <c r="Q9495">
        <v>2</v>
      </c>
      <c r="R9495" t="s">
        <v>40447</v>
      </c>
      <c r="S9495" t="s">
        <v>40868</v>
      </c>
      <c r="T9495" t="s">
        <v>42279</v>
      </c>
      <c r="U9495" t="s">
        <v>50558</v>
      </c>
      <c r="V9495" t="s">
        <v>53826</v>
      </c>
      <c r="W9495" t="s">
        <v>38110</v>
      </c>
      <c r="X9495" t="s">
        <v>40450</v>
      </c>
    </row>
    <row r="9496" spans="1:24">
      <c r="A9496">
        <f>HYPERLINK("https://www.philgeps.gov.ph/GEPSNONPILOT/Tender/SplashBidNoticeAbstractUI.aspx?menuIndex=3&amp;refID=7029939&amp;Result=3","7029939")</f>
        <v>0</v>
      </c>
      <c r="B9496" t="s">
        <v>101</v>
      </c>
      <c r="C9496" t="s">
        <v>12141</v>
      </c>
      <c r="D9496" t="s">
        <v>16200</v>
      </c>
      <c r="E9496" t="s">
        <v>24579</v>
      </c>
      <c r="F9496" t="s">
        <v>28198</v>
      </c>
      <c r="G9496" t="s">
        <v>28205</v>
      </c>
      <c r="H9496" t="s">
        <v>28215</v>
      </c>
      <c r="I9496" t="s">
        <v>8888</v>
      </c>
      <c r="J9496" t="s">
        <v>34266</v>
      </c>
      <c r="K9496" t="s">
        <v>36701</v>
      </c>
      <c r="M9496" t="s">
        <v>37075</v>
      </c>
      <c r="N9496" t="s">
        <v>40436</v>
      </c>
      <c r="O9496" t="s">
        <v>40437</v>
      </c>
      <c r="P9496">
        <v>0</v>
      </c>
      <c r="Q9496">
        <v>4</v>
      </c>
      <c r="R9496" t="s">
        <v>40447</v>
      </c>
      <c r="S9496" t="s">
        <v>40868</v>
      </c>
      <c r="T9496" t="s">
        <v>42234</v>
      </c>
      <c r="U9496" t="s">
        <v>50559</v>
      </c>
      <c r="V9496" t="s">
        <v>53799</v>
      </c>
      <c r="W9496" t="s">
        <v>37075</v>
      </c>
      <c r="X9496" t="s">
        <v>40450</v>
      </c>
    </row>
    <row r="9497" spans="1:24">
      <c r="A9497">
        <f>HYPERLINK("https://www.philgeps.gov.ph/GEPSNONPILOT/Tender/SplashBidNoticeAbstractUI.aspx?menuIndex=3&amp;refID=7029881&amp;Result=3","7029881")</f>
        <v>0</v>
      </c>
      <c r="B9497" t="s">
        <v>2664</v>
      </c>
      <c r="C9497" t="s">
        <v>12142</v>
      </c>
      <c r="D9497" t="s">
        <v>16244</v>
      </c>
      <c r="E9497" t="s">
        <v>24580</v>
      </c>
      <c r="F9497" t="s">
        <v>28198</v>
      </c>
      <c r="G9497" t="s">
        <v>28205</v>
      </c>
      <c r="H9497" t="s">
        <v>28214</v>
      </c>
      <c r="I9497" t="s">
        <v>3797</v>
      </c>
      <c r="J9497" t="s">
        <v>28379</v>
      </c>
      <c r="K9497" t="s">
        <v>36902</v>
      </c>
      <c r="M9497" t="s">
        <v>39891</v>
      </c>
      <c r="N9497" t="s">
        <v>40436</v>
      </c>
      <c r="O9497" t="s">
        <v>40437</v>
      </c>
      <c r="P9497">
        <v>0</v>
      </c>
      <c r="Q9497">
        <v>0</v>
      </c>
      <c r="R9497" t="s">
        <v>40447</v>
      </c>
      <c r="S9497" t="s">
        <v>40868</v>
      </c>
      <c r="T9497" t="s">
        <v>42168</v>
      </c>
      <c r="U9497" t="s">
        <v>50560</v>
      </c>
      <c r="W9497" t="s">
        <v>39891</v>
      </c>
      <c r="X9497" t="s">
        <v>40450</v>
      </c>
    </row>
    <row r="9498" spans="1:24">
      <c r="A9498">
        <f>HYPERLINK("https://www.philgeps.gov.ph/GEPSNONPILOT/Tender/SplashBidNoticeAbstractUI.aspx?menuIndex=3&amp;refID=7030007&amp;Result=3","7030007")</f>
        <v>0</v>
      </c>
      <c r="B9498" t="s">
        <v>2665</v>
      </c>
      <c r="C9498" t="s">
        <v>12143</v>
      </c>
      <c r="D9498" t="s">
        <v>16196</v>
      </c>
      <c r="E9498" t="s">
        <v>16322</v>
      </c>
      <c r="F9498" t="s">
        <v>28198</v>
      </c>
      <c r="G9498" t="s">
        <v>28205</v>
      </c>
      <c r="H9498" t="s">
        <v>28214</v>
      </c>
      <c r="I9498" t="s">
        <v>3797</v>
      </c>
      <c r="J9498" t="s">
        <v>34267</v>
      </c>
      <c r="K9498" t="s">
        <v>36692</v>
      </c>
      <c r="M9498" t="s">
        <v>39892</v>
      </c>
      <c r="N9498" t="s">
        <v>40436</v>
      </c>
      <c r="O9498" t="s">
        <v>40437</v>
      </c>
      <c r="P9498">
        <v>0</v>
      </c>
      <c r="Q9498">
        <v>29</v>
      </c>
      <c r="R9498" t="s">
        <v>40447</v>
      </c>
      <c r="S9498" t="s">
        <v>40868</v>
      </c>
      <c r="T9498" t="s">
        <v>42511</v>
      </c>
      <c r="U9498" t="s">
        <v>50561</v>
      </c>
      <c r="W9498" t="s">
        <v>39892</v>
      </c>
      <c r="X9498" t="s">
        <v>40450</v>
      </c>
    </row>
    <row r="9499" spans="1:24">
      <c r="A9499">
        <f>HYPERLINK("https://www.philgeps.gov.ph/GEPSNONPILOT/Tender/SplashBidNoticeAbstractUI.aspx?menuIndex=3&amp;refID=7030173&amp;Result=3","7030173")</f>
        <v>0</v>
      </c>
      <c r="B9499" t="s">
        <v>101</v>
      </c>
      <c r="C9499" t="s">
        <v>12144</v>
      </c>
      <c r="D9499" t="s">
        <v>16200</v>
      </c>
      <c r="E9499" t="s">
        <v>24581</v>
      </c>
      <c r="F9499" t="s">
        <v>28198</v>
      </c>
      <c r="G9499" t="s">
        <v>28205</v>
      </c>
      <c r="H9499" t="s">
        <v>28214</v>
      </c>
      <c r="I9499" t="s">
        <v>3797</v>
      </c>
      <c r="J9499" t="s">
        <v>34268</v>
      </c>
      <c r="K9499" t="s">
        <v>36903</v>
      </c>
      <c r="M9499" t="s">
        <v>37075</v>
      </c>
      <c r="N9499" t="s">
        <v>40436</v>
      </c>
      <c r="O9499" t="s">
        <v>40437</v>
      </c>
      <c r="P9499">
        <v>0</v>
      </c>
      <c r="Q9499">
        <v>0</v>
      </c>
      <c r="R9499" t="s">
        <v>40447</v>
      </c>
      <c r="S9499" t="s">
        <v>40868</v>
      </c>
      <c r="T9499" t="s">
        <v>42390</v>
      </c>
      <c r="U9499" t="s">
        <v>50562</v>
      </c>
      <c r="V9499" t="s">
        <v>53799</v>
      </c>
      <c r="W9499" t="s">
        <v>37075</v>
      </c>
      <c r="X9499" t="s">
        <v>40450</v>
      </c>
    </row>
    <row r="9500" spans="1:24">
      <c r="A9500">
        <f>HYPERLINK("https://www.philgeps.gov.ph/GEPSNONPILOT/Tender/SplashBidNoticeAbstractUI.aspx?menuIndex=3&amp;refID=7029249&amp;Result=3","7029249")</f>
        <v>0</v>
      </c>
      <c r="B9500" t="s">
        <v>571</v>
      </c>
      <c r="C9500" t="s">
        <v>12145</v>
      </c>
      <c r="D9500" t="s">
        <v>16210</v>
      </c>
      <c r="E9500" t="s">
        <v>24582</v>
      </c>
      <c r="F9500" t="s">
        <v>28198</v>
      </c>
      <c r="G9500" t="s">
        <v>28205</v>
      </c>
      <c r="H9500" t="s">
        <v>28215</v>
      </c>
      <c r="I9500" t="s">
        <v>28220</v>
      </c>
      <c r="J9500" t="s">
        <v>34269</v>
      </c>
      <c r="K9500" t="s">
        <v>36697</v>
      </c>
      <c r="M9500" t="s">
        <v>38664</v>
      </c>
      <c r="N9500" t="s">
        <v>40436</v>
      </c>
      <c r="O9500" t="s">
        <v>40437</v>
      </c>
      <c r="P9500">
        <v>0</v>
      </c>
      <c r="Q9500">
        <v>32</v>
      </c>
      <c r="R9500" t="s">
        <v>40447</v>
      </c>
      <c r="S9500" t="s">
        <v>40868</v>
      </c>
      <c r="T9500" t="s">
        <v>42279</v>
      </c>
      <c r="U9500" t="s">
        <v>50563</v>
      </c>
      <c r="W9500" t="s">
        <v>38664</v>
      </c>
      <c r="X9500" t="s">
        <v>40451</v>
      </c>
    </row>
    <row r="9501" spans="1:24">
      <c r="A9501">
        <f>HYPERLINK("https://www.philgeps.gov.ph/GEPSNONPILOT/Tender/SplashBidNoticeAbstractUI.aspx?menuIndex=3&amp;refID=7029856&amp;Result=3","7029856")</f>
        <v>0</v>
      </c>
      <c r="B9501" t="s">
        <v>1794</v>
      </c>
      <c r="C9501" t="s">
        <v>12146</v>
      </c>
      <c r="D9501" t="s">
        <v>16223</v>
      </c>
      <c r="E9501" t="s">
        <v>24583</v>
      </c>
      <c r="F9501" t="s">
        <v>28198</v>
      </c>
      <c r="G9501" t="s">
        <v>28205</v>
      </c>
      <c r="H9501" t="s">
        <v>28214</v>
      </c>
      <c r="I9501" t="s">
        <v>3797</v>
      </c>
      <c r="J9501" t="s">
        <v>34270</v>
      </c>
      <c r="K9501" t="s">
        <v>36770</v>
      </c>
      <c r="M9501" t="s">
        <v>38911</v>
      </c>
      <c r="N9501" t="s">
        <v>40436</v>
      </c>
      <c r="O9501" t="s">
        <v>40437</v>
      </c>
      <c r="P9501">
        <v>0</v>
      </c>
      <c r="Q9501">
        <v>5</v>
      </c>
      <c r="R9501" t="s">
        <v>40447</v>
      </c>
      <c r="S9501" t="s">
        <v>40868</v>
      </c>
      <c r="T9501" t="s">
        <v>42234</v>
      </c>
      <c r="U9501" t="s">
        <v>50564</v>
      </c>
      <c r="V9501" t="s">
        <v>54813</v>
      </c>
      <c r="W9501" t="s">
        <v>38911</v>
      </c>
      <c r="X9501" t="s">
        <v>40450</v>
      </c>
    </row>
    <row r="9502" spans="1:24">
      <c r="A9502">
        <f>HYPERLINK("https://www.philgeps.gov.ph/GEPSNONPILOT/Tender/SplashBidNoticeAbstractUI.aspx?menuIndex=3&amp;refID=7030271&amp;Result=3","7030271")</f>
        <v>0</v>
      </c>
      <c r="B9502" t="s">
        <v>766</v>
      </c>
      <c r="C9502" t="s">
        <v>12147</v>
      </c>
      <c r="D9502" t="s">
        <v>16219</v>
      </c>
      <c r="E9502" t="s">
        <v>24584</v>
      </c>
      <c r="F9502" t="s">
        <v>28198</v>
      </c>
      <c r="G9502" t="s">
        <v>28209</v>
      </c>
      <c r="H9502" t="s">
        <v>28215</v>
      </c>
      <c r="I9502" t="s">
        <v>28222</v>
      </c>
      <c r="J9502" t="s">
        <v>31303</v>
      </c>
      <c r="K9502" t="s">
        <v>36694</v>
      </c>
      <c r="M9502" t="s">
        <v>39893</v>
      </c>
      <c r="N9502" t="s">
        <v>40436</v>
      </c>
      <c r="O9502" t="s">
        <v>40437</v>
      </c>
      <c r="P9502">
        <v>0</v>
      </c>
      <c r="Q9502">
        <v>3</v>
      </c>
      <c r="R9502" t="s">
        <v>40447</v>
      </c>
      <c r="S9502" t="s">
        <v>40868</v>
      </c>
      <c r="T9502" t="s">
        <v>42234</v>
      </c>
      <c r="U9502" t="s">
        <v>50565</v>
      </c>
      <c r="V9502" t="s">
        <v>54814</v>
      </c>
      <c r="W9502" t="s">
        <v>39893</v>
      </c>
      <c r="X9502" t="s">
        <v>40450</v>
      </c>
    </row>
    <row r="9503" spans="1:24">
      <c r="A9503">
        <f>HYPERLINK("https://www.philgeps.gov.ph/GEPSNONPILOT/Tender/SplashBidNoticeAbstractUI.aspx?menuIndex=3&amp;refID=7030297&amp;Result=3","7030297")</f>
        <v>0</v>
      </c>
      <c r="B9503" t="s">
        <v>580</v>
      </c>
      <c r="C9503" t="s">
        <v>12148</v>
      </c>
      <c r="D9503" t="s">
        <v>16214</v>
      </c>
      <c r="E9503" t="s">
        <v>24585</v>
      </c>
      <c r="F9503" t="s">
        <v>28198</v>
      </c>
      <c r="G9503" t="s">
        <v>28205</v>
      </c>
      <c r="H9503" t="s">
        <v>28214</v>
      </c>
      <c r="I9503" t="s">
        <v>8870</v>
      </c>
      <c r="J9503" t="s">
        <v>34271</v>
      </c>
      <c r="K9503" t="s">
        <v>36697</v>
      </c>
      <c r="M9503" t="s">
        <v>37570</v>
      </c>
      <c r="N9503" t="s">
        <v>40436</v>
      </c>
      <c r="O9503" t="s">
        <v>40437</v>
      </c>
      <c r="P9503">
        <v>0</v>
      </c>
      <c r="Q9503">
        <v>1</v>
      </c>
      <c r="R9503" t="s">
        <v>40447</v>
      </c>
      <c r="S9503" t="s">
        <v>40868</v>
      </c>
      <c r="T9503" t="s">
        <v>42278</v>
      </c>
      <c r="U9503" t="s">
        <v>50566</v>
      </c>
      <c r="W9503" t="s">
        <v>37570</v>
      </c>
      <c r="X9503" t="s">
        <v>40450</v>
      </c>
    </row>
    <row r="9504" spans="1:24">
      <c r="A9504">
        <f>HYPERLINK("https://www.philgeps.gov.ph/GEPSNONPILOT/Tender/SplashBidNoticeAbstractUI.aspx?menuIndex=3&amp;refID=7029865&amp;Result=3","7029865")</f>
        <v>0</v>
      </c>
      <c r="B9504" t="s">
        <v>1794</v>
      </c>
      <c r="C9504" t="s">
        <v>12149</v>
      </c>
      <c r="D9504" t="s">
        <v>16223</v>
      </c>
      <c r="E9504" t="s">
        <v>24586</v>
      </c>
      <c r="F9504" t="s">
        <v>28198</v>
      </c>
      <c r="G9504" t="s">
        <v>28205</v>
      </c>
      <c r="H9504" t="s">
        <v>28214</v>
      </c>
      <c r="I9504" t="s">
        <v>3797</v>
      </c>
      <c r="J9504" t="s">
        <v>34272</v>
      </c>
      <c r="K9504" t="s">
        <v>36690</v>
      </c>
      <c r="M9504" t="s">
        <v>38911</v>
      </c>
      <c r="N9504" t="s">
        <v>40436</v>
      </c>
      <c r="O9504" t="s">
        <v>40437</v>
      </c>
      <c r="P9504">
        <v>0</v>
      </c>
      <c r="Q9504">
        <v>5</v>
      </c>
      <c r="R9504" t="s">
        <v>40447</v>
      </c>
      <c r="S9504" t="s">
        <v>40868</v>
      </c>
      <c r="T9504" t="s">
        <v>42234</v>
      </c>
      <c r="U9504" t="s">
        <v>50567</v>
      </c>
      <c r="V9504" t="s">
        <v>54813</v>
      </c>
      <c r="W9504" t="s">
        <v>38911</v>
      </c>
      <c r="X9504" t="s">
        <v>40450</v>
      </c>
    </row>
    <row r="9505" spans="1:24">
      <c r="A9505">
        <f>HYPERLINK("https://www.philgeps.gov.ph/GEPSNONPILOT/Tender/SplashBidNoticeAbstractUI.aspx?menuIndex=3&amp;refID=7029901&amp;Result=3","7029901")</f>
        <v>0</v>
      </c>
      <c r="B9505" t="s">
        <v>101</v>
      </c>
      <c r="C9505" t="s">
        <v>12150</v>
      </c>
      <c r="D9505" t="s">
        <v>16200</v>
      </c>
      <c r="E9505" t="s">
        <v>24587</v>
      </c>
      <c r="F9505" t="s">
        <v>28198</v>
      </c>
      <c r="G9505" t="s">
        <v>28205</v>
      </c>
      <c r="H9505" t="s">
        <v>28215</v>
      </c>
      <c r="I9505" t="s">
        <v>5100</v>
      </c>
      <c r="J9505" t="s">
        <v>34273</v>
      </c>
      <c r="K9505" t="s">
        <v>36701</v>
      </c>
      <c r="M9505" t="s">
        <v>37075</v>
      </c>
      <c r="N9505" t="s">
        <v>40436</v>
      </c>
      <c r="O9505" t="s">
        <v>40437</v>
      </c>
      <c r="P9505">
        <v>0</v>
      </c>
      <c r="Q9505">
        <v>5</v>
      </c>
      <c r="R9505" t="s">
        <v>40447</v>
      </c>
      <c r="S9505" t="s">
        <v>40868</v>
      </c>
      <c r="T9505" t="s">
        <v>42234</v>
      </c>
      <c r="U9505" t="s">
        <v>50568</v>
      </c>
      <c r="V9505" t="s">
        <v>53799</v>
      </c>
      <c r="W9505" t="s">
        <v>37075</v>
      </c>
      <c r="X9505" t="s">
        <v>40450</v>
      </c>
    </row>
    <row r="9506" spans="1:24">
      <c r="A9506">
        <f>HYPERLINK("https://www.philgeps.gov.ph/GEPSNONPILOT/Tender/SplashBidNoticeAbstractUI.aspx?menuIndex=3&amp;refID=7030668&amp;Result=3","7030668")</f>
        <v>0</v>
      </c>
      <c r="B9506" t="s">
        <v>856</v>
      </c>
      <c r="C9506" t="s">
        <v>12151</v>
      </c>
      <c r="D9506" t="s">
        <v>16221</v>
      </c>
      <c r="E9506" t="s">
        <v>24588</v>
      </c>
      <c r="F9506" t="s">
        <v>28198</v>
      </c>
      <c r="G9506" t="s">
        <v>28205</v>
      </c>
      <c r="H9506" t="s">
        <v>28215</v>
      </c>
      <c r="I9506" t="s">
        <v>28294</v>
      </c>
      <c r="J9506" t="s">
        <v>34274</v>
      </c>
      <c r="K9506" t="s">
        <v>36689</v>
      </c>
      <c r="M9506" t="s">
        <v>37868</v>
      </c>
      <c r="N9506" t="s">
        <v>40436</v>
      </c>
      <c r="O9506" t="s">
        <v>40437</v>
      </c>
      <c r="P9506">
        <v>0</v>
      </c>
      <c r="Q9506">
        <v>5</v>
      </c>
      <c r="R9506" t="s">
        <v>40447</v>
      </c>
      <c r="S9506" t="s">
        <v>40868</v>
      </c>
      <c r="T9506" t="s">
        <v>42165</v>
      </c>
      <c r="U9506" t="s">
        <v>50569</v>
      </c>
      <c r="W9506" t="s">
        <v>55527</v>
      </c>
      <c r="X9506" t="s">
        <v>40450</v>
      </c>
    </row>
    <row r="9507" spans="1:24">
      <c r="A9507">
        <f>HYPERLINK("https://www.philgeps.gov.ph/GEPSNONPILOT/Tender/SplashBidNoticeAbstractUI.aspx?menuIndex=3&amp;refID=7030678&amp;Result=3","7030678")</f>
        <v>0</v>
      </c>
      <c r="B9507" t="s">
        <v>856</v>
      </c>
      <c r="C9507" t="s">
        <v>12152</v>
      </c>
      <c r="D9507" t="s">
        <v>16221</v>
      </c>
      <c r="E9507" t="s">
        <v>24589</v>
      </c>
      <c r="F9507" t="s">
        <v>28198</v>
      </c>
      <c r="G9507" t="s">
        <v>28205</v>
      </c>
      <c r="H9507" t="s">
        <v>28215</v>
      </c>
      <c r="I9507" t="s">
        <v>8888</v>
      </c>
      <c r="J9507" t="s">
        <v>34275</v>
      </c>
      <c r="K9507" t="s">
        <v>36706</v>
      </c>
      <c r="M9507" t="s">
        <v>37868</v>
      </c>
      <c r="N9507" t="s">
        <v>40436</v>
      </c>
      <c r="O9507" t="s">
        <v>40437</v>
      </c>
      <c r="P9507">
        <v>0</v>
      </c>
      <c r="Q9507">
        <v>7</v>
      </c>
      <c r="R9507" t="s">
        <v>40447</v>
      </c>
      <c r="S9507" t="s">
        <v>40868</v>
      </c>
      <c r="T9507" t="s">
        <v>42165</v>
      </c>
      <c r="U9507" t="s">
        <v>50570</v>
      </c>
      <c r="W9507" t="s">
        <v>55527</v>
      </c>
      <c r="X9507" t="s">
        <v>40450</v>
      </c>
    </row>
    <row r="9508" spans="1:24">
      <c r="A9508">
        <f>HYPERLINK("https://www.philgeps.gov.ph/GEPSNONPILOT/Tender/SplashBidNoticeAbstractUI.aspx?menuIndex=3&amp;refID=7030670&amp;Result=3","7030670")</f>
        <v>0</v>
      </c>
      <c r="B9508" t="s">
        <v>319</v>
      </c>
      <c r="C9508" t="s">
        <v>12153</v>
      </c>
      <c r="E9508" t="s">
        <v>24590</v>
      </c>
      <c r="F9508" t="s">
        <v>28198</v>
      </c>
      <c r="G9508" t="s">
        <v>28205</v>
      </c>
      <c r="H9508" t="s">
        <v>28216</v>
      </c>
      <c r="I9508" t="s">
        <v>28216</v>
      </c>
      <c r="J9508" t="s">
        <v>28464</v>
      </c>
      <c r="K9508" t="s">
        <v>36705</v>
      </c>
      <c r="M9508" t="s">
        <v>37297</v>
      </c>
      <c r="N9508" t="s">
        <v>40436</v>
      </c>
      <c r="O9508" t="s">
        <v>40437</v>
      </c>
      <c r="P9508">
        <v>0</v>
      </c>
      <c r="Q9508">
        <v>4</v>
      </c>
      <c r="R9508" t="s">
        <v>40447</v>
      </c>
      <c r="S9508" t="s">
        <v>40868</v>
      </c>
      <c r="T9508" t="s">
        <v>42165</v>
      </c>
      <c r="U9508" t="s">
        <v>50571</v>
      </c>
      <c r="V9508" t="s">
        <v>54815</v>
      </c>
      <c r="W9508" t="s">
        <v>37297</v>
      </c>
      <c r="X9508" t="s">
        <v>40450</v>
      </c>
    </row>
    <row r="9509" spans="1:24">
      <c r="A9509">
        <f>HYPERLINK("https://www.philgeps.gov.ph/GEPSNONPILOT/Tender/SplashBidNoticeAbstractUI.aspx?menuIndex=3&amp;refID=7030284&amp;Result=3","7030284")</f>
        <v>0</v>
      </c>
      <c r="B9509" t="s">
        <v>1105</v>
      </c>
      <c r="C9509" t="s">
        <v>12154</v>
      </c>
      <c r="D9509" t="s">
        <v>16206</v>
      </c>
      <c r="E9509" t="s">
        <v>16506</v>
      </c>
      <c r="F9509" t="s">
        <v>28198</v>
      </c>
      <c r="G9509" t="s">
        <v>28205</v>
      </c>
      <c r="H9509" t="s">
        <v>28215</v>
      </c>
      <c r="I9509" t="s">
        <v>6051</v>
      </c>
      <c r="J9509" t="s">
        <v>34276</v>
      </c>
      <c r="K9509" t="s">
        <v>36692</v>
      </c>
      <c r="M9509" t="s">
        <v>38141</v>
      </c>
      <c r="N9509" t="s">
        <v>40436</v>
      </c>
      <c r="O9509" t="s">
        <v>40437</v>
      </c>
      <c r="P9509">
        <v>0</v>
      </c>
      <c r="Q9509">
        <v>16</v>
      </c>
      <c r="R9509" t="s">
        <v>40447</v>
      </c>
      <c r="S9509" t="s">
        <v>40868</v>
      </c>
      <c r="T9509" t="s">
        <v>42346</v>
      </c>
      <c r="U9509" t="s">
        <v>50572</v>
      </c>
      <c r="V9509" t="s">
        <v>54816</v>
      </c>
      <c r="W9509" t="s">
        <v>38141</v>
      </c>
      <c r="X9509" t="s">
        <v>40450</v>
      </c>
    </row>
    <row r="9510" spans="1:24">
      <c r="A9510">
        <f>HYPERLINK("https://www.philgeps.gov.ph/GEPSNONPILOT/Tender/SplashBidNoticeAbstractUI.aspx?menuIndex=3&amp;refID=7030591&amp;Result=3","7030591")</f>
        <v>0</v>
      </c>
      <c r="B9510" t="s">
        <v>2432</v>
      </c>
      <c r="C9510" t="s">
        <v>4214</v>
      </c>
      <c r="D9510" t="s">
        <v>16211</v>
      </c>
      <c r="E9510" t="s">
        <v>24591</v>
      </c>
      <c r="F9510" t="s">
        <v>28198</v>
      </c>
      <c r="G9510" t="s">
        <v>28205</v>
      </c>
      <c r="H9510" t="s">
        <v>28215</v>
      </c>
      <c r="I9510" t="s">
        <v>28225</v>
      </c>
      <c r="J9510" t="s">
        <v>34277</v>
      </c>
      <c r="K9510" t="s">
        <v>36707</v>
      </c>
      <c r="M9510" t="s">
        <v>39620</v>
      </c>
      <c r="N9510" t="s">
        <v>40436</v>
      </c>
      <c r="O9510" t="s">
        <v>40437</v>
      </c>
      <c r="P9510">
        <v>0</v>
      </c>
      <c r="Q9510">
        <v>3</v>
      </c>
      <c r="R9510" t="s">
        <v>40447</v>
      </c>
      <c r="S9510" t="s">
        <v>40868</v>
      </c>
      <c r="T9510" t="s">
        <v>42346</v>
      </c>
      <c r="U9510" t="s">
        <v>50503</v>
      </c>
      <c r="W9510" t="s">
        <v>39620</v>
      </c>
      <c r="X9510" t="s">
        <v>40450</v>
      </c>
    </row>
    <row r="9511" spans="1:24">
      <c r="A9511">
        <f>HYPERLINK("https://www.philgeps.gov.ph/GEPSNONPILOT/Tender/SplashBidNoticeAbstractUI.aspx?menuIndex=3&amp;refID=7030684&amp;Result=3","7030684")</f>
        <v>0</v>
      </c>
      <c r="B9511" t="s">
        <v>856</v>
      </c>
      <c r="C9511" t="s">
        <v>12155</v>
      </c>
      <c r="D9511" t="s">
        <v>16221</v>
      </c>
      <c r="E9511" t="s">
        <v>24592</v>
      </c>
      <c r="F9511" t="s">
        <v>28198</v>
      </c>
      <c r="G9511" t="s">
        <v>28205</v>
      </c>
      <c r="H9511" t="s">
        <v>28215</v>
      </c>
      <c r="I9511" t="s">
        <v>28224</v>
      </c>
      <c r="J9511" t="s">
        <v>34278</v>
      </c>
      <c r="K9511" t="s">
        <v>36706</v>
      </c>
      <c r="M9511" t="s">
        <v>37868</v>
      </c>
      <c r="N9511" t="s">
        <v>40436</v>
      </c>
      <c r="O9511" t="s">
        <v>40437</v>
      </c>
      <c r="P9511">
        <v>0</v>
      </c>
      <c r="Q9511">
        <v>4</v>
      </c>
      <c r="R9511" t="s">
        <v>40447</v>
      </c>
      <c r="S9511" t="s">
        <v>40868</v>
      </c>
      <c r="T9511" t="s">
        <v>42165</v>
      </c>
      <c r="U9511" t="s">
        <v>50573</v>
      </c>
      <c r="W9511" t="s">
        <v>55527</v>
      </c>
      <c r="X9511" t="s">
        <v>40450</v>
      </c>
    </row>
    <row r="9512" spans="1:24">
      <c r="A9512">
        <f>HYPERLINK("https://www.philgeps.gov.ph/GEPSNONPILOT/Tender/SplashBidNoticeAbstractUI.aspx?menuIndex=3&amp;refID=7030391&amp;Result=3","7030391")</f>
        <v>0</v>
      </c>
      <c r="B9512" t="s">
        <v>580</v>
      </c>
      <c r="C9512" t="s">
        <v>12156</v>
      </c>
      <c r="D9512" t="s">
        <v>16214</v>
      </c>
      <c r="E9512" t="s">
        <v>24593</v>
      </c>
      <c r="F9512" t="s">
        <v>28198</v>
      </c>
      <c r="G9512" t="s">
        <v>28205</v>
      </c>
      <c r="H9512" t="s">
        <v>28214</v>
      </c>
      <c r="I9512" t="s">
        <v>3797</v>
      </c>
      <c r="J9512" t="s">
        <v>34279</v>
      </c>
      <c r="K9512" t="s">
        <v>36717</v>
      </c>
      <c r="M9512" t="s">
        <v>37570</v>
      </c>
      <c r="N9512" t="s">
        <v>40436</v>
      </c>
      <c r="O9512" t="s">
        <v>40437</v>
      </c>
      <c r="P9512">
        <v>0</v>
      </c>
      <c r="Q9512">
        <v>0</v>
      </c>
      <c r="R9512" t="s">
        <v>40447</v>
      </c>
      <c r="S9512" t="s">
        <v>40868</v>
      </c>
      <c r="T9512" t="s">
        <v>42278</v>
      </c>
      <c r="U9512" t="s">
        <v>50574</v>
      </c>
      <c r="W9512" t="s">
        <v>37570</v>
      </c>
      <c r="X9512" t="s">
        <v>40450</v>
      </c>
    </row>
    <row r="9513" spans="1:24">
      <c r="A9513">
        <f>HYPERLINK("https://www.philgeps.gov.ph/GEPSNONPILOT/Tender/SplashBidNoticeAbstractUI.aspx?menuIndex=3&amp;refID=7030569&amp;Result=3","7030569")</f>
        <v>0</v>
      </c>
      <c r="B9513" t="s">
        <v>1471</v>
      </c>
      <c r="C9513" t="s">
        <v>12157</v>
      </c>
      <c r="E9513" t="s">
        <v>24594</v>
      </c>
      <c r="F9513" t="s">
        <v>28198</v>
      </c>
      <c r="G9513" t="s">
        <v>28205</v>
      </c>
      <c r="H9513" t="s">
        <v>28214</v>
      </c>
      <c r="I9513" t="s">
        <v>3797</v>
      </c>
      <c r="J9513" t="s">
        <v>34280</v>
      </c>
      <c r="K9513" t="s">
        <v>36689</v>
      </c>
      <c r="M9513" t="s">
        <v>38542</v>
      </c>
      <c r="N9513" t="s">
        <v>40436</v>
      </c>
      <c r="O9513" t="s">
        <v>40437</v>
      </c>
      <c r="P9513">
        <v>0</v>
      </c>
      <c r="Q9513">
        <v>4</v>
      </c>
      <c r="R9513" t="s">
        <v>40447</v>
      </c>
      <c r="S9513" t="s">
        <v>40868</v>
      </c>
      <c r="T9513" t="s">
        <v>42165</v>
      </c>
      <c r="U9513" t="s">
        <v>50575</v>
      </c>
      <c r="V9513" t="s">
        <v>54817</v>
      </c>
      <c r="W9513" t="s">
        <v>38542</v>
      </c>
      <c r="X9513" t="s">
        <v>40450</v>
      </c>
    </row>
    <row r="9514" spans="1:24">
      <c r="A9514">
        <f>HYPERLINK("https://www.philgeps.gov.ph/GEPSNONPILOT/Tender/SplashBidNoticeAbstractUI.aspx?menuIndex=3&amp;refID=7030770&amp;Result=3","7030770")</f>
        <v>0</v>
      </c>
      <c r="B9514" t="s">
        <v>525</v>
      </c>
      <c r="C9514" t="s">
        <v>12158</v>
      </c>
      <c r="D9514" t="s">
        <v>16221</v>
      </c>
      <c r="E9514" t="s">
        <v>24595</v>
      </c>
      <c r="F9514" t="s">
        <v>28198</v>
      </c>
      <c r="G9514" t="s">
        <v>28205</v>
      </c>
      <c r="H9514" t="s">
        <v>28214</v>
      </c>
      <c r="I9514" t="s">
        <v>3797</v>
      </c>
      <c r="J9514" t="s">
        <v>28351</v>
      </c>
      <c r="K9514" t="s">
        <v>36737</v>
      </c>
      <c r="M9514" t="s">
        <v>37510</v>
      </c>
      <c r="N9514" t="s">
        <v>40436</v>
      </c>
      <c r="O9514" t="s">
        <v>40437</v>
      </c>
      <c r="P9514">
        <v>0</v>
      </c>
      <c r="Q9514">
        <v>0</v>
      </c>
      <c r="R9514" t="s">
        <v>40447</v>
      </c>
      <c r="S9514" t="s">
        <v>40868</v>
      </c>
      <c r="T9514" t="s">
        <v>42240</v>
      </c>
      <c r="U9514" t="s">
        <v>50576</v>
      </c>
      <c r="W9514" t="s">
        <v>37510</v>
      </c>
      <c r="X9514" t="s">
        <v>40450</v>
      </c>
    </row>
    <row r="9515" spans="1:24">
      <c r="A9515">
        <f>HYPERLINK("https://www.philgeps.gov.ph/GEPSNONPILOT/Tender/SplashBidNoticeAbstractUI.aspx?menuIndex=3&amp;refID=7030743&amp;Result=3","7030743")</f>
        <v>0</v>
      </c>
      <c r="B9515" t="s">
        <v>525</v>
      </c>
      <c r="C9515" t="s">
        <v>12159</v>
      </c>
      <c r="D9515" t="s">
        <v>16221</v>
      </c>
      <c r="E9515" t="s">
        <v>24596</v>
      </c>
      <c r="F9515" t="s">
        <v>28198</v>
      </c>
      <c r="G9515" t="s">
        <v>28205</v>
      </c>
      <c r="H9515" t="s">
        <v>28214</v>
      </c>
      <c r="I9515" t="s">
        <v>3797</v>
      </c>
      <c r="J9515" t="s">
        <v>28351</v>
      </c>
      <c r="K9515" t="s">
        <v>36697</v>
      </c>
      <c r="M9515" t="s">
        <v>37510</v>
      </c>
      <c r="N9515" t="s">
        <v>40436</v>
      </c>
      <c r="O9515" t="s">
        <v>40437</v>
      </c>
      <c r="P9515">
        <v>0</v>
      </c>
      <c r="Q9515">
        <v>0</v>
      </c>
      <c r="R9515" t="s">
        <v>40447</v>
      </c>
      <c r="S9515" t="s">
        <v>40868</v>
      </c>
      <c r="T9515" t="s">
        <v>42279</v>
      </c>
      <c r="U9515" t="s">
        <v>50577</v>
      </c>
      <c r="W9515" t="s">
        <v>37510</v>
      </c>
      <c r="X9515" t="s">
        <v>40450</v>
      </c>
    </row>
    <row r="9516" spans="1:24">
      <c r="A9516">
        <f>HYPERLINK("https://www.philgeps.gov.ph/GEPSNONPILOT/Tender/SplashBidNoticeAbstractUI.aspx?menuIndex=3&amp;refID=7030358&amp;Result=3","7030358")</f>
        <v>0</v>
      </c>
      <c r="B9516" t="s">
        <v>580</v>
      </c>
      <c r="C9516" t="s">
        <v>12160</v>
      </c>
      <c r="D9516" t="s">
        <v>16214</v>
      </c>
      <c r="E9516" t="s">
        <v>24597</v>
      </c>
      <c r="F9516" t="s">
        <v>28198</v>
      </c>
      <c r="G9516" t="s">
        <v>28205</v>
      </c>
      <c r="H9516" t="s">
        <v>28214</v>
      </c>
      <c r="I9516" t="s">
        <v>3797</v>
      </c>
      <c r="J9516" t="s">
        <v>34281</v>
      </c>
      <c r="K9516" t="s">
        <v>36715</v>
      </c>
      <c r="M9516" t="s">
        <v>37570</v>
      </c>
      <c r="N9516" t="s">
        <v>40436</v>
      </c>
      <c r="O9516" t="s">
        <v>40437</v>
      </c>
      <c r="P9516">
        <v>0</v>
      </c>
      <c r="Q9516">
        <v>0</v>
      </c>
      <c r="R9516" t="s">
        <v>40447</v>
      </c>
      <c r="S9516" t="s">
        <v>40868</v>
      </c>
      <c r="T9516" t="s">
        <v>42278</v>
      </c>
      <c r="U9516" t="s">
        <v>50578</v>
      </c>
      <c r="W9516" t="s">
        <v>37570</v>
      </c>
      <c r="X9516" t="s">
        <v>40450</v>
      </c>
    </row>
    <row r="9517" spans="1:24">
      <c r="A9517">
        <f>HYPERLINK("https://www.philgeps.gov.ph/GEPSNONPILOT/Tender/SplashBidNoticeAbstractUI.aspx?menuIndex=3&amp;refID=7030430&amp;Result=3","7030430")</f>
        <v>0</v>
      </c>
      <c r="B9517" t="s">
        <v>506</v>
      </c>
      <c r="C9517" t="s">
        <v>12161</v>
      </c>
      <c r="D9517" t="s">
        <v>16252</v>
      </c>
      <c r="E9517" t="s">
        <v>24598</v>
      </c>
      <c r="F9517" t="s">
        <v>28198</v>
      </c>
      <c r="G9517" t="s">
        <v>28207</v>
      </c>
      <c r="H9517" t="s">
        <v>28215</v>
      </c>
      <c r="I9517" t="s">
        <v>5082</v>
      </c>
      <c r="J9517" t="s">
        <v>34282</v>
      </c>
      <c r="K9517" t="s">
        <v>36697</v>
      </c>
      <c r="M9517" t="s">
        <v>37491</v>
      </c>
      <c r="N9517" t="s">
        <v>40436</v>
      </c>
      <c r="O9517" t="s">
        <v>40437</v>
      </c>
      <c r="P9517">
        <v>0</v>
      </c>
      <c r="Q9517">
        <v>0</v>
      </c>
      <c r="R9517" t="s">
        <v>40447</v>
      </c>
      <c r="S9517" t="s">
        <v>40868</v>
      </c>
      <c r="T9517" t="s">
        <v>42165</v>
      </c>
      <c r="U9517" t="s">
        <v>50579</v>
      </c>
      <c r="W9517" t="s">
        <v>37491</v>
      </c>
      <c r="X9517" t="s">
        <v>40450</v>
      </c>
    </row>
    <row r="9518" spans="1:24">
      <c r="A9518">
        <f>HYPERLINK("https://www.philgeps.gov.ph/GEPSNONPILOT/Tender/SplashBidNoticeAbstractUI.aspx?menuIndex=3&amp;refID=7030739&amp;Result=3","7030739")</f>
        <v>0</v>
      </c>
      <c r="B9518" t="s">
        <v>136</v>
      </c>
      <c r="C9518" t="s">
        <v>12162</v>
      </c>
      <c r="D9518" t="s">
        <v>16188</v>
      </c>
      <c r="E9518" t="s">
        <v>24599</v>
      </c>
      <c r="F9518" t="s">
        <v>28198</v>
      </c>
      <c r="G9518" t="s">
        <v>28205</v>
      </c>
      <c r="H9518" t="s">
        <v>28214</v>
      </c>
      <c r="I9518" t="s">
        <v>3797</v>
      </c>
      <c r="J9518" t="s">
        <v>28351</v>
      </c>
      <c r="K9518" t="s">
        <v>36697</v>
      </c>
      <c r="M9518" t="s">
        <v>37110</v>
      </c>
      <c r="N9518" t="s">
        <v>40436</v>
      </c>
      <c r="O9518" t="s">
        <v>40437</v>
      </c>
      <c r="P9518">
        <v>0</v>
      </c>
      <c r="Q9518">
        <v>0</v>
      </c>
      <c r="R9518" t="s">
        <v>40447</v>
      </c>
      <c r="S9518" t="s">
        <v>40868</v>
      </c>
      <c r="T9518" t="s">
        <v>42192</v>
      </c>
      <c r="U9518" t="s">
        <v>50580</v>
      </c>
      <c r="V9518" t="s">
        <v>54818</v>
      </c>
      <c r="W9518" t="s">
        <v>55432</v>
      </c>
      <c r="X9518" t="s">
        <v>40450</v>
      </c>
    </row>
    <row r="9519" spans="1:24">
      <c r="A9519">
        <f>HYPERLINK("https://www.philgeps.gov.ph/GEPSNONPILOT/Tender/SplashBidNoticeAbstractUI.aspx?menuIndex=3&amp;refID=7030445&amp;Result=3","7030445")</f>
        <v>0</v>
      </c>
      <c r="B9519" t="s">
        <v>1704</v>
      </c>
      <c r="C9519" t="s">
        <v>12163</v>
      </c>
      <c r="D9519" t="s">
        <v>16193</v>
      </c>
      <c r="E9519" t="s">
        <v>24600</v>
      </c>
      <c r="F9519" t="s">
        <v>28198</v>
      </c>
      <c r="G9519" t="s">
        <v>28205</v>
      </c>
      <c r="H9519" t="s">
        <v>28215</v>
      </c>
      <c r="I9519" t="s">
        <v>28222</v>
      </c>
      <c r="J9519" t="s">
        <v>29409</v>
      </c>
      <c r="K9519" t="s">
        <v>36694</v>
      </c>
      <c r="M9519" t="s">
        <v>38807</v>
      </c>
      <c r="N9519" t="s">
        <v>40436</v>
      </c>
      <c r="O9519" t="s">
        <v>40437</v>
      </c>
      <c r="P9519">
        <v>0</v>
      </c>
      <c r="Q9519">
        <v>4</v>
      </c>
      <c r="R9519" t="s">
        <v>40447</v>
      </c>
      <c r="S9519" t="s">
        <v>40868</v>
      </c>
      <c r="T9519" t="s">
        <v>42169</v>
      </c>
      <c r="U9519" t="s">
        <v>50581</v>
      </c>
      <c r="W9519" t="s">
        <v>38807</v>
      </c>
      <c r="X9519" t="s">
        <v>40450</v>
      </c>
    </row>
    <row r="9520" spans="1:24">
      <c r="A9520">
        <f>HYPERLINK("https://www.philgeps.gov.ph/GEPSNONPILOT/Tender/SplashBidNoticeAbstractUI.aspx?menuIndex=3&amp;refID=7030696&amp;Result=3","7030696")</f>
        <v>0</v>
      </c>
      <c r="B9520" t="s">
        <v>856</v>
      </c>
      <c r="C9520" t="s">
        <v>12164</v>
      </c>
      <c r="D9520" t="s">
        <v>16221</v>
      </c>
      <c r="E9520" t="s">
        <v>24601</v>
      </c>
      <c r="F9520" t="s">
        <v>28198</v>
      </c>
      <c r="G9520" t="s">
        <v>28205</v>
      </c>
      <c r="H9520" t="s">
        <v>28215</v>
      </c>
      <c r="I9520" t="s">
        <v>28247</v>
      </c>
      <c r="J9520" t="s">
        <v>34283</v>
      </c>
      <c r="K9520" t="s">
        <v>36706</v>
      </c>
      <c r="M9520" t="s">
        <v>37868</v>
      </c>
      <c r="N9520" t="s">
        <v>40436</v>
      </c>
      <c r="O9520" t="s">
        <v>40437</v>
      </c>
      <c r="P9520">
        <v>0</v>
      </c>
      <c r="Q9520">
        <v>12</v>
      </c>
      <c r="R9520" t="s">
        <v>40447</v>
      </c>
      <c r="S9520" t="s">
        <v>40868</v>
      </c>
      <c r="T9520" t="s">
        <v>42165</v>
      </c>
      <c r="U9520" t="s">
        <v>50582</v>
      </c>
      <c r="W9520" t="s">
        <v>55527</v>
      </c>
      <c r="X9520" t="s">
        <v>40450</v>
      </c>
    </row>
    <row r="9521" spans="1:24">
      <c r="A9521">
        <f>HYPERLINK("https://www.philgeps.gov.ph/GEPSNONPILOT/Tender/SplashBidNoticeAbstractUI.aspx?menuIndex=3&amp;refID=7030598&amp;Result=3","7030598")</f>
        <v>0</v>
      </c>
      <c r="B9521" t="s">
        <v>2432</v>
      </c>
      <c r="C9521" t="s">
        <v>6101</v>
      </c>
      <c r="D9521" t="s">
        <v>16211</v>
      </c>
      <c r="E9521" t="s">
        <v>24602</v>
      </c>
      <c r="F9521" t="s">
        <v>28198</v>
      </c>
      <c r="G9521" t="s">
        <v>28205</v>
      </c>
      <c r="H9521" t="s">
        <v>28215</v>
      </c>
      <c r="I9521" t="s">
        <v>4168</v>
      </c>
      <c r="J9521" t="s">
        <v>28415</v>
      </c>
      <c r="K9521" t="s">
        <v>36707</v>
      </c>
      <c r="M9521" t="s">
        <v>39620</v>
      </c>
      <c r="N9521" t="s">
        <v>40436</v>
      </c>
      <c r="O9521" t="s">
        <v>40437</v>
      </c>
      <c r="P9521">
        <v>0</v>
      </c>
      <c r="Q9521">
        <v>0</v>
      </c>
      <c r="R9521" t="s">
        <v>40447</v>
      </c>
      <c r="S9521" t="s">
        <v>40868</v>
      </c>
      <c r="T9521" t="s">
        <v>42346</v>
      </c>
      <c r="U9521" t="s">
        <v>50583</v>
      </c>
      <c r="W9521" t="s">
        <v>39620</v>
      </c>
      <c r="X9521" t="s">
        <v>40450</v>
      </c>
    </row>
    <row r="9522" spans="1:24">
      <c r="A9522">
        <f>HYPERLINK("https://www.philgeps.gov.ph/GEPSNONPILOT/Tender/SplashBidNoticeAbstractUI.aspx?menuIndex=3&amp;refID=7030636&amp;Result=3","7030636")</f>
        <v>0</v>
      </c>
      <c r="B9522" t="s">
        <v>2666</v>
      </c>
      <c r="C9522" t="s">
        <v>12165</v>
      </c>
      <c r="D9522" t="s">
        <v>16283</v>
      </c>
      <c r="E9522" t="s">
        <v>24603</v>
      </c>
      <c r="F9522" t="s">
        <v>28198</v>
      </c>
      <c r="G9522" t="s">
        <v>28207</v>
      </c>
      <c r="H9522" t="s">
        <v>28215</v>
      </c>
      <c r="I9522" t="s">
        <v>28339</v>
      </c>
      <c r="J9522" t="s">
        <v>28597</v>
      </c>
      <c r="K9522" t="s">
        <v>36695</v>
      </c>
      <c r="M9522" t="s">
        <v>39894</v>
      </c>
      <c r="N9522" t="s">
        <v>40436</v>
      </c>
      <c r="O9522" t="s">
        <v>40437</v>
      </c>
      <c r="P9522">
        <v>0</v>
      </c>
      <c r="Q9522">
        <v>4</v>
      </c>
      <c r="R9522" t="s">
        <v>40447</v>
      </c>
      <c r="S9522" t="s">
        <v>40868</v>
      </c>
      <c r="T9522" t="s">
        <v>42169</v>
      </c>
      <c r="U9522" t="s">
        <v>50584</v>
      </c>
      <c r="W9522" t="s">
        <v>39894</v>
      </c>
      <c r="X9522" t="s">
        <v>40450</v>
      </c>
    </row>
    <row r="9523" spans="1:24">
      <c r="A9523">
        <f>HYPERLINK("https://www.philgeps.gov.ph/GEPSNONPILOT/Tender/SplashBidNoticeAbstractUI.aspx?menuIndex=3&amp;refID=7030721&amp;Result=3","7030721")</f>
        <v>0</v>
      </c>
      <c r="B9523" t="s">
        <v>856</v>
      </c>
      <c r="C9523" t="s">
        <v>12166</v>
      </c>
      <c r="D9523" t="s">
        <v>16221</v>
      </c>
      <c r="E9523" t="s">
        <v>24604</v>
      </c>
      <c r="F9523" t="s">
        <v>28198</v>
      </c>
      <c r="G9523" t="s">
        <v>28205</v>
      </c>
      <c r="H9523" t="s">
        <v>28214</v>
      </c>
      <c r="I9523" t="s">
        <v>3797</v>
      </c>
      <c r="J9523" t="s">
        <v>34284</v>
      </c>
      <c r="K9523" t="s">
        <v>36701</v>
      </c>
      <c r="M9523" t="s">
        <v>39895</v>
      </c>
      <c r="N9523" t="s">
        <v>40436</v>
      </c>
      <c r="O9523" t="s">
        <v>40437</v>
      </c>
      <c r="P9523">
        <v>0</v>
      </c>
      <c r="Q9523">
        <v>0</v>
      </c>
      <c r="R9523" t="s">
        <v>40447</v>
      </c>
      <c r="S9523" t="s">
        <v>40868</v>
      </c>
      <c r="T9523" t="s">
        <v>42165</v>
      </c>
      <c r="U9523" t="s">
        <v>50585</v>
      </c>
      <c r="W9523" t="s">
        <v>55527</v>
      </c>
      <c r="X9523" t="s">
        <v>40450</v>
      </c>
    </row>
    <row r="9524" spans="1:24">
      <c r="A9524">
        <f>HYPERLINK("https://www.philgeps.gov.ph/GEPSNONPILOT/Tender/SplashBidNoticeAbstractUI.aspx?menuIndex=3&amp;refID=7030832&amp;Result=3","7030832")</f>
        <v>0</v>
      </c>
      <c r="B9524" t="s">
        <v>2667</v>
      </c>
      <c r="C9524" t="s">
        <v>12167</v>
      </c>
      <c r="D9524" t="s">
        <v>16230</v>
      </c>
      <c r="E9524" t="s">
        <v>16542</v>
      </c>
      <c r="F9524" t="s">
        <v>28200</v>
      </c>
      <c r="G9524" t="s">
        <v>28205</v>
      </c>
      <c r="H9524" t="s">
        <v>28215</v>
      </c>
      <c r="I9524" t="s">
        <v>5100</v>
      </c>
      <c r="J9524" t="s">
        <v>29576</v>
      </c>
      <c r="K9524" t="s">
        <v>36687</v>
      </c>
      <c r="M9524" t="s">
        <v>39896</v>
      </c>
      <c r="N9524" t="s">
        <v>40436</v>
      </c>
      <c r="O9524" t="s">
        <v>40437</v>
      </c>
      <c r="P9524">
        <v>0</v>
      </c>
      <c r="Q9524">
        <v>0</v>
      </c>
      <c r="R9524" t="s">
        <v>40447</v>
      </c>
      <c r="S9524" t="s">
        <v>40868</v>
      </c>
      <c r="T9524" t="s">
        <v>42119</v>
      </c>
      <c r="U9524" t="s">
        <v>50586</v>
      </c>
      <c r="W9524" t="s">
        <v>39896</v>
      </c>
      <c r="X9524" t="s">
        <v>40450</v>
      </c>
    </row>
    <row r="9525" spans="1:24">
      <c r="A9525">
        <f>HYPERLINK("https://www.philgeps.gov.ph/GEPSNONPILOT/Tender/SplashBidNoticeAbstractUI.aspx?menuIndex=3&amp;refID=7030845&amp;Result=3","7030845")</f>
        <v>0</v>
      </c>
      <c r="B9525" t="s">
        <v>2668</v>
      </c>
      <c r="C9525" t="s">
        <v>12168</v>
      </c>
      <c r="D9525" t="s">
        <v>16254</v>
      </c>
      <c r="E9525" t="s">
        <v>23854</v>
      </c>
      <c r="F9525" t="s">
        <v>28198</v>
      </c>
      <c r="G9525" t="s">
        <v>28205</v>
      </c>
      <c r="H9525" t="s">
        <v>28215</v>
      </c>
      <c r="I9525" t="s">
        <v>4222</v>
      </c>
      <c r="J9525" t="s">
        <v>34285</v>
      </c>
      <c r="K9525" t="s">
        <v>36701</v>
      </c>
      <c r="M9525" t="s">
        <v>39897</v>
      </c>
      <c r="N9525" t="s">
        <v>40436</v>
      </c>
      <c r="O9525" t="s">
        <v>40437</v>
      </c>
      <c r="P9525">
        <v>0</v>
      </c>
      <c r="Q9525">
        <v>8</v>
      </c>
      <c r="R9525" t="s">
        <v>40447</v>
      </c>
      <c r="S9525" t="s">
        <v>40868</v>
      </c>
      <c r="T9525" t="s">
        <v>42234</v>
      </c>
      <c r="U9525" t="s">
        <v>50587</v>
      </c>
      <c r="W9525" t="s">
        <v>39897</v>
      </c>
      <c r="X9525" t="s">
        <v>40450</v>
      </c>
    </row>
    <row r="9526" spans="1:24">
      <c r="A9526">
        <f>HYPERLINK("https://www.philgeps.gov.ph/GEPSNONPILOT/Tender/SplashBidNoticeAbstractUI.aspx?menuIndex=3&amp;refID=7031065&amp;Result=3","7031065")</f>
        <v>0</v>
      </c>
      <c r="B9526" t="s">
        <v>595</v>
      </c>
      <c r="C9526" t="s">
        <v>12169</v>
      </c>
      <c r="D9526" t="s">
        <v>16195</v>
      </c>
      <c r="E9526" t="s">
        <v>24605</v>
      </c>
      <c r="F9526" t="s">
        <v>28198</v>
      </c>
      <c r="G9526" t="s">
        <v>28207</v>
      </c>
      <c r="H9526" t="s">
        <v>28215</v>
      </c>
      <c r="I9526" t="s">
        <v>28224</v>
      </c>
      <c r="J9526" t="s">
        <v>28862</v>
      </c>
      <c r="K9526" t="s">
        <v>36707</v>
      </c>
      <c r="M9526" t="s">
        <v>37584</v>
      </c>
      <c r="N9526" t="s">
        <v>40436</v>
      </c>
      <c r="O9526" t="s">
        <v>40437</v>
      </c>
      <c r="Q9526">
        <v>3</v>
      </c>
      <c r="R9526" t="s">
        <v>40447</v>
      </c>
      <c r="S9526" t="s">
        <v>40890</v>
      </c>
      <c r="T9526" t="s">
        <v>42203</v>
      </c>
      <c r="U9526" t="s">
        <v>50588</v>
      </c>
      <c r="W9526" t="s">
        <v>37584</v>
      </c>
      <c r="X9526" t="s">
        <v>40450</v>
      </c>
    </row>
    <row r="9527" spans="1:24">
      <c r="A9527">
        <f>HYPERLINK("https://www.philgeps.gov.ph/GEPSNONPILOT/Tender/SplashBidNoticeAbstractUI.aspx?menuIndex=3&amp;refID=7031122&amp;Result=3","7031122")</f>
        <v>0</v>
      </c>
      <c r="B9527" t="s">
        <v>506</v>
      </c>
      <c r="C9527" t="s">
        <v>12170</v>
      </c>
      <c r="D9527" t="s">
        <v>16252</v>
      </c>
      <c r="E9527" t="s">
        <v>24606</v>
      </c>
      <c r="F9527" t="s">
        <v>28198</v>
      </c>
      <c r="G9527" t="s">
        <v>28205</v>
      </c>
      <c r="H9527" t="s">
        <v>28215</v>
      </c>
      <c r="I9527" t="s">
        <v>4505</v>
      </c>
      <c r="J9527" t="s">
        <v>28416</v>
      </c>
      <c r="K9527" t="s">
        <v>36697</v>
      </c>
      <c r="M9527" t="s">
        <v>37491</v>
      </c>
      <c r="N9527" t="s">
        <v>40436</v>
      </c>
      <c r="O9527" t="s">
        <v>40437</v>
      </c>
      <c r="P9527">
        <v>0</v>
      </c>
      <c r="Q9527">
        <v>1</v>
      </c>
      <c r="R9527" t="s">
        <v>40447</v>
      </c>
      <c r="S9527" t="s">
        <v>40868</v>
      </c>
      <c r="T9527" t="s">
        <v>42233</v>
      </c>
      <c r="U9527" t="s">
        <v>50589</v>
      </c>
      <c r="W9527" t="s">
        <v>37491</v>
      </c>
      <c r="X9527" t="s">
        <v>40450</v>
      </c>
    </row>
    <row r="9528" spans="1:24">
      <c r="A9528">
        <f>HYPERLINK("https://www.philgeps.gov.ph/GEPSNONPILOT/Tender/SplashBidNoticeAbstractUI.aspx?menuIndex=3&amp;refID=7030942&amp;Result=3","7030942")</f>
        <v>0</v>
      </c>
      <c r="B9528" t="s">
        <v>1434</v>
      </c>
      <c r="C9528" t="s">
        <v>12171</v>
      </c>
      <c r="D9528" t="s">
        <v>16209</v>
      </c>
      <c r="E9528" t="s">
        <v>20205</v>
      </c>
      <c r="F9528" t="s">
        <v>28200</v>
      </c>
      <c r="G9528" t="s">
        <v>28205</v>
      </c>
      <c r="H9528" t="s">
        <v>28215</v>
      </c>
      <c r="I9528" t="s">
        <v>28249</v>
      </c>
      <c r="J9528" t="s">
        <v>33069</v>
      </c>
      <c r="K9528" t="s">
        <v>36688</v>
      </c>
      <c r="M9528" t="s">
        <v>38501</v>
      </c>
      <c r="N9528" t="s">
        <v>40436</v>
      </c>
      <c r="O9528" t="s">
        <v>40437</v>
      </c>
      <c r="P9528">
        <v>0</v>
      </c>
      <c r="Q9528">
        <v>0</v>
      </c>
      <c r="R9528" t="s">
        <v>40447</v>
      </c>
      <c r="S9528" t="s">
        <v>40868</v>
      </c>
      <c r="T9528" t="s">
        <v>42279</v>
      </c>
      <c r="U9528" t="s">
        <v>50590</v>
      </c>
      <c r="V9528" t="s">
        <v>54819</v>
      </c>
      <c r="W9528" t="s">
        <v>38501</v>
      </c>
      <c r="X9528" t="s">
        <v>40450</v>
      </c>
    </row>
    <row r="9529" spans="1:24">
      <c r="A9529">
        <f>HYPERLINK("https://www.philgeps.gov.ph/GEPSNONPILOT/Tender/SplashBidNoticeAbstractUI.aspx?menuIndex=3&amp;refID=7031235&amp;Result=3","7031235")</f>
        <v>0</v>
      </c>
      <c r="B9529" t="s">
        <v>1713</v>
      </c>
      <c r="C9529" t="s">
        <v>12172</v>
      </c>
      <c r="D9529" t="s">
        <v>16252</v>
      </c>
      <c r="E9529" t="s">
        <v>24607</v>
      </c>
      <c r="F9529" t="s">
        <v>28198</v>
      </c>
      <c r="G9529" t="s">
        <v>28205</v>
      </c>
      <c r="H9529" t="s">
        <v>28215</v>
      </c>
      <c r="I9529" t="s">
        <v>28222</v>
      </c>
      <c r="J9529" t="s">
        <v>34286</v>
      </c>
      <c r="K9529" t="s">
        <v>36694</v>
      </c>
      <c r="M9529" t="s">
        <v>38819</v>
      </c>
      <c r="N9529" t="s">
        <v>40436</v>
      </c>
      <c r="O9529" t="s">
        <v>40437</v>
      </c>
      <c r="P9529">
        <v>0</v>
      </c>
      <c r="Q9529">
        <v>8</v>
      </c>
      <c r="R9529" t="s">
        <v>40447</v>
      </c>
      <c r="S9529" t="s">
        <v>40868</v>
      </c>
      <c r="T9529" t="s">
        <v>42244</v>
      </c>
      <c r="U9529" t="s">
        <v>50591</v>
      </c>
      <c r="W9529" t="s">
        <v>38819</v>
      </c>
      <c r="X9529" t="s">
        <v>40450</v>
      </c>
    </row>
    <row r="9530" spans="1:24">
      <c r="A9530">
        <f>HYPERLINK("https://www.philgeps.gov.ph/GEPSNONPILOT/Tender/SplashBidNoticeAbstractUI.aspx?menuIndex=3&amp;refID=7030978&amp;Result=3","7030978")</f>
        <v>0</v>
      </c>
      <c r="B9530" t="s">
        <v>1434</v>
      </c>
      <c r="C9530" t="s">
        <v>12173</v>
      </c>
      <c r="D9530" t="s">
        <v>16209</v>
      </c>
      <c r="E9530" t="s">
        <v>20589</v>
      </c>
      <c r="F9530" t="s">
        <v>28200</v>
      </c>
      <c r="G9530" t="s">
        <v>28205</v>
      </c>
      <c r="H9530" t="s">
        <v>28215</v>
      </c>
      <c r="I9530" t="s">
        <v>28249</v>
      </c>
      <c r="J9530" t="s">
        <v>28377</v>
      </c>
      <c r="K9530" t="s">
        <v>36688</v>
      </c>
      <c r="M9530" t="s">
        <v>38501</v>
      </c>
      <c r="N9530" t="s">
        <v>40436</v>
      </c>
      <c r="O9530" t="s">
        <v>40437</v>
      </c>
      <c r="P9530">
        <v>0</v>
      </c>
      <c r="Q9530">
        <v>0</v>
      </c>
      <c r="R9530" t="s">
        <v>40447</v>
      </c>
      <c r="S9530" t="s">
        <v>40868</v>
      </c>
      <c r="T9530" t="s">
        <v>42244</v>
      </c>
      <c r="U9530" t="s">
        <v>50592</v>
      </c>
      <c r="V9530" t="s">
        <v>54820</v>
      </c>
      <c r="W9530" t="s">
        <v>38501</v>
      </c>
      <c r="X9530" t="s">
        <v>40450</v>
      </c>
    </row>
    <row r="9531" spans="1:24">
      <c r="A9531">
        <f>HYPERLINK("https://www.philgeps.gov.ph/GEPSNONPILOT/Tender/SplashBidNoticeAbstractUI.aspx?menuIndex=3&amp;refID=7031325&amp;Result=3","7031325")</f>
        <v>0</v>
      </c>
      <c r="B9531" t="s">
        <v>2083</v>
      </c>
      <c r="C9531" t="s">
        <v>12174</v>
      </c>
      <c r="E9531" t="s">
        <v>24608</v>
      </c>
      <c r="F9531" t="s">
        <v>28198</v>
      </c>
      <c r="G9531" t="s">
        <v>28207</v>
      </c>
      <c r="H9531" t="s">
        <v>28215</v>
      </c>
      <c r="I9531" t="s">
        <v>28224</v>
      </c>
      <c r="J9531" t="s">
        <v>34287</v>
      </c>
      <c r="K9531" t="s">
        <v>36707</v>
      </c>
      <c r="M9531" t="s">
        <v>39232</v>
      </c>
      <c r="N9531" t="s">
        <v>40436</v>
      </c>
      <c r="O9531" t="s">
        <v>40437</v>
      </c>
      <c r="Q9531">
        <v>4</v>
      </c>
      <c r="R9531" t="s">
        <v>40447</v>
      </c>
      <c r="S9531" t="s">
        <v>40891</v>
      </c>
      <c r="T9531" t="s">
        <v>42133</v>
      </c>
      <c r="U9531" t="s">
        <v>50593</v>
      </c>
      <c r="W9531" t="s">
        <v>39232</v>
      </c>
      <c r="X9531" t="s">
        <v>40450</v>
      </c>
    </row>
    <row r="9532" spans="1:24">
      <c r="A9532">
        <f>HYPERLINK("https://www.philgeps.gov.ph/GEPSNONPILOT/Tender/SplashBidNoticeAbstractUI.aspx?menuIndex=3&amp;refID=7031293&amp;Result=3","7031293")</f>
        <v>0</v>
      </c>
      <c r="B9532" t="s">
        <v>595</v>
      </c>
      <c r="C9532" t="s">
        <v>12175</v>
      </c>
      <c r="D9532" t="s">
        <v>16284</v>
      </c>
      <c r="E9532" t="s">
        <v>24609</v>
      </c>
      <c r="F9532" t="s">
        <v>28198</v>
      </c>
      <c r="G9532" t="s">
        <v>28207</v>
      </c>
      <c r="H9532" t="s">
        <v>28215</v>
      </c>
      <c r="I9532" t="s">
        <v>28246</v>
      </c>
      <c r="J9532" t="s">
        <v>28679</v>
      </c>
      <c r="K9532" t="s">
        <v>36707</v>
      </c>
      <c r="M9532" t="s">
        <v>37584</v>
      </c>
      <c r="N9532" t="s">
        <v>40436</v>
      </c>
      <c r="O9532" t="s">
        <v>40437</v>
      </c>
      <c r="Q9532">
        <v>0</v>
      </c>
      <c r="R9532" t="s">
        <v>40447</v>
      </c>
      <c r="S9532" t="s">
        <v>40892</v>
      </c>
      <c r="T9532" t="s">
        <v>42203</v>
      </c>
      <c r="U9532" t="s">
        <v>50594</v>
      </c>
      <c r="W9532" t="s">
        <v>37584</v>
      </c>
      <c r="X9532" t="s">
        <v>40450</v>
      </c>
    </row>
    <row r="9533" spans="1:24">
      <c r="A9533">
        <f>HYPERLINK("https://www.philgeps.gov.ph/GEPSNONPILOT/Tender/SplashBidNoticeAbstractUI.aspx?menuIndex=3&amp;refID=7031269&amp;Result=3","7031269")</f>
        <v>0</v>
      </c>
      <c r="B9533" t="s">
        <v>1200</v>
      </c>
      <c r="C9533" t="s">
        <v>12176</v>
      </c>
      <c r="D9533" t="s">
        <v>16244</v>
      </c>
      <c r="E9533" t="s">
        <v>24610</v>
      </c>
      <c r="F9533" t="s">
        <v>28198</v>
      </c>
      <c r="G9533" t="s">
        <v>28205</v>
      </c>
      <c r="H9533" t="s">
        <v>28214</v>
      </c>
      <c r="I9533" t="s">
        <v>3797</v>
      </c>
      <c r="J9533" t="s">
        <v>34288</v>
      </c>
      <c r="K9533" t="s">
        <v>36697</v>
      </c>
      <c r="M9533" t="s">
        <v>38245</v>
      </c>
      <c r="N9533" t="s">
        <v>40436</v>
      </c>
      <c r="O9533" t="s">
        <v>40437</v>
      </c>
      <c r="P9533">
        <v>0</v>
      </c>
      <c r="Q9533">
        <v>0</v>
      </c>
      <c r="R9533" t="s">
        <v>40447</v>
      </c>
      <c r="S9533" t="s">
        <v>40868</v>
      </c>
      <c r="T9533" t="s">
        <v>42183</v>
      </c>
      <c r="U9533" t="s">
        <v>45507</v>
      </c>
      <c r="W9533" t="s">
        <v>38245</v>
      </c>
      <c r="X9533" t="s">
        <v>40450</v>
      </c>
    </row>
    <row r="9534" spans="1:24">
      <c r="A9534">
        <f>HYPERLINK("https://www.philgeps.gov.ph/GEPSNONPILOT/Tender/SplashBidNoticeAbstractUI.aspx?menuIndex=3&amp;refID=7030911&amp;Result=3","7030911")</f>
        <v>0</v>
      </c>
      <c r="B9534" t="s">
        <v>2668</v>
      </c>
      <c r="C9534" t="s">
        <v>12177</v>
      </c>
      <c r="D9534" t="s">
        <v>16254</v>
      </c>
      <c r="E9534" t="s">
        <v>19360</v>
      </c>
      <c r="F9534" t="s">
        <v>28198</v>
      </c>
      <c r="G9534" t="s">
        <v>28205</v>
      </c>
      <c r="H9534" t="s">
        <v>28215</v>
      </c>
      <c r="I9534" t="s">
        <v>28256</v>
      </c>
      <c r="J9534" t="s">
        <v>34289</v>
      </c>
      <c r="K9534" t="s">
        <v>36715</v>
      </c>
      <c r="M9534" t="s">
        <v>39897</v>
      </c>
      <c r="N9534" t="s">
        <v>40436</v>
      </c>
      <c r="O9534" t="s">
        <v>40437</v>
      </c>
      <c r="P9534">
        <v>0</v>
      </c>
      <c r="Q9534">
        <v>13</v>
      </c>
      <c r="R9534" t="s">
        <v>40447</v>
      </c>
      <c r="S9534" t="s">
        <v>40868</v>
      </c>
      <c r="T9534" t="s">
        <v>42372</v>
      </c>
      <c r="U9534" t="s">
        <v>50595</v>
      </c>
      <c r="W9534" t="s">
        <v>39897</v>
      </c>
      <c r="X9534" t="s">
        <v>40450</v>
      </c>
    </row>
    <row r="9535" spans="1:24">
      <c r="A9535">
        <f>HYPERLINK("https://www.philgeps.gov.ph/GEPSNONPILOT/Tender/SplashBidNoticeAbstractUI.aspx?menuIndex=3&amp;refID=7031242&amp;Result=3","7031242")</f>
        <v>0</v>
      </c>
      <c r="B9535" t="s">
        <v>595</v>
      </c>
      <c r="C9535" t="s">
        <v>12178</v>
      </c>
      <c r="D9535" t="s">
        <v>16284</v>
      </c>
      <c r="E9535" t="s">
        <v>24611</v>
      </c>
      <c r="F9535" t="s">
        <v>28198</v>
      </c>
      <c r="G9535" t="s">
        <v>28207</v>
      </c>
      <c r="H9535" t="s">
        <v>28215</v>
      </c>
      <c r="I9535" t="s">
        <v>28246</v>
      </c>
      <c r="J9535" t="s">
        <v>31173</v>
      </c>
      <c r="K9535" t="s">
        <v>36707</v>
      </c>
      <c r="M9535" t="s">
        <v>37584</v>
      </c>
      <c r="N9535" t="s">
        <v>40436</v>
      </c>
      <c r="O9535" t="s">
        <v>40437</v>
      </c>
      <c r="Q9535">
        <v>1</v>
      </c>
      <c r="R9535" t="s">
        <v>40447</v>
      </c>
      <c r="S9535" t="s">
        <v>40893</v>
      </c>
      <c r="T9535" t="s">
        <v>42203</v>
      </c>
      <c r="U9535" t="s">
        <v>50596</v>
      </c>
      <c r="W9535" t="s">
        <v>37584</v>
      </c>
      <c r="X9535" t="s">
        <v>40450</v>
      </c>
    </row>
    <row r="9536" spans="1:24">
      <c r="A9536">
        <f>HYPERLINK("https://www.philgeps.gov.ph/GEPSNONPILOT/Tender/SplashBidNoticeAbstractUI.aspx?menuIndex=3&amp;refID=7031322&amp;Result=3","7031322")</f>
        <v>0</v>
      </c>
      <c r="B9536" t="s">
        <v>1200</v>
      </c>
      <c r="C9536" t="s">
        <v>12179</v>
      </c>
      <c r="D9536" t="s">
        <v>16244</v>
      </c>
      <c r="E9536" t="s">
        <v>24612</v>
      </c>
      <c r="F9536" t="s">
        <v>28198</v>
      </c>
      <c r="G9536" t="s">
        <v>28205</v>
      </c>
      <c r="H9536" t="s">
        <v>28214</v>
      </c>
      <c r="I9536" t="s">
        <v>3797</v>
      </c>
      <c r="J9536" t="s">
        <v>29643</v>
      </c>
      <c r="K9536" t="s">
        <v>36725</v>
      </c>
      <c r="M9536" t="s">
        <v>38245</v>
      </c>
      <c r="N9536" t="s">
        <v>40436</v>
      </c>
      <c r="O9536" t="s">
        <v>40437</v>
      </c>
      <c r="P9536">
        <v>0</v>
      </c>
      <c r="Q9536">
        <v>0</v>
      </c>
      <c r="R9536" t="s">
        <v>40447</v>
      </c>
      <c r="S9536" t="s">
        <v>40868</v>
      </c>
      <c r="T9536" t="s">
        <v>42183</v>
      </c>
      <c r="U9536" t="s">
        <v>45507</v>
      </c>
      <c r="W9536" t="s">
        <v>38245</v>
      </c>
      <c r="X9536" t="s">
        <v>40450</v>
      </c>
    </row>
    <row r="9537" spans="1:24">
      <c r="A9537">
        <f>HYPERLINK("https://www.philgeps.gov.ph/GEPSNONPILOT/Tender/SplashBidNoticeAbstractUI.aspx?menuIndex=3&amp;refID=7031042&amp;Result=3","7031042")</f>
        <v>0</v>
      </c>
      <c r="B9537" t="s">
        <v>595</v>
      </c>
      <c r="C9537" t="s">
        <v>4253</v>
      </c>
      <c r="D9537" t="s">
        <v>16195</v>
      </c>
      <c r="E9537" t="s">
        <v>24613</v>
      </c>
      <c r="F9537" t="s">
        <v>28198</v>
      </c>
      <c r="G9537" t="s">
        <v>28207</v>
      </c>
      <c r="H9537" t="s">
        <v>28215</v>
      </c>
      <c r="I9537" t="s">
        <v>4200</v>
      </c>
      <c r="J9537" t="s">
        <v>32754</v>
      </c>
      <c r="K9537" t="s">
        <v>36707</v>
      </c>
      <c r="M9537" t="s">
        <v>37584</v>
      </c>
      <c r="N9537" t="s">
        <v>40436</v>
      </c>
      <c r="O9537" t="s">
        <v>40437</v>
      </c>
      <c r="Q9537">
        <v>2</v>
      </c>
      <c r="R9537" t="s">
        <v>40447</v>
      </c>
      <c r="S9537" t="s">
        <v>40894</v>
      </c>
      <c r="T9537" t="s">
        <v>42203</v>
      </c>
      <c r="U9537" t="s">
        <v>50597</v>
      </c>
      <c r="W9537" t="s">
        <v>37584</v>
      </c>
      <c r="X9537" t="s">
        <v>40450</v>
      </c>
    </row>
    <row r="9538" spans="1:24">
      <c r="A9538">
        <f>HYPERLINK("https://www.philgeps.gov.ph/GEPSNONPILOT/Tender/SplashBidNoticeAbstractUI.aspx?menuIndex=3&amp;refID=7031208&amp;Result=3","7031208")</f>
        <v>0</v>
      </c>
      <c r="B9538" t="s">
        <v>1713</v>
      </c>
      <c r="C9538" t="s">
        <v>12180</v>
      </c>
      <c r="D9538" t="s">
        <v>16252</v>
      </c>
      <c r="E9538" t="s">
        <v>24614</v>
      </c>
      <c r="F9538" t="s">
        <v>28198</v>
      </c>
      <c r="G9538" t="s">
        <v>28205</v>
      </c>
      <c r="H9538" t="s">
        <v>28215</v>
      </c>
      <c r="I9538" t="s">
        <v>28256</v>
      </c>
      <c r="J9538" t="s">
        <v>29120</v>
      </c>
      <c r="K9538" t="s">
        <v>36701</v>
      </c>
      <c r="M9538" t="s">
        <v>38819</v>
      </c>
      <c r="N9538" t="s">
        <v>40436</v>
      </c>
      <c r="O9538" t="s">
        <v>40437</v>
      </c>
      <c r="P9538">
        <v>0</v>
      </c>
      <c r="Q9538">
        <v>7</v>
      </c>
      <c r="R9538" t="s">
        <v>40447</v>
      </c>
      <c r="S9538" t="s">
        <v>40868</v>
      </c>
      <c r="T9538" t="s">
        <v>42244</v>
      </c>
      <c r="U9538" t="s">
        <v>50598</v>
      </c>
      <c r="W9538" t="s">
        <v>38819</v>
      </c>
      <c r="X9538" t="s">
        <v>40450</v>
      </c>
    </row>
    <row r="9539" spans="1:24">
      <c r="A9539">
        <f>HYPERLINK("https://www.philgeps.gov.ph/GEPSNONPILOT/Tender/SplashBidNoticeAbstractUI.aspx?menuIndex=3&amp;refID=7031250&amp;Result=3","7031250")</f>
        <v>0</v>
      </c>
      <c r="B9539" t="s">
        <v>1713</v>
      </c>
      <c r="C9539" t="s">
        <v>12181</v>
      </c>
      <c r="D9539" t="s">
        <v>16252</v>
      </c>
      <c r="E9539" t="s">
        <v>24615</v>
      </c>
      <c r="F9539" t="s">
        <v>28198</v>
      </c>
      <c r="G9539" t="s">
        <v>28205</v>
      </c>
      <c r="H9539" t="s">
        <v>28215</v>
      </c>
      <c r="I9539" t="s">
        <v>28256</v>
      </c>
      <c r="J9539" t="s">
        <v>28468</v>
      </c>
      <c r="K9539" t="s">
        <v>36694</v>
      </c>
      <c r="M9539" t="s">
        <v>38819</v>
      </c>
      <c r="N9539" t="s">
        <v>40436</v>
      </c>
      <c r="O9539" t="s">
        <v>40437</v>
      </c>
      <c r="P9539">
        <v>0</v>
      </c>
      <c r="Q9539">
        <v>17</v>
      </c>
      <c r="R9539" t="s">
        <v>40447</v>
      </c>
      <c r="S9539" t="s">
        <v>40868</v>
      </c>
      <c r="T9539" t="s">
        <v>42244</v>
      </c>
      <c r="U9539" t="s">
        <v>50599</v>
      </c>
      <c r="W9539" t="s">
        <v>38819</v>
      </c>
      <c r="X9539" t="s">
        <v>40450</v>
      </c>
    </row>
    <row r="9540" spans="1:24">
      <c r="A9540">
        <f>HYPERLINK("https://www.philgeps.gov.ph/GEPSNONPILOT/Tender/SplashBidNoticeAbstractUI.aspx?menuIndex=3&amp;refID=7031029&amp;Result=3","7031029")</f>
        <v>0</v>
      </c>
      <c r="B9540" t="s">
        <v>892</v>
      </c>
      <c r="C9540" t="s">
        <v>12182</v>
      </c>
      <c r="E9540" t="s">
        <v>24616</v>
      </c>
      <c r="F9540" t="s">
        <v>28198</v>
      </c>
      <c r="G9540" t="s">
        <v>28205</v>
      </c>
      <c r="H9540" t="s">
        <v>28217</v>
      </c>
      <c r="I9540" t="s">
        <v>28274</v>
      </c>
      <c r="J9540" t="s">
        <v>28379</v>
      </c>
      <c r="K9540" t="s">
        <v>36756</v>
      </c>
      <c r="M9540" t="s">
        <v>39898</v>
      </c>
      <c r="N9540" t="s">
        <v>40436</v>
      </c>
      <c r="O9540" t="s">
        <v>40437</v>
      </c>
      <c r="P9540">
        <v>0</v>
      </c>
      <c r="Q9540">
        <v>6</v>
      </c>
      <c r="R9540" t="s">
        <v>40447</v>
      </c>
      <c r="S9540" t="s">
        <v>40868</v>
      </c>
      <c r="T9540" t="s">
        <v>42346</v>
      </c>
      <c r="U9540" t="s">
        <v>50600</v>
      </c>
      <c r="W9540" t="s">
        <v>39898</v>
      </c>
      <c r="X9540" t="s">
        <v>40450</v>
      </c>
    </row>
    <row r="9541" spans="1:24">
      <c r="A9541">
        <f>HYPERLINK("https://www.philgeps.gov.ph/GEPSNONPILOT/Tender/SplashBidNoticeAbstractUI.aspx?menuIndex=3&amp;refID=7031378&amp;Result=3","7031378")</f>
        <v>0</v>
      </c>
      <c r="B9541" t="s">
        <v>1713</v>
      </c>
      <c r="C9541" t="s">
        <v>12183</v>
      </c>
      <c r="D9541" t="s">
        <v>16252</v>
      </c>
      <c r="E9541" t="s">
        <v>24617</v>
      </c>
      <c r="F9541" t="s">
        <v>28198</v>
      </c>
      <c r="G9541" t="s">
        <v>28205</v>
      </c>
      <c r="H9541" t="s">
        <v>28215</v>
      </c>
      <c r="I9541" t="s">
        <v>28228</v>
      </c>
      <c r="J9541" t="s">
        <v>34290</v>
      </c>
      <c r="K9541" t="s">
        <v>36697</v>
      </c>
      <c r="M9541" t="s">
        <v>38819</v>
      </c>
      <c r="N9541" t="s">
        <v>40436</v>
      </c>
      <c r="O9541" t="s">
        <v>40437</v>
      </c>
      <c r="P9541">
        <v>0</v>
      </c>
      <c r="Q9541">
        <v>0</v>
      </c>
      <c r="R9541" t="s">
        <v>40447</v>
      </c>
      <c r="S9541" t="s">
        <v>40868</v>
      </c>
      <c r="T9541" t="s">
        <v>42244</v>
      </c>
      <c r="U9541" t="s">
        <v>50601</v>
      </c>
      <c r="W9541" t="s">
        <v>38819</v>
      </c>
      <c r="X9541" t="s">
        <v>40450</v>
      </c>
    </row>
    <row r="9542" spans="1:24">
      <c r="A9542">
        <f>HYPERLINK("https://www.philgeps.gov.ph/GEPSNONPILOT/Tender/SplashBidNoticeAbstractUI.aspx?menuIndex=3&amp;refID=7031259&amp;Result=3","7031259")</f>
        <v>0</v>
      </c>
      <c r="B9542" t="s">
        <v>595</v>
      </c>
      <c r="C9542" t="s">
        <v>12184</v>
      </c>
      <c r="D9542" t="s">
        <v>16285</v>
      </c>
      <c r="E9542" t="s">
        <v>24618</v>
      </c>
      <c r="F9542" t="s">
        <v>28198</v>
      </c>
      <c r="G9542" t="s">
        <v>28205</v>
      </c>
      <c r="H9542" t="s">
        <v>28215</v>
      </c>
      <c r="I9542" t="s">
        <v>28224</v>
      </c>
      <c r="J9542" t="s">
        <v>29330</v>
      </c>
      <c r="K9542" t="s">
        <v>36694</v>
      </c>
      <c r="M9542" t="s">
        <v>37713</v>
      </c>
      <c r="N9542" t="s">
        <v>40436</v>
      </c>
      <c r="O9542" t="s">
        <v>40437</v>
      </c>
      <c r="Q9542">
        <v>1</v>
      </c>
      <c r="R9542" t="s">
        <v>40447</v>
      </c>
      <c r="S9542" t="s">
        <v>40895</v>
      </c>
      <c r="T9542" t="s">
        <v>42240</v>
      </c>
      <c r="U9542" t="s">
        <v>50602</v>
      </c>
      <c r="W9542" t="s">
        <v>37713</v>
      </c>
      <c r="X9542" t="s">
        <v>40450</v>
      </c>
    </row>
    <row r="9543" spans="1:24">
      <c r="A9543">
        <f>HYPERLINK("https://www.philgeps.gov.ph/GEPSNONPILOT/Tender/SplashBidNoticeAbstractUI.aspx?menuIndex=3&amp;refID=7031433&amp;Result=3","7031433")</f>
        <v>0</v>
      </c>
      <c r="B9543" t="s">
        <v>1713</v>
      </c>
      <c r="C9543" t="s">
        <v>12185</v>
      </c>
      <c r="D9543" t="s">
        <v>16252</v>
      </c>
      <c r="E9543" t="s">
        <v>24619</v>
      </c>
      <c r="F9543" t="s">
        <v>28198</v>
      </c>
      <c r="G9543" t="s">
        <v>28205</v>
      </c>
      <c r="H9543" t="s">
        <v>28215</v>
      </c>
      <c r="I9543" t="s">
        <v>28231</v>
      </c>
      <c r="J9543" t="s">
        <v>34291</v>
      </c>
      <c r="K9543" t="s">
        <v>36705</v>
      </c>
      <c r="M9543" t="s">
        <v>38819</v>
      </c>
      <c r="N9543" t="s">
        <v>40436</v>
      </c>
      <c r="O9543" t="s">
        <v>40437</v>
      </c>
      <c r="P9543">
        <v>0</v>
      </c>
      <c r="Q9543">
        <v>2</v>
      </c>
      <c r="R9543" t="s">
        <v>40447</v>
      </c>
      <c r="S9543" t="s">
        <v>40868</v>
      </c>
      <c r="T9543" t="s">
        <v>42244</v>
      </c>
      <c r="U9543" t="s">
        <v>50603</v>
      </c>
      <c r="W9543" t="s">
        <v>38819</v>
      </c>
      <c r="X9543" t="s">
        <v>40450</v>
      </c>
    </row>
    <row r="9544" spans="1:24">
      <c r="A9544">
        <f>HYPERLINK("https://www.philgeps.gov.ph/GEPSNONPILOT/Tender/SplashBidNoticeAbstractUI.aspx?menuIndex=3&amp;refID=7031388&amp;Result=3","7031388")</f>
        <v>0</v>
      </c>
      <c r="B9544" t="s">
        <v>916</v>
      </c>
      <c r="C9544" t="s">
        <v>12186</v>
      </c>
      <c r="D9544" t="s">
        <v>16210</v>
      </c>
      <c r="E9544" t="s">
        <v>24620</v>
      </c>
      <c r="F9544" t="s">
        <v>28198</v>
      </c>
      <c r="G9544" t="s">
        <v>28205</v>
      </c>
      <c r="H9544" t="s">
        <v>28215</v>
      </c>
      <c r="I9544" t="s">
        <v>28222</v>
      </c>
      <c r="J9544" t="s">
        <v>34292</v>
      </c>
      <c r="K9544" t="s">
        <v>36692</v>
      </c>
      <c r="M9544" t="s">
        <v>39899</v>
      </c>
      <c r="N9544" t="s">
        <v>40436</v>
      </c>
      <c r="O9544" t="s">
        <v>40437</v>
      </c>
      <c r="P9544">
        <v>0</v>
      </c>
      <c r="Q9544">
        <v>22</v>
      </c>
      <c r="R9544" t="s">
        <v>40447</v>
      </c>
      <c r="S9544" t="s">
        <v>40868</v>
      </c>
      <c r="T9544" t="s">
        <v>42168</v>
      </c>
      <c r="U9544" t="s">
        <v>50604</v>
      </c>
      <c r="W9544" t="s">
        <v>39899</v>
      </c>
      <c r="X9544" t="s">
        <v>40450</v>
      </c>
    </row>
    <row r="9545" spans="1:24">
      <c r="A9545">
        <f>HYPERLINK("https://www.philgeps.gov.ph/GEPSNONPILOT/Tender/SplashBidNoticeAbstractUI.aspx?menuIndex=3&amp;refID=7031519&amp;Result=3","7031519")</f>
        <v>0</v>
      </c>
      <c r="B9545" t="s">
        <v>1697</v>
      </c>
      <c r="C9545" t="s">
        <v>12187</v>
      </c>
      <c r="D9545" t="s">
        <v>16221</v>
      </c>
      <c r="E9545" t="s">
        <v>24621</v>
      </c>
      <c r="F9545" t="s">
        <v>28198</v>
      </c>
      <c r="G9545" t="s">
        <v>28205</v>
      </c>
      <c r="H9545" t="s">
        <v>28215</v>
      </c>
      <c r="I9545" t="s">
        <v>5100</v>
      </c>
      <c r="J9545" t="s">
        <v>34293</v>
      </c>
      <c r="K9545" t="s">
        <v>36688</v>
      </c>
      <c r="M9545" t="s">
        <v>38798</v>
      </c>
      <c r="N9545" t="s">
        <v>40436</v>
      </c>
      <c r="O9545" t="s">
        <v>40437</v>
      </c>
      <c r="P9545">
        <v>0</v>
      </c>
      <c r="Q9545">
        <v>1</v>
      </c>
      <c r="R9545" t="s">
        <v>40447</v>
      </c>
      <c r="S9545" t="s">
        <v>40868</v>
      </c>
      <c r="T9545" t="s">
        <v>42455</v>
      </c>
      <c r="U9545" t="s">
        <v>50605</v>
      </c>
      <c r="W9545" t="s">
        <v>38798</v>
      </c>
      <c r="X9545" t="s">
        <v>40450</v>
      </c>
    </row>
    <row r="9546" spans="1:24">
      <c r="A9546">
        <f>HYPERLINK("https://www.philgeps.gov.ph/GEPSNONPILOT/Tender/SplashBidNoticeAbstractUI.aspx?menuIndex=3&amp;refID=7031442&amp;Result=3","7031442")</f>
        <v>0</v>
      </c>
      <c r="B9546" t="s">
        <v>1078</v>
      </c>
      <c r="C9546" t="s">
        <v>12188</v>
      </c>
      <c r="D9546" t="s">
        <v>16210</v>
      </c>
      <c r="E9546" t="s">
        <v>24622</v>
      </c>
      <c r="F9546" t="s">
        <v>28198</v>
      </c>
      <c r="G9546" t="s">
        <v>28205</v>
      </c>
      <c r="H9546" t="s">
        <v>28215</v>
      </c>
      <c r="I9546" t="s">
        <v>4321</v>
      </c>
      <c r="J9546" t="s">
        <v>34294</v>
      </c>
      <c r="K9546" t="s">
        <v>36697</v>
      </c>
      <c r="M9546" t="s">
        <v>39900</v>
      </c>
      <c r="N9546" t="s">
        <v>40436</v>
      </c>
      <c r="O9546" t="s">
        <v>40437</v>
      </c>
      <c r="P9546">
        <v>0</v>
      </c>
      <c r="Q9546">
        <v>26</v>
      </c>
      <c r="R9546" t="s">
        <v>40447</v>
      </c>
      <c r="S9546" t="s">
        <v>40868</v>
      </c>
      <c r="T9546" t="s">
        <v>42219</v>
      </c>
      <c r="U9546" t="s">
        <v>50606</v>
      </c>
      <c r="W9546" t="s">
        <v>39900</v>
      </c>
      <c r="X9546" t="s">
        <v>40450</v>
      </c>
    </row>
    <row r="9547" spans="1:24">
      <c r="A9547">
        <f>HYPERLINK("https://www.philgeps.gov.ph/GEPSNONPILOT/Tender/SplashBidNoticeAbstractUI.aspx?menuIndex=3&amp;refID=7031474&amp;Result=3","7031474")</f>
        <v>0</v>
      </c>
      <c r="B9547" t="s">
        <v>1200</v>
      </c>
      <c r="C9547" t="s">
        <v>12189</v>
      </c>
      <c r="D9547" t="s">
        <v>16244</v>
      </c>
      <c r="E9547" t="s">
        <v>24623</v>
      </c>
      <c r="F9547" t="s">
        <v>28198</v>
      </c>
      <c r="G9547" t="s">
        <v>28205</v>
      </c>
      <c r="H9547" t="s">
        <v>28214</v>
      </c>
      <c r="I9547" t="s">
        <v>3797</v>
      </c>
      <c r="J9547" t="s">
        <v>28398</v>
      </c>
      <c r="K9547" t="s">
        <v>36904</v>
      </c>
      <c r="M9547" t="s">
        <v>38245</v>
      </c>
      <c r="N9547" t="s">
        <v>40436</v>
      </c>
      <c r="O9547" t="s">
        <v>40437</v>
      </c>
      <c r="P9547">
        <v>0</v>
      </c>
      <c r="Q9547">
        <v>0</v>
      </c>
      <c r="R9547" t="s">
        <v>40447</v>
      </c>
      <c r="S9547" t="s">
        <v>40868</v>
      </c>
      <c r="T9547" t="s">
        <v>42183</v>
      </c>
      <c r="U9547" t="s">
        <v>45507</v>
      </c>
      <c r="W9547" t="s">
        <v>38245</v>
      </c>
      <c r="X9547" t="s">
        <v>40450</v>
      </c>
    </row>
    <row r="9548" spans="1:24">
      <c r="A9548">
        <f>HYPERLINK("https://www.philgeps.gov.ph/GEPSNONPILOT/Tender/SplashBidNoticeAbstractUI.aspx?menuIndex=3&amp;refID=7031454&amp;Result=3","7031454")</f>
        <v>0</v>
      </c>
      <c r="B9548" t="s">
        <v>1200</v>
      </c>
      <c r="C9548" t="s">
        <v>12190</v>
      </c>
      <c r="D9548" t="s">
        <v>16244</v>
      </c>
      <c r="E9548" t="s">
        <v>24624</v>
      </c>
      <c r="F9548" t="s">
        <v>28198</v>
      </c>
      <c r="G9548" t="s">
        <v>28205</v>
      </c>
      <c r="H9548" t="s">
        <v>28214</v>
      </c>
      <c r="I9548" t="s">
        <v>3797</v>
      </c>
      <c r="J9548" t="s">
        <v>28752</v>
      </c>
      <c r="K9548" t="s">
        <v>36905</v>
      </c>
      <c r="M9548" t="s">
        <v>38245</v>
      </c>
      <c r="N9548" t="s">
        <v>40436</v>
      </c>
      <c r="O9548" t="s">
        <v>40437</v>
      </c>
      <c r="P9548">
        <v>0</v>
      </c>
      <c r="Q9548">
        <v>0</v>
      </c>
      <c r="R9548" t="s">
        <v>40447</v>
      </c>
      <c r="S9548" t="s">
        <v>40868</v>
      </c>
      <c r="T9548" t="s">
        <v>42183</v>
      </c>
      <c r="U9548" t="s">
        <v>45507</v>
      </c>
      <c r="W9548" t="s">
        <v>38245</v>
      </c>
      <c r="X9548" t="s">
        <v>40450</v>
      </c>
    </row>
    <row r="9549" spans="1:24">
      <c r="A9549">
        <f>HYPERLINK("https://www.philgeps.gov.ph/GEPSNONPILOT/Tender/SplashBidNoticeAbstractUI.aspx?menuIndex=3&amp;refID=7031497&amp;Result=3","7031497")</f>
        <v>0</v>
      </c>
      <c r="B9549" t="s">
        <v>556</v>
      </c>
      <c r="C9549" t="s">
        <v>12191</v>
      </c>
      <c r="D9549" t="s">
        <v>16194</v>
      </c>
      <c r="E9549" t="s">
        <v>24625</v>
      </c>
      <c r="F9549" t="s">
        <v>28198</v>
      </c>
      <c r="G9549" t="s">
        <v>28207</v>
      </c>
      <c r="H9549" t="s">
        <v>28215</v>
      </c>
      <c r="I9549" t="s">
        <v>5082</v>
      </c>
      <c r="J9549" t="s">
        <v>34295</v>
      </c>
      <c r="K9549" t="s">
        <v>36707</v>
      </c>
      <c r="M9549" t="s">
        <v>39901</v>
      </c>
      <c r="N9549" t="s">
        <v>40436</v>
      </c>
      <c r="O9549" t="s">
        <v>40437</v>
      </c>
      <c r="P9549">
        <v>0</v>
      </c>
      <c r="Q9549">
        <v>6</v>
      </c>
      <c r="R9549" t="s">
        <v>40447</v>
      </c>
      <c r="S9549" t="s">
        <v>40868</v>
      </c>
      <c r="T9549" t="s">
        <v>42169</v>
      </c>
      <c r="U9549" t="s">
        <v>50607</v>
      </c>
      <c r="V9549" t="s">
        <v>53919</v>
      </c>
      <c r="W9549" t="s">
        <v>39901</v>
      </c>
      <c r="X9549" t="s">
        <v>40450</v>
      </c>
    </row>
    <row r="9550" spans="1:24">
      <c r="A9550">
        <f>HYPERLINK("https://www.philgeps.gov.ph/GEPSNONPILOT/Tender/SplashBidNoticeAbstractUI.aspx?menuIndex=3&amp;refID=7031642&amp;Result=3","7031642")</f>
        <v>0</v>
      </c>
      <c r="B9550" t="s">
        <v>895</v>
      </c>
      <c r="C9550" t="s">
        <v>12192</v>
      </c>
      <c r="D9550" t="s">
        <v>16218</v>
      </c>
      <c r="E9550" t="s">
        <v>24626</v>
      </c>
      <c r="F9550" t="s">
        <v>28198</v>
      </c>
      <c r="G9550" t="s">
        <v>28205</v>
      </c>
      <c r="H9550" t="s">
        <v>28214</v>
      </c>
      <c r="I9550" t="s">
        <v>3797</v>
      </c>
      <c r="J9550" t="s">
        <v>34296</v>
      </c>
      <c r="K9550" t="s">
        <v>36692</v>
      </c>
      <c r="M9550" t="s">
        <v>37911</v>
      </c>
      <c r="N9550" t="s">
        <v>40436</v>
      </c>
      <c r="O9550" t="s">
        <v>40437</v>
      </c>
      <c r="P9550">
        <v>0</v>
      </c>
      <c r="Q9550">
        <v>0</v>
      </c>
      <c r="R9550" t="s">
        <v>40447</v>
      </c>
      <c r="S9550" t="s">
        <v>40868</v>
      </c>
      <c r="T9550" t="s">
        <v>42292</v>
      </c>
      <c r="U9550" t="s">
        <v>50608</v>
      </c>
      <c r="W9550" t="s">
        <v>37911</v>
      </c>
      <c r="X9550" t="s">
        <v>40450</v>
      </c>
    </row>
    <row r="9551" spans="1:24">
      <c r="A9551">
        <f>HYPERLINK("https://www.philgeps.gov.ph/GEPSNONPILOT/Tender/SplashBidNoticeAbstractUI.aspx?menuIndex=3&amp;refID=7031637&amp;Result=3","7031637")</f>
        <v>0</v>
      </c>
      <c r="B9551" t="s">
        <v>2669</v>
      </c>
      <c r="C9551" t="s">
        <v>12193</v>
      </c>
      <c r="D9551" t="s">
        <v>16199</v>
      </c>
      <c r="E9551" t="s">
        <v>24627</v>
      </c>
      <c r="F9551" t="s">
        <v>28198</v>
      </c>
      <c r="G9551" t="s">
        <v>28205</v>
      </c>
      <c r="H9551" t="s">
        <v>28214</v>
      </c>
      <c r="I9551" t="s">
        <v>3797</v>
      </c>
      <c r="J9551" t="s">
        <v>28393</v>
      </c>
      <c r="K9551" t="s">
        <v>36815</v>
      </c>
      <c r="M9551" t="s">
        <v>39902</v>
      </c>
      <c r="N9551" t="s">
        <v>40436</v>
      </c>
      <c r="O9551" t="s">
        <v>40437</v>
      </c>
      <c r="P9551">
        <v>0</v>
      </c>
      <c r="Q9551">
        <v>2</v>
      </c>
      <c r="R9551" t="s">
        <v>40447</v>
      </c>
      <c r="S9551" t="s">
        <v>40868</v>
      </c>
      <c r="T9551" t="s">
        <v>42346</v>
      </c>
      <c r="U9551" t="s">
        <v>50609</v>
      </c>
      <c r="W9551" t="s">
        <v>39902</v>
      </c>
      <c r="X9551" t="s">
        <v>40450</v>
      </c>
    </row>
    <row r="9552" spans="1:24">
      <c r="A9552">
        <f>HYPERLINK("https://www.philgeps.gov.ph/GEPSNONPILOT/Tender/SplashBidNoticeAbstractUI.aspx?menuIndex=3&amp;refID=7031352&amp;Result=3","7031352")</f>
        <v>0</v>
      </c>
      <c r="B9552" t="s">
        <v>243</v>
      </c>
      <c r="C9552" t="s">
        <v>12194</v>
      </c>
      <c r="D9552" t="s">
        <v>16193</v>
      </c>
      <c r="E9552" t="s">
        <v>24628</v>
      </c>
      <c r="F9552" t="s">
        <v>28198</v>
      </c>
      <c r="G9552" t="s">
        <v>28205</v>
      </c>
      <c r="H9552" t="s">
        <v>28215</v>
      </c>
      <c r="I9552" t="s">
        <v>28222</v>
      </c>
      <c r="J9552" t="s">
        <v>28921</v>
      </c>
      <c r="K9552" t="s">
        <v>36701</v>
      </c>
      <c r="M9552" t="s">
        <v>37219</v>
      </c>
      <c r="N9552" t="s">
        <v>40436</v>
      </c>
      <c r="O9552" t="s">
        <v>40437</v>
      </c>
      <c r="P9552">
        <v>0</v>
      </c>
      <c r="Q9552">
        <v>8</v>
      </c>
      <c r="R9552" t="s">
        <v>40447</v>
      </c>
      <c r="S9552" t="s">
        <v>40868</v>
      </c>
      <c r="T9552" t="s">
        <v>42279</v>
      </c>
      <c r="U9552" t="s">
        <v>50610</v>
      </c>
      <c r="V9552" t="s">
        <v>53830</v>
      </c>
      <c r="W9552" t="s">
        <v>37219</v>
      </c>
      <c r="X9552" t="s">
        <v>40450</v>
      </c>
    </row>
    <row r="9553" spans="1:24">
      <c r="A9553">
        <f>HYPERLINK("https://www.philgeps.gov.ph/GEPSNONPILOT/Tender/SplashBidNoticeAbstractUI.aspx?menuIndex=3&amp;refID=7031607&amp;Result=3","7031607")</f>
        <v>0</v>
      </c>
      <c r="B9553" t="s">
        <v>895</v>
      </c>
      <c r="C9553" t="s">
        <v>12195</v>
      </c>
      <c r="D9553" t="s">
        <v>16218</v>
      </c>
      <c r="E9553" t="s">
        <v>24629</v>
      </c>
      <c r="F9553" t="s">
        <v>28198</v>
      </c>
      <c r="G9553" t="s">
        <v>28205</v>
      </c>
      <c r="H9553" t="s">
        <v>28214</v>
      </c>
      <c r="I9553" t="s">
        <v>3797</v>
      </c>
      <c r="J9553" t="s">
        <v>34296</v>
      </c>
      <c r="K9553" t="s">
        <v>36692</v>
      </c>
      <c r="M9553" t="s">
        <v>37911</v>
      </c>
      <c r="N9553" t="s">
        <v>40436</v>
      </c>
      <c r="O9553" t="s">
        <v>40437</v>
      </c>
      <c r="P9553">
        <v>0</v>
      </c>
      <c r="Q9553">
        <v>0</v>
      </c>
      <c r="R9553" t="s">
        <v>40447</v>
      </c>
      <c r="S9553" t="s">
        <v>40868</v>
      </c>
      <c r="T9553" t="s">
        <v>42292</v>
      </c>
      <c r="U9553" t="s">
        <v>50611</v>
      </c>
      <c r="W9553" t="s">
        <v>37911</v>
      </c>
      <c r="X9553" t="s">
        <v>40450</v>
      </c>
    </row>
    <row r="9554" spans="1:24">
      <c r="A9554">
        <f>HYPERLINK("https://www.philgeps.gov.ph/GEPSNONPILOT/Tender/SplashBidNoticeAbstractUI.aspx?menuIndex=3&amp;refID=7031521&amp;Result=3","7031521")</f>
        <v>0</v>
      </c>
      <c r="B9554" t="s">
        <v>1180</v>
      </c>
      <c r="C9554" t="s">
        <v>12196</v>
      </c>
      <c r="D9554" t="s">
        <v>16250</v>
      </c>
      <c r="E9554" t="s">
        <v>24630</v>
      </c>
      <c r="F9554" t="s">
        <v>28198</v>
      </c>
      <c r="G9554" t="s">
        <v>28205</v>
      </c>
      <c r="H9554" t="s">
        <v>28214</v>
      </c>
      <c r="I9554" t="s">
        <v>3797</v>
      </c>
      <c r="J9554" t="s">
        <v>34297</v>
      </c>
      <c r="K9554" t="s">
        <v>36733</v>
      </c>
      <c r="L9554" t="s">
        <v>1180</v>
      </c>
      <c r="M9554" t="s">
        <v>38222</v>
      </c>
      <c r="N9554" t="s">
        <v>40436</v>
      </c>
      <c r="O9554" t="s">
        <v>40437</v>
      </c>
      <c r="P9554">
        <v>0</v>
      </c>
      <c r="Q9554">
        <v>3</v>
      </c>
      <c r="R9554" t="s">
        <v>40447</v>
      </c>
      <c r="S9554" t="s">
        <v>40868</v>
      </c>
      <c r="T9554" t="s">
        <v>42279</v>
      </c>
      <c r="U9554" t="s">
        <v>50612</v>
      </c>
      <c r="W9554" t="s">
        <v>38222</v>
      </c>
      <c r="X9554" t="s">
        <v>40450</v>
      </c>
    </row>
    <row r="9555" spans="1:24">
      <c r="A9555">
        <f>HYPERLINK("https://www.philgeps.gov.ph/GEPSNONPILOT/Tender/SplashBidNoticeAbstractUI.aspx?menuIndex=3&amp;refID=7031437&amp;Result=3","7031437")</f>
        <v>0</v>
      </c>
      <c r="B9555" t="s">
        <v>1200</v>
      </c>
      <c r="C9555" t="s">
        <v>12197</v>
      </c>
      <c r="D9555" t="s">
        <v>16244</v>
      </c>
      <c r="E9555" t="s">
        <v>24631</v>
      </c>
      <c r="F9555" t="s">
        <v>28198</v>
      </c>
      <c r="G9555" t="s">
        <v>28205</v>
      </c>
      <c r="H9555" t="s">
        <v>28214</v>
      </c>
      <c r="I9555" t="s">
        <v>3797</v>
      </c>
      <c r="J9555" t="s">
        <v>34298</v>
      </c>
      <c r="K9555" t="s">
        <v>36725</v>
      </c>
      <c r="M9555" t="s">
        <v>38245</v>
      </c>
      <c r="N9555" t="s">
        <v>40436</v>
      </c>
      <c r="O9555" t="s">
        <v>40437</v>
      </c>
      <c r="P9555">
        <v>0</v>
      </c>
      <c r="Q9555">
        <v>0</v>
      </c>
      <c r="R9555" t="s">
        <v>40447</v>
      </c>
      <c r="S9555" t="s">
        <v>40868</v>
      </c>
      <c r="T9555" t="s">
        <v>42183</v>
      </c>
      <c r="U9555" t="s">
        <v>45507</v>
      </c>
      <c r="W9555" t="s">
        <v>38245</v>
      </c>
      <c r="X9555" t="s">
        <v>40450</v>
      </c>
    </row>
    <row r="9556" spans="1:24">
      <c r="A9556">
        <f>HYPERLINK("https://www.philgeps.gov.ph/GEPSNONPILOT/Tender/SplashBidNoticeAbstractUI.aspx?menuIndex=3&amp;refID=7031596&amp;Result=3","7031596")</f>
        <v>0</v>
      </c>
      <c r="B9556" t="s">
        <v>2670</v>
      </c>
      <c r="C9556" t="s">
        <v>12198</v>
      </c>
      <c r="D9556" t="s">
        <v>16210</v>
      </c>
      <c r="E9556" t="s">
        <v>24632</v>
      </c>
      <c r="F9556" t="s">
        <v>28198</v>
      </c>
      <c r="G9556" t="s">
        <v>28205</v>
      </c>
      <c r="H9556" t="s">
        <v>28214</v>
      </c>
      <c r="I9556" t="s">
        <v>28245</v>
      </c>
      <c r="J9556" t="s">
        <v>34299</v>
      </c>
      <c r="K9556" t="s">
        <v>36737</v>
      </c>
      <c r="M9556" t="s">
        <v>39903</v>
      </c>
      <c r="N9556" t="s">
        <v>40436</v>
      </c>
      <c r="O9556" t="s">
        <v>40437</v>
      </c>
      <c r="P9556">
        <v>0</v>
      </c>
      <c r="Q9556">
        <v>4</v>
      </c>
      <c r="R9556" t="s">
        <v>40447</v>
      </c>
      <c r="S9556" t="s">
        <v>40868</v>
      </c>
      <c r="T9556" t="s">
        <v>42346</v>
      </c>
      <c r="U9556" t="s">
        <v>50613</v>
      </c>
      <c r="W9556" t="s">
        <v>39903</v>
      </c>
      <c r="X9556" t="s">
        <v>40450</v>
      </c>
    </row>
    <row r="9557" spans="1:24">
      <c r="A9557">
        <f>HYPERLINK("https://www.philgeps.gov.ph/GEPSNONPILOT/Tender/SplashBidNoticeAbstractUI.aspx?menuIndex=3&amp;refID=7031800&amp;Result=3","7031800")</f>
        <v>0</v>
      </c>
      <c r="B9557" t="s">
        <v>1670</v>
      </c>
      <c r="C9557" t="s">
        <v>12199</v>
      </c>
      <c r="D9557" t="s">
        <v>16258</v>
      </c>
      <c r="E9557" t="s">
        <v>24633</v>
      </c>
      <c r="F9557" t="s">
        <v>28198</v>
      </c>
      <c r="G9557" t="s">
        <v>28205</v>
      </c>
      <c r="H9557" t="s">
        <v>28214</v>
      </c>
      <c r="I9557" t="s">
        <v>3797</v>
      </c>
      <c r="J9557" t="s">
        <v>34300</v>
      </c>
      <c r="K9557" t="s">
        <v>36697</v>
      </c>
      <c r="M9557" t="s">
        <v>38765</v>
      </c>
      <c r="N9557" t="s">
        <v>40436</v>
      </c>
      <c r="O9557" t="s">
        <v>40437</v>
      </c>
      <c r="Q9557">
        <v>0</v>
      </c>
      <c r="R9557" t="s">
        <v>40447</v>
      </c>
      <c r="S9557" t="s">
        <v>40896</v>
      </c>
      <c r="T9557" t="s">
        <v>42425</v>
      </c>
      <c r="U9557" t="s">
        <v>50614</v>
      </c>
      <c r="V9557" t="s">
        <v>54250</v>
      </c>
      <c r="W9557" t="s">
        <v>38765</v>
      </c>
      <c r="X9557" t="s">
        <v>40450</v>
      </c>
    </row>
    <row r="9558" spans="1:24">
      <c r="A9558">
        <f>HYPERLINK("https://www.philgeps.gov.ph/GEPSNONPILOT/Tender/SplashBidNoticeAbstractUI.aspx?menuIndex=3&amp;refID=7031658&amp;Result=3","7031658")</f>
        <v>0</v>
      </c>
      <c r="B9558" t="s">
        <v>2671</v>
      </c>
      <c r="C9558" t="s">
        <v>6526</v>
      </c>
      <c r="D9558" t="s">
        <v>16244</v>
      </c>
      <c r="E9558" t="s">
        <v>18147</v>
      </c>
      <c r="F9558" t="s">
        <v>28198</v>
      </c>
      <c r="G9558" t="s">
        <v>28205</v>
      </c>
      <c r="H9558" t="s">
        <v>28215</v>
      </c>
      <c r="I9558" t="s">
        <v>3774</v>
      </c>
      <c r="J9558" t="s">
        <v>34301</v>
      </c>
      <c r="K9558" t="s">
        <v>36701</v>
      </c>
      <c r="M9558" t="s">
        <v>39904</v>
      </c>
      <c r="N9558" t="s">
        <v>40436</v>
      </c>
      <c r="O9558" t="s">
        <v>40437</v>
      </c>
      <c r="P9558">
        <v>0</v>
      </c>
      <c r="Q9558">
        <v>3</v>
      </c>
      <c r="R9558" t="s">
        <v>40447</v>
      </c>
      <c r="S9558" t="s">
        <v>40868</v>
      </c>
      <c r="T9558" t="s">
        <v>42229</v>
      </c>
      <c r="U9558" t="s">
        <v>50615</v>
      </c>
      <c r="W9558" t="s">
        <v>39904</v>
      </c>
      <c r="X9558" t="s">
        <v>40450</v>
      </c>
    </row>
    <row r="9559" spans="1:24">
      <c r="A9559">
        <f>HYPERLINK("https://www.philgeps.gov.ph/GEPSNONPILOT/Tender/SplashBidNoticeAbstractUI.aspx?menuIndex=3&amp;refID=7031543&amp;Result=3","7031543")</f>
        <v>0</v>
      </c>
      <c r="B9559" t="s">
        <v>2672</v>
      </c>
      <c r="C9559" t="s">
        <v>12200</v>
      </c>
      <c r="D9559" t="s">
        <v>16249</v>
      </c>
      <c r="E9559" t="s">
        <v>16588</v>
      </c>
      <c r="F9559" t="s">
        <v>28198</v>
      </c>
      <c r="G9559" t="s">
        <v>28205</v>
      </c>
      <c r="H9559" t="s">
        <v>28215</v>
      </c>
      <c r="I9559" t="s">
        <v>5100</v>
      </c>
      <c r="J9559" t="s">
        <v>34302</v>
      </c>
      <c r="K9559" t="s">
        <v>36709</v>
      </c>
      <c r="M9559" t="s">
        <v>39905</v>
      </c>
      <c r="N9559" t="s">
        <v>40436</v>
      </c>
      <c r="O9559" t="s">
        <v>40437</v>
      </c>
      <c r="P9559">
        <v>0</v>
      </c>
      <c r="Q9559">
        <v>3</v>
      </c>
      <c r="R9559" t="s">
        <v>40447</v>
      </c>
      <c r="S9559" t="s">
        <v>40868</v>
      </c>
      <c r="T9559" t="s">
        <v>42160</v>
      </c>
      <c r="U9559" t="s">
        <v>50616</v>
      </c>
      <c r="W9559" t="s">
        <v>39905</v>
      </c>
      <c r="X9559" t="s">
        <v>40450</v>
      </c>
    </row>
    <row r="9560" spans="1:24">
      <c r="A9560">
        <f>HYPERLINK("https://www.philgeps.gov.ph/GEPSNONPILOT/Tender/SplashBidNoticeAbstractUI.aspx?menuIndex=3&amp;refID=7031541&amp;Result=3","7031541")</f>
        <v>0</v>
      </c>
      <c r="B9560" t="s">
        <v>895</v>
      </c>
      <c r="C9560" t="s">
        <v>12201</v>
      </c>
      <c r="D9560" t="s">
        <v>16218</v>
      </c>
      <c r="E9560" t="s">
        <v>24634</v>
      </c>
      <c r="F9560" t="s">
        <v>28198</v>
      </c>
      <c r="G9560" t="s">
        <v>28205</v>
      </c>
      <c r="H9560" t="s">
        <v>28215</v>
      </c>
      <c r="I9560" t="s">
        <v>28222</v>
      </c>
      <c r="J9560" t="s">
        <v>28351</v>
      </c>
      <c r="K9560" t="s">
        <v>36694</v>
      </c>
      <c r="M9560" t="s">
        <v>37911</v>
      </c>
      <c r="N9560" t="s">
        <v>40436</v>
      </c>
      <c r="O9560" t="s">
        <v>40437</v>
      </c>
      <c r="P9560">
        <v>0</v>
      </c>
      <c r="Q9560">
        <v>5</v>
      </c>
      <c r="R9560" t="s">
        <v>40447</v>
      </c>
      <c r="S9560" t="s">
        <v>40868</v>
      </c>
      <c r="T9560" t="s">
        <v>42292</v>
      </c>
      <c r="U9560" t="s">
        <v>50617</v>
      </c>
      <c r="W9560" t="s">
        <v>37911</v>
      </c>
      <c r="X9560" t="s">
        <v>40450</v>
      </c>
    </row>
    <row r="9561" spans="1:24">
      <c r="A9561">
        <f>HYPERLINK("https://www.philgeps.gov.ph/GEPSNONPILOT/Tender/SplashBidNoticeAbstractUI.aspx?menuIndex=3&amp;refID=7031682&amp;Result=3","7031682")</f>
        <v>0</v>
      </c>
      <c r="B9561" t="s">
        <v>2673</v>
      </c>
      <c r="C9561" t="s">
        <v>12202</v>
      </c>
      <c r="E9561" t="s">
        <v>24635</v>
      </c>
      <c r="F9561" t="s">
        <v>28198</v>
      </c>
      <c r="G9561" t="s">
        <v>28205</v>
      </c>
      <c r="H9561" t="s">
        <v>28215</v>
      </c>
      <c r="I9561" t="s">
        <v>28243</v>
      </c>
      <c r="J9561" t="s">
        <v>30526</v>
      </c>
      <c r="K9561" t="s">
        <v>36737</v>
      </c>
      <c r="M9561" t="s">
        <v>39906</v>
      </c>
      <c r="N9561" t="s">
        <v>40436</v>
      </c>
      <c r="O9561" t="s">
        <v>40437</v>
      </c>
      <c r="P9561">
        <v>0</v>
      </c>
      <c r="Q9561">
        <v>6</v>
      </c>
      <c r="R9561" t="s">
        <v>40447</v>
      </c>
      <c r="S9561" t="s">
        <v>40868</v>
      </c>
      <c r="T9561" t="s">
        <v>42292</v>
      </c>
      <c r="U9561" t="s">
        <v>50618</v>
      </c>
      <c r="W9561" t="s">
        <v>39906</v>
      </c>
      <c r="X9561" t="s">
        <v>40450</v>
      </c>
    </row>
    <row r="9562" spans="1:24">
      <c r="A9562">
        <f>HYPERLINK("https://www.philgeps.gov.ph/GEPSNONPILOT/Tender/SplashBidNoticeAbstractUI.aspx?menuIndex=3&amp;refID=7031842&amp;Result=3","7031842")</f>
        <v>0</v>
      </c>
      <c r="B9562" t="s">
        <v>2674</v>
      </c>
      <c r="C9562" t="s">
        <v>12203</v>
      </c>
      <c r="D9562" t="s">
        <v>16210</v>
      </c>
      <c r="E9562" t="s">
        <v>24636</v>
      </c>
      <c r="F9562" t="s">
        <v>28200</v>
      </c>
      <c r="G9562" t="s">
        <v>28205</v>
      </c>
      <c r="H9562" t="s">
        <v>28215</v>
      </c>
      <c r="I9562" t="s">
        <v>5082</v>
      </c>
      <c r="J9562" t="s">
        <v>34303</v>
      </c>
      <c r="K9562" t="s">
        <v>36688</v>
      </c>
      <c r="M9562" t="s">
        <v>39907</v>
      </c>
      <c r="N9562" t="s">
        <v>40436</v>
      </c>
      <c r="O9562" t="s">
        <v>40437</v>
      </c>
      <c r="P9562">
        <v>0</v>
      </c>
      <c r="Q9562">
        <v>0</v>
      </c>
      <c r="R9562" t="s">
        <v>40447</v>
      </c>
      <c r="S9562" t="s">
        <v>40868</v>
      </c>
      <c r="T9562" t="s">
        <v>42159</v>
      </c>
      <c r="U9562" t="s">
        <v>50619</v>
      </c>
      <c r="V9562" t="s">
        <v>54821</v>
      </c>
      <c r="W9562" t="s">
        <v>39907</v>
      </c>
      <c r="X9562" t="s">
        <v>40450</v>
      </c>
    </row>
    <row r="9563" spans="1:24">
      <c r="A9563">
        <f>HYPERLINK("https://www.philgeps.gov.ph/GEPSNONPILOT/Tender/SplashBidNoticeAbstractUI.aspx?menuIndex=3&amp;refID=7031893&amp;Result=3","7031893")</f>
        <v>0</v>
      </c>
      <c r="B9563" t="s">
        <v>2674</v>
      </c>
      <c r="C9563" t="s">
        <v>12204</v>
      </c>
      <c r="D9563" t="s">
        <v>16210</v>
      </c>
      <c r="E9563" t="s">
        <v>24637</v>
      </c>
      <c r="F9563" t="s">
        <v>28200</v>
      </c>
      <c r="G9563" t="s">
        <v>28205</v>
      </c>
      <c r="H9563" t="s">
        <v>28215</v>
      </c>
      <c r="I9563" t="s">
        <v>4200</v>
      </c>
      <c r="J9563" t="s">
        <v>34304</v>
      </c>
      <c r="K9563" t="s">
        <v>36688</v>
      </c>
      <c r="M9563" t="s">
        <v>39907</v>
      </c>
      <c r="N9563" t="s">
        <v>40436</v>
      </c>
      <c r="O9563" t="s">
        <v>40437</v>
      </c>
      <c r="P9563">
        <v>0</v>
      </c>
      <c r="Q9563">
        <v>0</v>
      </c>
      <c r="R9563" t="s">
        <v>40447</v>
      </c>
      <c r="S9563" t="s">
        <v>40868</v>
      </c>
      <c r="T9563" t="s">
        <v>42159</v>
      </c>
      <c r="U9563" t="s">
        <v>50620</v>
      </c>
      <c r="V9563" t="s">
        <v>54821</v>
      </c>
      <c r="W9563" t="s">
        <v>39907</v>
      </c>
      <c r="X9563" t="s">
        <v>40450</v>
      </c>
    </row>
    <row r="9564" spans="1:24">
      <c r="A9564">
        <f>HYPERLINK("https://www.philgeps.gov.ph/GEPSNONPILOT/Tender/SplashBidNoticeAbstractUI.aspx?menuIndex=3&amp;refID=7031513&amp;Result=3","7031513")</f>
        <v>0</v>
      </c>
      <c r="B9564" t="s">
        <v>2675</v>
      </c>
      <c r="C9564" t="s">
        <v>12205</v>
      </c>
      <c r="D9564" t="s">
        <v>16245</v>
      </c>
      <c r="E9564" t="s">
        <v>24638</v>
      </c>
      <c r="F9564" t="s">
        <v>28198</v>
      </c>
      <c r="G9564" t="s">
        <v>28205</v>
      </c>
      <c r="H9564" t="s">
        <v>28215</v>
      </c>
      <c r="I9564" t="s">
        <v>8870</v>
      </c>
      <c r="J9564" t="s">
        <v>28350</v>
      </c>
      <c r="K9564" t="s">
        <v>36719</v>
      </c>
      <c r="M9564" t="s">
        <v>39908</v>
      </c>
      <c r="N9564" t="s">
        <v>40436</v>
      </c>
      <c r="O9564" t="s">
        <v>40437</v>
      </c>
      <c r="P9564">
        <v>0</v>
      </c>
      <c r="Q9564">
        <v>1</v>
      </c>
      <c r="R9564" t="s">
        <v>40447</v>
      </c>
      <c r="S9564" t="s">
        <v>40868</v>
      </c>
      <c r="T9564" t="s">
        <v>42279</v>
      </c>
      <c r="U9564" t="s">
        <v>50621</v>
      </c>
      <c r="W9564" t="s">
        <v>39908</v>
      </c>
      <c r="X9564" t="s">
        <v>40450</v>
      </c>
    </row>
    <row r="9565" spans="1:24">
      <c r="A9565">
        <f>HYPERLINK("https://www.philgeps.gov.ph/GEPSNONPILOT/Tender/SplashBidNoticeAbstractUI.aspx?menuIndex=3&amp;refID=7031905&amp;Result=3","7031905")</f>
        <v>0</v>
      </c>
      <c r="B9565" t="s">
        <v>2674</v>
      </c>
      <c r="C9565" t="s">
        <v>12206</v>
      </c>
      <c r="D9565" t="s">
        <v>16210</v>
      </c>
      <c r="E9565" t="s">
        <v>24639</v>
      </c>
      <c r="F9565" t="s">
        <v>28200</v>
      </c>
      <c r="G9565" t="s">
        <v>28205</v>
      </c>
      <c r="H9565" t="s">
        <v>28215</v>
      </c>
      <c r="I9565" t="s">
        <v>4200</v>
      </c>
      <c r="J9565" t="s">
        <v>34305</v>
      </c>
      <c r="K9565" t="s">
        <v>36688</v>
      </c>
      <c r="M9565" t="s">
        <v>39907</v>
      </c>
      <c r="N9565" t="s">
        <v>40436</v>
      </c>
      <c r="O9565" t="s">
        <v>40437</v>
      </c>
      <c r="P9565">
        <v>0</v>
      </c>
      <c r="Q9565">
        <v>0</v>
      </c>
      <c r="R9565" t="s">
        <v>40447</v>
      </c>
      <c r="S9565" t="s">
        <v>40868</v>
      </c>
      <c r="T9565" t="s">
        <v>42159</v>
      </c>
      <c r="U9565" t="s">
        <v>50620</v>
      </c>
      <c r="V9565" t="s">
        <v>54821</v>
      </c>
      <c r="W9565" t="s">
        <v>39907</v>
      </c>
      <c r="X9565" t="s">
        <v>40450</v>
      </c>
    </row>
    <row r="9566" spans="1:24">
      <c r="A9566">
        <f>HYPERLINK("https://www.philgeps.gov.ph/GEPSNONPILOT/Tender/SplashBidNoticeAbstractUI.aspx?menuIndex=3&amp;refID=7031924&amp;Result=3","7031924")</f>
        <v>0</v>
      </c>
      <c r="B9566" t="s">
        <v>2674</v>
      </c>
      <c r="C9566" t="s">
        <v>12207</v>
      </c>
      <c r="D9566" t="s">
        <v>16210</v>
      </c>
      <c r="E9566" t="s">
        <v>24640</v>
      </c>
      <c r="F9566" t="s">
        <v>28200</v>
      </c>
      <c r="G9566" t="s">
        <v>28205</v>
      </c>
      <c r="H9566" t="s">
        <v>28215</v>
      </c>
      <c r="I9566" t="s">
        <v>4168</v>
      </c>
      <c r="J9566" t="s">
        <v>28345</v>
      </c>
      <c r="K9566" t="s">
        <v>36688</v>
      </c>
      <c r="M9566" t="s">
        <v>39907</v>
      </c>
      <c r="N9566" t="s">
        <v>40436</v>
      </c>
      <c r="O9566" t="s">
        <v>40437</v>
      </c>
      <c r="P9566">
        <v>0</v>
      </c>
      <c r="Q9566">
        <v>5</v>
      </c>
      <c r="R9566" t="s">
        <v>40447</v>
      </c>
      <c r="S9566" t="s">
        <v>40868</v>
      </c>
      <c r="T9566" t="s">
        <v>42159</v>
      </c>
      <c r="U9566" t="s">
        <v>50620</v>
      </c>
      <c r="V9566" t="s">
        <v>54821</v>
      </c>
      <c r="W9566" t="s">
        <v>39907</v>
      </c>
      <c r="X9566" t="s">
        <v>40450</v>
      </c>
    </row>
    <row r="9567" spans="1:24">
      <c r="A9567">
        <f>HYPERLINK("https://www.philgeps.gov.ph/GEPSNONPILOT/Tender/SplashBidNoticeAbstractUI.aspx?menuIndex=3&amp;refID=7032033&amp;Result=3","7032033")</f>
        <v>0</v>
      </c>
      <c r="B9567" t="s">
        <v>2676</v>
      </c>
      <c r="C9567" t="s">
        <v>12208</v>
      </c>
      <c r="D9567" t="s">
        <v>16199</v>
      </c>
      <c r="E9567" t="s">
        <v>24641</v>
      </c>
      <c r="F9567" t="s">
        <v>28198</v>
      </c>
      <c r="G9567" t="s">
        <v>28205</v>
      </c>
      <c r="H9567" t="s">
        <v>28215</v>
      </c>
      <c r="I9567" t="s">
        <v>28222</v>
      </c>
      <c r="J9567" t="s">
        <v>28663</v>
      </c>
      <c r="K9567" t="s">
        <v>36701</v>
      </c>
      <c r="M9567" t="s">
        <v>39909</v>
      </c>
      <c r="N9567" t="s">
        <v>40436</v>
      </c>
      <c r="O9567" t="s">
        <v>40437</v>
      </c>
      <c r="Q9567">
        <v>7</v>
      </c>
      <c r="R9567" t="s">
        <v>40447</v>
      </c>
      <c r="S9567" t="s">
        <v>40897</v>
      </c>
      <c r="T9567" t="s">
        <v>42103</v>
      </c>
      <c r="U9567" t="s">
        <v>50622</v>
      </c>
      <c r="V9567" t="s">
        <v>54822</v>
      </c>
      <c r="W9567" t="s">
        <v>39909</v>
      </c>
      <c r="X9567" t="s">
        <v>40449</v>
      </c>
    </row>
    <row r="9568" spans="1:24">
      <c r="A9568">
        <f>HYPERLINK("https://www.philgeps.gov.ph/GEPSNONPILOT/Tender/SplashBidNoticeAbstractUI.aspx?menuIndex=3&amp;refID=7032025&amp;Result=3","7032025")</f>
        <v>0</v>
      </c>
      <c r="B9568" t="s">
        <v>1083</v>
      </c>
      <c r="C9568" t="s">
        <v>12209</v>
      </c>
      <c r="D9568" t="s">
        <v>16260</v>
      </c>
      <c r="E9568" t="s">
        <v>24642</v>
      </c>
      <c r="F9568" t="s">
        <v>28198</v>
      </c>
      <c r="G9568" t="s">
        <v>28205</v>
      </c>
      <c r="H9568" t="s">
        <v>28215</v>
      </c>
      <c r="I9568" t="s">
        <v>28240</v>
      </c>
      <c r="J9568" t="s">
        <v>34306</v>
      </c>
      <c r="K9568" t="s">
        <v>36707</v>
      </c>
      <c r="M9568" t="s">
        <v>38118</v>
      </c>
      <c r="N9568" t="s">
        <v>40436</v>
      </c>
      <c r="O9568" t="s">
        <v>40437</v>
      </c>
      <c r="P9568">
        <v>0</v>
      </c>
      <c r="Q9568">
        <v>2</v>
      </c>
      <c r="R9568" t="s">
        <v>40447</v>
      </c>
      <c r="S9568" t="s">
        <v>40868</v>
      </c>
      <c r="T9568" t="s">
        <v>42485</v>
      </c>
      <c r="U9568" t="s">
        <v>44944</v>
      </c>
      <c r="W9568" t="s">
        <v>38118</v>
      </c>
      <c r="X9568" t="s">
        <v>40449</v>
      </c>
    </row>
    <row r="9569" spans="1:24">
      <c r="A9569">
        <f>HYPERLINK("https://www.philgeps.gov.ph/GEPSNONPILOT/Tender/SplashBidNoticeAbstractUI.aspx?menuIndex=3&amp;refID=7031984&amp;Result=3","7031984")</f>
        <v>0</v>
      </c>
      <c r="B9569" t="s">
        <v>2677</v>
      </c>
      <c r="C9569" t="s">
        <v>12210</v>
      </c>
      <c r="E9569" t="s">
        <v>24643</v>
      </c>
      <c r="F9569" t="s">
        <v>28198</v>
      </c>
      <c r="G9569" t="s">
        <v>28205</v>
      </c>
      <c r="H9569" t="s">
        <v>28217</v>
      </c>
      <c r="I9569" t="s">
        <v>28231</v>
      </c>
      <c r="J9569" t="s">
        <v>34307</v>
      </c>
      <c r="K9569" t="s">
        <v>36765</v>
      </c>
      <c r="M9569" t="s">
        <v>39910</v>
      </c>
      <c r="N9569" t="s">
        <v>40436</v>
      </c>
      <c r="O9569" t="s">
        <v>40437</v>
      </c>
      <c r="P9569">
        <v>0</v>
      </c>
      <c r="Q9569">
        <v>6</v>
      </c>
      <c r="R9569" t="s">
        <v>40447</v>
      </c>
      <c r="S9569" t="s">
        <v>40868</v>
      </c>
      <c r="T9569" t="s">
        <v>42113</v>
      </c>
      <c r="U9569" t="s">
        <v>50623</v>
      </c>
      <c r="V9569" t="s">
        <v>54823</v>
      </c>
      <c r="W9569" t="s">
        <v>55528</v>
      </c>
      <c r="X9569" t="s">
        <v>40449</v>
      </c>
    </row>
    <row r="9570" spans="1:24">
      <c r="A9570">
        <f>HYPERLINK("https://www.philgeps.gov.ph/GEPSNONPILOT/Tender/SplashBidNoticeAbstractUI.aspx?menuIndex=3&amp;refID=7031959&amp;Result=3","7031959")</f>
        <v>0</v>
      </c>
      <c r="B9570" t="s">
        <v>233</v>
      </c>
      <c r="C9570" t="s">
        <v>12211</v>
      </c>
      <c r="E9570" t="s">
        <v>24644</v>
      </c>
      <c r="F9570" t="s">
        <v>28198</v>
      </c>
      <c r="G9570" t="s">
        <v>28205</v>
      </c>
      <c r="H9570" t="s">
        <v>28214</v>
      </c>
      <c r="I9570" t="s">
        <v>3797</v>
      </c>
      <c r="J9570" t="s">
        <v>34308</v>
      </c>
      <c r="K9570" t="s">
        <v>36771</v>
      </c>
      <c r="M9570" t="s">
        <v>37209</v>
      </c>
      <c r="N9570" t="s">
        <v>40436</v>
      </c>
      <c r="O9570" t="s">
        <v>40437</v>
      </c>
      <c r="P9570">
        <v>0</v>
      </c>
      <c r="Q9570">
        <v>6</v>
      </c>
      <c r="R9570" t="s">
        <v>40447</v>
      </c>
      <c r="S9570" t="s">
        <v>40868</v>
      </c>
      <c r="T9570" t="s">
        <v>42529</v>
      </c>
      <c r="U9570" t="s">
        <v>50624</v>
      </c>
      <c r="W9570" t="s">
        <v>37209</v>
      </c>
      <c r="X9570" t="s">
        <v>40450</v>
      </c>
    </row>
    <row r="9571" spans="1:24">
      <c r="A9571">
        <f>HYPERLINK("https://www.philgeps.gov.ph/GEPSNONPILOT/Tender/SplashBidNoticeAbstractUI.aspx?menuIndex=3&amp;refID=7032177&amp;Result=3","7032177")</f>
        <v>0</v>
      </c>
      <c r="B9571" t="s">
        <v>2678</v>
      </c>
      <c r="C9571" t="s">
        <v>12212</v>
      </c>
      <c r="E9571" t="s">
        <v>24645</v>
      </c>
      <c r="F9571" t="s">
        <v>28198</v>
      </c>
      <c r="G9571" t="s">
        <v>28205</v>
      </c>
      <c r="H9571" t="s">
        <v>28214</v>
      </c>
      <c r="I9571" t="s">
        <v>28239</v>
      </c>
      <c r="J9571" t="s">
        <v>34309</v>
      </c>
      <c r="K9571" t="s">
        <v>36707</v>
      </c>
      <c r="M9571" t="s">
        <v>39911</v>
      </c>
      <c r="N9571" t="s">
        <v>40436</v>
      </c>
      <c r="O9571" t="s">
        <v>40437</v>
      </c>
      <c r="P9571">
        <v>0</v>
      </c>
      <c r="Q9571">
        <v>2</v>
      </c>
      <c r="R9571" t="s">
        <v>40447</v>
      </c>
      <c r="S9571" t="s">
        <v>40868</v>
      </c>
      <c r="T9571" t="s">
        <v>42244</v>
      </c>
      <c r="U9571" t="s">
        <v>50625</v>
      </c>
      <c r="W9571" t="s">
        <v>39911</v>
      </c>
      <c r="X9571" t="s">
        <v>40449</v>
      </c>
    </row>
    <row r="9572" spans="1:24">
      <c r="A9572">
        <f>HYPERLINK("https://www.philgeps.gov.ph/GEPSNONPILOT/Tender/SplashBidNoticeAbstractUI.aspx?menuIndex=3&amp;refID=7031957&amp;Result=3","7031957")</f>
        <v>0</v>
      </c>
      <c r="B9572" t="s">
        <v>233</v>
      </c>
      <c r="C9572" t="s">
        <v>12213</v>
      </c>
      <c r="E9572" t="s">
        <v>24646</v>
      </c>
      <c r="F9572" t="s">
        <v>28198</v>
      </c>
      <c r="G9572" t="s">
        <v>28205</v>
      </c>
      <c r="H9572" t="s">
        <v>28214</v>
      </c>
      <c r="I9572" t="s">
        <v>3797</v>
      </c>
      <c r="J9572" t="s">
        <v>34310</v>
      </c>
      <c r="K9572" t="s">
        <v>36842</v>
      </c>
      <c r="M9572" t="s">
        <v>37209</v>
      </c>
      <c r="N9572" t="s">
        <v>40436</v>
      </c>
      <c r="O9572" t="s">
        <v>40437</v>
      </c>
      <c r="P9572">
        <v>0</v>
      </c>
      <c r="Q9572">
        <v>2</v>
      </c>
      <c r="R9572" t="s">
        <v>40447</v>
      </c>
      <c r="S9572" t="s">
        <v>40868</v>
      </c>
      <c r="T9572" t="s">
        <v>42529</v>
      </c>
      <c r="U9572" t="s">
        <v>50626</v>
      </c>
      <c r="W9572" t="s">
        <v>37209</v>
      </c>
      <c r="X9572" t="s">
        <v>40450</v>
      </c>
    </row>
    <row r="9573" spans="1:24">
      <c r="A9573">
        <f>HYPERLINK("https://www.philgeps.gov.ph/GEPSNONPILOT/Tender/SplashBidNoticeAbstractUI.aspx?menuIndex=3&amp;refID=7031953&amp;Result=3","7031953")</f>
        <v>0</v>
      </c>
      <c r="B9573" t="s">
        <v>233</v>
      </c>
      <c r="C9573" t="s">
        <v>12214</v>
      </c>
      <c r="E9573" t="s">
        <v>24647</v>
      </c>
      <c r="F9573" t="s">
        <v>28198</v>
      </c>
      <c r="G9573" t="s">
        <v>28205</v>
      </c>
      <c r="H9573" t="s">
        <v>28214</v>
      </c>
      <c r="I9573" t="s">
        <v>3797</v>
      </c>
      <c r="J9573" t="s">
        <v>34311</v>
      </c>
      <c r="K9573" t="s">
        <v>36694</v>
      </c>
      <c r="M9573" t="s">
        <v>37209</v>
      </c>
      <c r="N9573" t="s">
        <v>40436</v>
      </c>
      <c r="O9573" t="s">
        <v>40437</v>
      </c>
      <c r="P9573">
        <v>0</v>
      </c>
      <c r="Q9573">
        <v>4</v>
      </c>
      <c r="R9573" t="s">
        <v>40447</v>
      </c>
      <c r="S9573" t="s">
        <v>40868</v>
      </c>
      <c r="T9573" t="s">
        <v>42529</v>
      </c>
      <c r="U9573" t="s">
        <v>50627</v>
      </c>
      <c r="W9573" t="s">
        <v>37209</v>
      </c>
      <c r="X9573" t="s">
        <v>40450</v>
      </c>
    </row>
    <row r="9574" spans="1:24">
      <c r="A9574">
        <f>HYPERLINK("https://www.philgeps.gov.ph/GEPSNONPILOT/Tender/SplashBidNoticeAbstractUI.aspx?menuIndex=3&amp;refID=7032186&amp;Result=3","7032186")</f>
        <v>0</v>
      </c>
      <c r="B9574" t="s">
        <v>1638</v>
      </c>
      <c r="C9574" t="s">
        <v>12215</v>
      </c>
      <c r="D9574" t="s">
        <v>16193</v>
      </c>
      <c r="E9574" t="s">
        <v>24648</v>
      </c>
      <c r="F9574" t="s">
        <v>28198</v>
      </c>
      <c r="G9574" t="s">
        <v>28205</v>
      </c>
      <c r="H9574" t="s">
        <v>28215</v>
      </c>
      <c r="I9574" t="s">
        <v>28274</v>
      </c>
      <c r="J9574" t="s">
        <v>34312</v>
      </c>
      <c r="K9574" t="s">
        <v>36689</v>
      </c>
      <c r="M9574" t="s">
        <v>38729</v>
      </c>
      <c r="N9574" t="s">
        <v>40436</v>
      </c>
      <c r="O9574" t="s">
        <v>40437</v>
      </c>
      <c r="P9574">
        <v>0</v>
      </c>
      <c r="Q9574">
        <v>4</v>
      </c>
      <c r="R9574" t="s">
        <v>40447</v>
      </c>
      <c r="S9574" t="s">
        <v>40868</v>
      </c>
      <c r="T9574" t="s">
        <v>42279</v>
      </c>
      <c r="U9574" t="s">
        <v>50628</v>
      </c>
      <c r="W9574" t="s">
        <v>38729</v>
      </c>
      <c r="X9574" t="s">
        <v>40449</v>
      </c>
    </row>
    <row r="9575" spans="1:24">
      <c r="A9575">
        <f>HYPERLINK("https://www.philgeps.gov.ph/GEPSNONPILOT/Tender/SplashBidNoticeAbstractUI.aspx?menuIndex=3&amp;refID=7032269&amp;Result=3","7032269")</f>
        <v>0</v>
      </c>
      <c r="B9575" t="s">
        <v>1351</v>
      </c>
      <c r="C9575" t="s">
        <v>12216</v>
      </c>
      <c r="E9575" t="s">
        <v>17611</v>
      </c>
      <c r="F9575" t="s">
        <v>28198</v>
      </c>
      <c r="G9575" t="s">
        <v>28205</v>
      </c>
      <c r="H9575" t="s">
        <v>28215</v>
      </c>
      <c r="I9575" t="s">
        <v>28253</v>
      </c>
      <c r="J9575" t="s">
        <v>28730</v>
      </c>
      <c r="K9575" t="s">
        <v>36689</v>
      </c>
      <c r="M9575" t="s">
        <v>38409</v>
      </c>
      <c r="N9575" t="s">
        <v>40436</v>
      </c>
      <c r="O9575" t="s">
        <v>40437</v>
      </c>
      <c r="Q9575">
        <v>3</v>
      </c>
      <c r="R9575" t="s">
        <v>40447</v>
      </c>
      <c r="S9575" t="s">
        <v>40898</v>
      </c>
      <c r="T9575" t="s">
        <v>42346</v>
      </c>
      <c r="U9575" t="s">
        <v>50629</v>
      </c>
      <c r="W9575" t="s">
        <v>38409</v>
      </c>
      <c r="X9575" t="s">
        <v>40449</v>
      </c>
    </row>
    <row r="9576" spans="1:24">
      <c r="A9576">
        <f>HYPERLINK("https://www.philgeps.gov.ph/GEPSNONPILOT/Tender/SplashBidNoticeAbstractUI.aspx?menuIndex=3&amp;refID=7032076&amp;Result=3","7032076")</f>
        <v>0</v>
      </c>
      <c r="B9576" t="s">
        <v>1985</v>
      </c>
      <c r="C9576" t="s">
        <v>12217</v>
      </c>
      <c r="D9576" t="s">
        <v>16210</v>
      </c>
      <c r="E9576" t="s">
        <v>24649</v>
      </c>
      <c r="F9576" t="s">
        <v>28198</v>
      </c>
      <c r="G9576" t="s">
        <v>28205</v>
      </c>
      <c r="H9576" t="s">
        <v>28215</v>
      </c>
      <c r="I9576" t="s">
        <v>28234</v>
      </c>
      <c r="J9576" t="s">
        <v>34313</v>
      </c>
      <c r="K9576" t="s">
        <v>36701</v>
      </c>
      <c r="M9576" t="s">
        <v>39912</v>
      </c>
      <c r="N9576" t="s">
        <v>40436</v>
      </c>
      <c r="O9576" t="s">
        <v>40437</v>
      </c>
      <c r="P9576">
        <v>0</v>
      </c>
      <c r="Q9576">
        <v>10</v>
      </c>
      <c r="R9576" t="s">
        <v>40447</v>
      </c>
      <c r="S9576" t="s">
        <v>40868</v>
      </c>
      <c r="T9576" t="s">
        <v>42474</v>
      </c>
      <c r="U9576" t="s">
        <v>50630</v>
      </c>
      <c r="V9576" t="s">
        <v>54824</v>
      </c>
      <c r="W9576" t="s">
        <v>39912</v>
      </c>
      <c r="X9576" t="s">
        <v>40449</v>
      </c>
    </row>
    <row r="9577" spans="1:24">
      <c r="A9577">
        <f>HYPERLINK("https://www.philgeps.gov.ph/GEPSNONPILOT/Tender/SplashBidNoticeAbstractUI.aspx?menuIndex=3&amp;refID=7032266&amp;Result=3","7032266")</f>
        <v>0</v>
      </c>
      <c r="B9577" t="s">
        <v>2467</v>
      </c>
      <c r="C9577" t="s">
        <v>12218</v>
      </c>
      <c r="D9577" t="s">
        <v>16248</v>
      </c>
      <c r="E9577" t="s">
        <v>24650</v>
      </c>
      <c r="F9577" t="s">
        <v>28198</v>
      </c>
      <c r="G9577" t="s">
        <v>28205</v>
      </c>
      <c r="H9577" t="s">
        <v>28215</v>
      </c>
      <c r="I9577" t="s">
        <v>28225</v>
      </c>
      <c r="J9577" t="s">
        <v>34314</v>
      </c>
      <c r="K9577" t="s">
        <v>36688</v>
      </c>
      <c r="M9577" t="s">
        <v>39664</v>
      </c>
      <c r="N9577" t="s">
        <v>40436</v>
      </c>
      <c r="O9577" t="s">
        <v>40437</v>
      </c>
      <c r="P9577">
        <v>0</v>
      </c>
      <c r="Q9577">
        <v>4</v>
      </c>
      <c r="R9577" t="s">
        <v>40447</v>
      </c>
      <c r="S9577" t="s">
        <v>40868</v>
      </c>
      <c r="T9577" t="s">
        <v>42350</v>
      </c>
      <c r="U9577" t="s">
        <v>50631</v>
      </c>
      <c r="W9577" t="s">
        <v>39664</v>
      </c>
      <c r="X9577" t="s">
        <v>40449</v>
      </c>
    </row>
    <row r="9578" spans="1:24">
      <c r="A9578">
        <f>HYPERLINK("https://www.philgeps.gov.ph/GEPSNONPILOT/Tender/SplashBidNoticeAbstractUI.aspx?menuIndex=3&amp;refID=7032264&amp;Result=3","7032264")</f>
        <v>0</v>
      </c>
      <c r="B9578" t="s">
        <v>1351</v>
      </c>
      <c r="C9578" t="s">
        <v>12219</v>
      </c>
      <c r="E9578" t="s">
        <v>17634</v>
      </c>
      <c r="F9578" t="s">
        <v>28198</v>
      </c>
      <c r="G9578" t="s">
        <v>28205</v>
      </c>
      <c r="H9578" t="s">
        <v>28215</v>
      </c>
      <c r="I9578" t="s">
        <v>28258</v>
      </c>
      <c r="J9578" t="s">
        <v>34315</v>
      </c>
      <c r="K9578" t="s">
        <v>36689</v>
      </c>
      <c r="M9578" t="s">
        <v>38409</v>
      </c>
      <c r="N9578" t="s">
        <v>40436</v>
      </c>
      <c r="O9578" t="s">
        <v>40437</v>
      </c>
      <c r="Q9578">
        <v>24</v>
      </c>
      <c r="R9578" t="s">
        <v>40447</v>
      </c>
      <c r="S9578" t="s">
        <v>40899</v>
      </c>
      <c r="T9578" t="s">
        <v>42346</v>
      </c>
      <c r="U9578" t="s">
        <v>50632</v>
      </c>
      <c r="W9578" t="s">
        <v>38409</v>
      </c>
      <c r="X9578" t="s">
        <v>40449</v>
      </c>
    </row>
    <row r="9579" spans="1:24">
      <c r="A9579">
        <f>HYPERLINK("https://www.philgeps.gov.ph/GEPSNONPILOT/Tender/SplashBidNoticeAbstractUI.aspx?menuIndex=3&amp;refID=7032215&amp;Result=3","7032215")</f>
        <v>0</v>
      </c>
      <c r="B9579" t="s">
        <v>827</v>
      </c>
      <c r="C9579" t="s">
        <v>12220</v>
      </c>
      <c r="D9579" t="s">
        <v>16209</v>
      </c>
      <c r="E9579" t="s">
        <v>24651</v>
      </c>
      <c r="F9579" t="s">
        <v>28198</v>
      </c>
      <c r="G9579" t="s">
        <v>28205</v>
      </c>
      <c r="H9579" t="s">
        <v>28215</v>
      </c>
      <c r="I9579" t="s">
        <v>28231</v>
      </c>
      <c r="J9579" t="s">
        <v>34316</v>
      </c>
      <c r="K9579" t="s">
        <v>36906</v>
      </c>
      <c r="M9579" t="s">
        <v>39913</v>
      </c>
      <c r="N9579" t="s">
        <v>40436</v>
      </c>
      <c r="O9579" t="s">
        <v>40437</v>
      </c>
      <c r="Q9579">
        <v>3</v>
      </c>
      <c r="R9579" t="s">
        <v>40447</v>
      </c>
      <c r="S9579" t="s">
        <v>40900</v>
      </c>
      <c r="T9579" t="s">
        <v>42529</v>
      </c>
      <c r="U9579" t="s">
        <v>50633</v>
      </c>
      <c r="W9579" t="s">
        <v>39913</v>
      </c>
      <c r="X9579" t="s">
        <v>40449</v>
      </c>
    </row>
    <row r="9580" spans="1:24">
      <c r="A9580">
        <f>HYPERLINK("https://www.philgeps.gov.ph/GEPSNONPILOT/Tender/SplashBidNoticeAbstractUI.aspx?menuIndex=3&amp;refID=7032261&amp;Result=3","7032261")</f>
        <v>0</v>
      </c>
      <c r="B9580" t="s">
        <v>2467</v>
      </c>
      <c r="C9580" t="s">
        <v>12221</v>
      </c>
      <c r="D9580" t="s">
        <v>16248</v>
      </c>
      <c r="E9580" t="s">
        <v>24652</v>
      </c>
      <c r="F9580" t="s">
        <v>28198</v>
      </c>
      <c r="G9580" t="s">
        <v>28205</v>
      </c>
      <c r="H9580" t="s">
        <v>28215</v>
      </c>
      <c r="I9580" t="s">
        <v>28225</v>
      </c>
      <c r="J9580" t="s">
        <v>34317</v>
      </c>
      <c r="K9580" t="s">
        <v>36688</v>
      </c>
      <c r="M9580" t="s">
        <v>39664</v>
      </c>
      <c r="N9580" t="s">
        <v>40436</v>
      </c>
      <c r="O9580" t="s">
        <v>40437</v>
      </c>
      <c r="P9580">
        <v>0</v>
      </c>
      <c r="Q9580">
        <v>0</v>
      </c>
      <c r="R9580" t="s">
        <v>40447</v>
      </c>
      <c r="S9580" t="s">
        <v>40868</v>
      </c>
      <c r="T9580" t="s">
        <v>42350</v>
      </c>
      <c r="U9580" t="s">
        <v>50634</v>
      </c>
      <c r="W9580" t="s">
        <v>39664</v>
      </c>
      <c r="X9580" t="s">
        <v>40449</v>
      </c>
    </row>
    <row r="9581" spans="1:24">
      <c r="A9581">
        <f>HYPERLINK("https://www.philgeps.gov.ph/GEPSNONPILOT/Tender/SplashBidNoticeAbstractUI.aspx?menuIndex=3&amp;refID=7032071&amp;Result=3","7032071")</f>
        <v>0</v>
      </c>
      <c r="B9581" t="s">
        <v>1351</v>
      </c>
      <c r="C9581" t="s">
        <v>12222</v>
      </c>
      <c r="E9581" t="s">
        <v>17567</v>
      </c>
      <c r="F9581" t="s">
        <v>28198</v>
      </c>
      <c r="G9581" t="s">
        <v>28205</v>
      </c>
      <c r="H9581" t="s">
        <v>28215</v>
      </c>
      <c r="I9581" t="s">
        <v>28225</v>
      </c>
      <c r="J9581" t="s">
        <v>34318</v>
      </c>
      <c r="K9581" t="s">
        <v>36689</v>
      </c>
      <c r="M9581" t="s">
        <v>38409</v>
      </c>
      <c r="N9581" t="s">
        <v>40436</v>
      </c>
      <c r="O9581" t="s">
        <v>40437</v>
      </c>
      <c r="Q9581">
        <v>9</v>
      </c>
      <c r="R9581" t="s">
        <v>40447</v>
      </c>
      <c r="S9581" t="s">
        <v>40901</v>
      </c>
      <c r="T9581" t="s">
        <v>42346</v>
      </c>
      <c r="U9581" t="s">
        <v>50635</v>
      </c>
      <c r="W9581" t="s">
        <v>38409</v>
      </c>
      <c r="X9581" t="s">
        <v>40449</v>
      </c>
    </row>
    <row r="9582" spans="1:24">
      <c r="A9582">
        <f>HYPERLINK("https://www.philgeps.gov.ph/GEPSNONPILOT/Tender/SplashBidNoticeAbstractUI.aspx?menuIndex=3&amp;refID=7032288&amp;Result=3","7032288")</f>
        <v>0</v>
      </c>
      <c r="B9582" t="s">
        <v>632</v>
      </c>
      <c r="C9582" t="s">
        <v>12223</v>
      </c>
      <c r="D9582" t="s">
        <v>16210</v>
      </c>
      <c r="E9582" t="s">
        <v>24653</v>
      </c>
      <c r="F9582" t="s">
        <v>28198</v>
      </c>
      <c r="G9582" t="s">
        <v>28205</v>
      </c>
      <c r="H9582" t="s">
        <v>28215</v>
      </c>
      <c r="I9582" t="s">
        <v>28220</v>
      </c>
      <c r="J9582" t="s">
        <v>34319</v>
      </c>
      <c r="K9582" t="s">
        <v>36701</v>
      </c>
      <c r="M9582" t="s">
        <v>39732</v>
      </c>
      <c r="N9582" t="s">
        <v>40436</v>
      </c>
      <c r="O9582" t="s">
        <v>40437</v>
      </c>
      <c r="Q9582">
        <v>76</v>
      </c>
      <c r="R9582" t="s">
        <v>40447</v>
      </c>
      <c r="S9582" t="s">
        <v>40902</v>
      </c>
      <c r="T9582" t="s">
        <v>42113</v>
      </c>
      <c r="U9582" t="s">
        <v>50636</v>
      </c>
      <c r="W9582" t="s">
        <v>39732</v>
      </c>
      <c r="X9582" t="s">
        <v>40449</v>
      </c>
    </row>
    <row r="9583" spans="1:24">
      <c r="A9583">
        <f>HYPERLINK("https://www.philgeps.gov.ph/GEPSNONPILOT/Tender/SplashBidNoticeAbstractUI.aspx?menuIndex=3&amp;refID=7032070&amp;Result=3","7032070")</f>
        <v>0</v>
      </c>
      <c r="B9583" t="s">
        <v>1351</v>
      </c>
      <c r="C9583" t="s">
        <v>12224</v>
      </c>
      <c r="E9583" t="s">
        <v>22662</v>
      </c>
      <c r="F9583" t="s">
        <v>28198</v>
      </c>
      <c r="G9583" t="s">
        <v>28205</v>
      </c>
      <c r="H9583" t="s">
        <v>28215</v>
      </c>
      <c r="I9583" t="s">
        <v>28247</v>
      </c>
      <c r="J9583" t="s">
        <v>34320</v>
      </c>
      <c r="K9583" t="s">
        <v>36689</v>
      </c>
      <c r="M9583" t="s">
        <v>38409</v>
      </c>
      <c r="N9583" t="s">
        <v>40436</v>
      </c>
      <c r="O9583" t="s">
        <v>40437</v>
      </c>
      <c r="Q9583">
        <v>40</v>
      </c>
      <c r="R9583" t="s">
        <v>40447</v>
      </c>
      <c r="S9583" t="s">
        <v>40903</v>
      </c>
      <c r="T9583" t="s">
        <v>42346</v>
      </c>
      <c r="U9583" t="s">
        <v>50635</v>
      </c>
      <c r="W9583" t="s">
        <v>38409</v>
      </c>
      <c r="X9583" t="s">
        <v>40449</v>
      </c>
    </row>
    <row r="9584" spans="1:24">
      <c r="A9584">
        <f>HYPERLINK("https://www.philgeps.gov.ph/GEPSNONPILOT/Tender/SplashBidNoticeAbstractUI.aspx?menuIndex=3&amp;refID=7032270&amp;Result=3","7032270")</f>
        <v>0</v>
      </c>
      <c r="B9584" t="s">
        <v>2467</v>
      </c>
      <c r="C9584" t="s">
        <v>12225</v>
      </c>
      <c r="D9584" t="s">
        <v>16248</v>
      </c>
      <c r="E9584" t="s">
        <v>24654</v>
      </c>
      <c r="F9584" t="s">
        <v>28198</v>
      </c>
      <c r="G9584" t="s">
        <v>28205</v>
      </c>
      <c r="H9584" t="s">
        <v>28215</v>
      </c>
      <c r="I9584" t="s">
        <v>8888</v>
      </c>
      <c r="J9584" t="s">
        <v>34321</v>
      </c>
      <c r="K9584" t="s">
        <v>36688</v>
      </c>
      <c r="M9584" t="s">
        <v>39664</v>
      </c>
      <c r="N9584" t="s">
        <v>40436</v>
      </c>
      <c r="O9584" t="s">
        <v>40437</v>
      </c>
      <c r="P9584">
        <v>0</v>
      </c>
      <c r="Q9584">
        <v>4</v>
      </c>
      <c r="R9584" t="s">
        <v>40447</v>
      </c>
      <c r="S9584" t="s">
        <v>40868</v>
      </c>
      <c r="T9584" t="s">
        <v>42457</v>
      </c>
      <c r="U9584" t="s">
        <v>50637</v>
      </c>
      <c r="W9584" t="s">
        <v>39664</v>
      </c>
      <c r="X9584" t="s">
        <v>40449</v>
      </c>
    </row>
    <row r="9585" spans="1:24">
      <c r="A9585">
        <f>HYPERLINK("https://www.philgeps.gov.ph/GEPSNONPILOT/Tender/SplashBidNoticeAbstractUI.aspx?menuIndex=3&amp;refID=7032352&amp;Result=3","7032352")</f>
        <v>0</v>
      </c>
      <c r="B9585" t="s">
        <v>2679</v>
      </c>
      <c r="C9585" t="s">
        <v>12226</v>
      </c>
      <c r="D9585" t="s">
        <v>16221</v>
      </c>
      <c r="E9585" t="s">
        <v>16473</v>
      </c>
      <c r="F9585" t="s">
        <v>28198</v>
      </c>
      <c r="G9585" t="s">
        <v>28205</v>
      </c>
      <c r="H9585" t="s">
        <v>28215</v>
      </c>
      <c r="I9585" t="s">
        <v>4200</v>
      </c>
      <c r="J9585" t="s">
        <v>34322</v>
      </c>
      <c r="K9585" t="s">
        <v>36688</v>
      </c>
      <c r="M9585" t="s">
        <v>39914</v>
      </c>
      <c r="N9585" t="s">
        <v>40436</v>
      </c>
      <c r="O9585" t="s">
        <v>40437</v>
      </c>
      <c r="P9585">
        <v>0</v>
      </c>
      <c r="Q9585">
        <v>0</v>
      </c>
      <c r="R9585" t="s">
        <v>40447</v>
      </c>
      <c r="S9585" t="s">
        <v>40868</v>
      </c>
      <c r="T9585" t="s">
        <v>42546</v>
      </c>
      <c r="U9585" t="s">
        <v>50638</v>
      </c>
      <c r="V9585" t="s">
        <v>50638</v>
      </c>
      <c r="W9585" t="s">
        <v>39914</v>
      </c>
      <c r="X9585" t="s">
        <v>40448</v>
      </c>
    </row>
    <row r="9586" spans="1:24">
      <c r="A9586">
        <f>HYPERLINK("https://www.philgeps.gov.ph/GEPSNONPILOT/Tender/SplashBidNoticeAbstractUI.aspx?menuIndex=3&amp;refID=7032360&amp;Result=3","7032360")</f>
        <v>0</v>
      </c>
      <c r="B9586" t="s">
        <v>2680</v>
      </c>
      <c r="C9586" t="s">
        <v>12227</v>
      </c>
      <c r="E9586" t="s">
        <v>24655</v>
      </c>
      <c r="F9586" t="s">
        <v>28198</v>
      </c>
      <c r="G9586" t="s">
        <v>28205</v>
      </c>
      <c r="H9586" t="s">
        <v>28215</v>
      </c>
      <c r="I9586" t="s">
        <v>3797</v>
      </c>
      <c r="J9586" t="s">
        <v>34323</v>
      </c>
      <c r="K9586" t="s">
        <v>36689</v>
      </c>
      <c r="M9586" t="s">
        <v>39915</v>
      </c>
      <c r="N9586" t="s">
        <v>40436</v>
      </c>
      <c r="O9586" t="s">
        <v>40437</v>
      </c>
      <c r="P9586">
        <v>0</v>
      </c>
      <c r="Q9586">
        <v>0</v>
      </c>
      <c r="R9586" t="s">
        <v>40447</v>
      </c>
      <c r="S9586" t="s">
        <v>40868</v>
      </c>
      <c r="T9586" t="s">
        <v>42158</v>
      </c>
      <c r="U9586" t="s">
        <v>47585</v>
      </c>
      <c r="W9586" t="s">
        <v>39915</v>
      </c>
      <c r="X9586" t="s">
        <v>40448</v>
      </c>
    </row>
    <row r="9587" spans="1:24">
      <c r="A9587">
        <f>HYPERLINK("https://www.philgeps.gov.ph/GEPSNONPILOT/Tender/SplashBidNoticeAbstractUI.aspx?menuIndex=3&amp;refID=7032358&amp;Result=3","7032358")</f>
        <v>0</v>
      </c>
      <c r="B9587" t="s">
        <v>2681</v>
      </c>
      <c r="C9587" t="s">
        <v>12228</v>
      </c>
      <c r="E9587" t="s">
        <v>24656</v>
      </c>
      <c r="F9587" t="s">
        <v>28198</v>
      </c>
      <c r="G9587" t="s">
        <v>28205</v>
      </c>
      <c r="H9587" t="s">
        <v>28215</v>
      </c>
      <c r="I9587" t="s">
        <v>28222</v>
      </c>
      <c r="J9587" t="s">
        <v>28361</v>
      </c>
      <c r="K9587" t="s">
        <v>36689</v>
      </c>
      <c r="M9587" t="s">
        <v>39916</v>
      </c>
      <c r="N9587" t="s">
        <v>40436</v>
      </c>
      <c r="O9587" t="s">
        <v>40437</v>
      </c>
      <c r="P9587">
        <v>0</v>
      </c>
      <c r="Q9587">
        <v>0</v>
      </c>
      <c r="R9587" t="s">
        <v>40447</v>
      </c>
      <c r="S9587" t="s">
        <v>40868</v>
      </c>
      <c r="T9587" t="s">
        <v>42103</v>
      </c>
      <c r="U9587" t="s">
        <v>50639</v>
      </c>
      <c r="W9587" t="s">
        <v>39916</v>
      </c>
      <c r="X9587" t="s">
        <v>40448</v>
      </c>
    </row>
    <row r="9588" spans="1:24">
      <c r="A9588">
        <f>HYPERLINK("https://www.philgeps.gov.ph/GEPSNONPILOT/Tender/SplashBidNoticeAbstractUI.aspx?menuIndex=3&amp;refID=7032316&amp;Result=3","7032316")</f>
        <v>0</v>
      </c>
      <c r="B9588" t="s">
        <v>2644</v>
      </c>
      <c r="C9588" t="s">
        <v>12229</v>
      </c>
      <c r="D9588" t="s">
        <v>16206</v>
      </c>
      <c r="E9588" t="s">
        <v>21543</v>
      </c>
      <c r="F9588" t="s">
        <v>28198</v>
      </c>
      <c r="G9588" t="s">
        <v>28207</v>
      </c>
      <c r="H9588" t="s">
        <v>28214</v>
      </c>
      <c r="I9588" t="s">
        <v>28236</v>
      </c>
      <c r="J9588" t="s">
        <v>28778</v>
      </c>
      <c r="K9588" t="s">
        <v>36691</v>
      </c>
      <c r="M9588" t="s">
        <v>39869</v>
      </c>
      <c r="N9588" t="s">
        <v>40436</v>
      </c>
      <c r="O9588" t="s">
        <v>40437</v>
      </c>
      <c r="P9588">
        <v>0</v>
      </c>
      <c r="Q9588">
        <v>0</v>
      </c>
      <c r="R9588" t="s">
        <v>40447</v>
      </c>
      <c r="S9588" t="s">
        <v>40868</v>
      </c>
      <c r="T9588" t="s">
        <v>42169</v>
      </c>
      <c r="U9588" t="s">
        <v>50640</v>
      </c>
      <c r="W9588" t="s">
        <v>55524</v>
      </c>
      <c r="X9588" t="s">
        <v>40449</v>
      </c>
    </row>
    <row r="9589" spans="1:24">
      <c r="A9589">
        <f>HYPERLINK("https://www.philgeps.gov.ph/GEPSNONPILOT/Tender/SplashBidNoticeAbstractUI.aspx?menuIndex=3&amp;refID=7032348&amp;Result=3","7032348")</f>
        <v>0</v>
      </c>
      <c r="B9589" t="s">
        <v>2682</v>
      </c>
      <c r="C9589" t="s">
        <v>12230</v>
      </c>
      <c r="D9589" t="s">
        <v>16251</v>
      </c>
      <c r="E9589" t="s">
        <v>24657</v>
      </c>
      <c r="F9589" t="s">
        <v>28198</v>
      </c>
      <c r="G9589" t="s">
        <v>28205</v>
      </c>
      <c r="H9589" t="s">
        <v>28215</v>
      </c>
      <c r="I9589" t="s">
        <v>28258</v>
      </c>
      <c r="J9589" t="s">
        <v>28701</v>
      </c>
      <c r="K9589" t="s">
        <v>36701</v>
      </c>
      <c r="M9589" t="s">
        <v>39917</v>
      </c>
      <c r="N9589" t="s">
        <v>40436</v>
      </c>
      <c r="O9589" t="s">
        <v>40437</v>
      </c>
      <c r="P9589">
        <v>0</v>
      </c>
      <c r="Q9589">
        <v>6</v>
      </c>
      <c r="R9589" t="s">
        <v>40447</v>
      </c>
      <c r="S9589" t="s">
        <v>40868</v>
      </c>
      <c r="T9589" t="s">
        <v>42531</v>
      </c>
      <c r="U9589" t="s">
        <v>50641</v>
      </c>
      <c r="W9589" t="s">
        <v>39917</v>
      </c>
      <c r="X9589" t="s">
        <v>40448</v>
      </c>
    </row>
    <row r="9590" spans="1:24">
      <c r="A9590">
        <f>HYPERLINK("https://www.philgeps.gov.ph/GEPSNONPILOT/Tender/SplashBidNoticeAbstractUI.aspx?menuIndex=3&amp;refID=7032356&amp;Result=3","7032356")</f>
        <v>0</v>
      </c>
      <c r="B9590" t="s">
        <v>1355</v>
      </c>
      <c r="C9590" t="s">
        <v>12231</v>
      </c>
      <c r="D9590" t="s">
        <v>16203</v>
      </c>
      <c r="E9590" t="s">
        <v>24658</v>
      </c>
      <c r="F9590" t="s">
        <v>28198</v>
      </c>
      <c r="G9590" t="s">
        <v>28205</v>
      </c>
      <c r="H9590" t="s">
        <v>28217</v>
      </c>
      <c r="I9590" t="s">
        <v>28231</v>
      </c>
      <c r="J9590" t="s">
        <v>34324</v>
      </c>
      <c r="K9590" t="s">
        <v>36756</v>
      </c>
      <c r="M9590" t="s">
        <v>38413</v>
      </c>
      <c r="N9590" t="s">
        <v>40436</v>
      </c>
      <c r="O9590" t="s">
        <v>40437</v>
      </c>
      <c r="P9590">
        <v>0</v>
      </c>
      <c r="Q9590">
        <v>2</v>
      </c>
      <c r="R9590" t="s">
        <v>40447</v>
      </c>
      <c r="S9590" t="s">
        <v>40868</v>
      </c>
      <c r="T9590" t="s">
        <v>42244</v>
      </c>
      <c r="U9590" t="s">
        <v>50642</v>
      </c>
      <c r="V9590" t="s">
        <v>54825</v>
      </c>
      <c r="W9590" t="s">
        <v>38413</v>
      </c>
      <c r="X9590" t="s">
        <v>40448</v>
      </c>
    </row>
    <row r="9591" spans="1:24">
      <c r="A9591">
        <f>HYPERLINK("https://www.philgeps.gov.ph/GEPSNONPILOT/Tender/SplashBidNoticeAbstractUI.aspx?menuIndex=3&amp;refID=7032351&amp;Result=3","7032351")</f>
        <v>0</v>
      </c>
      <c r="B9591" t="s">
        <v>2658</v>
      </c>
      <c r="C9591" t="s">
        <v>12232</v>
      </c>
      <c r="D9591" t="s">
        <v>16222</v>
      </c>
      <c r="E9591" t="s">
        <v>24659</v>
      </c>
      <c r="F9591" t="s">
        <v>28198</v>
      </c>
      <c r="G9591" t="s">
        <v>28205</v>
      </c>
      <c r="H9591" t="s">
        <v>28215</v>
      </c>
      <c r="I9591" t="s">
        <v>5100</v>
      </c>
      <c r="J9591" t="s">
        <v>34325</v>
      </c>
      <c r="K9591" t="s">
        <v>36706</v>
      </c>
      <c r="M9591" t="s">
        <v>38086</v>
      </c>
      <c r="N9591" t="s">
        <v>40436</v>
      </c>
      <c r="O9591" t="s">
        <v>40437</v>
      </c>
      <c r="P9591">
        <v>0</v>
      </c>
      <c r="Q9591">
        <v>0</v>
      </c>
      <c r="R9591" t="s">
        <v>40447</v>
      </c>
      <c r="S9591" t="s">
        <v>40868</v>
      </c>
      <c r="T9591" t="s">
        <v>42375</v>
      </c>
      <c r="U9591" t="s">
        <v>50643</v>
      </c>
      <c r="W9591" t="s">
        <v>38086</v>
      </c>
      <c r="X9591" t="s">
        <v>40448</v>
      </c>
    </row>
    <row r="9592" spans="1:24">
      <c r="A9592">
        <f>HYPERLINK("https://www.philgeps.gov.ph/GEPSNONPILOT/Tender/SplashBidNoticeAbstractUI.aspx?menuIndex=3&amp;refID=7032347&amp;Result=3","7032347")</f>
        <v>0</v>
      </c>
      <c r="B9592" t="s">
        <v>2682</v>
      </c>
      <c r="C9592" t="s">
        <v>12233</v>
      </c>
      <c r="D9592" t="s">
        <v>16251</v>
      </c>
      <c r="E9592" t="s">
        <v>24660</v>
      </c>
      <c r="F9592" t="s">
        <v>28198</v>
      </c>
      <c r="G9592" t="s">
        <v>28205</v>
      </c>
      <c r="H9592" t="s">
        <v>28215</v>
      </c>
      <c r="I9592" t="s">
        <v>28222</v>
      </c>
      <c r="J9592" t="s">
        <v>28378</v>
      </c>
      <c r="K9592" t="s">
        <v>36694</v>
      </c>
      <c r="M9592" t="s">
        <v>39917</v>
      </c>
      <c r="N9592" t="s">
        <v>40436</v>
      </c>
      <c r="O9592" t="s">
        <v>40437</v>
      </c>
      <c r="P9592">
        <v>0</v>
      </c>
      <c r="Q9592">
        <v>2</v>
      </c>
      <c r="R9592" t="s">
        <v>40447</v>
      </c>
      <c r="S9592" t="s">
        <v>40868</v>
      </c>
      <c r="T9592" t="s">
        <v>42531</v>
      </c>
      <c r="U9592" t="s">
        <v>50644</v>
      </c>
      <c r="W9592" t="s">
        <v>39917</v>
      </c>
      <c r="X9592" t="s">
        <v>40448</v>
      </c>
    </row>
    <row r="9593" spans="1:24">
      <c r="A9593">
        <f>HYPERLINK("https://www.philgeps.gov.ph/GEPSNONPILOT/Tender/SplashBidNoticeAbstractUI.aspx?menuIndex=3&amp;refID=7032310&amp;Result=3","7032310")</f>
        <v>0</v>
      </c>
      <c r="B9593" t="s">
        <v>2683</v>
      </c>
      <c r="C9593" t="s">
        <v>12234</v>
      </c>
      <c r="D9593" t="s">
        <v>16203</v>
      </c>
      <c r="E9593" t="s">
        <v>24661</v>
      </c>
      <c r="F9593" t="s">
        <v>28198</v>
      </c>
      <c r="G9593" t="s">
        <v>28205</v>
      </c>
      <c r="H9593" t="s">
        <v>28215</v>
      </c>
      <c r="I9593" t="s">
        <v>5100</v>
      </c>
      <c r="J9593" t="s">
        <v>34326</v>
      </c>
      <c r="K9593" t="s">
        <v>36707</v>
      </c>
      <c r="M9593" t="s">
        <v>39918</v>
      </c>
      <c r="N9593" t="s">
        <v>40436</v>
      </c>
      <c r="O9593" t="s">
        <v>40437</v>
      </c>
      <c r="P9593">
        <v>0</v>
      </c>
      <c r="Q9593">
        <v>0</v>
      </c>
      <c r="R9593" t="s">
        <v>40447</v>
      </c>
      <c r="S9593" t="s">
        <v>40868</v>
      </c>
      <c r="T9593" t="s">
        <v>42233</v>
      </c>
      <c r="U9593" t="s">
        <v>50645</v>
      </c>
      <c r="W9593" t="s">
        <v>39918</v>
      </c>
      <c r="X9593" t="s">
        <v>40449</v>
      </c>
    </row>
    <row r="9594" spans="1:24">
      <c r="A9594">
        <f>HYPERLINK("https://www.philgeps.gov.ph/GEPSNONPILOT/Tender/SplashBidNoticeAbstractUI.aspx?menuIndex=3&amp;refID=7032065&amp;Result=3","7032065")</f>
        <v>0</v>
      </c>
      <c r="B9594" t="s">
        <v>1351</v>
      </c>
      <c r="C9594" t="s">
        <v>12235</v>
      </c>
      <c r="E9594" t="s">
        <v>24662</v>
      </c>
      <c r="F9594" t="s">
        <v>28198</v>
      </c>
      <c r="G9594" t="s">
        <v>28205</v>
      </c>
      <c r="H9594" t="s">
        <v>28215</v>
      </c>
      <c r="I9594" t="s">
        <v>28222</v>
      </c>
      <c r="J9594" t="s">
        <v>28379</v>
      </c>
      <c r="K9594" t="s">
        <v>36689</v>
      </c>
      <c r="M9594" t="s">
        <v>38409</v>
      </c>
      <c r="N9594" t="s">
        <v>40436</v>
      </c>
      <c r="O9594" t="s">
        <v>40437</v>
      </c>
      <c r="Q9594">
        <v>4</v>
      </c>
      <c r="R9594" t="s">
        <v>40447</v>
      </c>
      <c r="S9594" t="s">
        <v>40904</v>
      </c>
      <c r="T9594" t="s">
        <v>42346</v>
      </c>
      <c r="U9594" t="s">
        <v>50646</v>
      </c>
      <c r="W9594" t="s">
        <v>38409</v>
      </c>
      <c r="X9594" t="s">
        <v>40449</v>
      </c>
    </row>
    <row r="9595" spans="1:24">
      <c r="A9595">
        <f>HYPERLINK("https://www.philgeps.gov.ph/GEPSNONPILOT/Tender/SplashBidNoticeAbstractUI.aspx?menuIndex=3&amp;refID=7032069&amp;Result=3","7032069")</f>
        <v>0</v>
      </c>
      <c r="B9595" t="s">
        <v>1351</v>
      </c>
      <c r="C9595" t="s">
        <v>12236</v>
      </c>
      <c r="E9595" t="s">
        <v>24663</v>
      </c>
      <c r="F9595" t="s">
        <v>28198</v>
      </c>
      <c r="G9595" t="s">
        <v>28205</v>
      </c>
      <c r="H9595" t="s">
        <v>28215</v>
      </c>
      <c r="I9595" t="s">
        <v>28247</v>
      </c>
      <c r="J9595" t="s">
        <v>28390</v>
      </c>
      <c r="K9595" t="s">
        <v>36689</v>
      </c>
      <c r="M9595" t="s">
        <v>38409</v>
      </c>
      <c r="N9595" t="s">
        <v>40436</v>
      </c>
      <c r="O9595" t="s">
        <v>40437</v>
      </c>
      <c r="Q9595">
        <v>43</v>
      </c>
      <c r="R9595" t="s">
        <v>40447</v>
      </c>
      <c r="S9595" t="s">
        <v>40905</v>
      </c>
      <c r="T9595" t="s">
        <v>42346</v>
      </c>
      <c r="U9595" t="s">
        <v>50647</v>
      </c>
      <c r="W9595" t="s">
        <v>38409</v>
      </c>
      <c r="X9595" t="s">
        <v>40449</v>
      </c>
    </row>
    <row r="9596" spans="1:24">
      <c r="A9596">
        <f>HYPERLINK("https://www.philgeps.gov.ph/GEPSNONPILOT/Tender/SplashBidNoticeAbstractUI.aspx?menuIndex=3&amp;refID=7032376&amp;Result=3","7032376")</f>
        <v>0</v>
      </c>
      <c r="B9596" t="s">
        <v>2322</v>
      </c>
      <c r="C9596" t="s">
        <v>12237</v>
      </c>
      <c r="D9596" t="s">
        <v>16225</v>
      </c>
      <c r="E9596" t="s">
        <v>24664</v>
      </c>
      <c r="F9596" t="s">
        <v>28198</v>
      </c>
      <c r="G9596" t="s">
        <v>28209</v>
      </c>
      <c r="H9596" t="s">
        <v>28215</v>
      </c>
      <c r="I9596" t="s">
        <v>8888</v>
      </c>
      <c r="J9596" t="s">
        <v>34327</v>
      </c>
      <c r="K9596" t="s">
        <v>36697</v>
      </c>
      <c r="M9596" t="s">
        <v>39500</v>
      </c>
      <c r="N9596" t="s">
        <v>40436</v>
      </c>
      <c r="O9596" t="s">
        <v>40437</v>
      </c>
      <c r="P9596">
        <v>0</v>
      </c>
      <c r="Q9596">
        <v>7</v>
      </c>
      <c r="R9596" t="s">
        <v>40447</v>
      </c>
      <c r="S9596" t="s">
        <v>40868</v>
      </c>
      <c r="T9596" t="s">
        <v>42146</v>
      </c>
      <c r="U9596" t="s">
        <v>50648</v>
      </c>
      <c r="W9596" t="s">
        <v>39500</v>
      </c>
      <c r="X9596" t="s">
        <v>40448</v>
      </c>
    </row>
    <row r="9597" spans="1:24">
      <c r="A9597">
        <f>HYPERLINK("https://www.philgeps.gov.ph/GEPSNONPILOT/Tender/SplashBidNoticeAbstractUI.aspx?menuIndex=3&amp;refID=7032449&amp;Result=3","7032449")</f>
        <v>0</v>
      </c>
      <c r="B9597" t="s">
        <v>656</v>
      </c>
      <c r="C9597" t="s">
        <v>12238</v>
      </c>
      <c r="E9597" t="s">
        <v>24665</v>
      </c>
      <c r="F9597" t="s">
        <v>28198</v>
      </c>
      <c r="G9597" t="s">
        <v>28205</v>
      </c>
      <c r="H9597" t="s">
        <v>28214</v>
      </c>
      <c r="I9597" t="s">
        <v>3797</v>
      </c>
      <c r="J9597" t="s">
        <v>28347</v>
      </c>
      <c r="K9597" t="s">
        <v>36692</v>
      </c>
      <c r="M9597" t="s">
        <v>37652</v>
      </c>
      <c r="N9597" t="s">
        <v>40436</v>
      </c>
      <c r="O9597" t="s">
        <v>40437</v>
      </c>
      <c r="P9597">
        <v>0</v>
      </c>
      <c r="Q9597">
        <v>0</v>
      </c>
      <c r="R9597" t="s">
        <v>40447</v>
      </c>
      <c r="S9597" t="s">
        <v>40868</v>
      </c>
      <c r="T9597" t="s">
        <v>42279</v>
      </c>
      <c r="U9597" t="s">
        <v>50649</v>
      </c>
      <c r="W9597" t="s">
        <v>37652</v>
      </c>
      <c r="X9597" t="s">
        <v>40448</v>
      </c>
    </row>
    <row r="9598" spans="1:24">
      <c r="A9598">
        <f>HYPERLINK("https://www.philgeps.gov.ph/GEPSNONPILOT/Tender/SplashBidNoticeAbstractUI.aspx?menuIndex=3&amp;refID=7032396&amp;Result=3","7032396")</f>
        <v>0</v>
      </c>
      <c r="B9598" t="s">
        <v>647</v>
      </c>
      <c r="C9598" t="s">
        <v>12239</v>
      </c>
      <c r="D9598" t="s">
        <v>16244</v>
      </c>
      <c r="E9598" t="s">
        <v>24666</v>
      </c>
      <c r="F9598" t="s">
        <v>28198</v>
      </c>
      <c r="G9598" t="s">
        <v>28205</v>
      </c>
      <c r="H9598" t="s">
        <v>28215</v>
      </c>
      <c r="I9598" t="s">
        <v>3797</v>
      </c>
      <c r="J9598" t="s">
        <v>34328</v>
      </c>
      <c r="K9598" t="s">
        <v>36735</v>
      </c>
      <c r="M9598" t="s">
        <v>37641</v>
      </c>
      <c r="N9598" t="s">
        <v>40436</v>
      </c>
      <c r="O9598" t="s">
        <v>40437</v>
      </c>
      <c r="P9598">
        <v>0</v>
      </c>
      <c r="Q9598">
        <v>6</v>
      </c>
      <c r="R9598" t="s">
        <v>40447</v>
      </c>
      <c r="S9598" t="s">
        <v>40868</v>
      </c>
      <c r="T9598" t="s">
        <v>42278</v>
      </c>
      <c r="U9598" t="s">
        <v>50650</v>
      </c>
      <c r="W9598" t="s">
        <v>37641</v>
      </c>
      <c r="X9598" t="s">
        <v>40448</v>
      </c>
    </row>
    <row r="9599" spans="1:24">
      <c r="A9599">
        <f>HYPERLINK("https://www.philgeps.gov.ph/GEPSNONPILOT/Tender/SplashBidNoticeAbstractUI.aspx?menuIndex=3&amp;refID=7032441&amp;Result=3","7032441")</f>
        <v>0</v>
      </c>
      <c r="B9599" t="s">
        <v>656</v>
      </c>
      <c r="C9599" t="s">
        <v>12240</v>
      </c>
      <c r="D9599" t="s">
        <v>16206</v>
      </c>
      <c r="E9599" t="s">
        <v>24667</v>
      </c>
      <c r="F9599" t="s">
        <v>28198</v>
      </c>
      <c r="G9599" t="s">
        <v>28205</v>
      </c>
      <c r="H9599" t="s">
        <v>28214</v>
      </c>
      <c r="I9599" t="s">
        <v>3797</v>
      </c>
      <c r="J9599" t="s">
        <v>28351</v>
      </c>
      <c r="K9599" t="s">
        <v>36737</v>
      </c>
      <c r="M9599" t="s">
        <v>37652</v>
      </c>
      <c r="N9599" t="s">
        <v>40436</v>
      </c>
      <c r="O9599" t="s">
        <v>40437</v>
      </c>
      <c r="P9599">
        <v>0</v>
      </c>
      <c r="Q9599">
        <v>0</v>
      </c>
      <c r="R9599" t="s">
        <v>40447</v>
      </c>
      <c r="S9599" t="s">
        <v>40868</v>
      </c>
      <c r="T9599" t="s">
        <v>42279</v>
      </c>
      <c r="U9599" t="s">
        <v>50651</v>
      </c>
      <c r="W9599" t="s">
        <v>37652</v>
      </c>
      <c r="X9599" t="s">
        <v>40448</v>
      </c>
    </row>
    <row r="9600" spans="1:24">
      <c r="A9600">
        <f>HYPERLINK("https://www.philgeps.gov.ph/GEPSNONPILOT/Tender/SplashBidNoticeAbstractUI.aspx?menuIndex=3&amp;refID=7032461&amp;Result=3","7032461")</f>
        <v>0</v>
      </c>
      <c r="B9600" t="s">
        <v>656</v>
      </c>
      <c r="C9600" t="s">
        <v>12241</v>
      </c>
      <c r="E9600" t="s">
        <v>24668</v>
      </c>
      <c r="F9600" t="s">
        <v>28198</v>
      </c>
      <c r="G9600" t="s">
        <v>28205</v>
      </c>
      <c r="H9600" t="s">
        <v>28214</v>
      </c>
      <c r="I9600" t="s">
        <v>3797</v>
      </c>
      <c r="J9600" t="s">
        <v>28351</v>
      </c>
      <c r="K9600" t="s">
        <v>36737</v>
      </c>
      <c r="M9600" t="s">
        <v>37652</v>
      </c>
      <c r="N9600" t="s">
        <v>40436</v>
      </c>
      <c r="O9600" t="s">
        <v>40437</v>
      </c>
      <c r="P9600">
        <v>0</v>
      </c>
      <c r="Q9600">
        <v>0</v>
      </c>
      <c r="R9600" t="s">
        <v>40447</v>
      </c>
      <c r="S9600" t="s">
        <v>40868</v>
      </c>
      <c r="T9600" t="s">
        <v>42279</v>
      </c>
      <c r="U9600" t="s">
        <v>50652</v>
      </c>
      <c r="W9600" t="s">
        <v>37652</v>
      </c>
      <c r="X9600" t="s">
        <v>40448</v>
      </c>
    </row>
    <row r="9601" spans="1:24">
      <c r="A9601">
        <f>HYPERLINK("https://www.philgeps.gov.ph/GEPSNONPILOT/Tender/SplashBidNoticeAbstractUI.aspx?menuIndex=3&amp;refID=7032413&amp;Result=3","7032413")</f>
        <v>0</v>
      </c>
      <c r="B9601" t="s">
        <v>2684</v>
      </c>
      <c r="C9601" t="s">
        <v>12242</v>
      </c>
      <c r="D9601" t="s">
        <v>16200</v>
      </c>
      <c r="E9601" t="s">
        <v>24669</v>
      </c>
      <c r="F9601" t="s">
        <v>28201</v>
      </c>
      <c r="G9601" t="s">
        <v>28205</v>
      </c>
      <c r="H9601" t="s">
        <v>28215</v>
      </c>
      <c r="I9601" t="s">
        <v>5100</v>
      </c>
      <c r="J9601" t="s">
        <v>34329</v>
      </c>
      <c r="K9601" t="s">
        <v>36706</v>
      </c>
      <c r="M9601" t="s">
        <v>39919</v>
      </c>
      <c r="N9601" t="s">
        <v>40436</v>
      </c>
      <c r="O9601" t="s">
        <v>40437</v>
      </c>
      <c r="P9601">
        <v>0</v>
      </c>
      <c r="Q9601">
        <v>2</v>
      </c>
      <c r="R9601" t="s">
        <v>40447</v>
      </c>
      <c r="S9601" t="s">
        <v>40868</v>
      </c>
      <c r="T9601" t="s">
        <v>42111</v>
      </c>
      <c r="U9601" t="s">
        <v>50653</v>
      </c>
      <c r="V9601" t="s">
        <v>54826</v>
      </c>
      <c r="W9601" t="s">
        <v>39919</v>
      </c>
      <c r="X9601" t="s">
        <v>40448</v>
      </c>
    </row>
    <row r="9602" spans="1:24">
      <c r="A9602">
        <f>HYPERLINK("https://www.philgeps.gov.ph/GEPSNONPILOT/Tender/SplashBidNoticeAbstractUI.aspx?menuIndex=3&amp;refID=7032464&amp;Result=3","7032464")</f>
        <v>0</v>
      </c>
      <c r="B9602" t="s">
        <v>656</v>
      </c>
      <c r="C9602" t="s">
        <v>12243</v>
      </c>
      <c r="E9602" t="s">
        <v>24670</v>
      </c>
      <c r="F9602" t="s">
        <v>28198</v>
      </c>
      <c r="G9602" t="s">
        <v>28205</v>
      </c>
      <c r="H9602" t="s">
        <v>28214</v>
      </c>
      <c r="I9602" t="s">
        <v>3797</v>
      </c>
      <c r="J9602" t="s">
        <v>28699</v>
      </c>
      <c r="K9602" t="s">
        <v>36697</v>
      </c>
      <c r="M9602" t="s">
        <v>37652</v>
      </c>
      <c r="N9602" t="s">
        <v>40436</v>
      </c>
      <c r="O9602" t="s">
        <v>40437</v>
      </c>
      <c r="P9602">
        <v>0</v>
      </c>
      <c r="Q9602">
        <v>0</v>
      </c>
      <c r="R9602" t="s">
        <v>40447</v>
      </c>
      <c r="S9602" t="s">
        <v>40868</v>
      </c>
      <c r="T9602" t="s">
        <v>42279</v>
      </c>
      <c r="U9602" t="s">
        <v>50654</v>
      </c>
      <c r="W9602" t="s">
        <v>37652</v>
      </c>
      <c r="X9602" t="s">
        <v>40448</v>
      </c>
    </row>
    <row r="9603" spans="1:24">
      <c r="A9603">
        <f>HYPERLINK("https://www.philgeps.gov.ph/GEPSNONPILOT/Tender/SplashBidNoticeAbstractUI.aspx?menuIndex=3&amp;refID=7032488&amp;Result=3","7032488")</f>
        <v>0</v>
      </c>
      <c r="B9603" t="s">
        <v>2685</v>
      </c>
      <c r="C9603" t="s">
        <v>12244</v>
      </c>
      <c r="D9603" t="s">
        <v>16199</v>
      </c>
      <c r="E9603" t="s">
        <v>24671</v>
      </c>
      <c r="F9603" t="s">
        <v>28198</v>
      </c>
      <c r="G9603" t="s">
        <v>28205</v>
      </c>
      <c r="H9603" t="s">
        <v>28215</v>
      </c>
      <c r="I9603" t="s">
        <v>28234</v>
      </c>
      <c r="J9603" t="s">
        <v>34330</v>
      </c>
      <c r="K9603" t="s">
        <v>36707</v>
      </c>
      <c r="M9603" t="s">
        <v>39920</v>
      </c>
      <c r="N9603" t="s">
        <v>40436</v>
      </c>
      <c r="O9603" t="s">
        <v>40437</v>
      </c>
      <c r="P9603">
        <v>0</v>
      </c>
      <c r="Q9603">
        <v>0</v>
      </c>
      <c r="R9603" t="s">
        <v>40447</v>
      </c>
      <c r="S9603" t="s">
        <v>40868</v>
      </c>
      <c r="T9603" t="s">
        <v>42112</v>
      </c>
      <c r="U9603" t="s">
        <v>50655</v>
      </c>
      <c r="V9603" t="s">
        <v>54822</v>
      </c>
      <c r="W9603" t="s">
        <v>39920</v>
      </c>
      <c r="X9603" t="s">
        <v>40448</v>
      </c>
    </row>
    <row r="9604" spans="1:24">
      <c r="A9604">
        <f>HYPERLINK("https://www.philgeps.gov.ph/GEPSNONPILOT/Tender/SplashBidNoticeAbstractUI.aspx?menuIndex=3&amp;refID=7032502&amp;Result=3","7032502")</f>
        <v>0</v>
      </c>
      <c r="B9604" t="s">
        <v>667</v>
      </c>
      <c r="C9604" t="s">
        <v>12245</v>
      </c>
      <c r="D9604" t="s">
        <v>16210</v>
      </c>
      <c r="E9604" t="s">
        <v>16751</v>
      </c>
      <c r="F9604" t="s">
        <v>28198</v>
      </c>
      <c r="G9604" t="s">
        <v>28205</v>
      </c>
      <c r="H9604" t="s">
        <v>28215</v>
      </c>
      <c r="I9604" t="s">
        <v>28222</v>
      </c>
      <c r="J9604" t="s">
        <v>29331</v>
      </c>
      <c r="K9604" t="s">
        <v>36706</v>
      </c>
      <c r="M9604" t="s">
        <v>37663</v>
      </c>
      <c r="N9604" t="s">
        <v>40436</v>
      </c>
      <c r="O9604" t="s">
        <v>40437</v>
      </c>
      <c r="Q9604">
        <v>11</v>
      </c>
      <c r="R9604" t="s">
        <v>40447</v>
      </c>
      <c r="S9604" t="s">
        <v>40906</v>
      </c>
      <c r="T9604" t="s">
        <v>42459</v>
      </c>
      <c r="U9604" t="s">
        <v>50656</v>
      </c>
      <c r="W9604" t="s">
        <v>37663</v>
      </c>
      <c r="X9604" t="s">
        <v>40448</v>
      </c>
    </row>
    <row r="9605" spans="1:24">
      <c r="A9605">
        <f>HYPERLINK("https://www.philgeps.gov.ph/GEPSNONPILOT/Tender/SplashBidNoticeAbstractUI.aspx?menuIndex=3&amp;refID=7032454&amp;Result=3","7032454")</f>
        <v>0</v>
      </c>
      <c r="B9605" t="s">
        <v>1778</v>
      </c>
      <c r="C9605" t="s">
        <v>12246</v>
      </c>
      <c r="D9605" t="s">
        <v>16249</v>
      </c>
      <c r="E9605" t="s">
        <v>24672</v>
      </c>
      <c r="F9605" t="s">
        <v>28198</v>
      </c>
      <c r="G9605" t="s">
        <v>28205</v>
      </c>
      <c r="H9605" t="s">
        <v>28214</v>
      </c>
      <c r="I9605" t="s">
        <v>3797</v>
      </c>
      <c r="J9605" t="s">
        <v>28390</v>
      </c>
      <c r="K9605" t="s">
        <v>36710</v>
      </c>
      <c r="M9605" t="s">
        <v>38894</v>
      </c>
      <c r="N9605" t="s">
        <v>40436</v>
      </c>
      <c r="O9605" t="s">
        <v>40437</v>
      </c>
      <c r="P9605">
        <v>0</v>
      </c>
      <c r="Q9605">
        <v>109</v>
      </c>
      <c r="R9605" t="s">
        <v>40447</v>
      </c>
      <c r="S9605" t="s">
        <v>40868</v>
      </c>
      <c r="T9605" t="s">
        <v>42425</v>
      </c>
      <c r="U9605" t="s">
        <v>50657</v>
      </c>
      <c r="V9605" t="s">
        <v>54827</v>
      </c>
      <c r="W9605" t="s">
        <v>38894</v>
      </c>
      <c r="X9605" t="s">
        <v>40448</v>
      </c>
    </row>
    <row r="9606" spans="1:24">
      <c r="A9606">
        <f>HYPERLINK("https://www.philgeps.gov.ph/GEPSNONPILOT/Tender/SplashBidNoticeAbstractUI.aspx?menuIndex=3&amp;refID=7032458&amp;Result=3","7032458")</f>
        <v>0</v>
      </c>
      <c r="B9606" t="s">
        <v>656</v>
      </c>
      <c r="C9606" t="s">
        <v>12247</v>
      </c>
      <c r="E9606" t="s">
        <v>24673</v>
      </c>
      <c r="F9606" t="s">
        <v>28198</v>
      </c>
      <c r="G9606" t="s">
        <v>28205</v>
      </c>
      <c r="H9606" t="s">
        <v>28214</v>
      </c>
      <c r="I9606" t="s">
        <v>3797</v>
      </c>
      <c r="J9606" t="s">
        <v>34331</v>
      </c>
      <c r="K9606" t="s">
        <v>36697</v>
      </c>
      <c r="M9606" t="s">
        <v>37652</v>
      </c>
      <c r="N9606" t="s">
        <v>40436</v>
      </c>
      <c r="O9606" t="s">
        <v>40437</v>
      </c>
      <c r="P9606">
        <v>0</v>
      </c>
      <c r="Q9606">
        <v>0</v>
      </c>
      <c r="R9606" t="s">
        <v>40447</v>
      </c>
      <c r="S9606" t="s">
        <v>40868</v>
      </c>
      <c r="T9606" t="s">
        <v>42279</v>
      </c>
      <c r="U9606" t="s">
        <v>50658</v>
      </c>
      <c r="W9606" t="s">
        <v>37652</v>
      </c>
      <c r="X9606" t="s">
        <v>40448</v>
      </c>
    </row>
    <row r="9607" spans="1:24">
      <c r="A9607">
        <f>HYPERLINK("https://www.philgeps.gov.ph/GEPSNONPILOT/Tender/SplashBidNoticeAbstractUI.aspx?menuIndex=3&amp;refID=7032497&amp;Result=3","7032497")</f>
        <v>0</v>
      </c>
      <c r="B9607" t="s">
        <v>656</v>
      </c>
      <c r="C9607" t="s">
        <v>12248</v>
      </c>
      <c r="D9607" t="s">
        <v>16206</v>
      </c>
      <c r="E9607" t="s">
        <v>24674</v>
      </c>
      <c r="F9607" t="s">
        <v>28198</v>
      </c>
      <c r="G9607" t="s">
        <v>28205</v>
      </c>
      <c r="H9607" t="s">
        <v>28215</v>
      </c>
      <c r="I9607" t="s">
        <v>5100</v>
      </c>
      <c r="J9607" t="s">
        <v>34332</v>
      </c>
      <c r="K9607" t="s">
        <v>36750</v>
      </c>
      <c r="M9607" t="s">
        <v>37652</v>
      </c>
      <c r="N9607" t="s">
        <v>40436</v>
      </c>
      <c r="O9607" t="s">
        <v>40437</v>
      </c>
      <c r="P9607">
        <v>0</v>
      </c>
      <c r="Q9607">
        <v>0</v>
      </c>
      <c r="R9607" t="s">
        <v>40447</v>
      </c>
      <c r="S9607" t="s">
        <v>40868</v>
      </c>
      <c r="T9607" t="s">
        <v>42194</v>
      </c>
      <c r="U9607" t="s">
        <v>50659</v>
      </c>
      <c r="W9607" t="s">
        <v>37652</v>
      </c>
      <c r="X9607" t="s">
        <v>40448</v>
      </c>
    </row>
    <row r="9608" spans="1:24">
      <c r="A9608">
        <f>HYPERLINK("https://www.philgeps.gov.ph/GEPSNONPILOT/Tender/SplashBidNoticeAbstractUI.aspx?menuIndex=3&amp;refID=7032525&amp;Result=3","7032525")</f>
        <v>0</v>
      </c>
      <c r="B9608" t="s">
        <v>2686</v>
      </c>
      <c r="C9608" t="s">
        <v>12249</v>
      </c>
      <c r="D9608" t="s">
        <v>16210</v>
      </c>
      <c r="E9608" t="s">
        <v>24675</v>
      </c>
      <c r="F9608" t="s">
        <v>28198</v>
      </c>
      <c r="G9608" t="s">
        <v>28205</v>
      </c>
      <c r="H9608" t="s">
        <v>28217</v>
      </c>
      <c r="I9608" t="s">
        <v>28231</v>
      </c>
      <c r="J9608" t="s">
        <v>34333</v>
      </c>
      <c r="K9608" t="s">
        <v>36765</v>
      </c>
      <c r="M9608" t="s">
        <v>39921</v>
      </c>
      <c r="N9608" t="s">
        <v>40436</v>
      </c>
      <c r="O9608" t="s">
        <v>40437</v>
      </c>
      <c r="P9608">
        <v>0</v>
      </c>
      <c r="Q9608">
        <v>10</v>
      </c>
      <c r="R9608" t="s">
        <v>40447</v>
      </c>
      <c r="S9608" t="s">
        <v>40868</v>
      </c>
      <c r="T9608" t="s">
        <v>42253</v>
      </c>
      <c r="U9608" t="s">
        <v>50660</v>
      </c>
      <c r="W9608" t="s">
        <v>39921</v>
      </c>
      <c r="X9608" t="s">
        <v>40448</v>
      </c>
    </row>
    <row r="9609" spans="1:24">
      <c r="A9609">
        <f>HYPERLINK("https://www.philgeps.gov.ph/GEPSNONPILOT/Tender/SplashBidNoticeAbstractUI.aspx?menuIndex=3&amp;refID=7032509&amp;Result=3","7032509")</f>
        <v>0</v>
      </c>
      <c r="B9609" t="s">
        <v>656</v>
      </c>
      <c r="C9609" t="s">
        <v>12250</v>
      </c>
      <c r="E9609" t="s">
        <v>24676</v>
      </c>
      <c r="F9609" t="s">
        <v>28198</v>
      </c>
      <c r="G9609" t="s">
        <v>28205</v>
      </c>
      <c r="H9609" t="s">
        <v>28214</v>
      </c>
      <c r="I9609" t="s">
        <v>3797</v>
      </c>
      <c r="J9609" t="s">
        <v>28347</v>
      </c>
      <c r="K9609" t="s">
        <v>36692</v>
      </c>
      <c r="M9609" t="s">
        <v>37652</v>
      </c>
      <c r="N9609" t="s">
        <v>40436</v>
      </c>
      <c r="O9609" t="s">
        <v>40437</v>
      </c>
      <c r="P9609">
        <v>0</v>
      </c>
      <c r="Q9609">
        <v>0</v>
      </c>
      <c r="R9609" t="s">
        <v>40447</v>
      </c>
      <c r="S9609" t="s">
        <v>40868</v>
      </c>
      <c r="T9609" t="s">
        <v>42165</v>
      </c>
      <c r="U9609" t="s">
        <v>50649</v>
      </c>
      <c r="W9609" t="s">
        <v>37652</v>
      </c>
      <c r="X9609" t="s">
        <v>40448</v>
      </c>
    </row>
    <row r="9610" spans="1:24">
      <c r="A9610">
        <f>HYPERLINK("https://www.philgeps.gov.ph/GEPSNONPILOT/Tender/SplashBidNoticeAbstractUI.aspx?menuIndex=3&amp;refID=7032504&amp;Result=3","7032504")</f>
        <v>0</v>
      </c>
      <c r="B9610" t="s">
        <v>656</v>
      </c>
      <c r="C9610" t="s">
        <v>12251</v>
      </c>
      <c r="E9610" t="s">
        <v>24677</v>
      </c>
      <c r="F9610" t="s">
        <v>28198</v>
      </c>
      <c r="G9610" t="s">
        <v>28205</v>
      </c>
      <c r="H9610" t="s">
        <v>28214</v>
      </c>
      <c r="I9610" t="s">
        <v>3797</v>
      </c>
      <c r="J9610" t="s">
        <v>30526</v>
      </c>
      <c r="K9610" t="s">
        <v>36745</v>
      </c>
      <c r="M9610" t="s">
        <v>37652</v>
      </c>
      <c r="N9610" t="s">
        <v>40436</v>
      </c>
      <c r="O9610" t="s">
        <v>40437</v>
      </c>
      <c r="P9610">
        <v>0</v>
      </c>
      <c r="Q9610">
        <v>0</v>
      </c>
      <c r="R9610" t="s">
        <v>40447</v>
      </c>
      <c r="S9610" t="s">
        <v>40868</v>
      </c>
      <c r="T9610" t="s">
        <v>42261</v>
      </c>
      <c r="U9610" t="s">
        <v>50649</v>
      </c>
      <c r="W9610" t="s">
        <v>37652</v>
      </c>
      <c r="X9610" t="s">
        <v>40448</v>
      </c>
    </row>
    <row r="9611" spans="1:24">
      <c r="A9611">
        <f>HYPERLINK("https://www.philgeps.gov.ph/GEPSNONPILOT/Tender/SplashBidNoticeAbstractUI.aspx?menuIndex=3&amp;refID=7032521&amp;Result=3","7032521")</f>
        <v>0</v>
      </c>
      <c r="B9611" t="s">
        <v>2686</v>
      </c>
      <c r="C9611" t="s">
        <v>12252</v>
      </c>
      <c r="D9611" t="s">
        <v>16210</v>
      </c>
      <c r="E9611" t="s">
        <v>24678</v>
      </c>
      <c r="F9611" t="s">
        <v>28198</v>
      </c>
      <c r="G9611" t="s">
        <v>28205</v>
      </c>
      <c r="H9611" t="s">
        <v>28217</v>
      </c>
      <c r="I9611" t="s">
        <v>6786</v>
      </c>
      <c r="J9611" t="s">
        <v>34334</v>
      </c>
      <c r="K9611" t="s">
        <v>36765</v>
      </c>
      <c r="M9611" t="s">
        <v>39921</v>
      </c>
      <c r="N9611" t="s">
        <v>40436</v>
      </c>
      <c r="O9611" t="s">
        <v>40437</v>
      </c>
      <c r="P9611">
        <v>0</v>
      </c>
      <c r="Q9611">
        <v>8</v>
      </c>
      <c r="R9611" t="s">
        <v>40447</v>
      </c>
      <c r="S9611" t="s">
        <v>40868</v>
      </c>
      <c r="T9611" t="s">
        <v>42529</v>
      </c>
      <c r="U9611" t="s">
        <v>50661</v>
      </c>
      <c r="W9611" t="s">
        <v>39921</v>
      </c>
      <c r="X9611" t="s">
        <v>40448</v>
      </c>
    </row>
    <row r="9612" spans="1:24">
      <c r="A9612">
        <f>HYPERLINK("https://www.philgeps.gov.ph/GEPSNONPILOT/Tender/SplashBidNoticeAbstractUI.aspx?menuIndex=3&amp;refID=7032527&amp;Result=3","7032527")</f>
        <v>0</v>
      </c>
      <c r="B9612" t="s">
        <v>2686</v>
      </c>
      <c r="C9612" t="s">
        <v>12253</v>
      </c>
      <c r="D9612" t="s">
        <v>16210</v>
      </c>
      <c r="E9612" t="s">
        <v>24679</v>
      </c>
      <c r="F9612" t="s">
        <v>28198</v>
      </c>
      <c r="G9612" t="s">
        <v>28205</v>
      </c>
      <c r="H9612" t="s">
        <v>28217</v>
      </c>
      <c r="I9612" t="s">
        <v>28228</v>
      </c>
      <c r="J9612" t="s">
        <v>34335</v>
      </c>
      <c r="K9612" t="s">
        <v>36765</v>
      </c>
      <c r="M9612" t="s">
        <v>39921</v>
      </c>
      <c r="N9612" t="s">
        <v>40436</v>
      </c>
      <c r="O9612" t="s">
        <v>40437</v>
      </c>
      <c r="P9612">
        <v>0</v>
      </c>
      <c r="Q9612">
        <v>2</v>
      </c>
      <c r="R9612" t="s">
        <v>40447</v>
      </c>
      <c r="S9612" t="s">
        <v>40868</v>
      </c>
      <c r="T9612" t="s">
        <v>42547</v>
      </c>
      <c r="U9612" t="s">
        <v>50662</v>
      </c>
      <c r="W9612" t="s">
        <v>39921</v>
      </c>
      <c r="X9612" t="s">
        <v>40448</v>
      </c>
    </row>
    <row r="9613" spans="1:24">
      <c r="A9613">
        <f>HYPERLINK("https://www.philgeps.gov.ph/GEPSNONPILOT/Tender/SplashBidNoticeAbstractUI.aspx?menuIndex=3&amp;refID=7032513&amp;Result=3","7032513")</f>
        <v>0</v>
      </c>
      <c r="B9613" t="s">
        <v>656</v>
      </c>
      <c r="C9613" t="s">
        <v>12254</v>
      </c>
      <c r="E9613" t="s">
        <v>24680</v>
      </c>
      <c r="F9613" t="s">
        <v>28198</v>
      </c>
      <c r="G9613" t="s">
        <v>28205</v>
      </c>
      <c r="H9613" t="s">
        <v>28214</v>
      </c>
      <c r="I9613" t="s">
        <v>3797</v>
      </c>
      <c r="J9613" t="s">
        <v>28347</v>
      </c>
      <c r="K9613" t="s">
        <v>36692</v>
      </c>
      <c r="M9613" t="s">
        <v>37652</v>
      </c>
      <c r="N9613" t="s">
        <v>40436</v>
      </c>
      <c r="O9613" t="s">
        <v>40437</v>
      </c>
      <c r="P9613">
        <v>0</v>
      </c>
      <c r="Q9613">
        <v>0</v>
      </c>
      <c r="R9613" t="s">
        <v>40447</v>
      </c>
      <c r="S9613" t="s">
        <v>40868</v>
      </c>
      <c r="T9613" t="s">
        <v>42165</v>
      </c>
      <c r="U9613" t="s">
        <v>50649</v>
      </c>
      <c r="W9613" t="s">
        <v>37652</v>
      </c>
      <c r="X9613" t="s">
        <v>40448</v>
      </c>
    </row>
    <row r="9614" spans="1:24">
      <c r="A9614">
        <f>HYPERLINK("https://www.philgeps.gov.ph/GEPSNONPILOT/Tender/SplashBidNoticeAbstractUI.aspx?menuIndex=3&amp;refID=7032519&amp;Result=3","7032519")</f>
        <v>0</v>
      </c>
      <c r="B9614" t="s">
        <v>656</v>
      </c>
      <c r="C9614" t="s">
        <v>12255</v>
      </c>
      <c r="E9614" t="s">
        <v>24681</v>
      </c>
      <c r="F9614" t="s">
        <v>28198</v>
      </c>
      <c r="G9614" t="s">
        <v>28205</v>
      </c>
      <c r="H9614" t="s">
        <v>28214</v>
      </c>
      <c r="I9614" t="s">
        <v>3797</v>
      </c>
      <c r="J9614" t="s">
        <v>28699</v>
      </c>
      <c r="K9614" t="s">
        <v>36727</v>
      </c>
      <c r="M9614" t="s">
        <v>37652</v>
      </c>
      <c r="N9614" t="s">
        <v>40436</v>
      </c>
      <c r="O9614" t="s">
        <v>40437</v>
      </c>
      <c r="P9614">
        <v>0</v>
      </c>
      <c r="Q9614">
        <v>0</v>
      </c>
      <c r="R9614" t="s">
        <v>40447</v>
      </c>
      <c r="S9614" t="s">
        <v>40868</v>
      </c>
      <c r="T9614" t="s">
        <v>42335</v>
      </c>
      <c r="U9614" t="s">
        <v>50663</v>
      </c>
      <c r="W9614" t="s">
        <v>37652</v>
      </c>
      <c r="X9614" t="s">
        <v>40448</v>
      </c>
    </row>
    <row r="9615" spans="1:24">
      <c r="A9615">
        <f>HYPERLINK("https://www.philgeps.gov.ph/GEPSNONPILOT/Tender/SplashBidNoticeAbstractUI.aspx?menuIndex=3&amp;refID=7032524&amp;Result=3","7032524")</f>
        <v>0</v>
      </c>
      <c r="B9615" t="s">
        <v>656</v>
      </c>
      <c r="C9615" t="s">
        <v>12256</v>
      </c>
      <c r="E9615" t="s">
        <v>24682</v>
      </c>
      <c r="F9615" t="s">
        <v>28198</v>
      </c>
      <c r="G9615" t="s">
        <v>28205</v>
      </c>
      <c r="H9615" t="s">
        <v>28214</v>
      </c>
      <c r="I9615" t="s">
        <v>3797</v>
      </c>
      <c r="J9615" t="s">
        <v>28699</v>
      </c>
      <c r="K9615" t="s">
        <v>36697</v>
      </c>
      <c r="M9615" t="s">
        <v>37652</v>
      </c>
      <c r="N9615" t="s">
        <v>40436</v>
      </c>
      <c r="O9615" t="s">
        <v>40437</v>
      </c>
      <c r="P9615">
        <v>0</v>
      </c>
      <c r="Q9615">
        <v>0</v>
      </c>
      <c r="R9615" t="s">
        <v>40447</v>
      </c>
      <c r="S9615" t="s">
        <v>40868</v>
      </c>
      <c r="T9615" t="s">
        <v>42123</v>
      </c>
      <c r="U9615" t="s">
        <v>50664</v>
      </c>
      <c r="W9615" t="s">
        <v>37652</v>
      </c>
      <c r="X9615" t="s">
        <v>40448</v>
      </c>
    </row>
    <row r="9616" spans="1:24">
      <c r="A9616">
        <f>HYPERLINK("https://www.philgeps.gov.ph/GEPSNONPILOT/Tender/SplashBidNoticeAbstractUI.aspx?menuIndex=3&amp;refID=7032531&amp;Result=3","7032531")</f>
        <v>0</v>
      </c>
      <c r="B9616" t="s">
        <v>916</v>
      </c>
      <c r="C9616" t="s">
        <v>12257</v>
      </c>
      <c r="D9616" t="s">
        <v>16278</v>
      </c>
      <c r="E9616" t="s">
        <v>24683</v>
      </c>
      <c r="F9616" t="s">
        <v>28198</v>
      </c>
      <c r="G9616" t="s">
        <v>28205</v>
      </c>
      <c r="H9616" t="s">
        <v>28215</v>
      </c>
      <c r="I9616" t="s">
        <v>28282</v>
      </c>
      <c r="J9616" t="s">
        <v>34336</v>
      </c>
      <c r="K9616" t="s">
        <v>36705</v>
      </c>
      <c r="M9616" t="s">
        <v>39922</v>
      </c>
      <c r="N9616" t="s">
        <v>40436</v>
      </c>
      <c r="O9616" t="s">
        <v>40437</v>
      </c>
      <c r="P9616">
        <v>0</v>
      </c>
      <c r="Q9616">
        <v>15</v>
      </c>
      <c r="R9616" t="s">
        <v>40447</v>
      </c>
      <c r="S9616" t="s">
        <v>40868</v>
      </c>
      <c r="T9616" t="s">
        <v>42168</v>
      </c>
      <c r="U9616" t="s">
        <v>50665</v>
      </c>
      <c r="W9616" t="s">
        <v>39922</v>
      </c>
      <c r="X9616" t="s">
        <v>40448</v>
      </c>
    </row>
    <row r="9617" spans="1:24">
      <c r="A9617">
        <f>HYPERLINK("https://www.philgeps.gov.ph/GEPSNONPILOT/Tender/SplashBidNoticeAbstractUI.aspx?menuIndex=3&amp;refID=7032537&amp;Result=3","7032537")</f>
        <v>0</v>
      </c>
      <c r="B9617" t="s">
        <v>2687</v>
      </c>
      <c r="C9617" t="s">
        <v>12258</v>
      </c>
      <c r="D9617" t="s">
        <v>16239</v>
      </c>
      <c r="E9617" t="s">
        <v>19338</v>
      </c>
      <c r="F9617" t="s">
        <v>28198</v>
      </c>
      <c r="G9617" t="s">
        <v>28205</v>
      </c>
      <c r="H9617" t="s">
        <v>28215</v>
      </c>
      <c r="I9617" t="s">
        <v>28228</v>
      </c>
      <c r="J9617" t="s">
        <v>34337</v>
      </c>
      <c r="K9617" t="s">
        <v>36862</v>
      </c>
      <c r="M9617" t="s">
        <v>39923</v>
      </c>
      <c r="N9617" t="s">
        <v>40436</v>
      </c>
      <c r="O9617" t="s">
        <v>40437</v>
      </c>
      <c r="P9617">
        <v>0</v>
      </c>
      <c r="Q9617">
        <v>2</v>
      </c>
      <c r="R9617" t="s">
        <v>40447</v>
      </c>
      <c r="S9617" t="s">
        <v>40868</v>
      </c>
      <c r="T9617" t="s">
        <v>42168</v>
      </c>
      <c r="U9617" t="s">
        <v>50666</v>
      </c>
      <c r="W9617" t="s">
        <v>39923</v>
      </c>
      <c r="X9617" t="s">
        <v>40448</v>
      </c>
    </row>
    <row r="9618" spans="1:24">
      <c r="A9618">
        <f>HYPERLINK("https://www.philgeps.gov.ph/GEPSNONPILOT/Tender/SplashBidNoticeAbstractUI.aspx?menuIndex=3&amp;refID=7032511&amp;Result=3","7032511")</f>
        <v>0</v>
      </c>
      <c r="B9618" t="s">
        <v>2685</v>
      </c>
      <c r="C9618" t="s">
        <v>12259</v>
      </c>
      <c r="D9618" t="s">
        <v>16199</v>
      </c>
      <c r="E9618" t="s">
        <v>24684</v>
      </c>
      <c r="F9618" t="s">
        <v>28198</v>
      </c>
      <c r="G9618" t="s">
        <v>28205</v>
      </c>
      <c r="H9618" t="s">
        <v>28217</v>
      </c>
      <c r="I9618" t="s">
        <v>28242</v>
      </c>
      <c r="J9618" t="s">
        <v>34338</v>
      </c>
      <c r="K9618" t="s">
        <v>36691</v>
      </c>
      <c r="M9618" t="s">
        <v>39920</v>
      </c>
      <c r="N9618" t="s">
        <v>40436</v>
      </c>
      <c r="O9618" t="s">
        <v>40437</v>
      </c>
      <c r="P9618">
        <v>0</v>
      </c>
      <c r="Q9618">
        <v>1</v>
      </c>
      <c r="R9618" t="s">
        <v>40447</v>
      </c>
      <c r="S9618" t="s">
        <v>40868</v>
      </c>
      <c r="T9618" t="s">
        <v>42112</v>
      </c>
      <c r="U9618" t="s">
        <v>50667</v>
      </c>
      <c r="V9618" t="s">
        <v>54822</v>
      </c>
      <c r="W9618" t="s">
        <v>39920</v>
      </c>
      <c r="X9618" t="s">
        <v>40448</v>
      </c>
    </row>
    <row r="9619" spans="1:24">
      <c r="A9619">
        <f>HYPERLINK("https://www.philgeps.gov.ph/GEPSNONPILOT/Tender/SplashBidNoticeAbstractUI.aspx?menuIndex=3&amp;refID=7032518&amp;Result=3","7032518")</f>
        <v>0</v>
      </c>
      <c r="B9619" t="s">
        <v>667</v>
      </c>
      <c r="C9619" t="s">
        <v>12260</v>
      </c>
      <c r="D9619" t="s">
        <v>16210</v>
      </c>
      <c r="E9619" t="s">
        <v>18505</v>
      </c>
      <c r="F9619" t="s">
        <v>28198</v>
      </c>
      <c r="G9619" t="s">
        <v>28205</v>
      </c>
      <c r="H9619" t="s">
        <v>28215</v>
      </c>
      <c r="I9619" t="s">
        <v>4168</v>
      </c>
      <c r="J9619" t="s">
        <v>34090</v>
      </c>
      <c r="K9619" t="s">
        <v>36707</v>
      </c>
      <c r="M9619" t="s">
        <v>37663</v>
      </c>
      <c r="N9619" t="s">
        <v>40436</v>
      </c>
      <c r="O9619" t="s">
        <v>40437</v>
      </c>
      <c r="Q9619">
        <v>19</v>
      </c>
      <c r="R9619" t="s">
        <v>40447</v>
      </c>
      <c r="S9619" t="s">
        <v>40907</v>
      </c>
      <c r="T9619" t="s">
        <v>42482</v>
      </c>
      <c r="U9619" t="s">
        <v>50668</v>
      </c>
      <c r="W9619" t="s">
        <v>37663</v>
      </c>
      <c r="X9619" t="s">
        <v>40448</v>
      </c>
    </row>
    <row r="9620" spans="1:24">
      <c r="A9620">
        <f>HYPERLINK("https://www.philgeps.gov.ph/GEPSNONPILOT/Tender/SplashBidNoticeAbstractUI.aspx?menuIndex=3&amp;refID=7032532&amp;Result=3","7032532")</f>
        <v>0</v>
      </c>
      <c r="B9620" t="s">
        <v>2686</v>
      </c>
      <c r="C9620" t="s">
        <v>12261</v>
      </c>
      <c r="D9620" t="s">
        <v>16210</v>
      </c>
      <c r="E9620" t="s">
        <v>24685</v>
      </c>
      <c r="F9620" t="s">
        <v>28198</v>
      </c>
      <c r="G9620" t="s">
        <v>28205</v>
      </c>
      <c r="H9620" t="s">
        <v>28217</v>
      </c>
      <c r="I9620" t="s">
        <v>28230</v>
      </c>
      <c r="J9620" t="s">
        <v>34339</v>
      </c>
      <c r="K9620" t="s">
        <v>36765</v>
      </c>
      <c r="M9620" t="s">
        <v>39921</v>
      </c>
      <c r="N9620" t="s">
        <v>40436</v>
      </c>
      <c r="O9620" t="s">
        <v>40437</v>
      </c>
      <c r="P9620">
        <v>0</v>
      </c>
      <c r="Q9620">
        <v>8</v>
      </c>
      <c r="R9620" t="s">
        <v>40447</v>
      </c>
      <c r="S9620" t="s">
        <v>40868</v>
      </c>
      <c r="T9620" t="s">
        <v>42292</v>
      </c>
      <c r="U9620" t="s">
        <v>50669</v>
      </c>
      <c r="W9620" t="s">
        <v>39921</v>
      </c>
      <c r="X9620" t="s">
        <v>40448</v>
      </c>
    </row>
    <row r="9621" spans="1:24">
      <c r="A9621">
        <f>HYPERLINK("https://www.philgeps.gov.ph/GEPSNONPILOT/Tender/SplashBidNoticeAbstractUI.aspx?menuIndex=3&amp;refID=7032533&amp;Result=3","7032533")</f>
        <v>0</v>
      </c>
      <c r="B9621" t="s">
        <v>2688</v>
      </c>
      <c r="C9621" t="s">
        <v>12262</v>
      </c>
      <c r="D9621" t="s">
        <v>16199</v>
      </c>
      <c r="E9621" t="s">
        <v>24686</v>
      </c>
      <c r="F9621" t="s">
        <v>28198</v>
      </c>
      <c r="G9621" t="s">
        <v>28205</v>
      </c>
      <c r="H9621" t="s">
        <v>28217</v>
      </c>
      <c r="I9621" t="s">
        <v>28227</v>
      </c>
      <c r="J9621" t="s">
        <v>34340</v>
      </c>
      <c r="K9621" t="s">
        <v>36696</v>
      </c>
      <c r="M9621" t="s">
        <v>39924</v>
      </c>
      <c r="N9621" t="s">
        <v>40436</v>
      </c>
      <c r="O9621" t="s">
        <v>40437</v>
      </c>
      <c r="P9621">
        <v>0</v>
      </c>
      <c r="Q9621">
        <v>2</v>
      </c>
      <c r="R9621" t="s">
        <v>40447</v>
      </c>
      <c r="S9621" t="s">
        <v>40868</v>
      </c>
      <c r="T9621" t="s">
        <v>42133</v>
      </c>
      <c r="U9621" t="s">
        <v>50670</v>
      </c>
      <c r="V9621" t="s">
        <v>54822</v>
      </c>
      <c r="W9621" t="s">
        <v>39924</v>
      </c>
      <c r="X9621" t="s">
        <v>40448</v>
      </c>
    </row>
    <row r="9622" spans="1:24">
      <c r="A9622">
        <f>HYPERLINK("https://www.philgeps.gov.ph/GEPSNONPILOT/Tender/SplashBidNoticeAbstractUI.aspx?menuIndex=3&amp;refID=7032549&amp;Result=3","7032549")</f>
        <v>0</v>
      </c>
      <c r="B9622" t="s">
        <v>2689</v>
      </c>
      <c r="C9622" t="s">
        <v>4152</v>
      </c>
      <c r="D9622" t="s">
        <v>16210</v>
      </c>
      <c r="E9622" t="s">
        <v>20949</v>
      </c>
      <c r="F9622" t="s">
        <v>28198</v>
      </c>
      <c r="G9622" t="s">
        <v>28205</v>
      </c>
      <c r="H9622" t="s">
        <v>28215</v>
      </c>
      <c r="I9622" t="s">
        <v>4168</v>
      </c>
      <c r="J9622" t="s">
        <v>34341</v>
      </c>
      <c r="K9622" t="s">
        <v>36707</v>
      </c>
      <c r="M9622" t="s">
        <v>39925</v>
      </c>
      <c r="N9622" t="s">
        <v>40436</v>
      </c>
      <c r="O9622" t="s">
        <v>40437</v>
      </c>
      <c r="P9622">
        <v>0</v>
      </c>
      <c r="Q9622">
        <v>1</v>
      </c>
      <c r="R9622" t="s">
        <v>40447</v>
      </c>
      <c r="S9622" t="s">
        <v>40868</v>
      </c>
      <c r="T9622" t="s">
        <v>42105</v>
      </c>
      <c r="U9622" t="s">
        <v>50671</v>
      </c>
      <c r="V9622" t="s">
        <v>54828</v>
      </c>
      <c r="W9622" t="s">
        <v>39925</v>
      </c>
      <c r="X9622" t="s">
        <v>40448</v>
      </c>
    </row>
    <row r="9623" spans="1:24">
      <c r="A9623">
        <f>HYPERLINK("https://www.philgeps.gov.ph/GEPSNONPILOT/Tender/SplashBidNoticeAbstractUI.aspx?menuIndex=3&amp;refID=7032539&amp;Result=3","7032539")</f>
        <v>0</v>
      </c>
      <c r="B9623" t="s">
        <v>2688</v>
      </c>
      <c r="C9623" t="s">
        <v>12263</v>
      </c>
      <c r="D9623" t="s">
        <v>16199</v>
      </c>
      <c r="E9623" t="s">
        <v>24684</v>
      </c>
      <c r="F9623" t="s">
        <v>28198</v>
      </c>
      <c r="G9623" t="s">
        <v>28205</v>
      </c>
      <c r="H9623" t="s">
        <v>28217</v>
      </c>
      <c r="I9623" t="s">
        <v>4321</v>
      </c>
      <c r="J9623" t="s">
        <v>34340</v>
      </c>
      <c r="K9623" t="s">
        <v>36696</v>
      </c>
      <c r="M9623" t="s">
        <v>39924</v>
      </c>
      <c r="N9623" t="s">
        <v>40436</v>
      </c>
      <c r="O9623" t="s">
        <v>40437</v>
      </c>
      <c r="P9623">
        <v>0</v>
      </c>
      <c r="Q9623">
        <v>2</v>
      </c>
      <c r="R9623" t="s">
        <v>40447</v>
      </c>
      <c r="S9623" t="s">
        <v>40868</v>
      </c>
      <c r="T9623" t="s">
        <v>42175</v>
      </c>
      <c r="U9623" t="s">
        <v>50670</v>
      </c>
      <c r="V9623" t="s">
        <v>54822</v>
      </c>
      <c r="W9623" t="s">
        <v>39924</v>
      </c>
      <c r="X9623" t="s">
        <v>40448</v>
      </c>
    </row>
    <row r="9624" spans="1:24">
      <c r="A9624">
        <f>HYPERLINK("https://www.philgeps.gov.ph/GEPSNONPILOT/Tender/SplashBidNoticeAbstractUI.aspx?menuIndex=3&amp;refID=7032547&amp;Result=3","7032547")</f>
        <v>0</v>
      </c>
      <c r="B9624" t="s">
        <v>1778</v>
      </c>
      <c r="C9624" t="s">
        <v>12264</v>
      </c>
      <c r="D9624" t="s">
        <v>16249</v>
      </c>
      <c r="E9624" t="s">
        <v>24687</v>
      </c>
      <c r="F9624" t="s">
        <v>28198</v>
      </c>
      <c r="G9624" t="s">
        <v>28205</v>
      </c>
      <c r="H9624" t="s">
        <v>28215</v>
      </c>
      <c r="I9624" t="s">
        <v>28222</v>
      </c>
      <c r="J9624" t="s">
        <v>34286</v>
      </c>
      <c r="K9624" t="s">
        <v>36701</v>
      </c>
      <c r="M9624" t="s">
        <v>38894</v>
      </c>
      <c r="N9624" t="s">
        <v>40436</v>
      </c>
      <c r="O9624" t="s">
        <v>40437</v>
      </c>
      <c r="P9624">
        <v>0</v>
      </c>
      <c r="Q9624">
        <v>8</v>
      </c>
      <c r="R9624" t="s">
        <v>40447</v>
      </c>
      <c r="S9624" t="s">
        <v>40868</v>
      </c>
      <c r="T9624" t="s">
        <v>42113</v>
      </c>
      <c r="U9624" t="s">
        <v>50672</v>
      </c>
      <c r="V9624" t="s">
        <v>54829</v>
      </c>
      <c r="W9624" t="s">
        <v>38894</v>
      </c>
      <c r="X9624" t="s">
        <v>40448</v>
      </c>
    </row>
    <row r="9625" spans="1:24">
      <c r="A9625">
        <f>HYPERLINK("https://www.philgeps.gov.ph/GEPSNONPILOT/Tender/SplashBidNoticeAbstractUI.aspx?menuIndex=3&amp;refID=7032550&amp;Result=3","7032550")</f>
        <v>0</v>
      </c>
      <c r="B9625" t="s">
        <v>2076</v>
      </c>
      <c r="C9625" t="s">
        <v>12265</v>
      </c>
      <c r="D9625" t="s">
        <v>16210</v>
      </c>
      <c r="E9625" t="s">
        <v>24688</v>
      </c>
      <c r="F9625" t="s">
        <v>28198</v>
      </c>
      <c r="G9625" t="s">
        <v>28205</v>
      </c>
      <c r="H9625" t="s">
        <v>28215</v>
      </c>
      <c r="I9625" t="s">
        <v>28238</v>
      </c>
      <c r="J9625" t="s">
        <v>34342</v>
      </c>
      <c r="K9625" t="s">
        <v>36717</v>
      </c>
      <c r="M9625" t="s">
        <v>39926</v>
      </c>
      <c r="N9625" t="s">
        <v>40436</v>
      </c>
      <c r="O9625" t="s">
        <v>40437</v>
      </c>
      <c r="P9625">
        <v>0</v>
      </c>
      <c r="Q9625">
        <v>11</v>
      </c>
      <c r="R9625" t="s">
        <v>40447</v>
      </c>
      <c r="S9625" t="s">
        <v>40868</v>
      </c>
      <c r="T9625" t="s">
        <v>42482</v>
      </c>
      <c r="U9625" t="s">
        <v>50673</v>
      </c>
      <c r="W9625" t="s">
        <v>39225</v>
      </c>
      <c r="X9625" t="s">
        <v>40448</v>
      </c>
    </row>
    <row r="9626" spans="1:24">
      <c r="A9626">
        <f>HYPERLINK("https://www.philgeps.gov.ph/GEPSNONPILOT/Tender/SplashBidNoticeAbstractUI.aspx?menuIndex=3&amp;refID=7032572&amp;Result=3","7032572")</f>
        <v>0</v>
      </c>
      <c r="B9626" t="s">
        <v>2690</v>
      </c>
      <c r="C9626" t="s">
        <v>12266</v>
      </c>
      <c r="D9626" t="s">
        <v>16196</v>
      </c>
      <c r="E9626" t="s">
        <v>18719</v>
      </c>
      <c r="F9626" t="s">
        <v>28198</v>
      </c>
      <c r="G9626" t="s">
        <v>28205</v>
      </c>
      <c r="H9626" t="s">
        <v>28215</v>
      </c>
      <c r="I9626" t="s">
        <v>5100</v>
      </c>
      <c r="J9626" t="s">
        <v>34343</v>
      </c>
      <c r="K9626" t="s">
        <v>36707</v>
      </c>
      <c r="M9626" t="s">
        <v>39927</v>
      </c>
      <c r="N9626" t="s">
        <v>40436</v>
      </c>
      <c r="O9626" t="s">
        <v>40437</v>
      </c>
      <c r="P9626">
        <v>0</v>
      </c>
      <c r="Q9626">
        <v>1</v>
      </c>
      <c r="R9626" t="s">
        <v>40447</v>
      </c>
      <c r="S9626" t="s">
        <v>40868</v>
      </c>
      <c r="T9626" t="s">
        <v>42216</v>
      </c>
      <c r="U9626" t="s">
        <v>50674</v>
      </c>
      <c r="W9626" t="s">
        <v>39927</v>
      </c>
      <c r="X9626" t="s">
        <v>40448</v>
      </c>
    </row>
    <row r="9627" spans="1:24">
      <c r="A9627">
        <f>HYPERLINK("https://www.philgeps.gov.ph/GEPSNONPILOT/Tender/SplashBidNoticeAbstractUI.aspx?menuIndex=3&amp;refID=7032553&amp;Result=3","7032553")</f>
        <v>0</v>
      </c>
      <c r="B9627" t="s">
        <v>2691</v>
      </c>
      <c r="C9627" t="s">
        <v>12267</v>
      </c>
      <c r="D9627" t="s">
        <v>16197</v>
      </c>
      <c r="E9627" t="s">
        <v>24689</v>
      </c>
      <c r="F9627" t="s">
        <v>28198</v>
      </c>
      <c r="G9627" t="s">
        <v>28205</v>
      </c>
      <c r="H9627" t="s">
        <v>28215</v>
      </c>
      <c r="I9627" t="s">
        <v>5100</v>
      </c>
      <c r="J9627" t="s">
        <v>34344</v>
      </c>
      <c r="K9627" t="s">
        <v>36707</v>
      </c>
      <c r="M9627" t="s">
        <v>39928</v>
      </c>
      <c r="N9627" t="s">
        <v>40436</v>
      </c>
      <c r="O9627" t="s">
        <v>40437</v>
      </c>
      <c r="P9627">
        <v>0</v>
      </c>
      <c r="Q9627">
        <v>0</v>
      </c>
      <c r="R9627" t="s">
        <v>40447</v>
      </c>
      <c r="S9627" t="s">
        <v>40868</v>
      </c>
      <c r="T9627" t="s">
        <v>42233</v>
      </c>
      <c r="U9627" t="s">
        <v>50675</v>
      </c>
      <c r="V9627" t="s">
        <v>54830</v>
      </c>
      <c r="W9627" t="s">
        <v>39928</v>
      </c>
      <c r="X9627" t="s">
        <v>40448</v>
      </c>
    </row>
    <row r="9628" spans="1:24">
      <c r="A9628">
        <f>HYPERLINK("https://www.philgeps.gov.ph/GEPSNONPILOT/Tender/SplashBidNoticeAbstractUI.aspx?menuIndex=3&amp;refID=7032573&amp;Result=3","7032573")</f>
        <v>0</v>
      </c>
      <c r="B9628" t="s">
        <v>1778</v>
      </c>
      <c r="C9628" t="s">
        <v>12268</v>
      </c>
      <c r="D9628" t="s">
        <v>16249</v>
      </c>
      <c r="E9628" t="s">
        <v>24690</v>
      </c>
      <c r="F9628" t="s">
        <v>28198</v>
      </c>
      <c r="G9628" t="s">
        <v>28205</v>
      </c>
      <c r="H9628" t="s">
        <v>28214</v>
      </c>
      <c r="I9628" t="s">
        <v>3797</v>
      </c>
      <c r="J9628" t="s">
        <v>28390</v>
      </c>
      <c r="K9628" t="s">
        <v>36848</v>
      </c>
      <c r="M9628" t="s">
        <v>38894</v>
      </c>
      <c r="N9628" t="s">
        <v>40436</v>
      </c>
      <c r="O9628" t="s">
        <v>40437</v>
      </c>
      <c r="P9628">
        <v>0</v>
      </c>
      <c r="Q9628">
        <v>107</v>
      </c>
      <c r="R9628" t="s">
        <v>40447</v>
      </c>
      <c r="S9628" t="s">
        <v>40868</v>
      </c>
      <c r="T9628" t="s">
        <v>42346</v>
      </c>
      <c r="U9628" t="s">
        <v>50676</v>
      </c>
      <c r="V9628" t="s">
        <v>54831</v>
      </c>
      <c r="W9628" t="s">
        <v>38894</v>
      </c>
      <c r="X9628" t="s">
        <v>40448</v>
      </c>
    </row>
    <row r="9629" spans="1:24">
      <c r="A9629">
        <f>HYPERLINK("https://www.philgeps.gov.ph/GEPSNONPILOT/Tender/SplashBidNoticeAbstractUI.aspx?menuIndex=3&amp;refID=7032640&amp;Result=3","7032640")</f>
        <v>0</v>
      </c>
      <c r="B9629" t="s">
        <v>1569</v>
      </c>
      <c r="C9629" t="s">
        <v>12269</v>
      </c>
      <c r="D9629" t="s">
        <v>16189</v>
      </c>
      <c r="E9629" t="s">
        <v>24691</v>
      </c>
      <c r="F9629" t="s">
        <v>28198</v>
      </c>
      <c r="G9629" t="s">
        <v>28205</v>
      </c>
      <c r="H9629" t="s">
        <v>28214</v>
      </c>
      <c r="I9629" t="s">
        <v>3797</v>
      </c>
      <c r="J9629" t="s">
        <v>34345</v>
      </c>
      <c r="K9629" t="s">
        <v>36689</v>
      </c>
      <c r="M9629" t="s">
        <v>38933</v>
      </c>
      <c r="N9629" t="s">
        <v>40436</v>
      </c>
      <c r="O9629" t="s">
        <v>40437</v>
      </c>
      <c r="P9629">
        <v>0</v>
      </c>
      <c r="Q9629">
        <v>0</v>
      </c>
      <c r="R9629" t="s">
        <v>40447</v>
      </c>
      <c r="S9629" t="s">
        <v>40868</v>
      </c>
      <c r="T9629" t="s">
        <v>42279</v>
      </c>
      <c r="U9629" t="s">
        <v>50677</v>
      </c>
      <c r="W9629" t="s">
        <v>38933</v>
      </c>
      <c r="X9629" t="s">
        <v>40448</v>
      </c>
    </row>
    <row r="9630" spans="1:24">
      <c r="A9630">
        <f>HYPERLINK("https://www.philgeps.gov.ph/GEPSNONPILOT/Tender/SplashBidNoticeAbstractUI.aspx?menuIndex=3&amp;refID=7032641&amp;Result=3","7032641")</f>
        <v>0</v>
      </c>
      <c r="B9630" t="s">
        <v>2692</v>
      </c>
      <c r="C9630" t="s">
        <v>12270</v>
      </c>
      <c r="D9630" t="s">
        <v>16254</v>
      </c>
      <c r="E9630" t="s">
        <v>24692</v>
      </c>
      <c r="F9630" t="s">
        <v>28198</v>
      </c>
      <c r="G9630" t="s">
        <v>28205</v>
      </c>
      <c r="H9630" t="s">
        <v>28215</v>
      </c>
      <c r="I9630" t="s">
        <v>28222</v>
      </c>
      <c r="J9630" t="s">
        <v>34346</v>
      </c>
      <c r="K9630" t="s">
        <v>36694</v>
      </c>
      <c r="M9630" t="s">
        <v>39929</v>
      </c>
      <c r="N9630" t="s">
        <v>40436</v>
      </c>
      <c r="O9630" t="s">
        <v>40437</v>
      </c>
      <c r="Q9630">
        <v>9</v>
      </c>
      <c r="R9630" t="s">
        <v>40447</v>
      </c>
      <c r="S9630" t="s">
        <v>40908</v>
      </c>
      <c r="T9630" t="s">
        <v>42151</v>
      </c>
      <c r="U9630" t="s">
        <v>50678</v>
      </c>
      <c r="W9630" t="s">
        <v>39929</v>
      </c>
      <c r="X9630" t="s">
        <v>40448</v>
      </c>
    </row>
    <row r="9631" spans="1:24">
      <c r="A9631">
        <f>HYPERLINK("https://www.philgeps.gov.ph/GEPSNONPILOT/Tender/SplashBidNoticeAbstractUI.aspx?menuIndex=3&amp;refID=7032639&amp;Result=3","7032639")</f>
        <v>0</v>
      </c>
      <c r="B9631" t="s">
        <v>2693</v>
      </c>
      <c r="C9631" t="s">
        <v>12271</v>
      </c>
      <c r="D9631" t="s">
        <v>16228</v>
      </c>
      <c r="E9631" t="s">
        <v>24693</v>
      </c>
      <c r="F9631" t="s">
        <v>28198</v>
      </c>
      <c r="G9631" t="s">
        <v>28205</v>
      </c>
      <c r="H9631" t="s">
        <v>28215</v>
      </c>
      <c r="I9631" t="s">
        <v>28262</v>
      </c>
      <c r="J9631" t="s">
        <v>34347</v>
      </c>
      <c r="K9631" t="s">
        <v>36706</v>
      </c>
      <c r="M9631" t="s">
        <v>39930</v>
      </c>
      <c r="N9631" t="s">
        <v>40436</v>
      </c>
      <c r="O9631" t="s">
        <v>40437</v>
      </c>
      <c r="P9631">
        <v>0</v>
      </c>
      <c r="Q9631">
        <v>2</v>
      </c>
      <c r="R9631" t="s">
        <v>40447</v>
      </c>
      <c r="S9631" t="s">
        <v>40868</v>
      </c>
      <c r="T9631" t="s">
        <v>42119</v>
      </c>
      <c r="U9631" t="s">
        <v>50679</v>
      </c>
      <c r="W9631" t="s">
        <v>39930</v>
      </c>
      <c r="X9631" t="s">
        <v>40448</v>
      </c>
    </row>
    <row r="9632" spans="1:24">
      <c r="A9632">
        <f>HYPERLINK("https://www.philgeps.gov.ph/GEPSNONPILOT/Tender/SplashBidNoticeAbstractUI.aspx?menuIndex=3&amp;refID=7032568&amp;Result=3","7032568")</f>
        <v>0</v>
      </c>
      <c r="B9632" t="s">
        <v>2690</v>
      </c>
      <c r="C9632" t="s">
        <v>12272</v>
      </c>
      <c r="D9632" t="s">
        <v>16196</v>
      </c>
      <c r="E9632" t="s">
        <v>18071</v>
      </c>
      <c r="F9632" t="s">
        <v>28198</v>
      </c>
      <c r="G9632" t="s">
        <v>28205</v>
      </c>
      <c r="H9632" t="s">
        <v>28215</v>
      </c>
      <c r="I9632" t="s">
        <v>5100</v>
      </c>
      <c r="J9632" t="s">
        <v>34348</v>
      </c>
      <c r="K9632" t="s">
        <v>36707</v>
      </c>
      <c r="M9632" t="s">
        <v>39927</v>
      </c>
      <c r="N9632" t="s">
        <v>40436</v>
      </c>
      <c r="O9632" t="s">
        <v>40437</v>
      </c>
      <c r="P9632">
        <v>0</v>
      </c>
      <c r="Q9632">
        <v>1</v>
      </c>
      <c r="R9632" t="s">
        <v>40447</v>
      </c>
      <c r="S9632" t="s">
        <v>40868</v>
      </c>
      <c r="T9632" t="s">
        <v>42216</v>
      </c>
      <c r="U9632" t="s">
        <v>50680</v>
      </c>
      <c r="W9632" t="s">
        <v>39927</v>
      </c>
      <c r="X9632" t="s">
        <v>40448</v>
      </c>
    </row>
    <row r="9633" spans="1:24">
      <c r="A9633">
        <f>HYPERLINK("https://www.philgeps.gov.ph/GEPSNONPILOT/Tender/SplashBidNoticeAbstractUI.aspx?menuIndex=3&amp;refID=7032637&amp;Result=3","7032637")</f>
        <v>0</v>
      </c>
      <c r="B9633" t="s">
        <v>1569</v>
      </c>
      <c r="C9633" t="s">
        <v>12273</v>
      </c>
      <c r="D9633" t="s">
        <v>16189</v>
      </c>
      <c r="E9633" t="s">
        <v>24694</v>
      </c>
      <c r="F9633" t="s">
        <v>28198</v>
      </c>
      <c r="G9633" t="s">
        <v>28205</v>
      </c>
      <c r="H9633" t="s">
        <v>28214</v>
      </c>
      <c r="I9633" t="s">
        <v>3797</v>
      </c>
      <c r="J9633" t="s">
        <v>34349</v>
      </c>
      <c r="K9633" t="s">
        <v>36689</v>
      </c>
      <c r="M9633" t="s">
        <v>38933</v>
      </c>
      <c r="N9633" t="s">
        <v>40436</v>
      </c>
      <c r="O9633" t="s">
        <v>40437</v>
      </c>
      <c r="P9633">
        <v>0</v>
      </c>
      <c r="Q9633">
        <v>0</v>
      </c>
      <c r="R9633" t="s">
        <v>40447</v>
      </c>
      <c r="S9633" t="s">
        <v>40868</v>
      </c>
      <c r="T9633" t="s">
        <v>42279</v>
      </c>
      <c r="U9633" t="s">
        <v>50681</v>
      </c>
      <c r="W9633" t="s">
        <v>38933</v>
      </c>
      <c r="X9633" t="s">
        <v>40448</v>
      </c>
    </row>
    <row r="9634" spans="1:24">
      <c r="A9634">
        <f>HYPERLINK("https://www.philgeps.gov.ph/GEPSNONPILOT/Tender/SplashBidNoticeAbstractUI.aspx?menuIndex=3&amp;refID=7032576&amp;Result=3","7032576")</f>
        <v>0</v>
      </c>
      <c r="B9634" t="s">
        <v>2694</v>
      </c>
      <c r="C9634" t="s">
        <v>12274</v>
      </c>
      <c r="D9634" t="s">
        <v>16206</v>
      </c>
      <c r="E9634" t="s">
        <v>24695</v>
      </c>
      <c r="F9634" t="s">
        <v>28198</v>
      </c>
      <c r="G9634" t="s">
        <v>28205</v>
      </c>
      <c r="H9634" t="s">
        <v>28215</v>
      </c>
      <c r="I9634" t="s">
        <v>28287</v>
      </c>
      <c r="J9634" t="s">
        <v>28415</v>
      </c>
      <c r="K9634" t="s">
        <v>36701</v>
      </c>
      <c r="M9634" t="s">
        <v>39931</v>
      </c>
      <c r="N9634" t="s">
        <v>40436</v>
      </c>
      <c r="O9634" t="s">
        <v>40437</v>
      </c>
      <c r="P9634">
        <v>0</v>
      </c>
      <c r="Q9634">
        <v>2</v>
      </c>
      <c r="R9634" t="s">
        <v>40447</v>
      </c>
      <c r="S9634" t="s">
        <v>40868</v>
      </c>
      <c r="T9634" t="s">
        <v>42183</v>
      </c>
      <c r="U9634" t="s">
        <v>50682</v>
      </c>
      <c r="W9634" t="s">
        <v>39931</v>
      </c>
      <c r="X9634" t="s">
        <v>40448</v>
      </c>
    </row>
    <row r="9635" spans="1:24">
      <c r="A9635">
        <f>HYPERLINK("https://www.philgeps.gov.ph/GEPSNONPILOT/Tender/SplashBidNoticeAbstractUI.aspx?menuIndex=3&amp;refID=7032638&amp;Result=3","7032638")</f>
        <v>0</v>
      </c>
      <c r="B9635" t="s">
        <v>1569</v>
      </c>
      <c r="C9635" t="s">
        <v>12275</v>
      </c>
      <c r="D9635" t="s">
        <v>16189</v>
      </c>
      <c r="E9635" t="s">
        <v>24696</v>
      </c>
      <c r="F9635" t="s">
        <v>28198</v>
      </c>
      <c r="G9635" t="s">
        <v>28205</v>
      </c>
      <c r="H9635" t="s">
        <v>28214</v>
      </c>
      <c r="I9635" t="s">
        <v>3797</v>
      </c>
      <c r="J9635" t="s">
        <v>34350</v>
      </c>
      <c r="K9635" t="s">
        <v>36689</v>
      </c>
      <c r="M9635" t="s">
        <v>38933</v>
      </c>
      <c r="N9635" t="s">
        <v>40436</v>
      </c>
      <c r="O9635" t="s">
        <v>40437</v>
      </c>
      <c r="P9635">
        <v>0</v>
      </c>
      <c r="Q9635">
        <v>1</v>
      </c>
      <c r="R9635" t="s">
        <v>40447</v>
      </c>
      <c r="S9635" t="s">
        <v>40868</v>
      </c>
      <c r="T9635" t="s">
        <v>42279</v>
      </c>
      <c r="U9635" t="s">
        <v>50683</v>
      </c>
      <c r="W9635" t="s">
        <v>38933</v>
      </c>
      <c r="X9635" t="s">
        <v>40448</v>
      </c>
    </row>
    <row r="9636" spans="1:24">
      <c r="A9636">
        <f>HYPERLINK("https://www.philgeps.gov.ph/GEPSNONPILOT/Tender/SplashBidNoticeAbstractUI.aspx?menuIndex=3&amp;refID=7032617&amp;Result=3","7032617")</f>
        <v>0</v>
      </c>
      <c r="B9636" t="s">
        <v>1121</v>
      </c>
      <c r="C9636" t="s">
        <v>12276</v>
      </c>
      <c r="D9636" t="s">
        <v>16202</v>
      </c>
      <c r="E9636" t="s">
        <v>24697</v>
      </c>
      <c r="F9636" t="s">
        <v>28198</v>
      </c>
      <c r="G9636" t="s">
        <v>28205</v>
      </c>
      <c r="H9636" t="s">
        <v>28215</v>
      </c>
      <c r="I9636" t="s">
        <v>4219</v>
      </c>
      <c r="J9636" t="s">
        <v>34351</v>
      </c>
      <c r="K9636" t="s">
        <v>36701</v>
      </c>
      <c r="M9636" t="s">
        <v>38159</v>
      </c>
      <c r="N9636" t="s">
        <v>40436</v>
      </c>
      <c r="O9636" t="s">
        <v>40437</v>
      </c>
      <c r="P9636">
        <v>0</v>
      </c>
      <c r="Q9636">
        <v>5</v>
      </c>
      <c r="R9636" t="s">
        <v>40447</v>
      </c>
      <c r="S9636" t="s">
        <v>40868</v>
      </c>
      <c r="T9636" t="s">
        <v>42320</v>
      </c>
      <c r="U9636" t="s">
        <v>50684</v>
      </c>
      <c r="W9636" t="s">
        <v>38159</v>
      </c>
      <c r="X9636" t="s">
        <v>40448</v>
      </c>
    </row>
    <row r="9637" spans="1:24">
      <c r="A9637">
        <f>HYPERLINK("https://www.philgeps.gov.ph/GEPSNONPILOT/Tender/SplashBidNoticeAbstractUI.aspx?menuIndex=3&amp;refID=7032603&amp;Result=3","7032603")</f>
        <v>0</v>
      </c>
      <c r="B9637" t="s">
        <v>1712</v>
      </c>
      <c r="C9637" t="s">
        <v>12277</v>
      </c>
      <c r="D9637" t="s">
        <v>16244</v>
      </c>
      <c r="E9637" t="s">
        <v>24698</v>
      </c>
      <c r="F9637" t="s">
        <v>28198</v>
      </c>
      <c r="G9637" t="s">
        <v>28205</v>
      </c>
      <c r="H9637" t="s">
        <v>28214</v>
      </c>
      <c r="I9637" t="s">
        <v>3797</v>
      </c>
      <c r="J9637" t="s">
        <v>34352</v>
      </c>
      <c r="K9637" t="s">
        <v>36692</v>
      </c>
      <c r="M9637" t="s">
        <v>38818</v>
      </c>
      <c r="N9637" t="s">
        <v>40436</v>
      </c>
      <c r="O9637" t="s">
        <v>40437</v>
      </c>
      <c r="P9637">
        <v>0</v>
      </c>
      <c r="Q9637">
        <v>0</v>
      </c>
      <c r="R9637" t="s">
        <v>40447</v>
      </c>
      <c r="S9637" t="s">
        <v>40868</v>
      </c>
      <c r="T9637" t="s">
        <v>42121</v>
      </c>
      <c r="U9637" t="s">
        <v>46839</v>
      </c>
      <c r="W9637" t="s">
        <v>38818</v>
      </c>
      <c r="X9637" t="s">
        <v>40448</v>
      </c>
    </row>
    <row r="9638" spans="1:24">
      <c r="A9638">
        <f>HYPERLINK("https://www.philgeps.gov.ph/GEPSNONPILOT/Tender/SplashBidNoticeAbstractUI.aspx?menuIndex=3&amp;refID=7032563&amp;Result=3","7032563")</f>
        <v>0</v>
      </c>
      <c r="B9638" t="s">
        <v>1778</v>
      </c>
      <c r="C9638" t="s">
        <v>12278</v>
      </c>
      <c r="D9638" t="s">
        <v>16249</v>
      </c>
      <c r="E9638" t="s">
        <v>24699</v>
      </c>
      <c r="F9638" t="s">
        <v>28198</v>
      </c>
      <c r="G9638" t="s">
        <v>28205</v>
      </c>
      <c r="H9638" t="s">
        <v>28215</v>
      </c>
      <c r="I9638" t="s">
        <v>28222</v>
      </c>
      <c r="J9638" t="s">
        <v>28663</v>
      </c>
      <c r="K9638" t="s">
        <v>36701</v>
      </c>
      <c r="M9638" t="s">
        <v>38894</v>
      </c>
      <c r="N9638" t="s">
        <v>40436</v>
      </c>
      <c r="O9638" t="s">
        <v>40437</v>
      </c>
      <c r="P9638">
        <v>0</v>
      </c>
      <c r="Q9638">
        <v>4</v>
      </c>
      <c r="R9638" t="s">
        <v>40447</v>
      </c>
      <c r="S9638" t="s">
        <v>40868</v>
      </c>
      <c r="T9638" t="s">
        <v>42240</v>
      </c>
      <c r="U9638" t="s">
        <v>50685</v>
      </c>
      <c r="V9638" t="s">
        <v>54832</v>
      </c>
      <c r="W9638" t="s">
        <v>38894</v>
      </c>
      <c r="X9638" t="s">
        <v>40448</v>
      </c>
    </row>
    <row r="9639" spans="1:24">
      <c r="A9639">
        <f>HYPERLINK("https://www.philgeps.gov.ph/GEPSNONPILOT/Tender/SplashBidNoticeAbstractUI.aspx?menuIndex=3&amp;refID=7032579&amp;Result=3","7032579")</f>
        <v>0</v>
      </c>
      <c r="B9639" t="s">
        <v>1669</v>
      </c>
      <c r="C9639" t="s">
        <v>12279</v>
      </c>
      <c r="D9639" t="s">
        <v>16192</v>
      </c>
      <c r="E9639" t="s">
        <v>24700</v>
      </c>
      <c r="F9639" t="s">
        <v>28198</v>
      </c>
      <c r="G9639" t="s">
        <v>28205</v>
      </c>
      <c r="H9639" t="s">
        <v>28215</v>
      </c>
      <c r="I9639" t="s">
        <v>28222</v>
      </c>
      <c r="J9639" t="s">
        <v>34353</v>
      </c>
      <c r="K9639" t="s">
        <v>36689</v>
      </c>
      <c r="M9639" t="s">
        <v>39932</v>
      </c>
      <c r="N9639" t="s">
        <v>40436</v>
      </c>
      <c r="O9639" t="s">
        <v>40437</v>
      </c>
      <c r="Q9639">
        <v>6</v>
      </c>
      <c r="R9639" t="s">
        <v>40447</v>
      </c>
      <c r="S9639" t="s">
        <v>40909</v>
      </c>
      <c r="T9639" t="s">
        <v>42109</v>
      </c>
      <c r="U9639" t="s">
        <v>50686</v>
      </c>
      <c r="W9639" t="s">
        <v>55529</v>
      </c>
      <c r="X9639" t="s">
        <v>40448</v>
      </c>
    </row>
    <row r="9640" spans="1:24">
      <c r="A9640">
        <f>HYPERLINK("https://www.philgeps.gov.ph/GEPSNONPILOT/Tender/SplashBidNoticeAbstractUI.aspx?menuIndex=3&amp;refID=7032614&amp;Result=3","7032614")</f>
        <v>0</v>
      </c>
      <c r="B9640" t="s">
        <v>2695</v>
      </c>
      <c r="C9640" t="s">
        <v>12280</v>
      </c>
      <c r="D9640" t="s">
        <v>16202</v>
      </c>
      <c r="E9640" t="s">
        <v>21972</v>
      </c>
      <c r="F9640" t="s">
        <v>28198</v>
      </c>
      <c r="G9640" t="s">
        <v>28205</v>
      </c>
      <c r="H9640" t="s">
        <v>28215</v>
      </c>
      <c r="I9640" t="s">
        <v>28243</v>
      </c>
      <c r="J9640" t="s">
        <v>28899</v>
      </c>
      <c r="K9640" t="s">
        <v>36697</v>
      </c>
      <c r="M9640" t="s">
        <v>39933</v>
      </c>
      <c r="N9640" t="s">
        <v>40436</v>
      </c>
      <c r="O9640" t="s">
        <v>40437</v>
      </c>
      <c r="P9640">
        <v>0</v>
      </c>
      <c r="Q9640">
        <v>4</v>
      </c>
      <c r="R9640" t="s">
        <v>40447</v>
      </c>
      <c r="S9640" t="s">
        <v>40868</v>
      </c>
      <c r="T9640" t="s">
        <v>42319</v>
      </c>
      <c r="U9640" t="s">
        <v>50687</v>
      </c>
      <c r="V9640" t="s">
        <v>54833</v>
      </c>
      <c r="W9640" t="s">
        <v>39933</v>
      </c>
      <c r="X9640" t="s">
        <v>40448</v>
      </c>
    </row>
    <row r="9641" spans="1:24">
      <c r="A9641">
        <f>HYPERLINK("https://www.philgeps.gov.ph/GEPSNONPILOT/Tender/SplashBidNoticeAbstractUI.aspx?menuIndex=3&amp;refID=7032570&amp;Result=3","7032570")</f>
        <v>0</v>
      </c>
      <c r="B9641" t="s">
        <v>2694</v>
      </c>
      <c r="C9641" t="s">
        <v>12281</v>
      </c>
      <c r="D9641" t="s">
        <v>16206</v>
      </c>
      <c r="E9641" t="s">
        <v>24701</v>
      </c>
      <c r="F9641" t="s">
        <v>28198</v>
      </c>
      <c r="G9641" t="s">
        <v>28205</v>
      </c>
      <c r="H9641" t="s">
        <v>28215</v>
      </c>
      <c r="I9641" t="s">
        <v>28262</v>
      </c>
      <c r="J9641" t="s">
        <v>28406</v>
      </c>
      <c r="K9641" t="s">
        <v>36706</v>
      </c>
      <c r="M9641" t="s">
        <v>39931</v>
      </c>
      <c r="N9641" t="s">
        <v>40436</v>
      </c>
      <c r="O9641" t="s">
        <v>40437</v>
      </c>
      <c r="P9641">
        <v>0</v>
      </c>
      <c r="Q9641">
        <v>1</v>
      </c>
      <c r="R9641" t="s">
        <v>40447</v>
      </c>
      <c r="S9641" t="s">
        <v>40868</v>
      </c>
      <c r="T9641" t="s">
        <v>42183</v>
      </c>
      <c r="U9641" t="s">
        <v>50688</v>
      </c>
      <c r="W9641" t="s">
        <v>39931</v>
      </c>
      <c r="X9641" t="s">
        <v>40448</v>
      </c>
    </row>
    <row r="9642" spans="1:24">
      <c r="A9642">
        <f>HYPERLINK("https://www.philgeps.gov.ph/GEPSNONPILOT/Tender/SplashBidNoticeAbstractUI.aspx?menuIndex=3&amp;refID=7032601&amp;Result=3","7032601")</f>
        <v>0</v>
      </c>
      <c r="B9642" t="s">
        <v>1121</v>
      </c>
      <c r="C9642" t="s">
        <v>12282</v>
      </c>
      <c r="D9642" t="s">
        <v>16202</v>
      </c>
      <c r="E9642" t="s">
        <v>24702</v>
      </c>
      <c r="F9642" t="s">
        <v>28198</v>
      </c>
      <c r="G9642" t="s">
        <v>28205</v>
      </c>
      <c r="H9642" t="s">
        <v>28214</v>
      </c>
      <c r="I9642" t="s">
        <v>3797</v>
      </c>
      <c r="J9642" t="s">
        <v>28347</v>
      </c>
      <c r="K9642" t="s">
        <v>36692</v>
      </c>
      <c r="M9642" t="s">
        <v>38159</v>
      </c>
      <c r="N9642" t="s">
        <v>40436</v>
      </c>
      <c r="O9642" t="s">
        <v>40437</v>
      </c>
      <c r="P9642">
        <v>0</v>
      </c>
      <c r="Q9642">
        <v>2</v>
      </c>
      <c r="R9642" t="s">
        <v>40447</v>
      </c>
      <c r="S9642" t="s">
        <v>40868</v>
      </c>
      <c r="T9642" t="s">
        <v>42320</v>
      </c>
      <c r="U9642" t="s">
        <v>50689</v>
      </c>
      <c r="W9642" t="s">
        <v>38159</v>
      </c>
      <c r="X9642" t="s">
        <v>40448</v>
      </c>
    </row>
    <row r="9643" spans="1:24">
      <c r="A9643">
        <f>HYPERLINK("https://www.philgeps.gov.ph/GEPSNONPILOT/Tender/SplashBidNoticeAbstractUI.aspx?menuIndex=3&amp;refID=7032578&amp;Result=3","7032578")</f>
        <v>0</v>
      </c>
      <c r="B9643" t="s">
        <v>2692</v>
      </c>
      <c r="C9643" t="s">
        <v>12283</v>
      </c>
      <c r="D9643" t="s">
        <v>16254</v>
      </c>
      <c r="E9643" t="s">
        <v>24703</v>
      </c>
      <c r="F9643" t="s">
        <v>28198</v>
      </c>
      <c r="G9643" t="s">
        <v>28205</v>
      </c>
      <c r="H9643" t="s">
        <v>28215</v>
      </c>
      <c r="I9643" t="s">
        <v>3797</v>
      </c>
      <c r="J9643" t="s">
        <v>34354</v>
      </c>
      <c r="K9643" t="s">
        <v>36742</v>
      </c>
      <c r="M9643" t="s">
        <v>39929</v>
      </c>
      <c r="N9643" t="s">
        <v>40436</v>
      </c>
      <c r="O9643" t="s">
        <v>40437</v>
      </c>
      <c r="P9643">
        <v>0</v>
      </c>
      <c r="Q9643">
        <v>1</v>
      </c>
      <c r="R9643" t="s">
        <v>40447</v>
      </c>
      <c r="S9643" t="s">
        <v>40868</v>
      </c>
      <c r="T9643" t="s">
        <v>42151</v>
      </c>
      <c r="U9643" t="s">
        <v>50690</v>
      </c>
      <c r="W9643" t="s">
        <v>39929</v>
      </c>
      <c r="X9643" t="s">
        <v>40448</v>
      </c>
    </row>
    <row r="9644" spans="1:24">
      <c r="A9644">
        <f>HYPERLINK("https://www.philgeps.gov.ph/GEPSNONPILOT/Tender/SplashBidNoticeAbstractUI.aspx?menuIndex=3&amp;refID=7032567&amp;Result=3","7032567")</f>
        <v>0</v>
      </c>
      <c r="B9644" t="s">
        <v>2089</v>
      </c>
      <c r="C9644" t="s">
        <v>3994</v>
      </c>
      <c r="D9644" t="s">
        <v>16215</v>
      </c>
      <c r="E9644" t="s">
        <v>24704</v>
      </c>
      <c r="F9644" t="s">
        <v>28201</v>
      </c>
      <c r="G9644" t="s">
        <v>28205</v>
      </c>
      <c r="H9644" t="s">
        <v>28215</v>
      </c>
      <c r="I9644" t="s">
        <v>5100</v>
      </c>
      <c r="J9644" t="s">
        <v>34355</v>
      </c>
      <c r="K9644" t="s">
        <v>36706</v>
      </c>
      <c r="M9644" t="s">
        <v>39238</v>
      </c>
      <c r="N9644" t="s">
        <v>40436</v>
      </c>
      <c r="O9644" t="s">
        <v>40437</v>
      </c>
      <c r="P9644">
        <v>0</v>
      </c>
      <c r="Q9644">
        <v>0</v>
      </c>
      <c r="R9644" t="s">
        <v>40447</v>
      </c>
      <c r="S9644" t="s">
        <v>40868</v>
      </c>
      <c r="T9644" t="s">
        <v>42142</v>
      </c>
      <c r="U9644" t="s">
        <v>50691</v>
      </c>
      <c r="W9644" t="s">
        <v>39238</v>
      </c>
      <c r="X9644" t="s">
        <v>40448</v>
      </c>
    </row>
    <row r="9645" spans="1:24">
      <c r="A9645">
        <f>HYPERLINK("https://www.philgeps.gov.ph/GEPSNONPILOT/Tender/SplashBidNoticeAbstractUI.aspx?menuIndex=3&amp;refID=7032642&amp;Result=3","7032642")</f>
        <v>0</v>
      </c>
      <c r="B9645" t="s">
        <v>1569</v>
      </c>
      <c r="C9645" t="s">
        <v>12284</v>
      </c>
      <c r="D9645" t="s">
        <v>16189</v>
      </c>
      <c r="E9645" t="s">
        <v>24705</v>
      </c>
      <c r="F9645" t="s">
        <v>28198</v>
      </c>
      <c r="G9645" t="s">
        <v>28205</v>
      </c>
      <c r="H9645" t="s">
        <v>28214</v>
      </c>
      <c r="I9645" t="s">
        <v>3797</v>
      </c>
      <c r="J9645" t="s">
        <v>31114</v>
      </c>
      <c r="K9645" t="s">
        <v>36689</v>
      </c>
      <c r="M9645" t="s">
        <v>38933</v>
      </c>
      <c r="N9645" t="s">
        <v>40436</v>
      </c>
      <c r="O9645" t="s">
        <v>40437</v>
      </c>
      <c r="P9645">
        <v>0</v>
      </c>
      <c r="Q9645">
        <v>0</v>
      </c>
      <c r="R9645" t="s">
        <v>40447</v>
      </c>
      <c r="S9645" t="s">
        <v>40868</v>
      </c>
      <c r="T9645" t="s">
        <v>42279</v>
      </c>
      <c r="U9645" t="s">
        <v>50692</v>
      </c>
      <c r="W9645" t="s">
        <v>38933</v>
      </c>
      <c r="X9645" t="s">
        <v>40448</v>
      </c>
    </row>
    <row r="9646" spans="1:24">
      <c r="A9646">
        <f>HYPERLINK("https://www.philgeps.gov.ph/GEPSNONPILOT/Tender/SplashBidNoticeAbstractUI.aspx?menuIndex=3&amp;refID=7032682&amp;Result=3","7032682")</f>
        <v>0</v>
      </c>
      <c r="B9646" t="s">
        <v>1845</v>
      </c>
      <c r="C9646" t="s">
        <v>12285</v>
      </c>
      <c r="D9646" t="s">
        <v>16190</v>
      </c>
      <c r="E9646" t="s">
        <v>24706</v>
      </c>
      <c r="F9646" t="s">
        <v>28198</v>
      </c>
      <c r="G9646" t="s">
        <v>28205</v>
      </c>
      <c r="H9646" t="s">
        <v>28214</v>
      </c>
      <c r="I9646" t="s">
        <v>3797</v>
      </c>
      <c r="J9646" t="s">
        <v>34356</v>
      </c>
      <c r="K9646" t="s">
        <v>36905</v>
      </c>
      <c r="M9646" t="s">
        <v>38972</v>
      </c>
      <c r="N9646" t="s">
        <v>40436</v>
      </c>
      <c r="O9646" t="s">
        <v>40437</v>
      </c>
      <c r="P9646">
        <v>0</v>
      </c>
      <c r="Q9646">
        <v>15</v>
      </c>
      <c r="R9646" t="s">
        <v>40447</v>
      </c>
      <c r="S9646" t="s">
        <v>40868</v>
      </c>
      <c r="T9646" t="s">
        <v>42183</v>
      </c>
      <c r="U9646" t="s">
        <v>50693</v>
      </c>
      <c r="W9646" t="s">
        <v>55530</v>
      </c>
      <c r="X9646" t="s">
        <v>40448</v>
      </c>
    </row>
    <row r="9647" spans="1:24">
      <c r="A9647">
        <f>HYPERLINK("https://www.philgeps.gov.ph/GEPSNONPILOT/Tender/SplashBidNoticeAbstractUI.aspx?menuIndex=3&amp;refID=7032699&amp;Result=3","7032699")</f>
        <v>0</v>
      </c>
      <c r="B9647" t="s">
        <v>1768</v>
      </c>
      <c r="C9647" t="s">
        <v>12286</v>
      </c>
      <c r="D9647" t="s">
        <v>16233</v>
      </c>
      <c r="E9647" t="s">
        <v>24707</v>
      </c>
      <c r="F9647" t="s">
        <v>28198</v>
      </c>
      <c r="G9647" t="s">
        <v>28205</v>
      </c>
      <c r="H9647" t="s">
        <v>28214</v>
      </c>
      <c r="I9647" t="s">
        <v>3797</v>
      </c>
      <c r="J9647" t="s">
        <v>28468</v>
      </c>
      <c r="K9647" t="s">
        <v>36694</v>
      </c>
      <c r="M9647" t="s">
        <v>38883</v>
      </c>
      <c r="N9647" t="s">
        <v>40436</v>
      </c>
      <c r="O9647" t="s">
        <v>40437</v>
      </c>
      <c r="P9647">
        <v>0</v>
      </c>
      <c r="Q9647">
        <v>2</v>
      </c>
      <c r="R9647" t="s">
        <v>40447</v>
      </c>
      <c r="S9647" t="s">
        <v>40868</v>
      </c>
      <c r="T9647" t="s">
        <v>42112</v>
      </c>
      <c r="U9647" t="s">
        <v>47399</v>
      </c>
      <c r="W9647" t="s">
        <v>38883</v>
      </c>
      <c r="X9647" t="s">
        <v>40448</v>
      </c>
    </row>
    <row r="9648" spans="1:24">
      <c r="A9648">
        <f>HYPERLINK("https://www.philgeps.gov.ph/GEPSNONPILOT/Tender/SplashBidNoticeAbstractUI.aspx?menuIndex=3&amp;refID=7032650&amp;Result=3","7032650")</f>
        <v>0</v>
      </c>
      <c r="B9648" t="s">
        <v>1569</v>
      </c>
      <c r="C9648" t="s">
        <v>12287</v>
      </c>
      <c r="D9648" t="s">
        <v>16189</v>
      </c>
      <c r="E9648" t="s">
        <v>24708</v>
      </c>
      <c r="F9648" t="s">
        <v>28198</v>
      </c>
      <c r="G9648" t="s">
        <v>28205</v>
      </c>
      <c r="H9648" t="s">
        <v>28214</v>
      </c>
      <c r="I9648" t="s">
        <v>3797</v>
      </c>
      <c r="J9648" t="s">
        <v>30873</v>
      </c>
      <c r="K9648" t="s">
        <v>36689</v>
      </c>
      <c r="M9648" t="s">
        <v>38933</v>
      </c>
      <c r="N9648" t="s">
        <v>40436</v>
      </c>
      <c r="O9648" t="s">
        <v>40437</v>
      </c>
      <c r="P9648">
        <v>0</v>
      </c>
      <c r="Q9648">
        <v>0</v>
      </c>
      <c r="R9648" t="s">
        <v>40447</v>
      </c>
      <c r="S9648" t="s">
        <v>40868</v>
      </c>
      <c r="T9648" t="s">
        <v>42279</v>
      </c>
      <c r="U9648" t="s">
        <v>50694</v>
      </c>
      <c r="W9648" t="s">
        <v>38933</v>
      </c>
      <c r="X9648" t="s">
        <v>40448</v>
      </c>
    </row>
    <row r="9649" spans="1:24">
      <c r="A9649">
        <f>HYPERLINK("https://www.philgeps.gov.ph/GEPSNONPILOT/Tender/SplashBidNoticeAbstractUI.aspx?menuIndex=3&amp;refID=7032648&amp;Result=3","7032648")</f>
        <v>0</v>
      </c>
      <c r="B9649" t="s">
        <v>1569</v>
      </c>
      <c r="C9649" t="s">
        <v>12288</v>
      </c>
      <c r="D9649" t="s">
        <v>16189</v>
      </c>
      <c r="E9649" t="s">
        <v>24709</v>
      </c>
      <c r="F9649" t="s">
        <v>28198</v>
      </c>
      <c r="G9649" t="s">
        <v>28205</v>
      </c>
      <c r="H9649" t="s">
        <v>28214</v>
      </c>
      <c r="I9649" t="s">
        <v>3797</v>
      </c>
      <c r="J9649" t="s">
        <v>31114</v>
      </c>
      <c r="K9649" t="s">
        <v>36689</v>
      </c>
      <c r="M9649" t="s">
        <v>38933</v>
      </c>
      <c r="N9649" t="s">
        <v>40436</v>
      </c>
      <c r="O9649" t="s">
        <v>40437</v>
      </c>
      <c r="P9649">
        <v>0</v>
      </c>
      <c r="Q9649">
        <v>0</v>
      </c>
      <c r="R9649" t="s">
        <v>40447</v>
      </c>
      <c r="S9649" t="s">
        <v>40868</v>
      </c>
      <c r="T9649" t="s">
        <v>42279</v>
      </c>
      <c r="U9649" t="s">
        <v>50695</v>
      </c>
      <c r="W9649" t="s">
        <v>38933</v>
      </c>
      <c r="X9649" t="s">
        <v>40448</v>
      </c>
    </row>
    <row r="9650" spans="1:24">
      <c r="A9650">
        <f>HYPERLINK("https://www.philgeps.gov.ph/GEPSNONPILOT/Tender/SplashBidNoticeAbstractUI.aspx?menuIndex=3&amp;refID=7032695&amp;Result=3","7032695")</f>
        <v>0</v>
      </c>
      <c r="B9650" t="s">
        <v>1845</v>
      </c>
      <c r="C9650" t="s">
        <v>12289</v>
      </c>
      <c r="D9650" t="s">
        <v>16190</v>
      </c>
      <c r="E9650" t="s">
        <v>24710</v>
      </c>
      <c r="F9650" t="s">
        <v>28198</v>
      </c>
      <c r="G9650" t="s">
        <v>28205</v>
      </c>
      <c r="H9650" t="s">
        <v>28214</v>
      </c>
      <c r="I9650" t="s">
        <v>3797</v>
      </c>
      <c r="J9650" t="s">
        <v>34357</v>
      </c>
      <c r="K9650" t="s">
        <v>36907</v>
      </c>
      <c r="M9650" t="s">
        <v>38972</v>
      </c>
      <c r="N9650" t="s">
        <v>40436</v>
      </c>
      <c r="O9650" t="s">
        <v>40437</v>
      </c>
      <c r="P9650">
        <v>0</v>
      </c>
      <c r="Q9650">
        <v>15</v>
      </c>
      <c r="R9650" t="s">
        <v>40447</v>
      </c>
      <c r="S9650" t="s">
        <v>40868</v>
      </c>
      <c r="T9650" t="s">
        <v>42183</v>
      </c>
      <c r="U9650" t="s">
        <v>50693</v>
      </c>
      <c r="W9650" t="s">
        <v>55530</v>
      </c>
      <c r="X9650" t="s">
        <v>40448</v>
      </c>
    </row>
    <row r="9651" spans="1:24">
      <c r="A9651">
        <f>HYPERLINK("https://www.philgeps.gov.ph/GEPSNONPILOT/Tender/SplashBidNoticeAbstractUI.aspx?menuIndex=3&amp;refID=7032691&amp;Result=3","7032691")</f>
        <v>0</v>
      </c>
      <c r="B9651" t="s">
        <v>1768</v>
      </c>
      <c r="C9651" t="s">
        <v>12290</v>
      </c>
      <c r="D9651" t="s">
        <v>16233</v>
      </c>
      <c r="E9651" t="s">
        <v>24711</v>
      </c>
      <c r="F9651" t="s">
        <v>28198</v>
      </c>
      <c r="G9651" t="s">
        <v>28205</v>
      </c>
      <c r="H9651" t="s">
        <v>28214</v>
      </c>
      <c r="I9651" t="s">
        <v>3797</v>
      </c>
      <c r="J9651" t="s">
        <v>28379</v>
      </c>
      <c r="K9651" t="s">
        <v>36694</v>
      </c>
      <c r="M9651" t="s">
        <v>38883</v>
      </c>
      <c r="N9651" t="s">
        <v>40436</v>
      </c>
      <c r="O9651" t="s">
        <v>40437</v>
      </c>
      <c r="P9651">
        <v>0</v>
      </c>
      <c r="Q9651">
        <v>0</v>
      </c>
      <c r="R9651" t="s">
        <v>40447</v>
      </c>
      <c r="S9651" t="s">
        <v>40868</v>
      </c>
      <c r="T9651" t="s">
        <v>42103</v>
      </c>
      <c r="U9651" t="s">
        <v>47399</v>
      </c>
      <c r="W9651" t="s">
        <v>38883</v>
      </c>
      <c r="X9651" t="s">
        <v>40448</v>
      </c>
    </row>
    <row r="9652" spans="1:24">
      <c r="A9652">
        <f>HYPERLINK("https://www.philgeps.gov.ph/GEPSNONPILOT/Tender/SplashBidNoticeAbstractUI.aspx?menuIndex=3&amp;refID=7032646&amp;Result=3","7032646")</f>
        <v>0</v>
      </c>
      <c r="B9652" t="s">
        <v>1569</v>
      </c>
      <c r="C9652" t="s">
        <v>12291</v>
      </c>
      <c r="D9652" t="s">
        <v>16189</v>
      </c>
      <c r="E9652" t="s">
        <v>24712</v>
      </c>
      <c r="F9652" t="s">
        <v>28198</v>
      </c>
      <c r="G9652" t="s">
        <v>28205</v>
      </c>
      <c r="H9652" t="s">
        <v>28214</v>
      </c>
      <c r="I9652" t="s">
        <v>3797</v>
      </c>
      <c r="J9652" t="s">
        <v>31114</v>
      </c>
      <c r="K9652" t="s">
        <v>36689</v>
      </c>
      <c r="M9652" t="s">
        <v>38933</v>
      </c>
      <c r="N9652" t="s">
        <v>40436</v>
      </c>
      <c r="O9652" t="s">
        <v>40437</v>
      </c>
      <c r="P9652">
        <v>0</v>
      </c>
      <c r="Q9652">
        <v>0</v>
      </c>
      <c r="R9652" t="s">
        <v>40447</v>
      </c>
      <c r="S9652" t="s">
        <v>40868</v>
      </c>
      <c r="T9652" t="s">
        <v>42279</v>
      </c>
      <c r="U9652" t="s">
        <v>50696</v>
      </c>
      <c r="W9652" t="s">
        <v>38933</v>
      </c>
      <c r="X9652" t="s">
        <v>40448</v>
      </c>
    </row>
    <row r="9653" spans="1:24">
      <c r="A9653">
        <f>HYPERLINK("https://www.philgeps.gov.ph/GEPSNONPILOT/Tender/SplashBidNoticeAbstractUI.aspx?menuIndex=3&amp;refID=7032710&amp;Result=3","7032710")</f>
        <v>0</v>
      </c>
      <c r="B9653" t="s">
        <v>1768</v>
      </c>
      <c r="C9653" t="s">
        <v>12292</v>
      </c>
      <c r="D9653" t="s">
        <v>16233</v>
      </c>
      <c r="E9653" t="s">
        <v>24713</v>
      </c>
      <c r="F9653" t="s">
        <v>28198</v>
      </c>
      <c r="G9653" t="s">
        <v>28205</v>
      </c>
      <c r="H9653" t="s">
        <v>28214</v>
      </c>
      <c r="I9653" t="s">
        <v>3797</v>
      </c>
      <c r="J9653" t="s">
        <v>28379</v>
      </c>
      <c r="K9653" t="s">
        <v>36694</v>
      </c>
      <c r="M9653" t="s">
        <v>38883</v>
      </c>
      <c r="N9653" t="s">
        <v>40436</v>
      </c>
      <c r="O9653" t="s">
        <v>40437</v>
      </c>
      <c r="P9653">
        <v>0</v>
      </c>
      <c r="Q9653">
        <v>0</v>
      </c>
      <c r="R9653" t="s">
        <v>40447</v>
      </c>
      <c r="S9653" t="s">
        <v>40868</v>
      </c>
      <c r="T9653" t="s">
        <v>42121</v>
      </c>
      <c r="U9653" t="s">
        <v>47399</v>
      </c>
      <c r="W9653" t="s">
        <v>38883</v>
      </c>
      <c r="X9653" t="s">
        <v>40448</v>
      </c>
    </row>
    <row r="9654" spans="1:24">
      <c r="A9654">
        <f>HYPERLINK("https://www.philgeps.gov.ph/GEPSNONPILOT/Tender/SplashBidNoticeAbstractUI.aspx?menuIndex=3&amp;refID=7032665&amp;Result=3","7032665")</f>
        <v>0</v>
      </c>
      <c r="B9654" t="s">
        <v>1768</v>
      </c>
      <c r="C9654" t="s">
        <v>12293</v>
      </c>
      <c r="D9654" t="s">
        <v>16233</v>
      </c>
      <c r="E9654" t="s">
        <v>24714</v>
      </c>
      <c r="F9654" t="s">
        <v>28198</v>
      </c>
      <c r="G9654" t="s">
        <v>28205</v>
      </c>
      <c r="H9654" t="s">
        <v>28214</v>
      </c>
      <c r="I9654" t="s">
        <v>3797</v>
      </c>
      <c r="J9654" t="s">
        <v>34358</v>
      </c>
      <c r="K9654" t="s">
        <v>36694</v>
      </c>
      <c r="M9654" t="s">
        <v>38883</v>
      </c>
      <c r="N9654" t="s">
        <v>40436</v>
      </c>
      <c r="O9654" t="s">
        <v>40437</v>
      </c>
      <c r="P9654">
        <v>0</v>
      </c>
      <c r="Q9654">
        <v>0</v>
      </c>
      <c r="R9654" t="s">
        <v>40447</v>
      </c>
      <c r="S9654" t="s">
        <v>40868</v>
      </c>
      <c r="T9654" t="s">
        <v>42103</v>
      </c>
      <c r="U9654" t="s">
        <v>47399</v>
      </c>
      <c r="W9654" t="s">
        <v>38883</v>
      </c>
      <c r="X9654" t="s">
        <v>40448</v>
      </c>
    </row>
    <row r="9655" spans="1:24">
      <c r="A9655">
        <f>HYPERLINK("https://www.philgeps.gov.ph/GEPSNONPILOT/Tender/SplashBidNoticeAbstractUI.aspx?menuIndex=3&amp;refID=7032700&amp;Result=3","7032700")</f>
        <v>0</v>
      </c>
      <c r="B9655" t="s">
        <v>2656</v>
      </c>
      <c r="C9655" t="s">
        <v>12294</v>
      </c>
      <c r="D9655" t="s">
        <v>16196</v>
      </c>
      <c r="E9655" t="s">
        <v>18071</v>
      </c>
      <c r="F9655" t="s">
        <v>28198</v>
      </c>
      <c r="G9655" t="s">
        <v>28205</v>
      </c>
      <c r="H9655" t="s">
        <v>28215</v>
      </c>
      <c r="I9655" t="s">
        <v>28258</v>
      </c>
      <c r="J9655" t="s">
        <v>28386</v>
      </c>
      <c r="K9655" t="s">
        <v>36701</v>
      </c>
      <c r="M9655" t="s">
        <v>39884</v>
      </c>
      <c r="N9655" t="s">
        <v>40436</v>
      </c>
      <c r="O9655" t="s">
        <v>40437</v>
      </c>
      <c r="P9655">
        <v>0</v>
      </c>
      <c r="Q9655">
        <v>4</v>
      </c>
      <c r="R9655" t="s">
        <v>40447</v>
      </c>
      <c r="S9655" t="s">
        <v>40868</v>
      </c>
      <c r="T9655" t="s">
        <v>42169</v>
      </c>
      <c r="U9655" t="s">
        <v>50697</v>
      </c>
      <c r="W9655" t="s">
        <v>39884</v>
      </c>
      <c r="X9655" t="s">
        <v>40448</v>
      </c>
    </row>
    <row r="9656" spans="1:24">
      <c r="A9656">
        <f>HYPERLINK("https://www.philgeps.gov.ph/GEPSNONPILOT/Tender/SplashBidNoticeAbstractUI.aspx?menuIndex=3&amp;refID=7032644&amp;Result=3","7032644")</f>
        <v>0</v>
      </c>
      <c r="B9656" t="s">
        <v>1569</v>
      </c>
      <c r="C9656" t="s">
        <v>12295</v>
      </c>
      <c r="D9656" t="s">
        <v>16189</v>
      </c>
      <c r="E9656" t="s">
        <v>24715</v>
      </c>
      <c r="F9656" t="s">
        <v>28198</v>
      </c>
      <c r="G9656" t="s">
        <v>28205</v>
      </c>
      <c r="H9656" t="s">
        <v>28214</v>
      </c>
      <c r="I9656" t="s">
        <v>3797</v>
      </c>
      <c r="J9656" t="s">
        <v>31114</v>
      </c>
      <c r="K9656" t="s">
        <v>36689</v>
      </c>
      <c r="M9656" t="s">
        <v>38933</v>
      </c>
      <c r="N9656" t="s">
        <v>40436</v>
      </c>
      <c r="O9656" t="s">
        <v>40437</v>
      </c>
      <c r="P9656">
        <v>0</v>
      </c>
      <c r="Q9656">
        <v>0</v>
      </c>
      <c r="R9656" t="s">
        <v>40447</v>
      </c>
      <c r="S9656" t="s">
        <v>40868</v>
      </c>
      <c r="T9656" t="s">
        <v>42279</v>
      </c>
      <c r="U9656" t="s">
        <v>50698</v>
      </c>
      <c r="W9656" t="s">
        <v>38933</v>
      </c>
      <c r="X9656" t="s">
        <v>40448</v>
      </c>
    </row>
    <row r="9657" spans="1:24">
      <c r="A9657">
        <f>HYPERLINK("https://www.philgeps.gov.ph/GEPSNONPILOT/Tender/SplashBidNoticeAbstractUI.aspx?menuIndex=3&amp;refID=7032720&amp;Result=3","7032720")</f>
        <v>0</v>
      </c>
      <c r="B9657" t="s">
        <v>2359</v>
      </c>
      <c r="C9657" t="s">
        <v>12296</v>
      </c>
      <c r="D9657" t="s">
        <v>16244</v>
      </c>
      <c r="E9657" t="s">
        <v>24716</v>
      </c>
      <c r="F9657" t="s">
        <v>28198</v>
      </c>
      <c r="G9657" t="s">
        <v>28205</v>
      </c>
      <c r="H9657" t="s">
        <v>28214</v>
      </c>
      <c r="I9657" t="s">
        <v>3797</v>
      </c>
      <c r="J9657" t="s">
        <v>28393</v>
      </c>
      <c r="K9657" t="s">
        <v>36701</v>
      </c>
      <c r="M9657" t="s">
        <v>39540</v>
      </c>
      <c r="N9657" t="s">
        <v>40436</v>
      </c>
      <c r="O9657" t="s">
        <v>40437</v>
      </c>
      <c r="P9657">
        <v>0</v>
      </c>
      <c r="Q9657">
        <v>0</v>
      </c>
      <c r="R9657" t="s">
        <v>40447</v>
      </c>
      <c r="S9657" t="s">
        <v>40868</v>
      </c>
      <c r="T9657" t="s">
        <v>42168</v>
      </c>
      <c r="U9657" t="s">
        <v>50699</v>
      </c>
      <c r="W9657" t="s">
        <v>39938</v>
      </c>
      <c r="X9657" t="s">
        <v>40448</v>
      </c>
    </row>
    <row r="9658" spans="1:24">
      <c r="A9658">
        <f>HYPERLINK("https://www.philgeps.gov.ph/GEPSNONPILOT/Tender/SplashBidNoticeAbstractUI.aspx?menuIndex=3&amp;refID=7032716&amp;Result=3","7032716")</f>
        <v>0</v>
      </c>
      <c r="B9658" t="s">
        <v>2359</v>
      </c>
      <c r="C9658" t="s">
        <v>12297</v>
      </c>
      <c r="D9658" t="s">
        <v>16244</v>
      </c>
      <c r="E9658" t="s">
        <v>24717</v>
      </c>
      <c r="F9658" t="s">
        <v>28198</v>
      </c>
      <c r="G9658" t="s">
        <v>28205</v>
      </c>
      <c r="H9658" t="s">
        <v>28214</v>
      </c>
      <c r="I9658" t="s">
        <v>3797</v>
      </c>
      <c r="J9658" t="s">
        <v>32149</v>
      </c>
      <c r="K9658" t="s">
        <v>36701</v>
      </c>
      <c r="M9658" t="s">
        <v>39540</v>
      </c>
      <c r="N9658" t="s">
        <v>40436</v>
      </c>
      <c r="O9658" t="s">
        <v>40437</v>
      </c>
      <c r="P9658">
        <v>0</v>
      </c>
      <c r="Q9658">
        <v>2</v>
      </c>
      <c r="R9658" t="s">
        <v>40447</v>
      </c>
      <c r="S9658" t="s">
        <v>40868</v>
      </c>
      <c r="T9658" t="s">
        <v>42168</v>
      </c>
      <c r="U9658" t="s">
        <v>50700</v>
      </c>
      <c r="W9658" t="s">
        <v>39938</v>
      </c>
      <c r="X9658" t="s">
        <v>40448</v>
      </c>
    </row>
    <row r="9659" spans="1:24">
      <c r="A9659">
        <f>HYPERLINK("https://www.philgeps.gov.ph/GEPSNONPILOT/Tender/SplashBidNoticeAbstractUI.aspx?menuIndex=3&amp;refID=7032704&amp;Result=3","7032704")</f>
        <v>0</v>
      </c>
      <c r="B9659" t="s">
        <v>1010</v>
      </c>
      <c r="C9659" t="s">
        <v>12298</v>
      </c>
      <c r="D9659" t="s">
        <v>16240</v>
      </c>
      <c r="E9659" t="s">
        <v>16834</v>
      </c>
      <c r="F9659" t="s">
        <v>28198</v>
      </c>
      <c r="G9659" t="s">
        <v>28205</v>
      </c>
      <c r="H9659" t="s">
        <v>28215</v>
      </c>
      <c r="I9659" t="s">
        <v>28228</v>
      </c>
      <c r="J9659" t="s">
        <v>28398</v>
      </c>
      <c r="K9659" t="s">
        <v>36688</v>
      </c>
      <c r="M9659" t="s">
        <v>38038</v>
      </c>
      <c r="N9659" t="s">
        <v>40436</v>
      </c>
      <c r="O9659" t="s">
        <v>40437</v>
      </c>
      <c r="P9659">
        <v>0</v>
      </c>
      <c r="Q9659">
        <v>0</v>
      </c>
      <c r="R9659" t="s">
        <v>40447</v>
      </c>
      <c r="S9659" t="s">
        <v>40868</v>
      </c>
      <c r="T9659" t="s">
        <v>42279</v>
      </c>
      <c r="U9659" t="s">
        <v>44681</v>
      </c>
      <c r="W9659" t="s">
        <v>38038</v>
      </c>
      <c r="X9659" t="s">
        <v>40448</v>
      </c>
    </row>
    <row r="9660" spans="1:24">
      <c r="A9660">
        <f>HYPERLINK("https://www.philgeps.gov.ph/GEPSNONPILOT/Tender/SplashBidNoticeAbstractUI.aspx?menuIndex=3&amp;refID=7032712&amp;Result=3","7032712")</f>
        <v>0</v>
      </c>
      <c r="B9660" t="s">
        <v>1845</v>
      </c>
      <c r="C9660" t="s">
        <v>12299</v>
      </c>
      <c r="D9660" t="s">
        <v>16190</v>
      </c>
      <c r="E9660" t="s">
        <v>24718</v>
      </c>
      <c r="F9660" t="s">
        <v>28198</v>
      </c>
      <c r="G9660" t="s">
        <v>28205</v>
      </c>
      <c r="H9660" t="s">
        <v>28214</v>
      </c>
      <c r="I9660" t="s">
        <v>3797</v>
      </c>
      <c r="J9660" t="s">
        <v>28899</v>
      </c>
      <c r="K9660" t="s">
        <v>36831</v>
      </c>
      <c r="M9660" t="s">
        <v>38972</v>
      </c>
      <c r="N9660" t="s">
        <v>40436</v>
      </c>
      <c r="O9660" t="s">
        <v>40437</v>
      </c>
      <c r="P9660">
        <v>0</v>
      </c>
      <c r="Q9660">
        <v>15</v>
      </c>
      <c r="R9660" t="s">
        <v>40447</v>
      </c>
      <c r="S9660" t="s">
        <v>40868</v>
      </c>
      <c r="T9660" t="s">
        <v>42183</v>
      </c>
      <c r="U9660" t="s">
        <v>50693</v>
      </c>
      <c r="W9660" t="s">
        <v>55530</v>
      </c>
      <c r="X9660" t="s">
        <v>40448</v>
      </c>
    </row>
    <row r="9661" spans="1:24">
      <c r="A9661">
        <f>HYPERLINK("https://www.philgeps.gov.ph/GEPSNONPILOT/Tender/SplashBidNoticeAbstractUI.aspx?menuIndex=3&amp;refID=7032703&amp;Result=3","7032703")</f>
        <v>0</v>
      </c>
      <c r="B9661" t="s">
        <v>1768</v>
      </c>
      <c r="C9661" t="s">
        <v>12300</v>
      </c>
      <c r="D9661" t="s">
        <v>16233</v>
      </c>
      <c r="E9661" t="s">
        <v>24719</v>
      </c>
      <c r="F9661" t="s">
        <v>28198</v>
      </c>
      <c r="G9661" t="s">
        <v>28205</v>
      </c>
      <c r="H9661" t="s">
        <v>28214</v>
      </c>
      <c r="I9661" t="s">
        <v>3797</v>
      </c>
      <c r="J9661" t="s">
        <v>28351</v>
      </c>
      <c r="K9661" t="s">
        <v>36694</v>
      </c>
      <c r="M9661" t="s">
        <v>38883</v>
      </c>
      <c r="N9661" t="s">
        <v>40436</v>
      </c>
      <c r="O9661" t="s">
        <v>40437</v>
      </c>
      <c r="P9661">
        <v>0</v>
      </c>
      <c r="Q9661">
        <v>1</v>
      </c>
      <c r="R9661" t="s">
        <v>40447</v>
      </c>
      <c r="S9661" t="s">
        <v>40868</v>
      </c>
      <c r="T9661" t="s">
        <v>42112</v>
      </c>
      <c r="U9661" t="s">
        <v>47399</v>
      </c>
      <c r="W9661" t="s">
        <v>38883</v>
      </c>
      <c r="X9661" t="s">
        <v>40448</v>
      </c>
    </row>
    <row r="9662" spans="1:24">
      <c r="A9662">
        <f>HYPERLINK("https://www.philgeps.gov.ph/GEPSNONPILOT/Tender/SplashBidNoticeAbstractUI.aspx?menuIndex=3&amp;refID=7032718&amp;Result=3","7032718")</f>
        <v>0</v>
      </c>
      <c r="B9662" t="s">
        <v>1768</v>
      </c>
      <c r="C9662" t="s">
        <v>12301</v>
      </c>
      <c r="D9662" t="s">
        <v>16233</v>
      </c>
      <c r="E9662" t="s">
        <v>24720</v>
      </c>
      <c r="F9662" t="s">
        <v>28198</v>
      </c>
      <c r="G9662" t="s">
        <v>28205</v>
      </c>
      <c r="H9662" t="s">
        <v>28214</v>
      </c>
      <c r="I9662" t="s">
        <v>3797</v>
      </c>
      <c r="J9662" t="s">
        <v>28921</v>
      </c>
      <c r="K9662" t="s">
        <v>36694</v>
      </c>
      <c r="M9662" t="s">
        <v>38883</v>
      </c>
      <c r="N9662" t="s">
        <v>40436</v>
      </c>
      <c r="O9662" t="s">
        <v>40437</v>
      </c>
      <c r="P9662">
        <v>0</v>
      </c>
      <c r="Q9662">
        <v>2</v>
      </c>
      <c r="R9662" t="s">
        <v>40447</v>
      </c>
      <c r="S9662" t="s">
        <v>40868</v>
      </c>
      <c r="T9662" t="s">
        <v>42121</v>
      </c>
      <c r="U9662" t="s">
        <v>47399</v>
      </c>
      <c r="W9662" t="s">
        <v>38883</v>
      </c>
      <c r="X9662" t="s">
        <v>40448</v>
      </c>
    </row>
    <row r="9663" spans="1:24">
      <c r="A9663">
        <f>HYPERLINK("https://www.philgeps.gov.ph/GEPSNONPILOT/Tender/SplashBidNoticeAbstractUI.aspx?menuIndex=3&amp;refID=7032684&amp;Result=3","7032684")</f>
        <v>0</v>
      </c>
      <c r="B9663" t="s">
        <v>1768</v>
      </c>
      <c r="C9663" t="s">
        <v>12302</v>
      </c>
      <c r="D9663" t="s">
        <v>16233</v>
      </c>
      <c r="E9663" t="s">
        <v>24721</v>
      </c>
      <c r="F9663" t="s">
        <v>28198</v>
      </c>
      <c r="G9663" t="s">
        <v>28205</v>
      </c>
      <c r="H9663" t="s">
        <v>28214</v>
      </c>
      <c r="I9663" t="s">
        <v>3797</v>
      </c>
      <c r="J9663" t="s">
        <v>28468</v>
      </c>
      <c r="K9663" t="s">
        <v>36694</v>
      </c>
      <c r="M9663" t="s">
        <v>38883</v>
      </c>
      <c r="N9663" t="s">
        <v>40436</v>
      </c>
      <c r="O9663" t="s">
        <v>40437</v>
      </c>
      <c r="P9663">
        <v>0</v>
      </c>
      <c r="Q9663">
        <v>0</v>
      </c>
      <c r="R9663" t="s">
        <v>40447</v>
      </c>
      <c r="S9663" t="s">
        <v>40868</v>
      </c>
      <c r="T9663" t="s">
        <v>42103</v>
      </c>
      <c r="U9663" t="s">
        <v>47399</v>
      </c>
      <c r="W9663" t="s">
        <v>38883</v>
      </c>
      <c r="X9663" t="s">
        <v>40448</v>
      </c>
    </row>
    <row r="9664" spans="1:24">
      <c r="A9664">
        <f>HYPERLINK("https://www.philgeps.gov.ph/GEPSNONPILOT/Tender/SplashBidNoticeAbstractUI.aspx?menuIndex=3&amp;refID=7032661&amp;Result=3","7032661")</f>
        <v>0</v>
      </c>
      <c r="B9664" t="s">
        <v>2696</v>
      </c>
      <c r="C9664" t="s">
        <v>12303</v>
      </c>
      <c r="D9664" t="s">
        <v>16195</v>
      </c>
      <c r="E9664" t="s">
        <v>24722</v>
      </c>
      <c r="F9664" t="s">
        <v>28198</v>
      </c>
      <c r="G9664" t="s">
        <v>28205</v>
      </c>
      <c r="H9664" t="s">
        <v>28215</v>
      </c>
      <c r="I9664" t="s">
        <v>5082</v>
      </c>
      <c r="J9664" t="s">
        <v>34359</v>
      </c>
      <c r="K9664" t="s">
        <v>36689</v>
      </c>
      <c r="M9664" t="s">
        <v>39934</v>
      </c>
      <c r="N9664" t="s">
        <v>40436</v>
      </c>
      <c r="O9664" t="s">
        <v>40437</v>
      </c>
      <c r="P9664">
        <v>0</v>
      </c>
      <c r="Q9664">
        <v>2</v>
      </c>
      <c r="R9664" t="s">
        <v>40447</v>
      </c>
      <c r="S9664" t="s">
        <v>40868</v>
      </c>
      <c r="T9664" t="s">
        <v>42278</v>
      </c>
      <c r="U9664" t="s">
        <v>50701</v>
      </c>
      <c r="V9664" t="s">
        <v>54834</v>
      </c>
      <c r="W9664" t="s">
        <v>39934</v>
      </c>
      <c r="X9664" t="s">
        <v>40448</v>
      </c>
    </row>
    <row r="9665" spans="1:24">
      <c r="A9665">
        <f>HYPERLINK("https://www.philgeps.gov.ph/GEPSNONPILOT/Tender/SplashBidNoticeAbstractUI.aspx?menuIndex=3&amp;refID=7032728&amp;Result=3","7032728")</f>
        <v>0</v>
      </c>
      <c r="B9665" t="s">
        <v>1845</v>
      </c>
      <c r="C9665" t="s">
        <v>12304</v>
      </c>
      <c r="D9665" t="s">
        <v>16190</v>
      </c>
      <c r="E9665" t="s">
        <v>24723</v>
      </c>
      <c r="F9665" t="s">
        <v>28198</v>
      </c>
      <c r="G9665" t="s">
        <v>28205</v>
      </c>
      <c r="H9665" t="s">
        <v>28214</v>
      </c>
      <c r="I9665" t="s">
        <v>3797</v>
      </c>
      <c r="J9665" t="s">
        <v>34360</v>
      </c>
      <c r="K9665" t="s">
        <v>36697</v>
      </c>
      <c r="M9665" t="s">
        <v>38972</v>
      </c>
      <c r="N9665" t="s">
        <v>40436</v>
      </c>
      <c r="O9665" t="s">
        <v>40437</v>
      </c>
      <c r="P9665">
        <v>0</v>
      </c>
      <c r="Q9665">
        <v>13</v>
      </c>
      <c r="R9665" t="s">
        <v>40447</v>
      </c>
      <c r="S9665" t="s">
        <v>40868</v>
      </c>
      <c r="T9665" t="s">
        <v>42183</v>
      </c>
      <c r="U9665" t="s">
        <v>50702</v>
      </c>
      <c r="W9665" t="s">
        <v>55530</v>
      </c>
      <c r="X9665" t="s">
        <v>40448</v>
      </c>
    </row>
    <row r="9666" spans="1:24">
      <c r="A9666">
        <f>HYPERLINK("https://www.philgeps.gov.ph/GEPSNONPILOT/Tender/SplashBidNoticeAbstractUI.aspx?menuIndex=3&amp;refID=7032723&amp;Result=3","7032723")</f>
        <v>0</v>
      </c>
      <c r="B9666" t="s">
        <v>2697</v>
      </c>
      <c r="C9666" t="s">
        <v>12305</v>
      </c>
      <c r="D9666" t="s">
        <v>16206</v>
      </c>
      <c r="E9666" t="s">
        <v>24724</v>
      </c>
      <c r="F9666" t="s">
        <v>28198</v>
      </c>
      <c r="G9666" t="s">
        <v>28205</v>
      </c>
      <c r="H9666" t="s">
        <v>28215</v>
      </c>
      <c r="I9666" t="s">
        <v>4219</v>
      </c>
      <c r="J9666" t="s">
        <v>34361</v>
      </c>
      <c r="K9666" t="s">
        <v>36701</v>
      </c>
      <c r="M9666" t="s">
        <v>39935</v>
      </c>
      <c r="N9666" t="s">
        <v>40436</v>
      </c>
      <c r="O9666" t="s">
        <v>40437</v>
      </c>
      <c r="P9666">
        <v>0</v>
      </c>
      <c r="Q9666">
        <v>2</v>
      </c>
      <c r="R9666" t="s">
        <v>40447</v>
      </c>
      <c r="S9666" t="s">
        <v>40868</v>
      </c>
      <c r="T9666" t="s">
        <v>42184</v>
      </c>
      <c r="U9666" t="s">
        <v>50703</v>
      </c>
      <c r="W9666" t="s">
        <v>39935</v>
      </c>
      <c r="X9666" t="s">
        <v>40448</v>
      </c>
    </row>
    <row r="9667" spans="1:24">
      <c r="A9667">
        <f>HYPERLINK("https://www.philgeps.gov.ph/GEPSNONPILOT/Tender/SplashBidNoticeAbstractUI.aspx?menuIndex=3&amp;refID=7032736&amp;Result=3","7032736")</f>
        <v>0</v>
      </c>
      <c r="B9667" t="s">
        <v>1845</v>
      </c>
      <c r="C9667" t="s">
        <v>12306</v>
      </c>
      <c r="D9667" t="s">
        <v>16190</v>
      </c>
      <c r="E9667" t="s">
        <v>24725</v>
      </c>
      <c r="F9667" t="s">
        <v>28198</v>
      </c>
      <c r="G9667" t="s">
        <v>28205</v>
      </c>
      <c r="H9667" t="s">
        <v>28214</v>
      </c>
      <c r="I9667" t="s">
        <v>3797</v>
      </c>
      <c r="J9667" t="s">
        <v>28363</v>
      </c>
      <c r="K9667" t="s">
        <v>36690</v>
      </c>
      <c r="M9667" t="s">
        <v>38972</v>
      </c>
      <c r="N9667" t="s">
        <v>40436</v>
      </c>
      <c r="O9667" t="s">
        <v>40437</v>
      </c>
      <c r="P9667">
        <v>0</v>
      </c>
      <c r="Q9667">
        <v>11</v>
      </c>
      <c r="R9667" t="s">
        <v>40447</v>
      </c>
      <c r="S9667" t="s">
        <v>40868</v>
      </c>
      <c r="T9667" t="s">
        <v>42244</v>
      </c>
      <c r="U9667" t="s">
        <v>50704</v>
      </c>
      <c r="W9667" t="s">
        <v>55530</v>
      </c>
      <c r="X9667" t="s">
        <v>40448</v>
      </c>
    </row>
    <row r="9668" spans="1:24">
      <c r="A9668">
        <f>HYPERLINK("https://www.philgeps.gov.ph/GEPSNONPILOT/Tender/SplashBidNoticeAbstractUI.aspx?menuIndex=3&amp;refID=7029921&amp;Result=3","7029921")</f>
        <v>0</v>
      </c>
      <c r="B9668" t="s">
        <v>105</v>
      </c>
      <c r="C9668" t="s">
        <v>12307</v>
      </c>
      <c r="D9668" t="s">
        <v>16197</v>
      </c>
      <c r="E9668" t="s">
        <v>24726</v>
      </c>
      <c r="F9668" t="s">
        <v>28198</v>
      </c>
      <c r="G9668" t="s">
        <v>28205</v>
      </c>
      <c r="H9668" t="s">
        <v>28215</v>
      </c>
      <c r="I9668" t="s">
        <v>6051</v>
      </c>
      <c r="J9668" t="s">
        <v>28921</v>
      </c>
      <c r="K9668" t="s">
        <v>36692</v>
      </c>
      <c r="M9668" t="s">
        <v>39936</v>
      </c>
      <c r="N9668" t="s">
        <v>40436</v>
      </c>
      <c r="O9668" t="s">
        <v>40437</v>
      </c>
      <c r="P9668">
        <v>0</v>
      </c>
      <c r="Q9668">
        <v>11</v>
      </c>
      <c r="R9668" t="s">
        <v>40448</v>
      </c>
      <c r="S9668" t="s">
        <v>40910</v>
      </c>
      <c r="T9668" t="s">
        <v>42459</v>
      </c>
      <c r="U9668" t="s">
        <v>50705</v>
      </c>
      <c r="W9668" t="s">
        <v>39936</v>
      </c>
      <c r="X9668" t="s">
        <v>40450</v>
      </c>
    </row>
    <row r="9669" spans="1:24">
      <c r="A9669">
        <f>HYPERLINK("https://www.philgeps.gov.ph/GEPSNONPILOT/Tender/SplashBidNoticeAbstractUI.aspx?menuIndex=3&amp;refID=7026183&amp;Result=3","7026183")</f>
        <v>0</v>
      </c>
      <c r="B9669" t="s">
        <v>2698</v>
      </c>
      <c r="C9669" t="s">
        <v>12308</v>
      </c>
      <c r="D9669" t="s">
        <v>16194</v>
      </c>
      <c r="E9669" t="s">
        <v>24727</v>
      </c>
      <c r="F9669" t="s">
        <v>28198</v>
      </c>
      <c r="G9669" t="s">
        <v>28205</v>
      </c>
      <c r="H9669" t="s">
        <v>28214</v>
      </c>
      <c r="I9669" t="s">
        <v>3797</v>
      </c>
      <c r="J9669" t="s">
        <v>34362</v>
      </c>
      <c r="K9669" t="s">
        <v>36697</v>
      </c>
      <c r="M9669" t="s">
        <v>39937</v>
      </c>
      <c r="N9669" t="s">
        <v>40436</v>
      </c>
      <c r="O9669" t="s">
        <v>40437</v>
      </c>
      <c r="P9669">
        <v>0</v>
      </c>
      <c r="Q9669">
        <v>2</v>
      </c>
      <c r="R9669" t="s">
        <v>40448</v>
      </c>
      <c r="S9669" t="s">
        <v>40910</v>
      </c>
      <c r="T9669" t="s">
        <v>42275</v>
      </c>
      <c r="U9669" t="s">
        <v>50706</v>
      </c>
      <c r="W9669" t="s">
        <v>39937</v>
      </c>
      <c r="X9669" t="s">
        <v>40452</v>
      </c>
    </row>
    <row r="9670" spans="1:24">
      <c r="A9670">
        <f>HYPERLINK("https://www.philgeps.gov.ph/GEPSNONPILOT/Tender/SplashBidNoticeAbstractUI.aspx?menuIndex=3&amp;refID=7032737&amp;Result=3","7032737")</f>
        <v>0</v>
      </c>
      <c r="B9670" t="s">
        <v>2359</v>
      </c>
      <c r="C9670" t="s">
        <v>12309</v>
      </c>
      <c r="E9670" t="s">
        <v>24728</v>
      </c>
      <c r="F9670" t="s">
        <v>28198</v>
      </c>
      <c r="G9670" t="s">
        <v>28205</v>
      </c>
      <c r="H9670" t="s">
        <v>28214</v>
      </c>
      <c r="I9670" t="s">
        <v>3797</v>
      </c>
      <c r="J9670" t="s">
        <v>34363</v>
      </c>
      <c r="K9670" t="s">
        <v>36701</v>
      </c>
      <c r="M9670" t="s">
        <v>39938</v>
      </c>
      <c r="N9670" t="s">
        <v>40436</v>
      </c>
      <c r="O9670" t="s">
        <v>40437</v>
      </c>
      <c r="P9670">
        <v>0</v>
      </c>
      <c r="Q9670">
        <v>0</v>
      </c>
      <c r="R9670" t="s">
        <v>40447</v>
      </c>
      <c r="S9670" t="s">
        <v>40868</v>
      </c>
      <c r="T9670" t="s">
        <v>42168</v>
      </c>
      <c r="U9670" t="s">
        <v>50707</v>
      </c>
      <c r="W9670" t="s">
        <v>39938</v>
      </c>
      <c r="X9670" t="s">
        <v>40448</v>
      </c>
    </row>
    <row r="9671" spans="1:24">
      <c r="A9671">
        <f>HYPERLINK("https://www.philgeps.gov.ph/GEPSNONPILOT/Tender/SplashBidNoticeAbstractUI.aspx?menuIndex=3&amp;refID=7032754&amp;Result=3","7032754")</f>
        <v>0</v>
      </c>
      <c r="B9671" t="s">
        <v>2308</v>
      </c>
      <c r="C9671" t="s">
        <v>12310</v>
      </c>
      <c r="D9671" t="s">
        <v>16204</v>
      </c>
      <c r="E9671" t="s">
        <v>24729</v>
      </c>
      <c r="F9671" t="s">
        <v>28198</v>
      </c>
      <c r="G9671" t="s">
        <v>28205</v>
      </c>
      <c r="H9671" t="s">
        <v>28215</v>
      </c>
      <c r="I9671" t="s">
        <v>28222</v>
      </c>
      <c r="J9671" t="s">
        <v>34364</v>
      </c>
      <c r="K9671" t="s">
        <v>36707</v>
      </c>
      <c r="M9671" t="s">
        <v>39939</v>
      </c>
      <c r="N9671" t="s">
        <v>40436</v>
      </c>
      <c r="O9671" t="s">
        <v>40437</v>
      </c>
      <c r="Q9671">
        <v>5</v>
      </c>
      <c r="R9671" t="s">
        <v>40447</v>
      </c>
      <c r="S9671" t="s">
        <v>40911</v>
      </c>
      <c r="T9671" t="s">
        <v>42240</v>
      </c>
      <c r="U9671" t="s">
        <v>50708</v>
      </c>
      <c r="W9671" t="s">
        <v>39939</v>
      </c>
      <c r="X9671" t="s">
        <v>40448</v>
      </c>
    </row>
    <row r="9672" spans="1:24">
      <c r="A9672">
        <f>HYPERLINK("https://www.philgeps.gov.ph/GEPSNONPILOT/Tender/SplashBidNoticeAbstractUI.aspx?menuIndex=3&amp;refID=7032764&amp;Result=3","7032764")</f>
        <v>0</v>
      </c>
      <c r="B9672" t="s">
        <v>2053</v>
      </c>
      <c r="C9672" t="s">
        <v>12311</v>
      </c>
      <c r="E9672" t="s">
        <v>24730</v>
      </c>
      <c r="F9672" t="s">
        <v>28198</v>
      </c>
      <c r="G9672" t="s">
        <v>28205</v>
      </c>
      <c r="H9672" t="s">
        <v>28214</v>
      </c>
      <c r="I9672" t="s">
        <v>28216</v>
      </c>
      <c r="J9672" t="s">
        <v>28379</v>
      </c>
      <c r="K9672" t="s">
        <v>36689</v>
      </c>
      <c r="M9672" t="s">
        <v>39199</v>
      </c>
      <c r="N9672" t="s">
        <v>40436</v>
      </c>
      <c r="O9672" t="s">
        <v>40437</v>
      </c>
      <c r="P9672">
        <v>0</v>
      </c>
      <c r="Q9672">
        <v>6</v>
      </c>
      <c r="R9672" t="s">
        <v>40447</v>
      </c>
      <c r="S9672" t="s">
        <v>40868</v>
      </c>
      <c r="T9672" t="s">
        <v>42134</v>
      </c>
      <c r="U9672" t="s">
        <v>50709</v>
      </c>
      <c r="V9672" t="s">
        <v>53826</v>
      </c>
      <c r="W9672" t="s">
        <v>39199</v>
      </c>
      <c r="X9672" t="s">
        <v>40448</v>
      </c>
    </row>
    <row r="9673" spans="1:24">
      <c r="A9673">
        <f>HYPERLINK("https://www.philgeps.gov.ph/GEPSNONPILOT/Tender/SplashBidNoticeAbstractUI.aspx?menuIndex=3&amp;refID=6946275&amp;Result=3","6946275")</f>
        <v>0</v>
      </c>
      <c r="B9673" t="s">
        <v>2699</v>
      </c>
      <c r="C9673" t="s">
        <v>12312</v>
      </c>
      <c r="D9673" t="s">
        <v>16235</v>
      </c>
      <c r="E9673" t="s">
        <v>24246</v>
      </c>
      <c r="F9673" t="s">
        <v>28198</v>
      </c>
      <c r="G9673" t="s">
        <v>28205</v>
      </c>
      <c r="H9673" t="s">
        <v>28215</v>
      </c>
      <c r="I9673" t="s">
        <v>5100</v>
      </c>
      <c r="J9673" t="s">
        <v>34365</v>
      </c>
      <c r="K9673" t="s">
        <v>36701</v>
      </c>
      <c r="M9673" t="s">
        <v>39940</v>
      </c>
      <c r="N9673" t="s">
        <v>40436</v>
      </c>
      <c r="O9673" t="s">
        <v>40437</v>
      </c>
      <c r="P9673">
        <v>0</v>
      </c>
      <c r="Q9673">
        <v>1</v>
      </c>
      <c r="R9673" t="s">
        <v>40448</v>
      </c>
      <c r="S9673" t="s">
        <v>40910</v>
      </c>
      <c r="T9673" t="s">
        <v>42273</v>
      </c>
      <c r="U9673" t="s">
        <v>50710</v>
      </c>
      <c r="W9673" t="s">
        <v>39940</v>
      </c>
      <c r="X9673" t="s">
        <v>40504</v>
      </c>
    </row>
    <row r="9674" spans="1:24">
      <c r="A9674">
        <f>HYPERLINK("https://www.philgeps.gov.ph/GEPSNONPILOT/Tender/SplashBidNoticeAbstractUI.aspx?menuIndex=3&amp;refID=7032742&amp;Result=3","7032742")</f>
        <v>0</v>
      </c>
      <c r="B9674" t="s">
        <v>1973</v>
      </c>
      <c r="C9674" t="s">
        <v>12313</v>
      </c>
      <c r="E9674" t="s">
        <v>24731</v>
      </c>
      <c r="F9674" t="s">
        <v>28198</v>
      </c>
      <c r="G9674" t="s">
        <v>28205</v>
      </c>
      <c r="H9674" t="s">
        <v>28215</v>
      </c>
      <c r="I9674" t="s">
        <v>28273</v>
      </c>
      <c r="J9674" t="s">
        <v>34366</v>
      </c>
      <c r="K9674" t="s">
        <v>36694</v>
      </c>
      <c r="M9674" t="s">
        <v>39109</v>
      </c>
      <c r="N9674" t="s">
        <v>40436</v>
      </c>
      <c r="O9674" t="s">
        <v>40437</v>
      </c>
      <c r="Q9674">
        <v>4</v>
      </c>
      <c r="R9674" t="s">
        <v>40447</v>
      </c>
      <c r="S9674" t="s">
        <v>40912</v>
      </c>
      <c r="T9674" t="s">
        <v>42248</v>
      </c>
      <c r="U9674" t="s">
        <v>50711</v>
      </c>
      <c r="W9674" t="s">
        <v>39109</v>
      </c>
      <c r="X9674" t="s">
        <v>40448</v>
      </c>
    </row>
    <row r="9675" spans="1:24">
      <c r="A9675">
        <f>HYPERLINK("https://www.philgeps.gov.ph/GEPSNONPILOT/Tender/SplashBidNoticeAbstractUI.aspx?menuIndex=3&amp;refID=7031972&amp;Result=3","7031972")</f>
        <v>0</v>
      </c>
      <c r="B9675" t="s">
        <v>2700</v>
      </c>
      <c r="C9675" t="s">
        <v>12314</v>
      </c>
      <c r="D9675" t="s">
        <v>16260</v>
      </c>
      <c r="E9675" t="s">
        <v>24732</v>
      </c>
      <c r="F9675" t="s">
        <v>28198</v>
      </c>
      <c r="G9675" t="s">
        <v>28205</v>
      </c>
      <c r="H9675" t="s">
        <v>28215</v>
      </c>
      <c r="I9675" t="s">
        <v>28234</v>
      </c>
      <c r="J9675" t="s">
        <v>34367</v>
      </c>
      <c r="K9675" t="s">
        <v>36694</v>
      </c>
      <c r="M9675" t="s">
        <v>39941</v>
      </c>
      <c r="N9675" t="s">
        <v>40436</v>
      </c>
      <c r="O9675" t="s">
        <v>40437</v>
      </c>
      <c r="P9675">
        <v>0</v>
      </c>
      <c r="Q9675">
        <v>10</v>
      </c>
      <c r="R9675" t="s">
        <v>40448</v>
      </c>
      <c r="S9675" t="s">
        <v>40910</v>
      </c>
      <c r="T9675" t="s">
        <v>42346</v>
      </c>
      <c r="U9675" t="s">
        <v>50712</v>
      </c>
      <c r="W9675" t="s">
        <v>39941</v>
      </c>
      <c r="X9675" t="s">
        <v>40449</v>
      </c>
    </row>
    <row r="9676" spans="1:24">
      <c r="A9676">
        <f>HYPERLINK("https://www.philgeps.gov.ph/GEPSNONPILOT/Tender/SplashBidNoticeAbstractUI.aspx?menuIndex=3&amp;refID=7032763&amp;Result=3","7032763")</f>
        <v>0</v>
      </c>
      <c r="B9676" t="s">
        <v>2053</v>
      </c>
      <c r="C9676" t="s">
        <v>12315</v>
      </c>
      <c r="E9676" t="s">
        <v>24733</v>
      </c>
      <c r="F9676" t="s">
        <v>28198</v>
      </c>
      <c r="G9676" t="s">
        <v>28205</v>
      </c>
      <c r="H9676" t="s">
        <v>28214</v>
      </c>
      <c r="I9676" t="s">
        <v>3797</v>
      </c>
      <c r="J9676" t="s">
        <v>34368</v>
      </c>
      <c r="K9676" t="s">
        <v>36689</v>
      </c>
      <c r="M9676" t="s">
        <v>39199</v>
      </c>
      <c r="N9676" t="s">
        <v>40436</v>
      </c>
      <c r="O9676" t="s">
        <v>40437</v>
      </c>
      <c r="P9676">
        <v>0</v>
      </c>
      <c r="Q9676">
        <v>9</v>
      </c>
      <c r="R9676" t="s">
        <v>40447</v>
      </c>
      <c r="S9676" t="s">
        <v>40868</v>
      </c>
      <c r="T9676" t="s">
        <v>42134</v>
      </c>
      <c r="U9676" t="s">
        <v>50713</v>
      </c>
      <c r="V9676" t="s">
        <v>53826</v>
      </c>
      <c r="W9676" t="s">
        <v>39199</v>
      </c>
      <c r="X9676" t="s">
        <v>40448</v>
      </c>
    </row>
    <row r="9677" spans="1:24">
      <c r="A9677">
        <f>HYPERLINK("https://www.philgeps.gov.ph/GEPSNONPILOT/Tender/SplashBidNoticeAbstractUI.aspx?menuIndex=3&amp;refID=7029407&amp;Result=3","7029407")</f>
        <v>0</v>
      </c>
      <c r="B9677" t="s">
        <v>2701</v>
      </c>
      <c r="C9677" t="s">
        <v>12316</v>
      </c>
      <c r="D9677" t="s">
        <v>16286</v>
      </c>
      <c r="E9677" t="s">
        <v>24734</v>
      </c>
      <c r="F9677" t="s">
        <v>28198</v>
      </c>
      <c r="G9677" t="s">
        <v>28205</v>
      </c>
      <c r="H9677" t="s">
        <v>28215</v>
      </c>
      <c r="I9677" t="s">
        <v>28276</v>
      </c>
      <c r="J9677" t="s">
        <v>34369</v>
      </c>
      <c r="K9677" t="s">
        <v>36705</v>
      </c>
      <c r="M9677" t="s">
        <v>39942</v>
      </c>
      <c r="N9677" t="s">
        <v>40436</v>
      </c>
      <c r="O9677" t="s">
        <v>40437</v>
      </c>
      <c r="Q9677">
        <v>3</v>
      </c>
      <c r="R9677" t="s">
        <v>40448</v>
      </c>
      <c r="S9677" t="s">
        <v>40913</v>
      </c>
      <c r="T9677" t="s">
        <v>42529</v>
      </c>
      <c r="U9677" t="s">
        <v>50714</v>
      </c>
      <c r="V9677" t="s">
        <v>54753</v>
      </c>
      <c r="W9677" t="s">
        <v>39942</v>
      </c>
      <c r="X9677" t="s">
        <v>40451</v>
      </c>
    </row>
    <row r="9678" spans="1:24">
      <c r="A9678">
        <f>HYPERLINK("https://www.philgeps.gov.ph/GEPSNONPILOT/Tender/SplashBidNoticeAbstractUI.aspx?menuIndex=3&amp;refID=7032745&amp;Result=3","7032745")</f>
        <v>0</v>
      </c>
      <c r="B9678" t="s">
        <v>1845</v>
      </c>
      <c r="C9678" t="s">
        <v>12317</v>
      </c>
      <c r="D9678" t="s">
        <v>16190</v>
      </c>
      <c r="E9678" t="s">
        <v>24735</v>
      </c>
      <c r="F9678" t="s">
        <v>28198</v>
      </c>
      <c r="G9678" t="s">
        <v>28205</v>
      </c>
      <c r="H9678" t="s">
        <v>28214</v>
      </c>
      <c r="I9678" t="s">
        <v>3797</v>
      </c>
      <c r="J9678" t="s">
        <v>28468</v>
      </c>
      <c r="K9678" t="s">
        <v>36694</v>
      </c>
      <c r="M9678" t="s">
        <v>38972</v>
      </c>
      <c r="N9678" t="s">
        <v>40436</v>
      </c>
      <c r="O9678" t="s">
        <v>40437</v>
      </c>
      <c r="P9678">
        <v>0</v>
      </c>
      <c r="Q9678">
        <v>13</v>
      </c>
      <c r="R9678" t="s">
        <v>40447</v>
      </c>
      <c r="S9678" t="s">
        <v>40868</v>
      </c>
      <c r="T9678" t="s">
        <v>42183</v>
      </c>
      <c r="U9678" t="s">
        <v>50715</v>
      </c>
      <c r="W9678" t="s">
        <v>55530</v>
      </c>
      <c r="X9678" t="s">
        <v>40448</v>
      </c>
    </row>
    <row r="9679" spans="1:24">
      <c r="A9679">
        <f>HYPERLINK("https://www.philgeps.gov.ph/GEPSNONPILOT/Tender/SplashBidNoticeAbstractUI.aspx?menuIndex=3&amp;refID=7032756&amp;Result=3","7032756")</f>
        <v>0</v>
      </c>
      <c r="B9679" t="s">
        <v>2308</v>
      </c>
      <c r="C9679" t="s">
        <v>12318</v>
      </c>
      <c r="D9679" t="s">
        <v>16204</v>
      </c>
      <c r="E9679" t="s">
        <v>24736</v>
      </c>
      <c r="F9679" t="s">
        <v>28198</v>
      </c>
      <c r="G9679" t="s">
        <v>28205</v>
      </c>
      <c r="H9679" t="s">
        <v>28215</v>
      </c>
      <c r="I9679" t="s">
        <v>28222</v>
      </c>
      <c r="J9679" t="s">
        <v>34370</v>
      </c>
      <c r="K9679" t="s">
        <v>36701</v>
      </c>
      <c r="M9679" t="s">
        <v>39939</v>
      </c>
      <c r="N9679" t="s">
        <v>40436</v>
      </c>
      <c r="O9679" t="s">
        <v>40437</v>
      </c>
      <c r="Q9679">
        <v>3</v>
      </c>
      <c r="R9679" t="s">
        <v>40447</v>
      </c>
      <c r="S9679" t="s">
        <v>40914</v>
      </c>
      <c r="T9679" t="s">
        <v>42240</v>
      </c>
      <c r="U9679" t="s">
        <v>50716</v>
      </c>
      <c r="W9679" t="s">
        <v>39939</v>
      </c>
      <c r="X9679" t="s">
        <v>40448</v>
      </c>
    </row>
    <row r="9680" spans="1:24">
      <c r="A9680">
        <f>HYPERLINK("https://www.philgeps.gov.ph/GEPSNONPILOT/Tender/SplashBidNoticeAbstractUI.aspx?menuIndex=3&amp;refID=7031990&amp;Result=3","7031990")</f>
        <v>0</v>
      </c>
      <c r="B9680" t="s">
        <v>2702</v>
      </c>
      <c r="C9680" t="s">
        <v>12319</v>
      </c>
      <c r="D9680" t="s">
        <v>16190</v>
      </c>
      <c r="E9680" t="s">
        <v>16509</v>
      </c>
      <c r="F9680" t="s">
        <v>28198</v>
      </c>
      <c r="G9680" t="s">
        <v>28205</v>
      </c>
      <c r="H9680" t="s">
        <v>28215</v>
      </c>
      <c r="I9680" t="s">
        <v>5100</v>
      </c>
      <c r="J9680" t="s">
        <v>34371</v>
      </c>
      <c r="K9680" t="s">
        <v>36693</v>
      </c>
      <c r="M9680" t="s">
        <v>39943</v>
      </c>
      <c r="N9680" t="s">
        <v>40436</v>
      </c>
      <c r="O9680" t="s">
        <v>40437</v>
      </c>
      <c r="P9680">
        <v>0</v>
      </c>
      <c r="Q9680">
        <v>0</v>
      </c>
      <c r="R9680" t="s">
        <v>40448</v>
      </c>
      <c r="S9680" t="s">
        <v>40910</v>
      </c>
      <c r="T9680" t="s">
        <v>42346</v>
      </c>
      <c r="U9680" t="s">
        <v>50717</v>
      </c>
      <c r="W9680" t="s">
        <v>39943</v>
      </c>
      <c r="X9680" t="s">
        <v>40449</v>
      </c>
    </row>
    <row r="9681" spans="1:24">
      <c r="A9681">
        <f>HYPERLINK("https://www.philgeps.gov.ph/GEPSNONPILOT/Tender/SplashBidNoticeAbstractUI.aspx?menuIndex=3&amp;refID=7030021&amp;Result=3","7030021")</f>
        <v>0</v>
      </c>
      <c r="B9681" t="s">
        <v>105</v>
      </c>
      <c r="C9681" t="s">
        <v>12320</v>
      </c>
      <c r="D9681" t="s">
        <v>16233</v>
      </c>
      <c r="E9681" t="s">
        <v>24737</v>
      </c>
      <c r="F9681" t="s">
        <v>28198</v>
      </c>
      <c r="G9681" t="s">
        <v>28205</v>
      </c>
      <c r="H9681" t="s">
        <v>28215</v>
      </c>
      <c r="I9681" t="s">
        <v>6051</v>
      </c>
      <c r="J9681" t="s">
        <v>34372</v>
      </c>
      <c r="K9681" t="s">
        <v>36697</v>
      </c>
      <c r="M9681" t="s">
        <v>39936</v>
      </c>
      <c r="N9681" t="s">
        <v>40436</v>
      </c>
      <c r="O9681" t="s">
        <v>40437</v>
      </c>
      <c r="P9681">
        <v>0</v>
      </c>
      <c r="Q9681">
        <v>4</v>
      </c>
      <c r="R9681" t="s">
        <v>40448</v>
      </c>
      <c r="S9681" t="s">
        <v>40910</v>
      </c>
      <c r="T9681" t="s">
        <v>42459</v>
      </c>
      <c r="U9681" t="s">
        <v>50718</v>
      </c>
      <c r="W9681" t="s">
        <v>39936</v>
      </c>
      <c r="X9681" t="s">
        <v>40450</v>
      </c>
    </row>
    <row r="9682" spans="1:24">
      <c r="A9682">
        <f>HYPERLINK("https://www.philgeps.gov.ph/GEPSNONPILOT/Tender/SplashBidNoticeAbstractUI.aspx?menuIndex=3&amp;refID=7032095&amp;Result=3","7032095")</f>
        <v>0</v>
      </c>
      <c r="B9682" t="s">
        <v>2703</v>
      </c>
      <c r="C9682" t="s">
        <v>12321</v>
      </c>
      <c r="D9682" t="s">
        <v>16210</v>
      </c>
      <c r="E9682" t="s">
        <v>24738</v>
      </c>
      <c r="F9682" t="s">
        <v>28198</v>
      </c>
      <c r="G9682" t="s">
        <v>28205</v>
      </c>
      <c r="H9682" t="s">
        <v>28215</v>
      </c>
      <c r="I9682" t="s">
        <v>4168</v>
      </c>
      <c r="J9682" t="s">
        <v>30374</v>
      </c>
      <c r="K9682" t="s">
        <v>36688</v>
      </c>
      <c r="M9682" t="s">
        <v>39944</v>
      </c>
      <c r="N9682" t="s">
        <v>40436</v>
      </c>
      <c r="O9682" t="s">
        <v>40437</v>
      </c>
      <c r="P9682">
        <v>0</v>
      </c>
      <c r="Q9682">
        <v>6</v>
      </c>
      <c r="R9682" t="s">
        <v>40448</v>
      </c>
      <c r="S9682" t="s">
        <v>40910</v>
      </c>
      <c r="T9682" t="s">
        <v>42456</v>
      </c>
      <c r="U9682" t="s">
        <v>50719</v>
      </c>
      <c r="W9682" t="s">
        <v>39944</v>
      </c>
      <c r="X9682" t="s">
        <v>40449</v>
      </c>
    </row>
    <row r="9683" spans="1:24">
      <c r="A9683">
        <f>HYPERLINK("https://www.philgeps.gov.ph/GEPSNONPILOT/Tender/SplashBidNoticeAbstractUI.aspx?menuIndex=3&amp;refID=7030602&amp;Result=3","7030602")</f>
        <v>0</v>
      </c>
      <c r="B9683" t="s">
        <v>2704</v>
      </c>
      <c r="C9683" t="s">
        <v>12322</v>
      </c>
      <c r="D9683" t="s">
        <v>16196</v>
      </c>
      <c r="E9683" t="s">
        <v>24739</v>
      </c>
      <c r="F9683" t="s">
        <v>28198</v>
      </c>
      <c r="G9683" t="s">
        <v>28205</v>
      </c>
      <c r="H9683" t="s">
        <v>28214</v>
      </c>
      <c r="I9683" t="s">
        <v>3797</v>
      </c>
      <c r="J9683" t="s">
        <v>34373</v>
      </c>
      <c r="K9683" t="s">
        <v>36692</v>
      </c>
      <c r="M9683" t="s">
        <v>39945</v>
      </c>
      <c r="N9683" t="s">
        <v>40436</v>
      </c>
      <c r="O9683" t="s">
        <v>40437</v>
      </c>
      <c r="P9683">
        <v>0</v>
      </c>
      <c r="Q9683">
        <v>71</v>
      </c>
      <c r="R9683" t="s">
        <v>40448</v>
      </c>
      <c r="S9683" t="s">
        <v>40910</v>
      </c>
      <c r="T9683" t="s">
        <v>42346</v>
      </c>
      <c r="U9683" t="s">
        <v>50720</v>
      </c>
      <c r="W9683" t="s">
        <v>39945</v>
      </c>
      <c r="X9683" t="s">
        <v>40450</v>
      </c>
    </row>
    <row r="9684" spans="1:24">
      <c r="A9684">
        <f>HYPERLINK("https://www.philgeps.gov.ph/GEPSNONPILOT/Tender/SplashBidNoticeAbstractUI.aspx?menuIndex=3&amp;refID=7032056&amp;Result=3","7032056")</f>
        <v>0</v>
      </c>
      <c r="B9684" t="s">
        <v>2705</v>
      </c>
      <c r="C9684" t="s">
        <v>12323</v>
      </c>
      <c r="D9684" t="s">
        <v>16204</v>
      </c>
      <c r="E9684" t="s">
        <v>24740</v>
      </c>
      <c r="F9684" t="s">
        <v>28198</v>
      </c>
      <c r="G9684" t="s">
        <v>28205</v>
      </c>
      <c r="H9684" t="s">
        <v>28214</v>
      </c>
      <c r="I9684" t="s">
        <v>3797</v>
      </c>
      <c r="J9684" t="s">
        <v>28363</v>
      </c>
      <c r="K9684" t="s">
        <v>36792</v>
      </c>
      <c r="M9684" t="s">
        <v>39946</v>
      </c>
      <c r="N9684" t="s">
        <v>40436</v>
      </c>
      <c r="O9684" t="s">
        <v>40437</v>
      </c>
      <c r="P9684">
        <v>0</v>
      </c>
      <c r="Q9684">
        <v>48</v>
      </c>
      <c r="R9684" t="s">
        <v>40448</v>
      </c>
      <c r="S9684" t="s">
        <v>40910</v>
      </c>
      <c r="T9684" t="s">
        <v>42279</v>
      </c>
      <c r="U9684" t="s">
        <v>50721</v>
      </c>
      <c r="W9684" t="s">
        <v>39946</v>
      </c>
      <c r="X9684" t="s">
        <v>40449</v>
      </c>
    </row>
    <row r="9685" spans="1:24">
      <c r="A9685">
        <f>HYPERLINK("https://www.philgeps.gov.ph/GEPSNONPILOT/Tender/SplashBidNoticeAbstractUI.aspx?menuIndex=3&amp;refID=7032093&amp;Result=3","7032093")</f>
        <v>0</v>
      </c>
      <c r="B9685" t="s">
        <v>2703</v>
      </c>
      <c r="C9685" t="s">
        <v>12324</v>
      </c>
      <c r="D9685" t="s">
        <v>16210</v>
      </c>
      <c r="E9685" t="s">
        <v>24741</v>
      </c>
      <c r="F9685" t="s">
        <v>28198</v>
      </c>
      <c r="G9685" t="s">
        <v>28205</v>
      </c>
      <c r="H9685" t="s">
        <v>28215</v>
      </c>
      <c r="I9685" t="s">
        <v>4200</v>
      </c>
      <c r="J9685" t="s">
        <v>28601</v>
      </c>
      <c r="K9685" t="s">
        <v>36688</v>
      </c>
      <c r="M9685" t="s">
        <v>39944</v>
      </c>
      <c r="N9685" t="s">
        <v>40436</v>
      </c>
      <c r="O9685" t="s">
        <v>40437</v>
      </c>
      <c r="P9685">
        <v>0</v>
      </c>
      <c r="Q9685">
        <v>0</v>
      </c>
      <c r="R9685" t="s">
        <v>40448</v>
      </c>
      <c r="S9685" t="s">
        <v>40910</v>
      </c>
      <c r="T9685" t="s">
        <v>42277</v>
      </c>
      <c r="U9685" t="s">
        <v>50719</v>
      </c>
      <c r="W9685" t="s">
        <v>39944</v>
      </c>
      <c r="X9685" t="s">
        <v>40449</v>
      </c>
    </row>
    <row r="9686" spans="1:24">
      <c r="A9686">
        <f>HYPERLINK("https://www.philgeps.gov.ph/GEPSNONPILOT/Tender/SplashBidNoticeAbstractUI.aspx?menuIndex=3&amp;refID=7029949&amp;Result=3","7029949")</f>
        <v>0</v>
      </c>
      <c r="B9686" t="s">
        <v>105</v>
      </c>
      <c r="C9686" t="s">
        <v>12325</v>
      </c>
      <c r="D9686" t="s">
        <v>16233</v>
      </c>
      <c r="E9686" t="s">
        <v>24742</v>
      </c>
      <c r="F9686" t="s">
        <v>28198</v>
      </c>
      <c r="G9686" t="s">
        <v>28205</v>
      </c>
      <c r="H9686" t="s">
        <v>28215</v>
      </c>
      <c r="I9686" t="s">
        <v>8870</v>
      </c>
      <c r="J9686" t="s">
        <v>28699</v>
      </c>
      <c r="K9686" t="s">
        <v>36753</v>
      </c>
      <c r="M9686" t="s">
        <v>39936</v>
      </c>
      <c r="N9686" t="s">
        <v>40436</v>
      </c>
      <c r="O9686" t="s">
        <v>40437</v>
      </c>
      <c r="Q9686">
        <v>6</v>
      </c>
      <c r="R9686" t="s">
        <v>40448</v>
      </c>
      <c r="S9686" t="s">
        <v>40915</v>
      </c>
      <c r="T9686" t="s">
        <v>42459</v>
      </c>
      <c r="U9686" t="s">
        <v>50722</v>
      </c>
      <c r="W9686" t="s">
        <v>39936</v>
      </c>
      <c r="X9686" t="s">
        <v>40450</v>
      </c>
    </row>
    <row r="9687" spans="1:24">
      <c r="A9687">
        <f>HYPERLINK("https://www.philgeps.gov.ph/GEPSNONPILOT/Tender/SplashBidNoticeAbstractUI.aspx?menuIndex=3&amp;refID=7032031&amp;Result=3","7032031")</f>
        <v>0</v>
      </c>
      <c r="B9687" t="s">
        <v>2706</v>
      </c>
      <c r="C9687" t="s">
        <v>12326</v>
      </c>
      <c r="D9687" t="s">
        <v>16249</v>
      </c>
      <c r="E9687" t="s">
        <v>24743</v>
      </c>
      <c r="F9687" t="s">
        <v>28198</v>
      </c>
      <c r="G9687" t="s">
        <v>28205</v>
      </c>
      <c r="H9687" t="s">
        <v>28214</v>
      </c>
      <c r="I9687" t="s">
        <v>3797</v>
      </c>
      <c r="J9687" t="s">
        <v>28378</v>
      </c>
      <c r="K9687" t="s">
        <v>36715</v>
      </c>
      <c r="M9687" t="s">
        <v>39947</v>
      </c>
      <c r="N9687" t="s">
        <v>40436</v>
      </c>
      <c r="O9687" t="s">
        <v>40437</v>
      </c>
      <c r="P9687">
        <v>0</v>
      </c>
      <c r="Q9687">
        <v>3</v>
      </c>
      <c r="R9687" t="s">
        <v>40448</v>
      </c>
      <c r="S9687" t="s">
        <v>40910</v>
      </c>
      <c r="T9687" t="s">
        <v>42278</v>
      </c>
      <c r="U9687" t="s">
        <v>50723</v>
      </c>
      <c r="W9687" t="s">
        <v>39947</v>
      </c>
      <c r="X9687" t="s">
        <v>40449</v>
      </c>
    </row>
    <row r="9688" spans="1:24">
      <c r="A9688">
        <f>HYPERLINK("https://www.philgeps.gov.ph/GEPSNONPILOT/Tender/SplashBidNoticeAbstractUI.aspx?menuIndex=3&amp;refID=7032045&amp;Result=3","7032045")</f>
        <v>0</v>
      </c>
      <c r="B9688" t="s">
        <v>2705</v>
      </c>
      <c r="C9688" t="s">
        <v>12327</v>
      </c>
      <c r="D9688" t="s">
        <v>16204</v>
      </c>
      <c r="E9688" t="s">
        <v>24744</v>
      </c>
      <c r="F9688" t="s">
        <v>28198</v>
      </c>
      <c r="G9688" t="s">
        <v>28205</v>
      </c>
      <c r="H9688" t="s">
        <v>28215</v>
      </c>
      <c r="I9688" t="s">
        <v>28227</v>
      </c>
      <c r="J9688" t="s">
        <v>34374</v>
      </c>
      <c r="K9688" t="s">
        <v>36706</v>
      </c>
      <c r="M9688" t="s">
        <v>39946</v>
      </c>
      <c r="N9688" t="s">
        <v>40436</v>
      </c>
      <c r="O9688" t="s">
        <v>40437</v>
      </c>
      <c r="Q9688">
        <v>12</v>
      </c>
      <c r="R9688" t="s">
        <v>40448</v>
      </c>
      <c r="S9688" t="s">
        <v>40916</v>
      </c>
      <c r="T9688" t="s">
        <v>42279</v>
      </c>
      <c r="U9688" t="s">
        <v>50724</v>
      </c>
      <c r="W9688" t="s">
        <v>39946</v>
      </c>
      <c r="X9688" t="s">
        <v>40449</v>
      </c>
    </row>
    <row r="9689" spans="1:24">
      <c r="A9689">
        <f>HYPERLINK("https://www.philgeps.gov.ph/GEPSNONPILOT/Tender/SplashBidNoticeAbstractUI.aspx?menuIndex=3&amp;refID=7032090&amp;Result=3","7032090")</f>
        <v>0</v>
      </c>
      <c r="B9689" t="s">
        <v>2705</v>
      </c>
      <c r="C9689" t="s">
        <v>12328</v>
      </c>
      <c r="D9689" t="s">
        <v>16204</v>
      </c>
      <c r="E9689" t="s">
        <v>24745</v>
      </c>
      <c r="F9689" t="s">
        <v>28198</v>
      </c>
      <c r="G9689" t="s">
        <v>28205</v>
      </c>
      <c r="H9689" t="s">
        <v>28215</v>
      </c>
      <c r="I9689" t="s">
        <v>28222</v>
      </c>
      <c r="J9689" t="s">
        <v>34375</v>
      </c>
      <c r="K9689" t="s">
        <v>36701</v>
      </c>
      <c r="M9689" t="s">
        <v>39946</v>
      </c>
      <c r="N9689" t="s">
        <v>40436</v>
      </c>
      <c r="O9689" t="s">
        <v>40437</v>
      </c>
      <c r="P9689">
        <v>0</v>
      </c>
      <c r="Q9689">
        <v>6</v>
      </c>
      <c r="R9689" t="s">
        <v>40448</v>
      </c>
      <c r="S9689" t="s">
        <v>40910</v>
      </c>
      <c r="T9689" t="s">
        <v>42279</v>
      </c>
      <c r="U9689" t="s">
        <v>50725</v>
      </c>
      <c r="W9689" t="s">
        <v>39946</v>
      </c>
      <c r="X9689" t="s">
        <v>40449</v>
      </c>
    </row>
    <row r="9690" spans="1:24">
      <c r="A9690">
        <f>HYPERLINK("https://www.philgeps.gov.ph/GEPSNONPILOT/Tender/SplashBidNoticeAbstractUI.aspx?menuIndex=3&amp;refID=7032038&amp;Result=3","7032038")</f>
        <v>0</v>
      </c>
      <c r="B9690" t="s">
        <v>2706</v>
      </c>
      <c r="C9690" t="s">
        <v>12329</v>
      </c>
      <c r="D9690" t="s">
        <v>16249</v>
      </c>
      <c r="E9690" t="s">
        <v>24746</v>
      </c>
      <c r="F9690" t="s">
        <v>28198</v>
      </c>
      <c r="G9690" t="s">
        <v>28205</v>
      </c>
      <c r="H9690" t="s">
        <v>28214</v>
      </c>
      <c r="I9690" t="s">
        <v>3797</v>
      </c>
      <c r="J9690" t="s">
        <v>28406</v>
      </c>
      <c r="K9690" t="s">
        <v>36694</v>
      </c>
      <c r="M9690" t="s">
        <v>39947</v>
      </c>
      <c r="N9690" t="s">
        <v>40436</v>
      </c>
      <c r="O9690" t="s">
        <v>40437</v>
      </c>
      <c r="P9690">
        <v>0</v>
      </c>
      <c r="Q9690">
        <v>2</v>
      </c>
      <c r="R9690" t="s">
        <v>40448</v>
      </c>
      <c r="S9690" t="s">
        <v>40910</v>
      </c>
      <c r="T9690" t="s">
        <v>42372</v>
      </c>
      <c r="U9690" t="s">
        <v>50726</v>
      </c>
      <c r="W9690" t="s">
        <v>39947</v>
      </c>
      <c r="X9690" t="s">
        <v>40449</v>
      </c>
    </row>
    <row r="9691" spans="1:24">
      <c r="A9691">
        <f>HYPERLINK("https://www.philgeps.gov.ph/GEPSNONPILOT/Tender/SplashBidNoticeAbstractUI.aspx?menuIndex=3&amp;refID=7031996&amp;Result=3","7031996")</f>
        <v>0</v>
      </c>
      <c r="B9691" t="s">
        <v>1835</v>
      </c>
      <c r="C9691" t="s">
        <v>12330</v>
      </c>
      <c r="D9691" t="s">
        <v>16191</v>
      </c>
      <c r="E9691" t="s">
        <v>24747</v>
      </c>
      <c r="F9691" t="s">
        <v>28198</v>
      </c>
      <c r="G9691" t="s">
        <v>28205</v>
      </c>
      <c r="H9691" t="s">
        <v>28214</v>
      </c>
      <c r="I9691" t="s">
        <v>3797</v>
      </c>
      <c r="J9691" t="s">
        <v>34376</v>
      </c>
      <c r="K9691" t="s">
        <v>36689</v>
      </c>
      <c r="M9691" t="s">
        <v>38960</v>
      </c>
      <c r="N9691" t="s">
        <v>40436</v>
      </c>
      <c r="O9691" t="s">
        <v>40437</v>
      </c>
      <c r="Q9691">
        <v>23</v>
      </c>
      <c r="R9691" t="s">
        <v>40448</v>
      </c>
      <c r="S9691" t="s">
        <v>40917</v>
      </c>
      <c r="T9691" t="s">
        <v>42133</v>
      </c>
      <c r="U9691" t="s">
        <v>47360</v>
      </c>
      <c r="W9691" t="s">
        <v>38960</v>
      </c>
      <c r="X9691" t="s">
        <v>40449</v>
      </c>
    </row>
    <row r="9692" spans="1:24">
      <c r="A9692">
        <f>HYPERLINK("https://www.philgeps.gov.ph/GEPSNONPILOT/Tender/SplashBidNoticeAbstractUI.aspx?menuIndex=3&amp;refID=7032027&amp;Result=3","7032027")</f>
        <v>0</v>
      </c>
      <c r="B9692" t="s">
        <v>2676</v>
      </c>
      <c r="C9692" t="s">
        <v>12331</v>
      </c>
      <c r="D9692" t="s">
        <v>16199</v>
      </c>
      <c r="E9692" t="s">
        <v>24748</v>
      </c>
      <c r="F9692" t="s">
        <v>28198</v>
      </c>
      <c r="G9692" t="s">
        <v>28205</v>
      </c>
      <c r="H9692" t="s">
        <v>28215</v>
      </c>
      <c r="I9692" t="s">
        <v>28222</v>
      </c>
      <c r="J9692" t="s">
        <v>34377</v>
      </c>
      <c r="K9692" t="s">
        <v>36708</v>
      </c>
      <c r="M9692" t="s">
        <v>39909</v>
      </c>
      <c r="N9692" t="s">
        <v>40436</v>
      </c>
      <c r="O9692" t="s">
        <v>40437</v>
      </c>
      <c r="P9692">
        <v>0</v>
      </c>
      <c r="Q9692">
        <v>0</v>
      </c>
      <c r="R9692" t="s">
        <v>40448</v>
      </c>
      <c r="S9692" t="s">
        <v>40910</v>
      </c>
      <c r="T9692" t="s">
        <v>42103</v>
      </c>
      <c r="U9692" t="s">
        <v>50727</v>
      </c>
      <c r="V9692" t="s">
        <v>54822</v>
      </c>
      <c r="W9692" t="s">
        <v>39909</v>
      </c>
      <c r="X9692" t="s">
        <v>40449</v>
      </c>
    </row>
    <row r="9693" spans="1:24">
      <c r="A9693">
        <f>HYPERLINK("https://www.philgeps.gov.ph/GEPSNONPILOT/Tender/SplashBidNoticeAbstractUI.aspx?menuIndex=3&amp;refID=7032096&amp;Result=3","7032096")</f>
        <v>0</v>
      </c>
      <c r="B9693" t="s">
        <v>2703</v>
      </c>
      <c r="C9693" t="s">
        <v>12332</v>
      </c>
      <c r="D9693" t="s">
        <v>16210</v>
      </c>
      <c r="E9693" t="s">
        <v>24749</v>
      </c>
      <c r="F9693" t="s">
        <v>28198</v>
      </c>
      <c r="G9693" t="s">
        <v>28205</v>
      </c>
      <c r="H9693" t="s">
        <v>28215</v>
      </c>
      <c r="I9693" t="s">
        <v>4200</v>
      </c>
      <c r="J9693" t="s">
        <v>34378</v>
      </c>
      <c r="K9693" t="s">
        <v>36688</v>
      </c>
      <c r="M9693" t="s">
        <v>39944</v>
      </c>
      <c r="N9693" t="s">
        <v>40436</v>
      </c>
      <c r="O9693" t="s">
        <v>40437</v>
      </c>
      <c r="P9693">
        <v>0</v>
      </c>
      <c r="Q9693">
        <v>0</v>
      </c>
      <c r="R9693" t="s">
        <v>40448</v>
      </c>
      <c r="S9693" t="s">
        <v>40910</v>
      </c>
      <c r="T9693" t="s">
        <v>42378</v>
      </c>
      <c r="U9693" t="s">
        <v>50719</v>
      </c>
      <c r="W9693" t="s">
        <v>39944</v>
      </c>
      <c r="X9693" t="s">
        <v>40449</v>
      </c>
    </row>
    <row r="9694" spans="1:24">
      <c r="A9694">
        <f>HYPERLINK("https://www.philgeps.gov.ph/GEPSNONPILOT/Tender/SplashBidNoticeAbstractUI.aspx?menuIndex=3&amp;refID=7031582&amp;Result=3","7031582")</f>
        <v>0</v>
      </c>
      <c r="B9694" t="s">
        <v>1668</v>
      </c>
      <c r="C9694" t="s">
        <v>12333</v>
      </c>
      <c r="D9694" t="s">
        <v>16193</v>
      </c>
      <c r="E9694" t="s">
        <v>24750</v>
      </c>
      <c r="F9694" t="s">
        <v>28198</v>
      </c>
      <c r="G9694" t="s">
        <v>28205</v>
      </c>
      <c r="H9694" t="s">
        <v>28215</v>
      </c>
      <c r="I9694" t="s">
        <v>8888</v>
      </c>
      <c r="J9694" t="s">
        <v>34379</v>
      </c>
      <c r="K9694" t="s">
        <v>36701</v>
      </c>
      <c r="M9694" t="s">
        <v>38947</v>
      </c>
      <c r="N9694" t="s">
        <v>40436</v>
      </c>
      <c r="O9694" t="s">
        <v>40437</v>
      </c>
      <c r="Q9694">
        <v>2</v>
      </c>
      <c r="R9694" t="s">
        <v>40448</v>
      </c>
      <c r="S9694" t="s">
        <v>40918</v>
      </c>
      <c r="T9694" t="s">
        <v>42279</v>
      </c>
      <c r="U9694" t="s">
        <v>50728</v>
      </c>
      <c r="V9694" t="s">
        <v>54835</v>
      </c>
      <c r="W9694" t="s">
        <v>38947</v>
      </c>
      <c r="X9694" t="s">
        <v>40450</v>
      </c>
    </row>
    <row r="9695" spans="1:24">
      <c r="A9695">
        <f>HYPERLINK("https://www.philgeps.gov.ph/GEPSNONPILOT/Tender/SplashBidNoticeAbstractUI.aspx?menuIndex=3&amp;refID=7032240&amp;Result=3","7032240")</f>
        <v>0</v>
      </c>
      <c r="B9695" t="s">
        <v>2707</v>
      </c>
      <c r="C9695" t="s">
        <v>12334</v>
      </c>
      <c r="D9695" t="s">
        <v>16265</v>
      </c>
      <c r="E9695" t="s">
        <v>24751</v>
      </c>
      <c r="F9695" t="s">
        <v>28198</v>
      </c>
      <c r="G9695" t="s">
        <v>28205</v>
      </c>
      <c r="H9695" t="s">
        <v>28215</v>
      </c>
      <c r="I9695" t="s">
        <v>8870</v>
      </c>
      <c r="J9695" t="s">
        <v>34380</v>
      </c>
      <c r="K9695" t="s">
        <v>36701</v>
      </c>
      <c r="M9695" t="s">
        <v>39948</v>
      </c>
      <c r="N9695" t="s">
        <v>40436</v>
      </c>
      <c r="O9695" t="s">
        <v>40437</v>
      </c>
      <c r="P9695">
        <v>0</v>
      </c>
      <c r="Q9695">
        <v>0</v>
      </c>
      <c r="R9695" t="s">
        <v>40448</v>
      </c>
      <c r="S9695" t="s">
        <v>40910</v>
      </c>
      <c r="T9695" t="s">
        <v>42183</v>
      </c>
      <c r="U9695" t="s">
        <v>50729</v>
      </c>
      <c r="W9695" t="s">
        <v>39948</v>
      </c>
      <c r="X9695" t="s">
        <v>40449</v>
      </c>
    </row>
    <row r="9696" spans="1:24">
      <c r="A9696">
        <f>HYPERLINK("https://www.philgeps.gov.ph/GEPSNONPILOT/Tender/SplashBidNoticeAbstractUI.aspx?menuIndex=3&amp;refID=7032163&amp;Result=3","7032163")</f>
        <v>0</v>
      </c>
      <c r="B9696" t="s">
        <v>508</v>
      </c>
      <c r="C9696" t="s">
        <v>12335</v>
      </c>
      <c r="E9696" t="s">
        <v>24752</v>
      </c>
      <c r="F9696" t="s">
        <v>28198</v>
      </c>
      <c r="G9696" t="s">
        <v>28205</v>
      </c>
      <c r="H9696" t="s">
        <v>28214</v>
      </c>
      <c r="I9696" t="s">
        <v>3797</v>
      </c>
      <c r="J9696" t="s">
        <v>34381</v>
      </c>
      <c r="K9696" t="s">
        <v>36689</v>
      </c>
      <c r="M9696" t="s">
        <v>37493</v>
      </c>
      <c r="N9696" t="s">
        <v>40436</v>
      </c>
      <c r="O9696" t="s">
        <v>40437</v>
      </c>
      <c r="P9696">
        <v>0</v>
      </c>
      <c r="Q9696">
        <v>0</v>
      </c>
      <c r="R9696" t="s">
        <v>40448</v>
      </c>
      <c r="S9696" t="s">
        <v>40910</v>
      </c>
      <c r="T9696" t="s">
        <v>42240</v>
      </c>
      <c r="U9696" t="s">
        <v>50730</v>
      </c>
      <c r="W9696" t="s">
        <v>37493</v>
      </c>
      <c r="X9696" t="s">
        <v>40449</v>
      </c>
    </row>
    <row r="9697" spans="1:24">
      <c r="A9697">
        <f>HYPERLINK("https://www.philgeps.gov.ph/GEPSNONPILOT/Tender/SplashBidNoticeAbstractUI.aspx?menuIndex=3&amp;refID=7031995&amp;Result=3","7031995")</f>
        <v>0</v>
      </c>
      <c r="B9697" t="s">
        <v>2702</v>
      </c>
      <c r="C9697" t="s">
        <v>12336</v>
      </c>
      <c r="D9697" t="s">
        <v>16190</v>
      </c>
      <c r="E9697" t="s">
        <v>24753</v>
      </c>
      <c r="F9697" t="s">
        <v>28198</v>
      </c>
      <c r="G9697" t="s">
        <v>28205</v>
      </c>
      <c r="H9697" t="s">
        <v>28215</v>
      </c>
      <c r="I9697" t="s">
        <v>5656</v>
      </c>
      <c r="J9697" t="s">
        <v>34382</v>
      </c>
      <c r="K9697" t="s">
        <v>36693</v>
      </c>
      <c r="M9697" t="s">
        <v>39943</v>
      </c>
      <c r="N9697" t="s">
        <v>40436</v>
      </c>
      <c r="O9697" t="s">
        <v>40437</v>
      </c>
      <c r="P9697">
        <v>0</v>
      </c>
      <c r="Q9697">
        <v>0</v>
      </c>
      <c r="R9697" t="s">
        <v>40448</v>
      </c>
      <c r="S9697" t="s">
        <v>40910</v>
      </c>
      <c r="T9697" t="s">
        <v>42346</v>
      </c>
      <c r="U9697" t="s">
        <v>50731</v>
      </c>
      <c r="W9697" t="s">
        <v>39943</v>
      </c>
      <c r="X9697" t="s">
        <v>40449</v>
      </c>
    </row>
    <row r="9698" spans="1:24">
      <c r="A9698">
        <f>HYPERLINK("https://www.philgeps.gov.ph/GEPSNONPILOT/Tender/SplashBidNoticeAbstractUI.aspx?menuIndex=3&amp;refID=7028878&amp;Result=3","7028878")</f>
        <v>0</v>
      </c>
      <c r="B9698" t="s">
        <v>514</v>
      </c>
      <c r="C9698" t="s">
        <v>12337</v>
      </c>
      <c r="D9698" t="s">
        <v>16203</v>
      </c>
      <c r="E9698" t="s">
        <v>18859</v>
      </c>
      <c r="F9698" t="s">
        <v>28200</v>
      </c>
      <c r="G9698" t="s">
        <v>28205</v>
      </c>
      <c r="H9698" t="s">
        <v>28215</v>
      </c>
      <c r="I9698" t="s">
        <v>28227</v>
      </c>
      <c r="J9698" t="s">
        <v>34383</v>
      </c>
      <c r="K9698" t="s">
        <v>36707</v>
      </c>
      <c r="M9698" t="s">
        <v>39949</v>
      </c>
      <c r="N9698" t="s">
        <v>40436</v>
      </c>
      <c r="O9698" t="s">
        <v>40437</v>
      </c>
      <c r="P9698">
        <v>0</v>
      </c>
      <c r="Q9698">
        <v>0</v>
      </c>
      <c r="R9698" t="s">
        <v>40448</v>
      </c>
      <c r="S9698" t="s">
        <v>40910</v>
      </c>
      <c r="T9698" t="s">
        <v>42103</v>
      </c>
      <c r="U9698" t="s">
        <v>50732</v>
      </c>
      <c r="W9698" t="s">
        <v>39949</v>
      </c>
      <c r="X9698" t="s">
        <v>40451</v>
      </c>
    </row>
    <row r="9699" spans="1:24">
      <c r="A9699">
        <f>HYPERLINK("https://www.philgeps.gov.ph/GEPSNONPILOT/Tender/SplashBidNoticeAbstractUI.aspx?menuIndex=3&amp;refID=7032194&amp;Result=3","7032194")</f>
        <v>0</v>
      </c>
      <c r="B9699" t="s">
        <v>158</v>
      </c>
      <c r="C9699" t="s">
        <v>12338</v>
      </c>
      <c r="D9699" t="s">
        <v>16195</v>
      </c>
      <c r="E9699" t="s">
        <v>18086</v>
      </c>
      <c r="F9699" t="s">
        <v>28198</v>
      </c>
      <c r="G9699" t="s">
        <v>28205</v>
      </c>
      <c r="H9699" t="s">
        <v>28214</v>
      </c>
      <c r="I9699" t="s">
        <v>3797</v>
      </c>
      <c r="J9699" t="s">
        <v>31348</v>
      </c>
      <c r="K9699" t="s">
        <v>36709</v>
      </c>
      <c r="M9699" t="s">
        <v>37132</v>
      </c>
      <c r="N9699" t="s">
        <v>40436</v>
      </c>
      <c r="O9699" t="s">
        <v>40437</v>
      </c>
      <c r="P9699">
        <v>0</v>
      </c>
      <c r="Q9699">
        <v>0</v>
      </c>
      <c r="R9699" t="s">
        <v>40448</v>
      </c>
      <c r="S9699" t="s">
        <v>40910</v>
      </c>
      <c r="T9699" t="s">
        <v>42112</v>
      </c>
      <c r="U9699" t="s">
        <v>50733</v>
      </c>
      <c r="W9699" t="s">
        <v>37132</v>
      </c>
      <c r="X9699" t="s">
        <v>40449</v>
      </c>
    </row>
    <row r="9700" spans="1:24">
      <c r="A9700">
        <f>HYPERLINK("https://www.philgeps.gov.ph/GEPSNONPILOT/Tender/SplashBidNoticeAbstractUI.aspx?menuIndex=3&amp;refID=7031991&amp;Result=3","7031991")</f>
        <v>0</v>
      </c>
      <c r="B9700" t="s">
        <v>2702</v>
      </c>
      <c r="C9700" t="s">
        <v>12339</v>
      </c>
      <c r="D9700" t="s">
        <v>16190</v>
      </c>
      <c r="E9700" t="s">
        <v>24754</v>
      </c>
      <c r="F9700" t="s">
        <v>28198</v>
      </c>
      <c r="G9700" t="s">
        <v>28205</v>
      </c>
      <c r="H9700" t="s">
        <v>28215</v>
      </c>
      <c r="I9700" t="s">
        <v>3422</v>
      </c>
      <c r="J9700" t="s">
        <v>28671</v>
      </c>
      <c r="K9700" t="s">
        <v>36693</v>
      </c>
      <c r="M9700" t="s">
        <v>39943</v>
      </c>
      <c r="N9700" t="s">
        <v>40436</v>
      </c>
      <c r="O9700" t="s">
        <v>40437</v>
      </c>
      <c r="P9700">
        <v>0</v>
      </c>
      <c r="Q9700">
        <v>0</v>
      </c>
      <c r="R9700" t="s">
        <v>40448</v>
      </c>
      <c r="S9700" t="s">
        <v>40910</v>
      </c>
      <c r="T9700" t="s">
        <v>42346</v>
      </c>
      <c r="U9700" t="s">
        <v>50734</v>
      </c>
      <c r="W9700" t="s">
        <v>39943</v>
      </c>
      <c r="X9700" t="s">
        <v>40449</v>
      </c>
    </row>
    <row r="9701" spans="1:24">
      <c r="A9701">
        <f>HYPERLINK("https://www.philgeps.gov.ph/GEPSNONPILOT/Tender/SplashBidNoticeAbstractUI.aspx?menuIndex=3&amp;refID=7031992&amp;Result=3","7031992")</f>
        <v>0</v>
      </c>
      <c r="B9701" t="s">
        <v>2702</v>
      </c>
      <c r="C9701" t="s">
        <v>12340</v>
      </c>
      <c r="D9701" t="s">
        <v>16190</v>
      </c>
      <c r="E9701" t="s">
        <v>24755</v>
      </c>
      <c r="F9701" t="s">
        <v>28198</v>
      </c>
      <c r="G9701" t="s">
        <v>28205</v>
      </c>
      <c r="H9701" t="s">
        <v>28215</v>
      </c>
      <c r="I9701" t="s">
        <v>5100</v>
      </c>
      <c r="J9701" t="s">
        <v>28670</v>
      </c>
      <c r="K9701" t="s">
        <v>36693</v>
      </c>
      <c r="M9701" t="s">
        <v>39943</v>
      </c>
      <c r="N9701" t="s">
        <v>40436</v>
      </c>
      <c r="O9701" t="s">
        <v>40437</v>
      </c>
      <c r="P9701">
        <v>0</v>
      </c>
      <c r="Q9701">
        <v>0</v>
      </c>
      <c r="R9701" t="s">
        <v>40448</v>
      </c>
      <c r="S9701" t="s">
        <v>40910</v>
      </c>
      <c r="T9701" t="s">
        <v>42346</v>
      </c>
      <c r="U9701" t="s">
        <v>50735</v>
      </c>
      <c r="W9701" t="s">
        <v>39943</v>
      </c>
      <c r="X9701" t="s">
        <v>40449</v>
      </c>
    </row>
    <row r="9702" spans="1:24">
      <c r="A9702">
        <f>HYPERLINK("https://www.philgeps.gov.ph/GEPSNONPILOT/Tender/SplashBidNoticeAbstractUI.aspx?menuIndex=3&amp;refID=7032108&amp;Result=3","7032108")</f>
        <v>0</v>
      </c>
      <c r="B9702" t="s">
        <v>2705</v>
      </c>
      <c r="C9702" t="s">
        <v>12341</v>
      </c>
      <c r="D9702" t="s">
        <v>16204</v>
      </c>
      <c r="E9702" t="s">
        <v>24756</v>
      </c>
      <c r="F9702" t="s">
        <v>28198</v>
      </c>
      <c r="G9702" t="s">
        <v>28205</v>
      </c>
      <c r="H9702" t="s">
        <v>28214</v>
      </c>
      <c r="I9702" t="s">
        <v>3797</v>
      </c>
      <c r="J9702" t="s">
        <v>28351</v>
      </c>
      <c r="K9702" t="s">
        <v>36812</v>
      </c>
      <c r="M9702" t="s">
        <v>39946</v>
      </c>
      <c r="N9702" t="s">
        <v>40436</v>
      </c>
      <c r="O9702" t="s">
        <v>40437</v>
      </c>
      <c r="P9702">
        <v>0</v>
      </c>
      <c r="Q9702">
        <v>49</v>
      </c>
      <c r="R9702" t="s">
        <v>40448</v>
      </c>
      <c r="S9702" t="s">
        <v>40910</v>
      </c>
      <c r="T9702" t="s">
        <v>42279</v>
      </c>
      <c r="U9702" t="s">
        <v>50736</v>
      </c>
      <c r="W9702" t="s">
        <v>39946</v>
      </c>
      <c r="X9702" t="s">
        <v>40449</v>
      </c>
    </row>
    <row r="9703" spans="1:24">
      <c r="A9703">
        <f>HYPERLINK("https://www.philgeps.gov.ph/GEPSNONPILOT/Tender/SplashBidNoticeAbstractUI.aspx?menuIndex=3&amp;refID=7032190&amp;Result=3","7032190")</f>
        <v>0</v>
      </c>
      <c r="B9703" t="s">
        <v>158</v>
      </c>
      <c r="C9703" t="s">
        <v>12338</v>
      </c>
      <c r="D9703" t="s">
        <v>16195</v>
      </c>
      <c r="E9703" t="s">
        <v>17644</v>
      </c>
      <c r="F9703" t="s">
        <v>28198</v>
      </c>
      <c r="G9703" t="s">
        <v>28205</v>
      </c>
      <c r="H9703" t="s">
        <v>28214</v>
      </c>
      <c r="I9703" t="s">
        <v>3797</v>
      </c>
      <c r="J9703" t="s">
        <v>29041</v>
      </c>
      <c r="K9703" t="s">
        <v>36697</v>
      </c>
      <c r="M9703" t="s">
        <v>37132</v>
      </c>
      <c r="N9703" t="s">
        <v>40436</v>
      </c>
      <c r="O9703" t="s">
        <v>40437</v>
      </c>
      <c r="P9703">
        <v>0</v>
      </c>
      <c r="Q9703">
        <v>0</v>
      </c>
      <c r="R9703" t="s">
        <v>40448</v>
      </c>
      <c r="S9703" t="s">
        <v>40910</v>
      </c>
      <c r="T9703" t="s">
        <v>42112</v>
      </c>
      <c r="U9703" t="s">
        <v>50737</v>
      </c>
      <c r="W9703" t="s">
        <v>37132</v>
      </c>
      <c r="X9703" t="s">
        <v>40449</v>
      </c>
    </row>
    <row r="9704" spans="1:24">
      <c r="A9704">
        <f>HYPERLINK("https://www.philgeps.gov.ph/GEPSNONPILOT/Tender/SplashBidNoticeAbstractUI.aspx?menuIndex=3&amp;refID=7032257&amp;Result=3","7032257")</f>
        <v>0</v>
      </c>
      <c r="B9704" t="s">
        <v>2708</v>
      </c>
      <c r="C9704" t="s">
        <v>12227</v>
      </c>
      <c r="D9704" t="s">
        <v>16235</v>
      </c>
      <c r="E9704" t="s">
        <v>24757</v>
      </c>
      <c r="F9704" t="s">
        <v>28198</v>
      </c>
      <c r="G9704" t="s">
        <v>28205</v>
      </c>
      <c r="H9704" t="s">
        <v>28214</v>
      </c>
      <c r="I9704" t="s">
        <v>3797</v>
      </c>
      <c r="J9704" t="s">
        <v>28559</v>
      </c>
      <c r="K9704" t="s">
        <v>36715</v>
      </c>
      <c r="M9704" t="s">
        <v>39950</v>
      </c>
      <c r="N9704" t="s">
        <v>40436</v>
      </c>
      <c r="O9704" t="s">
        <v>40437</v>
      </c>
      <c r="P9704">
        <v>0</v>
      </c>
      <c r="Q9704">
        <v>0</v>
      </c>
      <c r="R9704" t="s">
        <v>40448</v>
      </c>
      <c r="S9704" t="s">
        <v>40910</v>
      </c>
      <c r="T9704" t="s">
        <v>42168</v>
      </c>
      <c r="U9704" t="s">
        <v>50738</v>
      </c>
      <c r="V9704" t="s">
        <v>53957</v>
      </c>
      <c r="W9704" t="s">
        <v>39950</v>
      </c>
      <c r="X9704" t="s">
        <v>40449</v>
      </c>
    </row>
    <row r="9705" spans="1:24">
      <c r="A9705">
        <f>HYPERLINK("https://www.philgeps.gov.ph/GEPSNONPILOT/Tender/SplashBidNoticeAbstractUI.aspx?menuIndex=3&amp;refID=7032197&amp;Result=3","7032197")</f>
        <v>0</v>
      </c>
      <c r="B9705" t="s">
        <v>158</v>
      </c>
      <c r="C9705" t="s">
        <v>12342</v>
      </c>
      <c r="D9705" t="s">
        <v>16195</v>
      </c>
      <c r="E9705" t="s">
        <v>17562</v>
      </c>
      <c r="F9705" t="s">
        <v>28198</v>
      </c>
      <c r="G9705" t="s">
        <v>28205</v>
      </c>
      <c r="H9705" t="s">
        <v>28215</v>
      </c>
      <c r="I9705" t="s">
        <v>28222</v>
      </c>
      <c r="J9705" t="s">
        <v>34020</v>
      </c>
      <c r="K9705" t="s">
        <v>36689</v>
      </c>
      <c r="M9705" t="s">
        <v>37132</v>
      </c>
      <c r="N9705" t="s">
        <v>40436</v>
      </c>
      <c r="O9705" t="s">
        <v>40437</v>
      </c>
      <c r="P9705">
        <v>0</v>
      </c>
      <c r="Q9705">
        <v>2</v>
      </c>
      <c r="R9705" t="s">
        <v>40448</v>
      </c>
      <c r="S9705" t="s">
        <v>40910</v>
      </c>
      <c r="T9705" t="s">
        <v>42112</v>
      </c>
      <c r="U9705" t="s">
        <v>50739</v>
      </c>
      <c r="W9705" t="s">
        <v>37132</v>
      </c>
      <c r="X9705" t="s">
        <v>40449</v>
      </c>
    </row>
    <row r="9706" spans="1:24">
      <c r="A9706">
        <f>HYPERLINK("https://www.philgeps.gov.ph/GEPSNONPILOT/Tender/SplashBidNoticeAbstractUI.aspx?menuIndex=3&amp;refID=7026083&amp;Result=3","7026083")</f>
        <v>0</v>
      </c>
      <c r="B9706" t="s">
        <v>1309</v>
      </c>
      <c r="C9706" t="s">
        <v>12343</v>
      </c>
      <c r="D9706" t="s">
        <v>16259</v>
      </c>
      <c r="E9706" t="s">
        <v>24758</v>
      </c>
      <c r="F9706" t="s">
        <v>28198</v>
      </c>
      <c r="G9706" t="s">
        <v>28205</v>
      </c>
      <c r="H9706" t="s">
        <v>28214</v>
      </c>
      <c r="I9706" t="s">
        <v>3797</v>
      </c>
      <c r="J9706" t="s">
        <v>34384</v>
      </c>
      <c r="K9706" t="s">
        <v>36709</v>
      </c>
      <c r="M9706" t="s">
        <v>38363</v>
      </c>
      <c r="N9706" t="s">
        <v>40436</v>
      </c>
      <c r="O9706" t="s">
        <v>40437</v>
      </c>
      <c r="P9706">
        <v>0</v>
      </c>
      <c r="Q9706">
        <v>0</v>
      </c>
      <c r="R9706" t="s">
        <v>40449</v>
      </c>
      <c r="S9706" t="s">
        <v>40919</v>
      </c>
      <c r="T9706" t="s">
        <v>42145</v>
      </c>
      <c r="U9706" t="s">
        <v>50740</v>
      </c>
      <c r="W9706" t="s">
        <v>38363</v>
      </c>
      <c r="X9706" t="s">
        <v>40452</v>
      </c>
    </row>
    <row r="9707" spans="1:24">
      <c r="A9707">
        <f>HYPERLINK("https://www.philgeps.gov.ph/GEPSNONPILOT/Tender/SplashBidNoticeAbstractUI.aspx?menuIndex=3&amp;refID=7032343&amp;Result=3","7032343")</f>
        <v>0</v>
      </c>
      <c r="B9707" t="s">
        <v>1766</v>
      </c>
      <c r="C9707" t="s">
        <v>12344</v>
      </c>
      <c r="D9707" t="s">
        <v>16203</v>
      </c>
      <c r="E9707" t="s">
        <v>24759</v>
      </c>
      <c r="F9707" t="s">
        <v>28198</v>
      </c>
      <c r="G9707" t="s">
        <v>28205</v>
      </c>
      <c r="H9707" t="s">
        <v>28215</v>
      </c>
      <c r="I9707" t="s">
        <v>28243</v>
      </c>
      <c r="J9707" t="s">
        <v>34385</v>
      </c>
      <c r="K9707" t="s">
        <v>36689</v>
      </c>
      <c r="M9707" t="s">
        <v>38881</v>
      </c>
      <c r="N9707" t="s">
        <v>40436</v>
      </c>
      <c r="O9707" t="s">
        <v>40437</v>
      </c>
      <c r="Q9707">
        <v>4</v>
      </c>
      <c r="R9707" t="s">
        <v>40448</v>
      </c>
      <c r="S9707" t="s">
        <v>40920</v>
      </c>
      <c r="T9707" t="s">
        <v>42346</v>
      </c>
      <c r="U9707" t="s">
        <v>50741</v>
      </c>
      <c r="V9707" t="s">
        <v>54836</v>
      </c>
      <c r="W9707" t="s">
        <v>38881</v>
      </c>
      <c r="X9707" t="s">
        <v>40449</v>
      </c>
    </row>
    <row r="9708" spans="1:24">
      <c r="A9708">
        <f>HYPERLINK("https://www.philgeps.gov.ph/GEPSNONPILOT/Tender/SplashBidNoticeAbstractUI.aspx?menuIndex=3&amp;refID=7032333&amp;Result=3","7032333")</f>
        <v>0</v>
      </c>
      <c r="B9708" t="s">
        <v>1973</v>
      </c>
      <c r="C9708" t="s">
        <v>12345</v>
      </c>
      <c r="E9708" t="s">
        <v>24760</v>
      </c>
      <c r="F9708" t="s">
        <v>28198</v>
      </c>
      <c r="G9708" t="s">
        <v>28205</v>
      </c>
      <c r="H9708" t="s">
        <v>28217</v>
      </c>
      <c r="I9708" t="s">
        <v>28231</v>
      </c>
      <c r="J9708" t="s">
        <v>34386</v>
      </c>
      <c r="K9708" t="s">
        <v>36756</v>
      </c>
      <c r="M9708" t="s">
        <v>39109</v>
      </c>
      <c r="N9708" t="s">
        <v>40436</v>
      </c>
      <c r="O9708" t="s">
        <v>40437</v>
      </c>
      <c r="Q9708">
        <v>9</v>
      </c>
      <c r="R9708" t="s">
        <v>40448</v>
      </c>
      <c r="S9708" t="s">
        <v>40921</v>
      </c>
      <c r="T9708" t="s">
        <v>42106</v>
      </c>
      <c r="U9708" t="s">
        <v>50742</v>
      </c>
      <c r="W9708" t="s">
        <v>39109</v>
      </c>
      <c r="X9708" t="s">
        <v>40449</v>
      </c>
    </row>
    <row r="9709" spans="1:24">
      <c r="A9709">
        <f>HYPERLINK("https://www.philgeps.gov.ph/GEPSNONPILOT/Tender/SplashBidNoticeAbstractUI.aspx?menuIndex=3&amp;refID=7025719&amp;Result=3","7025719")</f>
        <v>0</v>
      </c>
      <c r="B9709" t="s">
        <v>1309</v>
      </c>
      <c r="C9709" t="s">
        <v>12343</v>
      </c>
      <c r="D9709" t="s">
        <v>16259</v>
      </c>
      <c r="E9709" t="s">
        <v>24761</v>
      </c>
      <c r="F9709" t="s">
        <v>28198</v>
      </c>
      <c r="G9709" t="s">
        <v>28205</v>
      </c>
      <c r="H9709" t="s">
        <v>28214</v>
      </c>
      <c r="I9709" t="s">
        <v>3797</v>
      </c>
      <c r="J9709" t="s">
        <v>34387</v>
      </c>
      <c r="K9709" t="s">
        <v>36905</v>
      </c>
      <c r="M9709" t="s">
        <v>38363</v>
      </c>
      <c r="N9709" t="s">
        <v>40436</v>
      </c>
      <c r="O9709" t="s">
        <v>40437</v>
      </c>
      <c r="P9709">
        <v>0</v>
      </c>
      <c r="Q9709">
        <v>0</v>
      </c>
      <c r="R9709" t="s">
        <v>40449</v>
      </c>
      <c r="S9709" t="s">
        <v>40919</v>
      </c>
      <c r="T9709" t="s">
        <v>42145</v>
      </c>
      <c r="U9709" t="s">
        <v>50743</v>
      </c>
      <c r="W9709" t="s">
        <v>38363</v>
      </c>
      <c r="X9709" t="s">
        <v>40452</v>
      </c>
    </row>
    <row r="9710" spans="1:24">
      <c r="A9710">
        <f>HYPERLINK("https://www.philgeps.gov.ph/GEPSNONPILOT/Tender/SplashBidNoticeAbstractUI.aspx?menuIndex=3&amp;refID=7032337&amp;Result=3","7032337")</f>
        <v>0</v>
      </c>
      <c r="B9710" t="s">
        <v>1973</v>
      </c>
      <c r="C9710" t="s">
        <v>12346</v>
      </c>
      <c r="E9710" t="s">
        <v>24762</v>
      </c>
      <c r="F9710" t="s">
        <v>28198</v>
      </c>
      <c r="G9710" t="s">
        <v>28205</v>
      </c>
      <c r="H9710" t="s">
        <v>28215</v>
      </c>
      <c r="I9710" t="s">
        <v>28273</v>
      </c>
      <c r="J9710" t="s">
        <v>28899</v>
      </c>
      <c r="K9710" t="s">
        <v>36694</v>
      </c>
      <c r="M9710" t="s">
        <v>39109</v>
      </c>
      <c r="N9710" t="s">
        <v>40436</v>
      </c>
      <c r="O9710" t="s">
        <v>40437</v>
      </c>
      <c r="Q9710">
        <v>9</v>
      </c>
      <c r="R9710" t="s">
        <v>40448</v>
      </c>
      <c r="S9710" t="s">
        <v>40922</v>
      </c>
      <c r="T9710" t="s">
        <v>42548</v>
      </c>
      <c r="U9710" t="s">
        <v>50744</v>
      </c>
      <c r="W9710" t="s">
        <v>39109</v>
      </c>
      <c r="X9710" t="s">
        <v>40449</v>
      </c>
    </row>
    <row r="9711" spans="1:24">
      <c r="A9711">
        <f>HYPERLINK("https://www.philgeps.gov.ph/GEPSNONPILOT/Tender/SplashBidNoticeAbstractUI.aspx?menuIndex=3&amp;refID=7032290&amp;Result=3","7032290")</f>
        <v>0</v>
      </c>
      <c r="B9711" t="s">
        <v>218</v>
      </c>
      <c r="C9711" t="s">
        <v>12347</v>
      </c>
      <c r="D9711" t="s">
        <v>16226</v>
      </c>
      <c r="E9711" t="s">
        <v>24763</v>
      </c>
      <c r="F9711" t="s">
        <v>28198</v>
      </c>
      <c r="G9711" t="s">
        <v>28205</v>
      </c>
      <c r="H9711" t="s">
        <v>28214</v>
      </c>
      <c r="I9711" t="s">
        <v>3797</v>
      </c>
      <c r="J9711" t="s">
        <v>34388</v>
      </c>
      <c r="K9711" t="s">
        <v>36833</v>
      </c>
      <c r="M9711" t="s">
        <v>37194</v>
      </c>
      <c r="N9711" t="s">
        <v>40436</v>
      </c>
      <c r="O9711" t="s">
        <v>40437</v>
      </c>
      <c r="P9711">
        <v>0</v>
      </c>
      <c r="Q9711">
        <v>0</v>
      </c>
      <c r="R9711" t="s">
        <v>40448</v>
      </c>
      <c r="S9711" t="s">
        <v>40910</v>
      </c>
      <c r="T9711" t="s">
        <v>42124</v>
      </c>
      <c r="U9711" t="s">
        <v>50745</v>
      </c>
      <c r="W9711" t="s">
        <v>37194</v>
      </c>
      <c r="X9711" t="s">
        <v>40449</v>
      </c>
    </row>
    <row r="9712" spans="1:24">
      <c r="A9712">
        <f>HYPERLINK("https://www.philgeps.gov.ph/GEPSNONPILOT/Tender/SplashBidNoticeAbstractUI.aspx?menuIndex=3&amp;refID=7032346&amp;Result=3","7032346")</f>
        <v>0</v>
      </c>
      <c r="B9712" t="s">
        <v>1766</v>
      </c>
      <c r="C9712" t="s">
        <v>12348</v>
      </c>
      <c r="D9712" t="s">
        <v>16203</v>
      </c>
      <c r="E9712" t="s">
        <v>24764</v>
      </c>
      <c r="F9712" t="s">
        <v>28198</v>
      </c>
      <c r="G9712" t="s">
        <v>28205</v>
      </c>
      <c r="H9712" t="s">
        <v>28215</v>
      </c>
      <c r="I9712" t="s">
        <v>28243</v>
      </c>
      <c r="J9712" t="s">
        <v>34389</v>
      </c>
      <c r="K9712" t="s">
        <v>36707</v>
      </c>
      <c r="M9712" t="s">
        <v>38881</v>
      </c>
      <c r="N9712" t="s">
        <v>40436</v>
      </c>
      <c r="O9712" t="s">
        <v>40437</v>
      </c>
      <c r="Q9712">
        <v>3</v>
      </c>
      <c r="R9712" t="s">
        <v>40448</v>
      </c>
      <c r="S9712" t="s">
        <v>40923</v>
      </c>
      <c r="T9712" t="s">
        <v>42244</v>
      </c>
      <c r="U9712" t="s">
        <v>50746</v>
      </c>
      <c r="V9712" t="s">
        <v>54836</v>
      </c>
      <c r="W9712" t="s">
        <v>38881</v>
      </c>
      <c r="X9712" t="s">
        <v>40449</v>
      </c>
    </row>
    <row r="9713" spans="1:24">
      <c r="A9713">
        <f>HYPERLINK("https://www.philgeps.gov.ph/GEPSNONPILOT/Tender/SplashBidNoticeAbstractUI.aspx?menuIndex=3&amp;refID=7025738&amp;Result=3","7025738")</f>
        <v>0</v>
      </c>
      <c r="B9713" t="s">
        <v>2709</v>
      </c>
      <c r="C9713" t="s">
        <v>12349</v>
      </c>
      <c r="D9713" t="s">
        <v>16200</v>
      </c>
      <c r="E9713" t="s">
        <v>16473</v>
      </c>
      <c r="F9713" t="s">
        <v>28198</v>
      </c>
      <c r="G9713" t="s">
        <v>28205</v>
      </c>
      <c r="H9713" t="s">
        <v>28215</v>
      </c>
      <c r="I9713" t="s">
        <v>5100</v>
      </c>
      <c r="J9713" t="s">
        <v>34390</v>
      </c>
      <c r="K9713" t="s">
        <v>36706</v>
      </c>
      <c r="M9713" t="s">
        <v>39951</v>
      </c>
      <c r="N9713" t="s">
        <v>40436</v>
      </c>
      <c r="O9713" t="s">
        <v>40437</v>
      </c>
      <c r="P9713">
        <v>0</v>
      </c>
      <c r="Q9713">
        <v>1</v>
      </c>
      <c r="R9713" t="s">
        <v>40449</v>
      </c>
      <c r="S9713" t="s">
        <v>40919</v>
      </c>
      <c r="T9713" t="s">
        <v>42233</v>
      </c>
      <c r="U9713" t="s">
        <v>50747</v>
      </c>
      <c r="W9713" t="s">
        <v>39951</v>
      </c>
      <c r="X9713" t="s">
        <v>40452</v>
      </c>
    </row>
    <row r="9714" spans="1:24">
      <c r="A9714">
        <f>HYPERLINK("https://www.philgeps.gov.ph/GEPSNONPILOT/Tender/SplashBidNoticeAbstractUI.aspx?menuIndex=3&amp;refID=7027696&amp;Result=3","7027696")</f>
        <v>0</v>
      </c>
      <c r="B9714" t="s">
        <v>376</v>
      </c>
      <c r="C9714" t="s">
        <v>12350</v>
      </c>
      <c r="D9714" t="s">
        <v>16255</v>
      </c>
      <c r="E9714" t="s">
        <v>24765</v>
      </c>
      <c r="F9714" t="s">
        <v>28198</v>
      </c>
      <c r="G9714" t="s">
        <v>28205</v>
      </c>
      <c r="H9714" t="s">
        <v>28215</v>
      </c>
      <c r="I9714" t="s">
        <v>28228</v>
      </c>
      <c r="J9714" t="s">
        <v>34391</v>
      </c>
      <c r="K9714" t="s">
        <v>36701</v>
      </c>
      <c r="M9714" t="s">
        <v>37356</v>
      </c>
      <c r="N9714" t="s">
        <v>40436</v>
      </c>
      <c r="O9714" t="s">
        <v>40437</v>
      </c>
      <c r="P9714">
        <v>0</v>
      </c>
      <c r="Q9714">
        <v>0</v>
      </c>
      <c r="R9714" t="s">
        <v>40449</v>
      </c>
      <c r="S9714" t="s">
        <v>40919</v>
      </c>
      <c r="T9714" t="s">
        <v>42279</v>
      </c>
      <c r="U9714" t="s">
        <v>50748</v>
      </c>
      <c r="V9714" t="s">
        <v>54837</v>
      </c>
      <c r="W9714" t="s">
        <v>37356</v>
      </c>
      <c r="X9714" t="s">
        <v>40451</v>
      </c>
    </row>
    <row r="9715" spans="1:24">
      <c r="A9715">
        <f>HYPERLINK("https://www.philgeps.gov.ph/GEPSNONPILOT/Tender/SplashBidNoticeAbstractUI.aspx?menuIndex=3&amp;refID=7027998&amp;Result=3","7027998")</f>
        <v>0</v>
      </c>
      <c r="B9715" t="s">
        <v>215</v>
      </c>
      <c r="C9715" t="s">
        <v>12351</v>
      </c>
      <c r="D9715" t="s">
        <v>16218</v>
      </c>
      <c r="E9715" t="s">
        <v>24766</v>
      </c>
      <c r="F9715" t="s">
        <v>28198</v>
      </c>
      <c r="G9715" t="s">
        <v>28205</v>
      </c>
      <c r="H9715" t="s">
        <v>28214</v>
      </c>
      <c r="I9715" t="s">
        <v>3797</v>
      </c>
      <c r="J9715" t="s">
        <v>34392</v>
      </c>
      <c r="K9715" t="s">
        <v>36867</v>
      </c>
      <c r="M9715" t="s">
        <v>37795</v>
      </c>
      <c r="N9715" t="s">
        <v>40436</v>
      </c>
      <c r="O9715" t="s">
        <v>40437</v>
      </c>
      <c r="P9715">
        <v>0</v>
      </c>
      <c r="Q9715">
        <v>0</v>
      </c>
      <c r="R9715" t="s">
        <v>40449</v>
      </c>
      <c r="S9715" t="s">
        <v>40919</v>
      </c>
      <c r="T9715" t="s">
        <v>42114</v>
      </c>
      <c r="U9715" t="s">
        <v>50749</v>
      </c>
      <c r="W9715" t="s">
        <v>37795</v>
      </c>
      <c r="X9715" t="s">
        <v>40451</v>
      </c>
    </row>
    <row r="9716" spans="1:24">
      <c r="A9716">
        <f>HYPERLINK("https://www.philgeps.gov.ph/GEPSNONPILOT/Tender/SplashBidNoticeAbstractUI.aspx?menuIndex=3&amp;refID=7028487&amp;Result=3","7028487")</f>
        <v>0</v>
      </c>
      <c r="B9716" t="s">
        <v>2302</v>
      </c>
      <c r="C9716" t="s">
        <v>12352</v>
      </c>
      <c r="D9716" t="s">
        <v>16210</v>
      </c>
      <c r="E9716" t="s">
        <v>24767</v>
      </c>
      <c r="F9716" t="s">
        <v>28198</v>
      </c>
      <c r="G9716" t="s">
        <v>28205</v>
      </c>
      <c r="H9716" t="s">
        <v>28214</v>
      </c>
      <c r="I9716" t="s">
        <v>3797</v>
      </c>
      <c r="J9716" t="s">
        <v>34393</v>
      </c>
      <c r="K9716" t="s">
        <v>36888</v>
      </c>
      <c r="M9716" t="s">
        <v>39477</v>
      </c>
      <c r="N9716" t="s">
        <v>40436</v>
      </c>
      <c r="O9716" t="s">
        <v>40437</v>
      </c>
      <c r="P9716">
        <v>0</v>
      </c>
      <c r="Q9716">
        <v>3</v>
      </c>
      <c r="R9716" t="s">
        <v>40449</v>
      </c>
      <c r="S9716" t="s">
        <v>40919</v>
      </c>
      <c r="T9716" t="s">
        <v>42179</v>
      </c>
      <c r="U9716" t="s">
        <v>50750</v>
      </c>
      <c r="V9716" t="s">
        <v>54838</v>
      </c>
      <c r="W9716" t="s">
        <v>39477</v>
      </c>
      <c r="X9716" t="s">
        <v>40451</v>
      </c>
    </row>
    <row r="9717" spans="1:24">
      <c r="A9717">
        <f>HYPERLINK("https://www.philgeps.gov.ph/GEPSNONPILOT/Tender/SplashBidNoticeAbstractUI.aspx?menuIndex=3&amp;refID=7028454&amp;Result=3","7028454")</f>
        <v>0</v>
      </c>
      <c r="B9717" t="s">
        <v>215</v>
      </c>
      <c r="C9717" t="s">
        <v>12353</v>
      </c>
      <c r="D9717" t="s">
        <v>16218</v>
      </c>
      <c r="E9717" t="s">
        <v>24768</v>
      </c>
      <c r="F9717" t="s">
        <v>28198</v>
      </c>
      <c r="G9717" t="s">
        <v>28205</v>
      </c>
      <c r="H9717" t="s">
        <v>28214</v>
      </c>
      <c r="I9717" t="s">
        <v>3797</v>
      </c>
      <c r="J9717" t="s">
        <v>34394</v>
      </c>
      <c r="K9717" t="s">
        <v>36784</v>
      </c>
      <c r="M9717" t="s">
        <v>37795</v>
      </c>
      <c r="N9717" t="s">
        <v>40436</v>
      </c>
      <c r="O9717" t="s">
        <v>40437</v>
      </c>
      <c r="P9717">
        <v>0</v>
      </c>
      <c r="Q9717">
        <v>0</v>
      </c>
      <c r="R9717" t="s">
        <v>40449</v>
      </c>
      <c r="S9717" t="s">
        <v>40919</v>
      </c>
      <c r="T9717" t="s">
        <v>42114</v>
      </c>
      <c r="U9717" t="s">
        <v>50751</v>
      </c>
      <c r="W9717" t="s">
        <v>37795</v>
      </c>
      <c r="X9717" t="s">
        <v>40451</v>
      </c>
    </row>
    <row r="9718" spans="1:24">
      <c r="A9718">
        <f>HYPERLINK("https://www.philgeps.gov.ph/GEPSNONPILOT/Tender/SplashBidNoticeAbstractUI.aspx?menuIndex=3&amp;refID=7027642&amp;Result=3","7027642")</f>
        <v>0</v>
      </c>
      <c r="B9718" t="s">
        <v>376</v>
      </c>
      <c r="C9718" t="s">
        <v>12354</v>
      </c>
      <c r="D9718" t="s">
        <v>16255</v>
      </c>
      <c r="E9718" t="s">
        <v>24769</v>
      </c>
      <c r="F9718" t="s">
        <v>28198</v>
      </c>
      <c r="G9718" t="s">
        <v>28205</v>
      </c>
      <c r="H9718" t="s">
        <v>28215</v>
      </c>
      <c r="I9718" t="s">
        <v>4168</v>
      </c>
      <c r="J9718" t="s">
        <v>34395</v>
      </c>
      <c r="K9718" t="s">
        <v>36701</v>
      </c>
      <c r="M9718" t="s">
        <v>37356</v>
      </c>
      <c r="N9718" t="s">
        <v>40436</v>
      </c>
      <c r="O9718" t="s">
        <v>40437</v>
      </c>
      <c r="Q9718">
        <v>3</v>
      </c>
      <c r="R9718" t="s">
        <v>40449</v>
      </c>
      <c r="S9718" t="s">
        <v>40924</v>
      </c>
      <c r="T9718" t="s">
        <v>42279</v>
      </c>
      <c r="U9718" t="s">
        <v>50752</v>
      </c>
      <c r="V9718" t="s">
        <v>54839</v>
      </c>
      <c r="W9718" t="s">
        <v>37356</v>
      </c>
      <c r="X9718" t="s">
        <v>40451</v>
      </c>
    </row>
    <row r="9719" spans="1:24">
      <c r="A9719">
        <f>HYPERLINK("https://www.philgeps.gov.ph/GEPSNONPILOT/Tender/SplashBidNoticeAbstractUI.aspx?menuIndex=3&amp;refID=7032325&amp;Result=3","7032325")</f>
        <v>0</v>
      </c>
      <c r="B9719" t="s">
        <v>218</v>
      </c>
      <c r="C9719" t="s">
        <v>12355</v>
      </c>
      <c r="D9719" t="s">
        <v>16226</v>
      </c>
      <c r="E9719" t="s">
        <v>24770</v>
      </c>
      <c r="F9719" t="s">
        <v>28198</v>
      </c>
      <c r="G9719" t="s">
        <v>28205</v>
      </c>
      <c r="H9719" t="s">
        <v>28215</v>
      </c>
      <c r="I9719" t="s">
        <v>28222</v>
      </c>
      <c r="J9719" t="s">
        <v>31303</v>
      </c>
      <c r="K9719" t="s">
        <v>36688</v>
      </c>
      <c r="M9719" t="s">
        <v>37194</v>
      </c>
      <c r="N9719" t="s">
        <v>40436</v>
      </c>
      <c r="O9719" t="s">
        <v>40437</v>
      </c>
      <c r="P9719">
        <v>0</v>
      </c>
      <c r="Q9719">
        <v>3</v>
      </c>
      <c r="R9719" t="s">
        <v>40448</v>
      </c>
      <c r="S9719" t="s">
        <v>40910</v>
      </c>
      <c r="T9719" t="s">
        <v>42124</v>
      </c>
      <c r="U9719" t="s">
        <v>50753</v>
      </c>
      <c r="W9719" t="s">
        <v>37194</v>
      </c>
      <c r="X9719" t="s">
        <v>40449</v>
      </c>
    </row>
    <row r="9720" spans="1:24">
      <c r="A9720">
        <f>HYPERLINK("https://www.philgeps.gov.ph/GEPSNONPILOT/Tender/SplashBidNoticeAbstractUI.aspx?menuIndex=3&amp;refID=7028326&amp;Result=3","7028326")</f>
        <v>0</v>
      </c>
      <c r="B9720" t="s">
        <v>215</v>
      </c>
      <c r="C9720" t="s">
        <v>12356</v>
      </c>
      <c r="D9720" t="s">
        <v>16218</v>
      </c>
      <c r="E9720" t="s">
        <v>24771</v>
      </c>
      <c r="F9720" t="s">
        <v>28198</v>
      </c>
      <c r="G9720" t="s">
        <v>28205</v>
      </c>
      <c r="H9720" t="s">
        <v>28214</v>
      </c>
      <c r="I9720" t="s">
        <v>3797</v>
      </c>
      <c r="J9720" t="s">
        <v>34396</v>
      </c>
      <c r="K9720" t="s">
        <v>36708</v>
      </c>
      <c r="M9720" t="s">
        <v>37795</v>
      </c>
      <c r="N9720" t="s">
        <v>40436</v>
      </c>
      <c r="O9720" t="s">
        <v>40437</v>
      </c>
      <c r="P9720">
        <v>0</v>
      </c>
      <c r="Q9720">
        <v>0</v>
      </c>
      <c r="R9720" t="s">
        <v>40449</v>
      </c>
      <c r="S9720" t="s">
        <v>40919</v>
      </c>
      <c r="T9720" t="s">
        <v>42114</v>
      </c>
      <c r="U9720" t="s">
        <v>50754</v>
      </c>
      <c r="W9720" t="s">
        <v>37795</v>
      </c>
      <c r="X9720" t="s">
        <v>40451</v>
      </c>
    </row>
    <row r="9721" spans="1:24">
      <c r="A9721">
        <f>HYPERLINK("https://www.philgeps.gov.ph/GEPSNONPILOT/Tender/SplashBidNoticeAbstractUI.aspx?menuIndex=3&amp;refID=7028119&amp;Result=3","7028119")</f>
        <v>0</v>
      </c>
      <c r="B9721" t="s">
        <v>215</v>
      </c>
      <c r="C9721" t="s">
        <v>12357</v>
      </c>
      <c r="D9721" t="s">
        <v>16218</v>
      </c>
      <c r="E9721" t="s">
        <v>24772</v>
      </c>
      <c r="F9721" t="s">
        <v>28198</v>
      </c>
      <c r="G9721" t="s">
        <v>28205</v>
      </c>
      <c r="H9721" t="s">
        <v>28214</v>
      </c>
      <c r="I9721" t="s">
        <v>3797</v>
      </c>
      <c r="J9721" t="s">
        <v>34397</v>
      </c>
      <c r="K9721" t="s">
        <v>36795</v>
      </c>
      <c r="M9721" t="s">
        <v>37795</v>
      </c>
      <c r="N9721" t="s">
        <v>40436</v>
      </c>
      <c r="O9721" t="s">
        <v>40437</v>
      </c>
      <c r="P9721">
        <v>0</v>
      </c>
      <c r="Q9721">
        <v>0</v>
      </c>
      <c r="R9721" t="s">
        <v>40449</v>
      </c>
      <c r="S9721" t="s">
        <v>40919</v>
      </c>
      <c r="T9721" t="s">
        <v>42114</v>
      </c>
      <c r="U9721" t="s">
        <v>50755</v>
      </c>
      <c r="W9721" t="s">
        <v>37795</v>
      </c>
      <c r="X9721" t="s">
        <v>40451</v>
      </c>
    </row>
    <row r="9722" spans="1:24">
      <c r="A9722">
        <f>HYPERLINK("https://www.philgeps.gov.ph/GEPSNONPILOT/Tender/SplashBidNoticeAbstractUI.aspx?menuIndex=3&amp;refID=7028596&amp;Result=3","7028596")</f>
        <v>0</v>
      </c>
      <c r="B9722" t="s">
        <v>215</v>
      </c>
      <c r="C9722" t="s">
        <v>12358</v>
      </c>
      <c r="D9722" t="s">
        <v>16218</v>
      </c>
      <c r="E9722" t="s">
        <v>24773</v>
      </c>
      <c r="F9722" t="s">
        <v>28198</v>
      </c>
      <c r="G9722" t="s">
        <v>28205</v>
      </c>
      <c r="H9722" t="s">
        <v>28214</v>
      </c>
      <c r="I9722" t="s">
        <v>3797</v>
      </c>
      <c r="J9722" t="s">
        <v>34398</v>
      </c>
      <c r="K9722" t="s">
        <v>36799</v>
      </c>
      <c r="M9722" t="s">
        <v>37795</v>
      </c>
      <c r="N9722" t="s">
        <v>40436</v>
      </c>
      <c r="O9722" t="s">
        <v>40437</v>
      </c>
      <c r="P9722">
        <v>0</v>
      </c>
      <c r="Q9722">
        <v>0</v>
      </c>
      <c r="R9722" t="s">
        <v>40449</v>
      </c>
      <c r="S9722" t="s">
        <v>40919</v>
      </c>
      <c r="T9722" t="s">
        <v>42114</v>
      </c>
      <c r="U9722" t="s">
        <v>50756</v>
      </c>
      <c r="W9722" t="s">
        <v>37795</v>
      </c>
      <c r="X9722" t="s">
        <v>40451</v>
      </c>
    </row>
    <row r="9723" spans="1:24">
      <c r="A9723">
        <f>HYPERLINK("https://www.philgeps.gov.ph/GEPSNONPILOT/Tender/SplashBidNoticeAbstractUI.aspx?menuIndex=3&amp;refID=7028222&amp;Result=3","7028222")</f>
        <v>0</v>
      </c>
      <c r="B9723" t="s">
        <v>215</v>
      </c>
      <c r="C9723" t="s">
        <v>12359</v>
      </c>
      <c r="D9723" t="s">
        <v>16218</v>
      </c>
      <c r="E9723" t="s">
        <v>24774</v>
      </c>
      <c r="F9723" t="s">
        <v>28198</v>
      </c>
      <c r="G9723" t="s">
        <v>28205</v>
      </c>
      <c r="H9723" t="s">
        <v>28214</v>
      </c>
      <c r="I9723" t="s">
        <v>3797</v>
      </c>
      <c r="J9723" t="s">
        <v>34399</v>
      </c>
      <c r="K9723" t="s">
        <v>36730</v>
      </c>
      <c r="M9723" t="s">
        <v>37795</v>
      </c>
      <c r="N9723" t="s">
        <v>40436</v>
      </c>
      <c r="O9723" t="s">
        <v>40437</v>
      </c>
      <c r="P9723">
        <v>0</v>
      </c>
      <c r="Q9723">
        <v>0</v>
      </c>
      <c r="R9723" t="s">
        <v>40449</v>
      </c>
      <c r="S9723" t="s">
        <v>40919</v>
      </c>
      <c r="T9723" t="s">
        <v>42114</v>
      </c>
      <c r="U9723" t="s">
        <v>50757</v>
      </c>
      <c r="W9723" t="s">
        <v>37795</v>
      </c>
      <c r="X9723" t="s">
        <v>40451</v>
      </c>
    </row>
    <row r="9724" spans="1:24">
      <c r="A9724">
        <f>HYPERLINK("https://www.philgeps.gov.ph/GEPSNONPILOT/Tender/SplashBidNoticeAbstractUI.aspx?menuIndex=3&amp;refID=7029807&amp;Result=3","7029807")</f>
        <v>0</v>
      </c>
      <c r="B9724" t="s">
        <v>1916</v>
      </c>
      <c r="C9724" t="s">
        <v>8879</v>
      </c>
      <c r="D9724" t="s">
        <v>16251</v>
      </c>
      <c r="E9724" t="s">
        <v>16988</v>
      </c>
      <c r="F9724" t="s">
        <v>28198</v>
      </c>
      <c r="G9724" t="s">
        <v>28205</v>
      </c>
      <c r="H9724" t="s">
        <v>28214</v>
      </c>
      <c r="I9724" t="s">
        <v>3797</v>
      </c>
      <c r="J9724" t="s">
        <v>34400</v>
      </c>
      <c r="K9724" t="s">
        <v>36717</v>
      </c>
      <c r="M9724" t="s">
        <v>39048</v>
      </c>
      <c r="N9724" t="s">
        <v>40436</v>
      </c>
      <c r="O9724" t="s">
        <v>40437</v>
      </c>
      <c r="P9724">
        <v>0</v>
      </c>
      <c r="Q9724">
        <v>1</v>
      </c>
      <c r="R9724" t="s">
        <v>40449</v>
      </c>
      <c r="S9724" t="s">
        <v>40919</v>
      </c>
      <c r="T9724" t="s">
        <v>42188</v>
      </c>
      <c r="U9724" t="s">
        <v>50758</v>
      </c>
      <c r="W9724" t="s">
        <v>39048</v>
      </c>
      <c r="X9724" t="s">
        <v>40450</v>
      </c>
    </row>
    <row r="9725" spans="1:24">
      <c r="A9725">
        <f>HYPERLINK("https://www.philgeps.gov.ph/GEPSNONPILOT/Tender/SplashBidNoticeAbstractUI.aspx?menuIndex=3&amp;refID=7026122&amp;Result=3","7026122")</f>
        <v>0</v>
      </c>
      <c r="B9725" t="s">
        <v>1309</v>
      </c>
      <c r="C9725" t="s">
        <v>12343</v>
      </c>
      <c r="D9725" t="s">
        <v>16259</v>
      </c>
      <c r="E9725" t="s">
        <v>24775</v>
      </c>
      <c r="F9725" t="s">
        <v>28198</v>
      </c>
      <c r="G9725" t="s">
        <v>28205</v>
      </c>
      <c r="H9725" t="s">
        <v>28214</v>
      </c>
      <c r="I9725" t="s">
        <v>3797</v>
      </c>
      <c r="J9725" t="s">
        <v>34401</v>
      </c>
      <c r="K9725" t="s">
        <v>36715</v>
      </c>
      <c r="M9725" t="s">
        <v>38363</v>
      </c>
      <c r="N9725" t="s">
        <v>40436</v>
      </c>
      <c r="O9725" t="s">
        <v>40437</v>
      </c>
      <c r="P9725">
        <v>0</v>
      </c>
      <c r="Q9725">
        <v>0</v>
      </c>
      <c r="R9725" t="s">
        <v>40449</v>
      </c>
      <c r="S9725" t="s">
        <v>40919</v>
      </c>
      <c r="T9725" t="s">
        <v>42145</v>
      </c>
      <c r="U9725" t="s">
        <v>50759</v>
      </c>
      <c r="W9725" t="s">
        <v>38363</v>
      </c>
      <c r="X9725" t="s">
        <v>40452</v>
      </c>
    </row>
    <row r="9726" spans="1:24">
      <c r="A9726">
        <f>HYPERLINK("https://www.philgeps.gov.ph/GEPSNONPILOT/Tender/SplashBidNoticeAbstractUI.aspx?menuIndex=3&amp;refID=7028987&amp;Result=3","7028987")</f>
        <v>0</v>
      </c>
      <c r="B9726" t="s">
        <v>2550</v>
      </c>
      <c r="C9726" t="s">
        <v>12360</v>
      </c>
      <c r="D9726" t="s">
        <v>16246</v>
      </c>
      <c r="E9726" t="s">
        <v>24776</v>
      </c>
      <c r="F9726" t="s">
        <v>28198</v>
      </c>
      <c r="G9726" t="s">
        <v>28205</v>
      </c>
      <c r="H9726" t="s">
        <v>28214</v>
      </c>
      <c r="I9726" t="s">
        <v>3797</v>
      </c>
      <c r="J9726" t="s">
        <v>34402</v>
      </c>
      <c r="K9726" t="s">
        <v>36692</v>
      </c>
      <c r="M9726" t="s">
        <v>39761</v>
      </c>
      <c r="N9726" t="s">
        <v>40436</v>
      </c>
      <c r="O9726" t="s">
        <v>40437</v>
      </c>
      <c r="Q9726">
        <v>3</v>
      </c>
      <c r="R9726" t="s">
        <v>40449</v>
      </c>
      <c r="S9726" t="s">
        <v>40925</v>
      </c>
      <c r="T9726" t="s">
        <v>42279</v>
      </c>
      <c r="U9726" t="s">
        <v>50760</v>
      </c>
      <c r="W9726" t="s">
        <v>39761</v>
      </c>
      <c r="X9726" t="s">
        <v>40451</v>
      </c>
    </row>
    <row r="9727" spans="1:24">
      <c r="A9727">
        <f>HYPERLINK("https://www.philgeps.gov.ph/GEPSNONPILOT/Tender/SplashBidNoticeAbstractUI.aspx?menuIndex=3&amp;refID=7029108&amp;Result=3","7029108")</f>
        <v>0</v>
      </c>
      <c r="B9727" t="s">
        <v>1471</v>
      </c>
      <c r="C9727" t="s">
        <v>12361</v>
      </c>
      <c r="E9727" t="s">
        <v>24777</v>
      </c>
      <c r="F9727" t="s">
        <v>28198</v>
      </c>
      <c r="G9727" t="s">
        <v>28205</v>
      </c>
      <c r="H9727" t="s">
        <v>28215</v>
      </c>
      <c r="I9727" t="s">
        <v>28226</v>
      </c>
      <c r="J9727" t="s">
        <v>34403</v>
      </c>
      <c r="K9727" t="s">
        <v>36689</v>
      </c>
      <c r="M9727" t="s">
        <v>38542</v>
      </c>
      <c r="N9727" t="s">
        <v>40436</v>
      </c>
      <c r="O9727" t="s">
        <v>40437</v>
      </c>
      <c r="P9727">
        <v>0</v>
      </c>
      <c r="Q9727">
        <v>1</v>
      </c>
      <c r="R9727" t="s">
        <v>40449</v>
      </c>
      <c r="S9727" t="s">
        <v>40919</v>
      </c>
      <c r="T9727" t="s">
        <v>42279</v>
      </c>
      <c r="U9727" t="s">
        <v>50761</v>
      </c>
      <c r="V9727" t="s">
        <v>54840</v>
      </c>
      <c r="W9727" t="s">
        <v>38542</v>
      </c>
      <c r="X9727" t="s">
        <v>40451</v>
      </c>
    </row>
    <row r="9728" spans="1:24">
      <c r="A9728">
        <f>HYPERLINK("https://www.philgeps.gov.ph/GEPSNONPILOT/Tender/SplashBidNoticeAbstractUI.aspx?menuIndex=3&amp;refID=7028846&amp;Result=3","7028846")</f>
        <v>0</v>
      </c>
      <c r="B9728" t="s">
        <v>2302</v>
      </c>
      <c r="C9728" t="s">
        <v>12362</v>
      </c>
      <c r="D9728" t="s">
        <v>16210</v>
      </c>
      <c r="E9728" t="s">
        <v>24778</v>
      </c>
      <c r="F9728" t="s">
        <v>28198</v>
      </c>
      <c r="G9728" t="s">
        <v>28205</v>
      </c>
      <c r="H9728" t="s">
        <v>28214</v>
      </c>
      <c r="I9728" t="s">
        <v>3797</v>
      </c>
      <c r="J9728" t="s">
        <v>34404</v>
      </c>
      <c r="K9728" t="s">
        <v>36717</v>
      </c>
      <c r="M9728" t="s">
        <v>39477</v>
      </c>
      <c r="N9728" t="s">
        <v>40436</v>
      </c>
      <c r="O9728" t="s">
        <v>40437</v>
      </c>
      <c r="P9728">
        <v>0</v>
      </c>
      <c r="Q9728">
        <v>3</v>
      </c>
      <c r="R9728" t="s">
        <v>40449</v>
      </c>
      <c r="S9728" t="s">
        <v>40919</v>
      </c>
      <c r="T9728" t="s">
        <v>42179</v>
      </c>
      <c r="U9728" t="s">
        <v>50762</v>
      </c>
      <c r="V9728" t="s">
        <v>54838</v>
      </c>
      <c r="W9728" t="s">
        <v>39477</v>
      </c>
      <c r="X9728" t="s">
        <v>40451</v>
      </c>
    </row>
    <row r="9729" spans="1:24">
      <c r="A9729">
        <f>HYPERLINK("https://www.philgeps.gov.ph/GEPSNONPILOT/Tender/SplashBidNoticeAbstractUI.aspx?menuIndex=3&amp;refID=7025763&amp;Result=3","7025763")</f>
        <v>0</v>
      </c>
      <c r="B9729" t="s">
        <v>1309</v>
      </c>
      <c r="C9729" t="s">
        <v>12343</v>
      </c>
      <c r="D9729" t="s">
        <v>16259</v>
      </c>
      <c r="E9729" t="s">
        <v>24779</v>
      </c>
      <c r="F9729" t="s">
        <v>28198</v>
      </c>
      <c r="G9729" t="s">
        <v>28205</v>
      </c>
      <c r="H9729" t="s">
        <v>28214</v>
      </c>
      <c r="I9729" t="s">
        <v>3797</v>
      </c>
      <c r="J9729" t="s">
        <v>34405</v>
      </c>
      <c r="K9729" t="s">
        <v>36709</v>
      </c>
      <c r="M9729" t="s">
        <v>38363</v>
      </c>
      <c r="N9729" t="s">
        <v>40436</v>
      </c>
      <c r="O9729" t="s">
        <v>40437</v>
      </c>
      <c r="P9729">
        <v>0</v>
      </c>
      <c r="Q9729">
        <v>0</v>
      </c>
      <c r="R9729" t="s">
        <v>40449</v>
      </c>
      <c r="S9729" t="s">
        <v>40919</v>
      </c>
      <c r="T9729" t="s">
        <v>42145</v>
      </c>
      <c r="U9729" t="s">
        <v>50763</v>
      </c>
      <c r="W9729" t="s">
        <v>38363</v>
      </c>
      <c r="X9729" t="s">
        <v>40452</v>
      </c>
    </row>
    <row r="9730" spans="1:24">
      <c r="A9730">
        <f>HYPERLINK("https://www.philgeps.gov.ph/GEPSNONPILOT/Tender/SplashBidNoticeAbstractUI.aspx?menuIndex=3&amp;refID=7029809&amp;Result=3","7029809")</f>
        <v>0</v>
      </c>
      <c r="B9730" t="s">
        <v>886</v>
      </c>
      <c r="C9730" t="s">
        <v>12363</v>
      </c>
      <c r="E9730" t="s">
        <v>18457</v>
      </c>
      <c r="F9730" t="s">
        <v>28198</v>
      </c>
      <c r="G9730" t="s">
        <v>28205</v>
      </c>
      <c r="H9730" t="s">
        <v>28214</v>
      </c>
      <c r="I9730" t="s">
        <v>3797</v>
      </c>
      <c r="J9730" t="s">
        <v>34406</v>
      </c>
      <c r="K9730" t="s">
        <v>36690</v>
      </c>
      <c r="M9730" t="s">
        <v>37902</v>
      </c>
      <c r="N9730" t="s">
        <v>40436</v>
      </c>
      <c r="O9730" t="s">
        <v>40437</v>
      </c>
      <c r="P9730">
        <v>0</v>
      </c>
      <c r="Q9730">
        <v>0</v>
      </c>
      <c r="R9730" t="s">
        <v>40449</v>
      </c>
      <c r="S9730" t="s">
        <v>40919</v>
      </c>
      <c r="T9730" t="s">
        <v>42279</v>
      </c>
      <c r="U9730" t="s">
        <v>50764</v>
      </c>
      <c r="W9730" t="s">
        <v>37902</v>
      </c>
      <c r="X9730" t="s">
        <v>40450</v>
      </c>
    </row>
    <row r="9731" spans="1:24">
      <c r="A9731">
        <f>HYPERLINK("https://www.philgeps.gov.ph/GEPSNONPILOT/Tender/SplashBidNoticeAbstractUI.aspx?menuIndex=3&amp;refID=7028817&amp;Result=3","7028817")</f>
        <v>0</v>
      </c>
      <c r="B9731" t="s">
        <v>2302</v>
      </c>
      <c r="C9731" t="s">
        <v>12364</v>
      </c>
      <c r="D9731" t="s">
        <v>16210</v>
      </c>
      <c r="E9731" t="s">
        <v>24780</v>
      </c>
      <c r="F9731" t="s">
        <v>28198</v>
      </c>
      <c r="G9731" t="s">
        <v>28205</v>
      </c>
      <c r="H9731" t="s">
        <v>28214</v>
      </c>
      <c r="I9731" t="s">
        <v>3797</v>
      </c>
      <c r="J9731" t="s">
        <v>34407</v>
      </c>
      <c r="K9731" t="s">
        <v>36735</v>
      </c>
      <c r="M9731" t="s">
        <v>39477</v>
      </c>
      <c r="N9731" t="s">
        <v>40436</v>
      </c>
      <c r="O9731" t="s">
        <v>40437</v>
      </c>
      <c r="P9731">
        <v>0</v>
      </c>
      <c r="Q9731">
        <v>3</v>
      </c>
      <c r="R9731" t="s">
        <v>40449</v>
      </c>
      <c r="S9731" t="s">
        <v>40919</v>
      </c>
      <c r="T9731" t="s">
        <v>42179</v>
      </c>
      <c r="U9731" t="s">
        <v>50750</v>
      </c>
      <c r="V9731" t="s">
        <v>54838</v>
      </c>
      <c r="W9731" t="s">
        <v>39477</v>
      </c>
      <c r="X9731" t="s">
        <v>40451</v>
      </c>
    </row>
    <row r="9732" spans="1:24">
      <c r="A9732">
        <f>HYPERLINK("https://www.philgeps.gov.ph/GEPSNONPILOT/Tender/SplashBidNoticeAbstractUI.aspx?menuIndex=3&amp;refID=7028806&amp;Result=3","7028806")</f>
        <v>0</v>
      </c>
      <c r="B9732" t="s">
        <v>1068</v>
      </c>
      <c r="C9732" t="s">
        <v>12365</v>
      </c>
      <c r="D9732" t="s">
        <v>16258</v>
      </c>
      <c r="E9732" t="s">
        <v>24781</v>
      </c>
      <c r="F9732" t="s">
        <v>28198</v>
      </c>
      <c r="G9732" t="s">
        <v>28205</v>
      </c>
      <c r="H9732" t="s">
        <v>28215</v>
      </c>
      <c r="I9732" t="s">
        <v>28222</v>
      </c>
      <c r="J9732" t="s">
        <v>32169</v>
      </c>
      <c r="K9732" t="s">
        <v>36689</v>
      </c>
      <c r="M9732" t="s">
        <v>38101</v>
      </c>
      <c r="N9732" t="s">
        <v>40436</v>
      </c>
      <c r="O9732" t="s">
        <v>40437</v>
      </c>
      <c r="P9732">
        <v>0</v>
      </c>
      <c r="Q9732">
        <v>8</v>
      </c>
      <c r="R9732" t="s">
        <v>40449</v>
      </c>
      <c r="S9732" t="s">
        <v>40919</v>
      </c>
      <c r="T9732" t="s">
        <v>42240</v>
      </c>
      <c r="U9732" t="s">
        <v>50765</v>
      </c>
      <c r="W9732" t="s">
        <v>38101</v>
      </c>
      <c r="X9732" t="s">
        <v>40451</v>
      </c>
    </row>
    <row r="9733" spans="1:24">
      <c r="A9733">
        <f>HYPERLINK("https://www.philgeps.gov.ph/GEPSNONPILOT/Tender/SplashBidNoticeAbstractUI.aspx?menuIndex=3&amp;refID=7028907&amp;Result=3","7028907")</f>
        <v>0</v>
      </c>
      <c r="B9733" t="s">
        <v>2710</v>
      </c>
      <c r="C9733" t="s">
        <v>12366</v>
      </c>
      <c r="D9733" t="s">
        <v>16223</v>
      </c>
      <c r="E9733" t="s">
        <v>16625</v>
      </c>
      <c r="F9733" t="s">
        <v>28198</v>
      </c>
      <c r="G9733" t="s">
        <v>28205</v>
      </c>
      <c r="H9733" t="s">
        <v>28215</v>
      </c>
      <c r="I9733" t="s">
        <v>5100</v>
      </c>
      <c r="J9733" t="s">
        <v>34408</v>
      </c>
      <c r="K9733" t="s">
        <v>36701</v>
      </c>
      <c r="M9733" t="s">
        <v>39952</v>
      </c>
      <c r="N9733" t="s">
        <v>40436</v>
      </c>
      <c r="O9733" t="s">
        <v>40437</v>
      </c>
      <c r="P9733">
        <v>0</v>
      </c>
      <c r="Q9733">
        <v>0</v>
      </c>
      <c r="R9733" t="s">
        <v>40449</v>
      </c>
      <c r="S9733" t="s">
        <v>40919</v>
      </c>
      <c r="T9733" t="s">
        <v>42229</v>
      </c>
      <c r="U9733" t="s">
        <v>50766</v>
      </c>
      <c r="W9733" t="s">
        <v>39952</v>
      </c>
      <c r="X9733" t="s">
        <v>40451</v>
      </c>
    </row>
    <row r="9734" spans="1:24">
      <c r="A9734">
        <f>HYPERLINK("https://www.philgeps.gov.ph/GEPSNONPILOT/Tender/SplashBidNoticeAbstractUI.aspx?menuIndex=3&amp;refID=7028749&amp;Result=3","7028749")</f>
        <v>0</v>
      </c>
      <c r="B9734" t="s">
        <v>2302</v>
      </c>
      <c r="C9734" t="s">
        <v>12367</v>
      </c>
      <c r="D9734" t="s">
        <v>16210</v>
      </c>
      <c r="E9734" t="s">
        <v>24782</v>
      </c>
      <c r="F9734" t="s">
        <v>28198</v>
      </c>
      <c r="G9734" t="s">
        <v>28205</v>
      </c>
      <c r="H9734" t="s">
        <v>28214</v>
      </c>
      <c r="I9734" t="s">
        <v>3797</v>
      </c>
      <c r="J9734" t="s">
        <v>34409</v>
      </c>
      <c r="K9734" t="s">
        <v>36697</v>
      </c>
      <c r="M9734" t="s">
        <v>39477</v>
      </c>
      <c r="N9734" t="s">
        <v>40436</v>
      </c>
      <c r="O9734" t="s">
        <v>40437</v>
      </c>
      <c r="P9734">
        <v>0</v>
      </c>
      <c r="Q9734">
        <v>2</v>
      </c>
      <c r="R9734" t="s">
        <v>40449</v>
      </c>
      <c r="S9734" t="s">
        <v>40919</v>
      </c>
      <c r="T9734" t="s">
        <v>42179</v>
      </c>
      <c r="U9734" t="s">
        <v>50767</v>
      </c>
      <c r="V9734" t="s">
        <v>54838</v>
      </c>
      <c r="W9734" t="s">
        <v>39477</v>
      </c>
      <c r="X9734" t="s">
        <v>40451</v>
      </c>
    </row>
    <row r="9735" spans="1:24">
      <c r="A9735">
        <f>HYPERLINK("https://www.philgeps.gov.ph/GEPSNONPILOT/Tender/SplashBidNoticeAbstractUI.aspx?menuIndex=3&amp;refID=7028934&amp;Result=3","7028934")</f>
        <v>0</v>
      </c>
      <c r="B9735" t="s">
        <v>215</v>
      </c>
      <c r="C9735" t="s">
        <v>12368</v>
      </c>
      <c r="D9735" t="s">
        <v>16218</v>
      </c>
      <c r="E9735" t="s">
        <v>24783</v>
      </c>
      <c r="F9735" t="s">
        <v>28198</v>
      </c>
      <c r="G9735" t="s">
        <v>28205</v>
      </c>
      <c r="H9735" t="s">
        <v>28214</v>
      </c>
      <c r="I9735" t="s">
        <v>3797</v>
      </c>
      <c r="J9735" t="s">
        <v>28351</v>
      </c>
      <c r="K9735" t="s">
        <v>36785</v>
      </c>
      <c r="M9735" t="s">
        <v>37795</v>
      </c>
      <c r="N9735" t="s">
        <v>40436</v>
      </c>
      <c r="O9735" t="s">
        <v>40437</v>
      </c>
      <c r="P9735">
        <v>0</v>
      </c>
      <c r="Q9735">
        <v>3</v>
      </c>
      <c r="R9735" t="s">
        <v>40449</v>
      </c>
      <c r="S9735" t="s">
        <v>40919</v>
      </c>
      <c r="T9735" t="s">
        <v>42114</v>
      </c>
      <c r="U9735" t="s">
        <v>50768</v>
      </c>
      <c r="W9735" t="s">
        <v>37795</v>
      </c>
      <c r="X9735" t="s">
        <v>40451</v>
      </c>
    </row>
    <row r="9736" spans="1:24">
      <c r="A9736">
        <f>HYPERLINK("https://www.philgeps.gov.ph/GEPSNONPILOT/Tender/SplashBidNoticeAbstractUI.aspx?menuIndex=3&amp;refID=7029814&amp;Result=3","7029814")</f>
        <v>0</v>
      </c>
      <c r="B9736" t="s">
        <v>886</v>
      </c>
      <c r="C9736" t="s">
        <v>12369</v>
      </c>
      <c r="E9736" t="s">
        <v>17244</v>
      </c>
      <c r="F9736" t="s">
        <v>28198</v>
      </c>
      <c r="G9736" t="s">
        <v>28205</v>
      </c>
      <c r="H9736" t="s">
        <v>28214</v>
      </c>
      <c r="I9736" t="s">
        <v>3797</v>
      </c>
      <c r="J9736" t="s">
        <v>29565</v>
      </c>
      <c r="K9736" t="s">
        <v>36735</v>
      </c>
      <c r="M9736" t="s">
        <v>37902</v>
      </c>
      <c r="N9736" t="s">
        <v>40436</v>
      </c>
      <c r="O9736" t="s">
        <v>40437</v>
      </c>
      <c r="P9736">
        <v>0</v>
      </c>
      <c r="Q9736">
        <v>0</v>
      </c>
      <c r="R9736" t="s">
        <v>40449</v>
      </c>
      <c r="S9736" t="s">
        <v>40919</v>
      </c>
      <c r="T9736" t="s">
        <v>42279</v>
      </c>
      <c r="U9736" t="s">
        <v>44348</v>
      </c>
      <c r="W9736" t="s">
        <v>37902</v>
      </c>
      <c r="X9736" t="s">
        <v>40450</v>
      </c>
    </row>
    <row r="9737" spans="1:24">
      <c r="A9737">
        <f>HYPERLINK("https://www.philgeps.gov.ph/GEPSNONPILOT/Tender/SplashBidNoticeAbstractUI.aspx?menuIndex=3&amp;refID=7029816&amp;Result=3","7029816")</f>
        <v>0</v>
      </c>
      <c r="B9737" t="s">
        <v>886</v>
      </c>
      <c r="C9737" t="s">
        <v>12370</v>
      </c>
      <c r="E9737" t="s">
        <v>19001</v>
      </c>
      <c r="F9737" t="s">
        <v>28198</v>
      </c>
      <c r="G9737" t="s">
        <v>28205</v>
      </c>
      <c r="H9737" t="s">
        <v>28214</v>
      </c>
      <c r="I9737" t="s">
        <v>3797</v>
      </c>
      <c r="J9737" t="s">
        <v>29190</v>
      </c>
      <c r="K9737" t="s">
        <v>36697</v>
      </c>
      <c r="M9737" t="s">
        <v>37902</v>
      </c>
      <c r="N9737" t="s">
        <v>40436</v>
      </c>
      <c r="O9737" t="s">
        <v>40437</v>
      </c>
      <c r="P9737">
        <v>0</v>
      </c>
      <c r="Q9737">
        <v>0</v>
      </c>
      <c r="R9737" t="s">
        <v>40449</v>
      </c>
      <c r="S9737" t="s">
        <v>40919</v>
      </c>
      <c r="T9737" t="s">
        <v>42279</v>
      </c>
      <c r="U9737" t="s">
        <v>44348</v>
      </c>
      <c r="W9737" t="s">
        <v>37902</v>
      </c>
      <c r="X9737" t="s">
        <v>40450</v>
      </c>
    </row>
    <row r="9738" spans="1:24">
      <c r="A9738">
        <f>HYPERLINK("https://www.philgeps.gov.ph/GEPSNONPILOT/Tender/SplashBidNoticeAbstractUI.aspx?menuIndex=3&amp;refID=7029820&amp;Result=3","7029820")</f>
        <v>0</v>
      </c>
      <c r="B9738" t="s">
        <v>886</v>
      </c>
      <c r="C9738" t="s">
        <v>12371</v>
      </c>
      <c r="E9738" t="s">
        <v>17634</v>
      </c>
      <c r="F9738" t="s">
        <v>28198</v>
      </c>
      <c r="G9738" t="s">
        <v>28205</v>
      </c>
      <c r="H9738" t="s">
        <v>28214</v>
      </c>
      <c r="I9738" t="s">
        <v>3797</v>
      </c>
      <c r="J9738" t="s">
        <v>28918</v>
      </c>
      <c r="K9738" t="s">
        <v>36717</v>
      </c>
      <c r="M9738" t="s">
        <v>37902</v>
      </c>
      <c r="N9738" t="s">
        <v>40436</v>
      </c>
      <c r="O9738" t="s">
        <v>40437</v>
      </c>
      <c r="P9738">
        <v>0</v>
      </c>
      <c r="Q9738">
        <v>1</v>
      </c>
      <c r="R9738" t="s">
        <v>40449</v>
      </c>
      <c r="S9738" t="s">
        <v>40919</v>
      </c>
      <c r="T9738" t="s">
        <v>42279</v>
      </c>
      <c r="U9738" t="s">
        <v>44348</v>
      </c>
      <c r="W9738" t="s">
        <v>37902</v>
      </c>
      <c r="X9738" t="s">
        <v>40450</v>
      </c>
    </row>
    <row r="9739" spans="1:24">
      <c r="A9739">
        <f>HYPERLINK("https://www.philgeps.gov.ph/GEPSNONPILOT/Tender/SplashBidNoticeAbstractUI.aspx?menuIndex=3&amp;refID=7029813&amp;Result=3","7029813")</f>
        <v>0</v>
      </c>
      <c r="B9739" t="s">
        <v>886</v>
      </c>
      <c r="C9739" t="s">
        <v>12372</v>
      </c>
      <c r="E9739" t="s">
        <v>16860</v>
      </c>
      <c r="F9739" t="s">
        <v>28198</v>
      </c>
      <c r="G9739" t="s">
        <v>28205</v>
      </c>
      <c r="H9739" t="s">
        <v>28214</v>
      </c>
      <c r="I9739" t="s">
        <v>3797</v>
      </c>
      <c r="J9739" t="s">
        <v>29565</v>
      </c>
      <c r="K9739" t="s">
        <v>36735</v>
      </c>
      <c r="M9739" t="s">
        <v>37902</v>
      </c>
      <c r="N9739" t="s">
        <v>40436</v>
      </c>
      <c r="O9739" t="s">
        <v>40437</v>
      </c>
      <c r="P9739">
        <v>0</v>
      </c>
      <c r="Q9739">
        <v>0</v>
      </c>
      <c r="R9739" t="s">
        <v>40449</v>
      </c>
      <c r="S9739" t="s">
        <v>40919</v>
      </c>
      <c r="T9739" t="s">
        <v>42279</v>
      </c>
      <c r="U9739" t="s">
        <v>44348</v>
      </c>
      <c r="W9739" t="s">
        <v>37902</v>
      </c>
      <c r="X9739" t="s">
        <v>40450</v>
      </c>
    </row>
    <row r="9740" spans="1:24">
      <c r="A9740">
        <f>HYPERLINK("https://www.philgeps.gov.ph/GEPSNONPILOT/Tender/SplashBidNoticeAbstractUI.aspx?menuIndex=3&amp;refID=7029818&amp;Result=3","7029818")</f>
        <v>0</v>
      </c>
      <c r="B9740" t="s">
        <v>886</v>
      </c>
      <c r="C9740" t="s">
        <v>12373</v>
      </c>
      <c r="E9740" t="s">
        <v>22662</v>
      </c>
      <c r="F9740" t="s">
        <v>28198</v>
      </c>
      <c r="G9740" t="s">
        <v>28205</v>
      </c>
      <c r="H9740" t="s">
        <v>28214</v>
      </c>
      <c r="I9740" t="s">
        <v>3797</v>
      </c>
      <c r="J9740" t="s">
        <v>29190</v>
      </c>
      <c r="K9740" t="s">
        <v>36697</v>
      </c>
      <c r="M9740" t="s">
        <v>37902</v>
      </c>
      <c r="N9740" t="s">
        <v>40436</v>
      </c>
      <c r="O9740" t="s">
        <v>40437</v>
      </c>
      <c r="P9740">
        <v>0</v>
      </c>
      <c r="Q9740">
        <v>0</v>
      </c>
      <c r="R9740" t="s">
        <v>40449</v>
      </c>
      <c r="S9740" t="s">
        <v>40919</v>
      </c>
      <c r="T9740" t="s">
        <v>42279</v>
      </c>
      <c r="U9740" t="s">
        <v>44348</v>
      </c>
      <c r="W9740" t="s">
        <v>37902</v>
      </c>
      <c r="X9740" t="s">
        <v>40450</v>
      </c>
    </row>
    <row r="9741" spans="1:24">
      <c r="A9741">
        <f>HYPERLINK("https://www.philgeps.gov.ph/GEPSNONPILOT/Tender/SplashBidNoticeAbstractUI.aspx?menuIndex=3&amp;refID=7029822&amp;Result=3","7029822")</f>
        <v>0</v>
      </c>
      <c r="B9741" t="s">
        <v>886</v>
      </c>
      <c r="C9741" t="s">
        <v>12374</v>
      </c>
      <c r="E9741" t="s">
        <v>17644</v>
      </c>
      <c r="F9741" t="s">
        <v>28198</v>
      </c>
      <c r="G9741" t="s">
        <v>28205</v>
      </c>
      <c r="H9741" t="s">
        <v>28214</v>
      </c>
      <c r="I9741" t="s">
        <v>3797</v>
      </c>
      <c r="J9741" t="s">
        <v>34410</v>
      </c>
      <c r="K9741" t="s">
        <v>36735</v>
      </c>
      <c r="M9741" t="s">
        <v>37902</v>
      </c>
      <c r="N9741" t="s">
        <v>40436</v>
      </c>
      <c r="O9741" t="s">
        <v>40437</v>
      </c>
      <c r="P9741">
        <v>0</v>
      </c>
      <c r="Q9741">
        <v>0</v>
      </c>
      <c r="R9741" t="s">
        <v>40449</v>
      </c>
      <c r="S9741" t="s">
        <v>40919</v>
      </c>
      <c r="T9741" t="s">
        <v>42279</v>
      </c>
      <c r="U9741" t="s">
        <v>44348</v>
      </c>
      <c r="W9741" t="s">
        <v>37902</v>
      </c>
      <c r="X9741" t="s">
        <v>40450</v>
      </c>
    </row>
    <row r="9742" spans="1:24">
      <c r="A9742">
        <f>HYPERLINK("https://www.philgeps.gov.ph/GEPSNONPILOT/Tender/SplashBidNoticeAbstractUI.aspx?menuIndex=3&amp;refID=7029817&amp;Result=3","7029817")</f>
        <v>0</v>
      </c>
      <c r="B9742" t="s">
        <v>886</v>
      </c>
      <c r="C9742" t="s">
        <v>12375</v>
      </c>
      <c r="E9742" t="s">
        <v>21444</v>
      </c>
      <c r="F9742" t="s">
        <v>28198</v>
      </c>
      <c r="G9742" t="s">
        <v>28205</v>
      </c>
      <c r="H9742" t="s">
        <v>28214</v>
      </c>
      <c r="I9742" t="s">
        <v>3797</v>
      </c>
      <c r="J9742" t="s">
        <v>29190</v>
      </c>
      <c r="K9742" t="s">
        <v>36697</v>
      </c>
      <c r="M9742" t="s">
        <v>37902</v>
      </c>
      <c r="N9742" t="s">
        <v>40436</v>
      </c>
      <c r="O9742" t="s">
        <v>40437</v>
      </c>
      <c r="P9742">
        <v>0</v>
      </c>
      <c r="Q9742">
        <v>0</v>
      </c>
      <c r="R9742" t="s">
        <v>40449</v>
      </c>
      <c r="S9742" t="s">
        <v>40919</v>
      </c>
      <c r="T9742" t="s">
        <v>42279</v>
      </c>
      <c r="U9742" t="s">
        <v>44348</v>
      </c>
      <c r="W9742" t="s">
        <v>37902</v>
      </c>
      <c r="X9742" t="s">
        <v>40450</v>
      </c>
    </row>
    <row r="9743" spans="1:24">
      <c r="A9743">
        <f>HYPERLINK("https://www.philgeps.gov.ph/GEPSNONPILOT/Tender/SplashBidNoticeAbstractUI.aspx?menuIndex=3&amp;refID=7029811&amp;Result=3","7029811")</f>
        <v>0</v>
      </c>
      <c r="B9743" t="s">
        <v>886</v>
      </c>
      <c r="C9743" t="s">
        <v>12376</v>
      </c>
      <c r="E9743" t="s">
        <v>16834</v>
      </c>
      <c r="F9743" t="s">
        <v>28198</v>
      </c>
      <c r="G9743" t="s">
        <v>28205</v>
      </c>
      <c r="H9743" t="s">
        <v>28214</v>
      </c>
      <c r="I9743" t="s">
        <v>3797</v>
      </c>
      <c r="J9743" t="s">
        <v>28699</v>
      </c>
      <c r="K9743" t="s">
        <v>36690</v>
      </c>
      <c r="M9743" t="s">
        <v>37902</v>
      </c>
      <c r="N9743" t="s">
        <v>40436</v>
      </c>
      <c r="O9743" t="s">
        <v>40437</v>
      </c>
      <c r="P9743">
        <v>0</v>
      </c>
      <c r="Q9743">
        <v>1</v>
      </c>
      <c r="R9743" t="s">
        <v>40449</v>
      </c>
      <c r="S9743" t="s">
        <v>40919</v>
      </c>
      <c r="T9743" t="s">
        <v>42279</v>
      </c>
      <c r="U9743" t="s">
        <v>44348</v>
      </c>
      <c r="W9743" t="s">
        <v>37902</v>
      </c>
      <c r="X9743" t="s">
        <v>40450</v>
      </c>
    </row>
    <row r="9744" spans="1:24">
      <c r="A9744">
        <f>HYPERLINK("https://www.philgeps.gov.ph/GEPSNONPILOT/Tender/SplashBidNoticeAbstractUI.aspx?menuIndex=3&amp;refID=7030102&amp;Result=3","7030102")</f>
        <v>0</v>
      </c>
      <c r="B9744" t="s">
        <v>1068</v>
      </c>
      <c r="C9744" t="s">
        <v>12377</v>
      </c>
      <c r="D9744" t="s">
        <v>16258</v>
      </c>
      <c r="E9744" t="s">
        <v>24784</v>
      </c>
      <c r="F9744" t="s">
        <v>28198</v>
      </c>
      <c r="G9744" t="s">
        <v>28205</v>
      </c>
      <c r="H9744" t="s">
        <v>28215</v>
      </c>
      <c r="I9744" t="s">
        <v>28275</v>
      </c>
      <c r="J9744" t="s">
        <v>29291</v>
      </c>
      <c r="K9744" t="s">
        <v>36689</v>
      </c>
      <c r="M9744" t="s">
        <v>38101</v>
      </c>
      <c r="N9744" t="s">
        <v>40436</v>
      </c>
      <c r="O9744" t="s">
        <v>40437</v>
      </c>
      <c r="P9744">
        <v>0</v>
      </c>
      <c r="Q9744">
        <v>2</v>
      </c>
      <c r="R9744" t="s">
        <v>40449</v>
      </c>
      <c r="S9744" t="s">
        <v>40919</v>
      </c>
      <c r="T9744" t="s">
        <v>42240</v>
      </c>
      <c r="U9744" t="s">
        <v>50769</v>
      </c>
      <c r="W9744" t="s">
        <v>38101</v>
      </c>
      <c r="X9744" t="s">
        <v>40450</v>
      </c>
    </row>
    <row r="9745" spans="1:24">
      <c r="A9745">
        <f>HYPERLINK("https://www.philgeps.gov.ph/GEPSNONPILOT/Tender/SplashBidNoticeAbstractUI.aspx?menuIndex=3&amp;refID=7030058&amp;Result=3","7030058")</f>
        <v>0</v>
      </c>
      <c r="B9745" t="s">
        <v>1068</v>
      </c>
      <c r="C9745" t="s">
        <v>12378</v>
      </c>
      <c r="D9745" t="s">
        <v>16258</v>
      </c>
      <c r="E9745" t="s">
        <v>24785</v>
      </c>
      <c r="F9745" t="s">
        <v>28198</v>
      </c>
      <c r="G9745" t="s">
        <v>28205</v>
      </c>
      <c r="H9745" t="s">
        <v>28214</v>
      </c>
      <c r="I9745" t="s">
        <v>3797</v>
      </c>
      <c r="J9745" t="s">
        <v>34411</v>
      </c>
      <c r="K9745" t="s">
        <v>36689</v>
      </c>
      <c r="M9745" t="s">
        <v>38101</v>
      </c>
      <c r="N9745" t="s">
        <v>40436</v>
      </c>
      <c r="O9745" t="s">
        <v>40437</v>
      </c>
      <c r="P9745">
        <v>0</v>
      </c>
      <c r="Q9745">
        <v>0</v>
      </c>
      <c r="R9745" t="s">
        <v>40449</v>
      </c>
      <c r="S9745" t="s">
        <v>40919</v>
      </c>
      <c r="T9745" t="s">
        <v>42240</v>
      </c>
      <c r="U9745" t="s">
        <v>50770</v>
      </c>
      <c r="W9745" t="s">
        <v>38101</v>
      </c>
      <c r="X9745" t="s">
        <v>40450</v>
      </c>
    </row>
    <row r="9746" spans="1:24">
      <c r="A9746">
        <f>HYPERLINK("https://www.philgeps.gov.ph/GEPSNONPILOT/Tender/SplashBidNoticeAbstractUI.aspx?menuIndex=3&amp;refID=7029819&amp;Result=3","7029819")</f>
        <v>0</v>
      </c>
      <c r="B9746" t="s">
        <v>886</v>
      </c>
      <c r="C9746" t="s">
        <v>12379</v>
      </c>
      <c r="E9746" t="s">
        <v>17567</v>
      </c>
      <c r="F9746" t="s">
        <v>28198</v>
      </c>
      <c r="G9746" t="s">
        <v>28205</v>
      </c>
      <c r="H9746" t="s">
        <v>28214</v>
      </c>
      <c r="I9746" t="s">
        <v>3797</v>
      </c>
      <c r="J9746" t="s">
        <v>34412</v>
      </c>
      <c r="K9746" t="s">
        <v>36697</v>
      </c>
      <c r="M9746" t="s">
        <v>37902</v>
      </c>
      <c r="N9746" t="s">
        <v>40436</v>
      </c>
      <c r="O9746" t="s">
        <v>40437</v>
      </c>
      <c r="P9746">
        <v>0</v>
      </c>
      <c r="Q9746">
        <v>0</v>
      </c>
      <c r="R9746" t="s">
        <v>40449</v>
      </c>
      <c r="S9746" t="s">
        <v>40919</v>
      </c>
      <c r="T9746" t="s">
        <v>42279</v>
      </c>
      <c r="U9746" t="s">
        <v>44348</v>
      </c>
      <c r="W9746" t="s">
        <v>37902</v>
      </c>
      <c r="X9746" t="s">
        <v>40450</v>
      </c>
    </row>
    <row r="9747" spans="1:24">
      <c r="A9747">
        <f>HYPERLINK("https://www.philgeps.gov.ph/GEPSNONPILOT/Tender/SplashBidNoticeAbstractUI.aspx?menuIndex=3&amp;refID=7029944&amp;Result=3","7029944")</f>
        <v>0</v>
      </c>
      <c r="B9747" t="s">
        <v>2711</v>
      </c>
      <c r="C9747" t="s">
        <v>12380</v>
      </c>
      <c r="D9747" t="s">
        <v>16221</v>
      </c>
      <c r="E9747" t="s">
        <v>24786</v>
      </c>
      <c r="F9747" t="s">
        <v>28198</v>
      </c>
      <c r="G9747" t="s">
        <v>28205</v>
      </c>
      <c r="H9747" t="s">
        <v>28214</v>
      </c>
      <c r="I9747" t="s">
        <v>28260</v>
      </c>
      <c r="J9747" t="s">
        <v>34413</v>
      </c>
      <c r="K9747" t="s">
        <v>36694</v>
      </c>
      <c r="M9747" t="s">
        <v>39953</v>
      </c>
      <c r="N9747" t="s">
        <v>40436</v>
      </c>
      <c r="O9747" t="s">
        <v>40437</v>
      </c>
      <c r="Q9747">
        <v>3</v>
      </c>
      <c r="R9747" t="s">
        <v>40449</v>
      </c>
      <c r="S9747" t="s">
        <v>40926</v>
      </c>
      <c r="T9747" t="s">
        <v>42176</v>
      </c>
      <c r="U9747" t="s">
        <v>50771</v>
      </c>
      <c r="V9747" t="s">
        <v>54841</v>
      </c>
      <c r="W9747" t="s">
        <v>39953</v>
      </c>
      <c r="X9747" t="s">
        <v>40450</v>
      </c>
    </row>
    <row r="9748" spans="1:24">
      <c r="A9748">
        <f>HYPERLINK("https://www.philgeps.gov.ph/GEPSNONPILOT/Tender/SplashBidNoticeAbstractUI.aspx?menuIndex=3&amp;refID=7030109&amp;Result=3","7030109")</f>
        <v>0</v>
      </c>
      <c r="B9748" t="s">
        <v>361</v>
      </c>
      <c r="C9748" t="s">
        <v>12381</v>
      </c>
      <c r="D9748" t="s">
        <v>16236</v>
      </c>
      <c r="E9748" t="s">
        <v>24787</v>
      </c>
      <c r="F9748" t="s">
        <v>28198</v>
      </c>
      <c r="G9748" t="s">
        <v>28205</v>
      </c>
      <c r="H9748" t="s">
        <v>28214</v>
      </c>
      <c r="I9748" t="s">
        <v>3797</v>
      </c>
      <c r="J9748" t="s">
        <v>28363</v>
      </c>
      <c r="K9748" t="s">
        <v>36769</v>
      </c>
      <c r="M9748" t="s">
        <v>38787</v>
      </c>
      <c r="N9748" t="s">
        <v>40436</v>
      </c>
      <c r="O9748" t="s">
        <v>40437</v>
      </c>
      <c r="P9748">
        <v>0</v>
      </c>
      <c r="Q9748">
        <v>0</v>
      </c>
      <c r="R9748" t="s">
        <v>40449</v>
      </c>
      <c r="S9748" t="s">
        <v>40919</v>
      </c>
      <c r="T9748" t="s">
        <v>42176</v>
      </c>
      <c r="U9748" t="s">
        <v>50772</v>
      </c>
      <c r="V9748" t="s">
        <v>54842</v>
      </c>
      <c r="W9748" t="s">
        <v>38787</v>
      </c>
      <c r="X9748" t="s">
        <v>40450</v>
      </c>
    </row>
    <row r="9749" spans="1:24">
      <c r="A9749">
        <f>HYPERLINK("https://www.philgeps.gov.ph/GEPSNONPILOT/Tender/SplashBidNoticeAbstractUI.aspx?menuIndex=3&amp;refID=7029947&amp;Result=3","7029947")</f>
        <v>0</v>
      </c>
      <c r="B9749" t="s">
        <v>1068</v>
      </c>
      <c r="C9749" t="s">
        <v>12382</v>
      </c>
      <c r="D9749" t="s">
        <v>16258</v>
      </c>
      <c r="E9749" t="s">
        <v>24788</v>
      </c>
      <c r="F9749" t="s">
        <v>28198</v>
      </c>
      <c r="G9749" t="s">
        <v>28205</v>
      </c>
      <c r="H9749" t="s">
        <v>28214</v>
      </c>
      <c r="I9749" t="s">
        <v>3797</v>
      </c>
      <c r="J9749" t="s">
        <v>34414</v>
      </c>
      <c r="K9749" t="s">
        <v>36689</v>
      </c>
      <c r="M9749" t="s">
        <v>38101</v>
      </c>
      <c r="N9749" t="s">
        <v>40436</v>
      </c>
      <c r="O9749" t="s">
        <v>40437</v>
      </c>
      <c r="P9749">
        <v>0</v>
      </c>
      <c r="Q9749">
        <v>0</v>
      </c>
      <c r="R9749" t="s">
        <v>40449</v>
      </c>
      <c r="S9749" t="s">
        <v>40919</v>
      </c>
      <c r="T9749" t="s">
        <v>42244</v>
      </c>
      <c r="U9749" t="s">
        <v>50773</v>
      </c>
      <c r="W9749" t="s">
        <v>38101</v>
      </c>
      <c r="X9749" t="s">
        <v>40450</v>
      </c>
    </row>
    <row r="9750" spans="1:24">
      <c r="A9750">
        <f>HYPERLINK("https://www.philgeps.gov.ph/GEPSNONPILOT/Tender/SplashBidNoticeAbstractUI.aspx?menuIndex=3&amp;refID=7029821&amp;Result=3","7029821")</f>
        <v>0</v>
      </c>
      <c r="B9750" t="s">
        <v>886</v>
      </c>
      <c r="C9750" t="s">
        <v>12383</v>
      </c>
      <c r="E9750" t="s">
        <v>17634</v>
      </c>
      <c r="F9750" t="s">
        <v>28198</v>
      </c>
      <c r="G9750" t="s">
        <v>28205</v>
      </c>
      <c r="H9750" t="s">
        <v>28214</v>
      </c>
      <c r="I9750" t="s">
        <v>3797</v>
      </c>
      <c r="J9750" t="s">
        <v>28561</v>
      </c>
      <c r="K9750" t="s">
        <v>36697</v>
      </c>
      <c r="M9750" t="s">
        <v>37902</v>
      </c>
      <c r="N9750" t="s">
        <v>40436</v>
      </c>
      <c r="O9750" t="s">
        <v>40437</v>
      </c>
      <c r="P9750">
        <v>0</v>
      </c>
      <c r="Q9750">
        <v>0</v>
      </c>
      <c r="R9750" t="s">
        <v>40449</v>
      </c>
      <c r="S9750" t="s">
        <v>40919</v>
      </c>
      <c r="T9750" t="s">
        <v>42279</v>
      </c>
      <c r="U9750" t="s">
        <v>44348</v>
      </c>
      <c r="W9750" t="s">
        <v>37902</v>
      </c>
      <c r="X9750" t="s">
        <v>40450</v>
      </c>
    </row>
    <row r="9751" spans="1:24">
      <c r="A9751">
        <f>HYPERLINK("https://www.philgeps.gov.ph/GEPSNONPILOT/Tender/SplashBidNoticeAbstractUI.aspx?menuIndex=3&amp;refID=7029875&amp;Result=3","7029875")</f>
        <v>0</v>
      </c>
      <c r="B9751" t="s">
        <v>2712</v>
      </c>
      <c r="C9751" t="s">
        <v>12384</v>
      </c>
      <c r="D9751" t="s">
        <v>16263</v>
      </c>
      <c r="E9751" t="s">
        <v>24789</v>
      </c>
      <c r="F9751" t="s">
        <v>28198</v>
      </c>
      <c r="G9751" t="s">
        <v>28205</v>
      </c>
      <c r="H9751" t="s">
        <v>28215</v>
      </c>
      <c r="I9751" t="s">
        <v>28243</v>
      </c>
      <c r="J9751" t="s">
        <v>31219</v>
      </c>
      <c r="K9751" t="s">
        <v>36692</v>
      </c>
      <c r="M9751" t="s">
        <v>39954</v>
      </c>
      <c r="N9751" t="s">
        <v>40436</v>
      </c>
      <c r="O9751" t="s">
        <v>40437</v>
      </c>
      <c r="P9751">
        <v>0</v>
      </c>
      <c r="Q9751">
        <v>3</v>
      </c>
      <c r="R9751" t="s">
        <v>40449</v>
      </c>
      <c r="S9751" t="s">
        <v>40919</v>
      </c>
      <c r="T9751" t="s">
        <v>42185</v>
      </c>
      <c r="U9751" t="s">
        <v>50774</v>
      </c>
      <c r="V9751" t="s">
        <v>54843</v>
      </c>
      <c r="W9751" t="s">
        <v>39954</v>
      </c>
      <c r="X9751" t="s">
        <v>40450</v>
      </c>
    </row>
    <row r="9752" spans="1:24">
      <c r="A9752">
        <f>HYPERLINK("https://www.philgeps.gov.ph/GEPSNONPILOT/Tender/SplashBidNoticeAbstractUI.aspx?menuIndex=3&amp;refID=7030090&amp;Result=3","7030090")</f>
        <v>0</v>
      </c>
      <c r="B9752" t="s">
        <v>1183</v>
      </c>
      <c r="C9752" t="s">
        <v>12385</v>
      </c>
      <c r="D9752" t="s">
        <v>16207</v>
      </c>
      <c r="E9752" t="s">
        <v>24790</v>
      </c>
      <c r="F9752" t="s">
        <v>28198</v>
      </c>
      <c r="G9752" t="s">
        <v>28205</v>
      </c>
      <c r="H9752" t="s">
        <v>28215</v>
      </c>
      <c r="I9752" t="s">
        <v>4505</v>
      </c>
      <c r="J9752" t="s">
        <v>31303</v>
      </c>
      <c r="K9752" t="s">
        <v>36688</v>
      </c>
      <c r="M9752" t="s">
        <v>39692</v>
      </c>
      <c r="N9752" t="s">
        <v>40436</v>
      </c>
      <c r="O9752" t="s">
        <v>40437</v>
      </c>
      <c r="P9752">
        <v>0</v>
      </c>
      <c r="Q9752">
        <v>1</v>
      </c>
      <c r="R9752" t="s">
        <v>40449</v>
      </c>
      <c r="S9752" t="s">
        <v>40919</v>
      </c>
      <c r="T9752" t="s">
        <v>42183</v>
      </c>
      <c r="U9752" t="s">
        <v>50775</v>
      </c>
      <c r="W9752" t="s">
        <v>38225</v>
      </c>
      <c r="X9752" t="s">
        <v>40450</v>
      </c>
    </row>
    <row r="9753" spans="1:24">
      <c r="A9753">
        <f>HYPERLINK("https://www.philgeps.gov.ph/GEPSNONPILOT/Tender/SplashBidNoticeAbstractUI.aspx?menuIndex=3&amp;refID=7029880&amp;Result=3","7029880")</f>
        <v>0</v>
      </c>
      <c r="B9753" t="s">
        <v>2462</v>
      </c>
      <c r="C9753" t="s">
        <v>12386</v>
      </c>
      <c r="D9753" t="s">
        <v>16274</v>
      </c>
      <c r="E9753" t="s">
        <v>24791</v>
      </c>
      <c r="F9753" t="s">
        <v>28198</v>
      </c>
      <c r="G9753" t="s">
        <v>28205</v>
      </c>
      <c r="H9753" t="s">
        <v>28215</v>
      </c>
      <c r="I9753" t="s">
        <v>8870</v>
      </c>
      <c r="J9753" t="s">
        <v>28379</v>
      </c>
      <c r="K9753" t="s">
        <v>36688</v>
      </c>
      <c r="M9753" t="s">
        <v>39658</v>
      </c>
      <c r="N9753" t="s">
        <v>40436</v>
      </c>
      <c r="O9753" t="s">
        <v>40437</v>
      </c>
      <c r="P9753">
        <v>0</v>
      </c>
      <c r="Q9753">
        <v>4</v>
      </c>
      <c r="R9753" t="s">
        <v>40449</v>
      </c>
      <c r="S9753" t="s">
        <v>40919</v>
      </c>
      <c r="T9753" t="s">
        <v>42549</v>
      </c>
      <c r="U9753" t="s">
        <v>50776</v>
      </c>
      <c r="V9753" t="s">
        <v>54844</v>
      </c>
      <c r="W9753" t="s">
        <v>39658</v>
      </c>
      <c r="X9753" t="s">
        <v>40450</v>
      </c>
    </row>
    <row r="9754" spans="1:24">
      <c r="A9754">
        <f>HYPERLINK("https://www.philgeps.gov.ph/GEPSNONPILOT/Tender/SplashBidNoticeAbstractUI.aspx?menuIndex=3&amp;refID=7030130&amp;Result=3","7030130")</f>
        <v>0</v>
      </c>
      <c r="B9754" t="s">
        <v>357</v>
      </c>
      <c r="C9754" t="s">
        <v>12387</v>
      </c>
      <c r="D9754" t="s">
        <v>16197</v>
      </c>
      <c r="E9754" t="s">
        <v>24792</v>
      </c>
      <c r="F9754" t="s">
        <v>28198</v>
      </c>
      <c r="G9754" t="s">
        <v>28205</v>
      </c>
      <c r="H9754" t="s">
        <v>28214</v>
      </c>
      <c r="I9754" t="s">
        <v>3797</v>
      </c>
      <c r="J9754" t="s">
        <v>29482</v>
      </c>
      <c r="K9754" t="s">
        <v>36770</v>
      </c>
      <c r="M9754" t="s">
        <v>37336</v>
      </c>
      <c r="N9754" t="s">
        <v>40436</v>
      </c>
      <c r="O9754" t="s">
        <v>40437</v>
      </c>
      <c r="P9754">
        <v>0</v>
      </c>
      <c r="Q9754">
        <v>1</v>
      </c>
      <c r="R9754" t="s">
        <v>40449</v>
      </c>
      <c r="S9754" t="s">
        <v>40919</v>
      </c>
      <c r="T9754" t="s">
        <v>42128</v>
      </c>
      <c r="U9754" t="s">
        <v>50777</v>
      </c>
      <c r="W9754" t="s">
        <v>37336</v>
      </c>
      <c r="X9754" t="s">
        <v>40450</v>
      </c>
    </row>
    <row r="9755" spans="1:24">
      <c r="A9755">
        <f>HYPERLINK("https://www.philgeps.gov.ph/GEPSNONPILOT/Tender/SplashBidNoticeAbstractUI.aspx?menuIndex=3&amp;refID=7030022&amp;Result=3","7030022")</f>
        <v>0</v>
      </c>
      <c r="B9755" t="s">
        <v>2713</v>
      </c>
      <c r="C9755" t="s">
        <v>12388</v>
      </c>
      <c r="D9755" t="s">
        <v>16218</v>
      </c>
      <c r="E9755" t="s">
        <v>16943</v>
      </c>
      <c r="F9755" t="s">
        <v>28198</v>
      </c>
      <c r="G9755" t="s">
        <v>28205</v>
      </c>
      <c r="H9755" t="s">
        <v>28215</v>
      </c>
      <c r="I9755" t="s">
        <v>5100</v>
      </c>
      <c r="J9755" t="s">
        <v>34415</v>
      </c>
      <c r="K9755" t="s">
        <v>36693</v>
      </c>
      <c r="M9755" t="s">
        <v>39955</v>
      </c>
      <c r="N9755" t="s">
        <v>40436</v>
      </c>
      <c r="O9755" t="s">
        <v>40437</v>
      </c>
      <c r="P9755">
        <v>0</v>
      </c>
      <c r="Q9755">
        <v>0</v>
      </c>
      <c r="R9755" t="s">
        <v>40449</v>
      </c>
      <c r="S9755" t="s">
        <v>40919</v>
      </c>
      <c r="T9755" t="s">
        <v>42200</v>
      </c>
      <c r="U9755" t="s">
        <v>50778</v>
      </c>
      <c r="W9755" t="s">
        <v>39955</v>
      </c>
      <c r="X9755" t="s">
        <v>40450</v>
      </c>
    </row>
    <row r="9756" spans="1:24">
      <c r="A9756">
        <f>HYPERLINK("https://www.philgeps.gov.ph/GEPSNONPILOT/Tender/SplashBidNoticeAbstractUI.aspx?menuIndex=3&amp;refID=7030121&amp;Result=3","7030121")</f>
        <v>0</v>
      </c>
      <c r="B9756" t="s">
        <v>1183</v>
      </c>
      <c r="C9756" t="s">
        <v>12389</v>
      </c>
      <c r="D9756" t="s">
        <v>16207</v>
      </c>
      <c r="E9756" t="s">
        <v>24793</v>
      </c>
      <c r="F9756" t="s">
        <v>28198</v>
      </c>
      <c r="G9756" t="s">
        <v>28205</v>
      </c>
      <c r="H9756" t="s">
        <v>28215</v>
      </c>
      <c r="I9756" t="s">
        <v>4505</v>
      </c>
      <c r="J9756" t="s">
        <v>29103</v>
      </c>
      <c r="K9756" t="s">
        <v>36688</v>
      </c>
      <c r="M9756" t="s">
        <v>39692</v>
      </c>
      <c r="N9756" t="s">
        <v>40436</v>
      </c>
      <c r="O9756" t="s">
        <v>40437</v>
      </c>
      <c r="P9756">
        <v>0</v>
      </c>
      <c r="Q9756">
        <v>1</v>
      </c>
      <c r="R9756" t="s">
        <v>40449</v>
      </c>
      <c r="S9756" t="s">
        <v>40919</v>
      </c>
      <c r="T9756" t="s">
        <v>42183</v>
      </c>
      <c r="U9756" t="s">
        <v>50779</v>
      </c>
      <c r="W9756" t="s">
        <v>38225</v>
      </c>
      <c r="X9756" t="s">
        <v>40450</v>
      </c>
    </row>
    <row r="9757" spans="1:24">
      <c r="A9757">
        <f>HYPERLINK("https://www.philgeps.gov.ph/GEPSNONPILOT/Tender/SplashBidNoticeAbstractUI.aspx?menuIndex=3&amp;refID=7030143&amp;Result=3","7030143")</f>
        <v>0</v>
      </c>
      <c r="B9757" t="s">
        <v>361</v>
      </c>
      <c r="C9757" t="s">
        <v>12390</v>
      </c>
      <c r="D9757" t="s">
        <v>16236</v>
      </c>
      <c r="E9757" t="s">
        <v>24794</v>
      </c>
      <c r="F9757" t="s">
        <v>28198</v>
      </c>
      <c r="G9757" t="s">
        <v>28205</v>
      </c>
      <c r="H9757" t="s">
        <v>28214</v>
      </c>
      <c r="I9757" t="s">
        <v>3797</v>
      </c>
      <c r="J9757" t="s">
        <v>28363</v>
      </c>
      <c r="K9757" t="s">
        <v>36736</v>
      </c>
      <c r="M9757" t="s">
        <v>38787</v>
      </c>
      <c r="N9757" t="s">
        <v>40436</v>
      </c>
      <c r="O9757" t="s">
        <v>40437</v>
      </c>
      <c r="P9757">
        <v>0</v>
      </c>
      <c r="Q9757">
        <v>0</v>
      </c>
      <c r="R9757" t="s">
        <v>40449</v>
      </c>
      <c r="S9757" t="s">
        <v>40919</v>
      </c>
      <c r="T9757" t="s">
        <v>42176</v>
      </c>
      <c r="U9757" t="s">
        <v>50780</v>
      </c>
      <c r="V9757" t="s">
        <v>54845</v>
      </c>
      <c r="W9757" t="s">
        <v>38787</v>
      </c>
      <c r="X9757" t="s">
        <v>40450</v>
      </c>
    </row>
    <row r="9758" spans="1:24">
      <c r="A9758">
        <f>HYPERLINK("https://www.philgeps.gov.ph/GEPSNONPILOT/Tender/SplashBidNoticeAbstractUI.aspx?menuIndex=3&amp;refID=7030124&amp;Result=3","7030124")</f>
        <v>0</v>
      </c>
      <c r="B9758" t="s">
        <v>1913</v>
      </c>
      <c r="C9758" t="s">
        <v>11783</v>
      </c>
      <c r="D9758" t="s">
        <v>16195</v>
      </c>
      <c r="E9758" t="s">
        <v>24795</v>
      </c>
      <c r="F9758" t="s">
        <v>28198</v>
      </c>
      <c r="G9758" t="s">
        <v>28205</v>
      </c>
      <c r="H9758" t="s">
        <v>28215</v>
      </c>
      <c r="I9758" t="s">
        <v>5100</v>
      </c>
      <c r="J9758" t="s">
        <v>30156</v>
      </c>
      <c r="K9758" t="s">
        <v>36696</v>
      </c>
      <c r="M9758" t="s">
        <v>39045</v>
      </c>
      <c r="N9758" t="s">
        <v>40436</v>
      </c>
      <c r="O9758" t="s">
        <v>40437</v>
      </c>
      <c r="P9758">
        <v>0</v>
      </c>
      <c r="Q9758">
        <v>0</v>
      </c>
      <c r="R9758" t="s">
        <v>40449</v>
      </c>
      <c r="S9758" t="s">
        <v>40919</v>
      </c>
      <c r="T9758" t="s">
        <v>42146</v>
      </c>
      <c r="U9758" t="s">
        <v>50781</v>
      </c>
      <c r="W9758" t="s">
        <v>39045</v>
      </c>
      <c r="X9758" t="s">
        <v>40450</v>
      </c>
    </row>
    <row r="9759" spans="1:24">
      <c r="A9759">
        <f>HYPERLINK("https://www.philgeps.gov.ph/GEPSNONPILOT/Tender/SplashBidNoticeAbstractUI.aspx?menuIndex=3&amp;refID=7029997&amp;Result=3","7029997")</f>
        <v>0</v>
      </c>
      <c r="B9759" t="s">
        <v>1913</v>
      </c>
      <c r="C9759" t="s">
        <v>12391</v>
      </c>
      <c r="D9759" t="s">
        <v>16195</v>
      </c>
      <c r="E9759" t="s">
        <v>24796</v>
      </c>
      <c r="F9759" t="s">
        <v>28198</v>
      </c>
      <c r="G9759" t="s">
        <v>28205</v>
      </c>
      <c r="H9759" t="s">
        <v>28215</v>
      </c>
      <c r="I9759" t="s">
        <v>5100</v>
      </c>
      <c r="J9759" t="s">
        <v>34416</v>
      </c>
      <c r="K9759" t="s">
        <v>36696</v>
      </c>
      <c r="M9759" t="s">
        <v>39045</v>
      </c>
      <c r="N9759" t="s">
        <v>40436</v>
      </c>
      <c r="O9759" t="s">
        <v>40437</v>
      </c>
      <c r="P9759">
        <v>0</v>
      </c>
      <c r="Q9759">
        <v>1</v>
      </c>
      <c r="R9759" t="s">
        <v>40449</v>
      </c>
      <c r="S9759" t="s">
        <v>40919</v>
      </c>
      <c r="T9759" t="s">
        <v>42157</v>
      </c>
      <c r="U9759" t="s">
        <v>50782</v>
      </c>
      <c r="W9759" t="s">
        <v>39045</v>
      </c>
      <c r="X9759" t="s">
        <v>40450</v>
      </c>
    </row>
    <row r="9760" spans="1:24">
      <c r="A9760">
        <f>HYPERLINK("https://www.philgeps.gov.ph/GEPSNONPILOT/Tender/SplashBidNoticeAbstractUI.aspx?menuIndex=3&amp;refID=7030179&amp;Result=3","7030179")</f>
        <v>0</v>
      </c>
      <c r="B9760" t="s">
        <v>2714</v>
      </c>
      <c r="C9760" t="s">
        <v>12392</v>
      </c>
      <c r="D9760" t="s">
        <v>16189</v>
      </c>
      <c r="E9760" t="s">
        <v>24797</v>
      </c>
      <c r="F9760" t="s">
        <v>28198</v>
      </c>
      <c r="G9760" t="s">
        <v>28209</v>
      </c>
      <c r="H9760" t="s">
        <v>28215</v>
      </c>
      <c r="I9760" t="s">
        <v>28331</v>
      </c>
      <c r="J9760" t="s">
        <v>34417</v>
      </c>
      <c r="K9760" t="s">
        <v>36689</v>
      </c>
      <c r="M9760" t="s">
        <v>39956</v>
      </c>
      <c r="N9760" t="s">
        <v>40436</v>
      </c>
      <c r="O9760" t="s">
        <v>40437</v>
      </c>
      <c r="P9760">
        <v>0</v>
      </c>
      <c r="Q9760">
        <v>2</v>
      </c>
      <c r="R9760" t="s">
        <v>40449</v>
      </c>
      <c r="S9760" t="s">
        <v>40919</v>
      </c>
      <c r="T9760" t="s">
        <v>42277</v>
      </c>
      <c r="U9760" t="s">
        <v>50783</v>
      </c>
      <c r="W9760" t="s">
        <v>39956</v>
      </c>
      <c r="X9760" t="s">
        <v>40450</v>
      </c>
    </row>
    <row r="9761" spans="1:24">
      <c r="A9761">
        <f>HYPERLINK("https://www.philgeps.gov.ph/GEPSNONPILOT/Tender/SplashBidNoticeAbstractUI.aspx?menuIndex=3&amp;refID=7030136&amp;Result=3","7030136")</f>
        <v>0</v>
      </c>
      <c r="B9761" t="s">
        <v>1528</v>
      </c>
      <c r="C9761" t="s">
        <v>12393</v>
      </c>
      <c r="D9761" t="s">
        <v>16230</v>
      </c>
      <c r="E9761" t="s">
        <v>17139</v>
      </c>
      <c r="F9761" t="s">
        <v>28198</v>
      </c>
      <c r="G9761" t="s">
        <v>28205</v>
      </c>
      <c r="H9761" t="s">
        <v>28214</v>
      </c>
      <c r="I9761" t="s">
        <v>3797</v>
      </c>
      <c r="J9761" t="s">
        <v>34418</v>
      </c>
      <c r="K9761" t="s">
        <v>36854</v>
      </c>
      <c r="M9761" t="s">
        <v>39957</v>
      </c>
      <c r="N9761" t="s">
        <v>40436</v>
      </c>
      <c r="O9761" t="s">
        <v>40437</v>
      </c>
      <c r="P9761">
        <v>0</v>
      </c>
      <c r="Q9761">
        <v>2</v>
      </c>
      <c r="R9761" t="s">
        <v>40449</v>
      </c>
      <c r="S9761" t="s">
        <v>40919</v>
      </c>
      <c r="T9761" t="s">
        <v>42168</v>
      </c>
      <c r="U9761" t="s">
        <v>50784</v>
      </c>
      <c r="W9761" t="s">
        <v>39957</v>
      </c>
      <c r="X9761" t="s">
        <v>40450</v>
      </c>
    </row>
    <row r="9762" spans="1:24">
      <c r="A9762">
        <f>HYPERLINK("https://www.philgeps.gov.ph/GEPSNONPILOT/Tender/SplashBidNoticeAbstractUI.aspx?menuIndex=3&amp;refID=7029859&amp;Result=3","7029859")</f>
        <v>0</v>
      </c>
      <c r="B9762" t="s">
        <v>1068</v>
      </c>
      <c r="C9762" t="s">
        <v>12394</v>
      </c>
      <c r="D9762" t="s">
        <v>16258</v>
      </c>
      <c r="E9762" t="s">
        <v>24798</v>
      </c>
      <c r="F9762" t="s">
        <v>28198</v>
      </c>
      <c r="G9762" t="s">
        <v>28205</v>
      </c>
      <c r="H9762" t="s">
        <v>28215</v>
      </c>
      <c r="I9762" t="s">
        <v>28222</v>
      </c>
      <c r="J9762" t="s">
        <v>29643</v>
      </c>
      <c r="K9762" t="s">
        <v>36689</v>
      </c>
      <c r="M9762" t="s">
        <v>38101</v>
      </c>
      <c r="N9762" t="s">
        <v>40436</v>
      </c>
      <c r="O9762" t="s">
        <v>40437</v>
      </c>
      <c r="P9762">
        <v>0</v>
      </c>
      <c r="Q9762">
        <v>9</v>
      </c>
      <c r="R9762" t="s">
        <v>40449</v>
      </c>
      <c r="S9762" t="s">
        <v>40919</v>
      </c>
      <c r="T9762" t="s">
        <v>42240</v>
      </c>
      <c r="U9762" t="s">
        <v>50785</v>
      </c>
      <c r="W9762" t="s">
        <v>38101</v>
      </c>
      <c r="X9762" t="s">
        <v>40450</v>
      </c>
    </row>
    <row r="9763" spans="1:24">
      <c r="A9763">
        <f>HYPERLINK("https://www.philgeps.gov.ph/GEPSNONPILOT/Tender/SplashBidNoticeAbstractUI.aspx?menuIndex=3&amp;refID=7029823&amp;Result=3","7029823")</f>
        <v>0</v>
      </c>
      <c r="B9763" t="s">
        <v>886</v>
      </c>
      <c r="C9763" t="s">
        <v>12395</v>
      </c>
      <c r="E9763" t="s">
        <v>18086</v>
      </c>
      <c r="F9763" t="s">
        <v>28198</v>
      </c>
      <c r="G9763" t="s">
        <v>28205</v>
      </c>
      <c r="H9763" t="s">
        <v>28217</v>
      </c>
      <c r="I9763" t="s">
        <v>28241</v>
      </c>
      <c r="J9763" t="s">
        <v>30908</v>
      </c>
      <c r="K9763" t="s">
        <v>36690</v>
      </c>
      <c r="M9763" t="s">
        <v>37902</v>
      </c>
      <c r="N9763" t="s">
        <v>40436</v>
      </c>
      <c r="O9763" t="s">
        <v>40437</v>
      </c>
      <c r="P9763">
        <v>0</v>
      </c>
      <c r="Q9763">
        <v>4</v>
      </c>
      <c r="R9763" t="s">
        <v>40449</v>
      </c>
      <c r="S9763" t="s">
        <v>40919</v>
      </c>
      <c r="T9763" t="s">
        <v>42279</v>
      </c>
      <c r="U9763" t="s">
        <v>50786</v>
      </c>
      <c r="W9763" t="s">
        <v>37902</v>
      </c>
      <c r="X9763" t="s">
        <v>40450</v>
      </c>
    </row>
    <row r="9764" spans="1:24">
      <c r="A9764">
        <f>HYPERLINK("https://www.philgeps.gov.ph/GEPSNONPILOT/Tender/SplashBidNoticeAbstractUI.aspx?menuIndex=3&amp;refID=7030048&amp;Result=3","7030048")</f>
        <v>0</v>
      </c>
      <c r="B9764" t="s">
        <v>2713</v>
      </c>
      <c r="C9764" t="s">
        <v>12396</v>
      </c>
      <c r="D9764" t="s">
        <v>16218</v>
      </c>
      <c r="E9764" t="s">
        <v>22342</v>
      </c>
      <c r="F9764" t="s">
        <v>28198</v>
      </c>
      <c r="G9764" t="s">
        <v>28205</v>
      </c>
      <c r="H9764" t="s">
        <v>28215</v>
      </c>
      <c r="I9764" t="s">
        <v>5100</v>
      </c>
      <c r="J9764" t="s">
        <v>34419</v>
      </c>
      <c r="K9764" t="s">
        <v>36693</v>
      </c>
      <c r="M9764" t="s">
        <v>39955</v>
      </c>
      <c r="N9764" t="s">
        <v>40436</v>
      </c>
      <c r="O9764" t="s">
        <v>40437</v>
      </c>
      <c r="P9764">
        <v>0</v>
      </c>
      <c r="Q9764">
        <v>0</v>
      </c>
      <c r="R9764" t="s">
        <v>40449</v>
      </c>
      <c r="S9764" t="s">
        <v>40919</v>
      </c>
      <c r="T9764" t="s">
        <v>42200</v>
      </c>
      <c r="U9764" t="s">
        <v>50787</v>
      </c>
      <c r="W9764" t="s">
        <v>39955</v>
      </c>
      <c r="X9764" t="s">
        <v>40450</v>
      </c>
    </row>
    <row r="9765" spans="1:24">
      <c r="A9765">
        <f>HYPERLINK("https://www.philgeps.gov.ph/GEPSNONPILOT/Tender/SplashBidNoticeAbstractUI.aspx?menuIndex=3&amp;refID=7029854&amp;Result=3","7029854")</f>
        <v>0</v>
      </c>
      <c r="B9765" t="s">
        <v>1068</v>
      </c>
      <c r="C9765" t="s">
        <v>12397</v>
      </c>
      <c r="D9765" t="s">
        <v>16258</v>
      </c>
      <c r="E9765" t="s">
        <v>24799</v>
      </c>
      <c r="F9765" t="s">
        <v>28198</v>
      </c>
      <c r="G9765" t="s">
        <v>28205</v>
      </c>
      <c r="H9765" t="s">
        <v>28215</v>
      </c>
      <c r="I9765" t="s">
        <v>28222</v>
      </c>
      <c r="J9765" t="s">
        <v>34420</v>
      </c>
      <c r="K9765" t="s">
        <v>36689</v>
      </c>
      <c r="M9765" t="s">
        <v>38101</v>
      </c>
      <c r="N9765" t="s">
        <v>40436</v>
      </c>
      <c r="O9765" t="s">
        <v>40437</v>
      </c>
      <c r="P9765">
        <v>0</v>
      </c>
      <c r="Q9765">
        <v>7</v>
      </c>
      <c r="R9765" t="s">
        <v>40449</v>
      </c>
      <c r="S9765" t="s">
        <v>40919</v>
      </c>
      <c r="T9765" t="s">
        <v>42240</v>
      </c>
      <c r="U9765" t="s">
        <v>50788</v>
      </c>
      <c r="W9765" t="s">
        <v>38101</v>
      </c>
      <c r="X9765" t="s">
        <v>40450</v>
      </c>
    </row>
    <row r="9766" spans="1:24">
      <c r="A9766">
        <f>HYPERLINK("https://www.philgeps.gov.ph/GEPSNONPILOT/Tender/SplashBidNoticeAbstractUI.aspx?menuIndex=3&amp;refID=7030172&amp;Result=3","7030172")</f>
        <v>0</v>
      </c>
      <c r="B9766" t="s">
        <v>2295</v>
      </c>
      <c r="C9766" t="s">
        <v>12398</v>
      </c>
      <c r="D9766" t="s">
        <v>16222</v>
      </c>
      <c r="E9766" t="s">
        <v>24566</v>
      </c>
      <c r="F9766" t="s">
        <v>28200</v>
      </c>
      <c r="G9766" t="s">
        <v>28205</v>
      </c>
      <c r="H9766" t="s">
        <v>28214</v>
      </c>
      <c r="I9766" t="s">
        <v>3797</v>
      </c>
      <c r="J9766" t="s">
        <v>28468</v>
      </c>
      <c r="K9766" t="s">
        <v>36908</v>
      </c>
      <c r="M9766" t="s">
        <v>39470</v>
      </c>
      <c r="N9766" t="s">
        <v>40436</v>
      </c>
      <c r="O9766" t="s">
        <v>40437</v>
      </c>
      <c r="P9766">
        <v>0</v>
      </c>
      <c r="Q9766">
        <v>2</v>
      </c>
      <c r="R9766" t="s">
        <v>40449</v>
      </c>
      <c r="S9766" t="s">
        <v>40919</v>
      </c>
      <c r="T9766" t="s">
        <v>42399</v>
      </c>
      <c r="U9766" t="s">
        <v>50789</v>
      </c>
      <c r="V9766" t="s">
        <v>54846</v>
      </c>
      <c r="W9766" t="s">
        <v>39470</v>
      </c>
      <c r="X9766" t="s">
        <v>40450</v>
      </c>
    </row>
    <row r="9767" spans="1:24">
      <c r="A9767">
        <f>HYPERLINK("https://www.philgeps.gov.ph/GEPSNONPILOT/Tender/SplashBidNoticeAbstractUI.aspx?menuIndex=3&amp;refID=7030260&amp;Result=3","7030260")</f>
        <v>0</v>
      </c>
      <c r="B9767" t="s">
        <v>2715</v>
      </c>
      <c r="C9767" t="s">
        <v>12399</v>
      </c>
      <c r="D9767" t="s">
        <v>16268</v>
      </c>
      <c r="E9767" t="s">
        <v>24800</v>
      </c>
      <c r="F9767" t="s">
        <v>28198</v>
      </c>
      <c r="G9767" t="s">
        <v>28205</v>
      </c>
      <c r="H9767" t="s">
        <v>28214</v>
      </c>
      <c r="I9767" t="s">
        <v>5100</v>
      </c>
      <c r="J9767" t="s">
        <v>28530</v>
      </c>
      <c r="K9767" t="s">
        <v>36707</v>
      </c>
      <c r="M9767" t="s">
        <v>39958</v>
      </c>
      <c r="N9767" t="s">
        <v>40436</v>
      </c>
      <c r="O9767" t="s">
        <v>40437</v>
      </c>
      <c r="P9767">
        <v>0</v>
      </c>
      <c r="Q9767">
        <v>0</v>
      </c>
      <c r="R9767" t="s">
        <v>40449</v>
      </c>
      <c r="S9767" t="s">
        <v>40919</v>
      </c>
      <c r="T9767" t="s">
        <v>42148</v>
      </c>
      <c r="U9767" t="s">
        <v>50790</v>
      </c>
      <c r="V9767" t="s">
        <v>54847</v>
      </c>
      <c r="W9767" t="s">
        <v>39958</v>
      </c>
      <c r="X9767" t="s">
        <v>40450</v>
      </c>
    </row>
    <row r="9768" spans="1:24">
      <c r="A9768">
        <f>HYPERLINK("https://www.philgeps.gov.ph/GEPSNONPILOT/Tender/SplashBidNoticeAbstractUI.aspx?menuIndex=3&amp;refID=7030241&amp;Result=3","7030241")</f>
        <v>0</v>
      </c>
      <c r="B9768" t="s">
        <v>361</v>
      </c>
      <c r="C9768" t="s">
        <v>12400</v>
      </c>
      <c r="D9768" t="s">
        <v>16236</v>
      </c>
      <c r="E9768" t="s">
        <v>24801</v>
      </c>
      <c r="F9768" t="s">
        <v>28198</v>
      </c>
      <c r="G9768" t="s">
        <v>28205</v>
      </c>
      <c r="H9768" t="s">
        <v>28214</v>
      </c>
      <c r="I9768" t="s">
        <v>3797</v>
      </c>
      <c r="J9768" t="s">
        <v>28363</v>
      </c>
      <c r="K9768" t="s">
        <v>36820</v>
      </c>
      <c r="M9768" t="s">
        <v>38787</v>
      </c>
      <c r="N9768" t="s">
        <v>40436</v>
      </c>
      <c r="O9768" t="s">
        <v>40437</v>
      </c>
      <c r="P9768">
        <v>0</v>
      </c>
      <c r="Q9768">
        <v>0</v>
      </c>
      <c r="R9768" t="s">
        <v>40449</v>
      </c>
      <c r="S9768" t="s">
        <v>40919</v>
      </c>
      <c r="T9768" t="s">
        <v>42176</v>
      </c>
      <c r="U9768" t="s">
        <v>50791</v>
      </c>
      <c r="V9768" t="s">
        <v>54848</v>
      </c>
      <c r="W9768" t="s">
        <v>38787</v>
      </c>
      <c r="X9768" t="s">
        <v>40450</v>
      </c>
    </row>
    <row r="9769" spans="1:24">
      <c r="A9769">
        <f>HYPERLINK("https://www.philgeps.gov.ph/GEPSNONPILOT/Tender/SplashBidNoticeAbstractUI.aspx?menuIndex=3&amp;refID=7030216&amp;Result=3","7030216")</f>
        <v>0</v>
      </c>
      <c r="B9769" t="s">
        <v>1130</v>
      </c>
      <c r="C9769" t="s">
        <v>12401</v>
      </c>
      <c r="D9769" t="s">
        <v>16246</v>
      </c>
      <c r="E9769" t="s">
        <v>16625</v>
      </c>
      <c r="F9769" t="s">
        <v>28198</v>
      </c>
      <c r="G9769" t="s">
        <v>28205</v>
      </c>
      <c r="H9769" t="s">
        <v>28214</v>
      </c>
      <c r="I9769" t="s">
        <v>3797</v>
      </c>
      <c r="J9769" t="s">
        <v>29346</v>
      </c>
      <c r="K9769" t="s">
        <v>36687</v>
      </c>
      <c r="M9769" t="s">
        <v>38168</v>
      </c>
      <c r="N9769" t="s">
        <v>40436</v>
      </c>
      <c r="O9769" t="s">
        <v>40437</v>
      </c>
      <c r="P9769">
        <v>0</v>
      </c>
      <c r="Q9769">
        <v>0</v>
      </c>
      <c r="R9769" t="s">
        <v>40449</v>
      </c>
      <c r="S9769" t="s">
        <v>40919</v>
      </c>
      <c r="T9769" t="s">
        <v>42121</v>
      </c>
      <c r="U9769" t="s">
        <v>50792</v>
      </c>
      <c r="V9769" t="s">
        <v>53826</v>
      </c>
      <c r="W9769" t="s">
        <v>38168</v>
      </c>
      <c r="X9769" t="s">
        <v>40450</v>
      </c>
    </row>
    <row r="9770" spans="1:24">
      <c r="A9770">
        <f>HYPERLINK("https://www.philgeps.gov.ph/GEPSNONPILOT/Tender/SplashBidNoticeAbstractUI.aspx?menuIndex=3&amp;refID=7030188&amp;Result=3","7030188")</f>
        <v>0</v>
      </c>
      <c r="B9770" t="s">
        <v>1194</v>
      </c>
      <c r="C9770" t="s">
        <v>12402</v>
      </c>
      <c r="D9770" t="s">
        <v>16258</v>
      </c>
      <c r="E9770" t="s">
        <v>24802</v>
      </c>
      <c r="F9770" t="s">
        <v>28198</v>
      </c>
      <c r="G9770" t="s">
        <v>28205</v>
      </c>
      <c r="H9770" t="s">
        <v>28215</v>
      </c>
      <c r="I9770" t="s">
        <v>8888</v>
      </c>
      <c r="J9770" t="s">
        <v>34421</v>
      </c>
      <c r="K9770" t="s">
        <v>36689</v>
      </c>
      <c r="M9770" t="s">
        <v>38238</v>
      </c>
      <c r="N9770" t="s">
        <v>40436</v>
      </c>
      <c r="O9770" t="s">
        <v>40437</v>
      </c>
      <c r="P9770">
        <v>0</v>
      </c>
      <c r="Q9770">
        <v>4</v>
      </c>
      <c r="R9770" t="s">
        <v>40449</v>
      </c>
      <c r="S9770" t="s">
        <v>40919</v>
      </c>
      <c r="T9770" t="s">
        <v>42183</v>
      </c>
      <c r="U9770" t="s">
        <v>50793</v>
      </c>
      <c r="W9770" t="s">
        <v>38238</v>
      </c>
      <c r="X9770" t="s">
        <v>40450</v>
      </c>
    </row>
    <row r="9771" spans="1:24">
      <c r="A9771">
        <f>HYPERLINK("https://www.philgeps.gov.ph/GEPSNONPILOT/Tender/SplashBidNoticeAbstractUI.aspx?menuIndex=3&amp;refID=7030203&amp;Result=3","7030203")</f>
        <v>0</v>
      </c>
      <c r="B9771" t="s">
        <v>361</v>
      </c>
      <c r="C9771" t="s">
        <v>12403</v>
      </c>
      <c r="D9771" t="s">
        <v>16236</v>
      </c>
      <c r="E9771" t="s">
        <v>24803</v>
      </c>
      <c r="F9771" t="s">
        <v>28198</v>
      </c>
      <c r="G9771" t="s">
        <v>28205</v>
      </c>
      <c r="H9771" t="s">
        <v>28214</v>
      </c>
      <c r="I9771" t="s">
        <v>3797</v>
      </c>
      <c r="J9771" t="s">
        <v>28363</v>
      </c>
      <c r="K9771" t="s">
        <v>36709</v>
      </c>
      <c r="M9771" t="s">
        <v>38787</v>
      </c>
      <c r="N9771" t="s">
        <v>40436</v>
      </c>
      <c r="O9771" t="s">
        <v>40437</v>
      </c>
      <c r="P9771">
        <v>0</v>
      </c>
      <c r="Q9771">
        <v>0</v>
      </c>
      <c r="R9771" t="s">
        <v>40449</v>
      </c>
      <c r="S9771" t="s">
        <v>40919</v>
      </c>
      <c r="T9771" t="s">
        <v>42176</v>
      </c>
      <c r="U9771" t="s">
        <v>50794</v>
      </c>
      <c r="V9771" t="s">
        <v>54849</v>
      </c>
      <c r="W9771" t="s">
        <v>38787</v>
      </c>
      <c r="X9771" t="s">
        <v>40450</v>
      </c>
    </row>
    <row r="9772" spans="1:24">
      <c r="A9772">
        <f>HYPERLINK("https://www.philgeps.gov.ph/GEPSNONPILOT/Tender/SplashBidNoticeAbstractUI.aspx?menuIndex=3&amp;refID=7030227&amp;Result=3","7030227")</f>
        <v>0</v>
      </c>
      <c r="B9772" t="s">
        <v>2295</v>
      </c>
      <c r="C9772" t="s">
        <v>12404</v>
      </c>
      <c r="D9772" t="s">
        <v>16222</v>
      </c>
      <c r="E9772" t="s">
        <v>24582</v>
      </c>
      <c r="F9772" t="s">
        <v>28200</v>
      </c>
      <c r="G9772" t="s">
        <v>28205</v>
      </c>
      <c r="H9772" t="s">
        <v>28214</v>
      </c>
      <c r="I9772" t="s">
        <v>3797</v>
      </c>
      <c r="J9772" t="s">
        <v>29566</v>
      </c>
      <c r="K9772" t="s">
        <v>36826</v>
      </c>
      <c r="M9772" t="s">
        <v>39470</v>
      </c>
      <c r="N9772" t="s">
        <v>40436</v>
      </c>
      <c r="O9772" t="s">
        <v>40437</v>
      </c>
      <c r="P9772">
        <v>0</v>
      </c>
      <c r="Q9772">
        <v>2</v>
      </c>
      <c r="R9772" t="s">
        <v>40449</v>
      </c>
      <c r="S9772" t="s">
        <v>40919</v>
      </c>
      <c r="T9772" t="s">
        <v>42194</v>
      </c>
      <c r="U9772" t="s">
        <v>50789</v>
      </c>
      <c r="V9772" t="s">
        <v>54846</v>
      </c>
      <c r="W9772" t="s">
        <v>39470</v>
      </c>
      <c r="X9772" t="s">
        <v>40450</v>
      </c>
    </row>
    <row r="9773" spans="1:24">
      <c r="A9773">
        <f>HYPERLINK("https://www.philgeps.gov.ph/GEPSNONPILOT/Tender/SplashBidNoticeAbstractUI.aspx?menuIndex=3&amp;refID=7030194&amp;Result=3","7030194")</f>
        <v>0</v>
      </c>
      <c r="B9773" t="s">
        <v>2714</v>
      </c>
      <c r="C9773" t="s">
        <v>12405</v>
      </c>
      <c r="D9773" t="s">
        <v>16189</v>
      </c>
      <c r="E9773" t="s">
        <v>24804</v>
      </c>
      <c r="F9773" t="s">
        <v>28198</v>
      </c>
      <c r="G9773" t="s">
        <v>28209</v>
      </c>
      <c r="H9773" t="s">
        <v>28215</v>
      </c>
      <c r="I9773" t="s">
        <v>28331</v>
      </c>
      <c r="J9773" t="s">
        <v>34422</v>
      </c>
      <c r="K9773" t="s">
        <v>36689</v>
      </c>
      <c r="M9773" t="s">
        <v>39956</v>
      </c>
      <c r="N9773" t="s">
        <v>40436</v>
      </c>
      <c r="O9773" t="s">
        <v>40437</v>
      </c>
      <c r="P9773">
        <v>0</v>
      </c>
      <c r="Q9773">
        <v>3</v>
      </c>
      <c r="R9773" t="s">
        <v>40449</v>
      </c>
      <c r="S9773" t="s">
        <v>40919</v>
      </c>
      <c r="T9773" t="s">
        <v>42277</v>
      </c>
      <c r="U9773" t="s">
        <v>50795</v>
      </c>
      <c r="W9773" t="s">
        <v>39956</v>
      </c>
      <c r="X9773" t="s">
        <v>40450</v>
      </c>
    </row>
    <row r="9774" spans="1:24">
      <c r="A9774">
        <f>HYPERLINK("https://www.philgeps.gov.ph/GEPSNONPILOT/Tender/SplashBidNoticeAbstractUI.aspx?menuIndex=3&amp;refID=7030233&amp;Result=3","7030233")</f>
        <v>0</v>
      </c>
      <c r="B9774" t="s">
        <v>2714</v>
      </c>
      <c r="C9774" t="s">
        <v>12406</v>
      </c>
      <c r="D9774" t="s">
        <v>16189</v>
      </c>
      <c r="E9774" t="s">
        <v>24805</v>
      </c>
      <c r="F9774" t="s">
        <v>28198</v>
      </c>
      <c r="G9774" t="s">
        <v>28209</v>
      </c>
      <c r="H9774" t="s">
        <v>28215</v>
      </c>
      <c r="I9774" t="s">
        <v>28340</v>
      </c>
      <c r="J9774" t="s">
        <v>34423</v>
      </c>
      <c r="K9774" t="s">
        <v>36689</v>
      </c>
      <c r="M9774" t="s">
        <v>39956</v>
      </c>
      <c r="N9774" t="s">
        <v>40436</v>
      </c>
      <c r="O9774" t="s">
        <v>40437</v>
      </c>
      <c r="P9774">
        <v>0</v>
      </c>
      <c r="Q9774">
        <v>4</v>
      </c>
      <c r="R9774" t="s">
        <v>40449</v>
      </c>
      <c r="S9774" t="s">
        <v>40919</v>
      </c>
      <c r="T9774" t="s">
        <v>42277</v>
      </c>
      <c r="U9774" t="s">
        <v>50796</v>
      </c>
      <c r="W9774" t="s">
        <v>39956</v>
      </c>
      <c r="X9774" t="s">
        <v>40450</v>
      </c>
    </row>
    <row r="9775" spans="1:24">
      <c r="A9775">
        <f>HYPERLINK("https://www.philgeps.gov.ph/GEPSNONPILOT/Tender/SplashBidNoticeAbstractUI.aspx?menuIndex=3&amp;refID=7030158&amp;Result=3","7030158")</f>
        <v>0</v>
      </c>
      <c r="B9775" t="s">
        <v>2714</v>
      </c>
      <c r="C9775" t="s">
        <v>12407</v>
      </c>
      <c r="D9775" t="s">
        <v>16189</v>
      </c>
      <c r="E9775" t="s">
        <v>24806</v>
      </c>
      <c r="F9775" t="s">
        <v>28198</v>
      </c>
      <c r="G9775" t="s">
        <v>28209</v>
      </c>
      <c r="H9775" t="s">
        <v>28215</v>
      </c>
      <c r="I9775" t="s">
        <v>28331</v>
      </c>
      <c r="J9775" t="s">
        <v>34424</v>
      </c>
      <c r="K9775" t="s">
        <v>36689</v>
      </c>
      <c r="M9775" t="s">
        <v>39956</v>
      </c>
      <c r="N9775" t="s">
        <v>40436</v>
      </c>
      <c r="O9775" t="s">
        <v>40437</v>
      </c>
      <c r="P9775">
        <v>0</v>
      </c>
      <c r="Q9775">
        <v>3</v>
      </c>
      <c r="R9775" t="s">
        <v>40449</v>
      </c>
      <c r="S9775" t="s">
        <v>40919</v>
      </c>
      <c r="T9775" t="s">
        <v>42277</v>
      </c>
      <c r="U9775" t="s">
        <v>50797</v>
      </c>
      <c r="W9775" t="s">
        <v>39956</v>
      </c>
      <c r="X9775" t="s">
        <v>40450</v>
      </c>
    </row>
    <row r="9776" spans="1:24">
      <c r="A9776">
        <f>HYPERLINK("https://www.philgeps.gov.ph/GEPSNONPILOT/Tender/SplashBidNoticeAbstractUI.aspx?menuIndex=3&amp;refID=7030379&amp;Result=3","7030379")</f>
        <v>0</v>
      </c>
      <c r="B9776" t="s">
        <v>361</v>
      </c>
      <c r="C9776" t="s">
        <v>12408</v>
      </c>
      <c r="D9776" t="s">
        <v>16236</v>
      </c>
      <c r="E9776" t="s">
        <v>24807</v>
      </c>
      <c r="F9776" t="s">
        <v>28198</v>
      </c>
      <c r="G9776" t="s">
        <v>28205</v>
      </c>
      <c r="H9776" t="s">
        <v>28214</v>
      </c>
      <c r="I9776" t="s">
        <v>3797</v>
      </c>
      <c r="J9776" t="s">
        <v>28398</v>
      </c>
      <c r="K9776" t="s">
        <v>36805</v>
      </c>
      <c r="M9776" t="s">
        <v>38787</v>
      </c>
      <c r="N9776" t="s">
        <v>40436</v>
      </c>
      <c r="O9776" t="s">
        <v>40437</v>
      </c>
      <c r="P9776">
        <v>0</v>
      </c>
      <c r="Q9776">
        <v>0</v>
      </c>
      <c r="R9776" t="s">
        <v>40449</v>
      </c>
      <c r="S9776" t="s">
        <v>40919</v>
      </c>
      <c r="T9776" t="s">
        <v>42176</v>
      </c>
      <c r="U9776" t="s">
        <v>50798</v>
      </c>
      <c r="V9776" t="s">
        <v>54850</v>
      </c>
      <c r="W9776" t="s">
        <v>38787</v>
      </c>
      <c r="X9776" t="s">
        <v>40450</v>
      </c>
    </row>
    <row r="9777" spans="1:24">
      <c r="A9777">
        <f>HYPERLINK("https://www.philgeps.gov.ph/GEPSNONPILOT/Tender/SplashBidNoticeAbstractUI.aspx?menuIndex=3&amp;refID=7030383&amp;Result=3","7030383")</f>
        <v>0</v>
      </c>
      <c r="B9777" t="s">
        <v>1166</v>
      </c>
      <c r="C9777" t="s">
        <v>12409</v>
      </c>
      <c r="E9777" t="s">
        <v>24808</v>
      </c>
      <c r="F9777" t="s">
        <v>28198</v>
      </c>
      <c r="G9777" t="s">
        <v>28205</v>
      </c>
      <c r="H9777" t="s">
        <v>28215</v>
      </c>
      <c r="I9777" t="s">
        <v>28224</v>
      </c>
      <c r="J9777" t="s">
        <v>31928</v>
      </c>
      <c r="K9777" t="s">
        <v>36689</v>
      </c>
      <c r="M9777" t="s">
        <v>38206</v>
      </c>
      <c r="N9777" t="s">
        <v>40436</v>
      </c>
      <c r="O9777" t="s">
        <v>40437</v>
      </c>
      <c r="Q9777">
        <v>3</v>
      </c>
      <c r="R9777" t="s">
        <v>40449</v>
      </c>
      <c r="S9777" t="s">
        <v>40927</v>
      </c>
      <c r="T9777" t="s">
        <v>42424</v>
      </c>
      <c r="U9777" t="s">
        <v>50799</v>
      </c>
      <c r="V9777" t="s">
        <v>54851</v>
      </c>
      <c r="W9777" t="s">
        <v>38206</v>
      </c>
      <c r="X9777" t="s">
        <v>40450</v>
      </c>
    </row>
    <row r="9778" spans="1:24">
      <c r="A9778">
        <f>HYPERLINK("https://www.philgeps.gov.ph/GEPSNONPILOT/Tender/SplashBidNoticeAbstractUI.aspx?menuIndex=3&amp;refID=7030375&amp;Result=3","7030375")</f>
        <v>0</v>
      </c>
      <c r="B9778" t="s">
        <v>2716</v>
      </c>
      <c r="C9778" t="s">
        <v>12410</v>
      </c>
      <c r="D9778" t="s">
        <v>16202</v>
      </c>
      <c r="E9778" t="s">
        <v>24809</v>
      </c>
      <c r="F9778" t="s">
        <v>28198</v>
      </c>
      <c r="G9778" t="s">
        <v>28205</v>
      </c>
      <c r="H9778" t="s">
        <v>28214</v>
      </c>
      <c r="I9778" t="s">
        <v>3797</v>
      </c>
      <c r="J9778" t="s">
        <v>28398</v>
      </c>
      <c r="K9778" t="s">
        <v>36715</v>
      </c>
      <c r="M9778" t="s">
        <v>39959</v>
      </c>
      <c r="N9778" t="s">
        <v>40436</v>
      </c>
      <c r="O9778" t="s">
        <v>40437</v>
      </c>
      <c r="P9778">
        <v>0</v>
      </c>
      <c r="Q9778">
        <v>0</v>
      </c>
      <c r="R9778" t="s">
        <v>40449</v>
      </c>
      <c r="S9778" t="s">
        <v>40919</v>
      </c>
      <c r="T9778" t="s">
        <v>42243</v>
      </c>
      <c r="U9778" t="s">
        <v>50800</v>
      </c>
      <c r="W9778" t="s">
        <v>39959</v>
      </c>
      <c r="X9778" t="s">
        <v>40450</v>
      </c>
    </row>
    <row r="9779" spans="1:24">
      <c r="A9779">
        <f>HYPERLINK("https://www.philgeps.gov.ph/GEPSNONPILOT/Tender/SplashBidNoticeAbstractUI.aspx?menuIndex=3&amp;refID=7030185&amp;Result=3","7030185")</f>
        <v>0</v>
      </c>
      <c r="B9779" t="s">
        <v>2712</v>
      </c>
      <c r="C9779" t="s">
        <v>12411</v>
      </c>
      <c r="D9779" t="s">
        <v>16263</v>
      </c>
      <c r="E9779" t="s">
        <v>23043</v>
      </c>
      <c r="F9779" t="s">
        <v>28198</v>
      </c>
      <c r="G9779" t="s">
        <v>28205</v>
      </c>
      <c r="H9779" t="s">
        <v>28214</v>
      </c>
      <c r="I9779" t="s">
        <v>3797</v>
      </c>
      <c r="J9779" t="s">
        <v>34425</v>
      </c>
      <c r="K9779" t="s">
        <v>36694</v>
      </c>
      <c r="M9779" t="s">
        <v>39954</v>
      </c>
      <c r="N9779" t="s">
        <v>40436</v>
      </c>
      <c r="O9779" t="s">
        <v>40437</v>
      </c>
      <c r="P9779">
        <v>0</v>
      </c>
      <c r="Q9779">
        <v>2</v>
      </c>
      <c r="R9779" t="s">
        <v>40449</v>
      </c>
      <c r="S9779" t="s">
        <v>40919</v>
      </c>
      <c r="T9779" t="s">
        <v>42169</v>
      </c>
      <c r="U9779" t="s">
        <v>50801</v>
      </c>
      <c r="V9779" t="s">
        <v>54843</v>
      </c>
      <c r="W9779" t="s">
        <v>39954</v>
      </c>
      <c r="X9779" t="s">
        <v>40450</v>
      </c>
    </row>
    <row r="9780" spans="1:24">
      <c r="A9780">
        <f>HYPERLINK("https://www.philgeps.gov.ph/GEPSNONPILOT/Tender/SplashBidNoticeAbstractUI.aspx?menuIndex=3&amp;refID=7030281&amp;Result=3","7030281")</f>
        <v>0</v>
      </c>
      <c r="B9780" t="s">
        <v>1528</v>
      </c>
      <c r="C9780" t="s">
        <v>12412</v>
      </c>
      <c r="D9780" t="s">
        <v>16230</v>
      </c>
      <c r="E9780" t="s">
        <v>17428</v>
      </c>
      <c r="F9780" t="s">
        <v>28198</v>
      </c>
      <c r="G9780" t="s">
        <v>28205</v>
      </c>
      <c r="H9780" t="s">
        <v>28215</v>
      </c>
      <c r="I9780" t="s">
        <v>8888</v>
      </c>
      <c r="J9780" t="s">
        <v>34426</v>
      </c>
      <c r="K9780" t="s">
        <v>36707</v>
      </c>
      <c r="M9780" t="s">
        <v>38606</v>
      </c>
      <c r="N9780" t="s">
        <v>40436</v>
      </c>
      <c r="O9780" t="s">
        <v>40437</v>
      </c>
      <c r="P9780">
        <v>0</v>
      </c>
      <c r="Q9780">
        <v>4</v>
      </c>
      <c r="R9780" t="s">
        <v>40449</v>
      </c>
      <c r="S9780" t="s">
        <v>40919</v>
      </c>
      <c r="T9780" t="s">
        <v>42426</v>
      </c>
      <c r="U9780" t="s">
        <v>50802</v>
      </c>
      <c r="W9780" t="s">
        <v>38606</v>
      </c>
      <c r="X9780" t="s">
        <v>40450</v>
      </c>
    </row>
    <row r="9781" spans="1:24">
      <c r="A9781">
        <f>HYPERLINK("https://www.philgeps.gov.ph/GEPSNONPILOT/Tender/SplashBidNoticeAbstractUI.aspx?menuIndex=3&amp;refID=7030437&amp;Result=3","7030437")</f>
        <v>0</v>
      </c>
      <c r="B9781" t="s">
        <v>1456</v>
      </c>
      <c r="C9781" t="s">
        <v>12413</v>
      </c>
      <c r="D9781" t="s">
        <v>16264</v>
      </c>
      <c r="E9781" t="s">
        <v>24810</v>
      </c>
      <c r="F9781" t="s">
        <v>28198</v>
      </c>
      <c r="G9781" t="s">
        <v>28205</v>
      </c>
      <c r="H9781" t="s">
        <v>28214</v>
      </c>
      <c r="I9781" t="s">
        <v>3797</v>
      </c>
      <c r="J9781" t="s">
        <v>29190</v>
      </c>
      <c r="K9781" t="s">
        <v>36805</v>
      </c>
      <c r="M9781" t="s">
        <v>38523</v>
      </c>
      <c r="N9781" t="s">
        <v>40436</v>
      </c>
      <c r="O9781" t="s">
        <v>40437</v>
      </c>
      <c r="P9781">
        <v>0</v>
      </c>
      <c r="Q9781">
        <v>0</v>
      </c>
      <c r="R9781" t="s">
        <v>40449</v>
      </c>
      <c r="S9781" t="s">
        <v>40919</v>
      </c>
      <c r="T9781" t="s">
        <v>42183</v>
      </c>
      <c r="U9781" t="s">
        <v>46003</v>
      </c>
      <c r="W9781" t="s">
        <v>38523</v>
      </c>
      <c r="X9781" t="s">
        <v>40450</v>
      </c>
    </row>
    <row r="9782" spans="1:24">
      <c r="A9782">
        <f>HYPERLINK("https://www.philgeps.gov.ph/GEPSNONPILOT/Tender/SplashBidNoticeAbstractUI.aspx?menuIndex=3&amp;refID=7030261&amp;Result=3","7030261")</f>
        <v>0</v>
      </c>
      <c r="B9782" t="s">
        <v>361</v>
      </c>
      <c r="C9782" t="s">
        <v>12414</v>
      </c>
      <c r="D9782" t="s">
        <v>16236</v>
      </c>
      <c r="E9782" t="s">
        <v>24811</v>
      </c>
      <c r="F9782" t="s">
        <v>28198</v>
      </c>
      <c r="G9782" t="s">
        <v>28205</v>
      </c>
      <c r="H9782" t="s">
        <v>28214</v>
      </c>
      <c r="I9782" t="s">
        <v>3797</v>
      </c>
      <c r="J9782" t="s">
        <v>34427</v>
      </c>
      <c r="K9782" t="s">
        <v>36816</v>
      </c>
      <c r="M9782" t="s">
        <v>38787</v>
      </c>
      <c r="N9782" t="s">
        <v>40436</v>
      </c>
      <c r="O9782" t="s">
        <v>40437</v>
      </c>
      <c r="P9782">
        <v>0</v>
      </c>
      <c r="Q9782">
        <v>0</v>
      </c>
      <c r="R9782" t="s">
        <v>40449</v>
      </c>
      <c r="S9782" t="s">
        <v>40919</v>
      </c>
      <c r="T9782" t="s">
        <v>42176</v>
      </c>
      <c r="U9782" t="s">
        <v>50803</v>
      </c>
      <c r="V9782" t="s">
        <v>54852</v>
      </c>
      <c r="W9782" t="s">
        <v>38787</v>
      </c>
      <c r="X9782" t="s">
        <v>40450</v>
      </c>
    </row>
    <row r="9783" spans="1:24">
      <c r="A9783">
        <f>HYPERLINK("https://www.philgeps.gov.ph/GEPSNONPILOT/Tender/SplashBidNoticeAbstractUI.aspx?menuIndex=3&amp;refID=7030282&amp;Result=3","7030282")</f>
        <v>0</v>
      </c>
      <c r="B9783" t="s">
        <v>2295</v>
      </c>
      <c r="C9783" t="s">
        <v>12415</v>
      </c>
      <c r="D9783" t="s">
        <v>16222</v>
      </c>
      <c r="E9783" t="s">
        <v>24500</v>
      </c>
      <c r="F9783" t="s">
        <v>28200</v>
      </c>
      <c r="G9783" t="s">
        <v>28205</v>
      </c>
      <c r="H9783" t="s">
        <v>28214</v>
      </c>
      <c r="I9783" t="s">
        <v>3797</v>
      </c>
      <c r="J9783" t="s">
        <v>29566</v>
      </c>
      <c r="K9783" t="s">
        <v>36909</v>
      </c>
      <c r="M9783" t="s">
        <v>39470</v>
      </c>
      <c r="N9783" t="s">
        <v>40436</v>
      </c>
      <c r="O9783" t="s">
        <v>40437</v>
      </c>
      <c r="P9783">
        <v>0</v>
      </c>
      <c r="Q9783">
        <v>2</v>
      </c>
      <c r="R9783" t="s">
        <v>40449</v>
      </c>
      <c r="S9783" t="s">
        <v>40919</v>
      </c>
      <c r="T9783" t="s">
        <v>42399</v>
      </c>
      <c r="U9783" t="s">
        <v>50789</v>
      </c>
      <c r="V9783" t="s">
        <v>54846</v>
      </c>
      <c r="W9783" t="s">
        <v>39470</v>
      </c>
      <c r="X9783" t="s">
        <v>40450</v>
      </c>
    </row>
    <row r="9784" spans="1:24">
      <c r="A9784">
        <f>HYPERLINK("https://www.philgeps.gov.ph/GEPSNONPILOT/Tender/SplashBidNoticeAbstractUI.aspx?menuIndex=3&amp;refID=7030585&amp;Result=3","7030585")</f>
        <v>0</v>
      </c>
      <c r="B9784" t="s">
        <v>2717</v>
      </c>
      <c r="C9784" t="s">
        <v>12416</v>
      </c>
      <c r="D9784" t="s">
        <v>16261</v>
      </c>
      <c r="E9784" t="s">
        <v>24812</v>
      </c>
      <c r="F9784" t="s">
        <v>28198</v>
      </c>
      <c r="G9784" t="s">
        <v>28205</v>
      </c>
      <c r="H9784" t="s">
        <v>28215</v>
      </c>
      <c r="I9784" t="s">
        <v>4200</v>
      </c>
      <c r="J9784" t="s">
        <v>34428</v>
      </c>
      <c r="K9784" t="s">
        <v>36689</v>
      </c>
      <c r="M9784" t="s">
        <v>39960</v>
      </c>
      <c r="N9784" t="s">
        <v>40436</v>
      </c>
      <c r="O9784" t="s">
        <v>40437</v>
      </c>
      <c r="P9784">
        <v>0</v>
      </c>
      <c r="Q9784">
        <v>0</v>
      </c>
      <c r="R9784" t="s">
        <v>40449</v>
      </c>
      <c r="S9784" t="s">
        <v>40919</v>
      </c>
      <c r="T9784" t="s">
        <v>42134</v>
      </c>
      <c r="U9784" t="s">
        <v>50804</v>
      </c>
      <c r="V9784" t="s">
        <v>54853</v>
      </c>
      <c r="W9784" t="s">
        <v>39960</v>
      </c>
      <c r="X9784" t="s">
        <v>40450</v>
      </c>
    </row>
    <row r="9785" spans="1:24">
      <c r="A9785">
        <f>HYPERLINK("https://www.philgeps.gov.ph/GEPSNONPILOT/Tender/SplashBidNoticeAbstractUI.aspx?menuIndex=3&amp;refID=7030390&amp;Result=3","7030390")</f>
        <v>0</v>
      </c>
      <c r="B9785" t="s">
        <v>708</v>
      </c>
      <c r="C9785" t="s">
        <v>12417</v>
      </c>
      <c r="D9785" t="s">
        <v>16228</v>
      </c>
      <c r="E9785" t="s">
        <v>24813</v>
      </c>
      <c r="F9785" t="s">
        <v>28198</v>
      </c>
      <c r="G9785" t="s">
        <v>28205</v>
      </c>
      <c r="H9785" t="s">
        <v>28215</v>
      </c>
      <c r="I9785" t="s">
        <v>4168</v>
      </c>
      <c r="J9785" t="s">
        <v>34429</v>
      </c>
      <c r="K9785" t="s">
        <v>36706</v>
      </c>
      <c r="M9785" t="s">
        <v>37708</v>
      </c>
      <c r="N9785" t="s">
        <v>40436</v>
      </c>
      <c r="O9785" t="s">
        <v>40437</v>
      </c>
      <c r="P9785">
        <v>0</v>
      </c>
      <c r="Q9785">
        <v>0</v>
      </c>
      <c r="R9785" t="s">
        <v>40449</v>
      </c>
      <c r="S9785" t="s">
        <v>40919</v>
      </c>
      <c r="T9785" t="s">
        <v>42121</v>
      </c>
      <c r="U9785" t="s">
        <v>43925</v>
      </c>
      <c r="W9785" t="s">
        <v>37708</v>
      </c>
      <c r="X9785" t="s">
        <v>40450</v>
      </c>
    </row>
    <row r="9786" spans="1:24">
      <c r="A9786">
        <f>HYPERLINK("https://www.philgeps.gov.ph/GEPSNONPILOT/Tender/SplashBidNoticeAbstractUI.aspx?menuIndex=3&amp;refID=7030503&amp;Result=3","7030503")</f>
        <v>0</v>
      </c>
      <c r="B9786" t="s">
        <v>361</v>
      </c>
      <c r="C9786" t="s">
        <v>12418</v>
      </c>
      <c r="D9786" t="s">
        <v>16236</v>
      </c>
      <c r="E9786" t="s">
        <v>24814</v>
      </c>
      <c r="F9786" t="s">
        <v>28198</v>
      </c>
      <c r="G9786" t="s">
        <v>28205</v>
      </c>
      <c r="H9786" t="s">
        <v>28214</v>
      </c>
      <c r="I9786" t="s">
        <v>3797</v>
      </c>
      <c r="J9786" t="s">
        <v>28363</v>
      </c>
      <c r="K9786" t="s">
        <v>36796</v>
      </c>
      <c r="M9786" t="s">
        <v>38787</v>
      </c>
      <c r="N9786" t="s">
        <v>40436</v>
      </c>
      <c r="O9786" t="s">
        <v>40437</v>
      </c>
      <c r="P9786">
        <v>0</v>
      </c>
      <c r="Q9786">
        <v>0</v>
      </c>
      <c r="R9786" t="s">
        <v>40449</v>
      </c>
      <c r="S9786" t="s">
        <v>40919</v>
      </c>
      <c r="T9786" t="s">
        <v>42176</v>
      </c>
      <c r="U9786" t="s">
        <v>50805</v>
      </c>
      <c r="V9786" t="s">
        <v>54854</v>
      </c>
      <c r="W9786" t="s">
        <v>38787</v>
      </c>
      <c r="X9786" t="s">
        <v>40450</v>
      </c>
    </row>
    <row r="9787" spans="1:24">
      <c r="A9787">
        <f>HYPERLINK("https://www.philgeps.gov.ph/GEPSNONPILOT/Tender/SplashBidNoticeAbstractUI.aspx?menuIndex=3&amp;refID=7030552&amp;Result=3","7030552")</f>
        <v>0</v>
      </c>
      <c r="B9787" t="s">
        <v>1116</v>
      </c>
      <c r="C9787" t="s">
        <v>12419</v>
      </c>
      <c r="D9787" t="s">
        <v>16188</v>
      </c>
      <c r="E9787" t="s">
        <v>24815</v>
      </c>
      <c r="F9787" t="s">
        <v>28198</v>
      </c>
      <c r="G9787" t="s">
        <v>28205</v>
      </c>
      <c r="H9787" t="s">
        <v>28214</v>
      </c>
      <c r="I9787" t="s">
        <v>3797</v>
      </c>
      <c r="J9787" t="s">
        <v>31204</v>
      </c>
      <c r="K9787" t="s">
        <v>36690</v>
      </c>
      <c r="M9787" t="s">
        <v>39961</v>
      </c>
      <c r="N9787" t="s">
        <v>40436</v>
      </c>
      <c r="O9787" t="s">
        <v>40437</v>
      </c>
      <c r="P9787">
        <v>0</v>
      </c>
      <c r="Q9787">
        <v>2</v>
      </c>
      <c r="R9787" t="s">
        <v>40449</v>
      </c>
      <c r="S9787" t="s">
        <v>40919</v>
      </c>
      <c r="T9787" t="s">
        <v>42234</v>
      </c>
      <c r="U9787" t="s">
        <v>50806</v>
      </c>
      <c r="W9787" t="s">
        <v>39961</v>
      </c>
      <c r="X9787" t="s">
        <v>40450</v>
      </c>
    </row>
    <row r="9788" spans="1:24">
      <c r="A9788">
        <f>HYPERLINK("https://www.philgeps.gov.ph/GEPSNONPILOT/Tender/SplashBidNoticeAbstractUI.aspx?menuIndex=3&amp;refID=7030512&amp;Result=3","7030512")</f>
        <v>0</v>
      </c>
      <c r="B9788" t="s">
        <v>2718</v>
      </c>
      <c r="C9788" t="s">
        <v>12420</v>
      </c>
      <c r="E9788" t="s">
        <v>24816</v>
      </c>
      <c r="F9788" t="s">
        <v>28198</v>
      </c>
      <c r="G9788" t="s">
        <v>28208</v>
      </c>
      <c r="H9788" t="s">
        <v>28214</v>
      </c>
      <c r="I9788" t="s">
        <v>3797</v>
      </c>
      <c r="J9788" t="s">
        <v>34430</v>
      </c>
      <c r="K9788" t="s">
        <v>36737</v>
      </c>
      <c r="M9788" t="s">
        <v>39962</v>
      </c>
      <c r="N9788" t="s">
        <v>40436</v>
      </c>
      <c r="O9788" t="s">
        <v>40437</v>
      </c>
      <c r="P9788">
        <v>0</v>
      </c>
      <c r="Q9788">
        <v>0</v>
      </c>
      <c r="R9788" t="s">
        <v>40449</v>
      </c>
      <c r="S9788" t="s">
        <v>40919</v>
      </c>
      <c r="T9788" t="s">
        <v>42183</v>
      </c>
      <c r="U9788" t="s">
        <v>50807</v>
      </c>
      <c r="W9788" t="s">
        <v>39962</v>
      </c>
      <c r="X9788" t="s">
        <v>40450</v>
      </c>
    </row>
    <row r="9789" spans="1:24">
      <c r="A9789">
        <f>HYPERLINK("https://www.philgeps.gov.ph/GEPSNONPILOT/Tender/SplashBidNoticeAbstractUI.aspx?menuIndex=3&amp;refID=7030480&amp;Result=3","7030480")</f>
        <v>0</v>
      </c>
      <c r="B9789" t="s">
        <v>361</v>
      </c>
      <c r="C9789" t="s">
        <v>12421</v>
      </c>
      <c r="D9789" t="s">
        <v>16236</v>
      </c>
      <c r="E9789" t="s">
        <v>24817</v>
      </c>
      <c r="F9789" t="s">
        <v>28198</v>
      </c>
      <c r="G9789" t="s">
        <v>28205</v>
      </c>
      <c r="H9789" t="s">
        <v>28214</v>
      </c>
      <c r="I9789" t="s">
        <v>3797</v>
      </c>
      <c r="J9789" t="s">
        <v>28398</v>
      </c>
      <c r="K9789" t="s">
        <v>36796</v>
      </c>
      <c r="M9789" t="s">
        <v>38787</v>
      </c>
      <c r="N9789" t="s">
        <v>40436</v>
      </c>
      <c r="O9789" t="s">
        <v>40437</v>
      </c>
      <c r="P9789">
        <v>0</v>
      </c>
      <c r="Q9789">
        <v>0</v>
      </c>
      <c r="R9789" t="s">
        <v>40449</v>
      </c>
      <c r="S9789" t="s">
        <v>40919</v>
      </c>
      <c r="T9789" t="s">
        <v>42176</v>
      </c>
      <c r="U9789" t="s">
        <v>50808</v>
      </c>
      <c r="V9789" t="s">
        <v>54855</v>
      </c>
      <c r="W9789" t="s">
        <v>38787</v>
      </c>
      <c r="X9789" t="s">
        <v>40450</v>
      </c>
    </row>
    <row r="9790" spans="1:24">
      <c r="A9790">
        <f>HYPERLINK("https://www.philgeps.gov.ph/GEPSNONPILOT/Tender/SplashBidNoticeAbstractUI.aspx?menuIndex=3&amp;refID=7030578&amp;Result=3","7030578")</f>
        <v>0</v>
      </c>
      <c r="B9790" t="s">
        <v>1116</v>
      </c>
      <c r="C9790" t="s">
        <v>12422</v>
      </c>
      <c r="D9790" t="s">
        <v>16188</v>
      </c>
      <c r="E9790" t="s">
        <v>24818</v>
      </c>
      <c r="F9790" t="s">
        <v>28198</v>
      </c>
      <c r="G9790" t="s">
        <v>28205</v>
      </c>
      <c r="H9790" t="s">
        <v>28214</v>
      </c>
      <c r="I9790" t="s">
        <v>3797</v>
      </c>
      <c r="J9790" t="s">
        <v>34008</v>
      </c>
      <c r="K9790" t="s">
        <v>36692</v>
      </c>
      <c r="M9790" t="s">
        <v>39961</v>
      </c>
      <c r="N9790" t="s">
        <v>40436</v>
      </c>
      <c r="O9790" t="s">
        <v>40437</v>
      </c>
      <c r="P9790">
        <v>0</v>
      </c>
      <c r="Q9790">
        <v>2</v>
      </c>
      <c r="R9790" t="s">
        <v>40449</v>
      </c>
      <c r="S9790" t="s">
        <v>40919</v>
      </c>
      <c r="T9790" t="s">
        <v>42234</v>
      </c>
      <c r="U9790" t="s">
        <v>50809</v>
      </c>
      <c r="W9790" t="s">
        <v>39961</v>
      </c>
      <c r="X9790" t="s">
        <v>40450</v>
      </c>
    </row>
    <row r="9791" spans="1:24">
      <c r="A9791">
        <f>HYPERLINK("https://www.philgeps.gov.ph/GEPSNONPILOT/Tender/SplashBidNoticeAbstractUI.aspx?menuIndex=3&amp;refID=7030506&amp;Result=3","7030506")</f>
        <v>0</v>
      </c>
      <c r="B9791" t="s">
        <v>2070</v>
      </c>
      <c r="C9791" t="s">
        <v>12423</v>
      </c>
      <c r="D9791" t="s">
        <v>16200</v>
      </c>
      <c r="E9791" t="s">
        <v>24819</v>
      </c>
      <c r="F9791" t="s">
        <v>28198</v>
      </c>
      <c r="G9791" t="s">
        <v>28205</v>
      </c>
      <c r="H9791" t="s">
        <v>28214</v>
      </c>
      <c r="I9791" t="s">
        <v>3797</v>
      </c>
      <c r="J9791" t="s">
        <v>34431</v>
      </c>
      <c r="K9791" t="s">
        <v>36697</v>
      </c>
      <c r="M9791" t="s">
        <v>39219</v>
      </c>
      <c r="N9791" t="s">
        <v>40436</v>
      </c>
      <c r="O9791" t="s">
        <v>40437</v>
      </c>
      <c r="P9791">
        <v>0</v>
      </c>
      <c r="Q9791">
        <v>3</v>
      </c>
      <c r="R9791" t="s">
        <v>40449</v>
      </c>
      <c r="S9791" t="s">
        <v>40919</v>
      </c>
      <c r="T9791" t="s">
        <v>42115</v>
      </c>
      <c r="U9791" t="s">
        <v>50810</v>
      </c>
      <c r="W9791" t="s">
        <v>39219</v>
      </c>
      <c r="X9791" t="s">
        <v>40450</v>
      </c>
    </row>
    <row r="9792" spans="1:24">
      <c r="A9792">
        <f>HYPERLINK("https://www.philgeps.gov.ph/GEPSNONPILOT/Tender/SplashBidNoticeAbstractUI.aspx?menuIndex=3&amp;refID=7030634&amp;Result=3","7030634")</f>
        <v>0</v>
      </c>
      <c r="B9792" t="s">
        <v>2070</v>
      </c>
      <c r="C9792" t="s">
        <v>12424</v>
      </c>
      <c r="D9792" t="s">
        <v>16200</v>
      </c>
      <c r="E9792" t="s">
        <v>24820</v>
      </c>
      <c r="F9792" t="s">
        <v>28198</v>
      </c>
      <c r="G9792" t="s">
        <v>28205</v>
      </c>
      <c r="H9792" t="s">
        <v>28214</v>
      </c>
      <c r="I9792" t="s">
        <v>3797</v>
      </c>
      <c r="J9792" t="s">
        <v>34432</v>
      </c>
      <c r="K9792" t="s">
        <v>36697</v>
      </c>
      <c r="M9792" t="s">
        <v>39219</v>
      </c>
      <c r="N9792" t="s">
        <v>40436</v>
      </c>
      <c r="O9792" t="s">
        <v>40437</v>
      </c>
      <c r="P9792">
        <v>0</v>
      </c>
      <c r="Q9792">
        <v>3</v>
      </c>
      <c r="R9792" t="s">
        <v>40449</v>
      </c>
      <c r="S9792" t="s">
        <v>40919</v>
      </c>
      <c r="T9792" t="s">
        <v>42115</v>
      </c>
      <c r="U9792" t="s">
        <v>50810</v>
      </c>
      <c r="W9792" t="s">
        <v>39219</v>
      </c>
      <c r="X9792" t="s">
        <v>40450</v>
      </c>
    </row>
    <row r="9793" spans="1:24">
      <c r="A9793">
        <f>HYPERLINK("https://www.philgeps.gov.ph/GEPSNONPILOT/Tender/SplashBidNoticeAbstractUI.aspx?menuIndex=3&amp;refID=7030400&amp;Result=3","7030400")</f>
        <v>0</v>
      </c>
      <c r="B9793" t="s">
        <v>361</v>
      </c>
      <c r="C9793" t="s">
        <v>12425</v>
      </c>
      <c r="D9793" t="s">
        <v>16236</v>
      </c>
      <c r="E9793" t="s">
        <v>24821</v>
      </c>
      <c r="F9793" t="s">
        <v>28198</v>
      </c>
      <c r="G9793" t="s">
        <v>28205</v>
      </c>
      <c r="H9793" t="s">
        <v>28214</v>
      </c>
      <c r="I9793" t="s">
        <v>3797</v>
      </c>
      <c r="J9793" t="s">
        <v>28363</v>
      </c>
      <c r="K9793" t="s">
        <v>36694</v>
      </c>
      <c r="M9793" t="s">
        <v>38787</v>
      </c>
      <c r="N9793" t="s">
        <v>40436</v>
      </c>
      <c r="O9793" t="s">
        <v>40437</v>
      </c>
      <c r="P9793">
        <v>0</v>
      </c>
      <c r="Q9793">
        <v>0</v>
      </c>
      <c r="R9793" t="s">
        <v>40449</v>
      </c>
      <c r="S9793" t="s">
        <v>40919</v>
      </c>
      <c r="T9793" t="s">
        <v>42176</v>
      </c>
      <c r="U9793" t="s">
        <v>50811</v>
      </c>
      <c r="V9793" t="s">
        <v>54856</v>
      </c>
      <c r="W9793" t="s">
        <v>38787</v>
      </c>
      <c r="X9793" t="s">
        <v>40450</v>
      </c>
    </row>
    <row r="9794" spans="1:24">
      <c r="A9794">
        <f>HYPERLINK("https://www.philgeps.gov.ph/GEPSNONPILOT/Tender/SplashBidNoticeAbstractUI.aspx?menuIndex=3&amp;refID=7030594&amp;Result=3","7030594")</f>
        <v>0</v>
      </c>
      <c r="B9794" t="s">
        <v>1116</v>
      </c>
      <c r="C9794" t="s">
        <v>12426</v>
      </c>
      <c r="D9794" t="s">
        <v>16188</v>
      </c>
      <c r="E9794" t="s">
        <v>24822</v>
      </c>
      <c r="F9794" t="s">
        <v>28198</v>
      </c>
      <c r="G9794" t="s">
        <v>28205</v>
      </c>
      <c r="H9794" t="s">
        <v>28214</v>
      </c>
      <c r="I9794" t="s">
        <v>3797</v>
      </c>
      <c r="J9794" t="s">
        <v>34433</v>
      </c>
      <c r="K9794" t="s">
        <v>36762</v>
      </c>
      <c r="M9794" t="s">
        <v>39961</v>
      </c>
      <c r="N9794" t="s">
        <v>40436</v>
      </c>
      <c r="O9794" t="s">
        <v>40437</v>
      </c>
      <c r="P9794">
        <v>0</v>
      </c>
      <c r="Q9794">
        <v>0</v>
      </c>
      <c r="R9794" t="s">
        <v>40449</v>
      </c>
      <c r="S9794" t="s">
        <v>40919</v>
      </c>
      <c r="T9794" t="s">
        <v>42234</v>
      </c>
      <c r="U9794" t="s">
        <v>50812</v>
      </c>
      <c r="W9794" t="s">
        <v>39961</v>
      </c>
      <c r="X9794" t="s">
        <v>40450</v>
      </c>
    </row>
    <row r="9795" spans="1:24">
      <c r="A9795">
        <f>HYPERLINK("https://www.philgeps.gov.ph/GEPSNONPILOT/Tender/SplashBidNoticeAbstractUI.aspx?menuIndex=3&amp;refID=7030278&amp;Result=3","7030278")</f>
        <v>0</v>
      </c>
      <c r="B9795" t="s">
        <v>361</v>
      </c>
      <c r="C9795" t="s">
        <v>12427</v>
      </c>
      <c r="D9795" t="s">
        <v>16236</v>
      </c>
      <c r="E9795" t="s">
        <v>24823</v>
      </c>
      <c r="F9795" t="s">
        <v>28198</v>
      </c>
      <c r="G9795" t="s">
        <v>28205</v>
      </c>
      <c r="H9795" t="s">
        <v>28214</v>
      </c>
      <c r="I9795" t="s">
        <v>3797</v>
      </c>
      <c r="J9795" t="s">
        <v>34434</v>
      </c>
      <c r="K9795" t="s">
        <v>36816</v>
      </c>
      <c r="M9795" t="s">
        <v>38787</v>
      </c>
      <c r="N9795" t="s">
        <v>40436</v>
      </c>
      <c r="O9795" t="s">
        <v>40437</v>
      </c>
      <c r="P9795">
        <v>0</v>
      </c>
      <c r="Q9795">
        <v>0</v>
      </c>
      <c r="R9795" t="s">
        <v>40449</v>
      </c>
      <c r="S9795" t="s">
        <v>40919</v>
      </c>
      <c r="T9795" t="s">
        <v>42176</v>
      </c>
      <c r="U9795" t="s">
        <v>50813</v>
      </c>
      <c r="V9795" t="s">
        <v>54852</v>
      </c>
      <c r="W9795" t="s">
        <v>38787</v>
      </c>
      <c r="X9795" t="s">
        <v>40450</v>
      </c>
    </row>
    <row r="9796" spans="1:24">
      <c r="A9796">
        <f>HYPERLINK("https://www.philgeps.gov.ph/GEPSNONPILOT/Tender/SplashBidNoticeAbstractUI.aspx?menuIndex=3&amp;refID=7030492&amp;Result=3","7030492")</f>
        <v>0</v>
      </c>
      <c r="B9796" t="s">
        <v>1950</v>
      </c>
      <c r="C9796" t="s">
        <v>8721</v>
      </c>
      <c r="E9796" t="s">
        <v>24824</v>
      </c>
      <c r="F9796" t="s">
        <v>28198</v>
      </c>
      <c r="G9796" t="s">
        <v>28205</v>
      </c>
      <c r="H9796" t="s">
        <v>28215</v>
      </c>
      <c r="I9796" t="s">
        <v>28243</v>
      </c>
      <c r="J9796" t="s">
        <v>34435</v>
      </c>
      <c r="K9796" t="s">
        <v>36689</v>
      </c>
      <c r="M9796" t="s">
        <v>39084</v>
      </c>
      <c r="N9796" t="s">
        <v>40436</v>
      </c>
      <c r="O9796" t="s">
        <v>40437</v>
      </c>
      <c r="P9796">
        <v>0</v>
      </c>
      <c r="Q9796">
        <v>2</v>
      </c>
      <c r="R9796" t="s">
        <v>40449</v>
      </c>
      <c r="S9796" t="s">
        <v>40919</v>
      </c>
      <c r="T9796" t="s">
        <v>42435</v>
      </c>
      <c r="U9796" t="s">
        <v>50814</v>
      </c>
      <c r="W9796" t="s">
        <v>39084</v>
      </c>
      <c r="X9796" t="s">
        <v>40450</v>
      </c>
    </row>
    <row r="9797" spans="1:24">
      <c r="A9797">
        <f>HYPERLINK("https://www.philgeps.gov.ph/GEPSNONPILOT/Tender/SplashBidNoticeAbstractUI.aspx?menuIndex=3&amp;refID=7030695&amp;Result=3","7030695")</f>
        <v>0</v>
      </c>
      <c r="B9797" t="s">
        <v>2719</v>
      </c>
      <c r="C9797" t="s">
        <v>12428</v>
      </c>
      <c r="D9797" t="s">
        <v>16221</v>
      </c>
      <c r="E9797" t="s">
        <v>16473</v>
      </c>
      <c r="F9797" t="s">
        <v>28200</v>
      </c>
      <c r="G9797" t="s">
        <v>28205</v>
      </c>
      <c r="H9797" t="s">
        <v>28217</v>
      </c>
      <c r="I9797" t="s">
        <v>4505</v>
      </c>
      <c r="J9797" t="s">
        <v>34436</v>
      </c>
      <c r="K9797" t="s">
        <v>36718</v>
      </c>
      <c r="M9797" t="s">
        <v>39963</v>
      </c>
      <c r="N9797" t="s">
        <v>40436</v>
      </c>
      <c r="O9797" t="s">
        <v>40437</v>
      </c>
      <c r="P9797">
        <v>0</v>
      </c>
      <c r="Q9797">
        <v>0</v>
      </c>
      <c r="R9797" t="s">
        <v>40449</v>
      </c>
      <c r="S9797" t="s">
        <v>40919</v>
      </c>
      <c r="T9797" t="s">
        <v>42103</v>
      </c>
      <c r="U9797" t="s">
        <v>50815</v>
      </c>
      <c r="V9797" t="s">
        <v>54857</v>
      </c>
      <c r="W9797" t="s">
        <v>39963</v>
      </c>
      <c r="X9797" t="s">
        <v>40450</v>
      </c>
    </row>
    <row r="9798" spans="1:24">
      <c r="A9798">
        <f>HYPERLINK("https://www.philgeps.gov.ph/GEPSNONPILOT/Tender/SplashBidNoticeAbstractUI.aspx?menuIndex=3&amp;refID=7030292&amp;Result=3","7030292")</f>
        <v>0</v>
      </c>
      <c r="B9798" t="s">
        <v>2720</v>
      </c>
      <c r="C9798" t="s">
        <v>12429</v>
      </c>
      <c r="D9798" t="s">
        <v>16191</v>
      </c>
      <c r="E9798" t="s">
        <v>16352</v>
      </c>
      <c r="F9798" t="s">
        <v>28200</v>
      </c>
      <c r="G9798" t="s">
        <v>28205</v>
      </c>
      <c r="H9798" t="s">
        <v>28217</v>
      </c>
      <c r="I9798" t="s">
        <v>28286</v>
      </c>
      <c r="J9798" t="s">
        <v>28406</v>
      </c>
      <c r="K9798" t="s">
        <v>36723</v>
      </c>
      <c r="M9798" t="s">
        <v>39964</v>
      </c>
      <c r="N9798" t="s">
        <v>40436</v>
      </c>
      <c r="O9798" t="s">
        <v>40437</v>
      </c>
      <c r="P9798">
        <v>0</v>
      </c>
      <c r="Q9798">
        <v>0</v>
      </c>
      <c r="R9798" t="s">
        <v>40449</v>
      </c>
      <c r="S9798" t="s">
        <v>40919</v>
      </c>
      <c r="T9798" t="s">
        <v>42142</v>
      </c>
      <c r="U9798" t="s">
        <v>50816</v>
      </c>
      <c r="W9798" t="s">
        <v>39964</v>
      </c>
      <c r="X9798" t="s">
        <v>40450</v>
      </c>
    </row>
    <row r="9799" spans="1:24">
      <c r="A9799">
        <f>HYPERLINK("https://www.philgeps.gov.ph/GEPSNONPILOT/Tender/SplashBidNoticeAbstractUI.aspx?menuIndex=3&amp;refID=7030618&amp;Result=3","7030618")</f>
        <v>0</v>
      </c>
      <c r="B9799" t="s">
        <v>1950</v>
      </c>
      <c r="C9799" t="s">
        <v>12430</v>
      </c>
      <c r="E9799" t="s">
        <v>24825</v>
      </c>
      <c r="F9799" t="s">
        <v>28198</v>
      </c>
      <c r="G9799" t="s">
        <v>28205</v>
      </c>
      <c r="H9799" t="s">
        <v>28215</v>
      </c>
      <c r="I9799" t="s">
        <v>4321</v>
      </c>
      <c r="J9799" t="s">
        <v>34437</v>
      </c>
      <c r="K9799" t="s">
        <v>36689</v>
      </c>
      <c r="M9799" t="s">
        <v>39084</v>
      </c>
      <c r="N9799" t="s">
        <v>40436</v>
      </c>
      <c r="O9799" t="s">
        <v>40437</v>
      </c>
      <c r="P9799">
        <v>0</v>
      </c>
      <c r="Q9799">
        <v>2</v>
      </c>
      <c r="R9799" t="s">
        <v>40449</v>
      </c>
      <c r="S9799" t="s">
        <v>40919</v>
      </c>
      <c r="T9799" t="s">
        <v>42435</v>
      </c>
      <c r="U9799" t="s">
        <v>50817</v>
      </c>
      <c r="W9799" t="s">
        <v>39084</v>
      </c>
      <c r="X9799" t="s">
        <v>40450</v>
      </c>
    </row>
    <row r="9800" spans="1:24">
      <c r="A9800">
        <f>HYPERLINK("https://www.philgeps.gov.ph/GEPSNONPILOT/Tender/SplashBidNoticeAbstractUI.aspx?menuIndex=3&amp;refID=7030691&amp;Result=3","7030691")</f>
        <v>0</v>
      </c>
      <c r="B9800" t="s">
        <v>1958</v>
      </c>
      <c r="C9800" t="s">
        <v>12431</v>
      </c>
      <c r="D9800" t="s">
        <v>16244</v>
      </c>
      <c r="E9800" t="s">
        <v>20564</v>
      </c>
      <c r="F9800" t="s">
        <v>28198</v>
      </c>
      <c r="G9800" t="s">
        <v>28205</v>
      </c>
      <c r="H9800" t="s">
        <v>28214</v>
      </c>
      <c r="I9800" t="s">
        <v>3797</v>
      </c>
      <c r="J9800" t="s">
        <v>28422</v>
      </c>
      <c r="K9800" t="s">
        <v>36689</v>
      </c>
      <c r="M9800" t="s">
        <v>39093</v>
      </c>
      <c r="N9800" t="s">
        <v>40436</v>
      </c>
      <c r="O9800" t="s">
        <v>40437</v>
      </c>
      <c r="P9800">
        <v>0</v>
      </c>
      <c r="Q9800">
        <v>0</v>
      </c>
      <c r="R9800" t="s">
        <v>40449</v>
      </c>
      <c r="S9800" t="s">
        <v>40919</v>
      </c>
      <c r="T9800" t="s">
        <v>42148</v>
      </c>
      <c r="U9800" t="s">
        <v>47671</v>
      </c>
      <c r="W9800" t="s">
        <v>39093</v>
      </c>
      <c r="X9800" t="s">
        <v>40450</v>
      </c>
    </row>
    <row r="9801" spans="1:24">
      <c r="A9801">
        <f>HYPERLINK("https://www.philgeps.gov.ph/GEPSNONPILOT/Tender/SplashBidNoticeAbstractUI.aspx?menuIndex=3&amp;refID=7030655&amp;Result=3","7030655")</f>
        <v>0</v>
      </c>
      <c r="B9801" t="s">
        <v>1475</v>
      </c>
      <c r="C9801" t="s">
        <v>12432</v>
      </c>
      <c r="D9801" t="s">
        <v>16196</v>
      </c>
      <c r="E9801" t="s">
        <v>24826</v>
      </c>
      <c r="F9801" t="s">
        <v>28198</v>
      </c>
      <c r="G9801" t="s">
        <v>28205</v>
      </c>
      <c r="H9801" t="s">
        <v>28215</v>
      </c>
      <c r="I9801" t="s">
        <v>28222</v>
      </c>
      <c r="J9801" t="s">
        <v>33160</v>
      </c>
      <c r="K9801" t="s">
        <v>36701</v>
      </c>
      <c r="M9801" t="s">
        <v>38546</v>
      </c>
      <c r="N9801" t="s">
        <v>40436</v>
      </c>
      <c r="O9801" t="s">
        <v>40437</v>
      </c>
      <c r="Q9801">
        <v>4</v>
      </c>
      <c r="R9801" t="s">
        <v>40449</v>
      </c>
      <c r="S9801" t="s">
        <v>40928</v>
      </c>
      <c r="T9801" t="s">
        <v>42530</v>
      </c>
      <c r="U9801" t="s">
        <v>50818</v>
      </c>
      <c r="W9801" t="s">
        <v>55485</v>
      </c>
      <c r="X9801" t="s">
        <v>40450</v>
      </c>
    </row>
    <row r="9802" spans="1:24">
      <c r="A9802">
        <f>HYPERLINK("https://www.philgeps.gov.ph/GEPSNONPILOT/Tender/SplashBidNoticeAbstractUI.aspx?menuIndex=3&amp;refID=7030637&amp;Result=3","7030637")</f>
        <v>0</v>
      </c>
      <c r="B9802" t="s">
        <v>1698</v>
      </c>
      <c r="C9802" t="s">
        <v>12433</v>
      </c>
      <c r="D9802" t="s">
        <v>16233</v>
      </c>
      <c r="E9802" t="s">
        <v>17412</v>
      </c>
      <c r="F9802" t="s">
        <v>28198</v>
      </c>
      <c r="G9802" t="s">
        <v>28207</v>
      </c>
      <c r="H9802" t="s">
        <v>28215</v>
      </c>
      <c r="I9802" t="s">
        <v>5100</v>
      </c>
      <c r="J9802" t="s">
        <v>34438</v>
      </c>
      <c r="K9802" t="s">
        <v>36688</v>
      </c>
      <c r="L9802" t="s">
        <v>1698</v>
      </c>
      <c r="M9802" t="s">
        <v>38799</v>
      </c>
      <c r="N9802" t="s">
        <v>40436</v>
      </c>
      <c r="O9802" t="s">
        <v>40437</v>
      </c>
      <c r="P9802">
        <v>0</v>
      </c>
      <c r="Q9802">
        <v>0</v>
      </c>
      <c r="R9802" t="s">
        <v>40449</v>
      </c>
      <c r="S9802" t="s">
        <v>40919</v>
      </c>
      <c r="T9802" t="s">
        <v>42218</v>
      </c>
      <c r="U9802" t="s">
        <v>50819</v>
      </c>
      <c r="V9802" t="s">
        <v>54270</v>
      </c>
      <c r="W9802" t="s">
        <v>38799</v>
      </c>
      <c r="X9802" t="s">
        <v>40450</v>
      </c>
    </row>
    <row r="9803" spans="1:24">
      <c r="A9803">
        <f>HYPERLINK("https://www.philgeps.gov.ph/GEPSNONPILOT/Tender/SplashBidNoticeAbstractUI.aspx?menuIndex=3&amp;refID=7030708&amp;Result=3","7030708")</f>
        <v>0</v>
      </c>
      <c r="B9803" t="s">
        <v>1958</v>
      </c>
      <c r="C9803" t="s">
        <v>12434</v>
      </c>
      <c r="D9803" t="s">
        <v>16244</v>
      </c>
      <c r="E9803" t="s">
        <v>16685</v>
      </c>
      <c r="F9803" t="s">
        <v>28198</v>
      </c>
      <c r="G9803" t="s">
        <v>28205</v>
      </c>
      <c r="H9803" t="s">
        <v>28215</v>
      </c>
      <c r="I9803" t="s">
        <v>5100</v>
      </c>
      <c r="J9803" t="s">
        <v>28379</v>
      </c>
      <c r="K9803" t="s">
        <v>36689</v>
      </c>
      <c r="M9803" t="s">
        <v>39093</v>
      </c>
      <c r="N9803" t="s">
        <v>40436</v>
      </c>
      <c r="O9803" t="s">
        <v>40437</v>
      </c>
      <c r="P9803">
        <v>0</v>
      </c>
      <c r="Q9803">
        <v>0</v>
      </c>
      <c r="R9803" t="s">
        <v>40449</v>
      </c>
      <c r="S9803" t="s">
        <v>40919</v>
      </c>
      <c r="T9803" t="s">
        <v>42177</v>
      </c>
      <c r="U9803" t="s">
        <v>47671</v>
      </c>
      <c r="W9803" t="s">
        <v>39093</v>
      </c>
      <c r="X9803" t="s">
        <v>40450</v>
      </c>
    </row>
    <row r="9804" spans="1:24">
      <c r="A9804">
        <f>HYPERLINK("https://www.philgeps.gov.ph/GEPSNONPILOT/Tender/SplashBidNoticeAbstractUI.aspx?menuIndex=3&amp;refID=7030646&amp;Result=3","7030646")</f>
        <v>0</v>
      </c>
      <c r="B9804" t="s">
        <v>2258</v>
      </c>
      <c r="C9804" t="s">
        <v>12435</v>
      </c>
      <c r="D9804" t="s">
        <v>16200</v>
      </c>
      <c r="E9804" t="s">
        <v>24827</v>
      </c>
      <c r="F9804" t="s">
        <v>28198</v>
      </c>
      <c r="G9804" t="s">
        <v>28205</v>
      </c>
      <c r="H9804" t="s">
        <v>28215</v>
      </c>
      <c r="I9804" t="s">
        <v>28222</v>
      </c>
      <c r="J9804" t="s">
        <v>29316</v>
      </c>
      <c r="K9804" t="s">
        <v>36701</v>
      </c>
      <c r="M9804" t="s">
        <v>39428</v>
      </c>
      <c r="N9804" t="s">
        <v>40436</v>
      </c>
      <c r="O9804" t="s">
        <v>40437</v>
      </c>
      <c r="Q9804">
        <v>6</v>
      </c>
      <c r="R9804" t="s">
        <v>40449</v>
      </c>
      <c r="S9804" t="s">
        <v>40929</v>
      </c>
      <c r="T9804" t="s">
        <v>42144</v>
      </c>
      <c r="U9804" t="s">
        <v>50820</v>
      </c>
      <c r="V9804" t="s">
        <v>54858</v>
      </c>
      <c r="W9804" t="s">
        <v>39428</v>
      </c>
      <c r="X9804" t="s">
        <v>40450</v>
      </c>
    </row>
    <row r="9805" spans="1:24">
      <c r="A9805">
        <f>HYPERLINK("https://www.philgeps.gov.ph/GEPSNONPILOT/Tender/SplashBidNoticeAbstractUI.aspx?menuIndex=3&amp;refID=7030719&amp;Result=3","7030719")</f>
        <v>0</v>
      </c>
      <c r="B9805" t="s">
        <v>2721</v>
      </c>
      <c r="C9805" t="s">
        <v>12436</v>
      </c>
      <c r="D9805" t="s">
        <v>16193</v>
      </c>
      <c r="E9805" t="s">
        <v>16516</v>
      </c>
      <c r="F9805" t="s">
        <v>28198</v>
      </c>
      <c r="G9805" t="s">
        <v>28205</v>
      </c>
      <c r="H9805" t="s">
        <v>28214</v>
      </c>
      <c r="I9805" t="s">
        <v>3797</v>
      </c>
      <c r="J9805" t="s">
        <v>28379</v>
      </c>
      <c r="K9805" t="s">
        <v>36694</v>
      </c>
      <c r="M9805" t="s">
        <v>39965</v>
      </c>
      <c r="N9805" t="s">
        <v>40436</v>
      </c>
      <c r="O9805" t="s">
        <v>40437</v>
      </c>
      <c r="P9805">
        <v>0</v>
      </c>
      <c r="Q9805">
        <v>1</v>
      </c>
      <c r="R9805" t="s">
        <v>40449</v>
      </c>
      <c r="S9805" t="s">
        <v>40919</v>
      </c>
      <c r="T9805" t="s">
        <v>42133</v>
      </c>
      <c r="U9805" t="s">
        <v>50821</v>
      </c>
      <c r="W9805" t="s">
        <v>39965</v>
      </c>
      <c r="X9805" t="s">
        <v>40450</v>
      </c>
    </row>
    <row r="9806" spans="1:24">
      <c r="A9806">
        <f>HYPERLINK("https://www.philgeps.gov.ph/GEPSNONPILOT/Tender/SplashBidNoticeAbstractUI.aspx?menuIndex=3&amp;refID=7030810&amp;Result=3","7030810")</f>
        <v>0</v>
      </c>
      <c r="B9806" t="s">
        <v>406</v>
      </c>
      <c r="C9806" t="s">
        <v>12437</v>
      </c>
      <c r="D9806" t="s">
        <v>16203</v>
      </c>
      <c r="E9806" t="s">
        <v>24828</v>
      </c>
      <c r="F9806" t="s">
        <v>28198</v>
      </c>
      <c r="G9806" t="s">
        <v>28205</v>
      </c>
      <c r="H9806" t="s">
        <v>28215</v>
      </c>
      <c r="I9806" t="s">
        <v>28220</v>
      </c>
      <c r="J9806" t="s">
        <v>28927</v>
      </c>
      <c r="K9806" t="s">
        <v>36694</v>
      </c>
      <c r="M9806" t="s">
        <v>37387</v>
      </c>
      <c r="N9806" t="s">
        <v>40436</v>
      </c>
      <c r="O9806" t="s">
        <v>40437</v>
      </c>
      <c r="P9806">
        <v>0</v>
      </c>
      <c r="Q9806">
        <v>11</v>
      </c>
      <c r="R9806" t="s">
        <v>40449</v>
      </c>
      <c r="S9806" t="s">
        <v>40919</v>
      </c>
      <c r="T9806" t="s">
        <v>42279</v>
      </c>
      <c r="U9806" t="s">
        <v>50822</v>
      </c>
      <c r="W9806" t="s">
        <v>37387</v>
      </c>
      <c r="X9806" t="s">
        <v>40450</v>
      </c>
    </row>
    <row r="9807" spans="1:24">
      <c r="A9807">
        <f>HYPERLINK("https://www.philgeps.gov.ph/GEPSNONPILOT/Tender/SplashBidNoticeAbstractUI.aspx?menuIndex=3&amp;refID=7030752&amp;Result=3","7030752")</f>
        <v>0</v>
      </c>
      <c r="B9807" t="s">
        <v>2722</v>
      </c>
      <c r="C9807" t="s">
        <v>12438</v>
      </c>
      <c r="D9807" t="s">
        <v>16200</v>
      </c>
      <c r="E9807" t="s">
        <v>24829</v>
      </c>
      <c r="F9807" t="s">
        <v>28198</v>
      </c>
      <c r="G9807" t="s">
        <v>28205</v>
      </c>
      <c r="H9807" t="s">
        <v>28215</v>
      </c>
      <c r="I9807" t="s">
        <v>28229</v>
      </c>
      <c r="J9807" t="s">
        <v>29275</v>
      </c>
      <c r="K9807" t="s">
        <v>36701</v>
      </c>
      <c r="M9807" t="s">
        <v>39966</v>
      </c>
      <c r="N9807" t="s">
        <v>40436</v>
      </c>
      <c r="O9807" t="s">
        <v>40437</v>
      </c>
      <c r="P9807">
        <v>0</v>
      </c>
      <c r="Q9807">
        <v>2</v>
      </c>
      <c r="R9807" t="s">
        <v>40449</v>
      </c>
      <c r="S9807" t="s">
        <v>40919</v>
      </c>
      <c r="T9807" t="s">
        <v>42426</v>
      </c>
      <c r="U9807" t="s">
        <v>50823</v>
      </c>
      <c r="W9807" t="s">
        <v>39966</v>
      </c>
      <c r="X9807" t="s">
        <v>40450</v>
      </c>
    </row>
    <row r="9808" spans="1:24">
      <c r="A9808">
        <f>HYPERLINK("https://www.philgeps.gov.ph/GEPSNONPILOT/Tender/SplashBidNoticeAbstractUI.aspx?menuIndex=3&amp;refID=7030836&amp;Result=3","7030836")</f>
        <v>0</v>
      </c>
      <c r="B9808" t="s">
        <v>155</v>
      </c>
      <c r="C9808" t="s">
        <v>12439</v>
      </c>
      <c r="D9808" t="s">
        <v>16235</v>
      </c>
      <c r="E9808" t="s">
        <v>24830</v>
      </c>
      <c r="F9808" t="s">
        <v>28198</v>
      </c>
      <c r="G9808" t="s">
        <v>28206</v>
      </c>
      <c r="H9808" t="s">
        <v>28215</v>
      </c>
      <c r="I9808" t="s">
        <v>28256</v>
      </c>
      <c r="J9808" t="s">
        <v>28589</v>
      </c>
      <c r="K9808" t="s">
        <v>36701</v>
      </c>
      <c r="M9808" t="s">
        <v>39765</v>
      </c>
      <c r="N9808" t="s">
        <v>40436</v>
      </c>
      <c r="O9808" t="s">
        <v>40437</v>
      </c>
      <c r="P9808">
        <v>0</v>
      </c>
      <c r="Q9808">
        <v>6</v>
      </c>
      <c r="R9808" t="s">
        <v>40449</v>
      </c>
      <c r="S9808" t="s">
        <v>40919</v>
      </c>
      <c r="T9808" t="s">
        <v>42158</v>
      </c>
      <c r="U9808" t="s">
        <v>50077</v>
      </c>
      <c r="W9808" t="s">
        <v>55520</v>
      </c>
      <c r="X9808" t="s">
        <v>40450</v>
      </c>
    </row>
    <row r="9809" spans="1:24">
      <c r="A9809">
        <f>HYPERLINK("https://www.philgeps.gov.ph/GEPSNONPILOT/Tender/SplashBidNoticeAbstractUI.aspx?menuIndex=3&amp;refID=7030686&amp;Result=3","7030686")</f>
        <v>0</v>
      </c>
      <c r="B9809" t="s">
        <v>834</v>
      </c>
      <c r="C9809" t="s">
        <v>12440</v>
      </c>
      <c r="D9809" t="s">
        <v>16190</v>
      </c>
      <c r="E9809" t="s">
        <v>24831</v>
      </c>
      <c r="F9809" t="s">
        <v>28198</v>
      </c>
      <c r="G9809" t="s">
        <v>28205</v>
      </c>
      <c r="H9809" t="s">
        <v>28215</v>
      </c>
      <c r="I9809" t="s">
        <v>28331</v>
      </c>
      <c r="J9809" t="s">
        <v>32169</v>
      </c>
      <c r="K9809" t="s">
        <v>36694</v>
      </c>
      <c r="M9809" t="s">
        <v>39967</v>
      </c>
      <c r="N9809" t="s">
        <v>40436</v>
      </c>
      <c r="O9809" t="s">
        <v>40437</v>
      </c>
      <c r="P9809">
        <v>0</v>
      </c>
      <c r="Q9809">
        <v>5</v>
      </c>
      <c r="R9809" t="s">
        <v>40449</v>
      </c>
      <c r="S9809" t="s">
        <v>40919</v>
      </c>
      <c r="T9809" t="s">
        <v>42414</v>
      </c>
      <c r="U9809" t="s">
        <v>50824</v>
      </c>
      <c r="V9809" t="s">
        <v>54859</v>
      </c>
      <c r="W9809" t="s">
        <v>39967</v>
      </c>
      <c r="X9809" t="s">
        <v>40450</v>
      </c>
    </row>
    <row r="9810" spans="1:24">
      <c r="A9810">
        <f>HYPERLINK("https://www.philgeps.gov.ph/GEPSNONPILOT/Tender/SplashBidNoticeAbstractUI.aspx?menuIndex=3&amp;refID=7030745&amp;Result=3","7030745")</f>
        <v>0</v>
      </c>
      <c r="B9810" t="s">
        <v>2723</v>
      </c>
      <c r="C9810" t="s">
        <v>12441</v>
      </c>
      <c r="D9810" t="s">
        <v>16196</v>
      </c>
      <c r="E9810" t="s">
        <v>24832</v>
      </c>
      <c r="F9810" t="s">
        <v>28198</v>
      </c>
      <c r="G9810" t="s">
        <v>28205</v>
      </c>
      <c r="H9810" t="s">
        <v>28214</v>
      </c>
      <c r="I9810" t="s">
        <v>3797</v>
      </c>
      <c r="J9810" t="s">
        <v>28424</v>
      </c>
      <c r="K9810" t="s">
        <v>36692</v>
      </c>
      <c r="M9810" t="s">
        <v>39968</v>
      </c>
      <c r="N9810" t="s">
        <v>40436</v>
      </c>
      <c r="O9810" t="s">
        <v>40437</v>
      </c>
      <c r="P9810">
        <v>0</v>
      </c>
      <c r="Q9810">
        <v>53</v>
      </c>
      <c r="R9810" t="s">
        <v>40449</v>
      </c>
      <c r="S9810" t="s">
        <v>40919</v>
      </c>
      <c r="T9810" t="s">
        <v>42129</v>
      </c>
      <c r="U9810" t="s">
        <v>50825</v>
      </c>
      <c r="W9810" t="s">
        <v>39968</v>
      </c>
      <c r="X9810" t="s">
        <v>40450</v>
      </c>
    </row>
    <row r="9811" spans="1:24">
      <c r="A9811">
        <f>HYPERLINK("https://www.philgeps.gov.ph/GEPSNONPILOT/Tender/SplashBidNoticeAbstractUI.aspx?menuIndex=3&amp;refID=7030740&amp;Result=3","7030740")</f>
        <v>0</v>
      </c>
      <c r="B9811" t="s">
        <v>2722</v>
      </c>
      <c r="C9811" t="s">
        <v>12442</v>
      </c>
      <c r="D9811" t="s">
        <v>16200</v>
      </c>
      <c r="E9811" t="s">
        <v>24833</v>
      </c>
      <c r="F9811" t="s">
        <v>28198</v>
      </c>
      <c r="G9811" t="s">
        <v>28205</v>
      </c>
      <c r="H9811" t="s">
        <v>28215</v>
      </c>
      <c r="I9811" t="s">
        <v>28248</v>
      </c>
      <c r="J9811" t="s">
        <v>34439</v>
      </c>
      <c r="K9811" t="s">
        <v>36697</v>
      </c>
      <c r="M9811" t="s">
        <v>39966</v>
      </c>
      <c r="N9811" t="s">
        <v>40436</v>
      </c>
      <c r="O9811" t="s">
        <v>40437</v>
      </c>
      <c r="P9811">
        <v>0</v>
      </c>
      <c r="Q9811">
        <v>6</v>
      </c>
      <c r="R9811" t="s">
        <v>40449</v>
      </c>
      <c r="S9811" t="s">
        <v>40919</v>
      </c>
      <c r="T9811" t="s">
        <v>42426</v>
      </c>
      <c r="U9811" t="s">
        <v>50826</v>
      </c>
      <c r="W9811" t="s">
        <v>39966</v>
      </c>
      <c r="X9811" t="s">
        <v>40450</v>
      </c>
    </row>
    <row r="9812" spans="1:24">
      <c r="A9812">
        <f>HYPERLINK("https://www.philgeps.gov.ph/GEPSNONPILOT/Tender/SplashBidNoticeAbstractUI.aspx?menuIndex=3&amp;refID=7030842&amp;Result=3","7030842")</f>
        <v>0</v>
      </c>
      <c r="B9812" t="s">
        <v>1116</v>
      </c>
      <c r="C9812" t="s">
        <v>12443</v>
      </c>
      <c r="D9812" t="s">
        <v>16188</v>
      </c>
      <c r="E9812" t="s">
        <v>24834</v>
      </c>
      <c r="F9812" t="s">
        <v>28198</v>
      </c>
      <c r="G9812" t="s">
        <v>28205</v>
      </c>
      <c r="H9812" t="s">
        <v>28214</v>
      </c>
      <c r="I9812" t="s">
        <v>3797</v>
      </c>
      <c r="J9812" t="s">
        <v>31934</v>
      </c>
      <c r="K9812" t="s">
        <v>36910</v>
      </c>
      <c r="M9812" t="s">
        <v>39961</v>
      </c>
      <c r="N9812" t="s">
        <v>40436</v>
      </c>
      <c r="O9812" t="s">
        <v>40437</v>
      </c>
      <c r="P9812">
        <v>0</v>
      </c>
      <c r="Q9812">
        <v>1</v>
      </c>
      <c r="R9812" t="s">
        <v>40449</v>
      </c>
      <c r="S9812" t="s">
        <v>40919</v>
      </c>
      <c r="T9812" t="s">
        <v>42234</v>
      </c>
      <c r="U9812" t="s">
        <v>50827</v>
      </c>
      <c r="W9812" t="s">
        <v>39961</v>
      </c>
      <c r="X9812" t="s">
        <v>40450</v>
      </c>
    </row>
    <row r="9813" spans="1:24">
      <c r="A9813">
        <f>HYPERLINK("https://www.philgeps.gov.ph/GEPSNONPILOT/Tender/SplashBidNoticeAbstractUI.aspx?menuIndex=3&amp;refID=7030804&amp;Result=3","7030804")</f>
        <v>0</v>
      </c>
      <c r="B9813" t="s">
        <v>794</v>
      </c>
      <c r="C9813" t="s">
        <v>12444</v>
      </c>
      <c r="E9813" t="s">
        <v>24835</v>
      </c>
      <c r="F9813" t="s">
        <v>28198</v>
      </c>
      <c r="G9813" t="s">
        <v>28205</v>
      </c>
      <c r="H9813" t="s">
        <v>28214</v>
      </c>
      <c r="I9813" t="s">
        <v>3797</v>
      </c>
      <c r="J9813" t="s">
        <v>34440</v>
      </c>
      <c r="K9813" t="s">
        <v>36911</v>
      </c>
      <c r="M9813" t="s">
        <v>37800</v>
      </c>
      <c r="N9813" t="s">
        <v>40436</v>
      </c>
      <c r="O9813" t="s">
        <v>40437</v>
      </c>
      <c r="Q9813">
        <v>3</v>
      </c>
      <c r="R9813" t="s">
        <v>40449</v>
      </c>
      <c r="S9813" t="s">
        <v>40930</v>
      </c>
      <c r="T9813" t="s">
        <v>42234</v>
      </c>
      <c r="U9813" t="s">
        <v>44144</v>
      </c>
      <c r="V9813" t="s">
        <v>54698</v>
      </c>
      <c r="W9813" t="s">
        <v>37800</v>
      </c>
      <c r="X9813" t="s">
        <v>40450</v>
      </c>
    </row>
    <row r="9814" spans="1:24">
      <c r="A9814">
        <f>HYPERLINK("https://www.philgeps.gov.ph/GEPSNONPILOT/Tender/SplashBidNoticeAbstractUI.aspx?menuIndex=3&amp;refID=7030722&amp;Result=3","7030722")</f>
        <v>0</v>
      </c>
      <c r="B9814" t="s">
        <v>2722</v>
      </c>
      <c r="C9814" t="s">
        <v>12445</v>
      </c>
      <c r="D9814" t="s">
        <v>16200</v>
      </c>
      <c r="E9814" t="s">
        <v>24836</v>
      </c>
      <c r="F9814" t="s">
        <v>28198</v>
      </c>
      <c r="G9814" t="s">
        <v>28205</v>
      </c>
      <c r="H9814" t="s">
        <v>28215</v>
      </c>
      <c r="I9814" t="s">
        <v>28229</v>
      </c>
      <c r="J9814" t="s">
        <v>33801</v>
      </c>
      <c r="K9814" t="s">
        <v>36701</v>
      </c>
      <c r="M9814" t="s">
        <v>39966</v>
      </c>
      <c r="N9814" t="s">
        <v>40436</v>
      </c>
      <c r="O9814" t="s">
        <v>40437</v>
      </c>
      <c r="P9814">
        <v>0</v>
      </c>
      <c r="Q9814">
        <v>4</v>
      </c>
      <c r="R9814" t="s">
        <v>40449</v>
      </c>
      <c r="S9814" t="s">
        <v>40919</v>
      </c>
      <c r="T9814" t="s">
        <v>42426</v>
      </c>
      <c r="U9814" t="s">
        <v>50828</v>
      </c>
      <c r="W9814" t="s">
        <v>39966</v>
      </c>
      <c r="X9814" t="s">
        <v>40450</v>
      </c>
    </row>
    <row r="9815" spans="1:24">
      <c r="A9815">
        <f>HYPERLINK("https://www.philgeps.gov.ph/GEPSNONPILOT/Tender/SplashBidNoticeAbstractUI.aspx?menuIndex=3&amp;refID=7030890&amp;Result=3","7030890")</f>
        <v>0</v>
      </c>
      <c r="B9815" t="s">
        <v>1116</v>
      </c>
      <c r="C9815" t="s">
        <v>12446</v>
      </c>
      <c r="D9815" t="s">
        <v>16188</v>
      </c>
      <c r="E9815" t="s">
        <v>24837</v>
      </c>
      <c r="F9815" t="s">
        <v>28198</v>
      </c>
      <c r="G9815" t="s">
        <v>28205</v>
      </c>
      <c r="H9815" t="s">
        <v>28214</v>
      </c>
      <c r="I9815" t="s">
        <v>3797</v>
      </c>
      <c r="J9815" t="s">
        <v>31934</v>
      </c>
      <c r="K9815" t="s">
        <v>36912</v>
      </c>
      <c r="M9815" t="s">
        <v>39961</v>
      </c>
      <c r="N9815" t="s">
        <v>40436</v>
      </c>
      <c r="O9815" t="s">
        <v>40437</v>
      </c>
      <c r="P9815">
        <v>0</v>
      </c>
      <c r="Q9815">
        <v>0</v>
      </c>
      <c r="R9815" t="s">
        <v>40449</v>
      </c>
      <c r="S9815" t="s">
        <v>40919</v>
      </c>
      <c r="T9815" t="s">
        <v>42234</v>
      </c>
      <c r="U9815" t="s">
        <v>50829</v>
      </c>
      <c r="W9815" t="s">
        <v>39961</v>
      </c>
      <c r="X9815" t="s">
        <v>40450</v>
      </c>
    </row>
    <row r="9816" spans="1:24">
      <c r="A9816">
        <f>HYPERLINK("https://www.philgeps.gov.ph/GEPSNONPILOT/Tender/SplashBidNoticeAbstractUI.aspx?menuIndex=3&amp;refID=7030732&amp;Result=3","7030732")</f>
        <v>0</v>
      </c>
      <c r="B9816" t="s">
        <v>2722</v>
      </c>
      <c r="C9816" t="s">
        <v>12447</v>
      </c>
      <c r="D9816" t="s">
        <v>16200</v>
      </c>
      <c r="E9816" t="s">
        <v>24838</v>
      </c>
      <c r="F9816" t="s">
        <v>28198</v>
      </c>
      <c r="G9816" t="s">
        <v>28205</v>
      </c>
      <c r="H9816" t="s">
        <v>28215</v>
      </c>
      <c r="I9816" t="s">
        <v>28229</v>
      </c>
      <c r="J9816" t="s">
        <v>34441</v>
      </c>
      <c r="K9816" t="s">
        <v>36694</v>
      </c>
      <c r="M9816" t="s">
        <v>39966</v>
      </c>
      <c r="N9816" t="s">
        <v>40436</v>
      </c>
      <c r="O9816" t="s">
        <v>40437</v>
      </c>
      <c r="P9816">
        <v>0</v>
      </c>
      <c r="Q9816">
        <v>6</v>
      </c>
      <c r="R9816" t="s">
        <v>40449</v>
      </c>
      <c r="S9816" t="s">
        <v>40919</v>
      </c>
      <c r="T9816" t="s">
        <v>42426</v>
      </c>
      <c r="U9816" t="s">
        <v>50830</v>
      </c>
      <c r="W9816" t="s">
        <v>39966</v>
      </c>
      <c r="X9816" t="s">
        <v>40450</v>
      </c>
    </row>
    <row r="9817" spans="1:24">
      <c r="A9817">
        <f>HYPERLINK("https://www.philgeps.gov.ph/GEPSNONPILOT/Tender/SplashBidNoticeAbstractUI.aspx?menuIndex=3&amp;refID=7030826&amp;Result=3","7030826")</f>
        <v>0</v>
      </c>
      <c r="B9817" t="s">
        <v>2724</v>
      </c>
      <c r="C9817" t="s">
        <v>12448</v>
      </c>
      <c r="D9817" t="s">
        <v>16195</v>
      </c>
      <c r="E9817" t="s">
        <v>24839</v>
      </c>
      <c r="F9817" t="s">
        <v>28198</v>
      </c>
      <c r="G9817" t="s">
        <v>28205</v>
      </c>
      <c r="H9817" t="s">
        <v>28215</v>
      </c>
      <c r="I9817" t="s">
        <v>5100</v>
      </c>
      <c r="J9817" t="s">
        <v>34442</v>
      </c>
      <c r="K9817" t="s">
        <v>36805</v>
      </c>
      <c r="M9817" t="s">
        <v>39969</v>
      </c>
      <c r="N9817" t="s">
        <v>40436</v>
      </c>
      <c r="O9817" t="s">
        <v>40437</v>
      </c>
      <c r="P9817">
        <v>0</v>
      </c>
      <c r="Q9817">
        <v>0</v>
      </c>
      <c r="R9817" t="s">
        <v>40449</v>
      </c>
      <c r="S9817" t="s">
        <v>40919</v>
      </c>
      <c r="T9817" t="s">
        <v>42550</v>
      </c>
      <c r="U9817" t="s">
        <v>50831</v>
      </c>
      <c r="V9817" t="s">
        <v>54860</v>
      </c>
      <c r="W9817" t="s">
        <v>39969</v>
      </c>
      <c r="X9817" t="s">
        <v>40450</v>
      </c>
    </row>
    <row r="9818" spans="1:24">
      <c r="A9818">
        <f>HYPERLINK("https://www.philgeps.gov.ph/GEPSNONPILOT/Tender/SplashBidNoticeAbstractUI.aspx?menuIndex=3&amp;refID=7030912&amp;Result=3","7030912")</f>
        <v>0</v>
      </c>
      <c r="B9818" t="s">
        <v>1698</v>
      </c>
      <c r="C9818" t="s">
        <v>10318</v>
      </c>
      <c r="D9818" t="s">
        <v>16233</v>
      </c>
      <c r="E9818" t="s">
        <v>17412</v>
      </c>
      <c r="F9818" t="s">
        <v>28198</v>
      </c>
      <c r="G9818" t="s">
        <v>28207</v>
      </c>
      <c r="H9818" t="s">
        <v>28215</v>
      </c>
      <c r="I9818" t="s">
        <v>28225</v>
      </c>
      <c r="J9818" t="s">
        <v>34443</v>
      </c>
      <c r="K9818" t="s">
        <v>36688</v>
      </c>
      <c r="L9818" t="s">
        <v>1698</v>
      </c>
      <c r="M9818" t="s">
        <v>38799</v>
      </c>
      <c r="N9818" t="s">
        <v>40436</v>
      </c>
      <c r="O9818" t="s">
        <v>40437</v>
      </c>
      <c r="P9818">
        <v>0</v>
      </c>
      <c r="Q9818">
        <v>0</v>
      </c>
      <c r="R9818" t="s">
        <v>40449</v>
      </c>
      <c r="S9818" t="s">
        <v>40919</v>
      </c>
      <c r="T9818" t="s">
        <v>42218</v>
      </c>
      <c r="U9818" t="s">
        <v>50832</v>
      </c>
      <c r="V9818" t="s">
        <v>54270</v>
      </c>
      <c r="W9818" t="s">
        <v>38799</v>
      </c>
      <c r="X9818" t="s">
        <v>40450</v>
      </c>
    </row>
    <row r="9819" spans="1:24">
      <c r="A9819">
        <f>HYPERLINK("https://www.philgeps.gov.ph/GEPSNONPILOT/Tender/SplashBidNoticeAbstractUI.aspx?menuIndex=3&amp;refID=7030875&amp;Result=3","7030875")</f>
        <v>0</v>
      </c>
      <c r="B9819" t="s">
        <v>155</v>
      </c>
      <c r="C9819" t="s">
        <v>12449</v>
      </c>
      <c r="D9819" t="s">
        <v>16235</v>
      </c>
      <c r="E9819" t="s">
        <v>22779</v>
      </c>
      <c r="F9819" t="s">
        <v>28198</v>
      </c>
      <c r="G9819" t="s">
        <v>28207</v>
      </c>
      <c r="H9819" t="s">
        <v>28215</v>
      </c>
      <c r="I9819" t="s">
        <v>28274</v>
      </c>
      <c r="J9819" t="s">
        <v>34444</v>
      </c>
      <c r="K9819" t="s">
        <v>36701</v>
      </c>
      <c r="M9819" t="s">
        <v>39765</v>
      </c>
      <c r="N9819" t="s">
        <v>40436</v>
      </c>
      <c r="O9819" t="s">
        <v>40437</v>
      </c>
      <c r="P9819">
        <v>0</v>
      </c>
      <c r="Q9819">
        <v>0</v>
      </c>
      <c r="R9819" t="s">
        <v>40449</v>
      </c>
      <c r="S9819" t="s">
        <v>40919</v>
      </c>
      <c r="T9819" t="s">
        <v>42158</v>
      </c>
      <c r="U9819" t="s">
        <v>50077</v>
      </c>
      <c r="W9819" t="s">
        <v>55520</v>
      </c>
      <c r="X9819" t="s">
        <v>40450</v>
      </c>
    </row>
    <row r="9820" spans="1:24">
      <c r="A9820">
        <f>HYPERLINK("https://www.philgeps.gov.ph/GEPSNONPILOT/Tender/SplashBidNoticeAbstractUI.aspx?menuIndex=3&amp;refID=7030872&amp;Result=3","7030872")</f>
        <v>0</v>
      </c>
      <c r="B9820" t="s">
        <v>1399</v>
      </c>
      <c r="C9820" t="s">
        <v>12450</v>
      </c>
      <c r="D9820" t="s">
        <v>16265</v>
      </c>
      <c r="E9820" t="s">
        <v>17298</v>
      </c>
      <c r="F9820" t="s">
        <v>28198</v>
      </c>
      <c r="G9820" t="s">
        <v>28205</v>
      </c>
      <c r="H9820" t="s">
        <v>28215</v>
      </c>
      <c r="I9820" t="s">
        <v>28234</v>
      </c>
      <c r="J9820" t="s">
        <v>28694</v>
      </c>
      <c r="K9820" t="s">
        <v>36701</v>
      </c>
      <c r="M9820" t="s">
        <v>38464</v>
      </c>
      <c r="N9820" t="s">
        <v>40436</v>
      </c>
      <c r="O9820" t="s">
        <v>40437</v>
      </c>
      <c r="P9820">
        <v>0</v>
      </c>
      <c r="Q9820">
        <v>2</v>
      </c>
      <c r="R9820" t="s">
        <v>40449</v>
      </c>
      <c r="S9820" t="s">
        <v>40919</v>
      </c>
      <c r="T9820" t="s">
        <v>42464</v>
      </c>
      <c r="U9820" t="s">
        <v>50833</v>
      </c>
      <c r="W9820" t="s">
        <v>38464</v>
      </c>
      <c r="X9820" t="s">
        <v>40450</v>
      </c>
    </row>
    <row r="9821" spans="1:24">
      <c r="A9821">
        <f>HYPERLINK("https://www.philgeps.gov.ph/GEPSNONPILOT/Tender/SplashBidNoticeAbstractUI.aspx?menuIndex=3&amp;refID=7030907&amp;Result=3","7030907")</f>
        <v>0</v>
      </c>
      <c r="B9821" t="s">
        <v>155</v>
      </c>
      <c r="C9821" t="s">
        <v>12451</v>
      </c>
      <c r="D9821" t="s">
        <v>16235</v>
      </c>
      <c r="E9821" t="s">
        <v>24840</v>
      </c>
      <c r="F9821" t="s">
        <v>28198</v>
      </c>
      <c r="G9821" t="s">
        <v>28207</v>
      </c>
      <c r="H9821" t="s">
        <v>28215</v>
      </c>
      <c r="I9821" t="s">
        <v>5082</v>
      </c>
      <c r="J9821" t="s">
        <v>34445</v>
      </c>
      <c r="K9821" t="s">
        <v>36701</v>
      </c>
      <c r="M9821" t="s">
        <v>39765</v>
      </c>
      <c r="N9821" t="s">
        <v>40436</v>
      </c>
      <c r="O9821" t="s">
        <v>40437</v>
      </c>
      <c r="P9821">
        <v>0</v>
      </c>
      <c r="Q9821">
        <v>4</v>
      </c>
      <c r="R9821" t="s">
        <v>40449</v>
      </c>
      <c r="S9821" t="s">
        <v>40919</v>
      </c>
      <c r="T9821" t="s">
        <v>42158</v>
      </c>
      <c r="U9821" t="s">
        <v>50077</v>
      </c>
      <c r="W9821" t="s">
        <v>55520</v>
      </c>
      <c r="X9821" t="s">
        <v>40450</v>
      </c>
    </row>
    <row r="9822" spans="1:24">
      <c r="A9822">
        <f>HYPERLINK("https://www.philgeps.gov.ph/GEPSNONPILOT/Tender/SplashBidNoticeAbstractUI.aspx?menuIndex=3&amp;refID=7030910&amp;Result=3","7030910")</f>
        <v>0</v>
      </c>
      <c r="B9822" t="s">
        <v>1399</v>
      </c>
      <c r="C9822" t="s">
        <v>12452</v>
      </c>
      <c r="D9822" t="s">
        <v>16265</v>
      </c>
      <c r="E9822" t="s">
        <v>16543</v>
      </c>
      <c r="F9822" t="s">
        <v>28198</v>
      </c>
      <c r="G9822" t="s">
        <v>28205</v>
      </c>
      <c r="H9822" t="s">
        <v>28215</v>
      </c>
      <c r="I9822" t="s">
        <v>28234</v>
      </c>
      <c r="J9822" t="s">
        <v>28543</v>
      </c>
      <c r="K9822" t="s">
        <v>36701</v>
      </c>
      <c r="M9822" t="s">
        <v>38464</v>
      </c>
      <c r="N9822" t="s">
        <v>40436</v>
      </c>
      <c r="O9822" t="s">
        <v>40437</v>
      </c>
      <c r="P9822">
        <v>0</v>
      </c>
      <c r="Q9822">
        <v>2</v>
      </c>
      <c r="R9822" t="s">
        <v>40449</v>
      </c>
      <c r="S9822" t="s">
        <v>40919</v>
      </c>
      <c r="T9822" t="s">
        <v>42464</v>
      </c>
      <c r="U9822" t="s">
        <v>50834</v>
      </c>
      <c r="W9822" t="s">
        <v>38464</v>
      </c>
      <c r="X9822" t="s">
        <v>40450</v>
      </c>
    </row>
    <row r="9823" spans="1:24">
      <c r="A9823">
        <f>HYPERLINK("https://www.philgeps.gov.ph/GEPSNONPILOT/Tender/SplashBidNoticeAbstractUI.aspx?menuIndex=3&amp;refID=7030889&amp;Result=3","7030889")</f>
        <v>0</v>
      </c>
      <c r="B9823" t="s">
        <v>2710</v>
      </c>
      <c r="C9823" t="s">
        <v>12453</v>
      </c>
      <c r="D9823" t="s">
        <v>16223</v>
      </c>
      <c r="E9823" t="s">
        <v>20281</v>
      </c>
      <c r="F9823" t="s">
        <v>28198</v>
      </c>
      <c r="G9823" t="s">
        <v>28207</v>
      </c>
      <c r="H9823" t="s">
        <v>28215</v>
      </c>
      <c r="I9823" t="s">
        <v>28232</v>
      </c>
      <c r="J9823" t="s">
        <v>34446</v>
      </c>
      <c r="K9823" t="s">
        <v>36701</v>
      </c>
      <c r="M9823" t="s">
        <v>39952</v>
      </c>
      <c r="N9823" t="s">
        <v>40436</v>
      </c>
      <c r="O9823" t="s">
        <v>40437</v>
      </c>
      <c r="P9823">
        <v>0</v>
      </c>
      <c r="Q9823">
        <v>0</v>
      </c>
      <c r="R9823" t="s">
        <v>40449</v>
      </c>
      <c r="S9823" t="s">
        <v>40919</v>
      </c>
      <c r="T9823" t="s">
        <v>42229</v>
      </c>
      <c r="U9823" t="s">
        <v>50835</v>
      </c>
      <c r="W9823" t="s">
        <v>39952</v>
      </c>
      <c r="X9823" t="s">
        <v>40450</v>
      </c>
    </row>
    <row r="9824" spans="1:24">
      <c r="A9824">
        <f>HYPERLINK("https://www.philgeps.gov.ph/GEPSNONPILOT/Tender/SplashBidNoticeAbstractUI.aspx?menuIndex=3&amp;refID=7030838&amp;Result=3","7030838")</f>
        <v>0</v>
      </c>
      <c r="B9824" t="s">
        <v>2608</v>
      </c>
      <c r="C9824" t="s">
        <v>12454</v>
      </c>
      <c r="D9824" t="s">
        <v>16249</v>
      </c>
      <c r="E9824" t="s">
        <v>24841</v>
      </c>
      <c r="F9824" t="s">
        <v>28198</v>
      </c>
      <c r="G9824" t="s">
        <v>28205</v>
      </c>
      <c r="H9824" t="s">
        <v>28214</v>
      </c>
      <c r="I9824" t="s">
        <v>3797</v>
      </c>
      <c r="J9824" t="s">
        <v>32106</v>
      </c>
      <c r="K9824" t="s">
        <v>36913</v>
      </c>
      <c r="L9824" t="s">
        <v>2608</v>
      </c>
      <c r="M9824" t="s">
        <v>39827</v>
      </c>
      <c r="N9824" t="s">
        <v>40436</v>
      </c>
      <c r="O9824" t="s">
        <v>40437</v>
      </c>
      <c r="P9824">
        <v>0</v>
      </c>
      <c r="Q9824">
        <v>18</v>
      </c>
      <c r="R9824" t="s">
        <v>40449</v>
      </c>
      <c r="S9824" t="s">
        <v>40919</v>
      </c>
      <c r="T9824" t="s">
        <v>42279</v>
      </c>
      <c r="U9824" t="s">
        <v>50836</v>
      </c>
      <c r="W9824" t="s">
        <v>39827</v>
      </c>
      <c r="X9824" t="s">
        <v>40450</v>
      </c>
    </row>
    <row r="9825" spans="1:24">
      <c r="A9825">
        <f>HYPERLINK("https://www.philgeps.gov.ph/GEPSNONPILOT/Tender/SplashBidNoticeAbstractUI.aspx?menuIndex=3&amp;refID=7030923&amp;Result=3","7030923")</f>
        <v>0</v>
      </c>
      <c r="B9825" t="s">
        <v>1116</v>
      </c>
      <c r="C9825" t="s">
        <v>12455</v>
      </c>
      <c r="D9825" t="s">
        <v>16188</v>
      </c>
      <c r="E9825" t="s">
        <v>24842</v>
      </c>
      <c r="F9825" t="s">
        <v>28198</v>
      </c>
      <c r="G9825" t="s">
        <v>28205</v>
      </c>
      <c r="H9825" t="s">
        <v>28214</v>
      </c>
      <c r="I9825" t="s">
        <v>3797</v>
      </c>
      <c r="J9825" t="s">
        <v>31936</v>
      </c>
      <c r="K9825" t="s">
        <v>36907</v>
      </c>
      <c r="M9825" t="s">
        <v>39961</v>
      </c>
      <c r="N9825" t="s">
        <v>40436</v>
      </c>
      <c r="O9825" t="s">
        <v>40437</v>
      </c>
      <c r="P9825">
        <v>0</v>
      </c>
      <c r="Q9825">
        <v>1</v>
      </c>
      <c r="R9825" t="s">
        <v>40449</v>
      </c>
      <c r="S9825" t="s">
        <v>40919</v>
      </c>
      <c r="T9825" t="s">
        <v>42234</v>
      </c>
      <c r="U9825" t="s">
        <v>50837</v>
      </c>
      <c r="W9825" t="s">
        <v>39961</v>
      </c>
      <c r="X9825" t="s">
        <v>40450</v>
      </c>
    </row>
    <row r="9826" spans="1:24">
      <c r="A9826">
        <f>HYPERLINK("https://www.philgeps.gov.ph/GEPSNONPILOT/Tender/SplashBidNoticeAbstractUI.aspx?menuIndex=3&amp;refID=7030914&amp;Result=3","7030914")</f>
        <v>0</v>
      </c>
      <c r="B9826" t="s">
        <v>2511</v>
      </c>
      <c r="C9826" t="s">
        <v>12456</v>
      </c>
      <c r="D9826" t="s">
        <v>16260</v>
      </c>
      <c r="E9826" t="s">
        <v>24843</v>
      </c>
      <c r="F9826" t="s">
        <v>28198</v>
      </c>
      <c r="G9826" t="s">
        <v>28205</v>
      </c>
      <c r="H9826" t="s">
        <v>28214</v>
      </c>
      <c r="I9826" t="s">
        <v>3797</v>
      </c>
      <c r="J9826" t="s">
        <v>28398</v>
      </c>
      <c r="K9826" t="s">
        <v>36734</v>
      </c>
      <c r="M9826" t="s">
        <v>39970</v>
      </c>
      <c r="N9826" t="s">
        <v>40436</v>
      </c>
      <c r="O9826" t="s">
        <v>40437</v>
      </c>
      <c r="P9826">
        <v>0</v>
      </c>
      <c r="Q9826">
        <v>0</v>
      </c>
      <c r="R9826" t="s">
        <v>40449</v>
      </c>
      <c r="S9826" t="s">
        <v>40919</v>
      </c>
      <c r="T9826" t="s">
        <v>42102</v>
      </c>
      <c r="U9826" t="s">
        <v>50838</v>
      </c>
      <c r="V9826" t="s">
        <v>54861</v>
      </c>
      <c r="W9826" t="s">
        <v>39970</v>
      </c>
      <c r="X9826" t="s">
        <v>40450</v>
      </c>
    </row>
    <row r="9827" spans="1:24">
      <c r="A9827">
        <f>HYPERLINK("https://www.philgeps.gov.ph/GEPSNONPILOT/Tender/SplashBidNoticeAbstractUI.aspx?menuIndex=3&amp;refID=7031004&amp;Result=3","7031004")</f>
        <v>0</v>
      </c>
      <c r="B9827" t="s">
        <v>2725</v>
      </c>
      <c r="C9827" t="s">
        <v>12457</v>
      </c>
      <c r="D9827" t="s">
        <v>16238</v>
      </c>
      <c r="E9827" t="s">
        <v>24844</v>
      </c>
      <c r="F9827" t="s">
        <v>28198</v>
      </c>
      <c r="G9827" t="s">
        <v>28205</v>
      </c>
      <c r="H9827" t="s">
        <v>28214</v>
      </c>
      <c r="I9827" t="s">
        <v>3797</v>
      </c>
      <c r="J9827" t="s">
        <v>34447</v>
      </c>
      <c r="K9827" t="s">
        <v>36692</v>
      </c>
      <c r="M9827" t="s">
        <v>39971</v>
      </c>
      <c r="N9827" t="s">
        <v>40436</v>
      </c>
      <c r="O9827" t="s">
        <v>40437</v>
      </c>
      <c r="P9827">
        <v>0</v>
      </c>
      <c r="Q9827">
        <v>0</v>
      </c>
      <c r="R9827" t="s">
        <v>40449</v>
      </c>
      <c r="S9827" t="s">
        <v>40919</v>
      </c>
      <c r="T9827" t="s">
        <v>42134</v>
      </c>
      <c r="U9827" t="s">
        <v>50839</v>
      </c>
      <c r="V9827" t="s">
        <v>54862</v>
      </c>
      <c r="W9827" t="s">
        <v>39971</v>
      </c>
      <c r="X9827" t="s">
        <v>40450</v>
      </c>
    </row>
    <row r="9828" spans="1:24">
      <c r="A9828">
        <f>HYPERLINK("https://www.philgeps.gov.ph/GEPSNONPILOT/Tender/SplashBidNoticeAbstractUI.aspx?menuIndex=3&amp;refID=7030988&amp;Result=3","7030988")</f>
        <v>0</v>
      </c>
      <c r="B9828" t="s">
        <v>2726</v>
      </c>
      <c r="C9828" t="s">
        <v>12458</v>
      </c>
      <c r="D9828" t="s">
        <v>16201</v>
      </c>
      <c r="E9828" t="s">
        <v>24845</v>
      </c>
      <c r="F9828" t="s">
        <v>28198</v>
      </c>
      <c r="G9828" t="s">
        <v>28207</v>
      </c>
      <c r="H9828" t="s">
        <v>28215</v>
      </c>
      <c r="I9828" t="s">
        <v>5791</v>
      </c>
      <c r="J9828" t="s">
        <v>34448</v>
      </c>
      <c r="K9828" t="s">
        <v>36727</v>
      </c>
      <c r="M9828" t="s">
        <v>39972</v>
      </c>
      <c r="N9828" t="s">
        <v>40436</v>
      </c>
      <c r="O9828" t="s">
        <v>40437</v>
      </c>
      <c r="Q9828">
        <v>0</v>
      </c>
      <c r="R9828" t="s">
        <v>40449</v>
      </c>
      <c r="S9828" t="s">
        <v>40931</v>
      </c>
      <c r="T9828" t="s">
        <v>42169</v>
      </c>
      <c r="U9828" t="s">
        <v>50840</v>
      </c>
      <c r="V9828" t="s">
        <v>54863</v>
      </c>
      <c r="W9828" t="s">
        <v>39972</v>
      </c>
      <c r="X9828" t="s">
        <v>40450</v>
      </c>
    </row>
    <row r="9829" spans="1:24">
      <c r="A9829">
        <f>HYPERLINK("https://www.philgeps.gov.ph/GEPSNONPILOT/Tender/SplashBidNoticeAbstractUI.aspx?menuIndex=3&amp;refID=7030941&amp;Result=3","7030941")</f>
        <v>0</v>
      </c>
      <c r="B9829" t="s">
        <v>2725</v>
      </c>
      <c r="C9829" t="s">
        <v>12459</v>
      </c>
      <c r="D9829" t="s">
        <v>16238</v>
      </c>
      <c r="E9829" t="s">
        <v>24846</v>
      </c>
      <c r="F9829" t="s">
        <v>28198</v>
      </c>
      <c r="G9829" t="s">
        <v>28205</v>
      </c>
      <c r="H9829" t="s">
        <v>28214</v>
      </c>
      <c r="I9829" t="s">
        <v>3797</v>
      </c>
      <c r="J9829" t="s">
        <v>34449</v>
      </c>
      <c r="K9829" t="s">
        <v>36692</v>
      </c>
      <c r="M9829" t="s">
        <v>39971</v>
      </c>
      <c r="N9829" t="s">
        <v>40436</v>
      </c>
      <c r="O9829" t="s">
        <v>40437</v>
      </c>
      <c r="P9829">
        <v>0</v>
      </c>
      <c r="Q9829">
        <v>0</v>
      </c>
      <c r="R9829" t="s">
        <v>40449</v>
      </c>
      <c r="S9829" t="s">
        <v>40919</v>
      </c>
      <c r="T9829" t="s">
        <v>42134</v>
      </c>
      <c r="U9829" t="s">
        <v>50841</v>
      </c>
      <c r="V9829" t="s">
        <v>54862</v>
      </c>
      <c r="W9829" t="s">
        <v>39971</v>
      </c>
      <c r="X9829" t="s">
        <v>40450</v>
      </c>
    </row>
    <row r="9830" spans="1:24">
      <c r="A9830">
        <f>HYPERLINK("https://www.philgeps.gov.ph/GEPSNONPILOT/Tender/SplashBidNoticeAbstractUI.aspx?menuIndex=3&amp;refID=7030960&amp;Result=3","7030960")</f>
        <v>0</v>
      </c>
      <c r="B9830" t="s">
        <v>2727</v>
      </c>
      <c r="C9830" t="s">
        <v>12460</v>
      </c>
      <c r="D9830" t="s">
        <v>16193</v>
      </c>
      <c r="E9830" t="s">
        <v>24847</v>
      </c>
      <c r="F9830" t="s">
        <v>28200</v>
      </c>
      <c r="G9830" t="s">
        <v>28205</v>
      </c>
      <c r="H9830" t="s">
        <v>28214</v>
      </c>
      <c r="I9830" t="s">
        <v>3797</v>
      </c>
      <c r="J9830" t="s">
        <v>32342</v>
      </c>
      <c r="K9830" t="s">
        <v>36710</v>
      </c>
      <c r="M9830" t="s">
        <v>39973</v>
      </c>
      <c r="N9830" t="s">
        <v>40436</v>
      </c>
      <c r="O9830" t="s">
        <v>40437</v>
      </c>
      <c r="P9830">
        <v>0</v>
      </c>
      <c r="Q9830">
        <v>4</v>
      </c>
      <c r="R9830" t="s">
        <v>40449</v>
      </c>
      <c r="S9830" t="s">
        <v>40919</v>
      </c>
      <c r="T9830" t="s">
        <v>42425</v>
      </c>
      <c r="U9830" t="s">
        <v>50842</v>
      </c>
      <c r="V9830" t="s">
        <v>54864</v>
      </c>
      <c r="W9830" t="s">
        <v>39973</v>
      </c>
      <c r="X9830" t="s">
        <v>40450</v>
      </c>
    </row>
    <row r="9831" spans="1:24">
      <c r="A9831">
        <f>HYPERLINK("https://www.philgeps.gov.ph/GEPSNONPILOT/Tender/SplashBidNoticeAbstractUI.aspx?menuIndex=3&amp;refID=7030933&amp;Result=3","7030933")</f>
        <v>0</v>
      </c>
      <c r="B9831" t="s">
        <v>2608</v>
      </c>
      <c r="C9831" t="s">
        <v>12461</v>
      </c>
      <c r="D9831" t="s">
        <v>16249</v>
      </c>
      <c r="E9831" t="s">
        <v>24848</v>
      </c>
      <c r="F9831" t="s">
        <v>28198</v>
      </c>
      <c r="G9831" t="s">
        <v>28205</v>
      </c>
      <c r="H9831" t="s">
        <v>28214</v>
      </c>
      <c r="I9831" t="s">
        <v>3797</v>
      </c>
      <c r="J9831" t="s">
        <v>32533</v>
      </c>
      <c r="K9831" t="s">
        <v>36914</v>
      </c>
      <c r="L9831" t="s">
        <v>2608</v>
      </c>
      <c r="M9831" t="s">
        <v>39827</v>
      </c>
      <c r="N9831" t="s">
        <v>40436</v>
      </c>
      <c r="O9831" t="s">
        <v>40437</v>
      </c>
      <c r="P9831">
        <v>0</v>
      </c>
      <c r="Q9831">
        <v>22</v>
      </c>
      <c r="R9831" t="s">
        <v>40449</v>
      </c>
      <c r="S9831" t="s">
        <v>40919</v>
      </c>
      <c r="T9831" t="s">
        <v>42234</v>
      </c>
      <c r="U9831" t="s">
        <v>50836</v>
      </c>
      <c r="W9831" t="s">
        <v>39827</v>
      </c>
      <c r="X9831" t="s">
        <v>40450</v>
      </c>
    </row>
    <row r="9832" spans="1:24">
      <c r="A9832">
        <f>HYPERLINK("https://www.philgeps.gov.ph/GEPSNONPILOT/Tender/SplashBidNoticeAbstractUI.aspx?menuIndex=3&amp;refID=7031031&amp;Result=3","7031031")</f>
        <v>0</v>
      </c>
      <c r="B9832" t="s">
        <v>2728</v>
      </c>
      <c r="C9832" t="s">
        <v>12462</v>
      </c>
      <c r="D9832" t="s">
        <v>16203</v>
      </c>
      <c r="E9832" t="s">
        <v>17020</v>
      </c>
      <c r="F9832" t="s">
        <v>28198</v>
      </c>
      <c r="G9832" t="s">
        <v>28205</v>
      </c>
      <c r="H9832" t="s">
        <v>28214</v>
      </c>
      <c r="I9832" t="s">
        <v>3797</v>
      </c>
      <c r="J9832" t="s">
        <v>34450</v>
      </c>
      <c r="K9832" t="s">
        <v>36689</v>
      </c>
      <c r="M9832" t="s">
        <v>39974</v>
      </c>
      <c r="N9832" t="s">
        <v>40436</v>
      </c>
      <c r="O9832" t="s">
        <v>40437</v>
      </c>
      <c r="P9832">
        <v>0</v>
      </c>
      <c r="Q9832">
        <v>1</v>
      </c>
      <c r="R9832" t="s">
        <v>40449</v>
      </c>
      <c r="S9832" t="s">
        <v>40919</v>
      </c>
      <c r="T9832" t="s">
        <v>42346</v>
      </c>
      <c r="U9832" t="s">
        <v>50843</v>
      </c>
      <c r="W9832" t="s">
        <v>39974</v>
      </c>
      <c r="X9832" t="s">
        <v>40450</v>
      </c>
    </row>
    <row r="9833" spans="1:24">
      <c r="A9833">
        <f>HYPERLINK("https://www.philgeps.gov.ph/GEPSNONPILOT/Tender/SplashBidNoticeAbstractUI.aspx?menuIndex=3&amp;refID=7030959&amp;Result=3","7030959")</f>
        <v>0</v>
      </c>
      <c r="B9833" t="s">
        <v>1116</v>
      </c>
      <c r="C9833" t="s">
        <v>12463</v>
      </c>
      <c r="D9833" t="s">
        <v>16188</v>
      </c>
      <c r="E9833" t="s">
        <v>24849</v>
      </c>
      <c r="F9833" t="s">
        <v>28198</v>
      </c>
      <c r="G9833" t="s">
        <v>28205</v>
      </c>
      <c r="H9833" t="s">
        <v>28214</v>
      </c>
      <c r="I9833" t="s">
        <v>3797</v>
      </c>
      <c r="J9833" t="s">
        <v>31936</v>
      </c>
      <c r="K9833" t="s">
        <v>36843</v>
      </c>
      <c r="M9833" t="s">
        <v>39961</v>
      </c>
      <c r="N9833" t="s">
        <v>40436</v>
      </c>
      <c r="O9833" t="s">
        <v>40437</v>
      </c>
      <c r="P9833">
        <v>0</v>
      </c>
      <c r="Q9833">
        <v>1</v>
      </c>
      <c r="R9833" t="s">
        <v>40449</v>
      </c>
      <c r="S9833" t="s">
        <v>40919</v>
      </c>
      <c r="T9833" t="s">
        <v>42234</v>
      </c>
      <c r="U9833" t="s">
        <v>50844</v>
      </c>
      <c r="W9833" t="s">
        <v>39961</v>
      </c>
      <c r="X9833" t="s">
        <v>40450</v>
      </c>
    </row>
    <row r="9834" spans="1:24">
      <c r="A9834">
        <f>HYPERLINK("https://www.philgeps.gov.ph/GEPSNONPILOT/Tender/SplashBidNoticeAbstractUI.aspx?menuIndex=3&amp;refID=7030979&amp;Result=3","7030979")</f>
        <v>0</v>
      </c>
      <c r="B9834" t="s">
        <v>2144</v>
      </c>
      <c r="C9834" t="s">
        <v>12464</v>
      </c>
      <c r="E9834" t="s">
        <v>24850</v>
      </c>
      <c r="F9834" t="s">
        <v>28198</v>
      </c>
      <c r="G9834" t="s">
        <v>28205</v>
      </c>
      <c r="H9834" t="s">
        <v>28215</v>
      </c>
      <c r="I9834" t="s">
        <v>28258</v>
      </c>
      <c r="J9834" t="s">
        <v>34451</v>
      </c>
      <c r="K9834" t="s">
        <v>36689</v>
      </c>
      <c r="M9834" t="s">
        <v>39301</v>
      </c>
      <c r="N9834" t="s">
        <v>40436</v>
      </c>
      <c r="O9834" t="s">
        <v>40437</v>
      </c>
      <c r="P9834">
        <v>0</v>
      </c>
      <c r="Q9834">
        <v>12</v>
      </c>
      <c r="R9834" t="s">
        <v>40449</v>
      </c>
      <c r="S9834" t="s">
        <v>40919</v>
      </c>
      <c r="T9834" t="s">
        <v>42529</v>
      </c>
      <c r="U9834" t="s">
        <v>50845</v>
      </c>
      <c r="W9834" t="s">
        <v>39301</v>
      </c>
      <c r="X9834" t="s">
        <v>40450</v>
      </c>
    </row>
    <row r="9835" spans="1:24">
      <c r="A9835">
        <f>HYPERLINK("https://www.philgeps.gov.ph/GEPSNONPILOT/Tender/SplashBidNoticeAbstractUI.aspx?menuIndex=3&amp;refID=7031024&amp;Result=3","7031024")</f>
        <v>0</v>
      </c>
      <c r="B9835" t="s">
        <v>1116</v>
      </c>
      <c r="C9835" t="s">
        <v>12465</v>
      </c>
      <c r="D9835" t="s">
        <v>16188</v>
      </c>
      <c r="E9835" t="s">
        <v>24851</v>
      </c>
      <c r="F9835" t="s">
        <v>28198</v>
      </c>
      <c r="G9835" t="s">
        <v>28205</v>
      </c>
      <c r="H9835" t="s">
        <v>28214</v>
      </c>
      <c r="I9835" t="s">
        <v>3797</v>
      </c>
      <c r="J9835" t="s">
        <v>29325</v>
      </c>
      <c r="K9835" t="s">
        <v>36755</v>
      </c>
      <c r="M9835" t="s">
        <v>39961</v>
      </c>
      <c r="N9835" t="s">
        <v>40436</v>
      </c>
      <c r="O9835" t="s">
        <v>40437</v>
      </c>
      <c r="P9835">
        <v>0</v>
      </c>
      <c r="Q9835">
        <v>1</v>
      </c>
      <c r="R9835" t="s">
        <v>40449</v>
      </c>
      <c r="S9835" t="s">
        <v>40919</v>
      </c>
      <c r="T9835" t="s">
        <v>42234</v>
      </c>
      <c r="U9835" t="s">
        <v>47451</v>
      </c>
      <c r="W9835" t="s">
        <v>39961</v>
      </c>
      <c r="X9835" t="s">
        <v>40450</v>
      </c>
    </row>
    <row r="9836" spans="1:24">
      <c r="A9836">
        <f>HYPERLINK("https://www.philgeps.gov.ph/GEPSNONPILOT/Tender/SplashBidNoticeAbstractUI.aspx?menuIndex=3&amp;refID=7031041&amp;Result=3","7031041")</f>
        <v>0</v>
      </c>
      <c r="B9836" t="s">
        <v>2144</v>
      </c>
      <c r="C9836" t="s">
        <v>12466</v>
      </c>
      <c r="E9836" t="s">
        <v>24852</v>
      </c>
      <c r="F9836" t="s">
        <v>28198</v>
      </c>
      <c r="G9836" t="s">
        <v>28205</v>
      </c>
      <c r="H9836" t="s">
        <v>28215</v>
      </c>
      <c r="I9836" t="s">
        <v>28225</v>
      </c>
      <c r="J9836" t="s">
        <v>34452</v>
      </c>
      <c r="K9836" t="s">
        <v>36689</v>
      </c>
      <c r="M9836" t="s">
        <v>39301</v>
      </c>
      <c r="N9836" t="s">
        <v>40436</v>
      </c>
      <c r="O9836" t="s">
        <v>40437</v>
      </c>
      <c r="P9836">
        <v>0</v>
      </c>
      <c r="Q9836">
        <v>15</v>
      </c>
      <c r="R9836" t="s">
        <v>40449</v>
      </c>
      <c r="S9836" t="s">
        <v>40919</v>
      </c>
      <c r="T9836" t="s">
        <v>42529</v>
      </c>
      <c r="U9836" t="s">
        <v>50846</v>
      </c>
      <c r="W9836" t="s">
        <v>39301</v>
      </c>
      <c r="X9836" t="s">
        <v>40450</v>
      </c>
    </row>
    <row r="9837" spans="1:24">
      <c r="A9837">
        <f>HYPERLINK("https://www.philgeps.gov.ph/GEPSNONPILOT/Tender/SplashBidNoticeAbstractUI.aspx?menuIndex=3&amp;refID=7030990&amp;Result=3","7030990")</f>
        <v>0</v>
      </c>
      <c r="B9837" t="s">
        <v>2728</v>
      </c>
      <c r="C9837" t="s">
        <v>12467</v>
      </c>
      <c r="D9837" t="s">
        <v>16203</v>
      </c>
      <c r="E9837" t="s">
        <v>16571</v>
      </c>
      <c r="F9837" t="s">
        <v>28198</v>
      </c>
      <c r="G9837" t="s">
        <v>28205</v>
      </c>
      <c r="H9837" t="s">
        <v>28214</v>
      </c>
      <c r="I9837" t="s">
        <v>3797</v>
      </c>
      <c r="J9837" t="s">
        <v>34453</v>
      </c>
      <c r="K9837" t="s">
        <v>36689</v>
      </c>
      <c r="M9837" t="s">
        <v>39974</v>
      </c>
      <c r="N9837" t="s">
        <v>40436</v>
      </c>
      <c r="O9837" t="s">
        <v>40437</v>
      </c>
      <c r="P9837">
        <v>0</v>
      </c>
      <c r="Q9837">
        <v>0</v>
      </c>
      <c r="R9837" t="s">
        <v>40449</v>
      </c>
      <c r="S9837" t="s">
        <v>40919</v>
      </c>
      <c r="T9837" t="s">
        <v>42346</v>
      </c>
      <c r="U9837" t="s">
        <v>50843</v>
      </c>
      <c r="W9837" t="s">
        <v>39974</v>
      </c>
      <c r="X9837" t="s">
        <v>40450</v>
      </c>
    </row>
    <row r="9838" spans="1:24">
      <c r="A9838">
        <f>HYPERLINK("https://www.philgeps.gov.ph/GEPSNONPILOT/Tender/SplashBidNoticeAbstractUI.aspx?menuIndex=3&amp;refID=7031021&amp;Result=3","7031021")</f>
        <v>0</v>
      </c>
      <c r="B9838" t="s">
        <v>2641</v>
      </c>
      <c r="C9838" t="s">
        <v>12468</v>
      </c>
      <c r="D9838" t="s">
        <v>16210</v>
      </c>
      <c r="E9838" t="s">
        <v>18093</v>
      </c>
      <c r="F9838" t="s">
        <v>28198</v>
      </c>
      <c r="G9838" t="s">
        <v>28205</v>
      </c>
      <c r="H9838" t="s">
        <v>28215</v>
      </c>
      <c r="I9838" t="s">
        <v>4168</v>
      </c>
      <c r="J9838" t="s">
        <v>28415</v>
      </c>
      <c r="K9838" t="s">
        <v>36706</v>
      </c>
      <c r="M9838" t="s">
        <v>39866</v>
      </c>
      <c r="N9838" t="s">
        <v>40436</v>
      </c>
      <c r="O9838" t="s">
        <v>40437</v>
      </c>
      <c r="P9838">
        <v>0</v>
      </c>
      <c r="Q9838">
        <v>1</v>
      </c>
      <c r="R9838" t="s">
        <v>40449</v>
      </c>
      <c r="S9838" t="s">
        <v>40919</v>
      </c>
      <c r="T9838" t="s">
        <v>42218</v>
      </c>
      <c r="U9838" t="s">
        <v>50847</v>
      </c>
      <c r="W9838" t="s">
        <v>39866</v>
      </c>
      <c r="X9838" t="s">
        <v>40450</v>
      </c>
    </row>
    <row r="9839" spans="1:24">
      <c r="A9839">
        <f>HYPERLINK("https://www.philgeps.gov.ph/GEPSNONPILOT/Tender/SplashBidNoticeAbstractUI.aspx?menuIndex=3&amp;refID=7031062&amp;Result=3","7031062")</f>
        <v>0</v>
      </c>
      <c r="B9839" t="s">
        <v>2144</v>
      </c>
      <c r="C9839" t="s">
        <v>12469</v>
      </c>
      <c r="E9839" t="s">
        <v>24853</v>
      </c>
      <c r="F9839" t="s">
        <v>28198</v>
      </c>
      <c r="G9839" t="s">
        <v>28205</v>
      </c>
      <c r="H9839" t="s">
        <v>28215</v>
      </c>
      <c r="I9839" t="s">
        <v>4168</v>
      </c>
      <c r="J9839" t="s">
        <v>34454</v>
      </c>
      <c r="K9839" t="s">
        <v>36689</v>
      </c>
      <c r="M9839" t="s">
        <v>39301</v>
      </c>
      <c r="N9839" t="s">
        <v>40436</v>
      </c>
      <c r="O9839" t="s">
        <v>40437</v>
      </c>
      <c r="P9839">
        <v>0</v>
      </c>
      <c r="Q9839">
        <v>1</v>
      </c>
      <c r="R9839" t="s">
        <v>40449</v>
      </c>
      <c r="S9839" t="s">
        <v>40919</v>
      </c>
      <c r="T9839" t="s">
        <v>42529</v>
      </c>
      <c r="U9839" t="s">
        <v>50848</v>
      </c>
      <c r="W9839" t="s">
        <v>39301</v>
      </c>
      <c r="X9839" t="s">
        <v>40450</v>
      </c>
    </row>
    <row r="9840" spans="1:24">
      <c r="A9840">
        <f>HYPERLINK("https://www.philgeps.gov.ph/GEPSNONPILOT/Tender/SplashBidNoticeAbstractUI.aspx?menuIndex=3&amp;refID=7031020&amp;Result=3","7031020")</f>
        <v>0</v>
      </c>
      <c r="B9840" t="s">
        <v>2144</v>
      </c>
      <c r="C9840" t="s">
        <v>12470</v>
      </c>
      <c r="E9840" t="s">
        <v>24854</v>
      </c>
      <c r="F9840" t="s">
        <v>28198</v>
      </c>
      <c r="G9840" t="s">
        <v>28205</v>
      </c>
      <c r="H9840" t="s">
        <v>28215</v>
      </c>
      <c r="I9840" t="s">
        <v>28286</v>
      </c>
      <c r="J9840" t="s">
        <v>34455</v>
      </c>
      <c r="K9840" t="s">
        <v>36689</v>
      </c>
      <c r="M9840" t="s">
        <v>39301</v>
      </c>
      <c r="N9840" t="s">
        <v>40436</v>
      </c>
      <c r="O9840" t="s">
        <v>40437</v>
      </c>
      <c r="P9840">
        <v>0</v>
      </c>
      <c r="Q9840">
        <v>2</v>
      </c>
      <c r="R9840" t="s">
        <v>40449</v>
      </c>
      <c r="S9840" t="s">
        <v>40919</v>
      </c>
      <c r="T9840" t="s">
        <v>42529</v>
      </c>
      <c r="U9840" t="s">
        <v>50849</v>
      </c>
      <c r="W9840" t="s">
        <v>39301</v>
      </c>
      <c r="X9840" t="s">
        <v>40450</v>
      </c>
    </row>
    <row r="9841" spans="1:24">
      <c r="A9841">
        <f>HYPERLINK("https://www.philgeps.gov.ph/GEPSNONPILOT/Tender/SplashBidNoticeAbstractUI.aspx?menuIndex=3&amp;refID=7030963&amp;Result=3","7030963")</f>
        <v>0</v>
      </c>
      <c r="B9841" t="s">
        <v>2144</v>
      </c>
      <c r="C9841" t="s">
        <v>12471</v>
      </c>
      <c r="E9841" t="s">
        <v>24855</v>
      </c>
      <c r="F9841" t="s">
        <v>28198</v>
      </c>
      <c r="G9841" t="s">
        <v>28205</v>
      </c>
      <c r="H9841" t="s">
        <v>28215</v>
      </c>
      <c r="I9841" t="s">
        <v>28300</v>
      </c>
      <c r="J9841" t="s">
        <v>34456</v>
      </c>
      <c r="K9841" t="s">
        <v>36689</v>
      </c>
      <c r="M9841" t="s">
        <v>39301</v>
      </c>
      <c r="N9841" t="s">
        <v>40436</v>
      </c>
      <c r="O9841" t="s">
        <v>40437</v>
      </c>
      <c r="P9841">
        <v>0</v>
      </c>
      <c r="Q9841">
        <v>10</v>
      </c>
      <c r="R9841" t="s">
        <v>40449</v>
      </c>
      <c r="S9841" t="s">
        <v>40919</v>
      </c>
      <c r="T9841" t="s">
        <v>42529</v>
      </c>
      <c r="U9841" t="s">
        <v>50850</v>
      </c>
      <c r="W9841" t="s">
        <v>39301</v>
      </c>
      <c r="X9841" t="s">
        <v>40450</v>
      </c>
    </row>
    <row r="9842" spans="1:24">
      <c r="A9842">
        <f>HYPERLINK("https://www.philgeps.gov.ph/GEPSNONPILOT/Tender/SplashBidNoticeAbstractUI.aspx?menuIndex=3&amp;refID=7031014&amp;Result=3","7031014")</f>
        <v>0</v>
      </c>
      <c r="B9842" t="s">
        <v>2727</v>
      </c>
      <c r="C9842" t="s">
        <v>12472</v>
      </c>
      <c r="D9842" t="s">
        <v>16193</v>
      </c>
      <c r="E9842" t="s">
        <v>24856</v>
      </c>
      <c r="F9842" t="s">
        <v>28200</v>
      </c>
      <c r="G9842" t="s">
        <v>28205</v>
      </c>
      <c r="H9842" t="s">
        <v>28214</v>
      </c>
      <c r="I9842" t="s">
        <v>3797</v>
      </c>
      <c r="J9842" t="s">
        <v>32342</v>
      </c>
      <c r="K9842" t="s">
        <v>36710</v>
      </c>
      <c r="M9842" t="s">
        <v>39973</v>
      </c>
      <c r="N9842" t="s">
        <v>40436</v>
      </c>
      <c r="O9842" t="s">
        <v>40437</v>
      </c>
      <c r="P9842">
        <v>0</v>
      </c>
      <c r="Q9842">
        <v>3</v>
      </c>
      <c r="R9842" t="s">
        <v>40449</v>
      </c>
      <c r="S9842" t="s">
        <v>40919</v>
      </c>
      <c r="T9842" t="s">
        <v>42425</v>
      </c>
      <c r="U9842" t="s">
        <v>50842</v>
      </c>
      <c r="V9842" t="s">
        <v>54865</v>
      </c>
      <c r="W9842" t="s">
        <v>39973</v>
      </c>
      <c r="X9842" t="s">
        <v>40450</v>
      </c>
    </row>
    <row r="9843" spans="1:24">
      <c r="A9843">
        <f>HYPERLINK("https://www.philgeps.gov.ph/GEPSNONPILOT/Tender/SplashBidNoticeAbstractUI.aspx?menuIndex=3&amp;refID=7030993&amp;Result=3","7030993")</f>
        <v>0</v>
      </c>
      <c r="B9843" t="s">
        <v>2144</v>
      </c>
      <c r="C9843" t="s">
        <v>12473</v>
      </c>
      <c r="E9843" t="s">
        <v>24857</v>
      </c>
      <c r="F9843" t="s">
        <v>28198</v>
      </c>
      <c r="G9843" t="s">
        <v>28205</v>
      </c>
      <c r="H9843" t="s">
        <v>28215</v>
      </c>
      <c r="I9843" t="s">
        <v>28234</v>
      </c>
      <c r="J9843" t="s">
        <v>34457</v>
      </c>
      <c r="K9843" t="s">
        <v>36689</v>
      </c>
      <c r="M9843" t="s">
        <v>39301</v>
      </c>
      <c r="N9843" t="s">
        <v>40436</v>
      </c>
      <c r="O9843" t="s">
        <v>40437</v>
      </c>
      <c r="P9843">
        <v>0</v>
      </c>
      <c r="Q9843">
        <v>9</v>
      </c>
      <c r="R9843" t="s">
        <v>40449</v>
      </c>
      <c r="S9843" t="s">
        <v>40919</v>
      </c>
      <c r="T9843" t="s">
        <v>42529</v>
      </c>
      <c r="U9843" t="s">
        <v>50851</v>
      </c>
      <c r="W9843" t="s">
        <v>39301</v>
      </c>
      <c r="X9843" t="s">
        <v>40450</v>
      </c>
    </row>
    <row r="9844" spans="1:24">
      <c r="A9844">
        <f>HYPERLINK("https://www.philgeps.gov.ph/GEPSNONPILOT/Tender/SplashBidNoticeAbstractUI.aspx?menuIndex=3&amp;refID=7031006&amp;Result=3","7031006")</f>
        <v>0</v>
      </c>
      <c r="B9844" t="s">
        <v>2144</v>
      </c>
      <c r="C9844" t="s">
        <v>12474</v>
      </c>
      <c r="E9844" t="s">
        <v>24858</v>
      </c>
      <c r="F9844" t="s">
        <v>28198</v>
      </c>
      <c r="G9844" t="s">
        <v>28205</v>
      </c>
      <c r="H9844" t="s">
        <v>28215</v>
      </c>
      <c r="I9844" t="s">
        <v>28256</v>
      </c>
      <c r="J9844" t="s">
        <v>34458</v>
      </c>
      <c r="K9844" t="s">
        <v>36689</v>
      </c>
      <c r="M9844" t="s">
        <v>39301</v>
      </c>
      <c r="N9844" t="s">
        <v>40436</v>
      </c>
      <c r="O9844" t="s">
        <v>40437</v>
      </c>
      <c r="P9844">
        <v>0</v>
      </c>
      <c r="Q9844">
        <v>4</v>
      </c>
      <c r="R9844" t="s">
        <v>40449</v>
      </c>
      <c r="S9844" t="s">
        <v>40919</v>
      </c>
      <c r="T9844" t="s">
        <v>42529</v>
      </c>
      <c r="U9844" t="s">
        <v>50852</v>
      </c>
      <c r="W9844" t="s">
        <v>39301</v>
      </c>
      <c r="X9844" t="s">
        <v>40450</v>
      </c>
    </row>
    <row r="9845" spans="1:24">
      <c r="A9845">
        <f>HYPERLINK("https://www.philgeps.gov.ph/GEPSNONPILOT/Tender/SplashBidNoticeAbstractUI.aspx?menuIndex=3&amp;refID=7031066&amp;Result=3","7031066")</f>
        <v>0</v>
      </c>
      <c r="B9845" t="s">
        <v>2728</v>
      </c>
      <c r="C9845" t="s">
        <v>12475</v>
      </c>
      <c r="D9845" t="s">
        <v>16203</v>
      </c>
      <c r="E9845" t="s">
        <v>17449</v>
      </c>
      <c r="F9845" t="s">
        <v>28198</v>
      </c>
      <c r="G9845" t="s">
        <v>28205</v>
      </c>
      <c r="H9845" t="s">
        <v>28214</v>
      </c>
      <c r="I9845" t="s">
        <v>3797</v>
      </c>
      <c r="J9845" t="s">
        <v>34459</v>
      </c>
      <c r="K9845" t="s">
        <v>36689</v>
      </c>
      <c r="M9845" t="s">
        <v>39974</v>
      </c>
      <c r="N9845" t="s">
        <v>40436</v>
      </c>
      <c r="O9845" t="s">
        <v>40437</v>
      </c>
      <c r="P9845">
        <v>0</v>
      </c>
      <c r="Q9845">
        <v>1</v>
      </c>
      <c r="R9845" t="s">
        <v>40449</v>
      </c>
      <c r="S9845" t="s">
        <v>40919</v>
      </c>
      <c r="T9845" t="s">
        <v>42346</v>
      </c>
      <c r="U9845" t="s">
        <v>50843</v>
      </c>
      <c r="W9845" t="s">
        <v>39974</v>
      </c>
      <c r="X9845" t="s">
        <v>40450</v>
      </c>
    </row>
    <row r="9846" spans="1:24">
      <c r="A9846">
        <f>HYPERLINK("https://www.philgeps.gov.ph/GEPSNONPILOT/Tender/SplashBidNoticeAbstractUI.aspx?menuIndex=3&amp;refID=7031096&amp;Result=3","7031096")</f>
        <v>0</v>
      </c>
      <c r="B9846" t="s">
        <v>2144</v>
      </c>
      <c r="C9846" t="s">
        <v>12476</v>
      </c>
      <c r="E9846" t="s">
        <v>24859</v>
      </c>
      <c r="F9846" t="s">
        <v>28198</v>
      </c>
      <c r="G9846" t="s">
        <v>28205</v>
      </c>
      <c r="H9846" t="s">
        <v>28215</v>
      </c>
      <c r="I9846" t="s">
        <v>28222</v>
      </c>
      <c r="J9846" t="s">
        <v>34460</v>
      </c>
      <c r="K9846" t="s">
        <v>36689</v>
      </c>
      <c r="M9846" t="s">
        <v>39301</v>
      </c>
      <c r="N9846" t="s">
        <v>40436</v>
      </c>
      <c r="O9846" t="s">
        <v>40437</v>
      </c>
      <c r="P9846">
        <v>0</v>
      </c>
      <c r="Q9846">
        <v>13</v>
      </c>
      <c r="R9846" t="s">
        <v>40449</v>
      </c>
      <c r="S9846" t="s">
        <v>40919</v>
      </c>
      <c r="T9846" t="s">
        <v>42529</v>
      </c>
      <c r="U9846" t="s">
        <v>50853</v>
      </c>
      <c r="W9846" t="s">
        <v>39301</v>
      </c>
      <c r="X9846" t="s">
        <v>40450</v>
      </c>
    </row>
    <row r="9847" spans="1:24">
      <c r="A9847">
        <f>HYPERLINK("https://www.philgeps.gov.ph/GEPSNONPILOT/Tender/SplashBidNoticeAbstractUI.aspx?menuIndex=3&amp;refID=7031185&amp;Result=3","7031185")</f>
        <v>0</v>
      </c>
      <c r="B9847" t="s">
        <v>2725</v>
      </c>
      <c r="C9847" t="s">
        <v>12477</v>
      </c>
      <c r="D9847" t="s">
        <v>16238</v>
      </c>
      <c r="E9847" t="s">
        <v>24860</v>
      </c>
      <c r="F9847" t="s">
        <v>28198</v>
      </c>
      <c r="G9847" t="s">
        <v>28205</v>
      </c>
      <c r="H9847" t="s">
        <v>28214</v>
      </c>
      <c r="I9847" t="s">
        <v>3797</v>
      </c>
      <c r="J9847" t="s">
        <v>34461</v>
      </c>
      <c r="K9847" t="s">
        <v>36694</v>
      </c>
      <c r="M9847" t="s">
        <v>39971</v>
      </c>
      <c r="N9847" t="s">
        <v>40436</v>
      </c>
      <c r="O9847" t="s">
        <v>40437</v>
      </c>
      <c r="P9847">
        <v>0</v>
      </c>
      <c r="Q9847">
        <v>0</v>
      </c>
      <c r="R9847" t="s">
        <v>40449</v>
      </c>
      <c r="S9847" t="s">
        <v>40919</v>
      </c>
      <c r="T9847" t="s">
        <v>42134</v>
      </c>
      <c r="U9847" t="s">
        <v>50854</v>
      </c>
      <c r="V9847" t="s">
        <v>54862</v>
      </c>
      <c r="W9847" t="s">
        <v>39971</v>
      </c>
      <c r="X9847" t="s">
        <v>40450</v>
      </c>
    </row>
    <row r="9848" spans="1:24">
      <c r="A9848">
        <f>HYPERLINK("https://www.philgeps.gov.ph/GEPSNONPILOT/Tender/SplashBidNoticeAbstractUI.aspx?menuIndex=3&amp;refID=7031078&amp;Result=3","7031078")</f>
        <v>0</v>
      </c>
      <c r="B9848" t="s">
        <v>508</v>
      </c>
      <c r="C9848" t="s">
        <v>12478</v>
      </c>
      <c r="E9848" t="s">
        <v>24861</v>
      </c>
      <c r="F9848" t="s">
        <v>28198</v>
      </c>
      <c r="G9848" t="s">
        <v>28205</v>
      </c>
      <c r="H9848" t="s">
        <v>28215</v>
      </c>
      <c r="I9848" t="s">
        <v>28222</v>
      </c>
      <c r="J9848" t="s">
        <v>29643</v>
      </c>
      <c r="K9848" t="s">
        <v>36689</v>
      </c>
      <c r="M9848" t="s">
        <v>37493</v>
      </c>
      <c r="N9848" t="s">
        <v>40436</v>
      </c>
      <c r="O9848" t="s">
        <v>40437</v>
      </c>
      <c r="P9848">
        <v>0</v>
      </c>
      <c r="Q9848">
        <v>6</v>
      </c>
      <c r="R9848" t="s">
        <v>40449</v>
      </c>
      <c r="S9848" t="s">
        <v>40919</v>
      </c>
      <c r="T9848" t="s">
        <v>42240</v>
      </c>
      <c r="U9848" t="s">
        <v>50855</v>
      </c>
      <c r="W9848" t="s">
        <v>37493</v>
      </c>
      <c r="X9848" t="s">
        <v>40450</v>
      </c>
    </row>
    <row r="9849" spans="1:24">
      <c r="A9849">
        <f>HYPERLINK("https://www.philgeps.gov.ph/GEPSNONPILOT/Tender/SplashBidNoticeAbstractUI.aspx?menuIndex=3&amp;refID=7031180&amp;Result=3","7031180")</f>
        <v>0</v>
      </c>
      <c r="B9849" t="s">
        <v>2641</v>
      </c>
      <c r="C9849" t="s">
        <v>12479</v>
      </c>
      <c r="D9849" t="s">
        <v>16210</v>
      </c>
      <c r="E9849" t="s">
        <v>17230</v>
      </c>
      <c r="F9849" t="s">
        <v>28198</v>
      </c>
      <c r="G9849" t="s">
        <v>28205</v>
      </c>
      <c r="H9849" t="s">
        <v>28217</v>
      </c>
      <c r="I9849" t="s">
        <v>28303</v>
      </c>
      <c r="J9849" t="s">
        <v>28345</v>
      </c>
      <c r="K9849" t="s">
        <v>36706</v>
      </c>
      <c r="M9849" t="s">
        <v>39866</v>
      </c>
      <c r="N9849" t="s">
        <v>40436</v>
      </c>
      <c r="O9849" t="s">
        <v>40437</v>
      </c>
      <c r="P9849">
        <v>0</v>
      </c>
      <c r="Q9849">
        <v>7</v>
      </c>
      <c r="R9849" t="s">
        <v>40449</v>
      </c>
      <c r="S9849" t="s">
        <v>40919</v>
      </c>
      <c r="T9849" t="s">
        <v>42218</v>
      </c>
      <c r="U9849" t="s">
        <v>50856</v>
      </c>
      <c r="W9849" t="s">
        <v>39866</v>
      </c>
      <c r="X9849" t="s">
        <v>40450</v>
      </c>
    </row>
    <row r="9850" spans="1:24">
      <c r="A9850">
        <f>HYPERLINK("https://www.philgeps.gov.ph/GEPSNONPILOT/Tender/SplashBidNoticeAbstractUI.aspx?menuIndex=3&amp;refID=7031111&amp;Result=3","7031111")</f>
        <v>0</v>
      </c>
      <c r="B9850" t="s">
        <v>384</v>
      </c>
      <c r="C9850" t="s">
        <v>12480</v>
      </c>
      <c r="E9850" t="s">
        <v>24862</v>
      </c>
      <c r="F9850" t="s">
        <v>28198</v>
      </c>
      <c r="G9850" t="s">
        <v>28207</v>
      </c>
      <c r="H9850" t="s">
        <v>28215</v>
      </c>
      <c r="I9850" t="s">
        <v>5100</v>
      </c>
      <c r="J9850" t="s">
        <v>34462</v>
      </c>
      <c r="K9850" t="s">
        <v>36687</v>
      </c>
      <c r="M9850" t="s">
        <v>37364</v>
      </c>
      <c r="N9850" t="s">
        <v>40436</v>
      </c>
      <c r="O9850" t="s">
        <v>40437</v>
      </c>
      <c r="P9850">
        <v>0</v>
      </c>
      <c r="Q9850">
        <v>0</v>
      </c>
      <c r="R9850" t="s">
        <v>40449</v>
      </c>
      <c r="S9850" t="s">
        <v>40919</v>
      </c>
      <c r="T9850" t="s">
        <v>42177</v>
      </c>
      <c r="U9850" t="s">
        <v>50857</v>
      </c>
      <c r="W9850" t="s">
        <v>37364</v>
      </c>
      <c r="X9850" t="s">
        <v>40450</v>
      </c>
    </row>
    <row r="9851" spans="1:24">
      <c r="A9851">
        <f>HYPERLINK("https://www.philgeps.gov.ph/GEPSNONPILOT/Tender/SplashBidNoticeAbstractUI.aspx?menuIndex=3&amp;refID=7031151&amp;Result=3","7031151")</f>
        <v>0</v>
      </c>
      <c r="B9851" t="s">
        <v>2429</v>
      </c>
      <c r="C9851" t="s">
        <v>12481</v>
      </c>
      <c r="D9851" t="s">
        <v>16203</v>
      </c>
      <c r="E9851" t="s">
        <v>24863</v>
      </c>
      <c r="F9851" t="s">
        <v>28198</v>
      </c>
      <c r="G9851" t="s">
        <v>28205</v>
      </c>
      <c r="H9851" t="s">
        <v>28214</v>
      </c>
      <c r="I9851" t="s">
        <v>3797</v>
      </c>
      <c r="J9851" t="s">
        <v>28379</v>
      </c>
      <c r="K9851" t="s">
        <v>36694</v>
      </c>
      <c r="M9851" t="s">
        <v>39617</v>
      </c>
      <c r="N9851" t="s">
        <v>40436</v>
      </c>
      <c r="O9851" t="s">
        <v>40437</v>
      </c>
      <c r="P9851">
        <v>0</v>
      </c>
      <c r="Q9851">
        <v>0</v>
      </c>
      <c r="R9851" t="s">
        <v>40449</v>
      </c>
      <c r="S9851" t="s">
        <v>40919</v>
      </c>
      <c r="T9851" t="s">
        <v>42183</v>
      </c>
      <c r="U9851" t="s">
        <v>50858</v>
      </c>
      <c r="W9851" t="s">
        <v>39617</v>
      </c>
      <c r="X9851" t="s">
        <v>40450</v>
      </c>
    </row>
    <row r="9852" spans="1:24">
      <c r="A9852">
        <f>HYPERLINK("https://www.philgeps.gov.ph/GEPSNONPILOT/Tender/SplashBidNoticeAbstractUI.aspx?menuIndex=3&amp;refID=7031152&amp;Result=3","7031152")</f>
        <v>0</v>
      </c>
      <c r="B9852" t="s">
        <v>2144</v>
      </c>
      <c r="C9852" t="s">
        <v>12482</v>
      </c>
      <c r="E9852" t="s">
        <v>24864</v>
      </c>
      <c r="F9852" t="s">
        <v>28198</v>
      </c>
      <c r="G9852" t="s">
        <v>28205</v>
      </c>
      <c r="H9852" t="s">
        <v>28215</v>
      </c>
      <c r="I9852" t="s">
        <v>5103</v>
      </c>
      <c r="J9852" t="s">
        <v>34463</v>
      </c>
      <c r="K9852" t="s">
        <v>36689</v>
      </c>
      <c r="M9852" t="s">
        <v>39301</v>
      </c>
      <c r="N9852" t="s">
        <v>40436</v>
      </c>
      <c r="O9852" t="s">
        <v>40437</v>
      </c>
      <c r="P9852">
        <v>0</v>
      </c>
      <c r="Q9852">
        <v>9</v>
      </c>
      <c r="R9852" t="s">
        <v>40449</v>
      </c>
      <c r="S9852" t="s">
        <v>40919</v>
      </c>
      <c r="T9852" t="s">
        <v>42529</v>
      </c>
      <c r="U9852" t="s">
        <v>50859</v>
      </c>
      <c r="W9852" t="s">
        <v>39301</v>
      </c>
      <c r="X9852" t="s">
        <v>40450</v>
      </c>
    </row>
    <row r="9853" spans="1:24">
      <c r="A9853">
        <f>HYPERLINK("https://www.philgeps.gov.ph/GEPSNONPILOT/Tender/SplashBidNoticeAbstractUI.aspx?menuIndex=3&amp;refID=7031150&amp;Result=3","7031150")</f>
        <v>0</v>
      </c>
      <c r="B9853" t="s">
        <v>2729</v>
      </c>
      <c r="C9853" t="s">
        <v>7020</v>
      </c>
      <c r="D9853" t="s">
        <v>16195</v>
      </c>
      <c r="E9853" t="s">
        <v>16588</v>
      </c>
      <c r="F9853" t="s">
        <v>28198</v>
      </c>
      <c r="G9853" t="s">
        <v>28205</v>
      </c>
      <c r="H9853" t="s">
        <v>28215</v>
      </c>
      <c r="I9853" t="s">
        <v>8870</v>
      </c>
      <c r="J9853" t="s">
        <v>30639</v>
      </c>
      <c r="K9853" t="s">
        <v>36689</v>
      </c>
      <c r="M9853" t="s">
        <v>39975</v>
      </c>
      <c r="N9853" t="s">
        <v>40436</v>
      </c>
      <c r="O9853" t="s">
        <v>40437</v>
      </c>
      <c r="P9853">
        <v>0</v>
      </c>
      <c r="Q9853">
        <v>0</v>
      </c>
      <c r="R9853" t="s">
        <v>40449</v>
      </c>
      <c r="S9853" t="s">
        <v>40919</v>
      </c>
      <c r="T9853" t="s">
        <v>42190</v>
      </c>
      <c r="U9853" t="s">
        <v>50860</v>
      </c>
      <c r="W9853" t="s">
        <v>39975</v>
      </c>
      <c r="X9853" t="s">
        <v>40450</v>
      </c>
    </row>
    <row r="9854" spans="1:24">
      <c r="A9854">
        <f>HYPERLINK("https://www.philgeps.gov.ph/GEPSNONPILOT/Tender/SplashBidNoticeAbstractUI.aspx?menuIndex=3&amp;refID=7031114&amp;Result=3","7031114")</f>
        <v>0</v>
      </c>
      <c r="B9854" t="s">
        <v>2608</v>
      </c>
      <c r="C9854" t="s">
        <v>12483</v>
      </c>
      <c r="D9854" t="s">
        <v>16249</v>
      </c>
      <c r="E9854" t="s">
        <v>24865</v>
      </c>
      <c r="F9854" t="s">
        <v>28198</v>
      </c>
      <c r="G9854" t="s">
        <v>28205</v>
      </c>
      <c r="H9854" t="s">
        <v>28214</v>
      </c>
      <c r="I9854" t="s">
        <v>3797</v>
      </c>
      <c r="J9854" t="s">
        <v>31258</v>
      </c>
      <c r="K9854" t="s">
        <v>36764</v>
      </c>
      <c r="L9854" t="s">
        <v>2608</v>
      </c>
      <c r="M9854" t="s">
        <v>39827</v>
      </c>
      <c r="N9854" t="s">
        <v>40436</v>
      </c>
      <c r="O9854" t="s">
        <v>40437</v>
      </c>
      <c r="P9854">
        <v>0</v>
      </c>
      <c r="Q9854">
        <v>19</v>
      </c>
      <c r="R9854" t="s">
        <v>40449</v>
      </c>
      <c r="S9854" t="s">
        <v>40919</v>
      </c>
      <c r="T9854" t="s">
        <v>42165</v>
      </c>
      <c r="U9854" t="s">
        <v>50861</v>
      </c>
      <c r="W9854" t="s">
        <v>39827</v>
      </c>
      <c r="X9854" t="s">
        <v>40450</v>
      </c>
    </row>
    <row r="9855" spans="1:24">
      <c r="A9855">
        <f>HYPERLINK("https://www.philgeps.gov.ph/GEPSNONPILOT/Tender/SplashBidNoticeAbstractUI.aspx?menuIndex=3&amp;refID=7031164&amp;Result=3","7031164")</f>
        <v>0</v>
      </c>
      <c r="B9855" t="s">
        <v>2144</v>
      </c>
      <c r="C9855" t="s">
        <v>12484</v>
      </c>
      <c r="E9855" t="s">
        <v>24866</v>
      </c>
      <c r="F9855" t="s">
        <v>28198</v>
      </c>
      <c r="G9855" t="s">
        <v>28205</v>
      </c>
      <c r="H9855" t="s">
        <v>28215</v>
      </c>
      <c r="I9855" t="s">
        <v>5103</v>
      </c>
      <c r="J9855" t="s">
        <v>34464</v>
      </c>
      <c r="K9855" t="s">
        <v>36689</v>
      </c>
      <c r="M9855" t="s">
        <v>39301</v>
      </c>
      <c r="N9855" t="s">
        <v>40436</v>
      </c>
      <c r="O9855" t="s">
        <v>40437</v>
      </c>
      <c r="P9855">
        <v>0</v>
      </c>
      <c r="Q9855">
        <v>5</v>
      </c>
      <c r="R9855" t="s">
        <v>40449</v>
      </c>
      <c r="S9855" t="s">
        <v>40919</v>
      </c>
      <c r="T9855" t="s">
        <v>42529</v>
      </c>
      <c r="U9855" t="s">
        <v>50862</v>
      </c>
      <c r="W9855" t="s">
        <v>39301</v>
      </c>
      <c r="X9855" t="s">
        <v>40450</v>
      </c>
    </row>
    <row r="9856" spans="1:24">
      <c r="A9856">
        <f>HYPERLINK("https://www.philgeps.gov.ph/GEPSNONPILOT/Tender/SplashBidNoticeAbstractUI.aspx?menuIndex=3&amp;refID=7031146&amp;Result=3","7031146")</f>
        <v>0</v>
      </c>
      <c r="B9856" t="s">
        <v>2730</v>
      </c>
      <c r="C9856" t="s">
        <v>12485</v>
      </c>
      <c r="D9856" t="s">
        <v>16222</v>
      </c>
      <c r="E9856" t="s">
        <v>24867</v>
      </c>
      <c r="F9856" t="s">
        <v>28198</v>
      </c>
      <c r="G9856" t="s">
        <v>28205</v>
      </c>
      <c r="H9856" t="s">
        <v>28215</v>
      </c>
      <c r="I9856" t="s">
        <v>28222</v>
      </c>
      <c r="J9856" t="s">
        <v>28413</v>
      </c>
      <c r="K9856" t="s">
        <v>36701</v>
      </c>
      <c r="M9856" t="s">
        <v>39976</v>
      </c>
      <c r="N9856" t="s">
        <v>40436</v>
      </c>
      <c r="O9856" t="s">
        <v>40437</v>
      </c>
      <c r="Q9856">
        <v>0</v>
      </c>
      <c r="R9856" t="s">
        <v>40449</v>
      </c>
      <c r="S9856" t="s">
        <v>40932</v>
      </c>
      <c r="T9856" t="s">
        <v>42169</v>
      </c>
      <c r="U9856" t="s">
        <v>50863</v>
      </c>
      <c r="W9856" t="s">
        <v>39976</v>
      </c>
      <c r="X9856" t="s">
        <v>40450</v>
      </c>
    </row>
    <row r="9857" spans="1:24">
      <c r="A9857">
        <f>HYPERLINK("https://www.philgeps.gov.ph/GEPSNONPILOT/Tender/SplashBidNoticeAbstractUI.aspx?menuIndex=3&amp;refID=7031089&amp;Result=3","7031089")</f>
        <v>0</v>
      </c>
      <c r="B9857" t="s">
        <v>2144</v>
      </c>
      <c r="C9857" t="s">
        <v>12486</v>
      </c>
      <c r="E9857" t="s">
        <v>24868</v>
      </c>
      <c r="F9857" t="s">
        <v>28198</v>
      </c>
      <c r="G9857" t="s">
        <v>28205</v>
      </c>
      <c r="H9857" t="s">
        <v>28215</v>
      </c>
      <c r="I9857" t="s">
        <v>28239</v>
      </c>
      <c r="J9857" t="s">
        <v>34465</v>
      </c>
      <c r="K9857" t="s">
        <v>36689</v>
      </c>
      <c r="M9857" t="s">
        <v>39301</v>
      </c>
      <c r="N9857" t="s">
        <v>40436</v>
      </c>
      <c r="O9857" t="s">
        <v>40437</v>
      </c>
      <c r="P9857">
        <v>0</v>
      </c>
      <c r="Q9857">
        <v>10</v>
      </c>
      <c r="R9857" t="s">
        <v>40449</v>
      </c>
      <c r="S9857" t="s">
        <v>40919</v>
      </c>
      <c r="T9857" t="s">
        <v>42529</v>
      </c>
      <c r="U9857" t="s">
        <v>50864</v>
      </c>
      <c r="W9857" t="s">
        <v>39301</v>
      </c>
      <c r="X9857" t="s">
        <v>40450</v>
      </c>
    </row>
    <row r="9858" spans="1:24">
      <c r="A9858">
        <f>HYPERLINK("https://www.philgeps.gov.ph/GEPSNONPILOT/Tender/SplashBidNoticeAbstractUI.aspx?menuIndex=3&amp;refID=7031130&amp;Result=3","7031130")</f>
        <v>0</v>
      </c>
      <c r="B9858" t="s">
        <v>1288</v>
      </c>
      <c r="C9858" t="s">
        <v>12487</v>
      </c>
      <c r="D9858" t="s">
        <v>16227</v>
      </c>
      <c r="E9858" t="s">
        <v>24869</v>
      </c>
      <c r="F9858" t="s">
        <v>28200</v>
      </c>
      <c r="G9858" t="s">
        <v>28205</v>
      </c>
      <c r="H9858" t="s">
        <v>28215</v>
      </c>
      <c r="I9858" t="s">
        <v>28247</v>
      </c>
      <c r="J9858" t="s">
        <v>28899</v>
      </c>
      <c r="K9858" t="s">
        <v>36697</v>
      </c>
      <c r="M9858" t="s">
        <v>38341</v>
      </c>
      <c r="N9858" t="s">
        <v>40436</v>
      </c>
      <c r="O9858" t="s">
        <v>40437</v>
      </c>
      <c r="Q9858">
        <v>10</v>
      </c>
      <c r="R9858" t="s">
        <v>40449</v>
      </c>
      <c r="S9858" t="s">
        <v>40933</v>
      </c>
      <c r="T9858" t="s">
        <v>42372</v>
      </c>
      <c r="U9858" t="s">
        <v>50865</v>
      </c>
      <c r="W9858" t="s">
        <v>38341</v>
      </c>
      <c r="X9858" t="s">
        <v>40450</v>
      </c>
    </row>
    <row r="9859" spans="1:24">
      <c r="A9859">
        <f>HYPERLINK("https://www.philgeps.gov.ph/GEPSNONPILOT/Tender/SplashBidNoticeAbstractUI.aspx?menuIndex=3&amp;refID=7031127&amp;Result=3","7031127")</f>
        <v>0</v>
      </c>
      <c r="B9859" t="s">
        <v>2726</v>
      </c>
      <c r="C9859" t="s">
        <v>12488</v>
      </c>
      <c r="D9859" t="s">
        <v>16201</v>
      </c>
      <c r="E9859" t="s">
        <v>24870</v>
      </c>
      <c r="F9859" t="s">
        <v>28198</v>
      </c>
      <c r="G9859" t="s">
        <v>28207</v>
      </c>
      <c r="H9859" t="s">
        <v>28215</v>
      </c>
      <c r="I9859" t="s">
        <v>28258</v>
      </c>
      <c r="J9859" t="s">
        <v>34466</v>
      </c>
      <c r="K9859" t="s">
        <v>36694</v>
      </c>
      <c r="M9859" t="s">
        <v>39972</v>
      </c>
      <c r="N9859" t="s">
        <v>40436</v>
      </c>
      <c r="O9859" t="s">
        <v>40437</v>
      </c>
      <c r="Q9859">
        <v>0</v>
      </c>
      <c r="R9859" t="s">
        <v>40449</v>
      </c>
      <c r="S9859" t="s">
        <v>40934</v>
      </c>
      <c r="T9859" t="s">
        <v>42169</v>
      </c>
      <c r="U9859" t="s">
        <v>50866</v>
      </c>
      <c r="V9859" t="s">
        <v>54863</v>
      </c>
      <c r="W9859" t="s">
        <v>39972</v>
      </c>
      <c r="X9859" t="s">
        <v>40450</v>
      </c>
    </row>
    <row r="9860" spans="1:24">
      <c r="A9860">
        <f>HYPERLINK("https://www.philgeps.gov.ph/GEPSNONPILOT/Tender/SplashBidNoticeAbstractUI.aspx?menuIndex=3&amp;refID=7031075&amp;Result=3","7031075")</f>
        <v>0</v>
      </c>
      <c r="B9860" t="s">
        <v>2144</v>
      </c>
      <c r="C9860" t="s">
        <v>12489</v>
      </c>
      <c r="E9860" t="s">
        <v>24871</v>
      </c>
      <c r="F9860" t="s">
        <v>28198</v>
      </c>
      <c r="G9860" t="s">
        <v>28205</v>
      </c>
      <c r="H9860" t="s">
        <v>28215</v>
      </c>
      <c r="I9860" t="s">
        <v>4168</v>
      </c>
      <c r="J9860" t="s">
        <v>34467</v>
      </c>
      <c r="K9860" t="s">
        <v>36689</v>
      </c>
      <c r="M9860" t="s">
        <v>39301</v>
      </c>
      <c r="N9860" t="s">
        <v>40436</v>
      </c>
      <c r="O9860" t="s">
        <v>40437</v>
      </c>
      <c r="P9860">
        <v>0</v>
      </c>
      <c r="Q9860">
        <v>12</v>
      </c>
      <c r="R9860" t="s">
        <v>40449</v>
      </c>
      <c r="S9860" t="s">
        <v>40919</v>
      </c>
      <c r="T9860" t="s">
        <v>42529</v>
      </c>
      <c r="U9860" t="s">
        <v>50867</v>
      </c>
      <c r="W9860" t="s">
        <v>39301</v>
      </c>
      <c r="X9860" t="s">
        <v>40450</v>
      </c>
    </row>
    <row r="9861" spans="1:24">
      <c r="A9861">
        <f>HYPERLINK("https://www.philgeps.gov.ph/GEPSNONPILOT/Tender/SplashBidNoticeAbstractUI.aspx?menuIndex=3&amp;refID=7031139&amp;Result=3","7031139")</f>
        <v>0</v>
      </c>
      <c r="B9861" t="s">
        <v>2731</v>
      </c>
      <c r="C9861" t="s">
        <v>12490</v>
      </c>
      <c r="D9861" t="s">
        <v>16195</v>
      </c>
      <c r="E9861" t="s">
        <v>17464</v>
      </c>
      <c r="F9861" t="s">
        <v>28198</v>
      </c>
      <c r="G9861" t="s">
        <v>28205</v>
      </c>
      <c r="H9861" t="s">
        <v>28215</v>
      </c>
      <c r="I9861" t="s">
        <v>28222</v>
      </c>
      <c r="J9861" t="s">
        <v>33538</v>
      </c>
      <c r="K9861" t="s">
        <v>36692</v>
      </c>
      <c r="M9861" t="s">
        <v>39977</v>
      </c>
      <c r="N9861" t="s">
        <v>40436</v>
      </c>
      <c r="O9861" t="s">
        <v>40437</v>
      </c>
      <c r="P9861">
        <v>0</v>
      </c>
      <c r="Q9861">
        <v>6</v>
      </c>
      <c r="R9861" t="s">
        <v>40449</v>
      </c>
      <c r="S9861" t="s">
        <v>40919</v>
      </c>
      <c r="T9861" t="s">
        <v>42279</v>
      </c>
      <c r="U9861" t="s">
        <v>50868</v>
      </c>
      <c r="V9861" t="s">
        <v>54866</v>
      </c>
      <c r="W9861" t="s">
        <v>39977</v>
      </c>
      <c r="X9861" t="s">
        <v>40450</v>
      </c>
    </row>
    <row r="9862" spans="1:24">
      <c r="A9862">
        <f>HYPERLINK("https://www.philgeps.gov.ph/GEPSNONPILOT/Tender/SplashBidNoticeAbstractUI.aspx?menuIndex=3&amp;refID=7031113&amp;Result=3","7031113")</f>
        <v>0</v>
      </c>
      <c r="B9862" t="s">
        <v>2144</v>
      </c>
      <c r="C9862" t="s">
        <v>12491</v>
      </c>
      <c r="E9862" t="s">
        <v>24872</v>
      </c>
      <c r="F9862" t="s">
        <v>28198</v>
      </c>
      <c r="G9862" t="s">
        <v>28205</v>
      </c>
      <c r="H9862" t="s">
        <v>28215</v>
      </c>
      <c r="I9862" t="s">
        <v>28227</v>
      </c>
      <c r="J9862" t="s">
        <v>34468</v>
      </c>
      <c r="K9862" t="s">
        <v>36689</v>
      </c>
      <c r="M9862" t="s">
        <v>39301</v>
      </c>
      <c r="N9862" t="s">
        <v>40436</v>
      </c>
      <c r="O9862" t="s">
        <v>40437</v>
      </c>
      <c r="P9862">
        <v>0</v>
      </c>
      <c r="Q9862">
        <v>4</v>
      </c>
      <c r="R9862" t="s">
        <v>40449</v>
      </c>
      <c r="S9862" t="s">
        <v>40919</v>
      </c>
      <c r="T9862" t="s">
        <v>42529</v>
      </c>
      <c r="U9862" t="s">
        <v>50869</v>
      </c>
      <c r="W9862" t="s">
        <v>39301</v>
      </c>
      <c r="X9862" t="s">
        <v>40450</v>
      </c>
    </row>
    <row r="9863" spans="1:24">
      <c r="A9863">
        <f>HYPERLINK("https://www.philgeps.gov.ph/GEPSNONPILOT/Tender/SplashBidNoticeAbstractUI.aspx?menuIndex=3&amp;refID=7031271&amp;Result=3","7031271")</f>
        <v>0</v>
      </c>
      <c r="B9863" t="s">
        <v>2727</v>
      </c>
      <c r="C9863" t="s">
        <v>12492</v>
      </c>
      <c r="D9863" t="s">
        <v>16193</v>
      </c>
      <c r="E9863" t="s">
        <v>24873</v>
      </c>
      <c r="F9863" t="s">
        <v>28200</v>
      </c>
      <c r="G9863" t="s">
        <v>28205</v>
      </c>
      <c r="H9863" t="s">
        <v>28214</v>
      </c>
      <c r="I9863" t="s">
        <v>3797</v>
      </c>
      <c r="J9863" t="s">
        <v>34433</v>
      </c>
      <c r="K9863" t="s">
        <v>36761</v>
      </c>
      <c r="M9863" t="s">
        <v>39973</v>
      </c>
      <c r="N9863" t="s">
        <v>40436</v>
      </c>
      <c r="O9863" t="s">
        <v>40437</v>
      </c>
      <c r="P9863">
        <v>0</v>
      </c>
      <c r="Q9863">
        <v>6</v>
      </c>
      <c r="R9863" t="s">
        <v>40449</v>
      </c>
      <c r="S9863" t="s">
        <v>40919</v>
      </c>
      <c r="T9863" t="s">
        <v>42425</v>
      </c>
      <c r="U9863" t="s">
        <v>50842</v>
      </c>
      <c r="V9863" t="s">
        <v>54865</v>
      </c>
      <c r="W9863" t="s">
        <v>39973</v>
      </c>
      <c r="X9863" t="s">
        <v>40450</v>
      </c>
    </row>
    <row r="9864" spans="1:24">
      <c r="A9864">
        <f>HYPERLINK("https://www.philgeps.gov.ph/GEPSNONPILOT/Tender/SplashBidNoticeAbstractUI.aspx?menuIndex=3&amp;refID=7031257&amp;Result=3","7031257")</f>
        <v>0</v>
      </c>
      <c r="B9864" t="s">
        <v>2608</v>
      </c>
      <c r="C9864" t="s">
        <v>12493</v>
      </c>
      <c r="D9864" t="s">
        <v>16249</v>
      </c>
      <c r="E9864" t="s">
        <v>24874</v>
      </c>
      <c r="F9864" t="s">
        <v>28198</v>
      </c>
      <c r="G9864" t="s">
        <v>28205</v>
      </c>
      <c r="H9864" t="s">
        <v>28214</v>
      </c>
      <c r="I9864" t="s">
        <v>3797</v>
      </c>
      <c r="J9864" t="s">
        <v>32342</v>
      </c>
      <c r="K9864" t="s">
        <v>36690</v>
      </c>
      <c r="L9864" t="s">
        <v>2608</v>
      </c>
      <c r="M9864" t="s">
        <v>39827</v>
      </c>
      <c r="N9864" t="s">
        <v>40436</v>
      </c>
      <c r="O9864" t="s">
        <v>40437</v>
      </c>
      <c r="P9864">
        <v>0</v>
      </c>
      <c r="Q9864">
        <v>21</v>
      </c>
      <c r="R9864" t="s">
        <v>40449</v>
      </c>
      <c r="S9864" t="s">
        <v>40919</v>
      </c>
      <c r="T9864" t="s">
        <v>42165</v>
      </c>
      <c r="U9864" t="s">
        <v>50870</v>
      </c>
      <c r="W9864" t="s">
        <v>39827</v>
      </c>
      <c r="X9864" t="s">
        <v>40450</v>
      </c>
    </row>
    <row r="9865" spans="1:24">
      <c r="A9865">
        <f>HYPERLINK("https://www.philgeps.gov.ph/GEPSNONPILOT/Tender/SplashBidNoticeAbstractUI.aspx?menuIndex=3&amp;refID=7031190&amp;Result=3","7031190")</f>
        <v>0</v>
      </c>
      <c r="B9865" t="s">
        <v>2727</v>
      </c>
      <c r="C9865" t="s">
        <v>12494</v>
      </c>
      <c r="D9865" t="s">
        <v>16193</v>
      </c>
      <c r="E9865" t="s">
        <v>24875</v>
      </c>
      <c r="F9865" t="s">
        <v>28200</v>
      </c>
      <c r="G9865" t="s">
        <v>28205</v>
      </c>
      <c r="H9865" t="s">
        <v>28214</v>
      </c>
      <c r="I9865" t="s">
        <v>3797</v>
      </c>
      <c r="J9865" t="s">
        <v>32106</v>
      </c>
      <c r="K9865" t="s">
        <v>36817</v>
      </c>
      <c r="M9865" t="s">
        <v>39973</v>
      </c>
      <c r="N9865" t="s">
        <v>40436</v>
      </c>
      <c r="O9865" t="s">
        <v>40437</v>
      </c>
      <c r="P9865">
        <v>0</v>
      </c>
      <c r="Q9865">
        <v>6</v>
      </c>
      <c r="R9865" t="s">
        <v>40449</v>
      </c>
      <c r="S9865" t="s">
        <v>40919</v>
      </c>
      <c r="T9865" t="s">
        <v>42425</v>
      </c>
      <c r="U9865" t="s">
        <v>50842</v>
      </c>
      <c r="V9865" t="s">
        <v>54865</v>
      </c>
      <c r="W9865" t="s">
        <v>39973</v>
      </c>
      <c r="X9865" t="s">
        <v>40450</v>
      </c>
    </row>
    <row r="9866" spans="1:24">
      <c r="A9866">
        <f>HYPERLINK("https://www.philgeps.gov.ph/GEPSNONPILOT/Tender/SplashBidNoticeAbstractUI.aspx?menuIndex=3&amp;refID=7031249&amp;Result=3","7031249")</f>
        <v>0</v>
      </c>
      <c r="B9866" t="s">
        <v>2732</v>
      </c>
      <c r="C9866" t="s">
        <v>12495</v>
      </c>
      <c r="D9866" t="s">
        <v>16210</v>
      </c>
      <c r="E9866" t="s">
        <v>12495</v>
      </c>
      <c r="F9866" t="s">
        <v>28198</v>
      </c>
      <c r="G9866" t="s">
        <v>28205</v>
      </c>
      <c r="H9866" t="s">
        <v>28215</v>
      </c>
      <c r="I9866" t="s">
        <v>4219</v>
      </c>
      <c r="J9866" t="s">
        <v>28398</v>
      </c>
      <c r="K9866" t="s">
        <v>36701</v>
      </c>
      <c r="M9866" t="s">
        <v>39978</v>
      </c>
      <c r="N9866" t="s">
        <v>40436</v>
      </c>
      <c r="O9866" t="s">
        <v>40437</v>
      </c>
      <c r="P9866">
        <v>0</v>
      </c>
      <c r="Q9866">
        <v>1</v>
      </c>
      <c r="R9866" t="s">
        <v>40449</v>
      </c>
      <c r="S9866" t="s">
        <v>40919</v>
      </c>
      <c r="T9866" t="s">
        <v>42129</v>
      </c>
      <c r="U9866" t="s">
        <v>50871</v>
      </c>
      <c r="W9866" t="s">
        <v>39978</v>
      </c>
      <c r="X9866" t="s">
        <v>40450</v>
      </c>
    </row>
    <row r="9867" spans="1:24">
      <c r="A9867">
        <f>HYPERLINK("https://www.philgeps.gov.ph/GEPSNONPILOT/Tender/SplashBidNoticeAbstractUI.aspx?menuIndex=3&amp;refID=7031121&amp;Result=3","7031121")</f>
        <v>0</v>
      </c>
      <c r="B9867" t="s">
        <v>1116</v>
      </c>
      <c r="C9867" t="s">
        <v>12496</v>
      </c>
      <c r="D9867" t="s">
        <v>16188</v>
      </c>
      <c r="E9867" t="s">
        <v>24876</v>
      </c>
      <c r="F9867" t="s">
        <v>28198</v>
      </c>
      <c r="G9867" t="s">
        <v>28205</v>
      </c>
      <c r="H9867" t="s">
        <v>28214</v>
      </c>
      <c r="I9867" t="s">
        <v>3797</v>
      </c>
      <c r="J9867" t="s">
        <v>34433</v>
      </c>
      <c r="K9867" t="s">
        <v>36915</v>
      </c>
      <c r="M9867" t="s">
        <v>39961</v>
      </c>
      <c r="N9867" t="s">
        <v>40436</v>
      </c>
      <c r="O9867" t="s">
        <v>40437</v>
      </c>
      <c r="P9867">
        <v>0</v>
      </c>
      <c r="Q9867">
        <v>1</v>
      </c>
      <c r="R9867" t="s">
        <v>40449</v>
      </c>
      <c r="S9867" t="s">
        <v>40919</v>
      </c>
      <c r="T9867" t="s">
        <v>42234</v>
      </c>
      <c r="U9867" t="s">
        <v>50872</v>
      </c>
      <c r="W9867" t="s">
        <v>39961</v>
      </c>
      <c r="X9867" t="s">
        <v>40450</v>
      </c>
    </row>
    <row r="9868" spans="1:24">
      <c r="A9868">
        <f>HYPERLINK("https://www.philgeps.gov.ph/GEPSNONPILOT/Tender/SplashBidNoticeAbstractUI.aspx?menuIndex=3&amp;refID=7031268&amp;Result=3","7031268")</f>
        <v>0</v>
      </c>
      <c r="B9868" t="s">
        <v>2733</v>
      </c>
      <c r="C9868" t="s">
        <v>12497</v>
      </c>
      <c r="D9868" t="s">
        <v>16187</v>
      </c>
      <c r="E9868" t="s">
        <v>24877</v>
      </c>
      <c r="F9868" t="s">
        <v>28198</v>
      </c>
      <c r="G9868" t="s">
        <v>28205</v>
      </c>
      <c r="H9868" t="s">
        <v>28214</v>
      </c>
      <c r="I9868" t="s">
        <v>3797</v>
      </c>
      <c r="J9868" t="s">
        <v>34469</v>
      </c>
      <c r="K9868" t="s">
        <v>36701</v>
      </c>
      <c r="M9868" t="s">
        <v>39979</v>
      </c>
      <c r="N9868" t="s">
        <v>40436</v>
      </c>
      <c r="O9868" t="s">
        <v>40437</v>
      </c>
      <c r="P9868">
        <v>0</v>
      </c>
      <c r="Q9868">
        <v>0</v>
      </c>
      <c r="R9868" t="s">
        <v>40449</v>
      </c>
      <c r="S9868" t="s">
        <v>40919</v>
      </c>
      <c r="T9868" t="s">
        <v>42100</v>
      </c>
      <c r="U9868" t="s">
        <v>50873</v>
      </c>
      <c r="W9868" t="s">
        <v>39979</v>
      </c>
      <c r="X9868" t="s">
        <v>40450</v>
      </c>
    </row>
    <row r="9869" spans="1:24">
      <c r="A9869">
        <f>HYPERLINK("https://www.philgeps.gov.ph/GEPSNONPILOT/Tender/SplashBidNoticeAbstractUI.aspx?menuIndex=3&amp;refID=7031260&amp;Result=3","7031260")</f>
        <v>0</v>
      </c>
      <c r="B9869" t="s">
        <v>2144</v>
      </c>
      <c r="C9869" t="s">
        <v>12498</v>
      </c>
      <c r="E9869" t="s">
        <v>24878</v>
      </c>
      <c r="F9869" t="s">
        <v>28198</v>
      </c>
      <c r="G9869" t="s">
        <v>28205</v>
      </c>
      <c r="H9869" t="s">
        <v>28215</v>
      </c>
      <c r="I9869" t="s">
        <v>5791</v>
      </c>
      <c r="J9869" t="s">
        <v>34470</v>
      </c>
      <c r="K9869" t="s">
        <v>36689</v>
      </c>
      <c r="M9869" t="s">
        <v>39301</v>
      </c>
      <c r="N9869" t="s">
        <v>40436</v>
      </c>
      <c r="O9869" t="s">
        <v>40437</v>
      </c>
      <c r="P9869">
        <v>0</v>
      </c>
      <c r="Q9869">
        <v>5</v>
      </c>
      <c r="R9869" t="s">
        <v>40449</v>
      </c>
      <c r="S9869" t="s">
        <v>40919</v>
      </c>
      <c r="T9869" t="s">
        <v>42529</v>
      </c>
      <c r="U9869" t="s">
        <v>50874</v>
      </c>
      <c r="W9869" t="s">
        <v>39301</v>
      </c>
      <c r="X9869" t="s">
        <v>40450</v>
      </c>
    </row>
    <row r="9870" spans="1:24">
      <c r="A9870">
        <f>HYPERLINK("https://www.philgeps.gov.ph/GEPSNONPILOT/Tender/SplashBidNoticeAbstractUI.aspx?menuIndex=3&amp;refID=7031247&amp;Result=3","7031247")</f>
        <v>0</v>
      </c>
      <c r="B9870" t="s">
        <v>2641</v>
      </c>
      <c r="C9870" t="s">
        <v>12499</v>
      </c>
      <c r="D9870" t="s">
        <v>16210</v>
      </c>
      <c r="E9870" t="s">
        <v>18126</v>
      </c>
      <c r="F9870" t="s">
        <v>28198</v>
      </c>
      <c r="G9870" t="s">
        <v>28205</v>
      </c>
      <c r="H9870" t="s">
        <v>28215</v>
      </c>
      <c r="I9870" t="s">
        <v>4219</v>
      </c>
      <c r="J9870" t="s">
        <v>34471</v>
      </c>
      <c r="K9870" t="s">
        <v>36706</v>
      </c>
      <c r="M9870" t="s">
        <v>39866</v>
      </c>
      <c r="N9870" t="s">
        <v>40436</v>
      </c>
      <c r="O9870" t="s">
        <v>40437</v>
      </c>
      <c r="P9870">
        <v>0</v>
      </c>
      <c r="Q9870">
        <v>1</v>
      </c>
      <c r="R9870" t="s">
        <v>40449</v>
      </c>
      <c r="S9870" t="s">
        <v>40919</v>
      </c>
      <c r="T9870" t="s">
        <v>42218</v>
      </c>
      <c r="U9870" t="s">
        <v>50875</v>
      </c>
      <c r="W9870" t="s">
        <v>39866</v>
      </c>
      <c r="X9870" t="s">
        <v>40450</v>
      </c>
    </row>
    <row r="9871" spans="1:24">
      <c r="A9871">
        <f>HYPERLINK("https://www.philgeps.gov.ph/GEPSNONPILOT/Tender/SplashBidNoticeAbstractUI.aspx?menuIndex=3&amp;refID=7031342&amp;Result=3","7031342")</f>
        <v>0</v>
      </c>
      <c r="B9871" t="s">
        <v>2727</v>
      </c>
      <c r="C9871" t="s">
        <v>12500</v>
      </c>
      <c r="D9871" t="s">
        <v>16193</v>
      </c>
      <c r="E9871" t="s">
        <v>24879</v>
      </c>
      <c r="F9871" t="s">
        <v>28200</v>
      </c>
      <c r="G9871" t="s">
        <v>28205</v>
      </c>
      <c r="H9871" t="s">
        <v>28214</v>
      </c>
      <c r="I9871" t="s">
        <v>3797</v>
      </c>
      <c r="J9871" t="s">
        <v>32323</v>
      </c>
      <c r="K9871" t="s">
        <v>36853</v>
      </c>
      <c r="M9871" t="s">
        <v>39973</v>
      </c>
      <c r="N9871" t="s">
        <v>40436</v>
      </c>
      <c r="O9871" t="s">
        <v>40437</v>
      </c>
      <c r="P9871">
        <v>0</v>
      </c>
      <c r="Q9871">
        <v>4</v>
      </c>
      <c r="R9871" t="s">
        <v>40449</v>
      </c>
      <c r="S9871" t="s">
        <v>40919</v>
      </c>
      <c r="T9871" t="s">
        <v>42425</v>
      </c>
      <c r="U9871" t="s">
        <v>50842</v>
      </c>
      <c r="V9871" t="s">
        <v>54865</v>
      </c>
      <c r="W9871" t="s">
        <v>39973</v>
      </c>
      <c r="X9871" t="s">
        <v>40450</v>
      </c>
    </row>
    <row r="9872" spans="1:24">
      <c r="A9872">
        <f>HYPERLINK("https://www.philgeps.gov.ph/GEPSNONPILOT/Tender/SplashBidNoticeAbstractUI.aspx?menuIndex=3&amp;refID=7031131&amp;Result=3","7031131")</f>
        <v>0</v>
      </c>
      <c r="B9872" t="s">
        <v>2144</v>
      </c>
      <c r="C9872" t="s">
        <v>12501</v>
      </c>
      <c r="E9872" t="s">
        <v>24880</v>
      </c>
      <c r="F9872" t="s">
        <v>28198</v>
      </c>
      <c r="G9872" t="s">
        <v>28205</v>
      </c>
      <c r="H9872" t="s">
        <v>28215</v>
      </c>
      <c r="I9872" t="s">
        <v>5103</v>
      </c>
      <c r="J9872" t="s">
        <v>28433</v>
      </c>
      <c r="K9872" t="s">
        <v>36689</v>
      </c>
      <c r="M9872" t="s">
        <v>39301</v>
      </c>
      <c r="N9872" t="s">
        <v>40436</v>
      </c>
      <c r="O9872" t="s">
        <v>40437</v>
      </c>
      <c r="P9872">
        <v>0</v>
      </c>
      <c r="Q9872">
        <v>10</v>
      </c>
      <c r="R9872" t="s">
        <v>40449</v>
      </c>
      <c r="S9872" t="s">
        <v>40919</v>
      </c>
      <c r="T9872" t="s">
        <v>42529</v>
      </c>
      <c r="U9872" t="s">
        <v>50876</v>
      </c>
      <c r="W9872" t="s">
        <v>39301</v>
      </c>
      <c r="X9872" t="s">
        <v>40450</v>
      </c>
    </row>
    <row r="9873" spans="1:24">
      <c r="A9873">
        <f>HYPERLINK("https://www.philgeps.gov.ph/GEPSNONPILOT/Tender/SplashBidNoticeAbstractUI.aspx?menuIndex=3&amp;refID=7031285&amp;Result=3","7031285")</f>
        <v>0</v>
      </c>
      <c r="B9873" t="s">
        <v>1355</v>
      </c>
      <c r="C9873" t="s">
        <v>12502</v>
      </c>
      <c r="D9873" t="s">
        <v>16210</v>
      </c>
      <c r="E9873" t="s">
        <v>24881</v>
      </c>
      <c r="F9873" t="s">
        <v>28198</v>
      </c>
      <c r="G9873" t="s">
        <v>28205</v>
      </c>
      <c r="H9873" t="s">
        <v>28214</v>
      </c>
      <c r="I9873" t="s">
        <v>3797</v>
      </c>
      <c r="J9873" t="s">
        <v>34472</v>
      </c>
      <c r="K9873" t="s">
        <v>36690</v>
      </c>
      <c r="M9873" t="s">
        <v>38413</v>
      </c>
      <c r="N9873" t="s">
        <v>40436</v>
      </c>
      <c r="O9873" t="s">
        <v>40437</v>
      </c>
      <c r="Q9873">
        <v>14</v>
      </c>
      <c r="R9873" t="s">
        <v>40449</v>
      </c>
      <c r="S9873" t="s">
        <v>40935</v>
      </c>
      <c r="T9873" t="s">
        <v>42113</v>
      </c>
      <c r="U9873" t="s">
        <v>50877</v>
      </c>
      <c r="V9873" t="s">
        <v>54150</v>
      </c>
      <c r="W9873" t="s">
        <v>38413</v>
      </c>
      <c r="X9873" t="s">
        <v>40450</v>
      </c>
    </row>
    <row r="9874" spans="1:24">
      <c r="A9874">
        <f>HYPERLINK("https://www.philgeps.gov.ph/GEPSNONPILOT/Tender/SplashBidNoticeAbstractUI.aspx?menuIndex=3&amp;refID=7031284&amp;Result=3","7031284")</f>
        <v>0</v>
      </c>
      <c r="B9874" t="s">
        <v>2732</v>
      </c>
      <c r="C9874" t="s">
        <v>12503</v>
      </c>
      <c r="D9874" t="s">
        <v>16210</v>
      </c>
      <c r="E9874" t="s">
        <v>24882</v>
      </c>
      <c r="F9874" t="s">
        <v>28198</v>
      </c>
      <c r="G9874" t="s">
        <v>28205</v>
      </c>
      <c r="H9874" t="s">
        <v>28215</v>
      </c>
      <c r="I9874" t="s">
        <v>28247</v>
      </c>
      <c r="J9874" t="s">
        <v>34473</v>
      </c>
      <c r="K9874" t="s">
        <v>36701</v>
      </c>
      <c r="M9874" t="s">
        <v>39978</v>
      </c>
      <c r="N9874" t="s">
        <v>40436</v>
      </c>
      <c r="O9874" t="s">
        <v>40437</v>
      </c>
      <c r="P9874">
        <v>0</v>
      </c>
      <c r="Q9874">
        <v>12</v>
      </c>
      <c r="R9874" t="s">
        <v>40449</v>
      </c>
      <c r="S9874" t="s">
        <v>40919</v>
      </c>
      <c r="T9874" t="s">
        <v>42129</v>
      </c>
      <c r="U9874" t="s">
        <v>50878</v>
      </c>
      <c r="W9874" t="s">
        <v>39978</v>
      </c>
      <c r="X9874" t="s">
        <v>40450</v>
      </c>
    </row>
    <row r="9875" spans="1:24">
      <c r="A9875">
        <f>HYPERLINK("https://www.philgeps.gov.ph/GEPSNONPILOT/Tender/SplashBidNoticeAbstractUI.aspx?menuIndex=3&amp;refID=7031297&amp;Result=3","7031297")</f>
        <v>0</v>
      </c>
      <c r="B9875" t="s">
        <v>694</v>
      </c>
      <c r="C9875" t="s">
        <v>12504</v>
      </c>
      <c r="D9875" t="s">
        <v>16200</v>
      </c>
      <c r="E9875" t="s">
        <v>24883</v>
      </c>
      <c r="F9875" t="s">
        <v>28198</v>
      </c>
      <c r="G9875" t="s">
        <v>28205</v>
      </c>
      <c r="H9875" t="s">
        <v>28215</v>
      </c>
      <c r="I9875" t="s">
        <v>28236</v>
      </c>
      <c r="J9875" t="s">
        <v>34474</v>
      </c>
      <c r="K9875" t="s">
        <v>36717</v>
      </c>
      <c r="L9875" t="s">
        <v>694</v>
      </c>
      <c r="M9875" t="s">
        <v>37694</v>
      </c>
      <c r="N9875" t="s">
        <v>40436</v>
      </c>
      <c r="O9875" t="s">
        <v>40437</v>
      </c>
      <c r="Q9875">
        <v>12</v>
      </c>
      <c r="R9875" t="s">
        <v>40449</v>
      </c>
      <c r="S9875" t="s">
        <v>40936</v>
      </c>
      <c r="T9875" t="s">
        <v>42279</v>
      </c>
      <c r="U9875" t="s">
        <v>50879</v>
      </c>
      <c r="W9875" t="s">
        <v>37694</v>
      </c>
      <c r="X9875" t="s">
        <v>40450</v>
      </c>
    </row>
    <row r="9876" spans="1:24">
      <c r="A9876">
        <f>HYPERLINK("https://www.philgeps.gov.ph/GEPSNONPILOT/Tender/SplashBidNoticeAbstractUI.aspx?menuIndex=3&amp;refID=7031223&amp;Result=3","7031223")</f>
        <v>0</v>
      </c>
      <c r="B9876" t="s">
        <v>2574</v>
      </c>
      <c r="C9876" t="s">
        <v>12505</v>
      </c>
      <c r="E9876" t="s">
        <v>24884</v>
      </c>
      <c r="F9876" t="s">
        <v>28198</v>
      </c>
      <c r="G9876" t="s">
        <v>28205</v>
      </c>
      <c r="H9876" t="s">
        <v>28214</v>
      </c>
      <c r="I9876" t="s">
        <v>3797</v>
      </c>
      <c r="J9876" t="s">
        <v>34475</v>
      </c>
      <c r="K9876" t="s">
        <v>36916</v>
      </c>
      <c r="M9876" t="s">
        <v>39788</v>
      </c>
      <c r="N9876" t="s">
        <v>40436</v>
      </c>
      <c r="O9876" t="s">
        <v>40437</v>
      </c>
      <c r="Q9876">
        <v>7</v>
      </c>
      <c r="R9876" t="s">
        <v>40449</v>
      </c>
      <c r="S9876" t="s">
        <v>40937</v>
      </c>
      <c r="T9876" t="s">
        <v>42279</v>
      </c>
      <c r="U9876" t="s">
        <v>50880</v>
      </c>
      <c r="W9876" t="s">
        <v>39788</v>
      </c>
      <c r="X9876" t="s">
        <v>40450</v>
      </c>
    </row>
    <row r="9877" spans="1:24">
      <c r="A9877">
        <f>HYPERLINK("https://www.philgeps.gov.ph/GEPSNONPILOT/Tender/SplashBidNoticeAbstractUI.aspx?menuIndex=3&amp;refID=7031301&amp;Result=3","7031301")</f>
        <v>0</v>
      </c>
      <c r="B9877" t="s">
        <v>2144</v>
      </c>
      <c r="C9877" t="s">
        <v>12506</v>
      </c>
      <c r="E9877" t="s">
        <v>24885</v>
      </c>
      <c r="F9877" t="s">
        <v>28198</v>
      </c>
      <c r="G9877" t="s">
        <v>28205</v>
      </c>
      <c r="H9877" t="s">
        <v>28215</v>
      </c>
      <c r="I9877" t="s">
        <v>5791</v>
      </c>
      <c r="J9877" t="s">
        <v>28730</v>
      </c>
      <c r="K9877" t="s">
        <v>36689</v>
      </c>
      <c r="M9877" t="s">
        <v>39301</v>
      </c>
      <c r="N9877" t="s">
        <v>40436</v>
      </c>
      <c r="O9877" t="s">
        <v>40437</v>
      </c>
      <c r="P9877">
        <v>0</v>
      </c>
      <c r="Q9877">
        <v>0</v>
      </c>
      <c r="R9877" t="s">
        <v>40449</v>
      </c>
      <c r="S9877" t="s">
        <v>40919</v>
      </c>
      <c r="T9877" t="s">
        <v>42529</v>
      </c>
      <c r="U9877" t="s">
        <v>50881</v>
      </c>
      <c r="W9877" t="s">
        <v>39301</v>
      </c>
      <c r="X9877" t="s">
        <v>40450</v>
      </c>
    </row>
    <row r="9878" spans="1:24">
      <c r="A9878">
        <f>HYPERLINK("https://www.philgeps.gov.ph/GEPSNONPILOT/Tender/SplashBidNoticeAbstractUI.aspx?menuIndex=3&amp;refID=7031233&amp;Result=3","7031233")</f>
        <v>0</v>
      </c>
      <c r="B9878" t="s">
        <v>2144</v>
      </c>
      <c r="C9878" t="s">
        <v>12507</v>
      </c>
      <c r="E9878" t="s">
        <v>24886</v>
      </c>
      <c r="F9878" t="s">
        <v>28198</v>
      </c>
      <c r="G9878" t="s">
        <v>28205</v>
      </c>
      <c r="H9878" t="s">
        <v>28215</v>
      </c>
      <c r="I9878" t="s">
        <v>5791</v>
      </c>
      <c r="J9878" t="s">
        <v>33720</v>
      </c>
      <c r="K9878" t="s">
        <v>36689</v>
      </c>
      <c r="M9878" t="s">
        <v>39301</v>
      </c>
      <c r="N9878" t="s">
        <v>40436</v>
      </c>
      <c r="O9878" t="s">
        <v>40437</v>
      </c>
      <c r="P9878">
        <v>0</v>
      </c>
      <c r="Q9878">
        <v>1</v>
      </c>
      <c r="R9878" t="s">
        <v>40449</v>
      </c>
      <c r="S9878" t="s">
        <v>40919</v>
      </c>
      <c r="T9878" t="s">
        <v>42529</v>
      </c>
      <c r="U9878" t="s">
        <v>50882</v>
      </c>
      <c r="W9878" t="s">
        <v>39301</v>
      </c>
      <c r="X9878" t="s">
        <v>40450</v>
      </c>
    </row>
    <row r="9879" spans="1:24">
      <c r="A9879">
        <f>HYPERLINK("https://www.philgeps.gov.ph/GEPSNONPILOT/Tender/SplashBidNoticeAbstractUI.aspx?menuIndex=3&amp;refID=7031240&amp;Result=3","7031240")</f>
        <v>0</v>
      </c>
      <c r="B9879" t="s">
        <v>2727</v>
      </c>
      <c r="C9879" t="s">
        <v>12508</v>
      </c>
      <c r="D9879" t="s">
        <v>16193</v>
      </c>
      <c r="E9879" t="s">
        <v>24887</v>
      </c>
      <c r="F9879" t="s">
        <v>28200</v>
      </c>
      <c r="G9879" t="s">
        <v>28205</v>
      </c>
      <c r="H9879" t="s">
        <v>28214</v>
      </c>
      <c r="I9879" t="s">
        <v>3797</v>
      </c>
      <c r="J9879" t="s">
        <v>33538</v>
      </c>
      <c r="K9879" t="s">
        <v>36690</v>
      </c>
      <c r="M9879" t="s">
        <v>39973</v>
      </c>
      <c r="N9879" t="s">
        <v>40436</v>
      </c>
      <c r="O9879" t="s">
        <v>40437</v>
      </c>
      <c r="P9879">
        <v>0</v>
      </c>
      <c r="Q9879">
        <v>2</v>
      </c>
      <c r="R9879" t="s">
        <v>40449</v>
      </c>
      <c r="S9879" t="s">
        <v>40919</v>
      </c>
      <c r="T9879" t="s">
        <v>42425</v>
      </c>
      <c r="U9879" t="s">
        <v>50842</v>
      </c>
      <c r="V9879" t="s">
        <v>54865</v>
      </c>
      <c r="W9879" t="s">
        <v>39973</v>
      </c>
      <c r="X9879" t="s">
        <v>40450</v>
      </c>
    </row>
    <row r="9880" spans="1:24">
      <c r="A9880">
        <f>HYPERLINK("https://www.philgeps.gov.ph/GEPSNONPILOT/Tender/SplashBidNoticeAbstractUI.aspx?menuIndex=3&amp;refID=7031324&amp;Result=3","7031324")</f>
        <v>0</v>
      </c>
      <c r="B9880" t="s">
        <v>2144</v>
      </c>
      <c r="C9880" t="s">
        <v>12509</v>
      </c>
      <c r="E9880" t="s">
        <v>24888</v>
      </c>
      <c r="F9880" t="s">
        <v>28198</v>
      </c>
      <c r="G9880" t="s">
        <v>28205</v>
      </c>
      <c r="H9880" t="s">
        <v>28214</v>
      </c>
      <c r="I9880" t="s">
        <v>3797</v>
      </c>
      <c r="J9880" t="s">
        <v>34476</v>
      </c>
      <c r="K9880" t="s">
        <v>36689</v>
      </c>
      <c r="M9880" t="s">
        <v>39301</v>
      </c>
      <c r="N9880" t="s">
        <v>40436</v>
      </c>
      <c r="O9880" t="s">
        <v>40437</v>
      </c>
      <c r="P9880">
        <v>0</v>
      </c>
      <c r="Q9880">
        <v>3</v>
      </c>
      <c r="R9880" t="s">
        <v>40449</v>
      </c>
      <c r="S9880" t="s">
        <v>40919</v>
      </c>
      <c r="T9880" t="s">
        <v>42529</v>
      </c>
      <c r="U9880" t="s">
        <v>50883</v>
      </c>
      <c r="W9880" t="s">
        <v>39301</v>
      </c>
      <c r="X9880" t="s">
        <v>40450</v>
      </c>
    </row>
    <row r="9881" spans="1:24">
      <c r="A9881">
        <f>HYPERLINK("https://www.philgeps.gov.ph/GEPSNONPILOT/Tender/SplashBidNoticeAbstractUI.aspx?menuIndex=3&amp;refID=7031221&amp;Result=3","7031221")</f>
        <v>0</v>
      </c>
      <c r="B9881" t="s">
        <v>2144</v>
      </c>
      <c r="C9881" t="s">
        <v>12510</v>
      </c>
      <c r="E9881" t="s">
        <v>24889</v>
      </c>
      <c r="F9881" t="s">
        <v>28198</v>
      </c>
      <c r="G9881" t="s">
        <v>28205</v>
      </c>
      <c r="H9881" t="s">
        <v>28215</v>
      </c>
      <c r="I9881" t="s">
        <v>3422</v>
      </c>
      <c r="J9881" t="s">
        <v>34477</v>
      </c>
      <c r="K9881" t="s">
        <v>36689</v>
      </c>
      <c r="M9881" t="s">
        <v>39301</v>
      </c>
      <c r="N9881" t="s">
        <v>40436</v>
      </c>
      <c r="O9881" t="s">
        <v>40437</v>
      </c>
      <c r="P9881">
        <v>0</v>
      </c>
      <c r="Q9881">
        <v>2</v>
      </c>
      <c r="R9881" t="s">
        <v>40449</v>
      </c>
      <c r="S9881" t="s">
        <v>40919</v>
      </c>
      <c r="T9881" t="s">
        <v>42529</v>
      </c>
      <c r="U9881" t="s">
        <v>50884</v>
      </c>
      <c r="W9881" t="s">
        <v>39301</v>
      </c>
      <c r="X9881" t="s">
        <v>40450</v>
      </c>
    </row>
    <row r="9882" spans="1:24">
      <c r="A9882">
        <f>HYPERLINK("https://www.philgeps.gov.ph/GEPSNONPILOT/Tender/SplashBidNoticeAbstractUI.aspx?menuIndex=3&amp;refID=7031193&amp;Result=3","7031193")</f>
        <v>0</v>
      </c>
      <c r="B9882" t="s">
        <v>2734</v>
      </c>
      <c r="C9882" t="s">
        <v>12511</v>
      </c>
      <c r="D9882" t="s">
        <v>16223</v>
      </c>
      <c r="E9882" t="s">
        <v>24890</v>
      </c>
      <c r="F9882" t="s">
        <v>28198</v>
      </c>
      <c r="G9882" t="s">
        <v>28205</v>
      </c>
      <c r="H9882" t="s">
        <v>28214</v>
      </c>
      <c r="I9882" t="s">
        <v>3797</v>
      </c>
      <c r="J9882" t="s">
        <v>34478</v>
      </c>
      <c r="K9882" t="s">
        <v>36809</v>
      </c>
      <c r="M9882" t="s">
        <v>39980</v>
      </c>
      <c r="N9882" t="s">
        <v>40436</v>
      </c>
      <c r="O9882" t="s">
        <v>40437</v>
      </c>
      <c r="P9882">
        <v>0</v>
      </c>
      <c r="Q9882">
        <v>1</v>
      </c>
      <c r="R9882" t="s">
        <v>40449</v>
      </c>
      <c r="S9882" t="s">
        <v>40919</v>
      </c>
      <c r="T9882" t="s">
        <v>42240</v>
      </c>
      <c r="U9882" t="s">
        <v>50885</v>
      </c>
      <c r="W9882" t="s">
        <v>39980</v>
      </c>
      <c r="X9882" t="s">
        <v>40450</v>
      </c>
    </row>
    <row r="9883" spans="1:24">
      <c r="A9883">
        <f>HYPERLINK("https://www.philgeps.gov.ph/GEPSNONPILOT/Tender/SplashBidNoticeAbstractUI.aspx?menuIndex=3&amp;refID=7031438&amp;Result=3","7031438")</f>
        <v>0</v>
      </c>
      <c r="B9883" t="s">
        <v>2732</v>
      </c>
      <c r="C9883" t="s">
        <v>12512</v>
      </c>
      <c r="D9883" t="s">
        <v>16210</v>
      </c>
      <c r="E9883" t="s">
        <v>12512</v>
      </c>
      <c r="F9883" t="s">
        <v>28198</v>
      </c>
      <c r="G9883" t="s">
        <v>28205</v>
      </c>
      <c r="H9883" t="s">
        <v>28215</v>
      </c>
      <c r="I9883" t="s">
        <v>28247</v>
      </c>
      <c r="J9883" t="s">
        <v>28398</v>
      </c>
      <c r="K9883" t="s">
        <v>36701</v>
      </c>
      <c r="M9883" t="s">
        <v>39978</v>
      </c>
      <c r="N9883" t="s">
        <v>40436</v>
      </c>
      <c r="O9883" t="s">
        <v>40437</v>
      </c>
      <c r="P9883">
        <v>0</v>
      </c>
      <c r="Q9883">
        <v>6</v>
      </c>
      <c r="R9883" t="s">
        <v>40449</v>
      </c>
      <c r="S9883" t="s">
        <v>40919</v>
      </c>
      <c r="T9883" t="s">
        <v>42129</v>
      </c>
      <c r="U9883" t="s">
        <v>50886</v>
      </c>
      <c r="W9883" t="s">
        <v>39978</v>
      </c>
      <c r="X9883" t="s">
        <v>40450</v>
      </c>
    </row>
    <row r="9884" spans="1:24">
      <c r="A9884">
        <f>HYPERLINK("https://www.philgeps.gov.ph/GEPSNONPILOT/Tender/SplashBidNoticeAbstractUI.aspx?menuIndex=3&amp;refID=7031194&amp;Result=3","7031194")</f>
        <v>0</v>
      </c>
      <c r="B9884" t="s">
        <v>2144</v>
      </c>
      <c r="C9884" t="s">
        <v>12513</v>
      </c>
      <c r="E9884" t="s">
        <v>24891</v>
      </c>
      <c r="F9884" t="s">
        <v>28198</v>
      </c>
      <c r="G9884" t="s">
        <v>28205</v>
      </c>
      <c r="H9884" t="s">
        <v>28215</v>
      </c>
      <c r="I9884" t="s">
        <v>5082</v>
      </c>
      <c r="J9884" t="s">
        <v>34479</v>
      </c>
      <c r="K9884" t="s">
        <v>36689</v>
      </c>
      <c r="M9884" t="s">
        <v>39301</v>
      </c>
      <c r="N9884" t="s">
        <v>40436</v>
      </c>
      <c r="O9884" t="s">
        <v>40437</v>
      </c>
      <c r="P9884">
        <v>0</v>
      </c>
      <c r="Q9884">
        <v>0</v>
      </c>
      <c r="R9884" t="s">
        <v>40449</v>
      </c>
      <c r="S9884" t="s">
        <v>40919</v>
      </c>
      <c r="T9884" t="s">
        <v>42529</v>
      </c>
      <c r="U9884" t="s">
        <v>50887</v>
      </c>
      <c r="W9884" t="s">
        <v>39301</v>
      </c>
      <c r="X9884" t="s">
        <v>40450</v>
      </c>
    </row>
    <row r="9885" spans="1:24">
      <c r="A9885">
        <f>HYPERLINK("https://www.philgeps.gov.ph/GEPSNONPILOT/Tender/SplashBidNoticeAbstractUI.aspx?menuIndex=3&amp;refID=7031408&amp;Result=3","7031408")</f>
        <v>0</v>
      </c>
      <c r="B9885" t="s">
        <v>2735</v>
      </c>
      <c r="C9885" t="s">
        <v>12514</v>
      </c>
      <c r="D9885" t="s">
        <v>16200</v>
      </c>
      <c r="E9885" t="s">
        <v>24892</v>
      </c>
      <c r="F9885" t="s">
        <v>28198</v>
      </c>
      <c r="G9885" t="s">
        <v>28205</v>
      </c>
      <c r="H9885" t="s">
        <v>28215</v>
      </c>
      <c r="I9885" t="s">
        <v>28224</v>
      </c>
      <c r="J9885" t="s">
        <v>34480</v>
      </c>
      <c r="K9885" t="s">
        <v>36742</v>
      </c>
      <c r="M9885" t="s">
        <v>39981</v>
      </c>
      <c r="N9885" t="s">
        <v>40436</v>
      </c>
      <c r="O9885" t="s">
        <v>40437</v>
      </c>
      <c r="P9885">
        <v>0</v>
      </c>
      <c r="Q9885">
        <v>0</v>
      </c>
      <c r="R9885" t="s">
        <v>40449</v>
      </c>
      <c r="S9885" t="s">
        <v>40919</v>
      </c>
      <c r="T9885" t="s">
        <v>42346</v>
      </c>
      <c r="U9885" t="s">
        <v>50888</v>
      </c>
      <c r="W9885" t="s">
        <v>39981</v>
      </c>
      <c r="X9885" t="s">
        <v>40450</v>
      </c>
    </row>
    <row r="9886" spans="1:24">
      <c r="A9886">
        <f>HYPERLINK("https://www.philgeps.gov.ph/GEPSNONPILOT/Tender/SplashBidNoticeAbstractUI.aspx?menuIndex=3&amp;refID=7031213&amp;Result=3","7031213")</f>
        <v>0</v>
      </c>
      <c r="B9886" t="s">
        <v>2716</v>
      </c>
      <c r="C9886" t="s">
        <v>12515</v>
      </c>
      <c r="D9886" t="s">
        <v>16202</v>
      </c>
      <c r="E9886" t="s">
        <v>24893</v>
      </c>
      <c r="F9886" t="s">
        <v>28198</v>
      </c>
      <c r="G9886" t="s">
        <v>28205</v>
      </c>
      <c r="H9886" t="s">
        <v>28215</v>
      </c>
      <c r="I9886" t="s">
        <v>28246</v>
      </c>
      <c r="J9886" t="s">
        <v>34481</v>
      </c>
      <c r="K9886" t="s">
        <v>36701</v>
      </c>
      <c r="M9886" t="s">
        <v>39959</v>
      </c>
      <c r="N9886" t="s">
        <v>40436</v>
      </c>
      <c r="O9886" t="s">
        <v>40437</v>
      </c>
      <c r="P9886">
        <v>0</v>
      </c>
      <c r="Q9886">
        <v>3</v>
      </c>
      <c r="R9886" t="s">
        <v>40449</v>
      </c>
      <c r="S9886" t="s">
        <v>40919</v>
      </c>
      <c r="T9886" t="s">
        <v>42243</v>
      </c>
      <c r="U9886" t="s">
        <v>50889</v>
      </c>
      <c r="W9886" t="s">
        <v>39959</v>
      </c>
      <c r="X9886" t="s">
        <v>40450</v>
      </c>
    </row>
    <row r="9887" spans="1:24">
      <c r="A9887">
        <f>HYPERLINK("https://www.philgeps.gov.ph/GEPSNONPILOT/Tender/SplashBidNoticeAbstractUI.aspx?menuIndex=3&amp;refID=7031469&amp;Result=3","7031469")</f>
        <v>0</v>
      </c>
      <c r="B9887" t="s">
        <v>2026</v>
      </c>
      <c r="C9887" t="s">
        <v>12516</v>
      </c>
      <c r="D9887" t="s">
        <v>16248</v>
      </c>
      <c r="E9887" t="s">
        <v>24894</v>
      </c>
      <c r="F9887" t="s">
        <v>28198</v>
      </c>
      <c r="G9887" t="s">
        <v>28205</v>
      </c>
      <c r="H9887" t="s">
        <v>28214</v>
      </c>
      <c r="I9887" t="s">
        <v>3797</v>
      </c>
      <c r="J9887" t="s">
        <v>34482</v>
      </c>
      <c r="K9887" t="s">
        <v>36854</v>
      </c>
      <c r="M9887" t="s">
        <v>39167</v>
      </c>
      <c r="N9887" t="s">
        <v>40436</v>
      </c>
      <c r="O9887" t="s">
        <v>40437</v>
      </c>
      <c r="Q9887">
        <v>2</v>
      </c>
      <c r="R9887" t="s">
        <v>40449</v>
      </c>
      <c r="S9887" t="s">
        <v>40659</v>
      </c>
      <c r="T9887" t="s">
        <v>42274</v>
      </c>
      <c r="U9887" t="s">
        <v>50890</v>
      </c>
      <c r="W9887" t="s">
        <v>39167</v>
      </c>
      <c r="X9887" t="s">
        <v>40450</v>
      </c>
    </row>
    <row r="9888" spans="1:24">
      <c r="A9888">
        <f>HYPERLINK("https://www.philgeps.gov.ph/GEPSNONPILOT/Tender/SplashBidNoticeAbstractUI.aspx?menuIndex=3&amp;refID=7031424&amp;Result=3","7031424")</f>
        <v>0</v>
      </c>
      <c r="B9888" t="s">
        <v>829</v>
      </c>
      <c r="C9888" t="s">
        <v>12517</v>
      </c>
      <c r="D9888" t="s">
        <v>16244</v>
      </c>
      <c r="E9888" t="s">
        <v>16660</v>
      </c>
      <c r="F9888" t="s">
        <v>28198</v>
      </c>
      <c r="G9888" t="s">
        <v>28205</v>
      </c>
      <c r="H9888" t="s">
        <v>28214</v>
      </c>
      <c r="I9888" t="s">
        <v>3797</v>
      </c>
      <c r="J9888" t="s">
        <v>30991</v>
      </c>
      <c r="K9888" t="s">
        <v>36761</v>
      </c>
      <c r="M9888" t="s">
        <v>37841</v>
      </c>
      <c r="N9888" t="s">
        <v>40436</v>
      </c>
      <c r="O9888" t="s">
        <v>40437</v>
      </c>
      <c r="P9888">
        <v>0</v>
      </c>
      <c r="Q9888">
        <v>0</v>
      </c>
      <c r="R9888" t="s">
        <v>40449</v>
      </c>
      <c r="S9888" t="s">
        <v>40919</v>
      </c>
      <c r="T9888" t="s">
        <v>42278</v>
      </c>
      <c r="U9888" t="s">
        <v>50891</v>
      </c>
      <c r="V9888" t="s">
        <v>54867</v>
      </c>
      <c r="W9888" t="s">
        <v>37841</v>
      </c>
      <c r="X9888" t="s">
        <v>40450</v>
      </c>
    </row>
    <row r="9889" spans="1:24">
      <c r="A9889">
        <f>HYPERLINK("https://www.philgeps.gov.ph/GEPSNONPILOT/Tender/SplashBidNoticeAbstractUI.aspx?menuIndex=3&amp;refID=7031354&amp;Result=3","7031354")</f>
        <v>0</v>
      </c>
      <c r="B9889" t="s">
        <v>54</v>
      </c>
      <c r="C9889" t="s">
        <v>12518</v>
      </c>
      <c r="D9889" t="s">
        <v>16196</v>
      </c>
      <c r="E9889" t="s">
        <v>24895</v>
      </c>
      <c r="F9889" t="s">
        <v>28198</v>
      </c>
      <c r="G9889" t="s">
        <v>28205</v>
      </c>
      <c r="H9889" t="s">
        <v>28215</v>
      </c>
      <c r="I9889" t="s">
        <v>6013</v>
      </c>
      <c r="J9889" t="s">
        <v>34483</v>
      </c>
      <c r="K9889" t="s">
        <v>36694</v>
      </c>
      <c r="M9889" t="s">
        <v>37735</v>
      </c>
      <c r="N9889" t="s">
        <v>40436</v>
      </c>
      <c r="O9889" t="s">
        <v>40437</v>
      </c>
      <c r="P9889">
        <v>0</v>
      </c>
      <c r="Q9889">
        <v>0</v>
      </c>
      <c r="R9889" t="s">
        <v>40449</v>
      </c>
      <c r="S9889" t="s">
        <v>40919</v>
      </c>
      <c r="T9889" t="s">
        <v>42346</v>
      </c>
      <c r="U9889" t="s">
        <v>50892</v>
      </c>
      <c r="W9889" t="s">
        <v>37735</v>
      </c>
      <c r="X9889" t="s">
        <v>40450</v>
      </c>
    </row>
    <row r="9890" spans="1:24">
      <c r="A9890">
        <f>HYPERLINK("https://www.philgeps.gov.ph/GEPSNONPILOT/Tender/SplashBidNoticeAbstractUI.aspx?menuIndex=3&amp;refID=7031465&amp;Result=3","7031465")</f>
        <v>0</v>
      </c>
      <c r="B9890" t="s">
        <v>2736</v>
      </c>
      <c r="C9890" t="s">
        <v>12519</v>
      </c>
      <c r="D9890" t="s">
        <v>16196</v>
      </c>
      <c r="E9890" t="s">
        <v>24896</v>
      </c>
      <c r="F9890" t="s">
        <v>28198</v>
      </c>
      <c r="G9890" t="s">
        <v>28205</v>
      </c>
      <c r="H9890" t="s">
        <v>28214</v>
      </c>
      <c r="I9890" t="s">
        <v>28260</v>
      </c>
      <c r="J9890" t="s">
        <v>34484</v>
      </c>
      <c r="K9890" t="s">
        <v>36689</v>
      </c>
      <c r="M9890" t="s">
        <v>39982</v>
      </c>
      <c r="N9890" t="s">
        <v>40436</v>
      </c>
      <c r="O9890" t="s">
        <v>40437</v>
      </c>
      <c r="P9890">
        <v>0</v>
      </c>
      <c r="Q9890">
        <v>10</v>
      </c>
      <c r="R9890" t="s">
        <v>40449</v>
      </c>
      <c r="S9890" t="s">
        <v>40919</v>
      </c>
      <c r="T9890" t="s">
        <v>42142</v>
      </c>
      <c r="U9890" t="s">
        <v>50893</v>
      </c>
      <c r="V9890" t="s">
        <v>54868</v>
      </c>
      <c r="W9890" t="s">
        <v>39982</v>
      </c>
      <c r="X9890" t="s">
        <v>40450</v>
      </c>
    </row>
    <row r="9891" spans="1:24">
      <c r="A9891">
        <f>HYPERLINK("https://www.philgeps.gov.ph/GEPSNONPILOT/Tender/SplashBidNoticeAbstractUI.aspx?menuIndex=3&amp;refID=7031384&amp;Result=3","7031384")</f>
        <v>0</v>
      </c>
      <c r="B9891" t="s">
        <v>2608</v>
      </c>
      <c r="C9891" t="s">
        <v>12520</v>
      </c>
      <c r="D9891" t="s">
        <v>16249</v>
      </c>
      <c r="E9891" t="s">
        <v>24897</v>
      </c>
      <c r="F9891" t="s">
        <v>28198</v>
      </c>
      <c r="G9891" t="s">
        <v>28205</v>
      </c>
      <c r="H9891" t="s">
        <v>28214</v>
      </c>
      <c r="I9891" t="s">
        <v>3797</v>
      </c>
      <c r="J9891" t="s">
        <v>34485</v>
      </c>
      <c r="K9891" t="s">
        <v>36694</v>
      </c>
      <c r="L9891" t="s">
        <v>2608</v>
      </c>
      <c r="M9891" t="s">
        <v>39827</v>
      </c>
      <c r="N9891" t="s">
        <v>40436</v>
      </c>
      <c r="O9891" t="s">
        <v>40437</v>
      </c>
      <c r="P9891">
        <v>0</v>
      </c>
      <c r="Q9891">
        <v>17</v>
      </c>
      <c r="R9891" t="s">
        <v>40449</v>
      </c>
      <c r="S9891" t="s">
        <v>40919</v>
      </c>
      <c r="T9891" t="s">
        <v>42165</v>
      </c>
      <c r="U9891" t="s">
        <v>50894</v>
      </c>
      <c r="W9891" t="s">
        <v>39827</v>
      </c>
      <c r="X9891" t="s">
        <v>40450</v>
      </c>
    </row>
    <row r="9892" spans="1:24">
      <c r="A9892">
        <f>HYPERLINK("https://www.philgeps.gov.ph/GEPSNONPILOT/Tender/SplashBidNoticeAbstractUI.aspx?menuIndex=3&amp;refID=7031550&amp;Result=3","7031550")</f>
        <v>0</v>
      </c>
      <c r="B9892" t="s">
        <v>2038</v>
      </c>
      <c r="C9892" t="s">
        <v>12521</v>
      </c>
      <c r="D9892" t="s">
        <v>16274</v>
      </c>
      <c r="E9892" t="s">
        <v>24898</v>
      </c>
      <c r="F9892" t="s">
        <v>28198</v>
      </c>
      <c r="G9892" t="s">
        <v>28205</v>
      </c>
      <c r="H9892" t="s">
        <v>28214</v>
      </c>
      <c r="I9892" t="s">
        <v>3797</v>
      </c>
      <c r="J9892" t="s">
        <v>34486</v>
      </c>
      <c r="K9892" t="s">
        <v>36755</v>
      </c>
      <c r="M9892" t="s">
        <v>39181</v>
      </c>
      <c r="N9892" t="s">
        <v>40436</v>
      </c>
      <c r="O9892" t="s">
        <v>40437</v>
      </c>
      <c r="P9892">
        <v>0</v>
      </c>
      <c r="Q9892">
        <v>0</v>
      </c>
      <c r="R9892" t="s">
        <v>40449</v>
      </c>
      <c r="S9892" t="s">
        <v>40919</v>
      </c>
      <c r="T9892" t="s">
        <v>42188</v>
      </c>
      <c r="U9892" t="s">
        <v>50895</v>
      </c>
      <c r="V9892" t="s">
        <v>54869</v>
      </c>
      <c r="W9892" t="s">
        <v>39181</v>
      </c>
      <c r="X9892" t="s">
        <v>40450</v>
      </c>
    </row>
    <row r="9893" spans="1:24">
      <c r="A9893">
        <f>HYPERLINK("https://www.philgeps.gov.ph/GEPSNONPILOT/Tender/SplashBidNoticeAbstractUI.aspx?menuIndex=3&amp;refID=7031451&amp;Result=3","7031451")</f>
        <v>0</v>
      </c>
      <c r="B9893" t="s">
        <v>2737</v>
      </c>
      <c r="C9893" t="s">
        <v>12522</v>
      </c>
      <c r="D9893" t="s">
        <v>16209</v>
      </c>
      <c r="E9893" t="s">
        <v>24899</v>
      </c>
      <c r="F9893" t="s">
        <v>28198</v>
      </c>
      <c r="G9893" t="s">
        <v>28205</v>
      </c>
      <c r="H9893" t="s">
        <v>28215</v>
      </c>
      <c r="I9893" t="s">
        <v>28228</v>
      </c>
      <c r="J9893" t="s">
        <v>34487</v>
      </c>
      <c r="K9893" t="s">
        <v>36697</v>
      </c>
      <c r="M9893" t="s">
        <v>39983</v>
      </c>
      <c r="N9893" t="s">
        <v>40436</v>
      </c>
      <c r="O9893" t="s">
        <v>40437</v>
      </c>
      <c r="P9893">
        <v>0</v>
      </c>
      <c r="Q9893">
        <v>0</v>
      </c>
      <c r="R9893" t="s">
        <v>40449</v>
      </c>
      <c r="S9893" t="s">
        <v>40919</v>
      </c>
      <c r="T9893" t="s">
        <v>42183</v>
      </c>
      <c r="U9893" t="s">
        <v>50896</v>
      </c>
      <c r="V9893" t="s">
        <v>54870</v>
      </c>
      <c r="W9893" t="s">
        <v>39983</v>
      </c>
      <c r="X9893" t="s">
        <v>40450</v>
      </c>
    </row>
    <row r="9894" spans="1:24">
      <c r="A9894">
        <f>HYPERLINK("https://www.philgeps.gov.ph/GEPSNONPILOT/Tender/SplashBidNoticeAbstractUI.aspx?menuIndex=3&amp;refID=7031374&amp;Result=3","7031374")</f>
        <v>0</v>
      </c>
      <c r="B9894" t="s">
        <v>54</v>
      </c>
      <c r="C9894" t="s">
        <v>12523</v>
      </c>
      <c r="D9894" t="s">
        <v>16196</v>
      </c>
      <c r="E9894" t="s">
        <v>24900</v>
      </c>
      <c r="F9894" t="s">
        <v>28198</v>
      </c>
      <c r="G9894" t="s">
        <v>28205</v>
      </c>
      <c r="H9894" t="s">
        <v>28215</v>
      </c>
      <c r="I9894" t="s">
        <v>28246</v>
      </c>
      <c r="J9894" t="s">
        <v>34488</v>
      </c>
      <c r="K9894" t="s">
        <v>36728</v>
      </c>
      <c r="M9894" t="s">
        <v>37735</v>
      </c>
      <c r="N9894" t="s">
        <v>40436</v>
      </c>
      <c r="O9894" t="s">
        <v>40437</v>
      </c>
      <c r="P9894">
        <v>0</v>
      </c>
      <c r="Q9894">
        <v>1</v>
      </c>
      <c r="R9894" t="s">
        <v>40449</v>
      </c>
      <c r="S9894" t="s">
        <v>40919</v>
      </c>
      <c r="T9894" t="s">
        <v>42346</v>
      </c>
      <c r="U9894" t="s">
        <v>50897</v>
      </c>
      <c r="W9894" t="s">
        <v>37735</v>
      </c>
      <c r="X9894" t="s">
        <v>40450</v>
      </c>
    </row>
    <row r="9895" spans="1:24">
      <c r="A9895">
        <f>HYPERLINK("https://www.philgeps.gov.ph/GEPSNONPILOT/Tender/SplashBidNoticeAbstractUI.aspx?menuIndex=3&amp;refID=7031527&amp;Result=3","7031527")</f>
        <v>0</v>
      </c>
      <c r="B9895" t="s">
        <v>2026</v>
      </c>
      <c r="C9895" t="s">
        <v>12524</v>
      </c>
      <c r="D9895" t="s">
        <v>16243</v>
      </c>
      <c r="E9895" t="s">
        <v>24901</v>
      </c>
      <c r="F9895" t="s">
        <v>28198</v>
      </c>
      <c r="G9895" t="s">
        <v>28205</v>
      </c>
      <c r="H9895" t="s">
        <v>28214</v>
      </c>
      <c r="I9895" t="s">
        <v>3797</v>
      </c>
      <c r="J9895" t="s">
        <v>34489</v>
      </c>
      <c r="K9895" t="s">
        <v>36742</v>
      </c>
      <c r="M9895" t="s">
        <v>39167</v>
      </c>
      <c r="N9895" t="s">
        <v>40436</v>
      </c>
      <c r="O9895" t="s">
        <v>40437</v>
      </c>
      <c r="P9895">
        <v>0</v>
      </c>
      <c r="Q9895">
        <v>0</v>
      </c>
      <c r="R9895" t="s">
        <v>40449</v>
      </c>
      <c r="S9895" t="s">
        <v>40919</v>
      </c>
      <c r="T9895" t="s">
        <v>42511</v>
      </c>
      <c r="U9895" t="s">
        <v>50898</v>
      </c>
      <c r="W9895" t="s">
        <v>39167</v>
      </c>
      <c r="X9895" t="s">
        <v>40450</v>
      </c>
    </row>
    <row r="9896" spans="1:24">
      <c r="A9896">
        <f>HYPERLINK("https://www.philgeps.gov.ph/GEPSNONPILOT/Tender/SplashBidNoticeAbstractUI.aspx?menuIndex=3&amp;refID=7031515&amp;Result=3","7031515")</f>
        <v>0</v>
      </c>
      <c r="B9896" t="s">
        <v>2737</v>
      </c>
      <c r="C9896" t="s">
        <v>12525</v>
      </c>
      <c r="D9896" t="s">
        <v>16209</v>
      </c>
      <c r="E9896" t="s">
        <v>24902</v>
      </c>
      <c r="F9896" t="s">
        <v>28198</v>
      </c>
      <c r="G9896" t="s">
        <v>28205</v>
      </c>
      <c r="H9896" t="s">
        <v>28215</v>
      </c>
      <c r="I9896" t="s">
        <v>28228</v>
      </c>
      <c r="J9896" t="s">
        <v>34490</v>
      </c>
      <c r="K9896" t="s">
        <v>36697</v>
      </c>
      <c r="M9896" t="s">
        <v>39983</v>
      </c>
      <c r="N9896" t="s">
        <v>40436</v>
      </c>
      <c r="O9896" t="s">
        <v>40437</v>
      </c>
      <c r="P9896">
        <v>0</v>
      </c>
      <c r="Q9896">
        <v>0</v>
      </c>
      <c r="R9896" t="s">
        <v>40449</v>
      </c>
      <c r="S9896" t="s">
        <v>40919</v>
      </c>
      <c r="T9896" t="s">
        <v>42183</v>
      </c>
      <c r="U9896" t="s">
        <v>50899</v>
      </c>
      <c r="V9896" t="s">
        <v>54870</v>
      </c>
      <c r="W9896" t="s">
        <v>39983</v>
      </c>
      <c r="X9896" t="s">
        <v>40450</v>
      </c>
    </row>
    <row r="9897" spans="1:24">
      <c r="A9897">
        <f>HYPERLINK("https://www.philgeps.gov.ph/GEPSNONPILOT/Tender/SplashBidNoticeAbstractUI.aspx?menuIndex=3&amp;refID=7031385&amp;Result=3","7031385")</f>
        <v>0</v>
      </c>
      <c r="B9897" t="s">
        <v>596</v>
      </c>
      <c r="C9897" t="s">
        <v>12526</v>
      </c>
      <c r="D9897" t="s">
        <v>16223</v>
      </c>
      <c r="E9897" t="s">
        <v>24903</v>
      </c>
      <c r="F9897" t="s">
        <v>28198</v>
      </c>
      <c r="G9897" t="s">
        <v>28205</v>
      </c>
      <c r="H9897" t="s">
        <v>28215</v>
      </c>
      <c r="I9897" t="s">
        <v>28247</v>
      </c>
      <c r="J9897" t="s">
        <v>34491</v>
      </c>
      <c r="K9897" t="s">
        <v>36701</v>
      </c>
      <c r="M9897" t="s">
        <v>37585</v>
      </c>
      <c r="N9897" t="s">
        <v>40436</v>
      </c>
      <c r="O9897" t="s">
        <v>40437</v>
      </c>
      <c r="P9897">
        <v>0</v>
      </c>
      <c r="Q9897">
        <v>13</v>
      </c>
      <c r="R9897" t="s">
        <v>40449</v>
      </c>
      <c r="S9897" t="s">
        <v>40919</v>
      </c>
      <c r="T9897" t="s">
        <v>42183</v>
      </c>
      <c r="U9897" t="s">
        <v>43680</v>
      </c>
      <c r="W9897" t="s">
        <v>37585</v>
      </c>
      <c r="X9897" t="s">
        <v>40450</v>
      </c>
    </row>
    <row r="9898" spans="1:24">
      <c r="A9898">
        <f>HYPERLINK("https://www.philgeps.gov.ph/GEPSNONPILOT/Tender/SplashBidNoticeAbstractUI.aspx?menuIndex=3&amp;refID=7031406&amp;Result=3","7031406")</f>
        <v>0</v>
      </c>
      <c r="B9898" t="s">
        <v>2716</v>
      </c>
      <c r="C9898" t="s">
        <v>12527</v>
      </c>
      <c r="D9898" t="s">
        <v>16202</v>
      </c>
      <c r="E9898" t="s">
        <v>24904</v>
      </c>
      <c r="F9898" t="s">
        <v>28198</v>
      </c>
      <c r="G9898" t="s">
        <v>28205</v>
      </c>
      <c r="H9898" t="s">
        <v>28215</v>
      </c>
      <c r="I9898" t="s">
        <v>5100</v>
      </c>
      <c r="J9898" t="s">
        <v>34492</v>
      </c>
      <c r="K9898" t="s">
        <v>36701</v>
      </c>
      <c r="M9898" t="s">
        <v>39959</v>
      </c>
      <c r="N9898" t="s">
        <v>40436</v>
      </c>
      <c r="O9898" t="s">
        <v>40437</v>
      </c>
      <c r="P9898">
        <v>0</v>
      </c>
      <c r="Q9898">
        <v>0</v>
      </c>
      <c r="R9898" t="s">
        <v>40449</v>
      </c>
      <c r="S9898" t="s">
        <v>40919</v>
      </c>
      <c r="T9898" t="s">
        <v>42243</v>
      </c>
      <c r="U9898" t="s">
        <v>50900</v>
      </c>
      <c r="W9898" t="s">
        <v>39959</v>
      </c>
      <c r="X9898" t="s">
        <v>40450</v>
      </c>
    </row>
    <row r="9899" spans="1:24">
      <c r="A9899">
        <f>HYPERLINK("https://www.philgeps.gov.ph/GEPSNONPILOT/Tender/SplashBidNoticeAbstractUI.aspx?menuIndex=3&amp;refID=7031502&amp;Result=3","7031502")</f>
        <v>0</v>
      </c>
      <c r="B9899" t="s">
        <v>2710</v>
      </c>
      <c r="C9899" t="s">
        <v>12528</v>
      </c>
      <c r="D9899" t="s">
        <v>16223</v>
      </c>
      <c r="E9899" t="s">
        <v>18331</v>
      </c>
      <c r="F9899" t="s">
        <v>28198</v>
      </c>
      <c r="G9899" t="s">
        <v>28205</v>
      </c>
      <c r="H9899" t="s">
        <v>28215</v>
      </c>
      <c r="I9899" t="s">
        <v>5100</v>
      </c>
      <c r="J9899" t="s">
        <v>34493</v>
      </c>
      <c r="K9899" t="s">
        <v>36701</v>
      </c>
      <c r="M9899" t="s">
        <v>39952</v>
      </c>
      <c r="N9899" t="s">
        <v>40436</v>
      </c>
      <c r="O9899" t="s">
        <v>40437</v>
      </c>
      <c r="P9899">
        <v>0</v>
      </c>
      <c r="Q9899">
        <v>0</v>
      </c>
      <c r="R9899" t="s">
        <v>40449</v>
      </c>
      <c r="S9899" t="s">
        <v>40919</v>
      </c>
      <c r="T9899" t="s">
        <v>42229</v>
      </c>
      <c r="U9899" t="s">
        <v>50901</v>
      </c>
      <c r="W9899" t="s">
        <v>39952</v>
      </c>
      <c r="X9899" t="s">
        <v>40450</v>
      </c>
    </row>
    <row r="9900" spans="1:24">
      <c r="A9900">
        <f>HYPERLINK("https://www.philgeps.gov.ph/GEPSNONPILOT/Tender/SplashBidNoticeAbstractUI.aspx?menuIndex=3&amp;refID=7031566&amp;Result=3","7031566")</f>
        <v>0</v>
      </c>
      <c r="B9900" t="s">
        <v>2732</v>
      </c>
      <c r="C9900" t="s">
        <v>12529</v>
      </c>
      <c r="D9900" t="s">
        <v>16210</v>
      </c>
      <c r="E9900" t="s">
        <v>12529</v>
      </c>
      <c r="F9900" t="s">
        <v>28198</v>
      </c>
      <c r="G9900" t="s">
        <v>28205</v>
      </c>
      <c r="H9900" t="s">
        <v>28215</v>
      </c>
      <c r="I9900" t="s">
        <v>28247</v>
      </c>
      <c r="J9900" t="s">
        <v>28921</v>
      </c>
      <c r="K9900" t="s">
        <v>36701</v>
      </c>
      <c r="M9900" t="s">
        <v>39978</v>
      </c>
      <c r="N9900" t="s">
        <v>40436</v>
      </c>
      <c r="O9900" t="s">
        <v>40437</v>
      </c>
      <c r="P9900">
        <v>0</v>
      </c>
      <c r="Q9900">
        <v>6</v>
      </c>
      <c r="R9900" t="s">
        <v>40449</v>
      </c>
      <c r="S9900" t="s">
        <v>40919</v>
      </c>
      <c r="T9900" t="s">
        <v>42129</v>
      </c>
      <c r="U9900" t="s">
        <v>48100</v>
      </c>
      <c r="W9900" t="s">
        <v>39978</v>
      </c>
      <c r="X9900" t="s">
        <v>40450</v>
      </c>
    </row>
    <row r="9901" spans="1:24">
      <c r="A9901">
        <f>HYPERLINK("https://www.philgeps.gov.ph/GEPSNONPILOT/Tender/SplashBidNoticeAbstractUI.aspx?menuIndex=3&amp;refID=7031570&amp;Result=3","7031570")</f>
        <v>0</v>
      </c>
      <c r="B9901" t="s">
        <v>2716</v>
      </c>
      <c r="C9901" t="s">
        <v>12530</v>
      </c>
      <c r="D9901" t="s">
        <v>16202</v>
      </c>
      <c r="E9901" t="s">
        <v>24905</v>
      </c>
      <c r="F9901" t="s">
        <v>28198</v>
      </c>
      <c r="G9901" t="s">
        <v>28205</v>
      </c>
      <c r="H9901" t="s">
        <v>28214</v>
      </c>
      <c r="I9901" t="s">
        <v>3797</v>
      </c>
      <c r="J9901" t="s">
        <v>34494</v>
      </c>
      <c r="K9901" t="s">
        <v>36709</v>
      </c>
      <c r="M9901" t="s">
        <v>39959</v>
      </c>
      <c r="N9901" t="s">
        <v>40436</v>
      </c>
      <c r="O9901" t="s">
        <v>40437</v>
      </c>
      <c r="P9901">
        <v>0</v>
      </c>
      <c r="Q9901">
        <v>0</v>
      </c>
      <c r="R9901" t="s">
        <v>40449</v>
      </c>
      <c r="S9901" t="s">
        <v>40919</v>
      </c>
      <c r="T9901" t="s">
        <v>42243</v>
      </c>
      <c r="U9901" t="s">
        <v>50800</v>
      </c>
      <c r="W9901" t="s">
        <v>39959</v>
      </c>
      <c r="X9901" t="s">
        <v>40450</v>
      </c>
    </row>
    <row r="9902" spans="1:24">
      <c r="A9902">
        <f>HYPERLINK("https://www.philgeps.gov.ph/GEPSNONPILOT/Tender/SplashBidNoticeAbstractUI.aspx?menuIndex=3&amp;refID=7031407&amp;Result=3","7031407")</f>
        <v>0</v>
      </c>
      <c r="B9902" t="s">
        <v>2738</v>
      </c>
      <c r="C9902" t="s">
        <v>12531</v>
      </c>
      <c r="D9902" t="s">
        <v>16260</v>
      </c>
      <c r="E9902" t="s">
        <v>24906</v>
      </c>
      <c r="F9902" t="s">
        <v>28198</v>
      </c>
      <c r="G9902" t="s">
        <v>28205</v>
      </c>
      <c r="H9902" t="s">
        <v>28215</v>
      </c>
      <c r="I9902" t="s">
        <v>28222</v>
      </c>
      <c r="J9902" t="s">
        <v>34495</v>
      </c>
      <c r="K9902" t="s">
        <v>36692</v>
      </c>
      <c r="M9902" t="s">
        <v>39984</v>
      </c>
      <c r="N9902" t="s">
        <v>40436</v>
      </c>
      <c r="O9902" t="s">
        <v>40437</v>
      </c>
      <c r="P9902">
        <v>0</v>
      </c>
      <c r="Q9902">
        <v>16</v>
      </c>
      <c r="R9902" t="s">
        <v>40449</v>
      </c>
      <c r="S9902" t="s">
        <v>40919</v>
      </c>
      <c r="T9902" t="s">
        <v>42279</v>
      </c>
      <c r="U9902" t="s">
        <v>50902</v>
      </c>
      <c r="V9902" t="s">
        <v>54871</v>
      </c>
      <c r="W9902" t="s">
        <v>55531</v>
      </c>
      <c r="X9902" t="s">
        <v>40450</v>
      </c>
    </row>
    <row r="9903" spans="1:24">
      <c r="A9903">
        <f>HYPERLINK("https://www.philgeps.gov.ph/GEPSNONPILOT/Tender/SplashBidNoticeAbstractUI.aspx?menuIndex=3&amp;refID=7031583&amp;Result=3","7031583")</f>
        <v>0</v>
      </c>
      <c r="B9903" t="s">
        <v>445</v>
      </c>
      <c r="C9903" t="s">
        <v>12532</v>
      </c>
      <c r="D9903" t="s">
        <v>16202</v>
      </c>
      <c r="E9903" t="s">
        <v>24907</v>
      </c>
      <c r="F9903" t="s">
        <v>28198</v>
      </c>
      <c r="G9903" t="s">
        <v>28205</v>
      </c>
      <c r="H9903" t="s">
        <v>28215</v>
      </c>
      <c r="I9903" t="s">
        <v>28234</v>
      </c>
      <c r="J9903" t="s">
        <v>34496</v>
      </c>
      <c r="K9903" t="s">
        <v>36697</v>
      </c>
      <c r="M9903" t="s">
        <v>37429</v>
      </c>
      <c r="N9903" t="s">
        <v>40436</v>
      </c>
      <c r="O9903" t="s">
        <v>40437</v>
      </c>
      <c r="Q9903">
        <v>10</v>
      </c>
      <c r="R9903" t="s">
        <v>40449</v>
      </c>
      <c r="S9903" t="s">
        <v>40938</v>
      </c>
      <c r="T9903" t="s">
        <v>42278</v>
      </c>
      <c r="U9903" t="s">
        <v>43410</v>
      </c>
      <c r="W9903" t="s">
        <v>37429</v>
      </c>
      <c r="X9903" t="s">
        <v>40450</v>
      </c>
    </row>
    <row r="9904" spans="1:24">
      <c r="A9904">
        <f>HYPERLINK("https://www.philgeps.gov.ph/GEPSNONPILOT/Tender/SplashBidNoticeAbstractUI.aspx?menuIndex=3&amp;refID=7031471&amp;Result=3","7031471")</f>
        <v>0</v>
      </c>
      <c r="B9904" t="s">
        <v>376</v>
      </c>
      <c r="C9904" t="s">
        <v>12533</v>
      </c>
      <c r="D9904" t="s">
        <v>16255</v>
      </c>
      <c r="E9904" t="s">
        <v>24908</v>
      </c>
      <c r="F9904" t="s">
        <v>28198</v>
      </c>
      <c r="G9904" t="s">
        <v>28205</v>
      </c>
      <c r="H9904" t="s">
        <v>28214</v>
      </c>
      <c r="I9904" t="s">
        <v>3797</v>
      </c>
      <c r="J9904" t="s">
        <v>32342</v>
      </c>
      <c r="K9904" t="s">
        <v>36717</v>
      </c>
      <c r="M9904" t="s">
        <v>37356</v>
      </c>
      <c r="N9904" t="s">
        <v>40436</v>
      </c>
      <c r="O9904" t="s">
        <v>40437</v>
      </c>
      <c r="P9904">
        <v>0</v>
      </c>
      <c r="Q9904">
        <v>2</v>
      </c>
      <c r="R9904" t="s">
        <v>40449</v>
      </c>
      <c r="S9904" t="s">
        <v>40919</v>
      </c>
      <c r="T9904" t="s">
        <v>42279</v>
      </c>
      <c r="U9904" t="s">
        <v>50903</v>
      </c>
      <c r="V9904" t="s">
        <v>54872</v>
      </c>
      <c r="W9904" t="s">
        <v>37356</v>
      </c>
      <c r="X9904" t="s">
        <v>40450</v>
      </c>
    </row>
    <row r="9905" spans="1:24">
      <c r="A9905">
        <f>HYPERLINK("https://www.philgeps.gov.ph/GEPSNONPILOT/Tender/SplashBidNoticeAbstractUI.aspx?menuIndex=3&amp;refID=7031480&amp;Result=3","7031480")</f>
        <v>0</v>
      </c>
      <c r="B9905" t="s">
        <v>1756</v>
      </c>
      <c r="C9905" t="s">
        <v>12534</v>
      </c>
      <c r="D9905" t="s">
        <v>16253</v>
      </c>
      <c r="E9905" t="s">
        <v>24909</v>
      </c>
      <c r="F9905" t="s">
        <v>28198</v>
      </c>
      <c r="G9905" t="s">
        <v>28207</v>
      </c>
      <c r="H9905" t="s">
        <v>28216</v>
      </c>
      <c r="I9905" t="s">
        <v>28216</v>
      </c>
      <c r="J9905" t="s">
        <v>28645</v>
      </c>
      <c r="K9905" t="s">
        <v>36694</v>
      </c>
      <c r="M9905" t="s">
        <v>38869</v>
      </c>
      <c r="N9905" t="s">
        <v>40436</v>
      </c>
      <c r="O9905" t="s">
        <v>40437</v>
      </c>
      <c r="P9905">
        <v>0</v>
      </c>
      <c r="Q9905">
        <v>0</v>
      </c>
      <c r="R9905" t="s">
        <v>40449</v>
      </c>
      <c r="S9905" t="s">
        <v>40919</v>
      </c>
      <c r="T9905" t="s">
        <v>42103</v>
      </c>
      <c r="U9905" t="s">
        <v>50904</v>
      </c>
      <c r="W9905" t="s">
        <v>38869</v>
      </c>
      <c r="X9905" t="s">
        <v>40450</v>
      </c>
    </row>
    <row r="9906" spans="1:24">
      <c r="A9906">
        <f>HYPERLINK("https://www.philgeps.gov.ph/GEPSNONPILOT/Tender/SplashBidNoticeAbstractUI.aspx?menuIndex=3&amp;refID=7031609&amp;Result=3","7031609")</f>
        <v>0</v>
      </c>
      <c r="B9906" t="s">
        <v>2324</v>
      </c>
      <c r="C9906" t="s">
        <v>12535</v>
      </c>
      <c r="D9906" t="s">
        <v>16187</v>
      </c>
      <c r="E9906" t="s">
        <v>24910</v>
      </c>
      <c r="F9906" t="s">
        <v>28198</v>
      </c>
      <c r="G9906" t="s">
        <v>28205</v>
      </c>
      <c r="H9906" t="s">
        <v>28217</v>
      </c>
      <c r="I9906" t="s">
        <v>28231</v>
      </c>
      <c r="J9906" t="s">
        <v>34497</v>
      </c>
      <c r="K9906" t="s">
        <v>36765</v>
      </c>
      <c r="M9906" t="s">
        <v>39502</v>
      </c>
      <c r="N9906" t="s">
        <v>40436</v>
      </c>
      <c r="O9906" t="s">
        <v>40437</v>
      </c>
      <c r="P9906">
        <v>0</v>
      </c>
      <c r="Q9906">
        <v>1</v>
      </c>
      <c r="R9906" t="s">
        <v>40449</v>
      </c>
      <c r="S9906" t="s">
        <v>40919</v>
      </c>
      <c r="T9906" t="s">
        <v>42188</v>
      </c>
      <c r="U9906" t="s">
        <v>50905</v>
      </c>
      <c r="W9906" t="s">
        <v>39502</v>
      </c>
      <c r="X9906" t="s">
        <v>40450</v>
      </c>
    </row>
    <row r="9907" spans="1:24">
      <c r="A9907">
        <f>HYPERLINK("https://www.philgeps.gov.ph/GEPSNONPILOT/Tender/SplashBidNoticeAbstractUI.aspx?menuIndex=3&amp;refID=7031595&amp;Result=3","7031595")</f>
        <v>0</v>
      </c>
      <c r="B9907" t="s">
        <v>2038</v>
      </c>
      <c r="C9907" t="s">
        <v>12536</v>
      </c>
      <c r="D9907" t="s">
        <v>16274</v>
      </c>
      <c r="E9907" t="s">
        <v>24911</v>
      </c>
      <c r="F9907" t="s">
        <v>28198</v>
      </c>
      <c r="G9907" t="s">
        <v>28205</v>
      </c>
      <c r="H9907" t="s">
        <v>28214</v>
      </c>
      <c r="I9907" t="s">
        <v>3797</v>
      </c>
      <c r="J9907" t="s">
        <v>34498</v>
      </c>
      <c r="K9907" t="s">
        <v>36755</v>
      </c>
      <c r="M9907" t="s">
        <v>39181</v>
      </c>
      <c r="N9907" t="s">
        <v>40436</v>
      </c>
      <c r="O9907" t="s">
        <v>40437</v>
      </c>
      <c r="P9907">
        <v>0</v>
      </c>
      <c r="Q9907">
        <v>0</v>
      </c>
      <c r="R9907" t="s">
        <v>40449</v>
      </c>
      <c r="S9907" t="s">
        <v>40919</v>
      </c>
      <c r="T9907" t="s">
        <v>42188</v>
      </c>
      <c r="U9907" t="s">
        <v>50906</v>
      </c>
      <c r="V9907" t="s">
        <v>54873</v>
      </c>
      <c r="W9907" t="s">
        <v>39181</v>
      </c>
      <c r="X9907" t="s">
        <v>40450</v>
      </c>
    </row>
    <row r="9908" spans="1:24">
      <c r="A9908">
        <f>HYPERLINK("https://www.philgeps.gov.ph/GEPSNONPILOT/Tender/SplashBidNoticeAbstractUI.aspx?menuIndex=3&amp;refID=7031581&amp;Result=3","7031581")</f>
        <v>0</v>
      </c>
      <c r="B9908" t="s">
        <v>2055</v>
      </c>
      <c r="C9908" t="s">
        <v>12537</v>
      </c>
      <c r="D9908" t="s">
        <v>16194</v>
      </c>
      <c r="E9908" t="s">
        <v>24912</v>
      </c>
      <c r="F9908" t="s">
        <v>28198</v>
      </c>
      <c r="G9908" t="s">
        <v>28205</v>
      </c>
      <c r="H9908" t="s">
        <v>28215</v>
      </c>
      <c r="I9908" t="s">
        <v>28259</v>
      </c>
      <c r="J9908" t="s">
        <v>34499</v>
      </c>
      <c r="K9908" t="s">
        <v>36701</v>
      </c>
      <c r="M9908" t="s">
        <v>39201</v>
      </c>
      <c r="N9908" t="s">
        <v>40436</v>
      </c>
      <c r="O9908" t="s">
        <v>40437</v>
      </c>
      <c r="P9908">
        <v>0</v>
      </c>
      <c r="Q9908">
        <v>7</v>
      </c>
      <c r="R9908" t="s">
        <v>40449</v>
      </c>
      <c r="S9908" t="s">
        <v>40919</v>
      </c>
      <c r="T9908" t="s">
        <v>42279</v>
      </c>
      <c r="U9908" t="s">
        <v>50907</v>
      </c>
      <c r="W9908" t="s">
        <v>39201</v>
      </c>
      <c r="X9908" t="s">
        <v>40450</v>
      </c>
    </row>
    <row r="9909" spans="1:24">
      <c r="A9909">
        <f>HYPERLINK("https://www.philgeps.gov.ph/GEPSNONPILOT/Tender/SplashBidNoticeAbstractUI.aspx?menuIndex=3&amp;refID=7031591&amp;Result=3","7031591")</f>
        <v>0</v>
      </c>
      <c r="B9909" t="s">
        <v>2732</v>
      </c>
      <c r="C9909" t="s">
        <v>12538</v>
      </c>
      <c r="D9909" t="s">
        <v>16210</v>
      </c>
      <c r="E9909" t="s">
        <v>12538</v>
      </c>
      <c r="F9909" t="s">
        <v>28198</v>
      </c>
      <c r="G9909" t="s">
        <v>28205</v>
      </c>
      <c r="H9909" t="s">
        <v>28215</v>
      </c>
      <c r="I9909" t="s">
        <v>28247</v>
      </c>
      <c r="J9909" t="s">
        <v>34500</v>
      </c>
      <c r="K9909" t="s">
        <v>36701</v>
      </c>
      <c r="M9909" t="s">
        <v>39978</v>
      </c>
      <c r="N9909" t="s">
        <v>40436</v>
      </c>
      <c r="O9909" t="s">
        <v>40437</v>
      </c>
      <c r="P9909">
        <v>0</v>
      </c>
      <c r="Q9909">
        <v>5</v>
      </c>
      <c r="R9909" t="s">
        <v>40449</v>
      </c>
      <c r="S9909" t="s">
        <v>40919</v>
      </c>
      <c r="T9909" t="s">
        <v>42129</v>
      </c>
      <c r="U9909" t="s">
        <v>48100</v>
      </c>
      <c r="W9909" t="s">
        <v>39978</v>
      </c>
      <c r="X9909" t="s">
        <v>40450</v>
      </c>
    </row>
    <row r="9910" spans="1:24">
      <c r="A9910">
        <f>HYPERLINK("https://www.philgeps.gov.ph/GEPSNONPILOT/Tender/SplashBidNoticeAbstractUI.aspx?menuIndex=3&amp;refID=7031593&amp;Result=3","7031593")</f>
        <v>0</v>
      </c>
      <c r="B9910" t="s">
        <v>2739</v>
      </c>
      <c r="C9910" t="s">
        <v>12539</v>
      </c>
      <c r="D9910" t="s">
        <v>16216</v>
      </c>
      <c r="E9910" t="s">
        <v>24913</v>
      </c>
      <c r="F9910" t="s">
        <v>28198</v>
      </c>
      <c r="G9910" t="s">
        <v>28205</v>
      </c>
      <c r="H9910" t="s">
        <v>28215</v>
      </c>
      <c r="I9910" t="s">
        <v>28222</v>
      </c>
      <c r="J9910" t="s">
        <v>29316</v>
      </c>
      <c r="K9910" t="s">
        <v>36696</v>
      </c>
      <c r="M9910" t="s">
        <v>39985</v>
      </c>
      <c r="N9910" t="s">
        <v>40436</v>
      </c>
      <c r="O9910" t="s">
        <v>40437</v>
      </c>
      <c r="P9910">
        <v>0</v>
      </c>
      <c r="Q9910">
        <v>8</v>
      </c>
      <c r="R9910" t="s">
        <v>40449</v>
      </c>
      <c r="S9910" t="s">
        <v>40919</v>
      </c>
      <c r="T9910" t="s">
        <v>42287</v>
      </c>
      <c r="U9910" t="s">
        <v>50908</v>
      </c>
      <c r="W9910" t="s">
        <v>39985</v>
      </c>
      <c r="X9910" t="s">
        <v>40450</v>
      </c>
    </row>
    <row r="9911" spans="1:24">
      <c r="A9911">
        <f>HYPERLINK("https://www.philgeps.gov.ph/GEPSNONPILOT/Tender/SplashBidNoticeAbstractUI.aspx?menuIndex=3&amp;refID=7031611&amp;Result=3","7031611")</f>
        <v>0</v>
      </c>
      <c r="B9911" t="s">
        <v>2026</v>
      </c>
      <c r="C9911" t="s">
        <v>12540</v>
      </c>
      <c r="D9911" t="s">
        <v>16243</v>
      </c>
      <c r="E9911" t="s">
        <v>24914</v>
      </c>
      <c r="F9911" t="s">
        <v>28198</v>
      </c>
      <c r="G9911" t="s">
        <v>28205</v>
      </c>
      <c r="H9911" t="s">
        <v>28214</v>
      </c>
      <c r="I9911" t="s">
        <v>3797</v>
      </c>
      <c r="J9911" t="s">
        <v>34501</v>
      </c>
      <c r="K9911" t="s">
        <v>36742</v>
      </c>
      <c r="M9911" t="s">
        <v>39167</v>
      </c>
      <c r="N9911" t="s">
        <v>40436</v>
      </c>
      <c r="O9911" t="s">
        <v>40437</v>
      </c>
      <c r="P9911">
        <v>0</v>
      </c>
      <c r="Q9911">
        <v>0</v>
      </c>
      <c r="R9911" t="s">
        <v>40449</v>
      </c>
      <c r="S9911" t="s">
        <v>40919</v>
      </c>
      <c r="T9911" t="s">
        <v>42511</v>
      </c>
      <c r="U9911" t="s">
        <v>50909</v>
      </c>
      <c r="W9911" t="s">
        <v>39167</v>
      </c>
      <c r="X9911" t="s">
        <v>40450</v>
      </c>
    </row>
    <row r="9912" spans="1:24">
      <c r="A9912">
        <f>HYPERLINK("https://www.philgeps.gov.ph/GEPSNONPILOT/Tender/SplashBidNoticeAbstractUI.aspx?menuIndex=3&amp;refID=7031597&amp;Result=3","7031597")</f>
        <v>0</v>
      </c>
      <c r="B9912" t="s">
        <v>445</v>
      </c>
      <c r="C9912" t="s">
        <v>12541</v>
      </c>
      <c r="D9912" t="s">
        <v>16202</v>
      </c>
      <c r="E9912" t="s">
        <v>24907</v>
      </c>
      <c r="F9912" t="s">
        <v>28198</v>
      </c>
      <c r="G9912" t="s">
        <v>28205</v>
      </c>
      <c r="H9912" t="s">
        <v>28215</v>
      </c>
      <c r="I9912" t="s">
        <v>28234</v>
      </c>
      <c r="J9912" t="s">
        <v>34502</v>
      </c>
      <c r="K9912" t="s">
        <v>36697</v>
      </c>
      <c r="M9912" t="s">
        <v>37429</v>
      </c>
      <c r="N9912" t="s">
        <v>40436</v>
      </c>
      <c r="O9912" t="s">
        <v>40437</v>
      </c>
      <c r="P9912">
        <v>0</v>
      </c>
      <c r="Q9912">
        <v>7</v>
      </c>
      <c r="R9912" t="s">
        <v>40449</v>
      </c>
      <c r="S9912" t="s">
        <v>40919</v>
      </c>
      <c r="T9912" t="s">
        <v>42234</v>
      </c>
      <c r="U9912" t="s">
        <v>43410</v>
      </c>
      <c r="W9912" t="s">
        <v>37429</v>
      </c>
      <c r="X9912" t="s">
        <v>40450</v>
      </c>
    </row>
    <row r="9913" spans="1:24">
      <c r="A9913">
        <f>HYPERLINK("https://www.philgeps.gov.ph/GEPSNONPILOT/Tender/SplashBidNoticeAbstractUI.aspx?menuIndex=3&amp;refID=7031636&amp;Result=3","7031636")</f>
        <v>0</v>
      </c>
      <c r="B9913" t="s">
        <v>335</v>
      </c>
      <c r="C9913" t="s">
        <v>12542</v>
      </c>
      <c r="D9913" t="s">
        <v>16221</v>
      </c>
      <c r="E9913" t="s">
        <v>24915</v>
      </c>
      <c r="F9913" t="s">
        <v>28198</v>
      </c>
      <c r="G9913" t="s">
        <v>28205</v>
      </c>
      <c r="H9913" t="s">
        <v>28217</v>
      </c>
      <c r="I9913" t="s">
        <v>3422</v>
      </c>
      <c r="J9913" t="s">
        <v>34503</v>
      </c>
      <c r="K9913" t="s">
        <v>36705</v>
      </c>
      <c r="M9913" t="s">
        <v>37313</v>
      </c>
      <c r="N9913" t="s">
        <v>40436</v>
      </c>
      <c r="O9913" t="s">
        <v>40437</v>
      </c>
      <c r="P9913">
        <v>0</v>
      </c>
      <c r="Q9913">
        <v>1</v>
      </c>
      <c r="R9913" t="s">
        <v>40449</v>
      </c>
      <c r="S9913" t="s">
        <v>40919</v>
      </c>
      <c r="T9913" t="s">
        <v>42121</v>
      </c>
      <c r="U9913" t="s">
        <v>50910</v>
      </c>
      <c r="W9913" t="s">
        <v>55444</v>
      </c>
      <c r="X9913" t="s">
        <v>40450</v>
      </c>
    </row>
    <row r="9914" spans="1:24">
      <c r="A9914">
        <f>HYPERLINK("https://www.philgeps.gov.ph/GEPSNONPILOT/Tender/SplashBidNoticeAbstractUI.aspx?menuIndex=3&amp;refID=7031615&amp;Result=3","7031615")</f>
        <v>0</v>
      </c>
      <c r="B9914" t="s">
        <v>2710</v>
      </c>
      <c r="C9914" t="s">
        <v>12543</v>
      </c>
      <c r="D9914" t="s">
        <v>16223</v>
      </c>
      <c r="E9914" t="s">
        <v>18457</v>
      </c>
      <c r="F9914" t="s">
        <v>28198</v>
      </c>
      <c r="G9914" t="s">
        <v>28205</v>
      </c>
      <c r="H9914" t="s">
        <v>28215</v>
      </c>
      <c r="I9914" t="s">
        <v>5100</v>
      </c>
      <c r="J9914" t="s">
        <v>34504</v>
      </c>
      <c r="K9914" t="s">
        <v>36701</v>
      </c>
      <c r="M9914" t="s">
        <v>39952</v>
      </c>
      <c r="N9914" t="s">
        <v>40436</v>
      </c>
      <c r="O9914" t="s">
        <v>40437</v>
      </c>
      <c r="P9914">
        <v>0</v>
      </c>
      <c r="Q9914">
        <v>0</v>
      </c>
      <c r="R9914" t="s">
        <v>40449</v>
      </c>
      <c r="S9914" t="s">
        <v>40919</v>
      </c>
      <c r="T9914" t="s">
        <v>42229</v>
      </c>
      <c r="U9914" t="s">
        <v>50911</v>
      </c>
      <c r="W9914" t="s">
        <v>39952</v>
      </c>
      <c r="X9914" t="s">
        <v>40450</v>
      </c>
    </row>
    <row r="9915" spans="1:24">
      <c r="A9915">
        <f>HYPERLINK("https://www.philgeps.gov.ph/GEPSNONPILOT/Tender/SplashBidNoticeAbstractUI.aspx?menuIndex=3&amp;refID=7031584&amp;Result=3","7031584")</f>
        <v>0</v>
      </c>
      <c r="B9915" t="s">
        <v>2732</v>
      </c>
      <c r="C9915" t="s">
        <v>12544</v>
      </c>
      <c r="D9915" t="s">
        <v>16210</v>
      </c>
      <c r="E9915" t="s">
        <v>12544</v>
      </c>
      <c r="F9915" t="s">
        <v>28198</v>
      </c>
      <c r="G9915" t="s">
        <v>28205</v>
      </c>
      <c r="H9915" t="s">
        <v>28215</v>
      </c>
      <c r="I9915" t="s">
        <v>28247</v>
      </c>
      <c r="J9915" t="s">
        <v>34505</v>
      </c>
      <c r="K9915" t="s">
        <v>36701</v>
      </c>
      <c r="M9915" t="s">
        <v>39978</v>
      </c>
      <c r="N9915" t="s">
        <v>40436</v>
      </c>
      <c r="O9915" t="s">
        <v>40437</v>
      </c>
      <c r="P9915">
        <v>0</v>
      </c>
      <c r="Q9915">
        <v>3</v>
      </c>
      <c r="R9915" t="s">
        <v>40449</v>
      </c>
      <c r="S9915" t="s">
        <v>40919</v>
      </c>
      <c r="T9915" t="s">
        <v>42129</v>
      </c>
      <c r="U9915" t="s">
        <v>48100</v>
      </c>
      <c r="W9915" t="s">
        <v>39978</v>
      </c>
      <c r="X9915" t="s">
        <v>40450</v>
      </c>
    </row>
    <row r="9916" spans="1:24">
      <c r="A9916">
        <f>HYPERLINK("https://www.philgeps.gov.ph/GEPSNONPILOT/Tender/SplashBidNoticeAbstractUI.aspx?menuIndex=3&amp;refID=7031623&amp;Result=3","7031623")</f>
        <v>0</v>
      </c>
      <c r="B9916" t="s">
        <v>2740</v>
      </c>
      <c r="C9916" t="s">
        <v>12545</v>
      </c>
      <c r="E9916" t="s">
        <v>17248</v>
      </c>
      <c r="F9916" t="s">
        <v>28198</v>
      </c>
      <c r="G9916" t="s">
        <v>28205</v>
      </c>
      <c r="H9916" t="s">
        <v>28214</v>
      </c>
      <c r="I9916" t="s">
        <v>3797</v>
      </c>
      <c r="J9916" t="s">
        <v>34506</v>
      </c>
      <c r="K9916" t="s">
        <v>36689</v>
      </c>
      <c r="M9916" t="s">
        <v>39986</v>
      </c>
      <c r="N9916" t="s">
        <v>40436</v>
      </c>
      <c r="O9916" t="s">
        <v>40437</v>
      </c>
      <c r="P9916">
        <v>0</v>
      </c>
      <c r="Q9916">
        <v>2</v>
      </c>
      <c r="R9916" t="s">
        <v>40449</v>
      </c>
      <c r="S9916" t="s">
        <v>40919</v>
      </c>
      <c r="T9916" t="s">
        <v>42113</v>
      </c>
      <c r="U9916" t="s">
        <v>50912</v>
      </c>
      <c r="W9916" t="s">
        <v>39986</v>
      </c>
      <c r="X9916" t="s">
        <v>40450</v>
      </c>
    </row>
    <row r="9917" spans="1:24">
      <c r="A9917">
        <f>HYPERLINK("https://www.philgeps.gov.ph/GEPSNONPILOT/Tender/SplashBidNoticeAbstractUI.aspx?menuIndex=3&amp;refID=7031676&amp;Result=3","7031676")</f>
        <v>0</v>
      </c>
      <c r="B9917" t="s">
        <v>2430</v>
      </c>
      <c r="C9917" t="s">
        <v>12546</v>
      </c>
      <c r="D9917" t="s">
        <v>16248</v>
      </c>
      <c r="E9917" t="s">
        <v>24916</v>
      </c>
      <c r="F9917" t="s">
        <v>28198</v>
      </c>
      <c r="G9917" t="s">
        <v>28205</v>
      </c>
      <c r="H9917" t="s">
        <v>28214</v>
      </c>
      <c r="I9917" t="s">
        <v>3797</v>
      </c>
      <c r="J9917" t="s">
        <v>29595</v>
      </c>
      <c r="K9917" t="s">
        <v>36694</v>
      </c>
      <c r="M9917" t="s">
        <v>39618</v>
      </c>
      <c r="N9917" t="s">
        <v>40436</v>
      </c>
      <c r="O9917" t="s">
        <v>40437</v>
      </c>
      <c r="Q9917">
        <v>0</v>
      </c>
      <c r="R9917" t="s">
        <v>40449</v>
      </c>
      <c r="S9917" t="s">
        <v>40939</v>
      </c>
      <c r="T9917" t="s">
        <v>42128</v>
      </c>
      <c r="U9917" t="s">
        <v>50913</v>
      </c>
      <c r="V9917" t="s">
        <v>54654</v>
      </c>
      <c r="W9917" t="s">
        <v>39618</v>
      </c>
      <c r="X9917" t="s">
        <v>40450</v>
      </c>
    </row>
    <row r="9918" spans="1:24">
      <c r="A9918">
        <f>HYPERLINK("https://www.philgeps.gov.ph/GEPSNONPILOT/Tender/SplashBidNoticeAbstractUI.aspx?menuIndex=3&amp;refID=7031724&amp;Result=3","7031724")</f>
        <v>0</v>
      </c>
      <c r="B9918" t="s">
        <v>2741</v>
      </c>
      <c r="C9918" t="s">
        <v>12547</v>
      </c>
      <c r="D9918" t="s">
        <v>16223</v>
      </c>
      <c r="E9918" t="s">
        <v>24917</v>
      </c>
      <c r="F9918" t="s">
        <v>28198</v>
      </c>
      <c r="G9918" t="s">
        <v>28205</v>
      </c>
      <c r="H9918" t="s">
        <v>28215</v>
      </c>
      <c r="I9918" t="s">
        <v>28238</v>
      </c>
      <c r="J9918" t="s">
        <v>34507</v>
      </c>
      <c r="K9918" t="s">
        <v>36701</v>
      </c>
      <c r="M9918" t="s">
        <v>39987</v>
      </c>
      <c r="N9918" t="s">
        <v>40436</v>
      </c>
      <c r="O9918" t="s">
        <v>40437</v>
      </c>
      <c r="P9918">
        <v>0</v>
      </c>
      <c r="Q9918">
        <v>6</v>
      </c>
      <c r="R9918" t="s">
        <v>40449</v>
      </c>
      <c r="S9918" t="s">
        <v>40919</v>
      </c>
      <c r="T9918" t="s">
        <v>42459</v>
      </c>
      <c r="U9918" t="s">
        <v>50914</v>
      </c>
      <c r="W9918" t="s">
        <v>39987</v>
      </c>
      <c r="X9918" t="s">
        <v>40450</v>
      </c>
    </row>
    <row r="9919" spans="1:24">
      <c r="A9919">
        <f>HYPERLINK("https://www.philgeps.gov.ph/GEPSNONPILOT/Tender/SplashBidNoticeAbstractUI.aspx?menuIndex=3&amp;refID=7031657&amp;Result=3","7031657")</f>
        <v>0</v>
      </c>
      <c r="B9919" t="s">
        <v>1865</v>
      </c>
      <c r="C9919" t="s">
        <v>12548</v>
      </c>
      <c r="D9919" t="s">
        <v>16206</v>
      </c>
      <c r="E9919" t="s">
        <v>24918</v>
      </c>
      <c r="F9919" t="s">
        <v>28198</v>
      </c>
      <c r="G9919" t="s">
        <v>28205</v>
      </c>
      <c r="H9919" t="s">
        <v>28215</v>
      </c>
      <c r="I9919" t="s">
        <v>5791</v>
      </c>
      <c r="J9919" t="s">
        <v>28378</v>
      </c>
      <c r="K9919" t="s">
        <v>36715</v>
      </c>
      <c r="M9919" t="s">
        <v>38993</v>
      </c>
      <c r="N9919" t="s">
        <v>40436</v>
      </c>
      <c r="O9919" t="s">
        <v>40437</v>
      </c>
      <c r="P9919">
        <v>0</v>
      </c>
      <c r="Q9919">
        <v>1</v>
      </c>
      <c r="R9919" t="s">
        <v>40449</v>
      </c>
      <c r="S9919" t="s">
        <v>40919</v>
      </c>
      <c r="T9919" t="s">
        <v>42100</v>
      </c>
      <c r="U9919" t="s">
        <v>50915</v>
      </c>
      <c r="W9919" t="s">
        <v>38993</v>
      </c>
      <c r="X9919" t="s">
        <v>40450</v>
      </c>
    </row>
    <row r="9920" spans="1:24">
      <c r="A9920">
        <f>HYPERLINK("https://www.philgeps.gov.ph/GEPSNONPILOT/Tender/SplashBidNoticeAbstractUI.aspx?menuIndex=3&amp;refID=7031720&amp;Result=3","7031720")</f>
        <v>0</v>
      </c>
      <c r="B9920" t="s">
        <v>335</v>
      </c>
      <c r="C9920" t="s">
        <v>12549</v>
      </c>
      <c r="D9920" t="s">
        <v>16221</v>
      </c>
      <c r="E9920" t="s">
        <v>24919</v>
      </c>
      <c r="F9920" t="s">
        <v>28198</v>
      </c>
      <c r="G9920" t="s">
        <v>28205</v>
      </c>
      <c r="H9920" t="s">
        <v>28217</v>
      </c>
      <c r="I9920" t="s">
        <v>6786</v>
      </c>
      <c r="J9920" t="s">
        <v>34508</v>
      </c>
      <c r="K9920" t="s">
        <v>36779</v>
      </c>
      <c r="M9920" t="s">
        <v>37313</v>
      </c>
      <c r="N9920" t="s">
        <v>40436</v>
      </c>
      <c r="O9920" t="s">
        <v>40437</v>
      </c>
      <c r="P9920">
        <v>0</v>
      </c>
      <c r="Q9920">
        <v>3</v>
      </c>
      <c r="R9920" t="s">
        <v>40449</v>
      </c>
      <c r="S9920" t="s">
        <v>40919</v>
      </c>
      <c r="T9920" t="s">
        <v>42121</v>
      </c>
      <c r="U9920" t="s">
        <v>50916</v>
      </c>
      <c r="W9920" t="s">
        <v>55444</v>
      </c>
      <c r="X9920" t="s">
        <v>40450</v>
      </c>
    </row>
    <row r="9921" spans="1:24">
      <c r="A9921">
        <f>HYPERLINK("https://www.philgeps.gov.ph/GEPSNONPILOT/Tender/SplashBidNoticeAbstractUI.aspx?menuIndex=3&amp;refID=7031661&amp;Result=3","7031661")</f>
        <v>0</v>
      </c>
      <c r="B9921" t="s">
        <v>2742</v>
      </c>
      <c r="C9921" t="s">
        <v>12550</v>
      </c>
      <c r="D9921" t="s">
        <v>16203</v>
      </c>
      <c r="E9921" t="s">
        <v>24920</v>
      </c>
      <c r="F9921" t="s">
        <v>28198</v>
      </c>
      <c r="G9921" t="s">
        <v>28205</v>
      </c>
      <c r="H9921" t="s">
        <v>28215</v>
      </c>
      <c r="I9921" t="s">
        <v>28239</v>
      </c>
      <c r="J9921" t="s">
        <v>34509</v>
      </c>
      <c r="K9921" t="s">
        <v>36701</v>
      </c>
      <c r="M9921" t="s">
        <v>39988</v>
      </c>
      <c r="N9921" t="s">
        <v>40436</v>
      </c>
      <c r="O9921" t="s">
        <v>40437</v>
      </c>
      <c r="P9921">
        <v>0</v>
      </c>
      <c r="Q9921">
        <v>5</v>
      </c>
      <c r="R9921" t="s">
        <v>40449</v>
      </c>
      <c r="S9921" t="s">
        <v>40919</v>
      </c>
      <c r="T9921" t="s">
        <v>42129</v>
      </c>
      <c r="U9921" t="s">
        <v>50917</v>
      </c>
      <c r="W9921" t="s">
        <v>39988</v>
      </c>
      <c r="X9921" t="s">
        <v>40450</v>
      </c>
    </row>
    <row r="9922" spans="1:24">
      <c r="A9922">
        <f>HYPERLINK("https://www.philgeps.gov.ph/GEPSNONPILOT/Tender/SplashBidNoticeAbstractUI.aspx?menuIndex=3&amp;refID=7031739&amp;Result=3","7031739")</f>
        <v>0</v>
      </c>
      <c r="B9922" t="s">
        <v>2430</v>
      </c>
      <c r="C9922" t="s">
        <v>12551</v>
      </c>
      <c r="D9922" t="s">
        <v>16248</v>
      </c>
      <c r="E9922" t="s">
        <v>24921</v>
      </c>
      <c r="F9922" t="s">
        <v>28198</v>
      </c>
      <c r="G9922" t="s">
        <v>28205</v>
      </c>
      <c r="H9922" t="s">
        <v>28214</v>
      </c>
      <c r="I9922" t="s">
        <v>3797</v>
      </c>
      <c r="J9922" t="s">
        <v>34510</v>
      </c>
      <c r="K9922" t="s">
        <v>36701</v>
      </c>
      <c r="M9922" t="s">
        <v>39618</v>
      </c>
      <c r="N9922" t="s">
        <v>40436</v>
      </c>
      <c r="O9922" t="s">
        <v>40437</v>
      </c>
      <c r="Q9922">
        <v>0</v>
      </c>
      <c r="R9922" t="s">
        <v>40449</v>
      </c>
      <c r="S9922" t="s">
        <v>40940</v>
      </c>
      <c r="T9922" t="s">
        <v>42128</v>
      </c>
      <c r="U9922" t="s">
        <v>50918</v>
      </c>
      <c r="V9922" t="s">
        <v>54654</v>
      </c>
      <c r="W9922" t="s">
        <v>39618</v>
      </c>
      <c r="X9922" t="s">
        <v>40450</v>
      </c>
    </row>
    <row r="9923" spans="1:24">
      <c r="A9923">
        <f>HYPERLINK("https://www.philgeps.gov.ph/GEPSNONPILOT/Tender/SplashBidNoticeAbstractUI.aspx?menuIndex=3&amp;refID=7031649&amp;Result=3","7031649")</f>
        <v>0</v>
      </c>
      <c r="B9923" t="s">
        <v>2741</v>
      </c>
      <c r="C9923" t="s">
        <v>12552</v>
      </c>
      <c r="D9923" t="s">
        <v>16223</v>
      </c>
      <c r="E9923" t="s">
        <v>24922</v>
      </c>
      <c r="F9923" t="s">
        <v>28198</v>
      </c>
      <c r="G9923" t="s">
        <v>28205</v>
      </c>
      <c r="H9923" t="s">
        <v>28215</v>
      </c>
      <c r="I9923" t="s">
        <v>28238</v>
      </c>
      <c r="J9923" t="s">
        <v>34511</v>
      </c>
      <c r="K9923" t="s">
        <v>36701</v>
      </c>
      <c r="M9923" t="s">
        <v>39987</v>
      </c>
      <c r="N9923" t="s">
        <v>40436</v>
      </c>
      <c r="O9923" t="s">
        <v>40437</v>
      </c>
      <c r="P9923">
        <v>0</v>
      </c>
      <c r="Q9923">
        <v>5</v>
      </c>
      <c r="R9923" t="s">
        <v>40449</v>
      </c>
      <c r="S9923" t="s">
        <v>40919</v>
      </c>
      <c r="T9923" t="s">
        <v>42432</v>
      </c>
      <c r="U9923" t="s">
        <v>50919</v>
      </c>
      <c r="W9923" t="s">
        <v>39987</v>
      </c>
      <c r="X9923" t="s">
        <v>40450</v>
      </c>
    </row>
    <row r="9924" spans="1:24">
      <c r="A9924">
        <f>HYPERLINK("https://www.philgeps.gov.ph/GEPSNONPILOT/Tender/SplashBidNoticeAbstractUI.aspx?menuIndex=3&amp;refID=7031742&amp;Result=3","7031742")</f>
        <v>0</v>
      </c>
      <c r="B9924" t="s">
        <v>2306</v>
      </c>
      <c r="C9924" t="s">
        <v>12553</v>
      </c>
      <c r="D9924" t="s">
        <v>16209</v>
      </c>
      <c r="E9924" t="s">
        <v>24923</v>
      </c>
      <c r="F9924" t="s">
        <v>28198</v>
      </c>
      <c r="G9924" t="s">
        <v>28205</v>
      </c>
      <c r="H9924" t="s">
        <v>28214</v>
      </c>
      <c r="I9924" t="s">
        <v>3797</v>
      </c>
      <c r="J9924" t="s">
        <v>28390</v>
      </c>
      <c r="K9924" t="s">
        <v>36917</v>
      </c>
      <c r="M9924" t="s">
        <v>39482</v>
      </c>
      <c r="N9924" t="s">
        <v>40436</v>
      </c>
      <c r="O9924" t="s">
        <v>40437</v>
      </c>
      <c r="Q9924">
        <v>2</v>
      </c>
      <c r="R9924" t="s">
        <v>40449</v>
      </c>
      <c r="S9924" t="s">
        <v>40941</v>
      </c>
      <c r="T9924" t="s">
        <v>42307</v>
      </c>
      <c r="U9924" t="s">
        <v>48964</v>
      </c>
      <c r="W9924" t="s">
        <v>39482</v>
      </c>
      <c r="X9924" t="s">
        <v>40450</v>
      </c>
    </row>
    <row r="9925" spans="1:24">
      <c r="A9925">
        <f>HYPERLINK("https://www.philgeps.gov.ph/GEPSNONPILOT/Tender/SplashBidNoticeAbstractUI.aspx?menuIndex=3&amp;refID=7031761&amp;Result=3","7031761")</f>
        <v>0</v>
      </c>
      <c r="B9925" t="s">
        <v>2081</v>
      </c>
      <c r="C9925" t="s">
        <v>12554</v>
      </c>
      <c r="D9925" t="s">
        <v>16210</v>
      </c>
      <c r="E9925" t="s">
        <v>24924</v>
      </c>
      <c r="F9925" t="s">
        <v>28198</v>
      </c>
      <c r="G9925" t="s">
        <v>28205</v>
      </c>
      <c r="H9925" t="s">
        <v>28214</v>
      </c>
      <c r="I9925" t="s">
        <v>3797</v>
      </c>
      <c r="J9925" t="s">
        <v>34512</v>
      </c>
      <c r="K9925" t="s">
        <v>36694</v>
      </c>
      <c r="M9925" t="s">
        <v>39230</v>
      </c>
      <c r="N9925" t="s">
        <v>40436</v>
      </c>
      <c r="O9925" t="s">
        <v>40437</v>
      </c>
      <c r="P9925">
        <v>0</v>
      </c>
      <c r="Q9925">
        <v>99</v>
      </c>
      <c r="R9925" t="s">
        <v>40449</v>
      </c>
      <c r="S9925" t="s">
        <v>40919</v>
      </c>
      <c r="T9925" t="s">
        <v>42105</v>
      </c>
      <c r="U9925" t="s">
        <v>48112</v>
      </c>
      <c r="V9925" t="s">
        <v>54874</v>
      </c>
      <c r="W9925" t="s">
        <v>39230</v>
      </c>
      <c r="X9925" t="s">
        <v>40450</v>
      </c>
    </row>
    <row r="9926" spans="1:24">
      <c r="A9926">
        <f>HYPERLINK("https://www.philgeps.gov.ph/GEPSNONPILOT/Tender/SplashBidNoticeAbstractUI.aspx?menuIndex=3&amp;refID=7031680&amp;Result=3","7031680")</f>
        <v>0</v>
      </c>
      <c r="B9926" t="s">
        <v>1301</v>
      </c>
      <c r="C9926" t="s">
        <v>12555</v>
      </c>
      <c r="D9926" t="s">
        <v>16195</v>
      </c>
      <c r="E9926" t="s">
        <v>24925</v>
      </c>
      <c r="F9926" t="s">
        <v>28198</v>
      </c>
      <c r="G9926" t="s">
        <v>28205</v>
      </c>
      <c r="H9926" t="s">
        <v>28214</v>
      </c>
      <c r="I9926" t="s">
        <v>3797</v>
      </c>
      <c r="J9926" t="s">
        <v>34513</v>
      </c>
      <c r="K9926" t="s">
        <v>36694</v>
      </c>
      <c r="M9926" t="s">
        <v>38355</v>
      </c>
      <c r="N9926" t="s">
        <v>40436</v>
      </c>
      <c r="O9926" t="s">
        <v>40437</v>
      </c>
      <c r="P9926">
        <v>0</v>
      </c>
      <c r="Q9926">
        <v>0</v>
      </c>
      <c r="R9926" t="s">
        <v>40449</v>
      </c>
      <c r="S9926" t="s">
        <v>40919</v>
      </c>
      <c r="T9926" t="s">
        <v>42188</v>
      </c>
      <c r="U9926" t="s">
        <v>50920</v>
      </c>
      <c r="V9926" t="s">
        <v>54875</v>
      </c>
      <c r="W9926" t="s">
        <v>38355</v>
      </c>
      <c r="X9926" t="s">
        <v>40450</v>
      </c>
    </row>
    <row r="9927" spans="1:24">
      <c r="A9927">
        <f>HYPERLINK("https://www.philgeps.gov.ph/GEPSNONPILOT/Tender/SplashBidNoticeAbstractUI.aspx?menuIndex=3&amp;refID=7031782&amp;Result=3","7031782")</f>
        <v>0</v>
      </c>
      <c r="B9927" t="s">
        <v>1937</v>
      </c>
      <c r="C9927" t="s">
        <v>12556</v>
      </c>
      <c r="D9927" t="s">
        <v>16227</v>
      </c>
      <c r="E9927" t="s">
        <v>24926</v>
      </c>
      <c r="F9927" t="s">
        <v>28198</v>
      </c>
      <c r="G9927" t="s">
        <v>28205</v>
      </c>
      <c r="H9927" t="s">
        <v>28215</v>
      </c>
      <c r="I9927" t="s">
        <v>28331</v>
      </c>
      <c r="J9927" t="s">
        <v>34514</v>
      </c>
      <c r="K9927" t="s">
        <v>36692</v>
      </c>
      <c r="M9927" t="s">
        <v>39071</v>
      </c>
      <c r="N9927" t="s">
        <v>40436</v>
      </c>
      <c r="O9927" t="s">
        <v>40437</v>
      </c>
      <c r="P9927">
        <v>0</v>
      </c>
      <c r="Q9927">
        <v>12</v>
      </c>
      <c r="R9927" t="s">
        <v>40449</v>
      </c>
      <c r="S9927" t="s">
        <v>40919</v>
      </c>
      <c r="T9927" t="s">
        <v>42279</v>
      </c>
      <c r="U9927" t="s">
        <v>50921</v>
      </c>
      <c r="W9927" t="s">
        <v>39071</v>
      </c>
      <c r="X9927" t="s">
        <v>40450</v>
      </c>
    </row>
    <row r="9928" spans="1:24">
      <c r="A9928">
        <f>HYPERLINK("https://www.philgeps.gov.ph/GEPSNONPILOT/Tender/SplashBidNoticeAbstractUI.aspx?menuIndex=3&amp;refID=7031835&amp;Result=3","7031835")</f>
        <v>0</v>
      </c>
      <c r="B9928" t="s">
        <v>2355</v>
      </c>
      <c r="C9928" t="s">
        <v>12557</v>
      </c>
      <c r="D9928" t="s">
        <v>16210</v>
      </c>
      <c r="E9928" t="s">
        <v>24927</v>
      </c>
      <c r="F9928" t="s">
        <v>28198</v>
      </c>
      <c r="G9928" t="s">
        <v>28205</v>
      </c>
      <c r="H9928" t="s">
        <v>28214</v>
      </c>
      <c r="I9928" t="s">
        <v>3797</v>
      </c>
      <c r="J9928" t="s">
        <v>34515</v>
      </c>
      <c r="K9928" t="s">
        <v>36717</v>
      </c>
      <c r="M9928" t="s">
        <v>39535</v>
      </c>
      <c r="N9928" t="s">
        <v>40436</v>
      </c>
      <c r="O9928" t="s">
        <v>40437</v>
      </c>
      <c r="Q9928">
        <v>38</v>
      </c>
      <c r="R9928" t="s">
        <v>40449</v>
      </c>
      <c r="S9928" t="s">
        <v>40942</v>
      </c>
      <c r="T9928" t="s">
        <v>42188</v>
      </c>
      <c r="U9928" t="s">
        <v>49176</v>
      </c>
      <c r="W9928" t="s">
        <v>39535</v>
      </c>
      <c r="X9928" t="s">
        <v>40450</v>
      </c>
    </row>
    <row r="9929" spans="1:24">
      <c r="A9929">
        <f>HYPERLINK("https://www.philgeps.gov.ph/GEPSNONPILOT/Tender/SplashBidNoticeAbstractUI.aspx?menuIndex=3&amp;refID=7031741&amp;Result=3","7031741")</f>
        <v>0</v>
      </c>
      <c r="B9929" t="s">
        <v>1462</v>
      </c>
      <c r="C9929" t="s">
        <v>12558</v>
      </c>
      <c r="D9929" t="s">
        <v>16210</v>
      </c>
      <c r="E9929" t="s">
        <v>24928</v>
      </c>
      <c r="F9929" t="s">
        <v>28198</v>
      </c>
      <c r="G9929" t="s">
        <v>28205</v>
      </c>
      <c r="H9929" t="s">
        <v>28215</v>
      </c>
      <c r="I9929" t="s">
        <v>28244</v>
      </c>
      <c r="J9929" t="s">
        <v>34516</v>
      </c>
      <c r="K9929" t="s">
        <v>36692</v>
      </c>
      <c r="M9929" t="s">
        <v>39989</v>
      </c>
      <c r="N9929" t="s">
        <v>40436</v>
      </c>
      <c r="O9929" t="s">
        <v>40437</v>
      </c>
      <c r="P9929">
        <v>0</v>
      </c>
      <c r="Q9929">
        <v>3</v>
      </c>
      <c r="R9929" t="s">
        <v>40449</v>
      </c>
      <c r="S9929" t="s">
        <v>40919</v>
      </c>
      <c r="T9929" t="s">
        <v>42279</v>
      </c>
      <c r="U9929" t="s">
        <v>50922</v>
      </c>
      <c r="W9929" t="s">
        <v>39989</v>
      </c>
      <c r="X9929" t="s">
        <v>40450</v>
      </c>
    </row>
    <row r="9930" spans="1:24">
      <c r="A9930">
        <f>HYPERLINK("https://www.philgeps.gov.ph/GEPSNONPILOT/Tender/SplashBidNoticeAbstractUI.aspx?menuIndex=3&amp;refID=7031748&amp;Result=3","7031748")</f>
        <v>0</v>
      </c>
      <c r="B9930" t="s">
        <v>2627</v>
      </c>
      <c r="C9930" t="s">
        <v>12559</v>
      </c>
      <c r="D9930" t="s">
        <v>16203</v>
      </c>
      <c r="E9930" t="s">
        <v>24929</v>
      </c>
      <c r="F9930" t="s">
        <v>28198</v>
      </c>
      <c r="G9930" t="s">
        <v>28205</v>
      </c>
      <c r="H9930" t="s">
        <v>28217</v>
      </c>
      <c r="I9930" t="s">
        <v>5631</v>
      </c>
      <c r="J9930" t="s">
        <v>34517</v>
      </c>
      <c r="K9930" t="s">
        <v>36701</v>
      </c>
      <c r="M9930" t="s">
        <v>39848</v>
      </c>
      <c r="N9930" t="s">
        <v>40436</v>
      </c>
      <c r="O9930" t="s">
        <v>40437</v>
      </c>
      <c r="Q9930">
        <v>4</v>
      </c>
      <c r="R9930" t="s">
        <v>40449</v>
      </c>
      <c r="S9930" t="s">
        <v>40943</v>
      </c>
      <c r="T9930" t="s">
        <v>42390</v>
      </c>
      <c r="U9930" t="s">
        <v>50923</v>
      </c>
      <c r="W9930" t="s">
        <v>39848</v>
      </c>
      <c r="X9930" t="s">
        <v>40450</v>
      </c>
    </row>
    <row r="9931" spans="1:24">
      <c r="A9931">
        <f>HYPERLINK("https://www.philgeps.gov.ph/GEPSNONPILOT/Tender/SplashBidNoticeAbstractUI.aspx?menuIndex=3&amp;refID=7031830&amp;Result=3","7031830")</f>
        <v>0</v>
      </c>
      <c r="B9931" t="s">
        <v>2355</v>
      </c>
      <c r="C9931" t="s">
        <v>12560</v>
      </c>
      <c r="D9931" t="s">
        <v>16210</v>
      </c>
      <c r="E9931" t="s">
        <v>24930</v>
      </c>
      <c r="F9931" t="s">
        <v>28198</v>
      </c>
      <c r="G9931" t="s">
        <v>28205</v>
      </c>
      <c r="H9931" t="s">
        <v>28214</v>
      </c>
      <c r="I9931" t="s">
        <v>3797</v>
      </c>
      <c r="J9931" t="s">
        <v>34518</v>
      </c>
      <c r="K9931" t="s">
        <v>36692</v>
      </c>
      <c r="M9931" t="s">
        <v>39535</v>
      </c>
      <c r="N9931" t="s">
        <v>40436</v>
      </c>
      <c r="O9931" t="s">
        <v>40437</v>
      </c>
      <c r="Q9931">
        <v>36</v>
      </c>
      <c r="R9931" t="s">
        <v>40449</v>
      </c>
      <c r="S9931" t="s">
        <v>40944</v>
      </c>
      <c r="T9931" t="s">
        <v>42188</v>
      </c>
      <c r="U9931" t="s">
        <v>49176</v>
      </c>
      <c r="W9931" t="s">
        <v>39535</v>
      </c>
      <c r="X9931" t="s">
        <v>40450</v>
      </c>
    </row>
    <row r="9932" spans="1:24">
      <c r="A9932">
        <f>HYPERLINK("https://www.philgeps.gov.ph/GEPSNONPILOT/Tender/SplashBidNoticeAbstractUI.aspx?menuIndex=3&amp;refID=7031831&amp;Result=3","7031831")</f>
        <v>0</v>
      </c>
      <c r="B9932" t="s">
        <v>1792</v>
      </c>
      <c r="C9932" t="s">
        <v>12561</v>
      </c>
      <c r="D9932" t="s">
        <v>16210</v>
      </c>
      <c r="E9932" t="s">
        <v>24931</v>
      </c>
      <c r="F9932" t="s">
        <v>28198</v>
      </c>
      <c r="G9932" t="s">
        <v>28207</v>
      </c>
      <c r="H9932" t="s">
        <v>28215</v>
      </c>
      <c r="I9932" t="s">
        <v>28225</v>
      </c>
      <c r="J9932" t="s">
        <v>28393</v>
      </c>
      <c r="K9932" t="s">
        <v>36688</v>
      </c>
      <c r="M9932" t="s">
        <v>38909</v>
      </c>
      <c r="N9932" t="s">
        <v>40436</v>
      </c>
      <c r="O9932" t="s">
        <v>40437</v>
      </c>
      <c r="Q9932">
        <v>3</v>
      </c>
      <c r="R9932" t="s">
        <v>40449</v>
      </c>
      <c r="S9932" t="s">
        <v>40945</v>
      </c>
      <c r="T9932" t="s">
        <v>42378</v>
      </c>
      <c r="U9932" t="s">
        <v>50924</v>
      </c>
      <c r="W9932" t="s">
        <v>38909</v>
      </c>
      <c r="X9932" t="s">
        <v>40450</v>
      </c>
    </row>
    <row r="9933" spans="1:24">
      <c r="A9933">
        <f>HYPERLINK("https://www.philgeps.gov.ph/GEPSNONPILOT/Tender/SplashBidNoticeAbstractUI.aspx?menuIndex=3&amp;refID=7031820&amp;Result=3","7031820")</f>
        <v>0</v>
      </c>
      <c r="B9933" t="s">
        <v>2322</v>
      </c>
      <c r="C9933" t="s">
        <v>12562</v>
      </c>
      <c r="D9933" t="s">
        <v>16225</v>
      </c>
      <c r="E9933" t="s">
        <v>24932</v>
      </c>
      <c r="F9933" t="s">
        <v>28198</v>
      </c>
      <c r="G9933" t="s">
        <v>28205</v>
      </c>
      <c r="H9933" t="s">
        <v>28217</v>
      </c>
      <c r="I9933" t="s">
        <v>28286</v>
      </c>
      <c r="J9933" t="s">
        <v>28714</v>
      </c>
      <c r="K9933" t="s">
        <v>36692</v>
      </c>
      <c r="M9933" t="s">
        <v>39500</v>
      </c>
      <c r="N9933" t="s">
        <v>40436</v>
      </c>
      <c r="O9933" t="s">
        <v>40437</v>
      </c>
      <c r="P9933">
        <v>0</v>
      </c>
      <c r="Q9933">
        <v>9</v>
      </c>
      <c r="R9933" t="s">
        <v>40449</v>
      </c>
      <c r="S9933" t="s">
        <v>40919</v>
      </c>
      <c r="T9933" t="s">
        <v>42551</v>
      </c>
      <c r="U9933" t="s">
        <v>50925</v>
      </c>
      <c r="W9933" t="s">
        <v>39500</v>
      </c>
      <c r="X9933" t="s">
        <v>40450</v>
      </c>
    </row>
    <row r="9934" spans="1:24">
      <c r="A9934">
        <f>HYPERLINK("https://www.philgeps.gov.ph/GEPSNONPILOT/Tender/SplashBidNoticeAbstractUI.aspx?menuIndex=3&amp;refID=7031833&amp;Result=3","7031833")</f>
        <v>0</v>
      </c>
      <c r="B9934" t="s">
        <v>2355</v>
      </c>
      <c r="C9934" t="s">
        <v>12563</v>
      </c>
      <c r="D9934" t="s">
        <v>16210</v>
      </c>
      <c r="E9934" t="s">
        <v>24933</v>
      </c>
      <c r="F9934" t="s">
        <v>28198</v>
      </c>
      <c r="G9934" t="s">
        <v>28205</v>
      </c>
      <c r="H9934" t="s">
        <v>28214</v>
      </c>
      <c r="I9934" t="s">
        <v>3797</v>
      </c>
      <c r="J9934" t="s">
        <v>34519</v>
      </c>
      <c r="K9934" t="s">
        <v>36692</v>
      </c>
      <c r="M9934" t="s">
        <v>39535</v>
      </c>
      <c r="N9934" t="s">
        <v>40436</v>
      </c>
      <c r="O9934" t="s">
        <v>40437</v>
      </c>
      <c r="Q9934">
        <v>36</v>
      </c>
      <c r="R9934" t="s">
        <v>40449</v>
      </c>
      <c r="S9934" t="s">
        <v>40946</v>
      </c>
      <c r="T9934" t="s">
        <v>42188</v>
      </c>
      <c r="U9934" t="s">
        <v>49176</v>
      </c>
      <c r="W9934" t="s">
        <v>39535</v>
      </c>
      <c r="X9934" t="s">
        <v>40450</v>
      </c>
    </row>
    <row r="9935" spans="1:24">
      <c r="A9935">
        <f>HYPERLINK("https://www.philgeps.gov.ph/GEPSNONPILOT/Tender/SplashBidNoticeAbstractUI.aspx?menuIndex=3&amp;refID=7031816&amp;Result=3","7031816")</f>
        <v>0</v>
      </c>
      <c r="B9935" t="s">
        <v>2743</v>
      </c>
      <c r="C9935" t="s">
        <v>12564</v>
      </c>
      <c r="D9935" t="s">
        <v>16235</v>
      </c>
      <c r="E9935" t="s">
        <v>17462</v>
      </c>
      <c r="F9935" t="s">
        <v>28198</v>
      </c>
      <c r="G9935" t="s">
        <v>28205</v>
      </c>
      <c r="H9935" t="s">
        <v>28215</v>
      </c>
      <c r="I9935" t="s">
        <v>28234</v>
      </c>
      <c r="J9935" t="s">
        <v>28623</v>
      </c>
      <c r="K9935" t="s">
        <v>36701</v>
      </c>
      <c r="M9935" t="s">
        <v>39990</v>
      </c>
      <c r="N9935" t="s">
        <v>40436</v>
      </c>
      <c r="O9935" t="s">
        <v>40437</v>
      </c>
      <c r="P9935">
        <v>0</v>
      </c>
      <c r="Q9935">
        <v>6</v>
      </c>
      <c r="R9935" t="s">
        <v>40449</v>
      </c>
      <c r="S9935" t="s">
        <v>40919</v>
      </c>
      <c r="T9935" t="s">
        <v>42346</v>
      </c>
      <c r="U9935" t="s">
        <v>50926</v>
      </c>
      <c r="W9935" t="s">
        <v>39990</v>
      </c>
      <c r="X9935" t="s">
        <v>40450</v>
      </c>
    </row>
    <row r="9936" spans="1:24">
      <c r="A9936">
        <f>HYPERLINK("https://www.philgeps.gov.ph/GEPSNONPILOT/Tender/SplashBidNoticeAbstractUI.aspx?menuIndex=3&amp;refID=7031755&amp;Result=3","7031755")</f>
        <v>0</v>
      </c>
      <c r="B9936" t="s">
        <v>2081</v>
      </c>
      <c r="C9936" t="s">
        <v>12565</v>
      </c>
      <c r="D9936" t="s">
        <v>16210</v>
      </c>
      <c r="E9936" t="s">
        <v>24934</v>
      </c>
      <c r="F9936" t="s">
        <v>28198</v>
      </c>
      <c r="G9936" t="s">
        <v>28205</v>
      </c>
      <c r="H9936" t="s">
        <v>28214</v>
      </c>
      <c r="I9936" t="s">
        <v>3797</v>
      </c>
      <c r="J9936" t="s">
        <v>34520</v>
      </c>
      <c r="K9936" t="s">
        <v>36717</v>
      </c>
      <c r="M9936" t="s">
        <v>39230</v>
      </c>
      <c r="N9936" t="s">
        <v>40436</v>
      </c>
      <c r="O9936" t="s">
        <v>40437</v>
      </c>
      <c r="P9936">
        <v>0</v>
      </c>
      <c r="Q9936">
        <v>131</v>
      </c>
      <c r="R9936" t="s">
        <v>40449</v>
      </c>
      <c r="S9936" t="s">
        <v>40919</v>
      </c>
      <c r="T9936" t="s">
        <v>42105</v>
      </c>
      <c r="U9936" t="s">
        <v>48112</v>
      </c>
      <c r="V9936" t="s">
        <v>54876</v>
      </c>
      <c r="W9936" t="s">
        <v>39230</v>
      </c>
      <c r="X9936" t="s">
        <v>40450</v>
      </c>
    </row>
    <row r="9937" spans="1:24">
      <c r="A9937">
        <f>HYPERLINK("https://www.philgeps.gov.ph/GEPSNONPILOT/Tender/SplashBidNoticeAbstractUI.aspx?menuIndex=3&amp;refID=7031808&amp;Result=3","7031808")</f>
        <v>0</v>
      </c>
      <c r="B9937" t="s">
        <v>2743</v>
      </c>
      <c r="C9937" t="s">
        <v>12566</v>
      </c>
      <c r="D9937" t="s">
        <v>16235</v>
      </c>
      <c r="E9937" t="s">
        <v>17443</v>
      </c>
      <c r="F9937" t="s">
        <v>28198</v>
      </c>
      <c r="G9937" t="s">
        <v>28205</v>
      </c>
      <c r="H9937" t="s">
        <v>28215</v>
      </c>
      <c r="I9937" t="s">
        <v>5082</v>
      </c>
      <c r="J9937" t="s">
        <v>34412</v>
      </c>
      <c r="K9937" t="s">
        <v>36701</v>
      </c>
      <c r="M9937" t="s">
        <v>39990</v>
      </c>
      <c r="N9937" t="s">
        <v>40436</v>
      </c>
      <c r="O9937" t="s">
        <v>40437</v>
      </c>
      <c r="P9937">
        <v>0</v>
      </c>
      <c r="Q9937">
        <v>5</v>
      </c>
      <c r="R9937" t="s">
        <v>40449</v>
      </c>
      <c r="S9937" t="s">
        <v>40919</v>
      </c>
      <c r="T9937" t="s">
        <v>42346</v>
      </c>
      <c r="U9937" t="s">
        <v>50927</v>
      </c>
      <c r="W9937" t="s">
        <v>39990</v>
      </c>
      <c r="X9937" t="s">
        <v>40450</v>
      </c>
    </row>
    <row r="9938" spans="1:24">
      <c r="A9938">
        <f>HYPERLINK("https://www.philgeps.gov.ph/GEPSNONPILOT/Tender/SplashBidNoticeAbstractUI.aspx?menuIndex=3&amp;refID=7031769&amp;Result=3","7031769")</f>
        <v>0</v>
      </c>
      <c r="B9938" t="s">
        <v>1581</v>
      </c>
      <c r="C9938" t="s">
        <v>12567</v>
      </c>
      <c r="D9938" t="s">
        <v>16220</v>
      </c>
      <c r="E9938" t="s">
        <v>24935</v>
      </c>
      <c r="F9938" t="s">
        <v>28198</v>
      </c>
      <c r="G9938" t="s">
        <v>28205</v>
      </c>
      <c r="H9938" t="s">
        <v>28214</v>
      </c>
      <c r="I9938" t="s">
        <v>3797</v>
      </c>
      <c r="J9938" t="s">
        <v>34521</v>
      </c>
      <c r="K9938" t="s">
        <v>36737</v>
      </c>
      <c r="L9938" t="s">
        <v>1581</v>
      </c>
      <c r="M9938" t="s">
        <v>38666</v>
      </c>
      <c r="N9938" t="s">
        <v>40436</v>
      </c>
      <c r="O9938" t="s">
        <v>40437</v>
      </c>
      <c r="P9938">
        <v>0</v>
      </c>
      <c r="Q9938">
        <v>4</v>
      </c>
      <c r="R9938" t="s">
        <v>40449</v>
      </c>
      <c r="S9938" t="s">
        <v>40919</v>
      </c>
      <c r="T9938" t="s">
        <v>42482</v>
      </c>
      <c r="U9938" t="s">
        <v>50928</v>
      </c>
      <c r="W9938" t="s">
        <v>38666</v>
      </c>
      <c r="X9938" t="s">
        <v>40450</v>
      </c>
    </row>
    <row r="9939" spans="1:24">
      <c r="A9939">
        <f>HYPERLINK("https://www.philgeps.gov.ph/GEPSNONPILOT/Tender/SplashBidNoticeAbstractUI.aspx?menuIndex=3&amp;refID=7031798&amp;Result=3","7031798")</f>
        <v>0</v>
      </c>
      <c r="B9939" t="s">
        <v>2737</v>
      </c>
      <c r="C9939" t="s">
        <v>12568</v>
      </c>
      <c r="D9939" t="s">
        <v>16209</v>
      </c>
      <c r="E9939" t="s">
        <v>24936</v>
      </c>
      <c r="F9939" t="s">
        <v>28198</v>
      </c>
      <c r="G9939" t="s">
        <v>28205</v>
      </c>
      <c r="H9939" t="s">
        <v>28214</v>
      </c>
      <c r="I9939" t="s">
        <v>3797</v>
      </c>
      <c r="J9939" t="s">
        <v>34522</v>
      </c>
      <c r="K9939" t="s">
        <v>36690</v>
      </c>
      <c r="M9939" t="s">
        <v>39983</v>
      </c>
      <c r="N9939" t="s">
        <v>40436</v>
      </c>
      <c r="O9939" t="s">
        <v>40437</v>
      </c>
      <c r="P9939">
        <v>0</v>
      </c>
      <c r="Q9939">
        <v>2</v>
      </c>
      <c r="R9939" t="s">
        <v>40449</v>
      </c>
      <c r="S9939" t="s">
        <v>40919</v>
      </c>
      <c r="T9939" t="s">
        <v>42183</v>
      </c>
      <c r="U9939" t="s">
        <v>50929</v>
      </c>
      <c r="V9939" t="s">
        <v>54870</v>
      </c>
      <c r="W9939" t="s">
        <v>39983</v>
      </c>
      <c r="X9939" t="s">
        <v>40450</v>
      </c>
    </row>
    <row r="9940" spans="1:24">
      <c r="A9940">
        <f>HYPERLINK("https://www.philgeps.gov.ph/GEPSNONPILOT/Tender/SplashBidNoticeAbstractUI.aspx?menuIndex=3&amp;refID=7031797&amp;Result=3","7031797")</f>
        <v>0</v>
      </c>
      <c r="B9940" t="s">
        <v>2743</v>
      </c>
      <c r="C9940" t="s">
        <v>12569</v>
      </c>
      <c r="D9940" t="s">
        <v>16235</v>
      </c>
      <c r="E9940" t="s">
        <v>17031</v>
      </c>
      <c r="F9940" t="s">
        <v>28198</v>
      </c>
      <c r="G9940" t="s">
        <v>28209</v>
      </c>
      <c r="H9940" t="s">
        <v>28215</v>
      </c>
      <c r="I9940" t="s">
        <v>28245</v>
      </c>
      <c r="J9940" t="s">
        <v>29113</v>
      </c>
      <c r="K9940" t="s">
        <v>36701</v>
      </c>
      <c r="M9940" t="s">
        <v>39990</v>
      </c>
      <c r="N9940" t="s">
        <v>40436</v>
      </c>
      <c r="O9940" t="s">
        <v>40437</v>
      </c>
      <c r="P9940">
        <v>0</v>
      </c>
      <c r="Q9940">
        <v>5</v>
      </c>
      <c r="R9940" t="s">
        <v>40449</v>
      </c>
      <c r="S9940" t="s">
        <v>40919</v>
      </c>
      <c r="T9940" t="s">
        <v>42346</v>
      </c>
      <c r="U9940" t="s">
        <v>50930</v>
      </c>
      <c r="W9940" t="s">
        <v>39990</v>
      </c>
      <c r="X9940" t="s">
        <v>40450</v>
      </c>
    </row>
    <row r="9941" spans="1:24">
      <c r="A9941">
        <f>HYPERLINK("https://www.philgeps.gov.ph/GEPSNONPILOT/Tender/SplashBidNoticeAbstractUI.aspx?menuIndex=3&amp;refID=7031826&amp;Result=3","7031826")</f>
        <v>0</v>
      </c>
      <c r="B9941" t="s">
        <v>2743</v>
      </c>
      <c r="C9941" t="s">
        <v>10866</v>
      </c>
      <c r="D9941" t="s">
        <v>16235</v>
      </c>
      <c r="E9941" t="s">
        <v>17057</v>
      </c>
      <c r="F9941" t="s">
        <v>28198</v>
      </c>
      <c r="G9941" t="s">
        <v>28205</v>
      </c>
      <c r="H9941" t="s">
        <v>28214</v>
      </c>
      <c r="I9941" t="s">
        <v>3797</v>
      </c>
      <c r="J9941" t="s">
        <v>29409</v>
      </c>
      <c r="K9941" t="s">
        <v>36690</v>
      </c>
      <c r="M9941" t="s">
        <v>39990</v>
      </c>
      <c r="N9941" t="s">
        <v>40436</v>
      </c>
      <c r="O9941" t="s">
        <v>40437</v>
      </c>
      <c r="P9941">
        <v>0</v>
      </c>
      <c r="Q9941">
        <v>0</v>
      </c>
      <c r="R9941" t="s">
        <v>40449</v>
      </c>
      <c r="S9941" t="s">
        <v>40919</v>
      </c>
      <c r="T9941" t="s">
        <v>42346</v>
      </c>
      <c r="U9941" t="s">
        <v>50931</v>
      </c>
      <c r="W9941" t="s">
        <v>39990</v>
      </c>
      <c r="X9941" t="s">
        <v>40450</v>
      </c>
    </row>
    <row r="9942" spans="1:24">
      <c r="A9942">
        <f>HYPERLINK("https://www.philgeps.gov.ph/GEPSNONPILOT/Tender/SplashBidNoticeAbstractUI.aspx?menuIndex=3&amp;refID=7031838&amp;Result=3","7031838")</f>
        <v>0</v>
      </c>
      <c r="B9942" t="s">
        <v>2355</v>
      </c>
      <c r="C9942" t="s">
        <v>12570</v>
      </c>
      <c r="E9942" t="s">
        <v>24937</v>
      </c>
      <c r="F9942" t="s">
        <v>28198</v>
      </c>
      <c r="G9942" t="s">
        <v>28205</v>
      </c>
      <c r="H9942" t="s">
        <v>28214</v>
      </c>
      <c r="I9942" t="s">
        <v>3797</v>
      </c>
      <c r="J9942" t="s">
        <v>34523</v>
      </c>
      <c r="K9942" t="s">
        <v>36697</v>
      </c>
      <c r="M9942" t="s">
        <v>39535</v>
      </c>
      <c r="N9942" t="s">
        <v>40436</v>
      </c>
      <c r="O9942" t="s">
        <v>40437</v>
      </c>
      <c r="Q9942">
        <v>36</v>
      </c>
      <c r="R9942" t="s">
        <v>40449</v>
      </c>
      <c r="S9942" t="s">
        <v>40947</v>
      </c>
      <c r="T9942" t="s">
        <v>42188</v>
      </c>
      <c r="U9942" t="s">
        <v>49176</v>
      </c>
      <c r="W9942" t="s">
        <v>39535</v>
      </c>
      <c r="X9942" t="s">
        <v>40450</v>
      </c>
    </row>
    <row r="9943" spans="1:24">
      <c r="A9943">
        <f>HYPERLINK("https://www.philgeps.gov.ph/GEPSNONPILOT/Tender/SplashBidNoticeAbstractUI.aspx?menuIndex=3&amp;refID=7031841&amp;Result=3","7031841")</f>
        <v>0</v>
      </c>
      <c r="B9943" t="s">
        <v>2355</v>
      </c>
      <c r="C9943" t="s">
        <v>12571</v>
      </c>
      <c r="D9943" t="s">
        <v>16210</v>
      </c>
      <c r="E9943" t="s">
        <v>24938</v>
      </c>
      <c r="F9943" t="s">
        <v>28198</v>
      </c>
      <c r="G9943" t="s">
        <v>28205</v>
      </c>
      <c r="H9943" t="s">
        <v>28214</v>
      </c>
      <c r="I9943" t="s">
        <v>3797</v>
      </c>
      <c r="J9943" t="s">
        <v>34524</v>
      </c>
      <c r="K9943" t="s">
        <v>36694</v>
      </c>
      <c r="M9943" t="s">
        <v>39535</v>
      </c>
      <c r="N9943" t="s">
        <v>40436</v>
      </c>
      <c r="O9943" t="s">
        <v>40437</v>
      </c>
      <c r="Q9943">
        <v>33</v>
      </c>
      <c r="R9943" t="s">
        <v>40449</v>
      </c>
      <c r="S9943" t="s">
        <v>40948</v>
      </c>
      <c r="T9943" t="s">
        <v>42188</v>
      </c>
      <c r="U9943" t="s">
        <v>49176</v>
      </c>
      <c r="W9943" t="s">
        <v>39535</v>
      </c>
      <c r="X9943" t="s">
        <v>40450</v>
      </c>
    </row>
    <row r="9944" spans="1:24">
      <c r="A9944">
        <f>HYPERLINK("https://www.philgeps.gov.ph/GEPSNONPILOT/Tender/SplashBidNoticeAbstractUI.aspx?menuIndex=3&amp;refID=7031764&amp;Result=3","7031764")</f>
        <v>0</v>
      </c>
      <c r="B9944" t="s">
        <v>2430</v>
      </c>
      <c r="C9944" t="s">
        <v>12572</v>
      </c>
      <c r="D9944" t="s">
        <v>16248</v>
      </c>
      <c r="E9944" t="s">
        <v>24939</v>
      </c>
      <c r="F9944" t="s">
        <v>28198</v>
      </c>
      <c r="G9944" t="s">
        <v>28205</v>
      </c>
      <c r="H9944" t="s">
        <v>28214</v>
      </c>
      <c r="I9944" t="s">
        <v>3797</v>
      </c>
      <c r="J9944" t="s">
        <v>34525</v>
      </c>
      <c r="K9944" t="s">
        <v>36701</v>
      </c>
      <c r="M9944" t="s">
        <v>39618</v>
      </c>
      <c r="N9944" t="s">
        <v>40436</v>
      </c>
      <c r="O9944" t="s">
        <v>40437</v>
      </c>
      <c r="Q9944">
        <v>0</v>
      </c>
      <c r="R9944" t="s">
        <v>40449</v>
      </c>
      <c r="S9944" t="s">
        <v>40949</v>
      </c>
      <c r="T9944" t="s">
        <v>42128</v>
      </c>
      <c r="U9944" t="s">
        <v>50932</v>
      </c>
      <c r="V9944" t="s">
        <v>54877</v>
      </c>
      <c r="W9944" t="s">
        <v>39618</v>
      </c>
      <c r="X9944" t="s">
        <v>40450</v>
      </c>
    </row>
    <row r="9945" spans="1:24">
      <c r="A9945">
        <f>HYPERLINK("https://www.philgeps.gov.ph/GEPSNONPILOT/Tender/SplashBidNoticeAbstractUI.aspx?menuIndex=3&amp;refID=7031774&amp;Result=3","7031774")</f>
        <v>0</v>
      </c>
      <c r="B9945" t="s">
        <v>1937</v>
      </c>
      <c r="C9945" t="s">
        <v>12573</v>
      </c>
      <c r="D9945" t="s">
        <v>16227</v>
      </c>
      <c r="E9945" t="s">
        <v>24940</v>
      </c>
      <c r="F9945" t="s">
        <v>28198</v>
      </c>
      <c r="G9945" t="s">
        <v>28205</v>
      </c>
      <c r="H9945" t="s">
        <v>28215</v>
      </c>
      <c r="I9945" t="s">
        <v>28226</v>
      </c>
      <c r="J9945" t="s">
        <v>34526</v>
      </c>
      <c r="K9945" t="s">
        <v>36701</v>
      </c>
      <c r="M9945" t="s">
        <v>39071</v>
      </c>
      <c r="N9945" t="s">
        <v>40436</v>
      </c>
      <c r="O9945" t="s">
        <v>40437</v>
      </c>
      <c r="P9945">
        <v>0</v>
      </c>
      <c r="Q9945">
        <v>10</v>
      </c>
      <c r="R9945" t="s">
        <v>40449</v>
      </c>
      <c r="S9945" t="s">
        <v>40919</v>
      </c>
      <c r="T9945" t="s">
        <v>42274</v>
      </c>
      <c r="U9945" t="s">
        <v>50933</v>
      </c>
      <c r="W9945" t="s">
        <v>39071</v>
      </c>
      <c r="X9945" t="s">
        <v>40450</v>
      </c>
    </row>
    <row r="9946" spans="1:24">
      <c r="A9946">
        <f>HYPERLINK("https://www.philgeps.gov.ph/GEPSNONPILOT/Tender/SplashBidNoticeAbstractUI.aspx?menuIndex=3&amp;refID=7031840&amp;Result=3","7031840")</f>
        <v>0</v>
      </c>
      <c r="B9946" t="s">
        <v>2744</v>
      </c>
      <c r="C9946" t="s">
        <v>5220</v>
      </c>
      <c r="D9946" t="s">
        <v>16203</v>
      </c>
      <c r="E9946" t="s">
        <v>24941</v>
      </c>
      <c r="F9946" t="s">
        <v>28198</v>
      </c>
      <c r="G9946" t="s">
        <v>28205</v>
      </c>
      <c r="H9946" t="s">
        <v>28214</v>
      </c>
      <c r="I9946" t="s">
        <v>3797</v>
      </c>
      <c r="J9946" t="s">
        <v>34527</v>
      </c>
      <c r="K9946" t="s">
        <v>36701</v>
      </c>
      <c r="M9946" t="s">
        <v>39991</v>
      </c>
      <c r="N9946" t="s">
        <v>40436</v>
      </c>
      <c r="O9946" t="s">
        <v>40437</v>
      </c>
      <c r="P9946">
        <v>0</v>
      </c>
      <c r="Q9946">
        <v>0</v>
      </c>
      <c r="R9946" t="s">
        <v>40449</v>
      </c>
      <c r="S9946" t="s">
        <v>40919</v>
      </c>
      <c r="T9946" t="s">
        <v>42129</v>
      </c>
      <c r="U9946" t="s">
        <v>50934</v>
      </c>
      <c r="W9946" t="s">
        <v>39991</v>
      </c>
      <c r="X9946" t="s">
        <v>40450</v>
      </c>
    </row>
    <row r="9947" spans="1:24">
      <c r="A9947">
        <f>HYPERLINK("https://www.philgeps.gov.ph/GEPSNONPILOT/Tender/SplashBidNoticeAbstractUI.aspx?menuIndex=3&amp;refID=7031868&amp;Result=3","7031868")</f>
        <v>0</v>
      </c>
      <c r="B9947" t="s">
        <v>2645</v>
      </c>
      <c r="C9947" t="s">
        <v>12574</v>
      </c>
      <c r="D9947" t="s">
        <v>16208</v>
      </c>
      <c r="E9947" t="s">
        <v>24942</v>
      </c>
      <c r="F9947" t="s">
        <v>28198</v>
      </c>
      <c r="G9947" t="s">
        <v>28205</v>
      </c>
      <c r="H9947" t="s">
        <v>28215</v>
      </c>
      <c r="I9947" t="s">
        <v>8888</v>
      </c>
      <c r="J9947" t="s">
        <v>28379</v>
      </c>
      <c r="K9947" t="s">
        <v>36701</v>
      </c>
      <c r="M9947" t="s">
        <v>39870</v>
      </c>
      <c r="N9947" t="s">
        <v>40436</v>
      </c>
      <c r="O9947" t="s">
        <v>40437</v>
      </c>
      <c r="Q9947">
        <v>3</v>
      </c>
      <c r="R9947" t="s">
        <v>40449</v>
      </c>
      <c r="S9947" t="s">
        <v>40950</v>
      </c>
      <c r="T9947" t="s">
        <v>42138</v>
      </c>
      <c r="U9947" t="s">
        <v>50935</v>
      </c>
      <c r="W9947" t="s">
        <v>39870</v>
      </c>
      <c r="X9947" t="s">
        <v>40450</v>
      </c>
    </row>
    <row r="9948" spans="1:24">
      <c r="A9948">
        <f>HYPERLINK("https://www.philgeps.gov.ph/GEPSNONPILOT/Tender/SplashBidNoticeAbstractUI.aspx?menuIndex=3&amp;refID=7031788&amp;Result=3","7031788")</f>
        <v>0</v>
      </c>
      <c r="B9948" t="s">
        <v>2641</v>
      </c>
      <c r="C9948" t="s">
        <v>12575</v>
      </c>
      <c r="D9948" t="s">
        <v>16210</v>
      </c>
      <c r="E9948" t="s">
        <v>16307</v>
      </c>
      <c r="F9948" t="s">
        <v>28198</v>
      </c>
      <c r="G9948" t="s">
        <v>28205</v>
      </c>
      <c r="H9948" t="s">
        <v>28217</v>
      </c>
      <c r="I9948" t="s">
        <v>4200</v>
      </c>
      <c r="J9948" t="s">
        <v>28406</v>
      </c>
      <c r="K9948" t="s">
        <v>36706</v>
      </c>
      <c r="M9948" t="s">
        <v>39866</v>
      </c>
      <c r="N9948" t="s">
        <v>40436</v>
      </c>
      <c r="O9948" t="s">
        <v>40437</v>
      </c>
      <c r="P9948">
        <v>0</v>
      </c>
      <c r="Q9948">
        <v>0</v>
      </c>
      <c r="R9948" t="s">
        <v>40449</v>
      </c>
      <c r="S9948" t="s">
        <v>40919</v>
      </c>
      <c r="T9948" t="s">
        <v>42218</v>
      </c>
      <c r="U9948" t="s">
        <v>50936</v>
      </c>
      <c r="W9948" t="s">
        <v>39866</v>
      </c>
      <c r="X9948" t="s">
        <v>40450</v>
      </c>
    </row>
    <row r="9949" spans="1:24">
      <c r="A9949">
        <f>HYPERLINK("https://www.philgeps.gov.ph/GEPSNONPILOT/Tender/SplashBidNoticeAbstractUI.aspx?menuIndex=3&amp;refID=7031873&amp;Result=3","7031873")</f>
        <v>0</v>
      </c>
      <c r="B9949" t="s">
        <v>657</v>
      </c>
      <c r="C9949" t="s">
        <v>12576</v>
      </c>
      <c r="D9949" t="s">
        <v>16260</v>
      </c>
      <c r="E9949" t="s">
        <v>24943</v>
      </c>
      <c r="F9949" t="s">
        <v>28198</v>
      </c>
      <c r="G9949" t="s">
        <v>28205</v>
      </c>
      <c r="H9949" t="s">
        <v>28214</v>
      </c>
      <c r="I9949" t="s">
        <v>3797</v>
      </c>
      <c r="J9949" t="s">
        <v>34528</v>
      </c>
      <c r="K9949" t="s">
        <v>36759</v>
      </c>
      <c r="M9949" t="s">
        <v>37653</v>
      </c>
      <c r="N9949" t="s">
        <v>40436</v>
      </c>
      <c r="O9949" t="s">
        <v>40437</v>
      </c>
      <c r="P9949">
        <v>0</v>
      </c>
      <c r="Q9949">
        <v>1</v>
      </c>
      <c r="R9949" t="s">
        <v>40449</v>
      </c>
      <c r="S9949" t="s">
        <v>40919</v>
      </c>
      <c r="T9949" t="s">
        <v>42187</v>
      </c>
      <c r="U9949" t="s">
        <v>50937</v>
      </c>
      <c r="W9949" t="s">
        <v>37653</v>
      </c>
      <c r="X9949" t="s">
        <v>40450</v>
      </c>
    </row>
    <row r="9950" spans="1:24">
      <c r="A9950">
        <f>HYPERLINK("https://www.philgeps.gov.ph/GEPSNONPILOT/Tender/SplashBidNoticeAbstractUI.aspx?menuIndex=3&amp;refID=7031866&amp;Result=3","7031866")</f>
        <v>0</v>
      </c>
      <c r="B9950" t="s">
        <v>2041</v>
      </c>
      <c r="C9950" t="s">
        <v>12577</v>
      </c>
      <c r="D9950" t="s">
        <v>16196</v>
      </c>
      <c r="E9950" t="s">
        <v>24944</v>
      </c>
      <c r="F9950" t="s">
        <v>28198</v>
      </c>
      <c r="G9950" t="s">
        <v>28205</v>
      </c>
      <c r="H9950" t="s">
        <v>28214</v>
      </c>
      <c r="I9950" t="s">
        <v>3797</v>
      </c>
      <c r="J9950" t="s">
        <v>32253</v>
      </c>
      <c r="K9950" t="s">
        <v>36854</v>
      </c>
      <c r="M9950" t="s">
        <v>39184</v>
      </c>
      <c r="N9950" t="s">
        <v>40436</v>
      </c>
      <c r="O9950" t="s">
        <v>40437</v>
      </c>
      <c r="P9950">
        <v>0</v>
      </c>
      <c r="Q9950">
        <v>30</v>
      </c>
      <c r="R9950" t="s">
        <v>40449</v>
      </c>
      <c r="S9950" t="s">
        <v>40919</v>
      </c>
      <c r="T9950" t="s">
        <v>42098</v>
      </c>
      <c r="U9950" t="s">
        <v>47956</v>
      </c>
      <c r="W9950" t="s">
        <v>39184</v>
      </c>
      <c r="X9950" t="s">
        <v>40450</v>
      </c>
    </row>
    <row r="9951" spans="1:24">
      <c r="A9951">
        <f>HYPERLINK("https://www.philgeps.gov.ph/GEPSNONPILOT/Tender/SplashBidNoticeAbstractUI.aspx?menuIndex=3&amp;refID=7031871&amp;Result=3","7031871")</f>
        <v>0</v>
      </c>
      <c r="B9951" t="s">
        <v>2041</v>
      </c>
      <c r="C9951" t="s">
        <v>12578</v>
      </c>
      <c r="D9951" t="s">
        <v>16196</v>
      </c>
      <c r="E9951" t="s">
        <v>24945</v>
      </c>
      <c r="F9951" t="s">
        <v>28198</v>
      </c>
      <c r="G9951" t="s">
        <v>28205</v>
      </c>
      <c r="H9951" t="s">
        <v>28214</v>
      </c>
      <c r="I9951" t="s">
        <v>3797</v>
      </c>
      <c r="J9951" t="s">
        <v>32253</v>
      </c>
      <c r="K9951" t="s">
        <v>36854</v>
      </c>
      <c r="M9951" t="s">
        <v>39184</v>
      </c>
      <c r="N9951" t="s">
        <v>40436</v>
      </c>
      <c r="O9951" t="s">
        <v>40437</v>
      </c>
      <c r="P9951">
        <v>0</v>
      </c>
      <c r="Q9951">
        <v>28</v>
      </c>
      <c r="R9951" t="s">
        <v>40449</v>
      </c>
      <c r="S9951" t="s">
        <v>40919</v>
      </c>
      <c r="T9951" t="s">
        <v>42098</v>
      </c>
      <c r="U9951" t="s">
        <v>47956</v>
      </c>
      <c r="W9951" t="s">
        <v>39184</v>
      </c>
      <c r="X9951" t="s">
        <v>40450</v>
      </c>
    </row>
    <row r="9952" spans="1:24">
      <c r="A9952">
        <f>HYPERLINK("https://www.philgeps.gov.ph/GEPSNONPILOT/Tender/SplashBidNoticeAbstractUI.aspx?menuIndex=3&amp;refID=7031857&amp;Result=3","7031857")</f>
        <v>0</v>
      </c>
      <c r="B9952" t="s">
        <v>2645</v>
      </c>
      <c r="C9952" t="s">
        <v>12579</v>
      </c>
      <c r="D9952" t="s">
        <v>16208</v>
      </c>
      <c r="E9952" t="s">
        <v>24946</v>
      </c>
      <c r="F9952" t="s">
        <v>28198</v>
      </c>
      <c r="G9952" t="s">
        <v>28205</v>
      </c>
      <c r="H9952" t="s">
        <v>28215</v>
      </c>
      <c r="I9952" t="s">
        <v>8888</v>
      </c>
      <c r="J9952" t="s">
        <v>34529</v>
      </c>
      <c r="K9952" t="s">
        <v>36701</v>
      </c>
      <c r="M9952" t="s">
        <v>39870</v>
      </c>
      <c r="N9952" t="s">
        <v>40436</v>
      </c>
      <c r="O9952" t="s">
        <v>40437</v>
      </c>
      <c r="Q9952">
        <v>4</v>
      </c>
      <c r="R9952" t="s">
        <v>40449</v>
      </c>
      <c r="S9952" t="s">
        <v>40951</v>
      </c>
      <c r="T9952" t="s">
        <v>42138</v>
      </c>
      <c r="U9952" t="s">
        <v>50938</v>
      </c>
      <c r="W9952" t="s">
        <v>39870</v>
      </c>
      <c r="X9952" t="s">
        <v>40450</v>
      </c>
    </row>
    <row r="9953" spans="1:24">
      <c r="A9953">
        <f>HYPERLINK("https://www.philgeps.gov.ph/GEPSNONPILOT/Tender/SplashBidNoticeAbstractUI.aspx?menuIndex=3&amp;refID=7031856&amp;Result=3","7031856")</f>
        <v>0</v>
      </c>
      <c r="B9953" t="s">
        <v>2350</v>
      </c>
      <c r="C9953" t="s">
        <v>12580</v>
      </c>
      <c r="E9953" t="s">
        <v>24947</v>
      </c>
      <c r="F9953" t="s">
        <v>28198</v>
      </c>
      <c r="G9953" t="s">
        <v>28205</v>
      </c>
      <c r="H9953" t="s">
        <v>28214</v>
      </c>
      <c r="I9953" t="s">
        <v>3797</v>
      </c>
      <c r="J9953" t="s">
        <v>34530</v>
      </c>
      <c r="K9953" t="s">
        <v>36689</v>
      </c>
      <c r="M9953" t="s">
        <v>39992</v>
      </c>
      <c r="N9953" t="s">
        <v>40436</v>
      </c>
      <c r="O9953" t="s">
        <v>40437</v>
      </c>
      <c r="P9953">
        <v>0</v>
      </c>
      <c r="Q9953">
        <v>4</v>
      </c>
      <c r="R9953" t="s">
        <v>40449</v>
      </c>
      <c r="S9953" t="s">
        <v>40919</v>
      </c>
      <c r="T9953" t="s">
        <v>42279</v>
      </c>
      <c r="U9953" t="s">
        <v>50939</v>
      </c>
      <c r="W9953" t="s">
        <v>39992</v>
      </c>
      <c r="X9953" t="s">
        <v>40450</v>
      </c>
    </row>
    <row r="9954" spans="1:24">
      <c r="A9954">
        <f>HYPERLINK("https://www.philgeps.gov.ph/GEPSNONPILOT/Tender/SplashBidNoticeAbstractUI.aspx?menuIndex=3&amp;refID=7031844&amp;Result=3","7031844")</f>
        <v>0</v>
      </c>
      <c r="B9954" t="s">
        <v>2041</v>
      </c>
      <c r="C9954" t="s">
        <v>12581</v>
      </c>
      <c r="D9954" t="s">
        <v>16196</v>
      </c>
      <c r="E9954" t="s">
        <v>24948</v>
      </c>
      <c r="F9954" t="s">
        <v>28198</v>
      </c>
      <c r="G9954" t="s">
        <v>28205</v>
      </c>
      <c r="H9954" t="s">
        <v>28214</v>
      </c>
      <c r="I9954" t="s">
        <v>3797</v>
      </c>
      <c r="J9954" t="s">
        <v>29224</v>
      </c>
      <c r="K9954" t="s">
        <v>36918</v>
      </c>
      <c r="M9954" t="s">
        <v>39184</v>
      </c>
      <c r="N9954" t="s">
        <v>40436</v>
      </c>
      <c r="O9954" t="s">
        <v>40437</v>
      </c>
      <c r="P9954">
        <v>0</v>
      </c>
      <c r="Q9954">
        <v>36</v>
      </c>
      <c r="R9954" t="s">
        <v>40449</v>
      </c>
      <c r="S9954" t="s">
        <v>40919</v>
      </c>
      <c r="T9954" t="s">
        <v>42098</v>
      </c>
      <c r="U9954" t="s">
        <v>47956</v>
      </c>
      <c r="W9954" t="s">
        <v>39184</v>
      </c>
      <c r="X9954" t="s">
        <v>40450</v>
      </c>
    </row>
    <row r="9955" spans="1:24">
      <c r="A9955">
        <f>HYPERLINK("https://www.philgeps.gov.ph/GEPSNONPILOT/Tender/SplashBidNoticeAbstractUI.aspx?menuIndex=3&amp;refID=7031875&amp;Result=3","7031875")</f>
        <v>0</v>
      </c>
      <c r="B9955" t="s">
        <v>2745</v>
      </c>
      <c r="C9955" t="s">
        <v>12582</v>
      </c>
      <c r="D9955" t="s">
        <v>16235</v>
      </c>
      <c r="E9955" t="s">
        <v>20281</v>
      </c>
      <c r="F9955" t="s">
        <v>28198</v>
      </c>
      <c r="G9955" t="s">
        <v>28205</v>
      </c>
      <c r="H9955" t="s">
        <v>28214</v>
      </c>
      <c r="I9955" t="s">
        <v>3797</v>
      </c>
      <c r="J9955" t="s">
        <v>28345</v>
      </c>
      <c r="K9955" t="s">
        <v>36701</v>
      </c>
      <c r="M9955" t="s">
        <v>39993</v>
      </c>
      <c r="N9955" t="s">
        <v>40436</v>
      </c>
      <c r="O9955" t="s">
        <v>40437</v>
      </c>
      <c r="P9955">
        <v>0</v>
      </c>
      <c r="Q9955">
        <v>0</v>
      </c>
      <c r="R9955" t="s">
        <v>40449</v>
      </c>
      <c r="S9955" t="s">
        <v>40919</v>
      </c>
      <c r="T9955" t="s">
        <v>42552</v>
      </c>
      <c r="U9955" t="s">
        <v>50940</v>
      </c>
      <c r="V9955" t="s">
        <v>50940</v>
      </c>
      <c r="W9955" t="s">
        <v>39993</v>
      </c>
      <c r="X9955" t="s">
        <v>40450</v>
      </c>
    </row>
    <row r="9956" spans="1:24">
      <c r="A9956">
        <f>HYPERLINK("https://www.philgeps.gov.ph/GEPSNONPILOT/Tender/SplashBidNoticeAbstractUI.aspx?menuIndex=3&amp;refID=7031858&amp;Result=3","7031858")</f>
        <v>0</v>
      </c>
      <c r="B9956" t="s">
        <v>2645</v>
      </c>
      <c r="C9956" t="s">
        <v>12583</v>
      </c>
      <c r="D9956" t="s">
        <v>16208</v>
      </c>
      <c r="E9956" t="s">
        <v>24949</v>
      </c>
      <c r="F9956" t="s">
        <v>28198</v>
      </c>
      <c r="G9956" t="s">
        <v>28205</v>
      </c>
      <c r="H9956" t="s">
        <v>28215</v>
      </c>
      <c r="I9956" t="s">
        <v>8888</v>
      </c>
      <c r="J9956" t="s">
        <v>28363</v>
      </c>
      <c r="K9956" t="s">
        <v>36701</v>
      </c>
      <c r="M9956" t="s">
        <v>39870</v>
      </c>
      <c r="N9956" t="s">
        <v>40436</v>
      </c>
      <c r="O9956" t="s">
        <v>40437</v>
      </c>
      <c r="Q9956">
        <v>3</v>
      </c>
      <c r="R9956" t="s">
        <v>40449</v>
      </c>
      <c r="S9956" t="s">
        <v>40952</v>
      </c>
      <c r="T9956" t="s">
        <v>42138</v>
      </c>
      <c r="U9956" t="s">
        <v>50941</v>
      </c>
      <c r="W9956" t="s">
        <v>39870</v>
      </c>
      <c r="X9956" t="s">
        <v>40450</v>
      </c>
    </row>
    <row r="9957" spans="1:24">
      <c r="A9957">
        <f>HYPERLINK("https://www.philgeps.gov.ph/GEPSNONPILOT/Tender/SplashBidNoticeAbstractUI.aspx?menuIndex=3&amp;refID=7031870&amp;Result=3","7031870")</f>
        <v>0</v>
      </c>
      <c r="B9957" t="s">
        <v>2645</v>
      </c>
      <c r="C9957" t="s">
        <v>12584</v>
      </c>
      <c r="D9957" t="s">
        <v>16208</v>
      </c>
      <c r="E9957" t="s">
        <v>24950</v>
      </c>
      <c r="F9957" t="s">
        <v>28198</v>
      </c>
      <c r="G9957" t="s">
        <v>28205</v>
      </c>
      <c r="H9957" t="s">
        <v>28215</v>
      </c>
      <c r="I9957" t="s">
        <v>28220</v>
      </c>
      <c r="J9957" t="s">
        <v>29190</v>
      </c>
      <c r="K9957" t="s">
        <v>36701</v>
      </c>
      <c r="M9957" t="s">
        <v>39870</v>
      </c>
      <c r="N9957" t="s">
        <v>40436</v>
      </c>
      <c r="O9957" t="s">
        <v>40437</v>
      </c>
      <c r="Q9957">
        <v>11</v>
      </c>
      <c r="R9957" t="s">
        <v>40449</v>
      </c>
      <c r="S9957" t="s">
        <v>40953</v>
      </c>
      <c r="T9957" t="s">
        <v>42138</v>
      </c>
      <c r="U9957" t="s">
        <v>50942</v>
      </c>
      <c r="W9957" t="s">
        <v>39870</v>
      </c>
      <c r="X9957" t="s">
        <v>40450</v>
      </c>
    </row>
    <row r="9958" spans="1:24">
      <c r="A9958">
        <f>HYPERLINK("https://www.philgeps.gov.ph/GEPSNONPILOT/Tender/SplashBidNoticeAbstractUI.aspx?menuIndex=3&amp;refID=7031874&amp;Result=3","7031874")</f>
        <v>0</v>
      </c>
      <c r="B9958" t="s">
        <v>2645</v>
      </c>
      <c r="C9958" t="s">
        <v>12585</v>
      </c>
      <c r="D9958" t="s">
        <v>16208</v>
      </c>
      <c r="E9958" t="s">
        <v>24951</v>
      </c>
      <c r="F9958" t="s">
        <v>28198</v>
      </c>
      <c r="G9958" t="s">
        <v>28205</v>
      </c>
      <c r="H9958" t="s">
        <v>28215</v>
      </c>
      <c r="I9958" t="s">
        <v>28220</v>
      </c>
      <c r="J9958" t="s">
        <v>34531</v>
      </c>
      <c r="K9958" t="s">
        <v>36701</v>
      </c>
      <c r="M9958" t="s">
        <v>39870</v>
      </c>
      <c r="N9958" t="s">
        <v>40436</v>
      </c>
      <c r="O9958" t="s">
        <v>40437</v>
      </c>
      <c r="Q9958">
        <v>11</v>
      </c>
      <c r="R9958" t="s">
        <v>40449</v>
      </c>
      <c r="S9958" t="s">
        <v>40954</v>
      </c>
      <c r="T9958" t="s">
        <v>42138</v>
      </c>
      <c r="U9958" t="s">
        <v>50943</v>
      </c>
      <c r="W9958" t="s">
        <v>39870</v>
      </c>
      <c r="X9958" t="s">
        <v>40450</v>
      </c>
    </row>
    <row r="9959" spans="1:24">
      <c r="A9959">
        <f>HYPERLINK("https://www.philgeps.gov.ph/GEPSNONPILOT/Tender/SplashBidNoticeAbstractUI.aspx?menuIndex=3&amp;refID=7031859&amp;Result=3","7031859")</f>
        <v>0</v>
      </c>
      <c r="B9959" t="s">
        <v>2041</v>
      </c>
      <c r="C9959" t="s">
        <v>12586</v>
      </c>
      <c r="D9959" t="s">
        <v>16196</v>
      </c>
      <c r="E9959" t="s">
        <v>24952</v>
      </c>
      <c r="F9959" t="s">
        <v>28198</v>
      </c>
      <c r="G9959" t="s">
        <v>28205</v>
      </c>
      <c r="H9959" t="s">
        <v>28214</v>
      </c>
      <c r="I9959" t="s">
        <v>3797</v>
      </c>
      <c r="J9959" t="s">
        <v>29546</v>
      </c>
      <c r="K9959" t="s">
        <v>36919</v>
      </c>
      <c r="M9959" t="s">
        <v>39184</v>
      </c>
      <c r="N9959" t="s">
        <v>40436</v>
      </c>
      <c r="O9959" t="s">
        <v>40437</v>
      </c>
      <c r="P9959">
        <v>0</v>
      </c>
      <c r="Q9959">
        <v>40</v>
      </c>
      <c r="R9959" t="s">
        <v>40449</v>
      </c>
      <c r="S9959" t="s">
        <v>40919</v>
      </c>
      <c r="T9959" t="s">
        <v>42098</v>
      </c>
      <c r="U9959" t="s">
        <v>47956</v>
      </c>
      <c r="W9959" t="s">
        <v>39184</v>
      </c>
      <c r="X9959" t="s">
        <v>40450</v>
      </c>
    </row>
    <row r="9960" spans="1:24">
      <c r="A9960">
        <f>HYPERLINK("https://www.philgeps.gov.ph/GEPSNONPILOT/Tender/SplashBidNoticeAbstractUI.aspx?menuIndex=3&amp;refID=7031876&amp;Result=3","7031876")</f>
        <v>0</v>
      </c>
      <c r="B9960" t="s">
        <v>2041</v>
      </c>
      <c r="C9960" t="s">
        <v>12587</v>
      </c>
      <c r="D9960" t="s">
        <v>16196</v>
      </c>
      <c r="E9960" t="s">
        <v>24953</v>
      </c>
      <c r="F9960" t="s">
        <v>28198</v>
      </c>
      <c r="G9960" t="s">
        <v>28205</v>
      </c>
      <c r="H9960" t="s">
        <v>28214</v>
      </c>
      <c r="I9960" t="s">
        <v>3797</v>
      </c>
      <c r="J9960" t="s">
        <v>34532</v>
      </c>
      <c r="K9960" t="s">
        <v>36920</v>
      </c>
      <c r="M9960" t="s">
        <v>39184</v>
      </c>
      <c r="N9960" t="s">
        <v>40436</v>
      </c>
      <c r="O9960" t="s">
        <v>40437</v>
      </c>
      <c r="P9960">
        <v>0</v>
      </c>
      <c r="Q9960">
        <v>26</v>
      </c>
      <c r="R9960" t="s">
        <v>40449</v>
      </c>
      <c r="S9960" t="s">
        <v>40919</v>
      </c>
      <c r="T9960" t="s">
        <v>42098</v>
      </c>
      <c r="U9960" t="s">
        <v>47956</v>
      </c>
      <c r="W9960" t="s">
        <v>39184</v>
      </c>
      <c r="X9960" t="s">
        <v>40450</v>
      </c>
    </row>
    <row r="9961" spans="1:24">
      <c r="A9961">
        <f>HYPERLINK("https://www.philgeps.gov.ph/GEPSNONPILOT/Tender/SplashBidNoticeAbstractUI.aspx?menuIndex=3&amp;refID=7031850&amp;Result=3","7031850")</f>
        <v>0</v>
      </c>
      <c r="B9961" t="s">
        <v>2350</v>
      </c>
      <c r="C9961" t="s">
        <v>12588</v>
      </c>
      <c r="E9961" t="s">
        <v>24954</v>
      </c>
      <c r="F9961" t="s">
        <v>28198</v>
      </c>
      <c r="G9961" t="s">
        <v>28205</v>
      </c>
      <c r="H9961" t="s">
        <v>28215</v>
      </c>
      <c r="I9961" t="s">
        <v>28243</v>
      </c>
      <c r="J9961" t="s">
        <v>33884</v>
      </c>
      <c r="K9961" t="s">
        <v>36689</v>
      </c>
      <c r="M9961" t="s">
        <v>39992</v>
      </c>
      <c r="N9961" t="s">
        <v>40436</v>
      </c>
      <c r="O9961" t="s">
        <v>40437</v>
      </c>
      <c r="P9961">
        <v>0</v>
      </c>
      <c r="Q9961">
        <v>2</v>
      </c>
      <c r="R9961" t="s">
        <v>40449</v>
      </c>
      <c r="S9961" t="s">
        <v>40919</v>
      </c>
      <c r="T9961" t="s">
        <v>42279</v>
      </c>
      <c r="U9961" t="s">
        <v>50944</v>
      </c>
      <c r="W9961" t="s">
        <v>39992</v>
      </c>
      <c r="X9961" t="s">
        <v>40450</v>
      </c>
    </row>
    <row r="9962" spans="1:24">
      <c r="A9962">
        <f>HYPERLINK("https://www.philgeps.gov.ph/GEPSNONPILOT/Tender/SplashBidNoticeAbstractUI.aspx?menuIndex=3&amp;refID=7031846&amp;Result=3","7031846")</f>
        <v>0</v>
      </c>
      <c r="B9962" t="s">
        <v>2350</v>
      </c>
      <c r="C9962" t="s">
        <v>12589</v>
      </c>
      <c r="E9962" t="s">
        <v>24955</v>
      </c>
      <c r="F9962" t="s">
        <v>28198</v>
      </c>
      <c r="G9962" t="s">
        <v>28205</v>
      </c>
      <c r="H9962" t="s">
        <v>28215</v>
      </c>
      <c r="I9962" t="s">
        <v>28243</v>
      </c>
      <c r="J9962" t="s">
        <v>28837</v>
      </c>
      <c r="K9962" t="s">
        <v>36689</v>
      </c>
      <c r="M9962" t="s">
        <v>39992</v>
      </c>
      <c r="N9962" t="s">
        <v>40436</v>
      </c>
      <c r="O9962" t="s">
        <v>40437</v>
      </c>
      <c r="P9962">
        <v>0</v>
      </c>
      <c r="Q9962">
        <v>2</v>
      </c>
      <c r="R9962" t="s">
        <v>40449</v>
      </c>
      <c r="S9962" t="s">
        <v>40919</v>
      </c>
      <c r="T9962" t="s">
        <v>42279</v>
      </c>
      <c r="U9962" t="s">
        <v>50945</v>
      </c>
      <c r="W9962" t="s">
        <v>39992</v>
      </c>
      <c r="X9962" t="s">
        <v>40450</v>
      </c>
    </row>
    <row r="9963" spans="1:24">
      <c r="A9963">
        <f>HYPERLINK("https://www.philgeps.gov.ph/GEPSNONPILOT/Tender/SplashBidNoticeAbstractUI.aspx?menuIndex=3&amp;refID=7031864&amp;Result=3","7031864")</f>
        <v>0</v>
      </c>
      <c r="B9963" t="s">
        <v>2355</v>
      </c>
      <c r="C9963" t="s">
        <v>12590</v>
      </c>
      <c r="D9963" t="s">
        <v>16210</v>
      </c>
      <c r="E9963" t="s">
        <v>24956</v>
      </c>
      <c r="F9963" t="s">
        <v>28198</v>
      </c>
      <c r="G9963" t="s">
        <v>28205</v>
      </c>
      <c r="H9963" t="s">
        <v>28214</v>
      </c>
      <c r="I9963" t="s">
        <v>3797</v>
      </c>
      <c r="J9963" t="s">
        <v>34533</v>
      </c>
      <c r="K9963" t="s">
        <v>36701</v>
      </c>
      <c r="M9963" t="s">
        <v>39535</v>
      </c>
      <c r="N9963" t="s">
        <v>40436</v>
      </c>
      <c r="O9963" t="s">
        <v>40437</v>
      </c>
      <c r="Q9963">
        <v>33</v>
      </c>
      <c r="R9963" t="s">
        <v>40449</v>
      </c>
      <c r="S9963" t="s">
        <v>40955</v>
      </c>
      <c r="T9963" t="s">
        <v>42188</v>
      </c>
      <c r="U9963" t="s">
        <v>49176</v>
      </c>
      <c r="W9963" t="s">
        <v>39535</v>
      </c>
      <c r="X9963" t="s">
        <v>40450</v>
      </c>
    </row>
    <row r="9964" spans="1:24">
      <c r="A9964">
        <f>HYPERLINK("https://www.philgeps.gov.ph/GEPSNONPILOT/Tender/SplashBidNoticeAbstractUI.aspx?menuIndex=3&amp;refID=7031845&amp;Result=3","7031845")</f>
        <v>0</v>
      </c>
      <c r="B9964" t="s">
        <v>2355</v>
      </c>
      <c r="C9964" t="s">
        <v>12591</v>
      </c>
      <c r="D9964" t="s">
        <v>16210</v>
      </c>
      <c r="E9964" t="s">
        <v>24957</v>
      </c>
      <c r="F9964" t="s">
        <v>28198</v>
      </c>
      <c r="G9964" t="s">
        <v>28205</v>
      </c>
      <c r="H9964" t="s">
        <v>28214</v>
      </c>
      <c r="I9964" t="s">
        <v>3797</v>
      </c>
      <c r="J9964" t="s">
        <v>34534</v>
      </c>
      <c r="K9964" t="s">
        <v>36701</v>
      </c>
      <c r="M9964" t="s">
        <v>39535</v>
      </c>
      <c r="N9964" t="s">
        <v>40436</v>
      </c>
      <c r="O9964" t="s">
        <v>40437</v>
      </c>
      <c r="Q9964">
        <v>42</v>
      </c>
      <c r="R9964" t="s">
        <v>40449</v>
      </c>
      <c r="S9964" t="s">
        <v>40956</v>
      </c>
      <c r="T9964" t="s">
        <v>42188</v>
      </c>
      <c r="U9964" t="s">
        <v>49176</v>
      </c>
      <c r="W9964" t="s">
        <v>39535</v>
      </c>
      <c r="X9964" t="s">
        <v>40450</v>
      </c>
    </row>
    <row r="9965" spans="1:24">
      <c r="A9965">
        <f>HYPERLINK("https://www.philgeps.gov.ph/GEPSNONPILOT/Tender/SplashBidNoticeAbstractUI.aspx?menuIndex=3&amp;refID=7031877&amp;Result=3","7031877")</f>
        <v>0</v>
      </c>
      <c r="B9965" t="s">
        <v>2645</v>
      </c>
      <c r="C9965" t="s">
        <v>12592</v>
      </c>
      <c r="D9965" t="s">
        <v>16208</v>
      </c>
      <c r="E9965" t="s">
        <v>24958</v>
      </c>
      <c r="F9965" t="s">
        <v>28198</v>
      </c>
      <c r="G9965" t="s">
        <v>28205</v>
      </c>
      <c r="H9965" t="s">
        <v>28215</v>
      </c>
      <c r="I9965" t="s">
        <v>28225</v>
      </c>
      <c r="J9965" t="s">
        <v>28363</v>
      </c>
      <c r="K9965" t="s">
        <v>36701</v>
      </c>
      <c r="M9965" t="s">
        <v>39870</v>
      </c>
      <c r="N9965" t="s">
        <v>40436</v>
      </c>
      <c r="O9965" t="s">
        <v>40437</v>
      </c>
      <c r="Q9965">
        <v>12</v>
      </c>
      <c r="R9965" t="s">
        <v>40449</v>
      </c>
      <c r="S9965" t="s">
        <v>40957</v>
      </c>
      <c r="T9965" t="s">
        <v>42138</v>
      </c>
      <c r="U9965" t="s">
        <v>50946</v>
      </c>
      <c r="W9965" t="s">
        <v>39870</v>
      </c>
      <c r="X9965" t="s">
        <v>40450</v>
      </c>
    </row>
    <row r="9966" spans="1:24">
      <c r="A9966">
        <f>HYPERLINK("https://www.philgeps.gov.ph/GEPSNONPILOT/Tender/SplashBidNoticeAbstractUI.aspx?menuIndex=3&amp;refID=7031885&amp;Result=3","7031885")</f>
        <v>0</v>
      </c>
      <c r="B9966" t="s">
        <v>2355</v>
      </c>
      <c r="C9966" t="s">
        <v>12593</v>
      </c>
      <c r="D9966" t="s">
        <v>16210</v>
      </c>
      <c r="E9966" t="s">
        <v>24959</v>
      </c>
      <c r="F9966" t="s">
        <v>28198</v>
      </c>
      <c r="G9966" t="s">
        <v>28205</v>
      </c>
      <c r="H9966" t="s">
        <v>28214</v>
      </c>
      <c r="I9966" t="s">
        <v>3797</v>
      </c>
      <c r="J9966" t="s">
        <v>34535</v>
      </c>
      <c r="K9966" t="s">
        <v>36694</v>
      </c>
      <c r="M9966" t="s">
        <v>39535</v>
      </c>
      <c r="N9966" t="s">
        <v>40436</v>
      </c>
      <c r="O9966" t="s">
        <v>40437</v>
      </c>
      <c r="Q9966">
        <v>24</v>
      </c>
      <c r="R9966" t="s">
        <v>40449</v>
      </c>
      <c r="S9966" t="s">
        <v>40958</v>
      </c>
      <c r="T9966" t="s">
        <v>42188</v>
      </c>
      <c r="U9966" t="s">
        <v>49176</v>
      </c>
      <c r="W9966" t="s">
        <v>39535</v>
      </c>
      <c r="X9966" t="s">
        <v>40450</v>
      </c>
    </row>
    <row r="9967" spans="1:24">
      <c r="A9967">
        <f>HYPERLINK("https://www.philgeps.gov.ph/GEPSNONPILOT/Tender/SplashBidNoticeAbstractUI.aspx?menuIndex=3&amp;refID=7031954&amp;Result=3","7031954")</f>
        <v>0</v>
      </c>
      <c r="B9967" t="s">
        <v>2739</v>
      </c>
      <c r="C9967" t="s">
        <v>12594</v>
      </c>
      <c r="D9967" t="s">
        <v>16216</v>
      </c>
      <c r="E9967" t="s">
        <v>24960</v>
      </c>
      <c r="F9967" t="s">
        <v>28198</v>
      </c>
      <c r="G9967" t="s">
        <v>28205</v>
      </c>
      <c r="H9967" t="s">
        <v>28215</v>
      </c>
      <c r="I9967" t="s">
        <v>28262</v>
      </c>
      <c r="J9967" t="s">
        <v>28708</v>
      </c>
      <c r="K9967" t="s">
        <v>36689</v>
      </c>
      <c r="M9967" t="s">
        <v>39985</v>
      </c>
      <c r="N9967" t="s">
        <v>40436</v>
      </c>
      <c r="O9967" t="s">
        <v>40437</v>
      </c>
      <c r="P9967">
        <v>0</v>
      </c>
      <c r="Q9967">
        <v>6</v>
      </c>
      <c r="R9967" t="s">
        <v>40449</v>
      </c>
      <c r="S9967" t="s">
        <v>40919</v>
      </c>
      <c r="T9967" t="s">
        <v>42305</v>
      </c>
      <c r="U9967" t="s">
        <v>50947</v>
      </c>
      <c r="W9967" t="s">
        <v>39985</v>
      </c>
      <c r="X9967" t="s">
        <v>40450</v>
      </c>
    </row>
    <row r="9968" spans="1:24">
      <c r="A9968">
        <f>HYPERLINK("https://www.philgeps.gov.ph/GEPSNONPILOT/Tender/SplashBidNoticeAbstractUI.aspx?menuIndex=3&amp;refID=7031904&amp;Result=3","7031904")</f>
        <v>0</v>
      </c>
      <c r="B9968" t="s">
        <v>1820</v>
      </c>
      <c r="C9968" t="s">
        <v>12595</v>
      </c>
      <c r="D9968" t="s">
        <v>16199</v>
      </c>
      <c r="E9968" t="s">
        <v>24961</v>
      </c>
      <c r="F9968" t="s">
        <v>28198</v>
      </c>
      <c r="G9968" t="s">
        <v>28205</v>
      </c>
      <c r="H9968" t="s">
        <v>28214</v>
      </c>
      <c r="I9968" t="s">
        <v>3797</v>
      </c>
      <c r="J9968" t="s">
        <v>34536</v>
      </c>
      <c r="K9968" t="s">
        <v>36724</v>
      </c>
      <c r="M9968" t="s">
        <v>38941</v>
      </c>
      <c r="N9968" t="s">
        <v>40436</v>
      </c>
      <c r="O9968" t="s">
        <v>40437</v>
      </c>
      <c r="P9968">
        <v>0</v>
      </c>
      <c r="Q9968">
        <v>0</v>
      </c>
      <c r="R9968" t="s">
        <v>40449</v>
      </c>
      <c r="S9968" t="s">
        <v>40919</v>
      </c>
      <c r="T9968" t="s">
        <v>42287</v>
      </c>
      <c r="U9968" t="s">
        <v>50948</v>
      </c>
      <c r="V9968" t="s">
        <v>54878</v>
      </c>
      <c r="W9968" t="s">
        <v>38941</v>
      </c>
      <c r="X9968" t="s">
        <v>40450</v>
      </c>
    </row>
    <row r="9969" spans="1:24">
      <c r="A9969">
        <f>HYPERLINK("https://www.philgeps.gov.ph/GEPSNONPILOT/Tender/SplashBidNoticeAbstractUI.aspx?menuIndex=3&amp;refID=7031903&amp;Result=3","7031903")</f>
        <v>0</v>
      </c>
      <c r="B9969" t="s">
        <v>1883</v>
      </c>
      <c r="C9969" t="s">
        <v>12596</v>
      </c>
      <c r="D9969" t="s">
        <v>16207</v>
      </c>
      <c r="E9969" t="s">
        <v>24962</v>
      </c>
      <c r="F9969" t="s">
        <v>28198</v>
      </c>
      <c r="G9969" t="s">
        <v>28205</v>
      </c>
      <c r="H9969" t="s">
        <v>28214</v>
      </c>
      <c r="I9969" t="s">
        <v>3797</v>
      </c>
      <c r="J9969" t="s">
        <v>34537</v>
      </c>
      <c r="K9969" t="s">
        <v>36692</v>
      </c>
      <c r="M9969" t="s">
        <v>39015</v>
      </c>
      <c r="N9969" t="s">
        <v>40436</v>
      </c>
      <c r="O9969" t="s">
        <v>40437</v>
      </c>
      <c r="P9969">
        <v>0</v>
      </c>
      <c r="Q9969">
        <v>2</v>
      </c>
      <c r="R9969" t="s">
        <v>40449</v>
      </c>
      <c r="S9969" t="s">
        <v>40919</v>
      </c>
      <c r="T9969" t="s">
        <v>42183</v>
      </c>
      <c r="U9969" t="s">
        <v>50949</v>
      </c>
      <c r="W9969" t="s">
        <v>39015</v>
      </c>
      <c r="X9969" t="s">
        <v>40450</v>
      </c>
    </row>
    <row r="9970" spans="1:24">
      <c r="A9970">
        <f>HYPERLINK("https://www.philgeps.gov.ph/GEPSNONPILOT/Tender/SplashBidNoticeAbstractUI.aspx?menuIndex=3&amp;refID=7031942&amp;Result=3","7031942")</f>
        <v>0</v>
      </c>
      <c r="B9970" t="s">
        <v>2746</v>
      </c>
      <c r="C9970" t="s">
        <v>12597</v>
      </c>
      <c r="D9970" t="s">
        <v>16238</v>
      </c>
      <c r="E9970" t="s">
        <v>24963</v>
      </c>
      <c r="F9970" t="s">
        <v>28198</v>
      </c>
      <c r="G9970" t="s">
        <v>28205</v>
      </c>
      <c r="H9970" t="s">
        <v>28215</v>
      </c>
      <c r="I9970" t="s">
        <v>28234</v>
      </c>
      <c r="J9970" t="s">
        <v>28351</v>
      </c>
      <c r="K9970" t="s">
        <v>36694</v>
      </c>
      <c r="M9970" t="s">
        <v>39994</v>
      </c>
      <c r="N9970" t="s">
        <v>40436</v>
      </c>
      <c r="O9970" t="s">
        <v>40437</v>
      </c>
      <c r="P9970">
        <v>0</v>
      </c>
      <c r="Q9970">
        <v>5</v>
      </c>
      <c r="R9970" t="s">
        <v>40449</v>
      </c>
      <c r="S9970" t="s">
        <v>40919</v>
      </c>
      <c r="T9970" t="s">
        <v>42346</v>
      </c>
      <c r="U9970" t="s">
        <v>50950</v>
      </c>
      <c r="W9970" t="s">
        <v>39994</v>
      </c>
      <c r="X9970" t="s">
        <v>40450</v>
      </c>
    </row>
    <row r="9971" spans="1:24">
      <c r="A9971">
        <f>HYPERLINK("https://www.philgeps.gov.ph/GEPSNONPILOT/Tender/SplashBidNoticeAbstractUI.aspx?menuIndex=3&amp;refID=7031892&amp;Result=3","7031892")</f>
        <v>0</v>
      </c>
      <c r="B9971" t="s">
        <v>2355</v>
      </c>
      <c r="C9971" t="s">
        <v>12598</v>
      </c>
      <c r="D9971" t="s">
        <v>16210</v>
      </c>
      <c r="E9971" t="s">
        <v>24964</v>
      </c>
      <c r="F9971" t="s">
        <v>28198</v>
      </c>
      <c r="G9971" t="s">
        <v>28205</v>
      </c>
      <c r="H9971" t="s">
        <v>28214</v>
      </c>
      <c r="I9971" t="s">
        <v>3797</v>
      </c>
      <c r="J9971" t="s">
        <v>34538</v>
      </c>
      <c r="K9971" t="s">
        <v>36701</v>
      </c>
      <c r="M9971" t="s">
        <v>39535</v>
      </c>
      <c r="N9971" t="s">
        <v>40436</v>
      </c>
      <c r="O9971" t="s">
        <v>40437</v>
      </c>
      <c r="Q9971">
        <v>34</v>
      </c>
      <c r="R9971" t="s">
        <v>40449</v>
      </c>
      <c r="S9971" t="s">
        <v>40959</v>
      </c>
      <c r="T9971" t="s">
        <v>42188</v>
      </c>
      <c r="U9971" t="s">
        <v>49176</v>
      </c>
      <c r="W9971" t="s">
        <v>39535</v>
      </c>
      <c r="X9971" t="s">
        <v>40450</v>
      </c>
    </row>
    <row r="9972" spans="1:24">
      <c r="A9972">
        <f>HYPERLINK("https://www.philgeps.gov.ph/GEPSNONPILOT/Tender/SplashBidNoticeAbstractUI.aspx?menuIndex=3&amp;refID=7031933&amp;Result=3","7031933")</f>
        <v>0</v>
      </c>
      <c r="B9972" t="s">
        <v>2747</v>
      </c>
      <c r="C9972" t="s">
        <v>12599</v>
      </c>
      <c r="D9972" t="s">
        <v>16214</v>
      </c>
      <c r="E9972" t="s">
        <v>24965</v>
      </c>
      <c r="F9972" t="s">
        <v>28198</v>
      </c>
      <c r="G9972" t="s">
        <v>28207</v>
      </c>
      <c r="H9972" t="s">
        <v>28214</v>
      </c>
      <c r="I9972" t="s">
        <v>3797</v>
      </c>
      <c r="J9972" t="s">
        <v>34539</v>
      </c>
      <c r="K9972" t="s">
        <v>36689</v>
      </c>
      <c r="M9972" t="s">
        <v>39995</v>
      </c>
      <c r="N9972" t="s">
        <v>40436</v>
      </c>
      <c r="O9972" t="s">
        <v>40437</v>
      </c>
      <c r="P9972">
        <v>0</v>
      </c>
      <c r="Q9972">
        <v>0</v>
      </c>
      <c r="R9972" t="s">
        <v>40449</v>
      </c>
      <c r="S9972" t="s">
        <v>40919</v>
      </c>
      <c r="T9972" t="s">
        <v>42233</v>
      </c>
      <c r="U9972" t="s">
        <v>50951</v>
      </c>
      <c r="W9972" t="s">
        <v>39995</v>
      </c>
      <c r="X9972" t="s">
        <v>40450</v>
      </c>
    </row>
    <row r="9973" spans="1:24">
      <c r="A9973">
        <f>HYPERLINK("https://www.philgeps.gov.ph/GEPSNONPILOT/Tender/SplashBidNoticeAbstractUI.aspx?menuIndex=3&amp;refID=7031896&amp;Result=3","7031896")</f>
        <v>0</v>
      </c>
      <c r="B9973" t="s">
        <v>2355</v>
      </c>
      <c r="C9973" t="s">
        <v>12600</v>
      </c>
      <c r="D9973" t="s">
        <v>16210</v>
      </c>
      <c r="E9973" t="s">
        <v>24966</v>
      </c>
      <c r="F9973" t="s">
        <v>28198</v>
      </c>
      <c r="G9973" t="s">
        <v>28205</v>
      </c>
      <c r="H9973" t="s">
        <v>28214</v>
      </c>
      <c r="I9973" t="s">
        <v>3797</v>
      </c>
      <c r="J9973" t="s">
        <v>34540</v>
      </c>
      <c r="K9973" t="s">
        <v>36701</v>
      </c>
      <c r="M9973" t="s">
        <v>39535</v>
      </c>
      <c r="N9973" t="s">
        <v>40436</v>
      </c>
      <c r="O9973" t="s">
        <v>40437</v>
      </c>
      <c r="Q9973">
        <v>35</v>
      </c>
      <c r="R9973" t="s">
        <v>40449</v>
      </c>
      <c r="S9973" t="s">
        <v>40960</v>
      </c>
      <c r="T9973" t="s">
        <v>42188</v>
      </c>
      <c r="U9973" t="s">
        <v>49176</v>
      </c>
      <c r="W9973" t="s">
        <v>39535</v>
      </c>
      <c r="X9973" t="s">
        <v>40450</v>
      </c>
    </row>
    <row r="9974" spans="1:24">
      <c r="A9974">
        <f>HYPERLINK("https://www.philgeps.gov.ph/GEPSNONPILOT/Tender/SplashBidNoticeAbstractUI.aspx?menuIndex=3&amp;refID=7031958&amp;Result=3","7031958")</f>
        <v>0</v>
      </c>
      <c r="B9974" t="s">
        <v>2748</v>
      </c>
      <c r="C9974" t="s">
        <v>12601</v>
      </c>
      <c r="D9974" t="s">
        <v>16231</v>
      </c>
      <c r="E9974" t="s">
        <v>12601</v>
      </c>
      <c r="F9974" t="s">
        <v>28198</v>
      </c>
      <c r="G9974" t="s">
        <v>28205</v>
      </c>
      <c r="H9974" t="s">
        <v>28215</v>
      </c>
      <c r="I9974" t="s">
        <v>5100</v>
      </c>
      <c r="J9974" t="s">
        <v>34541</v>
      </c>
      <c r="K9974" t="s">
        <v>36701</v>
      </c>
      <c r="M9974" t="s">
        <v>39996</v>
      </c>
      <c r="N9974" t="s">
        <v>40436</v>
      </c>
      <c r="O9974" t="s">
        <v>40437</v>
      </c>
      <c r="P9974">
        <v>0</v>
      </c>
      <c r="Q9974">
        <v>0</v>
      </c>
      <c r="R9974" t="s">
        <v>40449</v>
      </c>
      <c r="S9974" t="s">
        <v>40919</v>
      </c>
      <c r="T9974" t="s">
        <v>42424</v>
      </c>
      <c r="U9974" t="s">
        <v>50952</v>
      </c>
      <c r="W9974" t="s">
        <v>39996</v>
      </c>
      <c r="X9974" t="s">
        <v>40450</v>
      </c>
    </row>
    <row r="9975" spans="1:24">
      <c r="A9975">
        <f>HYPERLINK("https://www.philgeps.gov.ph/GEPSNONPILOT/Tender/SplashBidNoticeAbstractUI.aspx?menuIndex=3&amp;refID=7002927-2&amp;Result=3","7002927-2")</f>
        <v>0</v>
      </c>
      <c r="B9975" t="s">
        <v>31</v>
      </c>
      <c r="C9975" t="s">
        <v>12602</v>
      </c>
      <c r="D9975" t="s">
        <v>16193</v>
      </c>
      <c r="E9975" t="s">
        <v>24967</v>
      </c>
      <c r="F9975" t="s">
        <v>28198</v>
      </c>
      <c r="G9975" t="s">
        <v>28205</v>
      </c>
      <c r="H9975" t="s">
        <v>28216</v>
      </c>
      <c r="I9975" t="s">
        <v>28216</v>
      </c>
      <c r="J9975" t="s">
        <v>28468</v>
      </c>
      <c r="K9975" t="s">
        <v>36735</v>
      </c>
      <c r="M9975" t="s">
        <v>37000</v>
      </c>
      <c r="N9975" t="s">
        <v>40436</v>
      </c>
      <c r="O9975" t="s">
        <v>40437</v>
      </c>
      <c r="P9975">
        <v>0</v>
      </c>
      <c r="Q9975">
        <v>0</v>
      </c>
      <c r="R9975" t="s">
        <v>40450</v>
      </c>
      <c r="S9975" t="s">
        <v>40961</v>
      </c>
      <c r="T9975" t="s">
        <v>42165</v>
      </c>
      <c r="U9975" t="s">
        <v>50953</v>
      </c>
      <c r="W9975" t="s">
        <v>37000</v>
      </c>
      <c r="X9975" t="s">
        <v>40451</v>
      </c>
    </row>
    <row r="9976" spans="1:24">
      <c r="A9976">
        <f>HYPERLINK("https://www.philgeps.gov.ph/GEPSNONPILOT/Tender/SplashBidNoticeAbstractUI.aspx?menuIndex=3&amp;refID=6997964-2&amp;Result=3","6997964-2")</f>
        <v>0</v>
      </c>
      <c r="B9976" t="s">
        <v>2749</v>
      </c>
      <c r="C9976" t="s">
        <v>12603</v>
      </c>
      <c r="D9976" t="s">
        <v>16254</v>
      </c>
      <c r="E9976" t="s">
        <v>24968</v>
      </c>
      <c r="F9976" t="s">
        <v>28198</v>
      </c>
      <c r="G9976" t="s">
        <v>28205</v>
      </c>
      <c r="H9976" t="s">
        <v>28216</v>
      </c>
      <c r="I9976" t="s">
        <v>28216</v>
      </c>
      <c r="J9976" t="s">
        <v>28561</v>
      </c>
      <c r="K9976" t="s">
        <v>36701</v>
      </c>
      <c r="M9976" t="s">
        <v>39997</v>
      </c>
      <c r="N9976" t="s">
        <v>40436</v>
      </c>
      <c r="O9976" t="s">
        <v>40437</v>
      </c>
      <c r="P9976">
        <v>0</v>
      </c>
      <c r="Q9976">
        <v>1</v>
      </c>
      <c r="R9976" t="s">
        <v>40450</v>
      </c>
      <c r="S9976" t="s">
        <v>40961</v>
      </c>
      <c r="T9976" t="s">
        <v>42129</v>
      </c>
      <c r="U9976" t="s">
        <v>50954</v>
      </c>
      <c r="V9976" t="s">
        <v>54879</v>
      </c>
      <c r="W9976" t="s">
        <v>39997</v>
      </c>
      <c r="X9976" t="s">
        <v>40451</v>
      </c>
    </row>
    <row r="9977" spans="1:24">
      <c r="A9977">
        <f>HYPERLINK("https://www.philgeps.gov.ph/GEPSNONPILOT/Tender/SplashBidNoticeAbstractUI.aspx?menuIndex=3&amp;refID=7031961&amp;Result=3","7031961")</f>
        <v>0</v>
      </c>
      <c r="B9977" t="s">
        <v>1648</v>
      </c>
      <c r="C9977" t="s">
        <v>7521</v>
      </c>
      <c r="D9977" t="s">
        <v>16190</v>
      </c>
      <c r="E9977" t="s">
        <v>17417</v>
      </c>
      <c r="F9977" t="s">
        <v>28201</v>
      </c>
      <c r="G9977" t="s">
        <v>28205</v>
      </c>
      <c r="H9977" t="s">
        <v>28215</v>
      </c>
      <c r="I9977" t="s">
        <v>28222</v>
      </c>
      <c r="J9977" t="s">
        <v>28415</v>
      </c>
      <c r="K9977" t="s">
        <v>36688</v>
      </c>
      <c r="M9977" t="s">
        <v>38742</v>
      </c>
      <c r="N9977" t="s">
        <v>40436</v>
      </c>
      <c r="O9977" t="s">
        <v>40437</v>
      </c>
      <c r="P9977">
        <v>0</v>
      </c>
      <c r="Q9977">
        <v>0</v>
      </c>
      <c r="R9977" t="s">
        <v>40449</v>
      </c>
      <c r="S9977" t="s">
        <v>40919</v>
      </c>
      <c r="T9977" t="s">
        <v>42148</v>
      </c>
      <c r="U9977" t="s">
        <v>50955</v>
      </c>
      <c r="V9977" t="s">
        <v>53932</v>
      </c>
      <c r="W9977" t="s">
        <v>38742</v>
      </c>
      <c r="X9977" t="s">
        <v>40450</v>
      </c>
    </row>
    <row r="9978" spans="1:24">
      <c r="A9978">
        <f>HYPERLINK("https://www.philgeps.gov.ph/GEPSNONPILOT/Tender/SplashBidNoticeAbstractUI.aspx?menuIndex=3&amp;refID=7031888&amp;Result=3","7031888")</f>
        <v>0</v>
      </c>
      <c r="B9978" t="s">
        <v>2745</v>
      </c>
      <c r="C9978" t="s">
        <v>12604</v>
      </c>
      <c r="D9978" t="s">
        <v>16235</v>
      </c>
      <c r="E9978" t="s">
        <v>19989</v>
      </c>
      <c r="F9978" t="s">
        <v>28198</v>
      </c>
      <c r="G9978" t="s">
        <v>28205</v>
      </c>
      <c r="H9978" t="s">
        <v>28214</v>
      </c>
      <c r="I9978" t="s">
        <v>3797</v>
      </c>
      <c r="J9978" t="s">
        <v>28345</v>
      </c>
      <c r="K9978" t="s">
        <v>36701</v>
      </c>
      <c r="M9978" t="s">
        <v>39993</v>
      </c>
      <c r="N9978" t="s">
        <v>40436</v>
      </c>
      <c r="O9978" t="s">
        <v>40437</v>
      </c>
      <c r="P9978">
        <v>0</v>
      </c>
      <c r="Q9978">
        <v>0</v>
      </c>
      <c r="R9978" t="s">
        <v>40449</v>
      </c>
      <c r="S9978" t="s">
        <v>40919</v>
      </c>
      <c r="T9978" t="s">
        <v>42552</v>
      </c>
      <c r="U9978" t="s">
        <v>50956</v>
      </c>
      <c r="V9978" t="s">
        <v>54880</v>
      </c>
      <c r="W9978" t="s">
        <v>39993</v>
      </c>
      <c r="X9978" t="s">
        <v>40450</v>
      </c>
    </row>
    <row r="9979" spans="1:24">
      <c r="A9979">
        <f>HYPERLINK("https://www.philgeps.gov.ph/GEPSNONPILOT/Tender/SplashBidNoticeAbstractUI.aspx?menuIndex=3&amp;refID=6997958-2&amp;Result=3","6997958-2")</f>
        <v>0</v>
      </c>
      <c r="B9979" t="s">
        <v>2749</v>
      </c>
      <c r="C9979" t="s">
        <v>12605</v>
      </c>
      <c r="D9979" t="s">
        <v>16254</v>
      </c>
      <c r="E9979" t="s">
        <v>24969</v>
      </c>
      <c r="F9979" t="s">
        <v>28198</v>
      </c>
      <c r="G9979" t="s">
        <v>28205</v>
      </c>
      <c r="H9979" t="s">
        <v>28216</v>
      </c>
      <c r="I9979" t="s">
        <v>28216</v>
      </c>
      <c r="J9979" t="s">
        <v>28561</v>
      </c>
      <c r="K9979" t="s">
        <v>36701</v>
      </c>
      <c r="M9979" t="s">
        <v>39997</v>
      </c>
      <c r="N9979" t="s">
        <v>40436</v>
      </c>
      <c r="O9979" t="s">
        <v>40437</v>
      </c>
      <c r="P9979">
        <v>0</v>
      </c>
      <c r="Q9979">
        <v>1</v>
      </c>
      <c r="R9979" t="s">
        <v>40450</v>
      </c>
      <c r="S9979" t="s">
        <v>40961</v>
      </c>
      <c r="T9979" t="s">
        <v>42129</v>
      </c>
      <c r="U9979" t="s">
        <v>50954</v>
      </c>
      <c r="V9979" t="s">
        <v>54881</v>
      </c>
      <c r="W9979" t="s">
        <v>39997</v>
      </c>
      <c r="X9979" t="s">
        <v>40451</v>
      </c>
    </row>
    <row r="9980" spans="1:24">
      <c r="A9980">
        <f>HYPERLINK("https://www.philgeps.gov.ph/GEPSNONPILOT/Tender/SplashBidNoticeAbstractUI.aspx?menuIndex=3&amp;refID=7017568&amp;Result=3","7017568")</f>
        <v>0</v>
      </c>
      <c r="B9980" t="s">
        <v>1282</v>
      </c>
      <c r="C9980" t="s">
        <v>12606</v>
      </c>
      <c r="D9980" t="s">
        <v>16214</v>
      </c>
      <c r="E9980" t="s">
        <v>24970</v>
      </c>
      <c r="F9980" t="s">
        <v>28198</v>
      </c>
      <c r="G9980" t="s">
        <v>28205</v>
      </c>
      <c r="H9980" t="s">
        <v>28214</v>
      </c>
      <c r="I9980" t="s">
        <v>3797</v>
      </c>
      <c r="J9980" t="s">
        <v>29595</v>
      </c>
      <c r="K9980" t="s">
        <v>36737</v>
      </c>
      <c r="M9980" t="s">
        <v>39998</v>
      </c>
      <c r="N9980" t="s">
        <v>40436</v>
      </c>
      <c r="O9980" t="s">
        <v>40437</v>
      </c>
      <c r="P9980">
        <v>0</v>
      </c>
      <c r="Q9980">
        <v>1</v>
      </c>
      <c r="R9980" t="s">
        <v>40450</v>
      </c>
      <c r="S9980" t="s">
        <v>40961</v>
      </c>
      <c r="T9980" t="s">
        <v>42188</v>
      </c>
      <c r="U9980" t="s">
        <v>50957</v>
      </c>
      <c r="V9980" t="s">
        <v>54882</v>
      </c>
      <c r="W9980" t="s">
        <v>39998</v>
      </c>
      <c r="X9980" t="s">
        <v>40457</v>
      </c>
    </row>
    <row r="9981" spans="1:24">
      <c r="A9981">
        <f>HYPERLINK("https://www.philgeps.gov.ph/GEPSNONPILOT/Tender/SplashBidNoticeAbstractUI.aspx?menuIndex=3&amp;refID=6997949-2&amp;Result=3","6997949-2")</f>
        <v>0</v>
      </c>
      <c r="B9981" t="s">
        <v>2749</v>
      </c>
      <c r="C9981" t="s">
        <v>12607</v>
      </c>
      <c r="E9981" t="s">
        <v>24971</v>
      </c>
      <c r="F9981" t="s">
        <v>28198</v>
      </c>
      <c r="G9981" t="s">
        <v>28205</v>
      </c>
      <c r="H9981" t="s">
        <v>28216</v>
      </c>
      <c r="I9981" t="s">
        <v>28216</v>
      </c>
      <c r="J9981" t="s">
        <v>29113</v>
      </c>
      <c r="K9981" t="s">
        <v>36694</v>
      </c>
      <c r="M9981" t="s">
        <v>39997</v>
      </c>
      <c r="N9981" t="s">
        <v>40436</v>
      </c>
      <c r="O9981" t="s">
        <v>40437</v>
      </c>
      <c r="P9981">
        <v>0</v>
      </c>
      <c r="Q9981">
        <v>2</v>
      </c>
      <c r="R9981" t="s">
        <v>40450</v>
      </c>
      <c r="S9981" t="s">
        <v>40961</v>
      </c>
      <c r="T9981" t="s">
        <v>42129</v>
      </c>
      <c r="U9981" t="s">
        <v>50958</v>
      </c>
      <c r="V9981" t="s">
        <v>54883</v>
      </c>
      <c r="W9981" t="s">
        <v>39997</v>
      </c>
      <c r="X9981" t="s">
        <v>40451</v>
      </c>
    </row>
    <row r="9982" spans="1:24">
      <c r="A9982">
        <f>HYPERLINK("https://www.philgeps.gov.ph/GEPSNONPILOT/Tender/SplashBidNoticeAbstractUI.aspx?menuIndex=3&amp;refID=7017640&amp;Result=3","7017640")</f>
        <v>0</v>
      </c>
      <c r="B9982" t="s">
        <v>1282</v>
      </c>
      <c r="C9982" t="s">
        <v>12608</v>
      </c>
      <c r="D9982" t="s">
        <v>16214</v>
      </c>
      <c r="E9982" t="s">
        <v>24972</v>
      </c>
      <c r="F9982" t="s">
        <v>28198</v>
      </c>
      <c r="G9982" t="s">
        <v>28205</v>
      </c>
      <c r="H9982" t="s">
        <v>28214</v>
      </c>
      <c r="I9982" t="s">
        <v>3797</v>
      </c>
      <c r="J9982" t="s">
        <v>29595</v>
      </c>
      <c r="K9982" t="s">
        <v>36737</v>
      </c>
      <c r="M9982" t="s">
        <v>39998</v>
      </c>
      <c r="N9982" t="s">
        <v>40436</v>
      </c>
      <c r="O9982" t="s">
        <v>40437</v>
      </c>
      <c r="P9982">
        <v>0</v>
      </c>
      <c r="Q9982">
        <v>2</v>
      </c>
      <c r="R9982" t="s">
        <v>40450</v>
      </c>
      <c r="S9982" t="s">
        <v>40961</v>
      </c>
      <c r="T9982" t="s">
        <v>42188</v>
      </c>
      <c r="U9982" t="s">
        <v>45679</v>
      </c>
      <c r="V9982" t="s">
        <v>54884</v>
      </c>
      <c r="W9982" t="s">
        <v>39998</v>
      </c>
      <c r="X9982" t="s">
        <v>40457</v>
      </c>
    </row>
    <row r="9983" spans="1:24">
      <c r="A9983">
        <f>HYPERLINK("https://www.philgeps.gov.ph/GEPSNONPILOT/Tender/SplashBidNoticeAbstractUI.aspx?menuIndex=3&amp;refID=6944866-2&amp;Result=3","6944866-2")</f>
        <v>0</v>
      </c>
      <c r="B9983" t="s">
        <v>2750</v>
      </c>
      <c r="C9983" t="s">
        <v>12609</v>
      </c>
      <c r="D9983" t="s">
        <v>16249</v>
      </c>
      <c r="E9983" t="s">
        <v>24973</v>
      </c>
      <c r="F9983" t="s">
        <v>28198</v>
      </c>
      <c r="G9983" t="s">
        <v>28205</v>
      </c>
      <c r="H9983" t="s">
        <v>28216</v>
      </c>
      <c r="I9983" t="s">
        <v>28216</v>
      </c>
      <c r="J9983" t="s">
        <v>34542</v>
      </c>
      <c r="K9983" t="s">
        <v>36697</v>
      </c>
      <c r="M9983" t="s">
        <v>39999</v>
      </c>
      <c r="N9983" t="s">
        <v>40436</v>
      </c>
      <c r="O9983" t="s">
        <v>40437</v>
      </c>
      <c r="P9983">
        <v>0</v>
      </c>
      <c r="Q9983">
        <v>0</v>
      </c>
      <c r="R9983" t="s">
        <v>40450</v>
      </c>
      <c r="S9983" t="s">
        <v>40961</v>
      </c>
      <c r="T9983" t="s">
        <v>42116</v>
      </c>
      <c r="U9983" t="s">
        <v>50959</v>
      </c>
      <c r="W9983" t="s">
        <v>39999</v>
      </c>
      <c r="X9983" t="s">
        <v>40451</v>
      </c>
    </row>
    <row r="9984" spans="1:24">
      <c r="A9984">
        <f>HYPERLINK("https://www.philgeps.gov.ph/GEPSNONPILOT/Tender/SplashBidNoticeAbstractUI.aspx?menuIndex=3&amp;refID=7002935-2&amp;Result=3","7002935-2")</f>
        <v>0</v>
      </c>
      <c r="B9984" t="s">
        <v>31</v>
      </c>
      <c r="C9984" t="s">
        <v>12610</v>
      </c>
      <c r="E9984" t="s">
        <v>24974</v>
      </c>
      <c r="F9984" t="s">
        <v>28198</v>
      </c>
      <c r="G9984" t="s">
        <v>28205</v>
      </c>
      <c r="H9984" t="s">
        <v>28216</v>
      </c>
      <c r="I9984" t="s">
        <v>28216</v>
      </c>
      <c r="J9984" t="s">
        <v>28899</v>
      </c>
      <c r="K9984" t="s">
        <v>36706</v>
      </c>
      <c r="M9984" t="s">
        <v>37000</v>
      </c>
      <c r="N9984" t="s">
        <v>40436</v>
      </c>
      <c r="O9984" t="s">
        <v>40437</v>
      </c>
      <c r="P9984">
        <v>0</v>
      </c>
      <c r="Q9984">
        <v>1</v>
      </c>
      <c r="R9984" t="s">
        <v>40450</v>
      </c>
      <c r="S9984" t="s">
        <v>40961</v>
      </c>
      <c r="T9984" t="s">
        <v>42165</v>
      </c>
      <c r="U9984" t="s">
        <v>50960</v>
      </c>
      <c r="W9984" t="s">
        <v>37000</v>
      </c>
      <c r="X9984" t="s">
        <v>40451</v>
      </c>
    </row>
    <row r="9985" spans="1:24">
      <c r="A9985">
        <f>HYPERLINK("https://www.philgeps.gov.ph/GEPSNONPILOT/Tender/SplashBidNoticeAbstractUI.aspx?menuIndex=3&amp;refID=7016892&amp;Result=3","7016892")</f>
        <v>0</v>
      </c>
      <c r="B9985" t="s">
        <v>1282</v>
      </c>
      <c r="C9985" t="s">
        <v>12611</v>
      </c>
      <c r="D9985" t="s">
        <v>16214</v>
      </c>
      <c r="E9985" t="s">
        <v>24975</v>
      </c>
      <c r="F9985" t="s">
        <v>28198</v>
      </c>
      <c r="G9985" t="s">
        <v>28205</v>
      </c>
      <c r="H9985" t="s">
        <v>28214</v>
      </c>
      <c r="I9985" t="s">
        <v>3797</v>
      </c>
      <c r="J9985" t="s">
        <v>29595</v>
      </c>
      <c r="K9985" t="s">
        <v>36737</v>
      </c>
      <c r="M9985" t="s">
        <v>39998</v>
      </c>
      <c r="N9985" t="s">
        <v>40436</v>
      </c>
      <c r="O9985" t="s">
        <v>40437</v>
      </c>
      <c r="P9985">
        <v>0</v>
      </c>
      <c r="Q9985">
        <v>0</v>
      </c>
      <c r="R9985" t="s">
        <v>40450</v>
      </c>
      <c r="S9985" t="s">
        <v>40961</v>
      </c>
      <c r="T9985" t="s">
        <v>42188</v>
      </c>
      <c r="U9985" t="s">
        <v>50957</v>
      </c>
      <c r="V9985" t="s">
        <v>54885</v>
      </c>
      <c r="W9985" t="s">
        <v>39998</v>
      </c>
      <c r="X9985" t="s">
        <v>40457</v>
      </c>
    </row>
    <row r="9986" spans="1:24">
      <c r="A9986">
        <f>HYPERLINK("https://www.philgeps.gov.ph/GEPSNONPILOT/Tender/SplashBidNoticeAbstractUI.aspx?menuIndex=3&amp;refID=7031919&amp;Result=3","7031919")</f>
        <v>0</v>
      </c>
      <c r="B9986" t="s">
        <v>1886</v>
      </c>
      <c r="C9986" t="s">
        <v>12612</v>
      </c>
      <c r="D9986" t="s">
        <v>16210</v>
      </c>
      <c r="E9986" t="s">
        <v>24976</v>
      </c>
      <c r="F9986" t="s">
        <v>28198</v>
      </c>
      <c r="G9986" t="s">
        <v>28205</v>
      </c>
      <c r="H9986" t="s">
        <v>28215</v>
      </c>
      <c r="I9986" t="s">
        <v>28234</v>
      </c>
      <c r="J9986" t="s">
        <v>31789</v>
      </c>
      <c r="K9986" t="s">
        <v>36694</v>
      </c>
      <c r="M9986" t="s">
        <v>39018</v>
      </c>
      <c r="N9986" t="s">
        <v>40436</v>
      </c>
      <c r="O9986" t="s">
        <v>40437</v>
      </c>
      <c r="P9986">
        <v>0</v>
      </c>
      <c r="Q9986">
        <v>21</v>
      </c>
      <c r="R9986" t="s">
        <v>40449</v>
      </c>
      <c r="S9986" t="s">
        <v>40919</v>
      </c>
      <c r="T9986" t="s">
        <v>42240</v>
      </c>
      <c r="U9986" t="s">
        <v>50961</v>
      </c>
      <c r="W9986" t="s">
        <v>39018</v>
      </c>
      <c r="X9986" t="s">
        <v>40450</v>
      </c>
    </row>
    <row r="9987" spans="1:24">
      <c r="A9987">
        <f>HYPERLINK("https://www.philgeps.gov.ph/GEPSNONPILOT/Tender/SplashBidNoticeAbstractUI.aspx?menuIndex=3&amp;refID=7019873&amp;Result=3","7019873")</f>
        <v>0</v>
      </c>
      <c r="B9987" t="s">
        <v>2751</v>
      </c>
      <c r="C9987" t="s">
        <v>12613</v>
      </c>
      <c r="D9987" t="s">
        <v>16203</v>
      </c>
      <c r="E9987" t="s">
        <v>24977</v>
      </c>
      <c r="F9987" t="s">
        <v>28198</v>
      </c>
      <c r="G9987" t="s">
        <v>28205</v>
      </c>
      <c r="H9987" t="s">
        <v>28215</v>
      </c>
      <c r="I9987" t="s">
        <v>5100</v>
      </c>
      <c r="J9987" t="s">
        <v>34543</v>
      </c>
      <c r="K9987" t="s">
        <v>36701</v>
      </c>
      <c r="M9987" t="s">
        <v>40000</v>
      </c>
      <c r="N9987" t="s">
        <v>40436</v>
      </c>
      <c r="O9987" t="s">
        <v>40437</v>
      </c>
      <c r="P9987">
        <v>0</v>
      </c>
      <c r="Q9987">
        <v>0</v>
      </c>
      <c r="R9987" t="s">
        <v>40450</v>
      </c>
      <c r="S9987" t="s">
        <v>40961</v>
      </c>
      <c r="T9987" t="s">
        <v>42102</v>
      </c>
      <c r="U9987" t="s">
        <v>50962</v>
      </c>
      <c r="W9987" t="s">
        <v>40000</v>
      </c>
      <c r="X9987" t="s">
        <v>40454</v>
      </c>
    </row>
    <row r="9988" spans="1:24">
      <c r="A9988">
        <f>HYPERLINK("https://www.philgeps.gov.ph/GEPSNONPILOT/Tender/SplashBidNoticeAbstractUI.aspx?menuIndex=3&amp;refID=7016779&amp;Result=3","7016779")</f>
        <v>0</v>
      </c>
      <c r="B9988" t="s">
        <v>1282</v>
      </c>
      <c r="C9988" t="s">
        <v>12614</v>
      </c>
      <c r="D9988" t="s">
        <v>16214</v>
      </c>
      <c r="E9988" t="s">
        <v>24978</v>
      </c>
      <c r="F9988" t="s">
        <v>28198</v>
      </c>
      <c r="G9988" t="s">
        <v>28205</v>
      </c>
      <c r="H9988" t="s">
        <v>28214</v>
      </c>
      <c r="I9988" t="s">
        <v>3797</v>
      </c>
      <c r="J9988" t="s">
        <v>31258</v>
      </c>
      <c r="K9988" t="s">
        <v>36692</v>
      </c>
      <c r="M9988" t="s">
        <v>39998</v>
      </c>
      <c r="N9988" t="s">
        <v>40436</v>
      </c>
      <c r="O9988" t="s">
        <v>40437</v>
      </c>
      <c r="P9988">
        <v>0</v>
      </c>
      <c r="Q9988">
        <v>5</v>
      </c>
      <c r="R9988" t="s">
        <v>40450</v>
      </c>
      <c r="S9988" t="s">
        <v>40961</v>
      </c>
      <c r="T9988" t="s">
        <v>42188</v>
      </c>
      <c r="U9988" t="s">
        <v>45679</v>
      </c>
      <c r="V9988" t="s">
        <v>54886</v>
      </c>
      <c r="W9988" t="s">
        <v>39998</v>
      </c>
      <c r="X9988" t="s">
        <v>40457</v>
      </c>
    </row>
    <row r="9989" spans="1:24">
      <c r="A9989">
        <f>HYPERLINK("https://www.philgeps.gov.ph/GEPSNONPILOT/Tender/SplashBidNoticeAbstractUI.aspx?menuIndex=3&amp;refID=7019904&amp;Result=3","7019904")</f>
        <v>0</v>
      </c>
      <c r="B9989" t="s">
        <v>2752</v>
      </c>
      <c r="C9989" t="s">
        <v>12615</v>
      </c>
      <c r="D9989" t="s">
        <v>16203</v>
      </c>
      <c r="E9989" t="s">
        <v>24977</v>
      </c>
      <c r="F9989" t="s">
        <v>28198</v>
      </c>
      <c r="G9989" t="s">
        <v>28205</v>
      </c>
      <c r="H9989" t="s">
        <v>28215</v>
      </c>
      <c r="I9989" t="s">
        <v>5100</v>
      </c>
      <c r="J9989" t="s">
        <v>34544</v>
      </c>
      <c r="K9989" t="s">
        <v>36711</v>
      </c>
      <c r="M9989" t="s">
        <v>40001</v>
      </c>
      <c r="N9989" t="s">
        <v>40436</v>
      </c>
      <c r="O9989" t="s">
        <v>40437</v>
      </c>
      <c r="P9989">
        <v>0</v>
      </c>
      <c r="Q9989">
        <v>0</v>
      </c>
      <c r="R9989" t="s">
        <v>40450</v>
      </c>
      <c r="S9989" t="s">
        <v>40961</v>
      </c>
      <c r="T9989" t="s">
        <v>42098</v>
      </c>
      <c r="U9989" t="s">
        <v>50963</v>
      </c>
      <c r="W9989" t="s">
        <v>40001</v>
      </c>
      <c r="X9989" t="s">
        <v>40454</v>
      </c>
    </row>
    <row r="9990" spans="1:24">
      <c r="A9990">
        <f>HYPERLINK("https://www.philgeps.gov.ph/GEPSNONPILOT/Tender/SplashBidNoticeAbstractUI.aspx?menuIndex=3&amp;refID=7031881&amp;Result=3","7031881")</f>
        <v>0</v>
      </c>
      <c r="B9990" t="s">
        <v>2645</v>
      </c>
      <c r="C9990" t="s">
        <v>12616</v>
      </c>
      <c r="D9990" t="s">
        <v>16208</v>
      </c>
      <c r="E9990" t="s">
        <v>24979</v>
      </c>
      <c r="F9990" t="s">
        <v>28198</v>
      </c>
      <c r="G9990" t="s">
        <v>28205</v>
      </c>
      <c r="H9990" t="s">
        <v>28215</v>
      </c>
      <c r="I9990" t="s">
        <v>28220</v>
      </c>
      <c r="J9990" t="s">
        <v>28921</v>
      </c>
      <c r="K9990" t="s">
        <v>36737</v>
      </c>
      <c r="M9990" t="s">
        <v>39870</v>
      </c>
      <c r="N9990" t="s">
        <v>40436</v>
      </c>
      <c r="O9990" t="s">
        <v>40437</v>
      </c>
      <c r="Q9990">
        <v>19</v>
      </c>
      <c r="R9990" t="s">
        <v>40449</v>
      </c>
      <c r="S9990" t="s">
        <v>40962</v>
      </c>
      <c r="T9990" t="s">
        <v>42138</v>
      </c>
      <c r="U9990" t="s">
        <v>50964</v>
      </c>
      <c r="W9990" t="s">
        <v>39870</v>
      </c>
      <c r="X9990" t="s">
        <v>40450</v>
      </c>
    </row>
    <row r="9991" spans="1:24">
      <c r="A9991">
        <f>HYPERLINK("https://www.philgeps.gov.ph/GEPSNONPILOT/Tender/SplashBidNoticeAbstractUI.aspx?menuIndex=3&amp;refID=7017692&amp;Result=3","7017692")</f>
        <v>0</v>
      </c>
      <c r="B9991" t="s">
        <v>1282</v>
      </c>
      <c r="C9991" t="s">
        <v>12617</v>
      </c>
      <c r="D9991" t="s">
        <v>16214</v>
      </c>
      <c r="E9991" t="s">
        <v>24980</v>
      </c>
      <c r="F9991" t="s">
        <v>28198</v>
      </c>
      <c r="G9991" t="s">
        <v>28205</v>
      </c>
      <c r="H9991" t="s">
        <v>28214</v>
      </c>
      <c r="I9991" t="s">
        <v>3797</v>
      </c>
      <c r="J9991" t="s">
        <v>29595</v>
      </c>
      <c r="K9991" t="s">
        <v>36737</v>
      </c>
      <c r="M9991" t="s">
        <v>39998</v>
      </c>
      <c r="N9991" t="s">
        <v>40436</v>
      </c>
      <c r="O9991" t="s">
        <v>40437</v>
      </c>
      <c r="P9991">
        <v>0</v>
      </c>
      <c r="Q9991">
        <v>0</v>
      </c>
      <c r="R9991" t="s">
        <v>40450</v>
      </c>
      <c r="S9991" t="s">
        <v>40961</v>
      </c>
      <c r="T9991" t="s">
        <v>42188</v>
      </c>
      <c r="U9991" t="s">
        <v>45679</v>
      </c>
      <c r="V9991" t="s">
        <v>54887</v>
      </c>
      <c r="W9991" t="s">
        <v>39998</v>
      </c>
      <c r="X9991" t="s">
        <v>40457</v>
      </c>
    </row>
    <row r="9992" spans="1:24">
      <c r="A9992">
        <f>HYPERLINK("https://www.philgeps.gov.ph/GEPSNONPILOT/Tender/SplashBidNoticeAbstractUI.aspx?menuIndex=3&amp;refID=7020167&amp;Result=3","7020167")</f>
        <v>0</v>
      </c>
      <c r="B9992" t="s">
        <v>2753</v>
      </c>
      <c r="C9992" t="s">
        <v>12618</v>
      </c>
      <c r="D9992" t="s">
        <v>16203</v>
      </c>
      <c r="E9992" t="s">
        <v>24977</v>
      </c>
      <c r="F9992" t="s">
        <v>28198</v>
      </c>
      <c r="G9992" t="s">
        <v>28205</v>
      </c>
      <c r="H9992" t="s">
        <v>28215</v>
      </c>
      <c r="I9992" t="s">
        <v>5100</v>
      </c>
      <c r="J9992" t="s">
        <v>34545</v>
      </c>
      <c r="K9992" t="s">
        <v>36709</v>
      </c>
      <c r="M9992" t="s">
        <v>40002</v>
      </c>
      <c r="N9992" t="s">
        <v>40436</v>
      </c>
      <c r="O9992" t="s">
        <v>40437</v>
      </c>
      <c r="P9992">
        <v>0</v>
      </c>
      <c r="Q9992">
        <v>0</v>
      </c>
      <c r="R9992" t="s">
        <v>40450</v>
      </c>
      <c r="S9992" t="s">
        <v>40961</v>
      </c>
      <c r="T9992" t="s">
        <v>42102</v>
      </c>
      <c r="U9992" t="s">
        <v>50965</v>
      </c>
      <c r="W9992" t="s">
        <v>40002</v>
      </c>
      <c r="X9992" t="s">
        <v>40454</v>
      </c>
    </row>
    <row r="9993" spans="1:24">
      <c r="A9993">
        <f>HYPERLINK("https://www.philgeps.gov.ph/GEPSNONPILOT/Tender/SplashBidNoticeAbstractUI.aspx?menuIndex=3&amp;refID=7017536&amp;Result=3","7017536")</f>
        <v>0</v>
      </c>
      <c r="B9993" t="s">
        <v>1282</v>
      </c>
      <c r="C9993" t="s">
        <v>12619</v>
      </c>
      <c r="D9993" t="s">
        <v>16214</v>
      </c>
      <c r="E9993" t="s">
        <v>24981</v>
      </c>
      <c r="F9993" t="s">
        <v>28198</v>
      </c>
      <c r="G9993" t="s">
        <v>28205</v>
      </c>
      <c r="H9993" t="s">
        <v>28214</v>
      </c>
      <c r="I9993" t="s">
        <v>3797</v>
      </c>
      <c r="J9993" t="s">
        <v>29595</v>
      </c>
      <c r="K9993" t="s">
        <v>36737</v>
      </c>
      <c r="M9993" t="s">
        <v>39998</v>
      </c>
      <c r="N9993" t="s">
        <v>40436</v>
      </c>
      <c r="O9993" t="s">
        <v>40437</v>
      </c>
      <c r="P9993">
        <v>0</v>
      </c>
      <c r="Q9993">
        <v>0</v>
      </c>
      <c r="R9993" t="s">
        <v>40450</v>
      </c>
      <c r="S9993" t="s">
        <v>40961</v>
      </c>
      <c r="T9993" t="s">
        <v>42188</v>
      </c>
      <c r="U9993" t="s">
        <v>45679</v>
      </c>
      <c r="V9993" t="s">
        <v>54888</v>
      </c>
      <c r="W9993" t="s">
        <v>39998</v>
      </c>
      <c r="X9993" t="s">
        <v>40457</v>
      </c>
    </row>
    <row r="9994" spans="1:24">
      <c r="A9994">
        <f>HYPERLINK("https://www.philgeps.gov.ph/GEPSNONPILOT/Tender/SplashBidNoticeAbstractUI.aspx?menuIndex=3&amp;refID=7031887&amp;Result=3","7031887")</f>
        <v>0</v>
      </c>
      <c r="B9994" t="s">
        <v>2355</v>
      </c>
      <c r="C9994" t="s">
        <v>12620</v>
      </c>
      <c r="E9994" t="s">
        <v>24982</v>
      </c>
      <c r="F9994" t="s">
        <v>28198</v>
      </c>
      <c r="G9994" t="s">
        <v>28205</v>
      </c>
      <c r="H9994" t="s">
        <v>28214</v>
      </c>
      <c r="I9994" t="s">
        <v>3797</v>
      </c>
      <c r="J9994" t="s">
        <v>34546</v>
      </c>
      <c r="K9994" t="s">
        <v>36701</v>
      </c>
      <c r="M9994" t="s">
        <v>39535</v>
      </c>
      <c r="N9994" t="s">
        <v>40436</v>
      </c>
      <c r="O9994" t="s">
        <v>40437</v>
      </c>
      <c r="Q9994">
        <v>42</v>
      </c>
      <c r="R9994" t="s">
        <v>40449</v>
      </c>
      <c r="S9994" t="s">
        <v>40963</v>
      </c>
      <c r="T9994" t="s">
        <v>42188</v>
      </c>
      <c r="U9994" t="s">
        <v>49176</v>
      </c>
      <c r="W9994" t="s">
        <v>39535</v>
      </c>
      <c r="X9994" t="s">
        <v>40450</v>
      </c>
    </row>
    <row r="9995" spans="1:24">
      <c r="A9995">
        <f>HYPERLINK("https://www.philgeps.gov.ph/GEPSNONPILOT/Tender/SplashBidNoticeAbstractUI.aspx?menuIndex=3&amp;refID=7023821&amp;Result=3","7023821")</f>
        <v>0</v>
      </c>
      <c r="B9995" t="s">
        <v>841</v>
      </c>
      <c r="C9995" t="s">
        <v>12621</v>
      </c>
      <c r="D9995" t="s">
        <v>16200</v>
      </c>
      <c r="E9995" t="s">
        <v>24983</v>
      </c>
      <c r="F9995" t="s">
        <v>28198</v>
      </c>
      <c r="G9995" t="s">
        <v>28205</v>
      </c>
      <c r="H9995" t="s">
        <v>28214</v>
      </c>
      <c r="I9995" t="s">
        <v>3797</v>
      </c>
      <c r="J9995" t="s">
        <v>28379</v>
      </c>
      <c r="K9995" t="s">
        <v>36697</v>
      </c>
      <c r="M9995" t="s">
        <v>37853</v>
      </c>
      <c r="N9995" t="s">
        <v>40436</v>
      </c>
      <c r="O9995" t="s">
        <v>40437</v>
      </c>
      <c r="P9995">
        <v>0</v>
      </c>
      <c r="Q9995">
        <v>0</v>
      </c>
      <c r="R9995" t="s">
        <v>40450</v>
      </c>
      <c r="S9995" t="s">
        <v>40961</v>
      </c>
      <c r="T9995" t="s">
        <v>42279</v>
      </c>
      <c r="U9995" t="s">
        <v>50966</v>
      </c>
      <c r="W9995" t="s">
        <v>37853</v>
      </c>
      <c r="X9995" t="s">
        <v>40453</v>
      </c>
    </row>
    <row r="9996" spans="1:24">
      <c r="A9996">
        <f>HYPERLINK("https://www.philgeps.gov.ph/GEPSNONPILOT/Tender/SplashBidNoticeAbstractUI.aspx?menuIndex=3&amp;refID=7023830&amp;Result=3","7023830")</f>
        <v>0</v>
      </c>
      <c r="B9996" t="s">
        <v>841</v>
      </c>
      <c r="C9996" t="s">
        <v>12622</v>
      </c>
      <c r="D9996" t="s">
        <v>16200</v>
      </c>
      <c r="E9996" t="s">
        <v>24984</v>
      </c>
      <c r="F9996" t="s">
        <v>28198</v>
      </c>
      <c r="G9996" t="s">
        <v>28205</v>
      </c>
      <c r="H9996" t="s">
        <v>28214</v>
      </c>
      <c r="I9996" t="s">
        <v>3797</v>
      </c>
      <c r="J9996" t="s">
        <v>34547</v>
      </c>
      <c r="K9996" t="s">
        <v>36701</v>
      </c>
      <c r="M9996" t="s">
        <v>37853</v>
      </c>
      <c r="N9996" t="s">
        <v>40436</v>
      </c>
      <c r="O9996" t="s">
        <v>40437</v>
      </c>
      <c r="P9996">
        <v>0</v>
      </c>
      <c r="Q9996">
        <v>0</v>
      </c>
      <c r="R9996" t="s">
        <v>40450</v>
      </c>
      <c r="S9996" t="s">
        <v>40961</v>
      </c>
      <c r="T9996" t="s">
        <v>42279</v>
      </c>
      <c r="U9996" t="s">
        <v>50967</v>
      </c>
      <c r="W9996" t="s">
        <v>37853</v>
      </c>
      <c r="X9996" t="s">
        <v>40453</v>
      </c>
    </row>
    <row r="9997" spans="1:24">
      <c r="A9997">
        <f>HYPERLINK("https://www.philgeps.gov.ph/GEPSNONPILOT/Tender/SplashBidNoticeAbstractUI.aspx?menuIndex=3&amp;refID=7023811&amp;Result=3","7023811")</f>
        <v>0</v>
      </c>
      <c r="B9997" t="s">
        <v>841</v>
      </c>
      <c r="C9997" t="s">
        <v>12623</v>
      </c>
      <c r="D9997" t="s">
        <v>16200</v>
      </c>
      <c r="E9997" t="s">
        <v>24985</v>
      </c>
      <c r="F9997" t="s">
        <v>28198</v>
      </c>
      <c r="G9997" t="s">
        <v>28205</v>
      </c>
      <c r="H9997" t="s">
        <v>28214</v>
      </c>
      <c r="I9997" t="s">
        <v>3797</v>
      </c>
      <c r="J9997" t="s">
        <v>28468</v>
      </c>
      <c r="K9997" t="s">
        <v>36717</v>
      </c>
      <c r="M9997" t="s">
        <v>37853</v>
      </c>
      <c r="N9997" t="s">
        <v>40436</v>
      </c>
      <c r="O9997" t="s">
        <v>40437</v>
      </c>
      <c r="P9997">
        <v>0</v>
      </c>
      <c r="Q9997">
        <v>0</v>
      </c>
      <c r="R9997" t="s">
        <v>40450</v>
      </c>
      <c r="S9997" t="s">
        <v>40961</v>
      </c>
      <c r="T9997" t="s">
        <v>42279</v>
      </c>
      <c r="U9997" t="s">
        <v>50968</v>
      </c>
      <c r="W9997" t="s">
        <v>37853</v>
      </c>
      <c r="X9997" t="s">
        <v>40453</v>
      </c>
    </row>
    <row r="9998" spans="1:24">
      <c r="A9998">
        <f>HYPERLINK("https://www.philgeps.gov.ph/GEPSNONPILOT/Tender/SplashBidNoticeAbstractUI.aspx?menuIndex=3&amp;refID=7023205&amp;Result=3","7023205")</f>
        <v>0</v>
      </c>
      <c r="B9998" t="s">
        <v>895</v>
      </c>
      <c r="C9998" t="s">
        <v>12624</v>
      </c>
      <c r="D9998" t="s">
        <v>16218</v>
      </c>
      <c r="E9998" t="s">
        <v>24986</v>
      </c>
      <c r="F9998" t="s">
        <v>28198</v>
      </c>
      <c r="G9998" t="s">
        <v>28205</v>
      </c>
      <c r="H9998" t="s">
        <v>28214</v>
      </c>
      <c r="I9998" t="s">
        <v>3797</v>
      </c>
      <c r="J9998" t="s">
        <v>34548</v>
      </c>
      <c r="K9998" t="s">
        <v>36921</v>
      </c>
      <c r="M9998" t="s">
        <v>37911</v>
      </c>
      <c r="N9998" t="s">
        <v>40436</v>
      </c>
      <c r="O9998" t="s">
        <v>40437</v>
      </c>
      <c r="P9998">
        <v>0</v>
      </c>
      <c r="Q9998">
        <v>0</v>
      </c>
      <c r="R9998" t="s">
        <v>40450</v>
      </c>
      <c r="S9998" t="s">
        <v>40961</v>
      </c>
      <c r="T9998" t="s">
        <v>42292</v>
      </c>
      <c r="U9998" t="s">
        <v>50969</v>
      </c>
      <c r="W9998" t="s">
        <v>37911</v>
      </c>
      <c r="X9998" t="s">
        <v>40453</v>
      </c>
    </row>
    <row r="9999" spans="1:24">
      <c r="A9999">
        <f>HYPERLINK("https://www.philgeps.gov.ph/GEPSNONPILOT/Tender/SplashBidNoticeAbstractUI.aspx?menuIndex=3&amp;refID=7022181&amp;Result=3","7022181")</f>
        <v>0</v>
      </c>
      <c r="B9999" t="s">
        <v>281</v>
      </c>
      <c r="C9999" t="s">
        <v>12625</v>
      </c>
      <c r="D9999" t="s">
        <v>16218</v>
      </c>
      <c r="E9999" t="s">
        <v>24987</v>
      </c>
      <c r="F9999" t="s">
        <v>28198</v>
      </c>
      <c r="G9999" t="s">
        <v>28205</v>
      </c>
      <c r="H9999" t="s">
        <v>28214</v>
      </c>
      <c r="I9999" t="s">
        <v>3797</v>
      </c>
      <c r="J9999" t="s">
        <v>28347</v>
      </c>
      <c r="K9999" t="s">
        <v>36697</v>
      </c>
      <c r="M9999" t="s">
        <v>37258</v>
      </c>
      <c r="N9999" t="s">
        <v>40436</v>
      </c>
      <c r="O9999" t="s">
        <v>40437</v>
      </c>
      <c r="P9999">
        <v>0</v>
      </c>
      <c r="Q9999">
        <v>0</v>
      </c>
      <c r="R9999" t="s">
        <v>40450</v>
      </c>
      <c r="S9999" t="s">
        <v>40961</v>
      </c>
      <c r="T9999" t="s">
        <v>42121</v>
      </c>
      <c r="U9999" t="s">
        <v>50970</v>
      </c>
      <c r="W9999" t="s">
        <v>37258</v>
      </c>
      <c r="X9999" t="s">
        <v>40453</v>
      </c>
    </row>
    <row r="10000" spans="1:24">
      <c r="A10000">
        <f>HYPERLINK("https://www.philgeps.gov.ph/GEPSNONPILOT/Tender/SplashBidNoticeAbstractUI.aspx?menuIndex=3&amp;refID=7023323&amp;Result=3","7023323")</f>
        <v>0</v>
      </c>
      <c r="B10000" t="s">
        <v>1426</v>
      </c>
      <c r="C10000" t="s">
        <v>12626</v>
      </c>
      <c r="D10000" t="s">
        <v>16216</v>
      </c>
      <c r="E10000" t="s">
        <v>24988</v>
      </c>
      <c r="F10000" t="s">
        <v>28198</v>
      </c>
      <c r="G10000" t="s">
        <v>28205</v>
      </c>
      <c r="H10000" t="s">
        <v>28215</v>
      </c>
      <c r="I10000" t="s">
        <v>28236</v>
      </c>
      <c r="J10000" t="s">
        <v>30991</v>
      </c>
      <c r="K10000" t="s">
        <v>36694</v>
      </c>
      <c r="M10000" t="s">
        <v>38492</v>
      </c>
      <c r="N10000" t="s">
        <v>40436</v>
      </c>
      <c r="O10000" t="s">
        <v>40437</v>
      </c>
      <c r="P10000">
        <v>0</v>
      </c>
      <c r="Q10000">
        <v>10</v>
      </c>
      <c r="R10000" t="s">
        <v>40450</v>
      </c>
      <c r="S10000" t="s">
        <v>40961</v>
      </c>
      <c r="T10000" t="s">
        <v>42253</v>
      </c>
      <c r="U10000" t="s">
        <v>50971</v>
      </c>
      <c r="V10000" t="s">
        <v>54617</v>
      </c>
      <c r="W10000" t="s">
        <v>38492</v>
      </c>
      <c r="X10000" t="s">
        <v>40453</v>
      </c>
    </row>
    <row r="10001" spans="1:24">
      <c r="A10001">
        <f>HYPERLINK("https://www.philgeps.gov.ph/GEPSNONPILOT/Tender/SplashBidNoticeAbstractUI.aspx?menuIndex=3&amp;refID=7020471&amp;Result=3","7020471")</f>
        <v>0</v>
      </c>
      <c r="B10001" t="s">
        <v>414</v>
      </c>
      <c r="C10001" t="s">
        <v>12627</v>
      </c>
      <c r="D10001" t="s">
        <v>16207</v>
      </c>
      <c r="E10001" t="s">
        <v>24989</v>
      </c>
      <c r="F10001" t="s">
        <v>28198</v>
      </c>
      <c r="G10001" t="s">
        <v>28205</v>
      </c>
      <c r="H10001" t="s">
        <v>28214</v>
      </c>
      <c r="I10001" t="s">
        <v>3797</v>
      </c>
      <c r="J10001" t="s">
        <v>29409</v>
      </c>
      <c r="K10001" t="s">
        <v>36694</v>
      </c>
      <c r="M10001" t="s">
        <v>37396</v>
      </c>
      <c r="N10001" t="s">
        <v>40436</v>
      </c>
      <c r="O10001" t="s">
        <v>40437</v>
      </c>
      <c r="P10001">
        <v>0</v>
      </c>
      <c r="Q10001">
        <v>0</v>
      </c>
      <c r="R10001" t="s">
        <v>40450</v>
      </c>
      <c r="S10001" t="s">
        <v>40961</v>
      </c>
      <c r="T10001" t="s">
        <v>42176</v>
      </c>
      <c r="U10001" t="s">
        <v>50972</v>
      </c>
      <c r="W10001" t="s">
        <v>37396</v>
      </c>
      <c r="X10001" t="s">
        <v>40454</v>
      </c>
    </row>
    <row r="10002" spans="1:24">
      <c r="A10002">
        <f>HYPERLINK("https://www.philgeps.gov.ph/GEPSNONPILOT/Tender/SplashBidNoticeAbstractUI.aspx?menuIndex=3&amp;refID=7022852&amp;Result=3","7022852")</f>
        <v>0</v>
      </c>
      <c r="B10002" t="s">
        <v>1300</v>
      </c>
      <c r="C10002" t="s">
        <v>12628</v>
      </c>
      <c r="D10002" t="s">
        <v>16195</v>
      </c>
      <c r="E10002" t="s">
        <v>24990</v>
      </c>
      <c r="F10002" t="s">
        <v>28198</v>
      </c>
      <c r="G10002" t="s">
        <v>28205</v>
      </c>
      <c r="H10002" t="s">
        <v>28215</v>
      </c>
      <c r="I10002" t="s">
        <v>5100</v>
      </c>
      <c r="J10002" t="s">
        <v>34549</v>
      </c>
      <c r="K10002" t="s">
        <v>36707</v>
      </c>
      <c r="M10002" t="s">
        <v>38354</v>
      </c>
      <c r="N10002" t="s">
        <v>40436</v>
      </c>
      <c r="O10002" t="s">
        <v>40437</v>
      </c>
      <c r="P10002">
        <v>0</v>
      </c>
      <c r="Q10002">
        <v>1</v>
      </c>
      <c r="R10002" t="s">
        <v>40450</v>
      </c>
      <c r="S10002" t="s">
        <v>40961</v>
      </c>
      <c r="T10002" t="s">
        <v>42115</v>
      </c>
      <c r="U10002" t="s">
        <v>45547</v>
      </c>
      <c r="W10002" t="s">
        <v>38354</v>
      </c>
      <c r="X10002" t="s">
        <v>40453</v>
      </c>
    </row>
    <row r="10003" spans="1:24">
      <c r="A10003">
        <f>HYPERLINK("https://www.philgeps.gov.ph/GEPSNONPILOT/Tender/SplashBidNoticeAbstractUI.aspx?menuIndex=3&amp;refID=7022968&amp;Result=3","7022968")</f>
        <v>0</v>
      </c>
      <c r="B10003" t="s">
        <v>1300</v>
      </c>
      <c r="C10003" t="s">
        <v>12629</v>
      </c>
      <c r="D10003" t="s">
        <v>16195</v>
      </c>
      <c r="E10003" t="s">
        <v>24991</v>
      </c>
      <c r="F10003" t="s">
        <v>28198</v>
      </c>
      <c r="G10003" t="s">
        <v>28205</v>
      </c>
      <c r="H10003" t="s">
        <v>28215</v>
      </c>
      <c r="I10003" t="s">
        <v>5100</v>
      </c>
      <c r="J10003" t="s">
        <v>34550</v>
      </c>
      <c r="K10003" t="s">
        <v>36707</v>
      </c>
      <c r="M10003" t="s">
        <v>38354</v>
      </c>
      <c r="N10003" t="s">
        <v>40436</v>
      </c>
      <c r="O10003" t="s">
        <v>40437</v>
      </c>
      <c r="P10003">
        <v>0</v>
      </c>
      <c r="Q10003">
        <v>3</v>
      </c>
      <c r="R10003" t="s">
        <v>40450</v>
      </c>
      <c r="S10003" t="s">
        <v>40961</v>
      </c>
      <c r="T10003" t="s">
        <v>42115</v>
      </c>
      <c r="U10003" t="s">
        <v>45547</v>
      </c>
      <c r="W10003" t="s">
        <v>38354</v>
      </c>
      <c r="X10003" t="s">
        <v>40453</v>
      </c>
    </row>
    <row r="10004" spans="1:24">
      <c r="A10004">
        <f>HYPERLINK("https://www.philgeps.gov.ph/GEPSNONPILOT/Tender/SplashBidNoticeAbstractUI.aspx?menuIndex=3&amp;refID=7025776&amp;Result=3","7025776")</f>
        <v>0</v>
      </c>
      <c r="B10004" t="s">
        <v>1996</v>
      </c>
      <c r="C10004" t="s">
        <v>12630</v>
      </c>
      <c r="D10004" t="s">
        <v>16261</v>
      </c>
      <c r="E10004" t="s">
        <v>24992</v>
      </c>
      <c r="F10004" t="s">
        <v>28198</v>
      </c>
      <c r="G10004" t="s">
        <v>28205</v>
      </c>
      <c r="H10004" t="s">
        <v>28214</v>
      </c>
      <c r="I10004" t="s">
        <v>3797</v>
      </c>
      <c r="J10004" t="s">
        <v>34551</v>
      </c>
      <c r="K10004" t="s">
        <v>36738</v>
      </c>
      <c r="M10004" t="s">
        <v>39134</v>
      </c>
      <c r="N10004" t="s">
        <v>40436</v>
      </c>
      <c r="O10004" t="s">
        <v>40437</v>
      </c>
      <c r="P10004">
        <v>0</v>
      </c>
      <c r="Q10004">
        <v>0</v>
      </c>
      <c r="R10004" t="s">
        <v>40450</v>
      </c>
      <c r="S10004" t="s">
        <v>40961</v>
      </c>
      <c r="T10004" t="s">
        <v>42133</v>
      </c>
      <c r="U10004" t="s">
        <v>50973</v>
      </c>
      <c r="V10004" t="s">
        <v>54404</v>
      </c>
      <c r="W10004" t="s">
        <v>39134</v>
      </c>
      <c r="X10004" t="s">
        <v>40452</v>
      </c>
    </row>
    <row r="10005" spans="1:24">
      <c r="A10005">
        <f>HYPERLINK("https://www.philgeps.gov.ph/GEPSNONPILOT/Tender/SplashBidNoticeAbstractUI.aspx?menuIndex=3&amp;refID=7024572&amp;Result=3","7024572")</f>
        <v>0</v>
      </c>
      <c r="B10005" t="s">
        <v>2655</v>
      </c>
      <c r="C10005" t="s">
        <v>12631</v>
      </c>
      <c r="D10005" t="s">
        <v>16188</v>
      </c>
      <c r="E10005" t="s">
        <v>24993</v>
      </c>
      <c r="F10005" t="s">
        <v>28198</v>
      </c>
      <c r="G10005" t="s">
        <v>28205</v>
      </c>
      <c r="H10005" t="s">
        <v>28215</v>
      </c>
      <c r="I10005" t="s">
        <v>28280</v>
      </c>
      <c r="J10005" t="s">
        <v>34552</v>
      </c>
      <c r="K10005" t="s">
        <v>36694</v>
      </c>
      <c r="M10005" t="s">
        <v>39882</v>
      </c>
      <c r="N10005" t="s">
        <v>40436</v>
      </c>
      <c r="O10005" t="s">
        <v>40437</v>
      </c>
      <c r="P10005">
        <v>0</v>
      </c>
      <c r="Q10005">
        <v>8</v>
      </c>
      <c r="R10005" t="s">
        <v>40450</v>
      </c>
      <c r="S10005" t="s">
        <v>40961</v>
      </c>
      <c r="T10005" t="s">
        <v>42279</v>
      </c>
      <c r="U10005" t="s">
        <v>50529</v>
      </c>
      <c r="V10005" t="s">
        <v>54889</v>
      </c>
      <c r="W10005" t="s">
        <v>39882</v>
      </c>
      <c r="X10005" t="s">
        <v>40452</v>
      </c>
    </row>
    <row r="10006" spans="1:24">
      <c r="A10006">
        <f>HYPERLINK("https://www.philgeps.gov.ph/GEPSNONPILOT/Tender/SplashBidNoticeAbstractUI.aspx?menuIndex=3&amp;refID=7024775&amp;Result=3","7024775")</f>
        <v>0</v>
      </c>
      <c r="B10006" t="s">
        <v>2754</v>
      </c>
      <c r="C10006" t="s">
        <v>12632</v>
      </c>
      <c r="D10006" t="s">
        <v>16210</v>
      </c>
      <c r="E10006" t="s">
        <v>24994</v>
      </c>
      <c r="F10006" t="s">
        <v>28198</v>
      </c>
      <c r="G10006" t="s">
        <v>28205</v>
      </c>
      <c r="H10006" t="s">
        <v>28214</v>
      </c>
      <c r="I10006" t="s">
        <v>3797</v>
      </c>
      <c r="J10006" t="s">
        <v>34553</v>
      </c>
      <c r="K10006" t="s">
        <v>36701</v>
      </c>
      <c r="M10006" t="s">
        <v>40003</v>
      </c>
      <c r="N10006" t="s">
        <v>40436</v>
      </c>
      <c r="O10006" t="s">
        <v>40437</v>
      </c>
      <c r="P10006">
        <v>0</v>
      </c>
      <c r="Q10006">
        <v>0</v>
      </c>
      <c r="R10006" t="s">
        <v>40450</v>
      </c>
      <c r="S10006" t="s">
        <v>40961</v>
      </c>
      <c r="T10006" t="s">
        <v>42287</v>
      </c>
      <c r="U10006" t="s">
        <v>50974</v>
      </c>
      <c r="W10006" t="s">
        <v>40003</v>
      </c>
      <c r="X10006" t="s">
        <v>40452</v>
      </c>
    </row>
    <row r="10007" spans="1:24">
      <c r="A10007">
        <f>HYPERLINK("https://www.philgeps.gov.ph/GEPSNONPILOT/Tender/SplashBidNoticeAbstractUI.aspx?menuIndex=3&amp;refID=7023422&amp;Result=3","7023422")</f>
        <v>0</v>
      </c>
      <c r="B10007" t="s">
        <v>1426</v>
      </c>
      <c r="C10007" t="s">
        <v>12633</v>
      </c>
      <c r="D10007" t="s">
        <v>16216</v>
      </c>
      <c r="E10007" t="s">
        <v>24995</v>
      </c>
      <c r="F10007" t="s">
        <v>28198</v>
      </c>
      <c r="G10007" t="s">
        <v>28205</v>
      </c>
      <c r="H10007" t="s">
        <v>28215</v>
      </c>
      <c r="I10007" t="s">
        <v>28243</v>
      </c>
      <c r="J10007" t="s">
        <v>34554</v>
      </c>
      <c r="K10007" t="s">
        <v>36694</v>
      </c>
      <c r="M10007" t="s">
        <v>38492</v>
      </c>
      <c r="N10007" t="s">
        <v>40436</v>
      </c>
      <c r="O10007" t="s">
        <v>40437</v>
      </c>
      <c r="P10007">
        <v>0</v>
      </c>
      <c r="Q10007">
        <v>8</v>
      </c>
      <c r="R10007" t="s">
        <v>40450</v>
      </c>
      <c r="S10007" t="s">
        <v>40961</v>
      </c>
      <c r="T10007" t="s">
        <v>42253</v>
      </c>
      <c r="U10007" t="s">
        <v>50975</v>
      </c>
      <c r="V10007" t="s">
        <v>54617</v>
      </c>
      <c r="W10007" t="s">
        <v>38492</v>
      </c>
      <c r="X10007" t="s">
        <v>40453</v>
      </c>
    </row>
    <row r="10008" spans="1:24">
      <c r="A10008">
        <f>HYPERLINK("https://www.philgeps.gov.ph/GEPSNONPILOT/Tender/SplashBidNoticeAbstractUI.aspx?menuIndex=3&amp;refID=7024976&amp;Result=3","7024976")</f>
        <v>0</v>
      </c>
      <c r="B10008" t="s">
        <v>2655</v>
      </c>
      <c r="C10008" t="s">
        <v>12634</v>
      </c>
      <c r="D10008" t="s">
        <v>16188</v>
      </c>
      <c r="E10008" t="s">
        <v>24996</v>
      </c>
      <c r="F10008" t="s">
        <v>28198</v>
      </c>
      <c r="G10008" t="s">
        <v>28205</v>
      </c>
      <c r="H10008" t="s">
        <v>28215</v>
      </c>
      <c r="I10008" t="s">
        <v>4321</v>
      </c>
      <c r="J10008" t="s">
        <v>34555</v>
      </c>
      <c r="K10008" t="s">
        <v>36694</v>
      </c>
      <c r="M10008" t="s">
        <v>39882</v>
      </c>
      <c r="N10008" t="s">
        <v>40436</v>
      </c>
      <c r="O10008" t="s">
        <v>40437</v>
      </c>
      <c r="P10008">
        <v>0</v>
      </c>
      <c r="Q10008">
        <v>9</v>
      </c>
      <c r="R10008" t="s">
        <v>40450</v>
      </c>
      <c r="S10008" t="s">
        <v>40961</v>
      </c>
      <c r="T10008" t="s">
        <v>42279</v>
      </c>
      <c r="U10008" t="s">
        <v>50529</v>
      </c>
      <c r="V10008" t="s">
        <v>54890</v>
      </c>
      <c r="W10008" t="s">
        <v>39882</v>
      </c>
      <c r="X10008" t="s">
        <v>40452</v>
      </c>
    </row>
    <row r="10009" spans="1:24">
      <c r="A10009">
        <f>HYPERLINK("https://www.philgeps.gov.ph/GEPSNONPILOT/Tender/SplashBidNoticeAbstractUI.aspx?menuIndex=3&amp;refID=7025700&amp;Result=3","7025700")</f>
        <v>0</v>
      </c>
      <c r="B10009" t="s">
        <v>1996</v>
      </c>
      <c r="C10009" t="s">
        <v>12635</v>
      </c>
      <c r="D10009" t="s">
        <v>16261</v>
      </c>
      <c r="E10009" t="s">
        <v>24997</v>
      </c>
      <c r="F10009" t="s">
        <v>28198</v>
      </c>
      <c r="G10009" t="s">
        <v>28205</v>
      </c>
      <c r="H10009" t="s">
        <v>28214</v>
      </c>
      <c r="I10009" t="s">
        <v>3797</v>
      </c>
      <c r="J10009" t="s">
        <v>34556</v>
      </c>
      <c r="K10009" t="s">
        <v>36854</v>
      </c>
      <c r="M10009" t="s">
        <v>39134</v>
      </c>
      <c r="N10009" t="s">
        <v>40436</v>
      </c>
      <c r="O10009" t="s">
        <v>40437</v>
      </c>
      <c r="P10009">
        <v>0</v>
      </c>
      <c r="Q10009">
        <v>1</v>
      </c>
      <c r="R10009" t="s">
        <v>40450</v>
      </c>
      <c r="S10009" t="s">
        <v>40961</v>
      </c>
      <c r="T10009" t="s">
        <v>42133</v>
      </c>
      <c r="U10009" t="s">
        <v>50976</v>
      </c>
      <c r="V10009" t="s">
        <v>54404</v>
      </c>
      <c r="W10009" t="s">
        <v>39134</v>
      </c>
      <c r="X10009" t="s">
        <v>40452</v>
      </c>
    </row>
    <row r="10010" spans="1:24">
      <c r="A10010">
        <f>HYPERLINK("https://www.philgeps.gov.ph/GEPSNONPILOT/Tender/SplashBidNoticeAbstractUI.aspx?menuIndex=3&amp;refID=7025316&amp;Result=3","7025316")</f>
        <v>0</v>
      </c>
      <c r="B10010" t="s">
        <v>2655</v>
      </c>
      <c r="C10010" t="s">
        <v>12636</v>
      </c>
      <c r="D10010" t="s">
        <v>16188</v>
      </c>
      <c r="E10010" t="s">
        <v>24998</v>
      </c>
      <c r="F10010" t="s">
        <v>28198</v>
      </c>
      <c r="G10010" t="s">
        <v>28205</v>
      </c>
      <c r="H10010" t="s">
        <v>28215</v>
      </c>
      <c r="I10010" t="s">
        <v>28280</v>
      </c>
      <c r="J10010" t="s">
        <v>34557</v>
      </c>
      <c r="K10010" t="s">
        <v>36694</v>
      </c>
      <c r="M10010" t="s">
        <v>39882</v>
      </c>
      <c r="N10010" t="s">
        <v>40436</v>
      </c>
      <c r="O10010" t="s">
        <v>40437</v>
      </c>
      <c r="P10010">
        <v>0</v>
      </c>
      <c r="Q10010">
        <v>7</v>
      </c>
      <c r="R10010" t="s">
        <v>40450</v>
      </c>
      <c r="S10010" t="s">
        <v>40961</v>
      </c>
      <c r="T10010" t="s">
        <v>42279</v>
      </c>
      <c r="U10010" t="s">
        <v>50529</v>
      </c>
      <c r="V10010" t="s">
        <v>54890</v>
      </c>
      <c r="W10010" t="s">
        <v>39882</v>
      </c>
      <c r="X10010" t="s">
        <v>40452</v>
      </c>
    </row>
    <row r="10011" spans="1:24">
      <c r="A10011">
        <f>HYPERLINK("https://www.philgeps.gov.ph/GEPSNONPILOT/Tender/SplashBidNoticeAbstractUI.aspx?menuIndex=3&amp;refID=7024988&amp;Result=3","7024988")</f>
        <v>0</v>
      </c>
      <c r="B10011" t="s">
        <v>90</v>
      </c>
      <c r="C10011" t="s">
        <v>12637</v>
      </c>
      <c r="D10011" t="s">
        <v>16190</v>
      </c>
      <c r="E10011" t="s">
        <v>24999</v>
      </c>
      <c r="F10011" t="s">
        <v>28198</v>
      </c>
      <c r="G10011" t="s">
        <v>28205</v>
      </c>
      <c r="H10011" t="s">
        <v>28215</v>
      </c>
      <c r="I10011" t="s">
        <v>28279</v>
      </c>
      <c r="J10011" t="s">
        <v>34558</v>
      </c>
      <c r="K10011" t="s">
        <v>36689</v>
      </c>
      <c r="M10011" t="s">
        <v>37062</v>
      </c>
      <c r="N10011" t="s">
        <v>40436</v>
      </c>
      <c r="O10011" t="s">
        <v>40437</v>
      </c>
      <c r="Q10011">
        <v>0</v>
      </c>
      <c r="R10011" t="s">
        <v>40450</v>
      </c>
      <c r="S10011" t="s">
        <v>40964</v>
      </c>
      <c r="T10011" t="s">
        <v>42168</v>
      </c>
      <c r="U10011" t="s">
        <v>42737</v>
      </c>
      <c r="W10011" t="s">
        <v>37062</v>
      </c>
      <c r="X10011" t="s">
        <v>40452</v>
      </c>
    </row>
    <row r="10012" spans="1:24">
      <c r="A10012">
        <f>HYPERLINK("https://www.philgeps.gov.ph/GEPSNONPILOT/Tender/SplashBidNoticeAbstractUI.aspx?menuIndex=3&amp;refID=7025095&amp;Result=3","7025095")</f>
        <v>0</v>
      </c>
      <c r="B10012" t="s">
        <v>168</v>
      </c>
      <c r="C10012" t="s">
        <v>12638</v>
      </c>
      <c r="D10012" t="s">
        <v>16196</v>
      </c>
      <c r="E10012" t="s">
        <v>25000</v>
      </c>
      <c r="F10012" t="s">
        <v>28198</v>
      </c>
      <c r="G10012" t="s">
        <v>28205</v>
      </c>
      <c r="H10012" t="s">
        <v>28215</v>
      </c>
      <c r="I10012" t="s">
        <v>28270</v>
      </c>
      <c r="J10012" t="s">
        <v>34559</v>
      </c>
      <c r="K10012" t="s">
        <v>36701</v>
      </c>
      <c r="M10012" t="s">
        <v>37142</v>
      </c>
      <c r="N10012" t="s">
        <v>40436</v>
      </c>
      <c r="O10012" t="s">
        <v>40437</v>
      </c>
      <c r="P10012">
        <v>0</v>
      </c>
      <c r="Q10012">
        <v>11</v>
      </c>
      <c r="R10012" t="s">
        <v>40450</v>
      </c>
      <c r="S10012" t="s">
        <v>40961</v>
      </c>
      <c r="T10012" t="s">
        <v>42415</v>
      </c>
      <c r="U10012" t="s">
        <v>50977</v>
      </c>
      <c r="W10012" t="s">
        <v>37142</v>
      </c>
      <c r="X10012" t="s">
        <v>40452</v>
      </c>
    </row>
    <row r="10013" spans="1:24">
      <c r="A10013">
        <f>HYPERLINK("https://www.philgeps.gov.ph/GEPSNONPILOT/Tender/SplashBidNoticeAbstractUI.aspx?menuIndex=3&amp;refID=7024840&amp;Result=3","7024840")</f>
        <v>0</v>
      </c>
      <c r="B10013" t="s">
        <v>2655</v>
      </c>
      <c r="C10013" t="s">
        <v>12639</v>
      </c>
      <c r="D10013" t="s">
        <v>16188</v>
      </c>
      <c r="E10013" t="s">
        <v>25001</v>
      </c>
      <c r="F10013" t="s">
        <v>28198</v>
      </c>
      <c r="G10013" t="s">
        <v>28205</v>
      </c>
      <c r="H10013" t="s">
        <v>28215</v>
      </c>
      <c r="I10013" t="s">
        <v>28280</v>
      </c>
      <c r="J10013" t="s">
        <v>34560</v>
      </c>
      <c r="K10013" t="s">
        <v>36694</v>
      </c>
      <c r="M10013" t="s">
        <v>39882</v>
      </c>
      <c r="N10013" t="s">
        <v>40436</v>
      </c>
      <c r="O10013" t="s">
        <v>40437</v>
      </c>
      <c r="P10013">
        <v>0</v>
      </c>
      <c r="Q10013">
        <v>7</v>
      </c>
      <c r="R10013" t="s">
        <v>40450</v>
      </c>
      <c r="S10013" t="s">
        <v>40961</v>
      </c>
      <c r="T10013" t="s">
        <v>42279</v>
      </c>
      <c r="U10013" t="s">
        <v>50529</v>
      </c>
      <c r="V10013" t="s">
        <v>54890</v>
      </c>
      <c r="W10013" t="s">
        <v>39882</v>
      </c>
      <c r="X10013" t="s">
        <v>40452</v>
      </c>
    </row>
    <row r="10014" spans="1:24">
      <c r="A10014">
        <f>HYPERLINK("https://www.philgeps.gov.ph/GEPSNONPILOT/Tender/SplashBidNoticeAbstractUI.aspx?menuIndex=3&amp;refID=7025404&amp;Result=3","7025404")</f>
        <v>0</v>
      </c>
      <c r="B10014" t="s">
        <v>2755</v>
      </c>
      <c r="C10014" t="s">
        <v>12640</v>
      </c>
      <c r="D10014" t="s">
        <v>16203</v>
      </c>
      <c r="E10014" t="s">
        <v>24977</v>
      </c>
      <c r="F10014" t="s">
        <v>28198</v>
      </c>
      <c r="G10014" t="s">
        <v>28205</v>
      </c>
      <c r="H10014" t="s">
        <v>28215</v>
      </c>
      <c r="I10014" t="s">
        <v>5100</v>
      </c>
      <c r="J10014" t="s">
        <v>34561</v>
      </c>
      <c r="K10014" t="s">
        <v>36715</v>
      </c>
      <c r="M10014" t="s">
        <v>40004</v>
      </c>
      <c r="N10014" t="s">
        <v>40436</v>
      </c>
      <c r="O10014" t="s">
        <v>40437</v>
      </c>
      <c r="P10014">
        <v>0</v>
      </c>
      <c r="Q10014">
        <v>0</v>
      </c>
      <c r="R10014" t="s">
        <v>40450</v>
      </c>
      <c r="S10014" t="s">
        <v>40961</v>
      </c>
      <c r="T10014" t="s">
        <v>42102</v>
      </c>
      <c r="U10014" t="s">
        <v>50978</v>
      </c>
      <c r="W10014" t="s">
        <v>40004</v>
      </c>
      <c r="X10014" t="s">
        <v>40452</v>
      </c>
    </row>
    <row r="10015" spans="1:24">
      <c r="A10015">
        <f>HYPERLINK("https://www.philgeps.gov.ph/GEPSNONPILOT/Tender/SplashBidNoticeAbstractUI.aspx?menuIndex=3&amp;refID=7024728&amp;Result=3","7024728")</f>
        <v>0</v>
      </c>
      <c r="B10015" t="s">
        <v>2655</v>
      </c>
      <c r="C10015" t="s">
        <v>12641</v>
      </c>
      <c r="D10015" t="s">
        <v>16188</v>
      </c>
      <c r="E10015" t="s">
        <v>25002</v>
      </c>
      <c r="F10015" t="s">
        <v>28198</v>
      </c>
      <c r="G10015" t="s">
        <v>28205</v>
      </c>
      <c r="H10015" t="s">
        <v>28215</v>
      </c>
      <c r="I10015" t="s">
        <v>4321</v>
      </c>
      <c r="J10015" t="s">
        <v>33568</v>
      </c>
      <c r="K10015" t="s">
        <v>36694</v>
      </c>
      <c r="M10015" t="s">
        <v>39882</v>
      </c>
      <c r="N10015" t="s">
        <v>40436</v>
      </c>
      <c r="O10015" t="s">
        <v>40437</v>
      </c>
      <c r="P10015">
        <v>0</v>
      </c>
      <c r="Q10015">
        <v>8</v>
      </c>
      <c r="R10015" t="s">
        <v>40450</v>
      </c>
      <c r="S10015" t="s">
        <v>40961</v>
      </c>
      <c r="T10015" t="s">
        <v>42279</v>
      </c>
      <c r="U10015" t="s">
        <v>50979</v>
      </c>
      <c r="V10015" t="s">
        <v>54890</v>
      </c>
      <c r="W10015" t="s">
        <v>39882</v>
      </c>
      <c r="X10015" t="s">
        <v>40452</v>
      </c>
    </row>
    <row r="10016" spans="1:24">
      <c r="A10016">
        <f>HYPERLINK("https://www.philgeps.gov.ph/GEPSNONPILOT/Tender/SplashBidNoticeAbstractUI.aspx?menuIndex=3&amp;refID=7025645&amp;Result=3","7025645")</f>
        <v>0</v>
      </c>
      <c r="B10016" t="s">
        <v>2655</v>
      </c>
      <c r="C10016" t="s">
        <v>12642</v>
      </c>
      <c r="D10016" t="s">
        <v>16188</v>
      </c>
      <c r="E10016" t="s">
        <v>25003</v>
      </c>
      <c r="F10016" t="s">
        <v>28198</v>
      </c>
      <c r="G10016" t="s">
        <v>28205</v>
      </c>
      <c r="H10016" t="s">
        <v>28215</v>
      </c>
      <c r="I10016" t="s">
        <v>4321</v>
      </c>
      <c r="J10016" t="s">
        <v>34562</v>
      </c>
      <c r="K10016" t="s">
        <v>36694</v>
      </c>
      <c r="M10016" t="s">
        <v>39882</v>
      </c>
      <c r="N10016" t="s">
        <v>40436</v>
      </c>
      <c r="O10016" t="s">
        <v>40437</v>
      </c>
      <c r="P10016">
        <v>0</v>
      </c>
      <c r="Q10016">
        <v>9</v>
      </c>
      <c r="R10016" t="s">
        <v>40450</v>
      </c>
      <c r="S10016" t="s">
        <v>40961</v>
      </c>
      <c r="T10016" t="s">
        <v>42279</v>
      </c>
      <c r="U10016" t="s">
        <v>50529</v>
      </c>
      <c r="V10016" t="s">
        <v>54890</v>
      </c>
      <c r="W10016" t="s">
        <v>39882</v>
      </c>
      <c r="X10016" t="s">
        <v>40452</v>
      </c>
    </row>
    <row r="10017" spans="1:24">
      <c r="A10017">
        <f>HYPERLINK("https://www.philgeps.gov.ph/GEPSNONPILOT/Tender/SplashBidNoticeAbstractUI.aspx?menuIndex=3&amp;refID=7025515&amp;Result=3","7025515")</f>
        <v>0</v>
      </c>
      <c r="B10017" t="s">
        <v>2702</v>
      </c>
      <c r="C10017" t="s">
        <v>12643</v>
      </c>
      <c r="D10017" t="s">
        <v>16190</v>
      </c>
      <c r="E10017" t="s">
        <v>25004</v>
      </c>
      <c r="F10017" t="s">
        <v>28198</v>
      </c>
      <c r="G10017" t="s">
        <v>28205</v>
      </c>
      <c r="H10017" t="s">
        <v>28215</v>
      </c>
      <c r="I10017" t="s">
        <v>5100</v>
      </c>
      <c r="J10017" t="s">
        <v>28671</v>
      </c>
      <c r="K10017" t="s">
        <v>36693</v>
      </c>
      <c r="M10017" t="s">
        <v>39943</v>
      </c>
      <c r="N10017" t="s">
        <v>40436</v>
      </c>
      <c r="O10017" t="s">
        <v>40437</v>
      </c>
      <c r="P10017">
        <v>0</v>
      </c>
      <c r="Q10017">
        <v>0</v>
      </c>
      <c r="R10017" t="s">
        <v>40450</v>
      </c>
      <c r="S10017" t="s">
        <v>40961</v>
      </c>
      <c r="T10017" t="s">
        <v>42134</v>
      </c>
      <c r="U10017" t="s">
        <v>50980</v>
      </c>
      <c r="W10017" t="s">
        <v>39943</v>
      </c>
      <c r="X10017" t="s">
        <v>40452</v>
      </c>
    </row>
    <row r="10018" spans="1:24">
      <c r="A10018">
        <f>HYPERLINK("https://www.philgeps.gov.ph/GEPSNONPILOT/Tender/SplashBidNoticeAbstractUI.aspx?menuIndex=3&amp;refID=7026212&amp;Result=3","7026212")</f>
        <v>0</v>
      </c>
      <c r="B10018" t="s">
        <v>2298</v>
      </c>
      <c r="C10018" t="s">
        <v>12644</v>
      </c>
      <c r="D10018" t="s">
        <v>16240</v>
      </c>
      <c r="E10018" t="s">
        <v>25005</v>
      </c>
      <c r="F10018" t="s">
        <v>28198</v>
      </c>
      <c r="G10018" t="s">
        <v>28207</v>
      </c>
      <c r="H10018" t="s">
        <v>28215</v>
      </c>
      <c r="I10018" t="s">
        <v>28265</v>
      </c>
      <c r="J10018" t="s">
        <v>34563</v>
      </c>
      <c r="K10018" t="s">
        <v>36693</v>
      </c>
      <c r="M10018" t="s">
        <v>39473</v>
      </c>
      <c r="N10018" t="s">
        <v>40436</v>
      </c>
      <c r="O10018" t="s">
        <v>40437</v>
      </c>
      <c r="P10018">
        <v>0</v>
      </c>
      <c r="Q10018">
        <v>0</v>
      </c>
      <c r="R10018" t="s">
        <v>40450</v>
      </c>
      <c r="S10018" t="s">
        <v>40961</v>
      </c>
      <c r="T10018" t="s">
        <v>42161</v>
      </c>
      <c r="U10018" t="s">
        <v>50981</v>
      </c>
      <c r="W10018" t="s">
        <v>39473</v>
      </c>
      <c r="X10018" t="s">
        <v>40452</v>
      </c>
    </row>
    <row r="10019" spans="1:24">
      <c r="A10019">
        <f>HYPERLINK("https://www.philgeps.gov.ph/GEPSNONPILOT/Tender/SplashBidNoticeAbstractUI.aspx?menuIndex=3&amp;refID=7026126&amp;Result=3","7026126")</f>
        <v>0</v>
      </c>
      <c r="B10019" t="s">
        <v>1996</v>
      </c>
      <c r="C10019" t="s">
        <v>12645</v>
      </c>
      <c r="D10019" t="s">
        <v>16261</v>
      </c>
      <c r="E10019" t="s">
        <v>25006</v>
      </c>
      <c r="F10019" t="s">
        <v>28198</v>
      </c>
      <c r="G10019" t="s">
        <v>28205</v>
      </c>
      <c r="H10019" t="s">
        <v>28214</v>
      </c>
      <c r="I10019" t="s">
        <v>3797</v>
      </c>
      <c r="J10019" t="s">
        <v>34564</v>
      </c>
      <c r="K10019" t="s">
        <v>36697</v>
      </c>
      <c r="M10019" t="s">
        <v>39134</v>
      </c>
      <c r="N10019" t="s">
        <v>40436</v>
      </c>
      <c r="O10019" t="s">
        <v>40437</v>
      </c>
      <c r="P10019">
        <v>0</v>
      </c>
      <c r="Q10019">
        <v>0</v>
      </c>
      <c r="R10019" t="s">
        <v>40450</v>
      </c>
      <c r="S10019" t="s">
        <v>40961</v>
      </c>
      <c r="T10019" t="s">
        <v>42133</v>
      </c>
      <c r="U10019" t="s">
        <v>50982</v>
      </c>
      <c r="V10019" t="s">
        <v>54404</v>
      </c>
      <c r="W10019" t="s">
        <v>39134</v>
      </c>
      <c r="X10019" t="s">
        <v>40452</v>
      </c>
    </row>
    <row r="10020" spans="1:24">
      <c r="A10020">
        <f>HYPERLINK("https://www.philgeps.gov.ph/GEPSNONPILOT/Tender/SplashBidNoticeAbstractUI.aspx?menuIndex=3&amp;refID=7026075&amp;Result=3","7026075")</f>
        <v>0</v>
      </c>
      <c r="B10020" t="s">
        <v>1996</v>
      </c>
      <c r="C10020" t="s">
        <v>12646</v>
      </c>
      <c r="D10020" t="s">
        <v>16261</v>
      </c>
      <c r="E10020" t="s">
        <v>25007</v>
      </c>
      <c r="F10020" t="s">
        <v>28198</v>
      </c>
      <c r="G10020" t="s">
        <v>28205</v>
      </c>
      <c r="H10020" t="s">
        <v>28214</v>
      </c>
      <c r="I10020" t="s">
        <v>3797</v>
      </c>
      <c r="J10020" t="s">
        <v>34565</v>
      </c>
      <c r="K10020" t="s">
        <v>36877</v>
      </c>
      <c r="M10020" t="s">
        <v>39134</v>
      </c>
      <c r="N10020" t="s">
        <v>40436</v>
      </c>
      <c r="O10020" t="s">
        <v>40437</v>
      </c>
      <c r="P10020">
        <v>0</v>
      </c>
      <c r="Q10020">
        <v>1</v>
      </c>
      <c r="R10020" t="s">
        <v>40450</v>
      </c>
      <c r="S10020" t="s">
        <v>40961</v>
      </c>
      <c r="T10020" t="s">
        <v>42133</v>
      </c>
      <c r="U10020" t="s">
        <v>50983</v>
      </c>
      <c r="V10020" t="s">
        <v>54404</v>
      </c>
      <c r="W10020" t="s">
        <v>39134</v>
      </c>
      <c r="X10020" t="s">
        <v>40452</v>
      </c>
    </row>
    <row r="10021" spans="1:24">
      <c r="A10021">
        <f>HYPERLINK("https://www.philgeps.gov.ph/GEPSNONPILOT/Tender/SplashBidNoticeAbstractUI.aspx?menuIndex=3&amp;refID=7025816&amp;Result=3","7025816")</f>
        <v>0</v>
      </c>
      <c r="B10021" t="s">
        <v>1996</v>
      </c>
      <c r="C10021" t="s">
        <v>12647</v>
      </c>
      <c r="D10021" t="s">
        <v>16261</v>
      </c>
      <c r="E10021" t="s">
        <v>25008</v>
      </c>
      <c r="F10021" t="s">
        <v>28198</v>
      </c>
      <c r="G10021" t="s">
        <v>28205</v>
      </c>
      <c r="H10021" t="s">
        <v>28214</v>
      </c>
      <c r="I10021" t="s">
        <v>3797</v>
      </c>
      <c r="J10021" t="s">
        <v>34566</v>
      </c>
      <c r="K10021" t="s">
        <v>36736</v>
      </c>
      <c r="M10021" t="s">
        <v>39134</v>
      </c>
      <c r="N10021" t="s">
        <v>40436</v>
      </c>
      <c r="O10021" t="s">
        <v>40437</v>
      </c>
      <c r="P10021">
        <v>0</v>
      </c>
      <c r="Q10021">
        <v>0</v>
      </c>
      <c r="R10021" t="s">
        <v>40450</v>
      </c>
      <c r="S10021" t="s">
        <v>40961</v>
      </c>
      <c r="T10021" t="s">
        <v>42133</v>
      </c>
      <c r="U10021" t="s">
        <v>50984</v>
      </c>
      <c r="V10021" t="s">
        <v>54404</v>
      </c>
      <c r="W10021" t="s">
        <v>39134</v>
      </c>
      <c r="X10021" t="s">
        <v>40452</v>
      </c>
    </row>
    <row r="10022" spans="1:24">
      <c r="A10022">
        <f>HYPERLINK("https://www.philgeps.gov.ph/GEPSNONPILOT/Tender/SplashBidNoticeAbstractUI.aspx?menuIndex=3&amp;refID=7026014&amp;Result=3","7026014")</f>
        <v>0</v>
      </c>
      <c r="B10022" t="s">
        <v>1996</v>
      </c>
      <c r="C10022" t="s">
        <v>12648</v>
      </c>
      <c r="D10022" t="s">
        <v>16261</v>
      </c>
      <c r="E10022" t="s">
        <v>25009</v>
      </c>
      <c r="F10022" t="s">
        <v>28198</v>
      </c>
      <c r="G10022" t="s">
        <v>28205</v>
      </c>
      <c r="H10022" t="s">
        <v>28214</v>
      </c>
      <c r="I10022" t="s">
        <v>3797</v>
      </c>
      <c r="J10022" t="s">
        <v>34567</v>
      </c>
      <c r="K10022" t="s">
        <v>36777</v>
      </c>
      <c r="M10022" t="s">
        <v>39134</v>
      </c>
      <c r="N10022" t="s">
        <v>40436</v>
      </c>
      <c r="O10022" t="s">
        <v>40437</v>
      </c>
      <c r="P10022">
        <v>0</v>
      </c>
      <c r="Q10022">
        <v>0</v>
      </c>
      <c r="R10022" t="s">
        <v>40450</v>
      </c>
      <c r="S10022" t="s">
        <v>40961</v>
      </c>
      <c r="T10022" t="s">
        <v>42133</v>
      </c>
      <c r="U10022" t="s">
        <v>50985</v>
      </c>
      <c r="V10022" t="s">
        <v>54404</v>
      </c>
      <c r="W10022" t="s">
        <v>39134</v>
      </c>
      <c r="X10022" t="s">
        <v>40452</v>
      </c>
    </row>
    <row r="10023" spans="1:24">
      <c r="A10023">
        <f>HYPERLINK("https://www.philgeps.gov.ph/GEPSNONPILOT/Tender/SplashBidNoticeAbstractUI.aspx?menuIndex=3&amp;refID=7025946&amp;Result=3","7025946")</f>
        <v>0</v>
      </c>
      <c r="B10023" t="s">
        <v>2655</v>
      </c>
      <c r="C10023" t="s">
        <v>12649</v>
      </c>
      <c r="D10023" t="s">
        <v>16188</v>
      </c>
      <c r="E10023" t="s">
        <v>25010</v>
      </c>
      <c r="F10023" t="s">
        <v>28198</v>
      </c>
      <c r="G10023" t="s">
        <v>28205</v>
      </c>
      <c r="H10023" t="s">
        <v>28215</v>
      </c>
      <c r="I10023" t="s">
        <v>28280</v>
      </c>
      <c r="J10023" t="s">
        <v>28797</v>
      </c>
      <c r="K10023" t="s">
        <v>36694</v>
      </c>
      <c r="M10023" t="s">
        <v>39882</v>
      </c>
      <c r="N10023" t="s">
        <v>40436</v>
      </c>
      <c r="O10023" t="s">
        <v>40437</v>
      </c>
      <c r="P10023">
        <v>0</v>
      </c>
      <c r="Q10023">
        <v>6</v>
      </c>
      <c r="R10023" t="s">
        <v>40450</v>
      </c>
      <c r="S10023" t="s">
        <v>40961</v>
      </c>
      <c r="T10023" t="s">
        <v>42279</v>
      </c>
      <c r="U10023" t="s">
        <v>50529</v>
      </c>
      <c r="V10023" t="s">
        <v>54891</v>
      </c>
      <c r="W10023" t="s">
        <v>39882</v>
      </c>
      <c r="X10023" t="s">
        <v>40452</v>
      </c>
    </row>
    <row r="10024" spans="1:24">
      <c r="A10024">
        <f>HYPERLINK("https://www.philgeps.gov.ph/GEPSNONPILOT/Tender/SplashBidNoticeAbstractUI.aspx?menuIndex=3&amp;refID=7026293&amp;Result=3","7026293")</f>
        <v>0</v>
      </c>
      <c r="B10024" t="s">
        <v>2298</v>
      </c>
      <c r="C10024" t="s">
        <v>12650</v>
      </c>
      <c r="D10024" t="s">
        <v>16240</v>
      </c>
      <c r="E10024" t="s">
        <v>25011</v>
      </c>
      <c r="F10024" t="s">
        <v>28198</v>
      </c>
      <c r="G10024" t="s">
        <v>28207</v>
      </c>
      <c r="H10024" t="s">
        <v>28215</v>
      </c>
      <c r="I10024" t="s">
        <v>28265</v>
      </c>
      <c r="J10024" t="s">
        <v>34568</v>
      </c>
      <c r="K10024" t="s">
        <v>36693</v>
      </c>
      <c r="M10024" t="s">
        <v>39473</v>
      </c>
      <c r="N10024" t="s">
        <v>40436</v>
      </c>
      <c r="O10024" t="s">
        <v>40437</v>
      </c>
      <c r="P10024">
        <v>0</v>
      </c>
      <c r="Q10024">
        <v>0</v>
      </c>
      <c r="R10024" t="s">
        <v>40450</v>
      </c>
      <c r="S10024" t="s">
        <v>40961</v>
      </c>
      <c r="T10024" t="s">
        <v>42190</v>
      </c>
      <c r="U10024" t="s">
        <v>50986</v>
      </c>
      <c r="W10024" t="s">
        <v>39473</v>
      </c>
      <c r="X10024" t="s">
        <v>40452</v>
      </c>
    </row>
    <row r="10025" spans="1:24">
      <c r="A10025">
        <f>HYPERLINK("https://www.philgeps.gov.ph/GEPSNONPILOT/Tender/SplashBidNoticeAbstractUI.aspx?menuIndex=3&amp;refID=7025964&amp;Result=3","7025964")</f>
        <v>0</v>
      </c>
      <c r="B10025" t="s">
        <v>1996</v>
      </c>
      <c r="C10025" t="s">
        <v>12651</v>
      </c>
      <c r="D10025" t="s">
        <v>16261</v>
      </c>
      <c r="E10025" t="s">
        <v>25012</v>
      </c>
      <c r="F10025" t="s">
        <v>28198</v>
      </c>
      <c r="G10025" t="s">
        <v>28205</v>
      </c>
      <c r="H10025" t="s">
        <v>28214</v>
      </c>
      <c r="I10025" t="s">
        <v>3797</v>
      </c>
      <c r="J10025" t="s">
        <v>34569</v>
      </c>
      <c r="K10025" t="s">
        <v>36777</v>
      </c>
      <c r="M10025" t="s">
        <v>39134</v>
      </c>
      <c r="N10025" t="s">
        <v>40436</v>
      </c>
      <c r="O10025" t="s">
        <v>40437</v>
      </c>
      <c r="P10025">
        <v>0</v>
      </c>
      <c r="Q10025">
        <v>0</v>
      </c>
      <c r="R10025" t="s">
        <v>40450</v>
      </c>
      <c r="S10025" t="s">
        <v>40961</v>
      </c>
      <c r="T10025" t="s">
        <v>42133</v>
      </c>
      <c r="U10025" t="s">
        <v>50987</v>
      </c>
      <c r="V10025" t="s">
        <v>54404</v>
      </c>
      <c r="W10025" t="s">
        <v>39134</v>
      </c>
      <c r="X10025" t="s">
        <v>40452</v>
      </c>
    </row>
    <row r="10026" spans="1:24">
      <c r="A10026">
        <f>HYPERLINK("https://www.philgeps.gov.ph/GEPSNONPILOT/Tender/SplashBidNoticeAbstractUI.aspx?menuIndex=3&amp;refID=7026359&amp;Result=3","7026359")</f>
        <v>0</v>
      </c>
      <c r="B10026" t="s">
        <v>2130</v>
      </c>
      <c r="C10026" t="s">
        <v>3516</v>
      </c>
      <c r="D10026" t="s">
        <v>16265</v>
      </c>
      <c r="E10026" t="s">
        <v>25013</v>
      </c>
      <c r="F10026" t="s">
        <v>28198</v>
      </c>
      <c r="G10026" t="s">
        <v>28205</v>
      </c>
      <c r="H10026" t="s">
        <v>28215</v>
      </c>
      <c r="I10026" t="s">
        <v>8888</v>
      </c>
      <c r="J10026" t="s">
        <v>34570</v>
      </c>
      <c r="K10026" t="s">
        <v>36689</v>
      </c>
      <c r="M10026" t="s">
        <v>39287</v>
      </c>
      <c r="N10026" t="s">
        <v>40436</v>
      </c>
      <c r="O10026" t="s">
        <v>40437</v>
      </c>
      <c r="P10026">
        <v>0</v>
      </c>
      <c r="Q10026">
        <v>4</v>
      </c>
      <c r="R10026" t="s">
        <v>40450</v>
      </c>
      <c r="S10026" t="s">
        <v>40961</v>
      </c>
      <c r="T10026" t="s">
        <v>42279</v>
      </c>
      <c r="U10026" t="s">
        <v>50988</v>
      </c>
      <c r="W10026" t="s">
        <v>39287</v>
      </c>
      <c r="X10026" t="s">
        <v>40452</v>
      </c>
    </row>
    <row r="10027" spans="1:24">
      <c r="A10027">
        <f>HYPERLINK("https://www.philgeps.gov.ph/GEPSNONPILOT/Tender/SplashBidNoticeAbstractUI.aspx?menuIndex=3&amp;refID=7026405&amp;Result=3","7026405")</f>
        <v>0</v>
      </c>
      <c r="B10027" t="s">
        <v>2754</v>
      </c>
      <c r="C10027" t="s">
        <v>12652</v>
      </c>
      <c r="D10027" t="s">
        <v>16210</v>
      </c>
      <c r="E10027" t="s">
        <v>25014</v>
      </c>
      <c r="F10027" t="s">
        <v>28198</v>
      </c>
      <c r="G10027" t="s">
        <v>28205</v>
      </c>
      <c r="H10027" t="s">
        <v>28214</v>
      </c>
      <c r="I10027" t="s">
        <v>3797</v>
      </c>
      <c r="J10027" t="s">
        <v>34571</v>
      </c>
      <c r="K10027" t="s">
        <v>36701</v>
      </c>
      <c r="M10027" t="s">
        <v>40003</v>
      </c>
      <c r="N10027" t="s">
        <v>40436</v>
      </c>
      <c r="O10027" t="s">
        <v>40437</v>
      </c>
      <c r="P10027">
        <v>0</v>
      </c>
      <c r="Q10027">
        <v>0</v>
      </c>
      <c r="R10027" t="s">
        <v>40450</v>
      </c>
      <c r="S10027" t="s">
        <v>40961</v>
      </c>
      <c r="T10027" t="s">
        <v>42230</v>
      </c>
      <c r="U10027" t="s">
        <v>50989</v>
      </c>
      <c r="W10027" t="s">
        <v>40003</v>
      </c>
      <c r="X10027" t="s">
        <v>40452</v>
      </c>
    </row>
    <row r="10028" spans="1:24">
      <c r="A10028">
        <f>HYPERLINK("https://www.philgeps.gov.ph/GEPSNONPILOT/Tender/SplashBidNoticeAbstractUI.aspx?menuIndex=3&amp;refID=7026657&amp;Result=3","7026657")</f>
        <v>0</v>
      </c>
      <c r="B10028" t="s">
        <v>2298</v>
      </c>
      <c r="C10028" t="s">
        <v>12653</v>
      </c>
      <c r="D10028" t="s">
        <v>16240</v>
      </c>
      <c r="E10028" t="s">
        <v>25015</v>
      </c>
      <c r="F10028" t="s">
        <v>28198</v>
      </c>
      <c r="G10028" t="s">
        <v>28207</v>
      </c>
      <c r="H10028" t="s">
        <v>28215</v>
      </c>
      <c r="I10028" t="s">
        <v>28265</v>
      </c>
      <c r="J10028" t="s">
        <v>28708</v>
      </c>
      <c r="K10028" t="s">
        <v>36693</v>
      </c>
      <c r="M10028" t="s">
        <v>39473</v>
      </c>
      <c r="N10028" t="s">
        <v>40436</v>
      </c>
      <c r="O10028" t="s">
        <v>40437</v>
      </c>
      <c r="P10028">
        <v>0</v>
      </c>
      <c r="Q10028">
        <v>0</v>
      </c>
      <c r="R10028" t="s">
        <v>40450</v>
      </c>
      <c r="S10028" t="s">
        <v>40961</v>
      </c>
      <c r="T10028" t="s">
        <v>42141</v>
      </c>
      <c r="U10028" t="s">
        <v>50990</v>
      </c>
      <c r="W10028" t="s">
        <v>39473</v>
      </c>
      <c r="X10028" t="s">
        <v>40452</v>
      </c>
    </row>
    <row r="10029" spans="1:24">
      <c r="A10029">
        <f>HYPERLINK("https://www.philgeps.gov.ph/GEPSNONPILOT/Tender/SplashBidNoticeAbstractUI.aspx?menuIndex=3&amp;refID=7026403&amp;Result=3","7026403")</f>
        <v>0</v>
      </c>
      <c r="B10029" t="s">
        <v>2260</v>
      </c>
      <c r="C10029" t="s">
        <v>12654</v>
      </c>
      <c r="D10029" t="s">
        <v>16202</v>
      </c>
      <c r="E10029" t="s">
        <v>25016</v>
      </c>
      <c r="F10029" t="s">
        <v>28198</v>
      </c>
      <c r="G10029" t="s">
        <v>28205</v>
      </c>
      <c r="H10029" t="s">
        <v>28214</v>
      </c>
      <c r="I10029" t="s">
        <v>3797</v>
      </c>
      <c r="J10029" t="s">
        <v>34572</v>
      </c>
      <c r="K10029" t="s">
        <v>36783</v>
      </c>
      <c r="M10029" t="s">
        <v>39430</v>
      </c>
      <c r="N10029" t="s">
        <v>40436</v>
      </c>
      <c r="O10029" t="s">
        <v>40437</v>
      </c>
      <c r="P10029">
        <v>0</v>
      </c>
      <c r="Q10029">
        <v>7</v>
      </c>
      <c r="R10029" t="s">
        <v>40450</v>
      </c>
      <c r="S10029" t="s">
        <v>40961</v>
      </c>
      <c r="T10029" t="s">
        <v>42128</v>
      </c>
      <c r="U10029" t="s">
        <v>50991</v>
      </c>
      <c r="W10029" t="s">
        <v>39430</v>
      </c>
      <c r="X10029" t="s">
        <v>40452</v>
      </c>
    </row>
    <row r="10030" spans="1:24">
      <c r="A10030">
        <f>HYPERLINK("https://www.philgeps.gov.ph/GEPSNONPILOT/Tender/SplashBidNoticeAbstractUI.aspx?menuIndex=3&amp;refID=7026636&amp;Result=3","7026636")</f>
        <v>0</v>
      </c>
      <c r="B10030" t="s">
        <v>1579</v>
      </c>
      <c r="C10030" t="s">
        <v>12655</v>
      </c>
      <c r="D10030" t="s">
        <v>16219</v>
      </c>
      <c r="E10030" t="s">
        <v>25017</v>
      </c>
      <c r="F10030" t="s">
        <v>28198</v>
      </c>
      <c r="G10030" t="s">
        <v>28205</v>
      </c>
      <c r="H10030" t="s">
        <v>28214</v>
      </c>
      <c r="I10030" t="s">
        <v>3797</v>
      </c>
      <c r="J10030" t="s">
        <v>34573</v>
      </c>
      <c r="K10030" t="s">
        <v>36692</v>
      </c>
      <c r="M10030" t="s">
        <v>38662</v>
      </c>
      <c r="N10030" t="s">
        <v>40436</v>
      </c>
      <c r="O10030" t="s">
        <v>40437</v>
      </c>
      <c r="P10030">
        <v>0</v>
      </c>
      <c r="Q10030">
        <v>0</v>
      </c>
      <c r="R10030" t="s">
        <v>40450</v>
      </c>
      <c r="S10030" t="s">
        <v>40961</v>
      </c>
      <c r="T10030" t="s">
        <v>42168</v>
      </c>
      <c r="U10030" t="s">
        <v>50992</v>
      </c>
      <c r="W10030" t="s">
        <v>38662</v>
      </c>
      <c r="X10030" t="s">
        <v>40452</v>
      </c>
    </row>
    <row r="10031" spans="1:24">
      <c r="A10031">
        <f>HYPERLINK("https://www.philgeps.gov.ph/GEPSNONPILOT/Tender/SplashBidNoticeAbstractUI.aspx?menuIndex=3&amp;refID=7027087&amp;Result=3","7027087")</f>
        <v>0</v>
      </c>
      <c r="B10031" t="s">
        <v>1805</v>
      </c>
      <c r="C10031" t="s">
        <v>12656</v>
      </c>
      <c r="D10031" t="s">
        <v>16196</v>
      </c>
      <c r="E10031" t="s">
        <v>25018</v>
      </c>
      <c r="F10031" t="s">
        <v>28198</v>
      </c>
      <c r="G10031" t="s">
        <v>28205</v>
      </c>
      <c r="H10031" t="s">
        <v>28214</v>
      </c>
      <c r="I10031" t="s">
        <v>3774</v>
      </c>
      <c r="J10031" t="s">
        <v>34574</v>
      </c>
      <c r="K10031" t="s">
        <v>36701</v>
      </c>
      <c r="M10031" t="s">
        <v>38923</v>
      </c>
      <c r="N10031" t="s">
        <v>40436</v>
      </c>
      <c r="O10031" t="s">
        <v>40437</v>
      </c>
      <c r="P10031">
        <v>0</v>
      </c>
      <c r="Q10031">
        <v>2</v>
      </c>
      <c r="R10031" t="s">
        <v>40450</v>
      </c>
      <c r="S10031" t="s">
        <v>40961</v>
      </c>
      <c r="T10031" t="s">
        <v>42233</v>
      </c>
      <c r="U10031" t="s">
        <v>47258</v>
      </c>
      <c r="W10031" t="s">
        <v>38923</v>
      </c>
      <c r="X10031" t="s">
        <v>40451</v>
      </c>
    </row>
    <row r="10032" spans="1:24">
      <c r="A10032">
        <f>HYPERLINK("https://www.philgeps.gov.ph/GEPSNONPILOT/Tender/SplashBidNoticeAbstractUI.aspx?menuIndex=3&amp;refID=7026451&amp;Result=3","7026451")</f>
        <v>0</v>
      </c>
      <c r="B10032" t="s">
        <v>2298</v>
      </c>
      <c r="C10032" t="s">
        <v>12657</v>
      </c>
      <c r="D10032" t="s">
        <v>16240</v>
      </c>
      <c r="E10032" t="s">
        <v>25019</v>
      </c>
      <c r="F10032" t="s">
        <v>28198</v>
      </c>
      <c r="G10032" t="s">
        <v>28207</v>
      </c>
      <c r="H10032" t="s">
        <v>28215</v>
      </c>
      <c r="I10032" t="s">
        <v>28265</v>
      </c>
      <c r="J10032" t="s">
        <v>31621</v>
      </c>
      <c r="K10032" t="s">
        <v>36693</v>
      </c>
      <c r="M10032" t="s">
        <v>39473</v>
      </c>
      <c r="N10032" t="s">
        <v>40436</v>
      </c>
      <c r="O10032" t="s">
        <v>40437</v>
      </c>
      <c r="P10032">
        <v>0</v>
      </c>
      <c r="Q10032">
        <v>0</v>
      </c>
      <c r="R10032" t="s">
        <v>40450</v>
      </c>
      <c r="S10032" t="s">
        <v>40961</v>
      </c>
      <c r="T10032" t="s">
        <v>42190</v>
      </c>
      <c r="U10032" t="s">
        <v>50993</v>
      </c>
      <c r="W10032" t="s">
        <v>39473</v>
      </c>
      <c r="X10032" t="s">
        <v>40452</v>
      </c>
    </row>
    <row r="10033" spans="1:24">
      <c r="A10033">
        <f>HYPERLINK("https://www.philgeps.gov.ph/GEPSNONPILOT/Tender/SplashBidNoticeAbstractUI.aspx?menuIndex=3&amp;refID=7026622&amp;Result=3","7026622")</f>
        <v>0</v>
      </c>
      <c r="B10033" t="s">
        <v>2756</v>
      </c>
      <c r="C10033" t="s">
        <v>12658</v>
      </c>
      <c r="E10033" t="s">
        <v>25020</v>
      </c>
      <c r="F10033" t="s">
        <v>28198</v>
      </c>
      <c r="G10033" t="s">
        <v>28205</v>
      </c>
      <c r="H10033" t="s">
        <v>28214</v>
      </c>
      <c r="I10033" t="s">
        <v>3797</v>
      </c>
      <c r="J10033" t="s">
        <v>34575</v>
      </c>
      <c r="K10033" t="s">
        <v>36694</v>
      </c>
      <c r="M10033" t="s">
        <v>40005</v>
      </c>
      <c r="N10033" t="s">
        <v>40436</v>
      </c>
      <c r="O10033" t="s">
        <v>40437</v>
      </c>
      <c r="P10033">
        <v>0</v>
      </c>
      <c r="Q10033">
        <v>4</v>
      </c>
      <c r="R10033" t="s">
        <v>40450</v>
      </c>
      <c r="S10033" t="s">
        <v>40961</v>
      </c>
      <c r="T10033" t="s">
        <v>42144</v>
      </c>
      <c r="U10033" t="s">
        <v>50994</v>
      </c>
      <c r="W10033" t="s">
        <v>40005</v>
      </c>
      <c r="X10033" t="s">
        <v>40452</v>
      </c>
    </row>
    <row r="10034" spans="1:24">
      <c r="A10034">
        <f>HYPERLINK("https://www.philgeps.gov.ph/GEPSNONPILOT/Tender/SplashBidNoticeAbstractUI.aspx?menuIndex=3&amp;refID=7026581&amp;Result=3","7026581")</f>
        <v>0</v>
      </c>
      <c r="B10034" t="s">
        <v>2756</v>
      </c>
      <c r="C10034" t="s">
        <v>12659</v>
      </c>
      <c r="E10034" t="s">
        <v>25021</v>
      </c>
      <c r="F10034" t="s">
        <v>28198</v>
      </c>
      <c r="G10034" t="s">
        <v>28205</v>
      </c>
      <c r="H10034" t="s">
        <v>28214</v>
      </c>
      <c r="I10034" t="s">
        <v>3797</v>
      </c>
      <c r="J10034" t="s">
        <v>34576</v>
      </c>
      <c r="K10034" t="s">
        <v>36697</v>
      </c>
      <c r="M10034" t="s">
        <v>40005</v>
      </c>
      <c r="N10034" t="s">
        <v>40436</v>
      </c>
      <c r="O10034" t="s">
        <v>40437</v>
      </c>
      <c r="P10034">
        <v>0</v>
      </c>
      <c r="Q10034">
        <v>6</v>
      </c>
      <c r="R10034" t="s">
        <v>40450</v>
      </c>
      <c r="S10034" t="s">
        <v>40961</v>
      </c>
      <c r="T10034" t="s">
        <v>42144</v>
      </c>
      <c r="U10034" t="s">
        <v>50994</v>
      </c>
      <c r="W10034" t="s">
        <v>40005</v>
      </c>
      <c r="X10034" t="s">
        <v>40452</v>
      </c>
    </row>
    <row r="10035" spans="1:24">
      <c r="A10035">
        <f>HYPERLINK("https://www.philgeps.gov.ph/GEPSNONPILOT/Tender/SplashBidNoticeAbstractUI.aspx?menuIndex=3&amp;refID=7026593&amp;Result=3","7026593")</f>
        <v>0</v>
      </c>
      <c r="B10035" t="s">
        <v>2298</v>
      </c>
      <c r="C10035" t="s">
        <v>12660</v>
      </c>
      <c r="D10035" t="s">
        <v>16240</v>
      </c>
      <c r="E10035" t="s">
        <v>25022</v>
      </c>
      <c r="F10035" t="s">
        <v>28198</v>
      </c>
      <c r="G10035" t="s">
        <v>28207</v>
      </c>
      <c r="H10035" t="s">
        <v>28215</v>
      </c>
      <c r="I10035" t="s">
        <v>28265</v>
      </c>
      <c r="J10035" t="s">
        <v>34577</v>
      </c>
      <c r="K10035" t="s">
        <v>36693</v>
      </c>
      <c r="M10035" t="s">
        <v>39473</v>
      </c>
      <c r="N10035" t="s">
        <v>40436</v>
      </c>
      <c r="O10035" t="s">
        <v>40437</v>
      </c>
      <c r="P10035">
        <v>0</v>
      </c>
      <c r="Q10035">
        <v>0</v>
      </c>
      <c r="R10035" t="s">
        <v>40450</v>
      </c>
      <c r="S10035" t="s">
        <v>40961</v>
      </c>
      <c r="T10035" t="s">
        <v>42141</v>
      </c>
      <c r="U10035" t="s">
        <v>50995</v>
      </c>
      <c r="W10035" t="s">
        <v>39473</v>
      </c>
      <c r="X10035" t="s">
        <v>40452</v>
      </c>
    </row>
    <row r="10036" spans="1:24">
      <c r="A10036">
        <f>HYPERLINK("https://www.philgeps.gov.ph/GEPSNONPILOT/Tender/SplashBidNoticeAbstractUI.aspx?menuIndex=3&amp;refID=7026503&amp;Result=3","7026503")</f>
        <v>0</v>
      </c>
      <c r="B10036" t="s">
        <v>453</v>
      </c>
      <c r="C10036" t="s">
        <v>12661</v>
      </c>
      <c r="D10036" t="s">
        <v>16214</v>
      </c>
      <c r="E10036" t="s">
        <v>25023</v>
      </c>
      <c r="F10036" t="s">
        <v>28198</v>
      </c>
      <c r="G10036" t="s">
        <v>28205</v>
      </c>
      <c r="H10036" t="s">
        <v>28215</v>
      </c>
      <c r="I10036" t="s">
        <v>4505</v>
      </c>
      <c r="J10036" t="s">
        <v>28918</v>
      </c>
      <c r="K10036" t="s">
        <v>36687</v>
      </c>
      <c r="M10036" t="s">
        <v>37437</v>
      </c>
      <c r="N10036" t="s">
        <v>40436</v>
      </c>
      <c r="O10036" t="s">
        <v>40437</v>
      </c>
      <c r="P10036">
        <v>0</v>
      </c>
      <c r="Q10036">
        <v>7</v>
      </c>
      <c r="R10036" t="s">
        <v>40450</v>
      </c>
      <c r="S10036" t="s">
        <v>40961</v>
      </c>
      <c r="T10036" t="s">
        <v>42292</v>
      </c>
      <c r="U10036" t="s">
        <v>50996</v>
      </c>
      <c r="W10036" t="s">
        <v>37437</v>
      </c>
      <c r="X10036" t="s">
        <v>40452</v>
      </c>
    </row>
    <row r="10037" spans="1:24">
      <c r="A10037">
        <f>HYPERLINK("https://www.philgeps.gov.ph/GEPSNONPILOT/Tender/SplashBidNoticeAbstractUI.aspx?menuIndex=3&amp;refID=7026621&amp;Result=3","7026621")</f>
        <v>0</v>
      </c>
      <c r="B10037" t="s">
        <v>849</v>
      </c>
      <c r="C10037" t="s">
        <v>12091</v>
      </c>
      <c r="D10037" t="s">
        <v>16244</v>
      </c>
      <c r="E10037" t="s">
        <v>19744</v>
      </c>
      <c r="F10037" t="s">
        <v>28198</v>
      </c>
      <c r="G10037" t="s">
        <v>28205</v>
      </c>
      <c r="H10037" t="s">
        <v>28215</v>
      </c>
      <c r="I10037" t="s">
        <v>8888</v>
      </c>
      <c r="J10037" t="s">
        <v>28398</v>
      </c>
      <c r="K10037" t="s">
        <v>36687</v>
      </c>
      <c r="M10037" t="s">
        <v>37861</v>
      </c>
      <c r="N10037" t="s">
        <v>40436</v>
      </c>
      <c r="O10037" t="s">
        <v>40437</v>
      </c>
      <c r="P10037">
        <v>0</v>
      </c>
      <c r="Q10037">
        <v>0</v>
      </c>
      <c r="R10037" t="s">
        <v>40450</v>
      </c>
      <c r="S10037" t="s">
        <v>40961</v>
      </c>
      <c r="T10037" t="s">
        <v>42128</v>
      </c>
      <c r="U10037" t="s">
        <v>50997</v>
      </c>
      <c r="V10037" t="s">
        <v>53988</v>
      </c>
      <c r="W10037" t="s">
        <v>37861</v>
      </c>
      <c r="X10037" t="s">
        <v>40452</v>
      </c>
    </row>
    <row r="10038" spans="1:24">
      <c r="A10038">
        <f>HYPERLINK("https://www.philgeps.gov.ph/GEPSNONPILOT/Tender/SplashBidNoticeAbstractUI.aspx?menuIndex=3&amp;refID=7026555&amp;Result=3","7026555")</f>
        <v>0</v>
      </c>
      <c r="B10038" t="s">
        <v>2756</v>
      </c>
      <c r="C10038" t="s">
        <v>12662</v>
      </c>
      <c r="E10038" t="s">
        <v>25024</v>
      </c>
      <c r="F10038" t="s">
        <v>28198</v>
      </c>
      <c r="G10038" t="s">
        <v>28205</v>
      </c>
      <c r="H10038" t="s">
        <v>28214</v>
      </c>
      <c r="I10038" t="s">
        <v>3797</v>
      </c>
      <c r="J10038" t="s">
        <v>34578</v>
      </c>
      <c r="K10038" t="s">
        <v>36694</v>
      </c>
      <c r="M10038" t="s">
        <v>40005</v>
      </c>
      <c r="N10038" t="s">
        <v>40436</v>
      </c>
      <c r="O10038" t="s">
        <v>40437</v>
      </c>
      <c r="P10038">
        <v>0</v>
      </c>
      <c r="Q10038">
        <v>5</v>
      </c>
      <c r="R10038" t="s">
        <v>40450</v>
      </c>
      <c r="S10038" t="s">
        <v>40961</v>
      </c>
      <c r="T10038" t="s">
        <v>42144</v>
      </c>
      <c r="U10038" t="s">
        <v>50994</v>
      </c>
      <c r="W10038" t="s">
        <v>40005</v>
      </c>
      <c r="X10038" t="s">
        <v>40452</v>
      </c>
    </row>
    <row r="10039" spans="1:24">
      <c r="A10039">
        <f>HYPERLINK("https://www.philgeps.gov.ph/GEPSNONPILOT/Tender/SplashBidNoticeAbstractUI.aspx?menuIndex=3&amp;refID=7027088&amp;Result=3","7027088")</f>
        <v>0</v>
      </c>
      <c r="B10039" t="s">
        <v>2350</v>
      </c>
      <c r="C10039" t="s">
        <v>12663</v>
      </c>
      <c r="E10039" t="s">
        <v>25025</v>
      </c>
      <c r="F10039" t="s">
        <v>28198</v>
      </c>
      <c r="G10039" t="s">
        <v>28205</v>
      </c>
      <c r="H10039" t="s">
        <v>28215</v>
      </c>
      <c r="I10039" t="s">
        <v>28272</v>
      </c>
      <c r="J10039" t="s">
        <v>34579</v>
      </c>
      <c r="K10039" t="s">
        <v>36689</v>
      </c>
      <c r="M10039" t="s">
        <v>39530</v>
      </c>
      <c r="N10039" t="s">
        <v>40436</v>
      </c>
      <c r="O10039" t="s">
        <v>40437</v>
      </c>
      <c r="P10039">
        <v>0</v>
      </c>
      <c r="Q10039">
        <v>0</v>
      </c>
      <c r="R10039" t="s">
        <v>40450</v>
      </c>
      <c r="S10039" t="s">
        <v>40961</v>
      </c>
      <c r="T10039" t="s">
        <v>42134</v>
      </c>
      <c r="U10039" t="s">
        <v>50998</v>
      </c>
      <c r="W10039" t="s">
        <v>39530</v>
      </c>
      <c r="X10039" t="s">
        <v>40451</v>
      </c>
    </row>
    <row r="10040" spans="1:24">
      <c r="A10040">
        <f>HYPERLINK("https://www.philgeps.gov.ph/GEPSNONPILOT/Tender/SplashBidNoticeAbstractUI.aspx?menuIndex=3&amp;refID=7027120&amp;Result=3","7027120")</f>
        <v>0</v>
      </c>
      <c r="B10040" t="s">
        <v>2757</v>
      </c>
      <c r="C10040" t="s">
        <v>12664</v>
      </c>
      <c r="E10040" t="s">
        <v>25026</v>
      </c>
      <c r="F10040" t="s">
        <v>28198</v>
      </c>
      <c r="G10040" t="s">
        <v>28207</v>
      </c>
      <c r="H10040" t="s">
        <v>28215</v>
      </c>
      <c r="I10040" t="s">
        <v>28247</v>
      </c>
      <c r="J10040" t="s">
        <v>33094</v>
      </c>
      <c r="K10040" t="s">
        <v>36689</v>
      </c>
      <c r="M10040" t="s">
        <v>40006</v>
      </c>
      <c r="N10040" t="s">
        <v>40436</v>
      </c>
      <c r="O10040" t="s">
        <v>40437</v>
      </c>
      <c r="Q10040">
        <v>15</v>
      </c>
      <c r="R10040" t="s">
        <v>40450</v>
      </c>
      <c r="S10040" t="s">
        <v>40965</v>
      </c>
      <c r="T10040" t="s">
        <v>42152</v>
      </c>
      <c r="U10040" t="s">
        <v>50999</v>
      </c>
      <c r="W10040" t="s">
        <v>40006</v>
      </c>
      <c r="X10040" t="s">
        <v>40451</v>
      </c>
    </row>
    <row r="10041" spans="1:24">
      <c r="A10041">
        <f>HYPERLINK("https://www.philgeps.gov.ph/GEPSNONPILOT/Tender/SplashBidNoticeAbstractUI.aspx?menuIndex=3&amp;refID=7027086&amp;Result=3","7027086")</f>
        <v>0</v>
      </c>
      <c r="B10041" t="s">
        <v>1805</v>
      </c>
      <c r="C10041" t="s">
        <v>12665</v>
      </c>
      <c r="D10041" t="s">
        <v>16196</v>
      </c>
      <c r="E10041" t="s">
        <v>25027</v>
      </c>
      <c r="F10041" t="s">
        <v>28198</v>
      </c>
      <c r="G10041" t="s">
        <v>28205</v>
      </c>
      <c r="H10041" t="s">
        <v>28214</v>
      </c>
      <c r="I10041" t="s">
        <v>3797</v>
      </c>
      <c r="J10041" t="s">
        <v>29632</v>
      </c>
      <c r="K10041" t="s">
        <v>36694</v>
      </c>
      <c r="M10041" t="s">
        <v>38923</v>
      </c>
      <c r="N10041" t="s">
        <v>40436</v>
      </c>
      <c r="O10041" t="s">
        <v>40437</v>
      </c>
      <c r="P10041">
        <v>0</v>
      </c>
      <c r="Q10041">
        <v>14</v>
      </c>
      <c r="R10041" t="s">
        <v>40450</v>
      </c>
      <c r="S10041" t="s">
        <v>40961</v>
      </c>
      <c r="T10041" t="s">
        <v>42100</v>
      </c>
      <c r="U10041" t="s">
        <v>51000</v>
      </c>
      <c r="W10041" t="s">
        <v>38923</v>
      </c>
      <c r="X10041" t="s">
        <v>40451</v>
      </c>
    </row>
    <row r="10042" spans="1:24">
      <c r="A10042">
        <f>HYPERLINK("https://www.philgeps.gov.ph/GEPSNONPILOT/Tender/SplashBidNoticeAbstractUI.aspx?menuIndex=3&amp;refID=7027127&amp;Result=3","7027127")</f>
        <v>0</v>
      </c>
      <c r="B10042" t="s">
        <v>105</v>
      </c>
      <c r="C10042" t="s">
        <v>12666</v>
      </c>
      <c r="D10042" t="s">
        <v>16233</v>
      </c>
      <c r="E10042" t="s">
        <v>25028</v>
      </c>
      <c r="F10042" t="s">
        <v>28198</v>
      </c>
      <c r="G10042" t="s">
        <v>28207</v>
      </c>
      <c r="H10042" t="s">
        <v>28215</v>
      </c>
      <c r="I10042" t="s">
        <v>28274</v>
      </c>
      <c r="J10042" t="s">
        <v>34580</v>
      </c>
      <c r="K10042" t="s">
        <v>36701</v>
      </c>
      <c r="M10042" t="s">
        <v>39589</v>
      </c>
      <c r="N10042" t="s">
        <v>40436</v>
      </c>
      <c r="O10042" t="s">
        <v>40437</v>
      </c>
      <c r="Q10042">
        <v>0</v>
      </c>
      <c r="R10042" t="s">
        <v>40450</v>
      </c>
      <c r="S10042" t="s">
        <v>40966</v>
      </c>
      <c r="T10042" t="s">
        <v>42158</v>
      </c>
      <c r="U10042" t="s">
        <v>51001</v>
      </c>
      <c r="W10042" t="s">
        <v>39589</v>
      </c>
      <c r="X10042" t="s">
        <v>40451</v>
      </c>
    </row>
    <row r="10043" spans="1:24">
      <c r="A10043">
        <f>HYPERLINK("https://www.philgeps.gov.ph/GEPSNONPILOT/Tender/SplashBidNoticeAbstractUI.aspx?menuIndex=3&amp;refID=7026649&amp;Result=3","7026649")</f>
        <v>0</v>
      </c>
      <c r="B10043" t="s">
        <v>2756</v>
      </c>
      <c r="C10043" t="s">
        <v>12667</v>
      </c>
      <c r="E10043" t="s">
        <v>25029</v>
      </c>
      <c r="F10043" t="s">
        <v>28198</v>
      </c>
      <c r="G10043" t="s">
        <v>28205</v>
      </c>
      <c r="H10043" t="s">
        <v>28214</v>
      </c>
      <c r="I10043" t="s">
        <v>3797</v>
      </c>
      <c r="J10043" t="s">
        <v>30738</v>
      </c>
      <c r="K10043" t="s">
        <v>36706</v>
      </c>
      <c r="M10043" t="s">
        <v>40005</v>
      </c>
      <c r="N10043" t="s">
        <v>40436</v>
      </c>
      <c r="O10043" t="s">
        <v>40437</v>
      </c>
      <c r="P10043">
        <v>0</v>
      </c>
      <c r="Q10043">
        <v>3</v>
      </c>
      <c r="R10043" t="s">
        <v>40450</v>
      </c>
      <c r="S10043" t="s">
        <v>40961</v>
      </c>
      <c r="T10043" t="s">
        <v>42144</v>
      </c>
      <c r="U10043" t="s">
        <v>50994</v>
      </c>
      <c r="W10043" t="s">
        <v>40005</v>
      </c>
      <c r="X10043" t="s">
        <v>40452</v>
      </c>
    </row>
    <row r="10044" spans="1:24">
      <c r="A10044">
        <f>HYPERLINK("https://www.philgeps.gov.ph/GEPSNONPILOT/Tender/SplashBidNoticeAbstractUI.aspx?menuIndex=3&amp;refID=7026496&amp;Result=3","7026496")</f>
        <v>0</v>
      </c>
      <c r="B10044" t="s">
        <v>2298</v>
      </c>
      <c r="C10044" t="s">
        <v>12668</v>
      </c>
      <c r="D10044" t="s">
        <v>16240</v>
      </c>
      <c r="E10044" t="s">
        <v>25030</v>
      </c>
      <c r="F10044" t="s">
        <v>28198</v>
      </c>
      <c r="G10044" t="s">
        <v>28207</v>
      </c>
      <c r="H10044" t="s">
        <v>28215</v>
      </c>
      <c r="I10044" t="s">
        <v>28265</v>
      </c>
      <c r="J10044" t="s">
        <v>34581</v>
      </c>
      <c r="K10044" t="s">
        <v>36693</v>
      </c>
      <c r="M10044" t="s">
        <v>39473</v>
      </c>
      <c r="N10044" t="s">
        <v>40436</v>
      </c>
      <c r="O10044" t="s">
        <v>40437</v>
      </c>
      <c r="P10044">
        <v>0</v>
      </c>
      <c r="Q10044">
        <v>0</v>
      </c>
      <c r="R10044" t="s">
        <v>40450</v>
      </c>
      <c r="S10044" t="s">
        <v>40961</v>
      </c>
      <c r="T10044" t="s">
        <v>42158</v>
      </c>
      <c r="U10044" t="s">
        <v>51002</v>
      </c>
      <c r="W10044" t="s">
        <v>39473</v>
      </c>
      <c r="X10044" t="s">
        <v>40452</v>
      </c>
    </row>
    <row r="10045" spans="1:24">
      <c r="A10045">
        <f>HYPERLINK("https://www.philgeps.gov.ph/GEPSNONPILOT/Tender/SplashBidNoticeAbstractUI.aspx?menuIndex=3&amp;refID=7027193&amp;Result=3","7027193")</f>
        <v>0</v>
      </c>
      <c r="B10045" t="s">
        <v>2758</v>
      </c>
      <c r="C10045" t="s">
        <v>12669</v>
      </c>
      <c r="D10045" t="s">
        <v>16200</v>
      </c>
      <c r="E10045" t="s">
        <v>18331</v>
      </c>
      <c r="F10045" t="s">
        <v>28198</v>
      </c>
      <c r="G10045" t="s">
        <v>28205</v>
      </c>
      <c r="H10045" t="s">
        <v>28215</v>
      </c>
      <c r="I10045" t="s">
        <v>28247</v>
      </c>
      <c r="J10045" t="s">
        <v>29565</v>
      </c>
      <c r="K10045" t="s">
        <v>36692</v>
      </c>
      <c r="M10045" t="s">
        <v>40007</v>
      </c>
      <c r="N10045" t="s">
        <v>40436</v>
      </c>
      <c r="O10045" t="s">
        <v>40437</v>
      </c>
      <c r="Q10045">
        <v>13</v>
      </c>
      <c r="R10045" t="s">
        <v>40450</v>
      </c>
      <c r="S10045" t="s">
        <v>40780</v>
      </c>
      <c r="T10045" t="s">
        <v>42553</v>
      </c>
      <c r="U10045" t="s">
        <v>51003</v>
      </c>
      <c r="W10045" t="s">
        <v>40007</v>
      </c>
      <c r="X10045" t="s">
        <v>40451</v>
      </c>
    </row>
    <row r="10046" spans="1:24">
      <c r="A10046">
        <f>HYPERLINK("https://www.philgeps.gov.ph/GEPSNONPILOT/Tender/SplashBidNoticeAbstractUI.aspx?menuIndex=3&amp;refID=7026967&amp;Result=3","7026967")</f>
        <v>0</v>
      </c>
      <c r="B10046" t="s">
        <v>591</v>
      </c>
      <c r="C10046" t="s">
        <v>12670</v>
      </c>
      <c r="D10046" t="s">
        <v>16228</v>
      </c>
      <c r="E10046" t="s">
        <v>25031</v>
      </c>
      <c r="F10046" t="s">
        <v>28198</v>
      </c>
      <c r="G10046" t="s">
        <v>28205</v>
      </c>
      <c r="H10046" t="s">
        <v>28214</v>
      </c>
      <c r="I10046" t="s">
        <v>3797</v>
      </c>
      <c r="J10046" t="s">
        <v>30991</v>
      </c>
      <c r="K10046" t="s">
        <v>36710</v>
      </c>
      <c r="M10046" t="s">
        <v>37580</v>
      </c>
      <c r="N10046" t="s">
        <v>40436</v>
      </c>
      <c r="O10046" t="s">
        <v>40437</v>
      </c>
      <c r="P10046">
        <v>0</v>
      </c>
      <c r="Q10046">
        <v>3</v>
      </c>
      <c r="R10046" t="s">
        <v>40450</v>
      </c>
      <c r="S10046" t="s">
        <v>40961</v>
      </c>
      <c r="T10046" t="s">
        <v>42240</v>
      </c>
      <c r="U10046" t="s">
        <v>51004</v>
      </c>
      <c r="W10046" t="s">
        <v>37580</v>
      </c>
      <c r="X10046" t="s">
        <v>40452</v>
      </c>
    </row>
    <row r="10047" spans="1:24">
      <c r="A10047">
        <f>HYPERLINK("https://www.philgeps.gov.ph/GEPSNONPILOT/Tender/SplashBidNoticeAbstractUI.aspx?menuIndex=3&amp;refID=7027178&amp;Result=3","7027178")</f>
        <v>0</v>
      </c>
      <c r="B10047" t="s">
        <v>2759</v>
      </c>
      <c r="C10047" t="s">
        <v>12671</v>
      </c>
      <c r="D10047" t="s">
        <v>16218</v>
      </c>
      <c r="E10047" t="s">
        <v>17186</v>
      </c>
      <c r="F10047" t="s">
        <v>28198</v>
      </c>
      <c r="G10047" t="s">
        <v>28205</v>
      </c>
      <c r="H10047" t="s">
        <v>28214</v>
      </c>
      <c r="I10047" t="s">
        <v>5100</v>
      </c>
      <c r="J10047" t="s">
        <v>34582</v>
      </c>
      <c r="K10047" t="s">
        <v>36706</v>
      </c>
      <c r="M10047" t="s">
        <v>40008</v>
      </c>
      <c r="N10047" t="s">
        <v>40436</v>
      </c>
      <c r="O10047" t="s">
        <v>40437</v>
      </c>
      <c r="P10047">
        <v>0</v>
      </c>
      <c r="Q10047">
        <v>0</v>
      </c>
      <c r="R10047" t="s">
        <v>40450</v>
      </c>
      <c r="S10047" t="s">
        <v>40961</v>
      </c>
      <c r="T10047" t="s">
        <v>42134</v>
      </c>
      <c r="U10047" t="s">
        <v>51005</v>
      </c>
      <c r="V10047" t="s">
        <v>54892</v>
      </c>
      <c r="W10047" t="s">
        <v>40008</v>
      </c>
      <c r="X10047" t="s">
        <v>40451</v>
      </c>
    </row>
    <row r="10048" spans="1:24">
      <c r="A10048">
        <f>HYPERLINK("https://www.philgeps.gov.ph/GEPSNONPILOT/Tender/SplashBidNoticeAbstractUI.aspx?menuIndex=3&amp;refID=7027141&amp;Result=3","7027141")</f>
        <v>0</v>
      </c>
      <c r="B10048" t="s">
        <v>1108</v>
      </c>
      <c r="C10048" t="s">
        <v>12672</v>
      </c>
      <c r="D10048" t="s">
        <v>16193</v>
      </c>
      <c r="E10048" t="s">
        <v>25032</v>
      </c>
      <c r="F10048" t="s">
        <v>28198</v>
      </c>
      <c r="G10048" t="s">
        <v>28205</v>
      </c>
      <c r="H10048" t="s">
        <v>28215</v>
      </c>
      <c r="I10048" t="s">
        <v>4168</v>
      </c>
      <c r="J10048" t="s">
        <v>28702</v>
      </c>
      <c r="K10048" t="s">
        <v>36707</v>
      </c>
      <c r="M10048" t="s">
        <v>38144</v>
      </c>
      <c r="N10048" t="s">
        <v>40436</v>
      </c>
      <c r="O10048" t="s">
        <v>40437</v>
      </c>
      <c r="P10048">
        <v>0</v>
      </c>
      <c r="Q10048">
        <v>0</v>
      </c>
      <c r="R10048" t="s">
        <v>40450</v>
      </c>
      <c r="S10048" t="s">
        <v>40961</v>
      </c>
      <c r="T10048" t="s">
        <v>42129</v>
      </c>
      <c r="U10048" t="s">
        <v>51006</v>
      </c>
      <c r="W10048" t="s">
        <v>38144</v>
      </c>
      <c r="X10048" t="s">
        <v>40451</v>
      </c>
    </row>
    <row r="10049" spans="1:24">
      <c r="A10049">
        <f>HYPERLINK("https://www.philgeps.gov.ph/GEPSNONPILOT/Tender/SplashBidNoticeAbstractUI.aspx?menuIndex=3&amp;refID=7027187&amp;Result=3","7027187")</f>
        <v>0</v>
      </c>
      <c r="B10049" t="s">
        <v>1224</v>
      </c>
      <c r="C10049" t="s">
        <v>12673</v>
      </c>
      <c r="D10049" t="s">
        <v>16206</v>
      </c>
      <c r="E10049" t="s">
        <v>25033</v>
      </c>
      <c r="F10049" t="s">
        <v>28198</v>
      </c>
      <c r="G10049" t="s">
        <v>28205</v>
      </c>
      <c r="H10049" t="s">
        <v>28215</v>
      </c>
      <c r="I10049" t="s">
        <v>8888</v>
      </c>
      <c r="J10049" t="s">
        <v>29275</v>
      </c>
      <c r="K10049" t="s">
        <v>36707</v>
      </c>
      <c r="M10049" t="s">
        <v>38270</v>
      </c>
      <c r="N10049" t="s">
        <v>40436</v>
      </c>
      <c r="O10049" t="s">
        <v>40437</v>
      </c>
      <c r="P10049">
        <v>0</v>
      </c>
      <c r="Q10049">
        <v>1</v>
      </c>
      <c r="R10049" t="s">
        <v>40450</v>
      </c>
      <c r="S10049" t="s">
        <v>40961</v>
      </c>
      <c r="T10049" t="s">
        <v>42112</v>
      </c>
      <c r="U10049" t="s">
        <v>51007</v>
      </c>
      <c r="W10049" t="s">
        <v>38270</v>
      </c>
      <c r="X10049" t="s">
        <v>40451</v>
      </c>
    </row>
    <row r="10050" spans="1:24">
      <c r="A10050">
        <f>HYPERLINK("https://www.philgeps.gov.ph/GEPSNONPILOT/Tender/SplashBidNoticeAbstractUI.aspx?menuIndex=3&amp;refID=7027156&amp;Result=3","7027156")</f>
        <v>0</v>
      </c>
      <c r="B10050" t="s">
        <v>552</v>
      </c>
      <c r="C10050" t="s">
        <v>12674</v>
      </c>
      <c r="E10050" t="s">
        <v>25034</v>
      </c>
      <c r="F10050" t="s">
        <v>28198</v>
      </c>
      <c r="G10050" t="s">
        <v>28205</v>
      </c>
      <c r="H10050" t="s">
        <v>28215</v>
      </c>
      <c r="I10050" t="s">
        <v>5100</v>
      </c>
      <c r="J10050" t="s">
        <v>34583</v>
      </c>
      <c r="K10050" t="s">
        <v>36701</v>
      </c>
      <c r="M10050" t="s">
        <v>37538</v>
      </c>
      <c r="N10050" t="s">
        <v>40436</v>
      </c>
      <c r="O10050" t="s">
        <v>40437</v>
      </c>
      <c r="P10050">
        <v>0</v>
      </c>
      <c r="Q10050">
        <v>4</v>
      </c>
      <c r="R10050" t="s">
        <v>40450</v>
      </c>
      <c r="S10050" t="s">
        <v>40961</v>
      </c>
      <c r="T10050" t="s">
        <v>42128</v>
      </c>
      <c r="U10050" t="s">
        <v>42743</v>
      </c>
      <c r="W10050" t="s">
        <v>37538</v>
      </c>
      <c r="X10050" t="s">
        <v>40451</v>
      </c>
    </row>
    <row r="10051" spans="1:24">
      <c r="A10051">
        <f>HYPERLINK("https://www.philgeps.gov.ph/GEPSNONPILOT/Tender/SplashBidNoticeAbstractUI.aspx?menuIndex=3&amp;refID=7027129&amp;Result=3","7027129")</f>
        <v>0</v>
      </c>
      <c r="B10051" t="s">
        <v>2048</v>
      </c>
      <c r="C10051" t="s">
        <v>12675</v>
      </c>
      <c r="D10051" t="s">
        <v>16236</v>
      </c>
      <c r="E10051" t="s">
        <v>25035</v>
      </c>
      <c r="F10051" t="s">
        <v>28198</v>
      </c>
      <c r="G10051" t="s">
        <v>28205</v>
      </c>
      <c r="H10051" t="s">
        <v>28214</v>
      </c>
      <c r="I10051" t="s">
        <v>3797</v>
      </c>
      <c r="J10051" t="s">
        <v>34584</v>
      </c>
      <c r="K10051" t="s">
        <v>36692</v>
      </c>
      <c r="M10051" t="s">
        <v>39194</v>
      </c>
      <c r="N10051" t="s">
        <v>40436</v>
      </c>
      <c r="O10051" t="s">
        <v>40437</v>
      </c>
      <c r="P10051">
        <v>0</v>
      </c>
      <c r="Q10051">
        <v>1</v>
      </c>
      <c r="R10051" t="s">
        <v>40450</v>
      </c>
      <c r="S10051" t="s">
        <v>40961</v>
      </c>
      <c r="T10051" t="s">
        <v>42168</v>
      </c>
      <c r="U10051" t="s">
        <v>51008</v>
      </c>
      <c r="W10051" t="s">
        <v>39194</v>
      </c>
      <c r="X10051" t="s">
        <v>40451</v>
      </c>
    </row>
    <row r="10052" spans="1:24">
      <c r="A10052">
        <f>HYPERLINK("https://www.philgeps.gov.ph/GEPSNONPILOT/Tender/SplashBidNoticeAbstractUI.aspx?menuIndex=3&amp;refID=7027174&amp;Result=3","7027174")</f>
        <v>0</v>
      </c>
      <c r="B10052" t="s">
        <v>552</v>
      </c>
      <c r="C10052" t="s">
        <v>12676</v>
      </c>
      <c r="E10052" t="s">
        <v>25036</v>
      </c>
      <c r="F10052" t="s">
        <v>28198</v>
      </c>
      <c r="G10052" t="s">
        <v>28205</v>
      </c>
      <c r="H10052" t="s">
        <v>28215</v>
      </c>
      <c r="I10052" t="s">
        <v>5100</v>
      </c>
      <c r="J10052" t="s">
        <v>34585</v>
      </c>
      <c r="K10052" t="s">
        <v>36701</v>
      </c>
      <c r="M10052" t="s">
        <v>37538</v>
      </c>
      <c r="N10052" t="s">
        <v>40436</v>
      </c>
      <c r="O10052" t="s">
        <v>40437</v>
      </c>
      <c r="P10052">
        <v>0</v>
      </c>
      <c r="Q10052">
        <v>3</v>
      </c>
      <c r="R10052" t="s">
        <v>40450</v>
      </c>
      <c r="S10052" t="s">
        <v>40961</v>
      </c>
      <c r="T10052" t="s">
        <v>42128</v>
      </c>
      <c r="U10052" t="s">
        <v>42743</v>
      </c>
      <c r="W10052" t="s">
        <v>37538</v>
      </c>
      <c r="X10052" t="s">
        <v>40451</v>
      </c>
    </row>
    <row r="10053" spans="1:24">
      <c r="A10053">
        <f>HYPERLINK("https://www.philgeps.gov.ph/GEPSNONPILOT/Tender/SplashBidNoticeAbstractUI.aspx?menuIndex=3&amp;refID=7027151&amp;Result=3","7027151")</f>
        <v>0</v>
      </c>
      <c r="B10053" t="s">
        <v>1108</v>
      </c>
      <c r="C10053" t="s">
        <v>12677</v>
      </c>
      <c r="D10053" t="s">
        <v>16193</v>
      </c>
      <c r="E10053" t="s">
        <v>25037</v>
      </c>
      <c r="F10053" t="s">
        <v>28198</v>
      </c>
      <c r="G10053" t="s">
        <v>28205</v>
      </c>
      <c r="H10053" t="s">
        <v>28215</v>
      </c>
      <c r="I10053" t="s">
        <v>5100</v>
      </c>
      <c r="J10053" t="s">
        <v>34586</v>
      </c>
      <c r="K10053" t="s">
        <v>36707</v>
      </c>
      <c r="M10053" t="s">
        <v>38144</v>
      </c>
      <c r="N10053" t="s">
        <v>40436</v>
      </c>
      <c r="O10053" t="s">
        <v>40437</v>
      </c>
      <c r="P10053">
        <v>0</v>
      </c>
      <c r="Q10053">
        <v>0</v>
      </c>
      <c r="R10053" t="s">
        <v>40450</v>
      </c>
      <c r="S10053" t="s">
        <v>40961</v>
      </c>
      <c r="T10053" t="s">
        <v>42129</v>
      </c>
      <c r="U10053" t="s">
        <v>51009</v>
      </c>
      <c r="W10053" t="s">
        <v>38144</v>
      </c>
      <c r="X10053" t="s">
        <v>40451</v>
      </c>
    </row>
    <row r="10054" spans="1:24">
      <c r="A10054">
        <f>HYPERLINK("https://www.philgeps.gov.ph/GEPSNONPILOT/Tender/SplashBidNoticeAbstractUI.aspx?menuIndex=3&amp;refID=7027130&amp;Result=3","7027130")</f>
        <v>0</v>
      </c>
      <c r="B10054" t="s">
        <v>100</v>
      </c>
      <c r="C10054" t="s">
        <v>12678</v>
      </c>
      <c r="D10054" t="s">
        <v>16228</v>
      </c>
      <c r="E10054" t="s">
        <v>25038</v>
      </c>
      <c r="F10054" t="s">
        <v>28198</v>
      </c>
      <c r="G10054" t="s">
        <v>28205</v>
      </c>
      <c r="H10054" t="s">
        <v>28215</v>
      </c>
      <c r="I10054" t="s">
        <v>5100</v>
      </c>
      <c r="J10054" t="s">
        <v>34587</v>
      </c>
      <c r="K10054" t="s">
        <v>36701</v>
      </c>
      <c r="M10054" t="s">
        <v>38133</v>
      </c>
      <c r="N10054" t="s">
        <v>40436</v>
      </c>
      <c r="O10054" t="s">
        <v>40437</v>
      </c>
      <c r="P10054">
        <v>0</v>
      </c>
      <c r="Q10054">
        <v>0</v>
      </c>
      <c r="R10054" t="s">
        <v>40450</v>
      </c>
      <c r="S10054" t="s">
        <v>40961</v>
      </c>
      <c r="T10054" t="s">
        <v>42168</v>
      </c>
      <c r="U10054" t="s">
        <v>42767</v>
      </c>
      <c r="V10054" t="s">
        <v>53798</v>
      </c>
      <c r="W10054" t="s">
        <v>38133</v>
      </c>
      <c r="X10054" t="s">
        <v>40451</v>
      </c>
    </row>
    <row r="10055" spans="1:24">
      <c r="A10055">
        <f>HYPERLINK("https://www.philgeps.gov.ph/GEPSNONPILOT/Tender/SplashBidNoticeAbstractUI.aspx?menuIndex=3&amp;refID=7027225&amp;Result=3","7027225")</f>
        <v>0</v>
      </c>
      <c r="B10055" t="s">
        <v>1224</v>
      </c>
      <c r="C10055" t="s">
        <v>12679</v>
      </c>
      <c r="D10055" t="s">
        <v>16206</v>
      </c>
      <c r="E10055" t="s">
        <v>25039</v>
      </c>
      <c r="F10055" t="s">
        <v>28198</v>
      </c>
      <c r="G10055" t="s">
        <v>28205</v>
      </c>
      <c r="H10055" t="s">
        <v>28215</v>
      </c>
      <c r="I10055" t="s">
        <v>4219</v>
      </c>
      <c r="J10055" t="s">
        <v>34588</v>
      </c>
      <c r="K10055" t="s">
        <v>36707</v>
      </c>
      <c r="M10055" t="s">
        <v>38270</v>
      </c>
      <c r="N10055" t="s">
        <v>40436</v>
      </c>
      <c r="O10055" t="s">
        <v>40437</v>
      </c>
      <c r="P10055">
        <v>0</v>
      </c>
      <c r="Q10055">
        <v>2</v>
      </c>
      <c r="R10055" t="s">
        <v>40450</v>
      </c>
      <c r="S10055" t="s">
        <v>40961</v>
      </c>
      <c r="T10055" t="s">
        <v>42144</v>
      </c>
      <c r="U10055" t="s">
        <v>51010</v>
      </c>
      <c r="W10055" t="s">
        <v>38270</v>
      </c>
      <c r="X10055" t="s">
        <v>40451</v>
      </c>
    </row>
    <row r="10056" spans="1:24">
      <c r="A10056">
        <f>HYPERLINK("https://www.philgeps.gov.ph/GEPSNONPILOT/Tender/SplashBidNoticeAbstractUI.aspx?menuIndex=3&amp;refID=7027147&amp;Result=3","7027147")</f>
        <v>0</v>
      </c>
      <c r="B10056" t="s">
        <v>2048</v>
      </c>
      <c r="C10056" t="s">
        <v>12680</v>
      </c>
      <c r="D10056" t="s">
        <v>16236</v>
      </c>
      <c r="E10056" t="s">
        <v>20556</v>
      </c>
      <c r="F10056" t="s">
        <v>28198</v>
      </c>
      <c r="G10056" t="s">
        <v>28205</v>
      </c>
      <c r="H10056" t="s">
        <v>28214</v>
      </c>
      <c r="I10056" t="s">
        <v>3797</v>
      </c>
      <c r="J10056" t="s">
        <v>34589</v>
      </c>
      <c r="K10056" t="s">
        <v>36692</v>
      </c>
      <c r="M10056" t="s">
        <v>39194</v>
      </c>
      <c r="N10056" t="s">
        <v>40436</v>
      </c>
      <c r="O10056" t="s">
        <v>40437</v>
      </c>
      <c r="P10056">
        <v>0</v>
      </c>
      <c r="Q10056">
        <v>1</v>
      </c>
      <c r="R10056" t="s">
        <v>40450</v>
      </c>
      <c r="S10056" t="s">
        <v>40961</v>
      </c>
      <c r="T10056" t="s">
        <v>42168</v>
      </c>
      <c r="U10056" t="s">
        <v>51011</v>
      </c>
      <c r="W10056" t="s">
        <v>39194</v>
      </c>
      <c r="X10056" t="s">
        <v>40451</v>
      </c>
    </row>
    <row r="10057" spans="1:24">
      <c r="A10057">
        <f>HYPERLINK("https://www.philgeps.gov.ph/GEPSNONPILOT/Tender/SplashBidNoticeAbstractUI.aspx?menuIndex=3&amp;refID=7027227&amp;Result=3","7027227")</f>
        <v>0</v>
      </c>
      <c r="B10057" t="s">
        <v>2760</v>
      </c>
      <c r="C10057" t="s">
        <v>12681</v>
      </c>
      <c r="D10057" t="s">
        <v>16201</v>
      </c>
      <c r="E10057" t="s">
        <v>25040</v>
      </c>
      <c r="F10057" t="s">
        <v>28198</v>
      </c>
      <c r="G10057" t="s">
        <v>28205</v>
      </c>
      <c r="H10057" t="s">
        <v>28214</v>
      </c>
      <c r="I10057" t="s">
        <v>3797</v>
      </c>
      <c r="J10057" t="s">
        <v>34590</v>
      </c>
      <c r="K10057" t="s">
        <v>36690</v>
      </c>
      <c r="M10057" t="s">
        <v>40009</v>
      </c>
      <c r="N10057" t="s">
        <v>40436</v>
      </c>
      <c r="O10057" t="s">
        <v>40437</v>
      </c>
      <c r="P10057">
        <v>0</v>
      </c>
      <c r="Q10057">
        <v>3</v>
      </c>
      <c r="R10057" t="s">
        <v>40450</v>
      </c>
      <c r="S10057" t="s">
        <v>40961</v>
      </c>
      <c r="T10057" t="s">
        <v>42535</v>
      </c>
      <c r="U10057" t="s">
        <v>51012</v>
      </c>
      <c r="W10057" t="s">
        <v>40009</v>
      </c>
      <c r="X10057" t="s">
        <v>40451</v>
      </c>
    </row>
    <row r="10058" spans="1:24">
      <c r="A10058">
        <f>HYPERLINK("https://www.philgeps.gov.ph/GEPSNONPILOT/Tender/SplashBidNoticeAbstractUI.aspx?menuIndex=3&amp;refID=7027217&amp;Result=3","7027217")</f>
        <v>0</v>
      </c>
      <c r="B10058" t="s">
        <v>1108</v>
      </c>
      <c r="C10058" t="s">
        <v>12682</v>
      </c>
      <c r="D10058" t="s">
        <v>16193</v>
      </c>
      <c r="E10058" t="s">
        <v>25041</v>
      </c>
      <c r="F10058" t="s">
        <v>28198</v>
      </c>
      <c r="G10058" t="s">
        <v>28205</v>
      </c>
      <c r="H10058" t="s">
        <v>28215</v>
      </c>
      <c r="I10058" t="s">
        <v>4200</v>
      </c>
      <c r="J10058" t="s">
        <v>29020</v>
      </c>
      <c r="K10058" t="s">
        <v>36707</v>
      </c>
      <c r="M10058" t="s">
        <v>38144</v>
      </c>
      <c r="N10058" t="s">
        <v>40436</v>
      </c>
      <c r="O10058" t="s">
        <v>40437</v>
      </c>
      <c r="P10058">
        <v>0</v>
      </c>
      <c r="Q10058">
        <v>1</v>
      </c>
      <c r="R10058" t="s">
        <v>40450</v>
      </c>
      <c r="S10058" t="s">
        <v>40961</v>
      </c>
      <c r="T10058" t="s">
        <v>42129</v>
      </c>
      <c r="U10058" t="s">
        <v>51013</v>
      </c>
      <c r="W10058" t="s">
        <v>38144</v>
      </c>
      <c r="X10058" t="s">
        <v>40451</v>
      </c>
    </row>
    <row r="10059" spans="1:24">
      <c r="A10059">
        <f>HYPERLINK("https://www.philgeps.gov.ph/GEPSNONPILOT/Tender/SplashBidNoticeAbstractUI.aspx?menuIndex=3&amp;refID=7027216&amp;Result=3","7027216")</f>
        <v>0</v>
      </c>
      <c r="B10059" t="s">
        <v>2761</v>
      </c>
      <c r="C10059" t="s">
        <v>12683</v>
      </c>
      <c r="D10059" t="s">
        <v>16244</v>
      </c>
      <c r="E10059" t="s">
        <v>25042</v>
      </c>
      <c r="F10059" t="s">
        <v>28198</v>
      </c>
      <c r="G10059" t="s">
        <v>28205</v>
      </c>
      <c r="H10059" t="s">
        <v>28214</v>
      </c>
      <c r="I10059" t="s">
        <v>28242</v>
      </c>
      <c r="J10059" t="s">
        <v>34591</v>
      </c>
      <c r="K10059" t="s">
        <v>36692</v>
      </c>
      <c r="M10059" t="s">
        <v>40010</v>
      </c>
      <c r="N10059" t="s">
        <v>40436</v>
      </c>
      <c r="O10059" t="s">
        <v>40437</v>
      </c>
      <c r="P10059">
        <v>0</v>
      </c>
      <c r="Q10059">
        <v>2</v>
      </c>
      <c r="R10059" t="s">
        <v>40450</v>
      </c>
      <c r="S10059" t="s">
        <v>40961</v>
      </c>
      <c r="T10059" t="s">
        <v>42287</v>
      </c>
      <c r="U10059" t="s">
        <v>51014</v>
      </c>
      <c r="W10059" t="s">
        <v>40010</v>
      </c>
      <c r="X10059" t="s">
        <v>40451</v>
      </c>
    </row>
    <row r="10060" spans="1:24">
      <c r="A10060">
        <f>HYPERLINK("https://www.philgeps.gov.ph/GEPSNONPILOT/Tender/SplashBidNoticeAbstractUI.aspx?menuIndex=3&amp;refID=7027165&amp;Result=3","7027165")</f>
        <v>0</v>
      </c>
      <c r="B10060" t="s">
        <v>552</v>
      </c>
      <c r="C10060" t="s">
        <v>12684</v>
      </c>
      <c r="E10060" t="s">
        <v>25043</v>
      </c>
      <c r="F10060" t="s">
        <v>28198</v>
      </c>
      <c r="G10060" t="s">
        <v>28205</v>
      </c>
      <c r="H10060" t="s">
        <v>28215</v>
      </c>
      <c r="I10060" t="s">
        <v>5100</v>
      </c>
      <c r="J10060" t="s">
        <v>34592</v>
      </c>
      <c r="K10060" t="s">
        <v>36701</v>
      </c>
      <c r="M10060" t="s">
        <v>37538</v>
      </c>
      <c r="N10060" t="s">
        <v>40436</v>
      </c>
      <c r="O10060" t="s">
        <v>40437</v>
      </c>
      <c r="P10060">
        <v>0</v>
      </c>
      <c r="Q10060">
        <v>1</v>
      </c>
      <c r="R10060" t="s">
        <v>40450</v>
      </c>
      <c r="S10060" t="s">
        <v>40961</v>
      </c>
      <c r="T10060" t="s">
        <v>42128</v>
      </c>
      <c r="U10060" t="s">
        <v>42743</v>
      </c>
      <c r="W10060" t="s">
        <v>37538</v>
      </c>
      <c r="X10060" t="s">
        <v>40451</v>
      </c>
    </row>
    <row r="10061" spans="1:24">
      <c r="A10061">
        <f>HYPERLINK("https://www.philgeps.gov.ph/GEPSNONPILOT/Tender/SplashBidNoticeAbstractUI.aspx?menuIndex=3&amp;refID=7027211&amp;Result=3","7027211")</f>
        <v>0</v>
      </c>
      <c r="B10061" t="s">
        <v>2762</v>
      </c>
      <c r="C10061" t="s">
        <v>12685</v>
      </c>
      <c r="D10061" t="s">
        <v>16207</v>
      </c>
      <c r="E10061" t="s">
        <v>25044</v>
      </c>
      <c r="F10061" t="s">
        <v>28198</v>
      </c>
      <c r="G10061" t="s">
        <v>28205</v>
      </c>
      <c r="H10061" t="s">
        <v>28214</v>
      </c>
      <c r="I10061" t="s">
        <v>3797</v>
      </c>
      <c r="J10061" t="s">
        <v>34593</v>
      </c>
      <c r="K10061" t="s">
        <v>36690</v>
      </c>
      <c r="L10061" t="s">
        <v>2762</v>
      </c>
      <c r="M10061" t="s">
        <v>40011</v>
      </c>
      <c r="N10061" t="s">
        <v>40436</v>
      </c>
      <c r="O10061" t="s">
        <v>40437</v>
      </c>
      <c r="Q10061">
        <v>16</v>
      </c>
      <c r="R10061" t="s">
        <v>40450</v>
      </c>
      <c r="S10061" t="s">
        <v>40967</v>
      </c>
      <c r="T10061" t="s">
        <v>42105</v>
      </c>
      <c r="U10061" t="s">
        <v>51015</v>
      </c>
      <c r="W10061" t="s">
        <v>40011</v>
      </c>
      <c r="X10061" t="s">
        <v>40451</v>
      </c>
    </row>
    <row r="10062" spans="1:24">
      <c r="A10062">
        <f>HYPERLINK("https://www.philgeps.gov.ph/GEPSNONPILOT/Tender/SplashBidNoticeAbstractUI.aspx?menuIndex=3&amp;refID=7027222&amp;Result=3","7027222")</f>
        <v>0</v>
      </c>
      <c r="B10062" t="s">
        <v>302</v>
      </c>
      <c r="C10062" t="s">
        <v>12686</v>
      </c>
      <c r="D10062" t="s">
        <v>16196</v>
      </c>
      <c r="E10062" t="s">
        <v>25045</v>
      </c>
      <c r="F10062" t="s">
        <v>28198</v>
      </c>
      <c r="G10062" t="s">
        <v>28205</v>
      </c>
      <c r="H10062" t="s">
        <v>28215</v>
      </c>
      <c r="I10062" t="s">
        <v>8888</v>
      </c>
      <c r="J10062" t="s">
        <v>34594</v>
      </c>
      <c r="K10062" t="s">
        <v>36707</v>
      </c>
      <c r="M10062" t="s">
        <v>37279</v>
      </c>
      <c r="N10062" t="s">
        <v>40436</v>
      </c>
      <c r="O10062" t="s">
        <v>40437</v>
      </c>
      <c r="P10062">
        <v>0</v>
      </c>
      <c r="Q10062">
        <v>15</v>
      </c>
      <c r="R10062" t="s">
        <v>40450</v>
      </c>
      <c r="S10062" t="s">
        <v>40961</v>
      </c>
      <c r="T10062" t="s">
        <v>42183</v>
      </c>
      <c r="U10062" t="s">
        <v>51016</v>
      </c>
      <c r="W10062" t="s">
        <v>37279</v>
      </c>
      <c r="X10062" t="s">
        <v>40451</v>
      </c>
    </row>
    <row r="10063" spans="1:24">
      <c r="A10063">
        <f>HYPERLINK("https://www.philgeps.gov.ph/GEPSNONPILOT/Tender/SplashBidNoticeAbstractUI.aspx?menuIndex=3&amp;refID=7027237&amp;Result=3","7027237")</f>
        <v>0</v>
      </c>
      <c r="B10063" t="s">
        <v>2048</v>
      </c>
      <c r="C10063" t="s">
        <v>12687</v>
      </c>
      <c r="D10063" t="s">
        <v>16236</v>
      </c>
      <c r="E10063" t="s">
        <v>20579</v>
      </c>
      <c r="F10063" t="s">
        <v>28198</v>
      </c>
      <c r="G10063" t="s">
        <v>28205</v>
      </c>
      <c r="H10063" t="s">
        <v>28214</v>
      </c>
      <c r="I10063" t="s">
        <v>3797</v>
      </c>
      <c r="J10063" t="s">
        <v>34595</v>
      </c>
      <c r="K10063" t="s">
        <v>36692</v>
      </c>
      <c r="M10063" t="s">
        <v>39194</v>
      </c>
      <c r="N10063" t="s">
        <v>40436</v>
      </c>
      <c r="O10063" t="s">
        <v>40437</v>
      </c>
      <c r="P10063">
        <v>0</v>
      </c>
      <c r="Q10063">
        <v>1</v>
      </c>
      <c r="R10063" t="s">
        <v>40450</v>
      </c>
      <c r="S10063" t="s">
        <v>40961</v>
      </c>
      <c r="T10063" t="s">
        <v>42168</v>
      </c>
      <c r="U10063" t="s">
        <v>51017</v>
      </c>
      <c r="W10063" t="s">
        <v>39194</v>
      </c>
      <c r="X10063" t="s">
        <v>40451</v>
      </c>
    </row>
    <row r="10064" spans="1:24">
      <c r="A10064">
        <f>HYPERLINK("https://www.philgeps.gov.ph/GEPSNONPILOT/Tender/SplashBidNoticeAbstractUI.aspx?menuIndex=3&amp;refID=7027370&amp;Result=3","7027370")</f>
        <v>0</v>
      </c>
      <c r="B10064" t="s">
        <v>553</v>
      </c>
      <c r="C10064" t="s">
        <v>9647</v>
      </c>
      <c r="E10064" t="s">
        <v>25046</v>
      </c>
      <c r="F10064" t="s">
        <v>28198</v>
      </c>
      <c r="G10064" t="s">
        <v>28205</v>
      </c>
      <c r="H10064" t="s">
        <v>28215</v>
      </c>
      <c r="I10064" t="s">
        <v>4505</v>
      </c>
      <c r="J10064" t="s">
        <v>34596</v>
      </c>
      <c r="K10064" t="s">
        <v>36689</v>
      </c>
      <c r="M10064" t="s">
        <v>37539</v>
      </c>
      <c r="N10064" t="s">
        <v>40436</v>
      </c>
      <c r="O10064" t="s">
        <v>40437</v>
      </c>
      <c r="P10064">
        <v>0</v>
      </c>
      <c r="Q10064">
        <v>0</v>
      </c>
      <c r="R10064" t="s">
        <v>40450</v>
      </c>
      <c r="S10064" t="s">
        <v>40961</v>
      </c>
      <c r="T10064" t="s">
        <v>42200</v>
      </c>
      <c r="U10064" t="s">
        <v>51018</v>
      </c>
      <c r="W10064" t="s">
        <v>37539</v>
      </c>
      <c r="X10064" t="s">
        <v>40451</v>
      </c>
    </row>
    <row r="10065" spans="1:24">
      <c r="A10065">
        <f>HYPERLINK("https://www.philgeps.gov.ph/GEPSNONPILOT/Tender/SplashBidNoticeAbstractUI.aspx?menuIndex=3&amp;refID=7027162&amp;Result=3","7027162")</f>
        <v>0</v>
      </c>
      <c r="B10065" t="s">
        <v>552</v>
      </c>
      <c r="C10065" t="s">
        <v>12688</v>
      </c>
      <c r="E10065" t="s">
        <v>25047</v>
      </c>
      <c r="F10065" t="s">
        <v>28198</v>
      </c>
      <c r="G10065" t="s">
        <v>28205</v>
      </c>
      <c r="H10065" t="s">
        <v>28215</v>
      </c>
      <c r="I10065" t="s">
        <v>5100</v>
      </c>
      <c r="J10065" t="s">
        <v>34597</v>
      </c>
      <c r="K10065" t="s">
        <v>36701</v>
      </c>
      <c r="M10065" t="s">
        <v>37538</v>
      </c>
      <c r="N10065" t="s">
        <v>40436</v>
      </c>
      <c r="O10065" t="s">
        <v>40437</v>
      </c>
      <c r="P10065">
        <v>0</v>
      </c>
      <c r="Q10065">
        <v>1</v>
      </c>
      <c r="R10065" t="s">
        <v>40450</v>
      </c>
      <c r="S10065" t="s">
        <v>40961</v>
      </c>
      <c r="T10065" t="s">
        <v>42128</v>
      </c>
      <c r="U10065" t="s">
        <v>42743</v>
      </c>
      <c r="W10065" t="s">
        <v>37538</v>
      </c>
      <c r="X10065" t="s">
        <v>40451</v>
      </c>
    </row>
    <row r="10066" spans="1:24">
      <c r="A10066">
        <f>HYPERLINK("https://www.philgeps.gov.ph/GEPSNONPILOT/Tender/SplashBidNoticeAbstractUI.aspx?menuIndex=3&amp;refID=7027354&amp;Result=3","7027354")</f>
        <v>0</v>
      </c>
      <c r="B10066" t="s">
        <v>2048</v>
      </c>
      <c r="C10066" t="s">
        <v>12689</v>
      </c>
      <c r="D10066" t="s">
        <v>16236</v>
      </c>
      <c r="E10066" t="s">
        <v>20564</v>
      </c>
      <c r="F10066" t="s">
        <v>28198</v>
      </c>
      <c r="G10066" t="s">
        <v>28205</v>
      </c>
      <c r="H10066" t="s">
        <v>28214</v>
      </c>
      <c r="I10066" t="s">
        <v>3797</v>
      </c>
      <c r="J10066" t="s">
        <v>34598</v>
      </c>
      <c r="K10066" t="s">
        <v>36692</v>
      </c>
      <c r="M10066" t="s">
        <v>39194</v>
      </c>
      <c r="N10066" t="s">
        <v>40436</v>
      </c>
      <c r="O10066" t="s">
        <v>40437</v>
      </c>
      <c r="P10066">
        <v>0</v>
      </c>
      <c r="Q10066">
        <v>1</v>
      </c>
      <c r="R10066" t="s">
        <v>40450</v>
      </c>
      <c r="S10066" t="s">
        <v>40961</v>
      </c>
      <c r="T10066" t="s">
        <v>42168</v>
      </c>
      <c r="U10066" t="s">
        <v>51019</v>
      </c>
      <c r="W10066" t="s">
        <v>39194</v>
      </c>
      <c r="X10066" t="s">
        <v>40451</v>
      </c>
    </row>
    <row r="10067" spans="1:24">
      <c r="A10067">
        <f>HYPERLINK("https://www.philgeps.gov.ph/GEPSNONPILOT/Tender/SplashBidNoticeAbstractUI.aspx?menuIndex=3&amp;refID=7027199&amp;Result=3","7027199")</f>
        <v>0</v>
      </c>
      <c r="B10067" t="s">
        <v>2048</v>
      </c>
      <c r="C10067" t="s">
        <v>12690</v>
      </c>
      <c r="D10067" t="s">
        <v>16236</v>
      </c>
      <c r="E10067" t="s">
        <v>20561</v>
      </c>
      <c r="F10067" t="s">
        <v>28198</v>
      </c>
      <c r="G10067" t="s">
        <v>28205</v>
      </c>
      <c r="H10067" t="s">
        <v>28214</v>
      </c>
      <c r="I10067" t="s">
        <v>3797</v>
      </c>
      <c r="J10067" t="s">
        <v>34599</v>
      </c>
      <c r="K10067" t="s">
        <v>36692</v>
      </c>
      <c r="M10067" t="s">
        <v>39194</v>
      </c>
      <c r="N10067" t="s">
        <v>40436</v>
      </c>
      <c r="O10067" t="s">
        <v>40437</v>
      </c>
      <c r="P10067">
        <v>0</v>
      </c>
      <c r="Q10067">
        <v>2</v>
      </c>
      <c r="R10067" t="s">
        <v>40450</v>
      </c>
      <c r="S10067" t="s">
        <v>40961</v>
      </c>
      <c r="T10067" t="s">
        <v>42168</v>
      </c>
      <c r="U10067" t="s">
        <v>51020</v>
      </c>
      <c r="W10067" t="s">
        <v>39194</v>
      </c>
      <c r="X10067" t="s">
        <v>40451</v>
      </c>
    </row>
    <row r="10068" spans="1:24">
      <c r="A10068">
        <f>HYPERLINK("https://www.philgeps.gov.ph/GEPSNONPILOT/Tender/SplashBidNoticeAbstractUI.aspx?menuIndex=3&amp;refID=7027369&amp;Result=3","7027369")</f>
        <v>0</v>
      </c>
      <c r="B10068" t="s">
        <v>2037</v>
      </c>
      <c r="C10068" t="s">
        <v>12691</v>
      </c>
      <c r="D10068" t="s">
        <v>16210</v>
      </c>
      <c r="E10068" t="s">
        <v>25048</v>
      </c>
      <c r="F10068" t="s">
        <v>28198</v>
      </c>
      <c r="G10068" t="s">
        <v>28207</v>
      </c>
      <c r="H10068" t="s">
        <v>28215</v>
      </c>
      <c r="I10068" t="s">
        <v>3774</v>
      </c>
      <c r="J10068" t="s">
        <v>29081</v>
      </c>
      <c r="K10068" t="s">
        <v>36707</v>
      </c>
      <c r="M10068" t="s">
        <v>39180</v>
      </c>
      <c r="N10068" t="s">
        <v>40436</v>
      </c>
      <c r="O10068" t="s">
        <v>40437</v>
      </c>
      <c r="Q10068">
        <v>2</v>
      </c>
      <c r="R10068" t="s">
        <v>40450</v>
      </c>
      <c r="S10068" t="s">
        <v>40968</v>
      </c>
      <c r="T10068" t="s">
        <v>42396</v>
      </c>
      <c r="U10068" t="s">
        <v>51021</v>
      </c>
      <c r="W10068" t="s">
        <v>39180</v>
      </c>
      <c r="X10068" t="s">
        <v>40451</v>
      </c>
    </row>
    <row r="10069" spans="1:24">
      <c r="A10069">
        <f>HYPERLINK("https://www.philgeps.gov.ph/GEPSNONPILOT/Tender/SplashBidNoticeAbstractUI.aspx?menuIndex=3&amp;refID=7027376&amp;Result=3","7027376")</f>
        <v>0</v>
      </c>
      <c r="B10069" t="s">
        <v>1108</v>
      </c>
      <c r="C10069" t="s">
        <v>12692</v>
      </c>
      <c r="D10069" t="s">
        <v>16193</v>
      </c>
      <c r="E10069" t="s">
        <v>25049</v>
      </c>
      <c r="F10069" t="s">
        <v>28198</v>
      </c>
      <c r="G10069" t="s">
        <v>28209</v>
      </c>
      <c r="H10069" t="s">
        <v>28215</v>
      </c>
      <c r="I10069" t="s">
        <v>28290</v>
      </c>
      <c r="J10069" t="s">
        <v>28719</v>
      </c>
      <c r="K10069" t="s">
        <v>36707</v>
      </c>
      <c r="M10069" t="s">
        <v>38144</v>
      </c>
      <c r="N10069" t="s">
        <v>40436</v>
      </c>
      <c r="O10069" t="s">
        <v>40437</v>
      </c>
      <c r="P10069">
        <v>0</v>
      </c>
      <c r="Q10069">
        <v>1</v>
      </c>
      <c r="R10069" t="s">
        <v>40450</v>
      </c>
      <c r="S10069" t="s">
        <v>40961</v>
      </c>
      <c r="T10069" t="s">
        <v>42129</v>
      </c>
      <c r="U10069" t="s">
        <v>51022</v>
      </c>
      <c r="W10069" t="s">
        <v>38144</v>
      </c>
      <c r="X10069" t="s">
        <v>40451</v>
      </c>
    </row>
    <row r="10070" spans="1:24">
      <c r="A10070">
        <f>HYPERLINK("https://www.philgeps.gov.ph/GEPSNONPILOT/Tender/SplashBidNoticeAbstractUI.aspx?menuIndex=3&amp;refID=7027328&amp;Result=3","7027328")</f>
        <v>0</v>
      </c>
      <c r="B10070" t="s">
        <v>2763</v>
      </c>
      <c r="C10070" t="s">
        <v>12693</v>
      </c>
      <c r="D10070" t="s">
        <v>16193</v>
      </c>
      <c r="E10070" t="s">
        <v>25050</v>
      </c>
      <c r="F10070" t="s">
        <v>28200</v>
      </c>
      <c r="G10070" t="s">
        <v>28205</v>
      </c>
      <c r="H10070" t="s">
        <v>28215</v>
      </c>
      <c r="I10070" t="s">
        <v>8870</v>
      </c>
      <c r="J10070" t="s">
        <v>34600</v>
      </c>
      <c r="K10070" t="s">
        <v>36688</v>
      </c>
      <c r="M10070" t="s">
        <v>40012</v>
      </c>
      <c r="N10070" t="s">
        <v>40436</v>
      </c>
      <c r="O10070" t="s">
        <v>40437</v>
      </c>
      <c r="P10070">
        <v>0</v>
      </c>
      <c r="Q10070">
        <v>4</v>
      </c>
      <c r="R10070" t="s">
        <v>40450</v>
      </c>
      <c r="S10070" t="s">
        <v>40961</v>
      </c>
      <c r="T10070" t="s">
        <v>42160</v>
      </c>
      <c r="U10070" t="s">
        <v>51023</v>
      </c>
      <c r="W10070" t="s">
        <v>40012</v>
      </c>
      <c r="X10070" t="s">
        <v>40451</v>
      </c>
    </row>
    <row r="10071" spans="1:24">
      <c r="A10071">
        <f>HYPERLINK("https://www.philgeps.gov.ph/GEPSNONPILOT/Tender/SplashBidNoticeAbstractUI.aspx?menuIndex=3&amp;refID=7027455&amp;Result=3","7027455")</f>
        <v>0</v>
      </c>
      <c r="B10071" t="s">
        <v>2655</v>
      </c>
      <c r="C10071" t="s">
        <v>12694</v>
      </c>
      <c r="D10071" t="s">
        <v>16188</v>
      </c>
      <c r="E10071" t="s">
        <v>25051</v>
      </c>
      <c r="F10071" t="s">
        <v>28198</v>
      </c>
      <c r="G10071" t="s">
        <v>28205</v>
      </c>
      <c r="H10071" t="s">
        <v>28215</v>
      </c>
      <c r="I10071" t="s">
        <v>28280</v>
      </c>
      <c r="J10071" t="s">
        <v>28404</v>
      </c>
      <c r="K10071" t="s">
        <v>36694</v>
      </c>
      <c r="M10071" t="s">
        <v>39882</v>
      </c>
      <c r="N10071" t="s">
        <v>40436</v>
      </c>
      <c r="O10071" t="s">
        <v>40437</v>
      </c>
      <c r="P10071">
        <v>0</v>
      </c>
      <c r="Q10071">
        <v>7</v>
      </c>
      <c r="R10071" t="s">
        <v>40450</v>
      </c>
      <c r="S10071" t="s">
        <v>40961</v>
      </c>
      <c r="T10071" t="s">
        <v>42279</v>
      </c>
      <c r="U10071" t="s">
        <v>50529</v>
      </c>
      <c r="V10071" t="s">
        <v>54890</v>
      </c>
      <c r="W10071" t="s">
        <v>39882</v>
      </c>
      <c r="X10071" t="s">
        <v>40451</v>
      </c>
    </row>
    <row r="10072" spans="1:24">
      <c r="A10072">
        <f>HYPERLINK("https://www.philgeps.gov.ph/GEPSNONPILOT/Tender/SplashBidNoticeAbstractUI.aspx?menuIndex=3&amp;refID=7027387&amp;Result=3","7027387")</f>
        <v>0</v>
      </c>
      <c r="B10072" t="s">
        <v>2655</v>
      </c>
      <c r="C10072" t="s">
        <v>12695</v>
      </c>
      <c r="D10072" t="s">
        <v>16188</v>
      </c>
      <c r="E10072" t="s">
        <v>25052</v>
      </c>
      <c r="F10072" t="s">
        <v>28198</v>
      </c>
      <c r="G10072" t="s">
        <v>28205</v>
      </c>
      <c r="H10072" t="s">
        <v>28215</v>
      </c>
      <c r="I10072" t="s">
        <v>28280</v>
      </c>
      <c r="J10072" t="s">
        <v>34601</v>
      </c>
      <c r="K10072" t="s">
        <v>36694</v>
      </c>
      <c r="M10072" t="s">
        <v>39882</v>
      </c>
      <c r="N10072" t="s">
        <v>40436</v>
      </c>
      <c r="O10072" t="s">
        <v>40437</v>
      </c>
      <c r="P10072">
        <v>0</v>
      </c>
      <c r="Q10072">
        <v>6</v>
      </c>
      <c r="R10072" t="s">
        <v>40450</v>
      </c>
      <c r="S10072" t="s">
        <v>40961</v>
      </c>
      <c r="T10072" t="s">
        <v>42279</v>
      </c>
      <c r="U10072" t="s">
        <v>50529</v>
      </c>
      <c r="V10072" t="s">
        <v>54890</v>
      </c>
      <c r="W10072" t="s">
        <v>39882</v>
      </c>
      <c r="X10072" t="s">
        <v>40451</v>
      </c>
    </row>
    <row r="10073" spans="1:24">
      <c r="A10073">
        <f>HYPERLINK("https://www.philgeps.gov.ph/GEPSNONPILOT/Tender/SplashBidNoticeAbstractUI.aspx?menuIndex=3&amp;refID=7027368&amp;Result=3","7027368")</f>
        <v>0</v>
      </c>
      <c r="B10073" t="s">
        <v>2764</v>
      </c>
      <c r="C10073" t="s">
        <v>12696</v>
      </c>
      <c r="D10073" t="s">
        <v>16236</v>
      </c>
      <c r="E10073" t="s">
        <v>25053</v>
      </c>
      <c r="F10073" t="s">
        <v>28198</v>
      </c>
      <c r="G10073" t="s">
        <v>28205</v>
      </c>
      <c r="H10073" t="s">
        <v>28214</v>
      </c>
      <c r="I10073" t="s">
        <v>3797</v>
      </c>
      <c r="J10073" t="s">
        <v>29632</v>
      </c>
      <c r="K10073" t="s">
        <v>36692</v>
      </c>
      <c r="M10073" t="s">
        <v>40013</v>
      </c>
      <c r="N10073" t="s">
        <v>40436</v>
      </c>
      <c r="O10073" t="s">
        <v>40437</v>
      </c>
      <c r="P10073">
        <v>0</v>
      </c>
      <c r="Q10073">
        <v>0</v>
      </c>
      <c r="R10073" t="s">
        <v>40450</v>
      </c>
      <c r="S10073" t="s">
        <v>40961</v>
      </c>
      <c r="T10073" t="s">
        <v>42188</v>
      </c>
      <c r="U10073" t="s">
        <v>51024</v>
      </c>
      <c r="V10073" t="s">
        <v>54893</v>
      </c>
      <c r="W10073" t="s">
        <v>40013</v>
      </c>
      <c r="X10073" t="s">
        <v>40451</v>
      </c>
    </row>
    <row r="10074" spans="1:24">
      <c r="A10074">
        <f>HYPERLINK("https://www.philgeps.gov.ph/GEPSNONPILOT/Tender/SplashBidNoticeAbstractUI.aspx?menuIndex=3&amp;refID=7027442&amp;Result=3","7027442")</f>
        <v>0</v>
      </c>
      <c r="B10074" t="s">
        <v>1729</v>
      </c>
      <c r="C10074" t="s">
        <v>9661</v>
      </c>
      <c r="D10074" t="s">
        <v>16249</v>
      </c>
      <c r="E10074" t="s">
        <v>25054</v>
      </c>
      <c r="F10074" t="s">
        <v>28198</v>
      </c>
      <c r="G10074" t="s">
        <v>28205</v>
      </c>
      <c r="H10074" t="s">
        <v>28215</v>
      </c>
      <c r="I10074" t="s">
        <v>3422</v>
      </c>
      <c r="J10074" t="s">
        <v>34602</v>
      </c>
      <c r="K10074" t="s">
        <v>36829</v>
      </c>
      <c r="M10074" t="s">
        <v>38838</v>
      </c>
      <c r="N10074" t="s">
        <v>40436</v>
      </c>
      <c r="O10074" t="s">
        <v>40437</v>
      </c>
      <c r="Q10074">
        <v>3</v>
      </c>
      <c r="R10074" t="s">
        <v>40450</v>
      </c>
      <c r="S10074" t="s">
        <v>40969</v>
      </c>
      <c r="T10074" t="s">
        <v>42102</v>
      </c>
      <c r="U10074" t="s">
        <v>51025</v>
      </c>
      <c r="W10074" t="s">
        <v>55493</v>
      </c>
      <c r="X10074" t="s">
        <v>40451</v>
      </c>
    </row>
    <row r="10075" spans="1:24">
      <c r="A10075">
        <f>HYPERLINK("https://www.philgeps.gov.ph/GEPSNONPILOT/Tender/SplashBidNoticeAbstractUI.aspx?menuIndex=3&amp;refID=7027497&amp;Result=3","7027497")</f>
        <v>0</v>
      </c>
      <c r="B10075" t="s">
        <v>1194</v>
      </c>
      <c r="C10075" t="s">
        <v>12697</v>
      </c>
      <c r="D10075" t="s">
        <v>16258</v>
      </c>
      <c r="E10075" t="s">
        <v>25055</v>
      </c>
      <c r="F10075" t="s">
        <v>28198</v>
      </c>
      <c r="G10075" t="s">
        <v>28205</v>
      </c>
      <c r="H10075" t="s">
        <v>28215</v>
      </c>
      <c r="I10075" t="s">
        <v>5791</v>
      </c>
      <c r="J10075" t="s">
        <v>32609</v>
      </c>
      <c r="K10075" t="s">
        <v>36689</v>
      </c>
      <c r="M10075" t="s">
        <v>38238</v>
      </c>
      <c r="N10075" t="s">
        <v>40436</v>
      </c>
      <c r="O10075" t="s">
        <v>40437</v>
      </c>
      <c r="P10075">
        <v>0</v>
      </c>
      <c r="Q10075">
        <v>1</v>
      </c>
      <c r="R10075" t="s">
        <v>40450</v>
      </c>
      <c r="S10075" t="s">
        <v>40961</v>
      </c>
      <c r="T10075" t="s">
        <v>42277</v>
      </c>
      <c r="U10075" t="s">
        <v>51026</v>
      </c>
      <c r="W10075" t="s">
        <v>38238</v>
      </c>
      <c r="X10075" t="s">
        <v>40451</v>
      </c>
    </row>
    <row r="10076" spans="1:24">
      <c r="A10076">
        <f>HYPERLINK("https://www.philgeps.gov.ph/GEPSNONPILOT/Tender/SplashBidNoticeAbstractUI.aspx?menuIndex=3&amp;refID=7027443&amp;Result=3","7027443")</f>
        <v>0</v>
      </c>
      <c r="B10076" t="s">
        <v>181</v>
      </c>
      <c r="C10076" t="s">
        <v>12698</v>
      </c>
      <c r="D10076" t="s">
        <v>16209</v>
      </c>
      <c r="E10076" t="s">
        <v>17900</v>
      </c>
      <c r="F10076" t="s">
        <v>28198</v>
      </c>
      <c r="G10076" t="s">
        <v>28205</v>
      </c>
      <c r="H10076" t="s">
        <v>28214</v>
      </c>
      <c r="I10076" t="s">
        <v>3797</v>
      </c>
      <c r="J10076" t="s">
        <v>28352</v>
      </c>
      <c r="K10076" t="s">
        <v>36701</v>
      </c>
      <c r="M10076" t="s">
        <v>37156</v>
      </c>
      <c r="N10076" t="s">
        <v>40436</v>
      </c>
      <c r="O10076" t="s">
        <v>40437</v>
      </c>
      <c r="P10076">
        <v>0</v>
      </c>
      <c r="Q10076">
        <v>0</v>
      </c>
      <c r="R10076" t="s">
        <v>40450</v>
      </c>
      <c r="S10076" t="s">
        <v>40961</v>
      </c>
      <c r="T10076" t="s">
        <v>42136</v>
      </c>
      <c r="U10076" t="s">
        <v>42915</v>
      </c>
      <c r="W10076" t="s">
        <v>37156</v>
      </c>
      <c r="X10076" t="s">
        <v>40451</v>
      </c>
    </row>
    <row r="10077" spans="1:24">
      <c r="A10077">
        <f>HYPERLINK("https://www.philgeps.gov.ph/GEPSNONPILOT/Tender/SplashBidNoticeAbstractUI.aspx?menuIndex=3&amp;refID=7027405&amp;Result=3","7027405")</f>
        <v>0</v>
      </c>
      <c r="B10077" t="s">
        <v>2465</v>
      </c>
      <c r="C10077" t="s">
        <v>12699</v>
      </c>
      <c r="D10077" t="s">
        <v>16189</v>
      </c>
      <c r="E10077" t="s">
        <v>25056</v>
      </c>
      <c r="F10077" t="s">
        <v>28198</v>
      </c>
      <c r="G10077" t="s">
        <v>28205</v>
      </c>
      <c r="H10077" t="s">
        <v>28215</v>
      </c>
      <c r="I10077" t="s">
        <v>28243</v>
      </c>
      <c r="J10077" t="s">
        <v>34603</v>
      </c>
      <c r="K10077" t="s">
        <v>36696</v>
      </c>
      <c r="M10077" t="s">
        <v>39661</v>
      </c>
      <c r="N10077" t="s">
        <v>40436</v>
      </c>
      <c r="O10077" t="s">
        <v>40437</v>
      </c>
      <c r="P10077">
        <v>0</v>
      </c>
      <c r="Q10077">
        <v>7</v>
      </c>
      <c r="R10077" t="s">
        <v>40450</v>
      </c>
      <c r="S10077" t="s">
        <v>40961</v>
      </c>
      <c r="T10077" t="s">
        <v>42279</v>
      </c>
      <c r="U10077" t="s">
        <v>44325</v>
      </c>
      <c r="W10077" t="s">
        <v>39661</v>
      </c>
      <c r="X10077" t="s">
        <v>40451</v>
      </c>
    </row>
    <row r="10078" spans="1:24">
      <c r="A10078">
        <f>HYPERLINK("https://www.philgeps.gov.ph/GEPSNONPILOT/Tender/SplashBidNoticeAbstractUI.aspx?menuIndex=3&amp;refID=7027277&amp;Result=3","7027277")</f>
        <v>0</v>
      </c>
      <c r="B10078" t="s">
        <v>2655</v>
      </c>
      <c r="C10078" t="s">
        <v>12700</v>
      </c>
      <c r="D10078" t="s">
        <v>16188</v>
      </c>
      <c r="E10078" t="s">
        <v>25057</v>
      </c>
      <c r="F10078" t="s">
        <v>28198</v>
      </c>
      <c r="G10078" t="s">
        <v>28205</v>
      </c>
      <c r="H10078" t="s">
        <v>28215</v>
      </c>
      <c r="I10078" t="s">
        <v>4321</v>
      </c>
      <c r="J10078" t="s">
        <v>34604</v>
      </c>
      <c r="K10078" t="s">
        <v>36694</v>
      </c>
      <c r="M10078" t="s">
        <v>39882</v>
      </c>
      <c r="N10078" t="s">
        <v>40436</v>
      </c>
      <c r="O10078" t="s">
        <v>40437</v>
      </c>
      <c r="P10078">
        <v>0</v>
      </c>
      <c r="Q10078">
        <v>11</v>
      </c>
      <c r="R10078" t="s">
        <v>40450</v>
      </c>
      <c r="S10078" t="s">
        <v>40961</v>
      </c>
      <c r="T10078" t="s">
        <v>42279</v>
      </c>
      <c r="U10078" t="s">
        <v>50529</v>
      </c>
      <c r="V10078" t="s">
        <v>54890</v>
      </c>
      <c r="W10078" t="s">
        <v>39882</v>
      </c>
      <c r="X10078" t="s">
        <v>40451</v>
      </c>
    </row>
    <row r="10079" spans="1:24">
      <c r="A10079">
        <f>HYPERLINK("https://www.philgeps.gov.ph/GEPSNONPILOT/Tender/SplashBidNoticeAbstractUI.aspx?menuIndex=3&amp;refID=7027408&amp;Result=3","7027408")</f>
        <v>0</v>
      </c>
      <c r="B10079" t="s">
        <v>1995</v>
      </c>
      <c r="C10079" t="s">
        <v>12701</v>
      </c>
      <c r="D10079" t="s">
        <v>16213</v>
      </c>
      <c r="E10079" t="s">
        <v>25058</v>
      </c>
      <c r="F10079" t="s">
        <v>28198</v>
      </c>
      <c r="G10079" t="s">
        <v>28205</v>
      </c>
      <c r="H10079" t="s">
        <v>28214</v>
      </c>
      <c r="I10079" t="s">
        <v>3797</v>
      </c>
      <c r="J10079" t="s">
        <v>29409</v>
      </c>
      <c r="K10079" t="s">
        <v>36717</v>
      </c>
      <c r="M10079" t="s">
        <v>39133</v>
      </c>
      <c r="N10079" t="s">
        <v>40436</v>
      </c>
      <c r="O10079" t="s">
        <v>40437</v>
      </c>
      <c r="P10079">
        <v>0</v>
      </c>
      <c r="Q10079">
        <v>1</v>
      </c>
      <c r="R10079" t="s">
        <v>40450</v>
      </c>
      <c r="S10079" t="s">
        <v>40961</v>
      </c>
      <c r="T10079" t="s">
        <v>42102</v>
      </c>
      <c r="U10079" t="s">
        <v>51027</v>
      </c>
      <c r="W10079" t="s">
        <v>39133</v>
      </c>
      <c r="X10079" t="s">
        <v>40451</v>
      </c>
    </row>
    <row r="10080" spans="1:24">
      <c r="A10080">
        <f>HYPERLINK("https://www.philgeps.gov.ph/GEPSNONPILOT/Tender/SplashBidNoticeAbstractUI.aspx?menuIndex=3&amp;refID=7027505&amp;Result=3","7027505")</f>
        <v>0</v>
      </c>
      <c r="B10080" t="s">
        <v>2765</v>
      </c>
      <c r="C10080" t="s">
        <v>12702</v>
      </c>
      <c r="D10080" t="s">
        <v>16223</v>
      </c>
      <c r="E10080" t="s">
        <v>25059</v>
      </c>
      <c r="F10080" t="s">
        <v>28198</v>
      </c>
      <c r="G10080" t="s">
        <v>28205</v>
      </c>
      <c r="H10080" t="s">
        <v>28214</v>
      </c>
      <c r="I10080" t="s">
        <v>3797</v>
      </c>
      <c r="J10080" t="s">
        <v>29156</v>
      </c>
      <c r="K10080" t="s">
        <v>36694</v>
      </c>
      <c r="M10080" t="s">
        <v>40014</v>
      </c>
      <c r="N10080" t="s">
        <v>40436</v>
      </c>
      <c r="O10080" t="s">
        <v>40437</v>
      </c>
      <c r="P10080">
        <v>0</v>
      </c>
      <c r="Q10080">
        <v>0</v>
      </c>
      <c r="R10080" t="s">
        <v>40450</v>
      </c>
      <c r="S10080" t="s">
        <v>40961</v>
      </c>
      <c r="T10080" t="s">
        <v>42134</v>
      </c>
      <c r="U10080" t="s">
        <v>51028</v>
      </c>
      <c r="W10080" t="s">
        <v>40014</v>
      </c>
      <c r="X10080" t="s">
        <v>40451</v>
      </c>
    </row>
    <row r="10081" spans="1:24">
      <c r="A10081">
        <f>HYPERLINK("https://www.philgeps.gov.ph/GEPSNONPILOT/Tender/SplashBidNoticeAbstractUI.aspx?menuIndex=3&amp;refID=7027430&amp;Result=3","7027430")</f>
        <v>0</v>
      </c>
      <c r="B10081" t="s">
        <v>1108</v>
      </c>
      <c r="C10081" t="s">
        <v>12703</v>
      </c>
      <c r="D10081" t="s">
        <v>16193</v>
      </c>
      <c r="E10081" t="s">
        <v>25060</v>
      </c>
      <c r="F10081" t="s">
        <v>28198</v>
      </c>
      <c r="G10081" t="s">
        <v>28209</v>
      </c>
      <c r="H10081" t="s">
        <v>28215</v>
      </c>
      <c r="I10081" t="s">
        <v>28290</v>
      </c>
      <c r="J10081" t="s">
        <v>29455</v>
      </c>
      <c r="K10081" t="s">
        <v>36707</v>
      </c>
      <c r="M10081" t="s">
        <v>38144</v>
      </c>
      <c r="N10081" t="s">
        <v>40436</v>
      </c>
      <c r="O10081" t="s">
        <v>40437</v>
      </c>
      <c r="P10081">
        <v>0</v>
      </c>
      <c r="Q10081">
        <v>1</v>
      </c>
      <c r="R10081" t="s">
        <v>40450</v>
      </c>
      <c r="S10081" t="s">
        <v>40961</v>
      </c>
      <c r="T10081" t="s">
        <v>42129</v>
      </c>
      <c r="U10081" t="s">
        <v>51029</v>
      </c>
      <c r="W10081" t="s">
        <v>38144</v>
      </c>
      <c r="X10081" t="s">
        <v>40451</v>
      </c>
    </row>
    <row r="10082" spans="1:24">
      <c r="A10082">
        <f>HYPERLINK("https://www.philgeps.gov.ph/GEPSNONPILOT/Tender/SplashBidNoticeAbstractUI.aspx?menuIndex=3&amp;refID=7027259&amp;Result=3","7027259")</f>
        <v>0</v>
      </c>
      <c r="B10082" t="s">
        <v>1108</v>
      </c>
      <c r="C10082" t="s">
        <v>12704</v>
      </c>
      <c r="D10082" t="s">
        <v>16193</v>
      </c>
      <c r="E10082" t="s">
        <v>25061</v>
      </c>
      <c r="F10082" t="s">
        <v>28198</v>
      </c>
      <c r="G10082" t="s">
        <v>28205</v>
      </c>
      <c r="H10082" t="s">
        <v>28215</v>
      </c>
      <c r="I10082" t="s">
        <v>4200</v>
      </c>
      <c r="J10082" t="s">
        <v>34605</v>
      </c>
      <c r="K10082" t="s">
        <v>36707</v>
      </c>
      <c r="M10082" t="s">
        <v>38144</v>
      </c>
      <c r="N10082" t="s">
        <v>40436</v>
      </c>
      <c r="O10082" t="s">
        <v>40437</v>
      </c>
      <c r="P10082">
        <v>0</v>
      </c>
      <c r="Q10082">
        <v>2</v>
      </c>
      <c r="R10082" t="s">
        <v>40450</v>
      </c>
      <c r="S10082" t="s">
        <v>40961</v>
      </c>
      <c r="T10082" t="s">
        <v>42129</v>
      </c>
      <c r="U10082" t="s">
        <v>51030</v>
      </c>
      <c r="W10082" t="s">
        <v>38144</v>
      </c>
      <c r="X10082" t="s">
        <v>40451</v>
      </c>
    </row>
    <row r="10083" spans="1:24">
      <c r="A10083">
        <f>HYPERLINK("https://www.philgeps.gov.ph/GEPSNONPILOT/Tender/SplashBidNoticeAbstractUI.aspx?menuIndex=3&amp;refID=7027640&amp;Result=3","7027640")</f>
        <v>0</v>
      </c>
      <c r="B10083" t="s">
        <v>780</v>
      </c>
      <c r="C10083" t="s">
        <v>12705</v>
      </c>
      <c r="D10083" t="s">
        <v>16197</v>
      </c>
      <c r="E10083" t="s">
        <v>25062</v>
      </c>
      <c r="F10083" t="s">
        <v>28198</v>
      </c>
      <c r="G10083" t="s">
        <v>28205</v>
      </c>
      <c r="H10083" t="s">
        <v>28214</v>
      </c>
      <c r="I10083" t="s">
        <v>3797</v>
      </c>
      <c r="J10083" t="s">
        <v>33538</v>
      </c>
      <c r="K10083" t="s">
        <v>36727</v>
      </c>
      <c r="M10083" t="s">
        <v>37784</v>
      </c>
      <c r="N10083" t="s">
        <v>40436</v>
      </c>
      <c r="O10083" t="s">
        <v>40437</v>
      </c>
      <c r="P10083">
        <v>0</v>
      </c>
      <c r="Q10083">
        <v>3</v>
      </c>
      <c r="R10083" t="s">
        <v>40450</v>
      </c>
      <c r="S10083" t="s">
        <v>40961</v>
      </c>
      <c r="T10083" t="s">
        <v>42112</v>
      </c>
      <c r="U10083" t="s">
        <v>51031</v>
      </c>
      <c r="W10083" t="s">
        <v>37784</v>
      </c>
      <c r="X10083" t="s">
        <v>40451</v>
      </c>
    </row>
    <row r="10084" spans="1:24">
      <c r="A10084">
        <f>HYPERLINK("https://www.philgeps.gov.ph/GEPSNONPILOT/Tender/SplashBidNoticeAbstractUI.aspx?menuIndex=3&amp;refID=7027632&amp;Result=3","7027632")</f>
        <v>0</v>
      </c>
      <c r="B10084" t="s">
        <v>1142</v>
      </c>
      <c r="C10084" t="s">
        <v>12706</v>
      </c>
      <c r="D10084" t="s">
        <v>16223</v>
      </c>
      <c r="E10084" t="s">
        <v>25063</v>
      </c>
      <c r="F10084" t="s">
        <v>28200</v>
      </c>
      <c r="G10084" t="s">
        <v>28205</v>
      </c>
      <c r="H10084" t="s">
        <v>28215</v>
      </c>
      <c r="I10084" t="s">
        <v>5100</v>
      </c>
      <c r="J10084" t="s">
        <v>28415</v>
      </c>
      <c r="K10084" t="s">
        <v>36697</v>
      </c>
      <c r="M10084" t="s">
        <v>38182</v>
      </c>
      <c r="N10084" t="s">
        <v>40436</v>
      </c>
      <c r="O10084" t="s">
        <v>40437</v>
      </c>
      <c r="P10084">
        <v>0</v>
      </c>
      <c r="Q10084">
        <v>0</v>
      </c>
      <c r="R10084" t="s">
        <v>40450</v>
      </c>
      <c r="S10084" t="s">
        <v>40961</v>
      </c>
      <c r="T10084" t="s">
        <v>42158</v>
      </c>
      <c r="U10084" t="s">
        <v>51032</v>
      </c>
      <c r="W10084" t="s">
        <v>38182</v>
      </c>
      <c r="X10084" t="s">
        <v>40451</v>
      </c>
    </row>
    <row r="10085" spans="1:24">
      <c r="A10085">
        <f>HYPERLINK("https://www.philgeps.gov.ph/GEPSNONPILOT/Tender/SplashBidNoticeAbstractUI.aspx?menuIndex=3&amp;refID=7027287&amp;Result=3","7027287")</f>
        <v>0</v>
      </c>
      <c r="B10085" t="s">
        <v>1797</v>
      </c>
      <c r="C10085" t="s">
        <v>12707</v>
      </c>
      <c r="D10085" t="s">
        <v>16223</v>
      </c>
      <c r="E10085" t="s">
        <v>25064</v>
      </c>
      <c r="F10085" t="s">
        <v>28198</v>
      </c>
      <c r="G10085" t="s">
        <v>28205</v>
      </c>
      <c r="H10085" t="s">
        <v>28214</v>
      </c>
      <c r="I10085" t="s">
        <v>3797</v>
      </c>
      <c r="J10085" t="s">
        <v>32354</v>
      </c>
      <c r="K10085" t="s">
        <v>36735</v>
      </c>
      <c r="M10085" t="s">
        <v>38914</v>
      </c>
      <c r="N10085" t="s">
        <v>40436</v>
      </c>
      <c r="O10085" t="s">
        <v>40437</v>
      </c>
      <c r="P10085">
        <v>0</v>
      </c>
      <c r="Q10085">
        <v>2</v>
      </c>
      <c r="R10085" t="s">
        <v>40450</v>
      </c>
      <c r="S10085" t="s">
        <v>40961</v>
      </c>
      <c r="T10085" t="s">
        <v>42113</v>
      </c>
      <c r="U10085" t="s">
        <v>51033</v>
      </c>
      <c r="W10085" t="s">
        <v>38914</v>
      </c>
      <c r="X10085" t="s">
        <v>40451</v>
      </c>
    </row>
    <row r="10086" spans="1:24">
      <c r="A10086">
        <f>HYPERLINK("https://www.philgeps.gov.ph/GEPSNONPILOT/Tender/SplashBidNoticeAbstractUI.aspx?menuIndex=3&amp;refID=7027301&amp;Result=3","7027301")</f>
        <v>0</v>
      </c>
      <c r="B10086" t="s">
        <v>2766</v>
      </c>
      <c r="C10086" t="s">
        <v>12708</v>
      </c>
      <c r="D10086" t="s">
        <v>16196</v>
      </c>
      <c r="E10086" t="s">
        <v>16928</v>
      </c>
      <c r="F10086" t="s">
        <v>28198</v>
      </c>
      <c r="G10086" t="s">
        <v>28205</v>
      </c>
      <c r="H10086" t="s">
        <v>28214</v>
      </c>
      <c r="I10086" t="s">
        <v>3797</v>
      </c>
      <c r="J10086" t="s">
        <v>34606</v>
      </c>
      <c r="K10086" t="s">
        <v>36701</v>
      </c>
      <c r="M10086" t="s">
        <v>40015</v>
      </c>
      <c r="N10086" t="s">
        <v>40436</v>
      </c>
      <c r="O10086" t="s">
        <v>40437</v>
      </c>
      <c r="Q10086">
        <v>0</v>
      </c>
      <c r="R10086" t="s">
        <v>40450</v>
      </c>
      <c r="S10086" t="s">
        <v>40970</v>
      </c>
      <c r="T10086" t="s">
        <v>42245</v>
      </c>
      <c r="U10086" t="s">
        <v>51034</v>
      </c>
      <c r="V10086" t="s">
        <v>54894</v>
      </c>
      <c r="W10086" t="s">
        <v>40015</v>
      </c>
      <c r="X10086" t="s">
        <v>40451</v>
      </c>
    </row>
    <row r="10087" spans="1:24">
      <c r="A10087">
        <f>HYPERLINK("https://www.philgeps.gov.ph/GEPSNONPILOT/Tender/SplashBidNoticeAbstractUI.aspx?menuIndex=3&amp;refID=7027281&amp;Result=3","7027281")</f>
        <v>0</v>
      </c>
      <c r="B10087" t="s">
        <v>2048</v>
      </c>
      <c r="C10087" t="s">
        <v>12709</v>
      </c>
      <c r="D10087" t="s">
        <v>16236</v>
      </c>
      <c r="E10087" t="s">
        <v>20571</v>
      </c>
      <c r="F10087" t="s">
        <v>28198</v>
      </c>
      <c r="G10087" t="s">
        <v>28205</v>
      </c>
      <c r="H10087" t="s">
        <v>28214</v>
      </c>
      <c r="I10087" t="s">
        <v>3797</v>
      </c>
      <c r="J10087" t="s">
        <v>34607</v>
      </c>
      <c r="K10087" t="s">
        <v>36692</v>
      </c>
      <c r="M10087" t="s">
        <v>39194</v>
      </c>
      <c r="N10087" t="s">
        <v>40436</v>
      </c>
      <c r="O10087" t="s">
        <v>40437</v>
      </c>
      <c r="P10087">
        <v>0</v>
      </c>
      <c r="Q10087">
        <v>1</v>
      </c>
      <c r="R10087" t="s">
        <v>40450</v>
      </c>
      <c r="S10087" t="s">
        <v>40961</v>
      </c>
      <c r="T10087" t="s">
        <v>42168</v>
      </c>
      <c r="U10087" t="s">
        <v>51035</v>
      </c>
      <c r="W10087" t="s">
        <v>39194</v>
      </c>
      <c r="X10087" t="s">
        <v>40451</v>
      </c>
    </row>
    <row r="10088" spans="1:24">
      <c r="A10088">
        <f>HYPERLINK("https://www.philgeps.gov.ph/GEPSNONPILOT/Tender/SplashBidNoticeAbstractUI.aspx?menuIndex=3&amp;refID=7027603&amp;Result=3","7027603")</f>
        <v>0</v>
      </c>
      <c r="B10088" t="s">
        <v>2767</v>
      </c>
      <c r="C10088" t="s">
        <v>12710</v>
      </c>
      <c r="D10088" t="s">
        <v>16222</v>
      </c>
      <c r="E10088" t="s">
        <v>25065</v>
      </c>
      <c r="F10088" t="s">
        <v>28198</v>
      </c>
      <c r="G10088" t="s">
        <v>28205</v>
      </c>
      <c r="H10088" t="s">
        <v>28215</v>
      </c>
      <c r="I10088" t="s">
        <v>5100</v>
      </c>
      <c r="J10088" t="s">
        <v>34608</v>
      </c>
      <c r="K10088" t="s">
        <v>36706</v>
      </c>
      <c r="M10088" t="s">
        <v>40016</v>
      </c>
      <c r="N10088" t="s">
        <v>40436</v>
      </c>
      <c r="O10088" t="s">
        <v>40437</v>
      </c>
      <c r="P10088">
        <v>0</v>
      </c>
      <c r="Q10088">
        <v>4</v>
      </c>
      <c r="R10088" t="s">
        <v>40450</v>
      </c>
      <c r="S10088" t="s">
        <v>40961</v>
      </c>
      <c r="T10088" t="s">
        <v>42133</v>
      </c>
      <c r="U10088" t="s">
        <v>51036</v>
      </c>
      <c r="V10088" t="s">
        <v>54895</v>
      </c>
      <c r="W10088" t="s">
        <v>40016</v>
      </c>
      <c r="X10088" t="s">
        <v>40451</v>
      </c>
    </row>
    <row r="10089" spans="1:24">
      <c r="A10089">
        <f>HYPERLINK("https://www.philgeps.gov.ph/GEPSNONPILOT/Tender/SplashBidNoticeAbstractUI.aspx?menuIndex=3&amp;refID=7027589&amp;Result=3","7027589")</f>
        <v>0</v>
      </c>
      <c r="B10089" t="s">
        <v>1251</v>
      </c>
      <c r="C10089" t="s">
        <v>12711</v>
      </c>
      <c r="D10089" t="s">
        <v>16195</v>
      </c>
      <c r="E10089" t="s">
        <v>25066</v>
      </c>
      <c r="F10089" t="s">
        <v>28198</v>
      </c>
      <c r="G10089" t="s">
        <v>28205</v>
      </c>
      <c r="H10089" t="s">
        <v>28215</v>
      </c>
      <c r="I10089" t="s">
        <v>5082</v>
      </c>
      <c r="J10089" t="s">
        <v>29955</v>
      </c>
      <c r="K10089" t="s">
        <v>36689</v>
      </c>
      <c r="M10089" t="s">
        <v>38301</v>
      </c>
      <c r="N10089" t="s">
        <v>40436</v>
      </c>
      <c r="O10089" t="s">
        <v>40437</v>
      </c>
      <c r="P10089">
        <v>0</v>
      </c>
      <c r="Q10089">
        <v>4</v>
      </c>
      <c r="R10089" t="s">
        <v>40450</v>
      </c>
      <c r="S10089" t="s">
        <v>40961</v>
      </c>
      <c r="T10089" t="s">
        <v>42144</v>
      </c>
      <c r="U10089" t="s">
        <v>51037</v>
      </c>
      <c r="W10089" t="s">
        <v>38301</v>
      </c>
      <c r="X10089" t="s">
        <v>40451</v>
      </c>
    </row>
    <row r="10090" spans="1:24">
      <c r="A10090">
        <f>HYPERLINK("https://www.philgeps.gov.ph/GEPSNONPILOT/Tender/SplashBidNoticeAbstractUI.aspx?menuIndex=3&amp;refID=7027548&amp;Result=3","7027548")</f>
        <v>0</v>
      </c>
      <c r="B10090" t="s">
        <v>587</v>
      </c>
      <c r="C10090" t="s">
        <v>12712</v>
      </c>
      <c r="D10090" t="s">
        <v>16230</v>
      </c>
      <c r="E10090" t="s">
        <v>25067</v>
      </c>
      <c r="F10090" t="s">
        <v>28198</v>
      </c>
      <c r="G10090" t="s">
        <v>28205</v>
      </c>
      <c r="H10090" t="s">
        <v>28215</v>
      </c>
      <c r="I10090" t="s">
        <v>3797</v>
      </c>
      <c r="J10090" t="s">
        <v>34609</v>
      </c>
      <c r="K10090" t="s">
        <v>36697</v>
      </c>
      <c r="M10090" t="s">
        <v>38565</v>
      </c>
      <c r="N10090" t="s">
        <v>40436</v>
      </c>
      <c r="O10090" t="s">
        <v>40437</v>
      </c>
      <c r="P10090">
        <v>0</v>
      </c>
      <c r="Q10090">
        <v>0</v>
      </c>
      <c r="R10090" t="s">
        <v>40450</v>
      </c>
      <c r="S10090" t="s">
        <v>40961</v>
      </c>
      <c r="T10090" t="s">
        <v>42183</v>
      </c>
      <c r="U10090" t="s">
        <v>51038</v>
      </c>
      <c r="W10090" t="s">
        <v>38565</v>
      </c>
      <c r="X10090" t="s">
        <v>40451</v>
      </c>
    </row>
    <row r="10091" spans="1:24">
      <c r="A10091">
        <f>HYPERLINK("https://www.philgeps.gov.ph/GEPSNONPILOT/Tender/SplashBidNoticeAbstractUI.aspx?menuIndex=3&amp;refID=7027602&amp;Result=3","7027602")</f>
        <v>0</v>
      </c>
      <c r="B10091" t="s">
        <v>2768</v>
      </c>
      <c r="C10091" t="s">
        <v>12713</v>
      </c>
      <c r="D10091" t="s">
        <v>16238</v>
      </c>
      <c r="E10091" t="s">
        <v>18644</v>
      </c>
      <c r="F10091" t="s">
        <v>28198</v>
      </c>
      <c r="G10091" t="s">
        <v>28205</v>
      </c>
      <c r="H10091" t="s">
        <v>28215</v>
      </c>
      <c r="I10091" t="s">
        <v>28222</v>
      </c>
      <c r="J10091" t="s">
        <v>34610</v>
      </c>
      <c r="K10091" t="s">
        <v>36701</v>
      </c>
      <c r="M10091" t="s">
        <v>40017</v>
      </c>
      <c r="N10091" t="s">
        <v>40436</v>
      </c>
      <c r="O10091" t="s">
        <v>40437</v>
      </c>
      <c r="P10091">
        <v>0</v>
      </c>
      <c r="Q10091">
        <v>0</v>
      </c>
      <c r="R10091" t="s">
        <v>40450</v>
      </c>
      <c r="S10091" t="s">
        <v>40961</v>
      </c>
      <c r="T10091" t="s">
        <v>42346</v>
      </c>
      <c r="U10091" t="s">
        <v>51039</v>
      </c>
      <c r="W10091" t="s">
        <v>40017</v>
      </c>
      <c r="X10091" t="s">
        <v>40451</v>
      </c>
    </row>
    <row r="10092" spans="1:24">
      <c r="A10092">
        <f>HYPERLINK("https://www.philgeps.gov.ph/GEPSNONPILOT/Tender/SplashBidNoticeAbstractUI.aspx?menuIndex=3&amp;refID=7027652&amp;Result=3","7027652")</f>
        <v>0</v>
      </c>
      <c r="B10092" t="s">
        <v>2767</v>
      </c>
      <c r="C10092" t="s">
        <v>12714</v>
      </c>
      <c r="D10092" t="s">
        <v>16222</v>
      </c>
      <c r="E10092" t="s">
        <v>25068</v>
      </c>
      <c r="F10092" t="s">
        <v>28198</v>
      </c>
      <c r="G10092" t="s">
        <v>28205</v>
      </c>
      <c r="H10092" t="s">
        <v>28215</v>
      </c>
      <c r="I10092" t="s">
        <v>7310</v>
      </c>
      <c r="J10092" t="s">
        <v>30231</v>
      </c>
      <c r="K10092" t="s">
        <v>36706</v>
      </c>
      <c r="M10092" t="s">
        <v>40016</v>
      </c>
      <c r="N10092" t="s">
        <v>40436</v>
      </c>
      <c r="O10092" t="s">
        <v>40437</v>
      </c>
      <c r="P10092">
        <v>0</v>
      </c>
      <c r="Q10092">
        <v>3</v>
      </c>
      <c r="R10092" t="s">
        <v>40450</v>
      </c>
      <c r="S10092" t="s">
        <v>40961</v>
      </c>
      <c r="T10092" t="s">
        <v>42133</v>
      </c>
      <c r="U10092" t="s">
        <v>51040</v>
      </c>
      <c r="V10092" t="s">
        <v>54895</v>
      </c>
      <c r="W10092" t="s">
        <v>40016</v>
      </c>
      <c r="X10092" t="s">
        <v>40451</v>
      </c>
    </row>
    <row r="10093" spans="1:24">
      <c r="A10093">
        <f>HYPERLINK("https://www.philgeps.gov.ph/GEPSNONPILOT/Tender/SplashBidNoticeAbstractUI.aspx?menuIndex=3&amp;refID=7027646&amp;Result=3","7027646")</f>
        <v>0</v>
      </c>
      <c r="B10093" t="s">
        <v>1300</v>
      </c>
      <c r="C10093" t="s">
        <v>12715</v>
      </c>
      <c r="D10093" t="s">
        <v>16195</v>
      </c>
      <c r="E10093" t="s">
        <v>25069</v>
      </c>
      <c r="F10093" t="s">
        <v>28198</v>
      </c>
      <c r="G10093" t="s">
        <v>28205</v>
      </c>
      <c r="H10093" t="s">
        <v>28215</v>
      </c>
      <c r="I10093" t="s">
        <v>5100</v>
      </c>
      <c r="J10093" t="s">
        <v>34611</v>
      </c>
      <c r="K10093" t="s">
        <v>36707</v>
      </c>
      <c r="M10093" t="s">
        <v>38354</v>
      </c>
      <c r="N10093" t="s">
        <v>40436</v>
      </c>
      <c r="O10093" t="s">
        <v>40437</v>
      </c>
      <c r="P10093">
        <v>0</v>
      </c>
      <c r="Q10093">
        <v>1</v>
      </c>
      <c r="R10093" t="s">
        <v>40450</v>
      </c>
      <c r="S10093" t="s">
        <v>40961</v>
      </c>
      <c r="T10093" t="s">
        <v>42115</v>
      </c>
      <c r="U10093" t="s">
        <v>45547</v>
      </c>
      <c r="W10093" t="s">
        <v>38354</v>
      </c>
      <c r="X10093" t="s">
        <v>40451</v>
      </c>
    </row>
    <row r="10094" spans="1:24">
      <c r="A10094">
        <f>HYPERLINK("https://www.philgeps.gov.ph/GEPSNONPILOT/Tender/SplashBidNoticeAbstractUI.aspx?menuIndex=3&amp;refID=7027707&amp;Result=3","7027707")</f>
        <v>0</v>
      </c>
      <c r="B10094" t="s">
        <v>1161</v>
      </c>
      <c r="C10094" t="s">
        <v>12716</v>
      </c>
      <c r="D10094" t="s">
        <v>16228</v>
      </c>
      <c r="E10094" t="s">
        <v>16588</v>
      </c>
      <c r="F10094" t="s">
        <v>28201</v>
      </c>
      <c r="G10094" t="s">
        <v>28205</v>
      </c>
      <c r="H10094" t="s">
        <v>28215</v>
      </c>
      <c r="I10094" t="s">
        <v>5082</v>
      </c>
      <c r="J10094" t="s">
        <v>28507</v>
      </c>
      <c r="K10094" t="s">
        <v>36688</v>
      </c>
      <c r="M10094" t="s">
        <v>38201</v>
      </c>
      <c r="N10094" t="s">
        <v>40436</v>
      </c>
      <c r="O10094" t="s">
        <v>40437</v>
      </c>
      <c r="P10094">
        <v>0</v>
      </c>
      <c r="Q10094">
        <v>1</v>
      </c>
      <c r="R10094" t="s">
        <v>40450</v>
      </c>
      <c r="S10094" t="s">
        <v>40961</v>
      </c>
      <c r="T10094" t="s">
        <v>42144</v>
      </c>
      <c r="U10094" t="s">
        <v>51041</v>
      </c>
      <c r="W10094" t="s">
        <v>38201</v>
      </c>
      <c r="X10094" t="s">
        <v>40451</v>
      </c>
    </row>
    <row r="10095" spans="1:24">
      <c r="A10095">
        <f>HYPERLINK("https://www.philgeps.gov.ph/GEPSNONPILOT/Tender/SplashBidNoticeAbstractUI.aspx?menuIndex=3&amp;refID=7027539&amp;Result=3","7027539")</f>
        <v>0</v>
      </c>
      <c r="B10095" t="s">
        <v>2769</v>
      </c>
      <c r="C10095" t="s">
        <v>12717</v>
      </c>
      <c r="D10095" t="s">
        <v>16191</v>
      </c>
      <c r="E10095" t="s">
        <v>23155</v>
      </c>
      <c r="F10095" t="s">
        <v>28198</v>
      </c>
      <c r="G10095" t="s">
        <v>28205</v>
      </c>
      <c r="H10095" t="s">
        <v>28215</v>
      </c>
      <c r="I10095" t="s">
        <v>28225</v>
      </c>
      <c r="J10095" t="s">
        <v>28352</v>
      </c>
      <c r="K10095" t="s">
        <v>36696</v>
      </c>
      <c r="M10095" t="s">
        <v>40018</v>
      </c>
      <c r="N10095" t="s">
        <v>40436</v>
      </c>
      <c r="O10095" t="s">
        <v>40437</v>
      </c>
      <c r="P10095">
        <v>0</v>
      </c>
      <c r="Q10095">
        <v>0</v>
      </c>
      <c r="R10095" t="s">
        <v>40450</v>
      </c>
      <c r="S10095" t="s">
        <v>40961</v>
      </c>
      <c r="T10095" t="s">
        <v>42131</v>
      </c>
      <c r="U10095" t="s">
        <v>51042</v>
      </c>
      <c r="W10095" t="s">
        <v>40018</v>
      </c>
      <c r="X10095" t="s">
        <v>40451</v>
      </c>
    </row>
    <row r="10096" spans="1:24">
      <c r="A10096">
        <f>HYPERLINK("https://www.philgeps.gov.ph/GEPSNONPILOT/Tender/SplashBidNoticeAbstractUI.aspx?menuIndex=3&amp;refID=7027676&amp;Result=3","7027676")</f>
        <v>0</v>
      </c>
      <c r="B10096" t="s">
        <v>435</v>
      </c>
      <c r="C10096" t="s">
        <v>12718</v>
      </c>
      <c r="D10096" t="s">
        <v>16254</v>
      </c>
      <c r="E10096" t="s">
        <v>25070</v>
      </c>
      <c r="F10096" t="s">
        <v>28198</v>
      </c>
      <c r="G10096" t="s">
        <v>28205</v>
      </c>
      <c r="H10096" t="s">
        <v>28214</v>
      </c>
      <c r="I10096" t="s">
        <v>3797</v>
      </c>
      <c r="J10096" t="s">
        <v>28730</v>
      </c>
      <c r="K10096" t="s">
        <v>36694</v>
      </c>
      <c r="M10096" t="s">
        <v>37418</v>
      </c>
      <c r="N10096" t="s">
        <v>40436</v>
      </c>
      <c r="O10096" t="s">
        <v>40437</v>
      </c>
      <c r="P10096">
        <v>0</v>
      </c>
      <c r="Q10096">
        <v>0</v>
      </c>
      <c r="R10096" t="s">
        <v>40450</v>
      </c>
      <c r="S10096" t="s">
        <v>40961</v>
      </c>
      <c r="T10096" t="s">
        <v>42279</v>
      </c>
      <c r="U10096" t="s">
        <v>51043</v>
      </c>
      <c r="W10096" t="s">
        <v>55447</v>
      </c>
      <c r="X10096" t="s">
        <v>40451</v>
      </c>
    </row>
    <row r="10097" spans="1:24">
      <c r="A10097">
        <f>HYPERLINK("https://www.philgeps.gov.ph/GEPSNONPILOT/Tender/SplashBidNoticeAbstractUI.aspx?menuIndex=3&amp;refID=7027697&amp;Result=3","7027697")</f>
        <v>0</v>
      </c>
      <c r="B10097" t="s">
        <v>780</v>
      </c>
      <c r="C10097" t="s">
        <v>12719</v>
      </c>
      <c r="D10097" t="s">
        <v>16197</v>
      </c>
      <c r="E10097" t="s">
        <v>25071</v>
      </c>
      <c r="F10097" t="s">
        <v>28198</v>
      </c>
      <c r="G10097" t="s">
        <v>28205</v>
      </c>
      <c r="H10097" t="s">
        <v>28214</v>
      </c>
      <c r="I10097" t="s">
        <v>3797</v>
      </c>
      <c r="J10097" t="s">
        <v>33538</v>
      </c>
      <c r="K10097" t="s">
        <v>36727</v>
      </c>
      <c r="M10097" t="s">
        <v>37784</v>
      </c>
      <c r="N10097" t="s">
        <v>40436</v>
      </c>
      <c r="O10097" t="s">
        <v>40437</v>
      </c>
      <c r="P10097">
        <v>0</v>
      </c>
      <c r="Q10097">
        <v>3</v>
      </c>
      <c r="R10097" t="s">
        <v>40450</v>
      </c>
      <c r="S10097" t="s">
        <v>40961</v>
      </c>
      <c r="T10097" t="s">
        <v>42112</v>
      </c>
      <c r="U10097" t="s">
        <v>51031</v>
      </c>
      <c r="W10097" t="s">
        <v>37784</v>
      </c>
      <c r="X10097" t="s">
        <v>40451</v>
      </c>
    </row>
    <row r="10098" spans="1:24">
      <c r="A10098">
        <f>HYPERLINK("https://www.philgeps.gov.ph/GEPSNONPILOT/Tender/SplashBidNoticeAbstractUI.aspx?menuIndex=3&amp;refID=7027662&amp;Result=3","7027662")</f>
        <v>0</v>
      </c>
      <c r="B10098" t="s">
        <v>1162</v>
      </c>
      <c r="C10098" t="s">
        <v>12720</v>
      </c>
      <c r="D10098" t="s">
        <v>16202</v>
      </c>
      <c r="E10098" t="s">
        <v>25072</v>
      </c>
      <c r="F10098" t="s">
        <v>28198</v>
      </c>
      <c r="G10098" t="s">
        <v>28205</v>
      </c>
      <c r="H10098" t="s">
        <v>28214</v>
      </c>
      <c r="I10098" t="s">
        <v>3797</v>
      </c>
      <c r="J10098" t="s">
        <v>28363</v>
      </c>
      <c r="K10098" t="s">
        <v>36803</v>
      </c>
      <c r="M10098" t="s">
        <v>38202</v>
      </c>
      <c r="N10098" t="s">
        <v>40436</v>
      </c>
      <c r="O10098" t="s">
        <v>40437</v>
      </c>
      <c r="P10098">
        <v>0</v>
      </c>
      <c r="Q10098">
        <v>1</v>
      </c>
      <c r="R10098" t="s">
        <v>40450</v>
      </c>
      <c r="S10098" t="s">
        <v>40961</v>
      </c>
      <c r="T10098" t="s">
        <v>42183</v>
      </c>
      <c r="U10098" t="s">
        <v>51044</v>
      </c>
      <c r="V10098" t="s">
        <v>54100</v>
      </c>
      <c r="W10098" t="s">
        <v>38202</v>
      </c>
      <c r="X10098" t="s">
        <v>40451</v>
      </c>
    </row>
    <row r="10099" spans="1:24">
      <c r="A10099">
        <f>HYPERLINK("https://www.philgeps.gov.ph/GEPSNONPILOT/Tender/SplashBidNoticeAbstractUI.aspx?menuIndex=3&amp;refID=7027664&amp;Result=3","7027664")</f>
        <v>0</v>
      </c>
      <c r="B10099" t="s">
        <v>2770</v>
      </c>
      <c r="C10099" t="s">
        <v>3778</v>
      </c>
      <c r="D10099" t="s">
        <v>16235</v>
      </c>
      <c r="E10099" t="s">
        <v>22040</v>
      </c>
      <c r="F10099" t="s">
        <v>28200</v>
      </c>
      <c r="G10099" t="s">
        <v>28205</v>
      </c>
      <c r="H10099" t="s">
        <v>28215</v>
      </c>
      <c r="I10099" t="s">
        <v>5100</v>
      </c>
      <c r="J10099" t="s">
        <v>28345</v>
      </c>
      <c r="K10099" t="s">
        <v>36696</v>
      </c>
      <c r="M10099" t="s">
        <v>40019</v>
      </c>
      <c r="N10099" t="s">
        <v>40436</v>
      </c>
      <c r="O10099" t="s">
        <v>40437</v>
      </c>
      <c r="P10099">
        <v>0</v>
      </c>
      <c r="Q10099">
        <v>0</v>
      </c>
      <c r="R10099" t="s">
        <v>40450</v>
      </c>
      <c r="S10099" t="s">
        <v>40961</v>
      </c>
      <c r="T10099" t="s">
        <v>42103</v>
      </c>
      <c r="U10099" t="s">
        <v>51045</v>
      </c>
      <c r="W10099" t="s">
        <v>40019</v>
      </c>
      <c r="X10099" t="s">
        <v>40451</v>
      </c>
    </row>
    <row r="10100" spans="1:24">
      <c r="A10100">
        <f>HYPERLINK("https://www.philgeps.gov.ph/GEPSNONPILOT/Tender/SplashBidNoticeAbstractUI.aspx?menuIndex=3&amp;refID=7027718&amp;Result=3","7027718")</f>
        <v>0</v>
      </c>
      <c r="B10100" t="s">
        <v>2771</v>
      </c>
      <c r="C10100" t="s">
        <v>12721</v>
      </c>
      <c r="E10100" t="s">
        <v>25073</v>
      </c>
      <c r="F10100" t="s">
        <v>28198</v>
      </c>
      <c r="G10100" t="s">
        <v>28205</v>
      </c>
      <c r="H10100" t="s">
        <v>28214</v>
      </c>
      <c r="I10100" t="s">
        <v>3797</v>
      </c>
      <c r="J10100" t="s">
        <v>29113</v>
      </c>
      <c r="K10100" t="s">
        <v>36689</v>
      </c>
      <c r="M10100" t="s">
        <v>40020</v>
      </c>
      <c r="N10100" t="s">
        <v>40436</v>
      </c>
      <c r="O10100" t="s">
        <v>40437</v>
      </c>
      <c r="P10100">
        <v>0</v>
      </c>
      <c r="Q10100">
        <v>1</v>
      </c>
      <c r="R10100" t="s">
        <v>40450</v>
      </c>
      <c r="S10100" t="s">
        <v>40961</v>
      </c>
      <c r="T10100" t="s">
        <v>42134</v>
      </c>
      <c r="U10100" t="s">
        <v>51046</v>
      </c>
      <c r="V10100" t="s">
        <v>54896</v>
      </c>
      <c r="W10100" t="s">
        <v>40020</v>
      </c>
      <c r="X10100" t="s">
        <v>40451</v>
      </c>
    </row>
    <row r="10101" spans="1:24">
      <c r="A10101">
        <f>HYPERLINK("https://www.philgeps.gov.ph/GEPSNONPILOT/Tender/SplashBidNoticeAbstractUI.aspx?menuIndex=3&amp;refID=7027702&amp;Result=3","7027702")</f>
        <v>0</v>
      </c>
      <c r="B10101" t="s">
        <v>185</v>
      </c>
      <c r="C10101" t="s">
        <v>12722</v>
      </c>
      <c r="E10101" t="s">
        <v>19160</v>
      </c>
      <c r="F10101" t="s">
        <v>28200</v>
      </c>
      <c r="G10101" t="s">
        <v>28205</v>
      </c>
      <c r="H10101" t="s">
        <v>28215</v>
      </c>
      <c r="I10101" t="s">
        <v>28246</v>
      </c>
      <c r="J10101" t="s">
        <v>34612</v>
      </c>
      <c r="K10101" t="s">
        <v>36697</v>
      </c>
      <c r="M10101" t="s">
        <v>37160</v>
      </c>
      <c r="N10101" t="s">
        <v>40436</v>
      </c>
      <c r="O10101" t="s">
        <v>40437</v>
      </c>
      <c r="P10101">
        <v>0</v>
      </c>
      <c r="Q10101">
        <v>2</v>
      </c>
      <c r="R10101" t="s">
        <v>40450</v>
      </c>
      <c r="S10101" t="s">
        <v>40961</v>
      </c>
      <c r="T10101" t="s">
        <v>42190</v>
      </c>
      <c r="U10101" t="s">
        <v>51047</v>
      </c>
      <c r="V10101" t="s">
        <v>54897</v>
      </c>
      <c r="W10101" t="s">
        <v>37160</v>
      </c>
      <c r="X10101" t="s">
        <v>40451</v>
      </c>
    </row>
    <row r="10102" spans="1:24">
      <c r="A10102">
        <f>HYPERLINK("https://www.philgeps.gov.ph/GEPSNONPILOT/Tender/SplashBidNoticeAbstractUI.aspx?menuIndex=3&amp;refID=7027679&amp;Result=3","7027679")</f>
        <v>0</v>
      </c>
      <c r="B10102" t="s">
        <v>85</v>
      </c>
      <c r="C10102" t="s">
        <v>12723</v>
      </c>
      <c r="D10102" t="s">
        <v>16221</v>
      </c>
      <c r="E10102" t="s">
        <v>25074</v>
      </c>
      <c r="F10102" t="s">
        <v>28198</v>
      </c>
      <c r="G10102" t="s">
        <v>28205</v>
      </c>
      <c r="H10102" t="s">
        <v>28215</v>
      </c>
      <c r="I10102" t="s">
        <v>5791</v>
      </c>
      <c r="J10102" t="s">
        <v>34613</v>
      </c>
      <c r="K10102" t="s">
        <v>36707</v>
      </c>
      <c r="M10102" t="s">
        <v>37057</v>
      </c>
      <c r="N10102" t="s">
        <v>40436</v>
      </c>
      <c r="O10102" t="s">
        <v>40437</v>
      </c>
      <c r="P10102">
        <v>0</v>
      </c>
      <c r="Q10102">
        <v>0</v>
      </c>
      <c r="R10102" t="s">
        <v>40450</v>
      </c>
      <c r="S10102" t="s">
        <v>40961</v>
      </c>
      <c r="T10102" t="s">
        <v>42102</v>
      </c>
      <c r="U10102" t="s">
        <v>51048</v>
      </c>
      <c r="W10102" t="s">
        <v>37057</v>
      </c>
      <c r="X10102" t="s">
        <v>40451</v>
      </c>
    </row>
    <row r="10103" spans="1:24">
      <c r="A10103">
        <f>HYPERLINK("https://www.philgeps.gov.ph/GEPSNONPILOT/Tender/SplashBidNoticeAbstractUI.aspx?menuIndex=3&amp;refID=7027805&amp;Result=3","7027805")</f>
        <v>0</v>
      </c>
      <c r="B10103" t="s">
        <v>161</v>
      </c>
      <c r="C10103" t="s">
        <v>12724</v>
      </c>
      <c r="D10103" t="s">
        <v>16235</v>
      </c>
      <c r="E10103" t="s">
        <v>25075</v>
      </c>
      <c r="F10103" t="s">
        <v>28198</v>
      </c>
      <c r="G10103" t="s">
        <v>28205</v>
      </c>
      <c r="H10103" t="s">
        <v>28214</v>
      </c>
      <c r="I10103" t="s">
        <v>3797</v>
      </c>
      <c r="J10103" t="s">
        <v>29163</v>
      </c>
      <c r="K10103" t="s">
        <v>36922</v>
      </c>
      <c r="M10103" t="s">
        <v>37135</v>
      </c>
      <c r="N10103" t="s">
        <v>40436</v>
      </c>
      <c r="O10103" t="s">
        <v>40437</v>
      </c>
      <c r="P10103">
        <v>0</v>
      </c>
      <c r="Q10103">
        <v>0</v>
      </c>
      <c r="R10103" t="s">
        <v>40450</v>
      </c>
      <c r="S10103" t="s">
        <v>40961</v>
      </c>
      <c r="T10103" t="s">
        <v>42100</v>
      </c>
      <c r="U10103" t="s">
        <v>51049</v>
      </c>
      <c r="W10103" t="s">
        <v>37135</v>
      </c>
      <c r="X10103" t="s">
        <v>40451</v>
      </c>
    </row>
    <row r="10104" spans="1:24">
      <c r="A10104">
        <f>HYPERLINK("https://www.philgeps.gov.ph/GEPSNONPILOT/Tender/SplashBidNoticeAbstractUI.aspx?menuIndex=3&amp;refID=7027708&amp;Result=3","7027708")</f>
        <v>0</v>
      </c>
      <c r="B10104" t="s">
        <v>2772</v>
      </c>
      <c r="C10104" t="s">
        <v>12725</v>
      </c>
      <c r="D10104" t="s">
        <v>16244</v>
      </c>
      <c r="E10104" t="s">
        <v>25076</v>
      </c>
      <c r="F10104" t="s">
        <v>28200</v>
      </c>
      <c r="G10104" t="s">
        <v>28205</v>
      </c>
      <c r="H10104" t="s">
        <v>28215</v>
      </c>
      <c r="I10104" t="s">
        <v>28222</v>
      </c>
      <c r="J10104" t="s">
        <v>34614</v>
      </c>
      <c r="K10104" t="s">
        <v>36696</v>
      </c>
      <c r="M10104" t="s">
        <v>40021</v>
      </c>
      <c r="N10104" t="s">
        <v>40436</v>
      </c>
      <c r="O10104" t="s">
        <v>40437</v>
      </c>
      <c r="P10104">
        <v>0</v>
      </c>
      <c r="Q10104">
        <v>6</v>
      </c>
      <c r="R10104" t="s">
        <v>40450</v>
      </c>
      <c r="S10104" t="s">
        <v>40961</v>
      </c>
      <c r="T10104" t="s">
        <v>42131</v>
      </c>
      <c r="U10104" t="s">
        <v>51050</v>
      </c>
      <c r="W10104" t="s">
        <v>40021</v>
      </c>
      <c r="X10104" t="s">
        <v>40451</v>
      </c>
    </row>
    <row r="10105" spans="1:24">
      <c r="A10105">
        <f>HYPERLINK("https://www.philgeps.gov.ph/GEPSNONPILOT/Tender/SplashBidNoticeAbstractUI.aspx?menuIndex=3&amp;refID=7027657&amp;Result=3","7027657")</f>
        <v>0</v>
      </c>
      <c r="B10105" t="s">
        <v>2183</v>
      </c>
      <c r="C10105" t="s">
        <v>12726</v>
      </c>
      <c r="D10105" t="s">
        <v>16266</v>
      </c>
      <c r="E10105" t="s">
        <v>25077</v>
      </c>
      <c r="F10105" t="s">
        <v>28202</v>
      </c>
      <c r="G10105" t="s">
        <v>28205</v>
      </c>
      <c r="H10105" t="s">
        <v>28214</v>
      </c>
      <c r="I10105" t="s">
        <v>3797</v>
      </c>
      <c r="J10105" t="s">
        <v>34615</v>
      </c>
      <c r="K10105" t="s">
        <v>36713</v>
      </c>
      <c r="M10105" t="s">
        <v>39347</v>
      </c>
      <c r="N10105" t="s">
        <v>40436</v>
      </c>
      <c r="O10105" t="s">
        <v>40437</v>
      </c>
      <c r="P10105">
        <v>0</v>
      </c>
      <c r="Q10105">
        <v>0</v>
      </c>
      <c r="R10105" t="s">
        <v>40450</v>
      </c>
      <c r="S10105" t="s">
        <v>40961</v>
      </c>
      <c r="T10105" t="s">
        <v>42218</v>
      </c>
      <c r="U10105" t="s">
        <v>48439</v>
      </c>
      <c r="W10105" t="s">
        <v>39347</v>
      </c>
      <c r="X10105" t="s">
        <v>40451</v>
      </c>
    </row>
    <row r="10106" spans="1:24">
      <c r="A10106">
        <f>HYPERLINK("https://www.philgeps.gov.ph/GEPSNONPILOT/Tender/SplashBidNoticeAbstractUI.aspx?menuIndex=3&amp;refID=7027781&amp;Result=3","7027781")</f>
        <v>0</v>
      </c>
      <c r="B10106" t="s">
        <v>895</v>
      </c>
      <c r="C10106" t="s">
        <v>12727</v>
      </c>
      <c r="D10106" t="s">
        <v>16218</v>
      </c>
      <c r="E10106" t="s">
        <v>25078</v>
      </c>
      <c r="F10106" t="s">
        <v>28198</v>
      </c>
      <c r="G10106" t="s">
        <v>28205</v>
      </c>
      <c r="H10106" t="s">
        <v>28214</v>
      </c>
      <c r="I10106" t="s">
        <v>3797</v>
      </c>
      <c r="J10106" t="s">
        <v>34616</v>
      </c>
      <c r="K10106" t="s">
        <v>36690</v>
      </c>
      <c r="M10106" t="s">
        <v>37911</v>
      </c>
      <c r="N10106" t="s">
        <v>40436</v>
      </c>
      <c r="O10106" t="s">
        <v>40437</v>
      </c>
      <c r="P10106">
        <v>0</v>
      </c>
      <c r="Q10106">
        <v>0</v>
      </c>
      <c r="R10106" t="s">
        <v>40450</v>
      </c>
      <c r="S10106" t="s">
        <v>40961</v>
      </c>
      <c r="T10106" t="s">
        <v>42292</v>
      </c>
      <c r="U10106" t="s">
        <v>51051</v>
      </c>
      <c r="W10106" t="s">
        <v>37911</v>
      </c>
      <c r="X10106" t="s">
        <v>40451</v>
      </c>
    </row>
    <row r="10107" spans="1:24">
      <c r="A10107">
        <f>HYPERLINK("https://www.philgeps.gov.ph/GEPSNONPILOT/Tender/SplashBidNoticeAbstractUI.aspx?menuIndex=3&amp;refID=7027785&amp;Result=3","7027785")</f>
        <v>0</v>
      </c>
      <c r="B10107" t="s">
        <v>2298</v>
      </c>
      <c r="C10107" t="s">
        <v>12728</v>
      </c>
      <c r="D10107" t="s">
        <v>16240</v>
      </c>
      <c r="E10107" t="s">
        <v>25079</v>
      </c>
      <c r="F10107" t="s">
        <v>28198</v>
      </c>
      <c r="G10107" t="s">
        <v>28207</v>
      </c>
      <c r="H10107" t="s">
        <v>28215</v>
      </c>
      <c r="I10107" t="s">
        <v>28265</v>
      </c>
      <c r="J10107" t="s">
        <v>28406</v>
      </c>
      <c r="K10107" t="s">
        <v>36693</v>
      </c>
      <c r="M10107" t="s">
        <v>39473</v>
      </c>
      <c r="N10107" t="s">
        <v>40436</v>
      </c>
      <c r="O10107" t="s">
        <v>40437</v>
      </c>
      <c r="P10107">
        <v>0</v>
      </c>
      <c r="Q10107">
        <v>0</v>
      </c>
      <c r="R10107" t="s">
        <v>40450</v>
      </c>
      <c r="S10107" t="s">
        <v>40961</v>
      </c>
      <c r="T10107" t="s">
        <v>42190</v>
      </c>
      <c r="U10107" t="s">
        <v>51052</v>
      </c>
      <c r="W10107" t="s">
        <v>39473</v>
      </c>
      <c r="X10107" t="s">
        <v>40451</v>
      </c>
    </row>
    <row r="10108" spans="1:24">
      <c r="A10108">
        <f>HYPERLINK("https://www.philgeps.gov.ph/GEPSNONPILOT/Tender/SplashBidNoticeAbstractUI.aspx?menuIndex=3&amp;refID=7027661&amp;Result=3","7027661")</f>
        <v>0</v>
      </c>
      <c r="B10108" t="s">
        <v>2417</v>
      </c>
      <c r="C10108" t="s">
        <v>12729</v>
      </c>
      <c r="D10108" t="s">
        <v>16240</v>
      </c>
      <c r="E10108" t="s">
        <v>25080</v>
      </c>
      <c r="F10108" t="s">
        <v>28198</v>
      </c>
      <c r="G10108" t="s">
        <v>28205</v>
      </c>
      <c r="H10108" t="s">
        <v>28215</v>
      </c>
      <c r="I10108" t="s">
        <v>28227</v>
      </c>
      <c r="J10108" t="s">
        <v>34617</v>
      </c>
      <c r="K10108" t="s">
        <v>36707</v>
      </c>
      <c r="M10108" t="s">
        <v>39605</v>
      </c>
      <c r="N10108" t="s">
        <v>40436</v>
      </c>
      <c r="O10108" t="s">
        <v>40437</v>
      </c>
      <c r="P10108">
        <v>0</v>
      </c>
      <c r="Q10108">
        <v>0</v>
      </c>
      <c r="R10108" t="s">
        <v>40450</v>
      </c>
      <c r="S10108" t="s">
        <v>40961</v>
      </c>
      <c r="T10108" t="s">
        <v>42133</v>
      </c>
      <c r="U10108" t="s">
        <v>51053</v>
      </c>
      <c r="W10108" t="s">
        <v>39605</v>
      </c>
      <c r="X10108" t="s">
        <v>40451</v>
      </c>
    </row>
    <row r="10109" spans="1:24">
      <c r="A10109">
        <f>HYPERLINK("https://www.philgeps.gov.ph/GEPSNONPILOT/Tender/SplashBidNoticeAbstractUI.aspx?menuIndex=3&amp;refID=7027778&amp;Result=3","7027778")</f>
        <v>0</v>
      </c>
      <c r="B10109" t="s">
        <v>1142</v>
      </c>
      <c r="C10109" t="s">
        <v>12730</v>
      </c>
      <c r="D10109" t="s">
        <v>16223</v>
      </c>
      <c r="E10109" t="s">
        <v>25081</v>
      </c>
      <c r="F10109" t="s">
        <v>28200</v>
      </c>
      <c r="G10109" t="s">
        <v>28205</v>
      </c>
      <c r="H10109" t="s">
        <v>28215</v>
      </c>
      <c r="I10109" t="s">
        <v>5100</v>
      </c>
      <c r="J10109" t="s">
        <v>28398</v>
      </c>
      <c r="K10109" t="s">
        <v>36707</v>
      </c>
      <c r="M10109" t="s">
        <v>38182</v>
      </c>
      <c r="N10109" t="s">
        <v>40436</v>
      </c>
      <c r="O10109" t="s">
        <v>40437</v>
      </c>
      <c r="P10109">
        <v>0</v>
      </c>
      <c r="Q10109">
        <v>0</v>
      </c>
      <c r="R10109" t="s">
        <v>40450</v>
      </c>
      <c r="S10109" t="s">
        <v>40961</v>
      </c>
      <c r="T10109" t="s">
        <v>42158</v>
      </c>
      <c r="U10109" t="s">
        <v>51054</v>
      </c>
      <c r="W10109" t="s">
        <v>38182</v>
      </c>
      <c r="X10109" t="s">
        <v>40451</v>
      </c>
    </row>
    <row r="10110" spans="1:24">
      <c r="A10110">
        <f>HYPERLINK("https://www.philgeps.gov.ph/GEPSNONPILOT/Tender/SplashBidNoticeAbstractUI.aspx?menuIndex=3&amp;refID=7027774&amp;Result=3","7027774")</f>
        <v>0</v>
      </c>
      <c r="B10110" t="s">
        <v>161</v>
      </c>
      <c r="C10110" t="s">
        <v>12731</v>
      </c>
      <c r="D10110" t="s">
        <v>16235</v>
      </c>
      <c r="E10110" t="s">
        <v>25082</v>
      </c>
      <c r="F10110" t="s">
        <v>28198</v>
      </c>
      <c r="G10110" t="s">
        <v>28205</v>
      </c>
      <c r="H10110" t="s">
        <v>28214</v>
      </c>
      <c r="I10110" t="s">
        <v>3797</v>
      </c>
      <c r="J10110" t="s">
        <v>29163</v>
      </c>
      <c r="K10110" t="s">
        <v>36738</v>
      </c>
      <c r="M10110" t="s">
        <v>37135</v>
      </c>
      <c r="N10110" t="s">
        <v>40436</v>
      </c>
      <c r="O10110" t="s">
        <v>40437</v>
      </c>
      <c r="P10110">
        <v>0</v>
      </c>
      <c r="Q10110">
        <v>0</v>
      </c>
      <c r="R10110" t="s">
        <v>40450</v>
      </c>
      <c r="S10110" t="s">
        <v>40961</v>
      </c>
      <c r="T10110" t="s">
        <v>42100</v>
      </c>
      <c r="U10110" t="s">
        <v>51049</v>
      </c>
      <c r="W10110" t="s">
        <v>37135</v>
      </c>
      <c r="X10110" t="s">
        <v>40451</v>
      </c>
    </row>
    <row r="10111" spans="1:24">
      <c r="A10111">
        <f>HYPERLINK("https://www.philgeps.gov.ph/GEPSNONPILOT/Tender/SplashBidNoticeAbstractUI.aspx?menuIndex=3&amp;refID=7027788&amp;Result=3","7027788")</f>
        <v>0</v>
      </c>
      <c r="B10111" t="s">
        <v>1161</v>
      </c>
      <c r="C10111" t="s">
        <v>12732</v>
      </c>
      <c r="D10111" t="s">
        <v>16228</v>
      </c>
      <c r="E10111" t="s">
        <v>18719</v>
      </c>
      <c r="F10111" t="s">
        <v>28201</v>
      </c>
      <c r="G10111" t="s">
        <v>28205</v>
      </c>
      <c r="H10111" t="s">
        <v>28215</v>
      </c>
      <c r="I10111" t="s">
        <v>5082</v>
      </c>
      <c r="J10111" t="s">
        <v>28539</v>
      </c>
      <c r="K10111" t="s">
        <v>36688</v>
      </c>
      <c r="M10111" t="s">
        <v>38201</v>
      </c>
      <c r="N10111" t="s">
        <v>40436</v>
      </c>
      <c r="O10111" t="s">
        <v>40437</v>
      </c>
      <c r="P10111">
        <v>0</v>
      </c>
      <c r="Q10111">
        <v>0</v>
      </c>
      <c r="R10111" t="s">
        <v>40450</v>
      </c>
      <c r="S10111" t="s">
        <v>40961</v>
      </c>
      <c r="T10111" t="s">
        <v>42144</v>
      </c>
      <c r="U10111" t="s">
        <v>51055</v>
      </c>
      <c r="W10111" t="s">
        <v>38201</v>
      </c>
      <c r="X10111" t="s">
        <v>40451</v>
      </c>
    </row>
    <row r="10112" spans="1:24">
      <c r="A10112">
        <f>HYPERLINK("https://www.philgeps.gov.ph/GEPSNONPILOT/Tender/SplashBidNoticeAbstractUI.aspx?menuIndex=3&amp;refID=7027567&amp;Result=3","7027567")</f>
        <v>0</v>
      </c>
      <c r="B10112" t="s">
        <v>2298</v>
      </c>
      <c r="C10112" t="s">
        <v>12733</v>
      </c>
      <c r="D10112" t="s">
        <v>16240</v>
      </c>
      <c r="E10112" t="s">
        <v>25083</v>
      </c>
      <c r="F10112" t="s">
        <v>28198</v>
      </c>
      <c r="G10112" t="s">
        <v>28207</v>
      </c>
      <c r="H10112" t="s">
        <v>28215</v>
      </c>
      <c r="I10112" t="s">
        <v>28265</v>
      </c>
      <c r="J10112" t="s">
        <v>28652</v>
      </c>
      <c r="K10112" t="s">
        <v>36693</v>
      </c>
      <c r="M10112" t="s">
        <v>39473</v>
      </c>
      <c r="N10112" t="s">
        <v>40436</v>
      </c>
      <c r="O10112" t="s">
        <v>40437</v>
      </c>
      <c r="P10112">
        <v>0</v>
      </c>
      <c r="Q10112">
        <v>0</v>
      </c>
      <c r="R10112" t="s">
        <v>40450</v>
      </c>
      <c r="S10112" t="s">
        <v>40961</v>
      </c>
      <c r="T10112" t="s">
        <v>42297</v>
      </c>
      <c r="U10112" t="s">
        <v>51056</v>
      </c>
      <c r="W10112" t="s">
        <v>39473</v>
      </c>
      <c r="X10112" t="s">
        <v>40451</v>
      </c>
    </row>
    <row r="10113" spans="1:24">
      <c r="A10113">
        <f>HYPERLINK("https://www.philgeps.gov.ph/GEPSNONPILOT/Tender/SplashBidNoticeAbstractUI.aspx?menuIndex=3&amp;refID=7027850&amp;Result=3","7027850")</f>
        <v>0</v>
      </c>
      <c r="B10113" t="s">
        <v>2773</v>
      </c>
      <c r="C10113" t="s">
        <v>12734</v>
      </c>
      <c r="E10113" t="s">
        <v>25084</v>
      </c>
      <c r="F10113" t="s">
        <v>28198</v>
      </c>
      <c r="G10113" t="s">
        <v>28205</v>
      </c>
      <c r="H10113" t="s">
        <v>28214</v>
      </c>
      <c r="I10113" t="s">
        <v>3797</v>
      </c>
      <c r="J10113" t="s">
        <v>34618</v>
      </c>
      <c r="K10113" t="s">
        <v>36689</v>
      </c>
      <c r="M10113" t="s">
        <v>40022</v>
      </c>
      <c r="N10113" t="s">
        <v>40436</v>
      </c>
      <c r="O10113" t="s">
        <v>40437</v>
      </c>
      <c r="P10113">
        <v>0</v>
      </c>
      <c r="Q10113">
        <v>0</v>
      </c>
      <c r="R10113" t="s">
        <v>40450</v>
      </c>
      <c r="S10113" t="s">
        <v>40961</v>
      </c>
      <c r="T10113" t="s">
        <v>42184</v>
      </c>
      <c r="U10113" t="s">
        <v>51057</v>
      </c>
      <c r="V10113" t="s">
        <v>54896</v>
      </c>
      <c r="W10113" t="s">
        <v>40022</v>
      </c>
      <c r="X10113" t="s">
        <v>40451</v>
      </c>
    </row>
    <row r="10114" spans="1:24">
      <c r="A10114">
        <f>HYPERLINK("https://www.philgeps.gov.ph/GEPSNONPILOT/Tender/SplashBidNoticeAbstractUI.aspx?menuIndex=3&amp;refID=7027776&amp;Result=3","7027776")</f>
        <v>0</v>
      </c>
      <c r="B10114" t="s">
        <v>780</v>
      </c>
      <c r="C10114" t="s">
        <v>12735</v>
      </c>
      <c r="D10114" t="s">
        <v>16197</v>
      </c>
      <c r="E10114" t="s">
        <v>25085</v>
      </c>
      <c r="F10114" t="s">
        <v>28198</v>
      </c>
      <c r="G10114" t="s">
        <v>28205</v>
      </c>
      <c r="H10114" t="s">
        <v>28214</v>
      </c>
      <c r="I10114" t="s">
        <v>3797</v>
      </c>
      <c r="J10114" t="s">
        <v>29632</v>
      </c>
      <c r="K10114" t="s">
        <v>36767</v>
      </c>
      <c r="M10114" t="s">
        <v>37784</v>
      </c>
      <c r="N10114" t="s">
        <v>40436</v>
      </c>
      <c r="O10114" t="s">
        <v>40437</v>
      </c>
      <c r="P10114">
        <v>0</v>
      </c>
      <c r="Q10114">
        <v>5</v>
      </c>
      <c r="R10114" t="s">
        <v>40450</v>
      </c>
      <c r="S10114" t="s">
        <v>40961</v>
      </c>
      <c r="T10114" t="s">
        <v>42112</v>
      </c>
      <c r="U10114" t="s">
        <v>51031</v>
      </c>
      <c r="W10114" t="s">
        <v>37784</v>
      </c>
      <c r="X10114" t="s">
        <v>40451</v>
      </c>
    </row>
    <row r="10115" spans="1:24">
      <c r="A10115">
        <f>HYPERLINK("https://www.philgeps.gov.ph/GEPSNONPILOT/Tender/SplashBidNoticeAbstractUI.aspx?menuIndex=3&amp;refID=7027838&amp;Result=3","7027838")</f>
        <v>0</v>
      </c>
      <c r="B10115" t="s">
        <v>161</v>
      </c>
      <c r="C10115" t="s">
        <v>12736</v>
      </c>
      <c r="D10115" t="s">
        <v>16235</v>
      </c>
      <c r="E10115" t="s">
        <v>25086</v>
      </c>
      <c r="F10115" t="s">
        <v>28198</v>
      </c>
      <c r="G10115" t="s">
        <v>28205</v>
      </c>
      <c r="H10115" t="s">
        <v>28214</v>
      </c>
      <c r="I10115" t="s">
        <v>3797</v>
      </c>
      <c r="J10115" t="s">
        <v>29163</v>
      </c>
      <c r="K10115" t="s">
        <v>36923</v>
      </c>
      <c r="M10115" t="s">
        <v>37135</v>
      </c>
      <c r="N10115" t="s">
        <v>40436</v>
      </c>
      <c r="O10115" t="s">
        <v>40437</v>
      </c>
      <c r="P10115">
        <v>0</v>
      </c>
      <c r="Q10115">
        <v>0</v>
      </c>
      <c r="R10115" t="s">
        <v>40450</v>
      </c>
      <c r="S10115" t="s">
        <v>40961</v>
      </c>
      <c r="T10115" t="s">
        <v>42100</v>
      </c>
      <c r="U10115" t="s">
        <v>51049</v>
      </c>
      <c r="W10115" t="s">
        <v>37135</v>
      </c>
      <c r="X10115" t="s">
        <v>40451</v>
      </c>
    </row>
    <row r="10116" spans="1:24">
      <c r="A10116">
        <f>HYPERLINK("https://www.philgeps.gov.ph/GEPSNONPILOT/Tender/SplashBidNoticeAbstractUI.aspx?menuIndex=3&amp;refID=7027757&amp;Result=3","7027757")</f>
        <v>0</v>
      </c>
      <c r="B10116" t="s">
        <v>161</v>
      </c>
      <c r="C10116" t="s">
        <v>12737</v>
      </c>
      <c r="D10116" t="s">
        <v>16235</v>
      </c>
      <c r="E10116" t="s">
        <v>25087</v>
      </c>
      <c r="F10116" t="s">
        <v>28198</v>
      </c>
      <c r="G10116" t="s">
        <v>28205</v>
      </c>
      <c r="H10116" t="s">
        <v>28214</v>
      </c>
      <c r="I10116" t="s">
        <v>3797</v>
      </c>
      <c r="J10116" t="s">
        <v>29163</v>
      </c>
      <c r="K10116" t="s">
        <v>36924</v>
      </c>
      <c r="M10116" t="s">
        <v>37135</v>
      </c>
      <c r="N10116" t="s">
        <v>40436</v>
      </c>
      <c r="O10116" t="s">
        <v>40437</v>
      </c>
      <c r="P10116">
        <v>0</v>
      </c>
      <c r="Q10116">
        <v>0</v>
      </c>
      <c r="R10116" t="s">
        <v>40450</v>
      </c>
      <c r="S10116" t="s">
        <v>40961</v>
      </c>
      <c r="T10116" t="s">
        <v>42100</v>
      </c>
      <c r="U10116" t="s">
        <v>51049</v>
      </c>
      <c r="W10116" t="s">
        <v>37135</v>
      </c>
      <c r="X10116" t="s">
        <v>40451</v>
      </c>
    </row>
    <row r="10117" spans="1:24">
      <c r="A10117">
        <f>HYPERLINK("https://www.philgeps.gov.ph/GEPSNONPILOT/Tender/SplashBidNoticeAbstractUI.aspx?menuIndex=3&amp;refID=7027825&amp;Result=3","7027825")</f>
        <v>0</v>
      </c>
      <c r="B10117" t="s">
        <v>161</v>
      </c>
      <c r="C10117" t="s">
        <v>12738</v>
      </c>
      <c r="D10117" t="s">
        <v>16235</v>
      </c>
      <c r="E10117" t="s">
        <v>25088</v>
      </c>
      <c r="F10117" t="s">
        <v>28198</v>
      </c>
      <c r="G10117" t="s">
        <v>28205</v>
      </c>
      <c r="H10117" t="s">
        <v>28214</v>
      </c>
      <c r="I10117" t="s">
        <v>3797</v>
      </c>
      <c r="J10117" t="s">
        <v>29163</v>
      </c>
      <c r="K10117" t="s">
        <v>36882</v>
      </c>
      <c r="M10117" t="s">
        <v>37135</v>
      </c>
      <c r="N10117" t="s">
        <v>40436</v>
      </c>
      <c r="O10117" t="s">
        <v>40437</v>
      </c>
      <c r="P10117">
        <v>0</v>
      </c>
      <c r="Q10117">
        <v>0</v>
      </c>
      <c r="R10117" t="s">
        <v>40450</v>
      </c>
      <c r="S10117" t="s">
        <v>40961</v>
      </c>
      <c r="T10117" t="s">
        <v>42100</v>
      </c>
      <c r="U10117" t="s">
        <v>51049</v>
      </c>
      <c r="W10117" t="s">
        <v>37135</v>
      </c>
      <c r="X10117" t="s">
        <v>40451</v>
      </c>
    </row>
    <row r="10118" spans="1:24">
      <c r="A10118">
        <f>HYPERLINK("https://www.philgeps.gov.ph/GEPSNONPILOT/Tender/SplashBidNoticeAbstractUI.aspx?menuIndex=3&amp;refID=7027728&amp;Result=3","7027728")</f>
        <v>0</v>
      </c>
      <c r="B10118" t="s">
        <v>1142</v>
      </c>
      <c r="C10118" t="s">
        <v>12739</v>
      </c>
      <c r="D10118" t="s">
        <v>16223</v>
      </c>
      <c r="E10118" t="s">
        <v>25089</v>
      </c>
      <c r="F10118" t="s">
        <v>28200</v>
      </c>
      <c r="G10118" t="s">
        <v>28205</v>
      </c>
      <c r="H10118" t="s">
        <v>28215</v>
      </c>
      <c r="I10118" t="s">
        <v>7310</v>
      </c>
      <c r="J10118" t="s">
        <v>34619</v>
      </c>
      <c r="K10118" t="s">
        <v>36687</v>
      </c>
      <c r="M10118" t="s">
        <v>38182</v>
      </c>
      <c r="N10118" t="s">
        <v>40436</v>
      </c>
      <c r="O10118" t="s">
        <v>40437</v>
      </c>
      <c r="P10118">
        <v>0</v>
      </c>
      <c r="Q10118">
        <v>2</v>
      </c>
      <c r="R10118" t="s">
        <v>40450</v>
      </c>
      <c r="S10118" t="s">
        <v>40961</v>
      </c>
      <c r="T10118" t="s">
        <v>42158</v>
      </c>
      <c r="U10118" t="s">
        <v>51058</v>
      </c>
      <c r="W10118" t="s">
        <v>38182</v>
      </c>
      <c r="X10118" t="s">
        <v>40451</v>
      </c>
    </row>
    <row r="10119" spans="1:24">
      <c r="A10119">
        <f>HYPERLINK("https://www.philgeps.gov.ph/GEPSNONPILOT/Tender/SplashBidNoticeAbstractUI.aspx?menuIndex=3&amp;refID=7027812&amp;Result=3","7027812")</f>
        <v>0</v>
      </c>
      <c r="B10119" t="s">
        <v>85</v>
      </c>
      <c r="C10119" t="s">
        <v>12740</v>
      </c>
      <c r="D10119" t="s">
        <v>16221</v>
      </c>
      <c r="E10119" t="s">
        <v>25090</v>
      </c>
      <c r="F10119" t="s">
        <v>28198</v>
      </c>
      <c r="G10119" t="s">
        <v>28205</v>
      </c>
      <c r="H10119" t="s">
        <v>28214</v>
      </c>
      <c r="I10119" t="s">
        <v>3797</v>
      </c>
      <c r="J10119" t="s">
        <v>34620</v>
      </c>
      <c r="K10119" t="s">
        <v>36697</v>
      </c>
      <c r="M10119" t="s">
        <v>37057</v>
      </c>
      <c r="N10119" t="s">
        <v>40436</v>
      </c>
      <c r="O10119" t="s">
        <v>40437</v>
      </c>
      <c r="P10119">
        <v>0</v>
      </c>
      <c r="Q10119">
        <v>1</v>
      </c>
      <c r="R10119" t="s">
        <v>40450</v>
      </c>
      <c r="S10119" t="s">
        <v>40961</v>
      </c>
      <c r="T10119" t="s">
        <v>42138</v>
      </c>
      <c r="U10119" t="s">
        <v>51059</v>
      </c>
      <c r="W10119" t="s">
        <v>37057</v>
      </c>
      <c r="X10119" t="s">
        <v>40451</v>
      </c>
    </row>
    <row r="10120" spans="1:24">
      <c r="A10120">
        <f>HYPERLINK("https://www.philgeps.gov.ph/GEPSNONPILOT/Tender/SplashBidNoticeAbstractUI.aspx?menuIndex=3&amp;refID=7027730&amp;Result=3","7027730")</f>
        <v>0</v>
      </c>
      <c r="B10120" t="s">
        <v>161</v>
      </c>
      <c r="C10120" t="s">
        <v>12741</v>
      </c>
      <c r="D10120" t="s">
        <v>16235</v>
      </c>
      <c r="E10120" t="s">
        <v>25091</v>
      </c>
      <c r="F10120" t="s">
        <v>28198</v>
      </c>
      <c r="G10120" t="s">
        <v>28205</v>
      </c>
      <c r="H10120" t="s">
        <v>28214</v>
      </c>
      <c r="I10120" t="s">
        <v>3797</v>
      </c>
      <c r="J10120" t="s">
        <v>34621</v>
      </c>
      <c r="K10120" t="s">
        <v>36845</v>
      </c>
      <c r="M10120" t="s">
        <v>37135</v>
      </c>
      <c r="N10120" t="s">
        <v>40436</v>
      </c>
      <c r="O10120" t="s">
        <v>40437</v>
      </c>
      <c r="P10120">
        <v>0</v>
      </c>
      <c r="Q10120">
        <v>0</v>
      </c>
      <c r="R10120" t="s">
        <v>40450</v>
      </c>
      <c r="S10120" t="s">
        <v>40961</v>
      </c>
      <c r="T10120" t="s">
        <v>42100</v>
      </c>
      <c r="U10120" t="s">
        <v>51060</v>
      </c>
      <c r="W10120" t="s">
        <v>37135</v>
      </c>
      <c r="X10120" t="s">
        <v>40451</v>
      </c>
    </row>
    <row r="10121" spans="1:24">
      <c r="A10121">
        <f>HYPERLINK("https://www.philgeps.gov.ph/GEPSNONPILOT/Tender/SplashBidNoticeAbstractUI.aspx?menuIndex=3&amp;refID=7027940&amp;Result=3","7027940")</f>
        <v>0</v>
      </c>
      <c r="B10121" t="s">
        <v>2774</v>
      </c>
      <c r="C10121" t="s">
        <v>12742</v>
      </c>
      <c r="D10121" t="s">
        <v>16234</v>
      </c>
      <c r="E10121" t="s">
        <v>16322</v>
      </c>
      <c r="F10121" t="s">
        <v>28198</v>
      </c>
      <c r="G10121" t="s">
        <v>28205</v>
      </c>
      <c r="H10121" t="s">
        <v>28215</v>
      </c>
      <c r="I10121" t="s">
        <v>5100</v>
      </c>
      <c r="J10121" t="s">
        <v>34622</v>
      </c>
      <c r="K10121" t="s">
        <v>36701</v>
      </c>
      <c r="M10121" t="s">
        <v>40023</v>
      </c>
      <c r="N10121" t="s">
        <v>40436</v>
      </c>
      <c r="O10121" t="s">
        <v>40437</v>
      </c>
      <c r="P10121">
        <v>0</v>
      </c>
      <c r="Q10121">
        <v>5</v>
      </c>
      <c r="R10121" t="s">
        <v>40450</v>
      </c>
      <c r="S10121" t="s">
        <v>40961</v>
      </c>
      <c r="T10121" t="s">
        <v>42149</v>
      </c>
      <c r="U10121" t="s">
        <v>43708</v>
      </c>
      <c r="W10121" t="s">
        <v>40023</v>
      </c>
      <c r="X10121" t="s">
        <v>40451</v>
      </c>
    </row>
    <row r="10122" spans="1:24">
      <c r="A10122">
        <f>HYPERLINK("https://www.philgeps.gov.ph/GEPSNONPILOT/Tender/SplashBidNoticeAbstractUI.aspx?menuIndex=3&amp;refID=7027748&amp;Result=3","7027748")</f>
        <v>0</v>
      </c>
      <c r="B10122" t="s">
        <v>1161</v>
      </c>
      <c r="C10122" t="s">
        <v>12743</v>
      </c>
      <c r="D10122" t="s">
        <v>16228</v>
      </c>
      <c r="E10122" t="s">
        <v>18071</v>
      </c>
      <c r="F10122" t="s">
        <v>28201</v>
      </c>
      <c r="G10122" t="s">
        <v>28205</v>
      </c>
      <c r="H10122" t="s">
        <v>28215</v>
      </c>
      <c r="I10122" t="s">
        <v>5082</v>
      </c>
      <c r="J10122" t="s">
        <v>32759</v>
      </c>
      <c r="K10122" t="s">
        <v>36688</v>
      </c>
      <c r="M10122" t="s">
        <v>38201</v>
      </c>
      <c r="N10122" t="s">
        <v>40436</v>
      </c>
      <c r="O10122" t="s">
        <v>40437</v>
      </c>
      <c r="P10122">
        <v>0</v>
      </c>
      <c r="Q10122">
        <v>1</v>
      </c>
      <c r="R10122" t="s">
        <v>40450</v>
      </c>
      <c r="S10122" t="s">
        <v>40961</v>
      </c>
      <c r="T10122" t="s">
        <v>42144</v>
      </c>
      <c r="U10122" t="s">
        <v>51061</v>
      </c>
      <c r="W10122" t="s">
        <v>38201</v>
      </c>
      <c r="X10122" t="s">
        <v>40451</v>
      </c>
    </row>
    <row r="10123" spans="1:24">
      <c r="A10123">
        <f>HYPERLINK("https://www.philgeps.gov.ph/GEPSNONPILOT/Tender/SplashBidNoticeAbstractUI.aspx?menuIndex=3&amp;refID=7027936&amp;Result=3","7027936")</f>
        <v>0</v>
      </c>
      <c r="B10123" t="s">
        <v>294</v>
      </c>
      <c r="C10123" t="s">
        <v>12744</v>
      </c>
      <c r="D10123" t="s">
        <v>16213</v>
      </c>
      <c r="E10123" t="s">
        <v>16526</v>
      </c>
      <c r="F10123" t="s">
        <v>28198</v>
      </c>
      <c r="G10123" t="s">
        <v>28205</v>
      </c>
      <c r="H10123" t="s">
        <v>28214</v>
      </c>
      <c r="I10123" t="s">
        <v>3797</v>
      </c>
      <c r="J10123" t="s">
        <v>28699</v>
      </c>
      <c r="K10123" t="s">
        <v>36798</v>
      </c>
      <c r="M10123" t="s">
        <v>37271</v>
      </c>
      <c r="N10123" t="s">
        <v>40436</v>
      </c>
      <c r="O10123" t="s">
        <v>40437</v>
      </c>
      <c r="P10123">
        <v>0</v>
      </c>
      <c r="Q10123">
        <v>1</v>
      </c>
      <c r="R10123" t="s">
        <v>40450</v>
      </c>
      <c r="S10123" t="s">
        <v>40961</v>
      </c>
      <c r="T10123" t="s">
        <v>42279</v>
      </c>
      <c r="U10123" t="s">
        <v>51062</v>
      </c>
      <c r="W10123" t="s">
        <v>37271</v>
      </c>
      <c r="X10123" t="s">
        <v>40451</v>
      </c>
    </row>
    <row r="10124" spans="1:24">
      <c r="A10124">
        <f>HYPERLINK("https://www.philgeps.gov.ph/GEPSNONPILOT/Tender/SplashBidNoticeAbstractUI.aspx?menuIndex=3&amp;refID=7027823&amp;Result=3","7027823")</f>
        <v>0</v>
      </c>
      <c r="B10124" t="s">
        <v>2574</v>
      </c>
      <c r="C10124" t="s">
        <v>12745</v>
      </c>
      <c r="E10124" t="s">
        <v>25092</v>
      </c>
      <c r="F10124" t="s">
        <v>28198</v>
      </c>
      <c r="G10124" t="s">
        <v>28205</v>
      </c>
      <c r="H10124" t="s">
        <v>28215</v>
      </c>
      <c r="I10124" t="s">
        <v>9499</v>
      </c>
      <c r="J10124" t="s">
        <v>34623</v>
      </c>
      <c r="K10124" t="s">
        <v>36701</v>
      </c>
      <c r="M10124" t="s">
        <v>39788</v>
      </c>
      <c r="N10124" t="s">
        <v>40436</v>
      </c>
      <c r="O10124" t="s">
        <v>40437</v>
      </c>
      <c r="Q10124">
        <v>8</v>
      </c>
      <c r="R10124" t="s">
        <v>40450</v>
      </c>
      <c r="S10124" t="s">
        <v>40971</v>
      </c>
      <c r="T10124" t="s">
        <v>42279</v>
      </c>
      <c r="U10124" t="s">
        <v>50152</v>
      </c>
      <c r="W10124" t="s">
        <v>39788</v>
      </c>
      <c r="X10124" t="s">
        <v>40451</v>
      </c>
    </row>
    <row r="10125" spans="1:24">
      <c r="A10125">
        <f>HYPERLINK("https://www.philgeps.gov.ph/GEPSNONPILOT/Tender/SplashBidNoticeAbstractUI.aspx?menuIndex=3&amp;refID=7027944&amp;Result=3","7027944")</f>
        <v>0</v>
      </c>
      <c r="B10125" t="s">
        <v>161</v>
      </c>
      <c r="C10125" t="s">
        <v>12746</v>
      </c>
      <c r="D10125" t="s">
        <v>16235</v>
      </c>
      <c r="E10125" t="s">
        <v>25093</v>
      </c>
      <c r="F10125" t="s">
        <v>28198</v>
      </c>
      <c r="G10125" t="s">
        <v>28205</v>
      </c>
      <c r="H10125" t="s">
        <v>28214</v>
      </c>
      <c r="I10125" t="s">
        <v>3797</v>
      </c>
      <c r="J10125" t="s">
        <v>34624</v>
      </c>
      <c r="K10125" t="s">
        <v>36697</v>
      </c>
      <c r="M10125" t="s">
        <v>37135</v>
      </c>
      <c r="N10125" t="s">
        <v>40436</v>
      </c>
      <c r="O10125" t="s">
        <v>40437</v>
      </c>
      <c r="P10125">
        <v>0</v>
      </c>
      <c r="Q10125">
        <v>1</v>
      </c>
      <c r="R10125" t="s">
        <v>40450</v>
      </c>
      <c r="S10125" t="s">
        <v>40961</v>
      </c>
      <c r="T10125" t="s">
        <v>42100</v>
      </c>
      <c r="U10125" t="s">
        <v>51063</v>
      </c>
      <c r="W10125" t="s">
        <v>37135</v>
      </c>
      <c r="X10125" t="s">
        <v>40451</v>
      </c>
    </row>
    <row r="10126" spans="1:24">
      <c r="A10126">
        <f>HYPERLINK("https://www.philgeps.gov.ph/GEPSNONPILOT/Tender/SplashBidNoticeAbstractUI.aspx?menuIndex=3&amp;refID=7027926&amp;Result=3","7027926")</f>
        <v>0</v>
      </c>
      <c r="B10126" t="s">
        <v>161</v>
      </c>
      <c r="C10126" t="s">
        <v>12747</v>
      </c>
      <c r="D10126" t="s">
        <v>16235</v>
      </c>
      <c r="E10126" t="s">
        <v>25094</v>
      </c>
      <c r="F10126" t="s">
        <v>28198</v>
      </c>
      <c r="G10126" t="s">
        <v>28205</v>
      </c>
      <c r="H10126" t="s">
        <v>28214</v>
      </c>
      <c r="I10126" t="s">
        <v>3797</v>
      </c>
      <c r="J10126" t="s">
        <v>34625</v>
      </c>
      <c r="K10126" t="s">
        <v>36692</v>
      </c>
      <c r="M10126" t="s">
        <v>37135</v>
      </c>
      <c r="N10126" t="s">
        <v>40436</v>
      </c>
      <c r="O10126" t="s">
        <v>40437</v>
      </c>
      <c r="P10126">
        <v>0</v>
      </c>
      <c r="Q10126">
        <v>0</v>
      </c>
      <c r="R10126" t="s">
        <v>40450</v>
      </c>
      <c r="S10126" t="s">
        <v>40961</v>
      </c>
      <c r="T10126" t="s">
        <v>42100</v>
      </c>
      <c r="U10126" t="s">
        <v>51064</v>
      </c>
      <c r="W10126" t="s">
        <v>37135</v>
      </c>
      <c r="X10126" t="s">
        <v>40451</v>
      </c>
    </row>
    <row r="10127" spans="1:24">
      <c r="A10127">
        <f>HYPERLINK("https://www.philgeps.gov.ph/GEPSNONPILOT/Tender/SplashBidNoticeAbstractUI.aspx?menuIndex=3&amp;refID=7027956&amp;Result=3","7027956")</f>
        <v>0</v>
      </c>
      <c r="B10127" t="s">
        <v>1142</v>
      </c>
      <c r="C10127" t="s">
        <v>12748</v>
      </c>
      <c r="D10127" t="s">
        <v>16223</v>
      </c>
      <c r="E10127" t="s">
        <v>22366</v>
      </c>
      <c r="F10127" t="s">
        <v>28200</v>
      </c>
      <c r="G10127" t="s">
        <v>28205</v>
      </c>
      <c r="H10127" t="s">
        <v>28215</v>
      </c>
      <c r="I10127" t="s">
        <v>5100</v>
      </c>
      <c r="J10127" t="s">
        <v>28415</v>
      </c>
      <c r="K10127" t="s">
        <v>36694</v>
      </c>
      <c r="M10127" t="s">
        <v>38182</v>
      </c>
      <c r="N10127" t="s">
        <v>40436</v>
      </c>
      <c r="O10127" t="s">
        <v>40437</v>
      </c>
      <c r="P10127">
        <v>0</v>
      </c>
      <c r="Q10127">
        <v>0</v>
      </c>
      <c r="R10127" t="s">
        <v>40450</v>
      </c>
      <c r="S10127" t="s">
        <v>40961</v>
      </c>
      <c r="T10127" t="s">
        <v>42158</v>
      </c>
      <c r="U10127" t="s">
        <v>51065</v>
      </c>
      <c r="W10127" t="s">
        <v>38182</v>
      </c>
      <c r="X10127" t="s">
        <v>40451</v>
      </c>
    </row>
    <row r="10128" spans="1:24">
      <c r="A10128">
        <f>HYPERLINK("https://www.philgeps.gov.ph/GEPSNONPILOT/Tender/SplashBidNoticeAbstractUI.aspx?menuIndex=3&amp;refID=7027820&amp;Result=3","7027820")</f>
        <v>0</v>
      </c>
      <c r="B10128" t="s">
        <v>1142</v>
      </c>
      <c r="C10128" t="s">
        <v>12749</v>
      </c>
      <c r="D10128" t="s">
        <v>16223</v>
      </c>
      <c r="E10128" t="s">
        <v>25095</v>
      </c>
      <c r="F10128" t="s">
        <v>28200</v>
      </c>
      <c r="G10128" t="s">
        <v>28205</v>
      </c>
      <c r="H10128" t="s">
        <v>28215</v>
      </c>
      <c r="I10128" t="s">
        <v>5100</v>
      </c>
      <c r="J10128" t="s">
        <v>28415</v>
      </c>
      <c r="K10128" t="s">
        <v>36777</v>
      </c>
      <c r="M10128" t="s">
        <v>38182</v>
      </c>
      <c r="N10128" t="s">
        <v>40436</v>
      </c>
      <c r="O10128" t="s">
        <v>40437</v>
      </c>
      <c r="P10128">
        <v>0</v>
      </c>
      <c r="Q10128">
        <v>0</v>
      </c>
      <c r="R10128" t="s">
        <v>40450</v>
      </c>
      <c r="S10128" t="s">
        <v>40961</v>
      </c>
      <c r="T10128" t="s">
        <v>42158</v>
      </c>
      <c r="U10128" t="s">
        <v>51066</v>
      </c>
      <c r="W10128" t="s">
        <v>38182</v>
      </c>
      <c r="X10128" t="s">
        <v>40451</v>
      </c>
    </row>
    <row r="10129" spans="1:24">
      <c r="A10129">
        <f>HYPERLINK("https://www.philgeps.gov.ph/GEPSNONPILOT/Tender/SplashBidNoticeAbstractUI.aspx?menuIndex=3&amp;refID=7027934&amp;Result=3","7027934")</f>
        <v>0</v>
      </c>
      <c r="B10129" t="s">
        <v>1460</v>
      </c>
      <c r="C10129" t="s">
        <v>12750</v>
      </c>
      <c r="D10129" t="s">
        <v>16230</v>
      </c>
      <c r="E10129" t="s">
        <v>25096</v>
      </c>
      <c r="F10129" t="s">
        <v>28198</v>
      </c>
      <c r="G10129" t="s">
        <v>28205</v>
      </c>
      <c r="H10129" t="s">
        <v>28214</v>
      </c>
      <c r="I10129" t="s">
        <v>3797</v>
      </c>
      <c r="J10129" t="s">
        <v>29566</v>
      </c>
      <c r="K10129" t="s">
        <v>36697</v>
      </c>
      <c r="M10129" t="s">
        <v>38528</v>
      </c>
      <c r="N10129" t="s">
        <v>40436</v>
      </c>
      <c r="O10129" t="s">
        <v>40437</v>
      </c>
      <c r="P10129">
        <v>0</v>
      </c>
      <c r="Q10129">
        <v>1</v>
      </c>
      <c r="R10129" t="s">
        <v>40450</v>
      </c>
      <c r="S10129" t="s">
        <v>40961</v>
      </c>
      <c r="T10129" t="s">
        <v>42133</v>
      </c>
      <c r="U10129" t="s">
        <v>51067</v>
      </c>
      <c r="W10129" t="s">
        <v>38528</v>
      </c>
      <c r="X10129" t="s">
        <v>40451</v>
      </c>
    </row>
    <row r="10130" spans="1:24">
      <c r="A10130">
        <f>HYPERLINK("https://www.philgeps.gov.ph/GEPSNONPILOT/Tender/SplashBidNoticeAbstractUI.aspx?menuIndex=3&amp;refID=7027853&amp;Result=3","7027853")</f>
        <v>0</v>
      </c>
      <c r="B10130" t="s">
        <v>1142</v>
      </c>
      <c r="C10130" t="s">
        <v>12751</v>
      </c>
      <c r="D10130" t="s">
        <v>16223</v>
      </c>
      <c r="E10130" t="s">
        <v>25097</v>
      </c>
      <c r="F10130" t="s">
        <v>28200</v>
      </c>
      <c r="G10130" t="s">
        <v>28205</v>
      </c>
      <c r="H10130" t="s">
        <v>28215</v>
      </c>
      <c r="I10130" t="s">
        <v>5100</v>
      </c>
      <c r="J10130" t="s">
        <v>34626</v>
      </c>
      <c r="K10130" t="s">
        <v>36715</v>
      </c>
      <c r="M10130" t="s">
        <v>38182</v>
      </c>
      <c r="N10130" t="s">
        <v>40436</v>
      </c>
      <c r="O10130" t="s">
        <v>40437</v>
      </c>
      <c r="P10130">
        <v>0</v>
      </c>
      <c r="Q10130">
        <v>0</v>
      </c>
      <c r="R10130" t="s">
        <v>40450</v>
      </c>
      <c r="S10130" t="s">
        <v>40961</v>
      </c>
      <c r="T10130" t="s">
        <v>42158</v>
      </c>
      <c r="U10130" t="s">
        <v>51068</v>
      </c>
      <c r="W10130" t="s">
        <v>38182</v>
      </c>
      <c r="X10130" t="s">
        <v>40451</v>
      </c>
    </row>
    <row r="10131" spans="1:24">
      <c r="A10131">
        <f>HYPERLINK("https://www.philgeps.gov.ph/GEPSNONPILOT/Tender/SplashBidNoticeAbstractUI.aspx?menuIndex=3&amp;refID=7027992&amp;Result=3","7027992")</f>
        <v>0</v>
      </c>
      <c r="B10131" t="s">
        <v>250</v>
      </c>
      <c r="C10131" t="s">
        <v>12752</v>
      </c>
      <c r="D10131" t="s">
        <v>16190</v>
      </c>
      <c r="E10131" t="s">
        <v>25098</v>
      </c>
      <c r="F10131" t="s">
        <v>28198</v>
      </c>
      <c r="G10131" t="s">
        <v>28205</v>
      </c>
      <c r="H10131" t="s">
        <v>28214</v>
      </c>
      <c r="I10131" t="s">
        <v>3797</v>
      </c>
      <c r="J10131" t="s">
        <v>29163</v>
      </c>
      <c r="K10131" t="s">
        <v>36725</v>
      </c>
      <c r="M10131" t="s">
        <v>37226</v>
      </c>
      <c r="N10131" t="s">
        <v>40436</v>
      </c>
      <c r="O10131" t="s">
        <v>40437</v>
      </c>
      <c r="P10131">
        <v>0</v>
      </c>
      <c r="Q10131">
        <v>6</v>
      </c>
      <c r="R10131" t="s">
        <v>40450</v>
      </c>
      <c r="S10131" t="s">
        <v>40961</v>
      </c>
      <c r="T10131" t="s">
        <v>42279</v>
      </c>
      <c r="U10131" t="s">
        <v>51069</v>
      </c>
      <c r="W10131" t="s">
        <v>37226</v>
      </c>
      <c r="X10131" t="s">
        <v>40451</v>
      </c>
    </row>
    <row r="10132" spans="1:24">
      <c r="A10132">
        <f>HYPERLINK("https://www.philgeps.gov.ph/GEPSNONPILOT/Tender/SplashBidNoticeAbstractUI.aspx?menuIndex=3&amp;refID=7027982&amp;Result=3","7027982")</f>
        <v>0</v>
      </c>
      <c r="B10132" t="s">
        <v>161</v>
      </c>
      <c r="C10132" t="s">
        <v>12753</v>
      </c>
      <c r="D10132" t="s">
        <v>16235</v>
      </c>
      <c r="E10132" t="s">
        <v>25099</v>
      </c>
      <c r="F10132" t="s">
        <v>28198</v>
      </c>
      <c r="G10132" t="s">
        <v>28205</v>
      </c>
      <c r="H10132" t="s">
        <v>28214</v>
      </c>
      <c r="I10132" t="s">
        <v>3797</v>
      </c>
      <c r="J10132" t="s">
        <v>28398</v>
      </c>
      <c r="K10132" t="s">
        <v>36694</v>
      </c>
      <c r="M10132" t="s">
        <v>37135</v>
      </c>
      <c r="N10132" t="s">
        <v>40436</v>
      </c>
      <c r="O10132" t="s">
        <v>40437</v>
      </c>
      <c r="P10132">
        <v>0</v>
      </c>
      <c r="Q10132">
        <v>0</v>
      </c>
      <c r="R10132" t="s">
        <v>40450</v>
      </c>
      <c r="S10132" t="s">
        <v>40961</v>
      </c>
      <c r="T10132" t="s">
        <v>42100</v>
      </c>
      <c r="U10132" t="s">
        <v>51070</v>
      </c>
      <c r="W10132" t="s">
        <v>37135</v>
      </c>
      <c r="X10132" t="s">
        <v>40451</v>
      </c>
    </row>
    <row r="10133" spans="1:24">
      <c r="A10133">
        <f>HYPERLINK("https://www.philgeps.gov.ph/GEPSNONPILOT/Tender/SplashBidNoticeAbstractUI.aspx?menuIndex=3&amp;refID=7027959&amp;Result=3","7027959")</f>
        <v>0</v>
      </c>
      <c r="B10133" t="s">
        <v>294</v>
      </c>
      <c r="C10133" t="s">
        <v>12754</v>
      </c>
      <c r="D10133" t="s">
        <v>16213</v>
      </c>
      <c r="E10133" t="s">
        <v>16522</v>
      </c>
      <c r="F10133" t="s">
        <v>28198</v>
      </c>
      <c r="G10133" t="s">
        <v>28205</v>
      </c>
      <c r="H10133" t="s">
        <v>28214</v>
      </c>
      <c r="I10133" t="s">
        <v>3797</v>
      </c>
      <c r="J10133" t="s">
        <v>28351</v>
      </c>
      <c r="K10133" t="s">
        <v>36809</v>
      </c>
      <c r="M10133" t="s">
        <v>37271</v>
      </c>
      <c r="N10133" t="s">
        <v>40436</v>
      </c>
      <c r="O10133" t="s">
        <v>40437</v>
      </c>
      <c r="P10133">
        <v>0</v>
      </c>
      <c r="Q10133">
        <v>2</v>
      </c>
      <c r="R10133" t="s">
        <v>40450</v>
      </c>
      <c r="S10133" t="s">
        <v>40961</v>
      </c>
      <c r="T10133" t="s">
        <v>42279</v>
      </c>
      <c r="U10133" t="s">
        <v>51071</v>
      </c>
      <c r="W10133" t="s">
        <v>37271</v>
      </c>
      <c r="X10133" t="s">
        <v>40451</v>
      </c>
    </row>
    <row r="10134" spans="1:24">
      <c r="A10134">
        <f>HYPERLINK("https://www.philgeps.gov.ph/GEPSNONPILOT/Tender/SplashBidNoticeAbstractUI.aspx?menuIndex=3&amp;refID=7027970&amp;Result=3","7027970")</f>
        <v>0</v>
      </c>
      <c r="B10134" t="s">
        <v>161</v>
      </c>
      <c r="C10134" t="s">
        <v>12755</v>
      </c>
      <c r="D10134" t="s">
        <v>16235</v>
      </c>
      <c r="E10134" t="s">
        <v>25100</v>
      </c>
      <c r="F10134" t="s">
        <v>28198</v>
      </c>
      <c r="G10134" t="s">
        <v>28205</v>
      </c>
      <c r="H10134" t="s">
        <v>28214</v>
      </c>
      <c r="I10134" t="s">
        <v>3797</v>
      </c>
      <c r="J10134" t="s">
        <v>28363</v>
      </c>
      <c r="K10134" t="s">
        <v>36694</v>
      </c>
      <c r="M10134" t="s">
        <v>37135</v>
      </c>
      <c r="N10134" t="s">
        <v>40436</v>
      </c>
      <c r="O10134" t="s">
        <v>40437</v>
      </c>
      <c r="P10134">
        <v>0</v>
      </c>
      <c r="Q10134">
        <v>0</v>
      </c>
      <c r="R10134" t="s">
        <v>40450</v>
      </c>
      <c r="S10134" t="s">
        <v>40961</v>
      </c>
      <c r="T10134" t="s">
        <v>42100</v>
      </c>
      <c r="U10134" t="s">
        <v>51072</v>
      </c>
      <c r="W10134" t="s">
        <v>37135</v>
      </c>
      <c r="X10134" t="s">
        <v>40451</v>
      </c>
    </row>
    <row r="10135" spans="1:24">
      <c r="A10135">
        <f>HYPERLINK("https://www.philgeps.gov.ph/GEPSNONPILOT/Tender/SplashBidNoticeAbstractUI.aspx?menuIndex=3&amp;refID=7027892&amp;Result=3","7027892")</f>
        <v>0</v>
      </c>
      <c r="B10135" t="s">
        <v>1142</v>
      </c>
      <c r="C10135" t="s">
        <v>12756</v>
      </c>
      <c r="D10135" t="s">
        <v>16223</v>
      </c>
      <c r="E10135" t="s">
        <v>22380</v>
      </c>
      <c r="F10135" t="s">
        <v>28200</v>
      </c>
      <c r="G10135" t="s">
        <v>28205</v>
      </c>
      <c r="H10135" t="s">
        <v>28215</v>
      </c>
      <c r="I10135" t="s">
        <v>5100</v>
      </c>
      <c r="J10135" t="s">
        <v>28415</v>
      </c>
      <c r="K10135" t="s">
        <v>36701</v>
      </c>
      <c r="M10135" t="s">
        <v>38182</v>
      </c>
      <c r="N10135" t="s">
        <v>40436</v>
      </c>
      <c r="O10135" t="s">
        <v>40437</v>
      </c>
      <c r="P10135">
        <v>0</v>
      </c>
      <c r="Q10135">
        <v>0</v>
      </c>
      <c r="R10135" t="s">
        <v>40450</v>
      </c>
      <c r="S10135" t="s">
        <v>40961</v>
      </c>
      <c r="T10135" t="s">
        <v>42158</v>
      </c>
      <c r="U10135" t="s">
        <v>51073</v>
      </c>
      <c r="W10135" t="s">
        <v>38182</v>
      </c>
      <c r="X10135" t="s">
        <v>40451</v>
      </c>
    </row>
    <row r="10136" spans="1:24">
      <c r="A10136">
        <f>HYPERLINK("https://www.philgeps.gov.ph/GEPSNONPILOT/Tender/SplashBidNoticeAbstractUI.aspx?menuIndex=3&amp;refID=7027957&amp;Result=3","7027957")</f>
        <v>0</v>
      </c>
      <c r="B10136" t="s">
        <v>161</v>
      </c>
      <c r="C10136" t="s">
        <v>12757</v>
      </c>
      <c r="D10136" t="s">
        <v>16235</v>
      </c>
      <c r="E10136" t="s">
        <v>25101</v>
      </c>
      <c r="F10136" t="s">
        <v>28198</v>
      </c>
      <c r="G10136" t="s">
        <v>28205</v>
      </c>
      <c r="H10136" t="s">
        <v>28214</v>
      </c>
      <c r="I10136" t="s">
        <v>3797</v>
      </c>
      <c r="J10136" t="s">
        <v>28363</v>
      </c>
      <c r="K10136" t="s">
        <v>36694</v>
      </c>
      <c r="M10136" t="s">
        <v>37135</v>
      </c>
      <c r="N10136" t="s">
        <v>40436</v>
      </c>
      <c r="O10136" t="s">
        <v>40437</v>
      </c>
      <c r="P10136">
        <v>0</v>
      </c>
      <c r="Q10136">
        <v>1</v>
      </c>
      <c r="R10136" t="s">
        <v>40450</v>
      </c>
      <c r="S10136" t="s">
        <v>40961</v>
      </c>
      <c r="T10136" t="s">
        <v>42100</v>
      </c>
      <c r="U10136" t="s">
        <v>51074</v>
      </c>
      <c r="W10136" t="s">
        <v>37135</v>
      </c>
      <c r="X10136" t="s">
        <v>40451</v>
      </c>
    </row>
    <row r="10137" spans="1:24">
      <c r="A10137">
        <f>HYPERLINK("https://www.philgeps.gov.ph/GEPSNONPILOT/Tender/SplashBidNoticeAbstractUI.aspx?menuIndex=3&amp;refID=7027872&amp;Result=3","7027872")</f>
        <v>0</v>
      </c>
      <c r="B10137" t="s">
        <v>2295</v>
      </c>
      <c r="C10137" t="s">
        <v>12758</v>
      </c>
      <c r="D10137" t="s">
        <v>16222</v>
      </c>
      <c r="E10137" t="s">
        <v>25102</v>
      </c>
      <c r="F10137" t="s">
        <v>28200</v>
      </c>
      <c r="G10137" t="s">
        <v>28207</v>
      </c>
      <c r="H10137" t="s">
        <v>28215</v>
      </c>
      <c r="I10137" t="s">
        <v>5100</v>
      </c>
      <c r="J10137" t="s">
        <v>29453</v>
      </c>
      <c r="K10137" t="s">
        <v>36688</v>
      </c>
      <c r="M10137" t="s">
        <v>39470</v>
      </c>
      <c r="N10137" t="s">
        <v>40436</v>
      </c>
      <c r="O10137" t="s">
        <v>40437</v>
      </c>
      <c r="P10137">
        <v>0</v>
      </c>
      <c r="Q10137">
        <v>1</v>
      </c>
      <c r="R10137" t="s">
        <v>40450</v>
      </c>
      <c r="S10137" t="s">
        <v>40961</v>
      </c>
      <c r="T10137" t="s">
        <v>42161</v>
      </c>
      <c r="U10137" t="s">
        <v>51075</v>
      </c>
      <c r="V10137" t="s">
        <v>54564</v>
      </c>
      <c r="W10137" t="s">
        <v>39470</v>
      </c>
      <c r="X10137" t="s">
        <v>40451</v>
      </c>
    </row>
    <row r="10138" spans="1:24">
      <c r="A10138">
        <f>HYPERLINK("https://www.philgeps.gov.ph/GEPSNONPILOT/Tender/SplashBidNoticeAbstractUI.aspx?menuIndex=3&amp;refID=7027914&amp;Result=3","7027914")</f>
        <v>0</v>
      </c>
      <c r="B10138" t="s">
        <v>294</v>
      </c>
      <c r="C10138" t="s">
        <v>12759</v>
      </c>
      <c r="E10138" t="s">
        <v>16322</v>
      </c>
      <c r="F10138" t="s">
        <v>28198</v>
      </c>
      <c r="G10138" t="s">
        <v>28205</v>
      </c>
      <c r="H10138" t="s">
        <v>28214</v>
      </c>
      <c r="I10138" t="s">
        <v>3797</v>
      </c>
      <c r="J10138" t="s">
        <v>28390</v>
      </c>
      <c r="K10138" t="s">
        <v>36817</v>
      </c>
      <c r="M10138" t="s">
        <v>37271</v>
      </c>
      <c r="N10138" t="s">
        <v>40436</v>
      </c>
      <c r="O10138" t="s">
        <v>40437</v>
      </c>
      <c r="P10138">
        <v>0</v>
      </c>
      <c r="Q10138">
        <v>2</v>
      </c>
      <c r="R10138" t="s">
        <v>40450</v>
      </c>
      <c r="S10138" t="s">
        <v>40961</v>
      </c>
      <c r="T10138" t="s">
        <v>42244</v>
      </c>
      <c r="U10138" t="s">
        <v>51076</v>
      </c>
      <c r="W10138" t="s">
        <v>37271</v>
      </c>
      <c r="X10138" t="s">
        <v>40451</v>
      </c>
    </row>
    <row r="10139" spans="1:24">
      <c r="A10139">
        <f>HYPERLINK("https://www.philgeps.gov.ph/GEPSNONPILOT/Tender/SplashBidNoticeAbstractUI.aspx?menuIndex=3&amp;refID=7027916&amp;Result=3","7027916")</f>
        <v>0</v>
      </c>
      <c r="B10139" t="s">
        <v>1142</v>
      </c>
      <c r="C10139" t="s">
        <v>12760</v>
      </c>
      <c r="D10139" t="s">
        <v>16223</v>
      </c>
      <c r="E10139" t="s">
        <v>25103</v>
      </c>
      <c r="F10139" t="s">
        <v>28200</v>
      </c>
      <c r="G10139" t="s">
        <v>28205</v>
      </c>
      <c r="H10139" t="s">
        <v>28215</v>
      </c>
      <c r="I10139" t="s">
        <v>5100</v>
      </c>
      <c r="J10139" t="s">
        <v>28415</v>
      </c>
      <c r="K10139" t="s">
        <v>36697</v>
      </c>
      <c r="M10139" t="s">
        <v>38182</v>
      </c>
      <c r="N10139" t="s">
        <v>40436</v>
      </c>
      <c r="O10139" t="s">
        <v>40437</v>
      </c>
      <c r="P10139">
        <v>0</v>
      </c>
      <c r="Q10139">
        <v>0</v>
      </c>
      <c r="R10139" t="s">
        <v>40450</v>
      </c>
      <c r="S10139" t="s">
        <v>40961</v>
      </c>
      <c r="T10139" t="s">
        <v>42158</v>
      </c>
      <c r="U10139" t="s">
        <v>51073</v>
      </c>
      <c r="W10139" t="s">
        <v>38182</v>
      </c>
      <c r="X10139" t="s">
        <v>40451</v>
      </c>
    </row>
    <row r="10140" spans="1:24">
      <c r="A10140">
        <f>HYPERLINK("https://www.philgeps.gov.ph/GEPSNONPILOT/Tender/SplashBidNoticeAbstractUI.aspx?menuIndex=3&amp;refID=7027871&amp;Result=3","7027871")</f>
        <v>0</v>
      </c>
      <c r="B10140" t="s">
        <v>757</v>
      </c>
      <c r="C10140" t="s">
        <v>12761</v>
      </c>
      <c r="E10140" t="s">
        <v>25104</v>
      </c>
      <c r="F10140" t="s">
        <v>28198</v>
      </c>
      <c r="G10140" t="s">
        <v>28205</v>
      </c>
      <c r="H10140" t="s">
        <v>28215</v>
      </c>
      <c r="I10140" t="s">
        <v>28234</v>
      </c>
      <c r="J10140" t="s">
        <v>32104</v>
      </c>
      <c r="K10140" t="s">
        <v>36689</v>
      </c>
      <c r="M10140" t="s">
        <v>37760</v>
      </c>
      <c r="N10140" t="s">
        <v>40436</v>
      </c>
      <c r="O10140" t="s">
        <v>40437</v>
      </c>
      <c r="Q10140">
        <v>19</v>
      </c>
      <c r="R10140" t="s">
        <v>40450</v>
      </c>
      <c r="S10140" t="s">
        <v>40972</v>
      </c>
      <c r="T10140" t="s">
        <v>42292</v>
      </c>
      <c r="U10140" t="s">
        <v>51077</v>
      </c>
      <c r="W10140" t="s">
        <v>55460</v>
      </c>
      <c r="X10140" t="s">
        <v>40451</v>
      </c>
    </row>
    <row r="10141" spans="1:24">
      <c r="A10141">
        <f>HYPERLINK("https://www.philgeps.gov.ph/GEPSNONPILOT/Tender/SplashBidNoticeAbstractUI.aspx?menuIndex=3&amp;refID=7027915&amp;Result=3","7027915")</f>
        <v>0</v>
      </c>
      <c r="B10141" t="s">
        <v>2775</v>
      </c>
      <c r="C10141" t="s">
        <v>12762</v>
      </c>
      <c r="D10141" t="s">
        <v>16199</v>
      </c>
      <c r="E10141" t="s">
        <v>25105</v>
      </c>
      <c r="F10141" t="s">
        <v>28198</v>
      </c>
      <c r="G10141" t="s">
        <v>28205</v>
      </c>
      <c r="H10141" t="s">
        <v>28214</v>
      </c>
      <c r="I10141" t="s">
        <v>3797</v>
      </c>
      <c r="J10141" t="s">
        <v>28363</v>
      </c>
      <c r="K10141" t="s">
        <v>36701</v>
      </c>
      <c r="M10141" t="s">
        <v>40024</v>
      </c>
      <c r="N10141" t="s">
        <v>40436</v>
      </c>
      <c r="O10141" t="s">
        <v>40437</v>
      </c>
      <c r="P10141">
        <v>0</v>
      </c>
      <c r="Q10141">
        <v>2</v>
      </c>
      <c r="R10141" t="s">
        <v>40450</v>
      </c>
      <c r="S10141" t="s">
        <v>40961</v>
      </c>
      <c r="T10141" t="s">
        <v>42152</v>
      </c>
      <c r="U10141" t="s">
        <v>51078</v>
      </c>
      <c r="W10141" t="s">
        <v>40024</v>
      </c>
      <c r="X10141" t="s">
        <v>40451</v>
      </c>
    </row>
    <row r="10142" spans="1:24">
      <c r="A10142">
        <f>HYPERLINK("https://www.philgeps.gov.ph/GEPSNONPILOT/Tender/SplashBidNoticeAbstractUI.aspx?menuIndex=3&amp;refID=7027762&amp;Result=3","7027762")</f>
        <v>0</v>
      </c>
      <c r="B10142" t="s">
        <v>240</v>
      </c>
      <c r="C10142" t="s">
        <v>12763</v>
      </c>
      <c r="D10142" t="s">
        <v>16249</v>
      </c>
      <c r="E10142" t="s">
        <v>25106</v>
      </c>
      <c r="F10142" t="s">
        <v>28198</v>
      </c>
      <c r="G10142" t="s">
        <v>28205</v>
      </c>
      <c r="H10142" t="s">
        <v>28214</v>
      </c>
      <c r="I10142" t="s">
        <v>3797</v>
      </c>
      <c r="J10142" t="s">
        <v>29409</v>
      </c>
      <c r="K10142" t="s">
        <v>36690</v>
      </c>
      <c r="M10142" t="s">
        <v>37216</v>
      </c>
      <c r="N10142" t="s">
        <v>40436</v>
      </c>
      <c r="O10142" t="s">
        <v>40437</v>
      </c>
      <c r="P10142">
        <v>0</v>
      </c>
      <c r="Q10142">
        <v>47</v>
      </c>
      <c r="R10142" t="s">
        <v>40450</v>
      </c>
      <c r="S10142" t="s">
        <v>40961</v>
      </c>
      <c r="T10142" t="s">
        <v>42168</v>
      </c>
      <c r="U10142" t="s">
        <v>51079</v>
      </c>
      <c r="W10142" t="s">
        <v>37216</v>
      </c>
      <c r="X10142" t="s">
        <v>40451</v>
      </c>
    </row>
    <row r="10143" spans="1:24">
      <c r="A10143">
        <f>HYPERLINK("https://www.philgeps.gov.ph/GEPSNONPILOT/Tender/SplashBidNoticeAbstractUI.aspx?menuIndex=3&amp;refID=7027994&amp;Result=3","7027994")</f>
        <v>0</v>
      </c>
      <c r="B10143" t="s">
        <v>161</v>
      </c>
      <c r="C10143" t="s">
        <v>12764</v>
      </c>
      <c r="D10143" t="s">
        <v>16235</v>
      </c>
      <c r="E10143" t="s">
        <v>25107</v>
      </c>
      <c r="F10143" t="s">
        <v>28198</v>
      </c>
      <c r="G10143" t="s">
        <v>28205</v>
      </c>
      <c r="H10143" t="s">
        <v>28214</v>
      </c>
      <c r="I10143" t="s">
        <v>3797</v>
      </c>
      <c r="J10143" t="s">
        <v>28398</v>
      </c>
      <c r="K10143" t="s">
        <v>36694</v>
      </c>
      <c r="M10143" t="s">
        <v>37135</v>
      </c>
      <c r="N10143" t="s">
        <v>40436</v>
      </c>
      <c r="O10143" t="s">
        <v>40437</v>
      </c>
      <c r="P10143">
        <v>0</v>
      </c>
      <c r="Q10143">
        <v>0</v>
      </c>
      <c r="R10143" t="s">
        <v>40450</v>
      </c>
      <c r="S10143" t="s">
        <v>40961</v>
      </c>
      <c r="T10143" t="s">
        <v>42100</v>
      </c>
      <c r="U10143" t="s">
        <v>51070</v>
      </c>
      <c r="W10143" t="s">
        <v>37135</v>
      </c>
      <c r="X10143" t="s">
        <v>40451</v>
      </c>
    </row>
    <row r="10144" spans="1:24">
      <c r="A10144">
        <f>HYPERLINK("https://www.philgeps.gov.ph/GEPSNONPILOT/Tender/SplashBidNoticeAbstractUI.aspx?menuIndex=3&amp;refID=7027868&amp;Result=3","7027868")</f>
        <v>0</v>
      </c>
      <c r="B10144" t="s">
        <v>161</v>
      </c>
      <c r="C10144" t="s">
        <v>12765</v>
      </c>
      <c r="D10144" t="s">
        <v>16235</v>
      </c>
      <c r="E10144" t="s">
        <v>25108</v>
      </c>
      <c r="F10144" t="s">
        <v>28198</v>
      </c>
      <c r="G10144" t="s">
        <v>28205</v>
      </c>
      <c r="H10144" t="s">
        <v>28214</v>
      </c>
      <c r="I10144" t="s">
        <v>3797</v>
      </c>
      <c r="J10144" t="s">
        <v>29163</v>
      </c>
      <c r="K10144" t="s">
        <v>36902</v>
      </c>
      <c r="M10144" t="s">
        <v>37135</v>
      </c>
      <c r="N10144" t="s">
        <v>40436</v>
      </c>
      <c r="O10144" t="s">
        <v>40437</v>
      </c>
      <c r="P10144">
        <v>0</v>
      </c>
      <c r="Q10144">
        <v>0</v>
      </c>
      <c r="R10144" t="s">
        <v>40450</v>
      </c>
      <c r="S10144" t="s">
        <v>40961</v>
      </c>
      <c r="T10144" t="s">
        <v>42100</v>
      </c>
      <c r="U10144" t="s">
        <v>51049</v>
      </c>
      <c r="W10144" t="s">
        <v>37135</v>
      </c>
      <c r="X10144" t="s">
        <v>40451</v>
      </c>
    </row>
    <row r="10145" spans="1:24">
      <c r="A10145">
        <f>HYPERLINK("https://www.philgeps.gov.ph/GEPSNONPILOT/Tender/SplashBidNoticeAbstractUI.aspx?menuIndex=3&amp;refID=7028009&amp;Result=3","7028009")</f>
        <v>0</v>
      </c>
      <c r="B10145" t="s">
        <v>161</v>
      </c>
      <c r="C10145" t="s">
        <v>12766</v>
      </c>
      <c r="D10145" t="s">
        <v>16235</v>
      </c>
      <c r="E10145" t="s">
        <v>25109</v>
      </c>
      <c r="F10145" t="s">
        <v>28198</v>
      </c>
      <c r="G10145" t="s">
        <v>28205</v>
      </c>
      <c r="H10145" t="s">
        <v>28214</v>
      </c>
      <c r="I10145" t="s">
        <v>3797</v>
      </c>
      <c r="J10145" t="s">
        <v>28393</v>
      </c>
      <c r="K10145" t="s">
        <v>36694</v>
      </c>
      <c r="M10145" t="s">
        <v>37135</v>
      </c>
      <c r="N10145" t="s">
        <v>40436</v>
      </c>
      <c r="O10145" t="s">
        <v>40437</v>
      </c>
      <c r="P10145">
        <v>0</v>
      </c>
      <c r="Q10145">
        <v>0</v>
      </c>
      <c r="R10145" t="s">
        <v>40450</v>
      </c>
      <c r="S10145" t="s">
        <v>40961</v>
      </c>
      <c r="T10145" t="s">
        <v>42100</v>
      </c>
      <c r="U10145" t="s">
        <v>51080</v>
      </c>
      <c r="W10145" t="s">
        <v>37135</v>
      </c>
      <c r="X10145" t="s">
        <v>40451</v>
      </c>
    </row>
    <row r="10146" spans="1:24">
      <c r="A10146">
        <f>HYPERLINK("https://www.philgeps.gov.ph/GEPSNONPILOT/Tender/SplashBidNoticeAbstractUI.aspx?menuIndex=3&amp;refID=7028000&amp;Result=3","7028000")</f>
        <v>0</v>
      </c>
      <c r="B10146" t="s">
        <v>1142</v>
      </c>
      <c r="C10146" t="s">
        <v>12767</v>
      </c>
      <c r="D10146" t="s">
        <v>16223</v>
      </c>
      <c r="E10146" t="s">
        <v>23372</v>
      </c>
      <c r="F10146" t="s">
        <v>28200</v>
      </c>
      <c r="G10146" t="s">
        <v>28205</v>
      </c>
      <c r="H10146" t="s">
        <v>28215</v>
      </c>
      <c r="I10146" t="s">
        <v>5100</v>
      </c>
      <c r="J10146" t="s">
        <v>28398</v>
      </c>
      <c r="K10146" t="s">
        <v>36697</v>
      </c>
      <c r="M10146" t="s">
        <v>38182</v>
      </c>
      <c r="N10146" t="s">
        <v>40436</v>
      </c>
      <c r="O10146" t="s">
        <v>40437</v>
      </c>
      <c r="P10146">
        <v>0</v>
      </c>
      <c r="Q10146">
        <v>0</v>
      </c>
      <c r="R10146" t="s">
        <v>40450</v>
      </c>
      <c r="S10146" t="s">
        <v>40961</v>
      </c>
      <c r="T10146" t="s">
        <v>42158</v>
      </c>
      <c r="U10146" t="s">
        <v>51081</v>
      </c>
      <c r="W10146" t="s">
        <v>38182</v>
      </c>
      <c r="X10146" t="s">
        <v>40451</v>
      </c>
    </row>
    <row r="10147" spans="1:24">
      <c r="A10147">
        <f>HYPERLINK("https://www.philgeps.gov.ph/GEPSNONPILOT/Tender/SplashBidNoticeAbstractUI.aspx?menuIndex=3&amp;refID=7027962&amp;Result=3","7027962")</f>
        <v>0</v>
      </c>
      <c r="B10147" t="s">
        <v>250</v>
      </c>
      <c r="C10147" t="s">
        <v>12768</v>
      </c>
      <c r="D10147" t="s">
        <v>16190</v>
      </c>
      <c r="E10147" t="s">
        <v>25110</v>
      </c>
      <c r="F10147" t="s">
        <v>28198</v>
      </c>
      <c r="G10147" t="s">
        <v>28205</v>
      </c>
      <c r="H10147" t="s">
        <v>28214</v>
      </c>
      <c r="I10147" t="s">
        <v>3797</v>
      </c>
      <c r="J10147" t="s">
        <v>34627</v>
      </c>
      <c r="K10147" t="s">
        <v>36804</v>
      </c>
      <c r="M10147" t="s">
        <v>37226</v>
      </c>
      <c r="N10147" t="s">
        <v>40436</v>
      </c>
      <c r="O10147" t="s">
        <v>40437</v>
      </c>
      <c r="P10147">
        <v>0</v>
      </c>
      <c r="Q10147">
        <v>10</v>
      </c>
      <c r="R10147" t="s">
        <v>40450</v>
      </c>
      <c r="S10147" t="s">
        <v>40961</v>
      </c>
      <c r="T10147" t="s">
        <v>42279</v>
      </c>
      <c r="U10147" t="s">
        <v>51082</v>
      </c>
      <c r="W10147" t="s">
        <v>37226</v>
      </c>
      <c r="X10147" t="s">
        <v>40451</v>
      </c>
    </row>
    <row r="10148" spans="1:24">
      <c r="A10148">
        <f>HYPERLINK("https://www.philgeps.gov.ph/GEPSNONPILOT/Tender/SplashBidNoticeAbstractUI.aspx?menuIndex=3&amp;refID=7028010&amp;Result=3","7028010")</f>
        <v>0</v>
      </c>
      <c r="B10148" t="s">
        <v>1379</v>
      </c>
      <c r="C10148" t="s">
        <v>12769</v>
      </c>
      <c r="D10148" t="s">
        <v>16199</v>
      </c>
      <c r="E10148" t="s">
        <v>25111</v>
      </c>
      <c r="F10148" t="s">
        <v>28198</v>
      </c>
      <c r="G10148" t="s">
        <v>28205</v>
      </c>
      <c r="H10148" t="s">
        <v>28215</v>
      </c>
      <c r="I10148" t="s">
        <v>28243</v>
      </c>
      <c r="J10148" t="s">
        <v>34628</v>
      </c>
      <c r="K10148" t="s">
        <v>36688</v>
      </c>
      <c r="M10148" t="s">
        <v>38443</v>
      </c>
      <c r="N10148" t="s">
        <v>40436</v>
      </c>
      <c r="O10148" t="s">
        <v>40437</v>
      </c>
      <c r="P10148">
        <v>0</v>
      </c>
      <c r="Q10148">
        <v>3</v>
      </c>
      <c r="R10148" t="s">
        <v>40450</v>
      </c>
      <c r="S10148" t="s">
        <v>40961</v>
      </c>
      <c r="T10148" t="s">
        <v>42240</v>
      </c>
      <c r="U10148" t="s">
        <v>51083</v>
      </c>
      <c r="W10148" t="s">
        <v>38443</v>
      </c>
      <c r="X10148" t="s">
        <v>40451</v>
      </c>
    </row>
    <row r="10149" spans="1:24">
      <c r="A10149">
        <f>HYPERLINK("https://www.philgeps.gov.ph/GEPSNONPILOT/Tender/SplashBidNoticeAbstractUI.aspx?menuIndex=3&amp;refID=7028001&amp;Result=3","7028001")</f>
        <v>0</v>
      </c>
      <c r="B10149" t="s">
        <v>161</v>
      </c>
      <c r="C10149" t="s">
        <v>12770</v>
      </c>
      <c r="D10149" t="s">
        <v>16235</v>
      </c>
      <c r="E10149" t="s">
        <v>25112</v>
      </c>
      <c r="F10149" t="s">
        <v>28198</v>
      </c>
      <c r="G10149" t="s">
        <v>28205</v>
      </c>
      <c r="H10149" t="s">
        <v>28214</v>
      </c>
      <c r="I10149" t="s">
        <v>3797</v>
      </c>
      <c r="J10149" t="s">
        <v>28393</v>
      </c>
      <c r="K10149" t="s">
        <v>36694</v>
      </c>
      <c r="M10149" t="s">
        <v>37135</v>
      </c>
      <c r="N10149" t="s">
        <v>40436</v>
      </c>
      <c r="O10149" t="s">
        <v>40437</v>
      </c>
      <c r="P10149">
        <v>0</v>
      </c>
      <c r="Q10149">
        <v>0</v>
      </c>
      <c r="R10149" t="s">
        <v>40450</v>
      </c>
      <c r="S10149" t="s">
        <v>40961</v>
      </c>
      <c r="T10149" t="s">
        <v>42100</v>
      </c>
      <c r="U10149" t="s">
        <v>51080</v>
      </c>
      <c r="W10149" t="s">
        <v>37135</v>
      </c>
      <c r="X10149" t="s">
        <v>40451</v>
      </c>
    </row>
    <row r="10150" spans="1:24">
      <c r="A10150">
        <f>HYPERLINK("https://www.philgeps.gov.ph/GEPSNONPILOT/Tender/SplashBidNoticeAbstractUI.aspx?menuIndex=3&amp;refID=7028121&amp;Result=3","7028121")</f>
        <v>0</v>
      </c>
      <c r="B10150" t="s">
        <v>1319</v>
      </c>
      <c r="C10150" t="s">
        <v>12771</v>
      </c>
      <c r="D10150" t="s">
        <v>16265</v>
      </c>
      <c r="E10150" t="s">
        <v>25113</v>
      </c>
      <c r="F10150" t="s">
        <v>28198</v>
      </c>
      <c r="G10150" t="s">
        <v>28205</v>
      </c>
      <c r="H10150" t="s">
        <v>28214</v>
      </c>
      <c r="I10150" t="s">
        <v>3797</v>
      </c>
      <c r="J10150" t="s">
        <v>28363</v>
      </c>
      <c r="K10150" t="s">
        <v>36827</v>
      </c>
      <c r="M10150" t="s">
        <v>38377</v>
      </c>
      <c r="N10150" t="s">
        <v>40436</v>
      </c>
      <c r="O10150" t="s">
        <v>40437</v>
      </c>
      <c r="P10150">
        <v>0</v>
      </c>
      <c r="Q10150">
        <v>0</v>
      </c>
      <c r="R10150" t="s">
        <v>40450</v>
      </c>
      <c r="S10150" t="s">
        <v>40961</v>
      </c>
      <c r="T10150" t="s">
        <v>42346</v>
      </c>
      <c r="U10150" t="s">
        <v>51084</v>
      </c>
      <c r="W10150" t="s">
        <v>38377</v>
      </c>
      <c r="X10150" t="s">
        <v>40451</v>
      </c>
    </row>
    <row r="10151" spans="1:24">
      <c r="A10151">
        <f>HYPERLINK("https://www.philgeps.gov.ph/GEPSNONPILOT/Tender/SplashBidNoticeAbstractUI.aspx?menuIndex=3&amp;refID=7028013&amp;Result=3","7028013")</f>
        <v>0</v>
      </c>
      <c r="B10151" t="s">
        <v>250</v>
      </c>
      <c r="C10151" t="s">
        <v>12772</v>
      </c>
      <c r="D10151" t="s">
        <v>16190</v>
      </c>
      <c r="E10151" t="s">
        <v>25114</v>
      </c>
      <c r="F10151" t="s">
        <v>28198</v>
      </c>
      <c r="G10151" t="s">
        <v>28205</v>
      </c>
      <c r="H10151" t="s">
        <v>28214</v>
      </c>
      <c r="I10151" t="s">
        <v>3797</v>
      </c>
      <c r="J10151" t="s">
        <v>29163</v>
      </c>
      <c r="K10151" t="s">
        <v>36725</v>
      </c>
      <c r="M10151" t="s">
        <v>37226</v>
      </c>
      <c r="N10151" t="s">
        <v>40436</v>
      </c>
      <c r="O10151" t="s">
        <v>40437</v>
      </c>
      <c r="P10151">
        <v>0</v>
      </c>
      <c r="Q10151">
        <v>8</v>
      </c>
      <c r="R10151" t="s">
        <v>40450</v>
      </c>
      <c r="S10151" t="s">
        <v>40961</v>
      </c>
      <c r="T10151" t="s">
        <v>42279</v>
      </c>
      <c r="U10151" t="s">
        <v>51085</v>
      </c>
      <c r="W10151" t="s">
        <v>37226</v>
      </c>
      <c r="X10151" t="s">
        <v>40451</v>
      </c>
    </row>
    <row r="10152" spans="1:24">
      <c r="A10152">
        <f>HYPERLINK("https://www.philgeps.gov.ph/GEPSNONPILOT/Tender/SplashBidNoticeAbstractUI.aspx?menuIndex=3&amp;refID=7028075&amp;Result=3","7028075")</f>
        <v>0</v>
      </c>
      <c r="B10152" t="s">
        <v>161</v>
      </c>
      <c r="C10152" t="s">
        <v>12773</v>
      </c>
      <c r="D10152" t="s">
        <v>16235</v>
      </c>
      <c r="E10152" t="s">
        <v>25115</v>
      </c>
      <c r="F10152" t="s">
        <v>28198</v>
      </c>
      <c r="G10152" t="s">
        <v>28205</v>
      </c>
      <c r="H10152" t="s">
        <v>28214</v>
      </c>
      <c r="I10152" t="s">
        <v>3797</v>
      </c>
      <c r="J10152" t="s">
        <v>28361</v>
      </c>
      <c r="K10152" t="s">
        <v>36694</v>
      </c>
      <c r="M10152" t="s">
        <v>37135</v>
      </c>
      <c r="N10152" t="s">
        <v>40436</v>
      </c>
      <c r="O10152" t="s">
        <v>40437</v>
      </c>
      <c r="P10152">
        <v>0</v>
      </c>
      <c r="Q10152">
        <v>0</v>
      </c>
      <c r="R10152" t="s">
        <v>40450</v>
      </c>
      <c r="S10152" t="s">
        <v>40961</v>
      </c>
      <c r="T10152" t="s">
        <v>42100</v>
      </c>
      <c r="U10152" t="s">
        <v>51086</v>
      </c>
      <c r="W10152" t="s">
        <v>37135</v>
      </c>
      <c r="X10152" t="s">
        <v>40451</v>
      </c>
    </row>
    <row r="10153" spans="1:24">
      <c r="A10153">
        <f>HYPERLINK("https://www.philgeps.gov.ph/GEPSNONPILOT/Tender/SplashBidNoticeAbstractUI.aspx?menuIndex=3&amp;refID=7028074&amp;Result=3","7028074")</f>
        <v>0</v>
      </c>
      <c r="B10153" t="s">
        <v>2776</v>
      </c>
      <c r="C10153" t="s">
        <v>12774</v>
      </c>
      <c r="D10153" t="s">
        <v>16207</v>
      </c>
      <c r="E10153" t="s">
        <v>23016</v>
      </c>
      <c r="F10153" t="s">
        <v>28198</v>
      </c>
      <c r="G10153" t="s">
        <v>28205</v>
      </c>
      <c r="H10153" t="s">
        <v>28214</v>
      </c>
      <c r="I10153" t="s">
        <v>3797</v>
      </c>
      <c r="J10153" t="s">
        <v>34629</v>
      </c>
      <c r="K10153" t="s">
        <v>36692</v>
      </c>
      <c r="M10153" t="s">
        <v>40025</v>
      </c>
      <c r="N10153" t="s">
        <v>40436</v>
      </c>
      <c r="O10153" t="s">
        <v>40437</v>
      </c>
      <c r="P10153">
        <v>0</v>
      </c>
      <c r="Q10153">
        <v>4</v>
      </c>
      <c r="R10153" t="s">
        <v>40450</v>
      </c>
      <c r="S10153" t="s">
        <v>40961</v>
      </c>
      <c r="T10153" t="s">
        <v>42337</v>
      </c>
      <c r="U10153" t="s">
        <v>51087</v>
      </c>
      <c r="W10153" t="s">
        <v>40025</v>
      </c>
      <c r="X10153" t="s">
        <v>40451</v>
      </c>
    </row>
    <row r="10154" spans="1:24">
      <c r="A10154">
        <f>HYPERLINK("https://www.philgeps.gov.ph/GEPSNONPILOT/Tender/SplashBidNoticeAbstractUI.aspx?menuIndex=3&amp;refID=7028059&amp;Result=3","7028059")</f>
        <v>0</v>
      </c>
      <c r="B10154" t="s">
        <v>290</v>
      </c>
      <c r="C10154" t="s">
        <v>12775</v>
      </c>
      <c r="D10154" t="s">
        <v>16250</v>
      </c>
      <c r="E10154" t="s">
        <v>25116</v>
      </c>
      <c r="F10154" t="s">
        <v>28198</v>
      </c>
      <c r="G10154" t="s">
        <v>28205</v>
      </c>
      <c r="H10154" t="s">
        <v>28215</v>
      </c>
      <c r="I10154" t="s">
        <v>3797</v>
      </c>
      <c r="J10154" t="s">
        <v>34630</v>
      </c>
      <c r="K10154" t="s">
        <v>36694</v>
      </c>
      <c r="M10154" t="s">
        <v>37267</v>
      </c>
      <c r="N10154" t="s">
        <v>40436</v>
      </c>
      <c r="O10154" t="s">
        <v>40437</v>
      </c>
      <c r="P10154">
        <v>0</v>
      </c>
      <c r="Q10154">
        <v>1</v>
      </c>
      <c r="R10154" t="s">
        <v>40450</v>
      </c>
      <c r="S10154" t="s">
        <v>40961</v>
      </c>
      <c r="T10154" t="s">
        <v>42183</v>
      </c>
      <c r="U10154" t="s">
        <v>51088</v>
      </c>
      <c r="W10154" t="s">
        <v>37267</v>
      </c>
      <c r="X10154" t="s">
        <v>40451</v>
      </c>
    </row>
    <row r="10155" spans="1:24">
      <c r="A10155">
        <f>HYPERLINK("https://www.philgeps.gov.ph/GEPSNONPILOT/Tender/SplashBidNoticeAbstractUI.aspx?menuIndex=3&amp;refID=7028089&amp;Result=3","7028089")</f>
        <v>0</v>
      </c>
      <c r="B10155" t="s">
        <v>2776</v>
      </c>
      <c r="C10155" t="s">
        <v>12776</v>
      </c>
      <c r="D10155" t="s">
        <v>16207</v>
      </c>
      <c r="E10155" t="s">
        <v>25117</v>
      </c>
      <c r="F10155" t="s">
        <v>28198</v>
      </c>
      <c r="G10155" t="s">
        <v>28205</v>
      </c>
      <c r="H10155" t="s">
        <v>28214</v>
      </c>
      <c r="I10155" t="s">
        <v>3797</v>
      </c>
      <c r="J10155" t="s">
        <v>34631</v>
      </c>
      <c r="K10155" t="s">
        <v>36835</v>
      </c>
      <c r="M10155" t="s">
        <v>40025</v>
      </c>
      <c r="N10155" t="s">
        <v>40436</v>
      </c>
      <c r="O10155" t="s">
        <v>40437</v>
      </c>
      <c r="P10155">
        <v>0</v>
      </c>
      <c r="Q10155">
        <v>5</v>
      </c>
      <c r="R10155" t="s">
        <v>40450</v>
      </c>
      <c r="S10155" t="s">
        <v>40961</v>
      </c>
      <c r="T10155" t="s">
        <v>42121</v>
      </c>
      <c r="U10155" t="s">
        <v>51089</v>
      </c>
      <c r="W10155" t="s">
        <v>40025</v>
      </c>
      <c r="X10155" t="s">
        <v>40451</v>
      </c>
    </row>
    <row r="10156" spans="1:24">
      <c r="A10156">
        <f>HYPERLINK("https://www.philgeps.gov.ph/GEPSNONPILOT/Tender/SplashBidNoticeAbstractUI.aspx?menuIndex=3&amp;refID=7028003&amp;Result=3","7028003")</f>
        <v>0</v>
      </c>
      <c r="B10156" t="s">
        <v>2091</v>
      </c>
      <c r="C10156" t="s">
        <v>12777</v>
      </c>
      <c r="D10156" t="s">
        <v>16244</v>
      </c>
      <c r="E10156" t="s">
        <v>25118</v>
      </c>
      <c r="F10156" t="s">
        <v>28198</v>
      </c>
      <c r="G10156" t="s">
        <v>28205</v>
      </c>
      <c r="H10156" t="s">
        <v>28214</v>
      </c>
      <c r="I10156" t="s">
        <v>28284</v>
      </c>
      <c r="J10156" t="s">
        <v>34632</v>
      </c>
      <c r="K10156" t="s">
        <v>36715</v>
      </c>
      <c r="M10156" t="s">
        <v>39240</v>
      </c>
      <c r="N10156" t="s">
        <v>40436</v>
      </c>
      <c r="O10156" t="s">
        <v>40437</v>
      </c>
      <c r="Q10156">
        <v>3</v>
      </c>
      <c r="R10156" t="s">
        <v>40450</v>
      </c>
      <c r="S10156" t="s">
        <v>40973</v>
      </c>
      <c r="T10156" t="s">
        <v>42133</v>
      </c>
      <c r="U10156" t="s">
        <v>48138</v>
      </c>
      <c r="W10156" t="s">
        <v>39240</v>
      </c>
      <c r="X10156" t="s">
        <v>40451</v>
      </c>
    </row>
    <row r="10157" spans="1:24">
      <c r="A10157">
        <f>HYPERLINK("https://www.philgeps.gov.ph/GEPSNONPILOT/Tender/SplashBidNoticeAbstractUI.aspx?menuIndex=3&amp;refID=7028048&amp;Result=3","7028048")</f>
        <v>0</v>
      </c>
      <c r="B10157" t="s">
        <v>161</v>
      </c>
      <c r="C10157" t="s">
        <v>12778</v>
      </c>
      <c r="D10157" t="s">
        <v>16235</v>
      </c>
      <c r="E10157" t="s">
        <v>25119</v>
      </c>
      <c r="F10157" t="s">
        <v>28198</v>
      </c>
      <c r="G10157" t="s">
        <v>28205</v>
      </c>
      <c r="H10157" t="s">
        <v>28214</v>
      </c>
      <c r="I10157" t="s">
        <v>3797</v>
      </c>
      <c r="J10157" t="s">
        <v>28415</v>
      </c>
      <c r="K10157" t="s">
        <v>36694</v>
      </c>
      <c r="M10157" t="s">
        <v>37135</v>
      </c>
      <c r="N10157" t="s">
        <v>40436</v>
      </c>
      <c r="O10157" t="s">
        <v>40437</v>
      </c>
      <c r="P10157">
        <v>0</v>
      </c>
      <c r="Q10157">
        <v>0</v>
      </c>
      <c r="R10157" t="s">
        <v>40450</v>
      </c>
      <c r="S10157" t="s">
        <v>40961</v>
      </c>
      <c r="T10157" t="s">
        <v>42100</v>
      </c>
      <c r="U10157" t="s">
        <v>51090</v>
      </c>
      <c r="W10157" t="s">
        <v>37135</v>
      </c>
      <c r="X10157" t="s">
        <v>40451</v>
      </c>
    </row>
    <row r="10158" spans="1:24">
      <c r="A10158">
        <f>HYPERLINK("https://www.philgeps.gov.ph/GEPSNONPILOT/Tender/SplashBidNoticeAbstractUI.aspx?menuIndex=3&amp;refID=7028037&amp;Result=3","7028037")</f>
        <v>0</v>
      </c>
      <c r="B10158" t="s">
        <v>250</v>
      </c>
      <c r="C10158" t="s">
        <v>12779</v>
      </c>
      <c r="D10158" t="s">
        <v>16190</v>
      </c>
      <c r="E10158" t="s">
        <v>25120</v>
      </c>
      <c r="F10158" t="s">
        <v>28198</v>
      </c>
      <c r="G10158" t="s">
        <v>28205</v>
      </c>
      <c r="H10158" t="s">
        <v>28214</v>
      </c>
      <c r="I10158" t="s">
        <v>3797</v>
      </c>
      <c r="J10158" t="s">
        <v>29163</v>
      </c>
      <c r="K10158" t="s">
        <v>36725</v>
      </c>
      <c r="M10158" t="s">
        <v>37226</v>
      </c>
      <c r="N10158" t="s">
        <v>40436</v>
      </c>
      <c r="O10158" t="s">
        <v>40437</v>
      </c>
      <c r="P10158">
        <v>0</v>
      </c>
      <c r="Q10158">
        <v>5</v>
      </c>
      <c r="R10158" t="s">
        <v>40450</v>
      </c>
      <c r="S10158" t="s">
        <v>40961</v>
      </c>
      <c r="T10158" t="s">
        <v>42279</v>
      </c>
      <c r="U10158" t="s">
        <v>51091</v>
      </c>
      <c r="W10158" t="s">
        <v>37226</v>
      </c>
      <c r="X10158" t="s">
        <v>40451</v>
      </c>
    </row>
    <row r="10159" spans="1:24">
      <c r="A10159">
        <f>HYPERLINK("https://www.philgeps.gov.ph/GEPSNONPILOT/Tender/SplashBidNoticeAbstractUI.aspx?menuIndex=3&amp;refID=7028053&amp;Result=3","7028053")</f>
        <v>0</v>
      </c>
      <c r="B10159" t="s">
        <v>161</v>
      </c>
      <c r="C10159" t="s">
        <v>12780</v>
      </c>
      <c r="D10159" t="s">
        <v>16235</v>
      </c>
      <c r="E10159" t="s">
        <v>25121</v>
      </c>
      <c r="F10159" t="s">
        <v>28198</v>
      </c>
      <c r="G10159" t="s">
        <v>28205</v>
      </c>
      <c r="H10159" t="s">
        <v>28214</v>
      </c>
      <c r="I10159" t="s">
        <v>3797</v>
      </c>
      <c r="J10159" t="s">
        <v>28361</v>
      </c>
      <c r="K10159" t="s">
        <v>36694</v>
      </c>
      <c r="M10159" t="s">
        <v>37135</v>
      </c>
      <c r="N10159" t="s">
        <v>40436</v>
      </c>
      <c r="O10159" t="s">
        <v>40437</v>
      </c>
      <c r="P10159">
        <v>0</v>
      </c>
      <c r="Q10159">
        <v>0</v>
      </c>
      <c r="R10159" t="s">
        <v>40450</v>
      </c>
      <c r="S10159" t="s">
        <v>40961</v>
      </c>
      <c r="T10159" t="s">
        <v>42100</v>
      </c>
      <c r="U10159" t="s">
        <v>51086</v>
      </c>
      <c r="W10159" t="s">
        <v>37135</v>
      </c>
      <c r="X10159" t="s">
        <v>40451</v>
      </c>
    </row>
    <row r="10160" spans="1:24">
      <c r="A10160">
        <f>HYPERLINK("https://www.philgeps.gov.ph/GEPSNONPILOT/Tender/SplashBidNoticeAbstractUI.aspx?menuIndex=3&amp;refID=7028073&amp;Result=3","7028073")</f>
        <v>0</v>
      </c>
      <c r="B10160" t="s">
        <v>1319</v>
      </c>
      <c r="C10160" t="s">
        <v>12781</v>
      </c>
      <c r="D10160" t="s">
        <v>16265</v>
      </c>
      <c r="E10160" t="s">
        <v>25122</v>
      </c>
      <c r="F10160" t="s">
        <v>28198</v>
      </c>
      <c r="G10160" t="s">
        <v>28205</v>
      </c>
      <c r="H10160" t="s">
        <v>28214</v>
      </c>
      <c r="I10160" t="s">
        <v>3797</v>
      </c>
      <c r="J10160" t="s">
        <v>28393</v>
      </c>
      <c r="K10160" t="s">
        <v>36695</v>
      </c>
      <c r="M10160" t="s">
        <v>38377</v>
      </c>
      <c r="N10160" t="s">
        <v>40436</v>
      </c>
      <c r="O10160" t="s">
        <v>40437</v>
      </c>
      <c r="P10160">
        <v>0</v>
      </c>
      <c r="Q10160">
        <v>0</v>
      </c>
      <c r="R10160" t="s">
        <v>40450</v>
      </c>
      <c r="S10160" t="s">
        <v>40961</v>
      </c>
      <c r="T10160" t="s">
        <v>42346</v>
      </c>
      <c r="U10160" t="s">
        <v>51092</v>
      </c>
      <c r="W10160" t="s">
        <v>38377</v>
      </c>
      <c r="X10160" t="s">
        <v>40451</v>
      </c>
    </row>
    <row r="10161" spans="1:24">
      <c r="A10161">
        <f>HYPERLINK("https://www.philgeps.gov.ph/GEPSNONPILOT/Tender/SplashBidNoticeAbstractUI.aspx?menuIndex=3&amp;refID=7028024&amp;Result=3","7028024")</f>
        <v>0</v>
      </c>
      <c r="B10161" t="s">
        <v>2776</v>
      </c>
      <c r="C10161" t="s">
        <v>12782</v>
      </c>
      <c r="D10161" t="s">
        <v>16207</v>
      </c>
      <c r="E10161" t="s">
        <v>23010</v>
      </c>
      <c r="F10161" t="s">
        <v>28198</v>
      </c>
      <c r="G10161" t="s">
        <v>28205</v>
      </c>
      <c r="H10161" t="s">
        <v>28214</v>
      </c>
      <c r="I10161" t="s">
        <v>3797</v>
      </c>
      <c r="J10161" t="s">
        <v>34633</v>
      </c>
      <c r="K10161" t="s">
        <v>36710</v>
      </c>
      <c r="M10161" t="s">
        <v>40025</v>
      </c>
      <c r="N10161" t="s">
        <v>40436</v>
      </c>
      <c r="O10161" t="s">
        <v>40437</v>
      </c>
      <c r="P10161">
        <v>0</v>
      </c>
      <c r="Q10161">
        <v>2</v>
      </c>
      <c r="R10161" t="s">
        <v>40450</v>
      </c>
      <c r="S10161" t="s">
        <v>40961</v>
      </c>
      <c r="T10161" t="s">
        <v>42188</v>
      </c>
      <c r="U10161" t="s">
        <v>51093</v>
      </c>
      <c r="W10161" t="s">
        <v>40025</v>
      </c>
      <c r="X10161" t="s">
        <v>40451</v>
      </c>
    </row>
    <row r="10162" spans="1:24">
      <c r="A10162">
        <f>HYPERLINK("https://www.philgeps.gov.ph/GEPSNONPILOT/Tender/SplashBidNoticeAbstractUI.aspx?menuIndex=3&amp;refID=7028128&amp;Result=3","7028128")</f>
        <v>0</v>
      </c>
      <c r="B10162" t="s">
        <v>2056</v>
      </c>
      <c r="C10162" t="s">
        <v>12783</v>
      </c>
      <c r="D10162" t="s">
        <v>16254</v>
      </c>
      <c r="E10162" t="s">
        <v>25123</v>
      </c>
      <c r="F10162" t="s">
        <v>28198</v>
      </c>
      <c r="G10162" t="s">
        <v>28205</v>
      </c>
      <c r="H10162" t="s">
        <v>28214</v>
      </c>
      <c r="I10162" t="s">
        <v>3797</v>
      </c>
      <c r="J10162" t="s">
        <v>29566</v>
      </c>
      <c r="K10162" t="s">
        <v>36692</v>
      </c>
      <c r="M10162" t="s">
        <v>39204</v>
      </c>
      <c r="N10162" t="s">
        <v>40436</v>
      </c>
      <c r="O10162" t="s">
        <v>40437</v>
      </c>
      <c r="P10162">
        <v>0</v>
      </c>
      <c r="Q10162">
        <v>0</v>
      </c>
      <c r="R10162" t="s">
        <v>40450</v>
      </c>
      <c r="S10162" t="s">
        <v>40961</v>
      </c>
      <c r="T10162" t="s">
        <v>42144</v>
      </c>
      <c r="U10162" t="s">
        <v>51094</v>
      </c>
      <c r="V10162" t="s">
        <v>42746</v>
      </c>
      <c r="W10162" t="s">
        <v>39204</v>
      </c>
      <c r="X10162" t="s">
        <v>40451</v>
      </c>
    </row>
    <row r="10163" spans="1:24">
      <c r="A10163">
        <f>HYPERLINK("https://www.philgeps.gov.ph/GEPSNONPILOT/Tender/SplashBidNoticeAbstractUI.aspx?menuIndex=3&amp;refID=7028058&amp;Result=3","7028058")</f>
        <v>0</v>
      </c>
      <c r="B10163" t="s">
        <v>1319</v>
      </c>
      <c r="C10163" t="s">
        <v>12784</v>
      </c>
      <c r="D10163" t="s">
        <v>16265</v>
      </c>
      <c r="E10163" t="s">
        <v>25124</v>
      </c>
      <c r="F10163" t="s">
        <v>28198</v>
      </c>
      <c r="G10163" t="s">
        <v>28205</v>
      </c>
      <c r="H10163" t="s">
        <v>28214</v>
      </c>
      <c r="I10163" t="s">
        <v>3797</v>
      </c>
      <c r="J10163" t="s">
        <v>34634</v>
      </c>
      <c r="K10163" t="s">
        <v>36711</v>
      </c>
      <c r="M10163" t="s">
        <v>38377</v>
      </c>
      <c r="N10163" t="s">
        <v>40436</v>
      </c>
      <c r="O10163" t="s">
        <v>40437</v>
      </c>
      <c r="P10163">
        <v>0</v>
      </c>
      <c r="Q10163">
        <v>0</v>
      </c>
      <c r="R10163" t="s">
        <v>40450</v>
      </c>
      <c r="S10163" t="s">
        <v>40961</v>
      </c>
      <c r="T10163" t="s">
        <v>42346</v>
      </c>
      <c r="U10163" t="s">
        <v>51095</v>
      </c>
      <c r="W10163" t="s">
        <v>38377</v>
      </c>
      <c r="X10163" t="s">
        <v>40451</v>
      </c>
    </row>
    <row r="10164" spans="1:24">
      <c r="A10164">
        <f>HYPERLINK("https://www.philgeps.gov.ph/GEPSNONPILOT/Tender/SplashBidNoticeAbstractUI.aspx?menuIndex=3&amp;refID=7028021&amp;Result=3","7028021")</f>
        <v>0</v>
      </c>
      <c r="B10164" t="s">
        <v>2773</v>
      </c>
      <c r="C10164" t="s">
        <v>12785</v>
      </c>
      <c r="E10164" t="s">
        <v>25125</v>
      </c>
      <c r="F10164" t="s">
        <v>28198</v>
      </c>
      <c r="G10164" t="s">
        <v>28205</v>
      </c>
      <c r="H10164" t="s">
        <v>28214</v>
      </c>
      <c r="I10164" t="s">
        <v>3797</v>
      </c>
      <c r="J10164" t="s">
        <v>34635</v>
      </c>
      <c r="K10164" t="s">
        <v>36689</v>
      </c>
      <c r="M10164" t="s">
        <v>40022</v>
      </c>
      <c r="N10164" t="s">
        <v>40436</v>
      </c>
      <c r="O10164" t="s">
        <v>40437</v>
      </c>
      <c r="P10164">
        <v>0</v>
      </c>
      <c r="Q10164">
        <v>0</v>
      </c>
      <c r="R10164" t="s">
        <v>40450</v>
      </c>
      <c r="S10164" t="s">
        <v>40961</v>
      </c>
      <c r="T10164" t="s">
        <v>42184</v>
      </c>
      <c r="U10164" t="s">
        <v>51096</v>
      </c>
      <c r="V10164" t="s">
        <v>54896</v>
      </c>
      <c r="W10164" t="s">
        <v>40022</v>
      </c>
      <c r="X10164" t="s">
        <v>40451</v>
      </c>
    </row>
    <row r="10165" spans="1:24">
      <c r="A10165">
        <f>HYPERLINK("https://www.philgeps.gov.ph/GEPSNONPILOT/Tender/SplashBidNoticeAbstractUI.aspx?menuIndex=3&amp;refID=7028146&amp;Result=3","7028146")</f>
        <v>0</v>
      </c>
      <c r="B10165" t="s">
        <v>757</v>
      </c>
      <c r="C10165" t="s">
        <v>12786</v>
      </c>
      <c r="E10165" t="s">
        <v>25126</v>
      </c>
      <c r="F10165" t="s">
        <v>28198</v>
      </c>
      <c r="G10165" t="s">
        <v>28205</v>
      </c>
      <c r="H10165" t="s">
        <v>28215</v>
      </c>
      <c r="I10165" t="s">
        <v>28234</v>
      </c>
      <c r="J10165" t="s">
        <v>31763</v>
      </c>
      <c r="K10165" t="s">
        <v>36689</v>
      </c>
      <c r="M10165" t="s">
        <v>37760</v>
      </c>
      <c r="N10165" t="s">
        <v>40436</v>
      </c>
      <c r="O10165" t="s">
        <v>40437</v>
      </c>
      <c r="Q10165">
        <v>8</v>
      </c>
      <c r="R10165" t="s">
        <v>40450</v>
      </c>
      <c r="S10165" t="s">
        <v>40974</v>
      </c>
      <c r="T10165" t="s">
        <v>42292</v>
      </c>
      <c r="U10165" t="s">
        <v>51097</v>
      </c>
      <c r="W10165" t="s">
        <v>55460</v>
      </c>
      <c r="X10165" t="s">
        <v>40451</v>
      </c>
    </row>
    <row r="10166" spans="1:24">
      <c r="A10166">
        <f>HYPERLINK("https://www.philgeps.gov.ph/GEPSNONPILOT/Tender/SplashBidNoticeAbstractUI.aspx?menuIndex=3&amp;refID=7028133&amp;Result=3","7028133")</f>
        <v>0</v>
      </c>
      <c r="B10166" t="s">
        <v>1142</v>
      </c>
      <c r="C10166" t="s">
        <v>12787</v>
      </c>
      <c r="D10166" t="s">
        <v>16223</v>
      </c>
      <c r="E10166" t="s">
        <v>25127</v>
      </c>
      <c r="F10166" t="s">
        <v>28200</v>
      </c>
      <c r="G10166" t="s">
        <v>28205</v>
      </c>
      <c r="H10166" t="s">
        <v>28215</v>
      </c>
      <c r="I10166" t="s">
        <v>5100</v>
      </c>
      <c r="J10166" t="s">
        <v>34636</v>
      </c>
      <c r="K10166" t="s">
        <v>36694</v>
      </c>
      <c r="M10166" t="s">
        <v>38182</v>
      </c>
      <c r="N10166" t="s">
        <v>40436</v>
      </c>
      <c r="O10166" t="s">
        <v>40437</v>
      </c>
      <c r="P10166">
        <v>0</v>
      </c>
      <c r="Q10166">
        <v>0</v>
      </c>
      <c r="R10166" t="s">
        <v>40450</v>
      </c>
      <c r="S10166" t="s">
        <v>40961</v>
      </c>
      <c r="T10166" t="s">
        <v>42158</v>
      </c>
      <c r="U10166" t="s">
        <v>51098</v>
      </c>
      <c r="W10166" t="s">
        <v>38182</v>
      </c>
      <c r="X10166" t="s">
        <v>40451</v>
      </c>
    </row>
    <row r="10167" spans="1:24">
      <c r="A10167">
        <f>HYPERLINK("https://www.philgeps.gov.ph/GEPSNONPILOT/Tender/SplashBidNoticeAbstractUI.aspx?menuIndex=3&amp;refID=7028190&amp;Result=3","7028190")</f>
        <v>0</v>
      </c>
      <c r="B10167" t="s">
        <v>473</v>
      </c>
      <c r="C10167" t="s">
        <v>12788</v>
      </c>
      <c r="D10167" t="s">
        <v>16223</v>
      </c>
      <c r="E10167" t="s">
        <v>25128</v>
      </c>
      <c r="F10167" t="s">
        <v>28198</v>
      </c>
      <c r="G10167" t="s">
        <v>28207</v>
      </c>
      <c r="H10167" t="s">
        <v>28215</v>
      </c>
      <c r="I10167" t="s">
        <v>28224</v>
      </c>
      <c r="J10167" t="s">
        <v>29531</v>
      </c>
      <c r="K10167" t="s">
        <v>36698</v>
      </c>
      <c r="M10167" t="s">
        <v>37458</v>
      </c>
      <c r="N10167" t="s">
        <v>40436</v>
      </c>
      <c r="O10167" t="s">
        <v>40437</v>
      </c>
      <c r="Q10167">
        <v>0</v>
      </c>
      <c r="R10167" t="s">
        <v>40450</v>
      </c>
      <c r="S10167" t="s">
        <v>40975</v>
      </c>
      <c r="T10167" t="s">
        <v>42169</v>
      </c>
      <c r="U10167" t="s">
        <v>51099</v>
      </c>
      <c r="W10167" t="s">
        <v>37458</v>
      </c>
      <c r="X10167" t="s">
        <v>40451</v>
      </c>
    </row>
    <row r="10168" spans="1:24">
      <c r="A10168">
        <f>HYPERLINK("https://www.philgeps.gov.ph/GEPSNONPILOT/Tender/SplashBidNoticeAbstractUI.aspx?menuIndex=3&amp;refID=7028145&amp;Result=3","7028145")</f>
        <v>0</v>
      </c>
      <c r="B10168" t="s">
        <v>2777</v>
      </c>
      <c r="C10168" t="s">
        <v>12789</v>
      </c>
      <c r="D10168" t="s">
        <v>16187</v>
      </c>
      <c r="E10168" t="s">
        <v>25129</v>
      </c>
      <c r="F10168" t="s">
        <v>28198</v>
      </c>
      <c r="G10168" t="s">
        <v>28205</v>
      </c>
      <c r="H10168" t="s">
        <v>28214</v>
      </c>
      <c r="I10168" t="s">
        <v>3797</v>
      </c>
      <c r="J10168" t="s">
        <v>30947</v>
      </c>
      <c r="K10168" t="s">
        <v>36716</v>
      </c>
      <c r="M10168" t="s">
        <v>40026</v>
      </c>
      <c r="N10168" t="s">
        <v>40436</v>
      </c>
      <c r="O10168" t="s">
        <v>40437</v>
      </c>
      <c r="P10168">
        <v>0</v>
      </c>
      <c r="Q10168">
        <v>1</v>
      </c>
      <c r="R10168" t="s">
        <v>40450</v>
      </c>
      <c r="S10168" t="s">
        <v>40961</v>
      </c>
      <c r="T10168" t="s">
        <v>42240</v>
      </c>
      <c r="U10168" t="s">
        <v>51100</v>
      </c>
      <c r="W10168" t="s">
        <v>40026</v>
      </c>
      <c r="X10168" t="s">
        <v>40451</v>
      </c>
    </row>
    <row r="10169" spans="1:24">
      <c r="A10169">
        <f>HYPERLINK("https://www.philgeps.gov.ph/GEPSNONPILOT/Tender/SplashBidNoticeAbstractUI.aspx?menuIndex=3&amp;refID=7028237&amp;Result=3","7028237")</f>
        <v>0</v>
      </c>
      <c r="B10169" t="s">
        <v>1161</v>
      </c>
      <c r="C10169" t="s">
        <v>12790</v>
      </c>
      <c r="D10169" t="s">
        <v>16228</v>
      </c>
      <c r="E10169" t="s">
        <v>18229</v>
      </c>
      <c r="F10169" t="s">
        <v>28201</v>
      </c>
      <c r="G10169" t="s">
        <v>28205</v>
      </c>
      <c r="H10169" t="s">
        <v>28215</v>
      </c>
      <c r="I10169" t="s">
        <v>5082</v>
      </c>
      <c r="J10169" t="s">
        <v>28539</v>
      </c>
      <c r="K10169" t="s">
        <v>36688</v>
      </c>
      <c r="M10169" t="s">
        <v>38201</v>
      </c>
      <c r="N10169" t="s">
        <v>40436</v>
      </c>
      <c r="O10169" t="s">
        <v>40437</v>
      </c>
      <c r="P10169">
        <v>0</v>
      </c>
      <c r="Q10169">
        <v>0</v>
      </c>
      <c r="R10169" t="s">
        <v>40450</v>
      </c>
      <c r="S10169" t="s">
        <v>40961</v>
      </c>
      <c r="T10169" t="s">
        <v>42144</v>
      </c>
      <c r="U10169" t="s">
        <v>51101</v>
      </c>
      <c r="W10169" t="s">
        <v>38201</v>
      </c>
      <c r="X10169" t="s">
        <v>40451</v>
      </c>
    </row>
    <row r="10170" spans="1:24">
      <c r="A10170">
        <f>HYPERLINK("https://www.philgeps.gov.ph/GEPSNONPILOT/Tender/SplashBidNoticeAbstractUI.aspx?menuIndex=3&amp;refID=7028176&amp;Result=3","7028176")</f>
        <v>0</v>
      </c>
      <c r="B10170" t="s">
        <v>88</v>
      </c>
      <c r="C10170" t="s">
        <v>12791</v>
      </c>
      <c r="E10170" t="s">
        <v>25130</v>
      </c>
      <c r="F10170" t="s">
        <v>28198</v>
      </c>
      <c r="G10170" t="s">
        <v>28205</v>
      </c>
      <c r="H10170" t="s">
        <v>28215</v>
      </c>
      <c r="I10170" t="s">
        <v>28225</v>
      </c>
      <c r="J10170" t="s">
        <v>34637</v>
      </c>
      <c r="K10170" t="s">
        <v>36689</v>
      </c>
      <c r="M10170" t="s">
        <v>37060</v>
      </c>
      <c r="N10170" t="s">
        <v>40436</v>
      </c>
      <c r="O10170" t="s">
        <v>40437</v>
      </c>
      <c r="P10170">
        <v>0</v>
      </c>
      <c r="Q10170">
        <v>23</v>
      </c>
      <c r="R10170" t="s">
        <v>40450</v>
      </c>
      <c r="S10170" t="s">
        <v>40961</v>
      </c>
      <c r="T10170" t="s">
        <v>42346</v>
      </c>
      <c r="U10170" t="s">
        <v>51102</v>
      </c>
      <c r="W10170" t="s">
        <v>55430</v>
      </c>
      <c r="X10170" t="s">
        <v>40451</v>
      </c>
    </row>
    <row r="10171" spans="1:24">
      <c r="A10171">
        <f>HYPERLINK("https://www.philgeps.gov.ph/GEPSNONPILOT/Tender/SplashBidNoticeAbstractUI.aspx?menuIndex=3&amp;refID=7028204&amp;Result=3","7028204")</f>
        <v>0</v>
      </c>
      <c r="B10171" t="s">
        <v>152</v>
      </c>
      <c r="C10171" t="s">
        <v>12792</v>
      </c>
      <c r="D10171" t="s">
        <v>16210</v>
      </c>
      <c r="E10171" t="s">
        <v>25131</v>
      </c>
      <c r="F10171" t="s">
        <v>28198</v>
      </c>
      <c r="G10171" t="s">
        <v>28209</v>
      </c>
      <c r="H10171" t="s">
        <v>28215</v>
      </c>
      <c r="I10171" t="s">
        <v>4219</v>
      </c>
      <c r="J10171" t="s">
        <v>34638</v>
      </c>
      <c r="K10171" t="s">
        <v>36715</v>
      </c>
      <c r="M10171" t="s">
        <v>39115</v>
      </c>
      <c r="N10171" t="s">
        <v>40436</v>
      </c>
      <c r="O10171" t="s">
        <v>40437</v>
      </c>
      <c r="P10171">
        <v>0</v>
      </c>
      <c r="Q10171">
        <v>14</v>
      </c>
      <c r="R10171" t="s">
        <v>40450</v>
      </c>
      <c r="S10171" t="s">
        <v>40961</v>
      </c>
      <c r="T10171" t="s">
        <v>42397</v>
      </c>
      <c r="U10171" t="s">
        <v>51103</v>
      </c>
      <c r="W10171" t="s">
        <v>39115</v>
      </c>
      <c r="X10171" t="s">
        <v>40451</v>
      </c>
    </row>
    <row r="10172" spans="1:24">
      <c r="A10172">
        <f>HYPERLINK("https://www.philgeps.gov.ph/GEPSNONPILOT/Tender/SplashBidNoticeAbstractUI.aspx?menuIndex=3&amp;refID=7028271&amp;Result=3","7028271")</f>
        <v>0</v>
      </c>
      <c r="B10172" t="s">
        <v>1142</v>
      </c>
      <c r="C10172" t="s">
        <v>12793</v>
      </c>
      <c r="D10172" t="s">
        <v>16223</v>
      </c>
      <c r="E10172" t="s">
        <v>25132</v>
      </c>
      <c r="F10172" t="s">
        <v>28200</v>
      </c>
      <c r="G10172" t="s">
        <v>28205</v>
      </c>
      <c r="H10172" t="s">
        <v>28215</v>
      </c>
      <c r="I10172" t="s">
        <v>5100</v>
      </c>
      <c r="J10172" t="s">
        <v>28415</v>
      </c>
      <c r="K10172" t="s">
        <v>36701</v>
      </c>
      <c r="M10172" t="s">
        <v>38182</v>
      </c>
      <c r="N10172" t="s">
        <v>40436</v>
      </c>
      <c r="O10172" t="s">
        <v>40437</v>
      </c>
      <c r="P10172">
        <v>0</v>
      </c>
      <c r="Q10172">
        <v>0</v>
      </c>
      <c r="R10172" t="s">
        <v>40450</v>
      </c>
      <c r="S10172" t="s">
        <v>40961</v>
      </c>
      <c r="T10172" t="s">
        <v>42158</v>
      </c>
      <c r="U10172" t="s">
        <v>51104</v>
      </c>
      <c r="W10172" t="s">
        <v>38182</v>
      </c>
      <c r="X10172" t="s">
        <v>40451</v>
      </c>
    </row>
    <row r="10173" spans="1:24">
      <c r="A10173">
        <f>HYPERLINK("https://www.philgeps.gov.ph/GEPSNONPILOT/Tender/SplashBidNoticeAbstractUI.aspx?menuIndex=3&amp;refID=7028161&amp;Result=3","7028161")</f>
        <v>0</v>
      </c>
      <c r="B10173" t="s">
        <v>669</v>
      </c>
      <c r="C10173" t="s">
        <v>12794</v>
      </c>
      <c r="D10173" t="s">
        <v>16243</v>
      </c>
      <c r="E10173" t="s">
        <v>22662</v>
      </c>
      <c r="F10173" t="s">
        <v>28198</v>
      </c>
      <c r="G10173" t="s">
        <v>28205</v>
      </c>
      <c r="H10173" t="s">
        <v>28214</v>
      </c>
      <c r="I10173" t="s">
        <v>3797</v>
      </c>
      <c r="J10173" t="s">
        <v>34639</v>
      </c>
      <c r="K10173" t="s">
        <v>36736</v>
      </c>
      <c r="M10173" t="s">
        <v>37665</v>
      </c>
      <c r="N10173" t="s">
        <v>40436</v>
      </c>
      <c r="O10173" t="s">
        <v>40437</v>
      </c>
      <c r="P10173">
        <v>0</v>
      </c>
      <c r="Q10173">
        <v>0</v>
      </c>
      <c r="R10173" t="s">
        <v>40450</v>
      </c>
      <c r="S10173" t="s">
        <v>40961</v>
      </c>
      <c r="T10173" t="s">
        <v>42098</v>
      </c>
      <c r="U10173" t="s">
        <v>51105</v>
      </c>
      <c r="V10173" t="s">
        <v>54898</v>
      </c>
      <c r="W10173" t="s">
        <v>37665</v>
      </c>
      <c r="X10173" t="s">
        <v>40451</v>
      </c>
    </row>
    <row r="10174" spans="1:24">
      <c r="A10174">
        <f>HYPERLINK("https://www.philgeps.gov.ph/GEPSNONPILOT/Tender/SplashBidNoticeAbstractUI.aspx?menuIndex=3&amp;refID=7028284&amp;Result=3","7028284")</f>
        <v>0</v>
      </c>
      <c r="B10174" t="s">
        <v>250</v>
      </c>
      <c r="C10174" t="s">
        <v>12795</v>
      </c>
      <c r="D10174" t="s">
        <v>16190</v>
      </c>
      <c r="E10174" t="s">
        <v>25133</v>
      </c>
      <c r="F10174" t="s">
        <v>28198</v>
      </c>
      <c r="G10174" t="s">
        <v>28205</v>
      </c>
      <c r="H10174" t="s">
        <v>28214</v>
      </c>
      <c r="I10174" t="s">
        <v>3797</v>
      </c>
      <c r="J10174" t="s">
        <v>29163</v>
      </c>
      <c r="K10174" t="s">
        <v>36725</v>
      </c>
      <c r="M10174" t="s">
        <v>37226</v>
      </c>
      <c r="N10174" t="s">
        <v>40436</v>
      </c>
      <c r="O10174" t="s">
        <v>40437</v>
      </c>
      <c r="P10174">
        <v>0</v>
      </c>
      <c r="Q10174">
        <v>7</v>
      </c>
      <c r="R10174" t="s">
        <v>40450</v>
      </c>
      <c r="S10174" t="s">
        <v>40961</v>
      </c>
      <c r="T10174" t="s">
        <v>42279</v>
      </c>
      <c r="U10174" t="s">
        <v>51106</v>
      </c>
      <c r="W10174" t="s">
        <v>37226</v>
      </c>
      <c r="X10174" t="s">
        <v>40451</v>
      </c>
    </row>
    <row r="10175" spans="1:24">
      <c r="A10175">
        <f>HYPERLINK("https://www.philgeps.gov.ph/GEPSNONPILOT/Tender/SplashBidNoticeAbstractUI.aspx?menuIndex=3&amp;refID=7028212&amp;Result=3","7028212")</f>
        <v>0</v>
      </c>
      <c r="B10175" t="s">
        <v>250</v>
      </c>
      <c r="C10175" t="s">
        <v>12796</v>
      </c>
      <c r="D10175" t="s">
        <v>16190</v>
      </c>
      <c r="E10175" t="s">
        <v>25134</v>
      </c>
      <c r="F10175" t="s">
        <v>28198</v>
      </c>
      <c r="G10175" t="s">
        <v>28205</v>
      </c>
      <c r="H10175" t="s">
        <v>28214</v>
      </c>
      <c r="I10175" t="s">
        <v>3797</v>
      </c>
      <c r="J10175" t="s">
        <v>34640</v>
      </c>
      <c r="K10175" t="s">
        <v>36764</v>
      </c>
      <c r="M10175" t="s">
        <v>37226</v>
      </c>
      <c r="N10175" t="s">
        <v>40436</v>
      </c>
      <c r="O10175" t="s">
        <v>40437</v>
      </c>
      <c r="P10175">
        <v>0</v>
      </c>
      <c r="Q10175">
        <v>8</v>
      </c>
      <c r="R10175" t="s">
        <v>40450</v>
      </c>
      <c r="S10175" t="s">
        <v>40961</v>
      </c>
      <c r="T10175" t="s">
        <v>42279</v>
      </c>
      <c r="U10175" t="s">
        <v>51107</v>
      </c>
      <c r="W10175" t="s">
        <v>37226</v>
      </c>
      <c r="X10175" t="s">
        <v>40451</v>
      </c>
    </row>
    <row r="10176" spans="1:24">
      <c r="A10176">
        <f>HYPERLINK("https://www.philgeps.gov.ph/GEPSNONPILOT/Tender/SplashBidNoticeAbstractUI.aspx?menuIndex=3&amp;refID=7028172&amp;Result=3","7028172")</f>
        <v>0</v>
      </c>
      <c r="B10176" t="s">
        <v>1142</v>
      </c>
      <c r="C10176" t="s">
        <v>12797</v>
      </c>
      <c r="D10176" t="s">
        <v>16223</v>
      </c>
      <c r="E10176" t="s">
        <v>25135</v>
      </c>
      <c r="F10176" t="s">
        <v>28200</v>
      </c>
      <c r="G10176" t="s">
        <v>28205</v>
      </c>
      <c r="H10176" t="s">
        <v>28215</v>
      </c>
      <c r="I10176" t="s">
        <v>4505</v>
      </c>
      <c r="J10176" t="s">
        <v>28415</v>
      </c>
      <c r="K10176" t="s">
        <v>36701</v>
      </c>
      <c r="M10176" t="s">
        <v>38182</v>
      </c>
      <c r="N10176" t="s">
        <v>40436</v>
      </c>
      <c r="O10176" t="s">
        <v>40437</v>
      </c>
      <c r="P10176">
        <v>0</v>
      </c>
      <c r="Q10176">
        <v>0</v>
      </c>
      <c r="R10176" t="s">
        <v>40450</v>
      </c>
      <c r="S10176" t="s">
        <v>40961</v>
      </c>
      <c r="T10176" t="s">
        <v>42158</v>
      </c>
      <c r="U10176" t="s">
        <v>51108</v>
      </c>
      <c r="W10176" t="s">
        <v>38182</v>
      </c>
      <c r="X10176" t="s">
        <v>40451</v>
      </c>
    </row>
    <row r="10177" spans="1:24">
      <c r="A10177">
        <f>HYPERLINK("https://www.philgeps.gov.ph/GEPSNONPILOT/Tender/SplashBidNoticeAbstractUI.aspx?menuIndex=3&amp;refID=7028261&amp;Result=3","7028261")</f>
        <v>0</v>
      </c>
      <c r="B10177" t="s">
        <v>250</v>
      </c>
      <c r="C10177" t="s">
        <v>12798</v>
      </c>
      <c r="D10177" t="s">
        <v>16190</v>
      </c>
      <c r="E10177" t="s">
        <v>25136</v>
      </c>
      <c r="F10177" t="s">
        <v>28198</v>
      </c>
      <c r="G10177" t="s">
        <v>28205</v>
      </c>
      <c r="H10177" t="s">
        <v>28214</v>
      </c>
      <c r="I10177" t="s">
        <v>3797</v>
      </c>
      <c r="J10177" t="s">
        <v>34627</v>
      </c>
      <c r="K10177" t="s">
        <v>36900</v>
      </c>
      <c r="M10177" t="s">
        <v>37226</v>
      </c>
      <c r="N10177" t="s">
        <v>40436</v>
      </c>
      <c r="O10177" t="s">
        <v>40437</v>
      </c>
      <c r="P10177">
        <v>0</v>
      </c>
      <c r="Q10177">
        <v>6</v>
      </c>
      <c r="R10177" t="s">
        <v>40450</v>
      </c>
      <c r="S10177" t="s">
        <v>40961</v>
      </c>
      <c r="T10177" t="s">
        <v>42279</v>
      </c>
      <c r="U10177" t="s">
        <v>51109</v>
      </c>
      <c r="W10177" t="s">
        <v>37226</v>
      </c>
      <c r="X10177" t="s">
        <v>40451</v>
      </c>
    </row>
    <row r="10178" spans="1:24">
      <c r="A10178">
        <f>HYPERLINK("https://www.philgeps.gov.ph/GEPSNONPILOT/Tender/SplashBidNoticeAbstractUI.aspx?menuIndex=3&amp;refID=7028356&amp;Result=3","7028356")</f>
        <v>0</v>
      </c>
      <c r="B10178" t="s">
        <v>2778</v>
      </c>
      <c r="C10178" t="s">
        <v>12799</v>
      </c>
      <c r="D10178" t="s">
        <v>16244</v>
      </c>
      <c r="E10178" t="s">
        <v>18535</v>
      </c>
      <c r="F10178" t="s">
        <v>28198</v>
      </c>
      <c r="G10178" t="s">
        <v>28205</v>
      </c>
      <c r="H10178" t="s">
        <v>28215</v>
      </c>
      <c r="I10178" t="s">
        <v>28225</v>
      </c>
      <c r="J10178" t="s">
        <v>31833</v>
      </c>
      <c r="K10178" t="s">
        <v>36688</v>
      </c>
      <c r="M10178" t="s">
        <v>40027</v>
      </c>
      <c r="N10178" t="s">
        <v>40436</v>
      </c>
      <c r="O10178" t="s">
        <v>40437</v>
      </c>
      <c r="P10178">
        <v>0</v>
      </c>
      <c r="Q10178">
        <v>1</v>
      </c>
      <c r="R10178" t="s">
        <v>40450</v>
      </c>
      <c r="S10178" t="s">
        <v>40961</v>
      </c>
      <c r="T10178" t="s">
        <v>42317</v>
      </c>
      <c r="U10178" t="s">
        <v>51110</v>
      </c>
      <c r="W10178" t="s">
        <v>40027</v>
      </c>
      <c r="X10178" t="s">
        <v>40451</v>
      </c>
    </row>
    <row r="10179" spans="1:24">
      <c r="A10179">
        <f>HYPERLINK("https://www.philgeps.gov.ph/GEPSNONPILOT/Tender/SplashBidNoticeAbstractUI.aspx?menuIndex=3&amp;refID=7028223&amp;Result=3","7028223")</f>
        <v>0</v>
      </c>
      <c r="B10179" t="s">
        <v>1142</v>
      </c>
      <c r="C10179" t="s">
        <v>12800</v>
      </c>
      <c r="D10179" t="s">
        <v>16223</v>
      </c>
      <c r="E10179" t="s">
        <v>25137</v>
      </c>
      <c r="F10179" t="s">
        <v>28200</v>
      </c>
      <c r="G10179" t="s">
        <v>28205</v>
      </c>
      <c r="H10179" t="s">
        <v>28215</v>
      </c>
      <c r="I10179" t="s">
        <v>5100</v>
      </c>
      <c r="J10179" t="s">
        <v>28415</v>
      </c>
      <c r="K10179" t="s">
        <v>36697</v>
      </c>
      <c r="M10179" t="s">
        <v>38182</v>
      </c>
      <c r="N10179" t="s">
        <v>40436</v>
      </c>
      <c r="O10179" t="s">
        <v>40437</v>
      </c>
      <c r="P10179">
        <v>0</v>
      </c>
      <c r="Q10179">
        <v>0</v>
      </c>
      <c r="R10179" t="s">
        <v>40450</v>
      </c>
      <c r="S10179" t="s">
        <v>40961</v>
      </c>
      <c r="T10179" t="s">
        <v>42158</v>
      </c>
      <c r="U10179" t="s">
        <v>51111</v>
      </c>
      <c r="W10179" t="s">
        <v>38182</v>
      </c>
      <c r="X10179" t="s">
        <v>40451</v>
      </c>
    </row>
    <row r="10180" spans="1:24">
      <c r="A10180">
        <f>HYPERLINK("https://www.philgeps.gov.ph/GEPSNONPILOT/Tender/SplashBidNoticeAbstractUI.aspx?menuIndex=3&amp;refID=7028282&amp;Result=3","7028282")</f>
        <v>0</v>
      </c>
      <c r="B10180" t="s">
        <v>783</v>
      </c>
      <c r="C10180" t="s">
        <v>12801</v>
      </c>
      <c r="D10180" t="s">
        <v>16203</v>
      </c>
      <c r="E10180" t="s">
        <v>25138</v>
      </c>
      <c r="F10180" t="s">
        <v>28198</v>
      </c>
      <c r="G10180" t="s">
        <v>28205</v>
      </c>
      <c r="H10180" t="s">
        <v>28215</v>
      </c>
      <c r="I10180" t="s">
        <v>28225</v>
      </c>
      <c r="J10180" t="s">
        <v>34641</v>
      </c>
      <c r="K10180" t="s">
        <v>36701</v>
      </c>
      <c r="M10180" t="s">
        <v>37787</v>
      </c>
      <c r="N10180" t="s">
        <v>40436</v>
      </c>
      <c r="O10180" t="s">
        <v>40437</v>
      </c>
      <c r="P10180">
        <v>0</v>
      </c>
      <c r="Q10180">
        <v>7</v>
      </c>
      <c r="R10180" t="s">
        <v>40450</v>
      </c>
      <c r="S10180" t="s">
        <v>40961</v>
      </c>
      <c r="T10180" t="s">
        <v>42097</v>
      </c>
      <c r="U10180" t="s">
        <v>51112</v>
      </c>
      <c r="W10180" t="s">
        <v>37787</v>
      </c>
      <c r="X10180" t="s">
        <v>40451</v>
      </c>
    </row>
    <row r="10181" spans="1:24">
      <c r="A10181">
        <f>HYPERLINK("https://www.philgeps.gov.ph/GEPSNONPILOT/Tender/SplashBidNoticeAbstractUI.aspx?menuIndex=3&amp;refID=7028327&amp;Result=3","7028327")</f>
        <v>0</v>
      </c>
      <c r="B10181" t="s">
        <v>587</v>
      </c>
      <c r="C10181" t="s">
        <v>12802</v>
      </c>
      <c r="D10181" t="s">
        <v>16230</v>
      </c>
      <c r="E10181" t="s">
        <v>17546</v>
      </c>
      <c r="F10181" t="s">
        <v>28198</v>
      </c>
      <c r="G10181" t="s">
        <v>28205</v>
      </c>
      <c r="H10181" t="s">
        <v>28215</v>
      </c>
      <c r="I10181" t="s">
        <v>3422</v>
      </c>
      <c r="J10181" t="s">
        <v>34642</v>
      </c>
      <c r="K10181" t="s">
        <v>36707</v>
      </c>
      <c r="M10181" t="s">
        <v>37576</v>
      </c>
      <c r="N10181" t="s">
        <v>40436</v>
      </c>
      <c r="O10181" t="s">
        <v>40437</v>
      </c>
      <c r="P10181">
        <v>0</v>
      </c>
      <c r="Q10181">
        <v>0</v>
      </c>
      <c r="R10181" t="s">
        <v>40450</v>
      </c>
      <c r="S10181" t="s">
        <v>40961</v>
      </c>
      <c r="T10181" t="s">
        <v>42218</v>
      </c>
      <c r="U10181" t="s">
        <v>51113</v>
      </c>
      <c r="W10181" t="s">
        <v>37576</v>
      </c>
      <c r="X10181" t="s">
        <v>40451</v>
      </c>
    </row>
    <row r="10182" spans="1:24">
      <c r="A10182">
        <f>HYPERLINK("https://www.philgeps.gov.ph/GEPSNONPILOT/Tender/SplashBidNoticeAbstractUI.aspx?menuIndex=3&amp;refID=7028323&amp;Result=3","7028323")</f>
        <v>0</v>
      </c>
      <c r="B10182" t="s">
        <v>2716</v>
      </c>
      <c r="C10182" t="s">
        <v>12803</v>
      </c>
      <c r="D10182" t="s">
        <v>16202</v>
      </c>
      <c r="E10182" t="s">
        <v>25139</v>
      </c>
      <c r="F10182" t="s">
        <v>28198</v>
      </c>
      <c r="G10182" t="s">
        <v>28205</v>
      </c>
      <c r="H10182" t="s">
        <v>28214</v>
      </c>
      <c r="I10182" t="s">
        <v>3797</v>
      </c>
      <c r="J10182" t="s">
        <v>34643</v>
      </c>
      <c r="K10182" t="s">
        <v>36784</v>
      </c>
      <c r="M10182" t="s">
        <v>39959</v>
      </c>
      <c r="N10182" t="s">
        <v>40436</v>
      </c>
      <c r="O10182" t="s">
        <v>40437</v>
      </c>
      <c r="P10182">
        <v>0</v>
      </c>
      <c r="Q10182">
        <v>0</v>
      </c>
      <c r="R10182" t="s">
        <v>40450</v>
      </c>
      <c r="S10182" t="s">
        <v>40961</v>
      </c>
      <c r="T10182" t="s">
        <v>42243</v>
      </c>
      <c r="U10182" t="s">
        <v>50800</v>
      </c>
      <c r="W10182" t="s">
        <v>39959</v>
      </c>
      <c r="X10182" t="s">
        <v>40451</v>
      </c>
    </row>
    <row r="10183" spans="1:24">
      <c r="A10183">
        <f>HYPERLINK("https://www.philgeps.gov.ph/GEPSNONPILOT/Tender/SplashBidNoticeAbstractUI.aspx?menuIndex=3&amp;refID=7028312&amp;Result=3","7028312")</f>
        <v>0</v>
      </c>
      <c r="B10183" t="s">
        <v>2779</v>
      </c>
      <c r="C10183" t="s">
        <v>12804</v>
      </c>
      <c r="D10183" t="s">
        <v>16264</v>
      </c>
      <c r="E10183" t="s">
        <v>25140</v>
      </c>
      <c r="F10183" t="s">
        <v>28198</v>
      </c>
      <c r="G10183" t="s">
        <v>28205</v>
      </c>
      <c r="H10183" t="s">
        <v>28214</v>
      </c>
      <c r="I10183" t="s">
        <v>3797</v>
      </c>
      <c r="J10183" t="s">
        <v>28395</v>
      </c>
      <c r="K10183" t="s">
        <v>36701</v>
      </c>
      <c r="M10183" t="s">
        <v>40028</v>
      </c>
      <c r="N10183" t="s">
        <v>40436</v>
      </c>
      <c r="O10183" t="s">
        <v>40437</v>
      </c>
      <c r="P10183">
        <v>0</v>
      </c>
      <c r="Q10183">
        <v>0</v>
      </c>
      <c r="R10183" t="s">
        <v>40450</v>
      </c>
      <c r="S10183" t="s">
        <v>40961</v>
      </c>
      <c r="T10183" t="s">
        <v>42144</v>
      </c>
      <c r="U10183" t="s">
        <v>51114</v>
      </c>
      <c r="W10183" t="s">
        <v>40028</v>
      </c>
      <c r="X10183" t="s">
        <v>40451</v>
      </c>
    </row>
    <row r="10184" spans="1:24">
      <c r="A10184">
        <f>HYPERLINK("https://www.philgeps.gov.ph/GEPSNONPILOT/Tender/SplashBidNoticeAbstractUI.aspx?menuIndex=3&amp;refID=7028336&amp;Result=3","7028336")</f>
        <v>0</v>
      </c>
      <c r="B10184" t="s">
        <v>185</v>
      </c>
      <c r="C10184" t="s">
        <v>12805</v>
      </c>
      <c r="E10184" t="s">
        <v>19174</v>
      </c>
      <c r="F10184" t="s">
        <v>28200</v>
      </c>
      <c r="G10184" t="s">
        <v>28205</v>
      </c>
      <c r="H10184" t="s">
        <v>28215</v>
      </c>
      <c r="I10184" t="s">
        <v>6013</v>
      </c>
      <c r="J10184" t="s">
        <v>34644</v>
      </c>
      <c r="K10184" t="s">
        <v>36697</v>
      </c>
      <c r="M10184" t="s">
        <v>37160</v>
      </c>
      <c r="N10184" t="s">
        <v>40436</v>
      </c>
      <c r="O10184" t="s">
        <v>40437</v>
      </c>
      <c r="P10184">
        <v>0</v>
      </c>
      <c r="Q10184">
        <v>0</v>
      </c>
      <c r="R10184" t="s">
        <v>40450</v>
      </c>
      <c r="S10184" t="s">
        <v>40961</v>
      </c>
      <c r="T10184" t="s">
        <v>42190</v>
      </c>
      <c r="U10184" t="s">
        <v>51115</v>
      </c>
      <c r="W10184" t="s">
        <v>37160</v>
      </c>
      <c r="X10184" t="s">
        <v>40451</v>
      </c>
    </row>
    <row r="10185" spans="1:24">
      <c r="A10185">
        <f>HYPERLINK("https://www.philgeps.gov.ph/GEPSNONPILOT/Tender/SplashBidNoticeAbstractUI.aspx?menuIndex=3&amp;refID=7028361&amp;Result=3","7028361")</f>
        <v>0</v>
      </c>
      <c r="B10185" t="s">
        <v>1950</v>
      </c>
      <c r="C10185" t="s">
        <v>12806</v>
      </c>
      <c r="E10185" t="s">
        <v>25141</v>
      </c>
      <c r="F10185" t="s">
        <v>28198</v>
      </c>
      <c r="G10185" t="s">
        <v>28205</v>
      </c>
      <c r="H10185" t="s">
        <v>28216</v>
      </c>
      <c r="I10185" t="s">
        <v>28216</v>
      </c>
      <c r="J10185" t="s">
        <v>28347</v>
      </c>
      <c r="K10185" t="s">
        <v>36689</v>
      </c>
      <c r="M10185" t="s">
        <v>39084</v>
      </c>
      <c r="N10185" t="s">
        <v>40436</v>
      </c>
      <c r="O10185" t="s">
        <v>40437</v>
      </c>
      <c r="P10185">
        <v>0</v>
      </c>
      <c r="Q10185">
        <v>14</v>
      </c>
      <c r="R10185" t="s">
        <v>40450</v>
      </c>
      <c r="S10185" t="s">
        <v>40961</v>
      </c>
      <c r="T10185" t="s">
        <v>42435</v>
      </c>
      <c r="U10185" t="s">
        <v>51116</v>
      </c>
      <c r="W10185" t="s">
        <v>39084</v>
      </c>
      <c r="X10185" t="s">
        <v>40451</v>
      </c>
    </row>
    <row r="10186" spans="1:24">
      <c r="A10186">
        <f>HYPERLINK("https://www.philgeps.gov.ph/GEPSNONPILOT/Tender/SplashBidNoticeAbstractUI.aspx?menuIndex=3&amp;refID=7028362&amp;Result=3","7028362")</f>
        <v>0</v>
      </c>
      <c r="B10186" t="s">
        <v>587</v>
      </c>
      <c r="C10186" t="s">
        <v>12807</v>
      </c>
      <c r="D10186" t="s">
        <v>16230</v>
      </c>
      <c r="E10186" t="s">
        <v>25142</v>
      </c>
      <c r="F10186" t="s">
        <v>28198</v>
      </c>
      <c r="G10186" t="s">
        <v>28205</v>
      </c>
      <c r="H10186" t="s">
        <v>28215</v>
      </c>
      <c r="I10186" t="s">
        <v>28281</v>
      </c>
      <c r="J10186" t="s">
        <v>34645</v>
      </c>
      <c r="K10186" t="s">
        <v>36707</v>
      </c>
      <c r="M10186" t="s">
        <v>37576</v>
      </c>
      <c r="N10186" t="s">
        <v>40436</v>
      </c>
      <c r="O10186" t="s">
        <v>40437</v>
      </c>
      <c r="P10186">
        <v>0</v>
      </c>
      <c r="Q10186">
        <v>4</v>
      </c>
      <c r="R10186" t="s">
        <v>40450</v>
      </c>
      <c r="S10186" t="s">
        <v>40961</v>
      </c>
      <c r="T10186" t="s">
        <v>42218</v>
      </c>
      <c r="U10186" t="s">
        <v>51117</v>
      </c>
      <c r="W10186" t="s">
        <v>37576</v>
      </c>
      <c r="X10186" t="s">
        <v>40451</v>
      </c>
    </row>
    <row r="10187" spans="1:24">
      <c r="A10187">
        <f>HYPERLINK("https://www.philgeps.gov.ph/GEPSNONPILOT/Tender/SplashBidNoticeAbstractUI.aspx?menuIndex=3&amp;refID=7028496&amp;Result=3","7028496")</f>
        <v>0</v>
      </c>
      <c r="B10187" t="s">
        <v>1161</v>
      </c>
      <c r="C10187" t="s">
        <v>5885</v>
      </c>
      <c r="D10187" t="s">
        <v>16228</v>
      </c>
      <c r="E10187" t="s">
        <v>25143</v>
      </c>
      <c r="F10187" t="s">
        <v>28201</v>
      </c>
      <c r="G10187" t="s">
        <v>28205</v>
      </c>
      <c r="H10187" t="s">
        <v>28214</v>
      </c>
      <c r="I10187" t="s">
        <v>3797</v>
      </c>
      <c r="J10187" t="s">
        <v>28354</v>
      </c>
      <c r="K10187" t="s">
        <v>36701</v>
      </c>
      <c r="M10187" t="s">
        <v>38201</v>
      </c>
      <c r="N10187" t="s">
        <v>40436</v>
      </c>
      <c r="O10187" t="s">
        <v>40437</v>
      </c>
      <c r="P10187">
        <v>0</v>
      </c>
      <c r="Q10187">
        <v>0</v>
      </c>
      <c r="R10187" t="s">
        <v>40450</v>
      </c>
      <c r="S10187" t="s">
        <v>40961</v>
      </c>
      <c r="T10187" t="s">
        <v>42144</v>
      </c>
      <c r="U10187" t="s">
        <v>51118</v>
      </c>
      <c r="W10187" t="s">
        <v>38201</v>
      </c>
      <c r="X10187" t="s">
        <v>40451</v>
      </c>
    </row>
    <row r="10188" spans="1:24">
      <c r="A10188">
        <f>HYPERLINK("https://www.philgeps.gov.ph/GEPSNONPILOT/Tender/SplashBidNoticeAbstractUI.aspx?menuIndex=3&amp;refID=7028393&amp;Result=3","7028393")</f>
        <v>0</v>
      </c>
      <c r="B10188" t="s">
        <v>2780</v>
      </c>
      <c r="C10188" t="s">
        <v>8924</v>
      </c>
      <c r="D10188" t="s">
        <v>16238</v>
      </c>
      <c r="E10188" t="s">
        <v>25144</v>
      </c>
      <c r="F10188" t="s">
        <v>28198</v>
      </c>
      <c r="G10188" t="s">
        <v>28205</v>
      </c>
      <c r="H10188" t="s">
        <v>28217</v>
      </c>
      <c r="I10188" t="s">
        <v>28231</v>
      </c>
      <c r="J10188" t="s">
        <v>29531</v>
      </c>
      <c r="K10188" t="s">
        <v>36698</v>
      </c>
      <c r="M10188" t="s">
        <v>40029</v>
      </c>
      <c r="N10188" t="s">
        <v>40436</v>
      </c>
      <c r="O10188" t="s">
        <v>40437</v>
      </c>
      <c r="Q10188">
        <v>1</v>
      </c>
      <c r="R10188" t="s">
        <v>40450</v>
      </c>
      <c r="S10188" t="s">
        <v>40976</v>
      </c>
      <c r="T10188" t="s">
        <v>42279</v>
      </c>
      <c r="U10188" t="s">
        <v>51119</v>
      </c>
      <c r="W10188" t="s">
        <v>40029</v>
      </c>
      <c r="X10188" t="s">
        <v>40451</v>
      </c>
    </row>
    <row r="10189" spans="1:24">
      <c r="A10189">
        <f>HYPERLINK("https://www.philgeps.gov.ph/GEPSNONPILOT/Tender/SplashBidNoticeAbstractUI.aspx?menuIndex=3&amp;refID=7028395&amp;Result=3","7028395")</f>
        <v>0</v>
      </c>
      <c r="B10189" t="s">
        <v>759</v>
      </c>
      <c r="C10189" t="s">
        <v>12808</v>
      </c>
      <c r="D10189" t="s">
        <v>16196</v>
      </c>
      <c r="E10189" t="s">
        <v>25145</v>
      </c>
      <c r="F10189" t="s">
        <v>28198</v>
      </c>
      <c r="G10189" t="s">
        <v>28205</v>
      </c>
      <c r="H10189" t="s">
        <v>28214</v>
      </c>
      <c r="I10189" t="s">
        <v>3797</v>
      </c>
      <c r="J10189" t="s">
        <v>34646</v>
      </c>
      <c r="K10189" t="s">
        <v>36689</v>
      </c>
      <c r="M10189" t="s">
        <v>37762</v>
      </c>
      <c r="N10189" t="s">
        <v>40436</v>
      </c>
      <c r="O10189" t="s">
        <v>40437</v>
      </c>
      <c r="P10189">
        <v>0</v>
      </c>
      <c r="Q10189">
        <v>3</v>
      </c>
      <c r="R10189" t="s">
        <v>40450</v>
      </c>
      <c r="S10189" t="s">
        <v>40961</v>
      </c>
      <c r="T10189" t="s">
        <v>42183</v>
      </c>
      <c r="U10189" t="s">
        <v>51120</v>
      </c>
      <c r="W10189" t="s">
        <v>37762</v>
      </c>
      <c r="X10189" t="s">
        <v>40451</v>
      </c>
    </row>
    <row r="10190" spans="1:24">
      <c r="A10190">
        <f>HYPERLINK("https://www.philgeps.gov.ph/GEPSNONPILOT/Tender/SplashBidNoticeAbstractUI.aspx?menuIndex=3&amp;refID=7028468&amp;Result=3","7028468")</f>
        <v>0</v>
      </c>
      <c r="B10190" t="s">
        <v>587</v>
      </c>
      <c r="C10190" t="s">
        <v>12809</v>
      </c>
      <c r="D10190" t="s">
        <v>16230</v>
      </c>
      <c r="E10190" t="s">
        <v>25146</v>
      </c>
      <c r="F10190" t="s">
        <v>28198</v>
      </c>
      <c r="G10190" t="s">
        <v>28205</v>
      </c>
      <c r="H10190" t="s">
        <v>28215</v>
      </c>
      <c r="I10190" t="s">
        <v>3422</v>
      </c>
      <c r="J10190" t="s">
        <v>34647</v>
      </c>
      <c r="K10190" t="s">
        <v>36707</v>
      </c>
      <c r="M10190" t="s">
        <v>37576</v>
      </c>
      <c r="N10190" t="s">
        <v>40436</v>
      </c>
      <c r="O10190" t="s">
        <v>40437</v>
      </c>
      <c r="P10190">
        <v>0</v>
      </c>
      <c r="Q10190">
        <v>2</v>
      </c>
      <c r="R10190" t="s">
        <v>40450</v>
      </c>
      <c r="S10190" t="s">
        <v>40961</v>
      </c>
      <c r="T10190" t="s">
        <v>42144</v>
      </c>
      <c r="U10190" t="s">
        <v>51121</v>
      </c>
      <c r="W10190" t="s">
        <v>37576</v>
      </c>
      <c r="X10190" t="s">
        <v>40451</v>
      </c>
    </row>
    <row r="10191" spans="1:24">
      <c r="A10191">
        <f>HYPERLINK("https://www.philgeps.gov.ph/GEPSNONPILOT/Tender/SplashBidNoticeAbstractUI.aspx?menuIndex=3&amp;refID=7028501&amp;Result=3","7028501")</f>
        <v>0</v>
      </c>
      <c r="B10191" t="s">
        <v>587</v>
      </c>
      <c r="C10191" t="s">
        <v>12810</v>
      </c>
      <c r="D10191" t="s">
        <v>16230</v>
      </c>
      <c r="E10191" t="s">
        <v>25147</v>
      </c>
      <c r="F10191" t="s">
        <v>28198</v>
      </c>
      <c r="G10191" t="s">
        <v>28205</v>
      </c>
      <c r="H10191" t="s">
        <v>28215</v>
      </c>
      <c r="I10191" t="s">
        <v>3422</v>
      </c>
      <c r="J10191" t="s">
        <v>34642</v>
      </c>
      <c r="K10191" t="s">
        <v>36707</v>
      </c>
      <c r="M10191" t="s">
        <v>37576</v>
      </c>
      <c r="N10191" t="s">
        <v>40436</v>
      </c>
      <c r="O10191" t="s">
        <v>40437</v>
      </c>
      <c r="P10191">
        <v>0</v>
      </c>
      <c r="Q10191">
        <v>1</v>
      </c>
      <c r="R10191" t="s">
        <v>40450</v>
      </c>
      <c r="S10191" t="s">
        <v>40961</v>
      </c>
      <c r="T10191" t="s">
        <v>42229</v>
      </c>
      <c r="U10191" t="s">
        <v>51122</v>
      </c>
      <c r="W10191" t="s">
        <v>37576</v>
      </c>
      <c r="X10191" t="s">
        <v>40451</v>
      </c>
    </row>
    <row r="10192" spans="1:24">
      <c r="A10192">
        <f>HYPERLINK("https://www.philgeps.gov.ph/GEPSNONPILOT/Tender/SplashBidNoticeAbstractUI.aspx?menuIndex=3&amp;refID=7028394&amp;Result=3","7028394")</f>
        <v>0</v>
      </c>
      <c r="B10192" t="s">
        <v>1950</v>
      </c>
      <c r="C10192" t="s">
        <v>8695</v>
      </c>
      <c r="E10192" t="s">
        <v>25148</v>
      </c>
      <c r="F10192" t="s">
        <v>28198</v>
      </c>
      <c r="G10192" t="s">
        <v>28205</v>
      </c>
      <c r="H10192" t="s">
        <v>28217</v>
      </c>
      <c r="I10192" t="s">
        <v>28231</v>
      </c>
      <c r="J10192" t="s">
        <v>34648</v>
      </c>
      <c r="K10192" t="s">
        <v>36756</v>
      </c>
      <c r="M10192" t="s">
        <v>39084</v>
      </c>
      <c r="N10192" t="s">
        <v>40436</v>
      </c>
      <c r="O10192" t="s">
        <v>40437</v>
      </c>
      <c r="P10192">
        <v>0</v>
      </c>
      <c r="Q10192">
        <v>1</v>
      </c>
      <c r="R10192" t="s">
        <v>40450</v>
      </c>
      <c r="S10192" t="s">
        <v>40961</v>
      </c>
      <c r="T10192" t="s">
        <v>42435</v>
      </c>
      <c r="U10192" t="s">
        <v>47644</v>
      </c>
      <c r="W10192" t="s">
        <v>39084</v>
      </c>
      <c r="X10192" t="s">
        <v>40451</v>
      </c>
    </row>
    <row r="10193" spans="1:24">
      <c r="A10193">
        <f>HYPERLINK("https://www.philgeps.gov.ph/GEPSNONPILOT/Tender/SplashBidNoticeAbstractUI.aspx?menuIndex=3&amp;refID=7028445&amp;Result=3","7028445")</f>
        <v>0</v>
      </c>
      <c r="B10193" t="s">
        <v>2778</v>
      </c>
      <c r="C10193" t="s">
        <v>12811</v>
      </c>
      <c r="D10193" t="s">
        <v>16244</v>
      </c>
      <c r="E10193" t="s">
        <v>18532</v>
      </c>
      <c r="F10193" t="s">
        <v>28198</v>
      </c>
      <c r="G10193" t="s">
        <v>28205</v>
      </c>
      <c r="H10193" t="s">
        <v>28215</v>
      </c>
      <c r="I10193" t="s">
        <v>28225</v>
      </c>
      <c r="J10193" t="s">
        <v>34649</v>
      </c>
      <c r="K10193" t="s">
        <v>36688</v>
      </c>
      <c r="M10193" t="s">
        <v>40027</v>
      </c>
      <c r="N10193" t="s">
        <v>40436</v>
      </c>
      <c r="O10193" t="s">
        <v>40437</v>
      </c>
      <c r="P10193">
        <v>0</v>
      </c>
      <c r="Q10193">
        <v>1</v>
      </c>
      <c r="R10193" t="s">
        <v>40450</v>
      </c>
      <c r="S10193" t="s">
        <v>40961</v>
      </c>
      <c r="T10193" t="s">
        <v>42218</v>
      </c>
      <c r="U10193" t="s">
        <v>51123</v>
      </c>
      <c r="W10193" t="s">
        <v>40027</v>
      </c>
      <c r="X10193" t="s">
        <v>40451</v>
      </c>
    </row>
    <row r="10194" spans="1:24">
      <c r="A10194">
        <f>HYPERLINK("https://www.philgeps.gov.ph/GEPSNONPILOT/Tender/SplashBidNoticeAbstractUI.aspx?menuIndex=3&amp;refID=7028449&amp;Result=3","7028449")</f>
        <v>0</v>
      </c>
      <c r="B10194" t="s">
        <v>587</v>
      </c>
      <c r="C10194" t="s">
        <v>12812</v>
      </c>
      <c r="D10194" t="s">
        <v>16230</v>
      </c>
      <c r="E10194" t="s">
        <v>25149</v>
      </c>
      <c r="F10194" t="s">
        <v>28198</v>
      </c>
      <c r="G10194" t="s">
        <v>28205</v>
      </c>
      <c r="H10194" t="s">
        <v>28215</v>
      </c>
      <c r="I10194" t="s">
        <v>3422</v>
      </c>
      <c r="J10194" t="s">
        <v>34650</v>
      </c>
      <c r="K10194" t="s">
        <v>36707</v>
      </c>
      <c r="M10194" t="s">
        <v>37576</v>
      </c>
      <c r="N10194" t="s">
        <v>40436</v>
      </c>
      <c r="O10194" t="s">
        <v>40437</v>
      </c>
      <c r="P10194">
        <v>0</v>
      </c>
      <c r="Q10194">
        <v>1</v>
      </c>
      <c r="R10194" t="s">
        <v>40450</v>
      </c>
      <c r="S10194" t="s">
        <v>40961</v>
      </c>
      <c r="T10194" t="s">
        <v>42129</v>
      </c>
      <c r="U10194" t="s">
        <v>51124</v>
      </c>
      <c r="W10194" t="s">
        <v>37576</v>
      </c>
      <c r="X10194" t="s">
        <v>40451</v>
      </c>
    </row>
    <row r="10195" spans="1:24">
      <c r="A10195">
        <f>HYPERLINK("https://www.philgeps.gov.ph/GEPSNONPILOT/Tender/SplashBidNoticeAbstractUI.aspx?menuIndex=3&amp;refID=7028442&amp;Result=3","7028442")</f>
        <v>0</v>
      </c>
      <c r="B10195" t="s">
        <v>2781</v>
      </c>
      <c r="C10195" t="s">
        <v>12813</v>
      </c>
      <c r="D10195" t="s">
        <v>16233</v>
      </c>
      <c r="E10195" t="s">
        <v>18331</v>
      </c>
      <c r="F10195" t="s">
        <v>28198</v>
      </c>
      <c r="G10195" t="s">
        <v>28205</v>
      </c>
      <c r="H10195" t="s">
        <v>28215</v>
      </c>
      <c r="I10195" t="s">
        <v>28327</v>
      </c>
      <c r="J10195" t="s">
        <v>34651</v>
      </c>
      <c r="K10195" t="s">
        <v>36689</v>
      </c>
      <c r="M10195" t="s">
        <v>40030</v>
      </c>
      <c r="N10195" t="s">
        <v>40436</v>
      </c>
      <c r="O10195" t="s">
        <v>40437</v>
      </c>
      <c r="P10195">
        <v>0</v>
      </c>
      <c r="Q10195">
        <v>3</v>
      </c>
      <c r="R10195" t="s">
        <v>40450</v>
      </c>
      <c r="S10195" t="s">
        <v>40961</v>
      </c>
      <c r="T10195" t="s">
        <v>42176</v>
      </c>
      <c r="U10195" t="s">
        <v>51125</v>
      </c>
      <c r="V10195" t="s">
        <v>54899</v>
      </c>
      <c r="W10195" t="s">
        <v>40030</v>
      </c>
      <c r="X10195" t="s">
        <v>40451</v>
      </c>
    </row>
    <row r="10196" spans="1:24">
      <c r="A10196">
        <f>HYPERLINK("https://www.philgeps.gov.ph/GEPSNONPILOT/Tender/SplashBidNoticeAbstractUI.aspx?menuIndex=3&amp;refID=7028376&amp;Result=3","7028376")</f>
        <v>0</v>
      </c>
      <c r="B10196" t="s">
        <v>248</v>
      </c>
      <c r="C10196" t="s">
        <v>12814</v>
      </c>
      <c r="D10196" t="s">
        <v>16221</v>
      </c>
      <c r="E10196" t="s">
        <v>25150</v>
      </c>
      <c r="F10196" t="s">
        <v>28198</v>
      </c>
      <c r="G10196" t="s">
        <v>28205</v>
      </c>
      <c r="H10196" t="s">
        <v>28214</v>
      </c>
      <c r="I10196" t="s">
        <v>8870</v>
      </c>
      <c r="J10196" t="s">
        <v>34652</v>
      </c>
      <c r="K10196" t="s">
        <v>36697</v>
      </c>
      <c r="M10196" t="s">
        <v>37224</v>
      </c>
      <c r="N10196" t="s">
        <v>40436</v>
      </c>
      <c r="O10196" t="s">
        <v>40437</v>
      </c>
      <c r="P10196">
        <v>0</v>
      </c>
      <c r="Q10196">
        <v>5</v>
      </c>
      <c r="R10196" t="s">
        <v>40450</v>
      </c>
      <c r="S10196" t="s">
        <v>40961</v>
      </c>
      <c r="T10196" t="s">
        <v>42188</v>
      </c>
      <c r="U10196" t="s">
        <v>43006</v>
      </c>
      <c r="W10196" t="s">
        <v>37224</v>
      </c>
      <c r="X10196" t="s">
        <v>40451</v>
      </c>
    </row>
    <row r="10197" spans="1:24">
      <c r="A10197">
        <f>HYPERLINK("https://www.philgeps.gov.ph/GEPSNONPILOT/Tender/SplashBidNoticeAbstractUI.aspx?menuIndex=3&amp;refID=7028475&amp;Result=3","7028475")</f>
        <v>0</v>
      </c>
      <c r="B10197" t="s">
        <v>309</v>
      </c>
      <c r="C10197" t="s">
        <v>12815</v>
      </c>
      <c r="D10197" t="s">
        <v>16228</v>
      </c>
      <c r="E10197" t="s">
        <v>25151</v>
      </c>
      <c r="F10197" t="s">
        <v>28200</v>
      </c>
      <c r="G10197" t="s">
        <v>28207</v>
      </c>
      <c r="H10197" t="s">
        <v>28215</v>
      </c>
      <c r="I10197" t="s">
        <v>28228</v>
      </c>
      <c r="J10197" t="s">
        <v>34653</v>
      </c>
      <c r="K10197" t="s">
        <v>36698</v>
      </c>
      <c r="M10197" t="s">
        <v>37286</v>
      </c>
      <c r="N10197" t="s">
        <v>40436</v>
      </c>
      <c r="O10197" t="s">
        <v>40437</v>
      </c>
      <c r="P10197">
        <v>0</v>
      </c>
      <c r="Q10197">
        <v>0</v>
      </c>
      <c r="R10197" t="s">
        <v>40450</v>
      </c>
      <c r="S10197" t="s">
        <v>40961</v>
      </c>
      <c r="T10197" t="s">
        <v>42277</v>
      </c>
      <c r="U10197" t="s">
        <v>44334</v>
      </c>
      <c r="V10197" t="s">
        <v>53847</v>
      </c>
      <c r="W10197" t="s">
        <v>55440</v>
      </c>
      <c r="X10197" t="s">
        <v>40451</v>
      </c>
    </row>
    <row r="10198" spans="1:24">
      <c r="A10198">
        <f>HYPERLINK("https://www.philgeps.gov.ph/GEPSNONPILOT/Tender/SplashBidNoticeAbstractUI.aspx?menuIndex=3&amp;refID=7028385&amp;Result=3","7028385")</f>
        <v>0</v>
      </c>
      <c r="B10198" t="s">
        <v>1086</v>
      </c>
      <c r="C10198" t="s">
        <v>12816</v>
      </c>
      <c r="D10198" t="s">
        <v>16241</v>
      </c>
      <c r="E10198" t="s">
        <v>25152</v>
      </c>
      <c r="F10198" t="s">
        <v>28198</v>
      </c>
      <c r="G10198" t="s">
        <v>28205</v>
      </c>
      <c r="H10198" t="s">
        <v>28214</v>
      </c>
      <c r="I10198" t="s">
        <v>3797</v>
      </c>
      <c r="J10198" t="s">
        <v>30908</v>
      </c>
      <c r="K10198" t="s">
        <v>36705</v>
      </c>
      <c r="M10198" t="s">
        <v>38121</v>
      </c>
      <c r="N10198" t="s">
        <v>40436</v>
      </c>
      <c r="O10198" t="s">
        <v>40437</v>
      </c>
      <c r="P10198">
        <v>0</v>
      </c>
      <c r="Q10198">
        <v>2</v>
      </c>
      <c r="R10198" t="s">
        <v>40450</v>
      </c>
      <c r="S10198" t="s">
        <v>40961</v>
      </c>
      <c r="T10198" t="s">
        <v>42133</v>
      </c>
      <c r="U10198" t="s">
        <v>51126</v>
      </c>
      <c r="W10198" t="s">
        <v>38121</v>
      </c>
      <c r="X10198" t="s">
        <v>40451</v>
      </c>
    </row>
    <row r="10199" spans="1:24">
      <c r="A10199">
        <f>HYPERLINK("https://www.philgeps.gov.ph/GEPSNONPILOT/Tender/SplashBidNoticeAbstractUI.aspx?menuIndex=3&amp;refID=7028443&amp;Result=3","7028443")</f>
        <v>0</v>
      </c>
      <c r="B10199" t="s">
        <v>2760</v>
      </c>
      <c r="C10199" t="s">
        <v>12817</v>
      </c>
      <c r="D10199" t="s">
        <v>16201</v>
      </c>
      <c r="E10199" t="s">
        <v>25153</v>
      </c>
      <c r="F10199" t="s">
        <v>28198</v>
      </c>
      <c r="G10199" t="s">
        <v>28205</v>
      </c>
      <c r="H10199" t="s">
        <v>28214</v>
      </c>
      <c r="I10199" t="s">
        <v>3797</v>
      </c>
      <c r="J10199" t="s">
        <v>34654</v>
      </c>
      <c r="K10199" t="s">
        <v>36717</v>
      </c>
      <c r="M10199" t="s">
        <v>40009</v>
      </c>
      <c r="N10199" t="s">
        <v>40436</v>
      </c>
      <c r="O10199" t="s">
        <v>40437</v>
      </c>
      <c r="P10199">
        <v>0</v>
      </c>
      <c r="Q10199">
        <v>2</v>
      </c>
      <c r="R10199" t="s">
        <v>40450</v>
      </c>
      <c r="S10199" t="s">
        <v>40961</v>
      </c>
      <c r="T10199" t="s">
        <v>42535</v>
      </c>
      <c r="U10199" t="s">
        <v>51127</v>
      </c>
      <c r="W10199" t="s">
        <v>40009</v>
      </c>
      <c r="X10199" t="s">
        <v>40451</v>
      </c>
    </row>
    <row r="10200" spans="1:24">
      <c r="A10200">
        <f>HYPERLINK("https://www.philgeps.gov.ph/GEPSNONPILOT/Tender/SplashBidNoticeAbstractUI.aspx?menuIndex=3&amp;refID=7028405&amp;Result=3","7028405")</f>
        <v>0</v>
      </c>
      <c r="B10200" t="s">
        <v>2716</v>
      </c>
      <c r="C10200" t="s">
        <v>12818</v>
      </c>
      <c r="D10200" t="s">
        <v>16202</v>
      </c>
      <c r="E10200" t="s">
        <v>25154</v>
      </c>
      <c r="F10200" t="s">
        <v>28198</v>
      </c>
      <c r="G10200" t="s">
        <v>28205</v>
      </c>
      <c r="H10200" t="s">
        <v>28214</v>
      </c>
      <c r="I10200" t="s">
        <v>3797</v>
      </c>
      <c r="J10200" t="s">
        <v>34655</v>
      </c>
      <c r="K10200" t="s">
        <v>36747</v>
      </c>
      <c r="M10200" t="s">
        <v>39959</v>
      </c>
      <c r="N10200" t="s">
        <v>40436</v>
      </c>
      <c r="O10200" t="s">
        <v>40437</v>
      </c>
      <c r="P10200">
        <v>0</v>
      </c>
      <c r="Q10200">
        <v>0</v>
      </c>
      <c r="R10200" t="s">
        <v>40450</v>
      </c>
      <c r="S10200" t="s">
        <v>40961</v>
      </c>
      <c r="T10200" t="s">
        <v>42243</v>
      </c>
      <c r="U10200" t="s">
        <v>50800</v>
      </c>
      <c r="W10200" t="s">
        <v>39959</v>
      </c>
      <c r="X10200" t="s">
        <v>40451</v>
      </c>
    </row>
    <row r="10201" spans="1:24">
      <c r="A10201">
        <f>HYPERLINK("https://www.philgeps.gov.ph/GEPSNONPILOT/Tender/SplashBidNoticeAbstractUI.aspx?menuIndex=3&amp;refID=7028420&amp;Result=3","7028420")</f>
        <v>0</v>
      </c>
      <c r="B10201" t="s">
        <v>1161</v>
      </c>
      <c r="C10201" t="s">
        <v>12819</v>
      </c>
      <c r="D10201" t="s">
        <v>16228</v>
      </c>
      <c r="E10201" t="s">
        <v>21190</v>
      </c>
      <c r="F10201" t="s">
        <v>28201</v>
      </c>
      <c r="G10201" t="s">
        <v>28205</v>
      </c>
      <c r="H10201" t="s">
        <v>28215</v>
      </c>
      <c r="I10201" t="s">
        <v>5082</v>
      </c>
      <c r="J10201" t="s">
        <v>34656</v>
      </c>
      <c r="K10201" t="s">
        <v>36688</v>
      </c>
      <c r="M10201" t="s">
        <v>38201</v>
      </c>
      <c r="N10201" t="s">
        <v>40436</v>
      </c>
      <c r="O10201" t="s">
        <v>40437</v>
      </c>
      <c r="P10201">
        <v>0</v>
      </c>
      <c r="Q10201">
        <v>0</v>
      </c>
      <c r="R10201" t="s">
        <v>40450</v>
      </c>
      <c r="S10201" t="s">
        <v>40961</v>
      </c>
      <c r="T10201" t="s">
        <v>42144</v>
      </c>
      <c r="U10201" t="s">
        <v>51128</v>
      </c>
      <c r="W10201" t="s">
        <v>38201</v>
      </c>
      <c r="X10201" t="s">
        <v>40451</v>
      </c>
    </row>
    <row r="10202" spans="1:24">
      <c r="A10202">
        <f>HYPERLINK("https://www.philgeps.gov.ph/GEPSNONPILOT/Tender/SplashBidNoticeAbstractUI.aspx?menuIndex=3&amp;refID=7028467&amp;Result=3","7028467")</f>
        <v>0</v>
      </c>
      <c r="B10202" t="s">
        <v>1161</v>
      </c>
      <c r="C10202" t="s">
        <v>12820</v>
      </c>
      <c r="D10202" t="s">
        <v>16228</v>
      </c>
      <c r="E10202" t="s">
        <v>16350</v>
      </c>
      <c r="F10202" t="s">
        <v>28201</v>
      </c>
      <c r="G10202" t="s">
        <v>28205</v>
      </c>
      <c r="H10202" t="s">
        <v>28215</v>
      </c>
      <c r="I10202" t="s">
        <v>5082</v>
      </c>
      <c r="J10202" t="s">
        <v>34657</v>
      </c>
      <c r="K10202" t="s">
        <v>36688</v>
      </c>
      <c r="M10202" t="s">
        <v>38201</v>
      </c>
      <c r="N10202" t="s">
        <v>40436</v>
      </c>
      <c r="O10202" t="s">
        <v>40437</v>
      </c>
      <c r="P10202">
        <v>0</v>
      </c>
      <c r="Q10202">
        <v>0</v>
      </c>
      <c r="R10202" t="s">
        <v>40450</v>
      </c>
      <c r="S10202" t="s">
        <v>40961</v>
      </c>
      <c r="T10202" t="s">
        <v>42144</v>
      </c>
      <c r="U10202" t="s">
        <v>51129</v>
      </c>
      <c r="W10202" t="s">
        <v>38201</v>
      </c>
      <c r="X10202" t="s">
        <v>40451</v>
      </c>
    </row>
    <row r="10203" spans="1:24">
      <c r="A10203">
        <f>HYPERLINK("https://www.philgeps.gov.ph/GEPSNONPILOT/Tender/SplashBidNoticeAbstractUI.aspx?menuIndex=3&amp;refID=7028419&amp;Result=3","7028419")</f>
        <v>0</v>
      </c>
      <c r="B10203" t="s">
        <v>759</v>
      </c>
      <c r="C10203" t="s">
        <v>12821</v>
      </c>
      <c r="D10203" t="s">
        <v>16196</v>
      </c>
      <c r="E10203" t="s">
        <v>25155</v>
      </c>
      <c r="F10203" t="s">
        <v>28198</v>
      </c>
      <c r="G10203" t="s">
        <v>28205</v>
      </c>
      <c r="H10203" t="s">
        <v>28214</v>
      </c>
      <c r="I10203" t="s">
        <v>3797</v>
      </c>
      <c r="J10203" t="s">
        <v>34658</v>
      </c>
      <c r="K10203" t="s">
        <v>36689</v>
      </c>
      <c r="M10203" t="s">
        <v>37762</v>
      </c>
      <c r="N10203" t="s">
        <v>40436</v>
      </c>
      <c r="O10203" t="s">
        <v>40437</v>
      </c>
      <c r="Q10203">
        <v>4</v>
      </c>
      <c r="R10203" t="s">
        <v>40450</v>
      </c>
      <c r="S10203" t="s">
        <v>40977</v>
      </c>
      <c r="T10203" t="s">
        <v>42183</v>
      </c>
      <c r="U10203" t="s">
        <v>51120</v>
      </c>
      <c r="W10203" t="s">
        <v>37762</v>
      </c>
      <c r="X10203" t="s">
        <v>40451</v>
      </c>
    </row>
    <row r="10204" spans="1:24">
      <c r="A10204">
        <f>HYPERLINK("https://www.philgeps.gov.ph/GEPSNONPILOT/Tender/SplashBidNoticeAbstractUI.aspx?menuIndex=3&amp;refID=7028412&amp;Result=3","7028412")</f>
        <v>0</v>
      </c>
      <c r="B10204" t="s">
        <v>2651</v>
      </c>
      <c r="C10204" t="s">
        <v>12822</v>
      </c>
      <c r="D10204" t="s">
        <v>16261</v>
      </c>
      <c r="E10204" t="s">
        <v>25156</v>
      </c>
      <c r="F10204" t="s">
        <v>28198</v>
      </c>
      <c r="G10204" t="s">
        <v>28205</v>
      </c>
      <c r="H10204" t="s">
        <v>28214</v>
      </c>
      <c r="I10204" t="s">
        <v>3797</v>
      </c>
      <c r="J10204" t="s">
        <v>28561</v>
      </c>
      <c r="K10204" t="s">
        <v>36689</v>
      </c>
      <c r="M10204" t="s">
        <v>39878</v>
      </c>
      <c r="N10204" t="s">
        <v>40436</v>
      </c>
      <c r="O10204" t="s">
        <v>40437</v>
      </c>
      <c r="P10204">
        <v>0</v>
      </c>
      <c r="Q10204">
        <v>0</v>
      </c>
      <c r="R10204" t="s">
        <v>40450</v>
      </c>
      <c r="S10204" t="s">
        <v>40961</v>
      </c>
      <c r="T10204" t="s">
        <v>42188</v>
      </c>
      <c r="U10204" t="s">
        <v>51130</v>
      </c>
      <c r="V10204" t="s">
        <v>54900</v>
      </c>
      <c r="W10204" t="s">
        <v>39878</v>
      </c>
      <c r="X10204" t="s">
        <v>40451</v>
      </c>
    </row>
    <row r="10205" spans="1:24">
      <c r="A10205">
        <f>HYPERLINK("https://www.philgeps.gov.ph/GEPSNONPILOT/Tender/SplashBidNoticeAbstractUI.aspx?menuIndex=3&amp;refID=7028507&amp;Result=3","7028507")</f>
        <v>0</v>
      </c>
      <c r="B10205" t="s">
        <v>2782</v>
      </c>
      <c r="C10205" t="s">
        <v>12823</v>
      </c>
      <c r="D10205" t="s">
        <v>16242</v>
      </c>
      <c r="E10205" t="s">
        <v>25157</v>
      </c>
      <c r="F10205" t="s">
        <v>28198</v>
      </c>
      <c r="G10205" t="s">
        <v>28205</v>
      </c>
      <c r="H10205" t="s">
        <v>28214</v>
      </c>
      <c r="I10205" t="s">
        <v>3797</v>
      </c>
      <c r="J10205" t="s">
        <v>33573</v>
      </c>
      <c r="K10205" t="s">
        <v>36692</v>
      </c>
      <c r="M10205" t="s">
        <v>40031</v>
      </c>
      <c r="N10205" t="s">
        <v>40436</v>
      </c>
      <c r="O10205" t="s">
        <v>40437</v>
      </c>
      <c r="P10205">
        <v>0</v>
      </c>
      <c r="Q10205">
        <v>1</v>
      </c>
      <c r="R10205" t="s">
        <v>40450</v>
      </c>
      <c r="S10205" t="s">
        <v>40961</v>
      </c>
      <c r="T10205" t="s">
        <v>42482</v>
      </c>
      <c r="U10205" t="s">
        <v>51131</v>
      </c>
      <c r="W10205" t="s">
        <v>40031</v>
      </c>
      <c r="X10205" t="s">
        <v>40451</v>
      </c>
    </row>
    <row r="10206" spans="1:24">
      <c r="A10206">
        <f>HYPERLINK("https://www.philgeps.gov.ph/GEPSNONPILOT/Tender/SplashBidNoticeAbstractUI.aspx?menuIndex=3&amp;refID=7028508&amp;Result=3","7028508")</f>
        <v>0</v>
      </c>
      <c r="B10206" t="s">
        <v>2651</v>
      </c>
      <c r="C10206" t="s">
        <v>12824</v>
      </c>
      <c r="D10206" t="s">
        <v>16261</v>
      </c>
      <c r="E10206" t="s">
        <v>25156</v>
      </c>
      <c r="F10206" t="s">
        <v>28198</v>
      </c>
      <c r="G10206" t="s">
        <v>28205</v>
      </c>
      <c r="H10206" t="s">
        <v>28214</v>
      </c>
      <c r="I10206" t="s">
        <v>3797</v>
      </c>
      <c r="J10206" t="s">
        <v>28561</v>
      </c>
      <c r="K10206" t="s">
        <v>36689</v>
      </c>
      <c r="M10206" t="s">
        <v>39878</v>
      </c>
      <c r="N10206" t="s">
        <v>40436</v>
      </c>
      <c r="O10206" t="s">
        <v>40437</v>
      </c>
      <c r="P10206">
        <v>0</v>
      </c>
      <c r="Q10206">
        <v>0</v>
      </c>
      <c r="R10206" t="s">
        <v>40450</v>
      </c>
      <c r="S10206" t="s">
        <v>40961</v>
      </c>
      <c r="T10206" t="s">
        <v>42188</v>
      </c>
      <c r="U10206" t="s">
        <v>51132</v>
      </c>
      <c r="V10206" t="s">
        <v>54900</v>
      </c>
      <c r="W10206" t="s">
        <v>39878</v>
      </c>
      <c r="X10206" t="s">
        <v>40451</v>
      </c>
    </row>
    <row r="10207" spans="1:24">
      <c r="A10207">
        <f>HYPERLINK("https://www.philgeps.gov.ph/GEPSNONPILOT/Tender/SplashBidNoticeAbstractUI.aspx?menuIndex=3&amp;refID=7028607&amp;Result=3","7028607")</f>
        <v>0</v>
      </c>
      <c r="B10207" t="s">
        <v>309</v>
      </c>
      <c r="C10207" t="s">
        <v>12825</v>
      </c>
      <c r="D10207" t="s">
        <v>16228</v>
      </c>
      <c r="E10207" t="s">
        <v>25158</v>
      </c>
      <c r="F10207" t="s">
        <v>28200</v>
      </c>
      <c r="G10207" t="s">
        <v>28207</v>
      </c>
      <c r="H10207" t="s">
        <v>28215</v>
      </c>
      <c r="I10207" t="s">
        <v>4505</v>
      </c>
      <c r="J10207" t="s">
        <v>34659</v>
      </c>
      <c r="K10207" t="s">
        <v>36701</v>
      </c>
      <c r="M10207" t="s">
        <v>37286</v>
      </c>
      <c r="N10207" t="s">
        <v>40436</v>
      </c>
      <c r="O10207" t="s">
        <v>40437</v>
      </c>
      <c r="P10207">
        <v>0</v>
      </c>
      <c r="Q10207">
        <v>7</v>
      </c>
      <c r="R10207" t="s">
        <v>40450</v>
      </c>
      <c r="S10207" t="s">
        <v>40961</v>
      </c>
      <c r="T10207" t="s">
        <v>42277</v>
      </c>
      <c r="U10207" t="s">
        <v>44334</v>
      </c>
      <c r="V10207" t="s">
        <v>53847</v>
      </c>
      <c r="W10207" t="s">
        <v>55440</v>
      </c>
      <c r="X10207" t="s">
        <v>40451</v>
      </c>
    </row>
    <row r="10208" spans="1:24">
      <c r="A10208">
        <f>HYPERLINK("https://www.philgeps.gov.ph/GEPSNONPILOT/Tender/SplashBidNoticeAbstractUI.aspx?menuIndex=3&amp;refID=7028526&amp;Result=3","7028526")</f>
        <v>0</v>
      </c>
      <c r="B10208" t="s">
        <v>2599</v>
      </c>
      <c r="C10208" t="s">
        <v>12826</v>
      </c>
      <c r="D10208" t="s">
        <v>16195</v>
      </c>
      <c r="E10208" t="s">
        <v>24124</v>
      </c>
      <c r="F10208" t="s">
        <v>28198</v>
      </c>
      <c r="G10208" t="s">
        <v>28205</v>
      </c>
      <c r="H10208" t="s">
        <v>28215</v>
      </c>
      <c r="I10208" t="s">
        <v>28246</v>
      </c>
      <c r="J10208" t="s">
        <v>34660</v>
      </c>
      <c r="K10208" t="s">
        <v>36701</v>
      </c>
      <c r="M10208" t="s">
        <v>39815</v>
      </c>
      <c r="N10208" t="s">
        <v>40436</v>
      </c>
      <c r="O10208" t="s">
        <v>40437</v>
      </c>
      <c r="P10208">
        <v>0</v>
      </c>
      <c r="Q10208">
        <v>1</v>
      </c>
      <c r="R10208" t="s">
        <v>40450</v>
      </c>
      <c r="S10208" t="s">
        <v>40961</v>
      </c>
      <c r="T10208" t="s">
        <v>42265</v>
      </c>
      <c r="U10208" t="s">
        <v>51133</v>
      </c>
      <c r="V10208" t="s">
        <v>54745</v>
      </c>
      <c r="W10208" t="s">
        <v>39815</v>
      </c>
      <c r="X10208" t="s">
        <v>40451</v>
      </c>
    </row>
    <row r="10209" spans="1:24">
      <c r="A10209">
        <f>HYPERLINK("https://www.philgeps.gov.ph/GEPSNONPILOT/Tender/SplashBidNoticeAbstractUI.aspx?menuIndex=3&amp;refID=7028574&amp;Result=3","7028574")</f>
        <v>0</v>
      </c>
      <c r="B10209" t="s">
        <v>2651</v>
      </c>
      <c r="C10209" t="s">
        <v>12827</v>
      </c>
      <c r="D10209" t="s">
        <v>16261</v>
      </c>
      <c r="E10209" t="s">
        <v>25156</v>
      </c>
      <c r="F10209" t="s">
        <v>28198</v>
      </c>
      <c r="G10209" t="s">
        <v>28205</v>
      </c>
      <c r="H10209" t="s">
        <v>28214</v>
      </c>
      <c r="I10209" t="s">
        <v>3797</v>
      </c>
      <c r="J10209" t="s">
        <v>28379</v>
      </c>
      <c r="K10209" t="s">
        <v>36689</v>
      </c>
      <c r="M10209" t="s">
        <v>39878</v>
      </c>
      <c r="N10209" t="s">
        <v>40436</v>
      </c>
      <c r="O10209" t="s">
        <v>40437</v>
      </c>
      <c r="P10209">
        <v>0</v>
      </c>
      <c r="Q10209">
        <v>0</v>
      </c>
      <c r="R10209" t="s">
        <v>40450</v>
      </c>
      <c r="S10209" t="s">
        <v>40961</v>
      </c>
      <c r="T10209" t="s">
        <v>42279</v>
      </c>
      <c r="U10209" t="s">
        <v>51134</v>
      </c>
      <c r="V10209" t="s">
        <v>54901</v>
      </c>
      <c r="W10209" t="s">
        <v>39878</v>
      </c>
      <c r="X10209" t="s">
        <v>40451</v>
      </c>
    </row>
    <row r="10210" spans="1:24">
      <c r="A10210">
        <f>HYPERLINK("https://www.philgeps.gov.ph/GEPSNONPILOT/Tender/SplashBidNoticeAbstractUI.aspx?menuIndex=3&amp;refID=7028531&amp;Result=3","7028531")</f>
        <v>0</v>
      </c>
      <c r="B10210" t="s">
        <v>1161</v>
      </c>
      <c r="C10210" t="s">
        <v>12828</v>
      </c>
      <c r="D10210" t="s">
        <v>16228</v>
      </c>
      <c r="E10210" t="s">
        <v>20218</v>
      </c>
      <c r="F10210" t="s">
        <v>28201</v>
      </c>
      <c r="G10210" t="s">
        <v>28205</v>
      </c>
      <c r="H10210" t="s">
        <v>28215</v>
      </c>
      <c r="I10210" t="s">
        <v>5082</v>
      </c>
      <c r="J10210" t="s">
        <v>34661</v>
      </c>
      <c r="K10210" t="s">
        <v>36688</v>
      </c>
      <c r="M10210" t="s">
        <v>38201</v>
      </c>
      <c r="N10210" t="s">
        <v>40436</v>
      </c>
      <c r="O10210" t="s">
        <v>40437</v>
      </c>
      <c r="P10210">
        <v>0</v>
      </c>
      <c r="Q10210">
        <v>1</v>
      </c>
      <c r="R10210" t="s">
        <v>40450</v>
      </c>
      <c r="S10210" t="s">
        <v>40961</v>
      </c>
      <c r="T10210" t="s">
        <v>42144</v>
      </c>
      <c r="U10210" t="s">
        <v>51135</v>
      </c>
      <c r="W10210" t="s">
        <v>38201</v>
      </c>
      <c r="X10210" t="s">
        <v>40451</v>
      </c>
    </row>
    <row r="10211" spans="1:24">
      <c r="A10211">
        <f>HYPERLINK("https://www.philgeps.gov.ph/GEPSNONPILOT/Tender/SplashBidNoticeAbstractUI.aspx?menuIndex=3&amp;refID=7028580&amp;Result=3","7028580")</f>
        <v>0</v>
      </c>
      <c r="B10211" t="s">
        <v>2599</v>
      </c>
      <c r="C10211" t="s">
        <v>12829</v>
      </c>
      <c r="D10211" t="s">
        <v>16195</v>
      </c>
      <c r="E10211" t="s">
        <v>25159</v>
      </c>
      <c r="F10211" t="s">
        <v>28198</v>
      </c>
      <c r="G10211" t="s">
        <v>28205</v>
      </c>
      <c r="H10211" t="s">
        <v>28214</v>
      </c>
      <c r="I10211" t="s">
        <v>8870</v>
      </c>
      <c r="J10211" t="s">
        <v>28626</v>
      </c>
      <c r="K10211" t="s">
        <v>36701</v>
      </c>
      <c r="M10211" t="s">
        <v>39815</v>
      </c>
      <c r="N10211" t="s">
        <v>40436</v>
      </c>
      <c r="O10211" t="s">
        <v>40437</v>
      </c>
      <c r="P10211">
        <v>0</v>
      </c>
      <c r="Q10211">
        <v>3</v>
      </c>
      <c r="R10211" t="s">
        <v>40450</v>
      </c>
      <c r="S10211" t="s">
        <v>40961</v>
      </c>
      <c r="T10211" t="s">
        <v>42265</v>
      </c>
      <c r="U10211" t="s">
        <v>51136</v>
      </c>
      <c r="V10211" t="s">
        <v>54745</v>
      </c>
      <c r="W10211" t="s">
        <v>39815</v>
      </c>
      <c r="X10211" t="s">
        <v>40451</v>
      </c>
    </row>
    <row r="10212" spans="1:24">
      <c r="A10212">
        <f>HYPERLINK("https://www.philgeps.gov.ph/GEPSNONPILOT/Tender/SplashBidNoticeAbstractUI.aspx?menuIndex=3&amp;refID=7028653&amp;Result=3","7028653")</f>
        <v>0</v>
      </c>
      <c r="B10212" t="s">
        <v>309</v>
      </c>
      <c r="C10212" t="s">
        <v>12830</v>
      </c>
      <c r="D10212" t="s">
        <v>16228</v>
      </c>
      <c r="E10212" t="s">
        <v>25160</v>
      </c>
      <c r="F10212" t="s">
        <v>28200</v>
      </c>
      <c r="G10212" t="s">
        <v>28207</v>
      </c>
      <c r="H10212" t="s">
        <v>28215</v>
      </c>
      <c r="I10212" t="s">
        <v>4505</v>
      </c>
      <c r="J10212" t="s">
        <v>28414</v>
      </c>
      <c r="K10212" t="s">
        <v>36701</v>
      </c>
      <c r="M10212" t="s">
        <v>37286</v>
      </c>
      <c r="N10212" t="s">
        <v>40436</v>
      </c>
      <c r="O10212" t="s">
        <v>40437</v>
      </c>
      <c r="P10212">
        <v>0</v>
      </c>
      <c r="Q10212">
        <v>7</v>
      </c>
      <c r="R10212" t="s">
        <v>40450</v>
      </c>
      <c r="S10212" t="s">
        <v>40961</v>
      </c>
      <c r="T10212" t="s">
        <v>42277</v>
      </c>
      <c r="U10212" t="s">
        <v>44334</v>
      </c>
      <c r="V10212" t="s">
        <v>53847</v>
      </c>
      <c r="W10212" t="s">
        <v>55440</v>
      </c>
      <c r="X10212" t="s">
        <v>40451</v>
      </c>
    </row>
    <row r="10213" spans="1:24">
      <c r="A10213">
        <f>HYPERLINK("https://www.philgeps.gov.ph/GEPSNONPILOT/Tender/SplashBidNoticeAbstractUI.aspx?menuIndex=3&amp;refID=7028648&amp;Result=3","7028648")</f>
        <v>0</v>
      </c>
      <c r="B10213" t="s">
        <v>2716</v>
      </c>
      <c r="C10213" t="s">
        <v>12831</v>
      </c>
      <c r="D10213" t="s">
        <v>16202</v>
      </c>
      <c r="E10213" t="s">
        <v>25161</v>
      </c>
      <c r="F10213" t="s">
        <v>28198</v>
      </c>
      <c r="G10213" t="s">
        <v>28205</v>
      </c>
      <c r="H10213" t="s">
        <v>28214</v>
      </c>
      <c r="I10213" t="s">
        <v>3797</v>
      </c>
      <c r="J10213" t="s">
        <v>34662</v>
      </c>
      <c r="K10213" t="s">
        <v>36715</v>
      </c>
      <c r="M10213" t="s">
        <v>39959</v>
      </c>
      <c r="N10213" t="s">
        <v>40436</v>
      </c>
      <c r="O10213" t="s">
        <v>40437</v>
      </c>
      <c r="P10213">
        <v>0</v>
      </c>
      <c r="Q10213">
        <v>0</v>
      </c>
      <c r="R10213" t="s">
        <v>40450</v>
      </c>
      <c r="S10213" t="s">
        <v>40961</v>
      </c>
      <c r="T10213" t="s">
        <v>42243</v>
      </c>
      <c r="U10213" t="s">
        <v>50800</v>
      </c>
      <c r="W10213" t="s">
        <v>39959</v>
      </c>
      <c r="X10213" t="s">
        <v>40451</v>
      </c>
    </row>
    <row r="10214" spans="1:24">
      <c r="A10214">
        <f>HYPERLINK("https://www.philgeps.gov.ph/GEPSNONPILOT/Tender/SplashBidNoticeAbstractUI.aspx?menuIndex=3&amp;refID=7028664&amp;Result=3","7028664")</f>
        <v>0</v>
      </c>
      <c r="B10214" t="s">
        <v>2783</v>
      </c>
      <c r="C10214" t="s">
        <v>4810</v>
      </c>
      <c r="D10214" t="s">
        <v>16199</v>
      </c>
      <c r="E10214" t="s">
        <v>25162</v>
      </c>
      <c r="F10214" t="s">
        <v>28198</v>
      </c>
      <c r="G10214" t="s">
        <v>28205</v>
      </c>
      <c r="H10214" t="s">
        <v>28215</v>
      </c>
      <c r="I10214" t="s">
        <v>28258</v>
      </c>
      <c r="J10214" t="s">
        <v>28530</v>
      </c>
      <c r="K10214" t="s">
        <v>36701</v>
      </c>
      <c r="M10214" t="s">
        <v>40032</v>
      </c>
      <c r="N10214" t="s">
        <v>40436</v>
      </c>
      <c r="O10214" t="s">
        <v>40437</v>
      </c>
      <c r="P10214">
        <v>0</v>
      </c>
      <c r="Q10214">
        <v>2</v>
      </c>
      <c r="R10214" t="s">
        <v>40450</v>
      </c>
      <c r="S10214" t="s">
        <v>40961</v>
      </c>
      <c r="T10214" t="s">
        <v>42115</v>
      </c>
      <c r="U10214" t="s">
        <v>51137</v>
      </c>
      <c r="V10214" t="s">
        <v>54902</v>
      </c>
      <c r="W10214" t="s">
        <v>40032</v>
      </c>
      <c r="X10214" t="s">
        <v>40451</v>
      </c>
    </row>
    <row r="10215" spans="1:24">
      <c r="A10215">
        <f>HYPERLINK("https://www.philgeps.gov.ph/GEPSNONPILOT/Tender/SplashBidNoticeAbstractUI.aspx?menuIndex=3&amp;refID=7028609&amp;Result=3","7028609")</f>
        <v>0</v>
      </c>
      <c r="B10215" t="s">
        <v>2784</v>
      </c>
      <c r="C10215" t="s">
        <v>12832</v>
      </c>
      <c r="D10215" t="s">
        <v>16223</v>
      </c>
      <c r="E10215" t="s">
        <v>25163</v>
      </c>
      <c r="F10215" t="s">
        <v>28198</v>
      </c>
      <c r="G10215" t="s">
        <v>28205</v>
      </c>
      <c r="H10215" t="s">
        <v>28215</v>
      </c>
      <c r="I10215" t="s">
        <v>28258</v>
      </c>
      <c r="J10215" t="s">
        <v>28967</v>
      </c>
      <c r="K10215" t="s">
        <v>36707</v>
      </c>
      <c r="M10215" t="s">
        <v>40033</v>
      </c>
      <c r="N10215" t="s">
        <v>40436</v>
      </c>
      <c r="O10215" t="s">
        <v>40437</v>
      </c>
      <c r="P10215">
        <v>0</v>
      </c>
      <c r="Q10215">
        <v>1</v>
      </c>
      <c r="R10215" t="s">
        <v>40450</v>
      </c>
      <c r="S10215" t="s">
        <v>40961</v>
      </c>
      <c r="T10215" t="s">
        <v>42218</v>
      </c>
      <c r="U10215" t="s">
        <v>51138</v>
      </c>
      <c r="W10215" t="s">
        <v>40033</v>
      </c>
      <c r="X10215" t="s">
        <v>40451</v>
      </c>
    </row>
    <row r="10216" spans="1:24">
      <c r="A10216">
        <f>HYPERLINK("https://www.philgeps.gov.ph/GEPSNONPILOT/Tender/SplashBidNoticeAbstractUI.aspx?menuIndex=3&amp;refID=7028651&amp;Result=3","7028651")</f>
        <v>0</v>
      </c>
      <c r="B10216" t="s">
        <v>2785</v>
      </c>
      <c r="C10216" t="s">
        <v>12833</v>
      </c>
      <c r="D10216" t="s">
        <v>16200</v>
      </c>
      <c r="E10216" t="s">
        <v>21362</v>
      </c>
      <c r="F10216" t="s">
        <v>28200</v>
      </c>
      <c r="G10216" t="s">
        <v>28205</v>
      </c>
      <c r="H10216" t="s">
        <v>28215</v>
      </c>
      <c r="I10216" t="s">
        <v>4200</v>
      </c>
      <c r="J10216" t="s">
        <v>34663</v>
      </c>
      <c r="K10216" t="s">
        <v>36689</v>
      </c>
      <c r="M10216" t="s">
        <v>40034</v>
      </c>
      <c r="N10216" t="s">
        <v>40436</v>
      </c>
      <c r="O10216" t="s">
        <v>40437</v>
      </c>
      <c r="P10216">
        <v>0</v>
      </c>
      <c r="Q10216">
        <v>0</v>
      </c>
      <c r="R10216" t="s">
        <v>40450</v>
      </c>
      <c r="S10216" t="s">
        <v>40961</v>
      </c>
      <c r="T10216" t="s">
        <v>42240</v>
      </c>
      <c r="U10216" t="s">
        <v>51139</v>
      </c>
      <c r="W10216" t="s">
        <v>40034</v>
      </c>
      <c r="X10216" t="s">
        <v>40451</v>
      </c>
    </row>
    <row r="10217" spans="1:24">
      <c r="A10217">
        <f>HYPERLINK("https://www.philgeps.gov.ph/GEPSNONPILOT/Tender/SplashBidNoticeAbstractUI.aspx?menuIndex=3&amp;refID=7028645&amp;Result=3","7028645")</f>
        <v>0</v>
      </c>
      <c r="B10217" t="s">
        <v>1835</v>
      </c>
      <c r="C10217" t="s">
        <v>12834</v>
      </c>
      <c r="D10217" t="s">
        <v>16191</v>
      </c>
      <c r="E10217" t="s">
        <v>25164</v>
      </c>
      <c r="F10217" t="s">
        <v>28198</v>
      </c>
      <c r="G10217" t="s">
        <v>28205</v>
      </c>
      <c r="H10217" t="s">
        <v>28215</v>
      </c>
      <c r="I10217" t="s">
        <v>5100</v>
      </c>
      <c r="J10217" t="s">
        <v>34664</v>
      </c>
      <c r="K10217" t="s">
        <v>36689</v>
      </c>
      <c r="M10217" t="s">
        <v>38960</v>
      </c>
      <c r="N10217" t="s">
        <v>40436</v>
      </c>
      <c r="O10217" t="s">
        <v>40437</v>
      </c>
      <c r="P10217">
        <v>0</v>
      </c>
      <c r="Q10217">
        <v>4</v>
      </c>
      <c r="R10217" t="s">
        <v>40450</v>
      </c>
      <c r="S10217" t="s">
        <v>40961</v>
      </c>
      <c r="T10217" t="s">
        <v>42505</v>
      </c>
      <c r="U10217" t="s">
        <v>51140</v>
      </c>
      <c r="W10217" t="s">
        <v>38960</v>
      </c>
      <c r="X10217" t="s">
        <v>40451</v>
      </c>
    </row>
    <row r="10218" spans="1:24">
      <c r="A10218">
        <f>HYPERLINK("https://www.philgeps.gov.ph/GEPSNONPILOT/Tender/SplashBidNoticeAbstractUI.aspx?menuIndex=3&amp;refID=7028636&amp;Result=3","7028636")</f>
        <v>0</v>
      </c>
      <c r="B10218" t="s">
        <v>2786</v>
      </c>
      <c r="C10218" t="s">
        <v>12835</v>
      </c>
      <c r="D10218" t="s">
        <v>16243</v>
      </c>
      <c r="E10218" t="s">
        <v>25165</v>
      </c>
      <c r="F10218" t="s">
        <v>28198</v>
      </c>
      <c r="G10218" t="s">
        <v>28205</v>
      </c>
      <c r="H10218" t="s">
        <v>28214</v>
      </c>
      <c r="I10218" t="s">
        <v>3797</v>
      </c>
      <c r="J10218" t="s">
        <v>34665</v>
      </c>
      <c r="K10218" t="s">
        <v>36694</v>
      </c>
      <c r="M10218" t="s">
        <v>40035</v>
      </c>
      <c r="N10218" t="s">
        <v>40436</v>
      </c>
      <c r="O10218" t="s">
        <v>40437</v>
      </c>
      <c r="P10218">
        <v>0</v>
      </c>
      <c r="Q10218">
        <v>1</v>
      </c>
      <c r="R10218" t="s">
        <v>40450</v>
      </c>
      <c r="S10218" t="s">
        <v>40961</v>
      </c>
      <c r="T10218" t="s">
        <v>42113</v>
      </c>
      <c r="U10218" t="s">
        <v>51141</v>
      </c>
      <c r="W10218" t="s">
        <v>40035</v>
      </c>
      <c r="X10218" t="s">
        <v>40451</v>
      </c>
    </row>
    <row r="10219" spans="1:24">
      <c r="A10219">
        <f>HYPERLINK("https://www.philgeps.gov.ph/GEPSNONPILOT/Tender/SplashBidNoticeAbstractUI.aspx?menuIndex=3&amp;refID=7028635&amp;Result=3","7028635")</f>
        <v>0</v>
      </c>
      <c r="B10219" t="s">
        <v>2775</v>
      </c>
      <c r="C10219" t="s">
        <v>12836</v>
      </c>
      <c r="D10219" t="s">
        <v>16199</v>
      </c>
      <c r="E10219" t="s">
        <v>25166</v>
      </c>
      <c r="F10219" t="s">
        <v>28198</v>
      </c>
      <c r="G10219" t="s">
        <v>28205</v>
      </c>
      <c r="H10219" t="s">
        <v>28214</v>
      </c>
      <c r="I10219" t="s">
        <v>3797</v>
      </c>
      <c r="J10219" t="s">
        <v>29531</v>
      </c>
      <c r="K10219" t="s">
        <v>36701</v>
      </c>
      <c r="M10219" t="s">
        <v>40024</v>
      </c>
      <c r="N10219" t="s">
        <v>40436</v>
      </c>
      <c r="O10219" t="s">
        <v>40437</v>
      </c>
      <c r="P10219">
        <v>0</v>
      </c>
      <c r="Q10219">
        <v>1</v>
      </c>
      <c r="R10219" t="s">
        <v>40450</v>
      </c>
      <c r="S10219" t="s">
        <v>40961</v>
      </c>
      <c r="T10219" t="s">
        <v>42152</v>
      </c>
      <c r="U10219" t="s">
        <v>51142</v>
      </c>
      <c r="W10219" t="s">
        <v>40024</v>
      </c>
      <c r="X10219" t="s">
        <v>40451</v>
      </c>
    </row>
    <row r="10220" spans="1:24">
      <c r="A10220">
        <f>HYPERLINK("https://www.philgeps.gov.ph/GEPSNONPILOT/Tender/SplashBidNoticeAbstractUI.aspx?menuIndex=3&amp;refID=7028616&amp;Result=3","7028616")</f>
        <v>0</v>
      </c>
      <c r="B10220" t="s">
        <v>142</v>
      </c>
      <c r="C10220" t="s">
        <v>12837</v>
      </c>
      <c r="D10220" t="s">
        <v>16218</v>
      </c>
      <c r="E10220" t="s">
        <v>23815</v>
      </c>
      <c r="F10220" t="s">
        <v>28198</v>
      </c>
      <c r="G10220" t="s">
        <v>28205</v>
      </c>
      <c r="H10220" t="s">
        <v>28215</v>
      </c>
      <c r="I10220" t="s">
        <v>28222</v>
      </c>
      <c r="J10220" t="s">
        <v>28818</v>
      </c>
      <c r="K10220" t="s">
        <v>36694</v>
      </c>
      <c r="L10220" t="s">
        <v>142</v>
      </c>
      <c r="M10220" t="s">
        <v>37116</v>
      </c>
      <c r="N10220" t="s">
        <v>40436</v>
      </c>
      <c r="O10220" t="s">
        <v>40437</v>
      </c>
      <c r="P10220">
        <v>0</v>
      </c>
      <c r="Q10220">
        <v>3</v>
      </c>
      <c r="R10220" t="s">
        <v>40450</v>
      </c>
      <c r="S10220" t="s">
        <v>40961</v>
      </c>
      <c r="T10220" t="s">
        <v>42469</v>
      </c>
      <c r="U10220" t="s">
        <v>51143</v>
      </c>
      <c r="V10220" t="s">
        <v>54903</v>
      </c>
      <c r="W10220" t="s">
        <v>37116</v>
      </c>
      <c r="X10220" t="s">
        <v>40451</v>
      </c>
    </row>
    <row r="10221" spans="1:24">
      <c r="A10221">
        <f>HYPERLINK("https://www.philgeps.gov.ph/GEPSNONPILOT/Tender/SplashBidNoticeAbstractUI.aspx?menuIndex=3&amp;refID=7028559&amp;Result=3","7028559")</f>
        <v>0</v>
      </c>
      <c r="B10221" t="s">
        <v>1585</v>
      </c>
      <c r="C10221" t="s">
        <v>12838</v>
      </c>
      <c r="D10221" t="s">
        <v>16208</v>
      </c>
      <c r="E10221" t="s">
        <v>25167</v>
      </c>
      <c r="F10221" t="s">
        <v>28198</v>
      </c>
      <c r="G10221" t="s">
        <v>28205</v>
      </c>
      <c r="H10221" t="s">
        <v>28214</v>
      </c>
      <c r="I10221" t="s">
        <v>3797</v>
      </c>
      <c r="J10221" t="s">
        <v>29224</v>
      </c>
      <c r="K10221" t="s">
        <v>36896</v>
      </c>
      <c r="M10221" t="s">
        <v>38670</v>
      </c>
      <c r="N10221" t="s">
        <v>40436</v>
      </c>
      <c r="O10221" t="s">
        <v>40437</v>
      </c>
      <c r="P10221">
        <v>0</v>
      </c>
      <c r="Q10221">
        <v>0</v>
      </c>
      <c r="R10221" t="s">
        <v>40450</v>
      </c>
      <c r="S10221" t="s">
        <v>40961</v>
      </c>
      <c r="T10221" t="s">
        <v>42148</v>
      </c>
      <c r="U10221" t="s">
        <v>51144</v>
      </c>
      <c r="W10221" t="s">
        <v>38670</v>
      </c>
      <c r="X10221" t="s">
        <v>40451</v>
      </c>
    </row>
    <row r="10222" spans="1:24">
      <c r="A10222">
        <f>HYPERLINK("https://www.philgeps.gov.ph/GEPSNONPILOT/Tender/SplashBidNoticeAbstractUI.aspx?menuIndex=3&amp;refID=7028569&amp;Result=3","7028569")</f>
        <v>0</v>
      </c>
      <c r="B10222" t="s">
        <v>2787</v>
      </c>
      <c r="C10222" t="s">
        <v>12839</v>
      </c>
      <c r="D10222" t="s">
        <v>16244</v>
      </c>
      <c r="E10222" t="s">
        <v>25168</v>
      </c>
      <c r="F10222" t="s">
        <v>28198</v>
      </c>
      <c r="G10222" t="s">
        <v>28205</v>
      </c>
      <c r="H10222" t="s">
        <v>28214</v>
      </c>
      <c r="I10222" t="s">
        <v>3797</v>
      </c>
      <c r="J10222" t="s">
        <v>34666</v>
      </c>
      <c r="K10222" t="s">
        <v>36717</v>
      </c>
      <c r="M10222" t="s">
        <v>40036</v>
      </c>
      <c r="N10222" t="s">
        <v>40436</v>
      </c>
      <c r="O10222" t="s">
        <v>40437</v>
      </c>
      <c r="P10222">
        <v>0</v>
      </c>
      <c r="Q10222">
        <v>0</v>
      </c>
      <c r="R10222" t="s">
        <v>40450</v>
      </c>
      <c r="S10222" t="s">
        <v>40961</v>
      </c>
      <c r="T10222" t="s">
        <v>42346</v>
      </c>
      <c r="U10222" t="s">
        <v>51145</v>
      </c>
      <c r="W10222" t="s">
        <v>40036</v>
      </c>
      <c r="X10222" t="s">
        <v>40451</v>
      </c>
    </row>
    <row r="10223" spans="1:24">
      <c r="A10223">
        <f>HYPERLINK("https://www.philgeps.gov.ph/GEPSNONPILOT/Tender/SplashBidNoticeAbstractUI.aspx?menuIndex=3&amp;refID=7028626&amp;Result=3","7028626")</f>
        <v>0</v>
      </c>
      <c r="B10223" t="s">
        <v>2788</v>
      </c>
      <c r="C10223" t="s">
        <v>12840</v>
      </c>
      <c r="D10223" t="s">
        <v>16236</v>
      </c>
      <c r="E10223" t="s">
        <v>25169</v>
      </c>
      <c r="F10223" t="s">
        <v>28198</v>
      </c>
      <c r="G10223" t="s">
        <v>28205</v>
      </c>
      <c r="H10223" t="s">
        <v>28215</v>
      </c>
      <c r="I10223" t="s">
        <v>28247</v>
      </c>
      <c r="J10223" t="s">
        <v>34667</v>
      </c>
      <c r="K10223" t="s">
        <v>36708</v>
      </c>
      <c r="M10223" t="s">
        <v>40037</v>
      </c>
      <c r="N10223" t="s">
        <v>40436</v>
      </c>
      <c r="O10223" t="s">
        <v>40437</v>
      </c>
      <c r="P10223">
        <v>0</v>
      </c>
      <c r="Q10223">
        <v>7</v>
      </c>
      <c r="R10223" t="s">
        <v>40450</v>
      </c>
      <c r="S10223" t="s">
        <v>40961</v>
      </c>
      <c r="T10223" t="s">
        <v>42179</v>
      </c>
      <c r="U10223" t="s">
        <v>51146</v>
      </c>
      <c r="W10223" t="s">
        <v>40037</v>
      </c>
      <c r="X10223" t="s">
        <v>40451</v>
      </c>
    </row>
    <row r="10224" spans="1:24">
      <c r="A10224">
        <f>HYPERLINK("https://www.philgeps.gov.ph/GEPSNONPILOT/Tender/SplashBidNoticeAbstractUI.aspx?menuIndex=3&amp;refID=7028668&amp;Result=3","7028668")</f>
        <v>0</v>
      </c>
      <c r="B10224" t="s">
        <v>871</v>
      </c>
      <c r="C10224" t="s">
        <v>12841</v>
      </c>
      <c r="D10224" t="s">
        <v>16221</v>
      </c>
      <c r="E10224" t="s">
        <v>25170</v>
      </c>
      <c r="F10224" t="s">
        <v>28198</v>
      </c>
      <c r="G10224" t="s">
        <v>28205</v>
      </c>
      <c r="H10224" t="s">
        <v>28215</v>
      </c>
      <c r="I10224" t="s">
        <v>28222</v>
      </c>
      <c r="J10224" t="s">
        <v>28351</v>
      </c>
      <c r="K10224" t="s">
        <v>36707</v>
      </c>
      <c r="M10224" t="s">
        <v>37915</v>
      </c>
      <c r="N10224" t="s">
        <v>40436</v>
      </c>
      <c r="O10224" t="s">
        <v>40437</v>
      </c>
      <c r="P10224">
        <v>0</v>
      </c>
      <c r="Q10224">
        <v>8</v>
      </c>
      <c r="R10224" t="s">
        <v>40450</v>
      </c>
      <c r="S10224" t="s">
        <v>40961</v>
      </c>
      <c r="T10224" t="s">
        <v>42111</v>
      </c>
      <c r="U10224" t="s">
        <v>51147</v>
      </c>
      <c r="V10224" t="s">
        <v>54904</v>
      </c>
      <c r="W10224" t="s">
        <v>55466</v>
      </c>
      <c r="X10224" t="s">
        <v>40451</v>
      </c>
    </row>
    <row r="10225" spans="1:24">
      <c r="A10225">
        <f>HYPERLINK("https://www.philgeps.gov.ph/GEPSNONPILOT/Tender/SplashBidNoticeAbstractUI.aspx?menuIndex=3&amp;refID=7028595&amp;Result=3","7028595")</f>
        <v>0</v>
      </c>
      <c r="B10225" t="s">
        <v>1161</v>
      </c>
      <c r="C10225" t="s">
        <v>12842</v>
      </c>
      <c r="D10225" t="s">
        <v>16228</v>
      </c>
      <c r="E10225" t="s">
        <v>19360</v>
      </c>
      <c r="F10225" t="s">
        <v>28201</v>
      </c>
      <c r="G10225" t="s">
        <v>28205</v>
      </c>
      <c r="H10225" t="s">
        <v>28215</v>
      </c>
      <c r="I10225" t="s">
        <v>28224</v>
      </c>
      <c r="J10225" t="s">
        <v>29382</v>
      </c>
      <c r="K10225" t="s">
        <v>36688</v>
      </c>
      <c r="M10225" t="s">
        <v>38201</v>
      </c>
      <c r="N10225" t="s">
        <v>40436</v>
      </c>
      <c r="O10225" t="s">
        <v>40437</v>
      </c>
      <c r="P10225">
        <v>0</v>
      </c>
      <c r="Q10225">
        <v>0</v>
      </c>
      <c r="R10225" t="s">
        <v>40450</v>
      </c>
      <c r="S10225" t="s">
        <v>40961</v>
      </c>
      <c r="T10225" t="s">
        <v>42144</v>
      </c>
      <c r="U10225" t="s">
        <v>51148</v>
      </c>
      <c r="W10225" t="s">
        <v>38201</v>
      </c>
      <c r="X10225" t="s">
        <v>40451</v>
      </c>
    </row>
    <row r="10226" spans="1:24">
      <c r="A10226">
        <f>HYPERLINK("https://www.philgeps.gov.ph/GEPSNONPILOT/Tender/SplashBidNoticeAbstractUI.aspx?menuIndex=3&amp;refID=7028669&amp;Result=3","7028669")</f>
        <v>0</v>
      </c>
      <c r="B10226" t="s">
        <v>1522</v>
      </c>
      <c r="C10226" t="s">
        <v>12843</v>
      </c>
      <c r="D10226" t="s">
        <v>16264</v>
      </c>
      <c r="E10226" t="s">
        <v>25171</v>
      </c>
      <c r="F10226" t="s">
        <v>28198</v>
      </c>
      <c r="G10226" t="s">
        <v>28205</v>
      </c>
      <c r="H10226" t="s">
        <v>28214</v>
      </c>
      <c r="I10226" t="s">
        <v>3797</v>
      </c>
      <c r="J10226" t="s">
        <v>34668</v>
      </c>
      <c r="K10226" t="s">
        <v>36697</v>
      </c>
      <c r="M10226" t="s">
        <v>38600</v>
      </c>
      <c r="N10226" t="s">
        <v>40436</v>
      </c>
      <c r="O10226" t="s">
        <v>40437</v>
      </c>
      <c r="P10226">
        <v>0</v>
      </c>
      <c r="Q10226">
        <v>0</v>
      </c>
      <c r="R10226" t="s">
        <v>40450</v>
      </c>
      <c r="S10226" t="s">
        <v>40961</v>
      </c>
      <c r="T10226" t="s">
        <v>42183</v>
      </c>
      <c r="U10226" t="s">
        <v>51149</v>
      </c>
      <c r="W10226" t="s">
        <v>38600</v>
      </c>
      <c r="X10226" t="s">
        <v>40451</v>
      </c>
    </row>
    <row r="10227" spans="1:24">
      <c r="A10227">
        <f>HYPERLINK("https://www.philgeps.gov.ph/GEPSNONPILOT/Tender/SplashBidNoticeAbstractUI.aspx?menuIndex=3&amp;refID=7028784&amp;Result=3","7028784")</f>
        <v>0</v>
      </c>
      <c r="B10227" t="s">
        <v>205</v>
      </c>
      <c r="C10227" t="s">
        <v>12844</v>
      </c>
      <c r="D10227" t="s">
        <v>16209</v>
      </c>
      <c r="E10227" t="s">
        <v>21454</v>
      </c>
      <c r="F10227" t="s">
        <v>28198</v>
      </c>
      <c r="G10227" t="s">
        <v>28205</v>
      </c>
      <c r="H10227" t="s">
        <v>28215</v>
      </c>
      <c r="I10227" t="s">
        <v>28246</v>
      </c>
      <c r="J10227" t="s">
        <v>34669</v>
      </c>
      <c r="K10227" t="s">
        <v>36701</v>
      </c>
      <c r="M10227" t="s">
        <v>37181</v>
      </c>
      <c r="N10227" t="s">
        <v>40436</v>
      </c>
      <c r="O10227" t="s">
        <v>40437</v>
      </c>
      <c r="P10227">
        <v>0</v>
      </c>
      <c r="Q10227">
        <v>0</v>
      </c>
      <c r="R10227" t="s">
        <v>40450</v>
      </c>
      <c r="S10227" t="s">
        <v>40961</v>
      </c>
      <c r="T10227" t="s">
        <v>42292</v>
      </c>
      <c r="U10227" t="s">
        <v>51150</v>
      </c>
      <c r="W10227" t="s">
        <v>37181</v>
      </c>
      <c r="X10227" t="s">
        <v>40451</v>
      </c>
    </row>
    <row r="10228" spans="1:24">
      <c r="A10228">
        <f>HYPERLINK("https://www.philgeps.gov.ph/GEPSNONPILOT/Tender/SplashBidNoticeAbstractUI.aspx?menuIndex=3&amp;refID=7028759&amp;Result=3","7028759")</f>
        <v>0</v>
      </c>
      <c r="B10228" t="s">
        <v>1835</v>
      </c>
      <c r="C10228" t="s">
        <v>12845</v>
      </c>
      <c r="D10228" t="s">
        <v>16191</v>
      </c>
      <c r="E10228" t="s">
        <v>25172</v>
      </c>
      <c r="F10228" t="s">
        <v>28198</v>
      </c>
      <c r="G10228" t="s">
        <v>28205</v>
      </c>
      <c r="H10228" t="s">
        <v>28215</v>
      </c>
      <c r="I10228" t="s">
        <v>5100</v>
      </c>
      <c r="J10228" t="s">
        <v>29159</v>
      </c>
      <c r="K10228" t="s">
        <v>36689</v>
      </c>
      <c r="M10228" t="s">
        <v>38960</v>
      </c>
      <c r="N10228" t="s">
        <v>40436</v>
      </c>
      <c r="O10228" t="s">
        <v>40437</v>
      </c>
      <c r="P10228">
        <v>0</v>
      </c>
      <c r="Q10228">
        <v>6</v>
      </c>
      <c r="R10228" t="s">
        <v>40450</v>
      </c>
      <c r="S10228" t="s">
        <v>40961</v>
      </c>
      <c r="T10228" t="s">
        <v>42505</v>
      </c>
      <c r="U10228" t="s">
        <v>51151</v>
      </c>
      <c r="W10228" t="s">
        <v>38960</v>
      </c>
      <c r="X10228" t="s">
        <v>40451</v>
      </c>
    </row>
    <row r="10229" spans="1:24">
      <c r="A10229">
        <f>HYPERLINK("https://www.philgeps.gov.ph/GEPSNONPILOT/Tender/SplashBidNoticeAbstractUI.aspx?menuIndex=3&amp;refID=7028750&amp;Result=3","7028750")</f>
        <v>0</v>
      </c>
      <c r="B10229" t="s">
        <v>205</v>
      </c>
      <c r="C10229" t="s">
        <v>12846</v>
      </c>
      <c r="D10229" t="s">
        <v>16209</v>
      </c>
      <c r="E10229" t="s">
        <v>21460</v>
      </c>
      <c r="F10229" t="s">
        <v>28198</v>
      </c>
      <c r="G10229" t="s">
        <v>28205</v>
      </c>
      <c r="H10229" t="s">
        <v>28215</v>
      </c>
      <c r="I10229" t="s">
        <v>28246</v>
      </c>
      <c r="J10229" t="s">
        <v>29809</v>
      </c>
      <c r="K10229" t="s">
        <v>36701</v>
      </c>
      <c r="M10229" t="s">
        <v>37181</v>
      </c>
      <c r="N10229" t="s">
        <v>40436</v>
      </c>
      <c r="O10229" t="s">
        <v>40437</v>
      </c>
      <c r="P10229">
        <v>0</v>
      </c>
      <c r="Q10229">
        <v>1</v>
      </c>
      <c r="R10229" t="s">
        <v>40450</v>
      </c>
      <c r="S10229" t="s">
        <v>40961</v>
      </c>
      <c r="T10229" t="s">
        <v>42292</v>
      </c>
      <c r="U10229" t="s">
        <v>51152</v>
      </c>
      <c r="W10229" t="s">
        <v>37181</v>
      </c>
      <c r="X10229" t="s">
        <v>40451</v>
      </c>
    </row>
    <row r="10230" spans="1:24">
      <c r="A10230">
        <f>HYPERLINK("https://www.philgeps.gov.ph/GEPSNONPILOT/Tender/SplashBidNoticeAbstractUI.aspx?menuIndex=3&amp;refID=7028756&amp;Result=3","7028756")</f>
        <v>0</v>
      </c>
      <c r="B10230" t="s">
        <v>142</v>
      </c>
      <c r="C10230" t="s">
        <v>12847</v>
      </c>
      <c r="D10230" t="s">
        <v>16218</v>
      </c>
      <c r="E10230" t="s">
        <v>19889</v>
      </c>
      <c r="F10230" t="s">
        <v>28198</v>
      </c>
      <c r="G10230" t="s">
        <v>28205</v>
      </c>
      <c r="H10230" t="s">
        <v>28215</v>
      </c>
      <c r="I10230" t="s">
        <v>28224</v>
      </c>
      <c r="J10230" t="s">
        <v>34670</v>
      </c>
      <c r="K10230" t="s">
        <v>36715</v>
      </c>
      <c r="L10230" t="s">
        <v>142</v>
      </c>
      <c r="M10230" t="s">
        <v>37116</v>
      </c>
      <c r="N10230" t="s">
        <v>40436</v>
      </c>
      <c r="O10230" t="s">
        <v>40437</v>
      </c>
      <c r="P10230">
        <v>0</v>
      </c>
      <c r="Q10230">
        <v>2</v>
      </c>
      <c r="R10230" t="s">
        <v>40450</v>
      </c>
      <c r="S10230" t="s">
        <v>40961</v>
      </c>
      <c r="T10230" t="s">
        <v>42469</v>
      </c>
      <c r="U10230" t="s">
        <v>51153</v>
      </c>
      <c r="V10230" t="s">
        <v>54903</v>
      </c>
      <c r="W10230" t="s">
        <v>37116</v>
      </c>
      <c r="X10230" t="s">
        <v>40451</v>
      </c>
    </row>
    <row r="10231" spans="1:24">
      <c r="A10231">
        <f>HYPERLINK("https://www.philgeps.gov.ph/GEPSNONPILOT/Tender/SplashBidNoticeAbstractUI.aspx?menuIndex=3&amp;refID=7028665&amp;Result=3","7028665")</f>
        <v>0</v>
      </c>
      <c r="B10231" t="s">
        <v>205</v>
      </c>
      <c r="C10231" t="s">
        <v>12848</v>
      </c>
      <c r="D10231" t="s">
        <v>16209</v>
      </c>
      <c r="E10231" t="s">
        <v>25173</v>
      </c>
      <c r="F10231" t="s">
        <v>28198</v>
      </c>
      <c r="G10231" t="s">
        <v>28205</v>
      </c>
      <c r="H10231" t="s">
        <v>28215</v>
      </c>
      <c r="I10231" t="s">
        <v>28224</v>
      </c>
      <c r="J10231" t="s">
        <v>34671</v>
      </c>
      <c r="K10231" t="s">
        <v>36701</v>
      </c>
      <c r="M10231" t="s">
        <v>37181</v>
      </c>
      <c r="N10231" t="s">
        <v>40436</v>
      </c>
      <c r="O10231" t="s">
        <v>40437</v>
      </c>
      <c r="P10231">
        <v>0</v>
      </c>
      <c r="Q10231">
        <v>2</v>
      </c>
      <c r="R10231" t="s">
        <v>40450</v>
      </c>
      <c r="S10231" t="s">
        <v>40961</v>
      </c>
      <c r="T10231" t="s">
        <v>42292</v>
      </c>
      <c r="U10231" t="s">
        <v>51154</v>
      </c>
      <c r="W10231" t="s">
        <v>37181</v>
      </c>
      <c r="X10231" t="s">
        <v>40451</v>
      </c>
    </row>
    <row r="10232" spans="1:24">
      <c r="A10232">
        <f>HYPERLINK("https://www.philgeps.gov.ph/GEPSNONPILOT/Tender/SplashBidNoticeAbstractUI.aspx?menuIndex=3&amp;refID=7028805&amp;Result=3","7028805")</f>
        <v>0</v>
      </c>
      <c r="B10232" t="s">
        <v>2295</v>
      </c>
      <c r="C10232" t="s">
        <v>12849</v>
      </c>
      <c r="D10232" t="s">
        <v>16222</v>
      </c>
      <c r="E10232" t="s">
        <v>25174</v>
      </c>
      <c r="F10232" t="s">
        <v>28200</v>
      </c>
      <c r="G10232" t="s">
        <v>28205</v>
      </c>
      <c r="H10232" t="s">
        <v>28215</v>
      </c>
      <c r="I10232" t="s">
        <v>28234</v>
      </c>
      <c r="J10232" t="s">
        <v>29608</v>
      </c>
      <c r="K10232" t="s">
        <v>36688</v>
      </c>
      <c r="M10232" t="s">
        <v>39470</v>
      </c>
      <c r="N10232" t="s">
        <v>40436</v>
      </c>
      <c r="O10232" t="s">
        <v>40437</v>
      </c>
      <c r="P10232">
        <v>0</v>
      </c>
      <c r="Q10232">
        <v>7</v>
      </c>
      <c r="R10232" t="s">
        <v>40450</v>
      </c>
      <c r="S10232" t="s">
        <v>40961</v>
      </c>
      <c r="T10232" t="s">
        <v>42425</v>
      </c>
      <c r="U10232" t="s">
        <v>51155</v>
      </c>
      <c r="V10232" t="s">
        <v>54846</v>
      </c>
      <c r="W10232" t="s">
        <v>39470</v>
      </c>
      <c r="X10232" t="s">
        <v>40451</v>
      </c>
    </row>
    <row r="10233" spans="1:24">
      <c r="A10233">
        <f>HYPERLINK("https://www.philgeps.gov.ph/GEPSNONPILOT/Tender/SplashBidNoticeAbstractUI.aspx?menuIndex=3&amp;refID=7028736&amp;Result=3","7028736")</f>
        <v>0</v>
      </c>
      <c r="B10233" t="s">
        <v>2778</v>
      </c>
      <c r="C10233" t="s">
        <v>12850</v>
      </c>
      <c r="D10233" t="s">
        <v>16244</v>
      </c>
      <c r="E10233" t="s">
        <v>18558</v>
      </c>
      <c r="F10233" t="s">
        <v>28198</v>
      </c>
      <c r="G10233" t="s">
        <v>28206</v>
      </c>
      <c r="H10233" t="s">
        <v>28215</v>
      </c>
      <c r="I10233" t="s">
        <v>28225</v>
      </c>
      <c r="J10233" t="s">
        <v>28694</v>
      </c>
      <c r="K10233" t="s">
        <v>36688</v>
      </c>
      <c r="M10233" t="s">
        <v>40027</v>
      </c>
      <c r="N10233" t="s">
        <v>40436</v>
      </c>
      <c r="O10233" t="s">
        <v>40437</v>
      </c>
      <c r="P10233">
        <v>0</v>
      </c>
      <c r="Q10233">
        <v>0</v>
      </c>
      <c r="R10233" t="s">
        <v>40450</v>
      </c>
      <c r="S10233" t="s">
        <v>40961</v>
      </c>
      <c r="T10233" t="s">
        <v>42489</v>
      </c>
      <c r="U10233" t="s">
        <v>51156</v>
      </c>
      <c r="W10233" t="s">
        <v>40027</v>
      </c>
      <c r="X10233" t="s">
        <v>40451</v>
      </c>
    </row>
    <row r="10234" spans="1:24">
      <c r="A10234">
        <f>HYPERLINK("https://www.philgeps.gov.ph/GEPSNONPILOT/Tender/SplashBidNoticeAbstractUI.aspx?menuIndex=3&amp;refID=7028792&amp;Result=3","7028792")</f>
        <v>0</v>
      </c>
      <c r="B10234" t="s">
        <v>2294</v>
      </c>
      <c r="C10234" t="s">
        <v>12851</v>
      </c>
      <c r="D10234" t="s">
        <v>16262</v>
      </c>
      <c r="E10234" t="s">
        <v>25175</v>
      </c>
      <c r="F10234" t="s">
        <v>28198</v>
      </c>
      <c r="G10234" t="s">
        <v>28205</v>
      </c>
      <c r="H10234" t="s">
        <v>28214</v>
      </c>
      <c r="I10234" t="s">
        <v>3797</v>
      </c>
      <c r="J10234" t="s">
        <v>34672</v>
      </c>
      <c r="K10234" t="s">
        <v>36697</v>
      </c>
      <c r="M10234" t="s">
        <v>39469</v>
      </c>
      <c r="N10234" t="s">
        <v>40436</v>
      </c>
      <c r="O10234" t="s">
        <v>40437</v>
      </c>
      <c r="Q10234">
        <v>0</v>
      </c>
      <c r="R10234" t="s">
        <v>40450</v>
      </c>
      <c r="S10234" t="s">
        <v>40692</v>
      </c>
      <c r="T10234" t="s">
        <v>42112</v>
      </c>
      <c r="U10234" t="s">
        <v>51157</v>
      </c>
      <c r="V10234" t="s">
        <v>54563</v>
      </c>
      <c r="W10234" t="s">
        <v>39469</v>
      </c>
      <c r="X10234" t="s">
        <v>40451</v>
      </c>
    </row>
    <row r="10235" spans="1:24">
      <c r="A10235">
        <f>HYPERLINK("https://www.philgeps.gov.ph/GEPSNONPILOT/Tender/SplashBidNoticeAbstractUI.aspx?menuIndex=3&amp;refID=7028802&amp;Result=3","7028802")</f>
        <v>0</v>
      </c>
      <c r="B10235" t="s">
        <v>2604</v>
      </c>
      <c r="C10235" t="s">
        <v>12852</v>
      </c>
      <c r="D10235" t="s">
        <v>16220</v>
      </c>
      <c r="E10235" t="s">
        <v>25176</v>
      </c>
      <c r="F10235" t="s">
        <v>28198</v>
      </c>
      <c r="G10235" t="s">
        <v>28205</v>
      </c>
      <c r="H10235" t="s">
        <v>28214</v>
      </c>
      <c r="I10235" t="s">
        <v>3797</v>
      </c>
      <c r="J10235" t="s">
        <v>34673</v>
      </c>
      <c r="K10235" t="s">
        <v>36694</v>
      </c>
      <c r="L10235" t="s">
        <v>2604</v>
      </c>
      <c r="M10235" t="s">
        <v>39822</v>
      </c>
      <c r="N10235" t="s">
        <v>40436</v>
      </c>
      <c r="O10235" t="s">
        <v>40437</v>
      </c>
      <c r="P10235">
        <v>0</v>
      </c>
      <c r="Q10235">
        <v>0</v>
      </c>
      <c r="R10235" t="s">
        <v>40450</v>
      </c>
      <c r="S10235" t="s">
        <v>40961</v>
      </c>
      <c r="T10235" t="s">
        <v>42134</v>
      </c>
      <c r="U10235" t="s">
        <v>51158</v>
      </c>
      <c r="V10235" t="s">
        <v>54759</v>
      </c>
      <c r="W10235" t="s">
        <v>39822</v>
      </c>
      <c r="X10235" t="s">
        <v>40451</v>
      </c>
    </row>
    <row r="10236" spans="1:24">
      <c r="A10236">
        <f>HYPERLINK("https://www.philgeps.gov.ph/GEPSNONPILOT/Tender/SplashBidNoticeAbstractUI.aspx?menuIndex=3&amp;refID=7028724&amp;Result=3","7028724")</f>
        <v>0</v>
      </c>
      <c r="B10236" t="s">
        <v>1835</v>
      </c>
      <c r="C10236" t="s">
        <v>12853</v>
      </c>
      <c r="D10236" t="s">
        <v>16191</v>
      </c>
      <c r="E10236" t="s">
        <v>25177</v>
      </c>
      <c r="F10236" t="s">
        <v>28198</v>
      </c>
      <c r="G10236" t="s">
        <v>28205</v>
      </c>
      <c r="H10236" t="s">
        <v>28215</v>
      </c>
      <c r="I10236" t="s">
        <v>5100</v>
      </c>
      <c r="J10236" t="s">
        <v>34674</v>
      </c>
      <c r="K10236" t="s">
        <v>36689</v>
      </c>
      <c r="M10236" t="s">
        <v>38960</v>
      </c>
      <c r="N10236" t="s">
        <v>40436</v>
      </c>
      <c r="O10236" t="s">
        <v>40437</v>
      </c>
      <c r="P10236">
        <v>0</v>
      </c>
      <c r="Q10236">
        <v>7</v>
      </c>
      <c r="R10236" t="s">
        <v>40450</v>
      </c>
      <c r="S10236" t="s">
        <v>40961</v>
      </c>
      <c r="T10236" t="s">
        <v>42505</v>
      </c>
      <c r="U10236" t="s">
        <v>51151</v>
      </c>
      <c r="W10236" t="s">
        <v>38960</v>
      </c>
      <c r="X10236" t="s">
        <v>40451</v>
      </c>
    </row>
    <row r="10237" spans="1:24">
      <c r="A10237">
        <f>HYPERLINK("https://www.philgeps.gov.ph/GEPSNONPILOT/Tender/SplashBidNoticeAbstractUI.aspx?menuIndex=3&amp;refID=7028729&amp;Result=3","7028729")</f>
        <v>0</v>
      </c>
      <c r="B10237" t="s">
        <v>2710</v>
      </c>
      <c r="C10237" t="s">
        <v>12854</v>
      </c>
      <c r="D10237" t="s">
        <v>16223</v>
      </c>
      <c r="E10237" t="s">
        <v>19989</v>
      </c>
      <c r="F10237" t="s">
        <v>28198</v>
      </c>
      <c r="G10237" t="s">
        <v>28207</v>
      </c>
      <c r="H10237" t="s">
        <v>28215</v>
      </c>
      <c r="I10237" t="s">
        <v>4200</v>
      </c>
      <c r="J10237" t="s">
        <v>34675</v>
      </c>
      <c r="K10237" t="s">
        <v>36701</v>
      </c>
      <c r="M10237" t="s">
        <v>39952</v>
      </c>
      <c r="N10237" t="s">
        <v>40436</v>
      </c>
      <c r="O10237" t="s">
        <v>40437</v>
      </c>
      <c r="P10237">
        <v>0</v>
      </c>
      <c r="Q10237">
        <v>1</v>
      </c>
      <c r="R10237" t="s">
        <v>40450</v>
      </c>
      <c r="S10237" t="s">
        <v>40961</v>
      </c>
      <c r="T10237" t="s">
        <v>42229</v>
      </c>
      <c r="U10237" t="s">
        <v>51159</v>
      </c>
      <c r="W10237" t="s">
        <v>39952</v>
      </c>
      <c r="X10237" t="s">
        <v>40451</v>
      </c>
    </row>
    <row r="10238" spans="1:24">
      <c r="A10238">
        <f>HYPERLINK("https://www.philgeps.gov.ph/GEPSNONPILOT/Tender/SplashBidNoticeAbstractUI.aspx?menuIndex=3&amp;refID=7028688&amp;Result=3","7028688")</f>
        <v>0</v>
      </c>
      <c r="B10238" t="s">
        <v>2787</v>
      </c>
      <c r="C10238" t="s">
        <v>12855</v>
      </c>
      <c r="D10238" t="s">
        <v>16244</v>
      </c>
      <c r="E10238" t="s">
        <v>25178</v>
      </c>
      <c r="F10238" t="s">
        <v>28198</v>
      </c>
      <c r="G10238" t="s">
        <v>28205</v>
      </c>
      <c r="H10238" t="s">
        <v>28214</v>
      </c>
      <c r="I10238" t="s">
        <v>3797</v>
      </c>
      <c r="J10238" t="s">
        <v>34676</v>
      </c>
      <c r="K10238" t="s">
        <v>36717</v>
      </c>
      <c r="M10238" t="s">
        <v>40036</v>
      </c>
      <c r="N10238" t="s">
        <v>40436</v>
      </c>
      <c r="O10238" t="s">
        <v>40437</v>
      </c>
      <c r="P10238">
        <v>0</v>
      </c>
      <c r="Q10238">
        <v>0</v>
      </c>
      <c r="R10238" t="s">
        <v>40450</v>
      </c>
      <c r="S10238" t="s">
        <v>40961</v>
      </c>
      <c r="T10238" t="s">
        <v>42279</v>
      </c>
      <c r="U10238" t="s">
        <v>51160</v>
      </c>
      <c r="W10238" t="s">
        <v>40036</v>
      </c>
      <c r="X10238" t="s">
        <v>40451</v>
      </c>
    </row>
    <row r="10239" spans="1:24">
      <c r="A10239">
        <f>HYPERLINK("https://www.philgeps.gov.ph/GEPSNONPILOT/Tender/SplashBidNoticeAbstractUI.aspx?menuIndex=3&amp;refID=7028705&amp;Result=3","7028705")</f>
        <v>0</v>
      </c>
      <c r="B10239" t="s">
        <v>2651</v>
      </c>
      <c r="C10239" t="s">
        <v>12856</v>
      </c>
      <c r="D10239" t="s">
        <v>16261</v>
      </c>
      <c r="E10239" t="s">
        <v>25156</v>
      </c>
      <c r="F10239" t="s">
        <v>28198</v>
      </c>
      <c r="G10239" t="s">
        <v>28205</v>
      </c>
      <c r="H10239" t="s">
        <v>28214</v>
      </c>
      <c r="I10239" t="s">
        <v>3797</v>
      </c>
      <c r="J10239" t="s">
        <v>29113</v>
      </c>
      <c r="K10239" t="s">
        <v>36689</v>
      </c>
      <c r="M10239" t="s">
        <v>39878</v>
      </c>
      <c r="N10239" t="s">
        <v>40436</v>
      </c>
      <c r="O10239" t="s">
        <v>40437</v>
      </c>
      <c r="P10239">
        <v>0</v>
      </c>
      <c r="Q10239">
        <v>0</v>
      </c>
      <c r="R10239" t="s">
        <v>40450</v>
      </c>
      <c r="S10239" t="s">
        <v>40961</v>
      </c>
      <c r="T10239" t="s">
        <v>42279</v>
      </c>
      <c r="U10239" t="s">
        <v>51161</v>
      </c>
      <c r="V10239" t="s">
        <v>54901</v>
      </c>
      <c r="W10239" t="s">
        <v>39878</v>
      </c>
      <c r="X10239" t="s">
        <v>40451</v>
      </c>
    </row>
    <row r="10240" spans="1:24">
      <c r="A10240">
        <f>HYPERLINK("https://www.philgeps.gov.ph/GEPSNONPILOT/Tender/SplashBidNoticeAbstractUI.aspx?menuIndex=3&amp;refID=7028711&amp;Result=3","7028711")</f>
        <v>0</v>
      </c>
      <c r="B10240" t="s">
        <v>142</v>
      </c>
      <c r="C10240" t="s">
        <v>12857</v>
      </c>
      <c r="D10240" t="s">
        <v>16218</v>
      </c>
      <c r="E10240" t="s">
        <v>25179</v>
      </c>
      <c r="F10240" t="s">
        <v>28198</v>
      </c>
      <c r="G10240" t="s">
        <v>28205</v>
      </c>
      <c r="H10240" t="s">
        <v>28215</v>
      </c>
      <c r="I10240" t="s">
        <v>28222</v>
      </c>
      <c r="J10240" t="s">
        <v>28347</v>
      </c>
      <c r="K10240" t="s">
        <v>36694</v>
      </c>
      <c r="L10240" t="s">
        <v>142</v>
      </c>
      <c r="M10240" t="s">
        <v>37116</v>
      </c>
      <c r="N10240" t="s">
        <v>40436</v>
      </c>
      <c r="O10240" t="s">
        <v>40437</v>
      </c>
      <c r="P10240">
        <v>0</v>
      </c>
      <c r="Q10240">
        <v>12</v>
      </c>
      <c r="R10240" t="s">
        <v>40450</v>
      </c>
      <c r="S10240" t="s">
        <v>40961</v>
      </c>
      <c r="T10240" t="s">
        <v>42469</v>
      </c>
      <c r="U10240" t="s">
        <v>51162</v>
      </c>
      <c r="V10240" t="s">
        <v>54903</v>
      </c>
      <c r="W10240" t="s">
        <v>37116</v>
      </c>
      <c r="X10240" t="s">
        <v>40451</v>
      </c>
    </row>
    <row r="10241" spans="1:24">
      <c r="A10241">
        <f>HYPERLINK("https://www.philgeps.gov.ph/GEPSNONPILOT/Tender/SplashBidNoticeAbstractUI.aspx?menuIndex=3&amp;refID=7028684&amp;Result=3","7028684")</f>
        <v>0</v>
      </c>
      <c r="B10241" t="s">
        <v>309</v>
      </c>
      <c r="C10241" t="s">
        <v>12858</v>
      </c>
      <c r="D10241" t="s">
        <v>16228</v>
      </c>
      <c r="E10241" t="s">
        <v>25180</v>
      </c>
      <c r="F10241" t="s">
        <v>28200</v>
      </c>
      <c r="G10241" t="s">
        <v>28207</v>
      </c>
      <c r="H10241" t="s">
        <v>28215</v>
      </c>
      <c r="I10241" t="s">
        <v>4505</v>
      </c>
      <c r="J10241" t="s">
        <v>28345</v>
      </c>
      <c r="K10241" t="s">
        <v>36701</v>
      </c>
      <c r="M10241" t="s">
        <v>37286</v>
      </c>
      <c r="N10241" t="s">
        <v>40436</v>
      </c>
      <c r="O10241" t="s">
        <v>40437</v>
      </c>
      <c r="P10241">
        <v>0</v>
      </c>
      <c r="Q10241">
        <v>7</v>
      </c>
      <c r="R10241" t="s">
        <v>40450</v>
      </c>
      <c r="S10241" t="s">
        <v>40961</v>
      </c>
      <c r="T10241" t="s">
        <v>42277</v>
      </c>
      <c r="U10241" t="s">
        <v>44334</v>
      </c>
      <c r="V10241" t="s">
        <v>53847</v>
      </c>
      <c r="W10241" t="s">
        <v>55440</v>
      </c>
      <c r="X10241" t="s">
        <v>40451</v>
      </c>
    </row>
    <row r="10242" spans="1:24">
      <c r="A10242">
        <f>HYPERLINK("https://www.philgeps.gov.ph/GEPSNONPILOT/Tender/SplashBidNoticeAbstractUI.aspx?menuIndex=3&amp;refID=7028743&amp;Result=3","7028743")</f>
        <v>0</v>
      </c>
      <c r="B10242" t="s">
        <v>553</v>
      </c>
      <c r="C10242" t="s">
        <v>9647</v>
      </c>
      <c r="E10242" t="s">
        <v>25181</v>
      </c>
      <c r="F10242" t="s">
        <v>28198</v>
      </c>
      <c r="G10242" t="s">
        <v>28205</v>
      </c>
      <c r="H10242" t="s">
        <v>28215</v>
      </c>
      <c r="I10242" t="s">
        <v>4505</v>
      </c>
      <c r="J10242" t="s">
        <v>29839</v>
      </c>
      <c r="K10242" t="s">
        <v>36689</v>
      </c>
      <c r="M10242" t="s">
        <v>37539</v>
      </c>
      <c r="N10242" t="s">
        <v>40436</v>
      </c>
      <c r="O10242" t="s">
        <v>40437</v>
      </c>
      <c r="P10242">
        <v>0</v>
      </c>
      <c r="Q10242">
        <v>0</v>
      </c>
      <c r="R10242" t="s">
        <v>40450</v>
      </c>
      <c r="S10242" t="s">
        <v>40961</v>
      </c>
      <c r="T10242" t="s">
        <v>42200</v>
      </c>
      <c r="U10242" t="s">
        <v>51163</v>
      </c>
      <c r="W10242" t="s">
        <v>37539</v>
      </c>
      <c r="X10242" t="s">
        <v>40451</v>
      </c>
    </row>
    <row r="10243" spans="1:24">
      <c r="A10243">
        <f>HYPERLINK("https://www.philgeps.gov.ph/GEPSNONPILOT/Tender/SplashBidNoticeAbstractUI.aspx?menuIndex=3&amp;refID=7028737&amp;Result=3","7028737")</f>
        <v>0</v>
      </c>
      <c r="B10243" t="s">
        <v>1466</v>
      </c>
      <c r="C10243" t="s">
        <v>12859</v>
      </c>
      <c r="D10243" t="s">
        <v>16235</v>
      </c>
      <c r="E10243" t="s">
        <v>25182</v>
      </c>
      <c r="F10243" t="s">
        <v>28198</v>
      </c>
      <c r="G10243" t="s">
        <v>28205</v>
      </c>
      <c r="H10243" t="s">
        <v>28215</v>
      </c>
      <c r="I10243" t="s">
        <v>28220</v>
      </c>
      <c r="J10243" t="s">
        <v>28699</v>
      </c>
      <c r="K10243" t="s">
        <v>36689</v>
      </c>
      <c r="M10243" t="s">
        <v>38536</v>
      </c>
      <c r="N10243" t="s">
        <v>40436</v>
      </c>
      <c r="O10243" t="s">
        <v>40437</v>
      </c>
      <c r="Q10243">
        <v>13</v>
      </c>
      <c r="R10243" t="s">
        <v>40450</v>
      </c>
      <c r="S10243" t="s">
        <v>40978</v>
      </c>
      <c r="T10243" t="s">
        <v>42525</v>
      </c>
      <c r="U10243" t="s">
        <v>51164</v>
      </c>
      <c r="W10243" t="s">
        <v>38536</v>
      </c>
      <c r="X10243" t="s">
        <v>40451</v>
      </c>
    </row>
    <row r="10244" spans="1:24">
      <c r="A10244">
        <f>HYPERLINK("https://www.philgeps.gov.ph/GEPSNONPILOT/Tender/SplashBidNoticeAbstractUI.aspx?menuIndex=3&amp;refID=7028821&amp;Result=3","7028821")</f>
        <v>0</v>
      </c>
      <c r="B10244" t="s">
        <v>2789</v>
      </c>
      <c r="C10244" t="s">
        <v>12860</v>
      </c>
      <c r="D10244" t="s">
        <v>16192</v>
      </c>
      <c r="E10244" t="s">
        <v>16640</v>
      </c>
      <c r="F10244" t="s">
        <v>28198</v>
      </c>
      <c r="G10244" t="s">
        <v>28205</v>
      </c>
      <c r="H10244" t="s">
        <v>28215</v>
      </c>
      <c r="I10244" t="s">
        <v>5100</v>
      </c>
      <c r="J10244" t="s">
        <v>34677</v>
      </c>
      <c r="K10244" t="s">
        <v>36687</v>
      </c>
      <c r="M10244" t="s">
        <v>40038</v>
      </c>
      <c r="N10244" t="s">
        <v>40436</v>
      </c>
      <c r="O10244" t="s">
        <v>40437</v>
      </c>
      <c r="P10244">
        <v>0</v>
      </c>
      <c r="Q10244">
        <v>2</v>
      </c>
      <c r="R10244" t="s">
        <v>40450</v>
      </c>
      <c r="S10244" t="s">
        <v>40961</v>
      </c>
      <c r="T10244" t="s">
        <v>42250</v>
      </c>
      <c r="U10244" t="s">
        <v>51165</v>
      </c>
      <c r="V10244" t="s">
        <v>54905</v>
      </c>
      <c r="W10244" t="s">
        <v>40038</v>
      </c>
      <c r="X10244" t="s">
        <v>40451</v>
      </c>
    </row>
    <row r="10245" spans="1:24">
      <c r="A10245">
        <f>HYPERLINK("https://www.philgeps.gov.ph/GEPSNONPILOT/Tender/SplashBidNoticeAbstractUI.aspx?menuIndex=3&amp;refID=7028887&amp;Result=3","7028887")</f>
        <v>0</v>
      </c>
      <c r="B10245" t="s">
        <v>2789</v>
      </c>
      <c r="C10245" t="s">
        <v>12861</v>
      </c>
      <c r="D10245" t="s">
        <v>16192</v>
      </c>
      <c r="E10245" t="s">
        <v>16861</v>
      </c>
      <c r="F10245" t="s">
        <v>28198</v>
      </c>
      <c r="G10245" t="s">
        <v>28205</v>
      </c>
      <c r="H10245" t="s">
        <v>28215</v>
      </c>
      <c r="I10245" t="s">
        <v>5100</v>
      </c>
      <c r="J10245" t="s">
        <v>34678</v>
      </c>
      <c r="K10245" t="s">
        <v>36687</v>
      </c>
      <c r="M10245" t="s">
        <v>40038</v>
      </c>
      <c r="N10245" t="s">
        <v>40436</v>
      </c>
      <c r="O10245" t="s">
        <v>40437</v>
      </c>
      <c r="P10245">
        <v>0</v>
      </c>
      <c r="Q10245">
        <v>0</v>
      </c>
      <c r="R10245" t="s">
        <v>40450</v>
      </c>
      <c r="S10245" t="s">
        <v>40961</v>
      </c>
      <c r="T10245" t="s">
        <v>42250</v>
      </c>
      <c r="U10245" t="s">
        <v>51166</v>
      </c>
      <c r="V10245" t="s">
        <v>54905</v>
      </c>
      <c r="W10245" t="s">
        <v>40038</v>
      </c>
      <c r="X10245" t="s">
        <v>40451</v>
      </c>
    </row>
    <row r="10246" spans="1:24">
      <c r="A10246">
        <f>HYPERLINK("https://www.philgeps.gov.ph/GEPSNONPILOT/Tender/SplashBidNoticeAbstractUI.aspx?menuIndex=3&amp;refID=7028789&amp;Result=3","7028789")</f>
        <v>0</v>
      </c>
      <c r="B10246" t="s">
        <v>1835</v>
      </c>
      <c r="C10246" t="s">
        <v>12862</v>
      </c>
      <c r="D10246" t="s">
        <v>16191</v>
      </c>
      <c r="E10246" t="s">
        <v>25183</v>
      </c>
      <c r="F10246" t="s">
        <v>28198</v>
      </c>
      <c r="G10246" t="s">
        <v>28205</v>
      </c>
      <c r="H10246" t="s">
        <v>28215</v>
      </c>
      <c r="I10246" t="s">
        <v>5100</v>
      </c>
      <c r="J10246" t="s">
        <v>34679</v>
      </c>
      <c r="K10246" t="s">
        <v>36689</v>
      </c>
      <c r="M10246" t="s">
        <v>38960</v>
      </c>
      <c r="N10246" t="s">
        <v>40436</v>
      </c>
      <c r="O10246" t="s">
        <v>40437</v>
      </c>
      <c r="P10246">
        <v>0</v>
      </c>
      <c r="Q10246">
        <v>3</v>
      </c>
      <c r="R10246" t="s">
        <v>40450</v>
      </c>
      <c r="S10246" t="s">
        <v>40961</v>
      </c>
      <c r="T10246" t="s">
        <v>42505</v>
      </c>
      <c r="U10246" t="s">
        <v>51167</v>
      </c>
      <c r="W10246" t="s">
        <v>38960</v>
      </c>
      <c r="X10246" t="s">
        <v>40451</v>
      </c>
    </row>
    <row r="10247" spans="1:24">
      <c r="A10247">
        <f>HYPERLINK("https://www.philgeps.gov.ph/GEPSNONPILOT/Tender/SplashBidNoticeAbstractUI.aspx?menuIndex=3&amp;refID=7028822&amp;Result=3","7028822")</f>
        <v>0</v>
      </c>
      <c r="B10247" t="s">
        <v>2604</v>
      </c>
      <c r="C10247" t="s">
        <v>12863</v>
      </c>
      <c r="D10247" t="s">
        <v>16220</v>
      </c>
      <c r="E10247" t="s">
        <v>25184</v>
      </c>
      <c r="F10247" t="s">
        <v>28198</v>
      </c>
      <c r="G10247" t="s">
        <v>28205</v>
      </c>
      <c r="H10247" t="s">
        <v>28215</v>
      </c>
      <c r="I10247" t="s">
        <v>28222</v>
      </c>
      <c r="J10247" t="s">
        <v>30496</v>
      </c>
      <c r="K10247" t="s">
        <v>36701</v>
      </c>
      <c r="L10247" t="s">
        <v>2604</v>
      </c>
      <c r="M10247" t="s">
        <v>39822</v>
      </c>
      <c r="N10247" t="s">
        <v>40436</v>
      </c>
      <c r="O10247" t="s">
        <v>40437</v>
      </c>
      <c r="P10247">
        <v>0</v>
      </c>
      <c r="Q10247">
        <v>6</v>
      </c>
      <c r="R10247" t="s">
        <v>40450</v>
      </c>
      <c r="S10247" t="s">
        <v>40961</v>
      </c>
      <c r="T10247" t="s">
        <v>42134</v>
      </c>
      <c r="U10247" t="s">
        <v>51168</v>
      </c>
      <c r="V10247" t="s">
        <v>54759</v>
      </c>
      <c r="W10247" t="s">
        <v>39822</v>
      </c>
      <c r="X10247" t="s">
        <v>40451</v>
      </c>
    </row>
    <row r="10248" spans="1:24">
      <c r="A10248">
        <f>HYPERLINK("https://www.philgeps.gov.ph/GEPSNONPILOT/Tender/SplashBidNoticeAbstractUI.aspx?menuIndex=3&amp;refID=7028849&amp;Result=3","7028849")</f>
        <v>0</v>
      </c>
      <c r="B10248" t="s">
        <v>2417</v>
      </c>
      <c r="C10248" t="s">
        <v>10713</v>
      </c>
      <c r="D10248" t="s">
        <v>16240</v>
      </c>
      <c r="E10248" t="s">
        <v>23331</v>
      </c>
      <c r="F10248" t="s">
        <v>28198</v>
      </c>
      <c r="G10248" t="s">
        <v>28207</v>
      </c>
      <c r="H10248" t="s">
        <v>28215</v>
      </c>
      <c r="I10248" t="s">
        <v>5071</v>
      </c>
      <c r="J10248" t="s">
        <v>34680</v>
      </c>
      <c r="K10248" t="s">
        <v>36707</v>
      </c>
      <c r="M10248" t="s">
        <v>39605</v>
      </c>
      <c r="N10248" t="s">
        <v>40436</v>
      </c>
      <c r="O10248" t="s">
        <v>40437</v>
      </c>
      <c r="P10248">
        <v>0</v>
      </c>
      <c r="Q10248">
        <v>1</v>
      </c>
      <c r="R10248" t="s">
        <v>40450</v>
      </c>
      <c r="S10248" t="s">
        <v>40961</v>
      </c>
      <c r="T10248" t="s">
        <v>42133</v>
      </c>
      <c r="U10248" t="s">
        <v>51169</v>
      </c>
      <c r="W10248" t="s">
        <v>39605</v>
      </c>
      <c r="X10248" t="s">
        <v>40451</v>
      </c>
    </row>
    <row r="10249" spans="1:24">
      <c r="A10249">
        <f>HYPERLINK("https://www.philgeps.gov.ph/GEPSNONPILOT/Tender/SplashBidNoticeAbstractUI.aspx?menuIndex=3&amp;refID=7028885&amp;Result=3","7028885")</f>
        <v>0</v>
      </c>
      <c r="B10249" t="s">
        <v>2172</v>
      </c>
      <c r="C10249" t="s">
        <v>12864</v>
      </c>
      <c r="D10249" t="s">
        <v>16232</v>
      </c>
      <c r="E10249" t="s">
        <v>25185</v>
      </c>
      <c r="F10249" t="s">
        <v>28198</v>
      </c>
      <c r="G10249" t="s">
        <v>28205</v>
      </c>
      <c r="H10249" t="s">
        <v>28214</v>
      </c>
      <c r="I10249" t="s">
        <v>3797</v>
      </c>
      <c r="J10249" t="s">
        <v>34681</v>
      </c>
      <c r="K10249" t="s">
        <v>36692</v>
      </c>
      <c r="M10249" t="s">
        <v>39332</v>
      </c>
      <c r="N10249" t="s">
        <v>40436</v>
      </c>
      <c r="O10249" t="s">
        <v>40437</v>
      </c>
      <c r="P10249">
        <v>0</v>
      </c>
      <c r="Q10249">
        <v>0</v>
      </c>
      <c r="R10249" t="s">
        <v>40450</v>
      </c>
      <c r="S10249" t="s">
        <v>40961</v>
      </c>
      <c r="T10249" t="s">
        <v>42183</v>
      </c>
      <c r="U10249" t="s">
        <v>51170</v>
      </c>
      <c r="W10249" t="s">
        <v>39332</v>
      </c>
      <c r="X10249" t="s">
        <v>40451</v>
      </c>
    </row>
    <row r="10250" spans="1:24">
      <c r="A10250">
        <f>HYPERLINK("https://www.philgeps.gov.ph/GEPSNONPILOT/Tender/SplashBidNoticeAbstractUI.aspx?menuIndex=3&amp;refID=7028860&amp;Result=3","7028860")</f>
        <v>0</v>
      </c>
      <c r="B10250" t="s">
        <v>2789</v>
      </c>
      <c r="C10250" t="s">
        <v>12865</v>
      </c>
      <c r="D10250" t="s">
        <v>16192</v>
      </c>
      <c r="E10250" t="s">
        <v>18563</v>
      </c>
      <c r="F10250" t="s">
        <v>28198</v>
      </c>
      <c r="G10250" t="s">
        <v>28205</v>
      </c>
      <c r="H10250" t="s">
        <v>28215</v>
      </c>
      <c r="I10250" t="s">
        <v>5100</v>
      </c>
      <c r="J10250" t="s">
        <v>34682</v>
      </c>
      <c r="K10250" t="s">
        <v>36687</v>
      </c>
      <c r="M10250" t="s">
        <v>40038</v>
      </c>
      <c r="N10250" t="s">
        <v>40436</v>
      </c>
      <c r="O10250" t="s">
        <v>40437</v>
      </c>
      <c r="P10250">
        <v>0</v>
      </c>
      <c r="Q10250">
        <v>0</v>
      </c>
      <c r="R10250" t="s">
        <v>40450</v>
      </c>
      <c r="S10250" t="s">
        <v>40961</v>
      </c>
      <c r="T10250" t="s">
        <v>42250</v>
      </c>
      <c r="U10250" t="s">
        <v>51171</v>
      </c>
      <c r="V10250" t="s">
        <v>54905</v>
      </c>
      <c r="W10250" t="s">
        <v>40038</v>
      </c>
      <c r="X10250" t="s">
        <v>40451</v>
      </c>
    </row>
    <row r="10251" spans="1:24">
      <c r="A10251">
        <f>HYPERLINK("https://www.philgeps.gov.ph/GEPSNONPILOT/Tender/SplashBidNoticeAbstractUI.aspx?menuIndex=3&amp;refID=7028842&amp;Result=3","7028842")</f>
        <v>0</v>
      </c>
      <c r="B10251" t="s">
        <v>2604</v>
      </c>
      <c r="C10251" t="s">
        <v>12866</v>
      </c>
      <c r="D10251" t="s">
        <v>16220</v>
      </c>
      <c r="E10251" t="s">
        <v>25186</v>
      </c>
      <c r="F10251" t="s">
        <v>28198</v>
      </c>
      <c r="G10251" t="s">
        <v>28205</v>
      </c>
      <c r="H10251" t="s">
        <v>28215</v>
      </c>
      <c r="I10251" t="s">
        <v>5631</v>
      </c>
      <c r="J10251" t="s">
        <v>34683</v>
      </c>
      <c r="K10251" t="s">
        <v>36701</v>
      </c>
      <c r="L10251" t="s">
        <v>2604</v>
      </c>
      <c r="M10251" t="s">
        <v>39822</v>
      </c>
      <c r="N10251" t="s">
        <v>40436</v>
      </c>
      <c r="O10251" t="s">
        <v>40437</v>
      </c>
      <c r="P10251">
        <v>0</v>
      </c>
      <c r="Q10251">
        <v>1</v>
      </c>
      <c r="R10251" t="s">
        <v>40450</v>
      </c>
      <c r="S10251" t="s">
        <v>40961</v>
      </c>
      <c r="T10251" t="s">
        <v>42134</v>
      </c>
      <c r="U10251" t="s">
        <v>51172</v>
      </c>
      <c r="V10251" t="s">
        <v>54759</v>
      </c>
      <c r="W10251" t="s">
        <v>39822</v>
      </c>
      <c r="X10251" t="s">
        <v>40451</v>
      </c>
    </row>
    <row r="10252" spans="1:24">
      <c r="A10252">
        <f>HYPERLINK("https://www.philgeps.gov.ph/GEPSNONPILOT/Tender/SplashBidNoticeAbstractUI.aspx?menuIndex=3&amp;refID=7028833&amp;Result=3","7028833")</f>
        <v>0</v>
      </c>
      <c r="B10252" t="s">
        <v>2754</v>
      </c>
      <c r="C10252" t="s">
        <v>6293</v>
      </c>
      <c r="D10252" t="s">
        <v>16210</v>
      </c>
      <c r="E10252" t="s">
        <v>25187</v>
      </c>
      <c r="F10252" t="s">
        <v>28198</v>
      </c>
      <c r="G10252" t="s">
        <v>28205</v>
      </c>
      <c r="H10252" t="s">
        <v>28215</v>
      </c>
      <c r="I10252" t="s">
        <v>4200</v>
      </c>
      <c r="J10252" t="s">
        <v>34684</v>
      </c>
      <c r="K10252" t="s">
        <v>36707</v>
      </c>
      <c r="M10252" t="s">
        <v>40003</v>
      </c>
      <c r="N10252" t="s">
        <v>40436</v>
      </c>
      <c r="O10252" t="s">
        <v>40437</v>
      </c>
      <c r="P10252">
        <v>0</v>
      </c>
      <c r="Q10252">
        <v>2</v>
      </c>
      <c r="R10252" t="s">
        <v>40450</v>
      </c>
      <c r="S10252" t="s">
        <v>40961</v>
      </c>
      <c r="T10252" t="s">
        <v>42229</v>
      </c>
      <c r="U10252" t="s">
        <v>51173</v>
      </c>
      <c r="W10252" t="s">
        <v>40003</v>
      </c>
      <c r="X10252" t="s">
        <v>40451</v>
      </c>
    </row>
    <row r="10253" spans="1:24">
      <c r="A10253">
        <f>HYPERLINK("https://www.philgeps.gov.ph/GEPSNONPILOT/Tender/SplashBidNoticeAbstractUI.aspx?menuIndex=3&amp;refID=7028845&amp;Result=3","7028845")</f>
        <v>0</v>
      </c>
      <c r="B10253" t="s">
        <v>2172</v>
      </c>
      <c r="C10253" t="s">
        <v>12867</v>
      </c>
      <c r="D10253" t="s">
        <v>16232</v>
      </c>
      <c r="E10253" t="s">
        <v>25188</v>
      </c>
      <c r="F10253" t="s">
        <v>28198</v>
      </c>
      <c r="G10253" t="s">
        <v>28205</v>
      </c>
      <c r="H10253" t="s">
        <v>28215</v>
      </c>
      <c r="I10253" t="s">
        <v>28222</v>
      </c>
      <c r="J10253" t="s">
        <v>28760</v>
      </c>
      <c r="K10253" t="s">
        <v>36687</v>
      </c>
      <c r="M10253" t="s">
        <v>39332</v>
      </c>
      <c r="N10253" t="s">
        <v>40436</v>
      </c>
      <c r="O10253" t="s">
        <v>40437</v>
      </c>
      <c r="P10253">
        <v>0</v>
      </c>
      <c r="Q10253">
        <v>2</v>
      </c>
      <c r="R10253" t="s">
        <v>40450</v>
      </c>
      <c r="S10253" t="s">
        <v>40961</v>
      </c>
      <c r="T10253" t="s">
        <v>42183</v>
      </c>
      <c r="U10253" t="s">
        <v>51174</v>
      </c>
      <c r="W10253" t="s">
        <v>39332</v>
      </c>
      <c r="X10253" t="s">
        <v>40451</v>
      </c>
    </row>
    <row r="10254" spans="1:24">
      <c r="A10254">
        <f>HYPERLINK("https://www.philgeps.gov.ph/GEPSNONPILOT/Tender/SplashBidNoticeAbstractUI.aspx?menuIndex=3&amp;refID=7028870&amp;Result=3","7028870")</f>
        <v>0</v>
      </c>
      <c r="B10254" t="s">
        <v>2651</v>
      </c>
      <c r="C10254" t="s">
        <v>12868</v>
      </c>
      <c r="D10254" t="s">
        <v>16261</v>
      </c>
      <c r="E10254" t="s">
        <v>25156</v>
      </c>
      <c r="F10254" t="s">
        <v>28198</v>
      </c>
      <c r="G10254" t="s">
        <v>28205</v>
      </c>
      <c r="H10254" t="s">
        <v>28214</v>
      </c>
      <c r="I10254" t="s">
        <v>3797</v>
      </c>
      <c r="J10254" t="s">
        <v>34685</v>
      </c>
      <c r="K10254" t="s">
        <v>36689</v>
      </c>
      <c r="M10254" t="s">
        <v>39878</v>
      </c>
      <c r="N10254" t="s">
        <v>40436</v>
      </c>
      <c r="O10254" t="s">
        <v>40437</v>
      </c>
      <c r="P10254">
        <v>0</v>
      </c>
      <c r="Q10254">
        <v>0</v>
      </c>
      <c r="R10254" t="s">
        <v>40450</v>
      </c>
      <c r="S10254" t="s">
        <v>40961</v>
      </c>
      <c r="T10254" t="s">
        <v>42279</v>
      </c>
      <c r="U10254" t="s">
        <v>51175</v>
      </c>
      <c r="V10254" t="s">
        <v>54901</v>
      </c>
      <c r="W10254" t="s">
        <v>39878</v>
      </c>
      <c r="X10254" t="s">
        <v>40451</v>
      </c>
    </row>
    <row r="10255" spans="1:24">
      <c r="A10255">
        <f>HYPERLINK("https://www.philgeps.gov.ph/GEPSNONPILOT/Tender/SplashBidNoticeAbstractUI.aspx?menuIndex=3&amp;refID=7028840&amp;Result=3","7028840")</f>
        <v>0</v>
      </c>
      <c r="B10255" t="s">
        <v>1522</v>
      </c>
      <c r="C10255" t="s">
        <v>12869</v>
      </c>
      <c r="D10255" t="s">
        <v>16264</v>
      </c>
      <c r="E10255" t="s">
        <v>25189</v>
      </c>
      <c r="F10255" t="s">
        <v>28198</v>
      </c>
      <c r="G10255" t="s">
        <v>28205</v>
      </c>
      <c r="H10255" t="s">
        <v>28214</v>
      </c>
      <c r="I10255" t="s">
        <v>3797</v>
      </c>
      <c r="J10255" t="s">
        <v>34686</v>
      </c>
      <c r="K10255" t="s">
        <v>36694</v>
      </c>
      <c r="M10255" t="s">
        <v>38600</v>
      </c>
      <c r="N10255" t="s">
        <v>40436</v>
      </c>
      <c r="O10255" t="s">
        <v>40437</v>
      </c>
      <c r="P10255">
        <v>0</v>
      </c>
      <c r="Q10255">
        <v>0</v>
      </c>
      <c r="R10255" t="s">
        <v>40450</v>
      </c>
      <c r="S10255" t="s">
        <v>40961</v>
      </c>
      <c r="T10255" t="s">
        <v>42244</v>
      </c>
      <c r="U10255" t="s">
        <v>51176</v>
      </c>
      <c r="W10255" t="s">
        <v>38600</v>
      </c>
      <c r="X10255" t="s">
        <v>40451</v>
      </c>
    </row>
    <row r="10256" spans="1:24">
      <c r="A10256">
        <f>HYPERLINK("https://www.philgeps.gov.ph/GEPSNONPILOT/Tender/SplashBidNoticeAbstractUI.aspx?menuIndex=3&amp;refID=7028848&amp;Result=3","7028848")</f>
        <v>0</v>
      </c>
      <c r="B10256" t="s">
        <v>1585</v>
      </c>
      <c r="C10256" t="s">
        <v>12870</v>
      </c>
      <c r="D10256" t="s">
        <v>16208</v>
      </c>
      <c r="E10256" t="s">
        <v>25190</v>
      </c>
      <c r="F10256" t="s">
        <v>28198</v>
      </c>
      <c r="G10256" t="s">
        <v>28205</v>
      </c>
      <c r="H10256" t="s">
        <v>28214</v>
      </c>
      <c r="I10256" t="s">
        <v>3797</v>
      </c>
      <c r="J10256" t="s">
        <v>34687</v>
      </c>
      <c r="K10256" t="s">
        <v>36785</v>
      </c>
      <c r="M10256" t="s">
        <v>38670</v>
      </c>
      <c r="N10256" t="s">
        <v>40436</v>
      </c>
      <c r="O10256" t="s">
        <v>40437</v>
      </c>
      <c r="P10256">
        <v>0</v>
      </c>
      <c r="Q10256">
        <v>0</v>
      </c>
      <c r="R10256" t="s">
        <v>40450</v>
      </c>
      <c r="S10256" t="s">
        <v>40961</v>
      </c>
      <c r="T10256" t="s">
        <v>42148</v>
      </c>
      <c r="U10256" t="s">
        <v>51177</v>
      </c>
      <c r="W10256" t="s">
        <v>38670</v>
      </c>
      <c r="X10256" t="s">
        <v>40451</v>
      </c>
    </row>
    <row r="10257" spans="1:24">
      <c r="A10257">
        <f>HYPERLINK("https://www.philgeps.gov.ph/GEPSNONPILOT/Tender/SplashBidNoticeAbstractUI.aspx?menuIndex=3&amp;refID=7028841&amp;Result=3","7028841")</f>
        <v>0</v>
      </c>
      <c r="B10257" t="s">
        <v>2789</v>
      </c>
      <c r="C10257" t="s">
        <v>12871</v>
      </c>
      <c r="D10257" t="s">
        <v>16192</v>
      </c>
      <c r="E10257" t="s">
        <v>18568</v>
      </c>
      <c r="F10257" t="s">
        <v>28198</v>
      </c>
      <c r="G10257" t="s">
        <v>28205</v>
      </c>
      <c r="H10257" t="s">
        <v>28215</v>
      </c>
      <c r="I10257" t="s">
        <v>5100</v>
      </c>
      <c r="J10257" t="s">
        <v>34688</v>
      </c>
      <c r="K10257" t="s">
        <v>36687</v>
      </c>
      <c r="M10257" t="s">
        <v>40038</v>
      </c>
      <c r="N10257" t="s">
        <v>40436</v>
      </c>
      <c r="O10257" t="s">
        <v>40437</v>
      </c>
      <c r="P10257">
        <v>0</v>
      </c>
      <c r="Q10257">
        <v>0</v>
      </c>
      <c r="R10257" t="s">
        <v>40450</v>
      </c>
      <c r="S10257" t="s">
        <v>40961</v>
      </c>
      <c r="T10257" t="s">
        <v>42250</v>
      </c>
      <c r="U10257" t="s">
        <v>51178</v>
      </c>
      <c r="V10257" t="s">
        <v>54905</v>
      </c>
      <c r="W10257" t="s">
        <v>40038</v>
      </c>
      <c r="X10257" t="s">
        <v>40451</v>
      </c>
    </row>
    <row r="10258" spans="1:24">
      <c r="A10258">
        <f>HYPERLINK("https://www.philgeps.gov.ph/GEPSNONPILOT/Tender/SplashBidNoticeAbstractUI.aspx?menuIndex=3&amp;refID=7028922&amp;Result=3","7028922")</f>
        <v>0</v>
      </c>
      <c r="B10258" t="s">
        <v>2754</v>
      </c>
      <c r="C10258" t="s">
        <v>12872</v>
      </c>
      <c r="D10258" t="s">
        <v>16210</v>
      </c>
      <c r="E10258" t="s">
        <v>25191</v>
      </c>
      <c r="F10258" t="s">
        <v>28198</v>
      </c>
      <c r="G10258" t="s">
        <v>28205</v>
      </c>
      <c r="H10258" t="s">
        <v>28215</v>
      </c>
      <c r="I10258" t="s">
        <v>4200</v>
      </c>
      <c r="J10258" t="s">
        <v>34689</v>
      </c>
      <c r="K10258" t="s">
        <v>36707</v>
      </c>
      <c r="M10258" t="s">
        <v>40003</v>
      </c>
      <c r="N10258" t="s">
        <v>40436</v>
      </c>
      <c r="O10258" t="s">
        <v>40437</v>
      </c>
      <c r="P10258">
        <v>0</v>
      </c>
      <c r="Q10258">
        <v>0</v>
      </c>
      <c r="R10258" t="s">
        <v>40450</v>
      </c>
      <c r="S10258" t="s">
        <v>40961</v>
      </c>
      <c r="T10258" t="s">
        <v>42229</v>
      </c>
      <c r="U10258" t="s">
        <v>51179</v>
      </c>
      <c r="W10258" t="s">
        <v>40003</v>
      </c>
      <c r="X10258" t="s">
        <v>40451</v>
      </c>
    </row>
    <row r="10259" spans="1:24">
      <c r="A10259">
        <f>HYPERLINK("https://www.philgeps.gov.ph/GEPSNONPILOT/Tender/SplashBidNoticeAbstractUI.aspx?menuIndex=3&amp;refID=7028829&amp;Result=3","7028829")</f>
        <v>0</v>
      </c>
      <c r="B10259" t="s">
        <v>2417</v>
      </c>
      <c r="C10259" t="s">
        <v>12873</v>
      </c>
      <c r="D10259" t="s">
        <v>16240</v>
      </c>
      <c r="E10259" t="s">
        <v>25192</v>
      </c>
      <c r="F10259" t="s">
        <v>28198</v>
      </c>
      <c r="G10259" t="s">
        <v>28207</v>
      </c>
      <c r="H10259" t="s">
        <v>28215</v>
      </c>
      <c r="I10259" t="s">
        <v>28228</v>
      </c>
      <c r="J10259" t="s">
        <v>34690</v>
      </c>
      <c r="K10259" t="s">
        <v>36707</v>
      </c>
      <c r="M10259" t="s">
        <v>39605</v>
      </c>
      <c r="N10259" t="s">
        <v>40436</v>
      </c>
      <c r="O10259" t="s">
        <v>40437</v>
      </c>
      <c r="P10259">
        <v>0</v>
      </c>
      <c r="Q10259">
        <v>0</v>
      </c>
      <c r="R10259" t="s">
        <v>40450</v>
      </c>
      <c r="S10259" t="s">
        <v>40961</v>
      </c>
      <c r="T10259" t="s">
        <v>42133</v>
      </c>
      <c r="U10259" t="s">
        <v>51180</v>
      </c>
      <c r="W10259" t="s">
        <v>39605</v>
      </c>
      <c r="X10259" t="s">
        <v>40451</v>
      </c>
    </row>
    <row r="10260" spans="1:24">
      <c r="A10260">
        <f>HYPERLINK("https://www.philgeps.gov.ph/GEPSNONPILOT/Tender/SplashBidNoticeAbstractUI.aspx?menuIndex=3&amp;refID=7028827&amp;Result=3","7028827")</f>
        <v>0</v>
      </c>
      <c r="B10260" t="s">
        <v>2790</v>
      </c>
      <c r="C10260" t="s">
        <v>5107</v>
      </c>
      <c r="D10260" t="s">
        <v>16262</v>
      </c>
      <c r="E10260" t="s">
        <v>25193</v>
      </c>
      <c r="F10260" t="s">
        <v>28198</v>
      </c>
      <c r="G10260" t="s">
        <v>28205</v>
      </c>
      <c r="H10260" t="s">
        <v>28215</v>
      </c>
      <c r="I10260" t="s">
        <v>5082</v>
      </c>
      <c r="J10260" t="s">
        <v>34691</v>
      </c>
      <c r="K10260" t="s">
        <v>36701</v>
      </c>
      <c r="M10260" t="s">
        <v>40039</v>
      </c>
      <c r="N10260" t="s">
        <v>40436</v>
      </c>
      <c r="O10260" t="s">
        <v>40437</v>
      </c>
      <c r="P10260">
        <v>0</v>
      </c>
      <c r="Q10260">
        <v>1</v>
      </c>
      <c r="R10260" t="s">
        <v>40450</v>
      </c>
      <c r="S10260" t="s">
        <v>40961</v>
      </c>
      <c r="T10260" t="s">
        <v>42554</v>
      </c>
      <c r="U10260" t="s">
        <v>51181</v>
      </c>
      <c r="W10260" t="s">
        <v>40039</v>
      </c>
      <c r="X10260" t="s">
        <v>40451</v>
      </c>
    </row>
    <row r="10261" spans="1:24">
      <c r="A10261">
        <f>HYPERLINK("https://www.philgeps.gov.ph/GEPSNONPILOT/Tender/SplashBidNoticeAbstractUI.aspx?menuIndex=3&amp;refID=7028927&amp;Result=3","7028927")</f>
        <v>0</v>
      </c>
      <c r="B10261" t="s">
        <v>2791</v>
      </c>
      <c r="C10261" t="s">
        <v>12874</v>
      </c>
      <c r="D10261" t="s">
        <v>16203</v>
      </c>
      <c r="E10261" t="s">
        <v>25194</v>
      </c>
      <c r="F10261" t="s">
        <v>28198</v>
      </c>
      <c r="G10261" t="s">
        <v>28205</v>
      </c>
      <c r="H10261" t="s">
        <v>28214</v>
      </c>
      <c r="I10261" t="s">
        <v>3797</v>
      </c>
      <c r="J10261" t="s">
        <v>34692</v>
      </c>
      <c r="K10261" t="s">
        <v>36694</v>
      </c>
      <c r="M10261" t="s">
        <v>40040</v>
      </c>
      <c r="N10261" t="s">
        <v>40436</v>
      </c>
      <c r="O10261" t="s">
        <v>40437</v>
      </c>
      <c r="P10261">
        <v>0</v>
      </c>
      <c r="Q10261">
        <v>3</v>
      </c>
      <c r="R10261" t="s">
        <v>40450</v>
      </c>
      <c r="S10261" t="s">
        <v>40961</v>
      </c>
      <c r="T10261" t="s">
        <v>42134</v>
      </c>
      <c r="U10261" t="s">
        <v>51182</v>
      </c>
      <c r="V10261" t="s">
        <v>54906</v>
      </c>
      <c r="W10261" t="s">
        <v>40040</v>
      </c>
      <c r="X10261" t="s">
        <v>40451</v>
      </c>
    </row>
    <row r="10262" spans="1:24">
      <c r="A10262">
        <f>HYPERLINK("https://www.philgeps.gov.ph/GEPSNONPILOT/Tender/SplashBidNoticeAbstractUI.aspx?menuIndex=3&amp;refID=7028918&amp;Result=3","7028918")</f>
        <v>0</v>
      </c>
      <c r="B10262" t="s">
        <v>2295</v>
      </c>
      <c r="C10262" t="s">
        <v>12875</v>
      </c>
      <c r="D10262" t="s">
        <v>16222</v>
      </c>
      <c r="E10262" t="s">
        <v>25195</v>
      </c>
      <c r="F10262" t="s">
        <v>28200</v>
      </c>
      <c r="G10262" t="s">
        <v>28205</v>
      </c>
      <c r="H10262" t="s">
        <v>28214</v>
      </c>
      <c r="I10262" t="s">
        <v>3797</v>
      </c>
      <c r="J10262" t="s">
        <v>29566</v>
      </c>
      <c r="K10262" t="s">
        <v>36858</v>
      </c>
      <c r="M10262" t="s">
        <v>39470</v>
      </c>
      <c r="N10262" t="s">
        <v>40436</v>
      </c>
      <c r="O10262" t="s">
        <v>40437</v>
      </c>
      <c r="P10262">
        <v>0</v>
      </c>
      <c r="Q10262">
        <v>1</v>
      </c>
      <c r="R10262" t="s">
        <v>40450</v>
      </c>
      <c r="S10262" t="s">
        <v>40961</v>
      </c>
      <c r="T10262" t="s">
        <v>42425</v>
      </c>
      <c r="U10262" t="s">
        <v>50789</v>
      </c>
      <c r="V10262" t="s">
        <v>54846</v>
      </c>
      <c r="W10262" t="s">
        <v>39470</v>
      </c>
      <c r="X10262" t="s">
        <v>40451</v>
      </c>
    </row>
    <row r="10263" spans="1:24">
      <c r="A10263">
        <f>HYPERLINK("https://www.philgeps.gov.ph/GEPSNONPILOT/Tender/SplashBidNoticeAbstractUI.aspx?menuIndex=3&amp;refID=7028939&amp;Result=3","7028939")</f>
        <v>0</v>
      </c>
      <c r="B10263" t="s">
        <v>2786</v>
      </c>
      <c r="C10263" t="s">
        <v>12876</v>
      </c>
      <c r="D10263" t="s">
        <v>16243</v>
      </c>
      <c r="E10263" t="s">
        <v>25196</v>
      </c>
      <c r="F10263" t="s">
        <v>28198</v>
      </c>
      <c r="G10263" t="s">
        <v>28205</v>
      </c>
      <c r="H10263" t="s">
        <v>28214</v>
      </c>
      <c r="I10263" t="s">
        <v>8870</v>
      </c>
      <c r="J10263" t="s">
        <v>34693</v>
      </c>
      <c r="K10263" t="s">
        <v>36699</v>
      </c>
      <c r="M10263" t="s">
        <v>40035</v>
      </c>
      <c r="N10263" t="s">
        <v>40436</v>
      </c>
      <c r="O10263" t="s">
        <v>40437</v>
      </c>
      <c r="P10263">
        <v>0</v>
      </c>
      <c r="Q10263">
        <v>2</v>
      </c>
      <c r="R10263" t="s">
        <v>40450</v>
      </c>
      <c r="S10263" t="s">
        <v>40961</v>
      </c>
      <c r="T10263" t="s">
        <v>42113</v>
      </c>
      <c r="U10263" t="s">
        <v>51183</v>
      </c>
      <c r="W10263" t="s">
        <v>40035</v>
      </c>
      <c r="X10263" t="s">
        <v>40451</v>
      </c>
    </row>
    <row r="10264" spans="1:24">
      <c r="A10264">
        <f>HYPERLINK("https://www.philgeps.gov.ph/GEPSNONPILOT/Tender/SplashBidNoticeAbstractUI.aspx?menuIndex=3&amp;refID=7028906&amp;Result=3","7028906")</f>
        <v>0</v>
      </c>
      <c r="B10264" t="s">
        <v>2219</v>
      </c>
      <c r="C10264" t="s">
        <v>12877</v>
      </c>
      <c r="D10264" t="s">
        <v>16244</v>
      </c>
      <c r="E10264" t="s">
        <v>25197</v>
      </c>
      <c r="F10264" t="s">
        <v>28198</v>
      </c>
      <c r="G10264" t="s">
        <v>28205</v>
      </c>
      <c r="H10264" t="s">
        <v>28214</v>
      </c>
      <c r="I10264" t="s">
        <v>3797</v>
      </c>
      <c r="J10264" t="s">
        <v>28347</v>
      </c>
      <c r="K10264" t="s">
        <v>36717</v>
      </c>
      <c r="M10264" t="s">
        <v>39385</v>
      </c>
      <c r="N10264" t="s">
        <v>40436</v>
      </c>
      <c r="O10264" t="s">
        <v>40437</v>
      </c>
      <c r="P10264">
        <v>0</v>
      </c>
      <c r="Q10264">
        <v>0</v>
      </c>
      <c r="R10264" t="s">
        <v>40450</v>
      </c>
      <c r="S10264" t="s">
        <v>40961</v>
      </c>
      <c r="T10264" t="s">
        <v>42274</v>
      </c>
      <c r="U10264" t="s">
        <v>51184</v>
      </c>
      <c r="W10264" t="s">
        <v>39385</v>
      </c>
      <c r="X10264" t="s">
        <v>40451</v>
      </c>
    </row>
    <row r="10265" spans="1:24">
      <c r="A10265">
        <f>HYPERLINK("https://www.philgeps.gov.ph/GEPSNONPILOT/Tender/SplashBidNoticeAbstractUI.aspx?menuIndex=3&amp;refID=7028913&amp;Result=3","7028913")</f>
        <v>0</v>
      </c>
      <c r="B10265" t="s">
        <v>1835</v>
      </c>
      <c r="C10265" t="s">
        <v>12878</v>
      </c>
      <c r="D10265" t="s">
        <v>16191</v>
      </c>
      <c r="E10265" t="s">
        <v>25198</v>
      </c>
      <c r="F10265" t="s">
        <v>28198</v>
      </c>
      <c r="G10265" t="s">
        <v>28205</v>
      </c>
      <c r="H10265" t="s">
        <v>28215</v>
      </c>
      <c r="I10265" t="s">
        <v>28222</v>
      </c>
      <c r="J10265" t="s">
        <v>34694</v>
      </c>
      <c r="K10265" t="s">
        <v>36689</v>
      </c>
      <c r="M10265" t="s">
        <v>38960</v>
      </c>
      <c r="N10265" t="s">
        <v>40436</v>
      </c>
      <c r="O10265" t="s">
        <v>40437</v>
      </c>
      <c r="P10265">
        <v>0</v>
      </c>
      <c r="Q10265">
        <v>17</v>
      </c>
      <c r="R10265" t="s">
        <v>40450</v>
      </c>
      <c r="S10265" t="s">
        <v>40961</v>
      </c>
      <c r="T10265" t="s">
        <v>42505</v>
      </c>
      <c r="U10265" t="s">
        <v>51185</v>
      </c>
      <c r="W10265" t="s">
        <v>38960</v>
      </c>
      <c r="X10265" t="s">
        <v>40451</v>
      </c>
    </row>
    <row r="10266" spans="1:24">
      <c r="A10266">
        <f>HYPERLINK("https://www.philgeps.gov.ph/GEPSNONPILOT/Tender/SplashBidNoticeAbstractUI.aspx?menuIndex=3&amp;refID=7028963&amp;Result=3","7028963")</f>
        <v>0</v>
      </c>
      <c r="B10266" t="s">
        <v>142</v>
      </c>
      <c r="C10266" t="s">
        <v>12879</v>
      </c>
      <c r="D10266" t="s">
        <v>16218</v>
      </c>
      <c r="E10266" t="s">
        <v>19920</v>
      </c>
      <c r="F10266" t="s">
        <v>28198</v>
      </c>
      <c r="G10266" t="s">
        <v>28205</v>
      </c>
      <c r="H10266" t="s">
        <v>28215</v>
      </c>
      <c r="I10266" t="s">
        <v>28234</v>
      </c>
      <c r="J10266" t="s">
        <v>34695</v>
      </c>
      <c r="K10266" t="s">
        <v>36715</v>
      </c>
      <c r="L10266" t="s">
        <v>142</v>
      </c>
      <c r="M10266" t="s">
        <v>37116</v>
      </c>
      <c r="N10266" t="s">
        <v>40436</v>
      </c>
      <c r="O10266" t="s">
        <v>40437</v>
      </c>
      <c r="P10266">
        <v>0</v>
      </c>
      <c r="Q10266">
        <v>4</v>
      </c>
      <c r="R10266" t="s">
        <v>40450</v>
      </c>
      <c r="S10266" t="s">
        <v>40961</v>
      </c>
      <c r="T10266" t="s">
        <v>42469</v>
      </c>
      <c r="U10266" t="s">
        <v>51186</v>
      </c>
      <c r="V10266" t="s">
        <v>54903</v>
      </c>
      <c r="W10266" t="s">
        <v>37116</v>
      </c>
      <c r="X10266" t="s">
        <v>40451</v>
      </c>
    </row>
    <row r="10267" spans="1:24">
      <c r="A10267">
        <f>HYPERLINK("https://www.philgeps.gov.ph/GEPSNONPILOT/Tender/SplashBidNoticeAbstractUI.aspx?menuIndex=3&amp;refID=7028945&amp;Result=3","7028945")</f>
        <v>0</v>
      </c>
      <c r="B10267" t="s">
        <v>142</v>
      </c>
      <c r="C10267" t="s">
        <v>12880</v>
      </c>
      <c r="D10267" t="s">
        <v>16218</v>
      </c>
      <c r="E10267" t="s">
        <v>19911</v>
      </c>
      <c r="F10267" t="s">
        <v>28198</v>
      </c>
      <c r="G10267" t="s">
        <v>28205</v>
      </c>
      <c r="H10267" t="s">
        <v>28215</v>
      </c>
      <c r="I10267" t="s">
        <v>8888</v>
      </c>
      <c r="J10267" t="s">
        <v>34696</v>
      </c>
      <c r="K10267" t="s">
        <v>36715</v>
      </c>
      <c r="L10267" t="s">
        <v>142</v>
      </c>
      <c r="M10267" t="s">
        <v>37116</v>
      </c>
      <c r="N10267" t="s">
        <v>40436</v>
      </c>
      <c r="O10267" t="s">
        <v>40437</v>
      </c>
      <c r="P10267">
        <v>0</v>
      </c>
      <c r="Q10267">
        <v>5</v>
      </c>
      <c r="R10267" t="s">
        <v>40450</v>
      </c>
      <c r="S10267" t="s">
        <v>40961</v>
      </c>
      <c r="T10267" t="s">
        <v>42469</v>
      </c>
      <c r="U10267" t="s">
        <v>51187</v>
      </c>
      <c r="V10267" t="s">
        <v>54903</v>
      </c>
      <c r="W10267" t="s">
        <v>37116</v>
      </c>
      <c r="X10267" t="s">
        <v>40451</v>
      </c>
    </row>
    <row r="10268" spans="1:24">
      <c r="A10268">
        <f>HYPERLINK("https://www.philgeps.gov.ph/GEPSNONPILOT/Tender/SplashBidNoticeAbstractUI.aspx?menuIndex=3&amp;refID=7028950&amp;Result=3","7028950")</f>
        <v>0</v>
      </c>
      <c r="B10268" t="s">
        <v>1585</v>
      </c>
      <c r="C10268" t="s">
        <v>12881</v>
      </c>
      <c r="D10268" t="s">
        <v>16208</v>
      </c>
      <c r="E10268" t="s">
        <v>25199</v>
      </c>
      <c r="F10268" t="s">
        <v>28198</v>
      </c>
      <c r="G10268" t="s">
        <v>28205</v>
      </c>
      <c r="H10268" t="s">
        <v>28214</v>
      </c>
      <c r="I10268" t="s">
        <v>3797</v>
      </c>
      <c r="J10268" t="s">
        <v>29552</v>
      </c>
      <c r="K10268" t="s">
        <v>36896</v>
      </c>
      <c r="M10268" t="s">
        <v>38670</v>
      </c>
      <c r="N10268" t="s">
        <v>40436</v>
      </c>
      <c r="O10268" t="s">
        <v>40437</v>
      </c>
      <c r="Q10268">
        <v>0</v>
      </c>
      <c r="R10268" t="s">
        <v>40450</v>
      </c>
      <c r="S10268" t="s">
        <v>40979</v>
      </c>
      <c r="T10268" t="s">
        <v>42148</v>
      </c>
      <c r="U10268" t="s">
        <v>51144</v>
      </c>
      <c r="W10268" t="s">
        <v>38670</v>
      </c>
      <c r="X10268" t="s">
        <v>40451</v>
      </c>
    </row>
    <row r="10269" spans="1:24">
      <c r="A10269">
        <f>HYPERLINK("https://www.philgeps.gov.ph/GEPSNONPILOT/Tender/SplashBidNoticeAbstractUI.aspx?menuIndex=3&amp;refID=7029013&amp;Result=3","7029013")</f>
        <v>0</v>
      </c>
      <c r="B10269" t="s">
        <v>2790</v>
      </c>
      <c r="C10269" t="s">
        <v>12882</v>
      </c>
      <c r="D10269" t="s">
        <v>16262</v>
      </c>
      <c r="E10269" t="s">
        <v>25200</v>
      </c>
      <c r="F10269" t="s">
        <v>28198</v>
      </c>
      <c r="G10269" t="s">
        <v>28205</v>
      </c>
      <c r="H10269" t="s">
        <v>28215</v>
      </c>
      <c r="I10269" t="s">
        <v>8888</v>
      </c>
      <c r="J10269" t="s">
        <v>34697</v>
      </c>
      <c r="K10269" t="s">
        <v>36701</v>
      </c>
      <c r="M10269" t="s">
        <v>40039</v>
      </c>
      <c r="N10269" t="s">
        <v>40436</v>
      </c>
      <c r="O10269" t="s">
        <v>40437</v>
      </c>
      <c r="P10269">
        <v>0</v>
      </c>
      <c r="Q10269">
        <v>4</v>
      </c>
      <c r="R10269" t="s">
        <v>40450</v>
      </c>
      <c r="S10269" t="s">
        <v>40961</v>
      </c>
      <c r="T10269" t="s">
        <v>42554</v>
      </c>
      <c r="U10269" t="s">
        <v>51181</v>
      </c>
      <c r="W10269" t="s">
        <v>40039</v>
      </c>
      <c r="X10269" t="s">
        <v>40451</v>
      </c>
    </row>
    <row r="10270" spans="1:24">
      <c r="A10270">
        <f>HYPERLINK("https://www.philgeps.gov.ph/GEPSNONPILOT/Tender/SplashBidNoticeAbstractUI.aspx?menuIndex=3&amp;refID=7029009&amp;Result=3","7029009")</f>
        <v>0</v>
      </c>
      <c r="B10270" t="s">
        <v>2754</v>
      </c>
      <c r="C10270" t="s">
        <v>12883</v>
      </c>
      <c r="D10270" t="s">
        <v>16210</v>
      </c>
      <c r="E10270" t="s">
        <v>25201</v>
      </c>
      <c r="F10270" t="s">
        <v>28198</v>
      </c>
      <c r="G10270" t="s">
        <v>28205</v>
      </c>
      <c r="H10270" t="s">
        <v>28215</v>
      </c>
      <c r="I10270" t="s">
        <v>4200</v>
      </c>
      <c r="J10270" t="s">
        <v>28425</v>
      </c>
      <c r="K10270" t="s">
        <v>36707</v>
      </c>
      <c r="M10270" t="s">
        <v>40003</v>
      </c>
      <c r="N10270" t="s">
        <v>40436</v>
      </c>
      <c r="O10270" t="s">
        <v>40437</v>
      </c>
      <c r="P10270">
        <v>0</v>
      </c>
      <c r="Q10270">
        <v>1</v>
      </c>
      <c r="R10270" t="s">
        <v>40450</v>
      </c>
      <c r="S10270" t="s">
        <v>40961</v>
      </c>
      <c r="T10270" t="s">
        <v>42555</v>
      </c>
      <c r="U10270" t="s">
        <v>51188</v>
      </c>
      <c r="W10270" t="s">
        <v>40003</v>
      </c>
      <c r="X10270" t="s">
        <v>40451</v>
      </c>
    </row>
    <row r="10271" spans="1:24">
      <c r="A10271">
        <f>HYPERLINK("https://www.philgeps.gov.ph/GEPSNONPILOT/Tender/SplashBidNoticeAbstractUI.aspx?menuIndex=3&amp;refID=7029025&amp;Result=3","7029025")</f>
        <v>0</v>
      </c>
      <c r="B10271" t="s">
        <v>1585</v>
      </c>
      <c r="C10271" t="s">
        <v>12884</v>
      </c>
      <c r="D10271" t="s">
        <v>16208</v>
      </c>
      <c r="E10271" t="s">
        <v>25202</v>
      </c>
      <c r="F10271" t="s">
        <v>28198</v>
      </c>
      <c r="G10271" t="s">
        <v>28205</v>
      </c>
      <c r="H10271" t="s">
        <v>28214</v>
      </c>
      <c r="I10271" t="s">
        <v>3797</v>
      </c>
      <c r="J10271" t="s">
        <v>29526</v>
      </c>
      <c r="K10271" t="s">
        <v>36738</v>
      </c>
      <c r="M10271" t="s">
        <v>38670</v>
      </c>
      <c r="N10271" t="s">
        <v>40436</v>
      </c>
      <c r="O10271" t="s">
        <v>40437</v>
      </c>
      <c r="P10271">
        <v>0</v>
      </c>
      <c r="Q10271">
        <v>0</v>
      </c>
      <c r="R10271" t="s">
        <v>40450</v>
      </c>
      <c r="S10271" t="s">
        <v>40961</v>
      </c>
      <c r="T10271" t="s">
        <v>42148</v>
      </c>
      <c r="U10271" t="s">
        <v>51144</v>
      </c>
      <c r="W10271" t="s">
        <v>38670</v>
      </c>
      <c r="X10271" t="s">
        <v>40451</v>
      </c>
    </row>
    <row r="10272" spans="1:24">
      <c r="A10272">
        <f>HYPERLINK("https://www.philgeps.gov.ph/GEPSNONPILOT/Tender/SplashBidNoticeAbstractUI.aspx?menuIndex=3&amp;refID=7028994&amp;Result=3","7028994")</f>
        <v>0</v>
      </c>
      <c r="B10272" t="s">
        <v>1086</v>
      </c>
      <c r="C10272" t="s">
        <v>12885</v>
      </c>
      <c r="D10272" t="s">
        <v>16241</v>
      </c>
      <c r="E10272" t="s">
        <v>25203</v>
      </c>
      <c r="F10272" t="s">
        <v>28198</v>
      </c>
      <c r="G10272" t="s">
        <v>28205</v>
      </c>
      <c r="H10272" t="s">
        <v>28214</v>
      </c>
      <c r="I10272" t="s">
        <v>8870</v>
      </c>
      <c r="J10272" t="s">
        <v>28730</v>
      </c>
      <c r="K10272" t="s">
        <v>36706</v>
      </c>
      <c r="M10272" t="s">
        <v>38121</v>
      </c>
      <c r="N10272" t="s">
        <v>40436</v>
      </c>
      <c r="O10272" t="s">
        <v>40437</v>
      </c>
      <c r="P10272">
        <v>0</v>
      </c>
      <c r="Q10272">
        <v>4</v>
      </c>
      <c r="R10272" t="s">
        <v>40450</v>
      </c>
      <c r="S10272" t="s">
        <v>40961</v>
      </c>
      <c r="T10272" t="s">
        <v>42228</v>
      </c>
      <c r="U10272" t="s">
        <v>51189</v>
      </c>
      <c r="W10272" t="s">
        <v>38121</v>
      </c>
      <c r="X10272" t="s">
        <v>40451</v>
      </c>
    </row>
    <row r="10273" spans="1:24">
      <c r="A10273">
        <f>HYPERLINK("https://www.philgeps.gov.ph/GEPSNONPILOT/Tender/SplashBidNoticeAbstractUI.aspx?menuIndex=3&amp;refID=7028996&amp;Result=3","7028996")</f>
        <v>0</v>
      </c>
      <c r="B10273" t="s">
        <v>2294</v>
      </c>
      <c r="C10273" t="s">
        <v>12886</v>
      </c>
      <c r="D10273" t="s">
        <v>16262</v>
      </c>
      <c r="E10273" t="s">
        <v>25204</v>
      </c>
      <c r="F10273" t="s">
        <v>28198</v>
      </c>
      <c r="G10273" t="s">
        <v>28205</v>
      </c>
      <c r="H10273" t="s">
        <v>28214</v>
      </c>
      <c r="I10273" t="s">
        <v>3797</v>
      </c>
      <c r="J10273" t="s">
        <v>34698</v>
      </c>
      <c r="K10273" t="s">
        <v>36697</v>
      </c>
      <c r="M10273" t="s">
        <v>39469</v>
      </c>
      <c r="N10273" t="s">
        <v>40436</v>
      </c>
      <c r="O10273" t="s">
        <v>40437</v>
      </c>
      <c r="Q10273">
        <v>0</v>
      </c>
      <c r="R10273" t="s">
        <v>40450</v>
      </c>
      <c r="S10273" t="s">
        <v>40980</v>
      </c>
      <c r="T10273" t="s">
        <v>42112</v>
      </c>
      <c r="U10273" t="s">
        <v>51190</v>
      </c>
      <c r="V10273" t="s">
        <v>54563</v>
      </c>
      <c r="W10273" t="s">
        <v>39469</v>
      </c>
      <c r="X10273" t="s">
        <v>40451</v>
      </c>
    </row>
    <row r="10274" spans="1:24">
      <c r="A10274">
        <f>HYPERLINK("https://www.philgeps.gov.ph/GEPSNONPILOT/Tender/SplashBidNoticeAbstractUI.aspx?menuIndex=3&amp;refID=7028989&amp;Result=3","7028989")</f>
        <v>0</v>
      </c>
      <c r="B10274" t="s">
        <v>2792</v>
      </c>
      <c r="C10274" t="s">
        <v>7368</v>
      </c>
      <c r="E10274" t="s">
        <v>25205</v>
      </c>
      <c r="F10274" t="s">
        <v>28198</v>
      </c>
      <c r="G10274" t="s">
        <v>28205</v>
      </c>
      <c r="H10274" t="s">
        <v>28215</v>
      </c>
      <c r="I10274" t="s">
        <v>5082</v>
      </c>
      <c r="J10274" t="s">
        <v>34699</v>
      </c>
      <c r="K10274" t="s">
        <v>36694</v>
      </c>
      <c r="M10274" t="s">
        <v>40041</v>
      </c>
      <c r="N10274" t="s">
        <v>40436</v>
      </c>
      <c r="O10274" t="s">
        <v>40437</v>
      </c>
      <c r="P10274">
        <v>0</v>
      </c>
      <c r="Q10274">
        <v>3</v>
      </c>
      <c r="R10274" t="s">
        <v>40450</v>
      </c>
      <c r="S10274" t="s">
        <v>40961</v>
      </c>
      <c r="T10274" t="s">
        <v>42245</v>
      </c>
      <c r="U10274" t="s">
        <v>51191</v>
      </c>
      <c r="W10274" t="s">
        <v>40041</v>
      </c>
      <c r="X10274" t="s">
        <v>40451</v>
      </c>
    </row>
    <row r="10275" spans="1:24">
      <c r="A10275">
        <f>HYPERLINK("https://www.philgeps.gov.ph/GEPSNONPILOT/Tender/SplashBidNoticeAbstractUI.aspx?menuIndex=3&amp;refID=7029006&amp;Result=3","7029006")</f>
        <v>0</v>
      </c>
      <c r="B10275" t="s">
        <v>2791</v>
      </c>
      <c r="C10275" t="s">
        <v>12887</v>
      </c>
      <c r="D10275" t="s">
        <v>16203</v>
      </c>
      <c r="E10275" t="s">
        <v>25206</v>
      </c>
      <c r="F10275" t="s">
        <v>28198</v>
      </c>
      <c r="G10275" t="s">
        <v>28205</v>
      </c>
      <c r="H10275" t="s">
        <v>28214</v>
      </c>
      <c r="I10275" t="s">
        <v>3797</v>
      </c>
      <c r="J10275" t="s">
        <v>34700</v>
      </c>
      <c r="K10275" t="s">
        <v>36715</v>
      </c>
      <c r="M10275" t="s">
        <v>40040</v>
      </c>
      <c r="N10275" t="s">
        <v>40436</v>
      </c>
      <c r="O10275" t="s">
        <v>40437</v>
      </c>
      <c r="P10275">
        <v>0</v>
      </c>
      <c r="Q10275">
        <v>2</v>
      </c>
      <c r="R10275" t="s">
        <v>40450</v>
      </c>
      <c r="S10275" t="s">
        <v>40961</v>
      </c>
      <c r="T10275" t="s">
        <v>42134</v>
      </c>
      <c r="U10275" t="s">
        <v>51192</v>
      </c>
      <c r="V10275" t="s">
        <v>54906</v>
      </c>
      <c r="W10275" t="s">
        <v>40040</v>
      </c>
      <c r="X10275" t="s">
        <v>40451</v>
      </c>
    </row>
    <row r="10276" spans="1:24">
      <c r="A10276">
        <f>HYPERLINK("https://www.philgeps.gov.ph/GEPSNONPILOT/Tender/SplashBidNoticeAbstractUI.aspx?menuIndex=3&amp;refID=7029079&amp;Result=3","7029079")</f>
        <v>0</v>
      </c>
      <c r="B10276" t="s">
        <v>898</v>
      </c>
      <c r="C10276" t="s">
        <v>12888</v>
      </c>
      <c r="D10276" t="s">
        <v>16216</v>
      </c>
      <c r="E10276" t="s">
        <v>25207</v>
      </c>
      <c r="F10276" t="s">
        <v>28198</v>
      </c>
      <c r="G10276" t="s">
        <v>28205</v>
      </c>
      <c r="H10276" t="s">
        <v>28214</v>
      </c>
      <c r="I10276" t="s">
        <v>3797</v>
      </c>
      <c r="J10276" t="s">
        <v>34701</v>
      </c>
      <c r="K10276" t="s">
        <v>36805</v>
      </c>
      <c r="M10276" t="s">
        <v>37914</v>
      </c>
      <c r="N10276" t="s">
        <v>40436</v>
      </c>
      <c r="O10276" t="s">
        <v>40437</v>
      </c>
      <c r="P10276">
        <v>0</v>
      </c>
      <c r="Q10276">
        <v>0</v>
      </c>
      <c r="R10276" t="s">
        <v>40450</v>
      </c>
      <c r="S10276" t="s">
        <v>40961</v>
      </c>
      <c r="T10276" t="s">
        <v>42098</v>
      </c>
      <c r="U10276" t="s">
        <v>51193</v>
      </c>
      <c r="V10276" t="s">
        <v>54907</v>
      </c>
      <c r="W10276" t="s">
        <v>37914</v>
      </c>
      <c r="X10276" t="s">
        <v>40451</v>
      </c>
    </row>
    <row r="10277" spans="1:24">
      <c r="A10277">
        <f>HYPERLINK("https://www.philgeps.gov.ph/GEPSNONPILOT/Tender/SplashBidNoticeAbstractUI.aspx?menuIndex=3&amp;refID=7029046&amp;Result=3","7029046")</f>
        <v>0</v>
      </c>
      <c r="B10277" t="s">
        <v>1153</v>
      </c>
      <c r="C10277" t="s">
        <v>12889</v>
      </c>
      <c r="E10277" t="s">
        <v>23155</v>
      </c>
      <c r="F10277" t="s">
        <v>28198</v>
      </c>
      <c r="G10277" t="s">
        <v>28205</v>
      </c>
      <c r="H10277" t="s">
        <v>28215</v>
      </c>
      <c r="I10277" t="s">
        <v>5100</v>
      </c>
      <c r="J10277" t="s">
        <v>34702</v>
      </c>
      <c r="K10277" t="s">
        <v>36687</v>
      </c>
      <c r="M10277" t="s">
        <v>38193</v>
      </c>
      <c r="N10277" t="s">
        <v>40436</v>
      </c>
      <c r="O10277" t="s">
        <v>40437</v>
      </c>
      <c r="P10277">
        <v>0</v>
      </c>
      <c r="Q10277">
        <v>1</v>
      </c>
      <c r="R10277" t="s">
        <v>40450</v>
      </c>
      <c r="S10277" t="s">
        <v>40961</v>
      </c>
      <c r="T10277" t="s">
        <v>42279</v>
      </c>
      <c r="U10277" t="s">
        <v>48617</v>
      </c>
      <c r="V10277" t="s">
        <v>54908</v>
      </c>
      <c r="W10277" t="s">
        <v>38193</v>
      </c>
      <c r="X10277" t="s">
        <v>40451</v>
      </c>
    </row>
    <row r="10278" spans="1:24">
      <c r="A10278">
        <f>HYPERLINK("https://www.philgeps.gov.ph/GEPSNONPILOT/Tender/SplashBidNoticeAbstractUI.aspx?menuIndex=3&amp;refID=7029071&amp;Result=3","7029071")</f>
        <v>0</v>
      </c>
      <c r="B10278" t="s">
        <v>2793</v>
      </c>
      <c r="C10278" t="s">
        <v>12890</v>
      </c>
      <c r="D10278" t="s">
        <v>16203</v>
      </c>
      <c r="E10278" t="s">
        <v>25208</v>
      </c>
      <c r="F10278" t="s">
        <v>28198</v>
      </c>
      <c r="G10278" t="s">
        <v>28205</v>
      </c>
      <c r="H10278" t="s">
        <v>28214</v>
      </c>
      <c r="I10278" t="s">
        <v>3797</v>
      </c>
      <c r="J10278" t="s">
        <v>28378</v>
      </c>
      <c r="K10278" t="s">
        <v>36689</v>
      </c>
      <c r="M10278" t="s">
        <v>40042</v>
      </c>
      <c r="N10278" t="s">
        <v>40436</v>
      </c>
      <c r="O10278" t="s">
        <v>40437</v>
      </c>
      <c r="P10278">
        <v>0</v>
      </c>
      <c r="Q10278">
        <v>0</v>
      </c>
      <c r="R10278" t="s">
        <v>40450</v>
      </c>
      <c r="S10278" t="s">
        <v>40961</v>
      </c>
      <c r="T10278" t="s">
        <v>42102</v>
      </c>
      <c r="U10278" t="s">
        <v>51194</v>
      </c>
      <c r="W10278" t="s">
        <v>40042</v>
      </c>
      <c r="X10278" t="s">
        <v>40451</v>
      </c>
    </row>
    <row r="10279" spans="1:24">
      <c r="A10279">
        <f>HYPERLINK("https://www.philgeps.gov.ph/GEPSNONPILOT/Tender/SplashBidNoticeAbstractUI.aspx?menuIndex=3&amp;refID=7029069&amp;Result=3","7029069")</f>
        <v>0</v>
      </c>
      <c r="B10279" t="s">
        <v>1466</v>
      </c>
      <c r="C10279" t="s">
        <v>12891</v>
      </c>
      <c r="D10279" t="s">
        <v>16235</v>
      </c>
      <c r="E10279" t="s">
        <v>25209</v>
      </c>
      <c r="F10279" t="s">
        <v>28198</v>
      </c>
      <c r="G10279" t="s">
        <v>28205</v>
      </c>
      <c r="H10279" t="s">
        <v>28215</v>
      </c>
      <c r="I10279" t="s">
        <v>28220</v>
      </c>
      <c r="J10279" t="s">
        <v>28921</v>
      </c>
      <c r="K10279" t="s">
        <v>36689</v>
      </c>
      <c r="M10279" t="s">
        <v>38536</v>
      </c>
      <c r="N10279" t="s">
        <v>40436</v>
      </c>
      <c r="O10279" t="s">
        <v>40437</v>
      </c>
      <c r="Q10279">
        <v>17</v>
      </c>
      <c r="R10279" t="s">
        <v>40450</v>
      </c>
      <c r="S10279" t="s">
        <v>40981</v>
      </c>
      <c r="T10279" t="s">
        <v>42449</v>
      </c>
      <c r="U10279" t="s">
        <v>51195</v>
      </c>
      <c r="W10279" t="s">
        <v>38536</v>
      </c>
      <c r="X10279" t="s">
        <v>40451</v>
      </c>
    </row>
    <row r="10280" spans="1:24">
      <c r="A10280">
        <f>HYPERLINK("https://www.philgeps.gov.ph/GEPSNONPILOT/Tender/SplashBidNoticeAbstractUI.aspx?menuIndex=3&amp;refID=7029031&amp;Result=3","7029031")</f>
        <v>0</v>
      </c>
      <c r="B10280" t="s">
        <v>2794</v>
      </c>
      <c r="C10280" t="s">
        <v>12892</v>
      </c>
      <c r="D10280" t="s">
        <v>16254</v>
      </c>
      <c r="E10280" t="s">
        <v>25210</v>
      </c>
      <c r="F10280" t="s">
        <v>28198</v>
      </c>
      <c r="G10280" t="s">
        <v>28205</v>
      </c>
      <c r="H10280" t="s">
        <v>28214</v>
      </c>
      <c r="I10280" t="s">
        <v>3797</v>
      </c>
      <c r="J10280" t="s">
        <v>34703</v>
      </c>
      <c r="K10280" t="s">
        <v>36692</v>
      </c>
      <c r="M10280" t="s">
        <v>40043</v>
      </c>
      <c r="N10280" t="s">
        <v>40436</v>
      </c>
      <c r="O10280" t="s">
        <v>40437</v>
      </c>
      <c r="P10280">
        <v>0</v>
      </c>
      <c r="Q10280">
        <v>1</v>
      </c>
      <c r="R10280" t="s">
        <v>40450</v>
      </c>
      <c r="S10280" t="s">
        <v>40961</v>
      </c>
      <c r="T10280" t="s">
        <v>42097</v>
      </c>
      <c r="U10280" t="s">
        <v>51196</v>
      </c>
      <c r="W10280" t="s">
        <v>40043</v>
      </c>
      <c r="X10280" t="s">
        <v>40451</v>
      </c>
    </row>
    <row r="10281" spans="1:24">
      <c r="A10281">
        <f>HYPERLINK("https://www.philgeps.gov.ph/GEPSNONPILOT/Tender/SplashBidNoticeAbstractUI.aspx?menuIndex=3&amp;refID=7029027&amp;Result=3","7029027")</f>
        <v>0</v>
      </c>
      <c r="B10281" t="s">
        <v>2786</v>
      </c>
      <c r="C10281" t="s">
        <v>12893</v>
      </c>
      <c r="D10281" t="s">
        <v>16243</v>
      </c>
      <c r="E10281" t="s">
        <v>25211</v>
      </c>
      <c r="F10281" t="s">
        <v>28198</v>
      </c>
      <c r="G10281" t="s">
        <v>28205</v>
      </c>
      <c r="H10281" t="s">
        <v>28215</v>
      </c>
      <c r="I10281" t="s">
        <v>3797</v>
      </c>
      <c r="J10281" t="s">
        <v>34704</v>
      </c>
      <c r="K10281" t="s">
        <v>36799</v>
      </c>
      <c r="M10281" t="s">
        <v>40035</v>
      </c>
      <c r="N10281" t="s">
        <v>40436</v>
      </c>
      <c r="O10281" t="s">
        <v>40437</v>
      </c>
      <c r="P10281">
        <v>0</v>
      </c>
      <c r="Q10281">
        <v>1</v>
      </c>
      <c r="R10281" t="s">
        <v>40450</v>
      </c>
      <c r="S10281" t="s">
        <v>40961</v>
      </c>
      <c r="T10281" t="s">
        <v>42113</v>
      </c>
      <c r="U10281" t="s">
        <v>51197</v>
      </c>
      <c r="W10281" t="s">
        <v>40035</v>
      </c>
      <c r="X10281" t="s">
        <v>40451</v>
      </c>
    </row>
    <row r="10282" spans="1:24">
      <c r="A10282">
        <f>HYPERLINK("https://www.philgeps.gov.ph/GEPSNONPILOT/Tender/SplashBidNoticeAbstractUI.aspx?menuIndex=3&amp;refID=7029072&amp;Result=3","7029072")</f>
        <v>0</v>
      </c>
      <c r="B10282" t="s">
        <v>877</v>
      </c>
      <c r="C10282" t="s">
        <v>12894</v>
      </c>
      <c r="D10282" t="s">
        <v>16213</v>
      </c>
      <c r="E10282" t="s">
        <v>25212</v>
      </c>
      <c r="F10282" t="s">
        <v>28198</v>
      </c>
      <c r="G10282" t="s">
        <v>28205</v>
      </c>
      <c r="H10282" t="s">
        <v>28215</v>
      </c>
      <c r="I10282" t="s">
        <v>28243</v>
      </c>
      <c r="J10282" t="s">
        <v>34705</v>
      </c>
      <c r="K10282" t="s">
        <v>36707</v>
      </c>
      <c r="M10282" t="s">
        <v>37893</v>
      </c>
      <c r="N10282" t="s">
        <v>40436</v>
      </c>
      <c r="O10282" t="s">
        <v>40437</v>
      </c>
      <c r="P10282">
        <v>0</v>
      </c>
      <c r="Q10282">
        <v>6</v>
      </c>
      <c r="R10282" t="s">
        <v>40450</v>
      </c>
      <c r="S10282" t="s">
        <v>40961</v>
      </c>
      <c r="T10282" t="s">
        <v>42098</v>
      </c>
      <c r="U10282" t="s">
        <v>51198</v>
      </c>
      <c r="W10282" t="s">
        <v>37893</v>
      </c>
      <c r="X10282" t="s">
        <v>40451</v>
      </c>
    </row>
    <row r="10283" spans="1:24">
      <c r="A10283">
        <f>HYPERLINK("https://www.philgeps.gov.ph/GEPSNONPILOT/Tender/SplashBidNoticeAbstractUI.aspx?menuIndex=3&amp;refID=7029109&amp;Result=3","7029109")</f>
        <v>0</v>
      </c>
      <c r="B10283" t="s">
        <v>2651</v>
      </c>
      <c r="C10283" t="s">
        <v>12895</v>
      </c>
      <c r="D10283" t="s">
        <v>16261</v>
      </c>
      <c r="E10283" t="s">
        <v>25156</v>
      </c>
      <c r="F10283" t="s">
        <v>28198</v>
      </c>
      <c r="G10283" t="s">
        <v>28205</v>
      </c>
      <c r="H10283" t="s">
        <v>28214</v>
      </c>
      <c r="I10283" t="s">
        <v>3797</v>
      </c>
      <c r="J10283" t="s">
        <v>28351</v>
      </c>
      <c r="K10283" t="s">
        <v>36689</v>
      </c>
      <c r="M10283" t="s">
        <v>39878</v>
      </c>
      <c r="N10283" t="s">
        <v>40436</v>
      </c>
      <c r="O10283" t="s">
        <v>40437</v>
      </c>
      <c r="P10283">
        <v>0</v>
      </c>
      <c r="Q10283">
        <v>0</v>
      </c>
      <c r="R10283" t="s">
        <v>40450</v>
      </c>
      <c r="S10283" t="s">
        <v>40961</v>
      </c>
      <c r="T10283" t="s">
        <v>42279</v>
      </c>
      <c r="U10283" t="s">
        <v>51199</v>
      </c>
      <c r="V10283" t="s">
        <v>54901</v>
      </c>
      <c r="W10283" t="s">
        <v>39878</v>
      </c>
      <c r="X10283" t="s">
        <v>40451</v>
      </c>
    </row>
    <row r="10284" spans="1:24">
      <c r="A10284">
        <f>HYPERLINK("https://www.philgeps.gov.ph/GEPSNONPILOT/Tender/SplashBidNoticeAbstractUI.aspx?menuIndex=3&amp;refID=7029066&amp;Result=3","7029066")</f>
        <v>0</v>
      </c>
      <c r="B10284" t="s">
        <v>2754</v>
      </c>
      <c r="C10284" t="s">
        <v>12896</v>
      </c>
      <c r="D10284" t="s">
        <v>16210</v>
      </c>
      <c r="E10284" t="s">
        <v>25213</v>
      </c>
      <c r="F10284" t="s">
        <v>28198</v>
      </c>
      <c r="G10284" t="s">
        <v>28205</v>
      </c>
      <c r="H10284" t="s">
        <v>28215</v>
      </c>
      <c r="I10284" t="s">
        <v>4200</v>
      </c>
      <c r="J10284" t="s">
        <v>34706</v>
      </c>
      <c r="K10284" t="s">
        <v>36707</v>
      </c>
      <c r="M10284" t="s">
        <v>40003</v>
      </c>
      <c r="N10284" t="s">
        <v>40436</v>
      </c>
      <c r="O10284" t="s">
        <v>40437</v>
      </c>
      <c r="P10284">
        <v>0</v>
      </c>
      <c r="Q10284">
        <v>0</v>
      </c>
      <c r="R10284" t="s">
        <v>40450</v>
      </c>
      <c r="S10284" t="s">
        <v>40961</v>
      </c>
      <c r="T10284" t="s">
        <v>42305</v>
      </c>
      <c r="U10284" t="s">
        <v>51200</v>
      </c>
      <c r="W10284" t="s">
        <v>40003</v>
      </c>
      <c r="X10284" t="s">
        <v>40451</v>
      </c>
    </row>
    <row r="10285" spans="1:24">
      <c r="A10285">
        <f>HYPERLINK("https://www.philgeps.gov.ph/GEPSNONPILOT/Tender/SplashBidNoticeAbstractUI.aspx?menuIndex=3&amp;refID=7029099&amp;Result=3","7029099")</f>
        <v>0</v>
      </c>
      <c r="B10285" t="s">
        <v>1486</v>
      </c>
      <c r="C10285" t="s">
        <v>12897</v>
      </c>
      <c r="D10285" t="s">
        <v>16231</v>
      </c>
      <c r="E10285" t="s">
        <v>25214</v>
      </c>
      <c r="F10285" t="s">
        <v>28198</v>
      </c>
      <c r="G10285" t="s">
        <v>28205</v>
      </c>
      <c r="H10285" t="s">
        <v>28214</v>
      </c>
      <c r="I10285" t="s">
        <v>3797</v>
      </c>
      <c r="J10285" t="s">
        <v>34707</v>
      </c>
      <c r="K10285" t="s">
        <v>36733</v>
      </c>
      <c r="M10285" t="s">
        <v>39670</v>
      </c>
      <c r="N10285" t="s">
        <v>40436</v>
      </c>
      <c r="O10285" t="s">
        <v>40437</v>
      </c>
      <c r="Q10285">
        <v>11</v>
      </c>
      <c r="R10285" t="s">
        <v>40450</v>
      </c>
      <c r="S10285" t="s">
        <v>40982</v>
      </c>
      <c r="T10285" t="s">
        <v>42426</v>
      </c>
      <c r="U10285" t="s">
        <v>51201</v>
      </c>
      <c r="W10285" t="s">
        <v>39670</v>
      </c>
      <c r="X10285" t="s">
        <v>40451</v>
      </c>
    </row>
    <row r="10286" spans="1:24">
      <c r="A10286">
        <f>HYPERLINK("https://www.philgeps.gov.ph/GEPSNONPILOT/Tender/SplashBidNoticeAbstractUI.aspx?menuIndex=3&amp;refID=7029135&amp;Result=3","7029135")</f>
        <v>0</v>
      </c>
      <c r="B10286" t="s">
        <v>473</v>
      </c>
      <c r="C10286" t="s">
        <v>12898</v>
      </c>
      <c r="D10286" t="s">
        <v>16219</v>
      </c>
      <c r="E10286" t="s">
        <v>25215</v>
      </c>
      <c r="F10286" t="s">
        <v>28198</v>
      </c>
      <c r="G10286" t="s">
        <v>28207</v>
      </c>
      <c r="H10286" t="s">
        <v>28215</v>
      </c>
      <c r="I10286" t="s">
        <v>28249</v>
      </c>
      <c r="J10286" t="s">
        <v>28573</v>
      </c>
      <c r="K10286" t="s">
        <v>36698</v>
      </c>
      <c r="M10286" t="s">
        <v>37458</v>
      </c>
      <c r="N10286" t="s">
        <v>40436</v>
      </c>
      <c r="O10286" t="s">
        <v>40437</v>
      </c>
      <c r="Q10286">
        <v>0</v>
      </c>
      <c r="R10286" t="s">
        <v>40450</v>
      </c>
      <c r="S10286" t="s">
        <v>40983</v>
      </c>
      <c r="T10286" t="s">
        <v>42169</v>
      </c>
      <c r="U10286" t="s">
        <v>51202</v>
      </c>
      <c r="W10286" t="s">
        <v>37458</v>
      </c>
      <c r="X10286" t="s">
        <v>40451</v>
      </c>
    </row>
    <row r="10287" spans="1:24">
      <c r="A10287">
        <f>HYPERLINK("https://www.philgeps.gov.ph/GEPSNONPILOT/Tender/SplashBidNoticeAbstractUI.aspx?menuIndex=3&amp;refID=7029136&amp;Result=3","7029136")</f>
        <v>0</v>
      </c>
      <c r="B10287" t="s">
        <v>668</v>
      </c>
      <c r="C10287" t="s">
        <v>12899</v>
      </c>
      <c r="D10287" t="s">
        <v>16223</v>
      </c>
      <c r="E10287" t="s">
        <v>25216</v>
      </c>
      <c r="F10287" t="s">
        <v>28198</v>
      </c>
      <c r="G10287" t="s">
        <v>28205</v>
      </c>
      <c r="H10287" t="s">
        <v>28215</v>
      </c>
      <c r="I10287" t="s">
        <v>3797</v>
      </c>
      <c r="J10287" t="s">
        <v>28559</v>
      </c>
      <c r="K10287" t="s">
        <v>36689</v>
      </c>
      <c r="M10287" t="s">
        <v>37664</v>
      </c>
      <c r="N10287" t="s">
        <v>40436</v>
      </c>
      <c r="O10287" t="s">
        <v>40437</v>
      </c>
      <c r="P10287">
        <v>0</v>
      </c>
      <c r="Q10287">
        <v>0</v>
      </c>
      <c r="R10287" t="s">
        <v>40450</v>
      </c>
      <c r="S10287" t="s">
        <v>40961</v>
      </c>
      <c r="T10287" t="s">
        <v>42103</v>
      </c>
      <c r="U10287" t="s">
        <v>51203</v>
      </c>
      <c r="W10287" t="s">
        <v>37664</v>
      </c>
      <c r="X10287" t="s">
        <v>40451</v>
      </c>
    </row>
    <row r="10288" spans="1:24">
      <c r="A10288">
        <f>HYPERLINK("https://www.philgeps.gov.ph/GEPSNONPILOT/Tender/SplashBidNoticeAbstractUI.aspx?menuIndex=3&amp;refID=7029151&amp;Result=3","7029151")</f>
        <v>0</v>
      </c>
      <c r="B10288" t="s">
        <v>2295</v>
      </c>
      <c r="C10288" t="s">
        <v>12900</v>
      </c>
      <c r="D10288" t="s">
        <v>16222</v>
      </c>
      <c r="E10288" t="s">
        <v>25217</v>
      </c>
      <c r="F10288" t="s">
        <v>28200</v>
      </c>
      <c r="G10288" t="s">
        <v>28205</v>
      </c>
      <c r="H10288" t="s">
        <v>28214</v>
      </c>
      <c r="I10288" t="s">
        <v>3797</v>
      </c>
      <c r="J10288" t="s">
        <v>29566</v>
      </c>
      <c r="K10288" t="s">
        <v>36826</v>
      </c>
      <c r="M10288" t="s">
        <v>39470</v>
      </c>
      <c r="N10288" t="s">
        <v>40436</v>
      </c>
      <c r="O10288" t="s">
        <v>40437</v>
      </c>
      <c r="P10288">
        <v>0</v>
      </c>
      <c r="Q10288">
        <v>2</v>
      </c>
      <c r="R10288" t="s">
        <v>40450</v>
      </c>
      <c r="S10288" t="s">
        <v>40961</v>
      </c>
      <c r="T10288" t="s">
        <v>42183</v>
      </c>
      <c r="U10288" t="s">
        <v>50789</v>
      </c>
      <c r="V10288" t="s">
        <v>54846</v>
      </c>
      <c r="W10288" t="s">
        <v>39470</v>
      </c>
      <c r="X10288" t="s">
        <v>40451</v>
      </c>
    </row>
    <row r="10289" spans="1:24">
      <c r="A10289">
        <f>HYPERLINK("https://www.philgeps.gov.ph/GEPSNONPILOT/Tender/SplashBidNoticeAbstractUI.aspx?menuIndex=3&amp;refID=7029163&amp;Result=3","7029163")</f>
        <v>0</v>
      </c>
      <c r="B10289" t="s">
        <v>1486</v>
      </c>
      <c r="C10289" t="s">
        <v>12901</v>
      </c>
      <c r="D10289" t="s">
        <v>16231</v>
      </c>
      <c r="E10289" t="s">
        <v>25218</v>
      </c>
      <c r="F10289" t="s">
        <v>28198</v>
      </c>
      <c r="G10289" t="s">
        <v>28205</v>
      </c>
      <c r="H10289" t="s">
        <v>28214</v>
      </c>
      <c r="I10289" t="s">
        <v>3797</v>
      </c>
      <c r="J10289" t="s">
        <v>34708</v>
      </c>
      <c r="K10289" t="s">
        <v>36733</v>
      </c>
      <c r="M10289" t="s">
        <v>39670</v>
      </c>
      <c r="N10289" t="s">
        <v>40436</v>
      </c>
      <c r="O10289" t="s">
        <v>40437</v>
      </c>
      <c r="Q10289">
        <v>13</v>
      </c>
      <c r="R10289" t="s">
        <v>40450</v>
      </c>
      <c r="S10289" t="s">
        <v>40984</v>
      </c>
      <c r="T10289" t="s">
        <v>42426</v>
      </c>
      <c r="U10289" t="s">
        <v>51204</v>
      </c>
      <c r="W10289" t="s">
        <v>39670</v>
      </c>
      <c r="X10289" t="s">
        <v>40451</v>
      </c>
    </row>
    <row r="10290" spans="1:24">
      <c r="A10290">
        <f>HYPERLINK("https://www.philgeps.gov.ph/GEPSNONPILOT/Tender/SplashBidNoticeAbstractUI.aspx?menuIndex=3&amp;refID=7029114&amp;Result=3","7029114")</f>
        <v>0</v>
      </c>
      <c r="B10290" t="s">
        <v>2716</v>
      </c>
      <c r="C10290" t="s">
        <v>12902</v>
      </c>
      <c r="D10290" t="s">
        <v>16202</v>
      </c>
      <c r="E10290" t="s">
        <v>25219</v>
      </c>
      <c r="F10290" t="s">
        <v>28198</v>
      </c>
      <c r="G10290" t="s">
        <v>28205</v>
      </c>
      <c r="H10290" t="s">
        <v>28214</v>
      </c>
      <c r="I10290" t="s">
        <v>3797</v>
      </c>
      <c r="J10290" t="s">
        <v>34662</v>
      </c>
      <c r="K10290" t="s">
        <v>36792</v>
      </c>
      <c r="M10290" t="s">
        <v>39959</v>
      </c>
      <c r="N10290" t="s">
        <v>40436</v>
      </c>
      <c r="O10290" t="s">
        <v>40437</v>
      </c>
      <c r="P10290">
        <v>0</v>
      </c>
      <c r="Q10290">
        <v>0</v>
      </c>
      <c r="R10290" t="s">
        <v>40450</v>
      </c>
      <c r="S10290" t="s">
        <v>40961</v>
      </c>
      <c r="T10290" t="s">
        <v>42243</v>
      </c>
      <c r="U10290" t="s">
        <v>50800</v>
      </c>
      <c r="W10290" t="s">
        <v>39959</v>
      </c>
      <c r="X10290" t="s">
        <v>40451</v>
      </c>
    </row>
    <row r="10291" spans="1:24">
      <c r="A10291">
        <f>HYPERLINK("https://www.philgeps.gov.ph/GEPSNONPILOT/Tender/SplashBidNoticeAbstractUI.aspx?menuIndex=3&amp;refID=7029068&amp;Result=3","7029068")</f>
        <v>0</v>
      </c>
      <c r="B10291" t="s">
        <v>2295</v>
      </c>
      <c r="C10291" t="s">
        <v>12903</v>
      </c>
      <c r="D10291" t="s">
        <v>16222</v>
      </c>
      <c r="E10291" t="s">
        <v>25220</v>
      </c>
      <c r="F10291" t="s">
        <v>28200</v>
      </c>
      <c r="G10291" t="s">
        <v>28205</v>
      </c>
      <c r="H10291" t="s">
        <v>28214</v>
      </c>
      <c r="I10291" t="s">
        <v>3797</v>
      </c>
      <c r="J10291" t="s">
        <v>29566</v>
      </c>
      <c r="K10291" t="s">
        <v>36877</v>
      </c>
      <c r="M10291" t="s">
        <v>39470</v>
      </c>
      <c r="N10291" t="s">
        <v>40436</v>
      </c>
      <c r="O10291" t="s">
        <v>40437</v>
      </c>
      <c r="P10291">
        <v>0</v>
      </c>
      <c r="Q10291">
        <v>2</v>
      </c>
      <c r="R10291" t="s">
        <v>40450</v>
      </c>
      <c r="S10291" t="s">
        <v>40961</v>
      </c>
      <c r="T10291" t="s">
        <v>42279</v>
      </c>
      <c r="U10291" t="s">
        <v>50789</v>
      </c>
      <c r="V10291" t="s">
        <v>54846</v>
      </c>
      <c r="W10291" t="s">
        <v>39470</v>
      </c>
      <c r="X10291" t="s">
        <v>40451</v>
      </c>
    </row>
    <row r="10292" spans="1:24">
      <c r="A10292">
        <f>HYPERLINK("https://www.philgeps.gov.ph/GEPSNONPILOT/Tender/SplashBidNoticeAbstractUI.aspx?menuIndex=3&amp;refID=7029179&amp;Result=3","7029179")</f>
        <v>0</v>
      </c>
      <c r="B10292" t="s">
        <v>142</v>
      </c>
      <c r="C10292" t="s">
        <v>12904</v>
      </c>
      <c r="D10292" t="s">
        <v>16218</v>
      </c>
      <c r="E10292" t="s">
        <v>19954</v>
      </c>
      <c r="F10292" t="s">
        <v>28198</v>
      </c>
      <c r="G10292" t="s">
        <v>28205</v>
      </c>
      <c r="H10292" t="s">
        <v>28215</v>
      </c>
      <c r="I10292" t="s">
        <v>28225</v>
      </c>
      <c r="J10292" t="s">
        <v>34709</v>
      </c>
      <c r="K10292" t="s">
        <v>36715</v>
      </c>
      <c r="L10292" t="s">
        <v>142</v>
      </c>
      <c r="M10292" t="s">
        <v>37116</v>
      </c>
      <c r="N10292" t="s">
        <v>40436</v>
      </c>
      <c r="O10292" t="s">
        <v>40437</v>
      </c>
      <c r="P10292">
        <v>0</v>
      </c>
      <c r="Q10292">
        <v>3</v>
      </c>
      <c r="R10292" t="s">
        <v>40450</v>
      </c>
      <c r="S10292" t="s">
        <v>40961</v>
      </c>
      <c r="T10292" t="s">
        <v>42469</v>
      </c>
      <c r="U10292" t="s">
        <v>51205</v>
      </c>
      <c r="V10292" t="s">
        <v>54903</v>
      </c>
      <c r="W10292" t="s">
        <v>37116</v>
      </c>
      <c r="X10292" t="s">
        <v>40451</v>
      </c>
    </row>
    <row r="10293" spans="1:24">
      <c r="A10293">
        <f>HYPERLINK("https://www.philgeps.gov.ph/GEPSNONPILOT/Tender/SplashBidNoticeAbstractUI.aspx?menuIndex=3&amp;refID=7029264&amp;Result=3","7029264")</f>
        <v>0</v>
      </c>
      <c r="B10293" t="s">
        <v>940</v>
      </c>
      <c r="C10293" t="s">
        <v>12905</v>
      </c>
      <c r="D10293" t="s">
        <v>16278</v>
      </c>
      <c r="E10293" t="s">
        <v>25221</v>
      </c>
      <c r="F10293" t="s">
        <v>28198</v>
      </c>
      <c r="G10293" t="s">
        <v>28205</v>
      </c>
      <c r="H10293" t="s">
        <v>28215</v>
      </c>
      <c r="I10293" t="s">
        <v>3797</v>
      </c>
      <c r="J10293" t="s">
        <v>34710</v>
      </c>
      <c r="K10293" t="s">
        <v>36689</v>
      </c>
      <c r="M10293" t="s">
        <v>37963</v>
      </c>
      <c r="N10293" t="s">
        <v>40436</v>
      </c>
      <c r="O10293" t="s">
        <v>40437</v>
      </c>
      <c r="Q10293">
        <v>4</v>
      </c>
      <c r="R10293" t="s">
        <v>40450</v>
      </c>
      <c r="S10293" t="s">
        <v>40985</v>
      </c>
      <c r="T10293" t="s">
        <v>42529</v>
      </c>
      <c r="U10293" t="s">
        <v>51206</v>
      </c>
      <c r="W10293" t="s">
        <v>37963</v>
      </c>
      <c r="X10293" t="s">
        <v>40451</v>
      </c>
    </row>
    <row r="10294" spans="1:24">
      <c r="A10294">
        <f>HYPERLINK("https://www.philgeps.gov.ph/GEPSNONPILOT/Tender/SplashBidNoticeAbstractUI.aspx?menuIndex=3&amp;refID=7029182&amp;Result=3","7029182")</f>
        <v>0</v>
      </c>
      <c r="B10294" t="s">
        <v>473</v>
      </c>
      <c r="C10294" t="s">
        <v>12906</v>
      </c>
      <c r="D10294" t="s">
        <v>16200</v>
      </c>
      <c r="E10294" t="s">
        <v>25222</v>
      </c>
      <c r="F10294" t="s">
        <v>28198</v>
      </c>
      <c r="G10294" t="s">
        <v>28207</v>
      </c>
      <c r="H10294" t="s">
        <v>28215</v>
      </c>
      <c r="I10294" t="s">
        <v>28249</v>
      </c>
      <c r="J10294" t="s">
        <v>28573</v>
      </c>
      <c r="K10294" t="s">
        <v>36698</v>
      </c>
      <c r="M10294" t="s">
        <v>37458</v>
      </c>
      <c r="N10294" t="s">
        <v>40436</v>
      </c>
      <c r="O10294" t="s">
        <v>40437</v>
      </c>
      <c r="Q10294">
        <v>0</v>
      </c>
      <c r="R10294" t="s">
        <v>40450</v>
      </c>
      <c r="S10294" t="s">
        <v>40986</v>
      </c>
      <c r="T10294" t="s">
        <v>42169</v>
      </c>
      <c r="U10294" t="s">
        <v>51202</v>
      </c>
      <c r="W10294" t="s">
        <v>37458</v>
      </c>
      <c r="X10294" t="s">
        <v>40451</v>
      </c>
    </row>
    <row r="10295" spans="1:24">
      <c r="A10295">
        <f>HYPERLINK("https://www.philgeps.gov.ph/GEPSNONPILOT/Tender/SplashBidNoticeAbstractUI.aspx?menuIndex=3&amp;refID=7029261&amp;Result=3","7029261")</f>
        <v>0</v>
      </c>
      <c r="B10295" t="s">
        <v>142</v>
      </c>
      <c r="C10295" t="s">
        <v>12907</v>
      </c>
      <c r="D10295" t="s">
        <v>16218</v>
      </c>
      <c r="E10295" t="s">
        <v>20084</v>
      </c>
      <c r="F10295" t="s">
        <v>28198</v>
      </c>
      <c r="G10295" t="s">
        <v>28205</v>
      </c>
      <c r="H10295" t="s">
        <v>28215</v>
      </c>
      <c r="I10295" t="s">
        <v>5100</v>
      </c>
      <c r="J10295" t="s">
        <v>34711</v>
      </c>
      <c r="K10295" t="s">
        <v>36694</v>
      </c>
      <c r="L10295" t="s">
        <v>142</v>
      </c>
      <c r="M10295" t="s">
        <v>37116</v>
      </c>
      <c r="N10295" t="s">
        <v>40436</v>
      </c>
      <c r="O10295" t="s">
        <v>40437</v>
      </c>
      <c r="P10295">
        <v>0</v>
      </c>
      <c r="Q10295">
        <v>2</v>
      </c>
      <c r="R10295" t="s">
        <v>40450</v>
      </c>
      <c r="S10295" t="s">
        <v>40961</v>
      </c>
      <c r="T10295" t="s">
        <v>42469</v>
      </c>
      <c r="U10295" t="s">
        <v>51207</v>
      </c>
      <c r="V10295" t="s">
        <v>54903</v>
      </c>
      <c r="W10295" t="s">
        <v>37116</v>
      </c>
      <c r="X10295" t="s">
        <v>40451</v>
      </c>
    </row>
    <row r="10296" spans="1:24">
      <c r="A10296">
        <f>HYPERLINK("https://www.philgeps.gov.ph/GEPSNONPILOT/Tender/SplashBidNoticeAbstractUI.aspx?menuIndex=3&amp;refID=7029242&amp;Result=3","7029242")</f>
        <v>0</v>
      </c>
      <c r="B10296" t="s">
        <v>2795</v>
      </c>
      <c r="C10296" t="s">
        <v>12908</v>
      </c>
      <c r="D10296" t="s">
        <v>16244</v>
      </c>
      <c r="E10296" t="s">
        <v>17462</v>
      </c>
      <c r="F10296" t="s">
        <v>28198</v>
      </c>
      <c r="G10296" t="s">
        <v>28205</v>
      </c>
      <c r="H10296" t="s">
        <v>28217</v>
      </c>
      <c r="I10296" t="s">
        <v>28225</v>
      </c>
      <c r="J10296" t="s">
        <v>34712</v>
      </c>
      <c r="K10296" t="s">
        <v>36707</v>
      </c>
      <c r="M10296" t="s">
        <v>40044</v>
      </c>
      <c r="N10296" t="s">
        <v>40436</v>
      </c>
      <c r="O10296" t="s">
        <v>40437</v>
      </c>
      <c r="Q10296">
        <v>33</v>
      </c>
      <c r="R10296" t="s">
        <v>40450</v>
      </c>
      <c r="S10296" t="s">
        <v>40987</v>
      </c>
      <c r="T10296" t="s">
        <v>42098</v>
      </c>
      <c r="U10296" t="s">
        <v>51208</v>
      </c>
      <c r="W10296" t="s">
        <v>40044</v>
      </c>
      <c r="X10296" t="s">
        <v>40451</v>
      </c>
    </row>
    <row r="10297" spans="1:24">
      <c r="A10297">
        <f>HYPERLINK("https://www.philgeps.gov.ph/GEPSNONPILOT/Tender/SplashBidNoticeAbstractUI.aspx?menuIndex=3&amp;refID=7029234&amp;Result=3","7029234")</f>
        <v>0</v>
      </c>
      <c r="B10297" t="s">
        <v>2295</v>
      </c>
      <c r="C10297" t="s">
        <v>12909</v>
      </c>
      <c r="D10297" t="s">
        <v>16222</v>
      </c>
      <c r="E10297" t="s">
        <v>25223</v>
      </c>
      <c r="F10297" t="s">
        <v>28200</v>
      </c>
      <c r="G10297" t="s">
        <v>28205</v>
      </c>
      <c r="H10297" t="s">
        <v>28214</v>
      </c>
      <c r="I10297" t="s">
        <v>3797</v>
      </c>
      <c r="J10297" t="s">
        <v>29566</v>
      </c>
      <c r="K10297" t="s">
        <v>36826</v>
      </c>
      <c r="M10297" t="s">
        <v>39470</v>
      </c>
      <c r="N10297" t="s">
        <v>40436</v>
      </c>
      <c r="O10297" t="s">
        <v>40437</v>
      </c>
      <c r="P10297">
        <v>0</v>
      </c>
      <c r="Q10297">
        <v>2</v>
      </c>
      <c r="R10297" t="s">
        <v>40450</v>
      </c>
      <c r="S10297" t="s">
        <v>40961</v>
      </c>
      <c r="T10297" t="s">
        <v>42535</v>
      </c>
      <c r="U10297" t="s">
        <v>50789</v>
      </c>
      <c r="V10297" t="s">
        <v>54846</v>
      </c>
      <c r="W10297" t="s">
        <v>39470</v>
      </c>
      <c r="X10297" t="s">
        <v>40451</v>
      </c>
    </row>
    <row r="10298" spans="1:24">
      <c r="A10298">
        <f>HYPERLINK("https://www.philgeps.gov.ph/GEPSNONPILOT/Tender/SplashBidNoticeAbstractUI.aspx?menuIndex=3&amp;refID=7029215&amp;Result=3","7029215")</f>
        <v>0</v>
      </c>
      <c r="B10298" t="s">
        <v>142</v>
      </c>
      <c r="C10298" t="s">
        <v>12910</v>
      </c>
      <c r="D10298" t="s">
        <v>16218</v>
      </c>
      <c r="E10298" t="s">
        <v>19980</v>
      </c>
      <c r="F10298" t="s">
        <v>28198</v>
      </c>
      <c r="G10298" t="s">
        <v>28205</v>
      </c>
      <c r="H10298" t="s">
        <v>28214</v>
      </c>
      <c r="I10298" t="s">
        <v>3797</v>
      </c>
      <c r="J10298" t="s">
        <v>34713</v>
      </c>
      <c r="K10298" t="s">
        <v>36687</v>
      </c>
      <c r="L10298" t="s">
        <v>142</v>
      </c>
      <c r="M10298" t="s">
        <v>37116</v>
      </c>
      <c r="N10298" t="s">
        <v>40436</v>
      </c>
      <c r="O10298" t="s">
        <v>40437</v>
      </c>
      <c r="P10298">
        <v>0</v>
      </c>
      <c r="Q10298">
        <v>1</v>
      </c>
      <c r="R10298" t="s">
        <v>40450</v>
      </c>
      <c r="S10298" t="s">
        <v>40961</v>
      </c>
      <c r="T10298" t="s">
        <v>42469</v>
      </c>
      <c r="U10298" t="s">
        <v>51209</v>
      </c>
      <c r="V10298" t="s">
        <v>54903</v>
      </c>
      <c r="W10298" t="s">
        <v>37116</v>
      </c>
      <c r="X10298" t="s">
        <v>40451</v>
      </c>
    </row>
    <row r="10299" spans="1:24">
      <c r="A10299">
        <f>HYPERLINK("https://www.philgeps.gov.ph/GEPSNONPILOT/Tender/SplashBidNoticeAbstractUI.aspx?menuIndex=3&amp;refID=7029124&amp;Result=3","7029124")</f>
        <v>0</v>
      </c>
      <c r="B10299" t="s">
        <v>31</v>
      </c>
      <c r="C10299" t="s">
        <v>12911</v>
      </c>
      <c r="D10299" t="s">
        <v>16193</v>
      </c>
      <c r="E10299" t="s">
        <v>25224</v>
      </c>
      <c r="F10299" t="s">
        <v>28198</v>
      </c>
      <c r="G10299" t="s">
        <v>28205</v>
      </c>
      <c r="H10299" t="s">
        <v>28217</v>
      </c>
      <c r="I10299" t="s">
        <v>28231</v>
      </c>
      <c r="J10299" t="s">
        <v>34714</v>
      </c>
      <c r="K10299" t="s">
        <v>36781</v>
      </c>
      <c r="M10299" t="s">
        <v>37000</v>
      </c>
      <c r="N10299" t="s">
        <v>40436</v>
      </c>
      <c r="O10299" t="s">
        <v>40437</v>
      </c>
      <c r="P10299">
        <v>0</v>
      </c>
      <c r="Q10299">
        <v>1</v>
      </c>
      <c r="R10299" t="s">
        <v>40450</v>
      </c>
      <c r="S10299" t="s">
        <v>40961</v>
      </c>
      <c r="T10299" t="s">
        <v>42279</v>
      </c>
      <c r="U10299" t="s">
        <v>51210</v>
      </c>
      <c r="W10299" t="s">
        <v>37000</v>
      </c>
      <c r="X10299" t="s">
        <v>40451</v>
      </c>
    </row>
    <row r="10300" spans="1:24">
      <c r="A10300">
        <f>HYPERLINK("https://www.philgeps.gov.ph/GEPSNONPILOT/Tender/SplashBidNoticeAbstractUI.aspx?menuIndex=3&amp;refID=7029260&amp;Result=3","7029260")</f>
        <v>0</v>
      </c>
      <c r="B10300" t="s">
        <v>1950</v>
      </c>
      <c r="C10300" t="s">
        <v>12912</v>
      </c>
      <c r="E10300" t="s">
        <v>25225</v>
      </c>
      <c r="F10300" t="s">
        <v>28198</v>
      </c>
      <c r="G10300" t="s">
        <v>28205</v>
      </c>
      <c r="H10300" t="s">
        <v>28214</v>
      </c>
      <c r="I10300" t="s">
        <v>3797</v>
      </c>
      <c r="J10300" t="s">
        <v>34715</v>
      </c>
      <c r="K10300" t="s">
        <v>36689</v>
      </c>
      <c r="M10300" t="s">
        <v>39084</v>
      </c>
      <c r="N10300" t="s">
        <v>40436</v>
      </c>
      <c r="O10300" t="s">
        <v>40437</v>
      </c>
      <c r="P10300">
        <v>0</v>
      </c>
      <c r="Q10300">
        <v>0</v>
      </c>
      <c r="R10300" t="s">
        <v>40450</v>
      </c>
      <c r="S10300" t="s">
        <v>40961</v>
      </c>
      <c r="T10300" t="s">
        <v>42435</v>
      </c>
      <c r="U10300" t="s">
        <v>47829</v>
      </c>
      <c r="W10300" t="s">
        <v>39084</v>
      </c>
      <c r="X10300" t="s">
        <v>40451</v>
      </c>
    </row>
    <row r="10301" spans="1:24">
      <c r="A10301">
        <f>HYPERLINK("https://www.philgeps.gov.ph/GEPSNONPILOT/Tender/SplashBidNoticeAbstractUI.aspx?menuIndex=3&amp;refID=7029226&amp;Result=3","7029226")</f>
        <v>0</v>
      </c>
      <c r="B10301" t="s">
        <v>2651</v>
      </c>
      <c r="C10301" t="s">
        <v>12913</v>
      </c>
      <c r="D10301" t="s">
        <v>16261</v>
      </c>
      <c r="E10301" t="s">
        <v>25156</v>
      </c>
      <c r="F10301" t="s">
        <v>28198</v>
      </c>
      <c r="G10301" t="s">
        <v>28205</v>
      </c>
      <c r="H10301" t="s">
        <v>28214</v>
      </c>
      <c r="I10301" t="s">
        <v>3797</v>
      </c>
      <c r="J10301" t="s">
        <v>33160</v>
      </c>
      <c r="K10301" t="s">
        <v>36689</v>
      </c>
      <c r="M10301" t="s">
        <v>39878</v>
      </c>
      <c r="N10301" t="s">
        <v>40436</v>
      </c>
      <c r="O10301" t="s">
        <v>40437</v>
      </c>
      <c r="P10301">
        <v>0</v>
      </c>
      <c r="Q10301">
        <v>0</v>
      </c>
      <c r="R10301" t="s">
        <v>40450</v>
      </c>
      <c r="S10301" t="s">
        <v>40961</v>
      </c>
      <c r="T10301" t="s">
        <v>42279</v>
      </c>
      <c r="U10301" t="s">
        <v>51211</v>
      </c>
      <c r="V10301" t="s">
        <v>54901</v>
      </c>
      <c r="W10301" t="s">
        <v>39878</v>
      </c>
      <c r="X10301" t="s">
        <v>40451</v>
      </c>
    </row>
    <row r="10302" spans="1:24">
      <c r="A10302">
        <f>HYPERLINK("https://www.philgeps.gov.ph/GEPSNONPILOT/Tender/SplashBidNoticeAbstractUI.aspx?menuIndex=3&amp;refID=7029195&amp;Result=3","7029195")</f>
        <v>0</v>
      </c>
      <c r="B10302" t="s">
        <v>2796</v>
      </c>
      <c r="C10302" t="s">
        <v>12914</v>
      </c>
      <c r="D10302" t="s">
        <v>16254</v>
      </c>
      <c r="E10302" t="s">
        <v>25226</v>
      </c>
      <c r="F10302" t="s">
        <v>28198</v>
      </c>
      <c r="G10302" t="s">
        <v>28205</v>
      </c>
      <c r="H10302" t="s">
        <v>28215</v>
      </c>
      <c r="I10302" t="s">
        <v>5100</v>
      </c>
      <c r="J10302" t="s">
        <v>34716</v>
      </c>
      <c r="K10302" t="s">
        <v>36707</v>
      </c>
      <c r="M10302" t="s">
        <v>40045</v>
      </c>
      <c r="N10302" t="s">
        <v>40436</v>
      </c>
      <c r="O10302" t="s">
        <v>40437</v>
      </c>
      <c r="P10302">
        <v>0</v>
      </c>
      <c r="Q10302">
        <v>0</v>
      </c>
      <c r="R10302" t="s">
        <v>40450</v>
      </c>
      <c r="S10302" t="s">
        <v>40961</v>
      </c>
      <c r="T10302" t="s">
        <v>42097</v>
      </c>
      <c r="U10302" t="s">
        <v>51212</v>
      </c>
      <c r="W10302" t="s">
        <v>40045</v>
      </c>
      <c r="X10302" t="s">
        <v>40451</v>
      </c>
    </row>
    <row r="10303" spans="1:24">
      <c r="A10303">
        <f>HYPERLINK("https://www.philgeps.gov.ph/GEPSNONPILOT/Tender/SplashBidNoticeAbstractUI.aspx?menuIndex=3&amp;refID=7029186&amp;Result=3","7029186")</f>
        <v>0</v>
      </c>
      <c r="B10303" t="s">
        <v>288</v>
      </c>
      <c r="C10303" t="s">
        <v>12915</v>
      </c>
      <c r="D10303" t="s">
        <v>16208</v>
      </c>
      <c r="E10303" t="s">
        <v>17685</v>
      </c>
      <c r="F10303" t="s">
        <v>28198</v>
      </c>
      <c r="G10303" t="s">
        <v>28205</v>
      </c>
      <c r="H10303" t="s">
        <v>28214</v>
      </c>
      <c r="I10303" t="s">
        <v>3797</v>
      </c>
      <c r="J10303" t="s">
        <v>34717</v>
      </c>
      <c r="K10303" t="s">
        <v>36727</v>
      </c>
      <c r="M10303" t="s">
        <v>37265</v>
      </c>
      <c r="N10303" t="s">
        <v>40436</v>
      </c>
      <c r="O10303" t="s">
        <v>40437</v>
      </c>
      <c r="Q10303">
        <v>0</v>
      </c>
      <c r="R10303" t="s">
        <v>40450</v>
      </c>
      <c r="S10303" t="s">
        <v>40988</v>
      </c>
      <c r="T10303" t="s">
        <v>42240</v>
      </c>
      <c r="U10303" t="s">
        <v>51213</v>
      </c>
      <c r="W10303" t="s">
        <v>37265</v>
      </c>
      <c r="X10303" t="s">
        <v>40451</v>
      </c>
    </row>
    <row r="10304" spans="1:24">
      <c r="A10304">
        <f>HYPERLINK("https://www.philgeps.gov.ph/GEPSNONPILOT/Tender/SplashBidNoticeAbstractUI.aspx?menuIndex=3&amp;refID=7029236&amp;Result=3","7029236")</f>
        <v>0</v>
      </c>
      <c r="B10304" t="s">
        <v>142</v>
      </c>
      <c r="C10304" t="s">
        <v>12916</v>
      </c>
      <c r="D10304" t="s">
        <v>16218</v>
      </c>
      <c r="E10304" t="s">
        <v>20000</v>
      </c>
      <c r="F10304" t="s">
        <v>28198</v>
      </c>
      <c r="G10304" t="s">
        <v>28205</v>
      </c>
      <c r="H10304" t="s">
        <v>28215</v>
      </c>
      <c r="I10304" t="s">
        <v>5100</v>
      </c>
      <c r="J10304" t="s">
        <v>34718</v>
      </c>
      <c r="K10304" t="s">
        <v>36694</v>
      </c>
      <c r="L10304" t="s">
        <v>142</v>
      </c>
      <c r="M10304" t="s">
        <v>37116</v>
      </c>
      <c r="N10304" t="s">
        <v>40436</v>
      </c>
      <c r="O10304" t="s">
        <v>40437</v>
      </c>
      <c r="P10304">
        <v>0</v>
      </c>
      <c r="Q10304">
        <v>2</v>
      </c>
      <c r="R10304" t="s">
        <v>40450</v>
      </c>
      <c r="S10304" t="s">
        <v>40961</v>
      </c>
      <c r="T10304" t="s">
        <v>42469</v>
      </c>
      <c r="U10304" t="s">
        <v>51214</v>
      </c>
      <c r="V10304" t="s">
        <v>54903</v>
      </c>
      <c r="W10304" t="s">
        <v>37116</v>
      </c>
      <c r="X10304" t="s">
        <v>40451</v>
      </c>
    </row>
    <row r="10305" spans="1:24">
      <c r="A10305">
        <f>HYPERLINK("https://www.philgeps.gov.ph/GEPSNONPILOT/Tender/SplashBidNoticeAbstractUI.aspx?menuIndex=3&amp;refID=7029273&amp;Result=3","7029273")</f>
        <v>0</v>
      </c>
      <c r="B10305" t="s">
        <v>2797</v>
      </c>
      <c r="C10305" t="s">
        <v>12917</v>
      </c>
      <c r="D10305" t="s">
        <v>16233</v>
      </c>
      <c r="E10305" t="s">
        <v>25227</v>
      </c>
      <c r="F10305" t="s">
        <v>28198</v>
      </c>
      <c r="G10305" t="s">
        <v>28205</v>
      </c>
      <c r="H10305" t="s">
        <v>28215</v>
      </c>
      <c r="I10305" t="s">
        <v>28280</v>
      </c>
      <c r="J10305" t="s">
        <v>33723</v>
      </c>
      <c r="K10305" t="s">
        <v>36715</v>
      </c>
      <c r="M10305" t="s">
        <v>40046</v>
      </c>
      <c r="N10305" t="s">
        <v>40436</v>
      </c>
      <c r="O10305" t="s">
        <v>40437</v>
      </c>
      <c r="P10305">
        <v>0</v>
      </c>
      <c r="Q10305">
        <v>3</v>
      </c>
      <c r="R10305" t="s">
        <v>40450</v>
      </c>
      <c r="S10305" t="s">
        <v>40961</v>
      </c>
      <c r="T10305" t="s">
        <v>42390</v>
      </c>
      <c r="U10305" t="s">
        <v>51215</v>
      </c>
      <c r="W10305" t="s">
        <v>40046</v>
      </c>
      <c r="X10305" t="s">
        <v>40451</v>
      </c>
    </row>
    <row r="10306" spans="1:24">
      <c r="A10306">
        <f>HYPERLINK("https://www.philgeps.gov.ph/GEPSNONPILOT/Tender/SplashBidNoticeAbstractUI.aspx?menuIndex=3&amp;refID=7029296&amp;Result=3","7029296")</f>
        <v>0</v>
      </c>
      <c r="B10306" t="s">
        <v>288</v>
      </c>
      <c r="C10306" t="s">
        <v>12918</v>
      </c>
      <c r="D10306" t="s">
        <v>16208</v>
      </c>
      <c r="E10306" t="s">
        <v>25228</v>
      </c>
      <c r="F10306" t="s">
        <v>28198</v>
      </c>
      <c r="G10306" t="s">
        <v>28205</v>
      </c>
      <c r="H10306" t="s">
        <v>28215</v>
      </c>
      <c r="I10306" t="s">
        <v>28222</v>
      </c>
      <c r="J10306" t="s">
        <v>28921</v>
      </c>
      <c r="K10306" t="s">
        <v>36701</v>
      </c>
      <c r="M10306" t="s">
        <v>37265</v>
      </c>
      <c r="N10306" t="s">
        <v>40436</v>
      </c>
      <c r="O10306" t="s">
        <v>40437</v>
      </c>
      <c r="P10306">
        <v>0</v>
      </c>
      <c r="Q10306">
        <v>5</v>
      </c>
      <c r="R10306" t="s">
        <v>40450</v>
      </c>
      <c r="S10306" t="s">
        <v>40961</v>
      </c>
      <c r="T10306" t="s">
        <v>42240</v>
      </c>
      <c r="U10306" t="s">
        <v>51216</v>
      </c>
      <c r="W10306" t="s">
        <v>37265</v>
      </c>
      <c r="X10306" t="s">
        <v>40451</v>
      </c>
    </row>
    <row r="10307" spans="1:24">
      <c r="A10307">
        <f>HYPERLINK("https://www.philgeps.gov.ph/GEPSNONPILOT/Tender/SplashBidNoticeAbstractUI.aspx?menuIndex=3&amp;refID=7029271&amp;Result=3","7029271")</f>
        <v>0</v>
      </c>
      <c r="B10307" t="s">
        <v>288</v>
      </c>
      <c r="C10307" t="s">
        <v>12919</v>
      </c>
      <c r="D10307" t="s">
        <v>16208</v>
      </c>
      <c r="E10307" t="s">
        <v>17820</v>
      </c>
      <c r="F10307" t="s">
        <v>28198</v>
      </c>
      <c r="G10307" t="s">
        <v>28205</v>
      </c>
      <c r="H10307" t="s">
        <v>28214</v>
      </c>
      <c r="I10307" t="s">
        <v>3797</v>
      </c>
      <c r="J10307" t="s">
        <v>34719</v>
      </c>
      <c r="K10307" t="s">
        <v>36701</v>
      </c>
      <c r="M10307" t="s">
        <v>37265</v>
      </c>
      <c r="N10307" t="s">
        <v>40436</v>
      </c>
      <c r="O10307" t="s">
        <v>40437</v>
      </c>
      <c r="Q10307">
        <v>0</v>
      </c>
      <c r="R10307" t="s">
        <v>40450</v>
      </c>
      <c r="S10307" t="s">
        <v>40989</v>
      </c>
      <c r="T10307" t="s">
        <v>42240</v>
      </c>
      <c r="U10307" t="s">
        <v>51217</v>
      </c>
      <c r="W10307" t="s">
        <v>37265</v>
      </c>
      <c r="X10307" t="s">
        <v>40451</v>
      </c>
    </row>
    <row r="10308" spans="1:24">
      <c r="A10308">
        <f>HYPERLINK("https://www.philgeps.gov.ph/GEPSNONPILOT/Tender/SplashBidNoticeAbstractUI.aspx?menuIndex=3&amp;refID=7029318&amp;Result=3","7029318")</f>
        <v>0</v>
      </c>
      <c r="B10308" t="s">
        <v>2716</v>
      </c>
      <c r="C10308" t="s">
        <v>12920</v>
      </c>
      <c r="D10308" t="s">
        <v>16202</v>
      </c>
      <c r="E10308" t="s">
        <v>25229</v>
      </c>
      <c r="F10308" t="s">
        <v>28198</v>
      </c>
      <c r="G10308" t="s">
        <v>28205</v>
      </c>
      <c r="H10308" t="s">
        <v>28214</v>
      </c>
      <c r="I10308" t="s">
        <v>3797</v>
      </c>
      <c r="J10308" t="s">
        <v>34720</v>
      </c>
      <c r="K10308" t="s">
        <v>36798</v>
      </c>
      <c r="M10308" t="s">
        <v>39959</v>
      </c>
      <c r="N10308" t="s">
        <v>40436</v>
      </c>
      <c r="O10308" t="s">
        <v>40437</v>
      </c>
      <c r="P10308">
        <v>0</v>
      </c>
      <c r="Q10308">
        <v>0</v>
      </c>
      <c r="R10308" t="s">
        <v>40450</v>
      </c>
      <c r="S10308" t="s">
        <v>40961</v>
      </c>
      <c r="T10308" t="s">
        <v>42243</v>
      </c>
      <c r="U10308" t="s">
        <v>50800</v>
      </c>
      <c r="W10308" t="s">
        <v>39959</v>
      </c>
      <c r="X10308" t="s">
        <v>40451</v>
      </c>
    </row>
    <row r="10309" spans="1:24">
      <c r="A10309">
        <f>HYPERLINK("https://www.philgeps.gov.ph/GEPSNONPILOT/Tender/SplashBidNoticeAbstractUI.aspx?menuIndex=3&amp;refID=7029291&amp;Result=3","7029291")</f>
        <v>0</v>
      </c>
      <c r="B10309" t="s">
        <v>1950</v>
      </c>
      <c r="C10309" t="s">
        <v>12921</v>
      </c>
      <c r="E10309" t="s">
        <v>25230</v>
      </c>
      <c r="F10309" t="s">
        <v>28198</v>
      </c>
      <c r="G10309" t="s">
        <v>28205</v>
      </c>
      <c r="H10309" t="s">
        <v>28214</v>
      </c>
      <c r="I10309" t="s">
        <v>3797</v>
      </c>
      <c r="J10309" t="s">
        <v>28390</v>
      </c>
      <c r="K10309" t="s">
        <v>36689</v>
      </c>
      <c r="M10309" t="s">
        <v>39084</v>
      </c>
      <c r="N10309" t="s">
        <v>40436</v>
      </c>
      <c r="O10309" t="s">
        <v>40437</v>
      </c>
      <c r="P10309">
        <v>0</v>
      </c>
      <c r="Q10309">
        <v>1</v>
      </c>
      <c r="R10309" t="s">
        <v>40450</v>
      </c>
      <c r="S10309" t="s">
        <v>40961</v>
      </c>
      <c r="T10309" t="s">
        <v>42435</v>
      </c>
      <c r="U10309" t="s">
        <v>47829</v>
      </c>
      <c r="W10309" t="s">
        <v>39084</v>
      </c>
      <c r="X10309" t="s">
        <v>40451</v>
      </c>
    </row>
    <row r="10310" spans="1:24">
      <c r="A10310">
        <f>HYPERLINK("https://www.philgeps.gov.ph/GEPSNONPILOT/Tender/SplashBidNoticeAbstractUI.aspx?menuIndex=3&amp;refID=7029316&amp;Result=3","7029316")</f>
        <v>0</v>
      </c>
      <c r="B10310" t="s">
        <v>2798</v>
      </c>
      <c r="C10310" t="s">
        <v>12922</v>
      </c>
      <c r="D10310" t="s">
        <v>16213</v>
      </c>
      <c r="E10310" t="s">
        <v>16322</v>
      </c>
      <c r="F10310" t="s">
        <v>28198</v>
      </c>
      <c r="G10310" t="s">
        <v>28205</v>
      </c>
      <c r="H10310" t="s">
        <v>28215</v>
      </c>
      <c r="I10310" t="s">
        <v>28249</v>
      </c>
      <c r="J10310" t="s">
        <v>34721</v>
      </c>
      <c r="K10310" t="s">
        <v>36701</v>
      </c>
      <c r="M10310" t="s">
        <v>40047</v>
      </c>
      <c r="N10310" t="s">
        <v>40436</v>
      </c>
      <c r="O10310" t="s">
        <v>40437</v>
      </c>
      <c r="P10310">
        <v>0</v>
      </c>
      <c r="Q10310">
        <v>4</v>
      </c>
      <c r="R10310" t="s">
        <v>40450</v>
      </c>
      <c r="S10310" t="s">
        <v>40961</v>
      </c>
      <c r="T10310" t="s">
        <v>42529</v>
      </c>
      <c r="U10310" t="s">
        <v>51218</v>
      </c>
      <c r="W10310" t="s">
        <v>40047</v>
      </c>
      <c r="X10310" t="s">
        <v>40451</v>
      </c>
    </row>
    <row r="10311" spans="1:24">
      <c r="A10311">
        <f>HYPERLINK("https://www.philgeps.gov.ph/GEPSNONPILOT/Tender/SplashBidNoticeAbstractUI.aspx?menuIndex=3&amp;refID=7029332&amp;Result=3","7029332")</f>
        <v>0</v>
      </c>
      <c r="B10311" t="s">
        <v>2799</v>
      </c>
      <c r="C10311" t="s">
        <v>12923</v>
      </c>
      <c r="D10311" t="s">
        <v>16235</v>
      </c>
      <c r="E10311" t="s">
        <v>25231</v>
      </c>
      <c r="F10311" t="s">
        <v>28198</v>
      </c>
      <c r="G10311" t="s">
        <v>28205</v>
      </c>
      <c r="H10311" t="s">
        <v>28214</v>
      </c>
      <c r="I10311" t="s">
        <v>3797</v>
      </c>
      <c r="J10311" t="s">
        <v>34722</v>
      </c>
      <c r="K10311" t="s">
        <v>36697</v>
      </c>
      <c r="M10311" t="s">
        <v>40048</v>
      </c>
      <c r="N10311" t="s">
        <v>40436</v>
      </c>
      <c r="O10311" t="s">
        <v>40437</v>
      </c>
      <c r="P10311">
        <v>0</v>
      </c>
      <c r="Q10311">
        <v>0</v>
      </c>
      <c r="R10311" t="s">
        <v>40450</v>
      </c>
      <c r="S10311" t="s">
        <v>40961</v>
      </c>
      <c r="T10311" t="s">
        <v>42148</v>
      </c>
      <c r="U10311" t="s">
        <v>51219</v>
      </c>
      <c r="W10311" t="s">
        <v>40048</v>
      </c>
      <c r="X10311" t="s">
        <v>40451</v>
      </c>
    </row>
    <row r="10312" spans="1:24">
      <c r="A10312">
        <f>HYPERLINK("https://www.philgeps.gov.ph/GEPSNONPILOT/Tender/SplashBidNoticeAbstractUI.aspx?menuIndex=3&amp;refID=7029294&amp;Result=3","7029294")</f>
        <v>0</v>
      </c>
      <c r="B10312" t="s">
        <v>2413</v>
      </c>
      <c r="C10312" t="s">
        <v>12924</v>
      </c>
      <c r="D10312" t="s">
        <v>16191</v>
      </c>
      <c r="E10312" t="s">
        <v>25232</v>
      </c>
      <c r="F10312" t="s">
        <v>28198</v>
      </c>
      <c r="G10312" t="s">
        <v>28205</v>
      </c>
      <c r="H10312" t="s">
        <v>28217</v>
      </c>
      <c r="I10312" t="s">
        <v>28232</v>
      </c>
      <c r="J10312" t="s">
        <v>34723</v>
      </c>
      <c r="K10312" t="s">
        <v>36692</v>
      </c>
      <c r="M10312" t="s">
        <v>39653</v>
      </c>
      <c r="N10312" t="s">
        <v>40436</v>
      </c>
      <c r="O10312" t="s">
        <v>40437</v>
      </c>
      <c r="P10312">
        <v>0</v>
      </c>
      <c r="Q10312">
        <v>9</v>
      </c>
      <c r="R10312" t="s">
        <v>40450</v>
      </c>
      <c r="S10312" t="s">
        <v>40961</v>
      </c>
      <c r="T10312" t="s">
        <v>42168</v>
      </c>
      <c r="U10312" t="s">
        <v>49378</v>
      </c>
      <c r="V10312" t="s">
        <v>54909</v>
      </c>
      <c r="W10312" t="s">
        <v>39653</v>
      </c>
      <c r="X10312" t="s">
        <v>40451</v>
      </c>
    </row>
    <row r="10313" spans="1:24">
      <c r="A10313">
        <f>HYPERLINK("https://www.philgeps.gov.ph/GEPSNONPILOT/Tender/SplashBidNoticeAbstractUI.aspx?menuIndex=3&amp;refID=7029280&amp;Result=3","7029280")</f>
        <v>0</v>
      </c>
      <c r="B10313" t="s">
        <v>2795</v>
      </c>
      <c r="C10313" t="s">
        <v>12925</v>
      </c>
      <c r="D10313" t="s">
        <v>16244</v>
      </c>
      <c r="E10313" t="s">
        <v>17057</v>
      </c>
      <c r="F10313" t="s">
        <v>28198</v>
      </c>
      <c r="G10313" t="s">
        <v>28205</v>
      </c>
      <c r="H10313" t="s">
        <v>28215</v>
      </c>
      <c r="I10313" t="s">
        <v>8888</v>
      </c>
      <c r="J10313" t="s">
        <v>34724</v>
      </c>
      <c r="K10313" t="s">
        <v>36707</v>
      </c>
      <c r="M10313" t="s">
        <v>40044</v>
      </c>
      <c r="N10313" t="s">
        <v>40436</v>
      </c>
      <c r="O10313" t="s">
        <v>40437</v>
      </c>
      <c r="Q10313">
        <v>28</v>
      </c>
      <c r="R10313" t="s">
        <v>40450</v>
      </c>
      <c r="S10313" t="s">
        <v>40990</v>
      </c>
      <c r="T10313" t="s">
        <v>42175</v>
      </c>
      <c r="U10313" t="s">
        <v>51220</v>
      </c>
      <c r="W10313" t="s">
        <v>40044</v>
      </c>
      <c r="X10313" t="s">
        <v>40451</v>
      </c>
    </row>
    <row r="10314" spans="1:24">
      <c r="A10314">
        <f>HYPERLINK("https://www.philgeps.gov.ph/GEPSNONPILOT/Tender/SplashBidNoticeAbstractUI.aspx?menuIndex=3&amp;refID=7029315&amp;Result=3","7029315")</f>
        <v>0</v>
      </c>
      <c r="B10314" t="s">
        <v>1950</v>
      </c>
      <c r="C10314" t="s">
        <v>12926</v>
      </c>
      <c r="E10314" t="s">
        <v>25233</v>
      </c>
      <c r="F10314" t="s">
        <v>28198</v>
      </c>
      <c r="G10314" t="s">
        <v>28205</v>
      </c>
      <c r="H10314" t="s">
        <v>28214</v>
      </c>
      <c r="I10314" t="s">
        <v>3797</v>
      </c>
      <c r="J10314" t="s">
        <v>28899</v>
      </c>
      <c r="K10314" t="s">
        <v>36689</v>
      </c>
      <c r="M10314" t="s">
        <v>39084</v>
      </c>
      <c r="N10314" t="s">
        <v>40436</v>
      </c>
      <c r="O10314" t="s">
        <v>40437</v>
      </c>
      <c r="P10314">
        <v>0</v>
      </c>
      <c r="Q10314">
        <v>0</v>
      </c>
      <c r="R10314" t="s">
        <v>40450</v>
      </c>
      <c r="S10314" t="s">
        <v>40961</v>
      </c>
      <c r="T10314" t="s">
        <v>42435</v>
      </c>
      <c r="U10314" t="s">
        <v>47829</v>
      </c>
      <c r="W10314" t="s">
        <v>39084</v>
      </c>
      <c r="X10314" t="s">
        <v>40451</v>
      </c>
    </row>
    <row r="10315" spans="1:24">
      <c r="A10315">
        <f>HYPERLINK("https://www.philgeps.gov.ph/GEPSNONPILOT/Tender/SplashBidNoticeAbstractUI.aspx?menuIndex=3&amp;refID=7029353&amp;Result=3","7029353")</f>
        <v>0</v>
      </c>
      <c r="B10315" t="s">
        <v>2799</v>
      </c>
      <c r="C10315" t="s">
        <v>12927</v>
      </c>
      <c r="D10315" t="s">
        <v>16235</v>
      </c>
      <c r="E10315" t="s">
        <v>25234</v>
      </c>
      <c r="F10315" t="s">
        <v>28198</v>
      </c>
      <c r="G10315" t="s">
        <v>28205</v>
      </c>
      <c r="H10315" t="s">
        <v>28214</v>
      </c>
      <c r="I10315" t="s">
        <v>3797</v>
      </c>
      <c r="J10315" t="s">
        <v>34725</v>
      </c>
      <c r="K10315" t="s">
        <v>36694</v>
      </c>
      <c r="M10315" t="s">
        <v>40048</v>
      </c>
      <c r="N10315" t="s">
        <v>40436</v>
      </c>
      <c r="O10315" t="s">
        <v>40437</v>
      </c>
      <c r="P10315">
        <v>0</v>
      </c>
      <c r="Q10315">
        <v>0</v>
      </c>
      <c r="R10315" t="s">
        <v>40450</v>
      </c>
      <c r="S10315" t="s">
        <v>40961</v>
      </c>
      <c r="T10315" t="s">
        <v>42148</v>
      </c>
      <c r="U10315" t="s">
        <v>51221</v>
      </c>
      <c r="W10315" t="s">
        <v>40048</v>
      </c>
      <c r="X10315" t="s">
        <v>40451</v>
      </c>
    </row>
    <row r="10316" spans="1:24">
      <c r="A10316">
        <f>HYPERLINK("https://www.philgeps.gov.ph/GEPSNONPILOT/Tender/SplashBidNoticeAbstractUI.aspx?menuIndex=3&amp;refID=7029351&amp;Result=3","7029351")</f>
        <v>0</v>
      </c>
      <c r="B10316" t="s">
        <v>1950</v>
      </c>
      <c r="C10316" t="s">
        <v>12928</v>
      </c>
      <c r="E10316" t="s">
        <v>25235</v>
      </c>
      <c r="F10316" t="s">
        <v>28198</v>
      </c>
      <c r="G10316" t="s">
        <v>28205</v>
      </c>
      <c r="H10316" t="s">
        <v>28214</v>
      </c>
      <c r="I10316" t="s">
        <v>3797</v>
      </c>
      <c r="J10316" t="s">
        <v>29565</v>
      </c>
      <c r="K10316" t="s">
        <v>36689</v>
      </c>
      <c r="M10316" t="s">
        <v>39084</v>
      </c>
      <c r="N10316" t="s">
        <v>40436</v>
      </c>
      <c r="O10316" t="s">
        <v>40437</v>
      </c>
      <c r="P10316">
        <v>0</v>
      </c>
      <c r="Q10316">
        <v>0</v>
      </c>
      <c r="R10316" t="s">
        <v>40450</v>
      </c>
      <c r="S10316" t="s">
        <v>40961</v>
      </c>
      <c r="T10316" t="s">
        <v>42435</v>
      </c>
      <c r="U10316" t="s">
        <v>47829</v>
      </c>
      <c r="W10316" t="s">
        <v>39084</v>
      </c>
      <c r="X10316" t="s">
        <v>40451</v>
      </c>
    </row>
    <row r="10317" spans="1:24">
      <c r="A10317">
        <f>HYPERLINK("https://www.philgeps.gov.ph/GEPSNONPILOT/Tender/SplashBidNoticeAbstractUI.aspx?menuIndex=3&amp;refID=7029362&amp;Result=3","7029362")</f>
        <v>0</v>
      </c>
      <c r="B10317" t="s">
        <v>2328</v>
      </c>
      <c r="C10317" t="s">
        <v>12929</v>
      </c>
      <c r="D10317" t="s">
        <v>16200</v>
      </c>
      <c r="E10317" t="s">
        <v>25236</v>
      </c>
      <c r="F10317" t="s">
        <v>28198</v>
      </c>
      <c r="G10317" t="s">
        <v>28208</v>
      </c>
      <c r="H10317" t="s">
        <v>28214</v>
      </c>
      <c r="I10317" t="s">
        <v>3797</v>
      </c>
      <c r="J10317" t="s">
        <v>34726</v>
      </c>
      <c r="K10317" t="s">
        <v>36925</v>
      </c>
      <c r="M10317" t="s">
        <v>39506</v>
      </c>
      <c r="N10317" t="s">
        <v>40436</v>
      </c>
      <c r="O10317" t="s">
        <v>40437</v>
      </c>
      <c r="Q10317">
        <v>2</v>
      </c>
      <c r="R10317" t="s">
        <v>40450</v>
      </c>
      <c r="S10317" t="s">
        <v>40843</v>
      </c>
      <c r="T10317" t="s">
        <v>42133</v>
      </c>
      <c r="U10317" t="s">
        <v>46684</v>
      </c>
      <c r="W10317" t="s">
        <v>39506</v>
      </c>
      <c r="X10317" t="s">
        <v>40451</v>
      </c>
    </row>
    <row r="10318" spans="1:24">
      <c r="A10318">
        <f>HYPERLINK("https://www.philgeps.gov.ph/GEPSNONPILOT/Tender/SplashBidNoticeAbstractUI.aspx?menuIndex=3&amp;refID=7029334&amp;Result=3","7029334")</f>
        <v>0</v>
      </c>
      <c r="B10318" t="s">
        <v>1950</v>
      </c>
      <c r="C10318" t="s">
        <v>12930</v>
      </c>
      <c r="E10318" t="s">
        <v>25237</v>
      </c>
      <c r="F10318" t="s">
        <v>28198</v>
      </c>
      <c r="G10318" t="s">
        <v>28205</v>
      </c>
      <c r="H10318" t="s">
        <v>28214</v>
      </c>
      <c r="I10318" t="s">
        <v>3797</v>
      </c>
      <c r="J10318" t="s">
        <v>29565</v>
      </c>
      <c r="K10318" t="s">
        <v>36689</v>
      </c>
      <c r="M10318" t="s">
        <v>39084</v>
      </c>
      <c r="N10318" t="s">
        <v>40436</v>
      </c>
      <c r="O10318" t="s">
        <v>40437</v>
      </c>
      <c r="P10318">
        <v>0</v>
      </c>
      <c r="Q10318">
        <v>0</v>
      </c>
      <c r="R10318" t="s">
        <v>40450</v>
      </c>
      <c r="S10318" t="s">
        <v>40961</v>
      </c>
      <c r="T10318" t="s">
        <v>42435</v>
      </c>
      <c r="U10318" t="s">
        <v>47829</v>
      </c>
      <c r="W10318" t="s">
        <v>39084</v>
      </c>
      <c r="X10318" t="s">
        <v>40451</v>
      </c>
    </row>
    <row r="10319" spans="1:24">
      <c r="A10319">
        <f>HYPERLINK("https://www.philgeps.gov.ph/GEPSNONPILOT/Tender/SplashBidNoticeAbstractUI.aspx?menuIndex=3&amp;refID=7029336&amp;Result=3","7029336")</f>
        <v>0</v>
      </c>
      <c r="B10319" t="s">
        <v>1497</v>
      </c>
      <c r="C10319" t="s">
        <v>12931</v>
      </c>
      <c r="D10319" t="s">
        <v>16211</v>
      </c>
      <c r="E10319" t="s">
        <v>25238</v>
      </c>
      <c r="F10319" t="s">
        <v>28198</v>
      </c>
      <c r="G10319" t="s">
        <v>28208</v>
      </c>
      <c r="H10319" t="s">
        <v>28214</v>
      </c>
      <c r="I10319" t="s">
        <v>3797</v>
      </c>
      <c r="J10319" t="s">
        <v>34727</v>
      </c>
      <c r="K10319" t="s">
        <v>36809</v>
      </c>
      <c r="M10319" t="s">
        <v>38572</v>
      </c>
      <c r="N10319" t="s">
        <v>40436</v>
      </c>
      <c r="O10319" t="s">
        <v>40437</v>
      </c>
      <c r="P10319">
        <v>0</v>
      </c>
      <c r="Q10319">
        <v>0</v>
      </c>
      <c r="R10319" t="s">
        <v>40450</v>
      </c>
      <c r="S10319" t="s">
        <v>40961</v>
      </c>
      <c r="T10319" t="s">
        <v>42183</v>
      </c>
      <c r="U10319" t="s">
        <v>51222</v>
      </c>
      <c r="W10319" t="s">
        <v>38572</v>
      </c>
      <c r="X10319" t="s">
        <v>40451</v>
      </c>
    </row>
    <row r="10320" spans="1:24">
      <c r="A10320">
        <f>HYPERLINK("https://www.philgeps.gov.ph/GEPSNONPILOT/Tender/SplashBidNoticeAbstractUI.aspx?menuIndex=3&amp;refID=7029343&amp;Result=3","7029343")</f>
        <v>0</v>
      </c>
      <c r="B10320" t="s">
        <v>1935</v>
      </c>
      <c r="C10320" t="s">
        <v>12932</v>
      </c>
      <c r="D10320" t="s">
        <v>16260</v>
      </c>
      <c r="E10320" t="s">
        <v>25239</v>
      </c>
      <c r="F10320" t="s">
        <v>28198</v>
      </c>
      <c r="G10320" t="s">
        <v>28205</v>
      </c>
      <c r="H10320" t="s">
        <v>28214</v>
      </c>
      <c r="I10320" t="s">
        <v>3797</v>
      </c>
      <c r="J10320" t="s">
        <v>29409</v>
      </c>
      <c r="K10320" t="s">
        <v>36690</v>
      </c>
      <c r="M10320" t="s">
        <v>39069</v>
      </c>
      <c r="N10320" t="s">
        <v>40436</v>
      </c>
      <c r="O10320" t="s">
        <v>40437</v>
      </c>
      <c r="Q10320">
        <v>2</v>
      </c>
      <c r="R10320" t="s">
        <v>40450</v>
      </c>
      <c r="S10320" t="s">
        <v>40991</v>
      </c>
      <c r="T10320" t="s">
        <v>42279</v>
      </c>
      <c r="U10320" t="s">
        <v>51223</v>
      </c>
      <c r="V10320" t="s">
        <v>54910</v>
      </c>
      <c r="W10320" t="s">
        <v>39069</v>
      </c>
      <c r="X10320" t="s">
        <v>40451</v>
      </c>
    </row>
    <row r="10321" spans="1:24">
      <c r="A10321">
        <f>HYPERLINK("https://www.philgeps.gov.ph/GEPSNONPILOT/Tender/SplashBidNoticeAbstractUI.aspx?menuIndex=3&amp;refID=7029359&amp;Result=3","7029359")</f>
        <v>0</v>
      </c>
      <c r="B10321" t="s">
        <v>1000</v>
      </c>
      <c r="C10321" t="s">
        <v>12933</v>
      </c>
      <c r="D10321" t="s">
        <v>16213</v>
      </c>
      <c r="E10321" t="s">
        <v>25240</v>
      </c>
      <c r="F10321" t="s">
        <v>28198</v>
      </c>
      <c r="G10321" t="s">
        <v>28205</v>
      </c>
      <c r="H10321" t="s">
        <v>28214</v>
      </c>
      <c r="I10321" t="s">
        <v>3797</v>
      </c>
      <c r="J10321" t="s">
        <v>34728</v>
      </c>
      <c r="K10321" t="s">
        <v>36733</v>
      </c>
      <c r="M10321" t="s">
        <v>40049</v>
      </c>
      <c r="N10321" t="s">
        <v>40436</v>
      </c>
      <c r="O10321" t="s">
        <v>40437</v>
      </c>
      <c r="Q10321">
        <v>1</v>
      </c>
      <c r="R10321" t="s">
        <v>40450</v>
      </c>
      <c r="S10321" t="s">
        <v>40992</v>
      </c>
      <c r="T10321" t="s">
        <v>42279</v>
      </c>
      <c r="U10321" t="s">
        <v>51224</v>
      </c>
      <c r="W10321" t="s">
        <v>40049</v>
      </c>
      <c r="X10321" t="s">
        <v>40451</v>
      </c>
    </row>
    <row r="10322" spans="1:24">
      <c r="A10322">
        <f>HYPERLINK("https://www.philgeps.gov.ph/GEPSNONPILOT/Tender/SplashBidNoticeAbstractUI.aspx?menuIndex=3&amp;refID=7029373&amp;Result=3","7029373")</f>
        <v>0</v>
      </c>
      <c r="B10322" t="s">
        <v>1000</v>
      </c>
      <c r="C10322" t="s">
        <v>12934</v>
      </c>
      <c r="D10322" t="s">
        <v>16213</v>
      </c>
      <c r="E10322" t="s">
        <v>25241</v>
      </c>
      <c r="F10322" t="s">
        <v>28198</v>
      </c>
      <c r="G10322" t="s">
        <v>28205</v>
      </c>
      <c r="H10322" t="s">
        <v>28214</v>
      </c>
      <c r="I10322" t="s">
        <v>3797</v>
      </c>
      <c r="J10322" t="s">
        <v>34729</v>
      </c>
      <c r="K10322" t="s">
        <v>36733</v>
      </c>
      <c r="M10322" t="s">
        <v>40049</v>
      </c>
      <c r="N10322" t="s">
        <v>40436</v>
      </c>
      <c r="O10322" t="s">
        <v>40437</v>
      </c>
      <c r="Q10322">
        <v>1</v>
      </c>
      <c r="R10322" t="s">
        <v>40450</v>
      </c>
      <c r="S10322" t="s">
        <v>40993</v>
      </c>
      <c r="T10322" t="s">
        <v>42279</v>
      </c>
      <c r="U10322" t="s">
        <v>51225</v>
      </c>
      <c r="W10322" t="s">
        <v>40049</v>
      </c>
      <c r="X10322" t="s">
        <v>40451</v>
      </c>
    </row>
    <row r="10323" spans="1:24">
      <c r="A10323">
        <f>HYPERLINK("https://www.philgeps.gov.ph/GEPSNONPILOT/Tender/SplashBidNoticeAbstractUI.aspx?menuIndex=3&amp;refID=7029366&amp;Result=3","7029366")</f>
        <v>0</v>
      </c>
      <c r="B10323" t="s">
        <v>1950</v>
      </c>
      <c r="C10323" t="s">
        <v>12935</v>
      </c>
      <c r="E10323" t="s">
        <v>25242</v>
      </c>
      <c r="F10323" t="s">
        <v>28198</v>
      </c>
      <c r="G10323" t="s">
        <v>28205</v>
      </c>
      <c r="H10323" t="s">
        <v>28214</v>
      </c>
      <c r="I10323" t="s">
        <v>3797</v>
      </c>
      <c r="J10323" t="s">
        <v>29565</v>
      </c>
      <c r="K10323" t="s">
        <v>36689</v>
      </c>
      <c r="M10323" t="s">
        <v>39084</v>
      </c>
      <c r="N10323" t="s">
        <v>40436</v>
      </c>
      <c r="O10323" t="s">
        <v>40437</v>
      </c>
      <c r="P10323">
        <v>0</v>
      </c>
      <c r="Q10323">
        <v>0</v>
      </c>
      <c r="R10323" t="s">
        <v>40450</v>
      </c>
      <c r="S10323" t="s">
        <v>40961</v>
      </c>
      <c r="T10323" t="s">
        <v>42435</v>
      </c>
      <c r="U10323" t="s">
        <v>47829</v>
      </c>
      <c r="W10323" t="s">
        <v>39084</v>
      </c>
      <c r="X10323" t="s">
        <v>40451</v>
      </c>
    </row>
    <row r="10324" spans="1:24">
      <c r="A10324">
        <f>HYPERLINK("https://www.philgeps.gov.ph/GEPSNONPILOT/Tender/SplashBidNoticeAbstractUI.aspx?menuIndex=3&amp;refID=7029396&amp;Result=3","7029396")</f>
        <v>0</v>
      </c>
      <c r="B10324" t="s">
        <v>2716</v>
      </c>
      <c r="C10324" t="s">
        <v>12936</v>
      </c>
      <c r="D10324" t="s">
        <v>16202</v>
      </c>
      <c r="E10324" t="s">
        <v>25243</v>
      </c>
      <c r="F10324" t="s">
        <v>28198</v>
      </c>
      <c r="G10324" t="s">
        <v>28205</v>
      </c>
      <c r="H10324" t="s">
        <v>28214</v>
      </c>
      <c r="I10324" t="s">
        <v>3797</v>
      </c>
      <c r="J10324" t="s">
        <v>28398</v>
      </c>
      <c r="K10324" t="s">
        <v>36715</v>
      </c>
      <c r="M10324" t="s">
        <v>39959</v>
      </c>
      <c r="N10324" t="s">
        <v>40436</v>
      </c>
      <c r="O10324" t="s">
        <v>40437</v>
      </c>
      <c r="P10324">
        <v>0</v>
      </c>
      <c r="Q10324">
        <v>0</v>
      </c>
      <c r="R10324" t="s">
        <v>40450</v>
      </c>
      <c r="S10324" t="s">
        <v>40961</v>
      </c>
      <c r="T10324" t="s">
        <v>42243</v>
      </c>
      <c r="U10324" t="s">
        <v>50800</v>
      </c>
      <c r="W10324" t="s">
        <v>39959</v>
      </c>
      <c r="X10324" t="s">
        <v>40451</v>
      </c>
    </row>
    <row r="10325" spans="1:24">
      <c r="A10325">
        <f>HYPERLINK("https://www.philgeps.gov.ph/GEPSNONPILOT/Tender/SplashBidNoticeAbstractUI.aspx?menuIndex=3&amp;refID=7029386&amp;Result=3","7029386")</f>
        <v>0</v>
      </c>
      <c r="B10325" t="s">
        <v>2413</v>
      </c>
      <c r="C10325" t="s">
        <v>12937</v>
      </c>
      <c r="D10325" t="s">
        <v>16191</v>
      </c>
      <c r="E10325" t="s">
        <v>25232</v>
      </c>
      <c r="F10325" t="s">
        <v>28198</v>
      </c>
      <c r="G10325" t="s">
        <v>28205</v>
      </c>
      <c r="H10325" t="s">
        <v>28217</v>
      </c>
      <c r="I10325" t="s">
        <v>28232</v>
      </c>
      <c r="J10325" t="s">
        <v>34730</v>
      </c>
      <c r="K10325" t="s">
        <v>36692</v>
      </c>
      <c r="M10325" t="s">
        <v>39653</v>
      </c>
      <c r="N10325" t="s">
        <v>40436</v>
      </c>
      <c r="O10325" t="s">
        <v>40437</v>
      </c>
      <c r="P10325">
        <v>0</v>
      </c>
      <c r="Q10325">
        <v>6</v>
      </c>
      <c r="R10325" t="s">
        <v>40450</v>
      </c>
      <c r="S10325" t="s">
        <v>40961</v>
      </c>
      <c r="T10325" t="s">
        <v>42168</v>
      </c>
      <c r="U10325" t="s">
        <v>49378</v>
      </c>
      <c r="V10325" t="s">
        <v>54644</v>
      </c>
      <c r="W10325" t="s">
        <v>39653</v>
      </c>
      <c r="X10325" t="s">
        <v>40451</v>
      </c>
    </row>
    <row r="10326" spans="1:24">
      <c r="A10326">
        <f>HYPERLINK("https://www.philgeps.gov.ph/GEPSNONPILOT/Tender/SplashBidNoticeAbstractUI.aspx?menuIndex=3&amp;refID=7029290&amp;Result=3","7029290")</f>
        <v>0</v>
      </c>
      <c r="B10326" t="s">
        <v>2295</v>
      </c>
      <c r="C10326" t="s">
        <v>12938</v>
      </c>
      <c r="D10326" t="s">
        <v>16222</v>
      </c>
      <c r="E10326" t="s">
        <v>25244</v>
      </c>
      <c r="F10326" t="s">
        <v>28200</v>
      </c>
      <c r="G10326" t="s">
        <v>28205</v>
      </c>
      <c r="H10326" t="s">
        <v>28214</v>
      </c>
      <c r="I10326" t="s">
        <v>3797</v>
      </c>
      <c r="J10326" t="s">
        <v>28468</v>
      </c>
      <c r="K10326" t="s">
        <v>36926</v>
      </c>
      <c r="M10326" t="s">
        <v>39470</v>
      </c>
      <c r="N10326" t="s">
        <v>40436</v>
      </c>
      <c r="O10326" t="s">
        <v>40437</v>
      </c>
      <c r="P10326">
        <v>0</v>
      </c>
      <c r="Q10326">
        <v>2</v>
      </c>
      <c r="R10326" t="s">
        <v>40450</v>
      </c>
      <c r="S10326" t="s">
        <v>40961</v>
      </c>
      <c r="T10326" t="s">
        <v>42499</v>
      </c>
      <c r="U10326" t="s">
        <v>50789</v>
      </c>
      <c r="V10326" t="s">
        <v>54846</v>
      </c>
      <c r="W10326" t="s">
        <v>39470</v>
      </c>
      <c r="X10326" t="s">
        <v>40451</v>
      </c>
    </row>
    <row r="10327" spans="1:24">
      <c r="A10327">
        <f>HYPERLINK("https://www.philgeps.gov.ph/GEPSNONPILOT/Tender/SplashBidNoticeAbstractUI.aspx?menuIndex=3&amp;refID=7029406&amp;Result=3","7029406")</f>
        <v>0</v>
      </c>
      <c r="B10327" t="s">
        <v>1950</v>
      </c>
      <c r="C10327" t="s">
        <v>12939</v>
      </c>
      <c r="E10327" t="s">
        <v>25245</v>
      </c>
      <c r="F10327" t="s">
        <v>28198</v>
      </c>
      <c r="G10327" t="s">
        <v>28205</v>
      </c>
      <c r="H10327" t="s">
        <v>28214</v>
      </c>
      <c r="I10327" t="s">
        <v>3797</v>
      </c>
      <c r="J10327" t="s">
        <v>28351</v>
      </c>
      <c r="K10327" t="s">
        <v>36689</v>
      </c>
      <c r="M10327" t="s">
        <v>39084</v>
      </c>
      <c r="N10327" t="s">
        <v>40436</v>
      </c>
      <c r="O10327" t="s">
        <v>40437</v>
      </c>
      <c r="P10327">
        <v>0</v>
      </c>
      <c r="Q10327">
        <v>0</v>
      </c>
      <c r="R10327" t="s">
        <v>40450</v>
      </c>
      <c r="S10327" t="s">
        <v>40961</v>
      </c>
      <c r="T10327" t="s">
        <v>42435</v>
      </c>
      <c r="U10327" t="s">
        <v>47829</v>
      </c>
      <c r="W10327" t="s">
        <v>39084</v>
      </c>
      <c r="X10327" t="s">
        <v>40451</v>
      </c>
    </row>
    <row r="10328" spans="1:24">
      <c r="A10328">
        <f>HYPERLINK("https://www.philgeps.gov.ph/GEPSNONPILOT/Tender/SplashBidNoticeAbstractUI.aspx?menuIndex=3&amp;refID=7029378&amp;Result=3","7029378")</f>
        <v>0</v>
      </c>
      <c r="B10328" t="s">
        <v>1585</v>
      </c>
      <c r="C10328" t="s">
        <v>12940</v>
      </c>
      <c r="D10328" t="s">
        <v>16208</v>
      </c>
      <c r="E10328" t="s">
        <v>25246</v>
      </c>
      <c r="F10328" t="s">
        <v>28198</v>
      </c>
      <c r="G10328" t="s">
        <v>28206</v>
      </c>
      <c r="H10328" t="s">
        <v>28215</v>
      </c>
      <c r="I10328" t="s">
        <v>5100</v>
      </c>
      <c r="J10328" t="s">
        <v>28395</v>
      </c>
      <c r="K10328" t="s">
        <v>36687</v>
      </c>
      <c r="M10328" t="s">
        <v>38670</v>
      </c>
      <c r="N10328" t="s">
        <v>40436</v>
      </c>
      <c r="O10328" t="s">
        <v>40437</v>
      </c>
      <c r="P10328">
        <v>0</v>
      </c>
      <c r="Q10328">
        <v>1</v>
      </c>
      <c r="R10328" t="s">
        <v>40450</v>
      </c>
      <c r="S10328" t="s">
        <v>40961</v>
      </c>
      <c r="T10328" t="s">
        <v>42314</v>
      </c>
      <c r="U10328" t="s">
        <v>43338</v>
      </c>
      <c r="W10328" t="s">
        <v>38670</v>
      </c>
      <c r="X10328" t="s">
        <v>40451</v>
      </c>
    </row>
    <row r="10329" spans="1:24">
      <c r="A10329">
        <f>HYPERLINK("https://www.philgeps.gov.ph/GEPSNONPILOT/Tender/SplashBidNoticeAbstractUI.aspx?menuIndex=3&amp;refID=7029384&amp;Result=3","7029384")</f>
        <v>0</v>
      </c>
      <c r="B10329" t="s">
        <v>1497</v>
      </c>
      <c r="C10329" t="s">
        <v>12941</v>
      </c>
      <c r="D10329" t="s">
        <v>16211</v>
      </c>
      <c r="E10329" t="s">
        <v>25247</v>
      </c>
      <c r="F10329" t="s">
        <v>28198</v>
      </c>
      <c r="G10329" t="s">
        <v>28208</v>
      </c>
      <c r="H10329" t="s">
        <v>28215</v>
      </c>
      <c r="I10329" t="s">
        <v>3774</v>
      </c>
      <c r="J10329" t="s">
        <v>34731</v>
      </c>
      <c r="K10329" t="s">
        <v>36688</v>
      </c>
      <c r="M10329" t="s">
        <v>38572</v>
      </c>
      <c r="N10329" t="s">
        <v>40436</v>
      </c>
      <c r="O10329" t="s">
        <v>40437</v>
      </c>
      <c r="P10329">
        <v>0</v>
      </c>
      <c r="Q10329">
        <v>0</v>
      </c>
      <c r="R10329" t="s">
        <v>40450</v>
      </c>
      <c r="S10329" t="s">
        <v>40961</v>
      </c>
      <c r="T10329" t="s">
        <v>42183</v>
      </c>
      <c r="U10329" t="s">
        <v>51226</v>
      </c>
      <c r="V10329" t="s">
        <v>54911</v>
      </c>
      <c r="W10329" t="s">
        <v>38572</v>
      </c>
      <c r="X10329" t="s">
        <v>40451</v>
      </c>
    </row>
    <row r="10330" spans="1:24">
      <c r="A10330">
        <f>HYPERLINK("https://www.philgeps.gov.ph/GEPSNONPILOT/Tender/SplashBidNoticeAbstractUI.aspx?menuIndex=3&amp;refID=7029399&amp;Result=3","7029399")</f>
        <v>0</v>
      </c>
      <c r="B10330" t="s">
        <v>1950</v>
      </c>
      <c r="C10330" t="s">
        <v>12942</v>
      </c>
      <c r="E10330" t="s">
        <v>25248</v>
      </c>
      <c r="F10330" t="s">
        <v>28198</v>
      </c>
      <c r="G10330" t="s">
        <v>28205</v>
      </c>
      <c r="H10330" t="s">
        <v>28214</v>
      </c>
      <c r="I10330" t="s">
        <v>3797</v>
      </c>
      <c r="J10330" t="s">
        <v>28699</v>
      </c>
      <c r="K10330" t="s">
        <v>36689</v>
      </c>
      <c r="M10330" t="s">
        <v>39084</v>
      </c>
      <c r="N10330" t="s">
        <v>40436</v>
      </c>
      <c r="O10330" t="s">
        <v>40437</v>
      </c>
      <c r="P10330">
        <v>0</v>
      </c>
      <c r="Q10330">
        <v>0</v>
      </c>
      <c r="R10330" t="s">
        <v>40450</v>
      </c>
      <c r="S10330" t="s">
        <v>40961</v>
      </c>
      <c r="T10330" t="s">
        <v>42435</v>
      </c>
      <c r="U10330" t="s">
        <v>47829</v>
      </c>
      <c r="W10330" t="s">
        <v>39084</v>
      </c>
      <c r="X10330" t="s">
        <v>40451</v>
      </c>
    </row>
    <row r="10331" spans="1:24">
      <c r="A10331">
        <f>HYPERLINK("https://www.philgeps.gov.ph/GEPSNONPILOT/Tender/SplashBidNoticeAbstractUI.aspx?menuIndex=3&amp;refID=7029443&amp;Result=3","7029443")</f>
        <v>0</v>
      </c>
      <c r="B10331" t="s">
        <v>2413</v>
      </c>
      <c r="C10331" t="s">
        <v>12943</v>
      </c>
      <c r="D10331" t="s">
        <v>16191</v>
      </c>
      <c r="E10331" t="s">
        <v>25249</v>
      </c>
      <c r="F10331" t="s">
        <v>28198</v>
      </c>
      <c r="G10331" t="s">
        <v>28205</v>
      </c>
      <c r="H10331" t="s">
        <v>28217</v>
      </c>
      <c r="I10331" t="s">
        <v>28232</v>
      </c>
      <c r="J10331" t="s">
        <v>34732</v>
      </c>
      <c r="K10331" t="s">
        <v>36692</v>
      </c>
      <c r="M10331" t="s">
        <v>39653</v>
      </c>
      <c r="N10331" t="s">
        <v>40436</v>
      </c>
      <c r="O10331" t="s">
        <v>40437</v>
      </c>
      <c r="P10331">
        <v>0</v>
      </c>
      <c r="Q10331">
        <v>7</v>
      </c>
      <c r="R10331" t="s">
        <v>40450</v>
      </c>
      <c r="S10331" t="s">
        <v>40961</v>
      </c>
      <c r="T10331" t="s">
        <v>42168</v>
      </c>
      <c r="U10331" t="s">
        <v>49378</v>
      </c>
      <c r="V10331" t="s">
        <v>54909</v>
      </c>
      <c r="W10331" t="s">
        <v>39653</v>
      </c>
      <c r="X10331" t="s">
        <v>40451</v>
      </c>
    </row>
    <row r="10332" spans="1:24">
      <c r="A10332">
        <f>HYPERLINK("https://www.philgeps.gov.ph/GEPSNONPILOT/Tender/SplashBidNoticeAbstractUI.aspx?menuIndex=3&amp;refID=7029454&amp;Result=3","7029454")</f>
        <v>0</v>
      </c>
      <c r="B10332" t="s">
        <v>2800</v>
      </c>
      <c r="C10332" t="s">
        <v>12944</v>
      </c>
      <c r="D10332" t="s">
        <v>16228</v>
      </c>
      <c r="E10332" t="s">
        <v>25250</v>
      </c>
      <c r="F10332" t="s">
        <v>28198</v>
      </c>
      <c r="G10332" t="s">
        <v>28205</v>
      </c>
      <c r="H10332" t="s">
        <v>28214</v>
      </c>
      <c r="I10332" t="s">
        <v>3797</v>
      </c>
      <c r="J10332" t="s">
        <v>34733</v>
      </c>
      <c r="K10332" t="s">
        <v>36694</v>
      </c>
      <c r="M10332" t="s">
        <v>40050</v>
      </c>
      <c r="N10332" t="s">
        <v>40436</v>
      </c>
      <c r="O10332" t="s">
        <v>40437</v>
      </c>
      <c r="P10332">
        <v>0</v>
      </c>
      <c r="Q10332">
        <v>0</v>
      </c>
      <c r="R10332" t="s">
        <v>40450</v>
      </c>
      <c r="S10332" t="s">
        <v>40961</v>
      </c>
      <c r="T10332" t="s">
        <v>42184</v>
      </c>
      <c r="U10332" t="s">
        <v>51227</v>
      </c>
      <c r="W10332" t="s">
        <v>40050</v>
      </c>
      <c r="X10332" t="s">
        <v>40451</v>
      </c>
    </row>
    <row r="10333" spans="1:24">
      <c r="A10333">
        <f>HYPERLINK("https://www.philgeps.gov.ph/GEPSNONPILOT/Tender/SplashBidNoticeAbstractUI.aspx?menuIndex=3&amp;refID=7029436&amp;Result=3","7029436")</f>
        <v>0</v>
      </c>
      <c r="B10333" t="s">
        <v>2801</v>
      </c>
      <c r="C10333" t="s">
        <v>12945</v>
      </c>
      <c r="D10333" t="s">
        <v>16213</v>
      </c>
      <c r="E10333" t="s">
        <v>25251</v>
      </c>
      <c r="F10333" t="s">
        <v>28198</v>
      </c>
      <c r="G10333" t="s">
        <v>28205</v>
      </c>
      <c r="H10333" t="s">
        <v>28214</v>
      </c>
      <c r="I10333" t="s">
        <v>3797</v>
      </c>
      <c r="J10333" t="s">
        <v>34734</v>
      </c>
      <c r="K10333" t="s">
        <v>36927</v>
      </c>
      <c r="M10333" t="s">
        <v>40051</v>
      </c>
      <c r="N10333" t="s">
        <v>40436</v>
      </c>
      <c r="O10333" t="s">
        <v>40437</v>
      </c>
      <c r="P10333">
        <v>0</v>
      </c>
      <c r="Q10333">
        <v>0</v>
      </c>
      <c r="R10333" t="s">
        <v>40450</v>
      </c>
      <c r="S10333" t="s">
        <v>40961</v>
      </c>
      <c r="T10333" t="s">
        <v>42102</v>
      </c>
      <c r="U10333" t="s">
        <v>51228</v>
      </c>
      <c r="W10333" t="s">
        <v>40051</v>
      </c>
      <c r="X10333" t="s">
        <v>40451</v>
      </c>
    </row>
    <row r="10334" spans="1:24">
      <c r="A10334">
        <f>HYPERLINK("https://www.philgeps.gov.ph/GEPSNONPILOT/Tender/SplashBidNoticeAbstractUI.aspx?menuIndex=3&amp;refID=7029335&amp;Result=3","7029335")</f>
        <v>0</v>
      </c>
      <c r="B10334" t="s">
        <v>1000</v>
      </c>
      <c r="C10334" t="s">
        <v>12946</v>
      </c>
      <c r="D10334" t="s">
        <v>16213</v>
      </c>
      <c r="E10334" t="s">
        <v>25252</v>
      </c>
      <c r="F10334" t="s">
        <v>28198</v>
      </c>
      <c r="G10334" t="s">
        <v>28205</v>
      </c>
      <c r="H10334" t="s">
        <v>28214</v>
      </c>
      <c r="I10334" t="s">
        <v>3797</v>
      </c>
      <c r="J10334" t="s">
        <v>34735</v>
      </c>
      <c r="K10334" t="s">
        <v>36733</v>
      </c>
      <c r="M10334" t="s">
        <v>40049</v>
      </c>
      <c r="N10334" t="s">
        <v>40436</v>
      </c>
      <c r="O10334" t="s">
        <v>40437</v>
      </c>
      <c r="Q10334">
        <v>0</v>
      </c>
      <c r="R10334" t="s">
        <v>40450</v>
      </c>
      <c r="S10334" t="s">
        <v>40994</v>
      </c>
      <c r="T10334" t="s">
        <v>42279</v>
      </c>
      <c r="U10334" t="s">
        <v>51225</v>
      </c>
      <c r="W10334" t="s">
        <v>40049</v>
      </c>
      <c r="X10334" t="s">
        <v>40451</v>
      </c>
    </row>
    <row r="10335" spans="1:24">
      <c r="A10335">
        <f>HYPERLINK("https://www.philgeps.gov.ph/GEPSNONPILOT/Tender/SplashBidNoticeAbstractUI.aspx?menuIndex=3&amp;refID=7029433&amp;Result=3","7029433")</f>
        <v>0</v>
      </c>
      <c r="B10335" t="s">
        <v>2328</v>
      </c>
      <c r="C10335" t="s">
        <v>12947</v>
      </c>
      <c r="D10335" t="s">
        <v>16200</v>
      </c>
      <c r="E10335" t="s">
        <v>25253</v>
      </c>
      <c r="F10335" t="s">
        <v>28198</v>
      </c>
      <c r="G10335" t="s">
        <v>28208</v>
      </c>
      <c r="H10335" t="s">
        <v>28214</v>
      </c>
      <c r="I10335" t="s">
        <v>3797</v>
      </c>
      <c r="J10335" t="s">
        <v>28699</v>
      </c>
      <c r="K10335" t="s">
        <v>36697</v>
      </c>
      <c r="M10335" t="s">
        <v>39506</v>
      </c>
      <c r="N10335" t="s">
        <v>40436</v>
      </c>
      <c r="O10335" t="s">
        <v>40437</v>
      </c>
      <c r="Q10335">
        <v>1</v>
      </c>
      <c r="R10335" t="s">
        <v>40450</v>
      </c>
      <c r="S10335" t="s">
        <v>40995</v>
      </c>
      <c r="T10335" t="s">
        <v>42133</v>
      </c>
      <c r="U10335" t="s">
        <v>46684</v>
      </c>
      <c r="W10335" t="s">
        <v>39506</v>
      </c>
      <c r="X10335" t="s">
        <v>40451</v>
      </c>
    </row>
    <row r="10336" spans="1:24">
      <c r="A10336">
        <f>HYPERLINK("https://www.philgeps.gov.ph/GEPSNONPILOT/Tender/SplashBidNoticeAbstractUI.aspx?menuIndex=3&amp;refID=7029380&amp;Result=3","7029380")</f>
        <v>0</v>
      </c>
      <c r="B10336" t="s">
        <v>1950</v>
      </c>
      <c r="C10336" t="s">
        <v>12948</v>
      </c>
      <c r="E10336" t="s">
        <v>25254</v>
      </c>
      <c r="F10336" t="s">
        <v>28198</v>
      </c>
      <c r="G10336" t="s">
        <v>28205</v>
      </c>
      <c r="H10336" t="s">
        <v>28214</v>
      </c>
      <c r="I10336" t="s">
        <v>3797</v>
      </c>
      <c r="J10336" t="s">
        <v>29565</v>
      </c>
      <c r="K10336" t="s">
        <v>36689</v>
      </c>
      <c r="M10336" t="s">
        <v>39084</v>
      </c>
      <c r="N10336" t="s">
        <v>40436</v>
      </c>
      <c r="O10336" t="s">
        <v>40437</v>
      </c>
      <c r="P10336">
        <v>0</v>
      </c>
      <c r="Q10336">
        <v>0</v>
      </c>
      <c r="R10336" t="s">
        <v>40450</v>
      </c>
      <c r="S10336" t="s">
        <v>40961</v>
      </c>
      <c r="T10336" t="s">
        <v>42435</v>
      </c>
      <c r="U10336" t="s">
        <v>47829</v>
      </c>
      <c r="W10336" t="s">
        <v>39084</v>
      </c>
      <c r="X10336" t="s">
        <v>40451</v>
      </c>
    </row>
    <row r="10337" spans="1:24">
      <c r="A10337">
        <f>HYPERLINK("https://www.philgeps.gov.ph/GEPSNONPILOT/Tender/SplashBidNoticeAbstractUI.aspx?menuIndex=3&amp;refID=7029429&amp;Result=3","7029429")</f>
        <v>0</v>
      </c>
      <c r="B10337" t="s">
        <v>1950</v>
      </c>
      <c r="C10337" t="s">
        <v>12949</v>
      </c>
      <c r="E10337" t="s">
        <v>25255</v>
      </c>
      <c r="F10337" t="s">
        <v>28198</v>
      </c>
      <c r="G10337" t="s">
        <v>28205</v>
      </c>
      <c r="H10337" t="s">
        <v>28214</v>
      </c>
      <c r="I10337" t="s">
        <v>3797</v>
      </c>
      <c r="J10337" t="s">
        <v>28379</v>
      </c>
      <c r="K10337" t="s">
        <v>36689</v>
      </c>
      <c r="M10337" t="s">
        <v>39084</v>
      </c>
      <c r="N10337" t="s">
        <v>40436</v>
      </c>
      <c r="O10337" t="s">
        <v>40437</v>
      </c>
      <c r="P10337">
        <v>0</v>
      </c>
      <c r="Q10337">
        <v>0</v>
      </c>
      <c r="R10337" t="s">
        <v>40450</v>
      </c>
      <c r="S10337" t="s">
        <v>40961</v>
      </c>
      <c r="T10337" t="s">
        <v>42435</v>
      </c>
      <c r="U10337" t="s">
        <v>47829</v>
      </c>
      <c r="W10337" t="s">
        <v>39084</v>
      </c>
      <c r="X10337" t="s">
        <v>40451</v>
      </c>
    </row>
    <row r="10338" spans="1:24">
      <c r="A10338">
        <f>HYPERLINK("https://www.philgeps.gov.ph/GEPSNONPILOT/Tender/SplashBidNoticeAbstractUI.aspx?menuIndex=3&amp;refID=7029434&amp;Result=3","7029434")</f>
        <v>0</v>
      </c>
      <c r="B10338" t="s">
        <v>1730</v>
      </c>
      <c r="C10338" t="s">
        <v>12950</v>
      </c>
      <c r="E10338" t="s">
        <v>25256</v>
      </c>
      <c r="F10338" t="s">
        <v>28198</v>
      </c>
      <c r="G10338" t="s">
        <v>28205</v>
      </c>
      <c r="H10338" t="s">
        <v>28215</v>
      </c>
      <c r="I10338" t="s">
        <v>28247</v>
      </c>
      <c r="J10338" t="s">
        <v>28730</v>
      </c>
      <c r="K10338" t="s">
        <v>36694</v>
      </c>
      <c r="M10338" t="s">
        <v>38840</v>
      </c>
      <c r="N10338" t="s">
        <v>40436</v>
      </c>
      <c r="O10338" t="s">
        <v>40437</v>
      </c>
      <c r="Q10338">
        <v>34</v>
      </c>
      <c r="R10338" t="s">
        <v>40450</v>
      </c>
      <c r="S10338" t="s">
        <v>40996</v>
      </c>
      <c r="T10338" t="s">
        <v>42372</v>
      </c>
      <c r="U10338" t="s">
        <v>46910</v>
      </c>
      <c r="W10338" t="s">
        <v>38840</v>
      </c>
      <c r="X10338" t="s">
        <v>40451</v>
      </c>
    </row>
    <row r="10339" spans="1:24">
      <c r="A10339">
        <f>HYPERLINK("https://www.philgeps.gov.ph/GEPSNONPILOT/Tender/SplashBidNoticeAbstractUI.aspx?menuIndex=3&amp;refID=7029410&amp;Result=3","7029410")</f>
        <v>0</v>
      </c>
      <c r="B10339" t="s">
        <v>1000</v>
      </c>
      <c r="C10339" t="s">
        <v>12951</v>
      </c>
      <c r="D10339" t="s">
        <v>16213</v>
      </c>
      <c r="E10339" t="s">
        <v>25257</v>
      </c>
      <c r="F10339" t="s">
        <v>28198</v>
      </c>
      <c r="G10339" t="s">
        <v>28205</v>
      </c>
      <c r="H10339" t="s">
        <v>28214</v>
      </c>
      <c r="I10339" t="s">
        <v>3797</v>
      </c>
      <c r="J10339" t="s">
        <v>34736</v>
      </c>
      <c r="K10339" t="s">
        <v>36733</v>
      </c>
      <c r="M10339" t="s">
        <v>40049</v>
      </c>
      <c r="N10339" t="s">
        <v>40436</v>
      </c>
      <c r="O10339" t="s">
        <v>40437</v>
      </c>
      <c r="Q10339">
        <v>1</v>
      </c>
      <c r="R10339" t="s">
        <v>40450</v>
      </c>
      <c r="S10339" t="s">
        <v>40997</v>
      </c>
      <c r="T10339" t="s">
        <v>42279</v>
      </c>
      <c r="U10339" t="s">
        <v>51229</v>
      </c>
      <c r="W10339" t="s">
        <v>40049</v>
      </c>
      <c r="X10339" t="s">
        <v>40451</v>
      </c>
    </row>
    <row r="10340" spans="1:24">
      <c r="A10340">
        <f>HYPERLINK("https://www.philgeps.gov.ph/GEPSNONPILOT/Tender/SplashBidNoticeAbstractUI.aspx?menuIndex=3&amp;refID=7029432&amp;Result=3","7029432")</f>
        <v>0</v>
      </c>
      <c r="B10340" t="s">
        <v>2800</v>
      </c>
      <c r="C10340" t="s">
        <v>12952</v>
      </c>
      <c r="D10340" t="s">
        <v>16228</v>
      </c>
      <c r="E10340" t="s">
        <v>25258</v>
      </c>
      <c r="F10340" t="s">
        <v>28198</v>
      </c>
      <c r="G10340" t="s">
        <v>28205</v>
      </c>
      <c r="H10340" t="s">
        <v>28215</v>
      </c>
      <c r="I10340" t="s">
        <v>28295</v>
      </c>
      <c r="J10340" t="s">
        <v>34737</v>
      </c>
      <c r="K10340" t="s">
        <v>36687</v>
      </c>
      <c r="M10340" t="s">
        <v>40050</v>
      </c>
      <c r="N10340" t="s">
        <v>40436</v>
      </c>
      <c r="O10340" t="s">
        <v>40437</v>
      </c>
      <c r="P10340">
        <v>0</v>
      </c>
      <c r="Q10340">
        <v>1</v>
      </c>
      <c r="R10340" t="s">
        <v>40450</v>
      </c>
      <c r="S10340" t="s">
        <v>40961</v>
      </c>
      <c r="T10340" t="s">
        <v>42184</v>
      </c>
      <c r="U10340" t="s">
        <v>51230</v>
      </c>
      <c r="W10340" t="s">
        <v>40050</v>
      </c>
      <c r="X10340" t="s">
        <v>40451</v>
      </c>
    </row>
    <row r="10341" spans="1:24">
      <c r="A10341">
        <f>HYPERLINK("https://www.philgeps.gov.ph/GEPSNONPILOT/Tender/SplashBidNoticeAbstractUI.aspx?menuIndex=3&amp;refID=7029411&amp;Result=3","7029411")</f>
        <v>0</v>
      </c>
      <c r="B10341" t="s">
        <v>1730</v>
      </c>
      <c r="C10341" t="s">
        <v>12953</v>
      </c>
      <c r="E10341" t="s">
        <v>25259</v>
      </c>
      <c r="F10341" t="s">
        <v>28198</v>
      </c>
      <c r="G10341" t="s">
        <v>28205</v>
      </c>
      <c r="H10341" t="s">
        <v>28215</v>
      </c>
      <c r="I10341" t="s">
        <v>28247</v>
      </c>
      <c r="J10341" t="s">
        <v>34738</v>
      </c>
      <c r="K10341" t="s">
        <v>36694</v>
      </c>
      <c r="M10341" t="s">
        <v>38840</v>
      </c>
      <c r="N10341" t="s">
        <v>40436</v>
      </c>
      <c r="O10341" t="s">
        <v>40437</v>
      </c>
      <c r="P10341">
        <v>0</v>
      </c>
      <c r="Q10341">
        <v>20</v>
      </c>
      <c r="R10341" t="s">
        <v>40450</v>
      </c>
      <c r="S10341" t="s">
        <v>40961</v>
      </c>
      <c r="T10341" t="s">
        <v>42278</v>
      </c>
      <c r="U10341" t="s">
        <v>46910</v>
      </c>
      <c r="W10341" t="s">
        <v>38840</v>
      </c>
      <c r="X10341" t="s">
        <v>40451</v>
      </c>
    </row>
    <row r="10342" spans="1:24">
      <c r="A10342">
        <f>HYPERLINK("https://www.philgeps.gov.ph/GEPSNONPILOT/Tender/SplashBidNoticeAbstractUI.aspx?menuIndex=3&amp;refID=7029458&amp;Result=3","7029458")</f>
        <v>0</v>
      </c>
      <c r="B10342" t="s">
        <v>2413</v>
      </c>
      <c r="C10342" t="s">
        <v>12954</v>
      </c>
      <c r="D10342" t="s">
        <v>16191</v>
      </c>
      <c r="E10342" t="s">
        <v>25249</v>
      </c>
      <c r="F10342" t="s">
        <v>28198</v>
      </c>
      <c r="G10342" t="s">
        <v>28205</v>
      </c>
      <c r="H10342" t="s">
        <v>28217</v>
      </c>
      <c r="I10342" t="s">
        <v>28232</v>
      </c>
      <c r="J10342" t="s">
        <v>29369</v>
      </c>
      <c r="K10342" t="s">
        <v>36692</v>
      </c>
      <c r="M10342" t="s">
        <v>39653</v>
      </c>
      <c r="N10342" t="s">
        <v>40436</v>
      </c>
      <c r="O10342" t="s">
        <v>40437</v>
      </c>
      <c r="P10342">
        <v>0</v>
      </c>
      <c r="Q10342">
        <v>6</v>
      </c>
      <c r="R10342" t="s">
        <v>40450</v>
      </c>
      <c r="S10342" t="s">
        <v>40961</v>
      </c>
      <c r="T10342" t="s">
        <v>42168</v>
      </c>
      <c r="U10342" t="s">
        <v>49378</v>
      </c>
      <c r="V10342" t="s">
        <v>54649</v>
      </c>
      <c r="W10342" t="s">
        <v>39653</v>
      </c>
      <c r="X10342" t="s">
        <v>40451</v>
      </c>
    </row>
    <row r="10343" spans="1:24">
      <c r="A10343">
        <f>HYPERLINK("https://www.philgeps.gov.ph/GEPSNONPILOT/Tender/SplashBidNoticeAbstractUI.aspx?menuIndex=3&amp;refID=7029440&amp;Result=3","7029440")</f>
        <v>0</v>
      </c>
      <c r="B10343" t="s">
        <v>1950</v>
      </c>
      <c r="C10343" t="s">
        <v>12955</v>
      </c>
      <c r="E10343" t="s">
        <v>25260</v>
      </c>
      <c r="F10343" t="s">
        <v>28198</v>
      </c>
      <c r="G10343" t="s">
        <v>28205</v>
      </c>
      <c r="H10343" t="s">
        <v>28214</v>
      </c>
      <c r="I10343" t="s">
        <v>3797</v>
      </c>
      <c r="J10343" t="s">
        <v>34739</v>
      </c>
      <c r="K10343" t="s">
        <v>36689</v>
      </c>
      <c r="M10343" t="s">
        <v>39084</v>
      </c>
      <c r="N10343" t="s">
        <v>40436</v>
      </c>
      <c r="O10343" t="s">
        <v>40437</v>
      </c>
      <c r="P10343">
        <v>0</v>
      </c>
      <c r="Q10343">
        <v>0</v>
      </c>
      <c r="R10343" t="s">
        <v>40450</v>
      </c>
      <c r="S10343" t="s">
        <v>40961</v>
      </c>
      <c r="T10343" t="s">
        <v>42435</v>
      </c>
      <c r="U10343" t="s">
        <v>47829</v>
      </c>
      <c r="W10343" t="s">
        <v>39084</v>
      </c>
      <c r="X10343" t="s">
        <v>40451</v>
      </c>
    </row>
    <row r="10344" spans="1:24">
      <c r="A10344">
        <f>HYPERLINK("https://www.philgeps.gov.ph/GEPSNONPILOT/Tender/SplashBidNoticeAbstractUI.aspx?menuIndex=3&amp;refID=7029416&amp;Result=3","7029416")</f>
        <v>0</v>
      </c>
      <c r="B10344" t="s">
        <v>1950</v>
      </c>
      <c r="C10344" t="s">
        <v>12956</v>
      </c>
      <c r="E10344" t="s">
        <v>25261</v>
      </c>
      <c r="F10344" t="s">
        <v>28198</v>
      </c>
      <c r="G10344" t="s">
        <v>28205</v>
      </c>
      <c r="H10344" t="s">
        <v>28214</v>
      </c>
      <c r="I10344" t="s">
        <v>3797</v>
      </c>
      <c r="J10344" t="s">
        <v>28921</v>
      </c>
      <c r="K10344" t="s">
        <v>36689</v>
      </c>
      <c r="M10344" t="s">
        <v>39084</v>
      </c>
      <c r="N10344" t="s">
        <v>40436</v>
      </c>
      <c r="O10344" t="s">
        <v>40437</v>
      </c>
      <c r="P10344">
        <v>0</v>
      </c>
      <c r="Q10344">
        <v>0</v>
      </c>
      <c r="R10344" t="s">
        <v>40450</v>
      </c>
      <c r="S10344" t="s">
        <v>40961</v>
      </c>
      <c r="T10344" t="s">
        <v>42556</v>
      </c>
      <c r="U10344" t="s">
        <v>47829</v>
      </c>
      <c r="W10344" t="s">
        <v>39084</v>
      </c>
      <c r="X10344" t="s">
        <v>40451</v>
      </c>
    </row>
    <row r="10345" spans="1:24">
      <c r="A10345">
        <f>HYPERLINK("https://www.philgeps.gov.ph/GEPSNONPILOT/Tender/SplashBidNoticeAbstractUI.aspx?menuIndex=3&amp;refID=7029556&amp;Result=3","7029556")</f>
        <v>0</v>
      </c>
      <c r="B10345" t="s">
        <v>1730</v>
      </c>
      <c r="C10345" t="s">
        <v>12957</v>
      </c>
      <c r="E10345" t="s">
        <v>25262</v>
      </c>
      <c r="F10345" t="s">
        <v>28198</v>
      </c>
      <c r="G10345" t="s">
        <v>28205</v>
      </c>
      <c r="H10345" t="s">
        <v>28215</v>
      </c>
      <c r="I10345" t="s">
        <v>28247</v>
      </c>
      <c r="J10345" t="s">
        <v>34740</v>
      </c>
      <c r="K10345" t="s">
        <v>36694</v>
      </c>
      <c r="M10345" t="s">
        <v>38840</v>
      </c>
      <c r="N10345" t="s">
        <v>40436</v>
      </c>
      <c r="O10345" t="s">
        <v>40437</v>
      </c>
      <c r="Q10345">
        <v>22</v>
      </c>
      <c r="R10345" t="s">
        <v>40450</v>
      </c>
      <c r="S10345" t="s">
        <v>40998</v>
      </c>
      <c r="T10345" t="s">
        <v>42346</v>
      </c>
      <c r="U10345" t="s">
        <v>46910</v>
      </c>
      <c r="W10345" t="s">
        <v>38840</v>
      </c>
      <c r="X10345" t="s">
        <v>40451</v>
      </c>
    </row>
    <row r="10346" spans="1:24">
      <c r="A10346">
        <f>HYPERLINK("https://www.philgeps.gov.ph/GEPSNONPILOT/Tender/SplashBidNoticeAbstractUI.aspx?menuIndex=3&amp;refID=7029552&amp;Result=3","7029552")</f>
        <v>0</v>
      </c>
      <c r="B10346" t="s">
        <v>2087</v>
      </c>
      <c r="C10346" t="s">
        <v>12958</v>
      </c>
      <c r="D10346" t="s">
        <v>16191</v>
      </c>
      <c r="E10346" t="s">
        <v>25263</v>
      </c>
      <c r="F10346" t="s">
        <v>28198</v>
      </c>
      <c r="G10346" t="s">
        <v>28205</v>
      </c>
      <c r="H10346" t="s">
        <v>28214</v>
      </c>
      <c r="I10346" t="s">
        <v>3797</v>
      </c>
      <c r="J10346" t="s">
        <v>34741</v>
      </c>
      <c r="K10346" t="s">
        <v>36692</v>
      </c>
      <c r="M10346" t="s">
        <v>39236</v>
      </c>
      <c r="N10346" t="s">
        <v>40436</v>
      </c>
      <c r="O10346" t="s">
        <v>40437</v>
      </c>
      <c r="P10346">
        <v>0</v>
      </c>
      <c r="Q10346">
        <v>44</v>
      </c>
      <c r="R10346" t="s">
        <v>40450</v>
      </c>
      <c r="S10346" t="s">
        <v>40961</v>
      </c>
      <c r="T10346" t="s">
        <v>42188</v>
      </c>
      <c r="U10346" t="s">
        <v>48129</v>
      </c>
      <c r="V10346" t="s">
        <v>54469</v>
      </c>
      <c r="W10346" t="s">
        <v>39236</v>
      </c>
      <c r="X10346" t="s">
        <v>40451</v>
      </c>
    </row>
    <row r="10347" spans="1:24">
      <c r="A10347">
        <f>HYPERLINK("https://www.philgeps.gov.ph/GEPSNONPILOT/Tender/SplashBidNoticeAbstractUI.aspx?menuIndex=3&amp;refID=7029513&amp;Result=3","7029513")</f>
        <v>0</v>
      </c>
      <c r="B10347" t="s">
        <v>2802</v>
      </c>
      <c r="C10347" t="s">
        <v>12959</v>
      </c>
      <c r="D10347" t="s">
        <v>16238</v>
      </c>
      <c r="E10347" t="s">
        <v>25264</v>
      </c>
      <c r="F10347" t="s">
        <v>28198</v>
      </c>
      <c r="G10347" t="s">
        <v>28205</v>
      </c>
      <c r="H10347" t="s">
        <v>28214</v>
      </c>
      <c r="I10347" t="s">
        <v>3797</v>
      </c>
      <c r="J10347" t="s">
        <v>34742</v>
      </c>
      <c r="K10347" t="s">
        <v>36697</v>
      </c>
      <c r="M10347" t="s">
        <v>40052</v>
      </c>
      <c r="N10347" t="s">
        <v>40436</v>
      </c>
      <c r="O10347" t="s">
        <v>40437</v>
      </c>
      <c r="P10347">
        <v>0</v>
      </c>
      <c r="Q10347">
        <v>0</v>
      </c>
      <c r="R10347" t="s">
        <v>40450</v>
      </c>
      <c r="S10347" t="s">
        <v>40961</v>
      </c>
      <c r="T10347" t="s">
        <v>42279</v>
      </c>
      <c r="U10347" t="s">
        <v>51231</v>
      </c>
      <c r="V10347" t="s">
        <v>54912</v>
      </c>
      <c r="W10347" t="s">
        <v>55532</v>
      </c>
      <c r="X10347" t="s">
        <v>40451</v>
      </c>
    </row>
    <row r="10348" spans="1:24">
      <c r="A10348">
        <f>HYPERLINK("https://www.philgeps.gov.ph/GEPSNONPILOT/Tender/SplashBidNoticeAbstractUI.aspx?menuIndex=3&amp;refID=7029487&amp;Result=3","7029487")</f>
        <v>0</v>
      </c>
      <c r="B10348" t="s">
        <v>2350</v>
      </c>
      <c r="C10348" t="s">
        <v>12960</v>
      </c>
      <c r="E10348" t="s">
        <v>25265</v>
      </c>
      <c r="F10348" t="s">
        <v>28198</v>
      </c>
      <c r="G10348" t="s">
        <v>28205</v>
      </c>
      <c r="H10348" t="s">
        <v>28215</v>
      </c>
      <c r="I10348" t="s">
        <v>28224</v>
      </c>
      <c r="J10348" t="s">
        <v>34743</v>
      </c>
      <c r="K10348" t="s">
        <v>36689</v>
      </c>
      <c r="M10348" t="s">
        <v>39530</v>
      </c>
      <c r="N10348" t="s">
        <v>40436</v>
      </c>
      <c r="O10348" t="s">
        <v>40437</v>
      </c>
      <c r="P10348">
        <v>0</v>
      </c>
      <c r="Q10348">
        <v>2</v>
      </c>
      <c r="R10348" t="s">
        <v>40450</v>
      </c>
      <c r="S10348" t="s">
        <v>40961</v>
      </c>
      <c r="T10348" t="s">
        <v>42168</v>
      </c>
      <c r="U10348" t="s">
        <v>51232</v>
      </c>
      <c r="W10348" t="s">
        <v>39530</v>
      </c>
      <c r="X10348" t="s">
        <v>40451</v>
      </c>
    </row>
    <row r="10349" spans="1:24">
      <c r="A10349">
        <f>HYPERLINK("https://www.philgeps.gov.ph/GEPSNONPILOT/Tender/SplashBidNoticeAbstractUI.aspx?menuIndex=3&amp;refID=7029492&amp;Result=3","7029492")</f>
        <v>0</v>
      </c>
      <c r="B10349" t="s">
        <v>2350</v>
      </c>
      <c r="C10349" t="s">
        <v>12961</v>
      </c>
      <c r="E10349" t="s">
        <v>25266</v>
      </c>
      <c r="F10349" t="s">
        <v>28198</v>
      </c>
      <c r="G10349" t="s">
        <v>28205</v>
      </c>
      <c r="H10349" t="s">
        <v>28215</v>
      </c>
      <c r="I10349" t="s">
        <v>28247</v>
      </c>
      <c r="J10349" t="s">
        <v>34744</v>
      </c>
      <c r="K10349" t="s">
        <v>36689</v>
      </c>
      <c r="M10349" t="s">
        <v>39530</v>
      </c>
      <c r="N10349" t="s">
        <v>40436</v>
      </c>
      <c r="O10349" t="s">
        <v>40437</v>
      </c>
      <c r="P10349">
        <v>0</v>
      </c>
      <c r="Q10349">
        <v>8</v>
      </c>
      <c r="R10349" t="s">
        <v>40450</v>
      </c>
      <c r="S10349" t="s">
        <v>40961</v>
      </c>
      <c r="T10349" t="s">
        <v>42168</v>
      </c>
      <c r="U10349" t="s">
        <v>51233</v>
      </c>
      <c r="W10349" t="s">
        <v>39530</v>
      </c>
      <c r="X10349" t="s">
        <v>40451</v>
      </c>
    </row>
    <row r="10350" spans="1:24">
      <c r="A10350">
        <f>HYPERLINK("https://www.philgeps.gov.ph/GEPSNONPILOT/Tender/SplashBidNoticeAbstractUI.aspx?menuIndex=3&amp;refID=7029571&amp;Result=3","7029571")</f>
        <v>0</v>
      </c>
      <c r="B10350" t="s">
        <v>2087</v>
      </c>
      <c r="C10350" t="s">
        <v>12962</v>
      </c>
      <c r="D10350" t="s">
        <v>16191</v>
      </c>
      <c r="E10350" t="s">
        <v>25267</v>
      </c>
      <c r="F10350" t="s">
        <v>28198</v>
      </c>
      <c r="G10350" t="s">
        <v>28205</v>
      </c>
      <c r="H10350" t="s">
        <v>28214</v>
      </c>
      <c r="I10350" t="s">
        <v>3797</v>
      </c>
      <c r="J10350" t="s">
        <v>34745</v>
      </c>
      <c r="K10350" t="s">
        <v>36853</v>
      </c>
      <c r="M10350" t="s">
        <v>39236</v>
      </c>
      <c r="N10350" t="s">
        <v>40436</v>
      </c>
      <c r="O10350" t="s">
        <v>40437</v>
      </c>
      <c r="P10350">
        <v>0</v>
      </c>
      <c r="Q10350">
        <v>19</v>
      </c>
      <c r="R10350" t="s">
        <v>40450</v>
      </c>
      <c r="S10350" t="s">
        <v>40961</v>
      </c>
      <c r="T10350" t="s">
        <v>42188</v>
      </c>
      <c r="U10350" t="s">
        <v>48149</v>
      </c>
      <c r="V10350" t="s">
        <v>54469</v>
      </c>
      <c r="W10350" t="s">
        <v>39236</v>
      </c>
      <c r="X10350" t="s">
        <v>40451</v>
      </c>
    </row>
    <row r="10351" spans="1:24">
      <c r="A10351">
        <f>HYPERLINK("https://www.philgeps.gov.ph/GEPSNONPILOT/Tender/SplashBidNoticeAbstractUI.aspx?menuIndex=3&amp;refID=7029408&amp;Result=3","7029408")</f>
        <v>0</v>
      </c>
      <c r="B10351" t="s">
        <v>2801</v>
      </c>
      <c r="C10351" t="s">
        <v>12963</v>
      </c>
      <c r="D10351" t="s">
        <v>16213</v>
      </c>
      <c r="E10351" t="s">
        <v>25268</v>
      </c>
      <c r="F10351" t="s">
        <v>28198</v>
      </c>
      <c r="G10351" t="s">
        <v>28205</v>
      </c>
      <c r="H10351" t="s">
        <v>28214</v>
      </c>
      <c r="I10351" t="s">
        <v>3797</v>
      </c>
      <c r="J10351" t="s">
        <v>34746</v>
      </c>
      <c r="K10351" t="s">
        <v>36715</v>
      </c>
      <c r="M10351" t="s">
        <v>40051</v>
      </c>
      <c r="N10351" t="s">
        <v>40436</v>
      </c>
      <c r="O10351" t="s">
        <v>40437</v>
      </c>
      <c r="P10351">
        <v>0</v>
      </c>
      <c r="Q10351">
        <v>1</v>
      </c>
      <c r="R10351" t="s">
        <v>40450</v>
      </c>
      <c r="S10351" t="s">
        <v>40961</v>
      </c>
      <c r="T10351" t="s">
        <v>42102</v>
      </c>
      <c r="U10351" t="s">
        <v>51234</v>
      </c>
      <c r="W10351" t="s">
        <v>40051</v>
      </c>
      <c r="X10351" t="s">
        <v>40451</v>
      </c>
    </row>
    <row r="10352" spans="1:24">
      <c r="A10352">
        <f>HYPERLINK("https://www.philgeps.gov.ph/GEPSNONPILOT/Tender/SplashBidNoticeAbstractUI.aspx?menuIndex=3&amp;refID=7029525&amp;Result=3","7029525")</f>
        <v>0</v>
      </c>
      <c r="B10352" t="s">
        <v>1063</v>
      </c>
      <c r="C10352" t="s">
        <v>12964</v>
      </c>
      <c r="D10352" t="s">
        <v>16188</v>
      </c>
      <c r="E10352" t="s">
        <v>25269</v>
      </c>
      <c r="F10352" t="s">
        <v>28199</v>
      </c>
      <c r="G10352" t="s">
        <v>28206</v>
      </c>
      <c r="H10352" t="s">
        <v>28214</v>
      </c>
      <c r="I10352" t="s">
        <v>3797</v>
      </c>
      <c r="J10352" t="s">
        <v>34747</v>
      </c>
      <c r="K10352" t="s">
        <v>36834</v>
      </c>
      <c r="M10352" t="s">
        <v>38534</v>
      </c>
      <c r="N10352" t="s">
        <v>40436</v>
      </c>
      <c r="O10352" t="s">
        <v>40437</v>
      </c>
      <c r="Q10352">
        <v>1</v>
      </c>
      <c r="R10352" t="s">
        <v>40450</v>
      </c>
      <c r="S10352" t="s">
        <v>40999</v>
      </c>
      <c r="T10352" t="s">
        <v>42278</v>
      </c>
      <c r="U10352" t="s">
        <v>51235</v>
      </c>
      <c r="W10352" t="s">
        <v>38534</v>
      </c>
      <c r="X10352" t="s">
        <v>40451</v>
      </c>
    </row>
    <row r="10353" spans="1:24">
      <c r="A10353">
        <f>HYPERLINK("https://www.philgeps.gov.ph/GEPSNONPILOT/Tender/SplashBidNoticeAbstractUI.aspx?menuIndex=3&amp;refID=7029570&amp;Result=3","7029570")</f>
        <v>0</v>
      </c>
      <c r="B10353" t="s">
        <v>2087</v>
      </c>
      <c r="C10353" t="s">
        <v>12965</v>
      </c>
      <c r="D10353" t="s">
        <v>16191</v>
      </c>
      <c r="E10353" t="s">
        <v>25270</v>
      </c>
      <c r="F10353" t="s">
        <v>28198</v>
      </c>
      <c r="G10353" t="s">
        <v>28205</v>
      </c>
      <c r="H10353" t="s">
        <v>28214</v>
      </c>
      <c r="I10353" t="s">
        <v>3797</v>
      </c>
      <c r="J10353" t="s">
        <v>34748</v>
      </c>
      <c r="K10353" t="s">
        <v>36928</v>
      </c>
      <c r="M10353" t="s">
        <v>39236</v>
      </c>
      <c r="N10353" t="s">
        <v>40436</v>
      </c>
      <c r="O10353" t="s">
        <v>40437</v>
      </c>
      <c r="P10353">
        <v>0</v>
      </c>
      <c r="Q10353">
        <v>17</v>
      </c>
      <c r="R10353" t="s">
        <v>40450</v>
      </c>
      <c r="S10353" t="s">
        <v>40961</v>
      </c>
      <c r="T10353" t="s">
        <v>42188</v>
      </c>
      <c r="U10353" t="s">
        <v>51236</v>
      </c>
      <c r="V10353" t="s">
        <v>54469</v>
      </c>
      <c r="W10353" t="s">
        <v>39236</v>
      </c>
      <c r="X10353" t="s">
        <v>40451</v>
      </c>
    </row>
    <row r="10354" spans="1:24">
      <c r="A10354">
        <f>HYPERLINK("https://www.philgeps.gov.ph/GEPSNONPILOT/Tender/SplashBidNoticeAbstractUI.aspx?menuIndex=3&amp;refID=7029566&amp;Result=3","7029566")</f>
        <v>0</v>
      </c>
      <c r="B10354" t="s">
        <v>1730</v>
      </c>
      <c r="C10354" t="s">
        <v>12966</v>
      </c>
      <c r="E10354" t="s">
        <v>25271</v>
      </c>
      <c r="F10354" t="s">
        <v>28198</v>
      </c>
      <c r="G10354" t="s">
        <v>28205</v>
      </c>
      <c r="H10354" t="s">
        <v>28215</v>
      </c>
      <c r="I10354" t="s">
        <v>28311</v>
      </c>
      <c r="J10354" t="s">
        <v>34749</v>
      </c>
      <c r="K10354" t="s">
        <v>36715</v>
      </c>
      <c r="M10354" t="s">
        <v>38840</v>
      </c>
      <c r="N10354" t="s">
        <v>40436</v>
      </c>
      <c r="O10354" t="s">
        <v>40437</v>
      </c>
      <c r="Q10354">
        <v>2</v>
      </c>
      <c r="R10354" t="s">
        <v>40450</v>
      </c>
      <c r="S10354" t="s">
        <v>41000</v>
      </c>
      <c r="T10354" t="s">
        <v>42183</v>
      </c>
      <c r="U10354" t="s">
        <v>46910</v>
      </c>
      <c r="W10354" t="s">
        <v>38840</v>
      </c>
      <c r="X10354" t="s">
        <v>40451</v>
      </c>
    </row>
    <row r="10355" spans="1:24">
      <c r="A10355">
        <f>HYPERLINK("https://www.philgeps.gov.ph/GEPSNONPILOT/Tender/SplashBidNoticeAbstractUI.aspx?menuIndex=3&amp;refID=7029529&amp;Result=3","7029529")</f>
        <v>0</v>
      </c>
      <c r="B10355" t="s">
        <v>2803</v>
      </c>
      <c r="C10355" t="s">
        <v>12967</v>
      </c>
      <c r="D10355" t="s">
        <v>16187</v>
      </c>
      <c r="E10355" t="s">
        <v>25272</v>
      </c>
      <c r="F10355" t="s">
        <v>28198</v>
      </c>
      <c r="G10355" t="s">
        <v>28205</v>
      </c>
      <c r="H10355" t="s">
        <v>28215</v>
      </c>
      <c r="I10355" t="s">
        <v>28276</v>
      </c>
      <c r="J10355" t="s">
        <v>34750</v>
      </c>
      <c r="K10355" t="s">
        <v>36705</v>
      </c>
      <c r="M10355" t="s">
        <v>40053</v>
      </c>
      <c r="N10355" t="s">
        <v>40436</v>
      </c>
      <c r="O10355" t="s">
        <v>40437</v>
      </c>
      <c r="Q10355">
        <v>1</v>
      </c>
      <c r="R10355" t="s">
        <v>40450</v>
      </c>
      <c r="S10355" t="s">
        <v>41001</v>
      </c>
      <c r="T10355" t="s">
        <v>42511</v>
      </c>
      <c r="U10355" t="s">
        <v>51237</v>
      </c>
      <c r="W10355" t="s">
        <v>40053</v>
      </c>
      <c r="X10355" t="s">
        <v>40451</v>
      </c>
    </row>
    <row r="10356" spans="1:24">
      <c r="A10356">
        <f>HYPERLINK("https://www.philgeps.gov.ph/GEPSNONPILOT/Tender/SplashBidNoticeAbstractUI.aspx?menuIndex=3&amp;refID=7029560&amp;Result=3","7029560")</f>
        <v>0</v>
      </c>
      <c r="B10356" t="s">
        <v>1730</v>
      </c>
      <c r="C10356" t="s">
        <v>12968</v>
      </c>
      <c r="E10356" t="s">
        <v>25273</v>
      </c>
      <c r="F10356" t="s">
        <v>28198</v>
      </c>
      <c r="G10356" t="s">
        <v>28205</v>
      </c>
      <c r="H10356" t="s">
        <v>28215</v>
      </c>
      <c r="I10356" t="s">
        <v>28247</v>
      </c>
      <c r="J10356" t="s">
        <v>34751</v>
      </c>
      <c r="K10356" t="s">
        <v>36694</v>
      </c>
      <c r="M10356" t="s">
        <v>38840</v>
      </c>
      <c r="N10356" t="s">
        <v>40436</v>
      </c>
      <c r="O10356" t="s">
        <v>40437</v>
      </c>
      <c r="Q10356">
        <v>11</v>
      </c>
      <c r="R10356" t="s">
        <v>40450</v>
      </c>
      <c r="S10356" t="s">
        <v>40925</v>
      </c>
      <c r="T10356" t="s">
        <v>42279</v>
      </c>
      <c r="U10356" t="s">
        <v>46910</v>
      </c>
      <c r="W10356" t="s">
        <v>38840</v>
      </c>
      <c r="X10356" t="s">
        <v>40451</v>
      </c>
    </row>
    <row r="10357" spans="1:24">
      <c r="A10357">
        <f>HYPERLINK("https://www.philgeps.gov.ph/GEPSNONPILOT/Tender/SplashBidNoticeAbstractUI.aspx?menuIndex=3&amp;refID=7029562&amp;Result=3","7029562")</f>
        <v>0</v>
      </c>
      <c r="B10357" t="s">
        <v>2087</v>
      </c>
      <c r="C10357" t="s">
        <v>12969</v>
      </c>
      <c r="D10357" t="s">
        <v>16191</v>
      </c>
      <c r="E10357" t="s">
        <v>25274</v>
      </c>
      <c r="F10357" t="s">
        <v>28198</v>
      </c>
      <c r="G10357" t="s">
        <v>28205</v>
      </c>
      <c r="H10357" t="s">
        <v>28214</v>
      </c>
      <c r="I10357" t="s">
        <v>3797</v>
      </c>
      <c r="J10357" t="s">
        <v>34752</v>
      </c>
      <c r="K10357" t="s">
        <v>36690</v>
      </c>
      <c r="M10357" t="s">
        <v>39236</v>
      </c>
      <c r="N10357" t="s">
        <v>40436</v>
      </c>
      <c r="O10357" t="s">
        <v>40437</v>
      </c>
      <c r="P10357">
        <v>0</v>
      </c>
      <c r="Q10357">
        <v>18</v>
      </c>
      <c r="R10357" t="s">
        <v>40450</v>
      </c>
      <c r="S10357" t="s">
        <v>40961</v>
      </c>
      <c r="T10357" t="s">
        <v>42188</v>
      </c>
      <c r="U10357" t="s">
        <v>48136</v>
      </c>
      <c r="V10357" t="s">
        <v>54469</v>
      </c>
      <c r="W10357" t="s">
        <v>39236</v>
      </c>
      <c r="X10357" t="s">
        <v>40451</v>
      </c>
    </row>
    <row r="10358" spans="1:24">
      <c r="A10358">
        <f>HYPERLINK("https://www.philgeps.gov.ph/GEPSNONPILOT/Tender/SplashBidNoticeAbstractUI.aspx?menuIndex=3&amp;refID=7029547&amp;Result=3","7029547")</f>
        <v>0</v>
      </c>
      <c r="B10358" t="s">
        <v>2087</v>
      </c>
      <c r="C10358" t="s">
        <v>12970</v>
      </c>
      <c r="D10358" t="s">
        <v>16191</v>
      </c>
      <c r="E10358" t="s">
        <v>25275</v>
      </c>
      <c r="F10358" t="s">
        <v>28198</v>
      </c>
      <c r="G10358" t="s">
        <v>28205</v>
      </c>
      <c r="H10358" t="s">
        <v>28214</v>
      </c>
      <c r="I10358" t="s">
        <v>3797</v>
      </c>
      <c r="J10358" t="s">
        <v>34753</v>
      </c>
      <c r="K10358" t="s">
        <v>36697</v>
      </c>
      <c r="M10358" t="s">
        <v>39236</v>
      </c>
      <c r="N10358" t="s">
        <v>40436</v>
      </c>
      <c r="O10358" t="s">
        <v>40437</v>
      </c>
      <c r="P10358">
        <v>0</v>
      </c>
      <c r="Q10358">
        <v>28</v>
      </c>
      <c r="R10358" t="s">
        <v>40450</v>
      </c>
      <c r="S10358" t="s">
        <v>40961</v>
      </c>
      <c r="T10358" t="s">
        <v>42188</v>
      </c>
      <c r="U10358" t="s">
        <v>48123</v>
      </c>
      <c r="V10358" t="s">
        <v>54469</v>
      </c>
      <c r="W10358" t="s">
        <v>39236</v>
      </c>
      <c r="X10358" t="s">
        <v>40451</v>
      </c>
    </row>
    <row r="10359" spans="1:24">
      <c r="A10359">
        <f>HYPERLINK("https://www.philgeps.gov.ph/GEPSNONPILOT/Tender/SplashBidNoticeAbstractUI.aspx?menuIndex=3&amp;refID=7029472&amp;Result=3","7029472")</f>
        <v>0</v>
      </c>
      <c r="B10359" t="s">
        <v>2350</v>
      </c>
      <c r="C10359" t="s">
        <v>12971</v>
      </c>
      <c r="E10359" t="s">
        <v>25276</v>
      </c>
      <c r="F10359" t="s">
        <v>28198</v>
      </c>
      <c r="G10359" t="s">
        <v>28205</v>
      </c>
      <c r="H10359" t="s">
        <v>28215</v>
      </c>
      <c r="I10359" t="s">
        <v>28224</v>
      </c>
      <c r="J10359" t="s">
        <v>28663</v>
      </c>
      <c r="K10359" t="s">
        <v>36689</v>
      </c>
      <c r="M10359" t="s">
        <v>39530</v>
      </c>
      <c r="N10359" t="s">
        <v>40436</v>
      </c>
      <c r="O10359" t="s">
        <v>40437</v>
      </c>
      <c r="P10359">
        <v>0</v>
      </c>
      <c r="Q10359">
        <v>2</v>
      </c>
      <c r="R10359" t="s">
        <v>40450</v>
      </c>
      <c r="S10359" t="s">
        <v>40961</v>
      </c>
      <c r="T10359" t="s">
        <v>42168</v>
      </c>
      <c r="U10359" t="s">
        <v>51238</v>
      </c>
      <c r="W10359" t="s">
        <v>39530</v>
      </c>
      <c r="X10359" t="s">
        <v>40451</v>
      </c>
    </row>
    <row r="10360" spans="1:24">
      <c r="A10360">
        <f>HYPERLINK("https://www.philgeps.gov.ph/GEPSNONPILOT/Tender/SplashBidNoticeAbstractUI.aspx?menuIndex=3&amp;refID=7029468&amp;Result=3","7029468")</f>
        <v>0</v>
      </c>
      <c r="B10360" t="s">
        <v>2804</v>
      </c>
      <c r="C10360" t="s">
        <v>12972</v>
      </c>
      <c r="D10360" t="s">
        <v>16233</v>
      </c>
      <c r="E10360" t="s">
        <v>25277</v>
      </c>
      <c r="F10360" t="s">
        <v>28198</v>
      </c>
      <c r="G10360" t="s">
        <v>28205</v>
      </c>
      <c r="H10360" t="s">
        <v>28214</v>
      </c>
      <c r="I10360" t="s">
        <v>3797</v>
      </c>
      <c r="J10360" t="s">
        <v>34754</v>
      </c>
      <c r="K10360" t="s">
        <v>36697</v>
      </c>
      <c r="M10360" t="s">
        <v>40054</v>
      </c>
      <c r="N10360" t="s">
        <v>40436</v>
      </c>
      <c r="O10360" t="s">
        <v>40437</v>
      </c>
      <c r="P10360">
        <v>0</v>
      </c>
      <c r="Q10360">
        <v>1</v>
      </c>
      <c r="R10360" t="s">
        <v>40450</v>
      </c>
      <c r="S10360" t="s">
        <v>40961</v>
      </c>
      <c r="T10360" t="s">
        <v>42253</v>
      </c>
      <c r="U10360" t="s">
        <v>51239</v>
      </c>
      <c r="V10360" t="s">
        <v>54913</v>
      </c>
      <c r="W10360" t="s">
        <v>55533</v>
      </c>
      <c r="X10360" t="s">
        <v>40451</v>
      </c>
    </row>
    <row r="10361" spans="1:24">
      <c r="A10361">
        <f>HYPERLINK("https://www.philgeps.gov.ph/GEPSNONPILOT/Tender/SplashBidNoticeAbstractUI.aspx?menuIndex=3&amp;refID=7029568&amp;Result=3","7029568")</f>
        <v>0</v>
      </c>
      <c r="B10361" t="s">
        <v>1730</v>
      </c>
      <c r="C10361" t="s">
        <v>12973</v>
      </c>
      <c r="E10361" t="s">
        <v>25278</v>
      </c>
      <c r="F10361" t="s">
        <v>28198</v>
      </c>
      <c r="G10361" t="s">
        <v>28205</v>
      </c>
      <c r="H10361" t="s">
        <v>28215</v>
      </c>
      <c r="I10361" t="s">
        <v>28311</v>
      </c>
      <c r="J10361" t="s">
        <v>34755</v>
      </c>
      <c r="K10361" t="s">
        <v>36715</v>
      </c>
      <c r="M10361" t="s">
        <v>38840</v>
      </c>
      <c r="N10361" t="s">
        <v>40436</v>
      </c>
      <c r="O10361" t="s">
        <v>40437</v>
      </c>
      <c r="Q10361">
        <v>1</v>
      </c>
      <c r="R10361" t="s">
        <v>40450</v>
      </c>
      <c r="S10361" t="s">
        <v>41002</v>
      </c>
      <c r="T10361" t="s">
        <v>42415</v>
      </c>
      <c r="U10361" t="s">
        <v>46910</v>
      </c>
      <c r="W10361" t="s">
        <v>38840</v>
      </c>
      <c r="X10361" t="s">
        <v>40451</v>
      </c>
    </row>
    <row r="10362" spans="1:24">
      <c r="A10362">
        <f>HYPERLINK("https://www.philgeps.gov.ph/GEPSNONPILOT/Tender/SplashBidNoticeAbstractUI.aspx?menuIndex=3&amp;refID=7029480&amp;Result=3","7029480")</f>
        <v>0</v>
      </c>
      <c r="B10362" t="s">
        <v>2804</v>
      </c>
      <c r="C10362" t="s">
        <v>12974</v>
      </c>
      <c r="D10362" t="s">
        <v>16233</v>
      </c>
      <c r="E10362" t="s">
        <v>25279</v>
      </c>
      <c r="F10362" t="s">
        <v>28198</v>
      </c>
      <c r="G10362" t="s">
        <v>28205</v>
      </c>
      <c r="H10362" t="s">
        <v>28214</v>
      </c>
      <c r="I10362" t="s">
        <v>3797</v>
      </c>
      <c r="J10362" t="s">
        <v>34756</v>
      </c>
      <c r="K10362" t="s">
        <v>36694</v>
      </c>
      <c r="M10362" t="s">
        <v>40054</v>
      </c>
      <c r="N10362" t="s">
        <v>40436</v>
      </c>
      <c r="O10362" t="s">
        <v>40437</v>
      </c>
      <c r="P10362">
        <v>0</v>
      </c>
      <c r="Q10362">
        <v>1</v>
      </c>
      <c r="R10362" t="s">
        <v>40450</v>
      </c>
      <c r="S10362" t="s">
        <v>40961</v>
      </c>
      <c r="T10362" t="s">
        <v>42253</v>
      </c>
      <c r="U10362" t="s">
        <v>51240</v>
      </c>
      <c r="V10362" t="s">
        <v>54914</v>
      </c>
      <c r="W10362" t="s">
        <v>55533</v>
      </c>
      <c r="X10362" t="s">
        <v>40451</v>
      </c>
    </row>
    <row r="10363" spans="1:24">
      <c r="A10363">
        <f>HYPERLINK("https://www.philgeps.gov.ph/GEPSNONPILOT/Tender/SplashBidNoticeAbstractUI.aspx?menuIndex=3&amp;refID=7029567&amp;Result=3","7029567")</f>
        <v>0</v>
      </c>
      <c r="B10363" t="s">
        <v>1621</v>
      </c>
      <c r="C10363" t="s">
        <v>12975</v>
      </c>
      <c r="D10363" t="s">
        <v>16196</v>
      </c>
      <c r="E10363" t="s">
        <v>25280</v>
      </c>
      <c r="F10363" t="s">
        <v>28198</v>
      </c>
      <c r="G10363" t="s">
        <v>28205</v>
      </c>
      <c r="H10363" t="s">
        <v>28215</v>
      </c>
      <c r="I10363" t="s">
        <v>28222</v>
      </c>
      <c r="J10363" t="s">
        <v>34757</v>
      </c>
      <c r="K10363" t="s">
        <v>36697</v>
      </c>
      <c r="M10363" t="s">
        <v>38710</v>
      </c>
      <c r="N10363" t="s">
        <v>40436</v>
      </c>
      <c r="O10363" t="s">
        <v>40437</v>
      </c>
      <c r="P10363">
        <v>0</v>
      </c>
      <c r="Q10363">
        <v>11</v>
      </c>
      <c r="R10363" t="s">
        <v>40450</v>
      </c>
      <c r="S10363" t="s">
        <v>40961</v>
      </c>
      <c r="T10363" t="s">
        <v>42194</v>
      </c>
      <c r="U10363" t="s">
        <v>51241</v>
      </c>
      <c r="W10363" t="s">
        <v>38710</v>
      </c>
      <c r="X10363" t="s">
        <v>40451</v>
      </c>
    </row>
    <row r="10364" spans="1:24">
      <c r="A10364">
        <f>HYPERLINK("https://www.philgeps.gov.ph/GEPSNONPILOT/Tender/SplashBidNoticeAbstractUI.aspx?menuIndex=3&amp;refID=7029629&amp;Result=3","7029629")</f>
        <v>0</v>
      </c>
      <c r="B10364" t="s">
        <v>2805</v>
      </c>
      <c r="C10364" t="s">
        <v>12976</v>
      </c>
      <c r="D10364" t="s">
        <v>16215</v>
      </c>
      <c r="E10364" t="s">
        <v>25281</v>
      </c>
      <c r="F10364" t="s">
        <v>28198</v>
      </c>
      <c r="G10364" t="s">
        <v>28205</v>
      </c>
      <c r="H10364" t="s">
        <v>28214</v>
      </c>
      <c r="I10364" t="s">
        <v>3797</v>
      </c>
      <c r="J10364" t="s">
        <v>34758</v>
      </c>
      <c r="K10364" t="s">
        <v>36855</v>
      </c>
      <c r="M10364" t="s">
        <v>40055</v>
      </c>
      <c r="N10364" t="s">
        <v>40436</v>
      </c>
      <c r="O10364" t="s">
        <v>40437</v>
      </c>
      <c r="P10364">
        <v>0</v>
      </c>
      <c r="Q10364">
        <v>7</v>
      </c>
      <c r="R10364" t="s">
        <v>40450</v>
      </c>
      <c r="S10364" t="s">
        <v>40961</v>
      </c>
      <c r="T10364" t="s">
        <v>42279</v>
      </c>
      <c r="U10364" t="s">
        <v>51242</v>
      </c>
      <c r="V10364" t="s">
        <v>54915</v>
      </c>
      <c r="W10364" t="s">
        <v>40055</v>
      </c>
      <c r="X10364" t="s">
        <v>40451</v>
      </c>
    </row>
    <row r="10365" spans="1:24">
      <c r="A10365">
        <f>HYPERLINK("https://www.philgeps.gov.ph/GEPSNONPILOT/Tender/SplashBidNoticeAbstractUI.aspx?menuIndex=3&amp;refID=7029620&amp;Result=3","7029620")</f>
        <v>0</v>
      </c>
      <c r="B10365" t="s">
        <v>1612</v>
      </c>
      <c r="C10365" t="s">
        <v>12977</v>
      </c>
      <c r="D10365" t="s">
        <v>16232</v>
      </c>
      <c r="E10365" t="s">
        <v>25282</v>
      </c>
      <c r="F10365" t="s">
        <v>28198</v>
      </c>
      <c r="G10365" t="s">
        <v>28205</v>
      </c>
      <c r="H10365" t="s">
        <v>28215</v>
      </c>
      <c r="I10365" t="s">
        <v>5082</v>
      </c>
      <c r="J10365" t="s">
        <v>34759</v>
      </c>
      <c r="K10365" t="s">
        <v>36707</v>
      </c>
      <c r="M10365" t="s">
        <v>38699</v>
      </c>
      <c r="N10365" t="s">
        <v>40436</v>
      </c>
      <c r="O10365" t="s">
        <v>40437</v>
      </c>
      <c r="P10365">
        <v>0</v>
      </c>
      <c r="Q10365">
        <v>2</v>
      </c>
      <c r="R10365" t="s">
        <v>40450</v>
      </c>
      <c r="S10365" t="s">
        <v>40961</v>
      </c>
      <c r="T10365" t="s">
        <v>42234</v>
      </c>
      <c r="U10365" t="s">
        <v>51243</v>
      </c>
      <c r="W10365" t="s">
        <v>38699</v>
      </c>
      <c r="X10365" t="s">
        <v>40451</v>
      </c>
    </row>
    <row r="10366" spans="1:24">
      <c r="A10366">
        <f>HYPERLINK("https://www.philgeps.gov.ph/GEPSNONPILOT/Tender/SplashBidNoticeAbstractUI.aspx?menuIndex=3&amp;refID=7029543&amp;Result=3","7029543")</f>
        <v>0</v>
      </c>
      <c r="B10366" t="s">
        <v>935</v>
      </c>
      <c r="C10366" t="s">
        <v>12978</v>
      </c>
      <c r="D10366" t="s">
        <v>16210</v>
      </c>
      <c r="E10366" t="s">
        <v>25283</v>
      </c>
      <c r="F10366" t="s">
        <v>28198</v>
      </c>
      <c r="G10366" t="s">
        <v>28205</v>
      </c>
      <c r="H10366" t="s">
        <v>28215</v>
      </c>
      <c r="I10366" t="s">
        <v>28324</v>
      </c>
      <c r="J10366" t="s">
        <v>34760</v>
      </c>
      <c r="K10366" t="s">
        <v>36765</v>
      </c>
      <c r="M10366" t="s">
        <v>39545</v>
      </c>
      <c r="N10366" t="s">
        <v>40436</v>
      </c>
      <c r="O10366" t="s">
        <v>40437</v>
      </c>
      <c r="P10366">
        <v>0</v>
      </c>
      <c r="Q10366">
        <v>6</v>
      </c>
      <c r="R10366" t="s">
        <v>40450</v>
      </c>
      <c r="S10366" t="s">
        <v>40961</v>
      </c>
      <c r="T10366" t="s">
        <v>42183</v>
      </c>
      <c r="U10366" t="s">
        <v>51244</v>
      </c>
      <c r="W10366" t="s">
        <v>39545</v>
      </c>
      <c r="X10366" t="s">
        <v>40451</v>
      </c>
    </row>
    <row r="10367" spans="1:24">
      <c r="A10367">
        <f>HYPERLINK("https://www.philgeps.gov.ph/GEPSNONPILOT/Tender/SplashBidNoticeAbstractUI.aspx?menuIndex=3&amp;refID=7029572&amp;Result=3","7029572")</f>
        <v>0</v>
      </c>
      <c r="B10367" t="s">
        <v>2581</v>
      </c>
      <c r="C10367" t="s">
        <v>12979</v>
      </c>
      <c r="D10367" t="s">
        <v>16200</v>
      </c>
      <c r="E10367" t="s">
        <v>25284</v>
      </c>
      <c r="F10367" t="s">
        <v>28198</v>
      </c>
      <c r="G10367" t="s">
        <v>28208</v>
      </c>
      <c r="H10367" t="s">
        <v>28214</v>
      </c>
      <c r="I10367" t="s">
        <v>3797</v>
      </c>
      <c r="J10367" t="s">
        <v>28548</v>
      </c>
      <c r="K10367" t="s">
        <v>36694</v>
      </c>
      <c r="M10367" t="s">
        <v>39795</v>
      </c>
      <c r="N10367" t="s">
        <v>40436</v>
      </c>
      <c r="O10367" t="s">
        <v>40437</v>
      </c>
      <c r="P10367">
        <v>0</v>
      </c>
      <c r="Q10367">
        <v>1</v>
      </c>
      <c r="R10367" t="s">
        <v>40450</v>
      </c>
      <c r="S10367" t="s">
        <v>40961</v>
      </c>
      <c r="T10367" t="s">
        <v>42279</v>
      </c>
      <c r="U10367" t="s">
        <v>51245</v>
      </c>
      <c r="W10367" t="s">
        <v>39795</v>
      </c>
      <c r="X10367" t="s">
        <v>40451</v>
      </c>
    </row>
    <row r="10368" spans="1:24">
      <c r="A10368">
        <f>HYPERLINK("https://www.philgeps.gov.ph/GEPSNONPILOT/Tender/SplashBidNoticeAbstractUI.aspx?menuIndex=3&amp;refID=7029610&amp;Result=3","7029610")</f>
        <v>0</v>
      </c>
      <c r="B10368" t="s">
        <v>1612</v>
      </c>
      <c r="C10368" t="s">
        <v>12980</v>
      </c>
      <c r="D10368" t="s">
        <v>16232</v>
      </c>
      <c r="E10368" t="s">
        <v>25285</v>
      </c>
      <c r="F10368" t="s">
        <v>28198</v>
      </c>
      <c r="G10368" t="s">
        <v>28205</v>
      </c>
      <c r="H10368" t="s">
        <v>28215</v>
      </c>
      <c r="I10368" t="s">
        <v>4219</v>
      </c>
      <c r="J10368" t="s">
        <v>34761</v>
      </c>
      <c r="K10368" t="s">
        <v>36707</v>
      </c>
      <c r="M10368" t="s">
        <v>38699</v>
      </c>
      <c r="N10368" t="s">
        <v>40436</v>
      </c>
      <c r="O10368" t="s">
        <v>40437</v>
      </c>
      <c r="P10368">
        <v>0</v>
      </c>
      <c r="Q10368">
        <v>0</v>
      </c>
      <c r="R10368" t="s">
        <v>40450</v>
      </c>
      <c r="S10368" t="s">
        <v>40961</v>
      </c>
      <c r="T10368" t="s">
        <v>42234</v>
      </c>
      <c r="U10368" t="s">
        <v>51246</v>
      </c>
      <c r="W10368" t="s">
        <v>38699</v>
      </c>
      <c r="X10368" t="s">
        <v>40451</v>
      </c>
    </row>
    <row r="10369" spans="1:24">
      <c r="A10369">
        <f>HYPERLINK("https://www.philgeps.gov.ph/GEPSNONPILOT/Tender/SplashBidNoticeAbstractUI.aspx?menuIndex=3&amp;refID=7029614&amp;Result=3","7029614")</f>
        <v>0</v>
      </c>
      <c r="B10369" t="s">
        <v>1612</v>
      </c>
      <c r="C10369" t="s">
        <v>12981</v>
      </c>
      <c r="D10369" t="s">
        <v>16232</v>
      </c>
      <c r="E10369" t="s">
        <v>25286</v>
      </c>
      <c r="F10369" t="s">
        <v>28198</v>
      </c>
      <c r="G10369" t="s">
        <v>28205</v>
      </c>
      <c r="H10369" t="s">
        <v>28215</v>
      </c>
      <c r="I10369" t="s">
        <v>5100</v>
      </c>
      <c r="J10369" t="s">
        <v>34762</v>
      </c>
      <c r="K10369" t="s">
        <v>36707</v>
      </c>
      <c r="M10369" t="s">
        <v>38699</v>
      </c>
      <c r="N10369" t="s">
        <v>40436</v>
      </c>
      <c r="O10369" t="s">
        <v>40437</v>
      </c>
      <c r="P10369">
        <v>0</v>
      </c>
      <c r="Q10369">
        <v>0</v>
      </c>
      <c r="R10369" t="s">
        <v>40450</v>
      </c>
      <c r="S10369" t="s">
        <v>40961</v>
      </c>
      <c r="T10369" t="s">
        <v>42234</v>
      </c>
      <c r="U10369" t="s">
        <v>51247</v>
      </c>
      <c r="W10369" t="s">
        <v>38699</v>
      </c>
      <c r="X10369" t="s">
        <v>40451</v>
      </c>
    </row>
    <row r="10370" spans="1:24">
      <c r="A10370">
        <f>HYPERLINK("https://www.philgeps.gov.ph/GEPSNONPILOT/Tender/SplashBidNoticeAbstractUI.aspx?menuIndex=3&amp;refID=7029604&amp;Result=3","7029604")</f>
        <v>0</v>
      </c>
      <c r="B10370" t="s">
        <v>1612</v>
      </c>
      <c r="C10370" t="s">
        <v>12982</v>
      </c>
      <c r="D10370" t="s">
        <v>16232</v>
      </c>
      <c r="E10370" t="s">
        <v>25287</v>
      </c>
      <c r="F10370" t="s">
        <v>28198</v>
      </c>
      <c r="G10370" t="s">
        <v>28205</v>
      </c>
      <c r="H10370" t="s">
        <v>28215</v>
      </c>
      <c r="I10370" t="s">
        <v>5100</v>
      </c>
      <c r="J10370" t="s">
        <v>34763</v>
      </c>
      <c r="K10370" t="s">
        <v>36707</v>
      </c>
      <c r="M10370" t="s">
        <v>38699</v>
      </c>
      <c r="N10370" t="s">
        <v>40436</v>
      </c>
      <c r="O10370" t="s">
        <v>40437</v>
      </c>
      <c r="P10370">
        <v>0</v>
      </c>
      <c r="Q10370">
        <v>1</v>
      </c>
      <c r="R10370" t="s">
        <v>40450</v>
      </c>
      <c r="S10370" t="s">
        <v>40961</v>
      </c>
      <c r="T10370" t="s">
        <v>42234</v>
      </c>
      <c r="U10370" t="s">
        <v>51248</v>
      </c>
      <c r="W10370" t="s">
        <v>38699</v>
      </c>
      <c r="X10370" t="s">
        <v>40451</v>
      </c>
    </row>
    <row r="10371" spans="1:24">
      <c r="A10371">
        <f>HYPERLINK("https://www.philgeps.gov.ph/GEPSNONPILOT/Tender/SplashBidNoticeAbstractUI.aspx?menuIndex=3&amp;refID=7029608&amp;Result=3","7029608")</f>
        <v>0</v>
      </c>
      <c r="B10371" t="s">
        <v>1612</v>
      </c>
      <c r="C10371" t="s">
        <v>12983</v>
      </c>
      <c r="D10371" t="s">
        <v>16232</v>
      </c>
      <c r="E10371" t="s">
        <v>25288</v>
      </c>
      <c r="F10371" t="s">
        <v>28198</v>
      </c>
      <c r="G10371" t="s">
        <v>28205</v>
      </c>
      <c r="H10371" t="s">
        <v>28215</v>
      </c>
      <c r="I10371" t="s">
        <v>28228</v>
      </c>
      <c r="J10371" t="s">
        <v>34764</v>
      </c>
      <c r="K10371" t="s">
        <v>36707</v>
      </c>
      <c r="M10371" t="s">
        <v>38699</v>
      </c>
      <c r="N10371" t="s">
        <v>40436</v>
      </c>
      <c r="O10371" t="s">
        <v>40437</v>
      </c>
      <c r="P10371">
        <v>0</v>
      </c>
      <c r="Q10371">
        <v>0</v>
      </c>
      <c r="R10371" t="s">
        <v>40450</v>
      </c>
      <c r="S10371" t="s">
        <v>40961</v>
      </c>
      <c r="T10371" t="s">
        <v>42234</v>
      </c>
      <c r="U10371" t="s">
        <v>51248</v>
      </c>
      <c r="W10371" t="s">
        <v>38699</v>
      </c>
      <c r="X10371" t="s">
        <v>40451</v>
      </c>
    </row>
    <row r="10372" spans="1:24">
      <c r="A10372">
        <f>HYPERLINK("https://www.philgeps.gov.ph/GEPSNONPILOT/Tender/SplashBidNoticeAbstractUI.aspx?menuIndex=3&amp;refID=7029580&amp;Result=3","7029580")</f>
        <v>0</v>
      </c>
      <c r="B10372" t="s">
        <v>2581</v>
      </c>
      <c r="C10372" t="s">
        <v>12984</v>
      </c>
      <c r="D10372" t="s">
        <v>16200</v>
      </c>
      <c r="E10372" t="s">
        <v>25289</v>
      </c>
      <c r="F10372" t="s">
        <v>28198</v>
      </c>
      <c r="G10372" t="s">
        <v>28208</v>
      </c>
      <c r="H10372" t="s">
        <v>28215</v>
      </c>
      <c r="I10372" t="s">
        <v>28225</v>
      </c>
      <c r="J10372" t="s">
        <v>34765</v>
      </c>
      <c r="K10372" t="s">
        <v>36707</v>
      </c>
      <c r="M10372" t="s">
        <v>39795</v>
      </c>
      <c r="N10372" t="s">
        <v>40436</v>
      </c>
      <c r="O10372" t="s">
        <v>40437</v>
      </c>
      <c r="P10372">
        <v>0</v>
      </c>
      <c r="Q10372">
        <v>5</v>
      </c>
      <c r="R10372" t="s">
        <v>40450</v>
      </c>
      <c r="S10372" t="s">
        <v>40961</v>
      </c>
      <c r="T10372" t="s">
        <v>42279</v>
      </c>
      <c r="U10372" t="s">
        <v>51249</v>
      </c>
      <c r="W10372" t="s">
        <v>39795</v>
      </c>
      <c r="X10372" t="s">
        <v>40451</v>
      </c>
    </row>
    <row r="10373" spans="1:24">
      <c r="A10373">
        <f>HYPERLINK("https://www.philgeps.gov.ph/GEPSNONPILOT/Tender/SplashBidNoticeAbstractUI.aspx?menuIndex=3&amp;refID=7029686&amp;Result=3","7029686")</f>
        <v>0</v>
      </c>
      <c r="B10373" t="s">
        <v>974</v>
      </c>
      <c r="C10373" t="s">
        <v>12985</v>
      </c>
      <c r="D10373" t="s">
        <v>16217</v>
      </c>
      <c r="E10373" t="s">
        <v>25290</v>
      </c>
      <c r="F10373" t="s">
        <v>28198</v>
      </c>
      <c r="G10373" t="s">
        <v>28205</v>
      </c>
      <c r="H10373" t="s">
        <v>28214</v>
      </c>
      <c r="I10373" t="s">
        <v>3797</v>
      </c>
      <c r="J10373" t="s">
        <v>28379</v>
      </c>
      <c r="K10373" t="s">
        <v>36692</v>
      </c>
      <c r="M10373" t="s">
        <v>38000</v>
      </c>
      <c r="N10373" t="s">
        <v>40436</v>
      </c>
      <c r="O10373" t="s">
        <v>40437</v>
      </c>
      <c r="P10373">
        <v>0</v>
      </c>
      <c r="Q10373">
        <v>1</v>
      </c>
      <c r="R10373" t="s">
        <v>40450</v>
      </c>
      <c r="S10373" t="s">
        <v>40961</v>
      </c>
      <c r="T10373" t="s">
        <v>42279</v>
      </c>
      <c r="U10373" t="s">
        <v>51250</v>
      </c>
      <c r="V10373" t="s">
        <v>54916</v>
      </c>
      <c r="W10373" t="s">
        <v>38000</v>
      </c>
      <c r="X10373" t="s">
        <v>40451</v>
      </c>
    </row>
    <row r="10374" spans="1:24">
      <c r="A10374">
        <f>HYPERLINK("https://www.philgeps.gov.ph/GEPSNONPILOT/Tender/SplashBidNoticeAbstractUI.aspx?menuIndex=3&amp;refID=7029583&amp;Result=3","7029583")</f>
        <v>0</v>
      </c>
      <c r="B10374" t="s">
        <v>2806</v>
      </c>
      <c r="C10374" t="s">
        <v>12429</v>
      </c>
      <c r="D10374" t="s">
        <v>16191</v>
      </c>
      <c r="E10374" t="s">
        <v>17230</v>
      </c>
      <c r="F10374" t="s">
        <v>28200</v>
      </c>
      <c r="G10374" t="s">
        <v>28205</v>
      </c>
      <c r="H10374" t="s">
        <v>28217</v>
      </c>
      <c r="I10374" t="s">
        <v>28274</v>
      </c>
      <c r="J10374" t="s">
        <v>34766</v>
      </c>
      <c r="K10374" t="s">
        <v>36723</v>
      </c>
      <c r="M10374" t="s">
        <v>40056</v>
      </c>
      <c r="N10374" t="s">
        <v>40436</v>
      </c>
      <c r="O10374" t="s">
        <v>40437</v>
      </c>
      <c r="P10374">
        <v>0</v>
      </c>
      <c r="Q10374">
        <v>0</v>
      </c>
      <c r="R10374" t="s">
        <v>40450</v>
      </c>
      <c r="S10374" t="s">
        <v>40961</v>
      </c>
      <c r="T10374" t="s">
        <v>42161</v>
      </c>
      <c r="U10374" t="s">
        <v>51251</v>
      </c>
      <c r="W10374" t="s">
        <v>40056</v>
      </c>
      <c r="X10374" t="s">
        <v>40451</v>
      </c>
    </row>
    <row r="10375" spans="1:24">
      <c r="A10375">
        <f>HYPERLINK("https://www.philgeps.gov.ph/GEPSNONPILOT/Tender/SplashBidNoticeAbstractUI.aspx?menuIndex=3&amp;refID=7029685&amp;Result=3","7029685")</f>
        <v>0</v>
      </c>
      <c r="B10375" t="s">
        <v>2702</v>
      </c>
      <c r="C10375" t="s">
        <v>12986</v>
      </c>
      <c r="D10375" t="s">
        <v>16190</v>
      </c>
      <c r="E10375" t="s">
        <v>25291</v>
      </c>
      <c r="F10375" t="s">
        <v>28198</v>
      </c>
      <c r="G10375" t="s">
        <v>28205</v>
      </c>
      <c r="H10375" t="s">
        <v>28215</v>
      </c>
      <c r="I10375" t="s">
        <v>5656</v>
      </c>
      <c r="J10375" t="s">
        <v>29900</v>
      </c>
      <c r="K10375" t="s">
        <v>36693</v>
      </c>
      <c r="M10375" t="s">
        <v>39943</v>
      </c>
      <c r="N10375" t="s">
        <v>40436</v>
      </c>
      <c r="O10375" t="s">
        <v>40437</v>
      </c>
      <c r="P10375">
        <v>0</v>
      </c>
      <c r="Q10375">
        <v>0</v>
      </c>
      <c r="R10375" t="s">
        <v>40450</v>
      </c>
      <c r="S10375" t="s">
        <v>40961</v>
      </c>
      <c r="T10375" t="s">
        <v>42134</v>
      </c>
      <c r="U10375" t="s">
        <v>51252</v>
      </c>
      <c r="W10375" t="s">
        <v>39943</v>
      </c>
      <c r="X10375" t="s">
        <v>40451</v>
      </c>
    </row>
    <row r="10376" spans="1:24">
      <c r="A10376">
        <f>HYPERLINK("https://www.philgeps.gov.ph/GEPSNONPILOT/Tender/SplashBidNoticeAbstractUI.aspx?menuIndex=3&amp;refID=7029651&amp;Result=3","7029651")</f>
        <v>0</v>
      </c>
      <c r="B10376" t="s">
        <v>702</v>
      </c>
      <c r="C10376" t="s">
        <v>12987</v>
      </c>
      <c r="D10376" t="s">
        <v>16211</v>
      </c>
      <c r="E10376" t="s">
        <v>25292</v>
      </c>
      <c r="F10376" t="s">
        <v>28198</v>
      </c>
      <c r="G10376" t="s">
        <v>28205</v>
      </c>
      <c r="H10376" t="s">
        <v>28214</v>
      </c>
      <c r="I10376" t="s">
        <v>3797</v>
      </c>
      <c r="J10376" t="s">
        <v>34767</v>
      </c>
      <c r="K10376" t="s">
        <v>36694</v>
      </c>
      <c r="M10376" t="s">
        <v>37702</v>
      </c>
      <c r="N10376" t="s">
        <v>40436</v>
      </c>
      <c r="O10376" t="s">
        <v>40437</v>
      </c>
      <c r="P10376">
        <v>0</v>
      </c>
      <c r="Q10376">
        <v>1</v>
      </c>
      <c r="R10376" t="s">
        <v>40450</v>
      </c>
      <c r="S10376" t="s">
        <v>40961</v>
      </c>
      <c r="T10376" t="s">
        <v>42188</v>
      </c>
      <c r="U10376" t="s">
        <v>51253</v>
      </c>
      <c r="W10376" t="s">
        <v>37702</v>
      </c>
      <c r="X10376" t="s">
        <v>40451</v>
      </c>
    </row>
    <row r="10377" spans="1:24">
      <c r="A10377">
        <f>HYPERLINK("https://www.philgeps.gov.ph/GEPSNONPILOT/Tender/SplashBidNoticeAbstractUI.aspx?menuIndex=3&amp;refID=7029637&amp;Result=3","7029637")</f>
        <v>0</v>
      </c>
      <c r="B10377" t="s">
        <v>2805</v>
      </c>
      <c r="C10377" t="s">
        <v>12988</v>
      </c>
      <c r="D10377" t="s">
        <v>16215</v>
      </c>
      <c r="E10377" t="s">
        <v>25293</v>
      </c>
      <c r="F10377" t="s">
        <v>28198</v>
      </c>
      <c r="G10377" t="s">
        <v>28205</v>
      </c>
      <c r="H10377" t="s">
        <v>28214</v>
      </c>
      <c r="I10377" t="s">
        <v>3797</v>
      </c>
      <c r="J10377" t="s">
        <v>34768</v>
      </c>
      <c r="K10377" t="s">
        <v>36755</v>
      </c>
      <c r="M10377" t="s">
        <v>40055</v>
      </c>
      <c r="N10377" t="s">
        <v>40436</v>
      </c>
      <c r="O10377" t="s">
        <v>40437</v>
      </c>
      <c r="P10377">
        <v>0</v>
      </c>
      <c r="Q10377">
        <v>5</v>
      </c>
      <c r="R10377" t="s">
        <v>40450</v>
      </c>
      <c r="S10377" t="s">
        <v>40961</v>
      </c>
      <c r="T10377" t="s">
        <v>42279</v>
      </c>
      <c r="U10377" t="s">
        <v>51242</v>
      </c>
      <c r="V10377" t="s">
        <v>54917</v>
      </c>
      <c r="W10377" t="s">
        <v>40055</v>
      </c>
      <c r="X10377" t="s">
        <v>40451</v>
      </c>
    </row>
    <row r="10378" spans="1:24">
      <c r="A10378">
        <f>HYPERLINK("https://www.philgeps.gov.ph/GEPSNONPILOT/Tender/SplashBidNoticeAbstractUI.aspx?menuIndex=3&amp;refID=7029594&amp;Result=3","7029594")</f>
        <v>0</v>
      </c>
      <c r="B10378" t="s">
        <v>740</v>
      </c>
      <c r="C10378" t="s">
        <v>12989</v>
      </c>
      <c r="D10378" t="s">
        <v>16189</v>
      </c>
      <c r="E10378" t="s">
        <v>25294</v>
      </c>
      <c r="F10378" t="s">
        <v>28198</v>
      </c>
      <c r="G10378" t="s">
        <v>28205</v>
      </c>
      <c r="H10378" t="s">
        <v>28214</v>
      </c>
      <c r="I10378" t="s">
        <v>3797</v>
      </c>
      <c r="J10378" t="s">
        <v>34769</v>
      </c>
      <c r="K10378" t="s">
        <v>36822</v>
      </c>
      <c r="M10378" t="s">
        <v>37743</v>
      </c>
      <c r="N10378" t="s">
        <v>40436</v>
      </c>
      <c r="O10378" t="s">
        <v>40437</v>
      </c>
      <c r="P10378">
        <v>0</v>
      </c>
      <c r="Q10378">
        <v>6</v>
      </c>
      <c r="R10378" t="s">
        <v>40450</v>
      </c>
      <c r="S10378" t="s">
        <v>40961</v>
      </c>
      <c r="T10378" t="s">
        <v>42113</v>
      </c>
      <c r="U10378" t="s">
        <v>44012</v>
      </c>
      <c r="W10378" t="s">
        <v>55458</v>
      </c>
      <c r="X10378" t="s">
        <v>40451</v>
      </c>
    </row>
    <row r="10379" spans="1:24">
      <c r="A10379">
        <f>HYPERLINK("https://www.philgeps.gov.ph/GEPSNONPILOT/Tender/SplashBidNoticeAbstractUI.aspx?menuIndex=3&amp;refID=7029634&amp;Result=3","7029634")</f>
        <v>0</v>
      </c>
      <c r="B10379" t="s">
        <v>2805</v>
      </c>
      <c r="C10379" t="s">
        <v>12990</v>
      </c>
      <c r="D10379" t="s">
        <v>16215</v>
      </c>
      <c r="E10379" t="s">
        <v>25295</v>
      </c>
      <c r="F10379" t="s">
        <v>28198</v>
      </c>
      <c r="G10379" t="s">
        <v>28205</v>
      </c>
      <c r="H10379" t="s">
        <v>28214</v>
      </c>
      <c r="I10379" t="s">
        <v>3797</v>
      </c>
      <c r="J10379" t="s">
        <v>34770</v>
      </c>
      <c r="K10379" t="s">
        <v>36823</v>
      </c>
      <c r="M10379" t="s">
        <v>40055</v>
      </c>
      <c r="N10379" t="s">
        <v>40436</v>
      </c>
      <c r="O10379" t="s">
        <v>40437</v>
      </c>
      <c r="P10379">
        <v>0</v>
      </c>
      <c r="Q10379">
        <v>4</v>
      </c>
      <c r="R10379" t="s">
        <v>40450</v>
      </c>
      <c r="S10379" t="s">
        <v>40961</v>
      </c>
      <c r="T10379" t="s">
        <v>42279</v>
      </c>
      <c r="U10379" t="s">
        <v>51242</v>
      </c>
      <c r="V10379" t="s">
        <v>54918</v>
      </c>
      <c r="W10379" t="s">
        <v>40055</v>
      </c>
      <c r="X10379" t="s">
        <v>40451</v>
      </c>
    </row>
    <row r="10380" spans="1:24">
      <c r="A10380">
        <f>HYPERLINK("https://www.philgeps.gov.ph/GEPSNONPILOT/Tender/SplashBidNoticeAbstractUI.aspx?menuIndex=3&amp;refID=7029682&amp;Result=3","7029682")</f>
        <v>0</v>
      </c>
      <c r="B10380" t="s">
        <v>2807</v>
      </c>
      <c r="C10380" t="s">
        <v>12991</v>
      </c>
      <c r="D10380" t="s">
        <v>16252</v>
      </c>
      <c r="E10380" t="s">
        <v>25296</v>
      </c>
      <c r="F10380" t="s">
        <v>28198</v>
      </c>
      <c r="G10380" t="s">
        <v>28205</v>
      </c>
      <c r="H10380" t="s">
        <v>28214</v>
      </c>
      <c r="I10380" t="s">
        <v>3797</v>
      </c>
      <c r="J10380" t="s">
        <v>34771</v>
      </c>
      <c r="K10380" t="s">
        <v>36690</v>
      </c>
      <c r="M10380" t="s">
        <v>40057</v>
      </c>
      <c r="N10380" t="s">
        <v>40436</v>
      </c>
      <c r="O10380" t="s">
        <v>40437</v>
      </c>
      <c r="P10380">
        <v>0</v>
      </c>
      <c r="Q10380">
        <v>7</v>
      </c>
      <c r="R10380" t="s">
        <v>40450</v>
      </c>
      <c r="S10380" t="s">
        <v>40961</v>
      </c>
      <c r="T10380" t="s">
        <v>42346</v>
      </c>
      <c r="U10380" t="s">
        <v>51254</v>
      </c>
      <c r="W10380" t="s">
        <v>40057</v>
      </c>
      <c r="X10380" t="s">
        <v>40451</v>
      </c>
    </row>
    <row r="10381" spans="1:24">
      <c r="A10381">
        <f>HYPERLINK("https://www.philgeps.gov.ph/GEPSNONPILOT/Tender/SplashBidNoticeAbstractUI.aspx?menuIndex=3&amp;refID=7029644&amp;Result=3","7029644")</f>
        <v>0</v>
      </c>
      <c r="B10381" t="s">
        <v>2805</v>
      </c>
      <c r="C10381" t="s">
        <v>12992</v>
      </c>
      <c r="D10381" t="s">
        <v>16215</v>
      </c>
      <c r="E10381" t="s">
        <v>25297</v>
      </c>
      <c r="F10381" t="s">
        <v>28198</v>
      </c>
      <c r="G10381" t="s">
        <v>28205</v>
      </c>
      <c r="H10381" t="s">
        <v>28214</v>
      </c>
      <c r="I10381" t="s">
        <v>3797</v>
      </c>
      <c r="J10381" t="s">
        <v>34772</v>
      </c>
      <c r="K10381" t="s">
        <v>36710</v>
      </c>
      <c r="M10381" t="s">
        <v>40055</v>
      </c>
      <c r="N10381" t="s">
        <v>40436</v>
      </c>
      <c r="O10381" t="s">
        <v>40437</v>
      </c>
      <c r="P10381">
        <v>0</v>
      </c>
      <c r="Q10381">
        <v>8</v>
      </c>
      <c r="R10381" t="s">
        <v>40450</v>
      </c>
      <c r="S10381" t="s">
        <v>40961</v>
      </c>
      <c r="T10381" t="s">
        <v>42279</v>
      </c>
      <c r="U10381" t="s">
        <v>51242</v>
      </c>
      <c r="V10381" t="s">
        <v>54919</v>
      </c>
      <c r="W10381" t="s">
        <v>40055</v>
      </c>
      <c r="X10381" t="s">
        <v>40451</v>
      </c>
    </row>
    <row r="10382" spans="1:24">
      <c r="A10382">
        <f>HYPERLINK("https://www.philgeps.gov.ph/GEPSNONPILOT/Tender/SplashBidNoticeAbstractUI.aspx?menuIndex=3&amp;refID=7029698&amp;Result=3","7029698")</f>
        <v>0</v>
      </c>
      <c r="B10382" t="s">
        <v>2702</v>
      </c>
      <c r="C10382" t="s">
        <v>12993</v>
      </c>
      <c r="D10382" t="s">
        <v>16190</v>
      </c>
      <c r="E10382" t="s">
        <v>25291</v>
      </c>
      <c r="F10382" t="s">
        <v>28198</v>
      </c>
      <c r="G10382" t="s">
        <v>28205</v>
      </c>
      <c r="H10382" t="s">
        <v>28215</v>
      </c>
      <c r="I10382" t="s">
        <v>5656</v>
      </c>
      <c r="J10382" t="s">
        <v>29900</v>
      </c>
      <c r="K10382" t="s">
        <v>36693</v>
      </c>
      <c r="M10382" t="s">
        <v>39943</v>
      </c>
      <c r="N10382" t="s">
        <v>40436</v>
      </c>
      <c r="O10382" t="s">
        <v>40437</v>
      </c>
      <c r="P10382">
        <v>0</v>
      </c>
      <c r="Q10382">
        <v>0</v>
      </c>
      <c r="R10382" t="s">
        <v>40450</v>
      </c>
      <c r="S10382" t="s">
        <v>40961</v>
      </c>
      <c r="T10382" t="s">
        <v>42134</v>
      </c>
      <c r="U10382" t="s">
        <v>51255</v>
      </c>
      <c r="W10382" t="s">
        <v>39943</v>
      </c>
      <c r="X10382" t="s">
        <v>40451</v>
      </c>
    </row>
    <row r="10383" spans="1:24">
      <c r="A10383">
        <f>HYPERLINK("https://www.philgeps.gov.ph/GEPSNONPILOT/Tender/SplashBidNoticeAbstractUI.aspx?menuIndex=3&amp;refID=7029584&amp;Result=3","7029584")</f>
        <v>0</v>
      </c>
      <c r="B10383" t="s">
        <v>740</v>
      </c>
      <c r="C10383" t="s">
        <v>12994</v>
      </c>
      <c r="D10383" t="s">
        <v>16189</v>
      </c>
      <c r="E10383" t="s">
        <v>25298</v>
      </c>
      <c r="F10383" t="s">
        <v>28198</v>
      </c>
      <c r="G10383" t="s">
        <v>28205</v>
      </c>
      <c r="H10383" t="s">
        <v>28214</v>
      </c>
      <c r="I10383" t="s">
        <v>3797</v>
      </c>
      <c r="J10383" t="s">
        <v>34773</v>
      </c>
      <c r="K10383" t="s">
        <v>36709</v>
      </c>
      <c r="M10383" t="s">
        <v>37743</v>
      </c>
      <c r="N10383" t="s">
        <v>40436</v>
      </c>
      <c r="O10383" t="s">
        <v>40437</v>
      </c>
      <c r="P10383">
        <v>0</v>
      </c>
      <c r="Q10383">
        <v>6</v>
      </c>
      <c r="R10383" t="s">
        <v>40450</v>
      </c>
      <c r="S10383" t="s">
        <v>40961</v>
      </c>
      <c r="T10383" t="s">
        <v>42205</v>
      </c>
      <c r="U10383" t="s">
        <v>51256</v>
      </c>
      <c r="W10383" t="s">
        <v>55458</v>
      </c>
      <c r="X10383" t="s">
        <v>40451</v>
      </c>
    </row>
    <row r="10384" spans="1:24">
      <c r="A10384">
        <f>HYPERLINK("https://www.philgeps.gov.ph/GEPSNONPILOT/Tender/SplashBidNoticeAbstractUI.aspx?menuIndex=3&amp;refID=7029754&amp;Result=3","7029754")</f>
        <v>0</v>
      </c>
      <c r="B10384" t="s">
        <v>1730</v>
      </c>
      <c r="C10384" t="s">
        <v>12995</v>
      </c>
      <c r="E10384" t="s">
        <v>25299</v>
      </c>
      <c r="F10384" t="s">
        <v>28198</v>
      </c>
      <c r="G10384" t="s">
        <v>28205</v>
      </c>
      <c r="H10384" t="s">
        <v>28215</v>
      </c>
      <c r="I10384" t="s">
        <v>4168</v>
      </c>
      <c r="J10384" t="s">
        <v>28921</v>
      </c>
      <c r="K10384" t="s">
        <v>36715</v>
      </c>
      <c r="M10384" t="s">
        <v>38840</v>
      </c>
      <c r="N10384" t="s">
        <v>40436</v>
      </c>
      <c r="O10384" t="s">
        <v>40437</v>
      </c>
      <c r="P10384">
        <v>0</v>
      </c>
      <c r="Q10384">
        <v>10</v>
      </c>
      <c r="R10384" t="s">
        <v>40450</v>
      </c>
      <c r="S10384" t="s">
        <v>40961</v>
      </c>
      <c r="T10384" t="s">
        <v>42557</v>
      </c>
      <c r="U10384" t="s">
        <v>51257</v>
      </c>
      <c r="W10384" t="s">
        <v>38840</v>
      </c>
      <c r="X10384" t="s">
        <v>40451</v>
      </c>
    </row>
    <row r="10385" spans="1:24">
      <c r="A10385">
        <f>HYPERLINK("https://www.philgeps.gov.ph/GEPSNONPILOT/Tender/SplashBidNoticeAbstractUI.aspx?menuIndex=3&amp;refID=7029574&amp;Result=3","7029574")</f>
        <v>0</v>
      </c>
      <c r="B10385" t="s">
        <v>2087</v>
      </c>
      <c r="C10385" t="s">
        <v>12996</v>
      </c>
      <c r="D10385" t="s">
        <v>16191</v>
      </c>
      <c r="E10385" t="s">
        <v>25300</v>
      </c>
      <c r="F10385" t="s">
        <v>28198</v>
      </c>
      <c r="G10385" t="s">
        <v>28205</v>
      </c>
      <c r="H10385" t="s">
        <v>28214</v>
      </c>
      <c r="I10385" t="s">
        <v>3797</v>
      </c>
      <c r="J10385" t="s">
        <v>34774</v>
      </c>
      <c r="K10385" t="s">
        <v>36731</v>
      </c>
      <c r="M10385" t="s">
        <v>39236</v>
      </c>
      <c r="N10385" t="s">
        <v>40436</v>
      </c>
      <c r="O10385" t="s">
        <v>40437</v>
      </c>
      <c r="P10385">
        <v>0</v>
      </c>
      <c r="Q10385">
        <v>18</v>
      </c>
      <c r="R10385" t="s">
        <v>40450</v>
      </c>
      <c r="S10385" t="s">
        <v>40961</v>
      </c>
      <c r="T10385" t="s">
        <v>42188</v>
      </c>
      <c r="U10385" t="s">
        <v>48148</v>
      </c>
      <c r="V10385" t="s">
        <v>54469</v>
      </c>
      <c r="W10385" t="s">
        <v>39236</v>
      </c>
      <c r="X10385" t="s">
        <v>40451</v>
      </c>
    </row>
    <row r="10386" spans="1:24">
      <c r="A10386">
        <f>HYPERLINK("https://www.philgeps.gov.ph/GEPSNONPILOT/Tender/SplashBidNoticeAbstractUI.aspx?menuIndex=3&amp;refID=7029761&amp;Result=3","7029761")</f>
        <v>0</v>
      </c>
      <c r="B10386" t="s">
        <v>1730</v>
      </c>
      <c r="C10386" t="s">
        <v>12997</v>
      </c>
      <c r="E10386" t="s">
        <v>25301</v>
      </c>
      <c r="F10386" t="s">
        <v>28198</v>
      </c>
      <c r="G10386" t="s">
        <v>28205</v>
      </c>
      <c r="H10386" t="s">
        <v>28215</v>
      </c>
      <c r="I10386" t="s">
        <v>28247</v>
      </c>
      <c r="J10386" t="s">
        <v>34123</v>
      </c>
      <c r="K10386" t="s">
        <v>36715</v>
      </c>
      <c r="M10386" t="s">
        <v>38840</v>
      </c>
      <c r="N10386" t="s">
        <v>40436</v>
      </c>
      <c r="O10386" t="s">
        <v>40437</v>
      </c>
      <c r="P10386">
        <v>0</v>
      </c>
      <c r="Q10386">
        <v>30</v>
      </c>
      <c r="R10386" t="s">
        <v>40450</v>
      </c>
      <c r="S10386" t="s">
        <v>40961</v>
      </c>
      <c r="T10386" t="s">
        <v>42117</v>
      </c>
      <c r="U10386" t="s">
        <v>51258</v>
      </c>
      <c r="W10386" t="s">
        <v>38840</v>
      </c>
      <c r="X10386" t="s">
        <v>40451</v>
      </c>
    </row>
    <row r="10387" spans="1:24">
      <c r="A10387">
        <f>HYPERLINK("https://www.philgeps.gov.ph/GEPSNONPILOT/Tender/SplashBidNoticeAbstractUI.aspx?menuIndex=3&amp;refID=7029752&amp;Result=3","7029752")</f>
        <v>0</v>
      </c>
      <c r="B10387" t="s">
        <v>1730</v>
      </c>
      <c r="C10387" t="s">
        <v>12998</v>
      </c>
      <c r="E10387" t="s">
        <v>25302</v>
      </c>
      <c r="F10387" t="s">
        <v>28198</v>
      </c>
      <c r="G10387" t="s">
        <v>28205</v>
      </c>
      <c r="H10387" t="s">
        <v>28215</v>
      </c>
      <c r="I10387" t="s">
        <v>4168</v>
      </c>
      <c r="J10387" t="s">
        <v>31789</v>
      </c>
      <c r="K10387" t="s">
        <v>36715</v>
      </c>
      <c r="M10387" t="s">
        <v>38840</v>
      </c>
      <c r="N10387" t="s">
        <v>40436</v>
      </c>
      <c r="O10387" t="s">
        <v>40437</v>
      </c>
      <c r="P10387">
        <v>0</v>
      </c>
      <c r="Q10387">
        <v>4</v>
      </c>
      <c r="R10387" t="s">
        <v>40450</v>
      </c>
      <c r="S10387" t="s">
        <v>40961</v>
      </c>
      <c r="T10387" t="s">
        <v>42552</v>
      </c>
      <c r="U10387" t="s">
        <v>51259</v>
      </c>
      <c r="W10387" t="s">
        <v>38840</v>
      </c>
      <c r="X10387" t="s">
        <v>40451</v>
      </c>
    </row>
    <row r="10388" spans="1:24">
      <c r="A10388">
        <f>HYPERLINK("https://www.philgeps.gov.ph/GEPSNONPILOT/Tender/SplashBidNoticeAbstractUI.aspx?menuIndex=3&amp;refID=7029687&amp;Result=3","7029687")</f>
        <v>0</v>
      </c>
      <c r="B10388" t="s">
        <v>1730</v>
      </c>
      <c r="C10388" t="s">
        <v>12999</v>
      </c>
      <c r="E10388" t="s">
        <v>25303</v>
      </c>
      <c r="F10388" t="s">
        <v>28198</v>
      </c>
      <c r="G10388" t="s">
        <v>28205</v>
      </c>
      <c r="H10388" t="s">
        <v>28215</v>
      </c>
      <c r="I10388" t="s">
        <v>28226</v>
      </c>
      <c r="J10388" t="s">
        <v>34775</v>
      </c>
      <c r="K10388" t="s">
        <v>36694</v>
      </c>
      <c r="M10388" t="s">
        <v>38840</v>
      </c>
      <c r="N10388" t="s">
        <v>40436</v>
      </c>
      <c r="O10388" t="s">
        <v>40437</v>
      </c>
      <c r="Q10388">
        <v>8</v>
      </c>
      <c r="R10388" t="s">
        <v>40450</v>
      </c>
      <c r="S10388" t="s">
        <v>41003</v>
      </c>
      <c r="T10388" t="s">
        <v>42138</v>
      </c>
      <c r="U10388" t="s">
        <v>51260</v>
      </c>
      <c r="W10388" t="s">
        <v>38840</v>
      </c>
      <c r="X10388" t="s">
        <v>40451</v>
      </c>
    </row>
    <row r="10389" spans="1:24">
      <c r="A10389">
        <f>HYPERLINK("https://www.philgeps.gov.ph/GEPSNONPILOT/Tender/SplashBidNoticeAbstractUI.aspx?menuIndex=3&amp;refID=7029747&amp;Result=3","7029747")</f>
        <v>0</v>
      </c>
      <c r="B10389" t="s">
        <v>1730</v>
      </c>
      <c r="C10389" t="s">
        <v>13000</v>
      </c>
      <c r="E10389" t="s">
        <v>25304</v>
      </c>
      <c r="F10389" t="s">
        <v>28198</v>
      </c>
      <c r="G10389" t="s">
        <v>28205</v>
      </c>
      <c r="H10389" t="s">
        <v>28215</v>
      </c>
      <c r="I10389" t="s">
        <v>28247</v>
      </c>
      <c r="J10389" t="s">
        <v>34776</v>
      </c>
      <c r="K10389" t="s">
        <v>36715</v>
      </c>
      <c r="M10389" t="s">
        <v>38840</v>
      </c>
      <c r="N10389" t="s">
        <v>40436</v>
      </c>
      <c r="O10389" t="s">
        <v>40437</v>
      </c>
      <c r="P10389">
        <v>0</v>
      </c>
      <c r="Q10389">
        <v>6</v>
      </c>
      <c r="R10389" t="s">
        <v>40450</v>
      </c>
      <c r="S10389" t="s">
        <v>40961</v>
      </c>
      <c r="T10389" t="s">
        <v>42558</v>
      </c>
      <c r="U10389" t="s">
        <v>51261</v>
      </c>
      <c r="W10389" t="s">
        <v>38840</v>
      </c>
      <c r="X10389" t="s">
        <v>40451</v>
      </c>
    </row>
    <row r="10390" spans="1:24">
      <c r="A10390">
        <f>HYPERLINK("https://www.philgeps.gov.ph/GEPSNONPILOT/Tender/SplashBidNoticeAbstractUI.aspx?menuIndex=3&amp;refID=7029720&amp;Result=3","7029720")</f>
        <v>0</v>
      </c>
      <c r="B10390" t="s">
        <v>2702</v>
      </c>
      <c r="C10390" t="s">
        <v>13001</v>
      </c>
      <c r="D10390" t="s">
        <v>16190</v>
      </c>
      <c r="E10390" t="s">
        <v>25305</v>
      </c>
      <c r="F10390" t="s">
        <v>28198</v>
      </c>
      <c r="G10390" t="s">
        <v>28205</v>
      </c>
      <c r="H10390" t="s">
        <v>28215</v>
      </c>
      <c r="I10390" t="s">
        <v>5656</v>
      </c>
      <c r="J10390" t="s">
        <v>28884</v>
      </c>
      <c r="K10390" t="s">
        <v>36693</v>
      </c>
      <c r="M10390" t="s">
        <v>39943</v>
      </c>
      <c r="N10390" t="s">
        <v>40436</v>
      </c>
      <c r="O10390" t="s">
        <v>40437</v>
      </c>
      <c r="P10390">
        <v>0</v>
      </c>
      <c r="Q10390">
        <v>0</v>
      </c>
      <c r="R10390" t="s">
        <v>40450</v>
      </c>
      <c r="S10390" t="s">
        <v>40961</v>
      </c>
      <c r="T10390" t="s">
        <v>42134</v>
      </c>
      <c r="U10390" t="s">
        <v>51262</v>
      </c>
      <c r="W10390" t="s">
        <v>39943</v>
      </c>
      <c r="X10390" t="s">
        <v>40451</v>
      </c>
    </row>
    <row r="10391" spans="1:24">
      <c r="A10391">
        <f>HYPERLINK("https://www.philgeps.gov.ph/GEPSNONPILOT/Tender/SplashBidNoticeAbstractUI.aspx?menuIndex=3&amp;refID=7029727&amp;Result=3","7029727")</f>
        <v>0</v>
      </c>
      <c r="B10391" t="s">
        <v>1730</v>
      </c>
      <c r="C10391" t="s">
        <v>13002</v>
      </c>
      <c r="E10391" t="s">
        <v>25306</v>
      </c>
      <c r="F10391" t="s">
        <v>28198</v>
      </c>
      <c r="G10391" t="s">
        <v>28205</v>
      </c>
      <c r="H10391" t="s">
        <v>28215</v>
      </c>
      <c r="I10391" t="s">
        <v>28247</v>
      </c>
      <c r="J10391" t="s">
        <v>34777</v>
      </c>
      <c r="K10391" t="s">
        <v>36715</v>
      </c>
      <c r="M10391" t="s">
        <v>38840</v>
      </c>
      <c r="N10391" t="s">
        <v>40436</v>
      </c>
      <c r="O10391" t="s">
        <v>40437</v>
      </c>
      <c r="P10391">
        <v>0</v>
      </c>
      <c r="Q10391">
        <v>8</v>
      </c>
      <c r="R10391" t="s">
        <v>40450</v>
      </c>
      <c r="S10391" t="s">
        <v>40961</v>
      </c>
      <c r="T10391" t="s">
        <v>42109</v>
      </c>
      <c r="U10391" t="s">
        <v>51263</v>
      </c>
      <c r="W10391" t="s">
        <v>38840</v>
      </c>
      <c r="X10391" t="s">
        <v>40451</v>
      </c>
    </row>
    <row r="10392" spans="1:24">
      <c r="A10392">
        <f>HYPERLINK("https://www.philgeps.gov.ph/GEPSNONPILOT/Tender/SplashBidNoticeAbstractUI.aspx?menuIndex=3&amp;refID=7029785&amp;Result=3","7029785")</f>
        <v>0</v>
      </c>
      <c r="B10392" t="s">
        <v>1730</v>
      </c>
      <c r="C10392" t="s">
        <v>13003</v>
      </c>
      <c r="D10392" t="s">
        <v>16190</v>
      </c>
      <c r="E10392" t="s">
        <v>25307</v>
      </c>
      <c r="F10392" t="s">
        <v>28198</v>
      </c>
      <c r="G10392" t="s">
        <v>28205</v>
      </c>
      <c r="H10392" t="s">
        <v>28214</v>
      </c>
      <c r="I10392" t="s">
        <v>3797</v>
      </c>
      <c r="J10392" t="s">
        <v>28347</v>
      </c>
      <c r="K10392" t="s">
        <v>36717</v>
      </c>
      <c r="M10392" t="s">
        <v>38840</v>
      </c>
      <c r="N10392" t="s">
        <v>40436</v>
      </c>
      <c r="O10392" t="s">
        <v>40437</v>
      </c>
      <c r="Q10392">
        <v>3</v>
      </c>
      <c r="R10392" t="s">
        <v>40450</v>
      </c>
      <c r="S10392" t="s">
        <v>41004</v>
      </c>
      <c r="T10392" t="s">
        <v>42241</v>
      </c>
      <c r="U10392" t="s">
        <v>51264</v>
      </c>
      <c r="W10392" t="s">
        <v>38840</v>
      </c>
      <c r="X10392" t="s">
        <v>40451</v>
      </c>
    </row>
    <row r="10393" spans="1:24">
      <c r="A10393">
        <f>HYPERLINK("https://www.philgeps.gov.ph/GEPSNONPILOT/Tender/SplashBidNoticeAbstractUI.aspx?menuIndex=3&amp;refID=7029730&amp;Result=3","7029730")</f>
        <v>0</v>
      </c>
      <c r="B10393" t="s">
        <v>1730</v>
      </c>
      <c r="C10393" t="s">
        <v>13004</v>
      </c>
      <c r="E10393" t="s">
        <v>25308</v>
      </c>
      <c r="F10393" t="s">
        <v>28198</v>
      </c>
      <c r="G10393" t="s">
        <v>28205</v>
      </c>
      <c r="H10393" t="s">
        <v>28215</v>
      </c>
      <c r="I10393" t="s">
        <v>28247</v>
      </c>
      <c r="J10393" t="s">
        <v>28379</v>
      </c>
      <c r="K10393" t="s">
        <v>36694</v>
      </c>
      <c r="M10393" t="s">
        <v>38840</v>
      </c>
      <c r="N10393" t="s">
        <v>40436</v>
      </c>
      <c r="O10393" t="s">
        <v>40437</v>
      </c>
      <c r="P10393">
        <v>0</v>
      </c>
      <c r="Q10393">
        <v>26</v>
      </c>
      <c r="R10393" t="s">
        <v>40450</v>
      </c>
      <c r="S10393" t="s">
        <v>40961</v>
      </c>
      <c r="T10393" t="s">
        <v>42145</v>
      </c>
      <c r="U10393" t="s">
        <v>51265</v>
      </c>
      <c r="W10393" t="s">
        <v>38840</v>
      </c>
      <c r="X10393" t="s">
        <v>40451</v>
      </c>
    </row>
    <row r="10394" spans="1:24">
      <c r="A10394">
        <f>HYPERLINK("https://www.philgeps.gov.ph/GEPSNONPILOT/Tender/SplashBidNoticeAbstractUI.aspx?menuIndex=3&amp;refID=7029764&amp;Result=3","7029764")</f>
        <v>0</v>
      </c>
      <c r="B10394" t="s">
        <v>1730</v>
      </c>
      <c r="C10394" t="s">
        <v>13005</v>
      </c>
      <c r="E10394" t="s">
        <v>25309</v>
      </c>
      <c r="F10394" t="s">
        <v>28198</v>
      </c>
      <c r="G10394" t="s">
        <v>28205</v>
      </c>
      <c r="H10394" t="s">
        <v>28215</v>
      </c>
      <c r="I10394" t="s">
        <v>28247</v>
      </c>
      <c r="J10394" t="s">
        <v>31789</v>
      </c>
      <c r="K10394" t="s">
        <v>36715</v>
      </c>
      <c r="M10394" t="s">
        <v>38840</v>
      </c>
      <c r="N10394" t="s">
        <v>40436</v>
      </c>
      <c r="O10394" t="s">
        <v>40437</v>
      </c>
      <c r="P10394">
        <v>0</v>
      </c>
      <c r="Q10394">
        <v>14</v>
      </c>
      <c r="R10394" t="s">
        <v>40450</v>
      </c>
      <c r="S10394" t="s">
        <v>40961</v>
      </c>
      <c r="T10394" t="s">
        <v>42559</v>
      </c>
      <c r="U10394" t="s">
        <v>51266</v>
      </c>
      <c r="W10394" t="s">
        <v>38840</v>
      </c>
      <c r="X10394" t="s">
        <v>40451</v>
      </c>
    </row>
    <row r="10395" spans="1:24">
      <c r="A10395">
        <f>HYPERLINK("https://www.philgeps.gov.ph/GEPSNONPILOT/Tender/SplashBidNoticeAbstractUI.aspx?menuIndex=3&amp;refID=7029738&amp;Result=3","7029738")</f>
        <v>0</v>
      </c>
      <c r="B10395" t="s">
        <v>1730</v>
      </c>
      <c r="C10395" t="s">
        <v>13006</v>
      </c>
      <c r="E10395" t="s">
        <v>25310</v>
      </c>
      <c r="F10395" t="s">
        <v>28198</v>
      </c>
      <c r="G10395" t="s">
        <v>28205</v>
      </c>
      <c r="H10395" t="s">
        <v>28215</v>
      </c>
      <c r="I10395" t="s">
        <v>28226</v>
      </c>
      <c r="J10395" t="s">
        <v>34778</v>
      </c>
      <c r="K10395" t="s">
        <v>36694</v>
      </c>
      <c r="M10395" t="s">
        <v>38840</v>
      </c>
      <c r="N10395" t="s">
        <v>40436</v>
      </c>
      <c r="O10395" t="s">
        <v>40437</v>
      </c>
      <c r="P10395">
        <v>0</v>
      </c>
      <c r="Q10395">
        <v>9</v>
      </c>
      <c r="R10395" t="s">
        <v>40450</v>
      </c>
      <c r="S10395" t="s">
        <v>40961</v>
      </c>
      <c r="T10395" t="s">
        <v>42236</v>
      </c>
      <c r="U10395" t="s">
        <v>51267</v>
      </c>
      <c r="W10395" t="s">
        <v>38840</v>
      </c>
      <c r="X10395" t="s">
        <v>40451</v>
      </c>
    </row>
    <row r="10396" spans="1:24">
      <c r="A10396">
        <f>HYPERLINK("https://www.philgeps.gov.ph/GEPSNONPILOT/Tender/SplashBidNoticeAbstractUI.aspx?menuIndex=3&amp;refID=7029763&amp;Result=3","7029763")</f>
        <v>0</v>
      </c>
      <c r="B10396" t="s">
        <v>2808</v>
      </c>
      <c r="C10396" t="s">
        <v>13007</v>
      </c>
      <c r="D10396" t="s">
        <v>16213</v>
      </c>
      <c r="E10396" t="s">
        <v>25311</v>
      </c>
      <c r="F10396" t="s">
        <v>28198</v>
      </c>
      <c r="G10396" t="s">
        <v>28205</v>
      </c>
      <c r="H10396" t="s">
        <v>28214</v>
      </c>
      <c r="I10396" t="s">
        <v>3797</v>
      </c>
      <c r="J10396" t="s">
        <v>34779</v>
      </c>
      <c r="K10396" t="s">
        <v>36694</v>
      </c>
      <c r="M10396" t="s">
        <v>40058</v>
      </c>
      <c r="N10396" t="s">
        <v>40436</v>
      </c>
      <c r="O10396" t="s">
        <v>40437</v>
      </c>
      <c r="P10396">
        <v>0</v>
      </c>
      <c r="Q10396">
        <v>1</v>
      </c>
      <c r="R10396" t="s">
        <v>40450</v>
      </c>
      <c r="S10396" t="s">
        <v>40961</v>
      </c>
      <c r="T10396" t="s">
        <v>42134</v>
      </c>
      <c r="U10396" t="s">
        <v>51268</v>
      </c>
      <c r="W10396" t="s">
        <v>40058</v>
      </c>
      <c r="X10396" t="s">
        <v>40451</v>
      </c>
    </row>
    <row r="10397" spans="1:24">
      <c r="A10397">
        <f>HYPERLINK("https://www.philgeps.gov.ph/GEPSNONPILOT/Tender/SplashBidNoticeAbstractUI.aspx?menuIndex=3&amp;refID=7029719&amp;Result=3","7029719")</f>
        <v>0</v>
      </c>
      <c r="B10397" t="s">
        <v>1730</v>
      </c>
      <c r="C10397" t="s">
        <v>13008</v>
      </c>
      <c r="E10397" t="s">
        <v>25312</v>
      </c>
      <c r="F10397" t="s">
        <v>28198</v>
      </c>
      <c r="G10397" t="s">
        <v>28205</v>
      </c>
      <c r="H10397" t="s">
        <v>28215</v>
      </c>
      <c r="I10397" t="s">
        <v>28247</v>
      </c>
      <c r="J10397" t="s">
        <v>34780</v>
      </c>
      <c r="K10397" t="s">
        <v>36694</v>
      </c>
      <c r="M10397" t="s">
        <v>38840</v>
      </c>
      <c r="N10397" t="s">
        <v>40436</v>
      </c>
      <c r="O10397" t="s">
        <v>40437</v>
      </c>
      <c r="P10397">
        <v>0</v>
      </c>
      <c r="Q10397">
        <v>14</v>
      </c>
      <c r="R10397" t="s">
        <v>40450</v>
      </c>
      <c r="S10397" t="s">
        <v>40961</v>
      </c>
      <c r="T10397" t="s">
        <v>42165</v>
      </c>
      <c r="U10397" t="s">
        <v>51269</v>
      </c>
      <c r="W10397" t="s">
        <v>38840</v>
      </c>
      <c r="X10397" t="s">
        <v>40451</v>
      </c>
    </row>
    <row r="10398" spans="1:24">
      <c r="A10398">
        <f>HYPERLINK("https://www.philgeps.gov.ph/GEPSNONPILOT/Tender/SplashBidNoticeAbstractUI.aspx?menuIndex=3&amp;refID=7029709&amp;Result=3","7029709")</f>
        <v>0</v>
      </c>
      <c r="B10398" t="s">
        <v>974</v>
      </c>
      <c r="C10398" t="s">
        <v>13009</v>
      </c>
      <c r="D10398" t="s">
        <v>16217</v>
      </c>
      <c r="E10398" t="s">
        <v>25313</v>
      </c>
      <c r="F10398" t="s">
        <v>28198</v>
      </c>
      <c r="G10398" t="s">
        <v>28205</v>
      </c>
      <c r="H10398" t="s">
        <v>28215</v>
      </c>
      <c r="I10398" t="s">
        <v>28224</v>
      </c>
      <c r="J10398" t="s">
        <v>34781</v>
      </c>
      <c r="K10398" t="s">
        <v>36707</v>
      </c>
      <c r="M10398" t="s">
        <v>38000</v>
      </c>
      <c r="N10398" t="s">
        <v>40436</v>
      </c>
      <c r="O10398" t="s">
        <v>40437</v>
      </c>
      <c r="P10398">
        <v>0</v>
      </c>
      <c r="Q10398">
        <v>2</v>
      </c>
      <c r="R10398" t="s">
        <v>40450</v>
      </c>
      <c r="S10398" t="s">
        <v>40961</v>
      </c>
      <c r="T10398" t="s">
        <v>42279</v>
      </c>
      <c r="U10398" t="s">
        <v>51270</v>
      </c>
      <c r="V10398" t="s">
        <v>54920</v>
      </c>
      <c r="W10398" t="s">
        <v>38000</v>
      </c>
      <c r="X10398" t="s">
        <v>40451</v>
      </c>
    </row>
    <row r="10399" spans="1:24">
      <c r="A10399">
        <f>HYPERLINK("https://www.philgeps.gov.ph/GEPSNONPILOT/Tender/SplashBidNoticeAbstractUI.aspx?menuIndex=3&amp;refID=7029771&amp;Result=3","7029771")</f>
        <v>0</v>
      </c>
      <c r="B10399" t="s">
        <v>1730</v>
      </c>
      <c r="C10399" t="s">
        <v>13010</v>
      </c>
      <c r="D10399" t="s">
        <v>16188</v>
      </c>
      <c r="E10399" t="s">
        <v>25314</v>
      </c>
      <c r="F10399" t="s">
        <v>28198</v>
      </c>
      <c r="G10399" t="s">
        <v>28205</v>
      </c>
      <c r="H10399" t="s">
        <v>28214</v>
      </c>
      <c r="I10399" t="s">
        <v>3797</v>
      </c>
      <c r="J10399" t="s">
        <v>29113</v>
      </c>
      <c r="K10399" t="s">
        <v>36697</v>
      </c>
      <c r="M10399" t="s">
        <v>38840</v>
      </c>
      <c r="N10399" t="s">
        <v>40436</v>
      </c>
      <c r="O10399" t="s">
        <v>40437</v>
      </c>
      <c r="P10399">
        <v>0</v>
      </c>
      <c r="Q10399">
        <v>7</v>
      </c>
      <c r="R10399" t="s">
        <v>40450</v>
      </c>
      <c r="S10399" t="s">
        <v>40961</v>
      </c>
      <c r="T10399" t="s">
        <v>42107</v>
      </c>
      <c r="U10399" t="s">
        <v>51271</v>
      </c>
      <c r="W10399" t="s">
        <v>38840</v>
      </c>
      <c r="X10399" t="s">
        <v>40451</v>
      </c>
    </row>
    <row r="10400" spans="1:24">
      <c r="A10400">
        <f>HYPERLINK("https://www.philgeps.gov.ph/GEPSNONPILOT/Tender/SplashBidNoticeAbstractUI.aspx?menuIndex=3&amp;refID=7029714&amp;Result=3","7029714")</f>
        <v>0</v>
      </c>
      <c r="B10400" t="s">
        <v>2702</v>
      </c>
      <c r="C10400" t="s">
        <v>13011</v>
      </c>
      <c r="D10400" t="s">
        <v>16190</v>
      </c>
      <c r="E10400" t="s">
        <v>25315</v>
      </c>
      <c r="F10400" t="s">
        <v>28198</v>
      </c>
      <c r="G10400" t="s">
        <v>28205</v>
      </c>
      <c r="H10400" t="s">
        <v>28215</v>
      </c>
      <c r="I10400" t="s">
        <v>5100</v>
      </c>
      <c r="J10400" t="s">
        <v>34782</v>
      </c>
      <c r="K10400" t="s">
        <v>36693</v>
      </c>
      <c r="M10400" t="s">
        <v>39943</v>
      </c>
      <c r="N10400" t="s">
        <v>40436</v>
      </c>
      <c r="O10400" t="s">
        <v>40437</v>
      </c>
      <c r="P10400">
        <v>0</v>
      </c>
      <c r="Q10400">
        <v>0</v>
      </c>
      <c r="R10400" t="s">
        <v>40450</v>
      </c>
      <c r="S10400" t="s">
        <v>40961</v>
      </c>
      <c r="T10400" t="s">
        <v>42102</v>
      </c>
      <c r="U10400" t="s">
        <v>51272</v>
      </c>
      <c r="W10400" t="s">
        <v>39943</v>
      </c>
      <c r="X10400" t="s">
        <v>40451</v>
      </c>
    </row>
    <row r="10401" spans="1:24">
      <c r="A10401">
        <f>HYPERLINK("https://www.philgeps.gov.ph/GEPSNONPILOT/Tender/SplashBidNoticeAbstractUI.aspx?menuIndex=3&amp;refID=7029712&amp;Result=3","7029712")</f>
        <v>0</v>
      </c>
      <c r="B10401" t="s">
        <v>2807</v>
      </c>
      <c r="C10401" t="s">
        <v>13012</v>
      </c>
      <c r="D10401" t="s">
        <v>16252</v>
      </c>
      <c r="E10401" t="s">
        <v>25316</v>
      </c>
      <c r="F10401" t="s">
        <v>28198</v>
      </c>
      <c r="G10401" t="s">
        <v>28205</v>
      </c>
      <c r="H10401" t="s">
        <v>28214</v>
      </c>
      <c r="I10401" t="s">
        <v>3797</v>
      </c>
      <c r="J10401" t="s">
        <v>34783</v>
      </c>
      <c r="K10401" t="s">
        <v>36716</v>
      </c>
      <c r="M10401" t="s">
        <v>40057</v>
      </c>
      <c r="N10401" t="s">
        <v>40436</v>
      </c>
      <c r="O10401" t="s">
        <v>40437</v>
      </c>
      <c r="P10401">
        <v>0</v>
      </c>
      <c r="Q10401">
        <v>6</v>
      </c>
      <c r="R10401" t="s">
        <v>40450</v>
      </c>
      <c r="S10401" t="s">
        <v>40961</v>
      </c>
      <c r="T10401" t="s">
        <v>42346</v>
      </c>
      <c r="U10401" t="s">
        <v>51273</v>
      </c>
      <c r="W10401" t="s">
        <v>40057</v>
      </c>
      <c r="X10401" t="s">
        <v>40451</v>
      </c>
    </row>
    <row r="10402" spans="1:24">
      <c r="A10402">
        <f>HYPERLINK("https://www.philgeps.gov.ph/GEPSNONPILOT/Tender/SplashBidNoticeAbstractUI.aspx?menuIndex=3&amp;refID=7029711&amp;Result=3","7029711")</f>
        <v>0</v>
      </c>
      <c r="B10402" t="s">
        <v>2702</v>
      </c>
      <c r="C10402" t="s">
        <v>13013</v>
      </c>
      <c r="D10402" t="s">
        <v>16190</v>
      </c>
      <c r="E10402" t="s">
        <v>25317</v>
      </c>
      <c r="F10402" t="s">
        <v>28198</v>
      </c>
      <c r="G10402" t="s">
        <v>28205</v>
      </c>
      <c r="H10402" t="s">
        <v>28215</v>
      </c>
      <c r="I10402" t="s">
        <v>5656</v>
      </c>
      <c r="J10402" t="s">
        <v>34784</v>
      </c>
      <c r="K10402" t="s">
        <v>36693</v>
      </c>
      <c r="M10402" t="s">
        <v>39943</v>
      </c>
      <c r="N10402" t="s">
        <v>40436</v>
      </c>
      <c r="O10402" t="s">
        <v>40437</v>
      </c>
      <c r="P10402">
        <v>0</v>
      </c>
      <c r="Q10402">
        <v>0</v>
      </c>
      <c r="R10402" t="s">
        <v>40450</v>
      </c>
      <c r="S10402" t="s">
        <v>40961</v>
      </c>
      <c r="T10402" t="s">
        <v>42134</v>
      </c>
      <c r="U10402" t="s">
        <v>51274</v>
      </c>
      <c r="W10402" t="s">
        <v>39943</v>
      </c>
      <c r="X10402" t="s">
        <v>40451</v>
      </c>
    </row>
    <row r="10403" spans="1:24">
      <c r="A10403">
        <f>HYPERLINK("https://www.philgeps.gov.ph/GEPSNONPILOT/Tender/SplashBidNoticeAbstractUI.aspx?menuIndex=3&amp;refID=7029705&amp;Result=3","7029705")</f>
        <v>0</v>
      </c>
      <c r="B10403" t="s">
        <v>2702</v>
      </c>
      <c r="C10403" t="s">
        <v>13014</v>
      </c>
      <c r="D10403" t="s">
        <v>16190</v>
      </c>
      <c r="E10403" t="s">
        <v>25318</v>
      </c>
      <c r="F10403" t="s">
        <v>28198</v>
      </c>
      <c r="G10403" t="s">
        <v>28205</v>
      </c>
      <c r="H10403" t="s">
        <v>28215</v>
      </c>
      <c r="I10403" t="s">
        <v>5100</v>
      </c>
      <c r="J10403" t="s">
        <v>34785</v>
      </c>
      <c r="K10403" t="s">
        <v>36693</v>
      </c>
      <c r="M10403" t="s">
        <v>39943</v>
      </c>
      <c r="N10403" t="s">
        <v>40436</v>
      </c>
      <c r="O10403" t="s">
        <v>40437</v>
      </c>
      <c r="P10403">
        <v>0</v>
      </c>
      <c r="Q10403">
        <v>0</v>
      </c>
      <c r="R10403" t="s">
        <v>40450</v>
      </c>
      <c r="S10403" t="s">
        <v>40961</v>
      </c>
      <c r="T10403" t="s">
        <v>42134</v>
      </c>
      <c r="U10403" t="s">
        <v>51275</v>
      </c>
      <c r="W10403" t="s">
        <v>39943</v>
      </c>
      <c r="X10403" t="s">
        <v>40451</v>
      </c>
    </row>
    <row r="10404" spans="1:24">
      <c r="A10404">
        <f>HYPERLINK("https://www.philgeps.gov.ph/GEPSNONPILOT/Tender/SplashBidNoticeAbstractUI.aspx?menuIndex=3&amp;refID=6898330-2&amp;Result=3","6898330-2")</f>
        <v>0</v>
      </c>
      <c r="B10404" t="s">
        <v>1607</v>
      </c>
      <c r="C10404" t="s">
        <v>13015</v>
      </c>
      <c r="D10404" t="s">
        <v>16221</v>
      </c>
      <c r="E10404" t="s">
        <v>25319</v>
      </c>
      <c r="F10404" t="s">
        <v>28198</v>
      </c>
      <c r="G10404" t="s">
        <v>28205</v>
      </c>
      <c r="H10404" t="s">
        <v>28216</v>
      </c>
      <c r="I10404" t="s">
        <v>28216</v>
      </c>
      <c r="J10404" t="s">
        <v>34786</v>
      </c>
      <c r="K10404" t="s">
        <v>36692</v>
      </c>
      <c r="M10404" t="s">
        <v>40059</v>
      </c>
      <c r="N10404" t="s">
        <v>40436</v>
      </c>
      <c r="O10404" t="s">
        <v>40437</v>
      </c>
      <c r="P10404">
        <v>0</v>
      </c>
      <c r="Q10404">
        <v>2</v>
      </c>
      <c r="R10404" t="s">
        <v>40451</v>
      </c>
      <c r="S10404" t="s">
        <v>41005</v>
      </c>
      <c r="T10404" t="s">
        <v>42102</v>
      </c>
      <c r="U10404" t="s">
        <v>51276</v>
      </c>
      <c r="V10404" t="s">
        <v>54921</v>
      </c>
      <c r="W10404" t="s">
        <v>40059</v>
      </c>
      <c r="X10404" t="s">
        <v>40452</v>
      </c>
    </row>
    <row r="10405" spans="1:24">
      <c r="A10405">
        <f>HYPERLINK("https://www.philgeps.gov.ph/GEPSNONPILOT/Tender/SplashBidNoticeAbstractUI.aspx?menuIndex=3&amp;refID=6851319-2&amp;Result=3","6851319-2")</f>
        <v>0</v>
      </c>
      <c r="B10405" t="s">
        <v>847</v>
      </c>
      <c r="C10405" t="s">
        <v>13016</v>
      </c>
      <c r="D10405" t="s">
        <v>16210</v>
      </c>
      <c r="E10405" t="s">
        <v>25320</v>
      </c>
      <c r="F10405" t="s">
        <v>28198</v>
      </c>
      <c r="G10405" t="s">
        <v>28205</v>
      </c>
      <c r="H10405" t="s">
        <v>28216</v>
      </c>
      <c r="I10405" t="s">
        <v>28216</v>
      </c>
      <c r="J10405" t="s">
        <v>34787</v>
      </c>
      <c r="K10405" t="s">
        <v>36705</v>
      </c>
      <c r="M10405" t="s">
        <v>39734</v>
      </c>
      <c r="N10405" t="s">
        <v>40436</v>
      </c>
      <c r="O10405" t="s">
        <v>40437</v>
      </c>
      <c r="Q10405">
        <v>1</v>
      </c>
      <c r="R10405" t="s">
        <v>40451</v>
      </c>
      <c r="S10405" t="s">
        <v>41006</v>
      </c>
      <c r="T10405" t="s">
        <v>42180</v>
      </c>
      <c r="U10405" t="s">
        <v>51277</v>
      </c>
      <c r="V10405" t="s">
        <v>54922</v>
      </c>
      <c r="W10405" t="s">
        <v>39734</v>
      </c>
      <c r="X10405" t="s">
        <v>40452</v>
      </c>
    </row>
    <row r="10406" spans="1:24">
      <c r="A10406">
        <f>HYPERLINK("https://www.philgeps.gov.ph/GEPSNONPILOT/Tender/SplashBidNoticeAbstractUI.aspx?menuIndex=3&amp;refID=7029579&amp;Result=3","7029579")</f>
        <v>0</v>
      </c>
      <c r="B10406" t="s">
        <v>2461</v>
      </c>
      <c r="C10406" t="s">
        <v>13017</v>
      </c>
      <c r="E10406" t="s">
        <v>25321</v>
      </c>
      <c r="F10406" t="s">
        <v>28198</v>
      </c>
      <c r="G10406" t="s">
        <v>28205</v>
      </c>
      <c r="H10406" t="s">
        <v>28215</v>
      </c>
      <c r="I10406" t="s">
        <v>4168</v>
      </c>
      <c r="J10406" t="s">
        <v>28468</v>
      </c>
      <c r="K10406" t="s">
        <v>36689</v>
      </c>
      <c r="M10406" t="s">
        <v>39656</v>
      </c>
      <c r="N10406" t="s">
        <v>40436</v>
      </c>
      <c r="O10406" t="s">
        <v>40437</v>
      </c>
      <c r="P10406">
        <v>0</v>
      </c>
      <c r="Q10406">
        <v>1</v>
      </c>
      <c r="R10406" t="s">
        <v>40450</v>
      </c>
      <c r="S10406" t="s">
        <v>40961</v>
      </c>
      <c r="T10406" t="s">
        <v>42213</v>
      </c>
      <c r="U10406" t="s">
        <v>51278</v>
      </c>
      <c r="W10406" t="s">
        <v>39656</v>
      </c>
      <c r="X10406" t="s">
        <v>40451</v>
      </c>
    </row>
    <row r="10407" spans="1:24">
      <c r="A10407">
        <f>HYPERLINK("https://www.philgeps.gov.ph/GEPSNONPILOT/Tender/SplashBidNoticeAbstractUI.aspx?menuIndex=3&amp;refID=7029790&amp;Result=3","7029790")</f>
        <v>0</v>
      </c>
      <c r="B10407" t="s">
        <v>1730</v>
      </c>
      <c r="C10407" t="s">
        <v>13018</v>
      </c>
      <c r="D10407" t="s">
        <v>16190</v>
      </c>
      <c r="E10407" t="s">
        <v>25322</v>
      </c>
      <c r="F10407" t="s">
        <v>28198</v>
      </c>
      <c r="G10407" t="s">
        <v>28205</v>
      </c>
      <c r="H10407" t="s">
        <v>28214</v>
      </c>
      <c r="I10407" t="s">
        <v>3797</v>
      </c>
      <c r="J10407" t="s">
        <v>28351</v>
      </c>
      <c r="K10407" t="s">
        <v>36692</v>
      </c>
      <c r="M10407" t="s">
        <v>38840</v>
      </c>
      <c r="N10407" t="s">
        <v>40436</v>
      </c>
      <c r="O10407" t="s">
        <v>40437</v>
      </c>
      <c r="Q10407">
        <v>3</v>
      </c>
      <c r="R10407" t="s">
        <v>40450</v>
      </c>
      <c r="S10407" t="s">
        <v>41007</v>
      </c>
      <c r="T10407" t="s">
        <v>42122</v>
      </c>
      <c r="U10407" t="s">
        <v>51279</v>
      </c>
      <c r="W10407" t="s">
        <v>38840</v>
      </c>
      <c r="X10407" t="s">
        <v>40451</v>
      </c>
    </row>
    <row r="10408" spans="1:24">
      <c r="A10408">
        <f>HYPERLINK("https://www.philgeps.gov.ph/GEPSNONPILOT/Tender/SplashBidNoticeAbstractUI.aspx?menuIndex=3&amp;refID=7012296&amp;Result=3","7012296")</f>
        <v>0</v>
      </c>
      <c r="B10408" t="s">
        <v>2773</v>
      </c>
      <c r="C10408" t="s">
        <v>13019</v>
      </c>
      <c r="E10408" t="s">
        <v>25323</v>
      </c>
      <c r="F10408" t="s">
        <v>28198</v>
      </c>
      <c r="G10408" t="s">
        <v>28205</v>
      </c>
      <c r="H10408" t="s">
        <v>28215</v>
      </c>
      <c r="I10408" t="s">
        <v>3422</v>
      </c>
      <c r="J10408" t="s">
        <v>34788</v>
      </c>
      <c r="K10408" t="s">
        <v>36689</v>
      </c>
      <c r="M10408" t="s">
        <v>40022</v>
      </c>
      <c r="N10408" t="s">
        <v>40436</v>
      </c>
      <c r="O10408" t="s">
        <v>40437</v>
      </c>
      <c r="P10408">
        <v>0</v>
      </c>
      <c r="Q10408">
        <v>0</v>
      </c>
      <c r="R10408" t="s">
        <v>40451</v>
      </c>
      <c r="S10408" t="s">
        <v>41005</v>
      </c>
      <c r="T10408" t="s">
        <v>42184</v>
      </c>
      <c r="U10408" t="s">
        <v>51280</v>
      </c>
      <c r="V10408" t="s">
        <v>54896</v>
      </c>
      <c r="W10408" t="s">
        <v>40022</v>
      </c>
      <c r="X10408" t="s">
        <v>40459</v>
      </c>
    </row>
    <row r="10409" spans="1:24">
      <c r="A10409">
        <f>HYPERLINK("https://www.philgeps.gov.ph/GEPSNONPILOT/Tender/SplashBidNoticeAbstractUI.aspx?menuIndex=3&amp;refID=7012148&amp;Result=3","7012148")</f>
        <v>0</v>
      </c>
      <c r="B10409" t="s">
        <v>2773</v>
      </c>
      <c r="C10409" t="s">
        <v>13020</v>
      </c>
      <c r="E10409" t="s">
        <v>25324</v>
      </c>
      <c r="F10409" t="s">
        <v>28198</v>
      </c>
      <c r="G10409" t="s">
        <v>28205</v>
      </c>
      <c r="H10409" t="s">
        <v>28215</v>
      </c>
      <c r="I10409" t="s">
        <v>4200</v>
      </c>
      <c r="J10409" t="s">
        <v>34789</v>
      </c>
      <c r="K10409" t="s">
        <v>36689</v>
      </c>
      <c r="M10409" t="s">
        <v>40022</v>
      </c>
      <c r="N10409" t="s">
        <v>40436</v>
      </c>
      <c r="O10409" t="s">
        <v>40437</v>
      </c>
      <c r="P10409">
        <v>0</v>
      </c>
      <c r="Q10409">
        <v>1</v>
      </c>
      <c r="R10409" t="s">
        <v>40451</v>
      </c>
      <c r="S10409" t="s">
        <v>41005</v>
      </c>
      <c r="T10409" t="s">
        <v>42184</v>
      </c>
      <c r="U10409" t="s">
        <v>51281</v>
      </c>
      <c r="V10409" t="s">
        <v>54896</v>
      </c>
      <c r="W10409" t="s">
        <v>40022</v>
      </c>
      <c r="X10409" t="s">
        <v>40459</v>
      </c>
    </row>
    <row r="10410" spans="1:24">
      <c r="A10410">
        <f>HYPERLINK("https://www.philgeps.gov.ph/GEPSNONPILOT/Tender/SplashBidNoticeAbstractUI.aspx?menuIndex=3&amp;refID=7012922&amp;Result=3","7012922")</f>
        <v>0</v>
      </c>
      <c r="B10410" t="s">
        <v>2773</v>
      </c>
      <c r="C10410" t="s">
        <v>12734</v>
      </c>
      <c r="E10410" t="s">
        <v>25325</v>
      </c>
      <c r="F10410" t="s">
        <v>28198</v>
      </c>
      <c r="G10410" t="s">
        <v>28205</v>
      </c>
      <c r="H10410" t="s">
        <v>28215</v>
      </c>
      <c r="I10410" t="s">
        <v>3797</v>
      </c>
      <c r="J10410" t="s">
        <v>34618</v>
      </c>
      <c r="K10410" t="s">
        <v>36689</v>
      </c>
      <c r="M10410" t="s">
        <v>40022</v>
      </c>
      <c r="N10410" t="s">
        <v>40436</v>
      </c>
      <c r="O10410" t="s">
        <v>40437</v>
      </c>
      <c r="Q10410">
        <v>0</v>
      </c>
      <c r="R10410" t="s">
        <v>40451</v>
      </c>
      <c r="S10410" t="s">
        <v>41008</v>
      </c>
      <c r="T10410" t="s">
        <v>42119</v>
      </c>
      <c r="U10410" t="s">
        <v>51282</v>
      </c>
      <c r="V10410" t="s">
        <v>54896</v>
      </c>
      <c r="W10410" t="s">
        <v>40022</v>
      </c>
      <c r="X10410" t="s">
        <v>40459</v>
      </c>
    </row>
    <row r="10411" spans="1:24">
      <c r="A10411">
        <f>HYPERLINK("https://www.philgeps.gov.ph/GEPSNONPILOT/Tender/SplashBidNoticeAbstractUI.aspx?menuIndex=3&amp;refID=7013094&amp;Result=3","7013094")</f>
        <v>0</v>
      </c>
      <c r="B10411" t="s">
        <v>2773</v>
      </c>
      <c r="C10411" t="s">
        <v>12785</v>
      </c>
      <c r="E10411" t="s">
        <v>25125</v>
      </c>
      <c r="F10411" t="s">
        <v>28198</v>
      </c>
      <c r="G10411" t="s">
        <v>28205</v>
      </c>
      <c r="H10411" t="s">
        <v>28215</v>
      </c>
      <c r="I10411" t="s">
        <v>3797</v>
      </c>
      <c r="J10411" t="s">
        <v>34635</v>
      </c>
      <c r="K10411" t="s">
        <v>36689</v>
      </c>
      <c r="M10411" t="s">
        <v>40022</v>
      </c>
      <c r="N10411" t="s">
        <v>40436</v>
      </c>
      <c r="O10411" t="s">
        <v>40437</v>
      </c>
      <c r="Q10411">
        <v>0</v>
      </c>
      <c r="R10411" t="s">
        <v>40451</v>
      </c>
      <c r="S10411" t="s">
        <v>41009</v>
      </c>
      <c r="T10411" t="s">
        <v>42119</v>
      </c>
      <c r="U10411" t="s">
        <v>51283</v>
      </c>
      <c r="V10411" t="s">
        <v>54896</v>
      </c>
      <c r="W10411" t="s">
        <v>40022</v>
      </c>
      <c r="X10411" t="s">
        <v>40459</v>
      </c>
    </row>
    <row r="10412" spans="1:24">
      <c r="A10412">
        <f>HYPERLINK("https://www.philgeps.gov.ph/GEPSNONPILOT/Tender/SplashBidNoticeAbstractUI.aspx?menuIndex=3&amp;refID=7013160&amp;Result=3","7013160")</f>
        <v>0</v>
      </c>
      <c r="B10412" t="s">
        <v>2773</v>
      </c>
      <c r="C10412" t="s">
        <v>13021</v>
      </c>
      <c r="E10412" t="s">
        <v>25326</v>
      </c>
      <c r="F10412" t="s">
        <v>28198</v>
      </c>
      <c r="G10412" t="s">
        <v>28206</v>
      </c>
      <c r="H10412" t="s">
        <v>28215</v>
      </c>
      <c r="I10412" t="s">
        <v>5082</v>
      </c>
      <c r="J10412" t="s">
        <v>34790</v>
      </c>
      <c r="K10412" t="s">
        <v>36689</v>
      </c>
      <c r="M10412" t="s">
        <v>40022</v>
      </c>
      <c r="N10412" t="s">
        <v>40436</v>
      </c>
      <c r="O10412" t="s">
        <v>40437</v>
      </c>
      <c r="P10412">
        <v>0</v>
      </c>
      <c r="Q10412">
        <v>1</v>
      </c>
      <c r="R10412" t="s">
        <v>40451</v>
      </c>
      <c r="S10412" t="s">
        <v>41005</v>
      </c>
      <c r="T10412" t="s">
        <v>42184</v>
      </c>
      <c r="U10412" t="s">
        <v>51284</v>
      </c>
      <c r="V10412" t="s">
        <v>54896</v>
      </c>
      <c r="W10412" t="s">
        <v>40022</v>
      </c>
      <c r="X10412" t="s">
        <v>40459</v>
      </c>
    </row>
    <row r="10413" spans="1:24">
      <c r="A10413">
        <f>HYPERLINK("https://www.philgeps.gov.ph/GEPSNONPILOT/Tender/SplashBidNoticeAbstractUI.aspx?menuIndex=3&amp;refID=7010650&amp;Result=3","7010650")</f>
        <v>0</v>
      </c>
      <c r="B10413" t="s">
        <v>1389</v>
      </c>
      <c r="C10413" t="s">
        <v>13022</v>
      </c>
      <c r="D10413" t="s">
        <v>16187</v>
      </c>
      <c r="E10413" t="s">
        <v>25327</v>
      </c>
      <c r="F10413" t="s">
        <v>28198</v>
      </c>
      <c r="G10413" t="s">
        <v>28205</v>
      </c>
      <c r="H10413" t="s">
        <v>28215</v>
      </c>
      <c r="I10413" t="s">
        <v>28243</v>
      </c>
      <c r="J10413" t="s">
        <v>34791</v>
      </c>
      <c r="K10413" t="s">
        <v>36689</v>
      </c>
      <c r="M10413" t="s">
        <v>38453</v>
      </c>
      <c r="N10413" t="s">
        <v>40436</v>
      </c>
      <c r="O10413" t="s">
        <v>40437</v>
      </c>
      <c r="P10413">
        <v>0</v>
      </c>
      <c r="Q10413">
        <v>3</v>
      </c>
      <c r="R10413" t="s">
        <v>40451</v>
      </c>
      <c r="S10413" t="s">
        <v>41005</v>
      </c>
      <c r="T10413" t="s">
        <v>42284</v>
      </c>
      <c r="U10413" t="s">
        <v>51285</v>
      </c>
      <c r="W10413" t="s">
        <v>38453</v>
      </c>
      <c r="X10413" t="s">
        <v>40460</v>
      </c>
    </row>
    <row r="10414" spans="1:24">
      <c r="A10414">
        <f>HYPERLINK("https://www.philgeps.gov.ph/GEPSNONPILOT/Tender/SplashBidNoticeAbstractUI.aspx?menuIndex=3&amp;refID=7012855&amp;Result=3","7012855")</f>
        <v>0</v>
      </c>
      <c r="B10414" t="s">
        <v>2773</v>
      </c>
      <c r="C10414" t="s">
        <v>13023</v>
      </c>
      <c r="E10414" t="s">
        <v>25328</v>
      </c>
      <c r="F10414" t="s">
        <v>28198</v>
      </c>
      <c r="G10414" t="s">
        <v>28205</v>
      </c>
      <c r="H10414" t="s">
        <v>28215</v>
      </c>
      <c r="I10414" t="s">
        <v>4321</v>
      </c>
      <c r="J10414" t="s">
        <v>34792</v>
      </c>
      <c r="K10414" t="s">
        <v>36689</v>
      </c>
      <c r="M10414" t="s">
        <v>40022</v>
      </c>
      <c r="N10414" t="s">
        <v>40436</v>
      </c>
      <c r="O10414" t="s">
        <v>40437</v>
      </c>
      <c r="P10414">
        <v>0</v>
      </c>
      <c r="Q10414">
        <v>0</v>
      </c>
      <c r="R10414" t="s">
        <v>40451</v>
      </c>
      <c r="S10414" t="s">
        <v>41005</v>
      </c>
      <c r="T10414" t="s">
        <v>42184</v>
      </c>
      <c r="U10414" t="s">
        <v>51286</v>
      </c>
      <c r="V10414" t="s">
        <v>54896</v>
      </c>
      <c r="W10414" t="s">
        <v>40022</v>
      </c>
      <c r="X10414" t="s">
        <v>40459</v>
      </c>
    </row>
    <row r="10415" spans="1:24">
      <c r="A10415">
        <f>HYPERLINK("https://www.philgeps.gov.ph/GEPSNONPILOT/Tender/SplashBidNoticeAbstractUI.aspx?menuIndex=3&amp;refID=7010636&amp;Result=3","7010636")</f>
        <v>0</v>
      </c>
      <c r="B10415" t="s">
        <v>1389</v>
      </c>
      <c r="C10415" t="s">
        <v>13024</v>
      </c>
      <c r="D10415" t="s">
        <v>16187</v>
      </c>
      <c r="E10415" t="s">
        <v>25329</v>
      </c>
      <c r="F10415" t="s">
        <v>28198</v>
      </c>
      <c r="G10415" t="s">
        <v>28205</v>
      </c>
      <c r="H10415" t="s">
        <v>28215</v>
      </c>
      <c r="I10415" t="s">
        <v>28257</v>
      </c>
      <c r="J10415" t="s">
        <v>34793</v>
      </c>
      <c r="K10415" t="s">
        <v>36689</v>
      </c>
      <c r="M10415" t="s">
        <v>38453</v>
      </c>
      <c r="N10415" t="s">
        <v>40436</v>
      </c>
      <c r="O10415" t="s">
        <v>40437</v>
      </c>
      <c r="P10415">
        <v>0</v>
      </c>
      <c r="Q10415">
        <v>7</v>
      </c>
      <c r="R10415" t="s">
        <v>40451</v>
      </c>
      <c r="S10415" t="s">
        <v>41005</v>
      </c>
      <c r="T10415" t="s">
        <v>42284</v>
      </c>
      <c r="U10415" t="s">
        <v>51287</v>
      </c>
      <c r="W10415" t="s">
        <v>38453</v>
      </c>
      <c r="X10415" t="s">
        <v>40460</v>
      </c>
    </row>
    <row r="10416" spans="1:24">
      <c r="A10416">
        <f>HYPERLINK("https://www.philgeps.gov.ph/GEPSNONPILOT/Tender/SplashBidNoticeAbstractUI.aspx?menuIndex=3&amp;refID=7013200&amp;Result=3","7013200")</f>
        <v>0</v>
      </c>
      <c r="B10416" t="s">
        <v>2773</v>
      </c>
      <c r="C10416" t="s">
        <v>13025</v>
      </c>
      <c r="E10416" t="s">
        <v>25330</v>
      </c>
      <c r="F10416" t="s">
        <v>28198</v>
      </c>
      <c r="G10416" t="s">
        <v>28206</v>
      </c>
      <c r="H10416" t="s">
        <v>28215</v>
      </c>
      <c r="I10416" t="s">
        <v>3774</v>
      </c>
      <c r="J10416" t="s">
        <v>29149</v>
      </c>
      <c r="K10416" t="s">
        <v>36689</v>
      </c>
      <c r="M10416" t="s">
        <v>40022</v>
      </c>
      <c r="N10416" t="s">
        <v>40436</v>
      </c>
      <c r="O10416" t="s">
        <v>40437</v>
      </c>
      <c r="P10416">
        <v>0</v>
      </c>
      <c r="Q10416">
        <v>0</v>
      </c>
      <c r="R10416" t="s">
        <v>40451</v>
      </c>
      <c r="S10416" t="s">
        <v>41005</v>
      </c>
      <c r="T10416" t="s">
        <v>42184</v>
      </c>
      <c r="U10416" t="s">
        <v>51288</v>
      </c>
      <c r="V10416" t="s">
        <v>54896</v>
      </c>
      <c r="W10416" t="s">
        <v>40022</v>
      </c>
      <c r="X10416" t="s">
        <v>40459</v>
      </c>
    </row>
    <row r="10417" spans="1:24">
      <c r="A10417">
        <f>HYPERLINK("https://www.philgeps.gov.ph/GEPSNONPILOT/Tender/SplashBidNoticeAbstractUI.aspx?menuIndex=3&amp;refID=7013481&amp;Result=3","7013481")</f>
        <v>0</v>
      </c>
      <c r="B10417" t="s">
        <v>2773</v>
      </c>
      <c r="C10417" t="s">
        <v>13026</v>
      </c>
      <c r="E10417" t="s">
        <v>25331</v>
      </c>
      <c r="F10417" t="s">
        <v>28198</v>
      </c>
      <c r="G10417" t="s">
        <v>28206</v>
      </c>
      <c r="H10417" t="s">
        <v>28215</v>
      </c>
      <c r="I10417" t="s">
        <v>3774</v>
      </c>
      <c r="J10417" t="s">
        <v>34794</v>
      </c>
      <c r="K10417" t="s">
        <v>36689</v>
      </c>
      <c r="M10417" t="s">
        <v>40022</v>
      </c>
      <c r="N10417" t="s">
        <v>40436</v>
      </c>
      <c r="O10417" t="s">
        <v>40437</v>
      </c>
      <c r="P10417">
        <v>0</v>
      </c>
      <c r="Q10417">
        <v>0</v>
      </c>
      <c r="R10417" t="s">
        <v>40451</v>
      </c>
      <c r="S10417" t="s">
        <v>41005</v>
      </c>
      <c r="T10417" t="s">
        <v>42184</v>
      </c>
      <c r="U10417" t="s">
        <v>51289</v>
      </c>
      <c r="V10417" t="s">
        <v>54896</v>
      </c>
      <c r="W10417" t="s">
        <v>40022</v>
      </c>
      <c r="X10417" t="s">
        <v>40459</v>
      </c>
    </row>
    <row r="10418" spans="1:24">
      <c r="A10418">
        <f>HYPERLINK("https://www.philgeps.gov.ph/GEPSNONPILOT/Tender/SplashBidNoticeAbstractUI.aspx?menuIndex=3&amp;refID=7009563&amp;Result=3","7009563")</f>
        <v>0</v>
      </c>
      <c r="B10418" t="s">
        <v>1389</v>
      </c>
      <c r="C10418" t="s">
        <v>13027</v>
      </c>
      <c r="D10418" t="s">
        <v>16187</v>
      </c>
      <c r="E10418" t="s">
        <v>25332</v>
      </c>
      <c r="F10418" t="s">
        <v>28198</v>
      </c>
      <c r="G10418" t="s">
        <v>28205</v>
      </c>
      <c r="H10418" t="s">
        <v>28215</v>
      </c>
      <c r="I10418" t="s">
        <v>5656</v>
      </c>
      <c r="J10418" t="s">
        <v>34795</v>
      </c>
      <c r="K10418" t="s">
        <v>36689</v>
      </c>
      <c r="M10418" t="s">
        <v>38453</v>
      </c>
      <c r="N10418" t="s">
        <v>40436</v>
      </c>
      <c r="O10418" t="s">
        <v>40437</v>
      </c>
      <c r="P10418">
        <v>0</v>
      </c>
      <c r="Q10418">
        <v>5</v>
      </c>
      <c r="R10418" t="s">
        <v>40451</v>
      </c>
      <c r="S10418" t="s">
        <v>41005</v>
      </c>
      <c r="T10418" t="s">
        <v>42284</v>
      </c>
      <c r="U10418" t="s">
        <v>51290</v>
      </c>
      <c r="W10418" t="s">
        <v>38453</v>
      </c>
      <c r="X10418" t="s">
        <v>40461</v>
      </c>
    </row>
    <row r="10419" spans="1:24">
      <c r="A10419">
        <f>HYPERLINK("https://www.philgeps.gov.ph/GEPSNONPILOT/Tender/SplashBidNoticeAbstractUI.aspx?menuIndex=3&amp;refID=7010666&amp;Result=3","7010666")</f>
        <v>0</v>
      </c>
      <c r="B10419" t="s">
        <v>1389</v>
      </c>
      <c r="C10419" t="s">
        <v>13028</v>
      </c>
      <c r="D10419" t="s">
        <v>16187</v>
      </c>
      <c r="E10419" t="s">
        <v>25333</v>
      </c>
      <c r="F10419" t="s">
        <v>28198</v>
      </c>
      <c r="G10419" t="s">
        <v>28205</v>
      </c>
      <c r="H10419" t="s">
        <v>28215</v>
      </c>
      <c r="I10419" t="s">
        <v>28255</v>
      </c>
      <c r="J10419" t="s">
        <v>34796</v>
      </c>
      <c r="K10419" t="s">
        <v>36689</v>
      </c>
      <c r="M10419" t="s">
        <v>38453</v>
      </c>
      <c r="N10419" t="s">
        <v>40436</v>
      </c>
      <c r="O10419" t="s">
        <v>40437</v>
      </c>
      <c r="P10419">
        <v>0</v>
      </c>
      <c r="Q10419">
        <v>6</v>
      </c>
      <c r="R10419" t="s">
        <v>40451</v>
      </c>
      <c r="S10419" t="s">
        <v>41005</v>
      </c>
      <c r="T10419" t="s">
        <v>42284</v>
      </c>
      <c r="U10419" t="s">
        <v>51291</v>
      </c>
      <c r="W10419" t="s">
        <v>38453</v>
      </c>
      <c r="X10419" t="s">
        <v>40460</v>
      </c>
    </row>
    <row r="10420" spans="1:24">
      <c r="A10420">
        <f>HYPERLINK("https://www.philgeps.gov.ph/GEPSNONPILOT/Tender/SplashBidNoticeAbstractUI.aspx?menuIndex=3&amp;refID=6940397&amp;Result=3","6940397")</f>
        <v>0</v>
      </c>
      <c r="B10420" t="s">
        <v>2698</v>
      </c>
      <c r="C10420" t="s">
        <v>13029</v>
      </c>
      <c r="D10420" t="s">
        <v>16194</v>
      </c>
      <c r="E10420" t="s">
        <v>25334</v>
      </c>
      <c r="F10420" t="s">
        <v>28198</v>
      </c>
      <c r="G10420" t="s">
        <v>28205</v>
      </c>
      <c r="H10420" t="s">
        <v>28214</v>
      </c>
      <c r="I10420" t="s">
        <v>3797</v>
      </c>
      <c r="J10420" t="s">
        <v>34797</v>
      </c>
      <c r="K10420" t="s">
        <v>36717</v>
      </c>
      <c r="M10420" t="s">
        <v>39937</v>
      </c>
      <c r="N10420" t="s">
        <v>40436</v>
      </c>
      <c r="O10420" t="s">
        <v>40437</v>
      </c>
      <c r="P10420">
        <v>0</v>
      </c>
      <c r="Q10420">
        <v>2</v>
      </c>
      <c r="R10420" t="s">
        <v>40451</v>
      </c>
      <c r="S10420" t="s">
        <v>41005</v>
      </c>
      <c r="T10420" t="s">
        <v>42275</v>
      </c>
      <c r="U10420" t="s">
        <v>51292</v>
      </c>
      <c r="W10420" t="s">
        <v>39937</v>
      </c>
      <c r="X10420" t="s">
        <v>40509</v>
      </c>
    </row>
    <row r="10421" spans="1:24">
      <c r="A10421">
        <f>HYPERLINK("https://www.philgeps.gov.ph/GEPSNONPILOT/Tender/SplashBidNoticeAbstractUI.aspx?menuIndex=3&amp;refID=7013430&amp;Result=3","7013430")</f>
        <v>0</v>
      </c>
      <c r="B10421" t="s">
        <v>2773</v>
      </c>
      <c r="C10421" t="s">
        <v>13030</v>
      </c>
      <c r="E10421" t="s">
        <v>25335</v>
      </c>
      <c r="F10421" t="s">
        <v>28198</v>
      </c>
      <c r="G10421" t="s">
        <v>28206</v>
      </c>
      <c r="H10421" t="s">
        <v>28215</v>
      </c>
      <c r="I10421" t="s">
        <v>3774</v>
      </c>
      <c r="J10421" t="s">
        <v>34798</v>
      </c>
      <c r="K10421" t="s">
        <v>36689</v>
      </c>
      <c r="M10421" t="s">
        <v>40022</v>
      </c>
      <c r="N10421" t="s">
        <v>40436</v>
      </c>
      <c r="O10421" t="s">
        <v>40437</v>
      </c>
      <c r="P10421">
        <v>0</v>
      </c>
      <c r="Q10421">
        <v>0</v>
      </c>
      <c r="R10421" t="s">
        <v>40451</v>
      </c>
      <c r="S10421" t="s">
        <v>41005</v>
      </c>
      <c r="T10421" t="s">
        <v>42184</v>
      </c>
      <c r="U10421" t="s">
        <v>51293</v>
      </c>
      <c r="V10421" t="s">
        <v>54896</v>
      </c>
      <c r="W10421" t="s">
        <v>40022</v>
      </c>
      <c r="X10421" t="s">
        <v>40459</v>
      </c>
    </row>
    <row r="10422" spans="1:24">
      <c r="A10422">
        <f>HYPERLINK("https://www.philgeps.gov.ph/GEPSNONPILOT/Tender/SplashBidNoticeAbstractUI.aspx?menuIndex=3&amp;refID=7013261&amp;Result=3","7013261")</f>
        <v>0</v>
      </c>
      <c r="B10422" t="s">
        <v>2773</v>
      </c>
      <c r="C10422" t="s">
        <v>13031</v>
      </c>
      <c r="E10422" t="s">
        <v>25336</v>
      </c>
      <c r="F10422" t="s">
        <v>28198</v>
      </c>
      <c r="G10422" t="s">
        <v>28206</v>
      </c>
      <c r="H10422" t="s">
        <v>28215</v>
      </c>
      <c r="I10422" t="s">
        <v>3774</v>
      </c>
      <c r="J10422" t="s">
        <v>30563</v>
      </c>
      <c r="K10422" t="s">
        <v>36689</v>
      </c>
      <c r="M10422" t="s">
        <v>40022</v>
      </c>
      <c r="N10422" t="s">
        <v>40436</v>
      </c>
      <c r="O10422" t="s">
        <v>40437</v>
      </c>
      <c r="P10422">
        <v>0</v>
      </c>
      <c r="Q10422">
        <v>0</v>
      </c>
      <c r="R10422" t="s">
        <v>40451</v>
      </c>
      <c r="S10422" t="s">
        <v>41005</v>
      </c>
      <c r="T10422" t="s">
        <v>42184</v>
      </c>
      <c r="U10422" t="s">
        <v>51294</v>
      </c>
      <c r="V10422" t="s">
        <v>54896</v>
      </c>
      <c r="W10422" t="s">
        <v>40022</v>
      </c>
      <c r="X10422" t="s">
        <v>40459</v>
      </c>
    </row>
    <row r="10423" spans="1:24">
      <c r="A10423">
        <f>HYPERLINK("https://www.philgeps.gov.ph/GEPSNONPILOT/Tender/SplashBidNoticeAbstractUI.aspx?menuIndex=3&amp;refID=7013390&amp;Result=3","7013390")</f>
        <v>0</v>
      </c>
      <c r="B10423" t="s">
        <v>2773</v>
      </c>
      <c r="C10423" t="s">
        <v>13032</v>
      </c>
      <c r="E10423" t="s">
        <v>25337</v>
      </c>
      <c r="F10423" t="s">
        <v>28198</v>
      </c>
      <c r="G10423" t="s">
        <v>28206</v>
      </c>
      <c r="H10423" t="s">
        <v>28215</v>
      </c>
      <c r="I10423" t="s">
        <v>3774</v>
      </c>
      <c r="J10423" t="s">
        <v>31696</v>
      </c>
      <c r="K10423" t="s">
        <v>36689</v>
      </c>
      <c r="M10423" t="s">
        <v>40022</v>
      </c>
      <c r="N10423" t="s">
        <v>40436</v>
      </c>
      <c r="O10423" t="s">
        <v>40437</v>
      </c>
      <c r="P10423">
        <v>0</v>
      </c>
      <c r="Q10423">
        <v>0</v>
      </c>
      <c r="R10423" t="s">
        <v>40451</v>
      </c>
      <c r="S10423" t="s">
        <v>41005</v>
      </c>
      <c r="T10423" t="s">
        <v>42184</v>
      </c>
      <c r="U10423" t="s">
        <v>51295</v>
      </c>
      <c r="V10423" t="s">
        <v>54896</v>
      </c>
      <c r="W10423" t="s">
        <v>40022</v>
      </c>
      <c r="X10423" t="s">
        <v>40459</v>
      </c>
    </row>
    <row r="10424" spans="1:24">
      <c r="A10424">
        <f>HYPERLINK("https://www.philgeps.gov.ph/GEPSNONPILOT/Tender/SplashBidNoticeAbstractUI.aspx?menuIndex=3&amp;refID=7013501&amp;Result=3","7013501")</f>
        <v>0</v>
      </c>
      <c r="B10424" t="s">
        <v>2773</v>
      </c>
      <c r="C10424" t="s">
        <v>13033</v>
      </c>
      <c r="E10424" t="s">
        <v>25338</v>
      </c>
      <c r="F10424" t="s">
        <v>28198</v>
      </c>
      <c r="G10424" t="s">
        <v>28205</v>
      </c>
      <c r="H10424" t="s">
        <v>28215</v>
      </c>
      <c r="I10424" t="s">
        <v>3774</v>
      </c>
      <c r="J10424" t="s">
        <v>34799</v>
      </c>
      <c r="K10424" t="s">
        <v>36689</v>
      </c>
      <c r="M10424" t="s">
        <v>40022</v>
      </c>
      <c r="N10424" t="s">
        <v>40436</v>
      </c>
      <c r="O10424" t="s">
        <v>40437</v>
      </c>
      <c r="P10424">
        <v>0</v>
      </c>
      <c r="Q10424">
        <v>0</v>
      </c>
      <c r="R10424" t="s">
        <v>40451</v>
      </c>
      <c r="S10424" t="s">
        <v>41005</v>
      </c>
      <c r="T10424" t="s">
        <v>42184</v>
      </c>
      <c r="U10424" t="s">
        <v>51296</v>
      </c>
      <c r="V10424" t="s">
        <v>54896</v>
      </c>
      <c r="W10424" t="s">
        <v>40022</v>
      </c>
      <c r="X10424" t="s">
        <v>40459</v>
      </c>
    </row>
    <row r="10425" spans="1:24">
      <c r="A10425">
        <f>HYPERLINK("https://www.philgeps.gov.ph/GEPSNONPILOT/Tender/SplashBidNoticeAbstractUI.aspx?menuIndex=3&amp;refID=7013358&amp;Result=3","7013358")</f>
        <v>0</v>
      </c>
      <c r="B10425" t="s">
        <v>2773</v>
      </c>
      <c r="C10425" t="s">
        <v>13034</v>
      </c>
      <c r="E10425" t="s">
        <v>25339</v>
      </c>
      <c r="F10425" t="s">
        <v>28198</v>
      </c>
      <c r="G10425" t="s">
        <v>28206</v>
      </c>
      <c r="H10425" t="s">
        <v>28215</v>
      </c>
      <c r="I10425" t="s">
        <v>3774</v>
      </c>
      <c r="J10425" t="s">
        <v>30563</v>
      </c>
      <c r="K10425" t="s">
        <v>36689</v>
      </c>
      <c r="M10425" t="s">
        <v>40022</v>
      </c>
      <c r="N10425" t="s">
        <v>40436</v>
      </c>
      <c r="O10425" t="s">
        <v>40437</v>
      </c>
      <c r="P10425">
        <v>0</v>
      </c>
      <c r="Q10425">
        <v>0</v>
      </c>
      <c r="R10425" t="s">
        <v>40451</v>
      </c>
      <c r="S10425" t="s">
        <v>41005</v>
      </c>
      <c r="T10425" t="s">
        <v>42184</v>
      </c>
      <c r="U10425" t="s">
        <v>51297</v>
      </c>
      <c r="V10425" t="s">
        <v>54896</v>
      </c>
      <c r="W10425" t="s">
        <v>40022</v>
      </c>
      <c r="X10425" t="s">
        <v>40459</v>
      </c>
    </row>
    <row r="10426" spans="1:24">
      <c r="A10426">
        <f>HYPERLINK("https://www.philgeps.gov.ph/GEPSNONPILOT/Tender/SplashBidNoticeAbstractUI.aspx?menuIndex=3&amp;refID=7014026&amp;Result=3","7014026")</f>
        <v>0</v>
      </c>
      <c r="B10426" t="s">
        <v>2773</v>
      </c>
      <c r="C10426" t="s">
        <v>13035</v>
      </c>
      <c r="E10426" t="s">
        <v>25340</v>
      </c>
      <c r="F10426" t="s">
        <v>28198</v>
      </c>
      <c r="G10426" t="s">
        <v>28206</v>
      </c>
      <c r="H10426" t="s">
        <v>28215</v>
      </c>
      <c r="I10426" t="s">
        <v>3422</v>
      </c>
      <c r="J10426" t="s">
        <v>28941</v>
      </c>
      <c r="K10426" t="s">
        <v>36689</v>
      </c>
      <c r="M10426" t="s">
        <v>40022</v>
      </c>
      <c r="N10426" t="s">
        <v>40436</v>
      </c>
      <c r="O10426" t="s">
        <v>40437</v>
      </c>
      <c r="P10426">
        <v>0</v>
      </c>
      <c r="Q10426">
        <v>0</v>
      </c>
      <c r="R10426" t="s">
        <v>40451</v>
      </c>
      <c r="S10426" t="s">
        <v>41005</v>
      </c>
      <c r="T10426" t="s">
        <v>42184</v>
      </c>
      <c r="U10426" t="s">
        <v>51298</v>
      </c>
      <c r="V10426" t="s">
        <v>54923</v>
      </c>
      <c r="W10426" t="s">
        <v>40022</v>
      </c>
      <c r="X10426" t="s">
        <v>40459</v>
      </c>
    </row>
    <row r="10427" spans="1:24">
      <c r="A10427">
        <f>HYPERLINK("https://www.philgeps.gov.ph/GEPSNONPILOT/Tender/SplashBidNoticeAbstractUI.aspx?menuIndex=3&amp;refID=7013892&amp;Result=3","7013892")</f>
        <v>0</v>
      </c>
      <c r="B10427" t="s">
        <v>2773</v>
      </c>
      <c r="C10427" t="s">
        <v>13036</v>
      </c>
      <c r="E10427" t="s">
        <v>25341</v>
      </c>
      <c r="F10427" t="s">
        <v>28198</v>
      </c>
      <c r="G10427" t="s">
        <v>28206</v>
      </c>
      <c r="H10427" t="s">
        <v>28215</v>
      </c>
      <c r="I10427" t="s">
        <v>28227</v>
      </c>
      <c r="J10427" t="s">
        <v>34800</v>
      </c>
      <c r="K10427" t="s">
        <v>36689</v>
      </c>
      <c r="M10427" t="s">
        <v>40022</v>
      </c>
      <c r="N10427" t="s">
        <v>40436</v>
      </c>
      <c r="O10427" t="s">
        <v>40437</v>
      </c>
      <c r="P10427">
        <v>0</v>
      </c>
      <c r="Q10427">
        <v>0</v>
      </c>
      <c r="R10427" t="s">
        <v>40451</v>
      </c>
      <c r="S10427" t="s">
        <v>41005</v>
      </c>
      <c r="T10427" t="s">
        <v>42184</v>
      </c>
      <c r="U10427" t="s">
        <v>51299</v>
      </c>
      <c r="V10427" t="s">
        <v>54896</v>
      </c>
      <c r="W10427" t="s">
        <v>40022</v>
      </c>
      <c r="X10427" t="s">
        <v>40459</v>
      </c>
    </row>
    <row r="10428" spans="1:24">
      <c r="A10428">
        <f>HYPERLINK("https://www.philgeps.gov.ph/GEPSNONPILOT/Tender/SplashBidNoticeAbstractUI.aspx?menuIndex=3&amp;refID=7013736&amp;Result=3","7013736")</f>
        <v>0</v>
      </c>
      <c r="B10428" t="s">
        <v>1282</v>
      </c>
      <c r="C10428" t="s">
        <v>13037</v>
      </c>
      <c r="D10428" t="s">
        <v>16214</v>
      </c>
      <c r="E10428" t="s">
        <v>25342</v>
      </c>
      <c r="F10428" t="s">
        <v>28198</v>
      </c>
      <c r="G10428" t="s">
        <v>28205</v>
      </c>
      <c r="H10428" t="s">
        <v>28214</v>
      </c>
      <c r="I10428" t="s">
        <v>3797</v>
      </c>
      <c r="J10428" t="s">
        <v>31235</v>
      </c>
      <c r="K10428" t="s">
        <v>36929</v>
      </c>
      <c r="M10428" t="s">
        <v>38334</v>
      </c>
      <c r="N10428" t="s">
        <v>40436</v>
      </c>
      <c r="O10428" t="s">
        <v>40437</v>
      </c>
      <c r="P10428">
        <v>0</v>
      </c>
      <c r="Q10428">
        <v>6</v>
      </c>
      <c r="R10428" t="s">
        <v>40451</v>
      </c>
      <c r="S10428" t="s">
        <v>41005</v>
      </c>
      <c r="T10428" t="s">
        <v>42112</v>
      </c>
      <c r="U10428" t="s">
        <v>45679</v>
      </c>
      <c r="V10428" t="s">
        <v>54924</v>
      </c>
      <c r="W10428" t="s">
        <v>38334</v>
      </c>
      <c r="X10428" t="s">
        <v>40459</v>
      </c>
    </row>
    <row r="10429" spans="1:24">
      <c r="A10429">
        <f>HYPERLINK("https://www.philgeps.gov.ph/GEPSNONPILOT/Tender/SplashBidNoticeAbstractUI.aspx?menuIndex=3&amp;refID=7013924&amp;Result=3","7013924")</f>
        <v>0</v>
      </c>
      <c r="B10429" t="s">
        <v>2773</v>
      </c>
      <c r="C10429" t="s">
        <v>3220</v>
      </c>
      <c r="E10429" t="s">
        <v>25343</v>
      </c>
      <c r="F10429" t="s">
        <v>28198</v>
      </c>
      <c r="G10429" t="s">
        <v>28206</v>
      </c>
      <c r="H10429" t="s">
        <v>28215</v>
      </c>
      <c r="I10429" t="s">
        <v>5082</v>
      </c>
      <c r="J10429" t="s">
        <v>30791</v>
      </c>
      <c r="K10429" t="s">
        <v>36689</v>
      </c>
      <c r="M10429" t="s">
        <v>40022</v>
      </c>
      <c r="N10429" t="s">
        <v>40436</v>
      </c>
      <c r="O10429" t="s">
        <v>40437</v>
      </c>
      <c r="P10429">
        <v>0</v>
      </c>
      <c r="Q10429">
        <v>2</v>
      </c>
      <c r="R10429" t="s">
        <v>40451</v>
      </c>
      <c r="S10429" t="s">
        <v>41005</v>
      </c>
      <c r="T10429" t="s">
        <v>42184</v>
      </c>
      <c r="U10429" t="s">
        <v>51300</v>
      </c>
      <c r="V10429" t="s">
        <v>54896</v>
      </c>
      <c r="W10429" t="s">
        <v>40022</v>
      </c>
      <c r="X10429" t="s">
        <v>40459</v>
      </c>
    </row>
    <row r="10430" spans="1:24">
      <c r="A10430">
        <f>HYPERLINK("https://www.philgeps.gov.ph/GEPSNONPILOT/Tender/SplashBidNoticeAbstractUI.aspx?menuIndex=3&amp;refID=7013550&amp;Result=3","7013550")</f>
        <v>0</v>
      </c>
      <c r="B10430" t="s">
        <v>2773</v>
      </c>
      <c r="C10430" t="s">
        <v>13038</v>
      </c>
      <c r="E10430" t="s">
        <v>25344</v>
      </c>
      <c r="F10430" t="s">
        <v>28198</v>
      </c>
      <c r="G10430" t="s">
        <v>28205</v>
      </c>
      <c r="H10430" t="s">
        <v>28215</v>
      </c>
      <c r="I10430" t="s">
        <v>3774</v>
      </c>
      <c r="J10430" t="s">
        <v>34801</v>
      </c>
      <c r="K10430" t="s">
        <v>36689</v>
      </c>
      <c r="M10430" t="s">
        <v>40022</v>
      </c>
      <c r="N10430" t="s">
        <v>40436</v>
      </c>
      <c r="O10430" t="s">
        <v>40437</v>
      </c>
      <c r="P10430">
        <v>0</v>
      </c>
      <c r="Q10430">
        <v>0</v>
      </c>
      <c r="R10430" t="s">
        <v>40451</v>
      </c>
      <c r="S10430" t="s">
        <v>41005</v>
      </c>
      <c r="T10430" t="s">
        <v>42184</v>
      </c>
      <c r="U10430" t="s">
        <v>51301</v>
      </c>
      <c r="V10430" t="s">
        <v>54896</v>
      </c>
      <c r="W10430" t="s">
        <v>40022</v>
      </c>
      <c r="X10430" t="s">
        <v>40459</v>
      </c>
    </row>
    <row r="10431" spans="1:24">
      <c r="A10431">
        <f>HYPERLINK("https://www.philgeps.gov.ph/GEPSNONPILOT/Tender/SplashBidNoticeAbstractUI.aspx?menuIndex=3&amp;refID=7013798&amp;Result=3","7013798")</f>
        <v>0</v>
      </c>
      <c r="B10431" t="s">
        <v>2773</v>
      </c>
      <c r="C10431" t="s">
        <v>13039</v>
      </c>
      <c r="E10431" t="s">
        <v>25345</v>
      </c>
      <c r="F10431" t="s">
        <v>28198</v>
      </c>
      <c r="G10431" t="s">
        <v>28206</v>
      </c>
      <c r="H10431" t="s">
        <v>28215</v>
      </c>
      <c r="I10431" t="s">
        <v>28245</v>
      </c>
      <c r="J10431" t="s">
        <v>34802</v>
      </c>
      <c r="K10431" t="s">
        <v>36689</v>
      </c>
      <c r="M10431" t="s">
        <v>40022</v>
      </c>
      <c r="N10431" t="s">
        <v>40436</v>
      </c>
      <c r="O10431" t="s">
        <v>40437</v>
      </c>
      <c r="P10431">
        <v>0</v>
      </c>
      <c r="Q10431">
        <v>0</v>
      </c>
      <c r="R10431" t="s">
        <v>40451</v>
      </c>
      <c r="S10431" t="s">
        <v>41005</v>
      </c>
      <c r="T10431" t="s">
        <v>42184</v>
      </c>
      <c r="U10431" t="s">
        <v>51302</v>
      </c>
      <c r="V10431" t="s">
        <v>54896</v>
      </c>
      <c r="W10431" t="s">
        <v>40022</v>
      </c>
      <c r="X10431" t="s">
        <v>40459</v>
      </c>
    </row>
    <row r="10432" spans="1:24">
      <c r="A10432">
        <f>HYPERLINK("https://www.philgeps.gov.ph/GEPSNONPILOT/Tender/SplashBidNoticeAbstractUI.aspx?menuIndex=3&amp;refID=7013728&amp;Result=3","7013728")</f>
        <v>0</v>
      </c>
      <c r="B10432" t="s">
        <v>2773</v>
      </c>
      <c r="C10432" t="s">
        <v>13040</v>
      </c>
      <c r="E10432" t="s">
        <v>25346</v>
      </c>
      <c r="F10432" t="s">
        <v>28198</v>
      </c>
      <c r="G10432" t="s">
        <v>28206</v>
      </c>
      <c r="H10432" t="s">
        <v>28215</v>
      </c>
      <c r="I10432" t="s">
        <v>4219</v>
      </c>
      <c r="J10432" t="s">
        <v>30009</v>
      </c>
      <c r="K10432" t="s">
        <v>36689</v>
      </c>
      <c r="M10432" t="s">
        <v>40022</v>
      </c>
      <c r="N10432" t="s">
        <v>40436</v>
      </c>
      <c r="O10432" t="s">
        <v>40437</v>
      </c>
      <c r="P10432">
        <v>0</v>
      </c>
      <c r="Q10432">
        <v>2</v>
      </c>
      <c r="R10432" t="s">
        <v>40451</v>
      </c>
      <c r="S10432" t="s">
        <v>41005</v>
      </c>
      <c r="T10432" t="s">
        <v>42184</v>
      </c>
      <c r="U10432" t="s">
        <v>51303</v>
      </c>
      <c r="V10432" t="s">
        <v>54896</v>
      </c>
      <c r="W10432" t="s">
        <v>40022</v>
      </c>
      <c r="X10432" t="s">
        <v>40459</v>
      </c>
    </row>
    <row r="10433" spans="1:24">
      <c r="A10433">
        <f>HYPERLINK("https://www.philgeps.gov.ph/GEPSNONPILOT/Tender/SplashBidNoticeAbstractUI.aspx?menuIndex=3&amp;refID=7013578&amp;Result=3","7013578")</f>
        <v>0</v>
      </c>
      <c r="B10433" t="s">
        <v>2773</v>
      </c>
      <c r="C10433" t="s">
        <v>13041</v>
      </c>
      <c r="E10433" t="s">
        <v>25347</v>
      </c>
      <c r="F10433" t="s">
        <v>28198</v>
      </c>
      <c r="G10433" t="s">
        <v>28206</v>
      </c>
      <c r="H10433" t="s">
        <v>28215</v>
      </c>
      <c r="I10433" t="s">
        <v>3774</v>
      </c>
      <c r="J10433" t="s">
        <v>34803</v>
      </c>
      <c r="K10433" t="s">
        <v>36689</v>
      </c>
      <c r="M10433" t="s">
        <v>40022</v>
      </c>
      <c r="N10433" t="s">
        <v>40436</v>
      </c>
      <c r="O10433" t="s">
        <v>40437</v>
      </c>
      <c r="P10433">
        <v>0</v>
      </c>
      <c r="Q10433">
        <v>0</v>
      </c>
      <c r="R10433" t="s">
        <v>40451</v>
      </c>
      <c r="S10433" t="s">
        <v>41005</v>
      </c>
      <c r="T10433" t="s">
        <v>42184</v>
      </c>
      <c r="U10433" t="s">
        <v>51304</v>
      </c>
      <c r="V10433" t="s">
        <v>54896</v>
      </c>
      <c r="W10433" t="s">
        <v>40022</v>
      </c>
      <c r="X10433" t="s">
        <v>40459</v>
      </c>
    </row>
    <row r="10434" spans="1:24">
      <c r="A10434">
        <f>HYPERLINK("https://www.philgeps.gov.ph/GEPSNONPILOT/Tender/SplashBidNoticeAbstractUI.aspx?menuIndex=3&amp;refID=7016233&amp;Result=3","7016233")</f>
        <v>0</v>
      </c>
      <c r="B10434" t="s">
        <v>1903</v>
      </c>
      <c r="C10434" t="s">
        <v>13042</v>
      </c>
      <c r="D10434" t="s">
        <v>16218</v>
      </c>
      <c r="E10434" t="s">
        <v>25348</v>
      </c>
      <c r="F10434" t="s">
        <v>28198</v>
      </c>
      <c r="G10434" t="s">
        <v>28205</v>
      </c>
      <c r="H10434" t="s">
        <v>28214</v>
      </c>
      <c r="I10434" t="s">
        <v>3797</v>
      </c>
      <c r="J10434" t="s">
        <v>34804</v>
      </c>
      <c r="K10434" t="s">
        <v>36694</v>
      </c>
      <c r="M10434" t="s">
        <v>39035</v>
      </c>
      <c r="N10434" t="s">
        <v>40436</v>
      </c>
      <c r="O10434" t="s">
        <v>40437</v>
      </c>
      <c r="P10434">
        <v>0</v>
      </c>
      <c r="Q10434">
        <v>0</v>
      </c>
      <c r="R10434" t="s">
        <v>40451</v>
      </c>
      <c r="S10434" t="s">
        <v>41005</v>
      </c>
      <c r="T10434" t="s">
        <v>42424</v>
      </c>
      <c r="U10434" t="s">
        <v>51305</v>
      </c>
      <c r="W10434" t="s">
        <v>39035</v>
      </c>
      <c r="X10434" t="s">
        <v>40458</v>
      </c>
    </row>
    <row r="10435" spans="1:24">
      <c r="A10435">
        <f>HYPERLINK("https://www.philgeps.gov.ph/GEPSNONPILOT/Tender/SplashBidNoticeAbstractUI.aspx?menuIndex=3&amp;refID=7016625&amp;Result=3","7016625")</f>
        <v>0</v>
      </c>
      <c r="B10435" t="s">
        <v>2773</v>
      </c>
      <c r="C10435" t="s">
        <v>13043</v>
      </c>
      <c r="E10435" t="s">
        <v>25349</v>
      </c>
      <c r="F10435" t="s">
        <v>28198</v>
      </c>
      <c r="G10435" t="s">
        <v>28206</v>
      </c>
      <c r="H10435" t="s">
        <v>28215</v>
      </c>
      <c r="I10435" t="s">
        <v>3422</v>
      </c>
      <c r="J10435" t="s">
        <v>28538</v>
      </c>
      <c r="K10435" t="s">
        <v>36689</v>
      </c>
      <c r="M10435" t="s">
        <v>40022</v>
      </c>
      <c r="N10435" t="s">
        <v>40436</v>
      </c>
      <c r="O10435" t="s">
        <v>40437</v>
      </c>
      <c r="P10435">
        <v>0</v>
      </c>
      <c r="Q10435">
        <v>0</v>
      </c>
      <c r="R10435" t="s">
        <v>40451</v>
      </c>
      <c r="S10435" t="s">
        <v>41005</v>
      </c>
      <c r="T10435" t="s">
        <v>42184</v>
      </c>
      <c r="U10435" t="s">
        <v>51306</v>
      </c>
      <c r="V10435" t="s">
        <v>54896</v>
      </c>
      <c r="W10435" t="s">
        <v>40022</v>
      </c>
      <c r="X10435" t="s">
        <v>40457</v>
      </c>
    </row>
    <row r="10436" spans="1:24">
      <c r="A10436">
        <f>HYPERLINK("https://www.philgeps.gov.ph/GEPSNONPILOT/Tender/SplashBidNoticeAbstractUI.aspx?menuIndex=3&amp;refID=7014016&amp;Result=3","7014016")</f>
        <v>0</v>
      </c>
      <c r="B10436" t="s">
        <v>2773</v>
      </c>
      <c r="C10436" t="s">
        <v>13044</v>
      </c>
      <c r="E10436" t="s">
        <v>25340</v>
      </c>
      <c r="F10436" t="s">
        <v>28198</v>
      </c>
      <c r="G10436" t="s">
        <v>28206</v>
      </c>
      <c r="H10436" t="s">
        <v>28215</v>
      </c>
      <c r="I10436" t="s">
        <v>4219</v>
      </c>
      <c r="J10436" t="s">
        <v>33169</v>
      </c>
      <c r="K10436" t="s">
        <v>36689</v>
      </c>
      <c r="M10436" t="s">
        <v>40022</v>
      </c>
      <c r="N10436" t="s">
        <v>40436</v>
      </c>
      <c r="O10436" t="s">
        <v>40437</v>
      </c>
      <c r="P10436">
        <v>0</v>
      </c>
      <c r="Q10436">
        <v>2</v>
      </c>
      <c r="R10436" t="s">
        <v>40451</v>
      </c>
      <c r="S10436" t="s">
        <v>41005</v>
      </c>
      <c r="T10436" t="s">
        <v>42184</v>
      </c>
      <c r="U10436" t="s">
        <v>51307</v>
      </c>
      <c r="V10436" t="s">
        <v>54896</v>
      </c>
      <c r="W10436" t="s">
        <v>40022</v>
      </c>
      <c r="X10436" t="s">
        <v>40459</v>
      </c>
    </row>
    <row r="10437" spans="1:24">
      <c r="A10437">
        <f>HYPERLINK("https://www.philgeps.gov.ph/GEPSNONPILOT/Tender/SplashBidNoticeAbstractUI.aspx?menuIndex=3&amp;refID=7015607&amp;Result=3","7015607")</f>
        <v>0</v>
      </c>
      <c r="B10437" t="s">
        <v>1282</v>
      </c>
      <c r="C10437" t="s">
        <v>13045</v>
      </c>
      <c r="D10437" t="s">
        <v>16214</v>
      </c>
      <c r="E10437" t="s">
        <v>25350</v>
      </c>
      <c r="F10437" t="s">
        <v>28198</v>
      </c>
      <c r="G10437" t="s">
        <v>28205</v>
      </c>
      <c r="H10437" t="s">
        <v>28214</v>
      </c>
      <c r="I10437" t="s">
        <v>3797</v>
      </c>
      <c r="J10437" t="s">
        <v>29552</v>
      </c>
      <c r="K10437" t="s">
        <v>36727</v>
      </c>
      <c r="M10437" t="s">
        <v>38334</v>
      </c>
      <c r="N10437" t="s">
        <v>40436</v>
      </c>
      <c r="O10437" t="s">
        <v>40437</v>
      </c>
      <c r="P10437">
        <v>0</v>
      </c>
      <c r="Q10437">
        <v>4</v>
      </c>
      <c r="R10437" t="s">
        <v>40451</v>
      </c>
      <c r="S10437" t="s">
        <v>41005</v>
      </c>
      <c r="T10437" t="s">
        <v>42112</v>
      </c>
      <c r="U10437" t="s">
        <v>45679</v>
      </c>
      <c r="V10437" t="s">
        <v>54925</v>
      </c>
      <c r="W10437" t="s">
        <v>38334</v>
      </c>
      <c r="X10437" t="s">
        <v>40458</v>
      </c>
    </row>
    <row r="10438" spans="1:24">
      <c r="A10438">
        <f>HYPERLINK("https://www.philgeps.gov.ph/GEPSNONPILOT/Tender/SplashBidNoticeAbstractUI.aspx?menuIndex=3&amp;refID=7015474&amp;Result=3","7015474")</f>
        <v>0</v>
      </c>
      <c r="B10438" t="s">
        <v>2809</v>
      </c>
      <c r="C10438" t="s">
        <v>13046</v>
      </c>
      <c r="D10438" t="s">
        <v>16230</v>
      </c>
      <c r="E10438" t="s">
        <v>16782</v>
      </c>
      <c r="F10438" t="s">
        <v>28200</v>
      </c>
      <c r="G10438" t="s">
        <v>28205</v>
      </c>
      <c r="H10438" t="s">
        <v>28215</v>
      </c>
      <c r="I10438" t="s">
        <v>5100</v>
      </c>
      <c r="J10438" t="s">
        <v>29809</v>
      </c>
      <c r="K10438" t="s">
        <v>36708</v>
      </c>
      <c r="M10438" t="s">
        <v>40060</v>
      </c>
      <c r="N10438" t="s">
        <v>40436</v>
      </c>
      <c r="O10438" t="s">
        <v>40437</v>
      </c>
      <c r="P10438">
        <v>0</v>
      </c>
      <c r="Q10438">
        <v>1</v>
      </c>
      <c r="R10438" t="s">
        <v>40451</v>
      </c>
      <c r="S10438" t="s">
        <v>41005</v>
      </c>
      <c r="T10438" t="s">
        <v>42184</v>
      </c>
      <c r="U10438" t="s">
        <v>51308</v>
      </c>
      <c r="W10438" t="s">
        <v>40060</v>
      </c>
      <c r="X10438" t="s">
        <v>40458</v>
      </c>
    </row>
    <row r="10439" spans="1:24">
      <c r="A10439">
        <f>HYPERLINK("https://www.philgeps.gov.ph/GEPSNONPILOT/Tender/SplashBidNoticeAbstractUI.aspx?menuIndex=3&amp;refID=7015184&amp;Result=3","7015184")</f>
        <v>0</v>
      </c>
      <c r="B10439" t="s">
        <v>1282</v>
      </c>
      <c r="C10439" t="s">
        <v>13047</v>
      </c>
      <c r="D10439" t="s">
        <v>16214</v>
      </c>
      <c r="E10439" t="s">
        <v>25351</v>
      </c>
      <c r="F10439" t="s">
        <v>28198</v>
      </c>
      <c r="G10439" t="s">
        <v>28205</v>
      </c>
      <c r="H10439" t="s">
        <v>28214</v>
      </c>
      <c r="I10439" t="s">
        <v>3797</v>
      </c>
      <c r="J10439" t="s">
        <v>29595</v>
      </c>
      <c r="K10439" t="s">
        <v>36789</v>
      </c>
      <c r="M10439" t="s">
        <v>38334</v>
      </c>
      <c r="N10439" t="s">
        <v>40436</v>
      </c>
      <c r="O10439" t="s">
        <v>40437</v>
      </c>
      <c r="P10439">
        <v>0</v>
      </c>
      <c r="Q10439">
        <v>1</v>
      </c>
      <c r="R10439" t="s">
        <v>40451</v>
      </c>
      <c r="S10439" t="s">
        <v>41005</v>
      </c>
      <c r="T10439" t="s">
        <v>42112</v>
      </c>
      <c r="U10439" t="s">
        <v>45679</v>
      </c>
      <c r="V10439" t="s">
        <v>54926</v>
      </c>
      <c r="W10439" t="s">
        <v>38334</v>
      </c>
      <c r="X10439" t="s">
        <v>40458</v>
      </c>
    </row>
    <row r="10440" spans="1:24">
      <c r="A10440">
        <f>HYPERLINK("https://www.philgeps.gov.ph/GEPSNONPILOT/Tender/SplashBidNoticeAbstractUI.aspx?menuIndex=3&amp;refID=7015250&amp;Result=3","7015250")</f>
        <v>0</v>
      </c>
      <c r="B10440" t="s">
        <v>1282</v>
      </c>
      <c r="C10440" t="s">
        <v>13048</v>
      </c>
      <c r="D10440" t="s">
        <v>16214</v>
      </c>
      <c r="E10440" t="s">
        <v>25352</v>
      </c>
      <c r="F10440" t="s">
        <v>28198</v>
      </c>
      <c r="G10440" t="s">
        <v>28205</v>
      </c>
      <c r="H10440" t="s">
        <v>28214</v>
      </c>
      <c r="I10440" t="s">
        <v>3797</v>
      </c>
      <c r="J10440" t="s">
        <v>29595</v>
      </c>
      <c r="K10440" t="s">
        <v>36842</v>
      </c>
      <c r="M10440" t="s">
        <v>38334</v>
      </c>
      <c r="N10440" t="s">
        <v>40436</v>
      </c>
      <c r="O10440" t="s">
        <v>40437</v>
      </c>
      <c r="P10440">
        <v>0</v>
      </c>
      <c r="Q10440">
        <v>1</v>
      </c>
      <c r="R10440" t="s">
        <v>40451</v>
      </c>
      <c r="S10440" t="s">
        <v>41005</v>
      </c>
      <c r="T10440" t="s">
        <v>42112</v>
      </c>
      <c r="U10440" t="s">
        <v>45679</v>
      </c>
      <c r="V10440" t="s">
        <v>54927</v>
      </c>
      <c r="W10440" t="s">
        <v>38334</v>
      </c>
      <c r="X10440" t="s">
        <v>40458</v>
      </c>
    </row>
    <row r="10441" spans="1:24">
      <c r="A10441">
        <f>HYPERLINK("https://www.philgeps.gov.ph/GEPSNONPILOT/Tender/SplashBidNoticeAbstractUI.aspx?menuIndex=3&amp;refID=7015442&amp;Result=3","7015442")</f>
        <v>0</v>
      </c>
      <c r="B10441" t="s">
        <v>1282</v>
      </c>
      <c r="C10441" t="s">
        <v>13049</v>
      </c>
      <c r="D10441" t="s">
        <v>16214</v>
      </c>
      <c r="E10441" t="s">
        <v>25353</v>
      </c>
      <c r="F10441" t="s">
        <v>28198</v>
      </c>
      <c r="G10441" t="s">
        <v>28205</v>
      </c>
      <c r="H10441" t="s">
        <v>28214</v>
      </c>
      <c r="I10441" t="s">
        <v>3797</v>
      </c>
      <c r="J10441" t="s">
        <v>29595</v>
      </c>
      <c r="K10441" t="s">
        <v>36842</v>
      </c>
      <c r="M10441" t="s">
        <v>38334</v>
      </c>
      <c r="N10441" t="s">
        <v>40436</v>
      </c>
      <c r="O10441" t="s">
        <v>40437</v>
      </c>
      <c r="P10441">
        <v>0</v>
      </c>
      <c r="Q10441">
        <v>0</v>
      </c>
      <c r="R10441" t="s">
        <v>40451</v>
      </c>
      <c r="S10441" t="s">
        <v>41005</v>
      </c>
      <c r="T10441" t="s">
        <v>42112</v>
      </c>
      <c r="U10441" t="s">
        <v>45679</v>
      </c>
      <c r="V10441" t="s">
        <v>54928</v>
      </c>
      <c r="W10441" t="s">
        <v>38334</v>
      </c>
      <c r="X10441" t="s">
        <v>40458</v>
      </c>
    </row>
    <row r="10442" spans="1:24">
      <c r="A10442">
        <f>HYPERLINK("https://www.philgeps.gov.ph/GEPSNONPILOT/Tender/SplashBidNoticeAbstractUI.aspx?menuIndex=3&amp;refID=7016654&amp;Result=3","7016654")</f>
        <v>0</v>
      </c>
      <c r="B10442" t="s">
        <v>2773</v>
      </c>
      <c r="C10442" t="s">
        <v>13050</v>
      </c>
      <c r="E10442" t="s">
        <v>25354</v>
      </c>
      <c r="F10442" t="s">
        <v>28198</v>
      </c>
      <c r="G10442" t="s">
        <v>28206</v>
      </c>
      <c r="H10442" t="s">
        <v>28215</v>
      </c>
      <c r="I10442" t="s">
        <v>3422</v>
      </c>
      <c r="J10442" t="s">
        <v>34805</v>
      </c>
      <c r="K10442" t="s">
        <v>36689</v>
      </c>
      <c r="M10442" t="s">
        <v>40022</v>
      </c>
      <c r="N10442" t="s">
        <v>40436</v>
      </c>
      <c r="O10442" t="s">
        <v>40437</v>
      </c>
      <c r="P10442">
        <v>0</v>
      </c>
      <c r="Q10442">
        <v>0</v>
      </c>
      <c r="R10442" t="s">
        <v>40451</v>
      </c>
      <c r="S10442" t="s">
        <v>41005</v>
      </c>
      <c r="T10442" t="s">
        <v>42184</v>
      </c>
      <c r="U10442" t="s">
        <v>51309</v>
      </c>
      <c r="V10442" t="s">
        <v>54896</v>
      </c>
      <c r="W10442" t="s">
        <v>40022</v>
      </c>
      <c r="X10442" t="s">
        <v>40457</v>
      </c>
    </row>
    <row r="10443" spans="1:24">
      <c r="A10443">
        <f>HYPERLINK("https://www.philgeps.gov.ph/GEPSNONPILOT/Tender/SplashBidNoticeAbstractUI.aspx?menuIndex=3&amp;refID=7015957&amp;Result=3","7015957")</f>
        <v>0</v>
      </c>
      <c r="B10443" t="s">
        <v>1282</v>
      </c>
      <c r="C10443" t="s">
        <v>13051</v>
      </c>
      <c r="D10443" t="s">
        <v>16214</v>
      </c>
      <c r="E10443" t="s">
        <v>25355</v>
      </c>
      <c r="F10443" t="s">
        <v>28198</v>
      </c>
      <c r="G10443" t="s">
        <v>28205</v>
      </c>
      <c r="H10443" t="s">
        <v>28214</v>
      </c>
      <c r="I10443" t="s">
        <v>3797</v>
      </c>
      <c r="J10443" t="s">
        <v>32323</v>
      </c>
      <c r="K10443" t="s">
        <v>36851</v>
      </c>
      <c r="M10443" t="s">
        <v>38334</v>
      </c>
      <c r="N10443" t="s">
        <v>40436</v>
      </c>
      <c r="O10443" t="s">
        <v>40437</v>
      </c>
      <c r="P10443">
        <v>0</v>
      </c>
      <c r="Q10443">
        <v>4</v>
      </c>
      <c r="R10443" t="s">
        <v>40451</v>
      </c>
      <c r="S10443" t="s">
        <v>41005</v>
      </c>
      <c r="T10443" t="s">
        <v>42112</v>
      </c>
      <c r="U10443" t="s">
        <v>45679</v>
      </c>
      <c r="V10443" t="s">
        <v>54929</v>
      </c>
      <c r="W10443" t="s">
        <v>38334</v>
      </c>
      <c r="X10443" t="s">
        <v>40458</v>
      </c>
    </row>
    <row r="10444" spans="1:24">
      <c r="A10444">
        <f>HYPERLINK("https://www.philgeps.gov.ph/GEPSNONPILOT/Tender/SplashBidNoticeAbstractUI.aspx?menuIndex=3&amp;refID=7018057&amp;Result=3","7018057")</f>
        <v>0</v>
      </c>
      <c r="B10444" t="s">
        <v>2773</v>
      </c>
      <c r="C10444" t="s">
        <v>13052</v>
      </c>
      <c r="E10444" t="s">
        <v>25356</v>
      </c>
      <c r="F10444" t="s">
        <v>28198</v>
      </c>
      <c r="G10444" t="s">
        <v>28205</v>
      </c>
      <c r="H10444" t="s">
        <v>28215</v>
      </c>
      <c r="I10444" t="s">
        <v>8888</v>
      </c>
      <c r="J10444" t="s">
        <v>34806</v>
      </c>
      <c r="K10444" t="s">
        <v>36689</v>
      </c>
      <c r="M10444" t="s">
        <v>40022</v>
      </c>
      <c r="N10444" t="s">
        <v>40436</v>
      </c>
      <c r="O10444" t="s">
        <v>40437</v>
      </c>
      <c r="P10444">
        <v>0</v>
      </c>
      <c r="Q10444">
        <v>3</v>
      </c>
      <c r="R10444" t="s">
        <v>40451</v>
      </c>
      <c r="S10444" t="s">
        <v>41005</v>
      </c>
      <c r="T10444" t="s">
        <v>42184</v>
      </c>
      <c r="U10444" t="s">
        <v>51310</v>
      </c>
      <c r="V10444" t="s">
        <v>54896</v>
      </c>
      <c r="W10444" t="s">
        <v>40022</v>
      </c>
      <c r="X10444" t="s">
        <v>40457</v>
      </c>
    </row>
    <row r="10445" spans="1:24">
      <c r="A10445">
        <f>HYPERLINK("https://www.philgeps.gov.ph/GEPSNONPILOT/Tender/SplashBidNoticeAbstractUI.aspx?menuIndex=3&amp;refID=7016644&amp;Result=3","7016644")</f>
        <v>0</v>
      </c>
      <c r="B10445" t="s">
        <v>2773</v>
      </c>
      <c r="C10445" t="s">
        <v>13053</v>
      </c>
      <c r="E10445" t="s">
        <v>25357</v>
      </c>
      <c r="F10445" t="s">
        <v>28198</v>
      </c>
      <c r="G10445" t="s">
        <v>28206</v>
      </c>
      <c r="H10445" t="s">
        <v>28215</v>
      </c>
      <c r="I10445" t="s">
        <v>3422</v>
      </c>
      <c r="J10445" t="s">
        <v>34805</v>
      </c>
      <c r="K10445" t="s">
        <v>36689</v>
      </c>
      <c r="M10445" t="s">
        <v>40022</v>
      </c>
      <c r="N10445" t="s">
        <v>40436</v>
      </c>
      <c r="O10445" t="s">
        <v>40437</v>
      </c>
      <c r="P10445">
        <v>0</v>
      </c>
      <c r="Q10445">
        <v>0</v>
      </c>
      <c r="R10445" t="s">
        <v>40451</v>
      </c>
      <c r="S10445" t="s">
        <v>41005</v>
      </c>
      <c r="T10445" t="s">
        <v>42184</v>
      </c>
      <c r="U10445" t="s">
        <v>51311</v>
      </c>
      <c r="V10445" t="s">
        <v>54896</v>
      </c>
      <c r="W10445" t="s">
        <v>40022</v>
      </c>
      <c r="X10445" t="s">
        <v>40457</v>
      </c>
    </row>
    <row r="10446" spans="1:24">
      <c r="A10446">
        <f>HYPERLINK("https://www.philgeps.gov.ph/GEPSNONPILOT/Tender/SplashBidNoticeAbstractUI.aspx?menuIndex=3&amp;refID=7018086&amp;Result=3","7018086")</f>
        <v>0</v>
      </c>
      <c r="B10446" t="s">
        <v>2773</v>
      </c>
      <c r="C10446" t="s">
        <v>13054</v>
      </c>
      <c r="E10446" t="s">
        <v>25358</v>
      </c>
      <c r="F10446" t="s">
        <v>28198</v>
      </c>
      <c r="G10446" t="s">
        <v>28206</v>
      </c>
      <c r="H10446" t="s">
        <v>28215</v>
      </c>
      <c r="I10446" t="s">
        <v>3422</v>
      </c>
      <c r="J10446" t="s">
        <v>28538</v>
      </c>
      <c r="K10446" t="s">
        <v>36689</v>
      </c>
      <c r="M10446" t="s">
        <v>40022</v>
      </c>
      <c r="N10446" t="s">
        <v>40436</v>
      </c>
      <c r="O10446" t="s">
        <v>40437</v>
      </c>
      <c r="P10446">
        <v>0</v>
      </c>
      <c r="Q10446">
        <v>0</v>
      </c>
      <c r="R10446" t="s">
        <v>40451</v>
      </c>
      <c r="S10446" t="s">
        <v>41005</v>
      </c>
      <c r="T10446" t="s">
        <v>42184</v>
      </c>
      <c r="U10446" t="s">
        <v>51312</v>
      </c>
      <c r="V10446" t="s">
        <v>54896</v>
      </c>
      <c r="W10446" t="s">
        <v>40022</v>
      </c>
      <c r="X10446" t="s">
        <v>40457</v>
      </c>
    </row>
    <row r="10447" spans="1:24">
      <c r="A10447">
        <f>HYPERLINK("https://www.philgeps.gov.ph/GEPSNONPILOT/Tender/SplashBidNoticeAbstractUI.aspx?menuIndex=3&amp;refID=7013622&amp;Result=3","7013622")</f>
        <v>0</v>
      </c>
      <c r="B10447" t="s">
        <v>2773</v>
      </c>
      <c r="C10447" t="s">
        <v>13055</v>
      </c>
      <c r="E10447" t="s">
        <v>25359</v>
      </c>
      <c r="F10447" t="s">
        <v>28198</v>
      </c>
      <c r="G10447" t="s">
        <v>28206</v>
      </c>
      <c r="H10447" t="s">
        <v>28215</v>
      </c>
      <c r="I10447" t="s">
        <v>3774</v>
      </c>
      <c r="J10447" t="s">
        <v>28558</v>
      </c>
      <c r="K10447" t="s">
        <v>36689</v>
      </c>
      <c r="M10447" t="s">
        <v>40022</v>
      </c>
      <c r="N10447" t="s">
        <v>40436</v>
      </c>
      <c r="O10447" t="s">
        <v>40437</v>
      </c>
      <c r="P10447">
        <v>0</v>
      </c>
      <c r="Q10447">
        <v>0</v>
      </c>
      <c r="R10447" t="s">
        <v>40451</v>
      </c>
      <c r="S10447" t="s">
        <v>41005</v>
      </c>
      <c r="T10447" t="s">
        <v>42184</v>
      </c>
      <c r="U10447" t="s">
        <v>51313</v>
      </c>
      <c r="V10447" t="s">
        <v>54896</v>
      </c>
      <c r="W10447" t="s">
        <v>40022</v>
      </c>
      <c r="X10447" t="s">
        <v>40459</v>
      </c>
    </row>
    <row r="10448" spans="1:24">
      <c r="A10448">
        <f>HYPERLINK("https://www.philgeps.gov.ph/GEPSNONPILOT/Tender/SplashBidNoticeAbstractUI.aspx?menuIndex=3&amp;refID=7017398&amp;Result=3","7017398")</f>
        <v>0</v>
      </c>
      <c r="B10448" t="s">
        <v>2810</v>
      </c>
      <c r="C10448" t="s">
        <v>13056</v>
      </c>
      <c r="D10448" t="s">
        <v>16195</v>
      </c>
      <c r="E10448" t="s">
        <v>18071</v>
      </c>
      <c r="F10448" t="s">
        <v>28198</v>
      </c>
      <c r="G10448" t="s">
        <v>28205</v>
      </c>
      <c r="H10448" t="s">
        <v>28215</v>
      </c>
      <c r="I10448" t="s">
        <v>5100</v>
      </c>
      <c r="J10448" t="s">
        <v>34807</v>
      </c>
      <c r="K10448" t="s">
        <v>36707</v>
      </c>
      <c r="M10448" t="s">
        <v>40061</v>
      </c>
      <c r="N10448" t="s">
        <v>40436</v>
      </c>
      <c r="O10448" t="s">
        <v>40437</v>
      </c>
      <c r="P10448">
        <v>0</v>
      </c>
      <c r="Q10448">
        <v>2</v>
      </c>
      <c r="R10448" t="s">
        <v>40451</v>
      </c>
      <c r="S10448" t="s">
        <v>41005</v>
      </c>
      <c r="T10448" t="s">
        <v>42188</v>
      </c>
      <c r="U10448" t="s">
        <v>51314</v>
      </c>
      <c r="V10448" t="s">
        <v>54930</v>
      </c>
      <c r="W10448" t="s">
        <v>40061</v>
      </c>
      <c r="X10448" t="s">
        <v>40457</v>
      </c>
    </row>
    <row r="10449" spans="1:24">
      <c r="A10449">
        <f>HYPERLINK("https://www.philgeps.gov.ph/GEPSNONPILOT/Tender/SplashBidNoticeAbstractUI.aspx?menuIndex=3&amp;refID=7013760&amp;Result=3","7013760")</f>
        <v>0</v>
      </c>
      <c r="B10449" t="s">
        <v>2773</v>
      </c>
      <c r="C10449" t="s">
        <v>13057</v>
      </c>
      <c r="E10449" t="s">
        <v>25360</v>
      </c>
      <c r="F10449" t="s">
        <v>28198</v>
      </c>
      <c r="G10449" t="s">
        <v>28205</v>
      </c>
      <c r="H10449" t="s">
        <v>28215</v>
      </c>
      <c r="I10449" t="s">
        <v>4168</v>
      </c>
      <c r="J10449" t="s">
        <v>34808</v>
      </c>
      <c r="K10449" t="s">
        <v>36689</v>
      </c>
      <c r="M10449" t="s">
        <v>40022</v>
      </c>
      <c r="N10449" t="s">
        <v>40436</v>
      </c>
      <c r="O10449" t="s">
        <v>40437</v>
      </c>
      <c r="P10449">
        <v>0</v>
      </c>
      <c r="Q10449">
        <v>3</v>
      </c>
      <c r="R10449" t="s">
        <v>40451</v>
      </c>
      <c r="S10449" t="s">
        <v>41005</v>
      </c>
      <c r="T10449" t="s">
        <v>42184</v>
      </c>
      <c r="U10449" t="s">
        <v>51315</v>
      </c>
      <c r="V10449" t="s">
        <v>54896</v>
      </c>
      <c r="W10449" t="s">
        <v>40022</v>
      </c>
      <c r="X10449" t="s">
        <v>40459</v>
      </c>
    </row>
    <row r="10450" spans="1:24">
      <c r="A10450">
        <f>HYPERLINK("https://www.philgeps.gov.ph/GEPSNONPILOT/Tender/SplashBidNoticeAbstractUI.aspx?menuIndex=3&amp;refID=7016852&amp;Result=3","7016852")</f>
        <v>0</v>
      </c>
      <c r="B10450" t="s">
        <v>1282</v>
      </c>
      <c r="C10450" t="s">
        <v>13058</v>
      </c>
      <c r="D10450" t="s">
        <v>16214</v>
      </c>
      <c r="E10450" t="s">
        <v>25361</v>
      </c>
      <c r="F10450" t="s">
        <v>28198</v>
      </c>
      <c r="G10450" t="s">
        <v>28205</v>
      </c>
      <c r="H10450" t="s">
        <v>28214</v>
      </c>
      <c r="I10450" t="s">
        <v>3797</v>
      </c>
      <c r="J10450" t="s">
        <v>29632</v>
      </c>
      <c r="K10450" t="s">
        <v>36737</v>
      </c>
      <c r="M10450" t="s">
        <v>38334</v>
      </c>
      <c r="N10450" t="s">
        <v>40436</v>
      </c>
      <c r="O10450" t="s">
        <v>40437</v>
      </c>
      <c r="P10450">
        <v>0</v>
      </c>
      <c r="Q10450">
        <v>1</v>
      </c>
      <c r="R10450" t="s">
        <v>40451</v>
      </c>
      <c r="S10450" t="s">
        <v>41005</v>
      </c>
      <c r="T10450" t="s">
        <v>42112</v>
      </c>
      <c r="U10450" t="s">
        <v>45679</v>
      </c>
      <c r="V10450" t="s">
        <v>54931</v>
      </c>
      <c r="W10450" t="s">
        <v>38334</v>
      </c>
      <c r="X10450" t="s">
        <v>40457</v>
      </c>
    </row>
    <row r="10451" spans="1:24">
      <c r="A10451">
        <f>HYPERLINK("https://www.philgeps.gov.ph/GEPSNONPILOT/Tender/SplashBidNoticeAbstractUI.aspx?menuIndex=3&amp;refID=7017435&amp;Result=3","7017435")</f>
        <v>0</v>
      </c>
      <c r="B10451" t="s">
        <v>2810</v>
      </c>
      <c r="C10451" t="s">
        <v>13059</v>
      </c>
      <c r="D10451" t="s">
        <v>16195</v>
      </c>
      <c r="E10451" t="s">
        <v>16588</v>
      </c>
      <c r="F10451" t="s">
        <v>28198</v>
      </c>
      <c r="G10451" t="s">
        <v>28205</v>
      </c>
      <c r="H10451" t="s">
        <v>28215</v>
      </c>
      <c r="I10451" t="s">
        <v>5100</v>
      </c>
      <c r="J10451" t="s">
        <v>34809</v>
      </c>
      <c r="K10451" t="s">
        <v>36707</v>
      </c>
      <c r="M10451" t="s">
        <v>40061</v>
      </c>
      <c r="N10451" t="s">
        <v>40436</v>
      </c>
      <c r="O10451" t="s">
        <v>40437</v>
      </c>
      <c r="P10451">
        <v>0</v>
      </c>
      <c r="Q10451">
        <v>0</v>
      </c>
      <c r="R10451" t="s">
        <v>40451</v>
      </c>
      <c r="S10451" t="s">
        <v>41005</v>
      </c>
      <c r="T10451" t="s">
        <v>42112</v>
      </c>
      <c r="U10451" t="s">
        <v>51316</v>
      </c>
      <c r="V10451" t="s">
        <v>54932</v>
      </c>
      <c r="W10451" t="s">
        <v>40061</v>
      </c>
      <c r="X10451" t="s">
        <v>40457</v>
      </c>
    </row>
    <row r="10452" spans="1:24">
      <c r="A10452">
        <f>HYPERLINK("https://www.philgeps.gov.ph/GEPSNONPILOT/Tender/SplashBidNoticeAbstractUI.aspx?menuIndex=3&amp;refID=7017400&amp;Result=3","7017400")</f>
        <v>0</v>
      </c>
      <c r="B10452" t="s">
        <v>83</v>
      </c>
      <c r="C10452" t="s">
        <v>13060</v>
      </c>
      <c r="D10452" t="s">
        <v>16220</v>
      </c>
      <c r="E10452" t="s">
        <v>25362</v>
      </c>
      <c r="F10452" t="s">
        <v>28198</v>
      </c>
      <c r="G10452" t="s">
        <v>28205</v>
      </c>
      <c r="H10452" t="s">
        <v>28214</v>
      </c>
      <c r="I10452" t="s">
        <v>3797</v>
      </c>
      <c r="J10452" t="s">
        <v>28418</v>
      </c>
      <c r="K10452" t="s">
        <v>36697</v>
      </c>
      <c r="M10452" t="s">
        <v>37055</v>
      </c>
      <c r="N10452" t="s">
        <v>40436</v>
      </c>
      <c r="O10452" t="s">
        <v>40437</v>
      </c>
      <c r="P10452">
        <v>0</v>
      </c>
      <c r="Q10452">
        <v>0</v>
      </c>
      <c r="R10452" t="s">
        <v>40451</v>
      </c>
      <c r="S10452" t="s">
        <v>41005</v>
      </c>
      <c r="T10452" t="s">
        <v>42168</v>
      </c>
      <c r="U10452" t="s">
        <v>51317</v>
      </c>
      <c r="V10452" t="s">
        <v>53797</v>
      </c>
      <c r="W10452" t="s">
        <v>37055</v>
      </c>
      <c r="X10452" t="s">
        <v>40457</v>
      </c>
    </row>
    <row r="10453" spans="1:24">
      <c r="A10453">
        <f>HYPERLINK("https://www.philgeps.gov.ph/GEPSNONPILOT/Tender/SplashBidNoticeAbstractUI.aspx?menuIndex=3&amp;refID=7019211&amp;Result=3","7019211")</f>
        <v>0</v>
      </c>
      <c r="B10453" t="s">
        <v>2773</v>
      </c>
      <c r="C10453" t="s">
        <v>13061</v>
      </c>
      <c r="E10453" t="s">
        <v>25363</v>
      </c>
      <c r="F10453" t="s">
        <v>28198</v>
      </c>
      <c r="G10453" t="s">
        <v>28206</v>
      </c>
      <c r="H10453" t="s">
        <v>28215</v>
      </c>
      <c r="I10453" t="s">
        <v>3774</v>
      </c>
      <c r="J10453" t="s">
        <v>34810</v>
      </c>
      <c r="K10453" t="s">
        <v>36689</v>
      </c>
      <c r="M10453" t="s">
        <v>40022</v>
      </c>
      <c r="N10453" t="s">
        <v>40436</v>
      </c>
      <c r="O10453" t="s">
        <v>40437</v>
      </c>
      <c r="P10453">
        <v>0</v>
      </c>
      <c r="Q10453">
        <v>0</v>
      </c>
      <c r="R10453" t="s">
        <v>40451</v>
      </c>
      <c r="S10453" t="s">
        <v>41005</v>
      </c>
      <c r="T10453" t="s">
        <v>42184</v>
      </c>
      <c r="U10453" t="s">
        <v>51318</v>
      </c>
      <c r="V10453" t="s">
        <v>54896</v>
      </c>
      <c r="W10453" t="s">
        <v>40022</v>
      </c>
      <c r="X10453" t="s">
        <v>40454</v>
      </c>
    </row>
    <row r="10454" spans="1:24">
      <c r="A10454">
        <f>HYPERLINK("https://www.philgeps.gov.ph/GEPSNONPILOT/Tender/SplashBidNoticeAbstractUI.aspx?menuIndex=3&amp;refID=7018238&amp;Result=3","7018238")</f>
        <v>0</v>
      </c>
      <c r="B10454" t="s">
        <v>2773</v>
      </c>
      <c r="C10454" t="s">
        <v>13062</v>
      </c>
      <c r="E10454" t="s">
        <v>25364</v>
      </c>
      <c r="F10454" t="s">
        <v>28198</v>
      </c>
      <c r="G10454" t="s">
        <v>28205</v>
      </c>
      <c r="H10454" t="s">
        <v>28215</v>
      </c>
      <c r="I10454" t="s">
        <v>5791</v>
      </c>
      <c r="J10454" t="s">
        <v>34811</v>
      </c>
      <c r="K10454" t="s">
        <v>36689</v>
      </c>
      <c r="M10454" t="s">
        <v>40022</v>
      </c>
      <c r="N10454" t="s">
        <v>40436</v>
      </c>
      <c r="O10454" t="s">
        <v>40437</v>
      </c>
      <c r="P10454">
        <v>0</v>
      </c>
      <c r="Q10454">
        <v>0</v>
      </c>
      <c r="R10454" t="s">
        <v>40451</v>
      </c>
      <c r="S10454" t="s">
        <v>41005</v>
      </c>
      <c r="T10454" t="s">
        <v>42184</v>
      </c>
      <c r="U10454" t="s">
        <v>51319</v>
      </c>
      <c r="V10454" t="s">
        <v>54896</v>
      </c>
      <c r="W10454" t="s">
        <v>40022</v>
      </c>
      <c r="X10454" t="s">
        <v>40457</v>
      </c>
    </row>
    <row r="10455" spans="1:24">
      <c r="A10455">
        <f>HYPERLINK("https://www.philgeps.gov.ph/GEPSNONPILOT/Tender/SplashBidNoticeAbstractUI.aspx?menuIndex=3&amp;refID=7016696&amp;Result=3","7016696")</f>
        <v>0</v>
      </c>
      <c r="B10455" t="s">
        <v>2773</v>
      </c>
      <c r="C10455" t="s">
        <v>13063</v>
      </c>
      <c r="E10455" t="s">
        <v>25365</v>
      </c>
      <c r="F10455" t="s">
        <v>28198</v>
      </c>
      <c r="G10455" t="s">
        <v>28206</v>
      </c>
      <c r="H10455" t="s">
        <v>28215</v>
      </c>
      <c r="I10455" t="s">
        <v>3422</v>
      </c>
      <c r="J10455" t="s">
        <v>34805</v>
      </c>
      <c r="K10455" t="s">
        <v>36689</v>
      </c>
      <c r="M10455" t="s">
        <v>40022</v>
      </c>
      <c r="N10455" t="s">
        <v>40436</v>
      </c>
      <c r="O10455" t="s">
        <v>40437</v>
      </c>
      <c r="P10455">
        <v>0</v>
      </c>
      <c r="Q10455">
        <v>0</v>
      </c>
      <c r="R10455" t="s">
        <v>40451</v>
      </c>
      <c r="S10455" t="s">
        <v>41005</v>
      </c>
      <c r="T10455" t="s">
        <v>42184</v>
      </c>
      <c r="U10455" t="s">
        <v>51320</v>
      </c>
      <c r="V10455" t="s">
        <v>54923</v>
      </c>
      <c r="W10455" t="s">
        <v>40022</v>
      </c>
      <c r="X10455" t="s">
        <v>40457</v>
      </c>
    </row>
    <row r="10456" spans="1:24">
      <c r="A10456">
        <f>HYPERLINK("https://www.philgeps.gov.ph/GEPSNONPILOT/Tender/SplashBidNoticeAbstractUI.aspx?menuIndex=3&amp;refID=7017311&amp;Result=3","7017311")</f>
        <v>0</v>
      </c>
      <c r="B10456" t="s">
        <v>83</v>
      </c>
      <c r="C10456" t="s">
        <v>13064</v>
      </c>
      <c r="D10456" t="s">
        <v>16220</v>
      </c>
      <c r="E10456" t="s">
        <v>25366</v>
      </c>
      <c r="F10456" t="s">
        <v>28198</v>
      </c>
      <c r="G10456" t="s">
        <v>28205</v>
      </c>
      <c r="H10456" t="s">
        <v>28215</v>
      </c>
      <c r="I10456" t="s">
        <v>28224</v>
      </c>
      <c r="J10456" t="s">
        <v>28415</v>
      </c>
      <c r="K10456" t="s">
        <v>36701</v>
      </c>
      <c r="M10456" t="s">
        <v>37055</v>
      </c>
      <c r="N10456" t="s">
        <v>40436</v>
      </c>
      <c r="O10456" t="s">
        <v>40437</v>
      </c>
      <c r="P10456">
        <v>0</v>
      </c>
      <c r="Q10456">
        <v>1</v>
      </c>
      <c r="R10456" t="s">
        <v>40451</v>
      </c>
      <c r="S10456" t="s">
        <v>41005</v>
      </c>
      <c r="T10456" t="s">
        <v>42168</v>
      </c>
      <c r="U10456" t="s">
        <v>51321</v>
      </c>
      <c r="W10456" t="s">
        <v>37055</v>
      </c>
      <c r="X10456" t="s">
        <v>40457</v>
      </c>
    </row>
    <row r="10457" spans="1:24">
      <c r="A10457">
        <f>HYPERLINK("https://www.philgeps.gov.ph/GEPSNONPILOT/Tender/SplashBidNoticeAbstractUI.aspx?menuIndex=3&amp;refID=7018151&amp;Result=3","7018151")</f>
        <v>0</v>
      </c>
      <c r="B10457" t="s">
        <v>2773</v>
      </c>
      <c r="C10457" t="s">
        <v>13065</v>
      </c>
      <c r="E10457" t="s">
        <v>25367</v>
      </c>
      <c r="F10457" t="s">
        <v>28198</v>
      </c>
      <c r="G10457" t="s">
        <v>28206</v>
      </c>
      <c r="H10457" t="s">
        <v>28215</v>
      </c>
      <c r="I10457" t="s">
        <v>4200</v>
      </c>
      <c r="J10457" t="s">
        <v>31894</v>
      </c>
      <c r="K10457" t="s">
        <v>36689</v>
      </c>
      <c r="M10457" t="s">
        <v>40022</v>
      </c>
      <c r="N10457" t="s">
        <v>40436</v>
      </c>
      <c r="O10457" t="s">
        <v>40437</v>
      </c>
      <c r="P10457">
        <v>0</v>
      </c>
      <c r="Q10457">
        <v>0</v>
      </c>
      <c r="R10457" t="s">
        <v>40451</v>
      </c>
      <c r="S10457" t="s">
        <v>41005</v>
      </c>
      <c r="T10457" t="s">
        <v>42184</v>
      </c>
      <c r="U10457" t="s">
        <v>51322</v>
      </c>
      <c r="V10457" t="s">
        <v>54896</v>
      </c>
      <c r="W10457" t="s">
        <v>40022</v>
      </c>
      <c r="X10457" t="s">
        <v>40457</v>
      </c>
    </row>
    <row r="10458" spans="1:24">
      <c r="A10458">
        <f>HYPERLINK("https://www.philgeps.gov.ph/GEPSNONPILOT/Tender/SplashBidNoticeAbstractUI.aspx?menuIndex=3&amp;refID=7018260&amp;Result=3","7018260")</f>
        <v>0</v>
      </c>
      <c r="B10458" t="s">
        <v>2773</v>
      </c>
      <c r="C10458" t="s">
        <v>13066</v>
      </c>
      <c r="E10458" t="s">
        <v>25368</v>
      </c>
      <c r="F10458" t="s">
        <v>28198</v>
      </c>
      <c r="G10458" t="s">
        <v>28206</v>
      </c>
      <c r="H10458" t="s">
        <v>28215</v>
      </c>
      <c r="I10458" t="s">
        <v>8888</v>
      </c>
      <c r="J10458" t="s">
        <v>34812</v>
      </c>
      <c r="K10458" t="s">
        <v>36689</v>
      </c>
      <c r="M10458" t="s">
        <v>40022</v>
      </c>
      <c r="N10458" t="s">
        <v>40436</v>
      </c>
      <c r="O10458" t="s">
        <v>40437</v>
      </c>
      <c r="P10458">
        <v>0</v>
      </c>
      <c r="Q10458">
        <v>1</v>
      </c>
      <c r="R10458" t="s">
        <v>40451</v>
      </c>
      <c r="S10458" t="s">
        <v>41005</v>
      </c>
      <c r="T10458" t="s">
        <v>42184</v>
      </c>
      <c r="U10458" t="s">
        <v>51323</v>
      </c>
      <c r="V10458" t="s">
        <v>54896</v>
      </c>
      <c r="W10458" t="s">
        <v>40022</v>
      </c>
      <c r="X10458" t="s">
        <v>40457</v>
      </c>
    </row>
    <row r="10459" spans="1:24">
      <c r="A10459">
        <f>HYPERLINK("https://www.philgeps.gov.ph/GEPSNONPILOT/Tender/SplashBidNoticeAbstractUI.aspx?menuIndex=3&amp;refID=7017514&amp;Result=3","7017514")</f>
        <v>0</v>
      </c>
      <c r="B10459" t="s">
        <v>2758</v>
      </c>
      <c r="C10459" t="s">
        <v>13067</v>
      </c>
      <c r="D10459" t="s">
        <v>16200</v>
      </c>
      <c r="E10459" t="s">
        <v>16660</v>
      </c>
      <c r="F10459" t="s">
        <v>28198</v>
      </c>
      <c r="G10459" t="s">
        <v>28205</v>
      </c>
      <c r="H10459" t="s">
        <v>28215</v>
      </c>
      <c r="I10459" t="s">
        <v>28247</v>
      </c>
      <c r="J10459" t="s">
        <v>28347</v>
      </c>
      <c r="K10459" t="s">
        <v>36692</v>
      </c>
      <c r="M10459" t="s">
        <v>40007</v>
      </c>
      <c r="N10459" t="s">
        <v>40436</v>
      </c>
      <c r="O10459" t="s">
        <v>40437</v>
      </c>
      <c r="Q10459">
        <v>23</v>
      </c>
      <c r="R10459" t="s">
        <v>40451</v>
      </c>
      <c r="S10459" t="s">
        <v>41010</v>
      </c>
      <c r="T10459" t="s">
        <v>42560</v>
      </c>
      <c r="U10459" t="s">
        <v>51324</v>
      </c>
      <c r="W10459" t="s">
        <v>40007</v>
      </c>
      <c r="X10459" t="s">
        <v>40457</v>
      </c>
    </row>
    <row r="10460" spans="1:24">
      <c r="A10460">
        <f>HYPERLINK("https://www.philgeps.gov.ph/GEPSNONPILOT/Tender/SplashBidNoticeAbstractUI.aspx?menuIndex=3&amp;refID=7016680&amp;Result=3","7016680")</f>
        <v>0</v>
      </c>
      <c r="B10460" t="s">
        <v>2773</v>
      </c>
      <c r="C10460" t="s">
        <v>13068</v>
      </c>
      <c r="E10460" t="s">
        <v>25369</v>
      </c>
      <c r="F10460" t="s">
        <v>28198</v>
      </c>
      <c r="G10460" t="s">
        <v>28206</v>
      </c>
      <c r="H10460" t="s">
        <v>28215</v>
      </c>
      <c r="I10460" t="s">
        <v>3422</v>
      </c>
      <c r="J10460" t="s">
        <v>34805</v>
      </c>
      <c r="K10460" t="s">
        <v>36689</v>
      </c>
      <c r="M10460" t="s">
        <v>40022</v>
      </c>
      <c r="N10460" t="s">
        <v>40436</v>
      </c>
      <c r="O10460" t="s">
        <v>40437</v>
      </c>
      <c r="P10460">
        <v>0</v>
      </c>
      <c r="Q10460">
        <v>0</v>
      </c>
      <c r="R10460" t="s">
        <v>40451</v>
      </c>
      <c r="S10460" t="s">
        <v>41005</v>
      </c>
      <c r="T10460" t="s">
        <v>42184</v>
      </c>
      <c r="U10460" t="s">
        <v>51325</v>
      </c>
      <c r="V10460" t="s">
        <v>54896</v>
      </c>
      <c r="W10460" t="s">
        <v>40022</v>
      </c>
      <c r="X10460" t="s">
        <v>40457</v>
      </c>
    </row>
    <row r="10461" spans="1:24">
      <c r="A10461">
        <f>HYPERLINK("https://www.philgeps.gov.ph/GEPSNONPILOT/Tender/SplashBidNoticeAbstractUI.aspx?menuIndex=3&amp;refID=7018106&amp;Result=3","7018106")</f>
        <v>0</v>
      </c>
      <c r="B10461" t="s">
        <v>2773</v>
      </c>
      <c r="C10461" t="s">
        <v>13069</v>
      </c>
      <c r="E10461" t="s">
        <v>25370</v>
      </c>
      <c r="F10461" t="s">
        <v>28198</v>
      </c>
      <c r="G10461" t="s">
        <v>28206</v>
      </c>
      <c r="H10461" t="s">
        <v>28215</v>
      </c>
      <c r="I10461" t="s">
        <v>3422</v>
      </c>
      <c r="J10461" t="s">
        <v>28538</v>
      </c>
      <c r="K10461" t="s">
        <v>36689</v>
      </c>
      <c r="M10461" t="s">
        <v>40022</v>
      </c>
      <c r="N10461" t="s">
        <v>40436</v>
      </c>
      <c r="O10461" t="s">
        <v>40437</v>
      </c>
      <c r="P10461">
        <v>0</v>
      </c>
      <c r="Q10461">
        <v>0</v>
      </c>
      <c r="R10461" t="s">
        <v>40451</v>
      </c>
      <c r="S10461" t="s">
        <v>41005</v>
      </c>
      <c r="T10461" t="s">
        <v>42184</v>
      </c>
      <c r="U10461" t="s">
        <v>51326</v>
      </c>
      <c r="V10461" t="s">
        <v>54896</v>
      </c>
      <c r="W10461" t="s">
        <v>40022</v>
      </c>
      <c r="X10461" t="s">
        <v>40457</v>
      </c>
    </row>
    <row r="10462" spans="1:24">
      <c r="A10462">
        <f>HYPERLINK("https://www.philgeps.gov.ph/GEPSNONPILOT/Tender/SplashBidNoticeAbstractUI.aspx?menuIndex=3&amp;refID=7018188&amp;Result=3","7018188")</f>
        <v>0</v>
      </c>
      <c r="B10462" t="s">
        <v>2773</v>
      </c>
      <c r="C10462" t="s">
        <v>13070</v>
      </c>
      <c r="E10462" t="s">
        <v>25371</v>
      </c>
      <c r="F10462" t="s">
        <v>28198</v>
      </c>
      <c r="G10462" t="s">
        <v>28205</v>
      </c>
      <c r="H10462" t="s">
        <v>28215</v>
      </c>
      <c r="I10462" t="s">
        <v>8888</v>
      </c>
      <c r="J10462" t="s">
        <v>34813</v>
      </c>
      <c r="K10462" t="s">
        <v>36689</v>
      </c>
      <c r="M10462" t="s">
        <v>40022</v>
      </c>
      <c r="N10462" t="s">
        <v>40436</v>
      </c>
      <c r="O10462" t="s">
        <v>40437</v>
      </c>
      <c r="P10462">
        <v>0</v>
      </c>
      <c r="Q10462">
        <v>1</v>
      </c>
      <c r="R10462" t="s">
        <v>40451</v>
      </c>
      <c r="S10462" t="s">
        <v>41005</v>
      </c>
      <c r="T10462" t="s">
        <v>42184</v>
      </c>
      <c r="U10462" t="s">
        <v>51327</v>
      </c>
      <c r="V10462" t="s">
        <v>54896</v>
      </c>
      <c r="W10462" t="s">
        <v>40022</v>
      </c>
      <c r="X10462" t="s">
        <v>40457</v>
      </c>
    </row>
    <row r="10463" spans="1:24">
      <c r="A10463">
        <f>HYPERLINK("https://www.philgeps.gov.ph/GEPSNONPILOT/Tender/SplashBidNoticeAbstractUI.aspx?menuIndex=3&amp;refID=7018128&amp;Result=3","7018128")</f>
        <v>0</v>
      </c>
      <c r="B10463" t="s">
        <v>2773</v>
      </c>
      <c r="C10463" t="s">
        <v>13071</v>
      </c>
      <c r="E10463" t="s">
        <v>25372</v>
      </c>
      <c r="F10463" t="s">
        <v>28198</v>
      </c>
      <c r="G10463" t="s">
        <v>28206</v>
      </c>
      <c r="H10463" t="s">
        <v>28215</v>
      </c>
      <c r="I10463" t="s">
        <v>4168</v>
      </c>
      <c r="J10463" t="s">
        <v>28878</v>
      </c>
      <c r="K10463" t="s">
        <v>36689</v>
      </c>
      <c r="M10463" t="s">
        <v>40022</v>
      </c>
      <c r="N10463" t="s">
        <v>40436</v>
      </c>
      <c r="O10463" t="s">
        <v>40437</v>
      </c>
      <c r="P10463">
        <v>0</v>
      </c>
      <c r="Q10463">
        <v>2</v>
      </c>
      <c r="R10463" t="s">
        <v>40451</v>
      </c>
      <c r="S10463" t="s">
        <v>41005</v>
      </c>
      <c r="T10463" t="s">
        <v>42184</v>
      </c>
      <c r="U10463" t="s">
        <v>51328</v>
      </c>
      <c r="V10463" t="s">
        <v>54896</v>
      </c>
      <c r="W10463" t="s">
        <v>40022</v>
      </c>
      <c r="X10463" t="s">
        <v>40457</v>
      </c>
    </row>
    <row r="10464" spans="1:24">
      <c r="A10464">
        <f>HYPERLINK("https://www.philgeps.gov.ph/GEPSNONPILOT/Tender/SplashBidNoticeAbstractUI.aspx?menuIndex=3&amp;refID=7016662&amp;Result=3","7016662")</f>
        <v>0</v>
      </c>
      <c r="B10464" t="s">
        <v>2773</v>
      </c>
      <c r="C10464" t="s">
        <v>13072</v>
      </c>
      <c r="E10464" t="s">
        <v>25373</v>
      </c>
      <c r="F10464" t="s">
        <v>28198</v>
      </c>
      <c r="G10464" t="s">
        <v>28206</v>
      </c>
      <c r="H10464" t="s">
        <v>28215</v>
      </c>
      <c r="I10464" t="s">
        <v>3422</v>
      </c>
      <c r="J10464" t="s">
        <v>28538</v>
      </c>
      <c r="K10464" t="s">
        <v>36689</v>
      </c>
      <c r="M10464" t="s">
        <v>40022</v>
      </c>
      <c r="N10464" t="s">
        <v>40436</v>
      </c>
      <c r="O10464" t="s">
        <v>40437</v>
      </c>
      <c r="P10464">
        <v>0</v>
      </c>
      <c r="Q10464">
        <v>0</v>
      </c>
      <c r="R10464" t="s">
        <v>40451</v>
      </c>
      <c r="S10464" t="s">
        <v>41005</v>
      </c>
      <c r="T10464" t="s">
        <v>42184</v>
      </c>
      <c r="U10464" t="s">
        <v>51329</v>
      </c>
      <c r="V10464" t="s">
        <v>54896</v>
      </c>
      <c r="W10464" t="s">
        <v>40022</v>
      </c>
      <c r="X10464" t="s">
        <v>40457</v>
      </c>
    </row>
    <row r="10465" spans="1:24">
      <c r="A10465">
        <f>HYPERLINK("https://www.philgeps.gov.ph/GEPSNONPILOT/Tender/SplashBidNoticeAbstractUI.aspx?menuIndex=3&amp;refID=7019849&amp;Result=3","7019849")</f>
        <v>0</v>
      </c>
      <c r="B10465" t="s">
        <v>2773</v>
      </c>
      <c r="C10465" t="s">
        <v>13073</v>
      </c>
      <c r="E10465" t="s">
        <v>25374</v>
      </c>
      <c r="F10465" t="s">
        <v>28198</v>
      </c>
      <c r="G10465" t="s">
        <v>28205</v>
      </c>
      <c r="H10465" t="s">
        <v>28215</v>
      </c>
      <c r="I10465" t="s">
        <v>4200</v>
      </c>
      <c r="J10465" t="s">
        <v>34814</v>
      </c>
      <c r="K10465" t="s">
        <v>36689</v>
      </c>
      <c r="M10465" t="s">
        <v>40022</v>
      </c>
      <c r="N10465" t="s">
        <v>40436</v>
      </c>
      <c r="O10465" t="s">
        <v>40437</v>
      </c>
      <c r="P10465">
        <v>0</v>
      </c>
      <c r="Q10465">
        <v>0</v>
      </c>
      <c r="R10465" t="s">
        <v>40451</v>
      </c>
      <c r="S10465" t="s">
        <v>41005</v>
      </c>
      <c r="T10465" t="s">
        <v>42184</v>
      </c>
      <c r="U10465" t="s">
        <v>51330</v>
      </c>
      <c r="V10465" t="s">
        <v>54896</v>
      </c>
      <c r="W10465" t="s">
        <v>40022</v>
      </c>
      <c r="X10465" t="s">
        <v>40454</v>
      </c>
    </row>
    <row r="10466" spans="1:24">
      <c r="A10466">
        <f>HYPERLINK("https://www.philgeps.gov.ph/GEPSNONPILOT/Tender/SplashBidNoticeAbstractUI.aspx?menuIndex=3&amp;refID=7019214&amp;Result=3","7019214")</f>
        <v>0</v>
      </c>
      <c r="B10466" t="s">
        <v>2773</v>
      </c>
      <c r="C10466" t="s">
        <v>13074</v>
      </c>
      <c r="E10466" t="s">
        <v>25375</v>
      </c>
      <c r="F10466" t="s">
        <v>28198</v>
      </c>
      <c r="G10466" t="s">
        <v>28206</v>
      </c>
      <c r="H10466" t="s">
        <v>28215</v>
      </c>
      <c r="I10466" t="s">
        <v>4222</v>
      </c>
      <c r="J10466" t="s">
        <v>34815</v>
      </c>
      <c r="K10466" t="s">
        <v>36689</v>
      </c>
      <c r="M10466" t="s">
        <v>40022</v>
      </c>
      <c r="N10466" t="s">
        <v>40436</v>
      </c>
      <c r="O10466" t="s">
        <v>40437</v>
      </c>
      <c r="P10466">
        <v>0</v>
      </c>
      <c r="Q10466">
        <v>1</v>
      </c>
      <c r="R10466" t="s">
        <v>40451</v>
      </c>
      <c r="S10466" t="s">
        <v>41005</v>
      </c>
      <c r="T10466" t="s">
        <v>42184</v>
      </c>
      <c r="U10466" t="s">
        <v>51331</v>
      </c>
      <c r="V10466" t="s">
        <v>54896</v>
      </c>
      <c r="W10466" t="s">
        <v>40022</v>
      </c>
      <c r="X10466" t="s">
        <v>40454</v>
      </c>
    </row>
    <row r="10467" spans="1:24">
      <c r="A10467">
        <f>HYPERLINK("https://www.philgeps.gov.ph/GEPSNONPILOT/Tender/SplashBidNoticeAbstractUI.aspx?menuIndex=3&amp;refID=7019834&amp;Result=3","7019834")</f>
        <v>0</v>
      </c>
      <c r="B10467" t="s">
        <v>607</v>
      </c>
      <c r="C10467" t="s">
        <v>13075</v>
      </c>
      <c r="D10467" t="s">
        <v>16232</v>
      </c>
      <c r="E10467" t="s">
        <v>16473</v>
      </c>
      <c r="F10467" t="s">
        <v>28198</v>
      </c>
      <c r="G10467" t="s">
        <v>28205</v>
      </c>
      <c r="H10467" t="s">
        <v>28214</v>
      </c>
      <c r="I10467" t="s">
        <v>3797</v>
      </c>
      <c r="J10467" t="s">
        <v>28398</v>
      </c>
      <c r="K10467" t="s">
        <v>36694</v>
      </c>
      <c r="M10467" t="s">
        <v>37598</v>
      </c>
      <c r="N10467" t="s">
        <v>40436</v>
      </c>
      <c r="O10467" t="s">
        <v>40437</v>
      </c>
      <c r="P10467">
        <v>0</v>
      </c>
      <c r="Q10467">
        <v>0</v>
      </c>
      <c r="R10467" t="s">
        <v>40451</v>
      </c>
      <c r="S10467" t="s">
        <v>41005</v>
      </c>
      <c r="T10467" t="s">
        <v>42176</v>
      </c>
      <c r="U10467" t="s">
        <v>51332</v>
      </c>
      <c r="W10467" t="s">
        <v>37598</v>
      </c>
      <c r="X10467" t="s">
        <v>40454</v>
      </c>
    </row>
    <row r="10468" spans="1:24">
      <c r="A10468">
        <f>HYPERLINK("https://www.philgeps.gov.ph/GEPSNONPILOT/Tender/SplashBidNoticeAbstractUI.aspx?menuIndex=3&amp;refID=7019815&amp;Result=3","7019815")</f>
        <v>0</v>
      </c>
      <c r="B10468" t="s">
        <v>566</v>
      </c>
      <c r="C10468" t="s">
        <v>13076</v>
      </c>
      <c r="E10468" t="s">
        <v>25376</v>
      </c>
      <c r="F10468" t="s">
        <v>28198</v>
      </c>
      <c r="G10468" t="s">
        <v>28205</v>
      </c>
      <c r="H10468" t="s">
        <v>28215</v>
      </c>
      <c r="I10468" t="s">
        <v>28256</v>
      </c>
      <c r="J10468" t="s">
        <v>34816</v>
      </c>
      <c r="K10468" t="s">
        <v>36689</v>
      </c>
      <c r="M10468" t="s">
        <v>38045</v>
      </c>
      <c r="N10468" t="s">
        <v>40436</v>
      </c>
      <c r="O10468" t="s">
        <v>40437</v>
      </c>
      <c r="Q10468">
        <v>11</v>
      </c>
      <c r="R10468" t="s">
        <v>40451</v>
      </c>
      <c r="S10468" t="s">
        <v>41011</v>
      </c>
      <c r="T10468" t="s">
        <v>42134</v>
      </c>
      <c r="U10468" t="s">
        <v>51333</v>
      </c>
      <c r="W10468" t="s">
        <v>38045</v>
      </c>
      <c r="X10468" t="s">
        <v>40454</v>
      </c>
    </row>
    <row r="10469" spans="1:24">
      <c r="A10469">
        <f>HYPERLINK("https://www.philgeps.gov.ph/GEPSNONPILOT/Tender/SplashBidNoticeAbstractUI.aspx?menuIndex=3&amp;refID=7019500&amp;Result=3","7019500")</f>
        <v>0</v>
      </c>
      <c r="B10469" t="s">
        <v>105</v>
      </c>
      <c r="C10469" t="s">
        <v>13077</v>
      </c>
      <c r="D10469" t="s">
        <v>16233</v>
      </c>
      <c r="E10469" t="s">
        <v>25377</v>
      </c>
      <c r="F10469" t="s">
        <v>28198</v>
      </c>
      <c r="G10469" t="s">
        <v>28207</v>
      </c>
      <c r="H10469" t="s">
        <v>28215</v>
      </c>
      <c r="I10469" t="s">
        <v>28274</v>
      </c>
      <c r="J10469" t="s">
        <v>28530</v>
      </c>
      <c r="K10469" t="s">
        <v>36706</v>
      </c>
      <c r="M10469" t="s">
        <v>39589</v>
      </c>
      <c r="N10469" t="s">
        <v>40436</v>
      </c>
      <c r="O10469" t="s">
        <v>40437</v>
      </c>
      <c r="P10469">
        <v>0</v>
      </c>
      <c r="Q10469">
        <v>1</v>
      </c>
      <c r="R10469" t="s">
        <v>40451</v>
      </c>
      <c r="S10469" t="s">
        <v>41005</v>
      </c>
      <c r="T10469" t="s">
        <v>42218</v>
      </c>
      <c r="U10469" t="s">
        <v>51334</v>
      </c>
      <c r="W10469" t="s">
        <v>39589</v>
      </c>
      <c r="X10469" t="s">
        <v>40454</v>
      </c>
    </row>
    <row r="10470" spans="1:24">
      <c r="A10470">
        <f>HYPERLINK("https://www.philgeps.gov.ph/GEPSNONPILOT/Tender/SplashBidNoticeAbstractUI.aspx?menuIndex=3&amp;refID=7019220&amp;Result=3","7019220")</f>
        <v>0</v>
      </c>
      <c r="B10470" t="s">
        <v>2773</v>
      </c>
      <c r="C10470" t="s">
        <v>13078</v>
      </c>
      <c r="E10470" t="s">
        <v>25378</v>
      </c>
      <c r="F10470" t="s">
        <v>28198</v>
      </c>
      <c r="G10470" t="s">
        <v>28206</v>
      </c>
      <c r="H10470" t="s">
        <v>28215</v>
      </c>
      <c r="I10470" t="s">
        <v>3774</v>
      </c>
      <c r="J10470" t="s">
        <v>30563</v>
      </c>
      <c r="K10470" t="s">
        <v>36689</v>
      </c>
      <c r="M10470" t="s">
        <v>40022</v>
      </c>
      <c r="N10470" t="s">
        <v>40436</v>
      </c>
      <c r="O10470" t="s">
        <v>40437</v>
      </c>
      <c r="P10470">
        <v>0</v>
      </c>
      <c r="Q10470">
        <v>0</v>
      </c>
      <c r="R10470" t="s">
        <v>40451</v>
      </c>
      <c r="S10470" t="s">
        <v>41005</v>
      </c>
      <c r="T10470" t="s">
        <v>42184</v>
      </c>
      <c r="U10470" t="s">
        <v>51335</v>
      </c>
      <c r="V10470" t="s">
        <v>54896</v>
      </c>
      <c r="W10470" t="s">
        <v>40022</v>
      </c>
      <c r="X10470" t="s">
        <v>40454</v>
      </c>
    </row>
    <row r="10471" spans="1:24">
      <c r="A10471">
        <f>HYPERLINK("https://www.philgeps.gov.ph/GEPSNONPILOT/Tender/SplashBidNoticeAbstractUI.aspx?menuIndex=3&amp;refID=7019845&amp;Result=3","7019845")</f>
        <v>0</v>
      </c>
      <c r="B10471" t="s">
        <v>566</v>
      </c>
      <c r="C10471" t="s">
        <v>13079</v>
      </c>
      <c r="E10471" t="s">
        <v>25379</v>
      </c>
      <c r="F10471" t="s">
        <v>28198</v>
      </c>
      <c r="G10471" t="s">
        <v>28205</v>
      </c>
      <c r="H10471" t="s">
        <v>28215</v>
      </c>
      <c r="I10471" t="s">
        <v>28256</v>
      </c>
      <c r="J10471" t="s">
        <v>29208</v>
      </c>
      <c r="K10471" t="s">
        <v>36689</v>
      </c>
      <c r="M10471" t="s">
        <v>38045</v>
      </c>
      <c r="N10471" t="s">
        <v>40436</v>
      </c>
      <c r="O10471" t="s">
        <v>40437</v>
      </c>
      <c r="Q10471">
        <v>7</v>
      </c>
      <c r="R10471" t="s">
        <v>40451</v>
      </c>
      <c r="S10471" t="s">
        <v>41012</v>
      </c>
      <c r="T10471" t="s">
        <v>42134</v>
      </c>
      <c r="U10471" t="s">
        <v>51336</v>
      </c>
      <c r="W10471" t="s">
        <v>38045</v>
      </c>
      <c r="X10471" t="s">
        <v>40454</v>
      </c>
    </row>
    <row r="10472" spans="1:24">
      <c r="A10472">
        <f>HYPERLINK("https://www.philgeps.gov.ph/GEPSNONPILOT/Tender/SplashBidNoticeAbstractUI.aspx?menuIndex=3&amp;refID=7019837&amp;Result=3","7019837")</f>
        <v>0</v>
      </c>
      <c r="B10472" t="s">
        <v>566</v>
      </c>
      <c r="C10472" t="s">
        <v>13080</v>
      </c>
      <c r="E10472" t="s">
        <v>25380</v>
      </c>
      <c r="F10472" t="s">
        <v>28198</v>
      </c>
      <c r="G10472" t="s">
        <v>28205</v>
      </c>
      <c r="H10472" t="s">
        <v>28215</v>
      </c>
      <c r="I10472" t="s">
        <v>28256</v>
      </c>
      <c r="J10472" t="s">
        <v>30237</v>
      </c>
      <c r="K10472" t="s">
        <v>36689</v>
      </c>
      <c r="M10472" t="s">
        <v>38045</v>
      </c>
      <c r="N10472" t="s">
        <v>40436</v>
      </c>
      <c r="O10472" t="s">
        <v>40437</v>
      </c>
      <c r="Q10472">
        <v>22</v>
      </c>
      <c r="R10472" t="s">
        <v>40451</v>
      </c>
      <c r="S10472" t="s">
        <v>40629</v>
      </c>
      <c r="T10472" t="s">
        <v>42134</v>
      </c>
      <c r="U10472" t="s">
        <v>51337</v>
      </c>
      <c r="W10472" t="s">
        <v>38045</v>
      </c>
      <c r="X10472" t="s">
        <v>40454</v>
      </c>
    </row>
    <row r="10473" spans="1:24">
      <c r="A10473">
        <f>HYPERLINK("https://www.philgeps.gov.ph/GEPSNONPILOT/Tender/SplashBidNoticeAbstractUI.aspx?menuIndex=3&amp;refID=7019295&amp;Result=3","7019295")</f>
        <v>0</v>
      </c>
      <c r="B10473" t="s">
        <v>566</v>
      </c>
      <c r="C10473" t="s">
        <v>13081</v>
      </c>
      <c r="E10473" t="s">
        <v>25381</v>
      </c>
      <c r="F10473" t="s">
        <v>28198</v>
      </c>
      <c r="G10473" t="s">
        <v>28205</v>
      </c>
      <c r="H10473" t="s">
        <v>28215</v>
      </c>
      <c r="I10473" t="s">
        <v>28256</v>
      </c>
      <c r="J10473" t="s">
        <v>34020</v>
      </c>
      <c r="K10473" t="s">
        <v>36689</v>
      </c>
      <c r="M10473" t="s">
        <v>38045</v>
      </c>
      <c r="N10473" t="s">
        <v>40436</v>
      </c>
      <c r="O10473" t="s">
        <v>40437</v>
      </c>
      <c r="Q10473">
        <v>13</v>
      </c>
      <c r="R10473" t="s">
        <v>40451</v>
      </c>
      <c r="S10473" t="s">
        <v>41013</v>
      </c>
      <c r="T10473" t="s">
        <v>42134</v>
      </c>
      <c r="U10473" t="s">
        <v>51338</v>
      </c>
      <c r="W10473" t="s">
        <v>38045</v>
      </c>
      <c r="X10473" t="s">
        <v>40454</v>
      </c>
    </row>
    <row r="10474" spans="1:24">
      <c r="A10474">
        <f>HYPERLINK("https://www.philgeps.gov.ph/GEPSNONPILOT/Tender/SplashBidNoticeAbstractUI.aspx?menuIndex=3&amp;refID=7019497&amp;Result=3","7019497")</f>
        <v>0</v>
      </c>
      <c r="B10474" t="s">
        <v>2773</v>
      </c>
      <c r="C10474" t="s">
        <v>13082</v>
      </c>
      <c r="E10474" t="s">
        <v>25382</v>
      </c>
      <c r="F10474" t="s">
        <v>28198</v>
      </c>
      <c r="G10474" t="s">
        <v>28206</v>
      </c>
      <c r="H10474" t="s">
        <v>28215</v>
      </c>
      <c r="I10474" t="s">
        <v>8888</v>
      </c>
      <c r="J10474" t="s">
        <v>34817</v>
      </c>
      <c r="K10474" t="s">
        <v>36689</v>
      </c>
      <c r="M10474" t="s">
        <v>40022</v>
      </c>
      <c r="N10474" t="s">
        <v>40436</v>
      </c>
      <c r="O10474" t="s">
        <v>40437</v>
      </c>
      <c r="P10474">
        <v>0</v>
      </c>
      <c r="Q10474">
        <v>1</v>
      </c>
      <c r="R10474" t="s">
        <v>40451</v>
      </c>
      <c r="S10474" t="s">
        <v>41005</v>
      </c>
      <c r="T10474" t="s">
        <v>42184</v>
      </c>
      <c r="U10474" t="s">
        <v>51339</v>
      </c>
      <c r="V10474" t="s">
        <v>54896</v>
      </c>
      <c r="W10474" t="s">
        <v>40022</v>
      </c>
      <c r="X10474" t="s">
        <v>40454</v>
      </c>
    </row>
    <row r="10475" spans="1:24">
      <c r="A10475">
        <f>HYPERLINK("https://www.philgeps.gov.ph/GEPSNONPILOT/Tender/SplashBidNoticeAbstractUI.aspx?menuIndex=3&amp;refID=7019827&amp;Result=3","7019827")</f>
        <v>0</v>
      </c>
      <c r="B10475" t="s">
        <v>566</v>
      </c>
      <c r="C10475" t="s">
        <v>13083</v>
      </c>
      <c r="E10475" t="s">
        <v>25383</v>
      </c>
      <c r="F10475" t="s">
        <v>28198</v>
      </c>
      <c r="G10475" t="s">
        <v>28205</v>
      </c>
      <c r="H10475" t="s">
        <v>28215</v>
      </c>
      <c r="I10475" t="s">
        <v>28256</v>
      </c>
      <c r="J10475" t="s">
        <v>28393</v>
      </c>
      <c r="K10475" t="s">
        <v>36689</v>
      </c>
      <c r="M10475" t="s">
        <v>38045</v>
      </c>
      <c r="N10475" t="s">
        <v>40436</v>
      </c>
      <c r="O10475" t="s">
        <v>40437</v>
      </c>
      <c r="Q10475">
        <v>8</v>
      </c>
      <c r="R10475" t="s">
        <v>40451</v>
      </c>
      <c r="S10475" t="s">
        <v>41014</v>
      </c>
      <c r="T10475" t="s">
        <v>42134</v>
      </c>
      <c r="U10475" t="s">
        <v>51340</v>
      </c>
      <c r="W10475" t="s">
        <v>38045</v>
      </c>
      <c r="X10475" t="s">
        <v>40454</v>
      </c>
    </row>
    <row r="10476" spans="1:24">
      <c r="A10476">
        <f>HYPERLINK("https://www.philgeps.gov.ph/GEPSNONPILOT/Tender/SplashBidNoticeAbstractUI.aspx?menuIndex=3&amp;refID=7019898&amp;Result=3","7019898")</f>
        <v>0</v>
      </c>
      <c r="B10476" t="s">
        <v>2773</v>
      </c>
      <c r="C10476" t="s">
        <v>13084</v>
      </c>
      <c r="E10476" t="s">
        <v>25384</v>
      </c>
      <c r="F10476" t="s">
        <v>28198</v>
      </c>
      <c r="G10476" t="s">
        <v>28205</v>
      </c>
      <c r="H10476" t="s">
        <v>28215</v>
      </c>
      <c r="I10476" t="s">
        <v>4200</v>
      </c>
      <c r="J10476" t="s">
        <v>34818</v>
      </c>
      <c r="K10476" t="s">
        <v>36689</v>
      </c>
      <c r="M10476" t="s">
        <v>40022</v>
      </c>
      <c r="N10476" t="s">
        <v>40436</v>
      </c>
      <c r="O10476" t="s">
        <v>40437</v>
      </c>
      <c r="P10476">
        <v>0</v>
      </c>
      <c r="Q10476">
        <v>0</v>
      </c>
      <c r="R10476" t="s">
        <v>40451</v>
      </c>
      <c r="S10476" t="s">
        <v>41005</v>
      </c>
      <c r="T10476" t="s">
        <v>42184</v>
      </c>
      <c r="U10476" t="s">
        <v>51341</v>
      </c>
      <c r="V10476" t="s">
        <v>54896</v>
      </c>
      <c r="W10476" t="s">
        <v>40022</v>
      </c>
      <c r="X10476" t="s">
        <v>40454</v>
      </c>
    </row>
    <row r="10477" spans="1:24">
      <c r="A10477">
        <f>HYPERLINK("https://www.philgeps.gov.ph/GEPSNONPILOT/Tender/SplashBidNoticeAbstractUI.aspx?menuIndex=3&amp;refID=7019435&amp;Result=3","7019435")</f>
        <v>0</v>
      </c>
      <c r="B10477" t="s">
        <v>2773</v>
      </c>
      <c r="C10477" t="s">
        <v>13085</v>
      </c>
      <c r="E10477" t="s">
        <v>25385</v>
      </c>
      <c r="F10477" t="s">
        <v>28198</v>
      </c>
      <c r="G10477" t="s">
        <v>28205</v>
      </c>
      <c r="H10477" t="s">
        <v>28215</v>
      </c>
      <c r="I10477" t="s">
        <v>8888</v>
      </c>
      <c r="J10477" t="s">
        <v>34819</v>
      </c>
      <c r="K10477" t="s">
        <v>36689</v>
      </c>
      <c r="M10477" t="s">
        <v>40022</v>
      </c>
      <c r="N10477" t="s">
        <v>40436</v>
      </c>
      <c r="O10477" t="s">
        <v>40437</v>
      </c>
      <c r="P10477">
        <v>0</v>
      </c>
      <c r="Q10477">
        <v>1</v>
      </c>
      <c r="R10477" t="s">
        <v>40451</v>
      </c>
      <c r="S10477" t="s">
        <v>41005</v>
      </c>
      <c r="T10477" t="s">
        <v>42184</v>
      </c>
      <c r="U10477" t="s">
        <v>51342</v>
      </c>
      <c r="V10477" t="s">
        <v>54896</v>
      </c>
      <c r="W10477" t="s">
        <v>40022</v>
      </c>
      <c r="X10477" t="s">
        <v>40454</v>
      </c>
    </row>
    <row r="10478" spans="1:24">
      <c r="A10478">
        <f>HYPERLINK("https://www.philgeps.gov.ph/GEPSNONPILOT/Tender/SplashBidNoticeAbstractUI.aspx?menuIndex=3&amp;refID=7019861&amp;Result=3","7019861")</f>
        <v>0</v>
      </c>
      <c r="B10478" t="s">
        <v>566</v>
      </c>
      <c r="C10478" t="s">
        <v>13086</v>
      </c>
      <c r="E10478" t="s">
        <v>25386</v>
      </c>
      <c r="F10478" t="s">
        <v>28198</v>
      </c>
      <c r="G10478" t="s">
        <v>28205</v>
      </c>
      <c r="H10478" t="s">
        <v>28215</v>
      </c>
      <c r="I10478" t="s">
        <v>28256</v>
      </c>
      <c r="J10478" t="s">
        <v>28652</v>
      </c>
      <c r="K10478" t="s">
        <v>36689</v>
      </c>
      <c r="M10478" t="s">
        <v>38045</v>
      </c>
      <c r="N10478" t="s">
        <v>40436</v>
      </c>
      <c r="O10478" t="s">
        <v>40437</v>
      </c>
      <c r="Q10478">
        <v>5</v>
      </c>
      <c r="R10478" t="s">
        <v>40451</v>
      </c>
      <c r="S10478" t="s">
        <v>41015</v>
      </c>
      <c r="T10478" t="s">
        <v>42134</v>
      </c>
      <c r="U10478" t="s">
        <v>51343</v>
      </c>
      <c r="W10478" t="s">
        <v>38045</v>
      </c>
      <c r="X10478" t="s">
        <v>40454</v>
      </c>
    </row>
    <row r="10479" spans="1:24">
      <c r="A10479">
        <f>HYPERLINK("https://www.philgeps.gov.ph/GEPSNONPILOT/Tender/SplashBidNoticeAbstractUI.aspx?menuIndex=3&amp;refID=7019231&amp;Result=3","7019231")</f>
        <v>0</v>
      </c>
      <c r="B10479" t="s">
        <v>2773</v>
      </c>
      <c r="C10479" t="s">
        <v>13087</v>
      </c>
      <c r="E10479" t="s">
        <v>25387</v>
      </c>
      <c r="F10479" t="s">
        <v>28198</v>
      </c>
      <c r="G10479" t="s">
        <v>28206</v>
      </c>
      <c r="H10479" t="s">
        <v>28215</v>
      </c>
      <c r="I10479" t="s">
        <v>3774</v>
      </c>
      <c r="J10479" t="s">
        <v>34820</v>
      </c>
      <c r="K10479" t="s">
        <v>36689</v>
      </c>
      <c r="M10479" t="s">
        <v>40022</v>
      </c>
      <c r="N10479" t="s">
        <v>40436</v>
      </c>
      <c r="O10479" t="s">
        <v>40437</v>
      </c>
      <c r="P10479">
        <v>0</v>
      </c>
      <c r="Q10479">
        <v>0</v>
      </c>
      <c r="R10479" t="s">
        <v>40451</v>
      </c>
      <c r="S10479" t="s">
        <v>41005</v>
      </c>
      <c r="T10479" t="s">
        <v>42184</v>
      </c>
      <c r="U10479" t="s">
        <v>51344</v>
      </c>
      <c r="V10479" t="s">
        <v>54896</v>
      </c>
      <c r="W10479" t="s">
        <v>40022</v>
      </c>
      <c r="X10479" t="s">
        <v>40454</v>
      </c>
    </row>
    <row r="10480" spans="1:24">
      <c r="A10480">
        <f>HYPERLINK("https://www.philgeps.gov.ph/GEPSNONPILOT/Tender/SplashBidNoticeAbstractUI.aspx?menuIndex=3&amp;refID=7019255&amp;Result=3","7019255")</f>
        <v>0</v>
      </c>
      <c r="B10480" t="s">
        <v>2773</v>
      </c>
      <c r="C10480" t="s">
        <v>13088</v>
      </c>
      <c r="E10480" t="s">
        <v>25388</v>
      </c>
      <c r="F10480" t="s">
        <v>28198</v>
      </c>
      <c r="G10480" t="s">
        <v>28206</v>
      </c>
      <c r="H10480" t="s">
        <v>28215</v>
      </c>
      <c r="I10480" t="s">
        <v>3774</v>
      </c>
      <c r="J10480" t="s">
        <v>28558</v>
      </c>
      <c r="K10480" t="s">
        <v>36689</v>
      </c>
      <c r="M10480" t="s">
        <v>40022</v>
      </c>
      <c r="N10480" t="s">
        <v>40436</v>
      </c>
      <c r="O10480" t="s">
        <v>40437</v>
      </c>
      <c r="P10480">
        <v>0</v>
      </c>
      <c r="Q10480">
        <v>0</v>
      </c>
      <c r="R10480" t="s">
        <v>40451</v>
      </c>
      <c r="S10480" t="s">
        <v>41005</v>
      </c>
      <c r="T10480" t="s">
        <v>42184</v>
      </c>
      <c r="U10480" t="s">
        <v>51345</v>
      </c>
      <c r="V10480" t="s">
        <v>54896</v>
      </c>
      <c r="W10480" t="s">
        <v>40022</v>
      </c>
      <c r="X10480" t="s">
        <v>40454</v>
      </c>
    </row>
    <row r="10481" spans="1:24">
      <c r="A10481">
        <f>HYPERLINK("https://www.philgeps.gov.ph/GEPSNONPILOT/Tender/SplashBidNoticeAbstractUI.aspx?menuIndex=3&amp;refID=7019908&amp;Result=3","7019908")</f>
        <v>0</v>
      </c>
      <c r="B10481" t="s">
        <v>2811</v>
      </c>
      <c r="C10481" t="s">
        <v>13089</v>
      </c>
      <c r="D10481" t="s">
        <v>16221</v>
      </c>
      <c r="E10481" t="s">
        <v>25389</v>
      </c>
      <c r="F10481" t="s">
        <v>28198</v>
      </c>
      <c r="G10481" t="s">
        <v>28205</v>
      </c>
      <c r="H10481" t="s">
        <v>28214</v>
      </c>
      <c r="I10481" t="s">
        <v>3797</v>
      </c>
      <c r="J10481" t="s">
        <v>28752</v>
      </c>
      <c r="K10481" t="s">
        <v>36697</v>
      </c>
      <c r="M10481" t="s">
        <v>40062</v>
      </c>
      <c r="N10481" t="s">
        <v>40436</v>
      </c>
      <c r="O10481" t="s">
        <v>40437</v>
      </c>
      <c r="P10481">
        <v>0</v>
      </c>
      <c r="Q10481">
        <v>0</v>
      </c>
      <c r="R10481" t="s">
        <v>40451</v>
      </c>
      <c r="S10481" t="s">
        <v>41005</v>
      </c>
      <c r="T10481" t="s">
        <v>42306</v>
      </c>
      <c r="U10481" t="s">
        <v>51346</v>
      </c>
      <c r="W10481" t="s">
        <v>40062</v>
      </c>
      <c r="X10481" t="s">
        <v>40454</v>
      </c>
    </row>
    <row r="10482" spans="1:24">
      <c r="A10482">
        <f>HYPERLINK("https://www.philgeps.gov.ph/GEPSNONPILOT/Tender/SplashBidNoticeAbstractUI.aspx?menuIndex=3&amp;refID=7019227&amp;Result=3","7019227")</f>
        <v>0</v>
      </c>
      <c r="B10482" t="s">
        <v>2773</v>
      </c>
      <c r="C10482" t="s">
        <v>13090</v>
      </c>
      <c r="E10482" t="s">
        <v>25390</v>
      </c>
      <c r="F10482" t="s">
        <v>28198</v>
      </c>
      <c r="G10482" t="s">
        <v>28206</v>
      </c>
      <c r="H10482" t="s">
        <v>28215</v>
      </c>
      <c r="I10482" t="s">
        <v>3774</v>
      </c>
      <c r="J10482" t="s">
        <v>34821</v>
      </c>
      <c r="K10482" t="s">
        <v>36689</v>
      </c>
      <c r="M10482" t="s">
        <v>40022</v>
      </c>
      <c r="N10482" t="s">
        <v>40436</v>
      </c>
      <c r="O10482" t="s">
        <v>40437</v>
      </c>
      <c r="P10482">
        <v>0</v>
      </c>
      <c r="Q10482">
        <v>0</v>
      </c>
      <c r="R10482" t="s">
        <v>40451</v>
      </c>
      <c r="S10482" t="s">
        <v>41005</v>
      </c>
      <c r="T10482" t="s">
        <v>42184</v>
      </c>
      <c r="U10482" t="s">
        <v>51347</v>
      </c>
      <c r="V10482" t="s">
        <v>54896</v>
      </c>
      <c r="W10482" t="s">
        <v>40022</v>
      </c>
      <c r="X10482" t="s">
        <v>40454</v>
      </c>
    </row>
    <row r="10483" spans="1:24">
      <c r="A10483">
        <f>HYPERLINK("https://www.philgeps.gov.ph/GEPSNONPILOT/Tender/SplashBidNoticeAbstractUI.aspx?menuIndex=3&amp;refID=7019867&amp;Result=3","7019867")</f>
        <v>0</v>
      </c>
      <c r="B10483" t="s">
        <v>566</v>
      </c>
      <c r="C10483" t="s">
        <v>13091</v>
      </c>
      <c r="E10483" t="s">
        <v>25391</v>
      </c>
      <c r="F10483" t="s">
        <v>28198</v>
      </c>
      <c r="G10483" t="s">
        <v>28205</v>
      </c>
      <c r="H10483" t="s">
        <v>28215</v>
      </c>
      <c r="I10483" t="s">
        <v>28256</v>
      </c>
      <c r="J10483" t="s">
        <v>28398</v>
      </c>
      <c r="K10483" t="s">
        <v>36689</v>
      </c>
      <c r="M10483" t="s">
        <v>38045</v>
      </c>
      <c r="N10483" t="s">
        <v>40436</v>
      </c>
      <c r="O10483" t="s">
        <v>40437</v>
      </c>
      <c r="Q10483">
        <v>11</v>
      </c>
      <c r="R10483" t="s">
        <v>40451</v>
      </c>
      <c r="S10483" t="s">
        <v>40598</v>
      </c>
      <c r="T10483" t="s">
        <v>42134</v>
      </c>
      <c r="U10483" t="s">
        <v>51348</v>
      </c>
      <c r="W10483" t="s">
        <v>38045</v>
      </c>
      <c r="X10483" t="s">
        <v>40454</v>
      </c>
    </row>
    <row r="10484" spans="1:24">
      <c r="A10484">
        <f>HYPERLINK("https://www.philgeps.gov.ph/GEPSNONPILOT/Tender/SplashBidNoticeAbstractUI.aspx?menuIndex=3&amp;refID=7019923&amp;Result=3","7019923")</f>
        <v>0</v>
      </c>
      <c r="B10484" t="s">
        <v>2773</v>
      </c>
      <c r="C10484" t="s">
        <v>13092</v>
      </c>
      <c r="E10484" t="s">
        <v>25384</v>
      </c>
      <c r="F10484" t="s">
        <v>28198</v>
      </c>
      <c r="G10484" t="s">
        <v>28206</v>
      </c>
      <c r="H10484" t="s">
        <v>28215</v>
      </c>
      <c r="I10484" t="s">
        <v>4200</v>
      </c>
      <c r="J10484" t="s">
        <v>31894</v>
      </c>
      <c r="K10484" t="s">
        <v>36689</v>
      </c>
      <c r="M10484" t="s">
        <v>40022</v>
      </c>
      <c r="N10484" t="s">
        <v>40436</v>
      </c>
      <c r="O10484" t="s">
        <v>40437</v>
      </c>
      <c r="P10484">
        <v>0</v>
      </c>
      <c r="Q10484">
        <v>0</v>
      </c>
      <c r="R10484" t="s">
        <v>40451</v>
      </c>
      <c r="S10484" t="s">
        <v>41005</v>
      </c>
      <c r="T10484" t="s">
        <v>42184</v>
      </c>
      <c r="U10484" t="s">
        <v>51349</v>
      </c>
      <c r="V10484" t="s">
        <v>54896</v>
      </c>
      <c r="W10484" t="s">
        <v>40022</v>
      </c>
      <c r="X10484" t="s">
        <v>40454</v>
      </c>
    </row>
    <row r="10485" spans="1:24">
      <c r="A10485">
        <f>HYPERLINK("https://www.philgeps.gov.ph/GEPSNONPILOT/Tender/SplashBidNoticeAbstractUI.aspx?menuIndex=3&amp;refID=7020144&amp;Result=3","7020144")</f>
        <v>0</v>
      </c>
      <c r="B10485" t="s">
        <v>2592</v>
      </c>
      <c r="C10485" t="s">
        <v>13093</v>
      </c>
      <c r="D10485" t="s">
        <v>16224</v>
      </c>
      <c r="E10485" t="s">
        <v>25392</v>
      </c>
      <c r="F10485" t="s">
        <v>28198</v>
      </c>
      <c r="G10485" t="s">
        <v>28205</v>
      </c>
      <c r="H10485" t="s">
        <v>28214</v>
      </c>
      <c r="I10485" t="s">
        <v>3797</v>
      </c>
      <c r="J10485" t="s">
        <v>28398</v>
      </c>
      <c r="K10485" t="s">
        <v>36701</v>
      </c>
      <c r="L10485" t="s">
        <v>2592</v>
      </c>
      <c r="M10485" t="s">
        <v>39807</v>
      </c>
      <c r="N10485" t="s">
        <v>40436</v>
      </c>
      <c r="O10485" t="s">
        <v>40437</v>
      </c>
      <c r="P10485">
        <v>0</v>
      </c>
      <c r="Q10485">
        <v>1</v>
      </c>
      <c r="R10485" t="s">
        <v>40451</v>
      </c>
      <c r="S10485" t="s">
        <v>41005</v>
      </c>
      <c r="T10485" t="s">
        <v>42112</v>
      </c>
      <c r="U10485" t="s">
        <v>50206</v>
      </c>
      <c r="V10485" t="s">
        <v>54755</v>
      </c>
      <c r="W10485" t="s">
        <v>39807</v>
      </c>
      <c r="X10485" t="s">
        <v>40454</v>
      </c>
    </row>
    <row r="10486" spans="1:24">
      <c r="A10486">
        <f>HYPERLINK("https://www.philgeps.gov.ph/GEPSNONPILOT/Tender/SplashBidNoticeAbstractUI.aspx?menuIndex=3&amp;refID=7019881&amp;Result=3","7019881")</f>
        <v>0</v>
      </c>
      <c r="B10486" t="s">
        <v>566</v>
      </c>
      <c r="C10486" t="s">
        <v>13094</v>
      </c>
      <c r="E10486" t="s">
        <v>25393</v>
      </c>
      <c r="F10486" t="s">
        <v>28198</v>
      </c>
      <c r="G10486" t="s">
        <v>28205</v>
      </c>
      <c r="H10486" t="s">
        <v>28215</v>
      </c>
      <c r="I10486" t="s">
        <v>28256</v>
      </c>
      <c r="J10486" t="s">
        <v>34822</v>
      </c>
      <c r="K10486" t="s">
        <v>36689</v>
      </c>
      <c r="M10486" t="s">
        <v>38045</v>
      </c>
      <c r="N10486" t="s">
        <v>40436</v>
      </c>
      <c r="O10486" t="s">
        <v>40437</v>
      </c>
      <c r="Q10486">
        <v>28</v>
      </c>
      <c r="R10486" t="s">
        <v>40451</v>
      </c>
      <c r="S10486" t="s">
        <v>41016</v>
      </c>
      <c r="T10486" t="s">
        <v>42134</v>
      </c>
      <c r="U10486" t="s">
        <v>51350</v>
      </c>
      <c r="W10486" t="s">
        <v>38045</v>
      </c>
      <c r="X10486" t="s">
        <v>40454</v>
      </c>
    </row>
    <row r="10487" spans="1:24">
      <c r="A10487">
        <f>HYPERLINK("https://www.philgeps.gov.ph/GEPSNONPILOT/Tender/SplashBidNoticeAbstractUI.aspx?menuIndex=3&amp;refID=7020280&amp;Result=3","7020280")</f>
        <v>0</v>
      </c>
      <c r="B10487" t="s">
        <v>2592</v>
      </c>
      <c r="C10487" t="s">
        <v>13095</v>
      </c>
      <c r="D10487" t="s">
        <v>16224</v>
      </c>
      <c r="E10487" t="s">
        <v>25394</v>
      </c>
      <c r="F10487" t="s">
        <v>28198</v>
      </c>
      <c r="G10487" t="s">
        <v>28205</v>
      </c>
      <c r="H10487" t="s">
        <v>28214</v>
      </c>
      <c r="I10487" t="s">
        <v>3797</v>
      </c>
      <c r="J10487" t="s">
        <v>28347</v>
      </c>
      <c r="K10487" t="s">
        <v>36690</v>
      </c>
      <c r="L10487" t="s">
        <v>2592</v>
      </c>
      <c r="M10487" t="s">
        <v>39807</v>
      </c>
      <c r="N10487" t="s">
        <v>40436</v>
      </c>
      <c r="O10487" t="s">
        <v>40437</v>
      </c>
      <c r="P10487">
        <v>0</v>
      </c>
      <c r="Q10487">
        <v>0</v>
      </c>
      <c r="R10487" t="s">
        <v>40451</v>
      </c>
      <c r="S10487" t="s">
        <v>41005</v>
      </c>
      <c r="T10487" t="s">
        <v>42112</v>
      </c>
      <c r="U10487" t="s">
        <v>50206</v>
      </c>
      <c r="V10487" t="s">
        <v>54755</v>
      </c>
      <c r="W10487" t="s">
        <v>39807</v>
      </c>
      <c r="X10487" t="s">
        <v>40454</v>
      </c>
    </row>
    <row r="10488" spans="1:24">
      <c r="A10488">
        <f>HYPERLINK("https://www.philgeps.gov.ph/GEPSNONPILOT/Tender/SplashBidNoticeAbstractUI.aspx?menuIndex=3&amp;refID=7020246&amp;Result=3","7020246")</f>
        <v>0</v>
      </c>
      <c r="B10488" t="s">
        <v>2773</v>
      </c>
      <c r="C10488" t="s">
        <v>13096</v>
      </c>
      <c r="E10488" t="s">
        <v>25395</v>
      </c>
      <c r="F10488" t="s">
        <v>28198</v>
      </c>
      <c r="G10488" t="s">
        <v>28205</v>
      </c>
      <c r="H10488" t="s">
        <v>28215</v>
      </c>
      <c r="I10488" t="s">
        <v>4200</v>
      </c>
      <c r="J10488" t="s">
        <v>28985</v>
      </c>
      <c r="K10488" t="s">
        <v>36689</v>
      </c>
      <c r="M10488" t="s">
        <v>40022</v>
      </c>
      <c r="N10488" t="s">
        <v>40436</v>
      </c>
      <c r="O10488" t="s">
        <v>40437</v>
      </c>
      <c r="P10488">
        <v>0</v>
      </c>
      <c r="Q10488">
        <v>0</v>
      </c>
      <c r="R10488" t="s">
        <v>40451</v>
      </c>
      <c r="S10488" t="s">
        <v>41005</v>
      </c>
      <c r="T10488" t="s">
        <v>42184</v>
      </c>
      <c r="U10488" t="s">
        <v>51351</v>
      </c>
      <c r="V10488" t="s">
        <v>54896</v>
      </c>
      <c r="W10488" t="s">
        <v>40022</v>
      </c>
      <c r="X10488" t="s">
        <v>40454</v>
      </c>
    </row>
    <row r="10489" spans="1:24">
      <c r="A10489">
        <f>HYPERLINK("https://www.philgeps.gov.ph/GEPSNONPILOT/Tender/SplashBidNoticeAbstractUI.aspx?menuIndex=3&amp;refID=7020093&amp;Result=3","7020093")</f>
        <v>0</v>
      </c>
      <c r="B10489" t="s">
        <v>2773</v>
      </c>
      <c r="C10489" t="s">
        <v>13097</v>
      </c>
      <c r="E10489" t="s">
        <v>25396</v>
      </c>
      <c r="F10489" t="s">
        <v>28198</v>
      </c>
      <c r="G10489" t="s">
        <v>28206</v>
      </c>
      <c r="H10489" t="s">
        <v>28215</v>
      </c>
      <c r="I10489" t="s">
        <v>8888</v>
      </c>
      <c r="J10489" t="s">
        <v>34823</v>
      </c>
      <c r="K10489" t="s">
        <v>36689</v>
      </c>
      <c r="M10489" t="s">
        <v>40022</v>
      </c>
      <c r="N10489" t="s">
        <v>40436</v>
      </c>
      <c r="O10489" t="s">
        <v>40437</v>
      </c>
      <c r="P10489">
        <v>0</v>
      </c>
      <c r="Q10489">
        <v>1</v>
      </c>
      <c r="R10489" t="s">
        <v>40451</v>
      </c>
      <c r="S10489" t="s">
        <v>41005</v>
      </c>
      <c r="T10489" t="s">
        <v>42184</v>
      </c>
      <c r="U10489" t="s">
        <v>51352</v>
      </c>
      <c r="V10489" t="s">
        <v>54896</v>
      </c>
      <c r="W10489" t="s">
        <v>40022</v>
      </c>
      <c r="X10489" t="s">
        <v>40454</v>
      </c>
    </row>
    <row r="10490" spans="1:24">
      <c r="A10490">
        <f>HYPERLINK("https://www.philgeps.gov.ph/GEPSNONPILOT/Tender/SplashBidNoticeAbstractUI.aspx?menuIndex=3&amp;refID=7020073&amp;Result=3","7020073")</f>
        <v>0</v>
      </c>
      <c r="B10490" t="s">
        <v>2773</v>
      </c>
      <c r="C10490" t="s">
        <v>13098</v>
      </c>
      <c r="E10490" t="s">
        <v>25397</v>
      </c>
      <c r="F10490" t="s">
        <v>28198</v>
      </c>
      <c r="G10490" t="s">
        <v>28206</v>
      </c>
      <c r="H10490" t="s">
        <v>28215</v>
      </c>
      <c r="I10490" t="s">
        <v>3774</v>
      </c>
      <c r="J10490" t="s">
        <v>34824</v>
      </c>
      <c r="K10490" t="s">
        <v>36689</v>
      </c>
      <c r="M10490" t="s">
        <v>40022</v>
      </c>
      <c r="N10490" t="s">
        <v>40436</v>
      </c>
      <c r="O10490" t="s">
        <v>40437</v>
      </c>
      <c r="P10490">
        <v>0</v>
      </c>
      <c r="Q10490">
        <v>0</v>
      </c>
      <c r="R10490" t="s">
        <v>40451</v>
      </c>
      <c r="S10490" t="s">
        <v>41005</v>
      </c>
      <c r="T10490" t="s">
        <v>42184</v>
      </c>
      <c r="U10490" t="s">
        <v>51353</v>
      </c>
      <c r="V10490" t="s">
        <v>54896</v>
      </c>
      <c r="W10490" t="s">
        <v>40022</v>
      </c>
      <c r="X10490" t="s">
        <v>40454</v>
      </c>
    </row>
    <row r="10491" spans="1:24">
      <c r="A10491">
        <f>HYPERLINK("https://www.philgeps.gov.ph/GEPSNONPILOT/Tender/SplashBidNoticeAbstractUI.aspx?menuIndex=3&amp;refID=7020075&amp;Result=3","7020075")</f>
        <v>0</v>
      </c>
      <c r="B10491" t="s">
        <v>607</v>
      </c>
      <c r="C10491" t="s">
        <v>13099</v>
      </c>
      <c r="D10491" t="s">
        <v>16232</v>
      </c>
      <c r="E10491" t="s">
        <v>18647</v>
      </c>
      <c r="F10491" t="s">
        <v>28198</v>
      </c>
      <c r="G10491" t="s">
        <v>28205</v>
      </c>
      <c r="H10491" t="s">
        <v>28215</v>
      </c>
      <c r="I10491" t="s">
        <v>28222</v>
      </c>
      <c r="J10491" t="s">
        <v>28415</v>
      </c>
      <c r="K10491" t="s">
        <v>36687</v>
      </c>
      <c r="M10491" t="s">
        <v>37598</v>
      </c>
      <c r="N10491" t="s">
        <v>40436</v>
      </c>
      <c r="O10491" t="s">
        <v>40437</v>
      </c>
      <c r="P10491">
        <v>0</v>
      </c>
      <c r="Q10491">
        <v>2</v>
      </c>
      <c r="R10491" t="s">
        <v>40451</v>
      </c>
      <c r="S10491" t="s">
        <v>41005</v>
      </c>
      <c r="T10491" t="s">
        <v>42176</v>
      </c>
      <c r="U10491" t="s">
        <v>51354</v>
      </c>
      <c r="W10491" t="s">
        <v>37598</v>
      </c>
      <c r="X10491" t="s">
        <v>40454</v>
      </c>
    </row>
    <row r="10492" spans="1:24">
      <c r="A10492">
        <f>HYPERLINK("https://www.philgeps.gov.ph/GEPSNONPILOT/Tender/SplashBidNoticeAbstractUI.aspx?menuIndex=3&amp;refID=7019939&amp;Result=3","7019939")</f>
        <v>0</v>
      </c>
      <c r="B10492" t="s">
        <v>2773</v>
      </c>
      <c r="C10492" t="s">
        <v>13100</v>
      </c>
      <c r="E10492" t="s">
        <v>25398</v>
      </c>
      <c r="F10492" t="s">
        <v>28198</v>
      </c>
      <c r="G10492" t="s">
        <v>28206</v>
      </c>
      <c r="H10492" t="s">
        <v>28215</v>
      </c>
      <c r="I10492" t="s">
        <v>4200</v>
      </c>
      <c r="J10492" t="s">
        <v>31894</v>
      </c>
      <c r="K10492" t="s">
        <v>36689</v>
      </c>
      <c r="M10492" t="s">
        <v>40022</v>
      </c>
      <c r="N10492" t="s">
        <v>40436</v>
      </c>
      <c r="O10492" t="s">
        <v>40437</v>
      </c>
      <c r="P10492">
        <v>0</v>
      </c>
      <c r="Q10492">
        <v>0</v>
      </c>
      <c r="R10492" t="s">
        <v>40451</v>
      </c>
      <c r="S10492" t="s">
        <v>41005</v>
      </c>
      <c r="T10492" t="s">
        <v>42184</v>
      </c>
      <c r="U10492" t="s">
        <v>51355</v>
      </c>
      <c r="V10492" t="s">
        <v>54896</v>
      </c>
      <c r="W10492" t="s">
        <v>40022</v>
      </c>
      <c r="X10492" t="s">
        <v>40454</v>
      </c>
    </row>
    <row r="10493" spans="1:24">
      <c r="A10493">
        <f>HYPERLINK("https://www.philgeps.gov.ph/GEPSNONPILOT/Tender/SplashBidNoticeAbstractUI.aspx?menuIndex=3&amp;refID=7020009&amp;Result=3","7020009")</f>
        <v>0</v>
      </c>
      <c r="B10493" t="s">
        <v>607</v>
      </c>
      <c r="C10493" t="s">
        <v>13101</v>
      </c>
      <c r="D10493" t="s">
        <v>16232</v>
      </c>
      <c r="E10493" t="s">
        <v>16766</v>
      </c>
      <c r="F10493" t="s">
        <v>28198</v>
      </c>
      <c r="G10493" t="s">
        <v>28205</v>
      </c>
      <c r="H10493" t="s">
        <v>28214</v>
      </c>
      <c r="I10493" t="s">
        <v>3797</v>
      </c>
      <c r="J10493" t="s">
        <v>28415</v>
      </c>
      <c r="K10493" t="s">
        <v>36863</v>
      </c>
      <c r="M10493" t="s">
        <v>37598</v>
      </c>
      <c r="N10493" t="s">
        <v>40436</v>
      </c>
      <c r="O10493" t="s">
        <v>40437</v>
      </c>
      <c r="P10493">
        <v>0</v>
      </c>
      <c r="Q10493">
        <v>0</v>
      </c>
      <c r="R10493" t="s">
        <v>40451</v>
      </c>
      <c r="S10493" t="s">
        <v>41005</v>
      </c>
      <c r="T10493" t="s">
        <v>42176</v>
      </c>
      <c r="U10493" t="s">
        <v>51356</v>
      </c>
      <c r="W10493" t="s">
        <v>37598</v>
      </c>
      <c r="X10493" t="s">
        <v>40454</v>
      </c>
    </row>
    <row r="10494" spans="1:24">
      <c r="A10494">
        <f>HYPERLINK("https://www.philgeps.gov.ph/GEPSNONPILOT/Tender/SplashBidNoticeAbstractUI.aspx?menuIndex=3&amp;refID=7019887&amp;Result=3","7019887")</f>
        <v>0</v>
      </c>
      <c r="B10494" t="s">
        <v>566</v>
      </c>
      <c r="C10494" t="s">
        <v>13102</v>
      </c>
      <c r="E10494" t="s">
        <v>25399</v>
      </c>
      <c r="F10494" t="s">
        <v>28198</v>
      </c>
      <c r="G10494" t="s">
        <v>28205</v>
      </c>
      <c r="H10494" t="s">
        <v>28215</v>
      </c>
      <c r="I10494" t="s">
        <v>28256</v>
      </c>
      <c r="J10494" t="s">
        <v>32761</v>
      </c>
      <c r="K10494" t="s">
        <v>36689</v>
      </c>
      <c r="M10494" t="s">
        <v>38045</v>
      </c>
      <c r="N10494" t="s">
        <v>40436</v>
      </c>
      <c r="O10494" t="s">
        <v>40437</v>
      </c>
      <c r="Q10494">
        <v>17</v>
      </c>
      <c r="R10494" t="s">
        <v>40451</v>
      </c>
      <c r="S10494" t="s">
        <v>41017</v>
      </c>
      <c r="T10494" t="s">
        <v>42134</v>
      </c>
      <c r="U10494" t="s">
        <v>51357</v>
      </c>
      <c r="W10494" t="s">
        <v>38045</v>
      </c>
      <c r="X10494" t="s">
        <v>40454</v>
      </c>
    </row>
    <row r="10495" spans="1:24">
      <c r="A10495">
        <f>HYPERLINK("https://www.philgeps.gov.ph/GEPSNONPILOT/Tender/SplashBidNoticeAbstractUI.aspx?menuIndex=3&amp;refID=7020581&amp;Result=3","7020581")</f>
        <v>0</v>
      </c>
      <c r="B10495" t="s">
        <v>2773</v>
      </c>
      <c r="C10495" t="s">
        <v>13103</v>
      </c>
      <c r="E10495" t="s">
        <v>25400</v>
      </c>
      <c r="F10495" t="s">
        <v>28198</v>
      </c>
      <c r="G10495" t="s">
        <v>28206</v>
      </c>
      <c r="H10495" t="s">
        <v>28215</v>
      </c>
      <c r="I10495" t="s">
        <v>4219</v>
      </c>
      <c r="J10495" t="s">
        <v>34825</v>
      </c>
      <c r="K10495" t="s">
        <v>36689</v>
      </c>
      <c r="M10495" t="s">
        <v>40022</v>
      </c>
      <c r="N10495" t="s">
        <v>40436</v>
      </c>
      <c r="O10495" t="s">
        <v>40437</v>
      </c>
      <c r="P10495">
        <v>0</v>
      </c>
      <c r="Q10495">
        <v>1</v>
      </c>
      <c r="R10495" t="s">
        <v>40451</v>
      </c>
      <c r="S10495" t="s">
        <v>41005</v>
      </c>
      <c r="T10495" t="s">
        <v>42184</v>
      </c>
      <c r="U10495" t="s">
        <v>51358</v>
      </c>
      <c r="V10495" t="s">
        <v>54896</v>
      </c>
      <c r="W10495" t="s">
        <v>40022</v>
      </c>
      <c r="X10495" t="s">
        <v>40454</v>
      </c>
    </row>
    <row r="10496" spans="1:24">
      <c r="A10496">
        <f>HYPERLINK("https://www.philgeps.gov.ph/GEPSNONPILOT/Tender/SplashBidNoticeAbstractUI.aspx?menuIndex=3&amp;refID=7020004&amp;Result=3","7020004")</f>
        <v>0</v>
      </c>
      <c r="B10496" t="s">
        <v>2811</v>
      </c>
      <c r="C10496" t="s">
        <v>13104</v>
      </c>
      <c r="D10496" t="s">
        <v>16221</v>
      </c>
      <c r="E10496" t="s">
        <v>25401</v>
      </c>
      <c r="F10496" t="s">
        <v>28198</v>
      </c>
      <c r="G10496" t="s">
        <v>28205</v>
      </c>
      <c r="H10496" t="s">
        <v>28214</v>
      </c>
      <c r="I10496" t="s">
        <v>3797</v>
      </c>
      <c r="J10496" t="s">
        <v>34826</v>
      </c>
      <c r="K10496" t="s">
        <v>36692</v>
      </c>
      <c r="M10496" t="s">
        <v>40062</v>
      </c>
      <c r="N10496" t="s">
        <v>40436</v>
      </c>
      <c r="O10496" t="s">
        <v>40437</v>
      </c>
      <c r="P10496">
        <v>0</v>
      </c>
      <c r="Q10496">
        <v>0</v>
      </c>
      <c r="R10496" t="s">
        <v>40451</v>
      </c>
      <c r="S10496" t="s">
        <v>41005</v>
      </c>
      <c r="T10496" t="s">
        <v>42306</v>
      </c>
      <c r="U10496" t="s">
        <v>51359</v>
      </c>
      <c r="W10496" t="s">
        <v>40062</v>
      </c>
      <c r="X10496" t="s">
        <v>40454</v>
      </c>
    </row>
    <row r="10497" spans="1:24">
      <c r="A10497">
        <f>HYPERLINK("https://www.philgeps.gov.ph/GEPSNONPILOT/Tender/SplashBidNoticeAbstractUI.aspx?menuIndex=3&amp;refID=7020459&amp;Result=3","7020459")</f>
        <v>0</v>
      </c>
      <c r="B10497" t="s">
        <v>2592</v>
      </c>
      <c r="C10497" t="s">
        <v>13105</v>
      </c>
      <c r="E10497" t="s">
        <v>25402</v>
      </c>
      <c r="F10497" t="s">
        <v>28198</v>
      </c>
      <c r="G10497" t="s">
        <v>28205</v>
      </c>
      <c r="H10497" t="s">
        <v>28214</v>
      </c>
      <c r="I10497" t="s">
        <v>3797</v>
      </c>
      <c r="J10497" t="s">
        <v>28468</v>
      </c>
      <c r="K10497" t="s">
        <v>36717</v>
      </c>
      <c r="L10497" t="s">
        <v>2592</v>
      </c>
      <c r="M10497" t="s">
        <v>39807</v>
      </c>
      <c r="N10497" t="s">
        <v>40436</v>
      </c>
      <c r="O10497" t="s">
        <v>40437</v>
      </c>
      <c r="P10497">
        <v>0</v>
      </c>
      <c r="Q10497">
        <v>0</v>
      </c>
      <c r="R10497" t="s">
        <v>40451</v>
      </c>
      <c r="S10497" t="s">
        <v>41005</v>
      </c>
      <c r="T10497" t="s">
        <v>42112</v>
      </c>
      <c r="U10497" t="s">
        <v>50206</v>
      </c>
      <c r="V10497" t="s">
        <v>54755</v>
      </c>
      <c r="W10497" t="s">
        <v>39807</v>
      </c>
      <c r="X10497" t="s">
        <v>40454</v>
      </c>
    </row>
    <row r="10498" spans="1:24">
      <c r="A10498">
        <f>HYPERLINK("https://www.philgeps.gov.ph/GEPSNONPILOT/Tender/SplashBidNoticeAbstractUI.aspx?menuIndex=3&amp;refID=7020287&amp;Result=3","7020287")</f>
        <v>0</v>
      </c>
      <c r="B10498" t="s">
        <v>2773</v>
      </c>
      <c r="C10498" t="s">
        <v>13106</v>
      </c>
      <c r="E10498" t="s">
        <v>25403</v>
      </c>
      <c r="F10498" t="s">
        <v>28198</v>
      </c>
      <c r="G10498" t="s">
        <v>28206</v>
      </c>
      <c r="H10498" t="s">
        <v>28215</v>
      </c>
      <c r="I10498" t="s">
        <v>8888</v>
      </c>
      <c r="J10498" t="s">
        <v>33714</v>
      </c>
      <c r="K10498" t="s">
        <v>36689</v>
      </c>
      <c r="M10498" t="s">
        <v>40022</v>
      </c>
      <c r="N10498" t="s">
        <v>40436</v>
      </c>
      <c r="O10498" t="s">
        <v>40437</v>
      </c>
      <c r="P10498">
        <v>0</v>
      </c>
      <c r="Q10498">
        <v>2</v>
      </c>
      <c r="R10498" t="s">
        <v>40451</v>
      </c>
      <c r="S10498" t="s">
        <v>41005</v>
      </c>
      <c r="T10498" t="s">
        <v>42184</v>
      </c>
      <c r="U10498" t="s">
        <v>51360</v>
      </c>
      <c r="V10498" t="s">
        <v>54896</v>
      </c>
      <c r="W10498" t="s">
        <v>40022</v>
      </c>
      <c r="X10498" t="s">
        <v>40454</v>
      </c>
    </row>
    <row r="10499" spans="1:24">
      <c r="A10499">
        <f>HYPERLINK("https://www.philgeps.gov.ph/GEPSNONPILOT/Tender/SplashBidNoticeAbstractUI.aspx?menuIndex=3&amp;refID=7020086&amp;Result=3","7020086")</f>
        <v>0</v>
      </c>
      <c r="B10499" t="s">
        <v>2773</v>
      </c>
      <c r="C10499" t="s">
        <v>13107</v>
      </c>
      <c r="E10499" t="s">
        <v>25404</v>
      </c>
      <c r="F10499" t="s">
        <v>28198</v>
      </c>
      <c r="G10499" t="s">
        <v>28206</v>
      </c>
      <c r="H10499" t="s">
        <v>28215</v>
      </c>
      <c r="I10499" t="s">
        <v>3774</v>
      </c>
      <c r="J10499" t="s">
        <v>34827</v>
      </c>
      <c r="K10499" t="s">
        <v>36689</v>
      </c>
      <c r="M10499" t="s">
        <v>40022</v>
      </c>
      <c r="N10499" t="s">
        <v>40436</v>
      </c>
      <c r="O10499" t="s">
        <v>40437</v>
      </c>
      <c r="P10499">
        <v>0</v>
      </c>
      <c r="Q10499">
        <v>0</v>
      </c>
      <c r="R10499" t="s">
        <v>40451</v>
      </c>
      <c r="S10499" t="s">
        <v>41005</v>
      </c>
      <c r="T10499" t="s">
        <v>42184</v>
      </c>
      <c r="U10499" t="s">
        <v>51361</v>
      </c>
      <c r="V10499" t="s">
        <v>54896</v>
      </c>
      <c r="W10499" t="s">
        <v>40022</v>
      </c>
      <c r="X10499" t="s">
        <v>40454</v>
      </c>
    </row>
    <row r="10500" spans="1:24">
      <c r="A10500">
        <f>HYPERLINK("https://www.philgeps.gov.ph/GEPSNONPILOT/Tender/SplashBidNoticeAbstractUI.aspx?menuIndex=3&amp;refID=7019954&amp;Result=3","7019954")</f>
        <v>0</v>
      </c>
      <c r="B10500" t="s">
        <v>2773</v>
      </c>
      <c r="C10500" t="s">
        <v>13108</v>
      </c>
      <c r="E10500" t="s">
        <v>25405</v>
      </c>
      <c r="F10500" t="s">
        <v>28198</v>
      </c>
      <c r="G10500" t="s">
        <v>28206</v>
      </c>
      <c r="H10500" t="s">
        <v>28215</v>
      </c>
      <c r="I10500" t="s">
        <v>4200</v>
      </c>
      <c r="J10500" t="s">
        <v>31894</v>
      </c>
      <c r="K10500" t="s">
        <v>36689</v>
      </c>
      <c r="M10500" t="s">
        <v>40022</v>
      </c>
      <c r="N10500" t="s">
        <v>40436</v>
      </c>
      <c r="O10500" t="s">
        <v>40437</v>
      </c>
      <c r="P10500">
        <v>0</v>
      </c>
      <c r="Q10500">
        <v>0</v>
      </c>
      <c r="R10500" t="s">
        <v>40451</v>
      </c>
      <c r="S10500" t="s">
        <v>41005</v>
      </c>
      <c r="T10500" t="s">
        <v>42184</v>
      </c>
      <c r="U10500" t="s">
        <v>51362</v>
      </c>
      <c r="V10500" t="s">
        <v>54896</v>
      </c>
      <c r="W10500" t="s">
        <v>40022</v>
      </c>
      <c r="X10500" t="s">
        <v>40454</v>
      </c>
    </row>
    <row r="10501" spans="1:24">
      <c r="A10501">
        <f>HYPERLINK("https://www.philgeps.gov.ph/GEPSNONPILOT/Tender/SplashBidNoticeAbstractUI.aspx?menuIndex=3&amp;refID=7019987&amp;Result=3","7019987")</f>
        <v>0</v>
      </c>
      <c r="B10501" t="s">
        <v>2773</v>
      </c>
      <c r="C10501" t="s">
        <v>13109</v>
      </c>
      <c r="E10501" t="s">
        <v>25406</v>
      </c>
      <c r="F10501" t="s">
        <v>28198</v>
      </c>
      <c r="G10501" t="s">
        <v>28206</v>
      </c>
      <c r="H10501" t="s">
        <v>28215</v>
      </c>
      <c r="I10501" t="s">
        <v>3774</v>
      </c>
      <c r="J10501" t="s">
        <v>34828</v>
      </c>
      <c r="K10501" t="s">
        <v>36689</v>
      </c>
      <c r="M10501" t="s">
        <v>40022</v>
      </c>
      <c r="N10501" t="s">
        <v>40436</v>
      </c>
      <c r="O10501" t="s">
        <v>40437</v>
      </c>
      <c r="P10501">
        <v>0</v>
      </c>
      <c r="Q10501">
        <v>0</v>
      </c>
      <c r="R10501" t="s">
        <v>40451</v>
      </c>
      <c r="S10501" t="s">
        <v>41005</v>
      </c>
      <c r="T10501" t="s">
        <v>42184</v>
      </c>
      <c r="U10501" t="s">
        <v>51363</v>
      </c>
      <c r="V10501" t="s">
        <v>54896</v>
      </c>
      <c r="W10501" t="s">
        <v>40022</v>
      </c>
      <c r="X10501" t="s">
        <v>40454</v>
      </c>
    </row>
    <row r="10502" spans="1:24">
      <c r="A10502">
        <f>HYPERLINK("https://www.philgeps.gov.ph/GEPSNONPILOT/Tender/SplashBidNoticeAbstractUI.aspx?menuIndex=3&amp;refID=7020215&amp;Result=3","7020215")</f>
        <v>0</v>
      </c>
      <c r="B10502" t="s">
        <v>2773</v>
      </c>
      <c r="C10502" t="s">
        <v>13110</v>
      </c>
      <c r="E10502" t="s">
        <v>25407</v>
      </c>
      <c r="F10502" t="s">
        <v>28198</v>
      </c>
      <c r="G10502" t="s">
        <v>28205</v>
      </c>
      <c r="H10502" t="s">
        <v>28215</v>
      </c>
      <c r="I10502" t="s">
        <v>8888</v>
      </c>
      <c r="J10502" t="s">
        <v>34829</v>
      </c>
      <c r="K10502" t="s">
        <v>36689</v>
      </c>
      <c r="M10502" t="s">
        <v>40022</v>
      </c>
      <c r="N10502" t="s">
        <v>40436</v>
      </c>
      <c r="O10502" t="s">
        <v>40437</v>
      </c>
      <c r="P10502">
        <v>0</v>
      </c>
      <c r="Q10502">
        <v>1</v>
      </c>
      <c r="R10502" t="s">
        <v>40451</v>
      </c>
      <c r="S10502" t="s">
        <v>41005</v>
      </c>
      <c r="T10502" t="s">
        <v>42184</v>
      </c>
      <c r="U10502" t="s">
        <v>51364</v>
      </c>
      <c r="V10502" t="s">
        <v>54896</v>
      </c>
      <c r="W10502" t="s">
        <v>40022</v>
      </c>
      <c r="X10502" t="s">
        <v>40454</v>
      </c>
    </row>
    <row r="10503" spans="1:24">
      <c r="A10503">
        <f>HYPERLINK("https://www.philgeps.gov.ph/GEPSNONPILOT/Tender/SplashBidNoticeAbstractUI.aspx?menuIndex=3&amp;refID=7020397&amp;Result=3","7020397")</f>
        <v>0</v>
      </c>
      <c r="B10503" t="s">
        <v>83</v>
      </c>
      <c r="C10503" t="s">
        <v>13111</v>
      </c>
      <c r="D10503" t="s">
        <v>16220</v>
      </c>
      <c r="E10503" t="s">
        <v>25408</v>
      </c>
      <c r="F10503" t="s">
        <v>28198</v>
      </c>
      <c r="G10503" t="s">
        <v>28205</v>
      </c>
      <c r="H10503" t="s">
        <v>28214</v>
      </c>
      <c r="I10503" t="s">
        <v>3797</v>
      </c>
      <c r="J10503" t="s">
        <v>28363</v>
      </c>
      <c r="K10503" t="s">
        <v>36694</v>
      </c>
      <c r="M10503" t="s">
        <v>37055</v>
      </c>
      <c r="N10503" t="s">
        <v>40436</v>
      </c>
      <c r="O10503" t="s">
        <v>40437</v>
      </c>
      <c r="P10503">
        <v>0</v>
      </c>
      <c r="Q10503">
        <v>1</v>
      </c>
      <c r="R10503" t="s">
        <v>40451</v>
      </c>
      <c r="S10503" t="s">
        <v>41005</v>
      </c>
      <c r="T10503" t="s">
        <v>42168</v>
      </c>
      <c r="U10503" t="s">
        <v>51365</v>
      </c>
      <c r="V10503" t="s">
        <v>54933</v>
      </c>
      <c r="W10503" t="s">
        <v>37055</v>
      </c>
      <c r="X10503" t="s">
        <v>40454</v>
      </c>
    </row>
    <row r="10504" spans="1:24">
      <c r="A10504">
        <f>HYPERLINK("https://www.philgeps.gov.ph/GEPSNONPILOT/Tender/SplashBidNoticeAbstractUI.aspx?menuIndex=3&amp;refID=7019974&amp;Result=3","7019974")</f>
        <v>0</v>
      </c>
      <c r="B10504" t="s">
        <v>2773</v>
      </c>
      <c r="C10504" t="s">
        <v>13112</v>
      </c>
      <c r="E10504" t="s">
        <v>25409</v>
      </c>
      <c r="F10504" t="s">
        <v>28198</v>
      </c>
      <c r="G10504" t="s">
        <v>28206</v>
      </c>
      <c r="H10504" t="s">
        <v>28215</v>
      </c>
      <c r="I10504" t="s">
        <v>4200</v>
      </c>
      <c r="J10504" t="s">
        <v>28671</v>
      </c>
      <c r="K10504" t="s">
        <v>36689</v>
      </c>
      <c r="M10504" t="s">
        <v>40022</v>
      </c>
      <c r="N10504" t="s">
        <v>40436</v>
      </c>
      <c r="O10504" t="s">
        <v>40437</v>
      </c>
      <c r="P10504">
        <v>0</v>
      </c>
      <c r="Q10504">
        <v>0</v>
      </c>
      <c r="R10504" t="s">
        <v>40451</v>
      </c>
      <c r="S10504" t="s">
        <v>41005</v>
      </c>
      <c r="T10504" t="s">
        <v>42184</v>
      </c>
      <c r="U10504" t="s">
        <v>51366</v>
      </c>
      <c r="V10504" t="s">
        <v>54896</v>
      </c>
      <c r="W10504" t="s">
        <v>40022</v>
      </c>
      <c r="X10504" t="s">
        <v>40454</v>
      </c>
    </row>
    <row r="10505" spans="1:24">
      <c r="A10505">
        <f>HYPERLINK("https://www.philgeps.gov.ph/GEPSNONPILOT/Tender/SplashBidNoticeAbstractUI.aspx?menuIndex=3&amp;refID=7020596&amp;Result=3","7020596")</f>
        <v>0</v>
      </c>
      <c r="B10505" t="s">
        <v>2592</v>
      </c>
      <c r="C10505" t="s">
        <v>13113</v>
      </c>
      <c r="D10505" t="s">
        <v>16224</v>
      </c>
      <c r="E10505" t="s">
        <v>25410</v>
      </c>
      <c r="F10505" t="s">
        <v>28198</v>
      </c>
      <c r="G10505" t="s">
        <v>28205</v>
      </c>
      <c r="H10505" t="s">
        <v>28214</v>
      </c>
      <c r="I10505" t="s">
        <v>3797</v>
      </c>
      <c r="J10505" t="s">
        <v>28468</v>
      </c>
      <c r="K10505" t="s">
        <v>36717</v>
      </c>
      <c r="L10505" t="s">
        <v>2592</v>
      </c>
      <c r="M10505" t="s">
        <v>39807</v>
      </c>
      <c r="N10505" t="s">
        <v>40436</v>
      </c>
      <c r="O10505" t="s">
        <v>40437</v>
      </c>
      <c r="P10505">
        <v>0</v>
      </c>
      <c r="Q10505">
        <v>0</v>
      </c>
      <c r="R10505" t="s">
        <v>40451</v>
      </c>
      <c r="S10505" t="s">
        <v>41005</v>
      </c>
      <c r="T10505" t="s">
        <v>42112</v>
      </c>
      <c r="U10505" t="s">
        <v>50206</v>
      </c>
      <c r="V10505" t="s">
        <v>54755</v>
      </c>
      <c r="W10505" t="s">
        <v>39807</v>
      </c>
      <c r="X10505" t="s">
        <v>40454</v>
      </c>
    </row>
    <row r="10506" spans="1:24">
      <c r="A10506">
        <f>HYPERLINK("https://www.philgeps.gov.ph/GEPSNONPILOT/Tender/SplashBidNoticeAbstractUI.aspx?menuIndex=3&amp;refID=7021716&amp;Result=3","7021716")</f>
        <v>0</v>
      </c>
      <c r="B10506" t="s">
        <v>2812</v>
      </c>
      <c r="C10506" t="s">
        <v>13114</v>
      </c>
      <c r="E10506" t="s">
        <v>25411</v>
      </c>
      <c r="F10506" t="s">
        <v>28198</v>
      </c>
      <c r="G10506" t="s">
        <v>28205</v>
      </c>
      <c r="H10506" t="s">
        <v>28215</v>
      </c>
      <c r="I10506" t="s">
        <v>4219</v>
      </c>
      <c r="J10506" t="s">
        <v>34830</v>
      </c>
      <c r="K10506" t="s">
        <v>36701</v>
      </c>
      <c r="M10506" t="s">
        <v>40063</v>
      </c>
      <c r="N10506" t="s">
        <v>40436</v>
      </c>
      <c r="O10506" t="s">
        <v>40437</v>
      </c>
      <c r="Q10506">
        <v>4</v>
      </c>
      <c r="R10506" t="s">
        <v>40451</v>
      </c>
      <c r="S10506" t="s">
        <v>41018</v>
      </c>
      <c r="T10506" t="s">
        <v>42133</v>
      </c>
      <c r="U10506" t="s">
        <v>51367</v>
      </c>
      <c r="W10506" t="s">
        <v>40063</v>
      </c>
      <c r="X10506" t="s">
        <v>40453</v>
      </c>
    </row>
    <row r="10507" spans="1:24">
      <c r="A10507">
        <f>HYPERLINK("https://www.philgeps.gov.ph/GEPSNONPILOT/Tender/SplashBidNoticeAbstractUI.aspx?menuIndex=3&amp;refID=7020777&amp;Result=3","7020777")</f>
        <v>0</v>
      </c>
      <c r="B10507" t="s">
        <v>2773</v>
      </c>
      <c r="C10507" t="s">
        <v>13115</v>
      </c>
      <c r="E10507" t="s">
        <v>25412</v>
      </c>
      <c r="F10507" t="s">
        <v>28198</v>
      </c>
      <c r="G10507" t="s">
        <v>28205</v>
      </c>
      <c r="H10507" t="s">
        <v>28215</v>
      </c>
      <c r="I10507" t="s">
        <v>8888</v>
      </c>
      <c r="J10507" t="s">
        <v>34831</v>
      </c>
      <c r="K10507" t="s">
        <v>36689</v>
      </c>
      <c r="M10507" t="s">
        <v>40022</v>
      </c>
      <c r="N10507" t="s">
        <v>40436</v>
      </c>
      <c r="O10507" t="s">
        <v>40437</v>
      </c>
      <c r="P10507">
        <v>0</v>
      </c>
      <c r="Q10507">
        <v>0</v>
      </c>
      <c r="R10507" t="s">
        <v>40451</v>
      </c>
      <c r="S10507" t="s">
        <v>41005</v>
      </c>
      <c r="T10507" t="s">
        <v>42184</v>
      </c>
      <c r="U10507" t="s">
        <v>51368</v>
      </c>
      <c r="V10507" t="s">
        <v>54896</v>
      </c>
      <c r="W10507" t="s">
        <v>40022</v>
      </c>
      <c r="X10507" t="s">
        <v>40454</v>
      </c>
    </row>
    <row r="10508" spans="1:24">
      <c r="A10508">
        <f>HYPERLINK("https://www.philgeps.gov.ph/GEPSNONPILOT/Tender/SplashBidNoticeAbstractUI.aspx?menuIndex=3&amp;refID=7020718&amp;Result=3","7020718")</f>
        <v>0</v>
      </c>
      <c r="B10508" t="s">
        <v>2773</v>
      </c>
      <c r="C10508" t="s">
        <v>13116</v>
      </c>
      <c r="E10508" t="s">
        <v>25413</v>
      </c>
      <c r="F10508" t="s">
        <v>28198</v>
      </c>
      <c r="G10508" t="s">
        <v>28206</v>
      </c>
      <c r="H10508" t="s">
        <v>28215</v>
      </c>
      <c r="I10508" t="s">
        <v>3774</v>
      </c>
      <c r="J10508" t="s">
        <v>34832</v>
      </c>
      <c r="K10508" t="s">
        <v>36689</v>
      </c>
      <c r="M10508" t="s">
        <v>40022</v>
      </c>
      <c r="N10508" t="s">
        <v>40436</v>
      </c>
      <c r="O10508" t="s">
        <v>40437</v>
      </c>
      <c r="P10508">
        <v>0</v>
      </c>
      <c r="Q10508">
        <v>0</v>
      </c>
      <c r="R10508" t="s">
        <v>40451</v>
      </c>
      <c r="S10508" t="s">
        <v>41005</v>
      </c>
      <c r="T10508" t="s">
        <v>42184</v>
      </c>
      <c r="U10508" t="s">
        <v>51369</v>
      </c>
      <c r="V10508" t="s">
        <v>54896</v>
      </c>
      <c r="W10508" t="s">
        <v>40022</v>
      </c>
      <c r="X10508" t="s">
        <v>40454</v>
      </c>
    </row>
    <row r="10509" spans="1:24">
      <c r="A10509">
        <f>HYPERLINK("https://www.philgeps.gov.ph/GEPSNONPILOT/Tender/SplashBidNoticeAbstractUI.aspx?menuIndex=3&amp;refID=7020879&amp;Result=3","7020879")</f>
        <v>0</v>
      </c>
      <c r="B10509" t="s">
        <v>2773</v>
      </c>
      <c r="C10509" t="s">
        <v>13117</v>
      </c>
      <c r="E10509" t="s">
        <v>25412</v>
      </c>
      <c r="F10509" t="s">
        <v>28198</v>
      </c>
      <c r="G10509" t="s">
        <v>28206</v>
      </c>
      <c r="H10509" t="s">
        <v>28215</v>
      </c>
      <c r="I10509" t="s">
        <v>3774</v>
      </c>
      <c r="J10509" t="s">
        <v>34833</v>
      </c>
      <c r="K10509" t="s">
        <v>36689</v>
      </c>
      <c r="M10509" t="s">
        <v>40022</v>
      </c>
      <c r="N10509" t="s">
        <v>40436</v>
      </c>
      <c r="O10509" t="s">
        <v>40437</v>
      </c>
      <c r="P10509">
        <v>0</v>
      </c>
      <c r="Q10509">
        <v>0</v>
      </c>
      <c r="R10509" t="s">
        <v>40451</v>
      </c>
      <c r="S10509" t="s">
        <v>41005</v>
      </c>
      <c r="T10509" t="s">
        <v>42184</v>
      </c>
      <c r="U10509" t="s">
        <v>51370</v>
      </c>
      <c r="V10509" t="s">
        <v>54896</v>
      </c>
      <c r="W10509" t="s">
        <v>40022</v>
      </c>
      <c r="X10509" t="s">
        <v>40454</v>
      </c>
    </row>
    <row r="10510" spans="1:24">
      <c r="A10510">
        <f>HYPERLINK("https://www.philgeps.gov.ph/GEPSNONPILOT/Tender/SplashBidNoticeAbstractUI.aspx?menuIndex=3&amp;refID=7022167&amp;Result=3","7022167")</f>
        <v>0</v>
      </c>
      <c r="B10510" t="s">
        <v>2692</v>
      </c>
      <c r="C10510" t="s">
        <v>13118</v>
      </c>
      <c r="D10510" t="s">
        <v>16254</v>
      </c>
      <c r="E10510" t="s">
        <v>25414</v>
      </c>
      <c r="F10510" t="s">
        <v>28198</v>
      </c>
      <c r="G10510" t="s">
        <v>28205</v>
      </c>
      <c r="H10510" t="s">
        <v>28215</v>
      </c>
      <c r="I10510" t="s">
        <v>5100</v>
      </c>
      <c r="J10510" t="s">
        <v>34834</v>
      </c>
      <c r="K10510" t="s">
        <v>36688</v>
      </c>
      <c r="M10510" t="s">
        <v>39929</v>
      </c>
      <c r="N10510" t="s">
        <v>40436</v>
      </c>
      <c r="O10510" t="s">
        <v>40437</v>
      </c>
      <c r="P10510">
        <v>0</v>
      </c>
      <c r="Q10510">
        <v>0</v>
      </c>
      <c r="R10510" t="s">
        <v>40451</v>
      </c>
      <c r="S10510" t="s">
        <v>41005</v>
      </c>
      <c r="T10510" t="s">
        <v>42229</v>
      </c>
      <c r="U10510" t="s">
        <v>51371</v>
      </c>
      <c r="W10510" t="s">
        <v>39929</v>
      </c>
      <c r="X10510" t="s">
        <v>40453</v>
      </c>
    </row>
    <row r="10511" spans="1:24">
      <c r="A10511">
        <f>HYPERLINK("https://www.philgeps.gov.ph/GEPSNONPILOT/Tender/SplashBidNoticeAbstractUI.aspx?menuIndex=3&amp;refID=7022143&amp;Result=3","7022143")</f>
        <v>0</v>
      </c>
      <c r="B10511" t="s">
        <v>2773</v>
      </c>
      <c r="C10511" t="s">
        <v>13119</v>
      </c>
      <c r="E10511" t="s">
        <v>25415</v>
      </c>
      <c r="F10511" t="s">
        <v>28198</v>
      </c>
      <c r="G10511" t="s">
        <v>28206</v>
      </c>
      <c r="H10511" t="s">
        <v>28215</v>
      </c>
      <c r="I10511" t="s">
        <v>8888</v>
      </c>
      <c r="J10511" t="s">
        <v>34835</v>
      </c>
      <c r="K10511" t="s">
        <v>36689</v>
      </c>
      <c r="M10511" t="s">
        <v>40022</v>
      </c>
      <c r="N10511" t="s">
        <v>40436</v>
      </c>
      <c r="O10511" t="s">
        <v>40437</v>
      </c>
      <c r="P10511">
        <v>0</v>
      </c>
      <c r="Q10511">
        <v>1</v>
      </c>
      <c r="R10511" t="s">
        <v>40451</v>
      </c>
      <c r="S10511" t="s">
        <v>41005</v>
      </c>
      <c r="T10511" t="s">
        <v>42184</v>
      </c>
      <c r="U10511" t="s">
        <v>51372</v>
      </c>
      <c r="V10511" t="s">
        <v>54896</v>
      </c>
      <c r="W10511" t="s">
        <v>40022</v>
      </c>
      <c r="X10511" t="s">
        <v>40453</v>
      </c>
    </row>
    <row r="10512" spans="1:24">
      <c r="A10512">
        <f>HYPERLINK("https://www.philgeps.gov.ph/GEPSNONPILOT/Tender/SplashBidNoticeAbstractUI.aspx?menuIndex=3&amp;refID=7020778&amp;Result=3","7020778")</f>
        <v>0</v>
      </c>
      <c r="B10512" t="s">
        <v>83</v>
      </c>
      <c r="C10512" t="s">
        <v>13120</v>
      </c>
      <c r="D10512" t="s">
        <v>16220</v>
      </c>
      <c r="E10512" t="s">
        <v>25416</v>
      </c>
      <c r="F10512" t="s">
        <v>28198</v>
      </c>
      <c r="G10512" t="s">
        <v>28205</v>
      </c>
      <c r="H10512" t="s">
        <v>28215</v>
      </c>
      <c r="I10512" t="s">
        <v>28249</v>
      </c>
      <c r="J10512" t="s">
        <v>28624</v>
      </c>
      <c r="K10512" t="s">
        <v>36701</v>
      </c>
      <c r="M10512" t="s">
        <v>37055</v>
      </c>
      <c r="N10512" t="s">
        <v>40436</v>
      </c>
      <c r="O10512" t="s">
        <v>40437</v>
      </c>
      <c r="P10512">
        <v>0</v>
      </c>
      <c r="Q10512">
        <v>1</v>
      </c>
      <c r="R10512" t="s">
        <v>40451</v>
      </c>
      <c r="S10512" t="s">
        <v>41005</v>
      </c>
      <c r="T10512" t="s">
        <v>42168</v>
      </c>
      <c r="U10512" t="s">
        <v>51373</v>
      </c>
      <c r="W10512" t="s">
        <v>37055</v>
      </c>
      <c r="X10512" t="s">
        <v>40454</v>
      </c>
    </row>
    <row r="10513" spans="1:24">
      <c r="A10513">
        <f>HYPERLINK("https://www.philgeps.gov.ph/GEPSNONPILOT/Tender/SplashBidNoticeAbstractUI.aspx?menuIndex=3&amp;refID=7021868&amp;Result=3","7021868")</f>
        <v>0</v>
      </c>
      <c r="B10513" t="s">
        <v>2592</v>
      </c>
      <c r="C10513" t="s">
        <v>13121</v>
      </c>
      <c r="D10513" t="s">
        <v>16224</v>
      </c>
      <c r="E10513" t="s">
        <v>25417</v>
      </c>
      <c r="F10513" t="s">
        <v>28198</v>
      </c>
      <c r="G10513" t="s">
        <v>28205</v>
      </c>
      <c r="H10513" t="s">
        <v>28214</v>
      </c>
      <c r="I10513" t="s">
        <v>3797</v>
      </c>
      <c r="J10513" t="s">
        <v>28468</v>
      </c>
      <c r="K10513" t="s">
        <v>36717</v>
      </c>
      <c r="L10513" t="s">
        <v>2592</v>
      </c>
      <c r="M10513" t="s">
        <v>39807</v>
      </c>
      <c r="N10513" t="s">
        <v>40436</v>
      </c>
      <c r="O10513" t="s">
        <v>40437</v>
      </c>
      <c r="P10513">
        <v>0</v>
      </c>
      <c r="Q10513">
        <v>0</v>
      </c>
      <c r="R10513" t="s">
        <v>40451</v>
      </c>
      <c r="S10513" t="s">
        <v>41005</v>
      </c>
      <c r="T10513" t="s">
        <v>42112</v>
      </c>
      <c r="U10513" t="s">
        <v>50206</v>
      </c>
      <c r="V10513" t="s">
        <v>54755</v>
      </c>
      <c r="W10513" t="s">
        <v>39807</v>
      </c>
      <c r="X10513" t="s">
        <v>40453</v>
      </c>
    </row>
    <row r="10514" spans="1:24">
      <c r="A10514">
        <f>HYPERLINK("https://www.philgeps.gov.ph/GEPSNONPILOT/Tender/SplashBidNoticeAbstractUI.aspx?menuIndex=3&amp;refID=7021709&amp;Result=3","7021709")</f>
        <v>0</v>
      </c>
      <c r="B10514" t="s">
        <v>566</v>
      </c>
      <c r="C10514" t="s">
        <v>13122</v>
      </c>
      <c r="E10514" t="s">
        <v>25418</v>
      </c>
      <c r="F10514" t="s">
        <v>28198</v>
      </c>
      <c r="G10514" t="s">
        <v>28205</v>
      </c>
      <c r="H10514" t="s">
        <v>28215</v>
      </c>
      <c r="I10514" t="s">
        <v>28256</v>
      </c>
      <c r="J10514" t="s">
        <v>34836</v>
      </c>
      <c r="K10514" t="s">
        <v>36689</v>
      </c>
      <c r="M10514" t="s">
        <v>38045</v>
      </c>
      <c r="N10514" t="s">
        <v>40436</v>
      </c>
      <c r="O10514" t="s">
        <v>40437</v>
      </c>
      <c r="Q10514">
        <v>11</v>
      </c>
      <c r="R10514" t="s">
        <v>40451</v>
      </c>
      <c r="S10514" t="s">
        <v>41019</v>
      </c>
      <c r="T10514" t="s">
        <v>42134</v>
      </c>
      <c r="U10514" t="s">
        <v>51374</v>
      </c>
      <c r="W10514" t="s">
        <v>38045</v>
      </c>
      <c r="X10514" t="s">
        <v>40453</v>
      </c>
    </row>
    <row r="10515" spans="1:24">
      <c r="A10515">
        <f>HYPERLINK("https://www.philgeps.gov.ph/GEPSNONPILOT/Tender/SplashBidNoticeAbstractUI.aspx?menuIndex=3&amp;refID=7022112&amp;Result=3","7022112")</f>
        <v>0</v>
      </c>
      <c r="B10515" t="s">
        <v>2773</v>
      </c>
      <c r="C10515" t="s">
        <v>13123</v>
      </c>
      <c r="E10515" t="s">
        <v>25419</v>
      </c>
      <c r="F10515" t="s">
        <v>28198</v>
      </c>
      <c r="G10515" t="s">
        <v>28206</v>
      </c>
      <c r="H10515" t="s">
        <v>28215</v>
      </c>
      <c r="I10515" t="s">
        <v>8888</v>
      </c>
      <c r="J10515" t="s">
        <v>34837</v>
      </c>
      <c r="K10515" t="s">
        <v>36689</v>
      </c>
      <c r="M10515" t="s">
        <v>40022</v>
      </c>
      <c r="N10515" t="s">
        <v>40436</v>
      </c>
      <c r="O10515" t="s">
        <v>40437</v>
      </c>
      <c r="P10515">
        <v>0</v>
      </c>
      <c r="Q10515">
        <v>1</v>
      </c>
      <c r="R10515" t="s">
        <v>40451</v>
      </c>
      <c r="S10515" t="s">
        <v>41005</v>
      </c>
      <c r="T10515" t="s">
        <v>42184</v>
      </c>
      <c r="U10515" t="s">
        <v>51375</v>
      </c>
      <c r="V10515" t="s">
        <v>54896</v>
      </c>
      <c r="W10515" t="s">
        <v>40022</v>
      </c>
      <c r="X10515" t="s">
        <v>40453</v>
      </c>
    </row>
    <row r="10516" spans="1:24">
      <c r="A10516">
        <f>HYPERLINK("https://www.philgeps.gov.ph/GEPSNONPILOT/Tender/SplashBidNoticeAbstractUI.aspx?menuIndex=3&amp;refID=7021752&amp;Result=3","7021752")</f>
        <v>0</v>
      </c>
      <c r="B10516" t="s">
        <v>566</v>
      </c>
      <c r="C10516" t="s">
        <v>13124</v>
      </c>
      <c r="E10516" t="s">
        <v>25420</v>
      </c>
      <c r="F10516" t="s">
        <v>28198</v>
      </c>
      <c r="G10516" t="s">
        <v>28205</v>
      </c>
      <c r="H10516" t="s">
        <v>28215</v>
      </c>
      <c r="I10516" t="s">
        <v>28256</v>
      </c>
      <c r="J10516" t="s">
        <v>28406</v>
      </c>
      <c r="K10516" t="s">
        <v>36689</v>
      </c>
      <c r="M10516" t="s">
        <v>38045</v>
      </c>
      <c r="N10516" t="s">
        <v>40436</v>
      </c>
      <c r="O10516" t="s">
        <v>40437</v>
      </c>
      <c r="Q10516">
        <v>5</v>
      </c>
      <c r="R10516" t="s">
        <v>40451</v>
      </c>
      <c r="S10516" t="s">
        <v>41020</v>
      </c>
      <c r="T10516" t="s">
        <v>42134</v>
      </c>
      <c r="U10516" t="s">
        <v>51376</v>
      </c>
      <c r="W10516" t="s">
        <v>38045</v>
      </c>
      <c r="X10516" t="s">
        <v>40453</v>
      </c>
    </row>
    <row r="10517" spans="1:24">
      <c r="A10517">
        <f>HYPERLINK("https://www.philgeps.gov.ph/GEPSNONPILOT/Tender/SplashBidNoticeAbstractUI.aspx?menuIndex=3&amp;refID=7021761&amp;Result=3","7021761")</f>
        <v>0</v>
      </c>
      <c r="B10517" t="s">
        <v>566</v>
      </c>
      <c r="C10517" t="s">
        <v>13125</v>
      </c>
      <c r="E10517" t="s">
        <v>25421</v>
      </c>
      <c r="F10517" t="s">
        <v>28198</v>
      </c>
      <c r="G10517" t="s">
        <v>28205</v>
      </c>
      <c r="H10517" t="s">
        <v>28215</v>
      </c>
      <c r="I10517" t="s">
        <v>28256</v>
      </c>
      <c r="J10517" t="s">
        <v>31763</v>
      </c>
      <c r="K10517" t="s">
        <v>36689</v>
      </c>
      <c r="M10517" t="s">
        <v>38045</v>
      </c>
      <c r="N10517" t="s">
        <v>40436</v>
      </c>
      <c r="O10517" t="s">
        <v>40437</v>
      </c>
      <c r="Q10517">
        <v>9</v>
      </c>
      <c r="R10517" t="s">
        <v>40451</v>
      </c>
      <c r="S10517" t="s">
        <v>41021</v>
      </c>
      <c r="T10517" t="s">
        <v>42134</v>
      </c>
      <c r="U10517" t="s">
        <v>51377</v>
      </c>
      <c r="W10517" t="s">
        <v>38045</v>
      </c>
      <c r="X10517" t="s">
        <v>40453</v>
      </c>
    </row>
    <row r="10518" spans="1:24">
      <c r="A10518">
        <f>HYPERLINK("https://www.philgeps.gov.ph/GEPSNONPILOT/Tender/SplashBidNoticeAbstractUI.aspx?menuIndex=3&amp;refID=7021183&amp;Result=3","7021183")</f>
        <v>0</v>
      </c>
      <c r="B10518" t="s">
        <v>1389</v>
      </c>
      <c r="C10518" t="s">
        <v>13126</v>
      </c>
      <c r="D10518" t="s">
        <v>16187</v>
      </c>
      <c r="E10518" t="s">
        <v>25422</v>
      </c>
      <c r="F10518" t="s">
        <v>28198</v>
      </c>
      <c r="G10518" t="s">
        <v>28205</v>
      </c>
      <c r="H10518" t="s">
        <v>28215</v>
      </c>
      <c r="I10518" t="s">
        <v>28227</v>
      </c>
      <c r="J10518" t="s">
        <v>34838</v>
      </c>
      <c r="K10518" t="s">
        <v>36689</v>
      </c>
      <c r="M10518" t="s">
        <v>38453</v>
      </c>
      <c r="N10518" t="s">
        <v>40436</v>
      </c>
      <c r="O10518" t="s">
        <v>40437</v>
      </c>
      <c r="P10518">
        <v>0</v>
      </c>
      <c r="Q10518">
        <v>1</v>
      </c>
      <c r="R10518" t="s">
        <v>40451</v>
      </c>
      <c r="S10518" t="s">
        <v>41005</v>
      </c>
      <c r="T10518" t="s">
        <v>42284</v>
      </c>
      <c r="U10518" t="s">
        <v>51378</v>
      </c>
      <c r="W10518" t="s">
        <v>38453</v>
      </c>
      <c r="X10518" t="s">
        <v>40454</v>
      </c>
    </row>
    <row r="10519" spans="1:24">
      <c r="A10519">
        <f>HYPERLINK("https://www.philgeps.gov.ph/GEPSNONPILOT/Tender/SplashBidNoticeAbstractUI.aspx?menuIndex=3&amp;refID=7021745&amp;Result=3","7021745")</f>
        <v>0</v>
      </c>
      <c r="B10519" t="s">
        <v>566</v>
      </c>
      <c r="C10519" t="s">
        <v>13127</v>
      </c>
      <c r="E10519" t="s">
        <v>25423</v>
      </c>
      <c r="F10519" t="s">
        <v>28198</v>
      </c>
      <c r="G10519" t="s">
        <v>28205</v>
      </c>
      <c r="H10519" t="s">
        <v>28215</v>
      </c>
      <c r="I10519" t="s">
        <v>28256</v>
      </c>
      <c r="J10519" t="s">
        <v>28645</v>
      </c>
      <c r="K10519" t="s">
        <v>36689</v>
      </c>
      <c r="M10519" t="s">
        <v>38045</v>
      </c>
      <c r="N10519" t="s">
        <v>40436</v>
      </c>
      <c r="O10519" t="s">
        <v>40437</v>
      </c>
      <c r="Q10519">
        <v>8</v>
      </c>
      <c r="R10519" t="s">
        <v>40451</v>
      </c>
      <c r="S10519" t="s">
        <v>41022</v>
      </c>
      <c r="T10519" t="s">
        <v>42134</v>
      </c>
      <c r="U10519" t="s">
        <v>51379</v>
      </c>
      <c r="W10519" t="s">
        <v>38045</v>
      </c>
      <c r="X10519" t="s">
        <v>40453</v>
      </c>
    </row>
    <row r="10520" spans="1:24">
      <c r="A10520">
        <f>HYPERLINK("https://www.philgeps.gov.ph/GEPSNONPILOT/Tender/SplashBidNoticeAbstractUI.aspx?menuIndex=3&amp;refID=7022239&amp;Result=3","7022239")</f>
        <v>0</v>
      </c>
      <c r="B10520" t="s">
        <v>83</v>
      </c>
      <c r="C10520" t="s">
        <v>13128</v>
      </c>
      <c r="D10520" t="s">
        <v>16220</v>
      </c>
      <c r="E10520" t="s">
        <v>25424</v>
      </c>
      <c r="F10520" t="s">
        <v>28198</v>
      </c>
      <c r="G10520" t="s">
        <v>28205</v>
      </c>
      <c r="H10520" t="s">
        <v>28215</v>
      </c>
      <c r="I10520" t="s">
        <v>28222</v>
      </c>
      <c r="J10520" t="s">
        <v>28699</v>
      </c>
      <c r="K10520" t="s">
        <v>36701</v>
      </c>
      <c r="M10520" t="s">
        <v>37055</v>
      </c>
      <c r="N10520" t="s">
        <v>40436</v>
      </c>
      <c r="O10520" t="s">
        <v>40437</v>
      </c>
      <c r="P10520">
        <v>0</v>
      </c>
      <c r="Q10520">
        <v>6</v>
      </c>
      <c r="R10520" t="s">
        <v>40451</v>
      </c>
      <c r="S10520" t="s">
        <v>41005</v>
      </c>
      <c r="T10520" t="s">
        <v>42168</v>
      </c>
      <c r="U10520" t="s">
        <v>51380</v>
      </c>
      <c r="V10520" t="s">
        <v>54934</v>
      </c>
      <c r="W10520" t="s">
        <v>37055</v>
      </c>
      <c r="X10520" t="s">
        <v>40453</v>
      </c>
    </row>
    <row r="10521" spans="1:24">
      <c r="A10521">
        <f>HYPERLINK("https://www.philgeps.gov.ph/GEPSNONPILOT/Tender/SplashBidNoticeAbstractUI.aspx?menuIndex=3&amp;refID=7021733&amp;Result=3","7021733")</f>
        <v>0</v>
      </c>
      <c r="B10521" t="s">
        <v>566</v>
      </c>
      <c r="C10521" t="s">
        <v>13129</v>
      </c>
      <c r="E10521" t="s">
        <v>25423</v>
      </c>
      <c r="F10521" t="s">
        <v>28198</v>
      </c>
      <c r="G10521" t="s">
        <v>28205</v>
      </c>
      <c r="H10521" t="s">
        <v>28215</v>
      </c>
      <c r="I10521" t="s">
        <v>28256</v>
      </c>
      <c r="J10521" t="s">
        <v>28363</v>
      </c>
      <c r="K10521" t="s">
        <v>36689</v>
      </c>
      <c r="M10521" t="s">
        <v>38045</v>
      </c>
      <c r="N10521" t="s">
        <v>40436</v>
      </c>
      <c r="O10521" t="s">
        <v>40437</v>
      </c>
      <c r="Q10521">
        <v>9</v>
      </c>
      <c r="R10521" t="s">
        <v>40451</v>
      </c>
      <c r="S10521" t="s">
        <v>41023</v>
      </c>
      <c r="T10521" t="s">
        <v>42134</v>
      </c>
      <c r="U10521" t="s">
        <v>51381</v>
      </c>
      <c r="W10521" t="s">
        <v>38045</v>
      </c>
      <c r="X10521" t="s">
        <v>40453</v>
      </c>
    </row>
    <row r="10522" spans="1:24">
      <c r="A10522">
        <f>HYPERLINK("https://www.philgeps.gov.ph/GEPSNONPILOT/Tender/SplashBidNoticeAbstractUI.aspx?menuIndex=3&amp;refID=7022371&amp;Result=3","7022371")</f>
        <v>0</v>
      </c>
      <c r="B10522" t="s">
        <v>2272</v>
      </c>
      <c r="C10522" t="s">
        <v>13130</v>
      </c>
      <c r="D10522" t="s">
        <v>16220</v>
      </c>
      <c r="E10522" t="s">
        <v>25425</v>
      </c>
      <c r="F10522" t="s">
        <v>28198</v>
      </c>
      <c r="G10522" t="s">
        <v>28205</v>
      </c>
      <c r="H10522" t="s">
        <v>28214</v>
      </c>
      <c r="I10522" t="s">
        <v>3797</v>
      </c>
      <c r="J10522" t="s">
        <v>28363</v>
      </c>
      <c r="K10522" t="s">
        <v>36737</v>
      </c>
      <c r="M10522" t="s">
        <v>39444</v>
      </c>
      <c r="N10522" t="s">
        <v>40436</v>
      </c>
      <c r="O10522" t="s">
        <v>40437</v>
      </c>
      <c r="P10522">
        <v>0</v>
      </c>
      <c r="Q10522">
        <v>0</v>
      </c>
      <c r="R10522" t="s">
        <v>40451</v>
      </c>
      <c r="S10522" t="s">
        <v>41005</v>
      </c>
      <c r="T10522" t="s">
        <v>42133</v>
      </c>
      <c r="U10522" t="s">
        <v>51382</v>
      </c>
      <c r="V10522" t="s">
        <v>54935</v>
      </c>
      <c r="W10522" t="s">
        <v>39444</v>
      </c>
      <c r="X10522" t="s">
        <v>40453</v>
      </c>
    </row>
    <row r="10523" spans="1:24">
      <c r="A10523">
        <f>HYPERLINK("https://www.philgeps.gov.ph/GEPSNONPILOT/Tender/SplashBidNoticeAbstractUI.aspx?menuIndex=3&amp;refID=7022185&amp;Result=3","7022185")</f>
        <v>0</v>
      </c>
      <c r="B10523" t="s">
        <v>2773</v>
      </c>
      <c r="C10523" t="s">
        <v>13131</v>
      </c>
      <c r="E10523" t="s">
        <v>25426</v>
      </c>
      <c r="F10523" t="s">
        <v>28198</v>
      </c>
      <c r="G10523" t="s">
        <v>28206</v>
      </c>
      <c r="H10523" t="s">
        <v>28215</v>
      </c>
      <c r="I10523" t="s">
        <v>4219</v>
      </c>
      <c r="J10523" t="s">
        <v>34839</v>
      </c>
      <c r="K10523" t="s">
        <v>36689</v>
      </c>
      <c r="M10523" t="s">
        <v>40022</v>
      </c>
      <c r="N10523" t="s">
        <v>40436</v>
      </c>
      <c r="O10523" t="s">
        <v>40437</v>
      </c>
      <c r="P10523">
        <v>0</v>
      </c>
      <c r="Q10523">
        <v>0</v>
      </c>
      <c r="R10523" t="s">
        <v>40451</v>
      </c>
      <c r="S10523" t="s">
        <v>41005</v>
      </c>
      <c r="T10523" t="s">
        <v>42184</v>
      </c>
      <c r="U10523" t="s">
        <v>51383</v>
      </c>
      <c r="V10523" t="s">
        <v>54896</v>
      </c>
      <c r="W10523" t="s">
        <v>40022</v>
      </c>
      <c r="X10523" t="s">
        <v>40453</v>
      </c>
    </row>
    <row r="10524" spans="1:24">
      <c r="A10524">
        <f>HYPERLINK("https://www.philgeps.gov.ph/GEPSNONPILOT/Tender/SplashBidNoticeAbstractUI.aspx?menuIndex=3&amp;refID=7022429&amp;Result=3","7022429")</f>
        <v>0</v>
      </c>
      <c r="B10524" t="s">
        <v>2272</v>
      </c>
      <c r="C10524" t="s">
        <v>13132</v>
      </c>
      <c r="D10524" t="s">
        <v>16220</v>
      </c>
      <c r="E10524" t="s">
        <v>25427</v>
      </c>
      <c r="F10524" t="s">
        <v>28198</v>
      </c>
      <c r="G10524" t="s">
        <v>28205</v>
      </c>
      <c r="H10524" t="s">
        <v>28214</v>
      </c>
      <c r="I10524" t="s">
        <v>3797</v>
      </c>
      <c r="J10524" t="s">
        <v>28363</v>
      </c>
      <c r="K10524" t="s">
        <v>36701</v>
      </c>
      <c r="M10524" t="s">
        <v>39444</v>
      </c>
      <c r="N10524" t="s">
        <v>40436</v>
      </c>
      <c r="O10524" t="s">
        <v>40437</v>
      </c>
      <c r="P10524">
        <v>0</v>
      </c>
      <c r="Q10524">
        <v>0</v>
      </c>
      <c r="R10524" t="s">
        <v>40451</v>
      </c>
      <c r="S10524" t="s">
        <v>41005</v>
      </c>
      <c r="T10524" t="s">
        <v>42133</v>
      </c>
      <c r="U10524" t="s">
        <v>51382</v>
      </c>
      <c r="V10524" t="s">
        <v>54936</v>
      </c>
      <c r="W10524" t="s">
        <v>39444</v>
      </c>
      <c r="X10524" t="s">
        <v>40453</v>
      </c>
    </row>
    <row r="10525" spans="1:24">
      <c r="A10525">
        <f>HYPERLINK("https://www.philgeps.gov.ph/GEPSNONPILOT/Tender/SplashBidNoticeAbstractUI.aspx?menuIndex=3&amp;refID=7021718&amp;Result=3","7021718")</f>
        <v>0</v>
      </c>
      <c r="B10525" t="s">
        <v>566</v>
      </c>
      <c r="C10525" t="s">
        <v>13133</v>
      </c>
      <c r="E10525" t="s">
        <v>25428</v>
      </c>
      <c r="F10525" t="s">
        <v>28198</v>
      </c>
      <c r="G10525" t="s">
        <v>28205</v>
      </c>
      <c r="H10525" t="s">
        <v>28215</v>
      </c>
      <c r="I10525" t="s">
        <v>28256</v>
      </c>
      <c r="J10525" t="s">
        <v>28642</v>
      </c>
      <c r="K10525" t="s">
        <v>36689</v>
      </c>
      <c r="M10525" t="s">
        <v>38045</v>
      </c>
      <c r="N10525" t="s">
        <v>40436</v>
      </c>
      <c r="O10525" t="s">
        <v>40437</v>
      </c>
      <c r="Q10525">
        <v>4</v>
      </c>
      <c r="R10525" t="s">
        <v>40451</v>
      </c>
      <c r="S10525" t="s">
        <v>41024</v>
      </c>
      <c r="T10525" t="s">
        <v>42134</v>
      </c>
      <c r="U10525" t="s">
        <v>51384</v>
      </c>
      <c r="W10525" t="s">
        <v>38045</v>
      </c>
      <c r="X10525" t="s">
        <v>40453</v>
      </c>
    </row>
    <row r="10526" spans="1:24">
      <c r="A10526">
        <f>HYPERLINK("https://www.philgeps.gov.ph/GEPSNONPILOT/Tender/SplashBidNoticeAbstractUI.aspx?menuIndex=3&amp;refID=7022395&amp;Result=3","7022395")</f>
        <v>0</v>
      </c>
      <c r="B10526" t="s">
        <v>340</v>
      </c>
      <c r="C10526" t="s">
        <v>13134</v>
      </c>
      <c r="D10526" t="s">
        <v>16195</v>
      </c>
      <c r="E10526" t="s">
        <v>25429</v>
      </c>
      <c r="F10526" t="s">
        <v>28198</v>
      </c>
      <c r="G10526" t="s">
        <v>28205</v>
      </c>
      <c r="H10526" t="s">
        <v>28214</v>
      </c>
      <c r="I10526" t="s">
        <v>3797</v>
      </c>
      <c r="J10526" t="s">
        <v>28363</v>
      </c>
      <c r="K10526" t="s">
        <v>36715</v>
      </c>
      <c r="M10526" t="s">
        <v>39278</v>
      </c>
      <c r="N10526" t="s">
        <v>40436</v>
      </c>
      <c r="O10526" t="s">
        <v>40437</v>
      </c>
      <c r="P10526">
        <v>0</v>
      </c>
      <c r="Q10526">
        <v>1</v>
      </c>
      <c r="R10526" t="s">
        <v>40451</v>
      </c>
      <c r="S10526" t="s">
        <v>41005</v>
      </c>
      <c r="T10526" t="s">
        <v>42100</v>
      </c>
      <c r="U10526" t="s">
        <v>51385</v>
      </c>
      <c r="W10526" t="s">
        <v>39278</v>
      </c>
      <c r="X10526" t="s">
        <v>40453</v>
      </c>
    </row>
    <row r="10527" spans="1:24">
      <c r="A10527">
        <f>HYPERLINK("https://www.philgeps.gov.ph/GEPSNONPILOT/Tender/SplashBidNoticeAbstractUI.aspx?menuIndex=3&amp;refID=7020987&amp;Result=3","7020987")</f>
        <v>0</v>
      </c>
      <c r="B10527" t="s">
        <v>83</v>
      </c>
      <c r="C10527" t="s">
        <v>13135</v>
      </c>
      <c r="D10527" t="s">
        <v>16220</v>
      </c>
      <c r="E10527" t="s">
        <v>25430</v>
      </c>
      <c r="F10527" t="s">
        <v>28198</v>
      </c>
      <c r="G10527" t="s">
        <v>28205</v>
      </c>
      <c r="H10527" t="s">
        <v>28215</v>
      </c>
      <c r="I10527" t="s">
        <v>28222</v>
      </c>
      <c r="J10527" t="s">
        <v>28398</v>
      </c>
      <c r="K10527" t="s">
        <v>36701</v>
      </c>
      <c r="M10527" t="s">
        <v>37055</v>
      </c>
      <c r="N10527" t="s">
        <v>40436</v>
      </c>
      <c r="O10527" t="s">
        <v>40437</v>
      </c>
      <c r="P10527">
        <v>0</v>
      </c>
      <c r="Q10527">
        <v>4</v>
      </c>
      <c r="R10527" t="s">
        <v>40451</v>
      </c>
      <c r="S10527" t="s">
        <v>41005</v>
      </c>
      <c r="T10527" t="s">
        <v>42168</v>
      </c>
      <c r="U10527" t="s">
        <v>51386</v>
      </c>
      <c r="V10527" t="s">
        <v>54937</v>
      </c>
      <c r="W10527" t="s">
        <v>37055</v>
      </c>
      <c r="X10527" t="s">
        <v>40454</v>
      </c>
    </row>
    <row r="10528" spans="1:24">
      <c r="A10528">
        <f>HYPERLINK("https://www.philgeps.gov.ph/GEPSNONPILOT/Tender/SplashBidNoticeAbstractUI.aspx?menuIndex=3&amp;refID=7022219&amp;Result=3","7022219")</f>
        <v>0</v>
      </c>
      <c r="B10528" t="s">
        <v>2773</v>
      </c>
      <c r="C10528" t="s">
        <v>13136</v>
      </c>
      <c r="E10528" t="s">
        <v>25431</v>
      </c>
      <c r="F10528" t="s">
        <v>28198</v>
      </c>
      <c r="G10528" t="s">
        <v>28206</v>
      </c>
      <c r="H10528" t="s">
        <v>28215</v>
      </c>
      <c r="I10528" t="s">
        <v>4219</v>
      </c>
      <c r="J10528" t="s">
        <v>34840</v>
      </c>
      <c r="K10528" t="s">
        <v>36689</v>
      </c>
      <c r="M10528" t="s">
        <v>40022</v>
      </c>
      <c r="N10528" t="s">
        <v>40436</v>
      </c>
      <c r="O10528" t="s">
        <v>40437</v>
      </c>
      <c r="P10528">
        <v>0</v>
      </c>
      <c r="Q10528">
        <v>1</v>
      </c>
      <c r="R10528" t="s">
        <v>40451</v>
      </c>
      <c r="S10528" t="s">
        <v>41005</v>
      </c>
      <c r="T10528" t="s">
        <v>42184</v>
      </c>
      <c r="U10528" t="s">
        <v>51387</v>
      </c>
      <c r="V10528" t="s">
        <v>54896</v>
      </c>
      <c r="W10528" t="s">
        <v>40022</v>
      </c>
      <c r="X10528" t="s">
        <v>40453</v>
      </c>
    </row>
    <row r="10529" spans="1:24">
      <c r="A10529">
        <f>HYPERLINK("https://www.philgeps.gov.ph/GEPSNONPILOT/Tender/SplashBidNoticeAbstractUI.aspx?menuIndex=3&amp;refID=7022361&amp;Result=3","7022361")</f>
        <v>0</v>
      </c>
      <c r="B10529" t="s">
        <v>2773</v>
      </c>
      <c r="C10529" t="s">
        <v>13137</v>
      </c>
      <c r="E10529" t="s">
        <v>25432</v>
      </c>
      <c r="F10529" t="s">
        <v>28198</v>
      </c>
      <c r="G10529" t="s">
        <v>28205</v>
      </c>
      <c r="H10529" t="s">
        <v>28215</v>
      </c>
      <c r="I10529" t="s">
        <v>8888</v>
      </c>
      <c r="J10529" t="s">
        <v>34841</v>
      </c>
      <c r="K10529" t="s">
        <v>36689</v>
      </c>
      <c r="M10529" t="s">
        <v>40022</v>
      </c>
      <c r="N10529" t="s">
        <v>40436</v>
      </c>
      <c r="O10529" t="s">
        <v>40437</v>
      </c>
      <c r="P10529">
        <v>0</v>
      </c>
      <c r="Q10529">
        <v>1</v>
      </c>
      <c r="R10529" t="s">
        <v>40451</v>
      </c>
      <c r="S10529" t="s">
        <v>41005</v>
      </c>
      <c r="T10529" t="s">
        <v>42184</v>
      </c>
      <c r="U10529" t="s">
        <v>51388</v>
      </c>
      <c r="V10529" t="s">
        <v>54896</v>
      </c>
      <c r="W10529" t="s">
        <v>40022</v>
      </c>
      <c r="X10529" t="s">
        <v>40453</v>
      </c>
    </row>
    <row r="10530" spans="1:24">
      <c r="A10530">
        <f>HYPERLINK("https://www.philgeps.gov.ph/GEPSNONPILOT/Tender/SplashBidNoticeAbstractUI.aspx?menuIndex=3&amp;refID=7020993&amp;Result=3","7020993")</f>
        <v>0</v>
      </c>
      <c r="B10530" t="s">
        <v>2773</v>
      </c>
      <c r="C10530" t="s">
        <v>13138</v>
      </c>
      <c r="E10530" t="s">
        <v>25419</v>
      </c>
      <c r="F10530" t="s">
        <v>28198</v>
      </c>
      <c r="G10530" t="s">
        <v>28205</v>
      </c>
      <c r="H10530" t="s">
        <v>28215</v>
      </c>
      <c r="I10530" t="s">
        <v>8888</v>
      </c>
      <c r="J10530" t="s">
        <v>34842</v>
      </c>
      <c r="K10530" t="s">
        <v>36689</v>
      </c>
      <c r="M10530" t="s">
        <v>40022</v>
      </c>
      <c r="N10530" t="s">
        <v>40436</v>
      </c>
      <c r="O10530" t="s">
        <v>40437</v>
      </c>
      <c r="P10530">
        <v>0</v>
      </c>
      <c r="Q10530">
        <v>1</v>
      </c>
      <c r="R10530" t="s">
        <v>40451</v>
      </c>
      <c r="S10530" t="s">
        <v>41005</v>
      </c>
      <c r="T10530" t="s">
        <v>42184</v>
      </c>
      <c r="U10530" t="s">
        <v>51389</v>
      </c>
      <c r="V10530" t="s">
        <v>54896</v>
      </c>
      <c r="W10530" t="s">
        <v>40022</v>
      </c>
      <c r="X10530" t="s">
        <v>40454</v>
      </c>
    </row>
    <row r="10531" spans="1:24">
      <c r="A10531">
        <f>HYPERLINK("https://www.philgeps.gov.ph/GEPSNONPILOT/Tender/SplashBidNoticeAbstractUI.aspx?menuIndex=3&amp;refID=7022413&amp;Result=3","7022413")</f>
        <v>0</v>
      </c>
      <c r="B10531" t="s">
        <v>2272</v>
      </c>
      <c r="C10531" t="s">
        <v>13139</v>
      </c>
      <c r="D10531" t="s">
        <v>16220</v>
      </c>
      <c r="E10531" t="s">
        <v>25433</v>
      </c>
      <c r="F10531" t="s">
        <v>28198</v>
      </c>
      <c r="G10531" t="s">
        <v>28205</v>
      </c>
      <c r="H10531" t="s">
        <v>28214</v>
      </c>
      <c r="I10531" t="s">
        <v>3797</v>
      </c>
      <c r="J10531" t="s">
        <v>31303</v>
      </c>
      <c r="K10531" t="s">
        <v>36701</v>
      </c>
      <c r="M10531" t="s">
        <v>39444</v>
      </c>
      <c r="N10531" t="s">
        <v>40436</v>
      </c>
      <c r="O10531" t="s">
        <v>40437</v>
      </c>
      <c r="P10531">
        <v>0</v>
      </c>
      <c r="Q10531">
        <v>1</v>
      </c>
      <c r="R10531" t="s">
        <v>40451</v>
      </c>
      <c r="S10531" t="s">
        <v>41005</v>
      </c>
      <c r="T10531" t="s">
        <v>42133</v>
      </c>
      <c r="U10531" t="s">
        <v>51382</v>
      </c>
      <c r="V10531" t="s">
        <v>54938</v>
      </c>
      <c r="W10531" t="s">
        <v>39444</v>
      </c>
      <c r="X10531" t="s">
        <v>40453</v>
      </c>
    </row>
    <row r="10532" spans="1:24">
      <c r="A10532">
        <f>HYPERLINK("https://www.philgeps.gov.ph/GEPSNONPILOT/Tender/SplashBidNoticeAbstractUI.aspx?menuIndex=3&amp;refID=7021714&amp;Result=3","7021714")</f>
        <v>0</v>
      </c>
      <c r="B10532" t="s">
        <v>566</v>
      </c>
      <c r="C10532" t="s">
        <v>13140</v>
      </c>
      <c r="E10532" t="s">
        <v>25434</v>
      </c>
      <c r="F10532" t="s">
        <v>28198</v>
      </c>
      <c r="G10532" t="s">
        <v>28205</v>
      </c>
      <c r="H10532" t="s">
        <v>28215</v>
      </c>
      <c r="I10532" t="s">
        <v>28256</v>
      </c>
      <c r="J10532" t="s">
        <v>34843</v>
      </c>
      <c r="K10532" t="s">
        <v>36689</v>
      </c>
      <c r="M10532" t="s">
        <v>38045</v>
      </c>
      <c r="N10532" t="s">
        <v>40436</v>
      </c>
      <c r="O10532" t="s">
        <v>40437</v>
      </c>
      <c r="Q10532">
        <v>11</v>
      </c>
      <c r="R10532" t="s">
        <v>40451</v>
      </c>
      <c r="S10532" t="s">
        <v>41025</v>
      </c>
      <c r="T10532" t="s">
        <v>42134</v>
      </c>
      <c r="U10532" t="s">
        <v>51390</v>
      </c>
      <c r="W10532" t="s">
        <v>38045</v>
      </c>
      <c r="X10532" t="s">
        <v>40453</v>
      </c>
    </row>
    <row r="10533" spans="1:24">
      <c r="A10533">
        <f>HYPERLINK("https://www.philgeps.gov.ph/GEPSNONPILOT/Tender/SplashBidNoticeAbstractUI.aspx?menuIndex=3&amp;refID=7022393&amp;Result=3","7022393")</f>
        <v>0</v>
      </c>
      <c r="B10533" t="s">
        <v>525</v>
      </c>
      <c r="C10533" t="s">
        <v>13141</v>
      </c>
      <c r="D10533" t="s">
        <v>16221</v>
      </c>
      <c r="E10533" t="s">
        <v>25435</v>
      </c>
      <c r="F10533" t="s">
        <v>28198</v>
      </c>
      <c r="G10533" t="s">
        <v>28205</v>
      </c>
      <c r="H10533" t="s">
        <v>28214</v>
      </c>
      <c r="I10533" t="s">
        <v>3797</v>
      </c>
      <c r="J10533" t="s">
        <v>28699</v>
      </c>
      <c r="K10533" t="s">
        <v>36689</v>
      </c>
      <c r="M10533" t="s">
        <v>37510</v>
      </c>
      <c r="N10533" t="s">
        <v>40436</v>
      </c>
      <c r="O10533" t="s">
        <v>40437</v>
      </c>
      <c r="P10533">
        <v>0</v>
      </c>
      <c r="Q10533">
        <v>1</v>
      </c>
      <c r="R10533" t="s">
        <v>40451</v>
      </c>
      <c r="S10533" t="s">
        <v>41005</v>
      </c>
      <c r="T10533" t="s">
        <v>42148</v>
      </c>
      <c r="U10533" t="s">
        <v>51391</v>
      </c>
      <c r="W10533" t="s">
        <v>37510</v>
      </c>
      <c r="X10533" t="s">
        <v>40453</v>
      </c>
    </row>
    <row r="10534" spans="1:24">
      <c r="A10534">
        <f>HYPERLINK("https://www.philgeps.gov.ph/GEPSNONPILOT/Tender/SplashBidNoticeAbstractUI.aspx?menuIndex=3&amp;refID=7022403&amp;Result=3","7022403")</f>
        <v>0</v>
      </c>
      <c r="B10534" t="s">
        <v>249</v>
      </c>
      <c r="C10534" t="s">
        <v>13142</v>
      </c>
      <c r="D10534" t="s">
        <v>16254</v>
      </c>
      <c r="E10534" t="s">
        <v>20316</v>
      </c>
      <c r="F10534" t="s">
        <v>28198</v>
      </c>
      <c r="G10534" t="s">
        <v>28205</v>
      </c>
      <c r="H10534" t="s">
        <v>28215</v>
      </c>
      <c r="I10534" t="s">
        <v>8870</v>
      </c>
      <c r="J10534" t="s">
        <v>31267</v>
      </c>
      <c r="K10534" t="s">
        <v>36697</v>
      </c>
      <c r="L10534" t="s">
        <v>249</v>
      </c>
      <c r="M10534" t="s">
        <v>37225</v>
      </c>
      <c r="N10534" t="s">
        <v>40436</v>
      </c>
      <c r="O10534" t="s">
        <v>40437</v>
      </c>
      <c r="P10534">
        <v>0</v>
      </c>
      <c r="Q10534">
        <v>3</v>
      </c>
      <c r="R10534" t="s">
        <v>40451</v>
      </c>
      <c r="S10534" t="s">
        <v>41005</v>
      </c>
      <c r="T10534" t="s">
        <v>42320</v>
      </c>
      <c r="U10534" t="s">
        <v>51392</v>
      </c>
      <c r="V10534" t="s">
        <v>54750</v>
      </c>
      <c r="W10534" t="s">
        <v>37225</v>
      </c>
      <c r="X10534" t="s">
        <v>40453</v>
      </c>
    </row>
    <row r="10535" spans="1:24">
      <c r="A10535">
        <f>HYPERLINK("https://www.philgeps.gov.ph/GEPSNONPILOT/Tender/SplashBidNoticeAbstractUI.aspx?menuIndex=3&amp;refID=7022314&amp;Result=3","7022314")</f>
        <v>0</v>
      </c>
      <c r="B10535" t="s">
        <v>2272</v>
      </c>
      <c r="C10535" t="s">
        <v>13143</v>
      </c>
      <c r="D10535" t="s">
        <v>16220</v>
      </c>
      <c r="E10535" t="s">
        <v>25436</v>
      </c>
      <c r="F10535" t="s">
        <v>28198</v>
      </c>
      <c r="G10535" t="s">
        <v>28205</v>
      </c>
      <c r="H10535" t="s">
        <v>28214</v>
      </c>
      <c r="I10535" t="s">
        <v>3797</v>
      </c>
      <c r="J10535" t="s">
        <v>28379</v>
      </c>
      <c r="K10535" t="s">
        <v>36697</v>
      </c>
      <c r="M10535" t="s">
        <v>39444</v>
      </c>
      <c r="N10535" t="s">
        <v>40436</v>
      </c>
      <c r="O10535" t="s">
        <v>40437</v>
      </c>
      <c r="P10535">
        <v>0</v>
      </c>
      <c r="Q10535">
        <v>1</v>
      </c>
      <c r="R10535" t="s">
        <v>40451</v>
      </c>
      <c r="S10535" t="s">
        <v>41005</v>
      </c>
      <c r="T10535" t="s">
        <v>42133</v>
      </c>
      <c r="U10535" t="s">
        <v>51382</v>
      </c>
      <c r="V10535" t="s">
        <v>54939</v>
      </c>
      <c r="W10535" t="s">
        <v>39444</v>
      </c>
      <c r="X10535" t="s">
        <v>40453</v>
      </c>
    </row>
    <row r="10536" spans="1:24">
      <c r="A10536">
        <f>HYPERLINK("https://www.philgeps.gov.ph/GEPSNONPILOT/Tender/SplashBidNoticeAbstractUI.aspx?menuIndex=3&amp;refID=7022360&amp;Result=3","7022360")</f>
        <v>0</v>
      </c>
      <c r="B10536" t="s">
        <v>2272</v>
      </c>
      <c r="C10536" t="s">
        <v>13144</v>
      </c>
      <c r="D10536" t="s">
        <v>16220</v>
      </c>
      <c r="E10536" t="s">
        <v>25437</v>
      </c>
      <c r="F10536" t="s">
        <v>28198</v>
      </c>
      <c r="G10536" t="s">
        <v>28205</v>
      </c>
      <c r="H10536" t="s">
        <v>28214</v>
      </c>
      <c r="I10536" t="s">
        <v>3797</v>
      </c>
      <c r="J10536" t="s">
        <v>28379</v>
      </c>
      <c r="K10536" t="s">
        <v>36727</v>
      </c>
      <c r="M10536" t="s">
        <v>39444</v>
      </c>
      <c r="N10536" t="s">
        <v>40436</v>
      </c>
      <c r="O10536" t="s">
        <v>40437</v>
      </c>
      <c r="P10536">
        <v>0</v>
      </c>
      <c r="Q10536">
        <v>0</v>
      </c>
      <c r="R10536" t="s">
        <v>40451</v>
      </c>
      <c r="S10536" t="s">
        <v>41005</v>
      </c>
      <c r="T10536" t="s">
        <v>42133</v>
      </c>
      <c r="U10536" t="s">
        <v>51382</v>
      </c>
      <c r="V10536" t="s">
        <v>54940</v>
      </c>
      <c r="W10536" t="s">
        <v>39444</v>
      </c>
      <c r="X10536" t="s">
        <v>40453</v>
      </c>
    </row>
    <row r="10537" spans="1:24">
      <c r="A10537">
        <f>HYPERLINK("https://www.philgeps.gov.ph/GEPSNONPILOT/Tender/SplashBidNoticeAbstractUI.aspx?menuIndex=3&amp;refID=7022337&amp;Result=3","7022337")</f>
        <v>0</v>
      </c>
      <c r="B10537" t="s">
        <v>2272</v>
      </c>
      <c r="C10537" t="s">
        <v>13145</v>
      </c>
      <c r="D10537" t="s">
        <v>16220</v>
      </c>
      <c r="E10537" t="s">
        <v>25438</v>
      </c>
      <c r="F10537" t="s">
        <v>28198</v>
      </c>
      <c r="G10537" t="s">
        <v>28205</v>
      </c>
      <c r="H10537" t="s">
        <v>28214</v>
      </c>
      <c r="I10537" t="s">
        <v>3797</v>
      </c>
      <c r="J10537" t="s">
        <v>28379</v>
      </c>
      <c r="K10537" t="s">
        <v>36697</v>
      </c>
      <c r="M10537" t="s">
        <v>39444</v>
      </c>
      <c r="N10537" t="s">
        <v>40436</v>
      </c>
      <c r="O10537" t="s">
        <v>40437</v>
      </c>
      <c r="P10537">
        <v>0</v>
      </c>
      <c r="Q10537">
        <v>0</v>
      </c>
      <c r="R10537" t="s">
        <v>40451</v>
      </c>
      <c r="S10537" t="s">
        <v>41005</v>
      </c>
      <c r="T10537" t="s">
        <v>42133</v>
      </c>
      <c r="U10537" t="s">
        <v>51382</v>
      </c>
      <c r="V10537" t="s">
        <v>54941</v>
      </c>
      <c r="W10537" t="s">
        <v>39444</v>
      </c>
      <c r="X10537" t="s">
        <v>40453</v>
      </c>
    </row>
    <row r="10538" spans="1:24">
      <c r="A10538">
        <f>HYPERLINK("https://www.philgeps.gov.ph/GEPSNONPILOT/Tender/SplashBidNoticeAbstractUI.aspx?menuIndex=3&amp;refID=7022325&amp;Result=3","7022325")</f>
        <v>0</v>
      </c>
      <c r="B10538" t="s">
        <v>525</v>
      </c>
      <c r="C10538" t="s">
        <v>13146</v>
      </c>
      <c r="D10538" t="s">
        <v>16221</v>
      </c>
      <c r="E10538" t="s">
        <v>25439</v>
      </c>
      <c r="F10538" t="s">
        <v>28198</v>
      </c>
      <c r="G10538" t="s">
        <v>28205</v>
      </c>
      <c r="H10538" t="s">
        <v>28214</v>
      </c>
      <c r="I10538" t="s">
        <v>3797</v>
      </c>
      <c r="J10538" t="s">
        <v>28468</v>
      </c>
      <c r="K10538" t="s">
        <v>36708</v>
      </c>
      <c r="M10538" t="s">
        <v>37510</v>
      </c>
      <c r="N10538" t="s">
        <v>40436</v>
      </c>
      <c r="O10538" t="s">
        <v>40437</v>
      </c>
      <c r="P10538">
        <v>0</v>
      </c>
      <c r="Q10538">
        <v>1</v>
      </c>
      <c r="R10538" t="s">
        <v>40451</v>
      </c>
      <c r="S10538" t="s">
        <v>41005</v>
      </c>
      <c r="T10538" t="s">
        <v>42188</v>
      </c>
      <c r="U10538" t="s">
        <v>51393</v>
      </c>
      <c r="W10538" t="s">
        <v>37510</v>
      </c>
      <c r="X10538" t="s">
        <v>40453</v>
      </c>
    </row>
    <row r="10539" spans="1:24">
      <c r="A10539">
        <f>HYPERLINK("https://www.philgeps.gov.ph/GEPSNONPILOT/Tender/SplashBidNoticeAbstractUI.aspx?menuIndex=3&amp;refID=7022857&amp;Result=3","7022857")</f>
        <v>0</v>
      </c>
      <c r="B10539" t="s">
        <v>461</v>
      </c>
      <c r="C10539" t="s">
        <v>8033</v>
      </c>
      <c r="D10539" t="s">
        <v>16208</v>
      </c>
      <c r="E10539" t="s">
        <v>25440</v>
      </c>
      <c r="F10539" t="s">
        <v>28198</v>
      </c>
      <c r="G10539" t="s">
        <v>28205</v>
      </c>
      <c r="H10539" t="s">
        <v>28215</v>
      </c>
      <c r="I10539" t="s">
        <v>4321</v>
      </c>
      <c r="J10539" t="s">
        <v>34844</v>
      </c>
      <c r="K10539" t="s">
        <v>36689</v>
      </c>
      <c r="M10539" t="s">
        <v>37445</v>
      </c>
      <c r="N10539" t="s">
        <v>40436</v>
      </c>
      <c r="O10539" t="s">
        <v>40437</v>
      </c>
      <c r="P10539">
        <v>0</v>
      </c>
      <c r="Q10539">
        <v>0</v>
      </c>
      <c r="R10539" t="s">
        <v>40451</v>
      </c>
      <c r="S10539" t="s">
        <v>41005</v>
      </c>
      <c r="T10539" t="s">
        <v>42115</v>
      </c>
      <c r="U10539" t="s">
        <v>51394</v>
      </c>
      <c r="V10539" t="s">
        <v>54942</v>
      </c>
      <c r="W10539" t="s">
        <v>37445</v>
      </c>
      <c r="X10539" t="s">
        <v>40453</v>
      </c>
    </row>
    <row r="10540" spans="1:24">
      <c r="A10540">
        <f>HYPERLINK("https://www.philgeps.gov.ph/GEPSNONPILOT/Tender/SplashBidNoticeAbstractUI.aspx?menuIndex=3&amp;refID=7023244&amp;Result=3","7023244")</f>
        <v>0</v>
      </c>
      <c r="B10540" t="s">
        <v>461</v>
      </c>
      <c r="C10540" t="s">
        <v>13147</v>
      </c>
      <c r="D10540" t="s">
        <v>16208</v>
      </c>
      <c r="E10540" t="s">
        <v>25441</v>
      </c>
      <c r="F10540" t="s">
        <v>28198</v>
      </c>
      <c r="G10540" t="s">
        <v>28205</v>
      </c>
      <c r="H10540" t="s">
        <v>28215</v>
      </c>
      <c r="I10540" t="s">
        <v>28256</v>
      </c>
      <c r="J10540" t="s">
        <v>34845</v>
      </c>
      <c r="K10540" t="s">
        <v>36689</v>
      </c>
      <c r="M10540" t="s">
        <v>38367</v>
      </c>
      <c r="N10540" t="s">
        <v>40436</v>
      </c>
      <c r="O10540" t="s">
        <v>40437</v>
      </c>
      <c r="P10540">
        <v>0</v>
      </c>
      <c r="Q10540">
        <v>5</v>
      </c>
      <c r="R10540" t="s">
        <v>40451</v>
      </c>
      <c r="S10540" t="s">
        <v>41005</v>
      </c>
      <c r="T10540" t="s">
        <v>42115</v>
      </c>
      <c r="U10540" t="s">
        <v>51395</v>
      </c>
      <c r="V10540" t="s">
        <v>54943</v>
      </c>
      <c r="W10540" t="s">
        <v>38367</v>
      </c>
      <c r="X10540" t="s">
        <v>40453</v>
      </c>
    </row>
    <row r="10541" spans="1:24">
      <c r="A10541">
        <f>HYPERLINK("https://www.philgeps.gov.ph/GEPSNONPILOT/Tender/SplashBidNoticeAbstractUI.aspx?menuIndex=3&amp;refID=7023014&amp;Result=3","7023014")</f>
        <v>0</v>
      </c>
      <c r="B10541" t="s">
        <v>2773</v>
      </c>
      <c r="C10541" t="s">
        <v>13148</v>
      </c>
      <c r="E10541" t="s">
        <v>25442</v>
      </c>
      <c r="F10541" t="s">
        <v>28198</v>
      </c>
      <c r="G10541" t="s">
        <v>28206</v>
      </c>
      <c r="H10541" t="s">
        <v>28215</v>
      </c>
      <c r="I10541" t="s">
        <v>3774</v>
      </c>
      <c r="J10541" t="s">
        <v>34846</v>
      </c>
      <c r="K10541" t="s">
        <v>36689</v>
      </c>
      <c r="M10541" t="s">
        <v>40022</v>
      </c>
      <c r="N10541" t="s">
        <v>40436</v>
      </c>
      <c r="O10541" t="s">
        <v>40437</v>
      </c>
      <c r="P10541">
        <v>0</v>
      </c>
      <c r="Q10541">
        <v>0</v>
      </c>
      <c r="R10541" t="s">
        <v>40451</v>
      </c>
      <c r="S10541" t="s">
        <v>41005</v>
      </c>
      <c r="T10541" t="s">
        <v>42184</v>
      </c>
      <c r="U10541" t="s">
        <v>51396</v>
      </c>
      <c r="V10541" t="s">
        <v>54896</v>
      </c>
      <c r="W10541" t="s">
        <v>40022</v>
      </c>
      <c r="X10541" t="s">
        <v>40453</v>
      </c>
    </row>
    <row r="10542" spans="1:24">
      <c r="A10542">
        <f>HYPERLINK("https://www.philgeps.gov.ph/GEPSNONPILOT/Tender/SplashBidNoticeAbstractUI.aspx?menuIndex=3&amp;refID=7022780&amp;Result=3","7022780")</f>
        <v>0</v>
      </c>
      <c r="B10542" t="s">
        <v>1009</v>
      </c>
      <c r="C10542" t="s">
        <v>13149</v>
      </c>
      <c r="E10542" t="s">
        <v>25443</v>
      </c>
      <c r="F10542" t="s">
        <v>28198</v>
      </c>
      <c r="G10542" t="s">
        <v>28205</v>
      </c>
      <c r="H10542" t="s">
        <v>28215</v>
      </c>
      <c r="I10542" t="s">
        <v>28222</v>
      </c>
      <c r="J10542" t="s">
        <v>28699</v>
      </c>
      <c r="K10542" t="s">
        <v>36697</v>
      </c>
      <c r="M10542" t="s">
        <v>38050</v>
      </c>
      <c r="N10542" t="s">
        <v>40436</v>
      </c>
      <c r="O10542" t="s">
        <v>40437</v>
      </c>
      <c r="P10542">
        <v>0</v>
      </c>
      <c r="Q10542">
        <v>6</v>
      </c>
      <c r="R10542" t="s">
        <v>40451</v>
      </c>
      <c r="S10542" t="s">
        <v>41005</v>
      </c>
      <c r="T10542" t="s">
        <v>42128</v>
      </c>
      <c r="U10542" t="s">
        <v>51397</v>
      </c>
      <c r="W10542" t="s">
        <v>38050</v>
      </c>
      <c r="X10542" t="s">
        <v>40453</v>
      </c>
    </row>
    <row r="10543" spans="1:24">
      <c r="A10543">
        <f>HYPERLINK("https://www.philgeps.gov.ph/GEPSNONPILOT/Tender/SplashBidNoticeAbstractUI.aspx?menuIndex=3&amp;refID=7022474&amp;Result=3","7022474")</f>
        <v>0</v>
      </c>
      <c r="B10543" t="s">
        <v>340</v>
      </c>
      <c r="C10543" t="s">
        <v>13150</v>
      </c>
      <c r="D10543" t="s">
        <v>16195</v>
      </c>
      <c r="E10543" t="s">
        <v>25444</v>
      </c>
      <c r="F10543" t="s">
        <v>28198</v>
      </c>
      <c r="G10543" t="s">
        <v>28205</v>
      </c>
      <c r="H10543" t="s">
        <v>28214</v>
      </c>
      <c r="I10543" t="s">
        <v>3797</v>
      </c>
      <c r="J10543" t="s">
        <v>28699</v>
      </c>
      <c r="K10543" t="s">
        <v>36817</v>
      </c>
      <c r="M10543" t="s">
        <v>39278</v>
      </c>
      <c r="N10543" t="s">
        <v>40436</v>
      </c>
      <c r="O10543" t="s">
        <v>40437</v>
      </c>
      <c r="P10543">
        <v>0</v>
      </c>
      <c r="Q10543">
        <v>0</v>
      </c>
      <c r="R10543" t="s">
        <v>40451</v>
      </c>
      <c r="S10543" t="s">
        <v>41005</v>
      </c>
      <c r="T10543" t="s">
        <v>42100</v>
      </c>
      <c r="U10543" t="s">
        <v>51398</v>
      </c>
      <c r="W10543" t="s">
        <v>39278</v>
      </c>
      <c r="X10543" t="s">
        <v>40453</v>
      </c>
    </row>
    <row r="10544" spans="1:24">
      <c r="A10544">
        <f>HYPERLINK("https://www.philgeps.gov.ph/GEPSNONPILOT/Tender/SplashBidNoticeAbstractUI.aspx?menuIndex=3&amp;refID=7023019&amp;Result=3","7023019")</f>
        <v>0</v>
      </c>
      <c r="B10544" t="s">
        <v>340</v>
      </c>
      <c r="C10544" t="s">
        <v>13151</v>
      </c>
      <c r="D10544" t="s">
        <v>16195</v>
      </c>
      <c r="E10544" t="s">
        <v>25445</v>
      </c>
      <c r="F10544" t="s">
        <v>28198</v>
      </c>
      <c r="G10544" t="s">
        <v>28205</v>
      </c>
      <c r="H10544" t="s">
        <v>28215</v>
      </c>
      <c r="I10544" t="s">
        <v>28220</v>
      </c>
      <c r="J10544" t="s">
        <v>34847</v>
      </c>
      <c r="K10544" t="s">
        <v>36701</v>
      </c>
      <c r="M10544" t="s">
        <v>39278</v>
      </c>
      <c r="N10544" t="s">
        <v>40436</v>
      </c>
      <c r="O10544" t="s">
        <v>40437</v>
      </c>
      <c r="P10544">
        <v>0</v>
      </c>
      <c r="Q10544">
        <v>17</v>
      </c>
      <c r="R10544" t="s">
        <v>40451</v>
      </c>
      <c r="S10544" t="s">
        <v>41005</v>
      </c>
      <c r="T10544" t="s">
        <v>42100</v>
      </c>
      <c r="U10544" t="s">
        <v>51399</v>
      </c>
      <c r="W10544" t="s">
        <v>39278</v>
      </c>
      <c r="X10544" t="s">
        <v>40453</v>
      </c>
    </row>
    <row r="10545" spans="1:24">
      <c r="A10545">
        <f>HYPERLINK("https://www.philgeps.gov.ph/GEPSNONPILOT/Tender/SplashBidNoticeAbstractUI.aspx?menuIndex=3&amp;refID=7022755&amp;Result=3","7022755")</f>
        <v>0</v>
      </c>
      <c r="B10545" t="s">
        <v>1009</v>
      </c>
      <c r="C10545" t="s">
        <v>13152</v>
      </c>
      <c r="E10545" t="s">
        <v>25446</v>
      </c>
      <c r="F10545" t="s">
        <v>28198</v>
      </c>
      <c r="G10545" t="s">
        <v>28205</v>
      </c>
      <c r="H10545" t="s">
        <v>28215</v>
      </c>
      <c r="I10545" t="s">
        <v>4321</v>
      </c>
      <c r="J10545" t="s">
        <v>34848</v>
      </c>
      <c r="K10545" t="s">
        <v>36688</v>
      </c>
      <c r="M10545" t="s">
        <v>38050</v>
      </c>
      <c r="N10545" t="s">
        <v>40436</v>
      </c>
      <c r="O10545" t="s">
        <v>40437</v>
      </c>
      <c r="P10545">
        <v>0</v>
      </c>
      <c r="Q10545">
        <v>1</v>
      </c>
      <c r="R10545" t="s">
        <v>40451</v>
      </c>
      <c r="S10545" t="s">
        <v>41005</v>
      </c>
      <c r="T10545" t="s">
        <v>42128</v>
      </c>
      <c r="U10545" t="s">
        <v>51400</v>
      </c>
      <c r="W10545" t="s">
        <v>38050</v>
      </c>
      <c r="X10545" t="s">
        <v>40453</v>
      </c>
    </row>
    <row r="10546" spans="1:24">
      <c r="A10546">
        <f>HYPERLINK("https://www.philgeps.gov.ph/GEPSNONPILOT/Tender/SplashBidNoticeAbstractUI.aspx?menuIndex=3&amp;refID=7022640&amp;Result=3","7022640")</f>
        <v>0</v>
      </c>
      <c r="B10546" t="s">
        <v>1009</v>
      </c>
      <c r="C10546" t="s">
        <v>13153</v>
      </c>
      <c r="E10546" t="s">
        <v>25447</v>
      </c>
      <c r="F10546" t="s">
        <v>28198</v>
      </c>
      <c r="G10546" t="s">
        <v>28205</v>
      </c>
      <c r="H10546" t="s">
        <v>28214</v>
      </c>
      <c r="I10546" t="s">
        <v>3797</v>
      </c>
      <c r="J10546" t="s">
        <v>34849</v>
      </c>
      <c r="K10546" t="s">
        <v>36930</v>
      </c>
      <c r="M10546" t="s">
        <v>38050</v>
      </c>
      <c r="N10546" t="s">
        <v>40436</v>
      </c>
      <c r="O10546" t="s">
        <v>40437</v>
      </c>
      <c r="P10546">
        <v>0</v>
      </c>
      <c r="Q10546">
        <v>2</v>
      </c>
      <c r="R10546" t="s">
        <v>40451</v>
      </c>
      <c r="S10546" t="s">
        <v>41005</v>
      </c>
      <c r="T10546" t="s">
        <v>42128</v>
      </c>
      <c r="U10546" t="s">
        <v>51401</v>
      </c>
      <c r="W10546" t="s">
        <v>38050</v>
      </c>
      <c r="X10546" t="s">
        <v>40453</v>
      </c>
    </row>
    <row r="10547" spans="1:24">
      <c r="A10547">
        <f>HYPERLINK("https://www.philgeps.gov.ph/GEPSNONPILOT/Tender/SplashBidNoticeAbstractUI.aspx?menuIndex=3&amp;refID=7022939&amp;Result=3","7022939")</f>
        <v>0</v>
      </c>
      <c r="B10547" t="s">
        <v>1795</v>
      </c>
      <c r="C10547" t="s">
        <v>13154</v>
      </c>
      <c r="D10547" t="s">
        <v>16216</v>
      </c>
      <c r="E10547" t="s">
        <v>25448</v>
      </c>
      <c r="F10547" t="s">
        <v>28198</v>
      </c>
      <c r="G10547" t="s">
        <v>28205</v>
      </c>
      <c r="H10547" t="s">
        <v>28214</v>
      </c>
      <c r="I10547" t="s">
        <v>3797</v>
      </c>
      <c r="J10547" t="s">
        <v>34850</v>
      </c>
      <c r="K10547" t="s">
        <v>36811</v>
      </c>
      <c r="M10547" t="s">
        <v>38912</v>
      </c>
      <c r="N10547" t="s">
        <v>40436</v>
      </c>
      <c r="O10547" t="s">
        <v>40437</v>
      </c>
      <c r="P10547">
        <v>0</v>
      </c>
      <c r="Q10547">
        <v>2</v>
      </c>
      <c r="R10547" t="s">
        <v>40451</v>
      </c>
      <c r="S10547" t="s">
        <v>41005</v>
      </c>
      <c r="T10547" t="s">
        <v>42133</v>
      </c>
      <c r="U10547" t="s">
        <v>51402</v>
      </c>
      <c r="W10547" t="s">
        <v>38912</v>
      </c>
      <c r="X10547" t="s">
        <v>40453</v>
      </c>
    </row>
    <row r="10548" spans="1:24">
      <c r="A10548">
        <f>HYPERLINK("https://www.philgeps.gov.ph/GEPSNONPILOT/Tender/SplashBidNoticeAbstractUI.aspx?menuIndex=3&amp;refID=7022593&amp;Result=3","7022593")</f>
        <v>0</v>
      </c>
      <c r="B10548" t="s">
        <v>340</v>
      </c>
      <c r="C10548" t="s">
        <v>13155</v>
      </c>
      <c r="D10548" t="s">
        <v>16195</v>
      </c>
      <c r="E10548" t="s">
        <v>25449</v>
      </c>
      <c r="F10548" t="s">
        <v>28198</v>
      </c>
      <c r="G10548" t="s">
        <v>28205</v>
      </c>
      <c r="H10548" t="s">
        <v>28214</v>
      </c>
      <c r="I10548" t="s">
        <v>3797</v>
      </c>
      <c r="J10548" t="s">
        <v>28347</v>
      </c>
      <c r="K10548" t="s">
        <v>36714</v>
      </c>
      <c r="M10548" t="s">
        <v>39278</v>
      </c>
      <c r="N10548" t="s">
        <v>40436</v>
      </c>
      <c r="O10548" t="s">
        <v>40437</v>
      </c>
      <c r="P10548">
        <v>0</v>
      </c>
      <c r="Q10548">
        <v>1</v>
      </c>
      <c r="R10548" t="s">
        <v>40451</v>
      </c>
      <c r="S10548" t="s">
        <v>41005</v>
      </c>
      <c r="T10548" t="s">
        <v>42100</v>
      </c>
      <c r="U10548" t="s">
        <v>51403</v>
      </c>
      <c r="W10548" t="s">
        <v>39278</v>
      </c>
      <c r="X10548" t="s">
        <v>40453</v>
      </c>
    </row>
    <row r="10549" spans="1:24">
      <c r="A10549">
        <f>HYPERLINK("https://www.philgeps.gov.ph/GEPSNONPILOT/Tender/SplashBidNoticeAbstractUI.aspx?menuIndex=3&amp;refID=7022837&amp;Result=3","7022837")</f>
        <v>0</v>
      </c>
      <c r="B10549" t="s">
        <v>1009</v>
      </c>
      <c r="C10549" t="s">
        <v>13156</v>
      </c>
      <c r="E10549" t="s">
        <v>25450</v>
      </c>
      <c r="F10549" t="s">
        <v>28198</v>
      </c>
      <c r="G10549" t="s">
        <v>28205</v>
      </c>
      <c r="H10549" t="s">
        <v>28215</v>
      </c>
      <c r="I10549" t="s">
        <v>28225</v>
      </c>
      <c r="J10549" t="s">
        <v>34851</v>
      </c>
      <c r="K10549" t="s">
        <v>36688</v>
      </c>
      <c r="M10549" t="s">
        <v>38050</v>
      </c>
      <c r="N10549" t="s">
        <v>40436</v>
      </c>
      <c r="O10549" t="s">
        <v>40437</v>
      </c>
      <c r="P10549">
        <v>0</v>
      </c>
      <c r="Q10549">
        <v>5</v>
      </c>
      <c r="R10549" t="s">
        <v>40451</v>
      </c>
      <c r="S10549" t="s">
        <v>41005</v>
      </c>
      <c r="T10549" t="s">
        <v>42128</v>
      </c>
      <c r="U10549" t="s">
        <v>51404</v>
      </c>
      <c r="W10549" t="s">
        <v>38050</v>
      </c>
      <c r="X10549" t="s">
        <v>40453</v>
      </c>
    </row>
    <row r="10550" spans="1:24">
      <c r="A10550">
        <f>HYPERLINK("https://www.philgeps.gov.ph/GEPSNONPILOT/Tender/SplashBidNoticeAbstractUI.aspx?menuIndex=3&amp;refID=7022613&amp;Result=3","7022613")</f>
        <v>0</v>
      </c>
      <c r="B10550" t="s">
        <v>340</v>
      </c>
      <c r="C10550" t="s">
        <v>13157</v>
      </c>
      <c r="D10550" t="s">
        <v>16195</v>
      </c>
      <c r="E10550" t="s">
        <v>25451</v>
      </c>
      <c r="F10550" t="s">
        <v>28198</v>
      </c>
      <c r="G10550" t="s">
        <v>28205</v>
      </c>
      <c r="H10550" t="s">
        <v>28214</v>
      </c>
      <c r="I10550" t="s">
        <v>3797</v>
      </c>
      <c r="J10550" t="s">
        <v>28351</v>
      </c>
      <c r="K10550" t="s">
        <v>36694</v>
      </c>
      <c r="M10550" t="s">
        <v>39278</v>
      </c>
      <c r="N10550" t="s">
        <v>40436</v>
      </c>
      <c r="O10550" t="s">
        <v>40437</v>
      </c>
      <c r="P10550">
        <v>0</v>
      </c>
      <c r="Q10550">
        <v>0</v>
      </c>
      <c r="R10550" t="s">
        <v>40451</v>
      </c>
      <c r="S10550" t="s">
        <v>41005</v>
      </c>
      <c r="T10550" t="s">
        <v>42100</v>
      </c>
      <c r="U10550" t="s">
        <v>51405</v>
      </c>
      <c r="W10550" t="s">
        <v>39278</v>
      </c>
      <c r="X10550" t="s">
        <v>40453</v>
      </c>
    </row>
    <row r="10551" spans="1:24">
      <c r="A10551">
        <f>HYPERLINK("https://www.philgeps.gov.ph/GEPSNONPILOT/Tender/SplashBidNoticeAbstractUI.aspx?menuIndex=3&amp;refID=7022979&amp;Result=3","7022979")</f>
        <v>0</v>
      </c>
      <c r="B10551" t="s">
        <v>2773</v>
      </c>
      <c r="C10551" t="s">
        <v>13158</v>
      </c>
      <c r="E10551" t="s">
        <v>25419</v>
      </c>
      <c r="F10551" t="s">
        <v>28198</v>
      </c>
      <c r="G10551" t="s">
        <v>28205</v>
      </c>
      <c r="H10551" t="s">
        <v>28215</v>
      </c>
      <c r="I10551" t="s">
        <v>8888</v>
      </c>
      <c r="J10551" t="s">
        <v>34852</v>
      </c>
      <c r="K10551" t="s">
        <v>36689</v>
      </c>
      <c r="M10551" t="s">
        <v>40022</v>
      </c>
      <c r="N10551" t="s">
        <v>40436</v>
      </c>
      <c r="O10551" t="s">
        <v>40437</v>
      </c>
      <c r="P10551">
        <v>0</v>
      </c>
      <c r="Q10551">
        <v>1</v>
      </c>
      <c r="R10551" t="s">
        <v>40451</v>
      </c>
      <c r="S10551" t="s">
        <v>41005</v>
      </c>
      <c r="T10551" t="s">
        <v>42184</v>
      </c>
      <c r="U10551" t="s">
        <v>51406</v>
      </c>
      <c r="V10551" t="s">
        <v>54896</v>
      </c>
      <c r="W10551" t="s">
        <v>40022</v>
      </c>
      <c r="X10551" t="s">
        <v>40453</v>
      </c>
    </row>
    <row r="10552" spans="1:24">
      <c r="A10552">
        <f>HYPERLINK("https://www.philgeps.gov.ph/GEPSNONPILOT/Tender/SplashBidNoticeAbstractUI.aspx?menuIndex=3&amp;refID=7022294&amp;Result=3","7022294")</f>
        <v>0</v>
      </c>
      <c r="B10552" t="s">
        <v>2773</v>
      </c>
      <c r="C10552" t="s">
        <v>13159</v>
      </c>
      <c r="E10552" t="s">
        <v>25452</v>
      </c>
      <c r="F10552" t="s">
        <v>28198</v>
      </c>
      <c r="G10552" t="s">
        <v>28206</v>
      </c>
      <c r="H10552" t="s">
        <v>28215</v>
      </c>
      <c r="I10552" t="s">
        <v>4219</v>
      </c>
      <c r="J10552" t="s">
        <v>34853</v>
      </c>
      <c r="K10552" t="s">
        <v>36689</v>
      </c>
      <c r="M10552" t="s">
        <v>40022</v>
      </c>
      <c r="N10552" t="s">
        <v>40436</v>
      </c>
      <c r="O10552" t="s">
        <v>40437</v>
      </c>
      <c r="P10552">
        <v>0</v>
      </c>
      <c r="Q10552">
        <v>1</v>
      </c>
      <c r="R10552" t="s">
        <v>40451</v>
      </c>
      <c r="S10552" t="s">
        <v>41005</v>
      </c>
      <c r="T10552" t="s">
        <v>42184</v>
      </c>
      <c r="U10552" t="s">
        <v>51407</v>
      </c>
      <c r="V10552" t="s">
        <v>54896</v>
      </c>
      <c r="W10552" t="s">
        <v>40022</v>
      </c>
      <c r="X10552" t="s">
        <v>40453</v>
      </c>
    </row>
    <row r="10553" spans="1:24">
      <c r="A10553">
        <f>HYPERLINK("https://www.philgeps.gov.ph/GEPSNONPILOT/Tender/SplashBidNoticeAbstractUI.aspx?menuIndex=3&amp;refID=7022606&amp;Result=3","7022606")</f>
        <v>0</v>
      </c>
      <c r="B10553" t="s">
        <v>2773</v>
      </c>
      <c r="C10553" t="s">
        <v>13160</v>
      </c>
      <c r="E10553" t="s">
        <v>25453</v>
      </c>
      <c r="F10553" t="s">
        <v>28198</v>
      </c>
      <c r="G10553" t="s">
        <v>28206</v>
      </c>
      <c r="H10553" t="s">
        <v>28215</v>
      </c>
      <c r="I10553" t="s">
        <v>3774</v>
      </c>
      <c r="J10553" t="s">
        <v>34854</v>
      </c>
      <c r="K10553" t="s">
        <v>36689</v>
      </c>
      <c r="M10553" t="s">
        <v>40022</v>
      </c>
      <c r="N10553" t="s">
        <v>40436</v>
      </c>
      <c r="O10553" t="s">
        <v>40437</v>
      </c>
      <c r="P10553">
        <v>0</v>
      </c>
      <c r="Q10553">
        <v>0</v>
      </c>
      <c r="R10553" t="s">
        <v>40451</v>
      </c>
      <c r="S10553" t="s">
        <v>41005</v>
      </c>
      <c r="T10553" t="s">
        <v>42184</v>
      </c>
      <c r="U10553" t="s">
        <v>51408</v>
      </c>
      <c r="V10553" t="s">
        <v>54896</v>
      </c>
      <c r="W10553" t="s">
        <v>40022</v>
      </c>
      <c r="X10553" t="s">
        <v>40453</v>
      </c>
    </row>
    <row r="10554" spans="1:24">
      <c r="A10554">
        <f>HYPERLINK("https://www.philgeps.gov.ph/GEPSNONPILOT/Tender/SplashBidNoticeAbstractUI.aspx?menuIndex=3&amp;refID=7022553&amp;Result=3","7022553")</f>
        <v>0</v>
      </c>
      <c r="B10554" t="s">
        <v>340</v>
      </c>
      <c r="C10554" t="s">
        <v>13161</v>
      </c>
      <c r="D10554" t="s">
        <v>16195</v>
      </c>
      <c r="E10554" t="s">
        <v>17939</v>
      </c>
      <c r="F10554" t="s">
        <v>28198</v>
      </c>
      <c r="G10554" t="s">
        <v>28205</v>
      </c>
      <c r="H10554" t="s">
        <v>28214</v>
      </c>
      <c r="I10554" t="s">
        <v>3797</v>
      </c>
      <c r="J10554" t="s">
        <v>28347</v>
      </c>
      <c r="K10554" t="s">
        <v>36714</v>
      </c>
      <c r="M10554" t="s">
        <v>39278</v>
      </c>
      <c r="N10554" t="s">
        <v>40436</v>
      </c>
      <c r="O10554" t="s">
        <v>40437</v>
      </c>
      <c r="P10554">
        <v>0</v>
      </c>
      <c r="Q10554">
        <v>1</v>
      </c>
      <c r="R10554" t="s">
        <v>40451</v>
      </c>
      <c r="S10554" t="s">
        <v>41005</v>
      </c>
      <c r="T10554" t="s">
        <v>42100</v>
      </c>
      <c r="U10554" t="s">
        <v>51409</v>
      </c>
      <c r="W10554" t="s">
        <v>39278</v>
      </c>
      <c r="X10554" t="s">
        <v>40453</v>
      </c>
    </row>
    <row r="10555" spans="1:24">
      <c r="A10555">
        <f>HYPERLINK("https://www.philgeps.gov.ph/GEPSNONPILOT/Tender/SplashBidNoticeAbstractUI.aspx?menuIndex=3&amp;refID=7022512&amp;Result=3","7022512")</f>
        <v>0</v>
      </c>
      <c r="B10555" t="s">
        <v>2773</v>
      </c>
      <c r="C10555" t="s">
        <v>13162</v>
      </c>
      <c r="E10555" t="s">
        <v>25454</v>
      </c>
      <c r="F10555" t="s">
        <v>28198</v>
      </c>
      <c r="G10555" t="s">
        <v>28206</v>
      </c>
      <c r="H10555" t="s">
        <v>28215</v>
      </c>
      <c r="I10555" t="s">
        <v>3774</v>
      </c>
      <c r="J10555" t="s">
        <v>34855</v>
      </c>
      <c r="K10555" t="s">
        <v>36689</v>
      </c>
      <c r="M10555" t="s">
        <v>40022</v>
      </c>
      <c r="N10555" t="s">
        <v>40436</v>
      </c>
      <c r="O10555" t="s">
        <v>40437</v>
      </c>
      <c r="P10555">
        <v>0</v>
      </c>
      <c r="Q10555">
        <v>0</v>
      </c>
      <c r="R10555" t="s">
        <v>40451</v>
      </c>
      <c r="S10555" t="s">
        <v>41005</v>
      </c>
      <c r="T10555" t="s">
        <v>42184</v>
      </c>
      <c r="U10555" t="s">
        <v>51410</v>
      </c>
      <c r="V10555" t="s">
        <v>54896</v>
      </c>
      <c r="W10555" t="s">
        <v>40022</v>
      </c>
      <c r="X10555" t="s">
        <v>40453</v>
      </c>
    </row>
    <row r="10556" spans="1:24">
      <c r="A10556">
        <f>HYPERLINK("https://www.philgeps.gov.ph/GEPSNONPILOT/Tender/SplashBidNoticeAbstractUI.aspx?menuIndex=3&amp;refID=7022284&amp;Result=3","7022284")</f>
        <v>0</v>
      </c>
      <c r="B10556" t="s">
        <v>2272</v>
      </c>
      <c r="C10556" t="s">
        <v>13163</v>
      </c>
      <c r="D10556" t="s">
        <v>16220</v>
      </c>
      <c r="E10556" t="s">
        <v>25455</v>
      </c>
      <c r="F10556" t="s">
        <v>28198</v>
      </c>
      <c r="G10556" t="s">
        <v>28205</v>
      </c>
      <c r="H10556" t="s">
        <v>28214</v>
      </c>
      <c r="I10556" t="s">
        <v>3797</v>
      </c>
      <c r="J10556" t="s">
        <v>34856</v>
      </c>
      <c r="K10556" t="s">
        <v>36692</v>
      </c>
      <c r="M10556" t="s">
        <v>39444</v>
      </c>
      <c r="N10556" t="s">
        <v>40436</v>
      </c>
      <c r="O10556" t="s">
        <v>40437</v>
      </c>
      <c r="Q10556">
        <v>1</v>
      </c>
      <c r="R10556" t="s">
        <v>40451</v>
      </c>
      <c r="S10556" t="s">
        <v>41026</v>
      </c>
      <c r="T10556" t="s">
        <v>42133</v>
      </c>
      <c r="U10556" t="s">
        <v>51382</v>
      </c>
      <c r="V10556" t="s">
        <v>54944</v>
      </c>
      <c r="W10556" t="s">
        <v>39444</v>
      </c>
      <c r="X10556" t="s">
        <v>40453</v>
      </c>
    </row>
    <row r="10557" spans="1:24">
      <c r="A10557">
        <f>HYPERLINK("https://www.philgeps.gov.ph/GEPSNONPILOT/Tender/SplashBidNoticeAbstractUI.aspx?menuIndex=3&amp;refID=7022533&amp;Result=3","7022533")</f>
        <v>0</v>
      </c>
      <c r="B10557" t="s">
        <v>340</v>
      </c>
      <c r="C10557" t="s">
        <v>13164</v>
      </c>
      <c r="D10557" t="s">
        <v>16195</v>
      </c>
      <c r="E10557" t="s">
        <v>25456</v>
      </c>
      <c r="F10557" t="s">
        <v>28198</v>
      </c>
      <c r="G10557" t="s">
        <v>28205</v>
      </c>
      <c r="H10557" t="s">
        <v>28214</v>
      </c>
      <c r="I10557" t="s">
        <v>3797</v>
      </c>
      <c r="J10557" t="s">
        <v>28379</v>
      </c>
      <c r="K10557" t="s">
        <v>36827</v>
      </c>
      <c r="M10557" t="s">
        <v>39278</v>
      </c>
      <c r="N10557" t="s">
        <v>40436</v>
      </c>
      <c r="O10557" t="s">
        <v>40437</v>
      </c>
      <c r="P10557">
        <v>0</v>
      </c>
      <c r="Q10557">
        <v>0</v>
      </c>
      <c r="R10557" t="s">
        <v>40451</v>
      </c>
      <c r="S10557" t="s">
        <v>41005</v>
      </c>
      <c r="T10557" t="s">
        <v>42100</v>
      </c>
      <c r="U10557" t="s">
        <v>51411</v>
      </c>
      <c r="W10557" t="s">
        <v>39278</v>
      </c>
      <c r="X10557" t="s">
        <v>40453</v>
      </c>
    </row>
    <row r="10558" spans="1:24">
      <c r="A10558">
        <f>HYPERLINK("https://www.philgeps.gov.ph/GEPSNONPILOT/Tender/SplashBidNoticeAbstractUI.aspx?menuIndex=3&amp;refID=7022507&amp;Result=3","7022507")</f>
        <v>0</v>
      </c>
      <c r="B10558" t="s">
        <v>340</v>
      </c>
      <c r="C10558" t="s">
        <v>13165</v>
      </c>
      <c r="D10558" t="s">
        <v>16195</v>
      </c>
      <c r="E10558" t="s">
        <v>25457</v>
      </c>
      <c r="F10558" t="s">
        <v>28198</v>
      </c>
      <c r="G10558" t="s">
        <v>28205</v>
      </c>
      <c r="H10558" t="s">
        <v>28214</v>
      </c>
      <c r="I10558" t="s">
        <v>3797</v>
      </c>
      <c r="J10558" t="s">
        <v>28351</v>
      </c>
      <c r="K10558" t="s">
        <v>36694</v>
      </c>
      <c r="M10558" t="s">
        <v>39278</v>
      </c>
      <c r="N10558" t="s">
        <v>40436</v>
      </c>
      <c r="O10558" t="s">
        <v>40437</v>
      </c>
      <c r="P10558">
        <v>0</v>
      </c>
      <c r="Q10558">
        <v>0</v>
      </c>
      <c r="R10558" t="s">
        <v>40451</v>
      </c>
      <c r="S10558" t="s">
        <v>41005</v>
      </c>
      <c r="T10558" t="s">
        <v>42100</v>
      </c>
      <c r="U10558" t="s">
        <v>51412</v>
      </c>
      <c r="W10558" t="s">
        <v>39278</v>
      </c>
      <c r="X10558" t="s">
        <v>40453</v>
      </c>
    </row>
    <row r="10559" spans="1:24">
      <c r="A10559">
        <f>HYPERLINK("https://www.philgeps.gov.ph/GEPSNONPILOT/Tender/SplashBidNoticeAbstractUI.aspx?menuIndex=3&amp;refID=7022571&amp;Result=3","7022571")</f>
        <v>0</v>
      </c>
      <c r="B10559" t="s">
        <v>340</v>
      </c>
      <c r="C10559" t="s">
        <v>13166</v>
      </c>
      <c r="D10559" t="s">
        <v>16195</v>
      </c>
      <c r="E10559" t="s">
        <v>25458</v>
      </c>
      <c r="F10559" t="s">
        <v>28198</v>
      </c>
      <c r="G10559" t="s">
        <v>28205</v>
      </c>
      <c r="H10559" t="s">
        <v>28214</v>
      </c>
      <c r="I10559" t="s">
        <v>3797</v>
      </c>
      <c r="J10559" t="s">
        <v>28351</v>
      </c>
      <c r="K10559" t="s">
        <v>36697</v>
      </c>
      <c r="M10559" t="s">
        <v>39278</v>
      </c>
      <c r="N10559" t="s">
        <v>40436</v>
      </c>
      <c r="O10559" t="s">
        <v>40437</v>
      </c>
      <c r="P10559">
        <v>0</v>
      </c>
      <c r="Q10559">
        <v>0</v>
      </c>
      <c r="R10559" t="s">
        <v>40451</v>
      </c>
      <c r="S10559" t="s">
        <v>41005</v>
      </c>
      <c r="T10559" t="s">
        <v>42100</v>
      </c>
      <c r="U10559" t="s">
        <v>51413</v>
      </c>
      <c r="W10559" t="s">
        <v>39278</v>
      </c>
      <c r="X10559" t="s">
        <v>40453</v>
      </c>
    </row>
    <row r="10560" spans="1:24">
      <c r="A10560">
        <f>HYPERLINK("https://www.philgeps.gov.ph/GEPSNONPILOT/Tender/SplashBidNoticeAbstractUI.aspx?menuIndex=3&amp;refID=7023399&amp;Result=3","7023399")</f>
        <v>0</v>
      </c>
      <c r="B10560" t="s">
        <v>461</v>
      </c>
      <c r="C10560" t="s">
        <v>13167</v>
      </c>
      <c r="D10560" t="s">
        <v>16208</v>
      </c>
      <c r="E10560" t="s">
        <v>25459</v>
      </c>
      <c r="F10560" t="s">
        <v>28198</v>
      </c>
      <c r="G10560" t="s">
        <v>28205</v>
      </c>
      <c r="H10560" t="s">
        <v>28215</v>
      </c>
      <c r="I10560" t="s">
        <v>28247</v>
      </c>
      <c r="J10560" t="s">
        <v>34857</v>
      </c>
      <c r="K10560" t="s">
        <v>36689</v>
      </c>
      <c r="M10560" t="s">
        <v>38367</v>
      </c>
      <c r="N10560" t="s">
        <v>40436</v>
      </c>
      <c r="O10560" t="s">
        <v>40437</v>
      </c>
      <c r="P10560">
        <v>0</v>
      </c>
      <c r="Q10560">
        <v>13</v>
      </c>
      <c r="R10560" t="s">
        <v>40451</v>
      </c>
      <c r="S10560" t="s">
        <v>41005</v>
      </c>
      <c r="T10560" t="s">
        <v>42115</v>
      </c>
      <c r="U10560" t="s">
        <v>51395</v>
      </c>
      <c r="V10560" t="s">
        <v>54945</v>
      </c>
      <c r="W10560" t="s">
        <v>38367</v>
      </c>
      <c r="X10560" t="s">
        <v>40453</v>
      </c>
    </row>
    <row r="10561" spans="1:24">
      <c r="A10561">
        <f>HYPERLINK("https://www.philgeps.gov.ph/GEPSNONPILOT/Tender/SplashBidNoticeAbstractUI.aspx?menuIndex=3&amp;refID=7023375&amp;Result=3","7023375")</f>
        <v>0</v>
      </c>
      <c r="B10561" t="s">
        <v>461</v>
      </c>
      <c r="C10561" t="s">
        <v>13147</v>
      </c>
      <c r="D10561" t="s">
        <v>16208</v>
      </c>
      <c r="E10561" t="s">
        <v>25460</v>
      </c>
      <c r="F10561" t="s">
        <v>28198</v>
      </c>
      <c r="G10561" t="s">
        <v>28205</v>
      </c>
      <c r="H10561" t="s">
        <v>28215</v>
      </c>
      <c r="I10561" t="s">
        <v>28256</v>
      </c>
      <c r="J10561" t="s">
        <v>29208</v>
      </c>
      <c r="K10561" t="s">
        <v>36689</v>
      </c>
      <c r="M10561" t="s">
        <v>38367</v>
      </c>
      <c r="N10561" t="s">
        <v>40436</v>
      </c>
      <c r="O10561" t="s">
        <v>40437</v>
      </c>
      <c r="P10561">
        <v>0</v>
      </c>
      <c r="Q10561">
        <v>7</v>
      </c>
      <c r="R10561" t="s">
        <v>40451</v>
      </c>
      <c r="S10561" t="s">
        <v>41005</v>
      </c>
      <c r="T10561" t="s">
        <v>42115</v>
      </c>
      <c r="U10561" t="s">
        <v>51395</v>
      </c>
      <c r="V10561" t="s">
        <v>54943</v>
      </c>
      <c r="W10561" t="s">
        <v>38367</v>
      </c>
      <c r="X10561" t="s">
        <v>40453</v>
      </c>
    </row>
    <row r="10562" spans="1:24">
      <c r="A10562">
        <f>HYPERLINK("https://www.philgeps.gov.ph/GEPSNONPILOT/Tender/SplashBidNoticeAbstractUI.aspx?menuIndex=3&amp;refID=7023335&amp;Result=3","7023335")</f>
        <v>0</v>
      </c>
      <c r="B10562" t="s">
        <v>461</v>
      </c>
      <c r="C10562" t="s">
        <v>13147</v>
      </c>
      <c r="D10562" t="s">
        <v>16208</v>
      </c>
      <c r="E10562" t="s">
        <v>25461</v>
      </c>
      <c r="F10562" t="s">
        <v>28198</v>
      </c>
      <c r="G10562" t="s">
        <v>28205</v>
      </c>
      <c r="H10562" t="s">
        <v>28215</v>
      </c>
      <c r="I10562" t="s">
        <v>28256</v>
      </c>
      <c r="J10562" t="s">
        <v>28415</v>
      </c>
      <c r="K10562" t="s">
        <v>36689</v>
      </c>
      <c r="M10562" t="s">
        <v>38367</v>
      </c>
      <c r="N10562" t="s">
        <v>40436</v>
      </c>
      <c r="O10562" t="s">
        <v>40437</v>
      </c>
      <c r="P10562">
        <v>0</v>
      </c>
      <c r="Q10562">
        <v>6</v>
      </c>
      <c r="R10562" t="s">
        <v>40451</v>
      </c>
      <c r="S10562" t="s">
        <v>41005</v>
      </c>
      <c r="T10562" t="s">
        <v>42115</v>
      </c>
      <c r="U10562" t="s">
        <v>51395</v>
      </c>
      <c r="V10562" t="s">
        <v>54943</v>
      </c>
      <c r="W10562" t="s">
        <v>38367</v>
      </c>
      <c r="X10562" t="s">
        <v>40453</v>
      </c>
    </row>
    <row r="10563" spans="1:24">
      <c r="A10563">
        <f>HYPERLINK("https://www.philgeps.gov.ph/GEPSNONPILOT/Tender/SplashBidNoticeAbstractUI.aspx?menuIndex=3&amp;refID=7023356&amp;Result=3","7023356")</f>
        <v>0</v>
      </c>
      <c r="B10563" t="s">
        <v>461</v>
      </c>
      <c r="C10563" t="s">
        <v>13147</v>
      </c>
      <c r="D10563" t="s">
        <v>16208</v>
      </c>
      <c r="E10563" t="s">
        <v>25462</v>
      </c>
      <c r="F10563" t="s">
        <v>28198</v>
      </c>
      <c r="G10563" t="s">
        <v>28205</v>
      </c>
      <c r="H10563" t="s">
        <v>28215</v>
      </c>
      <c r="I10563" t="s">
        <v>28256</v>
      </c>
      <c r="J10563" t="s">
        <v>28652</v>
      </c>
      <c r="K10563" t="s">
        <v>36689</v>
      </c>
      <c r="M10563" t="s">
        <v>38367</v>
      </c>
      <c r="N10563" t="s">
        <v>40436</v>
      </c>
      <c r="O10563" t="s">
        <v>40437</v>
      </c>
      <c r="P10563">
        <v>0</v>
      </c>
      <c r="Q10563">
        <v>6</v>
      </c>
      <c r="R10563" t="s">
        <v>40451</v>
      </c>
      <c r="S10563" t="s">
        <v>41005</v>
      </c>
      <c r="T10563" t="s">
        <v>42115</v>
      </c>
      <c r="U10563" t="s">
        <v>51395</v>
      </c>
      <c r="V10563" t="s">
        <v>54943</v>
      </c>
      <c r="W10563" t="s">
        <v>38367</v>
      </c>
      <c r="X10563" t="s">
        <v>40453</v>
      </c>
    </row>
    <row r="10564" spans="1:24">
      <c r="A10564">
        <f>HYPERLINK("https://www.philgeps.gov.ph/GEPSNONPILOT/Tender/SplashBidNoticeAbstractUI.aspx?menuIndex=3&amp;refID=7023547&amp;Result=3","7023547")</f>
        <v>0</v>
      </c>
      <c r="B10564" t="s">
        <v>461</v>
      </c>
      <c r="C10564" t="s">
        <v>13147</v>
      </c>
      <c r="D10564" t="s">
        <v>16208</v>
      </c>
      <c r="E10564" t="s">
        <v>25463</v>
      </c>
      <c r="F10564" t="s">
        <v>28198</v>
      </c>
      <c r="G10564" t="s">
        <v>28205</v>
      </c>
      <c r="H10564" t="s">
        <v>28215</v>
      </c>
      <c r="I10564" t="s">
        <v>28256</v>
      </c>
      <c r="J10564" t="s">
        <v>29369</v>
      </c>
      <c r="K10564" t="s">
        <v>36689</v>
      </c>
      <c r="M10564" t="s">
        <v>38367</v>
      </c>
      <c r="N10564" t="s">
        <v>40436</v>
      </c>
      <c r="O10564" t="s">
        <v>40437</v>
      </c>
      <c r="Q10564">
        <v>11</v>
      </c>
      <c r="R10564" t="s">
        <v>40451</v>
      </c>
      <c r="S10564" t="s">
        <v>41027</v>
      </c>
      <c r="T10564" t="s">
        <v>42115</v>
      </c>
      <c r="U10564" t="s">
        <v>51395</v>
      </c>
      <c r="V10564" t="s">
        <v>54943</v>
      </c>
      <c r="W10564" t="s">
        <v>38367</v>
      </c>
      <c r="X10564" t="s">
        <v>40453</v>
      </c>
    </row>
    <row r="10565" spans="1:24">
      <c r="A10565">
        <f>HYPERLINK("https://www.philgeps.gov.ph/GEPSNONPILOT/Tender/SplashBidNoticeAbstractUI.aspx?menuIndex=3&amp;refID=7022575&amp;Result=3","7022575")</f>
        <v>0</v>
      </c>
      <c r="B10565" t="s">
        <v>83</v>
      </c>
      <c r="C10565" t="s">
        <v>13168</v>
      </c>
      <c r="D10565" t="s">
        <v>16220</v>
      </c>
      <c r="E10565" t="s">
        <v>25464</v>
      </c>
      <c r="F10565" t="s">
        <v>28198</v>
      </c>
      <c r="G10565" t="s">
        <v>28209</v>
      </c>
      <c r="H10565" t="s">
        <v>28215</v>
      </c>
      <c r="I10565" t="s">
        <v>5100</v>
      </c>
      <c r="J10565" t="s">
        <v>34858</v>
      </c>
      <c r="K10565" t="s">
        <v>36701</v>
      </c>
      <c r="M10565" t="s">
        <v>37055</v>
      </c>
      <c r="N10565" t="s">
        <v>40436</v>
      </c>
      <c r="O10565" t="s">
        <v>40437</v>
      </c>
      <c r="Q10565">
        <v>0</v>
      </c>
      <c r="R10565" t="s">
        <v>40451</v>
      </c>
      <c r="S10565" t="s">
        <v>41028</v>
      </c>
      <c r="T10565" t="s">
        <v>42168</v>
      </c>
      <c r="U10565" t="s">
        <v>51414</v>
      </c>
      <c r="V10565" t="s">
        <v>53797</v>
      </c>
      <c r="W10565" t="s">
        <v>37055</v>
      </c>
      <c r="X10565" t="s">
        <v>40453</v>
      </c>
    </row>
    <row r="10566" spans="1:24">
      <c r="A10566">
        <f>HYPERLINK("https://www.philgeps.gov.ph/GEPSNONPILOT/Tender/SplashBidNoticeAbstractUI.aspx?menuIndex=3&amp;refID=7022259&amp;Result=3","7022259")</f>
        <v>0</v>
      </c>
      <c r="B10566" t="s">
        <v>1009</v>
      </c>
      <c r="C10566" t="s">
        <v>13169</v>
      </c>
      <c r="E10566" t="s">
        <v>25465</v>
      </c>
      <c r="F10566" t="s">
        <v>28198</v>
      </c>
      <c r="G10566" t="s">
        <v>28205</v>
      </c>
      <c r="H10566" t="s">
        <v>28215</v>
      </c>
      <c r="I10566" t="s">
        <v>28225</v>
      </c>
      <c r="J10566" t="s">
        <v>34859</v>
      </c>
      <c r="K10566" t="s">
        <v>36688</v>
      </c>
      <c r="M10566" t="s">
        <v>38050</v>
      </c>
      <c r="N10566" t="s">
        <v>40436</v>
      </c>
      <c r="O10566" t="s">
        <v>40437</v>
      </c>
      <c r="P10566">
        <v>0</v>
      </c>
      <c r="Q10566">
        <v>5</v>
      </c>
      <c r="R10566" t="s">
        <v>40451</v>
      </c>
      <c r="S10566" t="s">
        <v>41005</v>
      </c>
      <c r="T10566" t="s">
        <v>42128</v>
      </c>
      <c r="U10566" t="s">
        <v>51415</v>
      </c>
      <c r="W10566" t="s">
        <v>38050</v>
      </c>
      <c r="X10566" t="s">
        <v>40453</v>
      </c>
    </row>
    <row r="10567" spans="1:24">
      <c r="A10567">
        <f>HYPERLINK("https://www.philgeps.gov.ph/GEPSNONPILOT/Tender/SplashBidNoticeAbstractUI.aspx?menuIndex=3&amp;refID=7022267&amp;Result=3","7022267")</f>
        <v>0</v>
      </c>
      <c r="B10567" t="s">
        <v>2773</v>
      </c>
      <c r="C10567" t="s">
        <v>13170</v>
      </c>
      <c r="E10567" t="s">
        <v>25452</v>
      </c>
      <c r="F10567" t="s">
        <v>28198</v>
      </c>
      <c r="G10567" t="s">
        <v>28206</v>
      </c>
      <c r="H10567" t="s">
        <v>28215</v>
      </c>
      <c r="I10567" t="s">
        <v>4219</v>
      </c>
      <c r="J10567" t="s">
        <v>34860</v>
      </c>
      <c r="K10567" t="s">
        <v>36689</v>
      </c>
      <c r="M10567" t="s">
        <v>40022</v>
      </c>
      <c r="N10567" t="s">
        <v>40436</v>
      </c>
      <c r="O10567" t="s">
        <v>40437</v>
      </c>
      <c r="P10567">
        <v>0</v>
      </c>
      <c r="Q10567">
        <v>0</v>
      </c>
      <c r="R10567" t="s">
        <v>40451</v>
      </c>
      <c r="S10567" t="s">
        <v>41005</v>
      </c>
      <c r="T10567" t="s">
        <v>42184</v>
      </c>
      <c r="U10567" t="s">
        <v>51416</v>
      </c>
      <c r="V10567" t="s">
        <v>54896</v>
      </c>
      <c r="W10567" t="s">
        <v>40022</v>
      </c>
      <c r="X10567" t="s">
        <v>40453</v>
      </c>
    </row>
    <row r="10568" spans="1:24">
      <c r="A10568">
        <f>HYPERLINK("https://www.philgeps.gov.ph/GEPSNONPILOT/Tender/SplashBidNoticeAbstractUI.aspx?menuIndex=3&amp;refID=7023530&amp;Result=3","7023530")</f>
        <v>0</v>
      </c>
      <c r="B10568" t="s">
        <v>461</v>
      </c>
      <c r="C10568" t="s">
        <v>13147</v>
      </c>
      <c r="D10568" t="s">
        <v>16208</v>
      </c>
      <c r="E10568" t="s">
        <v>25466</v>
      </c>
      <c r="F10568" t="s">
        <v>28198</v>
      </c>
      <c r="G10568" t="s">
        <v>28205</v>
      </c>
      <c r="H10568" t="s">
        <v>28215</v>
      </c>
      <c r="I10568" t="s">
        <v>28256</v>
      </c>
      <c r="J10568" t="s">
        <v>32104</v>
      </c>
      <c r="K10568" t="s">
        <v>36689</v>
      </c>
      <c r="M10568" t="s">
        <v>38367</v>
      </c>
      <c r="N10568" t="s">
        <v>40436</v>
      </c>
      <c r="O10568" t="s">
        <v>40437</v>
      </c>
      <c r="Q10568">
        <v>11</v>
      </c>
      <c r="R10568" t="s">
        <v>40451</v>
      </c>
      <c r="S10568" t="s">
        <v>41029</v>
      </c>
      <c r="T10568" t="s">
        <v>42115</v>
      </c>
      <c r="U10568" t="s">
        <v>51395</v>
      </c>
      <c r="V10568" t="s">
        <v>54943</v>
      </c>
      <c r="W10568" t="s">
        <v>38367</v>
      </c>
      <c r="X10568" t="s">
        <v>40453</v>
      </c>
    </row>
    <row r="10569" spans="1:24">
      <c r="A10569">
        <f>HYPERLINK("https://www.philgeps.gov.ph/GEPSNONPILOT/Tender/SplashBidNoticeAbstractUI.aspx?menuIndex=3&amp;refID=7023495&amp;Result=3","7023495")</f>
        <v>0</v>
      </c>
      <c r="B10569" t="s">
        <v>461</v>
      </c>
      <c r="C10569" t="s">
        <v>13147</v>
      </c>
      <c r="D10569" t="s">
        <v>16208</v>
      </c>
      <c r="E10569" t="s">
        <v>25467</v>
      </c>
      <c r="F10569" t="s">
        <v>28198</v>
      </c>
      <c r="G10569" t="s">
        <v>28205</v>
      </c>
      <c r="H10569" t="s">
        <v>28215</v>
      </c>
      <c r="I10569" t="s">
        <v>28256</v>
      </c>
      <c r="J10569" t="s">
        <v>28379</v>
      </c>
      <c r="K10569" t="s">
        <v>36689</v>
      </c>
      <c r="M10569" t="s">
        <v>38367</v>
      </c>
      <c r="N10569" t="s">
        <v>40436</v>
      </c>
      <c r="O10569" t="s">
        <v>40437</v>
      </c>
      <c r="P10569">
        <v>0</v>
      </c>
      <c r="Q10569">
        <v>8</v>
      </c>
      <c r="R10569" t="s">
        <v>40451</v>
      </c>
      <c r="S10569" t="s">
        <v>41005</v>
      </c>
      <c r="T10569" t="s">
        <v>42115</v>
      </c>
      <c r="U10569" t="s">
        <v>51395</v>
      </c>
      <c r="V10569" t="s">
        <v>54943</v>
      </c>
      <c r="W10569" t="s">
        <v>38367</v>
      </c>
      <c r="X10569" t="s">
        <v>40453</v>
      </c>
    </row>
    <row r="10570" spans="1:24">
      <c r="A10570">
        <f>HYPERLINK("https://www.philgeps.gov.ph/GEPSNONPILOT/Tender/SplashBidNoticeAbstractUI.aspx?menuIndex=3&amp;refID=7023755&amp;Result=3","7023755")</f>
        <v>0</v>
      </c>
      <c r="B10570" t="s">
        <v>2813</v>
      </c>
      <c r="C10570" t="s">
        <v>13171</v>
      </c>
      <c r="D10570" t="s">
        <v>16199</v>
      </c>
      <c r="E10570" t="s">
        <v>25468</v>
      </c>
      <c r="F10570" t="s">
        <v>28198</v>
      </c>
      <c r="G10570" t="s">
        <v>28205</v>
      </c>
      <c r="H10570" t="s">
        <v>28214</v>
      </c>
      <c r="I10570" t="s">
        <v>28267</v>
      </c>
      <c r="J10570" t="s">
        <v>34861</v>
      </c>
      <c r="K10570" t="s">
        <v>36717</v>
      </c>
      <c r="M10570" t="s">
        <v>40064</v>
      </c>
      <c r="N10570" t="s">
        <v>40436</v>
      </c>
      <c r="O10570" t="s">
        <v>40437</v>
      </c>
      <c r="Q10570">
        <v>10</v>
      </c>
      <c r="R10570" t="s">
        <v>40451</v>
      </c>
      <c r="S10570" t="s">
        <v>41030</v>
      </c>
      <c r="T10570" t="s">
        <v>42292</v>
      </c>
      <c r="U10570" t="s">
        <v>51417</v>
      </c>
      <c r="W10570" t="s">
        <v>40064</v>
      </c>
      <c r="X10570" t="s">
        <v>40453</v>
      </c>
    </row>
    <row r="10571" spans="1:24">
      <c r="A10571">
        <f>HYPERLINK("https://www.philgeps.gov.ph/GEPSNONPILOT/Tender/SplashBidNoticeAbstractUI.aspx?menuIndex=3&amp;refID=7024111&amp;Result=3","7024111")</f>
        <v>0</v>
      </c>
      <c r="B10571" t="s">
        <v>2380</v>
      </c>
      <c r="C10571" t="s">
        <v>13172</v>
      </c>
      <c r="D10571" t="s">
        <v>16239</v>
      </c>
      <c r="E10571" t="s">
        <v>25469</v>
      </c>
      <c r="F10571" t="s">
        <v>28198</v>
      </c>
      <c r="G10571" t="s">
        <v>28205</v>
      </c>
      <c r="H10571" t="s">
        <v>28214</v>
      </c>
      <c r="I10571" t="s">
        <v>3797</v>
      </c>
      <c r="J10571" t="s">
        <v>34862</v>
      </c>
      <c r="K10571" t="s">
        <v>36931</v>
      </c>
      <c r="M10571" t="s">
        <v>39563</v>
      </c>
      <c r="N10571" t="s">
        <v>40436</v>
      </c>
      <c r="O10571" t="s">
        <v>40437</v>
      </c>
      <c r="P10571">
        <v>0</v>
      </c>
      <c r="Q10571">
        <v>0</v>
      </c>
      <c r="R10571" t="s">
        <v>40451</v>
      </c>
      <c r="S10571" t="s">
        <v>41005</v>
      </c>
      <c r="T10571" t="s">
        <v>42133</v>
      </c>
      <c r="U10571" t="s">
        <v>51418</v>
      </c>
      <c r="W10571" t="s">
        <v>39563</v>
      </c>
      <c r="X10571" t="s">
        <v>40453</v>
      </c>
    </row>
    <row r="10572" spans="1:24">
      <c r="A10572">
        <f>HYPERLINK("https://www.philgeps.gov.ph/GEPSNONPILOT/Tender/SplashBidNoticeAbstractUI.aspx?menuIndex=3&amp;refID=7023715&amp;Result=3","7023715")</f>
        <v>0</v>
      </c>
      <c r="B10572" t="s">
        <v>2814</v>
      </c>
      <c r="C10572" t="s">
        <v>13173</v>
      </c>
      <c r="D10572" t="s">
        <v>16219</v>
      </c>
      <c r="E10572" t="s">
        <v>25470</v>
      </c>
      <c r="F10572" t="s">
        <v>28198</v>
      </c>
      <c r="G10572" t="s">
        <v>28205</v>
      </c>
      <c r="H10572" t="s">
        <v>28214</v>
      </c>
      <c r="I10572" t="s">
        <v>3797</v>
      </c>
      <c r="J10572" t="s">
        <v>28797</v>
      </c>
      <c r="K10572" t="s">
        <v>36694</v>
      </c>
      <c r="M10572" t="s">
        <v>40065</v>
      </c>
      <c r="N10572" t="s">
        <v>40436</v>
      </c>
      <c r="O10572" t="s">
        <v>40437</v>
      </c>
      <c r="P10572">
        <v>0</v>
      </c>
      <c r="Q10572">
        <v>0</v>
      </c>
      <c r="R10572" t="s">
        <v>40451</v>
      </c>
      <c r="S10572" t="s">
        <v>41005</v>
      </c>
      <c r="T10572" t="s">
        <v>42320</v>
      </c>
      <c r="U10572" t="s">
        <v>51419</v>
      </c>
      <c r="V10572" t="s">
        <v>54946</v>
      </c>
      <c r="W10572" t="s">
        <v>40065</v>
      </c>
      <c r="X10572" t="s">
        <v>40453</v>
      </c>
    </row>
    <row r="10573" spans="1:24">
      <c r="A10573">
        <f>HYPERLINK("https://www.philgeps.gov.ph/GEPSNONPILOT/Tender/SplashBidNoticeAbstractUI.aspx?menuIndex=3&amp;refID=7024096&amp;Result=3","7024096")</f>
        <v>0</v>
      </c>
      <c r="B10573" t="s">
        <v>2380</v>
      </c>
      <c r="C10573" t="s">
        <v>13174</v>
      </c>
      <c r="D10573" t="s">
        <v>16239</v>
      </c>
      <c r="E10573" t="s">
        <v>25471</v>
      </c>
      <c r="F10573" t="s">
        <v>28198</v>
      </c>
      <c r="G10573" t="s">
        <v>28205</v>
      </c>
      <c r="H10573" t="s">
        <v>28214</v>
      </c>
      <c r="I10573" t="s">
        <v>3797</v>
      </c>
      <c r="J10573" t="s">
        <v>34863</v>
      </c>
      <c r="K10573" t="s">
        <v>36694</v>
      </c>
      <c r="M10573" t="s">
        <v>39563</v>
      </c>
      <c r="N10573" t="s">
        <v>40436</v>
      </c>
      <c r="O10573" t="s">
        <v>40437</v>
      </c>
      <c r="P10573">
        <v>0</v>
      </c>
      <c r="Q10573">
        <v>0</v>
      </c>
      <c r="R10573" t="s">
        <v>40451</v>
      </c>
      <c r="S10573" t="s">
        <v>41005</v>
      </c>
      <c r="T10573" t="s">
        <v>42133</v>
      </c>
      <c r="U10573" t="s">
        <v>51420</v>
      </c>
      <c r="W10573" t="s">
        <v>39563</v>
      </c>
      <c r="X10573" t="s">
        <v>40453</v>
      </c>
    </row>
    <row r="10574" spans="1:24">
      <c r="A10574">
        <f>HYPERLINK("https://www.philgeps.gov.ph/GEPSNONPILOT/Tender/SplashBidNoticeAbstractUI.aspx?menuIndex=3&amp;refID=7024115&amp;Result=3","7024115")</f>
        <v>0</v>
      </c>
      <c r="B10574" t="s">
        <v>2380</v>
      </c>
      <c r="C10574" t="s">
        <v>13175</v>
      </c>
      <c r="D10574" t="s">
        <v>16239</v>
      </c>
      <c r="E10574" t="s">
        <v>25472</v>
      </c>
      <c r="F10574" t="s">
        <v>28198</v>
      </c>
      <c r="G10574" t="s">
        <v>28205</v>
      </c>
      <c r="H10574" t="s">
        <v>28214</v>
      </c>
      <c r="I10574" t="s">
        <v>3797</v>
      </c>
      <c r="J10574" t="s">
        <v>34864</v>
      </c>
      <c r="K10574" t="s">
        <v>36928</v>
      </c>
      <c r="M10574" t="s">
        <v>39563</v>
      </c>
      <c r="N10574" t="s">
        <v>40436</v>
      </c>
      <c r="O10574" t="s">
        <v>40437</v>
      </c>
      <c r="P10574">
        <v>0</v>
      </c>
      <c r="Q10574">
        <v>1</v>
      </c>
      <c r="R10574" t="s">
        <v>40451</v>
      </c>
      <c r="S10574" t="s">
        <v>41005</v>
      </c>
      <c r="T10574" t="s">
        <v>42133</v>
      </c>
      <c r="U10574" t="s">
        <v>51421</v>
      </c>
      <c r="W10574" t="s">
        <v>39563</v>
      </c>
      <c r="X10574" t="s">
        <v>40453</v>
      </c>
    </row>
    <row r="10575" spans="1:24">
      <c r="A10575">
        <f>HYPERLINK("https://www.philgeps.gov.ph/GEPSNONPILOT/Tender/SplashBidNoticeAbstractUI.aspx?menuIndex=3&amp;refID=7024063&amp;Result=3","7024063")</f>
        <v>0</v>
      </c>
      <c r="B10575" t="s">
        <v>2380</v>
      </c>
      <c r="C10575" t="s">
        <v>13176</v>
      </c>
      <c r="D10575" t="s">
        <v>16239</v>
      </c>
      <c r="E10575" t="s">
        <v>25473</v>
      </c>
      <c r="F10575" t="s">
        <v>28198</v>
      </c>
      <c r="G10575" t="s">
        <v>28205</v>
      </c>
      <c r="H10575" t="s">
        <v>28214</v>
      </c>
      <c r="I10575" t="s">
        <v>3797</v>
      </c>
      <c r="J10575" t="s">
        <v>34865</v>
      </c>
      <c r="K10575" t="s">
        <v>36709</v>
      </c>
      <c r="M10575" t="s">
        <v>39563</v>
      </c>
      <c r="N10575" t="s">
        <v>40436</v>
      </c>
      <c r="O10575" t="s">
        <v>40437</v>
      </c>
      <c r="P10575">
        <v>0</v>
      </c>
      <c r="Q10575">
        <v>3</v>
      </c>
      <c r="R10575" t="s">
        <v>40451</v>
      </c>
      <c r="S10575" t="s">
        <v>41005</v>
      </c>
      <c r="T10575" t="s">
        <v>42133</v>
      </c>
      <c r="U10575" t="s">
        <v>51422</v>
      </c>
      <c r="W10575" t="s">
        <v>39563</v>
      </c>
      <c r="X10575" t="s">
        <v>40453</v>
      </c>
    </row>
    <row r="10576" spans="1:24">
      <c r="A10576">
        <f>HYPERLINK("https://www.philgeps.gov.ph/GEPSNONPILOT/Tender/SplashBidNoticeAbstractUI.aspx?menuIndex=3&amp;refID=7024108&amp;Result=3","7024108")</f>
        <v>0</v>
      </c>
      <c r="B10576" t="s">
        <v>2380</v>
      </c>
      <c r="C10576" t="s">
        <v>13177</v>
      </c>
      <c r="D10576" t="s">
        <v>16239</v>
      </c>
      <c r="E10576" t="s">
        <v>25474</v>
      </c>
      <c r="F10576" t="s">
        <v>28198</v>
      </c>
      <c r="G10576" t="s">
        <v>28205</v>
      </c>
      <c r="H10576" t="s">
        <v>28214</v>
      </c>
      <c r="I10576" t="s">
        <v>3797</v>
      </c>
      <c r="J10576" t="s">
        <v>34866</v>
      </c>
      <c r="K10576" t="s">
        <v>36694</v>
      </c>
      <c r="M10576" t="s">
        <v>39563</v>
      </c>
      <c r="N10576" t="s">
        <v>40436</v>
      </c>
      <c r="O10576" t="s">
        <v>40437</v>
      </c>
      <c r="P10576">
        <v>0</v>
      </c>
      <c r="Q10576">
        <v>0</v>
      </c>
      <c r="R10576" t="s">
        <v>40451</v>
      </c>
      <c r="S10576" t="s">
        <v>41005</v>
      </c>
      <c r="T10576" t="s">
        <v>42133</v>
      </c>
      <c r="U10576" t="s">
        <v>51423</v>
      </c>
      <c r="W10576" t="s">
        <v>39563</v>
      </c>
      <c r="X10576" t="s">
        <v>40453</v>
      </c>
    </row>
    <row r="10577" spans="1:24">
      <c r="A10577">
        <f>HYPERLINK("https://www.philgeps.gov.ph/GEPSNONPILOT/Tender/SplashBidNoticeAbstractUI.aspx?menuIndex=3&amp;refID=7024102&amp;Result=3","7024102")</f>
        <v>0</v>
      </c>
      <c r="B10577" t="s">
        <v>2380</v>
      </c>
      <c r="C10577" t="s">
        <v>13178</v>
      </c>
      <c r="D10577" t="s">
        <v>16239</v>
      </c>
      <c r="E10577" t="s">
        <v>25475</v>
      </c>
      <c r="F10577" t="s">
        <v>28198</v>
      </c>
      <c r="G10577" t="s">
        <v>28205</v>
      </c>
      <c r="H10577" t="s">
        <v>28214</v>
      </c>
      <c r="I10577" t="s">
        <v>3797</v>
      </c>
      <c r="J10577" t="s">
        <v>34867</v>
      </c>
      <c r="K10577" t="s">
        <v>36694</v>
      </c>
      <c r="M10577" t="s">
        <v>39563</v>
      </c>
      <c r="N10577" t="s">
        <v>40436</v>
      </c>
      <c r="O10577" t="s">
        <v>40437</v>
      </c>
      <c r="P10577">
        <v>0</v>
      </c>
      <c r="Q10577">
        <v>0</v>
      </c>
      <c r="R10577" t="s">
        <v>40451</v>
      </c>
      <c r="S10577" t="s">
        <v>41005</v>
      </c>
      <c r="T10577" t="s">
        <v>42133</v>
      </c>
      <c r="U10577" t="s">
        <v>51424</v>
      </c>
      <c r="W10577" t="s">
        <v>39563</v>
      </c>
      <c r="X10577" t="s">
        <v>40453</v>
      </c>
    </row>
    <row r="10578" spans="1:24">
      <c r="A10578">
        <f>HYPERLINK("https://www.philgeps.gov.ph/GEPSNONPILOT/Tender/SplashBidNoticeAbstractUI.aspx?menuIndex=3&amp;refID=7023453&amp;Result=3","7023453")</f>
        <v>0</v>
      </c>
      <c r="B10578" t="s">
        <v>461</v>
      </c>
      <c r="C10578" t="s">
        <v>13147</v>
      </c>
      <c r="D10578" t="s">
        <v>16208</v>
      </c>
      <c r="E10578" t="s">
        <v>25476</v>
      </c>
      <c r="F10578" t="s">
        <v>28198</v>
      </c>
      <c r="G10578" t="s">
        <v>28205</v>
      </c>
      <c r="H10578" t="s">
        <v>28215</v>
      </c>
      <c r="I10578" t="s">
        <v>28256</v>
      </c>
      <c r="J10578" t="s">
        <v>28818</v>
      </c>
      <c r="K10578" t="s">
        <v>36689</v>
      </c>
      <c r="M10578" t="s">
        <v>38367</v>
      </c>
      <c r="N10578" t="s">
        <v>40436</v>
      </c>
      <c r="O10578" t="s">
        <v>40437</v>
      </c>
      <c r="Q10578">
        <v>10</v>
      </c>
      <c r="R10578" t="s">
        <v>40451</v>
      </c>
      <c r="S10578" t="s">
        <v>40986</v>
      </c>
      <c r="T10578" t="s">
        <v>42115</v>
      </c>
      <c r="U10578" t="s">
        <v>51395</v>
      </c>
      <c r="V10578" t="s">
        <v>54943</v>
      </c>
      <c r="W10578" t="s">
        <v>38367</v>
      </c>
      <c r="X10578" t="s">
        <v>40453</v>
      </c>
    </row>
    <row r="10579" spans="1:24">
      <c r="A10579">
        <f>HYPERLINK("https://www.philgeps.gov.ph/GEPSNONPILOT/Tender/SplashBidNoticeAbstractUI.aspx?menuIndex=3&amp;refID=7023489&amp;Result=3","7023489")</f>
        <v>0</v>
      </c>
      <c r="B10579" t="s">
        <v>2773</v>
      </c>
      <c r="C10579" t="s">
        <v>13179</v>
      </c>
      <c r="E10579" t="s">
        <v>25442</v>
      </c>
      <c r="F10579" t="s">
        <v>28198</v>
      </c>
      <c r="G10579" t="s">
        <v>28205</v>
      </c>
      <c r="H10579" t="s">
        <v>28215</v>
      </c>
      <c r="I10579" t="s">
        <v>3774</v>
      </c>
      <c r="J10579" t="s">
        <v>34868</v>
      </c>
      <c r="K10579" t="s">
        <v>36689</v>
      </c>
      <c r="M10579" t="s">
        <v>40022</v>
      </c>
      <c r="N10579" t="s">
        <v>40436</v>
      </c>
      <c r="O10579" t="s">
        <v>40437</v>
      </c>
      <c r="P10579">
        <v>0</v>
      </c>
      <c r="Q10579">
        <v>0</v>
      </c>
      <c r="R10579" t="s">
        <v>40451</v>
      </c>
      <c r="S10579" t="s">
        <v>41005</v>
      </c>
      <c r="T10579" t="s">
        <v>42184</v>
      </c>
      <c r="U10579" t="s">
        <v>51425</v>
      </c>
      <c r="V10579" t="s">
        <v>54896</v>
      </c>
      <c r="W10579" t="s">
        <v>40022</v>
      </c>
      <c r="X10579" t="s">
        <v>40453</v>
      </c>
    </row>
    <row r="10580" spans="1:24">
      <c r="A10580">
        <f>HYPERLINK("https://www.philgeps.gov.ph/GEPSNONPILOT/Tender/SplashBidNoticeAbstractUI.aspx?menuIndex=3&amp;refID=7024069&amp;Result=3","7024069")</f>
        <v>0</v>
      </c>
      <c r="B10580" t="s">
        <v>2380</v>
      </c>
      <c r="C10580" t="s">
        <v>13180</v>
      </c>
      <c r="D10580" t="s">
        <v>16239</v>
      </c>
      <c r="E10580" t="s">
        <v>25477</v>
      </c>
      <c r="F10580" t="s">
        <v>28198</v>
      </c>
      <c r="G10580" t="s">
        <v>28205</v>
      </c>
      <c r="H10580" t="s">
        <v>28214</v>
      </c>
      <c r="I10580" t="s">
        <v>3797</v>
      </c>
      <c r="J10580" t="s">
        <v>34869</v>
      </c>
      <c r="K10580" t="s">
        <v>36697</v>
      </c>
      <c r="M10580" t="s">
        <v>39563</v>
      </c>
      <c r="N10580" t="s">
        <v>40436</v>
      </c>
      <c r="O10580" t="s">
        <v>40437</v>
      </c>
      <c r="P10580">
        <v>0</v>
      </c>
      <c r="Q10580">
        <v>1</v>
      </c>
      <c r="R10580" t="s">
        <v>40451</v>
      </c>
      <c r="S10580" t="s">
        <v>41005</v>
      </c>
      <c r="T10580" t="s">
        <v>42133</v>
      </c>
      <c r="U10580" t="s">
        <v>51426</v>
      </c>
      <c r="W10580" t="s">
        <v>39563</v>
      </c>
      <c r="X10580" t="s">
        <v>40453</v>
      </c>
    </row>
    <row r="10581" spans="1:24">
      <c r="A10581">
        <f>HYPERLINK("https://www.philgeps.gov.ph/GEPSNONPILOT/Tender/SplashBidNoticeAbstractUI.aspx?menuIndex=3&amp;refID=7023487&amp;Result=3","7023487")</f>
        <v>0</v>
      </c>
      <c r="B10581" t="s">
        <v>2815</v>
      </c>
      <c r="C10581" t="s">
        <v>13181</v>
      </c>
      <c r="D10581" t="s">
        <v>16192</v>
      </c>
      <c r="E10581" t="s">
        <v>25478</v>
      </c>
      <c r="F10581" t="s">
        <v>28198</v>
      </c>
      <c r="G10581" t="s">
        <v>28205</v>
      </c>
      <c r="H10581" t="s">
        <v>28215</v>
      </c>
      <c r="I10581" t="s">
        <v>4168</v>
      </c>
      <c r="J10581" t="s">
        <v>34870</v>
      </c>
      <c r="K10581" t="s">
        <v>36707</v>
      </c>
      <c r="M10581" t="s">
        <v>40066</v>
      </c>
      <c r="N10581" t="s">
        <v>40436</v>
      </c>
      <c r="O10581" t="s">
        <v>40437</v>
      </c>
      <c r="P10581">
        <v>0</v>
      </c>
      <c r="Q10581">
        <v>6</v>
      </c>
      <c r="R10581" t="s">
        <v>40451</v>
      </c>
      <c r="S10581" t="s">
        <v>41005</v>
      </c>
      <c r="T10581" t="s">
        <v>42176</v>
      </c>
      <c r="U10581" t="s">
        <v>51427</v>
      </c>
      <c r="W10581" t="s">
        <v>40066</v>
      </c>
      <c r="X10581" t="s">
        <v>40453</v>
      </c>
    </row>
    <row r="10582" spans="1:24">
      <c r="A10582">
        <f>HYPERLINK("https://www.philgeps.gov.ph/GEPSNONPILOT/Tender/SplashBidNoticeAbstractUI.aspx?menuIndex=3&amp;refID=7022256&amp;Result=3","7022256")</f>
        <v>0</v>
      </c>
      <c r="B10582" t="s">
        <v>2272</v>
      </c>
      <c r="C10582" t="s">
        <v>13182</v>
      </c>
      <c r="D10582" t="s">
        <v>16220</v>
      </c>
      <c r="E10582" t="s">
        <v>25479</v>
      </c>
      <c r="F10582" t="s">
        <v>28198</v>
      </c>
      <c r="G10582" t="s">
        <v>28205</v>
      </c>
      <c r="H10582" t="s">
        <v>28214</v>
      </c>
      <c r="I10582" t="s">
        <v>3797</v>
      </c>
      <c r="J10582" t="s">
        <v>32323</v>
      </c>
      <c r="K10582" t="s">
        <v>36690</v>
      </c>
      <c r="M10582" t="s">
        <v>39444</v>
      </c>
      <c r="N10582" t="s">
        <v>40436</v>
      </c>
      <c r="O10582" t="s">
        <v>40437</v>
      </c>
      <c r="P10582">
        <v>0</v>
      </c>
      <c r="Q10582">
        <v>2</v>
      </c>
      <c r="R10582" t="s">
        <v>40451</v>
      </c>
      <c r="S10582" t="s">
        <v>41005</v>
      </c>
      <c r="T10582" t="s">
        <v>42133</v>
      </c>
      <c r="U10582" t="s">
        <v>51382</v>
      </c>
      <c r="V10582" t="s">
        <v>54947</v>
      </c>
      <c r="W10582" t="s">
        <v>39444</v>
      </c>
      <c r="X10582" t="s">
        <v>40453</v>
      </c>
    </row>
    <row r="10583" spans="1:24">
      <c r="A10583">
        <f>HYPERLINK("https://www.philgeps.gov.ph/GEPSNONPILOT/Tender/SplashBidNoticeAbstractUI.aspx?menuIndex=3&amp;refID=7023349&amp;Result=3","7023349")</f>
        <v>0</v>
      </c>
      <c r="B10583" t="s">
        <v>83</v>
      </c>
      <c r="C10583" t="s">
        <v>13183</v>
      </c>
      <c r="D10583" t="s">
        <v>16220</v>
      </c>
      <c r="E10583" t="s">
        <v>25480</v>
      </c>
      <c r="F10583" t="s">
        <v>28198</v>
      </c>
      <c r="G10583" t="s">
        <v>28205</v>
      </c>
      <c r="H10583" t="s">
        <v>28215</v>
      </c>
      <c r="I10583" t="s">
        <v>28248</v>
      </c>
      <c r="J10583" t="s">
        <v>34871</v>
      </c>
      <c r="K10583" t="s">
        <v>36701</v>
      </c>
      <c r="M10583" t="s">
        <v>37055</v>
      </c>
      <c r="N10583" t="s">
        <v>40436</v>
      </c>
      <c r="O10583" t="s">
        <v>40437</v>
      </c>
      <c r="P10583">
        <v>0</v>
      </c>
      <c r="Q10583">
        <v>2</v>
      </c>
      <c r="R10583" t="s">
        <v>40451</v>
      </c>
      <c r="S10583" t="s">
        <v>41005</v>
      </c>
      <c r="T10583" t="s">
        <v>42168</v>
      </c>
      <c r="U10583" t="s">
        <v>51428</v>
      </c>
      <c r="V10583" t="s">
        <v>54948</v>
      </c>
      <c r="W10583" t="s">
        <v>37055</v>
      </c>
      <c r="X10583" t="s">
        <v>40453</v>
      </c>
    </row>
    <row r="10584" spans="1:24">
      <c r="A10584">
        <f>HYPERLINK("https://www.philgeps.gov.ph/GEPSNONPILOT/Tender/SplashBidNoticeAbstractUI.aspx?menuIndex=3&amp;refID=7024118&amp;Result=3","7024118")</f>
        <v>0</v>
      </c>
      <c r="B10584" t="s">
        <v>2380</v>
      </c>
      <c r="C10584" t="s">
        <v>13184</v>
      </c>
      <c r="D10584" t="s">
        <v>16239</v>
      </c>
      <c r="E10584" t="s">
        <v>25481</v>
      </c>
      <c r="F10584" t="s">
        <v>28198</v>
      </c>
      <c r="G10584" t="s">
        <v>28205</v>
      </c>
      <c r="H10584" t="s">
        <v>28214</v>
      </c>
      <c r="I10584" t="s">
        <v>3797</v>
      </c>
      <c r="J10584" t="s">
        <v>34872</v>
      </c>
      <c r="K10584" t="s">
        <v>36777</v>
      </c>
      <c r="M10584" t="s">
        <v>39563</v>
      </c>
      <c r="N10584" t="s">
        <v>40436</v>
      </c>
      <c r="O10584" t="s">
        <v>40437</v>
      </c>
      <c r="P10584">
        <v>0</v>
      </c>
      <c r="Q10584">
        <v>0</v>
      </c>
      <c r="R10584" t="s">
        <v>40451</v>
      </c>
      <c r="S10584" t="s">
        <v>41005</v>
      </c>
      <c r="T10584" t="s">
        <v>42133</v>
      </c>
      <c r="U10584" t="s">
        <v>51429</v>
      </c>
      <c r="W10584" t="s">
        <v>39563</v>
      </c>
      <c r="X10584" t="s">
        <v>40453</v>
      </c>
    </row>
    <row r="10585" spans="1:24">
      <c r="A10585">
        <f>HYPERLINK("https://www.philgeps.gov.ph/GEPSNONPILOT/Tender/SplashBidNoticeAbstractUI.aspx?menuIndex=3&amp;refID=7022248&amp;Result=3","7022248")</f>
        <v>0</v>
      </c>
      <c r="B10585" t="s">
        <v>2592</v>
      </c>
      <c r="C10585" t="s">
        <v>13185</v>
      </c>
      <c r="D10585" t="s">
        <v>16224</v>
      </c>
      <c r="E10585" t="s">
        <v>25482</v>
      </c>
      <c r="F10585" t="s">
        <v>28198</v>
      </c>
      <c r="G10585" t="s">
        <v>28205</v>
      </c>
      <c r="H10585" t="s">
        <v>28214</v>
      </c>
      <c r="I10585" t="s">
        <v>3797</v>
      </c>
      <c r="J10585" t="s">
        <v>28468</v>
      </c>
      <c r="K10585" t="s">
        <v>36717</v>
      </c>
      <c r="L10585" t="s">
        <v>2592</v>
      </c>
      <c r="M10585" t="s">
        <v>39807</v>
      </c>
      <c r="N10585" t="s">
        <v>40436</v>
      </c>
      <c r="O10585" t="s">
        <v>40437</v>
      </c>
      <c r="P10585">
        <v>0</v>
      </c>
      <c r="Q10585">
        <v>0</v>
      </c>
      <c r="R10585" t="s">
        <v>40451</v>
      </c>
      <c r="S10585" t="s">
        <v>41005</v>
      </c>
      <c r="T10585" t="s">
        <v>42112</v>
      </c>
      <c r="U10585" t="s">
        <v>50206</v>
      </c>
      <c r="V10585" t="s">
        <v>54755</v>
      </c>
      <c r="W10585" t="s">
        <v>39807</v>
      </c>
      <c r="X10585" t="s">
        <v>40453</v>
      </c>
    </row>
    <row r="10586" spans="1:24">
      <c r="A10586">
        <f>HYPERLINK("https://www.philgeps.gov.ph/GEPSNONPILOT/Tender/SplashBidNoticeAbstractUI.aspx?menuIndex=3&amp;refID=7024123&amp;Result=3","7024123")</f>
        <v>0</v>
      </c>
      <c r="B10586" t="s">
        <v>2380</v>
      </c>
      <c r="C10586" t="s">
        <v>13186</v>
      </c>
      <c r="D10586" t="s">
        <v>16239</v>
      </c>
      <c r="E10586" t="s">
        <v>25483</v>
      </c>
      <c r="F10586" t="s">
        <v>28198</v>
      </c>
      <c r="G10586" t="s">
        <v>28205</v>
      </c>
      <c r="H10586" t="s">
        <v>28214</v>
      </c>
      <c r="I10586" t="s">
        <v>3797</v>
      </c>
      <c r="J10586" t="s">
        <v>34873</v>
      </c>
      <c r="K10586" t="s">
        <v>36928</v>
      </c>
      <c r="M10586" t="s">
        <v>39563</v>
      </c>
      <c r="N10586" t="s">
        <v>40436</v>
      </c>
      <c r="O10586" t="s">
        <v>40437</v>
      </c>
      <c r="P10586">
        <v>0</v>
      </c>
      <c r="Q10586">
        <v>1</v>
      </c>
      <c r="R10586" t="s">
        <v>40451</v>
      </c>
      <c r="S10586" t="s">
        <v>41005</v>
      </c>
      <c r="T10586" t="s">
        <v>42133</v>
      </c>
      <c r="U10586" t="s">
        <v>51430</v>
      </c>
      <c r="W10586" t="s">
        <v>39563</v>
      </c>
      <c r="X10586" t="s">
        <v>40453</v>
      </c>
    </row>
    <row r="10587" spans="1:24">
      <c r="A10587">
        <f>HYPERLINK("https://www.philgeps.gov.ph/GEPSNONPILOT/Tender/SplashBidNoticeAbstractUI.aspx?menuIndex=3&amp;refID=7024138&amp;Result=3","7024138")</f>
        <v>0</v>
      </c>
      <c r="B10587" t="s">
        <v>2380</v>
      </c>
      <c r="C10587" t="s">
        <v>13187</v>
      </c>
      <c r="D10587" t="s">
        <v>16239</v>
      </c>
      <c r="E10587" t="s">
        <v>25484</v>
      </c>
      <c r="F10587" t="s">
        <v>28198</v>
      </c>
      <c r="G10587" t="s">
        <v>28205</v>
      </c>
      <c r="H10587" t="s">
        <v>28214</v>
      </c>
      <c r="I10587" t="s">
        <v>3797</v>
      </c>
      <c r="J10587" t="s">
        <v>34874</v>
      </c>
      <c r="K10587" t="s">
        <v>36830</v>
      </c>
      <c r="M10587" t="s">
        <v>39563</v>
      </c>
      <c r="N10587" t="s">
        <v>40436</v>
      </c>
      <c r="O10587" t="s">
        <v>40437</v>
      </c>
      <c r="P10587">
        <v>0</v>
      </c>
      <c r="Q10587">
        <v>2</v>
      </c>
      <c r="R10587" t="s">
        <v>40451</v>
      </c>
      <c r="S10587" t="s">
        <v>41005</v>
      </c>
      <c r="T10587" t="s">
        <v>42133</v>
      </c>
      <c r="U10587" t="s">
        <v>51431</v>
      </c>
      <c r="W10587" t="s">
        <v>39563</v>
      </c>
      <c r="X10587" t="s">
        <v>40453</v>
      </c>
    </row>
    <row r="10588" spans="1:24">
      <c r="A10588">
        <f>HYPERLINK("https://www.philgeps.gov.ph/GEPSNONPILOT/Tender/SplashBidNoticeAbstractUI.aspx?menuIndex=3&amp;refID=7024142&amp;Result=3","7024142")</f>
        <v>0</v>
      </c>
      <c r="B10588" t="s">
        <v>2380</v>
      </c>
      <c r="C10588" t="s">
        <v>13188</v>
      </c>
      <c r="D10588" t="s">
        <v>16239</v>
      </c>
      <c r="E10588" t="s">
        <v>25485</v>
      </c>
      <c r="F10588" t="s">
        <v>28198</v>
      </c>
      <c r="G10588" t="s">
        <v>28205</v>
      </c>
      <c r="H10588" t="s">
        <v>28214</v>
      </c>
      <c r="I10588" t="s">
        <v>3797</v>
      </c>
      <c r="J10588" t="s">
        <v>34875</v>
      </c>
      <c r="K10588" t="s">
        <v>36694</v>
      </c>
      <c r="M10588" t="s">
        <v>39563</v>
      </c>
      <c r="N10588" t="s">
        <v>40436</v>
      </c>
      <c r="O10588" t="s">
        <v>40437</v>
      </c>
      <c r="P10588">
        <v>0</v>
      </c>
      <c r="Q10588">
        <v>1</v>
      </c>
      <c r="R10588" t="s">
        <v>40451</v>
      </c>
      <c r="S10588" t="s">
        <v>41005</v>
      </c>
      <c r="T10588" t="s">
        <v>42133</v>
      </c>
      <c r="U10588" t="s">
        <v>51432</v>
      </c>
      <c r="W10588" t="s">
        <v>39563</v>
      </c>
      <c r="X10588" t="s">
        <v>40453</v>
      </c>
    </row>
    <row r="10589" spans="1:24">
      <c r="A10589">
        <f>HYPERLINK("https://www.philgeps.gov.ph/GEPSNONPILOT/Tender/SplashBidNoticeAbstractUI.aspx?menuIndex=3&amp;refID=7024133&amp;Result=3","7024133")</f>
        <v>0</v>
      </c>
      <c r="B10589" t="s">
        <v>2380</v>
      </c>
      <c r="C10589" t="s">
        <v>13189</v>
      </c>
      <c r="D10589" t="s">
        <v>16239</v>
      </c>
      <c r="E10589" t="s">
        <v>25486</v>
      </c>
      <c r="F10589" t="s">
        <v>28198</v>
      </c>
      <c r="G10589" t="s">
        <v>28205</v>
      </c>
      <c r="H10589" t="s">
        <v>28214</v>
      </c>
      <c r="I10589" t="s">
        <v>3797</v>
      </c>
      <c r="J10589" t="s">
        <v>34876</v>
      </c>
      <c r="K10589" t="s">
        <v>36701</v>
      </c>
      <c r="M10589" t="s">
        <v>39563</v>
      </c>
      <c r="N10589" t="s">
        <v>40436</v>
      </c>
      <c r="O10589" t="s">
        <v>40437</v>
      </c>
      <c r="P10589">
        <v>0</v>
      </c>
      <c r="Q10589">
        <v>0</v>
      </c>
      <c r="R10589" t="s">
        <v>40451</v>
      </c>
      <c r="S10589" t="s">
        <v>41005</v>
      </c>
      <c r="T10589" t="s">
        <v>42133</v>
      </c>
      <c r="U10589" t="s">
        <v>51433</v>
      </c>
      <c r="W10589" t="s">
        <v>39563</v>
      </c>
      <c r="X10589" t="s">
        <v>40453</v>
      </c>
    </row>
    <row r="10590" spans="1:24">
      <c r="A10590">
        <f>HYPERLINK("https://www.philgeps.gov.ph/GEPSNONPILOT/Tender/SplashBidNoticeAbstractUI.aspx?menuIndex=3&amp;refID=7024127&amp;Result=3","7024127")</f>
        <v>0</v>
      </c>
      <c r="B10590" t="s">
        <v>2380</v>
      </c>
      <c r="C10590" t="s">
        <v>13190</v>
      </c>
      <c r="D10590" t="s">
        <v>16239</v>
      </c>
      <c r="E10590" t="s">
        <v>25487</v>
      </c>
      <c r="F10590" t="s">
        <v>28198</v>
      </c>
      <c r="G10590" t="s">
        <v>28205</v>
      </c>
      <c r="H10590" t="s">
        <v>28214</v>
      </c>
      <c r="I10590" t="s">
        <v>3797</v>
      </c>
      <c r="J10590" t="s">
        <v>34877</v>
      </c>
      <c r="K10590" t="s">
        <v>36777</v>
      </c>
      <c r="M10590" t="s">
        <v>39563</v>
      </c>
      <c r="N10590" t="s">
        <v>40436</v>
      </c>
      <c r="O10590" t="s">
        <v>40437</v>
      </c>
      <c r="P10590">
        <v>0</v>
      </c>
      <c r="Q10590">
        <v>0</v>
      </c>
      <c r="R10590" t="s">
        <v>40451</v>
      </c>
      <c r="S10590" t="s">
        <v>41005</v>
      </c>
      <c r="T10590" t="s">
        <v>42133</v>
      </c>
      <c r="U10590" t="s">
        <v>51434</v>
      </c>
      <c r="W10590" t="s">
        <v>39563</v>
      </c>
      <c r="X10590" t="s">
        <v>40453</v>
      </c>
    </row>
    <row r="10591" spans="1:24">
      <c r="A10591">
        <f>HYPERLINK("https://www.philgeps.gov.ph/GEPSNONPILOT/Tender/SplashBidNoticeAbstractUI.aspx?menuIndex=3&amp;refID=7024180&amp;Result=3","7024180")</f>
        <v>0</v>
      </c>
      <c r="B10591" t="s">
        <v>2380</v>
      </c>
      <c r="C10591" t="s">
        <v>13191</v>
      </c>
      <c r="D10591" t="s">
        <v>16239</v>
      </c>
      <c r="E10591" t="s">
        <v>25488</v>
      </c>
      <c r="F10591" t="s">
        <v>28198</v>
      </c>
      <c r="G10591" t="s">
        <v>28205</v>
      </c>
      <c r="H10591" t="s">
        <v>28214</v>
      </c>
      <c r="I10591" t="s">
        <v>3797</v>
      </c>
      <c r="J10591" t="s">
        <v>34878</v>
      </c>
      <c r="K10591" t="s">
        <v>36694</v>
      </c>
      <c r="M10591" t="s">
        <v>39563</v>
      </c>
      <c r="N10591" t="s">
        <v>40436</v>
      </c>
      <c r="O10591" t="s">
        <v>40437</v>
      </c>
      <c r="P10591">
        <v>0</v>
      </c>
      <c r="Q10591">
        <v>0</v>
      </c>
      <c r="R10591" t="s">
        <v>40451</v>
      </c>
      <c r="S10591" t="s">
        <v>41005</v>
      </c>
      <c r="T10591" t="s">
        <v>42133</v>
      </c>
      <c r="U10591" t="s">
        <v>51435</v>
      </c>
      <c r="W10591" t="s">
        <v>39563</v>
      </c>
      <c r="X10591" t="s">
        <v>40453</v>
      </c>
    </row>
    <row r="10592" spans="1:24">
      <c r="A10592">
        <f>HYPERLINK("https://www.philgeps.gov.ph/GEPSNONPILOT/Tender/SplashBidNoticeAbstractUI.aspx?menuIndex=3&amp;refID=7024222&amp;Result=3","7024222")</f>
        <v>0</v>
      </c>
      <c r="B10592" t="s">
        <v>2380</v>
      </c>
      <c r="C10592" t="s">
        <v>13192</v>
      </c>
      <c r="D10592" t="s">
        <v>16239</v>
      </c>
      <c r="E10592" t="s">
        <v>25489</v>
      </c>
      <c r="F10592" t="s">
        <v>28198</v>
      </c>
      <c r="G10592" t="s">
        <v>28205</v>
      </c>
      <c r="H10592" t="s">
        <v>28214</v>
      </c>
      <c r="I10592" t="s">
        <v>3797</v>
      </c>
      <c r="J10592" t="s">
        <v>34879</v>
      </c>
      <c r="K10592" t="s">
        <v>36697</v>
      </c>
      <c r="M10592" t="s">
        <v>39563</v>
      </c>
      <c r="N10592" t="s">
        <v>40436</v>
      </c>
      <c r="O10592" t="s">
        <v>40437</v>
      </c>
      <c r="P10592">
        <v>0</v>
      </c>
      <c r="Q10592">
        <v>1</v>
      </c>
      <c r="R10592" t="s">
        <v>40451</v>
      </c>
      <c r="S10592" t="s">
        <v>41005</v>
      </c>
      <c r="T10592" t="s">
        <v>42133</v>
      </c>
      <c r="U10592" t="s">
        <v>51436</v>
      </c>
      <c r="W10592" t="s">
        <v>39563</v>
      </c>
      <c r="X10592" t="s">
        <v>40453</v>
      </c>
    </row>
    <row r="10593" spans="1:24">
      <c r="A10593">
        <f>HYPERLINK("https://www.philgeps.gov.ph/GEPSNONPILOT/Tender/SplashBidNoticeAbstractUI.aspx?menuIndex=3&amp;refID=7024176&amp;Result=3","7024176")</f>
        <v>0</v>
      </c>
      <c r="B10593" t="s">
        <v>2380</v>
      </c>
      <c r="C10593" t="s">
        <v>13193</v>
      </c>
      <c r="D10593" t="s">
        <v>16239</v>
      </c>
      <c r="E10593" t="s">
        <v>25490</v>
      </c>
      <c r="F10593" t="s">
        <v>28198</v>
      </c>
      <c r="G10593" t="s">
        <v>28205</v>
      </c>
      <c r="H10593" t="s">
        <v>28214</v>
      </c>
      <c r="I10593" t="s">
        <v>3797</v>
      </c>
      <c r="J10593" t="s">
        <v>34880</v>
      </c>
      <c r="K10593" t="s">
        <v>36908</v>
      </c>
      <c r="M10593" t="s">
        <v>39563</v>
      </c>
      <c r="N10593" t="s">
        <v>40436</v>
      </c>
      <c r="O10593" t="s">
        <v>40437</v>
      </c>
      <c r="P10593">
        <v>0</v>
      </c>
      <c r="Q10593">
        <v>0</v>
      </c>
      <c r="R10593" t="s">
        <v>40451</v>
      </c>
      <c r="S10593" t="s">
        <v>41005</v>
      </c>
      <c r="T10593" t="s">
        <v>42133</v>
      </c>
      <c r="U10593" t="s">
        <v>51437</v>
      </c>
      <c r="W10593" t="s">
        <v>39563</v>
      </c>
      <c r="X10593" t="s">
        <v>40453</v>
      </c>
    </row>
    <row r="10594" spans="1:24">
      <c r="A10594">
        <f>HYPERLINK("https://www.philgeps.gov.ph/GEPSNONPILOT/Tender/SplashBidNoticeAbstractUI.aspx?menuIndex=3&amp;refID=7024219&amp;Result=3","7024219")</f>
        <v>0</v>
      </c>
      <c r="B10594" t="s">
        <v>2380</v>
      </c>
      <c r="C10594" t="s">
        <v>13194</v>
      </c>
      <c r="D10594" t="s">
        <v>16239</v>
      </c>
      <c r="E10594" t="s">
        <v>25491</v>
      </c>
      <c r="F10594" t="s">
        <v>28198</v>
      </c>
      <c r="G10594" t="s">
        <v>28205</v>
      </c>
      <c r="H10594" t="s">
        <v>28214</v>
      </c>
      <c r="I10594" t="s">
        <v>3797</v>
      </c>
      <c r="J10594" t="s">
        <v>34881</v>
      </c>
      <c r="K10594" t="s">
        <v>36724</v>
      </c>
      <c r="M10594" t="s">
        <v>39563</v>
      </c>
      <c r="N10594" t="s">
        <v>40436</v>
      </c>
      <c r="O10594" t="s">
        <v>40437</v>
      </c>
      <c r="P10594">
        <v>0</v>
      </c>
      <c r="Q10594">
        <v>1</v>
      </c>
      <c r="R10594" t="s">
        <v>40451</v>
      </c>
      <c r="S10594" t="s">
        <v>41005</v>
      </c>
      <c r="T10594" t="s">
        <v>42133</v>
      </c>
      <c r="U10594" t="s">
        <v>51438</v>
      </c>
      <c r="W10594" t="s">
        <v>39563</v>
      </c>
      <c r="X10594" t="s">
        <v>40453</v>
      </c>
    </row>
    <row r="10595" spans="1:24">
      <c r="A10595">
        <f>HYPERLINK("https://www.philgeps.gov.ph/GEPSNONPILOT/Tender/SplashBidNoticeAbstractUI.aspx?menuIndex=3&amp;refID=7024225&amp;Result=3","7024225")</f>
        <v>0</v>
      </c>
      <c r="B10595" t="s">
        <v>2380</v>
      </c>
      <c r="C10595" t="s">
        <v>13195</v>
      </c>
      <c r="D10595" t="s">
        <v>16239</v>
      </c>
      <c r="E10595" t="s">
        <v>25492</v>
      </c>
      <c r="F10595" t="s">
        <v>28198</v>
      </c>
      <c r="G10595" t="s">
        <v>28205</v>
      </c>
      <c r="H10595" t="s">
        <v>28214</v>
      </c>
      <c r="I10595" t="s">
        <v>3797</v>
      </c>
      <c r="J10595" t="s">
        <v>34882</v>
      </c>
      <c r="K10595" t="s">
        <v>36793</v>
      </c>
      <c r="M10595" t="s">
        <v>39563</v>
      </c>
      <c r="N10595" t="s">
        <v>40436</v>
      </c>
      <c r="O10595" t="s">
        <v>40437</v>
      </c>
      <c r="P10595">
        <v>0</v>
      </c>
      <c r="Q10595">
        <v>0</v>
      </c>
      <c r="R10595" t="s">
        <v>40451</v>
      </c>
      <c r="S10595" t="s">
        <v>41005</v>
      </c>
      <c r="T10595" t="s">
        <v>42133</v>
      </c>
      <c r="U10595" t="s">
        <v>51439</v>
      </c>
      <c r="W10595" t="s">
        <v>39563</v>
      </c>
      <c r="X10595" t="s">
        <v>40453</v>
      </c>
    </row>
    <row r="10596" spans="1:24">
      <c r="A10596">
        <f>HYPERLINK("https://www.philgeps.gov.ph/GEPSNONPILOT/Tender/SplashBidNoticeAbstractUI.aspx?menuIndex=3&amp;refID=7024190&amp;Result=3","7024190")</f>
        <v>0</v>
      </c>
      <c r="B10596" t="s">
        <v>2380</v>
      </c>
      <c r="C10596" t="s">
        <v>13196</v>
      </c>
      <c r="D10596" t="s">
        <v>16239</v>
      </c>
      <c r="E10596" t="s">
        <v>25493</v>
      </c>
      <c r="F10596" t="s">
        <v>28198</v>
      </c>
      <c r="G10596" t="s">
        <v>28205</v>
      </c>
      <c r="H10596" t="s">
        <v>28214</v>
      </c>
      <c r="I10596" t="s">
        <v>3797</v>
      </c>
      <c r="J10596" t="s">
        <v>34883</v>
      </c>
      <c r="K10596" t="s">
        <v>36831</v>
      </c>
      <c r="M10596" t="s">
        <v>39563</v>
      </c>
      <c r="N10596" t="s">
        <v>40436</v>
      </c>
      <c r="O10596" t="s">
        <v>40437</v>
      </c>
      <c r="P10596">
        <v>0</v>
      </c>
      <c r="Q10596">
        <v>0</v>
      </c>
      <c r="R10596" t="s">
        <v>40451</v>
      </c>
      <c r="S10596" t="s">
        <v>41005</v>
      </c>
      <c r="T10596" t="s">
        <v>42133</v>
      </c>
      <c r="U10596" t="s">
        <v>51440</v>
      </c>
      <c r="W10596" t="s">
        <v>39563</v>
      </c>
      <c r="X10596" t="s">
        <v>40453</v>
      </c>
    </row>
    <row r="10597" spans="1:24">
      <c r="A10597">
        <f>HYPERLINK("https://www.philgeps.gov.ph/GEPSNONPILOT/Tender/SplashBidNoticeAbstractUI.aspx?menuIndex=3&amp;refID=7024212&amp;Result=3","7024212")</f>
        <v>0</v>
      </c>
      <c r="B10597" t="s">
        <v>2380</v>
      </c>
      <c r="C10597" t="s">
        <v>13197</v>
      </c>
      <c r="D10597" t="s">
        <v>16239</v>
      </c>
      <c r="E10597" t="s">
        <v>25494</v>
      </c>
      <c r="F10597" t="s">
        <v>28198</v>
      </c>
      <c r="G10597" t="s">
        <v>28205</v>
      </c>
      <c r="H10597" t="s">
        <v>28214</v>
      </c>
      <c r="I10597" t="s">
        <v>3797</v>
      </c>
      <c r="J10597" t="s">
        <v>34884</v>
      </c>
      <c r="K10597" t="s">
        <v>36709</v>
      </c>
      <c r="M10597" t="s">
        <v>39563</v>
      </c>
      <c r="N10597" t="s">
        <v>40436</v>
      </c>
      <c r="O10597" t="s">
        <v>40437</v>
      </c>
      <c r="P10597">
        <v>0</v>
      </c>
      <c r="Q10597">
        <v>0</v>
      </c>
      <c r="R10597" t="s">
        <v>40451</v>
      </c>
      <c r="S10597" t="s">
        <v>41005</v>
      </c>
      <c r="T10597" t="s">
        <v>42133</v>
      </c>
      <c r="U10597" t="s">
        <v>51441</v>
      </c>
      <c r="W10597" t="s">
        <v>39563</v>
      </c>
      <c r="X10597" t="s">
        <v>40453</v>
      </c>
    </row>
    <row r="10598" spans="1:24">
      <c r="A10598">
        <f>HYPERLINK("https://www.philgeps.gov.ph/GEPSNONPILOT/Tender/SplashBidNoticeAbstractUI.aspx?menuIndex=3&amp;refID=7024207&amp;Result=3","7024207")</f>
        <v>0</v>
      </c>
      <c r="B10598" t="s">
        <v>2380</v>
      </c>
      <c r="C10598" t="s">
        <v>13198</v>
      </c>
      <c r="D10598" t="s">
        <v>16239</v>
      </c>
      <c r="E10598" t="s">
        <v>25495</v>
      </c>
      <c r="F10598" t="s">
        <v>28198</v>
      </c>
      <c r="G10598" t="s">
        <v>28205</v>
      </c>
      <c r="H10598" t="s">
        <v>28214</v>
      </c>
      <c r="I10598" t="s">
        <v>3797</v>
      </c>
      <c r="J10598" t="s">
        <v>34885</v>
      </c>
      <c r="K10598" t="s">
        <v>36694</v>
      </c>
      <c r="M10598" t="s">
        <v>39563</v>
      </c>
      <c r="N10598" t="s">
        <v>40436</v>
      </c>
      <c r="O10598" t="s">
        <v>40437</v>
      </c>
      <c r="P10598">
        <v>0</v>
      </c>
      <c r="Q10598">
        <v>1</v>
      </c>
      <c r="R10598" t="s">
        <v>40451</v>
      </c>
      <c r="S10598" t="s">
        <v>41005</v>
      </c>
      <c r="T10598" t="s">
        <v>42133</v>
      </c>
      <c r="U10598" t="s">
        <v>51442</v>
      </c>
      <c r="W10598" t="s">
        <v>39563</v>
      </c>
      <c r="X10598" t="s">
        <v>40453</v>
      </c>
    </row>
    <row r="10599" spans="1:24">
      <c r="A10599">
        <f>HYPERLINK("https://www.philgeps.gov.ph/GEPSNONPILOT/Tender/SplashBidNoticeAbstractUI.aspx?menuIndex=3&amp;refID=7024170&amp;Result=3","7024170")</f>
        <v>0</v>
      </c>
      <c r="B10599" t="s">
        <v>2380</v>
      </c>
      <c r="C10599" t="s">
        <v>13199</v>
      </c>
      <c r="D10599" t="s">
        <v>16239</v>
      </c>
      <c r="E10599" t="s">
        <v>25496</v>
      </c>
      <c r="F10599" t="s">
        <v>28198</v>
      </c>
      <c r="G10599" t="s">
        <v>28205</v>
      </c>
      <c r="H10599" t="s">
        <v>28214</v>
      </c>
      <c r="I10599" t="s">
        <v>3797</v>
      </c>
      <c r="J10599" t="s">
        <v>34886</v>
      </c>
      <c r="K10599" t="s">
        <v>36694</v>
      </c>
      <c r="M10599" t="s">
        <v>39563</v>
      </c>
      <c r="N10599" t="s">
        <v>40436</v>
      </c>
      <c r="O10599" t="s">
        <v>40437</v>
      </c>
      <c r="P10599">
        <v>0</v>
      </c>
      <c r="Q10599">
        <v>1</v>
      </c>
      <c r="R10599" t="s">
        <v>40451</v>
      </c>
      <c r="S10599" t="s">
        <v>41005</v>
      </c>
      <c r="T10599" t="s">
        <v>42133</v>
      </c>
      <c r="U10599" t="s">
        <v>51443</v>
      </c>
      <c r="W10599" t="s">
        <v>39563</v>
      </c>
      <c r="X10599" t="s">
        <v>40453</v>
      </c>
    </row>
    <row r="10600" spans="1:24">
      <c r="A10600">
        <f>HYPERLINK("https://www.philgeps.gov.ph/GEPSNONPILOT/Tender/SplashBidNoticeAbstractUI.aspx?menuIndex=3&amp;refID=7024214&amp;Result=3","7024214")</f>
        <v>0</v>
      </c>
      <c r="B10600" t="s">
        <v>2380</v>
      </c>
      <c r="C10600" t="s">
        <v>13200</v>
      </c>
      <c r="D10600" t="s">
        <v>16239</v>
      </c>
      <c r="E10600" t="s">
        <v>25497</v>
      </c>
      <c r="F10600" t="s">
        <v>28198</v>
      </c>
      <c r="G10600" t="s">
        <v>28205</v>
      </c>
      <c r="H10600" t="s">
        <v>28214</v>
      </c>
      <c r="I10600" t="s">
        <v>3797</v>
      </c>
      <c r="J10600" t="s">
        <v>34887</v>
      </c>
      <c r="K10600" t="s">
        <v>36694</v>
      </c>
      <c r="M10600" t="s">
        <v>39563</v>
      </c>
      <c r="N10600" t="s">
        <v>40436</v>
      </c>
      <c r="O10600" t="s">
        <v>40437</v>
      </c>
      <c r="P10600">
        <v>0</v>
      </c>
      <c r="Q10600">
        <v>0</v>
      </c>
      <c r="R10600" t="s">
        <v>40451</v>
      </c>
      <c r="S10600" t="s">
        <v>41005</v>
      </c>
      <c r="T10600" t="s">
        <v>42133</v>
      </c>
      <c r="U10600" t="s">
        <v>51444</v>
      </c>
      <c r="W10600" t="s">
        <v>39563</v>
      </c>
      <c r="X10600" t="s">
        <v>40453</v>
      </c>
    </row>
    <row r="10601" spans="1:24">
      <c r="A10601">
        <f>HYPERLINK("https://www.philgeps.gov.ph/GEPSNONPILOT/Tender/SplashBidNoticeAbstractUI.aspx?menuIndex=3&amp;refID=7024198&amp;Result=3","7024198")</f>
        <v>0</v>
      </c>
      <c r="B10601" t="s">
        <v>2380</v>
      </c>
      <c r="C10601" t="s">
        <v>13201</v>
      </c>
      <c r="D10601" t="s">
        <v>16239</v>
      </c>
      <c r="E10601" t="s">
        <v>25498</v>
      </c>
      <c r="F10601" t="s">
        <v>28198</v>
      </c>
      <c r="G10601" t="s">
        <v>28205</v>
      </c>
      <c r="H10601" t="s">
        <v>28214</v>
      </c>
      <c r="I10601" t="s">
        <v>3797</v>
      </c>
      <c r="J10601" t="s">
        <v>34888</v>
      </c>
      <c r="K10601" t="s">
        <v>36694</v>
      </c>
      <c r="M10601" t="s">
        <v>39563</v>
      </c>
      <c r="N10601" t="s">
        <v>40436</v>
      </c>
      <c r="O10601" t="s">
        <v>40437</v>
      </c>
      <c r="P10601">
        <v>0</v>
      </c>
      <c r="Q10601">
        <v>0</v>
      </c>
      <c r="R10601" t="s">
        <v>40451</v>
      </c>
      <c r="S10601" t="s">
        <v>41005</v>
      </c>
      <c r="T10601" t="s">
        <v>42133</v>
      </c>
      <c r="U10601" t="s">
        <v>51445</v>
      </c>
      <c r="W10601" t="s">
        <v>39563</v>
      </c>
      <c r="X10601" t="s">
        <v>40453</v>
      </c>
    </row>
    <row r="10602" spans="1:24">
      <c r="A10602">
        <f>HYPERLINK("https://www.philgeps.gov.ph/GEPSNONPILOT/Tender/SplashBidNoticeAbstractUI.aspx?menuIndex=3&amp;refID=7024166&amp;Result=3","7024166")</f>
        <v>0</v>
      </c>
      <c r="B10602" t="s">
        <v>2380</v>
      </c>
      <c r="C10602" t="s">
        <v>13202</v>
      </c>
      <c r="D10602" t="s">
        <v>16239</v>
      </c>
      <c r="E10602" t="s">
        <v>25499</v>
      </c>
      <c r="F10602" t="s">
        <v>28198</v>
      </c>
      <c r="G10602" t="s">
        <v>28205</v>
      </c>
      <c r="H10602" t="s">
        <v>28214</v>
      </c>
      <c r="I10602" t="s">
        <v>3797</v>
      </c>
      <c r="J10602" t="s">
        <v>34889</v>
      </c>
      <c r="K10602" t="s">
        <v>36694</v>
      </c>
      <c r="M10602" t="s">
        <v>39563</v>
      </c>
      <c r="N10602" t="s">
        <v>40436</v>
      </c>
      <c r="O10602" t="s">
        <v>40437</v>
      </c>
      <c r="P10602">
        <v>0</v>
      </c>
      <c r="Q10602">
        <v>0</v>
      </c>
      <c r="R10602" t="s">
        <v>40451</v>
      </c>
      <c r="S10602" t="s">
        <v>41005</v>
      </c>
      <c r="T10602" t="s">
        <v>42133</v>
      </c>
      <c r="U10602" t="s">
        <v>51446</v>
      </c>
      <c r="W10602" t="s">
        <v>39563</v>
      </c>
      <c r="X10602" t="s">
        <v>40453</v>
      </c>
    </row>
    <row r="10603" spans="1:24">
      <c r="A10603">
        <f>HYPERLINK("https://www.philgeps.gov.ph/GEPSNONPILOT/Tender/SplashBidNoticeAbstractUI.aspx?menuIndex=3&amp;refID=7024235&amp;Result=3","7024235")</f>
        <v>0</v>
      </c>
      <c r="B10603" t="s">
        <v>2380</v>
      </c>
      <c r="C10603" t="s">
        <v>13203</v>
      </c>
      <c r="D10603" t="s">
        <v>16239</v>
      </c>
      <c r="E10603" t="s">
        <v>25500</v>
      </c>
      <c r="F10603" t="s">
        <v>28198</v>
      </c>
      <c r="G10603" t="s">
        <v>28205</v>
      </c>
      <c r="H10603" t="s">
        <v>28214</v>
      </c>
      <c r="I10603" t="s">
        <v>3797</v>
      </c>
      <c r="J10603" t="s">
        <v>34890</v>
      </c>
      <c r="K10603" t="s">
        <v>36812</v>
      </c>
      <c r="M10603" t="s">
        <v>39563</v>
      </c>
      <c r="N10603" t="s">
        <v>40436</v>
      </c>
      <c r="O10603" t="s">
        <v>40437</v>
      </c>
      <c r="P10603">
        <v>0</v>
      </c>
      <c r="Q10603">
        <v>1</v>
      </c>
      <c r="R10603" t="s">
        <v>40451</v>
      </c>
      <c r="S10603" t="s">
        <v>41005</v>
      </c>
      <c r="T10603" t="s">
        <v>42133</v>
      </c>
      <c r="U10603" t="s">
        <v>51447</v>
      </c>
      <c r="W10603" t="s">
        <v>39563</v>
      </c>
      <c r="X10603" t="s">
        <v>40453</v>
      </c>
    </row>
    <row r="10604" spans="1:24">
      <c r="A10604">
        <f>HYPERLINK("https://www.philgeps.gov.ph/GEPSNONPILOT/Tender/SplashBidNoticeAbstractUI.aspx?menuIndex=3&amp;refID=7024228&amp;Result=3","7024228")</f>
        <v>0</v>
      </c>
      <c r="B10604" t="s">
        <v>2380</v>
      </c>
      <c r="C10604" t="s">
        <v>13204</v>
      </c>
      <c r="D10604" t="s">
        <v>16239</v>
      </c>
      <c r="E10604" t="s">
        <v>25501</v>
      </c>
      <c r="F10604" t="s">
        <v>28198</v>
      </c>
      <c r="G10604" t="s">
        <v>28205</v>
      </c>
      <c r="H10604" t="s">
        <v>28214</v>
      </c>
      <c r="I10604" t="s">
        <v>3797</v>
      </c>
      <c r="J10604" t="s">
        <v>34891</v>
      </c>
      <c r="K10604" t="s">
        <v>36710</v>
      </c>
      <c r="M10604" t="s">
        <v>39563</v>
      </c>
      <c r="N10604" t="s">
        <v>40436</v>
      </c>
      <c r="O10604" t="s">
        <v>40437</v>
      </c>
      <c r="P10604">
        <v>0</v>
      </c>
      <c r="Q10604">
        <v>1</v>
      </c>
      <c r="R10604" t="s">
        <v>40451</v>
      </c>
      <c r="S10604" t="s">
        <v>41005</v>
      </c>
      <c r="T10604" t="s">
        <v>42133</v>
      </c>
      <c r="U10604" t="s">
        <v>51448</v>
      </c>
      <c r="W10604" t="s">
        <v>39563</v>
      </c>
      <c r="X10604" t="s">
        <v>40453</v>
      </c>
    </row>
    <row r="10605" spans="1:24">
      <c r="A10605">
        <f>HYPERLINK("https://www.philgeps.gov.ph/GEPSNONPILOT/Tender/SplashBidNoticeAbstractUI.aspx?menuIndex=3&amp;refID=7024232&amp;Result=3","7024232")</f>
        <v>0</v>
      </c>
      <c r="B10605" t="s">
        <v>2380</v>
      </c>
      <c r="C10605" t="s">
        <v>13205</v>
      </c>
      <c r="D10605" t="s">
        <v>16239</v>
      </c>
      <c r="E10605" t="s">
        <v>25502</v>
      </c>
      <c r="F10605" t="s">
        <v>28198</v>
      </c>
      <c r="G10605" t="s">
        <v>28205</v>
      </c>
      <c r="H10605" t="s">
        <v>28214</v>
      </c>
      <c r="I10605" t="s">
        <v>3797</v>
      </c>
      <c r="J10605" t="s">
        <v>34892</v>
      </c>
      <c r="K10605" t="s">
        <v>36833</v>
      </c>
      <c r="M10605" t="s">
        <v>39563</v>
      </c>
      <c r="N10605" t="s">
        <v>40436</v>
      </c>
      <c r="O10605" t="s">
        <v>40437</v>
      </c>
      <c r="P10605">
        <v>0</v>
      </c>
      <c r="Q10605">
        <v>1</v>
      </c>
      <c r="R10605" t="s">
        <v>40451</v>
      </c>
      <c r="S10605" t="s">
        <v>41005</v>
      </c>
      <c r="T10605" t="s">
        <v>42133</v>
      </c>
      <c r="U10605" t="s">
        <v>51449</v>
      </c>
      <c r="W10605" t="s">
        <v>39563</v>
      </c>
      <c r="X10605" t="s">
        <v>40453</v>
      </c>
    </row>
    <row r="10606" spans="1:24">
      <c r="A10606">
        <f>HYPERLINK("https://www.philgeps.gov.ph/GEPSNONPILOT/Tender/SplashBidNoticeAbstractUI.aspx?menuIndex=3&amp;refID=7024202&amp;Result=3","7024202")</f>
        <v>0</v>
      </c>
      <c r="B10606" t="s">
        <v>2380</v>
      </c>
      <c r="C10606" t="s">
        <v>13206</v>
      </c>
      <c r="D10606" t="s">
        <v>16239</v>
      </c>
      <c r="E10606" t="s">
        <v>25503</v>
      </c>
      <c r="F10606" t="s">
        <v>28198</v>
      </c>
      <c r="G10606" t="s">
        <v>28205</v>
      </c>
      <c r="H10606" t="s">
        <v>28214</v>
      </c>
      <c r="I10606" t="s">
        <v>3797</v>
      </c>
      <c r="J10606" t="s">
        <v>34893</v>
      </c>
      <c r="K10606" t="s">
        <v>36787</v>
      </c>
      <c r="M10606" t="s">
        <v>39563</v>
      </c>
      <c r="N10606" t="s">
        <v>40436</v>
      </c>
      <c r="O10606" t="s">
        <v>40437</v>
      </c>
      <c r="P10606">
        <v>0</v>
      </c>
      <c r="Q10606">
        <v>0</v>
      </c>
      <c r="R10606" t="s">
        <v>40451</v>
      </c>
      <c r="S10606" t="s">
        <v>41005</v>
      </c>
      <c r="T10606" t="s">
        <v>42133</v>
      </c>
      <c r="U10606" t="s">
        <v>51450</v>
      </c>
      <c r="W10606" t="s">
        <v>39563</v>
      </c>
      <c r="X10606" t="s">
        <v>40453</v>
      </c>
    </row>
    <row r="10607" spans="1:24">
      <c r="A10607">
        <f>HYPERLINK("https://www.philgeps.gov.ph/GEPSNONPILOT/Tender/SplashBidNoticeAbstractUI.aspx?menuIndex=3&amp;refID=7024304&amp;Result=3","7024304")</f>
        <v>0</v>
      </c>
      <c r="B10607" t="s">
        <v>136</v>
      </c>
      <c r="C10607" t="s">
        <v>13207</v>
      </c>
      <c r="D10607" t="s">
        <v>16188</v>
      </c>
      <c r="E10607" t="s">
        <v>25504</v>
      </c>
      <c r="F10607" t="s">
        <v>28198</v>
      </c>
      <c r="G10607" t="s">
        <v>28205</v>
      </c>
      <c r="H10607" t="s">
        <v>28214</v>
      </c>
      <c r="I10607" t="s">
        <v>3797</v>
      </c>
      <c r="J10607" t="s">
        <v>34894</v>
      </c>
      <c r="K10607" t="s">
        <v>36932</v>
      </c>
      <c r="M10607" t="s">
        <v>37110</v>
      </c>
      <c r="N10607" t="s">
        <v>40436</v>
      </c>
      <c r="O10607" t="s">
        <v>40437</v>
      </c>
      <c r="P10607">
        <v>0</v>
      </c>
      <c r="Q10607">
        <v>5</v>
      </c>
      <c r="R10607" t="s">
        <v>40451</v>
      </c>
      <c r="S10607" t="s">
        <v>41005</v>
      </c>
      <c r="T10607" t="s">
        <v>42480</v>
      </c>
      <c r="U10607" t="s">
        <v>51451</v>
      </c>
      <c r="V10607" t="s">
        <v>53806</v>
      </c>
      <c r="W10607" t="s">
        <v>55432</v>
      </c>
      <c r="X10607" t="s">
        <v>40452</v>
      </c>
    </row>
    <row r="10608" spans="1:24">
      <c r="A10608">
        <f>HYPERLINK("https://www.philgeps.gov.ph/GEPSNONPILOT/Tender/SplashBidNoticeAbstractUI.aspx?menuIndex=3&amp;refID=7024237&amp;Result=3","7024237")</f>
        <v>0</v>
      </c>
      <c r="B10608" t="s">
        <v>2380</v>
      </c>
      <c r="C10608" t="s">
        <v>13208</v>
      </c>
      <c r="D10608" t="s">
        <v>16239</v>
      </c>
      <c r="E10608" t="s">
        <v>25505</v>
      </c>
      <c r="F10608" t="s">
        <v>28198</v>
      </c>
      <c r="G10608" t="s">
        <v>28205</v>
      </c>
      <c r="H10608" t="s">
        <v>28214</v>
      </c>
      <c r="I10608" t="s">
        <v>3797</v>
      </c>
      <c r="J10608" t="s">
        <v>34895</v>
      </c>
      <c r="K10608" t="s">
        <v>36805</v>
      </c>
      <c r="M10608" t="s">
        <v>39563</v>
      </c>
      <c r="N10608" t="s">
        <v>40436</v>
      </c>
      <c r="O10608" t="s">
        <v>40437</v>
      </c>
      <c r="P10608">
        <v>0</v>
      </c>
      <c r="Q10608">
        <v>0</v>
      </c>
      <c r="R10608" t="s">
        <v>40451</v>
      </c>
      <c r="S10608" t="s">
        <v>41005</v>
      </c>
      <c r="T10608" t="s">
        <v>42133</v>
      </c>
      <c r="U10608" t="s">
        <v>51452</v>
      </c>
      <c r="W10608" t="s">
        <v>39563</v>
      </c>
      <c r="X10608" t="s">
        <v>40453</v>
      </c>
    </row>
    <row r="10609" spans="1:24">
      <c r="A10609">
        <f>HYPERLINK("https://www.philgeps.gov.ph/GEPSNONPILOT/Tender/SplashBidNoticeAbstractUI.aspx?menuIndex=3&amp;refID=7024279&amp;Result=3","7024279")</f>
        <v>0</v>
      </c>
      <c r="B10609" t="s">
        <v>64</v>
      </c>
      <c r="C10609" t="s">
        <v>13209</v>
      </c>
      <c r="D10609" t="s">
        <v>16201</v>
      </c>
      <c r="E10609" t="s">
        <v>25506</v>
      </c>
      <c r="F10609" t="s">
        <v>28198</v>
      </c>
      <c r="G10609" t="s">
        <v>28205</v>
      </c>
      <c r="H10609" t="s">
        <v>28216</v>
      </c>
      <c r="I10609" t="s">
        <v>28216</v>
      </c>
      <c r="J10609" t="s">
        <v>34896</v>
      </c>
      <c r="K10609" t="s">
        <v>36692</v>
      </c>
      <c r="M10609" t="s">
        <v>37035</v>
      </c>
      <c r="N10609" t="s">
        <v>40436</v>
      </c>
      <c r="O10609" t="s">
        <v>40437</v>
      </c>
      <c r="P10609">
        <v>0</v>
      </c>
      <c r="Q10609">
        <v>3</v>
      </c>
      <c r="R10609" t="s">
        <v>40451</v>
      </c>
      <c r="S10609" t="s">
        <v>41005</v>
      </c>
      <c r="T10609" t="s">
        <v>42134</v>
      </c>
      <c r="U10609" t="s">
        <v>51453</v>
      </c>
      <c r="W10609" t="s">
        <v>37035</v>
      </c>
      <c r="X10609" t="s">
        <v>40452</v>
      </c>
    </row>
    <row r="10610" spans="1:24">
      <c r="A10610">
        <f>HYPERLINK("https://www.philgeps.gov.ph/GEPSNONPILOT/Tender/SplashBidNoticeAbstractUI.aspx?menuIndex=3&amp;refID=7024340&amp;Result=3","7024340")</f>
        <v>0</v>
      </c>
      <c r="B10610" t="s">
        <v>136</v>
      </c>
      <c r="C10610" t="s">
        <v>13210</v>
      </c>
      <c r="D10610" t="s">
        <v>16188</v>
      </c>
      <c r="E10610" t="s">
        <v>25507</v>
      </c>
      <c r="F10610" t="s">
        <v>28198</v>
      </c>
      <c r="G10610" t="s">
        <v>28205</v>
      </c>
      <c r="H10610" t="s">
        <v>28214</v>
      </c>
      <c r="I10610" t="s">
        <v>3797</v>
      </c>
      <c r="J10610" t="s">
        <v>34897</v>
      </c>
      <c r="K10610" t="s">
        <v>36761</v>
      </c>
      <c r="M10610" t="s">
        <v>37110</v>
      </c>
      <c r="N10610" t="s">
        <v>40436</v>
      </c>
      <c r="O10610" t="s">
        <v>40437</v>
      </c>
      <c r="P10610">
        <v>0</v>
      </c>
      <c r="Q10610">
        <v>4</v>
      </c>
      <c r="R10610" t="s">
        <v>40451</v>
      </c>
      <c r="S10610" t="s">
        <v>41005</v>
      </c>
      <c r="T10610" t="s">
        <v>42192</v>
      </c>
      <c r="U10610" t="s">
        <v>51454</v>
      </c>
      <c r="V10610" t="s">
        <v>53806</v>
      </c>
      <c r="W10610" t="s">
        <v>55432</v>
      </c>
      <c r="X10610" t="s">
        <v>40452</v>
      </c>
    </row>
    <row r="10611" spans="1:24">
      <c r="A10611">
        <f>HYPERLINK("https://www.philgeps.gov.ph/GEPSNONPILOT/Tender/SplashBidNoticeAbstractUI.aspx?menuIndex=3&amp;refID=7024281&amp;Result=3","7024281")</f>
        <v>0</v>
      </c>
      <c r="B10611" t="s">
        <v>64</v>
      </c>
      <c r="C10611" t="s">
        <v>13211</v>
      </c>
      <c r="D10611" t="s">
        <v>16201</v>
      </c>
      <c r="E10611" t="s">
        <v>25508</v>
      </c>
      <c r="F10611" t="s">
        <v>28198</v>
      </c>
      <c r="G10611" t="s">
        <v>28205</v>
      </c>
      <c r="H10611" t="s">
        <v>28216</v>
      </c>
      <c r="I10611" t="s">
        <v>28216</v>
      </c>
      <c r="J10611" t="s">
        <v>34898</v>
      </c>
      <c r="K10611" t="s">
        <v>36701</v>
      </c>
      <c r="M10611" t="s">
        <v>37035</v>
      </c>
      <c r="N10611" t="s">
        <v>40436</v>
      </c>
      <c r="O10611" t="s">
        <v>40437</v>
      </c>
      <c r="Q10611">
        <v>2</v>
      </c>
      <c r="R10611" t="s">
        <v>40451</v>
      </c>
      <c r="S10611" t="s">
        <v>40795</v>
      </c>
      <c r="T10611" t="s">
        <v>42190</v>
      </c>
      <c r="U10611" t="s">
        <v>51453</v>
      </c>
      <c r="W10611" t="s">
        <v>37035</v>
      </c>
      <c r="X10611" t="s">
        <v>40452</v>
      </c>
    </row>
    <row r="10612" spans="1:24">
      <c r="A10612">
        <f>HYPERLINK("https://www.philgeps.gov.ph/GEPSNONPILOT/Tender/SplashBidNoticeAbstractUI.aspx?menuIndex=3&amp;refID=7024324&amp;Result=3","7024324")</f>
        <v>0</v>
      </c>
      <c r="B10612" t="s">
        <v>2137</v>
      </c>
      <c r="C10612" t="s">
        <v>13212</v>
      </c>
      <c r="D10612" t="s">
        <v>16195</v>
      </c>
      <c r="E10612" t="s">
        <v>16526</v>
      </c>
      <c r="F10612" t="s">
        <v>28198</v>
      </c>
      <c r="G10612" t="s">
        <v>28205</v>
      </c>
      <c r="H10612" t="s">
        <v>28215</v>
      </c>
      <c r="I10612" t="s">
        <v>5100</v>
      </c>
      <c r="J10612" t="s">
        <v>29285</v>
      </c>
      <c r="K10612" t="s">
        <v>36707</v>
      </c>
      <c r="M10612" t="s">
        <v>39294</v>
      </c>
      <c r="N10612" t="s">
        <v>40436</v>
      </c>
      <c r="O10612" t="s">
        <v>40437</v>
      </c>
      <c r="P10612">
        <v>0</v>
      </c>
      <c r="Q10612">
        <v>0</v>
      </c>
      <c r="R10612" t="s">
        <v>40451</v>
      </c>
      <c r="S10612" t="s">
        <v>41005</v>
      </c>
      <c r="T10612" t="s">
        <v>42228</v>
      </c>
      <c r="U10612" t="s">
        <v>48617</v>
      </c>
      <c r="W10612" t="s">
        <v>39294</v>
      </c>
      <c r="X10612" t="s">
        <v>40452</v>
      </c>
    </row>
    <row r="10613" spans="1:24">
      <c r="A10613">
        <f>HYPERLINK("https://www.philgeps.gov.ph/GEPSNONPILOT/Tender/SplashBidNoticeAbstractUI.aspx?menuIndex=3&amp;refID=7024328&amp;Result=3","7024328")</f>
        <v>0</v>
      </c>
      <c r="B10613" t="s">
        <v>2137</v>
      </c>
      <c r="C10613" t="s">
        <v>13212</v>
      </c>
      <c r="D10613" t="s">
        <v>16195</v>
      </c>
      <c r="E10613" t="s">
        <v>16522</v>
      </c>
      <c r="F10613" t="s">
        <v>28198</v>
      </c>
      <c r="G10613" t="s">
        <v>28205</v>
      </c>
      <c r="H10613" t="s">
        <v>28215</v>
      </c>
      <c r="I10613" t="s">
        <v>5100</v>
      </c>
      <c r="J10613" t="s">
        <v>33364</v>
      </c>
      <c r="K10613" t="s">
        <v>36707</v>
      </c>
      <c r="M10613" t="s">
        <v>39294</v>
      </c>
      <c r="N10613" t="s">
        <v>40436</v>
      </c>
      <c r="O10613" t="s">
        <v>40437</v>
      </c>
      <c r="P10613">
        <v>0</v>
      </c>
      <c r="Q10613">
        <v>0</v>
      </c>
      <c r="R10613" t="s">
        <v>40451</v>
      </c>
      <c r="S10613" t="s">
        <v>41005</v>
      </c>
      <c r="T10613" t="s">
        <v>42228</v>
      </c>
      <c r="U10613" t="s">
        <v>48617</v>
      </c>
      <c r="W10613" t="s">
        <v>39294</v>
      </c>
      <c r="X10613" t="s">
        <v>40452</v>
      </c>
    </row>
    <row r="10614" spans="1:24">
      <c r="A10614">
        <f>HYPERLINK("https://www.philgeps.gov.ph/GEPSNONPILOT/Tender/SplashBidNoticeAbstractUI.aspx?menuIndex=3&amp;refID=7024317&amp;Result=3","7024317")</f>
        <v>0</v>
      </c>
      <c r="B10614" t="s">
        <v>136</v>
      </c>
      <c r="C10614" t="s">
        <v>13213</v>
      </c>
      <c r="D10614" t="s">
        <v>16188</v>
      </c>
      <c r="E10614" t="s">
        <v>25509</v>
      </c>
      <c r="F10614" t="s">
        <v>28198</v>
      </c>
      <c r="G10614" t="s">
        <v>28205</v>
      </c>
      <c r="H10614" t="s">
        <v>28214</v>
      </c>
      <c r="I10614" t="s">
        <v>3797</v>
      </c>
      <c r="J10614" t="s">
        <v>34433</v>
      </c>
      <c r="K10614" t="s">
        <v>36735</v>
      </c>
      <c r="M10614" t="s">
        <v>37110</v>
      </c>
      <c r="N10614" t="s">
        <v>40436</v>
      </c>
      <c r="O10614" t="s">
        <v>40437</v>
      </c>
      <c r="P10614">
        <v>0</v>
      </c>
      <c r="Q10614">
        <v>4</v>
      </c>
      <c r="R10614" t="s">
        <v>40451</v>
      </c>
      <c r="S10614" t="s">
        <v>41005</v>
      </c>
      <c r="T10614" t="s">
        <v>42480</v>
      </c>
      <c r="U10614" t="s">
        <v>51455</v>
      </c>
      <c r="V10614" t="s">
        <v>53806</v>
      </c>
      <c r="W10614" t="s">
        <v>55432</v>
      </c>
      <c r="X10614" t="s">
        <v>40452</v>
      </c>
    </row>
    <row r="10615" spans="1:24">
      <c r="A10615">
        <f>HYPERLINK("https://www.philgeps.gov.ph/GEPSNONPILOT/Tender/SplashBidNoticeAbstractUI.aspx?menuIndex=3&amp;refID=7024363&amp;Result=3","7024363")</f>
        <v>0</v>
      </c>
      <c r="B10615" t="s">
        <v>1215</v>
      </c>
      <c r="C10615" t="s">
        <v>13214</v>
      </c>
      <c r="D10615" t="s">
        <v>16238</v>
      </c>
      <c r="E10615" t="s">
        <v>25510</v>
      </c>
      <c r="F10615" t="s">
        <v>28198</v>
      </c>
      <c r="G10615" t="s">
        <v>28205</v>
      </c>
      <c r="H10615" t="s">
        <v>28214</v>
      </c>
      <c r="I10615" t="s">
        <v>3797</v>
      </c>
      <c r="J10615" t="s">
        <v>34899</v>
      </c>
      <c r="K10615" t="s">
        <v>36933</v>
      </c>
      <c r="M10615" t="s">
        <v>39334</v>
      </c>
      <c r="N10615" t="s">
        <v>40436</v>
      </c>
      <c r="O10615" t="s">
        <v>40437</v>
      </c>
      <c r="P10615">
        <v>0</v>
      </c>
      <c r="Q10615">
        <v>1</v>
      </c>
      <c r="R10615" t="s">
        <v>40451</v>
      </c>
      <c r="S10615" t="s">
        <v>41005</v>
      </c>
      <c r="T10615" t="s">
        <v>42225</v>
      </c>
      <c r="U10615" t="s">
        <v>51456</v>
      </c>
      <c r="W10615" t="s">
        <v>39334</v>
      </c>
      <c r="X10615" t="s">
        <v>40452</v>
      </c>
    </row>
    <row r="10616" spans="1:24">
      <c r="A10616">
        <f>HYPERLINK("https://www.philgeps.gov.ph/GEPSNONPILOT/Tender/SplashBidNoticeAbstractUI.aspx?menuIndex=3&amp;refID=7024376&amp;Result=3","7024376")</f>
        <v>0</v>
      </c>
      <c r="B10616" t="s">
        <v>2816</v>
      </c>
      <c r="C10616" t="s">
        <v>13215</v>
      </c>
      <c r="D10616" t="s">
        <v>16217</v>
      </c>
      <c r="E10616" t="s">
        <v>25511</v>
      </c>
      <c r="F10616" t="s">
        <v>28198</v>
      </c>
      <c r="G10616" t="s">
        <v>28205</v>
      </c>
      <c r="H10616" t="s">
        <v>28214</v>
      </c>
      <c r="I10616" t="s">
        <v>3797</v>
      </c>
      <c r="J10616" t="s">
        <v>28363</v>
      </c>
      <c r="K10616" t="s">
        <v>36792</v>
      </c>
      <c r="M10616" t="s">
        <v>40067</v>
      </c>
      <c r="N10616" t="s">
        <v>40436</v>
      </c>
      <c r="O10616" t="s">
        <v>40437</v>
      </c>
      <c r="P10616">
        <v>0</v>
      </c>
      <c r="Q10616">
        <v>1</v>
      </c>
      <c r="R10616" t="s">
        <v>40451</v>
      </c>
      <c r="S10616" t="s">
        <v>41005</v>
      </c>
      <c r="T10616" t="s">
        <v>42112</v>
      </c>
      <c r="U10616" t="s">
        <v>51457</v>
      </c>
      <c r="V10616" t="s">
        <v>54949</v>
      </c>
      <c r="W10616" t="s">
        <v>55534</v>
      </c>
      <c r="X10616" t="s">
        <v>40452</v>
      </c>
    </row>
    <row r="10617" spans="1:24">
      <c r="A10617">
        <f>HYPERLINK("https://www.philgeps.gov.ph/GEPSNONPILOT/Tender/SplashBidNoticeAbstractUI.aspx?menuIndex=3&amp;refID=7024320&amp;Result=3","7024320")</f>
        <v>0</v>
      </c>
      <c r="B10617" t="s">
        <v>2137</v>
      </c>
      <c r="C10617" t="s">
        <v>13216</v>
      </c>
      <c r="D10617" t="s">
        <v>16195</v>
      </c>
      <c r="E10617" t="s">
        <v>16322</v>
      </c>
      <c r="F10617" t="s">
        <v>28198</v>
      </c>
      <c r="G10617" t="s">
        <v>28205</v>
      </c>
      <c r="H10617" t="s">
        <v>28215</v>
      </c>
      <c r="I10617" t="s">
        <v>5100</v>
      </c>
      <c r="J10617" t="s">
        <v>34900</v>
      </c>
      <c r="K10617" t="s">
        <v>36707</v>
      </c>
      <c r="M10617" t="s">
        <v>39294</v>
      </c>
      <c r="N10617" t="s">
        <v>40436</v>
      </c>
      <c r="O10617" t="s">
        <v>40437</v>
      </c>
      <c r="P10617">
        <v>0</v>
      </c>
      <c r="Q10617">
        <v>0</v>
      </c>
      <c r="R10617" t="s">
        <v>40451</v>
      </c>
      <c r="S10617" t="s">
        <v>41005</v>
      </c>
      <c r="T10617" t="s">
        <v>42228</v>
      </c>
      <c r="U10617" t="s">
        <v>48617</v>
      </c>
      <c r="W10617" t="s">
        <v>39294</v>
      </c>
      <c r="X10617" t="s">
        <v>40452</v>
      </c>
    </row>
    <row r="10618" spans="1:24">
      <c r="A10618">
        <f>HYPERLINK("https://www.philgeps.gov.ph/GEPSNONPILOT/Tender/SplashBidNoticeAbstractUI.aspx?menuIndex=3&amp;refID=7024310&amp;Result=3","7024310")</f>
        <v>0</v>
      </c>
      <c r="B10618" t="s">
        <v>136</v>
      </c>
      <c r="C10618" t="s">
        <v>13217</v>
      </c>
      <c r="D10618" t="s">
        <v>16188</v>
      </c>
      <c r="E10618" t="s">
        <v>25512</v>
      </c>
      <c r="F10618" t="s">
        <v>28198</v>
      </c>
      <c r="G10618" t="s">
        <v>28205</v>
      </c>
      <c r="H10618" t="s">
        <v>28214</v>
      </c>
      <c r="I10618" t="s">
        <v>3797</v>
      </c>
      <c r="J10618" t="s">
        <v>34433</v>
      </c>
      <c r="K10618" t="s">
        <v>36854</v>
      </c>
      <c r="M10618" t="s">
        <v>37110</v>
      </c>
      <c r="N10618" t="s">
        <v>40436</v>
      </c>
      <c r="O10618" t="s">
        <v>40437</v>
      </c>
      <c r="P10618">
        <v>0</v>
      </c>
      <c r="Q10618">
        <v>4</v>
      </c>
      <c r="R10618" t="s">
        <v>40451</v>
      </c>
      <c r="S10618" t="s">
        <v>41005</v>
      </c>
      <c r="T10618" t="s">
        <v>42480</v>
      </c>
      <c r="U10618" t="s">
        <v>51458</v>
      </c>
      <c r="V10618" t="s">
        <v>53806</v>
      </c>
      <c r="W10618" t="s">
        <v>55432</v>
      </c>
      <c r="X10618" t="s">
        <v>40452</v>
      </c>
    </row>
    <row r="10619" spans="1:24">
      <c r="A10619">
        <f>HYPERLINK("https://www.philgeps.gov.ph/GEPSNONPILOT/Tender/SplashBidNoticeAbstractUI.aspx?menuIndex=3&amp;refID=7024325&amp;Result=3","7024325")</f>
        <v>0</v>
      </c>
      <c r="B10619" t="s">
        <v>105</v>
      </c>
      <c r="C10619" t="s">
        <v>13218</v>
      </c>
      <c r="D10619" t="s">
        <v>16233</v>
      </c>
      <c r="E10619" t="s">
        <v>25513</v>
      </c>
      <c r="F10619" t="s">
        <v>28198</v>
      </c>
      <c r="G10619" t="s">
        <v>28210</v>
      </c>
      <c r="H10619" t="s">
        <v>28215</v>
      </c>
      <c r="I10619" t="s">
        <v>4200</v>
      </c>
      <c r="J10619" t="s">
        <v>34901</v>
      </c>
      <c r="K10619" t="s">
        <v>36701</v>
      </c>
      <c r="M10619" t="s">
        <v>39589</v>
      </c>
      <c r="N10619" t="s">
        <v>40436</v>
      </c>
      <c r="O10619" t="s">
        <v>40437</v>
      </c>
      <c r="P10619">
        <v>0</v>
      </c>
      <c r="Q10619">
        <v>5</v>
      </c>
      <c r="R10619" t="s">
        <v>40451</v>
      </c>
      <c r="S10619" t="s">
        <v>41005</v>
      </c>
      <c r="T10619" t="s">
        <v>42218</v>
      </c>
      <c r="U10619" t="s">
        <v>51459</v>
      </c>
      <c r="W10619" t="s">
        <v>39589</v>
      </c>
      <c r="X10619" t="s">
        <v>40452</v>
      </c>
    </row>
    <row r="10620" spans="1:24">
      <c r="A10620">
        <f>HYPERLINK("https://www.philgeps.gov.ph/GEPSNONPILOT/Tender/SplashBidNoticeAbstractUI.aspx?menuIndex=3&amp;refID=7024305&amp;Result=3","7024305")</f>
        <v>0</v>
      </c>
      <c r="B10620" t="s">
        <v>1151</v>
      </c>
      <c r="C10620" t="s">
        <v>13219</v>
      </c>
      <c r="D10620" t="s">
        <v>16263</v>
      </c>
      <c r="E10620" t="s">
        <v>25514</v>
      </c>
      <c r="F10620" t="s">
        <v>28198</v>
      </c>
      <c r="G10620" t="s">
        <v>28205</v>
      </c>
      <c r="H10620" t="s">
        <v>28214</v>
      </c>
      <c r="I10620" t="s">
        <v>3797</v>
      </c>
      <c r="J10620" t="s">
        <v>31508</v>
      </c>
      <c r="K10620" t="s">
        <v>36694</v>
      </c>
      <c r="M10620" t="s">
        <v>38191</v>
      </c>
      <c r="N10620" t="s">
        <v>40436</v>
      </c>
      <c r="O10620" t="s">
        <v>40437</v>
      </c>
      <c r="P10620">
        <v>0</v>
      </c>
      <c r="Q10620">
        <v>1</v>
      </c>
      <c r="R10620" t="s">
        <v>40451</v>
      </c>
      <c r="S10620" t="s">
        <v>41005</v>
      </c>
      <c r="T10620" t="s">
        <v>42133</v>
      </c>
      <c r="U10620" t="s">
        <v>51460</v>
      </c>
      <c r="W10620" t="s">
        <v>38191</v>
      </c>
      <c r="X10620" t="s">
        <v>40452</v>
      </c>
    </row>
    <row r="10621" spans="1:24">
      <c r="A10621">
        <f>HYPERLINK("https://www.philgeps.gov.ph/GEPSNONPILOT/Tender/SplashBidNoticeAbstractUI.aspx?menuIndex=3&amp;refID=7024366&amp;Result=3","7024366")</f>
        <v>0</v>
      </c>
      <c r="B10621" t="s">
        <v>2816</v>
      </c>
      <c r="C10621" t="s">
        <v>13220</v>
      </c>
      <c r="D10621" t="s">
        <v>16217</v>
      </c>
      <c r="E10621" t="s">
        <v>25515</v>
      </c>
      <c r="F10621" t="s">
        <v>28198</v>
      </c>
      <c r="G10621" t="s">
        <v>28205</v>
      </c>
      <c r="H10621" t="s">
        <v>28214</v>
      </c>
      <c r="I10621" t="s">
        <v>3797</v>
      </c>
      <c r="J10621" t="s">
        <v>28363</v>
      </c>
      <c r="K10621" t="s">
        <v>36792</v>
      </c>
      <c r="M10621" t="s">
        <v>40067</v>
      </c>
      <c r="N10621" t="s">
        <v>40436</v>
      </c>
      <c r="O10621" t="s">
        <v>40437</v>
      </c>
      <c r="P10621">
        <v>0</v>
      </c>
      <c r="Q10621">
        <v>1</v>
      </c>
      <c r="R10621" t="s">
        <v>40451</v>
      </c>
      <c r="S10621" t="s">
        <v>41005</v>
      </c>
      <c r="T10621" t="s">
        <v>42112</v>
      </c>
      <c r="U10621" t="s">
        <v>51457</v>
      </c>
      <c r="V10621" t="s">
        <v>54949</v>
      </c>
      <c r="W10621" t="s">
        <v>55534</v>
      </c>
      <c r="X10621" t="s">
        <v>40452</v>
      </c>
    </row>
    <row r="10622" spans="1:24">
      <c r="A10622">
        <f>HYPERLINK("https://www.philgeps.gov.ph/GEPSNONPILOT/Tender/SplashBidNoticeAbstractUI.aspx?menuIndex=3&amp;refID=7024346&amp;Result=3","7024346")</f>
        <v>0</v>
      </c>
      <c r="B10622" t="s">
        <v>249</v>
      </c>
      <c r="C10622" t="s">
        <v>13221</v>
      </c>
      <c r="D10622" t="s">
        <v>16254</v>
      </c>
      <c r="E10622" t="s">
        <v>25516</v>
      </c>
      <c r="F10622" t="s">
        <v>28198</v>
      </c>
      <c r="G10622" t="s">
        <v>28205</v>
      </c>
      <c r="H10622" t="s">
        <v>28215</v>
      </c>
      <c r="I10622" t="s">
        <v>28222</v>
      </c>
      <c r="J10622" t="s">
        <v>31303</v>
      </c>
      <c r="K10622" t="s">
        <v>36688</v>
      </c>
      <c r="L10622" t="s">
        <v>249</v>
      </c>
      <c r="M10622" t="s">
        <v>37225</v>
      </c>
      <c r="N10622" t="s">
        <v>40436</v>
      </c>
      <c r="O10622" t="s">
        <v>40437</v>
      </c>
      <c r="P10622">
        <v>0</v>
      </c>
      <c r="Q10622">
        <v>3</v>
      </c>
      <c r="R10622" t="s">
        <v>40451</v>
      </c>
      <c r="S10622" t="s">
        <v>41005</v>
      </c>
      <c r="T10622" t="s">
        <v>42320</v>
      </c>
      <c r="U10622" t="s">
        <v>51461</v>
      </c>
      <c r="V10622" t="s">
        <v>54750</v>
      </c>
      <c r="W10622" t="s">
        <v>37225</v>
      </c>
      <c r="X10622" t="s">
        <v>40452</v>
      </c>
    </row>
    <row r="10623" spans="1:24">
      <c r="A10623">
        <f>HYPERLINK("https://www.philgeps.gov.ph/GEPSNONPILOT/Tender/SplashBidNoticeAbstractUI.aspx?menuIndex=3&amp;refID=7024280&amp;Result=3","7024280")</f>
        <v>0</v>
      </c>
      <c r="B10623" t="s">
        <v>64</v>
      </c>
      <c r="C10623" t="s">
        <v>13222</v>
      </c>
      <c r="D10623" t="s">
        <v>16201</v>
      </c>
      <c r="E10623" t="s">
        <v>25517</v>
      </c>
      <c r="F10623" t="s">
        <v>28198</v>
      </c>
      <c r="G10623" t="s">
        <v>28205</v>
      </c>
      <c r="H10623" t="s">
        <v>28216</v>
      </c>
      <c r="I10623" t="s">
        <v>28216</v>
      </c>
      <c r="J10623" t="s">
        <v>34902</v>
      </c>
      <c r="K10623" t="s">
        <v>36764</v>
      </c>
      <c r="M10623" t="s">
        <v>37035</v>
      </c>
      <c r="N10623" t="s">
        <v>40436</v>
      </c>
      <c r="O10623" t="s">
        <v>40437</v>
      </c>
      <c r="P10623">
        <v>0</v>
      </c>
      <c r="Q10623">
        <v>3</v>
      </c>
      <c r="R10623" t="s">
        <v>40451</v>
      </c>
      <c r="S10623" t="s">
        <v>41005</v>
      </c>
      <c r="T10623" t="s">
        <v>42134</v>
      </c>
      <c r="U10623" t="s">
        <v>51453</v>
      </c>
      <c r="W10623" t="s">
        <v>37035</v>
      </c>
      <c r="X10623" t="s">
        <v>40452</v>
      </c>
    </row>
    <row r="10624" spans="1:24">
      <c r="A10624">
        <f>HYPERLINK("https://www.philgeps.gov.ph/GEPSNONPILOT/Tender/SplashBidNoticeAbstractUI.aspx?menuIndex=3&amp;refID=7024383&amp;Result=3","7024383")</f>
        <v>0</v>
      </c>
      <c r="B10624" t="s">
        <v>2726</v>
      </c>
      <c r="C10624" t="s">
        <v>13223</v>
      </c>
      <c r="D10624" t="s">
        <v>16201</v>
      </c>
      <c r="E10624" t="s">
        <v>25518</v>
      </c>
      <c r="F10624" t="s">
        <v>28198</v>
      </c>
      <c r="G10624" t="s">
        <v>28207</v>
      </c>
      <c r="H10624" t="s">
        <v>28215</v>
      </c>
      <c r="I10624" t="s">
        <v>4200</v>
      </c>
      <c r="J10624" t="s">
        <v>28354</v>
      </c>
      <c r="K10624" t="s">
        <v>36701</v>
      </c>
      <c r="M10624" t="s">
        <v>39972</v>
      </c>
      <c r="N10624" t="s">
        <v>40436</v>
      </c>
      <c r="O10624" t="s">
        <v>40437</v>
      </c>
      <c r="Q10624">
        <v>0</v>
      </c>
      <c r="R10624" t="s">
        <v>40451</v>
      </c>
      <c r="S10624" t="s">
        <v>41031</v>
      </c>
      <c r="T10624" t="s">
        <v>42169</v>
      </c>
      <c r="U10624" t="s">
        <v>50866</v>
      </c>
      <c r="V10624" t="s">
        <v>54863</v>
      </c>
      <c r="W10624" t="s">
        <v>39972</v>
      </c>
      <c r="X10624" t="s">
        <v>40452</v>
      </c>
    </row>
    <row r="10625" spans="1:24">
      <c r="A10625">
        <f>HYPERLINK("https://www.philgeps.gov.ph/GEPSNONPILOT/Tender/SplashBidNoticeAbstractUI.aspx?menuIndex=3&amp;refID=7024412&amp;Result=3","7024412")</f>
        <v>0</v>
      </c>
      <c r="B10625" t="s">
        <v>2817</v>
      </c>
      <c r="C10625" t="s">
        <v>13224</v>
      </c>
      <c r="D10625" t="s">
        <v>16199</v>
      </c>
      <c r="E10625" t="s">
        <v>25519</v>
      </c>
      <c r="F10625" t="s">
        <v>28198</v>
      </c>
      <c r="G10625" t="s">
        <v>28205</v>
      </c>
      <c r="H10625" t="s">
        <v>28215</v>
      </c>
      <c r="I10625" t="s">
        <v>28222</v>
      </c>
      <c r="J10625" t="s">
        <v>28432</v>
      </c>
      <c r="K10625" t="s">
        <v>36696</v>
      </c>
      <c r="M10625" t="s">
        <v>40068</v>
      </c>
      <c r="N10625" t="s">
        <v>40436</v>
      </c>
      <c r="O10625" t="s">
        <v>40437</v>
      </c>
      <c r="P10625">
        <v>0</v>
      </c>
      <c r="Q10625">
        <v>6</v>
      </c>
      <c r="R10625" t="s">
        <v>40451</v>
      </c>
      <c r="S10625" t="s">
        <v>41005</v>
      </c>
      <c r="T10625" t="s">
        <v>42103</v>
      </c>
      <c r="U10625" t="s">
        <v>51462</v>
      </c>
      <c r="V10625" t="s">
        <v>54950</v>
      </c>
      <c r="W10625" t="s">
        <v>40068</v>
      </c>
      <c r="X10625" t="s">
        <v>40452</v>
      </c>
    </row>
    <row r="10626" spans="1:24">
      <c r="A10626">
        <f>HYPERLINK("https://www.philgeps.gov.ph/GEPSNONPILOT/Tender/SplashBidNoticeAbstractUI.aspx?menuIndex=3&amp;refID=7024460&amp;Result=3","7024460")</f>
        <v>0</v>
      </c>
      <c r="B10626" t="s">
        <v>1215</v>
      </c>
      <c r="C10626" t="s">
        <v>13225</v>
      </c>
      <c r="D10626" t="s">
        <v>16238</v>
      </c>
      <c r="E10626" t="s">
        <v>25520</v>
      </c>
      <c r="F10626" t="s">
        <v>28198</v>
      </c>
      <c r="G10626" t="s">
        <v>28205</v>
      </c>
      <c r="H10626" t="s">
        <v>28214</v>
      </c>
      <c r="I10626" t="s">
        <v>3797</v>
      </c>
      <c r="J10626" t="s">
        <v>34903</v>
      </c>
      <c r="K10626" t="s">
        <v>36694</v>
      </c>
      <c r="M10626" t="s">
        <v>39334</v>
      </c>
      <c r="N10626" t="s">
        <v>40436</v>
      </c>
      <c r="O10626" t="s">
        <v>40437</v>
      </c>
      <c r="P10626">
        <v>0</v>
      </c>
      <c r="Q10626">
        <v>0</v>
      </c>
      <c r="R10626" t="s">
        <v>40451</v>
      </c>
      <c r="S10626" t="s">
        <v>41005</v>
      </c>
      <c r="T10626" t="s">
        <v>42225</v>
      </c>
      <c r="U10626" t="s">
        <v>51463</v>
      </c>
      <c r="W10626" t="s">
        <v>39334</v>
      </c>
      <c r="X10626" t="s">
        <v>40452</v>
      </c>
    </row>
    <row r="10627" spans="1:24">
      <c r="A10627">
        <f>HYPERLINK("https://www.philgeps.gov.ph/GEPSNONPILOT/Tender/SplashBidNoticeAbstractUI.aspx?menuIndex=3&amp;refID=7024401&amp;Result=3","7024401")</f>
        <v>0</v>
      </c>
      <c r="B10627" t="s">
        <v>1215</v>
      </c>
      <c r="C10627" t="s">
        <v>13226</v>
      </c>
      <c r="D10627" t="s">
        <v>16238</v>
      </c>
      <c r="E10627" t="s">
        <v>25521</v>
      </c>
      <c r="F10627" t="s">
        <v>28198</v>
      </c>
      <c r="G10627" t="s">
        <v>28205</v>
      </c>
      <c r="H10627" t="s">
        <v>28214</v>
      </c>
      <c r="I10627" t="s">
        <v>3797</v>
      </c>
      <c r="J10627" t="s">
        <v>34904</v>
      </c>
      <c r="K10627" t="s">
        <v>36770</v>
      </c>
      <c r="M10627" t="s">
        <v>39334</v>
      </c>
      <c r="N10627" t="s">
        <v>40436</v>
      </c>
      <c r="O10627" t="s">
        <v>40437</v>
      </c>
      <c r="P10627">
        <v>0</v>
      </c>
      <c r="Q10627">
        <v>1</v>
      </c>
      <c r="R10627" t="s">
        <v>40451</v>
      </c>
      <c r="S10627" t="s">
        <v>41005</v>
      </c>
      <c r="T10627" t="s">
        <v>42225</v>
      </c>
      <c r="U10627" t="s">
        <v>51464</v>
      </c>
      <c r="W10627" t="s">
        <v>39334</v>
      </c>
      <c r="X10627" t="s">
        <v>40452</v>
      </c>
    </row>
    <row r="10628" spans="1:24">
      <c r="A10628">
        <f>HYPERLINK("https://www.philgeps.gov.ph/GEPSNONPILOT/Tender/SplashBidNoticeAbstractUI.aspx?menuIndex=3&amp;refID=7024397&amp;Result=3","7024397")</f>
        <v>0</v>
      </c>
      <c r="B10628" t="s">
        <v>1233</v>
      </c>
      <c r="C10628" t="s">
        <v>13227</v>
      </c>
      <c r="D10628" t="s">
        <v>16200</v>
      </c>
      <c r="E10628" t="s">
        <v>25522</v>
      </c>
      <c r="F10628" t="s">
        <v>28198</v>
      </c>
      <c r="G10628" t="s">
        <v>28205</v>
      </c>
      <c r="H10628" t="s">
        <v>28214</v>
      </c>
      <c r="I10628" t="s">
        <v>3797</v>
      </c>
      <c r="J10628" t="s">
        <v>34905</v>
      </c>
      <c r="K10628" t="s">
        <v>36689</v>
      </c>
      <c r="M10628" t="s">
        <v>38282</v>
      </c>
      <c r="N10628" t="s">
        <v>40436</v>
      </c>
      <c r="O10628" t="s">
        <v>40437</v>
      </c>
      <c r="P10628">
        <v>0</v>
      </c>
      <c r="Q10628">
        <v>3</v>
      </c>
      <c r="R10628" t="s">
        <v>40451</v>
      </c>
      <c r="S10628" t="s">
        <v>41005</v>
      </c>
      <c r="T10628" t="s">
        <v>42229</v>
      </c>
      <c r="U10628" t="s">
        <v>51465</v>
      </c>
      <c r="W10628" t="s">
        <v>38282</v>
      </c>
      <c r="X10628" t="s">
        <v>40452</v>
      </c>
    </row>
    <row r="10629" spans="1:24">
      <c r="A10629">
        <f>HYPERLINK("https://www.philgeps.gov.ph/GEPSNONPILOT/Tender/SplashBidNoticeAbstractUI.aspx?menuIndex=3&amp;refID=7024131&amp;Result=3","7024131")</f>
        <v>0</v>
      </c>
      <c r="B10629" t="s">
        <v>2380</v>
      </c>
      <c r="C10629" t="s">
        <v>13228</v>
      </c>
      <c r="D10629" t="s">
        <v>16239</v>
      </c>
      <c r="E10629" t="s">
        <v>25523</v>
      </c>
      <c r="F10629" t="s">
        <v>28198</v>
      </c>
      <c r="G10629" t="s">
        <v>28205</v>
      </c>
      <c r="H10629" t="s">
        <v>28214</v>
      </c>
      <c r="I10629" t="s">
        <v>3797</v>
      </c>
      <c r="J10629" t="s">
        <v>34906</v>
      </c>
      <c r="K10629" t="s">
        <v>36694</v>
      </c>
      <c r="M10629" t="s">
        <v>39563</v>
      </c>
      <c r="N10629" t="s">
        <v>40436</v>
      </c>
      <c r="O10629" t="s">
        <v>40437</v>
      </c>
      <c r="P10629">
        <v>0</v>
      </c>
      <c r="Q10629">
        <v>0</v>
      </c>
      <c r="R10629" t="s">
        <v>40451</v>
      </c>
      <c r="S10629" t="s">
        <v>41005</v>
      </c>
      <c r="T10629" t="s">
        <v>42133</v>
      </c>
      <c r="U10629" t="s">
        <v>51466</v>
      </c>
      <c r="W10629" t="s">
        <v>39563</v>
      </c>
      <c r="X10629" t="s">
        <v>40453</v>
      </c>
    </row>
    <row r="10630" spans="1:24">
      <c r="A10630">
        <f>HYPERLINK("https://www.philgeps.gov.ph/GEPSNONPILOT/Tender/SplashBidNoticeAbstractUI.aspx?menuIndex=3&amp;refID=7024528&amp;Result=3","7024528")</f>
        <v>0</v>
      </c>
      <c r="B10630" t="s">
        <v>2818</v>
      </c>
      <c r="C10630" t="s">
        <v>13229</v>
      </c>
      <c r="D10630" t="s">
        <v>16265</v>
      </c>
      <c r="E10630" t="s">
        <v>25524</v>
      </c>
      <c r="F10630" t="s">
        <v>28198</v>
      </c>
      <c r="G10630" t="s">
        <v>28205</v>
      </c>
      <c r="H10630" t="s">
        <v>28214</v>
      </c>
      <c r="I10630" t="s">
        <v>3797</v>
      </c>
      <c r="J10630" t="s">
        <v>34907</v>
      </c>
      <c r="K10630" t="s">
        <v>36737</v>
      </c>
      <c r="M10630" t="s">
        <v>40069</v>
      </c>
      <c r="N10630" t="s">
        <v>40436</v>
      </c>
      <c r="O10630" t="s">
        <v>40437</v>
      </c>
      <c r="P10630">
        <v>0</v>
      </c>
      <c r="Q10630">
        <v>5</v>
      </c>
      <c r="R10630" t="s">
        <v>40451</v>
      </c>
      <c r="S10630" t="s">
        <v>41005</v>
      </c>
      <c r="T10630" t="s">
        <v>42279</v>
      </c>
      <c r="U10630" t="s">
        <v>51467</v>
      </c>
      <c r="W10630" t="s">
        <v>40069</v>
      </c>
      <c r="X10630" t="s">
        <v>40452</v>
      </c>
    </row>
    <row r="10631" spans="1:24">
      <c r="A10631">
        <f>HYPERLINK("https://www.philgeps.gov.ph/GEPSNONPILOT/Tender/SplashBidNoticeAbstractUI.aspx?menuIndex=3&amp;refID=7024394&amp;Result=3","7024394")</f>
        <v>0</v>
      </c>
      <c r="B10631" t="s">
        <v>2816</v>
      </c>
      <c r="C10631" t="s">
        <v>13230</v>
      </c>
      <c r="D10631" t="s">
        <v>16217</v>
      </c>
      <c r="E10631" t="s">
        <v>25525</v>
      </c>
      <c r="F10631" t="s">
        <v>28198</v>
      </c>
      <c r="G10631" t="s">
        <v>28205</v>
      </c>
      <c r="H10631" t="s">
        <v>28214</v>
      </c>
      <c r="I10631" t="s">
        <v>3797</v>
      </c>
      <c r="J10631" t="s">
        <v>34908</v>
      </c>
      <c r="K10631" t="s">
        <v>36694</v>
      </c>
      <c r="M10631" t="s">
        <v>40067</v>
      </c>
      <c r="N10631" t="s">
        <v>40436</v>
      </c>
      <c r="O10631" t="s">
        <v>40437</v>
      </c>
      <c r="P10631">
        <v>0</v>
      </c>
      <c r="Q10631">
        <v>0</v>
      </c>
      <c r="R10631" t="s">
        <v>40451</v>
      </c>
      <c r="S10631" t="s">
        <v>41005</v>
      </c>
      <c r="T10631" t="s">
        <v>42112</v>
      </c>
      <c r="U10631" t="s">
        <v>51468</v>
      </c>
      <c r="V10631" t="s">
        <v>54949</v>
      </c>
      <c r="W10631" t="s">
        <v>55534</v>
      </c>
      <c r="X10631" t="s">
        <v>40452</v>
      </c>
    </row>
    <row r="10632" spans="1:24">
      <c r="A10632">
        <f>HYPERLINK("https://www.philgeps.gov.ph/GEPSNONPILOT/Tender/SplashBidNoticeAbstractUI.aspx?menuIndex=3&amp;refID=7024390&amp;Result=3","7024390")</f>
        <v>0</v>
      </c>
      <c r="B10632" t="s">
        <v>136</v>
      </c>
      <c r="C10632" t="s">
        <v>13231</v>
      </c>
      <c r="E10632" t="s">
        <v>25526</v>
      </c>
      <c r="F10632" t="s">
        <v>28198</v>
      </c>
      <c r="G10632" t="s">
        <v>28205</v>
      </c>
      <c r="H10632" t="s">
        <v>28214</v>
      </c>
      <c r="I10632" t="s">
        <v>3797</v>
      </c>
      <c r="J10632" t="s">
        <v>34909</v>
      </c>
      <c r="K10632" t="s">
        <v>36722</v>
      </c>
      <c r="M10632" t="s">
        <v>37110</v>
      </c>
      <c r="N10632" t="s">
        <v>40436</v>
      </c>
      <c r="O10632" t="s">
        <v>40437</v>
      </c>
      <c r="P10632">
        <v>0</v>
      </c>
      <c r="Q10632">
        <v>5</v>
      </c>
      <c r="R10632" t="s">
        <v>40451</v>
      </c>
      <c r="S10632" t="s">
        <v>41005</v>
      </c>
      <c r="T10632" t="s">
        <v>42192</v>
      </c>
      <c r="U10632" t="s">
        <v>51469</v>
      </c>
      <c r="V10632" t="s">
        <v>53806</v>
      </c>
      <c r="W10632" t="s">
        <v>55432</v>
      </c>
      <c r="X10632" t="s">
        <v>40452</v>
      </c>
    </row>
    <row r="10633" spans="1:24">
      <c r="A10633">
        <f>HYPERLINK("https://www.philgeps.gov.ph/GEPSNONPILOT/Tender/SplashBidNoticeAbstractUI.aspx?menuIndex=3&amp;refID=7024429&amp;Result=3","7024429")</f>
        <v>0</v>
      </c>
      <c r="B10633" t="s">
        <v>1215</v>
      </c>
      <c r="C10633" t="s">
        <v>13232</v>
      </c>
      <c r="D10633" t="s">
        <v>16238</v>
      </c>
      <c r="E10633" t="s">
        <v>25527</v>
      </c>
      <c r="F10633" t="s">
        <v>28198</v>
      </c>
      <c r="G10633" t="s">
        <v>28205</v>
      </c>
      <c r="H10633" t="s">
        <v>28214</v>
      </c>
      <c r="I10633" t="s">
        <v>3797</v>
      </c>
      <c r="J10633" t="s">
        <v>32450</v>
      </c>
      <c r="K10633" t="s">
        <v>36817</v>
      </c>
      <c r="M10633" t="s">
        <v>39334</v>
      </c>
      <c r="N10633" t="s">
        <v>40436</v>
      </c>
      <c r="O10633" t="s">
        <v>40437</v>
      </c>
      <c r="P10633">
        <v>0</v>
      </c>
      <c r="Q10633">
        <v>0</v>
      </c>
      <c r="R10633" t="s">
        <v>40451</v>
      </c>
      <c r="S10633" t="s">
        <v>41005</v>
      </c>
      <c r="T10633" t="s">
        <v>42225</v>
      </c>
      <c r="U10633" t="s">
        <v>51470</v>
      </c>
      <c r="W10633" t="s">
        <v>39334</v>
      </c>
      <c r="X10633" t="s">
        <v>40452</v>
      </c>
    </row>
    <row r="10634" spans="1:24">
      <c r="A10634">
        <f>HYPERLINK("https://www.philgeps.gov.ph/GEPSNONPILOT/Tender/SplashBidNoticeAbstractUI.aspx?menuIndex=3&amp;refID=7024490&amp;Result=3","7024490")</f>
        <v>0</v>
      </c>
      <c r="B10634" t="s">
        <v>2698</v>
      </c>
      <c r="C10634" t="s">
        <v>13233</v>
      </c>
      <c r="D10634" t="s">
        <v>16194</v>
      </c>
      <c r="E10634" t="s">
        <v>25528</v>
      </c>
      <c r="F10634" t="s">
        <v>28198</v>
      </c>
      <c r="G10634" t="s">
        <v>28205</v>
      </c>
      <c r="H10634" t="s">
        <v>28215</v>
      </c>
      <c r="I10634" t="s">
        <v>28241</v>
      </c>
      <c r="J10634" t="s">
        <v>28699</v>
      </c>
      <c r="K10634" t="s">
        <v>36689</v>
      </c>
      <c r="M10634" t="s">
        <v>39937</v>
      </c>
      <c r="N10634" t="s">
        <v>40436</v>
      </c>
      <c r="O10634" t="s">
        <v>40437</v>
      </c>
      <c r="P10634">
        <v>0</v>
      </c>
      <c r="Q10634">
        <v>2</v>
      </c>
      <c r="R10634" t="s">
        <v>40451</v>
      </c>
      <c r="S10634" t="s">
        <v>41005</v>
      </c>
      <c r="T10634" t="s">
        <v>42275</v>
      </c>
      <c r="U10634" t="s">
        <v>51471</v>
      </c>
      <c r="W10634" t="s">
        <v>39937</v>
      </c>
      <c r="X10634" t="s">
        <v>40452</v>
      </c>
    </row>
    <row r="10635" spans="1:24">
      <c r="A10635">
        <f>HYPERLINK("https://www.philgeps.gov.ph/GEPSNONPILOT/Tender/SplashBidNoticeAbstractUI.aspx?menuIndex=3&amp;refID=7024615&amp;Result=3","7024615")</f>
        <v>0</v>
      </c>
      <c r="B10635" t="s">
        <v>2531</v>
      </c>
      <c r="C10635" t="s">
        <v>13234</v>
      </c>
      <c r="D10635" t="s">
        <v>16207</v>
      </c>
      <c r="E10635" t="s">
        <v>25529</v>
      </c>
      <c r="F10635" t="s">
        <v>28198</v>
      </c>
      <c r="G10635" t="s">
        <v>28205</v>
      </c>
      <c r="H10635" t="s">
        <v>28215</v>
      </c>
      <c r="I10635" t="s">
        <v>8888</v>
      </c>
      <c r="J10635" t="s">
        <v>34910</v>
      </c>
      <c r="K10635" t="s">
        <v>36695</v>
      </c>
      <c r="M10635" t="s">
        <v>39740</v>
      </c>
      <c r="N10635" t="s">
        <v>40436</v>
      </c>
      <c r="O10635" t="s">
        <v>40437</v>
      </c>
      <c r="P10635">
        <v>0</v>
      </c>
      <c r="Q10635">
        <v>6</v>
      </c>
      <c r="R10635" t="s">
        <v>40451</v>
      </c>
      <c r="S10635" t="s">
        <v>41005</v>
      </c>
      <c r="T10635" t="s">
        <v>42112</v>
      </c>
      <c r="U10635" t="s">
        <v>51472</v>
      </c>
      <c r="W10635" t="s">
        <v>55519</v>
      </c>
      <c r="X10635" t="s">
        <v>40452</v>
      </c>
    </row>
    <row r="10636" spans="1:24">
      <c r="A10636">
        <f>HYPERLINK("https://www.philgeps.gov.ph/GEPSNONPILOT/Tender/SplashBidNoticeAbstractUI.aspx?menuIndex=3&amp;refID=7024385&amp;Result=3","7024385")</f>
        <v>0</v>
      </c>
      <c r="B10636" t="s">
        <v>2816</v>
      </c>
      <c r="C10636" t="s">
        <v>13235</v>
      </c>
      <c r="D10636" t="s">
        <v>16217</v>
      </c>
      <c r="E10636" t="s">
        <v>25530</v>
      </c>
      <c r="F10636" t="s">
        <v>28198</v>
      </c>
      <c r="G10636" t="s">
        <v>28205</v>
      </c>
      <c r="H10636" t="s">
        <v>28214</v>
      </c>
      <c r="I10636" t="s">
        <v>3797</v>
      </c>
      <c r="J10636" t="s">
        <v>28645</v>
      </c>
      <c r="K10636" t="s">
        <v>36827</v>
      </c>
      <c r="M10636" t="s">
        <v>40067</v>
      </c>
      <c r="N10636" t="s">
        <v>40436</v>
      </c>
      <c r="O10636" t="s">
        <v>40437</v>
      </c>
      <c r="P10636">
        <v>0</v>
      </c>
      <c r="Q10636">
        <v>0</v>
      </c>
      <c r="R10636" t="s">
        <v>40451</v>
      </c>
      <c r="S10636" t="s">
        <v>41005</v>
      </c>
      <c r="T10636" t="s">
        <v>42112</v>
      </c>
      <c r="U10636" t="s">
        <v>51468</v>
      </c>
      <c r="V10636" t="s">
        <v>54949</v>
      </c>
      <c r="W10636" t="s">
        <v>55534</v>
      </c>
      <c r="X10636" t="s">
        <v>40452</v>
      </c>
    </row>
    <row r="10637" spans="1:24">
      <c r="A10637">
        <f>HYPERLINK("https://www.philgeps.gov.ph/GEPSNONPILOT/Tender/SplashBidNoticeAbstractUI.aspx?menuIndex=3&amp;refID=7024577&amp;Result=3","7024577")</f>
        <v>0</v>
      </c>
      <c r="B10637" t="s">
        <v>2759</v>
      </c>
      <c r="C10637" t="s">
        <v>7963</v>
      </c>
      <c r="D10637" t="s">
        <v>16218</v>
      </c>
      <c r="E10637" t="s">
        <v>16473</v>
      </c>
      <c r="F10637" t="s">
        <v>28198</v>
      </c>
      <c r="G10637" t="s">
        <v>28205</v>
      </c>
      <c r="H10637" t="s">
        <v>28215</v>
      </c>
      <c r="I10637" t="s">
        <v>28238</v>
      </c>
      <c r="J10637" t="s">
        <v>34911</v>
      </c>
      <c r="K10637" t="s">
        <v>36706</v>
      </c>
      <c r="M10637" t="s">
        <v>40008</v>
      </c>
      <c r="N10637" t="s">
        <v>40436</v>
      </c>
      <c r="O10637" t="s">
        <v>40437</v>
      </c>
      <c r="P10637">
        <v>0</v>
      </c>
      <c r="Q10637">
        <v>6</v>
      </c>
      <c r="R10637" t="s">
        <v>40451</v>
      </c>
      <c r="S10637" t="s">
        <v>41005</v>
      </c>
      <c r="T10637" t="s">
        <v>42134</v>
      </c>
      <c r="U10637" t="s">
        <v>51473</v>
      </c>
      <c r="V10637" t="s">
        <v>54951</v>
      </c>
      <c r="W10637" t="s">
        <v>40008</v>
      </c>
      <c r="X10637" t="s">
        <v>40452</v>
      </c>
    </row>
    <row r="10638" spans="1:24">
      <c r="A10638">
        <f>HYPERLINK("https://www.philgeps.gov.ph/GEPSNONPILOT/Tender/SplashBidNoticeAbstractUI.aspx?menuIndex=3&amp;refID=7024589&amp;Result=3","7024589")</f>
        <v>0</v>
      </c>
      <c r="B10638" t="s">
        <v>2819</v>
      </c>
      <c r="C10638" t="s">
        <v>13236</v>
      </c>
      <c r="D10638" t="s">
        <v>16230</v>
      </c>
      <c r="E10638" t="s">
        <v>25531</v>
      </c>
      <c r="F10638" t="s">
        <v>28198</v>
      </c>
      <c r="G10638" t="s">
        <v>28205</v>
      </c>
      <c r="H10638" t="s">
        <v>28214</v>
      </c>
      <c r="I10638" t="s">
        <v>3797</v>
      </c>
      <c r="J10638" t="s">
        <v>28561</v>
      </c>
      <c r="K10638" t="s">
        <v>36851</v>
      </c>
      <c r="M10638" t="s">
        <v>40070</v>
      </c>
      <c r="N10638" t="s">
        <v>40436</v>
      </c>
      <c r="O10638" t="s">
        <v>40437</v>
      </c>
      <c r="P10638">
        <v>0</v>
      </c>
      <c r="Q10638">
        <v>0</v>
      </c>
      <c r="R10638" t="s">
        <v>40451</v>
      </c>
      <c r="S10638" t="s">
        <v>41005</v>
      </c>
      <c r="T10638" t="s">
        <v>42397</v>
      </c>
      <c r="U10638" t="s">
        <v>51474</v>
      </c>
      <c r="W10638" t="s">
        <v>40070</v>
      </c>
      <c r="X10638" t="s">
        <v>40452</v>
      </c>
    </row>
    <row r="10639" spans="1:24">
      <c r="A10639">
        <f>HYPERLINK("https://www.philgeps.gov.ph/GEPSNONPILOT/Tender/SplashBidNoticeAbstractUI.aspx?menuIndex=3&amp;refID=7024631&amp;Result=3","7024631")</f>
        <v>0</v>
      </c>
      <c r="B10639" t="s">
        <v>2531</v>
      </c>
      <c r="C10639" t="s">
        <v>13237</v>
      </c>
      <c r="D10639" t="s">
        <v>16207</v>
      </c>
      <c r="E10639" t="s">
        <v>25532</v>
      </c>
      <c r="F10639" t="s">
        <v>28198</v>
      </c>
      <c r="G10639" t="s">
        <v>28205</v>
      </c>
      <c r="H10639" t="s">
        <v>28215</v>
      </c>
      <c r="I10639" t="s">
        <v>8888</v>
      </c>
      <c r="J10639" t="s">
        <v>32960</v>
      </c>
      <c r="K10639" t="s">
        <v>36696</v>
      </c>
      <c r="M10639" t="s">
        <v>39740</v>
      </c>
      <c r="N10639" t="s">
        <v>40436</v>
      </c>
      <c r="O10639" t="s">
        <v>40437</v>
      </c>
      <c r="P10639">
        <v>0</v>
      </c>
      <c r="Q10639">
        <v>4</v>
      </c>
      <c r="R10639" t="s">
        <v>40451</v>
      </c>
      <c r="S10639" t="s">
        <v>41005</v>
      </c>
      <c r="T10639" t="s">
        <v>42112</v>
      </c>
      <c r="U10639" t="s">
        <v>51475</v>
      </c>
      <c r="W10639" t="s">
        <v>55519</v>
      </c>
      <c r="X10639" t="s">
        <v>40452</v>
      </c>
    </row>
    <row r="10640" spans="1:24">
      <c r="A10640">
        <f>HYPERLINK("https://www.philgeps.gov.ph/GEPSNONPILOT/Tender/SplashBidNoticeAbstractUI.aspx?menuIndex=3&amp;refID=7024537&amp;Result=3","7024537")</f>
        <v>0</v>
      </c>
      <c r="B10640" t="s">
        <v>2698</v>
      </c>
      <c r="C10640" t="s">
        <v>13238</v>
      </c>
      <c r="D10640" t="s">
        <v>16194</v>
      </c>
      <c r="E10640" t="s">
        <v>25533</v>
      </c>
      <c r="F10640" t="s">
        <v>28198</v>
      </c>
      <c r="G10640" t="s">
        <v>28205</v>
      </c>
      <c r="H10640" t="s">
        <v>28215</v>
      </c>
      <c r="I10640" t="s">
        <v>28257</v>
      </c>
      <c r="J10640" t="s">
        <v>34912</v>
      </c>
      <c r="K10640" t="s">
        <v>36689</v>
      </c>
      <c r="M10640" t="s">
        <v>39937</v>
      </c>
      <c r="N10640" t="s">
        <v>40436</v>
      </c>
      <c r="O10640" t="s">
        <v>40437</v>
      </c>
      <c r="P10640">
        <v>0</v>
      </c>
      <c r="Q10640">
        <v>9</v>
      </c>
      <c r="R10640" t="s">
        <v>40451</v>
      </c>
      <c r="S10640" t="s">
        <v>41005</v>
      </c>
      <c r="T10640" t="s">
        <v>42165</v>
      </c>
      <c r="U10640" t="s">
        <v>51471</v>
      </c>
      <c r="W10640" t="s">
        <v>39937</v>
      </c>
      <c r="X10640" t="s">
        <v>40452</v>
      </c>
    </row>
    <row r="10641" spans="1:24">
      <c r="A10641">
        <f>HYPERLINK("https://www.philgeps.gov.ph/GEPSNONPILOT/Tender/SplashBidNoticeAbstractUI.aspx?menuIndex=3&amp;refID=7024603&amp;Result=3","7024603")</f>
        <v>0</v>
      </c>
      <c r="B10641" t="s">
        <v>2759</v>
      </c>
      <c r="C10641" t="s">
        <v>13239</v>
      </c>
      <c r="D10641" t="s">
        <v>16218</v>
      </c>
      <c r="E10641" t="s">
        <v>16766</v>
      </c>
      <c r="F10641" t="s">
        <v>28198</v>
      </c>
      <c r="G10641" t="s">
        <v>28205</v>
      </c>
      <c r="H10641" t="s">
        <v>28215</v>
      </c>
      <c r="I10641" t="s">
        <v>28258</v>
      </c>
      <c r="J10641" t="s">
        <v>34913</v>
      </c>
      <c r="K10641" t="s">
        <v>36706</v>
      </c>
      <c r="M10641" t="s">
        <v>40008</v>
      </c>
      <c r="N10641" t="s">
        <v>40436</v>
      </c>
      <c r="O10641" t="s">
        <v>40437</v>
      </c>
      <c r="P10641">
        <v>0</v>
      </c>
      <c r="Q10641">
        <v>7</v>
      </c>
      <c r="R10641" t="s">
        <v>40451</v>
      </c>
      <c r="S10641" t="s">
        <v>41005</v>
      </c>
      <c r="T10641" t="s">
        <v>42134</v>
      </c>
      <c r="U10641" t="s">
        <v>51476</v>
      </c>
      <c r="V10641" t="s">
        <v>54952</v>
      </c>
      <c r="W10641" t="s">
        <v>40008</v>
      </c>
      <c r="X10641" t="s">
        <v>40452</v>
      </c>
    </row>
    <row r="10642" spans="1:24">
      <c r="A10642">
        <f>HYPERLINK("https://www.philgeps.gov.ph/GEPSNONPILOT/Tender/SplashBidNoticeAbstractUI.aspx?menuIndex=3&amp;refID=7024670&amp;Result=3","7024670")</f>
        <v>0</v>
      </c>
      <c r="B10642" t="s">
        <v>2759</v>
      </c>
      <c r="C10642" t="s">
        <v>13240</v>
      </c>
      <c r="D10642" t="s">
        <v>16218</v>
      </c>
      <c r="E10642" t="s">
        <v>16639</v>
      </c>
      <c r="F10642" t="s">
        <v>28198</v>
      </c>
      <c r="G10642" t="s">
        <v>28205</v>
      </c>
      <c r="H10642" t="s">
        <v>28215</v>
      </c>
      <c r="I10642" t="s">
        <v>5100</v>
      </c>
      <c r="J10642" t="s">
        <v>34914</v>
      </c>
      <c r="K10642" t="s">
        <v>36706</v>
      </c>
      <c r="M10642" t="s">
        <v>40008</v>
      </c>
      <c r="N10642" t="s">
        <v>40436</v>
      </c>
      <c r="O10642" t="s">
        <v>40437</v>
      </c>
      <c r="P10642">
        <v>0</v>
      </c>
      <c r="Q10642">
        <v>0</v>
      </c>
      <c r="R10642" t="s">
        <v>40451</v>
      </c>
      <c r="S10642" t="s">
        <v>41005</v>
      </c>
      <c r="T10642" t="s">
        <v>42134</v>
      </c>
      <c r="U10642" t="s">
        <v>51477</v>
      </c>
      <c r="V10642" t="s">
        <v>54953</v>
      </c>
      <c r="W10642" t="s">
        <v>40008</v>
      </c>
      <c r="X10642" t="s">
        <v>40452</v>
      </c>
    </row>
    <row r="10643" spans="1:24">
      <c r="A10643">
        <f>HYPERLINK("https://www.philgeps.gov.ph/GEPSNONPILOT/Tender/SplashBidNoticeAbstractUI.aspx?menuIndex=3&amp;refID=7024666&amp;Result=3","7024666")</f>
        <v>0</v>
      </c>
      <c r="B10643" t="s">
        <v>2137</v>
      </c>
      <c r="C10643" t="s">
        <v>13241</v>
      </c>
      <c r="D10643" t="s">
        <v>16195</v>
      </c>
      <c r="E10643" t="s">
        <v>16516</v>
      </c>
      <c r="F10643" t="s">
        <v>28198</v>
      </c>
      <c r="G10643" t="s">
        <v>28205</v>
      </c>
      <c r="H10643" t="s">
        <v>28215</v>
      </c>
      <c r="I10643" t="s">
        <v>28257</v>
      </c>
      <c r="J10643" t="s">
        <v>28373</v>
      </c>
      <c r="K10643" t="s">
        <v>36707</v>
      </c>
      <c r="M10643" t="s">
        <v>39294</v>
      </c>
      <c r="N10643" t="s">
        <v>40436</v>
      </c>
      <c r="O10643" t="s">
        <v>40437</v>
      </c>
      <c r="P10643">
        <v>0</v>
      </c>
      <c r="Q10643">
        <v>0</v>
      </c>
      <c r="R10643" t="s">
        <v>40451</v>
      </c>
      <c r="S10643" t="s">
        <v>41005</v>
      </c>
      <c r="T10643" t="s">
        <v>42228</v>
      </c>
      <c r="U10643" t="s">
        <v>51478</v>
      </c>
      <c r="W10643" t="s">
        <v>39294</v>
      </c>
      <c r="X10643" t="s">
        <v>40452</v>
      </c>
    </row>
    <row r="10644" spans="1:24">
      <c r="A10644">
        <f>HYPERLINK("https://www.philgeps.gov.ph/GEPSNONPILOT/Tender/SplashBidNoticeAbstractUI.aspx?menuIndex=3&amp;refID=7024638&amp;Result=3","7024638")</f>
        <v>0</v>
      </c>
      <c r="B10644" t="s">
        <v>2698</v>
      </c>
      <c r="C10644" t="s">
        <v>13242</v>
      </c>
      <c r="D10644" t="s">
        <v>16194</v>
      </c>
      <c r="E10644" t="s">
        <v>25534</v>
      </c>
      <c r="F10644" t="s">
        <v>28198</v>
      </c>
      <c r="G10644" t="s">
        <v>28205</v>
      </c>
      <c r="H10644" t="s">
        <v>28215</v>
      </c>
      <c r="I10644" t="s">
        <v>28222</v>
      </c>
      <c r="J10644" t="s">
        <v>34915</v>
      </c>
      <c r="K10644" t="s">
        <v>36689</v>
      </c>
      <c r="M10644" t="s">
        <v>39937</v>
      </c>
      <c r="N10644" t="s">
        <v>40436</v>
      </c>
      <c r="O10644" t="s">
        <v>40437</v>
      </c>
      <c r="P10644">
        <v>0</v>
      </c>
      <c r="Q10644">
        <v>13</v>
      </c>
      <c r="R10644" t="s">
        <v>40451</v>
      </c>
      <c r="S10644" t="s">
        <v>41005</v>
      </c>
      <c r="T10644" t="s">
        <v>42275</v>
      </c>
      <c r="U10644" t="s">
        <v>51471</v>
      </c>
      <c r="W10644" t="s">
        <v>39937</v>
      </c>
      <c r="X10644" t="s">
        <v>40452</v>
      </c>
    </row>
    <row r="10645" spans="1:24">
      <c r="A10645">
        <f>HYPERLINK("https://www.philgeps.gov.ph/GEPSNONPILOT/Tender/SplashBidNoticeAbstractUI.aspx?menuIndex=3&amp;refID=7024762&amp;Result=3","7024762")</f>
        <v>0</v>
      </c>
      <c r="B10645" t="s">
        <v>2139</v>
      </c>
      <c r="C10645" t="s">
        <v>13243</v>
      </c>
      <c r="D10645" t="s">
        <v>16251</v>
      </c>
      <c r="E10645" t="s">
        <v>25535</v>
      </c>
      <c r="F10645" t="s">
        <v>28198</v>
      </c>
      <c r="G10645" t="s">
        <v>28205</v>
      </c>
      <c r="H10645" t="s">
        <v>28215</v>
      </c>
      <c r="I10645" t="s">
        <v>28265</v>
      </c>
      <c r="J10645" t="s">
        <v>34916</v>
      </c>
      <c r="K10645" t="s">
        <v>36692</v>
      </c>
      <c r="L10645" t="s">
        <v>2139</v>
      </c>
      <c r="M10645" t="s">
        <v>39296</v>
      </c>
      <c r="N10645" t="s">
        <v>40436</v>
      </c>
      <c r="O10645" t="s">
        <v>40437</v>
      </c>
      <c r="P10645">
        <v>0</v>
      </c>
      <c r="Q10645">
        <v>2</v>
      </c>
      <c r="R10645" t="s">
        <v>40451</v>
      </c>
      <c r="S10645" t="s">
        <v>41005</v>
      </c>
      <c r="T10645" t="s">
        <v>42115</v>
      </c>
      <c r="U10645" t="s">
        <v>51479</v>
      </c>
      <c r="V10645" t="s">
        <v>54954</v>
      </c>
      <c r="W10645" t="s">
        <v>39296</v>
      </c>
      <c r="X10645" t="s">
        <v>40452</v>
      </c>
    </row>
    <row r="10646" spans="1:24">
      <c r="A10646">
        <f>HYPERLINK("https://www.philgeps.gov.ph/GEPSNONPILOT/Tender/SplashBidNoticeAbstractUI.aspx?menuIndex=3&amp;refID=7024590&amp;Result=3","7024590")</f>
        <v>0</v>
      </c>
      <c r="B10646" t="s">
        <v>2531</v>
      </c>
      <c r="C10646" t="s">
        <v>13244</v>
      </c>
      <c r="D10646" t="s">
        <v>16207</v>
      </c>
      <c r="E10646" t="s">
        <v>25536</v>
      </c>
      <c r="F10646" t="s">
        <v>28198</v>
      </c>
      <c r="G10646" t="s">
        <v>28205</v>
      </c>
      <c r="H10646" t="s">
        <v>28215</v>
      </c>
      <c r="I10646" t="s">
        <v>28247</v>
      </c>
      <c r="J10646" t="s">
        <v>31303</v>
      </c>
      <c r="K10646" t="s">
        <v>36696</v>
      </c>
      <c r="M10646" t="s">
        <v>39740</v>
      </c>
      <c r="N10646" t="s">
        <v>40436</v>
      </c>
      <c r="O10646" t="s">
        <v>40437</v>
      </c>
      <c r="P10646">
        <v>0</v>
      </c>
      <c r="Q10646">
        <v>15</v>
      </c>
      <c r="R10646" t="s">
        <v>40451</v>
      </c>
      <c r="S10646" t="s">
        <v>41005</v>
      </c>
      <c r="T10646" t="s">
        <v>42112</v>
      </c>
      <c r="U10646" t="s">
        <v>51480</v>
      </c>
      <c r="W10646" t="s">
        <v>55519</v>
      </c>
      <c r="X10646" t="s">
        <v>40452</v>
      </c>
    </row>
    <row r="10647" spans="1:24">
      <c r="A10647">
        <f>HYPERLINK("https://www.philgeps.gov.ph/GEPSNONPILOT/Tender/SplashBidNoticeAbstractUI.aspx?menuIndex=3&amp;refID=7024723&amp;Result=3","7024723")</f>
        <v>0</v>
      </c>
      <c r="B10647" t="s">
        <v>2820</v>
      </c>
      <c r="C10647" t="s">
        <v>13245</v>
      </c>
      <c r="D10647" t="s">
        <v>16228</v>
      </c>
      <c r="E10647" t="s">
        <v>25537</v>
      </c>
      <c r="F10647" t="s">
        <v>28198</v>
      </c>
      <c r="G10647" t="s">
        <v>28205</v>
      </c>
      <c r="H10647" t="s">
        <v>28215</v>
      </c>
      <c r="I10647" t="s">
        <v>28227</v>
      </c>
      <c r="J10647" t="s">
        <v>34917</v>
      </c>
      <c r="K10647" t="s">
        <v>36707</v>
      </c>
      <c r="M10647" t="s">
        <v>40071</v>
      </c>
      <c r="N10647" t="s">
        <v>40436</v>
      </c>
      <c r="O10647" t="s">
        <v>40437</v>
      </c>
      <c r="P10647">
        <v>0</v>
      </c>
      <c r="Q10647">
        <v>0</v>
      </c>
      <c r="R10647" t="s">
        <v>40451</v>
      </c>
      <c r="S10647" t="s">
        <v>41005</v>
      </c>
      <c r="T10647" t="s">
        <v>42287</v>
      </c>
      <c r="U10647" t="s">
        <v>51481</v>
      </c>
      <c r="W10647" t="s">
        <v>55535</v>
      </c>
      <c r="X10647" t="s">
        <v>40452</v>
      </c>
    </row>
    <row r="10648" spans="1:24">
      <c r="A10648">
        <f>HYPERLINK("https://www.philgeps.gov.ph/GEPSNONPILOT/Tender/SplashBidNoticeAbstractUI.aspx?menuIndex=3&amp;refID=7024701&amp;Result=3","7024701")</f>
        <v>0</v>
      </c>
      <c r="B10648" t="s">
        <v>1434</v>
      </c>
      <c r="C10648" t="s">
        <v>13246</v>
      </c>
      <c r="D10648" t="s">
        <v>16209</v>
      </c>
      <c r="E10648" t="s">
        <v>20571</v>
      </c>
      <c r="F10648" t="s">
        <v>28200</v>
      </c>
      <c r="G10648" t="s">
        <v>28209</v>
      </c>
      <c r="H10648" t="s">
        <v>28214</v>
      </c>
      <c r="I10648" t="s">
        <v>3797</v>
      </c>
      <c r="J10648" t="s">
        <v>34918</v>
      </c>
      <c r="K10648" t="s">
        <v>36692</v>
      </c>
      <c r="M10648" t="s">
        <v>38501</v>
      </c>
      <c r="N10648" t="s">
        <v>40436</v>
      </c>
      <c r="O10648" t="s">
        <v>40437</v>
      </c>
      <c r="P10648">
        <v>0</v>
      </c>
      <c r="Q10648">
        <v>3</v>
      </c>
      <c r="R10648" t="s">
        <v>40451</v>
      </c>
      <c r="S10648" t="s">
        <v>41005</v>
      </c>
      <c r="T10648" t="s">
        <v>42188</v>
      </c>
      <c r="U10648" t="s">
        <v>51482</v>
      </c>
      <c r="V10648" t="s">
        <v>54550</v>
      </c>
      <c r="W10648" t="s">
        <v>38501</v>
      </c>
      <c r="X10648" t="s">
        <v>40452</v>
      </c>
    </row>
    <row r="10649" spans="1:24">
      <c r="A10649">
        <f>HYPERLINK("https://www.philgeps.gov.ph/GEPSNONPILOT/Tender/SplashBidNoticeAbstractUI.aspx?menuIndex=3&amp;refID=7024675&amp;Result=3","7024675")</f>
        <v>0</v>
      </c>
      <c r="B10649" t="s">
        <v>2075</v>
      </c>
      <c r="C10649" t="s">
        <v>13247</v>
      </c>
      <c r="D10649" t="s">
        <v>16216</v>
      </c>
      <c r="E10649" t="s">
        <v>19285</v>
      </c>
      <c r="F10649" t="s">
        <v>28198</v>
      </c>
      <c r="G10649" t="s">
        <v>28205</v>
      </c>
      <c r="H10649" t="s">
        <v>28215</v>
      </c>
      <c r="I10649" t="s">
        <v>28225</v>
      </c>
      <c r="J10649" t="s">
        <v>34919</v>
      </c>
      <c r="K10649" t="s">
        <v>36701</v>
      </c>
      <c r="M10649" t="s">
        <v>39224</v>
      </c>
      <c r="N10649" t="s">
        <v>40436</v>
      </c>
      <c r="O10649" t="s">
        <v>40437</v>
      </c>
      <c r="Q10649">
        <v>4</v>
      </c>
      <c r="R10649" t="s">
        <v>40451</v>
      </c>
      <c r="S10649" t="s">
        <v>40845</v>
      </c>
      <c r="T10649" t="s">
        <v>42128</v>
      </c>
      <c r="U10649" t="s">
        <v>51483</v>
      </c>
      <c r="W10649" t="s">
        <v>39224</v>
      </c>
      <c r="X10649" t="s">
        <v>40452</v>
      </c>
    </row>
    <row r="10650" spans="1:24">
      <c r="A10650">
        <f>HYPERLINK("https://www.philgeps.gov.ph/GEPSNONPILOT/Tender/SplashBidNoticeAbstractUI.aspx?menuIndex=3&amp;refID=7024706&amp;Result=3","7024706")</f>
        <v>0</v>
      </c>
      <c r="B10650" t="s">
        <v>2180</v>
      </c>
      <c r="C10650" t="s">
        <v>13248</v>
      </c>
      <c r="D10650" t="s">
        <v>16196</v>
      </c>
      <c r="E10650" t="s">
        <v>19404</v>
      </c>
      <c r="F10650" t="s">
        <v>28198</v>
      </c>
      <c r="G10650" t="s">
        <v>28205</v>
      </c>
      <c r="H10650" t="s">
        <v>28215</v>
      </c>
      <c r="I10650" t="s">
        <v>28234</v>
      </c>
      <c r="J10650" t="s">
        <v>34920</v>
      </c>
      <c r="K10650" t="s">
        <v>36718</v>
      </c>
      <c r="M10650" t="s">
        <v>39342</v>
      </c>
      <c r="N10650" t="s">
        <v>40436</v>
      </c>
      <c r="O10650" t="s">
        <v>40437</v>
      </c>
      <c r="P10650">
        <v>0</v>
      </c>
      <c r="Q10650">
        <v>2</v>
      </c>
      <c r="R10650" t="s">
        <v>40451</v>
      </c>
      <c r="S10650" t="s">
        <v>41005</v>
      </c>
      <c r="T10650" t="s">
        <v>42103</v>
      </c>
      <c r="U10650" t="s">
        <v>51484</v>
      </c>
      <c r="V10650" t="s">
        <v>54955</v>
      </c>
      <c r="W10650" t="s">
        <v>39342</v>
      </c>
      <c r="X10650" t="s">
        <v>40452</v>
      </c>
    </row>
    <row r="10651" spans="1:24">
      <c r="A10651">
        <f>HYPERLINK("https://www.philgeps.gov.ph/GEPSNONPILOT/Tender/SplashBidNoticeAbstractUI.aspx?menuIndex=3&amp;refID=7024825&amp;Result=3","7024825")</f>
        <v>0</v>
      </c>
      <c r="B10651" t="s">
        <v>420</v>
      </c>
      <c r="C10651" t="s">
        <v>13249</v>
      </c>
      <c r="D10651" t="s">
        <v>16222</v>
      </c>
      <c r="E10651" t="s">
        <v>25538</v>
      </c>
      <c r="F10651" t="s">
        <v>28198</v>
      </c>
      <c r="G10651" t="s">
        <v>28205</v>
      </c>
      <c r="H10651" t="s">
        <v>28214</v>
      </c>
      <c r="I10651" t="s">
        <v>3797</v>
      </c>
      <c r="J10651" t="s">
        <v>31936</v>
      </c>
      <c r="K10651" t="s">
        <v>36848</v>
      </c>
      <c r="M10651" t="s">
        <v>40072</v>
      </c>
      <c r="N10651" t="s">
        <v>40436</v>
      </c>
      <c r="O10651" t="s">
        <v>40437</v>
      </c>
      <c r="Q10651">
        <v>7</v>
      </c>
      <c r="R10651" t="s">
        <v>40451</v>
      </c>
      <c r="S10651" t="s">
        <v>41032</v>
      </c>
      <c r="T10651" t="s">
        <v>42103</v>
      </c>
      <c r="U10651" t="s">
        <v>51485</v>
      </c>
      <c r="W10651" t="s">
        <v>40072</v>
      </c>
      <c r="X10651" t="s">
        <v>40452</v>
      </c>
    </row>
    <row r="10652" spans="1:24">
      <c r="A10652">
        <f>HYPERLINK("https://www.philgeps.gov.ph/GEPSNONPILOT/Tender/SplashBidNoticeAbstractUI.aspx?menuIndex=3&amp;refID=7024673&amp;Result=3","7024673")</f>
        <v>0</v>
      </c>
      <c r="B10652" t="s">
        <v>2821</v>
      </c>
      <c r="C10652" t="s">
        <v>13250</v>
      </c>
      <c r="D10652" t="s">
        <v>16274</v>
      </c>
      <c r="E10652" t="s">
        <v>25539</v>
      </c>
      <c r="F10652" t="s">
        <v>28200</v>
      </c>
      <c r="G10652" t="s">
        <v>28205</v>
      </c>
      <c r="H10652" t="s">
        <v>28214</v>
      </c>
      <c r="I10652" t="s">
        <v>3797</v>
      </c>
      <c r="J10652" t="s">
        <v>34921</v>
      </c>
      <c r="K10652" t="s">
        <v>36825</v>
      </c>
      <c r="M10652" t="s">
        <v>40073</v>
      </c>
      <c r="N10652" t="s">
        <v>40436</v>
      </c>
      <c r="O10652" t="s">
        <v>40437</v>
      </c>
      <c r="P10652">
        <v>0</v>
      </c>
      <c r="Q10652">
        <v>0</v>
      </c>
      <c r="R10652" t="s">
        <v>40451</v>
      </c>
      <c r="S10652" t="s">
        <v>41005</v>
      </c>
      <c r="T10652" t="s">
        <v>42184</v>
      </c>
      <c r="U10652" t="s">
        <v>51486</v>
      </c>
      <c r="W10652" t="s">
        <v>40073</v>
      </c>
      <c r="X10652" t="s">
        <v>40452</v>
      </c>
    </row>
    <row r="10653" spans="1:24">
      <c r="A10653">
        <f>HYPERLINK("https://www.philgeps.gov.ph/GEPSNONPILOT/Tender/SplashBidNoticeAbstractUI.aspx?menuIndex=3&amp;refID=7024816&amp;Result=3","7024816")</f>
        <v>0</v>
      </c>
      <c r="B10653" t="s">
        <v>2822</v>
      </c>
      <c r="C10653" t="s">
        <v>3845</v>
      </c>
      <c r="D10653" t="s">
        <v>16197</v>
      </c>
      <c r="E10653" t="s">
        <v>16834</v>
      </c>
      <c r="F10653" t="s">
        <v>28198</v>
      </c>
      <c r="G10653" t="s">
        <v>28205</v>
      </c>
      <c r="H10653" t="s">
        <v>28215</v>
      </c>
      <c r="I10653" t="s">
        <v>5100</v>
      </c>
      <c r="J10653" t="s">
        <v>34922</v>
      </c>
      <c r="K10653" t="s">
        <v>36706</v>
      </c>
      <c r="M10653" t="s">
        <v>40074</v>
      </c>
      <c r="N10653" t="s">
        <v>40436</v>
      </c>
      <c r="O10653" t="s">
        <v>40437</v>
      </c>
      <c r="P10653">
        <v>0</v>
      </c>
      <c r="Q10653">
        <v>0</v>
      </c>
      <c r="R10653" t="s">
        <v>40451</v>
      </c>
      <c r="S10653" t="s">
        <v>41005</v>
      </c>
      <c r="T10653" t="s">
        <v>42128</v>
      </c>
      <c r="U10653" t="s">
        <v>51487</v>
      </c>
      <c r="W10653" t="s">
        <v>40074</v>
      </c>
      <c r="X10653" t="s">
        <v>40452</v>
      </c>
    </row>
    <row r="10654" spans="1:24">
      <c r="A10654">
        <f>HYPERLINK("https://www.philgeps.gov.ph/GEPSNONPILOT/Tender/SplashBidNoticeAbstractUI.aspx?menuIndex=3&amp;refID=7024720&amp;Result=3","7024720")</f>
        <v>0</v>
      </c>
      <c r="B10654" t="s">
        <v>2298</v>
      </c>
      <c r="C10654" t="s">
        <v>13251</v>
      </c>
      <c r="D10654" t="s">
        <v>16240</v>
      </c>
      <c r="E10654" t="s">
        <v>21887</v>
      </c>
      <c r="F10654" t="s">
        <v>28198</v>
      </c>
      <c r="G10654" t="s">
        <v>28207</v>
      </c>
      <c r="H10654" t="s">
        <v>28215</v>
      </c>
      <c r="I10654" t="s">
        <v>28265</v>
      </c>
      <c r="J10654" t="s">
        <v>29866</v>
      </c>
      <c r="K10654" t="s">
        <v>36693</v>
      </c>
      <c r="M10654" t="s">
        <v>39473</v>
      </c>
      <c r="N10654" t="s">
        <v>40436</v>
      </c>
      <c r="O10654" t="s">
        <v>40437</v>
      </c>
      <c r="P10654">
        <v>0</v>
      </c>
      <c r="Q10654">
        <v>0</v>
      </c>
      <c r="R10654" t="s">
        <v>40451</v>
      </c>
      <c r="S10654" t="s">
        <v>41005</v>
      </c>
      <c r="T10654" t="s">
        <v>42184</v>
      </c>
      <c r="U10654" t="s">
        <v>51488</v>
      </c>
      <c r="W10654" t="s">
        <v>39473</v>
      </c>
      <c r="X10654" t="s">
        <v>40452</v>
      </c>
    </row>
    <row r="10655" spans="1:24">
      <c r="A10655">
        <f>HYPERLINK("https://www.philgeps.gov.ph/GEPSNONPILOT/Tender/SplashBidNoticeAbstractUI.aspx?menuIndex=3&amp;refID=7024807&amp;Result=3","7024807")</f>
        <v>0</v>
      </c>
      <c r="B10655" t="s">
        <v>2823</v>
      </c>
      <c r="C10655" t="s">
        <v>13252</v>
      </c>
      <c r="D10655" t="s">
        <v>16252</v>
      </c>
      <c r="E10655" t="s">
        <v>25540</v>
      </c>
      <c r="F10655" t="s">
        <v>28198</v>
      </c>
      <c r="G10655" t="s">
        <v>28205</v>
      </c>
      <c r="H10655" t="s">
        <v>28215</v>
      </c>
      <c r="I10655" t="s">
        <v>5631</v>
      </c>
      <c r="J10655" t="s">
        <v>30018</v>
      </c>
      <c r="K10655" t="s">
        <v>36688</v>
      </c>
      <c r="M10655" t="s">
        <v>40075</v>
      </c>
      <c r="N10655" t="s">
        <v>40436</v>
      </c>
      <c r="O10655" t="s">
        <v>40437</v>
      </c>
      <c r="P10655">
        <v>0</v>
      </c>
      <c r="Q10655">
        <v>0</v>
      </c>
      <c r="R10655" t="s">
        <v>40451</v>
      </c>
      <c r="S10655" t="s">
        <v>41005</v>
      </c>
      <c r="T10655" t="s">
        <v>42292</v>
      </c>
      <c r="U10655" t="s">
        <v>51489</v>
      </c>
      <c r="W10655" t="s">
        <v>40075</v>
      </c>
      <c r="X10655" t="s">
        <v>40452</v>
      </c>
    </row>
    <row r="10656" spans="1:24">
      <c r="A10656">
        <f>HYPERLINK("https://www.philgeps.gov.ph/GEPSNONPILOT/Tender/SplashBidNoticeAbstractUI.aspx?menuIndex=3&amp;refID=7024753&amp;Result=3","7024753")</f>
        <v>0</v>
      </c>
      <c r="B10656" t="s">
        <v>2298</v>
      </c>
      <c r="C10656" t="s">
        <v>13253</v>
      </c>
      <c r="D10656" t="s">
        <v>16240</v>
      </c>
      <c r="E10656" t="s">
        <v>25541</v>
      </c>
      <c r="F10656" t="s">
        <v>28198</v>
      </c>
      <c r="G10656" t="s">
        <v>28207</v>
      </c>
      <c r="H10656" t="s">
        <v>28215</v>
      </c>
      <c r="I10656" t="s">
        <v>28265</v>
      </c>
      <c r="J10656" t="s">
        <v>34923</v>
      </c>
      <c r="K10656" t="s">
        <v>36693</v>
      </c>
      <c r="M10656" t="s">
        <v>39473</v>
      </c>
      <c r="N10656" t="s">
        <v>40436</v>
      </c>
      <c r="O10656" t="s">
        <v>40437</v>
      </c>
      <c r="P10656">
        <v>0</v>
      </c>
      <c r="Q10656">
        <v>0</v>
      </c>
      <c r="R10656" t="s">
        <v>40451</v>
      </c>
      <c r="S10656" t="s">
        <v>41005</v>
      </c>
      <c r="T10656" t="s">
        <v>42233</v>
      </c>
      <c r="U10656" t="s">
        <v>51490</v>
      </c>
      <c r="W10656" t="s">
        <v>39473</v>
      </c>
      <c r="X10656" t="s">
        <v>40452</v>
      </c>
    </row>
    <row r="10657" spans="1:24">
      <c r="A10657">
        <f>HYPERLINK("https://www.philgeps.gov.ph/GEPSNONPILOT/Tender/SplashBidNoticeAbstractUI.aspx?menuIndex=3&amp;refID=7024827&amp;Result=3","7024827")</f>
        <v>0</v>
      </c>
      <c r="B10657" t="s">
        <v>2820</v>
      </c>
      <c r="C10657" t="s">
        <v>13254</v>
      </c>
      <c r="D10657" t="s">
        <v>16228</v>
      </c>
      <c r="E10657" t="s">
        <v>25542</v>
      </c>
      <c r="F10657" t="s">
        <v>28198</v>
      </c>
      <c r="G10657" t="s">
        <v>28205</v>
      </c>
      <c r="H10657" t="s">
        <v>28215</v>
      </c>
      <c r="I10657" t="s">
        <v>28231</v>
      </c>
      <c r="J10657" t="s">
        <v>28379</v>
      </c>
      <c r="K10657" t="s">
        <v>36707</v>
      </c>
      <c r="M10657" t="s">
        <v>40071</v>
      </c>
      <c r="N10657" t="s">
        <v>40436</v>
      </c>
      <c r="O10657" t="s">
        <v>40437</v>
      </c>
      <c r="P10657">
        <v>0</v>
      </c>
      <c r="Q10657">
        <v>0</v>
      </c>
      <c r="R10657" t="s">
        <v>40451</v>
      </c>
      <c r="S10657" t="s">
        <v>41005</v>
      </c>
      <c r="T10657" t="s">
        <v>42287</v>
      </c>
      <c r="U10657" t="s">
        <v>51491</v>
      </c>
      <c r="W10657" t="s">
        <v>55535</v>
      </c>
      <c r="X10657" t="s">
        <v>40452</v>
      </c>
    </row>
    <row r="10658" spans="1:24">
      <c r="A10658">
        <f>HYPERLINK("https://www.philgeps.gov.ph/GEPSNONPILOT/Tender/SplashBidNoticeAbstractUI.aspx?menuIndex=3&amp;refID=7024609&amp;Result=3","7024609")</f>
        <v>0</v>
      </c>
      <c r="B10658" t="s">
        <v>2698</v>
      </c>
      <c r="C10658" t="s">
        <v>13255</v>
      </c>
      <c r="D10658" t="s">
        <v>16194</v>
      </c>
      <c r="E10658" t="s">
        <v>25543</v>
      </c>
      <c r="F10658" t="s">
        <v>28198</v>
      </c>
      <c r="G10658" t="s">
        <v>28205</v>
      </c>
      <c r="H10658" t="s">
        <v>28215</v>
      </c>
      <c r="I10658" t="s">
        <v>28236</v>
      </c>
      <c r="J10658" t="s">
        <v>34924</v>
      </c>
      <c r="K10658" t="s">
        <v>36689</v>
      </c>
      <c r="M10658" t="s">
        <v>39937</v>
      </c>
      <c r="N10658" t="s">
        <v>40436</v>
      </c>
      <c r="O10658" t="s">
        <v>40437</v>
      </c>
      <c r="P10658">
        <v>0</v>
      </c>
      <c r="Q10658">
        <v>19</v>
      </c>
      <c r="R10658" t="s">
        <v>40451</v>
      </c>
      <c r="S10658" t="s">
        <v>41005</v>
      </c>
      <c r="T10658" t="s">
        <v>42275</v>
      </c>
      <c r="U10658" t="s">
        <v>51471</v>
      </c>
      <c r="W10658" t="s">
        <v>39937</v>
      </c>
      <c r="X10658" t="s">
        <v>40452</v>
      </c>
    </row>
    <row r="10659" spans="1:24">
      <c r="A10659">
        <f>HYPERLINK("https://www.philgeps.gov.ph/GEPSNONPILOT/Tender/SplashBidNoticeAbstractUI.aspx?menuIndex=3&amp;refID=7024810&amp;Result=3","7024810")</f>
        <v>0</v>
      </c>
      <c r="B10659" t="s">
        <v>2298</v>
      </c>
      <c r="C10659" t="s">
        <v>13256</v>
      </c>
      <c r="D10659" t="s">
        <v>16240</v>
      </c>
      <c r="E10659" t="s">
        <v>19861</v>
      </c>
      <c r="F10659" t="s">
        <v>28198</v>
      </c>
      <c r="G10659" t="s">
        <v>28207</v>
      </c>
      <c r="H10659" t="s">
        <v>28215</v>
      </c>
      <c r="I10659" t="s">
        <v>28265</v>
      </c>
      <c r="J10659" t="s">
        <v>34925</v>
      </c>
      <c r="K10659" t="s">
        <v>36693</v>
      </c>
      <c r="M10659" t="s">
        <v>39473</v>
      </c>
      <c r="N10659" t="s">
        <v>40436</v>
      </c>
      <c r="O10659" t="s">
        <v>40437</v>
      </c>
      <c r="P10659">
        <v>0</v>
      </c>
      <c r="Q10659">
        <v>0</v>
      </c>
      <c r="R10659" t="s">
        <v>40451</v>
      </c>
      <c r="S10659" t="s">
        <v>41005</v>
      </c>
      <c r="T10659" t="s">
        <v>42455</v>
      </c>
      <c r="U10659" t="s">
        <v>51492</v>
      </c>
      <c r="W10659" t="s">
        <v>39473</v>
      </c>
      <c r="X10659" t="s">
        <v>40452</v>
      </c>
    </row>
    <row r="10660" spans="1:24">
      <c r="A10660">
        <f>HYPERLINK("https://www.philgeps.gov.ph/GEPSNONPILOT/Tender/SplashBidNoticeAbstractUI.aspx?menuIndex=3&amp;refID=7024806&amp;Result=3","7024806")</f>
        <v>0</v>
      </c>
      <c r="B10660" t="s">
        <v>1101</v>
      </c>
      <c r="C10660" t="s">
        <v>13257</v>
      </c>
      <c r="D10660" t="s">
        <v>16219</v>
      </c>
      <c r="E10660" t="s">
        <v>25544</v>
      </c>
      <c r="F10660" t="s">
        <v>28198</v>
      </c>
      <c r="G10660" t="s">
        <v>28205</v>
      </c>
      <c r="H10660" t="s">
        <v>28215</v>
      </c>
      <c r="I10660" t="s">
        <v>28222</v>
      </c>
      <c r="J10660" t="s">
        <v>28597</v>
      </c>
      <c r="K10660" t="s">
        <v>36688</v>
      </c>
      <c r="M10660" t="s">
        <v>38137</v>
      </c>
      <c r="N10660" t="s">
        <v>40436</v>
      </c>
      <c r="O10660" t="s">
        <v>40437</v>
      </c>
      <c r="P10660">
        <v>0</v>
      </c>
      <c r="Q10660">
        <v>1</v>
      </c>
      <c r="R10660" t="s">
        <v>40451</v>
      </c>
      <c r="S10660" t="s">
        <v>41005</v>
      </c>
      <c r="T10660" t="s">
        <v>42320</v>
      </c>
      <c r="U10660" t="s">
        <v>51493</v>
      </c>
      <c r="W10660" t="s">
        <v>38137</v>
      </c>
      <c r="X10660" t="s">
        <v>40452</v>
      </c>
    </row>
    <row r="10661" spans="1:24">
      <c r="A10661">
        <f>HYPERLINK("https://www.philgeps.gov.ph/GEPSNONPILOT/Tender/SplashBidNoticeAbstractUI.aspx?menuIndex=3&amp;refID=7024793&amp;Result=3","7024793")</f>
        <v>0</v>
      </c>
      <c r="B10661" t="s">
        <v>420</v>
      </c>
      <c r="C10661" t="s">
        <v>13258</v>
      </c>
      <c r="D10661" t="s">
        <v>16222</v>
      </c>
      <c r="E10661" t="s">
        <v>25545</v>
      </c>
      <c r="F10661" t="s">
        <v>28198</v>
      </c>
      <c r="G10661" t="s">
        <v>28205</v>
      </c>
      <c r="H10661" t="s">
        <v>28214</v>
      </c>
      <c r="I10661" t="s">
        <v>3797</v>
      </c>
      <c r="J10661" t="s">
        <v>34926</v>
      </c>
      <c r="K10661" t="s">
        <v>36775</v>
      </c>
      <c r="M10661" t="s">
        <v>40072</v>
      </c>
      <c r="N10661" t="s">
        <v>40436</v>
      </c>
      <c r="O10661" t="s">
        <v>40437</v>
      </c>
      <c r="Q10661">
        <v>5</v>
      </c>
      <c r="R10661" t="s">
        <v>40451</v>
      </c>
      <c r="S10661" t="s">
        <v>41033</v>
      </c>
      <c r="T10661" t="s">
        <v>42103</v>
      </c>
      <c r="U10661" t="s">
        <v>51485</v>
      </c>
      <c r="W10661" t="s">
        <v>40072</v>
      </c>
      <c r="X10661" t="s">
        <v>40452</v>
      </c>
    </row>
    <row r="10662" spans="1:24">
      <c r="A10662">
        <f>HYPERLINK("https://www.philgeps.gov.ph/GEPSNONPILOT/Tender/SplashBidNoticeAbstractUI.aspx?menuIndex=3&amp;refID=7024783&amp;Result=3","7024783")</f>
        <v>0</v>
      </c>
      <c r="B10662" t="s">
        <v>2824</v>
      </c>
      <c r="C10662" t="s">
        <v>13259</v>
      </c>
      <c r="D10662" t="s">
        <v>16200</v>
      </c>
      <c r="E10662" t="s">
        <v>25546</v>
      </c>
      <c r="F10662" t="s">
        <v>28198</v>
      </c>
      <c r="G10662" t="s">
        <v>28205</v>
      </c>
      <c r="H10662" t="s">
        <v>28216</v>
      </c>
      <c r="I10662" t="s">
        <v>28216</v>
      </c>
      <c r="J10662" t="s">
        <v>28379</v>
      </c>
      <c r="K10662" t="s">
        <v>36692</v>
      </c>
      <c r="M10662" t="s">
        <v>40076</v>
      </c>
      <c r="N10662" t="s">
        <v>40436</v>
      </c>
      <c r="O10662" t="s">
        <v>40437</v>
      </c>
      <c r="P10662">
        <v>0</v>
      </c>
      <c r="Q10662">
        <v>6</v>
      </c>
      <c r="R10662" t="s">
        <v>40451</v>
      </c>
      <c r="S10662" t="s">
        <v>41005</v>
      </c>
      <c r="T10662" t="s">
        <v>42128</v>
      </c>
      <c r="U10662" t="s">
        <v>51494</v>
      </c>
      <c r="W10662" t="s">
        <v>40076</v>
      </c>
      <c r="X10662" t="s">
        <v>40452</v>
      </c>
    </row>
    <row r="10663" spans="1:24">
      <c r="A10663">
        <f>HYPERLINK("https://www.philgeps.gov.ph/GEPSNONPILOT/Tender/SplashBidNoticeAbstractUI.aspx?menuIndex=3&amp;refID=7024831&amp;Result=3","7024831")</f>
        <v>0</v>
      </c>
      <c r="B10663" t="s">
        <v>1063</v>
      </c>
      <c r="C10663" t="s">
        <v>13260</v>
      </c>
      <c r="D10663" t="s">
        <v>16188</v>
      </c>
      <c r="E10663" t="s">
        <v>25547</v>
      </c>
      <c r="F10663" t="s">
        <v>28198</v>
      </c>
      <c r="G10663" t="s">
        <v>28205</v>
      </c>
      <c r="H10663" t="s">
        <v>28215</v>
      </c>
      <c r="I10663" t="s">
        <v>28234</v>
      </c>
      <c r="J10663" t="s">
        <v>34927</v>
      </c>
      <c r="K10663" t="s">
        <v>36689</v>
      </c>
      <c r="M10663" t="s">
        <v>38491</v>
      </c>
      <c r="N10663" t="s">
        <v>40436</v>
      </c>
      <c r="O10663" t="s">
        <v>40437</v>
      </c>
      <c r="Q10663">
        <v>11</v>
      </c>
      <c r="R10663" t="s">
        <v>40451</v>
      </c>
      <c r="S10663" t="s">
        <v>41034</v>
      </c>
      <c r="T10663" t="s">
        <v>42203</v>
      </c>
      <c r="U10663" t="s">
        <v>51495</v>
      </c>
      <c r="W10663" t="s">
        <v>38491</v>
      </c>
      <c r="X10663" t="s">
        <v>40452</v>
      </c>
    </row>
    <row r="10664" spans="1:24">
      <c r="A10664">
        <f>HYPERLINK("https://www.philgeps.gov.ph/GEPSNONPILOT/Tender/SplashBidNoticeAbstractUI.aspx?menuIndex=3&amp;refID=7024611&amp;Result=3","7024611")</f>
        <v>0</v>
      </c>
      <c r="B10664" t="s">
        <v>1250</v>
      </c>
      <c r="C10664" t="s">
        <v>13261</v>
      </c>
      <c r="D10664" t="s">
        <v>16209</v>
      </c>
      <c r="E10664" t="s">
        <v>25548</v>
      </c>
      <c r="F10664" t="s">
        <v>28198</v>
      </c>
      <c r="G10664" t="s">
        <v>28205</v>
      </c>
      <c r="H10664" t="s">
        <v>28215</v>
      </c>
      <c r="I10664" t="s">
        <v>28227</v>
      </c>
      <c r="J10664" t="s">
        <v>34928</v>
      </c>
      <c r="K10664" t="s">
        <v>36701</v>
      </c>
      <c r="M10664" t="s">
        <v>38300</v>
      </c>
      <c r="N10664" t="s">
        <v>40436</v>
      </c>
      <c r="O10664" t="s">
        <v>40437</v>
      </c>
      <c r="Q10664">
        <v>3</v>
      </c>
      <c r="R10664" t="s">
        <v>40451</v>
      </c>
      <c r="S10664" t="s">
        <v>41035</v>
      </c>
      <c r="T10664" t="s">
        <v>42279</v>
      </c>
      <c r="U10664" t="s">
        <v>51496</v>
      </c>
      <c r="V10664" t="s">
        <v>54119</v>
      </c>
      <c r="W10664" t="s">
        <v>38300</v>
      </c>
      <c r="X10664" t="s">
        <v>40452</v>
      </c>
    </row>
    <row r="10665" spans="1:24">
      <c r="A10665">
        <f>HYPERLINK("https://www.philgeps.gov.ph/GEPSNONPILOT/Tender/SplashBidNoticeAbstractUI.aspx?menuIndex=3&amp;refID=7024878&amp;Result=3","7024878")</f>
        <v>0</v>
      </c>
      <c r="B10665" t="s">
        <v>2825</v>
      </c>
      <c r="C10665" t="s">
        <v>13262</v>
      </c>
      <c r="D10665" t="s">
        <v>16244</v>
      </c>
      <c r="E10665" t="s">
        <v>25549</v>
      </c>
      <c r="F10665" t="s">
        <v>28198</v>
      </c>
      <c r="G10665" t="s">
        <v>28205</v>
      </c>
      <c r="H10665" t="s">
        <v>28214</v>
      </c>
      <c r="I10665" t="s">
        <v>3797</v>
      </c>
      <c r="J10665" t="s">
        <v>34929</v>
      </c>
      <c r="K10665" t="s">
        <v>36817</v>
      </c>
      <c r="M10665" t="s">
        <v>40077</v>
      </c>
      <c r="N10665" t="s">
        <v>40436</v>
      </c>
      <c r="O10665" t="s">
        <v>40437</v>
      </c>
      <c r="P10665">
        <v>0</v>
      </c>
      <c r="Q10665">
        <v>0</v>
      </c>
      <c r="R10665" t="s">
        <v>40451</v>
      </c>
      <c r="S10665" t="s">
        <v>41005</v>
      </c>
      <c r="T10665" t="s">
        <v>42234</v>
      </c>
      <c r="U10665" t="s">
        <v>51497</v>
      </c>
      <c r="W10665" t="s">
        <v>40077</v>
      </c>
      <c r="X10665" t="s">
        <v>40452</v>
      </c>
    </row>
    <row r="10666" spans="1:24">
      <c r="A10666">
        <f>HYPERLINK("https://www.philgeps.gov.ph/GEPSNONPILOT/Tender/SplashBidNoticeAbstractUI.aspx?menuIndex=3&amp;refID=7024873&amp;Result=3","7024873")</f>
        <v>0</v>
      </c>
      <c r="B10666" t="s">
        <v>1319</v>
      </c>
      <c r="C10666" t="s">
        <v>13263</v>
      </c>
      <c r="D10666" t="s">
        <v>16265</v>
      </c>
      <c r="E10666" t="s">
        <v>25550</v>
      </c>
      <c r="F10666" t="s">
        <v>28198</v>
      </c>
      <c r="G10666" t="s">
        <v>28205</v>
      </c>
      <c r="H10666" t="s">
        <v>28215</v>
      </c>
      <c r="I10666" t="s">
        <v>28225</v>
      </c>
      <c r="J10666" t="s">
        <v>34930</v>
      </c>
      <c r="K10666" t="s">
        <v>36701</v>
      </c>
      <c r="M10666" t="s">
        <v>38377</v>
      </c>
      <c r="N10666" t="s">
        <v>40436</v>
      </c>
      <c r="O10666" t="s">
        <v>40437</v>
      </c>
      <c r="P10666">
        <v>0</v>
      </c>
      <c r="Q10666">
        <v>3</v>
      </c>
      <c r="R10666" t="s">
        <v>40451</v>
      </c>
      <c r="S10666" t="s">
        <v>41005</v>
      </c>
      <c r="T10666" t="s">
        <v>42346</v>
      </c>
      <c r="U10666" t="s">
        <v>51498</v>
      </c>
      <c r="W10666" t="s">
        <v>38377</v>
      </c>
      <c r="X10666" t="s">
        <v>40452</v>
      </c>
    </row>
    <row r="10667" spans="1:24">
      <c r="A10667">
        <f>HYPERLINK("https://www.philgeps.gov.ph/GEPSNONPILOT/Tender/SplashBidNoticeAbstractUI.aspx?menuIndex=3&amp;refID=7024626&amp;Result=3","7024626")</f>
        <v>0</v>
      </c>
      <c r="B10667" t="s">
        <v>2826</v>
      </c>
      <c r="C10667" t="s">
        <v>13264</v>
      </c>
      <c r="D10667" t="s">
        <v>16206</v>
      </c>
      <c r="E10667" t="s">
        <v>25551</v>
      </c>
      <c r="F10667" t="s">
        <v>28198</v>
      </c>
      <c r="G10667" t="s">
        <v>28205</v>
      </c>
      <c r="H10667" t="s">
        <v>28214</v>
      </c>
      <c r="I10667" t="s">
        <v>3797</v>
      </c>
      <c r="J10667" t="s">
        <v>34931</v>
      </c>
      <c r="K10667" t="s">
        <v>36692</v>
      </c>
      <c r="M10667" t="s">
        <v>40078</v>
      </c>
      <c r="N10667" t="s">
        <v>40436</v>
      </c>
      <c r="O10667" t="s">
        <v>40437</v>
      </c>
      <c r="P10667">
        <v>0</v>
      </c>
      <c r="Q10667">
        <v>2</v>
      </c>
      <c r="R10667" t="s">
        <v>40451</v>
      </c>
      <c r="S10667" t="s">
        <v>41005</v>
      </c>
      <c r="T10667" t="s">
        <v>42180</v>
      </c>
      <c r="U10667" t="s">
        <v>51499</v>
      </c>
      <c r="V10667" t="s">
        <v>54956</v>
      </c>
      <c r="W10667" t="s">
        <v>40078</v>
      </c>
      <c r="X10667" t="s">
        <v>40452</v>
      </c>
    </row>
    <row r="10668" spans="1:24">
      <c r="A10668">
        <f>HYPERLINK("https://www.philgeps.gov.ph/GEPSNONPILOT/Tender/SplashBidNoticeAbstractUI.aspx?menuIndex=3&amp;refID=7024875&amp;Result=3","7024875")</f>
        <v>0</v>
      </c>
      <c r="B10668" t="s">
        <v>340</v>
      </c>
      <c r="C10668" t="s">
        <v>13265</v>
      </c>
      <c r="D10668" t="s">
        <v>16195</v>
      </c>
      <c r="E10668" t="s">
        <v>25552</v>
      </c>
      <c r="F10668" t="s">
        <v>28198</v>
      </c>
      <c r="G10668" t="s">
        <v>28205</v>
      </c>
      <c r="H10668" t="s">
        <v>28215</v>
      </c>
      <c r="I10668" t="s">
        <v>28301</v>
      </c>
      <c r="J10668" t="s">
        <v>34932</v>
      </c>
      <c r="K10668" t="s">
        <v>36701</v>
      </c>
      <c r="M10668" t="s">
        <v>39278</v>
      </c>
      <c r="N10668" t="s">
        <v>40436</v>
      </c>
      <c r="O10668" t="s">
        <v>40437</v>
      </c>
      <c r="P10668">
        <v>0</v>
      </c>
      <c r="Q10668">
        <v>2</v>
      </c>
      <c r="R10668" t="s">
        <v>40451</v>
      </c>
      <c r="S10668" t="s">
        <v>41005</v>
      </c>
      <c r="T10668" t="s">
        <v>42100</v>
      </c>
      <c r="U10668" t="s">
        <v>51500</v>
      </c>
      <c r="W10668" t="s">
        <v>39278</v>
      </c>
      <c r="X10668" t="s">
        <v>40452</v>
      </c>
    </row>
    <row r="10669" spans="1:24">
      <c r="A10669">
        <f>HYPERLINK("https://www.philgeps.gov.ph/GEPSNONPILOT/Tender/SplashBidNoticeAbstractUI.aspx?menuIndex=3&amp;refID=7024851&amp;Result=3","7024851")</f>
        <v>0</v>
      </c>
      <c r="B10669" t="s">
        <v>2171</v>
      </c>
      <c r="C10669" t="s">
        <v>13266</v>
      </c>
      <c r="D10669" t="s">
        <v>16199</v>
      </c>
      <c r="E10669" t="s">
        <v>25553</v>
      </c>
      <c r="F10669" t="s">
        <v>28198</v>
      </c>
      <c r="G10669" t="s">
        <v>28205</v>
      </c>
      <c r="H10669" t="s">
        <v>28214</v>
      </c>
      <c r="I10669" t="s">
        <v>3797</v>
      </c>
      <c r="J10669" t="s">
        <v>28363</v>
      </c>
      <c r="K10669" t="s">
        <v>36737</v>
      </c>
      <c r="M10669" t="s">
        <v>39331</v>
      </c>
      <c r="N10669" t="s">
        <v>40436</v>
      </c>
      <c r="O10669" t="s">
        <v>40437</v>
      </c>
      <c r="P10669">
        <v>0</v>
      </c>
      <c r="Q10669">
        <v>0</v>
      </c>
      <c r="R10669" t="s">
        <v>40451</v>
      </c>
      <c r="S10669" t="s">
        <v>41005</v>
      </c>
      <c r="T10669" t="s">
        <v>42228</v>
      </c>
      <c r="U10669" t="s">
        <v>51501</v>
      </c>
      <c r="W10669" t="s">
        <v>39331</v>
      </c>
      <c r="X10669" t="s">
        <v>40452</v>
      </c>
    </row>
    <row r="10670" spans="1:24">
      <c r="A10670">
        <f>HYPERLINK("https://www.philgeps.gov.ph/GEPSNONPILOT/Tender/SplashBidNoticeAbstractUI.aspx?menuIndex=3&amp;refID=7024904&amp;Result=3","7024904")</f>
        <v>0</v>
      </c>
      <c r="B10670" t="s">
        <v>2825</v>
      </c>
      <c r="C10670" t="s">
        <v>13267</v>
      </c>
      <c r="D10670" t="s">
        <v>16244</v>
      </c>
      <c r="E10670" t="s">
        <v>25554</v>
      </c>
      <c r="F10670" t="s">
        <v>28198</v>
      </c>
      <c r="G10670" t="s">
        <v>28205</v>
      </c>
      <c r="H10670" t="s">
        <v>28214</v>
      </c>
      <c r="I10670" t="s">
        <v>3797</v>
      </c>
      <c r="J10670" t="s">
        <v>34933</v>
      </c>
      <c r="K10670" t="s">
        <v>36709</v>
      </c>
      <c r="M10670" t="s">
        <v>40077</v>
      </c>
      <c r="N10670" t="s">
        <v>40436</v>
      </c>
      <c r="O10670" t="s">
        <v>40437</v>
      </c>
      <c r="P10670">
        <v>0</v>
      </c>
      <c r="Q10670">
        <v>0</v>
      </c>
      <c r="R10670" t="s">
        <v>40451</v>
      </c>
      <c r="S10670" t="s">
        <v>41005</v>
      </c>
      <c r="T10670" t="s">
        <v>42234</v>
      </c>
      <c r="U10670" t="s">
        <v>51502</v>
      </c>
      <c r="W10670" t="s">
        <v>40077</v>
      </c>
      <c r="X10670" t="s">
        <v>40452</v>
      </c>
    </row>
    <row r="10671" spans="1:24">
      <c r="A10671">
        <f>HYPERLINK("https://www.philgeps.gov.ph/GEPSNONPILOT/Tender/SplashBidNoticeAbstractUI.aspx?menuIndex=3&amp;refID=7024877&amp;Result=3","7024877")</f>
        <v>0</v>
      </c>
      <c r="B10671" t="s">
        <v>2827</v>
      </c>
      <c r="C10671" t="s">
        <v>13268</v>
      </c>
      <c r="D10671" t="s">
        <v>16244</v>
      </c>
      <c r="E10671" t="s">
        <v>25555</v>
      </c>
      <c r="F10671" t="s">
        <v>28198</v>
      </c>
      <c r="G10671" t="s">
        <v>28205</v>
      </c>
      <c r="H10671" t="s">
        <v>28214</v>
      </c>
      <c r="I10671" t="s">
        <v>3797</v>
      </c>
      <c r="J10671" t="s">
        <v>34934</v>
      </c>
      <c r="K10671" t="s">
        <v>36742</v>
      </c>
      <c r="M10671" t="s">
        <v>40079</v>
      </c>
      <c r="N10671" t="s">
        <v>40436</v>
      </c>
      <c r="O10671" t="s">
        <v>40437</v>
      </c>
      <c r="P10671">
        <v>0</v>
      </c>
      <c r="Q10671">
        <v>0</v>
      </c>
      <c r="R10671" t="s">
        <v>40451</v>
      </c>
      <c r="S10671" t="s">
        <v>41005</v>
      </c>
      <c r="T10671" t="s">
        <v>42112</v>
      </c>
      <c r="U10671" t="s">
        <v>51503</v>
      </c>
      <c r="W10671" t="s">
        <v>40079</v>
      </c>
      <c r="X10671" t="s">
        <v>40452</v>
      </c>
    </row>
    <row r="10672" spans="1:24">
      <c r="A10672">
        <f>HYPERLINK("https://www.philgeps.gov.ph/GEPSNONPILOT/Tender/SplashBidNoticeAbstractUI.aspx?menuIndex=3&amp;refID=7024853&amp;Result=3","7024853")</f>
        <v>0</v>
      </c>
      <c r="B10672" t="s">
        <v>2759</v>
      </c>
      <c r="C10672" t="s">
        <v>13269</v>
      </c>
      <c r="D10672" t="s">
        <v>16218</v>
      </c>
      <c r="E10672" t="s">
        <v>18038</v>
      </c>
      <c r="F10672" t="s">
        <v>28198</v>
      </c>
      <c r="G10672" t="s">
        <v>28205</v>
      </c>
      <c r="H10672" t="s">
        <v>28214</v>
      </c>
      <c r="I10672" t="s">
        <v>5100</v>
      </c>
      <c r="J10672" t="s">
        <v>28351</v>
      </c>
      <c r="K10672" t="s">
        <v>36706</v>
      </c>
      <c r="M10672" t="s">
        <v>40008</v>
      </c>
      <c r="N10672" t="s">
        <v>40436</v>
      </c>
      <c r="O10672" t="s">
        <v>40437</v>
      </c>
      <c r="P10672">
        <v>0</v>
      </c>
      <c r="Q10672">
        <v>0</v>
      </c>
      <c r="R10672" t="s">
        <v>40451</v>
      </c>
      <c r="S10672" t="s">
        <v>41005</v>
      </c>
      <c r="T10672" t="s">
        <v>42134</v>
      </c>
      <c r="U10672" t="s">
        <v>51504</v>
      </c>
      <c r="V10672" t="s">
        <v>54951</v>
      </c>
      <c r="W10672" t="s">
        <v>40008</v>
      </c>
      <c r="X10672" t="s">
        <v>40452</v>
      </c>
    </row>
    <row r="10673" spans="1:24">
      <c r="A10673">
        <f>HYPERLINK("https://www.philgeps.gov.ph/GEPSNONPILOT/Tender/SplashBidNoticeAbstractUI.aspx?menuIndex=3&amp;refID=7024850&amp;Result=3","7024850")</f>
        <v>0</v>
      </c>
      <c r="B10673" t="s">
        <v>420</v>
      </c>
      <c r="C10673" t="s">
        <v>13270</v>
      </c>
      <c r="D10673" t="s">
        <v>16222</v>
      </c>
      <c r="E10673" t="s">
        <v>25556</v>
      </c>
      <c r="F10673" t="s">
        <v>28198</v>
      </c>
      <c r="G10673" t="s">
        <v>28205</v>
      </c>
      <c r="H10673" t="s">
        <v>28214</v>
      </c>
      <c r="I10673" t="s">
        <v>3797</v>
      </c>
      <c r="J10673" t="s">
        <v>34935</v>
      </c>
      <c r="K10673" t="s">
        <v>36890</v>
      </c>
      <c r="M10673" t="s">
        <v>40072</v>
      </c>
      <c r="N10673" t="s">
        <v>40436</v>
      </c>
      <c r="O10673" t="s">
        <v>40437</v>
      </c>
      <c r="P10673">
        <v>0</v>
      </c>
      <c r="Q10673">
        <v>6</v>
      </c>
      <c r="R10673" t="s">
        <v>40451</v>
      </c>
      <c r="S10673" t="s">
        <v>41005</v>
      </c>
      <c r="T10673" t="s">
        <v>42103</v>
      </c>
      <c r="U10673" t="s">
        <v>51485</v>
      </c>
      <c r="W10673" t="s">
        <v>40072</v>
      </c>
      <c r="X10673" t="s">
        <v>40452</v>
      </c>
    </row>
    <row r="10674" spans="1:24">
      <c r="A10674">
        <f>HYPERLINK("https://www.philgeps.gov.ph/GEPSNONPILOT/Tender/SplashBidNoticeAbstractUI.aspx?menuIndex=3&amp;refID=7024846&amp;Result=3","7024846")</f>
        <v>0</v>
      </c>
      <c r="B10674" t="s">
        <v>2825</v>
      </c>
      <c r="C10674" t="s">
        <v>13271</v>
      </c>
      <c r="D10674" t="s">
        <v>16244</v>
      </c>
      <c r="E10674" t="s">
        <v>25557</v>
      </c>
      <c r="F10674" t="s">
        <v>28198</v>
      </c>
      <c r="G10674" t="s">
        <v>28205</v>
      </c>
      <c r="H10674" t="s">
        <v>28214</v>
      </c>
      <c r="I10674" t="s">
        <v>3797</v>
      </c>
      <c r="J10674" t="s">
        <v>34936</v>
      </c>
      <c r="K10674" t="s">
        <v>36934</v>
      </c>
      <c r="M10674" t="s">
        <v>40077</v>
      </c>
      <c r="N10674" t="s">
        <v>40436</v>
      </c>
      <c r="O10674" t="s">
        <v>40437</v>
      </c>
      <c r="P10674">
        <v>0</v>
      </c>
      <c r="Q10674">
        <v>0</v>
      </c>
      <c r="R10674" t="s">
        <v>40451</v>
      </c>
      <c r="S10674" t="s">
        <v>41005</v>
      </c>
      <c r="T10674" t="s">
        <v>42234</v>
      </c>
      <c r="U10674" t="s">
        <v>51505</v>
      </c>
      <c r="W10674" t="s">
        <v>40077</v>
      </c>
      <c r="X10674" t="s">
        <v>40452</v>
      </c>
    </row>
    <row r="10675" spans="1:24">
      <c r="A10675">
        <f>HYPERLINK("https://www.philgeps.gov.ph/GEPSNONPILOT/Tender/SplashBidNoticeAbstractUI.aspx?menuIndex=3&amp;refID=7024839&amp;Result=3","7024839")</f>
        <v>0</v>
      </c>
      <c r="B10675" t="s">
        <v>2075</v>
      </c>
      <c r="C10675" t="s">
        <v>13272</v>
      </c>
      <c r="D10675" t="s">
        <v>16216</v>
      </c>
      <c r="E10675" t="s">
        <v>19404</v>
      </c>
      <c r="F10675" t="s">
        <v>28198</v>
      </c>
      <c r="G10675" t="s">
        <v>28205</v>
      </c>
      <c r="H10675" t="s">
        <v>28215</v>
      </c>
      <c r="I10675" t="s">
        <v>8888</v>
      </c>
      <c r="J10675" t="s">
        <v>34937</v>
      </c>
      <c r="K10675" t="s">
        <v>36701</v>
      </c>
      <c r="M10675" t="s">
        <v>39224</v>
      </c>
      <c r="N10675" t="s">
        <v>40436</v>
      </c>
      <c r="O10675" t="s">
        <v>40437</v>
      </c>
      <c r="Q10675">
        <v>2</v>
      </c>
      <c r="R10675" t="s">
        <v>40451</v>
      </c>
      <c r="S10675" t="s">
        <v>41036</v>
      </c>
      <c r="T10675" t="s">
        <v>42128</v>
      </c>
      <c r="U10675" t="s">
        <v>51506</v>
      </c>
      <c r="W10675" t="s">
        <v>39224</v>
      </c>
      <c r="X10675" t="s">
        <v>40452</v>
      </c>
    </row>
    <row r="10676" spans="1:24">
      <c r="A10676">
        <f>HYPERLINK("https://www.philgeps.gov.ph/GEPSNONPILOT/Tender/SplashBidNoticeAbstractUI.aspx?menuIndex=3&amp;refID=7024884&amp;Result=3","7024884")</f>
        <v>0</v>
      </c>
      <c r="B10676" t="s">
        <v>1063</v>
      </c>
      <c r="C10676" t="s">
        <v>13273</v>
      </c>
      <c r="D10676" t="s">
        <v>16188</v>
      </c>
      <c r="E10676" t="s">
        <v>25558</v>
      </c>
      <c r="F10676" t="s">
        <v>28198</v>
      </c>
      <c r="G10676" t="s">
        <v>28205</v>
      </c>
      <c r="H10676" t="s">
        <v>28215</v>
      </c>
      <c r="I10676" t="s">
        <v>28258</v>
      </c>
      <c r="J10676" t="s">
        <v>34938</v>
      </c>
      <c r="K10676" t="s">
        <v>36689</v>
      </c>
      <c r="M10676" t="s">
        <v>38491</v>
      </c>
      <c r="N10676" t="s">
        <v>40436</v>
      </c>
      <c r="O10676" t="s">
        <v>40437</v>
      </c>
      <c r="Q10676">
        <v>15</v>
      </c>
      <c r="R10676" t="s">
        <v>40451</v>
      </c>
      <c r="S10676" t="s">
        <v>40779</v>
      </c>
      <c r="T10676" t="s">
        <v>42203</v>
      </c>
      <c r="U10676" t="s">
        <v>51507</v>
      </c>
      <c r="W10676" t="s">
        <v>38491</v>
      </c>
      <c r="X10676" t="s">
        <v>40452</v>
      </c>
    </row>
    <row r="10677" spans="1:24">
      <c r="A10677">
        <f>HYPERLINK("https://www.philgeps.gov.ph/GEPSNONPILOT/Tender/SplashBidNoticeAbstractUI.aspx?menuIndex=3&amp;refID=7024833&amp;Result=3","7024833")</f>
        <v>0</v>
      </c>
      <c r="B10677" t="s">
        <v>2828</v>
      </c>
      <c r="C10677" t="s">
        <v>13274</v>
      </c>
      <c r="D10677" t="s">
        <v>16245</v>
      </c>
      <c r="E10677" t="s">
        <v>25559</v>
      </c>
      <c r="F10677" t="s">
        <v>28198</v>
      </c>
      <c r="G10677" t="s">
        <v>28206</v>
      </c>
      <c r="H10677" t="s">
        <v>28215</v>
      </c>
      <c r="I10677" t="s">
        <v>28266</v>
      </c>
      <c r="J10677" t="s">
        <v>34192</v>
      </c>
      <c r="K10677" t="s">
        <v>36707</v>
      </c>
      <c r="M10677" t="s">
        <v>40080</v>
      </c>
      <c r="N10677" t="s">
        <v>40436</v>
      </c>
      <c r="O10677" t="s">
        <v>40437</v>
      </c>
      <c r="P10677">
        <v>0</v>
      </c>
      <c r="Q10677">
        <v>6</v>
      </c>
      <c r="R10677" t="s">
        <v>40451</v>
      </c>
      <c r="S10677" t="s">
        <v>41005</v>
      </c>
      <c r="T10677" t="s">
        <v>42144</v>
      </c>
      <c r="U10677" t="s">
        <v>51508</v>
      </c>
      <c r="W10677" t="s">
        <v>40080</v>
      </c>
      <c r="X10677" t="s">
        <v>40452</v>
      </c>
    </row>
    <row r="10678" spans="1:24">
      <c r="A10678">
        <f>HYPERLINK("https://www.philgeps.gov.ph/GEPSNONPILOT/Tender/SplashBidNoticeAbstractUI.aspx?menuIndex=3&amp;refID=7024939&amp;Result=3","7024939")</f>
        <v>0</v>
      </c>
      <c r="B10678" t="s">
        <v>1063</v>
      </c>
      <c r="C10678" t="s">
        <v>13275</v>
      </c>
      <c r="D10678" t="s">
        <v>16188</v>
      </c>
      <c r="E10678" t="s">
        <v>25560</v>
      </c>
      <c r="F10678" t="s">
        <v>28198</v>
      </c>
      <c r="G10678" t="s">
        <v>28205</v>
      </c>
      <c r="H10678" t="s">
        <v>28215</v>
      </c>
      <c r="I10678" t="s">
        <v>28281</v>
      </c>
      <c r="J10678" t="s">
        <v>34939</v>
      </c>
      <c r="K10678" t="s">
        <v>36689</v>
      </c>
      <c r="M10678" t="s">
        <v>38491</v>
      </c>
      <c r="N10678" t="s">
        <v>40436</v>
      </c>
      <c r="O10678" t="s">
        <v>40437</v>
      </c>
      <c r="Q10678">
        <v>6</v>
      </c>
      <c r="R10678" t="s">
        <v>40451</v>
      </c>
      <c r="S10678" t="s">
        <v>41037</v>
      </c>
      <c r="T10678" t="s">
        <v>42203</v>
      </c>
      <c r="U10678" t="s">
        <v>51509</v>
      </c>
      <c r="W10678" t="s">
        <v>38491</v>
      </c>
      <c r="X10678" t="s">
        <v>40452</v>
      </c>
    </row>
    <row r="10679" spans="1:24">
      <c r="A10679">
        <f>HYPERLINK("https://www.philgeps.gov.ph/GEPSNONPILOT/Tender/SplashBidNoticeAbstractUI.aspx?menuIndex=3&amp;refID=7024952&amp;Result=3","7024952")</f>
        <v>0</v>
      </c>
      <c r="B10679" t="s">
        <v>2820</v>
      </c>
      <c r="C10679" t="s">
        <v>13276</v>
      </c>
      <c r="D10679" t="s">
        <v>16228</v>
      </c>
      <c r="E10679" t="s">
        <v>25561</v>
      </c>
      <c r="F10679" t="s">
        <v>28198</v>
      </c>
      <c r="G10679" t="s">
        <v>28205</v>
      </c>
      <c r="H10679" t="s">
        <v>28215</v>
      </c>
      <c r="I10679" t="s">
        <v>28227</v>
      </c>
      <c r="J10679" t="s">
        <v>34940</v>
      </c>
      <c r="K10679" t="s">
        <v>36707</v>
      </c>
      <c r="M10679" t="s">
        <v>40071</v>
      </c>
      <c r="N10679" t="s">
        <v>40436</v>
      </c>
      <c r="O10679" t="s">
        <v>40437</v>
      </c>
      <c r="P10679">
        <v>0</v>
      </c>
      <c r="Q10679">
        <v>0</v>
      </c>
      <c r="R10679" t="s">
        <v>40451</v>
      </c>
      <c r="S10679" t="s">
        <v>41005</v>
      </c>
      <c r="T10679" t="s">
        <v>42287</v>
      </c>
      <c r="U10679" t="s">
        <v>51510</v>
      </c>
      <c r="W10679" t="s">
        <v>55535</v>
      </c>
      <c r="X10679" t="s">
        <v>40452</v>
      </c>
    </row>
    <row r="10680" spans="1:24">
      <c r="A10680">
        <f>HYPERLINK("https://www.philgeps.gov.ph/GEPSNONPILOT/Tender/SplashBidNoticeAbstractUI.aspx?menuIndex=3&amp;refID=7024922&amp;Result=3","7024922")</f>
        <v>0</v>
      </c>
      <c r="B10680" t="s">
        <v>1063</v>
      </c>
      <c r="C10680" t="s">
        <v>13277</v>
      </c>
      <c r="D10680" t="s">
        <v>16188</v>
      </c>
      <c r="E10680" t="s">
        <v>25562</v>
      </c>
      <c r="F10680" t="s">
        <v>28198</v>
      </c>
      <c r="G10680" t="s">
        <v>28205</v>
      </c>
      <c r="H10680" t="s">
        <v>28215</v>
      </c>
      <c r="I10680" t="s">
        <v>28222</v>
      </c>
      <c r="J10680" t="s">
        <v>28699</v>
      </c>
      <c r="K10680" t="s">
        <v>36689</v>
      </c>
      <c r="M10680" t="s">
        <v>38491</v>
      </c>
      <c r="N10680" t="s">
        <v>40436</v>
      </c>
      <c r="O10680" t="s">
        <v>40437</v>
      </c>
      <c r="Q10680">
        <v>3</v>
      </c>
      <c r="R10680" t="s">
        <v>40451</v>
      </c>
      <c r="S10680" t="s">
        <v>41038</v>
      </c>
      <c r="T10680" t="s">
        <v>42203</v>
      </c>
      <c r="U10680" t="s">
        <v>51511</v>
      </c>
      <c r="W10680" t="s">
        <v>38491</v>
      </c>
      <c r="X10680" t="s">
        <v>40452</v>
      </c>
    </row>
    <row r="10681" spans="1:24">
      <c r="A10681">
        <f>HYPERLINK("https://www.philgeps.gov.ph/GEPSNONPILOT/Tender/SplashBidNoticeAbstractUI.aspx?menuIndex=3&amp;refID=7024906&amp;Result=3","7024906")</f>
        <v>0</v>
      </c>
      <c r="B10681" t="s">
        <v>243</v>
      </c>
      <c r="C10681" t="s">
        <v>13278</v>
      </c>
      <c r="D10681" t="s">
        <v>16193</v>
      </c>
      <c r="E10681" t="s">
        <v>25563</v>
      </c>
      <c r="F10681" t="s">
        <v>28198</v>
      </c>
      <c r="G10681" t="s">
        <v>28205</v>
      </c>
      <c r="H10681" t="s">
        <v>28214</v>
      </c>
      <c r="I10681" t="s">
        <v>3797</v>
      </c>
      <c r="J10681" t="s">
        <v>34941</v>
      </c>
      <c r="K10681" t="s">
        <v>36697</v>
      </c>
      <c r="M10681" t="s">
        <v>37219</v>
      </c>
      <c r="N10681" t="s">
        <v>40436</v>
      </c>
      <c r="O10681" t="s">
        <v>40437</v>
      </c>
      <c r="P10681">
        <v>0</v>
      </c>
      <c r="Q10681">
        <v>0</v>
      </c>
      <c r="R10681" t="s">
        <v>40451</v>
      </c>
      <c r="S10681" t="s">
        <v>41005</v>
      </c>
      <c r="T10681" t="s">
        <v>42279</v>
      </c>
      <c r="U10681" t="s">
        <v>51512</v>
      </c>
      <c r="V10681" t="s">
        <v>53830</v>
      </c>
      <c r="W10681" t="s">
        <v>37219</v>
      </c>
      <c r="X10681" t="s">
        <v>40452</v>
      </c>
    </row>
    <row r="10682" spans="1:24">
      <c r="A10682">
        <f>HYPERLINK("https://www.philgeps.gov.ph/GEPSNONPILOT/Tender/SplashBidNoticeAbstractUI.aspx?menuIndex=3&amp;refID=7024932&amp;Result=3","7024932")</f>
        <v>0</v>
      </c>
      <c r="B10682" t="s">
        <v>2759</v>
      </c>
      <c r="C10682" t="s">
        <v>13279</v>
      </c>
      <c r="D10682" t="s">
        <v>16218</v>
      </c>
      <c r="E10682" t="s">
        <v>16684</v>
      </c>
      <c r="F10682" t="s">
        <v>28198</v>
      </c>
      <c r="G10682" t="s">
        <v>28205</v>
      </c>
      <c r="H10682" t="s">
        <v>28214</v>
      </c>
      <c r="I10682" t="s">
        <v>28277</v>
      </c>
      <c r="J10682" t="s">
        <v>28699</v>
      </c>
      <c r="K10682" t="s">
        <v>36706</v>
      </c>
      <c r="M10682" t="s">
        <v>40008</v>
      </c>
      <c r="N10682" t="s">
        <v>40436</v>
      </c>
      <c r="O10682" t="s">
        <v>40437</v>
      </c>
      <c r="P10682">
        <v>0</v>
      </c>
      <c r="Q10682">
        <v>0</v>
      </c>
      <c r="R10682" t="s">
        <v>40451</v>
      </c>
      <c r="S10682" t="s">
        <v>41005</v>
      </c>
      <c r="T10682" t="s">
        <v>42134</v>
      </c>
      <c r="U10682" t="s">
        <v>51513</v>
      </c>
      <c r="V10682" t="s">
        <v>54951</v>
      </c>
      <c r="W10682" t="s">
        <v>40008</v>
      </c>
      <c r="X10682" t="s">
        <v>40452</v>
      </c>
    </row>
    <row r="10683" spans="1:24">
      <c r="A10683">
        <f>HYPERLINK("https://www.philgeps.gov.ph/GEPSNONPILOT/Tender/SplashBidNoticeAbstractUI.aspx?menuIndex=3&amp;refID=7024953&amp;Result=3","7024953")</f>
        <v>0</v>
      </c>
      <c r="B10683" t="s">
        <v>1063</v>
      </c>
      <c r="C10683" t="s">
        <v>13280</v>
      </c>
      <c r="D10683" t="s">
        <v>16188</v>
      </c>
      <c r="E10683" t="s">
        <v>25564</v>
      </c>
      <c r="F10683" t="s">
        <v>28198</v>
      </c>
      <c r="G10683" t="s">
        <v>28205</v>
      </c>
      <c r="H10683" t="s">
        <v>28215</v>
      </c>
      <c r="I10683" t="s">
        <v>28222</v>
      </c>
      <c r="J10683" t="s">
        <v>34942</v>
      </c>
      <c r="K10683" t="s">
        <v>36689</v>
      </c>
      <c r="M10683" t="s">
        <v>38491</v>
      </c>
      <c r="N10683" t="s">
        <v>40436</v>
      </c>
      <c r="O10683" t="s">
        <v>40437</v>
      </c>
      <c r="Q10683">
        <v>3</v>
      </c>
      <c r="R10683" t="s">
        <v>40451</v>
      </c>
      <c r="S10683" t="s">
        <v>41039</v>
      </c>
      <c r="T10683" t="s">
        <v>42203</v>
      </c>
      <c r="U10683" t="s">
        <v>51514</v>
      </c>
      <c r="W10683" t="s">
        <v>38491</v>
      </c>
      <c r="X10683" t="s">
        <v>40452</v>
      </c>
    </row>
    <row r="10684" spans="1:24">
      <c r="A10684">
        <f>HYPERLINK("https://www.philgeps.gov.ph/GEPSNONPILOT/Tender/SplashBidNoticeAbstractUI.aspx?menuIndex=3&amp;refID=7024929&amp;Result=3","7024929")</f>
        <v>0</v>
      </c>
      <c r="B10684" t="s">
        <v>2825</v>
      </c>
      <c r="C10684" t="s">
        <v>13281</v>
      </c>
      <c r="D10684" t="s">
        <v>16244</v>
      </c>
      <c r="E10684" t="s">
        <v>25565</v>
      </c>
      <c r="F10684" t="s">
        <v>28198</v>
      </c>
      <c r="G10684" t="s">
        <v>28205</v>
      </c>
      <c r="H10684" t="s">
        <v>28214</v>
      </c>
      <c r="I10684" t="s">
        <v>3797</v>
      </c>
      <c r="J10684" t="s">
        <v>34943</v>
      </c>
      <c r="K10684" t="s">
        <v>36701</v>
      </c>
      <c r="M10684" t="s">
        <v>40077</v>
      </c>
      <c r="N10684" t="s">
        <v>40436</v>
      </c>
      <c r="O10684" t="s">
        <v>40437</v>
      </c>
      <c r="Q10684">
        <v>1</v>
      </c>
      <c r="R10684" t="s">
        <v>40451</v>
      </c>
      <c r="S10684" t="s">
        <v>41040</v>
      </c>
      <c r="T10684" t="s">
        <v>42234</v>
      </c>
      <c r="U10684" t="s">
        <v>51515</v>
      </c>
      <c r="W10684" t="s">
        <v>40077</v>
      </c>
      <c r="X10684" t="s">
        <v>40452</v>
      </c>
    </row>
    <row r="10685" spans="1:24">
      <c r="A10685">
        <f>HYPERLINK("https://www.philgeps.gov.ph/GEPSNONPILOT/Tender/SplashBidNoticeAbstractUI.aspx?menuIndex=3&amp;refID=7024954&amp;Result=3","7024954")</f>
        <v>0</v>
      </c>
      <c r="B10685" t="s">
        <v>2298</v>
      </c>
      <c r="C10685" t="s">
        <v>13282</v>
      </c>
      <c r="D10685" t="s">
        <v>16240</v>
      </c>
      <c r="E10685" t="s">
        <v>17650</v>
      </c>
      <c r="F10685" t="s">
        <v>28198</v>
      </c>
      <c r="G10685" t="s">
        <v>28207</v>
      </c>
      <c r="H10685" t="s">
        <v>28215</v>
      </c>
      <c r="I10685" t="s">
        <v>28265</v>
      </c>
      <c r="J10685" t="s">
        <v>28941</v>
      </c>
      <c r="K10685" t="s">
        <v>36693</v>
      </c>
      <c r="M10685" t="s">
        <v>39473</v>
      </c>
      <c r="N10685" t="s">
        <v>40436</v>
      </c>
      <c r="O10685" t="s">
        <v>40437</v>
      </c>
      <c r="P10685">
        <v>0</v>
      </c>
      <c r="Q10685">
        <v>0</v>
      </c>
      <c r="R10685" t="s">
        <v>40451</v>
      </c>
      <c r="S10685" t="s">
        <v>41005</v>
      </c>
      <c r="T10685" t="s">
        <v>42350</v>
      </c>
      <c r="U10685" t="s">
        <v>51516</v>
      </c>
      <c r="W10685" t="s">
        <v>39473</v>
      </c>
      <c r="X10685" t="s">
        <v>40452</v>
      </c>
    </row>
    <row r="10686" spans="1:24">
      <c r="A10686">
        <f>HYPERLINK("https://www.philgeps.gov.ph/GEPSNONPILOT/Tender/SplashBidNoticeAbstractUI.aspx?menuIndex=3&amp;refID=7024917&amp;Result=3","7024917")</f>
        <v>0</v>
      </c>
      <c r="B10686" t="s">
        <v>2827</v>
      </c>
      <c r="C10686" t="s">
        <v>13283</v>
      </c>
      <c r="D10686" t="s">
        <v>16244</v>
      </c>
      <c r="E10686" t="s">
        <v>25566</v>
      </c>
      <c r="F10686" t="s">
        <v>28198</v>
      </c>
      <c r="G10686" t="s">
        <v>28205</v>
      </c>
      <c r="H10686" t="s">
        <v>28214</v>
      </c>
      <c r="I10686" t="s">
        <v>3797</v>
      </c>
      <c r="J10686" t="s">
        <v>34944</v>
      </c>
      <c r="K10686" t="s">
        <v>36707</v>
      </c>
      <c r="M10686" t="s">
        <v>40079</v>
      </c>
      <c r="N10686" t="s">
        <v>40436</v>
      </c>
      <c r="O10686" t="s">
        <v>40437</v>
      </c>
      <c r="P10686">
        <v>0</v>
      </c>
      <c r="Q10686">
        <v>1</v>
      </c>
      <c r="R10686" t="s">
        <v>40451</v>
      </c>
      <c r="S10686" t="s">
        <v>41005</v>
      </c>
      <c r="T10686" t="s">
        <v>42112</v>
      </c>
      <c r="U10686" t="s">
        <v>51517</v>
      </c>
      <c r="W10686" t="s">
        <v>40079</v>
      </c>
      <c r="X10686" t="s">
        <v>40452</v>
      </c>
    </row>
    <row r="10687" spans="1:24">
      <c r="A10687">
        <f>HYPERLINK("https://www.philgeps.gov.ph/GEPSNONPILOT/Tender/SplashBidNoticeAbstractUI.aspx?menuIndex=3&amp;refID=7024984&amp;Result=3","7024984")</f>
        <v>0</v>
      </c>
      <c r="B10687" t="s">
        <v>304</v>
      </c>
      <c r="C10687" t="s">
        <v>13284</v>
      </c>
      <c r="D10687" t="s">
        <v>16202</v>
      </c>
      <c r="E10687" t="s">
        <v>25567</v>
      </c>
      <c r="F10687" t="s">
        <v>28198</v>
      </c>
      <c r="G10687" t="s">
        <v>28205</v>
      </c>
      <c r="H10687" t="s">
        <v>28214</v>
      </c>
      <c r="I10687" t="s">
        <v>3797</v>
      </c>
      <c r="J10687" t="s">
        <v>34945</v>
      </c>
      <c r="K10687" t="s">
        <v>36689</v>
      </c>
      <c r="M10687" t="s">
        <v>37281</v>
      </c>
      <c r="N10687" t="s">
        <v>40436</v>
      </c>
      <c r="O10687" t="s">
        <v>40437</v>
      </c>
      <c r="P10687">
        <v>0</v>
      </c>
      <c r="Q10687">
        <v>1</v>
      </c>
      <c r="R10687" t="s">
        <v>40451</v>
      </c>
      <c r="S10687" t="s">
        <v>41005</v>
      </c>
      <c r="T10687" t="s">
        <v>42292</v>
      </c>
      <c r="U10687" t="s">
        <v>51518</v>
      </c>
      <c r="W10687" t="s">
        <v>37281</v>
      </c>
      <c r="X10687" t="s">
        <v>40452</v>
      </c>
    </row>
    <row r="10688" spans="1:24">
      <c r="A10688">
        <f>HYPERLINK("https://www.philgeps.gov.ph/GEPSNONPILOT/Tender/SplashBidNoticeAbstractUI.aspx?menuIndex=3&amp;refID=7025041&amp;Result=3","7025041")</f>
        <v>0</v>
      </c>
      <c r="B10688" t="s">
        <v>1990</v>
      </c>
      <c r="C10688" t="s">
        <v>13285</v>
      </c>
      <c r="D10688" t="s">
        <v>16258</v>
      </c>
      <c r="E10688" t="s">
        <v>25568</v>
      </c>
      <c r="F10688" t="s">
        <v>28198</v>
      </c>
      <c r="G10688" t="s">
        <v>28205</v>
      </c>
      <c r="H10688" t="s">
        <v>28214</v>
      </c>
      <c r="I10688" t="s">
        <v>3797</v>
      </c>
      <c r="J10688" t="s">
        <v>34946</v>
      </c>
      <c r="K10688" t="s">
        <v>36694</v>
      </c>
      <c r="M10688" t="s">
        <v>39436</v>
      </c>
      <c r="N10688" t="s">
        <v>40436</v>
      </c>
      <c r="O10688" t="s">
        <v>40437</v>
      </c>
      <c r="P10688">
        <v>0</v>
      </c>
      <c r="Q10688">
        <v>1</v>
      </c>
      <c r="R10688" t="s">
        <v>40451</v>
      </c>
      <c r="S10688" t="s">
        <v>41005</v>
      </c>
      <c r="T10688" t="s">
        <v>42331</v>
      </c>
      <c r="U10688" t="s">
        <v>51519</v>
      </c>
      <c r="V10688" t="s">
        <v>54542</v>
      </c>
      <c r="W10688" t="s">
        <v>39436</v>
      </c>
      <c r="X10688" t="s">
        <v>40452</v>
      </c>
    </row>
    <row r="10689" spans="1:24">
      <c r="A10689">
        <f>HYPERLINK("https://www.philgeps.gov.ph/GEPSNONPILOT/Tender/SplashBidNoticeAbstractUI.aspx?menuIndex=3&amp;refID=7025012&amp;Result=3","7025012")</f>
        <v>0</v>
      </c>
      <c r="B10689" t="s">
        <v>272</v>
      </c>
      <c r="C10689" t="s">
        <v>13286</v>
      </c>
      <c r="D10689" t="s">
        <v>16202</v>
      </c>
      <c r="E10689" t="s">
        <v>25569</v>
      </c>
      <c r="F10689" t="s">
        <v>28198</v>
      </c>
      <c r="G10689" t="s">
        <v>28205</v>
      </c>
      <c r="H10689" t="s">
        <v>28214</v>
      </c>
      <c r="I10689" t="s">
        <v>3797</v>
      </c>
      <c r="J10689" t="s">
        <v>34947</v>
      </c>
      <c r="K10689" t="s">
        <v>36697</v>
      </c>
      <c r="M10689" t="s">
        <v>37249</v>
      </c>
      <c r="N10689" t="s">
        <v>40436</v>
      </c>
      <c r="O10689" t="s">
        <v>40437</v>
      </c>
      <c r="P10689">
        <v>0</v>
      </c>
      <c r="Q10689">
        <v>1</v>
      </c>
      <c r="R10689" t="s">
        <v>40451</v>
      </c>
      <c r="S10689" t="s">
        <v>41005</v>
      </c>
      <c r="T10689" t="s">
        <v>42134</v>
      </c>
      <c r="U10689" t="s">
        <v>51520</v>
      </c>
      <c r="W10689" t="s">
        <v>37249</v>
      </c>
      <c r="X10689" t="s">
        <v>40452</v>
      </c>
    </row>
    <row r="10690" spans="1:24">
      <c r="A10690">
        <f>HYPERLINK("https://www.philgeps.gov.ph/GEPSNONPILOT/Tender/SplashBidNoticeAbstractUI.aspx?menuIndex=3&amp;refID=7025035&amp;Result=3","7025035")</f>
        <v>0</v>
      </c>
      <c r="B10690" t="s">
        <v>2698</v>
      </c>
      <c r="C10690" t="s">
        <v>13287</v>
      </c>
      <c r="D10690" t="s">
        <v>16194</v>
      </c>
      <c r="E10690" t="s">
        <v>25570</v>
      </c>
      <c r="F10690" t="s">
        <v>28198</v>
      </c>
      <c r="G10690" t="s">
        <v>28205</v>
      </c>
      <c r="H10690" t="s">
        <v>28215</v>
      </c>
      <c r="I10690" t="s">
        <v>28236</v>
      </c>
      <c r="J10690" t="s">
        <v>34948</v>
      </c>
      <c r="K10690" t="s">
        <v>36689</v>
      </c>
      <c r="M10690" t="s">
        <v>39937</v>
      </c>
      <c r="N10690" t="s">
        <v>40436</v>
      </c>
      <c r="O10690" t="s">
        <v>40437</v>
      </c>
      <c r="Q10690">
        <v>15</v>
      </c>
      <c r="R10690" t="s">
        <v>40451</v>
      </c>
      <c r="S10690" t="s">
        <v>40612</v>
      </c>
      <c r="T10690" t="s">
        <v>42275</v>
      </c>
      <c r="U10690" t="s">
        <v>51471</v>
      </c>
      <c r="W10690" t="s">
        <v>39937</v>
      </c>
      <c r="X10690" t="s">
        <v>40452</v>
      </c>
    </row>
    <row r="10691" spans="1:24">
      <c r="A10691">
        <f>HYPERLINK("https://www.philgeps.gov.ph/GEPSNONPILOT/Tender/SplashBidNoticeAbstractUI.aspx?menuIndex=3&amp;refID=7025000&amp;Result=3","7025000")</f>
        <v>0</v>
      </c>
      <c r="B10691" t="s">
        <v>2829</v>
      </c>
      <c r="C10691" t="s">
        <v>13288</v>
      </c>
      <c r="D10691" t="s">
        <v>16249</v>
      </c>
      <c r="E10691" t="s">
        <v>25571</v>
      </c>
      <c r="F10691" t="s">
        <v>28198</v>
      </c>
      <c r="G10691" t="s">
        <v>28205</v>
      </c>
      <c r="H10691" t="s">
        <v>28214</v>
      </c>
      <c r="I10691" t="s">
        <v>3797</v>
      </c>
      <c r="J10691" t="s">
        <v>28566</v>
      </c>
      <c r="K10691" t="s">
        <v>36694</v>
      </c>
      <c r="M10691" t="s">
        <v>40081</v>
      </c>
      <c r="N10691" t="s">
        <v>40436</v>
      </c>
      <c r="O10691" t="s">
        <v>40437</v>
      </c>
      <c r="P10691">
        <v>0</v>
      </c>
      <c r="Q10691">
        <v>1</v>
      </c>
      <c r="R10691" t="s">
        <v>40451</v>
      </c>
      <c r="S10691" t="s">
        <v>41005</v>
      </c>
      <c r="T10691" t="s">
        <v>42105</v>
      </c>
      <c r="U10691" t="s">
        <v>51521</v>
      </c>
      <c r="W10691" t="s">
        <v>40081</v>
      </c>
      <c r="X10691" t="s">
        <v>40452</v>
      </c>
    </row>
    <row r="10692" spans="1:24">
      <c r="A10692">
        <f>HYPERLINK("https://www.philgeps.gov.ph/GEPSNONPILOT/Tender/SplashBidNoticeAbstractUI.aspx?menuIndex=3&amp;refID=7025010&amp;Result=3","7025010")</f>
        <v>0</v>
      </c>
      <c r="B10692" t="s">
        <v>1063</v>
      </c>
      <c r="C10692" t="s">
        <v>13289</v>
      </c>
      <c r="D10692" t="s">
        <v>16188</v>
      </c>
      <c r="E10692" t="s">
        <v>25572</v>
      </c>
      <c r="F10692" t="s">
        <v>28198</v>
      </c>
      <c r="G10692" t="s">
        <v>28205</v>
      </c>
      <c r="H10692" t="s">
        <v>28215</v>
      </c>
      <c r="I10692" t="s">
        <v>28258</v>
      </c>
      <c r="J10692" t="s">
        <v>34949</v>
      </c>
      <c r="K10692" t="s">
        <v>36689</v>
      </c>
      <c r="M10692" t="s">
        <v>38491</v>
      </c>
      <c r="N10692" t="s">
        <v>40436</v>
      </c>
      <c r="O10692" t="s">
        <v>40437</v>
      </c>
      <c r="Q10692">
        <v>11</v>
      </c>
      <c r="R10692" t="s">
        <v>40451</v>
      </c>
      <c r="S10692" t="s">
        <v>41041</v>
      </c>
      <c r="T10692" t="s">
        <v>42203</v>
      </c>
      <c r="U10692" t="s">
        <v>51522</v>
      </c>
      <c r="W10692" t="s">
        <v>38491</v>
      </c>
      <c r="X10692" t="s">
        <v>40452</v>
      </c>
    </row>
    <row r="10693" spans="1:24">
      <c r="A10693">
        <f>HYPERLINK("https://www.philgeps.gov.ph/GEPSNONPILOT/Tender/SplashBidNoticeAbstractUI.aspx?menuIndex=3&amp;refID=7024957&amp;Result=3","7024957")</f>
        <v>0</v>
      </c>
      <c r="B10693" t="s">
        <v>2830</v>
      </c>
      <c r="C10693" t="s">
        <v>13290</v>
      </c>
      <c r="D10693" t="s">
        <v>16264</v>
      </c>
      <c r="E10693" t="s">
        <v>19989</v>
      </c>
      <c r="F10693" t="s">
        <v>28198</v>
      </c>
      <c r="G10693" t="s">
        <v>28205</v>
      </c>
      <c r="H10693" t="s">
        <v>28214</v>
      </c>
      <c r="I10693" t="s">
        <v>3797</v>
      </c>
      <c r="J10693" t="s">
        <v>29409</v>
      </c>
      <c r="K10693" t="s">
        <v>36692</v>
      </c>
      <c r="M10693" t="s">
        <v>40082</v>
      </c>
      <c r="N10693" t="s">
        <v>40436</v>
      </c>
      <c r="O10693" t="s">
        <v>40437</v>
      </c>
      <c r="P10693">
        <v>0</v>
      </c>
      <c r="Q10693">
        <v>0</v>
      </c>
      <c r="R10693" t="s">
        <v>40451</v>
      </c>
      <c r="S10693" t="s">
        <v>41005</v>
      </c>
      <c r="T10693" t="s">
        <v>42390</v>
      </c>
      <c r="U10693" t="s">
        <v>51523</v>
      </c>
      <c r="W10693" t="s">
        <v>40082</v>
      </c>
      <c r="X10693" t="s">
        <v>40452</v>
      </c>
    </row>
    <row r="10694" spans="1:24">
      <c r="A10694">
        <f>HYPERLINK("https://www.philgeps.gov.ph/GEPSNONPILOT/Tender/SplashBidNoticeAbstractUI.aspx?menuIndex=3&amp;refID=7025065&amp;Result=3","7025065")</f>
        <v>0</v>
      </c>
      <c r="B10694" t="s">
        <v>2564</v>
      </c>
      <c r="C10694" t="s">
        <v>13291</v>
      </c>
      <c r="D10694" t="s">
        <v>16244</v>
      </c>
      <c r="E10694" t="s">
        <v>25573</v>
      </c>
      <c r="F10694" t="s">
        <v>28198</v>
      </c>
      <c r="G10694" t="s">
        <v>28205</v>
      </c>
      <c r="H10694" t="s">
        <v>28215</v>
      </c>
      <c r="I10694" t="s">
        <v>28224</v>
      </c>
      <c r="J10694" t="s">
        <v>28378</v>
      </c>
      <c r="K10694" t="s">
        <v>36707</v>
      </c>
      <c r="M10694" t="s">
        <v>39778</v>
      </c>
      <c r="N10694" t="s">
        <v>40436</v>
      </c>
      <c r="O10694" t="s">
        <v>40437</v>
      </c>
      <c r="P10694">
        <v>0</v>
      </c>
      <c r="Q10694">
        <v>4</v>
      </c>
      <c r="R10694" t="s">
        <v>40451</v>
      </c>
      <c r="S10694" t="s">
        <v>41005</v>
      </c>
      <c r="T10694" t="s">
        <v>42163</v>
      </c>
      <c r="U10694" t="s">
        <v>51524</v>
      </c>
      <c r="W10694" t="s">
        <v>39778</v>
      </c>
      <c r="X10694" t="s">
        <v>40452</v>
      </c>
    </row>
    <row r="10695" spans="1:24">
      <c r="A10695">
        <f>HYPERLINK("https://www.philgeps.gov.ph/GEPSNONPILOT/Tender/SplashBidNoticeAbstractUI.aspx?menuIndex=3&amp;refID=7025033&amp;Result=3","7025033")</f>
        <v>0</v>
      </c>
      <c r="B10695" t="s">
        <v>1063</v>
      </c>
      <c r="C10695" t="s">
        <v>13292</v>
      </c>
      <c r="D10695" t="s">
        <v>16188</v>
      </c>
      <c r="E10695" t="s">
        <v>25574</v>
      </c>
      <c r="F10695" t="s">
        <v>28198</v>
      </c>
      <c r="G10695" t="s">
        <v>28205</v>
      </c>
      <c r="H10695" t="s">
        <v>28215</v>
      </c>
      <c r="I10695" t="s">
        <v>3774</v>
      </c>
      <c r="J10695" t="s">
        <v>34950</v>
      </c>
      <c r="K10695" t="s">
        <v>36689</v>
      </c>
      <c r="M10695" t="s">
        <v>38491</v>
      </c>
      <c r="N10695" t="s">
        <v>40436</v>
      </c>
      <c r="O10695" t="s">
        <v>40437</v>
      </c>
      <c r="Q10695">
        <v>8</v>
      </c>
      <c r="R10695" t="s">
        <v>40451</v>
      </c>
      <c r="S10695" t="s">
        <v>41042</v>
      </c>
      <c r="T10695" t="s">
        <v>42203</v>
      </c>
      <c r="U10695" t="s">
        <v>51525</v>
      </c>
      <c r="W10695" t="s">
        <v>38491</v>
      </c>
      <c r="X10695" t="s">
        <v>40452</v>
      </c>
    </row>
    <row r="10696" spans="1:24">
      <c r="A10696">
        <f>HYPERLINK("https://www.philgeps.gov.ph/GEPSNONPILOT/Tender/SplashBidNoticeAbstractUI.aspx?menuIndex=3&amp;refID=7024997&amp;Result=3","7024997")</f>
        <v>0</v>
      </c>
      <c r="B10696" t="s">
        <v>1063</v>
      </c>
      <c r="C10696" t="s">
        <v>13293</v>
      </c>
      <c r="D10696" t="s">
        <v>16188</v>
      </c>
      <c r="E10696" t="s">
        <v>25575</v>
      </c>
      <c r="F10696" t="s">
        <v>28198</v>
      </c>
      <c r="G10696" t="s">
        <v>28205</v>
      </c>
      <c r="H10696" t="s">
        <v>28215</v>
      </c>
      <c r="I10696" t="s">
        <v>4222</v>
      </c>
      <c r="J10696" t="s">
        <v>34951</v>
      </c>
      <c r="K10696" t="s">
        <v>36689</v>
      </c>
      <c r="M10696" t="s">
        <v>38491</v>
      </c>
      <c r="N10696" t="s">
        <v>40436</v>
      </c>
      <c r="O10696" t="s">
        <v>40437</v>
      </c>
      <c r="Q10696">
        <v>2</v>
      </c>
      <c r="R10696" t="s">
        <v>40451</v>
      </c>
      <c r="S10696" t="s">
        <v>41043</v>
      </c>
      <c r="T10696" t="s">
        <v>42203</v>
      </c>
      <c r="U10696" t="s">
        <v>51526</v>
      </c>
      <c r="W10696" t="s">
        <v>38491</v>
      </c>
      <c r="X10696" t="s">
        <v>40452</v>
      </c>
    </row>
    <row r="10697" spans="1:24">
      <c r="A10697">
        <f>HYPERLINK("https://www.philgeps.gov.ph/GEPSNONPILOT/Tender/SplashBidNoticeAbstractUI.aspx?menuIndex=3&amp;refID=7025048&amp;Result=3","7025048")</f>
        <v>0</v>
      </c>
      <c r="B10697" t="s">
        <v>1063</v>
      </c>
      <c r="C10697" t="s">
        <v>13294</v>
      </c>
      <c r="D10697" t="s">
        <v>16188</v>
      </c>
      <c r="E10697" t="s">
        <v>25576</v>
      </c>
      <c r="F10697" t="s">
        <v>28198</v>
      </c>
      <c r="G10697" t="s">
        <v>28205</v>
      </c>
      <c r="H10697" t="s">
        <v>28215</v>
      </c>
      <c r="I10697" t="s">
        <v>5100</v>
      </c>
      <c r="J10697" t="s">
        <v>34952</v>
      </c>
      <c r="K10697" t="s">
        <v>36689</v>
      </c>
      <c r="M10697" t="s">
        <v>38491</v>
      </c>
      <c r="N10697" t="s">
        <v>40436</v>
      </c>
      <c r="O10697" t="s">
        <v>40437</v>
      </c>
      <c r="Q10697">
        <v>5</v>
      </c>
      <c r="R10697" t="s">
        <v>40451</v>
      </c>
      <c r="S10697" t="s">
        <v>41044</v>
      </c>
      <c r="T10697" t="s">
        <v>42203</v>
      </c>
      <c r="U10697" t="s">
        <v>51527</v>
      </c>
      <c r="W10697" t="s">
        <v>38491</v>
      </c>
      <c r="X10697" t="s">
        <v>40452</v>
      </c>
    </row>
    <row r="10698" spans="1:24">
      <c r="A10698">
        <f>HYPERLINK("https://www.philgeps.gov.ph/GEPSNONPILOT/Tender/SplashBidNoticeAbstractUI.aspx?menuIndex=3&amp;refID=7025008&amp;Result=3","7025008")</f>
        <v>0</v>
      </c>
      <c r="B10698" t="s">
        <v>2759</v>
      </c>
      <c r="C10698" t="s">
        <v>13295</v>
      </c>
      <c r="D10698" t="s">
        <v>16218</v>
      </c>
      <c r="E10698" t="s">
        <v>17031</v>
      </c>
      <c r="F10698" t="s">
        <v>28198</v>
      </c>
      <c r="G10698" t="s">
        <v>28205</v>
      </c>
      <c r="H10698" t="s">
        <v>28214</v>
      </c>
      <c r="I10698" t="s">
        <v>5100</v>
      </c>
      <c r="J10698" t="s">
        <v>29369</v>
      </c>
      <c r="K10698" t="s">
        <v>36706</v>
      </c>
      <c r="M10698" t="s">
        <v>40008</v>
      </c>
      <c r="N10698" t="s">
        <v>40436</v>
      </c>
      <c r="O10698" t="s">
        <v>40437</v>
      </c>
      <c r="P10698">
        <v>0</v>
      </c>
      <c r="Q10698">
        <v>0</v>
      </c>
      <c r="R10698" t="s">
        <v>40451</v>
      </c>
      <c r="S10698" t="s">
        <v>41005</v>
      </c>
      <c r="T10698" t="s">
        <v>42134</v>
      </c>
      <c r="U10698" t="s">
        <v>51528</v>
      </c>
      <c r="V10698" t="s">
        <v>54951</v>
      </c>
      <c r="W10698" t="s">
        <v>40008</v>
      </c>
      <c r="X10698" t="s">
        <v>40452</v>
      </c>
    </row>
    <row r="10699" spans="1:24">
      <c r="A10699">
        <f>HYPERLINK("https://www.philgeps.gov.ph/GEPSNONPILOT/Tender/SplashBidNoticeAbstractUI.aspx?menuIndex=3&amp;refID=7025032&amp;Result=3","7025032")</f>
        <v>0</v>
      </c>
      <c r="B10699" t="s">
        <v>2759</v>
      </c>
      <c r="C10699" t="s">
        <v>13296</v>
      </c>
      <c r="D10699" t="s">
        <v>16218</v>
      </c>
      <c r="E10699" t="s">
        <v>17443</v>
      </c>
      <c r="F10699" t="s">
        <v>28198</v>
      </c>
      <c r="G10699" t="s">
        <v>28205</v>
      </c>
      <c r="H10699" t="s">
        <v>28214</v>
      </c>
      <c r="I10699" t="s">
        <v>5100</v>
      </c>
      <c r="J10699" t="s">
        <v>34953</v>
      </c>
      <c r="K10699" t="s">
        <v>36706</v>
      </c>
      <c r="M10699" t="s">
        <v>40008</v>
      </c>
      <c r="N10699" t="s">
        <v>40436</v>
      </c>
      <c r="O10699" t="s">
        <v>40437</v>
      </c>
      <c r="P10699">
        <v>0</v>
      </c>
      <c r="Q10699">
        <v>0</v>
      </c>
      <c r="R10699" t="s">
        <v>40451</v>
      </c>
      <c r="S10699" t="s">
        <v>41005</v>
      </c>
      <c r="T10699" t="s">
        <v>42134</v>
      </c>
      <c r="U10699" t="s">
        <v>51529</v>
      </c>
      <c r="V10699" t="s">
        <v>54953</v>
      </c>
      <c r="W10699" t="s">
        <v>40008</v>
      </c>
      <c r="X10699" t="s">
        <v>40452</v>
      </c>
    </row>
    <row r="10700" spans="1:24">
      <c r="A10700">
        <f>HYPERLINK("https://www.philgeps.gov.ph/GEPSNONPILOT/Tender/SplashBidNoticeAbstractUI.aspx?menuIndex=3&amp;refID=7025045&amp;Result=3","7025045")</f>
        <v>0</v>
      </c>
      <c r="B10700" t="s">
        <v>2831</v>
      </c>
      <c r="C10700" t="s">
        <v>5618</v>
      </c>
      <c r="E10700" t="s">
        <v>25577</v>
      </c>
      <c r="F10700" t="s">
        <v>28198</v>
      </c>
      <c r="G10700" t="s">
        <v>28205</v>
      </c>
      <c r="H10700" t="s">
        <v>28214</v>
      </c>
      <c r="I10700" t="s">
        <v>3797</v>
      </c>
      <c r="J10700" t="s">
        <v>34954</v>
      </c>
      <c r="K10700" t="s">
        <v>36692</v>
      </c>
      <c r="M10700" t="s">
        <v>40083</v>
      </c>
      <c r="N10700" t="s">
        <v>40436</v>
      </c>
      <c r="O10700" t="s">
        <v>40437</v>
      </c>
      <c r="P10700">
        <v>0</v>
      </c>
      <c r="Q10700">
        <v>30</v>
      </c>
      <c r="R10700" t="s">
        <v>40451</v>
      </c>
      <c r="S10700" t="s">
        <v>41005</v>
      </c>
      <c r="T10700" t="s">
        <v>42130</v>
      </c>
      <c r="U10700" t="s">
        <v>51530</v>
      </c>
      <c r="V10700" t="s">
        <v>54957</v>
      </c>
      <c r="W10700" t="s">
        <v>40083</v>
      </c>
      <c r="X10700" t="s">
        <v>40452</v>
      </c>
    </row>
    <row r="10701" spans="1:24">
      <c r="A10701">
        <f>HYPERLINK("https://www.philgeps.gov.ph/GEPSNONPILOT/Tender/SplashBidNoticeAbstractUI.aspx?menuIndex=3&amp;refID=7025056&amp;Result=3","7025056")</f>
        <v>0</v>
      </c>
      <c r="B10701" t="s">
        <v>1994</v>
      </c>
      <c r="C10701" t="s">
        <v>13297</v>
      </c>
      <c r="D10701" t="s">
        <v>16209</v>
      </c>
      <c r="E10701" t="s">
        <v>25578</v>
      </c>
      <c r="F10701" t="s">
        <v>28198</v>
      </c>
      <c r="G10701" t="s">
        <v>28205</v>
      </c>
      <c r="H10701" t="s">
        <v>28215</v>
      </c>
      <c r="I10701" t="s">
        <v>4168</v>
      </c>
      <c r="J10701" t="s">
        <v>29552</v>
      </c>
      <c r="K10701" t="s">
        <v>36694</v>
      </c>
      <c r="M10701" t="s">
        <v>39132</v>
      </c>
      <c r="N10701" t="s">
        <v>40436</v>
      </c>
      <c r="O10701" t="s">
        <v>40437</v>
      </c>
      <c r="P10701">
        <v>0</v>
      </c>
      <c r="Q10701">
        <v>2</v>
      </c>
      <c r="R10701" t="s">
        <v>40451</v>
      </c>
      <c r="S10701" t="s">
        <v>41005</v>
      </c>
      <c r="T10701" t="s">
        <v>42153</v>
      </c>
      <c r="U10701" t="s">
        <v>42915</v>
      </c>
      <c r="V10701" t="s">
        <v>54958</v>
      </c>
      <c r="W10701" t="s">
        <v>39132</v>
      </c>
      <c r="X10701" t="s">
        <v>40452</v>
      </c>
    </row>
    <row r="10702" spans="1:24">
      <c r="A10702">
        <f>HYPERLINK("https://www.philgeps.gov.ph/GEPSNONPILOT/Tender/SplashBidNoticeAbstractUI.aspx?menuIndex=3&amp;refID=7025046&amp;Result=3","7025046")</f>
        <v>0</v>
      </c>
      <c r="B10702" t="s">
        <v>2832</v>
      </c>
      <c r="C10702" t="s">
        <v>13298</v>
      </c>
      <c r="D10702" t="s">
        <v>16190</v>
      </c>
      <c r="E10702" t="s">
        <v>25579</v>
      </c>
      <c r="F10702" t="s">
        <v>28198</v>
      </c>
      <c r="G10702" t="s">
        <v>28205</v>
      </c>
      <c r="H10702" t="s">
        <v>28215</v>
      </c>
      <c r="I10702" t="s">
        <v>4219</v>
      </c>
      <c r="J10702" t="s">
        <v>34955</v>
      </c>
      <c r="K10702" t="s">
        <v>36698</v>
      </c>
      <c r="M10702" t="s">
        <v>40084</v>
      </c>
      <c r="N10702" t="s">
        <v>40436</v>
      </c>
      <c r="O10702" t="s">
        <v>40437</v>
      </c>
      <c r="P10702">
        <v>0</v>
      </c>
      <c r="Q10702">
        <v>0</v>
      </c>
      <c r="R10702" t="s">
        <v>40451</v>
      </c>
      <c r="S10702" t="s">
        <v>41005</v>
      </c>
      <c r="T10702" t="s">
        <v>42142</v>
      </c>
      <c r="U10702" t="s">
        <v>51531</v>
      </c>
      <c r="W10702" t="s">
        <v>40084</v>
      </c>
      <c r="X10702" t="s">
        <v>40452</v>
      </c>
    </row>
    <row r="10703" spans="1:24">
      <c r="A10703">
        <f>HYPERLINK("https://www.philgeps.gov.ph/GEPSNONPILOT/Tender/SplashBidNoticeAbstractUI.aspx?menuIndex=3&amp;refID=7025021&amp;Result=3","7025021")</f>
        <v>0</v>
      </c>
      <c r="B10703" t="s">
        <v>1994</v>
      </c>
      <c r="C10703" t="s">
        <v>13299</v>
      </c>
      <c r="D10703" t="s">
        <v>16209</v>
      </c>
      <c r="E10703" t="s">
        <v>25580</v>
      </c>
      <c r="F10703" t="s">
        <v>28198</v>
      </c>
      <c r="G10703" t="s">
        <v>28205</v>
      </c>
      <c r="H10703" t="s">
        <v>28215</v>
      </c>
      <c r="I10703" t="s">
        <v>28258</v>
      </c>
      <c r="J10703" t="s">
        <v>34956</v>
      </c>
      <c r="K10703" t="s">
        <v>36694</v>
      </c>
      <c r="M10703" t="s">
        <v>39132</v>
      </c>
      <c r="N10703" t="s">
        <v>40436</v>
      </c>
      <c r="O10703" t="s">
        <v>40437</v>
      </c>
      <c r="P10703">
        <v>0</v>
      </c>
      <c r="Q10703">
        <v>9</v>
      </c>
      <c r="R10703" t="s">
        <v>40451</v>
      </c>
      <c r="S10703" t="s">
        <v>41005</v>
      </c>
      <c r="T10703" t="s">
        <v>42153</v>
      </c>
      <c r="U10703" t="s">
        <v>42915</v>
      </c>
      <c r="V10703" t="s">
        <v>54959</v>
      </c>
      <c r="W10703" t="s">
        <v>39132</v>
      </c>
      <c r="X10703" t="s">
        <v>40452</v>
      </c>
    </row>
    <row r="10704" spans="1:24">
      <c r="A10704">
        <f>HYPERLINK("https://www.philgeps.gov.ph/GEPSNONPILOT/Tender/SplashBidNoticeAbstractUI.aspx?menuIndex=3&amp;refID=7025049&amp;Result=3","7025049")</f>
        <v>0</v>
      </c>
      <c r="B10704" t="s">
        <v>2698</v>
      </c>
      <c r="C10704" t="s">
        <v>13300</v>
      </c>
      <c r="D10704" t="s">
        <v>16194</v>
      </c>
      <c r="E10704" t="s">
        <v>25581</v>
      </c>
      <c r="F10704" t="s">
        <v>28198</v>
      </c>
      <c r="G10704" t="s">
        <v>28205</v>
      </c>
      <c r="H10704" t="s">
        <v>28215</v>
      </c>
      <c r="I10704" t="s">
        <v>28236</v>
      </c>
      <c r="J10704" t="s">
        <v>29409</v>
      </c>
      <c r="K10704" t="s">
        <v>36689</v>
      </c>
      <c r="M10704" t="s">
        <v>39937</v>
      </c>
      <c r="N10704" t="s">
        <v>40436</v>
      </c>
      <c r="O10704" t="s">
        <v>40437</v>
      </c>
      <c r="P10704">
        <v>0</v>
      </c>
      <c r="Q10704">
        <v>1</v>
      </c>
      <c r="R10704" t="s">
        <v>40451</v>
      </c>
      <c r="S10704" t="s">
        <v>41005</v>
      </c>
      <c r="T10704" t="s">
        <v>42275</v>
      </c>
      <c r="U10704" t="s">
        <v>51471</v>
      </c>
      <c r="W10704" t="s">
        <v>39937</v>
      </c>
      <c r="X10704" t="s">
        <v>40452</v>
      </c>
    </row>
    <row r="10705" spans="1:24">
      <c r="A10705">
        <f>HYPERLINK("https://www.philgeps.gov.ph/GEPSNONPILOT/Tender/SplashBidNoticeAbstractUI.aspx?menuIndex=3&amp;refID=7025072&amp;Result=3","7025072")</f>
        <v>0</v>
      </c>
      <c r="B10705" t="s">
        <v>1063</v>
      </c>
      <c r="C10705" t="s">
        <v>13301</v>
      </c>
      <c r="D10705" t="s">
        <v>16188</v>
      </c>
      <c r="E10705" t="s">
        <v>25582</v>
      </c>
      <c r="F10705" t="s">
        <v>28198</v>
      </c>
      <c r="G10705" t="s">
        <v>28205</v>
      </c>
      <c r="H10705" t="s">
        <v>28215</v>
      </c>
      <c r="I10705" t="s">
        <v>5100</v>
      </c>
      <c r="J10705" t="s">
        <v>34957</v>
      </c>
      <c r="K10705" t="s">
        <v>36689</v>
      </c>
      <c r="M10705" t="s">
        <v>38491</v>
      </c>
      <c r="N10705" t="s">
        <v>40436</v>
      </c>
      <c r="O10705" t="s">
        <v>40437</v>
      </c>
      <c r="Q10705">
        <v>3</v>
      </c>
      <c r="R10705" t="s">
        <v>40451</v>
      </c>
      <c r="S10705" t="s">
        <v>41045</v>
      </c>
      <c r="T10705" t="s">
        <v>42203</v>
      </c>
      <c r="U10705" t="s">
        <v>51527</v>
      </c>
      <c r="W10705" t="s">
        <v>38491</v>
      </c>
      <c r="X10705" t="s">
        <v>40452</v>
      </c>
    </row>
    <row r="10706" spans="1:24">
      <c r="A10706">
        <f>HYPERLINK("https://www.philgeps.gov.ph/GEPSNONPILOT/Tender/SplashBidNoticeAbstractUI.aspx?menuIndex=3&amp;refID=7025079&amp;Result=3","7025079")</f>
        <v>0</v>
      </c>
      <c r="B10706" t="s">
        <v>1288</v>
      </c>
      <c r="C10706" t="s">
        <v>13302</v>
      </c>
      <c r="D10706" t="s">
        <v>16227</v>
      </c>
      <c r="E10706" t="s">
        <v>25583</v>
      </c>
      <c r="F10706" t="s">
        <v>28200</v>
      </c>
      <c r="G10706" t="s">
        <v>28205</v>
      </c>
      <c r="H10706" t="s">
        <v>28215</v>
      </c>
      <c r="I10706" t="s">
        <v>28258</v>
      </c>
      <c r="J10706" t="s">
        <v>28699</v>
      </c>
      <c r="K10706" t="s">
        <v>36694</v>
      </c>
      <c r="M10706" t="s">
        <v>38341</v>
      </c>
      <c r="N10706" t="s">
        <v>40436</v>
      </c>
      <c r="O10706" t="s">
        <v>40437</v>
      </c>
      <c r="Q10706">
        <v>16</v>
      </c>
      <c r="R10706" t="s">
        <v>40451</v>
      </c>
      <c r="S10706" t="s">
        <v>41046</v>
      </c>
      <c r="T10706" t="s">
        <v>42305</v>
      </c>
      <c r="U10706" t="s">
        <v>51532</v>
      </c>
      <c r="W10706" t="s">
        <v>38341</v>
      </c>
      <c r="X10706" t="s">
        <v>40452</v>
      </c>
    </row>
    <row r="10707" spans="1:24">
      <c r="A10707">
        <f>HYPERLINK("https://www.philgeps.gov.ph/GEPSNONPILOT/Tender/SplashBidNoticeAbstractUI.aspx?menuIndex=3&amp;refID=7025117&amp;Result=3","7025117")</f>
        <v>0</v>
      </c>
      <c r="B10707" t="s">
        <v>1990</v>
      </c>
      <c r="C10707" t="s">
        <v>13303</v>
      </c>
      <c r="D10707" t="s">
        <v>16258</v>
      </c>
      <c r="E10707" t="s">
        <v>25584</v>
      </c>
      <c r="F10707" t="s">
        <v>28198</v>
      </c>
      <c r="G10707" t="s">
        <v>28205</v>
      </c>
      <c r="H10707" t="s">
        <v>28214</v>
      </c>
      <c r="I10707" t="s">
        <v>3797</v>
      </c>
      <c r="J10707" t="s">
        <v>34958</v>
      </c>
      <c r="K10707" t="s">
        <v>36715</v>
      </c>
      <c r="M10707" t="s">
        <v>39436</v>
      </c>
      <c r="N10707" t="s">
        <v>40436</v>
      </c>
      <c r="O10707" t="s">
        <v>40437</v>
      </c>
      <c r="P10707">
        <v>0</v>
      </c>
      <c r="Q10707">
        <v>0</v>
      </c>
      <c r="R10707" t="s">
        <v>40451</v>
      </c>
      <c r="S10707" t="s">
        <v>41005</v>
      </c>
      <c r="T10707" t="s">
        <v>42331</v>
      </c>
      <c r="U10707" t="s">
        <v>51533</v>
      </c>
      <c r="V10707" t="s">
        <v>54542</v>
      </c>
      <c r="W10707" t="s">
        <v>39436</v>
      </c>
      <c r="X10707" t="s">
        <v>40452</v>
      </c>
    </row>
    <row r="10708" spans="1:24">
      <c r="A10708">
        <f>HYPERLINK("https://www.philgeps.gov.ph/GEPSNONPILOT/Tender/SplashBidNoticeAbstractUI.aspx?menuIndex=3&amp;refID=7025119&amp;Result=3","7025119")</f>
        <v>0</v>
      </c>
      <c r="B10708" t="s">
        <v>1677</v>
      </c>
      <c r="C10708" t="s">
        <v>13304</v>
      </c>
      <c r="D10708" t="s">
        <v>16209</v>
      </c>
      <c r="E10708" t="s">
        <v>25585</v>
      </c>
      <c r="F10708" t="s">
        <v>28198</v>
      </c>
      <c r="G10708" t="s">
        <v>28205</v>
      </c>
      <c r="H10708" t="s">
        <v>28215</v>
      </c>
      <c r="I10708" t="s">
        <v>28224</v>
      </c>
      <c r="J10708" t="s">
        <v>31837</v>
      </c>
      <c r="K10708" t="s">
        <v>36707</v>
      </c>
      <c r="M10708" t="s">
        <v>38773</v>
      </c>
      <c r="N10708" t="s">
        <v>40436</v>
      </c>
      <c r="O10708" t="s">
        <v>40437</v>
      </c>
      <c r="P10708">
        <v>0</v>
      </c>
      <c r="Q10708">
        <v>1</v>
      </c>
      <c r="R10708" t="s">
        <v>40451</v>
      </c>
      <c r="S10708" t="s">
        <v>41005</v>
      </c>
      <c r="T10708" t="s">
        <v>42171</v>
      </c>
      <c r="U10708" t="s">
        <v>51534</v>
      </c>
      <c r="V10708" t="s">
        <v>54960</v>
      </c>
      <c r="W10708" t="s">
        <v>38773</v>
      </c>
      <c r="X10708" t="s">
        <v>40452</v>
      </c>
    </row>
    <row r="10709" spans="1:24">
      <c r="A10709">
        <f>HYPERLINK("https://www.philgeps.gov.ph/GEPSNONPILOT/Tender/SplashBidNoticeAbstractUI.aspx?menuIndex=3&amp;refID=7025076&amp;Result=3","7025076")</f>
        <v>0</v>
      </c>
      <c r="B10709" t="s">
        <v>1990</v>
      </c>
      <c r="C10709" t="s">
        <v>13305</v>
      </c>
      <c r="D10709" t="s">
        <v>16258</v>
      </c>
      <c r="E10709" t="s">
        <v>25586</v>
      </c>
      <c r="F10709" t="s">
        <v>28198</v>
      </c>
      <c r="G10709" t="s">
        <v>28205</v>
      </c>
      <c r="H10709" t="s">
        <v>28214</v>
      </c>
      <c r="I10709" t="s">
        <v>3797</v>
      </c>
      <c r="J10709" t="s">
        <v>34959</v>
      </c>
      <c r="K10709" t="s">
        <v>36692</v>
      </c>
      <c r="M10709" t="s">
        <v>39436</v>
      </c>
      <c r="N10709" t="s">
        <v>40436</v>
      </c>
      <c r="O10709" t="s">
        <v>40437</v>
      </c>
      <c r="P10709">
        <v>0</v>
      </c>
      <c r="Q10709">
        <v>0</v>
      </c>
      <c r="R10709" t="s">
        <v>40451</v>
      </c>
      <c r="S10709" t="s">
        <v>41005</v>
      </c>
      <c r="T10709" t="s">
        <v>42331</v>
      </c>
      <c r="U10709" t="s">
        <v>51535</v>
      </c>
      <c r="V10709" t="s">
        <v>54542</v>
      </c>
      <c r="W10709" t="s">
        <v>39436</v>
      </c>
      <c r="X10709" t="s">
        <v>40452</v>
      </c>
    </row>
    <row r="10710" spans="1:24">
      <c r="A10710">
        <f>HYPERLINK("https://www.philgeps.gov.ph/GEPSNONPILOT/Tender/SplashBidNoticeAbstractUI.aspx?menuIndex=3&amp;refID=7025116&amp;Result=3","7025116")</f>
        <v>0</v>
      </c>
      <c r="B10710" t="s">
        <v>420</v>
      </c>
      <c r="C10710" t="s">
        <v>13306</v>
      </c>
      <c r="D10710" t="s">
        <v>16222</v>
      </c>
      <c r="E10710" t="s">
        <v>25587</v>
      </c>
      <c r="F10710" t="s">
        <v>28198</v>
      </c>
      <c r="G10710" t="s">
        <v>28205</v>
      </c>
      <c r="H10710" t="s">
        <v>28216</v>
      </c>
      <c r="I10710" t="s">
        <v>28216</v>
      </c>
      <c r="J10710" t="s">
        <v>34960</v>
      </c>
      <c r="K10710" t="s">
        <v>36817</v>
      </c>
      <c r="M10710" t="s">
        <v>37402</v>
      </c>
      <c r="N10710" t="s">
        <v>40436</v>
      </c>
      <c r="O10710" t="s">
        <v>40437</v>
      </c>
      <c r="Q10710">
        <v>2</v>
      </c>
      <c r="R10710" t="s">
        <v>40451</v>
      </c>
      <c r="S10710" t="s">
        <v>41047</v>
      </c>
      <c r="T10710" t="s">
        <v>42103</v>
      </c>
      <c r="U10710" t="s">
        <v>51536</v>
      </c>
      <c r="W10710" t="s">
        <v>37402</v>
      </c>
      <c r="X10710" t="s">
        <v>40452</v>
      </c>
    </row>
    <row r="10711" spans="1:24">
      <c r="A10711">
        <f>HYPERLINK("https://www.philgeps.gov.ph/GEPSNONPILOT/Tender/SplashBidNoticeAbstractUI.aspx?menuIndex=3&amp;refID=7025124&amp;Result=3","7025124")</f>
        <v>0</v>
      </c>
      <c r="B10711" t="s">
        <v>1063</v>
      </c>
      <c r="C10711" t="s">
        <v>13307</v>
      </c>
      <c r="D10711" t="s">
        <v>16188</v>
      </c>
      <c r="E10711" t="s">
        <v>25588</v>
      </c>
      <c r="F10711" t="s">
        <v>28198</v>
      </c>
      <c r="G10711" t="s">
        <v>28213</v>
      </c>
      <c r="H10711" t="s">
        <v>28215</v>
      </c>
      <c r="I10711" t="s">
        <v>28319</v>
      </c>
      <c r="J10711" t="s">
        <v>34961</v>
      </c>
      <c r="K10711" t="s">
        <v>36689</v>
      </c>
      <c r="M10711" t="s">
        <v>38491</v>
      </c>
      <c r="N10711" t="s">
        <v>40436</v>
      </c>
      <c r="O10711" t="s">
        <v>40437</v>
      </c>
      <c r="Q10711">
        <v>0</v>
      </c>
      <c r="R10711" t="s">
        <v>40451</v>
      </c>
      <c r="S10711" t="s">
        <v>41048</v>
      </c>
      <c r="T10711" t="s">
        <v>42203</v>
      </c>
      <c r="U10711" t="s">
        <v>51537</v>
      </c>
      <c r="W10711" t="s">
        <v>38491</v>
      </c>
      <c r="X10711" t="s">
        <v>40452</v>
      </c>
    </row>
    <row r="10712" spans="1:24">
      <c r="A10712">
        <f>HYPERLINK("https://www.philgeps.gov.ph/GEPSNONPILOT/Tender/SplashBidNoticeAbstractUI.aspx?menuIndex=3&amp;refID=7025077&amp;Result=3","7025077")</f>
        <v>0</v>
      </c>
      <c r="B10712" t="s">
        <v>2298</v>
      </c>
      <c r="C10712" t="s">
        <v>13308</v>
      </c>
      <c r="D10712" t="s">
        <v>16240</v>
      </c>
      <c r="E10712" t="s">
        <v>18726</v>
      </c>
      <c r="F10712" t="s">
        <v>28198</v>
      </c>
      <c r="G10712" t="s">
        <v>28207</v>
      </c>
      <c r="H10712" t="s">
        <v>28215</v>
      </c>
      <c r="I10712" t="s">
        <v>28265</v>
      </c>
      <c r="J10712" t="s">
        <v>34962</v>
      </c>
      <c r="K10712" t="s">
        <v>36693</v>
      </c>
      <c r="M10712" t="s">
        <v>39473</v>
      </c>
      <c r="N10712" t="s">
        <v>40436</v>
      </c>
      <c r="O10712" t="s">
        <v>40437</v>
      </c>
      <c r="P10712">
        <v>0</v>
      </c>
      <c r="Q10712">
        <v>0</v>
      </c>
      <c r="R10712" t="s">
        <v>40451</v>
      </c>
      <c r="S10712" t="s">
        <v>41005</v>
      </c>
      <c r="T10712" t="s">
        <v>42205</v>
      </c>
      <c r="U10712" t="s">
        <v>51538</v>
      </c>
      <c r="W10712" t="s">
        <v>39473</v>
      </c>
      <c r="X10712" t="s">
        <v>40452</v>
      </c>
    </row>
    <row r="10713" spans="1:24">
      <c r="A10713">
        <f>HYPERLINK("https://www.philgeps.gov.ph/GEPSNONPILOT/Tender/SplashBidNoticeAbstractUI.aspx?menuIndex=3&amp;refID=7025099&amp;Result=3","7025099")</f>
        <v>0</v>
      </c>
      <c r="B10713" t="s">
        <v>1990</v>
      </c>
      <c r="C10713" t="s">
        <v>13309</v>
      </c>
      <c r="D10713" t="s">
        <v>16258</v>
      </c>
      <c r="E10713" t="s">
        <v>25589</v>
      </c>
      <c r="F10713" t="s">
        <v>28198</v>
      </c>
      <c r="G10713" t="s">
        <v>28205</v>
      </c>
      <c r="H10713" t="s">
        <v>28214</v>
      </c>
      <c r="I10713" t="s">
        <v>3797</v>
      </c>
      <c r="J10713" t="s">
        <v>34963</v>
      </c>
      <c r="K10713" t="s">
        <v>36715</v>
      </c>
      <c r="M10713" t="s">
        <v>39436</v>
      </c>
      <c r="N10713" t="s">
        <v>40436</v>
      </c>
      <c r="O10713" t="s">
        <v>40437</v>
      </c>
      <c r="P10713">
        <v>0</v>
      </c>
      <c r="Q10713">
        <v>0</v>
      </c>
      <c r="R10713" t="s">
        <v>40451</v>
      </c>
      <c r="S10713" t="s">
        <v>41005</v>
      </c>
      <c r="T10713" t="s">
        <v>42331</v>
      </c>
      <c r="U10713" t="s">
        <v>51533</v>
      </c>
      <c r="V10713" t="s">
        <v>54542</v>
      </c>
      <c r="W10713" t="s">
        <v>39436</v>
      </c>
      <c r="X10713" t="s">
        <v>40452</v>
      </c>
    </row>
    <row r="10714" spans="1:24">
      <c r="A10714">
        <f>HYPERLINK("https://www.philgeps.gov.ph/GEPSNONPILOT/Tender/SplashBidNoticeAbstractUI.aspx?menuIndex=3&amp;refID=7025115&amp;Result=3","7025115")</f>
        <v>0</v>
      </c>
      <c r="B10714" t="s">
        <v>1994</v>
      </c>
      <c r="C10714" t="s">
        <v>13310</v>
      </c>
      <c r="D10714" t="s">
        <v>16209</v>
      </c>
      <c r="E10714" t="s">
        <v>16650</v>
      </c>
      <c r="F10714" t="s">
        <v>28198</v>
      </c>
      <c r="G10714" t="s">
        <v>28205</v>
      </c>
      <c r="H10714" t="s">
        <v>28215</v>
      </c>
      <c r="I10714" t="s">
        <v>8888</v>
      </c>
      <c r="J10714" t="s">
        <v>34964</v>
      </c>
      <c r="K10714" t="s">
        <v>36701</v>
      </c>
      <c r="M10714" t="s">
        <v>39132</v>
      </c>
      <c r="N10714" t="s">
        <v>40436</v>
      </c>
      <c r="O10714" t="s">
        <v>40437</v>
      </c>
      <c r="P10714">
        <v>0</v>
      </c>
      <c r="Q10714">
        <v>3</v>
      </c>
      <c r="R10714" t="s">
        <v>40451</v>
      </c>
      <c r="S10714" t="s">
        <v>41005</v>
      </c>
      <c r="T10714" t="s">
        <v>42153</v>
      </c>
      <c r="U10714" t="s">
        <v>42915</v>
      </c>
      <c r="V10714" t="s">
        <v>54961</v>
      </c>
      <c r="W10714" t="s">
        <v>39132</v>
      </c>
      <c r="X10714" t="s">
        <v>40452</v>
      </c>
    </row>
    <row r="10715" spans="1:24">
      <c r="A10715">
        <f>HYPERLINK("https://www.philgeps.gov.ph/GEPSNONPILOT/Tender/SplashBidNoticeAbstractUI.aspx?menuIndex=3&amp;refID=7025088&amp;Result=3","7025088")</f>
        <v>0</v>
      </c>
      <c r="B10715" t="s">
        <v>1994</v>
      </c>
      <c r="C10715" t="s">
        <v>13311</v>
      </c>
      <c r="D10715" t="s">
        <v>16209</v>
      </c>
      <c r="E10715" t="s">
        <v>16632</v>
      </c>
      <c r="F10715" t="s">
        <v>28198</v>
      </c>
      <c r="G10715" t="s">
        <v>28205</v>
      </c>
      <c r="H10715" t="s">
        <v>28215</v>
      </c>
      <c r="I10715" t="s">
        <v>3774</v>
      </c>
      <c r="J10715" t="s">
        <v>34965</v>
      </c>
      <c r="K10715" t="s">
        <v>36715</v>
      </c>
      <c r="M10715" t="s">
        <v>39132</v>
      </c>
      <c r="N10715" t="s">
        <v>40436</v>
      </c>
      <c r="O10715" t="s">
        <v>40437</v>
      </c>
      <c r="P10715">
        <v>0</v>
      </c>
      <c r="Q10715">
        <v>1</v>
      </c>
      <c r="R10715" t="s">
        <v>40451</v>
      </c>
      <c r="S10715" t="s">
        <v>41005</v>
      </c>
      <c r="T10715" t="s">
        <v>42153</v>
      </c>
      <c r="U10715" t="s">
        <v>42915</v>
      </c>
      <c r="V10715" t="s">
        <v>54961</v>
      </c>
      <c r="W10715" t="s">
        <v>39132</v>
      </c>
      <c r="X10715" t="s">
        <v>40452</v>
      </c>
    </row>
    <row r="10716" spans="1:24">
      <c r="A10716">
        <f>HYPERLINK("https://www.philgeps.gov.ph/GEPSNONPILOT/Tender/SplashBidNoticeAbstractUI.aspx?menuIndex=3&amp;refID=7025087&amp;Result=3","7025087")</f>
        <v>0</v>
      </c>
      <c r="B10716" t="s">
        <v>1063</v>
      </c>
      <c r="C10716" t="s">
        <v>13312</v>
      </c>
      <c r="D10716" t="s">
        <v>16188</v>
      </c>
      <c r="E10716" t="s">
        <v>25590</v>
      </c>
      <c r="F10716" t="s">
        <v>28198</v>
      </c>
      <c r="G10716" t="s">
        <v>28205</v>
      </c>
      <c r="H10716" t="s">
        <v>28215</v>
      </c>
      <c r="I10716" t="s">
        <v>28226</v>
      </c>
      <c r="J10716" t="s">
        <v>34966</v>
      </c>
      <c r="K10716" t="s">
        <v>36689</v>
      </c>
      <c r="M10716" t="s">
        <v>38491</v>
      </c>
      <c r="N10716" t="s">
        <v>40436</v>
      </c>
      <c r="O10716" t="s">
        <v>40437</v>
      </c>
      <c r="Q10716">
        <v>7</v>
      </c>
      <c r="R10716" t="s">
        <v>40451</v>
      </c>
      <c r="S10716" t="s">
        <v>41028</v>
      </c>
      <c r="T10716" t="s">
        <v>42203</v>
      </c>
      <c r="U10716" t="s">
        <v>51539</v>
      </c>
      <c r="W10716" t="s">
        <v>38491</v>
      </c>
      <c r="X10716" t="s">
        <v>40452</v>
      </c>
    </row>
    <row r="10717" spans="1:24">
      <c r="A10717">
        <f>HYPERLINK("https://www.philgeps.gov.ph/GEPSNONPILOT/Tender/SplashBidNoticeAbstractUI.aspx?menuIndex=3&amp;refID=7025136&amp;Result=3","7025136")</f>
        <v>0</v>
      </c>
      <c r="B10717" t="s">
        <v>1994</v>
      </c>
      <c r="C10717" t="s">
        <v>13313</v>
      </c>
      <c r="D10717" t="s">
        <v>16209</v>
      </c>
      <c r="E10717" t="s">
        <v>16757</v>
      </c>
      <c r="F10717" t="s">
        <v>28198</v>
      </c>
      <c r="G10717" t="s">
        <v>28205</v>
      </c>
      <c r="H10717" t="s">
        <v>28215</v>
      </c>
      <c r="I10717" t="s">
        <v>28247</v>
      </c>
      <c r="J10717" t="s">
        <v>31427</v>
      </c>
      <c r="K10717" t="s">
        <v>36701</v>
      </c>
      <c r="M10717" t="s">
        <v>39132</v>
      </c>
      <c r="N10717" t="s">
        <v>40436</v>
      </c>
      <c r="O10717" t="s">
        <v>40437</v>
      </c>
      <c r="P10717">
        <v>0</v>
      </c>
      <c r="Q10717">
        <v>3</v>
      </c>
      <c r="R10717" t="s">
        <v>40451</v>
      </c>
      <c r="S10717" t="s">
        <v>41005</v>
      </c>
      <c r="T10717" t="s">
        <v>42153</v>
      </c>
      <c r="U10717" t="s">
        <v>42915</v>
      </c>
      <c r="V10717" t="s">
        <v>54961</v>
      </c>
      <c r="W10717" t="s">
        <v>39132</v>
      </c>
      <c r="X10717" t="s">
        <v>40452</v>
      </c>
    </row>
    <row r="10718" spans="1:24">
      <c r="A10718">
        <f>HYPERLINK("https://www.philgeps.gov.ph/GEPSNONPILOT/Tender/SplashBidNoticeAbstractUI.aspx?menuIndex=3&amp;refID=7025093&amp;Result=3","7025093")</f>
        <v>0</v>
      </c>
      <c r="B10718" t="s">
        <v>272</v>
      </c>
      <c r="C10718" t="s">
        <v>13314</v>
      </c>
      <c r="D10718" t="s">
        <v>16202</v>
      </c>
      <c r="E10718" t="s">
        <v>25591</v>
      </c>
      <c r="F10718" t="s">
        <v>28198</v>
      </c>
      <c r="G10718" t="s">
        <v>28205</v>
      </c>
      <c r="H10718" t="s">
        <v>28214</v>
      </c>
      <c r="I10718" t="s">
        <v>3797</v>
      </c>
      <c r="J10718" t="s">
        <v>34967</v>
      </c>
      <c r="K10718" t="s">
        <v>36905</v>
      </c>
      <c r="M10718" t="s">
        <v>37249</v>
      </c>
      <c r="N10718" t="s">
        <v>40436</v>
      </c>
      <c r="O10718" t="s">
        <v>40437</v>
      </c>
      <c r="P10718">
        <v>0</v>
      </c>
      <c r="Q10718">
        <v>2</v>
      </c>
      <c r="R10718" t="s">
        <v>40451</v>
      </c>
      <c r="S10718" t="s">
        <v>41005</v>
      </c>
      <c r="T10718" t="s">
        <v>42397</v>
      </c>
      <c r="U10718" t="s">
        <v>51540</v>
      </c>
      <c r="W10718" t="s">
        <v>37249</v>
      </c>
      <c r="X10718" t="s">
        <v>40452</v>
      </c>
    </row>
    <row r="10719" spans="1:24">
      <c r="A10719">
        <f>HYPERLINK("https://www.philgeps.gov.ph/GEPSNONPILOT/Tender/SplashBidNoticeAbstractUI.aspx?menuIndex=3&amp;refID=7025103&amp;Result=3","7025103")</f>
        <v>0</v>
      </c>
      <c r="B10719" t="s">
        <v>1309</v>
      </c>
      <c r="C10719" t="s">
        <v>13315</v>
      </c>
      <c r="D10719" t="s">
        <v>16259</v>
      </c>
      <c r="E10719" t="s">
        <v>25592</v>
      </c>
      <c r="F10719" t="s">
        <v>28198</v>
      </c>
      <c r="G10719" t="s">
        <v>28205</v>
      </c>
      <c r="H10719" t="s">
        <v>28214</v>
      </c>
      <c r="I10719" t="s">
        <v>3797</v>
      </c>
      <c r="J10719" t="s">
        <v>34968</v>
      </c>
      <c r="K10719" t="s">
        <v>36737</v>
      </c>
      <c r="M10719" t="s">
        <v>38363</v>
      </c>
      <c r="N10719" t="s">
        <v>40436</v>
      </c>
      <c r="O10719" t="s">
        <v>40437</v>
      </c>
      <c r="Q10719">
        <v>0</v>
      </c>
      <c r="R10719" t="s">
        <v>40451</v>
      </c>
      <c r="S10719" t="s">
        <v>41049</v>
      </c>
      <c r="T10719" t="s">
        <v>42110</v>
      </c>
      <c r="U10719" t="s">
        <v>51541</v>
      </c>
      <c r="W10719" t="s">
        <v>38363</v>
      </c>
      <c r="X10719" t="s">
        <v>40452</v>
      </c>
    </row>
    <row r="10720" spans="1:24">
      <c r="A10720">
        <f>HYPERLINK("https://www.philgeps.gov.ph/GEPSNONPILOT/Tender/SplashBidNoticeAbstractUI.aspx?menuIndex=3&amp;refID=7025094&amp;Result=3","7025094")</f>
        <v>0</v>
      </c>
      <c r="B10720" t="s">
        <v>432</v>
      </c>
      <c r="C10720" t="s">
        <v>13316</v>
      </c>
      <c r="D10720" t="s">
        <v>16262</v>
      </c>
      <c r="E10720" t="s">
        <v>25593</v>
      </c>
      <c r="F10720" t="s">
        <v>28198</v>
      </c>
      <c r="G10720" t="s">
        <v>28205</v>
      </c>
      <c r="H10720" t="s">
        <v>28215</v>
      </c>
      <c r="I10720" t="s">
        <v>5100</v>
      </c>
      <c r="J10720" t="s">
        <v>34969</v>
      </c>
      <c r="K10720" t="s">
        <v>36707</v>
      </c>
      <c r="M10720" t="s">
        <v>37415</v>
      </c>
      <c r="N10720" t="s">
        <v>40436</v>
      </c>
      <c r="O10720" t="s">
        <v>40437</v>
      </c>
      <c r="Q10720">
        <v>0</v>
      </c>
      <c r="R10720" t="s">
        <v>40451</v>
      </c>
      <c r="S10720" t="s">
        <v>41050</v>
      </c>
      <c r="T10720" t="s">
        <v>42346</v>
      </c>
      <c r="U10720" t="s">
        <v>51542</v>
      </c>
      <c r="W10720" t="s">
        <v>37415</v>
      </c>
      <c r="X10720" t="s">
        <v>40452</v>
      </c>
    </row>
    <row r="10721" spans="1:24">
      <c r="A10721">
        <f>HYPERLINK("https://www.philgeps.gov.ph/GEPSNONPILOT/Tender/SplashBidNoticeAbstractUI.aspx?menuIndex=3&amp;refID=7025125&amp;Result=3","7025125")</f>
        <v>0</v>
      </c>
      <c r="B10721" t="s">
        <v>2820</v>
      </c>
      <c r="C10721" t="s">
        <v>13317</v>
      </c>
      <c r="D10721" t="s">
        <v>16228</v>
      </c>
      <c r="E10721" t="s">
        <v>25594</v>
      </c>
      <c r="F10721" t="s">
        <v>28198</v>
      </c>
      <c r="G10721" t="s">
        <v>28205</v>
      </c>
      <c r="H10721" t="s">
        <v>28215</v>
      </c>
      <c r="I10721" t="s">
        <v>8888</v>
      </c>
      <c r="J10721" t="s">
        <v>34970</v>
      </c>
      <c r="K10721" t="s">
        <v>36707</v>
      </c>
      <c r="M10721" t="s">
        <v>40071</v>
      </c>
      <c r="N10721" t="s">
        <v>40436</v>
      </c>
      <c r="O10721" t="s">
        <v>40437</v>
      </c>
      <c r="P10721">
        <v>0</v>
      </c>
      <c r="Q10721">
        <v>2</v>
      </c>
      <c r="R10721" t="s">
        <v>40451</v>
      </c>
      <c r="S10721" t="s">
        <v>41005</v>
      </c>
      <c r="T10721" t="s">
        <v>42287</v>
      </c>
      <c r="U10721" t="s">
        <v>51543</v>
      </c>
      <c r="W10721" t="s">
        <v>55535</v>
      </c>
      <c r="X10721" t="s">
        <v>40452</v>
      </c>
    </row>
    <row r="10722" spans="1:24">
      <c r="A10722">
        <f>HYPERLINK("https://www.philgeps.gov.ph/GEPSNONPILOT/Tender/SplashBidNoticeAbstractUI.aspx?menuIndex=3&amp;refID=7025134&amp;Result=3","7025134")</f>
        <v>0</v>
      </c>
      <c r="B10722" t="s">
        <v>1063</v>
      </c>
      <c r="C10722" t="s">
        <v>13318</v>
      </c>
      <c r="D10722" t="s">
        <v>16188</v>
      </c>
      <c r="E10722" t="s">
        <v>25595</v>
      </c>
      <c r="F10722" t="s">
        <v>28198</v>
      </c>
      <c r="G10722" t="s">
        <v>28205</v>
      </c>
      <c r="H10722" t="s">
        <v>28215</v>
      </c>
      <c r="I10722" t="s">
        <v>28265</v>
      </c>
      <c r="J10722" t="s">
        <v>34971</v>
      </c>
      <c r="K10722" t="s">
        <v>36689</v>
      </c>
      <c r="M10722" t="s">
        <v>38491</v>
      </c>
      <c r="N10722" t="s">
        <v>40436</v>
      </c>
      <c r="O10722" t="s">
        <v>40437</v>
      </c>
      <c r="Q10722">
        <v>2</v>
      </c>
      <c r="R10722" t="s">
        <v>40451</v>
      </c>
      <c r="S10722" t="s">
        <v>41051</v>
      </c>
      <c r="T10722" t="s">
        <v>42203</v>
      </c>
      <c r="U10722" t="s">
        <v>51544</v>
      </c>
      <c r="W10722" t="s">
        <v>38491</v>
      </c>
      <c r="X10722" t="s">
        <v>40452</v>
      </c>
    </row>
    <row r="10723" spans="1:24">
      <c r="A10723">
        <f>HYPERLINK("https://www.philgeps.gov.ph/GEPSNONPILOT/Tender/SplashBidNoticeAbstractUI.aspx?menuIndex=3&amp;refID=7025132&amp;Result=3","7025132")</f>
        <v>0</v>
      </c>
      <c r="B10723" t="s">
        <v>1990</v>
      </c>
      <c r="C10723" t="s">
        <v>13319</v>
      </c>
      <c r="D10723" t="s">
        <v>16258</v>
      </c>
      <c r="E10723" t="s">
        <v>25596</v>
      </c>
      <c r="F10723" t="s">
        <v>28198</v>
      </c>
      <c r="G10723" t="s">
        <v>28205</v>
      </c>
      <c r="H10723" t="s">
        <v>28214</v>
      </c>
      <c r="I10723" t="s">
        <v>3797</v>
      </c>
      <c r="J10723" t="s">
        <v>34972</v>
      </c>
      <c r="K10723" t="s">
        <v>36923</v>
      </c>
      <c r="M10723" t="s">
        <v>39436</v>
      </c>
      <c r="N10723" t="s">
        <v>40436</v>
      </c>
      <c r="O10723" t="s">
        <v>40437</v>
      </c>
      <c r="P10723">
        <v>0</v>
      </c>
      <c r="Q10723">
        <v>0</v>
      </c>
      <c r="R10723" t="s">
        <v>40451</v>
      </c>
      <c r="S10723" t="s">
        <v>41005</v>
      </c>
      <c r="T10723" t="s">
        <v>42331</v>
      </c>
      <c r="U10723" t="s">
        <v>51545</v>
      </c>
      <c r="V10723" t="s">
        <v>54542</v>
      </c>
      <c r="W10723" t="s">
        <v>39436</v>
      </c>
      <c r="X10723" t="s">
        <v>40452</v>
      </c>
    </row>
    <row r="10724" spans="1:24">
      <c r="A10724">
        <f>HYPERLINK("https://www.philgeps.gov.ph/GEPSNONPILOT/Tender/SplashBidNoticeAbstractUI.aspx?menuIndex=3&amp;refID=7025139&amp;Result=3","7025139")</f>
        <v>0</v>
      </c>
      <c r="B10724" t="s">
        <v>1309</v>
      </c>
      <c r="C10724" t="s">
        <v>13320</v>
      </c>
      <c r="D10724" t="s">
        <v>16259</v>
      </c>
      <c r="E10724" t="s">
        <v>25597</v>
      </c>
      <c r="F10724" t="s">
        <v>28198</v>
      </c>
      <c r="G10724" t="s">
        <v>28205</v>
      </c>
      <c r="H10724" t="s">
        <v>28214</v>
      </c>
      <c r="I10724" t="s">
        <v>3797</v>
      </c>
      <c r="J10724" t="s">
        <v>33132</v>
      </c>
      <c r="K10724" t="s">
        <v>36797</v>
      </c>
      <c r="M10724" t="s">
        <v>38363</v>
      </c>
      <c r="N10724" t="s">
        <v>40436</v>
      </c>
      <c r="O10724" t="s">
        <v>40437</v>
      </c>
      <c r="Q10724">
        <v>0</v>
      </c>
      <c r="R10724" t="s">
        <v>40451</v>
      </c>
      <c r="S10724" t="s">
        <v>41052</v>
      </c>
      <c r="T10724" t="s">
        <v>42110</v>
      </c>
      <c r="U10724" t="s">
        <v>51546</v>
      </c>
      <c r="W10724" t="s">
        <v>38363</v>
      </c>
      <c r="X10724" t="s">
        <v>40452</v>
      </c>
    </row>
    <row r="10725" spans="1:24">
      <c r="A10725">
        <f>HYPERLINK("https://www.philgeps.gov.ph/GEPSNONPILOT/Tender/SplashBidNoticeAbstractUI.aspx?menuIndex=3&amp;refID=7025126&amp;Result=3","7025126")</f>
        <v>0</v>
      </c>
      <c r="B10725" t="s">
        <v>1309</v>
      </c>
      <c r="C10725" t="s">
        <v>13321</v>
      </c>
      <c r="D10725" t="s">
        <v>16259</v>
      </c>
      <c r="E10725" t="s">
        <v>25598</v>
      </c>
      <c r="F10725" t="s">
        <v>28198</v>
      </c>
      <c r="G10725" t="s">
        <v>28205</v>
      </c>
      <c r="H10725" t="s">
        <v>28214</v>
      </c>
      <c r="I10725" t="s">
        <v>3797</v>
      </c>
      <c r="J10725" t="s">
        <v>30373</v>
      </c>
      <c r="K10725" t="s">
        <v>36882</v>
      </c>
      <c r="M10725" t="s">
        <v>38363</v>
      </c>
      <c r="N10725" t="s">
        <v>40436</v>
      </c>
      <c r="O10725" t="s">
        <v>40437</v>
      </c>
      <c r="Q10725">
        <v>0</v>
      </c>
      <c r="R10725" t="s">
        <v>40451</v>
      </c>
      <c r="S10725" t="s">
        <v>41053</v>
      </c>
      <c r="T10725" t="s">
        <v>42110</v>
      </c>
      <c r="U10725" t="s">
        <v>51547</v>
      </c>
      <c r="W10725" t="s">
        <v>38363</v>
      </c>
      <c r="X10725" t="s">
        <v>40452</v>
      </c>
    </row>
    <row r="10726" spans="1:24">
      <c r="A10726">
        <f>HYPERLINK("https://www.philgeps.gov.ph/GEPSNONPILOT/Tender/SplashBidNoticeAbstractUI.aspx?menuIndex=3&amp;refID=7025165&amp;Result=3","7025165")</f>
        <v>0</v>
      </c>
      <c r="B10726" t="s">
        <v>1994</v>
      </c>
      <c r="C10726" t="s">
        <v>13322</v>
      </c>
      <c r="D10726" t="s">
        <v>16209</v>
      </c>
      <c r="E10726" t="s">
        <v>16751</v>
      </c>
      <c r="F10726" t="s">
        <v>28198</v>
      </c>
      <c r="G10726" t="s">
        <v>28205</v>
      </c>
      <c r="H10726" t="s">
        <v>28215</v>
      </c>
      <c r="I10726" t="s">
        <v>3422</v>
      </c>
      <c r="J10726" t="s">
        <v>29113</v>
      </c>
      <c r="K10726" t="s">
        <v>36701</v>
      </c>
      <c r="M10726" t="s">
        <v>39132</v>
      </c>
      <c r="N10726" t="s">
        <v>40436</v>
      </c>
      <c r="O10726" t="s">
        <v>40437</v>
      </c>
      <c r="P10726">
        <v>0</v>
      </c>
      <c r="Q10726">
        <v>0</v>
      </c>
      <c r="R10726" t="s">
        <v>40451</v>
      </c>
      <c r="S10726" t="s">
        <v>41005</v>
      </c>
      <c r="T10726" t="s">
        <v>42153</v>
      </c>
      <c r="U10726" t="s">
        <v>42915</v>
      </c>
      <c r="V10726" t="s">
        <v>54962</v>
      </c>
      <c r="W10726" t="s">
        <v>39132</v>
      </c>
      <c r="X10726" t="s">
        <v>40452</v>
      </c>
    </row>
    <row r="10727" spans="1:24">
      <c r="A10727">
        <f>HYPERLINK("https://www.philgeps.gov.ph/GEPSNONPILOT/Tender/SplashBidNoticeAbstractUI.aspx?menuIndex=3&amp;refID=7025162&amp;Result=3","7025162")</f>
        <v>0</v>
      </c>
      <c r="B10727" t="s">
        <v>1990</v>
      </c>
      <c r="C10727" t="s">
        <v>13323</v>
      </c>
      <c r="D10727" t="s">
        <v>16258</v>
      </c>
      <c r="E10727" t="s">
        <v>25599</v>
      </c>
      <c r="F10727" t="s">
        <v>28198</v>
      </c>
      <c r="G10727" t="s">
        <v>28205</v>
      </c>
      <c r="H10727" t="s">
        <v>28214</v>
      </c>
      <c r="I10727" t="s">
        <v>3797</v>
      </c>
      <c r="J10727" t="s">
        <v>34973</v>
      </c>
      <c r="K10727" t="s">
        <v>36692</v>
      </c>
      <c r="M10727" t="s">
        <v>39436</v>
      </c>
      <c r="N10727" t="s">
        <v>40436</v>
      </c>
      <c r="O10727" t="s">
        <v>40437</v>
      </c>
      <c r="P10727">
        <v>0</v>
      </c>
      <c r="Q10727">
        <v>0</v>
      </c>
      <c r="R10727" t="s">
        <v>40451</v>
      </c>
      <c r="S10727" t="s">
        <v>41005</v>
      </c>
      <c r="T10727" t="s">
        <v>42331</v>
      </c>
      <c r="U10727" t="s">
        <v>51548</v>
      </c>
      <c r="V10727" t="s">
        <v>54542</v>
      </c>
      <c r="W10727" t="s">
        <v>39436</v>
      </c>
      <c r="X10727" t="s">
        <v>40452</v>
      </c>
    </row>
    <row r="10728" spans="1:24">
      <c r="A10728">
        <f>HYPERLINK("https://www.philgeps.gov.ph/GEPSNONPILOT/Tender/SplashBidNoticeAbstractUI.aspx?menuIndex=3&amp;refID=7025159&amp;Result=3","7025159")</f>
        <v>0</v>
      </c>
      <c r="B10728" t="s">
        <v>272</v>
      </c>
      <c r="C10728" t="s">
        <v>13324</v>
      </c>
      <c r="D10728" t="s">
        <v>16202</v>
      </c>
      <c r="E10728" t="s">
        <v>25600</v>
      </c>
      <c r="F10728" t="s">
        <v>28198</v>
      </c>
      <c r="G10728" t="s">
        <v>28205</v>
      </c>
      <c r="H10728" t="s">
        <v>28214</v>
      </c>
      <c r="I10728" t="s">
        <v>28222</v>
      </c>
      <c r="J10728" t="s">
        <v>28921</v>
      </c>
      <c r="K10728" t="s">
        <v>36701</v>
      </c>
      <c r="M10728" t="s">
        <v>37249</v>
      </c>
      <c r="N10728" t="s">
        <v>40436</v>
      </c>
      <c r="O10728" t="s">
        <v>40437</v>
      </c>
      <c r="P10728">
        <v>0</v>
      </c>
      <c r="Q10728">
        <v>7</v>
      </c>
      <c r="R10728" t="s">
        <v>40451</v>
      </c>
      <c r="S10728" t="s">
        <v>41005</v>
      </c>
      <c r="T10728" t="s">
        <v>42320</v>
      </c>
      <c r="U10728" t="s">
        <v>51549</v>
      </c>
      <c r="W10728" t="s">
        <v>37249</v>
      </c>
      <c r="X10728" t="s">
        <v>40452</v>
      </c>
    </row>
    <row r="10729" spans="1:24">
      <c r="A10729">
        <f>HYPERLINK("https://www.philgeps.gov.ph/GEPSNONPILOT/Tender/SplashBidNoticeAbstractUI.aspx?menuIndex=3&amp;refID=7025145&amp;Result=3","7025145")</f>
        <v>0</v>
      </c>
      <c r="B10729" t="s">
        <v>1990</v>
      </c>
      <c r="C10729" t="s">
        <v>13325</v>
      </c>
      <c r="D10729" t="s">
        <v>16258</v>
      </c>
      <c r="E10729" t="s">
        <v>25601</v>
      </c>
      <c r="F10729" t="s">
        <v>28198</v>
      </c>
      <c r="G10729" t="s">
        <v>28205</v>
      </c>
      <c r="H10729" t="s">
        <v>28214</v>
      </c>
      <c r="I10729" t="s">
        <v>3797</v>
      </c>
      <c r="J10729" t="s">
        <v>34974</v>
      </c>
      <c r="K10729" t="s">
        <v>36692</v>
      </c>
      <c r="M10729" t="s">
        <v>39436</v>
      </c>
      <c r="N10729" t="s">
        <v>40436</v>
      </c>
      <c r="O10729" t="s">
        <v>40437</v>
      </c>
      <c r="P10729">
        <v>0</v>
      </c>
      <c r="Q10729">
        <v>0</v>
      </c>
      <c r="R10729" t="s">
        <v>40451</v>
      </c>
      <c r="S10729" t="s">
        <v>41005</v>
      </c>
      <c r="T10729" t="s">
        <v>42331</v>
      </c>
      <c r="U10729" t="s">
        <v>51550</v>
      </c>
      <c r="V10729" t="s">
        <v>54542</v>
      </c>
      <c r="W10729" t="s">
        <v>39436</v>
      </c>
      <c r="X10729" t="s">
        <v>40452</v>
      </c>
    </row>
    <row r="10730" spans="1:24">
      <c r="A10730">
        <f>HYPERLINK("https://www.philgeps.gov.ph/GEPSNONPILOT/Tender/SplashBidNoticeAbstractUI.aspx?menuIndex=3&amp;refID=7025218&amp;Result=3","7025218")</f>
        <v>0</v>
      </c>
      <c r="B10730" t="s">
        <v>1990</v>
      </c>
      <c r="C10730" t="s">
        <v>13326</v>
      </c>
      <c r="D10730" t="s">
        <v>16258</v>
      </c>
      <c r="E10730" t="s">
        <v>25602</v>
      </c>
      <c r="F10730" t="s">
        <v>28198</v>
      </c>
      <c r="G10730" t="s">
        <v>28205</v>
      </c>
      <c r="H10730" t="s">
        <v>28214</v>
      </c>
      <c r="I10730" t="s">
        <v>3797</v>
      </c>
      <c r="J10730" t="s">
        <v>34975</v>
      </c>
      <c r="K10730" t="s">
        <v>36935</v>
      </c>
      <c r="M10730" t="s">
        <v>39436</v>
      </c>
      <c r="N10730" t="s">
        <v>40436</v>
      </c>
      <c r="O10730" t="s">
        <v>40437</v>
      </c>
      <c r="P10730">
        <v>0</v>
      </c>
      <c r="Q10730">
        <v>2</v>
      </c>
      <c r="R10730" t="s">
        <v>40451</v>
      </c>
      <c r="S10730" t="s">
        <v>41005</v>
      </c>
      <c r="T10730" t="s">
        <v>42331</v>
      </c>
      <c r="U10730" t="s">
        <v>51551</v>
      </c>
      <c r="V10730" t="s">
        <v>54542</v>
      </c>
      <c r="W10730" t="s">
        <v>39436</v>
      </c>
      <c r="X10730" t="s">
        <v>40452</v>
      </c>
    </row>
    <row r="10731" spans="1:24">
      <c r="A10731">
        <f>HYPERLINK("https://www.philgeps.gov.ph/GEPSNONPILOT/Tender/SplashBidNoticeAbstractUI.aspx?menuIndex=3&amp;refID=7025226&amp;Result=3","7025226")</f>
        <v>0</v>
      </c>
      <c r="B10731" t="s">
        <v>1906</v>
      </c>
      <c r="C10731" t="s">
        <v>13327</v>
      </c>
      <c r="D10731" t="s">
        <v>16199</v>
      </c>
      <c r="E10731" t="s">
        <v>25603</v>
      </c>
      <c r="F10731" t="s">
        <v>28198</v>
      </c>
      <c r="G10731" t="s">
        <v>28205</v>
      </c>
      <c r="H10731" t="s">
        <v>28215</v>
      </c>
      <c r="I10731" t="s">
        <v>28222</v>
      </c>
      <c r="J10731" t="s">
        <v>34976</v>
      </c>
      <c r="K10731" t="s">
        <v>36689</v>
      </c>
      <c r="M10731" t="s">
        <v>39038</v>
      </c>
      <c r="N10731" t="s">
        <v>40436</v>
      </c>
      <c r="O10731" t="s">
        <v>40437</v>
      </c>
      <c r="P10731">
        <v>0</v>
      </c>
      <c r="Q10731">
        <v>16</v>
      </c>
      <c r="R10731" t="s">
        <v>40451</v>
      </c>
      <c r="S10731" t="s">
        <v>41005</v>
      </c>
      <c r="T10731" t="s">
        <v>42112</v>
      </c>
      <c r="U10731" t="s">
        <v>51552</v>
      </c>
      <c r="W10731" t="s">
        <v>39038</v>
      </c>
      <c r="X10731" t="s">
        <v>40452</v>
      </c>
    </row>
    <row r="10732" spans="1:24">
      <c r="A10732">
        <f>HYPERLINK("https://www.philgeps.gov.ph/GEPSNONPILOT/Tender/SplashBidNoticeAbstractUI.aspx?menuIndex=3&amp;refID=7025212&amp;Result=3","7025212")</f>
        <v>0</v>
      </c>
      <c r="B10732" t="s">
        <v>1990</v>
      </c>
      <c r="C10732" t="s">
        <v>13328</v>
      </c>
      <c r="D10732" t="s">
        <v>16258</v>
      </c>
      <c r="E10732" t="s">
        <v>25604</v>
      </c>
      <c r="F10732" t="s">
        <v>28198</v>
      </c>
      <c r="G10732" t="s">
        <v>28205</v>
      </c>
      <c r="H10732" t="s">
        <v>28214</v>
      </c>
      <c r="I10732" t="s">
        <v>3797</v>
      </c>
      <c r="J10732" t="s">
        <v>34977</v>
      </c>
      <c r="K10732" t="s">
        <v>36936</v>
      </c>
      <c r="M10732" t="s">
        <v>39436</v>
      </c>
      <c r="N10732" t="s">
        <v>40436</v>
      </c>
      <c r="O10732" t="s">
        <v>40437</v>
      </c>
      <c r="P10732">
        <v>0</v>
      </c>
      <c r="Q10732">
        <v>0</v>
      </c>
      <c r="R10732" t="s">
        <v>40451</v>
      </c>
      <c r="S10732" t="s">
        <v>41005</v>
      </c>
      <c r="T10732" t="s">
        <v>42331</v>
      </c>
      <c r="U10732" t="s">
        <v>51553</v>
      </c>
      <c r="V10732" t="s">
        <v>54542</v>
      </c>
      <c r="W10732" t="s">
        <v>39436</v>
      </c>
      <c r="X10732" t="s">
        <v>40452</v>
      </c>
    </row>
    <row r="10733" spans="1:24">
      <c r="A10733">
        <f>HYPERLINK("https://www.philgeps.gov.ph/GEPSNONPILOT/Tender/SplashBidNoticeAbstractUI.aspx?menuIndex=3&amp;refID=7025163&amp;Result=3","7025163")</f>
        <v>0</v>
      </c>
      <c r="B10733" t="s">
        <v>1063</v>
      </c>
      <c r="C10733" t="s">
        <v>13329</v>
      </c>
      <c r="D10733" t="s">
        <v>16188</v>
      </c>
      <c r="E10733" t="s">
        <v>25605</v>
      </c>
      <c r="F10733" t="s">
        <v>28198</v>
      </c>
      <c r="G10733" t="s">
        <v>28205</v>
      </c>
      <c r="H10733" t="s">
        <v>28215</v>
      </c>
      <c r="I10733" t="s">
        <v>4219</v>
      </c>
      <c r="J10733" t="s">
        <v>34978</v>
      </c>
      <c r="K10733" t="s">
        <v>36689</v>
      </c>
      <c r="M10733" t="s">
        <v>38491</v>
      </c>
      <c r="N10733" t="s">
        <v>40436</v>
      </c>
      <c r="O10733" t="s">
        <v>40437</v>
      </c>
      <c r="Q10733">
        <v>9</v>
      </c>
      <c r="R10733" t="s">
        <v>40451</v>
      </c>
      <c r="S10733" t="s">
        <v>41054</v>
      </c>
      <c r="T10733" t="s">
        <v>42203</v>
      </c>
      <c r="U10733" t="s">
        <v>51554</v>
      </c>
      <c r="W10733" t="s">
        <v>38491</v>
      </c>
      <c r="X10733" t="s">
        <v>40452</v>
      </c>
    </row>
    <row r="10734" spans="1:24">
      <c r="A10734">
        <f>HYPERLINK("https://www.philgeps.gov.ph/GEPSNONPILOT/Tender/SplashBidNoticeAbstractUI.aspx?menuIndex=3&amp;refID=7025160&amp;Result=3","7025160")</f>
        <v>0</v>
      </c>
      <c r="B10734" t="s">
        <v>1309</v>
      </c>
      <c r="C10734" t="s">
        <v>13330</v>
      </c>
      <c r="D10734" t="s">
        <v>16259</v>
      </c>
      <c r="E10734" t="s">
        <v>25606</v>
      </c>
      <c r="F10734" t="s">
        <v>28198</v>
      </c>
      <c r="G10734" t="s">
        <v>28205</v>
      </c>
      <c r="H10734" t="s">
        <v>28214</v>
      </c>
      <c r="I10734" t="s">
        <v>3797</v>
      </c>
      <c r="J10734" t="s">
        <v>34979</v>
      </c>
      <c r="K10734" t="s">
        <v>36808</v>
      </c>
      <c r="M10734" t="s">
        <v>38363</v>
      </c>
      <c r="N10734" t="s">
        <v>40436</v>
      </c>
      <c r="O10734" t="s">
        <v>40437</v>
      </c>
      <c r="P10734">
        <v>0</v>
      </c>
      <c r="Q10734">
        <v>1</v>
      </c>
      <c r="R10734" t="s">
        <v>40451</v>
      </c>
      <c r="S10734" t="s">
        <v>41005</v>
      </c>
      <c r="T10734" t="s">
        <v>42183</v>
      </c>
      <c r="U10734" t="s">
        <v>51555</v>
      </c>
      <c r="W10734" t="s">
        <v>38363</v>
      </c>
      <c r="X10734" t="s">
        <v>40452</v>
      </c>
    </row>
    <row r="10735" spans="1:24">
      <c r="A10735">
        <f>HYPERLINK("https://www.philgeps.gov.ph/GEPSNONPILOT/Tender/SplashBidNoticeAbstractUI.aspx?menuIndex=3&amp;refID=7025214&amp;Result=3","7025214")</f>
        <v>0</v>
      </c>
      <c r="B10735" t="s">
        <v>2833</v>
      </c>
      <c r="C10735" t="s">
        <v>13331</v>
      </c>
      <c r="D10735" t="s">
        <v>16235</v>
      </c>
      <c r="E10735" t="s">
        <v>22634</v>
      </c>
      <c r="F10735" t="s">
        <v>28198</v>
      </c>
      <c r="G10735" t="s">
        <v>28205</v>
      </c>
      <c r="H10735" t="s">
        <v>28214</v>
      </c>
      <c r="I10735" t="s">
        <v>3797</v>
      </c>
      <c r="J10735" t="s">
        <v>34980</v>
      </c>
      <c r="K10735" t="s">
        <v>36697</v>
      </c>
      <c r="L10735" t="s">
        <v>2833</v>
      </c>
      <c r="M10735" t="s">
        <v>40085</v>
      </c>
      <c r="N10735" t="s">
        <v>40436</v>
      </c>
      <c r="O10735" t="s">
        <v>40437</v>
      </c>
      <c r="P10735">
        <v>0</v>
      </c>
      <c r="Q10735">
        <v>2</v>
      </c>
      <c r="R10735" t="s">
        <v>40451</v>
      </c>
      <c r="S10735" t="s">
        <v>41005</v>
      </c>
      <c r="T10735" t="s">
        <v>42097</v>
      </c>
      <c r="U10735" t="s">
        <v>51556</v>
      </c>
      <c r="W10735" t="s">
        <v>40085</v>
      </c>
      <c r="X10735" t="s">
        <v>40452</v>
      </c>
    </row>
    <row r="10736" spans="1:24">
      <c r="A10736">
        <f>HYPERLINK("https://www.philgeps.gov.ph/GEPSNONPILOT/Tender/SplashBidNoticeAbstractUI.aspx?menuIndex=3&amp;refID=7025183&amp;Result=3","7025183")</f>
        <v>0</v>
      </c>
      <c r="B10736" t="s">
        <v>1994</v>
      </c>
      <c r="C10736" t="s">
        <v>13332</v>
      </c>
      <c r="D10736" t="s">
        <v>16209</v>
      </c>
      <c r="E10736" t="s">
        <v>18505</v>
      </c>
      <c r="F10736" t="s">
        <v>28198</v>
      </c>
      <c r="G10736" t="s">
        <v>28205</v>
      </c>
      <c r="H10736" t="s">
        <v>28215</v>
      </c>
      <c r="I10736" t="s">
        <v>4168</v>
      </c>
      <c r="J10736" t="s">
        <v>28379</v>
      </c>
      <c r="K10736" t="s">
        <v>36701</v>
      </c>
      <c r="M10736" t="s">
        <v>39132</v>
      </c>
      <c r="N10736" t="s">
        <v>40436</v>
      </c>
      <c r="O10736" t="s">
        <v>40437</v>
      </c>
      <c r="P10736">
        <v>0</v>
      </c>
      <c r="Q10736">
        <v>1</v>
      </c>
      <c r="R10736" t="s">
        <v>40451</v>
      </c>
      <c r="S10736" t="s">
        <v>41005</v>
      </c>
      <c r="T10736" t="s">
        <v>42153</v>
      </c>
      <c r="U10736" t="s">
        <v>42915</v>
      </c>
      <c r="V10736" t="s">
        <v>54963</v>
      </c>
      <c r="W10736" t="s">
        <v>39132</v>
      </c>
      <c r="X10736" t="s">
        <v>40452</v>
      </c>
    </row>
    <row r="10737" spans="1:24">
      <c r="A10737">
        <f>HYPERLINK("https://www.philgeps.gov.ph/GEPSNONPILOT/Tender/SplashBidNoticeAbstractUI.aspx?menuIndex=3&amp;refID=7025200&amp;Result=3","7025200")</f>
        <v>0</v>
      </c>
      <c r="B10737" t="s">
        <v>1990</v>
      </c>
      <c r="C10737" t="s">
        <v>13333</v>
      </c>
      <c r="D10737" t="s">
        <v>16258</v>
      </c>
      <c r="E10737" t="s">
        <v>25607</v>
      </c>
      <c r="F10737" t="s">
        <v>28198</v>
      </c>
      <c r="G10737" t="s">
        <v>28205</v>
      </c>
      <c r="H10737" t="s">
        <v>28214</v>
      </c>
      <c r="I10737" t="s">
        <v>3797</v>
      </c>
      <c r="J10737" t="s">
        <v>34981</v>
      </c>
      <c r="K10737" t="s">
        <v>36697</v>
      </c>
      <c r="M10737" t="s">
        <v>39436</v>
      </c>
      <c r="N10737" t="s">
        <v>40436</v>
      </c>
      <c r="O10737" t="s">
        <v>40437</v>
      </c>
      <c r="P10737">
        <v>0</v>
      </c>
      <c r="Q10737">
        <v>0</v>
      </c>
      <c r="R10737" t="s">
        <v>40451</v>
      </c>
      <c r="S10737" t="s">
        <v>41005</v>
      </c>
      <c r="T10737" t="s">
        <v>42331</v>
      </c>
      <c r="U10737" t="s">
        <v>51557</v>
      </c>
      <c r="V10737" t="s">
        <v>54542</v>
      </c>
      <c r="W10737" t="s">
        <v>39436</v>
      </c>
      <c r="X10737" t="s">
        <v>40452</v>
      </c>
    </row>
    <row r="10738" spans="1:24">
      <c r="A10738">
        <f>HYPERLINK("https://www.philgeps.gov.ph/GEPSNONPILOT/Tender/SplashBidNoticeAbstractUI.aspx?menuIndex=3&amp;refID=7025203&amp;Result=3","7025203")</f>
        <v>0</v>
      </c>
      <c r="B10738" t="s">
        <v>91</v>
      </c>
      <c r="C10738" t="s">
        <v>13334</v>
      </c>
      <c r="D10738" t="s">
        <v>16192</v>
      </c>
      <c r="E10738" t="s">
        <v>25608</v>
      </c>
      <c r="F10738" t="s">
        <v>28198</v>
      </c>
      <c r="G10738" t="s">
        <v>28205</v>
      </c>
      <c r="H10738" t="s">
        <v>28214</v>
      </c>
      <c r="I10738" t="s">
        <v>3797</v>
      </c>
      <c r="J10738" t="s">
        <v>34982</v>
      </c>
      <c r="K10738" t="s">
        <v>36694</v>
      </c>
      <c r="M10738" t="s">
        <v>37063</v>
      </c>
      <c r="N10738" t="s">
        <v>40436</v>
      </c>
      <c r="O10738" t="s">
        <v>40437</v>
      </c>
      <c r="P10738">
        <v>0</v>
      </c>
      <c r="Q10738">
        <v>6</v>
      </c>
      <c r="R10738" t="s">
        <v>40451</v>
      </c>
      <c r="S10738" t="s">
        <v>41005</v>
      </c>
      <c r="T10738" t="s">
        <v>42112</v>
      </c>
      <c r="U10738" t="s">
        <v>51558</v>
      </c>
      <c r="V10738" t="s">
        <v>53794</v>
      </c>
      <c r="W10738" t="s">
        <v>37063</v>
      </c>
      <c r="X10738" t="s">
        <v>40452</v>
      </c>
    </row>
    <row r="10739" spans="1:24">
      <c r="A10739">
        <f>HYPERLINK("https://www.philgeps.gov.ph/GEPSNONPILOT/Tender/SplashBidNoticeAbstractUI.aspx?menuIndex=3&amp;refID=7025173&amp;Result=3","7025173")</f>
        <v>0</v>
      </c>
      <c r="B10739" t="s">
        <v>1990</v>
      </c>
      <c r="C10739" t="s">
        <v>13335</v>
      </c>
      <c r="D10739" t="s">
        <v>16258</v>
      </c>
      <c r="E10739" t="s">
        <v>25609</v>
      </c>
      <c r="F10739" t="s">
        <v>28198</v>
      </c>
      <c r="G10739" t="s">
        <v>28205</v>
      </c>
      <c r="H10739" t="s">
        <v>28214</v>
      </c>
      <c r="I10739" t="s">
        <v>3797</v>
      </c>
      <c r="J10739" t="s">
        <v>34983</v>
      </c>
      <c r="K10739" t="s">
        <v>36935</v>
      </c>
      <c r="M10739" t="s">
        <v>39436</v>
      </c>
      <c r="N10739" t="s">
        <v>40436</v>
      </c>
      <c r="O10739" t="s">
        <v>40437</v>
      </c>
      <c r="P10739">
        <v>0</v>
      </c>
      <c r="Q10739">
        <v>0</v>
      </c>
      <c r="R10739" t="s">
        <v>40451</v>
      </c>
      <c r="S10739" t="s">
        <v>41005</v>
      </c>
      <c r="T10739" t="s">
        <v>42331</v>
      </c>
      <c r="U10739" t="s">
        <v>51559</v>
      </c>
      <c r="V10739" t="s">
        <v>54542</v>
      </c>
      <c r="W10739" t="s">
        <v>39436</v>
      </c>
      <c r="X10739" t="s">
        <v>40452</v>
      </c>
    </row>
    <row r="10740" spans="1:24">
      <c r="A10740">
        <f>HYPERLINK("https://www.philgeps.gov.ph/GEPSNONPILOT/Tender/SplashBidNoticeAbstractUI.aspx?menuIndex=3&amp;refID=7025180&amp;Result=3","7025180")</f>
        <v>0</v>
      </c>
      <c r="B10740" t="s">
        <v>1161</v>
      </c>
      <c r="C10740" t="s">
        <v>13336</v>
      </c>
      <c r="D10740" t="s">
        <v>16228</v>
      </c>
      <c r="E10740" t="s">
        <v>17248</v>
      </c>
      <c r="F10740" t="s">
        <v>28201</v>
      </c>
      <c r="G10740" t="s">
        <v>28205</v>
      </c>
      <c r="H10740" t="s">
        <v>28215</v>
      </c>
      <c r="I10740" t="s">
        <v>5082</v>
      </c>
      <c r="J10740" t="s">
        <v>31894</v>
      </c>
      <c r="K10740" t="s">
        <v>36688</v>
      </c>
      <c r="M10740" t="s">
        <v>38201</v>
      </c>
      <c r="N10740" t="s">
        <v>40436</v>
      </c>
      <c r="O10740" t="s">
        <v>40437</v>
      </c>
      <c r="P10740">
        <v>0</v>
      </c>
      <c r="Q10740">
        <v>1</v>
      </c>
      <c r="R10740" t="s">
        <v>40451</v>
      </c>
      <c r="S10740" t="s">
        <v>41005</v>
      </c>
      <c r="T10740" t="s">
        <v>42144</v>
      </c>
      <c r="U10740" t="s">
        <v>51560</v>
      </c>
      <c r="W10740" t="s">
        <v>38201</v>
      </c>
      <c r="X10740" t="s">
        <v>40452</v>
      </c>
    </row>
    <row r="10741" spans="1:24">
      <c r="A10741">
        <f>HYPERLINK("https://www.philgeps.gov.ph/GEPSNONPILOT/Tender/SplashBidNoticeAbstractUI.aspx?menuIndex=3&amp;refID=7025189&amp;Result=3","7025189")</f>
        <v>0</v>
      </c>
      <c r="B10741" t="s">
        <v>1990</v>
      </c>
      <c r="C10741" t="s">
        <v>13337</v>
      </c>
      <c r="D10741" t="s">
        <v>16258</v>
      </c>
      <c r="E10741" t="s">
        <v>25610</v>
      </c>
      <c r="F10741" t="s">
        <v>28198</v>
      </c>
      <c r="G10741" t="s">
        <v>28205</v>
      </c>
      <c r="H10741" t="s">
        <v>28214</v>
      </c>
      <c r="I10741" t="s">
        <v>3797</v>
      </c>
      <c r="J10741" t="s">
        <v>34984</v>
      </c>
      <c r="K10741" t="s">
        <v>36935</v>
      </c>
      <c r="M10741" t="s">
        <v>39436</v>
      </c>
      <c r="N10741" t="s">
        <v>40436</v>
      </c>
      <c r="O10741" t="s">
        <v>40437</v>
      </c>
      <c r="Q10741">
        <v>0</v>
      </c>
      <c r="R10741" t="s">
        <v>40451</v>
      </c>
      <c r="S10741" t="s">
        <v>41055</v>
      </c>
      <c r="T10741" t="s">
        <v>42331</v>
      </c>
      <c r="U10741" t="s">
        <v>51561</v>
      </c>
      <c r="V10741" t="s">
        <v>54542</v>
      </c>
      <c r="W10741" t="s">
        <v>39436</v>
      </c>
      <c r="X10741" t="s">
        <v>40452</v>
      </c>
    </row>
    <row r="10742" spans="1:24">
      <c r="A10742">
        <f>HYPERLINK("https://www.philgeps.gov.ph/GEPSNONPILOT/Tender/SplashBidNoticeAbstractUI.aspx?menuIndex=3&amp;refID=7025229&amp;Result=3","7025229")</f>
        <v>0</v>
      </c>
      <c r="B10742" t="s">
        <v>1990</v>
      </c>
      <c r="C10742" t="s">
        <v>13338</v>
      </c>
      <c r="D10742" t="s">
        <v>16258</v>
      </c>
      <c r="E10742" t="s">
        <v>25611</v>
      </c>
      <c r="F10742" t="s">
        <v>28198</v>
      </c>
      <c r="G10742" t="s">
        <v>28205</v>
      </c>
      <c r="H10742" t="s">
        <v>28214</v>
      </c>
      <c r="I10742" t="s">
        <v>3797</v>
      </c>
      <c r="J10742" t="s">
        <v>34985</v>
      </c>
      <c r="K10742" t="s">
        <v>36937</v>
      </c>
      <c r="M10742" t="s">
        <v>39436</v>
      </c>
      <c r="N10742" t="s">
        <v>40436</v>
      </c>
      <c r="O10742" t="s">
        <v>40437</v>
      </c>
      <c r="P10742">
        <v>0</v>
      </c>
      <c r="Q10742">
        <v>0</v>
      </c>
      <c r="R10742" t="s">
        <v>40451</v>
      </c>
      <c r="S10742" t="s">
        <v>41005</v>
      </c>
      <c r="T10742" t="s">
        <v>42331</v>
      </c>
      <c r="U10742" t="s">
        <v>51562</v>
      </c>
      <c r="V10742" t="s">
        <v>54542</v>
      </c>
      <c r="W10742" t="s">
        <v>39436</v>
      </c>
      <c r="X10742" t="s">
        <v>40452</v>
      </c>
    </row>
    <row r="10743" spans="1:24">
      <c r="A10743">
        <f>HYPERLINK("https://www.philgeps.gov.ph/GEPSNONPILOT/Tender/SplashBidNoticeAbstractUI.aspx?menuIndex=3&amp;refID=7025172&amp;Result=3","7025172")</f>
        <v>0</v>
      </c>
      <c r="B10743" t="s">
        <v>1309</v>
      </c>
      <c r="C10743" t="s">
        <v>13339</v>
      </c>
      <c r="D10743" t="s">
        <v>16259</v>
      </c>
      <c r="E10743" t="s">
        <v>25612</v>
      </c>
      <c r="F10743" t="s">
        <v>28198</v>
      </c>
      <c r="G10743" t="s">
        <v>28205</v>
      </c>
      <c r="H10743" t="s">
        <v>28214</v>
      </c>
      <c r="I10743" t="s">
        <v>3797</v>
      </c>
      <c r="J10743" t="s">
        <v>34986</v>
      </c>
      <c r="K10743" t="s">
        <v>36737</v>
      </c>
      <c r="M10743" t="s">
        <v>38363</v>
      </c>
      <c r="N10743" t="s">
        <v>40436</v>
      </c>
      <c r="O10743" t="s">
        <v>40437</v>
      </c>
      <c r="P10743">
        <v>0</v>
      </c>
      <c r="Q10743">
        <v>0</v>
      </c>
      <c r="R10743" t="s">
        <v>40451</v>
      </c>
      <c r="S10743" t="s">
        <v>41005</v>
      </c>
      <c r="T10743" t="s">
        <v>42183</v>
      </c>
      <c r="U10743" t="s">
        <v>51563</v>
      </c>
      <c r="W10743" t="s">
        <v>38363</v>
      </c>
      <c r="X10743" t="s">
        <v>40452</v>
      </c>
    </row>
    <row r="10744" spans="1:24">
      <c r="A10744">
        <f>HYPERLINK("https://www.philgeps.gov.ph/GEPSNONPILOT/Tender/SplashBidNoticeAbstractUI.aspx?menuIndex=3&amp;refID=7025209&amp;Result=3","7025209")</f>
        <v>0</v>
      </c>
      <c r="B10744" t="s">
        <v>1994</v>
      </c>
      <c r="C10744" t="s">
        <v>13340</v>
      </c>
      <c r="D10744" t="s">
        <v>16209</v>
      </c>
      <c r="E10744" t="s">
        <v>18503</v>
      </c>
      <c r="F10744" t="s">
        <v>28198</v>
      </c>
      <c r="G10744" t="s">
        <v>28205</v>
      </c>
      <c r="H10744" t="s">
        <v>28214</v>
      </c>
      <c r="I10744" t="s">
        <v>3797</v>
      </c>
      <c r="J10744" t="s">
        <v>28645</v>
      </c>
      <c r="K10744" t="s">
        <v>36694</v>
      </c>
      <c r="M10744" t="s">
        <v>39132</v>
      </c>
      <c r="N10744" t="s">
        <v>40436</v>
      </c>
      <c r="O10744" t="s">
        <v>40437</v>
      </c>
      <c r="P10744">
        <v>0</v>
      </c>
      <c r="Q10744">
        <v>1</v>
      </c>
      <c r="R10744" t="s">
        <v>40451</v>
      </c>
      <c r="S10744" t="s">
        <v>41005</v>
      </c>
      <c r="T10744" t="s">
        <v>42153</v>
      </c>
      <c r="U10744" t="s">
        <v>42915</v>
      </c>
      <c r="V10744" t="s">
        <v>54962</v>
      </c>
      <c r="W10744" t="s">
        <v>39132</v>
      </c>
      <c r="X10744" t="s">
        <v>40452</v>
      </c>
    </row>
    <row r="10745" spans="1:24">
      <c r="A10745">
        <f>HYPERLINK("https://www.philgeps.gov.ph/GEPSNONPILOT/Tender/SplashBidNoticeAbstractUI.aspx?menuIndex=3&amp;refID=7025231&amp;Result=3","7025231")</f>
        <v>0</v>
      </c>
      <c r="B10745" t="s">
        <v>1288</v>
      </c>
      <c r="C10745" t="s">
        <v>13341</v>
      </c>
      <c r="D10745" t="s">
        <v>16227</v>
      </c>
      <c r="E10745" t="s">
        <v>25613</v>
      </c>
      <c r="F10745" t="s">
        <v>28200</v>
      </c>
      <c r="G10745" t="s">
        <v>28205</v>
      </c>
      <c r="H10745" t="s">
        <v>28215</v>
      </c>
      <c r="I10745" t="s">
        <v>28247</v>
      </c>
      <c r="J10745" t="s">
        <v>28921</v>
      </c>
      <c r="K10745" t="s">
        <v>36697</v>
      </c>
      <c r="M10745" t="s">
        <v>38341</v>
      </c>
      <c r="N10745" t="s">
        <v>40436</v>
      </c>
      <c r="O10745" t="s">
        <v>40437</v>
      </c>
      <c r="Q10745">
        <v>16</v>
      </c>
      <c r="R10745" t="s">
        <v>40451</v>
      </c>
      <c r="S10745" t="s">
        <v>41056</v>
      </c>
      <c r="T10745" t="s">
        <v>42305</v>
      </c>
      <c r="U10745" t="s">
        <v>51564</v>
      </c>
      <c r="W10745" t="s">
        <v>38341</v>
      </c>
      <c r="X10745" t="s">
        <v>40452</v>
      </c>
    </row>
    <row r="10746" spans="1:24">
      <c r="A10746">
        <f>HYPERLINK("https://www.philgeps.gov.ph/GEPSNONPILOT/Tender/SplashBidNoticeAbstractUI.aspx?menuIndex=3&amp;refID=7025234&amp;Result=3","7025234")</f>
        <v>0</v>
      </c>
      <c r="B10746" t="s">
        <v>1994</v>
      </c>
      <c r="C10746" t="s">
        <v>13342</v>
      </c>
      <c r="D10746" t="s">
        <v>16209</v>
      </c>
      <c r="E10746" t="s">
        <v>19221</v>
      </c>
      <c r="F10746" t="s">
        <v>28198</v>
      </c>
      <c r="G10746" t="s">
        <v>28205</v>
      </c>
      <c r="H10746" t="s">
        <v>28215</v>
      </c>
      <c r="I10746" t="s">
        <v>3422</v>
      </c>
      <c r="J10746" t="s">
        <v>28378</v>
      </c>
      <c r="K10746" t="s">
        <v>36701</v>
      </c>
      <c r="M10746" t="s">
        <v>39132</v>
      </c>
      <c r="N10746" t="s">
        <v>40436</v>
      </c>
      <c r="O10746" t="s">
        <v>40437</v>
      </c>
      <c r="P10746">
        <v>0</v>
      </c>
      <c r="Q10746">
        <v>0</v>
      </c>
      <c r="R10746" t="s">
        <v>40451</v>
      </c>
      <c r="S10746" t="s">
        <v>41005</v>
      </c>
      <c r="T10746" t="s">
        <v>42153</v>
      </c>
      <c r="U10746" t="s">
        <v>42915</v>
      </c>
      <c r="V10746" t="s">
        <v>54961</v>
      </c>
      <c r="W10746" t="s">
        <v>39132</v>
      </c>
      <c r="X10746" t="s">
        <v>40452</v>
      </c>
    </row>
    <row r="10747" spans="1:24">
      <c r="A10747">
        <f>HYPERLINK("https://www.philgeps.gov.ph/GEPSNONPILOT/Tender/SplashBidNoticeAbstractUI.aspx?menuIndex=3&amp;refID=7025244&amp;Result=3","7025244")</f>
        <v>0</v>
      </c>
      <c r="B10747" t="s">
        <v>1990</v>
      </c>
      <c r="C10747" t="s">
        <v>13343</v>
      </c>
      <c r="D10747" t="s">
        <v>16258</v>
      </c>
      <c r="E10747" t="s">
        <v>25614</v>
      </c>
      <c r="F10747" t="s">
        <v>28198</v>
      </c>
      <c r="G10747" t="s">
        <v>28205</v>
      </c>
      <c r="H10747" t="s">
        <v>28214</v>
      </c>
      <c r="I10747" t="s">
        <v>3797</v>
      </c>
      <c r="J10747" t="s">
        <v>34987</v>
      </c>
      <c r="K10747" t="s">
        <v>36821</v>
      </c>
      <c r="M10747" t="s">
        <v>39436</v>
      </c>
      <c r="N10747" t="s">
        <v>40436</v>
      </c>
      <c r="O10747" t="s">
        <v>40437</v>
      </c>
      <c r="P10747">
        <v>0</v>
      </c>
      <c r="Q10747">
        <v>0</v>
      </c>
      <c r="R10747" t="s">
        <v>40451</v>
      </c>
      <c r="S10747" t="s">
        <v>41005</v>
      </c>
      <c r="T10747" t="s">
        <v>42331</v>
      </c>
      <c r="U10747" t="s">
        <v>51565</v>
      </c>
      <c r="V10747" t="s">
        <v>54542</v>
      </c>
      <c r="W10747" t="s">
        <v>39436</v>
      </c>
      <c r="X10747" t="s">
        <v>40452</v>
      </c>
    </row>
    <row r="10748" spans="1:24">
      <c r="A10748">
        <f>HYPERLINK("https://www.philgeps.gov.ph/GEPSNONPILOT/Tender/SplashBidNoticeAbstractUI.aspx?menuIndex=3&amp;refID=7025233&amp;Result=3","7025233")</f>
        <v>0</v>
      </c>
      <c r="B10748" t="s">
        <v>1063</v>
      </c>
      <c r="C10748" t="s">
        <v>13344</v>
      </c>
      <c r="D10748" t="s">
        <v>16188</v>
      </c>
      <c r="E10748" t="s">
        <v>25615</v>
      </c>
      <c r="F10748" t="s">
        <v>28198</v>
      </c>
      <c r="G10748" t="s">
        <v>28205</v>
      </c>
      <c r="H10748" t="s">
        <v>28215</v>
      </c>
      <c r="I10748" t="s">
        <v>28228</v>
      </c>
      <c r="J10748" t="s">
        <v>34988</v>
      </c>
      <c r="K10748" t="s">
        <v>36689</v>
      </c>
      <c r="M10748" t="s">
        <v>38491</v>
      </c>
      <c r="N10748" t="s">
        <v>40436</v>
      </c>
      <c r="O10748" t="s">
        <v>40437</v>
      </c>
      <c r="Q10748">
        <v>0</v>
      </c>
      <c r="R10748" t="s">
        <v>40451</v>
      </c>
      <c r="S10748" t="s">
        <v>41057</v>
      </c>
      <c r="T10748" t="s">
        <v>42203</v>
      </c>
      <c r="U10748" t="s">
        <v>51566</v>
      </c>
      <c r="W10748" t="s">
        <v>38491</v>
      </c>
      <c r="X10748" t="s">
        <v>40452</v>
      </c>
    </row>
    <row r="10749" spans="1:24">
      <c r="A10749">
        <f>HYPERLINK("https://www.philgeps.gov.ph/GEPSNONPILOT/Tender/SplashBidNoticeAbstractUI.aspx?menuIndex=3&amp;refID=7025259&amp;Result=3","7025259")</f>
        <v>0</v>
      </c>
      <c r="B10749" t="s">
        <v>1303</v>
      </c>
      <c r="C10749" t="s">
        <v>13345</v>
      </c>
      <c r="D10749" t="s">
        <v>16200</v>
      </c>
      <c r="E10749" t="s">
        <v>25616</v>
      </c>
      <c r="F10749" t="s">
        <v>28198</v>
      </c>
      <c r="G10749" t="s">
        <v>28205</v>
      </c>
      <c r="H10749" t="s">
        <v>28214</v>
      </c>
      <c r="I10749" t="s">
        <v>3797</v>
      </c>
      <c r="J10749" t="s">
        <v>34989</v>
      </c>
      <c r="K10749" t="s">
        <v>36696</v>
      </c>
      <c r="M10749" t="s">
        <v>38357</v>
      </c>
      <c r="N10749" t="s">
        <v>40436</v>
      </c>
      <c r="O10749" t="s">
        <v>40437</v>
      </c>
      <c r="Q10749">
        <v>2</v>
      </c>
      <c r="R10749" t="s">
        <v>40451</v>
      </c>
      <c r="S10749" t="s">
        <v>41058</v>
      </c>
      <c r="T10749" t="s">
        <v>42249</v>
      </c>
      <c r="U10749" t="s">
        <v>51567</v>
      </c>
      <c r="V10749" t="s">
        <v>54964</v>
      </c>
      <c r="W10749" t="s">
        <v>38357</v>
      </c>
      <c r="X10749" t="s">
        <v>40452</v>
      </c>
    </row>
    <row r="10750" spans="1:24">
      <c r="A10750">
        <f>HYPERLINK("https://www.philgeps.gov.ph/GEPSNONPILOT/Tender/SplashBidNoticeAbstractUI.aspx?menuIndex=3&amp;refID=7025239&amp;Result=3","7025239")</f>
        <v>0</v>
      </c>
      <c r="B10750" t="s">
        <v>1063</v>
      </c>
      <c r="C10750" t="s">
        <v>13346</v>
      </c>
      <c r="D10750" t="s">
        <v>16188</v>
      </c>
      <c r="E10750" t="s">
        <v>25617</v>
      </c>
      <c r="F10750" t="s">
        <v>28198</v>
      </c>
      <c r="G10750" t="s">
        <v>28205</v>
      </c>
      <c r="H10750" t="s">
        <v>28215</v>
      </c>
      <c r="I10750" t="s">
        <v>28228</v>
      </c>
      <c r="J10750" t="s">
        <v>34990</v>
      </c>
      <c r="K10750" t="s">
        <v>36689</v>
      </c>
      <c r="M10750" t="s">
        <v>38491</v>
      </c>
      <c r="N10750" t="s">
        <v>40436</v>
      </c>
      <c r="O10750" t="s">
        <v>40437</v>
      </c>
      <c r="Q10750">
        <v>0</v>
      </c>
      <c r="R10750" t="s">
        <v>40451</v>
      </c>
      <c r="S10750" t="s">
        <v>41059</v>
      </c>
      <c r="T10750" t="s">
        <v>42203</v>
      </c>
      <c r="U10750" t="s">
        <v>51568</v>
      </c>
      <c r="W10750" t="s">
        <v>38491</v>
      </c>
      <c r="X10750" t="s">
        <v>40452</v>
      </c>
    </row>
    <row r="10751" spans="1:24">
      <c r="A10751">
        <f>HYPERLINK("https://www.philgeps.gov.ph/GEPSNONPILOT/Tender/SplashBidNoticeAbstractUI.aspx?menuIndex=3&amp;refID=7025258&amp;Result=3","7025258")</f>
        <v>0</v>
      </c>
      <c r="B10751" t="s">
        <v>2298</v>
      </c>
      <c r="C10751" t="s">
        <v>13347</v>
      </c>
      <c r="D10751" t="s">
        <v>16240</v>
      </c>
      <c r="E10751" t="s">
        <v>25618</v>
      </c>
      <c r="F10751" t="s">
        <v>28198</v>
      </c>
      <c r="G10751" t="s">
        <v>28207</v>
      </c>
      <c r="H10751" t="s">
        <v>28215</v>
      </c>
      <c r="I10751" t="s">
        <v>28265</v>
      </c>
      <c r="J10751" t="s">
        <v>28597</v>
      </c>
      <c r="K10751" t="s">
        <v>36693</v>
      </c>
      <c r="M10751" t="s">
        <v>39473</v>
      </c>
      <c r="N10751" t="s">
        <v>40436</v>
      </c>
      <c r="O10751" t="s">
        <v>40437</v>
      </c>
      <c r="P10751">
        <v>0</v>
      </c>
      <c r="Q10751">
        <v>0</v>
      </c>
      <c r="R10751" t="s">
        <v>40451</v>
      </c>
      <c r="S10751" t="s">
        <v>41005</v>
      </c>
      <c r="T10751" t="s">
        <v>42277</v>
      </c>
      <c r="U10751" t="s">
        <v>51569</v>
      </c>
      <c r="W10751" t="s">
        <v>39473</v>
      </c>
      <c r="X10751" t="s">
        <v>40452</v>
      </c>
    </row>
    <row r="10752" spans="1:24">
      <c r="A10752">
        <f>HYPERLINK("https://www.philgeps.gov.ph/GEPSNONPILOT/Tender/SplashBidNoticeAbstractUI.aspx?menuIndex=3&amp;refID=7025250&amp;Result=3","7025250")</f>
        <v>0</v>
      </c>
      <c r="B10752" t="s">
        <v>1994</v>
      </c>
      <c r="C10752" t="s">
        <v>13348</v>
      </c>
      <c r="D10752" t="s">
        <v>16209</v>
      </c>
      <c r="E10752" t="s">
        <v>19285</v>
      </c>
      <c r="F10752" t="s">
        <v>28198</v>
      </c>
      <c r="G10752" t="s">
        <v>28205</v>
      </c>
      <c r="H10752" t="s">
        <v>28214</v>
      </c>
      <c r="I10752" t="s">
        <v>8870</v>
      </c>
      <c r="J10752" t="s">
        <v>28415</v>
      </c>
      <c r="K10752" t="s">
        <v>36694</v>
      </c>
      <c r="M10752" t="s">
        <v>39132</v>
      </c>
      <c r="N10752" t="s">
        <v>40436</v>
      </c>
      <c r="O10752" t="s">
        <v>40437</v>
      </c>
      <c r="P10752">
        <v>0</v>
      </c>
      <c r="Q10752">
        <v>1</v>
      </c>
      <c r="R10752" t="s">
        <v>40451</v>
      </c>
      <c r="S10752" t="s">
        <v>41005</v>
      </c>
      <c r="T10752" t="s">
        <v>42153</v>
      </c>
      <c r="U10752" t="s">
        <v>42915</v>
      </c>
      <c r="V10752" t="s">
        <v>54961</v>
      </c>
      <c r="W10752" t="s">
        <v>39132</v>
      </c>
      <c r="X10752" t="s">
        <v>40452</v>
      </c>
    </row>
    <row r="10753" spans="1:24">
      <c r="A10753">
        <f>HYPERLINK("https://www.philgeps.gov.ph/GEPSNONPILOT/Tender/SplashBidNoticeAbstractUI.aspx?menuIndex=3&amp;refID=7025260&amp;Result=3","7025260")</f>
        <v>0</v>
      </c>
      <c r="B10753" t="s">
        <v>1990</v>
      </c>
      <c r="C10753" t="s">
        <v>13349</v>
      </c>
      <c r="D10753" t="s">
        <v>16258</v>
      </c>
      <c r="E10753" t="s">
        <v>25619</v>
      </c>
      <c r="F10753" t="s">
        <v>28198</v>
      </c>
      <c r="G10753" t="s">
        <v>28205</v>
      </c>
      <c r="H10753" t="s">
        <v>28214</v>
      </c>
      <c r="I10753" t="s">
        <v>3797</v>
      </c>
      <c r="J10753" t="s">
        <v>34991</v>
      </c>
      <c r="K10753" t="s">
        <v>36937</v>
      </c>
      <c r="M10753" t="s">
        <v>39436</v>
      </c>
      <c r="N10753" t="s">
        <v>40436</v>
      </c>
      <c r="O10753" t="s">
        <v>40437</v>
      </c>
      <c r="P10753">
        <v>0</v>
      </c>
      <c r="Q10753">
        <v>0</v>
      </c>
      <c r="R10753" t="s">
        <v>40451</v>
      </c>
      <c r="S10753" t="s">
        <v>41005</v>
      </c>
      <c r="T10753" t="s">
        <v>42331</v>
      </c>
      <c r="U10753" t="s">
        <v>51570</v>
      </c>
      <c r="V10753" t="s">
        <v>54542</v>
      </c>
      <c r="W10753" t="s">
        <v>39436</v>
      </c>
      <c r="X10753" t="s">
        <v>40452</v>
      </c>
    </row>
    <row r="10754" spans="1:24">
      <c r="A10754">
        <f>HYPERLINK("https://www.philgeps.gov.ph/GEPSNONPILOT/Tender/SplashBidNoticeAbstractUI.aspx?menuIndex=3&amp;refID=7025249&amp;Result=3","7025249")</f>
        <v>0</v>
      </c>
      <c r="B10754" t="s">
        <v>1063</v>
      </c>
      <c r="C10754" t="s">
        <v>13350</v>
      </c>
      <c r="D10754" t="s">
        <v>16188</v>
      </c>
      <c r="E10754" t="s">
        <v>25620</v>
      </c>
      <c r="F10754" t="s">
        <v>28198</v>
      </c>
      <c r="G10754" t="s">
        <v>28205</v>
      </c>
      <c r="H10754" t="s">
        <v>28215</v>
      </c>
      <c r="I10754" t="s">
        <v>28228</v>
      </c>
      <c r="J10754" t="s">
        <v>34992</v>
      </c>
      <c r="K10754" t="s">
        <v>36689</v>
      </c>
      <c r="M10754" t="s">
        <v>38491</v>
      </c>
      <c r="N10754" t="s">
        <v>40436</v>
      </c>
      <c r="O10754" t="s">
        <v>40437</v>
      </c>
      <c r="Q10754">
        <v>0</v>
      </c>
      <c r="R10754" t="s">
        <v>40451</v>
      </c>
      <c r="S10754" t="s">
        <v>41060</v>
      </c>
      <c r="T10754" t="s">
        <v>42203</v>
      </c>
      <c r="U10754" t="s">
        <v>51571</v>
      </c>
      <c r="W10754" t="s">
        <v>38491</v>
      </c>
      <c r="X10754" t="s">
        <v>40452</v>
      </c>
    </row>
    <row r="10755" spans="1:24">
      <c r="A10755">
        <f>HYPERLINK("https://www.philgeps.gov.ph/GEPSNONPILOT/Tender/SplashBidNoticeAbstractUI.aspx?menuIndex=3&amp;refID=7025275&amp;Result=3","7025275")</f>
        <v>0</v>
      </c>
      <c r="B10755" t="s">
        <v>2834</v>
      </c>
      <c r="C10755" t="s">
        <v>13351</v>
      </c>
      <c r="D10755" t="s">
        <v>16195</v>
      </c>
      <c r="E10755" t="s">
        <v>25621</v>
      </c>
      <c r="F10755" t="s">
        <v>28200</v>
      </c>
      <c r="G10755" t="s">
        <v>28205</v>
      </c>
      <c r="H10755" t="s">
        <v>28215</v>
      </c>
      <c r="I10755" t="s">
        <v>5100</v>
      </c>
      <c r="J10755" t="s">
        <v>29753</v>
      </c>
      <c r="K10755" t="s">
        <v>36687</v>
      </c>
      <c r="M10755" t="s">
        <v>40086</v>
      </c>
      <c r="N10755" t="s">
        <v>40436</v>
      </c>
      <c r="O10755" t="s">
        <v>40437</v>
      </c>
      <c r="P10755">
        <v>0</v>
      </c>
      <c r="Q10755">
        <v>0</v>
      </c>
      <c r="R10755" t="s">
        <v>40451</v>
      </c>
      <c r="S10755" t="s">
        <v>41005</v>
      </c>
      <c r="T10755" t="s">
        <v>42133</v>
      </c>
      <c r="U10755" t="s">
        <v>45873</v>
      </c>
      <c r="V10755" t="s">
        <v>54965</v>
      </c>
      <c r="W10755" t="s">
        <v>40086</v>
      </c>
      <c r="X10755" t="s">
        <v>40452</v>
      </c>
    </row>
    <row r="10756" spans="1:24">
      <c r="A10756">
        <f>HYPERLINK("https://www.philgeps.gov.ph/GEPSNONPILOT/Tender/SplashBidNoticeAbstractUI.aspx?menuIndex=3&amp;refID=7025255&amp;Result=3","7025255")</f>
        <v>0</v>
      </c>
      <c r="B10756" t="s">
        <v>1063</v>
      </c>
      <c r="C10756" t="s">
        <v>13352</v>
      </c>
      <c r="D10756" t="s">
        <v>16188</v>
      </c>
      <c r="E10756" t="s">
        <v>25622</v>
      </c>
      <c r="F10756" t="s">
        <v>28198</v>
      </c>
      <c r="G10756" t="s">
        <v>28205</v>
      </c>
      <c r="H10756" t="s">
        <v>28215</v>
      </c>
      <c r="I10756" t="s">
        <v>28228</v>
      </c>
      <c r="J10756" t="s">
        <v>34993</v>
      </c>
      <c r="K10756" t="s">
        <v>36689</v>
      </c>
      <c r="M10756" t="s">
        <v>38491</v>
      </c>
      <c r="N10756" t="s">
        <v>40436</v>
      </c>
      <c r="O10756" t="s">
        <v>40437</v>
      </c>
      <c r="Q10756">
        <v>0</v>
      </c>
      <c r="R10756" t="s">
        <v>40451</v>
      </c>
      <c r="S10756" t="s">
        <v>41061</v>
      </c>
      <c r="T10756" t="s">
        <v>42203</v>
      </c>
      <c r="U10756" t="s">
        <v>51572</v>
      </c>
      <c r="W10756" t="s">
        <v>38491</v>
      </c>
      <c r="X10756" t="s">
        <v>40452</v>
      </c>
    </row>
    <row r="10757" spans="1:24">
      <c r="A10757">
        <f>HYPERLINK("https://www.philgeps.gov.ph/GEPSNONPILOT/Tender/SplashBidNoticeAbstractUI.aspx?menuIndex=3&amp;refID=7025261&amp;Result=3","7025261")</f>
        <v>0</v>
      </c>
      <c r="B10757" t="s">
        <v>506</v>
      </c>
      <c r="C10757" t="s">
        <v>13353</v>
      </c>
      <c r="D10757" t="s">
        <v>16252</v>
      </c>
      <c r="E10757" t="s">
        <v>25623</v>
      </c>
      <c r="F10757" t="s">
        <v>28198</v>
      </c>
      <c r="G10757" t="s">
        <v>28207</v>
      </c>
      <c r="H10757" t="s">
        <v>28215</v>
      </c>
      <c r="I10757" t="s">
        <v>28228</v>
      </c>
      <c r="J10757" t="s">
        <v>34994</v>
      </c>
      <c r="K10757" t="s">
        <v>36697</v>
      </c>
      <c r="M10757" t="s">
        <v>37491</v>
      </c>
      <c r="N10757" t="s">
        <v>40436</v>
      </c>
      <c r="O10757" t="s">
        <v>40437</v>
      </c>
      <c r="P10757">
        <v>0</v>
      </c>
      <c r="Q10757">
        <v>1</v>
      </c>
      <c r="R10757" t="s">
        <v>40451</v>
      </c>
      <c r="S10757" t="s">
        <v>41005</v>
      </c>
      <c r="T10757" t="s">
        <v>42233</v>
      </c>
      <c r="U10757" t="s">
        <v>50579</v>
      </c>
      <c r="W10757" t="s">
        <v>37491</v>
      </c>
      <c r="X10757" t="s">
        <v>40452</v>
      </c>
    </row>
    <row r="10758" spans="1:24">
      <c r="A10758">
        <f>HYPERLINK("https://www.philgeps.gov.ph/GEPSNONPILOT/Tender/SplashBidNoticeAbstractUI.aspx?menuIndex=3&amp;refID=7025274&amp;Result=3","7025274")</f>
        <v>0</v>
      </c>
      <c r="B10758" t="s">
        <v>2835</v>
      </c>
      <c r="C10758" t="s">
        <v>13354</v>
      </c>
      <c r="D10758" t="s">
        <v>16206</v>
      </c>
      <c r="E10758" t="s">
        <v>16588</v>
      </c>
      <c r="F10758" t="s">
        <v>28198</v>
      </c>
      <c r="G10758" t="s">
        <v>28205</v>
      </c>
      <c r="H10758" t="s">
        <v>28214</v>
      </c>
      <c r="I10758" t="s">
        <v>3797</v>
      </c>
      <c r="J10758" t="s">
        <v>34995</v>
      </c>
      <c r="K10758" t="s">
        <v>36701</v>
      </c>
      <c r="M10758" t="s">
        <v>40087</v>
      </c>
      <c r="N10758" t="s">
        <v>40436</v>
      </c>
      <c r="O10758" t="s">
        <v>40437</v>
      </c>
      <c r="P10758">
        <v>0</v>
      </c>
      <c r="Q10758">
        <v>1</v>
      </c>
      <c r="R10758" t="s">
        <v>40451</v>
      </c>
      <c r="S10758" t="s">
        <v>41005</v>
      </c>
      <c r="T10758" t="s">
        <v>42102</v>
      </c>
      <c r="U10758" t="s">
        <v>51573</v>
      </c>
      <c r="W10758" t="s">
        <v>40087</v>
      </c>
      <c r="X10758" t="s">
        <v>40452</v>
      </c>
    </row>
    <row r="10759" spans="1:24">
      <c r="A10759">
        <f>HYPERLINK("https://www.philgeps.gov.ph/GEPSNONPILOT/Tender/SplashBidNoticeAbstractUI.aspx?menuIndex=3&amp;refID=7025273&amp;Result=3","7025273")</f>
        <v>0</v>
      </c>
      <c r="B10759" t="s">
        <v>1990</v>
      </c>
      <c r="C10759" t="s">
        <v>13355</v>
      </c>
      <c r="D10759" t="s">
        <v>16258</v>
      </c>
      <c r="E10759" t="s">
        <v>25624</v>
      </c>
      <c r="F10759" t="s">
        <v>28198</v>
      </c>
      <c r="G10759" t="s">
        <v>28205</v>
      </c>
      <c r="H10759" t="s">
        <v>28214</v>
      </c>
      <c r="I10759" t="s">
        <v>3797</v>
      </c>
      <c r="J10759" t="s">
        <v>34996</v>
      </c>
      <c r="K10759" t="s">
        <v>36690</v>
      </c>
      <c r="M10759" t="s">
        <v>39436</v>
      </c>
      <c r="N10759" t="s">
        <v>40436</v>
      </c>
      <c r="O10759" t="s">
        <v>40437</v>
      </c>
      <c r="Q10759">
        <v>1</v>
      </c>
      <c r="R10759" t="s">
        <v>40451</v>
      </c>
      <c r="S10759" t="s">
        <v>41062</v>
      </c>
      <c r="T10759" t="s">
        <v>42331</v>
      </c>
      <c r="U10759" t="s">
        <v>51574</v>
      </c>
      <c r="V10759" t="s">
        <v>54542</v>
      </c>
      <c r="W10759" t="s">
        <v>39436</v>
      </c>
      <c r="X10759" t="s">
        <v>40452</v>
      </c>
    </row>
    <row r="10760" spans="1:24">
      <c r="A10760">
        <f>HYPERLINK("https://www.philgeps.gov.ph/GEPSNONPILOT/Tender/SplashBidNoticeAbstractUI.aspx?menuIndex=3&amp;refID=7025271&amp;Result=3","7025271")</f>
        <v>0</v>
      </c>
      <c r="B10760" t="s">
        <v>1994</v>
      </c>
      <c r="C10760" t="s">
        <v>13356</v>
      </c>
      <c r="D10760" t="s">
        <v>16209</v>
      </c>
      <c r="E10760" t="s">
        <v>19404</v>
      </c>
      <c r="F10760" t="s">
        <v>28198</v>
      </c>
      <c r="G10760" t="s">
        <v>28205</v>
      </c>
      <c r="H10760" t="s">
        <v>28214</v>
      </c>
      <c r="I10760" t="s">
        <v>3797</v>
      </c>
      <c r="J10760" t="s">
        <v>34997</v>
      </c>
      <c r="K10760" t="s">
        <v>36697</v>
      </c>
      <c r="M10760" t="s">
        <v>39132</v>
      </c>
      <c r="N10760" t="s">
        <v>40436</v>
      </c>
      <c r="O10760" t="s">
        <v>40437</v>
      </c>
      <c r="P10760">
        <v>0</v>
      </c>
      <c r="Q10760">
        <v>1</v>
      </c>
      <c r="R10760" t="s">
        <v>40451</v>
      </c>
      <c r="S10760" t="s">
        <v>41005</v>
      </c>
      <c r="T10760" t="s">
        <v>42153</v>
      </c>
      <c r="U10760" t="s">
        <v>42915</v>
      </c>
      <c r="V10760" t="s">
        <v>54966</v>
      </c>
      <c r="W10760" t="s">
        <v>39132</v>
      </c>
      <c r="X10760" t="s">
        <v>40452</v>
      </c>
    </row>
    <row r="10761" spans="1:24">
      <c r="A10761">
        <f>HYPERLINK("https://www.philgeps.gov.ph/GEPSNONPILOT/Tender/SplashBidNoticeAbstractUI.aspx?menuIndex=3&amp;refID=7025235&amp;Result=3","7025235")</f>
        <v>0</v>
      </c>
      <c r="B10761" t="s">
        <v>1990</v>
      </c>
      <c r="C10761" t="s">
        <v>13357</v>
      </c>
      <c r="D10761" t="s">
        <v>16258</v>
      </c>
      <c r="E10761" t="s">
        <v>25625</v>
      </c>
      <c r="F10761" t="s">
        <v>28198</v>
      </c>
      <c r="G10761" t="s">
        <v>28205</v>
      </c>
      <c r="H10761" t="s">
        <v>28214</v>
      </c>
      <c r="I10761" t="s">
        <v>3797</v>
      </c>
      <c r="J10761" t="s">
        <v>34998</v>
      </c>
      <c r="K10761" t="s">
        <v>36821</v>
      </c>
      <c r="M10761" t="s">
        <v>39436</v>
      </c>
      <c r="N10761" t="s">
        <v>40436</v>
      </c>
      <c r="O10761" t="s">
        <v>40437</v>
      </c>
      <c r="Q10761">
        <v>1</v>
      </c>
      <c r="R10761" t="s">
        <v>40451</v>
      </c>
      <c r="S10761" t="s">
        <v>41063</v>
      </c>
      <c r="T10761" t="s">
        <v>42331</v>
      </c>
      <c r="U10761" t="s">
        <v>51575</v>
      </c>
      <c r="V10761" t="s">
        <v>54542</v>
      </c>
      <c r="W10761" t="s">
        <v>39436</v>
      </c>
      <c r="X10761" t="s">
        <v>40452</v>
      </c>
    </row>
    <row r="10762" spans="1:24">
      <c r="A10762">
        <f>HYPERLINK("https://www.philgeps.gov.ph/GEPSNONPILOT/Tender/SplashBidNoticeAbstractUI.aspx?menuIndex=3&amp;refID=7025270&amp;Result=3","7025270")</f>
        <v>0</v>
      </c>
      <c r="B10762" t="s">
        <v>506</v>
      </c>
      <c r="C10762" t="s">
        <v>13358</v>
      </c>
      <c r="D10762" t="s">
        <v>16252</v>
      </c>
      <c r="E10762" t="s">
        <v>25626</v>
      </c>
      <c r="F10762" t="s">
        <v>28198</v>
      </c>
      <c r="G10762" t="s">
        <v>28207</v>
      </c>
      <c r="H10762" t="s">
        <v>28215</v>
      </c>
      <c r="I10762" t="s">
        <v>28228</v>
      </c>
      <c r="J10762" t="s">
        <v>34999</v>
      </c>
      <c r="K10762" t="s">
        <v>36697</v>
      </c>
      <c r="M10762" t="s">
        <v>37491</v>
      </c>
      <c r="N10762" t="s">
        <v>40436</v>
      </c>
      <c r="O10762" t="s">
        <v>40437</v>
      </c>
      <c r="P10762">
        <v>0</v>
      </c>
      <c r="Q10762">
        <v>1</v>
      </c>
      <c r="R10762" t="s">
        <v>40451</v>
      </c>
      <c r="S10762" t="s">
        <v>41005</v>
      </c>
      <c r="T10762" t="s">
        <v>42233</v>
      </c>
      <c r="U10762" t="s">
        <v>50579</v>
      </c>
      <c r="W10762" t="s">
        <v>37491</v>
      </c>
      <c r="X10762" t="s">
        <v>40452</v>
      </c>
    </row>
    <row r="10763" spans="1:24">
      <c r="A10763">
        <f>HYPERLINK("https://www.philgeps.gov.ph/GEPSNONPILOT/Tender/SplashBidNoticeAbstractUI.aspx?menuIndex=3&amp;refID=7025268&amp;Result=3","7025268")</f>
        <v>0</v>
      </c>
      <c r="B10763" t="s">
        <v>1303</v>
      </c>
      <c r="C10763" t="s">
        <v>13359</v>
      </c>
      <c r="D10763" t="s">
        <v>16200</v>
      </c>
      <c r="E10763" t="s">
        <v>25627</v>
      </c>
      <c r="F10763" t="s">
        <v>28198</v>
      </c>
      <c r="G10763" t="s">
        <v>28205</v>
      </c>
      <c r="H10763" t="s">
        <v>28214</v>
      </c>
      <c r="I10763" t="s">
        <v>3797</v>
      </c>
      <c r="J10763" t="s">
        <v>35000</v>
      </c>
      <c r="K10763" t="s">
        <v>36866</v>
      </c>
      <c r="M10763" t="s">
        <v>38357</v>
      </c>
      <c r="N10763" t="s">
        <v>40436</v>
      </c>
      <c r="O10763" t="s">
        <v>40437</v>
      </c>
      <c r="Q10763">
        <v>1</v>
      </c>
      <c r="R10763" t="s">
        <v>40451</v>
      </c>
      <c r="S10763" t="s">
        <v>41064</v>
      </c>
      <c r="T10763" t="s">
        <v>42249</v>
      </c>
      <c r="U10763" t="s">
        <v>51576</v>
      </c>
      <c r="V10763" t="s">
        <v>54964</v>
      </c>
      <c r="W10763" t="s">
        <v>38357</v>
      </c>
      <c r="X10763" t="s">
        <v>40452</v>
      </c>
    </row>
    <row r="10764" spans="1:24">
      <c r="A10764">
        <f>HYPERLINK("https://www.philgeps.gov.ph/GEPSNONPILOT/Tender/SplashBidNoticeAbstractUI.aspx?menuIndex=3&amp;refID=7025277&amp;Result=3","7025277")</f>
        <v>0</v>
      </c>
      <c r="B10764" t="s">
        <v>1990</v>
      </c>
      <c r="C10764" t="s">
        <v>13360</v>
      </c>
      <c r="D10764" t="s">
        <v>16258</v>
      </c>
      <c r="E10764" t="s">
        <v>25628</v>
      </c>
      <c r="F10764" t="s">
        <v>28198</v>
      </c>
      <c r="G10764" t="s">
        <v>28205</v>
      </c>
      <c r="H10764" t="s">
        <v>28214</v>
      </c>
      <c r="I10764" t="s">
        <v>3797</v>
      </c>
      <c r="J10764" t="s">
        <v>35001</v>
      </c>
      <c r="K10764" t="s">
        <v>36690</v>
      </c>
      <c r="M10764" t="s">
        <v>39436</v>
      </c>
      <c r="N10764" t="s">
        <v>40436</v>
      </c>
      <c r="O10764" t="s">
        <v>40437</v>
      </c>
      <c r="P10764">
        <v>0</v>
      </c>
      <c r="Q10764">
        <v>1</v>
      </c>
      <c r="R10764" t="s">
        <v>40451</v>
      </c>
      <c r="S10764" t="s">
        <v>41005</v>
      </c>
      <c r="T10764" t="s">
        <v>42331</v>
      </c>
      <c r="U10764" t="s">
        <v>51577</v>
      </c>
      <c r="V10764" t="s">
        <v>54542</v>
      </c>
      <c r="W10764" t="s">
        <v>39436</v>
      </c>
      <c r="X10764" t="s">
        <v>40452</v>
      </c>
    </row>
    <row r="10765" spans="1:24">
      <c r="A10765">
        <f>HYPERLINK("https://www.philgeps.gov.ph/GEPSNONPILOT/Tender/SplashBidNoticeAbstractUI.aspx?menuIndex=3&amp;refID=7025266&amp;Result=3","7025266")</f>
        <v>0</v>
      </c>
      <c r="B10765" t="s">
        <v>1990</v>
      </c>
      <c r="C10765" t="s">
        <v>13361</v>
      </c>
      <c r="D10765" t="s">
        <v>16258</v>
      </c>
      <c r="E10765" t="s">
        <v>25629</v>
      </c>
      <c r="F10765" t="s">
        <v>28198</v>
      </c>
      <c r="G10765" t="s">
        <v>28205</v>
      </c>
      <c r="H10765" t="s">
        <v>28214</v>
      </c>
      <c r="I10765" t="s">
        <v>3797</v>
      </c>
      <c r="J10765" t="s">
        <v>35002</v>
      </c>
      <c r="K10765" t="s">
        <v>36697</v>
      </c>
      <c r="M10765" t="s">
        <v>39436</v>
      </c>
      <c r="N10765" t="s">
        <v>40436</v>
      </c>
      <c r="O10765" t="s">
        <v>40437</v>
      </c>
      <c r="P10765">
        <v>0</v>
      </c>
      <c r="Q10765">
        <v>0</v>
      </c>
      <c r="R10765" t="s">
        <v>40451</v>
      </c>
      <c r="S10765" t="s">
        <v>41005</v>
      </c>
      <c r="T10765" t="s">
        <v>42331</v>
      </c>
      <c r="U10765" t="s">
        <v>51578</v>
      </c>
      <c r="V10765" t="s">
        <v>54542</v>
      </c>
      <c r="W10765" t="s">
        <v>39436</v>
      </c>
      <c r="X10765" t="s">
        <v>40452</v>
      </c>
    </row>
    <row r="10766" spans="1:24">
      <c r="A10766">
        <f>HYPERLINK("https://www.philgeps.gov.ph/GEPSNONPILOT/Tender/SplashBidNoticeAbstractUI.aspx?menuIndex=3&amp;refID=7025288&amp;Result=3","7025288")</f>
        <v>0</v>
      </c>
      <c r="B10766" t="s">
        <v>2298</v>
      </c>
      <c r="C10766" t="s">
        <v>13362</v>
      </c>
      <c r="D10766" t="s">
        <v>16240</v>
      </c>
      <c r="E10766" t="s">
        <v>25630</v>
      </c>
      <c r="F10766" t="s">
        <v>28198</v>
      </c>
      <c r="G10766" t="s">
        <v>28207</v>
      </c>
      <c r="H10766" t="s">
        <v>28215</v>
      </c>
      <c r="I10766" t="s">
        <v>28265</v>
      </c>
      <c r="J10766" t="s">
        <v>28360</v>
      </c>
      <c r="K10766" t="s">
        <v>36693</v>
      </c>
      <c r="M10766" t="s">
        <v>39473</v>
      </c>
      <c r="N10766" t="s">
        <v>40436</v>
      </c>
      <c r="O10766" t="s">
        <v>40437</v>
      </c>
      <c r="P10766">
        <v>0</v>
      </c>
      <c r="Q10766">
        <v>0</v>
      </c>
      <c r="R10766" t="s">
        <v>40451</v>
      </c>
      <c r="S10766" t="s">
        <v>41005</v>
      </c>
      <c r="T10766" t="s">
        <v>42378</v>
      </c>
      <c r="U10766" t="s">
        <v>51579</v>
      </c>
      <c r="W10766" t="s">
        <v>39473</v>
      </c>
      <c r="X10766" t="s">
        <v>40452</v>
      </c>
    </row>
    <row r="10767" spans="1:24">
      <c r="A10767">
        <f>HYPERLINK("https://www.philgeps.gov.ph/GEPSNONPILOT/Tender/SplashBidNoticeAbstractUI.aspx?menuIndex=3&amp;refID=7025331&amp;Result=3","7025331")</f>
        <v>0</v>
      </c>
      <c r="B10767" t="s">
        <v>1169</v>
      </c>
      <c r="C10767" t="s">
        <v>13363</v>
      </c>
      <c r="D10767" t="s">
        <v>16250</v>
      </c>
      <c r="E10767" t="s">
        <v>25631</v>
      </c>
      <c r="F10767" t="s">
        <v>28198</v>
      </c>
      <c r="G10767" t="s">
        <v>28205</v>
      </c>
      <c r="H10767" t="s">
        <v>28215</v>
      </c>
      <c r="I10767" t="s">
        <v>5100</v>
      </c>
      <c r="J10767" t="s">
        <v>35003</v>
      </c>
      <c r="K10767" t="s">
        <v>36706</v>
      </c>
      <c r="M10767" t="s">
        <v>38209</v>
      </c>
      <c r="N10767" t="s">
        <v>40436</v>
      </c>
      <c r="O10767" t="s">
        <v>40437</v>
      </c>
      <c r="P10767">
        <v>0</v>
      </c>
      <c r="Q10767">
        <v>0</v>
      </c>
      <c r="R10767" t="s">
        <v>40451</v>
      </c>
      <c r="S10767" t="s">
        <v>41005</v>
      </c>
      <c r="T10767" t="s">
        <v>42277</v>
      </c>
      <c r="U10767" t="s">
        <v>51580</v>
      </c>
      <c r="V10767" t="s">
        <v>54777</v>
      </c>
      <c r="W10767" t="s">
        <v>38209</v>
      </c>
      <c r="X10767" t="s">
        <v>40452</v>
      </c>
    </row>
    <row r="10768" spans="1:24">
      <c r="A10768">
        <f>HYPERLINK("https://www.philgeps.gov.ph/GEPSNONPILOT/Tender/SplashBidNoticeAbstractUI.aspx?menuIndex=3&amp;refID=7025364&amp;Result=3","7025364")</f>
        <v>0</v>
      </c>
      <c r="B10768" t="s">
        <v>2225</v>
      </c>
      <c r="C10768" t="s">
        <v>13364</v>
      </c>
      <c r="D10768" t="s">
        <v>16187</v>
      </c>
      <c r="E10768" t="s">
        <v>25632</v>
      </c>
      <c r="F10768" t="s">
        <v>28198</v>
      </c>
      <c r="G10768" t="s">
        <v>28205</v>
      </c>
      <c r="H10768" t="s">
        <v>28214</v>
      </c>
      <c r="I10768" t="s">
        <v>3797</v>
      </c>
      <c r="J10768" t="s">
        <v>29552</v>
      </c>
      <c r="K10768" t="s">
        <v>36715</v>
      </c>
      <c r="L10768" t="s">
        <v>2225</v>
      </c>
      <c r="M10768" t="s">
        <v>39392</v>
      </c>
      <c r="N10768" t="s">
        <v>40436</v>
      </c>
      <c r="O10768" t="s">
        <v>40437</v>
      </c>
      <c r="P10768">
        <v>0</v>
      </c>
      <c r="Q10768">
        <v>1</v>
      </c>
      <c r="R10768" t="s">
        <v>40451</v>
      </c>
      <c r="S10768" t="s">
        <v>41005</v>
      </c>
      <c r="T10768" t="s">
        <v>42126</v>
      </c>
      <c r="U10768" t="s">
        <v>51581</v>
      </c>
      <c r="W10768" t="s">
        <v>39392</v>
      </c>
      <c r="X10768" t="s">
        <v>40452</v>
      </c>
    </row>
    <row r="10769" spans="1:24">
      <c r="A10769">
        <f>HYPERLINK("https://www.philgeps.gov.ph/GEPSNONPILOT/Tender/SplashBidNoticeAbstractUI.aspx?menuIndex=3&amp;refID=7025319&amp;Result=3","7025319")</f>
        <v>0</v>
      </c>
      <c r="B10769" t="s">
        <v>1990</v>
      </c>
      <c r="C10769" t="s">
        <v>13365</v>
      </c>
      <c r="D10769" t="s">
        <v>16258</v>
      </c>
      <c r="E10769" t="s">
        <v>25633</v>
      </c>
      <c r="F10769" t="s">
        <v>28198</v>
      </c>
      <c r="G10769" t="s">
        <v>28205</v>
      </c>
      <c r="H10769" t="s">
        <v>28214</v>
      </c>
      <c r="I10769" t="s">
        <v>3797</v>
      </c>
      <c r="J10769" t="s">
        <v>35004</v>
      </c>
      <c r="K10769" t="s">
        <v>36697</v>
      </c>
      <c r="M10769" t="s">
        <v>39436</v>
      </c>
      <c r="N10769" t="s">
        <v>40436</v>
      </c>
      <c r="O10769" t="s">
        <v>40437</v>
      </c>
      <c r="P10769">
        <v>0</v>
      </c>
      <c r="Q10769">
        <v>0</v>
      </c>
      <c r="R10769" t="s">
        <v>40451</v>
      </c>
      <c r="S10769" t="s">
        <v>41005</v>
      </c>
      <c r="T10769" t="s">
        <v>42331</v>
      </c>
      <c r="U10769" t="s">
        <v>51582</v>
      </c>
      <c r="V10769" t="s">
        <v>54542</v>
      </c>
      <c r="W10769" t="s">
        <v>39436</v>
      </c>
      <c r="X10769" t="s">
        <v>40452</v>
      </c>
    </row>
    <row r="10770" spans="1:24">
      <c r="A10770">
        <f>HYPERLINK("https://www.philgeps.gov.ph/GEPSNONPILOT/Tender/SplashBidNoticeAbstractUI.aspx?menuIndex=3&amp;refID=7025359&amp;Result=3","7025359")</f>
        <v>0</v>
      </c>
      <c r="B10770" t="s">
        <v>1990</v>
      </c>
      <c r="C10770" t="s">
        <v>13366</v>
      </c>
      <c r="D10770" t="s">
        <v>16258</v>
      </c>
      <c r="E10770" t="s">
        <v>25634</v>
      </c>
      <c r="F10770" t="s">
        <v>28198</v>
      </c>
      <c r="G10770" t="s">
        <v>28205</v>
      </c>
      <c r="H10770" t="s">
        <v>28214</v>
      </c>
      <c r="I10770" t="s">
        <v>3797</v>
      </c>
      <c r="J10770" t="s">
        <v>35005</v>
      </c>
      <c r="K10770" t="s">
        <v>36697</v>
      </c>
      <c r="M10770" t="s">
        <v>39436</v>
      </c>
      <c r="N10770" t="s">
        <v>40436</v>
      </c>
      <c r="O10770" t="s">
        <v>40437</v>
      </c>
      <c r="P10770">
        <v>0</v>
      </c>
      <c r="Q10770">
        <v>0</v>
      </c>
      <c r="R10770" t="s">
        <v>40451</v>
      </c>
      <c r="S10770" t="s">
        <v>41005</v>
      </c>
      <c r="T10770" t="s">
        <v>42331</v>
      </c>
      <c r="U10770" t="s">
        <v>51583</v>
      </c>
      <c r="V10770" t="s">
        <v>54542</v>
      </c>
      <c r="W10770" t="s">
        <v>39436</v>
      </c>
      <c r="X10770" t="s">
        <v>40452</v>
      </c>
    </row>
    <row r="10771" spans="1:24">
      <c r="A10771">
        <f>HYPERLINK("https://www.philgeps.gov.ph/GEPSNONPILOT/Tender/SplashBidNoticeAbstractUI.aspx?menuIndex=3&amp;refID=7025360&amp;Result=3","7025360")</f>
        <v>0</v>
      </c>
      <c r="B10771" t="s">
        <v>2119</v>
      </c>
      <c r="C10771" t="s">
        <v>13367</v>
      </c>
      <c r="D10771" t="s">
        <v>16199</v>
      </c>
      <c r="E10771" t="s">
        <v>25635</v>
      </c>
      <c r="F10771" t="s">
        <v>28198</v>
      </c>
      <c r="G10771" t="s">
        <v>28205</v>
      </c>
      <c r="H10771" t="s">
        <v>28215</v>
      </c>
      <c r="I10771" t="s">
        <v>5100</v>
      </c>
      <c r="J10771" t="s">
        <v>35006</v>
      </c>
      <c r="K10771" t="s">
        <v>36689</v>
      </c>
      <c r="M10771" t="s">
        <v>39274</v>
      </c>
      <c r="N10771" t="s">
        <v>40436</v>
      </c>
      <c r="O10771" t="s">
        <v>40437</v>
      </c>
      <c r="P10771">
        <v>0</v>
      </c>
      <c r="Q10771">
        <v>3</v>
      </c>
      <c r="R10771" t="s">
        <v>40451</v>
      </c>
      <c r="S10771" t="s">
        <v>41005</v>
      </c>
      <c r="T10771" t="s">
        <v>42144</v>
      </c>
      <c r="U10771" t="s">
        <v>51584</v>
      </c>
      <c r="W10771" t="s">
        <v>39274</v>
      </c>
      <c r="X10771" t="s">
        <v>40452</v>
      </c>
    </row>
    <row r="10772" spans="1:24">
      <c r="A10772">
        <f>HYPERLINK("https://www.philgeps.gov.ph/GEPSNONPILOT/Tender/SplashBidNoticeAbstractUI.aspx?menuIndex=3&amp;refID=7025330&amp;Result=3","7025330")</f>
        <v>0</v>
      </c>
      <c r="B10772" t="s">
        <v>480</v>
      </c>
      <c r="C10772" t="s">
        <v>13368</v>
      </c>
      <c r="D10772" t="s">
        <v>16234</v>
      </c>
      <c r="E10772" t="s">
        <v>25636</v>
      </c>
      <c r="F10772" t="s">
        <v>28198</v>
      </c>
      <c r="G10772" t="s">
        <v>28207</v>
      </c>
      <c r="H10772" t="s">
        <v>28215</v>
      </c>
      <c r="I10772" t="s">
        <v>5100</v>
      </c>
      <c r="J10772" t="s">
        <v>35007</v>
      </c>
      <c r="K10772" t="s">
        <v>36689</v>
      </c>
      <c r="M10772" t="s">
        <v>37465</v>
      </c>
      <c r="N10772" t="s">
        <v>40436</v>
      </c>
      <c r="O10772" t="s">
        <v>40437</v>
      </c>
      <c r="P10772">
        <v>0</v>
      </c>
      <c r="Q10772">
        <v>6</v>
      </c>
      <c r="R10772" t="s">
        <v>40451</v>
      </c>
      <c r="S10772" t="s">
        <v>41005</v>
      </c>
      <c r="T10772" t="s">
        <v>42144</v>
      </c>
      <c r="U10772" t="s">
        <v>43987</v>
      </c>
      <c r="W10772" t="s">
        <v>37465</v>
      </c>
      <c r="X10772" t="s">
        <v>40452</v>
      </c>
    </row>
    <row r="10773" spans="1:24">
      <c r="A10773">
        <f>HYPERLINK("https://www.philgeps.gov.ph/GEPSNONPILOT/Tender/SplashBidNoticeAbstractUI.aspx?menuIndex=3&amp;refID=7025287&amp;Result=3","7025287")</f>
        <v>0</v>
      </c>
      <c r="B10773" t="s">
        <v>506</v>
      </c>
      <c r="C10773" t="s">
        <v>13369</v>
      </c>
      <c r="D10773" t="s">
        <v>16252</v>
      </c>
      <c r="E10773" t="s">
        <v>25637</v>
      </c>
      <c r="F10773" t="s">
        <v>28198</v>
      </c>
      <c r="G10773" t="s">
        <v>28207</v>
      </c>
      <c r="H10773" t="s">
        <v>28215</v>
      </c>
      <c r="I10773" t="s">
        <v>28265</v>
      </c>
      <c r="J10773" t="s">
        <v>35008</v>
      </c>
      <c r="K10773" t="s">
        <v>36697</v>
      </c>
      <c r="M10773" t="s">
        <v>37491</v>
      </c>
      <c r="N10773" t="s">
        <v>40436</v>
      </c>
      <c r="O10773" t="s">
        <v>40437</v>
      </c>
      <c r="P10773">
        <v>0</v>
      </c>
      <c r="Q10773">
        <v>0</v>
      </c>
      <c r="R10773" t="s">
        <v>40451</v>
      </c>
      <c r="S10773" t="s">
        <v>41005</v>
      </c>
      <c r="T10773" t="s">
        <v>42233</v>
      </c>
      <c r="U10773" t="s">
        <v>50579</v>
      </c>
      <c r="W10773" t="s">
        <v>37491</v>
      </c>
      <c r="X10773" t="s">
        <v>40452</v>
      </c>
    </row>
    <row r="10774" spans="1:24">
      <c r="A10774">
        <f>HYPERLINK("https://www.philgeps.gov.ph/GEPSNONPILOT/Tender/SplashBidNoticeAbstractUI.aspx?menuIndex=3&amp;refID=7025325&amp;Result=3","7025325")</f>
        <v>0</v>
      </c>
      <c r="B10774" t="s">
        <v>1990</v>
      </c>
      <c r="C10774" t="s">
        <v>13370</v>
      </c>
      <c r="D10774" t="s">
        <v>16258</v>
      </c>
      <c r="E10774" t="s">
        <v>25638</v>
      </c>
      <c r="F10774" t="s">
        <v>28198</v>
      </c>
      <c r="G10774" t="s">
        <v>28205</v>
      </c>
      <c r="H10774" t="s">
        <v>28214</v>
      </c>
      <c r="I10774" t="s">
        <v>3797</v>
      </c>
      <c r="J10774" t="s">
        <v>35009</v>
      </c>
      <c r="K10774" t="s">
        <v>36697</v>
      </c>
      <c r="M10774" t="s">
        <v>39436</v>
      </c>
      <c r="N10774" t="s">
        <v>40436</v>
      </c>
      <c r="O10774" t="s">
        <v>40437</v>
      </c>
      <c r="P10774">
        <v>0</v>
      </c>
      <c r="Q10774">
        <v>1</v>
      </c>
      <c r="R10774" t="s">
        <v>40451</v>
      </c>
      <c r="S10774" t="s">
        <v>41005</v>
      </c>
      <c r="T10774" t="s">
        <v>42331</v>
      </c>
      <c r="U10774" t="s">
        <v>51585</v>
      </c>
      <c r="V10774" t="s">
        <v>54542</v>
      </c>
      <c r="W10774" t="s">
        <v>39436</v>
      </c>
      <c r="X10774" t="s">
        <v>40452</v>
      </c>
    </row>
    <row r="10775" spans="1:24">
      <c r="A10775">
        <f>HYPERLINK("https://www.philgeps.gov.ph/GEPSNONPILOT/Tender/SplashBidNoticeAbstractUI.aspx?menuIndex=3&amp;refID=7025294&amp;Result=3","7025294")</f>
        <v>0</v>
      </c>
      <c r="B10775" t="s">
        <v>1990</v>
      </c>
      <c r="C10775" t="s">
        <v>13371</v>
      </c>
      <c r="D10775" t="s">
        <v>16258</v>
      </c>
      <c r="E10775" t="s">
        <v>25639</v>
      </c>
      <c r="F10775" t="s">
        <v>28198</v>
      </c>
      <c r="G10775" t="s">
        <v>28205</v>
      </c>
      <c r="H10775" t="s">
        <v>28214</v>
      </c>
      <c r="I10775" t="s">
        <v>3797</v>
      </c>
      <c r="J10775" t="s">
        <v>35010</v>
      </c>
      <c r="K10775" t="s">
        <v>36692</v>
      </c>
      <c r="M10775" t="s">
        <v>39436</v>
      </c>
      <c r="N10775" t="s">
        <v>40436</v>
      </c>
      <c r="O10775" t="s">
        <v>40437</v>
      </c>
      <c r="Q10775">
        <v>0</v>
      </c>
      <c r="R10775" t="s">
        <v>40451</v>
      </c>
      <c r="S10775" t="s">
        <v>40754</v>
      </c>
      <c r="T10775" t="s">
        <v>42331</v>
      </c>
      <c r="U10775" t="s">
        <v>51586</v>
      </c>
      <c r="V10775" t="s">
        <v>54542</v>
      </c>
      <c r="W10775" t="s">
        <v>39436</v>
      </c>
      <c r="X10775" t="s">
        <v>40452</v>
      </c>
    </row>
    <row r="10776" spans="1:24">
      <c r="A10776">
        <f>HYPERLINK("https://www.philgeps.gov.ph/GEPSNONPILOT/Tender/SplashBidNoticeAbstractUI.aspx?menuIndex=3&amp;refID=7025349&amp;Result=3","7025349")</f>
        <v>0</v>
      </c>
      <c r="B10776" t="s">
        <v>2416</v>
      </c>
      <c r="C10776" t="s">
        <v>13372</v>
      </c>
      <c r="D10776" t="s">
        <v>16191</v>
      </c>
      <c r="E10776" t="s">
        <v>25640</v>
      </c>
      <c r="F10776" t="s">
        <v>28198</v>
      </c>
      <c r="G10776" t="s">
        <v>28205</v>
      </c>
      <c r="H10776" t="s">
        <v>28215</v>
      </c>
      <c r="I10776" t="s">
        <v>28222</v>
      </c>
      <c r="J10776" t="s">
        <v>35011</v>
      </c>
      <c r="K10776" t="s">
        <v>36701</v>
      </c>
      <c r="M10776" t="s">
        <v>36997</v>
      </c>
      <c r="N10776" t="s">
        <v>40436</v>
      </c>
      <c r="O10776" t="s">
        <v>40437</v>
      </c>
      <c r="P10776">
        <v>0</v>
      </c>
      <c r="Q10776">
        <v>6</v>
      </c>
      <c r="R10776" t="s">
        <v>40451</v>
      </c>
      <c r="S10776" t="s">
        <v>41005</v>
      </c>
      <c r="T10776" t="s">
        <v>42188</v>
      </c>
      <c r="U10776" t="s">
        <v>51587</v>
      </c>
      <c r="V10776" t="s">
        <v>54967</v>
      </c>
      <c r="W10776" t="s">
        <v>36997</v>
      </c>
      <c r="X10776" t="s">
        <v>40452</v>
      </c>
    </row>
    <row r="10777" spans="1:24">
      <c r="A10777">
        <f>HYPERLINK("https://www.philgeps.gov.ph/GEPSNONPILOT/Tender/SplashBidNoticeAbstractUI.aspx?menuIndex=3&amp;refID=7025346&amp;Result=3","7025346")</f>
        <v>0</v>
      </c>
      <c r="B10777" t="s">
        <v>1990</v>
      </c>
      <c r="C10777" t="s">
        <v>13373</v>
      </c>
      <c r="D10777" t="s">
        <v>16258</v>
      </c>
      <c r="E10777" t="s">
        <v>25641</v>
      </c>
      <c r="F10777" t="s">
        <v>28198</v>
      </c>
      <c r="G10777" t="s">
        <v>28205</v>
      </c>
      <c r="H10777" t="s">
        <v>28214</v>
      </c>
      <c r="I10777" t="s">
        <v>3797</v>
      </c>
      <c r="J10777" t="s">
        <v>35012</v>
      </c>
      <c r="K10777" t="s">
        <v>36697</v>
      </c>
      <c r="M10777" t="s">
        <v>39436</v>
      </c>
      <c r="N10777" t="s">
        <v>40436</v>
      </c>
      <c r="O10777" t="s">
        <v>40437</v>
      </c>
      <c r="P10777">
        <v>0</v>
      </c>
      <c r="Q10777">
        <v>0</v>
      </c>
      <c r="R10777" t="s">
        <v>40451</v>
      </c>
      <c r="S10777" t="s">
        <v>41005</v>
      </c>
      <c r="T10777" t="s">
        <v>42331</v>
      </c>
      <c r="U10777" t="s">
        <v>51588</v>
      </c>
      <c r="V10777" t="s">
        <v>54542</v>
      </c>
      <c r="W10777" t="s">
        <v>39436</v>
      </c>
      <c r="X10777" t="s">
        <v>40452</v>
      </c>
    </row>
    <row r="10778" spans="1:24">
      <c r="A10778">
        <f>HYPERLINK("https://www.philgeps.gov.ph/GEPSNONPILOT/Tender/SplashBidNoticeAbstractUI.aspx?menuIndex=3&amp;refID=7025345&amp;Result=3","7025345")</f>
        <v>0</v>
      </c>
      <c r="B10778" t="s">
        <v>2298</v>
      </c>
      <c r="C10778" t="s">
        <v>13374</v>
      </c>
      <c r="D10778" t="s">
        <v>16240</v>
      </c>
      <c r="E10778" t="s">
        <v>25642</v>
      </c>
      <c r="F10778" t="s">
        <v>28198</v>
      </c>
      <c r="G10778" t="s">
        <v>28207</v>
      </c>
      <c r="H10778" t="s">
        <v>28215</v>
      </c>
      <c r="I10778" t="s">
        <v>28265</v>
      </c>
      <c r="J10778" t="s">
        <v>35013</v>
      </c>
      <c r="K10778" t="s">
        <v>36693</v>
      </c>
      <c r="M10778" t="s">
        <v>39473</v>
      </c>
      <c r="N10778" t="s">
        <v>40436</v>
      </c>
      <c r="O10778" t="s">
        <v>40437</v>
      </c>
      <c r="P10778">
        <v>0</v>
      </c>
      <c r="Q10778">
        <v>1</v>
      </c>
      <c r="R10778" t="s">
        <v>40451</v>
      </c>
      <c r="S10778" t="s">
        <v>41005</v>
      </c>
      <c r="T10778" t="s">
        <v>42297</v>
      </c>
      <c r="U10778" t="s">
        <v>51589</v>
      </c>
      <c r="W10778" t="s">
        <v>39473</v>
      </c>
      <c r="X10778" t="s">
        <v>40452</v>
      </c>
    </row>
    <row r="10779" spans="1:24">
      <c r="A10779">
        <f>HYPERLINK("https://www.philgeps.gov.ph/GEPSNONPILOT/Tender/SplashBidNoticeAbstractUI.aspx?menuIndex=3&amp;refID=7025341&amp;Result=3","7025341")</f>
        <v>0</v>
      </c>
      <c r="B10779" t="s">
        <v>2702</v>
      </c>
      <c r="C10779" t="s">
        <v>13375</v>
      </c>
      <c r="D10779" t="s">
        <v>16190</v>
      </c>
      <c r="E10779" t="s">
        <v>25643</v>
      </c>
      <c r="F10779" t="s">
        <v>28198</v>
      </c>
      <c r="G10779" t="s">
        <v>28205</v>
      </c>
      <c r="H10779" t="s">
        <v>28215</v>
      </c>
      <c r="I10779" t="s">
        <v>5656</v>
      </c>
      <c r="J10779" t="s">
        <v>35014</v>
      </c>
      <c r="K10779" t="s">
        <v>36693</v>
      </c>
      <c r="M10779" t="s">
        <v>39943</v>
      </c>
      <c r="N10779" t="s">
        <v>40436</v>
      </c>
      <c r="O10779" t="s">
        <v>40437</v>
      </c>
      <c r="P10779">
        <v>0</v>
      </c>
      <c r="Q10779">
        <v>0</v>
      </c>
      <c r="R10779" t="s">
        <v>40451</v>
      </c>
      <c r="S10779" t="s">
        <v>41005</v>
      </c>
      <c r="T10779" t="s">
        <v>42119</v>
      </c>
      <c r="U10779" t="s">
        <v>51590</v>
      </c>
      <c r="W10779" t="s">
        <v>39943</v>
      </c>
      <c r="X10779" t="s">
        <v>40452</v>
      </c>
    </row>
    <row r="10780" spans="1:24">
      <c r="A10780">
        <f>HYPERLINK("https://www.philgeps.gov.ph/GEPSNONPILOT/Tender/SplashBidNoticeAbstractUI.aspx?menuIndex=3&amp;refID=7025307&amp;Result=3","7025307")</f>
        <v>0</v>
      </c>
      <c r="B10780" t="s">
        <v>1990</v>
      </c>
      <c r="C10780" t="s">
        <v>13376</v>
      </c>
      <c r="D10780" t="s">
        <v>16258</v>
      </c>
      <c r="E10780" t="s">
        <v>25644</v>
      </c>
      <c r="F10780" t="s">
        <v>28198</v>
      </c>
      <c r="G10780" t="s">
        <v>28205</v>
      </c>
      <c r="H10780" t="s">
        <v>28214</v>
      </c>
      <c r="I10780" t="s">
        <v>3797</v>
      </c>
      <c r="J10780" t="s">
        <v>35015</v>
      </c>
      <c r="K10780" t="s">
        <v>36697</v>
      </c>
      <c r="M10780" t="s">
        <v>39436</v>
      </c>
      <c r="N10780" t="s">
        <v>40436</v>
      </c>
      <c r="O10780" t="s">
        <v>40437</v>
      </c>
      <c r="Q10780">
        <v>0</v>
      </c>
      <c r="R10780" t="s">
        <v>40451</v>
      </c>
      <c r="S10780" t="s">
        <v>41065</v>
      </c>
      <c r="T10780" t="s">
        <v>42331</v>
      </c>
      <c r="U10780" t="s">
        <v>51591</v>
      </c>
      <c r="V10780" t="s">
        <v>54542</v>
      </c>
      <c r="W10780" t="s">
        <v>39436</v>
      </c>
      <c r="X10780" t="s">
        <v>40452</v>
      </c>
    </row>
    <row r="10781" spans="1:24">
      <c r="A10781">
        <f>HYPERLINK("https://www.philgeps.gov.ph/GEPSNONPILOT/Tender/SplashBidNoticeAbstractUI.aspx?menuIndex=3&amp;refID=7025340&amp;Result=3","7025340")</f>
        <v>0</v>
      </c>
      <c r="B10781" t="s">
        <v>1077</v>
      </c>
      <c r="C10781" t="s">
        <v>13377</v>
      </c>
      <c r="D10781" t="s">
        <v>16238</v>
      </c>
      <c r="E10781" t="s">
        <v>25645</v>
      </c>
      <c r="F10781" t="s">
        <v>28198</v>
      </c>
      <c r="G10781" t="s">
        <v>28205</v>
      </c>
      <c r="H10781" t="s">
        <v>28215</v>
      </c>
      <c r="I10781" t="s">
        <v>28222</v>
      </c>
      <c r="J10781" t="s">
        <v>35016</v>
      </c>
      <c r="K10781" t="s">
        <v>36688</v>
      </c>
      <c r="M10781" t="s">
        <v>38112</v>
      </c>
      <c r="N10781" t="s">
        <v>40436</v>
      </c>
      <c r="O10781" t="s">
        <v>40437</v>
      </c>
      <c r="P10781">
        <v>0</v>
      </c>
      <c r="Q10781">
        <v>5</v>
      </c>
      <c r="R10781" t="s">
        <v>40451</v>
      </c>
      <c r="S10781" t="s">
        <v>41005</v>
      </c>
      <c r="T10781" t="s">
        <v>42128</v>
      </c>
      <c r="U10781" t="s">
        <v>51592</v>
      </c>
      <c r="W10781" t="s">
        <v>38112</v>
      </c>
      <c r="X10781" t="s">
        <v>40452</v>
      </c>
    </row>
    <row r="10782" spans="1:24">
      <c r="A10782">
        <f>HYPERLINK("https://www.philgeps.gov.ph/GEPSNONPILOT/Tender/SplashBidNoticeAbstractUI.aspx?menuIndex=3&amp;refID=7025337&amp;Result=3","7025337")</f>
        <v>0</v>
      </c>
      <c r="B10782" t="s">
        <v>1990</v>
      </c>
      <c r="C10782" t="s">
        <v>13378</v>
      </c>
      <c r="D10782" t="s">
        <v>16258</v>
      </c>
      <c r="E10782" t="s">
        <v>25646</v>
      </c>
      <c r="F10782" t="s">
        <v>28198</v>
      </c>
      <c r="G10782" t="s">
        <v>28205</v>
      </c>
      <c r="H10782" t="s">
        <v>28214</v>
      </c>
      <c r="I10782" t="s">
        <v>3797</v>
      </c>
      <c r="J10782" t="s">
        <v>35017</v>
      </c>
      <c r="K10782" t="s">
        <v>36690</v>
      </c>
      <c r="M10782" t="s">
        <v>39436</v>
      </c>
      <c r="N10782" t="s">
        <v>40436</v>
      </c>
      <c r="O10782" t="s">
        <v>40437</v>
      </c>
      <c r="P10782">
        <v>0</v>
      </c>
      <c r="Q10782">
        <v>0</v>
      </c>
      <c r="R10782" t="s">
        <v>40451</v>
      </c>
      <c r="S10782" t="s">
        <v>41005</v>
      </c>
      <c r="T10782" t="s">
        <v>42331</v>
      </c>
      <c r="U10782" t="s">
        <v>51593</v>
      </c>
      <c r="V10782" t="s">
        <v>54542</v>
      </c>
      <c r="W10782" t="s">
        <v>39436</v>
      </c>
      <c r="X10782" t="s">
        <v>40452</v>
      </c>
    </row>
    <row r="10783" spans="1:24">
      <c r="A10783">
        <f>HYPERLINK("https://www.philgeps.gov.ph/GEPSNONPILOT/Tender/SplashBidNoticeAbstractUI.aspx?menuIndex=3&amp;refID=7025374&amp;Result=3","7025374")</f>
        <v>0</v>
      </c>
      <c r="B10783" t="s">
        <v>1990</v>
      </c>
      <c r="C10783" t="s">
        <v>13379</v>
      </c>
      <c r="D10783" t="s">
        <v>16258</v>
      </c>
      <c r="E10783" t="s">
        <v>25647</v>
      </c>
      <c r="F10783" t="s">
        <v>28198</v>
      </c>
      <c r="G10783" t="s">
        <v>28205</v>
      </c>
      <c r="H10783" t="s">
        <v>28214</v>
      </c>
      <c r="I10783" t="s">
        <v>3797</v>
      </c>
      <c r="J10783" t="s">
        <v>35018</v>
      </c>
      <c r="K10783" t="s">
        <v>36697</v>
      </c>
      <c r="M10783" t="s">
        <v>39436</v>
      </c>
      <c r="N10783" t="s">
        <v>40436</v>
      </c>
      <c r="O10783" t="s">
        <v>40437</v>
      </c>
      <c r="P10783">
        <v>0</v>
      </c>
      <c r="Q10783">
        <v>0</v>
      </c>
      <c r="R10783" t="s">
        <v>40451</v>
      </c>
      <c r="S10783" t="s">
        <v>41005</v>
      </c>
      <c r="T10783" t="s">
        <v>42331</v>
      </c>
      <c r="U10783" t="s">
        <v>51594</v>
      </c>
      <c r="V10783" t="s">
        <v>54542</v>
      </c>
      <c r="W10783" t="s">
        <v>39436</v>
      </c>
      <c r="X10783" t="s">
        <v>40452</v>
      </c>
    </row>
    <row r="10784" spans="1:24">
      <c r="A10784">
        <f>HYPERLINK("https://www.philgeps.gov.ph/GEPSNONPILOT/Tender/SplashBidNoticeAbstractUI.aspx?menuIndex=3&amp;refID=7025338&amp;Result=3","7025338")</f>
        <v>0</v>
      </c>
      <c r="B10784" t="s">
        <v>2836</v>
      </c>
      <c r="C10784" t="s">
        <v>13380</v>
      </c>
      <c r="E10784" t="s">
        <v>17248</v>
      </c>
      <c r="F10784" t="s">
        <v>28198</v>
      </c>
      <c r="G10784" t="s">
        <v>28205</v>
      </c>
      <c r="H10784" t="s">
        <v>28215</v>
      </c>
      <c r="I10784" t="s">
        <v>28222</v>
      </c>
      <c r="J10784" t="s">
        <v>28422</v>
      </c>
      <c r="K10784" t="s">
        <v>36689</v>
      </c>
      <c r="M10784" t="s">
        <v>40088</v>
      </c>
      <c r="N10784" t="s">
        <v>40436</v>
      </c>
      <c r="O10784" t="s">
        <v>40437</v>
      </c>
      <c r="P10784">
        <v>0</v>
      </c>
      <c r="Q10784">
        <v>5</v>
      </c>
      <c r="R10784" t="s">
        <v>40451</v>
      </c>
      <c r="S10784" t="s">
        <v>41005</v>
      </c>
      <c r="T10784" t="s">
        <v>42176</v>
      </c>
      <c r="U10784" t="s">
        <v>51595</v>
      </c>
      <c r="W10784" t="s">
        <v>40088</v>
      </c>
      <c r="X10784" t="s">
        <v>40452</v>
      </c>
    </row>
    <row r="10785" spans="1:24">
      <c r="A10785">
        <f>HYPERLINK("https://www.philgeps.gov.ph/GEPSNONPILOT/Tender/SplashBidNoticeAbstractUI.aspx?menuIndex=3&amp;refID=7025419&amp;Result=3","7025419")</f>
        <v>0</v>
      </c>
      <c r="B10785" t="s">
        <v>2810</v>
      </c>
      <c r="C10785" t="s">
        <v>13381</v>
      </c>
      <c r="D10785" t="s">
        <v>16195</v>
      </c>
      <c r="E10785" t="s">
        <v>21190</v>
      </c>
      <c r="F10785" t="s">
        <v>28198</v>
      </c>
      <c r="G10785" t="s">
        <v>28205</v>
      </c>
      <c r="H10785" t="s">
        <v>28215</v>
      </c>
      <c r="I10785" t="s">
        <v>5100</v>
      </c>
      <c r="J10785" t="s">
        <v>35019</v>
      </c>
      <c r="K10785" t="s">
        <v>36707</v>
      </c>
      <c r="M10785" t="s">
        <v>40061</v>
      </c>
      <c r="N10785" t="s">
        <v>40436</v>
      </c>
      <c r="O10785" t="s">
        <v>40437</v>
      </c>
      <c r="P10785">
        <v>0</v>
      </c>
      <c r="Q10785">
        <v>1</v>
      </c>
      <c r="R10785" t="s">
        <v>40451</v>
      </c>
      <c r="S10785" t="s">
        <v>41005</v>
      </c>
      <c r="T10785" t="s">
        <v>42188</v>
      </c>
      <c r="U10785" t="s">
        <v>51596</v>
      </c>
      <c r="V10785" t="s">
        <v>54968</v>
      </c>
      <c r="W10785" t="s">
        <v>40061</v>
      </c>
      <c r="X10785" t="s">
        <v>40452</v>
      </c>
    </row>
    <row r="10786" spans="1:24">
      <c r="A10786">
        <f>HYPERLINK("https://www.philgeps.gov.ph/GEPSNONPILOT/Tender/SplashBidNoticeAbstractUI.aspx?menuIndex=3&amp;refID=7025390&amp;Result=3","7025390")</f>
        <v>0</v>
      </c>
      <c r="B10786" t="s">
        <v>1990</v>
      </c>
      <c r="C10786" t="s">
        <v>13382</v>
      </c>
      <c r="D10786" t="s">
        <v>16258</v>
      </c>
      <c r="E10786" t="s">
        <v>25648</v>
      </c>
      <c r="F10786" t="s">
        <v>28198</v>
      </c>
      <c r="G10786" t="s">
        <v>28205</v>
      </c>
      <c r="H10786" t="s">
        <v>28214</v>
      </c>
      <c r="I10786" t="s">
        <v>3797</v>
      </c>
      <c r="J10786" t="s">
        <v>35020</v>
      </c>
      <c r="K10786" t="s">
        <v>36697</v>
      </c>
      <c r="M10786" t="s">
        <v>39436</v>
      </c>
      <c r="N10786" t="s">
        <v>40436</v>
      </c>
      <c r="O10786" t="s">
        <v>40437</v>
      </c>
      <c r="P10786">
        <v>0</v>
      </c>
      <c r="Q10786">
        <v>0</v>
      </c>
      <c r="R10786" t="s">
        <v>40451</v>
      </c>
      <c r="S10786" t="s">
        <v>41005</v>
      </c>
      <c r="T10786" t="s">
        <v>42331</v>
      </c>
      <c r="U10786" t="s">
        <v>51597</v>
      </c>
      <c r="V10786" t="s">
        <v>54542</v>
      </c>
      <c r="W10786" t="s">
        <v>39436</v>
      </c>
      <c r="X10786" t="s">
        <v>40452</v>
      </c>
    </row>
    <row r="10787" spans="1:24">
      <c r="A10787">
        <f>HYPERLINK("https://www.philgeps.gov.ph/GEPSNONPILOT/Tender/SplashBidNoticeAbstractUI.aspx?menuIndex=3&amp;refID=7025411&amp;Result=3","7025411")</f>
        <v>0</v>
      </c>
      <c r="B10787" t="s">
        <v>1076</v>
      </c>
      <c r="C10787" t="s">
        <v>13383</v>
      </c>
      <c r="D10787" t="s">
        <v>16193</v>
      </c>
      <c r="E10787" t="s">
        <v>25649</v>
      </c>
      <c r="F10787" t="s">
        <v>28198</v>
      </c>
      <c r="G10787" t="s">
        <v>28205</v>
      </c>
      <c r="H10787" t="s">
        <v>28214</v>
      </c>
      <c r="I10787" t="s">
        <v>3797</v>
      </c>
      <c r="J10787" t="s">
        <v>28363</v>
      </c>
      <c r="K10787" t="s">
        <v>36689</v>
      </c>
      <c r="M10787" t="s">
        <v>38110</v>
      </c>
      <c r="N10787" t="s">
        <v>40436</v>
      </c>
      <c r="O10787" t="s">
        <v>40437</v>
      </c>
      <c r="P10787">
        <v>0</v>
      </c>
      <c r="Q10787">
        <v>3</v>
      </c>
      <c r="R10787" t="s">
        <v>40451</v>
      </c>
      <c r="S10787" t="s">
        <v>41005</v>
      </c>
      <c r="T10787" t="s">
        <v>42346</v>
      </c>
      <c r="U10787" t="s">
        <v>51598</v>
      </c>
      <c r="V10787" t="s">
        <v>53826</v>
      </c>
      <c r="W10787" t="s">
        <v>38110</v>
      </c>
      <c r="X10787" t="s">
        <v>40452</v>
      </c>
    </row>
    <row r="10788" spans="1:24">
      <c r="A10788">
        <f>HYPERLINK("https://www.philgeps.gov.ph/GEPSNONPILOT/Tender/SplashBidNoticeAbstractUI.aspx?menuIndex=3&amp;refID=7025415&amp;Result=3","7025415")</f>
        <v>0</v>
      </c>
      <c r="B10788" t="s">
        <v>487</v>
      </c>
      <c r="C10788" t="s">
        <v>13384</v>
      </c>
      <c r="D10788" t="s">
        <v>16245</v>
      </c>
      <c r="E10788" t="s">
        <v>25650</v>
      </c>
      <c r="F10788" t="s">
        <v>28198</v>
      </c>
      <c r="G10788" t="s">
        <v>28205</v>
      </c>
      <c r="H10788" t="s">
        <v>28215</v>
      </c>
      <c r="I10788" t="s">
        <v>28225</v>
      </c>
      <c r="J10788" t="s">
        <v>35021</v>
      </c>
      <c r="K10788" t="s">
        <v>36689</v>
      </c>
      <c r="M10788" t="s">
        <v>37472</v>
      </c>
      <c r="N10788" t="s">
        <v>40436</v>
      </c>
      <c r="O10788" t="s">
        <v>40437</v>
      </c>
      <c r="P10788">
        <v>0</v>
      </c>
      <c r="Q10788">
        <v>4</v>
      </c>
      <c r="R10788" t="s">
        <v>40451</v>
      </c>
      <c r="S10788" t="s">
        <v>41005</v>
      </c>
      <c r="T10788" t="s">
        <v>42292</v>
      </c>
      <c r="U10788" t="s">
        <v>51599</v>
      </c>
      <c r="W10788" t="s">
        <v>37472</v>
      </c>
      <c r="X10788" t="s">
        <v>40452</v>
      </c>
    </row>
    <row r="10789" spans="1:24">
      <c r="A10789">
        <f>HYPERLINK("https://www.philgeps.gov.ph/GEPSNONPILOT/Tender/SplashBidNoticeAbstractUI.aspx?menuIndex=3&amp;refID=7025407&amp;Result=3","7025407")</f>
        <v>0</v>
      </c>
      <c r="B10789" t="s">
        <v>2835</v>
      </c>
      <c r="C10789" t="s">
        <v>13385</v>
      </c>
      <c r="D10789" t="s">
        <v>16206</v>
      </c>
      <c r="E10789" t="s">
        <v>16588</v>
      </c>
      <c r="F10789" t="s">
        <v>28198</v>
      </c>
      <c r="G10789" t="s">
        <v>28205</v>
      </c>
      <c r="H10789" t="s">
        <v>28214</v>
      </c>
      <c r="I10789" t="s">
        <v>3797</v>
      </c>
      <c r="J10789" t="s">
        <v>28345</v>
      </c>
      <c r="K10789" t="s">
        <v>36701</v>
      </c>
      <c r="M10789" t="s">
        <v>40087</v>
      </c>
      <c r="N10789" t="s">
        <v>40436</v>
      </c>
      <c r="O10789" t="s">
        <v>40437</v>
      </c>
      <c r="P10789">
        <v>0</v>
      </c>
      <c r="Q10789">
        <v>1</v>
      </c>
      <c r="R10789" t="s">
        <v>40451</v>
      </c>
      <c r="S10789" t="s">
        <v>41005</v>
      </c>
      <c r="T10789" t="s">
        <v>42561</v>
      </c>
      <c r="U10789" t="s">
        <v>51600</v>
      </c>
      <c r="W10789" t="s">
        <v>40087</v>
      </c>
      <c r="X10789" t="s">
        <v>40452</v>
      </c>
    </row>
    <row r="10790" spans="1:24">
      <c r="A10790">
        <f>HYPERLINK("https://www.philgeps.gov.ph/GEPSNONPILOT/Tender/SplashBidNoticeAbstractUI.aspx?menuIndex=3&amp;refID=7025412&amp;Result=3","7025412")</f>
        <v>0</v>
      </c>
      <c r="B10790" t="s">
        <v>2119</v>
      </c>
      <c r="C10790" t="s">
        <v>13386</v>
      </c>
      <c r="D10790" t="s">
        <v>16199</v>
      </c>
      <c r="E10790" t="s">
        <v>25651</v>
      </c>
      <c r="F10790" t="s">
        <v>28198</v>
      </c>
      <c r="G10790" t="s">
        <v>28205</v>
      </c>
      <c r="H10790" t="s">
        <v>28215</v>
      </c>
      <c r="I10790" t="s">
        <v>5100</v>
      </c>
      <c r="J10790" t="s">
        <v>35022</v>
      </c>
      <c r="K10790" t="s">
        <v>36689</v>
      </c>
      <c r="M10790" t="s">
        <v>39274</v>
      </c>
      <c r="N10790" t="s">
        <v>40436</v>
      </c>
      <c r="O10790" t="s">
        <v>40437</v>
      </c>
      <c r="P10790">
        <v>0</v>
      </c>
      <c r="Q10790">
        <v>2</v>
      </c>
      <c r="R10790" t="s">
        <v>40451</v>
      </c>
      <c r="S10790" t="s">
        <v>41005</v>
      </c>
      <c r="T10790" t="s">
        <v>42144</v>
      </c>
      <c r="U10790" t="s">
        <v>51601</v>
      </c>
      <c r="W10790" t="s">
        <v>39274</v>
      </c>
      <c r="X10790" t="s">
        <v>40452</v>
      </c>
    </row>
    <row r="10791" spans="1:24">
      <c r="A10791">
        <f>HYPERLINK("https://www.philgeps.gov.ph/GEPSNONPILOT/Tender/SplashBidNoticeAbstractUI.aspx?menuIndex=3&amp;refID=7025378&amp;Result=3","7025378")</f>
        <v>0</v>
      </c>
      <c r="B10791" t="s">
        <v>2119</v>
      </c>
      <c r="C10791" t="s">
        <v>13387</v>
      </c>
      <c r="D10791" t="s">
        <v>16199</v>
      </c>
      <c r="E10791" t="s">
        <v>25652</v>
      </c>
      <c r="F10791" t="s">
        <v>28198</v>
      </c>
      <c r="G10791" t="s">
        <v>28205</v>
      </c>
      <c r="H10791" t="s">
        <v>28215</v>
      </c>
      <c r="I10791" t="s">
        <v>5100</v>
      </c>
      <c r="J10791" t="s">
        <v>35023</v>
      </c>
      <c r="K10791" t="s">
        <v>36689</v>
      </c>
      <c r="M10791" t="s">
        <v>39274</v>
      </c>
      <c r="N10791" t="s">
        <v>40436</v>
      </c>
      <c r="O10791" t="s">
        <v>40437</v>
      </c>
      <c r="P10791">
        <v>0</v>
      </c>
      <c r="Q10791">
        <v>2</v>
      </c>
      <c r="R10791" t="s">
        <v>40451</v>
      </c>
      <c r="S10791" t="s">
        <v>41005</v>
      </c>
      <c r="T10791" t="s">
        <v>42144</v>
      </c>
      <c r="U10791" t="s">
        <v>51602</v>
      </c>
      <c r="W10791" t="s">
        <v>39274</v>
      </c>
      <c r="X10791" t="s">
        <v>40452</v>
      </c>
    </row>
    <row r="10792" spans="1:24">
      <c r="A10792">
        <f>HYPERLINK("https://www.philgeps.gov.ph/GEPSNONPILOT/Tender/SplashBidNoticeAbstractUI.aspx?menuIndex=3&amp;refID=7025376&amp;Result=3","7025376")</f>
        <v>0</v>
      </c>
      <c r="B10792" t="s">
        <v>2702</v>
      </c>
      <c r="C10792" t="s">
        <v>12986</v>
      </c>
      <c r="D10792" t="s">
        <v>16190</v>
      </c>
      <c r="E10792" t="s">
        <v>25653</v>
      </c>
      <c r="F10792" t="s">
        <v>28198</v>
      </c>
      <c r="G10792" t="s">
        <v>28205</v>
      </c>
      <c r="H10792" t="s">
        <v>28215</v>
      </c>
      <c r="I10792" t="s">
        <v>5656</v>
      </c>
      <c r="J10792" t="s">
        <v>35024</v>
      </c>
      <c r="K10792" t="s">
        <v>36693</v>
      </c>
      <c r="M10792" t="s">
        <v>39943</v>
      </c>
      <c r="N10792" t="s">
        <v>40436</v>
      </c>
      <c r="O10792" t="s">
        <v>40437</v>
      </c>
      <c r="P10792">
        <v>0</v>
      </c>
      <c r="Q10792">
        <v>0</v>
      </c>
      <c r="R10792" t="s">
        <v>40451</v>
      </c>
      <c r="S10792" t="s">
        <v>41005</v>
      </c>
      <c r="T10792" t="s">
        <v>42119</v>
      </c>
      <c r="U10792" t="s">
        <v>51603</v>
      </c>
      <c r="W10792" t="s">
        <v>39943</v>
      </c>
      <c r="X10792" t="s">
        <v>40452</v>
      </c>
    </row>
    <row r="10793" spans="1:24">
      <c r="A10793">
        <f>HYPERLINK("https://www.philgeps.gov.ph/GEPSNONPILOT/Tender/SplashBidNoticeAbstractUI.aspx?menuIndex=3&amp;refID=7025494&amp;Result=3","7025494")</f>
        <v>0</v>
      </c>
      <c r="B10793" t="s">
        <v>2607</v>
      </c>
      <c r="C10793" t="s">
        <v>13388</v>
      </c>
      <c r="D10793" t="s">
        <v>16208</v>
      </c>
      <c r="E10793" t="s">
        <v>23516</v>
      </c>
      <c r="F10793" t="s">
        <v>28198</v>
      </c>
      <c r="G10793" t="s">
        <v>28205</v>
      </c>
      <c r="H10793" t="s">
        <v>28214</v>
      </c>
      <c r="I10793" t="s">
        <v>28260</v>
      </c>
      <c r="J10793" t="s">
        <v>33349</v>
      </c>
      <c r="K10793" t="s">
        <v>36701</v>
      </c>
      <c r="M10793" t="s">
        <v>39825</v>
      </c>
      <c r="N10793" t="s">
        <v>40436</v>
      </c>
      <c r="O10793" t="s">
        <v>40437</v>
      </c>
      <c r="P10793">
        <v>0</v>
      </c>
      <c r="Q10793">
        <v>2</v>
      </c>
      <c r="R10793" t="s">
        <v>40451</v>
      </c>
      <c r="S10793" t="s">
        <v>41005</v>
      </c>
      <c r="T10793" t="s">
        <v>42102</v>
      </c>
      <c r="U10793" t="s">
        <v>50260</v>
      </c>
      <c r="V10793" t="s">
        <v>54969</v>
      </c>
      <c r="W10793" t="s">
        <v>39825</v>
      </c>
      <c r="X10793" t="s">
        <v>40452</v>
      </c>
    </row>
    <row r="10794" spans="1:24">
      <c r="A10794">
        <f>HYPERLINK("https://www.philgeps.gov.ph/GEPSNONPILOT/Tender/SplashBidNoticeAbstractUI.aspx?menuIndex=3&amp;refID=7025389&amp;Result=3","7025389")</f>
        <v>0</v>
      </c>
      <c r="B10794" t="s">
        <v>2810</v>
      </c>
      <c r="C10794" t="s">
        <v>13389</v>
      </c>
      <c r="D10794" t="s">
        <v>16195</v>
      </c>
      <c r="E10794" t="s">
        <v>18229</v>
      </c>
      <c r="F10794" t="s">
        <v>28198</v>
      </c>
      <c r="G10794" t="s">
        <v>28205</v>
      </c>
      <c r="H10794" t="s">
        <v>28215</v>
      </c>
      <c r="I10794" t="s">
        <v>5100</v>
      </c>
      <c r="J10794" t="s">
        <v>35025</v>
      </c>
      <c r="K10794" t="s">
        <v>36707</v>
      </c>
      <c r="M10794" t="s">
        <v>40061</v>
      </c>
      <c r="N10794" t="s">
        <v>40436</v>
      </c>
      <c r="O10794" t="s">
        <v>40437</v>
      </c>
      <c r="P10794">
        <v>0</v>
      </c>
      <c r="Q10794">
        <v>1</v>
      </c>
      <c r="R10794" t="s">
        <v>40451</v>
      </c>
      <c r="S10794" t="s">
        <v>41005</v>
      </c>
      <c r="T10794" t="s">
        <v>42188</v>
      </c>
      <c r="U10794" t="s">
        <v>51604</v>
      </c>
      <c r="V10794" t="s">
        <v>54970</v>
      </c>
      <c r="W10794" t="s">
        <v>40061</v>
      </c>
      <c r="X10794" t="s">
        <v>40452</v>
      </c>
    </row>
    <row r="10795" spans="1:24">
      <c r="A10795">
        <f>HYPERLINK("https://www.philgeps.gov.ph/GEPSNONPILOT/Tender/SplashBidNoticeAbstractUI.aspx?menuIndex=3&amp;refID=7025480&amp;Result=3","7025480")</f>
        <v>0</v>
      </c>
      <c r="B10795" t="s">
        <v>2119</v>
      </c>
      <c r="C10795" t="s">
        <v>13390</v>
      </c>
      <c r="D10795" t="s">
        <v>16199</v>
      </c>
      <c r="E10795" t="s">
        <v>25654</v>
      </c>
      <c r="F10795" t="s">
        <v>28198</v>
      </c>
      <c r="G10795" t="s">
        <v>28205</v>
      </c>
      <c r="H10795" t="s">
        <v>28215</v>
      </c>
      <c r="I10795" t="s">
        <v>5100</v>
      </c>
      <c r="J10795" t="s">
        <v>35026</v>
      </c>
      <c r="K10795" t="s">
        <v>36689</v>
      </c>
      <c r="M10795" t="s">
        <v>39274</v>
      </c>
      <c r="N10795" t="s">
        <v>40436</v>
      </c>
      <c r="O10795" t="s">
        <v>40437</v>
      </c>
      <c r="P10795">
        <v>0</v>
      </c>
      <c r="Q10795">
        <v>2</v>
      </c>
      <c r="R10795" t="s">
        <v>40451</v>
      </c>
      <c r="S10795" t="s">
        <v>41005</v>
      </c>
      <c r="T10795" t="s">
        <v>42144</v>
      </c>
      <c r="U10795" t="s">
        <v>51605</v>
      </c>
      <c r="W10795" t="s">
        <v>39274</v>
      </c>
      <c r="X10795" t="s">
        <v>40452</v>
      </c>
    </row>
    <row r="10796" spans="1:24">
      <c r="A10796">
        <f>HYPERLINK("https://www.philgeps.gov.ph/GEPSNONPILOT/Tender/SplashBidNoticeAbstractUI.aspx?menuIndex=3&amp;refID=7025399&amp;Result=3","7025399")</f>
        <v>0</v>
      </c>
      <c r="B10796" t="s">
        <v>2119</v>
      </c>
      <c r="C10796" t="s">
        <v>13391</v>
      </c>
      <c r="D10796" t="s">
        <v>16199</v>
      </c>
      <c r="E10796" t="s">
        <v>25655</v>
      </c>
      <c r="F10796" t="s">
        <v>28198</v>
      </c>
      <c r="G10796" t="s">
        <v>28205</v>
      </c>
      <c r="H10796" t="s">
        <v>28215</v>
      </c>
      <c r="I10796" t="s">
        <v>5100</v>
      </c>
      <c r="J10796" t="s">
        <v>35027</v>
      </c>
      <c r="K10796" t="s">
        <v>36689</v>
      </c>
      <c r="M10796" t="s">
        <v>39274</v>
      </c>
      <c r="N10796" t="s">
        <v>40436</v>
      </c>
      <c r="O10796" t="s">
        <v>40437</v>
      </c>
      <c r="P10796">
        <v>0</v>
      </c>
      <c r="Q10796">
        <v>2</v>
      </c>
      <c r="R10796" t="s">
        <v>40451</v>
      </c>
      <c r="S10796" t="s">
        <v>41005</v>
      </c>
      <c r="T10796" t="s">
        <v>42144</v>
      </c>
      <c r="U10796" t="s">
        <v>51606</v>
      </c>
      <c r="W10796" t="s">
        <v>39274</v>
      </c>
      <c r="X10796" t="s">
        <v>40452</v>
      </c>
    </row>
    <row r="10797" spans="1:24">
      <c r="A10797">
        <f>HYPERLINK("https://www.philgeps.gov.ph/GEPSNONPILOT/Tender/SplashBidNoticeAbstractUI.aspx?menuIndex=3&amp;refID=7025490&amp;Result=3","7025490")</f>
        <v>0</v>
      </c>
      <c r="B10797" t="s">
        <v>1990</v>
      </c>
      <c r="C10797" t="s">
        <v>13392</v>
      </c>
      <c r="D10797" t="s">
        <v>16258</v>
      </c>
      <c r="E10797" t="s">
        <v>25656</v>
      </c>
      <c r="F10797" t="s">
        <v>28198</v>
      </c>
      <c r="G10797" t="s">
        <v>28205</v>
      </c>
      <c r="H10797" t="s">
        <v>28214</v>
      </c>
      <c r="I10797" t="s">
        <v>3797</v>
      </c>
      <c r="J10797" t="s">
        <v>35028</v>
      </c>
      <c r="K10797" t="s">
        <v>36697</v>
      </c>
      <c r="M10797" t="s">
        <v>39436</v>
      </c>
      <c r="N10797" t="s">
        <v>40436</v>
      </c>
      <c r="O10797" t="s">
        <v>40437</v>
      </c>
      <c r="P10797">
        <v>0</v>
      </c>
      <c r="Q10797">
        <v>0</v>
      </c>
      <c r="R10797" t="s">
        <v>40451</v>
      </c>
      <c r="S10797" t="s">
        <v>41005</v>
      </c>
      <c r="T10797" t="s">
        <v>42331</v>
      </c>
      <c r="U10797" t="s">
        <v>51607</v>
      </c>
      <c r="V10797" t="s">
        <v>54542</v>
      </c>
      <c r="W10797" t="s">
        <v>39436</v>
      </c>
      <c r="X10797" t="s">
        <v>40452</v>
      </c>
    </row>
    <row r="10798" spans="1:24">
      <c r="A10798">
        <f>HYPERLINK("https://www.philgeps.gov.ph/GEPSNONPILOT/Tender/SplashBidNoticeAbstractUI.aspx?menuIndex=3&amp;refID=7025467&amp;Result=3","7025467")</f>
        <v>0</v>
      </c>
      <c r="B10798" t="s">
        <v>2726</v>
      </c>
      <c r="C10798" t="s">
        <v>13393</v>
      </c>
      <c r="D10798" t="s">
        <v>16201</v>
      </c>
      <c r="E10798" t="s">
        <v>25657</v>
      </c>
      <c r="F10798" t="s">
        <v>28198</v>
      </c>
      <c r="G10798" t="s">
        <v>28207</v>
      </c>
      <c r="H10798" t="s">
        <v>28215</v>
      </c>
      <c r="I10798" t="s">
        <v>4219</v>
      </c>
      <c r="J10798" t="s">
        <v>35029</v>
      </c>
      <c r="K10798" t="s">
        <v>36701</v>
      </c>
      <c r="M10798" t="s">
        <v>39972</v>
      </c>
      <c r="N10798" t="s">
        <v>40436</v>
      </c>
      <c r="O10798" t="s">
        <v>40437</v>
      </c>
      <c r="Q10798">
        <v>4</v>
      </c>
      <c r="R10798" t="s">
        <v>40451</v>
      </c>
      <c r="S10798" t="s">
        <v>41066</v>
      </c>
      <c r="T10798" t="s">
        <v>42169</v>
      </c>
      <c r="U10798" t="s">
        <v>50866</v>
      </c>
      <c r="V10798" t="s">
        <v>54863</v>
      </c>
      <c r="W10798" t="s">
        <v>39972</v>
      </c>
      <c r="X10798" t="s">
        <v>40452</v>
      </c>
    </row>
    <row r="10799" spans="1:24">
      <c r="A10799">
        <f>HYPERLINK("https://www.philgeps.gov.ph/GEPSNONPILOT/Tender/SplashBidNoticeAbstractUI.aspx?menuIndex=3&amp;refID=7025403&amp;Result=3","7025403")</f>
        <v>0</v>
      </c>
      <c r="B10799" t="s">
        <v>1990</v>
      </c>
      <c r="C10799" t="s">
        <v>13394</v>
      </c>
      <c r="D10799" t="s">
        <v>16258</v>
      </c>
      <c r="E10799" t="s">
        <v>25658</v>
      </c>
      <c r="F10799" t="s">
        <v>28198</v>
      </c>
      <c r="G10799" t="s">
        <v>28205</v>
      </c>
      <c r="H10799" t="s">
        <v>28214</v>
      </c>
      <c r="I10799" t="s">
        <v>3797</v>
      </c>
      <c r="J10799" t="s">
        <v>35030</v>
      </c>
      <c r="K10799" t="s">
        <v>36697</v>
      </c>
      <c r="M10799" t="s">
        <v>39436</v>
      </c>
      <c r="N10799" t="s">
        <v>40436</v>
      </c>
      <c r="O10799" t="s">
        <v>40437</v>
      </c>
      <c r="Q10799">
        <v>0</v>
      </c>
      <c r="R10799" t="s">
        <v>40451</v>
      </c>
      <c r="S10799" t="s">
        <v>41067</v>
      </c>
      <c r="T10799" t="s">
        <v>42331</v>
      </c>
      <c r="U10799" t="s">
        <v>51608</v>
      </c>
      <c r="V10799" t="s">
        <v>54542</v>
      </c>
      <c r="W10799" t="s">
        <v>39436</v>
      </c>
      <c r="X10799" t="s">
        <v>40452</v>
      </c>
    </row>
    <row r="10800" spans="1:24">
      <c r="A10800">
        <f>HYPERLINK("https://www.philgeps.gov.ph/GEPSNONPILOT/Tender/SplashBidNoticeAbstractUI.aspx?menuIndex=3&amp;refID=7025435&amp;Result=3","7025435")</f>
        <v>0</v>
      </c>
      <c r="B10800" t="s">
        <v>1990</v>
      </c>
      <c r="C10800" t="s">
        <v>13395</v>
      </c>
      <c r="D10800" t="s">
        <v>16258</v>
      </c>
      <c r="E10800" t="s">
        <v>25659</v>
      </c>
      <c r="F10800" t="s">
        <v>28198</v>
      </c>
      <c r="G10800" t="s">
        <v>28205</v>
      </c>
      <c r="H10800" t="s">
        <v>28214</v>
      </c>
      <c r="I10800" t="s">
        <v>3797</v>
      </c>
      <c r="J10800" t="s">
        <v>35031</v>
      </c>
      <c r="K10800" t="s">
        <v>36692</v>
      </c>
      <c r="M10800" t="s">
        <v>39436</v>
      </c>
      <c r="N10800" t="s">
        <v>40436</v>
      </c>
      <c r="O10800" t="s">
        <v>40437</v>
      </c>
      <c r="P10800">
        <v>0</v>
      </c>
      <c r="Q10800">
        <v>0</v>
      </c>
      <c r="R10800" t="s">
        <v>40451</v>
      </c>
      <c r="S10800" t="s">
        <v>41005</v>
      </c>
      <c r="T10800" t="s">
        <v>42331</v>
      </c>
      <c r="U10800" t="s">
        <v>51609</v>
      </c>
      <c r="V10800" t="s">
        <v>54542</v>
      </c>
      <c r="W10800" t="s">
        <v>39436</v>
      </c>
      <c r="X10800" t="s">
        <v>40452</v>
      </c>
    </row>
    <row r="10801" spans="1:24">
      <c r="A10801">
        <f>HYPERLINK("https://www.philgeps.gov.ph/GEPSNONPILOT/Tender/SplashBidNoticeAbstractUI.aspx?menuIndex=3&amp;refID=7025354&amp;Result=3","7025354")</f>
        <v>0</v>
      </c>
      <c r="B10801" t="s">
        <v>2810</v>
      </c>
      <c r="C10801" t="s">
        <v>13396</v>
      </c>
      <c r="D10801" t="s">
        <v>16195</v>
      </c>
      <c r="E10801" t="s">
        <v>18719</v>
      </c>
      <c r="F10801" t="s">
        <v>28198</v>
      </c>
      <c r="G10801" t="s">
        <v>28205</v>
      </c>
      <c r="H10801" t="s">
        <v>28215</v>
      </c>
      <c r="I10801" t="s">
        <v>5100</v>
      </c>
      <c r="J10801" t="s">
        <v>35032</v>
      </c>
      <c r="K10801" t="s">
        <v>36707</v>
      </c>
      <c r="M10801" t="s">
        <v>40061</v>
      </c>
      <c r="N10801" t="s">
        <v>40436</v>
      </c>
      <c r="O10801" t="s">
        <v>40437</v>
      </c>
      <c r="P10801">
        <v>0</v>
      </c>
      <c r="Q10801">
        <v>0</v>
      </c>
      <c r="R10801" t="s">
        <v>40451</v>
      </c>
      <c r="S10801" t="s">
        <v>41005</v>
      </c>
      <c r="T10801" t="s">
        <v>42188</v>
      </c>
      <c r="U10801" t="s">
        <v>51610</v>
      </c>
      <c r="V10801" t="s">
        <v>54971</v>
      </c>
      <c r="W10801" t="s">
        <v>40061</v>
      </c>
      <c r="X10801" t="s">
        <v>40452</v>
      </c>
    </row>
    <row r="10802" spans="1:24">
      <c r="A10802">
        <f>HYPERLINK("https://www.philgeps.gov.ph/GEPSNONPILOT/Tender/SplashBidNoticeAbstractUI.aspx?menuIndex=3&amp;refID=7025440&amp;Result=3","7025440")</f>
        <v>0</v>
      </c>
      <c r="B10802" t="s">
        <v>2119</v>
      </c>
      <c r="C10802" t="s">
        <v>13397</v>
      </c>
      <c r="D10802" t="s">
        <v>16199</v>
      </c>
      <c r="E10802" t="s">
        <v>25660</v>
      </c>
      <c r="F10802" t="s">
        <v>28198</v>
      </c>
      <c r="G10802" t="s">
        <v>28205</v>
      </c>
      <c r="H10802" t="s">
        <v>28215</v>
      </c>
      <c r="I10802" t="s">
        <v>5100</v>
      </c>
      <c r="J10802" t="s">
        <v>35033</v>
      </c>
      <c r="K10802" t="s">
        <v>36689</v>
      </c>
      <c r="M10802" t="s">
        <v>39274</v>
      </c>
      <c r="N10802" t="s">
        <v>40436</v>
      </c>
      <c r="O10802" t="s">
        <v>40437</v>
      </c>
      <c r="P10802">
        <v>0</v>
      </c>
      <c r="Q10802">
        <v>2</v>
      </c>
      <c r="R10802" t="s">
        <v>40451</v>
      </c>
      <c r="S10802" t="s">
        <v>41005</v>
      </c>
      <c r="T10802" t="s">
        <v>42144</v>
      </c>
      <c r="U10802" t="s">
        <v>51611</v>
      </c>
      <c r="W10802" t="s">
        <v>39274</v>
      </c>
      <c r="X10802" t="s">
        <v>40452</v>
      </c>
    </row>
    <row r="10803" spans="1:24">
      <c r="A10803">
        <f>HYPERLINK("https://www.philgeps.gov.ph/GEPSNONPILOT/Tender/SplashBidNoticeAbstractUI.aspx?menuIndex=3&amp;refID=7025434&amp;Result=3","7025434")</f>
        <v>0</v>
      </c>
      <c r="B10803" t="s">
        <v>1990</v>
      </c>
      <c r="C10803" t="s">
        <v>13398</v>
      </c>
      <c r="D10803" t="s">
        <v>16258</v>
      </c>
      <c r="E10803" t="s">
        <v>25661</v>
      </c>
      <c r="F10803" t="s">
        <v>28198</v>
      </c>
      <c r="G10803" t="s">
        <v>28205</v>
      </c>
      <c r="H10803" t="s">
        <v>28215</v>
      </c>
      <c r="I10803" t="s">
        <v>5100</v>
      </c>
      <c r="J10803" t="s">
        <v>28351</v>
      </c>
      <c r="K10803" t="s">
        <v>36687</v>
      </c>
      <c r="M10803" t="s">
        <v>39128</v>
      </c>
      <c r="N10803" t="s">
        <v>40436</v>
      </c>
      <c r="O10803" t="s">
        <v>40437</v>
      </c>
      <c r="P10803">
        <v>0</v>
      </c>
      <c r="Q10803">
        <v>1</v>
      </c>
      <c r="R10803" t="s">
        <v>40451</v>
      </c>
      <c r="S10803" t="s">
        <v>41005</v>
      </c>
      <c r="T10803" t="s">
        <v>42112</v>
      </c>
      <c r="U10803" t="s">
        <v>47826</v>
      </c>
      <c r="V10803" t="s">
        <v>54972</v>
      </c>
      <c r="W10803" t="s">
        <v>39128</v>
      </c>
      <c r="X10803" t="s">
        <v>40452</v>
      </c>
    </row>
    <row r="10804" spans="1:24">
      <c r="A10804">
        <f>HYPERLINK("https://www.philgeps.gov.ph/GEPSNONPILOT/Tender/SplashBidNoticeAbstractUI.aspx?menuIndex=3&amp;refID=7025495&amp;Result=3","7025495")</f>
        <v>0</v>
      </c>
      <c r="B10804" t="s">
        <v>2837</v>
      </c>
      <c r="C10804" t="s">
        <v>13399</v>
      </c>
      <c r="D10804" t="s">
        <v>16217</v>
      </c>
      <c r="E10804" t="s">
        <v>17644</v>
      </c>
      <c r="F10804" t="s">
        <v>28198</v>
      </c>
      <c r="G10804" t="s">
        <v>28205</v>
      </c>
      <c r="H10804" t="s">
        <v>28214</v>
      </c>
      <c r="I10804" t="s">
        <v>3797</v>
      </c>
      <c r="J10804" t="s">
        <v>35034</v>
      </c>
      <c r="K10804" t="s">
        <v>36894</v>
      </c>
      <c r="M10804" t="s">
        <v>40089</v>
      </c>
      <c r="N10804" t="s">
        <v>40436</v>
      </c>
      <c r="O10804" t="s">
        <v>40437</v>
      </c>
      <c r="P10804">
        <v>0</v>
      </c>
      <c r="Q10804">
        <v>0</v>
      </c>
      <c r="R10804" t="s">
        <v>40451</v>
      </c>
      <c r="S10804" t="s">
        <v>41005</v>
      </c>
      <c r="T10804" t="s">
        <v>42148</v>
      </c>
      <c r="U10804" t="s">
        <v>51612</v>
      </c>
      <c r="W10804" t="s">
        <v>40089</v>
      </c>
      <c r="X10804" t="s">
        <v>40452</v>
      </c>
    </row>
    <row r="10805" spans="1:24">
      <c r="A10805">
        <f>HYPERLINK("https://www.philgeps.gov.ph/GEPSNONPILOT/Tender/SplashBidNoticeAbstractUI.aspx?menuIndex=3&amp;refID=7025430&amp;Result=3","7025430")</f>
        <v>0</v>
      </c>
      <c r="B10805" t="s">
        <v>2837</v>
      </c>
      <c r="C10805" t="s">
        <v>13400</v>
      </c>
      <c r="D10805" t="s">
        <v>16217</v>
      </c>
      <c r="E10805" t="s">
        <v>17611</v>
      </c>
      <c r="F10805" t="s">
        <v>28198</v>
      </c>
      <c r="G10805" t="s">
        <v>28205</v>
      </c>
      <c r="H10805" t="s">
        <v>28214</v>
      </c>
      <c r="I10805" t="s">
        <v>3797</v>
      </c>
      <c r="J10805" t="s">
        <v>35035</v>
      </c>
      <c r="K10805" t="s">
        <v>36697</v>
      </c>
      <c r="M10805" t="s">
        <v>40089</v>
      </c>
      <c r="N10805" t="s">
        <v>40436</v>
      </c>
      <c r="O10805" t="s">
        <v>40437</v>
      </c>
      <c r="P10805">
        <v>0</v>
      </c>
      <c r="Q10805">
        <v>0</v>
      </c>
      <c r="R10805" t="s">
        <v>40451</v>
      </c>
      <c r="S10805" t="s">
        <v>41005</v>
      </c>
      <c r="T10805" t="s">
        <v>42148</v>
      </c>
      <c r="U10805" t="s">
        <v>51613</v>
      </c>
      <c r="W10805" t="s">
        <v>40089</v>
      </c>
      <c r="X10805" t="s">
        <v>40452</v>
      </c>
    </row>
    <row r="10806" spans="1:24">
      <c r="A10806">
        <f>HYPERLINK("https://www.philgeps.gov.ph/GEPSNONPILOT/Tender/SplashBidNoticeAbstractUI.aspx?menuIndex=3&amp;refID=7025501&amp;Result=3","7025501")</f>
        <v>0</v>
      </c>
      <c r="B10806" t="s">
        <v>2838</v>
      </c>
      <c r="C10806" t="s">
        <v>13401</v>
      </c>
      <c r="D10806" t="s">
        <v>16224</v>
      </c>
      <c r="E10806" t="s">
        <v>19001</v>
      </c>
      <c r="F10806" t="s">
        <v>28198</v>
      </c>
      <c r="G10806" t="s">
        <v>28205</v>
      </c>
      <c r="H10806" t="s">
        <v>28214</v>
      </c>
      <c r="I10806" t="s">
        <v>5100</v>
      </c>
      <c r="J10806" t="s">
        <v>35036</v>
      </c>
      <c r="K10806" t="s">
        <v>36711</v>
      </c>
      <c r="M10806" t="s">
        <v>40090</v>
      </c>
      <c r="N10806" t="s">
        <v>40436</v>
      </c>
      <c r="O10806" t="s">
        <v>40437</v>
      </c>
      <c r="P10806">
        <v>0</v>
      </c>
      <c r="Q10806">
        <v>1</v>
      </c>
      <c r="R10806" t="s">
        <v>40451</v>
      </c>
      <c r="S10806" t="s">
        <v>41005</v>
      </c>
      <c r="T10806" t="s">
        <v>42196</v>
      </c>
      <c r="U10806" t="s">
        <v>51614</v>
      </c>
      <c r="W10806" t="s">
        <v>40090</v>
      </c>
      <c r="X10806" t="s">
        <v>40452</v>
      </c>
    </row>
    <row r="10807" spans="1:24">
      <c r="A10807">
        <f>HYPERLINK("https://www.philgeps.gov.ph/GEPSNONPILOT/Tender/SplashBidNoticeAbstractUI.aspx?menuIndex=3&amp;refID=7025537&amp;Result=3","7025537")</f>
        <v>0</v>
      </c>
      <c r="B10807" t="s">
        <v>1046</v>
      </c>
      <c r="C10807" t="s">
        <v>13402</v>
      </c>
      <c r="E10807" t="s">
        <v>25662</v>
      </c>
      <c r="F10807" t="s">
        <v>28198</v>
      </c>
      <c r="G10807" t="s">
        <v>28205</v>
      </c>
      <c r="H10807" t="s">
        <v>28214</v>
      </c>
      <c r="I10807" t="s">
        <v>3797</v>
      </c>
      <c r="J10807" t="s">
        <v>35037</v>
      </c>
      <c r="K10807" t="s">
        <v>36689</v>
      </c>
      <c r="M10807" t="s">
        <v>38079</v>
      </c>
      <c r="N10807" t="s">
        <v>40436</v>
      </c>
      <c r="O10807" t="s">
        <v>40437</v>
      </c>
      <c r="Q10807">
        <v>1</v>
      </c>
      <c r="R10807" t="s">
        <v>40451</v>
      </c>
      <c r="S10807" t="s">
        <v>41068</v>
      </c>
      <c r="T10807" t="s">
        <v>42112</v>
      </c>
      <c r="U10807" t="s">
        <v>51615</v>
      </c>
      <c r="W10807" t="s">
        <v>38079</v>
      </c>
      <c r="X10807" t="s">
        <v>40452</v>
      </c>
    </row>
    <row r="10808" spans="1:24">
      <c r="A10808">
        <f>HYPERLINK("https://www.philgeps.gov.ph/GEPSNONPILOT/Tender/SplashBidNoticeAbstractUI.aspx?menuIndex=3&amp;refID=7025504&amp;Result=3","7025504")</f>
        <v>0</v>
      </c>
      <c r="B10808" t="s">
        <v>214</v>
      </c>
      <c r="C10808" t="s">
        <v>13403</v>
      </c>
      <c r="D10808" t="s">
        <v>16251</v>
      </c>
      <c r="E10808" t="s">
        <v>25663</v>
      </c>
      <c r="F10808" t="s">
        <v>28198</v>
      </c>
      <c r="G10808" t="s">
        <v>28205</v>
      </c>
      <c r="H10808" t="s">
        <v>28217</v>
      </c>
      <c r="I10808" t="s">
        <v>28231</v>
      </c>
      <c r="J10808" t="s">
        <v>32970</v>
      </c>
      <c r="K10808" t="s">
        <v>36781</v>
      </c>
      <c r="M10808" t="s">
        <v>37190</v>
      </c>
      <c r="N10808" t="s">
        <v>40436</v>
      </c>
      <c r="O10808" t="s">
        <v>40437</v>
      </c>
      <c r="P10808">
        <v>0</v>
      </c>
      <c r="Q10808">
        <v>2</v>
      </c>
      <c r="R10808" t="s">
        <v>40451</v>
      </c>
      <c r="S10808" t="s">
        <v>41005</v>
      </c>
      <c r="T10808" t="s">
        <v>42183</v>
      </c>
      <c r="U10808" t="s">
        <v>51616</v>
      </c>
      <c r="W10808" t="s">
        <v>37190</v>
      </c>
      <c r="X10808" t="s">
        <v>40452</v>
      </c>
    </row>
    <row r="10809" spans="1:24">
      <c r="A10809">
        <f>HYPERLINK("https://www.philgeps.gov.ph/GEPSNONPILOT/Tender/SplashBidNoticeAbstractUI.aspx?menuIndex=3&amp;refID=7025505&amp;Result=3","7025505")</f>
        <v>0</v>
      </c>
      <c r="B10809" t="s">
        <v>1990</v>
      </c>
      <c r="C10809" t="s">
        <v>13404</v>
      </c>
      <c r="D10809" t="s">
        <v>16258</v>
      </c>
      <c r="E10809" t="s">
        <v>25664</v>
      </c>
      <c r="F10809" t="s">
        <v>28198</v>
      </c>
      <c r="G10809" t="s">
        <v>28205</v>
      </c>
      <c r="H10809" t="s">
        <v>28214</v>
      </c>
      <c r="I10809" t="s">
        <v>3797</v>
      </c>
      <c r="J10809" t="s">
        <v>35038</v>
      </c>
      <c r="K10809" t="s">
        <v>36710</v>
      </c>
      <c r="M10809" t="s">
        <v>39436</v>
      </c>
      <c r="N10809" t="s">
        <v>40436</v>
      </c>
      <c r="O10809" t="s">
        <v>40437</v>
      </c>
      <c r="P10809">
        <v>0</v>
      </c>
      <c r="Q10809">
        <v>0</v>
      </c>
      <c r="R10809" t="s">
        <v>40451</v>
      </c>
      <c r="S10809" t="s">
        <v>41005</v>
      </c>
      <c r="T10809" t="s">
        <v>42331</v>
      </c>
      <c r="U10809" t="s">
        <v>51617</v>
      </c>
      <c r="V10809" t="s">
        <v>54542</v>
      </c>
      <c r="W10809" t="s">
        <v>39436</v>
      </c>
      <c r="X10809" t="s">
        <v>40452</v>
      </c>
    </row>
    <row r="10810" spans="1:24">
      <c r="A10810">
        <f>HYPERLINK("https://www.philgeps.gov.ph/GEPSNONPILOT/Tender/SplashBidNoticeAbstractUI.aspx?menuIndex=3&amp;refID=7025548&amp;Result=3","7025548")</f>
        <v>0</v>
      </c>
      <c r="B10810" t="s">
        <v>1345</v>
      </c>
      <c r="C10810" t="s">
        <v>13405</v>
      </c>
      <c r="D10810" t="s">
        <v>16247</v>
      </c>
      <c r="E10810" t="s">
        <v>25665</v>
      </c>
      <c r="F10810" t="s">
        <v>28198</v>
      </c>
      <c r="G10810" t="s">
        <v>28205</v>
      </c>
      <c r="H10810" t="s">
        <v>28215</v>
      </c>
      <c r="I10810" t="s">
        <v>28336</v>
      </c>
      <c r="J10810" t="s">
        <v>35039</v>
      </c>
      <c r="K10810" t="s">
        <v>36688</v>
      </c>
      <c r="M10810" t="s">
        <v>38403</v>
      </c>
      <c r="N10810" t="s">
        <v>40436</v>
      </c>
      <c r="O10810" t="s">
        <v>40437</v>
      </c>
      <c r="P10810">
        <v>0</v>
      </c>
      <c r="Q10810">
        <v>1</v>
      </c>
      <c r="R10810" t="s">
        <v>40451</v>
      </c>
      <c r="S10810" t="s">
        <v>41005</v>
      </c>
      <c r="T10810" t="s">
        <v>42133</v>
      </c>
      <c r="U10810" t="s">
        <v>45667</v>
      </c>
      <c r="W10810" t="s">
        <v>38403</v>
      </c>
      <c r="X10810" t="s">
        <v>40452</v>
      </c>
    </row>
    <row r="10811" spans="1:24">
      <c r="A10811">
        <f>HYPERLINK("https://www.philgeps.gov.ph/GEPSNONPILOT/Tender/SplashBidNoticeAbstractUI.aspx?menuIndex=3&amp;refID=7025558&amp;Result=3","7025558")</f>
        <v>0</v>
      </c>
      <c r="B10811" t="s">
        <v>1990</v>
      </c>
      <c r="C10811" t="s">
        <v>13406</v>
      </c>
      <c r="D10811" t="s">
        <v>16258</v>
      </c>
      <c r="E10811" t="s">
        <v>25666</v>
      </c>
      <c r="F10811" t="s">
        <v>28198</v>
      </c>
      <c r="G10811" t="s">
        <v>28205</v>
      </c>
      <c r="H10811" t="s">
        <v>28214</v>
      </c>
      <c r="I10811" t="s">
        <v>3797</v>
      </c>
      <c r="J10811" t="s">
        <v>35040</v>
      </c>
      <c r="K10811" t="s">
        <v>36753</v>
      </c>
      <c r="M10811" t="s">
        <v>39436</v>
      </c>
      <c r="N10811" t="s">
        <v>40436</v>
      </c>
      <c r="O10811" t="s">
        <v>40437</v>
      </c>
      <c r="P10811">
        <v>0</v>
      </c>
      <c r="Q10811">
        <v>0</v>
      </c>
      <c r="R10811" t="s">
        <v>40451</v>
      </c>
      <c r="S10811" t="s">
        <v>41005</v>
      </c>
      <c r="T10811" t="s">
        <v>42331</v>
      </c>
      <c r="U10811" t="s">
        <v>51618</v>
      </c>
      <c r="V10811" t="s">
        <v>54542</v>
      </c>
      <c r="W10811" t="s">
        <v>39436</v>
      </c>
      <c r="X10811" t="s">
        <v>40452</v>
      </c>
    </row>
    <row r="10812" spans="1:24">
      <c r="A10812">
        <f>HYPERLINK("https://www.philgeps.gov.ph/GEPSNONPILOT/Tender/SplashBidNoticeAbstractUI.aspx?menuIndex=3&amp;refID=7025509&amp;Result=3","7025509")</f>
        <v>0</v>
      </c>
      <c r="B10812" t="s">
        <v>2119</v>
      </c>
      <c r="C10812" t="s">
        <v>13407</v>
      </c>
      <c r="D10812" t="s">
        <v>16199</v>
      </c>
      <c r="E10812" t="s">
        <v>25667</v>
      </c>
      <c r="F10812" t="s">
        <v>28198</v>
      </c>
      <c r="G10812" t="s">
        <v>28205</v>
      </c>
      <c r="H10812" t="s">
        <v>28215</v>
      </c>
      <c r="I10812" t="s">
        <v>5100</v>
      </c>
      <c r="J10812" t="s">
        <v>35041</v>
      </c>
      <c r="K10812" t="s">
        <v>36689</v>
      </c>
      <c r="M10812" t="s">
        <v>39274</v>
      </c>
      <c r="N10812" t="s">
        <v>40436</v>
      </c>
      <c r="O10812" t="s">
        <v>40437</v>
      </c>
      <c r="P10812">
        <v>0</v>
      </c>
      <c r="Q10812">
        <v>2</v>
      </c>
      <c r="R10812" t="s">
        <v>40451</v>
      </c>
      <c r="S10812" t="s">
        <v>41005</v>
      </c>
      <c r="T10812" t="s">
        <v>42144</v>
      </c>
      <c r="U10812" t="s">
        <v>51619</v>
      </c>
      <c r="W10812" t="s">
        <v>39274</v>
      </c>
      <c r="X10812" t="s">
        <v>40452</v>
      </c>
    </row>
    <row r="10813" spans="1:24">
      <c r="A10813">
        <f>HYPERLINK("https://www.philgeps.gov.ph/GEPSNONPILOT/Tender/SplashBidNoticeAbstractUI.aspx?menuIndex=3&amp;refID=7025540&amp;Result=3","7025540")</f>
        <v>0</v>
      </c>
      <c r="B10813" t="s">
        <v>1990</v>
      </c>
      <c r="C10813" t="s">
        <v>13408</v>
      </c>
      <c r="D10813" t="s">
        <v>16258</v>
      </c>
      <c r="E10813" t="s">
        <v>25668</v>
      </c>
      <c r="F10813" t="s">
        <v>28198</v>
      </c>
      <c r="G10813" t="s">
        <v>28205</v>
      </c>
      <c r="H10813" t="s">
        <v>28214</v>
      </c>
      <c r="I10813" t="s">
        <v>3797</v>
      </c>
      <c r="J10813" t="s">
        <v>35042</v>
      </c>
      <c r="K10813" t="s">
        <v>36753</v>
      </c>
      <c r="M10813" t="s">
        <v>39436</v>
      </c>
      <c r="N10813" t="s">
        <v>40436</v>
      </c>
      <c r="O10813" t="s">
        <v>40437</v>
      </c>
      <c r="P10813">
        <v>0</v>
      </c>
      <c r="Q10813">
        <v>0</v>
      </c>
      <c r="R10813" t="s">
        <v>40451</v>
      </c>
      <c r="S10813" t="s">
        <v>41005</v>
      </c>
      <c r="T10813" t="s">
        <v>42331</v>
      </c>
      <c r="U10813" t="s">
        <v>51620</v>
      </c>
      <c r="V10813" t="s">
        <v>54542</v>
      </c>
      <c r="W10813" t="s">
        <v>39436</v>
      </c>
      <c r="X10813" t="s">
        <v>40452</v>
      </c>
    </row>
    <row r="10814" spans="1:24">
      <c r="A10814">
        <f>HYPERLINK("https://www.philgeps.gov.ph/GEPSNONPILOT/Tender/SplashBidNoticeAbstractUI.aspx?menuIndex=3&amp;refID=7025547&amp;Result=3","7025547")</f>
        <v>0</v>
      </c>
      <c r="B10814" t="s">
        <v>2414</v>
      </c>
      <c r="C10814" t="s">
        <v>13409</v>
      </c>
      <c r="D10814" t="s">
        <v>16213</v>
      </c>
      <c r="E10814" t="s">
        <v>25669</v>
      </c>
      <c r="F10814" t="s">
        <v>28198</v>
      </c>
      <c r="G10814" t="s">
        <v>28205</v>
      </c>
      <c r="H10814" t="s">
        <v>28215</v>
      </c>
      <c r="I10814" t="s">
        <v>28250</v>
      </c>
      <c r="J10814" t="s">
        <v>35043</v>
      </c>
      <c r="K10814" t="s">
        <v>36701</v>
      </c>
      <c r="M10814" t="s">
        <v>39603</v>
      </c>
      <c r="N10814" t="s">
        <v>40436</v>
      </c>
      <c r="O10814" t="s">
        <v>40437</v>
      </c>
      <c r="P10814">
        <v>0</v>
      </c>
      <c r="Q10814">
        <v>3</v>
      </c>
      <c r="R10814" t="s">
        <v>40451</v>
      </c>
      <c r="S10814" t="s">
        <v>41005</v>
      </c>
      <c r="T10814" t="s">
        <v>42424</v>
      </c>
      <c r="U10814" t="s">
        <v>51621</v>
      </c>
      <c r="V10814" t="s">
        <v>54973</v>
      </c>
      <c r="W10814" t="s">
        <v>39603</v>
      </c>
      <c r="X10814" t="s">
        <v>40452</v>
      </c>
    </row>
    <row r="10815" spans="1:24">
      <c r="A10815">
        <f>HYPERLINK("https://www.philgeps.gov.ph/GEPSNONPILOT/Tender/SplashBidNoticeAbstractUI.aspx?menuIndex=3&amp;refID=7025524&amp;Result=3","7025524")</f>
        <v>0</v>
      </c>
      <c r="B10815" t="s">
        <v>70</v>
      </c>
      <c r="C10815" t="s">
        <v>13410</v>
      </c>
      <c r="D10815" t="s">
        <v>16214</v>
      </c>
      <c r="E10815" t="s">
        <v>25670</v>
      </c>
      <c r="F10815" t="s">
        <v>28198</v>
      </c>
      <c r="G10815" t="s">
        <v>28205</v>
      </c>
      <c r="H10815" t="s">
        <v>28215</v>
      </c>
      <c r="I10815" t="s">
        <v>28336</v>
      </c>
      <c r="J10815" t="s">
        <v>35044</v>
      </c>
      <c r="K10815" t="s">
        <v>36701</v>
      </c>
      <c r="M10815" t="s">
        <v>38348</v>
      </c>
      <c r="N10815" t="s">
        <v>40436</v>
      </c>
      <c r="O10815" t="s">
        <v>40437</v>
      </c>
      <c r="P10815">
        <v>0</v>
      </c>
      <c r="Q10815">
        <v>2</v>
      </c>
      <c r="R10815" t="s">
        <v>40451</v>
      </c>
      <c r="S10815" t="s">
        <v>41005</v>
      </c>
      <c r="T10815" t="s">
        <v>42279</v>
      </c>
      <c r="U10815" t="s">
        <v>51622</v>
      </c>
      <c r="W10815" t="s">
        <v>38348</v>
      </c>
      <c r="X10815" t="s">
        <v>40452</v>
      </c>
    </row>
    <row r="10816" spans="1:24">
      <c r="A10816">
        <f>HYPERLINK("https://www.philgeps.gov.ph/GEPSNONPILOT/Tender/SplashBidNoticeAbstractUI.aspx?menuIndex=3&amp;refID=7025585&amp;Result=3","7025585")</f>
        <v>0</v>
      </c>
      <c r="B10816" t="s">
        <v>2225</v>
      </c>
      <c r="C10816" t="s">
        <v>13411</v>
      </c>
      <c r="D10816" t="s">
        <v>16187</v>
      </c>
      <c r="E10816" t="s">
        <v>25671</v>
      </c>
      <c r="F10816" t="s">
        <v>28198</v>
      </c>
      <c r="G10816" t="s">
        <v>28205</v>
      </c>
      <c r="H10816" t="s">
        <v>28214</v>
      </c>
      <c r="I10816" t="s">
        <v>3797</v>
      </c>
      <c r="J10816" t="s">
        <v>35045</v>
      </c>
      <c r="K10816" t="s">
        <v>36742</v>
      </c>
      <c r="L10816" t="s">
        <v>2225</v>
      </c>
      <c r="M10816" t="s">
        <v>39392</v>
      </c>
      <c r="N10816" t="s">
        <v>40436</v>
      </c>
      <c r="O10816" t="s">
        <v>40437</v>
      </c>
      <c r="P10816">
        <v>0</v>
      </c>
      <c r="Q10816">
        <v>8</v>
      </c>
      <c r="R10816" t="s">
        <v>40451</v>
      </c>
      <c r="S10816" t="s">
        <v>41005</v>
      </c>
      <c r="T10816" t="s">
        <v>42126</v>
      </c>
      <c r="U10816" t="s">
        <v>51581</v>
      </c>
      <c r="W10816" t="s">
        <v>39392</v>
      </c>
      <c r="X10816" t="s">
        <v>40452</v>
      </c>
    </row>
    <row r="10817" spans="1:24">
      <c r="A10817">
        <f>HYPERLINK("https://www.philgeps.gov.ph/GEPSNONPILOT/Tender/SplashBidNoticeAbstractUI.aspx?menuIndex=3&amp;refID=7025568&amp;Result=3","7025568")</f>
        <v>0</v>
      </c>
      <c r="B10817" t="s">
        <v>250</v>
      </c>
      <c r="C10817" t="s">
        <v>13412</v>
      </c>
      <c r="D10817" t="s">
        <v>16190</v>
      </c>
      <c r="E10817" t="s">
        <v>25672</v>
      </c>
      <c r="F10817" t="s">
        <v>28198</v>
      </c>
      <c r="G10817" t="s">
        <v>28205</v>
      </c>
      <c r="H10817" t="s">
        <v>28214</v>
      </c>
      <c r="I10817" t="s">
        <v>3797</v>
      </c>
      <c r="J10817" t="s">
        <v>29161</v>
      </c>
      <c r="K10817" t="s">
        <v>36797</v>
      </c>
      <c r="M10817" t="s">
        <v>37226</v>
      </c>
      <c r="N10817" t="s">
        <v>40436</v>
      </c>
      <c r="O10817" t="s">
        <v>40437</v>
      </c>
      <c r="P10817">
        <v>0</v>
      </c>
      <c r="Q10817">
        <v>9</v>
      </c>
      <c r="R10817" t="s">
        <v>40451</v>
      </c>
      <c r="S10817" t="s">
        <v>41005</v>
      </c>
      <c r="T10817" t="s">
        <v>42279</v>
      </c>
      <c r="U10817" t="s">
        <v>51623</v>
      </c>
      <c r="W10817" t="s">
        <v>37226</v>
      </c>
      <c r="X10817" t="s">
        <v>40452</v>
      </c>
    </row>
    <row r="10818" spans="1:24">
      <c r="A10818">
        <f>HYPERLINK("https://www.philgeps.gov.ph/GEPSNONPILOT/Tender/SplashBidNoticeAbstractUI.aspx?menuIndex=3&amp;refID=7025581&amp;Result=3","7025581")</f>
        <v>0</v>
      </c>
      <c r="B10818" t="s">
        <v>1990</v>
      </c>
      <c r="C10818" t="s">
        <v>13413</v>
      </c>
      <c r="D10818" t="s">
        <v>16258</v>
      </c>
      <c r="E10818" t="s">
        <v>25673</v>
      </c>
      <c r="F10818" t="s">
        <v>28198</v>
      </c>
      <c r="G10818" t="s">
        <v>28205</v>
      </c>
      <c r="H10818" t="s">
        <v>28214</v>
      </c>
      <c r="I10818" t="s">
        <v>3797</v>
      </c>
      <c r="J10818" t="s">
        <v>35046</v>
      </c>
      <c r="K10818" t="s">
        <v>36938</v>
      </c>
      <c r="M10818" t="s">
        <v>39436</v>
      </c>
      <c r="N10818" t="s">
        <v>40436</v>
      </c>
      <c r="O10818" t="s">
        <v>40437</v>
      </c>
      <c r="P10818">
        <v>0</v>
      </c>
      <c r="Q10818">
        <v>1</v>
      </c>
      <c r="R10818" t="s">
        <v>40451</v>
      </c>
      <c r="S10818" t="s">
        <v>41005</v>
      </c>
      <c r="T10818" t="s">
        <v>42331</v>
      </c>
      <c r="U10818" t="s">
        <v>51624</v>
      </c>
      <c r="V10818" t="s">
        <v>54542</v>
      </c>
      <c r="W10818" t="s">
        <v>39436</v>
      </c>
      <c r="X10818" t="s">
        <v>40452</v>
      </c>
    </row>
    <row r="10819" spans="1:24">
      <c r="A10819">
        <f>HYPERLINK("https://www.philgeps.gov.ph/GEPSNONPILOT/Tender/SplashBidNoticeAbstractUI.aspx?menuIndex=3&amp;refID=7025522&amp;Result=3","7025522")</f>
        <v>0</v>
      </c>
      <c r="B10819" t="s">
        <v>1990</v>
      </c>
      <c r="C10819" t="s">
        <v>13414</v>
      </c>
      <c r="D10819" t="s">
        <v>16258</v>
      </c>
      <c r="E10819" t="s">
        <v>25674</v>
      </c>
      <c r="F10819" t="s">
        <v>28198</v>
      </c>
      <c r="G10819" t="s">
        <v>28205</v>
      </c>
      <c r="H10819" t="s">
        <v>28214</v>
      </c>
      <c r="I10819" t="s">
        <v>3797</v>
      </c>
      <c r="J10819" t="s">
        <v>35047</v>
      </c>
      <c r="K10819" t="s">
        <v>36697</v>
      </c>
      <c r="M10819" t="s">
        <v>39436</v>
      </c>
      <c r="N10819" t="s">
        <v>40436</v>
      </c>
      <c r="O10819" t="s">
        <v>40437</v>
      </c>
      <c r="P10819">
        <v>0</v>
      </c>
      <c r="Q10819">
        <v>0</v>
      </c>
      <c r="R10819" t="s">
        <v>40451</v>
      </c>
      <c r="S10819" t="s">
        <v>41005</v>
      </c>
      <c r="T10819" t="s">
        <v>42331</v>
      </c>
      <c r="U10819" t="s">
        <v>51625</v>
      </c>
      <c r="V10819" t="s">
        <v>54542</v>
      </c>
      <c r="W10819" t="s">
        <v>39436</v>
      </c>
      <c r="X10819" t="s">
        <v>40452</v>
      </c>
    </row>
    <row r="10820" spans="1:24">
      <c r="A10820">
        <f>HYPERLINK("https://www.philgeps.gov.ph/GEPSNONPILOT/Tender/SplashBidNoticeAbstractUI.aspx?menuIndex=3&amp;refID=7025541&amp;Result=3","7025541")</f>
        <v>0</v>
      </c>
      <c r="B10820" t="s">
        <v>250</v>
      </c>
      <c r="C10820" t="s">
        <v>13415</v>
      </c>
      <c r="D10820" t="s">
        <v>16190</v>
      </c>
      <c r="E10820" t="s">
        <v>25675</v>
      </c>
      <c r="F10820" t="s">
        <v>28198</v>
      </c>
      <c r="G10820" t="s">
        <v>28205</v>
      </c>
      <c r="H10820" t="s">
        <v>28214</v>
      </c>
      <c r="I10820" t="s">
        <v>3797</v>
      </c>
      <c r="J10820" t="s">
        <v>29161</v>
      </c>
      <c r="K10820" t="s">
        <v>36828</v>
      </c>
      <c r="M10820" t="s">
        <v>37226</v>
      </c>
      <c r="N10820" t="s">
        <v>40436</v>
      </c>
      <c r="O10820" t="s">
        <v>40437</v>
      </c>
      <c r="P10820">
        <v>0</v>
      </c>
      <c r="Q10820">
        <v>12</v>
      </c>
      <c r="R10820" t="s">
        <v>40451</v>
      </c>
      <c r="S10820" t="s">
        <v>41005</v>
      </c>
      <c r="T10820" t="s">
        <v>42279</v>
      </c>
      <c r="U10820" t="s">
        <v>51626</v>
      </c>
      <c r="W10820" t="s">
        <v>37226</v>
      </c>
      <c r="X10820" t="s">
        <v>40452</v>
      </c>
    </row>
    <row r="10821" spans="1:24">
      <c r="A10821">
        <f>HYPERLINK("https://www.philgeps.gov.ph/GEPSNONPILOT/Tender/SplashBidNoticeAbstractUI.aspx?menuIndex=3&amp;refID=7025579&amp;Result=3","7025579")</f>
        <v>0</v>
      </c>
      <c r="B10821" t="s">
        <v>1345</v>
      </c>
      <c r="C10821" t="s">
        <v>13416</v>
      </c>
      <c r="D10821" t="s">
        <v>16247</v>
      </c>
      <c r="E10821" t="s">
        <v>25676</v>
      </c>
      <c r="F10821" t="s">
        <v>28198</v>
      </c>
      <c r="G10821" t="s">
        <v>28205</v>
      </c>
      <c r="H10821" t="s">
        <v>28215</v>
      </c>
      <c r="I10821" t="s">
        <v>28225</v>
      </c>
      <c r="J10821" t="s">
        <v>35048</v>
      </c>
      <c r="K10821" t="s">
        <v>36688</v>
      </c>
      <c r="M10821" t="s">
        <v>38403</v>
      </c>
      <c r="N10821" t="s">
        <v>40436</v>
      </c>
      <c r="O10821" t="s">
        <v>40437</v>
      </c>
      <c r="P10821">
        <v>0</v>
      </c>
      <c r="Q10821">
        <v>8</v>
      </c>
      <c r="R10821" t="s">
        <v>40451</v>
      </c>
      <c r="S10821" t="s">
        <v>41005</v>
      </c>
      <c r="T10821" t="s">
        <v>42133</v>
      </c>
      <c r="U10821" t="s">
        <v>45667</v>
      </c>
      <c r="W10821" t="s">
        <v>38403</v>
      </c>
      <c r="X10821" t="s">
        <v>40452</v>
      </c>
    </row>
    <row r="10822" spans="1:24">
      <c r="A10822">
        <f>HYPERLINK("https://www.philgeps.gov.ph/GEPSNONPILOT/Tender/SplashBidNoticeAbstractUI.aspx?menuIndex=3&amp;refID=7025525&amp;Result=3","7025525")</f>
        <v>0</v>
      </c>
      <c r="B10822" t="s">
        <v>402</v>
      </c>
      <c r="C10822" t="s">
        <v>13417</v>
      </c>
      <c r="D10822" t="s">
        <v>16217</v>
      </c>
      <c r="E10822" t="s">
        <v>16322</v>
      </c>
      <c r="F10822" t="s">
        <v>28198</v>
      </c>
      <c r="G10822" t="s">
        <v>28205</v>
      </c>
      <c r="H10822" t="s">
        <v>28215</v>
      </c>
      <c r="I10822" t="s">
        <v>5100</v>
      </c>
      <c r="J10822" t="s">
        <v>35049</v>
      </c>
      <c r="K10822" t="s">
        <v>36687</v>
      </c>
      <c r="M10822" t="s">
        <v>37383</v>
      </c>
      <c r="N10822" t="s">
        <v>40436</v>
      </c>
      <c r="O10822" t="s">
        <v>40437</v>
      </c>
      <c r="P10822">
        <v>0</v>
      </c>
      <c r="Q10822">
        <v>1</v>
      </c>
      <c r="R10822" t="s">
        <v>40451</v>
      </c>
      <c r="S10822" t="s">
        <v>41005</v>
      </c>
      <c r="T10822" t="s">
        <v>42188</v>
      </c>
      <c r="U10822" t="s">
        <v>51627</v>
      </c>
      <c r="W10822" t="s">
        <v>37383</v>
      </c>
      <c r="X10822" t="s">
        <v>40452</v>
      </c>
    </row>
    <row r="10823" spans="1:24">
      <c r="A10823">
        <f>HYPERLINK("https://www.philgeps.gov.ph/GEPSNONPILOT/Tender/SplashBidNoticeAbstractUI.aspx?menuIndex=3&amp;refID=7025592&amp;Result=3","7025592")</f>
        <v>0</v>
      </c>
      <c r="B10823" t="s">
        <v>1990</v>
      </c>
      <c r="C10823" t="s">
        <v>13418</v>
      </c>
      <c r="D10823" t="s">
        <v>16258</v>
      </c>
      <c r="E10823" t="s">
        <v>25677</v>
      </c>
      <c r="F10823" t="s">
        <v>28198</v>
      </c>
      <c r="G10823" t="s">
        <v>28205</v>
      </c>
      <c r="H10823" t="s">
        <v>28215</v>
      </c>
      <c r="I10823" t="s">
        <v>5100</v>
      </c>
      <c r="J10823" t="s">
        <v>35050</v>
      </c>
      <c r="K10823" t="s">
        <v>36687</v>
      </c>
      <c r="M10823" t="s">
        <v>39128</v>
      </c>
      <c r="N10823" t="s">
        <v>40436</v>
      </c>
      <c r="O10823" t="s">
        <v>40437</v>
      </c>
      <c r="P10823">
        <v>0</v>
      </c>
      <c r="Q10823">
        <v>3</v>
      </c>
      <c r="R10823" t="s">
        <v>40451</v>
      </c>
      <c r="S10823" t="s">
        <v>41005</v>
      </c>
      <c r="T10823" t="s">
        <v>42112</v>
      </c>
      <c r="U10823" t="s">
        <v>47826</v>
      </c>
      <c r="V10823" t="s">
        <v>54974</v>
      </c>
      <c r="W10823" t="s">
        <v>39128</v>
      </c>
      <c r="X10823" t="s">
        <v>40452</v>
      </c>
    </row>
    <row r="10824" spans="1:24">
      <c r="A10824">
        <f>HYPERLINK("https://www.philgeps.gov.ph/GEPSNONPILOT/Tender/SplashBidNoticeAbstractUI.aspx?menuIndex=3&amp;refID=7025560&amp;Result=3","7025560")</f>
        <v>0</v>
      </c>
      <c r="B10824" t="s">
        <v>2651</v>
      </c>
      <c r="C10824" t="s">
        <v>13419</v>
      </c>
      <c r="D10824" t="s">
        <v>16261</v>
      </c>
      <c r="E10824" t="s">
        <v>25156</v>
      </c>
      <c r="F10824" t="s">
        <v>28198</v>
      </c>
      <c r="G10824" t="s">
        <v>28205</v>
      </c>
      <c r="H10824" t="s">
        <v>28214</v>
      </c>
      <c r="I10824" t="s">
        <v>3797</v>
      </c>
      <c r="J10824" t="s">
        <v>28927</v>
      </c>
      <c r="K10824" t="s">
        <v>36689</v>
      </c>
      <c r="M10824" t="s">
        <v>39878</v>
      </c>
      <c r="N10824" t="s">
        <v>40436</v>
      </c>
      <c r="O10824" t="s">
        <v>40437</v>
      </c>
      <c r="P10824">
        <v>0</v>
      </c>
      <c r="Q10824">
        <v>0</v>
      </c>
      <c r="R10824" t="s">
        <v>40451</v>
      </c>
      <c r="S10824" t="s">
        <v>41005</v>
      </c>
      <c r="T10824" t="s">
        <v>42133</v>
      </c>
      <c r="U10824" t="s">
        <v>51628</v>
      </c>
      <c r="V10824" t="s">
        <v>54975</v>
      </c>
      <c r="W10824" t="s">
        <v>39878</v>
      </c>
      <c r="X10824" t="s">
        <v>40452</v>
      </c>
    </row>
    <row r="10825" spans="1:24">
      <c r="A10825">
        <f>HYPERLINK("https://www.philgeps.gov.ph/GEPSNONPILOT/Tender/SplashBidNoticeAbstractUI.aspx?menuIndex=3&amp;refID=7025527&amp;Result=3","7025527")</f>
        <v>0</v>
      </c>
      <c r="B10825" t="s">
        <v>1046</v>
      </c>
      <c r="C10825" t="s">
        <v>13420</v>
      </c>
      <c r="E10825" t="s">
        <v>25678</v>
      </c>
      <c r="F10825" t="s">
        <v>28198</v>
      </c>
      <c r="G10825" t="s">
        <v>28205</v>
      </c>
      <c r="H10825" t="s">
        <v>28214</v>
      </c>
      <c r="I10825" t="s">
        <v>3797</v>
      </c>
      <c r="J10825" t="s">
        <v>35051</v>
      </c>
      <c r="K10825" t="s">
        <v>36689</v>
      </c>
      <c r="M10825" t="s">
        <v>38079</v>
      </c>
      <c r="N10825" t="s">
        <v>40436</v>
      </c>
      <c r="O10825" t="s">
        <v>40437</v>
      </c>
      <c r="Q10825">
        <v>1</v>
      </c>
      <c r="R10825" t="s">
        <v>40451</v>
      </c>
      <c r="S10825" t="s">
        <v>41069</v>
      </c>
      <c r="T10825" t="s">
        <v>42102</v>
      </c>
      <c r="U10825" t="s">
        <v>51629</v>
      </c>
      <c r="W10825" t="s">
        <v>38079</v>
      </c>
      <c r="X10825" t="s">
        <v>40452</v>
      </c>
    </row>
    <row r="10826" spans="1:24">
      <c r="A10826">
        <f>HYPERLINK("https://www.philgeps.gov.ph/GEPSNONPILOT/Tender/SplashBidNoticeAbstractUI.aspx?menuIndex=3&amp;refID=7025635&amp;Result=3","7025635")</f>
        <v>0</v>
      </c>
      <c r="B10826" t="s">
        <v>2225</v>
      </c>
      <c r="C10826" t="s">
        <v>13421</v>
      </c>
      <c r="D10826" t="s">
        <v>16187</v>
      </c>
      <c r="E10826" t="s">
        <v>25679</v>
      </c>
      <c r="F10826" t="s">
        <v>28198</v>
      </c>
      <c r="G10826" t="s">
        <v>28205</v>
      </c>
      <c r="H10826" t="s">
        <v>28214</v>
      </c>
      <c r="I10826" t="s">
        <v>3797</v>
      </c>
      <c r="J10826" t="s">
        <v>32323</v>
      </c>
      <c r="K10826" t="s">
        <v>36697</v>
      </c>
      <c r="L10826" t="s">
        <v>2225</v>
      </c>
      <c r="M10826" t="s">
        <v>39392</v>
      </c>
      <c r="N10826" t="s">
        <v>40436</v>
      </c>
      <c r="O10826" t="s">
        <v>40437</v>
      </c>
      <c r="P10826">
        <v>0</v>
      </c>
      <c r="Q10826">
        <v>2</v>
      </c>
      <c r="R10826" t="s">
        <v>40451</v>
      </c>
      <c r="S10826" t="s">
        <v>41005</v>
      </c>
      <c r="T10826" t="s">
        <v>42126</v>
      </c>
      <c r="U10826" t="s">
        <v>51581</v>
      </c>
      <c r="W10826" t="s">
        <v>39392</v>
      </c>
      <c r="X10826" t="s">
        <v>40452</v>
      </c>
    </row>
    <row r="10827" spans="1:24">
      <c r="A10827">
        <f>HYPERLINK("https://www.philgeps.gov.ph/GEPSNONPILOT/Tender/SplashBidNoticeAbstractUI.aspx?menuIndex=3&amp;refID=7025621&amp;Result=3","7025621")</f>
        <v>0</v>
      </c>
      <c r="B10827" t="s">
        <v>2839</v>
      </c>
      <c r="C10827" t="s">
        <v>13422</v>
      </c>
      <c r="D10827" t="s">
        <v>16210</v>
      </c>
      <c r="E10827" t="s">
        <v>16473</v>
      </c>
      <c r="F10827" t="s">
        <v>28198</v>
      </c>
      <c r="G10827" t="s">
        <v>28205</v>
      </c>
      <c r="H10827" t="s">
        <v>28215</v>
      </c>
      <c r="I10827" t="s">
        <v>28264</v>
      </c>
      <c r="J10827" t="s">
        <v>35052</v>
      </c>
      <c r="K10827" t="s">
        <v>36701</v>
      </c>
      <c r="M10827" t="s">
        <v>40091</v>
      </c>
      <c r="N10827" t="s">
        <v>40436</v>
      </c>
      <c r="O10827" t="s">
        <v>40437</v>
      </c>
      <c r="Q10827">
        <v>15</v>
      </c>
      <c r="R10827" t="s">
        <v>40451</v>
      </c>
      <c r="S10827" t="s">
        <v>41070</v>
      </c>
      <c r="T10827" t="s">
        <v>42279</v>
      </c>
      <c r="U10827" t="s">
        <v>51630</v>
      </c>
      <c r="W10827" t="s">
        <v>40091</v>
      </c>
      <c r="X10827" t="s">
        <v>40452</v>
      </c>
    </row>
    <row r="10828" spans="1:24">
      <c r="A10828">
        <f>HYPERLINK("https://www.philgeps.gov.ph/GEPSNONPILOT/Tender/SplashBidNoticeAbstractUI.aspx?menuIndex=3&amp;refID=7025608&amp;Result=3","7025608")</f>
        <v>0</v>
      </c>
      <c r="B10828" t="s">
        <v>1345</v>
      </c>
      <c r="C10828" t="s">
        <v>13423</v>
      </c>
      <c r="D10828" t="s">
        <v>16247</v>
      </c>
      <c r="E10828" t="s">
        <v>25680</v>
      </c>
      <c r="F10828" t="s">
        <v>28198</v>
      </c>
      <c r="G10828" t="s">
        <v>28205</v>
      </c>
      <c r="H10828" t="s">
        <v>28215</v>
      </c>
      <c r="I10828" t="s">
        <v>5791</v>
      </c>
      <c r="J10828" t="s">
        <v>35053</v>
      </c>
      <c r="K10828" t="s">
        <v>36688</v>
      </c>
      <c r="M10828" t="s">
        <v>38403</v>
      </c>
      <c r="N10828" t="s">
        <v>40436</v>
      </c>
      <c r="O10828" t="s">
        <v>40437</v>
      </c>
      <c r="P10828">
        <v>0</v>
      </c>
      <c r="Q10828">
        <v>1</v>
      </c>
      <c r="R10828" t="s">
        <v>40451</v>
      </c>
      <c r="S10828" t="s">
        <v>41005</v>
      </c>
      <c r="T10828" t="s">
        <v>42133</v>
      </c>
      <c r="U10828" t="s">
        <v>45667</v>
      </c>
      <c r="W10828" t="s">
        <v>38403</v>
      </c>
      <c r="X10828" t="s">
        <v>40452</v>
      </c>
    </row>
    <row r="10829" spans="1:24">
      <c r="A10829">
        <f>HYPERLINK("https://www.philgeps.gov.ph/GEPSNONPILOT/Tender/SplashBidNoticeAbstractUI.aspx?menuIndex=3&amp;refID=7025601&amp;Result=3","7025601")</f>
        <v>0</v>
      </c>
      <c r="B10829" t="s">
        <v>2251</v>
      </c>
      <c r="C10829" t="s">
        <v>13424</v>
      </c>
      <c r="D10829" t="s">
        <v>16203</v>
      </c>
      <c r="E10829" t="s">
        <v>25681</v>
      </c>
      <c r="F10829" t="s">
        <v>28198</v>
      </c>
      <c r="G10829" t="s">
        <v>28205</v>
      </c>
      <c r="H10829" t="s">
        <v>28214</v>
      </c>
      <c r="I10829" t="s">
        <v>3797</v>
      </c>
      <c r="J10829" t="s">
        <v>35054</v>
      </c>
      <c r="K10829" t="s">
        <v>36856</v>
      </c>
      <c r="M10829" t="s">
        <v>39421</v>
      </c>
      <c r="N10829" t="s">
        <v>40436</v>
      </c>
      <c r="O10829" t="s">
        <v>40437</v>
      </c>
      <c r="P10829">
        <v>0</v>
      </c>
      <c r="Q10829">
        <v>5</v>
      </c>
      <c r="R10829" t="s">
        <v>40451</v>
      </c>
      <c r="S10829" t="s">
        <v>41005</v>
      </c>
      <c r="T10829" t="s">
        <v>42134</v>
      </c>
      <c r="U10829" t="s">
        <v>51631</v>
      </c>
      <c r="V10829" t="s">
        <v>54976</v>
      </c>
      <c r="W10829" t="s">
        <v>39421</v>
      </c>
      <c r="X10829" t="s">
        <v>40452</v>
      </c>
    </row>
    <row r="10830" spans="1:24">
      <c r="A10830">
        <f>HYPERLINK("https://www.philgeps.gov.ph/GEPSNONPILOT/Tender/SplashBidNoticeAbstractUI.aspx?menuIndex=3&amp;refID=7025616&amp;Result=3","7025616")</f>
        <v>0</v>
      </c>
      <c r="B10830" t="s">
        <v>1021</v>
      </c>
      <c r="C10830" t="s">
        <v>13425</v>
      </c>
      <c r="D10830" t="s">
        <v>16204</v>
      </c>
      <c r="E10830" t="s">
        <v>25682</v>
      </c>
      <c r="F10830" t="s">
        <v>28198</v>
      </c>
      <c r="G10830" t="s">
        <v>28205</v>
      </c>
      <c r="H10830" t="s">
        <v>28214</v>
      </c>
      <c r="I10830" t="s">
        <v>3797</v>
      </c>
      <c r="J10830" t="s">
        <v>35055</v>
      </c>
      <c r="K10830" t="s">
        <v>36735</v>
      </c>
      <c r="M10830" t="s">
        <v>38052</v>
      </c>
      <c r="N10830" t="s">
        <v>40436</v>
      </c>
      <c r="O10830" t="s">
        <v>40437</v>
      </c>
      <c r="Q10830">
        <v>12</v>
      </c>
      <c r="R10830" t="s">
        <v>40451</v>
      </c>
      <c r="S10830" t="s">
        <v>41071</v>
      </c>
      <c r="T10830" t="s">
        <v>42133</v>
      </c>
      <c r="U10830" t="s">
        <v>50338</v>
      </c>
      <c r="V10830" t="s">
        <v>54048</v>
      </c>
      <c r="W10830" t="s">
        <v>38052</v>
      </c>
      <c r="X10830" t="s">
        <v>40452</v>
      </c>
    </row>
    <row r="10831" spans="1:24">
      <c r="A10831">
        <f>HYPERLINK("https://www.philgeps.gov.ph/GEPSNONPILOT/Tender/SplashBidNoticeAbstractUI.aspx?menuIndex=3&amp;refID=7025600&amp;Result=3","7025600")</f>
        <v>0</v>
      </c>
      <c r="B10831" t="s">
        <v>827</v>
      </c>
      <c r="C10831" t="s">
        <v>13426</v>
      </c>
      <c r="D10831" t="s">
        <v>16209</v>
      </c>
      <c r="E10831" t="s">
        <v>25683</v>
      </c>
      <c r="F10831" t="s">
        <v>28198</v>
      </c>
      <c r="G10831" t="s">
        <v>28205</v>
      </c>
      <c r="H10831" t="s">
        <v>28215</v>
      </c>
      <c r="I10831" t="s">
        <v>28222</v>
      </c>
      <c r="J10831" t="s">
        <v>30493</v>
      </c>
      <c r="K10831" t="s">
        <v>36694</v>
      </c>
      <c r="M10831" t="s">
        <v>37839</v>
      </c>
      <c r="N10831" t="s">
        <v>40436</v>
      </c>
      <c r="O10831" t="s">
        <v>40437</v>
      </c>
      <c r="P10831">
        <v>0</v>
      </c>
      <c r="Q10831">
        <v>8</v>
      </c>
      <c r="R10831" t="s">
        <v>40451</v>
      </c>
      <c r="S10831" t="s">
        <v>41005</v>
      </c>
      <c r="T10831" t="s">
        <v>42529</v>
      </c>
      <c r="U10831" t="s">
        <v>51632</v>
      </c>
      <c r="W10831" t="s">
        <v>37839</v>
      </c>
      <c r="X10831" t="s">
        <v>40452</v>
      </c>
    </row>
    <row r="10832" spans="1:24">
      <c r="A10832">
        <f>HYPERLINK("https://www.philgeps.gov.ph/GEPSNONPILOT/Tender/SplashBidNoticeAbstractUI.aspx?menuIndex=3&amp;refID=7025610&amp;Result=3","7025610")</f>
        <v>0</v>
      </c>
      <c r="B10832" t="s">
        <v>2225</v>
      </c>
      <c r="C10832" t="s">
        <v>13427</v>
      </c>
      <c r="D10832" t="s">
        <v>16187</v>
      </c>
      <c r="E10832" t="s">
        <v>25684</v>
      </c>
      <c r="F10832" t="s">
        <v>28198</v>
      </c>
      <c r="G10832" t="s">
        <v>28205</v>
      </c>
      <c r="H10832" t="s">
        <v>28214</v>
      </c>
      <c r="I10832" t="s">
        <v>3797</v>
      </c>
      <c r="J10832" t="s">
        <v>32323</v>
      </c>
      <c r="K10832" t="s">
        <v>36764</v>
      </c>
      <c r="L10832" t="s">
        <v>2225</v>
      </c>
      <c r="M10832" t="s">
        <v>39392</v>
      </c>
      <c r="N10832" t="s">
        <v>40436</v>
      </c>
      <c r="O10832" t="s">
        <v>40437</v>
      </c>
      <c r="P10832">
        <v>0</v>
      </c>
      <c r="Q10832">
        <v>1</v>
      </c>
      <c r="R10832" t="s">
        <v>40451</v>
      </c>
      <c r="S10832" t="s">
        <v>41005</v>
      </c>
      <c r="T10832" t="s">
        <v>42126</v>
      </c>
      <c r="U10832" t="s">
        <v>51581</v>
      </c>
      <c r="W10832" t="s">
        <v>39392</v>
      </c>
      <c r="X10832" t="s">
        <v>40452</v>
      </c>
    </row>
    <row r="10833" spans="1:24">
      <c r="A10833">
        <f>HYPERLINK("https://www.philgeps.gov.ph/GEPSNONPILOT/Tender/SplashBidNoticeAbstractUI.aspx?menuIndex=3&amp;refID=7025593&amp;Result=3","7025593")</f>
        <v>0</v>
      </c>
      <c r="B10833" t="s">
        <v>2381</v>
      </c>
      <c r="C10833" t="s">
        <v>13428</v>
      </c>
      <c r="D10833" t="s">
        <v>16243</v>
      </c>
      <c r="E10833" t="s">
        <v>25685</v>
      </c>
      <c r="F10833" t="s">
        <v>28198</v>
      </c>
      <c r="G10833" t="s">
        <v>28211</v>
      </c>
      <c r="H10833" t="s">
        <v>28216</v>
      </c>
      <c r="I10833" t="s">
        <v>3797</v>
      </c>
      <c r="J10833" t="s">
        <v>35056</v>
      </c>
      <c r="K10833" t="s">
        <v>36692</v>
      </c>
      <c r="M10833" t="s">
        <v>39641</v>
      </c>
      <c r="N10833" t="s">
        <v>40436</v>
      </c>
      <c r="O10833" t="s">
        <v>40437</v>
      </c>
      <c r="P10833">
        <v>0</v>
      </c>
      <c r="Q10833">
        <v>2</v>
      </c>
      <c r="R10833" t="s">
        <v>40451</v>
      </c>
      <c r="S10833" t="s">
        <v>41005</v>
      </c>
      <c r="T10833" t="s">
        <v>42278</v>
      </c>
      <c r="U10833" t="s">
        <v>51633</v>
      </c>
      <c r="W10833" t="s">
        <v>39641</v>
      </c>
      <c r="X10833" t="s">
        <v>40452</v>
      </c>
    </row>
    <row r="10834" spans="1:24">
      <c r="A10834">
        <f>HYPERLINK("https://www.philgeps.gov.ph/GEPSNONPILOT/Tender/SplashBidNoticeAbstractUI.aspx?menuIndex=3&amp;refID=7025658&amp;Result=3","7025658")</f>
        <v>0</v>
      </c>
      <c r="B10834" t="s">
        <v>1345</v>
      </c>
      <c r="C10834" t="s">
        <v>13429</v>
      </c>
      <c r="D10834" t="s">
        <v>16247</v>
      </c>
      <c r="E10834" t="s">
        <v>25686</v>
      </c>
      <c r="F10834" t="s">
        <v>28198</v>
      </c>
      <c r="G10834" t="s">
        <v>28205</v>
      </c>
      <c r="H10834" t="s">
        <v>28215</v>
      </c>
      <c r="I10834" t="s">
        <v>28224</v>
      </c>
      <c r="J10834" t="s">
        <v>35057</v>
      </c>
      <c r="K10834" t="s">
        <v>36688</v>
      </c>
      <c r="M10834" t="s">
        <v>38403</v>
      </c>
      <c r="N10834" t="s">
        <v>40436</v>
      </c>
      <c r="O10834" t="s">
        <v>40437</v>
      </c>
      <c r="P10834">
        <v>0</v>
      </c>
      <c r="Q10834">
        <v>2</v>
      </c>
      <c r="R10834" t="s">
        <v>40451</v>
      </c>
      <c r="S10834" t="s">
        <v>41005</v>
      </c>
      <c r="T10834" t="s">
        <v>42133</v>
      </c>
      <c r="U10834" t="s">
        <v>45667</v>
      </c>
      <c r="W10834" t="s">
        <v>38403</v>
      </c>
      <c r="X10834" t="s">
        <v>40452</v>
      </c>
    </row>
    <row r="10835" spans="1:24">
      <c r="A10835">
        <f>HYPERLINK("https://www.philgeps.gov.ph/GEPSNONPILOT/Tender/SplashBidNoticeAbstractUI.aspx?menuIndex=3&amp;refID=7025598&amp;Result=3","7025598")</f>
        <v>0</v>
      </c>
      <c r="B10835" t="s">
        <v>2225</v>
      </c>
      <c r="C10835" t="s">
        <v>13430</v>
      </c>
      <c r="D10835" t="s">
        <v>16187</v>
      </c>
      <c r="E10835" t="s">
        <v>25687</v>
      </c>
      <c r="F10835" t="s">
        <v>28198</v>
      </c>
      <c r="G10835" t="s">
        <v>28205</v>
      </c>
      <c r="H10835" t="s">
        <v>28214</v>
      </c>
      <c r="I10835" t="s">
        <v>3797</v>
      </c>
      <c r="J10835" t="s">
        <v>32533</v>
      </c>
      <c r="K10835" t="s">
        <v>36717</v>
      </c>
      <c r="L10835" t="s">
        <v>2225</v>
      </c>
      <c r="M10835" t="s">
        <v>39392</v>
      </c>
      <c r="N10835" t="s">
        <v>40436</v>
      </c>
      <c r="O10835" t="s">
        <v>40437</v>
      </c>
      <c r="P10835">
        <v>0</v>
      </c>
      <c r="Q10835">
        <v>5</v>
      </c>
      <c r="R10835" t="s">
        <v>40451</v>
      </c>
      <c r="S10835" t="s">
        <v>41005</v>
      </c>
      <c r="T10835" t="s">
        <v>42126</v>
      </c>
      <c r="U10835" t="s">
        <v>51581</v>
      </c>
      <c r="W10835" t="s">
        <v>39392</v>
      </c>
      <c r="X10835" t="s">
        <v>40452</v>
      </c>
    </row>
    <row r="10836" spans="1:24">
      <c r="A10836">
        <f>HYPERLINK("https://www.philgeps.gov.ph/GEPSNONPILOT/Tender/SplashBidNoticeAbstractUI.aspx?menuIndex=3&amp;refID=7025661&amp;Result=3","7025661")</f>
        <v>0</v>
      </c>
      <c r="B10836" t="s">
        <v>181</v>
      </c>
      <c r="C10836" t="s">
        <v>13431</v>
      </c>
      <c r="D10836" t="s">
        <v>16209</v>
      </c>
      <c r="E10836" t="s">
        <v>17900</v>
      </c>
      <c r="F10836" t="s">
        <v>28198</v>
      </c>
      <c r="G10836" t="s">
        <v>28205</v>
      </c>
      <c r="H10836" t="s">
        <v>28214</v>
      </c>
      <c r="I10836" t="s">
        <v>3797</v>
      </c>
      <c r="J10836" t="s">
        <v>28668</v>
      </c>
      <c r="K10836" t="s">
        <v>36694</v>
      </c>
      <c r="M10836" t="s">
        <v>37156</v>
      </c>
      <c r="N10836" t="s">
        <v>40436</v>
      </c>
      <c r="O10836" t="s">
        <v>40437</v>
      </c>
      <c r="P10836">
        <v>0</v>
      </c>
      <c r="Q10836">
        <v>0</v>
      </c>
      <c r="R10836" t="s">
        <v>40451</v>
      </c>
      <c r="S10836" t="s">
        <v>41005</v>
      </c>
      <c r="T10836" t="s">
        <v>42136</v>
      </c>
      <c r="U10836" t="s">
        <v>42915</v>
      </c>
      <c r="W10836" t="s">
        <v>37156</v>
      </c>
      <c r="X10836" t="s">
        <v>40452</v>
      </c>
    </row>
    <row r="10837" spans="1:24">
      <c r="A10837">
        <f>HYPERLINK("https://www.philgeps.gov.ph/GEPSNONPILOT/Tender/SplashBidNoticeAbstractUI.aspx?menuIndex=3&amp;refID=7025654&amp;Result=3","7025654")</f>
        <v>0</v>
      </c>
      <c r="B10837" t="s">
        <v>1990</v>
      </c>
      <c r="C10837" t="s">
        <v>13432</v>
      </c>
      <c r="D10837" t="s">
        <v>16258</v>
      </c>
      <c r="E10837" t="s">
        <v>25688</v>
      </c>
      <c r="F10837" t="s">
        <v>28198</v>
      </c>
      <c r="G10837" t="s">
        <v>28205</v>
      </c>
      <c r="H10837" t="s">
        <v>28214</v>
      </c>
      <c r="I10837" t="s">
        <v>3797</v>
      </c>
      <c r="J10837" t="s">
        <v>35058</v>
      </c>
      <c r="K10837" t="s">
        <v>36938</v>
      </c>
      <c r="M10837" t="s">
        <v>39436</v>
      </c>
      <c r="N10837" t="s">
        <v>40436</v>
      </c>
      <c r="O10837" t="s">
        <v>40437</v>
      </c>
      <c r="P10837">
        <v>0</v>
      </c>
      <c r="Q10837">
        <v>0</v>
      </c>
      <c r="R10837" t="s">
        <v>40451</v>
      </c>
      <c r="S10837" t="s">
        <v>41005</v>
      </c>
      <c r="T10837" t="s">
        <v>42331</v>
      </c>
      <c r="U10837" t="s">
        <v>51624</v>
      </c>
      <c r="V10837" t="s">
        <v>54542</v>
      </c>
      <c r="W10837" t="s">
        <v>39436</v>
      </c>
      <c r="X10837" t="s">
        <v>40452</v>
      </c>
    </row>
    <row r="10838" spans="1:24">
      <c r="A10838">
        <f>HYPERLINK("https://www.philgeps.gov.ph/GEPSNONPILOT/Tender/SplashBidNoticeAbstractUI.aspx?menuIndex=3&amp;refID=7025640&amp;Result=3","7025640")</f>
        <v>0</v>
      </c>
      <c r="B10838" t="s">
        <v>2607</v>
      </c>
      <c r="C10838" t="s">
        <v>13433</v>
      </c>
      <c r="D10838" t="s">
        <v>16208</v>
      </c>
      <c r="E10838" t="s">
        <v>25689</v>
      </c>
      <c r="F10838" t="s">
        <v>28198</v>
      </c>
      <c r="G10838" t="s">
        <v>28205</v>
      </c>
      <c r="H10838" t="s">
        <v>28215</v>
      </c>
      <c r="I10838" t="s">
        <v>5100</v>
      </c>
      <c r="J10838" t="s">
        <v>35059</v>
      </c>
      <c r="K10838" t="s">
        <v>36694</v>
      </c>
      <c r="M10838" t="s">
        <v>39825</v>
      </c>
      <c r="N10838" t="s">
        <v>40436</v>
      </c>
      <c r="O10838" t="s">
        <v>40437</v>
      </c>
      <c r="Q10838">
        <v>2</v>
      </c>
      <c r="R10838" t="s">
        <v>40451</v>
      </c>
      <c r="S10838" t="s">
        <v>41072</v>
      </c>
      <c r="T10838" t="s">
        <v>42097</v>
      </c>
      <c r="U10838" t="s">
        <v>50260</v>
      </c>
      <c r="V10838" t="s">
        <v>54977</v>
      </c>
      <c r="W10838" t="s">
        <v>39825</v>
      </c>
      <c r="X10838" t="s">
        <v>40452</v>
      </c>
    </row>
    <row r="10839" spans="1:24">
      <c r="A10839">
        <f>HYPERLINK("https://www.philgeps.gov.ph/GEPSNONPILOT/Tender/SplashBidNoticeAbstractUI.aspx?menuIndex=3&amp;refID=7025613&amp;Result=3","7025613")</f>
        <v>0</v>
      </c>
      <c r="B10839" t="s">
        <v>1990</v>
      </c>
      <c r="C10839" t="s">
        <v>13434</v>
      </c>
      <c r="D10839" t="s">
        <v>16258</v>
      </c>
      <c r="E10839" t="s">
        <v>25690</v>
      </c>
      <c r="F10839" t="s">
        <v>28198</v>
      </c>
      <c r="G10839" t="s">
        <v>28205</v>
      </c>
      <c r="H10839" t="s">
        <v>28215</v>
      </c>
      <c r="I10839" t="s">
        <v>28237</v>
      </c>
      <c r="J10839" t="s">
        <v>35060</v>
      </c>
      <c r="K10839" t="s">
        <v>36687</v>
      </c>
      <c r="M10839" t="s">
        <v>39128</v>
      </c>
      <c r="N10839" t="s">
        <v>40436</v>
      </c>
      <c r="O10839" t="s">
        <v>40437</v>
      </c>
      <c r="P10839">
        <v>0</v>
      </c>
      <c r="Q10839">
        <v>5</v>
      </c>
      <c r="R10839" t="s">
        <v>40451</v>
      </c>
      <c r="S10839" t="s">
        <v>41005</v>
      </c>
      <c r="T10839" t="s">
        <v>42112</v>
      </c>
      <c r="U10839" t="s">
        <v>51634</v>
      </c>
      <c r="V10839" t="s">
        <v>54978</v>
      </c>
      <c r="W10839" t="s">
        <v>39128</v>
      </c>
      <c r="X10839" t="s">
        <v>40452</v>
      </c>
    </row>
    <row r="10840" spans="1:24">
      <c r="A10840">
        <f>HYPERLINK("https://www.philgeps.gov.ph/GEPSNONPILOT/Tender/SplashBidNoticeAbstractUI.aspx?menuIndex=3&amp;refID=7025655&amp;Result=3","7025655")</f>
        <v>0</v>
      </c>
      <c r="B10840" t="s">
        <v>1046</v>
      </c>
      <c r="C10840" t="s">
        <v>13435</v>
      </c>
      <c r="E10840" t="s">
        <v>25691</v>
      </c>
      <c r="F10840" t="s">
        <v>28198</v>
      </c>
      <c r="G10840" t="s">
        <v>28205</v>
      </c>
      <c r="H10840" t="s">
        <v>28214</v>
      </c>
      <c r="I10840" t="s">
        <v>3797</v>
      </c>
      <c r="J10840" t="s">
        <v>35061</v>
      </c>
      <c r="K10840" t="s">
        <v>36689</v>
      </c>
      <c r="M10840" t="s">
        <v>38079</v>
      </c>
      <c r="N10840" t="s">
        <v>40436</v>
      </c>
      <c r="O10840" t="s">
        <v>40437</v>
      </c>
      <c r="Q10840">
        <v>1</v>
      </c>
      <c r="R10840" t="s">
        <v>40451</v>
      </c>
      <c r="S10840" t="s">
        <v>41073</v>
      </c>
      <c r="T10840" t="s">
        <v>42153</v>
      </c>
      <c r="U10840" t="s">
        <v>51635</v>
      </c>
      <c r="W10840" t="s">
        <v>38079</v>
      </c>
      <c r="X10840" t="s">
        <v>40452</v>
      </c>
    </row>
    <row r="10841" spans="1:24">
      <c r="A10841">
        <f>HYPERLINK("https://www.philgeps.gov.ph/GEPSNONPILOT/Tender/SplashBidNoticeAbstractUI.aspx?menuIndex=3&amp;refID=7025667&amp;Result=3","7025667")</f>
        <v>0</v>
      </c>
      <c r="B10841" t="s">
        <v>2144</v>
      </c>
      <c r="C10841" t="s">
        <v>13436</v>
      </c>
      <c r="E10841" t="s">
        <v>25692</v>
      </c>
      <c r="F10841" t="s">
        <v>28198</v>
      </c>
      <c r="G10841" t="s">
        <v>28205</v>
      </c>
      <c r="H10841" t="s">
        <v>28215</v>
      </c>
      <c r="I10841" t="s">
        <v>28268</v>
      </c>
      <c r="J10841" t="s">
        <v>35062</v>
      </c>
      <c r="K10841" t="s">
        <v>36689</v>
      </c>
      <c r="M10841" t="s">
        <v>40092</v>
      </c>
      <c r="N10841" t="s">
        <v>40436</v>
      </c>
      <c r="O10841" t="s">
        <v>40437</v>
      </c>
      <c r="P10841">
        <v>0</v>
      </c>
      <c r="Q10841">
        <v>0</v>
      </c>
      <c r="R10841" t="s">
        <v>40451</v>
      </c>
      <c r="S10841" t="s">
        <v>41005</v>
      </c>
      <c r="T10841" t="s">
        <v>42228</v>
      </c>
      <c r="U10841" t="s">
        <v>51636</v>
      </c>
      <c r="W10841" t="s">
        <v>40092</v>
      </c>
      <c r="X10841" t="s">
        <v>40452</v>
      </c>
    </row>
    <row r="10842" spans="1:24">
      <c r="A10842">
        <f>HYPERLINK("https://www.philgeps.gov.ph/GEPSNONPILOT/Tender/SplashBidNoticeAbstractUI.aspx?menuIndex=3&amp;refID=7025624&amp;Result=3","7025624")</f>
        <v>0</v>
      </c>
      <c r="B10842" t="s">
        <v>2225</v>
      </c>
      <c r="C10842" t="s">
        <v>13437</v>
      </c>
      <c r="D10842" t="s">
        <v>16187</v>
      </c>
      <c r="E10842" t="s">
        <v>25693</v>
      </c>
      <c r="F10842" t="s">
        <v>28198</v>
      </c>
      <c r="G10842" t="s">
        <v>28205</v>
      </c>
      <c r="H10842" t="s">
        <v>28214</v>
      </c>
      <c r="I10842" t="s">
        <v>3797</v>
      </c>
      <c r="J10842" t="s">
        <v>32323</v>
      </c>
      <c r="K10842" t="s">
        <v>36767</v>
      </c>
      <c r="L10842" t="s">
        <v>2225</v>
      </c>
      <c r="M10842" t="s">
        <v>39392</v>
      </c>
      <c r="N10842" t="s">
        <v>40436</v>
      </c>
      <c r="O10842" t="s">
        <v>40437</v>
      </c>
      <c r="P10842">
        <v>0</v>
      </c>
      <c r="Q10842">
        <v>3</v>
      </c>
      <c r="R10842" t="s">
        <v>40451</v>
      </c>
      <c r="S10842" t="s">
        <v>41005</v>
      </c>
      <c r="T10842" t="s">
        <v>42126</v>
      </c>
      <c r="U10842" t="s">
        <v>51581</v>
      </c>
      <c r="W10842" t="s">
        <v>39392</v>
      </c>
      <c r="X10842" t="s">
        <v>40452</v>
      </c>
    </row>
    <row r="10843" spans="1:24">
      <c r="A10843">
        <f>HYPERLINK("https://www.philgeps.gov.ph/GEPSNONPILOT/Tender/SplashBidNoticeAbstractUI.aspx?menuIndex=3&amp;refID=7025650&amp;Result=3","7025650")</f>
        <v>0</v>
      </c>
      <c r="B10843" t="s">
        <v>2840</v>
      </c>
      <c r="C10843" t="s">
        <v>13438</v>
      </c>
      <c r="D10843" t="s">
        <v>16203</v>
      </c>
      <c r="E10843" t="s">
        <v>25694</v>
      </c>
      <c r="F10843" t="s">
        <v>28198</v>
      </c>
      <c r="G10843" t="s">
        <v>28205</v>
      </c>
      <c r="H10843" t="s">
        <v>28215</v>
      </c>
      <c r="I10843" t="s">
        <v>5100</v>
      </c>
      <c r="J10843" t="s">
        <v>35063</v>
      </c>
      <c r="K10843" t="s">
        <v>36715</v>
      </c>
      <c r="M10843" t="s">
        <v>40093</v>
      </c>
      <c r="N10843" t="s">
        <v>40436</v>
      </c>
      <c r="O10843" t="s">
        <v>40437</v>
      </c>
      <c r="P10843">
        <v>0</v>
      </c>
      <c r="Q10843">
        <v>0</v>
      </c>
      <c r="R10843" t="s">
        <v>40451</v>
      </c>
      <c r="S10843" t="s">
        <v>41005</v>
      </c>
      <c r="T10843" t="s">
        <v>42134</v>
      </c>
      <c r="U10843" t="s">
        <v>51637</v>
      </c>
      <c r="V10843" t="s">
        <v>54979</v>
      </c>
      <c r="W10843" t="s">
        <v>40093</v>
      </c>
      <c r="X10843" t="s">
        <v>40452</v>
      </c>
    </row>
    <row r="10844" spans="1:24">
      <c r="A10844">
        <f>HYPERLINK("https://www.philgeps.gov.ph/GEPSNONPILOT/Tender/SplashBidNoticeAbstractUI.aspx?menuIndex=3&amp;refID=7025627&amp;Result=3","7025627")</f>
        <v>0</v>
      </c>
      <c r="B10844" t="s">
        <v>1729</v>
      </c>
      <c r="C10844" t="s">
        <v>13439</v>
      </c>
      <c r="D10844" t="s">
        <v>16249</v>
      </c>
      <c r="E10844" t="s">
        <v>25695</v>
      </c>
      <c r="F10844" t="s">
        <v>28198</v>
      </c>
      <c r="G10844" t="s">
        <v>28205</v>
      </c>
      <c r="H10844" t="s">
        <v>28215</v>
      </c>
      <c r="I10844" t="s">
        <v>28274</v>
      </c>
      <c r="J10844" t="s">
        <v>35064</v>
      </c>
      <c r="K10844" t="s">
        <v>36801</v>
      </c>
      <c r="M10844" t="s">
        <v>38838</v>
      </c>
      <c r="N10844" t="s">
        <v>40436</v>
      </c>
      <c r="O10844" t="s">
        <v>40437</v>
      </c>
      <c r="P10844">
        <v>0</v>
      </c>
      <c r="Q10844">
        <v>2</v>
      </c>
      <c r="R10844" t="s">
        <v>40451</v>
      </c>
      <c r="S10844" t="s">
        <v>41005</v>
      </c>
      <c r="T10844" t="s">
        <v>42133</v>
      </c>
      <c r="U10844" t="s">
        <v>51638</v>
      </c>
      <c r="W10844" t="s">
        <v>55493</v>
      </c>
      <c r="X10844" t="s">
        <v>40452</v>
      </c>
    </row>
    <row r="10845" spans="1:24">
      <c r="A10845">
        <f>HYPERLINK("https://www.philgeps.gov.ph/GEPSNONPILOT/Tender/SplashBidNoticeAbstractUI.aspx?menuIndex=3&amp;refID=7025707&amp;Result=3","7025707")</f>
        <v>0</v>
      </c>
      <c r="B10845" t="s">
        <v>2841</v>
      </c>
      <c r="C10845" t="s">
        <v>13440</v>
      </c>
      <c r="D10845" t="s">
        <v>16219</v>
      </c>
      <c r="E10845" t="s">
        <v>25696</v>
      </c>
      <c r="F10845" t="s">
        <v>28198</v>
      </c>
      <c r="G10845" t="s">
        <v>28205</v>
      </c>
      <c r="H10845" t="s">
        <v>28215</v>
      </c>
      <c r="I10845" t="s">
        <v>28222</v>
      </c>
      <c r="J10845" t="s">
        <v>28424</v>
      </c>
      <c r="K10845" t="s">
        <v>36696</v>
      </c>
      <c r="M10845" t="s">
        <v>40094</v>
      </c>
      <c r="N10845" t="s">
        <v>40436</v>
      </c>
      <c r="O10845" t="s">
        <v>40437</v>
      </c>
      <c r="P10845">
        <v>0</v>
      </c>
      <c r="Q10845">
        <v>5</v>
      </c>
      <c r="R10845" t="s">
        <v>40451</v>
      </c>
      <c r="S10845" t="s">
        <v>41005</v>
      </c>
      <c r="T10845" t="s">
        <v>42133</v>
      </c>
      <c r="U10845" t="s">
        <v>51639</v>
      </c>
      <c r="W10845" t="s">
        <v>40094</v>
      </c>
      <c r="X10845" t="s">
        <v>40452</v>
      </c>
    </row>
    <row r="10846" spans="1:24">
      <c r="A10846">
        <f>HYPERLINK("https://www.philgeps.gov.ph/GEPSNONPILOT/Tender/SplashBidNoticeAbstractUI.aspx?menuIndex=3&amp;refID=7025631&amp;Result=3","7025631")</f>
        <v>0</v>
      </c>
      <c r="B10846" t="s">
        <v>2384</v>
      </c>
      <c r="C10846" t="s">
        <v>13441</v>
      </c>
      <c r="D10846" t="s">
        <v>16227</v>
      </c>
      <c r="E10846" t="s">
        <v>25697</v>
      </c>
      <c r="F10846" t="s">
        <v>28198</v>
      </c>
      <c r="G10846" t="s">
        <v>28205</v>
      </c>
      <c r="H10846" t="s">
        <v>28214</v>
      </c>
      <c r="I10846" t="s">
        <v>3797</v>
      </c>
      <c r="J10846" t="s">
        <v>35065</v>
      </c>
      <c r="K10846" t="s">
        <v>36701</v>
      </c>
      <c r="M10846" t="s">
        <v>39568</v>
      </c>
      <c r="N10846" t="s">
        <v>40436</v>
      </c>
      <c r="O10846" t="s">
        <v>40437</v>
      </c>
      <c r="P10846">
        <v>0</v>
      </c>
      <c r="Q10846">
        <v>2</v>
      </c>
      <c r="R10846" t="s">
        <v>40451</v>
      </c>
      <c r="S10846" t="s">
        <v>41005</v>
      </c>
      <c r="T10846" t="s">
        <v>42243</v>
      </c>
      <c r="U10846" t="s">
        <v>51640</v>
      </c>
      <c r="W10846" t="s">
        <v>39568</v>
      </c>
      <c r="X10846" t="s">
        <v>40452</v>
      </c>
    </row>
    <row r="10847" spans="1:24">
      <c r="A10847">
        <f>HYPERLINK("https://www.philgeps.gov.ph/GEPSNONPILOT/Tender/SplashBidNoticeAbstractUI.aspx?menuIndex=3&amp;refID=7025696&amp;Result=3","7025696")</f>
        <v>0</v>
      </c>
      <c r="B10847" t="s">
        <v>2842</v>
      </c>
      <c r="C10847" t="s">
        <v>13442</v>
      </c>
      <c r="D10847" t="s">
        <v>16230</v>
      </c>
      <c r="E10847" t="s">
        <v>17572</v>
      </c>
      <c r="F10847" t="s">
        <v>28200</v>
      </c>
      <c r="G10847" t="s">
        <v>28205</v>
      </c>
      <c r="H10847" t="s">
        <v>28215</v>
      </c>
      <c r="I10847" t="s">
        <v>5100</v>
      </c>
      <c r="J10847" t="s">
        <v>35066</v>
      </c>
      <c r="K10847" t="s">
        <v>36694</v>
      </c>
      <c r="M10847" t="s">
        <v>40095</v>
      </c>
      <c r="N10847" t="s">
        <v>40436</v>
      </c>
      <c r="O10847" t="s">
        <v>40437</v>
      </c>
      <c r="P10847">
        <v>0</v>
      </c>
      <c r="Q10847">
        <v>2</v>
      </c>
      <c r="R10847" t="s">
        <v>40451</v>
      </c>
      <c r="S10847" t="s">
        <v>41005</v>
      </c>
      <c r="T10847" t="s">
        <v>42184</v>
      </c>
      <c r="U10847" t="s">
        <v>51641</v>
      </c>
      <c r="W10847" t="s">
        <v>40095</v>
      </c>
      <c r="X10847" t="s">
        <v>40452</v>
      </c>
    </row>
    <row r="10848" spans="1:24">
      <c r="A10848">
        <f>HYPERLINK("https://www.philgeps.gov.ph/GEPSNONPILOT/Tender/SplashBidNoticeAbstractUI.aspx?menuIndex=3&amp;refID=7025704&amp;Result=3","7025704")</f>
        <v>0</v>
      </c>
      <c r="B10848" t="s">
        <v>1046</v>
      </c>
      <c r="C10848" t="s">
        <v>13443</v>
      </c>
      <c r="E10848" t="s">
        <v>25698</v>
      </c>
      <c r="F10848" t="s">
        <v>28198</v>
      </c>
      <c r="G10848" t="s">
        <v>28205</v>
      </c>
      <c r="H10848" t="s">
        <v>28214</v>
      </c>
      <c r="I10848" t="s">
        <v>3797</v>
      </c>
      <c r="J10848" t="s">
        <v>35067</v>
      </c>
      <c r="K10848" t="s">
        <v>36689</v>
      </c>
      <c r="M10848" t="s">
        <v>38079</v>
      </c>
      <c r="N10848" t="s">
        <v>40436</v>
      </c>
      <c r="O10848" t="s">
        <v>40437</v>
      </c>
      <c r="Q10848">
        <v>2</v>
      </c>
      <c r="R10848" t="s">
        <v>40451</v>
      </c>
      <c r="S10848" t="s">
        <v>41074</v>
      </c>
      <c r="T10848" t="s">
        <v>42097</v>
      </c>
      <c r="U10848" t="s">
        <v>51642</v>
      </c>
      <c r="W10848" t="s">
        <v>38079</v>
      </c>
      <c r="X10848" t="s">
        <v>40452</v>
      </c>
    </row>
    <row r="10849" spans="1:24">
      <c r="A10849">
        <f>HYPERLINK("https://www.philgeps.gov.ph/GEPSNONPILOT/Tender/SplashBidNoticeAbstractUI.aspx?menuIndex=3&amp;refID=7025688&amp;Result=3","7025688")</f>
        <v>0</v>
      </c>
      <c r="B10849" t="s">
        <v>181</v>
      </c>
      <c r="C10849" t="s">
        <v>13444</v>
      </c>
      <c r="D10849" t="s">
        <v>16209</v>
      </c>
      <c r="E10849" t="s">
        <v>17900</v>
      </c>
      <c r="F10849" t="s">
        <v>28198</v>
      </c>
      <c r="G10849" t="s">
        <v>28205</v>
      </c>
      <c r="H10849" t="s">
        <v>28214</v>
      </c>
      <c r="I10849" t="s">
        <v>3797</v>
      </c>
      <c r="J10849" t="s">
        <v>28361</v>
      </c>
      <c r="K10849" t="s">
        <v>36697</v>
      </c>
      <c r="M10849" t="s">
        <v>37156</v>
      </c>
      <c r="N10849" t="s">
        <v>40436</v>
      </c>
      <c r="O10849" t="s">
        <v>40437</v>
      </c>
      <c r="P10849">
        <v>0</v>
      </c>
      <c r="Q10849">
        <v>0</v>
      </c>
      <c r="R10849" t="s">
        <v>40451</v>
      </c>
      <c r="S10849" t="s">
        <v>41005</v>
      </c>
      <c r="T10849" t="s">
        <v>42136</v>
      </c>
      <c r="U10849" t="s">
        <v>42915</v>
      </c>
      <c r="W10849" t="s">
        <v>37156</v>
      </c>
      <c r="X10849" t="s">
        <v>40452</v>
      </c>
    </row>
    <row r="10850" spans="1:24">
      <c r="A10850">
        <f>HYPERLINK("https://www.philgeps.gov.ph/GEPSNONPILOT/Tender/SplashBidNoticeAbstractUI.aspx?menuIndex=3&amp;refID=7025706&amp;Result=3","7025706")</f>
        <v>0</v>
      </c>
      <c r="B10850" t="s">
        <v>2786</v>
      </c>
      <c r="C10850" t="s">
        <v>13445</v>
      </c>
      <c r="D10850" t="s">
        <v>16243</v>
      </c>
      <c r="E10850" t="s">
        <v>25699</v>
      </c>
      <c r="F10850" t="s">
        <v>28198</v>
      </c>
      <c r="G10850" t="s">
        <v>28205</v>
      </c>
      <c r="H10850" t="s">
        <v>28215</v>
      </c>
      <c r="I10850" t="s">
        <v>8888</v>
      </c>
      <c r="J10850" t="s">
        <v>35068</v>
      </c>
      <c r="K10850" t="s">
        <v>36701</v>
      </c>
      <c r="M10850" t="s">
        <v>40035</v>
      </c>
      <c r="N10850" t="s">
        <v>40436</v>
      </c>
      <c r="O10850" t="s">
        <v>40437</v>
      </c>
      <c r="P10850">
        <v>0</v>
      </c>
      <c r="Q10850">
        <v>5</v>
      </c>
      <c r="R10850" t="s">
        <v>40451</v>
      </c>
      <c r="S10850" t="s">
        <v>41005</v>
      </c>
      <c r="T10850" t="s">
        <v>42287</v>
      </c>
      <c r="U10850" t="s">
        <v>51643</v>
      </c>
      <c r="W10850" t="s">
        <v>40035</v>
      </c>
      <c r="X10850" t="s">
        <v>40452</v>
      </c>
    </row>
    <row r="10851" spans="1:24">
      <c r="A10851">
        <f>HYPERLINK("https://www.philgeps.gov.ph/GEPSNONPILOT/Tender/SplashBidNoticeAbstractUI.aspx?menuIndex=3&amp;refID=7025698&amp;Result=3","7025698")</f>
        <v>0</v>
      </c>
      <c r="B10851" t="s">
        <v>2225</v>
      </c>
      <c r="C10851" t="s">
        <v>13446</v>
      </c>
      <c r="D10851" t="s">
        <v>16187</v>
      </c>
      <c r="E10851" t="s">
        <v>25700</v>
      </c>
      <c r="F10851" t="s">
        <v>28198</v>
      </c>
      <c r="G10851" t="s">
        <v>28205</v>
      </c>
      <c r="H10851" t="s">
        <v>28214</v>
      </c>
      <c r="I10851" t="s">
        <v>3797</v>
      </c>
      <c r="J10851" t="s">
        <v>35069</v>
      </c>
      <c r="K10851" t="s">
        <v>36697</v>
      </c>
      <c r="L10851" t="s">
        <v>2225</v>
      </c>
      <c r="M10851" t="s">
        <v>39392</v>
      </c>
      <c r="N10851" t="s">
        <v>40436</v>
      </c>
      <c r="O10851" t="s">
        <v>40437</v>
      </c>
      <c r="P10851">
        <v>0</v>
      </c>
      <c r="Q10851">
        <v>1</v>
      </c>
      <c r="R10851" t="s">
        <v>40451</v>
      </c>
      <c r="S10851" t="s">
        <v>41005</v>
      </c>
      <c r="T10851" t="s">
        <v>42126</v>
      </c>
      <c r="U10851" t="s">
        <v>51581</v>
      </c>
      <c r="W10851" t="s">
        <v>39392</v>
      </c>
      <c r="X10851" t="s">
        <v>40452</v>
      </c>
    </row>
    <row r="10852" spans="1:24">
      <c r="A10852">
        <f>HYPERLINK("https://www.philgeps.gov.ph/GEPSNONPILOT/Tender/SplashBidNoticeAbstractUI.aspx?menuIndex=3&amp;refID=7025728&amp;Result=3","7025728")</f>
        <v>0</v>
      </c>
      <c r="B10852" t="s">
        <v>1046</v>
      </c>
      <c r="C10852" t="s">
        <v>13447</v>
      </c>
      <c r="E10852" t="s">
        <v>25701</v>
      </c>
      <c r="F10852" t="s">
        <v>28198</v>
      </c>
      <c r="G10852" t="s">
        <v>28205</v>
      </c>
      <c r="H10852" t="s">
        <v>28214</v>
      </c>
      <c r="I10852" t="s">
        <v>3797</v>
      </c>
      <c r="J10852" t="s">
        <v>35070</v>
      </c>
      <c r="K10852" t="s">
        <v>36689</v>
      </c>
      <c r="M10852" t="s">
        <v>38079</v>
      </c>
      <c r="N10852" t="s">
        <v>40436</v>
      </c>
      <c r="O10852" t="s">
        <v>40437</v>
      </c>
      <c r="Q10852">
        <v>4</v>
      </c>
      <c r="R10852" t="s">
        <v>40451</v>
      </c>
      <c r="S10852" t="s">
        <v>41075</v>
      </c>
      <c r="T10852" t="s">
        <v>42144</v>
      </c>
      <c r="U10852" t="s">
        <v>51644</v>
      </c>
      <c r="W10852" t="s">
        <v>38079</v>
      </c>
      <c r="X10852" t="s">
        <v>40452</v>
      </c>
    </row>
    <row r="10853" spans="1:24">
      <c r="A10853">
        <f>HYPERLINK("https://www.philgeps.gov.ph/GEPSNONPILOT/Tender/SplashBidNoticeAbstractUI.aspx?menuIndex=3&amp;refID=7025730&amp;Result=3","7025730")</f>
        <v>0</v>
      </c>
      <c r="B10853" t="s">
        <v>2261</v>
      </c>
      <c r="C10853" t="s">
        <v>13448</v>
      </c>
      <c r="D10853" t="s">
        <v>16212</v>
      </c>
      <c r="E10853" t="s">
        <v>25702</v>
      </c>
      <c r="F10853" t="s">
        <v>28198</v>
      </c>
      <c r="G10853" t="s">
        <v>28205</v>
      </c>
      <c r="H10853" t="s">
        <v>28215</v>
      </c>
      <c r="I10853" t="s">
        <v>28279</v>
      </c>
      <c r="J10853" t="s">
        <v>30741</v>
      </c>
      <c r="K10853" t="s">
        <v>36706</v>
      </c>
      <c r="M10853" t="s">
        <v>39431</v>
      </c>
      <c r="N10853" t="s">
        <v>40436</v>
      </c>
      <c r="O10853" t="s">
        <v>40437</v>
      </c>
      <c r="P10853">
        <v>0</v>
      </c>
      <c r="Q10853">
        <v>0</v>
      </c>
      <c r="R10853" t="s">
        <v>40451</v>
      </c>
      <c r="S10853" t="s">
        <v>41005</v>
      </c>
      <c r="T10853" t="s">
        <v>42158</v>
      </c>
      <c r="U10853" t="s">
        <v>51645</v>
      </c>
      <c r="V10853" t="s">
        <v>54980</v>
      </c>
      <c r="W10853" t="s">
        <v>39431</v>
      </c>
      <c r="X10853" t="s">
        <v>40452</v>
      </c>
    </row>
    <row r="10854" spans="1:24">
      <c r="A10854">
        <f>HYPERLINK("https://www.philgeps.gov.ph/GEPSNONPILOT/Tender/SplashBidNoticeAbstractUI.aspx?menuIndex=3&amp;refID=7025679&amp;Result=3","7025679")</f>
        <v>0</v>
      </c>
      <c r="B10854" t="s">
        <v>2843</v>
      </c>
      <c r="C10854" t="s">
        <v>4341</v>
      </c>
      <c r="D10854" t="s">
        <v>16218</v>
      </c>
      <c r="E10854" t="s">
        <v>25703</v>
      </c>
      <c r="F10854" t="s">
        <v>28198</v>
      </c>
      <c r="G10854" t="s">
        <v>28205</v>
      </c>
      <c r="H10854" t="s">
        <v>28214</v>
      </c>
      <c r="I10854" t="s">
        <v>3797</v>
      </c>
      <c r="J10854" t="s">
        <v>35071</v>
      </c>
      <c r="K10854" t="s">
        <v>36757</v>
      </c>
      <c r="M10854" t="s">
        <v>40096</v>
      </c>
      <c r="N10854" t="s">
        <v>40436</v>
      </c>
      <c r="O10854" t="s">
        <v>40437</v>
      </c>
      <c r="P10854">
        <v>0</v>
      </c>
      <c r="Q10854">
        <v>0</v>
      </c>
      <c r="R10854" t="s">
        <v>40451</v>
      </c>
      <c r="S10854" t="s">
        <v>41005</v>
      </c>
      <c r="T10854" t="s">
        <v>42295</v>
      </c>
      <c r="U10854" t="s">
        <v>51646</v>
      </c>
      <c r="W10854" t="s">
        <v>55536</v>
      </c>
      <c r="X10854" t="s">
        <v>40452</v>
      </c>
    </row>
    <row r="10855" spans="1:24">
      <c r="A10855">
        <f>HYPERLINK("https://www.philgeps.gov.ph/GEPSNONPILOT/Tender/SplashBidNoticeAbstractUI.aspx?menuIndex=3&amp;refID=7025687&amp;Result=3","7025687")</f>
        <v>0</v>
      </c>
      <c r="B10855" t="s">
        <v>2381</v>
      </c>
      <c r="C10855" t="s">
        <v>13449</v>
      </c>
      <c r="D10855" t="s">
        <v>16243</v>
      </c>
      <c r="E10855" t="s">
        <v>25704</v>
      </c>
      <c r="F10855" t="s">
        <v>28198</v>
      </c>
      <c r="G10855" t="s">
        <v>28211</v>
      </c>
      <c r="H10855" t="s">
        <v>28216</v>
      </c>
      <c r="I10855" t="s">
        <v>3797</v>
      </c>
      <c r="J10855" t="s">
        <v>28626</v>
      </c>
      <c r="K10855" t="s">
        <v>36694</v>
      </c>
      <c r="M10855" t="s">
        <v>39641</v>
      </c>
      <c r="N10855" t="s">
        <v>40436</v>
      </c>
      <c r="O10855" t="s">
        <v>40437</v>
      </c>
      <c r="P10855">
        <v>0</v>
      </c>
      <c r="Q10855">
        <v>0</v>
      </c>
      <c r="R10855" t="s">
        <v>40451</v>
      </c>
      <c r="S10855" t="s">
        <v>41005</v>
      </c>
      <c r="T10855" t="s">
        <v>42278</v>
      </c>
      <c r="U10855" t="s">
        <v>51647</v>
      </c>
      <c r="W10855" t="s">
        <v>39641</v>
      </c>
      <c r="X10855" t="s">
        <v>40452</v>
      </c>
    </row>
    <row r="10856" spans="1:24">
      <c r="A10856">
        <f>HYPERLINK("https://www.philgeps.gov.ph/GEPSNONPILOT/Tender/SplashBidNoticeAbstractUI.aspx?menuIndex=3&amp;refID=7025731&amp;Result=3","7025731")</f>
        <v>0</v>
      </c>
      <c r="B10856" t="s">
        <v>2225</v>
      </c>
      <c r="C10856" t="s">
        <v>13450</v>
      </c>
      <c r="D10856" t="s">
        <v>16187</v>
      </c>
      <c r="E10856" t="s">
        <v>25705</v>
      </c>
      <c r="F10856" t="s">
        <v>28198</v>
      </c>
      <c r="G10856" t="s">
        <v>28205</v>
      </c>
      <c r="H10856" t="s">
        <v>28214</v>
      </c>
      <c r="I10856" t="s">
        <v>3797</v>
      </c>
      <c r="J10856" t="s">
        <v>29552</v>
      </c>
      <c r="K10856" t="s">
        <v>36697</v>
      </c>
      <c r="L10856" t="s">
        <v>2225</v>
      </c>
      <c r="M10856" t="s">
        <v>39392</v>
      </c>
      <c r="N10856" t="s">
        <v>40436</v>
      </c>
      <c r="O10856" t="s">
        <v>40437</v>
      </c>
      <c r="P10856">
        <v>0</v>
      </c>
      <c r="Q10856">
        <v>0</v>
      </c>
      <c r="R10856" t="s">
        <v>40451</v>
      </c>
      <c r="S10856" t="s">
        <v>41005</v>
      </c>
      <c r="T10856" t="s">
        <v>42126</v>
      </c>
      <c r="U10856" t="s">
        <v>51581</v>
      </c>
      <c r="W10856" t="s">
        <v>39392</v>
      </c>
      <c r="X10856" t="s">
        <v>40452</v>
      </c>
    </row>
    <row r="10857" spans="1:24">
      <c r="A10857">
        <f>HYPERLINK("https://www.philgeps.gov.ph/GEPSNONPILOT/Tender/SplashBidNoticeAbstractUI.aspx?menuIndex=3&amp;refID=7025673&amp;Result=3","7025673")</f>
        <v>0</v>
      </c>
      <c r="B10857" t="s">
        <v>1021</v>
      </c>
      <c r="C10857" t="s">
        <v>13451</v>
      </c>
      <c r="D10857" t="s">
        <v>16204</v>
      </c>
      <c r="E10857" t="s">
        <v>25706</v>
      </c>
      <c r="F10857" t="s">
        <v>28198</v>
      </c>
      <c r="G10857" t="s">
        <v>28205</v>
      </c>
      <c r="H10857" t="s">
        <v>28214</v>
      </c>
      <c r="I10857" t="s">
        <v>3797</v>
      </c>
      <c r="J10857" t="s">
        <v>29163</v>
      </c>
      <c r="K10857" t="s">
        <v>36690</v>
      </c>
      <c r="M10857" t="s">
        <v>38052</v>
      </c>
      <c r="N10857" t="s">
        <v>40436</v>
      </c>
      <c r="O10857" t="s">
        <v>40437</v>
      </c>
      <c r="P10857">
        <v>0</v>
      </c>
      <c r="Q10857">
        <v>30</v>
      </c>
      <c r="R10857" t="s">
        <v>40451</v>
      </c>
      <c r="S10857" t="s">
        <v>41005</v>
      </c>
      <c r="T10857" t="s">
        <v>42133</v>
      </c>
      <c r="U10857" t="s">
        <v>51648</v>
      </c>
      <c r="V10857" t="s">
        <v>54048</v>
      </c>
      <c r="W10857" t="s">
        <v>38052</v>
      </c>
      <c r="X10857" t="s">
        <v>40452</v>
      </c>
    </row>
    <row r="10858" spans="1:24">
      <c r="A10858">
        <f>HYPERLINK("https://www.philgeps.gov.ph/GEPSNONPILOT/Tender/SplashBidNoticeAbstractUI.aspx?menuIndex=3&amp;refID=7025725&amp;Result=3","7025725")</f>
        <v>0</v>
      </c>
      <c r="B10858" t="s">
        <v>2843</v>
      </c>
      <c r="C10858" t="s">
        <v>13452</v>
      </c>
      <c r="D10858" t="s">
        <v>16218</v>
      </c>
      <c r="E10858" t="s">
        <v>25707</v>
      </c>
      <c r="F10858" t="s">
        <v>28198</v>
      </c>
      <c r="G10858" t="s">
        <v>28205</v>
      </c>
      <c r="H10858" t="s">
        <v>28215</v>
      </c>
      <c r="I10858" t="s">
        <v>5100</v>
      </c>
      <c r="J10858" t="s">
        <v>35072</v>
      </c>
      <c r="K10858" t="s">
        <v>36736</v>
      </c>
      <c r="M10858" t="s">
        <v>40096</v>
      </c>
      <c r="N10858" t="s">
        <v>40436</v>
      </c>
      <c r="O10858" t="s">
        <v>40437</v>
      </c>
      <c r="P10858">
        <v>0</v>
      </c>
      <c r="Q10858">
        <v>0</v>
      </c>
      <c r="R10858" t="s">
        <v>40451</v>
      </c>
      <c r="S10858" t="s">
        <v>41005</v>
      </c>
      <c r="T10858" t="s">
        <v>42455</v>
      </c>
      <c r="U10858" t="s">
        <v>51649</v>
      </c>
      <c r="W10858" t="s">
        <v>55536</v>
      </c>
      <c r="X10858" t="s">
        <v>40452</v>
      </c>
    </row>
    <row r="10859" spans="1:24">
      <c r="A10859">
        <f>HYPERLINK("https://www.philgeps.gov.ph/GEPSNONPILOT/Tender/SplashBidNoticeAbstractUI.aspx?menuIndex=3&amp;refID=7025695&amp;Result=3","7025695")</f>
        <v>0</v>
      </c>
      <c r="B10859" t="s">
        <v>2843</v>
      </c>
      <c r="C10859" t="s">
        <v>13453</v>
      </c>
      <c r="D10859" t="s">
        <v>16218</v>
      </c>
      <c r="E10859" t="s">
        <v>25708</v>
      </c>
      <c r="F10859" t="s">
        <v>28198</v>
      </c>
      <c r="G10859" t="s">
        <v>28205</v>
      </c>
      <c r="H10859" t="s">
        <v>28215</v>
      </c>
      <c r="I10859" t="s">
        <v>5100</v>
      </c>
      <c r="J10859" t="s">
        <v>35073</v>
      </c>
      <c r="K10859" t="s">
        <v>36810</v>
      </c>
      <c r="M10859" t="s">
        <v>40096</v>
      </c>
      <c r="N10859" t="s">
        <v>40436</v>
      </c>
      <c r="O10859" t="s">
        <v>40437</v>
      </c>
      <c r="P10859">
        <v>0</v>
      </c>
      <c r="Q10859">
        <v>0</v>
      </c>
      <c r="R10859" t="s">
        <v>40451</v>
      </c>
      <c r="S10859" t="s">
        <v>41005</v>
      </c>
      <c r="T10859" t="s">
        <v>42233</v>
      </c>
      <c r="U10859" t="s">
        <v>51650</v>
      </c>
      <c r="W10859" t="s">
        <v>55536</v>
      </c>
      <c r="X10859" t="s">
        <v>40452</v>
      </c>
    </row>
    <row r="10860" spans="1:24">
      <c r="A10860">
        <f>HYPERLINK("https://www.philgeps.gov.ph/GEPSNONPILOT/Tender/SplashBidNoticeAbstractUI.aspx?menuIndex=3&amp;refID=7025694&amp;Result=3","7025694")</f>
        <v>0</v>
      </c>
      <c r="B10860" t="s">
        <v>1330</v>
      </c>
      <c r="C10860" t="s">
        <v>13454</v>
      </c>
      <c r="D10860" t="s">
        <v>16262</v>
      </c>
      <c r="E10860" t="s">
        <v>25709</v>
      </c>
      <c r="F10860" t="s">
        <v>28198</v>
      </c>
      <c r="G10860" t="s">
        <v>28205</v>
      </c>
      <c r="H10860" t="s">
        <v>28215</v>
      </c>
      <c r="I10860" t="s">
        <v>5082</v>
      </c>
      <c r="J10860" t="s">
        <v>35074</v>
      </c>
      <c r="K10860" t="s">
        <v>36706</v>
      </c>
      <c r="M10860" t="s">
        <v>38388</v>
      </c>
      <c r="N10860" t="s">
        <v>40436</v>
      </c>
      <c r="O10860" t="s">
        <v>40437</v>
      </c>
      <c r="P10860">
        <v>0</v>
      </c>
      <c r="Q10860">
        <v>2</v>
      </c>
      <c r="R10860" t="s">
        <v>40451</v>
      </c>
      <c r="S10860" t="s">
        <v>41005</v>
      </c>
      <c r="T10860" t="s">
        <v>42469</v>
      </c>
      <c r="U10860" t="s">
        <v>51651</v>
      </c>
      <c r="W10860" t="s">
        <v>38388</v>
      </c>
      <c r="X10860" t="s">
        <v>40452</v>
      </c>
    </row>
    <row r="10861" spans="1:24">
      <c r="A10861">
        <f>HYPERLINK("https://www.philgeps.gov.ph/GEPSNONPILOT/Tender/SplashBidNoticeAbstractUI.aspx?menuIndex=3&amp;refID=7025717&amp;Result=3","7025717")</f>
        <v>0</v>
      </c>
      <c r="B10861" t="s">
        <v>2225</v>
      </c>
      <c r="C10861" t="s">
        <v>13455</v>
      </c>
      <c r="D10861" t="s">
        <v>16187</v>
      </c>
      <c r="E10861" t="s">
        <v>25710</v>
      </c>
      <c r="F10861" t="s">
        <v>28198</v>
      </c>
      <c r="G10861" t="s">
        <v>28205</v>
      </c>
      <c r="H10861" t="s">
        <v>28214</v>
      </c>
      <c r="I10861" t="s">
        <v>3797</v>
      </c>
      <c r="J10861" t="s">
        <v>31204</v>
      </c>
      <c r="K10861" t="s">
        <v>36697</v>
      </c>
      <c r="L10861" t="s">
        <v>2225</v>
      </c>
      <c r="M10861" t="s">
        <v>39392</v>
      </c>
      <c r="N10861" t="s">
        <v>40436</v>
      </c>
      <c r="O10861" t="s">
        <v>40437</v>
      </c>
      <c r="P10861">
        <v>0</v>
      </c>
      <c r="Q10861">
        <v>1</v>
      </c>
      <c r="R10861" t="s">
        <v>40451</v>
      </c>
      <c r="S10861" t="s">
        <v>41005</v>
      </c>
      <c r="T10861" t="s">
        <v>42126</v>
      </c>
      <c r="U10861" t="s">
        <v>51581</v>
      </c>
      <c r="W10861" t="s">
        <v>39392</v>
      </c>
      <c r="X10861" t="s">
        <v>40452</v>
      </c>
    </row>
    <row r="10862" spans="1:24">
      <c r="A10862">
        <f>HYPERLINK("https://www.philgeps.gov.ph/GEPSNONPILOT/Tender/SplashBidNoticeAbstractUI.aspx?menuIndex=3&amp;refID=7025668&amp;Result=3","7025668")</f>
        <v>0</v>
      </c>
      <c r="B10862" t="s">
        <v>2225</v>
      </c>
      <c r="C10862" t="s">
        <v>13456</v>
      </c>
      <c r="D10862" t="s">
        <v>16187</v>
      </c>
      <c r="E10862" t="s">
        <v>25711</v>
      </c>
      <c r="F10862" t="s">
        <v>28198</v>
      </c>
      <c r="G10862" t="s">
        <v>28205</v>
      </c>
      <c r="H10862" t="s">
        <v>28214</v>
      </c>
      <c r="I10862" t="s">
        <v>3797</v>
      </c>
      <c r="J10862" t="s">
        <v>32342</v>
      </c>
      <c r="K10862" t="s">
        <v>36697</v>
      </c>
      <c r="L10862" t="s">
        <v>2225</v>
      </c>
      <c r="M10862" t="s">
        <v>39392</v>
      </c>
      <c r="N10862" t="s">
        <v>40436</v>
      </c>
      <c r="O10862" t="s">
        <v>40437</v>
      </c>
      <c r="P10862">
        <v>0</v>
      </c>
      <c r="Q10862">
        <v>1</v>
      </c>
      <c r="R10862" t="s">
        <v>40451</v>
      </c>
      <c r="S10862" t="s">
        <v>41005</v>
      </c>
      <c r="T10862" t="s">
        <v>42126</v>
      </c>
      <c r="U10862" t="s">
        <v>51581</v>
      </c>
      <c r="W10862" t="s">
        <v>39392</v>
      </c>
      <c r="X10862" t="s">
        <v>40452</v>
      </c>
    </row>
    <row r="10863" spans="1:24">
      <c r="A10863">
        <f>HYPERLINK("https://www.philgeps.gov.ph/GEPSNONPILOT/Tender/SplashBidNoticeAbstractUI.aspx?menuIndex=3&amp;refID=7025714&amp;Result=3","7025714")</f>
        <v>0</v>
      </c>
      <c r="B10863" t="s">
        <v>181</v>
      </c>
      <c r="C10863" t="s">
        <v>13457</v>
      </c>
      <c r="D10863" t="s">
        <v>16209</v>
      </c>
      <c r="E10863" t="s">
        <v>20114</v>
      </c>
      <c r="F10863" t="s">
        <v>28198</v>
      </c>
      <c r="G10863" t="s">
        <v>28205</v>
      </c>
      <c r="H10863" t="s">
        <v>28214</v>
      </c>
      <c r="I10863" t="s">
        <v>3797</v>
      </c>
      <c r="J10863" t="s">
        <v>29346</v>
      </c>
      <c r="K10863" t="s">
        <v>36694</v>
      </c>
      <c r="M10863" t="s">
        <v>37156</v>
      </c>
      <c r="N10863" t="s">
        <v>40436</v>
      </c>
      <c r="O10863" t="s">
        <v>40437</v>
      </c>
      <c r="P10863">
        <v>0</v>
      </c>
      <c r="Q10863">
        <v>0</v>
      </c>
      <c r="R10863" t="s">
        <v>40451</v>
      </c>
      <c r="S10863" t="s">
        <v>41005</v>
      </c>
      <c r="T10863" t="s">
        <v>42136</v>
      </c>
      <c r="U10863" t="s">
        <v>42915</v>
      </c>
      <c r="W10863" t="s">
        <v>37156</v>
      </c>
      <c r="X10863" t="s">
        <v>40452</v>
      </c>
    </row>
    <row r="10864" spans="1:24">
      <c r="A10864">
        <f>HYPERLINK("https://www.philgeps.gov.ph/GEPSNONPILOT/Tender/SplashBidNoticeAbstractUI.aspx?menuIndex=3&amp;refID=7025721&amp;Result=3","7025721")</f>
        <v>0</v>
      </c>
      <c r="B10864" t="s">
        <v>1021</v>
      </c>
      <c r="C10864" t="s">
        <v>13458</v>
      </c>
      <c r="D10864" t="s">
        <v>16204</v>
      </c>
      <c r="E10864" t="s">
        <v>25712</v>
      </c>
      <c r="F10864" t="s">
        <v>28198</v>
      </c>
      <c r="G10864" t="s">
        <v>28205</v>
      </c>
      <c r="H10864" t="s">
        <v>28214</v>
      </c>
      <c r="I10864" t="s">
        <v>3797</v>
      </c>
      <c r="J10864" t="s">
        <v>31508</v>
      </c>
      <c r="K10864" t="s">
        <v>36694</v>
      </c>
      <c r="M10864" t="s">
        <v>38052</v>
      </c>
      <c r="N10864" t="s">
        <v>40436</v>
      </c>
      <c r="O10864" t="s">
        <v>40437</v>
      </c>
      <c r="P10864">
        <v>0</v>
      </c>
      <c r="Q10864">
        <v>25</v>
      </c>
      <c r="R10864" t="s">
        <v>40451</v>
      </c>
      <c r="S10864" t="s">
        <v>41005</v>
      </c>
      <c r="T10864" t="s">
        <v>42133</v>
      </c>
      <c r="U10864" t="s">
        <v>44707</v>
      </c>
      <c r="V10864" t="s">
        <v>54048</v>
      </c>
      <c r="W10864" t="s">
        <v>38052</v>
      </c>
      <c r="X10864" t="s">
        <v>40452</v>
      </c>
    </row>
    <row r="10865" spans="1:24">
      <c r="A10865">
        <f>HYPERLINK("https://www.philgeps.gov.ph/GEPSNONPILOT/Tender/SplashBidNoticeAbstractUI.aspx?menuIndex=3&amp;refID=7025734&amp;Result=3","7025734")</f>
        <v>0</v>
      </c>
      <c r="B10865" t="s">
        <v>1990</v>
      </c>
      <c r="C10865" t="s">
        <v>13459</v>
      </c>
      <c r="D10865" t="s">
        <v>16258</v>
      </c>
      <c r="E10865" t="s">
        <v>25713</v>
      </c>
      <c r="F10865" t="s">
        <v>28198</v>
      </c>
      <c r="G10865" t="s">
        <v>28205</v>
      </c>
      <c r="H10865" t="s">
        <v>28214</v>
      </c>
      <c r="I10865" t="s">
        <v>3797</v>
      </c>
      <c r="J10865" t="s">
        <v>35075</v>
      </c>
      <c r="K10865" t="s">
        <v>36815</v>
      </c>
      <c r="M10865" t="s">
        <v>39436</v>
      </c>
      <c r="N10865" t="s">
        <v>40436</v>
      </c>
      <c r="O10865" t="s">
        <v>40437</v>
      </c>
      <c r="P10865">
        <v>0</v>
      </c>
      <c r="Q10865">
        <v>0</v>
      </c>
      <c r="R10865" t="s">
        <v>40451</v>
      </c>
      <c r="S10865" t="s">
        <v>41005</v>
      </c>
      <c r="T10865" t="s">
        <v>42331</v>
      </c>
      <c r="U10865" t="s">
        <v>51652</v>
      </c>
      <c r="V10865" t="s">
        <v>54542</v>
      </c>
      <c r="W10865" t="s">
        <v>39436</v>
      </c>
      <c r="X10865" t="s">
        <v>40452</v>
      </c>
    </row>
    <row r="10866" spans="1:24">
      <c r="A10866">
        <f>HYPERLINK("https://www.philgeps.gov.ph/GEPSNONPILOT/Tender/SplashBidNoticeAbstractUI.aspx?menuIndex=3&amp;refID=7025745&amp;Result=3","7025745")</f>
        <v>0</v>
      </c>
      <c r="B10866" t="s">
        <v>2261</v>
      </c>
      <c r="C10866" t="s">
        <v>13460</v>
      </c>
      <c r="D10866" t="s">
        <v>16212</v>
      </c>
      <c r="E10866" t="s">
        <v>25714</v>
      </c>
      <c r="F10866" t="s">
        <v>28198</v>
      </c>
      <c r="G10866" t="s">
        <v>28205</v>
      </c>
      <c r="H10866" t="s">
        <v>28215</v>
      </c>
      <c r="I10866" t="s">
        <v>5100</v>
      </c>
      <c r="J10866" t="s">
        <v>35076</v>
      </c>
      <c r="K10866" t="s">
        <v>36706</v>
      </c>
      <c r="M10866" t="s">
        <v>39431</v>
      </c>
      <c r="N10866" t="s">
        <v>40436</v>
      </c>
      <c r="O10866" t="s">
        <v>40437</v>
      </c>
      <c r="P10866">
        <v>0</v>
      </c>
      <c r="Q10866">
        <v>0</v>
      </c>
      <c r="R10866" t="s">
        <v>40451</v>
      </c>
      <c r="S10866" t="s">
        <v>41005</v>
      </c>
      <c r="T10866" t="s">
        <v>42158</v>
      </c>
      <c r="U10866" t="s">
        <v>46178</v>
      </c>
      <c r="V10866" t="s">
        <v>54980</v>
      </c>
      <c r="W10866" t="s">
        <v>39431</v>
      </c>
      <c r="X10866" t="s">
        <v>40452</v>
      </c>
    </row>
    <row r="10867" spans="1:24">
      <c r="A10867">
        <f>HYPERLINK("https://www.philgeps.gov.ph/GEPSNONPILOT/Tender/SplashBidNoticeAbstractUI.aspx?menuIndex=3&amp;refID=7025742&amp;Result=3","7025742")</f>
        <v>0</v>
      </c>
      <c r="B10867" t="s">
        <v>2225</v>
      </c>
      <c r="C10867" t="s">
        <v>13461</v>
      </c>
      <c r="D10867" t="s">
        <v>16187</v>
      </c>
      <c r="E10867" t="s">
        <v>25715</v>
      </c>
      <c r="F10867" t="s">
        <v>28198</v>
      </c>
      <c r="G10867" t="s">
        <v>28205</v>
      </c>
      <c r="H10867" t="s">
        <v>28214</v>
      </c>
      <c r="I10867" t="s">
        <v>3797</v>
      </c>
      <c r="J10867" t="s">
        <v>29552</v>
      </c>
      <c r="K10867" t="s">
        <v>36882</v>
      </c>
      <c r="L10867" t="s">
        <v>2225</v>
      </c>
      <c r="M10867" t="s">
        <v>39392</v>
      </c>
      <c r="N10867" t="s">
        <v>40436</v>
      </c>
      <c r="O10867" t="s">
        <v>40437</v>
      </c>
      <c r="P10867">
        <v>0</v>
      </c>
      <c r="Q10867">
        <v>1</v>
      </c>
      <c r="R10867" t="s">
        <v>40451</v>
      </c>
      <c r="S10867" t="s">
        <v>41005</v>
      </c>
      <c r="T10867" t="s">
        <v>42126</v>
      </c>
      <c r="U10867" t="s">
        <v>51581</v>
      </c>
      <c r="W10867" t="s">
        <v>39392</v>
      </c>
      <c r="X10867" t="s">
        <v>40452</v>
      </c>
    </row>
    <row r="10868" spans="1:24">
      <c r="A10868">
        <f>HYPERLINK("https://www.philgeps.gov.ph/GEPSNONPILOT/Tender/SplashBidNoticeAbstractUI.aspx?menuIndex=3&amp;refID=7025770&amp;Result=3","7025770")</f>
        <v>0</v>
      </c>
      <c r="B10868" t="s">
        <v>2225</v>
      </c>
      <c r="C10868" t="s">
        <v>13462</v>
      </c>
      <c r="D10868" t="s">
        <v>16187</v>
      </c>
      <c r="E10868" t="s">
        <v>25716</v>
      </c>
      <c r="F10868" t="s">
        <v>28198</v>
      </c>
      <c r="G10868" t="s">
        <v>28205</v>
      </c>
      <c r="H10868" t="s">
        <v>28214</v>
      </c>
      <c r="I10868" t="s">
        <v>3797</v>
      </c>
      <c r="J10868" t="s">
        <v>29566</v>
      </c>
      <c r="K10868" t="s">
        <v>36737</v>
      </c>
      <c r="L10868" t="s">
        <v>2225</v>
      </c>
      <c r="M10868" t="s">
        <v>39392</v>
      </c>
      <c r="N10868" t="s">
        <v>40436</v>
      </c>
      <c r="O10868" t="s">
        <v>40437</v>
      </c>
      <c r="P10868">
        <v>0</v>
      </c>
      <c r="Q10868">
        <v>0</v>
      </c>
      <c r="R10868" t="s">
        <v>40451</v>
      </c>
      <c r="S10868" t="s">
        <v>41005</v>
      </c>
      <c r="T10868" t="s">
        <v>42126</v>
      </c>
      <c r="U10868" t="s">
        <v>51581</v>
      </c>
      <c r="W10868" t="s">
        <v>39392</v>
      </c>
      <c r="X10868" t="s">
        <v>40452</v>
      </c>
    </row>
    <row r="10869" spans="1:24">
      <c r="A10869">
        <f>HYPERLINK("https://www.philgeps.gov.ph/GEPSNONPILOT/Tender/SplashBidNoticeAbstractUI.aspx?menuIndex=3&amp;refID=7025737&amp;Result=3","7025737")</f>
        <v>0</v>
      </c>
      <c r="B10869" t="s">
        <v>181</v>
      </c>
      <c r="C10869" t="s">
        <v>13463</v>
      </c>
      <c r="D10869" t="s">
        <v>16209</v>
      </c>
      <c r="E10869" t="s">
        <v>17900</v>
      </c>
      <c r="F10869" t="s">
        <v>28198</v>
      </c>
      <c r="G10869" t="s">
        <v>28205</v>
      </c>
      <c r="H10869" t="s">
        <v>28214</v>
      </c>
      <c r="I10869" t="s">
        <v>3797</v>
      </c>
      <c r="J10869" t="s">
        <v>35077</v>
      </c>
      <c r="K10869" t="s">
        <v>36694</v>
      </c>
      <c r="M10869" t="s">
        <v>37156</v>
      </c>
      <c r="N10869" t="s">
        <v>40436</v>
      </c>
      <c r="O10869" t="s">
        <v>40437</v>
      </c>
      <c r="P10869">
        <v>0</v>
      </c>
      <c r="Q10869">
        <v>0</v>
      </c>
      <c r="R10869" t="s">
        <v>40451</v>
      </c>
      <c r="S10869" t="s">
        <v>41005</v>
      </c>
      <c r="T10869" t="s">
        <v>42136</v>
      </c>
      <c r="U10869" t="s">
        <v>42915</v>
      </c>
      <c r="W10869" t="s">
        <v>37156</v>
      </c>
      <c r="X10869" t="s">
        <v>40452</v>
      </c>
    </row>
    <row r="10870" spans="1:24">
      <c r="A10870">
        <f>HYPERLINK("https://www.philgeps.gov.ph/GEPSNONPILOT/Tender/SplashBidNoticeAbstractUI.aspx?menuIndex=3&amp;refID=7025767&amp;Result=3","7025767")</f>
        <v>0</v>
      </c>
      <c r="B10870" t="s">
        <v>2144</v>
      </c>
      <c r="C10870" t="s">
        <v>13464</v>
      </c>
      <c r="E10870" t="s">
        <v>25717</v>
      </c>
      <c r="F10870" t="s">
        <v>28198</v>
      </c>
      <c r="G10870" t="s">
        <v>28205</v>
      </c>
      <c r="H10870" t="s">
        <v>28215</v>
      </c>
      <c r="I10870" t="s">
        <v>28281</v>
      </c>
      <c r="J10870" t="s">
        <v>35078</v>
      </c>
      <c r="K10870" t="s">
        <v>36689</v>
      </c>
      <c r="M10870" t="s">
        <v>40092</v>
      </c>
      <c r="N10870" t="s">
        <v>40436</v>
      </c>
      <c r="O10870" t="s">
        <v>40437</v>
      </c>
      <c r="P10870">
        <v>0</v>
      </c>
      <c r="Q10870">
        <v>3</v>
      </c>
      <c r="R10870" t="s">
        <v>40451</v>
      </c>
      <c r="S10870" t="s">
        <v>41005</v>
      </c>
      <c r="T10870" t="s">
        <v>42228</v>
      </c>
      <c r="U10870" t="s">
        <v>51653</v>
      </c>
      <c r="W10870" t="s">
        <v>40092</v>
      </c>
      <c r="X10870" t="s">
        <v>40452</v>
      </c>
    </row>
    <row r="10871" spans="1:24">
      <c r="A10871">
        <f>HYPERLINK("https://www.philgeps.gov.ph/GEPSNONPILOT/Tender/SplashBidNoticeAbstractUI.aspx?menuIndex=3&amp;refID=7025736&amp;Result=3","7025736")</f>
        <v>0</v>
      </c>
      <c r="B10871" t="s">
        <v>1114</v>
      </c>
      <c r="C10871" t="s">
        <v>13465</v>
      </c>
      <c r="D10871" t="s">
        <v>16228</v>
      </c>
      <c r="E10871" t="s">
        <v>25718</v>
      </c>
      <c r="F10871" t="s">
        <v>28198</v>
      </c>
      <c r="G10871" t="s">
        <v>28205</v>
      </c>
      <c r="H10871" t="s">
        <v>28214</v>
      </c>
      <c r="I10871" t="s">
        <v>3797</v>
      </c>
      <c r="J10871" t="s">
        <v>29566</v>
      </c>
      <c r="K10871" t="s">
        <v>36775</v>
      </c>
      <c r="M10871" t="s">
        <v>38151</v>
      </c>
      <c r="N10871" t="s">
        <v>40436</v>
      </c>
      <c r="O10871" t="s">
        <v>40437</v>
      </c>
      <c r="P10871">
        <v>0</v>
      </c>
      <c r="Q10871">
        <v>1</v>
      </c>
      <c r="R10871" t="s">
        <v>40451</v>
      </c>
      <c r="S10871" t="s">
        <v>41005</v>
      </c>
      <c r="T10871" t="s">
        <v>42112</v>
      </c>
      <c r="U10871" t="s">
        <v>51654</v>
      </c>
      <c r="W10871" t="s">
        <v>38151</v>
      </c>
      <c r="X10871" t="s">
        <v>40452</v>
      </c>
    </row>
    <row r="10872" spans="1:24">
      <c r="A10872">
        <f>HYPERLINK("https://www.philgeps.gov.ph/GEPSNONPILOT/Tender/SplashBidNoticeAbstractUI.aspx?menuIndex=3&amp;refID=7025762&amp;Result=3","7025762")</f>
        <v>0</v>
      </c>
      <c r="B10872" t="s">
        <v>2261</v>
      </c>
      <c r="C10872" t="s">
        <v>13466</v>
      </c>
      <c r="D10872" t="s">
        <v>16212</v>
      </c>
      <c r="E10872" t="s">
        <v>25719</v>
      </c>
      <c r="F10872" t="s">
        <v>28198</v>
      </c>
      <c r="G10872" t="s">
        <v>28205</v>
      </c>
      <c r="H10872" t="s">
        <v>28215</v>
      </c>
      <c r="I10872" t="s">
        <v>5100</v>
      </c>
      <c r="J10872" t="s">
        <v>35079</v>
      </c>
      <c r="K10872" t="s">
        <v>36706</v>
      </c>
      <c r="M10872" t="s">
        <v>39431</v>
      </c>
      <c r="N10872" t="s">
        <v>40436</v>
      </c>
      <c r="O10872" t="s">
        <v>40437</v>
      </c>
      <c r="P10872">
        <v>0</v>
      </c>
      <c r="Q10872">
        <v>0</v>
      </c>
      <c r="R10872" t="s">
        <v>40451</v>
      </c>
      <c r="S10872" t="s">
        <v>41005</v>
      </c>
      <c r="T10872" t="s">
        <v>42158</v>
      </c>
      <c r="U10872" t="s">
        <v>46178</v>
      </c>
      <c r="V10872" t="s">
        <v>54980</v>
      </c>
      <c r="W10872" t="s">
        <v>39431</v>
      </c>
      <c r="X10872" t="s">
        <v>40452</v>
      </c>
    </row>
    <row r="10873" spans="1:24">
      <c r="A10873">
        <f>HYPERLINK("https://www.philgeps.gov.ph/GEPSNONPILOT/Tender/SplashBidNoticeAbstractUI.aspx?menuIndex=3&amp;refID=7025769&amp;Result=3","7025769")</f>
        <v>0</v>
      </c>
      <c r="B10873" t="s">
        <v>1078</v>
      </c>
      <c r="C10873" t="s">
        <v>13467</v>
      </c>
      <c r="D10873" t="s">
        <v>16210</v>
      </c>
      <c r="E10873" t="s">
        <v>25720</v>
      </c>
      <c r="F10873" t="s">
        <v>28198</v>
      </c>
      <c r="G10873" t="s">
        <v>28205</v>
      </c>
      <c r="H10873" t="s">
        <v>28215</v>
      </c>
      <c r="I10873" t="s">
        <v>28257</v>
      </c>
      <c r="J10873" t="s">
        <v>35080</v>
      </c>
      <c r="K10873" t="s">
        <v>36809</v>
      </c>
      <c r="M10873" t="s">
        <v>39900</v>
      </c>
      <c r="N10873" t="s">
        <v>40436</v>
      </c>
      <c r="O10873" t="s">
        <v>40437</v>
      </c>
      <c r="Q10873">
        <v>13</v>
      </c>
      <c r="R10873" t="s">
        <v>40451</v>
      </c>
      <c r="S10873" t="s">
        <v>41076</v>
      </c>
      <c r="T10873" t="s">
        <v>42542</v>
      </c>
      <c r="U10873" t="s">
        <v>46812</v>
      </c>
      <c r="W10873" t="s">
        <v>39900</v>
      </c>
      <c r="X10873" t="s">
        <v>40452</v>
      </c>
    </row>
    <row r="10874" spans="1:24">
      <c r="A10874">
        <f>HYPERLINK("https://www.philgeps.gov.ph/GEPSNONPILOT/Tender/SplashBidNoticeAbstractUI.aspx?menuIndex=3&amp;refID=7025797&amp;Result=3","7025797")</f>
        <v>0</v>
      </c>
      <c r="B10874" t="s">
        <v>2225</v>
      </c>
      <c r="C10874" t="s">
        <v>13468</v>
      </c>
      <c r="D10874" t="s">
        <v>16187</v>
      </c>
      <c r="E10874" t="s">
        <v>25721</v>
      </c>
      <c r="F10874" t="s">
        <v>28198</v>
      </c>
      <c r="G10874" t="s">
        <v>28205</v>
      </c>
      <c r="H10874" t="s">
        <v>28214</v>
      </c>
      <c r="I10874" t="s">
        <v>3797</v>
      </c>
      <c r="J10874" t="s">
        <v>29566</v>
      </c>
      <c r="K10874" t="s">
        <v>36715</v>
      </c>
      <c r="L10874" t="s">
        <v>2225</v>
      </c>
      <c r="M10874" t="s">
        <v>39392</v>
      </c>
      <c r="N10874" t="s">
        <v>40436</v>
      </c>
      <c r="O10874" t="s">
        <v>40437</v>
      </c>
      <c r="P10874">
        <v>0</v>
      </c>
      <c r="Q10874">
        <v>0</v>
      </c>
      <c r="R10874" t="s">
        <v>40451</v>
      </c>
      <c r="S10874" t="s">
        <v>41005</v>
      </c>
      <c r="T10874" t="s">
        <v>42126</v>
      </c>
      <c r="U10874" t="s">
        <v>51581</v>
      </c>
      <c r="W10874" t="s">
        <v>39392</v>
      </c>
      <c r="X10874" t="s">
        <v>40452</v>
      </c>
    </row>
    <row r="10875" spans="1:24">
      <c r="A10875">
        <f>HYPERLINK("https://www.philgeps.gov.ph/GEPSNONPILOT/Tender/SplashBidNoticeAbstractUI.aspx?menuIndex=3&amp;refID=7025741&amp;Result=3","7025741")</f>
        <v>0</v>
      </c>
      <c r="B10875" t="s">
        <v>1046</v>
      </c>
      <c r="C10875" t="s">
        <v>13469</v>
      </c>
      <c r="E10875" t="s">
        <v>25722</v>
      </c>
      <c r="F10875" t="s">
        <v>28198</v>
      </c>
      <c r="G10875" t="s">
        <v>28205</v>
      </c>
      <c r="H10875" t="s">
        <v>28214</v>
      </c>
      <c r="I10875" t="s">
        <v>3797</v>
      </c>
      <c r="J10875" t="s">
        <v>35081</v>
      </c>
      <c r="K10875" t="s">
        <v>36689</v>
      </c>
      <c r="M10875" t="s">
        <v>38079</v>
      </c>
      <c r="N10875" t="s">
        <v>40436</v>
      </c>
      <c r="O10875" t="s">
        <v>40437</v>
      </c>
      <c r="Q10875">
        <v>1</v>
      </c>
      <c r="R10875" t="s">
        <v>40451</v>
      </c>
      <c r="S10875" t="s">
        <v>41077</v>
      </c>
      <c r="T10875" t="s">
        <v>42193</v>
      </c>
      <c r="U10875" t="s">
        <v>51655</v>
      </c>
      <c r="W10875" t="s">
        <v>38079</v>
      </c>
      <c r="X10875" t="s">
        <v>40452</v>
      </c>
    </row>
    <row r="10876" spans="1:24">
      <c r="A10876">
        <f>HYPERLINK("https://www.philgeps.gov.ph/GEPSNONPILOT/Tender/SplashBidNoticeAbstractUI.aspx?menuIndex=3&amp;refID=7025796&amp;Result=3","7025796")</f>
        <v>0</v>
      </c>
      <c r="B10876" t="s">
        <v>595</v>
      </c>
      <c r="C10876" t="s">
        <v>13470</v>
      </c>
      <c r="D10876" t="s">
        <v>16195</v>
      </c>
      <c r="E10876" t="s">
        <v>25723</v>
      </c>
      <c r="F10876" t="s">
        <v>28198</v>
      </c>
      <c r="G10876" t="s">
        <v>28207</v>
      </c>
      <c r="H10876" t="s">
        <v>28215</v>
      </c>
      <c r="I10876" t="s">
        <v>3774</v>
      </c>
      <c r="J10876" t="s">
        <v>35082</v>
      </c>
      <c r="K10876" t="s">
        <v>36707</v>
      </c>
      <c r="M10876" t="s">
        <v>37584</v>
      </c>
      <c r="N10876" t="s">
        <v>40436</v>
      </c>
      <c r="O10876" t="s">
        <v>40437</v>
      </c>
      <c r="Q10876">
        <v>1</v>
      </c>
      <c r="R10876" t="s">
        <v>40451</v>
      </c>
      <c r="S10876" t="s">
        <v>41078</v>
      </c>
      <c r="T10876" t="s">
        <v>42159</v>
      </c>
      <c r="U10876" t="s">
        <v>51656</v>
      </c>
      <c r="W10876" t="s">
        <v>37584</v>
      </c>
      <c r="X10876" t="s">
        <v>40452</v>
      </c>
    </row>
    <row r="10877" spans="1:24">
      <c r="A10877">
        <f>HYPERLINK("https://www.philgeps.gov.ph/GEPSNONPILOT/Tender/SplashBidNoticeAbstractUI.aspx?menuIndex=3&amp;refID=7025775&amp;Result=3","7025775")</f>
        <v>0</v>
      </c>
      <c r="B10877" t="s">
        <v>2261</v>
      </c>
      <c r="C10877" t="s">
        <v>13471</v>
      </c>
      <c r="D10877" t="s">
        <v>16212</v>
      </c>
      <c r="E10877" t="s">
        <v>25724</v>
      </c>
      <c r="F10877" t="s">
        <v>28198</v>
      </c>
      <c r="G10877" t="s">
        <v>28205</v>
      </c>
      <c r="H10877" t="s">
        <v>28215</v>
      </c>
      <c r="I10877" t="s">
        <v>5100</v>
      </c>
      <c r="J10877" t="s">
        <v>35083</v>
      </c>
      <c r="K10877" t="s">
        <v>36706</v>
      </c>
      <c r="M10877" t="s">
        <v>39431</v>
      </c>
      <c r="N10877" t="s">
        <v>40436</v>
      </c>
      <c r="O10877" t="s">
        <v>40437</v>
      </c>
      <c r="P10877">
        <v>0</v>
      </c>
      <c r="Q10877">
        <v>0</v>
      </c>
      <c r="R10877" t="s">
        <v>40451</v>
      </c>
      <c r="S10877" t="s">
        <v>41005</v>
      </c>
      <c r="T10877" t="s">
        <v>42158</v>
      </c>
      <c r="U10877" t="s">
        <v>46178</v>
      </c>
      <c r="V10877" t="s">
        <v>54980</v>
      </c>
      <c r="W10877" t="s">
        <v>39431</v>
      </c>
      <c r="X10877" t="s">
        <v>40452</v>
      </c>
    </row>
    <row r="10878" spans="1:24">
      <c r="A10878">
        <f>HYPERLINK("https://www.philgeps.gov.ph/GEPSNONPILOT/Tender/SplashBidNoticeAbstractUI.aspx?menuIndex=3&amp;refID=7025766&amp;Result=3","7025766")</f>
        <v>0</v>
      </c>
      <c r="B10878" t="s">
        <v>1990</v>
      </c>
      <c r="C10878" t="s">
        <v>13472</v>
      </c>
      <c r="D10878" t="s">
        <v>16258</v>
      </c>
      <c r="E10878" t="s">
        <v>25725</v>
      </c>
      <c r="F10878" t="s">
        <v>28198</v>
      </c>
      <c r="G10878" t="s">
        <v>28205</v>
      </c>
      <c r="H10878" t="s">
        <v>28214</v>
      </c>
      <c r="I10878" t="s">
        <v>3797</v>
      </c>
      <c r="J10878" t="s">
        <v>35084</v>
      </c>
      <c r="K10878" t="s">
        <v>36890</v>
      </c>
      <c r="M10878" t="s">
        <v>39436</v>
      </c>
      <c r="N10878" t="s">
        <v>40436</v>
      </c>
      <c r="O10878" t="s">
        <v>40437</v>
      </c>
      <c r="P10878">
        <v>0</v>
      </c>
      <c r="Q10878">
        <v>0</v>
      </c>
      <c r="R10878" t="s">
        <v>40451</v>
      </c>
      <c r="S10878" t="s">
        <v>41005</v>
      </c>
      <c r="T10878" t="s">
        <v>42331</v>
      </c>
      <c r="U10878" t="s">
        <v>51657</v>
      </c>
      <c r="V10878" t="s">
        <v>54542</v>
      </c>
      <c r="W10878" t="s">
        <v>39436</v>
      </c>
      <c r="X10878" t="s">
        <v>40452</v>
      </c>
    </row>
    <row r="10879" spans="1:24">
      <c r="A10879">
        <f>HYPERLINK("https://www.philgeps.gov.ph/GEPSNONPILOT/Tender/SplashBidNoticeAbstractUI.aspx?menuIndex=3&amp;refID=7025785&amp;Result=3","7025785")</f>
        <v>0</v>
      </c>
      <c r="B10879" t="s">
        <v>2225</v>
      </c>
      <c r="C10879" t="s">
        <v>13473</v>
      </c>
      <c r="D10879" t="s">
        <v>16187</v>
      </c>
      <c r="E10879" t="s">
        <v>25726</v>
      </c>
      <c r="F10879" t="s">
        <v>28198</v>
      </c>
      <c r="G10879" t="s">
        <v>28205</v>
      </c>
      <c r="H10879" t="s">
        <v>28214</v>
      </c>
      <c r="I10879" t="s">
        <v>3797</v>
      </c>
      <c r="J10879" t="s">
        <v>29566</v>
      </c>
      <c r="K10879" t="s">
        <v>36715</v>
      </c>
      <c r="L10879" t="s">
        <v>2225</v>
      </c>
      <c r="M10879" t="s">
        <v>39392</v>
      </c>
      <c r="N10879" t="s">
        <v>40436</v>
      </c>
      <c r="O10879" t="s">
        <v>40437</v>
      </c>
      <c r="P10879">
        <v>0</v>
      </c>
      <c r="Q10879">
        <v>0</v>
      </c>
      <c r="R10879" t="s">
        <v>40451</v>
      </c>
      <c r="S10879" t="s">
        <v>41005</v>
      </c>
      <c r="T10879" t="s">
        <v>42126</v>
      </c>
      <c r="U10879" t="s">
        <v>51581</v>
      </c>
      <c r="W10879" t="s">
        <v>39392</v>
      </c>
      <c r="X10879" t="s">
        <v>40452</v>
      </c>
    </row>
    <row r="10880" spans="1:24">
      <c r="A10880">
        <f>HYPERLINK("https://www.philgeps.gov.ph/GEPSNONPILOT/Tender/SplashBidNoticeAbstractUI.aspx?menuIndex=3&amp;refID=7025779&amp;Result=3","7025779")</f>
        <v>0</v>
      </c>
      <c r="B10880" t="s">
        <v>1990</v>
      </c>
      <c r="C10880" t="s">
        <v>13474</v>
      </c>
      <c r="D10880" t="s">
        <v>16258</v>
      </c>
      <c r="E10880" t="s">
        <v>25727</v>
      </c>
      <c r="F10880" t="s">
        <v>28198</v>
      </c>
      <c r="G10880" t="s">
        <v>28205</v>
      </c>
      <c r="H10880" t="s">
        <v>28215</v>
      </c>
      <c r="I10880" t="s">
        <v>28228</v>
      </c>
      <c r="J10880" t="s">
        <v>35085</v>
      </c>
      <c r="K10880" t="s">
        <v>36687</v>
      </c>
      <c r="M10880" t="s">
        <v>39128</v>
      </c>
      <c r="N10880" t="s">
        <v>40436</v>
      </c>
      <c r="O10880" t="s">
        <v>40437</v>
      </c>
      <c r="Q10880">
        <v>0</v>
      </c>
      <c r="R10880" t="s">
        <v>40451</v>
      </c>
      <c r="S10880" t="s">
        <v>41079</v>
      </c>
      <c r="T10880" t="s">
        <v>42112</v>
      </c>
      <c r="U10880" t="s">
        <v>51658</v>
      </c>
      <c r="V10880" t="s">
        <v>54981</v>
      </c>
      <c r="W10880" t="s">
        <v>39128</v>
      </c>
      <c r="X10880" t="s">
        <v>40452</v>
      </c>
    </row>
    <row r="10881" spans="1:24">
      <c r="A10881">
        <f>HYPERLINK("https://www.philgeps.gov.ph/GEPSNONPILOT/Tender/SplashBidNoticeAbstractUI.aspx?menuIndex=3&amp;refID=7025757&amp;Result=3","7025757")</f>
        <v>0</v>
      </c>
      <c r="B10881" t="s">
        <v>181</v>
      </c>
      <c r="C10881" t="s">
        <v>13475</v>
      </c>
      <c r="D10881" t="s">
        <v>16209</v>
      </c>
      <c r="E10881" t="s">
        <v>20114</v>
      </c>
      <c r="F10881" t="s">
        <v>28198</v>
      </c>
      <c r="G10881" t="s">
        <v>28205</v>
      </c>
      <c r="H10881" t="s">
        <v>28214</v>
      </c>
      <c r="I10881" t="s">
        <v>3797</v>
      </c>
      <c r="J10881" t="s">
        <v>28636</v>
      </c>
      <c r="K10881" t="s">
        <v>36694</v>
      </c>
      <c r="M10881" t="s">
        <v>37156</v>
      </c>
      <c r="N10881" t="s">
        <v>40436</v>
      </c>
      <c r="O10881" t="s">
        <v>40437</v>
      </c>
      <c r="P10881">
        <v>0</v>
      </c>
      <c r="Q10881">
        <v>0</v>
      </c>
      <c r="R10881" t="s">
        <v>40451</v>
      </c>
      <c r="S10881" t="s">
        <v>41005</v>
      </c>
      <c r="T10881" t="s">
        <v>42136</v>
      </c>
      <c r="U10881" t="s">
        <v>42915</v>
      </c>
      <c r="W10881" t="s">
        <v>37156</v>
      </c>
      <c r="X10881" t="s">
        <v>40452</v>
      </c>
    </row>
    <row r="10882" spans="1:24">
      <c r="A10882">
        <f>HYPERLINK("https://www.philgeps.gov.ph/GEPSNONPILOT/Tender/SplashBidNoticeAbstractUI.aspx?menuIndex=3&amp;refID=7025772&amp;Result=3","7025772")</f>
        <v>0</v>
      </c>
      <c r="B10882" t="s">
        <v>181</v>
      </c>
      <c r="C10882" t="s">
        <v>13476</v>
      </c>
      <c r="D10882" t="s">
        <v>16209</v>
      </c>
      <c r="E10882" t="s">
        <v>16621</v>
      </c>
      <c r="F10882" t="s">
        <v>28198</v>
      </c>
      <c r="G10882" t="s">
        <v>28205</v>
      </c>
      <c r="H10882" t="s">
        <v>28214</v>
      </c>
      <c r="I10882" t="s">
        <v>3797</v>
      </c>
      <c r="J10882" t="s">
        <v>28878</v>
      </c>
      <c r="K10882" t="s">
        <v>36694</v>
      </c>
      <c r="M10882" t="s">
        <v>37156</v>
      </c>
      <c r="N10882" t="s">
        <v>40436</v>
      </c>
      <c r="O10882" t="s">
        <v>40437</v>
      </c>
      <c r="P10882">
        <v>0</v>
      </c>
      <c r="Q10882">
        <v>0</v>
      </c>
      <c r="R10882" t="s">
        <v>40451</v>
      </c>
      <c r="S10882" t="s">
        <v>41005</v>
      </c>
      <c r="T10882" t="s">
        <v>42136</v>
      </c>
      <c r="U10882" t="s">
        <v>42915</v>
      </c>
      <c r="W10882" t="s">
        <v>37156</v>
      </c>
      <c r="X10882" t="s">
        <v>40452</v>
      </c>
    </row>
    <row r="10883" spans="1:24">
      <c r="A10883">
        <f>HYPERLINK("https://www.philgeps.gov.ph/GEPSNONPILOT/Tender/SplashBidNoticeAbstractUI.aspx?menuIndex=3&amp;refID=7025778&amp;Result=3","7025778")</f>
        <v>0</v>
      </c>
      <c r="B10883" t="s">
        <v>1345</v>
      </c>
      <c r="C10883" t="s">
        <v>13477</v>
      </c>
      <c r="D10883" t="s">
        <v>16247</v>
      </c>
      <c r="E10883" t="s">
        <v>25728</v>
      </c>
      <c r="F10883" t="s">
        <v>28198</v>
      </c>
      <c r="G10883" t="s">
        <v>28205</v>
      </c>
      <c r="H10883" t="s">
        <v>28215</v>
      </c>
      <c r="I10883" t="s">
        <v>28250</v>
      </c>
      <c r="J10883" t="s">
        <v>35086</v>
      </c>
      <c r="K10883" t="s">
        <v>36688</v>
      </c>
      <c r="M10883" t="s">
        <v>38403</v>
      </c>
      <c r="N10883" t="s">
        <v>40436</v>
      </c>
      <c r="O10883" t="s">
        <v>40437</v>
      </c>
      <c r="P10883">
        <v>0</v>
      </c>
      <c r="Q10883">
        <v>3</v>
      </c>
      <c r="R10883" t="s">
        <v>40451</v>
      </c>
      <c r="S10883" t="s">
        <v>41005</v>
      </c>
      <c r="T10883" t="s">
        <v>42133</v>
      </c>
      <c r="U10883" t="s">
        <v>45667</v>
      </c>
      <c r="W10883" t="s">
        <v>38403</v>
      </c>
      <c r="X10883" t="s">
        <v>40452</v>
      </c>
    </row>
    <row r="10884" spans="1:24">
      <c r="A10884">
        <f>HYPERLINK("https://www.philgeps.gov.ph/GEPSNONPILOT/Tender/SplashBidNoticeAbstractUI.aspx?menuIndex=3&amp;refID=7025829&amp;Result=3","7025829")</f>
        <v>0</v>
      </c>
      <c r="B10884" t="s">
        <v>2738</v>
      </c>
      <c r="C10884" t="s">
        <v>13478</v>
      </c>
      <c r="D10884" t="s">
        <v>16260</v>
      </c>
      <c r="E10884" t="s">
        <v>25729</v>
      </c>
      <c r="F10884" t="s">
        <v>28198</v>
      </c>
      <c r="G10884" t="s">
        <v>28205</v>
      </c>
      <c r="H10884" t="s">
        <v>28215</v>
      </c>
      <c r="I10884" t="s">
        <v>28222</v>
      </c>
      <c r="J10884" t="s">
        <v>34474</v>
      </c>
      <c r="K10884" t="s">
        <v>36692</v>
      </c>
      <c r="M10884" t="s">
        <v>39984</v>
      </c>
      <c r="N10884" t="s">
        <v>40436</v>
      </c>
      <c r="O10884" t="s">
        <v>40437</v>
      </c>
      <c r="Q10884">
        <v>22</v>
      </c>
      <c r="R10884" t="s">
        <v>40451</v>
      </c>
      <c r="S10884" t="s">
        <v>40748</v>
      </c>
      <c r="T10884" t="s">
        <v>42133</v>
      </c>
      <c r="U10884" t="s">
        <v>51659</v>
      </c>
      <c r="V10884" t="s">
        <v>54871</v>
      </c>
      <c r="W10884" t="s">
        <v>55531</v>
      </c>
      <c r="X10884" t="s">
        <v>40452</v>
      </c>
    </row>
    <row r="10885" spans="1:24">
      <c r="A10885">
        <f>HYPERLINK("https://www.philgeps.gov.ph/GEPSNONPILOT/Tender/SplashBidNoticeAbstractUI.aspx?menuIndex=3&amp;refID=7025815&amp;Result=3","7025815")</f>
        <v>0</v>
      </c>
      <c r="B10885" t="s">
        <v>1078</v>
      </c>
      <c r="C10885" t="s">
        <v>13479</v>
      </c>
      <c r="D10885" t="s">
        <v>16210</v>
      </c>
      <c r="E10885" t="s">
        <v>25730</v>
      </c>
      <c r="F10885" t="s">
        <v>28198</v>
      </c>
      <c r="G10885" t="s">
        <v>28205</v>
      </c>
      <c r="H10885" t="s">
        <v>28215</v>
      </c>
      <c r="I10885" t="s">
        <v>28328</v>
      </c>
      <c r="J10885" t="s">
        <v>35087</v>
      </c>
      <c r="K10885" t="s">
        <v>36733</v>
      </c>
      <c r="M10885" t="s">
        <v>39900</v>
      </c>
      <c r="N10885" t="s">
        <v>40436</v>
      </c>
      <c r="O10885" t="s">
        <v>40437</v>
      </c>
      <c r="Q10885">
        <v>7</v>
      </c>
      <c r="R10885" t="s">
        <v>40451</v>
      </c>
      <c r="S10885" t="s">
        <v>41080</v>
      </c>
      <c r="T10885" t="s">
        <v>42542</v>
      </c>
      <c r="U10885" t="s">
        <v>51660</v>
      </c>
      <c r="W10885" t="s">
        <v>39900</v>
      </c>
      <c r="X10885" t="s">
        <v>40452</v>
      </c>
    </row>
    <row r="10886" spans="1:24">
      <c r="A10886">
        <f>HYPERLINK("https://www.philgeps.gov.ph/GEPSNONPILOT/Tender/SplashBidNoticeAbstractUI.aspx?menuIndex=3&amp;refID=7025758&amp;Result=3","7025758")</f>
        <v>0</v>
      </c>
      <c r="B10886" t="s">
        <v>2225</v>
      </c>
      <c r="C10886" t="s">
        <v>13480</v>
      </c>
      <c r="D10886" t="s">
        <v>16187</v>
      </c>
      <c r="E10886" t="s">
        <v>25731</v>
      </c>
      <c r="F10886" t="s">
        <v>28198</v>
      </c>
      <c r="G10886" t="s">
        <v>28205</v>
      </c>
      <c r="H10886" t="s">
        <v>28214</v>
      </c>
      <c r="I10886" t="s">
        <v>3797</v>
      </c>
      <c r="J10886" t="s">
        <v>31508</v>
      </c>
      <c r="K10886" t="s">
        <v>36701</v>
      </c>
      <c r="L10886" t="s">
        <v>2225</v>
      </c>
      <c r="M10886" t="s">
        <v>39392</v>
      </c>
      <c r="N10886" t="s">
        <v>40436</v>
      </c>
      <c r="O10886" t="s">
        <v>40437</v>
      </c>
      <c r="P10886">
        <v>0</v>
      </c>
      <c r="Q10886">
        <v>1</v>
      </c>
      <c r="R10886" t="s">
        <v>40451</v>
      </c>
      <c r="S10886" t="s">
        <v>41005</v>
      </c>
      <c r="T10886" t="s">
        <v>42126</v>
      </c>
      <c r="U10886" t="s">
        <v>51581</v>
      </c>
      <c r="W10886" t="s">
        <v>39392</v>
      </c>
      <c r="X10886" t="s">
        <v>40452</v>
      </c>
    </row>
    <row r="10887" spans="1:24">
      <c r="A10887">
        <f>HYPERLINK("https://www.philgeps.gov.ph/GEPSNONPILOT/Tender/SplashBidNoticeAbstractUI.aspx?menuIndex=3&amp;refID=7025806&amp;Result=3","7025806")</f>
        <v>0</v>
      </c>
      <c r="B10887" t="s">
        <v>900</v>
      </c>
      <c r="C10887" t="s">
        <v>13481</v>
      </c>
      <c r="D10887" t="s">
        <v>16223</v>
      </c>
      <c r="E10887" t="s">
        <v>25732</v>
      </c>
      <c r="F10887" t="s">
        <v>28198</v>
      </c>
      <c r="G10887" t="s">
        <v>28205</v>
      </c>
      <c r="H10887" t="s">
        <v>28215</v>
      </c>
      <c r="I10887" t="s">
        <v>28247</v>
      </c>
      <c r="J10887" t="s">
        <v>35088</v>
      </c>
      <c r="K10887" t="s">
        <v>36694</v>
      </c>
      <c r="M10887" t="s">
        <v>37918</v>
      </c>
      <c r="N10887" t="s">
        <v>40436</v>
      </c>
      <c r="O10887" t="s">
        <v>40437</v>
      </c>
      <c r="P10887">
        <v>0</v>
      </c>
      <c r="Q10887">
        <v>7</v>
      </c>
      <c r="R10887" t="s">
        <v>40451</v>
      </c>
      <c r="S10887" t="s">
        <v>41005</v>
      </c>
      <c r="T10887" t="s">
        <v>42469</v>
      </c>
      <c r="U10887" t="s">
        <v>51661</v>
      </c>
      <c r="V10887" t="s">
        <v>54982</v>
      </c>
      <c r="W10887" t="s">
        <v>37918</v>
      </c>
      <c r="X10887" t="s">
        <v>40452</v>
      </c>
    </row>
    <row r="10888" spans="1:24">
      <c r="A10888">
        <f>HYPERLINK("https://www.philgeps.gov.ph/GEPSNONPILOT/Tender/SplashBidNoticeAbstractUI.aspx?menuIndex=3&amp;refID=7025832&amp;Result=3","7025832")</f>
        <v>0</v>
      </c>
      <c r="B10888" t="s">
        <v>652</v>
      </c>
      <c r="C10888" t="s">
        <v>13482</v>
      </c>
      <c r="D10888" t="s">
        <v>16210</v>
      </c>
      <c r="E10888" t="s">
        <v>25733</v>
      </c>
      <c r="F10888" t="s">
        <v>28198</v>
      </c>
      <c r="G10888" t="s">
        <v>28205</v>
      </c>
      <c r="H10888" t="s">
        <v>28214</v>
      </c>
      <c r="I10888" t="s">
        <v>3797</v>
      </c>
      <c r="J10888" t="s">
        <v>35089</v>
      </c>
      <c r="K10888" t="s">
        <v>36689</v>
      </c>
      <c r="M10888" t="s">
        <v>37647</v>
      </c>
      <c r="N10888" t="s">
        <v>40436</v>
      </c>
      <c r="O10888" t="s">
        <v>40437</v>
      </c>
      <c r="P10888">
        <v>0</v>
      </c>
      <c r="Q10888">
        <v>0</v>
      </c>
      <c r="R10888" t="s">
        <v>40451</v>
      </c>
      <c r="S10888" t="s">
        <v>41005</v>
      </c>
      <c r="T10888" t="s">
        <v>42152</v>
      </c>
      <c r="U10888" t="s">
        <v>51662</v>
      </c>
      <c r="W10888" t="s">
        <v>37647</v>
      </c>
      <c r="X10888" t="s">
        <v>40452</v>
      </c>
    </row>
    <row r="10889" spans="1:24">
      <c r="A10889">
        <f>HYPERLINK("https://www.philgeps.gov.ph/GEPSNONPILOT/Tender/SplashBidNoticeAbstractUI.aspx?menuIndex=3&amp;refID=7025819&amp;Result=3","7025819")</f>
        <v>0</v>
      </c>
      <c r="B10889" t="s">
        <v>2251</v>
      </c>
      <c r="C10889" t="s">
        <v>13483</v>
      </c>
      <c r="D10889" t="s">
        <v>16203</v>
      </c>
      <c r="E10889" t="s">
        <v>25681</v>
      </c>
      <c r="F10889" t="s">
        <v>28198</v>
      </c>
      <c r="G10889" t="s">
        <v>28205</v>
      </c>
      <c r="H10889" t="s">
        <v>28214</v>
      </c>
      <c r="I10889" t="s">
        <v>3797</v>
      </c>
      <c r="J10889" t="s">
        <v>35090</v>
      </c>
      <c r="K10889" t="s">
        <v>36857</v>
      </c>
      <c r="M10889" t="s">
        <v>39421</v>
      </c>
      <c r="N10889" t="s">
        <v>40436</v>
      </c>
      <c r="O10889" t="s">
        <v>40437</v>
      </c>
      <c r="P10889">
        <v>0</v>
      </c>
      <c r="Q10889">
        <v>5</v>
      </c>
      <c r="R10889" t="s">
        <v>40451</v>
      </c>
      <c r="S10889" t="s">
        <v>41005</v>
      </c>
      <c r="T10889" t="s">
        <v>42134</v>
      </c>
      <c r="U10889" t="s">
        <v>51663</v>
      </c>
      <c r="V10889" t="s">
        <v>54976</v>
      </c>
      <c r="W10889" t="s">
        <v>39421</v>
      </c>
      <c r="X10889" t="s">
        <v>40452</v>
      </c>
    </row>
    <row r="10890" spans="1:24">
      <c r="A10890">
        <f>HYPERLINK("https://www.philgeps.gov.ph/GEPSNONPILOT/Tender/SplashBidNoticeAbstractUI.aspx?menuIndex=3&amp;refID=7025798&amp;Result=3","7025798")</f>
        <v>0</v>
      </c>
      <c r="B10890" t="s">
        <v>1729</v>
      </c>
      <c r="C10890" t="s">
        <v>13484</v>
      </c>
      <c r="D10890" t="s">
        <v>16249</v>
      </c>
      <c r="E10890" t="s">
        <v>25734</v>
      </c>
      <c r="F10890" t="s">
        <v>28198</v>
      </c>
      <c r="G10890" t="s">
        <v>28205</v>
      </c>
      <c r="H10890" t="s">
        <v>28215</v>
      </c>
      <c r="I10890" t="s">
        <v>28274</v>
      </c>
      <c r="J10890" t="s">
        <v>35091</v>
      </c>
      <c r="K10890" t="s">
        <v>36801</v>
      </c>
      <c r="M10890" t="s">
        <v>38838</v>
      </c>
      <c r="N10890" t="s">
        <v>40436</v>
      </c>
      <c r="O10890" t="s">
        <v>40437</v>
      </c>
      <c r="P10890">
        <v>0</v>
      </c>
      <c r="Q10890">
        <v>2</v>
      </c>
      <c r="R10890" t="s">
        <v>40451</v>
      </c>
      <c r="S10890" t="s">
        <v>41005</v>
      </c>
      <c r="T10890" t="s">
        <v>42133</v>
      </c>
      <c r="U10890" t="s">
        <v>51664</v>
      </c>
      <c r="W10890" t="s">
        <v>55493</v>
      </c>
      <c r="X10890" t="s">
        <v>40452</v>
      </c>
    </row>
    <row r="10891" spans="1:24">
      <c r="A10891">
        <f>HYPERLINK("https://www.philgeps.gov.ph/GEPSNONPILOT/Tender/SplashBidNoticeAbstractUI.aspx?menuIndex=3&amp;refID=7025842&amp;Result=3","7025842")</f>
        <v>0</v>
      </c>
      <c r="B10891" t="s">
        <v>2844</v>
      </c>
      <c r="C10891" t="s">
        <v>13485</v>
      </c>
      <c r="D10891" t="s">
        <v>16250</v>
      </c>
      <c r="E10891" t="s">
        <v>25735</v>
      </c>
      <c r="F10891" t="s">
        <v>28198</v>
      </c>
      <c r="G10891" t="s">
        <v>28205</v>
      </c>
      <c r="H10891" t="s">
        <v>28215</v>
      </c>
      <c r="I10891" t="s">
        <v>28228</v>
      </c>
      <c r="J10891" t="s">
        <v>35092</v>
      </c>
      <c r="K10891" t="s">
        <v>36697</v>
      </c>
      <c r="M10891" t="s">
        <v>40097</v>
      </c>
      <c r="N10891" t="s">
        <v>40436</v>
      </c>
      <c r="O10891" t="s">
        <v>40437</v>
      </c>
      <c r="P10891">
        <v>0</v>
      </c>
      <c r="Q10891">
        <v>0</v>
      </c>
      <c r="R10891" t="s">
        <v>40451</v>
      </c>
      <c r="S10891" t="s">
        <v>41005</v>
      </c>
      <c r="T10891" t="s">
        <v>42297</v>
      </c>
      <c r="U10891" t="s">
        <v>51665</v>
      </c>
      <c r="W10891" t="s">
        <v>40097</v>
      </c>
      <c r="X10891" t="s">
        <v>40452</v>
      </c>
    </row>
    <row r="10892" spans="1:24">
      <c r="A10892">
        <f>HYPERLINK("https://www.philgeps.gov.ph/GEPSNONPILOT/Tender/SplashBidNoticeAbstractUI.aspx?menuIndex=3&amp;refID=7025813&amp;Result=3","7025813")</f>
        <v>0</v>
      </c>
      <c r="B10892" t="s">
        <v>2225</v>
      </c>
      <c r="C10892" t="s">
        <v>13486</v>
      </c>
      <c r="D10892" t="s">
        <v>16187</v>
      </c>
      <c r="E10892" t="s">
        <v>25736</v>
      </c>
      <c r="F10892" t="s">
        <v>28198</v>
      </c>
      <c r="G10892" t="s">
        <v>28205</v>
      </c>
      <c r="H10892" t="s">
        <v>28214</v>
      </c>
      <c r="I10892" t="s">
        <v>3797</v>
      </c>
      <c r="J10892" t="s">
        <v>29595</v>
      </c>
      <c r="K10892" t="s">
        <v>36694</v>
      </c>
      <c r="L10892" t="s">
        <v>2225</v>
      </c>
      <c r="M10892" t="s">
        <v>39392</v>
      </c>
      <c r="N10892" t="s">
        <v>40436</v>
      </c>
      <c r="O10892" t="s">
        <v>40437</v>
      </c>
      <c r="P10892">
        <v>0</v>
      </c>
      <c r="Q10892">
        <v>0</v>
      </c>
      <c r="R10892" t="s">
        <v>40451</v>
      </c>
      <c r="S10892" t="s">
        <v>41005</v>
      </c>
      <c r="T10892" t="s">
        <v>42126</v>
      </c>
      <c r="U10892" t="s">
        <v>51581</v>
      </c>
      <c r="W10892" t="s">
        <v>39392</v>
      </c>
      <c r="X10892" t="s">
        <v>40452</v>
      </c>
    </row>
    <row r="10893" spans="1:24">
      <c r="A10893">
        <f>HYPERLINK("https://www.philgeps.gov.ph/GEPSNONPILOT/Tender/SplashBidNoticeAbstractUI.aspx?menuIndex=3&amp;refID=7025802&amp;Result=3","7025802")</f>
        <v>0</v>
      </c>
      <c r="B10893" t="s">
        <v>1067</v>
      </c>
      <c r="C10893" t="s">
        <v>13487</v>
      </c>
      <c r="D10893" t="s">
        <v>16244</v>
      </c>
      <c r="E10893" t="s">
        <v>25737</v>
      </c>
      <c r="F10893" t="s">
        <v>28198</v>
      </c>
      <c r="G10893" t="s">
        <v>28205</v>
      </c>
      <c r="H10893" t="s">
        <v>28214</v>
      </c>
      <c r="I10893" t="s">
        <v>3797</v>
      </c>
      <c r="J10893" t="s">
        <v>35093</v>
      </c>
      <c r="K10893" t="s">
        <v>36922</v>
      </c>
      <c r="M10893" t="s">
        <v>38100</v>
      </c>
      <c r="N10893" t="s">
        <v>40436</v>
      </c>
      <c r="O10893" t="s">
        <v>40437</v>
      </c>
      <c r="P10893">
        <v>0</v>
      </c>
      <c r="Q10893">
        <v>0</v>
      </c>
      <c r="R10893" t="s">
        <v>40451</v>
      </c>
      <c r="S10893" t="s">
        <v>41005</v>
      </c>
      <c r="T10893" t="s">
        <v>42133</v>
      </c>
      <c r="U10893" t="s">
        <v>51666</v>
      </c>
      <c r="V10893" t="s">
        <v>54983</v>
      </c>
      <c r="W10893" t="s">
        <v>38100</v>
      </c>
      <c r="X10893" t="s">
        <v>40452</v>
      </c>
    </row>
    <row r="10894" spans="1:24">
      <c r="A10894">
        <f>HYPERLINK("https://www.philgeps.gov.ph/GEPSNONPILOT/Tender/SplashBidNoticeAbstractUI.aspx?menuIndex=3&amp;refID=7025890&amp;Result=3","7025890")</f>
        <v>0</v>
      </c>
      <c r="B10894" t="s">
        <v>2171</v>
      </c>
      <c r="C10894" t="s">
        <v>13488</v>
      </c>
      <c r="D10894" t="s">
        <v>16199</v>
      </c>
      <c r="E10894" t="s">
        <v>25738</v>
      </c>
      <c r="F10894" t="s">
        <v>28198</v>
      </c>
      <c r="G10894" t="s">
        <v>28205</v>
      </c>
      <c r="H10894" t="s">
        <v>28214</v>
      </c>
      <c r="I10894" t="s">
        <v>3797</v>
      </c>
      <c r="J10894" t="s">
        <v>31508</v>
      </c>
      <c r="K10894" t="s">
        <v>36697</v>
      </c>
      <c r="M10894" t="s">
        <v>40098</v>
      </c>
      <c r="N10894" t="s">
        <v>40436</v>
      </c>
      <c r="O10894" t="s">
        <v>40437</v>
      </c>
      <c r="P10894">
        <v>0</v>
      </c>
      <c r="Q10894">
        <v>2</v>
      </c>
      <c r="R10894" t="s">
        <v>40451</v>
      </c>
      <c r="S10894" t="s">
        <v>41005</v>
      </c>
      <c r="T10894" t="s">
        <v>42228</v>
      </c>
      <c r="U10894" t="s">
        <v>51667</v>
      </c>
      <c r="W10894" t="s">
        <v>40098</v>
      </c>
      <c r="X10894" t="s">
        <v>40452</v>
      </c>
    </row>
    <row r="10895" spans="1:24">
      <c r="A10895">
        <f>HYPERLINK("https://www.philgeps.gov.ph/GEPSNONPILOT/Tender/SplashBidNoticeAbstractUI.aspx?menuIndex=3&amp;refID=7025846&amp;Result=3","7025846")</f>
        <v>0</v>
      </c>
      <c r="B10895" t="s">
        <v>1744</v>
      </c>
      <c r="C10895" t="s">
        <v>13489</v>
      </c>
      <c r="D10895" t="s">
        <v>16210</v>
      </c>
      <c r="E10895" t="s">
        <v>17848</v>
      </c>
      <c r="F10895" t="s">
        <v>28198</v>
      </c>
      <c r="G10895" t="s">
        <v>28207</v>
      </c>
      <c r="H10895" t="s">
        <v>28215</v>
      </c>
      <c r="I10895" t="s">
        <v>28234</v>
      </c>
      <c r="J10895" t="s">
        <v>28494</v>
      </c>
      <c r="K10895" t="s">
        <v>36689</v>
      </c>
      <c r="M10895" t="s">
        <v>38856</v>
      </c>
      <c r="N10895" t="s">
        <v>40436</v>
      </c>
      <c r="O10895" t="s">
        <v>40437</v>
      </c>
      <c r="Q10895">
        <v>14</v>
      </c>
      <c r="R10895" t="s">
        <v>40451</v>
      </c>
      <c r="S10895" t="s">
        <v>41081</v>
      </c>
      <c r="T10895" t="s">
        <v>42169</v>
      </c>
      <c r="U10895" t="s">
        <v>51668</v>
      </c>
      <c r="V10895" t="s">
        <v>54984</v>
      </c>
      <c r="W10895" t="s">
        <v>38856</v>
      </c>
      <c r="X10895" t="s">
        <v>40452</v>
      </c>
    </row>
    <row r="10896" spans="1:24">
      <c r="A10896">
        <f>HYPERLINK("https://www.philgeps.gov.ph/GEPSNONPILOT/Tender/SplashBidNoticeAbstractUI.aspx?menuIndex=3&amp;refID=7025883&amp;Result=3","7025883")</f>
        <v>0</v>
      </c>
      <c r="B10896" t="s">
        <v>2251</v>
      </c>
      <c r="C10896" t="s">
        <v>13490</v>
      </c>
      <c r="D10896" t="s">
        <v>16203</v>
      </c>
      <c r="E10896" t="s">
        <v>25739</v>
      </c>
      <c r="F10896" t="s">
        <v>28198</v>
      </c>
      <c r="G10896" t="s">
        <v>28205</v>
      </c>
      <c r="H10896" t="s">
        <v>28214</v>
      </c>
      <c r="I10896" t="s">
        <v>3797</v>
      </c>
      <c r="J10896" t="s">
        <v>29224</v>
      </c>
      <c r="K10896" t="s">
        <v>36771</v>
      </c>
      <c r="M10896" t="s">
        <v>39421</v>
      </c>
      <c r="N10896" t="s">
        <v>40436</v>
      </c>
      <c r="O10896" t="s">
        <v>40437</v>
      </c>
      <c r="P10896">
        <v>0</v>
      </c>
      <c r="Q10896">
        <v>4</v>
      </c>
      <c r="R10896" t="s">
        <v>40451</v>
      </c>
      <c r="S10896" t="s">
        <v>41005</v>
      </c>
      <c r="T10896" t="s">
        <v>42134</v>
      </c>
      <c r="U10896" t="s">
        <v>51669</v>
      </c>
      <c r="V10896" t="s">
        <v>54976</v>
      </c>
      <c r="W10896" t="s">
        <v>39421</v>
      </c>
      <c r="X10896" t="s">
        <v>40452</v>
      </c>
    </row>
    <row r="10897" spans="1:24">
      <c r="A10897">
        <f>HYPERLINK("https://www.philgeps.gov.ph/GEPSNONPILOT/Tender/SplashBidNoticeAbstractUI.aspx?menuIndex=3&amp;refID=7025865&amp;Result=3","7025865")</f>
        <v>0</v>
      </c>
      <c r="B10897" t="s">
        <v>1729</v>
      </c>
      <c r="C10897" t="s">
        <v>6665</v>
      </c>
      <c r="D10897" t="s">
        <v>16249</v>
      </c>
      <c r="E10897" t="s">
        <v>25740</v>
      </c>
      <c r="F10897" t="s">
        <v>28198</v>
      </c>
      <c r="G10897" t="s">
        <v>28205</v>
      </c>
      <c r="H10897" t="s">
        <v>28215</v>
      </c>
      <c r="I10897" t="s">
        <v>28274</v>
      </c>
      <c r="J10897" t="s">
        <v>29482</v>
      </c>
      <c r="K10897" t="s">
        <v>36801</v>
      </c>
      <c r="M10897" t="s">
        <v>38838</v>
      </c>
      <c r="N10897" t="s">
        <v>40436</v>
      </c>
      <c r="O10897" t="s">
        <v>40437</v>
      </c>
      <c r="P10897">
        <v>0</v>
      </c>
      <c r="Q10897">
        <v>2</v>
      </c>
      <c r="R10897" t="s">
        <v>40451</v>
      </c>
      <c r="S10897" t="s">
        <v>41005</v>
      </c>
      <c r="T10897" t="s">
        <v>42133</v>
      </c>
      <c r="U10897" t="s">
        <v>51670</v>
      </c>
      <c r="W10897" t="s">
        <v>55493</v>
      </c>
      <c r="X10897" t="s">
        <v>40452</v>
      </c>
    </row>
    <row r="10898" spans="1:24">
      <c r="A10898">
        <f>HYPERLINK("https://www.philgeps.gov.ph/GEPSNONPILOT/Tender/SplashBidNoticeAbstractUI.aspx?menuIndex=3&amp;refID=7025893&amp;Result=3","7025893")</f>
        <v>0</v>
      </c>
      <c r="B10898" t="s">
        <v>716</v>
      </c>
      <c r="C10898" t="s">
        <v>13491</v>
      </c>
      <c r="D10898" t="s">
        <v>16259</v>
      </c>
      <c r="E10898" t="s">
        <v>25741</v>
      </c>
      <c r="F10898" t="s">
        <v>28198</v>
      </c>
      <c r="G10898" t="s">
        <v>28205</v>
      </c>
      <c r="H10898" t="s">
        <v>28214</v>
      </c>
      <c r="I10898" t="s">
        <v>3797</v>
      </c>
      <c r="J10898" t="s">
        <v>35094</v>
      </c>
      <c r="K10898" t="s">
        <v>36939</v>
      </c>
      <c r="M10898" t="s">
        <v>37717</v>
      </c>
      <c r="N10898" t="s">
        <v>40436</v>
      </c>
      <c r="O10898" t="s">
        <v>40437</v>
      </c>
      <c r="P10898">
        <v>0</v>
      </c>
      <c r="Q10898">
        <v>0</v>
      </c>
      <c r="R10898" t="s">
        <v>40451</v>
      </c>
      <c r="S10898" t="s">
        <v>41005</v>
      </c>
      <c r="T10898" t="s">
        <v>42102</v>
      </c>
      <c r="U10898" t="s">
        <v>51671</v>
      </c>
      <c r="W10898" t="s">
        <v>37717</v>
      </c>
      <c r="X10898" t="s">
        <v>40452</v>
      </c>
    </row>
    <row r="10899" spans="1:24">
      <c r="A10899">
        <f>HYPERLINK("https://www.philgeps.gov.ph/GEPSNONPILOT/Tender/SplashBidNoticeAbstractUI.aspx?menuIndex=3&amp;refID=7025897&amp;Result=3","7025897")</f>
        <v>0</v>
      </c>
      <c r="B10899" t="s">
        <v>2511</v>
      </c>
      <c r="C10899" t="s">
        <v>13492</v>
      </c>
      <c r="D10899" t="s">
        <v>16260</v>
      </c>
      <c r="E10899" t="s">
        <v>25742</v>
      </c>
      <c r="F10899" t="s">
        <v>28198</v>
      </c>
      <c r="G10899" t="s">
        <v>28205</v>
      </c>
      <c r="H10899" t="s">
        <v>28214</v>
      </c>
      <c r="I10899" t="s">
        <v>3797</v>
      </c>
      <c r="J10899" t="s">
        <v>28398</v>
      </c>
      <c r="K10899" t="s">
        <v>36711</v>
      </c>
      <c r="M10899" t="s">
        <v>39714</v>
      </c>
      <c r="N10899" t="s">
        <v>40436</v>
      </c>
      <c r="O10899" t="s">
        <v>40437</v>
      </c>
      <c r="P10899">
        <v>0</v>
      </c>
      <c r="Q10899">
        <v>0</v>
      </c>
      <c r="R10899" t="s">
        <v>40451</v>
      </c>
      <c r="S10899" t="s">
        <v>41005</v>
      </c>
      <c r="T10899" t="s">
        <v>42102</v>
      </c>
      <c r="U10899" t="s">
        <v>51672</v>
      </c>
      <c r="V10899" t="s">
        <v>54711</v>
      </c>
      <c r="W10899" t="s">
        <v>39714</v>
      </c>
      <c r="X10899" t="s">
        <v>40452</v>
      </c>
    </row>
    <row r="10900" spans="1:24">
      <c r="A10900">
        <f>HYPERLINK("https://www.philgeps.gov.ph/GEPSNONPILOT/Tender/SplashBidNoticeAbstractUI.aspx?menuIndex=3&amp;refID=7026720&amp;Result=3","7026720")</f>
        <v>0</v>
      </c>
      <c r="B10900" t="s">
        <v>453</v>
      </c>
      <c r="C10900" t="s">
        <v>13493</v>
      </c>
      <c r="D10900" t="s">
        <v>16214</v>
      </c>
      <c r="E10900" t="s">
        <v>25743</v>
      </c>
      <c r="F10900" t="s">
        <v>28198</v>
      </c>
      <c r="G10900" t="s">
        <v>28207</v>
      </c>
      <c r="H10900" t="s">
        <v>28215</v>
      </c>
      <c r="I10900" t="s">
        <v>4505</v>
      </c>
      <c r="J10900" t="s">
        <v>35095</v>
      </c>
      <c r="K10900" t="s">
        <v>36701</v>
      </c>
      <c r="M10900" t="s">
        <v>37437</v>
      </c>
      <c r="N10900" t="s">
        <v>40436</v>
      </c>
      <c r="O10900" t="s">
        <v>40437</v>
      </c>
      <c r="P10900">
        <v>0</v>
      </c>
      <c r="Q10900">
        <v>4</v>
      </c>
      <c r="R10900" t="s">
        <v>40451</v>
      </c>
      <c r="S10900" t="s">
        <v>41005</v>
      </c>
      <c r="T10900" t="s">
        <v>42163</v>
      </c>
      <c r="U10900" t="s">
        <v>51673</v>
      </c>
      <c r="W10900" t="s">
        <v>37437</v>
      </c>
      <c r="X10900" t="s">
        <v>40452</v>
      </c>
    </row>
    <row r="10901" spans="1:24">
      <c r="A10901">
        <f>HYPERLINK("https://www.philgeps.gov.ph/GEPSNONPILOT/Tender/SplashBidNoticeAbstractUI.aspx?menuIndex=3&amp;refID=7025851&amp;Result=3","7025851")</f>
        <v>0</v>
      </c>
      <c r="B10901" t="s">
        <v>1212</v>
      </c>
      <c r="C10901" t="s">
        <v>13494</v>
      </c>
      <c r="D10901" t="s">
        <v>16264</v>
      </c>
      <c r="E10901" t="s">
        <v>25744</v>
      </c>
      <c r="F10901" t="s">
        <v>28198</v>
      </c>
      <c r="G10901" t="s">
        <v>28205</v>
      </c>
      <c r="H10901" t="s">
        <v>28215</v>
      </c>
      <c r="I10901" t="s">
        <v>28312</v>
      </c>
      <c r="J10901" t="s">
        <v>35096</v>
      </c>
      <c r="K10901" t="s">
        <v>36694</v>
      </c>
      <c r="M10901" t="s">
        <v>38257</v>
      </c>
      <c r="N10901" t="s">
        <v>40436</v>
      </c>
      <c r="O10901" t="s">
        <v>40437</v>
      </c>
      <c r="Q10901">
        <v>5</v>
      </c>
      <c r="R10901" t="s">
        <v>40451</v>
      </c>
      <c r="S10901" t="s">
        <v>41082</v>
      </c>
      <c r="T10901" t="s">
        <v>42176</v>
      </c>
      <c r="U10901" t="s">
        <v>51674</v>
      </c>
      <c r="W10901" t="s">
        <v>38257</v>
      </c>
      <c r="X10901" t="s">
        <v>40452</v>
      </c>
    </row>
    <row r="10902" spans="1:24">
      <c r="A10902">
        <f>HYPERLINK("https://www.philgeps.gov.ph/GEPSNONPILOT/Tender/SplashBidNoticeAbstractUI.aspx?menuIndex=3&amp;refID=7025859&amp;Result=3","7025859")</f>
        <v>0</v>
      </c>
      <c r="B10902" t="s">
        <v>2251</v>
      </c>
      <c r="C10902" t="s">
        <v>13495</v>
      </c>
      <c r="D10902" t="s">
        <v>16203</v>
      </c>
      <c r="E10902" t="s">
        <v>25745</v>
      </c>
      <c r="F10902" t="s">
        <v>28198</v>
      </c>
      <c r="G10902" t="s">
        <v>28205</v>
      </c>
      <c r="H10902" t="s">
        <v>28214</v>
      </c>
      <c r="I10902" t="s">
        <v>3797</v>
      </c>
      <c r="J10902" t="s">
        <v>34008</v>
      </c>
      <c r="K10902" t="s">
        <v>36931</v>
      </c>
      <c r="M10902" t="s">
        <v>39421</v>
      </c>
      <c r="N10902" t="s">
        <v>40436</v>
      </c>
      <c r="O10902" t="s">
        <v>40437</v>
      </c>
      <c r="P10902">
        <v>0</v>
      </c>
      <c r="Q10902">
        <v>5</v>
      </c>
      <c r="R10902" t="s">
        <v>40451</v>
      </c>
      <c r="S10902" t="s">
        <v>41005</v>
      </c>
      <c r="T10902" t="s">
        <v>42134</v>
      </c>
      <c r="U10902" t="s">
        <v>51675</v>
      </c>
      <c r="V10902" t="s">
        <v>54976</v>
      </c>
      <c r="W10902" t="s">
        <v>39421</v>
      </c>
      <c r="X10902" t="s">
        <v>40452</v>
      </c>
    </row>
    <row r="10903" spans="1:24">
      <c r="A10903">
        <f>HYPERLINK("https://www.philgeps.gov.ph/GEPSNONPILOT/Tender/SplashBidNoticeAbstractUI.aspx?menuIndex=3&amp;refID=7025891&amp;Result=3","7025891")</f>
        <v>0</v>
      </c>
      <c r="B10903" t="s">
        <v>2053</v>
      </c>
      <c r="C10903" t="s">
        <v>13496</v>
      </c>
      <c r="E10903" t="s">
        <v>25746</v>
      </c>
      <c r="F10903" t="s">
        <v>28198</v>
      </c>
      <c r="G10903" t="s">
        <v>28205</v>
      </c>
      <c r="H10903" t="s">
        <v>28214</v>
      </c>
      <c r="I10903" t="s">
        <v>3797</v>
      </c>
      <c r="J10903" t="s">
        <v>35097</v>
      </c>
      <c r="K10903" t="s">
        <v>36689</v>
      </c>
      <c r="M10903" t="s">
        <v>39199</v>
      </c>
      <c r="N10903" t="s">
        <v>40436</v>
      </c>
      <c r="O10903" t="s">
        <v>40437</v>
      </c>
      <c r="P10903">
        <v>0</v>
      </c>
      <c r="Q10903">
        <v>8</v>
      </c>
      <c r="R10903" t="s">
        <v>40451</v>
      </c>
      <c r="S10903" t="s">
        <v>41005</v>
      </c>
      <c r="T10903" t="s">
        <v>42124</v>
      </c>
      <c r="U10903" t="s">
        <v>51676</v>
      </c>
      <c r="V10903" t="s">
        <v>53826</v>
      </c>
      <c r="W10903" t="s">
        <v>39199</v>
      </c>
      <c r="X10903" t="s">
        <v>40452</v>
      </c>
    </row>
    <row r="10904" spans="1:24">
      <c r="A10904">
        <f>HYPERLINK("https://www.philgeps.gov.ph/GEPSNONPILOT/Tender/SplashBidNoticeAbstractUI.aspx?menuIndex=3&amp;refID=7025853&amp;Result=3","7025853")</f>
        <v>0</v>
      </c>
      <c r="B10904" t="s">
        <v>65</v>
      </c>
      <c r="C10904" t="s">
        <v>10430</v>
      </c>
      <c r="D10904" t="s">
        <v>16210</v>
      </c>
      <c r="E10904" t="s">
        <v>18192</v>
      </c>
      <c r="F10904" t="s">
        <v>28198</v>
      </c>
      <c r="G10904" t="s">
        <v>28205</v>
      </c>
      <c r="H10904" t="s">
        <v>28214</v>
      </c>
      <c r="I10904" t="s">
        <v>3797</v>
      </c>
      <c r="J10904" t="s">
        <v>35098</v>
      </c>
      <c r="K10904" t="s">
        <v>36940</v>
      </c>
      <c r="M10904" t="s">
        <v>38583</v>
      </c>
      <c r="N10904" t="s">
        <v>40436</v>
      </c>
      <c r="O10904" t="s">
        <v>40437</v>
      </c>
      <c r="P10904">
        <v>0</v>
      </c>
      <c r="Q10904">
        <v>7</v>
      </c>
      <c r="R10904" t="s">
        <v>40451</v>
      </c>
      <c r="S10904" t="s">
        <v>41005</v>
      </c>
      <c r="T10904" t="s">
        <v>42134</v>
      </c>
      <c r="U10904" t="s">
        <v>51677</v>
      </c>
      <c r="W10904" t="s">
        <v>38583</v>
      </c>
      <c r="X10904" t="s">
        <v>40452</v>
      </c>
    </row>
    <row r="10905" spans="1:24">
      <c r="A10905">
        <f>HYPERLINK("https://www.philgeps.gov.ph/GEPSNONPILOT/Tender/SplashBidNoticeAbstractUI.aspx?menuIndex=3&amp;refID=7025870&amp;Result=3","7025870")</f>
        <v>0</v>
      </c>
      <c r="B10905" t="s">
        <v>2294</v>
      </c>
      <c r="C10905" t="s">
        <v>13497</v>
      </c>
      <c r="D10905" t="s">
        <v>16262</v>
      </c>
      <c r="E10905" t="s">
        <v>25747</v>
      </c>
      <c r="F10905" t="s">
        <v>28198</v>
      </c>
      <c r="G10905" t="s">
        <v>28205</v>
      </c>
      <c r="H10905" t="s">
        <v>28214</v>
      </c>
      <c r="I10905" t="s">
        <v>3797</v>
      </c>
      <c r="J10905" t="s">
        <v>35099</v>
      </c>
      <c r="K10905" t="s">
        <v>36692</v>
      </c>
      <c r="M10905" t="s">
        <v>39469</v>
      </c>
      <c r="N10905" t="s">
        <v>40436</v>
      </c>
      <c r="O10905" t="s">
        <v>40437</v>
      </c>
      <c r="P10905">
        <v>0</v>
      </c>
      <c r="Q10905">
        <v>0</v>
      </c>
      <c r="R10905" t="s">
        <v>40451</v>
      </c>
      <c r="S10905" t="s">
        <v>41005</v>
      </c>
      <c r="T10905" t="s">
        <v>42133</v>
      </c>
      <c r="U10905" t="s">
        <v>51678</v>
      </c>
      <c r="V10905" t="s">
        <v>54563</v>
      </c>
      <c r="W10905" t="s">
        <v>39469</v>
      </c>
      <c r="X10905" t="s">
        <v>40452</v>
      </c>
    </row>
    <row r="10906" spans="1:24">
      <c r="A10906">
        <f>HYPERLINK("https://www.philgeps.gov.ph/GEPSNONPILOT/Tender/SplashBidNoticeAbstractUI.aspx?menuIndex=3&amp;refID=7026757&amp;Result=3","7026757")</f>
        <v>0</v>
      </c>
      <c r="B10906" t="s">
        <v>2249</v>
      </c>
      <c r="C10906" t="s">
        <v>13498</v>
      </c>
      <c r="D10906" t="s">
        <v>16210</v>
      </c>
      <c r="E10906" t="s">
        <v>25748</v>
      </c>
      <c r="F10906" t="s">
        <v>28198</v>
      </c>
      <c r="G10906" t="s">
        <v>28205</v>
      </c>
      <c r="H10906" t="s">
        <v>28215</v>
      </c>
      <c r="I10906" t="s">
        <v>28234</v>
      </c>
      <c r="J10906" t="s">
        <v>35100</v>
      </c>
      <c r="K10906" t="s">
        <v>36692</v>
      </c>
      <c r="M10906" t="s">
        <v>39419</v>
      </c>
      <c r="N10906" t="s">
        <v>40436</v>
      </c>
      <c r="O10906" t="s">
        <v>40437</v>
      </c>
      <c r="P10906">
        <v>0</v>
      </c>
      <c r="Q10906">
        <v>20</v>
      </c>
      <c r="R10906" t="s">
        <v>40451</v>
      </c>
      <c r="S10906" t="s">
        <v>41005</v>
      </c>
      <c r="T10906" t="s">
        <v>42188</v>
      </c>
      <c r="U10906" t="s">
        <v>51679</v>
      </c>
      <c r="W10906" t="s">
        <v>39419</v>
      </c>
      <c r="X10906" t="s">
        <v>40452</v>
      </c>
    </row>
    <row r="10907" spans="1:24">
      <c r="A10907">
        <f>HYPERLINK("https://www.philgeps.gov.ph/GEPSNONPILOT/Tender/SplashBidNoticeAbstractUI.aspx?menuIndex=3&amp;refID=7026767&amp;Result=3","7026767")</f>
        <v>0</v>
      </c>
      <c r="B10907" t="s">
        <v>1756</v>
      </c>
      <c r="C10907" t="s">
        <v>13499</v>
      </c>
      <c r="D10907" t="s">
        <v>16253</v>
      </c>
      <c r="E10907" t="s">
        <v>25749</v>
      </c>
      <c r="F10907" t="s">
        <v>28198</v>
      </c>
      <c r="G10907" t="s">
        <v>28205</v>
      </c>
      <c r="H10907" t="s">
        <v>28215</v>
      </c>
      <c r="I10907" t="s">
        <v>28228</v>
      </c>
      <c r="J10907" t="s">
        <v>35101</v>
      </c>
      <c r="K10907" t="s">
        <v>36694</v>
      </c>
      <c r="M10907" t="s">
        <v>38869</v>
      </c>
      <c r="N10907" t="s">
        <v>40436</v>
      </c>
      <c r="O10907" t="s">
        <v>40437</v>
      </c>
      <c r="Q10907">
        <v>0</v>
      </c>
      <c r="R10907" t="s">
        <v>40451</v>
      </c>
      <c r="S10907" t="s">
        <v>41083</v>
      </c>
      <c r="T10907" t="s">
        <v>42315</v>
      </c>
      <c r="U10907" t="s">
        <v>51680</v>
      </c>
      <c r="W10907" t="s">
        <v>38869</v>
      </c>
      <c r="X10907" t="s">
        <v>40452</v>
      </c>
    </row>
    <row r="10908" spans="1:24">
      <c r="A10908">
        <f>HYPERLINK("https://www.philgeps.gov.ph/GEPSNONPILOT/Tender/SplashBidNoticeAbstractUI.aspx?menuIndex=3&amp;refID=7026761&amp;Result=3","7026761")</f>
        <v>0</v>
      </c>
      <c r="B10908" t="s">
        <v>2249</v>
      </c>
      <c r="C10908" t="s">
        <v>13500</v>
      </c>
      <c r="D10908" t="s">
        <v>16210</v>
      </c>
      <c r="E10908" t="s">
        <v>25750</v>
      </c>
      <c r="F10908" t="s">
        <v>28198</v>
      </c>
      <c r="G10908" t="s">
        <v>28205</v>
      </c>
      <c r="H10908" t="s">
        <v>28215</v>
      </c>
      <c r="I10908" t="s">
        <v>28234</v>
      </c>
      <c r="J10908" t="s">
        <v>35102</v>
      </c>
      <c r="K10908" t="s">
        <v>36692</v>
      </c>
      <c r="M10908" t="s">
        <v>39419</v>
      </c>
      <c r="N10908" t="s">
        <v>40436</v>
      </c>
      <c r="O10908" t="s">
        <v>40437</v>
      </c>
      <c r="Q10908">
        <v>18</v>
      </c>
      <c r="R10908" t="s">
        <v>40451</v>
      </c>
      <c r="S10908" t="s">
        <v>41084</v>
      </c>
      <c r="T10908" t="s">
        <v>42188</v>
      </c>
      <c r="U10908" t="s">
        <v>51681</v>
      </c>
      <c r="W10908" t="s">
        <v>39419</v>
      </c>
      <c r="X10908" t="s">
        <v>40452</v>
      </c>
    </row>
    <row r="10909" spans="1:24">
      <c r="A10909">
        <f>HYPERLINK("https://www.philgeps.gov.ph/GEPSNONPILOT/Tender/SplashBidNoticeAbstractUI.aspx?menuIndex=3&amp;refID=7026763&amp;Result=3","7026763")</f>
        <v>0</v>
      </c>
      <c r="B10909" t="s">
        <v>2132</v>
      </c>
      <c r="C10909" t="s">
        <v>13501</v>
      </c>
      <c r="D10909" t="s">
        <v>16210</v>
      </c>
      <c r="E10909" t="s">
        <v>25751</v>
      </c>
      <c r="F10909" t="s">
        <v>28198</v>
      </c>
      <c r="G10909" t="s">
        <v>28205</v>
      </c>
      <c r="H10909" t="s">
        <v>28215</v>
      </c>
      <c r="I10909" t="s">
        <v>28272</v>
      </c>
      <c r="J10909" t="s">
        <v>35103</v>
      </c>
      <c r="K10909" t="s">
        <v>36715</v>
      </c>
      <c r="M10909" t="s">
        <v>39289</v>
      </c>
      <c r="N10909" t="s">
        <v>40436</v>
      </c>
      <c r="O10909" t="s">
        <v>40437</v>
      </c>
      <c r="P10909">
        <v>0</v>
      </c>
      <c r="Q10909">
        <v>8</v>
      </c>
      <c r="R10909" t="s">
        <v>40451</v>
      </c>
      <c r="S10909" t="s">
        <v>41005</v>
      </c>
      <c r="T10909" t="s">
        <v>42529</v>
      </c>
      <c r="U10909" t="s">
        <v>44176</v>
      </c>
      <c r="W10909" t="s">
        <v>39289</v>
      </c>
      <c r="X10909" t="s">
        <v>40452</v>
      </c>
    </row>
    <row r="10910" spans="1:24">
      <c r="A10910">
        <f>HYPERLINK("https://www.philgeps.gov.ph/GEPSNONPILOT/Tender/SplashBidNoticeAbstractUI.aspx?menuIndex=3&amp;refID=7026756&amp;Result=3","7026756")</f>
        <v>0</v>
      </c>
      <c r="B10910" t="s">
        <v>453</v>
      </c>
      <c r="C10910" t="s">
        <v>13502</v>
      </c>
      <c r="D10910" t="s">
        <v>16214</v>
      </c>
      <c r="E10910" t="s">
        <v>25752</v>
      </c>
      <c r="F10910" t="s">
        <v>28198</v>
      </c>
      <c r="G10910" t="s">
        <v>28210</v>
      </c>
      <c r="H10910" t="s">
        <v>28215</v>
      </c>
      <c r="I10910" t="s">
        <v>5082</v>
      </c>
      <c r="J10910" t="s">
        <v>28386</v>
      </c>
      <c r="K10910" t="s">
        <v>36707</v>
      </c>
      <c r="M10910" t="s">
        <v>37437</v>
      </c>
      <c r="N10910" t="s">
        <v>40436</v>
      </c>
      <c r="O10910" t="s">
        <v>40437</v>
      </c>
      <c r="P10910">
        <v>0</v>
      </c>
      <c r="Q10910">
        <v>9</v>
      </c>
      <c r="R10910" t="s">
        <v>40451</v>
      </c>
      <c r="S10910" t="s">
        <v>41005</v>
      </c>
      <c r="T10910" t="s">
        <v>42385</v>
      </c>
      <c r="U10910" t="s">
        <v>51682</v>
      </c>
      <c r="W10910" t="s">
        <v>37437</v>
      </c>
      <c r="X10910" t="s">
        <v>40452</v>
      </c>
    </row>
    <row r="10911" spans="1:24">
      <c r="A10911">
        <f>HYPERLINK("https://www.philgeps.gov.ph/GEPSNONPILOT/Tender/SplashBidNoticeAbstractUI.aspx?menuIndex=3&amp;refID=7026733&amp;Result=3","7026733")</f>
        <v>0</v>
      </c>
      <c r="B10911" t="s">
        <v>2132</v>
      </c>
      <c r="C10911" t="s">
        <v>13503</v>
      </c>
      <c r="D10911" t="s">
        <v>16210</v>
      </c>
      <c r="E10911" t="s">
        <v>25753</v>
      </c>
      <c r="F10911" t="s">
        <v>28198</v>
      </c>
      <c r="G10911" t="s">
        <v>28205</v>
      </c>
      <c r="H10911" t="s">
        <v>28215</v>
      </c>
      <c r="I10911" t="s">
        <v>28234</v>
      </c>
      <c r="J10911" t="s">
        <v>28379</v>
      </c>
      <c r="K10911" t="s">
        <v>36715</v>
      </c>
      <c r="M10911" t="s">
        <v>39289</v>
      </c>
      <c r="N10911" t="s">
        <v>40436</v>
      </c>
      <c r="O10911" t="s">
        <v>40437</v>
      </c>
      <c r="Q10911">
        <v>25</v>
      </c>
      <c r="R10911" t="s">
        <v>40451</v>
      </c>
      <c r="S10911" t="s">
        <v>41085</v>
      </c>
      <c r="T10911" t="s">
        <v>42529</v>
      </c>
      <c r="U10911" t="s">
        <v>44176</v>
      </c>
      <c r="W10911" t="s">
        <v>39289</v>
      </c>
      <c r="X10911" t="s">
        <v>40452</v>
      </c>
    </row>
    <row r="10912" spans="1:24">
      <c r="A10912">
        <f>HYPERLINK("https://www.philgeps.gov.ph/GEPSNONPILOT/Tender/SplashBidNoticeAbstractUI.aspx?menuIndex=3&amp;refID=7026728&amp;Result=3","7026728")</f>
        <v>0</v>
      </c>
      <c r="B10912" t="s">
        <v>2845</v>
      </c>
      <c r="C10912" t="s">
        <v>13504</v>
      </c>
      <c r="D10912" t="s">
        <v>16210</v>
      </c>
      <c r="E10912" t="s">
        <v>25754</v>
      </c>
      <c r="F10912" t="s">
        <v>28200</v>
      </c>
      <c r="G10912" t="s">
        <v>28205</v>
      </c>
      <c r="H10912" t="s">
        <v>28215</v>
      </c>
      <c r="I10912" t="s">
        <v>28248</v>
      </c>
      <c r="J10912" t="s">
        <v>28345</v>
      </c>
      <c r="K10912" t="s">
        <v>36689</v>
      </c>
      <c r="M10912" t="s">
        <v>40099</v>
      </c>
      <c r="N10912" t="s">
        <v>40436</v>
      </c>
      <c r="O10912" t="s">
        <v>40437</v>
      </c>
      <c r="P10912">
        <v>0</v>
      </c>
      <c r="Q10912">
        <v>4</v>
      </c>
      <c r="R10912" t="s">
        <v>40451</v>
      </c>
      <c r="S10912" t="s">
        <v>41005</v>
      </c>
      <c r="T10912" t="s">
        <v>42218</v>
      </c>
      <c r="U10912" t="s">
        <v>51683</v>
      </c>
      <c r="W10912" t="s">
        <v>40099</v>
      </c>
      <c r="X10912" t="s">
        <v>40452</v>
      </c>
    </row>
    <row r="10913" spans="1:24">
      <c r="A10913">
        <f>HYPERLINK("https://www.philgeps.gov.ph/GEPSNONPILOT/Tender/SplashBidNoticeAbstractUI.aspx?menuIndex=3&amp;refID=7026771&amp;Result=3","7026771")</f>
        <v>0</v>
      </c>
      <c r="B10913" t="s">
        <v>1061</v>
      </c>
      <c r="C10913" t="s">
        <v>13505</v>
      </c>
      <c r="D10913" t="s">
        <v>16210</v>
      </c>
      <c r="E10913" t="s">
        <v>25755</v>
      </c>
      <c r="F10913" t="s">
        <v>28198</v>
      </c>
      <c r="G10913" t="s">
        <v>28205</v>
      </c>
      <c r="H10913" t="s">
        <v>28215</v>
      </c>
      <c r="I10913" t="s">
        <v>28234</v>
      </c>
      <c r="J10913" t="s">
        <v>35104</v>
      </c>
      <c r="K10913" t="s">
        <v>36707</v>
      </c>
      <c r="M10913" t="s">
        <v>38094</v>
      </c>
      <c r="N10913" t="s">
        <v>40436</v>
      </c>
      <c r="O10913" t="s">
        <v>40437</v>
      </c>
      <c r="P10913">
        <v>0</v>
      </c>
      <c r="Q10913">
        <v>12</v>
      </c>
      <c r="R10913" t="s">
        <v>40451</v>
      </c>
      <c r="S10913" t="s">
        <v>41005</v>
      </c>
      <c r="T10913" t="s">
        <v>42562</v>
      </c>
      <c r="U10913" t="s">
        <v>51684</v>
      </c>
      <c r="W10913" t="s">
        <v>38094</v>
      </c>
      <c r="X10913" t="s">
        <v>40452</v>
      </c>
    </row>
    <row r="10914" spans="1:24">
      <c r="A10914">
        <f>HYPERLINK("https://www.philgeps.gov.ph/GEPSNONPILOT/Tender/SplashBidNoticeAbstractUI.aspx?menuIndex=3&amp;refID=7026778&amp;Result=3","7026778")</f>
        <v>0</v>
      </c>
      <c r="B10914" t="s">
        <v>2422</v>
      </c>
      <c r="C10914" t="s">
        <v>13506</v>
      </c>
      <c r="D10914" t="s">
        <v>16210</v>
      </c>
      <c r="E10914" t="s">
        <v>25137</v>
      </c>
      <c r="F10914" t="s">
        <v>28198</v>
      </c>
      <c r="G10914" t="s">
        <v>28207</v>
      </c>
      <c r="H10914" t="s">
        <v>28215</v>
      </c>
      <c r="I10914" t="s">
        <v>4200</v>
      </c>
      <c r="J10914" t="s">
        <v>35105</v>
      </c>
      <c r="K10914" t="s">
        <v>36689</v>
      </c>
      <c r="M10914" t="s">
        <v>40100</v>
      </c>
      <c r="N10914" t="s">
        <v>40436</v>
      </c>
      <c r="O10914" t="s">
        <v>40437</v>
      </c>
      <c r="Q10914">
        <v>4</v>
      </c>
      <c r="R10914" t="s">
        <v>40451</v>
      </c>
      <c r="S10914" t="s">
        <v>41086</v>
      </c>
      <c r="T10914" t="s">
        <v>42563</v>
      </c>
      <c r="U10914" t="s">
        <v>51685</v>
      </c>
      <c r="V10914" t="s">
        <v>54985</v>
      </c>
      <c r="W10914" t="s">
        <v>40100</v>
      </c>
      <c r="X10914" t="s">
        <v>40452</v>
      </c>
    </row>
    <row r="10915" spans="1:24">
      <c r="A10915">
        <f>HYPERLINK("https://www.philgeps.gov.ph/GEPSNONPILOT/Tender/SplashBidNoticeAbstractUI.aspx?menuIndex=3&amp;refID=7026792&amp;Result=3","7026792")</f>
        <v>0</v>
      </c>
      <c r="B10915" t="s">
        <v>497</v>
      </c>
      <c r="C10915" t="s">
        <v>13507</v>
      </c>
      <c r="D10915" t="s">
        <v>16191</v>
      </c>
      <c r="E10915" t="s">
        <v>25756</v>
      </c>
      <c r="F10915" t="s">
        <v>28198</v>
      </c>
      <c r="G10915" t="s">
        <v>28205</v>
      </c>
      <c r="H10915" t="s">
        <v>28214</v>
      </c>
      <c r="I10915" t="s">
        <v>3797</v>
      </c>
      <c r="J10915" t="s">
        <v>35106</v>
      </c>
      <c r="K10915" t="s">
        <v>36692</v>
      </c>
      <c r="M10915" t="s">
        <v>37482</v>
      </c>
      <c r="N10915" t="s">
        <v>40436</v>
      </c>
      <c r="O10915" t="s">
        <v>40437</v>
      </c>
      <c r="P10915">
        <v>0</v>
      </c>
      <c r="Q10915">
        <v>3</v>
      </c>
      <c r="R10915" t="s">
        <v>40451</v>
      </c>
      <c r="S10915" t="s">
        <v>41005</v>
      </c>
      <c r="T10915" t="s">
        <v>42203</v>
      </c>
      <c r="U10915" t="s">
        <v>51686</v>
      </c>
      <c r="W10915" t="s">
        <v>37482</v>
      </c>
      <c r="X10915" t="s">
        <v>40452</v>
      </c>
    </row>
    <row r="10916" spans="1:24">
      <c r="A10916">
        <f>HYPERLINK("https://www.philgeps.gov.ph/GEPSNONPILOT/Tender/SplashBidNoticeAbstractUI.aspx?menuIndex=3&amp;refID=7026774&amp;Result=3","7026774")</f>
        <v>0</v>
      </c>
      <c r="B10916" t="s">
        <v>2733</v>
      </c>
      <c r="C10916" t="s">
        <v>13508</v>
      </c>
      <c r="D10916" t="s">
        <v>16187</v>
      </c>
      <c r="E10916" t="s">
        <v>25757</v>
      </c>
      <c r="F10916" t="s">
        <v>28198</v>
      </c>
      <c r="G10916" t="s">
        <v>28205</v>
      </c>
      <c r="H10916" t="s">
        <v>28214</v>
      </c>
      <c r="I10916" t="s">
        <v>3797</v>
      </c>
      <c r="J10916" t="s">
        <v>28351</v>
      </c>
      <c r="K10916" t="s">
        <v>36823</v>
      </c>
      <c r="M10916" t="s">
        <v>39979</v>
      </c>
      <c r="N10916" t="s">
        <v>40436</v>
      </c>
      <c r="O10916" t="s">
        <v>40437</v>
      </c>
      <c r="P10916">
        <v>0</v>
      </c>
      <c r="Q10916">
        <v>0</v>
      </c>
      <c r="R10916" t="s">
        <v>40451</v>
      </c>
      <c r="S10916" t="s">
        <v>41005</v>
      </c>
      <c r="T10916" t="s">
        <v>42134</v>
      </c>
      <c r="U10916" t="s">
        <v>51687</v>
      </c>
      <c r="W10916" t="s">
        <v>39979</v>
      </c>
      <c r="X10916" t="s">
        <v>40452</v>
      </c>
    </row>
    <row r="10917" spans="1:24">
      <c r="A10917">
        <f>HYPERLINK("https://www.philgeps.gov.ph/GEPSNONPILOT/Tender/SplashBidNoticeAbstractUI.aspx?menuIndex=3&amp;refID=7026787&amp;Result=3","7026787")</f>
        <v>0</v>
      </c>
      <c r="B10917" t="s">
        <v>497</v>
      </c>
      <c r="C10917" t="s">
        <v>13509</v>
      </c>
      <c r="D10917" t="s">
        <v>16191</v>
      </c>
      <c r="E10917" t="s">
        <v>25758</v>
      </c>
      <c r="F10917" t="s">
        <v>28198</v>
      </c>
      <c r="G10917" t="s">
        <v>28205</v>
      </c>
      <c r="H10917" t="s">
        <v>28214</v>
      </c>
      <c r="I10917" t="s">
        <v>3797</v>
      </c>
      <c r="J10917" t="s">
        <v>30991</v>
      </c>
      <c r="K10917" t="s">
        <v>36692</v>
      </c>
      <c r="M10917" t="s">
        <v>37482</v>
      </c>
      <c r="N10917" t="s">
        <v>40436</v>
      </c>
      <c r="O10917" t="s">
        <v>40437</v>
      </c>
      <c r="Q10917">
        <v>2</v>
      </c>
      <c r="R10917" t="s">
        <v>40451</v>
      </c>
      <c r="S10917" t="s">
        <v>41087</v>
      </c>
      <c r="T10917" t="s">
        <v>42203</v>
      </c>
      <c r="U10917" t="s">
        <v>51688</v>
      </c>
      <c r="W10917" t="s">
        <v>37482</v>
      </c>
      <c r="X10917" t="s">
        <v>40452</v>
      </c>
    </row>
    <row r="10918" spans="1:24">
      <c r="A10918">
        <f>HYPERLINK("https://www.philgeps.gov.ph/GEPSNONPILOT/Tender/SplashBidNoticeAbstractUI.aspx?menuIndex=3&amp;refID=7026788&amp;Result=3","7026788")</f>
        <v>0</v>
      </c>
      <c r="B10918" t="s">
        <v>1729</v>
      </c>
      <c r="C10918" t="s">
        <v>13510</v>
      </c>
      <c r="D10918" t="s">
        <v>16249</v>
      </c>
      <c r="E10918" t="s">
        <v>25759</v>
      </c>
      <c r="F10918" t="s">
        <v>28198</v>
      </c>
      <c r="G10918" t="s">
        <v>28205</v>
      </c>
      <c r="H10918" t="s">
        <v>28214</v>
      </c>
      <c r="I10918" t="s">
        <v>3797</v>
      </c>
      <c r="J10918" t="s">
        <v>31928</v>
      </c>
      <c r="K10918" t="s">
        <v>36877</v>
      </c>
      <c r="M10918" t="s">
        <v>40101</v>
      </c>
      <c r="N10918" t="s">
        <v>40436</v>
      </c>
      <c r="O10918" t="s">
        <v>40437</v>
      </c>
      <c r="Q10918">
        <v>118</v>
      </c>
      <c r="R10918" t="s">
        <v>40451</v>
      </c>
      <c r="S10918" t="s">
        <v>41088</v>
      </c>
      <c r="T10918" t="s">
        <v>42346</v>
      </c>
      <c r="U10918" t="s">
        <v>51689</v>
      </c>
      <c r="V10918" t="s">
        <v>54986</v>
      </c>
      <c r="W10918" t="s">
        <v>55537</v>
      </c>
      <c r="X10918" t="s">
        <v>40452</v>
      </c>
    </row>
    <row r="10919" spans="1:24">
      <c r="A10919">
        <f>HYPERLINK("https://www.philgeps.gov.ph/GEPSNONPILOT/Tender/SplashBidNoticeAbstractUI.aspx?menuIndex=3&amp;refID=7026722&amp;Result=3","7026722")</f>
        <v>0</v>
      </c>
      <c r="B10919" t="s">
        <v>2846</v>
      </c>
      <c r="C10919" t="s">
        <v>13511</v>
      </c>
      <c r="D10919" t="s">
        <v>16210</v>
      </c>
      <c r="E10919" t="s">
        <v>25760</v>
      </c>
      <c r="F10919" t="s">
        <v>28201</v>
      </c>
      <c r="G10919" t="s">
        <v>28205</v>
      </c>
      <c r="H10919" t="s">
        <v>28215</v>
      </c>
      <c r="I10919" t="s">
        <v>4200</v>
      </c>
      <c r="J10919" t="s">
        <v>28397</v>
      </c>
      <c r="K10919" t="s">
        <v>36688</v>
      </c>
      <c r="M10919" t="s">
        <v>40102</v>
      </c>
      <c r="N10919" t="s">
        <v>40436</v>
      </c>
      <c r="O10919" t="s">
        <v>40437</v>
      </c>
      <c r="P10919">
        <v>0</v>
      </c>
      <c r="Q10919">
        <v>1</v>
      </c>
      <c r="R10919" t="s">
        <v>40451</v>
      </c>
      <c r="S10919" t="s">
        <v>41005</v>
      </c>
      <c r="T10919" t="s">
        <v>42184</v>
      </c>
      <c r="U10919" t="s">
        <v>51690</v>
      </c>
      <c r="W10919" t="s">
        <v>40102</v>
      </c>
      <c r="X10919" t="s">
        <v>40452</v>
      </c>
    </row>
    <row r="10920" spans="1:24">
      <c r="A10920">
        <f>HYPERLINK("https://www.philgeps.gov.ph/GEPSNONPILOT/Tender/SplashBidNoticeAbstractUI.aspx?menuIndex=3&amp;refID=7026793&amp;Result=3","7026793")</f>
        <v>0</v>
      </c>
      <c r="B10920" t="s">
        <v>1756</v>
      </c>
      <c r="C10920" t="s">
        <v>13512</v>
      </c>
      <c r="D10920" t="s">
        <v>16253</v>
      </c>
      <c r="E10920" t="s">
        <v>25761</v>
      </c>
      <c r="F10920" t="s">
        <v>28198</v>
      </c>
      <c r="G10920" t="s">
        <v>28205</v>
      </c>
      <c r="H10920" t="s">
        <v>28215</v>
      </c>
      <c r="I10920" t="s">
        <v>5631</v>
      </c>
      <c r="J10920" t="s">
        <v>35107</v>
      </c>
      <c r="K10920" t="s">
        <v>36694</v>
      </c>
      <c r="M10920" t="s">
        <v>38869</v>
      </c>
      <c r="N10920" t="s">
        <v>40436</v>
      </c>
      <c r="O10920" t="s">
        <v>40437</v>
      </c>
      <c r="Q10920">
        <v>1</v>
      </c>
      <c r="R10920" t="s">
        <v>40451</v>
      </c>
      <c r="S10920" t="s">
        <v>41089</v>
      </c>
      <c r="T10920" t="s">
        <v>42315</v>
      </c>
      <c r="U10920" t="s">
        <v>51691</v>
      </c>
      <c r="W10920" t="s">
        <v>38869</v>
      </c>
      <c r="X10920" t="s">
        <v>40452</v>
      </c>
    </row>
    <row r="10921" spans="1:24">
      <c r="A10921">
        <f>HYPERLINK("https://www.philgeps.gov.ph/GEPSNONPILOT/Tender/SplashBidNoticeAbstractUI.aspx?menuIndex=3&amp;refID=7026723&amp;Result=3","7026723")</f>
        <v>0</v>
      </c>
      <c r="B10921" t="s">
        <v>1398</v>
      </c>
      <c r="C10921" t="s">
        <v>13513</v>
      </c>
      <c r="D10921" t="s">
        <v>16210</v>
      </c>
      <c r="E10921" t="s">
        <v>25762</v>
      </c>
      <c r="F10921" t="s">
        <v>28198</v>
      </c>
      <c r="G10921" t="s">
        <v>28205</v>
      </c>
      <c r="H10921" t="s">
        <v>28214</v>
      </c>
      <c r="I10921" t="s">
        <v>3797</v>
      </c>
      <c r="J10921" t="s">
        <v>35108</v>
      </c>
      <c r="K10921" t="s">
        <v>36690</v>
      </c>
      <c r="M10921" t="s">
        <v>40103</v>
      </c>
      <c r="N10921" t="s">
        <v>40436</v>
      </c>
      <c r="O10921" t="s">
        <v>40437</v>
      </c>
      <c r="P10921">
        <v>0</v>
      </c>
      <c r="Q10921">
        <v>64</v>
      </c>
      <c r="R10921" t="s">
        <v>40451</v>
      </c>
      <c r="S10921" t="s">
        <v>41005</v>
      </c>
      <c r="T10921" t="s">
        <v>42148</v>
      </c>
      <c r="U10921" t="s">
        <v>51692</v>
      </c>
      <c r="W10921" t="s">
        <v>40103</v>
      </c>
      <c r="X10921" t="s">
        <v>40452</v>
      </c>
    </row>
    <row r="10922" spans="1:24">
      <c r="A10922">
        <f>HYPERLINK("https://www.philgeps.gov.ph/GEPSNONPILOT/Tender/SplashBidNoticeAbstractUI.aspx?menuIndex=3&amp;refID=7026791&amp;Result=3","7026791")</f>
        <v>0</v>
      </c>
      <c r="B10922" t="s">
        <v>1729</v>
      </c>
      <c r="C10922" t="s">
        <v>13514</v>
      </c>
      <c r="D10922" t="s">
        <v>16249</v>
      </c>
      <c r="E10922" t="s">
        <v>25763</v>
      </c>
      <c r="F10922" t="s">
        <v>28198</v>
      </c>
      <c r="G10922" t="s">
        <v>28205</v>
      </c>
      <c r="H10922" t="s">
        <v>28214</v>
      </c>
      <c r="I10922" t="s">
        <v>3797</v>
      </c>
      <c r="J10922" t="s">
        <v>35109</v>
      </c>
      <c r="K10922" t="s">
        <v>36690</v>
      </c>
      <c r="M10922" t="s">
        <v>40101</v>
      </c>
      <c r="N10922" t="s">
        <v>40436</v>
      </c>
      <c r="O10922" t="s">
        <v>40437</v>
      </c>
      <c r="Q10922">
        <v>116</v>
      </c>
      <c r="R10922" t="s">
        <v>40451</v>
      </c>
      <c r="S10922" t="s">
        <v>41090</v>
      </c>
      <c r="T10922" t="s">
        <v>42346</v>
      </c>
      <c r="U10922" t="s">
        <v>51689</v>
      </c>
      <c r="V10922" t="s">
        <v>54987</v>
      </c>
      <c r="W10922" t="s">
        <v>55537</v>
      </c>
      <c r="X10922" t="s">
        <v>40452</v>
      </c>
    </row>
    <row r="10923" spans="1:24">
      <c r="A10923">
        <f>HYPERLINK("https://www.philgeps.gov.ph/GEPSNONPILOT/Tender/SplashBidNoticeAbstractUI.aspx?menuIndex=3&amp;refID=7026796&amp;Result=3","7026796")</f>
        <v>0</v>
      </c>
      <c r="B10923" t="s">
        <v>1729</v>
      </c>
      <c r="C10923" t="s">
        <v>13515</v>
      </c>
      <c r="D10923" t="s">
        <v>16249</v>
      </c>
      <c r="E10923" t="s">
        <v>25764</v>
      </c>
      <c r="F10923" t="s">
        <v>28198</v>
      </c>
      <c r="G10923" t="s">
        <v>28205</v>
      </c>
      <c r="H10923" t="s">
        <v>28214</v>
      </c>
      <c r="I10923" t="s">
        <v>3797</v>
      </c>
      <c r="J10923" t="s">
        <v>28730</v>
      </c>
      <c r="K10923" t="s">
        <v>36877</v>
      </c>
      <c r="M10923" t="s">
        <v>40101</v>
      </c>
      <c r="N10923" t="s">
        <v>40436</v>
      </c>
      <c r="O10923" t="s">
        <v>40437</v>
      </c>
      <c r="Q10923">
        <v>117</v>
      </c>
      <c r="R10923" t="s">
        <v>40451</v>
      </c>
      <c r="S10923" t="s">
        <v>41091</v>
      </c>
      <c r="T10923" t="s">
        <v>42346</v>
      </c>
      <c r="U10923" t="s">
        <v>51689</v>
      </c>
      <c r="V10923" t="s">
        <v>54988</v>
      </c>
      <c r="W10923" t="s">
        <v>55537</v>
      </c>
      <c r="X10923" t="s">
        <v>40452</v>
      </c>
    </row>
    <row r="10924" spans="1:24">
      <c r="A10924">
        <f>HYPERLINK("https://www.philgeps.gov.ph/GEPSNONPILOT/Tender/SplashBidNoticeAbstractUI.aspx?menuIndex=3&amp;refID=7026795&amp;Result=3","7026795")</f>
        <v>0</v>
      </c>
      <c r="B10924" t="s">
        <v>2041</v>
      </c>
      <c r="C10924" t="s">
        <v>13516</v>
      </c>
      <c r="D10924" t="s">
        <v>16196</v>
      </c>
      <c r="E10924" t="s">
        <v>25765</v>
      </c>
      <c r="F10924" t="s">
        <v>28198</v>
      </c>
      <c r="G10924" t="s">
        <v>28205</v>
      </c>
      <c r="H10924" t="s">
        <v>28214</v>
      </c>
      <c r="I10924" t="s">
        <v>3797</v>
      </c>
      <c r="J10924" t="s">
        <v>29526</v>
      </c>
      <c r="K10924" t="s">
        <v>36919</v>
      </c>
      <c r="M10924" t="s">
        <v>39184</v>
      </c>
      <c r="N10924" t="s">
        <v>40436</v>
      </c>
      <c r="O10924" t="s">
        <v>40437</v>
      </c>
      <c r="Q10924">
        <v>44</v>
      </c>
      <c r="R10924" t="s">
        <v>40451</v>
      </c>
      <c r="S10924" t="s">
        <v>41092</v>
      </c>
      <c r="T10924" t="s">
        <v>42175</v>
      </c>
      <c r="U10924" t="s">
        <v>51693</v>
      </c>
      <c r="W10924" t="s">
        <v>39184</v>
      </c>
      <c r="X10924" t="s">
        <v>40452</v>
      </c>
    </row>
    <row r="10925" spans="1:24">
      <c r="A10925">
        <f>HYPERLINK("https://www.philgeps.gov.ph/GEPSNONPILOT/Tender/SplashBidNoticeAbstractUI.aspx?menuIndex=3&amp;refID=7026797&amp;Result=3","7026797")</f>
        <v>0</v>
      </c>
      <c r="B10925" t="s">
        <v>2422</v>
      </c>
      <c r="C10925" t="s">
        <v>13517</v>
      </c>
      <c r="D10925" t="s">
        <v>16210</v>
      </c>
      <c r="E10925" t="s">
        <v>25766</v>
      </c>
      <c r="F10925" t="s">
        <v>28198</v>
      </c>
      <c r="G10925" t="s">
        <v>28207</v>
      </c>
      <c r="H10925" t="s">
        <v>28215</v>
      </c>
      <c r="I10925" t="s">
        <v>4200</v>
      </c>
      <c r="J10925" t="s">
        <v>28594</v>
      </c>
      <c r="K10925" t="s">
        <v>36689</v>
      </c>
      <c r="M10925" t="s">
        <v>40100</v>
      </c>
      <c r="N10925" t="s">
        <v>40436</v>
      </c>
      <c r="O10925" t="s">
        <v>40437</v>
      </c>
      <c r="Q10925">
        <v>2</v>
      </c>
      <c r="R10925" t="s">
        <v>40451</v>
      </c>
      <c r="S10925" t="s">
        <v>41093</v>
      </c>
      <c r="T10925" t="s">
        <v>42563</v>
      </c>
      <c r="U10925" t="s">
        <v>51694</v>
      </c>
      <c r="V10925" t="s">
        <v>54985</v>
      </c>
      <c r="W10925" t="s">
        <v>40100</v>
      </c>
      <c r="X10925" t="s">
        <v>40452</v>
      </c>
    </row>
    <row r="10926" spans="1:24">
      <c r="A10926">
        <f>HYPERLINK("https://www.philgeps.gov.ph/GEPSNONPILOT/Tender/SplashBidNoticeAbstractUI.aspx?menuIndex=3&amp;refID=7026725&amp;Result=3","7026725")</f>
        <v>0</v>
      </c>
      <c r="B10926" t="s">
        <v>2731</v>
      </c>
      <c r="C10926" t="s">
        <v>13518</v>
      </c>
      <c r="D10926" t="s">
        <v>16195</v>
      </c>
      <c r="E10926" t="s">
        <v>18921</v>
      </c>
      <c r="F10926" t="s">
        <v>28202</v>
      </c>
      <c r="G10926" t="s">
        <v>28205</v>
      </c>
      <c r="H10926" t="s">
        <v>28215</v>
      </c>
      <c r="I10926" t="s">
        <v>28227</v>
      </c>
      <c r="J10926" t="s">
        <v>28422</v>
      </c>
      <c r="K10926" t="s">
        <v>36707</v>
      </c>
      <c r="M10926" t="s">
        <v>39977</v>
      </c>
      <c r="N10926" t="s">
        <v>40436</v>
      </c>
      <c r="O10926" t="s">
        <v>40437</v>
      </c>
      <c r="P10926">
        <v>0</v>
      </c>
      <c r="Q10926">
        <v>2</v>
      </c>
      <c r="R10926" t="s">
        <v>40451</v>
      </c>
      <c r="S10926" t="s">
        <v>41005</v>
      </c>
      <c r="T10926" t="s">
        <v>42233</v>
      </c>
      <c r="U10926" t="s">
        <v>51695</v>
      </c>
      <c r="V10926" t="s">
        <v>54989</v>
      </c>
      <c r="W10926" t="s">
        <v>39977</v>
      </c>
      <c r="X10926" t="s">
        <v>40452</v>
      </c>
    </row>
    <row r="10927" spans="1:24">
      <c r="A10927">
        <f>HYPERLINK("https://www.philgeps.gov.ph/GEPSNONPILOT/Tender/SplashBidNoticeAbstractUI.aspx?menuIndex=3&amp;refID=7026807&amp;Result=3","7026807")</f>
        <v>0</v>
      </c>
      <c r="B10927" t="s">
        <v>2847</v>
      </c>
      <c r="C10927" t="s">
        <v>13519</v>
      </c>
      <c r="E10927" t="s">
        <v>25767</v>
      </c>
      <c r="F10927" t="s">
        <v>28198</v>
      </c>
      <c r="G10927" t="s">
        <v>28205</v>
      </c>
      <c r="H10927" t="s">
        <v>28214</v>
      </c>
      <c r="I10927" t="s">
        <v>3797</v>
      </c>
      <c r="J10927" t="s">
        <v>35110</v>
      </c>
      <c r="K10927" t="s">
        <v>36689</v>
      </c>
      <c r="M10927" t="s">
        <v>40104</v>
      </c>
      <c r="N10927" t="s">
        <v>40436</v>
      </c>
      <c r="O10927" t="s">
        <v>40437</v>
      </c>
      <c r="P10927">
        <v>0</v>
      </c>
      <c r="Q10927">
        <v>2</v>
      </c>
      <c r="R10927" t="s">
        <v>40451</v>
      </c>
      <c r="S10927" t="s">
        <v>41005</v>
      </c>
      <c r="T10927" t="s">
        <v>42133</v>
      </c>
      <c r="U10927" t="s">
        <v>51696</v>
      </c>
      <c r="W10927" t="s">
        <v>40104</v>
      </c>
      <c r="X10927" t="s">
        <v>40452</v>
      </c>
    </row>
    <row r="10928" spans="1:24">
      <c r="A10928">
        <f>HYPERLINK("https://www.philgeps.gov.ph/GEPSNONPILOT/Tender/SplashBidNoticeAbstractUI.aspx?menuIndex=3&amp;refID=7026798&amp;Result=3","7026798")</f>
        <v>0</v>
      </c>
      <c r="B10928" t="s">
        <v>497</v>
      </c>
      <c r="C10928" t="s">
        <v>13520</v>
      </c>
      <c r="D10928" t="s">
        <v>16191</v>
      </c>
      <c r="E10928" t="s">
        <v>25768</v>
      </c>
      <c r="F10928" t="s">
        <v>28198</v>
      </c>
      <c r="G10928" t="s">
        <v>28205</v>
      </c>
      <c r="H10928" t="s">
        <v>28214</v>
      </c>
      <c r="I10928" t="s">
        <v>3797</v>
      </c>
      <c r="J10928" t="s">
        <v>35111</v>
      </c>
      <c r="K10928" t="s">
        <v>36692</v>
      </c>
      <c r="M10928" t="s">
        <v>37482</v>
      </c>
      <c r="N10928" t="s">
        <v>40436</v>
      </c>
      <c r="O10928" t="s">
        <v>40437</v>
      </c>
      <c r="P10928">
        <v>0</v>
      </c>
      <c r="Q10928">
        <v>1</v>
      </c>
      <c r="R10928" t="s">
        <v>40451</v>
      </c>
      <c r="S10928" t="s">
        <v>41005</v>
      </c>
      <c r="T10928" t="s">
        <v>42203</v>
      </c>
      <c r="U10928" t="s">
        <v>51697</v>
      </c>
      <c r="W10928" t="s">
        <v>37482</v>
      </c>
      <c r="X10928" t="s">
        <v>40452</v>
      </c>
    </row>
    <row r="10929" spans="1:24">
      <c r="A10929">
        <f>HYPERLINK("https://www.philgeps.gov.ph/GEPSNONPILOT/Tender/SplashBidNoticeAbstractUI.aspx?menuIndex=3&amp;refID=7026801&amp;Result=3","7026801")</f>
        <v>0</v>
      </c>
      <c r="B10929" t="s">
        <v>1729</v>
      </c>
      <c r="C10929" t="s">
        <v>13521</v>
      </c>
      <c r="D10929" t="s">
        <v>16249</v>
      </c>
      <c r="E10929" t="s">
        <v>25769</v>
      </c>
      <c r="F10929" t="s">
        <v>28198</v>
      </c>
      <c r="G10929" t="s">
        <v>28205</v>
      </c>
      <c r="H10929" t="s">
        <v>28214</v>
      </c>
      <c r="I10929" t="s">
        <v>3797</v>
      </c>
      <c r="J10929" t="s">
        <v>28351</v>
      </c>
      <c r="K10929" t="s">
        <v>36697</v>
      </c>
      <c r="M10929" t="s">
        <v>40101</v>
      </c>
      <c r="N10929" t="s">
        <v>40436</v>
      </c>
      <c r="O10929" t="s">
        <v>40437</v>
      </c>
      <c r="Q10929">
        <v>119</v>
      </c>
      <c r="R10929" t="s">
        <v>40451</v>
      </c>
      <c r="S10929" t="s">
        <v>40840</v>
      </c>
      <c r="T10929" t="s">
        <v>42346</v>
      </c>
      <c r="U10929" t="s">
        <v>51689</v>
      </c>
      <c r="V10929" t="s">
        <v>54990</v>
      </c>
      <c r="W10929" t="s">
        <v>55537</v>
      </c>
      <c r="X10929" t="s">
        <v>40452</v>
      </c>
    </row>
    <row r="10930" spans="1:24">
      <c r="A10930">
        <f>HYPERLINK("https://www.philgeps.gov.ph/GEPSNONPILOT/Tender/SplashBidNoticeAbstractUI.aspx?menuIndex=3&amp;refID=7026784&amp;Result=3","7026784")</f>
        <v>0</v>
      </c>
      <c r="B10930" t="s">
        <v>2733</v>
      </c>
      <c r="C10930" t="s">
        <v>13522</v>
      </c>
      <c r="D10930" t="s">
        <v>16187</v>
      </c>
      <c r="E10930" t="s">
        <v>25770</v>
      </c>
      <c r="F10930" t="s">
        <v>28198</v>
      </c>
      <c r="G10930" t="s">
        <v>28205</v>
      </c>
      <c r="H10930" t="s">
        <v>28215</v>
      </c>
      <c r="I10930" t="s">
        <v>5100</v>
      </c>
      <c r="J10930" t="s">
        <v>35112</v>
      </c>
      <c r="K10930" t="s">
        <v>36706</v>
      </c>
      <c r="M10930" t="s">
        <v>39979</v>
      </c>
      <c r="N10930" t="s">
        <v>40436</v>
      </c>
      <c r="O10930" t="s">
        <v>40437</v>
      </c>
      <c r="P10930">
        <v>0</v>
      </c>
      <c r="Q10930">
        <v>0</v>
      </c>
      <c r="R10930" t="s">
        <v>40451</v>
      </c>
      <c r="S10930" t="s">
        <v>41005</v>
      </c>
      <c r="T10930" t="s">
        <v>42134</v>
      </c>
      <c r="U10930" t="s">
        <v>51698</v>
      </c>
      <c r="W10930" t="s">
        <v>39979</v>
      </c>
      <c r="X10930" t="s">
        <v>40452</v>
      </c>
    </row>
    <row r="10931" spans="1:24">
      <c r="A10931">
        <f>HYPERLINK("https://www.philgeps.gov.ph/GEPSNONPILOT/Tender/SplashBidNoticeAbstractUI.aspx?menuIndex=3&amp;refID=7026809&amp;Result=3","7026809")</f>
        <v>0</v>
      </c>
      <c r="B10931" t="s">
        <v>497</v>
      </c>
      <c r="C10931" t="s">
        <v>13523</v>
      </c>
      <c r="D10931" t="s">
        <v>16191</v>
      </c>
      <c r="E10931" t="s">
        <v>25771</v>
      </c>
      <c r="F10931" t="s">
        <v>28198</v>
      </c>
      <c r="G10931" t="s">
        <v>28205</v>
      </c>
      <c r="H10931" t="s">
        <v>28215</v>
      </c>
      <c r="I10931" t="s">
        <v>4200</v>
      </c>
      <c r="J10931" t="s">
        <v>35113</v>
      </c>
      <c r="K10931" t="s">
        <v>36706</v>
      </c>
      <c r="M10931" t="s">
        <v>37482</v>
      </c>
      <c r="N10931" t="s">
        <v>40436</v>
      </c>
      <c r="O10931" t="s">
        <v>40437</v>
      </c>
      <c r="P10931">
        <v>0</v>
      </c>
      <c r="Q10931">
        <v>1</v>
      </c>
      <c r="R10931" t="s">
        <v>40451</v>
      </c>
      <c r="S10931" t="s">
        <v>41005</v>
      </c>
      <c r="T10931" t="s">
        <v>42203</v>
      </c>
      <c r="U10931" t="s">
        <v>51699</v>
      </c>
      <c r="W10931" t="s">
        <v>37482</v>
      </c>
      <c r="X10931" t="s">
        <v>40452</v>
      </c>
    </row>
    <row r="10932" spans="1:24">
      <c r="A10932">
        <f>HYPERLINK("https://www.philgeps.gov.ph/GEPSNONPILOT/Tender/SplashBidNoticeAbstractUI.aspx?menuIndex=3&amp;refID=7026800&amp;Result=3","7026800")</f>
        <v>0</v>
      </c>
      <c r="B10932" t="s">
        <v>591</v>
      </c>
      <c r="C10932" t="s">
        <v>13524</v>
      </c>
      <c r="D10932" t="s">
        <v>16228</v>
      </c>
      <c r="E10932" t="s">
        <v>25772</v>
      </c>
      <c r="F10932" t="s">
        <v>28198</v>
      </c>
      <c r="G10932" t="s">
        <v>28205</v>
      </c>
      <c r="H10932" t="s">
        <v>28214</v>
      </c>
      <c r="I10932" t="s">
        <v>3797</v>
      </c>
      <c r="J10932" t="s">
        <v>28390</v>
      </c>
      <c r="K10932" t="s">
        <v>36689</v>
      </c>
      <c r="M10932" t="s">
        <v>37580</v>
      </c>
      <c r="N10932" t="s">
        <v>40436</v>
      </c>
      <c r="O10932" t="s">
        <v>40437</v>
      </c>
      <c r="P10932">
        <v>0</v>
      </c>
      <c r="Q10932">
        <v>5</v>
      </c>
      <c r="R10932" t="s">
        <v>40451</v>
      </c>
      <c r="S10932" t="s">
        <v>41005</v>
      </c>
      <c r="T10932" t="s">
        <v>42346</v>
      </c>
      <c r="U10932" t="s">
        <v>51700</v>
      </c>
      <c r="W10932" t="s">
        <v>37580</v>
      </c>
      <c r="X10932" t="s">
        <v>40452</v>
      </c>
    </row>
    <row r="10933" spans="1:24">
      <c r="A10933">
        <f>HYPERLINK("https://www.philgeps.gov.ph/GEPSNONPILOT/Tender/SplashBidNoticeAbstractUI.aspx?menuIndex=3&amp;refID=7026802&amp;Result=3","7026802")</f>
        <v>0</v>
      </c>
      <c r="B10933" t="s">
        <v>497</v>
      </c>
      <c r="C10933" t="s">
        <v>13525</v>
      </c>
      <c r="D10933" t="s">
        <v>16191</v>
      </c>
      <c r="E10933" t="s">
        <v>25773</v>
      </c>
      <c r="F10933" t="s">
        <v>28198</v>
      </c>
      <c r="G10933" t="s">
        <v>28205</v>
      </c>
      <c r="H10933" t="s">
        <v>28214</v>
      </c>
      <c r="I10933" t="s">
        <v>3797</v>
      </c>
      <c r="J10933" t="s">
        <v>35114</v>
      </c>
      <c r="K10933" t="s">
        <v>36692</v>
      </c>
      <c r="M10933" t="s">
        <v>37482</v>
      </c>
      <c r="N10933" t="s">
        <v>40436</v>
      </c>
      <c r="O10933" t="s">
        <v>40437</v>
      </c>
      <c r="P10933">
        <v>0</v>
      </c>
      <c r="Q10933">
        <v>1</v>
      </c>
      <c r="R10933" t="s">
        <v>40451</v>
      </c>
      <c r="S10933" t="s">
        <v>41005</v>
      </c>
      <c r="T10933" t="s">
        <v>42203</v>
      </c>
      <c r="U10933" t="s">
        <v>51701</v>
      </c>
      <c r="W10933" t="s">
        <v>37482</v>
      </c>
      <c r="X10933" t="s">
        <v>40452</v>
      </c>
    </row>
    <row r="10934" spans="1:24">
      <c r="A10934">
        <f>HYPERLINK("https://www.philgeps.gov.ph/GEPSNONPILOT/Tender/SplashBidNoticeAbstractUI.aspx?menuIndex=3&amp;refID=7026804&amp;Result=3","7026804")</f>
        <v>0</v>
      </c>
      <c r="B10934" t="s">
        <v>2847</v>
      </c>
      <c r="C10934" t="s">
        <v>13526</v>
      </c>
      <c r="E10934" t="s">
        <v>25774</v>
      </c>
      <c r="F10934" t="s">
        <v>28198</v>
      </c>
      <c r="G10934" t="s">
        <v>28205</v>
      </c>
      <c r="H10934" t="s">
        <v>28214</v>
      </c>
      <c r="I10934" t="s">
        <v>3797</v>
      </c>
      <c r="J10934" t="s">
        <v>35115</v>
      </c>
      <c r="K10934" t="s">
        <v>36689</v>
      </c>
      <c r="M10934" t="s">
        <v>40104</v>
      </c>
      <c r="N10934" t="s">
        <v>40436</v>
      </c>
      <c r="O10934" t="s">
        <v>40437</v>
      </c>
      <c r="P10934">
        <v>0</v>
      </c>
      <c r="Q10934">
        <v>2</v>
      </c>
      <c r="R10934" t="s">
        <v>40451</v>
      </c>
      <c r="S10934" t="s">
        <v>41005</v>
      </c>
      <c r="T10934" t="s">
        <v>42175</v>
      </c>
      <c r="U10934" t="s">
        <v>51702</v>
      </c>
      <c r="W10934" t="s">
        <v>40104</v>
      </c>
      <c r="X10934" t="s">
        <v>40452</v>
      </c>
    </row>
    <row r="10935" spans="1:24">
      <c r="A10935">
        <f>HYPERLINK("https://www.philgeps.gov.ph/GEPSNONPILOT/Tender/SplashBidNoticeAbstractUI.aspx?menuIndex=3&amp;refID=7026821&amp;Result=3","7026821")</f>
        <v>0</v>
      </c>
      <c r="B10935" t="s">
        <v>1729</v>
      </c>
      <c r="C10935" t="s">
        <v>13527</v>
      </c>
      <c r="D10935" t="s">
        <v>16249</v>
      </c>
      <c r="E10935" t="s">
        <v>25775</v>
      </c>
      <c r="F10935" t="s">
        <v>28198</v>
      </c>
      <c r="G10935" t="s">
        <v>28205</v>
      </c>
      <c r="H10935" t="s">
        <v>28214</v>
      </c>
      <c r="I10935" t="s">
        <v>3797</v>
      </c>
      <c r="J10935" t="s">
        <v>28351</v>
      </c>
      <c r="K10935" t="s">
        <v>36692</v>
      </c>
      <c r="M10935" t="s">
        <v>40101</v>
      </c>
      <c r="N10935" t="s">
        <v>40436</v>
      </c>
      <c r="O10935" t="s">
        <v>40437</v>
      </c>
      <c r="Q10935">
        <v>117</v>
      </c>
      <c r="R10935" t="s">
        <v>40451</v>
      </c>
      <c r="S10935" t="s">
        <v>41094</v>
      </c>
      <c r="T10935" t="s">
        <v>42346</v>
      </c>
      <c r="U10935" t="s">
        <v>51689</v>
      </c>
      <c r="V10935" t="s">
        <v>54991</v>
      </c>
      <c r="W10935" t="s">
        <v>55537</v>
      </c>
      <c r="X10935" t="s">
        <v>40452</v>
      </c>
    </row>
    <row r="10936" spans="1:24">
      <c r="A10936">
        <f>HYPERLINK("https://www.philgeps.gov.ph/GEPSNONPILOT/Tender/SplashBidNoticeAbstractUI.aspx?menuIndex=3&amp;refID=7026824&amp;Result=3","7026824")</f>
        <v>0</v>
      </c>
      <c r="B10936" t="s">
        <v>1729</v>
      </c>
      <c r="C10936" t="s">
        <v>13528</v>
      </c>
      <c r="D10936" t="s">
        <v>16249</v>
      </c>
      <c r="E10936" t="s">
        <v>25776</v>
      </c>
      <c r="F10936" t="s">
        <v>28198</v>
      </c>
      <c r="G10936" t="s">
        <v>28205</v>
      </c>
      <c r="H10936" t="s">
        <v>28214</v>
      </c>
      <c r="I10936" t="s">
        <v>3797</v>
      </c>
      <c r="J10936" t="s">
        <v>28351</v>
      </c>
      <c r="K10936" t="s">
        <v>36692</v>
      </c>
      <c r="M10936" t="s">
        <v>40101</v>
      </c>
      <c r="N10936" t="s">
        <v>40436</v>
      </c>
      <c r="O10936" t="s">
        <v>40437</v>
      </c>
      <c r="Q10936">
        <v>117</v>
      </c>
      <c r="R10936" t="s">
        <v>40451</v>
      </c>
      <c r="S10936" t="s">
        <v>41095</v>
      </c>
      <c r="T10936" t="s">
        <v>42346</v>
      </c>
      <c r="U10936" t="s">
        <v>51689</v>
      </c>
      <c r="V10936" t="s">
        <v>54987</v>
      </c>
      <c r="W10936" t="s">
        <v>55537</v>
      </c>
      <c r="X10936" t="s">
        <v>40452</v>
      </c>
    </row>
    <row r="10937" spans="1:24">
      <c r="A10937">
        <f>HYPERLINK("https://www.philgeps.gov.ph/GEPSNONPILOT/Tender/SplashBidNoticeAbstractUI.aspx?menuIndex=3&amp;refID=7026785&amp;Result=3","7026785")</f>
        <v>0</v>
      </c>
      <c r="B10937" t="s">
        <v>305</v>
      </c>
      <c r="C10937" t="s">
        <v>13529</v>
      </c>
      <c r="D10937" t="s">
        <v>16197</v>
      </c>
      <c r="E10937" t="s">
        <v>16950</v>
      </c>
      <c r="F10937" t="s">
        <v>28198</v>
      </c>
      <c r="G10937" t="s">
        <v>28205</v>
      </c>
      <c r="H10937" t="s">
        <v>28215</v>
      </c>
      <c r="I10937" t="s">
        <v>28295</v>
      </c>
      <c r="J10937" t="s">
        <v>35116</v>
      </c>
      <c r="K10937" t="s">
        <v>36694</v>
      </c>
      <c r="M10937" t="s">
        <v>39649</v>
      </c>
      <c r="N10937" t="s">
        <v>40436</v>
      </c>
      <c r="O10937" t="s">
        <v>40437</v>
      </c>
      <c r="P10937">
        <v>0</v>
      </c>
      <c r="Q10937">
        <v>12</v>
      </c>
      <c r="R10937" t="s">
        <v>40451</v>
      </c>
      <c r="S10937" t="s">
        <v>41005</v>
      </c>
      <c r="T10937" t="s">
        <v>42133</v>
      </c>
      <c r="U10937" t="s">
        <v>51703</v>
      </c>
      <c r="W10937" t="s">
        <v>39649</v>
      </c>
      <c r="X10937" t="s">
        <v>40452</v>
      </c>
    </row>
    <row r="10938" spans="1:24">
      <c r="A10938">
        <f>HYPERLINK("https://www.philgeps.gov.ph/GEPSNONPILOT/Tender/SplashBidNoticeAbstractUI.aspx?menuIndex=3&amp;refID=7026825&amp;Result=3","7026825")</f>
        <v>0</v>
      </c>
      <c r="B10938" t="s">
        <v>2253</v>
      </c>
      <c r="C10938" t="s">
        <v>13530</v>
      </c>
      <c r="D10938" t="s">
        <v>16187</v>
      </c>
      <c r="E10938" t="s">
        <v>25777</v>
      </c>
      <c r="F10938" t="s">
        <v>28198</v>
      </c>
      <c r="G10938" t="s">
        <v>28205</v>
      </c>
      <c r="H10938" t="s">
        <v>28215</v>
      </c>
      <c r="I10938" t="s">
        <v>5100</v>
      </c>
      <c r="J10938" t="s">
        <v>35117</v>
      </c>
      <c r="K10938" t="s">
        <v>36687</v>
      </c>
      <c r="L10938" t="s">
        <v>2253</v>
      </c>
      <c r="M10938" t="s">
        <v>40105</v>
      </c>
      <c r="N10938" t="s">
        <v>40436</v>
      </c>
      <c r="O10938" t="s">
        <v>40437</v>
      </c>
      <c r="P10938">
        <v>0</v>
      </c>
      <c r="Q10938">
        <v>0</v>
      </c>
      <c r="R10938" t="s">
        <v>40451</v>
      </c>
      <c r="S10938" t="s">
        <v>41005</v>
      </c>
      <c r="T10938" t="s">
        <v>42133</v>
      </c>
      <c r="U10938" t="s">
        <v>51704</v>
      </c>
      <c r="V10938" t="s">
        <v>54992</v>
      </c>
      <c r="W10938" t="s">
        <v>40105</v>
      </c>
      <c r="X10938" t="s">
        <v>40452</v>
      </c>
    </row>
    <row r="10939" spans="1:24">
      <c r="A10939">
        <f>HYPERLINK("https://www.philgeps.gov.ph/GEPSNONPILOT/Tender/SplashBidNoticeAbstractUI.aspx?menuIndex=3&amp;refID=7026810&amp;Result=3","7026810")</f>
        <v>0</v>
      </c>
      <c r="B10939" t="s">
        <v>2041</v>
      </c>
      <c r="C10939" t="s">
        <v>13531</v>
      </c>
      <c r="D10939" t="s">
        <v>16196</v>
      </c>
      <c r="E10939" t="s">
        <v>25778</v>
      </c>
      <c r="F10939" t="s">
        <v>28198</v>
      </c>
      <c r="G10939" t="s">
        <v>28205</v>
      </c>
      <c r="H10939" t="s">
        <v>28214</v>
      </c>
      <c r="I10939" t="s">
        <v>3797</v>
      </c>
      <c r="J10939" t="s">
        <v>32305</v>
      </c>
      <c r="K10939" t="s">
        <v>36888</v>
      </c>
      <c r="M10939" t="s">
        <v>39184</v>
      </c>
      <c r="N10939" t="s">
        <v>40436</v>
      </c>
      <c r="O10939" t="s">
        <v>40437</v>
      </c>
      <c r="Q10939">
        <v>36</v>
      </c>
      <c r="R10939" t="s">
        <v>40451</v>
      </c>
      <c r="S10939" t="s">
        <v>41096</v>
      </c>
      <c r="T10939" t="s">
        <v>42175</v>
      </c>
      <c r="U10939" t="s">
        <v>51693</v>
      </c>
      <c r="W10939" t="s">
        <v>39184</v>
      </c>
      <c r="X10939" t="s">
        <v>40452</v>
      </c>
    </row>
    <row r="10940" spans="1:24">
      <c r="A10940">
        <f>HYPERLINK("https://www.philgeps.gov.ph/GEPSNONPILOT/Tender/SplashBidNoticeAbstractUI.aspx?menuIndex=3&amp;refID=7026820&amp;Result=3","7026820")</f>
        <v>0</v>
      </c>
      <c r="B10940" t="s">
        <v>1612</v>
      </c>
      <c r="C10940" t="s">
        <v>13532</v>
      </c>
      <c r="D10940" t="s">
        <v>16232</v>
      </c>
      <c r="E10940" t="s">
        <v>25779</v>
      </c>
      <c r="F10940" t="s">
        <v>28198</v>
      </c>
      <c r="G10940" t="s">
        <v>28205</v>
      </c>
      <c r="H10940" t="s">
        <v>28215</v>
      </c>
      <c r="I10940" t="s">
        <v>3774</v>
      </c>
      <c r="J10940" t="s">
        <v>30403</v>
      </c>
      <c r="K10940" t="s">
        <v>36707</v>
      </c>
      <c r="M10940" t="s">
        <v>38699</v>
      </c>
      <c r="N10940" t="s">
        <v>40436</v>
      </c>
      <c r="O10940" t="s">
        <v>40437</v>
      </c>
      <c r="P10940">
        <v>0</v>
      </c>
      <c r="Q10940">
        <v>0</v>
      </c>
      <c r="R10940" t="s">
        <v>40451</v>
      </c>
      <c r="S10940" t="s">
        <v>41005</v>
      </c>
      <c r="T10940" t="s">
        <v>42233</v>
      </c>
      <c r="U10940" t="s">
        <v>51705</v>
      </c>
      <c r="W10940" t="s">
        <v>38699</v>
      </c>
      <c r="X10940" t="s">
        <v>40452</v>
      </c>
    </row>
    <row r="10941" spans="1:24">
      <c r="A10941">
        <f>HYPERLINK("https://www.philgeps.gov.ph/GEPSNONPILOT/Tender/SplashBidNoticeAbstractUI.aspx?menuIndex=3&amp;refID=7026829&amp;Result=3","7026829")</f>
        <v>0</v>
      </c>
      <c r="B10941" t="s">
        <v>1729</v>
      </c>
      <c r="C10941" t="s">
        <v>13533</v>
      </c>
      <c r="D10941" t="s">
        <v>16249</v>
      </c>
      <c r="E10941" t="s">
        <v>25780</v>
      </c>
      <c r="F10941" t="s">
        <v>28198</v>
      </c>
      <c r="G10941" t="s">
        <v>28205</v>
      </c>
      <c r="H10941" t="s">
        <v>28214</v>
      </c>
      <c r="I10941" t="s">
        <v>3797</v>
      </c>
      <c r="J10941" t="s">
        <v>28351</v>
      </c>
      <c r="K10941" t="s">
        <v>36717</v>
      </c>
      <c r="M10941" t="s">
        <v>40101</v>
      </c>
      <c r="N10941" t="s">
        <v>40436</v>
      </c>
      <c r="O10941" t="s">
        <v>40437</v>
      </c>
      <c r="Q10941">
        <v>115</v>
      </c>
      <c r="R10941" t="s">
        <v>40451</v>
      </c>
      <c r="S10941" t="s">
        <v>41097</v>
      </c>
      <c r="T10941" t="s">
        <v>42346</v>
      </c>
      <c r="U10941" t="s">
        <v>51689</v>
      </c>
      <c r="V10941" t="s">
        <v>54987</v>
      </c>
      <c r="W10941" t="s">
        <v>55537</v>
      </c>
      <c r="X10941" t="s">
        <v>40452</v>
      </c>
    </row>
    <row r="10942" spans="1:24">
      <c r="A10942">
        <f>HYPERLINK("https://www.philgeps.gov.ph/GEPSNONPILOT/Tender/SplashBidNoticeAbstractUI.aspx?menuIndex=3&amp;refID=7026822&amp;Result=3","7026822")</f>
        <v>0</v>
      </c>
      <c r="B10942" t="s">
        <v>1612</v>
      </c>
      <c r="C10942" t="s">
        <v>13534</v>
      </c>
      <c r="D10942" t="s">
        <v>16232</v>
      </c>
      <c r="E10942" t="s">
        <v>25781</v>
      </c>
      <c r="F10942" t="s">
        <v>28198</v>
      </c>
      <c r="G10942" t="s">
        <v>28205</v>
      </c>
      <c r="H10942" t="s">
        <v>28215</v>
      </c>
      <c r="I10942" t="s">
        <v>4219</v>
      </c>
      <c r="J10942" t="s">
        <v>35118</v>
      </c>
      <c r="K10942" t="s">
        <v>36707</v>
      </c>
      <c r="M10942" t="s">
        <v>38699</v>
      </c>
      <c r="N10942" t="s">
        <v>40436</v>
      </c>
      <c r="O10942" t="s">
        <v>40437</v>
      </c>
      <c r="P10942">
        <v>0</v>
      </c>
      <c r="Q10942">
        <v>0</v>
      </c>
      <c r="R10942" t="s">
        <v>40451</v>
      </c>
      <c r="S10942" t="s">
        <v>41005</v>
      </c>
      <c r="T10942" t="s">
        <v>42233</v>
      </c>
      <c r="U10942" t="s">
        <v>51705</v>
      </c>
      <c r="W10942" t="s">
        <v>38699</v>
      </c>
      <c r="X10942" t="s">
        <v>40452</v>
      </c>
    </row>
    <row r="10943" spans="1:24">
      <c r="A10943">
        <f>HYPERLINK("https://www.philgeps.gov.ph/GEPSNONPILOT/Tender/SplashBidNoticeAbstractUI.aspx?menuIndex=3&amp;refID=7026811&amp;Result=3","7026811")</f>
        <v>0</v>
      </c>
      <c r="B10943" t="s">
        <v>497</v>
      </c>
      <c r="C10943" t="s">
        <v>13535</v>
      </c>
      <c r="D10943" t="s">
        <v>16191</v>
      </c>
      <c r="E10943" t="s">
        <v>25782</v>
      </c>
      <c r="F10943" t="s">
        <v>28198</v>
      </c>
      <c r="G10943" t="s">
        <v>28205</v>
      </c>
      <c r="H10943" t="s">
        <v>28214</v>
      </c>
      <c r="I10943" t="s">
        <v>3797</v>
      </c>
      <c r="J10943" t="s">
        <v>35119</v>
      </c>
      <c r="K10943" t="s">
        <v>36692</v>
      </c>
      <c r="M10943" t="s">
        <v>37482</v>
      </c>
      <c r="N10943" t="s">
        <v>40436</v>
      </c>
      <c r="O10943" t="s">
        <v>40437</v>
      </c>
      <c r="P10943">
        <v>0</v>
      </c>
      <c r="Q10943">
        <v>1</v>
      </c>
      <c r="R10943" t="s">
        <v>40451</v>
      </c>
      <c r="S10943" t="s">
        <v>41005</v>
      </c>
      <c r="T10943" t="s">
        <v>42203</v>
      </c>
      <c r="U10943" t="s">
        <v>51706</v>
      </c>
      <c r="W10943" t="s">
        <v>37482</v>
      </c>
      <c r="X10943" t="s">
        <v>40452</v>
      </c>
    </row>
    <row r="10944" spans="1:24">
      <c r="A10944">
        <f>HYPERLINK("https://www.philgeps.gov.ph/GEPSNONPILOT/Tender/SplashBidNoticeAbstractUI.aspx?menuIndex=3&amp;refID=7026850&amp;Result=3","7026850")</f>
        <v>0</v>
      </c>
      <c r="B10944" t="s">
        <v>2848</v>
      </c>
      <c r="C10944" t="s">
        <v>13536</v>
      </c>
      <c r="D10944" t="s">
        <v>16187</v>
      </c>
      <c r="E10944" t="s">
        <v>25783</v>
      </c>
      <c r="F10944" t="s">
        <v>28198</v>
      </c>
      <c r="G10944" t="s">
        <v>28205</v>
      </c>
      <c r="H10944" t="s">
        <v>28215</v>
      </c>
      <c r="I10944" t="s">
        <v>28258</v>
      </c>
      <c r="J10944" t="s">
        <v>35120</v>
      </c>
      <c r="K10944" t="s">
        <v>36701</v>
      </c>
      <c r="M10944" t="s">
        <v>40106</v>
      </c>
      <c r="N10944" t="s">
        <v>40436</v>
      </c>
      <c r="O10944" t="s">
        <v>40437</v>
      </c>
      <c r="P10944">
        <v>0</v>
      </c>
      <c r="Q10944">
        <v>7</v>
      </c>
      <c r="R10944" t="s">
        <v>40451</v>
      </c>
      <c r="S10944" t="s">
        <v>41005</v>
      </c>
      <c r="T10944" t="s">
        <v>42126</v>
      </c>
      <c r="U10944" t="s">
        <v>51707</v>
      </c>
      <c r="V10944" t="s">
        <v>54993</v>
      </c>
      <c r="W10944" t="s">
        <v>40106</v>
      </c>
      <c r="X10944" t="s">
        <v>40452</v>
      </c>
    </row>
    <row r="10945" spans="1:24">
      <c r="A10945">
        <f>HYPERLINK("https://www.philgeps.gov.ph/GEPSNONPILOT/Tender/SplashBidNoticeAbstractUI.aspx?menuIndex=3&amp;refID=7026817&amp;Result=3","7026817")</f>
        <v>0</v>
      </c>
      <c r="B10945" t="s">
        <v>2848</v>
      </c>
      <c r="C10945" t="s">
        <v>13537</v>
      </c>
      <c r="D10945" t="s">
        <v>16187</v>
      </c>
      <c r="E10945" t="s">
        <v>25783</v>
      </c>
      <c r="F10945" t="s">
        <v>28198</v>
      </c>
      <c r="G10945" t="s">
        <v>28205</v>
      </c>
      <c r="H10945" t="s">
        <v>28215</v>
      </c>
      <c r="I10945" t="s">
        <v>28251</v>
      </c>
      <c r="J10945" t="s">
        <v>32515</v>
      </c>
      <c r="K10945" t="s">
        <v>36701</v>
      </c>
      <c r="M10945" t="s">
        <v>40106</v>
      </c>
      <c r="N10945" t="s">
        <v>40436</v>
      </c>
      <c r="O10945" t="s">
        <v>40437</v>
      </c>
      <c r="P10945">
        <v>0</v>
      </c>
      <c r="Q10945">
        <v>12</v>
      </c>
      <c r="R10945" t="s">
        <v>40451</v>
      </c>
      <c r="S10945" t="s">
        <v>41005</v>
      </c>
      <c r="T10945" t="s">
        <v>42126</v>
      </c>
      <c r="U10945" t="s">
        <v>51707</v>
      </c>
      <c r="V10945" t="s">
        <v>54994</v>
      </c>
      <c r="W10945" t="s">
        <v>40106</v>
      </c>
      <c r="X10945" t="s">
        <v>40452</v>
      </c>
    </row>
    <row r="10946" spans="1:24">
      <c r="A10946">
        <f>HYPERLINK("https://www.philgeps.gov.ph/GEPSNONPILOT/Tender/SplashBidNoticeAbstractUI.aspx?menuIndex=3&amp;refID=7026849&amp;Result=3","7026849")</f>
        <v>0</v>
      </c>
      <c r="B10946" t="s">
        <v>556</v>
      </c>
      <c r="C10946" t="s">
        <v>13538</v>
      </c>
      <c r="E10946" t="s">
        <v>25784</v>
      </c>
      <c r="F10946" t="s">
        <v>28198</v>
      </c>
      <c r="G10946" t="s">
        <v>28205</v>
      </c>
      <c r="H10946" t="s">
        <v>28215</v>
      </c>
      <c r="I10946" t="s">
        <v>28246</v>
      </c>
      <c r="J10946" t="s">
        <v>34165</v>
      </c>
      <c r="K10946" t="s">
        <v>36689</v>
      </c>
      <c r="M10946" t="s">
        <v>40107</v>
      </c>
      <c r="N10946" t="s">
        <v>40436</v>
      </c>
      <c r="O10946" t="s">
        <v>40437</v>
      </c>
      <c r="P10946">
        <v>0</v>
      </c>
      <c r="Q10946">
        <v>1</v>
      </c>
      <c r="R10946" t="s">
        <v>40451</v>
      </c>
      <c r="S10946" t="s">
        <v>41005</v>
      </c>
      <c r="T10946" t="s">
        <v>42134</v>
      </c>
      <c r="U10946" t="s">
        <v>51708</v>
      </c>
      <c r="V10946" t="s">
        <v>54995</v>
      </c>
      <c r="W10946" t="s">
        <v>40107</v>
      </c>
      <c r="X10946" t="s">
        <v>40452</v>
      </c>
    </row>
    <row r="10947" spans="1:24">
      <c r="A10947">
        <f>HYPERLINK("https://www.philgeps.gov.ph/GEPSNONPILOT/Tender/SplashBidNoticeAbstractUI.aspx?menuIndex=3&amp;refID=7026842&amp;Result=3","7026842")</f>
        <v>0</v>
      </c>
      <c r="B10947" t="s">
        <v>2848</v>
      </c>
      <c r="C10947" t="s">
        <v>13539</v>
      </c>
      <c r="D10947" t="s">
        <v>16187</v>
      </c>
      <c r="E10947" t="s">
        <v>25783</v>
      </c>
      <c r="F10947" t="s">
        <v>28198</v>
      </c>
      <c r="G10947" t="s">
        <v>28205</v>
      </c>
      <c r="H10947" t="s">
        <v>28215</v>
      </c>
      <c r="I10947" t="s">
        <v>28258</v>
      </c>
      <c r="J10947" t="s">
        <v>31565</v>
      </c>
      <c r="K10947" t="s">
        <v>36701</v>
      </c>
      <c r="M10947" t="s">
        <v>40106</v>
      </c>
      <c r="N10947" t="s">
        <v>40436</v>
      </c>
      <c r="O10947" t="s">
        <v>40437</v>
      </c>
      <c r="P10947">
        <v>0</v>
      </c>
      <c r="Q10947">
        <v>8</v>
      </c>
      <c r="R10947" t="s">
        <v>40451</v>
      </c>
      <c r="S10947" t="s">
        <v>41005</v>
      </c>
      <c r="T10947" t="s">
        <v>42126</v>
      </c>
      <c r="U10947" t="s">
        <v>51707</v>
      </c>
      <c r="V10947" t="s">
        <v>54996</v>
      </c>
      <c r="W10947" t="s">
        <v>40106</v>
      </c>
      <c r="X10947" t="s">
        <v>40452</v>
      </c>
    </row>
    <row r="10948" spans="1:24">
      <c r="A10948">
        <f>HYPERLINK("https://www.philgeps.gov.ph/GEPSNONPILOT/Tender/SplashBidNoticeAbstractUI.aspx?menuIndex=3&amp;refID=7026816&amp;Result=3","7026816")</f>
        <v>0</v>
      </c>
      <c r="B10948" t="s">
        <v>2849</v>
      </c>
      <c r="C10948" t="s">
        <v>13540</v>
      </c>
      <c r="D10948" t="s">
        <v>16223</v>
      </c>
      <c r="E10948" t="s">
        <v>25785</v>
      </c>
      <c r="F10948" t="s">
        <v>28198</v>
      </c>
      <c r="G10948" t="s">
        <v>28205</v>
      </c>
      <c r="H10948" t="s">
        <v>28215</v>
      </c>
      <c r="I10948" t="s">
        <v>5100</v>
      </c>
      <c r="J10948" t="s">
        <v>29848</v>
      </c>
      <c r="K10948" t="s">
        <v>36707</v>
      </c>
      <c r="M10948" t="s">
        <v>40108</v>
      </c>
      <c r="N10948" t="s">
        <v>40436</v>
      </c>
      <c r="O10948" t="s">
        <v>40437</v>
      </c>
      <c r="P10948">
        <v>0</v>
      </c>
      <c r="Q10948">
        <v>0</v>
      </c>
      <c r="R10948" t="s">
        <v>40451</v>
      </c>
      <c r="S10948" t="s">
        <v>41005</v>
      </c>
      <c r="T10948" t="s">
        <v>42111</v>
      </c>
      <c r="U10948" t="s">
        <v>51709</v>
      </c>
      <c r="W10948" t="s">
        <v>40108</v>
      </c>
      <c r="X10948" t="s">
        <v>40452</v>
      </c>
    </row>
    <row r="10949" spans="1:24">
      <c r="A10949">
        <f>HYPERLINK("https://www.philgeps.gov.ph/GEPSNONPILOT/Tender/SplashBidNoticeAbstractUI.aspx?menuIndex=3&amp;refID=7026837&amp;Result=3","7026837")</f>
        <v>0</v>
      </c>
      <c r="B10949" t="s">
        <v>1729</v>
      </c>
      <c r="C10949" t="s">
        <v>13541</v>
      </c>
      <c r="D10949" t="s">
        <v>16249</v>
      </c>
      <c r="E10949" t="s">
        <v>25786</v>
      </c>
      <c r="F10949" t="s">
        <v>28198</v>
      </c>
      <c r="G10949" t="s">
        <v>28205</v>
      </c>
      <c r="H10949" t="s">
        <v>28214</v>
      </c>
      <c r="I10949" t="s">
        <v>3797</v>
      </c>
      <c r="J10949" t="s">
        <v>28363</v>
      </c>
      <c r="K10949" t="s">
        <v>36697</v>
      </c>
      <c r="M10949" t="s">
        <v>40101</v>
      </c>
      <c r="N10949" t="s">
        <v>40436</v>
      </c>
      <c r="O10949" t="s">
        <v>40437</v>
      </c>
      <c r="Q10949">
        <v>116</v>
      </c>
      <c r="R10949" t="s">
        <v>40451</v>
      </c>
      <c r="S10949" t="s">
        <v>41098</v>
      </c>
      <c r="T10949" t="s">
        <v>42346</v>
      </c>
      <c r="U10949" t="s">
        <v>51689</v>
      </c>
      <c r="V10949" t="s">
        <v>54987</v>
      </c>
      <c r="W10949" t="s">
        <v>55537</v>
      </c>
      <c r="X10949" t="s">
        <v>40452</v>
      </c>
    </row>
    <row r="10950" spans="1:24">
      <c r="A10950">
        <f>HYPERLINK("https://www.philgeps.gov.ph/GEPSNONPILOT/Tender/SplashBidNoticeAbstractUI.aspx?menuIndex=3&amp;refID=7026840&amp;Result=3","7026840")</f>
        <v>0</v>
      </c>
      <c r="B10950" t="s">
        <v>1784</v>
      </c>
      <c r="C10950" t="s">
        <v>13542</v>
      </c>
      <c r="D10950" t="s">
        <v>16216</v>
      </c>
      <c r="E10950" t="s">
        <v>25787</v>
      </c>
      <c r="F10950" t="s">
        <v>28198</v>
      </c>
      <c r="G10950" t="s">
        <v>28205</v>
      </c>
      <c r="H10950" t="s">
        <v>28214</v>
      </c>
      <c r="I10950" t="s">
        <v>3797</v>
      </c>
      <c r="J10950" t="s">
        <v>35121</v>
      </c>
      <c r="K10950" t="s">
        <v>36692</v>
      </c>
      <c r="M10950" t="s">
        <v>38900</v>
      </c>
      <c r="N10950" t="s">
        <v>40436</v>
      </c>
      <c r="O10950" t="s">
        <v>40437</v>
      </c>
      <c r="P10950">
        <v>0</v>
      </c>
      <c r="Q10950">
        <v>1</v>
      </c>
      <c r="R10950" t="s">
        <v>40451</v>
      </c>
      <c r="S10950" t="s">
        <v>41005</v>
      </c>
      <c r="T10950" t="s">
        <v>42124</v>
      </c>
      <c r="U10950" t="s">
        <v>51710</v>
      </c>
      <c r="W10950" t="s">
        <v>38900</v>
      </c>
      <c r="X10950" t="s">
        <v>40452</v>
      </c>
    </row>
    <row r="10951" spans="1:24">
      <c r="A10951">
        <f>HYPERLINK("https://www.philgeps.gov.ph/GEPSNONPILOT/Tender/SplashBidNoticeAbstractUI.aspx?menuIndex=3&amp;refID=7026847&amp;Result=3","7026847")</f>
        <v>0</v>
      </c>
      <c r="B10951" t="s">
        <v>1729</v>
      </c>
      <c r="C10951" t="s">
        <v>13543</v>
      </c>
      <c r="D10951" t="s">
        <v>16249</v>
      </c>
      <c r="E10951" t="s">
        <v>25788</v>
      </c>
      <c r="F10951" t="s">
        <v>28198</v>
      </c>
      <c r="G10951" t="s">
        <v>28205</v>
      </c>
      <c r="H10951" t="s">
        <v>28214</v>
      </c>
      <c r="I10951" t="s">
        <v>3797</v>
      </c>
      <c r="J10951" t="s">
        <v>28351</v>
      </c>
      <c r="K10951" t="s">
        <v>36877</v>
      </c>
      <c r="M10951" t="s">
        <v>40101</v>
      </c>
      <c r="N10951" t="s">
        <v>40436</v>
      </c>
      <c r="O10951" t="s">
        <v>40437</v>
      </c>
      <c r="Q10951">
        <v>115</v>
      </c>
      <c r="R10951" t="s">
        <v>40451</v>
      </c>
      <c r="S10951" t="s">
        <v>41099</v>
      </c>
      <c r="T10951" t="s">
        <v>42346</v>
      </c>
      <c r="U10951" t="s">
        <v>51689</v>
      </c>
      <c r="V10951" t="s">
        <v>54997</v>
      </c>
      <c r="W10951" t="s">
        <v>55537</v>
      </c>
      <c r="X10951" t="s">
        <v>40452</v>
      </c>
    </row>
    <row r="10952" spans="1:24">
      <c r="A10952">
        <f>HYPERLINK("https://www.philgeps.gov.ph/GEPSNONPILOT/Tender/SplashBidNoticeAbstractUI.aspx?menuIndex=3&amp;refID=7026833&amp;Result=3","7026833")</f>
        <v>0</v>
      </c>
      <c r="B10952" t="s">
        <v>2251</v>
      </c>
      <c r="C10952" t="s">
        <v>13544</v>
      </c>
      <c r="D10952" t="s">
        <v>16203</v>
      </c>
      <c r="E10952" t="s">
        <v>25789</v>
      </c>
      <c r="F10952" t="s">
        <v>28198</v>
      </c>
      <c r="G10952" t="s">
        <v>28205</v>
      </c>
      <c r="H10952" t="s">
        <v>28214</v>
      </c>
      <c r="I10952" t="s">
        <v>3797</v>
      </c>
      <c r="J10952" t="s">
        <v>31258</v>
      </c>
      <c r="K10952" t="s">
        <v>36941</v>
      </c>
      <c r="M10952" t="s">
        <v>39421</v>
      </c>
      <c r="N10952" t="s">
        <v>40436</v>
      </c>
      <c r="O10952" t="s">
        <v>40437</v>
      </c>
      <c r="P10952">
        <v>0</v>
      </c>
      <c r="Q10952">
        <v>5</v>
      </c>
      <c r="R10952" t="s">
        <v>40451</v>
      </c>
      <c r="S10952" t="s">
        <v>41005</v>
      </c>
      <c r="T10952" t="s">
        <v>42134</v>
      </c>
      <c r="U10952" t="s">
        <v>51711</v>
      </c>
      <c r="V10952" t="s">
        <v>54998</v>
      </c>
      <c r="W10952" t="s">
        <v>39421</v>
      </c>
      <c r="X10952" t="s">
        <v>40452</v>
      </c>
    </row>
    <row r="10953" spans="1:24">
      <c r="A10953">
        <f>HYPERLINK("https://www.philgeps.gov.ph/GEPSNONPILOT/Tender/SplashBidNoticeAbstractUI.aspx?menuIndex=3&amp;refID=7026844&amp;Result=3","7026844")</f>
        <v>0</v>
      </c>
      <c r="B10953" t="s">
        <v>1729</v>
      </c>
      <c r="C10953" t="s">
        <v>13545</v>
      </c>
      <c r="D10953" t="s">
        <v>16249</v>
      </c>
      <c r="E10953" t="s">
        <v>25790</v>
      </c>
      <c r="F10953" t="s">
        <v>28198</v>
      </c>
      <c r="G10953" t="s">
        <v>28205</v>
      </c>
      <c r="H10953" t="s">
        <v>28214</v>
      </c>
      <c r="I10953" t="s">
        <v>3797</v>
      </c>
      <c r="J10953" t="s">
        <v>28699</v>
      </c>
      <c r="K10953" t="s">
        <v>36717</v>
      </c>
      <c r="M10953" t="s">
        <v>40101</v>
      </c>
      <c r="N10953" t="s">
        <v>40436</v>
      </c>
      <c r="O10953" t="s">
        <v>40437</v>
      </c>
      <c r="Q10953">
        <v>115</v>
      </c>
      <c r="R10953" t="s">
        <v>40451</v>
      </c>
      <c r="S10953" t="s">
        <v>41100</v>
      </c>
      <c r="T10953" t="s">
        <v>42346</v>
      </c>
      <c r="U10953" t="s">
        <v>51689</v>
      </c>
      <c r="V10953" t="s">
        <v>54987</v>
      </c>
      <c r="W10953" t="s">
        <v>55537</v>
      </c>
      <c r="X10953" t="s">
        <v>40452</v>
      </c>
    </row>
    <row r="10954" spans="1:24">
      <c r="A10954">
        <f>HYPERLINK("https://www.philgeps.gov.ph/GEPSNONPILOT/Tender/SplashBidNoticeAbstractUI.aspx?menuIndex=3&amp;refID=7026846&amp;Result=3","7026846")</f>
        <v>0</v>
      </c>
      <c r="B10954" t="s">
        <v>2848</v>
      </c>
      <c r="C10954" t="s">
        <v>13546</v>
      </c>
      <c r="D10954" t="s">
        <v>16187</v>
      </c>
      <c r="E10954" t="s">
        <v>25783</v>
      </c>
      <c r="F10954" t="s">
        <v>28198</v>
      </c>
      <c r="G10954" t="s">
        <v>28205</v>
      </c>
      <c r="H10954" t="s">
        <v>28215</v>
      </c>
      <c r="I10954" t="s">
        <v>28234</v>
      </c>
      <c r="J10954" t="s">
        <v>33568</v>
      </c>
      <c r="K10954" t="s">
        <v>36701</v>
      </c>
      <c r="M10954" t="s">
        <v>40106</v>
      </c>
      <c r="N10954" t="s">
        <v>40436</v>
      </c>
      <c r="O10954" t="s">
        <v>40437</v>
      </c>
      <c r="P10954">
        <v>0</v>
      </c>
      <c r="Q10954">
        <v>1</v>
      </c>
      <c r="R10954" t="s">
        <v>40451</v>
      </c>
      <c r="S10954" t="s">
        <v>41005</v>
      </c>
      <c r="T10954" t="s">
        <v>42126</v>
      </c>
      <c r="U10954" t="s">
        <v>51707</v>
      </c>
      <c r="V10954" t="s">
        <v>54999</v>
      </c>
      <c r="W10954" t="s">
        <v>40106</v>
      </c>
      <c r="X10954" t="s">
        <v>40452</v>
      </c>
    </row>
    <row r="10955" spans="1:24">
      <c r="A10955">
        <f>HYPERLINK("https://www.philgeps.gov.ph/GEPSNONPILOT/Tender/SplashBidNoticeAbstractUI.aspx?menuIndex=3&amp;refID=7026862&amp;Result=3","7026862")</f>
        <v>0</v>
      </c>
      <c r="B10955" t="s">
        <v>1729</v>
      </c>
      <c r="C10955" t="s">
        <v>13547</v>
      </c>
      <c r="D10955" t="s">
        <v>16249</v>
      </c>
      <c r="E10955" t="s">
        <v>25791</v>
      </c>
      <c r="F10955" t="s">
        <v>28198</v>
      </c>
      <c r="G10955" t="s">
        <v>28205</v>
      </c>
      <c r="H10955" t="s">
        <v>28214</v>
      </c>
      <c r="I10955" t="s">
        <v>3797</v>
      </c>
      <c r="J10955" t="s">
        <v>29692</v>
      </c>
      <c r="K10955" t="s">
        <v>36694</v>
      </c>
      <c r="M10955" t="s">
        <v>40101</v>
      </c>
      <c r="N10955" t="s">
        <v>40436</v>
      </c>
      <c r="O10955" t="s">
        <v>40437</v>
      </c>
      <c r="Q10955">
        <v>107</v>
      </c>
      <c r="R10955" t="s">
        <v>40451</v>
      </c>
      <c r="S10955" t="s">
        <v>41101</v>
      </c>
      <c r="T10955" t="s">
        <v>42346</v>
      </c>
      <c r="U10955" t="s">
        <v>51689</v>
      </c>
      <c r="V10955" t="s">
        <v>55000</v>
      </c>
      <c r="W10955" t="s">
        <v>55537</v>
      </c>
      <c r="X10955" t="s">
        <v>40452</v>
      </c>
    </row>
    <row r="10956" spans="1:24">
      <c r="A10956">
        <f>HYPERLINK("https://www.philgeps.gov.ph/GEPSNONPILOT/Tender/SplashBidNoticeAbstractUI.aspx?menuIndex=3&amp;refID=7026861&amp;Result=3","7026861")</f>
        <v>0</v>
      </c>
      <c r="B10956" t="s">
        <v>1477</v>
      </c>
      <c r="C10956" t="s">
        <v>13548</v>
      </c>
      <c r="D10956" t="s">
        <v>16197</v>
      </c>
      <c r="E10956" t="s">
        <v>25792</v>
      </c>
      <c r="F10956" t="s">
        <v>28198</v>
      </c>
      <c r="G10956" t="s">
        <v>28205</v>
      </c>
      <c r="H10956" t="s">
        <v>28214</v>
      </c>
      <c r="I10956" t="s">
        <v>3797</v>
      </c>
      <c r="J10956" t="s">
        <v>35122</v>
      </c>
      <c r="K10956" t="s">
        <v>36942</v>
      </c>
      <c r="M10956" t="s">
        <v>40109</v>
      </c>
      <c r="N10956" t="s">
        <v>40436</v>
      </c>
      <c r="O10956" t="s">
        <v>40437</v>
      </c>
      <c r="Q10956">
        <v>2</v>
      </c>
      <c r="R10956" t="s">
        <v>40451</v>
      </c>
      <c r="S10956" t="s">
        <v>41102</v>
      </c>
      <c r="T10956" t="s">
        <v>42133</v>
      </c>
      <c r="U10956" t="s">
        <v>51712</v>
      </c>
      <c r="W10956" t="s">
        <v>40109</v>
      </c>
      <c r="X10956" t="s">
        <v>40452</v>
      </c>
    </row>
    <row r="10957" spans="1:24">
      <c r="A10957">
        <f>HYPERLINK("https://www.philgeps.gov.ph/GEPSNONPILOT/Tender/SplashBidNoticeAbstractUI.aspx?menuIndex=3&amp;refID=7026854&amp;Result=3","7026854")</f>
        <v>0</v>
      </c>
      <c r="B10957" t="s">
        <v>2848</v>
      </c>
      <c r="C10957" t="s">
        <v>13549</v>
      </c>
      <c r="D10957" t="s">
        <v>16187</v>
      </c>
      <c r="E10957" t="s">
        <v>25783</v>
      </c>
      <c r="F10957" t="s">
        <v>28198</v>
      </c>
      <c r="G10957" t="s">
        <v>28205</v>
      </c>
      <c r="H10957" t="s">
        <v>28215</v>
      </c>
      <c r="I10957" t="s">
        <v>5071</v>
      </c>
      <c r="J10957" t="s">
        <v>35123</v>
      </c>
      <c r="K10957" t="s">
        <v>36701</v>
      </c>
      <c r="M10957" t="s">
        <v>40106</v>
      </c>
      <c r="N10957" t="s">
        <v>40436</v>
      </c>
      <c r="O10957" t="s">
        <v>40437</v>
      </c>
      <c r="P10957">
        <v>0</v>
      </c>
      <c r="Q10957">
        <v>2</v>
      </c>
      <c r="R10957" t="s">
        <v>40451</v>
      </c>
      <c r="S10957" t="s">
        <v>41005</v>
      </c>
      <c r="T10957" t="s">
        <v>42126</v>
      </c>
      <c r="U10957" t="s">
        <v>51707</v>
      </c>
      <c r="V10957" t="s">
        <v>55001</v>
      </c>
      <c r="W10957" t="s">
        <v>40106</v>
      </c>
      <c r="X10957" t="s">
        <v>40452</v>
      </c>
    </row>
    <row r="10958" spans="1:24">
      <c r="A10958">
        <f>HYPERLINK("https://www.philgeps.gov.ph/GEPSNONPILOT/Tender/SplashBidNoticeAbstractUI.aspx?menuIndex=3&amp;refID=7026855&amp;Result=3","7026855")</f>
        <v>0</v>
      </c>
      <c r="B10958" t="s">
        <v>2850</v>
      </c>
      <c r="C10958" t="s">
        <v>13550</v>
      </c>
      <c r="D10958" t="s">
        <v>16188</v>
      </c>
      <c r="E10958" t="s">
        <v>24600</v>
      </c>
      <c r="F10958" t="s">
        <v>28198</v>
      </c>
      <c r="G10958" t="s">
        <v>28205</v>
      </c>
      <c r="H10958" t="s">
        <v>28215</v>
      </c>
      <c r="I10958" t="s">
        <v>6051</v>
      </c>
      <c r="J10958" t="s">
        <v>28393</v>
      </c>
      <c r="K10958" t="s">
        <v>36701</v>
      </c>
      <c r="M10958" t="s">
        <v>40110</v>
      </c>
      <c r="N10958" t="s">
        <v>40436</v>
      </c>
      <c r="O10958" t="s">
        <v>40437</v>
      </c>
      <c r="Q10958">
        <v>4</v>
      </c>
      <c r="R10958" t="s">
        <v>40451</v>
      </c>
      <c r="S10958" t="s">
        <v>41103</v>
      </c>
      <c r="T10958" t="s">
        <v>42278</v>
      </c>
      <c r="U10958" t="s">
        <v>51713</v>
      </c>
      <c r="W10958" t="s">
        <v>40110</v>
      </c>
      <c r="X10958" t="s">
        <v>40452</v>
      </c>
    </row>
    <row r="10959" spans="1:24">
      <c r="A10959">
        <f>HYPERLINK("https://www.philgeps.gov.ph/GEPSNONPILOT/Tender/SplashBidNoticeAbstractUI.aspx?menuIndex=3&amp;refID=7026858&amp;Result=3","7026858")</f>
        <v>0</v>
      </c>
      <c r="B10959" t="s">
        <v>2848</v>
      </c>
      <c r="C10959" t="s">
        <v>13551</v>
      </c>
      <c r="D10959" t="s">
        <v>16187</v>
      </c>
      <c r="E10959" t="s">
        <v>25783</v>
      </c>
      <c r="F10959" t="s">
        <v>28198</v>
      </c>
      <c r="G10959" t="s">
        <v>28205</v>
      </c>
      <c r="H10959" t="s">
        <v>28215</v>
      </c>
      <c r="I10959" t="s">
        <v>5082</v>
      </c>
      <c r="J10959" t="s">
        <v>35124</v>
      </c>
      <c r="K10959" t="s">
        <v>36701</v>
      </c>
      <c r="M10959" t="s">
        <v>40106</v>
      </c>
      <c r="N10959" t="s">
        <v>40436</v>
      </c>
      <c r="O10959" t="s">
        <v>40437</v>
      </c>
      <c r="P10959">
        <v>0</v>
      </c>
      <c r="Q10959">
        <v>0</v>
      </c>
      <c r="R10959" t="s">
        <v>40451</v>
      </c>
      <c r="S10959" t="s">
        <v>41005</v>
      </c>
      <c r="T10959" t="s">
        <v>42126</v>
      </c>
      <c r="U10959" t="s">
        <v>51707</v>
      </c>
      <c r="V10959" t="s">
        <v>55002</v>
      </c>
      <c r="W10959" t="s">
        <v>40106</v>
      </c>
      <c r="X10959" t="s">
        <v>40452</v>
      </c>
    </row>
    <row r="10960" spans="1:24">
      <c r="A10960">
        <f>HYPERLINK("https://www.philgeps.gov.ph/GEPSNONPILOT/Tender/SplashBidNoticeAbstractUI.aspx?menuIndex=3&amp;refID=7026856&amp;Result=3","7026856")</f>
        <v>0</v>
      </c>
      <c r="B10960" t="s">
        <v>1729</v>
      </c>
      <c r="C10960" t="s">
        <v>13552</v>
      </c>
      <c r="D10960" t="s">
        <v>16249</v>
      </c>
      <c r="E10960" t="s">
        <v>25793</v>
      </c>
      <c r="F10960" t="s">
        <v>28198</v>
      </c>
      <c r="G10960" t="s">
        <v>28205</v>
      </c>
      <c r="H10960" t="s">
        <v>28214</v>
      </c>
      <c r="I10960" t="s">
        <v>3797</v>
      </c>
      <c r="J10960" t="s">
        <v>28699</v>
      </c>
      <c r="K10960" t="s">
        <v>36692</v>
      </c>
      <c r="M10960" t="s">
        <v>40101</v>
      </c>
      <c r="N10960" t="s">
        <v>40436</v>
      </c>
      <c r="O10960" t="s">
        <v>40437</v>
      </c>
      <c r="Q10960">
        <v>114</v>
      </c>
      <c r="R10960" t="s">
        <v>40451</v>
      </c>
      <c r="S10960" t="s">
        <v>41104</v>
      </c>
      <c r="T10960" t="s">
        <v>42346</v>
      </c>
      <c r="U10960" t="s">
        <v>51689</v>
      </c>
      <c r="V10960" t="s">
        <v>54987</v>
      </c>
      <c r="W10960" t="s">
        <v>55537</v>
      </c>
      <c r="X10960" t="s">
        <v>40452</v>
      </c>
    </row>
    <row r="10961" spans="1:24">
      <c r="A10961">
        <f>HYPERLINK("https://www.philgeps.gov.ph/GEPSNONPILOT/Tender/SplashBidNoticeAbstractUI.aspx?menuIndex=3&amp;refID=7026831&amp;Result=3","7026831")</f>
        <v>0</v>
      </c>
      <c r="B10961" t="s">
        <v>2253</v>
      </c>
      <c r="C10961" t="s">
        <v>13553</v>
      </c>
      <c r="D10961" t="s">
        <v>16187</v>
      </c>
      <c r="E10961" t="s">
        <v>25794</v>
      </c>
      <c r="F10961" t="s">
        <v>28198</v>
      </c>
      <c r="G10961" t="s">
        <v>28205</v>
      </c>
      <c r="H10961" t="s">
        <v>28215</v>
      </c>
      <c r="I10961" t="s">
        <v>5100</v>
      </c>
      <c r="J10961" t="s">
        <v>35125</v>
      </c>
      <c r="K10961" t="s">
        <v>36701</v>
      </c>
      <c r="L10961" t="s">
        <v>2253</v>
      </c>
      <c r="M10961" t="s">
        <v>40105</v>
      </c>
      <c r="N10961" t="s">
        <v>40436</v>
      </c>
      <c r="O10961" t="s">
        <v>40437</v>
      </c>
      <c r="P10961">
        <v>0</v>
      </c>
      <c r="Q10961">
        <v>0</v>
      </c>
      <c r="R10961" t="s">
        <v>40451</v>
      </c>
      <c r="S10961" t="s">
        <v>41005</v>
      </c>
      <c r="T10961" t="s">
        <v>42133</v>
      </c>
      <c r="U10961" t="s">
        <v>51704</v>
      </c>
      <c r="V10961" t="s">
        <v>55003</v>
      </c>
      <c r="W10961" t="s">
        <v>40105</v>
      </c>
      <c r="X10961" t="s">
        <v>40452</v>
      </c>
    </row>
    <row r="10962" spans="1:24">
      <c r="A10962">
        <f>HYPERLINK("https://www.philgeps.gov.ph/GEPSNONPILOT/Tender/SplashBidNoticeAbstractUI.aspx?menuIndex=3&amp;refID=7026860&amp;Result=3","7026860")</f>
        <v>0</v>
      </c>
      <c r="B10962" t="s">
        <v>2848</v>
      </c>
      <c r="C10962" t="s">
        <v>13554</v>
      </c>
      <c r="D10962" t="s">
        <v>16187</v>
      </c>
      <c r="E10962" t="s">
        <v>25783</v>
      </c>
      <c r="F10962" t="s">
        <v>28198</v>
      </c>
      <c r="G10962" t="s">
        <v>28205</v>
      </c>
      <c r="H10962" t="s">
        <v>28215</v>
      </c>
      <c r="I10962" t="s">
        <v>28227</v>
      </c>
      <c r="J10962" t="s">
        <v>35126</v>
      </c>
      <c r="K10962" t="s">
        <v>36701</v>
      </c>
      <c r="M10962" t="s">
        <v>40106</v>
      </c>
      <c r="N10962" t="s">
        <v>40436</v>
      </c>
      <c r="O10962" t="s">
        <v>40437</v>
      </c>
      <c r="P10962">
        <v>0</v>
      </c>
      <c r="Q10962">
        <v>1</v>
      </c>
      <c r="R10962" t="s">
        <v>40451</v>
      </c>
      <c r="S10962" t="s">
        <v>41005</v>
      </c>
      <c r="T10962" t="s">
        <v>42126</v>
      </c>
      <c r="U10962" t="s">
        <v>51707</v>
      </c>
      <c r="V10962" t="s">
        <v>55004</v>
      </c>
      <c r="W10962" t="s">
        <v>40106</v>
      </c>
      <c r="X10962" t="s">
        <v>40452</v>
      </c>
    </row>
    <row r="10963" spans="1:24">
      <c r="A10963">
        <f>HYPERLINK("https://www.philgeps.gov.ph/GEPSNONPILOT/Tender/SplashBidNoticeAbstractUI.aspx?menuIndex=3&amp;refID=7026863&amp;Result=3","7026863")</f>
        <v>0</v>
      </c>
      <c r="B10963" t="s">
        <v>2848</v>
      </c>
      <c r="C10963" t="s">
        <v>13555</v>
      </c>
      <c r="D10963" t="s">
        <v>16187</v>
      </c>
      <c r="E10963" t="s">
        <v>25783</v>
      </c>
      <c r="F10963" t="s">
        <v>28198</v>
      </c>
      <c r="G10963" t="s">
        <v>28205</v>
      </c>
      <c r="H10963" t="s">
        <v>28215</v>
      </c>
      <c r="I10963" t="s">
        <v>3774</v>
      </c>
      <c r="J10963" t="s">
        <v>35127</v>
      </c>
      <c r="K10963" t="s">
        <v>36701</v>
      </c>
      <c r="M10963" t="s">
        <v>40106</v>
      </c>
      <c r="N10963" t="s">
        <v>40436</v>
      </c>
      <c r="O10963" t="s">
        <v>40437</v>
      </c>
      <c r="P10963">
        <v>0</v>
      </c>
      <c r="Q10963">
        <v>0</v>
      </c>
      <c r="R10963" t="s">
        <v>40451</v>
      </c>
      <c r="S10963" t="s">
        <v>41005</v>
      </c>
      <c r="T10963" t="s">
        <v>42126</v>
      </c>
      <c r="U10963" t="s">
        <v>51707</v>
      </c>
      <c r="V10963" t="s">
        <v>55005</v>
      </c>
      <c r="W10963" t="s">
        <v>40106</v>
      </c>
      <c r="X10963" t="s">
        <v>40452</v>
      </c>
    </row>
    <row r="10964" spans="1:24">
      <c r="A10964">
        <f>HYPERLINK("https://www.philgeps.gov.ph/GEPSNONPILOT/Tender/SplashBidNoticeAbstractUI.aspx?menuIndex=3&amp;refID=7026852&amp;Result=3","7026852")</f>
        <v>0</v>
      </c>
      <c r="B10964" t="s">
        <v>1729</v>
      </c>
      <c r="C10964" t="s">
        <v>13556</v>
      </c>
      <c r="D10964" t="s">
        <v>16249</v>
      </c>
      <c r="E10964" t="s">
        <v>25795</v>
      </c>
      <c r="F10964" t="s">
        <v>28198</v>
      </c>
      <c r="G10964" t="s">
        <v>28205</v>
      </c>
      <c r="H10964" t="s">
        <v>28214</v>
      </c>
      <c r="I10964" t="s">
        <v>3797</v>
      </c>
      <c r="J10964" t="s">
        <v>35128</v>
      </c>
      <c r="K10964" t="s">
        <v>36717</v>
      </c>
      <c r="M10964" t="s">
        <v>40101</v>
      </c>
      <c r="N10964" t="s">
        <v>40436</v>
      </c>
      <c r="O10964" t="s">
        <v>40437</v>
      </c>
      <c r="Q10964">
        <v>116</v>
      </c>
      <c r="R10964" t="s">
        <v>40451</v>
      </c>
      <c r="S10964" t="s">
        <v>41105</v>
      </c>
      <c r="T10964" t="s">
        <v>42346</v>
      </c>
      <c r="U10964" t="s">
        <v>51689</v>
      </c>
      <c r="V10964" t="s">
        <v>54987</v>
      </c>
      <c r="W10964" t="s">
        <v>55537</v>
      </c>
      <c r="X10964" t="s">
        <v>40452</v>
      </c>
    </row>
    <row r="10965" spans="1:24">
      <c r="A10965">
        <f>HYPERLINK("https://www.philgeps.gov.ph/GEPSNONPILOT/Tender/SplashBidNoticeAbstractUI.aspx?menuIndex=3&amp;refID=7026830&amp;Result=3","7026830")</f>
        <v>0</v>
      </c>
      <c r="B10965" t="s">
        <v>1784</v>
      </c>
      <c r="C10965" t="s">
        <v>13557</v>
      </c>
      <c r="D10965" t="s">
        <v>16216</v>
      </c>
      <c r="E10965" t="s">
        <v>25796</v>
      </c>
      <c r="F10965" t="s">
        <v>28198</v>
      </c>
      <c r="G10965" t="s">
        <v>28205</v>
      </c>
      <c r="H10965" t="s">
        <v>28215</v>
      </c>
      <c r="I10965" t="s">
        <v>5082</v>
      </c>
      <c r="J10965" t="s">
        <v>35129</v>
      </c>
      <c r="K10965" t="s">
        <v>36696</v>
      </c>
      <c r="M10965" t="s">
        <v>38900</v>
      </c>
      <c r="N10965" t="s">
        <v>40436</v>
      </c>
      <c r="O10965" t="s">
        <v>40437</v>
      </c>
      <c r="P10965">
        <v>0</v>
      </c>
      <c r="Q10965">
        <v>6</v>
      </c>
      <c r="R10965" t="s">
        <v>40451</v>
      </c>
      <c r="S10965" t="s">
        <v>41005</v>
      </c>
      <c r="T10965" t="s">
        <v>42124</v>
      </c>
      <c r="U10965" t="s">
        <v>51714</v>
      </c>
      <c r="W10965" t="s">
        <v>38900</v>
      </c>
      <c r="X10965" t="s">
        <v>40452</v>
      </c>
    </row>
    <row r="10966" spans="1:24">
      <c r="A10966">
        <f>HYPERLINK("https://www.philgeps.gov.ph/GEPSNONPILOT/Tender/SplashBidNoticeAbstractUI.aspx?menuIndex=3&amp;refID=7026867&amp;Result=3","7026867")</f>
        <v>0</v>
      </c>
      <c r="B10966" t="s">
        <v>1729</v>
      </c>
      <c r="C10966" t="s">
        <v>13558</v>
      </c>
      <c r="D10966" t="s">
        <v>16249</v>
      </c>
      <c r="E10966" t="s">
        <v>25797</v>
      </c>
      <c r="F10966" t="s">
        <v>28198</v>
      </c>
      <c r="G10966" t="s">
        <v>28205</v>
      </c>
      <c r="H10966" t="s">
        <v>28214</v>
      </c>
      <c r="I10966" t="s">
        <v>3797</v>
      </c>
      <c r="J10966" t="s">
        <v>35130</v>
      </c>
      <c r="K10966" t="s">
        <v>36710</v>
      </c>
      <c r="M10966" t="s">
        <v>40101</v>
      </c>
      <c r="N10966" t="s">
        <v>40436</v>
      </c>
      <c r="O10966" t="s">
        <v>40437</v>
      </c>
      <c r="Q10966">
        <v>120</v>
      </c>
      <c r="R10966" t="s">
        <v>40451</v>
      </c>
      <c r="S10966" t="s">
        <v>41106</v>
      </c>
      <c r="T10966" t="s">
        <v>42346</v>
      </c>
      <c r="U10966" t="s">
        <v>51689</v>
      </c>
      <c r="V10966" t="s">
        <v>55006</v>
      </c>
      <c r="W10966" t="s">
        <v>55537</v>
      </c>
      <c r="X10966" t="s">
        <v>40452</v>
      </c>
    </row>
    <row r="10967" spans="1:24">
      <c r="A10967">
        <f>HYPERLINK("https://www.philgeps.gov.ph/GEPSNONPILOT/Tender/SplashBidNoticeAbstractUI.aspx?menuIndex=3&amp;refID=7026885&amp;Result=3","7026885")</f>
        <v>0</v>
      </c>
      <c r="B10967" t="s">
        <v>1729</v>
      </c>
      <c r="C10967" t="s">
        <v>13559</v>
      </c>
      <c r="D10967" t="s">
        <v>16249</v>
      </c>
      <c r="E10967" t="s">
        <v>25798</v>
      </c>
      <c r="F10967" t="s">
        <v>28198</v>
      </c>
      <c r="G10967" t="s">
        <v>28205</v>
      </c>
      <c r="H10967" t="s">
        <v>28214</v>
      </c>
      <c r="I10967" t="s">
        <v>3797</v>
      </c>
      <c r="J10967" t="s">
        <v>35131</v>
      </c>
      <c r="K10967" t="s">
        <v>36735</v>
      </c>
      <c r="M10967" t="s">
        <v>40101</v>
      </c>
      <c r="N10967" t="s">
        <v>40436</v>
      </c>
      <c r="O10967" t="s">
        <v>40437</v>
      </c>
      <c r="Q10967">
        <v>116</v>
      </c>
      <c r="R10967" t="s">
        <v>40451</v>
      </c>
      <c r="S10967" t="s">
        <v>41107</v>
      </c>
      <c r="T10967" t="s">
        <v>42346</v>
      </c>
      <c r="U10967" t="s">
        <v>51689</v>
      </c>
      <c r="V10967" t="s">
        <v>55007</v>
      </c>
      <c r="W10967" t="s">
        <v>55537</v>
      </c>
      <c r="X10967" t="s">
        <v>40452</v>
      </c>
    </row>
    <row r="10968" spans="1:24">
      <c r="A10968">
        <f>HYPERLINK("https://www.philgeps.gov.ph/GEPSNONPILOT/Tender/SplashBidNoticeAbstractUI.aspx?menuIndex=3&amp;refID=7026865&amp;Result=3","7026865")</f>
        <v>0</v>
      </c>
      <c r="B10968" t="s">
        <v>1477</v>
      </c>
      <c r="C10968" t="s">
        <v>13560</v>
      </c>
      <c r="D10968" t="s">
        <v>16197</v>
      </c>
      <c r="E10968" t="s">
        <v>25799</v>
      </c>
      <c r="F10968" t="s">
        <v>28198</v>
      </c>
      <c r="G10968" t="s">
        <v>28205</v>
      </c>
      <c r="H10968" t="s">
        <v>28214</v>
      </c>
      <c r="I10968" t="s">
        <v>3797</v>
      </c>
      <c r="J10968" t="s">
        <v>32106</v>
      </c>
      <c r="K10968" t="s">
        <v>36741</v>
      </c>
      <c r="M10968" t="s">
        <v>40109</v>
      </c>
      <c r="N10968" t="s">
        <v>40436</v>
      </c>
      <c r="O10968" t="s">
        <v>40437</v>
      </c>
      <c r="Q10968">
        <v>4</v>
      </c>
      <c r="R10968" t="s">
        <v>40451</v>
      </c>
      <c r="S10968" t="s">
        <v>41108</v>
      </c>
      <c r="T10968" t="s">
        <v>42133</v>
      </c>
      <c r="U10968" t="s">
        <v>51712</v>
      </c>
      <c r="W10968" t="s">
        <v>40109</v>
      </c>
      <c r="X10968" t="s">
        <v>40452</v>
      </c>
    </row>
    <row r="10969" spans="1:24">
      <c r="A10969">
        <f>HYPERLINK("https://www.philgeps.gov.ph/GEPSNONPILOT/Tender/SplashBidNoticeAbstractUI.aspx?menuIndex=3&amp;refID=7026872&amp;Result=3","7026872")</f>
        <v>0</v>
      </c>
      <c r="B10969" t="s">
        <v>2848</v>
      </c>
      <c r="C10969" t="s">
        <v>13561</v>
      </c>
      <c r="D10969" t="s">
        <v>16187</v>
      </c>
      <c r="E10969" t="s">
        <v>25783</v>
      </c>
      <c r="F10969" t="s">
        <v>28198</v>
      </c>
      <c r="G10969" t="s">
        <v>28205</v>
      </c>
      <c r="H10969" t="s">
        <v>28215</v>
      </c>
      <c r="I10969" t="s">
        <v>5100</v>
      </c>
      <c r="J10969" t="s">
        <v>35132</v>
      </c>
      <c r="K10969" t="s">
        <v>36701</v>
      </c>
      <c r="M10969" t="s">
        <v>40106</v>
      </c>
      <c r="N10969" t="s">
        <v>40436</v>
      </c>
      <c r="O10969" t="s">
        <v>40437</v>
      </c>
      <c r="P10969">
        <v>0</v>
      </c>
      <c r="Q10969">
        <v>3</v>
      </c>
      <c r="R10969" t="s">
        <v>40451</v>
      </c>
      <c r="S10969" t="s">
        <v>41005</v>
      </c>
      <c r="T10969" t="s">
        <v>42126</v>
      </c>
      <c r="U10969" t="s">
        <v>51707</v>
      </c>
      <c r="V10969" t="s">
        <v>55008</v>
      </c>
      <c r="W10969" t="s">
        <v>40106</v>
      </c>
      <c r="X10969" t="s">
        <v>40452</v>
      </c>
    </row>
    <row r="10970" spans="1:24">
      <c r="A10970">
        <f>HYPERLINK("https://www.philgeps.gov.ph/GEPSNONPILOT/Tender/SplashBidNoticeAbstractUI.aspx?menuIndex=3&amp;refID=7026870&amp;Result=3","7026870")</f>
        <v>0</v>
      </c>
      <c r="B10970" t="s">
        <v>2848</v>
      </c>
      <c r="C10970" t="s">
        <v>13562</v>
      </c>
      <c r="D10970" t="s">
        <v>16187</v>
      </c>
      <c r="E10970" t="s">
        <v>25783</v>
      </c>
      <c r="F10970" t="s">
        <v>28198</v>
      </c>
      <c r="G10970" t="s">
        <v>28205</v>
      </c>
      <c r="H10970" t="s">
        <v>28215</v>
      </c>
      <c r="I10970" t="s">
        <v>28227</v>
      </c>
      <c r="J10970" t="s">
        <v>35133</v>
      </c>
      <c r="K10970" t="s">
        <v>36701</v>
      </c>
      <c r="M10970" t="s">
        <v>40106</v>
      </c>
      <c r="N10970" t="s">
        <v>40436</v>
      </c>
      <c r="O10970" t="s">
        <v>40437</v>
      </c>
      <c r="P10970">
        <v>0</v>
      </c>
      <c r="Q10970">
        <v>0</v>
      </c>
      <c r="R10970" t="s">
        <v>40451</v>
      </c>
      <c r="S10970" t="s">
        <v>41005</v>
      </c>
      <c r="T10970" t="s">
        <v>42126</v>
      </c>
      <c r="U10970" t="s">
        <v>51707</v>
      </c>
      <c r="V10970" t="s">
        <v>55009</v>
      </c>
      <c r="W10970" t="s">
        <v>40106</v>
      </c>
      <c r="X10970" t="s">
        <v>40452</v>
      </c>
    </row>
    <row r="10971" spans="1:24">
      <c r="A10971">
        <f>HYPERLINK("https://www.philgeps.gov.ph/GEPSNONPILOT/Tender/SplashBidNoticeAbstractUI.aspx?menuIndex=3&amp;refID=7026886&amp;Result=3","7026886")</f>
        <v>0</v>
      </c>
      <c r="B10971" t="s">
        <v>1278</v>
      </c>
      <c r="C10971" t="s">
        <v>13563</v>
      </c>
      <c r="D10971" t="s">
        <v>16225</v>
      </c>
      <c r="E10971" t="s">
        <v>25800</v>
      </c>
      <c r="F10971" t="s">
        <v>28199</v>
      </c>
      <c r="G10971" t="s">
        <v>28205</v>
      </c>
      <c r="H10971" t="s">
        <v>28214</v>
      </c>
      <c r="I10971" t="s">
        <v>3797</v>
      </c>
      <c r="J10971" t="s">
        <v>35134</v>
      </c>
      <c r="K10971" t="s">
        <v>36727</v>
      </c>
      <c r="M10971" t="s">
        <v>38330</v>
      </c>
      <c r="N10971" t="s">
        <v>40436</v>
      </c>
      <c r="O10971" t="s">
        <v>40437</v>
      </c>
      <c r="P10971">
        <v>0</v>
      </c>
      <c r="Q10971">
        <v>1</v>
      </c>
      <c r="R10971" t="s">
        <v>40451</v>
      </c>
      <c r="S10971" t="s">
        <v>41005</v>
      </c>
      <c r="T10971" t="s">
        <v>42102</v>
      </c>
      <c r="U10971" t="s">
        <v>51715</v>
      </c>
      <c r="W10971" t="s">
        <v>38330</v>
      </c>
      <c r="X10971" t="s">
        <v>40452</v>
      </c>
    </row>
    <row r="10972" spans="1:24">
      <c r="A10972">
        <f>HYPERLINK("https://www.philgeps.gov.ph/GEPSNONPILOT/Tender/SplashBidNoticeAbstractUI.aspx?menuIndex=3&amp;refID=7026880&amp;Result=3","7026880")</f>
        <v>0</v>
      </c>
      <c r="B10972" t="s">
        <v>1278</v>
      </c>
      <c r="C10972" t="s">
        <v>13564</v>
      </c>
      <c r="D10972" t="s">
        <v>16225</v>
      </c>
      <c r="E10972" t="s">
        <v>25801</v>
      </c>
      <c r="F10972" t="s">
        <v>28199</v>
      </c>
      <c r="G10972" t="s">
        <v>28205</v>
      </c>
      <c r="H10972" t="s">
        <v>28214</v>
      </c>
      <c r="I10972" t="s">
        <v>3797</v>
      </c>
      <c r="J10972" t="s">
        <v>35135</v>
      </c>
      <c r="K10972" t="s">
        <v>36697</v>
      </c>
      <c r="M10972" t="s">
        <v>38330</v>
      </c>
      <c r="N10972" t="s">
        <v>40436</v>
      </c>
      <c r="O10972" t="s">
        <v>40437</v>
      </c>
      <c r="P10972">
        <v>0</v>
      </c>
      <c r="Q10972">
        <v>1</v>
      </c>
      <c r="R10972" t="s">
        <v>40451</v>
      </c>
      <c r="S10972" t="s">
        <v>41005</v>
      </c>
      <c r="T10972" t="s">
        <v>42102</v>
      </c>
      <c r="U10972" t="s">
        <v>51716</v>
      </c>
      <c r="W10972" t="s">
        <v>38330</v>
      </c>
      <c r="X10972" t="s">
        <v>40452</v>
      </c>
    </row>
    <row r="10973" spans="1:24">
      <c r="A10973">
        <f>HYPERLINK("https://www.philgeps.gov.ph/GEPSNONPILOT/Tender/SplashBidNoticeAbstractUI.aspx?menuIndex=3&amp;refID=7026869&amp;Result=3","7026869")</f>
        <v>0</v>
      </c>
      <c r="B10973" t="s">
        <v>1477</v>
      </c>
      <c r="C10973" t="s">
        <v>13565</v>
      </c>
      <c r="D10973" t="s">
        <v>16197</v>
      </c>
      <c r="E10973" t="s">
        <v>25802</v>
      </c>
      <c r="F10973" t="s">
        <v>28198</v>
      </c>
      <c r="G10973" t="s">
        <v>28205</v>
      </c>
      <c r="H10973" t="s">
        <v>28214</v>
      </c>
      <c r="I10973" t="s">
        <v>3797</v>
      </c>
      <c r="J10973" t="s">
        <v>35054</v>
      </c>
      <c r="K10973" t="s">
        <v>36854</v>
      </c>
      <c r="M10973" t="s">
        <v>40109</v>
      </c>
      <c r="N10973" t="s">
        <v>40436</v>
      </c>
      <c r="O10973" t="s">
        <v>40437</v>
      </c>
      <c r="Q10973">
        <v>1</v>
      </c>
      <c r="R10973" t="s">
        <v>40451</v>
      </c>
      <c r="S10973" t="s">
        <v>41109</v>
      </c>
      <c r="T10973" t="s">
        <v>42133</v>
      </c>
      <c r="U10973" t="s">
        <v>51712</v>
      </c>
      <c r="W10973" t="s">
        <v>40109</v>
      </c>
      <c r="X10973" t="s">
        <v>40452</v>
      </c>
    </row>
    <row r="10974" spans="1:24">
      <c r="A10974">
        <f>HYPERLINK("https://www.philgeps.gov.ph/GEPSNONPILOT/Tender/SplashBidNoticeAbstractUI.aspx?menuIndex=3&amp;refID=7026884&amp;Result=3","7026884")</f>
        <v>0</v>
      </c>
      <c r="B10974" t="s">
        <v>165</v>
      </c>
      <c r="C10974" t="s">
        <v>13566</v>
      </c>
      <c r="D10974" t="s">
        <v>16241</v>
      </c>
      <c r="E10974" t="s">
        <v>25803</v>
      </c>
      <c r="F10974" t="s">
        <v>28198</v>
      </c>
      <c r="G10974" t="s">
        <v>28205</v>
      </c>
      <c r="H10974" t="s">
        <v>28214</v>
      </c>
      <c r="I10974" t="s">
        <v>3797</v>
      </c>
      <c r="J10974" t="s">
        <v>35136</v>
      </c>
      <c r="K10974" t="s">
        <v>36692</v>
      </c>
      <c r="M10974" t="s">
        <v>37139</v>
      </c>
      <c r="N10974" t="s">
        <v>40436</v>
      </c>
      <c r="O10974" t="s">
        <v>40437</v>
      </c>
      <c r="Q10974">
        <v>2</v>
      </c>
      <c r="R10974" t="s">
        <v>40451</v>
      </c>
      <c r="S10974" t="s">
        <v>41110</v>
      </c>
      <c r="T10974" t="s">
        <v>42133</v>
      </c>
      <c r="U10974" t="s">
        <v>51717</v>
      </c>
      <c r="V10974" t="s">
        <v>55010</v>
      </c>
      <c r="W10974" t="s">
        <v>55518</v>
      </c>
      <c r="X10974" t="s">
        <v>40452</v>
      </c>
    </row>
    <row r="10975" spans="1:24">
      <c r="A10975">
        <f>HYPERLINK("https://www.philgeps.gov.ph/GEPSNONPILOT/Tender/SplashBidNoticeAbstractUI.aspx?menuIndex=3&amp;refID=7026879&amp;Result=3","7026879")</f>
        <v>0</v>
      </c>
      <c r="B10975" t="s">
        <v>2848</v>
      </c>
      <c r="C10975" t="s">
        <v>13567</v>
      </c>
      <c r="D10975" t="s">
        <v>16187</v>
      </c>
      <c r="E10975" t="s">
        <v>25783</v>
      </c>
      <c r="F10975" t="s">
        <v>28198</v>
      </c>
      <c r="G10975" t="s">
        <v>28205</v>
      </c>
      <c r="H10975" t="s">
        <v>28215</v>
      </c>
      <c r="I10975" t="s">
        <v>3774</v>
      </c>
      <c r="J10975" t="s">
        <v>31493</v>
      </c>
      <c r="K10975" t="s">
        <v>36701</v>
      </c>
      <c r="M10975" t="s">
        <v>40106</v>
      </c>
      <c r="N10975" t="s">
        <v>40436</v>
      </c>
      <c r="O10975" t="s">
        <v>40437</v>
      </c>
      <c r="Q10975">
        <v>0</v>
      </c>
      <c r="R10975" t="s">
        <v>40451</v>
      </c>
      <c r="S10975" t="s">
        <v>41111</v>
      </c>
      <c r="T10975" t="s">
        <v>42126</v>
      </c>
      <c r="U10975" t="s">
        <v>51707</v>
      </c>
      <c r="V10975" t="s">
        <v>55011</v>
      </c>
      <c r="W10975" t="s">
        <v>40106</v>
      </c>
      <c r="X10975" t="s">
        <v>40452</v>
      </c>
    </row>
    <row r="10976" spans="1:24">
      <c r="A10976">
        <f>HYPERLINK("https://www.philgeps.gov.ph/GEPSNONPILOT/Tender/SplashBidNoticeAbstractUI.aspx?menuIndex=3&amp;refID=7026878&amp;Result=3","7026878")</f>
        <v>0</v>
      </c>
      <c r="B10976" t="s">
        <v>1729</v>
      </c>
      <c r="C10976" t="s">
        <v>13568</v>
      </c>
      <c r="D10976" t="s">
        <v>16249</v>
      </c>
      <c r="E10976" t="s">
        <v>25804</v>
      </c>
      <c r="F10976" t="s">
        <v>28198</v>
      </c>
      <c r="G10976" t="s">
        <v>28205</v>
      </c>
      <c r="H10976" t="s">
        <v>28214</v>
      </c>
      <c r="I10976" t="s">
        <v>3797</v>
      </c>
      <c r="J10976" t="s">
        <v>28699</v>
      </c>
      <c r="K10976" t="s">
        <v>36690</v>
      </c>
      <c r="M10976" t="s">
        <v>40101</v>
      </c>
      <c r="N10976" t="s">
        <v>40436</v>
      </c>
      <c r="O10976" t="s">
        <v>40437</v>
      </c>
      <c r="Q10976">
        <v>120</v>
      </c>
      <c r="R10976" t="s">
        <v>40451</v>
      </c>
      <c r="S10976" t="s">
        <v>41112</v>
      </c>
      <c r="T10976" t="s">
        <v>42346</v>
      </c>
      <c r="U10976" t="s">
        <v>51689</v>
      </c>
      <c r="V10976" t="s">
        <v>55012</v>
      </c>
      <c r="W10976" t="s">
        <v>55537</v>
      </c>
      <c r="X10976" t="s">
        <v>40452</v>
      </c>
    </row>
    <row r="10977" spans="1:24">
      <c r="A10977">
        <f>HYPERLINK("https://www.philgeps.gov.ph/GEPSNONPILOT/Tender/SplashBidNoticeAbstractUI.aspx?menuIndex=3&amp;refID=7026890&amp;Result=3","7026890")</f>
        <v>0</v>
      </c>
      <c r="B10977" t="s">
        <v>1278</v>
      </c>
      <c r="C10977" t="s">
        <v>13569</v>
      </c>
      <c r="D10977" t="s">
        <v>16225</v>
      </c>
      <c r="E10977" t="s">
        <v>25805</v>
      </c>
      <c r="F10977" t="s">
        <v>28199</v>
      </c>
      <c r="G10977" t="s">
        <v>28205</v>
      </c>
      <c r="H10977" t="s">
        <v>28214</v>
      </c>
      <c r="I10977" t="s">
        <v>3797</v>
      </c>
      <c r="J10977" t="s">
        <v>35137</v>
      </c>
      <c r="K10977" t="s">
        <v>36694</v>
      </c>
      <c r="M10977" t="s">
        <v>38330</v>
      </c>
      <c r="N10977" t="s">
        <v>40436</v>
      </c>
      <c r="O10977" t="s">
        <v>40437</v>
      </c>
      <c r="P10977">
        <v>0</v>
      </c>
      <c r="Q10977">
        <v>1</v>
      </c>
      <c r="R10977" t="s">
        <v>40451</v>
      </c>
      <c r="S10977" t="s">
        <v>41005</v>
      </c>
      <c r="T10977" t="s">
        <v>42102</v>
      </c>
      <c r="U10977" t="s">
        <v>51718</v>
      </c>
      <c r="W10977" t="s">
        <v>38330</v>
      </c>
      <c r="X10977" t="s">
        <v>40452</v>
      </c>
    </row>
    <row r="10978" spans="1:24">
      <c r="A10978">
        <f>HYPERLINK("https://www.philgeps.gov.ph/GEPSNONPILOT/Tender/SplashBidNoticeAbstractUI.aspx?menuIndex=3&amp;refID=7026874&amp;Result=3","7026874")</f>
        <v>0</v>
      </c>
      <c r="B10978" t="s">
        <v>1278</v>
      </c>
      <c r="C10978" t="s">
        <v>13570</v>
      </c>
      <c r="D10978" t="s">
        <v>16225</v>
      </c>
      <c r="E10978" t="s">
        <v>25806</v>
      </c>
      <c r="F10978" t="s">
        <v>28199</v>
      </c>
      <c r="G10978" t="s">
        <v>28205</v>
      </c>
      <c r="H10978" t="s">
        <v>28214</v>
      </c>
      <c r="I10978" t="s">
        <v>3797</v>
      </c>
      <c r="J10978" t="s">
        <v>35138</v>
      </c>
      <c r="K10978" t="s">
        <v>36697</v>
      </c>
      <c r="M10978" t="s">
        <v>38330</v>
      </c>
      <c r="N10978" t="s">
        <v>40436</v>
      </c>
      <c r="O10978" t="s">
        <v>40437</v>
      </c>
      <c r="P10978">
        <v>0</v>
      </c>
      <c r="Q10978">
        <v>1</v>
      </c>
      <c r="R10978" t="s">
        <v>40451</v>
      </c>
      <c r="S10978" t="s">
        <v>41005</v>
      </c>
      <c r="T10978" t="s">
        <v>42102</v>
      </c>
      <c r="U10978" t="s">
        <v>51719</v>
      </c>
      <c r="W10978" t="s">
        <v>38330</v>
      </c>
      <c r="X10978" t="s">
        <v>40452</v>
      </c>
    </row>
    <row r="10979" spans="1:24">
      <c r="A10979">
        <f>HYPERLINK("https://www.philgeps.gov.ph/GEPSNONPILOT/Tender/SplashBidNoticeAbstractUI.aspx?menuIndex=3&amp;refID=7026888&amp;Result=3","7026888")</f>
        <v>0</v>
      </c>
      <c r="B10979" t="s">
        <v>2848</v>
      </c>
      <c r="C10979" t="s">
        <v>13571</v>
      </c>
      <c r="D10979" t="s">
        <v>16187</v>
      </c>
      <c r="E10979" t="s">
        <v>25783</v>
      </c>
      <c r="F10979" t="s">
        <v>28198</v>
      </c>
      <c r="G10979" t="s">
        <v>28205</v>
      </c>
      <c r="H10979" t="s">
        <v>28215</v>
      </c>
      <c r="I10979" t="s">
        <v>5100</v>
      </c>
      <c r="J10979" t="s">
        <v>35139</v>
      </c>
      <c r="K10979" t="s">
        <v>36701</v>
      </c>
      <c r="M10979" t="s">
        <v>40106</v>
      </c>
      <c r="N10979" t="s">
        <v>40436</v>
      </c>
      <c r="O10979" t="s">
        <v>40437</v>
      </c>
      <c r="P10979">
        <v>0</v>
      </c>
      <c r="Q10979">
        <v>0</v>
      </c>
      <c r="R10979" t="s">
        <v>40451</v>
      </c>
      <c r="S10979" t="s">
        <v>41005</v>
      </c>
      <c r="T10979" t="s">
        <v>42126</v>
      </c>
      <c r="U10979" t="s">
        <v>51707</v>
      </c>
      <c r="V10979" t="s">
        <v>55013</v>
      </c>
      <c r="W10979" t="s">
        <v>40106</v>
      </c>
      <c r="X10979" t="s">
        <v>40452</v>
      </c>
    </row>
    <row r="10980" spans="1:24">
      <c r="A10980">
        <f>HYPERLINK("https://www.philgeps.gov.ph/GEPSNONPILOT/Tender/SplashBidNoticeAbstractUI.aspx?menuIndex=3&amp;refID=7026881&amp;Result=3","7026881")</f>
        <v>0</v>
      </c>
      <c r="B10980" t="s">
        <v>1477</v>
      </c>
      <c r="C10980" t="s">
        <v>13572</v>
      </c>
      <c r="D10980" t="s">
        <v>16197</v>
      </c>
      <c r="E10980" t="s">
        <v>25807</v>
      </c>
      <c r="F10980" t="s">
        <v>28198</v>
      </c>
      <c r="G10980" t="s">
        <v>28205</v>
      </c>
      <c r="H10980" t="s">
        <v>28214</v>
      </c>
      <c r="I10980" t="s">
        <v>3797</v>
      </c>
      <c r="J10980" t="s">
        <v>31204</v>
      </c>
      <c r="K10980" t="s">
        <v>36692</v>
      </c>
      <c r="M10980" t="s">
        <v>40109</v>
      </c>
      <c r="N10980" t="s">
        <v>40436</v>
      </c>
      <c r="O10980" t="s">
        <v>40437</v>
      </c>
      <c r="Q10980">
        <v>4</v>
      </c>
      <c r="R10980" t="s">
        <v>40451</v>
      </c>
      <c r="S10980" t="s">
        <v>41113</v>
      </c>
      <c r="T10980" t="s">
        <v>42133</v>
      </c>
      <c r="U10980" t="s">
        <v>51712</v>
      </c>
      <c r="W10980" t="s">
        <v>40109</v>
      </c>
      <c r="X10980" t="s">
        <v>40452</v>
      </c>
    </row>
    <row r="10981" spans="1:24">
      <c r="A10981">
        <f>HYPERLINK("https://www.philgeps.gov.ph/GEPSNONPILOT/Tender/SplashBidNoticeAbstractUI.aspx?menuIndex=3&amp;refID=7026873&amp;Result=3","7026873")</f>
        <v>0</v>
      </c>
      <c r="B10981" t="s">
        <v>1477</v>
      </c>
      <c r="C10981" t="s">
        <v>13573</v>
      </c>
      <c r="D10981" t="s">
        <v>16197</v>
      </c>
      <c r="E10981" t="s">
        <v>25808</v>
      </c>
      <c r="F10981" t="s">
        <v>28198</v>
      </c>
      <c r="G10981" t="s">
        <v>28205</v>
      </c>
      <c r="H10981" t="s">
        <v>28214</v>
      </c>
      <c r="I10981" t="s">
        <v>3797</v>
      </c>
      <c r="J10981" t="s">
        <v>35069</v>
      </c>
      <c r="K10981" t="s">
        <v>36906</v>
      </c>
      <c r="M10981" t="s">
        <v>40109</v>
      </c>
      <c r="N10981" t="s">
        <v>40436</v>
      </c>
      <c r="O10981" t="s">
        <v>40437</v>
      </c>
      <c r="P10981">
        <v>0</v>
      </c>
      <c r="Q10981">
        <v>2</v>
      </c>
      <c r="R10981" t="s">
        <v>40451</v>
      </c>
      <c r="S10981" t="s">
        <v>41005</v>
      </c>
      <c r="T10981" t="s">
        <v>42133</v>
      </c>
      <c r="U10981" t="s">
        <v>51712</v>
      </c>
      <c r="W10981" t="s">
        <v>40109</v>
      </c>
      <c r="X10981" t="s">
        <v>40452</v>
      </c>
    </row>
    <row r="10982" spans="1:24">
      <c r="A10982">
        <f>HYPERLINK("https://www.philgeps.gov.ph/GEPSNONPILOT/Tender/SplashBidNoticeAbstractUI.aspx?menuIndex=3&amp;refID=7026866&amp;Result=3","7026866")</f>
        <v>0</v>
      </c>
      <c r="B10982" t="s">
        <v>2848</v>
      </c>
      <c r="C10982" t="s">
        <v>13574</v>
      </c>
      <c r="D10982" t="s">
        <v>16187</v>
      </c>
      <c r="E10982" t="s">
        <v>25783</v>
      </c>
      <c r="F10982" t="s">
        <v>28198</v>
      </c>
      <c r="G10982" t="s">
        <v>28205</v>
      </c>
      <c r="H10982" t="s">
        <v>28215</v>
      </c>
      <c r="I10982" t="s">
        <v>5100</v>
      </c>
      <c r="J10982" t="s">
        <v>35140</v>
      </c>
      <c r="K10982" t="s">
        <v>36701</v>
      </c>
      <c r="M10982" t="s">
        <v>40106</v>
      </c>
      <c r="N10982" t="s">
        <v>40436</v>
      </c>
      <c r="O10982" t="s">
        <v>40437</v>
      </c>
      <c r="P10982">
        <v>0</v>
      </c>
      <c r="Q10982">
        <v>0</v>
      </c>
      <c r="R10982" t="s">
        <v>40451</v>
      </c>
      <c r="S10982" t="s">
        <v>41005</v>
      </c>
      <c r="T10982" t="s">
        <v>42126</v>
      </c>
      <c r="U10982" t="s">
        <v>51707</v>
      </c>
      <c r="V10982" t="s">
        <v>55014</v>
      </c>
      <c r="W10982" t="s">
        <v>40106</v>
      </c>
      <c r="X10982" t="s">
        <v>40452</v>
      </c>
    </row>
    <row r="10983" spans="1:24">
      <c r="A10983">
        <f>HYPERLINK("https://www.philgeps.gov.ph/GEPSNONPILOT/Tender/SplashBidNoticeAbstractUI.aspx?menuIndex=3&amp;refID=7026913&amp;Result=3","7026913")</f>
        <v>0</v>
      </c>
      <c r="B10983" t="s">
        <v>2190</v>
      </c>
      <c r="C10983" t="s">
        <v>13575</v>
      </c>
      <c r="D10983" t="s">
        <v>16188</v>
      </c>
      <c r="E10983" t="s">
        <v>25809</v>
      </c>
      <c r="F10983" t="s">
        <v>28198</v>
      </c>
      <c r="G10983" t="s">
        <v>28205</v>
      </c>
      <c r="H10983" t="s">
        <v>28214</v>
      </c>
      <c r="I10983" t="s">
        <v>3797</v>
      </c>
      <c r="J10983" t="s">
        <v>28351</v>
      </c>
      <c r="K10983" t="s">
        <v>36697</v>
      </c>
      <c r="L10983" t="s">
        <v>2190</v>
      </c>
      <c r="M10983" t="s">
        <v>39855</v>
      </c>
      <c r="N10983" t="s">
        <v>40436</v>
      </c>
      <c r="O10983" t="s">
        <v>40437</v>
      </c>
      <c r="P10983">
        <v>0</v>
      </c>
      <c r="Q10983">
        <v>0</v>
      </c>
      <c r="R10983" t="s">
        <v>40451</v>
      </c>
      <c r="S10983" t="s">
        <v>41005</v>
      </c>
      <c r="T10983" t="s">
        <v>42133</v>
      </c>
      <c r="U10983" t="s">
        <v>51720</v>
      </c>
      <c r="V10983" t="s">
        <v>54781</v>
      </c>
      <c r="W10983" t="s">
        <v>39855</v>
      </c>
      <c r="X10983" t="s">
        <v>40452</v>
      </c>
    </row>
    <row r="10984" spans="1:24">
      <c r="A10984">
        <f>HYPERLINK("https://www.philgeps.gov.ph/GEPSNONPILOT/Tender/SplashBidNoticeAbstractUI.aspx?menuIndex=3&amp;refID=7026883&amp;Result=3","7026883")</f>
        <v>0</v>
      </c>
      <c r="B10984" t="s">
        <v>2848</v>
      </c>
      <c r="C10984" t="s">
        <v>13576</v>
      </c>
      <c r="D10984" t="s">
        <v>16187</v>
      </c>
      <c r="E10984" t="s">
        <v>25783</v>
      </c>
      <c r="F10984" t="s">
        <v>28198</v>
      </c>
      <c r="G10984" t="s">
        <v>28205</v>
      </c>
      <c r="H10984" t="s">
        <v>28215</v>
      </c>
      <c r="I10984" t="s">
        <v>28227</v>
      </c>
      <c r="J10984" t="s">
        <v>35141</v>
      </c>
      <c r="K10984" t="s">
        <v>36701</v>
      </c>
      <c r="M10984" t="s">
        <v>40106</v>
      </c>
      <c r="N10984" t="s">
        <v>40436</v>
      </c>
      <c r="O10984" t="s">
        <v>40437</v>
      </c>
      <c r="P10984">
        <v>0</v>
      </c>
      <c r="Q10984">
        <v>1</v>
      </c>
      <c r="R10984" t="s">
        <v>40451</v>
      </c>
      <c r="S10984" t="s">
        <v>41005</v>
      </c>
      <c r="T10984" t="s">
        <v>42126</v>
      </c>
      <c r="U10984" t="s">
        <v>51707</v>
      </c>
      <c r="V10984" t="s">
        <v>55015</v>
      </c>
      <c r="W10984" t="s">
        <v>40106</v>
      </c>
      <c r="X10984" t="s">
        <v>40452</v>
      </c>
    </row>
    <row r="10985" spans="1:24">
      <c r="A10985">
        <f>HYPERLINK("https://www.philgeps.gov.ph/GEPSNONPILOT/Tender/SplashBidNoticeAbstractUI.aspx?menuIndex=3&amp;refID=7026889&amp;Result=3","7026889")</f>
        <v>0</v>
      </c>
      <c r="B10985" t="s">
        <v>2355</v>
      </c>
      <c r="C10985" t="s">
        <v>13577</v>
      </c>
      <c r="D10985" t="s">
        <v>16210</v>
      </c>
      <c r="E10985" t="s">
        <v>16446</v>
      </c>
      <c r="F10985" t="s">
        <v>28198</v>
      </c>
      <c r="G10985" t="s">
        <v>28205</v>
      </c>
      <c r="H10985" t="s">
        <v>28214</v>
      </c>
      <c r="I10985" t="s">
        <v>3797</v>
      </c>
      <c r="J10985" t="s">
        <v>35142</v>
      </c>
      <c r="K10985" t="s">
        <v>36710</v>
      </c>
      <c r="M10985" t="s">
        <v>39535</v>
      </c>
      <c r="N10985" t="s">
        <v>40436</v>
      </c>
      <c r="O10985" t="s">
        <v>40437</v>
      </c>
      <c r="Q10985">
        <v>29</v>
      </c>
      <c r="R10985" t="s">
        <v>40451</v>
      </c>
      <c r="S10985" t="s">
        <v>41114</v>
      </c>
      <c r="T10985" t="s">
        <v>42133</v>
      </c>
      <c r="U10985" t="s">
        <v>49176</v>
      </c>
      <c r="W10985" t="s">
        <v>39535</v>
      </c>
      <c r="X10985" t="s">
        <v>40452</v>
      </c>
    </row>
    <row r="10986" spans="1:24">
      <c r="A10986">
        <f>HYPERLINK("https://www.philgeps.gov.ph/GEPSNONPILOT/Tender/SplashBidNoticeAbstractUI.aspx?menuIndex=3&amp;refID=7026897&amp;Result=3","7026897")</f>
        <v>0</v>
      </c>
      <c r="B10986" t="s">
        <v>2848</v>
      </c>
      <c r="C10986" t="s">
        <v>13578</v>
      </c>
      <c r="D10986" t="s">
        <v>16187</v>
      </c>
      <c r="E10986" t="s">
        <v>25783</v>
      </c>
      <c r="F10986" t="s">
        <v>28198</v>
      </c>
      <c r="G10986" t="s">
        <v>28205</v>
      </c>
      <c r="H10986" t="s">
        <v>28215</v>
      </c>
      <c r="I10986" t="s">
        <v>3774</v>
      </c>
      <c r="J10986" t="s">
        <v>35143</v>
      </c>
      <c r="K10986" t="s">
        <v>36701</v>
      </c>
      <c r="M10986" t="s">
        <v>40106</v>
      </c>
      <c r="N10986" t="s">
        <v>40436</v>
      </c>
      <c r="O10986" t="s">
        <v>40437</v>
      </c>
      <c r="P10986">
        <v>0</v>
      </c>
      <c r="Q10986">
        <v>0</v>
      </c>
      <c r="R10986" t="s">
        <v>40451</v>
      </c>
      <c r="S10986" t="s">
        <v>41005</v>
      </c>
      <c r="T10986" t="s">
        <v>42126</v>
      </c>
      <c r="U10986" t="s">
        <v>51707</v>
      </c>
      <c r="V10986" t="s">
        <v>55016</v>
      </c>
      <c r="W10986" t="s">
        <v>40106</v>
      </c>
      <c r="X10986" t="s">
        <v>40452</v>
      </c>
    </row>
    <row r="10987" spans="1:24">
      <c r="A10987">
        <f>HYPERLINK("https://www.philgeps.gov.ph/GEPSNONPILOT/Tender/SplashBidNoticeAbstractUI.aspx?menuIndex=3&amp;refID=7026895&amp;Result=3","7026895")</f>
        <v>0</v>
      </c>
      <c r="B10987" t="s">
        <v>1729</v>
      </c>
      <c r="C10987" t="s">
        <v>13579</v>
      </c>
      <c r="D10987" t="s">
        <v>16249</v>
      </c>
      <c r="E10987" t="s">
        <v>25810</v>
      </c>
      <c r="F10987" t="s">
        <v>28198</v>
      </c>
      <c r="G10987" t="s">
        <v>28205</v>
      </c>
      <c r="H10987" t="s">
        <v>28214</v>
      </c>
      <c r="I10987" t="s">
        <v>3797</v>
      </c>
      <c r="J10987" t="s">
        <v>30526</v>
      </c>
      <c r="K10987" t="s">
        <v>36690</v>
      </c>
      <c r="M10987" t="s">
        <v>40101</v>
      </c>
      <c r="N10987" t="s">
        <v>40436</v>
      </c>
      <c r="O10987" t="s">
        <v>40437</v>
      </c>
      <c r="Q10987">
        <v>109</v>
      </c>
      <c r="R10987" t="s">
        <v>40451</v>
      </c>
      <c r="S10987" t="s">
        <v>41115</v>
      </c>
      <c r="T10987" t="s">
        <v>42346</v>
      </c>
      <c r="U10987" t="s">
        <v>51689</v>
      </c>
      <c r="V10987" t="s">
        <v>55017</v>
      </c>
      <c r="W10987" t="s">
        <v>55537</v>
      </c>
      <c r="X10987" t="s">
        <v>40452</v>
      </c>
    </row>
    <row r="10988" spans="1:24">
      <c r="A10988">
        <f>HYPERLINK("https://www.philgeps.gov.ph/GEPSNONPILOT/Tender/SplashBidNoticeAbstractUI.aspx?menuIndex=3&amp;refID=7026893&amp;Result=3","7026893")</f>
        <v>0</v>
      </c>
      <c r="B10988" t="s">
        <v>1278</v>
      </c>
      <c r="C10988" t="s">
        <v>13580</v>
      </c>
      <c r="D10988" t="s">
        <v>16225</v>
      </c>
      <c r="E10988" t="s">
        <v>25811</v>
      </c>
      <c r="F10988" t="s">
        <v>28199</v>
      </c>
      <c r="G10988" t="s">
        <v>28205</v>
      </c>
      <c r="H10988" t="s">
        <v>28214</v>
      </c>
      <c r="I10988" t="s">
        <v>3797</v>
      </c>
      <c r="J10988" t="s">
        <v>28345</v>
      </c>
      <c r="K10988" t="s">
        <v>36697</v>
      </c>
      <c r="M10988" t="s">
        <v>38330</v>
      </c>
      <c r="N10988" t="s">
        <v>40436</v>
      </c>
      <c r="O10988" t="s">
        <v>40437</v>
      </c>
      <c r="P10988">
        <v>0</v>
      </c>
      <c r="Q10988">
        <v>1</v>
      </c>
      <c r="R10988" t="s">
        <v>40451</v>
      </c>
      <c r="S10988" t="s">
        <v>41005</v>
      </c>
      <c r="T10988" t="s">
        <v>42102</v>
      </c>
      <c r="U10988" t="s">
        <v>51721</v>
      </c>
      <c r="W10988" t="s">
        <v>38330</v>
      </c>
      <c r="X10988" t="s">
        <v>40452</v>
      </c>
    </row>
    <row r="10989" spans="1:24">
      <c r="A10989">
        <f>HYPERLINK("https://www.philgeps.gov.ph/GEPSNONPILOT/Tender/SplashBidNoticeAbstractUI.aspx?menuIndex=3&amp;refID=7026912&amp;Result=3","7026912")</f>
        <v>0</v>
      </c>
      <c r="B10989" t="s">
        <v>1278</v>
      </c>
      <c r="C10989" t="s">
        <v>13581</v>
      </c>
      <c r="D10989" t="s">
        <v>16225</v>
      </c>
      <c r="E10989" t="s">
        <v>25812</v>
      </c>
      <c r="F10989" t="s">
        <v>28199</v>
      </c>
      <c r="G10989" t="s">
        <v>28205</v>
      </c>
      <c r="H10989" t="s">
        <v>28214</v>
      </c>
      <c r="I10989" t="s">
        <v>3797</v>
      </c>
      <c r="J10989" t="s">
        <v>28406</v>
      </c>
      <c r="K10989" t="s">
        <v>36737</v>
      </c>
      <c r="M10989" t="s">
        <v>38330</v>
      </c>
      <c r="N10989" t="s">
        <v>40436</v>
      </c>
      <c r="O10989" t="s">
        <v>40437</v>
      </c>
      <c r="P10989">
        <v>0</v>
      </c>
      <c r="Q10989">
        <v>1</v>
      </c>
      <c r="R10989" t="s">
        <v>40451</v>
      </c>
      <c r="S10989" t="s">
        <v>41005</v>
      </c>
      <c r="T10989" t="s">
        <v>42102</v>
      </c>
      <c r="U10989" t="s">
        <v>51721</v>
      </c>
      <c r="W10989" t="s">
        <v>38330</v>
      </c>
      <c r="X10989" t="s">
        <v>40452</v>
      </c>
    </row>
    <row r="10990" spans="1:24">
      <c r="A10990">
        <f>HYPERLINK("https://www.philgeps.gov.ph/GEPSNONPILOT/Tender/SplashBidNoticeAbstractUI.aspx?menuIndex=3&amp;refID=7026910&amp;Result=3","7026910")</f>
        <v>0</v>
      </c>
      <c r="B10990" t="s">
        <v>2355</v>
      </c>
      <c r="C10990" t="s">
        <v>13582</v>
      </c>
      <c r="D10990" t="s">
        <v>16210</v>
      </c>
      <c r="E10990" t="s">
        <v>25813</v>
      </c>
      <c r="F10990" t="s">
        <v>28198</v>
      </c>
      <c r="G10990" t="s">
        <v>28205</v>
      </c>
      <c r="H10990" t="s">
        <v>28214</v>
      </c>
      <c r="I10990" t="s">
        <v>3797</v>
      </c>
      <c r="J10990" t="s">
        <v>35144</v>
      </c>
      <c r="K10990" t="s">
        <v>36690</v>
      </c>
      <c r="M10990" t="s">
        <v>39535</v>
      </c>
      <c r="N10990" t="s">
        <v>40436</v>
      </c>
      <c r="O10990" t="s">
        <v>40437</v>
      </c>
      <c r="Q10990">
        <v>22</v>
      </c>
      <c r="R10990" t="s">
        <v>40451</v>
      </c>
      <c r="S10990" t="s">
        <v>41116</v>
      </c>
      <c r="T10990" t="s">
        <v>42133</v>
      </c>
      <c r="U10990" t="s">
        <v>49176</v>
      </c>
      <c r="W10990" t="s">
        <v>39535</v>
      </c>
      <c r="X10990" t="s">
        <v>40452</v>
      </c>
    </row>
    <row r="10991" spans="1:24">
      <c r="A10991">
        <f>HYPERLINK("https://www.philgeps.gov.ph/GEPSNONPILOT/Tender/SplashBidNoticeAbstractUI.aspx?menuIndex=3&amp;refID=7026891&amp;Result=3","7026891")</f>
        <v>0</v>
      </c>
      <c r="B10991" t="s">
        <v>2848</v>
      </c>
      <c r="C10991" t="s">
        <v>13583</v>
      </c>
      <c r="D10991" t="s">
        <v>16187</v>
      </c>
      <c r="E10991" t="s">
        <v>25783</v>
      </c>
      <c r="F10991" t="s">
        <v>28198</v>
      </c>
      <c r="G10991" t="s">
        <v>28205</v>
      </c>
      <c r="H10991" t="s">
        <v>28215</v>
      </c>
      <c r="I10991" t="s">
        <v>5100</v>
      </c>
      <c r="J10991" t="s">
        <v>35145</v>
      </c>
      <c r="K10991" t="s">
        <v>36701</v>
      </c>
      <c r="M10991" t="s">
        <v>40106</v>
      </c>
      <c r="N10991" t="s">
        <v>40436</v>
      </c>
      <c r="O10991" t="s">
        <v>40437</v>
      </c>
      <c r="Q10991">
        <v>0</v>
      </c>
      <c r="R10991" t="s">
        <v>40451</v>
      </c>
      <c r="S10991" t="s">
        <v>41117</v>
      </c>
      <c r="T10991" t="s">
        <v>42126</v>
      </c>
      <c r="U10991" t="s">
        <v>51707</v>
      </c>
      <c r="V10991" t="s">
        <v>55018</v>
      </c>
      <c r="W10991" t="s">
        <v>40106</v>
      </c>
      <c r="X10991" t="s">
        <v>40452</v>
      </c>
    </row>
    <row r="10992" spans="1:24">
      <c r="A10992">
        <f>HYPERLINK("https://www.philgeps.gov.ph/GEPSNONPILOT/Tender/SplashBidNoticeAbstractUI.aspx?menuIndex=3&amp;refID=7026896&amp;Result=3","7026896")</f>
        <v>0</v>
      </c>
      <c r="B10992" t="s">
        <v>2851</v>
      </c>
      <c r="C10992" t="s">
        <v>13584</v>
      </c>
      <c r="D10992" t="s">
        <v>16203</v>
      </c>
      <c r="E10992" t="s">
        <v>25814</v>
      </c>
      <c r="F10992" t="s">
        <v>28198</v>
      </c>
      <c r="G10992" t="s">
        <v>28205</v>
      </c>
      <c r="H10992" t="s">
        <v>28215</v>
      </c>
      <c r="I10992" t="s">
        <v>4168</v>
      </c>
      <c r="J10992" t="s">
        <v>28486</v>
      </c>
      <c r="K10992" t="s">
        <v>36707</v>
      </c>
      <c r="M10992" t="s">
        <v>40111</v>
      </c>
      <c r="N10992" t="s">
        <v>40436</v>
      </c>
      <c r="O10992" t="s">
        <v>40437</v>
      </c>
      <c r="P10992">
        <v>0</v>
      </c>
      <c r="Q10992">
        <v>6</v>
      </c>
      <c r="R10992" t="s">
        <v>40451</v>
      </c>
      <c r="S10992" t="s">
        <v>41005</v>
      </c>
      <c r="T10992" t="s">
        <v>42126</v>
      </c>
      <c r="U10992" t="s">
        <v>51722</v>
      </c>
      <c r="W10992" t="s">
        <v>40111</v>
      </c>
      <c r="X10992" t="s">
        <v>40452</v>
      </c>
    </row>
    <row r="10993" spans="1:24">
      <c r="A10993">
        <f>HYPERLINK("https://www.philgeps.gov.ph/GEPSNONPILOT/Tender/SplashBidNoticeAbstractUI.aspx?menuIndex=3&amp;refID=7026906&amp;Result=3","7026906")</f>
        <v>0</v>
      </c>
      <c r="B10993" t="s">
        <v>2848</v>
      </c>
      <c r="C10993" t="s">
        <v>13585</v>
      </c>
      <c r="D10993" t="s">
        <v>16187</v>
      </c>
      <c r="E10993" t="s">
        <v>25783</v>
      </c>
      <c r="F10993" t="s">
        <v>28198</v>
      </c>
      <c r="G10993" t="s">
        <v>28205</v>
      </c>
      <c r="H10993" t="s">
        <v>28215</v>
      </c>
      <c r="I10993" t="s">
        <v>28236</v>
      </c>
      <c r="J10993" t="s">
        <v>28379</v>
      </c>
      <c r="K10993" t="s">
        <v>36715</v>
      </c>
      <c r="M10993" t="s">
        <v>40106</v>
      </c>
      <c r="N10993" t="s">
        <v>40436</v>
      </c>
      <c r="O10993" t="s">
        <v>40437</v>
      </c>
      <c r="P10993">
        <v>0</v>
      </c>
      <c r="Q10993">
        <v>3</v>
      </c>
      <c r="R10993" t="s">
        <v>40451</v>
      </c>
      <c r="S10993" t="s">
        <v>41005</v>
      </c>
      <c r="T10993" t="s">
        <v>42126</v>
      </c>
      <c r="U10993" t="s">
        <v>51707</v>
      </c>
      <c r="V10993" t="s">
        <v>55019</v>
      </c>
      <c r="W10993" t="s">
        <v>40106</v>
      </c>
      <c r="X10993" t="s">
        <v>40452</v>
      </c>
    </row>
    <row r="10994" spans="1:24">
      <c r="A10994">
        <f>HYPERLINK("https://www.philgeps.gov.ph/GEPSNONPILOT/Tender/SplashBidNoticeAbstractUI.aspx?menuIndex=3&amp;refID=7026901&amp;Result=3","7026901")</f>
        <v>0</v>
      </c>
      <c r="B10994" t="s">
        <v>2848</v>
      </c>
      <c r="C10994" t="s">
        <v>13586</v>
      </c>
      <c r="D10994" t="s">
        <v>16187</v>
      </c>
      <c r="E10994" t="s">
        <v>25783</v>
      </c>
      <c r="F10994" t="s">
        <v>28198</v>
      </c>
      <c r="G10994" t="s">
        <v>28205</v>
      </c>
      <c r="H10994" t="s">
        <v>28215</v>
      </c>
      <c r="I10994" t="s">
        <v>3774</v>
      </c>
      <c r="J10994" t="s">
        <v>35146</v>
      </c>
      <c r="K10994" t="s">
        <v>36694</v>
      </c>
      <c r="M10994" t="s">
        <v>40106</v>
      </c>
      <c r="N10994" t="s">
        <v>40436</v>
      </c>
      <c r="O10994" t="s">
        <v>40437</v>
      </c>
      <c r="P10994">
        <v>0</v>
      </c>
      <c r="Q10994">
        <v>1</v>
      </c>
      <c r="R10994" t="s">
        <v>40451</v>
      </c>
      <c r="S10994" t="s">
        <v>41005</v>
      </c>
      <c r="T10994" t="s">
        <v>42126</v>
      </c>
      <c r="U10994" t="s">
        <v>51707</v>
      </c>
      <c r="V10994" t="s">
        <v>55020</v>
      </c>
      <c r="W10994" t="s">
        <v>40106</v>
      </c>
      <c r="X10994" t="s">
        <v>40452</v>
      </c>
    </row>
    <row r="10995" spans="1:24">
      <c r="A10995">
        <f>HYPERLINK("https://www.philgeps.gov.ph/GEPSNONPILOT/Tender/SplashBidNoticeAbstractUI.aspx?menuIndex=3&amp;refID=7026918&amp;Result=3","7026918")</f>
        <v>0</v>
      </c>
      <c r="B10995" t="s">
        <v>1802</v>
      </c>
      <c r="C10995" t="s">
        <v>13587</v>
      </c>
      <c r="D10995" t="s">
        <v>16238</v>
      </c>
      <c r="E10995" t="s">
        <v>25815</v>
      </c>
      <c r="F10995" t="s">
        <v>28198</v>
      </c>
      <c r="G10995" t="s">
        <v>28205</v>
      </c>
      <c r="H10995" t="s">
        <v>28215</v>
      </c>
      <c r="I10995" t="s">
        <v>28224</v>
      </c>
      <c r="J10995" t="s">
        <v>35147</v>
      </c>
      <c r="K10995" t="s">
        <v>36687</v>
      </c>
      <c r="M10995" t="s">
        <v>38920</v>
      </c>
      <c r="N10995" t="s">
        <v>40436</v>
      </c>
      <c r="O10995" t="s">
        <v>40437</v>
      </c>
      <c r="P10995">
        <v>0</v>
      </c>
      <c r="Q10995">
        <v>1</v>
      </c>
      <c r="R10995" t="s">
        <v>40451</v>
      </c>
      <c r="S10995" t="s">
        <v>41005</v>
      </c>
      <c r="T10995" t="s">
        <v>42134</v>
      </c>
      <c r="U10995" t="s">
        <v>51723</v>
      </c>
      <c r="W10995" t="s">
        <v>38920</v>
      </c>
      <c r="X10995" t="s">
        <v>40452</v>
      </c>
    </row>
    <row r="10996" spans="1:24">
      <c r="A10996">
        <f>HYPERLINK("https://www.philgeps.gov.ph/GEPSNONPILOT/Tender/SplashBidNoticeAbstractUI.aspx?menuIndex=3&amp;refID=7026908&amp;Result=3","7026908")</f>
        <v>0</v>
      </c>
      <c r="B10996" t="s">
        <v>1802</v>
      </c>
      <c r="C10996" t="s">
        <v>13588</v>
      </c>
      <c r="D10996" t="s">
        <v>16238</v>
      </c>
      <c r="E10996" t="s">
        <v>25816</v>
      </c>
      <c r="F10996" t="s">
        <v>28198</v>
      </c>
      <c r="G10996" t="s">
        <v>28205</v>
      </c>
      <c r="H10996" t="s">
        <v>28215</v>
      </c>
      <c r="I10996" t="s">
        <v>28222</v>
      </c>
      <c r="J10996" t="s">
        <v>28921</v>
      </c>
      <c r="K10996" t="s">
        <v>36694</v>
      </c>
      <c r="M10996" t="s">
        <v>40112</v>
      </c>
      <c r="N10996" t="s">
        <v>40436</v>
      </c>
      <c r="O10996" t="s">
        <v>40437</v>
      </c>
      <c r="Q10996">
        <v>7</v>
      </c>
      <c r="R10996" t="s">
        <v>40451</v>
      </c>
      <c r="S10996" t="s">
        <v>41118</v>
      </c>
      <c r="T10996" t="s">
        <v>42102</v>
      </c>
      <c r="U10996" t="s">
        <v>51724</v>
      </c>
      <c r="W10996" t="s">
        <v>40112</v>
      </c>
      <c r="X10996" t="s">
        <v>40452</v>
      </c>
    </row>
    <row r="10997" spans="1:24">
      <c r="A10997">
        <f>HYPERLINK("https://www.philgeps.gov.ph/GEPSNONPILOT/Tender/SplashBidNoticeAbstractUI.aspx?menuIndex=3&amp;refID=7026916&amp;Result=3","7026916")</f>
        <v>0</v>
      </c>
      <c r="B10997" t="s">
        <v>2848</v>
      </c>
      <c r="C10997" t="s">
        <v>13589</v>
      </c>
      <c r="D10997" t="s">
        <v>16187</v>
      </c>
      <c r="E10997" t="s">
        <v>25783</v>
      </c>
      <c r="F10997" t="s">
        <v>28198</v>
      </c>
      <c r="G10997" t="s">
        <v>28205</v>
      </c>
      <c r="H10997" t="s">
        <v>28215</v>
      </c>
      <c r="I10997" t="s">
        <v>28236</v>
      </c>
      <c r="J10997" t="s">
        <v>31303</v>
      </c>
      <c r="K10997" t="s">
        <v>36694</v>
      </c>
      <c r="M10997" t="s">
        <v>40106</v>
      </c>
      <c r="N10997" t="s">
        <v>40436</v>
      </c>
      <c r="O10997" t="s">
        <v>40437</v>
      </c>
      <c r="P10997">
        <v>0</v>
      </c>
      <c r="Q10997">
        <v>0</v>
      </c>
      <c r="R10997" t="s">
        <v>40451</v>
      </c>
      <c r="S10997" t="s">
        <v>41005</v>
      </c>
      <c r="T10997" t="s">
        <v>42126</v>
      </c>
      <c r="U10997" t="s">
        <v>51707</v>
      </c>
      <c r="V10997" t="s">
        <v>55021</v>
      </c>
      <c r="W10997" t="s">
        <v>40106</v>
      </c>
      <c r="X10997" t="s">
        <v>40452</v>
      </c>
    </row>
    <row r="10998" spans="1:24">
      <c r="A10998">
        <f>HYPERLINK("https://www.philgeps.gov.ph/GEPSNONPILOT/Tender/SplashBidNoticeAbstractUI.aspx?menuIndex=3&amp;refID=7026904&amp;Result=3","7026904")</f>
        <v>0</v>
      </c>
      <c r="B10998" t="s">
        <v>1278</v>
      </c>
      <c r="C10998" t="s">
        <v>13590</v>
      </c>
      <c r="D10998" t="s">
        <v>16225</v>
      </c>
      <c r="E10998" t="s">
        <v>25800</v>
      </c>
      <c r="F10998" t="s">
        <v>28199</v>
      </c>
      <c r="G10998" t="s">
        <v>28205</v>
      </c>
      <c r="H10998" t="s">
        <v>28214</v>
      </c>
      <c r="I10998" t="s">
        <v>3797</v>
      </c>
      <c r="J10998" t="s">
        <v>35148</v>
      </c>
      <c r="K10998" t="s">
        <v>36697</v>
      </c>
      <c r="M10998" t="s">
        <v>38330</v>
      </c>
      <c r="N10998" t="s">
        <v>40436</v>
      </c>
      <c r="O10998" t="s">
        <v>40437</v>
      </c>
      <c r="P10998">
        <v>0</v>
      </c>
      <c r="Q10998">
        <v>1</v>
      </c>
      <c r="R10998" t="s">
        <v>40451</v>
      </c>
      <c r="S10998" t="s">
        <v>41005</v>
      </c>
      <c r="T10998" t="s">
        <v>42102</v>
      </c>
      <c r="U10998" t="s">
        <v>51725</v>
      </c>
      <c r="W10998" t="s">
        <v>38330</v>
      </c>
      <c r="X10998" t="s">
        <v>40452</v>
      </c>
    </row>
    <row r="10999" spans="1:24">
      <c r="A10999">
        <f>HYPERLINK("https://www.philgeps.gov.ph/GEPSNONPILOT/Tender/SplashBidNoticeAbstractUI.aspx?menuIndex=3&amp;refID=7026920&amp;Result=3","7026920")</f>
        <v>0</v>
      </c>
      <c r="B10999" t="s">
        <v>1398</v>
      </c>
      <c r="C10999" t="s">
        <v>13591</v>
      </c>
      <c r="D10999" t="s">
        <v>16210</v>
      </c>
      <c r="E10999" t="s">
        <v>25817</v>
      </c>
      <c r="F10999" t="s">
        <v>28198</v>
      </c>
      <c r="G10999" t="s">
        <v>28205</v>
      </c>
      <c r="H10999" t="s">
        <v>28214</v>
      </c>
      <c r="I10999" t="s">
        <v>3797</v>
      </c>
      <c r="J10999" t="s">
        <v>35149</v>
      </c>
      <c r="K10999" t="s">
        <v>36694</v>
      </c>
      <c r="M10999" t="s">
        <v>40103</v>
      </c>
      <c r="N10999" t="s">
        <v>40436</v>
      </c>
      <c r="O10999" t="s">
        <v>40437</v>
      </c>
      <c r="P10999">
        <v>0</v>
      </c>
      <c r="Q10999">
        <v>60</v>
      </c>
      <c r="R10999" t="s">
        <v>40451</v>
      </c>
      <c r="S10999" t="s">
        <v>41005</v>
      </c>
      <c r="T10999" t="s">
        <v>42148</v>
      </c>
      <c r="U10999" t="s">
        <v>51726</v>
      </c>
      <c r="W10999" t="s">
        <v>40103</v>
      </c>
      <c r="X10999" t="s">
        <v>40452</v>
      </c>
    </row>
    <row r="11000" spans="1:24">
      <c r="A11000">
        <f>HYPERLINK("https://www.philgeps.gov.ph/GEPSNONPILOT/Tender/SplashBidNoticeAbstractUI.aspx?menuIndex=3&amp;refID=7026898&amp;Result=3","7026898")</f>
        <v>0</v>
      </c>
      <c r="B11000" t="s">
        <v>1278</v>
      </c>
      <c r="C11000" t="s">
        <v>13592</v>
      </c>
      <c r="D11000" t="s">
        <v>16225</v>
      </c>
      <c r="E11000" t="s">
        <v>25818</v>
      </c>
      <c r="F11000" t="s">
        <v>28199</v>
      </c>
      <c r="G11000" t="s">
        <v>28205</v>
      </c>
      <c r="H11000" t="s">
        <v>28214</v>
      </c>
      <c r="I11000" t="s">
        <v>4505</v>
      </c>
      <c r="J11000" t="s">
        <v>35150</v>
      </c>
      <c r="K11000" t="s">
        <v>36715</v>
      </c>
      <c r="M11000" t="s">
        <v>38330</v>
      </c>
      <c r="N11000" t="s">
        <v>40436</v>
      </c>
      <c r="O11000" t="s">
        <v>40437</v>
      </c>
      <c r="P11000">
        <v>0</v>
      </c>
      <c r="Q11000">
        <v>2</v>
      </c>
      <c r="R11000" t="s">
        <v>40451</v>
      </c>
      <c r="S11000" t="s">
        <v>41005</v>
      </c>
      <c r="T11000" t="s">
        <v>42102</v>
      </c>
      <c r="U11000" t="s">
        <v>51727</v>
      </c>
      <c r="W11000" t="s">
        <v>38330</v>
      </c>
      <c r="X11000" t="s">
        <v>40452</v>
      </c>
    </row>
    <row r="11001" spans="1:24">
      <c r="A11001">
        <f>HYPERLINK("https://www.philgeps.gov.ph/GEPSNONPILOT/Tender/SplashBidNoticeAbstractUI.aspx?menuIndex=3&amp;refID=7026899&amp;Result=3","7026899")</f>
        <v>0</v>
      </c>
      <c r="B11001" t="s">
        <v>165</v>
      </c>
      <c r="C11001" t="s">
        <v>13593</v>
      </c>
      <c r="D11001" t="s">
        <v>16241</v>
      </c>
      <c r="E11001" t="s">
        <v>25819</v>
      </c>
      <c r="F11001" t="s">
        <v>28198</v>
      </c>
      <c r="G11001" t="s">
        <v>28205</v>
      </c>
      <c r="H11001" t="s">
        <v>28214</v>
      </c>
      <c r="I11001" t="s">
        <v>3797</v>
      </c>
      <c r="J11001" t="s">
        <v>35151</v>
      </c>
      <c r="K11001" t="s">
        <v>36692</v>
      </c>
      <c r="M11001" t="s">
        <v>37139</v>
      </c>
      <c r="N11001" t="s">
        <v>40436</v>
      </c>
      <c r="O11001" t="s">
        <v>40437</v>
      </c>
      <c r="P11001">
        <v>0</v>
      </c>
      <c r="Q11001">
        <v>3</v>
      </c>
      <c r="R11001" t="s">
        <v>40451</v>
      </c>
      <c r="S11001" t="s">
        <v>41005</v>
      </c>
      <c r="T11001" t="s">
        <v>42133</v>
      </c>
      <c r="U11001" t="s">
        <v>51728</v>
      </c>
      <c r="V11001" t="s">
        <v>55022</v>
      </c>
      <c r="W11001" t="s">
        <v>55518</v>
      </c>
      <c r="X11001" t="s">
        <v>40452</v>
      </c>
    </row>
    <row r="11002" spans="1:24">
      <c r="A11002">
        <f>HYPERLINK("https://www.philgeps.gov.ph/GEPSNONPILOT/Tender/SplashBidNoticeAbstractUI.aspx?menuIndex=3&amp;refID=7026915&amp;Result=3","7026915")</f>
        <v>0</v>
      </c>
      <c r="B11002" t="s">
        <v>1398</v>
      </c>
      <c r="C11002" t="s">
        <v>13594</v>
      </c>
      <c r="D11002" t="s">
        <v>16210</v>
      </c>
      <c r="E11002" t="s">
        <v>25820</v>
      </c>
      <c r="F11002" t="s">
        <v>28198</v>
      </c>
      <c r="G11002" t="s">
        <v>28205</v>
      </c>
      <c r="H11002" t="s">
        <v>28214</v>
      </c>
      <c r="I11002" t="s">
        <v>3797</v>
      </c>
      <c r="J11002" t="s">
        <v>35152</v>
      </c>
      <c r="K11002" t="s">
        <v>36690</v>
      </c>
      <c r="M11002" t="s">
        <v>40103</v>
      </c>
      <c r="N11002" t="s">
        <v>40436</v>
      </c>
      <c r="O11002" t="s">
        <v>40437</v>
      </c>
      <c r="P11002">
        <v>0</v>
      </c>
      <c r="Q11002">
        <v>63</v>
      </c>
      <c r="R11002" t="s">
        <v>40451</v>
      </c>
      <c r="S11002" t="s">
        <v>41005</v>
      </c>
      <c r="T11002" t="s">
        <v>42148</v>
      </c>
      <c r="U11002" t="s">
        <v>51729</v>
      </c>
      <c r="W11002" t="s">
        <v>40103</v>
      </c>
      <c r="X11002" t="s">
        <v>40452</v>
      </c>
    </row>
    <row r="11003" spans="1:24">
      <c r="A11003">
        <f>HYPERLINK("https://www.philgeps.gov.ph/GEPSNONPILOT/Tender/SplashBidNoticeAbstractUI.aspx?menuIndex=3&amp;refID=7026900&amp;Result=3","7026900")</f>
        <v>0</v>
      </c>
      <c r="B11003" t="s">
        <v>1802</v>
      </c>
      <c r="C11003" t="s">
        <v>13595</v>
      </c>
      <c r="D11003" t="s">
        <v>16238</v>
      </c>
      <c r="E11003" t="s">
        <v>25821</v>
      </c>
      <c r="F11003" t="s">
        <v>28198</v>
      </c>
      <c r="G11003" t="s">
        <v>28205</v>
      </c>
      <c r="H11003" t="s">
        <v>28214</v>
      </c>
      <c r="I11003" t="s">
        <v>3797</v>
      </c>
      <c r="J11003" t="s">
        <v>28351</v>
      </c>
      <c r="K11003" t="s">
        <v>36889</v>
      </c>
      <c r="M11003" t="s">
        <v>40112</v>
      </c>
      <c r="N11003" t="s">
        <v>40436</v>
      </c>
      <c r="O11003" t="s">
        <v>40437</v>
      </c>
      <c r="Q11003">
        <v>3</v>
      </c>
      <c r="R11003" t="s">
        <v>40451</v>
      </c>
      <c r="S11003" t="s">
        <v>41119</v>
      </c>
      <c r="T11003" t="s">
        <v>42102</v>
      </c>
      <c r="U11003" t="s">
        <v>51730</v>
      </c>
      <c r="W11003" t="s">
        <v>40112</v>
      </c>
      <c r="X11003" t="s">
        <v>40452</v>
      </c>
    </row>
    <row r="11004" spans="1:24">
      <c r="A11004">
        <f>HYPERLINK("https://www.philgeps.gov.ph/GEPSNONPILOT/Tender/SplashBidNoticeAbstractUI.aspx?menuIndex=3&amp;refID=7026914&amp;Result=3","7026914")</f>
        <v>0</v>
      </c>
      <c r="B11004" t="s">
        <v>1729</v>
      </c>
      <c r="C11004" t="s">
        <v>13596</v>
      </c>
      <c r="D11004" t="s">
        <v>16249</v>
      </c>
      <c r="E11004" t="s">
        <v>25822</v>
      </c>
      <c r="F11004" t="s">
        <v>28198</v>
      </c>
      <c r="G11004" t="s">
        <v>28205</v>
      </c>
      <c r="H11004" t="s">
        <v>28214</v>
      </c>
      <c r="I11004" t="s">
        <v>3797</v>
      </c>
      <c r="J11004" t="s">
        <v>28921</v>
      </c>
      <c r="K11004" t="s">
        <v>36735</v>
      </c>
      <c r="M11004" t="s">
        <v>40101</v>
      </c>
      <c r="N11004" t="s">
        <v>40436</v>
      </c>
      <c r="O11004" t="s">
        <v>40437</v>
      </c>
      <c r="Q11004">
        <v>105</v>
      </c>
      <c r="R11004" t="s">
        <v>40451</v>
      </c>
      <c r="S11004" t="s">
        <v>41120</v>
      </c>
      <c r="T11004" t="s">
        <v>42346</v>
      </c>
      <c r="U11004" t="s">
        <v>51689</v>
      </c>
      <c r="V11004" t="s">
        <v>55023</v>
      </c>
      <c r="W11004" t="s">
        <v>55537</v>
      </c>
      <c r="X11004" t="s">
        <v>40452</v>
      </c>
    </row>
    <row r="11005" spans="1:24">
      <c r="A11005">
        <f>HYPERLINK("https://www.philgeps.gov.ph/GEPSNONPILOT/Tender/SplashBidNoticeAbstractUI.aspx?menuIndex=3&amp;refID=7026921&amp;Result=3","7026921")</f>
        <v>0</v>
      </c>
      <c r="B11005" t="s">
        <v>1729</v>
      </c>
      <c r="C11005" t="s">
        <v>13597</v>
      </c>
      <c r="D11005" t="s">
        <v>16249</v>
      </c>
      <c r="E11005" t="s">
        <v>25823</v>
      </c>
      <c r="F11005" t="s">
        <v>28198</v>
      </c>
      <c r="G11005" t="s">
        <v>28205</v>
      </c>
      <c r="H11005" t="s">
        <v>28214</v>
      </c>
      <c r="I11005" t="s">
        <v>3797</v>
      </c>
      <c r="J11005" t="s">
        <v>28921</v>
      </c>
      <c r="K11005" t="s">
        <v>36735</v>
      </c>
      <c r="M11005" t="s">
        <v>40101</v>
      </c>
      <c r="N11005" t="s">
        <v>40436</v>
      </c>
      <c r="O11005" t="s">
        <v>40437</v>
      </c>
      <c r="Q11005">
        <v>103</v>
      </c>
      <c r="R11005" t="s">
        <v>40451</v>
      </c>
      <c r="S11005" t="s">
        <v>41121</v>
      </c>
      <c r="T11005" t="s">
        <v>42346</v>
      </c>
      <c r="U11005" t="s">
        <v>51689</v>
      </c>
      <c r="V11005" t="s">
        <v>55024</v>
      </c>
      <c r="W11005" t="s">
        <v>55537</v>
      </c>
      <c r="X11005" t="s">
        <v>40452</v>
      </c>
    </row>
    <row r="11006" spans="1:24">
      <c r="A11006">
        <f>HYPERLINK("https://www.philgeps.gov.ph/GEPSNONPILOT/Tender/SplashBidNoticeAbstractUI.aspx?menuIndex=3&amp;refID=7026927&amp;Result=3","7026927")</f>
        <v>0</v>
      </c>
      <c r="B11006" t="s">
        <v>2851</v>
      </c>
      <c r="C11006" t="s">
        <v>13598</v>
      </c>
      <c r="D11006" t="s">
        <v>16203</v>
      </c>
      <c r="E11006" t="s">
        <v>25824</v>
      </c>
      <c r="F11006" t="s">
        <v>28198</v>
      </c>
      <c r="G11006" t="s">
        <v>28205</v>
      </c>
      <c r="H11006" t="s">
        <v>28215</v>
      </c>
      <c r="I11006" t="s">
        <v>28220</v>
      </c>
      <c r="J11006" t="s">
        <v>29208</v>
      </c>
      <c r="K11006" t="s">
        <v>36707</v>
      </c>
      <c r="M11006" t="s">
        <v>40111</v>
      </c>
      <c r="N11006" t="s">
        <v>40436</v>
      </c>
      <c r="O11006" t="s">
        <v>40437</v>
      </c>
      <c r="P11006">
        <v>0</v>
      </c>
      <c r="Q11006">
        <v>5</v>
      </c>
      <c r="R11006" t="s">
        <v>40451</v>
      </c>
      <c r="S11006" t="s">
        <v>41005</v>
      </c>
      <c r="T11006" t="s">
        <v>42132</v>
      </c>
      <c r="U11006" t="s">
        <v>51731</v>
      </c>
      <c r="W11006" t="s">
        <v>40111</v>
      </c>
      <c r="X11006" t="s">
        <v>40452</v>
      </c>
    </row>
    <row r="11007" spans="1:24">
      <c r="A11007">
        <f>HYPERLINK("https://www.philgeps.gov.ph/GEPSNONPILOT/Tender/SplashBidNoticeAbstractUI.aspx?menuIndex=3&amp;refID=7026922&amp;Result=3","7026922")</f>
        <v>0</v>
      </c>
      <c r="B11007" t="s">
        <v>2041</v>
      </c>
      <c r="C11007" t="s">
        <v>13599</v>
      </c>
      <c r="D11007" t="s">
        <v>16196</v>
      </c>
      <c r="E11007" t="s">
        <v>25825</v>
      </c>
      <c r="F11007" t="s">
        <v>28198</v>
      </c>
      <c r="G11007" t="s">
        <v>28205</v>
      </c>
      <c r="H11007" t="s">
        <v>28214</v>
      </c>
      <c r="I11007" t="s">
        <v>3797</v>
      </c>
      <c r="J11007" t="s">
        <v>29552</v>
      </c>
      <c r="K11007" t="s">
        <v>36805</v>
      </c>
      <c r="M11007" t="s">
        <v>39184</v>
      </c>
      <c r="N11007" t="s">
        <v>40436</v>
      </c>
      <c r="O11007" t="s">
        <v>40437</v>
      </c>
      <c r="Q11007">
        <v>39</v>
      </c>
      <c r="R11007" t="s">
        <v>40451</v>
      </c>
      <c r="S11007" t="s">
        <v>41122</v>
      </c>
      <c r="T11007" t="s">
        <v>42175</v>
      </c>
      <c r="U11007" t="s">
        <v>51693</v>
      </c>
      <c r="W11007" t="s">
        <v>39184</v>
      </c>
      <c r="X11007" t="s">
        <v>40452</v>
      </c>
    </row>
    <row r="11008" spans="1:24">
      <c r="A11008">
        <f>HYPERLINK("https://www.philgeps.gov.ph/GEPSNONPILOT/Tender/SplashBidNoticeAbstractUI.aspx?menuIndex=3&amp;refID=7026934&amp;Result=3","7026934")</f>
        <v>0</v>
      </c>
      <c r="B11008" t="s">
        <v>2041</v>
      </c>
      <c r="C11008" t="s">
        <v>13600</v>
      </c>
      <c r="D11008" t="s">
        <v>16196</v>
      </c>
      <c r="E11008" t="s">
        <v>25826</v>
      </c>
      <c r="F11008" t="s">
        <v>28198</v>
      </c>
      <c r="G11008" t="s">
        <v>28205</v>
      </c>
      <c r="H11008" t="s">
        <v>28214</v>
      </c>
      <c r="I11008" t="s">
        <v>3797</v>
      </c>
      <c r="J11008" t="s">
        <v>29546</v>
      </c>
      <c r="K11008" t="s">
        <v>36859</v>
      </c>
      <c r="M11008" t="s">
        <v>39184</v>
      </c>
      <c r="N11008" t="s">
        <v>40436</v>
      </c>
      <c r="O11008" t="s">
        <v>40437</v>
      </c>
      <c r="Q11008">
        <v>51</v>
      </c>
      <c r="R11008" t="s">
        <v>40451</v>
      </c>
      <c r="S11008" t="s">
        <v>41123</v>
      </c>
      <c r="T11008" t="s">
        <v>42175</v>
      </c>
      <c r="U11008" t="s">
        <v>51693</v>
      </c>
      <c r="W11008" t="s">
        <v>39184</v>
      </c>
      <c r="X11008" t="s">
        <v>40452</v>
      </c>
    </row>
    <row r="11009" spans="1:24">
      <c r="A11009">
        <f>HYPERLINK("https://www.philgeps.gov.ph/GEPSNONPILOT/Tender/SplashBidNoticeAbstractUI.aspx?menuIndex=3&amp;refID=7026962&amp;Result=3","7026962")</f>
        <v>0</v>
      </c>
      <c r="B11009" t="s">
        <v>2845</v>
      </c>
      <c r="C11009" t="s">
        <v>13601</v>
      </c>
      <c r="D11009" t="s">
        <v>16210</v>
      </c>
      <c r="E11009" t="s">
        <v>25827</v>
      </c>
      <c r="F11009" t="s">
        <v>28200</v>
      </c>
      <c r="G11009" t="s">
        <v>28205</v>
      </c>
      <c r="H11009" t="s">
        <v>28215</v>
      </c>
      <c r="I11009" t="s">
        <v>5656</v>
      </c>
      <c r="J11009" t="s">
        <v>35153</v>
      </c>
      <c r="K11009" t="s">
        <v>36689</v>
      </c>
      <c r="M11009" t="s">
        <v>40099</v>
      </c>
      <c r="N11009" t="s">
        <v>40436</v>
      </c>
      <c r="O11009" t="s">
        <v>40437</v>
      </c>
      <c r="P11009">
        <v>0</v>
      </c>
      <c r="Q11009">
        <v>5</v>
      </c>
      <c r="R11009" t="s">
        <v>40451</v>
      </c>
      <c r="S11009" t="s">
        <v>41005</v>
      </c>
      <c r="T11009" t="s">
        <v>42131</v>
      </c>
      <c r="U11009" t="s">
        <v>51732</v>
      </c>
      <c r="W11009" t="s">
        <v>40099</v>
      </c>
      <c r="X11009" t="s">
        <v>40452</v>
      </c>
    </row>
    <row r="11010" spans="1:24">
      <c r="A11010">
        <f>HYPERLINK("https://www.philgeps.gov.ph/GEPSNONPILOT/Tender/SplashBidNoticeAbstractUI.aspx?menuIndex=3&amp;refID=7026955&amp;Result=3","7026955")</f>
        <v>0</v>
      </c>
      <c r="B11010" t="s">
        <v>2852</v>
      </c>
      <c r="C11010" t="s">
        <v>13602</v>
      </c>
      <c r="D11010" t="s">
        <v>16195</v>
      </c>
      <c r="E11010" t="s">
        <v>17417</v>
      </c>
      <c r="F11010" t="s">
        <v>28198</v>
      </c>
      <c r="G11010" t="s">
        <v>28205</v>
      </c>
      <c r="H11010" t="s">
        <v>28215</v>
      </c>
      <c r="I11010" t="s">
        <v>5100</v>
      </c>
      <c r="J11010" t="s">
        <v>28398</v>
      </c>
      <c r="K11010" t="s">
        <v>36706</v>
      </c>
      <c r="M11010" t="s">
        <v>40113</v>
      </c>
      <c r="N11010" t="s">
        <v>40436</v>
      </c>
      <c r="O11010" t="s">
        <v>40437</v>
      </c>
      <c r="P11010">
        <v>0</v>
      </c>
      <c r="Q11010">
        <v>0</v>
      </c>
      <c r="R11010" t="s">
        <v>40451</v>
      </c>
      <c r="S11010" t="s">
        <v>41005</v>
      </c>
      <c r="T11010" t="s">
        <v>42297</v>
      </c>
      <c r="U11010" t="s">
        <v>51733</v>
      </c>
      <c r="V11010" t="s">
        <v>55025</v>
      </c>
      <c r="W11010" t="s">
        <v>40113</v>
      </c>
      <c r="X11010" t="s">
        <v>40452</v>
      </c>
    </row>
    <row r="11011" spans="1:24">
      <c r="A11011">
        <f>HYPERLINK("https://www.philgeps.gov.ph/GEPSNONPILOT/Tender/SplashBidNoticeAbstractUI.aspx?menuIndex=3&amp;refID=7026926&amp;Result=3","7026926")</f>
        <v>0</v>
      </c>
      <c r="B11011" t="s">
        <v>1398</v>
      </c>
      <c r="C11011" t="s">
        <v>13603</v>
      </c>
      <c r="D11011" t="s">
        <v>16210</v>
      </c>
      <c r="E11011" t="s">
        <v>25828</v>
      </c>
      <c r="F11011" t="s">
        <v>28198</v>
      </c>
      <c r="G11011" t="s">
        <v>28205</v>
      </c>
      <c r="H11011" t="s">
        <v>28214</v>
      </c>
      <c r="I11011" t="s">
        <v>3797</v>
      </c>
      <c r="J11011" t="s">
        <v>35154</v>
      </c>
      <c r="K11011" t="s">
        <v>36690</v>
      </c>
      <c r="M11011" t="s">
        <v>40103</v>
      </c>
      <c r="N11011" t="s">
        <v>40436</v>
      </c>
      <c r="O11011" t="s">
        <v>40437</v>
      </c>
      <c r="P11011">
        <v>0</v>
      </c>
      <c r="Q11011">
        <v>62</v>
      </c>
      <c r="R11011" t="s">
        <v>40451</v>
      </c>
      <c r="S11011" t="s">
        <v>41005</v>
      </c>
      <c r="T11011" t="s">
        <v>42148</v>
      </c>
      <c r="U11011" t="s">
        <v>51734</v>
      </c>
      <c r="W11011" t="s">
        <v>40103</v>
      </c>
      <c r="X11011" t="s">
        <v>40452</v>
      </c>
    </row>
    <row r="11012" spans="1:24">
      <c r="A11012">
        <f>HYPERLINK("https://www.philgeps.gov.ph/GEPSNONPILOT/Tender/SplashBidNoticeAbstractUI.aspx?menuIndex=3&amp;refID=7026953&amp;Result=3","7026953")</f>
        <v>0</v>
      </c>
      <c r="B11012" t="s">
        <v>2845</v>
      </c>
      <c r="C11012" t="s">
        <v>13604</v>
      </c>
      <c r="D11012" t="s">
        <v>16210</v>
      </c>
      <c r="E11012" t="s">
        <v>25829</v>
      </c>
      <c r="F11012" t="s">
        <v>28200</v>
      </c>
      <c r="G11012" t="s">
        <v>28205</v>
      </c>
      <c r="H11012" t="s">
        <v>28215</v>
      </c>
      <c r="I11012" t="s">
        <v>5791</v>
      </c>
      <c r="J11012" t="s">
        <v>28414</v>
      </c>
      <c r="K11012" t="s">
        <v>36689</v>
      </c>
      <c r="M11012" t="s">
        <v>40099</v>
      </c>
      <c r="N11012" t="s">
        <v>40436</v>
      </c>
      <c r="O11012" t="s">
        <v>40437</v>
      </c>
      <c r="P11012">
        <v>0</v>
      </c>
      <c r="Q11012">
        <v>5</v>
      </c>
      <c r="R11012" t="s">
        <v>40451</v>
      </c>
      <c r="S11012" t="s">
        <v>41005</v>
      </c>
      <c r="T11012" t="s">
        <v>42131</v>
      </c>
      <c r="U11012" t="s">
        <v>51735</v>
      </c>
      <c r="W11012" t="s">
        <v>40099</v>
      </c>
      <c r="X11012" t="s">
        <v>40452</v>
      </c>
    </row>
    <row r="11013" spans="1:24">
      <c r="A11013">
        <f>HYPERLINK("https://www.philgeps.gov.ph/GEPSNONPILOT/Tender/SplashBidNoticeAbstractUI.aspx?menuIndex=3&amp;refID=7026954&amp;Result=3","7026954")</f>
        <v>0</v>
      </c>
      <c r="B11013" t="s">
        <v>1398</v>
      </c>
      <c r="C11013" t="s">
        <v>13605</v>
      </c>
      <c r="D11013" t="s">
        <v>16210</v>
      </c>
      <c r="E11013" t="s">
        <v>25830</v>
      </c>
      <c r="F11013" t="s">
        <v>28198</v>
      </c>
      <c r="G11013" t="s">
        <v>28205</v>
      </c>
      <c r="H11013" t="s">
        <v>28214</v>
      </c>
      <c r="I11013" t="s">
        <v>3797</v>
      </c>
      <c r="J11013" t="s">
        <v>35155</v>
      </c>
      <c r="K11013" t="s">
        <v>36717</v>
      </c>
      <c r="M11013" t="s">
        <v>40103</v>
      </c>
      <c r="N11013" t="s">
        <v>40436</v>
      </c>
      <c r="O11013" t="s">
        <v>40437</v>
      </c>
      <c r="P11013">
        <v>0</v>
      </c>
      <c r="Q11013">
        <v>63</v>
      </c>
      <c r="R11013" t="s">
        <v>40451</v>
      </c>
      <c r="S11013" t="s">
        <v>41005</v>
      </c>
      <c r="T11013" t="s">
        <v>42148</v>
      </c>
      <c r="U11013" t="s">
        <v>51736</v>
      </c>
      <c r="W11013" t="s">
        <v>40103</v>
      </c>
      <c r="X11013" t="s">
        <v>40452</v>
      </c>
    </row>
    <row r="11014" spans="1:24">
      <c r="A11014">
        <f>HYPERLINK("https://www.philgeps.gov.ph/GEPSNONPILOT/Tender/SplashBidNoticeAbstractUI.aspx?menuIndex=3&amp;refID=7026931&amp;Result=3","7026931")</f>
        <v>0</v>
      </c>
      <c r="B11014" t="s">
        <v>1729</v>
      </c>
      <c r="C11014" t="s">
        <v>13606</v>
      </c>
      <c r="D11014" t="s">
        <v>16249</v>
      </c>
      <c r="E11014" t="s">
        <v>25831</v>
      </c>
      <c r="F11014" t="s">
        <v>28198</v>
      </c>
      <c r="G11014" t="s">
        <v>28205</v>
      </c>
      <c r="H11014" t="s">
        <v>28214</v>
      </c>
      <c r="I11014" t="s">
        <v>3797</v>
      </c>
      <c r="J11014" t="s">
        <v>30935</v>
      </c>
      <c r="K11014" t="s">
        <v>36690</v>
      </c>
      <c r="M11014" t="s">
        <v>40101</v>
      </c>
      <c r="N11014" t="s">
        <v>40436</v>
      </c>
      <c r="O11014" t="s">
        <v>40437</v>
      </c>
      <c r="Q11014">
        <v>104</v>
      </c>
      <c r="R11014" t="s">
        <v>40451</v>
      </c>
      <c r="S11014" t="s">
        <v>41124</v>
      </c>
      <c r="T11014" t="s">
        <v>42346</v>
      </c>
      <c r="U11014" t="s">
        <v>51689</v>
      </c>
      <c r="V11014" t="s">
        <v>55026</v>
      </c>
      <c r="W11014" t="s">
        <v>55537</v>
      </c>
      <c r="X11014" t="s">
        <v>40452</v>
      </c>
    </row>
    <row r="11015" spans="1:24">
      <c r="A11015">
        <f>HYPERLINK("https://www.philgeps.gov.ph/GEPSNONPILOT/Tender/SplashBidNoticeAbstractUI.aspx?menuIndex=3&amp;refID=7026951&amp;Result=3","7026951")</f>
        <v>0</v>
      </c>
      <c r="B11015" t="s">
        <v>1729</v>
      </c>
      <c r="C11015" t="s">
        <v>13607</v>
      </c>
      <c r="D11015" t="s">
        <v>16249</v>
      </c>
      <c r="E11015" t="s">
        <v>25832</v>
      </c>
      <c r="F11015" t="s">
        <v>28198</v>
      </c>
      <c r="G11015" t="s">
        <v>28205</v>
      </c>
      <c r="H11015" t="s">
        <v>28214</v>
      </c>
      <c r="I11015" t="s">
        <v>3797</v>
      </c>
      <c r="J11015" t="s">
        <v>28699</v>
      </c>
      <c r="K11015" t="s">
        <v>36690</v>
      </c>
      <c r="M11015" t="s">
        <v>40101</v>
      </c>
      <c r="N11015" t="s">
        <v>40436</v>
      </c>
      <c r="O11015" t="s">
        <v>40437</v>
      </c>
      <c r="Q11015">
        <v>97</v>
      </c>
      <c r="R11015" t="s">
        <v>40451</v>
      </c>
      <c r="S11015" t="s">
        <v>41125</v>
      </c>
      <c r="T11015" t="s">
        <v>42346</v>
      </c>
      <c r="U11015" t="s">
        <v>51689</v>
      </c>
      <c r="V11015" t="s">
        <v>55027</v>
      </c>
      <c r="W11015" t="s">
        <v>55537</v>
      </c>
      <c r="X11015" t="s">
        <v>40452</v>
      </c>
    </row>
    <row r="11016" spans="1:24">
      <c r="A11016">
        <f>HYPERLINK("https://www.philgeps.gov.ph/GEPSNONPILOT/Tender/SplashBidNoticeAbstractUI.aspx?menuIndex=3&amp;refID=7026941&amp;Result=3","7026941")</f>
        <v>0</v>
      </c>
      <c r="B11016" t="s">
        <v>1398</v>
      </c>
      <c r="C11016" t="s">
        <v>13608</v>
      </c>
      <c r="D11016" t="s">
        <v>16210</v>
      </c>
      <c r="E11016" t="s">
        <v>25833</v>
      </c>
      <c r="F11016" t="s">
        <v>28198</v>
      </c>
      <c r="G11016" t="s">
        <v>28205</v>
      </c>
      <c r="H11016" t="s">
        <v>28214</v>
      </c>
      <c r="I11016" t="s">
        <v>3797</v>
      </c>
      <c r="J11016" t="s">
        <v>35156</v>
      </c>
      <c r="K11016" t="s">
        <v>36690</v>
      </c>
      <c r="M11016" t="s">
        <v>40103</v>
      </c>
      <c r="N11016" t="s">
        <v>40436</v>
      </c>
      <c r="O11016" t="s">
        <v>40437</v>
      </c>
      <c r="P11016">
        <v>0</v>
      </c>
      <c r="Q11016">
        <v>62</v>
      </c>
      <c r="R11016" t="s">
        <v>40451</v>
      </c>
      <c r="S11016" t="s">
        <v>41005</v>
      </c>
      <c r="T11016" t="s">
        <v>42148</v>
      </c>
      <c r="U11016" t="s">
        <v>51737</v>
      </c>
      <c r="W11016" t="s">
        <v>40103</v>
      </c>
      <c r="X11016" t="s">
        <v>40452</v>
      </c>
    </row>
    <row r="11017" spans="1:24">
      <c r="A11017">
        <f>HYPERLINK("https://www.philgeps.gov.ph/GEPSNONPILOT/Tender/SplashBidNoticeAbstractUI.aspx?menuIndex=3&amp;refID=7026948&amp;Result=3","7026948")</f>
        <v>0</v>
      </c>
      <c r="B11017" t="s">
        <v>1398</v>
      </c>
      <c r="C11017" t="s">
        <v>13609</v>
      </c>
      <c r="D11017" t="s">
        <v>16210</v>
      </c>
      <c r="E11017" t="s">
        <v>25834</v>
      </c>
      <c r="F11017" t="s">
        <v>28198</v>
      </c>
      <c r="G11017" t="s">
        <v>28205</v>
      </c>
      <c r="H11017" t="s">
        <v>28214</v>
      </c>
      <c r="I11017" t="s">
        <v>3797</v>
      </c>
      <c r="J11017" t="s">
        <v>35157</v>
      </c>
      <c r="K11017" t="s">
        <v>36717</v>
      </c>
      <c r="M11017" t="s">
        <v>40103</v>
      </c>
      <c r="N11017" t="s">
        <v>40436</v>
      </c>
      <c r="O11017" t="s">
        <v>40437</v>
      </c>
      <c r="P11017">
        <v>0</v>
      </c>
      <c r="Q11017">
        <v>59</v>
      </c>
      <c r="R11017" t="s">
        <v>40451</v>
      </c>
      <c r="S11017" t="s">
        <v>41005</v>
      </c>
      <c r="T11017" t="s">
        <v>42148</v>
      </c>
      <c r="U11017" t="s">
        <v>51738</v>
      </c>
      <c r="W11017" t="s">
        <v>40103</v>
      </c>
      <c r="X11017" t="s">
        <v>40452</v>
      </c>
    </row>
    <row r="11018" spans="1:24">
      <c r="A11018">
        <f>HYPERLINK("https://www.philgeps.gov.ph/GEPSNONPILOT/Tender/SplashBidNoticeAbstractUI.aspx?menuIndex=3&amp;refID=7026923&amp;Result=3","7026923")</f>
        <v>0</v>
      </c>
      <c r="B11018" t="s">
        <v>2394</v>
      </c>
      <c r="C11018" t="s">
        <v>13610</v>
      </c>
      <c r="D11018" t="s">
        <v>16201</v>
      </c>
      <c r="E11018" t="s">
        <v>25835</v>
      </c>
      <c r="F11018" t="s">
        <v>28198</v>
      </c>
      <c r="G11018" t="s">
        <v>28205</v>
      </c>
      <c r="H11018" t="s">
        <v>28214</v>
      </c>
      <c r="I11018" t="s">
        <v>3797</v>
      </c>
      <c r="J11018" t="s">
        <v>29479</v>
      </c>
      <c r="K11018" t="s">
        <v>36692</v>
      </c>
      <c r="M11018" t="s">
        <v>39581</v>
      </c>
      <c r="N11018" t="s">
        <v>40436</v>
      </c>
      <c r="O11018" t="s">
        <v>40437</v>
      </c>
      <c r="P11018">
        <v>0</v>
      </c>
      <c r="Q11018">
        <v>0</v>
      </c>
      <c r="R11018" t="s">
        <v>40451</v>
      </c>
      <c r="S11018" t="s">
        <v>41005</v>
      </c>
      <c r="T11018" t="s">
        <v>42148</v>
      </c>
      <c r="U11018" t="s">
        <v>51739</v>
      </c>
      <c r="W11018" t="s">
        <v>39581</v>
      </c>
      <c r="X11018" t="s">
        <v>40452</v>
      </c>
    </row>
    <row r="11019" spans="1:24">
      <c r="A11019">
        <f>HYPERLINK("https://www.philgeps.gov.ph/GEPSNONPILOT/Tender/SplashBidNoticeAbstractUI.aspx?menuIndex=3&amp;refID=7026924&amp;Result=3","7026924")</f>
        <v>0</v>
      </c>
      <c r="B11019" t="s">
        <v>1925</v>
      </c>
      <c r="C11019" t="s">
        <v>13611</v>
      </c>
      <c r="D11019" t="s">
        <v>16193</v>
      </c>
      <c r="E11019" t="s">
        <v>16834</v>
      </c>
      <c r="F11019" t="s">
        <v>28198</v>
      </c>
      <c r="G11019" t="s">
        <v>28205</v>
      </c>
      <c r="H11019" t="s">
        <v>28214</v>
      </c>
      <c r="I11019" t="s">
        <v>3797</v>
      </c>
      <c r="J11019" t="s">
        <v>28363</v>
      </c>
      <c r="K11019" t="s">
        <v>36697</v>
      </c>
      <c r="M11019" t="s">
        <v>39059</v>
      </c>
      <c r="N11019" t="s">
        <v>40436</v>
      </c>
      <c r="O11019" t="s">
        <v>40437</v>
      </c>
      <c r="Q11019">
        <v>4</v>
      </c>
      <c r="R11019" t="s">
        <v>40451</v>
      </c>
      <c r="S11019" t="s">
        <v>41126</v>
      </c>
      <c r="T11019" t="s">
        <v>42098</v>
      </c>
      <c r="U11019" t="s">
        <v>51740</v>
      </c>
      <c r="W11019" t="s">
        <v>39059</v>
      </c>
      <c r="X11019" t="s">
        <v>40452</v>
      </c>
    </row>
    <row r="11020" spans="1:24">
      <c r="A11020">
        <f>HYPERLINK("https://www.philgeps.gov.ph/GEPSNONPILOT/Tender/SplashBidNoticeAbstractUI.aspx?menuIndex=3&amp;refID=7026945&amp;Result=3","7026945")</f>
        <v>0</v>
      </c>
      <c r="B11020" t="s">
        <v>702</v>
      </c>
      <c r="C11020" t="s">
        <v>13612</v>
      </c>
      <c r="D11020" t="s">
        <v>16211</v>
      </c>
      <c r="E11020" t="s">
        <v>25836</v>
      </c>
      <c r="F11020" t="s">
        <v>28198</v>
      </c>
      <c r="G11020" t="s">
        <v>28205</v>
      </c>
      <c r="H11020" t="s">
        <v>28214</v>
      </c>
      <c r="I11020" t="s">
        <v>3797</v>
      </c>
      <c r="J11020" t="s">
        <v>35158</v>
      </c>
      <c r="K11020" t="s">
        <v>36697</v>
      </c>
      <c r="M11020" t="s">
        <v>37702</v>
      </c>
      <c r="N11020" t="s">
        <v>40436</v>
      </c>
      <c r="O11020" t="s">
        <v>40437</v>
      </c>
      <c r="Q11020">
        <v>1</v>
      </c>
      <c r="R11020" t="s">
        <v>40451</v>
      </c>
      <c r="S11020" t="s">
        <v>40934</v>
      </c>
      <c r="T11020" t="s">
        <v>42133</v>
      </c>
      <c r="U11020" t="s">
        <v>51741</v>
      </c>
      <c r="W11020" t="s">
        <v>37702</v>
      </c>
      <c r="X11020" t="s">
        <v>40452</v>
      </c>
    </row>
    <row r="11021" spans="1:24">
      <c r="A11021">
        <f>HYPERLINK("https://www.philgeps.gov.ph/GEPSNONPILOT/Tender/SplashBidNoticeAbstractUI.aspx?menuIndex=3&amp;refID=7026942&amp;Result=3","7026942")</f>
        <v>0</v>
      </c>
      <c r="B11021" t="s">
        <v>1925</v>
      </c>
      <c r="C11021" t="s">
        <v>13613</v>
      </c>
      <c r="D11021" t="s">
        <v>16193</v>
      </c>
      <c r="E11021" t="s">
        <v>16860</v>
      </c>
      <c r="F11021" t="s">
        <v>28198</v>
      </c>
      <c r="G11021" t="s">
        <v>28205</v>
      </c>
      <c r="H11021" t="s">
        <v>28214</v>
      </c>
      <c r="I11021" t="s">
        <v>3797</v>
      </c>
      <c r="J11021" t="s">
        <v>28363</v>
      </c>
      <c r="K11021" t="s">
        <v>36697</v>
      </c>
      <c r="M11021" t="s">
        <v>39059</v>
      </c>
      <c r="N11021" t="s">
        <v>40436</v>
      </c>
      <c r="O11021" t="s">
        <v>40437</v>
      </c>
      <c r="P11021">
        <v>0</v>
      </c>
      <c r="Q11021">
        <v>3</v>
      </c>
      <c r="R11021" t="s">
        <v>40451</v>
      </c>
      <c r="S11021" t="s">
        <v>41005</v>
      </c>
      <c r="T11021" t="s">
        <v>42102</v>
      </c>
      <c r="U11021" t="s">
        <v>51742</v>
      </c>
      <c r="W11021" t="s">
        <v>39059</v>
      </c>
      <c r="X11021" t="s">
        <v>40452</v>
      </c>
    </row>
    <row r="11022" spans="1:24">
      <c r="A11022">
        <f>HYPERLINK("https://www.philgeps.gov.ph/GEPSNONPILOT/Tender/SplashBidNoticeAbstractUI.aspx?menuIndex=3&amp;refID=7026944&amp;Result=3","7026944")</f>
        <v>0</v>
      </c>
      <c r="B11022" t="s">
        <v>1729</v>
      </c>
      <c r="C11022" t="s">
        <v>13614</v>
      </c>
      <c r="D11022" t="s">
        <v>16249</v>
      </c>
      <c r="E11022" t="s">
        <v>25837</v>
      </c>
      <c r="F11022" t="s">
        <v>28198</v>
      </c>
      <c r="G11022" t="s">
        <v>28205</v>
      </c>
      <c r="H11022" t="s">
        <v>28214</v>
      </c>
      <c r="I11022" t="s">
        <v>3797</v>
      </c>
      <c r="J11022" t="s">
        <v>28699</v>
      </c>
      <c r="K11022" t="s">
        <v>36735</v>
      </c>
      <c r="M11022" t="s">
        <v>40101</v>
      </c>
      <c r="N11022" t="s">
        <v>40436</v>
      </c>
      <c r="O11022" t="s">
        <v>40437</v>
      </c>
      <c r="Q11022">
        <v>95</v>
      </c>
      <c r="R11022" t="s">
        <v>40451</v>
      </c>
      <c r="S11022" t="s">
        <v>41127</v>
      </c>
      <c r="T11022" t="s">
        <v>42346</v>
      </c>
      <c r="U11022" t="s">
        <v>51689</v>
      </c>
      <c r="V11022" t="s">
        <v>55028</v>
      </c>
      <c r="W11022" t="s">
        <v>55537</v>
      </c>
      <c r="X11022" t="s">
        <v>40452</v>
      </c>
    </row>
    <row r="11023" spans="1:24">
      <c r="A11023">
        <f>HYPERLINK("https://www.philgeps.gov.ph/GEPSNONPILOT/Tender/SplashBidNoticeAbstractUI.aspx?menuIndex=3&amp;refID=7026935&amp;Result=3","7026935")</f>
        <v>0</v>
      </c>
      <c r="B11023" t="s">
        <v>1398</v>
      </c>
      <c r="C11023" t="s">
        <v>13615</v>
      </c>
      <c r="D11023" t="s">
        <v>16210</v>
      </c>
      <c r="E11023" t="s">
        <v>25838</v>
      </c>
      <c r="F11023" t="s">
        <v>28198</v>
      </c>
      <c r="G11023" t="s">
        <v>28205</v>
      </c>
      <c r="H11023" t="s">
        <v>28214</v>
      </c>
      <c r="I11023" t="s">
        <v>3797</v>
      </c>
      <c r="J11023" t="s">
        <v>35159</v>
      </c>
      <c r="K11023" t="s">
        <v>36694</v>
      </c>
      <c r="M11023" t="s">
        <v>40103</v>
      </c>
      <c r="N11023" t="s">
        <v>40436</v>
      </c>
      <c r="O11023" t="s">
        <v>40437</v>
      </c>
      <c r="P11023">
        <v>0</v>
      </c>
      <c r="Q11023">
        <v>60</v>
      </c>
      <c r="R11023" t="s">
        <v>40451</v>
      </c>
      <c r="S11023" t="s">
        <v>41005</v>
      </c>
      <c r="T11023" t="s">
        <v>42148</v>
      </c>
      <c r="U11023" t="s">
        <v>51743</v>
      </c>
      <c r="W11023" t="s">
        <v>40103</v>
      </c>
      <c r="X11023" t="s">
        <v>40452</v>
      </c>
    </row>
    <row r="11024" spans="1:24">
      <c r="A11024">
        <f>HYPERLINK("https://www.philgeps.gov.ph/GEPSNONPILOT/Tender/SplashBidNoticeAbstractUI.aspx?menuIndex=3&amp;refID=7026963&amp;Result=3","7026963")</f>
        <v>0</v>
      </c>
      <c r="B11024" t="s">
        <v>1925</v>
      </c>
      <c r="C11024" t="s">
        <v>13616</v>
      </c>
      <c r="D11024" t="s">
        <v>16193</v>
      </c>
      <c r="E11024" t="s">
        <v>19001</v>
      </c>
      <c r="F11024" t="s">
        <v>28198</v>
      </c>
      <c r="G11024" t="s">
        <v>28205</v>
      </c>
      <c r="H11024" t="s">
        <v>28214</v>
      </c>
      <c r="I11024" t="s">
        <v>3797</v>
      </c>
      <c r="J11024" t="s">
        <v>28361</v>
      </c>
      <c r="K11024" t="s">
        <v>36747</v>
      </c>
      <c r="M11024" t="s">
        <v>39059</v>
      </c>
      <c r="N11024" t="s">
        <v>40436</v>
      </c>
      <c r="O11024" t="s">
        <v>40437</v>
      </c>
      <c r="P11024">
        <v>0</v>
      </c>
      <c r="Q11024">
        <v>3</v>
      </c>
      <c r="R11024" t="s">
        <v>40451</v>
      </c>
      <c r="S11024" t="s">
        <v>41005</v>
      </c>
      <c r="T11024" t="s">
        <v>42102</v>
      </c>
      <c r="U11024" t="s">
        <v>51744</v>
      </c>
      <c r="W11024" t="s">
        <v>39059</v>
      </c>
      <c r="X11024" t="s">
        <v>40452</v>
      </c>
    </row>
    <row r="11025" spans="1:24">
      <c r="A11025">
        <f>HYPERLINK("https://www.philgeps.gov.ph/GEPSNONPILOT/Tender/SplashBidNoticeAbstractUI.aspx?menuIndex=3&amp;refID=7026950&amp;Result=3","7026950")</f>
        <v>0</v>
      </c>
      <c r="B11025" t="s">
        <v>1925</v>
      </c>
      <c r="C11025" t="s">
        <v>13617</v>
      </c>
      <c r="D11025" t="s">
        <v>16193</v>
      </c>
      <c r="E11025" t="s">
        <v>17244</v>
      </c>
      <c r="F11025" t="s">
        <v>28198</v>
      </c>
      <c r="G11025" t="s">
        <v>28205</v>
      </c>
      <c r="H11025" t="s">
        <v>28214</v>
      </c>
      <c r="I11025" t="s">
        <v>3797</v>
      </c>
      <c r="J11025" t="s">
        <v>28363</v>
      </c>
      <c r="K11025" t="s">
        <v>36697</v>
      </c>
      <c r="M11025" t="s">
        <v>39059</v>
      </c>
      <c r="N11025" t="s">
        <v>40436</v>
      </c>
      <c r="O11025" t="s">
        <v>40437</v>
      </c>
      <c r="P11025">
        <v>0</v>
      </c>
      <c r="Q11025">
        <v>4</v>
      </c>
      <c r="R11025" t="s">
        <v>40451</v>
      </c>
      <c r="S11025" t="s">
        <v>41005</v>
      </c>
      <c r="T11025" t="s">
        <v>42102</v>
      </c>
      <c r="U11025" t="s">
        <v>51745</v>
      </c>
      <c r="W11025" t="s">
        <v>39059</v>
      </c>
      <c r="X11025" t="s">
        <v>40452</v>
      </c>
    </row>
    <row r="11026" spans="1:24">
      <c r="A11026">
        <f>HYPERLINK("https://www.philgeps.gov.ph/GEPSNONPILOT/Tender/SplashBidNoticeAbstractUI.aspx?menuIndex=3&amp;refID=7026986&amp;Result=3","7026986")</f>
        <v>0</v>
      </c>
      <c r="B11026" t="s">
        <v>593</v>
      </c>
      <c r="C11026" t="s">
        <v>13618</v>
      </c>
      <c r="E11026" t="s">
        <v>25839</v>
      </c>
      <c r="F11026" t="s">
        <v>28198</v>
      </c>
      <c r="G11026" t="s">
        <v>28205</v>
      </c>
      <c r="H11026" t="s">
        <v>28214</v>
      </c>
      <c r="I11026" t="s">
        <v>3797</v>
      </c>
      <c r="J11026" t="s">
        <v>28398</v>
      </c>
      <c r="K11026" t="s">
        <v>36715</v>
      </c>
      <c r="M11026" t="s">
        <v>39621</v>
      </c>
      <c r="N11026" t="s">
        <v>40436</v>
      </c>
      <c r="O11026" t="s">
        <v>40437</v>
      </c>
      <c r="Q11026">
        <v>0</v>
      </c>
      <c r="R11026" t="s">
        <v>40451</v>
      </c>
      <c r="S11026" t="s">
        <v>41128</v>
      </c>
      <c r="T11026" t="s">
        <v>42100</v>
      </c>
      <c r="U11026" t="s">
        <v>51746</v>
      </c>
      <c r="V11026" t="s">
        <v>54655</v>
      </c>
      <c r="W11026" t="s">
        <v>39621</v>
      </c>
      <c r="X11026" t="s">
        <v>40452</v>
      </c>
    </row>
    <row r="11027" spans="1:24">
      <c r="A11027">
        <f>HYPERLINK("https://www.philgeps.gov.ph/GEPSNONPILOT/Tender/SplashBidNoticeAbstractUI.aspx?menuIndex=3&amp;refID=7026995&amp;Result=3","7026995")</f>
        <v>0</v>
      </c>
      <c r="B11027" t="s">
        <v>593</v>
      </c>
      <c r="C11027" t="s">
        <v>13619</v>
      </c>
      <c r="E11027" t="s">
        <v>25840</v>
      </c>
      <c r="F11027" t="s">
        <v>28198</v>
      </c>
      <c r="G11027" t="s">
        <v>28205</v>
      </c>
      <c r="H11027" t="s">
        <v>28214</v>
      </c>
      <c r="I11027" t="s">
        <v>3797</v>
      </c>
      <c r="J11027" t="s">
        <v>28363</v>
      </c>
      <c r="K11027" t="s">
        <v>36715</v>
      </c>
      <c r="M11027" t="s">
        <v>39621</v>
      </c>
      <c r="N11027" t="s">
        <v>40436</v>
      </c>
      <c r="O11027" t="s">
        <v>40437</v>
      </c>
      <c r="Q11027">
        <v>0</v>
      </c>
      <c r="R11027" t="s">
        <v>40451</v>
      </c>
      <c r="S11027" t="s">
        <v>41129</v>
      </c>
      <c r="T11027" t="s">
        <v>42100</v>
      </c>
      <c r="U11027" t="s">
        <v>51746</v>
      </c>
      <c r="V11027" t="s">
        <v>54655</v>
      </c>
      <c r="W11027" t="s">
        <v>39621</v>
      </c>
      <c r="X11027" t="s">
        <v>40452</v>
      </c>
    </row>
    <row r="11028" spans="1:24">
      <c r="A11028">
        <f>HYPERLINK("https://www.philgeps.gov.ph/GEPSNONPILOT/Tender/SplashBidNoticeAbstractUI.aspx?menuIndex=3&amp;refID=7026981&amp;Result=3","7026981")</f>
        <v>0</v>
      </c>
      <c r="B11028" t="s">
        <v>593</v>
      </c>
      <c r="C11028" t="s">
        <v>13620</v>
      </c>
      <c r="E11028" t="s">
        <v>25841</v>
      </c>
      <c r="F11028" t="s">
        <v>28198</v>
      </c>
      <c r="G11028" t="s">
        <v>28205</v>
      </c>
      <c r="H11028" t="s">
        <v>28214</v>
      </c>
      <c r="I11028" t="s">
        <v>3797</v>
      </c>
      <c r="J11028" t="s">
        <v>28363</v>
      </c>
      <c r="K11028" t="s">
        <v>36694</v>
      </c>
      <c r="M11028" t="s">
        <v>39621</v>
      </c>
      <c r="N11028" t="s">
        <v>40436</v>
      </c>
      <c r="O11028" t="s">
        <v>40437</v>
      </c>
      <c r="Q11028">
        <v>0</v>
      </c>
      <c r="R11028" t="s">
        <v>40451</v>
      </c>
      <c r="S11028" t="s">
        <v>41130</v>
      </c>
      <c r="T11028" t="s">
        <v>42100</v>
      </c>
      <c r="U11028" t="s">
        <v>51746</v>
      </c>
      <c r="V11028" t="s">
        <v>54655</v>
      </c>
      <c r="W11028" t="s">
        <v>39621</v>
      </c>
      <c r="X11028" t="s">
        <v>40452</v>
      </c>
    </row>
    <row r="11029" spans="1:24">
      <c r="A11029">
        <f>HYPERLINK("https://www.philgeps.gov.ph/GEPSNONPILOT/Tender/SplashBidNoticeAbstractUI.aspx?menuIndex=3&amp;refID=7026989&amp;Result=3","7026989")</f>
        <v>0</v>
      </c>
      <c r="B11029" t="s">
        <v>593</v>
      </c>
      <c r="C11029" t="s">
        <v>13621</v>
      </c>
      <c r="E11029" t="s">
        <v>25842</v>
      </c>
      <c r="F11029" t="s">
        <v>28198</v>
      </c>
      <c r="G11029" t="s">
        <v>28205</v>
      </c>
      <c r="H11029" t="s">
        <v>28214</v>
      </c>
      <c r="I11029" t="s">
        <v>3797</v>
      </c>
      <c r="J11029" t="s">
        <v>28363</v>
      </c>
      <c r="K11029" t="s">
        <v>36737</v>
      </c>
      <c r="M11029" t="s">
        <v>39621</v>
      </c>
      <c r="N11029" t="s">
        <v>40436</v>
      </c>
      <c r="O11029" t="s">
        <v>40437</v>
      </c>
      <c r="Q11029">
        <v>0</v>
      </c>
      <c r="R11029" t="s">
        <v>40451</v>
      </c>
      <c r="S11029" t="s">
        <v>41128</v>
      </c>
      <c r="T11029" t="s">
        <v>42100</v>
      </c>
      <c r="U11029" t="s">
        <v>51746</v>
      </c>
      <c r="V11029" t="s">
        <v>54655</v>
      </c>
      <c r="W11029" t="s">
        <v>39621</v>
      </c>
      <c r="X11029" t="s">
        <v>40452</v>
      </c>
    </row>
    <row r="11030" spans="1:24">
      <c r="A11030">
        <f>HYPERLINK("https://www.philgeps.gov.ph/GEPSNONPILOT/Tender/SplashBidNoticeAbstractUI.aspx?menuIndex=3&amp;refID=7026979&amp;Result=3","7026979")</f>
        <v>0</v>
      </c>
      <c r="B11030" t="s">
        <v>593</v>
      </c>
      <c r="C11030" t="s">
        <v>13622</v>
      </c>
      <c r="E11030" t="s">
        <v>25843</v>
      </c>
      <c r="F11030" t="s">
        <v>28198</v>
      </c>
      <c r="G11030" t="s">
        <v>28205</v>
      </c>
      <c r="H11030" t="s">
        <v>28214</v>
      </c>
      <c r="I11030" t="s">
        <v>3797</v>
      </c>
      <c r="J11030" t="s">
        <v>32291</v>
      </c>
      <c r="K11030" t="s">
        <v>36694</v>
      </c>
      <c r="M11030" t="s">
        <v>39621</v>
      </c>
      <c r="N11030" t="s">
        <v>40436</v>
      </c>
      <c r="O11030" t="s">
        <v>40437</v>
      </c>
      <c r="Q11030">
        <v>0</v>
      </c>
      <c r="R11030" t="s">
        <v>40451</v>
      </c>
      <c r="S11030" t="s">
        <v>41130</v>
      </c>
      <c r="T11030" t="s">
        <v>42100</v>
      </c>
      <c r="U11030" t="s">
        <v>51746</v>
      </c>
      <c r="V11030" t="s">
        <v>54655</v>
      </c>
      <c r="W11030" t="s">
        <v>39621</v>
      </c>
      <c r="X11030" t="s">
        <v>40452</v>
      </c>
    </row>
    <row r="11031" spans="1:24">
      <c r="A11031">
        <f>HYPERLINK("https://www.philgeps.gov.ph/GEPSNONPILOT/Tender/SplashBidNoticeAbstractUI.aspx?menuIndex=3&amp;refID=7026994&amp;Result=3","7026994")</f>
        <v>0</v>
      </c>
      <c r="B11031" t="s">
        <v>1477</v>
      </c>
      <c r="C11031" t="s">
        <v>13623</v>
      </c>
      <c r="D11031" t="s">
        <v>16197</v>
      </c>
      <c r="E11031" t="s">
        <v>25844</v>
      </c>
      <c r="F11031" t="s">
        <v>28198</v>
      </c>
      <c r="G11031" t="s">
        <v>28205</v>
      </c>
      <c r="H11031" t="s">
        <v>28214</v>
      </c>
      <c r="I11031" t="s">
        <v>3797</v>
      </c>
      <c r="J11031" t="s">
        <v>35090</v>
      </c>
      <c r="K11031" t="s">
        <v>36692</v>
      </c>
      <c r="M11031" t="s">
        <v>40109</v>
      </c>
      <c r="N11031" t="s">
        <v>40436</v>
      </c>
      <c r="O11031" t="s">
        <v>40437</v>
      </c>
      <c r="Q11031">
        <v>5</v>
      </c>
      <c r="R11031" t="s">
        <v>40451</v>
      </c>
      <c r="S11031" t="s">
        <v>41131</v>
      </c>
      <c r="T11031" t="s">
        <v>42133</v>
      </c>
      <c r="U11031" t="s">
        <v>51712</v>
      </c>
      <c r="W11031" t="s">
        <v>40109</v>
      </c>
      <c r="X11031" t="s">
        <v>40452</v>
      </c>
    </row>
    <row r="11032" spans="1:24">
      <c r="A11032">
        <f>HYPERLINK("https://www.philgeps.gov.ph/GEPSNONPILOT/Tender/SplashBidNoticeAbstractUI.aspx?menuIndex=3&amp;refID=7026964&amp;Result=3","7026964")</f>
        <v>0</v>
      </c>
      <c r="B11032" t="s">
        <v>556</v>
      </c>
      <c r="C11032" t="s">
        <v>13624</v>
      </c>
      <c r="E11032" t="s">
        <v>25845</v>
      </c>
      <c r="F11032" t="s">
        <v>28198</v>
      </c>
      <c r="G11032" t="s">
        <v>28205</v>
      </c>
      <c r="H11032" t="s">
        <v>28215</v>
      </c>
      <c r="I11032" t="s">
        <v>6013</v>
      </c>
      <c r="J11032" t="s">
        <v>35160</v>
      </c>
      <c r="K11032" t="s">
        <v>36689</v>
      </c>
      <c r="M11032" t="s">
        <v>40107</v>
      </c>
      <c r="N11032" t="s">
        <v>40436</v>
      </c>
      <c r="O11032" t="s">
        <v>40437</v>
      </c>
      <c r="P11032">
        <v>0</v>
      </c>
      <c r="Q11032">
        <v>1</v>
      </c>
      <c r="R11032" t="s">
        <v>40451</v>
      </c>
      <c r="S11032" t="s">
        <v>41005</v>
      </c>
      <c r="T11032" t="s">
        <v>42134</v>
      </c>
      <c r="U11032" t="s">
        <v>51747</v>
      </c>
      <c r="V11032" t="s">
        <v>54995</v>
      </c>
      <c r="W11032" t="s">
        <v>40107</v>
      </c>
      <c r="X11032" t="s">
        <v>40452</v>
      </c>
    </row>
    <row r="11033" spans="1:24">
      <c r="A11033">
        <f>HYPERLINK("https://www.philgeps.gov.ph/GEPSNONPILOT/Tender/SplashBidNoticeAbstractUI.aspx?menuIndex=3&amp;refID=7026990&amp;Result=3","7026990")</f>
        <v>0</v>
      </c>
      <c r="B11033" t="s">
        <v>556</v>
      </c>
      <c r="C11033" t="s">
        <v>13625</v>
      </c>
      <c r="E11033" t="s">
        <v>25846</v>
      </c>
      <c r="F11033" t="s">
        <v>28198</v>
      </c>
      <c r="G11033" t="s">
        <v>28205</v>
      </c>
      <c r="H11033" t="s">
        <v>28215</v>
      </c>
      <c r="I11033" t="s">
        <v>28249</v>
      </c>
      <c r="J11033" t="s">
        <v>35161</v>
      </c>
      <c r="K11033" t="s">
        <v>36689</v>
      </c>
      <c r="M11033" t="s">
        <v>39539</v>
      </c>
      <c r="N11033" t="s">
        <v>40436</v>
      </c>
      <c r="O11033" t="s">
        <v>40437</v>
      </c>
      <c r="Q11033">
        <v>4</v>
      </c>
      <c r="R11033" t="s">
        <v>40451</v>
      </c>
      <c r="S11033" t="s">
        <v>41132</v>
      </c>
      <c r="T11033" t="s">
        <v>42134</v>
      </c>
      <c r="U11033" t="s">
        <v>51748</v>
      </c>
      <c r="V11033" t="s">
        <v>54995</v>
      </c>
      <c r="W11033" t="s">
        <v>39539</v>
      </c>
      <c r="X11033" t="s">
        <v>40452</v>
      </c>
    </row>
    <row r="11034" spans="1:24">
      <c r="A11034">
        <f>HYPERLINK("https://www.philgeps.gov.ph/GEPSNONPILOT/Tender/SplashBidNoticeAbstractUI.aspx?menuIndex=3&amp;refID=7026975&amp;Result=3","7026975")</f>
        <v>0</v>
      </c>
      <c r="B11034" t="s">
        <v>1303</v>
      </c>
      <c r="C11034" t="s">
        <v>13626</v>
      </c>
      <c r="D11034" t="s">
        <v>16200</v>
      </c>
      <c r="E11034" t="s">
        <v>25847</v>
      </c>
      <c r="F11034" t="s">
        <v>28198</v>
      </c>
      <c r="G11034" t="s">
        <v>28205</v>
      </c>
      <c r="H11034" t="s">
        <v>28215</v>
      </c>
      <c r="I11034" t="s">
        <v>5100</v>
      </c>
      <c r="J11034" t="s">
        <v>35162</v>
      </c>
      <c r="K11034" t="s">
        <v>36701</v>
      </c>
      <c r="M11034" t="s">
        <v>40114</v>
      </c>
      <c r="N11034" t="s">
        <v>40436</v>
      </c>
      <c r="O11034" t="s">
        <v>40437</v>
      </c>
      <c r="P11034">
        <v>0</v>
      </c>
      <c r="Q11034">
        <v>4</v>
      </c>
      <c r="R11034" t="s">
        <v>40451</v>
      </c>
      <c r="S11034" t="s">
        <v>41005</v>
      </c>
      <c r="T11034" t="s">
        <v>42249</v>
      </c>
      <c r="U11034" t="s">
        <v>51749</v>
      </c>
      <c r="W11034" t="s">
        <v>40114</v>
      </c>
      <c r="X11034" t="s">
        <v>40452</v>
      </c>
    </row>
    <row r="11035" spans="1:24">
      <c r="A11035">
        <f>HYPERLINK("https://www.philgeps.gov.ph/GEPSNONPILOT/Tender/SplashBidNoticeAbstractUI.aspx?menuIndex=3&amp;refID=7026992&amp;Result=3","7026992")</f>
        <v>0</v>
      </c>
      <c r="B11035" t="s">
        <v>593</v>
      </c>
      <c r="C11035" t="s">
        <v>13627</v>
      </c>
      <c r="E11035" t="s">
        <v>25848</v>
      </c>
      <c r="F11035" t="s">
        <v>28198</v>
      </c>
      <c r="G11035" t="s">
        <v>28205</v>
      </c>
      <c r="H11035" t="s">
        <v>28214</v>
      </c>
      <c r="I11035" t="s">
        <v>3797</v>
      </c>
      <c r="J11035" t="s">
        <v>28363</v>
      </c>
      <c r="K11035" t="s">
        <v>36694</v>
      </c>
      <c r="M11035" t="s">
        <v>39621</v>
      </c>
      <c r="N11035" t="s">
        <v>40436</v>
      </c>
      <c r="O11035" t="s">
        <v>40437</v>
      </c>
      <c r="Q11035">
        <v>0</v>
      </c>
      <c r="R11035" t="s">
        <v>40451</v>
      </c>
      <c r="S11035" t="s">
        <v>41133</v>
      </c>
      <c r="T11035" t="s">
        <v>42100</v>
      </c>
      <c r="U11035" t="s">
        <v>51746</v>
      </c>
      <c r="V11035" t="s">
        <v>54655</v>
      </c>
      <c r="W11035" t="s">
        <v>39621</v>
      </c>
      <c r="X11035" t="s">
        <v>40452</v>
      </c>
    </row>
    <row r="11036" spans="1:24">
      <c r="A11036">
        <f>HYPERLINK("https://www.philgeps.gov.ph/GEPSNONPILOT/Tender/SplashBidNoticeAbstractUI.aspx?menuIndex=3&amp;refID=7027008&amp;Result=3","7027008")</f>
        <v>0</v>
      </c>
      <c r="B11036" t="s">
        <v>2251</v>
      </c>
      <c r="C11036" t="s">
        <v>13628</v>
      </c>
      <c r="D11036" t="s">
        <v>16203</v>
      </c>
      <c r="E11036" t="s">
        <v>25849</v>
      </c>
      <c r="F11036" t="s">
        <v>28198</v>
      </c>
      <c r="G11036" t="s">
        <v>28205</v>
      </c>
      <c r="H11036" t="s">
        <v>28214</v>
      </c>
      <c r="I11036" t="s">
        <v>3797</v>
      </c>
      <c r="J11036" t="s">
        <v>35069</v>
      </c>
      <c r="K11036" t="s">
        <v>36714</v>
      </c>
      <c r="M11036" t="s">
        <v>39421</v>
      </c>
      <c r="N11036" t="s">
        <v>40436</v>
      </c>
      <c r="O11036" t="s">
        <v>40437</v>
      </c>
      <c r="P11036">
        <v>0</v>
      </c>
      <c r="Q11036">
        <v>4</v>
      </c>
      <c r="R11036" t="s">
        <v>40451</v>
      </c>
      <c r="S11036" t="s">
        <v>41005</v>
      </c>
      <c r="T11036" t="s">
        <v>42134</v>
      </c>
      <c r="U11036" t="s">
        <v>51750</v>
      </c>
      <c r="V11036" t="s">
        <v>54998</v>
      </c>
      <c r="W11036" t="s">
        <v>39421</v>
      </c>
      <c r="X11036" t="s">
        <v>40452</v>
      </c>
    </row>
    <row r="11037" spans="1:24">
      <c r="A11037">
        <f>HYPERLINK("https://www.philgeps.gov.ph/GEPSNONPILOT/Tender/SplashBidNoticeAbstractUI.aspx?menuIndex=3&amp;refID=7026977&amp;Result=3","7026977")</f>
        <v>0</v>
      </c>
      <c r="B11037" t="s">
        <v>593</v>
      </c>
      <c r="C11037" t="s">
        <v>13629</v>
      </c>
      <c r="E11037" t="s">
        <v>25850</v>
      </c>
      <c r="F11037" t="s">
        <v>28198</v>
      </c>
      <c r="G11037" t="s">
        <v>28205</v>
      </c>
      <c r="H11037" t="s">
        <v>28214</v>
      </c>
      <c r="I11037" t="s">
        <v>3797</v>
      </c>
      <c r="J11037" t="s">
        <v>28398</v>
      </c>
      <c r="K11037" t="s">
        <v>36715</v>
      </c>
      <c r="M11037" t="s">
        <v>39621</v>
      </c>
      <c r="N11037" t="s">
        <v>40436</v>
      </c>
      <c r="O11037" t="s">
        <v>40437</v>
      </c>
      <c r="Q11037">
        <v>0</v>
      </c>
      <c r="R11037" t="s">
        <v>40451</v>
      </c>
      <c r="S11037" t="s">
        <v>41134</v>
      </c>
      <c r="T11037" t="s">
        <v>42100</v>
      </c>
      <c r="U11037" t="s">
        <v>51746</v>
      </c>
      <c r="V11037" t="s">
        <v>54655</v>
      </c>
      <c r="W11037" t="s">
        <v>39621</v>
      </c>
      <c r="X11037" t="s">
        <v>40452</v>
      </c>
    </row>
    <row r="11038" spans="1:24">
      <c r="A11038">
        <f>HYPERLINK("https://www.philgeps.gov.ph/GEPSNONPILOT/Tender/SplashBidNoticeAbstractUI.aspx?menuIndex=3&amp;refID=7027005&amp;Result=3","7027005")</f>
        <v>0</v>
      </c>
      <c r="B11038" t="s">
        <v>756</v>
      </c>
      <c r="C11038" t="s">
        <v>13630</v>
      </c>
      <c r="E11038" t="s">
        <v>25851</v>
      </c>
      <c r="F11038" t="s">
        <v>28198</v>
      </c>
      <c r="G11038" t="s">
        <v>28205</v>
      </c>
      <c r="H11038" t="s">
        <v>28215</v>
      </c>
      <c r="I11038" t="s">
        <v>28224</v>
      </c>
      <c r="J11038" t="s">
        <v>28699</v>
      </c>
      <c r="K11038" t="s">
        <v>36689</v>
      </c>
      <c r="M11038" t="s">
        <v>37759</v>
      </c>
      <c r="N11038" t="s">
        <v>40436</v>
      </c>
      <c r="O11038" t="s">
        <v>40437</v>
      </c>
      <c r="P11038">
        <v>0</v>
      </c>
      <c r="Q11038">
        <v>1</v>
      </c>
      <c r="R11038" t="s">
        <v>40451</v>
      </c>
      <c r="S11038" t="s">
        <v>41005</v>
      </c>
      <c r="T11038" t="s">
        <v>42279</v>
      </c>
      <c r="U11038" t="s">
        <v>44044</v>
      </c>
      <c r="W11038" t="s">
        <v>37759</v>
      </c>
      <c r="X11038" t="s">
        <v>40452</v>
      </c>
    </row>
    <row r="11039" spans="1:24">
      <c r="A11039">
        <f>HYPERLINK("https://www.philgeps.gov.ph/GEPSNONPILOT/Tender/SplashBidNoticeAbstractUI.aspx?menuIndex=3&amp;refID=7027012&amp;Result=3","7027012")</f>
        <v>0</v>
      </c>
      <c r="B11039" t="s">
        <v>2251</v>
      </c>
      <c r="C11039" t="s">
        <v>13631</v>
      </c>
      <c r="D11039" t="s">
        <v>16203</v>
      </c>
      <c r="E11039" t="s">
        <v>25852</v>
      </c>
      <c r="F11039" t="s">
        <v>28198</v>
      </c>
      <c r="G11039" t="s">
        <v>28205</v>
      </c>
      <c r="H11039" t="s">
        <v>28214</v>
      </c>
      <c r="I11039" t="s">
        <v>3797</v>
      </c>
      <c r="J11039" t="s">
        <v>35069</v>
      </c>
      <c r="K11039" t="s">
        <v>36869</v>
      </c>
      <c r="M11039" t="s">
        <v>39421</v>
      </c>
      <c r="N11039" t="s">
        <v>40436</v>
      </c>
      <c r="O11039" t="s">
        <v>40437</v>
      </c>
      <c r="P11039">
        <v>0</v>
      </c>
      <c r="Q11039">
        <v>5</v>
      </c>
      <c r="R11039" t="s">
        <v>40451</v>
      </c>
      <c r="S11039" t="s">
        <v>41005</v>
      </c>
      <c r="T11039" t="s">
        <v>42134</v>
      </c>
      <c r="U11039" t="s">
        <v>51751</v>
      </c>
      <c r="V11039" t="s">
        <v>54998</v>
      </c>
      <c r="W11039" t="s">
        <v>39421</v>
      </c>
      <c r="X11039" t="s">
        <v>40452</v>
      </c>
    </row>
    <row r="11040" spans="1:24">
      <c r="A11040">
        <f>HYPERLINK("https://www.philgeps.gov.ph/GEPSNONPILOT/Tender/SplashBidNoticeAbstractUI.aspx?menuIndex=3&amp;refID=7026984&amp;Result=3","7026984")</f>
        <v>0</v>
      </c>
      <c r="B11040" t="s">
        <v>593</v>
      </c>
      <c r="C11040" t="s">
        <v>13632</v>
      </c>
      <c r="E11040" t="s">
        <v>25853</v>
      </c>
      <c r="F11040" t="s">
        <v>28198</v>
      </c>
      <c r="G11040" t="s">
        <v>28205</v>
      </c>
      <c r="H11040" t="s">
        <v>28214</v>
      </c>
      <c r="I11040" t="s">
        <v>3797</v>
      </c>
      <c r="J11040" t="s">
        <v>28398</v>
      </c>
      <c r="K11040" t="s">
        <v>36715</v>
      </c>
      <c r="M11040" t="s">
        <v>39621</v>
      </c>
      <c r="N11040" t="s">
        <v>40436</v>
      </c>
      <c r="O11040" t="s">
        <v>40437</v>
      </c>
      <c r="Q11040">
        <v>0</v>
      </c>
      <c r="R11040" t="s">
        <v>40451</v>
      </c>
      <c r="S11040" t="s">
        <v>41135</v>
      </c>
      <c r="T11040" t="s">
        <v>42100</v>
      </c>
      <c r="U11040" t="s">
        <v>51746</v>
      </c>
      <c r="V11040" t="s">
        <v>54655</v>
      </c>
      <c r="W11040" t="s">
        <v>39621</v>
      </c>
      <c r="X11040" t="s">
        <v>40452</v>
      </c>
    </row>
    <row r="11041" spans="1:24">
      <c r="A11041">
        <f>HYPERLINK("https://www.philgeps.gov.ph/GEPSNONPILOT/Tender/SplashBidNoticeAbstractUI.aspx?menuIndex=3&amp;refID=7027001&amp;Result=3","7027001")</f>
        <v>0</v>
      </c>
      <c r="B11041" t="s">
        <v>2251</v>
      </c>
      <c r="C11041" t="s">
        <v>13633</v>
      </c>
      <c r="D11041" t="s">
        <v>16203</v>
      </c>
      <c r="E11041" t="s">
        <v>25854</v>
      </c>
      <c r="F11041" t="s">
        <v>28198</v>
      </c>
      <c r="G11041" t="s">
        <v>28205</v>
      </c>
      <c r="H11041" t="s">
        <v>28214</v>
      </c>
      <c r="I11041" t="s">
        <v>3797</v>
      </c>
      <c r="J11041" t="s">
        <v>31258</v>
      </c>
      <c r="K11041" t="s">
        <v>36943</v>
      </c>
      <c r="M11041" t="s">
        <v>39421</v>
      </c>
      <c r="N11041" t="s">
        <v>40436</v>
      </c>
      <c r="O11041" t="s">
        <v>40437</v>
      </c>
      <c r="Q11041">
        <v>5</v>
      </c>
      <c r="R11041" t="s">
        <v>40451</v>
      </c>
      <c r="S11041" t="s">
        <v>41136</v>
      </c>
      <c r="T11041" t="s">
        <v>42134</v>
      </c>
      <c r="U11041" t="s">
        <v>51752</v>
      </c>
      <c r="V11041" t="s">
        <v>54998</v>
      </c>
      <c r="W11041" t="s">
        <v>39421</v>
      </c>
      <c r="X11041" t="s">
        <v>40452</v>
      </c>
    </row>
    <row r="11042" spans="1:24">
      <c r="A11042">
        <f>HYPERLINK("https://www.philgeps.gov.ph/GEPSNONPILOT/Tender/SplashBidNoticeAbstractUI.aspx?menuIndex=3&amp;refID=7027013&amp;Result=3","7027013")</f>
        <v>0</v>
      </c>
      <c r="B11042" t="s">
        <v>2853</v>
      </c>
      <c r="C11042" t="s">
        <v>13634</v>
      </c>
      <c r="D11042" t="s">
        <v>16198</v>
      </c>
      <c r="E11042" t="s">
        <v>17248</v>
      </c>
      <c r="F11042" t="s">
        <v>28198</v>
      </c>
      <c r="G11042" t="s">
        <v>28205</v>
      </c>
      <c r="H11042" t="s">
        <v>28214</v>
      </c>
      <c r="I11042" t="s">
        <v>3797</v>
      </c>
      <c r="J11042" t="s">
        <v>28378</v>
      </c>
      <c r="K11042" t="s">
        <v>36701</v>
      </c>
      <c r="M11042" t="s">
        <v>40115</v>
      </c>
      <c r="N11042" t="s">
        <v>40436</v>
      </c>
      <c r="O11042" t="s">
        <v>40437</v>
      </c>
      <c r="P11042">
        <v>0</v>
      </c>
      <c r="Q11042">
        <v>3</v>
      </c>
      <c r="R11042" t="s">
        <v>40451</v>
      </c>
      <c r="S11042" t="s">
        <v>41005</v>
      </c>
      <c r="T11042" t="s">
        <v>42130</v>
      </c>
      <c r="U11042" t="s">
        <v>51753</v>
      </c>
      <c r="W11042" t="s">
        <v>40115</v>
      </c>
      <c r="X11042" t="s">
        <v>40452</v>
      </c>
    </row>
    <row r="11043" spans="1:24">
      <c r="A11043">
        <f>HYPERLINK("https://www.philgeps.gov.ph/GEPSNONPILOT/Tender/SplashBidNoticeAbstractUI.aspx?menuIndex=3&amp;refID=7026968&amp;Result=3","7026968")</f>
        <v>0</v>
      </c>
      <c r="B11043" t="s">
        <v>556</v>
      </c>
      <c r="C11043" t="s">
        <v>13635</v>
      </c>
      <c r="E11043" t="s">
        <v>25855</v>
      </c>
      <c r="F11043" t="s">
        <v>28198</v>
      </c>
      <c r="G11043" t="s">
        <v>28205</v>
      </c>
      <c r="H11043" t="s">
        <v>28215</v>
      </c>
      <c r="I11043" t="s">
        <v>28222</v>
      </c>
      <c r="J11043" t="s">
        <v>28921</v>
      </c>
      <c r="K11043" t="s">
        <v>36689</v>
      </c>
      <c r="M11043" t="s">
        <v>39539</v>
      </c>
      <c r="N11043" t="s">
        <v>40436</v>
      </c>
      <c r="O11043" t="s">
        <v>40437</v>
      </c>
      <c r="Q11043">
        <v>6</v>
      </c>
      <c r="R11043" t="s">
        <v>40451</v>
      </c>
      <c r="S11043" t="s">
        <v>40744</v>
      </c>
      <c r="T11043" t="s">
        <v>42134</v>
      </c>
      <c r="U11043" t="s">
        <v>51754</v>
      </c>
      <c r="V11043" t="s">
        <v>54995</v>
      </c>
      <c r="W11043" t="s">
        <v>39539</v>
      </c>
      <c r="X11043" t="s">
        <v>40452</v>
      </c>
    </row>
    <row r="11044" spans="1:24">
      <c r="A11044">
        <f>HYPERLINK("https://www.philgeps.gov.ph/GEPSNONPILOT/Tender/SplashBidNoticeAbstractUI.aspx?menuIndex=3&amp;refID=7027006&amp;Result=3","7027006")</f>
        <v>0</v>
      </c>
      <c r="B11044" t="s">
        <v>2251</v>
      </c>
      <c r="C11044" t="s">
        <v>13636</v>
      </c>
      <c r="D11044" t="s">
        <v>16203</v>
      </c>
      <c r="E11044" t="s">
        <v>25856</v>
      </c>
      <c r="F11044" t="s">
        <v>28198</v>
      </c>
      <c r="G11044" t="s">
        <v>28205</v>
      </c>
      <c r="H11044" t="s">
        <v>28214</v>
      </c>
      <c r="I11044" t="s">
        <v>3797</v>
      </c>
      <c r="J11044" t="s">
        <v>35163</v>
      </c>
      <c r="K11044" t="s">
        <v>36727</v>
      </c>
      <c r="M11044" t="s">
        <v>39421</v>
      </c>
      <c r="N11044" t="s">
        <v>40436</v>
      </c>
      <c r="O11044" t="s">
        <v>40437</v>
      </c>
      <c r="P11044">
        <v>0</v>
      </c>
      <c r="Q11044">
        <v>5</v>
      </c>
      <c r="R11044" t="s">
        <v>40451</v>
      </c>
      <c r="S11044" t="s">
        <v>41005</v>
      </c>
      <c r="T11044" t="s">
        <v>42134</v>
      </c>
      <c r="U11044" t="s">
        <v>51755</v>
      </c>
      <c r="V11044" t="s">
        <v>54998</v>
      </c>
      <c r="W11044" t="s">
        <v>39421</v>
      </c>
      <c r="X11044" t="s">
        <v>40452</v>
      </c>
    </row>
    <row r="11045" spans="1:24">
      <c r="A11045">
        <f>HYPERLINK("https://www.philgeps.gov.ph/GEPSNONPILOT/Tender/SplashBidNoticeAbstractUI.aspx?menuIndex=3&amp;refID=7026999&amp;Result=3","7026999")</f>
        <v>0</v>
      </c>
      <c r="B11045" t="s">
        <v>2251</v>
      </c>
      <c r="C11045" t="s">
        <v>13637</v>
      </c>
      <c r="D11045" t="s">
        <v>16203</v>
      </c>
      <c r="E11045" t="s">
        <v>25857</v>
      </c>
      <c r="F11045" t="s">
        <v>28198</v>
      </c>
      <c r="G11045" t="s">
        <v>28205</v>
      </c>
      <c r="H11045" t="s">
        <v>28214</v>
      </c>
      <c r="I11045" t="s">
        <v>3797</v>
      </c>
      <c r="J11045" t="s">
        <v>31258</v>
      </c>
      <c r="K11045" t="s">
        <v>36943</v>
      </c>
      <c r="M11045" t="s">
        <v>39421</v>
      </c>
      <c r="N11045" t="s">
        <v>40436</v>
      </c>
      <c r="O11045" t="s">
        <v>40437</v>
      </c>
      <c r="Q11045">
        <v>5</v>
      </c>
      <c r="R11045" t="s">
        <v>40451</v>
      </c>
      <c r="S11045" t="s">
        <v>41137</v>
      </c>
      <c r="T11045" t="s">
        <v>42134</v>
      </c>
      <c r="U11045" t="s">
        <v>51756</v>
      </c>
      <c r="V11045" t="s">
        <v>54998</v>
      </c>
      <c r="W11045" t="s">
        <v>39421</v>
      </c>
      <c r="X11045" t="s">
        <v>40452</v>
      </c>
    </row>
    <row r="11046" spans="1:24">
      <c r="A11046">
        <f>HYPERLINK("https://www.philgeps.gov.ph/GEPSNONPILOT/Tender/SplashBidNoticeAbstractUI.aspx?menuIndex=3&amp;refID=7027071&amp;Result=3","7027071")</f>
        <v>0</v>
      </c>
      <c r="B11046" t="s">
        <v>657</v>
      </c>
      <c r="C11046" t="s">
        <v>13638</v>
      </c>
      <c r="D11046" t="s">
        <v>16260</v>
      </c>
      <c r="E11046" t="s">
        <v>25858</v>
      </c>
      <c r="F11046" t="s">
        <v>28198</v>
      </c>
      <c r="G11046" t="s">
        <v>28205</v>
      </c>
      <c r="H11046" t="s">
        <v>28214</v>
      </c>
      <c r="I11046" t="s">
        <v>3797</v>
      </c>
      <c r="J11046" t="s">
        <v>31508</v>
      </c>
      <c r="K11046" t="s">
        <v>36701</v>
      </c>
      <c r="M11046" t="s">
        <v>37653</v>
      </c>
      <c r="N11046" t="s">
        <v>40436</v>
      </c>
      <c r="O11046" t="s">
        <v>40437</v>
      </c>
      <c r="Q11046">
        <v>0</v>
      </c>
      <c r="R11046" t="s">
        <v>40451</v>
      </c>
      <c r="S11046" t="s">
        <v>41138</v>
      </c>
      <c r="T11046" t="s">
        <v>42158</v>
      </c>
      <c r="U11046" t="s">
        <v>51757</v>
      </c>
      <c r="W11046" t="s">
        <v>37653</v>
      </c>
      <c r="X11046" t="s">
        <v>40452</v>
      </c>
    </row>
    <row r="11047" spans="1:24">
      <c r="A11047">
        <f>HYPERLINK("https://www.philgeps.gov.ph/GEPSNONPILOT/Tender/SplashBidNoticeAbstractUI.aspx?menuIndex=3&amp;refID=7027016&amp;Result=3","7027016")</f>
        <v>0</v>
      </c>
      <c r="B11047" t="s">
        <v>2251</v>
      </c>
      <c r="C11047" t="s">
        <v>13639</v>
      </c>
      <c r="D11047" t="s">
        <v>16203</v>
      </c>
      <c r="E11047" t="s">
        <v>25859</v>
      </c>
      <c r="F11047" t="s">
        <v>28198</v>
      </c>
      <c r="G11047" t="s">
        <v>28205</v>
      </c>
      <c r="H11047" t="s">
        <v>28214</v>
      </c>
      <c r="I11047" t="s">
        <v>3797</v>
      </c>
      <c r="J11047" t="s">
        <v>35093</v>
      </c>
      <c r="K11047" t="s">
        <v>36692</v>
      </c>
      <c r="M11047" t="s">
        <v>39421</v>
      </c>
      <c r="N11047" t="s">
        <v>40436</v>
      </c>
      <c r="O11047" t="s">
        <v>40437</v>
      </c>
      <c r="Q11047">
        <v>4</v>
      </c>
      <c r="R11047" t="s">
        <v>40451</v>
      </c>
      <c r="S11047" t="s">
        <v>40704</v>
      </c>
      <c r="T11047" t="s">
        <v>42134</v>
      </c>
      <c r="U11047" t="s">
        <v>51758</v>
      </c>
      <c r="V11047" t="s">
        <v>54998</v>
      </c>
      <c r="W11047" t="s">
        <v>39421</v>
      </c>
      <c r="X11047" t="s">
        <v>40452</v>
      </c>
    </row>
    <row r="11048" spans="1:24">
      <c r="A11048">
        <f>HYPERLINK("https://www.philgeps.gov.ph/GEPSNONPILOT/Tender/SplashBidNoticeAbstractUI.aspx?menuIndex=3&amp;refID=7027066&amp;Result=3","7027066")</f>
        <v>0</v>
      </c>
      <c r="B11048" t="s">
        <v>657</v>
      </c>
      <c r="C11048" t="s">
        <v>13640</v>
      </c>
      <c r="D11048" t="s">
        <v>16260</v>
      </c>
      <c r="E11048" t="s">
        <v>25860</v>
      </c>
      <c r="F11048" t="s">
        <v>28198</v>
      </c>
      <c r="G11048" t="s">
        <v>28205</v>
      </c>
      <c r="H11048" t="s">
        <v>28214</v>
      </c>
      <c r="I11048" t="s">
        <v>3797</v>
      </c>
      <c r="J11048" t="s">
        <v>35164</v>
      </c>
      <c r="K11048" t="s">
        <v>36717</v>
      </c>
      <c r="M11048" t="s">
        <v>37653</v>
      </c>
      <c r="N11048" t="s">
        <v>40436</v>
      </c>
      <c r="O11048" t="s">
        <v>40437</v>
      </c>
      <c r="Q11048">
        <v>6</v>
      </c>
      <c r="R11048" t="s">
        <v>40451</v>
      </c>
      <c r="S11048" t="s">
        <v>41139</v>
      </c>
      <c r="T11048" t="s">
        <v>42158</v>
      </c>
      <c r="U11048" t="s">
        <v>51759</v>
      </c>
      <c r="V11048" t="s">
        <v>55029</v>
      </c>
      <c r="W11048" t="s">
        <v>37653</v>
      </c>
      <c r="X11048" t="s">
        <v>40452</v>
      </c>
    </row>
    <row r="11049" spans="1:24">
      <c r="A11049">
        <f>HYPERLINK("https://www.philgeps.gov.ph/GEPSNONPILOT/Tender/SplashBidNoticeAbstractUI.aspx?menuIndex=3&amp;refID=7027024&amp;Result=3","7027024")</f>
        <v>0</v>
      </c>
      <c r="B11049" t="s">
        <v>2251</v>
      </c>
      <c r="C11049" t="s">
        <v>13641</v>
      </c>
      <c r="D11049" t="s">
        <v>16203</v>
      </c>
      <c r="E11049" t="s">
        <v>25861</v>
      </c>
      <c r="F11049" t="s">
        <v>28198</v>
      </c>
      <c r="G11049" t="s">
        <v>28205</v>
      </c>
      <c r="H11049" t="s">
        <v>28214</v>
      </c>
      <c r="I11049" t="s">
        <v>3797</v>
      </c>
      <c r="J11049" t="s">
        <v>29566</v>
      </c>
      <c r="K11049" t="s">
        <v>36827</v>
      </c>
      <c r="M11049" t="s">
        <v>39421</v>
      </c>
      <c r="N11049" t="s">
        <v>40436</v>
      </c>
      <c r="O11049" t="s">
        <v>40437</v>
      </c>
      <c r="P11049">
        <v>0</v>
      </c>
      <c r="Q11049">
        <v>5</v>
      </c>
      <c r="R11049" t="s">
        <v>40451</v>
      </c>
      <c r="S11049" t="s">
        <v>41005</v>
      </c>
      <c r="T11049" t="s">
        <v>42134</v>
      </c>
      <c r="U11049" t="s">
        <v>51760</v>
      </c>
      <c r="V11049" t="s">
        <v>54998</v>
      </c>
      <c r="W11049" t="s">
        <v>39421</v>
      </c>
      <c r="X11049" t="s">
        <v>40452</v>
      </c>
    </row>
    <row r="11050" spans="1:24">
      <c r="A11050">
        <f>HYPERLINK("https://www.philgeps.gov.ph/GEPSNONPILOT/Tender/SplashBidNoticeAbstractUI.aspx?menuIndex=3&amp;refID=7027017&amp;Result=3","7027017")</f>
        <v>0</v>
      </c>
      <c r="B11050" t="s">
        <v>2854</v>
      </c>
      <c r="C11050" t="s">
        <v>13642</v>
      </c>
      <c r="D11050" t="s">
        <v>16200</v>
      </c>
      <c r="E11050" t="s">
        <v>25862</v>
      </c>
      <c r="F11050" t="s">
        <v>28198</v>
      </c>
      <c r="G11050" t="s">
        <v>28205</v>
      </c>
      <c r="H11050" t="s">
        <v>28215</v>
      </c>
      <c r="I11050" t="s">
        <v>4505</v>
      </c>
      <c r="J11050" t="s">
        <v>35165</v>
      </c>
      <c r="K11050" t="s">
        <v>36701</v>
      </c>
      <c r="M11050" t="s">
        <v>40116</v>
      </c>
      <c r="N11050" t="s">
        <v>40436</v>
      </c>
      <c r="O11050" t="s">
        <v>40437</v>
      </c>
      <c r="P11050">
        <v>0</v>
      </c>
      <c r="Q11050">
        <v>10</v>
      </c>
      <c r="R11050" t="s">
        <v>40451</v>
      </c>
      <c r="S11050" t="s">
        <v>41005</v>
      </c>
      <c r="T11050" t="s">
        <v>42424</v>
      </c>
      <c r="U11050" t="s">
        <v>51761</v>
      </c>
      <c r="W11050" t="s">
        <v>40116</v>
      </c>
      <c r="X11050" t="s">
        <v>40452</v>
      </c>
    </row>
    <row r="11051" spans="1:24">
      <c r="A11051">
        <f>HYPERLINK("https://www.philgeps.gov.ph/GEPSNONPILOT/Tender/SplashBidNoticeAbstractUI.aspx?menuIndex=3&amp;refID=7012980&amp;Result=3","7012980")</f>
        <v>0</v>
      </c>
      <c r="B11051" t="s">
        <v>1282</v>
      </c>
      <c r="C11051" t="s">
        <v>13643</v>
      </c>
      <c r="D11051" t="s">
        <v>16214</v>
      </c>
      <c r="E11051" t="s">
        <v>25863</v>
      </c>
      <c r="F11051" t="s">
        <v>28198</v>
      </c>
      <c r="G11051" t="s">
        <v>28205</v>
      </c>
      <c r="H11051" t="s">
        <v>28214</v>
      </c>
      <c r="I11051" t="s">
        <v>3797</v>
      </c>
      <c r="J11051" t="s">
        <v>29595</v>
      </c>
      <c r="K11051" t="s">
        <v>36737</v>
      </c>
      <c r="M11051" t="s">
        <v>38334</v>
      </c>
      <c r="N11051" t="s">
        <v>40436</v>
      </c>
      <c r="O11051" t="s">
        <v>40437</v>
      </c>
      <c r="P11051">
        <v>0</v>
      </c>
      <c r="Q11051">
        <v>1</v>
      </c>
      <c r="R11051" t="s">
        <v>40452</v>
      </c>
      <c r="S11051" t="s">
        <v>41140</v>
      </c>
      <c r="T11051" t="s">
        <v>42133</v>
      </c>
      <c r="U11051" t="s">
        <v>45679</v>
      </c>
      <c r="V11051" t="s">
        <v>55030</v>
      </c>
      <c r="W11051" t="s">
        <v>38334</v>
      </c>
      <c r="X11051" t="s">
        <v>40459</v>
      </c>
    </row>
    <row r="11052" spans="1:24">
      <c r="A11052">
        <f>HYPERLINK("https://www.philgeps.gov.ph/GEPSNONPILOT/Tender/SplashBidNoticeAbstractUI.aspx?menuIndex=3&amp;refID=7027047&amp;Result=3","7027047")</f>
        <v>0</v>
      </c>
      <c r="B11052" t="s">
        <v>2855</v>
      </c>
      <c r="C11052" t="s">
        <v>13644</v>
      </c>
      <c r="D11052" t="s">
        <v>16236</v>
      </c>
      <c r="E11052" t="s">
        <v>17634</v>
      </c>
      <c r="F11052" t="s">
        <v>28198</v>
      </c>
      <c r="G11052" t="s">
        <v>28205</v>
      </c>
      <c r="H11052" t="s">
        <v>28215</v>
      </c>
      <c r="I11052" t="s">
        <v>28234</v>
      </c>
      <c r="J11052" t="s">
        <v>35166</v>
      </c>
      <c r="K11052" t="s">
        <v>36707</v>
      </c>
      <c r="M11052" t="s">
        <v>40117</v>
      </c>
      <c r="N11052" t="s">
        <v>40436</v>
      </c>
      <c r="O11052" t="s">
        <v>40437</v>
      </c>
      <c r="P11052">
        <v>0</v>
      </c>
      <c r="Q11052">
        <v>3</v>
      </c>
      <c r="R11052" t="s">
        <v>40451</v>
      </c>
      <c r="S11052" t="s">
        <v>41005</v>
      </c>
      <c r="T11052" t="s">
        <v>42144</v>
      </c>
      <c r="U11052" t="s">
        <v>51762</v>
      </c>
      <c r="V11052" t="s">
        <v>55031</v>
      </c>
      <c r="W11052" t="s">
        <v>40117</v>
      </c>
      <c r="X11052" t="s">
        <v>40452</v>
      </c>
    </row>
    <row r="11053" spans="1:24">
      <c r="A11053">
        <f>HYPERLINK("https://www.philgeps.gov.ph/GEPSNONPILOT/Tender/SplashBidNoticeAbstractUI.aspx?menuIndex=3&amp;refID=7013235&amp;Result=3","7013235")</f>
        <v>0</v>
      </c>
      <c r="B11053" t="s">
        <v>1282</v>
      </c>
      <c r="C11053" t="s">
        <v>13645</v>
      </c>
      <c r="D11053" t="s">
        <v>16214</v>
      </c>
      <c r="E11053" t="s">
        <v>25864</v>
      </c>
      <c r="F11053" t="s">
        <v>28198</v>
      </c>
      <c r="G11053" t="s">
        <v>28205</v>
      </c>
      <c r="H11053" t="s">
        <v>28214</v>
      </c>
      <c r="I11053" t="s">
        <v>3797</v>
      </c>
      <c r="J11053" t="s">
        <v>29595</v>
      </c>
      <c r="K11053" t="s">
        <v>36737</v>
      </c>
      <c r="M11053" t="s">
        <v>38334</v>
      </c>
      <c r="N11053" t="s">
        <v>40436</v>
      </c>
      <c r="O11053" t="s">
        <v>40437</v>
      </c>
      <c r="P11053">
        <v>0</v>
      </c>
      <c r="Q11053">
        <v>1</v>
      </c>
      <c r="R11053" t="s">
        <v>40452</v>
      </c>
      <c r="S11053" t="s">
        <v>41140</v>
      </c>
      <c r="T11053" t="s">
        <v>42133</v>
      </c>
      <c r="U11053" t="s">
        <v>45679</v>
      </c>
      <c r="V11053" t="s">
        <v>55032</v>
      </c>
      <c r="W11053" t="s">
        <v>38334</v>
      </c>
      <c r="X11053" t="s">
        <v>40459</v>
      </c>
    </row>
    <row r="11054" spans="1:24">
      <c r="A11054">
        <f>HYPERLINK("https://www.philgeps.gov.ph/GEPSNONPILOT/Tender/SplashBidNoticeAbstractUI.aspx?menuIndex=3&amp;refID=7012526&amp;Result=3","7012526")</f>
        <v>0</v>
      </c>
      <c r="B11054" t="s">
        <v>48</v>
      </c>
      <c r="C11054" t="s">
        <v>13646</v>
      </c>
      <c r="D11054" t="s">
        <v>16196</v>
      </c>
      <c r="E11054" t="s">
        <v>25865</v>
      </c>
      <c r="F11054" t="s">
        <v>28198</v>
      </c>
      <c r="G11054" t="s">
        <v>28205</v>
      </c>
      <c r="H11054" t="s">
        <v>28214</v>
      </c>
      <c r="I11054" t="s">
        <v>3797</v>
      </c>
      <c r="J11054" t="s">
        <v>35167</v>
      </c>
      <c r="K11054" t="s">
        <v>36944</v>
      </c>
      <c r="M11054" t="s">
        <v>39742</v>
      </c>
      <c r="N11054" t="s">
        <v>40436</v>
      </c>
      <c r="O11054" t="s">
        <v>40437</v>
      </c>
      <c r="Q11054">
        <v>17</v>
      </c>
      <c r="R11054" t="s">
        <v>40452</v>
      </c>
      <c r="S11054" t="s">
        <v>41141</v>
      </c>
      <c r="T11054" t="s">
        <v>42133</v>
      </c>
      <c r="U11054" t="s">
        <v>51763</v>
      </c>
      <c r="V11054" t="s">
        <v>46476</v>
      </c>
      <c r="W11054" t="s">
        <v>39742</v>
      </c>
      <c r="X11054" t="s">
        <v>40459</v>
      </c>
    </row>
    <row r="11055" spans="1:24">
      <c r="A11055">
        <f>HYPERLINK("https://www.philgeps.gov.ph/GEPSNONPILOT/Tender/SplashBidNoticeAbstractUI.aspx?menuIndex=3&amp;refID=7012436&amp;Result=3","7012436")</f>
        <v>0</v>
      </c>
      <c r="B11055" t="s">
        <v>48</v>
      </c>
      <c r="C11055" t="s">
        <v>13647</v>
      </c>
      <c r="D11055" t="s">
        <v>16196</v>
      </c>
      <c r="E11055" t="s">
        <v>25866</v>
      </c>
      <c r="F11055" t="s">
        <v>28198</v>
      </c>
      <c r="G11055" t="s">
        <v>28205</v>
      </c>
      <c r="H11055" t="s">
        <v>28214</v>
      </c>
      <c r="I11055" t="s">
        <v>3797</v>
      </c>
      <c r="J11055" t="s">
        <v>35168</v>
      </c>
      <c r="K11055" t="s">
        <v>36852</v>
      </c>
      <c r="M11055" t="s">
        <v>39742</v>
      </c>
      <c r="N11055" t="s">
        <v>40436</v>
      </c>
      <c r="O11055" t="s">
        <v>40437</v>
      </c>
      <c r="P11055">
        <v>0</v>
      </c>
      <c r="Q11055">
        <v>22</v>
      </c>
      <c r="R11055" t="s">
        <v>40452</v>
      </c>
      <c r="S11055" t="s">
        <v>41140</v>
      </c>
      <c r="T11055" t="s">
        <v>42133</v>
      </c>
      <c r="U11055" t="s">
        <v>51764</v>
      </c>
      <c r="V11055" t="s">
        <v>46476</v>
      </c>
      <c r="W11055" t="s">
        <v>39742</v>
      </c>
      <c r="X11055" t="s">
        <v>40459</v>
      </c>
    </row>
    <row r="11056" spans="1:24">
      <c r="A11056">
        <f>HYPERLINK("https://www.philgeps.gov.ph/GEPSNONPILOT/Tender/SplashBidNoticeAbstractUI.aspx?menuIndex=3&amp;refID=7012397&amp;Result=3","7012397")</f>
        <v>0</v>
      </c>
      <c r="B11056" t="s">
        <v>48</v>
      </c>
      <c r="C11056" t="s">
        <v>13648</v>
      </c>
      <c r="D11056" t="s">
        <v>16196</v>
      </c>
      <c r="E11056" t="s">
        <v>25867</v>
      </c>
      <c r="F11056" t="s">
        <v>28198</v>
      </c>
      <c r="G11056" t="s">
        <v>28205</v>
      </c>
      <c r="H11056" t="s">
        <v>28214</v>
      </c>
      <c r="I11056" t="s">
        <v>3797</v>
      </c>
      <c r="J11056" t="s">
        <v>35169</v>
      </c>
      <c r="K11056" t="s">
        <v>36945</v>
      </c>
      <c r="M11056" t="s">
        <v>39742</v>
      </c>
      <c r="N11056" t="s">
        <v>40436</v>
      </c>
      <c r="O11056" t="s">
        <v>40437</v>
      </c>
      <c r="P11056">
        <v>0</v>
      </c>
      <c r="Q11056">
        <v>23</v>
      </c>
      <c r="R11056" t="s">
        <v>40452</v>
      </c>
      <c r="S11056" t="s">
        <v>41140</v>
      </c>
      <c r="T11056" t="s">
        <v>42133</v>
      </c>
      <c r="U11056" t="s">
        <v>51765</v>
      </c>
      <c r="V11056" t="s">
        <v>46476</v>
      </c>
      <c r="W11056" t="s">
        <v>39742</v>
      </c>
      <c r="X11056" t="s">
        <v>40459</v>
      </c>
    </row>
    <row r="11057" spans="1:24">
      <c r="A11057">
        <f>HYPERLINK("https://www.philgeps.gov.ph/GEPSNONPILOT/Tender/SplashBidNoticeAbstractUI.aspx?menuIndex=3&amp;refID=7012811&amp;Result=3","7012811")</f>
        <v>0</v>
      </c>
      <c r="B11057" t="s">
        <v>1282</v>
      </c>
      <c r="C11057" t="s">
        <v>13649</v>
      </c>
      <c r="D11057" t="s">
        <v>16214</v>
      </c>
      <c r="E11057" t="s">
        <v>25868</v>
      </c>
      <c r="F11057" t="s">
        <v>28198</v>
      </c>
      <c r="G11057" t="s">
        <v>28205</v>
      </c>
      <c r="H11057" t="s">
        <v>28214</v>
      </c>
      <c r="I11057" t="s">
        <v>3797</v>
      </c>
      <c r="J11057" t="s">
        <v>29632</v>
      </c>
      <c r="K11057" t="s">
        <v>36737</v>
      </c>
      <c r="M11057" t="s">
        <v>38334</v>
      </c>
      <c r="N11057" t="s">
        <v>40436</v>
      </c>
      <c r="O11057" t="s">
        <v>40437</v>
      </c>
      <c r="P11057">
        <v>0</v>
      </c>
      <c r="Q11057">
        <v>1</v>
      </c>
      <c r="R11057" t="s">
        <v>40452</v>
      </c>
      <c r="S11057" t="s">
        <v>41140</v>
      </c>
      <c r="T11057" t="s">
        <v>42133</v>
      </c>
      <c r="U11057" t="s">
        <v>45679</v>
      </c>
      <c r="V11057" t="s">
        <v>55033</v>
      </c>
      <c r="W11057" t="s">
        <v>38334</v>
      </c>
      <c r="X11057" t="s">
        <v>40459</v>
      </c>
    </row>
    <row r="11058" spans="1:24">
      <c r="A11058">
        <f>HYPERLINK("https://www.philgeps.gov.ph/GEPSNONPILOT/Tender/SplashBidNoticeAbstractUI.aspx?menuIndex=3&amp;refID=7011563&amp;Result=3","7011563")</f>
        <v>0</v>
      </c>
      <c r="B11058" t="s">
        <v>48</v>
      </c>
      <c r="C11058" t="s">
        <v>13650</v>
      </c>
      <c r="D11058" t="s">
        <v>16246</v>
      </c>
      <c r="E11058" t="s">
        <v>25869</v>
      </c>
      <c r="F11058" t="s">
        <v>28198</v>
      </c>
      <c r="G11058" t="s">
        <v>28205</v>
      </c>
      <c r="H11058" t="s">
        <v>28214</v>
      </c>
      <c r="I11058" t="s">
        <v>3797</v>
      </c>
      <c r="J11058" t="s">
        <v>35170</v>
      </c>
      <c r="K11058" t="s">
        <v>36836</v>
      </c>
      <c r="M11058" t="s">
        <v>39742</v>
      </c>
      <c r="N11058" t="s">
        <v>40436</v>
      </c>
      <c r="O11058" t="s">
        <v>40437</v>
      </c>
      <c r="P11058">
        <v>0</v>
      </c>
      <c r="Q11058">
        <v>17</v>
      </c>
      <c r="R11058" t="s">
        <v>40452</v>
      </c>
      <c r="S11058" t="s">
        <v>41140</v>
      </c>
      <c r="T11058" t="s">
        <v>42133</v>
      </c>
      <c r="U11058" t="s">
        <v>51766</v>
      </c>
      <c r="V11058" t="s">
        <v>46476</v>
      </c>
      <c r="W11058" t="s">
        <v>39742</v>
      </c>
      <c r="X11058" t="s">
        <v>40460</v>
      </c>
    </row>
    <row r="11059" spans="1:24">
      <c r="A11059">
        <f>HYPERLINK("https://www.philgeps.gov.ph/GEPSNONPILOT/Tender/SplashBidNoticeAbstractUI.aspx?menuIndex=3&amp;refID=7012580&amp;Result=3","7012580")</f>
        <v>0</v>
      </c>
      <c r="B11059" t="s">
        <v>48</v>
      </c>
      <c r="C11059" t="s">
        <v>13651</v>
      </c>
      <c r="D11059" t="s">
        <v>16196</v>
      </c>
      <c r="E11059" t="s">
        <v>25870</v>
      </c>
      <c r="F11059" t="s">
        <v>28198</v>
      </c>
      <c r="G11059" t="s">
        <v>28205</v>
      </c>
      <c r="H11059" t="s">
        <v>28214</v>
      </c>
      <c r="I11059" t="s">
        <v>3797</v>
      </c>
      <c r="J11059" t="s">
        <v>35171</v>
      </c>
      <c r="K11059" t="s">
        <v>36944</v>
      </c>
      <c r="M11059" t="s">
        <v>39742</v>
      </c>
      <c r="N11059" t="s">
        <v>40436</v>
      </c>
      <c r="O11059" t="s">
        <v>40437</v>
      </c>
      <c r="Q11059">
        <v>15</v>
      </c>
      <c r="R11059" t="s">
        <v>40452</v>
      </c>
      <c r="S11059" t="s">
        <v>41142</v>
      </c>
      <c r="T11059" t="s">
        <v>42133</v>
      </c>
      <c r="U11059" t="s">
        <v>51767</v>
      </c>
      <c r="V11059" t="s">
        <v>46476</v>
      </c>
      <c r="W11059" t="s">
        <v>39742</v>
      </c>
      <c r="X11059" t="s">
        <v>40459</v>
      </c>
    </row>
    <row r="11060" spans="1:24">
      <c r="A11060">
        <f>HYPERLINK("https://www.philgeps.gov.ph/GEPSNONPILOT/Tender/SplashBidNoticeAbstractUI.aspx?menuIndex=3&amp;refID=7013078&amp;Result=3","7013078")</f>
        <v>0</v>
      </c>
      <c r="B11060" t="s">
        <v>1282</v>
      </c>
      <c r="C11060" t="s">
        <v>13652</v>
      </c>
      <c r="D11060" t="s">
        <v>16214</v>
      </c>
      <c r="E11060" t="s">
        <v>25871</v>
      </c>
      <c r="F11060" t="s">
        <v>28198</v>
      </c>
      <c r="G11060" t="s">
        <v>28205</v>
      </c>
      <c r="H11060" t="s">
        <v>28214</v>
      </c>
      <c r="I11060" t="s">
        <v>3797</v>
      </c>
      <c r="J11060" t="s">
        <v>29595</v>
      </c>
      <c r="K11060" t="s">
        <v>36737</v>
      </c>
      <c r="M11060" t="s">
        <v>38334</v>
      </c>
      <c r="N11060" t="s">
        <v>40436</v>
      </c>
      <c r="O11060" t="s">
        <v>40437</v>
      </c>
      <c r="P11060">
        <v>0</v>
      </c>
      <c r="Q11060">
        <v>0</v>
      </c>
      <c r="R11060" t="s">
        <v>40452</v>
      </c>
      <c r="S11060" t="s">
        <v>41140</v>
      </c>
      <c r="T11060" t="s">
        <v>42133</v>
      </c>
      <c r="U11060" t="s">
        <v>45679</v>
      </c>
      <c r="V11060" t="s">
        <v>55034</v>
      </c>
      <c r="W11060" t="s">
        <v>38334</v>
      </c>
      <c r="X11060" t="s">
        <v>40459</v>
      </c>
    </row>
    <row r="11061" spans="1:24">
      <c r="A11061">
        <f>HYPERLINK("https://www.philgeps.gov.ph/GEPSNONPILOT/Tender/SplashBidNoticeAbstractUI.aspx?menuIndex=3&amp;refID=6951409&amp;Result=3","6951409")</f>
        <v>0</v>
      </c>
      <c r="B11061" t="s">
        <v>2529</v>
      </c>
      <c r="C11061" t="s">
        <v>13653</v>
      </c>
      <c r="D11061" t="s">
        <v>16245</v>
      </c>
      <c r="E11061" t="s">
        <v>25872</v>
      </c>
      <c r="F11061" t="s">
        <v>28198</v>
      </c>
      <c r="G11061" t="s">
        <v>28205</v>
      </c>
      <c r="H11061" t="s">
        <v>28215</v>
      </c>
      <c r="I11061" t="s">
        <v>28224</v>
      </c>
      <c r="J11061" t="s">
        <v>35172</v>
      </c>
      <c r="K11061" t="s">
        <v>36701</v>
      </c>
      <c r="M11061" t="s">
        <v>39738</v>
      </c>
      <c r="N11061" t="s">
        <v>40436</v>
      </c>
      <c r="O11061" t="s">
        <v>40437</v>
      </c>
      <c r="P11061">
        <v>0</v>
      </c>
      <c r="Q11061">
        <v>1</v>
      </c>
      <c r="R11061" t="s">
        <v>40452</v>
      </c>
      <c r="S11061" t="s">
        <v>41140</v>
      </c>
      <c r="T11061" t="s">
        <v>42152</v>
      </c>
      <c r="U11061" t="s">
        <v>51768</v>
      </c>
      <c r="W11061" t="s">
        <v>39738</v>
      </c>
      <c r="X11061" t="s">
        <v>55553</v>
      </c>
    </row>
    <row r="11062" spans="1:24">
      <c r="A11062">
        <f>HYPERLINK("https://www.philgeps.gov.ph/GEPSNONPILOT/Tender/SplashBidNoticeAbstractUI.aspx?menuIndex=3&amp;refID=7012364&amp;Result=3","7012364")</f>
        <v>0</v>
      </c>
      <c r="B11062" t="s">
        <v>48</v>
      </c>
      <c r="C11062" t="s">
        <v>13654</v>
      </c>
      <c r="D11062" t="s">
        <v>16196</v>
      </c>
      <c r="E11062" t="s">
        <v>25873</v>
      </c>
      <c r="F11062" t="s">
        <v>28198</v>
      </c>
      <c r="G11062" t="s">
        <v>28205</v>
      </c>
      <c r="H11062" t="s">
        <v>28214</v>
      </c>
      <c r="I11062" t="s">
        <v>3797</v>
      </c>
      <c r="J11062" t="s">
        <v>35173</v>
      </c>
      <c r="K11062" t="s">
        <v>36717</v>
      </c>
      <c r="M11062" t="s">
        <v>39742</v>
      </c>
      <c r="N11062" t="s">
        <v>40436</v>
      </c>
      <c r="O11062" t="s">
        <v>40437</v>
      </c>
      <c r="Q11062">
        <v>16</v>
      </c>
      <c r="R11062" t="s">
        <v>40452</v>
      </c>
      <c r="S11062" t="s">
        <v>41143</v>
      </c>
      <c r="T11062" t="s">
        <v>42133</v>
      </c>
      <c r="U11062" t="s">
        <v>51769</v>
      </c>
      <c r="V11062" t="s">
        <v>46476</v>
      </c>
      <c r="W11062" t="s">
        <v>39742</v>
      </c>
      <c r="X11062" t="s">
        <v>40459</v>
      </c>
    </row>
    <row r="11063" spans="1:24">
      <c r="A11063">
        <f>HYPERLINK("https://www.philgeps.gov.ph/GEPSNONPILOT/Tender/SplashBidNoticeAbstractUI.aspx?menuIndex=3&amp;refID=6999329&amp;Result=3","6999329")</f>
        <v>0</v>
      </c>
      <c r="B11063" t="s">
        <v>2856</v>
      </c>
      <c r="C11063" t="s">
        <v>13655</v>
      </c>
      <c r="D11063" t="s">
        <v>16195</v>
      </c>
      <c r="E11063" t="s">
        <v>25874</v>
      </c>
      <c r="F11063" t="s">
        <v>28198</v>
      </c>
      <c r="G11063" t="s">
        <v>28205</v>
      </c>
      <c r="H11063" t="s">
        <v>28215</v>
      </c>
      <c r="I11063" t="s">
        <v>5082</v>
      </c>
      <c r="J11063" t="s">
        <v>35174</v>
      </c>
      <c r="K11063" t="s">
        <v>36707</v>
      </c>
      <c r="M11063" t="s">
        <v>40118</v>
      </c>
      <c r="N11063" t="s">
        <v>40436</v>
      </c>
      <c r="O11063" t="s">
        <v>40437</v>
      </c>
      <c r="P11063">
        <v>0</v>
      </c>
      <c r="Q11063">
        <v>4</v>
      </c>
      <c r="R11063" t="s">
        <v>40452</v>
      </c>
      <c r="S11063" t="s">
        <v>41140</v>
      </c>
      <c r="T11063" t="s">
        <v>42133</v>
      </c>
      <c r="U11063" t="s">
        <v>51770</v>
      </c>
      <c r="V11063" t="s">
        <v>55035</v>
      </c>
      <c r="W11063" t="s">
        <v>40118</v>
      </c>
      <c r="X11063" t="s">
        <v>40467</v>
      </c>
    </row>
    <row r="11064" spans="1:24">
      <c r="A11064">
        <f>HYPERLINK("https://www.philgeps.gov.ph/GEPSNONPILOT/Tender/SplashBidNoticeAbstractUI.aspx?menuIndex=3&amp;refID=7012313&amp;Result=3","7012313")</f>
        <v>0</v>
      </c>
      <c r="B11064" t="s">
        <v>48</v>
      </c>
      <c r="C11064" t="s">
        <v>13656</v>
      </c>
      <c r="D11064" t="s">
        <v>16196</v>
      </c>
      <c r="E11064" t="s">
        <v>25875</v>
      </c>
      <c r="F11064" t="s">
        <v>28198</v>
      </c>
      <c r="G11064" t="s">
        <v>28205</v>
      </c>
      <c r="H11064" t="s">
        <v>28214</v>
      </c>
      <c r="I11064" t="s">
        <v>3797</v>
      </c>
      <c r="J11064" t="s">
        <v>35175</v>
      </c>
      <c r="K11064" t="s">
        <v>36855</v>
      </c>
      <c r="M11064" t="s">
        <v>39742</v>
      </c>
      <c r="N11064" t="s">
        <v>40436</v>
      </c>
      <c r="O11064" t="s">
        <v>40437</v>
      </c>
      <c r="P11064">
        <v>0</v>
      </c>
      <c r="Q11064">
        <v>19</v>
      </c>
      <c r="R11064" t="s">
        <v>40452</v>
      </c>
      <c r="S11064" t="s">
        <v>41140</v>
      </c>
      <c r="T11064" t="s">
        <v>42133</v>
      </c>
      <c r="U11064" t="s">
        <v>51771</v>
      </c>
      <c r="V11064" t="s">
        <v>46476</v>
      </c>
      <c r="W11064" t="s">
        <v>39742</v>
      </c>
      <c r="X11064" t="s">
        <v>40459</v>
      </c>
    </row>
    <row r="11065" spans="1:24">
      <c r="A11065">
        <f>HYPERLINK("https://www.philgeps.gov.ph/GEPSNONPILOT/Tender/SplashBidNoticeAbstractUI.aspx?menuIndex=3&amp;refID=7013383&amp;Result=3","7013383")</f>
        <v>0</v>
      </c>
      <c r="B11065" t="s">
        <v>1282</v>
      </c>
      <c r="C11065" t="s">
        <v>13657</v>
      </c>
      <c r="D11065" t="s">
        <v>16214</v>
      </c>
      <c r="E11065" t="s">
        <v>25876</v>
      </c>
      <c r="F11065" t="s">
        <v>28198</v>
      </c>
      <c r="G11065" t="s">
        <v>28205</v>
      </c>
      <c r="H11065" t="s">
        <v>28214</v>
      </c>
      <c r="I11065" t="s">
        <v>3797</v>
      </c>
      <c r="J11065" t="s">
        <v>29595</v>
      </c>
      <c r="K11065" t="s">
        <v>36737</v>
      </c>
      <c r="M11065" t="s">
        <v>38334</v>
      </c>
      <c r="N11065" t="s">
        <v>40436</v>
      </c>
      <c r="O11065" t="s">
        <v>40437</v>
      </c>
      <c r="P11065">
        <v>0</v>
      </c>
      <c r="Q11065">
        <v>0</v>
      </c>
      <c r="R11065" t="s">
        <v>40452</v>
      </c>
      <c r="S11065" t="s">
        <v>41140</v>
      </c>
      <c r="T11065" t="s">
        <v>42133</v>
      </c>
      <c r="U11065" t="s">
        <v>45679</v>
      </c>
      <c r="V11065" t="s">
        <v>55036</v>
      </c>
      <c r="W11065" t="s">
        <v>38334</v>
      </c>
      <c r="X11065" t="s">
        <v>40459</v>
      </c>
    </row>
    <row r="11066" spans="1:24">
      <c r="A11066">
        <f>HYPERLINK("https://www.philgeps.gov.ph/GEPSNONPILOT/Tender/SplashBidNoticeAbstractUI.aspx?menuIndex=3&amp;refID=7016886&amp;Result=3","7016886")</f>
        <v>0</v>
      </c>
      <c r="B11066" t="s">
        <v>525</v>
      </c>
      <c r="C11066" t="s">
        <v>13658</v>
      </c>
      <c r="D11066" t="s">
        <v>16221</v>
      </c>
      <c r="E11066" t="s">
        <v>25877</v>
      </c>
      <c r="F11066" t="s">
        <v>28198</v>
      </c>
      <c r="G11066" t="s">
        <v>28205</v>
      </c>
      <c r="H11066" t="s">
        <v>28214</v>
      </c>
      <c r="I11066" t="s">
        <v>3797</v>
      </c>
      <c r="J11066" t="s">
        <v>28379</v>
      </c>
      <c r="K11066" t="s">
        <v>36747</v>
      </c>
      <c r="M11066" t="s">
        <v>37510</v>
      </c>
      <c r="N11066" t="s">
        <v>40436</v>
      </c>
      <c r="O11066" t="s">
        <v>40437</v>
      </c>
      <c r="P11066">
        <v>0</v>
      </c>
      <c r="Q11066">
        <v>0</v>
      </c>
      <c r="R11066" t="s">
        <v>40452</v>
      </c>
      <c r="S11066" t="s">
        <v>41140</v>
      </c>
      <c r="T11066" t="s">
        <v>42097</v>
      </c>
      <c r="U11066" t="s">
        <v>51772</v>
      </c>
      <c r="W11066" t="s">
        <v>37510</v>
      </c>
      <c r="X11066" t="s">
        <v>40457</v>
      </c>
    </row>
    <row r="11067" spans="1:24">
      <c r="A11067">
        <f>HYPERLINK("https://www.philgeps.gov.ph/GEPSNONPILOT/Tender/SplashBidNoticeAbstractUI.aspx?menuIndex=3&amp;refID=7016513&amp;Result=3","7016513")</f>
        <v>0</v>
      </c>
      <c r="B11067" t="s">
        <v>69</v>
      </c>
      <c r="C11067" t="s">
        <v>13659</v>
      </c>
      <c r="D11067" t="s">
        <v>16213</v>
      </c>
      <c r="E11067" t="s">
        <v>25878</v>
      </c>
      <c r="F11067" t="s">
        <v>28198</v>
      </c>
      <c r="G11067" t="s">
        <v>28205</v>
      </c>
      <c r="H11067" t="s">
        <v>28214</v>
      </c>
      <c r="I11067" t="s">
        <v>3797</v>
      </c>
      <c r="J11067" t="s">
        <v>28379</v>
      </c>
      <c r="K11067" t="s">
        <v>36697</v>
      </c>
      <c r="M11067" t="s">
        <v>37041</v>
      </c>
      <c r="N11067" t="s">
        <v>40436</v>
      </c>
      <c r="O11067" t="s">
        <v>40437</v>
      </c>
      <c r="P11067">
        <v>0</v>
      </c>
      <c r="Q11067">
        <v>1</v>
      </c>
      <c r="R11067" t="s">
        <v>40452</v>
      </c>
      <c r="S11067" t="s">
        <v>41140</v>
      </c>
      <c r="T11067" t="s">
        <v>42176</v>
      </c>
      <c r="U11067" t="s">
        <v>51773</v>
      </c>
      <c r="W11067" t="s">
        <v>55428</v>
      </c>
      <c r="X11067" t="s">
        <v>40458</v>
      </c>
    </row>
    <row r="11068" spans="1:24">
      <c r="A11068">
        <f>HYPERLINK("https://www.philgeps.gov.ph/GEPSNONPILOT/Tender/SplashBidNoticeAbstractUI.aspx?menuIndex=3&amp;refID=7013608&amp;Result=3","7013608")</f>
        <v>0</v>
      </c>
      <c r="B11068" t="s">
        <v>1282</v>
      </c>
      <c r="C11068" t="s">
        <v>13660</v>
      </c>
      <c r="D11068" t="s">
        <v>16214</v>
      </c>
      <c r="E11068" t="s">
        <v>25879</v>
      </c>
      <c r="F11068" t="s">
        <v>28198</v>
      </c>
      <c r="G11068" t="s">
        <v>28205</v>
      </c>
      <c r="H11068" t="s">
        <v>28214</v>
      </c>
      <c r="I11068" t="s">
        <v>3797</v>
      </c>
      <c r="J11068" t="s">
        <v>29526</v>
      </c>
      <c r="K11068" t="s">
        <v>36710</v>
      </c>
      <c r="M11068" t="s">
        <v>38334</v>
      </c>
      <c r="N11068" t="s">
        <v>40436</v>
      </c>
      <c r="O11068" t="s">
        <v>40437</v>
      </c>
      <c r="P11068">
        <v>0</v>
      </c>
      <c r="Q11068">
        <v>4</v>
      </c>
      <c r="R11068" t="s">
        <v>40452</v>
      </c>
      <c r="S11068" t="s">
        <v>41140</v>
      </c>
      <c r="T11068" t="s">
        <v>42133</v>
      </c>
      <c r="U11068" t="s">
        <v>45679</v>
      </c>
      <c r="V11068" t="s">
        <v>55037</v>
      </c>
      <c r="W11068" t="s">
        <v>38334</v>
      </c>
      <c r="X11068" t="s">
        <v>40459</v>
      </c>
    </row>
    <row r="11069" spans="1:24">
      <c r="A11069">
        <f>HYPERLINK("https://www.philgeps.gov.ph/GEPSNONPILOT/Tender/SplashBidNoticeAbstractUI.aspx?menuIndex=3&amp;refID=7017842&amp;Result=3","7017842")</f>
        <v>0</v>
      </c>
      <c r="B11069" t="s">
        <v>2484</v>
      </c>
      <c r="C11069" t="s">
        <v>13661</v>
      </c>
      <c r="D11069" t="s">
        <v>16209</v>
      </c>
      <c r="E11069" t="s">
        <v>25880</v>
      </c>
      <c r="F11069" t="s">
        <v>28198</v>
      </c>
      <c r="G11069" t="s">
        <v>28205</v>
      </c>
      <c r="H11069" t="s">
        <v>28215</v>
      </c>
      <c r="I11069" t="s">
        <v>28238</v>
      </c>
      <c r="J11069" t="s">
        <v>28884</v>
      </c>
      <c r="K11069" t="s">
        <v>36707</v>
      </c>
      <c r="M11069" t="s">
        <v>39683</v>
      </c>
      <c r="N11069" t="s">
        <v>40436</v>
      </c>
      <c r="O11069" t="s">
        <v>40437</v>
      </c>
      <c r="Q11069">
        <v>1</v>
      </c>
      <c r="R11069" t="s">
        <v>40452</v>
      </c>
      <c r="S11069" t="s">
        <v>41144</v>
      </c>
      <c r="T11069" t="s">
        <v>42228</v>
      </c>
      <c r="U11069" t="s">
        <v>51774</v>
      </c>
      <c r="V11069" t="s">
        <v>55038</v>
      </c>
      <c r="W11069" t="s">
        <v>39683</v>
      </c>
      <c r="X11069" t="s">
        <v>40457</v>
      </c>
    </row>
    <row r="11070" spans="1:24">
      <c r="A11070">
        <f>HYPERLINK("https://www.philgeps.gov.ph/GEPSNONPILOT/Tender/SplashBidNoticeAbstractUI.aspx?menuIndex=3&amp;refID=7016786&amp;Result=3","7016786")</f>
        <v>0</v>
      </c>
      <c r="B11070" t="s">
        <v>2857</v>
      </c>
      <c r="C11070" t="s">
        <v>13662</v>
      </c>
      <c r="D11070" t="s">
        <v>16226</v>
      </c>
      <c r="E11070" t="s">
        <v>25881</v>
      </c>
      <c r="F11070" t="s">
        <v>28198</v>
      </c>
      <c r="G11070" t="s">
        <v>28207</v>
      </c>
      <c r="H11070" t="s">
        <v>28215</v>
      </c>
      <c r="I11070" t="s">
        <v>28224</v>
      </c>
      <c r="J11070" t="s">
        <v>35176</v>
      </c>
      <c r="K11070" t="s">
        <v>36689</v>
      </c>
      <c r="M11070" t="s">
        <v>40119</v>
      </c>
      <c r="N11070" t="s">
        <v>40436</v>
      </c>
      <c r="O11070" t="s">
        <v>40437</v>
      </c>
      <c r="P11070">
        <v>0</v>
      </c>
      <c r="Q11070">
        <v>1</v>
      </c>
      <c r="R11070" t="s">
        <v>40452</v>
      </c>
      <c r="S11070" t="s">
        <v>41140</v>
      </c>
      <c r="T11070" t="s">
        <v>42296</v>
      </c>
      <c r="U11070" t="s">
        <v>51775</v>
      </c>
      <c r="W11070" t="s">
        <v>40119</v>
      </c>
      <c r="X11070" t="s">
        <v>40457</v>
      </c>
    </row>
    <row r="11071" spans="1:24">
      <c r="A11071">
        <f>HYPERLINK("https://www.philgeps.gov.ph/GEPSNONPILOT/Tender/SplashBidNoticeAbstractUI.aspx?menuIndex=3&amp;refID=7015714&amp;Result=3","7015714")</f>
        <v>0</v>
      </c>
      <c r="B11071" t="s">
        <v>1551</v>
      </c>
      <c r="C11071" t="s">
        <v>13663</v>
      </c>
      <c r="D11071" t="s">
        <v>16187</v>
      </c>
      <c r="E11071" t="s">
        <v>20065</v>
      </c>
      <c r="F11071" t="s">
        <v>28198</v>
      </c>
      <c r="G11071" t="s">
        <v>28206</v>
      </c>
      <c r="H11071" t="s">
        <v>28215</v>
      </c>
      <c r="I11071" t="s">
        <v>28258</v>
      </c>
      <c r="J11071" t="s">
        <v>28694</v>
      </c>
      <c r="K11071" t="s">
        <v>36706</v>
      </c>
      <c r="M11071" t="s">
        <v>38632</v>
      </c>
      <c r="N11071" t="s">
        <v>40436</v>
      </c>
      <c r="O11071" t="s">
        <v>40437</v>
      </c>
      <c r="P11071">
        <v>0</v>
      </c>
      <c r="Q11071">
        <v>5</v>
      </c>
      <c r="R11071" t="s">
        <v>40452</v>
      </c>
      <c r="S11071" t="s">
        <v>41140</v>
      </c>
      <c r="T11071" t="s">
        <v>42160</v>
      </c>
      <c r="U11071" t="s">
        <v>51776</v>
      </c>
      <c r="W11071" t="s">
        <v>38632</v>
      </c>
      <c r="X11071" t="s">
        <v>40458</v>
      </c>
    </row>
    <row r="11072" spans="1:24">
      <c r="A11072">
        <f>HYPERLINK("https://www.philgeps.gov.ph/GEPSNONPILOT/Tender/SplashBidNoticeAbstractUI.aspx?menuIndex=3&amp;refID=7017188&amp;Result=3","7017188")</f>
        <v>0</v>
      </c>
      <c r="B11072" t="s">
        <v>1071</v>
      </c>
      <c r="C11072" t="s">
        <v>13664</v>
      </c>
      <c r="D11072" t="s">
        <v>16223</v>
      </c>
      <c r="E11072" t="s">
        <v>25882</v>
      </c>
      <c r="F11072" t="s">
        <v>28198</v>
      </c>
      <c r="G11072" t="s">
        <v>28205</v>
      </c>
      <c r="H11072" t="s">
        <v>28216</v>
      </c>
      <c r="I11072" t="s">
        <v>28216</v>
      </c>
      <c r="J11072" t="s">
        <v>28752</v>
      </c>
      <c r="K11072" t="s">
        <v>36715</v>
      </c>
      <c r="M11072" t="s">
        <v>38105</v>
      </c>
      <c r="N11072" t="s">
        <v>40436</v>
      </c>
      <c r="O11072" t="s">
        <v>40437</v>
      </c>
      <c r="P11072">
        <v>0</v>
      </c>
      <c r="Q11072">
        <v>6</v>
      </c>
      <c r="R11072" t="s">
        <v>40452</v>
      </c>
      <c r="S11072" t="s">
        <v>41140</v>
      </c>
      <c r="T11072" t="s">
        <v>42114</v>
      </c>
      <c r="U11072" t="s">
        <v>51777</v>
      </c>
      <c r="W11072" t="s">
        <v>38105</v>
      </c>
      <c r="X11072" t="s">
        <v>40457</v>
      </c>
    </row>
    <row r="11073" spans="1:24">
      <c r="A11073">
        <f>HYPERLINK("https://www.philgeps.gov.ph/GEPSNONPILOT/Tender/SplashBidNoticeAbstractUI.aspx?menuIndex=3&amp;refID=7015886&amp;Result=3","7015886")</f>
        <v>0</v>
      </c>
      <c r="B11073" t="s">
        <v>2858</v>
      </c>
      <c r="C11073" t="s">
        <v>13665</v>
      </c>
      <c r="E11073" t="s">
        <v>25883</v>
      </c>
      <c r="F11073" t="s">
        <v>28198</v>
      </c>
      <c r="G11073" t="s">
        <v>28205</v>
      </c>
      <c r="H11073" t="s">
        <v>28215</v>
      </c>
      <c r="I11073" t="s">
        <v>3797</v>
      </c>
      <c r="J11073" t="s">
        <v>28363</v>
      </c>
      <c r="K11073" t="s">
        <v>36689</v>
      </c>
      <c r="M11073" t="s">
        <v>40120</v>
      </c>
      <c r="N11073" t="s">
        <v>40436</v>
      </c>
      <c r="O11073" t="s">
        <v>40437</v>
      </c>
      <c r="P11073">
        <v>0</v>
      </c>
      <c r="Q11073">
        <v>1</v>
      </c>
      <c r="R11073" t="s">
        <v>40452</v>
      </c>
      <c r="S11073" t="s">
        <v>41140</v>
      </c>
      <c r="T11073" t="s">
        <v>42142</v>
      </c>
      <c r="U11073" t="s">
        <v>51778</v>
      </c>
      <c r="W11073" t="s">
        <v>40120</v>
      </c>
      <c r="X11073" t="s">
        <v>40458</v>
      </c>
    </row>
    <row r="11074" spans="1:24">
      <c r="A11074">
        <f>HYPERLINK("https://www.philgeps.gov.ph/GEPSNONPILOT/Tender/SplashBidNoticeAbstractUI.aspx?menuIndex=3&amp;refID=7017801&amp;Result=3","7017801")</f>
        <v>0</v>
      </c>
      <c r="B11074" t="s">
        <v>2484</v>
      </c>
      <c r="C11074" t="s">
        <v>13666</v>
      </c>
      <c r="D11074" t="s">
        <v>16209</v>
      </c>
      <c r="E11074" t="s">
        <v>25884</v>
      </c>
      <c r="F11074" t="s">
        <v>28198</v>
      </c>
      <c r="G11074" t="s">
        <v>28205</v>
      </c>
      <c r="H11074" t="s">
        <v>28215</v>
      </c>
      <c r="I11074" t="s">
        <v>4200</v>
      </c>
      <c r="J11074" t="s">
        <v>31604</v>
      </c>
      <c r="K11074" t="s">
        <v>36707</v>
      </c>
      <c r="M11074" t="s">
        <v>39683</v>
      </c>
      <c r="N11074" t="s">
        <v>40436</v>
      </c>
      <c r="O11074" t="s">
        <v>40437</v>
      </c>
      <c r="Q11074">
        <v>2</v>
      </c>
      <c r="R11074" t="s">
        <v>40452</v>
      </c>
      <c r="S11074" t="s">
        <v>41145</v>
      </c>
      <c r="T11074" t="s">
        <v>42228</v>
      </c>
      <c r="U11074" t="s">
        <v>51779</v>
      </c>
      <c r="V11074" t="s">
        <v>55039</v>
      </c>
      <c r="W11074" t="s">
        <v>39683</v>
      </c>
      <c r="X11074" t="s">
        <v>40457</v>
      </c>
    </row>
    <row r="11075" spans="1:24">
      <c r="A11075">
        <f>HYPERLINK("https://www.philgeps.gov.ph/GEPSNONPILOT/Tender/SplashBidNoticeAbstractUI.aspx?menuIndex=3&amp;refID=7016584&amp;Result=3","7016584")</f>
        <v>0</v>
      </c>
      <c r="B11075" t="s">
        <v>2157</v>
      </c>
      <c r="C11075" t="s">
        <v>13667</v>
      </c>
      <c r="D11075" t="s">
        <v>16204</v>
      </c>
      <c r="E11075" t="s">
        <v>25885</v>
      </c>
      <c r="F11075" t="s">
        <v>28198</v>
      </c>
      <c r="G11075" t="s">
        <v>28205</v>
      </c>
      <c r="H11075" t="s">
        <v>28214</v>
      </c>
      <c r="I11075" t="s">
        <v>3797</v>
      </c>
      <c r="J11075" t="s">
        <v>35177</v>
      </c>
      <c r="K11075" t="s">
        <v>36694</v>
      </c>
      <c r="M11075" t="s">
        <v>39314</v>
      </c>
      <c r="N11075" t="s">
        <v>40436</v>
      </c>
      <c r="O11075" t="s">
        <v>40437</v>
      </c>
      <c r="Q11075">
        <v>16</v>
      </c>
      <c r="R11075" t="s">
        <v>40452</v>
      </c>
      <c r="S11075" t="s">
        <v>41146</v>
      </c>
      <c r="T11075" t="s">
        <v>42103</v>
      </c>
      <c r="U11075" t="s">
        <v>51780</v>
      </c>
      <c r="V11075" t="s">
        <v>55040</v>
      </c>
      <c r="W11075" t="s">
        <v>39314</v>
      </c>
      <c r="X11075" t="s">
        <v>40457</v>
      </c>
    </row>
    <row r="11076" spans="1:24">
      <c r="A11076">
        <f>HYPERLINK("https://www.philgeps.gov.ph/GEPSNONPILOT/Tender/SplashBidNoticeAbstractUI.aspx?menuIndex=3&amp;refID=7017649&amp;Result=3","7017649")</f>
        <v>0</v>
      </c>
      <c r="B11076" t="s">
        <v>2484</v>
      </c>
      <c r="C11076" t="s">
        <v>13668</v>
      </c>
      <c r="D11076" t="s">
        <v>16209</v>
      </c>
      <c r="E11076" t="s">
        <v>25886</v>
      </c>
      <c r="F11076" t="s">
        <v>28198</v>
      </c>
      <c r="G11076" t="s">
        <v>28205</v>
      </c>
      <c r="H11076" t="s">
        <v>28215</v>
      </c>
      <c r="I11076" t="s">
        <v>4200</v>
      </c>
      <c r="J11076" t="s">
        <v>35178</v>
      </c>
      <c r="K11076" t="s">
        <v>36707</v>
      </c>
      <c r="M11076" t="s">
        <v>39683</v>
      </c>
      <c r="N11076" t="s">
        <v>40436</v>
      </c>
      <c r="O11076" t="s">
        <v>40437</v>
      </c>
      <c r="Q11076">
        <v>5</v>
      </c>
      <c r="R11076" t="s">
        <v>40452</v>
      </c>
      <c r="S11076" t="s">
        <v>41147</v>
      </c>
      <c r="T11076" t="s">
        <v>42228</v>
      </c>
      <c r="U11076" t="s">
        <v>51781</v>
      </c>
      <c r="V11076" t="s">
        <v>55041</v>
      </c>
      <c r="W11076" t="s">
        <v>39683</v>
      </c>
      <c r="X11076" t="s">
        <v>40457</v>
      </c>
    </row>
    <row r="11077" spans="1:24">
      <c r="A11077">
        <f>HYPERLINK("https://www.philgeps.gov.ph/GEPSNONPILOT/Tender/SplashBidNoticeAbstractUI.aspx?menuIndex=3&amp;refID=7018819&amp;Result=3","7018819")</f>
        <v>0</v>
      </c>
      <c r="B11077" t="s">
        <v>64</v>
      </c>
      <c r="C11077" t="s">
        <v>13669</v>
      </c>
      <c r="D11077" t="s">
        <v>16201</v>
      </c>
      <c r="E11077" t="s">
        <v>25887</v>
      </c>
      <c r="F11077" t="s">
        <v>28198</v>
      </c>
      <c r="G11077" t="s">
        <v>28205</v>
      </c>
      <c r="H11077" t="s">
        <v>28214</v>
      </c>
      <c r="I11077" t="s">
        <v>3797</v>
      </c>
      <c r="J11077" t="s">
        <v>35179</v>
      </c>
      <c r="K11077" t="s">
        <v>36946</v>
      </c>
      <c r="M11077" t="s">
        <v>37035</v>
      </c>
      <c r="N11077" t="s">
        <v>40436</v>
      </c>
      <c r="O11077" t="s">
        <v>40437</v>
      </c>
      <c r="P11077">
        <v>0</v>
      </c>
      <c r="Q11077">
        <v>0</v>
      </c>
      <c r="R11077" t="s">
        <v>40452</v>
      </c>
      <c r="S11077" t="s">
        <v>41140</v>
      </c>
      <c r="T11077" t="s">
        <v>42119</v>
      </c>
      <c r="U11077" t="s">
        <v>51782</v>
      </c>
      <c r="V11077" t="s">
        <v>55042</v>
      </c>
      <c r="W11077" t="s">
        <v>37035</v>
      </c>
      <c r="X11077" t="s">
        <v>40456</v>
      </c>
    </row>
    <row r="11078" spans="1:24">
      <c r="A11078">
        <f>HYPERLINK("https://www.philgeps.gov.ph/GEPSNONPILOT/Tender/SplashBidNoticeAbstractUI.aspx?menuIndex=3&amp;refID=7016861&amp;Result=3","7016861")</f>
        <v>0</v>
      </c>
      <c r="B11078" t="s">
        <v>525</v>
      </c>
      <c r="C11078" t="s">
        <v>13670</v>
      </c>
      <c r="D11078" t="s">
        <v>16221</v>
      </c>
      <c r="E11078" t="s">
        <v>25888</v>
      </c>
      <c r="F11078" t="s">
        <v>28198</v>
      </c>
      <c r="G11078" t="s">
        <v>28205</v>
      </c>
      <c r="H11078" t="s">
        <v>28214</v>
      </c>
      <c r="I11078" t="s">
        <v>3797</v>
      </c>
      <c r="J11078" t="s">
        <v>28921</v>
      </c>
      <c r="K11078" t="s">
        <v>36717</v>
      </c>
      <c r="M11078" t="s">
        <v>37510</v>
      </c>
      <c r="N11078" t="s">
        <v>40436</v>
      </c>
      <c r="O11078" t="s">
        <v>40437</v>
      </c>
      <c r="P11078">
        <v>0</v>
      </c>
      <c r="Q11078">
        <v>1</v>
      </c>
      <c r="R11078" t="s">
        <v>40452</v>
      </c>
      <c r="S11078" t="s">
        <v>41140</v>
      </c>
      <c r="T11078" t="s">
        <v>42112</v>
      </c>
      <c r="U11078" t="s">
        <v>51783</v>
      </c>
      <c r="W11078" t="s">
        <v>37510</v>
      </c>
      <c r="X11078" t="s">
        <v>40457</v>
      </c>
    </row>
    <row r="11079" spans="1:24">
      <c r="A11079">
        <f>HYPERLINK("https://www.philgeps.gov.ph/GEPSNONPILOT/Tender/SplashBidNoticeAbstractUI.aspx?menuIndex=3&amp;refID=7018815&amp;Result=3","7018815")</f>
        <v>0</v>
      </c>
      <c r="B11079" t="s">
        <v>64</v>
      </c>
      <c r="C11079" t="s">
        <v>13671</v>
      </c>
      <c r="D11079" t="s">
        <v>16201</v>
      </c>
      <c r="E11079" t="s">
        <v>25889</v>
      </c>
      <c r="F11079" t="s">
        <v>28198</v>
      </c>
      <c r="G11079" t="s">
        <v>28205</v>
      </c>
      <c r="H11079" t="s">
        <v>28214</v>
      </c>
      <c r="I11079" t="s">
        <v>3797</v>
      </c>
      <c r="J11079" t="s">
        <v>29552</v>
      </c>
      <c r="K11079" t="s">
        <v>36710</v>
      </c>
      <c r="M11079" t="s">
        <v>37035</v>
      </c>
      <c r="N11079" t="s">
        <v>40436</v>
      </c>
      <c r="O11079" t="s">
        <v>40437</v>
      </c>
      <c r="P11079">
        <v>0</v>
      </c>
      <c r="Q11079">
        <v>0</v>
      </c>
      <c r="R11079" t="s">
        <v>40452</v>
      </c>
      <c r="S11079" t="s">
        <v>41140</v>
      </c>
      <c r="T11079" t="s">
        <v>42119</v>
      </c>
      <c r="U11079" t="s">
        <v>51784</v>
      </c>
      <c r="V11079" t="s">
        <v>55043</v>
      </c>
      <c r="W11079" t="s">
        <v>37035</v>
      </c>
      <c r="X11079" t="s">
        <v>40456</v>
      </c>
    </row>
    <row r="11080" spans="1:24">
      <c r="A11080">
        <f>HYPERLINK("https://www.philgeps.gov.ph/GEPSNONPILOT/Tender/SplashBidNoticeAbstractUI.aspx?menuIndex=3&amp;refID=7018021&amp;Result=3","7018021")</f>
        <v>0</v>
      </c>
      <c r="B11080" t="s">
        <v>2484</v>
      </c>
      <c r="C11080" t="s">
        <v>13672</v>
      </c>
      <c r="D11080" t="s">
        <v>16209</v>
      </c>
      <c r="E11080" t="s">
        <v>25890</v>
      </c>
      <c r="F11080" t="s">
        <v>28198</v>
      </c>
      <c r="G11080" t="s">
        <v>28205</v>
      </c>
      <c r="H11080" t="s">
        <v>28215</v>
      </c>
      <c r="I11080" t="s">
        <v>4200</v>
      </c>
      <c r="J11080" t="s">
        <v>28345</v>
      </c>
      <c r="K11080" t="s">
        <v>36707</v>
      </c>
      <c r="M11080" t="s">
        <v>39683</v>
      </c>
      <c r="N11080" t="s">
        <v>40436</v>
      </c>
      <c r="O11080" t="s">
        <v>40437</v>
      </c>
      <c r="Q11080">
        <v>3</v>
      </c>
      <c r="R11080" t="s">
        <v>40452</v>
      </c>
      <c r="S11080" t="s">
        <v>40886</v>
      </c>
      <c r="T11080" t="s">
        <v>42228</v>
      </c>
      <c r="U11080" t="s">
        <v>51785</v>
      </c>
      <c r="V11080" t="s">
        <v>55044</v>
      </c>
      <c r="W11080" t="s">
        <v>39683</v>
      </c>
      <c r="X11080" t="s">
        <v>40457</v>
      </c>
    </row>
    <row r="11081" spans="1:24">
      <c r="A11081">
        <f>HYPERLINK("https://www.philgeps.gov.ph/GEPSNONPILOT/Tender/SplashBidNoticeAbstractUI.aspx?menuIndex=3&amp;refID=7016591&amp;Result=3","7016591")</f>
        <v>0</v>
      </c>
      <c r="B11081" t="s">
        <v>2157</v>
      </c>
      <c r="C11081" t="s">
        <v>13673</v>
      </c>
      <c r="D11081" t="s">
        <v>16204</v>
      </c>
      <c r="E11081" t="s">
        <v>25891</v>
      </c>
      <c r="F11081" t="s">
        <v>28198</v>
      </c>
      <c r="G11081" t="s">
        <v>28205</v>
      </c>
      <c r="H11081" t="s">
        <v>28214</v>
      </c>
      <c r="I11081" t="s">
        <v>3797</v>
      </c>
      <c r="J11081" t="s">
        <v>35177</v>
      </c>
      <c r="K11081" t="s">
        <v>36694</v>
      </c>
      <c r="M11081" t="s">
        <v>39314</v>
      </c>
      <c r="N11081" t="s">
        <v>40436</v>
      </c>
      <c r="O11081" t="s">
        <v>40437</v>
      </c>
      <c r="Q11081">
        <v>16</v>
      </c>
      <c r="R11081" t="s">
        <v>40452</v>
      </c>
      <c r="S11081" t="s">
        <v>41148</v>
      </c>
      <c r="T11081" t="s">
        <v>42103</v>
      </c>
      <c r="U11081" t="s">
        <v>51786</v>
      </c>
      <c r="V11081" t="s">
        <v>55040</v>
      </c>
      <c r="W11081" t="s">
        <v>39314</v>
      </c>
      <c r="X11081" t="s">
        <v>40457</v>
      </c>
    </row>
    <row r="11082" spans="1:24">
      <c r="A11082">
        <f>HYPERLINK("https://www.philgeps.gov.ph/GEPSNONPILOT/Tender/SplashBidNoticeAbstractUI.aspx?menuIndex=3&amp;refID=7018321&amp;Result=3","7018321")</f>
        <v>0</v>
      </c>
      <c r="B11082" t="s">
        <v>1057</v>
      </c>
      <c r="C11082" t="s">
        <v>13674</v>
      </c>
      <c r="D11082" t="s">
        <v>16196</v>
      </c>
      <c r="E11082" t="s">
        <v>25892</v>
      </c>
      <c r="F11082" t="s">
        <v>28198</v>
      </c>
      <c r="G11082" t="s">
        <v>28205</v>
      </c>
      <c r="H11082" t="s">
        <v>28214</v>
      </c>
      <c r="I11082" t="s">
        <v>3797</v>
      </c>
      <c r="J11082" t="s">
        <v>35180</v>
      </c>
      <c r="K11082" t="s">
        <v>36717</v>
      </c>
      <c r="L11082" t="s">
        <v>1057</v>
      </c>
      <c r="M11082" t="s">
        <v>38090</v>
      </c>
      <c r="N11082" t="s">
        <v>40436</v>
      </c>
      <c r="O11082" t="s">
        <v>40437</v>
      </c>
      <c r="P11082">
        <v>0</v>
      </c>
      <c r="Q11082">
        <v>42</v>
      </c>
      <c r="R11082" t="s">
        <v>40452</v>
      </c>
      <c r="S11082" t="s">
        <v>41140</v>
      </c>
      <c r="T11082" t="s">
        <v>42103</v>
      </c>
      <c r="U11082" t="s">
        <v>51787</v>
      </c>
      <c r="V11082" t="s">
        <v>55045</v>
      </c>
      <c r="W11082" t="s">
        <v>38090</v>
      </c>
      <c r="X11082" t="s">
        <v>40457</v>
      </c>
    </row>
    <row r="11083" spans="1:24">
      <c r="A11083">
        <f>HYPERLINK("https://www.philgeps.gov.ph/GEPSNONPILOT/Tender/SplashBidNoticeAbstractUI.aspx?menuIndex=3&amp;refID=7017955&amp;Result=3","7017955")</f>
        <v>0</v>
      </c>
      <c r="B11083" t="s">
        <v>2484</v>
      </c>
      <c r="C11083" t="s">
        <v>13675</v>
      </c>
      <c r="D11083" t="s">
        <v>16209</v>
      </c>
      <c r="E11083" t="s">
        <v>25893</v>
      </c>
      <c r="F11083" t="s">
        <v>28198</v>
      </c>
      <c r="G11083" t="s">
        <v>28205</v>
      </c>
      <c r="H11083" t="s">
        <v>28215</v>
      </c>
      <c r="I11083" t="s">
        <v>28238</v>
      </c>
      <c r="J11083" t="s">
        <v>29172</v>
      </c>
      <c r="K11083" t="s">
        <v>36707</v>
      </c>
      <c r="M11083" t="s">
        <v>39683</v>
      </c>
      <c r="N11083" t="s">
        <v>40436</v>
      </c>
      <c r="O11083" t="s">
        <v>40437</v>
      </c>
      <c r="Q11083">
        <v>1</v>
      </c>
      <c r="R11083" t="s">
        <v>40452</v>
      </c>
      <c r="S11083" t="s">
        <v>41149</v>
      </c>
      <c r="T11083" t="s">
        <v>42228</v>
      </c>
      <c r="U11083" t="s">
        <v>51788</v>
      </c>
      <c r="V11083" t="s">
        <v>55046</v>
      </c>
      <c r="W11083" t="s">
        <v>39683</v>
      </c>
      <c r="X11083" t="s">
        <v>40457</v>
      </c>
    </row>
    <row r="11084" spans="1:24">
      <c r="A11084">
        <f>HYPERLINK("https://www.philgeps.gov.ph/GEPSNONPILOT/Tender/SplashBidNoticeAbstractUI.aspx?menuIndex=3&amp;refID=7018187&amp;Result=3","7018187")</f>
        <v>0</v>
      </c>
      <c r="B11084" t="s">
        <v>2859</v>
      </c>
      <c r="C11084" t="s">
        <v>13676</v>
      </c>
      <c r="D11084" t="s">
        <v>16190</v>
      </c>
      <c r="E11084" t="s">
        <v>25894</v>
      </c>
      <c r="F11084" t="s">
        <v>28198</v>
      </c>
      <c r="G11084" t="s">
        <v>28205</v>
      </c>
      <c r="H11084" t="s">
        <v>28215</v>
      </c>
      <c r="I11084" t="s">
        <v>3797</v>
      </c>
      <c r="J11084" t="s">
        <v>35181</v>
      </c>
      <c r="K11084" t="s">
        <v>36777</v>
      </c>
      <c r="M11084" t="s">
        <v>40121</v>
      </c>
      <c r="N11084" t="s">
        <v>40436</v>
      </c>
      <c r="O11084" t="s">
        <v>40437</v>
      </c>
      <c r="P11084">
        <v>0</v>
      </c>
      <c r="Q11084">
        <v>4</v>
      </c>
      <c r="R11084" t="s">
        <v>40452</v>
      </c>
      <c r="S11084" t="s">
        <v>41140</v>
      </c>
      <c r="T11084" t="s">
        <v>42119</v>
      </c>
      <c r="U11084" t="s">
        <v>51789</v>
      </c>
      <c r="V11084" t="s">
        <v>55047</v>
      </c>
      <c r="W11084" t="s">
        <v>40121</v>
      </c>
      <c r="X11084" t="s">
        <v>40457</v>
      </c>
    </row>
    <row r="11085" spans="1:24">
      <c r="A11085">
        <f>HYPERLINK("https://www.philgeps.gov.ph/GEPSNONPILOT/Tender/SplashBidNoticeAbstractUI.aspx?menuIndex=3&amp;refID=7018820&amp;Result=3","7018820")</f>
        <v>0</v>
      </c>
      <c r="B11085" t="s">
        <v>64</v>
      </c>
      <c r="C11085" t="s">
        <v>13677</v>
      </c>
      <c r="D11085" t="s">
        <v>16201</v>
      </c>
      <c r="E11085" t="s">
        <v>25895</v>
      </c>
      <c r="F11085" t="s">
        <v>28198</v>
      </c>
      <c r="G11085" t="s">
        <v>28205</v>
      </c>
      <c r="H11085" t="s">
        <v>28214</v>
      </c>
      <c r="I11085" t="s">
        <v>3797</v>
      </c>
      <c r="J11085" t="s">
        <v>32303</v>
      </c>
      <c r="K11085" t="s">
        <v>36694</v>
      </c>
      <c r="M11085" t="s">
        <v>37035</v>
      </c>
      <c r="N11085" t="s">
        <v>40436</v>
      </c>
      <c r="O11085" t="s">
        <v>40437</v>
      </c>
      <c r="P11085">
        <v>0</v>
      </c>
      <c r="Q11085">
        <v>0</v>
      </c>
      <c r="R11085" t="s">
        <v>40452</v>
      </c>
      <c r="S11085" t="s">
        <v>41140</v>
      </c>
      <c r="T11085" t="s">
        <v>42119</v>
      </c>
      <c r="U11085" t="s">
        <v>51782</v>
      </c>
      <c r="V11085" t="s">
        <v>55048</v>
      </c>
      <c r="W11085" t="s">
        <v>37035</v>
      </c>
      <c r="X11085" t="s">
        <v>40456</v>
      </c>
    </row>
    <row r="11086" spans="1:24">
      <c r="A11086">
        <f>HYPERLINK("https://www.philgeps.gov.ph/GEPSNONPILOT/Tender/SplashBidNoticeAbstractUI.aspx?menuIndex=3&amp;refID=7018821&amp;Result=3","7018821")</f>
        <v>0</v>
      </c>
      <c r="B11086" t="s">
        <v>64</v>
      </c>
      <c r="C11086" t="s">
        <v>13678</v>
      </c>
      <c r="D11086" t="s">
        <v>16201</v>
      </c>
      <c r="E11086" t="s">
        <v>25896</v>
      </c>
      <c r="F11086" t="s">
        <v>28198</v>
      </c>
      <c r="G11086" t="s">
        <v>28205</v>
      </c>
      <c r="H11086" t="s">
        <v>28214</v>
      </c>
      <c r="I11086" t="s">
        <v>3797</v>
      </c>
      <c r="J11086" t="s">
        <v>31508</v>
      </c>
      <c r="K11086" t="s">
        <v>36690</v>
      </c>
      <c r="M11086" t="s">
        <v>37035</v>
      </c>
      <c r="N11086" t="s">
        <v>40436</v>
      </c>
      <c r="O11086" t="s">
        <v>40437</v>
      </c>
      <c r="P11086">
        <v>0</v>
      </c>
      <c r="Q11086">
        <v>0</v>
      </c>
      <c r="R11086" t="s">
        <v>40452</v>
      </c>
      <c r="S11086" t="s">
        <v>41140</v>
      </c>
      <c r="T11086" t="s">
        <v>42119</v>
      </c>
      <c r="U11086" t="s">
        <v>51782</v>
      </c>
      <c r="V11086" t="s">
        <v>55049</v>
      </c>
      <c r="W11086" t="s">
        <v>37035</v>
      </c>
      <c r="X11086" t="s">
        <v>40456</v>
      </c>
    </row>
    <row r="11087" spans="1:24">
      <c r="A11087">
        <f>HYPERLINK("https://www.philgeps.gov.ph/GEPSNONPILOT/Tender/SplashBidNoticeAbstractUI.aspx?menuIndex=3&amp;refID=7019188&amp;Result=3","7019188")</f>
        <v>0</v>
      </c>
      <c r="B11087" t="s">
        <v>34</v>
      </c>
      <c r="C11087" t="s">
        <v>13679</v>
      </c>
      <c r="D11087" t="s">
        <v>16195</v>
      </c>
      <c r="E11087" t="s">
        <v>25897</v>
      </c>
      <c r="F11087" t="s">
        <v>28198</v>
      </c>
      <c r="G11087" t="s">
        <v>28205</v>
      </c>
      <c r="H11087" t="s">
        <v>28215</v>
      </c>
      <c r="I11087" t="s">
        <v>28243</v>
      </c>
      <c r="J11087" t="s">
        <v>29115</v>
      </c>
      <c r="K11087" t="s">
        <v>36688</v>
      </c>
      <c r="M11087" t="s">
        <v>37003</v>
      </c>
      <c r="N11087" t="s">
        <v>40436</v>
      </c>
      <c r="O11087" t="s">
        <v>40437</v>
      </c>
      <c r="Q11087">
        <v>0</v>
      </c>
      <c r="R11087" t="s">
        <v>40452</v>
      </c>
      <c r="S11087" t="s">
        <v>41150</v>
      </c>
      <c r="T11087" t="s">
        <v>42102</v>
      </c>
      <c r="U11087" t="s">
        <v>51790</v>
      </c>
      <c r="V11087" t="s">
        <v>53779</v>
      </c>
      <c r="W11087" t="s">
        <v>37003</v>
      </c>
      <c r="X11087" t="s">
        <v>40454</v>
      </c>
    </row>
    <row r="11088" spans="1:24">
      <c r="A11088">
        <f>HYPERLINK("https://www.philgeps.gov.ph/GEPSNONPILOT/Tender/SplashBidNoticeAbstractUI.aspx?menuIndex=3&amp;refID=7020230&amp;Result=3","7020230")</f>
        <v>0</v>
      </c>
      <c r="B11088" t="s">
        <v>1712</v>
      </c>
      <c r="C11088" t="s">
        <v>13680</v>
      </c>
      <c r="D11088" t="s">
        <v>16244</v>
      </c>
      <c r="E11088" t="s">
        <v>25898</v>
      </c>
      <c r="F11088" t="s">
        <v>28198</v>
      </c>
      <c r="G11088" t="s">
        <v>28205</v>
      </c>
      <c r="H11088" t="s">
        <v>28214</v>
      </c>
      <c r="I11088" t="s">
        <v>3797</v>
      </c>
      <c r="J11088" t="s">
        <v>29552</v>
      </c>
      <c r="K11088" t="s">
        <v>36697</v>
      </c>
      <c r="M11088" t="s">
        <v>38818</v>
      </c>
      <c r="N11088" t="s">
        <v>40436</v>
      </c>
      <c r="O11088" t="s">
        <v>40437</v>
      </c>
      <c r="P11088">
        <v>0</v>
      </c>
      <c r="Q11088">
        <v>1</v>
      </c>
      <c r="R11088" t="s">
        <v>40452</v>
      </c>
      <c r="S11088" t="s">
        <v>41140</v>
      </c>
      <c r="T11088" t="s">
        <v>42103</v>
      </c>
      <c r="U11088" t="s">
        <v>46839</v>
      </c>
      <c r="W11088" t="s">
        <v>38818</v>
      </c>
      <c r="X11088" t="s">
        <v>40454</v>
      </c>
    </row>
    <row r="11089" spans="1:24">
      <c r="A11089">
        <f>HYPERLINK("https://www.philgeps.gov.ph/GEPSNONPILOT/Tender/SplashBidNoticeAbstractUI.aspx?menuIndex=3&amp;refID=7020347&amp;Result=3","7020347")</f>
        <v>0</v>
      </c>
      <c r="B11089" t="s">
        <v>1906</v>
      </c>
      <c r="C11089" t="s">
        <v>13681</v>
      </c>
      <c r="D11089" t="s">
        <v>16199</v>
      </c>
      <c r="E11089" t="s">
        <v>25899</v>
      </c>
      <c r="F11089" t="s">
        <v>28198</v>
      </c>
      <c r="G11089" t="s">
        <v>28205</v>
      </c>
      <c r="H11089" t="s">
        <v>28215</v>
      </c>
      <c r="I11089" t="s">
        <v>3774</v>
      </c>
      <c r="J11089" t="s">
        <v>35182</v>
      </c>
      <c r="K11089" t="s">
        <v>36689</v>
      </c>
      <c r="M11089" t="s">
        <v>39038</v>
      </c>
      <c r="N11089" t="s">
        <v>40436</v>
      </c>
      <c r="O11089" t="s">
        <v>40437</v>
      </c>
      <c r="P11089">
        <v>0</v>
      </c>
      <c r="Q11089">
        <v>1</v>
      </c>
      <c r="R11089" t="s">
        <v>40452</v>
      </c>
      <c r="S11089" t="s">
        <v>41140</v>
      </c>
      <c r="T11089" t="s">
        <v>42112</v>
      </c>
      <c r="U11089" t="s">
        <v>51791</v>
      </c>
      <c r="W11089" t="s">
        <v>39038</v>
      </c>
      <c r="X11089" t="s">
        <v>40454</v>
      </c>
    </row>
    <row r="11090" spans="1:24">
      <c r="A11090">
        <f>HYPERLINK("https://www.philgeps.gov.ph/GEPSNONPILOT/Tender/SplashBidNoticeAbstractUI.aspx?menuIndex=3&amp;refID=7020363&amp;Result=3","7020363")</f>
        <v>0</v>
      </c>
      <c r="B11090" t="s">
        <v>1906</v>
      </c>
      <c r="C11090" t="s">
        <v>13682</v>
      </c>
      <c r="D11090" t="s">
        <v>16199</v>
      </c>
      <c r="E11090" t="s">
        <v>25900</v>
      </c>
      <c r="F11090" t="s">
        <v>28198</v>
      </c>
      <c r="G11090" t="s">
        <v>28205</v>
      </c>
      <c r="H11090" t="s">
        <v>28215</v>
      </c>
      <c r="I11090" t="s">
        <v>3774</v>
      </c>
      <c r="J11090" t="s">
        <v>33349</v>
      </c>
      <c r="K11090" t="s">
        <v>36689</v>
      </c>
      <c r="M11090" t="s">
        <v>39038</v>
      </c>
      <c r="N11090" t="s">
        <v>40436</v>
      </c>
      <c r="O11090" t="s">
        <v>40437</v>
      </c>
      <c r="P11090">
        <v>0</v>
      </c>
      <c r="Q11090">
        <v>2</v>
      </c>
      <c r="R11090" t="s">
        <v>40452</v>
      </c>
      <c r="S11090" t="s">
        <v>41140</v>
      </c>
      <c r="T11090" t="s">
        <v>42112</v>
      </c>
      <c r="U11090" t="s">
        <v>51792</v>
      </c>
      <c r="W11090" t="s">
        <v>39038</v>
      </c>
      <c r="X11090" t="s">
        <v>40454</v>
      </c>
    </row>
    <row r="11091" spans="1:24">
      <c r="A11091">
        <f>HYPERLINK("https://www.philgeps.gov.ph/GEPSNONPILOT/Tender/SplashBidNoticeAbstractUI.aspx?menuIndex=3&amp;refID=7020262&amp;Result=3","7020262")</f>
        <v>0</v>
      </c>
      <c r="B11091" t="s">
        <v>1712</v>
      </c>
      <c r="C11091" t="s">
        <v>13683</v>
      </c>
      <c r="D11091" t="s">
        <v>16244</v>
      </c>
      <c r="E11091" t="s">
        <v>25901</v>
      </c>
      <c r="F11091" t="s">
        <v>28198</v>
      </c>
      <c r="G11091" t="s">
        <v>28205</v>
      </c>
      <c r="H11091" t="s">
        <v>28214</v>
      </c>
      <c r="I11091" t="s">
        <v>3797</v>
      </c>
      <c r="J11091" t="s">
        <v>29566</v>
      </c>
      <c r="K11091" t="s">
        <v>36697</v>
      </c>
      <c r="M11091" t="s">
        <v>38818</v>
      </c>
      <c r="N11091" t="s">
        <v>40436</v>
      </c>
      <c r="O11091" t="s">
        <v>40437</v>
      </c>
      <c r="P11091">
        <v>0</v>
      </c>
      <c r="Q11091">
        <v>0</v>
      </c>
      <c r="R11091" t="s">
        <v>40452</v>
      </c>
      <c r="S11091" t="s">
        <v>41140</v>
      </c>
      <c r="T11091" t="s">
        <v>42103</v>
      </c>
      <c r="U11091" t="s">
        <v>46839</v>
      </c>
      <c r="W11091" t="s">
        <v>38818</v>
      </c>
      <c r="X11091" t="s">
        <v>40454</v>
      </c>
    </row>
    <row r="11092" spans="1:24">
      <c r="A11092">
        <f>HYPERLINK("https://www.philgeps.gov.ph/GEPSNONPILOT/Tender/SplashBidNoticeAbstractUI.aspx?menuIndex=3&amp;refID=7020321&amp;Result=3","7020321")</f>
        <v>0</v>
      </c>
      <c r="B11092" t="s">
        <v>1906</v>
      </c>
      <c r="C11092" t="s">
        <v>13384</v>
      </c>
      <c r="D11092" t="s">
        <v>16199</v>
      </c>
      <c r="E11092" t="s">
        <v>25902</v>
      </c>
      <c r="F11092" t="s">
        <v>28198</v>
      </c>
      <c r="G11092" t="s">
        <v>28205</v>
      </c>
      <c r="H11092" t="s">
        <v>28215</v>
      </c>
      <c r="I11092" t="s">
        <v>28225</v>
      </c>
      <c r="J11092" t="s">
        <v>35183</v>
      </c>
      <c r="K11092" t="s">
        <v>36689</v>
      </c>
      <c r="M11092" t="s">
        <v>39038</v>
      </c>
      <c r="N11092" t="s">
        <v>40436</v>
      </c>
      <c r="O11092" t="s">
        <v>40437</v>
      </c>
      <c r="P11092">
        <v>0</v>
      </c>
      <c r="Q11092">
        <v>14</v>
      </c>
      <c r="R11092" t="s">
        <v>40452</v>
      </c>
      <c r="S11092" t="s">
        <v>41140</v>
      </c>
      <c r="T11092" t="s">
        <v>42112</v>
      </c>
      <c r="U11092" t="s">
        <v>51793</v>
      </c>
      <c r="W11092" t="s">
        <v>39038</v>
      </c>
      <c r="X11092" t="s">
        <v>40454</v>
      </c>
    </row>
    <row r="11093" spans="1:24">
      <c r="A11093">
        <f>HYPERLINK("https://www.philgeps.gov.ph/GEPSNONPILOT/Tender/SplashBidNoticeAbstractUI.aspx?menuIndex=3&amp;refID=7020301&amp;Result=3","7020301")</f>
        <v>0</v>
      </c>
      <c r="B11093" t="s">
        <v>2860</v>
      </c>
      <c r="C11093" t="s">
        <v>13684</v>
      </c>
      <c r="D11093" t="s">
        <v>16195</v>
      </c>
      <c r="E11093" t="s">
        <v>18276</v>
      </c>
      <c r="F11093" t="s">
        <v>28198</v>
      </c>
      <c r="G11093" t="s">
        <v>28205</v>
      </c>
      <c r="H11093" t="s">
        <v>28215</v>
      </c>
      <c r="I11093" t="s">
        <v>5100</v>
      </c>
      <c r="J11093" t="s">
        <v>28769</v>
      </c>
      <c r="K11093" t="s">
        <v>36688</v>
      </c>
      <c r="M11093" t="s">
        <v>40122</v>
      </c>
      <c r="N11093" t="s">
        <v>40436</v>
      </c>
      <c r="O11093" t="s">
        <v>40437</v>
      </c>
      <c r="P11093">
        <v>0</v>
      </c>
      <c r="Q11093">
        <v>0</v>
      </c>
      <c r="R11093" t="s">
        <v>40452</v>
      </c>
      <c r="S11093" t="s">
        <v>41140</v>
      </c>
      <c r="T11093" t="s">
        <v>42238</v>
      </c>
      <c r="U11093" t="s">
        <v>51794</v>
      </c>
      <c r="W11093" t="s">
        <v>40122</v>
      </c>
      <c r="X11093" t="s">
        <v>40454</v>
      </c>
    </row>
    <row r="11094" spans="1:24">
      <c r="A11094">
        <f>HYPERLINK("https://www.philgeps.gov.ph/GEPSNONPILOT/Tender/SplashBidNoticeAbstractUI.aspx?menuIndex=3&amp;refID=7020284&amp;Result=3","7020284")</f>
        <v>0</v>
      </c>
      <c r="B11094" t="s">
        <v>100</v>
      </c>
      <c r="C11094" t="s">
        <v>13685</v>
      </c>
      <c r="D11094" t="s">
        <v>16228</v>
      </c>
      <c r="E11094" t="s">
        <v>25903</v>
      </c>
      <c r="F11094" t="s">
        <v>28198</v>
      </c>
      <c r="G11094" t="s">
        <v>28205</v>
      </c>
      <c r="H11094" t="s">
        <v>28215</v>
      </c>
      <c r="I11094" t="s">
        <v>28224</v>
      </c>
      <c r="J11094" t="s">
        <v>29291</v>
      </c>
      <c r="K11094" t="s">
        <v>36701</v>
      </c>
      <c r="M11094" t="s">
        <v>37073</v>
      </c>
      <c r="N11094" t="s">
        <v>40436</v>
      </c>
      <c r="O11094" t="s">
        <v>40437</v>
      </c>
      <c r="P11094">
        <v>0</v>
      </c>
      <c r="Q11094">
        <v>5</v>
      </c>
      <c r="R11094" t="s">
        <v>40452</v>
      </c>
      <c r="S11094" t="s">
        <v>41140</v>
      </c>
      <c r="T11094" t="s">
        <v>42134</v>
      </c>
      <c r="U11094" t="s">
        <v>42767</v>
      </c>
      <c r="V11094" t="s">
        <v>53798</v>
      </c>
      <c r="W11094" t="s">
        <v>37073</v>
      </c>
      <c r="X11094" t="s">
        <v>40454</v>
      </c>
    </row>
    <row r="11095" spans="1:24">
      <c r="A11095">
        <f>HYPERLINK("https://www.philgeps.gov.ph/GEPSNONPILOT/Tender/SplashBidNoticeAbstractUI.aspx?menuIndex=3&amp;refID=7020299&amp;Result=3","7020299")</f>
        <v>0</v>
      </c>
      <c r="B11095" t="s">
        <v>1906</v>
      </c>
      <c r="C11095" t="s">
        <v>4369</v>
      </c>
      <c r="D11095" t="s">
        <v>16199</v>
      </c>
      <c r="E11095" t="s">
        <v>25904</v>
      </c>
      <c r="F11095" t="s">
        <v>28198</v>
      </c>
      <c r="G11095" t="s">
        <v>28205</v>
      </c>
      <c r="H11095" t="s">
        <v>28215</v>
      </c>
      <c r="I11095" t="s">
        <v>8888</v>
      </c>
      <c r="J11095" t="s">
        <v>35184</v>
      </c>
      <c r="K11095" t="s">
        <v>36689</v>
      </c>
      <c r="M11095" t="s">
        <v>39038</v>
      </c>
      <c r="N11095" t="s">
        <v>40436</v>
      </c>
      <c r="O11095" t="s">
        <v>40437</v>
      </c>
      <c r="P11095">
        <v>0</v>
      </c>
      <c r="Q11095">
        <v>9</v>
      </c>
      <c r="R11095" t="s">
        <v>40452</v>
      </c>
      <c r="S11095" t="s">
        <v>41140</v>
      </c>
      <c r="T11095" t="s">
        <v>42112</v>
      </c>
      <c r="U11095" t="s">
        <v>51795</v>
      </c>
      <c r="W11095" t="s">
        <v>39038</v>
      </c>
      <c r="X11095" t="s">
        <v>40454</v>
      </c>
    </row>
    <row r="11096" spans="1:24">
      <c r="A11096">
        <f>HYPERLINK("https://www.philgeps.gov.ph/GEPSNONPILOT/Tender/SplashBidNoticeAbstractUI.aspx?menuIndex=3&amp;refID=7020450&amp;Result=3","7020450")</f>
        <v>0</v>
      </c>
      <c r="B11096" t="s">
        <v>1906</v>
      </c>
      <c r="C11096" t="s">
        <v>13686</v>
      </c>
      <c r="D11096" t="s">
        <v>16199</v>
      </c>
      <c r="E11096" t="s">
        <v>25905</v>
      </c>
      <c r="F11096" t="s">
        <v>28198</v>
      </c>
      <c r="G11096" t="s">
        <v>28205</v>
      </c>
      <c r="H11096" t="s">
        <v>28215</v>
      </c>
      <c r="I11096" t="s">
        <v>28280</v>
      </c>
      <c r="J11096" t="s">
        <v>35185</v>
      </c>
      <c r="K11096" t="s">
        <v>36689</v>
      </c>
      <c r="M11096" t="s">
        <v>39038</v>
      </c>
      <c r="N11096" t="s">
        <v>40436</v>
      </c>
      <c r="O11096" t="s">
        <v>40437</v>
      </c>
      <c r="P11096">
        <v>0</v>
      </c>
      <c r="Q11096">
        <v>9</v>
      </c>
      <c r="R11096" t="s">
        <v>40452</v>
      </c>
      <c r="S11096" t="s">
        <v>41140</v>
      </c>
      <c r="T11096" t="s">
        <v>42112</v>
      </c>
      <c r="U11096" t="s">
        <v>51796</v>
      </c>
      <c r="W11096" t="s">
        <v>39038</v>
      </c>
      <c r="X11096" t="s">
        <v>40454</v>
      </c>
    </row>
    <row r="11097" spans="1:24">
      <c r="A11097">
        <f>HYPERLINK("https://www.philgeps.gov.ph/GEPSNONPILOT/Tender/SplashBidNoticeAbstractUI.aspx?menuIndex=3&amp;refID=7020428&amp;Result=3","7020428")</f>
        <v>0</v>
      </c>
      <c r="B11097" t="s">
        <v>1281</v>
      </c>
      <c r="C11097" t="s">
        <v>13687</v>
      </c>
      <c r="D11097" t="s">
        <v>16190</v>
      </c>
      <c r="E11097" t="s">
        <v>25906</v>
      </c>
      <c r="F11097" t="s">
        <v>28198</v>
      </c>
      <c r="G11097" t="s">
        <v>28205</v>
      </c>
      <c r="H11097" t="s">
        <v>28214</v>
      </c>
      <c r="I11097" t="s">
        <v>3797</v>
      </c>
      <c r="J11097" t="s">
        <v>35186</v>
      </c>
      <c r="K11097" t="s">
        <v>36692</v>
      </c>
      <c r="M11097" t="s">
        <v>38333</v>
      </c>
      <c r="N11097" t="s">
        <v>40436</v>
      </c>
      <c r="O11097" t="s">
        <v>40437</v>
      </c>
      <c r="P11097">
        <v>0</v>
      </c>
      <c r="Q11097">
        <v>2</v>
      </c>
      <c r="R11097" t="s">
        <v>40452</v>
      </c>
      <c r="S11097" t="s">
        <v>41140</v>
      </c>
      <c r="T11097" t="s">
        <v>42175</v>
      </c>
      <c r="U11097" t="s">
        <v>51797</v>
      </c>
      <c r="W11097" t="s">
        <v>38333</v>
      </c>
      <c r="X11097" t="s">
        <v>40454</v>
      </c>
    </row>
    <row r="11098" spans="1:24">
      <c r="A11098">
        <f>HYPERLINK("https://www.philgeps.gov.ph/GEPSNONPILOT/Tender/SplashBidNoticeAbstractUI.aspx?menuIndex=3&amp;refID=7019194&amp;Result=3","7019194")</f>
        <v>0</v>
      </c>
      <c r="B11098" t="s">
        <v>34</v>
      </c>
      <c r="C11098" t="s">
        <v>13688</v>
      </c>
      <c r="D11098" t="s">
        <v>16195</v>
      </c>
      <c r="E11098" t="s">
        <v>25907</v>
      </c>
      <c r="F11098" t="s">
        <v>28198</v>
      </c>
      <c r="G11098" t="s">
        <v>28205</v>
      </c>
      <c r="H11098" t="s">
        <v>28215</v>
      </c>
      <c r="I11098" t="s">
        <v>28243</v>
      </c>
      <c r="J11098" t="s">
        <v>32139</v>
      </c>
      <c r="K11098" t="s">
        <v>36688</v>
      </c>
      <c r="M11098" t="s">
        <v>37003</v>
      </c>
      <c r="N11098" t="s">
        <v>40436</v>
      </c>
      <c r="O11098" t="s">
        <v>40437</v>
      </c>
      <c r="Q11098">
        <v>0</v>
      </c>
      <c r="R11098" t="s">
        <v>40452</v>
      </c>
      <c r="S11098" t="s">
        <v>41151</v>
      </c>
      <c r="T11098" t="s">
        <v>42102</v>
      </c>
      <c r="U11098" t="s">
        <v>51798</v>
      </c>
      <c r="V11098" t="s">
        <v>53779</v>
      </c>
      <c r="W11098" t="s">
        <v>37003</v>
      </c>
      <c r="X11098" t="s">
        <v>40454</v>
      </c>
    </row>
    <row r="11099" spans="1:24">
      <c r="A11099">
        <f>HYPERLINK("https://www.philgeps.gov.ph/GEPSNONPILOT/Tender/SplashBidNoticeAbstractUI.aspx?menuIndex=3&amp;refID=7020392&amp;Result=3","7020392")</f>
        <v>0</v>
      </c>
      <c r="B11099" t="s">
        <v>76</v>
      </c>
      <c r="C11099" t="s">
        <v>13689</v>
      </c>
      <c r="D11099" t="s">
        <v>16197</v>
      </c>
      <c r="E11099" t="s">
        <v>25908</v>
      </c>
      <c r="F11099" t="s">
        <v>28198</v>
      </c>
      <c r="G11099" t="s">
        <v>28205</v>
      </c>
      <c r="H11099" t="s">
        <v>28215</v>
      </c>
      <c r="I11099" t="s">
        <v>4168</v>
      </c>
      <c r="J11099" t="s">
        <v>35187</v>
      </c>
      <c r="K11099" t="s">
        <v>36706</v>
      </c>
      <c r="M11099" t="s">
        <v>37048</v>
      </c>
      <c r="N11099" t="s">
        <v>40436</v>
      </c>
      <c r="O11099" t="s">
        <v>40437</v>
      </c>
      <c r="P11099">
        <v>0</v>
      </c>
      <c r="Q11099">
        <v>7</v>
      </c>
      <c r="R11099" t="s">
        <v>40452</v>
      </c>
      <c r="S11099" t="s">
        <v>41140</v>
      </c>
      <c r="T11099" t="s">
        <v>42132</v>
      </c>
      <c r="U11099" t="s">
        <v>51799</v>
      </c>
      <c r="V11099" t="s">
        <v>53790</v>
      </c>
      <c r="W11099" t="s">
        <v>37048</v>
      </c>
      <c r="X11099" t="s">
        <v>40454</v>
      </c>
    </row>
    <row r="11100" spans="1:24">
      <c r="A11100">
        <f>HYPERLINK("https://www.philgeps.gov.ph/GEPSNONPILOT/Tender/SplashBidNoticeAbstractUI.aspx?menuIndex=3&amp;refID=7020628&amp;Result=3","7020628")</f>
        <v>0</v>
      </c>
      <c r="B11100" t="s">
        <v>2861</v>
      </c>
      <c r="C11100" t="s">
        <v>13690</v>
      </c>
      <c r="D11100" t="s">
        <v>16198</v>
      </c>
      <c r="E11100" t="s">
        <v>25909</v>
      </c>
      <c r="F11100" t="s">
        <v>28198</v>
      </c>
      <c r="G11100" t="s">
        <v>28205</v>
      </c>
      <c r="H11100" t="s">
        <v>28214</v>
      </c>
      <c r="I11100" t="s">
        <v>3797</v>
      </c>
      <c r="J11100" t="s">
        <v>35188</v>
      </c>
      <c r="K11100" t="s">
        <v>36715</v>
      </c>
      <c r="M11100" t="s">
        <v>40123</v>
      </c>
      <c r="N11100" t="s">
        <v>40436</v>
      </c>
      <c r="O11100" t="s">
        <v>40437</v>
      </c>
      <c r="Q11100">
        <v>0</v>
      </c>
      <c r="R11100" t="s">
        <v>40452</v>
      </c>
      <c r="S11100" t="s">
        <v>41152</v>
      </c>
      <c r="T11100" t="s">
        <v>42180</v>
      </c>
      <c r="U11100" t="s">
        <v>51800</v>
      </c>
      <c r="W11100" t="s">
        <v>40123</v>
      </c>
      <c r="X11100" t="s">
        <v>40454</v>
      </c>
    </row>
    <row r="11101" spans="1:24">
      <c r="A11101">
        <f>HYPERLINK("https://www.philgeps.gov.ph/GEPSNONPILOT/Tender/SplashBidNoticeAbstractUI.aspx?menuIndex=3&amp;refID=7020489&amp;Result=3","7020489")</f>
        <v>0</v>
      </c>
      <c r="B11101" t="s">
        <v>1906</v>
      </c>
      <c r="C11101" t="s">
        <v>13691</v>
      </c>
      <c r="D11101" t="s">
        <v>16199</v>
      </c>
      <c r="E11101" t="s">
        <v>25910</v>
      </c>
      <c r="F11101" t="s">
        <v>28198</v>
      </c>
      <c r="G11101" t="s">
        <v>28205</v>
      </c>
      <c r="H11101" t="s">
        <v>28214</v>
      </c>
      <c r="I11101" t="s">
        <v>3797</v>
      </c>
      <c r="J11101" t="s">
        <v>35189</v>
      </c>
      <c r="K11101" t="s">
        <v>36689</v>
      </c>
      <c r="M11101" t="s">
        <v>39038</v>
      </c>
      <c r="N11101" t="s">
        <v>40436</v>
      </c>
      <c r="O11101" t="s">
        <v>40437</v>
      </c>
      <c r="P11101">
        <v>0</v>
      </c>
      <c r="Q11101">
        <v>2</v>
      </c>
      <c r="R11101" t="s">
        <v>40452</v>
      </c>
      <c r="S11101" t="s">
        <v>41140</v>
      </c>
      <c r="T11101" t="s">
        <v>42112</v>
      </c>
      <c r="U11101" t="s">
        <v>51801</v>
      </c>
      <c r="W11101" t="s">
        <v>39038</v>
      </c>
      <c r="X11101" t="s">
        <v>40454</v>
      </c>
    </row>
    <row r="11102" spans="1:24">
      <c r="A11102">
        <f>HYPERLINK("https://www.philgeps.gov.ph/GEPSNONPILOT/Tender/SplashBidNoticeAbstractUI.aspx?menuIndex=3&amp;refID=7020615&amp;Result=3","7020615")</f>
        <v>0</v>
      </c>
      <c r="B11102" t="s">
        <v>1906</v>
      </c>
      <c r="C11102" t="s">
        <v>13692</v>
      </c>
      <c r="D11102" t="s">
        <v>16199</v>
      </c>
      <c r="E11102" t="s">
        <v>25911</v>
      </c>
      <c r="F11102" t="s">
        <v>28198</v>
      </c>
      <c r="G11102" t="s">
        <v>28205</v>
      </c>
      <c r="H11102" t="s">
        <v>28214</v>
      </c>
      <c r="I11102" t="s">
        <v>3797</v>
      </c>
      <c r="J11102" t="s">
        <v>35190</v>
      </c>
      <c r="K11102" t="s">
        <v>36689</v>
      </c>
      <c r="M11102" t="s">
        <v>39038</v>
      </c>
      <c r="N11102" t="s">
        <v>40436</v>
      </c>
      <c r="O11102" t="s">
        <v>40437</v>
      </c>
      <c r="P11102">
        <v>0</v>
      </c>
      <c r="Q11102">
        <v>1</v>
      </c>
      <c r="R11102" t="s">
        <v>40452</v>
      </c>
      <c r="S11102" t="s">
        <v>41140</v>
      </c>
      <c r="T11102" t="s">
        <v>42112</v>
      </c>
      <c r="U11102" t="s">
        <v>51802</v>
      </c>
      <c r="W11102" t="s">
        <v>39038</v>
      </c>
      <c r="X11102" t="s">
        <v>40454</v>
      </c>
    </row>
    <row r="11103" spans="1:24">
      <c r="A11103">
        <f>HYPERLINK("https://www.philgeps.gov.ph/GEPSNONPILOT/Tender/SplashBidNoticeAbstractUI.aspx?menuIndex=3&amp;refID=7020562&amp;Result=3","7020562")</f>
        <v>0</v>
      </c>
      <c r="B11103" t="s">
        <v>2862</v>
      </c>
      <c r="C11103" t="s">
        <v>13693</v>
      </c>
      <c r="D11103" t="s">
        <v>16219</v>
      </c>
      <c r="E11103" t="s">
        <v>25912</v>
      </c>
      <c r="F11103" t="s">
        <v>28198</v>
      </c>
      <c r="G11103" t="s">
        <v>28205</v>
      </c>
      <c r="H11103" t="s">
        <v>28215</v>
      </c>
      <c r="I11103" t="s">
        <v>5100</v>
      </c>
      <c r="J11103" t="s">
        <v>35191</v>
      </c>
      <c r="K11103" t="s">
        <v>36701</v>
      </c>
      <c r="M11103" t="s">
        <v>40124</v>
      </c>
      <c r="N11103" t="s">
        <v>40436</v>
      </c>
      <c r="O11103" t="s">
        <v>40437</v>
      </c>
      <c r="P11103">
        <v>0</v>
      </c>
      <c r="Q11103">
        <v>3</v>
      </c>
      <c r="R11103" t="s">
        <v>40452</v>
      </c>
      <c r="S11103" t="s">
        <v>41140</v>
      </c>
      <c r="T11103" t="s">
        <v>42133</v>
      </c>
      <c r="U11103" t="s">
        <v>51803</v>
      </c>
      <c r="V11103" t="s">
        <v>55050</v>
      </c>
      <c r="W11103" t="s">
        <v>40124</v>
      </c>
      <c r="X11103" t="s">
        <v>40454</v>
      </c>
    </row>
    <row r="11104" spans="1:24">
      <c r="A11104">
        <f>HYPERLINK("https://www.philgeps.gov.ph/GEPSNONPILOT/Tender/SplashBidNoticeAbstractUI.aspx?menuIndex=3&amp;refID=7020585&amp;Result=3","7020585")</f>
        <v>0</v>
      </c>
      <c r="B11104" t="s">
        <v>1906</v>
      </c>
      <c r="C11104" t="s">
        <v>13694</v>
      </c>
      <c r="D11104" t="s">
        <v>16199</v>
      </c>
      <c r="E11104" t="s">
        <v>25913</v>
      </c>
      <c r="F11104" t="s">
        <v>28198</v>
      </c>
      <c r="G11104" t="s">
        <v>28205</v>
      </c>
      <c r="H11104" t="s">
        <v>28214</v>
      </c>
      <c r="I11104" t="s">
        <v>3797</v>
      </c>
      <c r="J11104" t="s">
        <v>35192</v>
      </c>
      <c r="K11104" t="s">
        <v>36689</v>
      </c>
      <c r="M11104" t="s">
        <v>39038</v>
      </c>
      <c r="N11104" t="s">
        <v>40436</v>
      </c>
      <c r="O11104" t="s">
        <v>40437</v>
      </c>
      <c r="P11104">
        <v>0</v>
      </c>
      <c r="Q11104">
        <v>1</v>
      </c>
      <c r="R11104" t="s">
        <v>40452</v>
      </c>
      <c r="S11104" t="s">
        <v>41140</v>
      </c>
      <c r="T11104" t="s">
        <v>42112</v>
      </c>
      <c r="U11104" t="s">
        <v>51804</v>
      </c>
      <c r="W11104" t="s">
        <v>39038</v>
      </c>
      <c r="X11104" t="s">
        <v>40454</v>
      </c>
    </row>
    <row r="11105" spans="1:24">
      <c r="A11105">
        <f>HYPERLINK("https://www.philgeps.gov.ph/GEPSNONPILOT/Tender/SplashBidNoticeAbstractUI.aspx?menuIndex=3&amp;refID=7020563&amp;Result=3","7020563")</f>
        <v>0</v>
      </c>
      <c r="B11105" t="s">
        <v>1906</v>
      </c>
      <c r="C11105" t="s">
        <v>13695</v>
      </c>
      <c r="D11105" t="s">
        <v>16199</v>
      </c>
      <c r="E11105" t="s">
        <v>25914</v>
      </c>
      <c r="F11105" t="s">
        <v>28198</v>
      </c>
      <c r="G11105" t="s">
        <v>28205</v>
      </c>
      <c r="H11105" t="s">
        <v>28214</v>
      </c>
      <c r="I11105" t="s">
        <v>3797</v>
      </c>
      <c r="J11105" t="s">
        <v>35193</v>
      </c>
      <c r="K11105" t="s">
        <v>36689</v>
      </c>
      <c r="M11105" t="s">
        <v>39038</v>
      </c>
      <c r="N11105" t="s">
        <v>40436</v>
      </c>
      <c r="O11105" t="s">
        <v>40437</v>
      </c>
      <c r="P11105">
        <v>0</v>
      </c>
      <c r="Q11105">
        <v>1</v>
      </c>
      <c r="R11105" t="s">
        <v>40452</v>
      </c>
      <c r="S11105" t="s">
        <v>41140</v>
      </c>
      <c r="T11105" t="s">
        <v>42112</v>
      </c>
      <c r="U11105" t="s">
        <v>51805</v>
      </c>
      <c r="W11105" t="s">
        <v>39038</v>
      </c>
      <c r="X11105" t="s">
        <v>40454</v>
      </c>
    </row>
    <row r="11106" spans="1:24">
      <c r="A11106">
        <f>HYPERLINK("https://www.philgeps.gov.ph/GEPSNONPILOT/Tender/SplashBidNoticeAbstractUI.aspx?menuIndex=3&amp;refID=7020655&amp;Result=3","7020655")</f>
        <v>0</v>
      </c>
      <c r="B11106" t="s">
        <v>1906</v>
      </c>
      <c r="C11106" t="s">
        <v>13696</v>
      </c>
      <c r="D11106" t="s">
        <v>16199</v>
      </c>
      <c r="E11106" t="s">
        <v>25915</v>
      </c>
      <c r="F11106" t="s">
        <v>28198</v>
      </c>
      <c r="G11106" t="s">
        <v>28205</v>
      </c>
      <c r="H11106" t="s">
        <v>28214</v>
      </c>
      <c r="I11106" t="s">
        <v>3797</v>
      </c>
      <c r="J11106" t="s">
        <v>35194</v>
      </c>
      <c r="K11106" t="s">
        <v>36689</v>
      </c>
      <c r="M11106" t="s">
        <v>39038</v>
      </c>
      <c r="N11106" t="s">
        <v>40436</v>
      </c>
      <c r="O11106" t="s">
        <v>40437</v>
      </c>
      <c r="P11106">
        <v>0</v>
      </c>
      <c r="Q11106">
        <v>1</v>
      </c>
      <c r="R11106" t="s">
        <v>40452</v>
      </c>
      <c r="S11106" t="s">
        <v>41140</v>
      </c>
      <c r="T11106" t="s">
        <v>42112</v>
      </c>
      <c r="U11106" t="s">
        <v>51806</v>
      </c>
      <c r="W11106" t="s">
        <v>39038</v>
      </c>
      <c r="X11106" t="s">
        <v>40454</v>
      </c>
    </row>
    <row r="11107" spans="1:24">
      <c r="A11107">
        <f>HYPERLINK("https://www.philgeps.gov.ph/GEPSNONPILOT/Tender/SplashBidNoticeAbstractUI.aspx?menuIndex=3&amp;refID=7020526&amp;Result=3","7020526")</f>
        <v>0</v>
      </c>
      <c r="B11107" t="s">
        <v>1906</v>
      </c>
      <c r="C11107" t="s">
        <v>13697</v>
      </c>
      <c r="D11107" t="s">
        <v>16199</v>
      </c>
      <c r="E11107" t="s">
        <v>25916</v>
      </c>
      <c r="F11107" t="s">
        <v>28198</v>
      </c>
      <c r="G11107" t="s">
        <v>28205</v>
      </c>
      <c r="H11107" t="s">
        <v>28214</v>
      </c>
      <c r="I11107" t="s">
        <v>3797</v>
      </c>
      <c r="J11107" t="s">
        <v>35195</v>
      </c>
      <c r="K11107" t="s">
        <v>36689</v>
      </c>
      <c r="M11107" t="s">
        <v>39038</v>
      </c>
      <c r="N11107" t="s">
        <v>40436</v>
      </c>
      <c r="O11107" t="s">
        <v>40437</v>
      </c>
      <c r="P11107">
        <v>0</v>
      </c>
      <c r="Q11107">
        <v>1</v>
      </c>
      <c r="R11107" t="s">
        <v>40452</v>
      </c>
      <c r="S11107" t="s">
        <v>41140</v>
      </c>
      <c r="T11107" t="s">
        <v>42112</v>
      </c>
      <c r="U11107" t="s">
        <v>51807</v>
      </c>
      <c r="W11107" t="s">
        <v>39038</v>
      </c>
      <c r="X11107" t="s">
        <v>40454</v>
      </c>
    </row>
    <row r="11108" spans="1:24">
      <c r="A11108">
        <f>HYPERLINK("https://www.philgeps.gov.ph/GEPSNONPILOT/Tender/SplashBidNoticeAbstractUI.aspx?menuIndex=3&amp;refID=7020919&amp;Result=3","7020919")</f>
        <v>0</v>
      </c>
      <c r="B11108" t="s">
        <v>1411</v>
      </c>
      <c r="C11108" t="s">
        <v>13698</v>
      </c>
      <c r="D11108" t="s">
        <v>16195</v>
      </c>
      <c r="E11108" t="s">
        <v>22040</v>
      </c>
      <c r="F11108" t="s">
        <v>28198</v>
      </c>
      <c r="G11108" t="s">
        <v>28205</v>
      </c>
      <c r="H11108" t="s">
        <v>28214</v>
      </c>
      <c r="I11108" t="s">
        <v>3797</v>
      </c>
      <c r="J11108" t="s">
        <v>35196</v>
      </c>
      <c r="K11108" t="s">
        <v>36716</v>
      </c>
      <c r="M11108" t="s">
        <v>38476</v>
      </c>
      <c r="N11108" t="s">
        <v>40436</v>
      </c>
      <c r="O11108" t="s">
        <v>40437</v>
      </c>
      <c r="P11108">
        <v>0</v>
      </c>
      <c r="Q11108">
        <v>3</v>
      </c>
      <c r="R11108" t="s">
        <v>40452</v>
      </c>
      <c r="S11108" t="s">
        <v>41140</v>
      </c>
      <c r="T11108" t="s">
        <v>42133</v>
      </c>
      <c r="U11108" t="s">
        <v>51808</v>
      </c>
      <c r="V11108" t="s">
        <v>55051</v>
      </c>
      <c r="W11108" t="s">
        <v>38476</v>
      </c>
      <c r="X11108" t="s">
        <v>40454</v>
      </c>
    </row>
    <row r="11109" spans="1:24">
      <c r="A11109">
        <f>HYPERLINK("https://www.philgeps.gov.ph/GEPSNONPILOT/Tender/SplashBidNoticeAbstractUI.aspx?menuIndex=3&amp;refID=7020917&amp;Result=3","7020917")</f>
        <v>0</v>
      </c>
      <c r="B11109" t="s">
        <v>1017</v>
      </c>
      <c r="C11109" t="s">
        <v>13699</v>
      </c>
      <c r="D11109" t="s">
        <v>16190</v>
      </c>
      <c r="E11109" t="s">
        <v>25917</v>
      </c>
      <c r="F11109" t="s">
        <v>28198</v>
      </c>
      <c r="G11109" t="s">
        <v>28205</v>
      </c>
      <c r="H11109" t="s">
        <v>28215</v>
      </c>
      <c r="I11109" t="s">
        <v>28222</v>
      </c>
      <c r="J11109" t="s">
        <v>35197</v>
      </c>
      <c r="K11109" t="s">
        <v>36701</v>
      </c>
      <c r="M11109" t="s">
        <v>39676</v>
      </c>
      <c r="N11109" t="s">
        <v>40436</v>
      </c>
      <c r="O11109" t="s">
        <v>40437</v>
      </c>
      <c r="P11109">
        <v>0</v>
      </c>
      <c r="Q11109">
        <v>7</v>
      </c>
      <c r="R11109" t="s">
        <v>40452</v>
      </c>
      <c r="S11109" t="s">
        <v>41140</v>
      </c>
      <c r="T11109" t="s">
        <v>42129</v>
      </c>
      <c r="U11109" t="s">
        <v>51809</v>
      </c>
      <c r="W11109" t="s">
        <v>39676</v>
      </c>
      <c r="X11109" t="s">
        <v>40454</v>
      </c>
    </row>
    <row r="11110" spans="1:24">
      <c r="A11110">
        <f>HYPERLINK("https://www.philgeps.gov.ph/GEPSNONPILOT/Tender/SplashBidNoticeAbstractUI.aspx?menuIndex=3&amp;refID=7020652&amp;Result=3","7020652")</f>
        <v>0</v>
      </c>
      <c r="B11110" t="s">
        <v>2861</v>
      </c>
      <c r="C11110" t="s">
        <v>13700</v>
      </c>
      <c r="D11110" t="s">
        <v>16198</v>
      </c>
      <c r="E11110" t="s">
        <v>25918</v>
      </c>
      <c r="F11110" t="s">
        <v>28198</v>
      </c>
      <c r="G11110" t="s">
        <v>28205</v>
      </c>
      <c r="H11110" t="s">
        <v>28214</v>
      </c>
      <c r="I11110" t="s">
        <v>3797</v>
      </c>
      <c r="J11110" t="s">
        <v>35188</v>
      </c>
      <c r="K11110" t="s">
        <v>36715</v>
      </c>
      <c r="M11110" t="s">
        <v>40123</v>
      </c>
      <c r="N11110" t="s">
        <v>40436</v>
      </c>
      <c r="O11110" t="s">
        <v>40437</v>
      </c>
      <c r="Q11110">
        <v>1</v>
      </c>
      <c r="R11110" t="s">
        <v>40452</v>
      </c>
      <c r="S11110" t="s">
        <v>41153</v>
      </c>
      <c r="T11110" t="s">
        <v>42180</v>
      </c>
      <c r="U11110" t="s">
        <v>51810</v>
      </c>
      <c r="W11110" t="s">
        <v>40123</v>
      </c>
      <c r="X11110" t="s">
        <v>40454</v>
      </c>
    </row>
    <row r="11111" spans="1:24">
      <c r="A11111">
        <f>HYPERLINK("https://www.philgeps.gov.ph/GEPSNONPILOT/Tender/SplashBidNoticeAbstractUI.aspx?menuIndex=3&amp;refID=7021001&amp;Result=3","7021001")</f>
        <v>0</v>
      </c>
      <c r="B11111" t="s">
        <v>1017</v>
      </c>
      <c r="C11111" t="s">
        <v>13701</v>
      </c>
      <c r="D11111" t="s">
        <v>16190</v>
      </c>
      <c r="E11111" t="s">
        <v>25919</v>
      </c>
      <c r="F11111" t="s">
        <v>28198</v>
      </c>
      <c r="G11111" t="s">
        <v>28205</v>
      </c>
      <c r="H11111" t="s">
        <v>28215</v>
      </c>
      <c r="I11111" t="s">
        <v>4200</v>
      </c>
      <c r="J11111" t="s">
        <v>35198</v>
      </c>
      <c r="K11111" t="s">
        <v>36701</v>
      </c>
      <c r="M11111" t="s">
        <v>39676</v>
      </c>
      <c r="N11111" t="s">
        <v>40436</v>
      </c>
      <c r="O11111" t="s">
        <v>40437</v>
      </c>
      <c r="P11111">
        <v>0</v>
      </c>
      <c r="Q11111">
        <v>3</v>
      </c>
      <c r="R11111" t="s">
        <v>40452</v>
      </c>
      <c r="S11111" t="s">
        <v>41140</v>
      </c>
      <c r="T11111" t="s">
        <v>42129</v>
      </c>
      <c r="U11111" t="s">
        <v>51811</v>
      </c>
      <c r="W11111" t="s">
        <v>39676</v>
      </c>
      <c r="X11111" t="s">
        <v>40454</v>
      </c>
    </row>
    <row r="11112" spans="1:24">
      <c r="A11112">
        <f>HYPERLINK("https://www.philgeps.gov.ph/GEPSNONPILOT/Tender/SplashBidNoticeAbstractUI.aspx?menuIndex=3&amp;refID=7021000&amp;Result=3","7021000")</f>
        <v>0</v>
      </c>
      <c r="B11112" t="s">
        <v>1707</v>
      </c>
      <c r="C11112" t="s">
        <v>4369</v>
      </c>
      <c r="D11112" t="s">
        <v>16234</v>
      </c>
      <c r="E11112" t="s">
        <v>25920</v>
      </c>
      <c r="F11112" t="s">
        <v>28198</v>
      </c>
      <c r="G11112" t="s">
        <v>28205</v>
      </c>
      <c r="H11112" t="s">
        <v>28215</v>
      </c>
      <c r="I11112" t="s">
        <v>8888</v>
      </c>
      <c r="J11112" t="s">
        <v>28363</v>
      </c>
      <c r="K11112" t="s">
        <v>36706</v>
      </c>
      <c r="L11112" t="s">
        <v>1707</v>
      </c>
      <c r="M11112" t="s">
        <v>38812</v>
      </c>
      <c r="N11112" t="s">
        <v>40436</v>
      </c>
      <c r="O11112" t="s">
        <v>40437</v>
      </c>
      <c r="Q11112">
        <v>6</v>
      </c>
      <c r="R11112" t="s">
        <v>40452</v>
      </c>
      <c r="S11112" t="s">
        <v>41154</v>
      </c>
      <c r="T11112" t="s">
        <v>42176</v>
      </c>
      <c r="U11112" t="s">
        <v>51812</v>
      </c>
      <c r="V11112" t="s">
        <v>55052</v>
      </c>
      <c r="W11112" t="s">
        <v>38812</v>
      </c>
      <c r="X11112" t="s">
        <v>40454</v>
      </c>
    </row>
    <row r="11113" spans="1:24">
      <c r="A11113">
        <f>HYPERLINK("https://www.philgeps.gov.ph/GEPSNONPILOT/Tender/SplashBidNoticeAbstractUI.aspx?menuIndex=3&amp;refID=7020752&amp;Result=3","7020752")</f>
        <v>0</v>
      </c>
      <c r="B11113" t="s">
        <v>916</v>
      </c>
      <c r="C11113" t="s">
        <v>13702</v>
      </c>
      <c r="E11113" t="s">
        <v>25921</v>
      </c>
      <c r="F11113" t="s">
        <v>28198</v>
      </c>
      <c r="G11113" t="s">
        <v>28205</v>
      </c>
      <c r="H11113" t="s">
        <v>28215</v>
      </c>
      <c r="I11113" t="s">
        <v>28238</v>
      </c>
      <c r="J11113" t="s">
        <v>31928</v>
      </c>
      <c r="K11113" t="s">
        <v>36694</v>
      </c>
      <c r="M11113" t="s">
        <v>37935</v>
      </c>
      <c r="N11113" t="s">
        <v>40436</v>
      </c>
      <c r="O11113" t="s">
        <v>40437</v>
      </c>
      <c r="P11113">
        <v>0</v>
      </c>
      <c r="Q11113">
        <v>29</v>
      </c>
      <c r="R11113" t="s">
        <v>40452</v>
      </c>
      <c r="S11113" t="s">
        <v>41140</v>
      </c>
      <c r="T11113" t="s">
        <v>42100</v>
      </c>
      <c r="U11113" t="s">
        <v>51813</v>
      </c>
      <c r="W11113" t="s">
        <v>37935</v>
      </c>
      <c r="X11113" t="s">
        <v>40454</v>
      </c>
    </row>
    <row r="11114" spans="1:24">
      <c r="A11114">
        <f>HYPERLINK("https://www.philgeps.gov.ph/GEPSNONPILOT/Tender/SplashBidNoticeAbstractUI.aspx?menuIndex=3&amp;refID=7020302&amp;Result=3","7020302")</f>
        <v>0</v>
      </c>
      <c r="B11114" t="s">
        <v>100</v>
      </c>
      <c r="C11114" t="s">
        <v>13703</v>
      </c>
      <c r="D11114" t="s">
        <v>16228</v>
      </c>
      <c r="E11114" t="s">
        <v>25922</v>
      </c>
      <c r="F11114" t="s">
        <v>28198</v>
      </c>
      <c r="G11114" t="s">
        <v>28205</v>
      </c>
      <c r="H11114" t="s">
        <v>28215</v>
      </c>
      <c r="I11114" t="s">
        <v>28243</v>
      </c>
      <c r="J11114" t="s">
        <v>28699</v>
      </c>
      <c r="K11114" t="s">
        <v>36701</v>
      </c>
      <c r="M11114" t="s">
        <v>37073</v>
      </c>
      <c r="N11114" t="s">
        <v>40436</v>
      </c>
      <c r="O11114" t="s">
        <v>40437</v>
      </c>
      <c r="P11114">
        <v>0</v>
      </c>
      <c r="Q11114">
        <v>3</v>
      </c>
      <c r="R11114" t="s">
        <v>40452</v>
      </c>
      <c r="S11114" t="s">
        <v>41140</v>
      </c>
      <c r="T11114" t="s">
        <v>42134</v>
      </c>
      <c r="U11114" t="s">
        <v>42767</v>
      </c>
      <c r="V11114" t="s">
        <v>53798</v>
      </c>
      <c r="W11114" t="s">
        <v>37073</v>
      </c>
      <c r="X11114" t="s">
        <v>40454</v>
      </c>
    </row>
    <row r="11115" spans="1:24">
      <c r="A11115">
        <f>HYPERLINK("https://www.philgeps.gov.ph/GEPSNONPILOT/Tender/SplashBidNoticeAbstractUI.aspx?menuIndex=3&amp;refID=7020807&amp;Result=3","7020807")</f>
        <v>0</v>
      </c>
      <c r="B11115" t="s">
        <v>2554</v>
      </c>
      <c r="C11115" t="s">
        <v>13704</v>
      </c>
      <c r="D11115" t="s">
        <v>16251</v>
      </c>
      <c r="E11115" t="s">
        <v>18086</v>
      </c>
      <c r="F11115" t="s">
        <v>28198</v>
      </c>
      <c r="G11115" t="s">
        <v>28205</v>
      </c>
      <c r="H11115" t="s">
        <v>28215</v>
      </c>
      <c r="I11115" t="s">
        <v>4168</v>
      </c>
      <c r="J11115" t="s">
        <v>35199</v>
      </c>
      <c r="K11115" t="s">
        <v>36715</v>
      </c>
      <c r="M11115" t="s">
        <v>39767</v>
      </c>
      <c r="N11115" t="s">
        <v>40436</v>
      </c>
      <c r="O11115" t="s">
        <v>40437</v>
      </c>
      <c r="P11115">
        <v>0</v>
      </c>
      <c r="Q11115">
        <v>12</v>
      </c>
      <c r="R11115" t="s">
        <v>40452</v>
      </c>
      <c r="S11115" t="s">
        <v>41140</v>
      </c>
      <c r="T11115" t="s">
        <v>42144</v>
      </c>
      <c r="U11115" t="s">
        <v>50082</v>
      </c>
      <c r="W11115" t="s">
        <v>39767</v>
      </c>
      <c r="X11115" t="s">
        <v>40454</v>
      </c>
    </row>
    <row r="11116" spans="1:24">
      <c r="A11116">
        <f>HYPERLINK("https://www.philgeps.gov.ph/GEPSNONPILOT/Tender/SplashBidNoticeAbstractUI.aspx?menuIndex=3&amp;refID=7020424&amp;Result=3","7020424")</f>
        <v>0</v>
      </c>
      <c r="B11116" t="s">
        <v>1906</v>
      </c>
      <c r="C11116" t="s">
        <v>13705</v>
      </c>
      <c r="D11116" t="s">
        <v>16199</v>
      </c>
      <c r="E11116" t="s">
        <v>25923</v>
      </c>
      <c r="F11116" t="s">
        <v>28198</v>
      </c>
      <c r="G11116" t="s">
        <v>28205</v>
      </c>
      <c r="H11116" t="s">
        <v>28215</v>
      </c>
      <c r="I11116" t="s">
        <v>3774</v>
      </c>
      <c r="J11116" t="s">
        <v>28837</v>
      </c>
      <c r="K11116" t="s">
        <v>36689</v>
      </c>
      <c r="M11116" t="s">
        <v>39038</v>
      </c>
      <c r="N11116" t="s">
        <v>40436</v>
      </c>
      <c r="O11116" t="s">
        <v>40437</v>
      </c>
      <c r="P11116">
        <v>0</v>
      </c>
      <c r="Q11116">
        <v>2</v>
      </c>
      <c r="R11116" t="s">
        <v>40452</v>
      </c>
      <c r="S11116" t="s">
        <v>41140</v>
      </c>
      <c r="T11116" t="s">
        <v>42112</v>
      </c>
      <c r="U11116" t="s">
        <v>51814</v>
      </c>
      <c r="W11116" t="s">
        <v>39038</v>
      </c>
      <c r="X11116" t="s">
        <v>40454</v>
      </c>
    </row>
    <row r="11117" spans="1:24">
      <c r="A11117">
        <f>HYPERLINK("https://www.philgeps.gov.ph/GEPSNONPILOT/Tender/SplashBidNoticeAbstractUI.aspx?menuIndex=3&amp;refID=7020936&amp;Result=3","7020936")</f>
        <v>0</v>
      </c>
      <c r="B11117" t="s">
        <v>2270</v>
      </c>
      <c r="C11117" t="s">
        <v>13706</v>
      </c>
      <c r="D11117" t="s">
        <v>16222</v>
      </c>
      <c r="E11117" t="s">
        <v>25924</v>
      </c>
      <c r="F11117" t="s">
        <v>28198</v>
      </c>
      <c r="G11117" t="s">
        <v>28209</v>
      </c>
      <c r="H11117" t="s">
        <v>28215</v>
      </c>
      <c r="I11117" t="s">
        <v>3774</v>
      </c>
      <c r="J11117" t="s">
        <v>35200</v>
      </c>
      <c r="K11117" t="s">
        <v>36707</v>
      </c>
      <c r="M11117" t="s">
        <v>39441</v>
      </c>
      <c r="N11117" t="s">
        <v>40436</v>
      </c>
      <c r="O11117" t="s">
        <v>40437</v>
      </c>
      <c r="P11117">
        <v>0</v>
      </c>
      <c r="Q11117">
        <v>2</v>
      </c>
      <c r="R11117" t="s">
        <v>40452</v>
      </c>
      <c r="S11117" t="s">
        <v>41140</v>
      </c>
      <c r="T11117" t="s">
        <v>42129</v>
      </c>
      <c r="U11117" t="s">
        <v>51815</v>
      </c>
      <c r="W11117" t="s">
        <v>39441</v>
      </c>
      <c r="X11117" t="s">
        <v>40454</v>
      </c>
    </row>
    <row r="11118" spans="1:24">
      <c r="A11118">
        <f>HYPERLINK("https://www.philgeps.gov.ph/GEPSNONPILOT/Tender/SplashBidNoticeAbstractUI.aspx?menuIndex=3&amp;refID=7020690&amp;Result=3","7020690")</f>
        <v>0</v>
      </c>
      <c r="B11118" t="s">
        <v>2861</v>
      </c>
      <c r="C11118" t="s">
        <v>13707</v>
      </c>
      <c r="D11118" t="s">
        <v>16198</v>
      </c>
      <c r="E11118" t="s">
        <v>25925</v>
      </c>
      <c r="F11118" t="s">
        <v>28198</v>
      </c>
      <c r="G11118" t="s">
        <v>28205</v>
      </c>
      <c r="H11118" t="s">
        <v>28214</v>
      </c>
      <c r="I11118" t="s">
        <v>3797</v>
      </c>
      <c r="J11118" t="s">
        <v>35201</v>
      </c>
      <c r="K11118" t="s">
        <v>36697</v>
      </c>
      <c r="M11118" t="s">
        <v>40123</v>
      </c>
      <c r="N11118" t="s">
        <v>40436</v>
      </c>
      <c r="O11118" t="s">
        <v>40437</v>
      </c>
      <c r="Q11118">
        <v>1</v>
      </c>
      <c r="R11118" t="s">
        <v>40452</v>
      </c>
      <c r="S11118" t="s">
        <v>40691</v>
      </c>
      <c r="T11118" t="s">
        <v>42180</v>
      </c>
      <c r="U11118" t="s">
        <v>51816</v>
      </c>
      <c r="W11118" t="s">
        <v>40123</v>
      </c>
      <c r="X11118" t="s">
        <v>40454</v>
      </c>
    </row>
    <row r="11119" spans="1:24">
      <c r="A11119">
        <f>HYPERLINK("https://www.philgeps.gov.ph/GEPSNONPILOT/Tender/SplashBidNoticeAbstractUI.aspx?menuIndex=3&amp;refID=7020744&amp;Result=3","7020744")</f>
        <v>0</v>
      </c>
      <c r="B11119" t="s">
        <v>1019</v>
      </c>
      <c r="C11119" t="s">
        <v>13708</v>
      </c>
      <c r="D11119" t="s">
        <v>16202</v>
      </c>
      <c r="E11119" t="s">
        <v>25926</v>
      </c>
      <c r="F11119" t="s">
        <v>28198</v>
      </c>
      <c r="G11119" t="s">
        <v>28207</v>
      </c>
      <c r="H11119" t="s">
        <v>28215</v>
      </c>
      <c r="I11119" t="s">
        <v>28268</v>
      </c>
      <c r="J11119" t="s">
        <v>29680</v>
      </c>
      <c r="K11119" t="s">
        <v>36706</v>
      </c>
      <c r="M11119" t="s">
        <v>38048</v>
      </c>
      <c r="N11119" t="s">
        <v>40436</v>
      </c>
      <c r="O11119" t="s">
        <v>40437</v>
      </c>
      <c r="Q11119">
        <v>0</v>
      </c>
      <c r="R11119" t="s">
        <v>40452</v>
      </c>
      <c r="S11119" t="s">
        <v>41155</v>
      </c>
      <c r="T11119" t="s">
        <v>42233</v>
      </c>
      <c r="U11119" t="s">
        <v>51817</v>
      </c>
      <c r="W11119" t="s">
        <v>38048</v>
      </c>
      <c r="X11119" t="s">
        <v>40454</v>
      </c>
    </row>
    <row r="11120" spans="1:24">
      <c r="A11120">
        <f>HYPERLINK("https://www.philgeps.gov.ph/GEPSNONPILOT/Tender/SplashBidNoticeAbstractUI.aspx?menuIndex=3&amp;refID=7020725&amp;Result=3","7020725")</f>
        <v>0</v>
      </c>
      <c r="B11120" t="s">
        <v>2861</v>
      </c>
      <c r="C11120" t="s">
        <v>13709</v>
      </c>
      <c r="D11120" t="s">
        <v>16198</v>
      </c>
      <c r="E11120" t="s">
        <v>25927</v>
      </c>
      <c r="F11120" t="s">
        <v>28198</v>
      </c>
      <c r="G11120" t="s">
        <v>28205</v>
      </c>
      <c r="H11120" t="s">
        <v>28214</v>
      </c>
      <c r="I11120" t="s">
        <v>3797</v>
      </c>
      <c r="J11120" t="s">
        <v>35202</v>
      </c>
      <c r="K11120" t="s">
        <v>36697</v>
      </c>
      <c r="M11120" t="s">
        <v>40123</v>
      </c>
      <c r="N11120" t="s">
        <v>40436</v>
      </c>
      <c r="O11120" t="s">
        <v>40437</v>
      </c>
      <c r="Q11120">
        <v>2</v>
      </c>
      <c r="R11120" t="s">
        <v>40452</v>
      </c>
      <c r="S11120" t="s">
        <v>40760</v>
      </c>
      <c r="T11120" t="s">
        <v>42180</v>
      </c>
      <c r="U11120" t="s">
        <v>51818</v>
      </c>
      <c r="W11120" t="s">
        <v>40123</v>
      </c>
      <c r="X11120" t="s">
        <v>40454</v>
      </c>
    </row>
    <row r="11121" spans="1:24">
      <c r="A11121">
        <f>HYPERLINK("https://www.philgeps.gov.ph/GEPSNONPILOT/Tender/SplashBidNoticeAbstractUI.aspx?menuIndex=3&amp;refID=7021661&amp;Result=3","7021661")</f>
        <v>0</v>
      </c>
      <c r="B11121" t="s">
        <v>978</v>
      </c>
      <c r="C11121" t="s">
        <v>13710</v>
      </c>
      <c r="D11121" t="s">
        <v>16247</v>
      </c>
      <c r="E11121" t="s">
        <v>25928</v>
      </c>
      <c r="F11121" t="s">
        <v>28198</v>
      </c>
      <c r="G11121" t="s">
        <v>28208</v>
      </c>
      <c r="H11121" t="s">
        <v>28214</v>
      </c>
      <c r="I11121" t="s">
        <v>3797</v>
      </c>
      <c r="J11121" t="s">
        <v>35203</v>
      </c>
      <c r="K11121" t="s">
        <v>36690</v>
      </c>
      <c r="M11121" t="s">
        <v>38004</v>
      </c>
      <c r="N11121" t="s">
        <v>40436</v>
      </c>
      <c r="O11121" t="s">
        <v>40437</v>
      </c>
      <c r="P11121">
        <v>0</v>
      </c>
      <c r="Q11121">
        <v>32</v>
      </c>
      <c r="R11121" t="s">
        <v>40452</v>
      </c>
      <c r="S11121" t="s">
        <v>41140</v>
      </c>
      <c r="T11121" t="s">
        <v>42133</v>
      </c>
      <c r="U11121" t="s">
        <v>51819</v>
      </c>
      <c r="V11121" t="s">
        <v>55053</v>
      </c>
      <c r="W11121" t="s">
        <v>38004</v>
      </c>
      <c r="X11121" t="s">
        <v>40453</v>
      </c>
    </row>
    <row r="11122" spans="1:24">
      <c r="A11122">
        <f>HYPERLINK("https://www.philgeps.gov.ph/GEPSNONPILOT/Tender/SplashBidNoticeAbstractUI.aspx?menuIndex=3&amp;refID=7019205&amp;Result=3","7019205")</f>
        <v>0</v>
      </c>
      <c r="B11122" t="s">
        <v>34</v>
      </c>
      <c r="C11122" t="s">
        <v>13711</v>
      </c>
      <c r="D11122" t="s">
        <v>16195</v>
      </c>
      <c r="E11122" t="s">
        <v>25929</v>
      </c>
      <c r="F11122" t="s">
        <v>28198</v>
      </c>
      <c r="G11122" t="s">
        <v>28205</v>
      </c>
      <c r="H11122" t="s">
        <v>28215</v>
      </c>
      <c r="I11122" t="s">
        <v>28243</v>
      </c>
      <c r="J11122" t="s">
        <v>35204</v>
      </c>
      <c r="K11122" t="s">
        <v>36688</v>
      </c>
      <c r="M11122" t="s">
        <v>37003</v>
      </c>
      <c r="N11122" t="s">
        <v>40436</v>
      </c>
      <c r="O11122" t="s">
        <v>40437</v>
      </c>
      <c r="Q11122">
        <v>0</v>
      </c>
      <c r="R11122" t="s">
        <v>40452</v>
      </c>
      <c r="S11122" t="s">
        <v>41156</v>
      </c>
      <c r="T11122" t="s">
        <v>42102</v>
      </c>
      <c r="U11122" t="s">
        <v>51820</v>
      </c>
      <c r="V11122" t="s">
        <v>53779</v>
      </c>
      <c r="W11122" t="s">
        <v>37003</v>
      </c>
      <c r="X11122" t="s">
        <v>40454</v>
      </c>
    </row>
    <row r="11123" spans="1:24">
      <c r="A11123">
        <f>HYPERLINK("https://www.philgeps.gov.ph/GEPSNONPILOT/Tender/SplashBidNoticeAbstractUI.aspx?menuIndex=3&amp;refID=7020245&amp;Result=3","7020245")</f>
        <v>0</v>
      </c>
      <c r="B11123" t="s">
        <v>273</v>
      </c>
      <c r="C11123" t="s">
        <v>13712</v>
      </c>
      <c r="D11123" t="s">
        <v>16193</v>
      </c>
      <c r="E11123" t="s">
        <v>25930</v>
      </c>
      <c r="F11123" t="s">
        <v>28198</v>
      </c>
      <c r="G11123" t="s">
        <v>28205</v>
      </c>
      <c r="H11123" t="s">
        <v>28214</v>
      </c>
      <c r="I11123" t="s">
        <v>3797</v>
      </c>
      <c r="J11123" t="s">
        <v>35205</v>
      </c>
      <c r="K11123" t="s">
        <v>36697</v>
      </c>
      <c r="M11123" t="s">
        <v>37250</v>
      </c>
      <c r="N11123" t="s">
        <v>40436</v>
      </c>
      <c r="O11123" t="s">
        <v>40437</v>
      </c>
      <c r="P11123">
        <v>0</v>
      </c>
      <c r="Q11123">
        <v>2</v>
      </c>
      <c r="R11123" t="s">
        <v>40452</v>
      </c>
      <c r="S11123" t="s">
        <v>41140</v>
      </c>
      <c r="T11123" t="s">
        <v>42133</v>
      </c>
      <c r="U11123" t="s">
        <v>51821</v>
      </c>
      <c r="W11123" t="s">
        <v>55439</v>
      </c>
      <c r="X11123" t="s">
        <v>40454</v>
      </c>
    </row>
    <row r="11124" spans="1:24">
      <c r="A11124">
        <f>HYPERLINK("https://www.philgeps.gov.ph/GEPSNONPILOT/Tender/SplashBidNoticeAbstractUI.aspx?menuIndex=3&amp;refID=7021660&amp;Result=3","7021660")</f>
        <v>0</v>
      </c>
      <c r="B11124" t="s">
        <v>978</v>
      </c>
      <c r="C11124" t="s">
        <v>13713</v>
      </c>
      <c r="D11124" t="s">
        <v>16247</v>
      </c>
      <c r="E11124" t="s">
        <v>25931</v>
      </c>
      <c r="F11124" t="s">
        <v>28198</v>
      </c>
      <c r="G11124" t="s">
        <v>28208</v>
      </c>
      <c r="H11124" t="s">
        <v>28214</v>
      </c>
      <c r="I11124" t="s">
        <v>3797</v>
      </c>
      <c r="J11124" t="s">
        <v>35206</v>
      </c>
      <c r="K11124" t="s">
        <v>36690</v>
      </c>
      <c r="M11124" t="s">
        <v>38004</v>
      </c>
      <c r="N11124" t="s">
        <v>40436</v>
      </c>
      <c r="O11124" t="s">
        <v>40437</v>
      </c>
      <c r="P11124">
        <v>0</v>
      </c>
      <c r="Q11124">
        <v>32</v>
      </c>
      <c r="R11124" t="s">
        <v>40452</v>
      </c>
      <c r="S11124" t="s">
        <v>41140</v>
      </c>
      <c r="T11124" t="s">
        <v>42133</v>
      </c>
      <c r="U11124" t="s">
        <v>51822</v>
      </c>
      <c r="V11124" t="s">
        <v>55054</v>
      </c>
      <c r="W11124" t="s">
        <v>38004</v>
      </c>
      <c r="X11124" t="s">
        <v>40453</v>
      </c>
    </row>
    <row r="11125" spans="1:24">
      <c r="A11125">
        <f>HYPERLINK("https://www.philgeps.gov.ph/GEPSNONPILOT/Tender/SplashBidNoticeAbstractUI.aspx?menuIndex=3&amp;refID=7021004&amp;Result=3","7021004")</f>
        <v>0</v>
      </c>
      <c r="B11125" t="s">
        <v>2130</v>
      </c>
      <c r="C11125" t="s">
        <v>13714</v>
      </c>
      <c r="D11125" t="s">
        <v>16265</v>
      </c>
      <c r="E11125" t="s">
        <v>25932</v>
      </c>
      <c r="F11125" t="s">
        <v>28198</v>
      </c>
      <c r="G11125" t="s">
        <v>28205</v>
      </c>
      <c r="H11125" t="s">
        <v>28214</v>
      </c>
      <c r="I11125" t="s">
        <v>3797</v>
      </c>
      <c r="J11125" t="s">
        <v>35207</v>
      </c>
      <c r="K11125" t="s">
        <v>36689</v>
      </c>
      <c r="M11125" t="s">
        <v>39287</v>
      </c>
      <c r="N11125" t="s">
        <v>40436</v>
      </c>
      <c r="O11125" t="s">
        <v>40437</v>
      </c>
      <c r="P11125">
        <v>0</v>
      </c>
      <c r="Q11125">
        <v>1</v>
      </c>
      <c r="R11125" t="s">
        <v>40452</v>
      </c>
      <c r="S11125" t="s">
        <v>41140</v>
      </c>
      <c r="T11125" t="s">
        <v>42133</v>
      </c>
      <c r="U11125" t="s">
        <v>51823</v>
      </c>
      <c r="W11125" t="s">
        <v>39287</v>
      </c>
      <c r="X11125" t="s">
        <v>40454</v>
      </c>
    </row>
    <row r="11126" spans="1:24">
      <c r="A11126">
        <f>HYPERLINK("https://www.philgeps.gov.ph/GEPSNONPILOT/Tender/SplashBidNoticeAbstractUI.aspx?menuIndex=3&amp;refID=7020150&amp;Result=3","7020150")</f>
        <v>0</v>
      </c>
      <c r="B11126" t="s">
        <v>1712</v>
      </c>
      <c r="C11126" t="s">
        <v>13715</v>
      </c>
      <c r="D11126" t="s">
        <v>16244</v>
      </c>
      <c r="E11126" t="s">
        <v>25933</v>
      </c>
      <c r="F11126" t="s">
        <v>28198</v>
      </c>
      <c r="G11126" t="s">
        <v>28205</v>
      </c>
      <c r="H11126" t="s">
        <v>28215</v>
      </c>
      <c r="I11126" t="s">
        <v>5100</v>
      </c>
      <c r="J11126" t="s">
        <v>35208</v>
      </c>
      <c r="K11126" t="s">
        <v>36701</v>
      </c>
      <c r="M11126" t="s">
        <v>38818</v>
      </c>
      <c r="N11126" t="s">
        <v>40436</v>
      </c>
      <c r="O11126" t="s">
        <v>40437</v>
      </c>
      <c r="P11126">
        <v>0</v>
      </c>
      <c r="Q11126">
        <v>3</v>
      </c>
      <c r="R11126" t="s">
        <v>40452</v>
      </c>
      <c r="S11126" t="s">
        <v>41140</v>
      </c>
      <c r="T11126" t="s">
        <v>42103</v>
      </c>
      <c r="U11126" t="s">
        <v>46839</v>
      </c>
      <c r="W11126" t="s">
        <v>38818</v>
      </c>
      <c r="X11126" t="s">
        <v>40454</v>
      </c>
    </row>
    <row r="11127" spans="1:24">
      <c r="A11127">
        <f>HYPERLINK("https://www.philgeps.gov.ph/GEPSNONPILOT/Tender/SplashBidNoticeAbstractUI.aspx?menuIndex=3&amp;refID=7020667&amp;Result=3","7020667")</f>
        <v>0</v>
      </c>
      <c r="B11127" t="s">
        <v>2861</v>
      </c>
      <c r="C11127" t="s">
        <v>13716</v>
      </c>
      <c r="D11127" t="s">
        <v>16198</v>
      </c>
      <c r="E11127" t="s">
        <v>25934</v>
      </c>
      <c r="F11127" t="s">
        <v>28198</v>
      </c>
      <c r="G11127" t="s">
        <v>28205</v>
      </c>
      <c r="H11127" t="s">
        <v>28214</v>
      </c>
      <c r="I11127" t="s">
        <v>3797</v>
      </c>
      <c r="J11127" t="s">
        <v>35209</v>
      </c>
      <c r="K11127" t="s">
        <v>36737</v>
      </c>
      <c r="M11127" t="s">
        <v>40123</v>
      </c>
      <c r="N11127" t="s">
        <v>40436</v>
      </c>
      <c r="O11127" t="s">
        <v>40437</v>
      </c>
      <c r="Q11127">
        <v>1</v>
      </c>
      <c r="R11127" t="s">
        <v>40452</v>
      </c>
      <c r="S11127" t="s">
        <v>41157</v>
      </c>
      <c r="T11127" t="s">
        <v>42564</v>
      </c>
      <c r="U11127" t="s">
        <v>51824</v>
      </c>
      <c r="W11127" t="s">
        <v>40123</v>
      </c>
      <c r="X11127" t="s">
        <v>40454</v>
      </c>
    </row>
    <row r="11128" spans="1:24">
      <c r="A11128">
        <f>HYPERLINK("https://www.philgeps.gov.ph/GEPSNONPILOT/Tender/SplashBidNoticeAbstractUI.aspx?menuIndex=3&amp;refID=7021665&amp;Result=3","7021665")</f>
        <v>0</v>
      </c>
      <c r="B11128" t="s">
        <v>978</v>
      </c>
      <c r="C11128" t="s">
        <v>13717</v>
      </c>
      <c r="D11128" t="s">
        <v>16247</v>
      </c>
      <c r="E11128" t="s">
        <v>25935</v>
      </c>
      <c r="F11128" t="s">
        <v>28198</v>
      </c>
      <c r="G11128" t="s">
        <v>28208</v>
      </c>
      <c r="H11128" t="s">
        <v>28214</v>
      </c>
      <c r="I11128" t="s">
        <v>3797</v>
      </c>
      <c r="J11128" t="s">
        <v>35210</v>
      </c>
      <c r="K11128" t="s">
        <v>36715</v>
      </c>
      <c r="M11128" t="s">
        <v>38004</v>
      </c>
      <c r="N11128" t="s">
        <v>40436</v>
      </c>
      <c r="O11128" t="s">
        <v>40437</v>
      </c>
      <c r="P11128">
        <v>0</v>
      </c>
      <c r="Q11128">
        <v>17</v>
      </c>
      <c r="R11128" t="s">
        <v>40452</v>
      </c>
      <c r="S11128" t="s">
        <v>41140</v>
      </c>
      <c r="T11128" t="s">
        <v>42133</v>
      </c>
      <c r="U11128" t="s">
        <v>51825</v>
      </c>
      <c r="V11128" t="s">
        <v>55055</v>
      </c>
      <c r="W11128" t="s">
        <v>38004</v>
      </c>
      <c r="X11128" t="s">
        <v>40453</v>
      </c>
    </row>
    <row r="11129" spans="1:24">
      <c r="A11129">
        <f>HYPERLINK("https://www.philgeps.gov.ph/GEPSNONPILOT/Tender/SplashBidNoticeAbstractUI.aspx?menuIndex=3&amp;refID=7021043&amp;Result=3","7021043")</f>
        <v>0</v>
      </c>
      <c r="B11129" t="s">
        <v>1411</v>
      </c>
      <c r="C11129" t="s">
        <v>13718</v>
      </c>
      <c r="D11129" t="s">
        <v>16195</v>
      </c>
      <c r="E11129" t="s">
        <v>16536</v>
      </c>
      <c r="F11129" t="s">
        <v>28198</v>
      </c>
      <c r="G11129" t="s">
        <v>28205</v>
      </c>
      <c r="H11129" t="s">
        <v>28215</v>
      </c>
      <c r="I11129" t="s">
        <v>28222</v>
      </c>
      <c r="J11129" t="s">
        <v>30496</v>
      </c>
      <c r="K11129" t="s">
        <v>36701</v>
      </c>
      <c r="M11129" t="s">
        <v>38476</v>
      </c>
      <c r="N11129" t="s">
        <v>40436</v>
      </c>
      <c r="O11129" t="s">
        <v>40437</v>
      </c>
      <c r="P11129">
        <v>0</v>
      </c>
      <c r="Q11129">
        <v>3</v>
      </c>
      <c r="R11129" t="s">
        <v>40452</v>
      </c>
      <c r="S11129" t="s">
        <v>41140</v>
      </c>
      <c r="T11129" t="s">
        <v>42134</v>
      </c>
      <c r="U11129" t="s">
        <v>51826</v>
      </c>
      <c r="V11129" t="s">
        <v>55051</v>
      </c>
      <c r="W11129" t="s">
        <v>38476</v>
      </c>
      <c r="X11129" t="s">
        <v>40454</v>
      </c>
    </row>
    <row r="11130" spans="1:24">
      <c r="A11130">
        <f>HYPERLINK("https://www.philgeps.gov.ph/GEPSNONPILOT/Tender/SplashBidNoticeAbstractUI.aspx?menuIndex=3&amp;refID=7021673&amp;Result=3","7021673")</f>
        <v>0</v>
      </c>
      <c r="B11130" t="s">
        <v>719</v>
      </c>
      <c r="C11130" t="s">
        <v>13719</v>
      </c>
      <c r="D11130" t="s">
        <v>16201</v>
      </c>
      <c r="E11130" t="s">
        <v>25936</v>
      </c>
      <c r="F11130" t="s">
        <v>28198</v>
      </c>
      <c r="G11130" t="s">
        <v>28205</v>
      </c>
      <c r="H11130" t="s">
        <v>28215</v>
      </c>
      <c r="I11130" t="s">
        <v>28248</v>
      </c>
      <c r="J11130" t="s">
        <v>33837</v>
      </c>
      <c r="K11130" t="s">
        <v>36701</v>
      </c>
      <c r="M11130" t="s">
        <v>39662</v>
      </c>
      <c r="N11130" t="s">
        <v>40436</v>
      </c>
      <c r="O11130" t="s">
        <v>40437</v>
      </c>
      <c r="P11130">
        <v>0</v>
      </c>
      <c r="Q11130">
        <v>10</v>
      </c>
      <c r="R11130" t="s">
        <v>40452</v>
      </c>
      <c r="S11130" t="s">
        <v>41140</v>
      </c>
      <c r="T11130" t="s">
        <v>42103</v>
      </c>
      <c r="U11130" t="s">
        <v>51827</v>
      </c>
      <c r="W11130" t="s">
        <v>39662</v>
      </c>
      <c r="X11130" t="s">
        <v>40453</v>
      </c>
    </row>
    <row r="11131" spans="1:24">
      <c r="A11131">
        <f>HYPERLINK("https://www.philgeps.gov.ph/GEPSNONPILOT/Tender/SplashBidNoticeAbstractUI.aspx?menuIndex=3&amp;refID=7021668&amp;Result=3","7021668")</f>
        <v>0</v>
      </c>
      <c r="B11131" t="s">
        <v>978</v>
      </c>
      <c r="C11131" t="s">
        <v>13720</v>
      </c>
      <c r="D11131" t="s">
        <v>16247</v>
      </c>
      <c r="E11131" t="s">
        <v>25937</v>
      </c>
      <c r="F11131" t="s">
        <v>28198</v>
      </c>
      <c r="G11131" t="s">
        <v>28208</v>
      </c>
      <c r="H11131" t="s">
        <v>28214</v>
      </c>
      <c r="I11131" t="s">
        <v>3797</v>
      </c>
      <c r="J11131" t="s">
        <v>35211</v>
      </c>
      <c r="K11131" t="s">
        <v>36697</v>
      </c>
      <c r="M11131" t="s">
        <v>38004</v>
      </c>
      <c r="N11131" t="s">
        <v>40436</v>
      </c>
      <c r="O11131" t="s">
        <v>40437</v>
      </c>
      <c r="P11131">
        <v>0</v>
      </c>
      <c r="Q11131">
        <v>18</v>
      </c>
      <c r="R11131" t="s">
        <v>40452</v>
      </c>
      <c r="S11131" t="s">
        <v>41140</v>
      </c>
      <c r="T11131" t="s">
        <v>42133</v>
      </c>
      <c r="U11131" t="s">
        <v>51828</v>
      </c>
      <c r="V11131" t="s">
        <v>55056</v>
      </c>
      <c r="W11131" t="s">
        <v>38004</v>
      </c>
      <c r="X11131" t="s">
        <v>40453</v>
      </c>
    </row>
    <row r="11132" spans="1:24">
      <c r="A11132">
        <f>HYPERLINK("https://www.philgeps.gov.ph/GEPSNONPILOT/Tender/SplashBidNoticeAbstractUI.aspx?menuIndex=3&amp;refID=7021659&amp;Result=3","7021659")</f>
        <v>0</v>
      </c>
      <c r="B11132" t="s">
        <v>978</v>
      </c>
      <c r="C11132" t="s">
        <v>13721</v>
      </c>
      <c r="D11132" t="s">
        <v>16247</v>
      </c>
      <c r="E11132" t="s">
        <v>25938</v>
      </c>
      <c r="F11132" t="s">
        <v>28198</v>
      </c>
      <c r="G11132" t="s">
        <v>28208</v>
      </c>
      <c r="H11132" t="s">
        <v>28214</v>
      </c>
      <c r="I11132" t="s">
        <v>3797</v>
      </c>
      <c r="J11132" t="s">
        <v>35212</v>
      </c>
      <c r="K11132" t="s">
        <v>36690</v>
      </c>
      <c r="M11132" t="s">
        <v>38004</v>
      </c>
      <c r="N11132" t="s">
        <v>40436</v>
      </c>
      <c r="O11132" t="s">
        <v>40437</v>
      </c>
      <c r="P11132">
        <v>0</v>
      </c>
      <c r="Q11132">
        <v>35</v>
      </c>
      <c r="R11132" t="s">
        <v>40452</v>
      </c>
      <c r="S11132" t="s">
        <v>41140</v>
      </c>
      <c r="T11132" t="s">
        <v>42175</v>
      </c>
      <c r="U11132" t="s">
        <v>51829</v>
      </c>
      <c r="V11132" t="s">
        <v>55057</v>
      </c>
      <c r="W11132" t="s">
        <v>38004</v>
      </c>
      <c r="X11132" t="s">
        <v>40453</v>
      </c>
    </row>
    <row r="11133" spans="1:24">
      <c r="A11133">
        <f>HYPERLINK("https://www.philgeps.gov.ph/GEPSNONPILOT/Tender/SplashBidNoticeAbstractUI.aspx?menuIndex=3&amp;refID=7021666&amp;Result=3","7021666")</f>
        <v>0</v>
      </c>
      <c r="B11133" t="s">
        <v>978</v>
      </c>
      <c r="C11133" t="s">
        <v>13722</v>
      </c>
      <c r="D11133" t="s">
        <v>16247</v>
      </c>
      <c r="E11133" t="s">
        <v>25939</v>
      </c>
      <c r="F11133" t="s">
        <v>28198</v>
      </c>
      <c r="G11133" t="s">
        <v>28208</v>
      </c>
      <c r="H11133" t="s">
        <v>28214</v>
      </c>
      <c r="I11133" t="s">
        <v>3797</v>
      </c>
      <c r="J11133" t="s">
        <v>35213</v>
      </c>
      <c r="K11133" t="s">
        <v>36715</v>
      </c>
      <c r="M11133" t="s">
        <v>38004</v>
      </c>
      <c r="N11133" t="s">
        <v>40436</v>
      </c>
      <c r="O11133" t="s">
        <v>40437</v>
      </c>
      <c r="P11133">
        <v>0</v>
      </c>
      <c r="Q11133">
        <v>17</v>
      </c>
      <c r="R11133" t="s">
        <v>40452</v>
      </c>
      <c r="S11133" t="s">
        <v>41140</v>
      </c>
      <c r="T11133" t="s">
        <v>42133</v>
      </c>
      <c r="U11133" t="s">
        <v>51830</v>
      </c>
      <c r="V11133" t="s">
        <v>55058</v>
      </c>
      <c r="W11133" t="s">
        <v>38004</v>
      </c>
      <c r="X11133" t="s">
        <v>40453</v>
      </c>
    </row>
    <row r="11134" spans="1:24">
      <c r="A11134">
        <f>HYPERLINK("https://www.philgeps.gov.ph/GEPSNONPILOT/Tender/SplashBidNoticeAbstractUI.aspx?menuIndex=3&amp;refID=7021664&amp;Result=3","7021664")</f>
        <v>0</v>
      </c>
      <c r="B11134" t="s">
        <v>978</v>
      </c>
      <c r="C11134" t="s">
        <v>13723</v>
      </c>
      <c r="D11134" t="s">
        <v>16247</v>
      </c>
      <c r="E11134" t="s">
        <v>25940</v>
      </c>
      <c r="F11134" t="s">
        <v>28198</v>
      </c>
      <c r="G11134" t="s">
        <v>28208</v>
      </c>
      <c r="H11134" t="s">
        <v>28214</v>
      </c>
      <c r="I11134" t="s">
        <v>3797</v>
      </c>
      <c r="J11134" t="s">
        <v>35214</v>
      </c>
      <c r="K11134" t="s">
        <v>36697</v>
      </c>
      <c r="M11134" t="s">
        <v>38004</v>
      </c>
      <c r="N11134" t="s">
        <v>40436</v>
      </c>
      <c r="O11134" t="s">
        <v>40437</v>
      </c>
      <c r="P11134">
        <v>0</v>
      </c>
      <c r="Q11134">
        <v>18</v>
      </c>
      <c r="R11134" t="s">
        <v>40452</v>
      </c>
      <c r="S11134" t="s">
        <v>41140</v>
      </c>
      <c r="T11134" t="s">
        <v>42133</v>
      </c>
      <c r="U11134" t="s">
        <v>51831</v>
      </c>
      <c r="V11134" t="s">
        <v>55059</v>
      </c>
      <c r="W11134" t="s">
        <v>38004</v>
      </c>
      <c r="X11134" t="s">
        <v>40453</v>
      </c>
    </row>
    <row r="11135" spans="1:24">
      <c r="A11135">
        <f>HYPERLINK("https://www.philgeps.gov.ph/GEPSNONPILOT/Tender/SplashBidNoticeAbstractUI.aspx?menuIndex=3&amp;refID=7021674&amp;Result=3","7021674")</f>
        <v>0</v>
      </c>
      <c r="B11135" t="s">
        <v>719</v>
      </c>
      <c r="C11135" t="s">
        <v>13724</v>
      </c>
      <c r="D11135" t="s">
        <v>16201</v>
      </c>
      <c r="E11135" t="s">
        <v>25941</v>
      </c>
      <c r="F11135" t="s">
        <v>28198</v>
      </c>
      <c r="G11135" t="s">
        <v>28205</v>
      </c>
      <c r="H11135" t="s">
        <v>28215</v>
      </c>
      <c r="I11135" t="s">
        <v>28248</v>
      </c>
      <c r="J11135" t="s">
        <v>35215</v>
      </c>
      <c r="K11135" t="s">
        <v>36701</v>
      </c>
      <c r="M11135" t="s">
        <v>39662</v>
      </c>
      <c r="N11135" t="s">
        <v>40436</v>
      </c>
      <c r="O11135" t="s">
        <v>40437</v>
      </c>
      <c r="P11135">
        <v>0</v>
      </c>
      <c r="Q11135">
        <v>7</v>
      </c>
      <c r="R11135" t="s">
        <v>40452</v>
      </c>
      <c r="S11135" t="s">
        <v>41140</v>
      </c>
      <c r="T11135" t="s">
        <v>42103</v>
      </c>
      <c r="U11135" t="s">
        <v>51827</v>
      </c>
      <c r="W11135" t="s">
        <v>39662</v>
      </c>
      <c r="X11135" t="s">
        <v>40453</v>
      </c>
    </row>
    <row r="11136" spans="1:24">
      <c r="A11136">
        <f>HYPERLINK("https://www.philgeps.gov.ph/GEPSNONPILOT/Tender/SplashBidNoticeAbstractUI.aspx?menuIndex=3&amp;refID=7021663&amp;Result=3","7021663")</f>
        <v>0</v>
      </c>
      <c r="B11136" t="s">
        <v>978</v>
      </c>
      <c r="C11136" t="s">
        <v>13725</v>
      </c>
      <c r="D11136" t="s">
        <v>16247</v>
      </c>
      <c r="E11136" t="s">
        <v>25942</v>
      </c>
      <c r="F11136" t="s">
        <v>28198</v>
      </c>
      <c r="G11136" t="s">
        <v>28208</v>
      </c>
      <c r="H11136" t="s">
        <v>28214</v>
      </c>
      <c r="I11136" t="s">
        <v>3797</v>
      </c>
      <c r="J11136" t="s">
        <v>35216</v>
      </c>
      <c r="K11136" t="s">
        <v>36717</v>
      </c>
      <c r="M11136" t="s">
        <v>38004</v>
      </c>
      <c r="N11136" t="s">
        <v>40436</v>
      </c>
      <c r="O11136" t="s">
        <v>40437</v>
      </c>
      <c r="Q11136">
        <v>29</v>
      </c>
      <c r="R11136" t="s">
        <v>40452</v>
      </c>
      <c r="S11136" t="s">
        <v>41158</v>
      </c>
      <c r="T11136" t="s">
        <v>42133</v>
      </c>
      <c r="U11136" t="s">
        <v>51832</v>
      </c>
      <c r="V11136" t="s">
        <v>55060</v>
      </c>
      <c r="W11136" t="s">
        <v>38004</v>
      </c>
      <c r="X11136" t="s">
        <v>40453</v>
      </c>
    </row>
    <row r="11137" spans="1:24">
      <c r="A11137">
        <f>HYPERLINK("https://www.philgeps.gov.ph/GEPSNONPILOT/Tender/SplashBidNoticeAbstractUI.aspx?menuIndex=3&amp;refID=7021662&amp;Result=3","7021662")</f>
        <v>0</v>
      </c>
      <c r="B11137" t="s">
        <v>978</v>
      </c>
      <c r="C11137" t="s">
        <v>13726</v>
      </c>
      <c r="D11137" t="s">
        <v>16247</v>
      </c>
      <c r="E11137" t="s">
        <v>25943</v>
      </c>
      <c r="F11137" t="s">
        <v>28198</v>
      </c>
      <c r="G11137" t="s">
        <v>28208</v>
      </c>
      <c r="H11137" t="s">
        <v>28214</v>
      </c>
      <c r="I11137" t="s">
        <v>3797</v>
      </c>
      <c r="J11137" t="s">
        <v>35217</v>
      </c>
      <c r="K11137" t="s">
        <v>36690</v>
      </c>
      <c r="M11137" t="s">
        <v>38004</v>
      </c>
      <c r="N11137" t="s">
        <v>40436</v>
      </c>
      <c r="O11137" t="s">
        <v>40437</v>
      </c>
      <c r="Q11137">
        <v>29</v>
      </c>
      <c r="R11137" t="s">
        <v>40452</v>
      </c>
      <c r="S11137" t="s">
        <v>41159</v>
      </c>
      <c r="T11137" t="s">
        <v>42133</v>
      </c>
      <c r="U11137" t="s">
        <v>51833</v>
      </c>
      <c r="V11137" t="s">
        <v>55061</v>
      </c>
      <c r="W11137" t="s">
        <v>38004</v>
      </c>
      <c r="X11137" t="s">
        <v>40453</v>
      </c>
    </row>
    <row r="11138" spans="1:24">
      <c r="A11138">
        <f>HYPERLINK("https://www.philgeps.gov.ph/GEPSNONPILOT/Tender/SplashBidNoticeAbstractUI.aspx?menuIndex=3&amp;refID=7021657&amp;Result=3","7021657")</f>
        <v>0</v>
      </c>
      <c r="B11138" t="s">
        <v>2863</v>
      </c>
      <c r="C11138" t="s">
        <v>13727</v>
      </c>
      <c r="D11138" t="s">
        <v>16198</v>
      </c>
      <c r="E11138" t="s">
        <v>25944</v>
      </c>
      <c r="F11138" t="s">
        <v>28198</v>
      </c>
      <c r="G11138" t="s">
        <v>28205</v>
      </c>
      <c r="H11138" t="s">
        <v>28215</v>
      </c>
      <c r="I11138" t="s">
        <v>28222</v>
      </c>
      <c r="J11138" t="s">
        <v>28752</v>
      </c>
      <c r="K11138" t="s">
        <v>36715</v>
      </c>
      <c r="M11138" t="s">
        <v>40125</v>
      </c>
      <c r="N11138" t="s">
        <v>40436</v>
      </c>
      <c r="O11138" t="s">
        <v>40437</v>
      </c>
      <c r="P11138">
        <v>0</v>
      </c>
      <c r="Q11138">
        <v>7</v>
      </c>
      <c r="R11138" t="s">
        <v>40452</v>
      </c>
      <c r="S11138" t="s">
        <v>41140</v>
      </c>
      <c r="T11138" t="s">
        <v>42144</v>
      </c>
      <c r="U11138" t="s">
        <v>51834</v>
      </c>
      <c r="W11138" t="s">
        <v>40125</v>
      </c>
      <c r="X11138" t="s">
        <v>40453</v>
      </c>
    </row>
    <row r="11139" spans="1:24">
      <c r="A11139">
        <f>HYPERLINK("https://www.philgeps.gov.ph/GEPSNONPILOT/Tender/SplashBidNoticeAbstractUI.aspx?menuIndex=3&amp;refID=7021669&amp;Result=3","7021669")</f>
        <v>0</v>
      </c>
      <c r="B11139" t="s">
        <v>978</v>
      </c>
      <c r="C11139" t="s">
        <v>13728</v>
      </c>
      <c r="D11139" t="s">
        <v>16247</v>
      </c>
      <c r="E11139" t="s">
        <v>25945</v>
      </c>
      <c r="F11139" t="s">
        <v>28198</v>
      </c>
      <c r="G11139" t="s">
        <v>28208</v>
      </c>
      <c r="H11139" t="s">
        <v>28214</v>
      </c>
      <c r="I11139" t="s">
        <v>3797</v>
      </c>
      <c r="J11139" t="s">
        <v>35218</v>
      </c>
      <c r="K11139" t="s">
        <v>36697</v>
      </c>
      <c r="M11139" t="s">
        <v>38004</v>
      </c>
      <c r="N11139" t="s">
        <v>40436</v>
      </c>
      <c r="O11139" t="s">
        <v>40437</v>
      </c>
      <c r="P11139">
        <v>0</v>
      </c>
      <c r="Q11139">
        <v>15</v>
      </c>
      <c r="R11139" t="s">
        <v>40452</v>
      </c>
      <c r="S11139" t="s">
        <v>41140</v>
      </c>
      <c r="T11139" t="s">
        <v>42133</v>
      </c>
      <c r="U11139" t="s">
        <v>51835</v>
      </c>
      <c r="V11139" t="s">
        <v>55062</v>
      </c>
      <c r="W11139" t="s">
        <v>38004</v>
      </c>
      <c r="X11139" t="s">
        <v>40453</v>
      </c>
    </row>
    <row r="11140" spans="1:24">
      <c r="A11140">
        <f>HYPERLINK("https://www.philgeps.gov.ph/GEPSNONPILOT/Tender/SplashBidNoticeAbstractUI.aspx?menuIndex=3&amp;refID=7021373&amp;Result=3","7021373")</f>
        <v>0</v>
      </c>
      <c r="B11140" t="s">
        <v>1660</v>
      </c>
      <c r="C11140" t="s">
        <v>13729</v>
      </c>
      <c r="D11140" t="s">
        <v>16217</v>
      </c>
      <c r="E11140" t="s">
        <v>25946</v>
      </c>
      <c r="F11140" t="s">
        <v>28198</v>
      </c>
      <c r="G11140" t="s">
        <v>28205</v>
      </c>
      <c r="H11140" t="s">
        <v>28215</v>
      </c>
      <c r="I11140" t="s">
        <v>28222</v>
      </c>
      <c r="J11140" t="s">
        <v>28899</v>
      </c>
      <c r="K11140" t="s">
        <v>36694</v>
      </c>
      <c r="M11140" t="s">
        <v>38754</v>
      </c>
      <c r="N11140" t="s">
        <v>40436</v>
      </c>
      <c r="O11140" t="s">
        <v>40437</v>
      </c>
      <c r="Q11140">
        <v>6</v>
      </c>
      <c r="R11140" t="s">
        <v>40452</v>
      </c>
      <c r="S11140" t="s">
        <v>41160</v>
      </c>
      <c r="T11140" t="s">
        <v>42228</v>
      </c>
      <c r="U11140" t="s">
        <v>51836</v>
      </c>
      <c r="V11140" t="s">
        <v>55063</v>
      </c>
      <c r="W11140" t="s">
        <v>38754</v>
      </c>
      <c r="X11140" t="s">
        <v>40454</v>
      </c>
    </row>
    <row r="11141" spans="1:24">
      <c r="A11141">
        <f>HYPERLINK("https://www.philgeps.gov.ph/GEPSNONPILOT/Tender/SplashBidNoticeAbstractUI.aspx?menuIndex=3&amp;refID=7021675&amp;Result=3","7021675")</f>
        <v>0</v>
      </c>
      <c r="B11141" t="s">
        <v>719</v>
      </c>
      <c r="C11141" t="s">
        <v>13730</v>
      </c>
      <c r="D11141" t="s">
        <v>16201</v>
      </c>
      <c r="E11141" t="s">
        <v>25947</v>
      </c>
      <c r="F11141" t="s">
        <v>28198</v>
      </c>
      <c r="G11141" t="s">
        <v>28205</v>
      </c>
      <c r="H11141" t="s">
        <v>28215</v>
      </c>
      <c r="I11141" t="s">
        <v>28222</v>
      </c>
      <c r="J11141" t="s">
        <v>28468</v>
      </c>
      <c r="K11141" t="s">
        <v>36697</v>
      </c>
      <c r="M11141" t="s">
        <v>39662</v>
      </c>
      <c r="N11141" t="s">
        <v>40436</v>
      </c>
      <c r="O11141" t="s">
        <v>40437</v>
      </c>
      <c r="P11141">
        <v>0</v>
      </c>
      <c r="Q11141">
        <v>6</v>
      </c>
      <c r="R11141" t="s">
        <v>40452</v>
      </c>
      <c r="S11141" t="s">
        <v>41140</v>
      </c>
      <c r="T11141" t="s">
        <v>42242</v>
      </c>
      <c r="U11141" t="s">
        <v>51827</v>
      </c>
      <c r="W11141" t="s">
        <v>39662</v>
      </c>
      <c r="X11141" t="s">
        <v>40453</v>
      </c>
    </row>
    <row r="11142" spans="1:24">
      <c r="A11142">
        <f>HYPERLINK("https://www.philgeps.gov.ph/GEPSNONPILOT/Tender/SplashBidNoticeAbstractUI.aspx?menuIndex=3&amp;refID=7021367&amp;Result=3","7021367")</f>
        <v>0</v>
      </c>
      <c r="B11142" t="s">
        <v>2864</v>
      </c>
      <c r="C11142" t="s">
        <v>13731</v>
      </c>
      <c r="D11142" t="s">
        <v>16190</v>
      </c>
      <c r="E11142" t="s">
        <v>16352</v>
      </c>
      <c r="F11142" t="s">
        <v>28198</v>
      </c>
      <c r="G11142" t="s">
        <v>28205</v>
      </c>
      <c r="H11142" t="s">
        <v>28215</v>
      </c>
      <c r="I11142" t="s">
        <v>28222</v>
      </c>
      <c r="J11142" t="s">
        <v>29120</v>
      </c>
      <c r="K11142" t="s">
        <v>36701</v>
      </c>
      <c r="M11142" t="s">
        <v>40126</v>
      </c>
      <c r="N11142" t="s">
        <v>40436</v>
      </c>
      <c r="O11142" t="s">
        <v>40437</v>
      </c>
      <c r="P11142">
        <v>0</v>
      </c>
      <c r="Q11142">
        <v>5</v>
      </c>
      <c r="R11142" t="s">
        <v>40452</v>
      </c>
      <c r="S11142" t="s">
        <v>41140</v>
      </c>
      <c r="T11142" t="s">
        <v>42158</v>
      </c>
      <c r="U11142" t="s">
        <v>51837</v>
      </c>
      <c r="W11142" t="s">
        <v>40126</v>
      </c>
      <c r="X11142" t="s">
        <v>40454</v>
      </c>
    </row>
    <row r="11143" spans="1:24">
      <c r="A11143">
        <f>HYPERLINK("https://www.philgeps.gov.ph/GEPSNONPILOT/Tender/SplashBidNoticeAbstractUI.aspx?menuIndex=3&amp;refID=7021746&amp;Result=3","7021746")</f>
        <v>0</v>
      </c>
      <c r="B11143" t="s">
        <v>407</v>
      </c>
      <c r="C11143" t="s">
        <v>13732</v>
      </c>
      <c r="D11143" t="s">
        <v>16195</v>
      </c>
      <c r="E11143" t="s">
        <v>17298</v>
      </c>
      <c r="F11143" t="s">
        <v>28198</v>
      </c>
      <c r="G11143" t="s">
        <v>28205</v>
      </c>
      <c r="H11143" t="s">
        <v>28215</v>
      </c>
      <c r="I11143" t="s">
        <v>28222</v>
      </c>
      <c r="J11143" t="s">
        <v>34025</v>
      </c>
      <c r="K11143" t="s">
        <v>36701</v>
      </c>
      <c r="M11143" t="s">
        <v>37389</v>
      </c>
      <c r="N11143" t="s">
        <v>40436</v>
      </c>
      <c r="O11143" t="s">
        <v>40437</v>
      </c>
      <c r="P11143">
        <v>0</v>
      </c>
      <c r="Q11143">
        <v>6</v>
      </c>
      <c r="R11143" t="s">
        <v>40452</v>
      </c>
      <c r="S11143" t="s">
        <v>41140</v>
      </c>
      <c r="T11143" t="s">
        <v>42115</v>
      </c>
      <c r="U11143" t="s">
        <v>51838</v>
      </c>
      <c r="W11143" t="s">
        <v>37389</v>
      </c>
      <c r="X11143" t="s">
        <v>40453</v>
      </c>
    </row>
    <row r="11144" spans="1:24">
      <c r="A11144">
        <f>HYPERLINK("https://www.philgeps.gov.ph/GEPSNONPILOT/Tender/SplashBidNoticeAbstractUI.aspx?menuIndex=3&amp;refID=7021049&amp;Result=3","7021049")</f>
        <v>0</v>
      </c>
      <c r="B11144" t="s">
        <v>2865</v>
      </c>
      <c r="C11144" t="s">
        <v>13733</v>
      </c>
      <c r="E11144" t="s">
        <v>25948</v>
      </c>
      <c r="F11144" t="s">
        <v>28198</v>
      </c>
      <c r="G11144" t="s">
        <v>28205</v>
      </c>
      <c r="H11144" t="s">
        <v>28215</v>
      </c>
      <c r="I11144" t="s">
        <v>28222</v>
      </c>
      <c r="J11144" t="s">
        <v>28829</v>
      </c>
      <c r="K11144" t="s">
        <v>36707</v>
      </c>
      <c r="M11144" t="s">
        <v>40127</v>
      </c>
      <c r="N11144" t="s">
        <v>40436</v>
      </c>
      <c r="O11144" t="s">
        <v>40437</v>
      </c>
      <c r="P11144">
        <v>0</v>
      </c>
      <c r="Q11144">
        <v>5</v>
      </c>
      <c r="R11144" t="s">
        <v>40452</v>
      </c>
      <c r="S11144" t="s">
        <v>41140</v>
      </c>
      <c r="T11144" t="s">
        <v>42133</v>
      </c>
      <c r="U11144" t="s">
        <v>51839</v>
      </c>
      <c r="W11144" t="s">
        <v>40127</v>
      </c>
      <c r="X11144" t="s">
        <v>40454</v>
      </c>
    </row>
    <row r="11145" spans="1:24">
      <c r="A11145">
        <f>HYPERLINK("https://www.philgeps.gov.ph/GEPSNONPILOT/Tender/SplashBidNoticeAbstractUI.aspx?menuIndex=3&amp;refID=7021743&amp;Result=3","7021743")</f>
        <v>0</v>
      </c>
      <c r="B11145" t="s">
        <v>765</v>
      </c>
      <c r="C11145" t="s">
        <v>13734</v>
      </c>
      <c r="D11145" t="s">
        <v>16219</v>
      </c>
      <c r="E11145" t="s">
        <v>25949</v>
      </c>
      <c r="F11145" t="s">
        <v>28198</v>
      </c>
      <c r="G11145" t="s">
        <v>28205</v>
      </c>
      <c r="H11145" t="s">
        <v>28214</v>
      </c>
      <c r="I11145" t="s">
        <v>3797</v>
      </c>
      <c r="J11145" t="s">
        <v>35219</v>
      </c>
      <c r="K11145" t="s">
        <v>36777</v>
      </c>
      <c r="M11145" t="s">
        <v>37768</v>
      </c>
      <c r="N11145" t="s">
        <v>40436</v>
      </c>
      <c r="O11145" t="s">
        <v>40437</v>
      </c>
      <c r="P11145">
        <v>0</v>
      </c>
      <c r="Q11145">
        <v>0</v>
      </c>
      <c r="R11145" t="s">
        <v>40452</v>
      </c>
      <c r="S11145" t="s">
        <v>41140</v>
      </c>
      <c r="T11145" t="s">
        <v>42176</v>
      </c>
      <c r="U11145" t="s">
        <v>51840</v>
      </c>
      <c r="W11145" t="s">
        <v>37768</v>
      </c>
      <c r="X11145" t="s">
        <v>40453</v>
      </c>
    </row>
    <row r="11146" spans="1:24">
      <c r="A11146">
        <f>HYPERLINK("https://www.philgeps.gov.ph/GEPSNONPILOT/Tender/SplashBidNoticeAbstractUI.aspx?menuIndex=3&amp;refID=7021617&amp;Result=3","7021617")</f>
        <v>0</v>
      </c>
      <c r="B11146" t="s">
        <v>1795</v>
      </c>
      <c r="C11146" t="s">
        <v>13735</v>
      </c>
      <c r="D11146" t="s">
        <v>16216</v>
      </c>
      <c r="E11146" t="s">
        <v>25950</v>
      </c>
      <c r="F11146" t="s">
        <v>28198</v>
      </c>
      <c r="G11146" t="s">
        <v>28205</v>
      </c>
      <c r="H11146" t="s">
        <v>28215</v>
      </c>
      <c r="I11146" t="s">
        <v>28298</v>
      </c>
      <c r="J11146" t="s">
        <v>29763</v>
      </c>
      <c r="K11146" t="s">
        <v>36701</v>
      </c>
      <c r="M11146" t="s">
        <v>38912</v>
      </c>
      <c r="N11146" t="s">
        <v>40436</v>
      </c>
      <c r="O11146" t="s">
        <v>40437</v>
      </c>
      <c r="P11146">
        <v>0</v>
      </c>
      <c r="Q11146">
        <v>10</v>
      </c>
      <c r="R11146" t="s">
        <v>40452</v>
      </c>
      <c r="S11146" t="s">
        <v>41140</v>
      </c>
      <c r="T11146" t="s">
        <v>42111</v>
      </c>
      <c r="U11146" t="s">
        <v>51841</v>
      </c>
      <c r="W11146" t="s">
        <v>38912</v>
      </c>
      <c r="X11146" t="s">
        <v>40454</v>
      </c>
    </row>
    <row r="11147" spans="1:24">
      <c r="A11147">
        <f>HYPERLINK("https://www.philgeps.gov.ph/GEPSNONPILOT/Tender/SplashBidNoticeAbstractUI.aspx?menuIndex=3&amp;refID=7021702&amp;Result=3","7021702")</f>
        <v>0</v>
      </c>
      <c r="B11147" t="s">
        <v>2826</v>
      </c>
      <c r="C11147" t="s">
        <v>13736</v>
      </c>
      <c r="E11147" t="s">
        <v>25035</v>
      </c>
      <c r="F11147" t="s">
        <v>28198</v>
      </c>
      <c r="G11147" t="s">
        <v>28205</v>
      </c>
      <c r="H11147" t="s">
        <v>28215</v>
      </c>
      <c r="I11147" t="s">
        <v>28216</v>
      </c>
      <c r="J11147" t="s">
        <v>28415</v>
      </c>
      <c r="K11147" t="s">
        <v>36765</v>
      </c>
      <c r="M11147" t="s">
        <v>40078</v>
      </c>
      <c r="N11147" t="s">
        <v>40436</v>
      </c>
      <c r="O11147" t="s">
        <v>40437</v>
      </c>
      <c r="P11147">
        <v>0</v>
      </c>
      <c r="Q11147">
        <v>3</v>
      </c>
      <c r="R11147" t="s">
        <v>40452</v>
      </c>
      <c r="S11147" t="s">
        <v>41140</v>
      </c>
      <c r="T11147" t="s">
        <v>42187</v>
      </c>
      <c r="U11147" t="s">
        <v>51842</v>
      </c>
      <c r="W11147" t="s">
        <v>40078</v>
      </c>
      <c r="X11147" t="s">
        <v>40453</v>
      </c>
    </row>
    <row r="11148" spans="1:24">
      <c r="A11148">
        <f>HYPERLINK("https://www.philgeps.gov.ph/GEPSNONPILOT/Tender/SplashBidNoticeAbstractUI.aspx?menuIndex=3&amp;refID=7021677&amp;Result=3","7021677")</f>
        <v>0</v>
      </c>
      <c r="B11148" t="s">
        <v>719</v>
      </c>
      <c r="C11148" t="s">
        <v>13737</v>
      </c>
      <c r="D11148" t="s">
        <v>16201</v>
      </c>
      <c r="E11148" t="s">
        <v>25951</v>
      </c>
      <c r="F11148" t="s">
        <v>28198</v>
      </c>
      <c r="G11148" t="s">
        <v>28205</v>
      </c>
      <c r="H11148" t="s">
        <v>28215</v>
      </c>
      <c r="I11148" t="s">
        <v>4168</v>
      </c>
      <c r="J11148" t="s">
        <v>35220</v>
      </c>
      <c r="K11148" t="s">
        <v>36701</v>
      </c>
      <c r="M11148" t="s">
        <v>39662</v>
      </c>
      <c r="N11148" t="s">
        <v>40436</v>
      </c>
      <c r="O11148" t="s">
        <v>40437</v>
      </c>
      <c r="P11148">
        <v>0</v>
      </c>
      <c r="Q11148">
        <v>5</v>
      </c>
      <c r="R11148" t="s">
        <v>40452</v>
      </c>
      <c r="S11148" t="s">
        <v>41140</v>
      </c>
      <c r="T11148" t="s">
        <v>42103</v>
      </c>
      <c r="U11148" t="s">
        <v>49628</v>
      </c>
      <c r="W11148" t="s">
        <v>39662</v>
      </c>
      <c r="X11148" t="s">
        <v>40453</v>
      </c>
    </row>
    <row r="11149" spans="1:24">
      <c r="A11149">
        <f>HYPERLINK("https://www.philgeps.gov.ph/GEPSNONPILOT/Tender/SplashBidNoticeAbstractUI.aspx?menuIndex=3&amp;refID=7021748&amp;Result=3","7021748")</f>
        <v>0</v>
      </c>
      <c r="B11149" t="s">
        <v>413</v>
      </c>
      <c r="C11149" t="s">
        <v>13738</v>
      </c>
      <c r="D11149" t="s">
        <v>16250</v>
      </c>
      <c r="E11149" t="s">
        <v>25952</v>
      </c>
      <c r="F11149" t="s">
        <v>28198</v>
      </c>
      <c r="G11149" t="s">
        <v>28205</v>
      </c>
      <c r="H11149" t="s">
        <v>28215</v>
      </c>
      <c r="I11149" t="s">
        <v>28222</v>
      </c>
      <c r="J11149" t="s">
        <v>30783</v>
      </c>
      <c r="K11149" t="s">
        <v>36707</v>
      </c>
      <c r="M11149" t="s">
        <v>37395</v>
      </c>
      <c r="N11149" t="s">
        <v>40436</v>
      </c>
      <c r="O11149" t="s">
        <v>40437</v>
      </c>
      <c r="P11149">
        <v>0</v>
      </c>
      <c r="Q11149">
        <v>4</v>
      </c>
      <c r="R11149" t="s">
        <v>40452</v>
      </c>
      <c r="S11149" t="s">
        <v>41140</v>
      </c>
      <c r="T11149" t="s">
        <v>42103</v>
      </c>
      <c r="U11149" t="s">
        <v>51843</v>
      </c>
      <c r="V11149" t="s">
        <v>53902</v>
      </c>
      <c r="W11149" t="s">
        <v>37395</v>
      </c>
      <c r="X11149" t="s">
        <v>40453</v>
      </c>
    </row>
    <row r="11150" spans="1:24">
      <c r="A11150">
        <f>HYPERLINK("https://www.philgeps.gov.ph/GEPSNONPILOT/Tender/SplashBidNoticeAbstractUI.aspx?menuIndex=3&amp;refID=7021701&amp;Result=3","7021701")</f>
        <v>0</v>
      </c>
      <c r="B11150" t="s">
        <v>900</v>
      </c>
      <c r="C11150" t="s">
        <v>13739</v>
      </c>
      <c r="D11150" t="s">
        <v>16223</v>
      </c>
      <c r="E11150" t="s">
        <v>25953</v>
      </c>
      <c r="F11150" t="s">
        <v>28198</v>
      </c>
      <c r="G11150" t="s">
        <v>28205</v>
      </c>
      <c r="H11150" t="s">
        <v>28215</v>
      </c>
      <c r="I11150" t="s">
        <v>28254</v>
      </c>
      <c r="J11150" t="s">
        <v>35221</v>
      </c>
      <c r="K11150" t="s">
        <v>36701</v>
      </c>
      <c r="M11150" t="s">
        <v>37918</v>
      </c>
      <c r="N11150" t="s">
        <v>40436</v>
      </c>
      <c r="O11150" t="s">
        <v>40437</v>
      </c>
      <c r="P11150">
        <v>0</v>
      </c>
      <c r="Q11150">
        <v>8</v>
      </c>
      <c r="R11150" t="s">
        <v>40452</v>
      </c>
      <c r="S11150" t="s">
        <v>41140</v>
      </c>
      <c r="T11150" t="s">
        <v>42126</v>
      </c>
      <c r="U11150" t="s">
        <v>51844</v>
      </c>
      <c r="V11150" t="s">
        <v>55064</v>
      </c>
      <c r="W11150" t="s">
        <v>37918</v>
      </c>
      <c r="X11150" t="s">
        <v>40453</v>
      </c>
    </row>
    <row r="11151" spans="1:24">
      <c r="A11151">
        <f>HYPERLINK("https://www.philgeps.gov.ph/GEPSNONPILOT/Tender/SplashBidNoticeAbstractUI.aspx?menuIndex=3&amp;refID=7021742&amp;Result=3","7021742")</f>
        <v>0</v>
      </c>
      <c r="B11151" t="s">
        <v>2866</v>
      </c>
      <c r="C11151" t="s">
        <v>13740</v>
      </c>
      <c r="D11151" t="s">
        <v>16228</v>
      </c>
      <c r="E11151" t="s">
        <v>25954</v>
      </c>
      <c r="F11151" t="s">
        <v>28200</v>
      </c>
      <c r="G11151" t="s">
        <v>28205</v>
      </c>
      <c r="H11151" t="s">
        <v>28214</v>
      </c>
      <c r="I11151" t="s">
        <v>3797</v>
      </c>
      <c r="J11151" t="s">
        <v>28464</v>
      </c>
      <c r="K11151" t="s">
        <v>36766</v>
      </c>
      <c r="M11151" t="s">
        <v>40128</v>
      </c>
      <c r="N11151" t="s">
        <v>40436</v>
      </c>
      <c r="O11151" t="s">
        <v>40437</v>
      </c>
      <c r="P11151">
        <v>0</v>
      </c>
      <c r="Q11151">
        <v>1</v>
      </c>
      <c r="R11151" t="s">
        <v>40452</v>
      </c>
      <c r="S11151" t="s">
        <v>41140</v>
      </c>
      <c r="T11151" t="s">
        <v>42240</v>
      </c>
      <c r="U11151" t="s">
        <v>51845</v>
      </c>
      <c r="V11151" t="s">
        <v>55065</v>
      </c>
      <c r="W11151" t="s">
        <v>40128</v>
      </c>
      <c r="X11151" t="s">
        <v>40453</v>
      </c>
    </row>
    <row r="11152" spans="1:24">
      <c r="A11152">
        <f>HYPERLINK("https://www.philgeps.gov.ph/GEPSNONPILOT/Tender/SplashBidNoticeAbstractUI.aspx?menuIndex=3&amp;refID=7021687&amp;Result=3","7021687")</f>
        <v>0</v>
      </c>
      <c r="B11152" t="s">
        <v>2867</v>
      </c>
      <c r="C11152" t="s">
        <v>13741</v>
      </c>
      <c r="D11152" t="s">
        <v>16242</v>
      </c>
      <c r="E11152" t="s">
        <v>25955</v>
      </c>
      <c r="F11152" t="s">
        <v>28198</v>
      </c>
      <c r="G11152" t="s">
        <v>28205</v>
      </c>
      <c r="H11152" t="s">
        <v>28215</v>
      </c>
      <c r="I11152" t="s">
        <v>28228</v>
      </c>
      <c r="J11152" t="s">
        <v>29358</v>
      </c>
      <c r="K11152" t="s">
        <v>36707</v>
      </c>
      <c r="M11152" t="s">
        <v>40129</v>
      </c>
      <c r="N11152" t="s">
        <v>40436</v>
      </c>
      <c r="O11152" t="s">
        <v>40437</v>
      </c>
      <c r="P11152">
        <v>0</v>
      </c>
      <c r="Q11152">
        <v>0</v>
      </c>
      <c r="R11152" t="s">
        <v>40452</v>
      </c>
      <c r="S11152" t="s">
        <v>41140</v>
      </c>
      <c r="T11152" t="s">
        <v>42105</v>
      </c>
      <c r="U11152" t="s">
        <v>51846</v>
      </c>
      <c r="W11152" t="s">
        <v>40129</v>
      </c>
      <c r="X11152" t="s">
        <v>40453</v>
      </c>
    </row>
    <row r="11153" spans="1:24">
      <c r="A11153">
        <f>HYPERLINK("https://www.philgeps.gov.ph/GEPSNONPILOT/Tender/SplashBidNoticeAbstractUI.aspx?menuIndex=3&amp;refID=7021720&amp;Result=3","7021720")</f>
        <v>0</v>
      </c>
      <c r="B11153" t="s">
        <v>2868</v>
      </c>
      <c r="C11153" t="s">
        <v>13742</v>
      </c>
      <c r="D11153" t="s">
        <v>16218</v>
      </c>
      <c r="E11153" t="s">
        <v>25956</v>
      </c>
      <c r="F11153" t="s">
        <v>28198</v>
      </c>
      <c r="G11153" t="s">
        <v>28205</v>
      </c>
      <c r="H11153" t="s">
        <v>28215</v>
      </c>
      <c r="I11153" t="s">
        <v>5100</v>
      </c>
      <c r="J11153" t="s">
        <v>28378</v>
      </c>
      <c r="K11153" t="s">
        <v>36707</v>
      </c>
      <c r="M11153" t="s">
        <v>40130</v>
      </c>
      <c r="N11153" t="s">
        <v>40436</v>
      </c>
      <c r="O11153" t="s">
        <v>40437</v>
      </c>
      <c r="P11153">
        <v>0</v>
      </c>
      <c r="Q11153">
        <v>1</v>
      </c>
      <c r="R11153" t="s">
        <v>40452</v>
      </c>
      <c r="S11153" t="s">
        <v>41140</v>
      </c>
      <c r="T11153" t="s">
        <v>42103</v>
      </c>
      <c r="U11153" t="s">
        <v>51847</v>
      </c>
      <c r="V11153" t="s">
        <v>55066</v>
      </c>
      <c r="W11153" t="s">
        <v>55538</v>
      </c>
      <c r="X11153" t="s">
        <v>40453</v>
      </c>
    </row>
    <row r="11154" spans="1:24">
      <c r="A11154">
        <f>HYPERLINK("https://www.philgeps.gov.ph/GEPSNONPILOT/Tender/SplashBidNoticeAbstractUI.aspx?menuIndex=3&amp;refID=7021691&amp;Result=3","7021691")</f>
        <v>0</v>
      </c>
      <c r="B11154" t="s">
        <v>900</v>
      </c>
      <c r="C11154" t="s">
        <v>13743</v>
      </c>
      <c r="D11154" t="s">
        <v>16223</v>
      </c>
      <c r="E11154" t="s">
        <v>25957</v>
      </c>
      <c r="F11154" t="s">
        <v>28198</v>
      </c>
      <c r="G11154" t="s">
        <v>28205</v>
      </c>
      <c r="H11154" t="s">
        <v>28215</v>
      </c>
      <c r="I11154" t="s">
        <v>4168</v>
      </c>
      <c r="J11154" t="s">
        <v>35222</v>
      </c>
      <c r="K11154" t="s">
        <v>36701</v>
      </c>
      <c r="M11154" t="s">
        <v>37918</v>
      </c>
      <c r="N11154" t="s">
        <v>40436</v>
      </c>
      <c r="O11154" t="s">
        <v>40437</v>
      </c>
      <c r="P11154">
        <v>0</v>
      </c>
      <c r="Q11154">
        <v>8</v>
      </c>
      <c r="R11154" t="s">
        <v>40452</v>
      </c>
      <c r="S11154" t="s">
        <v>41140</v>
      </c>
      <c r="T11154" t="s">
        <v>42102</v>
      </c>
      <c r="U11154" t="s">
        <v>51848</v>
      </c>
      <c r="V11154" t="s">
        <v>55067</v>
      </c>
      <c r="W11154" t="s">
        <v>37918</v>
      </c>
      <c r="X11154" t="s">
        <v>40453</v>
      </c>
    </row>
    <row r="11155" spans="1:24">
      <c r="A11155">
        <f>HYPERLINK("https://www.philgeps.gov.ph/GEPSNONPILOT/Tender/SplashBidNoticeAbstractUI.aspx?menuIndex=3&amp;refID=7021828&amp;Result=3","7021828")</f>
        <v>0</v>
      </c>
      <c r="B11155" t="s">
        <v>2869</v>
      </c>
      <c r="C11155" t="s">
        <v>13744</v>
      </c>
      <c r="D11155" t="s">
        <v>16241</v>
      </c>
      <c r="E11155" t="s">
        <v>25958</v>
      </c>
      <c r="F11155" t="s">
        <v>28198</v>
      </c>
      <c r="G11155" t="s">
        <v>28205</v>
      </c>
      <c r="H11155" t="s">
        <v>28214</v>
      </c>
      <c r="I11155" t="s">
        <v>3797</v>
      </c>
      <c r="J11155" t="s">
        <v>28921</v>
      </c>
      <c r="K11155" t="s">
        <v>36694</v>
      </c>
      <c r="M11155" t="s">
        <v>40131</v>
      </c>
      <c r="N11155" t="s">
        <v>40436</v>
      </c>
      <c r="O11155" t="s">
        <v>40437</v>
      </c>
      <c r="P11155">
        <v>0</v>
      </c>
      <c r="Q11155">
        <v>0</v>
      </c>
      <c r="R11155" t="s">
        <v>40452</v>
      </c>
      <c r="S11155" t="s">
        <v>41140</v>
      </c>
      <c r="T11155" t="s">
        <v>42165</v>
      </c>
      <c r="U11155" t="s">
        <v>51849</v>
      </c>
      <c r="W11155" t="s">
        <v>40131</v>
      </c>
      <c r="X11155" t="s">
        <v>40453</v>
      </c>
    </row>
    <row r="11156" spans="1:24">
      <c r="A11156">
        <f>HYPERLINK("https://www.philgeps.gov.ph/GEPSNONPILOT/Tender/SplashBidNoticeAbstractUI.aspx?menuIndex=3&amp;refID=7021652&amp;Result=3","7021652")</f>
        <v>0</v>
      </c>
      <c r="B11156" t="s">
        <v>1132</v>
      </c>
      <c r="C11156" t="s">
        <v>13745</v>
      </c>
      <c r="D11156" t="s">
        <v>16272</v>
      </c>
      <c r="E11156" t="s">
        <v>25959</v>
      </c>
      <c r="F11156" t="s">
        <v>28198</v>
      </c>
      <c r="G11156" t="s">
        <v>28205</v>
      </c>
      <c r="H11156" t="s">
        <v>28217</v>
      </c>
      <c r="I11156" t="s">
        <v>28272</v>
      </c>
      <c r="J11156" t="s">
        <v>31303</v>
      </c>
      <c r="K11156" t="s">
        <v>36701</v>
      </c>
      <c r="M11156" t="s">
        <v>38171</v>
      </c>
      <c r="N11156" t="s">
        <v>40436</v>
      </c>
      <c r="O11156" t="s">
        <v>40437</v>
      </c>
      <c r="P11156">
        <v>0</v>
      </c>
      <c r="Q11156">
        <v>3</v>
      </c>
      <c r="R11156" t="s">
        <v>40452</v>
      </c>
      <c r="S11156" t="s">
        <v>41140</v>
      </c>
      <c r="T11156" t="s">
        <v>42565</v>
      </c>
      <c r="U11156" t="s">
        <v>51850</v>
      </c>
      <c r="W11156" t="s">
        <v>38171</v>
      </c>
      <c r="X11156" t="s">
        <v>40453</v>
      </c>
    </row>
    <row r="11157" spans="1:24">
      <c r="A11157">
        <f>HYPERLINK("https://www.philgeps.gov.ph/GEPSNONPILOT/Tender/SplashBidNoticeAbstractUI.aspx?menuIndex=3&amp;refID=7021836&amp;Result=3","7021836")</f>
        <v>0</v>
      </c>
      <c r="B11157" t="s">
        <v>2869</v>
      </c>
      <c r="C11157" t="s">
        <v>13746</v>
      </c>
      <c r="D11157" t="s">
        <v>16241</v>
      </c>
      <c r="E11157" t="s">
        <v>25960</v>
      </c>
      <c r="F11157" t="s">
        <v>28198</v>
      </c>
      <c r="G11157" t="s">
        <v>28205</v>
      </c>
      <c r="H11157" t="s">
        <v>28214</v>
      </c>
      <c r="I11157" t="s">
        <v>3797</v>
      </c>
      <c r="J11157" t="s">
        <v>29763</v>
      </c>
      <c r="K11157" t="s">
        <v>36694</v>
      </c>
      <c r="M11157" t="s">
        <v>40131</v>
      </c>
      <c r="N11157" t="s">
        <v>40436</v>
      </c>
      <c r="O11157" t="s">
        <v>40437</v>
      </c>
      <c r="P11157">
        <v>0</v>
      </c>
      <c r="Q11157">
        <v>0</v>
      </c>
      <c r="R11157" t="s">
        <v>40452</v>
      </c>
      <c r="S11157" t="s">
        <v>41140</v>
      </c>
      <c r="T11157" t="s">
        <v>42165</v>
      </c>
      <c r="U11157" t="s">
        <v>51851</v>
      </c>
      <c r="W11157" t="s">
        <v>40131</v>
      </c>
      <c r="X11157" t="s">
        <v>40453</v>
      </c>
    </row>
    <row r="11158" spans="1:24">
      <c r="A11158">
        <f>HYPERLINK("https://www.philgeps.gov.ph/GEPSNONPILOT/Tender/SplashBidNoticeAbstractUI.aspx?menuIndex=3&amp;refID=7021684&amp;Result=3","7021684")</f>
        <v>0</v>
      </c>
      <c r="B11158" t="s">
        <v>900</v>
      </c>
      <c r="C11158" t="s">
        <v>13747</v>
      </c>
      <c r="D11158" t="s">
        <v>16223</v>
      </c>
      <c r="E11158" t="s">
        <v>25961</v>
      </c>
      <c r="F11158" t="s">
        <v>28198</v>
      </c>
      <c r="G11158" t="s">
        <v>28205</v>
      </c>
      <c r="H11158" t="s">
        <v>28215</v>
      </c>
      <c r="I11158" t="s">
        <v>4168</v>
      </c>
      <c r="J11158" t="s">
        <v>35223</v>
      </c>
      <c r="K11158" t="s">
        <v>36701</v>
      </c>
      <c r="M11158" t="s">
        <v>37918</v>
      </c>
      <c r="N11158" t="s">
        <v>40436</v>
      </c>
      <c r="O11158" t="s">
        <v>40437</v>
      </c>
      <c r="P11158">
        <v>0</v>
      </c>
      <c r="Q11158">
        <v>0</v>
      </c>
      <c r="R11158" t="s">
        <v>40452</v>
      </c>
      <c r="S11158" t="s">
        <v>41140</v>
      </c>
      <c r="T11158" t="s">
        <v>42284</v>
      </c>
      <c r="U11158" t="s">
        <v>51852</v>
      </c>
      <c r="V11158" t="s">
        <v>55068</v>
      </c>
      <c r="W11158" t="s">
        <v>37918</v>
      </c>
      <c r="X11158" t="s">
        <v>40453</v>
      </c>
    </row>
    <row r="11159" spans="1:24">
      <c r="A11159">
        <f>HYPERLINK("https://www.philgeps.gov.ph/GEPSNONPILOT/Tender/SplashBidNoticeAbstractUI.aspx?menuIndex=3&amp;refID=7021689&amp;Result=3","7021689")</f>
        <v>0</v>
      </c>
      <c r="B11159" t="s">
        <v>719</v>
      </c>
      <c r="C11159" t="s">
        <v>3313</v>
      </c>
      <c r="D11159" t="s">
        <v>16201</v>
      </c>
      <c r="E11159" t="s">
        <v>25962</v>
      </c>
      <c r="F11159" t="s">
        <v>28198</v>
      </c>
      <c r="G11159" t="s">
        <v>28205</v>
      </c>
      <c r="H11159" t="s">
        <v>28215</v>
      </c>
      <c r="I11159" t="s">
        <v>4219</v>
      </c>
      <c r="J11159" t="s">
        <v>35224</v>
      </c>
      <c r="K11159" t="s">
        <v>36701</v>
      </c>
      <c r="M11159" t="s">
        <v>39662</v>
      </c>
      <c r="N11159" t="s">
        <v>40436</v>
      </c>
      <c r="O11159" t="s">
        <v>40437</v>
      </c>
      <c r="P11159">
        <v>0</v>
      </c>
      <c r="Q11159">
        <v>3</v>
      </c>
      <c r="R11159" t="s">
        <v>40452</v>
      </c>
      <c r="S11159" t="s">
        <v>41140</v>
      </c>
      <c r="T11159" t="s">
        <v>42103</v>
      </c>
      <c r="U11159" t="s">
        <v>49628</v>
      </c>
      <c r="W11159" t="s">
        <v>39662</v>
      </c>
      <c r="X11159" t="s">
        <v>40453</v>
      </c>
    </row>
    <row r="11160" spans="1:24">
      <c r="A11160">
        <f>HYPERLINK("https://www.philgeps.gov.ph/GEPSNONPILOT/Tender/SplashBidNoticeAbstractUI.aspx?menuIndex=3&amp;refID=7021841&amp;Result=3","7021841")</f>
        <v>0</v>
      </c>
      <c r="B11160" t="s">
        <v>1307</v>
      </c>
      <c r="C11160" t="s">
        <v>13748</v>
      </c>
      <c r="D11160" t="s">
        <v>16196</v>
      </c>
      <c r="E11160" t="s">
        <v>25963</v>
      </c>
      <c r="F11160" t="s">
        <v>28198</v>
      </c>
      <c r="G11160" t="s">
        <v>28205</v>
      </c>
      <c r="H11160" t="s">
        <v>28215</v>
      </c>
      <c r="I11160" t="s">
        <v>28234</v>
      </c>
      <c r="J11160" t="s">
        <v>31928</v>
      </c>
      <c r="K11160" t="s">
        <v>36687</v>
      </c>
      <c r="M11160" t="s">
        <v>38361</v>
      </c>
      <c r="N11160" t="s">
        <v>40436</v>
      </c>
      <c r="O11160" t="s">
        <v>40437</v>
      </c>
      <c r="Q11160">
        <v>25</v>
      </c>
      <c r="R11160" t="s">
        <v>40452</v>
      </c>
      <c r="S11160" t="s">
        <v>41161</v>
      </c>
      <c r="T11160" t="s">
        <v>42203</v>
      </c>
      <c r="U11160" t="s">
        <v>51853</v>
      </c>
      <c r="W11160" t="s">
        <v>38361</v>
      </c>
      <c r="X11160" t="s">
        <v>40453</v>
      </c>
    </row>
    <row r="11161" spans="1:24">
      <c r="A11161">
        <f>HYPERLINK("https://www.philgeps.gov.ph/GEPSNONPILOT/Tender/SplashBidNoticeAbstractUI.aspx?menuIndex=3&amp;refID=7021679&amp;Result=3","7021679")</f>
        <v>0</v>
      </c>
      <c r="B11161" t="s">
        <v>2867</v>
      </c>
      <c r="C11161" t="s">
        <v>13749</v>
      </c>
      <c r="E11161" t="s">
        <v>25964</v>
      </c>
      <c r="F11161" t="s">
        <v>28198</v>
      </c>
      <c r="G11161" t="s">
        <v>28205</v>
      </c>
      <c r="H11161" t="s">
        <v>28215</v>
      </c>
      <c r="I11161" t="s">
        <v>28227</v>
      </c>
      <c r="J11161" t="s">
        <v>28415</v>
      </c>
      <c r="K11161" t="s">
        <v>36707</v>
      </c>
      <c r="M11161" t="s">
        <v>40129</v>
      </c>
      <c r="N11161" t="s">
        <v>40436</v>
      </c>
      <c r="O11161" t="s">
        <v>40437</v>
      </c>
      <c r="P11161">
        <v>0</v>
      </c>
      <c r="Q11161">
        <v>0</v>
      </c>
      <c r="R11161" t="s">
        <v>40452</v>
      </c>
      <c r="S11161" t="s">
        <v>41140</v>
      </c>
      <c r="T11161" t="s">
        <v>42105</v>
      </c>
      <c r="U11161" t="s">
        <v>51854</v>
      </c>
      <c r="W11161" t="s">
        <v>40129</v>
      </c>
      <c r="X11161" t="s">
        <v>40453</v>
      </c>
    </row>
    <row r="11162" spans="1:24">
      <c r="A11162">
        <f>HYPERLINK("https://www.philgeps.gov.ph/GEPSNONPILOT/Tender/SplashBidNoticeAbstractUI.aspx?menuIndex=3&amp;refID=7021749&amp;Result=3","7021749")</f>
        <v>0</v>
      </c>
      <c r="B11162" t="s">
        <v>1251</v>
      </c>
      <c r="C11162" t="s">
        <v>13750</v>
      </c>
      <c r="E11162" t="s">
        <v>25965</v>
      </c>
      <c r="F11162" t="s">
        <v>28198</v>
      </c>
      <c r="G11162" t="s">
        <v>28205</v>
      </c>
      <c r="H11162" t="s">
        <v>28215</v>
      </c>
      <c r="I11162" t="s">
        <v>3797</v>
      </c>
      <c r="J11162" t="s">
        <v>28347</v>
      </c>
      <c r="K11162" t="s">
        <v>36689</v>
      </c>
      <c r="M11162" t="s">
        <v>38301</v>
      </c>
      <c r="N11162" t="s">
        <v>40436</v>
      </c>
      <c r="O11162" t="s">
        <v>40437</v>
      </c>
      <c r="P11162">
        <v>0</v>
      </c>
      <c r="Q11162">
        <v>0</v>
      </c>
      <c r="R11162" t="s">
        <v>40452</v>
      </c>
      <c r="S11162" t="s">
        <v>41140</v>
      </c>
      <c r="T11162" t="s">
        <v>42144</v>
      </c>
      <c r="U11162" t="s">
        <v>45428</v>
      </c>
      <c r="W11162" t="s">
        <v>38301</v>
      </c>
      <c r="X11162" t="s">
        <v>40453</v>
      </c>
    </row>
    <row r="11163" spans="1:24">
      <c r="A11163">
        <f>HYPERLINK("https://www.philgeps.gov.ph/GEPSNONPILOT/Tender/SplashBidNoticeAbstractUI.aspx?menuIndex=3&amp;refID=7021757&amp;Result=3","7021757")</f>
        <v>0</v>
      </c>
      <c r="B11163" t="s">
        <v>2870</v>
      </c>
      <c r="C11163" t="s">
        <v>13751</v>
      </c>
      <c r="D11163" t="s">
        <v>16250</v>
      </c>
      <c r="E11163" t="s">
        <v>25966</v>
      </c>
      <c r="F11163" t="s">
        <v>28198</v>
      </c>
      <c r="G11163" t="s">
        <v>28205</v>
      </c>
      <c r="H11163" t="s">
        <v>28215</v>
      </c>
      <c r="I11163" t="s">
        <v>8870</v>
      </c>
      <c r="J11163" t="s">
        <v>28351</v>
      </c>
      <c r="K11163" t="s">
        <v>36688</v>
      </c>
      <c r="M11163" t="s">
        <v>40132</v>
      </c>
      <c r="N11163" t="s">
        <v>40436</v>
      </c>
      <c r="O11163" t="s">
        <v>40437</v>
      </c>
      <c r="P11163">
        <v>0</v>
      </c>
      <c r="Q11163">
        <v>4</v>
      </c>
      <c r="R11163" t="s">
        <v>40452</v>
      </c>
      <c r="S11163" t="s">
        <v>41140</v>
      </c>
      <c r="T11163" t="s">
        <v>42126</v>
      </c>
      <c r="U11163" t="s">
        <v>51855</v>
      </c>
      <c r="V11163" t="s">
        <v>55069</v>
      </c>
      <c r="W11163" t="s">
        <v>40132</v>
      </c>
      <c r="X11163" t="s">
        <v>40453</v>
      </c>
    </row>
    <row r="11164" spans="1:24">
      <c r="A11164">
        <f>HYPERLINK("https://www.philgeps.gov.ph/GEPSNONPILOT/Tender/SplashBidNoticeAbstractUI.aspx?menuIndex=3&amp;refID=7021823&amp;Result=3","7021823")</f>
        <v>0</v>
      </c>
      <c r="B11164" t="s">
        <v>2871</v>
      </c>
      <c r="C11164" t="s">
        <v>13752</v>
      </c>
      <c r="D11164" t="s">
        <v>16246</v>
      </c>
      <c r="E11164" t="s">
        <v>16660</v>
      </c>
      <c r="F11164" t="s">
        <v>28198</v>
      </c>
      <c r="G11164" t="s">
        <v>28205</v>
      </c>
      <c r="H11164" t="s">
        <v>28214</v>
      </c>
      <c r="I11164" t="s">
        <v>3797</v>
      </c>
      <c r="J11164" t="s">
        <v>35225</v>
      </c>
      <c r="K11164" t="s">
        <v>36689</v>
      </c>
      <c r="M11164" t="s">
        <v>40133</v>
      </c>
      <c r="N11164" t="s">
        <v>40436</v>
      </c>
      <c r="O11164" t="s">
        <v>40437</v>
      </c>
      <c r="P11164">
        <v>0</v>
      </c>
      <c r="Q11164">
        <v>0</v>
      </c>
      <c r="R11164" t="s">
        <v>40452</v>
      </c>
      <c r="S11164" t="s">
        <v>41140</v>
      </c>
      <c r="T11164" t="s">
        <v>42205</v>
      </c>
      <c r="U11164" t="s">
        <v>51856</v>
      </c>
      <c r="W11164" t="s">
        <v>40133</v>
      </c>
      <c r="X11164" t="s">
        <v>40453</v>
      </c>
    </row>
    <row r="11165" spans="1:24">
      <c r="A11165">
        <f>HYPERLINK("https://www.philgeps.gov.ph/GEPSNONPILOT/Tender/SplashBidNoticeAbstractUI.aspx?menuIndex=3&amp;refID=7021845&amp;Result=3","7021845")</f>
        <v>0</v>
      </c>
      <c r="B11165" t="s">
        <v>752</v>
      </c>
      <c r="C11165" t="s">
        <v>13753</v>
      </c>
      <c r="D11165" t="s">
        <v>16216</v>
      </c>
      <c r="E11165" t="s">
        <v>25967</v>
      </c>
      <c r="F11165" t="s">
        <v>28198</v>
      </c>
      <c r="G11165" t="s">
        <v>28205</v>
      </c>
      <c r="H11165" t="s">
        <v>28214</v>
      </c>
      <c r="I11165" t="s">
        <v>3797</v>
      </c>
      <c r="J11165" t="s">
        <v>35226</v>
      </c>
      <c r="K11165" t="s">
        <v>36713</v>
      </c>
      <c r="M11165" t="s">
        <v>37755</v>
      </c>
      <c r="N11165" t="s">
        <v>40436</v>
      </c>
      <c r="O11165" t="s">
        <v>40437</v>
      </c>
      <c r="P11165">
        <v>0</v>
      </c>
      <c r="Q11165">
        <v>1</v>
      </c>
      <c r="R11165" t="s">
        <v>40452</v>
      </c>
      <c r="S11165" t="s">
        <v>41140</v>
      </c>
      <c r="T11165" t="s">
        <v>42105</v>
      </c>
      <c r="U11165" t="s">
        <v>51857</v>
      </c>
      <c r="W11165" t="s">
        <v>37755</v>
      </c>
      <c r="X11165" t="s">
        <v>40453</v>
      </c>
    </row>
    <row r="11166" spans="1:24">
      <c r="A11166">
        <f>HYPERLINK("https://www.philgeps.gov.ph/GEPSNONPILOT/Tender/SplashBidNoticeAbstractUI.aspx?menuIndex=3&amp;refID=7021888&amp;Result=3","7021888")</f>
        <v>0</v>
      </c>
      <c r="B11166" t="s">
        <v>1900</v>
      </c>
      <c r="C11166" t="s">
        <v>13754</v>
      </c>
      <c r="E11166" t="s">
        <v>25968</v>
      </c>
      <c r="F11166" t="s">
        <v>28198</v>
      </c>
      <c r="G11166" t="s">
        <v>28205</v>
      </c>
      <c r="H11166" t="s">
        <v>28215</v>
      </c>
      <c r="I11166" t="s">
        <v>28298</v>
      </c>
      <c r="J11166" t="s">
        <v>35227</v>
      </c>
      <c r="K11166" t="s">
        <v>36689</v>
      </c>
      <c r="M11166" t="s">
        <v>39032</v>
      </c>
      <c r="N11166" t="s">
        <v>40436</v>
      </c>
      <c r="O11166" t="s">
        <v>40437</v>
      </c>
      <c r="P11166">
        <v>0</v>
      </c>
      <c r="Q11166">
        <v>11</v>
      </c>
      <c r="R11166" t="s">
        <v>40452</v>
      </c>
      <c r="S11166" t="s">
        <v>41140</v>
      </c>
      <c r="T11166" t="s">
        <v>42133</v>
      </c>
      <c r="U11166" t="s">
        <v>51858</v>
      </c>
      <c r="V11166" t="s">
        <v>55070</v>
      </c>
      <c r="W11166" t="s">
        <v>39032</v>
      </c>
      <c r="X11166" t="s">
        <v>40453</v>
      </c>
    </row>
    <row r="11167" spans="1:24">
      <c r="A11167">
        <f>HYPERLINK("https://www.philgeps.gov.ph/GEPSNONPILOT/Tender/SplashBidNoticeAbstractUI.aspx?menuIndex=3&amp;refID=7021875&amp;Result=3","7021875")</f>
        <v>0</v>
      </c>
      <c r="B11167" t="s">
        <v>780</v>
      </c>
      <c r="C11167" t="s">
        <v>13755</v>
      </c>
      <c r="D11167" t="s">
        <v>16197</v>
      </c>
      <c r="E11167" t="s">
        <v>25969</v>
      </c>
      <c r="F11167" t="s">
        <v>28198</v>
      </c>
      <c r="G11167" t="s">
        <v>28205</v>
      </c>
      <c r="H11167" t="s">
        <v>28214</v>
      </c>
      <c r="I11167" t="s">
        <v>3797</v>
      </c>
      <c r="J11167" t="s">
        <v>29632</v>
      </c>
      <c r="K11167" t="s">
        <v>36767</v>
      </c>
      <c r="M11167" t="s">
        <v>37784</v>
      </c>
      <c r="N11167" t="s">
        <v>40436</v>
      </c>
      <c r="O11167" t="s">
        <v>40437</v>
      </c>
      <c r="P11167">
        <v>0</v>
      </c>
      <c r="Q11167">
        <v>2</v>
      </c>
      <c r="R11167" t="s">
        <v>40452</v>
      </c>
      <c r="S11167" t="s">
        <v>41140</v>
      </c>
      <c r="T11167" t="s">
        <v>42103</v>
      </c>
      <c r="U11167" t="s">
        <v>51859</v>
      </c>
      <c r="W11167" t="s">
        <v>37784</v>
      </c>
      <c r="X11167" t="s">
        <v>40453</v>
      </c>
    </row>
    <row r="11168" spans="1:24">
      <c r="A11168">
        <f>HYPERLINK("https://www.philgeps.gov.ph/GEPSNONPILOT/Tender/SplashBidNoticeAbstractUI.aspx?menuIndex=3&amp;refID=7021898&amp;Result=3","7021898")</f>
        <v>0</v>
      </c>
      <c r="B11168" t="s">
        <v>780</v>
      </c>
      <c r="C11168" t="s">
        <v>13756</v>
      </c>
      <c r="D11168" t="s">
        <v>16197</v>
      </c>
      <c r="E11168" t="s">
        <v>25970</v>
      </c>
      <c r="F11168" t="s">
        <v>28198</v>
      </c>
      <c r="G11168" t="s">
        <v>28205</v>
      </c>
      <c r="H11168" t="s">
        <v>28214</v>
      </c>
      <c r="I11168" t="s">
        <v>3797</v>
      </c>
      <c r="J11168" t="s">
        <v>29595</v>
      </c>
      <c r="K11168" t="s">
        <v>36767</v>
      </c>
      <c r="M11168" t="s">
        <v>37784</v>
      </c>
      <c r="N11168" t="s">
        <v>40436</v>
      </c>
      <c r="O11168" t="s">
        <v>40437</v>
      </c>
      <c r="Q11168">
        <v>1</v>
      </c>
      <c r="R11168" t="s">
        <v>40452</v>
      </c>
      <c r="S11168" t="s">
        <v>41041</v>
      </c>
      <c r="T11168" t="s">
        <v>42103</v>
      </c>
      <c r="U11168" t="s">
        <v>51860</v>
      </c>
      <c r="W11168" t="s">
        <v>37784</v>
      </c>
      <c r="X11168" t="s">
        <v>40453</v>
      </c>
    </row>
    <row r="11169" spans="1:24">
      <c r="A11169">
        <f>HYPERLINK("https://www.philgeps.gov.ph/GEPSNONPILOT/Tender/SplashBidNoticeAbstractUI.aspx?menuIndex=3&amp;refID=7021867&amp;Result=3","7021867")</f>
        <v>0</v>
      </c>
      <c r="B11169" t="s">
        <v>752</v>
      </c>
      <c r="C11169" t="s">
        <v>13757</v>
      </c>
      <c r="D11169" t="s">
        <v>16216</v>
      </c>
      <c r="E11169" t="s">
        <v>25971</v>
      </c>
      <c r="F11169" t="s">
        <v>28198</v>
      </c>
      <c r="G11169" t="s">
        <v>28205</v>
      </c>
      <c r="H11169" t="s">
        <v>28214</v>
      </c>
      <c r="I11169" t="s">
        <v>3797</v>
      </c>
      <c r="J11169" t="s">
        <v>28351</v>
      </c>
      <c r="K11169" t="s">
        <v>36713</v>
      </c>
      <c r="M11169" t="s">
        <v>37755</v>
      </c>
      <c r="N11169" t="s">
        <v>40436</v>
      </c>
      <c r="O11169" t="s">
        <v>40437</v>
      </c>
      <c r="P11169">
        <v>0</v>
      </c>
      <c r="Q11169">
        <v>1</v>
      </c>
      <c r="R11169" t="s">
        <v>40452</v>
      </c>
      <c r="S11169" t="s">
        <v>41140</v>
      </c>
      <c r="T11169" t="s">
        <v>42105</v>
      </c>
      <c r="U11169" t="s">
        <v>51861</v>
      </c>
      <c r="W11169" t="s">
        <v>37755</v>
      </c>
      <c r="X11169" t="s">
        <v>40453</v>
      </c>
    </row>
    <row r="11170" spans="1:24">
      <c r="A11170">
        <f>HYPERLINK("https://www.philgeps.gov.ph/GEPSNONPILOT/Tender/SplashBidNoticeAbstractUI.aspx?menuIndex=3&amp;refID=7021982&amp;Result=3","7021982")</f>
        <v>0</v>
      </c>
      <c r="B11170" t="s">
        <v>2527</v>
      </c>
      <c r="C11170" t="s">
        <v>13758</v>
      </c>
      <c r="D11170" t="s">
        <v>16198</v>
      </c>
      <c r="E11170" t="s">
        <v>22032</v>
      </c>
      <c r="F11170" t="s">
        <v>28198</v>
      </c>
      <c r="G11170" t="s">
        <v>28208</v>
      </c>
      <c r="H11170" t="s">
        <v>28214</v>
      </c>
      <c r="I11170" t="s">
        <v>3797</v>
      </c>
      <c r="J11170" t="s">
        <v>35228</v>
      </c>
      <c r="K11170" t="s">
        <v>36697</v>
      </c>
      <c r="M11170" t="s">
        <v>39730</v>
      </c>
      <c r="N11170" t="s">
        <v>40436</v>
      </c>
      <c r="O11170" t="s">
        <v>40437</v>
      </c>
      <c r="P11170">
        <v>0</v>
      </c>
      <c r="Q11170">
        <v>1</v>
      </c>
      <c r="R11170" t="s">
        <v>40452</v>
      </c>
      <c r="S11170" t="s">
        <v>41140</v>
      </c>
      <c r="T11170" t="s">
        <v>42505</v>
      </c>
      <c r="U11170" t="s">
        <v>51862</v>
      </c>
      <c r="W11170" t="s">
        <v>39730</v>
      </c>
      <c r="X11170" t="s">
        <v>40453</v>
      </c>
    </row>
    <row r="11171" spans="1:24">
      <c r="A11171">
        <f>HYPERLINK("https://www.philgeps.gov.ph/GEPSNONPILOT/Tender/SplashBidNoticeAbstractUI.aspx?menuIndex=3&amp;refID=7021979&amp;Result=3","7021979")</f>
        <v>0</v>
      </c>
      <c r="B11171" t="s">
        <v>2872</v>
      </c>
      <c r="C11171" t="s">
        <v>13759</v>
      </c>
      <c r="D11171" t="s">
        <v>16203</v>
      </c>
      <c r="E11171" t="s">
        <v>25972</v>
      </c>
      <c r="F11171" t="s">
        <v>28198</v>
      </c>
      <c r="G11171" t="s">
        <v>28205</v>
      </c>
      <c r="H11171" t="s">
        <v>28214</v>
      </c>
      <c r="I11171" t="s">
        <v>3797</v>
      </c>
      <c r="J11171" t="s">
        <v>35229</v>
      </c>
      <c r="K11171" t="s">
        <v>36789</v>
      </c>
      <c r="M11171" t="s">
        <v>40134</v>
      </c>
      <c r="N11171" t="s">
        <v>40436</v>
      </c>
      <c r="O11171" t="s">
        <v>40437</v>
      </c>
      <c r="Q11171">
        <v>28</v>
      </c>
      <c r="R11171" t="s">
        <v>40452</v>
      </c>
      <c r="S11171" t="s">
        <v>41162</v>
      </c>
      <c r="T11171" t="s">
        <v>42133</v>
      </c>
      <c r="U11171" t="s">
        <v>51863</v>
      </c>
      <c r="W11171" t="s">
        <v>40134</v>
      </c>
      <c r="X11171" t="s">
        <v>40453</v>
      </c>
    </row>
    <row r="11172" spans="1:24">
      <c r="A11172">
        <f>HYPERLINK("https://www.philgeps.gov.ph/GEPSNONPILOT/Tender/SplashBidNoticeAbstractUI.aspx?menuIndex=3&amp;refID=7021846&amp;Result=3","7021846")</f>
        <v>0</v>
      </c>
      <c r="B11172" t="s">
        <v>2869</v>
      </c>
      <c r="C11172" t="s">
        <v>13760</v>
      </c>
      <c r="D11172" t="s">
        <v>16241</v>
      </c>
      <c r="E11172" t="s">
        <v>25973</v>
      </c>
      <c r="F11172" t="s">
        <v>28198</v>
      </c>
      <c r="G11172" t="s">
        <v>28205</v>
      </c>
      <c r="H11172" t="s">
        <v>28214</v>
      </c>
      <c r="I11172" t="s">
        <v>3797</v>
      </c>
      <c r="J11172" t="s">
        <v>29331</v>
      </c>
      <c r="K11172" t="s">
        <v>36710</v>
      </c>
      <c r="M11172" t="s">
        <v>40131</v>
      </c>
      <c r="N11172" t="s">
        <v>40436</v>
      </c>
      <c r="O11172" t="s">
        <v>40437</v>
      </c>
      <c r="P11172">
        <v>0</v>
      </c>
      <c r="Q11172">
        <v>0</v>
      </c>
      <c r="R11172" t="s">
        <v>40452</v>
      </c>
      <c r="S11172" t="s">
        <v>41140</v>
      </c>
      <c r="T11172" t="s">
        <v>42165</v>
      </c>
      <c r="U11172" t="s">
        <v>51864</v>
      </c>
      <c r="W11172" t="s">
        <v>40131</v>
      </c>
      <c r="X11172" t="s">
        <v>40453</v>
      </c>
    </row>
    <row r="11173" spans="1:24">
      <c r="A11173">
        <f>HYPERLINK("https://www.philgeps.gov.ph/GEPSNONPILOT/Tender/SplashBidNoticeAbstractUI.aspx?menuIndex=3&amp;refID=7021900&amp;Result=3","7021900")</f>
        <v>0</v>
      </c>
      <c r="B11173" t="s">
        <v>2527</v>
      </c>
      <c r="C11173" t="s">
        <v>13761</v>
      </c>
      <c r="D11173" t="s">
        <v>16198</v>
      </c>
      <c r="E11173" t="s">
        <v>16855</v>
      </c>
      <c r="F11173" t="s">
        <v>28198</v>
      </c>
      <c r="G11173" t="s">
        <v>28208</v>
      </c>
      <c r="H11173" t="s">
        <v>28214</v>
      </c>
      <c r="I11173" t="s">
        <v>3797</v>
      </c>
      <c r="J11173" t="s">
        <v>35230</v>
      </c>
      <c r="K11173" t="s">
        <v>36692</v>
      </c>
      <c r="M11173" t="s">
        <v>39730</v>
      </c>
      <c r="N11173" t="s">
        <v>40436</v>
      </c>
      <c r="O11173" t="s">
        <v>40437</v>
      </c>
      <c r="P11173">
        <v>0</v>
      </c>
      <c r="Q11173">
        <v>4</v>
      </c>
      <c r="R11173" t="s">
        <v>40452</v>
      </c>
      <c r="S11173" t="s">
        <v>41140</v>
      </c>
      <c r="T11173" t="s">
        <v>42525</v>
      </c>
      <c r="U11173" t="s">
        <v>51865</v>
      </c>
      <c r="W11173" t="s">
        <v>39730</v>
      </c>
      <c r="X11173" t="s">
        <v>40453</v>
      </c>
    </row>
    <row r="11174" spans="1:24">
      <c r="A11174">
        <f>HYPERLINK("https://www.philgeps.gov.ph/GEPSNONPILOT/Tender/SplashBidNoticeAbstractUI.aspx?menuIndex=3&amp;refID=7021966&amp;Result=3","7021966")</f>
        <v>0</v>
      </c>
      <c r="B11174" t="s">
        <v>780</v>
      </c>
      <c r="C11174" t="s">
        <v>13762</v>
      </c>
      <c r="D11174" t="s">
        <v>16197</v>
      </c>
      <c r="E11174" t="s">
        <v>25974</v>
      </c>
      <c r="F11174" t="s">
        <v>28198</v>
      </c>
      <c r="G11174" t="s">
        <v>28205</v>
      </c>
      <c r="H11174" t="s">
        <v>28214</v>
      </c>
      <c r="I11174" t="s">
        <v>3797</v>
      </c>
      <c r="J11174" t="s">
        <v>35231</v>
      </c>
      <c r="K11174" t="s">
        <v>36697</v>
      </c>
      <c r="M11174" t="s">
        <v>37784</v>
      </c>
      <c r="N11174" t="s">
        <v>40436</v>
      </c>
      <c r="O11174" t="s">
        <v>40437</v>
      </c>
      <c r="Q11174">
        <v>1</v>
      </c>
      <c r="R11174" t="s">
        <v>40452</v>
      </c>
      <c r="S11174" t="s">
        <v>41163</v>
      </c>
      <c r="T11174" t="s">
        <v>42103</v>
      </c>
      <c r="U11174" t="s">
        <v>51860</v>
      </c>
      <c r="W11174" t="s">
        <v>37784</v>
      </c>
      <c r="X11174" t="s">
        <v>40453</v>
      </c>
    </row>
    <row r="11175" spans="1:24">
      <c r="A11175">
        <f>HYPERLINK("https://www.philgeps.gov.ph/GEPSNONPILOT/Tender/SplashBidNoticeAbstractUI.aspx?menuIndex=3&amp;refID=7021948&amp;Result=3","7021948")</f>
        <v>0</v>
      </c>
      <c r="B11175" t="s">
        <v>752</v>
      </c>
      <c r="C11175" t="s">
        <v>13763</v>
      </c>
      <c r="D11175" t="s">
        <v>16216</v>
      </c>
      <c r="E11175" t="s">
        <v>25975</v>
      </c>
      <c r="F11175" t="s">
        <v>28198</v>
      </c>
      <c r="G11175" t="s">
        <v>28205</v>
      </c>
      <c r="H11175" t="s">
        <v>28214</v>
      </c>
      <c r="I11175" t="s">
        <v>3797</v>
      </c>
      <c r="J11175" t="s">
        <v>28363</v>
      </c>
      <c r="K11175" t="s">
        <v>36713</v>
      </c>
      <c r="M11175" t="s">
        <v>37755</v>
      </c>
      <c r="N11175" t="s">
        <v>40436</v>
      </c>
      <c r="O11175" t="s">
        <v>40437</v>
      </c>
      <c r="P11175">
        <v>0</v>
      </c>
      <c r="Q11175">
        <v>0</v>
      </c>
      <c r="R11175" t="s">
        <v>40452</v>
      </c>
      <c r="S11175" t="s">
        <v>41140</v>
      </c>
      <c r="T11175" t="s">
        <v>42105</v>
      </c>
      <c r="U11175" t="s">
        <v>51866</v>
      </c>
      <c r="W11175" t="s">
        <v>37755</v>
      </c>
      <c r="X11175" t="s">
        <v>40453</v>
      </c>
    </row>
    <row r="11176" spans="1:24">
      <c r="A11176">
        <f>HYPERLINK("https://www.philgeps.gov.ph/GEPSNONPILOT/Tender/SplashBidNoticeAbstractUI.aspx?menuIndex=3&amp;refID=7021939&amp;Result=3","7021939")</f>
        <v>0</v>
      </c>
      <c r="B11176" t="s">
        <v>1105</v>
      </c>
      <c r="C11176" t="s">
        <v>13764</v>
      </c>
      <c r="D11176" t="s">
        <v>16206</v>
      </c>
      <c r="E11176" t="s">
        <v>17093</v>
      </c>
      <c r="F11176" t="s">
        <v>28198</v>
      </c>
      <c r="G11176" t="s">
        <v>28205</v>
      </c>
      <c r="H11176" t="s">
        <v>28215</v>
      </c>
      <c r="I11176" t="s">
        <v>5082</v>
      </c>
      <c r="J11176" t="s">
        <v>35232</v>
      </c>
      <c r="K11176" t="s">
        <v>36701</v>
      </c>
      <c r="M11176" t="s">
        <v>38141</v>
      </c>
      <c r="N11176" t="s">
        <v>40436</v>
      </c>
      <c r="O11176" t="s">
        <v>40437</v>
      </c>
      <c r="P11176">
        <v>0</v>
      </c>
      <c r="Q11176">
        <v>7</v>
      </c>
      <c r="R11176" t="s">
        <v>40452</v>
      </c>
      <c r="S11176" t="s">
        <v>41140</v>
      </c>
      <c r="T11176" t="s">
        <v>42134</v>
      </c>
      <c r="U11176" t="s">
        <v>51867</v>
      </c>
      <c r="V11176" t="s">
        <v>54672</v>
      </c>
      <c r="W11176" t="s">
        <v>38141</v>
      </c>
      <c r="X11176" t="s">
        <v>40453</v>
      </c>
    </row>
    <row r="11177" spans="1:24">
      <c r="A11177">
        <f>HYPERLINK("https://www.philgeps.gov.ph/GEPSNONPILOT/Tender/SplashBidNoticeAbstractUI.aspx?menuIndex=3&amp;refID=7021977&amp;Result=3","7021977")</f>
        <v>0</v>
      </c>
      <c r="B11177" t="s">
        <v>2866</v>
      </c>
      <c r="C11177" t="s">
        <v>13765</v>
      </c>
      <c r="D11177" t="s">
        <v>16228</v>
      </c>
      <c r="E11177" t="s">
        <v>25976</v>
      </c>
      <c r="F11177" t="s">
        <v>28200</v>
      </c>
      <c r="G11177" t="s">
        <v>28205</v>
      </c>
      <c r="H11177" t="s">
        <v>28214</v>
      </c>
      <c r="I11177" t="s">
        <v>3797</v>
      </c>
      <c r="J11177" t="s">
        <v>30496</v>
      </c>
      <c r="K11177" t="s">
        <v>36798</v>
      </c>
      <c r="M11177" t="s">
        <v>40128</v>
      </c>
      <c r="N11177" t="s">
        <v>40436</v>
      </c>
      <c r="O11177" t="s">
        <v>40437</v>
      </c>
      <c r="P11177">
        <v>0</v>
      </c>
      <c r="Q11177">
        <v>1</v>
      </c>
      <c r="R11177" t="s">
        <v>40452</v>
      </c>
      <c r="S11177" t="s">
        <v>41140</v>
      </c>
      <c r="T11177" t="s">
        <v>42240</v>
      </c>
      <c r="U11177" t="s">
        <v>51868</v>
      </c>
      <c r="V11177" t="s">
        <v>55071</v>
      </c>
      <c r="W11177" t="s">
        <v>40128</v>
      </c>
      <c r="X11177" t="s">
        <v>40453</v>
      </c>
    </row>
    <row r="11178" spans="1:24">
      <c r="A11178">
        <f>HYPERLINK("https://www.philgeps.gov.ph/GEPSNONPILOT/Tender/SplashBidNoticeAbstractUI.aspx?menuIndex=3&amp;refID=7021932&amp;Result=3","7021932")</f>
        <v>0</v>
      </c>
      <c r="B11178" t="s">
        <v>780</v>
      </c>
      <c r="C11178" t="s">
        <v>13766</v>
      </c>
      <c r="D11178" t="s">
        <v>16197</v>
      </c>
      <c r="E11178" t="s">
        <v>25977</v>
      </c>
      <c r="F11178" t="s">
        <v>28198</v>
      </c>
      <c r="G11178" t="s">
        <v>28205</v>
      </c>
      <c r="H11178" t="s">
        <v>28214</v>
      </c>
      <c r="I11178" t="s">
        <v>3797</v>
      </c>
      <c r="J11178" t="s">
        <v>28363</v>
      </c>
      <c r="K11178" t="s">
        <v>36823</v>
      </c>
      <c r="M11178" t="s">
        <v>37784</v>
      </c>
      <c r="N11178" t="s">
        <v>40436</v>
      </c>
      <c r="O11178" t="s">
        <v>40437</v>
      </c>
      <c r="P11178">
        <v>0</v>
      </c>
      <c r="Q11178">
        <v>1</v>
      </c>
      <c r="R11178" t="s">
        <v>40452</v>
      </c>
      <c r="S11178" t="s">
        <v>41140</v>
      </c>
      <c r="T11178" t="s">
        <v>42103</v>
      </c>
      <c r="U11178" t="s">
        <v>51860</v>
      </c>
      <c r="W11178" t="s">
        <v>37784</v>
      </c>
      <c r="X11178" t="s">
        <v>40453</v>
      </c>
    </row>
    <row r="11179" spans="1:24">
      <c r="A11179">
        <f>HYPERLINK("https://www.philgeps.gov.ph/GEPSNONPILOT/Tender/SplashBidNoticeAbstractUI.aspx?menuIndex=3&amp;refID=7021896&amp;Result=3","7021896")</f>
        <v>0</v>
      </c>
      <c r="B11179" t="s">
        <v>2869</v>
      </c>
      <c r="C11179" t="s">
        <v>13767</v>
      </c>
      <c r="D11179" t="s">
        <v>16241</v>
      </c>
      <c r="E11179" t="s">
        <v>25978</v>
      </c>
      <c r="F11179" t="s">
        <v>28198</v>
      </c>
      <c r="G11179" t="s">
        <v>28205</v>
      </c>
      <c r="H11179" t="s">
        <v>28214</v>
      </c>
      <c r="I11179" t="s">
        <v>3797</v>
      </c>
      <c r="J11179" t="s">
        <v>29331</v>
      </c>
      <c r="K11179" t="s">
        <v>36710</v>
      </c>
      <c r="M11179" t="s">
        <v>40131</v>
      </c>
      <c r="N11179" t="s">
        <v>40436</v>
      </c>
      <c r="O11179" t="s">
        <v>40437</v>
      </c>
      <c r="P11179">
        <v>0</v>
      </c>
      <c r="Q11179">
        <v>1</v>
      </c>
      <c r="R11179" t="s">
        <v>40452</v>
      </c>
      <c r="S11179" t="s">
        <v>41140</v>
      </c>
      <c r="T11179" t="s">
        <v>42165</v>
      </c>
      <c r="U11179" t="s">
        <v>51869</v>
      </c>
      <c r="W11179" t="s">
        <v>40131</v>
      </c>
      <c r="X11179" t="s">
        <v>40453</v>
      </c>
    </row>
    <row r="11180" spans="1:24">
      <c r="A11180">
        <f>HYPERLINK("https://www.philgeps.gov.ph/GEPSNONPILOT/Tender/SplashBidNoticeAbstractUI.aspx?menuIndex=3&amp;refID=7021983&amp;Result=3","7021983")</f>
        <v>0</v>
      </c>
      <c r="B11180" t="s">
        <v>325</v>
      </c>
      <c r="C11180" t="s">
        <v>13768</v>
      </c>
      <c r="D11180" t="s">
        <v>16226</v>
      </c>
      <c r="E11180" t="s">
        <v>25979</v>
      </c>
      <c r="F11180" t="s">
        <v>28198</v>
      </c>
      <c r="G11180" t="s">
        <v>28205</v>
      </c>
      <c r="H11180" t="s">
        <v>28214</v>
      </c>
      <c r="I11180" t="s">
        <v>3797</v>
      </c>
      <c r="J11180" t="s">
        <v>35233</v>
      </c>
      <c r="K11180" t="s">
        <v>36687</v>
      </c>
      <c r="M11180" t="s">
        <v>37303</v>
      </c>
      <c r="N11180" t="s">
        <v>40436</v>
      </c>
      <c r="O11180" t="s">
        <v>40437</v>
      </c>
      <c r="P11180">
        <v>0</v>
      </c>
      <c r="Q11180">
        <v>1</v>
      </c>
      <c r="R11180" t="s">
        <v>40452</v>
      </c>
      <c r="S11180" t="s">
        <v>41140</v>
      </c>
      <c r="T11180" t="s">
        <v>42234</v>
      </c>
      <c r="U11180" t="s">
        <v>51870</v>
      </c>
      <c r="V11180" t="s">
        <v>54666</v>
      </c>
      <c r="W11180" t="s">
        <v>55443</v>
      </c>
      <c r="X11180" t="s">
        <v>40453</v>
      </c>
    </row>
    <row r="11181" spans="1:24">
      <c r="A11181">
        <f>HYPERLINK("https://www.philgeps.gov.ph/GEPSNONPILOT/Tender/SplashBidNoticeAbstractUI.aspx?menuIndex=3&amp;refID=7021956&amp;Result=3","7021956")</f>
        <v>0</v>
      </c>
      <c r="B11181" t="s">
        <v>325</v>
      </c>
      <c r="C11181" t="s">
        <v>13769</v>
      </c>
      <c r="D11181" t="s">
        <v>16226</v>
      </c>
      <c r="E11181" t="s">
        <v>25980</v>
      </c>
      <c r="F11181" t="s">
        <v>28198</v>
      </c>
      <c r="G11181" t="s">
        <v>28205</v>
      </c>
      <c r="H11181" t="s">
        <v>28214</v>
      </c>
      <c r="I11181" t="s">
        <v>3797</v>
      </c>
      <c r="J11181" t="s">
        <v>35234</v>
      </c>
      <c r="K11181" t="s">
        <v>36777</v>
      </c>
      <c r="M11181" t="s">
        <v>37303</v>
      </c>
      <c r="N11181" t="s">
        <v>40436</v>
      </c>
      <c r="O11181" t="s">
        <v>40437</v>
      </c>
      <c r="P11181">
        <v>0</v>
      </c>
      <c r="Q11181">
        <v>1</v>
      </c>
      <c r="R11181" t="s">
        <v>40452</v>
      </c>
      <c r="S11181" t="s">
        <v>41140</v>
      </c>
      <c r="T11181" t="s">
        <v>42234</v>
      </c>
      <c r="U11181" t="s">
        <v>51870</v>
      </c>
      <c r="V11181" t="s">
        <v>54666</v>
      </c>
      <c r="W11181" t="s">
        <v>55443</v>
      </c>
      <c r="X11181" t="s">
        <v>40453</v>
      </c>
    </row>
    <row r="11182" spans="1:24">
      <c r="A11182">
        <f>HYPERLINK("https://www.philgeps.gov.ph/GEPSNONPILOT/Tender/SplashBidNoticeAbstractUI.aspx?menuIndex=3&amp;refID=7022092&amp;Result=3","7022092")</f>
        <v>0</v>
      </c>
      <c r="B11182" t="s">
        <v>2056</v>
      </c>
      <c r="C11182" t="s">
        <v>13770</v>
      </c>
      <c r="D11182" t="s">
        <v>16254</v>
      </c>
      <c r="E11182" t="s">
        <v>25981</v>
      </c>
      <c r="F11182" t="s">
        <v>28198</v>
      </c>
      <c r="G11182" t="s">
        <v>28205</v>
      </c>
      <c r="H11182" t="s">
        <v>28215</v>
      </c>
      <c r="I11182" t="s">
        <v>5100</v>
      </c>
      <c r="J11182" t="s">
        <v>35235</v>
      </c>
      <c r="K11182" t="s">
        <v>36701</v>
      </c>
      <c r="M11182" t="s">
        <v>39204</v>
      </c>
      <c r="N11182" t="s">
        <v>40436</v>
      </c>
      <c r="O11182" t="s">
        <v>40437</v>
      </c>
      <c r="Q11182">
        <v>5</v>
      </c>
      <c r="R11182" t="s">
        <v>40452</v>
      </c>
      <c r="S11182" t="s">
        <v>41164</v>
      </c>
      <c r="T11182" t="s">
        <v>42103</v>
      </c>
      <c r="U11182" t="s">
        <v>51871</v>
      </c>
      <c r="W11182" t="s">
        <v>39204</v>
      </c>
      <c r="X11182" t="s">
        <v>40453</v>
      </c>
    </row>
    <row r="11183" spans="1:24">
      <c r="A11183">
        <f>HYPERLINK("https://www.philgeps.gov.ph/GEPSNONPILOT/Tender/SplashBidNoticeAbstractUI.aspx?menuIndex=3&amp;refID=7021914&amp;Result=3","7021914")</f>
        <v>0</v>
      </c>
      <c r="B11183" t="s">
        <v>2873</v>
      </c>
      <c r="C11183" t="s">
        <v>11741</v>
      </c>
      <c r="D11183" t="s">
        <v>16268</v>
      </c>
      <c r="E11183" t="s">
        <v>25982</v>
      </c>
      <c r="F11183" t="s">
        <v>28198</v>
      </c>
      <c r="G11183" t="s">
        <v>28205</v>
      </c>
      <c r="H11183" t="s">
        <v>28214</v>
      </c>
      <c r="I11183" t="s">
        <v>5100</v>
      </c>
      <c r="J11183" t="s">
        <v>35236</v>
      </c>
      <c r="K11183" t="s">
        <v>36701</v>
      </c>
      <c r="M11183" t="s">
        <v>40135</v>
      </c>
      <c r="N11183" t="s">
        <v>40436</v>
      </c>
      <c r="O11183" t="s">
        <v>40437</v>
      </c>
      <c r="P11183">
        <v>0</v>
      </c>
      <c r="Q11183">
        <v>0</v>
      </c>
      <c r="R11183" t="s">
        <v>40452</v>
      </c>
      <c r="S11183" t="s">
        <v>41140</v>
      </c>
      <c r="T11183" t="s">
        <v>42160</v>
      </c>
      <c r="U11183" t="s">
        <v>51872</v>
      </c>
      <c r="V11183" t="s">
        <v>54847</v>
      </c>
      <c r="W11183" t="s">
        <v>40135</v>
      </c>
      <c r="X11183" t="s">
        <v>40453</v>
      </c>
    </row>
    <row r="11184" spans="1:24">
      <c r="A11184">
        <f>HYPERLINK("https://www.philgeps.gov.ph/GEPSNONPILOT/Tender/SplashBidNoticeAbstractUI.aspx?menuIndex=3&amp;refID=7021921&amp;Result=3","7021921")</f>
        <v>0</v>
      </c>
      <c r="B11184" t="s">
        <v>2872</v>
      </c>
      <c r="C11184" t="s">
        <v>13771</v>
      </c>
      <c r="D11184" t="s">
        <v>16203</v>
      </c>
      <c r="E11184" t="s">
        <v>25983</v>
      </c>
      <c r="F11184" t="s">
        <v>28198</v>
      </c>
      <c r="G11184" t="s">
        <v>28205</v>
      </c>
      <c r="H11184" t="s">
        <v>28214</v>
      </c>
      <c r="I11184" t="s">
        <v>3797</v>
      </c>
      <c r="J11184" t="s">
        <v>35237</v>
      </c>
      <c r="K11184" t="s">
        <v>36692</v>
      </c>
      <c r="M11184" t="s">
        <v>40134</v>
      </c>
      <c r="N11184" t="s">
        <v>40436</v>
      </c>
      <c r="O11184" t="s">
        <v>40437</v>
      </c>
      <c r="Q11184">
        <v>25</v>
      </c>
      <c r="R11184" t="s">
        <v>40452</v>
      </c>
      <c r="S11184" t="s">
        <v>41165</v>
      </c>
      <c r="T11184" t="s">
        <v>42134</v>
      </c>
      <c r="U11184" t="s">
        <v>51863</v>
      </c>
      <c r="W11184" t="s">
        <v>40134</v>
      </c>
      <c r="X11184" t="s">
        <v>40453</v>
      </c>
    </row>
    <row r="11185" spans="1:24">
      <c r="A11185">
        <f>HYPERLINK("https://www.philgeps.gov.ph/GEPSNONPILOT/Tender/SplashBidNoticeAbstractUI.aspx?menuIndex=3&amp;refID=7022087&amp;Result=3","7022087")</f>
        <v>0</v>
      </c>
      <c r="B11185" t="s">
        <v>2874</v>
      </c>
      <c r="C11185" t="s">
        <v>13772</v>
      </c>
      <c r="D11185" t="s">
        <v>16198</v>
      </c>
      <c r="E11185" t="s">
        <v>25984</v>
      </c>
      <c r="F11185" t="s">
        <v>28198</v>
      </c>
      <c r="G11185" t="s">
        <v>28205</v>
      </c>
      <c r="H11185" t="s">
        <v>28214</v>
      </c>
      <c r="I11185" t="s">
        <v>3797</v>
      </c>
      <c r="J11185" t="s">
        <v>30849</v>
      </c>
      <c r="K11185" t="s">
        <v>36692</v>
      </c>
      <c r="M11185" t="s">
        <v>40136</v>
      </c>
      <c r="N11185" t="s">
        <v>40436</v>
      </c>
      <c r="O11185" t="s">
        <v>40437</v>
      </c>
      <c r="P11185">
        <v>0</v>
      </c>
      <c r="Q11185">
        <v>0</v>
      </c>
      <c r="R11185" t="s">
        <v>40452</v>
      </c>
      <c r="S11185" t="s">
        <v>41140</v>
      </c>
      <c r="T11185" t="s">
        <v>42201</v>
      </c>
      <c r="U11185" t="s">
        <v>51873</v>
      </c>
      <c r="W11185" t="s">
        <v>40136</v>
      </c>
      <c r="X11185" t="s">
        <v>40453</v>
      </c>
    </row>
    <row r="11186" spans="1:24">
      <c r="A11186">
        <f>HYPERLINK("https://www.philgeps.gov.ph/GEPSNONPILOT/Tender/SplashBidNoticeAbstractUI.aspx?menuIndex=3&amp;refID=7021906&amp;Result=3","7021906")</f>
        <v>0</v>
      </c>
      <c r="B11186" t="s">
        <v>2875</v>
      </c>
      <c r="C11186" t="s">
        <v>13773</v>
      </c>
      <c r="D11186" t="s">
        <v>16223</v>
      </c>
      <c r="E11186" t="s">
        <v>25985</v>
      </c>
      <c r="F11186" t="s">
        <v>28198</v>
      </c>
      <c r="G11186" t="s">
        <v>28205</v>
      </c>
      <c r="H11186" t="s">
        <v>28215</v>
      </c>
      <c r="I11186" t="s">
        <v>28246</v>
      </c>
      <c r="J11186" t="s">
        <v>30496</v>
      </c>
      <c r="K11186" t="s">
        <v>36689</v>
      </c>
      <c r="M11186" t="s">
        <v>40137</v>
      </c>
      <c r="N11186" t="s">
        <v>40436</v>
      </c>
      <c r="O11186" t="s">
        <v>40437</v>
      </c>
      <c r="P11186">
        <v>0</v>
      </c>
      <c r="Q11186">
        <v>0</v>
      </c>
      <c r="R11186" t="s">
        <v>40452</v>
      </c>
      <c r="S11186" t="s">
        <v>41140</v>
      </c>
      <c r="T11186" t="s">
        <v>42168</v>
      </c>
      <c r="U11186" t="s">
        <v>51874</v>
      </c>
      <c r="W11186" t="s">
        <v>40137</v>
      </c>
      <c r="X11186" t="s">
        <v>40453</v>
      </c>
    </row>
    <row r="11187" spans="1:24">
      <c r="A11187">
        <f>HYPERLINK("https://www.philgeps.gov.ph/GEPSNONPILOT/Tender/SplashBidNoticeAbstractUI.aspx?menuIndex=3&amp;refID=7021904&amp;Result=3","7021904")</f>
        <v>0</v>
      </c>
      <c r="B11187" t="s">
        <v>381</v>
      </c>
      <c r="C11187" t="s">
        <v>13774</v>
      </c>
      <c r="D11187" t="s">
        <v>16203</v>
      </c>
      <c r="E11187" t="s">
        <v>25986</v>
      </c>
      <c r="F11187" t="s">
        <v>28198</v>
      </c>
      <c r="G11187" t="s">
        <v>28205</v>
      </c>
      <c r="H11187" t="s">
        <v>28214</v>
      </c>
      <c r="I11187" t="s">
        <v>3797</v>
      </c>
      <c r="J11187" t="s">
        <v>35238</v>
      </c>
      <c r="K11187" t="s">
        <v>36827</v>
      </c>
      <c r="M11187" t="s">
        <v>39833</v>
      </c>
      <c r="N11187" t="s">
        <v>40436</v>
      </c>
      <c r="O11187" t="s">
        <v>40437</v>
      </c>
      <c r="P11187">
        <v>0</v>
      </c>
      <c r="Q11187">
        <v>1</v>
      </c>
      <c r="R11187" t="s">
        <v>40452</v>
      </c>
      <c r="S11187" t="s">
        <v>41140</v>
      </c>
      <c r="T11187" t="s">
        <v>42409</v>
      </c>
      <c r="U11187" t="s">
        <v>51875</v>
      </c>
      <c r="V11187" t="s">
        <v>55072</v>
      </c>
      <c r="W11187" t="s">
        <v>39833</v>
      </c>
      <c r="X11187" t="s">
        <v>40453</v>
      </c>
    </row>
    <row r="11188" spans="1:24">
      <c r="A11188">
        <f>HYPERLINK("https://www.philgeps.gov.ph/GEPSNONPILOT/Tender/SplashBidNoticeAbstractUI.aspx?menuIndex=3&amp;refID=7022142&amp;Result=3","7022142")</f>
        <v>0</v>
      </c>
      <c r="B11188" t="s">
        <v>2199</v>
      </c>
      <c r="C11188" t="s">
        <v>13775</v>
      </c>
      <c r="D11188" t="s">
        <v>16235</v>
      </c>
      <c r="E11188" t="s">
        <v>25987</v>
      </c>
      <c r="F11188" t="s">
        <v>28198</v>
      </c>
      <c r="G11188" t="s">
        <v>28205</v>
      </c>
      <c r="H11188" t="s">
        <v>28214</v>
      </c>
      <c r="I11188" t="s">
        <v>3797</v>
      </c>
      <c r="J11188" t="s">
        <v>35239</v>
      </c>
      <c r="K11188" t="s">
        <v>36689</v>
      </c>
      <c r="M11188" t="s">
        <v>39364</v>
      </c>
      <c r="N11188" t="s">
        <v>40436</v>
      </c>
      <c r="O11188" t="s">
        <v>40437</v>
      </c>
      <c r="P11188">
        <v>0</v>
      </c>
      <c r="Q11188">
        <v>0</v>
      </c>
      <c r="R11188" t="s">
        <v>40452</v>
      </c>
      <c r="S11188" t="s">
        <v>41140</v>
      </c>
      <c r="T11188" t="s">
        <v>42102</v>
      </c>
      <c r="U11188" t="s">
        <v>51876</v>
      </c>
      <c r="W11188" t="s">
        <v>39364</v>
      </c>
      <c r="X11188" t="s">
        <v>40453</v>
      </c>
    </row>
    <row r="11189" spans="1:24">
      <c r="A11189">
        <f>HYPERLINK("https://www.philgeps.gov.ph/GEPSNONPILOT/Tender/SplashBidNoticeAbstractUI.aspx?menuIndex=3&amp;refID=7022135&amp;Result=3","7022135")</f>
        <v>0</v>
      </c>
      <c r="B11189" t="s">
        <v>2876</v>
      </c>
      <c r="C11189" t="s">
        <v>13776</v>
      </c>
      <c r="D11189" t="s">
        <v>16228</v>
      </c>
      <c r="E11189" t="s">
        <v>16639</v>
      </c>
      <c r="F11189" t="s">
        <v>28198</v>
      </c>
      <c r="G11189" t="s">
        <v>28205</v>
      </c>
      <c r="H11189" t="s">
        <v>28215</v>
      </c>
      <c r="I11189" t="s">
        <v>28290</v>
      </c>
      <c r="J11189" t="s">
        <v>35240</v>
      </c>
      <c r="K11189" t="s">
        <v>36693</v>
      </c>
      <c r="M11189" t="s">
        <v>40138</v>
      </c>
      <c r="N11189" t="s">
        <v>40436</v>
      </c>
      <c r="O11189" t="s">
        <v>40437</v>
      </c>
      <c r="P11189">
        <v>0</v>
      </c>
      <c r="Q11189">
        <v>3</v>
      </c>
      <c r="R11189" t="s">
        <v>40452</v>
      </c>
      <c r="S11189" t="s">
        <v>41140</v>
      </c>
      <c r="T11189" t="s">
        <v>42097</v>
      </c>
      <c r="U11189" t="s">
        <v>51877</v>
      </c>
      <c r="W11189" t="s">
        <v>40138</v>
      </c>
      <c r="X11189" t="s">
        <v>40453</v>
      </c>
    </row>
    <row r="11190" spans="1:24">
      <c r="A11190">
        <f>HYPERLINK("https://www.philgeps.gov.ph/GEPSNONPILOT/Tender/SplashBidNoticeAbstractUI.aspx?menuIndex=3&amp;refID=7022120&amp;Result=3","7022120")</f>
        <v>0</v>
      </c>
      <c r="B11190" t="s">
        <v>580</v>
      </c>
      <c r="C11190" t="s">
        <v>13777</v>
      </c>
      <c r="D11190" t="s">
        <v>16214</v>
      </c>
      <c r="E11190" t="s">
        <v>25988</v>
      </c>
      <c r="F11190" t="s">
        <v>28198</v>
      </c>
      <c r="G11190" t="s">
        <v>28205</v>
      </c>
      <c r="H11190" t="s">
        <v>28215</v>
      </c>
      <c r="I11190" t="s">
        <v>28243</v>
      </c>
      <c r="J11190" t="s">
        <v>35241</v>
      </c>
      <c r="K11190" t="s">
        <v>36687</v>
      </c>
      <c r="M11190" t="s">
        <v>37570</v>
      </c>
      <c r="N11190" t="s">
        <v>40436</v>
      </c>
      <c r="O11190" t="s">
        <v>40437</v>
      </c>
      <c r="P11190">
        <v>0</v>
      </c>
      <c r="Q11190">
        <v>2</v>
      </c>
      <c r="R11190" t="s">
        <v>40452</v>
      </c>
      <c r="S11190" t="s">
        <v>41140</v>
      </c>
      <c r="T11190" t="s">
        <v>42176</v>
      </c>
      <c r="U11190" t="s">
        <v>51878</v>
      </c>
      <c r="W11190" t="s">
        <v>37570</v>
      </c>
      <c r="X11190" t="s">
        <v>40453</v>
      </c>
    </row>
    <row r="11191" spans="1:24">
      <c r="A11191">
        <f>HYPERLINK("https://www.philgeps.gov.ph/GEPSNONPILOT/Tender/SplashBidNoticeAbstractUI.aspx?menuIndex=3&amp;refID=7022058&amp;Result=3","7022058")</f>
        <v>0</v>
      </c>
      <c r="B11191" t="s">
        <v>2874</v>
      </c>
      <c r="C11191" t="s">
        <v>13778</v>
      </c>
      <c r="D11191" t="s">
        <v>16198</v>
      </c>
      <c r="E11191" t="s">
        <v>25989</v>
      </c>
      <c r="F11191" t="s">
        <v>28198</v>
      </c>
      <c r="G11191" t="s">
        <v>28205</v>
      </c>
      <c r="H11191" t="s">
        <v>28214</v>
      </c>
      <c r="I11191" t="s">
        <v>3797</v>
      </c>
      <c r="J11191" t="s">
        <v>30849</v>
      </c>
      <c r="K11191" t="s">
        <v>36692</v>
      </c>
      <c r="M11191" t="s">
        <v>40136</v>
      </c>
      <c r="N11191" t="s">
        <v>40436</v>
      </c>
      <c r="O11191" t="s">
        <v>40437</v>
      </c>
      <c r="P11191">
        <v>0</v>
      </c>
      <c r="Q11191">
        <v>1</v>
      </c>
      <c r="R11191" t="s">
        <v>40452</v>
      </c>
      <c r="S11191" t="s">
        <v>41140</v>
      </c>
      <c r="T11191" t="s">
        <v>42103</v>
      </c>
      <c r="U11191" t="s">
        <v>51879</v>
      </c>
      <c r="W11191" t="s">
        <v>40136</v>
      </c>
      <c r="X11191" t="s">
        <v>40453</v>
      </c>
    </row>
    <row r="11192" spans="1:24">
      <c r="A11192">
        <f>HYPERLINK("https://www.philgeps.gov.ph/GEPSNONPILOT/Tender/SplashBidNoticeAbstractUI.aspx?menuIndex=3&amp;refID=7022134&amp;Result=3","7022134")</f>
        <v>0</v>
      </c>
      <c r="B11192" t="s">
        <v>1895</v>
      </c>
      <c r="C11192" t="s">
        <v>13779</v>
      </c>
      <c r="D11192" t="s">
        <v>16193</v>
      </c>
      <c r="E11192" t="s">
        <v>25990</v>
      </c>
      <c r="F11192" t="s">
        <v>28198</v>
      </c>
      <c r="G11192" t="s">
        <v>28205</v>
      </c>
      <c r="H11192" t="s">
        <v>28214</v>
      </c>
      <c r="I11192" t="s">
        <v>3797</v>
      </c>
      <c r="J11192" t="s">
        <v>35242</v>
      </c>
      <c r="K11192" t="s">
        <v>36694</v>
      </c>
      <c r="M11192" t="s">
        <v>39027</v>
      </c>
      <c r="N11192" t="s">
        <v>40436</v>
      </c>
      <c r="O11192" t="s">
        <v>40437</v>
      </c>
      <c r="P11192">
        <v>0</v>
      </c>
      <c r="Q11192">
        <v>0</v>
      </c>
      <c r="R11192" t="s">
        <v>40452</v>
      </c>
      <c r="S11192" t="s">
        <v>41140</v>
      </c>
      <c r="T11192" t="s">
        <v>42176</v>
      </c>
      <c r="U11192" t="s">
        <v>51880</v>
      </c>
      <c r="W11192" t="s">
        <v>39027</v>
      </c>
      <c r="X11192" t="s">
        <v>40453</v>
      </c>
    </row>
    <row r="11193" spans="1:24">
      <c r="A11193">
        <f>HYPERLINK("https://www.philgeps.gov.ph/GEPSNONPILOT/Tender/SplashBidNoticeAbstractUI.aspx?menuIndex=3&amp;refID=7022130&amp;Result=3","7022130")</f>
        <v>0</v>
      </c>
      <c r="B11193" t="s">
        <v>437</v>
      </c>
      <c r="C11193" t="s">
        <v>13780</v>
      </c>
      <c r="D11193" t="s">
        <v>16209</v>
      </c>
      <c r="E11193" t="s">
        <v>25991</v>
      </c>
      <c r="F11193" t="s">
        <v>28198</v>
      </c>
      <c r="G11193" t="s">
        <v>28205</v>
      </c>
      <c r="H11193" t="s">
        <v>28214</v>
      </c>
      <c r="I11193" t="s">
        <v>3797</v>
      </c>
      <c r="J11193" t="s">
        <v>35243</v>
      </c>
      <c r="K11193" t="s">
        <v>36697</v>
      </c>
      <c r="L11193" t="s">
        <v>437</v>
      </c>
      <c r="M11193" t="s">
        <v>37421</v>
      </c>
      <c r="N11193" t="s">
        <v>40436</v>
      </c>
      <c r="O11193" t="s">
        <v>40437</v>
      </c>
      <c r="P11193">
        <v>0</v>
      </c>
      <c r="Q11193">
        <v>1</v>
      </c>
      <c r="R11193" t="s">
        <v>40452</v>
      </c>
      <c r="S11193" t="s">
        <v>41140</v>
      </c>
      <c r="T11193" t="s">
        <v>42136</v>
      </c>
      <c r="U11193" t="s">
        <v>51881</v>
      </c>
      <c r="V11193" t="s">
        <v>54443</v>
      </c>
      <c r="W11193" t="s">
        <v>37421</v>
      </c>
      <c r="X11193" t="s">
        <v>40453</v>
      </c>
    </row>
    <row r="11194" spans="1:24">
      <c r="A11194">
        <f>HYPERLINK("https://www.philgeps.gov.ph/GEPSNONPILOT/Tender/SplashBidNoticeAbstractUI.aspx?menuIndex=3&amp;refID=7022125&amp;Result=3","7022125")</f>
        <v>0</v>
      </c>
      <c r="B11194" t="s">
        <v>232</v>
      </c>
      <c r="C11194" t="s">
        <v>13781</v>
      </c>
      <c r="D11194" t="s">
        <v>16244</v>
      </c>
      <c r="E11194" t="s">
        <v>25992</v>
      </c>
      <c r="F11194" t="s">
        <v>28198</v>
      </c>
      <c r="G11194" t="s">
        <v>28205</v>
      </c>
      <c r="H11194" t="s">
        <v>28215</v>
      </c>
      <c r="I11194" t="s">
        <v>5082</v>
      </c>
      <c r="J11194" t="s">
        <v>35244</v>
      </c>
      <c r="K11194" t="s">
        <v>36701</v>
      </c>
      <c r="M11194" t="s">
        <v>37208</v>
      </c>
      <c r="N11194" t="s">
        <v>40436</v>
      </c>
      <c r="O11194" t="s">
        <v>40437</v>
      </c>
      <c r="P11194">
        <v>0</v>
      </c>
      <c r="Q11194">
        <v>4</v>
      </c>
      <c r="R11194" t="s">
        <v>40452</v>
      </c>
      <c r="S11194" t="s">
        <v>41140</v>
      </c>
      <c r="T11194" t="s">
        <v>42134</v>
      </c>
      <c r="U11194" t="s">
        <v>51882</v>
      </c>
      <c r="W11194" t="s">
        <v>37208</v>
      </c>
      <c r="X11194" t="s">
        <v>40453</v>
      </c>
    </row>
    <row r="11195" spans="1:24">
      <c r="A11195">
        <f>HYPERLINK("https://www.philgeps.gov.ph/GEPSNONPILOT/Tender/SplashBidNoticeAbstractUI.aspx?menuIndex=3&amp;refID=7022054&amp;Result=3","7022054")</f>
        <v>0</v>
      </c>
      <c r="B11195" t="s">
        <v>325</v>
      </c>
      <c r="C11195" t="s">
        <v>13782</v>
      </c>
      <c r="D11195" t="s">
        <v>16226</v>
      </c>
      <c r="E11195" t="s">
        <v>25993</v>
      </c>
      <c r="F11195" t="s">
        <v>28198</v>
      </c>
      <c r="G11195" t="s">
        <v>28205</v>
      </c>
      <c r="H11195" t="s">
        <v>28214</v>
      </c>
      <c r="I11195" t="s">
        <v>3797</v>
      </c>
      <c r="J11195" t="s">
        <v>35245</v>
      </c>
      <c r="K11195" t="s">
        <v>36692</v>
      </c>
      <c r="M11195" t="s">
        <v>37303</v>
      </c>
      <c r="N11195" t="s">
        <v>40436</v>
      </c>
      <c r="O11195" t="s">
        <v>40437</v>
      </c>
      <c r="P11195">
        <v>0</v>
      </c>
      <c r="Q11195">
        <v>1</v>
      </c>
      <c r="R11195" t="s">
        <v>40452</v>
      </c>
      <c r="S11195" t="s">
        <v>41140</v>
      </c>
      <c r="T11195" t="s">
        <v>42234</v>
      </c>
      <c r="U11195" t="s">
        <v>51870</v>
      </c>
      <c r="V11195" t="s">
        <v>54666</v>
      </c>
      <c r="W11195" t="s">
        <v>55443</v>
      </c>
      <c r="X11195" t="s">
        <v>40453</v>
      </c>
    </row>
    <row r="11196" spans="1:24">
      <c r="A11196">
        <f>HYPERLINK("https://www.philgeps.gov.ph/GEPSNONPILOT/Tender/SplashBidNoticeAbstractUI.aspx?menuIndex=3&amp;refID=7022133&amp;Result=3","7022133")</f>
        <v>0</v>
      </c>
      <c r="B11196" t="s">
        <v>281</v>
      </c>
      <c r="C11196" t="s">
        <v>13783</v>
      </c>
      <c r="D11196" t="s">
        <v>16218</v>
      </c>
      <c r="E11196" t="s">
        <v>25994</v>
      </c>
      <c r="F11196" t="s">
        <v>28198</v>
      </c>
      <c r="G11196" t="s">
        <v>28205</v>
      </c>
      <c r="H11196" t="s">
        <v>28214</v>
      </c>
      <c r="I11196" t="s">
        <v>3797</v>
      </c>
      <c r="J11196" t="s">
        <v>28390</v>
      </c>
      <c r="K11196" t="s">
        <v>36717</v>
      </c>
      <c r="M11196" t="s">
        <v>37258</v>
      </c>
      <c r="N11196" t="s">
        <v>40436</v>
      </c>
      <c r="O11196" t="s">
        <v>40437</v>
      </c>
      <c r="P11196">
        <v>0</v>
      </c>
      <c r="Q11196">
        <v>0</v>
      </c>
      <c r="R11196" t="s">
        <v>40452</v>
      </c>
      <c r="S11196" t="s">
        <v>41140</v>
      </c>
      <c r="T11196" t="s">
        <v>42103</v>
      </c>
      <c r="U11196" t="s">
        <v>51883</v>
      </c>
      <c r="W11196" t="s">
        <v>37258</v>
      </c>
      <c r="X11196" t="s">
        <v>40453</v>
      </c>
    </row>
    <row r="11197" spans="1:24">
      <c r="A11197">
        <f>HYPERLINK("https://www.philgeps.gov.ph/GEPSNONPILOT/Tender/SplashBidNoticeAbstractUI.aspx?menuIndex=3&amp;refID=7022002&amp;Result=3","7022002")</f>
        <v>0</v>
      </c>
      <c r="B11197" t="s">
        <v>2874</v>
      </c>
      <c r="C11197" t="s">
        <v>13784</v>
      </c>
      <c r="D11197" t="s">
        <v>16198</v>
      </c>
      <c r="E11197" t="s">
        <v>25995</v>
      </c>
      <c r="F11197" t="s">
        <v>28198</v>
      </c>
      <c r="G11197" t="s">
        <v>28205</v>
      </c>
      <c r="H11197" t="s">
        <v>28214</v>
      </c>
      <c r="I11197" t="s">
        <v>3797</v>
      </c>
      <c r="J11197" t="s">
        <v>35246</v>
      </c>
      <c r="K11197" t="s">
        <v>36717</v>
      </c>
      <c r="M11197" t="s">
        <v>40136</v>
      </c>
      <c r="N11197" t="s">
        <v>40436</v>
      </c>
      <c r="O11197" t="s">
        <v>40437</v>
      </c>
      <c r="P11197">
        <v>0</v>
      </c>
      <c r="Q11197">
        <v>1</v>
      </c>
      <c r="R11197" t="s">
        <v>40452</v>
      </c>
      <c r="S11197" t="s">
        <v>41140</v>
      </c>
      <c r="T11197" t="s">
        <v>42119</v>
      </c>
      <c r="U11197" t="s">
        <v>51884</v>
      </c>
      <c r="W11197" t="s">
        <v>40136</v>
      </c>
      <c r="X11197" t="s">
        <v>40453</v>
      </c>
    </row>
    <row r="11198" spans="1:24">
      <c r="A11198">
        <f>HYPERLINK("https://www.philgeps.gov.ph/GEPSNONPILOT/Tender/SplashBidNoticeAbstractUI.aspx?menuIndex=3&amp;refID=7021987&amp;Result=3","7021987")</f>
        <v>0</v>
      </c>
      <c r="B11198" t="s">
        <v>348</v>
      </c>
      <c r="C11198" t="s">
        <v>13785</v>
      </c>
      <c r="D11198" t="s">
        <v>16227</v>
      </c>
      <c r="E11198" t="s">
        <v>25996</v>
      </c>
      <c r="F11198" t="s">
        <v>28198</v>
      </c>
      <c r="G11198" t="s">
        <v>28205</v>
      </c>
      <c r="H11198" t="s">
        <v>28214</v>
      </c>
      <c r="I11198" t="s">
        <v>3797</v>
      </c>
      <c r="J11198" t="s">
        <v>28351</v>
      </c>
      <c r="K11198" t="s">
        <v>36694</v>
      </c>
      <c r="M11198" t="s">
        <v>37327</v>
      </c>
      <c r="N11198" t="s">
        <v>40436</v>
      </c>
      <c r="O11198" t="s">
        <v>40437</v>
      </c>
      <c r="P11198">
        <v>0</v>
      </c>
      <c r="Q11198">
        <v>1</v>
      </c>
      <c r="R11198" t="s">
        <v>40452</v>
      </c>
      <c r="S11198" t="s">
        <v>41140</v>
      </c>
      <c r="T11198" t="s">
        <v>42128</v>
      </c>
      <c r="U11198" t="s">
        <v>51885</v>
      </c>
      <c r="W11198" t="s">
        <v>55445</v>
      </c>
      <c r="X11198" t="s">
        <v>40453</v>
      </c>
    </row>
    <row r="11199" spans="1:24">
      <c r="A11199">
        <f>HYPERLINK("https://www.philgeps.gov.ph/GEPSNONPILOT/Tender/SplashBidNoticeAbstractUI.aspx?menuIndex=3&amp;refID=7022036&amp;Result=3","7022036")</f>
        <v>0</v>
      </c>
      <c r="B11199" t="s">
        <v>2270</v>
      </c>
      <c r="C11199" t="s">
        <v>13786</v>
      </c>
      <c r="E11199" t="s">
        <v>13786</v>
      </c>
      <c r="F11199" t="s">
        <v>28198</v>
      </c>
      <c r="G11199" t="s">
        <v>28209</v>
      </c>
      <c r="H11199" t="s">
        <v>28215</v>
      </c>
      <c r="I11199" t="s">
        <v>28222</v>
      </c>
      <c r="J11199" t="s">
        <v>28468</v>
      </c>
      <c r="K11199" t="s">
        <v>36707</v>
      </c>
      <c r="M11199" t="s">
        <v>39441</v>
      </c>
      <c r="N11199" t="s">
        <v>40436</v>
      </c>
      <c r="O11199" t="s">
        <v>40437</v>
      </c>
      <c r="P11199">
        <v>0</v>
      </c>
      <c r="Q11199">
        <v>8</v>
      </c>
      <c r="R11199" t="s">
        <v>40452</v>
      </c>
      <c r="S11199" t="s">
        <v>41140</v>
      </c>
      <c r="T11199" t="s">
        <v>42129</v>
      </c>
      <c r="U11199" t="s">
        <v>51886</v>
      </c>
      <c r="W11199" t="s">
        <v>39441</v>
      </c>
      <c r="X11199" t="s">
        <v>40453</v>
      </c>
    </row>
    <row r="11200" spans="1:24">
      <c r="A11200">
        <f>HYPERLINK("https://www.philgeps.gov.ph/GEPSNONPILOT/Tender/SplashBidNoticeAbstractUI.aspx?menuIndex=3&amp;refID=7022022&amp;Result=3","7022022")</f>
        <v>0</v>
      </c>
      <c r="B11200" t="s">
        <v>325</v>
      </c>
      <c r="C11200" t="s">
        <v>13787</v>
      </c>
      <c r="D11200" t="s">
        <v>16226</v>
      </c>
      <c r="E11200" t="s">
        <v>25997</v>
      </c>
      <c r="F11200" t="s">
        <v>28198</v>
      </c>
      <c r="G11200" t="s">
        <v>28205</v>
      </c>
      <c r="H11200" t="s">
        <v>28214</v>
      </c>
      <c r="I11200" t="s">
        <v>3797</v>
      </c>
      <c r="J11200" t="s">
        <v>35247</v>
      </c>
      <c r="K11200" t="s">
        <v>36687</v>
      </c>
      <c r="M11200" t="s">
        <v>37303</v>
      </c>
      <c r="N11200" t="s">
        <v>40436</v>
      </c>
      <c r="O11200" t="s">
        <v>40437</v>
      </c>
      <c r="P11200">
        <v>0</v>
      </c>
      <c r="Q11200">
        <v>1</v>
      </c>
      <c r="R11200" t="s">
        <v>40452</v>
      </c>
      <c r="S11200" t="s">
        <v>41140</v>
      </c>
      <c r="T11200" t="s">
        <v>42234</v>
      </c>
      <c r="U11200" t="s">
        <v>51870</v>
      </c>
      <c r="V11200" t="s">
        <v>54666</v>
      </c>
      <c r="W11200" t="s">
        <v>55443</v>
      </c>
      <c r="X11200" t="s">
        <v>40453</v>
      </c>
    </row>
    <row r="11201" spans="1:24">
      <c r="A11201">
        <f>HYPERLINK("https://www.philgeps.gov.ph/GEPSNONPILOT/Tender/SplashBidNoticeAbstractUI.aspx?menuIndex=3&amp;refID=7022018&amp;Result=3","7022018")</f>
        <v>0</v>
      </c>
      <c r="B11201" t="s">
        <v>1307</v>
      </c>
      <c r="C11201" t="s">
        <v>13788</v>
      </c>
      <c r="D11201" t="s">
        <v>16196</v>
      </c>
      <c r="E11201" t="s">
        <v>25998</v>
      </c>
      <c r="F11201" t="s">
        <v>28198</v>
      </c>
      <c r="G11201" t="s">
        <v>28205</v>
      </c>
      <c r="H11201" t="s">
        <v>28215</v>
      </c>
      <c r="I11201" t="s">
        <v>28234</v>
      </c>
      <c r="J11201" t="s">
        <v>35248</v>
      </c>
      <c r="K11201" t="s">
        <v>36693</v>
      </c>
      <c r="M11201" t="s">
        <v>38361</v>
      </c>
      <c r="N11201" t="s">
        <v>40436</v>
      </c>
      <c r="O11201" t="s">
        <v>40437</v>
      </c>
      <c r="Q11201">
        <v>19</v>
      </c>
      <c r="R11201" t="s">
        <v>40452</v>
      </c>
      <c r="S11201" t="s">
        <v>41166</v>
      </c>
      <c r="T11201" t="s">
        <v>42203</v>
      </c>
      <c r="U11201" t="s">
        <v>51887</v>
      </c>
      <c r="W11201" t="s">
        <v>38361</v>
      </c>
      <c r="X11201" t="s">
        <v>40453</v>
      </c>
    </row>
    <row r="11202" spans="1:24">
      <c r="A11202">
        <f>HYPERLINK("https://www.philgeps.gov.ph/GEPSNONPILOT/Tender/SplashBidNoticeAbstractUI.aspx?menuIndex=3&amp;refID=7022053&amp;Result=3","7022053")</f>
        <v>0</v>
      </c>
      <c r="B11202" t="s">
        <v>437</v>
      </c>
      <c r="C11202" t="s">
        <v>13789</v>
      </c>
      <c r="D11202" t="s">
        <v>16209</v>
      </c>
      <c r="E11202" t="s">
        <v>25991</v>
      </c>
      <c r="F11202" t="s">
        <v>28198</v>
      </c>
      <c r="G11202" t="s">
        <v>28205</v>
      </c>
      <c r="H11202" t="s">
        <v>28214</v>
      </c>
      <c r="I11202" t="s">
        <v>3797</v>
      </c>
      <c r="J11202" t="s">
        <v>35249</v>
      </c>
      <c r="K11202" t="s">
        <v>36694</v>
      </c>
      <c r="L11202" t="s">
        <v>437</v>
      </c>
      <c r="M11202" t="s">
        <v>37421</v>
      </c>
      <c r="N11202" t="s">
        <v>40436</v>
      </c>
      <c r="O11202" t="s">
        <v>40437</v>
      </c>
      <c r="P11202">
        <v>0</v>
      </c>
      <c r="Q11202">
        <v>1</v>
      </c>
      <c r="R11202" t="s">
        <v>40452</v>
      </c>
      <c r="S11202" t="s">
        <v>41140</v>
      </c>
      <c r="T11202" t="s">
        <v>42136</v>
      </c>
      <c r="U11202" t="s">
        <v>51888</v>
      </c>
      <c r="V11202" t="s">
        <v>55073</v>
      </c>
      <c r="W11202" t="s">
        <v>37421</v>
      </c>
      <c r="X11202" t="s">
        <v>40453</v>
      </c>
    </row>
    <row r="11203" spans="1:24">
      <c r="A11203">
        <f>HYPERLINK("https://www.philgeps.gov.ph/GEPSNONPILOT/Tender/SplashBidNoticeAbstractUI.aspx?menuIndex=3&amp;refID=7022165&amp;Result=3","7022165")</f>
        <v>0</v>
      </c>
      <c r="B11203" t="s">
        <v>2877</v>
      </c>
      <c r="C11203" t="s">
        <v>13790</v>
      </c>
      <c r="D11203" t="s">
        <v>16195</v>
      </c>
      <c r="E11203" t="s">
        <v>24148</v>
      </c>
      <c r="F11203" t="s">
        <v>28198</v>
      </c>
      <c r="G11203" t="s">
        <v>28205</v>
      </c>
      <c r="H11203" t="s">
        <v>28215</v>
      </c>
      <c r="I11203" t="s">
        <v>5100</v>
      </c>
      <c r="J11203" t="s">
        <v>35250</v>
      </c>
      <c r="K11203" t="s">
        <v>36701</v>
      </c>
      <c r="M11203" t="s">
        <v>40139</v>
      </c>
      <c r="N11203" t="s">
        <v>40436</v>
      </c>
      <c r="O11203" t="s">
        <v>40437</v>
      </c>
      <c r="P11203">
        <v>0</v>
      </c>
      <c r="Q11203">
        <v>0</v>
      </c>
      <c r="R11203" t="s">
        <v>40452</v>
      </c>
      <c r="S11203" t="s">
        <v>41140</v>
      </c>
      <c r="T11203" t="s">
        <v>42514</v>
      </c>
      <c r="U11203" t="s">
        <v>51889</v>
      </c>
      <c r="V11203" t="s">
        <v>54453</v>
      </c>
      <c r="W11203" t="s">
        <v>40139</v>
      </c>
      <c r="X11203" t="s">
        <v>40453</v>
      </c>
    </row>
    <row r="11204" spans="1:24">
      <c r="A11204">
        <f>HYPERLINK("https://www.philgeps.gov.ph/GEPSNONPILOT/Tender/SplashBidNoticeAbstractUI.aspx?menuIndex=3&amp;refID=7022153&amp;Result=3","7022153")</f>
        <v>0</v>
      </c>
      <c r="B11204" t="s">
        <v>243</v>
      </c>
      <c r="C11204" t="s">
        <v>13791</v>
      </c>
      <c r="D11204" t="s">
        <v>16193</v>
      </c>
      <c r="E11204" t="s">
        <v>25999</v>
      </c>
      <c r="F11204" t="s">
        <v>28198</v>
      </c>
      <c r="G11204" t="s">
        <v>28205</v>
      </c>
      <c r="H11204" t="s">
        <v>28214</v>
      </c>
      <c r="I11204" t="s">
        <v>3797</v>
      </c>
      <c r="J11204" t="s">
        <v>35251</v>
      </c>
      <c r="K11204" t="s">
        <v>36694</v>
      </c>
      <c r="M11204" t="s">
        <v>37219</v>
      </c>
      <c r="N11204" t="s">
        <v>40436</v>
      </c>
      <c r="O11204" t="s">
        <v>40437</v>
      </c>
      <c r="P11204">
        <v>0</v>
      </c>
      <c r="Q11204">
        <v>0</v>
      </c>
      <c r="R11204" t="s">
        <v>40452</v>
      </c>
      <c r="S11204" t="s">
        <v>41140</v>
      </c>
      <c r="T11204" t="s">
        <v>42133</v>
      </c>
      <c r="U11204" t="s">
        <v>51890</v>
      </c>
      <c r="V11204" t="s">
        <v>53921</v>
      </c>
      <c r="W11204" t="s">
        <v>37219</v>
      </c>
      <c r="X11204" t="s">
        <v>40453</v>
      </c>
    </row>
    <row r="11205" spans="1:24">
      <c r="A11205">
        <f>HYPERLINK("https://www.philgeps.gov.ph/GEPSNONPILOT/Tender/SplashBidNoticeAbstractUI.aspx?menuIndex=3&amp;refID=7021985&amp;Result=3","7021985")</f>
        <v>0</v>
      </c>
      <c r="B11205" t="s">
        <v>2368</v>
      </c>
      <c r="C11205" t="s">
        <v>13792</v>
      </c>
      <c r="E11205" t="s">
        <v>26000</v>
      </c>
      <c r="F11205" t="s">
        <v>28198</v>
      </c>
      <c r="G11205" t="s">
        <v>28205</v>
      </c>
      <c r="H11205" t="s">
        <v>28215</v>
      </c>
      <c r="I11205" t="s">
        <v>28234</v>
      </c>
      <c r="J11205" t="s">
        <v>35252</v>
      </c>
      <c r="K11205" t="s">
        <v>36689</v>
      </c>
      <c r="M11205" t="s">
        <v>40140</v>
      </c>
      <c r="N11205" t="s">
        <v>40436</v>
      </c>
      <c r="O11205" t="s">
        <v>40437</v>
      </c>
      <c r="Q11205">
        <v>12</v>
      </c>
      <c r="R11205" t="s">
        <v>40452</v>
      </c>
      <c r="S11205" t="s">
        <v>41167</v>
      </c>
      <c r="T11205" t="s">
        <v>42238</v>
      </c>
      <c r="U11205" t="s">
        <v>51891</v>
      </c>
      <c r="W11205" t="s">
        <v>40140</v>
      </c>
      <c r="X11205" t="s">
        <v>40453</v>
      </c>
    </row>
    <row r="11206" spans="1:24">
      <c r="A11206">
        <f>HYPERLINK("https://www.philgeps.gov.ph/GEPSNONPILOT/Tender/SplashBidNoticeAbstractUI.aspx?menuIndex=3&amp;refID=7022171&amp;Result=3","7022171")</f>
        <v>0</v>
      </c>
      <c r="B11206" t="s">
        <v>2199</v>
      </c>
      <c r="C11206" t="s">
        <v>13793</v>
      </c>
      <c r="D11206" t="s">
        <v>16235</v>
      </c>
      <c r="E11206" t="s">
        <v>26001</v>
      </c>
      <c r="F11206" t="s">
        <v>28198</v>
      </c>
      <c r="G11206" t="s">
        <v>28205</v>
      </c>
      <c r="H11206" t="s">
        <v>28214</v>
      </c>
      <c r="I11206" t="s">
        <v>3797</v>
      </c>
      <c r="J11206" t="s">
        <v>35253</v>
      </c>
      <c r="K11206" t="s">
        <v>36689</v>
      </c>
      <c r="M11206" t="s">
        <v>39364</v>
      </c>
      <c r="N11206" t="s">
        <v>40436</v>
      </c>
      <c r="O11206" t="s">
        <v>40437</v>
      </c>
      <c r="P11206">
        <v>0</v>
      </c>
      <c r="Q11206">
        <v>0</v>
      </c>
      <c r="R11206" t="s">
        <v>40452</v>
      </c>
      <c r="S11206" t="s">
        <v>41140</v>
      </c>
      <c r="T11206" t="s">
        <v>42102</v>
      </c>
      <c r="U11206" t="s">
        <v>51892</v>
      </c>
      <c r="W11206" t="s">
        <v>39364</v>
      </c>
      <c r="X11206" t="s">
        <v>40453</v>
      </c>
    </row>
    <row r="11207" spans="1:24">
      <c r="A11207">
        <f>HYPERLINK("https://www.philgeps.gov.ph/GEPSNONPILOT/Tender/SplashBidNoticeAbstractUI.aspx?menuIndex=3&amp;refID=7022169&amp;Result=3","7022169")</f>
        <v>0</v>
      </c>
      <c r="B11207" t="s">
        <v>2866</v>
      </c>
      <c r="C11207" t="s">
        <v>13794</v>
      </c>
      <c r="D11207" t="s">
        <v>16228</v>
      </c>
      <c r="E11207" t="s">
        <v>26002</v>
      </c>
      <c r="F11207" t="s">
        <v>28200</v>
      </c>
      <c r="G11207" t="s">
        <v>28205</v>
      </c>
      <c r="H11207" t="s">
        <v>28214</v>
      </c>
      <c r="I11207" t="s">
        <v>3797</v>
      </c>
      <c r="J11207" t="s">
        <v>28645</v>
      </c>
      <c r="K11207" t="s">
        <v>36708</v>
      </c>
      <c r="M11207" t="s">
        <v>40128</v>
      </c>
      <c r="N11207" t="s">
        <v>40436</v>
      </c>
      <c r="O11207" t="s">
        <v>40437</v>
      </c>
      <c r="P11207">
        <v>0</v>
      </c>
      <c r="Q11207">
        <v>1</v>
      </c>
      <c r="R11207" t="s">
        <v>40452</v>
      </c>
      <c r="S11207" t="s">
        <v>41140</v>
      </c>
      <c r="T11207" t="s">
        <v>42240</v>
      </c>
      <c r="U11207" t="s">
        <v>51893</v>
      </c>
      <c r="V11207" t="s">
        <v>55071</v>
      </c>
      <c r="W11207" t="s">
        <v>40128</v>
      </c>
      <c r="X11207" t="s">
        <v>40453</v>
      </c>
    </row>
    <row r="11208" spans="1:24">
      <c r="A11208">
        <f>HYPERLINK("https://www.philgeps.gov.ph/GEPSNONPILOT/Tender/SplashBidNoticeAbstractUI.aspx?menuIndex=3&amp;refID=7021997&amp;Result=3","7021997")</f>
        <v>0</v>
      </c>
      <c r="B11208" t="s">
        <v>325</v>
      </c>
      <c r="C11208" t="s">
        <v>13795</v>
      </c>
      <c r="D11208" t="s">
        <v>16226</v>
      </c>
      <c r="E11208" t="s">
        <v>26003</v>
      </c>
      <c r="F11208" t="s">
        <v>28198</v>
      </c>
      <c r="G11208" t="s">
        <v>28205</v>
      </c>
      <c r="H11208" t="s">
        <v>28214</v>
      </c>
      <c r="I11208" t="s">
        <v>3797</v>
      </c>
      <c r="J11208" t="s">
        <v>35254</v>
      </c>
      <c r="K11208" t="s">
        <v>36848</v>
      </c>
      <c r="M11208" t="s">
        <v>37303</v>
      </c>
      <c r="N11208" t="s">
        <v>40436</v>
      </c>
      <c r="O11208" t="s">
        <v>40437</v>
      </c>
      <c r="P11208">
        <v>0</v>
      </c>
      <c r="Q11208">
        <v>3</v>
      </c>
      <c r="R11208" t="s">
        <v>40452</v>
      </c>
      <c r="S11208" t="s">
        <v>41140</v>
      </c>
      <c r="T11208" t="s">
        <v>42234</v>
      </c>
      <c r="U11208" t="s">
        <v>51870</v>
      </c>
      <c r="V11208" t="s">
        <v>54666</v>
      </c>
      <c r="W11208" t="s">
        <v>55443</v>
      </c>
      <c r="X11208" t="s">
        <v>40453</v>
      </c>
    </row>
    <row r="11209" spans="1:24">
      <c r="A11209">
        <f>HYPERLINK("https://www.philgeps.gov.ph/GEPSNONPILOT/Tender/SplashBidNoticeAbstractUI.aspx?menuIndex=3&amp;refID=7022154&amp;Result=3","7022154")</f>
        <v>0</v>
      </c>
      <c r="B11209" t="s">
        <v>1166</v>
      </c>
      <c r="C11209" t="s">
        <v>13796</v>
      </c>
      <c r="E11209" t="s">
        <v>26004</v>
      </c>
      <c r="F11209" t="s">
        <v>28198</v>
      </c>
      <c r="G11209" t="s">
        <v>28205</v>
      </c>
      <c r="H11209" t="s">
        <v>28215</v>
      </c>
      <c r="I11209" t="s">
        <v>28224</v>
      </c>
      <c r="J11209" t="s">
        <v>28921</v>
      </c>
      <c r="K11209" t="s">
        <v>36689</v>
      </c>
      <c r="M11209" t="s">
        <v>38206</v>
      </c>
      <c r="N11209" t="s">
        <v>40436</v>
      </c>
      <c r="O11209" t="s">
        <v>40437</v>
      </c>
      <c r="P11209">
        <v>0</v>
      </c>
      <c r="Q11209">
        <v>1</v>
      </c>
      <c r="R11209" t="s">
        <v>40452</v>
      </c>
      <c r="S11209" t="s">
        <v>41140</v>
      </c>
      <c r="T11209" t="s">
        <v>42159</v>
      </c>
      <c r="U11209" t="s">
        <v>51894</v>
      </c>
      <c r="V11209" t="s">
        <v>54851</v>
      </c>
      <c r="W11209" t="s">
        <v>38206</v>
      </c>
      <c r="X11209" t="s">
        <v>40453</v>
      </c>
    </row>
    <row r="11210" spans="1:24">
      <c r="A11210">
        <f>HYPERLINK("https://www.philgeps.gov.ph/GEPSNONPILOT/Tender/SplashBidNoticeAbstractUI.aspx?menuIndex=3&amp;refID=7022211&amp;Result=3","7022211")</f>
        <v>0</v>
      </c>
      <c r="B11210" t="s">
        <v>232</v>
      </c>
      <c r="C11210" t="s">
        <v>13797</v>
      </c>
      <c r="D11210" t="s">
        <v>16244</v>
      </c>
      <c r="E11210" t="s">
        <v>26005</v>
      </c>
      <c r="F11210" t="s">
        <v>28198</v>
      </c>
      <c r="G11210" t="s">
        <v>28205</v>
      </c>
      <c r="H11210" t="s">
        <v>28215</v>
      </c>
      <c r="I11210" t="s">
        <v>28265</v>
      </c>
      <c r="J11210" t="s">
        <v>35255</v>
      </c>
      <c r="K11210" t="s">
        <v>36701</v>
      </c>
      <c r="M11210" t="s">
        <v>37208</v>
      </c>
      <c r="N11210" t="s">
        <v>40436</v>
      </c>
      <c r="O11210" t="s">
        <v>40437</v>
      </c>
      <c r="P11210">
        <v>0</v>
      </c>
      <c r="Q11210">
        <v>0</v>
      </c>
      <c r="R11210" t="s">
        <v>40452</v>
      </c>
      <c r="S11210" t="s">
        <v>41140</v>
      </c>
      <c r="T11210" t="s">
        <v>42134</v>
      </c>
      <c r="U11210" t="s">
        <v>51895</v>
      </c>
      <c r="W11210" t="s">
        <v>37208</v>
      </c>
      <c r="X11210" t="s">
        <v>40453</v>
      </c>
    </row>
    <row r="11211" spans="1:24">
      <c r="A11211">
        <f>HYPERLINK("https://www.philgeps.gov.ph/GEPSNONPILOT/Tender/SplashBidNoticeAbstractUI.aspx?menuIndex=3&amp;refID=7022173&amp;Result=3","7022173")</f>
        <v>0</v>
      </c>
      <c r="B11211" t="s">
        <v>232</v>
      </c>
      <c r="C11211" t="s">
        <v>13798</v>
      </c>
      <c r="D11211" t="s">
        <v>16244</v>
      </c>
      <c r="E11211" t="s">
        <v>26006</v>
      </c>
      <c r="F11211" t="s">
        <v>28198</v>
      </c>
      <c r="G11211" t="s">
        <v>28205</v>
      </c>
      <c r="H11211" t="s">
        <v>28215</v>
      </c>
      <c r="I11211" t="s">
        <v>5082</v>
      </c>
      <c r="J11211" t="s">
        <v>35256</v>
      </c>
      <c r="K11211" t="s">
        <v>36701</v>
      </c>
      <c r="M11211" t="s">
        <v>37208</v>
      </c>
      <c r="N11211" t="s">
        <v>40436</v>
      </c>
      <c r="O11211" t="s">
        <v>40437</v>
      </c>
      <c r="P11211">
        <v>0</v>
      </c>
      <c r="Q11211">
        <v>4</v>
      </c>
      <c r="R11211" t="s">
        <v>40452</v>
      </c>
      <c r="S11211" t="s">
        <v>41140</v>
      </c>
      <c r="T11211" t="s">
        <v>42134</v>
      </c>
      <c r="U11211" t="s">
        <v>51896</v>
      </c>
      <c r="W11211" t="s">
        <v>37208</v>
      </c>
      <c r="X11211" t="s">
        <v>40453</v>
      </c>
    </row>
    <row r="11212" spans="1:24">
      <c r="A11212">
        <f>HYPERLINK("https://www.philgeps.gov.ph/GEPSNONPILOT/Tender/SplashBidNoticeAbstractUI.aspx?menuIndex=3&amp;refID=7022187&amp;Result=3","7022187")</f>
        <v>0</v>
      </c>
      <c r="B11212" t="s">
        <v>1845</v>
      </c>
      <c r="C11212" t="s">
        <v>13799</v>
      </c>
      <c r="D11212" t="s">
        <v>16190</v>
      </c>
      <c r="E11212" t="s">
        <v>26007</v>
      </c>
      <c r="F11212" t="s">
        <v>28198</v>
      </c>
      <c r="G11212" t="s">
        <v>28205</v>
      </c>
      <c r="H11212" t="s">
        <v>28214</v>
      </c>
      <c r="I11212" t="s">
        <v>3797</v>
      </c>
      <c r="J11212" t="s">
        <v>29190</v>
      </c>
      <c r="K11212" t="s">
        <v>36697</v>
      </c>
      <c r="M11212" t="s">
        <v>38972</v>
      </c>
      <c r="N11212" t="s">
        <v>40436</v>
      </c>
      <c r="O11212" t="s">
        <v>40437</v>
      </c>
      <c r="P11212">
        <v>0</v>
      </c>
      <c r="Q11212">
        <v>9</v>
      </c>
      <c r="R11212" t="s">
        <v>40452</v>
      </c>
      <c r="S11212" t="s">
        <v>41140</v>
      </c>
      <c r="T11212" t="s">
        <v>42144</v>
      </c>
      <c r="U11212" t="s">
        <v>51897</v>
      </c>
      <c r="W11212" t="s">
        <v>55530</v>
      </c>
      <c r="X11212" t="s">
        <v>40453</v>
      </c>
    </row>
    <row r="11213" spans="1:24">
      <c r="A11213">
        <f>HYPERLINK("https://www.philgeps.gov.ph/GEPSNONPILOT/Tender/SplashBidNoticeAbstractUI.aspx?menuIndex=3&amp;refID=7022246&amp;Result=3","7022246")</f>
        <v>0</v>
      </c>
      <c r="B11213" t="s">
        <v>1698</v>
      </c>
      <c r="C11213" t="s">
        <v>13800</v>
      </c>
      <c r="D11213" t="s">
        <v>16233</v>
      </c>
      <c r="E11213" t="s">
        <v>26008</v>
      </c>
      <c r="F11213" t="s">
        <v>28198</v>
      </c>
      <c r="G11213" t="s">
        <v>28205</v>
      </c>
      <c r="H11213" t="s">
        <v>28215</v>
      </c>
      <c r="I11213" t="s">
        <v>5100</v>
      </c>
      <c r="J11213" t="s">
        <v>35257</v>
      </c>
      <c r="K11213" t="s">
        <v>36697</v>
      </c>
      <c r="L11213" t="s">
        <v>1698</v>
      </c>
      <c r="M11213" t="s">
        <v>38799</v>
      </c>
      <c r="N11213" t="s">
        <v>40436</v>
      </c>
      <c r="O11213" t="s">
        <v>40437</v>
      </c>
      <c r="P11213">
        <v>0</v>
      </c>
      <c r="Q11213">
        <v>0</v>
      </c>
      <c r="R11213" t="s">
        <v>40452</v>
      </c>
      <c r="S11213" t="s">
        <v>41140</v>
      </c>
      <c r="T11213" t="s">
        <v>42129</v>
      </c>
      <c r="U11213" t="s">
        <v>51898</v>
      </c>
      <c r="V11213" t="s">
        <v>54270</v>
      </c>
      <c r="W11213" t="s">
        <v>38799</v>
      </c>
      <c r="X11213" t="s">
        <v>40453</v>
      </c>
    </row>
    <row r="11214" spans="1:24">
      <c r="A11214">
        <f>HYPERLINK("https://www.philgeps.gov.ph/GEPSNONPILOT/Tender/SplashBidNoticeAbstractUI.aspx?menuIndex=3&amp;refID=7022194&amp;Result=3","7022194")</f>
        <v>0</v>
      </c>
      <c r="B11214" t="s">
        <v>1166</v>
      </c>
      <c r="C11214" t="s">
        <v>13801</v>
      </c>
      <c r="E11214" t="s">
        <v>26009</v>
      </c>
      <c r="F11214" t="s">
        <v>28198</v>
      </c>
      <c r="G11214" t="s">
        <v>28205</v>
      </c>
      <c r="H11214" t="s">
        <v>28215</v>
      </c>
      <c r="I11214" t="s">
        <v>28224</v>
      </c>
      <c r="J11214" t="s">
        <v>28699</v>
      </c>
      <c r="K11214" t="s">
        <v>36689</v>
      </c>
      <c r="M11214" t="s">
        <v>38206</v>
      </c>
      <c r="N11214" t="s">
        <v>40436</v>
      </c>
      <c r="O11214" t="s">
        <v>40437</v>
      </c>
      <c r="P11214">
        <v>0</v>
      </c>
      <c r="Q11214">
        <v>1</v>
      </c>
      <c r="R11214" t="s">
        <v>40452</v>
      </c>
      <c r="S11214" t="s">
        <v>41140</v>
      </c>
      <c r="T11214" t="s">
        <v>42159</v>
      </c>
      <c r="U11214" t="s">
        <v>51899</v>
      </c>
      <c r="V11214" t="s">
        <v>54851</v>
      </c>
      <c r="W11214" t="s">
        <v>38206</v>
      </c>
      <c r="X11214" t="s">
        <v>40453</v>
      </c>
    </row>
    <row r="11215" spans="1:24">
      <c r="A11215">
        <f>HYPERLINK("https://www.philgeps.gov.ph/GEPSNONPILOT/Tender/SplashBidNoticeAbstractUI.aspx?menuIndex=3&amp;refID=7022227&amp;Result=3","7022227")</f>
        <v>0</v>
      </c>
      <c r="B11215" t="s">
        <v>580</v>
      </c>
      <c r="C11215" t="s">
        <v>13802</v>
      </c>
      <c r="D11215" t="s">
        <v>16214</v>
      </c>
      <c r="E11215" t="s">
        <v>26010</v>
      </c>
      <c r="F11215" t="s">
        <v>28198</v>
      </c>
      <c r="G11215" t="s">
        <v>28205</v>
      </c>
      <c r="H11215" t="s">
        <v>28215</v>
      </c>
      <c r="I11215" t="s">
        <v>28225</v>
      </c>
      <c r="J11215" t="s">
        <v>35258</v>
      </c>
      <c r="K11215" t="s">
        <v>36687</v>
      </c>
      <c r="M11215" t="s">
        <v>37570</v>
      </c>
      <c r="N11215" t="s">
        <v>40436</v>
      </c>
      <c r="O11215" t="s">
        <v>40437</v>
      </c>
      <c r="P11215">
        <v>0</v>
      </c>
      <c r="Q11215">
        <v>6</v>
      </c>
      <c r="R11215" t="s">
        <v>40452</v>
      </c>
      <c r="S11215" t="s">
        <v>41140</v>
      </c>
      <c r="T11215" t="s">
        <v>42176</v>
      </c>
      <c r="U11215" t="s">
        <v>51900</v>
      </c>
      <c r="W11215" t="s">
        <v>37570</v>
      </c>
      <c r="X11215" t="s">
        <v>40453</v>
      </c>
    </row>
    <row r="11216" spans="1:24">
      <c r="A11216">
        <f>HYPERLINK("https://www.philgeps.gov.ph/GEPSNONPILOT/Tender/SplashBidNoticeAbstractUI.aspx?menuIndex=3&amp;refID=7022183&amp;Result=3","7022183")</f>
        <v>0</v>
      </c>
      <c r="B11216" t="s">
        <v>1547</v>
      </c>
      <c r="C11216" t="s">
        <v>13803</v>
      </c>
      <c r="D11216" t="s">
        <v>16234</v>
      </c>
      <c r="E11216" t="s">
        <v>26011</v>
      </c>
      <c r="F11216" t="s">
        <v>28198</v>
      </c>
      <c r="G11216" t="s">
        <v>28205</v>
      </c>
      <c r="H11216" t="s">
        <v>28214</v>
      </c>
      <c r="I11216" t="s">
        <v>3797</v>
      </c>
      <c r="J11216" t="s">
        <v>35259</v>
      </c>
      <c r="K11216" t="s">
        <v>36689</v>
      </c>
      <c r="M11216" t="s">
        <v>38627</v>
      </c>
      <c r="N11216" t="s">
        <v>40436</v>
      </c>
      <c r="O11216" t="s">
        <v>40437</v>
      </c>
      <c r="P11216">
        <v>0</v>
      </c>
      <c r="Q11216">
        <v>3</v>
      </c>
      <c r="R11216" t="s">
        <v>40452</v>
      </c>
      <c r="S11216" t="s">
        <v>41140</v>
      </c>
      <c r="T11216" t="s">
        <v>42103</v>
      </c>
      <c r="U11216" t="s">
        <v>51901</v>
      </c>
      <c r="W11216" t="s">
        <v>55487</v>
      </c>
      <c r="X11216" t="s">
        <v>40453</v>
      </c>
    </row>
    <row r="11217" spans="1:24">
      <c r="A11217">
        <f>HYPERLINK("https://www.philgeps.gov.ph/GEPSNONPILOT/Tender/SplashBidNoticeAbstractUI.aspx?menuIndex=3&amp;refID=7022250&amp;Result=3","7022250")</f>
        <v>0</v>
      </c>
      <c r="B11217" t="s">
        <v>2878</v>
      </c>
      <c r="C11217" t="s">
        <v>13804</v>
      </c>
      <c r="D11217" t="s">
        <v>16228</v>
      </c>
      <c r="E11217" t="s">
        <v>26012</v>
      </c>
      <c r="F11217" t="s">
        <v>28198</v>
      </c>
      <c r="G11217" t="s">
        <v>28205</v>
      </c>
      <c r="H11217" t="s">
        <v>28215</v>
      </c>
      <c r="I11217" t="s">
        <v>28222</v>
      </c>
      <c r="J11217" t="s">
        <v>29409</v>
      </c>
      <c r="K11217" t="s">
        <v>36737</v>
      </c>
      <c r="L11217" t="s">
        <v>2878</v>
      </c>
      <c r="M11217" t="s">
        <v>40141</v>
      </c>
      <c r="N11217" t="s">
        <v>40436</v>
      </c>
      <c r="O11217" t="s">
        <v>40437</v>
      </c>
      <c r="P11217">
        <v>0</v>
      </c>
      <c r="Q11217">
        <v>6</v>
      </c>
      <c r="R11217" t="s">
        <v>40452</v>
      </c>
      <c r="S11217" t="s">
        <v>41140</v>
      </c>
      <c r="T11217" t="s">
        <v>42133</v>
      </c>
      <c r="U11217" t="s">
        <v>51902</v>
      </c>
      <c r="V11217" t="s">
        <v>55074</v>
      </c>
      <c r="W11217" t="s">
        <v>40141</v>
      </c>
      <c r="X11217" t="s">
        <v>40453</v>
      </c>
    </row>
    <row r="11218" spans="1:24">
      <c r="A11218">
        <f>HYPERLINK("https://www.philgeps.gov.ph/GEPSNONPILOT/Tender/SplashBidNoticeAbstractUI.aspx?menuIndex=3&amp;refID=7022281&amp;Result=3","7022281")</f>
        <v>0</v>
      </c>
      <c r="B11218" t="s">
        <v>1547</v>
      </c>
      <c r="C11218" t="s">
        <v>13805</v>
      </c>
      <c r="D11218" t="s">
        <v>16234</v>
      </c>
      <c r="E11218" t="s">
        <v>26013</v>
      </c>
      <c r="F11218" t="s">
        <v>28198</v>
      </c>
      <c r="G11218" t="s">
        <v>28205</v>
      </c>
      <c r="H11218" t="s">
        <v>28214</v>
      </c>
      <c r="I11218" t="s">
        <v>3797</v>
      </c>
      <c r="J11218" t="s">
        <v>35260</v>
      </c>
      <c r="K11218" t="s">
        <v>36689</v>
      </c>
      <c r="M11218" t="s">
        <v>38627</v>
      </c>
      <c r="N11218" t="s">
        <v>40436</v>
      </c>
      <c r="O11218" t="s">
        <v>40437</v>
      </c>
      <c r="P11218">
        <v>0</v>
      </c>
      <c r="Q11218">
        <v>3</v>
      </c>
      <c r="R11218" t="s">
        <v>40452</v>
      </c>
      <c r="S11218" t="s">
        <v>41140</v>
      </c>
      <c r="T11218" t="s">
        <v>42103</v>
      </c>
      <c r="U11218" t="s">
        <v>51903</v>
      </c>
      <c r="W11218" t="s">
        <v>55487</v>
      </c>
      <c r="X11218" t="s">
        <v>40453</v>
      </c>
    </row>
    <row r="11219" spans="1:24">
      <c r="A11219">
        <f>HYPERLINK("https://www.philgeps.gov.ph/GEPSNONPILOT/Tender/SplashBidNoticeAbstractUI.aspx?menuIndex=3&amp;refID=7022268&amp;Result=3","7022268")</f>
        <v>0</v>
      </c>
      <c r="B11219" t="s">
        <v>1895</v>
      </c>
      <c r="C11219" t="s">
        <v>13806</v>
      </c>
      <c r="D11219" t="s">
        <v>16193</v>
      </c>
      <c r="E11219" t="s">
        <v>26014</v>
      </c>
      <c r="F11219" t="s">
        <v>28198</v>
      </c>
      <c r="G11219" t="s">
        <v>28205</v>
      </c>
      <c r="H11219" t="s">
        <v>28214</v>
      </c>
      <c r="I11219" t="s">
        <v>3797</v>
      </c>
      <c r="J11219" t="s">
        <v>28351</v>
      </c>
      <c r="K11219" t="s">
        <v>36694</v>
      </c>
      <c r="M11219" t="s">
        <v>39027</v>
      </c>
      <c r="N11219" t="s">
        <v>40436</v>
      </c>
      <c r="O11219" t="s">
        <v>40437</v>
      </c>
      <c r="P11219">
        <v>0</v>
      </c>
      <c r="Q11219">
        <v>0</v>
      </c>
      <c r="R11219" t="s">
        <v>40452</v>
      </c>
      <c r="S11219" t="s">
        <v>41140</v>
      </c>
      <c r="T11219" t="s">
        <v>42176</v>
      </c>
      <c r="U11219" t="s">
        <v>51904</v>
      </c>
      <c r="W11219" t="s">
        <v>39027</v>
      </c>
      <c r="X11219" t="s">
        <v>40453</v>
      </c>
    </row>
    <row r="11220" spans="1:24">
      <c r="A11220">
        <f>HYPERLINK("https://www.philgeps.gov.ph/GEPSNONPILOT/Tender/SplashBidNoticeAbstractUI.aspx?menuIndex=3&amp;refID=7022182&amp;Result=3","7022182")</f>
        <v>0</v>
      </c>
      <c r="B11220" t="s">
        <v>2874</v>
      </c>
      <c r="C11220" t="s">
        <v>13807</v>
      </c>
      <c r="D11220" t="s">
        <v>16198</v>
      </c>
      <c r="E11220" t="s">
        <v>26015</v>
      </c>
      <c r="F11220" t="s">
        <v>28198</v>
      </c>
      <c r="G11220" t="s">
        <v>28205</v>
      </c>
      <c r="H11220" t="s">
        <v>28214</v>
      </c>
      <c r="I11220" t="s">
        <v>3797</v>
      </c>
      <c r="J11220" t="s">
        <v>35261</v>
      </c>
      <c r="K11220" t="s">
        <v>36717</v>
      </c>
      <c r="M11220" t="s">
        <v>40136</v>
      </c>
      <c r="N11220" t="s">
        <v>40436</v>
      </c>
      <c r="O11220" t="s">
        <v>40437</v>
      </c>
      <c r="P11220">
        <v>0</v>
      </c>
      <c r="Q11220">
        <v>0</v>
      </c>
      <c r="R11220" t="s">
        <v>40452</v>
      </c>
      <c r="S11220" t="s">
        <v>41140</v>
      </c>
      <c r="T11220" t="s">
        <v>42566</v>
      </c>
      <c r="U11220" t="s">
        <v>51905</v>
      </c>
      <c r="W11220" t="s">
        <v>40136</v>
      </c>
      <c r="X11220" t="s">
        <v>40453</v>
      </c>
    </row>
    <row r="11221" spans="1:24">
      <c r="A11221">
        <f>HYPERLINK("https://www.philgeps.gov.ph/GEPSNONPILOT/Tender/SplashBidNoticeAbstractUI.aspx?menuIndex=3&amp;refID=7022235&amp;Result=3","7022235")</f>
        <v>0</v>
      </c>
      <c r="B11221" t="s">
        <v>1547</v>
      </c>
      <c r="C11221" t="s">
        <v>13808</v>
      </c>
      <c r="D11221" t="s">
        <v>16234</v>
      </c>
      <c r="E11221" t="s">
        <v>26016</v>
      </c>
      <c r="F11221" t="s">
        <v>28198</v>
      </c>
      <c r="G11221" t="s">
        <v>28205</v>
      </c>
      <c r="H11221" t="s">
        <v>28214</v>
      </c>
      <c r="I11221" t="s">
        <v>3797</v>
      </c>
      <c r="J11221" t="s">
        <v>35262</v>
      </c>
      <c r="K11221" t="s">
        <v>36689</v>
      </c>
      <c r="M11221" t="s">
        <v>38627</v>
      </c>
      <c r="N11221" t="s">
        <v>40436</v>
      </c>
      <c r="O11221" t="s">
        <v>40437</v>
      </c>
      <c r="P11221">
        <v>0</v>
      </c>
      <c r="Q11221">
        <v>3</v>
      </c>
      <c r="R11221" t="s">
        <v>40452</v>
      </c>
      <c r="S11221" t="s">
        <v>41140</v>
      </c>
      <c r="T11221" t="s">
        <v>42103</v>
      </c>
      <c r="U11221" t="s">
        <v>51906</v>
      </c>
      <c r="W11221" t="s">
        <v>55487</v>
      </c>
      <c r="X11221" t="s">
        <v>40453</v>
      </c>
    </row>
    <row r="11222" spans="1:24">
      <c r="A11222">
        <f>HYPERLINK("https://www.philgeps.gov.ph/GEPSNONPILOT/Tender/SplashBidNoticeAbstractUI.aspx?menuIndex=3&amp;refID=7022264&amp;Result=3","7022264")</f>
        <v>0</v>
      </c>
      <c r="B11222" t="s">
        <v>232</v>
      </c>
      <c r="C11222" t="s">
        <v>13809</v>
      </c>
      <c r="D11222" t="s">
        <v>16244</v>
      </c>
      <c r="E11222" t="s">
        <v>26017</v>
      </c>
      <c r="F11222" t="s">
        <v>28198</v>
      </c>
      <c r="G11222" t="s">
        <v>28205</v>
      </c>
      <c r="H11222" t="s">
        <v>28215</v>
      </c>
      <c r="I11222" t="s">
        <v>8888</v>
      </c>
      <c r="J11222" t="s">
        <v>35263</v>
      </c>
      <c r="K11222" t="s">
        <v>36701</v>
      </c>
      <c r="M11222" t="s">
        <v>37208</v>
      </c>
      <c r="N11222" t="s">
        <v>40436</v>
      </c>
      <c r="O11222" t="s">
        <v>40437</v>
      </c>
      <c r="P11222">
        <v>0</v>
      </c>
      <c r="Q11222">
        <v>6</v>
      </c>
      <c r="R11222" t="s">
        <v>40452</v>
      </c>
      <c r="S11222" t="s">
        <v>41140</v>
      </c>
      <c r="T11222" t="s">
        <v>42134</v>
      </c>
      <c r="U11222" t="s">
        <v>51907</v>
      </c>
      <c r="W11222" t="s">
        <v>37208</v>
      </c>
      <c r="X11222" t="s">
        <v>40453</v>
      </c>
    </row>
    <row r="11223" spans="1:24">
      <c r="A11223">
        <f>HYPERLINK("https://www.philgeps.gov.ph/GEPSNONPILOT/Tender/SplashBidNoticeAbstractUI.aspx?menuIndex=3&amp;refID=7022260&amp;Result=3","7022260")</f>
        <v>0</v>
      </c>
      <c r="B11223" t="s">
        <v>437</v>
      </c>
      <c r="C11223" t="s">
        <v>13810</v>
      </c>
      <c r="D11223" t="s">
        <v>16209</v>
      </c>
      <c r="E11223" t="s">
        <v>26018</v>
      </c>
      <c r="F11223" t="s">
        <v>28198</v>
      </c>
      <c r="G11223" t="s">
        <v>28205</v>
      </c>
      <c r="H11223" t="s">
        <v>28214</v>
      </c>
      <c r="I11223" t="s">
        <v>3797</v>
      </c>
      <c r="J11223" t="s">
        <v>28561</v>
      </c>
      <c r="K11223" t="s">
        <v>36694</v>
      </c>
      <c r="L11223" t="s">
        <v>437</v>
      </c>
      <c r="M11223" t="s">
        <v>37421</v>
      </c>
      <c r="N11223" t="s">
        <v>40436</v>
      </c>
      <c r="O11223" t="s">
        <v>40437</v>
      </c>
      <c r="P11223">
        <v>0</v>
      </c>
      <c r="Q11223">
        <v>1</v>
      </c>
      <c r="R11223" t="s">
        <v>40452</v>
      </c>
      <c r="S11223" t="s">
        <v>41140</v>
      </c>
      <c r="T11223" t="s">
        <v>42136</v>
      </c>
      <c r="U11223" t="s">
        <v>51908</v>
      </c>
      <c r="V11223" t="s">
        <v>54443</v>
      </c>
      <c r="W11223" t="s">
        <v>37421</v>
      </c>
      <c r="X11223" t="s">
        <v>40453</v>
      </c>
    </row>
    <row r="11224" spans="1:24">
      <c r="A11224">
        <f>HYPERLINK("https://www.philgeps.gov.ph/GEPSNONPILOT/Tender/SplashBidNoticeAbstractUI.aspx?menuIndex=3&amp;refID=7022300&amp;Result=3","7022300")</f>
        <v>0</v>
      </c>
      <c r="B11224" t="s">
        <v>2874</v>
      </c>
      <c r="C11224" t="s">
        <v>13811</v>
      </c>
      <c r="D11224" t="s">
        <v>16198</v>
      </c>
      <c r="E11224" t="s">
        <v>26019</v>
      </c>
      <c r="F11224" t="s">
        <v>28198</v>
      </c>
      <c r="G11224" t="s">
        <v>28205</v>
      </c>
      <c r="H11224" t="s">
        <v>28214</v>
      </c>
      <c r="I11224" t="s">
        <v>3797</v>
      </c>
      <c r="J11224" t="s">
        <v>35264</v>
      </c>
      <c r="K11224" t="s">
        <v>36690</v>
      </c>
      <c r="M11224" t="s">
        <v>40136</v>
      </c>
      <c r="N11224" t="s">
        <v>40436</v>
      </c>
      <c r="O11224" t="s">
        <v>40437</v>
      </c>
      <c r="P11224">
        <v>0</v>
      </c>
      <c r="Q11224">
        <v>1</v>
      </c>
      <c r="R11224" t="s">
        <v>40452</v>
      </c>
      <c r="S11224" t="s">
        <v>41140</v>
      </c>
      <c r="T11224" t="s">
        <v>42163</v>
      </c>
      <c r="U11224" t="s">
        <v>51909</v>
      </c>
      <c r="W11224" t="s">
        <v>40136</v>
      </c>
      <c r="X11224" t="s">
        <v>40453</v>
      </c>
    </row>
    <row r="11225" spans="1:24">
      <c r="A11225">
        <f>HYPERLINK("https://www.philgeps.gov.ph/GEPSNONPILOT/Tender/SplashBidNoticeAbstractUI.aspx?menuIndex=3&amp;refID=7022311&amp;Result=3","7022311")</f>
        <v>0</v>
      </c>
      <c r="B11225" t="s">
        <v>2445</v>
      </c>
      <c r="C11225" t="s">
        <v>13812</v>
      </c>
      <c r="D11225" t="s">
        <v>16203</v>
      </c>
      <c r="E11225" t="s">
        <v>26020</v>
      </c>
      <c r="F11225" t="s">
        <v>28198</v>
      </c>
      <c r="G11225" t="s">
        <v>28205</v>
      </c>
      <c r="H11225" t="s">
        <v>28214</v>
      </c>
      <c r="I11225" t="s">
        <v>3797</v>
      </c>
      <c r="J11225" t="s">
        <v>28398</v>
      </c>
      <c r="K11225" t="s">
        <v>36689</v>
      </c>
      <c r="M11225" t="s">
        <v>39635</v>
      </c>
      <c r="N11225" t="s">
        <v>40436</v>
      </c>
      <c r="O11225" t="s">
        <v>40437</v>
      </c>
      <c r="Q11225">
        <v>1</v>
      </c>
      <c r="R11225" t="s">
        <v>40452</v>
      </c>
      <c r="S11225" t="s">
        <v>41168</v>
      </c>
      <c r="T11225" t="s">
        <v>42119</v>
      </c>
      <c r="U11225" t="s">
        <v>51910</v>
      </c>
      <c r="W11225" t="s">
        <v>39635</v>
      </c>
      <c r="X11225" t="s">
        <v>40453</v>
      </c>
    </row>
    <row r="11226" spans="1:24">
      <c r="A11226">
        <f>HYPERLINK("https://www.philgeps.gov.ph/GEPSNONPILOT/Tender/SplashBidNoticeAbstractUI.aspx?menuIndex=3&amp;refID=7022306&amp;Result=3","7022306")</f>
        <v>0</v>
      </c>
      <c r="B11226" t="s">
        <v>2879</v>
      </c>
      <c r="C11226" t="s">
        <v>13813</v>
      </c>
      <c r="D11226" t="s">
        <v>16210</v>
      </c>
      <c r="E11226" t="s">
        <v>26021</v>
      </c>
      <c r="F11226" t="s">
        <v>28198</v>
      </c>
      <c r="G11226" t="s">
        <v>28205</v>
      </c>
      <c r="H11226" t="s">
        <v>28215</v>
      </c>
      <c r="I11226" t="s">
        <v>28222</v>
      </c>
      <c r="J11226" t="s">
        <v>35232</v>
      </c>
      <c r="K11226" t="s">
        <v>36715</v>
      </c>
      <c r="M11226" t="s">
        <v>40142</v>
      </c>
      <c r="N11226" t="s">
        <v>40436</v>
      </c>
      <c r="O11226" t="s">
        <v>40437</v>
      </c>
      <c r="Q11226">
        <v>9</v>
      </c>
      <c r="R11226" t="s">
        <v>40452</v>
      </c>
      <c r="S11226" t="s">
        <v>41169</v>
      </c>
      <c r="T11226" t="s">
        <v>42134</v>
      </c>
      <c r="U11226" t="s">
        <v>51911</v>
      </c>
      <c r="W11226" t="s">
        <v>40142</v>
      </c>
      <c r="X11226" t="s">
        <v>40453</v>
      </c>
    </row>
    <row r="11227" spans="1:24">
      <c r="A11227">
        <f>HYPERLINK("https://www.philgeps.gov.ph/GEPSNONPILOT/Tender/SplashBidNoticeAbstractUI.aspx?menuIndex=3&amp;refID=7022321&amp;Result=3","7022321")</f>
        <v>0</v>
      </c>
      <c r="B11227" t="s">
        <v>1895</v>
      </c>
      <c r="C11227" t="s">
        <v>13814</v>
      </c>
      <c r="D11227" t="s">
        <v>16193</v>
      </c>
      <c r="E11227" t="s">
        <v>26022</v>
      </c>
      <c r="F11227" t="s">
        <v>28198</v>
      </c>
      <c r="G11227" t="s">
        <v>28205</v>
      </c>
      <c r="H11227" t="s">
        <v>28214</v>
      </c>
      <c r="I11227" t="s">
        <v>3797</v>
      </c>
      <c r="J11227" t="s">
        <v>35265</v>
      </c>
      <c r="K11227" t="s">
        <v>36717</v>
      </c>
      <c r="M11227" t="s">
        <v>39027</v>
      </c>
      <c r="N11227" t="s">
        <v>40436</v>
      </c>
      <c r="O11227" t="s">
        <v>40437</v>
      </c>
      <c r="P11227">
        <v>0</v>
      </c>
      <c r="Q11227">
        <v>0</v>
      </c>
      <c r="R11227" t="s">
        <v>40452</v>
      </c>
      <c r="S11227" t="s">
        <v>41140</v>
      </c>
      <c r="T11227" t="s">
        <v>42176</v>
      </c>
      <c r="U11227" t="s">
        <v>51912</v>
      </c>
      <c r="W11227" t="s">
        <v>39027</v>
      </c>
      <c r="X11227" t="s">
        <v>40453</v>
      </c>
    </row>
    <row r="11228" spans="1:24">
      <c r="A11228">
        <f>HYPERLINK("https://www.philgeps.gov.ph/GEPSNONPILOT/Tender/SplashBidNoticeAbstractUI.aspx?menuIndex=3&amp;refID=7022461&amp;Result=3","7022461")</f>
        <v>0</v>
      </c>
      <c r="B11228" t="s">
        <v>1547</v>
      </c>
      <c r="C11228" t="s">
        <v>13815</v>
      </c>
      <c r="D11228" t="s">
        <v>16234</v>
      </c>
      <c r="E11228" t="s">
        <v>26023</v>
      </c>
      <c r="F11228" t="s">
        <v>28198</v>
      </c>
      <c r="G11228" t="s">
        <v>28205</v>
      </c>
      <c r="H11228" t="s">
        <v>28214</v>
      </c>
      <c r="I11228" t="s">
        <v>3797</v>
      </c>
      <c r="J11228" t="s">
        <v>35266</v>
      </c>
      <c r="K11228" t="s">
        <v>36689</v>
      </c>
      <c r="M11228" t="s">
        <v>38627</v>
      </c>
      <c r="N11228" t="s">
        <v>40436</v>
      </c>
      <c r="O11228" t="s">
        <v>40437</v>
      </c>
      <c r="P11228">
        <v>0</v>
      </c>
      <c r="Q11228">
        <v>4</v>
      </c>
      <c r="R11228" t="s">
        <v>40452</v>
      </c>
      <c r="S11228" t="s">
        <v>41140</v>
      </c>
      <c r="T11228" t="s">
        <v>42103</v>
      </c>
      <c r="U11228" t="s">
        <v>51913</v>
      </c>
      <c r="W11228" t="s">
        <v>55487</v>
      </c>
      <c r="X11228" t="s">
        <v>40453</v>
      </c>
    </row>
    <row r="11229" spans="1:24">
      <c r="A11229">
        <f>HYPERLINK("https://www.philgeps.gov.ph/GEPSNONPILOT/Tender/SplashBidNoticeAbstractUI.aspx?menuIndex=3&amp;refID=7022459&amp;Result=3","7022459")</f>
        <v>0</v>
      </c>
      <c r="B11229" t="s">
        <v>2880</v>
      </c>
      <c r="C11229" t="s">
        <v>13816</v>
      </c>
      <c r="D11229" t="s">
        <v>16261</v>
      </c>
      <c r="E11229" t="s">
        <v>26024</v>
      </c>
      <c r="F11229" t="s">
        <v>28198</v>
      </c>
      <c r="G11229" t="s">
        <v>28205</v>
      </c>
      <c r="H11229" t="s">
        <v>28214</v>
      </c>
      <c r="I11229" t="s">
        <v>3797</v>
      </c>
      <c r="J11229" t="s">
        <v>29409</v>
      </c>
      <c r="K11229" t="s">
        <v>36829</v>
      </c>
      <c r="M11229" t="s">
        <v>40143</v>
      </c>
      <c r="N11229" t="s">
        <v>40436</v>
      </c>
      <c r="O11229" t="s">
        <v>40437</v>
      </c>
      <c r="P11229">
        <v>0</v>
      </c>
      <c r="Q11229">
        <v>0</v>
      </c>
      <c r="R11229" t="s">
        <v>40452</v>
      </c>
      <c r="S11229" t="s">
        <v>41140</v>
      </c>
      <c r="T11229" t="s">
        <v>42133</v>
      </c>
      <c r="U11229" t="s">
        <v>51914</v>
      </c>
      <c r="W11229" t="s">
        <v>40143</v>
      </c>
      <c r="X11229" t="s">
        <v>40453</v>
      </c>
    </row>
    <row r="11230" spans="1:24">
      <c r="A11230">
        <f>HYPERLINK("https://www.philgeps.gov.ph/GEPSNONPILOT/Tender/SplashBidNoticeAbstractUI.aspx?menuIndex=3&amp;refID=7022344&amp;Result=3","7022344")</f>
        <v>0</v>
      </c>
      <c r="B11230" t="s">
        <v>437</v>
      </c>
      <c r="C11230" t="s">
        <v>5107</v>
      </c>
      <c r="D11230" t="s">
        <v>16209</v>
      </c>
      <c r="E11230" t="s">
        <v>26025</v>
      </c>
      <c r="F11230" t="s">
        <v>28198</v>
      </c>
      <c r="G11230" t="s">
        <v>28205</v>
      </c>
      <c r="H11230" t="s">
        <v>28215</v>
      </c>
      <c r="I11230" t="s">
        <v>5082</v>
      </c>
      <c r="J11230" t="s">
        <v>35267</v>
      </c>
      <c r="K11230" t="s">
        <v>36701</v>
      </c>
      <c r="L11230" t="s">
        <v>437</v>
      </c>
      <c r="M11230" t="s">
        <v>37421</v>
      </c>
      <c r="N11230" t="s">
        <v>40436</v>
      </c>
      <c r="O11230" t="s">
        <v>40437</v>
      </c>
      <c r="P11230">
        <v>0</v>
      </c>
      <c r="Q11230">
        <v>3</v>
      </c>
      <c r="R11230" t="s">
        <v>40452</v>
      </c>
      <c r="S11230" t="s">
        <v>41140</v>
      </c>
      <c r="T11230" t="s">
        <v>42136</v>
      </c>
      <c r="U11230" t="s">
        <v>51915</v>
      </c>
      <c r="V11230" t="s">
        <v>54443</v>
      </c>
      <c r="W11230" t="s">
        <v>37421</v>
      </c>
      <c r="X11230" t="s">
        <v>40453</v>
      </c>
    </row>
    <row r="11231" spans="1:24">
      <c r="A11231">
        <f>HYPERLINK("https://www.philgeps.gov.ph/GEPSNONPILOT/Tender/SplashBidNoticeAbstractUI.aspx?menuIndex=3&amp;refID=7022431&amp;Result=3","7022431")</f>
        <v>0</v>
      </c>
      <c r="B11231" t="s">
        <v>2053</v>
      </c>
      <c r="C11231" t="s">
        <v>13817</v>
      </c>
      <c r="E11231" t="s">
        <v>26026</v>
      </c>
      <c r="F11231" t="s">
        <v>28198</v>
      </c>
      <c r="G11231" t="s">
        <v>28207</v>
      </c>
      <c r="H11231" t="s">
        <v>28215</v>
      </c>
      <c r="I11231" t="s">
        <v>3774</v>
      </c>
      <c r="J11231" t="s">
        <v>29020</v>
      </c>
      <c r="K11231" t="s">
        <v>36689</v>
      </c>
      <c r="M11231" t="s">
        <v>39199</v>
      </c>
      <c r="N11231" t="s">
        <v>40436</v>
      </c>
      <c r="O11231" t="s">
        <v>40437</v>
      </c>
      <c r="P11231">
        <v>0</v>
      </c>
      <c r="Q11231">
        <v>1</v>
      </c>
      <c r="R11231" t="s">
        <v>40452</v>
      </c>
      <c r="S11231" t="s">
        <v>41140</v>
      </c>
      <c r="T11231" t="s">
        <v>42197</v>
      </c>
      <c r="U11231" t="s">
        <v>51916</v>
      </c>
      <c r="W11231" t="s">
        <v>39199</v>
      </c>
      <c r="X11231" t="s">
        <v>40453</v>
      </c>
    </row>
    <row r="11232" spans="1:24">
      <c r="A11232">
        <f>HYPERLINK("https://www.philgeps.gov.ph/GEPSNONPILOT/Tender/SplashBidNoticeAbstractUI.aspx?menuIndex=3&amp;refID=7022437&amp;Result=3","7022437")</f>
        <v>0</v>
      </c>
      <c r="B11232" t="s">
        <v>2880</v>
      </c>
      <c r="C11232" t="s">
        <v>13818</v>
      </c>
      <c r="D11232" t="s">
        <v>16261</v>
      </c>
      <c r="E11232" t="s">
        <v>26027</v>
      </c>
      <c r="F11232" t="s">
        <v>28198</v>
      </c>
      <c r="G11232" t="s">
        <v>28205</v>
      </c>
      <c r="H11232" t="s">
        <v>28214</v>
      </c>
      <c r="I11232" t="s">
        <v>3797</v>
      </c>
      <c r="J11232" t="s">
        <v>35268</v>
      </c>
      <c r="K11232" t="s">
        <v>36909</v>
      </c>
      <c r="M11232" t="s">
        <v>40143</v>
      </c>
      <c r="N11232" t="s">
        <v>40436</v>
      </c>
      <c r="O11232" t="s">
        <v>40437</v>
      </c>
      <c r="P11232">
        <v>0</v>
      </c>
      <c r="Q11232">
        <v>0</v>
      </c>
      <c r="R11232" t="s">
        <v>40452</v>
      </c>
      <c r="S11232" t="s">
        <v>41140</v>
      </c>
      <c r="T11232" t="s">
        <v>42133</v>
      </c>
      <c r="U11232" t="s">
        <v>51917</v>
      </c>
      <c r="W11232" t="s">
        <v>40143</v>
      </c>
      <c r="X11232" t="s">
        <v>40453</v>
      </c>
    </row>
    <row r="11233" spans="1:24">
      <c r="A11233">
        <f>HYPERLINK("https://www.philgeps.gov.ph/GEPSNONPILOT/Tender/SplashBidNoticeAbstractUI.aspx?menuIndex=3&amp;refID=7022326&amp;Result=3","7022326")</f>
        <v>0</v>
      </c>
      <c r="B11233" t="s">
        <v>1547</v>
      </c>
      <c r="C11233" t="s">
        <v>13819</v>
      </c>
      <c r="D11233" t="s">
        <v>16234</v>
      </c>
      <c r="E11233" t="s">
        <v>26028</v>
      </c>
      <c r="F11233" t="s">
        <v>28198</v>
      </c>
      <c r="G11233" t="s">
        <v>28205</v>
      </c>
      <c r="H11233" t="s">
        <v>28214</v>
      </c>
      <c r="I11233" t="s">
        <v>3797</v>
      </c>
      <c r="J11233" t="s">
        <v>35269</v>
      </c>
      <c r="K11233" t="s">
        <v>36689</v>
      </c>
      <c r="M11233" t="s">
        <v>38627</v>
      </c>
      <c r="N11233" t="s">
        <v>40436</v>
      </c>
      <c r="O11233" t="s">
        <v>40437</v>
      </c>
      <c r="P11233">
        <v>0</v>
      </c>
      <c r="Q11233">
        <v>2</v>
      </c>
      <c r="R11233" t="s">
        <v>40452</v>
      </c>
      <c r="S11233" t="s">
        <v>41140</v>
      </c>
      <c r="T11233" t="s">
        <v>42103</v>
      </c>
      <c r="U11233" t="s">
        <v>51918</v>
      </c>
      <c r="W11233" t="s">
        <v>55487</v>
      </c>
      <c r="X11233" t="s">
        <v>40453</v>
      </c>
    </row>
    <row r="11234" spans="1:24">
      <c r="A11234">
        <f>HYPERLINK("https://www.philgeps.gov.ph/GEPSNONPILOT/Tender/SplashBidNoticeAbstractUI.aspx?menuIndex=3&amp;refID=7022331&amp;Result=3","7022331")</f>
        <v>0</v>
      </c>
      <c r="B11234" t="s">
        <v>232</v>
      </c>
      <c r="C11234" t="s">
        <v>13820</v>
      </c>
      <c r="D11234" t="s">
        <v>16244</v>
      </c>
      <c r="E11234" t="s">
        <v>26029</v>
      </c>
      <c r="F11234" t="s">
        <v>28198</v>
      </c>
      <c r="G11234" t="s">
        <v>28205</v>
      </c>
      <c r="H11234" t="s">
        <v>28215</v>
      </c>
      <c r="I11234" t="s">
        <v>28222</v>
      </c>
      <c r="J11234" t="s">
        <v>30783</v>
      </c>
      <c r="K11234" t="s">
        <v>36701</v>
      </c>
      <c r="M11234" t="s">
        <v>37208</v>
      </c>
      <c r="N11234" t="s">
        <v>40436</v>
      </c>
      <c r="O11234" t="s">
        <v>40437</v>
      </c>
      <c r="P11234">
        <v>0</v>
      </c>
      <c r="Q11234">
        <v>4</v>
      </c>
      <c r="R11234" t="s">
        <v>40452</v>
      </c>
      <c r="S11234" t="s">
        <v>41140</v>
      </c>
      <c r="T11234" t="s">
        <v>42134</v>
      </c>
      <c r="U11234" t="s">
        <v>51919</v>
      </c>
      <c r="W11234" t="s">
        <v>37208</v>
      </c>
      <c r="X11234" t="s">
        <v>40453</v>
      </c>
    </row>
    <row r="11235" spans="1:24">
      <c r="A11235">
        <f>HYPERLINK("https://www.philgeps.gov.ph/GEPSNONPILOT/Tender/SplashBidNoticeAbstractUI.aspx?menuIndex=3&amp;refID=7022457&amp;Result=3","7022457")</f>
        <v>0</v>
      </c>
      <c r="B11235" t="s">
        <v>1826</v>
      </c>
      <c r="C11235" t="s">
        <v>13821</v>
      </c>
      <c r="D11235" t="s">
        <v>16221</v>
      </c>
      <c r="E11235" t="s">
        <v>26030</v>
      </c>
      <c r="F11235" t="s">
        <v>28198</v>
      </c>
      <c r="G11235" t="s">
        <v>28205</v>
      </c>
      <c r="H11235" t="s">
        <v>28215</v>
      </c>
      <c r="I11235" t="s">
        <v>8888</v>
      </c>
      <c r="J11235" t="s">
        <v>35270</v>
      </c>
      <c r="K11235" t="s">
        <v>36688</v>
      </c>
      <c r="M11235" t="s">
        <v>38950</v>
      </c>
      <c r="N11235" t="s">
        <v>40436</v>
      </c>
      <c r="O11235" t="s">
        <v>40437</v>
      </c>
      <c r="P11235">
        <v>0</v>
      </c>
      <c r="Q11235">
        <v>12</v>
      </c>
      <c r="R11235" t="s">
        <v>40452</v>
      </c>
      <c r="S11235" t="s">
        <v>41140</v>
      </c>
      <c r="T11235" t="s">
        <v>42244</v>
      </c>
      <c r="U11235" t="s">
        <v>51920</v>
      </c>
      <c r="W11235" t="s">
        <v>38950</v>
      </c>
      <c r="X11235" t="s">
        <v>40453</v>
      </c>
    </row>
    <row r="11236" spans="1:24">
      <c r="A11236">
        <f>HYPERLINK("https://www.philgeps.gov.ph/GEPSNONPILOT/Tender/SplashBidNoticeAbstractUI.aspx?menuIndex=3&amp;refID=7022426&amp;Result=3","7022426")</f>
        <v>0</v>
      </c>
      <c r="B11236" t="s">
        <v>437</v>
      </c>
      <c r="C11236" t="s">
        <v>13822</v>
      </c>
      <c r="D11236" t="s">
        <v>16209</v>
      </c>
      <c r="E11236" t="s">
        <v>26031</v>
      </c>
      <c r="F11236" t="s">
        <v>28198</v>
      </c>
      <c r="G11236" t="s">
        <v>28205</v>
      </c>
      <c r="H11236" t="s">
        <v>28215</v>
      </c>
      <c r="I11236" t="s">
        <v>28229</v>
      </c>
      <c r="J11236" t="s">
        <v>35271</v>
      </c>
      <c r="K11236" t="s">
        <v>36701</v>
      </c>
      <c r="L11236" t="s">
        <v>437</v>
      </c>
      <c r="M11236" t="s">
        <v>37421</v>
      </c>
      <c r="N11236" t="s">
        <v>40436</v>
      </c>
      <c r="O11236" t="s">
        <v>40437</v>
      </c>
      <c r="P11236">
        <v>0</v>
      </c>
      <c r="Q11236">
        <v>2</v>
      </c>
      <c r="R11236" t="s">
        <v>40452</v>
      </c>
      <c r="S11236" t="s">
        <v>41140</v>
      </c>
      <c r="T11236" t="s">
        <v>42136</v>
      </c>
      <c r="U11236" t="s">
        <v>51921</v>
      </c>
      <c r="V11236" t="s">
        <v>55073</v>
      </c>
      <c r="W11236" t="s">
        <v>37421</v>
      </c>
      <c r="X11236" t="s">
        <v>40453</v>
      </c>
    </row>
    <row r="11237" spans="1:24">
      <c r="A11237">
        <f>HYPERLINK("https://www.philgeps.gov.ph/GEPSNONPILOT/Tender/SplashBidNoticeAbstractUI.aspx?menuIndex=3&amp;refID=7022322&amp;Result=3","7022322")</f>
        <v>0</v>
      </c>
      <c r="B11237" t="s">
        <v>2877</v>
      </c>
      <c r="C11237" t="s">
        <v>13823</v>
      </c>
      <c r="D11237" t="s">
        <v>16195</v>
      </c>
      <c r="E11237" t="s">
        <v>26032</v>
      </c>
      <c r="F11237" t="s">
        <v>28198</v>
      </c>
      <c r="G11237" t="s">
        <v>28205</v>
      </c>
      <c r="H11237" t="s">
        <v>28215</v>
      </c>
      <c r="I11237" t="s">
        <v>5100</v>
      </c>
      <c r="J11237" t="s">
        <v>35272</v>
      </c>
      <c r="K11237" t="s">
        <v>36701</v>
      </c>
      <c r="M11237" t="s">
        <v>40139</v>
      </c>
      <c r="N11237" t="s">
        <v>40436</v>
      </c>
      <c r="O11237" t="s">
        <v>40437</v>
      </c>
      <c r="P11237">
        <v>0</v>
      </c>
      <c r="Q11237">
        <v>0</v>
      </c>
      <c r="R11237" t="s">
        <v>40452</v>
      </c>
      <c r="S11237" t="s">
        <v>41140</v>
      </c>
      <c r="T11237" t="s">
        <v>42514</v>
      </c>
      <c r="U11237" t="s">
        <v>51922</v>
      </c>
      <c r="V11237" t="s">
        <v>54453</v>
      </c>
      <c r="W11237" t="s">
        <v>40139</v>
      </c>
      <c r="X11237" t="s">
        <v>40453</v>
      </c>
    </row>
    <row r="11238" spans="1:24">
      <c r="A11238">
        <f>HYPERLINK("https://www.philgeps.gov.ph/GEPSNONPILOT/Tender/SplashBidNoticeAbstractUI.aspx?menuIndex=3&amp;refID=7022409&amp;Result=3","7022409")</f>
        <v>0</v>
      </c>
      <c r="B11238" t="s">
        <v>2880</v>
      </c>
      <c r="C11238" t="s">
        <v>13824</v>
      </c>
      <c r="D11238" t="s">
        <v>16261</v>
      </c>
      <c r="E11238" t="s">
        <v>26033</v>
      </c>
      <c r="F11238" t="s">
        <v>28198</v>
      </c>
      <c r="G11238" t="s">
        <v>28205</v>
      </c>
      <c r="H11238" t="s">
        <v>28214</v>
      </c>
      <c r="I11238" t="s">
        <v>3797</v>
      </c>
      <c r="J11238" t="s">
        <v>35273</v>
      </c>
      <c r="K11238" t="s">
        <v>36848</v>
      </c>
      <c r="M11238" t="s">
        <v>40143</v>
      </c>
      <c r="N11238" t="s">
        <v>40436</v>
      </c>
      <c r="O11238" t="s">
        <v>40437</v>
      </c>
      <c r="P11238">
        <v>0</v>
      </c>
      <c r="Q11238">
        <v>0</v>
      </c>
      <c r="R11238" t="s">
        <v>40452</v>
      </c>
      <c r="S11238" t="s">
        <v>41140</v>
      </c>
      <c r="T11238" t="s">
        <v>42133</v>
      </c>
      <c r="U11238" t="s">
        <v>51923</v>
      </c>
      <c r="W11238" t="s">
        <v>40143</v>
      </c>
      <c r="X11238" t="s">
        <v>40453</v>
      </c>
    </row>
    <row r="11239" spans="1:24">
      <c r="A11239">
        <f>HYPERLINK("https://www.philgeps.gov.ph/GEPSNONPILOT/Tender/SplashBidNoticeAbstractUI.aspx?menuIndex=3&amp;refID=7022421&amp;Result=3","7022421")</f>
        <v>0</v>
      </c>
      <c r="B11239" t="s">
        <v>1729</v>
      </c>
      <c r="C11239" t="s">
        <v>13825</v>
      </c>
      <c r="D11239" t="s">
        <v>16249</v>
      </c>
      <c r="E11239" t="s">
        <v>26034</v>
      </c>
      <c r="F11239" t="s">
        <v>28198</v>
      </c>
      <c r="G11239" t="s">
        <v>28205</v>
      </c>
      <c r="H11239" t="s">
        <v>28215</v>
      </c>
      <c r="I11239" t="s">
        <v>5100</v>
      </c>
      <c r="J11239" t="s">
        <v>31928</v>
      </c>
      <c r="K11239" t="s">
        <v>36701</v>
      </c>
      <c r="M11239" t="s">
        <v>38838</v>
      </c>
      <c r="N11239" t="s">
        <v>40436</v>
      </c>
      <c r="O11239" t="s">
        <v>40437</v>
      </c>
      <c r="P11239">
        <v>0</v>
      </c>
      <c r="Q11239">
        <v>15</v>
      </c>
      <c r="R11239" t="s">
        <v>40452</v>
      </c>
      <c r="S11239" t="s">
        <v>41140</v>
      </c>
      <c r="T11239" t="s">
        <v>42567</v>
      </c>
      <c r="U11239" t="s">
        <v>51025</v>
      </c>
      <c r="W11239" t="s">
        <v>55493</v>
      </c>
      <c r="X11239" t="s">
        <v>40453</v>
      </c>
    </row>
    <row r="11240" spans="1:24">
      <c r="A11240">
        <f>HYPERLINK("https://www.philgeps.gov.ph/GEPSNONPILOT/Tender/SplashBidNoticeAbstractUI.aspx?menuIndex=3&amp;refID=7022265&amp;Result=3","7022265")</f>
        <v>0</v>
      </c>
      <c r="B11240" t="s">
        <v>2455</v>
      </c>
      <c r="C11240" t="s">
        <v>13826</v>
      </c>
      <c r="D11240" t="s">
        <v>16195</v>
      </c>
      <c r="E11240" t="s">
        <v>20107</v>
      </c>
      <c r="F11240" t="s">
        <v>28198</v>
      </c>
      <c r="G11240" t="s">
        <v>28205</v>
      </c>
      <c r="H11240" t="s">
        <v>28215</v>
      </c>
      <c r="I11240" t="s">
        <v>4219</v>
      </c>
      <c r="J11240" t="s">
        <v>35274</v>
      </c>
      <c r="K11240" t="s">
        <v>36689</v>
      </c>
      <c r="M11240" t="s">
        <v>39646</v>
      </c>
      <c r="N11240" t="s">
        <v>40436</v>
      </c>
      <c r="O11240" t="s">
        <v>40437</v>
      </c>
      <c r="P11240">
        <v>0</v>
      </c>
      <c r="Q11240">
        <v>7</v>
      </c>
      <c r="R11240" t="s">
        <v>40452</v>
      </c>
      <c r="S11240" t="s">
        <v>41140</v>
      </c>
      <c r="T11240" t="s">
        <v>42168</v>
      </c>
      <c r="U11240" t="s">
        <v>51924</v>
      </c>
      <c r="W11240" t="s">
        <v>39646</v>
      </c>
      <c r="X11240" t="s">
        <v>40453</v>
      </c>
    </row>
    <row r="11241" spans="1:24">
      <c r="A11241">
        <f>HYPERLINK("https://www.philgeps.gov.ph/GEPSNONPILOT/Tender/SplashBidNoticeAbstractUI.aspx?menuIndex=3&amp;refID=7022399&amp;Result=3","7022399")</f>
        <v>0</v>
      </c>
      <c r="B11241" t="s">
        <v>1547</v>
      </c>
      <c r="C11241" t="s">
        <v>13827</v>
      </c>
      <c r="D11241" t="s">
        <v>16234</v>
      </c>
      <c r="E11241" t="s">
        <v>26035</v>
      </c>
      <c r="F11241" t="s">
        <v>28198</v>
      </c>
      <c r="G11241" t="s">
        <v>28205</v>
      </c>
      <c r="H11241" t="s">
        <v>28214</v>
      </c>
      <c r="I11241" t="s">
        <v>3797</v>
      </c>
      <c r="J11241" t="s">
        <v>35275</v>
      </c>
      <c r="K11241" t="s">
        <v>36689</v>
      </c>
      <c r="M11241" t="s">
        <v>38627</v>
      </c>
      <c r="N11241" t="s">
        <v>40436</v>
      </c>
      <c r="O11241" t="s">
        <v>40437</v>
      </c>
      <c r="P11241">
        <v>0</v>
      </c>
      <c r="Q11241">
        <v>3</v>
      </c>
      <c r="R11241" t="s">
        <v>40452</v>
      </c>
      <c r="S11241" t="s">
        <v>41140</v>
      </c>
      <c r="T11241" t="s">
        <v>42103</v>
      </c>
      <c r="U11241" t="s">
        <v>51925</v>
      </c>
      <c r="W11241" t="s">
        <v>55487</v>
      </c>
      <c r="X11241" t="s">
        <v>40453</v>
      </c>
    </row>
    <row r="11242" spans="1:24">
      <c r="A11242">
        <f>HYPERLINK("https://www.philgeps.gov.ph/GEPSNONPILOT/Tender/SplashBidNoticeAbstractUI.aspx?menuIndex=3&amp;refID=7022433&amp;Result=3","7022433")</f>
        <v>0</v>
      </c>
      <c r="B11242" t="s">
        <v>1905</v>
      </c>
      <c r="C11242" t="s">
        <v>13828</v>
      </c>
      <c r="D11242" t="s">
        <v>16252</v>
      </c>
      <c r="E11242" t="s">
        <v>26036</v>
      </c>
      <c r="F11242" t="s">
        <v>28198</v>
      </c>
      <c r="G11242" t="s">
        <v>28205</v>
      </c>
      <c r="H11242" t="s">
        <v>28215</v>
      </c>
      <c r="I11242" t="s">
        <v>3797</v>
      </c>
      <c r="J11242" t="s">
        <v>35276</v>
      </c>
      <c r="K11242" t="s">
        <v>36707</v>
      </c>
      <c r="M11242" t="s">
        <v>39037</v>
      </c>
      <c r="N11242" t="s">
        <v>40436</v>
      </c>
      <c r="O11242" t="s">
        <v>40437</v>
      </c>
      <c r="P11242">
        <v>0</v>
      </c>
      <c r="Q11242">
        <v>1</v>
      </c>
      <c r="R11242" t="s">
        <v>40452</v>
      </c>
      <c r="S11242" t="s">
        <v>41140</v>
      </c>
      <c r="T11242" t="s">
        <v>42103</v>
      </c>
      <c r="U11242" t="s">
        <v>51926</v>
      </c>
      <c r="W11242" t="s">
        <v>55499</v>
      </c>
      <c r="X11242" t="s">
        <v>40453</v>
      </c>
    </row>
    <row r="11243" spans="1:24">
      <c r="A11243">
        <f>HYPERLINK("https://www.philgeps.gov.ph/GEPSNONPILOT/Tender/SplashBidNoticeAbstractUI.aspx?menuIndex=3&amp;refID=7022391&amp;Result=3","7022391")</f>
        <v>0</v>
      </c>
      <c r="B11243" t="s">
        <v>1116</v>
      </c>
      <c r="C11243" t="s">
        <v>13829</v>
      </c>
      <c r="D11243" t="s">
        <v>16188</v>
      </c>
      <c r="E11243" t="s">
        <v>26037</v>
      </c>
      <c r="F11243" t="s">
        <v>28198</v>
      </c>
      <c r="G11243" t="s">
        <v>28205</v>
      </c>
      <c r="H11243" t="s">
        <v>28215</v>
      </c>
      <c r="I11243" t="s">
        <v>28228</v>
      </c>
      <c r="J11243" t="s">
        <v>35277</v>
      </c>
      <c r="K11243" t="s">
        <v>36701</v>
      </c>
      <c r="M11243" t="s">
        <v>38153</v>
      </c>
      <c r="N11243" t="s">
        <v>40436</v>
      </c>
      <c r="O11243" t="s">
        <v>40437</v>
      </c>
      <c r="P11243">
        <v>0</v>
      </c>
      <c r="Q11243">
        <v>0</v>
      </c>
      <c r="R11243" t="s">
        <v>40452</v>
      </c>
      <c r="S11243" t="s">
        <v>41140</v>
      </c>
      <c r="T11243" t="s">
        <v>42112</v>
      </c>
      <c r="U11243" t="s">
        <v>51927</v>
      </c>
      <c r="W11243" t="s">
        <v>38153</v>
      </c>
      <c r="X11243" t="s">
        <v>40453</v>
      </c>
    </row>
    <row r="11244" spans="1:24">
      <c r="A11244">
        <f>HYPERLINK("https://www.philgeps.gov.ph/GEPSNONPILOT/Tender/SplashBidNoticeAbstractUI.aspx?menuIndex=3&amp;refID=7022503&amp;Result=3","7022503")</f>
        <v>0</v>
      </c>
      <c r="B11244" t="s">
        <v>1147</v>
      </c>
      <c r="C11244" t="s">
        <v>13830</v>
      </c>
      <c r="D11244" t="s">
        <v>16213</v>
      </c>
      <c r="E11244" t="s">
        <v>26038</v>
      </c>
      <c r="F11244" t="s">
        <v>28198</v>
      </c>
      <c r="G11244" t="s">
        <v>28205</v>
      </c>
      <c r="H11244" t="s">
        <v>28214</v>
      </c>
      <c r="I11244" t="s">
        <v>3797</v>
      </c>
      <c r="J11244" t="s">
        <v>35278</v>
      </c>
      <c r="K11244" t="s">
        <v>36697</v>
      </c>
      <c r="M11244" t="s">
        <v>38187</v>
      </c>
      <c r="N11244" t="s">
        <v>40436</v>
      </c>
      <c r="O11244" t="s">
        <v>40437</v>
      </c>
      <c r="P11244">
        <v>0</v>
      </c>
      <c r="Q11244">
        <v>1</v>
      </c>
      <c r="R11244" t="s">
        <v>40452</v>
      </c>
      <c r="S11244" t="s">
        <v>41140</v>
      </c>
      <c r="T11244" t="s">
        <v>42133</v>
      </c>
      <c r="U11244" t="s">
        <v>51928</v>
      </c>
      <c r="W11244" t="s">
        <v>38187</v>
      </c>
      <c r="X11244" t="s">
        <v>40453</v>
      </c>
    </row>
    <row r="11245" spans="1:24">
      <c r="A11245">
        <f>HYPERLINK("https://www.philgeps.gov.ph/GEPSNONPILOT/Tender/SplashBidNoticeAbstractUI.aspx?menuIndex=3&amp;refID=7022630&amp;Result=3","7022630")</f>
        <v>0</v>
      </c>
      <c r="B11245" t="s">
        <v>2881</v>
      </c>
      <c r="C11245" t="s">
        <v>13831</v>
      </c>
      <c r="D11245" t="s">
        <v>16250</v>
      </c>
      <c r="E11245" t="s">
        <v>26039</v>
      </c>
      <c r="F11245" t="s">
        <v>28198</v>
      </c>
      <c r="G11245" t="s">
        <v>28205</v>
      </c>
      <c r="H11245" t="s">
        <v>28214</v>
      </c>
      <c r="I11245" t="s">
        <v>3797</v>
      </c>
      <c r="J11245" t="s">
        <v>35279</v>
      </c>
      <c r="K11245" t="s">
        <v>36727</v>
      </c>
      <c r="M11245" t="s">
        <v>40144</v>
      </c>
      <c r="N11245" t="s">
        <v>40436</v>
      </c>
      <c r="O11245" t="s">
        <v>40437</v>
      </c>
      <c r="P11245">
        <v>0</v>
      </c>
      <c r="Q11245">
        <v>0</v>
      </c>
      <c r="R11245" t="s">
        <v>40452</v>
      </c>
      <c r="S11245" t="s">
        <v>41140</v>
      </c>
      <c r="T11245" t="s">
        <v>42133</v>
      </c>
      <c r="U11245" t="s">
        <v>51929</v>
      </c>
      <c r="W11245" t="s">
        <v>40144</v>
      </c>
      <c r="X11245" t="s">
        <v>40453</v>
      </c>
    </row>
    <row r="11246" spans="1:24">
      <c r="A11246">
        <f>HYPERLINK("https://www.philgeps.gov.ph/GEPSNONPILOT/Tender/SplashBidNoticeAbstractUI.aspx?menuIndex=3&amp;refID=7022500&amp;Result=3","7022500")</f>
        <v>0</v>
      </c>
      <c r="B11246" t="s">
        <v>2882</v>
      </c>
      <c r="C11246" t="s">
        <v>13832</v>
      </c>
      <c r="D11246" t="s">
        <v>16246</v>
      </c>
      <c r="E11246" t="s">
        <v>18331</v>
      </c>
      <c r="F11246" t="s">
        <v>28198</v>
      </c>
      <c r="G11246" t="s">
        <v>28205</v>
      </c>
      <c r="H11246" t="s">
        <v>28214</v>
      </c>
      <c r="I11246" t="s">
        <v>3797</v>
      </c>
      <c r="J11246" t="s">
        <v>35280</v>
      </c>
      <c r="K11246" t="s">
        <v>36689</v>
      </c>
      <c r="M11246" t="s">
        <v>40145</v>
      </c>
      <c r="N11246" t="s">
        <v>40436</v>
      </c>
      <c r="O11246" t="s">
        <v>40437</v>
      </c>
      <c r="P11246">
        <v>0</v>
      </c>
      <c r="Q11246">
        <v>0</v>
      </c>
      <c r="R11246" t="s">
        <v>40452</v>
      </c>
      <c r="S11246" t="s">
        <v>41140</v>
      </c>
      <c r="T11246" t="s">
        <v>42205</v>
      </c>
      <c r="U11246" t="s">
        <v>51930</v>
      </c>
      <c r="W11246" t="s">
        <v>40145</v>
      </c>
      <c r="X11246" t="s">
        <v>40453</v>
      </c>
    </row>
    <row r="11247" spans="1:24">
      <c r="A11247">
        <f>HYPERLINK("https://www.philgeps.gov.ph/GEPSNONPILOT/Tender/SplashBidNoticeAbstractUI.aspx?menuIndex=3&amp;refID=7022521&amp;Result=3","7022521")</f>
        <v>0</v>
      </c>
      <c r="B11247" t="s">
        <v>1147</v>
      </c>
      <c r="C11247" t="s">
        <v>13833</v>
      </c>
      <c r="D11247" t="s">
        <v>16213</v>
      </c>
      <c r="E11247" t="s">
        <v>26040</v>
      </c>
      <c r="F11247" t="s">
        <v>28198</v>
      </c>
      <c r="G11247" t="s">
        <v>28205</v>
      </c>
      <c r="H11247" t="s">
        <v>28214</v>
      </c>
      <c r="I11247" t="s">
        <v>3797</v>
      </c>
      <c r="J11247" t="s">
        <v>35281</v>
      </c>
      <c r="K11247" t="s">
        <v>36708</v>
      </c>
      <c r="M11247" t="s">
        <v>38187</v>
      </c>
      <c r="N11247" t="s">
        <v>40436</v>
      </c>
      <c r="O11247" t="s">
        <v>40437</v>
      </c>
      <c r="P11247">
        <v>0</v>
      </c>
      <c r="Q11247">
        <v>1</v>
      </c>
      <c r="R11247" t="s">
        <v>40452</v>
      </c>
      <c r="S11247" t="s">
        <v>41140</v>
      </c>
      <c r="T11247" t="s">
        <v>42133</v>
      </c>
      <c r="U11247" t="s">
        <v>51931</v>
      </c>
      <c r="W11247" t="s">
        <v>38187</v>
      </c>
      <c r="X11247" t="s">
        <v>40453</v>
      </c>
    </row>
    <row r="11248" spans="1:24">
      <c r="A11248">
        <f>HYPERLINK("https://www.philgeps.gov.ph/GEPSNONPILOT/Tender/SplashBidNoticeAbstractUI.aspx?menuIndex=3&amp;refID=7022609&amp;Result=3","7022609")</f>
        <v>0</v>
      </c>
      <c r="B11248" t="s">
        <v>2881</v>
      </c>
      <c r="C11248" t="s">
        <v>13834</v>
      </c>
      <c r="D11248" t="s">
        <v>16250</v>
      </c>
      <c r="E11248" t="s">
        <v>26041</v>
      </c>
      <c r="F11248" t="s">
        <v>28198</v>
      </c>
      <c r="G11248" t="s">
        <v>28205</v>
      </c>
      <c r="H11248" t="s">
        <v>28214</v>
      </c>
      <c r="I11248" t="s">
        <v>3797</v>
      </c>
      <c r="J11248" t="s">
        <v>35282</v>
      </c>
      <c r="K11248" t="s">
        <v>36717</v>
      </c>
      <c r="M11248" t="s">
        <v>40144</v>
      </c>
      <c r="N11248" t="s">
        <v>40436</v>
      </c>
      <c r="O11248" t="s">
        <v>40437</v>
      </c>
      <c r="Q11248">
        <v>0</v>
      </c>
      <c r="R11248" t="s">
        <v>40452</v>
      </c>
      <c r="S11248" t="s">
        <v>41170</v>
      </c>
      <c r="T11248" t="s">
        <v>42133</v>
      </c>
      <c r="U11248" t="s">
        <v>51929</v>
      </c>
      <c r="W11248" t="s">
        <v>40144</v>
      </c>
      <c r="X11248" t="s">
        <v>40453</v>
      </c>
    </row>
    <row r="11249" spans="1:24">
      <c r="A11249">
        <f>HYPERLINK("https://www.philgeps.gov.ph/GEPSNONPILOT/Tender/SplashBidNoticeAbstractUI.aspx?menuIndex=3&amp;refID=7022505&amp;Result=3","7022505")</f>
        <v>0</v>
      </c>
      <c r="B11249" t="s">
        <v>1176</v>
      </c>
      <c r="C11249" t="s">
        <v>13835</v>
      </c>
      <c r="D11249" t="s">
        <v>16251</v>
      </c>
      <c r="E11249" t="s">
        <v>17462</v>
      </c>
      <c r="F11249" t="s">
        <v>28198</v>
      </c>
      <c r="G11249" t="s">
        <v>28205</v>
      </c>
      <c r="H11249" t="s">
        <v>28214</v>
      </c>
      <c r="I11249" t="s">
        <v>3797</v>
      </c>
      <c r="J11249" t="s">
        <v>28921</v>
      </c>
      <c r="K11249" t="s">
        <v>36697</v>
      </c>
      <c r="M11249" t="s">
        <v>38218</v>
      </c>
      <c r="N11249" t="s">
        <v>40436</v>
      </c>
      <c r="O11249" t="s">
        <v>40437</v>
      </c>
      <c r="P11249">
        <v>0</v>
      </c>
      <c r="Q11249">
        <v>0</v>
      </c>
      <c r="R11249" t="s">
        <v>40452</v>
      </c>
      <c r="S11249" t="s">
        <v>41140</v>
      </c>
      <c r="T11249" t="s">
        <v>42112</v>
      </c>
      <c r="U11249" t="s">
        <v>51932</v>
      </c>
      <c r="V11249" t="s">
        <v>55075</v>
      </c>
      <c r="W11249" t="s">
        <v>38218</v>
      </c>
      <c r="X11249" t="s">
        <v>40453</v>
      </c>
    </row>
    <row r="11250" spans="1:24">
      <c r="A11250">
        <f>HYPERLINK("https://www.philgeps.gov.ph/GEPSNONPILOT/Tender/SplashBidNoticeAbstractUI.aspx?menuIndex=3&amp;refID=7022634&amp;Result=3","7022634")</f>
        <v>0</v>
      </c>
      <c r="B11250" t="s">
        <v>569</v>
      </c>
      <c r="C11250" t="s">
        <v>13836</v>
      </c>
      <c r="D11250" t="s">
        <v>16209</v>
      </c>
      <c r="E11250" t="s">
        <v>26042</v>
      </c>
      <c r="F11250" t="s">
        <v>28198</v>
      </c>
      <c r="G11250" t="s">
        <v>28205</v>
      </c>
      <c r="H11250" t="s">
        <v>28215</v>
      </c>
      <c r="I11250" t="s">
        <v>6051</v>
      </c>
      <c r="J11250" t="s">
        <v>30526</v>
      </c>
      <c r="K11250" t="s">
        <v>36701</v>
      </c>
      <c r="M11250" t="s">
        <v>37557</v>
      </c>
      <c r="N11250" t="s">
        <v>40436</v>
      </c>
      <c r="O11250" t="s">
        <v>40437</v>
      </c>
      <c r="P11250">
        <v>0</v>
      </c>
      <c r="Q11250">
        <v>6</v>
      </c>
      <c r="R11250" t="s">
        <v>40452</v>
      </c>
      <c r="S11250" t="s">
        <v>41140</v>
      </c>
      <c r="T11250" t="s">
        <v>42133</v>
      </c>
      <c r="U11250" t="s">
        <v>51933</v>
      </c>
      <c r="V11250" t="s">
        <v>53923</v>
      </c>
      <c r="W11250" t="s">
        <v>37557</v>
      </c>
      <c r="X11250" t="s">
        <v>40453</v>
      </c>
    </row>
    <row r="11251" spans="1:24">
      <c r="A11251">
        <f>HYPERLINK("https://www.philgeps.gov.ph/GEPSNONPILOT/Tender/SplashBidNoticeAbstractUI.aspx?menuIndex=3&amp;refID=7022642&amp;Result=3","7022642")</f>
        <v>0</v>
      </c>
      <c r="B11251" t="s">
        <v>569</v>
      </c>
      <c r="C11251" t="s">
        <v>13837</v>
      </c>
      <c r="D11251" t="s">
        <v>16209</v>
      </c>
      <c r="E11251" t="s">
        <v>26043</v>
      </c>
      <c r="F11251" t="s">
        <v>28198</v>
      </c>
      <c r="G11251" t="s">
        <v>28205</v>
      </c>
      <c r="H11251" t="s">
        <v>28214</v>
      </c>
      <c r="I11251" t="s">
        <v>3797</v>
      </c>
      <c r="J11251" t="s">
        <v>28699</v>
      </c>
      <c r="K11251" t="s">
        <v>36886</v>
      </c>
      <c r="M11251" t="s">
        <v>40146</v>
      </c>
      <c r="N11251" t="s">
        <v>40436</v>
      </c>
      <c r="O11251" t="s">
        <v>40437</v>
      </c>
      <c r="P11251">
        <v>0</v>
      </c>
      <c r="Q11251">
        <v>1</v>
      </c>
      <c r="R11251" t="s">
        <v>40452</v>
      </c>
      <c r="S11251" t="s">
        <v>41140</v>
      </c>
      <c r="T11251" t="s">
        <v>42133</v>
      </c>
      <c r="U11251" t="s">
        <v>51934</v>
      </c>
      <c r="W11251" t="s">
        <v>40146</v>
      </c>
      <c r="X11251" t="s">
        <v>40453</v>
      </c>
    </row>
    <row r="11252" spans="1:24">
      <c r="A11252">
        <f>HYPERLINK("https://www.philgeps.gov.ph/GEPSNONPILOT/Tender/SplashBidNoticeAbstractUI.aspx?menuIndex=3&amp;refID=7022651&amp;Result=3","7022651")</f>
        <v>0</v>
      </c>
      <c r="B11252" t="s">
        <v>2881</v>
      </c>
      <c r="C11252" t="s">
        <v>13838</v>
      </c>
      <c r="D11252" t="s">
        <v>16250</v>
      </c>
      <c r="E11252" t="s">
        <v>26044</v>
      </c>
      <c r="F11252" t="s">
        <v>28198</v>
      </c>
      <c r="G11252" t="s">
        <v>28205</v>
      </c>
      <c r="H11252" t="s">
        <v>28214</v>
      </c>
      <c r="I11252" t="s">
        <v>3797</v>
      </c>
      <c r="J11252" t="s">
        <v>35283</v>
      </c>
      <c r="K11252" t="s">
        <v>36887</v>
      </c>
      <c r="M11252" t="s">
        <v>40144</v>
      </c>
      <c r="N11252" t="s">
        <v>40436</v>
      </c>
      <c r="O11252" t="s">
        <v>40437</v>
      </c>
      <c r="P11252">
        <v>0</v>
      </c>
      <c r="Q11252">
        <v>0</v>
      </c>
      <c r="R11252" t="s">
        <v>40452</v>
      </c>
      <c r="S11252" t="s">
        <v>41140</v>
      </c>
      <c r="T11252" t="s">
        <v>42133</v>
      </c>
      <c r="U11252" t="s">
        <v>51929</v>
      </c>
      <c r="W11252" t="s">
        <v>40144</v>
      </c>
      <c r="X11252" t="s">
        <v>40453</v>
      </c>
    </row>
    <row r="11253" spans="1:24">
      <c r="A11253">
        <f>HYPERLINK("https://www.philgeps.gov.ph/GEPSNONPILOT/Tender/SplashBidNoticeAbstractUI.aspx?menuIndex=3&amp;refID=7022619&amp;Result=3","7022619")</f>
        <v>0</v>
      </c>
      <c r="B11253" t="s">
        <v>569</v>
      </c>
      <c r="C11253" t="s">
        <v>13839</v>
      </c>
      <c r="D11253" t="s">
        <v>16209</v>
      </c>
      <c r="E11253" t="s">
        <v>26045</v>
      </c>
      <c r="F11253" t="s">
        <v>28198</v>
      </c>
      <c r="G11253" t="s">
        <v>28205</v>
      </c>
      <c r="H11253" t="s">
        <v>28215</v>
      </c>
      <c r="I11253" t="s">
        <v>28222</v>
      </c>
      <c r="J11253" t="s">
        <v>29291</v>
      </c>
      <c r="K11253" t="s">
        <v>36687</v>
      </c>
      <c r="M11253" t="s">
        <v>37557</v>
      </c>
      <c r="N11253" t="s">
        <v>40436</v>
      </c>
      <c r="O11253" t="s">
        <v>40437</v>
      </c>
      <c r="P11253">
        <v>0</v>
      </c>
      <c r="Q11253">
        <v>7</v>
      </c>
      <c r="R11253" t="s">
        <v>40452</v>
      </c>
      <c r="S11253" t="s">
        <v>41140</v>
      </c>
      <c r="T11253" t="s">
        <v>42133</v>
      </c>
      <c r="U11253" t="s">
        <v>51935</v>
      </c>
      <c r="V11253" t="s">
        <v>53923</v>
      </c>
      <c r="W11253" t="s">
        <v>37557</v>
      </c>
      <c r="X11253" t="s">
        <v>40453</v>
      </c>
    </row>
    <row r="11254" spans="1:24">
      <c r="A11254">
        <f>HYPERLINK("https://www.philgeps.gov.ph/GEPSNONPILOT/Tender/SplashBidNoticeAbstractUI.aspx?menuIndex=3&amp;refID=7022466&amp;Result=3","7022466")</f>
        <v>0</v>
      </c>
      <c r="B11254" t="s">
        <v>1094</v>
      </c>
      <c r="C11254" t="s">
        <v>13840</v>
      </c>
      <c r="E11254" t="s">
        <v>16782</v>
      </c>
      <c r="F11254" t="s">
        <v>28198</v>
      </c>
      <c r="G11254" t="s">
        <v>28205</v>
      </c>
      <c r="H11254" t="s">
        <v>28214</v>
      </c>
      <c r="I11254" t="s">
        <v>3797</v>
      </c>
      <c r="J11254" t="s">
        <v>35284</v>
      </c>
      <c r="K11254" t="s">
        <v>36689</v>
      </c>
      <c r="M11254" t="s">
        <v>38129</v>
      </c>
      <c r="N11254" t="s">
        <v>40436</v>
      </c>
      <c r="O11254" t="s">
        <v>40437</v>
      </c>
      <c r="P11254">
        <v>0</v>
      </c>
      <c r="Q11254">
        <v>4</v>
      </c>
      <c r="R11254" t="s">
        <v>40452</v>
      </c>
      <c r="S11254" t="s">
        <v>41140</v>
      </c>
      <c r="T11254" t="s">
        <v>42111</v>
      </c>
      <c r="U11254" t="s">
        <v>44334</v>
      </c>
      <c r="W11254" t="s">
        <v>38129</v>
      </c>
      <c r="X11254" t="s">
        <v>40453</v>
      </c>
    </row>
    <row r="11255" spans="1:24">
      <c r="A11255">
        <f>HYPERLINK("https://www.philgeps.gov.ph/GEPSNONPILOT/Tender/SplashBidNoticeAbstractUI.aspx?menuIndex=3&amp;refID=7022652&amp;Result=3","7022652")</f>
        <v>0</v>
      </c>
      <c r="B11255" t="s">
        <v>569</v>
      </c>
      <c r="C11255" t="s">
        <v>13841</v>
      </c>
      <c r="D11255" t="s">
        <v>16209</v>
      </c>
      <c r="E11255" t="s">
        <v>26046</v>
      </c>
      <c r="F11255" t="s">
        <v>28198</v>
      </c>
      <c r="G11255" t="s">
        <v>28205</v>
      </c>
      <c r="H11255" t="s">
        <v>28215</v>
      </c>
      <c r="I11255" t="s">
        <v>28236</v>
      </c>
      <c r="J11255" t="s">
        <v>29763</v>
      </c>
      <c r="K11255" t="s">
        <v>36701</v>
      </c>
      <c r="M11255" t="s">
        <v>37557</v>
      </c>
      <c r="N11255" t="s">
        <v>40436</v>
      </c>
      <c r="O11255" t="s">
        <v>40437</v>
      </c>
      <c r="Q11255">
        <v>6</v>
      </c>
      <c r="R11255" t="s">
        <v>40452</v>
      </c>
      <c r="S11255" t="s">
        <v>41171</v>
      </c>
      <c r="T11255" t="s">
        <v>42133</v>
      </c>
      <c r="U11255" t="s">
        <v>51936</v>
      </c>
      <c r="V11255" t="s">
        <v>53923</v>
      </c>
      <c r="W11255" t="s">
        <v>37557</v>
      </c>
      <c r="X11255" t="s">
        <v>40453</v>
      </c>
    </row>
    <row r="11256" spans="1:24">
      <c r="A11256">
        <f>HYPERLINK("https://www.philgeps.gov.ph/GEPSNONPILOT/Tender/SplashBidNoticeAbstractUI.aspx?menuIndex=3&amp;refID=7022580&amp;Result=3","7022580")</f>
        <v>0</v>
      </c>
      <c r="B11256" t="s">
        <v>2881</v>
      </c>
      <c r="C11256" t="s">
        <v>13842</v>
      </c>
      <c r="D11256" t="s">
        <v>16250</v>
      </c>
      <c r="E11256" t="s">
        <v>26047</v>
      </c>
      <c r="F11256" t="s">
        <v>28198</v>
      </c>
      <c r="G11256" t="s">
        <v>28205</v>
      </c>
      <c r="H11256" t="s">
        <v>28214</v>
      </c>
      <c r="I11256" t="s">
        <v>3797</v>
      </c>
      <c r="J11256" t="s">
        <v>35285</v>
      </c>
      <c r="K11256" t="s">
        <v>36854</v>
      </c>
      <c r="M11256" t="s">
        <v>40144</v>
      </c>
      <c r="N11256" t="s">
        <v>40436</v>
      </c>
      <c r="O11256" t="s">
        <v>40437</v>
      </c>
      <c r="Q11256">
        <v>0</v>
      </c>
      <c r="R11256" t="s">
        <v>40452</v>
      </c>
      <c r="S11256" t="s">
        <v>41172</v>
      </c>
      <c r="T11256" t="s">
        <v>42133</v>
      </c>
      <c r="U11256" t="s">
        <v>51929</v>
      </c>
      <c r="W11256" t="s">
        <v>40144</v>
      </c>
      <c r="X11256" t="s">
        <v>40453</v>
      </c>
    </row>
    <row r="11257" spans="1:24">
      <c r="A11257">
        <f>HYPERLINK("https://www.philgeps.gov.ph/GEPSNONPILOT/Tender/SplashBidNoticeAbstractUI.aspx?menuIndex=3&amp;refID=7022669&amp;Result=3","7022669")</f>
        <v>0</v>
      </c>
      <c r="B11257" t="s">
        <v>569</v>
      </c>
      <c r="C11257" t="s">
        <v>13843</v>
      </c>
      <c r="D11257" t="s">
        <v>16209</v>
      </c>
      <c r="E11257" t="s">
        <v>26048</v>
      </c>
      <c r="F11257" t="s">
        <v>28198</v>
      </c>
      <c r="G11257" t="s">
        <v>28205</v>
      </c>
      <c r="H11257" t="s">
        <v>28214</v>
      </c>
      <c r="I11257" t="s">
        <v>3797</v>
      </c>
      <c r="J11257" t="s">
        <v>29113</v>
      </c>
      <c r="K11257" t="s">
        <v>36746</v>
      </c>
      <c r="M11257" t="s">
        <v>40146</v>
      </c>
      <c r="N11257" t="s">
        <v>40436</v>
      </c>
      <c r="O11257" t="s">
        <v>40437</v>
      </c>
      <c r="P11257">
        <v>0</v>
      </c>
      <c r="Q11257">
        <v>1</v>
      </c>
      <c r="R11257" t="s">
        <v>40452</v>
      </c>
      <c r="S11257" t="s">
        <v>41140</v>
      </c>
      <c r="T11257" t="s">
        <v>42133</v>
      </c>
      <c r="U11257" t="s">
        <v>51937</v>
      </c>
      <c r="W11257" t="s">
        <v>40146</v>
      </c>
      <c r="X11257" t="s">
        <v>40453</v>
      </c>
    </row>
    <row r="11258" spans="1:24">
      <c r="A11258">
        <f>HYPERLINK("https://www.philgeps.gov.ph/GEPSNONPILOT/Tender/SplashBidNoticeAbstractUI.aspx?menuIndex=3&amp;refID=7022607&amp;Result=3","7022607")</f>
        <v>0</v>
      </c>
      <c r="B11258" t="s">
        <v>2880</v>
      </c>
      <c r="C11258" t="s">
        <v>13844</v>
      </c>
      <c r="D11258" t="s">
        <v>16261</v>
      </c>
      <c r="E11258" t="s">
        <v>26049</v>
      </c>
      <c r="F11258" t="s">
        <v>28198</v>
      </c>
      <c r="G11258" t="s">
        <v>28205</v>
      </c>
      <c r="H11258" t="s">
        <v>28215</v>
      </c>
      <c r="I11258" t="s">
        <v>4219</v>
      </c>
      <c r="J11258" t="s">
        <v>35286</v>
      </c>
      <c r="K11258" t="s">
        <v>36687</v>
      </c>
      <c r="M11258" t="s">
        <v>40143</v>
      </c>
      <c r="N11258" t="s">
        <v>40436</v>
      </c>
      <c r="O11258" t="s">
        <v>40437</v>
      </c>
      <c r="P11258">
        <v>0</v>
      </c>
      <c r="Q11258">
        <v>3</v>
      </c>
      <c r="R11258" t="s">
        <v>40452</v>
      </c>
      <c r="S11258" t="s">
        <v>41140</v>
      </c>
      <c r="T11258" t="s">
        <v>42133</v>
      </c>
      <c r="U11258" t="s">
        <v>51938</v>
      </c>
      <c r="W11258" t="s">
        <v>40143</v>
      </c>
      <c r="X11258" t="s">
        <v>40453</v>
      </c>
    </row>
    <row r="11259" spans="1:24">
      <c r="A11259">
        <f>HYPERLINK("https://www.philgeps.gov.ph/GEPSNONPILOT/Tender/SplashBidNoticeAbstractUI.aspx?menuIndex=3&amp;refID=7022668&amp;Result=3","7022668")</f>
        <v>0</v>
      </c>
      <c r="B11259" t="s">
        <v>569</v>
      </c>
      <c r="C11259" t="s">
        <v>13845</v>
      </c>
      <c r="D11259" t="s">
        <v>16209</v>
      </c>
      <c r="E11259" t="s">
        <v>26050</v>
      </c>
      <c r="F11259" t="s">
        <v>28198</v>
      </c>
      <c r="G11259" t="s">
        <v>28205</v>
      </c>
      <c r="H11259" t="s">
        <v>28215</v>
      </c>
      <c r="I11259" t="s">
        <v>5791</v>
      </c>
      <c r="J11259" t="s">
        <v>35287</v>
      </c>
      <c r="K11259" t="s">
        <v>36687</v>
      </c>
      <c r="M11259" t="s">
        <v>37557</v>
      </c>
      <c r="N11259" t="s">
        <v>40436</v>
      </c>
      <c r="O11259" t="s">
        <v>40437</v>
      </c>
      <c r="P11259">
        <v>0</v>
      </c>
      <c r="Q11259">
        <v>0</v>
      </c>
      <c r="R11259" t="s">
        <v>40452</v>
      </c>
      <c r="S11259" t="s">
        <v>41140</v>
      </c>
      <c r="T11259" t="s">
        <v>42133</v>
      </c>
      <c r="U11259" t="s">
        <v>51939</v>
      </c>
      <c r="V11259" t="s">
        <v>53923</v>
      </c>
      <c r="W11259" t="s">
        <v>37557</v>
      </c>
      <c r="X11259" t="s">
        <v>40453</v>
      </c>
    </row>
    <row r="11260" spans="1:24">
      <c r="A11260">
        <f>HYPERLINK("https://www.philgeps.gov.ph/GEPSNONPILOT/Tender/SplashBidNoticeAbstractUI.aspx?menuIndex=3&amp;refID=7022641&amp;Result=3","7022641")</f>
        <v>0</v>
      </c>
      <c r="B11260" t="s">
        <v>2881</v>
      </c>
      <c r="C11260" t="s">
        <v>13846</v>
      </c>
      <c r="D11260" t="s">
        <v>16250</v>
      </c>
      <c r="E11260" t="s">
        <v>26051</v>
      </c>
      <c r="F11260" t="s">
        <v>28198</v>
      </c>
      <c r="G11260" t="s">
        <v>28205</v>
      </c>
      <c r="H11260" t="s">
        <v>28214</v>
      </c>
      <c r="I11260" t="s">
        <v>3797</v>
      </c>
      <c r="J11260" t="s">
        <v>34625</v>
      </c>
      <c r="K11260" t="s">
        <v>36692</v>
      </c>
      <c r="M11260" t="s">
        <v>40144</v>
      </c>
      <c r="N11260" t="s">
        <v>40436</v>
      </c>
      <c r="O11260" t="s">
        <v>40437</v>
      </c>
      <c r="P11260">
        <v>0</v>
      </c>
      <c r="Q11260">
        <v>0</v>
      </c>
      <c r="R11260" t="s">
        <v>40452</v>
      </c>
      <c r="S11260" t="s">
        <v>41140</v>
      </c>
      <c r="T11260" t="s">
        <v>42133</v>
      </c>
      <c r="U11260" t="s">
        <v>51929</v>
      </c>
      <c r="W11260" t="s">
        <v>40144</v>
      </c>
      <c r="X11260" t="s">
        <v>40453</v>
      </c>
    </row>
    <row r="11261" spans="1:24">
      <c r="A11261">
        <f>HYPERLINK("https://www.philgeps.gov.ph/GEPSNONPILOT/Tender/SplashBidNoticeAbstractUI.aspx?menuIndex=3&amp;refID=7022653&amp;Result=3","7022653")</f>
        <v>0</v>
      </c>
      <c r="B11261" t="s">
        <v>569</v>
      </c>
      <c r="C11261" t="s">
        <v>13847</v>
      </c>
      <c r="D11261" t="s">
        <v>16209</v>
      </c>
      <c r="E11261" t="s">
        <v>26052</v>
      </c>
      <c r="F11261" t="s">
        <v>28198</v>
      </c>
      <c r="G11261" t="s">
        <v>28205</v>
      </c>
      <c r="H11261" t="s">
        <v>28214</v>
      </c>
      <c r="I11261" t="s">
        <v>3797</v>
      </c>
      <c r="J11261" t="s">
        <v>35288</v>
      </c>
      <c r="K11261" t="s">
        <v>36830</v>
      </c>
      <c r="M11261" t="s">
        <v>40146</v>
      </c>
      <c r="N11261" t="s">
        <v>40436</v>
      </c>
      <c r="O11261" t="s">
        <v>40437</v>
      </c>
      <c r="P11261">
        <v>0</v>
      </c>
      <c r="Q11261">
        <v>1</v>
      </c>
      <c r="R11261" t="s">
        <v>40452</v>
      </c>
      <c r="S11261" t="s">
        <v>41140</v>
      </c>
      <c r="T11261" t="s">
        <v>42133</v>
      </c>
      <c r="U11261" t="s">
        <v>51940</v>
      </c>
      <c r="W11261" t="s">
        <v>40146</v>
      </c>
      <c r="X11261" t="s">
        <v>40453</v>
      </c>
    </row>
    <row r="11262" spans="1:24">
      <c r="A11262">
        <f>HYPERLINK("https://www.philgeps.gov.ph/GEPSNONPILOT/Tender/SplashBidNoticeAbstractUI.aspx?menuIndex=3&amp;refID=7022657&amp;Result=3","7022657")</f>
        <v>0</v>
      </c>
      <c r="B11262" t="s">
        <v>569</v>
      </c>
      <c r="C11262" t="s">
        <v>13848</v>
      </c>
      <c r="D11262" t="s">
        <v>16209</v>
      </c>
      <c r="E11262" t="s">
        <v>26053</v>
      </c>
      <c r="F11262" t="s">
        <v>28198</v>
      </c>
      <c r="G11262" t="s">
        <v>28205</v>
      </c>
      <c r="H11262" t="s">
        <v>28214</v>
      </c>
      <c r="I11262" t="s">
        <v>3797</v>
      </c>
      <c r="J11262" t="s">
        <v>35289</v>
      </c>
      <c r="K11262" t="s">
        <v>36812</v>
      </c>
      <c r="M11262" t="s">
        <v>40146</v>
      </c>
      <c r="N11262" t="s">
        <v>40436</v>
      </c>
      <c r="O11262" t="s">
        <v>40437</v>
      </c>
      <c r="P11262">
        <v>0</v>
      </c>
      <c r="Q11262">
        <v>2</v>
      </c>
      <c r="R11262" t="s">
        <v>40452</v>
      </c>
      <c r="S11262" t="s">
        <v>41140</v>
      </c>
      <c r="T11262" t="s">
        <v>42133</v>
      </c>
      <c r="U11262" t="s">
        <v>51941</v>
      </c>
      <c r="W11262" t="s">
        <v>40146</v>
      </c>
      <c r="X11262" t="s">
        <v>40453</v>
      </c>
    </row>
    <row r="11263" spans="1:24">
      <c r="A11263">
        <f>HYPERLINK("https://www.philgeps.gov.ph/GEPSNONPILOT/Tender/SplashBidNoticeAbstractUI.aspx?menuIndex=3&amp;refID=7022672&amp;Result=3","7022672")</f>
        <v>0</v>
      </c>
      <c r="B11263" t="s">
        <v>569</v>
      </c>
      <c r="C11263" t="s">
        <v>13849</v>
      </c>
      <c r="D11263" t="s">
        <v>16209</v>
      </c>
      <c r="E11263" t="s">
        <v>26054</v>
      </c>
      <c r="F11263" t="s">
        <v>28198</v>
      </c>
      <c r="G11263" t="s">
        <v>28205</v>
      </c>
      <c r="H11263" t="s">
        <v>28215</v>
      </c>
      <c r="I11263" t="s">
        <v>28228</v>
      </c>
      <c r="J11263" t="s">
        <v>35290</v>
      </c>
      <c r="K11263" t="s">
        <v>36687</v>
      </c>
      <c r="M11263" t="s">
        <v>37557</v>
      </c>
      <c r="N11263" t="s">
        <v>40436</v>
      </c>
      <c r="O11263" t="s">
        <v>40437</v>
      </c>
      <c r="P11263">
        <v>0</v>
      </c>
      <c r="Q11263">
        <v>1</v>
      </c>
      <c r="R11263" t="s">
        <v>40452</v>
      </c>
      <c r="S11263" t="s">
        <v>41140</v>
      </c>
      <c r="T11263" t="s">
        <v>42133</v>
      </c>
      <c r="U11263" t="s">
        <v>51942</v>
      </c>
      <c r="V11263" t="s">
        <v>53923</v>
      </c>
      <c r="W11263" t="s">
        <v>37557</v>
      </c>
      <c r="X11263" t="s">
        <v>40453</v>
      </c>
    </row>
    <row r="11264" spans="1:24">
      <c r="A11264">
        <f>HYPERLINK("https://www.philgeps.gov.ph/GEPSNONPILOT/Tender/SplashBidNoticeAbstractUI.aspx?menuIndex=3&amp;refID=7022661&amp;Result=3","7022661")</f>
        <v>0</v>
      </c>
      <c r="B11264" t="s">
        <v>569</v>
      </c>
      <c r="C11264" t="s">
        <v>13850</v>
      </c>
      <c r="D11264" t="s">
        <v>16209</v>
      </c>
      <c r="E11264" t="s">
        <v>26055</v>
      </c>
      <c r="F11264" t="s">
        <v>28198</v>
      </c>
      <c r="G11264" t="s">
        <v>28205</v>
      </c>
      <c r="H11264" t="s">
        <v>28214</v>
      </c>
      <c r="I11264" t="s">
        <v>3797</v>
      </c>
      <c r="J11264" t="s">
        <v>35291</v>
      </c>
      <c r="K11264" t="s">
        <v>36850</v>
      </c>
      <c r="M11264" t="s">
        <v>40146</v>
      </c>
      <c r="N11264" t="s">
        <v>40436</v>
      </c>
      <c r="O11264" t="s">
        <v>40437</v>
      </c>
      <c r="P11264">
        <v>0</v>
      </c>
      <c r="Q11264">
        <v>3</v>
      </c>
      <c r="R11264" t="s">
        <v>40452</v>
      </c>
      <c r="S11264" t="s">
        <v>41140</v>
      </c>
      <c r="T11264" t="s">
        <v>42133</v>
      </c>
      <c r="U11264" t="s">
        <v>51943</v>
      </c>
      <c r="W11264" t="s">
        <v>40146</v>
      </c>
      <c r="X11264" t="s">
        <v>40453</v>
      </c>
    </row>
    <row r="11265" spans="1:24">
      <c r="A11265">
        <f>HYPERLINK("https://www.philgeps.gov.ph/GEPSNONPILOT/Tender/SplashBidNoticeAbstractUI.aspx?menuIndex=3&amp;refID=7022683&amp;Result=3","7022683")</f>
        <v>0</v>
      </c>
      <c r="B11265" t="s">
        <v>569</v>
      </c>
      <c r="C11265" t="s">
        <v>13851</v>
      </c>
      <c r="D11265" t="s">
        <v>16209</v>
      </c>
      <c r="E11265" t="s">
        <v>26056</v>
      </c>
      <c r="F11265" t="s">
        <v>28198</v>
      </c>
      <c r="G11265" t="s">
        <v>28205</v>
      </c>
      <c r="H11265" t="s">
        <v>28214</v>
      </c>
      <c r="I11265" t="s">
        <v>3797</v>
      </c>
      <c r="J11265" t="s">
        <v>35292</v>
      </c>
      <c r="K11265" t="s">
        <v>36906</v>
      </c>
      <c r="M11265" t="s">
        <v>40146</v>
      </c>
      <c r="N11265" t="s">
        <v>40436</v>
      </c>
      <c r="O11265" t="s">
        <v>40437</v>
      </c>
      <c r="P11265">
        <v>0</v>
      </c>
      <c r="Q11265">
        <v>4</v>
      </c>
      <c r="R11265" t="s">
        <v>40452</v>
      </c>
      <c r="S11265" t="s">
        <v>41140</v>
      </c>
      <c r="T11265" t="s">
        <v>42133</v>
      </c>
      <c r="U11265" t="s">
        <v>51944</v>
      </c>
      <c r="W11265" t="s">
        <v>40146</v>
      </c>
      <c r="X11265" t="s">
        <v>40453</v>
      </c>
    </row>
    <row r="11266" spans="1:24">
      <c r="A11266">
        <f>HYPERLINK("https://www.philgeps.gov.ph/GEPSNONPILOT/Tender/SplashBidNoticeAbstractUI.aspx?menuIndex=3&amp;refID=7022655&amp;Result=3","7022655")</f>
        <v>0</v>
      </c>
      <c r="B11266" t="s">
        <v>569</v>
      </c>
      <c r="C11266" t="s">
        <v>13852</v>
      </c>
      <c r="D11266" t="s">
        <v>16209</v>
      </c>
      <c r="E11266" t="s">
        <v>26057</v>
      </c>
      <c r="F11266" t="s">
        <v>28198</v>
      </c>
      <c r="G11266" t="s">
        <v>28205</v>
      </c>
      <c r="H11266" t="s">
        <v>28215</v>
      </c>
      <c r="I11266" t="s">
        <v>6051</v>
      </c>
      <c r="J11266" t="s">
        <v>31303</v>
      </c>
      <c r="K11266" t="s">
        <v>36694</v>
      </c>
      <c r="M11266" t="s">
        <v>37557</v>
      </c>
      <c r="N11266" t="s">
        <v>40436</v>
      </c>
      <c r="O11266" t="s">
        <v>40437</v>
      </c>
      <c r="P11266">
        <v>0</v>
      </c>
      <c r="Q11266">
        <v>5</v>
      </c>
      <c r="R11266" t="s">
        <v>40452</v>
      </c>
      <c r="S11266" t="s">
        <v>41140</v>
      </c>
      <c r="T11266" t="s">
        <v>42133</v>
      </c>
      <c r="U11266" t="s">
        <v>51945</v>
      </c>
      <c r="V11266" t="s">
        <v>53923</v>
      </c>
      <c r="W11266" t="s">
        <v>37557</v>
      </c>
      <c r="X11266" t="s">
        <v>40453</v>
      </c>
    </row>
    <row r="11267" spans="1:24">
      <c r="A11267">
        <f>HYPERLINK("https://www.philgeps.gov.ph/GEPSNONPILOT/Tender/SplashBidNoticeAbstractUI.aspx?menuIndex=3&amp;refID=7022766&amp;Result=3","7022766")</f>
        <v>0</v>
      </c>
      <c r="B11267" t="s">
        <v>553</v>
      </c>
      <c r="C11267" t="s">
        <v>3774</v>
      </c>
      <c r="E11267" t="s">
        <v>26058</v>
      </c>
      <c r="F11267" t="s">
        <v>28198</v>
      </c>
      <c r="G11267" t="s">
        <v>28205</v>
      </c>
      <c r="H11267" t="s">
        <v>28215</v>
      </c>
      <c r="I11267" t="s">
        <v>3774</v>
      </c>
      <c r="J11267" t="s">
        <v>35293</v>
      </c>
      <c r="K11267" t="s">
        <v>36689</v>
      </c>
      <c r="M11267" t="s">
        <v>37539</v>
      </c>
      <c r="N11267" t="s">
        <v>40436</v>
      </c>
      <c r="O11267" t="s">
        <v>40437</v>
      </c>
      <c r="P11267">
        <v>0</v>
      </c>
      <c r="Q11267">
        <v>0</v>
      </c>
      <c r="R11267" t="s">
        <v>40452</v>
      </c>
      <c r="S11267" t="s">
        <v>41140</v>
      </c>
      <c r="T11267" t="s">
        <v>42200</v>
      </c>
      <c r="U11267" t="s">
        <v>51946</v>
      </c>
      <c r="W11267" t="s">
        <v>37539</v>
      </c>
      <c r="X11267" t="s">
        <v>40453</v>
      </c>
    </row>
    <row r="11268" spans="1:24">
      <c r="A11268">
        <f>HYPERLINK("https://www.philgeps.gov.ph/GEPSNONPILOT/Tender/SplashBidNoticeAbstractUI.aspx?menuIndex=3&amp;refID=7022773&amp;Result=3","7022773")</f>
        <v>0</v>
      </c>
      <c r="B11268" t="s">
        <v>829</v>
      </c>
      <c r="C11268" t="s">
        <v>13853</v>
      </c>
      <c r="D11268" t="s">
        <v>16244</v>
      </c>
      <c r="E11268" t="s">
        <v>16625</v>
      </c>
      <c r="F11268" t="s">
        <v>28198</v>
      </c>
      <c r="G11268" t="s">
        <v>28205</v>
      </c>
      <c r="H11268" t="s">
        <v>28214</v>
      </c>
      <c r="I11268" t="s">
        <v>3797</v>
      </c>
      <c r="J11268" t="s">
        <v>28347</v>
      </c>
      <c r="K11268" t="s">
        <v>36697</v>
      </c>
      <c r="M11268" t="s">
        <v>37841</v>
      </c>
      <c r="N11268" t="s">
        <v>40436</v>
      </c>
      <c r="O11268" t="s">
        <v>40437</v>
      </c>
      <c r="P11268">
        <v>0</v>
      </c>
      <c r="Q11268">
        <v>0</v>
      </c>
      <c r="R11268" t="s">
        <v>40452</v>
      </c>
      <c r="S11268" t="s">
        <v>41140</v>
      </c>
      <c r="T11268" t="s">
        <v>42176</v>
      </c>
      <c r="U11268" t="s">
        <v>51947</v>
      </c>
      <c r="V11268" t="s">
        <v>55076</v>
      </c>
      <c r="W11268" t="s">
        <v>37841</v>
      </c>
      <c r="X11268" t="s">
        <v>40453</v>
      </c>
    </row>
    <row r="11269" spans="1:24">
      <c r="A11269">
        <f>HYPERLINK("https://www.philgeps.gov.ph/GEPSNONPILOT/Tender/SplashBidNoticeAbstractUI.aspx?menuIndex=3&amp;refID=7022675&amp;Result=3","7022675")</f>
        <v>0</v>
      </c>
      <c r="B11269" t="s">
        <v>569</v>
      </c>
      <c r="C11269" t="s">
        <v>13854</v>
      </c>
      <c r="D11269" t="s">
        <v>16209</v>
      </c>
      <c r="E11269" t="s">
        <v>26059</v>
      </c>
      <c r="F11269" t="s">
        <v>28198</v>
      </c>
      <c r="G11269" t="s">
        <v>28205</v>
      </c>
      <c r="H11269" t="s">
        <v>28215</v>
      </c>
      <c r="I11269" t="s">
        <v>4321</v>
      </c>
      <c r="J11269" t="s">
        <v>35294</v>
      </c>
      <c r="K11269" t="s">
        <v>36687</v>
      </c>
      <c r="M11269" t="s">
        <v>37557</v>
      </c>
      <c r="N11269" t="s">
        <v>40436</v>
      </c>
      <c r="O11269" t="s">
        <v>40437</v>
      </c>
      <c r="P11269">
        <v>0</v>
      </c>
      <c r="Q11269">
        <v>6</v>
      </c>
      <c r="R11269" t="s">
        <v>40452</v>
      </c>
      <c r="S11269" t="s">
        <v>41140</v>
      </c>
      <c r="T11269" t="s">
        <v>42133</v>
      </c>
      <c r="U11269" t="s">
        <v>51948</v>
      </c>
      <c r="V11269" t="s">
        <v>53923</v>
      </c>
      <c r="W11269" t="s">
        <v>37557</v>
      </c>
      <c r="X11269" t="s">
        <v>40453</v>
      </c>
    </row>
    <row r="11270" spans="1:24">
      <c r="A11270">
        <f>HYPERLINK("https://www.philgeps.gov.ph/GEPSNONPILOT/Tender/SplashBidNoticeAbstractUI.aspx?menuIndex=3&amp;refID=7022764&amp;Result=3","7022764")</f>
        <v>0</v>
      </c>
      <c r="B11270" t="s">
        <v>1308</v>
      </c>
      <c r="C11270" t="s">
        <v>13855</v>
      </c>
      <c r="D11270" t="s">
        <v>16274</v>
      </c>
      <c r="E11270" t="s">
        <v>26060</v>
      </c>
      <c r="F11270" t="s">
        <v>28198</v>
      </c>
      <c r="G11270" t="s">
        <v>28205</v>
      </c>
      <c r="H11270" t="s">
        <v>28214</v>
      </c>
      <c r="I11270" t="s">
        <v>3797</v>
      </c>
      <c r="J11270" t="s">
        <v>28363</v>
      </c>
      <c r="K11270" t="s">
        <v>36703</v>
      </c>
      <c r="M11270" t="s">
        <v>38362</v>
      </c>
      <c r="N11270" t="s">
        <v>40436</v>
      </c>
      <c r="O11270" t="s">
        <v>40437</v>
      </c>
      <c r="P11270">
        <v>0</v>
      </c>
      <c r="Q11270">
        <v>0</v>
      </c>
      <c r="R11270" t="s">
        <v>40452</v>
      </c>
      <c r="S11270" t="s">
        <v>41140</v>
      </c>
      <c r="T11270" t="s">
        <v>42129</v>
      </c>
      <c r="U11270" t="s">
        <v>51949</v>
      </c>
      <c r="W11270" t="s">
        <v>38362</v>
      </c>
      <c r="X11270" t="s">
        <v>40453</v>
      </c>
    </row>
    <row r="11271" spans="1:24">
      <c r="A11271">
        <f>HYPERLINK("https://www.philgeps.gov.ph/GEPSNONPILOT/Tender/SplashBidNoticeAbstractUI.aspx?menuIndex=3&amp;refID=7022774&amp;Result=3","7022774")</f>
        <v>0</v>
      </c>
      <c r="B11271" t="s">
        <v>2883</v>
      </c>
      <c r="C11271" t="s">
        <v>13856</v>
      </c>
      <c r="D11271" t="s">
        <v>16238</v>
      </c>
      <c r="E11271" t="s">
        <v>26061</v>
      </c>
      <c r="F11271" t="s">
        <v>28198</v>
      </c>
      <c r="G11271" t="s">
        <v>28205</v>
      </c>
      <c r="H11271" t="s">
        <v>28214</v>
      </c>
      <c r="I11271" t="s">
        <v>3797</v>
      </c>
      <c r="J11271" t="s">
        <v>35295</v>
      </c>
      <c r="K11271" t="s">
        <v>36717</v>
      </c>
      <c r="L11271" t="s">
        <v>2883</v>
      </c>
      <c r="M11271" t="s">
        <v>40147</v>
      </c>
      <c r="N11271" t="s">
        <v>40436</v>
      </c>
      <c r="O11271" t="s">
        <v>40437</v>
      </c>
      <c r="Q11271">
        <v>0</v>
      </c>
      <c r="R11271" t="s">
        <v>40452</v>
      </c>
      <c r="S11271" t="s">
        <v>41173</v>
      </c>
      <c r="T11271" t="s">
        <v>42133</v>
      </c>
      <c r="U11271" t="s">
        <v>51950</v>
      </c>
      <c r="W11271" t="s">
        <v>40147</v>
      </c>
      <c r="X11271" t="s">
        <v>40453</v>
      </c>
    </row>
    <row r="11272" spans="1:24">
      <c r="A11272">
        <f>HYPERLINK("https://www.philgeps.gov.ph/GEPSNONPILOT/Tender/SplashBidNoticeAbstractUI.aspx?menuIndex=3&amp;refID=7022676&amp;Result=3","7022676")</f>
        <v>0</v>
      </c>
      <c r="B11272" t="s">
        <v>569</v>
      </c>
      <c r="C11272" t="s">
        <v>13857</v>
      </c>
      <c r="D11272" t="s">
        <v>16209</v>
      </c>
      <c r="E11272" t="s">
        <v>26062</v>
      </c>
      <c r="F11272" t="s">
        <v>28198</v>
      </c>
      <c r="G11272" t="s">
        <v>28205</v>
      </c>
      <c r="H11272" t="s">
        <v>28214</v>
      </c>
      <c r="I11272" t="s">
        <v>3797</v>
      </c>
      <c r="J11272" t="s">
        <v>35296</v>
      </c>
      <c r="K11272" t="s">
        <v>36947</v>
      </c>
      <c r="M11272" t="s">
        <v>40146</v>
      </c>
      <c r="N11272" t="s">
        <v>40436</v>
      </c>
      <c r="O11272" t="s">
        <v>40437</v>
      </c>
      <c r="P11272">
        <v>0</v>
      </c>
      <c r="Q11272">
        <v>2</v>
      </c>
      <c r="R11272" t="s">
        <v>40452</v>
      </c>
      <c r="S11272" t="s">
        <v>41140</v>
      </c>
      <c r="T11272" t="s">
        <v>42133</v>
      </c>
      <c r="U11272" t="s">
        <v>51951</v>
      </c>
      <c r="W11272" t="s">
        <v>40146</v>
      </c>
      <c r="X11272" t="s">
        <v>40453</v>
      </c>
    </row>
    <row r="11273" spans="1:24">
      <c r="A11273">
        <f>HYPERLINK("https://www.philgeps.gov.ph/GEPSNONPILOT/Tender/SplashBidNoticeAbstractUI.aspx?menuIndex=3&amp;refID=7022751&amp;Result=3","7022751")</f>
        <v>0</v>
      </c>
      <c r="B11273" t="s">
        <v>2883</v>
      </c>
      <c r="C11273" t="s">
        <v>13858</v>
      </c>
      <c r="D11273" t="s">
        <v>16238</v>
      </c>
      <c r="E11273" t="s">
        <v>26063</v>
      </c>
      <c r="F11273" t="s">
        <v>28198</v>
      </c>
      <c r="G11273" t="s">
        <v>28205</v>
      </c>
      <c r="H11273" t="s">
        <v>28214</v>
      </c>
      <c r="I11273" t="s">
        <v>3797</v>
      </c>
      <c r="J11273" t="s">
        <v>34742</v>
      </c>
      <c r="K11273" t="s">
        <v>36694</v>
      </c>
      <c r="L11273" t="s">
        <v>2883</v>
      </c>
      <c r="M11273" t="s">
        <v>40147</v>
      </c>
      <c r="N11273" t="s">
        <v>40436</v>
      </c>
      <c r="O11273" t="s">
        <v>40437</v>
      </c>
      <c r="Q11273">
        <v>0</v>
      </c>
      <c r="R11273" t="s">
        <v>40452</v>
      </c>
      <c r="S11273" t="s">
        <v>40986</v>
      </c>
      <c r="T11273" t="s">
        <v>42133</v>
      </c>
      <c r="U11273" t="s">
        <v>51952</v>
      </c>
      <c r="W11273" t="s">
        <v>40147</v>
      </c>
      <c r="X11273" t="s">
        <v>40453</v>
      </c>
    </row>
    <row r="11274" spans="1:24">
      <c r="A11274">
        <f>HYPERLINK("https://www.philgeps.gov.ph/GEPSNONPILOT/Tender/SplashBidNoticeAbstractUI.aspx?menuIndex=3&amp;refID=7022673&amp;Result=3","7022673")</f>
        <v>0</v>
      </c>
      <c r="B11274" t="s">
        <v>569</v>
      </c>
      <c r="C11274" t="s">
        <v>13859</v>
      </c>
      <c r="D11274" t="s">
        <v>16209</v>
      </c>
      <c r="E11274" t="s">
        <v>26064</v>
      </c>
      <c r="F11274" t="s">
        <v>28198</v>
      </c>
      <c r="G11274" t="s">
        <v>28205</v>
      </c>
      <c r="H11274" t="s">
        <v>28214</v>
      </c>
      <c r="I11274" t="s">
        <v>3797</v>
      </c>
      <c r="J11274" t="s">
        <v>35297</v>
      </c>
      <c r="K11274" t="s">
        <v>36948</v>
      </c>
      <c r="M11274" t="s">
        <v>40146</v>
      </c>
      <c r="N11274" t="s">
        <v>40436</v>
      </c>
      <c r="O11274" t="s">
        <v>40437</v>
      </c>
      <c r="P11274">
        <v>0</v>
      </c>
      <c r="Q11274">
        <v>1</v>
      </c>
      <c r="R11274" t="s">
        <v>40452</v>
      </c>
      <c r="S11274" t="s">
        <v>41140</v>
      </c>
      <c r="T11274" t="s">
        <v>42133</v>
      </c>
      <c r="U11274" t="s">
        <v>51953</v>
      </c>
      <c r="W11274" t="s">
        <v>40146</v>
      </c>
      <c r="X11274" t="s">
        <v>40453</v>
      </c>
    </row>
    <row r="11275" spans="1:24">
      <c r="A11275">
        <f>HYPERLINK("https://www.philgeps.gov.ph/GEPSNONPILOT/Tender/SplashBidNoticeAbstractUI.aspx?menuIndex=3&amp;refID=7022747&amp;Result=3","7022747")</f>
        <v>0</v>
      </c>
      <c r="B11275" t="s">
        <v>2832</v>
      </c>
      <c r="C11275" t="s">
        <v>13860</v>
      </c>
      <c r="D11275" t="s">
        <v>16190</v>
      </c>
      <c r="E11275" t="s">
        <v>26065</v>
      </c>
      <c r="F11275" t="s">
        <v>28198</v>
      </c>
      <c r="G11275" t="s">
        <v>28205</v>
      </c>
      <c r="H11275" t="s">
        <v>28215</v>
      </c>
      <c r="I11275" t="s">
        <v>4222</v>
      </c>
      <c r="J11275" t="s">
        <v>28540</v>
      </c>
      <c r="K11275" t="s">
        <v>36698</v>
      </c>
      <c r="M11275" t="s">
        <v>40084</v>
      </c>
      <c r="N11275" t="s">
        <v>40436</v>
      </c>
      <c r="O11275" t="s">
        <v>40437</v>
      </c>
      <c r="P11275">
        <v>0</v>
      </c>
      <c r="Q11275">
        <v>0</v>
      </c>
      <c r="R11275" t="s">
        <v>40452</v>
      </c>
      <c r="S11275" t="s">
        <v>41140</v>
      </c>
      <c r="T11275" t="s">
        <v>42254</v>
      </c>
      <c r="U11275" t="s">
        <v>51954</v>
      </c>
      <c r="W11275" t="s">
        <v>40084</v>
      </c>
      <c r="X11275" t="s">
        <v>40453</v>
      </c>
    </row>
    <row r="11276" spans="1:24">
      <c r="A11276">
        <f>HYPERLINK("https://www.philgeps.gov.ph/GEPSNONPILOT/Tender/SplashBidNoticeAbstractUI.aspx?menuIndex=3&amp;refID=7022687&amp;Result=3","7022687")</f>
        <v>0</v>
      </c>
      <c r="B11276" t="s">
        <v>569</v>
      </c>
      <c r="C11276" t="s">
        <v>13861</v>
      </c>
      <c r="D11276" t="s">
        <v>16209</v>
      </c>
      <c r="E11276" t="s">
        <v>26066</v>
      </c>
      <c r="F11276" t="s">
        <v>28198</v>
      </c>
      <c r="G11276" t="s">
        <v>28205</v>
      </c>
      <c r="H11276" t="s">
        <v>28214</v>
      </c>
      <c r="I11276" t="s">
        <v>3797</v>
      </c>
      <c r="J11276" t="s">
        <v>28699</v>
      </c>
      <c r="K11276" t="s">
        <v>36855</v>
      </c>
      <c r="M11276" t="s">
        <v>40146</v>
      </c>
      <c r="N11276" t="s">
        <v>40436</v>
      </c>
      <c r="O11276" t="s">
        <v>40437</v>
      </c>
      <c r="P11276">
        <v>0</v>
      </c>
      <c r="Q11276">
        <v>1</v>
      </c>
      <c r="R11276" t="s">
        <v>40452</v>
      </c>
      <c r="S11276" t="s">
        <v>41140</v>
      </c>
      <c r="T11276" t="s">
        <v>42133</v>
      </c>
      <c r="U11276" t="s">
        <v>51955</v>
      </c>
      <c r="W11276" t="s">
        <v>40146</v>
      </c>
      <c r="X11276" t="s">
        <v>40453</v>
      </c>
    </row>
    <row r="11277" spans="1:24">
      <c r="A11277">
        <f>HYPERLINK("https://www.philgeps.gov.ph/GEPSNONPILOT/Tender/SplashBidNoticeAbstractUI.aspx?menuIndex=3&amp;refID=7022727&amp;Result=3","7022727")</f>
        <v>0</v>
      </c>
      <c r="B11277" t="s">
        <v>2884</v>
      </c>
      <c r="C11277" t="s">
        <v>13862</v>
      </c>
      <c r="D11277" t="s">
        <v>16230</v>
      </c>
      <c r="E11277" t="s">
        <v>16557</v>
      </c>
      <c r="F11277" t="s">
        <v>28201</v>
      </c>
      <c r="G11277" t="s">
        <v>28205</v>
      </c>
      <c r="H11277" t="s">
        <v>28215</v>
      </c>
      <c r="I11277" t="s">
        <v>5100</v>
      </c>
      <c r="J11277" t="s">
        <v>35298</v>
      </c>
      <c r="K11277" t="s">
        <v>36707</v>
      </c>
      <c r="M11277" t="s">
        <v>40148</v>
      </c>
      <c r="N11277" t="s">
        <v>40436</v>
      </c>
      <c r="O11277" t="s">
        <v>40437</v>
      </c>
      <c r="P11277">
        <v>0</v>
      </c>
      <c r="Q11277">
        <v>2</v>
      </c>
      <c r="R11277" t="s">
        <v>40452</v>
      </c>
      <c r="S11277" t="s">
        <v>41140</v>
      </c>
      <c r="T11277" t="s">
        <v>42233</v>
      </c>
      <c r="U11277" t="s">
        <v>51956</v>
      </c>
      <c r="W11277" t="s">
        <v>40148</v>
      </c>
      <c r="X11277" t="s">
        <v>40453</v>
      </c>
    </row>
    <row r="11278" spans="1:24">
      <c r="A11278">
        <f>HYPERLINK("https://www.philgeps.gov.ph/GEPSNONPILOT/Tender/SplashBidNoticeAbstractUI.aspx?menuIndex=3&amp;refID=7022680&amp;Result=3","7022680")</f>
        <v>0</v>
      </c>
      <c r="B11278" t="s">
        <v>569</v>
      </c>
      <c r="C11278" t="s">
        <v>13863</v>
      </c>
      <c r="D11278" t="s">
        <v>16209</v>
      </c>
      <c r="E11278" t="s">
        <v>26067</v>
      </c>
      <c r="F11278" t="s">
        <v>28198</v>
      </c>
      <c r="G11278" t="s">
        <v>28205</v>
      </c>
      <c r="H11278" t="s">
        <v>28214</v>
      </c>
      <c r="I11278" t="s">
        <v>3797</v>
      </c>
      <c r="J11278" t="s">
        <v>35299</v>
      </c>
      <c r="K11278" t="s">
        <v>36949</v>
      </c>
      <c r="M11278" t="s">
        <v>40146</v>
      </c>
      <c r="N11278" t="s">
        <v>40436</v>
      </c>
      <c r="O11278" t="s">
        <v>40437</v>
      </c>
      <c r="Q11278">
        <v>2</v>
      </c>
      <c r="R11278" t="s">
        <v>40452</v>
      </c>
      <c r="S11278" t="s">
        <v>41174</v>
      </c>
      <c r="T11278" t="s">
        <v>42133</v>
      </c>
      <c r="U11278" t="s">
        <v>51957</v>
      </c>
      <c r="W11278" t="s">
        <v>40146</v>
      </c>
      <c r="X11278" t="s">
        <v>40453</v>
      </c>
    </row>
    <row r="11279" spans="1:24">
      <c r="A11279">
        <f>HYPERLINK("https://www.philgeps.gov.ph/GEPSNONPILOT/Tender/SplashBidNoticeAbstractUI.aspx?menuIndex=3&amp;refID=7022713&amp;Result=3","7022713")</f>
        <v>0</v>
      </c>
      <c r="B11279" t="s">
        <v>884</v>
      </c>
      <c r="C11279" t="s">
        <v>13864</v>
      </c>
      <c r="D11279" t="s">
        <v>16230</v>
      </c>
      <c r="E11279" t="s">
        <v>26068</v>
      </c>
      <c r="F11279" t="s">
        <v>28198</v>
      </c>
      <c r="G11279" t="s">
        <v>28205</v>
      </c>
      <c r="H11279" t="s">
        <v>28214</v>
      </c>
      <c r="I11279" t="s">
        <v>3797</v>
      </c>
      <c r="J11279" t="s">
        <v>28899</v>
      </c>
      <c r="K11279" t="s">
        <v>36950</v>
      </c>
      <c r="L11279" t="s">
        <v>884</v>
      </c>
      <c r="M11279" t="s">
        <v>37900</v>
      </c>
      <c r="N11279" t="s">
        <v>40436</v>
      </c>
      <c r="O11279" t="s">
        <v>40437</v>
      </c>
      <c r="P11279">
        <v>0</v>
      </c>
      <c r="Q11279">
        <v>4</v>
      </c>
      <c r="R11279" t="s">
        <v>40452</v>
      </c>
      <c r="S11279" t="s">
        <v>41140</v>
      </c>
      <c r="T11279" t="s">
        <v>42100</v>
      </c>
      <c r="U11279" t="s">
        <v>51958</v>
      </c>
      <c r="V11279" t="s">
        <v>54057</v>
      </c>
      <c r="W11279" t="s">
        <v>37900</v>
      </c>
      <c r="X11279" t="s">
        <v>40453</v>
      </c>
    </row>
    <row r="11280" spans="1:24">
      <c r="A11280">
        <f>HYPERLINK("https://www.philgeps.gov.ph/GEPSNONPILOT/Tender/SplashBidNoticeAbstractUI.aspx?menuIndex=3&amp;refID=7022689&amp;Result=3","7022689")</f>
        <v>0</v>
      </c>
      <c r="B11280" t="s">
        <v>806</v>
      </c>
      <c r="C11280" t="s">
        <v>10710</v>
      </c>
      <c r="D11280" t="s">
        <v>16188</v>
      </c>
      <c r="E11280" t="s">
        <v>26069</v>
      </c>
      <c r="F11280" t="s">
        <v>28198</v>
      </c>
      <c r="G11280" t="s">
        <v>28205</v>
      </c>
      <c r="H11280" t="s">
        <v>28215</v>
      </c>
      <c r="I11280" t="s">
        <v>8888</v>
      </c>
      <c r="J11280" t="s">
        <v>35300</v>
      </c>
      <c r="K11280" t="s">
        <v>36688</v>
      </c>
      <c r="M11280" t="s">
        <v>37865</v>
      </c>
      <c r="N11280" t="s">
        <v>40436</v>
      </c>
      <c r="O11280" t="s">
        <v>40437</v>
      </c>
      <c r="Q11280">
        <v>10</v>
      </c>
      <c r="R11280" t="s">
        <v>40452</v>
      </c>
      <c r="S11280" t="s">
        <v>41175</v>
      </c>
      <c r="T11280" t="s">
        <v>42112</v>
      </c>
      <c r="U11280" t="s">
        <v>51959</v>
      </c>
      <c r="W11280" t="s">
        <v>55465</v>
      </c>
      <c r="X11280" t="s">
        <v>40453</v>
      </c>
    </row>
    <row r="11281" spans="1:24">
      <c r="A11281">
        <f>HYPERLINK("https://www.philgeps.gov.ph/GEPSNONPILOT/Tender/SplashBidNoticeAbstractUI.aspx?menuIndex=3&amp;refID=7022744&amp;Result=3","7022744")</f>
        <v>0</v>
      </c>
      <c r="B11281" t="s">
        <v>575</v>
      </c>
      <c r="C11281" t="s">
        <v>13865</v>
      </c>
      <c r="D11281" t="s">
        <v>16223</v>
      </c>
      <c r="E11281" t="s">
        <v>19068</v>
      </c>
      <c r="F11281" t="s">
        <v>28198</v>
      </c>
      <c r="G11281" t="s">
        <v>28205</v>
      </c>
      <c r="H11281" t="s">
        <v>28215</v>
      </c>
      <c r="I11281" t="s">
        <v>28273</v>
      </c>
      <c r="J11281" t="s">
        <v>35301</v>
      </c>
      <c r="K11281" t="s">
        <v>36694</v>
      </c>
      <c r="M11281" t="s">
        <v>37563</v>
      </c>
      <c r="N11281" t="s">
        <v>40436</v>
      </c>
      <c r="O11281" t="s">
        <v>40437</v>
      </c>
      <c r="P11281">
        <v>0</v>
      </c>
      <c r="Q11281">
        <v>1</v>
      </c>
      <c r="R11281" t="s">
        <v>40452</v>
      </c>
      <c r="S11281" t="s">
        <v>41140</v>
      </c>
      <c r="T11281" t="s">
        <v>42128</v>
      </c>
      <c r="U11281" t="s">
        <v>51960</v>
      </c>
      <c r="W11281" t="s">
        <v>37563</v>
      </c>
      <c r="X11281" t="s">
        <v>40453</v>
      </c>
    </row>
    <row r="11282" spans="1:24">
      <c r="A11282">
        <f>HYPERLINK("https://www.philgeps.gov.ph/GEPSNONPILOT/Tender/SplashBidNoticeAbstractUI.aspx?menuIndex=3&amp;refID=7022776&amp;Result=3","7022776")</f>
        <v>0</v>
      </c>
      <c r="B11282" t="s">
        <v>575</v>
      </c>
      <c r="C11282" t="s">
        <v>13866</v>
      </c>
      <c r="D11282" t="s">
        <v>16223</v>
      </c>
      <c r="E11282" t="s">
        <v>22885</v>
      </c>
      <c r="F11282" t="s">
        <v>28198</v>
      </c>
      <c r="G11282" t="s">
        <v>28205</v>
      </c>
      <c r="H11282" t="s">
        <v>28215</v>
      </c>
      <c r="I11282" t="s">
        <v>8888</v>
      </c>
      <c r="J11282" t="s">
        <v>35302</v>
      </c>
      <c r="K11282" t="s">
        <v>36701</v>
      </c>
      <c r="M11282" t="s">
        <v>37563</v>
      </c>
      <c r="N11282" t="s">
        <v>40436</v>
      </c>
      <c r="O11282" t="s">
        <v>40437</v>
      </c>
      <c r="P11282">
        <v>0</v>
      </c>
      <c r="Q11282">
        <v>5</v>
      </c>
      <c r="R11282" t="s">
        <v>40452</v>
      </c>
      <c r="S11282" t="s">
        <v>41140</v>
      </c>
      <c r="T11282" t="s">
        <v>42128</v>
      </c>
      <c r="U11282" t="s">
        <v>51961</v>
      </c>
      <c r="W11282" t="s">
        <v>37563</v>
      </c>
      <c r="X11282" t="s">
        <v>40453</v>
      </c>
    </row>
    <row r="11283" spans="1:24">
      <c r="A11283">
        <f>HYPERLINK("https://www.philgeps.gov.ph/GEPSNONPILOT/Tender/SplashBidNoticeAbstractUI.aspx?menuIndex=3&amp;refID=7022750&amp;Result=3","7022750")</f>
        <v>0</v>
      </c>
      <c r="B11283" t="s">
        <v>568</v>
      </c>
      <c r="C11283" t="s">
        <v>13867</v>
      </c>
      <c r="D11283" t="s">
        <v>16200</v>
      </c>
      <c r="E11283" t="s">
        <v>26070</v>
      </c>
      <c r="F11283" t="s">
        <v>28198</v>
      </c>
      <c r="G11283" t="s">
        <v>28205</v>
      </c>
      <c r="H11283" t="s">
        <v>28215</v>
      </c>
      <c r="I11283" t="s">
        <v>3774</v>
      </c>
      <c r="J11283" t="s">
        <v>31874</v>
      </c>
      <c r="K11283" t="s">
        <v>36707</v>
      </c>
      <c r="M11283" t="s">
        <v>37556</v>
      </c>
      <c r="N11283" t="s">
        <v>40436</v>
      </c>
      <c r="O11283" t="s">
        <v>40437</v>
      </c>
      <c r="P11283">
        <v>0</v>
      </c>
      <c r="Q11283">
        <v>2</v>
      </c>
      <c r="R11283" t="s">
        <v>40452</v>
      </c>
      <c r="S11283" t="s">
        <v>41140</v>
      </c>
      <c r="T11283" t="s">
        <v>42129</v>
      </c>
      <c r="U11283" t="s">
        <v>51962</v>
      </c>
      <c r="W11283" t="s">
        <v>37556</v>
      </c>
      <c r="X11283" t="s">
        <v>40453</v>
      </c>
    </row>
    <row r="11284" spans="1:24">
      <c r="A11284">
        <f>HYPERLINK("https://www.philgeps.gov.ph/GEPSNONPILOT/Tender/SplashBidNoticeAbstractUI.aspx?menuIndex=3&amp;refID=7022782&amp;Result=3","7022782")</f>
        <v>0</v>
      </c>
      <c r="B11284" t="s">
        <v>553</v>
      </c>
      <c r="C11284" t="s">
        <v>5880</v>
      </c>
      <c r="E11284" t="s">
        <v>26071</v>
      </c>
      <c r="F11284" t="s">
        <v>28198</v>
      </c>
      <c r="G11284" t="s">
        <v>28205</v>
      </c>
      <c r="H11284" t="s">
        <v>28215</v>
      </c>
      <c r="I11284" t="s">
        <v>5100</v>
      </c>
      <c r="J11284" t="s">
        <v>35303</v>
      </c>
      <c r="K11284" t="s">
        <v>36689</v>
      </c>
      <c r="M11284" t="s">
        <v>37539</v>
      </c>
      <c r="N11284" t="s">
        <v>40436</v>
      </c>
      <c r="O11284" t="s">
        <v>40437</v>
      </c>
      <c r="P11284">
        <v>0</v>
      </c>
      <c r="Q11284">
        <v>0</v>
      </c>
      <c r="R11284" t="s">
        <v>40452</v>
      </c>
      <c r="S11284" t="s">
        <v>41140</v>
      </c>
      <c r="T11284" t="s">
        <v>42200</v>
      </c>
      <c r="U11284" t="s">
        <v>51963</v>
      </c>
      <c r="W11284" t="s">
        <v>37539</v>
      </c>
      <c r="X11284" t="s">
        <v>40453</v>
      </c>
    </row>
    <row r="11285" spans="1:24">
      <c r="A11285">
        <f>HYPERLINK("https://www.philgeps.gov.ph/GEPSNONPILOT/Tender/SplashBidNoticeAbstractUI.aspx?menuIndex=3&amp;refID=7022690&amp;Result=3","7022690")</f>
        <v>0</v>
      </c>
      <c r="B11285" t="s">
        <v>569</v>
      </c>
      <c r="C11285" t="s">
        <v>13868</v>
      </c>
      <c r="D11285" t="s">
        <v>16209</v>
      </c>
      <c r="E11285" t="s">
        <v>26072</v>
      </c>
      <c r="F11285" t="s">
        <v>28198</v>
      </c>
      <c r="G11285" t="s">
        <v>28205</v>
      </c>
      <c r="H11285" t="s">
        <v>28214</v>
      </c>
      <c r="I11285" t="s">
        <v>3797</v>
      </c>
      <c r="J11285" t="s">
        <v>35304</v>
      </c>
      <c r="K11285" t="s">
        <v>36910</v>
      </c>
      <c r="M11285" t="s">
        <v>40146</v>
      </c>
      <c r="N11285" t="s">
        <v>40436</v>
      </c>
      <c r="O11285" t="s">
        <v>40437</v>
      </c>
      <c r="P11285">
        <v>0</v>
      </c>
      <c r="Q11285">
        <v>1</v>
      </c>
      <c r="R11285" t="s">
        <v>40452</v>
      </c>
      <c r="S11285" t="s">
        <v>41140</v>
      </c>
      <c r="T11285" t="s">
        <v>42133</v>
      </c>
      <c r="U11285" t="s">
        <v>51964</v>
      </c>
      <c r="W11285" t="s">
        <v>40146</v>
      </c>
      <c r="X11285" t="s">
        <v>40453</v>
      </c>
    </row>
    <row r="11286" spans="1:24">
      <c r="A11286">
        <f>HYPERLINK("https://www.philgeps.gov.ph/GEPSNONPILOT/Tender/SplashBidNoticeAbstractUI.aspx?menuIndex=3&amp;refID=7022900&amp;Result=3","7022900")</f>
        <v>0</v>
      </c>
      <c r="B11286" t="s">
        <v>332</v>
      </c>
      <c r="C11286" t="s">
        <v>13869</v>
      </c>
      <c r="E11286" t="s">
        <v>26073</v>
      </c>
      <c r="F11286" t="s">
        <v>28198</v>
      </c>
      <c r="G11286" t="s">
        <v>28205</v>
      </c>
      <c r="H11286" t="s">
        <v>28214</v>
      </c>
      <c r="I11286" t="s">
        <v>3797</v>
      </c>
      <c r="J11286" t="s">
        <v>35305</v>
      </c>
      <c r="K11286" t="s">
        <v>36689</v>
      </c>
      <c r="M11286" t="s">
        <v>39168</v>
      </c>
      <c r="N11286" t="s">
        <v>40436</v>
      </c>
      <c r="O11286" t="s">
        <v>40437</v>
      </c>
      <c r="Q11286">
        <v>3</v>
      </c>
      <c r="R11286" t="s">
        <v>40452</v>
      </c>
      <c r="S11286" t="s">
        <v>40709</v>
      </c>
      <c r="T11286" t="s">
        <v>42129</v>
      </c>
      <c r="U11286" t="s">
        <v>51965</v>
      </c>
      <c r="W11286" t="s">
        <v>37310</v>
      </c>
      <c r="X11286" t="s">
        <v>40453</v>
      </c>
    </row>
    <row r="11287" spans="1:24">
      <c r="A11287">
        <f>HYPERLINK("https://www.philgeps.gov.ph/GEPSNONPILOT/Tender/SplashBidNoticeAbstractUI.aspx?menuIndex=3&amp;refID=7022864&amp;Result=3","7022864")</f>
        <v>0</v>
      </c>
      <c r="B11287" t="s">
        <v>404</v>
      </c>
      <c r="C11287" t="s">
        <v>13870</v>
      </c>
      <c r="E11287" t="s">
        <v>26074</v>
      </c>
      <c r="F11287" t="s">
        <v>28198</v>
      </c>
      <c r="G11287" t="s">
        <v>28205</v>
      </c>
      <c r="H11287" t="s">
        <v>28215</v>
      </c>
      <c r="I11287" t="s">
        <v>28258</v>
      </c>
      <c r="J11287" t="s">
        <v>35306</v>
      </c>
      <c r="K11287" t="s">
        <v>36689</v>
      </c>
      <c r="M11287" t="s">
        <v>37385</v>
      </c>
      <c r="N11287" t="s">
        <v>40436</v>
      </c>
      <c r="O11287" t="s">
        <v>40437</v>
      </c>
      <c r="P11287">
        <v>0</v>
      </c>
      <c r="Q11287">
        <v>15</v>
      </c>
      <c r="R11287" t="s">
        <v>40452</v>
      </c>
      <c r="S11287" t="s">
        <v>41140</v>
      </c>
      <c r="T11287" t="s">
        <v>42452</v>
      </c>
      <c r="U11287" t="s">
        <v>51966</v>
      </c>
      <c r="V11287" t="s">
        <v>55077</v>
      </c>
      <c r="W11287" t="s">
        <v>55539</v>
      </c>
      <c r="X11287" t="s">
        <v>40453</v>
      </c>
    </row>
    <row r="11288" spans="1:24">
      <c r="A11288">
        <f>HYPERLINK("https://www.philgeps.gov.ph/GEPSNONPILOT/Tender/SplashBidNoticeAbstractUI.aspx?menuIndex=3&amp;refID=7022836&amp;Result=3","7022836")</f>
        <v>0</v>
      </c>
      <c r="B11288" t="s">
        <v>2582</v>
      </c>
      <c r="C11288" t="s">
        <v>13871</v>
      </c>
      <c r="D11288" t="s">
        <v>16220</v>
      </c>
      <c r="E11288" t="s">
        <v>26075</v>
      </c>
      <c r="F11288" t="s">
        <v>28198</v>
      </c>
      <c r="G11288" t="s">
        <v>28205</v>
      </c>
      <c r="H11288" t="s">
        <v>28214</v>
      </c>
      <c r="I11288" t="s">
        <v>3797</v>
      </c>
      <c r="J11288" t="s">
        <v>28699</v>
      </c>
      <c r="K11288" t="s">
        <v>36764</v>
      </c>
      <c r="M11288" t="s">
        <v>39796</v>
      </c>
      <c r="N11288" t="s">
        <v>40436</v>
      </c>
      <c r="O11288" t="s">
        <v>40437</v>
      </c>
      <c r="P11288">
        <v>0</v>
      </c>
      <c r="Q11288">
        <v>0</v>
      </c>
      <c r="R11288" t="s">
        <v>40452</v>
      </c>
      <c r="S11288" t="s">
        <v>41140</v>
      </c>
      <c r="T11288" t="s">
        <v>42124</v>
      </c>
      <c r="U11288" t="s">
        <v>51967</v>
      </c>
      <c r="W11288" t="s">
        <v>39796</v>
      </c>
      <c r="X11288" t="s">
        <v>40453</v>
      </c>
    </row>
    <row r="11289" spans="1:24">
      <c r="A11289">
        <f>HYPERLINK("https://www.philgeps.gov.ph/GEPSNONPILOT/Tender/SplashBidNoticeAbstractUI.aspx?menuIndex=3&amp;refID=7022896&amp;Result=3","7022896")</f>
        <v>0</v>
      </c>
      <c r="B11289" t="s">
        <v>305</v>
      </c>
      <c r="C11289" t="s">
        <v>13872</v>
      </c>
      <c r="D11289" t="s">
        <v>16197</v>
      </c>
      <c r="E11289" t="s">
        <v>26076</v>
      </c>
      <c r="F11289" t="s">
        <v>28198</v>
      </c>
      <c r="G11289" t="s">
        <v>28205</v>
      </c>
      <c r="H11289" t="s">
        <v>28215</v>
      </c>
      <c r="I11289" t="s">
        <v>28257</v>
      </c>
      <c r="J11289" t="s">
        <v>35307</v>
      </c>
      <c r="K11289" t="s">
        <v>36694</v>
      </c>
      <c r="M11289" t="s">
        <v>37282</v>
      </c>
      <c r="N11289" t="s">
        <v>40436</v>
      </c>
      <c r="O11289" t="s">
        <v>40437</v>
      </c>
      <c r="Q11289">
        <v>6</v>
      </c>
      <c r="R11289" t="s">
        <v>40452</v>
      </c>
      <c r="S11289" t="s">
        <v>41176</v>
      </c>
      <c r="T11289" t="s">
        <v>42133</v>
      </c>
      <c r="U11289" t="s">
        <v>43102</v>
      </c>
      <c r="W11289" t="s">
        <v>37282</v>
      </c>
      <c r="X11289" t="s">
        <v>40453</v>
      </c>
    </row>
    <row r="11290" spans="1:24">
      <c r="A11290">
        <f>HYPERLINK("https://www.philgeps.gov.ph/GEPSNONPILOT/Tender/SplashBidNoticeAbstractUI.aspx?menuIndex=3&amp;refID=7022818&amp;Result=3","7022818")</f>
        <v>0</v>
      </c>
      <c r="B11290" t="s">
        <v>2582</v>
      </c>
      <c r="C11290" t="s">
        <v>13873</v>
      </c>
      <c r="D11290" t="s">
        <v>16220</v>
      </c>
      <c r="E11290" t="s">
        <v>26077</v>
      </c>
      <c r="F11290" t="s">
        <v>28198</v>
      </c>
      <c r="G11290" t="s">
        <v>28205</v>
      </c>
      <c r="H11290" t="s">
        <v>28214</v>
      </c>
      <c r="I11290" t="s">
        <v>3797</v>
      </c>
      <c r="J11290" t="s">
        <v>28468</v>
      </c>
      <c r="K11290" t="s">
        <v>36717</v>
      </c>
      <c r="M11290" t="s">
        <v>39796</v>
      </c>
      <c r="N11290" t="s">
        <v>40436</v>
      </c>
      <c r="O11290" t="s">
        <v>40437</v>
      </c>
      <c r="P11290">
        <v>0</v>
      </c>
      <c r="Q11290">
        <v>0</v>
      </c>
      <c r="R11290" t="s">
        <v>40452</v>
      </c>
      <c r="S11290" t="s">
        <v>41140</v>
      </c>
      <c r="T11290" t="s">
        <v>42124</v>
      </c>
      <c r="U11290" t="s">
        <v>51968</v>
      </c>
      <c r="W11290" t="s">
        <v>39796</v>
      </c>
      <c r="X11290" t="s">
        <v>40453</v>
      </c>
    </row>
    <row r="11291" spans="1:24">
      <c r="A11291">
        <f>HYPERLINK("https://www.philgeps.gov.ph/GEPSNONPILOT/Tender/SplashBidNoticeAbstractUI.aspx?menuIndex=3&amp;refID=7022802&amp;Result=3","7022802")</f>
        <v>0</v>
      </c>
      <c r="B11291" t="s">
        <v>1486</v>
      </c>
      <c r="C11291" t="s">
        <v>13874</v>
      </c>
      <c r="D11291" t="s">
        <v>16210</v>
      </c>
      <c r="E11291" t="s">
        <v>26078</v>
      </c>
      <c r="F11291" t="s">
        <v>28198</v>
      </c>
      <c r="G11291" t="s">
        <v>28207</v>
      </c>
      <c r="H11291" t="s">
        <v>28215</v>
      </c>
      <c r="I11291" t="s">
        <v>28234</v>
      </c>
      <c r="J11291" t="s">
        <v>29692</v>
      </c>
      <c r="K11291" t="s">
        <v>36701</v>
      </c>
      <c r="M11291" t="s">
        <v>38558</v>
      </c>
      <c r="N11291" t="s">
        <v>40436</v>
      </c>
      <c r="O11291" t="s">
        <v>40437</v>
      </c>
      <c r="Q11291">
        <v>40</v>
      </c>
      <c r="R11291" t="s">
        <v>40452</v>
      </c>
      <c r="S11291" t="s">
        <v>41177</v>
      </c>
      <c r="T11291" t="s">
        <v>42233</v>
      </c>
      <c r="U11291" t="s">
        <v>51969</v>
      </c>
      <c r="V11291" t="s">
        <v>55078</v>
      </c>
      <c r="W11291" t="s">
        <v>38558</v>
      </c>
      <c r="X11291" t="s">
        <v>40453</v>
      </c>
    </row>
    <row r="11292" spans="1:24">
      <c r="A11292">
        <f>HYPERLINK("https://www.philgeps.gov.ph/GEPSNONPILOT/Tender/SplashBidNoticeAbstractUI.aspx?menuIndex=3&amp;refID=7022835&amp;Result=3","7022835")</f>
        <v>0</v>
      </c>
      <c r="B11292" t="s">
        <v>2885</v>
      </c>
      <c r="C11292" t="s">
        <v>13875</v>
      </c>
      <c r="D11292" t="s">
        <v>16195</v>
      </c>
      <c r="E11292" t="s">
        <v>16570</v>
      </c>
      <c r="F11292" t="s">
        <v>28198</v>
      </c>
      <c r="G11292" t="s">
        <v>28205</v>
      </c>
      <c r="H11292" t="s">
        <v>28214</v>
      </c>
      <c r="I11292" t="s">
        <v>3797</v>
      </c>
      <c r="J11292" t="s">
        <v>35308</v>
      </c>
      <c r="K11292" t="s">
        <v>36694</v>
      </c>
      <c r="M11292" t="s">
        <v>40149</v>
      </c>
      <c r="N11292" t="s">
        <v>40436</v>
      </c>
      <c r="O11292" t="s">
        <v>40437</v>
      </c>
      <c r="P11292">
        <v>0</v>
      </c>
      <c r="Q11292">
        <v>0</v>
      </c>
      <c r="R11292" t="s">
        <v>40452</v>
      </c>
      <c r="S11292" t="s">
        <v>41140</v>
      </c>
      <c r="T11292" t="s">
        <v>42152</v>
      </c>
      <c r="U11292" t="s">
        <v>51970</v>
      </c>
      <c r="W11292" t="s">
        <v>40149</v>
      </c>
      <c r="X11292" t="s">
        <v>40453</v>
      </c>
    </row>
    <row r="11293" spans="1:24">
      <c r="A11293">
        <f>HYPERLINK("https://www.philgeps.gov.ph/GEPSNONPILOT/Tender/SplashBidNoticeAbstractUI.aspx?menuIndex=3&amp;refID=7022882&amp;Result=3","7022882")</f>
        <v>0</v>
      </c>
      <c r="B11293" t="s">
        <v>2273</v>
      </c>
      <c r="C11293" t="s">
        <v>13876</v>
      </c>
      <c r="D11293" t="s">
        <v>16203</v>
      </c>
      <c r="E11293" t="s">
        <v>26079</v>
      </c>
      <c r="F11293" t="s">
        <v>28198</v>
      </c>
      <c r="G11293" t="s">
        <v>28205</v>
      </c>
      <c r="H11293" t="s">
        <v>28215</v>
      </c>
      <c r="I11293" t="s">
        <v>5082</v>
      </c>
      <c r="J11293" t="s">
        <v>35309</v>
      </c>
      <c r="K11293" t="s">
        <v>36687</v>
      </c>
      <c r="L11293" t="s">
        <v>2273</v>
      </c>
      <c r="M11293" t="s">
        <v>39445</v>
      </c>
      <c r="N11293" t="s">
        <v>40436</v>
      </c>
      <c r="O11293" t="s">
        <v>40437</v>
      </c>
      <c r="P11293">
        <v>0</v>
      </c>
      <c r="Q11293">
        <v>2</v>
      </c>
      <c r="R11293" t="s">
        <v>40452</v>
      </c>
      <c r="S11293" t="s">
        <v>41140</v>
      </c>
      <c r="T11293" t="s">
        <v>42102</v>
      </c>
      <c r="U11293" t="s">
        <v>51971</v>
      </c>
      <c r="W11293" t="s">
        <v>39445</v>
      </c>
      <c r="X11293" t="s">
        <v>40453</v>
      </c>
    </row>
    <row r="11294" spans="1:24">
      <c r="A11294">
        <f>HYPERLINK("https://www.philgeps.gov.ph/GEPSNONPILOT/Tender/SplashBidNoticeAbstractUI.aspx?menuIndex=3&amp;refID=7022960&amp;Result=3","7022960")</f>
        <v>0</v>
      </c>
      <c r="B11294" t="s">
        <v>2651</v>
      </c>
      <c r="C11294" t="s">
        <v>13877</v>
      </c>
      <c r="D11294" t="s">
        <v>16261</v>
      </c>
      <c r="E11294" t="s">
        <v>25156</v>
      </c>
      <c r="F11294" t="s">
        <v>28198</v>
      </c>
      <c r="G11294" t="s">
        <v>28205</v>
      </c>
      <c r="H11294" t="s">
        <v>28214</v>
      </c>
      <c r="I11294" t="s">
        <v>3797</v>
      </c>
      <c r="J11294" t="s">
        <v>28395</v>
      </c>
      <c r="K11294" t="s">
        <v>36689</v>
      </c>
      <c r="M11294" t="s">
        <v>39878</v>
      </c>
      <c r="N11294" t="s">
        <v>40436</v>
      </c>
      <c r="O11294" t="s">
        <v>40437</v>
      </c>
      <c r="P11294">
        <v>0</v>
      </c>
      <c r="Q11294">
        <v>0</v>
      </c>
      <c r="R11294" t="s">
        <v>40452</v>
      </c>
      <c r="S11294" t="s">
        <v>41140</v>
      </c>
      <c r="T11294" t="s">
        <v>42133</v>
      </c>
      <c r="U11294" t="s">
        <v>51972</v>
      </c>
      <c r="V11294" t="s">
        <v>55079</v>
      </c>
      <c r="W11294" t="s">
        <v>39878</v>
      </c>
      <c r="X11294" t="s">
        <v>40453</v>
      </c>
    </row>
    <row r="11295" spans="1:24">
      <c r="A11295">
        <f>HYPERLINK("https://www.philgeps.gov.ph/GEPSNONPILOT/Tender/SplashBidNoticeAbstractUI.aspx?menuIndex=3&amp;refID=7022952&amp;Result=3","7022952")</f>
        <v>0</v>
      </c>
      <c r="B11295" t="s">
        <v>305</v>
      </c>
      <c r="C11295" t="s">
        <v>13878</v>
      </c>
      <c r="D11295" t="s">
        <v>16197</v>
      </c>
      <c r="E11295" t="s">
        <v>26080</v>
      </c>
      <c r="F11295" t="s">
        <v>28198</v>
      </c>
      <c r="G11295" t="s">
        <v>28205</v>
      </c>
      <c r="H11295" t="s">
        <v>28215</v>
      </c>
      <c r="I11295" t="s">
        <v>28262</v>
      </c>
      <c r="J11295" t="s">
        <v>35310</v>
      </c>
      <c r="K11295" t="s">
        <v>36701</v>
      </c>
      <c r="M11295" t="s">
        <v>37282</v>
      </c>
      <c r="N11295" t="s">
        <v>40436</v>
      </c>
      <c r="O11295" t="s">
        <v>40437</v>
      </c>
      <c r="Q11295">
        <v>13</v>
      </c>
      <c r="R11295" t="s">
        <v>40452</v>
      </c>
      <c r="S11295" t="s">
        <v>41178</v>
      </c>
      <c r="T11295" t="s">
        <v>42133</v>
      </c>
      <c r="U11295" t="s">
        <v>43102</v>
      </c>
      <c r="W11295" t="s">
        <v>37282</v>
      </c>
      <c r="X11295" t="s">
        <v>40453</v>
      </c>
    </row>
    <row r="11296" spans="1:24">
      <c r="A11296">
        <f>HYPERLINK("https://www.philgeps.gov.ph/GEPSNONPILOT/Tender/SplashBidNoticeAbstractUI.aspx?menuIndex=3&amp;refID=7022950&amp;Result=3","7022950")</f>
        <v>0</v>
      </c>
      <c r="B11296" t="s">
        <v>2886</v>
      </c>
      <c r="C11296" t="s">
        <v>13879</v>
      </c>
      <c r="E11296" t="s">
        <v>26081</v>
      </c>
      <c r="F11296" t="s">
        <v>28198</v>
      </c>
      <c r="G11296" t="s">
        <v>28205</v>
      </c>
      <c r="H11296" t="s">
        <v>28215</v>
      </c>
      <c r="I11296" t="s">
        <v>28237</v>
      </c>
      <c r="J11296" t="s">
        <v>33928</v>
      </c>
      <c r="K11296" t="s">
        <v>36689</v>
      </c>
      <c r="M11296" t="s">
        <v>40150</v>
      </c>
      <c r="N11296" t="s">
        <v>40436</v>
      </c>
      <c r="O11296" t="s">
        <v>40437</v>
      </c>
      <c r="Q11296">
        <v>19</v>
      </c>
      <c r="R11296" t="s">
        <v>40452</v>
      </c>
      <c r="S11296" t="s">
        <v>41179</v>
      </c>
      <c r="T11296" t="s">
        <v>42424</v>
      </c>
      <c r="U11296" t="s">
        <v>44576</v>
      </c>
      <c r="W11296" t="s">
        <v>40150</v>
      </c>
      <c r="X11296" t="s">
        <v>40453</v>
      </c>
    </row>
    <row r="11297" spans="1:24">
      <c r="A11297">
        <f>HYPERLINK("https://www.philgeps.gov.ph/GEPSNONPILOT/Tender/SplashBidNoticeAbstractUI.aspx?menuIndex=3&amp;refID=7022962&amp;Result=3","7022962")</f>
        <v>0</v>
      </c>
      <c r="B11297" t="s">
        <v>2823</v>
      </c>
      <c r="C11297" t="s">
        <v>13880</v>
      </c>
      <c r="D11297" t="s">
        <v>16252</v>
      </c>
      <c r="E11297" t="s">
        <v>26082</v>
      </c>
      <c r="F11297" t="s">
        <v>28198</v>
      </c>
      <c r="G11297" t="s">
        <v>28205</v>
      </c>
      <c r="H11297" t="s">
        <v>28215</v>
      </c>
      <c r="I11297" t="s">
        <v>28228</v>
      </c>
      <c r="J11297" t="s">
        <v>28398</v>
      </c>
      <c r="K11297" t="s">
        <v>36688</v>
      </c>
      <c r="M11297" t="s">
        <v>40075</v>
      </c>
      <c r="N11297" t="s">
        <v>40436</v>
      </c>
      <c r="O11297" t="s">
        <v>40437</v>
      </c>
      <c r="P11297">
        <v>0</v>
      </c>
      <c r="Q11297">
        <v>0</v>
      </c>
      <c r="R11297" t="s">
        <v>40452</v>
      </c>
      <c r="S11297" t="s">
        <v>41140</v>
      </c>
      <c r="T11297" t="s">
        <v>42292</v>
      </c>
      <c r="U11297" t="s">
        <v>51973</v>
      </c>
      <c r="W11297" t="s">
        <v>40075</v>
      </c>
      <c r="X11297" t="s">
        <v>40453</v>
      </c>
    </row>
    <row r="11298" spans="1:24">
      <c r="A11298">
        <f>HYPERLINK("https://www.philgeps.gov.ph/GEPSNONPILOT/Tender/SplashBidNoticeAbstractUI.aspx?menuIndex=3&amp;refID=7022866&amp;Result=3","7022866")</f>
        <v>0</v>
      </c>
      <c r="B11298" t="s">
        <v>305</v>
      </c>
      <c r="C11298" t="s">
        <v>13881</v>
      </c>
      <c r="D11298" t="s">
        <v>16197</v>
      </c>
      <c r="E11298" t="s">
        <v>26083</v>
      </c>
      <c r="F11298" t="s">
        <v>28198</v>
      </c>
      <c r="G11298" t="s">
        <v>28205</v>
      </c>
      <c r="H11298" t="s">
        <v>28215</v>
      </c>
      <c r="I11298" t="s">
        <v>28257</v>
      </c>
      <c r="J11298" t="s">
        <v>35311</v>
      </c>
      <c r="K11298" t="s">
        <v>36694</v>
      </c>
      <c r="M11298" t="s">
        <v>37282</v>
      </c>
      <c r="N11298" t="s">
        <v>40436</v>
      </c>
      <c r="O11298" t="s">
        <v>40437</v>
      </c>
      <c r="Q11298">
        <v>5</v>
      </c>
      <c r="R11298" t="s">
        <v>40452</v>
      </c>
      <c r="S11298" t="s">
        <v>41180</v>
      </c>
      <c r="T11298" t="s">
        <v>42133</v>
      </c>
      <c r="U11298" t="s">
        <v>43102</v>
      </c>
      <c r="W11298" t="s">
        <v>37282</v>
      </c>
      <c r="X11298" t="s">
        <v>40453</v>
      </c>
    </row>
    <row r="11299" spans="1:24">
      <c r="A11299">
        <f>HYPERLINK("https://www.philgeps.gov.ph/GEPSNONPILOT/Tender/SplashBidNoticeAbstractUI.aspx?menuIndex=3&amp;refID=7022792&amp;Result=3","7022792")</f>
        <v>0</v>
      </c>
      <c r="B11299" t="s">
        <v>1456</v>
      </c>
      <c r="C11299" t="s">
        <v>13882</v>
      </c>
      <c r="D11299" t="s">
        <v>16264</v>
      </c>
      <c r="E11299" t="s">
        <v>26084</v>
      </c>
      <c r="F11299" t="s">
        <v>28198</v>
      </c>
      <c r="G11299" t="s">
        <v>28205</v>
      </c>
      <c r="H11299" t="s">
        <v>28215</v>
      </c>
      <c r="I11299" t="s">
        <v>3422</v>
      </c>
      <c r="J11299" t="s">
        <v>28398</v>
      </c>
      <c r="K11299" t="s">
        <v>36706</v>
      </c>
      <c r="M11299" t="s">
        <v>38523</v>
      </c>
      <c r="N11299" t="s">
        <v>40436</v>
      </c>
      <c r="O11299" t="s">
        <v>40437</v>
      </c>
      <c r="P11299">
        <v>0</v>
      </c>
      <c r="Q11299">
        <v>0</v>
      </c>
      <c r="R11299" t="s">
        <v>40452</v>
      </c>
      <c r="S11299" t="s">
        <v>41140</v>
      </c>
      <c r="T11299" t="s">
        <v>42129</v>
      </c>
      <c r="U11299" t="s">
        <v>51974</v>
      </c>
      <c r="W11299" t="s">
        <v>38523</v>
      </c>
      <c r="X11299" t="s">
        <v>40453</v>
      </c>
    </row>
    <row r="11300" spans="1:24">
      <c r="A11300">
        <f>HYPERLINK("https://www.philgeps.gov.ph/GEPSNONPILOT/Tender/SplashBidNoticeAbstractUI.aspx?menuIndex=3&amp;refID=7022893&amp;Result=3","7022893")</f>
        <v>0</v>
      </c>
      <c r="B11300" t="s">
        <v>2273</v>
      </c>
      <c r="C11300" t="s">
        <v>13883</v>
      </c>
      <c r="D11300" t="s">
        <v>16203</v>
      </c>
      <c r="E11300" t="s">
        <v>26085</v>
      </c>
      <c r="F11300" t="s">
        <v>28198</v>
      </c>
      <c r="G11300" t="s">
        <v>28205</v>
      </c>
      <c r="H11300" t="s">
        <v>28215</v>
      </c>
      <c r="I11300" t="s">
        <v>28234</v>
      </c>
      <c r="J11300" t="s">
        <v>35312</v>
      </c>
      <c r="K11300" t="s">
        <v>36687</v>
      </c>
      <c r="L11300" t="s">
        <v>2273</v>
      </c>
      <c r="M11300" t="s">
        <v>39445</v>
      </c>
      <c r="N11300" t="s">
        <v>40436</v>
      </c>
      <c r="O11300" t="s">
        <v>40437</v>
      </c>
      <c r="Q11300">
        <v>4</v>
      </c>
      <c r="R11300" t="s">
        <v>40452</v>
      </c>
      <c r="S11300" t="s">
        <v>41181</v>
      </c>
      <c r="T11300" t="s">
        <v>42102</v>
      </c>
      <c r="U11300" t="s">
        <v>51975</v>
      </c>
      <c r="W11300" t="s">
        <v>39445</v>
      </c>
      <c r="X11300" t="s">
        <v>40453</v>
      </c>
    </row>
    <row r="11301" spans="1:24">
      <c r="A11301">
        <f>HYPERLINK("https://www.philgeps.gov.ph/GEPSNONPILOT/Tender/SplashBidNoticeAbstractUI.aspx?menuIndex=3&amp;refID=7022783&amp;Result=3","7022783")</f>
        <v>0</v>
      </c>
      <c r="B11301" t="s">
        <v>1308</v>
      </c>
      <c r="C11301" t="s">
        <v>13884</v>
      </c>
      <c r="D11301" t="s">
        <v>16274</v>
      </c>
      <c r="E11301" t="s">
        <v>26086</v>
      </c>
      <c r="F11301" t="s">
        <v>28198</v>
      </c>
      <c r="G11301" t="s">
        <v>28205</v>
      </c>
      <c r="H11301" t="s">
        <v>28214</v>
      </c>
      <c r="I11301" t="s">
        <v>3797</v>
      </c>
      <c r="J11301" t="s">
        <v>28351</v>
      </c>
      <c r="K11301" t="s">
        <v>36697</v>
      </c>
      <c r="M11301" t="s">
        <v>38362</v>
      </c>
      <c r="N11301" t="s">
        <v>40436</v>
      </c>
      <c r="O11301" t="s">
        <v>40437</v>
      </c>
      <c r="P11301">
        <v>0</v>
      </c>
      <c r="Q11301">
        <v>0</v>
      </c>
      <c r="R11301" t="s">
        <v>40452</v>
      </c>
      <c r="S11301" t="s">
        <v>41140</v>
      </c>
      <c r="T11301" t="s">
        <v>42129</v>
      </c>
      <c r="U11301" t="s">
        <v>51976</v>
      </c>
      <c r="W11301" t="s">
        <v>38362</v>
      </c>
      <c r="X11301" t="s">
        <v>40453</v>
      </c>
    </row>
    <row r="11302" spans="1:24">
      <c r="A11302">
        <f>HYPERLINK("https://www.philgeps.gov.ph/GEPSNONPILOT/Tender/SplashBidNoticeAbstractUI.aspx?menuIndex=3&amp;refID=7023042&amp;Result=3","7023042")</f>
        <v>0</v>
      </c>
      <c r="B11302" t="s">
        <v>538</v>
      </c>
      <c r="C11302" t="s">
        <v>13885</v>
      </c>
      <c r="E11302" t="s">
        <v>26087</v>
      </c>
      <c r="F11302" t="s">
        <v>28198</v>
      </c>
      <c r="G11302" t="s">
        <v>28207</v>
      </c>
      <c r="H11302" t="s">
        <v>28215</v>
      </c>
      <c r="I11302" t="s">
        <v>28228</v>
      </c>
      <c r="J11302" t="s">
        <v>35313</v>
      </c>
      <c r="K11302" t="s">
        <v>36689</v>
      </c>
      <c r="M11302" t="s">
        <v>37524</v>
      </c>
      <c r="N11302" t="s">
        <v>40436</v>
      </c>
      <c r="O11302" t="s">
        <v>40437</v>
      </c>
      <c r="P11302">
        <v>0</v>
      </c>
      <c r="Q11302">
        <v>1</v>
      </c>
      <c r="R11302" t="s">
        <v>40452</v>
      </c>
      <c r="S11302" t="s">
        <v>41140</v>
      </c>
      <c r="T11302" t="s">
        <v>42112</v>
      </c>
      <c r="U11302" t="s">
        <v>43562</v>
      </c>
      <c r="W11302" t="s">
        <v>37524</v>
      </c>
      <c r="X11302" t="s">
        <v>40453</v>
      </c>
    </row>
    <row r="11303" spans="1:24">
      <c r="A11303">
        <f>HYPERLINK("https://www.philgeps.gov.ph/GEPSNONPILOT/Tender/SplashBidNoticeAbstractUI.aspx?menuIndex=3&amp;refID=7022944&amp;Result=3","7022944")</f>
        <v>0</v>
      </c>
      <c r="B11303" t="s">
        <v>1264</v>
      </c>
      <c r="C11303" t="s">
        <v>13886</v>
      </c>
      <c r="D11303" t="s">
        <v>16209</v>
      </c>
      <c r="E11303" t="s">
        <v>26088</v>
      </c>
      <c r="F11303" t="s">
        <v>28198</v>
      </c>
      <c r="G11303" t="s">
        <v>28205</v>
      </c>
      <c r="H11303" t="s">
        <v>28214</v>
      </c>
      <c r="I11303" t="s">
        <v>3797</v>
      </c>
      <c r="J11303" t="s">
        <v>35314</v>
      </c>
      <c r="K11303" t="s">
        <v>36697</v>
      </c>
      <c r="M11303" t="s">
        <v>38314</v>
      </c>
      <c r="N11303" t="s">
        <v>40436</v>
      </c>
      <c r="O11303" t="s">
        <v>40437</v>
      </c>
      <c r="P11303">
        <v>0</v>
      </c>
      <c r="Q11303">
        <v>1</v>
      </c>
      <c r="R11303" t="s">
        <v>40452</v>
      </c>
      <c r="S11303" t="s">
        <v>41140</v>
      </c>
      <c r="T11303" t="s">
        <v>42128</v>
      </c>
      <c r="U11303" t="s">
        <v>51977</v>
      </c>
      <c r="W11303" t="s">
        <v>38314</v>
      </c>
      <c r="X11303" t="s">
        <v>40453</v>
      </c>
    </row>
    <row r="11304" spans="1:24">
      <c r="A11304">
        <f>HYPERLINK("https://www.philgeps.gov.ph/GEPSNONPILOT/Tender/SplashBidNoticeAbstractUI.aspx?menuIndex=3&amp;refID=7022932&amp;Result=3","7022932")</f>
        <v>0</v>
      </c>
      <c r="B11304" t="s">
        <v>1845</v>
      </c>
      <c r="C11304" t="s">
        <v>13887</v>
      </c>
      <c r="D11304" t="s">
        <v>16190</v>
      </c>
      <c r="E11304" t="s">
        <v>26089</v>
      </c>
      <c r="F11304" t="s">
        <v>28198</v>
      </c>
      <c r="G11304" t="s">
        <v>28205</v>
      </c>
      <c r="H11304" t="s">
        <v>28214</v>
      </c>
      <c r="I11304" t="s">
        <v>8870</v>
      </c>
      <c r="J11304" t="s">
        <v>28347</v>
      </c>
      <c r="K11304" t="s">
        <v>36690</v>
      </c>
      <c r="M11304" t="s">
        <v>38972</v>
      </c>
      <c r="N11304" t="s">
        <v>40436</v>
      </c>
      <c r="O11304" t="s">
        <v>40437</v>
      </c>
      <c r="P11304">
        <v>0</v>
      </c>
      <c r="Q11304">
        <v>13</v>
      </c>
      <c r="R11304" t="s">
        <v>40452</v>
      </c>
      <c r="S11304" t="s">
        <v>41140</v>
      </c>
      <c r="T11304" t="s">
        <v>42144</v>
      </c>
      <c r="U11304" t="s">
        <v>51978</v>
      </c>
      <c r="W11304" t="s">
        <v>55530</v>
      </c>
      <c r="X11304" t="s">
        <v>40453</v>
      </c>
    </row>
    <row r="11305" spans="1:24">
      <c r="A11305">
        <f>HYPERLINK("https://www.philgeps.gov.ph/GEPSNONPILOT/Tender/SplashBidNoticeAbstractUI.aspx?menuIndex=3&amp;refID=7023048&amp;Result=3","7023048")</f>
        <v>0</v>
      </c>
      <c r="B11305" t="s">
        <v>2448</v>
      </c>
      <c r="C11305" t="s">
        <v>13888</v>
      </c>
      <c r="D11305" t="s">
        <v>16260</v>
      </c>
      <c r="E11305" t="s">
        <v>26090</v>
      </c>
      <c r="F11305" t="s">
        <v>28198</v>
      </c>
      <c r="G11305" t="s">
        <v>28205</v>
      </c>
      <c r="H11305" t="s">
        <v>28214</v>
      </c>
      <c r="I11305" t="s">
        <v>3797</v>
      </c>
      <c r="J11305" t="s">
        <v>35315</v>
      </c>
      <c r="K11305" t="s">
        <v>36701</v>
      </c>
      <c r="M11305" t="s">
        <v>39638</v>
      </c>
      <c r="N11305" t="s">
        <v>40436</v>
      </c>
      <c r="O11305" t="s">
        <v>40437</v>
      </c>
      <c r="P11305">
        <v>0</v>
      </c>
      <c r="Q11305">
        <v>2</v>
      </c>
      <c r="R11305" t="s">
        <v>40452</v>
      </c>
      <c r="S11305" t="s">
        <v>41140</v>
      </c>
      <c r="T11305" t="s">
        <v>42133</v>
      </c>
      <c r="U11305" t="s">
        <v>51979</v>
      </c>
      <c r="W11305" t="s">
        <v>39638</v>
      </c>
      <c r="X11305" t="s">
        <v>40453</v>
      </c>
    </row>
    <row r="11306" spans="1:24">
      <c r="A11306">
        <f>HYPERLINK("https://www.philgeps.gov.ph/GEPSNONPILOT/Tender/SplashBidNoticeAbstractUI.aspx?menuIndex=3&amp;refID=7023010&amp;Result=3","7023010")</f>
        <v>0</v>
      </c>
      <c r="B11306" t="s">
        <v>2887</v>
      </c>
      <c r="C11306" t="s">
        <v>13889</v>
      </c>
      <c r="D11306" t="s">
        <v>16233</v>
      </c>
      <c r="E11306" t="s">
        <v>26091</v>
      </c>
      <c r="F11306" t="s">
        <v>28198</v>
      </c>
      <c r="G11306" t="s">
        <v>28205</v>
      </c>
      <c r="H11306" t="s">
        <v>28215</v>
      </c>
      <c r="I11306" t="s">
        <v>4200</v>
      </c>
      <c r="J11306" t="s">
        <v>28601</v>
      </c>
      <c r="K11306" t="s">
        <v>36701</v>
      </c>
      <c r="M11306" t="s">
        <v>40151</v>
      </c>
      <c r="N11306" t="s">
        <v>40436</v>
      </c>
      <c r="O11306" t="s">
        <v>40437</v>
      </c>
      <c r="P11306">
        <v>0</v>
      </c>
      <c r="Q11306">
        <v>2</v>
      </c>
      <c r="R11306" t="s">
        <v>40452</v>
      </c>
      <c r="S11306" t="s">
        <v>41140</v>
      </c>
      <c r="T11306" t="s">
        <v>42129</v>
      </c>
      <c r="U11306" t="s">
        <v>51980</v>
      </c>
      <c r="W11306" t="s">
        <v>40151</v>
      </c>
      <c r="X11306" t="s">
        <v>40453</v>
      </c>
    </row>
    <row r="11307" spans="1:24">
      <c r="A11307">
        <f>HYPERLINK("https://www.philgeps.gov.ph/GEPSNONPILOT/Tender/SplashBidNoticeAbstractUI.aspx?menuIndex=3&amp;refID=7023037&amp;Result=3","7023037")</f>
        <v>0</v>
      </c>
      <c r="B11307" t="s">
        <v>648</v>
      </c>
      <c r="C11307" t="s">
        <v>13890</v>
      </c>
      <c r="D11307" t="s">
        <v>16268</v>
      </c>
      <c r="E11307" t="s">
        <v>26092</v>
      </c>
      <c r="F11307" t="s">
        <v>28198</v>
      </c>
      <c r="G11307" t="s">
        <v>28205</v>
      </c>
      <c r="H11307" t="s">
        <v>28214</v>
      </c>
      <c r="I11307" t="s">
        <v>3797</v>
      </c>
      <c r="J11307" t="s">
        <v>35316</v>
      </c>
      <c r="K11307" t="s">
        <v>36694</v>
      </c>
      <c r="M11307" t="s">
        <v>37643</v>
      </c>
      <c r="N11307" t="s">
        <v>40436</v>
      </c>
      <c r="O11307" t="s">
        <v>40437</v>
      </c>
      <c r="P11307">
        <v>0</v>
      </c>
      <c r="Q11307">
        <v>8</v>
      </c>
      <c r="R11307" t="s">
        <v>40452</v>
      </c>
      <c r="S11307" t="s">
        <v>41140</v>
      </c>
      <c r="T11307" t="s">
        <v>42133</v>
      </c>
      <c r="U11307" t="s">
        <v>51981</v>
      </c>
      <c r="W11307" t="s">
        <v>37643</v>
      </c>
      <c r="X11307" t="s">
        <v>40453</v>
      </c>
    </row>
    <row r="11308" spans="1:24">
      <c r="A11308">
        <f>HYPERLINK("https://www.philgeps.gov.ph/GEPSNONPILOT/Tender/SplashBidNoticeAbstractUI.aspx?menuIndex=3&amp;refID=7023100&amp;Result=3","7023100")</f>
        <v>0</v>
      </c>
      <c r="B11308" t="s">
        <v>155</v>
      </c>
      <c r="C11308" t="s">
        <v>13891</v>
      </c>
      <c r="D11308" t="s">
        <v>16235</v>
      </c>
      <c r="E11308" t="s">
        <v>26093</v>
      </c>
      <c r="F11308" t="s">
        <v>28198</v>
      </c>
      <c r="G11308" t="s">
        <v>28205</v>
      </c>
      <c r="H11308" t="s">
        <v>28214</v>
      </c>
      <c r="I11308" t="s">
        <v>3797</v>
      </c>
      <c r="J11308" t="s">
        <v>35317</v>
      </c>
      <c r="K11308" t="s">
        <v>36935</v>
      </c>
      <c r="M11308" t="s">
        <v>37129</v>
      </c>
      <c r="N11308" t="s">
        <v>40436</v>
      </c>
      <c r="O11308" t="s">
        <v>40437</v>
      </c>
      <c r="P11308">
        <v>0</v>
      </c>
      <c r="Q11308">
        <v>0</v>
      </c>
      <c r="R11308" t="s">
        <v>40452</v>
      </c>
      <c r="S11308" t="s">
        <v>41140</v>
      </c>
      <c r="T11308" t="s">
        <v>42103</v>
      </c>
      <c r="U11308" t="s">
        <v>51982</v>
      </c>
      <c r="W11308" t="s">
        <v>37129</v>
      </c>
      <c r="X11308" t="s">
        <v>40453</v>
      </c>
    </row>
    <row r="11309" spans="1:24">
      <c r="A11309">
        <f>HYPERLINK("https://www.philgeps.gov.ph/GEPSNONPILOT/Tender/SplashBidNoticeAbstractUI.aspx?menuIndex=3&amp;refID=7022903&amp;Result=3","7022903")</f>
        <v>0</v>
      </c>
      <c r="B11309" t="s">
        <v>1241</v>
      </c>
      <c r="C11309" t="s">
        <v>13892</v>
      </c>
      <c r="D11309" t="s">
        <v>16216</v>
      </c>
      <c r="E11309" t="s">
        <v>16473</v>
      </c>
      <c r="F11309" t="s">
        <v>28198</v>
      </c>
      <c r="G11309" t="s">
        <v>28205</v>
      </c>
      <c r="H11309" t="s">
        <v>28215</v>
      </c>
      <c r="I11309" t="s">
        <v>28274</v>
      </c>
      <c r="J11309" t="s">
        <v>35318</v>
      </c>
      <c r="K11309" t="s">
        <v>36689</v>
      </c>
      <c r="M11309" t="s">
        <v>38290</v>
      </c>
      <c r="N11309" t="s">
        <v>40436</v>
      </c>
      <c r="O11309" t="s">
        <v>40437</v>
      </c>
      <c r="Q11309">
        <v>8</v>
      </c>
      <c r="R11309" t="s">
        <v>40452</v>
      </c>
      <c r="S11309" t="s">
        <v>41182</v>
      </c>
      <c r="T11309" t="s">
        <v>42169</v>
      </c>
      <c r="U11309" t="s">
        <v>51983</v>
      </c>
      <c r="W11309" t="s">
        <v>38290</v>
      </c>
      <c r="X11309" t="s">
        <v>40453</v>
      </c>
    </row>
    <row r="11310" spans="1:24">
      <c r="A11310">
        <f>HYPERLINK("https://www.philgeps.gov.ph/GEPSNONPILOT/Tender/SplashBidNoticeAbstractUI.aspx?menuIndex=3&amp;refID=7023076&amp;Result=3","7023076")</f>
        <v>0</v>
      </c>
      <c r="B11310" t="s">
        <v>1264</v>
      </c>
      <c r="C11310" t="s">
        <v>13893</v>
      </c>
      <c r="D11310" t="s">
        <v>16209</v>
      </c>
      <c r="E11310" t="s">
        <v>26094</v>
      </c>
      <c r="F11310" t="s">
        <v>28198</v>
      </c>
      <c r="G11310" t="s">
        <v>28205</v>
      </c>
      <c r="H11310" t="s">
        <v>28214</v>
      </c>
      <c r="I11310" t="s">
        <v>3797</v>
      </c>
      <c r="J11310" t="s">
        <v>35319</v>
      </c>
      <c r="K11310" t="s">
        <v>36715</v>
      </c>
      <c r="M11310" t="s">
        <v>38314</v>
      </c>
      <c r="N11310" t="s">
        <v>40436</v>
      </c>
      <c r="O11310" t="s">
        <v>40437</v>
      </c>
      <c r="P11310">
        <v>0</v>
      </c>
      <c r="Q11310">
        <v>0</v>
      </c>
      <c r="R11310" t="s">
        <v>40452</v>
      </c>
      <c r="S11310" t="s">
        <v>41140</v>
      </c>
      <c r="T11310" t="s">
        <v>42128</v>
      </c>
      <c r="U11310" t="s">
        <v>51984</v>
      </c>
      <c r="W11310" t="s">
        <v>38314</v>
      </c>
      <c r="X11310" t="s">
        <v>40453</v>
      </c>
    </row>
    <row r="11311" spans="1:24">
      <c r="A11311">
        <f>HYPERLINK("https://www.philgeps.gov.ph/GEPSNONPILOT/Tender/SplashBidNoticeAbstractUI.aspx?menuIndex=3&amp;refID=7023105&amp;Result=3","7023105")</f>
        <v>0</v>
      </c>
      <c r="B11311" t="s">
        <v>1350</v>
      </c>
      <c r="C11311" t="s">
        <v>13894</v>
      </c>
      <c r="D11311" t="s">
        <v>16264</v>
      </c>
      <c r="E11311" t="s">
        <v>16526</v>
      </c>
      <c r="F11311" t="s">
        <v>28198</v>
      </c>
      <c r="G11311" t="s">
        <v>28205</v>
      </c>
      <c r="H11311" t="s">
        <v>28214</v>
      </c>
      <c r="I11311" t="s">
        <v>3797</v>
      </c>
      <c r="J11311" t="s">
        <v>28363</v>
      </c>
      <c r="K11311" t="s">
        <v>36697</v>
      </c>
      <c r="M11311" t="s">
        <v>38408</v>
      </c>
      <c r="N11311" t="s">
        <v>40436</v>
      </c>
      <c r="O11311" t="s">
        <v>40437</v>
      </c>
      <c r="P11311">
        <v>0</v>
      </c>
      <c r="Q11311">
        <v>0</v>
      </c>
      <c r="R11311" t="s">
        <v>40452</v>
      </c>
      <c r="S11311" t="s">
        <v>41140</v>
      </c>
      <c r="T11311" t="s">
        <v>42119</v>
      </c>
      <c r="U11311" t="s">
        <v>51985</v>
      </c>
      <c r="W11311" t="s">
        <v>38408</v>
      </c>
      <c r="X11311" t="s">
        <v>40453</v>
      </c>
    </row>
    <row r="11312" spans="1:24">
      <c r="A11312">
        <f>HYPERLINK("https://www.philgeps.gov.ph/GEPSNONPILOT/Tender/SplashBidNoticeAbstractUI.aspx?menuIndex=3&amp;refID=7023026&amp;Result=3","7023026")</f>
        <v>0</v>
      </c>
      <c r="B11312" t="s">
        <v>2157</v>
      </c>
      <c r="C11312" t="s">
        <v>13895</v>
      </c>
      <c r="D11312" t="s">
        <v>16204</v>
      </c>
      <c r="E11312" t="s">
        <v>26095</v>
      </c>
      <c r="F11312" t="s">
        <v>28198</v>
      </c>
      <c r="G11312" t="s">
        <v>28205</v>
      </c>
      <c r="H11312" t="s">
        <v>28214</v>
      </c>
      <c r="I11312" t="s">
        <v>3797</v>
      </c>
      <c r="J11312" t="s">
        <v>35320</v>
      </c>
      <c r="K11312" t="s">
        <v>36951</v>
      </c>
      <c r="M11312" t="s">
        <v>39314</v>
      </c>
      <c r="N11312" t="s">
        <v>40436</v>
      </c>
      <c r="O11312" t="s">
        <v>40437</v>
      </c>
      <c r="Q11312">
        <v>17</v>
      </c>
      <c r="R11312" t="s">
        <v>40452</v>
      </c>
      <c r="S11312" t="s">
        <v>41183</v>
      </c>
      <c r="T11312" t="s">
        <v>42103</v>
      </c>
      <c r="U11312" t="s">
        <v>51986</v>
      </c>
      <c r="V11312" t="s">
        <v>55080</v>
      </c>
      <c r="W11312" t="s">
        <v>39314</v>
      </c>
      <c r="X11312" t="s">
        <v>40453</v>
      </c>
    </row>
    <row r="11313" spans="1:24">
      <c r="A11313">
        <f>HYPERLINK("https://www.philgeps.gov.ph/GEPSNONPILOT/Tender/SplashBidNoticeAbstractUI.aspx?menuIndex=3&amp;refID=7022986&amp;Result=3","7022986")</f>
        <v>0</v>
      </c>
      <c r="B11313" t="s">
        <v>1845</v>
      </c>
      <c r="C11313" t="s">
        <v>13896</v>
      </c>
      <c r="D11313" t="s">
        <v>16190</v>
      </c>
      <c r="E11313" t="s">
        <v>26096</v>
      </c>
      <c r="F11313" t="s">
        <v>28198</v>
      </c>
      <c r="G11313" t="s">
        <v>28205</v>
      </c>
      <c r="H11313" t="s">
        <v>28214</v>
      </c>
      <c r="I11313" t="s">
        <v>3797</v>
      </c>
      <c r="J11313" t="s">
        <v>30991</v>
      </c>
      <c r="K11313" t="s">
        <v>36878</v>
      </c>
      <c r="M11313" t="s">
        <v>38972</v>
      </c>
      <c r="N11313" t="s">
        <v>40436</v>
      </c>
      <c r="O11313" t="s">
        <v>40437</v>
      </c>
      <c r="P11313">
        <v>0</v>
      </c>
      <c r="Q11313">
        <v>19</v>
      </c>
      <c r="R11313" t="s">
        <v>40452</v>
      </c>
      <c r="S11313" t="s">
        <v>41140</v>
      </c>
      <c r="T11313" t="s">
        <v>42144</v>
      </c>
      <c r="U11313" t="s">
        <v>51987</v>
      </c>
      <c r="W11313" t="s">
        <v>55530</v>
      </c>
      <c r="X11313" t="s">
        <v>40453</v>
      </c>
    </row>
    <row r="11314" spans="1:24">
      <c r="A11314">
        <f>HYPERLINK("https://www.philgeps.gov.ph/GEPSNONPILOT/Tender/SplashBidNoticeAbstractUI.aspx?menuIndex=3&amp;refID=7023024&amp;Result=3","7023024")</f>
        <v>0</v>
      </c>
      <c r="B11314" t="s">
        <v>2651</v>
      </c>
      <c r="C11314" t="s">
        <v>13897</v>
      </c>
      <c r="D11314" t="s">
        <v>16261</v>
      </c>
      <c r="E11314" t="s">
        <v>25156</v>
      </c>
      <c r="F11314" t="s">
        <v>28198</v>
      </c>
      <c r="G11314" t="s">
        <v>28205</v>
      </c>
      <c r="H11314" t="s">
        <v>28214</v>
      </c>
      <c r="I11314" t="s">
        <v>3797</v>
      </c>
      <c r="J11314" t="s">
        <v>35321</v>
      </c>
      <c r="K11314" t="s">
        <v>36689</v>
      </c>
      <c r="M11314" t="s">
        <v>39878</v>
      </c>
      <c r="N11314" t="s">
        <v>40436</v>
      </c>
      <c r="O11314" t="s">
        <v>40437</v>
      </c>
      <c r="P11314">
        <v>0</v>
      </c>
      <c r="Q11314">
        <v>0</v>
      </c>
      <c r="R11314" t="s">
        <v>40452</v>
      </c>
      <c r="S11314" t="s">
        <v>41140</v>
      </c>
      <c r="T11314" t="s">
        <v>42133</v>
      </c>
      <c r="U11314" t="s">
        <v>51988</v>
      </c>
      <c r="V11314" t="s">
        <v>55079</v>
      </c>
      <c r="W11314" t="s">
        <v>39878</v>
      </c>
      <c r="X11314" t="s">
        <v>40453</v>
      </c>
    </row>
    <row r="11315" spans="1:24">
      <c r="A11315">
        <f>HYPERLINK("https://www.philgeps.gov.ph/GEPSNONPILOT/Tender/SplashBidNoticeAbstractUI.aspx?menuIndex=3&amp;refID=7023142&amp;Result=3","7023142")</f>
        <v>0</v>
      </c>
      <c r="B11315" t="s">
        <v>62</v>
      </c>
      <c r="C11315" t="s">
        <v>13898</v>
      </c>
      <c r="D11315" t="s">
        <v>16211</v>
      </c>
      <c r="E11315" t="s">
        <v>26097</v>
      </c>
      <c r="F11315" t="s">
        <v>28198</v>
      </c>
      <c r="G11315" t="s">
        <v>28205</v>
      </c>
      <c r="H11315" t="s">
        <v>28215</v>
      </c>
      <c r="I11315" t="s">
        <v>28222</v>
      </c>
      <c r="J11315" t="s">
        <v>35322</v>
      </c>
      <c r="K11315" t="s">
        <v>36701</v>
      </c>
      <c r="M11315" t="s">
        <v>37033</v>
      </c>
      <c r="N11315" t="s">
        <v>40436</v>
      </c>
      <c r="O11315" t="s">
        <v>40437</v>
      </c>
      <c r="Q11315">
        <v>3</v>
      </c>
      <c r="R11315" t="s">
        <v>40452</v>
      </c>
      <c r="S11315" t="s">
        <v>41184</v>
      </c>
      <c r="T11315" t="s">
        <v>42111</v>
      </c>
      <c r="U11315" t="s">
        <v>51989</v>
      </c>
      <c r="W11315" t="s">
        <v>37033</v>
      </c>
      <c r="X11315" t="s">
        <v>40453</v>
      </c>
    </row>
    <row r="11316" spans="1:24">
      <c r="A11316">
        <f>HYPERLINK("https://www.philgeps.gov.ph/GEPSNONPILOT/Tender/SplashBidNoticeAbstractUI.aspx?menuIndex=3&amp;refID=7023062&amp;Result=3","7023062")</f>
        <v>0</v>
      </c>
      <c r="B11316" t="s">
        <v>1350</v>
      </c>
      <c r="C11316" t="s">
        <v>13899</v>
      </c>
      <c r="D11316" t="s">
        <v>16264</v>
      </c>
      <c r="E11316" t="s">
        <v>16322</v>
      </c>
      <c r="F11316" t="s">
        <v>28198</v>
      </c>
      <c r="G11316" t="s">
        <v>28205</v>
      </c>
      <c r="H11316" t="s">
        <v>28214</v>
      </c>
      <c r="I11316" t="s">
        <v>3797</v>
      </c>
      <c r="J11316" t="s">
        <v>28363</v>
      </c>
      <c r="K11316" t="s">
        <v>36697</v>
      </c>
      <c r="M11316" t="s">
        <v>38408</v>
      </c>
      <c r="N11316" t="s">
        <v>40436</v>
      </c>
      <c r="O11316" t="s">
        <v>40437</v>
      </c>
      <c r="P11316">
        <v>0</v>
      </c>
      <c r="Q11316">
        <v>1</v>
      </c>
      <c r="R11316" t="s">
        <v>40452</v>
      </c>
      <c r="S11316" t="s">
        <v>41140</v>
      </c>
      <c r="T11316" t="s">
        <v>42119</v>
      </c>
      <c r="U11316" t="s">
        <v>51990</v>
      </c>
      <c r="W11316" t="s">
        <v>38408</v>
      </c>
      <c r="X11316" t="s">
        <v>40453</v>
      </c>
    </row>
    <row r="11317" spans="1:24">
      <c r="A11317">
        <f>HYPERLINK("https://www.philgeps.gov.ph/GEPSNONPILOT/Tender/SplashBidNoticeAbstractUI.aspx?menuIndex=3&amp;refID=7023121&amp;Result=3","7023121")</f>
        <v>0</v>
      </c>
      <c r="B11317" t="s">
        <v>538</v>
      </c>
      <c r="C11317" t="s">
        <v>13900</v>
      </c>
      <c r="E11317" t="s">
        <v>26098</v>
      </c>
      <c r="F11317" t="s">
        <v>28198</v>
      </c>
      <c r="G11317" t="s">
        <v>28207</v>
      </c>
      <c r="H11317" t="s">
        <v>28215</v>
      </c>
      <c r="I11317" t="s">
        <v>28228</v>
      </c>
      <c r="J11317" t="s">
        <v>35323</v>
      </c>
      <c r="K11317" t="s">
        <v>36689</v>
      </c>
      <c r="M11317" t="s">
        <v>37524</v>
      </c>
      <c r="N11317" t="s">
        <v>40436</v>
      </c>
      <c r="O11317" t="s">
        <v>40437</v>
      </c>
      <c r="P11317">
        <v>0</v>
      </c>
      <c r="Q11317">
        <v>1</v>
      </c>
      <c r="R11317" t="s">
        <v>40452</v>
      </c>
      <c r="S11317" t="s">
        <v>41140</v>
      </c>
      <c r="T11317" t="s">
        <v>42112</v>
      </c>
      <c r="U11317" t="s">
        <v>43562</v>
      </c>
      <c r="W11317" t="s">
        <v>37524</v>
      </c>
      <c r="X11317" t="s">
        <v>40453</v>
      </c>
    </row>
    <row r="11318" spans="1:24">
      <c r="A11318">
        <f>HYPERLINK("https://www.philgeps.gov.ph/GEPSNONPILOT/Tender/SplashBidNoticeAbstractUI.aspx?menuIndex=3&amp;refID=7023057&amp;Result=3","7023057")</f>
        <v>0</v>
      </c>
      <c r="B11318" t="s">
        <v>1987</v>
      </c>
      <c r="C11318" t="s">
        <v>13901</v>
      </c>
      <c r="D11318" t="s">
        <v>16196</v>
      </c>
      <c r="E11318" t="s">
        <v>26099</v>
      </c>
      <c r="F11318" t="s">
        <v>28198</v>
      </c>
      <c r="G11318" t="s">
        <v>28205</v>
      </c>
      <c r="H11318" t="s">
        <v>28215</v>
      </c>
      <c r="I11318" t="s">
        <v>5100</v>
      </c>
      <c r="J11318" t="s">
        <v>35324</v>
      </c>
      <c r="K11318" t="s">
        <v>36701</v>
      </c>
      <c r="L11318" t="s">
        <v>1987</v>
      </c>
      <c r="M11318" t="s">
        <v>39124</v>
      </c>
      <c r="N11318" t="s">
        <v>40436</v>
      </c>
      <c r="O11318" t="s">
        <v>40437</v>
      </c>
      <c r="P11318">
        <v>0</v>
      </c>
      <c r="Q11318">
        <v>2</v>
      </c>
      <c r="R11318" t="s">
        <v>40452</v>
      </c>
      <c r="S11318" t="s">
        <v>41140</v>
      </c>
      <c r="T11318" t="s">
        <v>42111</v>
      </c>
      <c r="U11318" t="s">
        <v>51991</v>
      </c>
      <c r="W11318" t="s">
        <v>39124</v>
      </c>
      <c r="X11318" t="s">
        <v>40453</v>
      </c>
    </row>
    <row r="11319" spans="1:24">
      <c r="A11319">
        <f>HYPERLINK("https://www.philgeps.gov.ph/GEPSNONPILOT/Tender/SplashBidNoticeAbstractUI.aspx?menuIndex=3&amp;refID=7023055&amp;Result=3","7023055")</f>
        <v>0</v>
      </c>
      <c r="B11319" t="s">
        <v>596</v>
      </c>
      <c r="C11319" t="s">
        <v>13902</v>
      </c>
      <c r="D11319" t="s">
        <v>16223</v>
      </c>
      <c r="E11319" t="s">
        <v>26100</v>
      </c>
      <c r="F11319" t="s">
        <v>28198</v>
      </c>
      <c r="G11319" t="s">
        <v>28205</v>
      </c>
      <c r="H11319" t="s">
        <v>28214</v>
      </c>
      <c r="I11319" t="s">
        <v>3797</v>
      </c>
      <c r="J11319" t="s">
        <v>29161</v>
      </c>
      <c r="K11319" t="s">
        <v>36866</v>
      </c>
      <c r="M11319" t="s">
        <v>37585</v>
      </c>
      <c r="N11319" t="s">
        <v>40436</v>
      </c>
      <c r="O11319" t="s">
        <v>40437</v>
      </c>
      <c r="P11319">
        <v>0</v>
      </c>
      <c r="Q11319">
        <v>1</v>
      </c>
      <c r="R11319" t="s">
        <v>40452</v>
      </c>
      <c r="S11319" t="s">
        <v>41140</v>
      </c>
      <c r="T11319" t="s">
        <v>42129</v>
      </c>
      <c r="U11319" t="s">
        <v>43680</v>
      </c>
      <c r="W11319" t="s">
        <v>37585</v>
      </c>
      <c r="X11319" t="s">
        <v>40453</v>
      </c>
    </row>
    <row r="11320" spans="1:24">
      <c r="A11320">
        <f>HYPERLINK("https://www.philgeps.gov.ph/GEPSNONPILOT/Tender/SplashBidNoticeAbstractUI.aspx?menuIndex=3&amp;refID=7023008&amp;Result=3","7023008")</f>
        <v>0</v>
      </c>
      <c r="B11320" t="s">
        <v>648</v>
      </c>
      <c r="C11320" t="s">
        <v>13903</v>
      </c>
      <c r="D11320" t="s">
        <v>16268</v>
      </c>
      <c r="E11320" t="s">
        <v>26101</v>
      </c>
      <c r="F11320" t="s">
        <v>28198</v>
      </c>
      <c r="G11320" t="s">
        <v>28205</v>
      </c>
      <c r="H11320" t="s">
        <v>28214</v>
      </c>
      <c r="I11320" t="s">
        <v>3797</v>
      </c>
      <c r="J11320" t="s">
        <v>35325</v>
      </c>
      <c r="K11320" t="s">
        <v>36736</v>
      </c>
      <c r="M11320" t="s">
        <v>37643</v>
      </c>
      <c r="N11320" t="s">
        <v>40436</v>
      </c>
      <c r="O11320" t="s">
        <v>40437</v>
      </c>
      <c r="P11320">
        <v>0</v>
      </c>
      <c r="Q11320">
        <v>7</v>
      </c>
      <c r="R11320" t="s">
        <v>40452</v>
      </c>
      <c r="S11320" t="s">
        <v>41140</v>
      </c>
      <c r="T11320" t="s">
        <v>42133</v>
      </c>
      <c r="U11320" t="s">
        <v>51992</v>
      </c>
      <c r="W11320" t="s">
        <v>37643</v>
      </c>
      <c r="X11320" t="s">
        <v>40453</v>
      </c>
    </row>
    <row r="11321" spans="1:24">
      <c r="A11321">
        <f>HYPERLINK("https://www.philgeps.gov.ph/GEPSNONPILOT/Tender/SplashBidNoticeAbstractUI.aspx?menuIndex=3&amp;refID=7023005&amp;Result=3","7023005")</f>
        <v>0</v>
      </c>
      <c r="B11321" t="s">
        <v>2541</v>
      </c>
      <c r="C11321" t="s">
        <v>13904</v>
      </c>
      <c r="D11321" t="s">
        <v>16206</v>
      </c>
      <c r="E11321" t="s">
        <v>26102</v>
      </c>
      <c r="F11321" t="s">
        <v>28198</v>
      </c>
      <c r="G11321" t="s">
        <v>28205</v>
      </c>
      <c r="H11321" t="s">
        <v>28214</v>
      </c>
      <c r="I11321" t="s">
        <v>3797</v>
      </c>
      <c r="J11321" t="s">
        <v>35326</v>
      </c>
      <c r="K11321" t="s">
        <v>36841</v>
      </c>
      <c r="M11321" t="s">
        <v>39751</v>
      </c>
      <c r="N11321" t="s">
        <v>40436</v>
      </c>
      <c r="O11321" t="s">
        <v>40437</v>
      </c>
      <c r="P11321">
        <v>0</v>
      </c>
      <c r="Q11321">
        <v>2</v>
      </c>
      <c r="R11321" t="s">
        <v>40452</v>
      </c>
      <c r="S11321" t="s">
        <v>41140</v>
      </c>
      <c r="T11321" t="s">
        <v>42119</v>
      </c>
      <c r="U11321" t="s">
        <v>51993</v>
      </c>
      <c r="W11321" t="s">
        <v>39751</v>
      </c>
      <c r="X11321" t="s">
        <v>40453</v>
      </c>
    </row>
    <row r="11322" spans="1:24">
      <c r="A11322">
        <f>HYPERLINK("https://www.philgeps.gov.ph/GEPSNONPILOT/Tender/SplashBidNoticeAbstractUI.aspx?menuIndex=3&amp;refID=7023109&amp;Result=3","7023109")</f>
        <v>0</v>
      </c>
      <c r="B11322" t="s">
        <v>2651</v>
      </c>
      <c r="C11322" t="s">
        <v>13905</v>
      </c>
      <c r="D11322" t="s">
        <v>16261</v>
      </c>
      <c r="E11322" t="s">
        <v>25156</v>
      </c>
      <c r="F11322" t="s">
        <v>28198</v>
      </c>
      <c r="G11322" t="s">
        <v>28205</v>
      </c>
      <c r="H11322" t="s">
        <v>28214</v>
      </c>
      <c r="I11322" t="s">
        <v>3797</v>
      </c>
      <c r="J11322" t="s">
        <v>28363</v>
      </c>
      <c r="K11322" t="s">
        <v>36689</v>
      </c>
      <c r="M11322" t="s">
        <v>39878</v>
      </c>
      <c r="N11322" t="s">
        <v>40436</v>
      </c>
      <c r="O11322" t="s">
        <v>40437</v>
      </c>
      <c r="P11322">
        <v>0</v>
      </c>
      <c r="Q11322">
        <v>0</v>
      </c>
      <c r="R11322" t="s">
        <v>40452</v>
      </c>
      <c r="S11322" t="s">
        <v>41140</v>
      </c>
      <c r="T11322" t="s">
        <v>42133</v>
      </c>
      <c r="U11322" t="s">
        <v>51994</v>
      </c>
      <c r="V11322" t="s">
        <v>55081</v>
      </c>
      <c r="W11322" t="s">
        <v>39878</v>
      </c>
      <c r="X11322" t="s">
        <v>40453</v>
      </c>
    </row>
    <row r="11323" spans="1:24">
      <c r="A11323">
        <f>HYPERLINK("https://www.philgeps.gov.ph/GEPSNONPILOT/Tender/SplashBidNoticeAbstractUI.aspx?menuIndex=3&amp;refID=7023001&amp;Result=3","7023001")</f>
        <v>0</v>
      </c>
      <c r="B11323" t="s">
        <v>2306</v>
      </c>
      <c r="C11323" t="s">
        <v>13906</v>
      </c>
      <c r="D11323" t="s">
        <v>16209</v>
      </c>
      <c r="E11323" t="s">
        <v>26103</v>
      </c>
      <c r="F11323" t="s">
        <v>28198</v>
      </c>
      <c r="G11323" t="s">
        <v>28205</v>
      </c>
      <c r="H11323" t="s">
        <v>28214</v>
      </c>
      <c r="I11323" t="s">
        <v>3797</v>
      </c>
      <c r="J11323" t="s">
        <v>35327</v>
      </c>
      <c r="K11323" t="s">
        <v>36766</v>
      </c>
      <c r="M11323" t="s">
        <v>39482</v>
      </c>
      <c r="N11323" t="s">
        <v>40436</v>
      </c>
      <c r="O11323" t="s">
        <v>40437</v>
      </c>
      <c r="P11323">
        <v>0</v>
      </c>
      <c r="Q11323">
        <v>0</v>
      </c>
      <c r="R11323" t="s">
        <v>40452</v>
      </c>
      <c r="S11323" t="s">
        <v>41140</v>
      </c>
      <c r="T11323" t="s">
        <v>42146</v>
      </c>
      <c r="U11323" t="s">
        <v>48964</v>
      </c>
      <c r="W11323" t="s">
        <v>39482</v>
      </c>
      <c r="X11323" t="s">
        <v>40453</v>
      </c>
    </row>
    <row r="11324" spans="1:24">
      <c r="A11324">
        <f>HYPERLINK("https://www.philgeps.gov.ph/GEPSNONPILOT/Tender/SplashBidNoticeAbstractUI.aspx?menuIndex=3&amp;refID=7023156&amp;Result=3","7023156")</f>
        <v>0</v>
      </c>
      <c r="B11324" t="s">
        <v>884</v>
      </c>
      <c r="C11324" t="s">
        <v>13907</v>
      </c>
      <c r="D11324" t="s">
        <v>16230</v>
      </c>
      <c r="E11324" t="s">
        <v>26104</v>
      </c>
      <c r="F11324" t="s">
        <v>28198</v>
      </c>
      <c r="G11324" t="s">
        <v>28205</v>
      </c>
      <c r="H11324" t="s">
        <v>28214</v>
      </c>
      <c r="I11324" t="s">
        <v>3797</v>
      </c>
      <c r="J11324" t="s">
        <v>35328</v>
      </c>
      <c r="K11324" t="s">
        <v>36714</v>
      </c>
      <c r="L11324" t="s">
        <v>884</v>
      </c>
      <c r="M11324" t="s">
        <v>37900</v>
      </c>
      <c r="N11324" t="s">
        <v>40436</v>
      </c>
      <c r="O11324" t="s">
        <v>40437</v>
      </c>
      <c r="P11324">
        <v>0</v>
      </c>
      <c r="Q11324">
        <v>2</v>
      </c>
      <c r="R11324" t="s">
        <v>40452</v>
      </c>
      <c r="S11324" t="s">
        <v>41140</v>
      </c>
      <c r="T11324" t="s">
        <v>42100</v>
      </c>
      <c r="U11324" t="s">
        <v>51995</v>
      </c>
      <c r="V11324" t="s">
        <v>54057</v>
      </c>
      <c r="W11324" t="s">
        <v>37900</v>
      </c>
      <c r="X11324" t="s">
        <v>40453</v>
      </c>
    </row>
    <row r="11325" spans="1:24">
      <c r="A11325">
        <f>HYPERLINK("https://www.philgeps.gov.ph/GEPSNONPILOT/Tender/SplashBidNoticeAbstractUI.aspx?menuIndex=3&amp;refID=7023000&amp;Result=3","7023000")</f>
        <v>0</v>
      </c>
      <c r="B11325" t="s">
        <v>538</v>
      </c>
      <c r="C11325" t="s">
        <v>13908</v>
      </c>
      <c r="E11325" t="s">
        <v>26087</v>
      </c>
      <c r="F11325" t="s">
        <v>28198</v>
      </c>
      <c r="G11325" t="s">
        <v>28205</v>
      </c>
      <c r="H11325" t="s">
        <v>28215</v>
      </c>
      <c r="I11325" t="s">
        <v>28228</v>
      </c>
      <c r="J11325" t="s">
        <v>35329</v>
      </c>
      <c r="K11325" t="s">
        <v>36689</v>
      </c>
      <c r="M11325" t="s">
        <v>37524</v>
      </c>
      <c r="N11325" t="s">
        <v>40436</v>
      </c>
      <c r="O11325" t="s">
        <v>40437</v>
      </c>
      <c r="Q11325">
        <v>2</v>
      </c>
      <c r="R11325" t="s">
        <v>40452</v>
      </c>
      <c r="S11325" t="s">
        <v>40923</v>
      </c>
      <c r="T11325" t="s">
        <v>42112</v>
      </c>
      <c r="U11325" t="s">
        <v>51996</v>
      </c>
      <c r="W11325" t="s">
        <v>37524</v>
      </c>
      <c r="X11325" t="s">
        <v>40453</v>
      </c>
    </row>
    <row r="11326" spans="1:24">
      <c r="A11326">
        <f>HYPERLINK("https://www.philgeps.gov.ph/GEPSNONPILOT/Tender/SplashBidNoticeAbstractUI.aspx?menuIndex=3&amp;refID=7023171&amp;Result=3","7023171")</f>
        <v>0</v>
      </c>
      <c r="B11326" t="s">
        <v>2651</v>
      </c>
      <c r="C11326" t="s">
        <v>13909</v>
      </c>
      <c r="D11326" t="s">
        <v>16261</v>
      </c>
      <c r="E11326" t="s">
        <v>25156</v>
      </c>
      <c r="F11326" t="s">
        <v>28198</v>
      </c>
      <c r="G11326" t="s">
        <v>28205</v>
      </c>
      <c r="H11326" t="s">
        <v>28214</v>
      </c>
      <c r="I11326" t="s">
        <v>3797</v>
      </c>
      <c r="J11326" t="s">
        <v>28351</v>
      </c>
      <c r="K11326" t="s">
        <v>36689</v>
      </c>
      <c r="M11326" t="s">
        <v>39878</v>
      </c>
      <c r="N11326" t="s">
        <v>40436</v>
      </c>
      <c r="O11326" t="s">
        <v>40437</v>
      </c>
      <c r="P11326">
        <v>0</v>
      </c>
      <c r="Q11326">
        <v>0</v>
      </c>
      <c r="R11326" t="s">
        <v>40452</v>
      </c>
      <c r="S11326" t="s">
        <v>41140</v>
      </c>
      <c r="T11326" t="s">
        <v>42133</v>
      </c>
      <c r="U11326" t="s">
        <v>51997</v>
      </c>
      <c r="V11326" t="s">
        <v>55081</v>
      </c>
      <c r="W11326" t="s">
        <v>39878</v>
      </c>
      <c r="X11326" t="s">
        <v>40453</v>
      </c>
    </row>
    <row r="11327" spans="1:24">
      <c r="A11327">
        <f>HYPERLINK("https://www.philgeps.gov.ph/GEPSNONPILOT/Tender/SplashBidNoticeAbstractUI.aspx?menuIndex=3&amp;refID=7023146&amp;Result=3","7023146")</f>
        <v>0</v>
      </c>
      <c r="B11327" t="s">
        <v>538</v>
      </c>
      <c r="C11327" t="s">
        <v>13910</v>
      </c>
      <c r="E11327" t="s">
        <v>26105</v>
      </c>
      <c r="F11327" t="s">
        <v>28198</v>
      </c>
      <c r="G11327" t="s">
        <v>28207</v>
      </c>
      <c r="H11327" t="s">
        <v>28215</v>
      </c>
      <c r="I11327" t="s">
        <v>28228</v>
      </c>
      <c r="J11327" t="s">
        <v>35330</v>
      </c>
      <c r="K11327" t="s">
        <v>36689</v>
      </c>
      <c r="M11327" t="s">
        <v>37524</v>
      </c>
      <c r="N11327" t="s">
        <v>40436</v>
      </c>
      <c r="O11327" t="s">
        <v>40437</v>
      </c>
      <c r="P11327">
        <v>0</v>
      </c>
      <c r="Q11327">
        <v>1</v>
      </c>
      <c r="R11327" t="s">
        <v>40452</v>
      </c>
      <c r="S11327" t="s">
        <v>41140</v>
      </c>
      <c r="T11327" t="s">
        <v>42112</v>
      </c>
      <c r="U11327" t="s">
        <v>43562</v>
      </c>
      <c r="W11327" t="s">
        <v>37524</v>
      </c>
      <c r="X11327" t="s">
        <v>40453</v>
      </c>
    </row>
    <row r="11328" spans="1:24">
      <c r="A11328">
        <f>HYPERLINK("https://www.philgeps.gov.ph/GEPSNONPILOT/Tender/SplashBidNoticeAbstractUI.aspx?menuIndex=3&amp;refID=7023164&amp;Result=3","7023164")</f>
        <v>0</v>
      </c>
      <c r="B11328" t="s">
        <v>596</v>
      </c>
      <c r="C11328" t="s">
        <v>13911</v>
      </c>
      <c r="D11328" t="s">
        <v>16223</v>
      </c>
      <c r="E11328" t="s">
        <v>26106</v>
      </c>
      <c r="F11328" t="s">
        <v>28198</v>
      </c>
      <c r="G11328" t="s">
        <v>28205</v>
      </c>
      <c r="H11328" t="s">
        <v>28214</v>
      </c>
      <c r="I11328" t="s">
        <v>3797</v>
      </c>
      <c r="J11328" t="s">
        <v>29161</v>
      </c>
      <c r="K11328" t="s">
        <v>36866</v>
      </c>
      <c r="M11328" t="s">
        <v>37585</v>
      </c>
      <c r="N11328" t="s">
        <v>40436</v>
      </c>
      <c r="O11328" t="s">
        <v>40437</v>
      </c>
      <c r="P11328">
        <v>0</v>
      </c>
      <c r="Q11328">
        <v>1</v>
      </c>
      <c r="R11328" t="s">
        <v>40452</v>
      </c>
      <c r="S11328" t="s">
        <v>41140</v>
      </c>
      <c r="T11328" t="s">
        <v>42129</v>
      </c>
      <c r="U11328" t="s">
        <v>43680</v>
      </c>
      <c r="W11328" t="s">
        <v>37585</v>
      </c>
      <c r="X11328" t="s">
        <v>40453</v>
      </c>
    </row>
    <row r="11329" spans="1:24">
      <c r="A11329">
        <f>HYPERLINK("https://www.philgeps.gov.ph/GEPSNONPILOT/Tender/SplashBidNoticeAbstractUI.aspx?menuIndex=3&amp;refID=7023195&amp;Result=3","7023195")</f>
        <v>0</v>
      </c>
      <c r="B11329" t="s">
        <v>2738</v>
      </c>
      <c r="C11329" t="s">
        <v>13912</v>
      </c>
      <c r="E11329" t="s">
        <v>26107</v>
      </c>
      <c r="F11329" t="s">
        <v>28198</v>
      </c>
      <c r="G11329" t="s">
        <v>28205</v>
      </c>
      <c r="H11329" t="s">
        <v>28214</v>
      </c>
      <c r="I11329" t="s">
        <v>3797</v>
      </c>
      <c r="J11329" t="s">
        <v>35331</v>
      </c>
      <c r="K11329" t="s">
        <v>36697</v>
      </c>
      <c r="M11329" t="s">
        <v>40152</v>
      </c>
      <c r="N11329" t="s">
        <v>40436</v>
      </c>
      <c r="O11329" t="s">
        <v>40437</v>
      </c>
      <c r="P11329">
        <v>0</v>
      </c>
      <c r="Q11329">
        <v>0</v>
      </c>
      <c r="R11329" t="s">
        <v>40452</v>
      </c>
      <c r="S11329" t="s">
        <v>41140</v>
      </c>
      <c r="T11329" t="s">
        <v>42133</v>
      </c>
      <c r="U11329" t="s">
        <v>51998</v>
      </c>
      <c r="V11329" t="s">
        <v>55082</v>
      </c>
      <c r="W11329" t="s">
        <v>40152</v>
      </c>
      <c r="X11329" t="s">
        <v>40453</v>
      </c>
    </row>
    <row r="11330" spans="1:24">
      <c r="A11330">
        <f>HYPERLINK("https://www.philgeps.gov.ph/GEPSNONPILOT/Tender/SplashBidNoticeAbstractUI.aspx?menuIndex=3&amp;refID=7023176&amp;Result=3","7023176")</f>
        <v>0</v>
      </c>
      <c r="B11330" t="s">
        <v>2888</v>
      </c>
      <c r="C11330" t="s">
        <v>13913</v>
      </c>
      <c r="D11330" t="s">
        <v>16196</v>
      </c>
      <c r="E11330" t="s">
        <v>26108</v>
      </c>
      <c r="F11330" t="s">
        <v>28198</v>
      </c>
      <c r="G11330" t="s">
        <v>28205</v>
      </c>
      <c r="H11330" t="s">
        <v>28214</v>
      </c>
      <c r="I11330" t="s">
        <v>3797</v>
      </c>
      <c r="J11330" t="s">
        <v>29409</v>
      </c>
      <c r="K11330" t="s">
        <v>36694</v>
      </c>
      <c r="M11330" t="s">
        <v>40153</v>
      </c>
      <c r="N11330" t="s">
        <v>40436</v>
      </c>
      <c r="O11330" t="s">
        <v>40437</v>
      </c>
      <c r="P11330">
        <v>0</v>
      </c>
      <c r="Q11330">
        <v>27</v>
      </c>
      <c r="R11330" t="s">
        <v>40452</v>
      </c>
      <c r="S11330" t="s">
        <v>41140</v>
      </c>
      <c r="T11330" t="s">
        <v>42158</v>
      </c>
      <c r="U11330" t="s">
        <v>51999</v>
      </c>
      <c r="V11330" t="s">
        <v>55083</v>
      </c>
      <c r="W11330" t="s">
        <v>40153</v>
      </c>
      <c r="X11330" t="s">
        <v>40453</v>
      </c>
    </row>
    <row r="11331" spans="1:24">
      <c r="A11331">
        <f>HYPERLINK("https://www.philgeps.gov.ph/GEPSNONPILOT/Tender/SplashBidNoticeAbstractUI.aspx?menuIndex=3&amp;refID=7023183&amp;Result=3","7023183")</f>
        <v>0</v>
      </c>
      <c r="B11331" t="s">
        <v>2886</v>
      </c>
      <c r="C11331" t="s">
        <v>13914</v>
      </c>
      <c r="E11331" t="s">
        <v>26109</v>
      </c>
      <c r="F11331" t="s">
        <v>28198</v>
      </c>
      <c r="G11331" t="s">
        <v>28205</v>
      </c>
      <c r="H11331" t="s">
        <v>28215</v>
      </c>
      <c r="I11331" t="s">
        <v>28219</v>
      </c>
      <c r="J11331" t="s">
        <v>35332</v>
      </c>
      <c r="K11331" t="s">
        <v>36689</v>
      </c>
      <c r="M11331" t="s">
        <v>40150</v>
      </c>
      <c r="N11331" t="s">
        <v>40436</v>
      </c>
      <c r="O11331" t="s">
        <v>40437</v>
      </c>
      <c r="Q11331">
        <v>6</v>
      </c>
      <c r="R11331" t="s">
        <v>40452</v>
      </c>
      <c r="S11331" t="s">
        <v>41185</v>
      </c>
      <c r="T11331" t="s">
        <v>42424</v>
      </c>
      <c r="U11331" t="s">
        <v>44576</v>
      </c>
      <c r="W11331" t="s">
        <v>40150</v>
      </c>
      <c r="X11331" t="s">
        <v>40453</v>
      </c>
    </row>
    <row r="11332" spans="1:24">
      <c r="A11332">
        <f>HYPERLINK("https://www.philgeps.gov.ph/GEPSNONPILOT/Tender/SplashBidNoticeAbstractUI.aspx?menuIndex=3&amp;refID=7023264&amp;Result=3","7023264")</f>
        <v>0</v>
      </c>
      <c r="B11332" t="s">
        <v>2823</v>
      </c>
      <c r="C11332" t="s">
        <v>13915</v>
      </c>
      <c r="D11332" t="s">
        <v>16252</v>
      </c>
      <c r="E11332" t="s">
        <v>26082</v>
      </c>
      <c r="F11332" t="s">
        <v>28198</v>
      </c>
      <c r="G11332" t="s">
        <v>28205</v>
      </c>
      <c r="H11332" t="s">
        <v>28215</v>
      </c>
      <c r="I11332" t="s">
        <v>6013</v>
      </c>
      <c r="J11332" t="s">
        <v>28918</v>
      </c>
      <c r="K11332" t="s">
        <v>36688</v>
      </c>
      <c r="M11332" t="s">
        <v>40075</v>
      </c>
      <c r="N11332" t="s">
        <v>40436</v>
      </c>
      <c r="O11332" t="s">
        <v>40437</v>
      </c>
      <c r="P11332">
        <v>0</v>
      </c>
      <c r="Q11332">
        <v>1</v>
      </c>
      <c r="R11332" t="s">
        <v>40452</v>
      </c>
      <c r="S11332" t="s">
        <v>41140</v>
      </c>
      <c r="T11332" t="s">
        <v>42292</v>
      </c>
      <c r="U11332" t="s">
        <v>51973</v>
      </c>
      <c r="W11332" t="s">
        <v>40075</v>
      </c>
      <c r="X11332" t="s">
        <v>40453</v>
      </c>
    </row>
    <row r="11333" spans="1:24">
      <c r="A11333">
        <f>HYPERLINK("https://www.philgeps.gov.ph/GEPSNONPILOT/Tender/SplashBidNoticeAbstractUI.aspx?menuIndex=3&amp;refID=7023252&amp;Result=3","7023252")</f>
        <v>0</v>
      </c>
      <c r="B11333" t="s">
        <v>1350</v>
      </c>
      <c r="C11333" t="s">
        <v>13916</v>
      </c>
      <c r="D11333" t="s">
        <v>16264</v>
      </c>
      <c r="E11333" t="s">
        <v>16516</v>
      </c>
      <c r="F11333" t="s">
        <v>28198</v>
      </c>
      <c r="G11333" t="s">
        <v>28205</v>
      </c>
      <c r="H11333" t="s">
        <v>28214</v>
      </c>
      <c r="I11333" t="s">
        <v>3797</v>
      </c>
      <c r="J11333" t="s">
        <v>28363</v>
      </c>
      <c r="K11333" t="s">
        <v>36697</v>
      </c>
      <c r="M11333" t="s">
        <v>38408</v>
      </c>
      <c r="N11333" t="s">
        <v>40436</v>
      </c>
      <c r="O11333" t="s">
        <v>40437</v>
      </c>
      <c r="P11333">
        <v>0</v>
      </c>
      <c r="Q11333">
        <v>1</v>
      </c>
      <c r="R11333" t="s">
        <v>40452</v>
      </c>
      <c r="S11333" t="s">
        <v>41140</v>
      </c>
      <c r="T11333" t="s">
        <v>42119</v>
      </c>
      <c r="U11333" t="s">
        <v>52000</v>
      </c>
      <c r="W11333" t="s">
        <v>38408</v>
      </c>
      <c r="X11333" t="s">
        <v>40453</v>
      </c>
    </row>
    <row r="11334" spans="1:24">
      <c r="A11334">
        <f>HYPERLINK("https://www.philgeps.gov.ph/GEPSNONPILOT/Tender/SplashBidNoticeAbstractUI.aspx?menuIndex=3&amp;refID=7023192&amp;Result=3","7023192")</f>
        <v>0</v>
      </c>
      <c r="B11334" t="s">
        <v>1264</v>
      </c>
      <c r="C11334" t="s">
        <v>13917</v>
      </c>
      <c r="D11334" t="s">
        <v>16209</v>
      </c>
      <c r="E11334" t="s">
        <v>26110</v>
      </c>
      <c r="F11334" t="s">
        <v>28198</v>
      </c>
      <c r="G11334" t="s">
        <v>28205</v>
      </c>
      <c r="H11334" t="s">
        <v>28214</v>
      </c>
      <c r="I11334" t="s">
        <v>3797</v>
      </c>
      <c r="J11334" t="s">
        <v>35333</v>
      </c>
      <c r="K11334" t="s">
        <v>36737</v>
      </c>
      <c r="M11334" t="s">
        <v>38314</v>
      </c>
      <c r="N11334" t="s">
        <v>40436</v>
      </c>
      <c r="O11334" t="s">
        <v>40437</v>
      </c>
      <c r="P11334">
        <v>0</v>
      </c>
      <c r="Q11334">
        <v>0</v>
      </c>
      <c r="R11334" t="s">
        <v>40452</v>
      </c>
      <c r="S11334" t="s">
        <v>41140</v>
      </c>
      <c r="T11334" t="s">
        <v>42128</v>
      </c>
      <c r="U11334" t="s">
        <v>52001</v>
      </c>
      <c r="W11334" t="s">
        <v>38314</v>
      </c>
      <c r="X11334" t="s">
        <v>40453</v>
      </c>
    </row>
    <row r="11335" spans="1:24">
      <c r="A11335">
        <f>HYPERLINK("https://www.philgeps.gov.ph/GEPSNONPILOT/Tender/SplashBidNoticeAbstractUI.aspx?menuIndex=3&amp;refID=7023265&amp;Result=3","7023265")</f>
        <v>0</v>
      </c>
      <c r="B11335" t="s">
        <v>121</v>
      </c>
      <c r="C11335" t="s">
        <v>13918</v>
      </c>
      <c r="D11335" t="s">
        <v>16207</v>
      </c>
      <c r="E11335" t="s">
        <v>26111</v>
      </c>
      <c r="F11335" t="s">
        <v>28198</v>
      </c>
      <c r="G11335" t="s">
        <v>28205</v>
      </c>
      <c r="H11335" t="s">
        <v>28214</v>
      </c>
      <c r="I11335" t="s">
        <v>3797</v>
      </c>
      <c r="J11335" t="s">
        <v>28699</v>
      </c>
      <c r="K11335" t="s">
        <v>36715</v>
      </c>
      <c r="M11335" t="s">
        <v>37095</v>
      </c>
      <c r="N11335" t="s">
        <v>40436</v>
      </c>
      <c r="O11335" t="s">
        <v>40437</v>
      </c>
      <c r="P11335">
        <v>0</v>
      </c>
      <c r="Q11335">
        <v>0</v>
      </c>
      <c r="R11335" t="s">
        <v>40452</v>
      </c>
      <c r="S11335" t="s">
        <v>41140</v>
      </c>
      <c r="T11335" t="s">
        <v>42188</v>
      </c>
      <c r="U11335" t="s">
        <v>52002</v>
      </c>
      <c r="W11335" t="s">
        <v>37095</v>
      </c>
      <c r="X11335" t="s">
        <v>40453</v>
      </c>
    </row>
    <row r="11336" spans="1:24">
      <c r="A11336">
        <f>HYPERLINK("https://www.philgeps.gov.ph/GEPSNONPILOT/Tender/SplashBidNoticeAbstractUI.aspx?menuIndex=3&amp;refID=7023217&amp;Result=3","7023217")</f>
        <v>0</v>
      </c>
      <c r="B11336" t="s">
        <v>773</v>
      </c>
      <c r="C11336" t="s">
        <v>13919</v>
      </c>
      <c r="D11336" t="s">
        <v>16219</v>
      </c>
      <c r="E11336" t="s">
        <v>26112</v>
      </c>
      <c r="F11336" t="s">
        <v>28198</v>
      </c>
      <c r="G11336" t="s">
        <v>28205</v>
      </c>
      <c r="H11336" t="s">
        <v>28215</v>
      </c>
      <c r="I11336" t="s">
        <v>28222</v>
      </c>
      <c r="J11336" t="s">
        <v>28629</v>
      </c>
      <c r="K11336" t="s">
        <v>36706</v>
      </c>
      <c r="M11336" t="s">
        <v>38111</v>
      </c>
      <c r="N11336" t="s">
        <v>40436</v>
      </c>
      <c r="O11336" t="s">
        <v>40437</v>
      </c>
      <c r="Q11336">
        <v>0</v>
      </c>
      <c r="R11336" t="s">
        <v>40452</v>
      </c>
      <c r="S11336" t="s">
        <v>41186</v>
      </c>
      <c r="T11336" t="s">
        <v>42133</v>
      </c>
      <c r="U11336" t="s">
        <v>52003</v>
      </c>
      <c r="W11336" t="s">
        <v>38111</v>
      </c>
      <c r="X11336" t="s">
        <v>40453</v>
      </c>
    </row>
    <row r="11337" spans="1:24">
      <c r="A11337">
        <f>HYPERLINK("https://www.philgeps.gov.ph/GEPSNONPILOT/Tender/SplashBidNoticeAbstractUI.aspx?menuIndex=3&amp;refID=7023209&amp;Result=3","7023209")</f>
        <v>0</v>
      </c>
      <c r="B11337" t="s">
        <v>2052</v>
      </c>
      <c r="C11337" t="s">
        <v>13920</v>
      </c>
      <c r="D11337" t="s">
        <v>16223</v>
      </c>
      <c r="E11337" t="s">
        <v>26113</v>
      </c>
      <c r="F11337" t="s">
        <v>28198</v>
      </c>
      <c r="G11337" t="s">
        <v>28205</v>
      </c>
      <c r="H11337" t="s">
        <v>28215</v>
      </c>
      <c r="I11337" t="s">
        <v>5100</v>
      </c>
      <c r="J11337" t="s">
        <v>35334</v>
      </c>
      <c r="K11337" t="s">
        <v>36701</v>
      </c>
      <c r="M11337" t="s">
        <v>39198</v>
      </c>
      <c r="N11337" t="s">
        <v>40436</v>
      </c>
      <c r="O11337" t="s">
        <v>40437</v>
      </c>
      <c r="P11337">
        <v>0</v>
      </c>
      <c r="Q11337">
        <v>0</v>
      </c>
      <c r="R11337" t="s">
        <v>40452</v>
      </c>
      <c r="S11337" t="s">
        <v>41140</v>
      </c>
      <c r="T11337" t="s">
        <v>42209</v>
      </c>
      <c r="U11337" t="s">
        <v>52004</v>
      </c>
      <c r="W11337" t="s">
        <v>39198</v>
      </c>
      <c r="X11337" t="s">
        <v>40453</v>
      </c>
    </row>
    <row r="11338" spans="1:24">
      <c r="A11338">
        <f>HYPERLINK("https://www.philgeps.gov.ph/GEPSNONPILOT/Tender/SplashBidNoticeAbstractUI.aspx?menuIndex=3&amp;refID=7023226&amp;Result=3","7023226")</f>
        <v>0</v>
      </c>
      <c r="B11338" t="s">
        <v>1350</v>
      </c>
      <c r="C11338" t="s">
        <v>13921</v>
      </c>
      <c r="D11338" t="s">
        <v>16264</v>
      </c>
      <c r="E11338" t="s">
        <v>16522</v>
      </c>
      <c r="F11338" t="s">
        <v>28198</v>
      </c>
      <c r="G11338" t="s">
        <v>28205</v>
      </c>
      <c r="H11338" t="s">
        <v>28214</v>
      </c>
      <c r="I11338" t="s">
        <v>3797</v>
      </c>
      <c r="J11338" t="s">
        <v>28351</v>
      </c>
      <c r="K11338" t="s">
        <v>36717</v>
      </c>
      <c r="M11338" t="s">
        <v>38408</v>
      </c>
      <c r="N11338" t="s">
        <v>40436</v>
      </c>
      <c r="O11338" t="s">
        <v>40437</v>
      </c>
      <c r="P11338">
        <v>0</v>
      </c>
      <c r="Q11338">
        <v>1</v>
      </c>
      <c r="R11338" t="s">
        <v>40452</v>
      </c>
      <c r="S11338" t="s">
        <v>41140</v>
      </c>
      <c r="T11338" t="s">
        <v>42119</v>
      </c>
      <c r="U11338" t="s">
        <v>52005</v>
      </c>
      <c r="W11338" t="s">
        <v>38408</v>
      </c>
      <c r="X11338" t="s">
        <v>40453</v>
      </c>
    </row>
    <row r="11339" spans="1:24">
      <c r="A11339">
        <f>HYPERLINK("https://www.philgeps.gov.ph/GEPSNONPILOT/Tender/SplashBidNoticeAbstractUI.aspx?menuIndex=3&amp;refID=7023260&amp;Result=3","7023260")</f>
        <v>0</v>
      </c>
      <c r="B11339" t="s">
        <v>1840</v>
      </c>
      <c r="C11339" t="s">
        <v>13922</v>
      </c>
      <c r="D11339" t="s">
        <v>16262</v>
      </c>
      <c r="E11339" t="s">
        <v>26114</v>
      </c>
      <c r="F11339" t="s">
        <v>28198</v>
      </c>
      <c r="G11339" t="s">
        <v>28205</v>
      </c>
      <c r="H11339" t="s">
        <v>28214</v>
      </c>
      <c r="I11339" t="s">
        <v>3797</v>
      </c>
      <c r="J11339" t="s">
        <v>35335</v>
      </c>
      <c r="K11339" t="s">
        <v>36710</v>
      </c>
      <c r="M11339" t="s">
        <v>38965</v>
      </c>
      <c r="N11339" t="s">
        <v>40436</v>
      </c>
      <c r="O11339" t="s">
        <v>40437</v>
      </c>
      <c r="Q11339">
        <v>3</v>
      </c>
      <c r="R11339" t="s">
        <v>40452</v>
      </c>
      <c r="S11339" t="s">
        <v>41187</v>
      </c>
      <c r="T11339" t="s">
        <v>42103</v>
      </c>
      <c r="U11339" t="s">
        <v>52006</v>
      </c>
      <c r="W11339" t="s">
        <v>38965</v>
      </c>
      <c r="X11339" t="s">
        <v>40453</v>
      </c>
    </row>
    <row r="11340" spans="1:24">
      <c r="A11340">
        <f>HYPERLINK("https://www.philgeps.gov.ph/GEPSNONPILOT/Tender/SplashBidNoticeAbstractUI.aspx?menuIndex=3&amp;refID=7023281&amp;Result=3","7023281")</f>
        <v>0</v>
      </c>
      <c r="B11340" t="s">
        <v>773</v>
      </c>
      <c r="C11340" t="s">
        <v>13923</v>
      </c>
      <c r="D11340" t="s">
        <v>16219</v>
      </c>
      <c r="E11340" t="s">
        <v>26115</v>
      </c>
      <c r="F11340" t="s">
        <v>28198</v>
      </c>
      <c r="G11340" t="s">
        <v>28205</v>
      </c>
      <c r="H11340" t="s">
        <v>28215</v>
      </c>
      <c r="I11340" t="s">
        <v>28280</v>
      </c>
      <c r="J11340" t="s">
        <v>28379</v>
      </c>
      <c r="K11340" t="s">
        <v>36689</v>
      </c>
      <c r="M11340" t="s">
        <v>37776</v>
      </c>
      <c r="N11340" t="s">
        <v>40436</v>
      </c>
      <c r="O11340" t="s">
        <v>40437</v>
      </c>
      <c r="Q11340">
        <v>6</v>
      </c>
      <c r="R11340" t="s">
        <v>40452</v>
      </c>
      <c r="S11340" t="s">
        <v>41188</v>
      </c>
      <c r="T11340" t="s">
        <v>42133</v>
      </c>
      <c r="U11340" t="s">
        <v>52007</v>
      </c>
      <c r="W11340" t="s">
        <v>37776</v>
      </c>
      <c r="X11340" t="s">
        <v>40453</v>
      </c>
    </row>
    <row r="11341" spans="1:24">
      <c r="A11341">
        <f>HYPERLINK("https://www.philgeps.gov.ph/GEPSNONPILOT/Tender/SplashBidNoticeAbstractUI.aspx?menuIndex=3&amp;refID=7023288&amp;Result=3","7023288")</f>
        <v>0</v>
      </c>
      <c r="B11341" t="s">
        <v>568</v>
      </c>
      <c r="C11341" t="s">
        <v>7467</v>
      </c>
      <c r="D11341" t="s">
        <v>16200</v>
      </c>
      <c r="E11341" t="s">
        <v>26116</v>
      </c>
      <c r="F11341" t="s">
        <v>28198</v>
      </c>
      <c r="G11341" t="s">
        <v>28205</v>
      </c>
      <c r="H11341" t="s">
        <v>28215</v>
      </c>
      <c r="I11341" t="s">
        <v>28238</v>
      </c>
      <c r="J11341" t="s">
        <v>28345</v>
      </c>
      <c r="K11341" t="s">
        <v>36707</v>
      </c>
      <c r="M11341" t="s">
        <v>37556</v>
      </c>
      <c r="N11341" t="s">
        <v>40436</v>
      </c>
      <c r="O11341" t="s">
        <v>40437</v>
      </c>
      <c r="P11341">
        <v>0</v>
      </c>
      <c r="Q11341">
        <v>3</v>
      </c>
      <c r="R11341" t="s">
        <v>40452</v>
      </c>
      <c r="S11341" t="s">
        <v>41140</v>
      </c>
      <c r="T11341" t="s">
        <v>42129</v>
      </c>
      <c r="U11341" t="s">
        <v>52008</v>
      </c>
      <c r="W11341" t="s">
        <v>37556</v>
      </c>
      <c r="X11341" t="s">
        <v>40453</v>
      </c>
    </row>
    <row r="11342" spans="1:24">
      <c r="A11342">
        <f>HYPERLINK("https://www.philgeps.gov.ph/GEPSNONPILOT/Tender/SplashBidNoticeAbstractUI.aspx?menuIndex=3&amp;refID=7023210&amp;Result=3","7023210")</f>
        <v>0</v>
      </c>
      <c r="B11342" t="s">
        <v>361</v>
      </c>
      <c r="C11342" t="s">
        <v>13924</v>
      </c>
      <c r="D11342" t="s">
        <v>16236</v>
      </c>
      <c r="E11342" t="s">
        <v>26117</v>
      </c>
      <c r="F11342" t="s">
        <v>28198</v>
      </c>
      <c r="G11342" t="s">
        <v>28205</v>
      </c>
      <c r="H11342" t="s">
        <v>28215</v>
      </c>
      <c r="I11342" t="s">
        <v>28270</v>
      </c>
      <c r="J11342" t="s">
        <v>35336</v>
      </c>
      <c r="K11342" t="s">
        <v>36707</v>
      </c>
      <c r="M11342" t="s">
        <v>37600</v>
      </c>
      <c r="N11342" t="s">
        <v>40436</v>
      </c>
      <c r="O11342" t="s">
        <v>40437</v>
      </c>
      <c r="P11342">
        <v>0</v>
      </c>
      <c r="Q11342">
        <v>1</v>
      </c>
      <c r="R11342" t="s">
        <v>40452</v>
      </c>
      <c r="S11342" t="s">
        <v>41140</v>
      </c>
      <c r="T11342" t="s">
        <v>42209</v>
      </c>
      <c r="U11342" t="s">
        <v>52009</v>
      </c>
      <c r="W11342" t="s">
        <v>37600</v>
      </c>
      <c r="X11342" t="s">
        <v>40453</v>
      </c>
    </row>
    <row r="11343" spans="1:24">
      <c r="A11343">
        <f>HYPERLINK("https://www.philgeps.gov.ph/GEPSNONPILOT/Tender/SplashBidNoticeAbstractUI.aspx?menuIndex=3&amp;refID=7023289&amp;Result=3","7023289")</f>
        <v>0</v>
      </c>
      <c r="B11343" t="s">
        <v>361</v>
      </c>
      <c r="C11343" t="s">
        <v>13925</v>
      </c>
      <c r="D11343" t="s">
        <v>16236</v>
      </c>
      <c r="E11343" t="s">
        <v>26118</v>
      </c>
      <c r="F11343" t="s">
        <v>28198</v>
      </c>
      <c r="G11343" t="s">
        <v>28205</v>
      </c>
      <c r="H11343" t="s">
        <v>28215</v>
      </c>
      <c r="I11343" t="s">
        <v>28243</v>
      </c>
      <c r="J11343" t="s">
        <v>35337</v>
      </c>
      <c r="K11343" t="s">
        <v>36707</v>
      </c>
      <c r="M11343" t="s">
        <v>37600</v>
      </c>
      <c r="N11343" t="s">
        <v>40436</v>
      </c>
      <c r="O11343" t="s">
        <v>40437</v>
      </c>
      <c r="P11343">
        <v>0</v>
      </c>
      <c r="Q11343">
        <v>1</v>
      </c>
      <c r="R11343" t="s">
        <v>40452</v>
      </c>
      <c r="S11343" t="s">
        <v>41140</v>
      </c>
      <c r="T11343" t="s">
        <v>42209</v>
      </c>
      <c r="U11343" t="s">
        <v>52010</v>
      </c>
      <c r="W11343" t="s">
        <v>37600</v>
      </c>
      <c r="X11343" t="s">
        <v>40453</v>
      </c>
    </row>
    <row r="11344" spans="1:24">
      <c r="A11344">
        <f>HYPERLINK("https://www.philgeps.gov.ph/GEPSNONPILOT/Tender/SplashBidNoticeAbstractUI.aspx?menuIndex=3&amp;refID=7023285&amp;Result=3","7023285")</f>
        <v>0</v>
      </c>
      <c r="B11344" t="s">
        <v>575</v>
      </c>
      <c r="C11344" t="s">
        <v>13926</v>
      </c>
      <c r="D11344" t="s">
        <v>16223</v>
      </c>
      <c r="E11344" t="s">
        <v>26119</v>
      </c>
      <c r="F11344" t="s">
        <v>28198</v>
      </c>
      <c r="G11344" t="s">
        <v>28205</v>
      </c>
      <c r="H11344" t="s">
        <v>28215</v>
      </c>
      <c r="I11344" t="s">
        <v>28231</v>
      </c>
      <c r="J11344" t="s">
        <v>35338</v>
      </c>
      <c r="K11344" t="s">
        <v>36689</v>
      </c>
      <c r="M11344" t="s">
        <v>37563</v>
      </c>
      <c r="N11344" t="s">
        <v>40436</v>
      </c>
      <c r="O11344" t="s">
        <v>40437</v>
      </c>
      <c r="Q11344">
        <v>3</v>
      </c>
      <c r="R11344" t="s">
        <v>40452</v>
      </c>
      <c r="S11344" t="s">
        <v>41189</v>
      </c>
      <c r="T11344" t="s">
        <v>42128</v>
      </c>
      <c r="U11344" t="s">
        <v>52011</v>
      </c>
      <c r="W11344" t="s">
        <v>37563</v>
      </c>
      <c r="X11344" t="s">
        <v>40453</v>
      </c>
    </row>
    <row r="11345" spans="1:24">
      <c r="A11345">
        <f>HYPERLINK("https://www.philgeps.gov.ph/GEPSNONPILOT/Tender/SplashBidNoticeAbstractUI.aspx?menuIndex=3&amp;refID=7023200&amp;Result=3","7023200")</f>
        <v>0</v>
      </c>
      <c r="B11345" t="s">
        <v>2619</v>
      </c>
      <c r="C11345" t="s">
        <v>13927</v>
      </c>
      <c r="D11345" t="s">
        <v>16210</v>
      </c>
      <c r="E11345" t="s">
        <v>26120</v>
      </c>
      <c r="F11345" t="s">
        <v>28198</v>
      </c>
      <c r="G11345" t="s">
        <v>28205</v>
      </c>
      <c r="H11345" t="s">
        <v>28215</v>
      </c>
      <c r="I11345" t="s">
        <v>28225</v>
      </c>
      <c r="J11345" t="s">
        <v>35339</v>
      </c>
      <c r="K11345" t="s">
        <v>36689</v>
      </c>
      <c r="M11345" t="s">
        <v>39839</v>
      </c>
      <c r="N11345" t="s">
        <v>40436</v>
      </c>
      <c r="O11345" t="s">
        <v>40437</v>
      </c>
      <c r="P11345">
        <v>0</v>
      </c>
      <c r="Q11345">
        <v>8</v>
      </c>
      <c r="R11345" t="s">
        <v>40452</v>
      </c>
      <c r="S11345" t="s">
        <v>41140</v>
      </c>
      <c r="T11345" t="s">
        <v>42203</v>
      </c>
      <c r="U11345" t="s">
        <v>52012</v>
      </c>
      <c r="W11345" t="s">
        <v>39839</v>
      </c>
      <c r="X11345" t="s">
        <v>40453</v>
      </c>
    </row>
    <row r="11346" spans="1:24">
      <c r="A11346">
        <f>HYPERLINK("https://www.philgeps.gov.ph/GEPSNONPILOT/Tender/SplashBidNoticeAbstractUI.aspx?menuIndex=3&amp;refID=7023284&amp;Result=3","7023284")</f>
        <v>0</v>
      </c>
      <c r="B11346" t="s">
        <v>1350</v>
      </c>
      <c r="C11346" t="s">
        <v>13928</v>
      </c>
      <c r="D11346" t="s">
        <v>16264</v>
      </c>
      <c r="E11346" t="s">
        <v>16524</v>
      </c>
      <c r="F11346" t="s">
        <v>28198</v>
      </c>
      <c r="G11346" t="s">
        <v>28205</v>
      </c>
      <c r="H11346" t="s">
        <v>28214</v>
      </c>
      <c r="I11346" t="s">
        <v>3797</v>
      </c>
      <c r="J11346" t="s">
        <v>28379</v>
      </c>
      <c r="K11346" t="s">
        <v>36692</v>
      </c>
      <c r="M11346" t="s">
        <v>38408</v>
      </c>
      <c r="N11346" t="s">
        <v>40436</v>
      </c>
      <c r="O11346" t="s">
        <v>40437</v>
      </c>
      <c r="P11346">
        <v>0</v>
      </c>
      <c r="Q11346">
        <v>2</v>
      </c>
      <c r="R11346" t="s">
        <v>40452</v>
      </c>
      <c r="S11346" t="s">
        <v>41140</v>
      </c>
      <c r="T11346" t="s">
        <v>42119</v>
      </c>
      <c r="U11346" t="s">
        <v>52013</v>
      </c>
      <c r="W11346" t="s">
        <v>38408</v>
      </c>
      <c r="X11346" t="s">
        <v>40453</v>
      </c>
    </row>
    <row r="11347" spans="1:24">
      <c r="A11347">
        <f>HYPERLINK("https://www.philgeps.gov.ph/GEPSNONPILOT/Tender/SplashBidNoticeAbstractUI.aspx?menuIndex=3&amp;refID=7023191&amp;Result=3","7023191")</f>
        <v>0</v>
      </c>
      <c r="B11347" t="s">
        <v>773</v>
      </c>
      <c r="C11347" t="s">
        <v>13929</v>
      </c>
      <c r="D11347" t="s">
        <v>16219</v>
      </c>
      <c r="E11347" t="s">
        <v>26121</v>
      </c>
      <c r="F11347" t="s">
        <v>28198</v>
      </c>
      <c r="G11347" t="s">
        <v>28205</v>
      </c>
      <c r="H11347" t="s">
        <v>28215</v>
      </c>
      <c r="I11347" t="s">
        <v>28222</v>
      </c>
      <c r="J11347" t="s">
        <v>28576</v>
      </c>
      <c r="K11347" t="s">
        <v>36706</v>
      </c>
      <c r="M11347" t="s">
        <v>38111</v>
      </c>
      <c r="N11347" t="s">
        <v>40436</v>
      </c>
      <c r="O11347" t="s">
        <v>40437</v>
      </c>
      <c r="Q11347">
        <v>0</v>
      </c>
      <c r="R11347" t="s">
        <v>40452</v>
      </c>
      <c r="S11347" t="s">
        <v>41190</v>
      </c>
      <c r="T11347" t="s">
        <v>42133</v>
      </c>
      <c r="U11347" t="s">
        <v>52014</v>
      </c>
      <c r="W11347" t="s">
        <v>38111</v>
      </c>
      <c r="X11347" t="s">
        <v>40453</v>
      </c>
    </row>
    <row r="11348" spans="1:24">
      <c r="A11348">
        <f>HYPERLINK("https://www.philgeps.gov.ph/GEPSNONPILOT/Tender/SplashBidNoticeAbstractUI.aspx?menuIndex=3&amp;refID=7023336&amp;Result=3","7023336")</f>
        <v>0</v>
      </c>
      <c r="B11348" t="s">
        <v>2889</v>
      </c>
      <c r="C11348" t="s">
        <v>13930</v>
      </c>
      <c r="D11348" t="s">
        <v>16189</v>
      </c>
      <c r="E11348" t="s">
        <v>26122</v>
      </c>
      <c r="F11348" t="s">
        <v>28198</v>
      </c>
      <c r="G11348" t="s">
        <v>28205</v>
      </c>
      <c r="H11348" t="s">
        <v>28214</v>
      </c>
      <c r="I11348" t="s">
        <v>3797</v>
      </c>
      <c r="J11348" t="s">
        <v>28730</v>
      </c>
      <c r="K11348" t="s">
        <v>36919</v>
      </c>
      <c r="M11348" t="s">
        <v>40154</v>
      </c>
      <c r="N11348" t="s">
        <v>40436</v>
      </c>
      <c r="O11348" t="s">
        <v>40437</v>
      </c>
      <c r="P11348">
        <v>0</v>
      </c>
      <c r="Q11348">
        <v>0</v>
      </c>
      <c r="R11348" t="s">
        <v>40452</v>
      </c>
      <c r="S11348" t="s">
        <v>41140</v>
      </c>
      <c r="T11348" t="s">
        <v>42191</v>
      </c>
      <c r="U11348" t="s">
        <v>52015</v>
      </c>
      <c r="W11348" t="s">
        <v>40154</v>
      </c>
      <c r="X11348" t="s">
        <v>40453</v>
      </c>
    </row>
    <row r="11349" spans="1:24">
      <c r="A11349">
        <f>HYPERLINK("https://www.philgeps.gov.ph/GEPSNONPILOT/Tender/SplashBidNoticeAbstractUI.aspx?menuIndex=3&amp;refID=7023346&amp;Result=3","7023346")</f>
        <v>0</v>
      </c>
      <c r="B11349" t="s">
        <v>1348</v>
      </c>
      <c r="C11349" t="s">
        <v>13931</v>
      </c>
      <c r="D11349" t="s">
        <v>16217</v>
      </c>
      <c r="E11349" t="s">
        <v>26123</v>
      </c>
      <c r="F11349" t="s">
        <v>28198</v>
      </c>
      <c r="G11349" t="s">
        <v>28205</v>
      </c>
      <c r="H11349" t="s">
        <v>28214</v>
      </c>
      <c r="I11349" t="s">
        <v>5100</v>
      </c>
      <c r="J11349" t="s">
        <v>35340</v>
      </c>
      <c r="K11349" t="s">
        <v>36952</v>
      </c>
      <c r="M11349" t="s">
        <v>38406</v>
      </c>
      <c r="N11349" t="s">
        <v>40436</v>
      </c>
      <c r="O11349" t="s">
        <v>40437</v>
      </c>
      <c r="P11349">
        <v>0</v>
      </c>
      <c r="Q11349">
        <v>4</v>
      </c>
      <c r="R11349" t="s">
        <v>40452</v>
      </c>
      <c r="S11349" t="s">
        <v>41140</v>
      </c>
      <c r="T11349" t="s">
        <v>42145</v>
      </c>
      <c r="U11349" t="s">
        <v>52016</v>
      </c>
      <c r="W11349" t="s">
        <v>38406</v>
      </c>
      <c r="X11349" t="s">
        <v>40453</v>
      </c>
    </row>
    <row r="11350" spans="1:24">
      <c r="A11350">
        <f>HYPERLINK("https://www.philgeps.gov.ph/GEPSNONPILOT/Tender/SplashBidNoticeAbstractUI.aspx?menuIndex=3&amp;refID=7023368&amp;Result=3","7023368")</f>
        <v>0</v>
      </c>
      <c r="B11350" t="s">
        <v>2619</v>
      </c>
      <c r="C11350" t="s">
        <v>13932</v>
      </c>
      <c r="D11350" t="s">
        <v>16210</v>
      </c>
      <c r="E11350" t="s">
        <v>26124</v>
      </c>
      <c r="F11350" t="s">
        <v>28198</v>
      </c>
      <c r="G11350" t="s">
        <v>28205</v>
      </c>
      <c r="H11350" t="s">
        <v>28215</v>
      </c>
      <c r="I11350" t="s">
        <v>28222</v>
      </c>
      <c r="J11350" t="s">
        <v>32169</v>
      </c>
      <c r="K11350" t="s">
        <v>36689</v>
      </c>
      <c r="M11350" t="s">
        <v>39839</v>
      </c>
      <c r="N11350" t="s">
        <v>40436</v>
      </c>
      <c r="O11350" t="s">
        <v>40437</v>
      </c>
      <c r="P11350">
        <v>0</v>
      </c>
      <c r="Q11350">
        <v>11</v>
      </c>
      <c r="R11350" t="s">
        <v>40452</v>
      </c>
      <c r="S11350" t="s">
        <v>41140</v>
      </c>
      <c r="T11350" t="s">
        <v>42203</v>
      </c>
      <c r="U11350" t="s">
        <v>52017</v>
      </c>
      <c r="W11350" t="s">
        <v>39839</v>
      </c>
      <c r="X11350" t="s">
        <v>40453</v>
      </c>
    </row>
    <row r="11351" spans="1:24">
      <c r="A11351">
        <f>HYPERLINK("https://www.philgeps.gov.ph/GEPSNONPILOT/Tender/SplashBidNoticeAbstractUI.aspx?menuIndex=3&amp;refID=7023180&amp;Result=3","7023180")</f>
        <v>0</v>
      </c>
      <c r="B11351" t="s">
        <v>1280</v>
      </c>
      <c r="C11351" t="s">
        <v>13933</v>
      </c>
      <c r="D11351" t="s">
        <v>16232</v>
      </c>
      <c r="E11351" t="s">
        <v>26125</v>
      </c>
      <c r="F11351" t="s">
        <v>28198</v>
      </c>
      <c r="G11351" t="s">
        <v>28205</v>
      </c>
      <c r="H11351" t="s">
        <v>28215</v>
      </c>
      <c r="I11351" t="s">
        <v>28222</v>
      </c>
      <c r="J11351" t="s">
        <v>28379</v>
      </c>
      <c r="K11351" t="s">
        <v>36706</v>
      </c>
      <c r="M11351" t="s">
        <v>38332</v>
      </c>
      <c r="N11351" t="s">
        <v>40436</v>
      </c>
      <c r="O11351" t="s">
        <v>40437</v>
      </c>
      <c r="Q11351">
        <v>5</v>
      </c>
      <c r="R11351" t="s">
        <v>40452</v>
      </c>
      <c r="S11351" t="s">
        <v>41191</v>
      </c>
      <c r="T11351" t="s">
        <v>42163</v>
      </c>
      <c r="U11351" t="s">
        <v>52018</v>
      </c>
      <c r="W11351" t="s">
        <v>38332</v>
      </c>
      <c r="X11351" t="s">
        <v>40453</v>
      </c>
    </row>
    <row r="11352" spans="1:24">
      <c r="A11352">
        <f>HYPERLINK("https://www.philgeps.gov.ph/GEPSNONPILOT/Tender/SplashBidNoticeAbstractUI.aspx?menuIndex=3&amp;refID=7023365&amp;Result=3","7023365")</f>
        <v>0</v>
      </c>
      <c r="B11352" t="s">
        <v>895</v>
      </c>
      <c r="C11352" t="s">
        <v>13934</v>
      </c>
      <c r="D11352" t="s">
        <v>16218</v>
      </c>
      <c r="E11352" t="s">
        <v>26126</v>
      </c>
      <c r="F11352" t="s">
        <v>28198</v>
      </c>
      <c r="G11352" t="s">
        <v>28205</v>
      </c>
      <c r="H11352" t="s">
        <v>28215</v>
      </c>
      <c r="I11352" t="s">
        <v>28222</v>
      </c>
      <c r="J11352" t="s">
        <v>28730</v>
      </c>
      <c r="K11352" t="s">
        <v>36694</v>
      </c>
      <c r="M11352" t="s">
        <v>37911</v>
      </c>
      <c r="N11352" t="s">
        <v>40436</v>
      </c>
      <c r="O11352" t="s">
        <v>40437</v>
      </c>
      <c r="P11352">
        <v>0</v>
      </c>
      <c r="Q11352">
        <v>9</v>
      </c>
      <c r="R11352" t="s">
        <v>40452</v>
      </c>
      <c r="S11352" t="s">
        <v>41140</v>
      </c>
      <c r="T11352" t="s">
        <v>42132</v>
      </c>
      <c r="U11352" t="s">
        <v>52019</v>
      </c>
      <c r="W11352" t="s">
        <v>37911</v>
      </c>
      <c r="X11352" t="s">
        <v>40453</v>
      </c>
    </row>
    <row r="11353" spans="1:24">
      <c r="A11353">
        <f>HYPERLINK("https://www.philgeps.gov.ph/GEPSNONPILOT/Tender/SplashBidNoticeAbstractUI.aspx?menuIndex=3&amp;refID=7023329&amp;Result=3","7023329")</f>
        <v>0</v>
      </c>
      <c r="B11353" t="s">
        <v>785</v>
      </c>
      <c r="C11353" t="s">
        <v>13935</v>
      </c>
      <c r="E11353" t="s">
        <v>26127</v>
      </c>
      <c r="F11353" t="s">
        <v>28198</v>
      </c>
      <c r="G11353" t="s">
        <v>28205</v>
      </c>
      <c r="H11353" t="s">
        <v>28217</v>
      </c>
      <c r="I11353" t="s">
        <v>6786</v>
      </c>
      <c r="J11353" t="s">
        <v>35341</v>
      </c>
      <c r="K11353" t="s">
        <v>36953</v>
      </c>
      <c r="M11353" t="s">
        <v>37819</v>
      </c>
      <c r="N11353" t="s">
        <v>40436</v>
      </c>
      <c r="O11353" t="s">
        <v>40437</v>
      </c>
      <c r="P11353">
        <v>0</v>
      </c>
      <c r="Q11353">
        <v>7</v>
      </c>
      <c r="R11353" t="s">
        <v>40452</v>
      </c>
      <c r="S11353" t="s">
        <v>41140</v>
      </c>
      <c r="T11353" t="s">
        <v>42134</v>
      </c>
      <c r="U11353" t="s">
        <v>52020</v>
      </c>
      <c r="W11353" t="s">
        <v>37819</v>
      </c>
      <c r="X11353" t="s">
        <v>40453</v>
      </c>
    </row>
    <row r="11354" spans="1:24">
      <c r="A11354">
        <f>HYPERLINK("https://www.philgeps.gov.ph/GEPSNONPILOT/Tender/SplashBidNoticeAbstractUI.aspx?menuIndex=3&amp;refID=7023319&amp;Result=3","7023319")</f>
        <v>0</v>
      </c>
      <c r="B11354" t="s">
        <v>719</v>
      </c>
      <c r="C11354" t="s">
        <v>13936</v>
      </c>
      <c r="D11354" t="s">
        <v>16201</v>
      </c>
      <c r="E11354" t="s">
        <v>26128</v>
      </c>
      <c r="F11354" t="s">
        <v>28198</v>
      </c>
      <c r="G11354" t="s">
        <v>28205</v>
      </c>
      <c r="H11354" t="s">
        <v>28214</v>
      </c>
      <c r="I11354" t="s">
        <v>3797</v>
      </c>
      <c r="J11354" t="s">
        <v>35342</v>
      </c>
      <c r="K11354" t="s">
        <v>36887</v>
      </c>
      <c r="M11354" t="s">
        <v>39662</v>
      </c>
      <c r="N11354" t="s">
        <v>40436</v>
      </c>
      <c r="O11354" t="s">
        <v>40437</v>
      </c>
      <c r="P11354">
        <v>0</v>
      </c>
      <c r="Q11354">
        <v>5</v>
      </c>
      <c r="R11354" t="s">
        <v>40452</v>
      </c>
      <c r="S11354" t="s">
        <v>41140</v>
      </c>
      <c r="T11354" t="s">
        <v>42112</v>
      </c>
      <c r="U11354" t="s">
        <v>43956</v>
      </c>
      <c r="W11354" t="s">
        <v>39662</v>
      </c>
      <c r="X11354" t="s">
        <v>40453</v>
      </c>
    </row>
    <row r="11355" spans="1:24">
      <c r="A11355">
        <f>HYPERLINK("https://www.philgeps.gov.ph/GEPSNONPILOT/Tender/SplashBidNoticeAbstractUI.aspx?menuIndex=3&amp;refID=7023313&amp;Result=3","7023313")</f>
        <v>0</v>
      </c>
      <c r="B11355" t="s">
        <v>2294</v>
      </c>
      <c r="C11355" t="s">
        <v>13937</v>
      </c>
      <c r="D11355" t="s">
        <v>16262</v>
      </c>
      <c r="E11355" t="s">
        <v>26129</v>
      </c>
      <c r="F11355" t="s">
        <v>28198</v>
      </c>
      <c r="G11355" t="s">
        <v>28205</v>
      </c>
      <c r="H11355" t="s">
        <v>28214</v>
      </c>
      <c r="I11355" t="s">
        <v>3797</v>
      </c>
      <c r="J11355" t="s">
        <v>35343</v>
      </c>
      <c r="K11355" t="s">
        <v>36701</v>
      </c>
      <c r="M11355" t="s">
        <v>39469</v>
      </c>
      <c r="N11355" t="s">
        <v>40436</v>
      </c>
      <c r="O11355" t="s">
        <v>40437</v>
      </c>
      <c r="Q11355">
        <v>0</v>
      </c>
      <c r="R11355" t="s">
        <v>40452</v>
      </c>
      <c r="S11355" t="s">
        <v>41192</v>
      </c>
      <c r="T11355" t="s">
        <v>42133</v>
      </c>
      <c r="U11355" t="s">
        <v>52021</v>
      </c>
      <c r="V11355" t="s">
        <v>54563</v>
      </c>
      <c r="W11355" t="s">
        <v>39469</v>
      </c>
      <c r="X11355" t="s">
        <v>40453</v>
      </c>
    </row>
    <row r="11356" spans="1:24">
      <c r="A11356">
        <f>HYPERLINK("https://www.philgeps.gov.ph/GEPSNONPILOT/Tender/SplashBidNoticeAbstractUI.aspx?menuIndex=3&amp;refID=7023387&amp;Result=3","7023387")</f>
        <v>0</v>
      </c>
      <c r="B11356" t="s">
        <v>2294</v>
      </c>
      <c r="C11356" t="s">
        <v>13938</v>
      </c>
      <c r="D11356" t="s">
        <v>16262</v>
      </c>
      <c r="E11356" t="s">
        <v>26130</v>
      </c>
      <c r="F11356" t="s">
        <v>28198</v>
      </c>
      <c r="G11356" t="s">
        <v>28205</v>
      </c>
      <c r="H11356" t="s">
        <v>28215</v>
      </c>
      <c r="I11356" t="s">
        <v>3797</v>
      </c>
      <c r="J11356" t="s">
        <v>35344</v>
      </c>
      <c r="K11356" t="s">
        <v>36694</v>
      </c>
      <c r="M11356" t="s">
        <v>39469</v>
      </c>
      <c r="N11356" t="s">
        <v>40436</v>
      </c>
      <c r="O11356" t="s">
        <v>40437</v>
      </c>
      <c r="Q11356">
        <v>0</v>
      </c>
      <c r="R11356" t="s">
        <v>40452</v>
      </c>
      <c r="S11356" t="s">
        <v>40711</v>
      </c>
      <c r="T11356" t="s">
        <v>42133</v>
      </c>
      <c r="U11356" t="s">
        <v>52022</v>
      </c>
      <c r="V11356" t="s">
        <v>54563</v>
      </c>
      <c r="W11356" t="s">
        <v>39469</v>
      </c>
      <c r="X11356" t="s">
        <v>40453</v>
      </c>
    </row>
    <row r="11357" spans="1:24">
      <c r="A11357">
        <f>HYPERLINK("https://www.philgeps.gov.ph/GEPSNONPILOT/Tender/SplashBidNoticeAbstractUI.aspx?menuIndex=3&amp;refID=7023292&amp;Result=3","7023292")</f>
        <v>0</v>
      </c>
      <c r="B11357" t="s">
        <v>2823</v>
      </c>
      <c r="C11357" t="s">
        <v>13939</v>
      </c>
      <c r="D11357" t="s">
        <v>16252</v>
      </c>
      <c r="E11357" t="s">
        <v>26082</v>
      </c>
      <c r="F11357" t="s">
        <v>28198</v>
      </c>
      <c r="G11357" t="s">
        <v>28205</v>
      </c>
      <c r="H11357" t="s">
        <v>28214</v>
      </c>
      <c r="I11357" t="s">
        <v>3797</v>
      </c>
      <c r="J11357" t="s">
        <v>28559</v>
      </c>
      <c r="K11357" t="s">
        <v>36688</v>
      </c>
      <c r="M11357" t="s">
        <v>40075</v>
      </c>
      <c r="N11357" t="s">
        <v>40436</v>
      </c>
      <c r="O11357" t="s">
        <v>40437</v>
      </c>
      <c r="P11357">
        <v>0</v>
      </c>
      <c r="Q11357">
        <v>1</v>
      </c>
      <c r="R11357" t="s">
        <v>40452</v>
      </c>
      <c r="S11357" t="s">
        <v>41140</v>
      </c>
      <c r="T11357" t="s">
        <v>42292</v>
      </c>
      <c r="U11357" t="s">
        <v>51973</v>
      </c>
      <c r="W11357" t="s">
        <v>40075</v>
      </c>
      <c r="X11357" t="s">
        <v>40453</v>
      </c>
    </row>
    <row r="11358" spans="1:24">
      <c r="A11358">
        <f>HYPERLINK("https://www.philgeps.gov.ph/GEPSNONPILOT/Tender/SplashBidNoticeAbstractUI.aspx?menuIndex=3&amp;refID=7023391&amp;Result=3","7023391")</f>
        <v>0</v>
      </c>
      <c r="B11358" t="s">
        <v>361</v>
      </c>
      <c r="C11358" t="s">
        <v>13940</v>
      </c>
      <c r="D11358" t="s">
        <v>16236</v>
      </c>
      <c r="E11358" t="s">
        <v>26131</v>
      </c>
      <c r="F11358" t="s">
        <v>28198</v>
      </c>
      <c r="G11358" t="s">
        <v>28205</v>
      </c>
      <c r="H11358" t="s">
        <v>28215</v>
      </c>
      <c r="I11358" t="s">
        <v>28222</v>
      </c>
      <c r="J11358" t="s">
        <v>28589</v>
      </c>
      <c r="K11358" t="s">
        <v>36707</v>
      </c>
      <c r="M11358" t="s">
        <v>37600</v>
      </c>
      <c r="N11358" t="s">
        <v>40436</v>
      </c>
      <c r="O11358" t="s">
        <v>40437</v>
      </c>
      <c r="P11358">
        <v>0</v>
      </c>
      <c r="Q11358">
        <v>0</v>
      </c>
      <c r="R11358" t="s">
        <v>40452</v>
      </c>
      <c r="S11358" t="s">
        <v>41140</v>
      </c>
      <c r="T11358" t="s">
        <v>42209</v>
      </c>
      <c r="U11358" t="s">
        <v>52023</v>
      </c>
      <c r="W11358" t="s">
        <v>37600</v>
      </c>
      <c r="X11358" t="s">
        <v>40453</v>
      </c>
    </row>
    <row r="11359" spans="1:24">
      <c r="A11359">
        <f>HYPERLINK("https://www.philgeps.gov.ph/GEPSNONPILOT/Tender/SplashBidNoticeAbstractUI.aspx?menuIndex=3&amp;refID=7023398&amp;Result=3","7023398")</f>
        <v>0</v>
      </c>
      <c r="B11359" t="s">
        <v>575</v>
      </c>
      <c r="C11359" t="s">
        <v>13941</v>
      </c>
      <c r="D11359" t="s">
        <v>16223</v>
      </c>
      <c r="E11359" t="s">
        <v>26132</v>
      </c>
      <c r="F11359" t="s">
        <v>28198</v>
      </c>
      <c r="G11359" t="s">
        <v>28205</v>
      </c>
      <c r="H11359" t="s">
        <v>28215</v>
      </c>
      <c r="I11359" t="s">
        <v>28228</v>
      </c>
      <c r="J11359" t="s">
        <v>28351</v>
      </c>
      <c r="K11359" t="s">
        <v>36689</v>
      </c>
      <c r="M11359" t="s">
        <v>37563</v>
      </c>
      <c r="N11359" t="s">
        <v>40436</v>
      </c>
      <c r="O11359" t="s">
        <v>40437</v>
      </c>
      <c r="P11359">
        <v>0</v>
      </c>
      <c r="Q11359">
        <v>0</v>
      </c>
      <c r="R11359" t="s">
        <v>40452</v>
      </c>
      <c r="S11359" t="s">
        <v>41140</v>
      </c>
      <c r="T11359" t="s">
        <v>42128</v>
      </c>
      <c r="U11359" t="s">
        <v>52024</v>
      </c>
      <c r="W11359" t="s">
        <v>37563</v>
      </c>
      <c r="X11359" t="s">
        <v>40453</v>
      </c>
    </row>
    <row r="11360" spans="1:24">
      <c r="A11360">
        <f>HYPERLINK("https://www.philgeps.gov.ph/GEPSNONPILOT/Tender/SplashBidNoticeAbstractUI.aspx?menuIndex=3&amp;refID=7023293&amp;Result=3","7023293")</f>
        <v>0</v>
      </c>
      <c r="B11360" t="s">
        <v>2815</v>
      </c>
      <c r="C11360" t="s">
        <v>13942</v>
      </c>
      <c r="D11360" t="s">
        <v>16192</v>
      </c>
      <c r="E11360" t="s">
        <v>26133</v>
      </c>
      <c r="F11360" t="s">
        <v>28198</v>
      </c>
      <c r="G11360" t="s">
        <v>28205</v>
      </c>
      <c r="H11360" t="s">
        <v>28215</v>
      </c>
      <c r="I11360" t="s">
        <v>28222</v>
      </c>
      <c r="J11360" t="s">
        <v>28347</v>
      </c>
      <c r="K11360" t="s">
        <v>36707</v>
      </c>
      <c r="M11360" t="s">
        <v>40066</v>
      </c>
      <c r="N11360" t="s">
        <v>40436</v>
      </c>
      <c r="O11360" t="s">
        <v>40437</v>
      </c>
      <c r="P11360">
        <v>0</v>
      </c>
      <c r="Q11360">
        <v>12</v>
      </c>
      <c r="R11360" t="s">
        <v>40452</v>
      </c>
      <c r="S11360" t="s">
        <v>41140</v>
      </c>
      <c r="T11360" t="s">
        <v>42176</v>
      </c>
      <c r="U11360" t="s">
        <v>52025</v>
      </c>
      <c r="W11360" t="s">
        <v>40066</v>
      </c>
      <c r="X11360" t="s">
        <v>40453</v>
      </c>
    </row>
    <row r="11361" spans="1:24">
      <c r="A11361">
        <f>HYPERLINK("https://www.philgeps.gov.ph/GEPSNONPILOT/Tender/SplashBidNoticeAbstractUI.aspx?menuIndex=3&amp;refID=7023451&amp;Result=3","7023451")</f>
        <v>0</v>
      </c>
      <c r="B11361" t="s">
        <v>1873</v>
      </c>
      <c r="C11361" t="s">
        <v>13943</v>
      </c>
      <c r="D11361" t="s">
        <v>16194</v>
      </c>
      <c r="E11361" t="s">
        <v>26134</v>
      </c>
      <c r="F11361" t="s">
        <v>28198</v>
      </c>
      <c r="G11361" t="s">
        <v>28205</v>
      </c>
      <c r="H11361" t="s">
        <v>28215</v>
      </c>
      <c r="I11361" t="s">
        <v>28238</v>
      </c>
      <c r="J11361" t="s">
        <v>35345</v>
      </c>
      <c r="K11361" t="s">
        <v>36715</v>
      </c>
      <c r="M11361" t="s">
        <v>40155</v>
      </c>
      <c r="N11361" t="s">
        <v>40436</v>
      </c>
      <c r="O11361" t="s">
        <v>40437</v>
      </c>
      <c r="Q11361">
        <v>4</v>
      </c>
      <c r="R11361" t="s">
        <v>40452</v>
      </c>
      <c r="S11361" t="s">
        <v>41193</v>
      </c>
      <c r="T11361" t="s">
        <v>42176</v>
      </c>
      <c r="U11361" t="s">
        <v>52026</v>
      </c>
      <c r="V11361" t="s">
        <v>55084</v>
      </c>
      <c r="W11361" t="s">
        <v>40155</v>
      </c>
      <c r="X11361" t="s">
        <v>40453</v>
      </c>
    </row>
    <row r="11362" spans="1:24">
      <c r="A11362">
        <f>HYPERLINK("https://www.philgeps.gov.ph/GEPSNONPILOT/Tender/SplashBidNoticeAbstractUI.aspx?menuIndex=3&amp;refID=7023433&amp;Result=3","7023433")</f>
        <v>0</v>
      </c>
      <c r="B11362" t="s">
        <v>2890</v>
      </c>
      <c r="C11362" t="s">
        <v>13944</v>
      </c>
      <c r="D11362" t="s">
        <v>16210</v>
      </c>
      <c r="E11362" t="s">
        <v>26135</v>
      </c>
      <c r="F11362" t="s">
        <v>28198</v>
      </c>
      <c r="G11362" t="s">
        <v>28205</v>
      </c>
      <c r="H11362" t="s">
        <v>28217</v>
      </c>
      <c r="I11362" t="s">
        <v>28234</v>
      </c>
      <c r="J11362" t="s">
        <v>35346</v>
      </c>
      <c r="K11362" t="s">
        <v>36954</v>
      </c>
      <c r="M11362" t="s">
        <v>40156</v>
      </c>
      <c r="N11362" t="s">
        <v>40436</v>
      </c>
      <c r="O11362" t="s">
        <v>40437</v>
      </c>
      <c r="P11362">
        <v>0</v>
      </c>
      <c r="Q11362">
        <v>21</v>
      </c>
      <c r="R11362" t="s">
        <v>40452</v>
      </c>
      <c r="S11362" t="s">
        <v>41140</v>
      </c>
      <c r="T11362" t="s">
        <v>42469</v>
      </c>
      <c r="U11362" t="s">
        <v>52027</v>
      </c>
      <c r="W11362" t="s">
        <v>55540</v>
      </c>
      <c r="X11362" t="s">
        <v>40453</v>
      </c>
    </row>
    <row r="11363" spans="1:24">
      <c r="A11363">
        <f>HYPERLINK("https://www.philgeps.gov.ph/GEPSNONPILOT/Tender/SplashBidNoticeAbstractUI.aspx?menuIndex=3&amp;refID=7023434&amp;Result=3","7023434")</f>
        <v>0</v>
      </c>
      <c r="B11363" t="s">
        <v>361</v>
      </c>
      <c r="C11363" t="s">
        <v>13945</v>
      </c>
      <c r="D11363" t="s">
        <v>16236</v>
      </c>
      <c r="E11363" t="s">
        <v>26136</v>
      </c>
      <c r="F11363" t="s">
        <v>28198</v>
      </c>
      <c r="G11363" t="s">
        <v>28205</v>
      </c>
      <c r="H11363" t="s">
        <v>28215</v>
      </c>
      <c r="I11363" t="s">
        <v>28224</v>
      </c>
      <c r="J11363" t="s">
        <v>35347</v>
      </c>
      <c r="K11363" t="s">
        <v>36707</v>
      </c>
      <c r="M11363" t="s">
        <v>37600</v>
      </c>
      <c r="N11363" t="s">
        <v>40436</v>
      </c>
      <c r="O11363" t="s">
        <v>40437</v>
      </c>
      <c r="P11363">
        <v>0</v>
      </c>
      <c r="Q11363">
        <v>2</v>
      </c>
      <c r="R11363" t="s">
        <v>40452</v>
      </c>
      <c r="S11363" t="s">
        <v>41140</v>
      </c>
      <c r="T11363" t="s">
        <v>42209</v>
      </c>
      <c r="U11363" t="s">
        <v>52028</v>
      </c>
      <c r="W11363" t="s">
        <v>37600</v>
      </c>
      <c r="X11363" t="s">
        <v>40453</v>
      </c>
    </row>
    <row r="11364" spans="1:24">
      <c r="A11364">
        <f>HYPERLINK("https://www.philgeps.gov.ph/GEPSNONPILOT/Tender/SplashBidNoticeAbstractUI.aspx?menuIndex=3&amp;refID=7023448&amp;Result=3","7023448")</f>
        <v>0</v>
      </c>
      <c r="B11364" t="s">
        <v>2891</v>
      </c>
      <c r="C11364" t="s">
        <v>13946</v>
      </c>
      <c r="D11364" t="s">
        <v>16207</v>
      </c>
      <c r="E11364" t="s">
        <v>26137</v>
      </c>
      <c r="F11364" t="s">
        <v>28198</v>
      </c>
      <c r="G11364" t="s">
        <v>28205</v>
      </c>
      <c r="H11364" t="s">
        <v>28215</v>
      </c>
      <c r="I11364" t="s">
        <v>28263</v>
      </c>
      <c r="J11364" t="s">
        <v>35348</v>
      </c>
      <c r="K11364" t="s">
        <v>36697</v>
      </c>
      <c r="M11364" t="s">
        <v>40157</v>
      </c>
      <c r="N11364" t="s">
        <v>40436</v>
      </c>
      <c r="O11364" t="s">
        <v>40437</v>
      </c>
      <c r="Q11364">
        <v>4</v>
      </c>
      <c r="R11364" t="s">
        <v>40452</v>
      </c>
      <c r="S11364" t="s">
        <v>41194</v>
      </c>
      <c r="T11364" t="s">
        <v>42568</v>
      </c>
      <c r="U11364" t="s">
        <v>52029</v>
      </c>
      <c r="W11364" t="s">
        <v>55541</v>
      </c>
      <c r="X11364" t="s">
        <v>40453</v>
      </c>
    </row>
    <row r="11365" spans="1:24">
      <c r="A11365">
        <f>HYPERLINK("https://www.philgeps.gov.ph/GEPSNONPILOT/Tender/SplashBidNoticeAbstractUI.aspx?menuIndex=3&amp;refID=7023309&amp;Result=3","7023309")</f>
        <v>0</v>
      </c>
      <c r="B11365" t="s">
        <v>2889</v>
      </c>
      <c r="C11365" t="s">
        <v>13947</v>
      </c>
      <c r="D11365" t="s">
        <v>16189</v>
      </c>
      <c r="E11365" t="s">
        <v>26138</v>
      </c>
      <c r="F11365" t="s">
        <v>28198</v>
      </c>
      <c r="G11365" t="s">
        <v>28205</v>
      </c>
      <c r="H11365" t="s">
        <v>28214</v>
      </c>
      <c r="I11365" t="s">
        <v>3797</v>
      </c>
      <c r="J11365" t="s">
        <v>28730</v>
      </c>
      <c r="K11365" t="s">
        <v>36919</v>
      </c>
      <c r="M11365" t="s">
        <v>40154</v>
      </c>
      <c r="N11365" t="s">
        <v>40436</v>
      </c>
      <c r="O11365" t="s">
        <v>40437</v>
      </c>
      <c r="P11365">
        <v>0</v>
      </c>
      <c r="Q11365">
        <v>0</v>
      </c>
      <c r="R11365" t="s">
        <v>40452</v>
      </c>
      <c r="S11365" t="s">
        <v>41140</v>
      </c>
      <c r="T11365" t="s">
        <v>42191</v>
      </c>
      <c r="U11365" t="s">
        <v>52015</v>
      </c>
      <c r="W11365" t="s">
        <v>40154</v>
      </c>
      <c r="X11365" t="s">
        <v>40453</v>
      </c>
    </row>
    <row r="11366" spans="1:24">
      <c r="A11366">
        <f>HYPERLINK("https://www.philgeps.gov.ph/GEPSNONPILOT/Tender/SplashBidNoticeAbstractUI.aspx?menuIndex=3&amp;refID=7023423&amp;Result=3","7023423")</f>
        <v>0</v>
      </c>
      <c r="B11366" t="s">
        <v>1021</v>
      </c>
      <c r="C11366" t="s">
        <v>13948</v>
      </c>
      <c r="D11366" t="s">
        <v>16204</v>
      </c>
      <c r="E11366" t="s">
        <v>26139</v>
      </c>
      <c r="F11366" t="s">
        <v>28198</v>
      </c>
      <c r="G11366" t="s">
        <v>28205</v>
      </c>
      <c r="H11366" t="s">
        <v>28214</v>
      </c>
      <c r="I11366" t="s">
        <v>3797</v>
      </c>
      <c r="J11366" t="s">
        <v>35349</v>
      </c>
      <c r="K11366" t="s">
        <v>36742</v>
      </c>
      <c r="M11366" t="s">
        <v>38052</v>
      </c>
      <c r="N11366" t="s">
        <v>40436</v>
      </c>
      <c r="O11366" t="s">
        <v>40437</v>
      </c>
      <c r="P11366">
        <v>0</v>
      </c>
      <c r="Q11366">
        <v>19</v>
      </c>
      <c r="R11366" t="s">
        <v>40452</v>
      </c>
      <c r="S11366" t="s">
        <v>41140</v>
      </c>
      <c r="T11366" t="s">
        <v>42112</v>
      </c>
      <c r="U11366" t="s">
        <v>50334</v>
      </c>
      <c r="V11366" t="s">
        <v>54048</v>
      </c>
      <c r="W11366" t="s">
        <v>38052</v>
      </c>
      <c r="X11366" t="s">
        <v>40453</v>
      </c>
    </row>
    <row r="11367" spans="1:24">
      <c r="A11367">
        <f>HYPERLINK("https://www.philgeps.gov.ph/GEPSNONPILOT/Tender/SplashBidNoticeAbstractUI.aspx?menuIndex=3&amp;refID=7023370&amp;Result=3","7023370")</f>
        <v>0</v>
      </c>
      <c r="B11367" t="s">
        <v>2889</v>
      </c>
      <c r="C11367" t="s">
        <v>13949</v>
      </c>
      <c r="D11367" t="s">
        <v>16189</v>
      </c>
      <c r="E11367" t="s">
        <v>26122</v>
      </c>
      <c r="F11367" t="s">
        <v>28198</v>
      </c>
      <c r="G11367" t="s">
        <v>28205</v>
      </c>
      <c r="H11367" t="s">
        <v>28214</v>
      </c>
      <c r="I11367" t="s">
        <v>3797</v>
      </c>
      <c r="J11367" t="s">
        <v>28921</v>
      </c>
      <c r="K11367" t="s">
        <v>36745</v>
      </c>
      <c r="M11367" t="s">
        <v>40154</v>
      </c>
      <c r="N11367" t="s">
        <v>40436</v>
      </c>
      <c r="O11367" t="s">
        <v>40437</v>
      </c>
      <c r="P11367">
        <v>0</v>
      </c>
      <c r="Q11367">
        <v>0</v>
      </c>
      <c r="R11367" t="s">
        <v>40452</v>
      </c>
      <c r="S11367" t="s">
        <v>41140</v>
      </c>
      <c r="T11367" t="s">
        <v>42191</v>
      </c>
      <c r="U11367" t="s">
        <v>52030</v>
      </c>
      <c r="W11367" t="s">
        <v>40154</v>
      </c>
      <c r="X11367" t="s">
        <v>40453</v>
      </c>
    </row>
    <row r="11368" spans="1:24">
      <c r="A11368">
        <f>HYPERLINK("https://www.philgeps.gov.ph/GEPSNONPILOT/Tender/SplashBidNoticeAbstractUI.aspx?menuIndex=3&amp;refID=7023417&amp;Result=3","7023417")</f>
        <v>0</v>
      </c>
      <c r="B11368" t="s">
        <v>2892</v>
      </c>
      <c r="C11368" t="s">
        <v>13950</v>
      </c>
      <c r="D11368" t="s">
        <v>16217</v>
      </c>
      <c r="E11368" t="s">
        <v>26140</v>
      </c>
      <c r="F11368" t="s">
        <v>28198</v>
      </c>
      <c r="G11368" t="s">
        <v>28205</v>
      </c>
      <c r="H11368" t="s">
        <v>28215</v>
      </c>
      <c r="I11368" t="s">
        <v>3797</v>
      </c>
      <c r="J11368" t="s">
        <v>28363</v>
      </c>
      <c r="K11368" t="s">
        <v>36777</v>
      </c>
      <c r="M11368" t="s">
        <v>40158</v>
      </c>
      <c r="N11368" t="s">
        <v>40436</v>
      </c>
      <c r="O11368" t="s">
        <v>40437</v>
      </c>
      <c r="Q11368">
        <v>0</v>
      </c>
      <c r="R11368" t="s">
        <v>40452</v>
      </c>
      <c r="S11368" t="s">
        <v>41195</v>
      </c>
      <c r="T11368" t="s">
        <v>42176</v>
      </c>
      <c r="U11368" t="s">
        <v>52031</v>
      </c>
      <c r="W11368" t="s">
        <v>40158</v>
      </c>
      <c r="X11368" t="s">
        <v>40453</v>
      </c>
    </row>
    <row r="11369" spans="1:24">
      <c r="A11369">
        <f>HYPERLINK("https://www.philgeps.gov.ph/GEPSNONPILOT/Tender/SplashBidNoticeAbstractUI.aspx?menuIndex=3&amp;refID=7023421&amp;Result=3","7023421")</f>
        <v>0</v>
      </c>
      <c r="B11369" t="s">
        <v>121</v>
      </c>
      <c r="C11369" t="s">
        <v>13951</v>
      </c>
      <c r="D11369" t="s">
        <v>16207</v>
      </c>
      <c r="E11369" t="s">
        <v>26141</v>
      </c>
      <c r="F11369" t="s">
        <v>28198</v>
      </c>
      <c r="G11369" t="s">
        <v>28205</v>
      </c>
      <c r="H11369" t="s">
        <v>28214</v>
      </c>
      <c r="I11369" t="s">
        <v>3797</v>
      </c>
      <c r="J11369" t="s">
        <v>28468</v>
      </c>
      <c r="K11369" t="s">
        <v>36715</v>
      </c>
      <c r="M11369" t="s">
        <v>37095</v>
      </c>
      <c r="N11369" t="s">
        <v>40436</v>
      </c>
      <c r="O11369" t="s">
        <v>40437</v>
      </c>
      <c r="P11369">
        <v>0</v>
      </c>
      <c r="Q11369">
        <v>1</v>
      </c>
      <c r="R11369" t="s">
        <v>40452</v>
      </c>
      <c r="S11369" t="s">
        <v>41140</v>
      </c>
      <c r="T11369" t="s">
        <v>42133</v>
      </c>
      <c r="U11369" t="s">
        <v>52032</v>
      </c>
      <c r="W11369" t="s">
        <v>37095</v>
      </c>
      <c r="X11369" t="s">
        <v>40453</v>
      </c>
    </row>
    <row r="11370" spans="1:24">
      <c r="A11370">
        <f>HYPERLINK("https://www.philgeps.gov.ph/GEPSNONPILOT/Tender/SplashBidNoticeAbstractUI.aspx?menuIndex=3&amp;refID=7023460&amp;Result=3","7023460")</f>
        <v>0</v>
      </c>
      <c r="B11370" t="s">
        <v>317</v>
      </c>
      <c r="C11370" t="s">
        <v>13952</v>
      </c>
      <c r="D11370" t="s">
        <v>16223</v>
      </c>
      <c r="E11370" t="s">
        <v>26142</v>
      </c>
      <c r="F11370" t="s">
        <v>28198</v>
      </c>
      <c r="G11370" t="s">
        <v>28205</v>
      </c>
      <c r="H11370" t="s">
        <v>28214</v>
      </c>
      <c r="I11370" t="s">
        <v>3797</v>
      </c>
      <c r="J11370" t="s">
        <v>35350</v>
      </c>
      <c r="K11370" t="s">
        <v>36697</v>
      </c>
      <c r="M11370" t="s">
        <v>37824</v>
      </c>
      <c r="N11370" t="s">
        <v>40436</v>
      </c>
      <c r="O11370" t="s">
        <v>40437</v>
      </c>
      <c r="P11370">
        <v>0</v>
      </c>
      <c r="Q11370">
        <v>0</v>
      </c>
      <c r="R11370" t="s">
        <v>40452</v>
      </c>
      <c r="S11370" t="s">
        <v>41140</v>
      </c>
      <c r="T11370" t="s">
        <v>42126</v>
      </c>
      <c r="U11370" t="s">
        <v>52033</v>
      </c>
      <c r="W11370" t="s">
        <v>37824</v>
      </c>
      <c r="X11370" t="s">
        <v>40453</v>
      </c>
    </row>
    <row r="11371" spans="1:24">
      <c r="A11371">
        <f>HYPERLINK("https://www.philgeps.gov.ph/GEPSNONPILOT/Tender/SplashBidNoticeAbstractUI.aspx?menuIndex=3&amp;refID=7023429&amp;Result=3","7023429")</f>
        <v>0</v>
      </c>
      <c r="B11371" t="s">
        <v>170</v>
      </c>
      <c r="C11371" t="s">
        <v>13953</v>
      </c>
      <c r="D11371" t="s">
        <v>16187</v>
      </c>
      <c r="E11371" t="s">
        <v>26143</v>
      </c>
      <c r="F11371" t="s">
        <v>28198</v>
      </c>
      <c r="G11371" t="s">
        <v>28205</v>
      </c>
      <c r="H11371" t="s">
        <v>28214</v>
      </c>
      <c r="I11371" t="s">
        <v>3797</v>
      </c>
      <c r="J11371" t="s">
        <v>35351</v>
      </c>
      <c r="K11371" t="s">
        <v>36690</v>
      </c>
      <c r="M11371" t="s">
        <v>37144</v>
      </c>
      <c r="N11371" t="s">
        <v>40436</v>
      </c>
      <c r="O11371" t="s">
        <v>40437</v>
      </c>
      <c r="P11371">
        <v>0</v>
      </c>
      <c r="Q11371">
        <v>0</v>
      </c>
      <c r="R11371" t="s">
        <v>40452</v>
      </c>
      <c r="S11371" t="s">
        <v>41140</v>
      </c>
      <c r="T11371" t="s">
        <v>42133</v>
      </c>
      <c r="U11371" t="s">
        <v>52034</v>
      </c>
      <c r="W11371" t="s">
        <v>37144</v>
      </c>
      <c r="X11371" t="s">
        <v>40453</v>
      </c>
    </row>
    <row r="11372" spans="1:24">
      <c r="A11372">
        <f>HYPERLINK("https://www.philgeps.gov.ph/GEPSNONPILOT/Tender/SplashBidNoticeAbstractUI.aspx?menuIndex=3&amp;refID=7023298&amp;Result=3","7023298")</f>
        <v>0</v>
      </c>
      <c r="B11372" t="s">
        <v>2893</v>
      </c>
      <c r="C11372" t="s">
        <v>13954</v>
      </c>
      <c r="E11372" t="s">
        <v>17248</v>
      </c>
      <c r="F11372" t="s">
        <v>28198</v>
      </c>
      <c r="G11372" t="s">
        <v>28205</v>
      </c>
      <c r="H11372" t="s">
        <v>28214</v>
      </c>
      <c r="I11372" t="s">
        <v>8870</v>
      </c>
      <c r="J11372" t="s">
        <v>30231</v>
      </c>
      <c r="K11372" t="s">
        <v>36689</v>
      </c>
      <c r="M11372" t="s">
        <v>40159</v>
      </c>
      <c r="N11372" t="s">
        <v>40436</v>
      </c>
      <c r="O11372" t="s">
        <v>40437</v>
      </c>
      <c r="P11372">
        <v>0</v>
      </c>
      <c r="Q11372">
        <v>0</v>
      </c>
      <c r="R11372" t="s">
        <v>40452</v>
      </c>
      <c r="S11372" t="s">
        <v>41140</v>
      </c>
      <c r="T11372" t="s">
        <v>42277</v>
      </c>
      <c r="U11372" t="s">
        <v>52035</v>
      </c>
      <c r="W11372" t="s">
        <v>40159</v>
      </c>
      <c r="X11372" t="s">
        <v>40453</v>
      </c>
    </row>
    <row r="11373" spans="1:24">
      <c r="A11373">
        <f>HYPERLINK("https://www.philgeps.gov.ph/GEPSNONPILOT/Tender/SplashBidNoticeAbstractUI.aspx?menuIndex=3&amp;refID=7023380&amp;Result=3","7023380")</f>
        <v>0</v>
      </c>
      <c r="B11373" t="s">
        <v>1425</v>
      </c>
      <c r="C11373" t="s">
        <v>13955</v>
      </c>
      <c r="D11373" t="s">
        <v>16223</v>
      </c>
      <c r="E11373" t="s">
        <v>26144</v>
      </c>
      <c r="F11373" t="s">
        <v>28198</v>
      </c>
      <c r="G11373" t="s">
        <v>28205</v>
      </c>
      <c r="H11373" t="s">
        <v>28214</v>
      </c>
      <c r="I11373" t="s">
        <v>3797</v>
      </c>
      <c r="J11373" t="s">
        <v>28363</v>
      </c>
      <c r="K11373" t="s">
        <v>36697</v>
      </c>
      <c r="M11373" t="s">
        <v>40160</v>
      </c>
      <c r="N11373" t="s">
        <v>40436</v>
      </c>
      <c r="O11373" t="s">
        <v>40437</v>
      </c>
      <c r="P11373">
        <v>0</v>
      </c>
      <c r="Q11373">
        <v>0</v>
      </c>
      <c r="R11373" t="s">
        <v>40452</v>
      </c>
      <c r="S11373" t="s">
        <v>41140</v>
      </c>
      <c r="T11373" t="s">
        <v>42199</v>
      </c>
      <c r="U11373" t="s">
        <v>52036</v>
      </c>
      <c r="W11373" t="s">
        <v>40160</v>
      </c>
      <c r="X11373" t="s">
        <v>40453</v>
      </c>
    </row>
    <row r="11374" spans="1:24">
      <c r="A11374">
        <f>HYPERLINK("https://www.philgeps.gov.ph/GEPSNONPILOT/Tender/SplashBidNoticeAbstractUI.aspx?menuIndex=3&amp;refID=7023452&amp;Result=3","7023452")</f>
        <v>0</v>
      </c>
      <c r="B11374" t="s">
        <v>2894</v>
      </c>
      <c r="C11374" t="s">
        <v>13956</v>
      </c>
      <c r="D11374" t="s">
        <v>16210</v>
      </c>
      <c r="E11374" t="s">
        <v>26145</v>
      </c>
      <c r="F11374" t="s">
        <v>28198</v>
      </c>
      <c r="G11374" t="s">
        <v>28205</v>
      </c>
      <c r="H11374" t="s">
        <v>28215</v>
      </c>
      <c r="I11374" t="s">
        <v>28222</v>
      </c>
      <c r="J11374" t="s">
        <v>35352</v>
      </c>
      <c r="K11374" t="s">
        <v>36701</v>
      </c>
      <c r="M11374" t="s">
        <v>40161</v>
      </c>
      <c r="N11374" t="s">
        <v>40436</v>
      </c>
      <c r="O11374" t="s">
        <v>40437</v>
      </c>
      <c r="Q11374">
        <v>13</v>
      </c>
      <c r="R11374" t="s">
        <v>40452</v>
      </c>
      <c r="S11374" t="s">
        <v>41196</v>
      </c>
      <c r="T11374" t="s">
        <v>42113</v>
      </c>
      <c r="U11374" t="s">
        <v>52037</v>
      </c>
      <c r="W11374" t="s">
        <v>40161</v>
      </c>
      <c r="X11374" t="s">
        <v>40453</v>
      </c>
    </row>
    <row r="11375" spans="1:24">
      <c r="A11375">
        <f>HYPERLINK("https://www.philgeps.gov.ph/GEPSNONPILOT/Tender/SplashBidNoticeAbstractUI.aspx?menuIndex=3&amp;refID=7023458&amp;Result=3","7023458")</f>
        <v>0</v>
      </c>
      <c r="B11375" t="s">
        <v>2895</v>
      </c>
      <c r="C11375" t="s">
        <v>13957</v>
      </c>
      <c r="D11375" t="s">
        <v>16193</v>
      </c>
      <c r="E11375" t="s">
        <v>22662</v>
      </c>
      <c r="F11375" t="s">
        <v>28198</v>
      </c>
      <c r="G11375" t="s">
        <v>28205</v>
      </c>
      <c r="H11375" t="s">
        <v>28214</v>
      </c>
      <c r="I11375" t="s">
        <v>3797</v>
      </c>
      <c r="J11375" t="s">
        <v>35353</v>
      </c>
      <c r="K11375" t="s">
        <v>36784</v>
      </c>
      <c r="M11375" t="s">
        <v>40162</v>
      </c>
      <c r="N11375" t="s">
        <v>40436</v>
      </c>
      <c r="O11375" t="s">
        <v>40437</v>
      </c>
      <c r="P11375">
        <v>0</v>
      </c>
      <c r="Q11375">
        <v>0</v>
      </c>
      <c r="R11375" t="s">
        <v>40452</v>
      </c>
      <c r="S11375" t="s">
        <v>41140</v>
      </c>
      <c r="T11375" t="s">
        <v>42312</v>
      </c>
      <c r="U11375" t="s">
        <v>52038</v>
      </c>
      <c r="W11375" t="s">
        <v>40162</v>
      </c>
      <c r="X11375" t="s">
        <v>40453</v>
      </c>
    </row>
    <row r="11376" spans="1:24">
      <c r="A11376">
        <f>HYPERLINK("https://www.philgeps.gov.ph/GEPSNONPILOT/Tender/SplashBidNoticeAbstractUI.aspx?menuIndex=3&amp;refID=7023386&amp;Result=3","7023386")</f>
        <v>0</v>
      </c>
      <c r="B11376" t="s">
        <v>2651</v>
      </c>
      <c r="C11376" t="s">
        <v>13958</v>
      </c>
      <c r="D11376" t="s">
        <v>16261</v>
      </c>
      <c r="E11376" t="s">
        <v>25156</v>
      </c>
      <c r="F11376" t="s">
        <v>28198</v>
      </c>
      <c r="G11376" t="s">
        <v>28205</v>
      </c>
      <c r="H11376" t="s">
        <v>28214</v>
      </c>
      <c r="I11376" t="s">
        <v>3797</v>
      </c>
      <c r="J11376" t="s">
        <v>28351</v>
      </c>
      <c r="K11376" t="s">
        <v>36689</v>
      </c>
      <c r="M11376" t="s">
        <v>39878</v>
      </c>
      <c r="N11376" t="s">
        <v>40436</v>
      </c>
      <c r="O11376" t="s">
        <v>40437</v>
      </c>
      <c r="P11376">
        <v>0</v>
      </c>
      <c r="Q11376">
        <v>0</v>
      </c>
      <c r="R11376" t="s">
        <v>40452</v>
      </c>
      <c r="S11376" t="s">
        <v>41140</v>
      </c>
      <c r="T11376" t="s">
        <v>42133</v>
      </c>
      <c r="U11376" t="s">
        <v>52039</v>
      </c>
      <c r="V11376" t="s">
        <v>55081</v>
      </c>
      <c r="W11376" t="s">
        <v>39878</v>
      </c>
      <c r="X11376" t="s">
        <v>40453</v>
      </c>
    </row>
    <row r="11377" spans="1:24">
      <c r="A11377">
        <f>HYPERLINK("https://www.philgeps.gov.ph/GEPSNONPILOT/Tender/SplashBidNoticeAbstractUI.aspx?menuIndex=3&amp;refID=7023467&amp;Result=3","7023467")</f>
        <v>0</v>
      </c>
      <c r="B11377" t="s">
        <v>2294</v>
      </c>
      <c r="C11377" t="s">
        <v>13959</v>
      </c>
      <c r="D11377" t="s">
        <v>16262</v>
      </c>
      <c r="E11377" t="s">
        <v>26146</v>
      </c>
      <c r="F11377" t="s">
        <v>28198</v>
      </c>
      <c r="G11377" t="s">
        <v>28205</v>
      </c>
      <c r="H11377" t="s">
        <v>28214</v>
      </c>
      <c r="I11377" t="s">
        <v>3797</v>
      </c>
      <c r="J11377" t="s">
        <v>35354</v>
      </c>
      <c r="K11377" t="s">
        <v>36694</v>
      </c>
      <c r="M11377" t="s">
        <v>39469</v>
      </c>
      <c r="N11377" t="s">
        <v>40436</v>
      </c>
      <c r="O11377" t="s">
        <v>40437</v>
      </c>
      <c r="Q11377">
        <v>0</v>
      </c>
      <c r="R11377" t="s">
        <v>40452</v>
      </c>
      <c r="S11377" t="s">
        <v>41197</v>
      </c>
      <c r="T11377" t="s">
        <v>42133</v>
      </c>
      <c r="U11377" t="s">
        <v>52040</v>
      </c>
      <c r="V11377" t="s">
        <v>54569</v>
      </c>
      <c r="W11377" t="s">
        <v>39469</v>
      </c>
      <c r="X11377" t="s">
        <v>40453</v>
      </c>
    </row>
    <row r="11378" spans="1:24">
      <c r="A11378">
        <f>HYPERLINK("https://www.philgeps.gov.ph/GEPSNONPILOT/Tender/SplashBidNoticeAbstractUI.aspx?menuIndex=3&amp;refID=7023454&amp;Result=3","7023454")</f>
        <v>0</v>
      </c>
      <c r="B11378" t="s">
        <v>1021</v>
      </c>
      <c r="C11378" t="s">
        <v>13960</v>
      </c>
      <c r="D11378" t="s">
        <v>16204</v>
      </c>
      <c r="E11378" t="s">
        <v>26147</v>
      </c>
      <c r="F11378" t="s">
        <v>28198</v>
      </c>
      <c r="G11378" t="s">
        <v>28205</v>
      </c>
      <c r="H11378" t="s">
        <v>28214</v>
      </c>
      <c r="I11378" t="s">
        <v>3797</v>
      </c>
      <c r="J11378" t="s">
        <v>32323</v>
      </c>
      <c r="K11378" t="s">
        <v>36692</v>
      </c>
      <c r="M11378" t="s">
        <v>38052</v>
      </c>
      <c r="N11378" t="s">
        <v>40436</v>
      </c>
      <c r="O11378" t="s">
        <v>40437</v>
      </c>
      <c r="P11378">
        <v>0</v>
      </c>
      <c r="Q11378">
        <v>34</v>
      </c>
      <c r="R11378" t="s">
        <v>40452</v>
      </c>
      <c r="S11378" t="s">
        <v>41140</v>
      </c>
      <c r="T11378" t="s">
        <v>42112</v>
      </c>
      <c r="U11378" t="s">
        <v>51648</v>
      </c>
      <c r="V11378" t="s">
        <v>54048</v>
      </c>
      <c r="W11378" t="s">
        <v>38052</v>
      </c>
      <c r="X11378" t="s">
        <v>40453</v>
      </c>
    </row>
    <row r="11379" spans="1:24">
      <c r="A11379">
        <f>HYPERLINK("https://www.philgeps.gov.ph/GEPSNONPILOT/Tender/SplashBidNoticeAbstractUI.aspx?menuIndex=3&amp;refID=7023459&amp;Result=3","7023459")</f>
        <v>0</v>
      </c>
      <c r="B11379" t="s">
        <v>2890</v>
      </c>
      <c r="C11379" t="s">
        <v>13961</v>
      </c>
      <c r="D11379" t="s">
        <v>16210</v>
      </c>
      <c r="E11379" t="s">
        <v>26148</v>
      </c>
      <c r="F11379" t="s">
        <v>28198</v>
      </c>
      <c r="G11379" t="s">
        <v>28205</v>
      </c>
      <c r="H11379" t="s">
        <v>28217</v>
      </c>
      <c r="I11379" t="s">
        <v>28234</v>
      </c>
      <c r="J11379" t="s">
        <v>35355</v>
      </c>
      <c r="K11379" t="s">
        <v>36954</v>
      </c>
      <c r="M11379" t="s">
        <v>40156</v>
      </c>
      <c r="N11379" t="s">
        <v>40436</v>
      </c>
      <c r="O11379" t="s">
        <v>40437</v>
      </c>
      <c r="P11379">
        <v>0</v>
      </c>
      <c r="Q11379">
        <v>18</v>
      </c>
      <c r="R11379" t="s">
        <v>40452</v>
      </c>
      <c r="S11379" t="s">
        <v>41140</v>
      </c>
      <c r="T11379" t="s">
        <v>42469</v>
      </c>
      <c r="U11379" t="s">
        <v>52027</v>
      </c>
      <c r="W11379" t="s">
        <v>55540</v>
      </c>
      <c r="X11379" t="s">
        <v>40453</v>
      </c>
    </row>
    <row r="11380" spans="1:24">
      <c r="A11380">
        <f>HYPERLINK("https://www.philgeps.gov.ph/GEPSNONPILOT/Tender/SplashBidNoticeAbstractUI.aspx?menuIndex=3&amp;refID=7023428&amp;Result=3","7023428")</f>
        <v>0</v>
      </c>
      <c r="B11380" t="s">
        <v>1845</v>
      </c>
      <c r="C11380" t="s">
        <v>13962</v>
      </c>
      <c r="D11380" t="s">
        <v>16190</v>
      </c>
      <c r="E11380" t="s">
        <v>26149</v>
      </c>
      <c r="F11380" t="s">
        <v>28198</v>
      </c>
      <c r="G11380" t="s">
        <v>28205</v>
      </c>
      <c r="H11380" t="s">
        <v>28214</v>
      </c>
      <c r="I11380" t="s">
        <v>3797</v>
      </c>
      <c r="J11380" t="s">
        <v>30373</v>
      </c>
      <c r="K11380" t="s">
        <v>36710</v>
      </c>
      <c r="M11380" t="s">
        <v>38972</v>
      </c>
      <c r="N11380" t="s">
        <v>40436</v>
      </c>
      <c r="O11380" t="s">
        <v>40437</v>
      </c>
      <c r="P11380">
        <v>0</v>
      </c>
      <c r="Q11380">
        <v>18</v>
      </c>
      <c r="R11380" t="s">
        <v>40452</v>
      </c>
      <c r="S11380" t="s">
        <v>41140</v>
      </c>
      <c r="T11380" t="s">
        <v>42144</v>
      </c>
      <c r="U11380" t="s">
        <v>52041</v>
      </c>
      <c r="W11380" t="s">
        <v>55530</v>
      </c>
      <c r="X11380" t="s">
        <v>40453</v>
      </c>
    </row>
    <row r="11381" spans="1:24">
      <c r="A11381">
        <f>HYPERLINK("https://www.philgeps.gov.ph/GEPSNONPILOT/Tender/SplashBidNoticeAbstractUI.aspx?menuIndex=3&amp;refID=7023474&amp;Result=3","7023474")</f>
        <v>0</v>
      </c>
      <c r="B11381" t="s">
        <v>1425</v>
      </c>
      <c r="C11381" t="s">
        <v>13963</v>
      </c>
      <c r="D11381" t="s">
        <v>16223</v>
      </c>
      <c r="E11381" t="s">
        <v>26150</v>
      </c>
      <c r="F11381" t="s">
        <v>28198</v>
      </c>
      <c r="G11381" t="s">
        <v>28205</v>
      </c>
      <c r="H11381" t="s">
        <v>28214</v>
      </c>
      <c r="I11381" t="s">
        <v>3797</v>
      </c>
      <c r="J11381" t="s">
        <v>28661</v>
      </c>
      <c r="K11381" t="s">
        <v>36697</v>
      </c>
      <c r="M11381" t="s">
        <v>40160</v>
      </c>
      <c r="N11381" t="s">
        <v>40436</v>
      </c>
      <c r="O11381" t="s">
        <v>40437</v>
      </c>
      <c r="P11381">
        <v>0</v>
      </c>
      <c r="Q11381">
        <v>0</v>
      </c>
      <c r="R11381" t="s">
        <v>40452</v>
      </c>
      <c r="S11381" t="s">
        <v>41140</v>
      </c>
      <c r="T11381" t="s">
        <v>42199</v>
      </c>
      <c r="U11381" t="s">
        <v>52042</v>
      </c>
      <c r="W11381" t="s">
        <v>40160</v>
      </c>
      <c r="X11381" t="s">
        <v>40453</v>
      </c>
    </row>
    <row r="11382" spans="1:24">
      <c r="A11382">
        <f>HYPERLINK("https://www.philgeps.gov.ph/GEPSNONPILOT/Tender/SplashBidNoticeAbstractUI.aspx?menuIndex=3&amp;refID=7023498&amp;Result=3","7023498")</f>
        <v>0</v>
      </c>
      <c r="B11382" t="s">
        <v>2895</v>
      </c>
      <c r="C11382" t="s">
        <v>13964</v>
      </c>
      <c r="D11382" t="s">
        <v>16193</v>
      </c>
      <c r="E11382" t="s">
        <v>17567</v>
      </c>
      <c r="F11382" t="s">
        <v>28198</v>
      </c>
      <c r="G11382" t="s">
        <v>28205</v>
      </c>
      <c r="H11382" t="s">
        <v>28214</v>
      </c>
      <c r="I11382" t="s">
        <v>3797</v>
      </c>
      <c r="J11382" t="s">
        <v>28363</v>
      </c>
      <c r="K11382" t="s">
        <v>36784</v>
      </c>
      <c r="M11382" t="s">
        <v>40162</v>
      </c>
      <c r="N11382" t="s">
        <v>40436</v>
      </c>
      <c r="O11382" t="s">
        <v>40437</v>
      </c>
      <c r="P11382">
        <v>0</v>
      </c>
      <c r="Q11382">
        <v>0</v>
      </c>
      <c r="R11382" t="s">
        <v>40452</v>
      </c>
      <c r="S11382" t="s">
        <v>41140</v>
      </c>
      <c r="T11382" t="s">
        <v>42312</v>
      </c>
      <c r="U11382" t="s">
        <v>52043</v>
      </c>
      <c r="W11382" t="s">
        <v>40162</v>
      </c>
      <c r="X11382" t="s">
        <v>40453</v>
      </c>
    </row>
    <row r="11383" spans="1:24">
      <c r="A11383">
        <f>HYPERLINK("https://www.philgeps.gov.ph/GEPSNONPILOT/Tender/SplashBidNoticeAbstractUI.aspx?menuIndex=3&amp;refID=7023414&amp;Result=3","7023414")</f>
        <v>0</v>
      </c>
      <c r="B11383" t="s">
        <v>1425</v>
      </c>
      <c r="C11383" t="s">
        <v>13965</v>
      </c>
      <c r="D11383" t="s">
        <v>16223</v>
      </c>
      <c r="E11383" t="s">
        <v>26151</v>
      </c>
      <c r="F11383" t="s">
        <v>28198</v>
      </c>
      <c r="G11383" t="s">
        <v>28205</v>
      </c>
      <c r="H11383" t="s">
        <v>28215</v>
      </c>
      <c r="I11383" t="s">
        <v>5100</v>
      </c>
      <c r="J11383" t="s">
        <v>35356</v>
      </c>
      <c r="K11383" t="s">
        <v>36706</v>
      </c>
      <c r="M11383" t="s">
        <v>40160</v>
      </c>
      <c r="N11383" t="s">
        <v>40436</v>
      </c>
      <c r="O11383" t="s">
        <v>40437</v>
      </c>
      <c r="P11383">
        <v>0</v>
      </c>
      <c r="Q11383">
        <v>0</v>
      </c>
      <c r="R11383" t="s">
        <v>40452</v>
      </c>
      <c r="S11383" t="s">
        <v>41140</v>
      </c>
      <c r="T11383" t="s">
        <v>42199</v>
      </c>
      <c r="U11383" t="s">
        <v>46915</v>
      </c>
      <c r="W11383" t="s">
        <v>40160</v>
      </c>
      <c r="X11383" t="s">
        <v>40453</v>
      </c>
    </row>
    <row r="11384" spans="1:24">
      <c r="A11384">
        <f>HYPERLINK("https://www.philgeps.gov.ph/GEPSNONPILOT/Tender/SplashBidNoticeAbstractUI.aspx?menuIndex=3&amp;refID=7023488&amp;Result=3","7023488")</f>
        <v>0</v>
      </c>
      <c r="B11384" t="s">
        <v>2890</v>
      </c>
      <c r="C11384" t="s">
        <v>13966</v>
      </c>
      <c r="D11384" t="s">
        <v>16210</v>
      </c>
      <c r="E11384" t="s">
        <v>26152</v>
      </c>
      <c r="F11384" t="s">
        <v>28198</v>
      </c>
      <c r="G11384" t="s">
        <v>28205</v>
      </c>
      <c r="H11384" t="s">
        <v>28217</v>
      </c>
      <c r="I11384" t="s">
        <v>28234</v>
      </c>
      <c r="J11384" t="s">
        <v>35357</v>
      </c>
      <c r="K11384" t="s">
        <v>36954</v>
      </c>
      <c r="M11384" t="s">
        <v>40156</v>
      </c>
      <c r="N11384" t="s">
        <v>40436</v>
      </c>
      <c r="O11384" t="s">
        <v>40437</v>
      </c>
      <c r="P11384">
        <v>0</v>
      </c>
      <c r="Q11384">
        <v>17</v>
      </c>
      <c r="R11384" t="s">
        <v>40452</v>
      </c>
      <c r="S11384" t="s">
        <v>41140</v>
      </c>
      <c r="T11384" t="s">
        <v>42469</v>
      </c>
      <c r="U11384" t="s">
        <v>52027</v>
      </c>
      <c r="W11384" t="s">
        <v>55540</v>
      </c>
      <c r="X11384" t="s">
        <v>40453</v>
      </c>
    </row>
    <row r="11385" spans="1:24">
      <c r="A11385">
        <f>HYPERLINK("https://www.philgeps.gov.ph/GEPSNONPILOT/Tender/SplashBidNoticeAbstractUI.aspx?menuIndex=3&amp;refID=7023546&amp;Result=3","7023546")</f>
        <v>0</v>
      </c>
      <c r="B11385" t="s">
        <v>2389</v>
      </c>
      <c r="C11385" t="s">
        <v>13967</v>
      </c>
      <c r="D11385" t="s">
        <v>16193</v>
      </c>
      <c r="E11385" t="s">
        <v>26153</v>
      </c>
      <c r="F11385" t="s">
        <v>28198</v>
      </c>
      <c r="G11385" t="s">
        <v>28205</v>
      </c>
      <c r="H11385" t="s">
        <v>28214</v>
      </c>
      <c r="I11385" t="s">
        <v>3797</v>
      </c>
      <c r="J11385" t="s">
        <v>35358</v>
      </c>
      <c r="K11385" t="s">
        <v>36746</v>
      </c>
      <c r="M11385" t="s">
        <v>39575</v>
      </c>
      <c r="N11385" t="s">
        <v>40436</v>
      </c>
      <c r="O11385" t="s">
        <v>40437</v>
      </c>
      <c r="P11385">
        <v>0</v>
      </c>
      <c r="Q11385">
        <v>0</v>
      </c>
      <c r="R11385" t="s">
        <v>40452</v>
      </c>
      <c r="S11385" t="s">
        <v>41140</v>
      </c>
      <c r="T11385" t="s">
        <v>42103</v>
      </c>
      <c r="U11385" t="s">
        <v>52044</v>
      </c>
      <c r="V11385" t="s">
        <v>55085</v>
      </c>
      <c r="W11385" t="s">
        <v>39575</v>
      </c>
      <c r="X11385" t="s">
        <v>40453</v>
      </c>
    </row>
    <row r="11386" spans="1:24">
      <c r="A11386">
        <f>HYPERLINK("https://www.philgeps.gov.ph/GEPSNONPILOT/Tender/SplashBidNoticeAbstractUI.aspx?menuIndex=3&amp;refID=7023540&amp;Result=3","7023540")</f>
        <v>0</v>
      </c>
      <c r="B11386" t="s">
        <v>1021</v>
      </c>
      <c r="C11386" t="s">
        <v>13968</v>
      </c>
      <c r="D11386" t="s">
        <v>16204</v>
      </c>
      <c r="E11386" t="s">
        <v>26154</v>
      </c>
      <c r="F11386" t="s">
        <v>28198</v>
      </c>
      <c r="G11386" t="s">
        <v>28205</v>
      </c>
      <c r="H11386" t="s">
        <v>28214</v>
      </c>
      <c r="I11386" t="s">
        <v>3797</v>
      </c>
      <c r="J11386" t="s">
        <v>32323</v>
      </c>
      <c r="K11386" t="s">
        <v>36692</v>
      </c>
      <c r="M11386" t="s">
        <v>38052</v>
      </c>
      <c r="N11386" t="s">
        <v>40436</v>
      </c>
      <c r="O11386" t="s">
        <v>40437</v>
      </c>
      <c r="P11386">
        <v>0</v>
      </c>
      <c r="Q11386">
        <v>29</v>
      </c>
      <c r="R11386" t="s">
        <v>40452</v>
      </c>
      <c r="S11386" t="s">
        <v>41140</v>
      </c>
      <c r="T11386" t="s">
        <v>42112</v>
      </c>
      <c r="U11386" t="s">
        <v>50334</v>
      </c>
      <c r="V11386" t="s">
        <v>54048</v>
      </c>
      <c r="W11386" t="s">
        <v>38052</v>
      </c>
      <c r="X11386" t="s">
        <v>40453</v>
      </c>
    </row>
    <row r="11387" spans="1:24">
      <c r="A11387">
        <f>HYPERLINK("https://www.philgeps.gov.ph/GEPSNONPILOT/Tender/SplashBidNoticeAbstractUI.aspx?menuIndex=3&amp;refID=7023557&amp;Result=3","7023557")</f>
        <v>0</v>
      </c>
      <c r="B11387" t="s">
        <v>2896</v>
      </c>
      <c r="C11387" t="s">
        <v>13969</v>
      </c>
      <c r="D11387" t="s">
        <v>16210</v>
      </c>
      <c r="E11387" t="s">
        <v>26155</v>
      </c>
      <c r="F11387" t="s">
        <v>28198</v>
      </c>
      <c r="G11387" t="s">
        <v>28205</v>
      </c>
      <c r="H11387" t="s">
        <v>28215</v>
      </c>
      <c r="I11387" t="s">
        <v>8888</v>
      </c>
      <c r="J11387" t="s">
        <v>35359</v>
      </c>
      <c r="K11387" t="s">
        <v>36707</v>
      </c>
      <c r="M11387" t="s">
        <v>40163</v>
      </c>
      <c r="N11387" t="s">
        <v>40436</v>
      </c>
      <c r="O11387" t="s">
        <v>40437</v>
      </c>
      <c r="P11387">
        <v>0</v>
      </c>
      <c r="Q11387">
        <v>9</v>
      </c>
      <c r="R11387" t="s">
        <v>40452</v>
      </c>
      <c r="S11387" t="s">
        <v>41140</v>
      </c>
      <c r="T11387" t="s">
        <v>42133</v>
      </c>
      <c r="U11387" t="s">
        <v>52045</v>
      </c>
      <c r="W11387" t="s">
        <v>40163</v>
      </c>
      <c r="X11387" t="s">
        <v>40453</v>
      </c>
    </row>
    <row r="11388" spans="1:24">
      <c r="A11388">
        <f>HYPERLINK("https://www.philgeps.gov.ph/GEPSNONPILOT/Tender/SplashBidNoticeAbstractUI.aspx?menuIndex=3&amp;refID=7023555&amp;Result=3","7023555")</f>
        <v>0</v>
      </c>
      <c r="B11388" t="s">
        <v>2897</v>
      </c>
      <c r="C11388" t="s">
        <v>13970</v>
      </c>
      <c r="D11388" t="s">
        <v>16193</v>
      </c>
      <c r="E11388" t="s">
        <v>26156</v>
      </c>
      <c r="F11388" t="s">
        <v>28198</v>
      </c>
      <c r="G11388" t="s">
        <v>28205</v>
      </c>
      <c r="H11388" t="s">
        <v>28214</v>
      </c>
      <c r="I11388" t="s">
        <v>28260</v>
      </c>
      <c r="J11388" t="s">
        <v>35360</v>
      </c>
      <c r="K11388" t="s">
        <v>36694</v>
      </c>
      <c r="M11388" t="s">
        <v>40164</v>
      </c>
      <c r="N11388" t="s">
        <v>40436</v>
      </c>
      <c r="O11388" t="s">
        <v>40437</v>
      </c>
      <c r="Q11388">
        <v>1</v>
      </c>
      <c r="R11388" t="s">
        <v>40452</v>
      </c>
      <c r="S11388" t="s">
        <v>41198</v>
      </c>
      <c r="T11388" t="s">
        <v>42569</v>
      </c>
      <c r="U11388" t="s">
        <v>44887</v>
      </c>
      <c r="W11388" t="s">
        <v>40164</v>
      </c>
      <c r="X11388" t="s">
        <v>40453</v>
      </c>
    </row>
    <row r="11389" spans="1:24">
      <c r="A11389">
        <f>HYPERLINK("https://www.philgeps.gov.ph/GEPSNONPILOT/Tender/SplashBidNoticeAbstractUI.aspx?menuIndex=3&amp;refID=7023574&amp;Result=3","7023574")</f>
        <v>0</v>
      </c>
      <c r="B11389" t="s">
        <v>1021</v>
      </c>
      <c r="C11389" t="s">
        <v>13971</v>
      </c>
      <c r="D11389" t="s">
        <v>16204</v>
      </c>
      <c r="E11389" t="s">
        <v>26157</v>
      </c>
      <c r="F11389" t="s">
        <v>28198</v>
      </c>
      <c r="G11389" t="s">
        <v>28205</v>
      </c>
      <c r="H11389" t="s">
        <v>28214</v>
      </c>
      <c r="I11389" t="s">
        <v>3797</v>
      </c>
      <c r="J11389" t="s">
        <v>29566</v>
      </c>
      <c r="K11389" t="s">
        <v>36692</v>
      </c>
      <c r="M11389" t="s">
        <v>38052</v>
      </c>
      <c r="N11389" t="s">
        <v>40436</v>
      </c>
      <c r="O11389" t="s">
        <v>40437</v>
      </c>
      <c r="P11389">
        <v>0</v>
      </c>
      <c r="Q11389">
        <v>26</v>
      </c>
      <c r="R11389" t="s">
        <v>40452</v>
      </c>
      <c r="S11389" t="s">
        <v>41140</v>
      </c>
      <c r="T11389" t="s">
        <v>42112</v>
      </c>
      <c r="U11389" t="s">
        <v>44707</v>
      </c>
      <c r="V11389" t="s">
        <v>54048</v>
      </c>
      <c r="W11389" t="s">
        <v>38052</v>
      </c>
      <c r="X11389" t="s">
        <v>40453</v>
      </c>
    </row>
    <row r="11390" spans="1:24">
      <c r="A11390">
        <f>HYPERLINK("https://www.philgeps.gov.ph/GEPSNONPILOT/Tender/SplashBidNoticeAbstractUI.aspx?menuIndex=3&amp;refID=7023565&amp;Result=3","7023565")</f>
        <v>0</v>
      </c>
      <c r="B11390" t="s">
        <v>2294</v>
      </c>
      <c r="C11390" t="s">
        <v>13972</v>
      </c>
      <c r="D11390" t="s">
        <v>16262</v>
      </c>
      <c r="E11390" t="s">
        <v>26158</v>
      </c>
      <c r="F11390" t="s">
        <v>28198</v>
      </c>
      <c r="G11390" t="s">
        <v>28205</v>
      </c>
      <c r="H11390" t="s">
        <v>28214</v>
      </c>
      <c r="I11390" t="s">
        <v>3797</v>
      </c>
      <c r="J11390" t="s">
        <v>35361</v>
      </c>
      <c r="K11390" t="s">
        <v>36697</v>
      </c>
      <c r="M11390" t="s">
        <v>39469</v>
      </c>
      <c r="N11390" t="s">
        <v>40436</v>
      </c>
      <c r="O11390" t="s">
        <v>40437</v>
      </c>
      <c r="Q11390">
        <v>0</v>
      </c>
      <c r="R11390" t="s">
        <v>40452</v>
      </c>
      <c r="S11390" t="s">
        <v>40607</v>
      </c>
      <c r="T11390" t="s">
        <v>42133</v>
      </c>
      <c r="U11390" t="s">
        <v>52046</v>
      </c>
      <c r="V11390" t="s">
        <v>54563</v>
      </c>
      <c r="W11390" t="s">
        <v>39469</v>
      </c>
      <c r="X11390" t="s">
        <v>40453</v>
      </c>
    </row>
    <row r="11391" spans="1:24">
      <c r="A11391">
        <f>HYPERLINK("https://www.philgeps.gov.ph/GEPSNONPILOT/Tender/SplashBidNoticeAbstractUI.aspx?menuIndex=3&amp;refID=7023499&amp;Result=3","7023499")</f>
        <v>0</v>
      </c>
      <c r="B11391" t="s">
        <v>2194</v>
      </c>
      <c r="C11391" t="s">
        <v>13973</v>
      </c>
      <c r="D11391" t="s">
        <v>16212</v>
      </c>
      <c r="E11391" t="s">
        <v>26159</v>
      </c>
      <c r="F11391" t="s">
        <v>28198</v>
      </c>
      <c r="G11391" t="s">
        <v>28205</v>
      </c>
      <c r="H11391" t="s">
        <v>28214</v>
      </c>
      <c r="I11391" t="s">
        <v>3797</v>
      </c>
      <c r="J11391" t="s">
        <v>28363</v>
      </c>
      <c r="K11391" t="s">
        <v>36694</v>
      </c>
      <c r="M11391" t="s">
        <v>39359</v>
      </c>
      <c r="N11391" t="s">
        <v>40436</v>
      </c>
      <c r="O11391" t="s">
        <v>40437</v>
      </c>
      <c r="P11391">
        <v>0</v>
      </c>
      <c r="Q11391">
        <v>1</v>
      </c>
      <c r="R11391" t="s">
        <v>40452</v>
      </c>
      <c r="S11391" t="s">
        <v>41140</v>
      </c>
      <c r="T11391" t="s">
        <v>42119</v>
      </c>
      <c r="U11391" t="s">
        <v>52047</v>
      </c>
      <c r="W11391" t="s">
        <v>39359</v>
      </c>
      <c r="X11391" t="s">
        <v>40453</v>
      </c>
    </row>
    <row r="11392" spans="1:24">
      <c r="A11392">
        <f>HYPERLINK("https://www.philgeps.gov.ph/GEPSNONPILOT/Tender/SplashBidNoticeAbstractUI.aspx?menuIndex=3&amp;refID=7023568&amp;Result=3","7023568")</f>
        <v>0</v>
      </c>
      <c r="B11392" t="s">
        <v>2199</v>
      </c>
      <c r="C11392" t="s">
        <v>13974</v>
      </c>
      <c r="D11392" t="s">
        <v>16235</v>
      </c>
      <c r="E11392" t="s">
        <v>26160</v>
      </c>
      <c r="F11392" t="s">
        <v>28198</v>
      </c>
      <c r="G11392" t="s">
        <v>28205</v>
      </c>
      <c r="H11392" t="s">
        <v>28214</v>
      </c>
      <c r="I11392" t="s">
        <v>3797</v>
      </c>
      <c r="J11392" t="s">
        <v>35362</v>
      </c>
      <c r="K11392" t="s">
        <v>36689</v>
      </c>
      <c r="M11392" t="s">
        <v>39364</v>
      </c>
      <c r="N11392" t="s">
        <v>40436</v>
      </c>
      <c r="O11392" t="s">
        <v>40437</v>
      </c>
      <c r="P11392">
        <v>0</v>
      </c>
      <c r="Q11392">
        <v>0</v>
      </c>
      <c r="R11392" t="s">
        <v>40452</v>
      </c>
      <c r="S11392" t="s">
        <v>41140</v>
      </c>
      <c r="T11392" t="s">
        <v>42126</v>
      </c>
      <c r="U11392" t="s">
        <v>47326</v>
      </c>
      <c r="W11392" t="s">
        <v>39364</v>
      </c>
      <c r="X11392" t="s">
        <v>40453</v>
      </c>
    </row>
    <row r="11393" spans="1:24">
      <c r="A11393">
        <f>HYPERLINK("https://www.philgeps.gov.ph/GEPSNONPILOT/Tender/SplashBidNoticeAbstractUI.aspx?menuIndex=3&amp;refID=7023532&amp;Result=3","7023532")</f>
        <v>0</v>
      </c>
      <c r="B11393" t="s">
        <v>2294</v>
      </c>
      <c r="C11393" t="s">
        <v>13975</v>
      </c>
      <c r="D11393" t="s">
        <v>16262</v>
      </c>
      <c r="E11393" t="s">
        <v>26161</v>
      </c>
      <c r="F11393" t="s">
        <v>28198</v>
      </c>
      <c r="G11393" t="s">
        <v>28205</v>
      </c>
      <c r="H11393" t="s">
        <v>28214</v>
      </c>
      <c r="I11393" t="s">
        <v>3797</v>
      </c>
      <c r="J11393" t="s">
        <v>35363</v>
      </c>
      <c r="K11393" t="s">
        <v>36701</v>
      </c>
      <c r="M11393" t="s">
        <v>39469</v>
      </c>
      <c r="N11393" t="s">
        <v>40436</v>
      </c>
      <c r="O11393" t="s">
        <v>40437</v>
      </c>
      <c r="Q11393">
        <v>0</v>
      </c>
      <c r="R11393" t="s">
        <v>40452</v>
      </c>
      <c r="S11393" t="s">
        <v>40586</v>
      </c>
      <c r="T11393" t="s">
        <v>42133</v>
      </c>
      <c r="U11393" t="s">
        <v>52048</v>
      </c>
      <c r="V11393" t="s">
        <v>54563</v>
      </c>
      <c r="W11393" t="s">
        <v>39469</v>
      </c>
      <c r="X11393" t="s">
        <v>40453</v>
      </c>
    </row>
    <row r="11394" spans="1:24">
      <c r="A11394">
        <f>HYPERLINK("https://www.philgeps.gov.ph/GEPSNONPILOT/Tender/SplashBidNoticeAbstractUI.aspx?menuIndex=3&amp;refID=7023472&amp;Result=3","7023472")</f>
        <v>0</v>
      </c>
      <c r="B11394" t="s">
        <v>2194</v>
      </c>
      <c r="C11394" t="s">
        <v>13976</v>
      </c>
      <c r="D11394" t="s">
        <v>16212</v>
      </c>
      <c r="E11394" t="s">
        <v>26162</v>
      </c>
      <c r="F11394" t="s">
        <v>28198</v>
      </c>
      <c r="G11394" t="s">
        <v>28205</v>
      </c>
      <c r="H11394" t="s">
        <v>28214</v>
      </c>
      <c r="I11394" t="s">
        <v>3797</v>
      </c>
      <c r="J11394" t="s">
        <v>35364</v>
      </c>
      <c r="K11394" t="s">
        <v>36951</v>
      </c>
      <c r="M11394" t="s">
        <v>39359</v>
      </c>
      <c r="N11394" t="s">
        <v>40436</v>
      </c>
      <c r="O11394" t="s">
        <v>40437</v>
      </c>
      <c r="P11394">
        <v>0</v>
      </c>
      <c r="Q11394">
        <v>1</v>
      </c>
      <c r="R11394" t="s">
        <v>40452</v>
      </c>
      <c r="S11394" t="s">
        <v>41140</v>
      </c>
      <c r="T11394" t="s">
        <v>42119</v>
      </c>
      <c r="U11394" t="s">
        <v>52049</v>
      </c>
      <c r="W11394" t="s">
        <v>39359</v>
      </c>
      <c r="X11394" t="s">
        <v>40453</v>
      </c>
    </row>
    <row r="11395" spans="1:24">
      <c r="A11395">
        <f>HYPERLINK("https://www.philgeps.gov.ph/GEPSNONPILOT/Tender/SplashBidNoticeAbstractUI.aspx?menuIndex=3&amp;refID=7023529&amp;Result=3","7023529")</f>
        <v>0</v>
      </c>
      <c r="B11395" t="s">
        <v>2898</v>
      </c>
      <c r="C11395" t="s">
        <v>13977</v>
      </c>
      <c r="D11395" t="s">
        <v>16210</v>
      </c>
      <c r="E11395" t="s">
        <v>17248</v>
      </c>
      <c r="F11395" t="s">
        <v>28200</v>
      </c>
      <c r="G11395" t="s">
        <v>28205</v>
      </c>
      <c r="H11395" t="s">
        <v>28215</v>
      </c>
      <c r="I11395" t="s">
        <v>4219</v>
      </c>
      <c r="J11395" t="s">
        <v>35365</v>
      </c>
      <c r="K11395" t="s">
        <v>36701</v>
      </c>
      <c r="M11395" t="s">
        <v>40165</v>
      </c>
      <c r="N11395" t="s">
        <v>40436</v>
      </c>
      <c r="O11395" t="s">
        <v>40437</v>
      </c>
      <c r="P11395">
        <v>0</v>
      </c>
      <c r="Q11395">
        <v>3</v>
      </c>
      <c r="R11395" t="s">
        <v>40452</v>
      </c>
      <c r="S11395" t="s">
        <v>41140</v>
      </c>
      <c r="T11395" t="s">
        <v>42570</v>
      </c>
      <c r="U11395" t="s">
        <v>52050</v>
      </c>
      <c r="W11395" t="s">
        <v>40165</v>
      </c>
      <c r="X11395" t="s">
        <v>40453</v>
      </c>
    </row>
    <row r="11396" spans="1:24">
      <c r="A11396">
        <f>HYPERLINK("https://www.philgeps.gov.ph/GEPSNONPILOT/Tender/SplashBidNoticeAbstractUI.aspx?menuIndex=3&amp;refID=7023570&amp;Result=3","7023570")</f>
        <v>0</v>
      </c>
      <c r="B11396" t="s">
        <v>2651</v>
      </c>
      <c r="C11396" t="s">
        <v>13978</v>
      </c>
      <c r="D11396" t="s">
        <v>16261</v>
      </c>
      <c r="E11396" t="s">
        <v>25156</v>
      </c>
      <c r="F11396" t="s">
        <v>28198</v>
      </c>
      <c r="G11396" t="s">
        <v>28205</v>
      </c>
      <c r="H11396" t="s">
        <v>28214</v>
      </c>
      <c r="I11396" t="s">
        <v>3797</v>
      </c>
      <c r="J11396" t="s">
        <v>30783</v>
      </c>
      <c r="K11396" t="s">
        <v>36689</v>
      </c>
      <c r="M11396" t="s">
        <v>39878</v>
      </c>
      <c r="N11396" t="s">
        <v>40436</v>
      </c>
      <c r="O11396" t="s">
        <v>40437</v>
      </c>
      <c r="P11396">
        <v>0</v>
      </c>
      <c r="Q11396">
        <v>0</v>
      </c>
      <c r="R11396" t="s">
        <v>40452</v>
      </c>
      <c r="S11396" t="s">
        <v>41140</v>
      </c>
      <c r="T11396" t="s">
        <v>42133</v>
      </c>
      <c r="U11396" t="s">
        <v>52051</v>
      </c>
      <c r="V11396" t="s">
        <v>55081</v>
      </c>
      <c r="W11396" t="s">
        <v>39878</v>
      </c>
      <c r="X11396" t="s">
        <v>40453</v>
      </c>
    </row>
    <row r="11397" spans="1:24">
      <c r="A11397">
        <f>HYPERLINK("https://www.philgeps.gov.ph/GEPSNONPILOT/Tender/SplashBidNoticeAbstractUI.aspx?menuIndex=3&amp;refID=7023509&amp;Result=3","7023509")</f>
        <v>0</v>
      </c>
      <c r="B11397" t="s">
        <v>1514</v>
      </c>
      <c r="C11397" t="s">
        <v>13979</v>
      </c>
      <c r="D11397" t="s">
        <v>16188</v>
      </c>
      <c r="E11397" t="s">
        <v>26163</v>
      </c>
      <c r="F11397" t="s">
        <v>28198</v>
      </c>
      <c r="G11397" t="s">
        <v>28205</v>
      </c>
      <c r="H11397" t="s">
        <v>28214</v>
      </c>
      <c r="I11397" t="s">
        <v>3797</v>
      </c>
      <c r="J11397" t="s">
        <v>28363</v>
      </c>
      <c r="K11397" t="s">
        <v>36697</v>
      </c>
      <c r="M11397" t="s">
        <v>38591</v>
      </c>
      <c r="N11397" t="s">
        <v>40436</v>
      </c>
      <c r="O11397" t="s">
        <v>40437</v>
      </c>
      <c r="P11397">
        <v>0</v>
      </c>
      <c r="Q11397">
        <v>0</v>
      </c>
      <c r="R11397" t="s">
        <v>40452</v>
      </c>
      <c r="S11397" t="s">
        <v>41140</v>
      </c>
      <c r="T11397" t="s">
        <v>42320</v>
      </c>
      <c r="U11397" t="s">
        <v>52052</v>
      </c>
      <c r="W11397" t="s">
        <v>38591</v>
      </c>
      <c r="X11397" t="s">
        <v>40453</v>
      </c>
    </row>
    <row r="11398" spans="1:24">
      <c r="A11398">
        <f>HYPERLINK("https://www.philgeps.gov.ph/GEPSNONPILOT/Tender/SplashBidNoticeAbstractUI.aspx?menuIndex=3&amp;refID=7023559&amp;Result=3","7023559")</f>
        <v>0</v>
      </c>
      <c r="B11398" t="s">
        <v>2898</v>
      </c>
      <c r="C11398" t="s">
        <v>13980</v>
      </c>
      <c r="D11398" t="s">
        <v>16210</v>
      </c>
      <c r="E11398" t="s">
        <v>16588</v>
      </c>
      <c r="F11398" t="s">
        <v>28200</v>
      </c>
      <c r="G11398" t="s">
        <v>28205</v>
      </c>
      <c r="H11398" t="s">
        <v>28215</v>
      </c>
      <c r="I11398" t="s">
        <v>4200</v>
      </c>
      <c r="J11398" t="s">
        <v>35366</v>
      </c>
      <c r="K11398" t="s">
        <v>36701</v>
      </c>
      <c r="M11398" t="s">
        <v>40165</v>
      </c>
      <c r="N11398" t="s">
        <v>40436</v>
      </c>
      <c r="O11398" t="s">
        <v>40437</v>
      </c>
      <c r="P11398">
        <v>0</v>
      </c>
      <c r="Q11398">
        <v>1</v>
      </c>
      <c r="R11398" t="s">
        <v>40452</v>
      </c>
      <c r="S11398" t="s">
        <v>41140</v>
      </c>
      <c r="T11398" t="s">
        <v>42570</v>
      </c>
      <c r="U11398" t="s">
        <v>52053</v>
      </c>
      <c r="W11398" t="s">
        <v>40165</v>
      </c>
      <c r="X11398" t="s">
        <v>40453</v>
      </c>
    </row>
    <row r="11399" spans="1:24">
      <c r="A11399">
        <f>HYPERLINK("https://www.philgeps.gov.ph/GEPSNONPILOT/Tender/SplashBidNoticeAbstractUI.aspx?menuIndex=3&amp;refID=7023411&amp;Result=3","7023411")</f>
        <v>0</v>
      </c>
      <c r="B11399" t="s">
        <v>884</v>
      </c>
      <c r="C11399" t="s">
        <v>13981</v>
      </c>
      <c r="D11399" t="s">
        <v>16230</v>
      </c>
      <c r="E11399" t="s">
        <v>26164</v>
      </c>
      <c r="F11399" t="s">
        <v>28198</v>
      </c>
      <c r="G11399" t="s">
        <v>28205</v>
      </c>
      <c r="H11399" t="s">
        <v>28215</v>
      </c>
      <c r="I11399" t="s">
        <v>28225</v>
      </c>
      <c r="J11399" t="s">
        <v>35367</v>
      </c>
      <c r="K11399" t="s">
        <v>36706</v>
      </c>
      <c r="L11399" t="s">
        <v>884</v>
      </c>
      <c r="M11399" t="s">
        <v>37900</v>
      </c>
      <c r="N11399" t="s">
        <v>40436</v>
      </c>
      <c r="O11399" t="s">
        <v>40437</v>
      </c>
      <c r="Q11399">
        <v>15</v>
      </c>
      <c r="R11399" t="s">
        <v>40452</v>
      </c>
      <c r="S11399" t="s">
        <v>41199</v>
      </c>
      <c r="T11399" t="s">
        <v>42100</v>
      </c>
      <c r="U11399" t="s">
        <v>44764</v>
      </c>
      <c r="V11399" t="s">
        <v>54057</v>
      </c>
      <c r="W11399" t="s">
        <v>37900</v>
      </c>
      <c r="X11399" t="s">
        <v>40453</v>
      </c>
    </row>
    <row r="11400" spans="1:24">
      <c r="A11400">
        <f>HYPERLINK("https://www.philgeps.gov.ph/GEPSNONPILOT/Tender/SplashBidNoticeAbstractUI.aspx?menuIndex=3&amp;refID=7023478&amp;Result=3","7023478")</f>
        <v>0</v>
      </c>
      <c r="B11400" t="s">
        <v>121</v>
      </c>
      <c r="C11400" t="s">
        <v>13982</v>
      </c>
      <c r="D11400" t="s">
        <v>16207</v>
      </c>
      <c r="E11400" t="s">
        <v>26165</v>
      </c>
      <c r="F11400" t="s">
        <v>28198</v>
      </c>
      <c r="G11400" t="s">
        <v>28205</v>
      </c>
      <c r="H11400" t="s">
        <v>28214</v>
      </c>
      <c r="I11400" t="s">
        <v>3797</v>
      </c>
      <c r="J11400" t="s">
        <v>29608</v>
      </c>
      <c r="K11400" t="s">
        <v>36715</v>
      </c>
      <c r="M11400" t="s">
        <v>37095</v>
      </c>
      <c r="N11400" t="s">
        <v>40436</v>
      </c>
      <c r="O11400" t="s">
        <v>40437</v>
      </c>
      <c r="P11400">
        <v>0</v>
      </c>
      <c r="Q11400">
        <v>1</v>
      </c>
      <c r="R11400" t="s">
        <v>40452</v>
      </c>
      <c r="S11400" t="s">
        <v>41140</v>
      </c>
      <c r="T11400" t="s">
        <v>42188</v>
      </c>
      <c r="U11400" t="s">
        <v>52054</v>
      </c>
      <c r="W11400" t="s">
        <v>37095</v>
      </c>
      <c r="X11400" t="s">
        <v>40453</v>
      </c>
    </row>
    <row r="11401" spans="1:24">
      <c r="A11401">
        <f>HYPERLINK("https://www.philgeps.gov.ph/GEPSNONPILOT/Tender/SplashBidNoticeAbstractUI.aspx?menuIndex=3&amp;refID=7023526&amp;Result=3","7023526")</f>
        <v>0</v>
      </c>
      <c r="B11401" t="s">
        <v>317</v>
      </c>
      <c r="C11401" t="s">
        <v>13983</v>
      </c>
      <c r="D11401" t="s">
        <v>16223</v>
      </c>
      <c r="E11401" t="s">
        <v>26166</v>
      </c>
      <c r="F11401" t="s">
        <v>28198</v>
      </c>
      <c r="G11401" t="s">
        <v>28205</v>
      </c>
      <c r="H11401" t="s">
        <v>28214</v>
      </c>
      <c r="I11401" t="s">
        <v>3797</v>
      </c>
      <c r="J11401" t="s">
        <v>35368</v>
      </c>
      <c r="K11401" t="s">
        <v>36692</v>
      </c>
      <c r="M11401" t="s">
        <v>37824</v>
      </c>
      <c r="N11401" t="s">
        <v>40436</v>
      </c>
      <c r="O11401" t="s">
        <v>40437</v>
      </c>
      <c r="P11401">
        <v>0</v>
      </c>
      <c r="Q11401">
        <v>0</v>
      </c>
      <c r="R11401" t="s">
        <v>40452</v>
      </c>
      <c r="S11401" t="s">
        <v>41140</v>
      </c>
      <c r="T11401" t="s">
        <v>42126</v>
      </c>
      <c r="U11401" t="s">
        <v>52055</v>
      </c>
      <c r="W11401" t="s">
        <v>37824</v>
      </c>
      <c r="X11401" t="s">
        <v>40453</v>
      </c>
    </row>
    <row r="11402" spans="1:24">
      <c r="A11402">
        <f>HYPERLINK("https://www.philgeps.gov.ph/GEPSNONPILOT/Tender/SplashBidNoticeAbstractUI.aspx?menuIndex=3&amp;refID=7023413&amp;Result=3","7023413")</f>
        <v>0</v>
      </c>
      <c r="B11402" t="s">
        <v>1264</v>
      </c>
      <c r="C11402" t="s">
        <v>13984</v>
      </c>
      <c r="D11402" t="s">
        <v>16209</v>
      </c>
      <c r="E11402" t="s">
        <v>26167</v>
      </c>
      <c r="F11402" t="s">
        <v>28198</v>
      </c>
      <c r="G11402" t="s">
        <v>28205</v>
      </c>
      <c r="H11402" t="s">
        <v>28214</v>
      </c>
      <c r="I11402" t="s">
        <v>3797</v>
      </c>
      <c r="J11402" t="s">
        <v>35369</v>
      </c>
      <c r="K11402" t="s">
        <v>36709</v>
      </c>
      <c r="M11402" t="s">
        <v>38314</v>
      </c>
      <c r="N11402" t="s">
        <v>40436</v>
      </c>
      <c r="O11402" t="s">
        <v>40437</v>
      </c>
      <c r="P11402">
        <v>0</v>
      </c>
      <c r="Q11402">
        <v>2</v>
      </c>
      <c r="R11402" t="s">
        <v>40452</v>
      </c>
      <c r="S11402" t="s">
        <v>41140</v>
      </c>
      <c r="T11402" t="s">
        <v>42128</v>
      </c>
      <c r="U11402" t="s">
        <v>52056</v>
      </c>
      <c r="W11402" t="s">
        <v>38314</v>
      </c>
      <c r="X11402" t="s">
        <v>40453</v>
      </c>
    </row>
    <row r="11403" spans="1:24">
      <c r="A11403">
        <f>HYPERLINK("https://www.philgeps.gov.ph/GEPSNONPILOT/Tender/SplashBidNoticeAbstractUI.aspx?menuIndex=3&amp;refID=7023505&amp;Result=3","7023505")</f>
        <v>0</v>
      </c>
      <c r="B11403" t="s">
        <v>1021</v>
      </c>
      <c r="C11403" t="s">
        <v>13985</v>
      </c>
      <c r="D11403" t="s">
        <v>16204</v>
      </c>
      <c r="E11403" t="s">
        <v>26168</v>
      </c>
      <c r="F11403" t="s">
        <v>28198</v>
      </c>
      <c r="G11403" t="s">
        <v>28205</v>
      </c>
      <c r="H11403" t="s">
        <v>28214</v>
      </c>
      <c r="I11403" t="s">
        <v>3797</v>
      </c>
      <c r="J11403" t="s">
        <v>32323</v>
      </c>
      <c r="K11403" t="s">
        <v>36692</v>
      </c>
      <c r="M11403" t="s">
        <v>38052</v>
      </c>
      <c r="N11403" t="s">
        <v>40436</v>
      </c>
      <c r="O11403" t="s">
        <v>40437</v>
      </c>
      <c r="Q11403">
        <v>31</v>
      </c>
      <c r="R11403" t="s">
        <v>40452</v>
      </c>
      <c r="S11403" t="s">
        <v>40613</v>
      </c>
      <c r="T11403" t="s">
        <v>42112</v>
      </c>
      <c r="U11403" t="s">
        <v>51648</v>
      </c>
      <c r="V11403" t="s">
        <v>54048</v>
      </c>
      <c r="W11403" t="s">
        <v>38052</v>
      </c>
      <c r="X11403" t="s">
        <v>40453</v>
      </c>
    </row>
    <row r="11404" spans="1:24">
      <c r="A11404">
        <f>HYPERLINK("https://www.philgeps.gov.ph/GEPSNONPILOT/Tender/SplashBidNoticeAbstractUI.aspx?menuIndex=3&amp;refID=7023402&amp;Result=3","7023402")</f>
        <v>0</v>
      </c>
      <c r="B11404" t="s">
        <v>155</v>
      </c>
      <c r="C11404" t="s">
        <v>13986</v>
      </c>
      <c r="D11404" t="s">
        <v>16235</v>
      </c>
      <c r="E11404" t="s">
        <v>26169</v>
      </c>
      <c r="F11404" t="s">
        <v>28198</v>
      </c>
      <c r="G11404" t="s">
        <v>28205</v>
      </c>
      <c r="H11404" t="s">
        <v>28214</v>
      </c>
      <c r="I11404" t="s">
        <v>3797</v>
      </c>
      <c r="J11404" t="s">
        <v>35370</v>
      </c>
      <c r="K11404" t="s">
        <v>36923</v>
      </c>
      <c r="M11404" t="s">
        <v>37129</v>
      </c>
      <c r="N11404" t="s">
        <v>40436</v>
      </c>
      <c r="O11404" t="s">
        <v>40437</v>
      </c>
      <c r="P11404">
        <v>0</v>
      </c>
      <c r="Q11404">
        <v>0</v>
      </c>
      <c r="R11404" t="s">
        <v>40452</v>
      </c>
      <c r="S11404" t="s">
        <v>41140</v>
      </c>
      <c r="T11404" t="s">
        <v>42103</v>
      </c>
      <c r="U11404" t="s">
        <v>51982</v>
      </c>
      <c r="W11404" t="s">
        <v>37129</v>
      </c>
      <c r="X11404" t="s">
        <v>40453</v>
      </c>
    </row>
    <row r="11405" spans="1:24">
      <c r="A11405">
        <f>HYPERLINK("https://www.philgeps.gov.ph/GEPSNONPILOT/Tender/SplashBidNoticeAbstractUI.aspx?menuIndex=3&amp;refID=7023620&amp;Result=3","7023620")</f>
        <v>0</v>
      </c>
      <c r="B11405" t="s">
        <v>1021</v>
      </c>
      <c r="C11405" t="s">
        <v>13987</v>
      </c>
      <c r="D11405" t="s">
        <v>16204</v>
      </c>
      <c r="E11405" t="s">
        <v>26170</v>
      </c>
      <c r="F11405" t="s">
        <v>28198</v>
      </c>
      <c r="G11405" t="s">
        <v>28205</v>
      </c>
      <c r="H11405" t="s">
        <v>28214</v>
      </c>
      <c r="I11405" t="s">
        <v>3797</v>
      </c>
      <c r="J11405" t="s">
        <v>29566</v>
      </c>
      <c r="K11405" t="s">
        <v>36692</v>
      </c>
      <c r="M11405" t="s">
        <v>38052</v>
      </c>
      <c r="N11405" t="s">
        <v>40436</v>
      </c>
      <c r="O11405" t="s">
        <v>40437</v>
      </c>
      <c r="P11405">
        <v>0</v>
      </c>
      <c r="Q11405">
        <v>25</v>
      </c>
      <c r="R11405" t="s">
        <v>40452</v>
      </c>
      <c r="S11405" t="s">
        <v>41140</v>
      </c>
      <c r="T11405" t="s">
        <v>42112</v>
      </c>
      <c r="U11405" t="s">
        <v>44707</v>
      </c>
      <c r="V11405" t="s">
        <v>54048</v>
      </c>
      <c r="W11405" t="s">
        <v>38052</v>
      </c>
      <c r="X11405" t="s">
        <v>40453</v>
      </c>
    </row>
    <row r="11406" spans="1:24">
      <c r="A11406">
        <f>HYPERLINK("https://www.philgeps.gov.ph/GEPSNONPILOT/Tender/SplashBidNoticeAbstractUI.aspx?menuIndex=3&amp;refID=7023653&amp;Result=3","7023653")</f>
        <v>0</v>
      </c>
      <c r="B11406" t="s">
        <v>806</v>
      </c>
      <c r="C11406" t="s">
        <v>13988</v>
      </c>
      <c r="D11406" t="s">
        <v>16188</v>
      </c>
      <c r="E11406" t="s">
        <v>26171</v>
      </c>
      <c r="F11406" t="s">
        <v>28198</v>
      </c>
      <c r="G11406" t="s">
        <v>28205</v>
      </c>
      <c r="H11406" t="s">
        <v>28214</v>
      </c>
      <c r="I11406" t="s">
        <v>3797</v>
      </c>
      <c r="J11406" t="s">
        <v>35371</v>
      </c>
      <c r="K11406" t="s">
        <v>36737</v>
      </c>
      <c r="M11406" t="s">
        <v>37814</v>
      </c>
      <c r="N11406" t="s">
        <v>40436</v>
      </c>
      <c r="O11406" t="s">
        <v>40437</v>
      </c>
      <c r="P11406">
        <v>0</v>
      </c>
      <c r="Q11406">
        <v>0</v>
      </c>
      <c r="R11406" t="s">
        <v>40452</v>
      </c>
      <c r="S11406" t="s">
        <v>41140</v>
      </c>
      <c r="T11406" t="s">
        <v>42175</v>
      </c>
      <c r="U11406" t="s">
        <v>52057</v>
      </c>
      <c r="W11406" t="s">
        <v>37814</v>
      </c>
      <c r="X11406" t="s">
        <v>40453</v>
      </c>
    </row>
    <row r="11407" spans="1:24">
      <c r="A11407">
        <f>HYPERLINK("https://www.philgeps.gov.ph/GEPSNONPILOT/Tender/SplashBidNoticeAbstractUI.aspx?menuIndex=3&amp;refID=7023689&amp;Result=3","7023689")</f>
        <v>0</v>
      </c>
      <c r="B11407" t="s">
        <v>2896</v>
      </c>
      <c r="C11407" t="s">
        <v>13989</v>
      </c>
      <c r="D11407" t="s">
        <v>16210</v>
      </c>
      <c r="E11407" t="s">
        <v>26172</v>
      </c>
      <c r="F11407" t="s">
        <v>28198</v>
      </c>
      <c r="G11407" t="s">
        <v>28205</v>
      </c>
      <c r="H11407" t="s">
        <v>28215</v>
      </c>
      <c r="I11407" t="s">
        <v>8888</v>
      </c>
      <c r="J11407" t="s">
        <v>35372</v>
      </c>
      <c r="K11407" t="s">
        <v>36707</v>
      </c>
      <c r="M11407" t="s">
        <v>40163</v>
      </c>
      <c r="N11407" t="s">
        <v>40436</v>
      </c>
      <c r="O11407" t="s">
        <v>40437</v>
      </c>
      <c r="P11407">
        <v>0</v>
      </c>
      <c r="Q11407">
        <v>6</v>
      </c>
      <c r="R11407" t="s">
        <v>40452</v>
      </c>
      <c r="S11407" t="s">
        <v>41140</v>
      </c>
      <c r="T11407" t="s">
        <v>42238</v>
      </c>
      <c r="U11407" t="s">
        <v>52045</v>
      </c>
      <c r="W11407" t="s">
        <v>40163</v>
      </c>
      <c r="X11407" t="s">
        <v>40453</v>
      </c>
    </row>
    <row r="11408" spans="1:24">
      <c r="A11408">
        <f>HYPERLINK("https://www.philgeps.gov.ph/GEPSNONPILOT/Tender/SplashBidNoticeAbstractUI.aspx?menuIndex=3&amp;refID=7023687&amp;Result=3","7023687")</f>
        <v>0</v>
      </c>
      <c r="B11408" t="s">
        <v>2307</v>
      </c>
      <c r="C11408" t="s">
        <v>13990</v>
      </c>
      <c r="D11408" t="s">
        <v>16234</v>
      </c>
      <c r="E11408" t="s">
        <v>26173</v>
      </c>
      <c r="F11408" t="s">
        <v>28198</v>
      </c>
      <c r="G11408" t="s">
        <v>28205</v>
      </c>
      <c r="H11408" t="s">
        <v>28215</v>
      </c>
      <c r="I11408" t="s">
        <v>4200</v>
      </c>
      <c r="J11408" t="s">
        <v>35373</v>
      </c>
      <c r="K11408" t="s">
        <v>36706</v>
      </c>
      <c r="M11408" t="s">
        <v>39483</v>
      </c>
      <c r="N11408" t="s">
        <v>40436</v>
      </c>
      <c r="O11408" t="s">
        <v>40437</v>
      </c>
      <c r="P11408">
        <v>0</v>
      </c>
      <c r="Q11408">
        <v>5</v>
      </c>
      <c r="R11408" t="s">
        <v>40452</v>
      </c>
      <c r="S11408" t="s">
        <v>41140</v>
      </c>
      <c r="T11408" t="s">
        <v>42228</v>
      </c>
      <c r="U11408" t="s">
        <v>52058</v>
      </c>
      <c r="W11408" t="s">
        <v>39483</v>
      </c>
      <c r="X11408" t="s">
        <v>40453</v>
      </c>
    </row>
    <row r="11409" spans="1:24">
      <c r="A11409">
        <f>HYPERLINK("https://www.philgeps.gov.ph/GEPSNONPILOT/Tender/SplashBidNoticeAbstractUI.aspx?menuIndex=3&amp;refID=7023681&amp;Result=3","7023681")</f>
        <v>0</v>
      </c>
      <c r="B11409" t="s">
        <v>2328</v>
      </c>
      <c r="C11409" t="s">
        <v>13991</v>
      </c>
      <c r="D11409" t="s">
        <v>16200</v>
      </c>
      <c r="E11409" t="s">
        <v>26174</v>
      </c>
      <c r="F11409" t="s">
        <v>28198</v>
      </c>
      <c r="G11409" t="s">
        <v>28208</v>
      </c>
      <c r="H11409" t="s">
        <v>28214</v>
      </c>
      <c r="I11409" t="s">
        <v>3797</v>
      </c>
      <c r="J11409" t="s">
        <v>29714</v>
      </c>
      <c r="K11409" t="s">
        <v>36710</v>
      </c>
      <c r="M11409" t="s">
        <v>39506</v>
      </c>
      <c r="N11409" t="s">
        <v>40436</v>
      </c>
      <c r="O11409" t="s">
        <v>40437</v>
      </c>
      <c r="Q11409">
        <v>3</v>
      </c>
      <c r="R11409" t="s">
        <v>40452</v>
      </c>
      <c r="S11409" t="s">
        <v>41200</v>
      </c>
      <c r="T11409" t="s">
        <v>42103</v>
      </c>
      <c r="U11409" t="s">
        <v>46684</v>
      </c>
      <c r="W11409" t="s">
        <v>39506</v>
      </c>
      <c r="X11409" t="s">
        <v>40453</v>
      </c>
    </row>
    <row r="11410" spans="1:24">
      <c r="A11410">
        <f>HYPERLINK("https://www.philgeps.gov.ph/GEPSNONPILOT/Tender/SplashBidNoticeAbstractUI.aspx?menuIndex=3&amp;refID=7023686&amp;Result=3","7023686")</f>
        <v>0</v>
      </c>
      <c r="B11410" t="s">
        <v>1345</v>
      </c>
      <c r="C11410" t="s">
        <v>13992</v>
      </c>
      <c r="D11410" t="s">
        <v>16247</v>
      </c>
      <c r="E11410" t="s">
        <v>26175</v>
      </c>
      <c r="F11410" t="s">
        <v>28198</v>
      </c>
      <c r="G11410" t="s">
        <v>28205</v>
      </c>
      <c r="H11410" t="s">
        <v>28214</v>
      </c>
      <c r="I11410" t="s">
        <v>3797</v>
      </c>
      <c r="J11410" t="s">
        <v>33132</v>
      </c>
      <c r="K11410" t="s">
        <v>36701</v>
      </c>
      <c r="M11410" t="s">
        <v>38403</v>
      </c>
      <c r="N11410" t="s">
        <v>40436</v>
      </c>
      <c r="O11410" t="s">
        <v>40437</v>
      </c>
      <c r="P11410">
        <v>0</v>
      </c>
      <c r="Q11410">
        <v>0</v>
      </c>
      <c r="R11410" t="s">
        <v>40452</v>
      </c>
      <c r="S11410" t="s">
        <v>41140</v>
      </c>
      <c r="T11410" t="s">
        <v>42133</v>
      </c>
      <c r="U11410" t="s">
        <v>45667</v>
      </c>
      <c r="W11410" t="s">
        <v>38403</v>
      </c>
      <c r="X11410" t="s">
        <v>40453</v>
      </c>
    </row>
    <row r="11411" spans="1:24">
      <c r="A11411">
        <f>HYPERLINK("https://www.philgeps.gov.ph/GEPSNONPILOT/Tender/SplashBidNoticeAbstractUI.aspx?menuIndex=3&amp;refID=7023651&amp;Result=3","7023651")</f>
        <v>0</v>
      </c>
      <c r="B11411" t="s">
        <v>317</v>
      </c>
      <c r="C11411" t="s">
        <v>13993</v>
      </c>
      <c r="D11411" t="s">
        <v>16223</v>
      </c>
      <c r="E11411" t="s">
        <v>26176</v>
      </c>
      <c r="F11411" t="s">
        <v>28198</v>
      </c>
      <c r="G11411" t="s">
        <v>28205</v>
      </c>
      <c r="H11411" t="s">
        <v>28214</v>
      </c>
      <c r="I11411" t="s">
        <v>3797</v>
      </c>
      <c r="J11411" t="s">
        <v>35374</v>
      </c>
      <c r="K11411" t="s">
        <v>36692</v>
      </c>
      <c r="M11411" t="s">
        <v>37824</v>
      </c>
      <c r="N11411" t="s">
        <v>40436</v>
      </c>
      <c r="O11411" t="s">
        <v>40437</v>
      </c>
      <c r="P11411">
        <v>0</v>
      </c>
      <c r="Q11411">
        <v>0</v>
      </c>
      <c r="R11411" t="s">
        <v>40452</v>
      </c>
      <c r="S11411" t="s">
        <v>41140</v>
      </c>
      <c r="T11411" t="s">
        <v>42126</v>
      </c>
      <c r="U11411" t="s">
        <v>52059</v>
      </c>
      <c r="W11411" t="s">
        <v>37824</v>
      </c>
      <c r="X11411" t="s">
        <v>40453</v>
      </c>
    </row>
    <row r="11412" spans="1:24">
      <c r="A11412">
        <f>HYPERLINK("https://www.philgeps.gov.ph/GEPSNONPILOT/Tender/SplashBidNoticeAbstractUI.aspx?menuIndex=3&amp;refID=7023672&amp;Result=3","7023672")</f>
        <v>0</v>
      </c>
      <c r="B11412" t="s">
        <v>806</v>
      </c>
      <c r="C11412" t="s">
        <v>13994</v>
      </c>
      <c r="D11412" t="s">
        <v>16188</v>
      </c>
      <c r="E11412" t="s">
        <v>26177</v>
      </c>
      <c r="F11412" t="s">
        <v>28198</v>
      </c>
      <c r="G11412" t="s">
        <v>28205</v>
      </c>
      <c r="H11412" t="s">
        <v>28214</v>
      </c>
      <c r="I11412" t="s">
        <v>3797</v>
      </c>
      <c r="J11412" t="s">
        <v>28351</v>
      </c>
      <c r="K11412" t="s">
        <v>36709</v>
      </c>
      <c r="M11412" t="s">
        <v>37814</v>
      </c>
      <c r="N11412" t="s">
        <v>40436</v>
      </c>
      <c r="O11412" t="s">
        <v>40437</v>
      </c>
      <c r="P11412">
        <v>0</v>
      </c>
      <c r="Q11412">
        <v>0</v>
      </c>
      <c r="R11412" t="s">
        <v>40452</v>
      </c>
      <c r="S11412" t="s">
        <v>41140</v>
      </c>
      <c r="T11412" t="s">
        <v>42175</v>
      </c>
      <c r="U11412" t="s">
        <v>52057</v>
      </c>
      <c r="W11412" t="s">
        <v>37814</v>
      </c>
      <c r="X11412" t="s">
        <v>40453</v>
      </c>
    </row>
    <row r="11413" spans="1:24">
      <c r="A11413">
        <f>HYPERLINK("https://www.philgeps.gov.ph/GEPSNONPILOT/Tender/SplashBidNoticeAbstractUI.aspx?menuIndex=3&amp;refID=7023691&amp;Result=3","7023691")</f>
        <v>0</v>
      </c>
      <c r="B11413" t="s">
        <v>1021</v>
      </c>
      <c r="C11413" t="s">
        <v>13995</v>
      </c>
      <c r="D11413" t="s">
        <v>16204</v>
      </c>
      <c r="E11413" t="s">
        <v>26178</v>
      </c>
      <c r="F11413" t="s">
        <v>28198</v>
      </c>
      <c r="G11413" t="s">
        <v>28205</v>
      </c>
      <c r="H11413" t="s">
        <v>28214</v>
      </c>
      <c r="I11413" t="s">
        <v>3797</v>
      </c>
      <c r="J11413" t="s">
        <v>29566</v>
      </c>
      <c r="K11413" t="s">
        <v>36692</v>
      </c>
      <c r="M11413" t="s">
        <v>38052</v>
      </c>
      <c r="N11413" t="s">
        <v>40436</v>
      </c>
      <c r="O11413" t="s">
        <v>40437</v>
      </c>
      <c r="P11413">
        <v>0</v>
      </c>
      <c r="Q11413">
        <v>23</v>
      </c>
      <c r="R11413" t="s">
        <v>40452</v>
      </c>
      <c r="S11413" t="s">
        <v>41140</v>
      </c>
      <c r="T11413" t="s">
        <v>42112</v>
      </c>
      <c r="U11413" t="s">
        <v>44707</v>
      </c>
      <c r="V11413" t="s">
        <v>54048</v>
      </c>
      <c r="W11413" t="s">
        <v>38052</v>
      </c>
      <c r="X11413" t="s">
        <v>40453</v>
      </c>
    </row>
    <row r="11414" spans="1:24">
      <c r="A11414">
        <f>HYPERLINK("https://www.philgeps.gov.ph/GEPSNONPILOT/Tender/SplashBidNoticeAbstractUI.aspx?menuIndex=3&amp;refID=7023675&amp;Result=3","7023675")</f>
        <v>0</v>
      </c>
      <c r="B11414" t="s">
        <v>2083</v>
      </c>
      <c r="C11414" t="s">
        <v>13996</v>
      </c>
      <c r="D11414" t="s">
        <v>16192</v>
      </c>
      <c r="E11414" t="s">
        <v>26179</v>
      </c>
      <c r="F11414" t="s">
        <v>28198</v>
      </c>
      <c r="G11414" t="s">
        <v>28207</v>
      </c>
      <c r="H11414" t="s">
        <v>28215</v>
      </c>
      <c r="I11414" t="s">
        <v>28246</v>
      </c>
      <c r="J11414" t="s">
        <v>31173</v>
      </c>
      <c r="K11414" t="s">
        <v>36707</v>
      </c>
      <c r="M11414" t="s">
        <v>39232</v>
      </c>
      <c r="N11414" t="s">
        <v>40436</v>
      </c>
      <c r="O11414" t="s">
        <v>40437</v>
      </c>
      <c r="Q11414">
        <v>1</v>
      </c>
      <c r="R11414" t="s">
        <v>40452</v>
      </c>
      <c r="S11414" t="s">
        <v>41201</v>
      </c>
      <c r="T11414" t="s">
        <v>42133</v>
      </c>
      <c r="U11414" t="s">
        <v>52060</v>
      </c>
      <c r="W11414" t="s">
        <v>39232</v>
      </c>
      <c r="X11414" t="s">
        <v>40453</v>
      </c>
    </row>
    <row r="11415" spans="1:24">
      <c r="A11415">
        <f>HYPERLINK("https://www.philgeps.gov.ph/GEPSNONPILOT/Tender/SplashBidNoticeAbstractUI.aspx?menuIndex=3&amp;refID=7023664&amp;Result=3","7023664")</f>
        <v>0</v>
      </c>
      <c r="B11415" t="s">
        <v>1345</v>
      </c>
      <c r="C11415" t="s">
        <v>13997</v>
      </c>
      <c r="D11415" t="s">
        <v>16247</v>
      </c>
      <c r="E11415" t="s">
        <v>26180</v>
      </c>
      <c r="F11415" t="s">
        <v>28198</v>
      </c>
      <c r="G11415" t="s">
        <v>28205</v>
      </c>
      <c r="H11415" t="s">
        <v>28214</v>
      </c>
      <c r="I11415" t="s">
        <v>3797</v>
      </c>
      <c r="J11415" t="s">
        <v>29479</v>
      </c>
      <c r="K11415" t="s">
        <v>36737</v>
      </c>
      <c r="M11415" t="s">
        <v>38403</v>
      </c>
      <c r="N11415" t="s">
        <v>40436</v>
      </c>
      <c r="O11415" t="s">
        <v>40437</v>
      </c>
      <c r="P11415">
        <v>0</v>
      </c>
      <c r="Q11415">
        <v>0</v>
      </c>
      <c r="R11415" t="s">
        <v>40452</v>
      </c>
      <c r="S11415" t="s">
        <v>41140</v>
      </c>
      <c r="T11415" t="s">
        <v>42133</v>
      </c>
      <c r="U11415" t="s">
        <v>45667</v>
      </c>
      <c r="W11415" t="s">
        <v>38403</v>
      </c>
      <c r="X11415" t="s">
        <v>40453</v>
      </c>
    </row>
    <row r="11416" spans="1:24">
      <c r="A11416">
        <f>HYPERLINK("https://www.philgeps.gov.ph/GEPSNONPILOT/Tender/SplashBidNoticeAbstractUI.aspx?menuIndex=3&amp;refID=7023626&amp;Result=3","7023626")</f>
        <v>0</v>
      </c>
      <c r="B11416" t="s">
        <v>848</v>
      </c>
      <c r="C11416" t="s">
        <v>13998</v>
      </c>
      <c r="D11416" t="s">
        <v>16219</v>
      </c>
      <c r="E11416" t="s">
        <v>26181</v>
      </c>
      <c r="F11416" t="s">
        <v>28198</v>
      </c>
      <c r="G11416" t="s">
        <v>28205</v>
      </c>
      <c r="H11416" t="s">
        <v>28215</v>
      </c>
      <c r="I11416" t="s">
        <v>28228</v>
      </c>
      <c r="J11416" t="s">
        <v>35375</v>
      </c>
      <c r="K11416" t="s">
        <v>36689</v>
      </c>
      <c r="M11416" t="s">
        <v>38541</v>
      </c>
      <c r="N11416" t="s">
        <v>40436</v>
      </c>
      <c r="O11416" t="s">
        <v>40437</v>
      </c>
      <c r="P11416">
        <v>0</v>
      </c>
      <c r="Q11416">
        <v>0</v>
      </c>
      <c r="R11416" t="s">
        <v>40452</v>
      </c>
      <c r="S11416" t="s">
        <v>41140</v>
      </c>
      <c r="T11416" t="s">
        <v>42133</v>
      </c>
      <c r="U11416" t="s">
        <v>52061</v>
      </c>
      <c r="W11416" t="s">
        <v>38541</v>
      </c>
      <c r="X11416" t="s">
        <v>40453</v>
      </c>
    </row>
    <row r="11417" spans="1:24">
      <c r="A11417">
        <f>HYPERLINK("https://www.philgeps.gov.ph/GEPSNONPILOT/Tender/SplashBidNoticeAbstractUI.aspx?menuIndex=3&amp;refID=7023650&amp;Result=3","7023650")</f>
        <v>0</v>
      </c>
      <c r="B11417" t="s">
        <v>848</v>
      </c>
      <c r="C11417" t="s">
        <v>13999</v>
      </c>
      <c r="D11417" t="s">
        <v>16219</v>
      </c>
      <c r="E11417" t="s">
        <v>26182</v>
      </c>
      <c r="F11417" t="s">
        <v>28198</v>
      </c>
      <c r="G11417" t="s">
        <v>28205</v>
      </c>
      <c r="H11417" t="s">
        <v>28215</v>
      </c>
      <c r="I11417" t="s">
        <v>28236</v>
      </c>
      <c r="J11417" t="s">
        <v>28699</v>
      </c>
      <c r="K11417" t="s">
        <v>36689</v>
      </c>
      <c r="M11417" t="s">
        <v>38541</v>
      </c>
      <c r="N11417" t="s">
        <v>40436</v>
      </c>
      <c r="O11417" t="s">
        <v>40437</v>
      </c>
      <c r="P11417">
        <v>0</v>
      </c>
      <c r="Q11417">
        <v>5</v>
      </c>
      <c r="R11417" t="s">
        <v>40452</v>
      </c>
      <c r="S11417" t="s">
        <v>41140</v>
      </c>
      <c r="T11417" t="s">
        <v>42133</v>
      </c>
      <c r="U11417" t="s">
        <v>52062</v>
      </c>
      <c r="W11417" t="s">
        <v>38541</v>
      </c>
      <c r="X11417" t="s">
        <v>40453</v>
      </c>
    </row>
    <row r="11418" spans="1:24">
      <c r="A11418">
        <f>HYPERLINK("https://www.philgeps.gov.ph/GEPSNONPILOT/Tender/SplashBidNoticeAbstractUI.aspx?menuIndex=3&amp;refID=7023637&amp;Result=3","7023637")</f>
        <v>0</v>
      </c>
      <c r="B11418" t="s">
        <v>1345</v>
      </c>
      <c r="C11418" t="s">
        <v>14000</v>
      </c>
      <c r="D11418" t="s">
        <v>16247</v>
      </c>
      <c r="E11418" t="s">
        <v>26183</v>
      </c>
      <c r="F11418" t="s">
        <v>28198</v>
      </c>
      <c r="G11418" t="s">
        <v>28205</v>
      </c>
      <c r="H11418" t="s">
        <v>28214</v>
      </c>
      <c r="I11418" t="s">
        <v>3797</v>
      </c>
      <c r="J11418" t="s">
        <v>30526</v>
      </c>
      <c r="K11418" t="s">
        <v>36694</v>
      </c>
      <c r="M11418" t="s">
        <v>38403</v>
      </c>
      <c r="N11418" t="s">
        <v>40436</v>
      </c>
      <c r="O11418" t="s">
        <v>40437</v>
      </c>
      <c r="P11418">
        <v>0</v>
      </c>
      <c r="Q11418">
        <v>0</v>
      </c>
      <c r="R11418" t="s">
        <v>40452</v>
      </c>
      <c r="S11418" t="s">
        <v>41140</v>
      </c>
      <c r="T11418" t="s">
        <v>42133</v>
      </c>
      <c r="U11418" t="s">
        <v>45667</v>
      </c>
      <c r="W11418" t="s">
        <v>38403</v>
      </c>
      <c r="X11418" t="s">
        <v>40453</v>
      </c>
    </row>
    <row r="11419" spans="1:24">
      <c r="A11419">
        <f>HYPERLINK("https://www.philgeps.gov.ph/GEPSNONPILOT/Tender/SplashBidNoticeAbstractUI.aspx?menuIndex=3&amp;refID=7023695&amp;Result=3","7023695")</f>
        <v>0</v>
      </c>
      <c r="B11419" t="s">
        <v>1032</v>
      </c>
      <c r="C11419" t="s">
        <v>14001</v>
      </c>
      <c r="D11419" t="s">
        <v>16210</v>
      </c>
      <c r="E11419" t="s">
        <v>18192</v>
      </c>
      <c r="F11419" t="s">
        <v>28198</v>
      </c>
      <c r="G11419" t="s">
        <v>28205</v>
      </c>
      <c r="H11419" t="s">
        <v>28215</v>
      </c>
      <c r="I11419" t="s">
        <v>28341</v>
      </c>
      <c r="J11419" t="s">
        <v>35376</v>
      </c>
      <c r="K11419" t="s">
        <v>36690</v>
      </c>
      <c r="M11419" t="s">
        <v>38064</v>
      </c>
      <c r="N11419" t="s">
        <v>40436</v>
      </c>
      <c r="O11419" t="s">
        <v>40437</v>
      </c>
      <c r="Q11419">
        <v>10</v>
      </c>
      <c r="R11419" t="s">
        <v>40452</v>
      </c>
      <c r="S11419" t="s">
        <v>41202</v>
      </c>
      <c r="T11419" t="s">
        <v>42316</v>
      </c>
      <c r="U11419" t="s">
        <v>52063</v>
      </c>
      <c r="W11419" t="s">
        <v>38064</v>
      </c>
      <c r="X11419" t="s">
        <v>40453</v>
      </c>
    </row>
    <row r="11420" spans="1:24">
      <c r="A11420">
        <f>HYPERLINK("https://www.philgeps.gov.ph/GEPSNONPILOT/Tender/SplashBidNoticeAbstractUI.aspx?menuIndex=3&amp;refID=7023668&amp;Result=3","7023668")</f>
        <v>0</v>
      </c>
      <c r="B11420" t="s">
        <v>848</v>
      </c>
      <c r="C11420" t="s">
        <v>14002</v>
      </c>
      <c r="D11420" t="s">
        <v>16219</v>
      </c>
      <c r="E11420" t="s">
        <v>26184</v>
      </c>
      <c r="F11420" t="s">
        <v>28198</v>
      </c>
      <c r="G11420" t="s">
        <v>28205</v>
      </c>
      <c r="H11420" t="s">
        <v>28215</v>
      </c>
      <c r="I11420" t="s">
        <v>28222</v>
      </c>
      <c r="J11420" t="s">
        <v>28347</v>
      </c>
      <c r="K11420" t="s">
        <v>36689</v>
      </c>
      <c r="M11420" t="s">
        <v>38541</v>
      </c>
      <c r="N11420" t="s">
        <v>40436</v>
      </c>
      <c r="O11420" t="s">
        <v>40437</v>
      </c>
      <c r="P11420">
        <v>0</v>
      </c>
      <c r="Q11420">
        <v>8</v>
      </c>
      <c r="R11420" t="s">
        <v>40452</v>
      </c>
      <c r="S11420" t="s">
        <v>41140</v>
      </c>
      <c r="T11420" t="s">
        <v>42133</v>
      </c>
      <c r="U11420" t="s">
        <v>52064</v>
      </c>
      <c r="W11420" t="s">
        <v>38541</v>
      </c>
      <c r="X11420" t="s">
        <v>40453</v>
      </c>
    </row>
    <row r="11421" spans="1:24">
      <c r="A11421">
        <f>HYPERLINK("https://www.philgeps.gov.ph/GEPSNONPILOT/Tender/SplashBidNoticeAbstractUI.aspx?menuIndex=3&amp;refID=7023625&amp;Result=3","7023625")</f>
        <v>0</v>
      </c>
      <c r="B11421" t="s">
        <v>2826</v>
      </c>
      <c r="C11421" t="s">
        <v>14003</v>
      </c>
      <c r="D11421" t="s">
        <v>16206</v>
      </c>
      <c r="E11421" t="s">
        <v>18093</v>
      </c>
      <c r="F11421" t="s">
        <v>28198</v>
      </c>
      <c r="G11421" t="s">
        <v>28205</v>
      </c>
      <c r="H11421" t="s">
        <v>28214</v>
      </c>
      <c r="I11421" t="s">
        <v>3797</v>
      </c>
      <c r="J11421" t="s">
        <v>35377</v>
      </c>
      <c r="K11421" t="s">
        <v>36715</v>
      </c>
      <c r="M11421" t="s">
        <v>40078</v>
      </c>
      <c r="N11421" t="s">
        <v>40436</v>
      </c>
      <c r="O11421" t="s">
        <v>40437</v>
      </c>
      <c r="P11421">
        <v>0</v>
      </c>
      <c r="Q11421">
        <v>0</v>
      </c>
      <c r="R11421" t="s">
        <v>40452</v>
      </c>
      <c r="S11421" t="s">
        <v>41140</v>
      </c>
      <c r="T11421" t="s">
        <v>42142</v>
      </c>
      <c r="U11421" t="s">
        <v>52065</v>
      </c>
      <c r="V11421" t="s">
        <v>55086</v>
      </c>
      <c r="W11421" t="s">
        <v>40078</v>
      </c>
      <c r="X11421" t="s">
        <v>40453</v>
      </c>
    </row>
    <row r="11422" spans="1:24">
      <c r="A11422">
        <f>HYPERLINK("https://www.philgeps.gov.ph/GEPSNONPILOT/Tender/SplashBidNoticeAbstractUI.aspx?menuIndex=3&amp;refID=7023656&amp;Result=3","7023656")</f>
        <v>0</v>
      </c>
      <c r="B11422" t="s">
        <v>2389</v>
      </c>
      <c r="C11422" t="s">
        <v>14004</v>
      </c>
      <c r="D11422" t="s">
        <v>16193</v>
      </c>
      <c r="E11422" t="s">
        <v>26185</v>
      </c>
      <c r="F11422" t="s">
        <v>28198</v>
      </c>
      <c r="G11422" t="s">
        <v>28205</v>
      </c>
      <c r="H11422" t="s">
        <v>28215</v>
      </c>
      <c r="I11422" t="s">
        <v>8888</v>
      </c>
      <c r="J11422" t="s">
        <v>31766</v>
      </c>
      <c r="K11422" t="s">
        <v>36701</v>
      </c>
      <c r="M11422" t="s">
        <v>39575</v>
      </c>
      <c r="N11422" t="s">
        <v>40436</v>
      </c>
      <c r="O11422" t="s">
        <v>40437</v>
      </c>
      <c r="P11422">
        <v>0</v>
      </c>
      <c r="Q11422">
        <v>5</v>
      </c>
      <c r="R11422" t="s">
        <v>40452</v>
      </c>
      <c r="S11422" t="s">
        <v>41140</v>
      </c>
      <c r="T11422" t="s">
        <v>42103</v>
      </c>
      <c r="U11422" t="s">
        <v>52066</v>
      </c>
      <c r="V11422" t="s">
        <v>55087</v>
      </c>
      <c r="W11422" t="s">
        <v>39575</v>
      </c>
      <c r="X11422" t="s">
        <v>40453</v>
      </c>
    </row>
    <row r="11423" spans="1:24">
      <c r="A11423">
        <f>HYPERLINK("https://www.philgeps.gov.ph/GEPSNONPILOT/Tender/SplashBidNoticeAbstractUI.aspx?menuIndex=3&amp;refID=7023624&amp;Result=3","7023624")</f>
        <v>0</v>
      </c>
      <c r="B11423" t="s">
        <v>806</v>
      </c>
      <c r="C11423" t="s">
        <v>14005</v>
      </c>
      <c r="D11423" t="s">
        <v>16188</v>
      </c>
      <c r="E11423" t="s">
        <v>26186</v>
      </c>
      <c r="F11423" t="s">
        <v>28198</v>
      </c>
      <c r="G11423" t="s">
        <v>28205</v>
      </c>
      <c r="H11423" t="s">
        <v>28214</v>
      </c>
      <c r="I11423" t="s">
        <v>3797</v>
      </c>
      <c r="J11423" t="s">
        <v>28363</v>
      </c>
      <c r="K11423" t="s">
        <v>36737</v>
      </c>
      <c r="M11423" t="s">
        <v>37814</v>
      </c>
      <c r="N11423" t="s">
        <v>40436</v>
      </c>
      <c r="O11423" t="s">
        <v>40437</v>
      </c>
      <c r="P11423">
        <v>0</v>
      </c>
      <c r="Q11423">
        <v>0</v>
      </c>
      <c r="R11423" t="s">
        <v>40452</v>
      </c>
      <c r="S11423" t="s">
        <v>41140</v>
      </c>
      <c r="T11423" t="s">
        <v>42133</v>
      </c>
      <c r="U11423" t="s">
        <v>52057</v>
      </c>
      <c r="W11423" t="s">
        <v>37814</v>
      </c>
      <c r="X11423" t="s">
        <v>40453</v>
      </c>
    </row>
    <row r="11424" spans="1:24">
      <c r="A11424">
        <f>HYPERLINK("https://www.philgeps.gov.ph/GEPSNONPILOT/Tender/SplashBidNoticeAbstractUI.aspx?menuIndex=3&amp;refID=7023723&amp;Result=3","7023723")</f>
        <v>0</v>
      </c>
      <c r="B11424" t="s">
        <v>1497</v>
      </c>
      <c r="C11424" t="s">
        <v>14006</v>
      </c>
      <c r="D11424" t="s">
        <v>16211</v>
      </c>
      <c r="E11424" t="s">
        <v>26187</v>
      </c>
      <c r="F11424" t="s">
        <v>28198</v>
      </c>
      <c r="G11424" t="s">
        <v>28205</v>
      </c>
      <c r="H11424" t="s">
        <v>28215</v>
      </c>
      <c r="I11424" t="s">
        <v>8870</v>
      </c>
      <c r="J11424" t="s">
        <v>35378</v>
      </c>
      <c r="K11424" t="s">
        <v>36688</v>
      </c>
      <c r="M11424" t="s">
        <v>38572</v>
      </c>
      <c r="N11424" t="s">
        <v>40436</v>
      </c>
      <c r="O11424" t="s">
        <v>40437</v>
      </c>
      <c r="P11424">
        <v>0</v>
      </c>
      <c r="Q11424">
        <v>1</v>
      </c>
      <c r="R11424" t="s">
        <v>40452</v>
      </c>
      <c r="S11424" t="s">
        <v>41140</v>
      </c>
      <c r="T11424" t="s">
        <v>42183</v>
      </c>
      <c r="U11424" t="s">
        <v>52067</v>
      </c>
      <c r="V11424" t="s">
        <v>55088</v>
      </c>
      <c r="W11424" t="s">
        <v>38572</v>
      </c>
      <c r="X11424" t="s">
        <v>40453</v>
      </c>
    </row>
    <row r="11425" spans="1:24">
      <c r="A11425">
        <f>HYPERLINK("https://www.philgeps.gov.ph/GEPSNONPILOT/Tender/SplashBidNoticeAbstractUI.aspx?menuIndex=3&amp;refID=7023647&amp;Result=3","7023647")</f>
        <v>0</v>
      </c>
      <c r="B11425" t="s">
        <v>2899</v>
      </c>
      <c r="C11425" t="s">
        <v>14007</v>
      </c>
      <c r="D11425" t="s">
        <v>16230</v>
      </c>
      <c r="E11425" t="s">
        <v>26188</v>
      </c>
      <c r="F11425" t="s">
        <v>28198</v>
      </c>
      <c r="G11425" t="s">
        <v>28205</v>
      </c>
      <c r="H11425" t="s">
        <v>28215</v>
      </c>
      <c r="I11425" t="s">
        <v>4168</v>
      </c>
      <c r="J11425" t="s">
        <v>28752</v>
      </c>
      <c r="K11425" t="s">
        <v>36694</v>
      </c>
      <c r="M11425" t="s">
        <v>40166</v>
      </c>
      <c r="N11425" t="s">
        <v>40436</v>
      </c>
      <c r="O11425" t="s">
        <v>40437</v>
      </c>
      <c r="Q11425">
        <v>14</v>
      </c>
      <c r="R11425" t="s">
        <v>40452</v>
      </c>
      <c r="S11425" t="s">
        <v>41203</v>
      </c>
      <c r="T11425" t="s">
        <v>42177</v>
      </c>
      <c r="U11425" t="s">
        <v>52068</v>
      </c>
      <c r="W11425" t="s">
        <v>40166</v>
      </c>
      <c r="X11425" t="s">
        <v>40453</v>
      </c>
    </row>
    <row r="11426" spans="1:24">
      <c r="A11426">
        <f>HYPERLINK("https://www.philgeps.gov.ph/GEPSNONPILOT/Tender/SplashBidNoticeAbstractUI.aspx?menuIndex=3&amp;refID=7023621&amp;Result=3","7023621")</f>
        <v>0</v>
      </c>
      <c r="B11426" t="s">
        <v>1345</v>
      </c>
      <c r="C11426" t="s">
        <v>14008</v>
      </c>
      <c r="D11426" t="s">
        <v>16247</v>
      </c>
      <c r="E11426" t="s">
        <v>26189</v>
      </c>
      <c r="F11426" t="s">
        <v>28198</v>
      </c>
      <c r="G11426" t="s">
        <v>28205</v>
      </c>
      <c r="H11426" t="s">
        <v>28214</v>
      </c>
      <c r="I11426" t="s">
        <v>3797</v>
      </c>
      <c r="J11426" t="s">
        <v>28351</v>
      </c>
      <c r="K11426" t="s">
        <v>36715</v>
      </c>
      <c r="M11426" t="s">
        <v>38403</v>
      </c>
      <c r="N11426" t="s">
        <v>40436</v>
      </c>
      <c r="O11426" t="s">
        <v>40437</v>
      </c>
      <c r="P11426">
        <v>0</v>
      </c>
      <c r="Q11426">
        <v>0</v>
      </c>
      <c r="R11426" t="s">
        <v>40452</v>
      </c>
      <c r="S11426" t="s">
        <v>41140</v>
      </c>
      <c r="T11426" t="s">
        <v>42133</v>
      </c>
      <c r="U11426" t="s">
        <v>45667</v>
      </c>
      <c r="W11426" t="s">
        <v>38403</v>
      </c>
      <c r="X11426" t="s">
        <v>40453</v>
      </c>
    </row>
    <row r="11427" spans="1:24">
      <c r="A11427">
        <f>HYPERLINK("https://www.philgeps.gov.ph/GEPSNONPILOT/Tender/SplashBidNoticeAbstractUI.aspx?menuIndex=3&amp;refID=7023722&amp;Result=3","7023722")</f>
        <v>0</v>
      </c>
      <c r="B11427" t="s">
        <v>1355</v>
      </c>
      <c r="C11427" t="s">
        <v>14009</v>
      </c>
      <c r="D11427" t="s">
        <v>16210</v>
      </c>
      <c r="E11427" t="s">
        <v>26190</v>
      </c>
      <c r="F11427" t="s">
        <v>28198</v>
      </c>
      <c r="G11427" t="s">
        <v>28205</v>
      </c>
      <c r="H11427" t="s">
        <v>28214</v>
      </c>
      <c r="I11427" t="s">
        <v>3797</v>
      </c>
      <c r="J11427" t="s">
        <v>35379</v>
      </c>
      <c r="K11427" t="s">
        <v>36692</v>
      </c>
      <c r="M11427" t="s">
        <v>38413</v>
      </c>
      <c r="N11427" t="s">
        <v>40436</v>
      </c>
      <c r="O11427" t="s">
        <v>40437</v>
      </c>
      <c r="Q11427">
        <v>9</v>
      </c>
      <c r="R11427" t="s">
        <v>40452</v>
      </c>
      <c r="S11427" t="s">
        <v>41204</v>
      </c>
      <c r="T11427" t="s">
        <v>42177</v>
      </c>
      <c r="U11427" t="s">
        <v>52069</v>
      </c>
      <c r="V11427" t="s">
        <v>54150</v>
      </c>
      <c r="W11427" t="s">
        <v>38413</v>
      </c>
      <c r="X11427" t="s">
        <v>40453</v>
      </c>
    </row>
    <row r="11428" spans="1:24">
      <c r="A11428">
        <f>HYPERLINK("https://www.philgeps.gov.ph/GEPSNONPILOT/Tender/SplashBidNoticeAbstractUI.aspx?menuIndex=3&amp;refID=7023721&amp;Result=3","7023721")</f>
        <v>0</v>
      </c>
      <c r="B11428" t="s">
        <v>1802</v>
      </c>
      <c r="C11428" t="s">
        <v>14010</v>
      </c>
      <c r="D11428" t="s">
        <v>16238</v>
      </c>
      <c r="E11428" t="s">
        <v>26191</v>
      </c>
      <c r="F11428" t="s">
        <v>28198</v>
      </c>
      <c r="G11428" t="s">
        <v>28205</v>
      </c>
      <c r="H11428" t="s">
        <v>28215</v>
      </c>
      <c r="I11428" t="s">
        <v>28311</v>
      </c>
      <c r="J11428" t="s">
        <v>35380</v>
      </c>
      <c r="K11428" t="s">
        <v>36707</v>
      </c>
      <c r="M11428" t="s">
        <v>38920</v>
      </c>
      <c r="N11428" t="s">
        <v>40436</v>
      </c>
      <c r="O11428" t="s">
        <v>40437</v>
      </c>
      <c r="P11428">
        <v>0</v>
      </c>
      <c r="Q11428">
        <v>1</v>
      </c>
      <c r="R11428" t="s">
        <v>40452</v>
      </c>
      <c r="S11428" t="s">
        <v>41140</v>
      </c>
      <c r="T11428" t="s">
        <v>42134</v>
      </c>
      <c r="U11428" t="s">
        <v>52070</v>
      </c>
      <c r="W11428" t="s">
        <v>38920</v>
      </c>
      <c r="X11428" t="s">
        <v>40453</v>
      </c>
    </row>
    <row r="11429" spans="1:24">
      <c r="A11429">
        <f>HYPERLINK("https://www.philgeps.gov.ph/GEPSNONPILOT/Tender/SplashBidNoticeAbstractUI.aspx?menuIndex=3&amp;refID=7023733&amp;Result=3","7023733")</f>
        <v>0</v>
      </c>
      <c r="B11429" t="s">
        <v>1032</v>
      </c>
      <c r="C11429" t="s">
        <v>14011</v>
      </c>
      <c r="D11429" t="s">
        <v>16210</v>
      </c>
      <c r="E11429" t="s">
        <v>20281</v>
      </c>
      <c r="F11429" t="s">
        <v>28198</v>
      </c>
      <c r="G11429" t="s">
        <v>28205</v>
      </c>
      <c r="H11429" t="s">
        <v>28215</v>
      </c>
      <c r="I11429" t="s">
        <v>4200</v>
      </c>
      <c r="J11429" t="s">
        <v>30908</v>
      </c>
      <c r="K11429" t="s">
        <v>36690</v>
      </c>
      <c r="M11429" t="s">
        <v>38064</v>
      </c>
      <c r="N11429" t="s">
        <v>40436</v>
      </c>
      <c r="O11429" t="s">
        <v>40437</v>
      </c>
      <c r="Q11429">
        <v>9</v>
      </c>
      <c r="R11429" t="s">
        <v>40452</v>
      </c>
      <c r="S11429" t="s">
        <v>41205</v>
      </c>
      <c r="T11429" t="s">
        <v>42228</v>
      </c>
      <c r="U11429" t="s">
        <v>52071</v>
      </c>
      <c r="W11429" t="s">
        <v>38064</v>
      </c>
      <c r="X11429" t="s">
        <v>40453</v>
      </c>
    </row>
    <row r="11430" spans="1:24">
      <c r="A11430">
        <f>HYPERLINK("https://www.philgeps.gov.ph/GEPSNONPILOT/Tender/SplashBidNoticeAbstractUI.aspx?menuIndex=3&amp;refID=7023713&amp;Result=3","7023713")</f>
        <v>0</v>
      </c>
      <c r="B11430" t="s">
        <v>2083</v>
      </c>
      <c r="C11430" t="s">
        <v>14012</v>
      </c>
      <c r="D11430" t="s">
        <v>16192</v>
      </c>
      <c r="E11430" t="s">
        <v>26192</v>
      </c>
      <c r="F11430" t="s">
        <v>28198</v>
      </c>
      <c r="G11430" t="s">
        <v>28207</v>
      </c>
      <c r="H11430" t="s">
        <v>28215</v>
      </c>
      <c r="I11430" t="s">
        <v>28246</v>
      </c>
      <c r="J11430" t="s">
        <v>28661</v>
      </c>
      <c r="K11430" t="s">
        <v>36701</v>
      </c>
      <c r="M11430" t="s">
        <v>39232</v>
      </c>
      <c r="N11430" t="s">
        <v>40436</v>
      </c>
      <c r="O11430" t="s">
        <v>40437</v>
      </c>
      <c r="Q11430">
        <v>1</v>
      </c>
      <c r="R11430" t="s">
        <v>40452</v>
      </c>
      <c r="S11430" t="s">
        <v>41206</v>
      </c>
      <c r="T11430" t="s">
        <v>42133</v>
      </c>
      <c r="U11430" t="s">
        <v>52072</v>
      </c>
      <c r="W11430" t="s">
        <v>39232</v>
      </c>
      <c r="X11430" t="s">
        <v>40453</v>
      </c>
    </row>
    <row r="11431" spans="1:24">
      <c r="A11431">
        <f>HYPERLINK("https://www.philgeps.gov.ph/GEPSNONPILOT/Tender/SplashBidNoticeAbstractUI.aspx?menuIndex=3&amp;refID=7023734&amp;Result=3","7023734")</f>
        <v>0</v>
      </c>
      <c r="B11431" t="s">
        <v>2797</v>
      </c>
      <c r="C11431" t="s">
        <v>14013</v>
      </c>
      <c r="D11431" t="s">
        <v>16233</v>
      </c>
      <c r="E11431" t="s">
        <v>26193</v>
      </c>
      <c r="F11431" t="s">
        <v>28198</v>
      </c>
      <c r="G11431" t="s">
        <v>28205</v>
      </c>
      <c r="H11431" t="s">
        <v>28215</v>
      </c>
      <c r="I11431" t="s">
        <v>28222</v>
      </c>
      <c r="J11431" t="s">
        <v>35381</v>
      </c>
      <c r="K11431" t="s">
        <v>36701</v>
      </c>
      <c r="M11431" t="s">
        <v>40046</v>
      </c>
      <c r="N11431" t="s">
        <v>40436</v>
      </c>
      <c r="O11431" t="s">
        <v>40437</v>
      </c>
      <c r="P11431">
        <v>0</v>
      </c>
      <c r="Q11431">
        <v>4</v>
      </c>
      <c r="R11431" t="s">
        <v>40452</v>
      </c>
      <c r="S11431" t="s">
        <v>41140</v>
      </c>
      <c r="T11431" t="s">
        <v>42188</v>
      </c>
      <c r="U11431" t="s">
        <v>52073</v>
      </c>
      <c r="W11431" t="s">
        <v>40046</v>
      </c>
      <c r="X11431" t="s">
        <v>40453</v>
      </c>
    </row>
    <row r="11432" spans="1:24">
      <c r="A11432">
        <f>HYPERLINK("https://www.philgeps.gov.ph/GEPSNONPILOT/Tender/SplashBidNoticeAbstractUI.aspx?menuIndex=3&amp;refID=7023708&amp;Result=3","7023708")</f>
        <v>0</v>
      </c>
      <c r="B11432" t="s">
        <v>1345</v>
      </c>
      <c r="C11432" t="s">
        <v>14014</v>
      </c>
      <c r="D11432" t="s">
        <v>16247</v>
      </c>
      <c r="E11432" t="s">
        <v>26194</v>
      </c>
      <c r="F11432" t="s">
        <v>28198</v>
      </c>
      <c r="G11432" t="s">
        <v>28205</v>
      </c>
      <c r="H11432" t="s">
        <v>28215</v>
      </c>
      <c r="I11432" t="s">
        <v>28243</v>
      </c>
      <c r="J11432" t="s">
        <v>35382</v>
      </c>
      <c r="K11432" t="s">
        <v>36688</v>
      </c>
      <c r="M11432" t="s">
        <v>38403</v>
      </c>
      <c r="N11432" t="s">
        <v>40436</v>
      </c>
      <c r="O11432" t="s">
        <v>40437</v>
      </c>
      <c r="P11432">
        <v>0</v>
      </c>
      <c r="Q11432">
        <v>4</v>
      </c>
      <c r="R11432" t="s">
        <v>40452</v>
      </c>
      <c r="S11432" t="s">
        <v>41140</v>
      </c>
      <c r="T11432" t="s">
        <v>42133</v>
      </c>
      <c r="U11432" t="s">
        <v>45667</v>
      </c>
      <c r="W11432" t="s">
        <v>38403</v>
      </c>
      <c r="X11432" t="s">
        <v>40453</v>
      </c>
    </row>
    <row r="11433" spans="1:24">
      <c r="A11433">
        <f>HYPERLINK("https://www.philgeps.gov.ph/GEPSNONPILOT/Tender/SplashBidNoticeAbstractUI.aspx?menuIndex=3&amp;refID=7023729&amp;Result=3","7023729")</f>
        <v>0</v>
      </c>
      <c r="B11433" t="s">
        <v>1345</v>
      </c>
      <c r="C11433" t="s">
        <v>14015</v>
      </c>
      <c r="D11433" t="s">
        <v>16247</v>
      </c>
      <c r="E11433" t="s">
        <v>26195</v>
      </c>
      <c r="F11433" t="s">
        <v>28198</v>
      </c>
      <c r="G11433" t="s">
        <v>28205</v>
      </c>
      <c r="H11433" t="s">
        <v>28215</v>
      </c>
      <c r="I11433" t="s">
        <v>28243</v>
      </c>
      <c r="J11433" t="s">
        <v>35383</v>
      </c>
      <c r="K11433" t="s">
        <v>36688</v>
      </c>
      <c r="M11433" t="s">
        <v>38403</v>
      </c>
      <c r="N11433" t="s">
        <v>40436</v>
      </c>
      <c r="O11433" t="s">
        <v>40437</v>
      </c>
      <c r="P11433">
        <v>0</v>
      </c>
      <c r="Q11433">
        <v>2</v>
      </c>
      <c r="R11433" t="s">
        <v>40452</v>
      </c>
      <c r="S11433" t="s">
        <v>41140</v>
      </c>
      <c r="T11433" t="s">
        <v>42133</v>
      </c>
      <c r="U11433" t="s">
        <v>45667</v>
      </c>
      <c r="W11433" t="s">
        <v>38403</v>
      </c>
      <c r="X11433" t="s">
        <v>40453</v>
      </c>
    </row>
    <row r="11434" spans="1:24">
      <c r="A11434">
        <f>HYPERLINK("https://www.philgeps.gov.ph/GEPSNONPILOT/Tender/SplashBidNoticeAbstractUI.aspx?menuIndex=3&amp;refID=7023725&amp;Result=3","7023725")</f>
        <v>0</v>
      </c>
      <c r="B11434" t="s">
        <v>54</v>
      </c>
      <c r="C11434" t="s">
        <v>14016</v>
      </c>
      <c r="D11434" t="s">
        <v>16196</v>
      </c>
      <c r="E11434" t="s">
        <v>26196</v>
      </c>
      <c r="F11434" t="s">
        <v>28198</v>
      </c>
      <c r="G11434" t="s">
        <v>28205</v>
      </c>
      <c r="H11434" t="s">
        <v>28215</v>
      </c>
      <c r="I11434" t="s">
        <v>28243</v>
      </c>
      <c r="J11434" t="s">
        <v>30561</v>
      </c>
      <c r="K11434" t="s">
        <v>36715</v>
      </c>
      <c r="M11434" t="s">
        <v>40167</v>
      </c>
      <c r="N11434" t="s">
        <v>40436</v>
      </c>
      <c r="O11434" t="s">
        <v>40437</v>
      </c>
      <c r="P11434">
        <v>0</v>
      </c>
      <c r="Q11434">
        <v>5</v>
      </c>
      <c r="R11434" t="s">
        <v>40452</v>
      </c>
      <c r="S11434" t="s">
        <v>41140</v>
      </c>
      <c r="T11434" t="s">
        <v>42346</v>
      </c>
      <c r="U11434" t="s">
        <v>52074</v>
      </c>
      <c r="W11434" t="s">
        <v>40167</v>
      </c>
      <c r="X11434" t="s">
        <v>40453</v>
      </c>
    </row>
    <row r="11435" spans="1:24">
      <c r="A11435">
        <f>HYPERLINK("https://www.philgeps.gov.ph/GEPSNONPILOT/Tender/SplashBidNoticeAbstractUI.aspx?menuIndex=3&amp;refID=7023738&amp;Result=3","7023738")</f>
        <v>0</v>
      </c>
      <c r="B11435" t="s">
        <v>1802</v>
      </c>
      <c r="C11435" t="s">
        <v>14017</v>
      </c>
      <c r="D11435" t="s">
        <v>16238</v>
      </c>
      <c r="E11435" t="s">
        <v>26197</v>
      </c>
      <c r="F11435" t="s">
        <v>28198</v>
      </c>
      <c r="G11435" t="s">
        <v>28205</v>
      </c>
      <c r="H11435" t="s">
        <v>28215</v>
      </c>
      <c r="I11435" t="s">
        <v>28234</v>
      </c>
      <c r="J11435" t="s">
        <v>34516</v>
      </c>
      <c r="K11435" t="s">
        <v>36694</v>
      </c>
      <c r="M11435" t="s">
        <v>38920</v>
      </c>
      <c r="N11435" t="s">
        <v>40436</v>
      </c>
      <c r="O11435" t="s">
        <v>40437</v>
      </c>
      <c r="Q11435">
        <v>8</v>
      </c>
      <c r="R11435" t="s">
        <v>40452</v>
      </c>
      <c r="S11435" t="s">
        <v>41207</v>
      </c>
      <c r="T11435" t="s">
        <v>42134</v>
      </c>
      <c r="U11435" t="s">
        <v>52075</v>
      </c>
      <c r="W11435" t="s">
        <v>38920</v>
      </c>
      <c r="X11435" t="s">
        <v>40453</v>
      </c>
    </row>
    <row r="11436" spans="1:24">
      <c r="A11436">
        <f>HYPERLINK("https://www.philgeps.gov.ph/GEPSNONPILOT/Tender/SplashBidNoticeAbstractUI.aspx?menuIndex=3&amp;refID=7023702&amp;Result=3","7023702")</f>
        <v>0</v>
      </c>
      <c r="B11436" t="s">
        <v>2328</v>
      </c>
      <c r="C11436" t="s">
        <v>14018</v>
      </c>
      <c r="D11436" t="s">
        <v>16200</v>
      </c>
      <c r="E11436" t="s">
        <v>26198</v>
      </c>
      <c r="F11436" t="s">
        <v>28198</v>
      </c>
      <c r="G11436" t="s">
        <v>28208</v>
      </c>
      <c r="H11436" t="s">
        <v>28214</v>
      </c>
      <c r="I11436" t="s">
        <v>3797</v>
      </c>
      <c r="J11436" t="s">
        <v>31267</v>
      </c>
      <c r="K11436" t="s">
        <v>36798</v>
      </c>
      <c r="M11436" t="s">
        <v>39506</v>
      </c>
      <c r="N11436" t="s">
        <v>40436</v>
      </c>
      <c r="O11436" t="s">
        <v>40437</v>
      </c>
      <c r="Q11436">
        <v>4</v>
      </c>
      <c r="R11436" t="s">
        <v>40452</v>
      </c>
      <c r="S11436" t="s">
        <v>41208</v>
      </c>
      <c r="T11436" t="s">
        <v>42103</v>
      </c>
      <c r="U11436" t="s">
        <v>46684</v>
      </c>
      <c r="W11436" t="s">
        <v>39506</v>
      </c>
      <c r="X11436" t="s">
        <v>40453</v>
      </c>
    </row>
    <row r="11437" spans="1:24">
      <c r="A11437">
        <f>HYPERLINK("https://www.philgeps.gov.ph/GEPSNONPILOT/Tender/SplashBidNoticeAbstractUI.aspx?menuIndex=3&amp;refID=7023698&amp;Result=3","7023698")</f>
        <v>0</v>
      </c>
      <c r="B11437" t="s">
        <v>2898</v>
      </c>
      <c r="C11437" t="s">
        <v>14019</v>
      </c>
      <c r="D11437" t="s">
        <v>16210</v>
      </c>
      <c r="E11437" t="s">
        <v>18719</v>
      </c>
      <c r="F11437" t="s">
        <v>28200</v>
      </c>
      <c r="G11437" t="s">
        <v>28205</v>
      </c>
      <c r="H11437" t="s">
        <v>28215</v>
      </c>
      <c r="I11437" t="s">
        <v>4200</v>
      </c>
      <c r="J11437" t="s">
        <v>28413</v>
      </c>
      <c r="K11437" t="s">
        <v>36701</v>
      </c>
      <c r="M11437" t="s">
        <v>40165</v>
      </c>
      <c r="N11437" t="s">
        <v>40436</v>
      </c>
      <c r="O11437" t="s">
        <v>40437</v>
      </c>
      <c r="P11437">
        <v>0</v>
      </c>
      <c r="Q11437">
        <v>0</v>
      </c>
      <c r="R11437" t="s">
        <v>40452</v>
      </c>
      <c r="S11437" t="s">
        <v>41140</v>
      </c>
      <c r="T11437" t="s">
        <v>42570</v>
      </c>
      <c r="U11437" t="s">
        <v>52076</v>
      </c>
      <c r="W11437" t="s">
        <v>40165</v>
      </c>
      <c r="X11437" t="s">
        <v>40453</v>
      </c>
    </row>
    <row r="11438" spans="1:24">
      <c r="A11438">
        <f>HYPERLINK("https://www.philgeps.gov.ph/GEPSNONPILOT/Tender/SplashBidNoticeAbstractUI.aspx?menuIndex=3&amp;refID=7023703&amp;Result=3","7023703")</f>
        <v>0</v>
      </c>
      <c r="B11438" t="s">
        <v>1802</v>
      </c>
      <c r="C11438" t="s">
        <v>14020</v>
      </c>
      <c r="D11438" t="s">
        <v>16238</v>
      </c>
      <c r="E11438" t="s">
        <v>26199</v>
      </c>
      <c r="F11438" t="s">
        <v>28198</v>
      </c>
      <c r="G11438" t="s">
        <v>28205</v>
      </c>
      <c r="H11438" t="s">
        <v>28215</v>
      </c>
      <c r="I11438" t="s">
        <v>28250</v>
      </c>
      <c r="J11438" t="s">
        <v>35384</v>
      </c>
      <c r="K11438" t="s">
        <v>36701</v>
      </c>
      <c r="M11438" t="s">
        <v>38920</v>
      </c>
      <c r="N11438" t="s">
        <v>40436</v>
      </c>
      <c r="O11438" t="s">
        <v>40437</v>
      </c>
      <c r="P11438">
        <v>0</v>
      </c>
      <c r="Q11438">
        <v>1</v>
      </c>
      <c r="R11438" t="s">
        <v>40452</v>
      </c>
      <c r="S11438" t="s">
        <v>41140</v>
      </c>
      <c r="T11438" t="s">
        <v>42134</v>
      </c>
      <c r="U11438" t="s">
        <v>52077</v>
      </c>
      <c r="W11438" t="s">
        <v>38920</v>
      </c>
      <c r="X11438" t="s">
        <v>40453</v>
      </c>
    </row>
    <row r="11439" spans="1:24">
      <c r="A11439">
        <f>HYPERLINK("https://www.philgeps.gov.ph/GEPSNONPILOT/Tender/SplashBidNoticeAbstractUI.aspx?menuIndex=3&amp;refID=7023697&amp;Result=3","7023697")</f>
        <v>0</v>
      </c>
      <c r="B11439" t="s">
        <v>155</v>
      </c>
      <c r="C11439" t="s">
        <v>14021</v>
      </c>
      <c r="D11439" t="s">
        <v>16235</v>
      </c>
      <c r="E11439" t="s">
        <v>26200</v>
      </c>
      <c r="F11439" t="s">
        <v>28198</v>
      </c>
      <c r="G11439" t="s">
        <v>28205</v>
      </c>
      <c r="H11439" t="s">
        <v>28214</v>
      </c>
      <c r="I11439" t="s">
        <v>3797</v>
      </c>
      <c r="J11439" t="s">
        <v>35317</v>
      </c>
      <c r="K11439" t="s">
        <v>36690</v>
      </c>
      <c r="M11439" t="s">
        <v>37129</v>
      </c>
      <c r="N11439" t="s">
        <v>40436</v>
      </c>
      <c r="O11439" t="s">
        <v>40437</v>
      </c>
      <c r="P11439">
        <v>0</v>
      </c>
      <c r="Q11439">
        <v>1</v>
      </c>
      <c r="R11439" t="s">
        <v>40452</v>
      </c>
      <c r="S11439" t="s">
        <v>41140</v>
      </c>
      <c r="T11439" t="s">
        <v>42103</v>
      </c>
      <c r="U11439" t="s">
        <v>51982</v>
      </c>
      <c r="W11439" t="s">
        <v>37129</v>
      </c>
      <c r="X11439" t="s">
        <v>40453</v>
      </c>
    </row>
    <row r="11440" spans="1:24">
      <c r="A11440">
        <f>HYPERLINK("https://www.philgeps.gov.ph/GEPSNONPILOT/Tender/SplashBidNoticeAbstractUI.aspx?menuIndex=3&amp;refID=7023743&amp;Result=3","7023743")</f>
        <v>0</v>
      </c>
      <c r="B11440" t="s">
        <v>2307</v>
      </c>
      <c r="C11440" t="s">
        <v>14022</v>
      </c>
      <c r="D11440" t="s">
        <v>16234</v>
      </c>
      <c r="E11440" t="s">
        <v>26201</v>
      </c>
      <c r="F11440" t="s">
        <v>28198</v>
      </c>
      <c r="G11440" t="s">
        <v>28205</v>
      </c>
      <c r="H11440" t="s">
        <v>28215</v>
      </c>
      <c r="I11440" t="s">
        <v>4200</v>
      </c>
      <c r="J11440" t="s">
        <v>28363</v>
      </c>
      <c r="K11440" t="s">
        <v>36706</v>
      </c>
      <c r="M11440" t="s">
        <v>39483</v>
      </c>
      <c r="N11440" t="s">
        <v>40436</v>
      </c>
      <c r="O11440" t="s">
        <v>40437</v>
      </c>
      <c r="P11440">
        <v>0</v>
      </c>
      <c r="Q11440">
        <v>8</v>
      </c>
      <c r="R11440" t="s">
        <v>40452</v>
      </c>
      <c r="S11440" t="s">
        <v>41140</v>
      </c>
      <c r="T11440" t="s">
        <v>42228</v>
      </c>
      <c r="U11440" t="s">
        <v>52078</v>
      </c>
      <c r="W11440" t="s">
        <v>39483</v>
      </c>
      <c r="X11440" t="s">
        <v>40453</v>
      </c>
    </row>
    <row r="11441" spans="1:24">
      <c r="A11441">
        <f>HYPERLINK("https://www.philgeps.gov.ph/GEPSNONPILOT/Tender/SplashBidNoticeAbstractUI.aspx?menuIndex=3&amp;refID=7023737&amp;Result=3","7023737")</f>
        <v>0</v>
      </c>
      <c r="B11441" t="s">
        <v>2900</v>
      </c>
      <c r="C11441" t="s">
        <v>14023</v>
      </c>
      <c r="D11441" t="s">
        <v>16260</v>
      </c>
      <c r="E11441" t="s">
        <v>16639</v>
      </c>
      <c r="F11441" t="s">
        <v>28198</v>
      </c>
      <c r="G11441" t="s">
        <v>28205</v>
      </c>
      <c r="H11441" t="s">
        <v>28214</v>
      </c>
      <c r="I11441" t="s">
        <v>3797</v>
      </c>
      <c r="J11441" t="s">
        <v>33522</v>
      </c>
      <c r="K11441" t="s">
        <v>36694</v>
      </c>
      <c r="M11441" t="s">
        <v>40168</v>
      </c>
      <c r="N11441" t="s">
        <v>40436</v>
      </c>
      <c r="O11441" t="s">
        <v>40437</v>
      </c>
      <c r="P11441">
        <v>0</v>
      </c>
      <c r="Q11441">
        <v>1</v>
      </c>
      <c r="R11441" t="s">
        <v>40452</v>
      </c>
      <c r="S11441" t="s">
        <v>41140</v>
      </c>
      <c r="T11441" t="s">
        <v>42119</v>
      </c>
      <c r="U11441" t="s">
        <v>52079</v>
      </c>
      <c r="W11441" t="s">
        <v>40168</v>
      </c>
      <c r="X11441" t="s">
        <v>40453</v>
      </c>
    </row>
    <row r="11442" spans="1:24">
      <c r="A11442">
        <f>HYPERLINK("https://www.philgeps.gov.ph/GEPSNONPILOT/Tender/SplashBidNoticeAbstractUI.aspx?menuIndex=3&amp;refID=7023778&amp;Result=3","7023778")</f>
        <v>0</v>
      </c>
      <c r="B11442" t="s">
        <v>2901</v>
      </c>
      <c r="C11442" t="s">
        <v>14024</v>
      </c>
      <c r="D11442" t="s">
        <v>16235</v>
      </c>
      <c r="E11442" t="s">
        <v>26202</v>
      </c>
      <c r="F11442" t="s">
        <v>28198</v>
      </c>
      <c r="G11442" t="s">
        <v>28205</v>
      </c>
      <c r="H11442" t="s">
        <v>28215</v>
      </c>
      <c r="I11442" t="s">
        <v>8888</v>
      </c>
      <c r="J11442" t="s">
        <v>35385</v>
      </c>
      <c r="K11442" t="s">
        <v>36689</v>
      </c>
      <c r="M11442" t="s">
        <v>40169</v>
      </c>
      <c r="N11442" t="s">
        <v>40436</v>
      </c>
      <c r="O11442" t="s">
        <v>40437</v>
      </c>
      <c r="P11442">
        <v>0</v>
      </c>
      <c r="Q11442">
        <v>5</v>
      </c>
      <c r="R11442" t="s">
        <v>40452</v>
      </c>
      <c r="S11442" t="s">
        <v>41140</v>
      </c>
      <c r="T11442" t="s">
        <v>42179</v>
      </c>
      <c r="U11442" t="s">
        <v>52080</v>
      </c>
      <c r="W11442" t="s">
        <v>40169</v>
      </c>
      <c r="X11442" t="s">
        <v>40453</v>
      </c>
    </row>
    <row r="11443" spans="1:24">
      <c r="A11443">
        <f>HYPERLINK("https://www.philgeps.gov.ph/GEPSNONPILOT/Tender/SplashBidNoticeAbstractUI.aspx?menuIndex=3&amp;refID=7023775&amp;Result=3","7023775")</f>
        <v>0</v>
      </c>
      <c r="B11443" t="s">
        <v>2902</v>
      </c>
      <c r="C11443" t="s">
        <v>14025</v>
      </c>
      <c r="D11443" t="s">
        <v>16246</v>
      </c>
      <c r="E11443" t="s">
        <v>26203</v>
      </c>
      <c r="F11443" t="s">
        <v>28198</v>
      </c>
      <c r="G11443" t="s">
        <v>28205</v>
      </c>
      <c r="H11443" t="s">
        <v>28214</v>
      </c>
      <c r="I11443" t="s">
        <v>3797</v>
      </c>
      <c r="J11443" t="s">
        <v>35386</v>
      </c>
      <c r="K11443" t="s">
        <v>36692</v>
      </c>
      <c r="M11443" t="s">
        <v>40170</v>
      </c>
      <c r="N11443" t="s">
        <v>40436</v>
      </c>
      <c r="O11443" t="s">
        <v>40437</v>
      </c>
      <c r="P11443">
        <v>0</v>
      </c>
      <c r="Q11443">
        <v>6</v>
      </c>
      <c r="R11443" t="s">
        <v>40452</v>
      </c>
      <c r="S11443" t="s">
        <v>41140</v>
      </c>
      <c r="T11443" t="s">
        <v>42320</v>
      </c>
      <c r="U11443" t="s">
        <v>52081</v>
      </c>
      <c r="W11443" t="s">
        <v>40170</v>
      </c>
      <c r="X11443" t="s">
        <v>40453</v>
      </c>
    </row>
    <row r="11444" spans="1:24">
      <c r="A11444">
        <f>HYPERLINK("https://www.philgeps.gov.ph/GEPSNONPILOT/Tender/SplashBidNoticeAbstractUI.aspx?menuIndex=3&amp;refID=7023789&amp;Result=3","7023789")</f>
        <v>0</v>
      </c>
      <c r="B11444" t="s">
        <v>155</v>
      </c>
      <c r="C11444" t="s">
        <v>14026</v>
      </c>
      <c r="D11444" t="s">
        <v>16235</v>
      </c>
      <c r="E11444" t="s">
        <v>26204</v>
      </c>
      <c r="F11444" t="s">
        <v>28198</v>
      </c>
      <c r="G11444" t="s">
        <v>28205</v>
      </c>
      <c r="H11444" t="s">
        <v>28214</v>
      </c>
      <c r="I11444" t="s">
        <v>3797</v>
      </c>
      <c r="J11444" t="s">
        <v>35387</v>
      </c>
      <c r="K11444" t="s">
        <v>36906</v>
      </c>
      <c r="M11444" t="s">
        <v>37129</v>
      </c>
      <c r="N11444" t="s">
        <v>40436</v>
      </c>
      <c r="O11444" t="s">
        <v>40437</v>
      </c>
      <c r="P11444">
        <v>0</v>
      </c>
      <c r="Q11444">
        <v>0</v>
      </c>
      <c r="R11444" t="s">
        <v>40452</v>
      </c>
      <c r="S11444" t="s">
        <v>41140</v>
      </c>
      <c r="T11444" t="s">
        <v>42103</v>
      </c>
      <c r="U11444" t="s">
        <v>51982</v>
      </c>
      <c r="W11444" t="s">
        <v>37129</v>
      </c>
      <c r="X11444" t="s">
        <v>40453</v>
      </c>
    </row>
    <row r="11445" spans="1:24">
      <c r="A11445">
        <f>HYPERLINK("https://www.philgeps.gov.ph/GEPSNONPILOT/Tender/SplashBidNoticeAbstractUI.aspx?menuIndex=3&amp;refID=7023767&amp;Result=3","7023767")</f>
        <v>0</v>
      </c>
      <c r="B11445" t="s">
        <v>317</v>
      </c>
      <c r="C11445" t="s">
        <v>14027</v>
      </c>
      <c r="D11445" t="s">
        <v>16223</v>
      </c>
      <c r="E11445" t="s">
        <v>26205</v>
      </c>
      <c r="F11445" t="s">
        <v>28198</v>
      </c>
      <c r="G11445" t="s">
        <v>28205</v>
      </c>
      <c r="H11445" t="s">
        <v>28214</v>
      </c>
      <c r="I11445" t="s">
        <v>3797</v>
      </c>
      <c r="J11445" t="s">
        <v>35388</v>
      </c>
      <c r="K11445" t="s">
        <v>36697</v>
      </c>
      <c r="M11445" t="s">
        <v>37295</v>
      </c>
      <c r="N11445" t="s">
        <v>40436</v>
      </c>
      <c r="O11445" t="s">
        <v>40437</v>
      </c>
      <c r="Q11445">
        <v>1</v>
      </c>
      <c r="R11445" t="s">
        <v>40452</v>
      </c>
      <c r="S11445" t="s">
        <v>41209</v>
      </c>
      <c r="T11445" t="s">
        <v>42126</v>
      </c>
      <c r="U11445" t="s">
        <v>52082</v>
      </c>
      <c r="W11445" t="s">
        <v>37295</v>
      </c>
      <c r="X11445" t="s">
        <v>40453</v>
      </c>
    </row>
    <row r="11446" spans="1:24">
      <c r="A11446">
        <f>HYPERLINK("https://www.philgeps.gov.ph/GEPSNONPILOT/Tender/SplashBidNoticeAbstractUI.aspx?menuIndex=3&amp;refID=7023777&amp;Result=3","7023777")</f>
        <v>0</v>
      </c>
      <c r="B11446" t="s">
        <v>589</v>
      </c>
      <c r="C11446" t="s">
        <v>14028</v>
      </c>
      <c r="D11446" t="s">
        <v>16199</v>
      </c>
      <c r="E11446" t="s">
        <v>26206</v>
      </c>
      <c r="F11446" t="s">
        <v>28198</v>
      </c>
      <c r="G11446" t="s">
        <v>28205</v>
      </c>
      <c r="H11446" t="s">
        <v>28215</v>
      </c>
      <c r="I11446" t="s">
        <v>28222</v>
      </c>
      <c r="J11446" t="s">
        <v>29291</v>
      </c>
      <c r="K11446" t="s">
        <v>36701</v>
      </c>
      <c r="M11446" t="s">
        <v>37578</v>
      </c>
      <c r="N11446" t="s">
        <v>40436</v>
      </c>
      <c r="O11446" t="s">
        <v>40437</v>
      </c>
      <c r="P11446">
        <v>0</v>
      </c>
      <c r="Q11446">
        <v>8</v>
      </c>
      <c r="R11446" t="s">
        <v>40452</v>
      </c>
      <c r="S11446" t="s">
        <v>41140</v>
      </c>
      <c r="T11446" t="s">
        <v>42129</v>
      </c>
      <c r="U11446" t="s">
        <v>52083</v>
      </c>
      <c r="V11446" t="s">
        <v>54441</v>
      </c>
      <c r="W11446" t="s">
        <v>37578</v>
      </c>
      <c r="X11446" t="s">
        <v>40453</v>
      </c>
    </row>
    <row r="11447" spans="1:24">
      <c r="A11447">
        <f>HYPERLINK("https://www.philgeps.gov.ph/GEPSNONPILOT/Tender/SplashBidNoticeAbstractUI.aspx?menuIndex=3&amp;refID=7023758&amp;Result=3","7023758")</f>
        <v>0</v>
      </c>
      <c r="B11447" t="s">
        <v>2797</v>
      </c>
      <c r="C11447" t="s">
        <v>14029</v>
      </c>
      <c r="D11447" t="s">
        <v>16233</v>
      </c>
      <c r="E11447" t="s">
        <v>26207</v>
      </c>
      <c r="F11447" t="s">
        <v>28198</v>
      </c>
      <c r="G11447" t="s">
        <v>28205</v>
      </c>
      <c r="H11447" t="s">
        <v>28215</v>
      </c>
      <c r="I11447" t="s">
        <v>28243</v>
      </c>
      <c r="J11447" t="s">
        <v>28752</v>
      </c>
      <c r="K11447" t="s">
        <v>36715</v>
      </c>
      <c r="M11447" t="s">
        <v>40046</v>
      </c>
      <c r="N11447" t="s">
        <v>40436</v>
      </c>
      <c r="O11447" t="s">
        <v>40437</v>
      </c>
      <c r="P11447">
        <v>0</v>
      </c>
      <c r="Q11447">
        <v>2</v>
      </c>
      <c r="R11447" t="s">
        <v>40452</v>
      </c>
      <c r="S11447" t="s">
        <v>41140</v>
      </c>
      <c r="T11447" t="s">
        <v>42188</v>
      </c>
      <c r="U11447" t="s">
        <v>52073</v>
      </c>
      <c r="W11447" t="s">
        <v>40046</v>
      </c>
      <c r="X11447" t="s">
        <v>40453</v>
      </c>
    </row>
    <row r="11448" spans="1:24">
      <c r="A11448">
        <f>HYPERLINK("https://www.philgeps.gov.ph/GEPSNONPILOT/Tender/SplashBidNoticeAbstractUI.aspx?menuIndex=3&amp;refID=7023801&amp;Result=3","7023801")</f>
        <v>0</v>
      </c>
      <c r="B11448" t="s">
        <v>2902</v>
      </c>
      <c r="C11448" t="s">
        <v>14030</v>
      </c>
      <c r="D11448" t="s">
        <v>16246</v>
      </c>
      <c r="E11448" t="s">
        <v>26208</v>
      </c>
      <c r="F11448" t="s">
        <v>28198</v>
      </c>
      <c r="G11448" t="s">
        <v>28205</v>
      </c>
      <c r="H11448" t="s">
        <v>28214</v>
      </c>
      <c r="I11448" t="s">
        <v>3797</v>
      </c>
      <c r="J11448" t="s">
        <v>35389</v>
      </c>
      <c r="K11448" t="s">
        <v>36717</v>
      </c>
      <c r="M11448" t="s">
        <v>40170</v>
      </c>
      <c r="N11448" t="s">
        <v>40436</v>
      </c>
      <c r="O11448" t="s">
        <v>40437</v>
      </c>
      <c r="P11448">
        <v>0</v>
      </c>
      <c r="Q11448">
        <v>6</v>
      </c>
      <c r="R11448" t="s">
        <v>40452</v>
      </c>
      <c r="S11448" t="s">
        <v>41140</v>
      </c>
      <c r="T11448" t="s">
        <v>42571</v>
      </c>
      <c r="U11448" t="s">
        <v>52084</v>
      </c>
      <c r="W11448" t="s">
        <v>40170</v>
      </c>
      <c r="X11448" t="s">
        <v>40453</v>
      </c>
    </row>
    <row r="11449" spans="1:24">
      <c r="A11449">
        <f>HYPERLINK("https://www.philgeps.gov.ph/GEPSNONPILOT/Tender/SplashBidNoticeAbstractUI.aspx?menuIndex=3&amp;refID=7023757&amp;Result=3","7023757")</f>
        <v>0</v>
      </c>
      <c r="B11449" t="s">
        <v>2896</v>
      </c>
      <c r="C11449" t="s">
        <v>14031</v>
      </c>
      <c r="D11449" t="s">
        <v>16210</v>
      </c>
      <c r="E11449" t="s">
        <v>26209</v>
      </c>
      <c r="F11449" t="s">
        <v>28198</v>
      </c>
      <c r="G11449" t="s">
        <v>28205</v>
      </c>
      <c r="H11449" t="s">
        <v>28215</v>
      </c>
      <c r="I11449" t="s">
        <v>8888</v>
      </c>
      <c r="J11449" t="s">
        <v>35390</v>
      </c>
      <c r="K11449" t="s">
        <v>36707</v>
      </c>
      <c r="M11449" t="s">
        <v>40163</v>
      </c>
      <c r="N11449" t="s">
        <v>40436</v>
      </c>
      <c r="O11449" t="s">
        <v>40437</v>
      </c>
      <c r="P11449">
        <v>0</v>
      </c>
      <c r="Q11449">
        <v>5</v>
      </c>
      <c r="R11449" t="s">
        <v>40452</v>
      </c>
      <c r="S11449" t="s">
        <v>41140</v>
      </c>
      <c r="T11449" t="s">
        <v>42339</v>
      </c>
      <c r="U11449" t="s">
        <v>52045</v>
      </c>
      <c r="W11449" t="s">
        <v>40163</v>
      </c>
      <c r="X11449" t="s">
        <v>40453</v>
      </c>
    </row>
    <row r="11450" spans="1:24">
      <c r="A11450">
        <f>HYPERLINK("https://www.philgeps.gov.ph/GEPSNONPILOT/Tender/SplashBidNoticeAbstractUI.aspx?menuIndex=3&amp;refID=7023731&amp;Result=3","7023731")</f>
        <v>0</v>
      </c>
      <c r="B11450" t="s">
        <v>33</v>
      </c>
      <c r="C11450" t="s">
        <v>14032</v>
      </c>
      <c r="D11450" t="s">
        <v>16189</v>
      </c>
      <c r="E11450" t="s">
        <v>26210</v>
      </c>
      <c r="F11450" t="s">
        <v>28198</v>
      </c>
      <c r="G11450" t="s">
        <v>28205</v>
      </c>
      <c r="H11450" t="s">
        <v>28214</v>
      </c>
      <c r="I11450" t="s">
        <v>3797</v>
      </c>
      <c r="J11450" t="s">
        <v>28663</v>
      </c>
      <c r="K11450" t="s">
        <v>36692</v>
      </c>
      <c r="M11450" t="s">
        <v>37002</v>
      </c>
      <c r="N11450" t="s">
        <v>40436</v>
      </c>
      <c r="O11450" t="s">
        <v>40437</v>
      </c>
      <c r="P11450">
        <v>0</v>
      </c>
      <c r="Q11450">
        <v>0</v>
      </c>
      <c r="R11450" t="s">
        <v>40452</v>
      </c>
      <c r="S11450" t="s">
        <v>41140</v>
      </c>
      <c r="T11450" t="s">
        <v>42112</v>
      </c>
      <c r="U11450" t="s">
        <v>52085</v>
      </c>
      <c r="W11450" t="s">
        <v>37002</v>
      </c>
      <c r="X11450" t="s">
        <v>40453</v>
      </c>
    </row>
    <row r="11451" spans="1:24">
      <c r="A11451">
        <f>HYPERLINK("https://www.philgeps.gov.ph/GEPSNONPILOT/Tender/SplashBidNoticeAbstractUI.aspx?menuIndex=3&amp;refID=7023754&amp;Result=3","7023754")</f>
        <v>0</v>
      </c>
      <c r="B11451" t="s">
        <v>121</v>
      </c>
      <c r="C11451" t="s">
        <v>14033</v>
      </c>
      <c r="D11451" t="s">
        <v>16207</v>
      </c>
      <c r="E11451" t="s">
        <v>26211</v>
      </c>
      <c r="F11451" t="s">
        <v>28198</v>
      </c>
      <c r="G11451" t="s">
        <v>28205</v>
      </c>
      <c r="H11451" t="s">
        <v>28214</v>
      </c>
      <c r="I11451" t="s">
        <v>3797</v>
      </c>
      <c r="J11451" t="s">
        <v>28351</v>
      </c>
      <c r="K11451" t="s">
        <v>36715</v>
      </c>
      <c r="M11451" t="s">
        <v>37095</v>
      </c>
      <c r="N11451" t="s">
        <v>40436</v>
      </c>
      <c r="O11451" t="s">
        <v>40437</v>
      </c>
      <c r="P11451">
        <v>0</v>
      </c>
      <c r="Q11451">
        <v>1</v>
      </c>
      <c r="R11451" t="s">
        <v>40452</v>
      </c>
      <c r="S11451" t="s">
        <v>41140</v>
      </c>
      <c r="T11451" t="s">
        <v>42188</v>
      </c>
      <c r="U11451" t="s">
        <v>52086</v>
      </c>
      <c r="W11451" t="s">
        <v>37095</v>
      </c>
      <c r="X11451" t="s">
        <v>40453</v>
      </c>
    </row>
    <row r="11452" spans="1:24">
      <c r="A11452">
        <f>HYPERLINK("https://www.philgeps.gov.ph/GEPSNONPILOT/Tender/SplashBidNoticeAbstractUI.aspx?menuIndex=3&amp;refID=7023762&amp;Result=3","7023762")</f>
        <v>0</v>
      </c>
      <c r="B11452" t="s">
        <v>1032</v>
      </c>
      <c r="C11452" t="s">
        <v>14034</v>
      </c>
      <c r="D11452" t="s">
        <v>16210</v>
      </c>
      <c r="E11452" t="s">
        <v>19989</v>
      </c>
      <c r="F11452" t="s">
        <v>28198</v>
      </c>
      <c r="G11452" t="s">
        <v>28205</v>
      </c>
      <c r="H11452" t="s">
        <v>28215</v>
      </c>
      <c r="I11452" t="s">
        <v>28299</v>
      </c>
      <c r="J11452" t="s">
        <v>31258</v>
      </c>
      <c r="K11452" t="s">
        <v>36692</v>
      </c>
      <c r="M11452" t="s">
        <v>38064</v>
      </c>
      <c r="N11452" t="s">
        <v>40436</v>
      </c>
      <c r="O11452" t="s">
        <v>40437</v>
      </c>
      <c r="Q11452">
        <v>17</v>
      </c>
      <c r="R11452" t="s">
        <v>40452</v>
      </c>
      <c r="S11452" t="s">
        <v>41116</v>
      </c>
      <c r="T11452" t="s">
        <v>42403</v>
      </c>
      <c r="U11452" t="s">
        <v>52087</v>
      </c>
      <c r="W11452" t="s">
        <v>38064</v>
      </c>
      <c r="X11452" t="s">
        <v>40453</v>
      </c>
    </row>
    <row r="11453" spans="1:24">
      <c r="A11453">
        <f>HYPERLINK("https://www.philgeps.gov.ph/GEPSNONPILOT/Tender/SplashBidNoticeAbstractUI.aspx?menuIndex=3&amp;refID=7023808&amp;Result=3","7023808")</f>
        <v>0</v>
      </c>
      <c r="B11453" t="s">
        <v>54</v>
      </c>
      <c r="C11453" t="s">
        <v>14035</v>
      </c>
      <c r="D11453" t="s">
        <v>16196</v>
      </c>
      <c r="E11453" t="s">
        <v>26212</v>
      </c>
      <c r="F11453" t="s">
        <v>28198</v>
      </c>
      <c r="G11453" t="s">
        <v>28205</v>
      </c>
      <c r="H11453" t="s">
        <v>28215</v>
      </c>
      <c r="I11453" t="s">
        <v>28258</v>
      </c>
      <c r="J11453" t="s">
        <v>35391</v>
      </c>
      <c r="K11453" t="s">
        <v>36715</v>
      </c>
      <c r="M11453" t="s">
        <v>40167</v>
      </c>
      <c r="N11453" t="s">
        <v>40436</v>
      </c>
      <c r="O11453" t="s">
        <v>40437</v>
      </c>
      <c r="P11453">
        <v>0</v>
      </c>
      <c r="Q11453">
        <v>17</v>
      </c>
      <c r="R11453" t="s">
        <v>40452</v>
      </c>
      <c r="S11453" t="s">
        <v>41140</v>
      </c>
      <c r="T11453" t="s">
        <v>42244</v>
      </c>
      <c r="U11453" t="s">
        <v>52088</v>
      </c>
      <c r="W11453" t="s">
        <v>40167</v>
      </c>
      <c r="X11453" t="s">
        <v>40453</v>
      </c>
    </row>
    <row r="11454" spans="1:24">
      <c r="A11454">
        <f>HYPERLINK("https://www.philgeps.gov.ph/GEPSNONPILOT/Tender/SplashBidNoticeAbstractUI.aspx?menuIndex=3&amp;refID=7023736&amp;Result=3","7023736")</f>
        <v>0</v>
      </c>
      <c r="B11454" t="s">
        <v>2083</v>
      </c>
      <c r="C11454" t="s">
        <v>14036</v>
      </c>
      <c r="D11454" t="s">
        <v>16192</v>
      </c>
      <c r="E11454" t="s">
        <v>26213</v>
      </c>
      <c r="F11454" t="s">
        <v>28198</v>
      </c>
      <c r="G11454" t="s">
        <v>28207</v>
      </c>
      <c r="H11454" t="s">
        <v>28215</v>
      </c>
      <c r="I11454" t="s">
        <v>6013</v>
      </c>
      <c r="J11454" t="s">
        <v>35392</v>
      </c>
      <c r="K11454" t="s">
        <v>36707</v>
      </c>
      <c r="M11454" t="s">
        <v>39232</v>
      </c>
      <c r="N11454" t="s">
        <v>40436</v>
      </c>
      <c r="O11454" t="s">
        <v>40437</v>
      </c>
      <c r="Q11454">
        <v>0</v>
      </c>
      <c r="R11454" t="s">
        <v>40452</v>
      </c>
      <c r="S11454" t="s">
        <v>41210</v>
      </c>
      <c r="T11454" t="s">
        <v>42133</v>
      </c>
      <c r="U11454" t="s">
        <v>52089</v>
      </c>
      <c r="W11454" t="s">
        <v>39232</v>
      </c>
      <c r="X11454" t="s">
        <v>40453</v>
      </c>
    </row>
    <row r="11455" spans="1:24">
      <c r="A11455">
        <f>HYPERLINK("https://www.philgeps.gov.ph/GEPSNONPILOT/Tender/SplashBidNoticeAbstractUI.aspx?menuIndex=3&amp;refID=7023805&amp;Result=3","7023805")</f>
        <v>0</v>
      </c>
      <c r="B11455" t="s">
        <v>1032</v>
      </c>
      <c r="C11455" t="s">
        <v>14037</v>
      </c>
      <c r="D11455" t="s">
        <v>16210</v>
      </c>
      <c r="E11455" t="s">
        <v>16625</v>
      </c>
      <c r="F11455" t="s">
        <v>28198</v>
      </c>
      <c r="G11455" t="s">
        <v>28205</v>
      </c>
      <c r="H11455" t="s">
        <v>28215</v>
      </c>
      <c r="I11455" t="s">
        <v>28247</v>
      </c>
      <c r="J11455" t="s">
        <v>35393</v>
      </c>
      <c r="K11455" t="s">
        <v>36690</v>
      </c>
      <c r="M11455" t="s">
        <v>38064</v>
      </c>
      <c r="N11455" t="s">
        <v>40436</v>
      </c>
      <c r="O11455" t="s">
        <v>40437</v>
      </c>
      <c r="Q11455">
        <v>27</v>
      </c>
      <c r="R11455" t="s">
        <v>40452</v>
      </c>
      <c r="S11455" t="s">
        <v>41211</v>
      </c>
      <c r="T11455" t="s">
        <v>42133</v>
      </c>
      <c r="U11455" t="s">
        <v>52090</v>
      </c>
      <c r="W11455" t="s">
        <v>38064</v>
      </c>
      <c r="X11455" t="s">
        <v>40453</v>
      </c>
    </row>
    <row r="11456" spans="1:24">
      <c r="A11456">
        <f>HYPERLINK("https://www.philgeps.gov.ph/GEPSNONPILOT/Tender/SplashBidNoticeAbstractUI.aspx?menuIndex=3&amp;refID=7023809&amp;Result=3","7023809")</f>
        <v>0</v>
      </c>
      <c r="B11456" t="s">
        <v>2328</v>
      </c>
      <c r="C11456" t="s">
        <v>14038</v>
      </c>
      <c r="D11456" t="s">
        <v>16200</v>
      </c>
      <c r="E11456" t="s">
        <v>26214</v>
      </c>
      <c r="F11456" t="s">
        <v>28198</v>
      </c>
      <c r="G11456" t="s">
        <v>28208</v>
      </c>
      <c r="H11456" t="s">
        <v>28214</v>
      </c>
      <c r="I11456" t="s">
        <v>3797</v>
      </c>
      <c r="J11456" t="s">
        <v>31267</v>
      </c>
      <c r="K11456" t="s">
        <v>36798</v>
      </c>
      <c r="M11456" t="s">
        <v>39506</v>
      </c>
      <c r="N11456" t="s">
        <v>40436</v>
      </c>
      <c r="O11456" t="s">
        <v>40437</v>
      </c>
      <c r="Q11456">
        <v>4</v>
      </c>
      <c r="R11456" t="s">
        <v>40452</v>
      </c>
      <c r="S11456" t="s">
        <v>41212</v>
      </c>
      <c r="T11456" t="s">
        <v>42103</v>
      </c>
      <c r="U11456" t="s">
        <v>46684</v>
      </c>
      <c r="W11456" t="s">
        <v>39506</v>
      </c>
      <c r="X11456" t="s">
        <v>40453</v>
      </c>
    </row>
    <row r="11457" spans="1:24">
      <c r="A11457">
        <f>HYPERLINK("https://www.philgeps.gov.ph/GEPSNONPILOT/Tender/SplashBidNoticeAbstractUI.aspx?menuIndex=3&amp;refID=7023819&amp;Result=3","7023819")</f>
        <v>0</v>
      </c>
      <c r="B11457" t="s">
        <v>155</v>
      </c>
      <c r="C11457" t="s">
        <v>14039</v>
      </c>
      <c r="D11457" t="s">
        <v>16235</v>
      </c>
      <c r="E11457" t="s">
        <v>26215</v>
      </c>
      <c r="F11457" t="s">
        <v>28198</v>
      </c>
      <c r="G11457" t="s">
        <v>28205</v>
      </c>
      <c r="H11457" t="s">
        <v>28214</v>
      </c>
      <c r="I11457" t="s">
        <v>3797</v>
      </c>
      <c r="J11457" t="s">
        <v>31508</v>
      </c>
      <c r="K11457" t="s">
        <v>36692</v>
      </c>
      <c r="M11457" t="s">
        <v>37129</v>
      </c>
      <c r="N11457" t="s">
        <v>40436</v>
      </c>
      <c r="O11457" t="s">
        <v>40437</v>
      </c>
      <c r="P11457">
        <v>0</v>
      </c>
      <c r="Q11457">
        <v>0</v>
      </c>
      <c r="R11457" t="s">
        <v>40452</v>
      </c>
      <c r="S11457" t="s">
        <v>41140</v>
      </c>
      <c r="T11457" t="s">
        <v>42103</v>
      </c>
      <c r="U11457" t="s">
        <v>51982</v>
      </c>
      <c r="W11457" t="s">
        <v>37129</v>
      </c>
      <c r="X11457" t="s">
        <v>40453</v>
      </c>
    </row>
    <row r="11458" spans="1:24">
      <c r="A11458">
        <f>HYPERLINK("https://www.philgeps.gov.ph/GEPSNONPILOT/Tender/SplashBidNoticeAbstractUI.aspx?menuIndex=3&amp;refID=7023752&amp;Result=3","7023752")</f>
        <v>0</v>
      </c>
      <c r="B11458" t="s">
        <v>2903</v>
      </c>
      <c r="C11458" t="s">
        <v>14040</v>
      </c>
      <c r="D11458" t="s">
        <v>16223</v>
      </c>
      <c r="E11458" t="s">
        <v>26216</v>
      </c>
      <c r="F11458" t="s">
        <v>28198</v>
      </c>
      <c r="G11458" t="s">
        <v>28205</v>
      </c>
      <c r="H11458" t="s">
        <v>28215</v>
      </c>
      <c r="I11458" t="s">
        <v>5082</v>
      </c>
      <c r="J11458" t="s">
        <v>35394</v>
      </c>
      <c r="K11458" t="s">
        <v>36701</v>
      </c>
      <c r="M11458" t="s">
        <v>40171</v>
      </c>
      <c r="N11458" t="s">
        <v>40436</v>
      </c>
      <c r="O11458" t="s">
        <v>40437</v>
      </c>
      <c r="P11458">
        <v>0</v>
      </c>
      <c r="Q11458">
        <v>0</v>
      </c>
      <c r="R11458" t="s">
        <v>40452</v>
      </c>
      <c r="S11458" t="s">
        <v>41140</v>
      </c>
      <c r="T11458" t="s">
        <v>42572</v>
      </c>
      <c r="U11458" t="s">
        <v>52091</v>
      </c>
      <c r="W11458" t="s">
        <v>40171</v>
      </c>
      <c r="X11458" t="s">
        <v>40453</v>
      </c>
    </row>
    <row r="11459" spans="1:24">
      <c r="A11459">
        <f>HYPERLINK("https://www.philgeps.gov.ph/GEPSNONPILOT/Tender/SplashBidNoticeAbstractUI.aspx?menuIndex=3&amp;refID=7023749&amp;Result=3","7023749")</f>
        <v>0</v>
      </c>
      <c r="B11459" t="s">
        <v>1345</v>
      </c>
      <c r="C11459" t="s">
        <v>14041</v>
      </c>
      <c r="D11459" t="s">
        <v>16247</v>
      </c>
      <c r="E11459" t="s">
        <v>26217</v>
      </c>
      <c r="F11459" t="s">
        <v>28198</v>
      </c>
      <c r="G11459" t="s">
        <v>28205</v>
      </c>
      <c r="H11459" t="s">
        <v>28215</v>
      </c>
      <c r="I11459" t="s">
        <v>3797</v>
      </c>
      <c r="J11459" t="s">
        <v>35395</v>
      </c>
      <c r="K11459" t="s">
        <v>36688</v>
      </c>
      <c r="M11459" t="s">
        <v>38403</v>
      </c>
      <c r="N11459" t="s">
        <v>40436</v>
      </c>
      <c r="O11459" t="s">
        <v>40437</v>
      </c>
      <c r="P11459">
        <v>0</v>
      </c>
      <c r="Q11459">
        <v>0</v>
      </c>
      <c r="R11459" t="s">
        <v>40452</v>
      </c>
      <c r="S11459" t="s">
        <v>41140</v>
      </c>
      <c r="T11459" t="s">
        <v>42133</v>
      </c>
      <c r="U11459" t="s">
        <v>45667</v>
      </c>
      <c r="W11459" t="s">
        <v>38403</v>
      </c>
      <c r="X11459" t="s">
        <v>40453</v>
      </c>
    </row>
    <row r="11460" spans="1:24">
      <c r="A11460">
        <f>HYPERLINK("https://www.philgeps.gov.ph/GEPSNONPILOT/Tender/SplashBidNoticeAbstractUI.aspx?menuIndex=3&amp;refID=7023812&amp;Result=3","7023812")</f>
        <v>0</v>
      </c>
      <c r="B11460" t="s">
        <v>862</v>
      </c>
      <c r="C11460" t="s">
        <v>14042</v>
      </c>
      <c r="D11460" t="s">
        <v>16248</v>
      </c>
      <c r="E11460" t="s">
        <v>26218</v>
      </c>
      <c r="F11460" t="s">
        <v>28198</v>
      </c>
      <c r="G11460" t="s">
        <v>28205</v>
      </c>
      <c r="H11460" t="s">
        <v>28214</v>
      </c>
      <c r="I11460" t="s">
        <v>3797</v>
      </c>
      <c r="J11460" t="s">
        <v>35396</v>
      </c>
      <c r="K11460" t="s">
        <v>36697</v>
      </c>
      <c r="L11460" t="s">
        <v>862</v>
      </c>
      <c r="M11460" t="s">
        <v>37874</v>
      </c>
      <c r="N11460" t="s">
        <v>40436</v>
      </c>
      <c r="O11460" t="s">
        <v>40437</v>
      </c>
      <c r="P11460">
        <v>0</v>
      </c>
      <c r="Q11460">
        <v>0</v>
      </c>
      <c r="R11460" t="s">
        <v>40452</v>
      </c>
      <c r="S11460" t="s">
        <v>41140</v>
      </c>
      <c r="T11460" t="s">
        <v>42133</v>
      </c>
      <c r="U11460" t="s">
        <v>52092</v>
      </c>
      <c r="V11460" t="s">
        <v>55089</v>
      </c>
      <c r="W11460" t="s">
        <v>37874</v>
      </c>
      <c r="X11460" t="s">
        <v>40453</v>
      </c>
    </row>
    <row r="11461" spans="1:24">
      <c r="A11461">
        <f>HYPERLINK("https://www.philgeps.gov.ph/GEPSNONPILOT/Tender/SplashBidNoticeAbstractUI.aspx?menuIndex=3&amp;refID=7023802&amp;Result=3","7023802")</f>
        <v>0</v>
      </c>
      <c r="B11461" t="s">
        <v>748</v>
      </c>
      <c r="C11461" t="s">
        <v>14043</v>
      </c>
      <c r="D11461" t="s">
        <v>16203</v>
      </c>
      <c r="E11461" t="s">
        <v>26219</v>
      </c>
      <c r="F11461" t="s">
        <v>28198</v>
      </c>
      <c r="G11461" t="s">
        <v>28205</v>
      </c>
      <c r="H11461" t="s">
        <v>28214</v>
      </c>
      <c r="I11461" t="s">
        <v>3797</v>
      </c>
      <c r="J11461" t="s">
        <v>29331</v>
      </c>
      <c r="K11461" t="s">
        <v>36690</v>
      </c>
      <c r="M11461" t="s">
        <v>37751</v>
      </c>
      <c r="N11461" t="s">
        <v>40436</v>
      </c>
      <c r="O11461" t="s">
        <v>40437</v>
      </c>
      <c r="Q11461">
        <v>17</v>
      </c>
      <c r="R11461" t="s">
        <v>40452</v>
      </c>
      <c r="S11461" t="s">
        <v>41213</v>
      </c>
      <c r="T11461" t="s">
        <v>42573</v>
      </c>
      <c r="U11461" t="s">
        <v>52093</v>
      </c>
      <c r="V11461" t="s">
        <v>53964</v>
      </c>
      <c r="W11461" t="s">
        <v>37751</v>
      </c>
      <c r="X11461" t="s">
        <v>40453</v>
      </c>
    </row>
    <row r="11462" spans="1:24">
      <c r="A11462">
        <f>HYPERLINK("https://www.philgeps.gov.ph/GEPSNONPILOT/Tender/SplashBidNoticeAbstractUI.aspx?menuIndex=3&amp;refID=7023753&amp;Result=3","7023753")</f>
        <v>0</v>
      </c>
      <c r="B11462" t="s">
        <v>2902</v>
      </c>
      <c r="C11462" t="s">
        <v>14044</v>
      </c>
      <c r="D11462" t="s">
        <v>16246</v>
      </c>
      <c r="E11462" t="s">
        <v>26220</v>
      </c>
      <c r="F11462" t="s">
        <v>28198</v>
      </c>
      <c r="G11462" t="s">
        <v>28205</v>
      </c>
      <c r="H11462" t="s">
        <v>28214</v>
      </c>
      <c r="I11462" t="s">
        <v>3797</v>
      </c>
      <c r="J11462" t="s">
        <v>35397</v>
      </c>
      <c r="K11462" t="s">
        <v>36697</v>
      </c>
      <c r="M11462" t="s">
        <v>40170</v>
      </c>
      <c r="N11462" t="s">
        <v>40436</v>
      </c>
      <c r="O11462" t="s">
        <v>40437</v>
      </c>
      <c r="P11462">
        <v>0</v>
      </c>
      <c r="Q11462">
        <v>7</v>
      </c>
      <c r="R11462" t="s">
        <v>40452</v>
      </c>
      <c r="S11462" t="s">
        <v>41140</v>
      </c>
      <c r="T11462" t="s">
        <v>42238</v>
      </c>
      <c r="U11462" t="s">
        <v>52094</v>
      </c>
      <c r="W11462" t="s">
        <v>40170</v>
      </c>
      <c r="X11462" t="s">
        <v>40453</v>
      </c>
    </row>
    <row r="11463" spans="1:24">
      <c r="A11463">
        <f>HYPERLINK("https://www.philgeps.gov.ph/GEPSNONPILOT/Tender/SplashBidNoticeAbstractUI.aspx?menuIndex=3&amp;refID=7023823&amp;Result=3","7023823")</f>
        <v>0</v>
      </c>
      <c r="B11463" t="s">
        <v>2123</v>
      </c>
      <c r="C11463" t="s">
        <v>14045</v>
      </c>
      <c r="E11463" t="s">
        <v>26221</v>
      </c>
      <c r="F11463" t="s">
        <v>28198</v>
      </c>
      <c r="G11463" t="s">
        <v>28205</v>
      </c>
      <c r="H11463" t="s">
        <v>28214</v>
      </c>
      <c r="I11463" t="s">
        <v>3797</v>
      </c>
      <c r="J11463" t="s">
        <v>29598</v>
      </c>
      <c r="K11463" t="s">
        <v>36701</v>
      </c>
      <c r="M11463" t="s">
        <v>39279</v>
      </c>
      <c r="N11463" t="s">
        <v>40436</v>
      </c>
      <c r="O11463" t="s">
        <v>40437</v>
      </c>
      <c r="P11463">
        <v>0</v>
      </c>
      <c r="Q11463">
        <v>2</v>
      </c>
      <c r="R11463" t="s">
        <v>40452</v>
      </c>
      <c r="S11463" t="s">
        <v>41140</v>
      </c>
      <c r="T11463" t="s">
        <v>42133</v>
      </c>
      <c r="U11463" t="s">
        <v>52095</v>
      </c>
      <c r="W11463" t="s">
        <v>39279</v>
      </c>
      <c r="X11463" t="s">
        <v>40453</v>
      </c>
    </row>
    <row r="11464" spans="1:24">
      <c r="A11464">
        <f>HYPERLINK("https://www.philgeps.gov.ph/GEPSNONPILOT/Tender/SplashBidNoticeAbstractUI.aspx?menuIndex=3&amp;refID=7023732&amp;Result=3","7023732")</f>
        <v>0</v>
      </c>
      <c r="B11464" t="s">
        <v>2902</v>
      </c>
      <c r="C11464" t="s">
        <v>14046</v>
      </c>
      <c r="D11464" t="s">
        <v>16249</v>
      </c>
      <c r="E11464" t="s">
        <v>26222</v>
      </c>
      <c r="F11464" t="s">
        <v>28198</v>
      </c>
      <c r="G11464" t="s">
        <v>28205</v>
      </c>
      <c r="H11464" t="s">
        <v>28215</v>
      </c>
      <c r="I11464" t="s">
        <v>5100</v>
      </c>
      <c r="J11464" t="s">
        <v>35398</v>
      </c>
      <c r="K11464" t="s">
        <v>36715</v>
      </c>
      <c r="M11464" t="s">
        <v>40170</v>
      </c>
      <c r="N11464" t="s">
        <v>40436</v>
      </c>
      <c r="O11464" t="s">
        <v>40437</v>
      </c>
      <c r="P11464">
        <v>0</v>
      </c>
      <c r="Q11464">
        <v>5</v>
      </c>
      <c r="R11464" t="s">
        <v>40452</v>
      </c>
      <c r="S11464" t="s">
        <v>41140</v>
      </c>
      <c r="T11464" t="s">
        <v>42134</v>
      </c>
      <c r="U11464" t="s">
        <v>52096</v>
      </c>
      <c r="W11464" t="s">
        <v>40170</v>
      </c>
      <c r="X11464" t="s">
        <v>40453</v>
      </c>
    </row>
    <row r="11465" spans="1:24">
      <c r="A11465">
        <f>HYPERLINK("https://www.philgeps.gov.ph/GEPSNONPILOT/Tender/SplashBidNoticeAbstractUI.aspx?menuIndex=3&amp;refID=7023820&amp;Result=3","7023820")</f>
        <v>0</v>
      </c>
      <c r="B11465" t="s">
        <v>1032</v>
      </c>
      <c r="C11465" t="s">
        <v>14047</v>
      </c>
      <c r="D11465" t="s">
        <v>16210</v>
      </c>
      <c r="E11465" t="s">
        <v>16660</v>
      </c>
      <c r="F11465" t="s">
        <v>28198</v>
      </c>
      <c r="G11465" t="s">
        <v>28205</v>
      </c>
      <c r="H11465" t="s">
        <v>28215</v>
      </c>
      <c r="I11465" t="s">
        <v>28331</v>
      </c>
      <c r="J11465" t="s">
        <v>28347</v>
      </c>
      <c r="K11465" t="s">
        <v>36690</v>
      </c>
      <c r="M11465" t="s">
        <v>38064</v>
      </c>
      <c r="N11465" t="s">
        <v>40436</v>
      </c>
      <c r="O11465" t="s">
        <v>40437</v>
      </c>
      <c r="Q11465">
        <v>4</v>
      </c>
      <c r="R11465" t="s">
        <v>40452</v>
      </c>
      <c r="S11465" t="s">
        <v>41214</v>
      </c>
      <c r="T11465" t="s">
        <v>42315</v>
      </c>
      <c r="U11465" t="s">
        <v>52097</v>
      </c>
      <c r="W11465" t="s">
        <v>38064</v>
      </c>
      <c r="X11465" t="s">
        <v>40453</v>
      </c>
    </row>
    <row r="11466" spans="1:24">
      <c r="A11466">
        <f>HYPERLINK("https://www.philgeps.gov.ph/GEPSNONPILOT/Tender/SplashBidNoticeAbstractUI.aspx?menuIndex=3&amp;refID=7023827&amp;Result=3","7023827")</f>
        <v>0</v>
      </c>
      <c r="B11466" t="s">
        <v>740</v>
      </c>
      <c r="C11466" t="s">
        <v>14048</v>
      </c>
      <c r="D11466" t="s">
        <v>16189</v>
      </c>
      <c r="E11466" t="s">
        <v>26223</v>
      </c>
      <c r="F11466" t="s">
        <v>28198</v>
      </c>
      <c r="G11466" t="s">
        <v>28205</v>
      </c>
      <c r="H11466" t="s">
        <v>28215</v>
      </c>
      <c r="I11466" t="s">
        <v>28249</v>
      </c>
      <c r="J11466" t="s">
        <v>35399</v>
      </c>
      <c r="K11466" t="s">
        <v>36701</v>
      </c>
      <c r="M11466" t="s">
        <v>37743</v>
      </c>
      <c r="N11466" t="s">
        <v>40436</v>
      </c>
      <c r="O11466" t="s">
        <v>40437</v>
      </c>
      <c r="Q11466">
        <v>7</v>
      </c>
      <c r="R11466" t="s">
        <v>40452</v>
      </c>
      <c r="S11466" t="s">
        <v>41215</v>
      </c>
      <c r="T11466" t="s">
        <v>42176</v>
      </c>
      <c r="U11466" t="s">
        <v>52098</v>
      </c>
      <c r="W11466" t="s">
        <v>55458</v>
      </c>
      <c r="X11466" t="s">
        <v>40453</v>
      </c>
    </row>
    <row r="11467" spans="1:24">
      <c r="A11467">
        <f>HYPERLINK("https://www.philgeps.gov.ph/GEPSNONPILOT/Tender/SplashBidNoticeAbstractUI.aspx?menuIndex=3&amp;refID=7023705&amp;Result=3","7023705")</f>
        <v>0</v>
      </c>
      <c r="B11467" t="s">
        <v>2902</v>
      </c>
      <c r="C11467" t="s">
        <v>14049</v>
      </c>
      <c r="D11467" t="s">
        <v>16246</v>
      </c>
      <c r="E11467" t="s">
        <v>26224</v>
      </c>
      <c r="F11467" t="s">
        <v>28198</v>
      </c>
      <c r="G11467" t="s">
        <v>28205</v>
      </c>
      <c r="H11467" t="s">
        <v>28214</v>
      </c>
      <c r="I11467" t="s">
        <v>3797</v>
      </c>
      <c r="J11467" t="s">
        <v>35400</v>
      </c>
      <c r="K11467" t="s">
        <v>36697</v>
      </c>
      <c r="M11467" t="s">
        <v>40170</v>
      </c>
      <c r="N11467" t="s">
        <v>40436</v>
      </c>
      <c r="O11467" t="s">
        <v>40437</v>
      </c>
      <c r="P11467">
        <v>0</v>
      </c>
      <c r="Q11467">
        <v>5</v>
      </c>
      <c r="R11467" t="s">
        <v>40452</v>
      </c>
      <c r="S11467" t="s">
        <v>41140</v>
      </c>
      <c r="T11467" t="s">
        <v>42133</v>
      </c>
      <c r="U11467" t="s">
        <v>52099</v>
      </c>
      <c r="W11467" t="s">
        <v>40170</v>
      </c>
      <c r="X11467" t="s">
        <v>40453</v>
      </c>
    </row>
    <row r="11468" spans="1:24">
      <c r="A11468">
        <f>HYPERLINK("https://www.philgeps.gov.ph/GEPSNONPILOT/Tender/SplashBidNoticeAbstractUI.aspx?menuIndex=3&amp;refID=7023866&amp;Result=3","7023866")</f>
        <v>0</v>
      </c>
      <c r="B11468" t="s">
        <v>2903</v>
      </c>
      <c r="C11468" t="s">
        <v>14050</v>
      </c>
      <c r="D11468" t="s">
        <v>16223</v>
      </c>
      <c r="E11468" t="s">
        <v>26225</v>
      </c>
      <c r="F11468" t="s">
        <v>28198</v>
      </c>
      <c r="G11468" t="s">
        <v>28205</v>
      </c>
      <c r="H11468" t="s">
        <v>28215</v>
      </c>
      <c r="I11468" t="s">
        <v>28253</v>
      </c>
      <c r="J11468" t="s">
        <v>35401</v>
      </c>
      <c r="K11468" t="s">
        <v>36701</v>
      </c>
      <c r="M11468" t="s">
        <v>40171</v>
      </c>
      <c r="N11468" t="s">
        <v>40436</v>
      </c>
      <c r="O11468" t="s">
        <v>40437</v>
      </c>
      <c r="P11468">
        <v>0</v>
      </c>
      <c r="Q11468">
        <v>0</v>
      </c>
      <c r="R11468" t="s">
        <v>40452</v>
      </c>
      <c r="S11468" t="s">
        <v>41140</v>
      </c>
      <c r="T11468" t="s">
        <v>42172</v>
      </c>
      <c r="U11468" t="s">
        <v>52100</v>
      </c>
      <c r="W11468" t="s">
        <v>40171</v>
      </c>
      <c r="X11468" t="s">
        <v>40453</v>
      </c>
    </row>
    <row r="11469" spans="1:24">
      <c r="A11469">
        <f>HYPERLINK("https://www.philgeps.gov.ph/GEPSNONPILOT/Tender/SplashBidNoticeAbstractUI.aspx?menuIndex=3&amp;refID=7023825&amp;Result=3","7023825")</f>
        <v>0</v>
      </c>
      <c r="B11469" t="s">
        <v>54</v>
      </c>
      <c r="C11469" t="s">
        <v>14051</v>
      </c>
      <c r="D11469" t="s">
        <v>16196</v>
      </c>
      <c r="E11469" t="s">
        <v>26226</v>
      </c>
      <c r="F11469" t="s">
        <v>28198</v>
      </c>
      <c r="G11469" t="s">
        <v>28205</v>
      </c>
      <c r="H11469" t="s">
        <v>28215</v>
      </c>
      <c r="I11469" t="s">
        <v>28222</v>
      </c>
      <c r="J11469" t="s">
        <v>28730</v>
      </c>
      <c r="K11469" t="s">
        <v>36701</v>
      </c>
      <c r="M11469" t="s">
        <v>40167</v>
      </c>
      <c r="N11469" t="s">
        <v>40436</v>
      </c>
      <c r="O11469" t="s">
        <v>40437</v>
      </c>
      <c r="P11469">
        <v>0</v>
      </c>
      <c r="Q11469">
        <v>10</v>
      </c>
      <c r="R11469" t="s">
        <v>40452</v>
      </c>
      <c r="S11469" t="s">
        <v>41140</v>
      </c>
      <c r="T11469" t="s">
        <v>42346</v>
      </c>
      <c r="U11469" t="s">
        <v>52101</v>
      </c>
      <c r="W11469" t="s">
        <v>40167</v>
      </c>
      <c r="X11469" t="s">
        <v>40453</v>
      </c>
    </row>
    <row r="11470" spans="1:24">
      <c r="A11470">
        <f>HYPERLINK("https://www.philgeps.gov.ph/GEPSNONPILOT/Tender/SplashBidNoticeAbstractUI.aspx?menuIndex=3&amp;refID=7023826&amp;Result=3","7023826")</f>
        <v>0</v>
      </c>
      <c r="B11470" t="s">
        <v>2268</v>
      </c>
      <c r="C11470" t="s">
        <v>14052</v>
      </c>
      <c r="D11470" t="s">
        <v>16199</v>
      </c>
      <c r="E11470" t="s">
        <v>14052</v>
      </c>
      <c r="F11470" t="s">
        <v>28198</v>
      </c>
      <c r="G11470" t="s">
        <v>28207</v>
      </c>
      <c r="H11470" t="s">
        <v>28215</v>
      </c>
      <c r="I11470" t="s">
        <v>5082</v>
      </c>
      <c r="J11470" t="s">
        <v>35402</v>
      </c>
      <c r="K11470" t="s">
        <v>36706</v>
      </c>
      <c r="M11470" t="s">
        <v>39439</v>
      </c>
      <c r="N11470" t="s">
        <v>40436</v>
      </c>
      <c r="O11470" t="s">
        <v>40437</v>
      </c>
      <c r="P11470">
        <v>0</v>
      </c>
      <c r="Q11470">
        <v>4</v>
      </c>
      <c r="R11470" t="s">
        <v>40452</v>
      </c>
      <c r="S11470" t="s">
        <v>41140</v>
      </c>
      <c r="T11470" t="s">
        <v>42133</v>
      </c>
      <c r="U11470" t="s">
        <v>52102</v>
      </c>
      <c r="W11470" t="s">
        <v>39439</v>
      </c>
      <c r="X11470" t="s">
        <v>40453</v>
      </c>
    </row>
    <row r="11471" spans="1:24">
      <c r="A11471">
        <f>HYPERLINK("https://www.philgeps.gov.ph/GEPSNONPILOT/Tender/SplashBidNoticeAbstractUI.aspx?menuIndex=3&amp;refID=7023882&amp;Result=3","7023882")</f>
        <v>0</v>
      </c>
      <c r="B11471" t="s">
        <v>2328</v>
      </c>
      <c r="C11471" t="s">
        <v>14053</v>
      </c>
      <c r="D11471" t="s">
        <v>16200</v>
      </c>
      <c r="E11471" t="s">
        <v>26227</v>
      </c>
      <c r="F11471" t="s">
        <v>28198</v>
      </c>
      <c r="G11471" t="s">
        <v>28208</v>
      </c>
      <c r="H11471" t="s">
        <v>28214</v>
      </c>
      <c r="I11471" t="s">
        <v>3797</v>
      </c>
      <c r="J11471" t="s">
        <v>29546</v>
      </c>
      <c r="K11471" t="s">
        <v>36814</v>
      </c>
      <c r="M11471" t="s">
        <v>39506</v>
      </c>
      <c r="N11471" t="s">
        <v>40436</v>
      </c>
      <c r="O11471" t="s">
        <v>40437</v>
      </c>
      <c r="Q11471">
        <v>7</v>
      </c>
      <c r="R11471" t="s">
        <v>40452</v>
      </c>
      <c r="S11471" t="s">
        <v>41216</v>
      </c>
      <c r="T11471" t="s">
        <v>42103</v>
      </c>
      <c r="U11471" t="s">
        <v>46684</v>
      </c>
      <c r="W11471" t="s">
        <v>39506</v>
      </c>
      <c r="X11471" t="s">
        <v>40453</v>
      </c>
    </row>
    <row r="11472" spans="1:24">
      <c r="A11472">
        <f>HYPERLINK("https://www.philgeps.gov.ph/GEPSNONPILOT/Tender/SplashBidNoticeAbstractUI.aspx?menuIndex=3&amp;refID=7023854&amp;Result=3","7023854")</f>
        <v>0</v>
      </c>
      <c r="B11472" t="s">
        <v>2903</v>
      </c>
      <c r="C11472" t="s">
        <v>14054</v>
      </c>
      <c r="D11472" t="s">
        <v>16223</v>
      </c>
      <c r="E11472" t="s">
        <v>26228</v>
      </c>
      <c r="F11472" t="s">
        <v>28198</v>
      </c>
      <c r="G11472" t="s">
        <v>28205</v>
      </c>
      <c r="H11472" t="s">
        <v>28215</v>
      </c>
      <c r="I11472" t="s">
        <v>28253</v>
      </c>
      <c r="J11472" t="s">
        <v>35403</v>
      </c>
      <c r="K11472" t="s">
        <v>36701</v>
      </c>
      <c r="M11472" t="s">
        <v>40171</v>
      </c>
      <c r="N11472" t="s">
        <v>40436</v>
      </c>
      <c r="O11472" t="s">
        <v>40437</v>
      </c>
      <c r="P11472">
        <v>0</v>
      </c>
      <c r="Q11472">
        <v>0</v>
      </c>
      <c r="R11472" t="s">
        <v>40452</v>
      </c>
      <c r="S11472" t="s">
        <v>41140</v>
      </c>
      <c r="T11472" t="s">
        <v>42383</v>
      </c>
      <c r="U11472" t="s">
        <v>52103</v>
      </c>
      <c r="W11472" t="s">
        <v>40171</v>
      </c>
      <c r="X11472" t="s">
        <v>40453</v>
      </c>
    </row>
    <row r="11473" spans="1:24">
      <c r="A11473">
        <f>HYPERLINK("https://www.philgeps.gov.ph/GEPSNONPILOT/Tender/SplashBidNoticeAbstractUI.aspx?menuIndex=3&amp;refID=7023841&amp;Result=3","7023841")</f>
        <v>0</v>
      </c>
      <c r="B11473" t="s">
        <v>589</v>
      </c>
      <c r="C11473" t="s">
        <v>14055</v>
      </c>
      <c r="D11473" t="s">
        <v>16199</v>
      </c>
      <c r="E11473" t="s">
        <v>26229</v>
      </c>
      <c r="F11473" t="s">
        <v>28198</v>
      </c>
      <c r="G11473" t="s">
        <v>28205</v>
      </c>
      <c r="H11473" t="s">
        <v>28215</v>
      </c>
      <c r="I11473" t="s">
        <v>28222</v>
      </c>
      <c r="J11473" t="s">
        <v>29479</v>
      </c>
      <c r="K11473" t="s">
        <v>36701</v>
      </c>
      <c r="M11473" t="s">
        <v>37578</v>
      </c>
      <c r="N11473" t="s">
        <v>40436</v>
      </c>
      <c r="O11473" t="s">
        <v>40437</v>
      </c>
      <c r="Q11473">
        <v>10</v>
      </c>
      <c r="R11473" t="s">
        <v>40452</v>
      </c>
      <c r="S11473" t="s">
        <v>41217</v>
      </c>
      <c r="T11473" t="s">
        <v>42129</v>
      </c>
      <c r="U11473" t="s">
        <v>52104</v>
      </c>
      <c r="V11473" t="s">
        <v>54441</v>
      </c>
      <c r="W11473" t="s">
        <v>37578</v>
      </c>
      <c r="X11473" t="s">
        <v>40453</v>
      </c>
    </row>
    <row r="11474" spans="1:24">
      <c r="A11474">
        <f>HYPERLINK("https://www.philgeps.gov.ph/GEPSNONPILOT/Tender/SplashBidNoticeAbstractUI.aspx?menuIndex=3&amp;refID=7023852&amp;Result=3","7023852")</f>
        <v>0</v>
      </c>
      <c r="B11474" t="s">
        <v>2904</v>
      </c>
      <c r="C11474" t="s">
        <v>14056</v>
      </c>
      <c r="D11474" t="s">
        <v>16239</v>
      </c>
      <c r="E11474" t="s">
        <v>26230</v>
      </c>
      <c r="F11474" t="s">
        <v>28198</v>
      </c>
      <c r="G11474" t="s">
        <v>28205</v>
      </c>
      <c r="H11474" t="s">
        <v>28217</v>
      </c>
      <c r="I11474" t="s">
        <v>5791</v>
      </c>
      <c r="J11474" t="s">
        <v>35404</v>
      </c>
      <c r="K11474" t="s">
        <v>36705</v>
      </c>
      <c r="M11474" t="s">
        <v>40172</v>
      </c>
      <c r="N11474" t="s">
        <v>40436</v>
      </c>
      <c r="O11474" t="s">
        <v>40437</v>
      </c>
      <c r="Q11474">
        <v>7</v>
      </c>
      <c r="R11474" t="s">
        <v>40452</v>
      </c>
      <c r="S11474" t="s">
        <v>41218</v>
      </c>
      <c r="T11474" t="s">
        <v>42119</v>
      </c>
      <c r="U11474" t="s">
        <v>52105</v>
      </c>
      <c r="W11474" t="s">
        <v>40172</v>
      </c>
      <c r="X11474" t="s">
        <v>40453</v>
      </c>
    </row>
    <row r="11475" spans="1:24">
      <c r="A11475">
        <f>HYPERLINK("https://www.philgeps.gov.ph/GEPSNONPILOT/Tender/SplashBidNoticeAbstractUI.aspx?menuIndex=3&amp;refID=7023872&amp;Result=3","7023872")</f>
        <v>0</v>
      </c>
      <c r="B11475" t="s">
        <v>1032</v>
      </c>
      <c r="C11475" t="s">
        <v>14057</v>
      </c>
      <c r="D11475" t="s">
        <v>16210</v>
      </c>
      <c r="E11475" t="s">
        <v>17244</v>
      </c>
      <c r="F11475" t="s">
        <v>28198</v>
      </c>
      <c r="G11475" t="s">
        <v>28205</v>
      </c>
      <c r="H11475" t="s">
        <v>28215</v>
      </c>
      <c r="I11475" t="s">
        <v>28341</v>
      </c>
      <c r="J11475" t="s">
        <v>35405</v>
      </c>
      <c r="K11475" t="s">
        <v>36690</v>
      </c>
      <c r="M11475" t="s">
        <v>38064</v>
      </c>
      <c r="N11475" t="s">
        <v>40436</v>
      </c>
      <c r="O11475" t="s">
        <v>40437</v>
      </c>
      <c r="Q11475">
        <v>4</v>
      </c>
      <c r="R11475" t="s">
        <v>40452</v>
      </c>
      <c r="S11475" t="s">
        <v>41219</v>
      </c>
      <c r="T11475" t="s">
        <v>42238</v>
      </c>
      <c r="U11475" t="s">
        <v>52106</v>
      </c>
      <c r="W11475" t="s">
        <v>38064</v>
      </c>
      <c r="X11475" t="s">
        <v>40453</v>
      </c>
    </row>
    <row r="11476" spans="1:24">
      <c r="A11476">
        <f>HYPERLINK("https://www.philgeps.gov.ph/GEPSNONPILOT/Tender/SplashBidNoticeAbstractUI.aspx?menuIndex=3&amp;refID=7023838&amp;Result=3","7023838")</f>
        <v>0</v>
      </c>
      <c r="B11476" t="s">
        <v>2903</v>
      </c>
      <c r="C11476" t="s">
        <v>14058</v>
      </c>
      <c r="D11476" t="s">
        <v>16223</v>
      </c>
      <c r="E11476" t="s">
        <v>26231</v>
      </c>
      <c r="F11476" t="s">
        <v>28198</v>
      </c>
      <c r="G11476" t="s">
        <v>28205</v>
      </c>
      <c r="H11476" t="s">
        <v>28215</v>
      </c>
      <c r="I11476" t="s">
        <v>28253</v>
      </c>
      <c r="J11476" t="s">
        <v>35406</v>
      </c>
      <c r="K11476" t="s">
        <v>36701</v>
      </c>
      <c r="M11476" t="s">
        <v>40171</v>
      </c>
      <c r="N11476" t="s">
        <v>40436</v>
      </c>
      <c r="O11476" t="s">
        <v>40437</v>
      </c>
      <c r="P11476">
        <v>0</v>
      </c>
      <c r="Q11476">
        <v>0</v>
      </c>
      <c r="R11476" t="s">
        <v>40452</v>
      </c>
      <c r="S11476" t="s">
        <v>41140</v>
      </c>
      <c r="T11476" t="s">
        <v>42320</v>
      </c>
      <c r="U11476" t="s">
        <v>52107</v>
      </c>
      <c r="W11476" t="s">
        <v>40171</v>
      </c>
      <c r="X11476" t="s">
        <v>40453</v>
      </c>
    </row>
    <row r="11477" spans="1:24">
      <c r="A11477">
        <f>HYPERLINK("https://www.philgeps.gov.ph/GEPSNONPILOT/Tender/SplashBidNoticeAbstractUI.aspx?menuIndex=3&amp;refID=7023889&amp;Result=3","7023889")</f>
        <v>0</v>
      </c>
      <c r="B11477" t="s">
        <v>1032</v>
      </c>
      <c r="C11477" t="s">
        <v>14059</v>
      </c>
      <c r="D11477" t="s">
        <v>16210</v>
      </c>
      <c r="E11477" t="s">
        <v>19001</v>
      </c>
      <c r="F11477" t="s">
        <v>28198</v>
      </c>
      <c r="G11477" t="s">
        <v>28205</v>
      </c>
      <c r="H11477" t="s">
        <v>28215</v>
      </c>
      <c r="I11477" t="s">
        <v>4200</v>
      </c>
      <c r="J11477" t="s">
        <v>35407</v>
      </c>
      <c r="K11477" t="s">
        <v>36690</v>
      </c>
      <c r="M11477" t="s">
        <v>38064</v>
      </c>
      <c r="N11477" t="s">
        <v>40436</v>
      </c>
      <c r="O11477" t="s">
        <v>40437</v>
      </c>
      <c r="Q11477">
        <v>12</v>
      </c>
      <c r="R11477" t="s">
        <v>40452</v>
      </c>
      <c r="S11477" t="s">
        <v>41220</v>
      </c>
      <c r="T11477" t="s">
        <v>42354</v>
      </c>
      <c r="U11477" t="s">
        <v>52108</v>
      </c>
      <c r="W11477" t="s">
        <v>38064</v>
      </c>
      <c r="X11477" t="s">
        <v>40453</v>
      </c>
    </row>
    <row r="11478" spans="1:24">
      <c r="A11478">
        <f>HYPERLINK("https://www.philgeps.gov.ph/GEPSNONPILOT/Tender/SplashBidNoticeAbstractUI.aspx?menuIndex=3&amp;refID=7023883&amp;Result=3","7023883")</f>
        <v>0</v>
      </c>
      <c r="B11478" t="s">
        <v>2903</v>
      </c>
      <c r="C11478" t="s">
        <v>14060</v>
      </c>
      <c r="D11478" t="s">
        <v>16223</v>
      </c>
      <c r="E11478" t="s">
        <v>26232</v>
      </c>
      <c r="F11478" t="s">
        <v>28198</v>
      </c>
      <c r="G11478" t="s">
        <v>28205</v>
      </c>
      <c r="H11478" t="s">
        <v>28215</v>
      </c>
      <c r="I11478" t="s">
        <v>5656</v>
      </c>
      <c r="J11478" t="s">
        <v>35408</v>
      </c>
      <c r="K11478" t="s">
        <v>36701</v>
      </c>
      <c r="M11478" t="s">
        <v>40171</v>
      </c>
      <c r="N11478" t="s">
        <v>40436</v>
      </c>
      <c r="O11478" t="s">
        <v>40437</v>
      </c>
      <c r="P11478">
        <v>0</v>
      </c>
      <c r="Q11478">
        <v>0</v>
      </c>
      <c r="R11478" t="s">
        <v>40452</v>
      </c>
      <c r="S11478" t="s">
        <v>41140</v>
      </c>
      <c r="T11478" t="s">
        <v>42574</v>
      </c>
      <c r="U11478" t="s">
        <v>52109</v>
      </c>
      <c r="W11478" t="s">
        <v>40171</v>
      </c>
      <c r="X11478" t="s">
        <v>40453</v>
      </c>
    </row>
    <row r="11479" spans="1:24">
      <c r="A11479">
        <f>HYPERLINK("https://www.philgeps.gov.ph/GEPSNONPILOT/Tender/SplashBidNoticeAbstractUI.aspx?menuIndex=3&amp;refID=7023864&amp;Result=3","7023864")</f>
        <v>0</v>
      </c>
      <c r="B11479" t="s">
        <v>1032</v>
      </c>
      <c r="C11479" t="s">
        <v>14061</v>
      </c>
      <c r="D11479" t="s">
        <v>16210</v>
      </c>
      <c r="E11479" t="s">
        <v>16834</v>
      </c>
      <c r="F11479" t="s">
        <v>28198</v>
      </c>
      <c r="G11479" t="s">
        <v>28205</v>
      </c>
      <c r="H11479" t="s">
        <v>28215</v>
      </c>
      <c r="I11479" t="s">
        <v>28253</v>
      </c>
      <c r="J11479" t="s">
        <v>35409</v>
      </c>
      <c r="K11479" t="s">
        <v>36705</v>
      </c>
      <c r="M11479" t="s">
        <v>38064</v>
      </c>
      <c r="N11479" t="s">
        <v>40436</v>
      </c>
      <c r="O11479" t="s">
        <v>40437</v>
      </c>
      <c r="Q11479">
        <v>12</v>
      </c>
      <c r="R11479" t="s">
        <v>40452</v>
      </c>
      <c r="S11479" t="s">
        <v>41221</v>
      </c>
      <c r="T11479" t="s">
        <v>42575</v>
      </c>
      <c r="U11479" t="s">
        <v>52110</v>
      </c>
      <c r="W11479" t="s">
        <v>38064</v>
      </c>
      <c r="X11479" t="s">
        <v>40453</v>
      </c>
    </row>
    <row r="11480" spans="1:24">
      <c r="A11480">
        <f>HYPERLINK("https://www.philgeps.gov.ph/GEPSNONPILOT/Tender/SplashBidNoticeAbstractUI.aspx?menuIndex=3&amp;refID=7023856&amp;Result=3","7023856")</f>
        <v>0</v>
      </c>
      <c r="B11480" t="s">
        <v>862</v>
      </c>
      <c r="C11480" t="s">
        <v>14062</v>
      </c>
      <c r="D11480" t="s">
        <v>16248</v>
      </c>
      <c r="E11480" t="s">
        <v>26233</v>
      </c>
      <c r="F11480" t="s">
        <v>28198</v>
      </c>
      <c r="G11480" t="s">
        <v>28205</v>
      </c>
      <c r="H11480" t="s">
        <v>28214</v>
      </c>
      <c r="I11480" t="s">
        <v>3797</v>
      </c>
      <c r="J11480" t="s">
        <v>35410</v>
      </c>
      <c r="K11480" t="s">
        <v>36737</v>
      </c>
      <c r="L11480" t="s">
        <v>862</v>
      </c>
      <c r="M11480" t="s">
        <v>37874</v>
      </c>
      <c r="N11480" t="s">
        <v>40436</v>
      </c>
      <c r="O11480" t="s">
        <v>40437</v>
      </c>
      <c r="P11480">
        <v>0</v>
      </c>
      <c r="Q11480">
        <v>0</v>
      </c>
      <c r="R11480" t="s">
        <v>40452</v>
      </c>
      <c r="S11480" t="s">
        <v>41140</v>
      </c>
      <c r="T11480" t="s">
        <v>42133</v>
      </c>
      <c r="U11480" t="s">
        <v>52111</v>
      </c>
      <c r="V11480" t="s">
        <v>55090</v>
      </c>
      <c r="W11480" t="s">
        <v>37874</v>
      </c>
      <c r="X11480" t="s">
        <v>40453</v>
      </c>
    </row>
    <row r="11481" spans="1:24">
      <c r="A11481">
        <f>HYPERLINK("https://www.philgeps.gov.ph/GEPSNONPILOT/Tender/SplashBidNoticeAbstractUI.aspx?menuIndex=3&amp;refID=7023865&amp;Result=3","7023865")</f>
        <v>0</v>
      </c>
      <c r="B11481" t="s">
        <v>862</v>
      </c>
      <c r="C11481" t="s">
        <v>14063</v>
      </c>
      <c r="D11481" t="s">
        <v>16248</v>
      </c>
      <c r="E11481" t="s">
        <v>26234</v>
      </c>
      <c r="F11481" t="s">
        <v>28198</v>
      </c>
      <c r="G11481" t="s">
        <v>28205</v>
      </c>
      <c r="H11481" t="s">
        <v>28214</v>
      </c>
      <c r="I11481" t="s">
        <v>3797</v>
      </c>
      <c r="J11481" t="s">
        <v>29163</v>
      </c>
      <c r="K11481" t="s">
        <v>36923</v>
      </c>
      <c r="L11481" t="s">
        <v>862</v>
      </c>
      <c r="M11481" t="s">
        <v>37874</v>
      </c>
      <c r="N11481" t="s">
        <v>40436</v>
      </c>
      <c r="O11481" t="s">
        <v>40437</v>
      </c>
      <c r="P11481">
        <v>0</v>
      </c>
      <c r="Q11481">
        <v>0</v>
      </c>
      <c r="R11481" t="s">
        <v>40452</v>
      </c>
      <c r="S11481" t="s">
        <v>41140</v>
      </c>
      <c r="T11481" t="s">
        <v>42133</v>
      </c>
      <c r="U11481" t="s">
        <v>52112</v>
      </c>
      <c r="V11481" t="s">
        <v>55091</v>
      </c>
      <c r="W11481" t="s">
        <v>37874</v>
      </c>
      <c r="X11481" t="s">
        <v>40453</v>
      </c>
    </row>
    <row r="11482" spans="1:24">
      <c r="A11482">
        <f>HYPERLINK("https://www.philgeps.gov.ph/GEPSNONPILOT/Tender/SplashBidNoticeAbstractUI.aspx?menuIndex=3&amp;refID=7023828&amp;Result=3","7023828")</f>
        <v>0</v>
      </c>
      <c r="B11482" t="s">
        <v>862</v>
      </c>
      <c r="C11482" t="s">
        <v>14064</v>
      </c>
      <c r="D11482" t="s">
        <v>16248</v>
      </c>
      <c r="E11482" t="s">
        <v>26235</v>
      </c>
      <c r="F11482" t="s">
        <v>28198</v>
      </c>
      <c r="G11482" t="s">
        <v>28205</v>
      </c>
      <c r="H11482" t="s">
        <v>28214</v>
      </c>
      <c r="I11482" t="s">
        <v>3797</v>
      </c>
      <c r="J11482" t="s">
        <v>30493</v>
      </c>
      <c r="K11482" t="s">
        <v>36717</v>
      </c>
      <c r="L11482" t="s">
        <v>862</v>
      </c>
      <c r="M11482" t="s">
        <v>37874</v>
      </c>
      <c r="N11482" t="s">
        <v>40436</v>
      </c>
      <c r="O11482" t="s">
        <v>40437</v>
      </c>
      <c r="P11482">
        <v>0</v>
      </c>
      <c r="Q11482">
        <v>0</v>
      </c>
      <c r="R11482" t="s">
        <v>40452</v>
      </c>
      <c r="S11482" t="s">
        <v>41140</v>
      </c>
      <c r="T11482" t="s">
        <v>42133</v>
      </c>
      <c r="U11482" t="s">
        <v>52113</v>
      </c>
      <c r="V11482" t="s">
        <v>55092</v>
      </c>
      <c r="W11482" t="s">
        <v>37874</v>
      </c>
      <c r="X11482" t="s">
        <v>40453</v>
      </c>
    </row>
    <row r="11483" spans="1:24">
      <c r="A11483">
        <f>HYPERLINK("https://www.philgeps.gov.ph/GEPSNONPILOT/Tender/SplashBidNoticeAbstractUI.aspx?menuIndex=3&amp;refID=7023890&amp;Result=3","7023890")</f>
        <v>0</v>
      </c>
      <c r="B11483" t="s">
        <v>2883</v>
      </c>
      <c r="C11483" t="s">
        <v>14065</v>
      </c>
      <c r="E11483" t="s">
        <v>26236</v>
      </c>
      <c r="F11483" t="s">
        <v>28198</v>
      </c>
      <c r="G11483" t="s">
        <v>28205</v>
      </c>
      <c r="H11483" t="s">
        <v>28215</v>
      </c>
      <c r="I11483" t="s">
        <v>28228</v>
      </c>
      <c r="J11483" t="s">
        <v>35411</v>
      </c>
      <c r="K11483" t="s">
        <v>36707</v>
      </c>
      <c r="M11483" t="s">
        <v>40173</v>
      </c>
      <c r="N11483" t="s">
        <v>40436</v>
      </c>
      <c r="O11483" t="s">
        <v>40437</v>
      </c>
      <c r="P11483">
        <v>0</v>
      </c>
      <c r="Q11483">
        <v>0</v>
      </c>
      <c r="R11483" t="s">
        <v>40452</v>
      </c>
      <c r="S11483" t="s">
        <v>41140</v>
      </c>
      <c r="T11483" t="s">
        <v>42133</v>
      </c>
      <c r="U11483" t="s">
        <v>52114</v>
      </c>
      <c r="W11483" t="s">
        <v>40173</v>
      </c>
      <c r="X11483" t="s">
        <v>40453</v>
      </c>
    </row>
    <row r="11484" spans="1:24">
      <c r="A11484">
        <f>HYPERLINK("https://www.philgeps.gov.ph/GEPSNONPILOT/Tender/SplashBidNoticeAbstractUI.aspx?menuIndex=3&amp;refID=7023840&amp;Result=3","7023840")</f>
        <v>0</v>
      </c>
      <c r="B11484" t="s">
        <v>1032</v>
      </c>
      <c r="C11484" t="s">
        <v>14066</v>
      </c>
      <c r="D11484" t="s">
        <v>16210</v>
      </c>
      <c r="E11484" t="s">
        <v>18331</v>
      </c>
      <c r="F11484" t="s">
        <v>28198</v>
      </c>
      <c r="G11484" t="s">
        <v>28205</v>
      </c>
      <c r="H11484" t="s">
        <v>28215</v>
      </c>
      <c r="I11484" t="s">
        <v>28257</v>
      </c>
      <c r="J11484" t="s">
        <v>35412</v>
      </c>
      <c r="K11484" t="s">
        <v>36692</v>
      </c>
      <c r="M11484" t="s">
        <v>38064</v>
      </c>
      <c r="N11484" t="s">
        <v>40436</v>
      </c>
      <c r="O11484" t="s">
        <v>40437</v>
      </c>
      <c r="Q11484">
        <v>17</v>
      </c>
      <c r="R11484" t="s">
        <v>40452</v>
      </c>
      <c r="S11484" t="s">
        <v>41222</v>
      </c>
      <c r="T11484" t="s">
        <v>42397</v>
      </c>
      <c r="U11484" t="s">
        <v>52115</v>
      </c>
      <c r="W11484" t="s">
        <v>38064</v>
      </c>
      <c r="X11484" t="s">
        <v>40453</v>
      </c>
    </row>
    <row r="11485" spans="1:24">
      <c r="A11485">
        <f>HYPERLINK("https://www.philgeps.gov.ph/GEPSNONPILOT/Tender/SplashBidNoticeAbstractUI.aspx?menuIndex=3&amp;refID=7023953&amp;Result=3","7023953")</f>
        <v>0</v>
      </c>
      <c r="B11485" t="s">
        <v>2905</v>
      </c>
      <c r="C11485" t="s">
        <v>14067</v>
      </c>
      <c r="D11485" t="s">
        <v>16221</v>
      </c>
      <c r="E11485" t="s">
        <v>26237</v>
      </c>
      <c r="F11485" t="s">
        <v>28198</v>
      </c>
      <c r="G11485" t="s">
        <v>28205</v>
      </c>
      <c r="H11485" t="s">
        <v>28214</v>
      </c>
      <c r="I11485" t="s">
        <v>3797</v>
      </c>
      <c r="J11485" t="s">
        <v>35413</v>
      </c>
      <c r="K11485" t="s">
        <v>36851</v>
      </c>
      <c r="M11485" t="s">
        <v>40174</v>
      </c>
      <c r="N11485" t="s">
        <v>40436</v>
      </c>
      <c r="O11485" t="s">
        <v>40437</v>
      </c>
      <c r="P11485">
        <v>0</v>
      </c>
      <c r="Q11485">
        <v>0</v>
      </c>
      <c r="R11485" t="s">
        <v>40452</v>
      </c>
      <c r="S11485" t="s">
        <v>41140</v>
      </c>
      <c r="T11485" t="s">
        <v>42103</v>
      </c>
      <c r="U11485" t="s">
        <v>52116</v>
      </c>
      <c r="W11485" t="s">
        <v>40174</v>
      </c>
      <c r="X11485" t="s">
        <v>40453</v>
      </c>
    </row>
    <row r="11486" spans="1:24">
      <c r="A11486">
        <f>HYPERLINK("https://www.philgeps.gov.ph/GEPSNONPILOT/Tender/SplashBidNoticeAbstractUI.aspx?menuIndex=3&amp;refID=7023887&amp;Result=3","7023887")</f>
        <v>0</v>
      </c>
      <c r="B11486" t="s">
        <v>2906</v>
      </c>
      <c r="C11486" t="s">
        <v>14068</v>
      </c>
      <c r="D11486" t="s">
        <v>16195</v>
      </c>
      <c r="E11486" t="s">
        <v>26238</v>
      </c>
      <c r="F11486" t="s">
        <v>28198</v>
      </c>
      <c r="G11486" t="s">
        <v>28205</v>
      </c>
      <c r="H11486" t="s">
        <v>28214</v>
      </c>
      <c r="I11486" t="s">
        <v>3797</v>
      </c>
      <c r="J11486" t="s">
        <v>28379</v>
      </c>
      <c r="K11486" t="s">
        <v>36740</v>
      </c>
      <c r="M11486" t="s">
        <v>40175</v>
      </c>
      <c r="N11486" t="s">
        <v>40436</v>
      </c>
      <c r="O11486" t="s">
        <v>40437</v>
      </c>
      <c r="P11486">
        <v>0</v>
      </c>
      <c r="Q11486">
        <v>1</v>
      </c>
      <c r="R11486" t="s">
        <v>40452</v>
      </c>
      <c r="S11486" t="s">
        <v>41140</v>
      </c>
      <c r="T11486" t="s">
        <v>42133</v>
      </c>
      <c r="U11486" t="s">
        <v>52117</v>
      </c>
      <c r="W11486" t="s">
        <v>40175</v>
      </c>
      <c r="X11486" t="s">
        <v>40453</v>
      </c>
    </row>
    <row r="11487" spans="1:24">
      <c r="A11487">
        <f>HYPERLINK("https://www.philgeps.gov.ph/GEPSNONPILOT/Tender/SplashBidNoticeAbstractUI.aspx?menuIndex=3&amp;refID=7023915&amp;Result=3","7023915")</f>
        <v>0</v>
      </c>
      <c r="B11487" t="s">
        <v>152</v>
      </c>
      <c r="C11487" t="s">
        <v>14069</v>
      </c>
      <c r="D11487" t="s">
        <v>16210</v>
      </c>
      <c r="E11487" t="s">
        <v>26239</v>
      </c>
      <c r="F11487" t="s">
        <v>28198</v>
      </c>
      <c r="G11487" t="s">
        <v>28209</v>
      </c>
      <c r="H11487" t="s">
        <v>28215</v>
      </c>
      <c r="I11487" t="s">
        <v>28247</v>
      </c>
      <c r="J11487" t="s">
        <v>28371</v>
      </c>
      <c r="K11487" t="s">
        <v>36697</v>
      </c>
      <c r="M11487" t="s">
        <v>39115</v>
      </c>
      <c r="N11487" t="s">
        <v>40436</v>
      </c>
      <c r="O11487" t="s">
        <v>40437</v>
      </c>
      <c r="P11487">
        <v>0</v>
      </c>
      <c r="Q11487">
        <v>8</v>
      </c>
      <c r="R11487" t="s">
        <v>40452</v>
      </c>
      <c r="S11487" t="s">
        <v>41140</v>
      </c>
      <c r="T11487" t="s">
        <v>42228</v>
      </c>
      <c r="U11487" t="s">
        <v>52118</v>
      </c>
      <c r="W11487" t="s">
        <v>39115</v>
      </c>
      <c r="X11487" t="s">
        <v>40453</v>
      </c>
    </row>
    <row r="11488" spans="1:24">
      <c r="A11488">
        <f>HYPERLINK("https://www.philgeps.gov.ph/GEPSNONPILOT/Tender/SplashBidNoticeAbstractUI.aspx?menuIndex=3&amp;refID=7023949&amp;Result=3","7023949")</f>
        <v>0</v>
      </c>
      <c r="B11488" t="s">
        <v>2726</v>
      </c>
      <c r="C11488" t="s">
        <v>14070</v>
      </c>
      <c r="D11488" t="s">
        <v>16201</v>
      </c>
      <c r="E11488" t="s">
        <v>26240</v>
      </c>
      <c r="F11488" t="s">
        <v>28198</v>
      </c>
      <c r="G11488" t="s">
        <v>28206</v>
      </c>
      <c r="H11488" t="s">
        <v>28215</v>
      </c>
      <c r="I11488" t="s">
        <v>28228</v>
      </c>
      <c r="J11488" t="s">
        <v>28504</v>
      </c>
      <c r="K11488" t="s">
        <v>36687</v>
      </c>
      <c r="M11488" t="s">
        <v>39972</v>
      </c>
      <c r="N11488" t="s">
        <v>40436</v>
      </c>
      <c r="O11488" t="s">
        <v>40437</v>
      </c>
      <c r="Q11488">
        <v>3</v>
      </c>
      <c r="R11488" t="s">
        <v>40452</v>
      </c>
      <c r="S11488" t="s">
        <v>40879</v>
      </c>
      <c r="T11488" t="s">
        <v>42169</v>
      </c>
      <c r="U11488" t="s">
        <v>52119</v>
      </c>
      <c r="V11488" t="s">
        <v>54863</v>
      </c>
      <c r="W11488" t="s">
        <v>39972</v>
      </c>
      <c r="X11488" t="s">
        <v>40453</v>
      </c>
    </row>
    <row r="11489" spans="1:24">
      <c r="A11489">
        <f>HYPERLINK("https://www.philgeps.gov.ph/GEPSNONPILOT/Tender/SplashBidNoticeAbstractUI.aspx?menuIndex=3&amp;refID=7023906&amp;Result=3","7023906")</f>
        <v>0</v>
      </c>
      <c r="B11489" t="s">
        <v>1508</v>
      </c>
      <c r="C11489" t="s">
        <v>14071</v>
      </c>
      <c r="D11489" t="s">
        <v>16203</v>
      </c>
      <c r="E11489" t="s">
        <v>26241</v>
      </c>
      <c r="F11489" t="s">
        <v>28198</v>
      </c>
      <c r="G11489" t="s">
        <v>28205</v>
      </c>
      <c r="H11489" t="s">
        <v>28215</v>
      </c>
      <c r="I11489" t="s">
        <v>28238</v>
      </c>
      <c r="J11489" t="s">
        <v>35414</v>
      </c>
      <c r="K11489" t="s">
        <v>36701</v>
      </c>
      <c r="M11489" t="s">
        <v>38584</v>
      </c>
      <c r="N11489" t="s">
        <v>40436</v>
      </c>
      <c r="O11489" t="s">
        <v>40437</v>
      </c>
      <c r="P11489">
        <v>0</v>
      </c>
      <c r="Q11489">
        <v>9</v>
      </c>
      <c r="R11489" t="s">
        <v>40452</v>
      </c>
      <c r="S11489" t="s">
        <v>41140</v>
      </c>
      <c r="T11489" t="s">
        <v>42228</v>
      </c>
      <c r="U11489" t="s">
        <v>52120</v>
      </c>
      <c r="W11489" t="s">
        <v>38584</v>
      </c>
      <c r="X11489" t="s">
        <v>40453</v>
      </c>
    </row>
    <row r="11490" spans="1:24">
      <c r="A11490">
        <f>HYPERLINK("https://www.philgeps.gov.ph/GEPSNONPILOT/Tender/SplashBidNoticeAbstractUI.aspx?menuIndex=3&amp;refID=7023902&amp;Result=3","7023902")</f>
        <v>0</v>
      </c>
      <c r="B11490" t="s">
        <v>2907</v>
      </c>
      <c r="C11490" t="s">
        <v>14072</v>
      </c>
      <c r="D11490" t="s">
        <v>16189</v>
      </c>
      <c r="E11490" t="s">
        <v>26242</v>
      </c>
      <c r="F11490" t="s">
        <v>28198</v>
      </c>
      <c r="G11490" t="s">
        <v>28205</v>
      </c>
      <c r="H11490" t="s">
        <v>28215</v>
      </c>
      <c r="I11490" t="s">
        <v>28284</v>
      </c>
      <c r="J11490" t="s">
        <v>35415</v>
      </c>
      <c r="K11490" t="s">
        <v>36701</v>
      </c>
      <c r="M11490" t="s">
        <v>40176</v>
      </c>
      <c r="N11490" t="s">
        <v>40436</v>
      </c>
      <c r="O11490" t="s">
        <v>40437</v>
      </c>
      <c r="Q11490">
        <v>6</v>
      </c>
      <c r="R11490" t="s">
        <v>40452</v>
      </c>
      <c r="S11490" t="s">
        <v>41223</v>
      </c>
      <c r="T11490" t="s">
        <v>42576</v>
      </c>
      <c r="U11490" t="s">
        <v>52121</v>
      </c>
      <c r="W11490" t="s">
        <v>40176</v>
      </c>
      <c r="X11490" t="s">
        <v>40453</v>
      </c>
    </row>
    <row r="11491" spans="1:24">
      <c r="A11491">
        <f>HYPERLINK("https://www.philgeps.gov.ph/GEPSNONPILOT/Tender/SplashBidNoticeAbstractUI.aspx?menuIndex=3&amp;refID=7023919&amp;Result=3","7023919")</f>
        <v>0</v>
      </c>
      <c r="B11491" t="s">
        <v>2328</v>
      </c>
      <c r="C11491" t="s">
        <v>14073</v>
      </c>
      <c r="D11491" t="s">
        <v>16200</v>
      </c>
      <c r="E11491" t="s">
        <v>26243</v>
      </c>
      <c r="F11491" t="s">
        <v>28198</v>
      </c>
      <c r="G11491" t="s">
        <v>28208</v>
      </c>
      <c r="H11491" t="s">
        <v>28214</v>
      </c>
      <c r="I11491" t="s">
        <v>3797</v>
      </c>
      <c r="J11491" t="s">
        <v>29552</v>
      </c>
      <c r="K11491" t="s">
        <v>36711</v>
      </c>
      <c r="M11491" t="s">
        <v>39506</v>
      </c>
      <c r="N11491" t="s">
        <v>40436</v>
      </c>
      <c r="O11491" t="s">
        <v>40437</v>
      </c>
      <c r="Q11491">
        <v>3</v>
      </c>
      <c r="R11491" t="s">
        <v>40452</v>
      </c>
      <c r="S11491" t="s">
        <v>41224</v>
      </c>
      <c r="T11491" t="s">
        <v>42103</v>
      </c>
      <c r="U11491" t="s">
        <v>46684</v>
      </c>
      <c r="W11491" t="s">
        <v>39506</v>
      </c>
      <c r="X11491" t="s">
        <v>40453</v>
      </c>
    </row>
    <row r="11492" spans="1:24">
      <c r="A11492">
        <f>HYPERLINK("https://www.philgeps.gov.ph/GEPSNONPILOT/Tender/SplashBidNoticeAbstractUI.aspx?menuIndex=3&amp;refID=7023894&amp;Result=3","7023894")</f>
        <v>0</v>
      </c>
      <c r="B11492" t="s">
        <v>2413</v>
      </c>
      <c r="C11492" t="s">
        <v>14074</v>
      </c>
      <c r="D11492" t="s">
        <v>16191</v>
      </c>
      <c r="E11492" t="s">
        <v>26244</v>
      </c>
      <c r="F11492" t="s">
        <v>28198</v>
      </c>
      <c r="G11492" t="s">
        <v>28205</v>
      </c>
      <c r="H11492" t="s">
        <v>28217</v>
      </c>
      <c r="I11492" t="s">
        <v>28325</v>
      </c>
      <c r="J11492" t="s">
        <v>31858</v>
      </c>
      <c r="K11492" t="s">
        <v>36701</v>
      </c>
      <c r="M11492" t="s">
        <v>39653</v>
      </c>
      <c r="N11492" t="s">
        <v>40436</v>
      </c>
      <c r="O11492" t="s">
        <v>40437</v>
      </c>
      <c r="P11492">
        <v>0</v>
      </c>
      <c r="Q11492">
        <v>4</v>
      </c>
      <c r="R11492" t="s">
        <v>40452</v>
      </c>
      <c r="S11492" t="s">
        <v>41140</v>
      </c>
      <c r="T11492" t="s">
        <v>42134</v>
      </c>
      <c r="U11492" t="s">
        <v>49378</v>
      </c>
      <c r="V11492" t="s">
        <v>54649</v>
      </c>
      <c r="W11492" t="s">
        <v>39653</v>
      </c>
      <c r="X11492" t="s">
        <v>40453</v>
      </c>
    </row>
    <row r="11493" spans="1:24">
      <c r="A11493">
        <f>HYPERLINK("https://www.philgeps.gov.ph/GEPSNONPILOT/Tender/SplashBidNoticeAbstractUI.aspx?menuIndex=3&amp;refID=7023924&amp;Result=3","7023924")</f>
        <v>0</v>
      </c>
      <c r="B11493" t="s">
        <v>1301</v>
      </c>
      <c r="C11493" t="s">
        <v>14075</v>
      </c>
      <c r="D11493" t="s">
        <v>16195</v>
      </c>
      <c r="E11493" t="s">
        <v>26245</v>
      </c>
      <c r="F11493" t="s">
        <v>28198</v>
      </c>
      <c r="G11493" t="s">
        <v>28205</v>
      </c>
      <c r="H11493" t="s">
        <v>28214</v>
      </c>
      <c r="I11493" t="s">
        <v>3797</v>
      </c>
      <c r="J11493" t="s">
        <v>35416</v>
      </c>
      <c r="K11493" t="s">
        <v>36795</v>
      </c>
      <c r="M11493" t="s">
        <v>38355</v>
      </c>
      <c r="N11493" t="s">
        <v>40436</v>
      </c>
      <c r="O11493" t="s">
        <v>40437</v>
      </c>
      <c r="P11493">
        <v>0</v>
      </c>
      <c r="Q11493">
        <v>1</v>
      </c>
      <c r="R11493" t="s">
        <v>40452</v>
      </c>
      <c r="S11493" t="s">
        <v>41140</v>
      </c>
      <c r="T11493" t="s">
        <v>42103</v>
      </c>
      <c r="U11493" t="s">
        <v>50920</v>
      </c>
      <c r="V11493" t="s">
        <v>55093</v>
      </c>
      <c r="W11493" t="s">
        <v>38355</v>
      </c>
      <c r="X11493" t="s">
        <v>40453</v>
      </c>
    </row>
    <row r="11494" spans="1:24">
      <c r="A11494">
        <f>HYPERLINK("https://www.philgeps.gov.ph/GEPSNONPILOT/Tender/SplashBidNoticeAbstractUI.aspx?menuIndex=3&amp;refID=7023963&amp;Result=3","7023963")</f>
        <v>0</v>
      </c>
      <c r="B11494" t="s">
        <v>121</v>
      </c>
      <c r="C11494" t="s">
        <v>14076</v>
      </c>
      <c r="D11494" t="s">
        <v>16207</v>
      </c>
      <c r="E11494" t="s">
        <v>26246</v>
      </c>
      <c r="F11494" t="s">
        <v>28198</v>
      </c>
      <c r="G11494" t="s">
        <v>28205</v>
      </c>
      <c r="H11494" t="s">
        <v>28214</v>
      </c>
      <c r="I11494" t="s">
        <v>3797</v>
      </c>
      <c r="J11494" t="s">
        <v>28379</v>
      </c>
      <c r="K11494" t="s">
        <v>36701</v>
      </c>
      <c r="M11494" t="s">
        <v>37095</v>
      </c>
      <c r="N11494" t="s">
        <v>40436</v>
      </c>
      <c r="O11494" t="s">
        <v>40437</v>
      </c>
      <c r="P11494">
        <v>0</v>
      </c>
      <c r="Q11494">
        <v>1</v>
      </c>
      <c r="R11494" t="s">
        <v>40452</v>
      </c>
      <c r="S11494" t="s">
        <v>41140</v>
      </c>
      <c r="T11494" t="s">
        <v>42188</v>
      </c>
      <c r="U11494" t="s">
        <v>52122</v>
      </c>
      <c r="W11494" t="s">
        <v>37095</v>
      </c>
      <c r="X11494" t="s">
        <v>40453</v>
      </c>
    </row>
    <row r="11495" spans="1:24">
      <c r="A11495">
        <f>HYPERLINK("https://www.philgeps.gov.ph/GEPSNONPILOT/Tender/SplashBidNoticeAbstractUI.aspx?menuIndex=3&amp;refID=7023966&amp;Result=3","7023966")</f>
        <v>0</v>
      </c>
      <c r="B11495" t="s">
        <v>121</v>
      </c>
      <c r="C11495" t="s">
        <v>14077</v>
      </c>
      <c r="D11495" t="s">
        <v>16207</v>
      </c>
      <c r="E11495" t="s">
        <v>26247</v>
      </c>
      <c r="F11495" t="s">
        <v>28198</v>
      </c>
      <c r="G11495" t="s">
        <v>28205</v>
      </c>
      <c r="H11495" t="s">
        <v>28214</v>
      </c>
      <c r="I11495" t="s">
        <v>3797</v>
      </c>
      <c r="J11495" t="s">
        <v>28379</v>
      </c>
      <c r="K11495" t="s">
        <v>36701</v>
      </c>
      <c r="M11495" t="s">
        <v>37095</v>
      </c>
      <c r="N11495" t="s">
        <v>40436</v>
      </c>
      <c r="O11495" t="s">
        <v>40437</v>
      </c>
      <c r="P11495">
        <v>0</v>
      </c>
      <c r="Q11495">
        <v>0</v>
      </c>
      <c r="R11495" t="s">
        <v>40452</v>
      </c>
      <c r="S11495" t="s">
        <v>41140</v>
      </c>
      <c r="T11495" t="s">
        <v>42188</v>
      </c>
      <c r="U11495" t="s">
        <v>52123</v>
      </c>
      <c r="W11495" t="s">
        <v>37095</v>
      </c>
      <c r="X11495" t="s">
        <v>40453</v>
      </c>
    </row>
    <row r="11496" spans="1:24">
      <c r="A11496">
        <f>HYPERLINK("https://www.philgeps.gov.ph/GEPSNONPILOT/Tender/SplashBidNoticeAbstractUI.aspx?menuIndex=3&amp;refID=7023958&amp;Result=3","7023958")</f>
        <v>0</v>
      </c>
      <c r="B11496" t="s">
        <v>54</v>
      </c>
      <c r="C11496" t="s">
        <v>14078</v>
      </c>
      <c r="D11496" t="s">
        <v>16196</v>
      </c>
      <c r="E11496" t="s">
        <v>26248</v>
      </c>
      <c r="F11496" t="s">
        <v>28198</v>
      </c>
      <c r="G11496" t="s">
        <v>28205</v>
      </c>
      <c r="H11496" t="s">
        <v>28215</v>
      </c>
      <c r="I11496" t="s">
        <v>28243</v>
      </c>
      <c r="J11496" t="s">
        <v>35417</v>
      </c>
      <c r="K11496" t="s">
        <v>36694</v>
      </c>
      <c r="M11496" t="s">
        <v>40167</v>
      </c>
      <c r="N11496" t="s">
        <v>40436</v>
      </c>
      <c r="O11496" t="s">
        <v>40437</v>
      </c>
      <c r="P11496">
        <v>0</v>
      </c>
      <c r="Q11496">
        <v>5</v>
      </c>
      <c r="R11496" t="s">
        <v>40452</v>
      </c>
      <c r="S11496" t="s">
        <v>41140</v>
      </c>
      <c r="T11496" t="s">
        <v>42346</v>
      </c>
      <c r="U11496" t="s">
        <v>52124</v>
      </c>
      <c r="W11496" t="s">
        <v>40167</v>
      </c>
      <c r="X11496" t="s">
        <v>40453</v>
      </c>
    </row>
    <row r="11497" spans="1:24">
      <c r="A11497">
        <f>HYPERLINK("https://www.philgeps.gov.ph/GEPSNONPILOT/Tender/SplashBidNoticeAbstractUI.aspx?menuIndex=3&amp;refID=7023972&amp;Result=3","7023972")</f>
        <v>0</v>
      </c>
      <c r="B11497" t="s">
        <v>121</v>
      </c>
      <c r="C11497" t="s">
        <v>14079</v>
      </c>
      <c r="D11497" t="s">
        <v>16207</v>
      </c>
      <c r="E11497" t="s">
        <v>26249</v>
      </c>
      <c r="F11497" t="s">
        <v>28198</v>
      </c>
      <c r="G11497" t="s">
        <v>28205</v>
      </c>
      <c r="H11497" t="s">
        <v>28214</v>
      </c>
      <c r="I11497" t="s">
        <v>3797</v>
      </c>
      <c r="J11497" t="s">
        <v>35418</v>
      </c>
      <c r="K11497" t="s">
        <v>36697</v>
      </c>
      <c r="M11497" t="s">
        <v>37095</v>
      </c>
      <c r="N11497" t="s">
        <v>40436</v>
      </c>
      <c r="O11497" t="s">
        <v>40437</v>
      </c>
      <c r="P11497">
        <v>0</v>
      </c>
      <c r="Q11497">
        <v>0</v>
      </c>
      <c r="R11497" t="s">
        <v>40452</v>
      </c>
      <c r="S11497" t="s">
        <v>41140</v>
      </c>
      <c r="T11497" t="s">
        <v>42188</v>
      </c>
      <c r="U11497" t="s">
        <v>52125</v>
      </c>
      <c r="W11497" t="s">
        <v>37095</v>
      </c>
      <c r="X11497" t="s">
        <v>40453</v>
      </c>
    </row>
    <row r="11498" spans="1:24">
      <c r="A11498">
        <f>HYPERLINK("https://www.philgeps.gov.ph/GEPSNONPILOT/Tender/SplashBidNoticeAbstractUI.aspx?menuIndex=3&amp;refID=7023898&amp;Result=3","7023898")</f>
        <v>0</v>
      </c>
      <c r="B11498" t="s">
        <v>1083</v>
      </c>
      <c r="C11498" t="s">
        <v>14080</v>
      </c>
      <c r="D11498" t="s">
        <v>16260</v>
      </c>
      <c r="E11498" t="s">
        <v>26250</v>
      </c>
      <c r="F11498" t="s">
        <v>28198</v>
      </c>
      <c r="G11498" t="s">
        <v>28205</v>
      </c>
      <c r="H11498" t="s">
        <v>28214</v>
      </c>
      <c r="I11498" t="s">
        <v>3797</v>
      </c>
      <c r="J11498" t="s">
        <v>28363</v>
      </c>
      <c r="K11498" t="s">
        <v>36769</v>
      </c>
      <c r="M11498" t="s">
        <v>38118</v>
      </c>
      <c r="N11498" t="s">
        <v>40436</v>
      </c>
      <c r="O11498" t="s">
        <v>40437</v>
      </c>
      <c r="P11498">
        <v>0</v>
      </c>
      <c r="Q11498">
        <v>0</v>
      </c>
      <c r="R11498" t="s">
        <v>40452</v>
      </c>
      <c r="S11498" t="s">
        <v>41140</v>
      </c>
      <c r="T11498" t="s">
        <v>42331</v>
      </c>
      <c r="U11498" t="s">
        <v>52126</v>
      </c>
      <c r="W11498" t="s">
        <v>38118</v>
      </c>
      <c r="X11498" t="s">
        <v>40453</v>
      </c>
    </row>
    <row r="11499" spans="1:24">
      <c r="A11499">
        <f>HYPERLINK("https://www.philgeps.gov.ph/GEPSNONPILOT/Tender/SplashBidNoticeAbstractUI.aspx?menuIndex=3&amp;refID=7023969&amp;Result=3","7023969")</f>
        <v>0</v>
      </c>
      <c r="B11499" t="s">
        <v>121</v>
      </c>
      <c r="C11499" t="s">
        <v>14081</v>
      </c>
      <c r="D11499" t="s">
        <v>16207</v>
      </c>
      <c r="E11499" t="s">
        <v>26251</v>
      </c>
      <c r="F11499" t="s">
        <v>28198</v>
      </c>
      <c r="G11499" t="s">
        <v>28205</v>
      </c>
      <c r="H11499" t="s">
        <v>28214</v>
      </c>
      <c r="I11499" t="s">
        <v>3797</v>
      </c>
      <c r="J11499" t="s">
        <v>35419</v>
      </c>
      <c r="K11499" t="s">
        <v>36697</v>
      </c>
      <c r="M11499" t="s">
        <v>37095</v>
      </c>
      <c r="N11499" t="s">
        <v>40436</v>
      </c>
      <c r="O11499" t="s">
        <v>40437</v>
      </c>
      <c r="P11499">
        <v>0</v>
      </c>
      <c r="Q11499">
        <v>1</v>
      </c>
      <c r="R11499" t="s">
        <v>40452</v>
      </c>
      <c r="S11499" t="s">
        <v>41140</v>
      </c>
      <c r="T11499" t="s">
        <v>42188</v>
      </c>
      <c r="U11499" t="s">
        <v>52127</v>
      </c>
      <c r="W11499" t="s">
        <v>37095</v>
      </c>
      <c r="X11499" t="s">
        <v>40453</v>
      </c>
    </row>
    <row r="11500" spans="1:24">
      <c r="A11500">
        <f>HYPERLINK("https://www.philgeps.gov.ph/GEPSNONPILOT/Tender/SplashBidNoticeAbstractUI.aspx?menuIndex=3&amp;refID=7023952&amp;Result=3","7023952")</f>
        <v>0</v>
      </c>
      <c r="B11500" t="s">
        <v>2413</v>
      </c>
      <c r="C11500" t="s">
        <v>14082</v>
      </c>
      <c r="D11500" t="s">
        <v>16191</v>
      </c>
      <c r="E11500" t="s">
        <v>26252</v>
      </c>
      <c r="F11500" t="s">
        <v>28198</v>
      </c>
      <c r="G11500" t="s">
        <v>28205</v>
      </c>
      <c r="H11500" t="s">
        <v>28217</v>
      </c>
      <c r="I11500" t="s">
        <v>28332</v>
      </c>
      <c r="J11500" t="s">
        <v>35420</v>
      </c>
      <c r="K11500" t="s">
        <v>36692</v>
      </c>
      <c r="M11500" t="s">
        <v>39653</v>
      </c>
      <c r="N11500" t="s">
        <v>40436</v>
      </c>
      <c r="O11500" t="s">
        <v>40437</v>
      </c>
      <c r="P11500">
        <v>0</v>
      </c>
      <c r="Q11500">
        <v>7</v>
      </c>
      <c r="R11500" t="s">
        <v>40452</v>
      </c>
      <c r="S11500" t="s">
        <v>41140</v>
      </c>
      <c r="T11500" t="s">
        <v>42134</v>
      </c>
      <c r="U11500" t="s">
        <v>49378</v>
      </c>
      <c r="V11500" t="s">
        <v>54909</v>
      </c>
      <c r="W11500" t="s">
        <v>39653</v>
      </c>
      <c r="X11500" t="s">
        <v>40453</v>
      </c>
    </row>
    <row r="11501" spans="1:24">
      <c r="A11501">
        <f>HYPERLINK("https://www.philgeps.gov.ph/GEPSNONPILOT/Tender/SplashBidNoticeAbstractUI.aspx?menuIndex=3&amp;refID=7023985&amp;Result=3","7023985")</f>
        <v>0</v>
      </c>
      <c r="B11501" t="s">
        <v>914</v>
      </c>
      <c r="C11501" t="s">
        <v>14083</v>
      </c>
      <c r="D11501" t="s">
        <v>16210</v>
      </c>
      <c r="E11501" t="s">
        <v>26253</v>
      </c>
      <c r="F11501" t="s">
        <v>28198</v>
      </c>
      <c r="G11501" t="s">
        <v>28205</v>
      </c>
      <c r="H11501" t="s">
        <v>28215</v>
      </c>
      <c r="I11501" t="s">
        <v>28238</v>
      </c>
      <c r="J11501" t="s">
        <v>28663</v>
      </c>
      <c r="K11501" t="s">
        <v>36701</v>
      </c>
      <c r="M11501" t="s">
        <v>37933</v>
      </c>
      <c r="N11501" t="s">
        <v>40436</v>
      </c>
      <c r="O11501" t="s">
        <v>40437</v>
      </c>
      <c r="Q11501">
        <v>21</v>
      </c>
      <c r="R11501" t="s">
        <v>40452</v>
      </c>
      <c r="S11501" t="s">
        <v>41225</v>
      </c>
      <c r="T11501" t="s">
        <v>42134</v>
      </c>
      <c r="U11501" t="s">
        <v>44419</v>
      </c>
      <c r="V11501" t="s">
        <v>55094</v>
      </c>
      <c r="W11501" t="s">
        <v>37933</v>
      </c>
      <c r="X11501" t="s">
        <v>40453</v>
      </c>
    </row>
    <row r="11502" spans="1:24">
      <c r="A11502">
        <f>HYPERLINK("https://www.philgeps.gov.ph/GEPSNONPILOT/Tender/SplashBidNoticeAbstractUI.aspx?menuIndex=3&amp;refID=7023995&amp;Result=3","7023995")</f>
        <v>0</v>
      </c>
      <c r="B11502" t="s">
        <v>702</v>
      </c>
      <c r="C11502" t="s">
        <v>14084</v>
      </c>
      <c r="D11502" t="s">
        <v>16211</v>
      </c>
      <c r="E11502" t="s">
        <v>26254</v>
      </c>
      <c r="F11502" t="s">
        <v>28198</v>
      </c>
      <c r="G11502" t="s">
        <v>28205</v>
      </c>
      <c r="H11502" t="s">
        <v>28214</v>
      </c>
      <c r="I11502" t="s">
        <v>3797</v>
      </c>
      <c r="J11502" t="s">
        <v>28363</v>
      </c>
      <c r="K11502" t="s">
        <v>36694</v>
      </c>
      <c r="M11502" t="s">
        <v>37702</v>
      </c>
      <c r="N11502" t="s">
        <v>40436</v>
      </c>
      <c r="O11502" t="s">
        <v>40437</v>
      </c>
      <c r="P11502">
        <v>0</v>
      </c>
      <c r="Q11502">
        <v>0</v>
      </c>
      <c r="R11502" t="s">
        <v>40452</v>
      </c>
      <c r="S11502" t="s">
        <v>41140</v>
      </c>
      <c r="T11502" t="s">
        <v>42103</v>
      </c>
      <c r="U11502" t="s">
        <v>52128</v>
      </c>
      <c r="W11502" t="s">
        <v>37702</v>
      </c>
      <c r="X11502" t="s">
        <v>40453</v>
      </c>
    </row>
    <row r="11503" spans="1:24">
      <c r="A11503">
        <f>HYPERLINK("https://www.philgeps.gov.ph/GEPSNONPILOT/Tender/SplashBidNoticeAbstractUI.aspx?menuIndex=3&amp;refID=7024030&amp;Result=3","7024030")</f>
        <v>0</v>
      </c>
      <c r="B11503" t="s">
        <v>2394</v>
      </c>
      <c r="C11503" t="s">
        <v>14085</v>
      </c>
      <c r="D11503" t="s">
        <v>16201</v>
      </c>
      <c r="E11503" t="s">
        <v>26255</v>
      </c>
      <c r="F11503" t="s">
        <v>28198</v>
      </c>
      <c r="G11503" t="s">
        <v>28205</v>
      </c>
      <c r="H11503" t="s">
        <v>28214</v>
      </c>
      <c r="I11503" t="s">
        <v>3797</v>
      </c>
      <c r="J11503" t="s">
        <v>28918</v>
      </c>
      <c r="K11503" t="s">
        <v>36694</v>
      </c>
      <c r="M11503" t="s">
        <v>39581</v>
      </c>
      <c r="N11503" t="s">
        <v>40436</v>
      </c>
      <c r="O11503" t="s">
        <v>40437</v>
      </c>
      <c r="P11503">
        <v>0</v>
      </c>
      <c r="Q11503">
        <v>0</v>
      </c>
      <c r="R11503" t="s">
        <v>40452</v>
      </c>
      <c r="S11503" t="s">
        <v>41140</v>
      </c>
      <c r="T11503" t="s">
        <v>42097</v>
      </c>
      <c r="U11503" t="s">
        <v>52129</v>
      </c>
      <c r="W11503" t="s">
        <v>39581</v>
      </c>
      <c r="X11503" t="s">
        <v>40453</v>
      </c>
    </row>
    <row r="11504" spans="1:24">
      <c r="A11504">
        <f>HYPERLINK("https://www.philgeps.gov.ph/GEPSNONPILOT/Tender/SplashBidNoticeAbstractUI.aspx?menuIndex=3&amp;refID=7024033&amp;Result=3","7024033")</f>
        <v>0</v>
      </c>
      <c r="B11504" t="s">
        <v>1728</v>
      </c>
      <c r="C11504" t="s">
        <v>14086</v>
      </c>
      <c r="D11504" t="s">
        <v>16195</v>
      </c>
      <c r="E11504" t="s">
        <v>26256</v>
      </c>
      <c r="F11504" t="s">
        <v>28198</v>
      </c>
      <c r="G11504" t="s">
        <v>28205</v>
      </c>
      <c r="H11504" t="s">
        <v>28214</v>
      </c>
      <c r="I11504" t="s">
        <v>3797</v>
      </c>
      <c r="J11504" t="s">
        <v>29526</v>
      </c>
      <c r="K11504" t="s">
        <v>36955</v>
      </c>
      <c r="M11504" t="s">
        <v>40177</v>
      </c>
      <c r="N11504" t="s">
        <v>40436</v>
      </c>
      <c r="O11504" t="s">
        <v>40437</v>
      </c>
      <c r="P11504">
        <v>0</v>
      </c>
      <c r="Q11504">
        <v>3</v>
      </c>
      <c r="R11504" t="s">
        <v>40452</v>
      </c>
      <c r="S11504" t="s">
        <v>41140</v>
      </c>
      <c r="T11504" t="s">
        <v>42103</v>
      </c>
      <c r="U11504" t="s">
        <v>52130</v>
      </c>
      <c r="V11504" t="s">
        <v>55095</v>
      </c>
      <c r="W11504" t="s">
        <v>40177</v>
      </c>
      <c r="X11504" t="s">
        <v>40453</v>
      </c>
    </row>
    <row r="11505" spans="1:24">
      <c r="A11505">
        <f>HYPERLINK("https://www.philgeps.gov.ph/GEPSNONPILOT/Tender/SplashBidNoticeAbstractUI.aspx?menuIndex=3&amp;refID=7024024&amp;Result=3","7024024")</f>
        <v>0</v>
      </c>
      <c r="B11505" t="s">
        <v>460</v>
      </c>
      <c r="C11505" t="s">
        <v>14087</v>
      </c>
      <c r="D11505" t="s">
        <v>16217</v>
      </c>
      <c r="E11505" t="s">
        <v>26257</v>
      </c>
      <c r="F11505" t="s">
        <v>28198</v>
      </c>
      <c r="G11505" t="s">
        <v>28205</v>
      </c>
      <c r="H11505" t="s">
        <v>28214</v>
      </c>
      <c r="I11505" t="s">
        <v>3797</v>
      </c>
      <c r="J11505" t="s">
        <v>35421</v>
      </c>
      <c r="K11505" t="s">
        <v>36692</v>
      </c>
      <c r="M11505" t="s">
        <v>37444</v>
      </c>
      <c r="N11505" t="s">
        <v>40436</v>
      </c>
      <c r="O11505" t="s">
        <v>40437</v>
      </c>
      <c r="P11505">
        <v>0</v>
      </c>
      <c r="Q11505">
        <v>0</v>
      </c>
      <c r="R11505" t="s">
        <v>40452</v>
      </c>
      <c r="S11505" t="s">
        <v>41140</v>
      </c>
      <c r="T11505" t="s">
        <v>42577</v>
      </c>
      <c r="U11505" t="s">
        <v>49144</v>
      </c>
      <c r="V11505" t="s">
        <v>54608</v>
      </c>
      <c r="W11505" t="s">
        <v>37444</v>
      </c>
      <c r="X11505" t="s">
        <v>40453</v>
      </c>
    </row>
    <row r="11506" spans="1:24">
      <c r="A11506">
        <f>HYPERLINK("https://www.philgeps.gov.ph/GEPSNONPILOT/Tender/SplashBidNoticeAbstractUI.aspx?menuIndex=3&amp;refID=7024021&amp;Result=3","7024021")</f>
        <v>0</v>
      </c>
      <c r="B11506" t="s">
        <v>1813</v>
      </c>
      <c r="C11506" t="s">
        <v>14088</v>
      </c>
      <c r="D11506" t="s">
        <v>16213</v>
      </c>
      <c r="E11506" t="s">
        <v>26258</v>
      </c>
      <c r="F11506" t="s">
        <v>28198</v>
      </c>
      <c r="G11506" t="s">
        <v>28205</v>
      </c>
      <c r="H11506" t="s">
        <v>28214</v>
      </c>
      <c r="I11506" t="s">
        <v>3797</v>
      </c>
      <c r="J11506" t="s">
        <v>35422</v>
      </c>
      <c r="K11506" t="s">
        <v>36711</v>
      </c>
      <c r="M11506" t="s">
        <v>38934</v>
      </c>
      <c r="N11506" t="s">
        <v>40436</v>
      </c>
      <c r="O11506" t="s">
        <v>40437</v>
      </c>
      <c r="Q11506">
        <v>1</v>
      </c>
      <c r="R11506" t="s">
        <v>40452</v>
      </c>
      <c r="S11506" t="s">
        <v>41226</v>
      </c>
      <c r="T11506" t="s">
        <v>42176</v>
      </c>
      <c r="U11506" t="s">
        <v>52131</v>
      </c>
      <c r="W11506" t="s">
        <v>38934</v>
      </c>
      <c r="X11506" t="s">
        <v>40453</v>
      </c>
    </row>
    <row r="11507" spans="1:24">
      <c r="A11507">
        <f>HYPERLINK("https://www.philgeps.gov.ph/GEPSNONPILOT/Tender/SplashBidNoticeAbstractUI.aspx?menuIndex=3&amp;refID=7024019&amp;Result=3","7024019")</f>
        <v>0</v>
      </c>
      <c r="B11507" t="s">
        <v>914</v>
      </c>
      <c r="C11507" t="s">
        <v>14089</v>
      </c>
      <c r="D11507" t="s">
        <v>16210</v>
      </c>
      <c r="E11507" t="s">
        <v>26259</v>
      </c>
      <c r="F11507" t="s">
        <v>28198</v>
      </c>
      <c r="G11507" t="s">
        <v>28205</v>
      </c>
      <c r="H11507" t="s">
        <v>28215</v>
      </c>
      <c r="I11507" t="s">
        <v>28272</v>
      </c>
      <c r="J11507" t="s">
        <v>28818</v>
      </c>
      <c r="K11507" t="s">
        <v>36701</v>
      </c>
      <c r="M11507" t="s">
        <v>37933</v>
      </c>
      <c r="N11507" t="s">
        <v>40436</v>
      </c>
      <c r="O11507" t="s">
        <v>40437</v>
      </c>
      <c r="P11507">
        <v>0</v>
      </c>
      <c r="Q11507">
        <v>4</v>
      </c>
      <c r="R11507" t="s">
        <v>40452</v>
      </c>
      <c r="S11507" t="s">
        <v>41140</v>
      </c>
      <c r="T11507" t="s">
        <v>42134</v>
      </c>
      <c r="U11507" t="s">
        <v>44419</v>
      </c>
      <c r="V11507" t="s">
        <v>55094</v>
      </c>
      <c r="W11507" t="s">
        <v>37933</v>
      </c>
      <c r="X11507" t="s">
        <v>40453</v>
      </c>
    </row>
    <row r="11508" spans="1:24">
      <c r="A11508">
        <f>HYPERLINK("https://www.philgeps.gov.ph/GEPSNONPILOT/Tender/SplashBidNoticeAbstractUI.aspx?menuIndex=3&amp;refID=7024034&amp;Result=3","7024034")</f>
        <v>0</v>
      </c>
      <c r="B11508" t="s">
        <v>436</v>
      </c>
      <c r="C11508" t="s">
        <v>14090</v>
      </c>
      <c r="D11508" t="s">
        <v>16247</v>
      </c>
      <c r="E11508" t="s">
        <v>26260</v>
      </c>
      <c r="F11508" t="s">
        <v>28198</v>
      </c>
      <c r="G11508" t="s">
        <v>28205</v>
      </c>
      <c r="H11508" t="s">
        <v>28215</v>
      </c>
      <c r="I11508" t="s">
        <v>28273</v>
      </c>
      <c r="J11508" t="s">
        <v>32359</v>
      </c>
      <c r="K11508" t="s">
        <v>36707</v>
      </c>
      <c r="M11508" t="s">
        <v>39757</v>
      </c>
      <c r="N11508" t="s">
        <v>40436</v>
      </c>
      <c r="O11508" t="s">
        <v>40437</v>
      </c>
      <c r="Q11508">
        <v>8</v>
      </c>
      <c r="R11508" t="s">
        <v>40452</v>
      </c>
      <c r="S11508" t="s">
        <v>41227</v>
      </c>
      <c r="T11508" t="s">
        <v>42397</v>
      </c>
      <c r="U11508" t="s">
        <v>52132</v>
      </c>
      <c r="W11508" t="s">
        <v>39757</v>
      </c>
      <c r="X11508" t="s">
        <v>40453</v>
      </c>
    </row>
    <row r="11509" spans="1:24">
      <c r="A11509">
        <f>HYPERLINK("https://www.philgeps.gov.ph/GEPSNONPILOT/Tender/SplashBidNoticeAbstractUI.aspx?menuIndex=3&amp;refID=7023983&amp;Result=3","7023983")</f>
        <v>0</v>
      </c>
      <c r="B11509" t="s">
        <v>2413</v>
      </c>
      <c r="C11509" t="s">
        <v>14091</v>
      </c>
      <c r="D11509" t="s">
        <v>16191</v>
      </c>
      <c r="E11509" t="s">
        <v>26261</v>
      </c>
      <c r="F11509" t="s">
        <v>28198</v>
      </c>
      <c r="G11509" t="s">
        <v>28205</v>
      </c>
      <c r="H11509" t="s">
        <v>28217</v>
      </c>
      <c r="I11509" t="s">
        <v>28332</v>
      </c>
      <c r="J11509" t="s">
        <v>35423</v>
      </c>
      <c r="K11509" t="s">
        <v>36692</v>
      </c>
      <c r="M11509" t="s">
        <v>39653</v>
      </c>
      <c r="N11509" t="s">
        <v>40436</v>
      </c>
      <c r="O11509" t="s">
        <v>40437</v>
      </c>
      <c r="P11509">
        <v>0</v>
      </c>
      <c r="Q11509">
        <v>6</v>
      </c>
      <c r="R11509" t="s">
        <v>40452</v>
      </c>
      <c r="S11509" t="s">
        <v>41140</v>
      </c>
      <c r="T11509" t="s">
        <v>42134</v>
      </c>
      <c r="U11509" t="s">
        <v>49378</v>
      </c>
      <c r="V11509" t="s">
        <v>55096</v>
      </c>
      <c r="W11509" t="s">
        <v>39653</v>
      </c>
      <c r="X11509" t="s">
        <v>40453</v>
      </c>
    </row>
    <row r="11510" spans="1:24">
      <c r="A11510">
        <f>HYPERLINK("https://www.philgeps.gov.ph/GEPSNONPILOT/Tender/SplashBidNoticeAbstractUI.aspx?menuIndex=3&amp;refID=7024017&amp;Result=3","7024017")</f>
        <v>0</v>
      </c>
      <c r="B11510" t="s">
        <v>1712</v>
      </c>
      <c r="C11510" t="s">
        <v>14092</v>
      </c>
      <c r="D11510" t="s">
        <v>16244</v>
      </c>
      <c r="E11510" t="s">
        <v>26262</v>
      </c>
      <c r="F11510" t="s">
        <v>28198</v>
      </c>
      <c r="G11510" t="s">
        <v>28211</v>
      </c>
      <c r="H11510" t="s">
        <v>28216</v>
      </c>
      <c r="I11510" t="s">
        <v>28216</v>
      </c>
      <c r="J11510" t="s">
        <v>32119</v>
      </c>
      <c r="K11510" t="s">
        <v>36701</v>
      </c>
      <c r="M11510" t="s">
        <v>38818</v>
      </c>
      <c r="N11510" t="s">
        <v>40436</v>
      </c>
      <c r="O11510" t="s">
        <v>40437</v>
      </c>
      <c r="P11510">
        <v>0</v>
      </c>
      <c r="Q11510">
        <v>3</v>
      </c>
      <c r="R11510" t="s">
        <v>40452</v>
      </c>
      <c r="S11510" t="s">
        <v>41140</v>
      </c>
      <c r="T11510" t="s">
        <v>42279</v>
      </c>
      <c r="U11510" t="s">
        <v>46839</v>
      </c>
      <c r="W11510" t="s">
        <v>38818</v>
      </c>
      <c r="X11510" t="s">
        <v>40453</v>
      </c>
    </row>
    <row r="11511" spans="1:24">
      <c r="A11511">
        <f>HYPERLINK("https://www.philgeps.gov.ph/GEPSNONPILOT/Tender/SplashBidNoticeAbstractUI.aspx?menuIndex=3&amp;refID=7023990&amp;Result=3","7023990")</f>
        <v>0</v>
      </c>
      <c r="B11511" t="s">
        <v>702</v>
      </c>
      <c r="C11511" t="s">
        <v>14093</v>
      </c>
      <c r="D11511" t="s">
        <v>16211</v>
      </c>
      <c r="E11511" t="s">
        <v>26263</v>
      </c>
      <c r="F11511" t="s">
        <v>28198</v>
      </c>
      <c r="G11511" t="s">
        <v>28205</v>
      </c>
      <c r="H11511" t="s">
        <v>28214</v>
      </c>
      <c r="I11511" t="s">
        <v>3797</v>
      </c>
      <c r="J11511" t="s">
        <v>28379</v>
      </c>
      <c r="K11511" t="s">
        <v>36697</v>
      </c>
      <c r="M11511" t="s">
        <v>37702</v>
      </c>
      <c r="N11511" t="s">
        <v>40436</v>
      </c>
      <c r="O11511" t="s">
        <v>40437</v>
      </c>
      <c r="P11511">
        <v>0</v>
      </c>
      <c r="Q11511">
        <v>0</v>
      </c>
      <c r="R11511" t="s">
        <v>40452</v>
      </c>
      <c r="S11511" t="s">
        <v>41140</v>
      </c>
      <c r="T11511" t="s">
        <v>42103</v>
      </c>
      <c r="U11511" t="s">
        <v>52133</v>
      </c>
      <c r="W11511" t="s">
        <v>37702</v>
      </c>
      <c r="X11511" t="s">
        <v>40453</v>
      </c>
    </row>
    <row r="11512" spans="1:24">
      <c r="A11512">
        <f>HYPERLINK("https://www.philgeps.gov.ph/GEPSNONPILOT/Tender/SplashBidNoticeAbstractUI.aspx?menuIndex=3&amp;refID=7024011&amp;Result=3","7024011")</f>
        <v>0</v>
      </c>
      <c r="B11512" t="s">
        <v>914</v>
      </c>
      <c r="C11512" t="s">
        <v>14094</v>
      </c>
      <c r="D11512" t="s">
        <v>16210</v>
      </c>
      <c r="E11512" t="s">
        <v>26264</v>
      </c>
      <c r="F11512" t="s">
        <v>28198</v>
      </c>
      <c r="G11512" t="s">
        <v>28205</v>
      </c>
      <c r="H11512" t="s">
        <v>28215</v>
      </c>
      <c r="I11512" t="s">
        <v>28272</v>
      </c>
      <c r="J11512" t="s">
        <v>28468</v>
      </c>
      <c r="K11512" t="s">
        <v>36701</v>
      </c>
      <c r="M11512" t="s">
        <v>37933</v>
      </c>
      <c r="N11512" t="s">
        <v>40436</v>
      </c>
      <c r="O11512" t="s">
        <v>40437</v>
      </c>
      <c r="Q11512">
        <v>4</v>
      </c>
      <c r="R11512" t="s">
        <v>40452</v>
      </c>
      <c r="S11512" t="s">
        <v>41228</v>
      </c>
      <c r="T11512" t="s">
        <v>42134</v>
      </c>
      <c r="U11512" t="s">
        <v>44419</v>
      </c>
      <c r="V11512" t="s">
        <v>55094</v>
      </c>
      <c r="W11512" t="s">
        <v>37933</v>
      </c>
      <c r="X11512" t="s">
        <v>40453</v>
      </c>
    </row>
    <row r="11513" spans="1:24">
      <c r="A11513">
        <f>HYPERLINK("https://www.philgeps.gov.ph/GEPSNONPILOT/Tender/SplashBidNoticeAbstractUI.aspx?menuIndex=3&amp;refID=7024078&amp;Result=3","7024078")</f>
        <v>0</v>
      </c>
      <c r="B11513" t="s">
        <v>361</v>
      </c>
      <c r="C11513" t="s">
        <v>14095</v>
      </c>
      <c r="D11513" t="s">
        <v>16236</v>
      </c>
      <c r="E11513" t="s">
        <v>26265</v>
      </c>
      <c r="F11513" t="s">
        <v>28198</v>
      </c>
      <c r="G11513" t="s">
        <v>28205</v>
      </c>
      <c r="H11513" t="s">
        <v>28215</v>
      </c>
      <c r="I11513" t="s">
        <v>28256</v>
      </c>
      <c r="J11513" t="s">
        <v>28378</v>
      </c>
      <c r="K11513" t="s">
        <v>36694</v>
      </c>
      <c r="M11513" t="s">
        <v>37971</v>
      </c>
      <c r="N11513" t="s">
        <v>40436</v>
      </c>
      <c r="O11513" t="s">
        <v>40437</v>
      </c>
      <c r="P11513">
        <v>0</v>
      </c>
      <c r="Q11513">
        <v>4</v>
      </c>
      <c r="R11513" t="s">
        <v>40452</v>
      </c>
      <c r="S11513" t="s">
        <v>41140</v>
      </c>
      <c r="T11513" t="s">
        <v>42209</v>
      </c>
      <c r="U11513" t="s">
        <v>52134</v>
      </c>
      <c r="V11513" t="s">
        <v>53826</v>
      </c>
      <c r="W11513" t="s">
        <v>37971</v>
      </c>
      <c r="X11513" t="s">
        <v>40453</v>
      </c>
    </row>
    <row r="11514" spans="1:24">
      <c r="A11514">
        <f>HYPERLINK("https://www.philgeps.gov.ph/GEPSNONPILOT/Tender/SplashBidNoticeAbstractUI.aspx?menuIndex=3&amp;refID=7023979&amp;Result=3","7023979")</f>
        <v>0</v>
      </c>
      <c r="B11514" t="s">
        <v>121</v>
      </c>
      <c r="C11514" t="s">
        <v>14096</v>
      </c>
      <c r="D11514" t="s">
        <v>16207</v>
      </c>
      <c r="E11514" t="s">
        <v>26266</v>
      </c>
      <c r="F11514" t="s">
        <v>28198</v>
      </c>
      <c r="G11514" t="s">
        <v>28205</v>
      </c>
      <c r="H11514" t="s">
        <v>28214</v>
      </c>
      <c r="I11514" t="s">
        <v>3797</v>
      </c>
      <c r="J11514" t="s">
        <v>35424</v>
      </c>
      <c r="K11514" t="s">
        <v>36697</v>
      </c>
      <c r="M11514" t="s">
        <v>37095</v>
      </c>
      <c r="N11514" t="s">
        <v>40436</v>
      </c>
      <c r="O11514" t="s">
        <v>40437</v>
      </c>
      <c r="P11514">
        <v>0</v>
      </c>
      <c r="Q11514">
        <v>0</v>
      </c>
      <c r="R11514" t="s">
        <v>40452</v>
      </c>
      <c r="S11514" t="s">
        <v>41140</v>
      </c>
      <c r="T11514" t="s">
        <v>42188</v>
      </c>
      <c r="U11514" t="s">
        <v>52135</v>
      </c>
      <c r="W11514" t="s">
        <v>37095</v>
      </c>
      <c r="X11514" t="s">
        <v>40453</v>
      </c>
    </row>
    <row r="11515" spans="1:24">
      <c r="A11515">
        <f>HYPERLINK("https://www.philgeps.gov.ph/GEPSNONPILOT/Tender/SplashBidNoticeAbstractUI.aspx?menuIndex=3&amp;refID=7024002&amp;Result=3","7024002")</f>
        <v>0</v>
      </c>
      <c r="B11515" t="s">
        <v>702</v>
      </c>
      <c r="C11515" t="s">
        <v>14097</v>
      </c>
      <c r="D11515" t="s">
        <v>16211</v>
      </c>
      <c r="E11515" t="s">
        <v>26267</v>
      </c>
      <c r="F11515" t="s">
        <v>28198</v>
      </c>
      <c r="G11515" t="s">
        <v>28205</v>
      </c>
      <c r="H11515" t="s">
        <v>28214</v>
      </c>
      <c r="I11515" t="s">
        <v>3797</v>
      </c>
      <c r="J11515" t="s">
        <v>35425</v>
      </c>
      <c r="K11515" t="s">
        <v>36694</v>
      </c>
      <c r="M11515" t="s">
        <v>37702</v>
      </c>
      <c r="N11515" t="s">
        <v>40436</v>
      </c>
      <c r="O11515" t="s">
        <v>40437</v>
      </c>
      <c r="P11515">
        <v>0</v>
      </c>
      <c r="Q11515">
        <v>0</v>
      </c>
      <c r="R11515" t="s">
        <v>40452</v>
      </c>
      <c r="S11515" t="s">
        <v>41140</v>
      </c>
      <c r="T11515" t="s">
        <v>42103</v>
      </c>
      <c r="U11515" t="s">
        <v>52136</v>
      </c>
      <c r="W11515" t="s">
        <v>37702</v>
      </c>
      <c r="X11515" t="s">
        <v>40453</v>
      </c>
    </row>
    <row r="11516" spans="1:24">
      <c r="A11516">
        <f>HYPERLINK("https://www.philgeps.gov.ph/GEPSNONPILOT/Tender/SplashBidNoticeAbstractUI.aspx?menuIndex=3&amp;refID=7024046&amp;Result=3","7024046")</f>
        <v>0</v>
      </c>
      <c r="B11516" t="s">
        <v>1813</v>
      </c>
      <c r="C11516" t="s">
        <v>14098</v>
      </c>
      <c r="D11516" t="s">
        <v>16213</v>
      </c>
      <c r="E11516" t="s">
        <v>26268</v>
      </c>
      <c r="F11516" t="s">
        <v>28198</v>
      </c>
      <c r="G11516" t="s">
        <v>28205</v>
      </c>
      <c r="H11516" t="s">
        <v>28214</v>
      </c>
      <c r="I11516" t="s">
        <v>3797</v>
      </c>
      <c r="J11516" t="s">
        <v>35426</v>
      </c>
      <c r="K11516" t="s">
        <v>36795</v>
      </c>
      <c r="M11516" t="s">
        <v>38934</v>
      </c>
      <c r="N11516" t="s">
        <v>40436</v>
      </c>
      <c r="O11516" t="s">
        <v>40437</v>
      </c>
      <c r="Q11516">
        <v>1</v>
      </c>
      <c r="R11516" t="s">
        <v>40452</v>
      </c>
      <c r="S11516" t="s">
        <v>41229</v>
      </c>
      <c r="T11516" t="s">
        <v>42176</v>
      </c>
      <c r="U11516" t="s">
        <v>52137</v>
      </c>
      <c r="W11516" t="s">
        <v>38934</v>
      </c>
      <c r="X11516" t="s">
        <v>40453</v>
      </c>
    </row>
    <row r="11517" spans="1:24">
      <c r="A11517">
        <f>HYPERLINK("https://www.philgeps.gov.ph/GEPSNONPILOT/Tender/SplashBidNoticeAbstractUI.aspx?menuIndex=3&amp;refID=7024062&amp;Result=3","7024062")</f>
        <v>0</v>
      </c>
      <c r="B11517" t="s">
        <v>1813</v>
      </c>
      <c r="C11517" t="s">
        <v>14099</v>
      </c>
      <c r="D11517" t="s">
        <v>16213</v>
      </c>
      <c r="E11517" t="s">
        <v>26269</v>
      </c>
      <c r="F11517" t="s">
        <v>28198</v>
      </c>
      <c r="G11517" t="s">
        <v>28205</v>
      </c>
      <c r="H11517" t="s">
        <v>28214</v>
      </c>
      <c r="I11517" t="s">
        <v>3797</v>
      </c>
      <c r="J11517" t="s">
        <v>35427</v>
      </c>
      <c r="K11517" t="s">
        <v>36812</v>
      </c>
      <c r="M11517" t="s">
        <v>38934</v>
      </c>
      <c r="N11517" t="s">
        <v>40436</v>
      </c>
      <c r="O11517" t="s">
        <v>40437</v>
      </c>
      <c r="Q11517">
        <v>1</v>
      </c>
      <c r="R11517" t="s">
        <v>40452</v>
      </c>
      <c r="S11517" t="s">
        <v>41230</v>
      </c>
      <c r="T11517" t="s">
        <v>42176</v>
      </c>
      <c r="U11517" t="s">
        <v>52138</v>
      </c>
      <c r="W11517" t="s">
        <v>38934</v>
      </c>
      <c r="X11517" t="s">
        <v>40453</v>
      </c>
    </row>
    <row r="11518" spans="1:24">
      <c r="A11518">
        <f>HYPERLINK("https://www.philgeps.gov.ph/GEPSNONPILOT/Tender/SplashBidNoticeAbstractUI.aspx?menuIndex=3&amp;refID=7023999&amp;Result=3","7023999")</f>
        <v>0</v>
      </c>
      <c r="B11518" t="s">
        <v>121</v>
      </c>
      <c r="C11518" t="s">
        <v>14100</v>
      </c>
      <c r="D11518" t="s">
        <v>16207</v>
      </c>
      <c r="E11518" t="s">
        <v>16520</v>
      </c>
      <c r="F11518" t="s">
        <v>28198</v>
      </c>
      <c r="G11518" t="s">
        <v>28205</v>
      </c>
      <c r="H11518" t="s">
        <v>28214</v>
      </c>
      <c r="I11518" t="s">
        <v>3797</v>
      </c>
      <c r="J11518" t="s">
        <v>35428</v>
      </c>
      <c r="K11518" t="s">
        <v>36777</v>
      </c>
      <c r="M11518" t="s">
        <v>37095</v>
      </c>
      <c r="N11518" t="s">
        <v>40436</v>
      </c>
      <c r="O11518" t="s">
        <v>40437</v>
      </c>
      <c r="P11518">
        <v>0</v>
      </c>
      <c r="Q11518">
        <v>1</v>
      </c>
      <c r="R11518" t="s">
        <v>40452</v>
      </c>
      <c r="S11518" t="s">
        <v>41140</v>
      </c>
      <c r="T11518" t="s">
        <v>42188</v>
      </c>
      <c r="U11518" t="s">
        <v>52139</v>
      </c>
      <c r="W11518" t="s">
        <v>37095</v>
      </c>
      <c r="X11518" t="s">
        <v>40453</v>
      </c>
    </row>
    <row r="11519" spans="1:24">
      <c r="A11519">
        <f>HYPERLINK("https://www.philgeps.gov.ph/GEPSNONPILOT/Tender/SplashBidNoticeAbstractUI.aspx?menuIndex=3&amp;refID=7024082&amp;Result=3","7024082")</f>
        <v>0</v>
      </c>
      <c r="B11519" t="s">
        <v>2091</v>
      </c>
      <c r="C11519" t="s">
        <v>14101</v>
      </c>
      <c r="D11519" t="s">
        <v>16244</v>
      </c>
      <c r="E11519" t="s">
        <v>26270</v>
      </c>
      <c r="F11519" t="s">
        <v>28198</v>
      </c>
      <c r="G11519" t="s">
        <v>28205</v>
      </c>
      <c r="H11519" t="s">
        <v>28214</v>
      </c>
      <c r="I11519" t="s">
        <v>3797</v>
      </c>
      <c r="J11519" t="s">
        <v>35429</v>
      </c>
      <c r="K11519" t="s">
        <v>36697</v>
      </c>
      <c r="M11519" t="s">
        <v>40178</v>
      </c>
      <c r="N11519" t="s">
        <v>40436</v>
      </c>
      <c r="O11519" t="s">
        <v>40437</v>
      </c>
      <c r="P11519">
        <v>0</v>
      </c>
      <c r="Q11519">
        <v>0</v>
      </c>
      <c r="R11519" t="s">
        <v>40452</v>
      </c>
      <c r="S11519" t="s">
        <v>41140</v>
      </c>
      <c r="T11519" t="s">
        <v>42133</v>
      </c>
      <c r="U11519" t="s">
        <v>48138</v>
      </c>
      <c r="W11519" t="s">
        <v>40178</v>
      </c>
      <c r="X11519" t="s">
        <v>40453</v>
      </c>
    </row>
    <row r="11520" spans="1:24">
      <c r="A11520">
        <f>HYPERLINK("https://www.philgeps.gov.ph/GEPSNONPILOT/Tender/SplashBidNoticeAbstractUI.aspx?menuIndex=3&amp;refID=7024139&amp;Result=3","7024139")</f>
        <v>0</v>
      </c>
      <c r="B11520" t="s">
        <v>977</v>
      </c>
      <c r="C11520" t="s">
        <v>14102</v>
      </c>
      <c r="D11520" t="s">
        <v>16217</v>
      </c>
      <c r="E11520" t="s">
        <v>26271</v>
      </c>
      <c r="F11520" t="s">
        <v>28198</v>
      </c>
      <c r="G11520" t="s">
        <v>28205</v>
      </c>
      <c r="H11520" t="s">
        <v>28215</v>
      </c>
      <c r="I11520" t="s">
        <v>28246</v>
      </c>
      <c r="J11520" t="s">
        <v>35430</v>
      </c>
      <c r="K11520" t="s">
        <v>36707</v>
      </c>
      <c r="M11520" t="s">
        <v>38003</v>
      </c>
      <c r="N11520" t="s">
        <v>40436</v>
      </c>
      <c r="O11520" t="s">
        <v>40437</v>
      </c>
      <c r="P11520">
        <v>0</v>
      </c>
      <c r="Q11520">
        <v>3</v>
      </c>
      <c r="R11520" t="s">
        <v>40452</v>
      </c>
      <c r="S11520" t="s">
        <v>41140</v>
      </c>
      <c r="T11520" t="s">
        <v>42102</v>
      </c>
      <c r="U11520" t="s">
        <v>52140</v>
      </c>
      <c r="W11520" t="s">
        <v>55469</v>
      </c>
      <c r="X11520" t="s">
        <v>40453</v>
      </c>
    </row>
    <row r="11521" spans="1:24">
      <c r="A11521">
        <f>HYPERLINK("https://www.philgeps.gov.ph/GEPSNONPILOT/Tender/SplashBidNoticeAbstractUI.aspx?menuIndex=3&amp;refID=7024041&amp;Result=3","7024041")</f>
        <v>0</v>
      </c>
      <c r="B11521" t="s">
        <v>2908</v>
      </c>
      <c r="C11521" t="s">
        <v>14103</v>
      </c>
      <c r="D11521" t="s">
        <v>16238</v>
      </c>
      <c r="E11521" t="s">
        <v>26272</v>
      </c>
      <c r="F11521" t="s">
        <v>28198</v>
      </c>
      <c r="G11521" t="s">
        <v>28205</v>
      </c>
      <c r="H11521" t="s">
        <v>28215</v>
      </c>
      <c r="I11521" t="s">
        <v>28247</v>
      </c>
      <c r="J11521" t="s">
        <v>28347</v>
      </c>
      <c r="K11521" t="s">
        <v>36692</v>
      </c>
      <c r="M11521" t="s">
        <v>40179</v>
      </c>
      <c r="N11521" t="s">
        <v>40436</v>
      </c>
      <c r="O11521" t="s">
        <v>40437</v>
      </c>
      <c r="Q11521">
        <v>36</v>
      </c>
      <c r="R11521" t="s">
        <v>40452</v>
      </c>
      <c r="S11521" t="s">
        <v>41231</v>
      </c>
      <c r="T11521" t="s">
        <v>42196</v>
      </c>
      <c r="U11521" t="s">
        <v>52141</v>
      </c>
      <c r="W11521" t="s">
        <v>55542</v>
      </c>
      <c r="X11521" t="s">
        <v>40453</v>
      </c>
    </row>
    <row r="11522" spans="1:24">
      <c r="A11522">
        <f>HYPERLINK("https://www.philgeps.gov.ph/GEPSNONPILOT/Tender/SplashBidNoticeAbstractUI.aspx?menuIndex=3&amp;refID=7024120&amp;Result=3","7024120")</f>
        <v>0</v>
      </c>
      <c r="B11522" t="s">
        <v>361</v>
      </c>
      <c r="C11522" t="s">
        <v>14104</v>
      </c>
      <c r="D11522" t="s">
        <v>16236</v>
      </c>
      <c r="E11522" t="s">
        <v>26273</v>
      </c>
      <c r="F11522" t="s">
        <v>28198</v>
      </c>
      <c r="G11522" t="s">
        <v>28205</v>
      </c>
      <c r="H11522" t="s">
        <v>28215</v>
      </c>
      <c r="I11522" t="s">
        <v>3422</v>
      </c>
      <c r="J11522" t="s">
        <v>35431</v>
      </c>
      <c r="K11522" t="s">
        <v>36689</v>
      </c>
      <c r="M11522" t="s">
        <v>37340</v>
      </c>
      <c r="N11522" t="s">
        <v>40436</v>
      </c>
      <c r="O11522" t="s">
        <v>40437</v>
      </c>
      <c r="P11522">
        <v>0</v>
      </c>
      <c r="Q11522">
        <v>1</v>
      </c>
      <c r="R11522" t="s">
        <v>40452</v>
      </c>
      <c r="S11522" t="s">
        <v>41140</v>
      </c>
      <c r="T11522" t="s">
        <v>42209</v>
      </c>
      <c r="U11522" t="s">
        <v>52142</v>
      </c>
      <c r="V11522" t="s">
        <v>53826</v>
      </c>
      <c r="W11522" t="s">
        <v>37340</v>
      </c>
      <c r="X11522" t="s">
        <v>40453</v>
      </c>
    </row>
    <row r="11523" spans="1:24">
      <c r="A11523">
        <f>HYPERLINK("https://www.philgeps.gov.ph/GEPSNONPILOT/Tender/SplashBidNoticeAbstractUI.aspx?menuIndex=3&amp;refID=7024001&amp;Result=3","7024001")</f>
        <v>0</v>
      </c>
      <c r="B11523" t="s">
        <v>914</v>
      </c>
      <c r="C11523" t="s">
        <v>14105</v>
      </c>
      <c r="D11523" t="s">
        <v>16210</v>
      </c>
      <c r="E11523" t="s">
        <v>26274</v>
      </c>
      <c r="F11523" t="s">
        <v>28198</v>
      </c>
      <c r="G11523" t="s">
        <v>28205</v>
      </c>
      <c r="H11523" t="s">
        <v>28215</v>
      </c>
      <c r="I11523" t="s">
        <v>28282</v>
      </c>
      <c r="J11523" t="s">
        <v>28351</v>
      </c>
      <c r="K11523" t="s">
        <v>36690</v>
      </c>
      <c r="M11523" t="s">
        <v>37933</v>
      </c>
      <c r="N11523" t="s">
        <v>40436</v>
      </c>
      <c r="O11523" t="s">
        <v>40437</v>
      </c>
      <c r="Q11523">
        <v>14</v>
      </c>
      <c r="R11523" t="s">
        <v>40452</v>
      </c>
      <c r="S11523" t="s">
        <v>41232</v>
      </c>
      <c r="T11523" t="s">
        <v>42134</v>
      </c>
      <c r="U11523" t="s">
        <v>44419</v>
      </c>
      <c r="V11523" t="s">
        <v>55094</v>
      </c>
      <c r="W11523" t="s">
        <v>37933</v>
      </c>
      <c r="X11523" t="s">
        <v>40453</v>
      </c>
    </row>
    <row r="11524" spans="1:24">
      <c r="A11524">
        <f>HYPERLINK("https://www.philgeps.gov.ph/GEPSNONPILOT/Tender/SplashBidNoticeAbstractUI.aspx?menuIndex=3&amp;refID=7024000&amp;Result=3","7024000")</f>
        <v>0</v>
      </c>
      <c r="B11524" t="s">
        <v>296</v>
      </c>
      <c r="C11524" t="s">
        <v>14106</v>
      </c>
      <c r="E11524" t="s">
        <v>26275</v>
      </c>
      <c r="F11524" t="s">
        <v>28198</v>
      </c>
      <c r="G11524" t="s">
        <v>28205</v>
      </c>
      <c r="H11524" t="s">
        <v>28217</v>
      </c>
      <c r="I11524" t="s">
        <v>28231</v>
      </c>
      <c r="J11524" t="s">
        <v>35432</v>
      </c>
      <c r="K11524" t="s">
        <v>36698</v>
      </c>
      <c r="M11524" t="s">
        <v>40180</v>
      </c>
      <c r="N11524" t="s">
        <v>40436</v>
      </c>
      <c r="O11524" t="s">
        <v>40437</v>
      </c>
      <c r="Q11524">
        <v>2</v>
      </c>
      <c r="R11524" t="s">
        <v>40452</v>
      </c>
      <c r="S11524" t="s">
        <v>41038</v>
      </c>
      <c r="T11524" t="s">
        <v>42198</v>
      </c>
      <c r="U11524" t="s">
        <v>52143</v>
      </c>
      <c r="W11524" t="s">
        <v>40180</v>
      </c>
      <c r="X11524" t="s">
        <v>40453</v>
      </c>
    </row>
    <row r="11525" spans="1:24">
      <c r="A11525">
        <f>HYPERLINK("https://www.philgeps.gov.ph/GEPSNONPILOT/Tender/SplashBidNoticeAbstractUI.aspx?menuIndex=3&amp;refID=7024137&amp;Result=3","7024137")</f>
        <v>0</v>
      </c>
      <c r="B11525" t="s">
        <v>2855</v>
      </c>
      <c r="C11525" t="s">
        <v>14107</v>
      </c>
      <c r="D11525" t="s">
        <v>16236</v>
      </c>
      <c r="E11525" t="s">
        <v>22662</v>
      </c>
      <c r="F11525" t="s">
        <v>28198</v>
      </c>
      <c r="G11525" t="s">
        <v>28205</v>
      </c>
      <c r="H11525" t="s">
        <v>28215</v>
      </c>
      <c r="I11525" t="s">
        <v>28236</v>
      </c>
      <c r="J11525" t="s">
        <v>30308</v>
      </c>
      <c r="K11525" t="s">
        <v>36701</v>
      </c>
      <c r="M11525" t="s">
        <v>40117</v>
      </c>
      <c r="N11525" t="s">
        <v>40436</v>
      </c>
      <c r="O11525" t="s">
        <v>40437</v>
      </c>
      <c r="P11525">
        <v>0</v>
      </c>
      <c r="Q11525">
        <v>0</v>
      </c>
      <c r="R11525" t="s">
        <v>40452</v>
      </c>
      <c r="S11525" t="s">
        <v>41140</v>
      </c>
      <c r="T11525" t="s">
        <v>42176</v>
      </c>
      <c r="U11525" t="s">
        <v>52144</v>
      </c>
      <c r="V11525" t="s">
        <v>55097</v>
      </c>
      <c r="W11525" t="s">
        <v>40117</v>
      </c>
      <c r="X11525" t="s">
        <v>40453</v>
      </c>
    </row>
    <row r="11526" spans="1:24">
      <c r="A11526">
        <f>HYPERLINK("https://www.philgeps.gov.ph/GEPSNONPILOT/Tender/SplashBidNoticeAbstractUI.aspx?menuIndex=3&amp;refID=7024109&amp;Result=3","7024109")</f>
        <v>0</v>
      </c>
      <c r="B11526" t="s">
        <v>361</v>
      </c>
      <c r="C11526" t="s">
        <v>14108</v>
      </c>
      <c r="D11526" t="s">
        <v>16236</v>
      </c>
      <c r="E11526" t="s">
        <v>26276</v>
      </c>
      <c r="F11526" t="s">
        <v>28198</v>
      </c>
      <c r="G11526" t="s">
        <v>28205</v>
      </c>
      <c r="H11526" t="s">
        <v>28215</v>
      </c>
      <c r="I11526" t="s">
        <v>4168</v>
      </c>
      <c r="J11526" t="s">
        <v>28373</v>
      </c>
      <c r="K11526" t="s">
        <v>36707</v>
      </c>
      <c r="M11526" t="s">
        <v>37340</v>
      </c>
      <c r="N11526" t="s">
        <v>40436</v>
      </c>
      <c r="O11526" t="s">
        <v>40437</v>
      </c>
      <c r="P11526">
        <v>0</v>
      </c>
      <c r="Q11526">
        <v>2</v>
      </c>
      <c r="R11526" t="s">
        <v>40452</v>
      </c>
      <c r="S11526" t="s">
        <v>41140</v>
      </c>
      <c r="T11526" t="s">
        <v>42209</v>
      </c>
      <c r="U11526" t="s">
        <v>52145</v>
      </c>
      <c r="V11526" t="s">
        <v>53826</v>
      </c>
      <c r="W11526" t="s">
        <v>37340</v>
      </c>
      <c r="X11526" t="s">
        <v>40453</v>
      </c>
    </row>
    <row r="11527" spans="1:24">
      <c r="A11527">
        <f>HYPERLINK("https://www.philgeps.gov.ph/GEPSNONPILOT/Tender/SplashBidNoticeAbstractUI.aspx?menuIndex=3&amp;refID=7024114&amp;Result=3","7024114")</f>
        <v>0</v>
      </c>
      <c r="B11527" t="s">
        <v>361</v>
      </c>
      <c r="C11527" t="s">
        <v>14109</v>
      </c>
      <c r="D11527" t="s">
        <v>16236</v>
      </c>
      <c r="E11527" t="s">
        <v>26277</v>
      </c>
      <c r="F11527" t="s">
        <v>28198</v>
      </c>
      <c r="G11527" t="s">
        <v>28205</v>
      </c>
      <c r="H11527" t="s">
        <v>28215</v>
      </c>
      <c r="I11527" t="s">
        <v>28265</v>
      </c>
      <c r="J11527" t="s">
        <v>35433</v>
      </c>
      <c r="K11527" t="s">
        <v>36707</v>
      </c>
      <c r="M11527" t="s">
        <v>37340</v>
      </c>
      <c r="N11527" t="s">
        <v>40436</v>
      </c>
      <c r="O11527" t="s">
        <v>40437</v>
      </c>
      <c r="P11527">
        <v>0</v>
      </c>
      <c r="Q11527">
        <v>2</v>
      </c>
      <c r="R11527" t="s">
        <v>40452</v>
      </c>
      <c r="S11527" t="s">
        <v>41140</v>
      </c>
      <c r="T11527" t="s">
        <v>42209</v>
      </c>
      <c r="U11527" t="s">
        <v>52146</v>
      </c>
      <c r="V11527" t="s">
        <v>53826</v>
      </c>
      <c r="W11527" t="s">
        <v>37340</v>
      </c>
      <c r="X11527" t="s">
        <v>40453</v>
      </c>
    </row>
    <row r="11528" spans="1:24">
      <c r="A11528">
        <f>HYPERLINK("https://www.philgeps.gov.ph/GEPSNONPILOT/Tender/SplashBidNoticeAbstractUI.aspx?menuIndex=3&amp;refID=7024208&amp;Result=3","7024208")</f>
        <v>0</v>
      </c>
      <c r="B11528" t="s">
        <v>657</v>
      </c>
      <c r="C11528" t="s">
        <v>14110</v>
      </c>
      <c r="D11528" t="s">
        <v>16260</v>
      </c>
      <c r="E11528" t="s">
        <v>26278</v>
      </c>
      <c r="F11528" t="s">
        <v>28198</v>
      </c>
      <c r="G11528" t="s">
        <v>28205</v>
      </c>
      <c r="H11528" t="s">
        <v>28215</v>
      </c>
      <c r="I11528" t="s">
        <v>3797</v>
      </c>
      <c r="J11528" t="s">
        <v>35434</v>
      </c>
      <c r="K11528" t="s">
        <v>36707</v>
      </c>
      <c r="M11528" t="s">
        <v>37653</v>
      </c>
      <c r="N11528" t="s">
        <v>40436</v>
      </c>
      <c r="O11528" t="s">
        <v>40437</v>
      </c>
      <c r="P11528">
        <v>0</v>
      </c>
      <c r="Q11528">
        <v>2</v>
      </c>
      <c r="R11528" t="s">
        <v>40452</v>
      </c>
      <c r="S11528" t="s">
        <v>41140</v>
      </c>
      <c r="T11528" t="s">
        <v>42103</v>
      </c>
      <c r="U11528" t="s">
        <v>52147</v>
      </c>
      <c r="W11528" t="s">
        <v>37653</v>
      </c>
      <c r="X11528" t="s">
        <v>40453</v>
      </c>
    </row>
    <row r="11529" spans="1:24">
      <c r="A11529">
        <f>HYPERLINK("https://www.philgeps.gov.ph/GEPSNONPILOT/Tender/SplashBidNoticeAbstractUI.aspx?menuIndex=3&amp;refID=7024200&amp;Result=3","7024200")</f>
        <v>0</v>
      </c>
      <c r="B11529" t="s">
        <v>2328</v>
      </c>
      <c r="C11529" t="s">
        <v>14111</v>
      </c>
      <c r="D11529" t="s">
        <v>16200</v>
      </c>
      <c r="E11529" t="s">
        <v>26279</v>
      </c>
      <c r="F11529" t="s">
        <v>28198</v>
      </c>
      <c r="G11529" t="s">
        <v>28208</v>
      </c>
      <c r="H11529" t="s">
        <v>28214</v>
      </c>
      <c r="I11529" t="s">
        <v>3797</v>
      </c>
      <c r="J11529" t="s">
        <v>34008</v>
      </c>
      <c r="K11529" t="s">
        <v>36883</v>
      </c>
      <c r="M11529" t="s">
        <v>39506</v>
      </c>
      <c r="N11529" t="s">
        <v>40436</v>
      </c>
      <c r="O11529" t="s">
        <v>40437</v>
      </c>
      <c r="Q11529">
        <v>2</v>
      </c>
      <c r="R11529" t="s">
        <v>40452</v>
      </c>
      <c r="S11529" t="s">
        <v>40986</v>
      </c>
      <c r="T11529" t="s">
        <v>42103</v>
      </c>
      <c r="U11529" t="s">
        <v>46684</v>
      </c>
      <c r="W11529" t="s">
        <v>39506</v>
      </c>
      <c r="X11529" t="s">
        <v>40453</v>
      </c>
    </row>
    <row r="11530" spans="1:24">
      <c r="A11530">
        <f>HYPERLINK("https://www.philgeps.gov.ph/GEPSNONPILOT/Tender/SplashBidNoticeAbstractUI.aspx?menuIndex=3&amp;refID=7024100&amp;Result=3","7024100")</f>
        <v>0</v>
      </c>
      <c r="B11530" t="s">
        <v>361</v>
      </c>
      <c r="C11530" t="s">
        <v>14112</v>
      </c>
      <c r="D11530" t="s">
        <v>16236</v>
      </c>
      <c r="E11530" t="s">
        <v>26280</v>
      </c>
      <c r="F11530" t="s">
        <v>28198</v>
      </c>
      <c r="G11530" t="s">
        <v>28205</v>
      </c>
      <c r="H11530" t="s">
        <v>28215</v>
      </c>
      <c r="I11530" t="s">
        <v>28257</v>
      </c>
      <c r="J11530" t="s">
        <v>28787</v>
      </c>
      <c r="K11530" t="s">
        <v>36707</v>
      </c>
      <c r="M11530" t="s">
        <v>37340</v>
      </c>
      <c r="N11530" t="s">
        <v>40436</v>
      </c>
      <c r="O11530" t="s">
        <v>40437</v>
      </c>
      <c r="P11530">
        <v>0</v>
      </c>
      <c r="Q11530">
        <v>1</v>
      </c>
      <c r="R11530" t="s">
        <v>40452</v>
      </c>
      <c r="S11530" t="s">
        <v>41140</v>
      </c>
      <c r="T11530" t="s">
        <v>42209</v>
      </c>
      <c r="U11530" t="s">
        <v>52148</v>
      </c>
      <c r="V11530" t="s">
        <v>53826</v>
      </c>
      <c r="W11530" t="s">
        <v>37340</v>
      </c>
      <c r="X11530" t="s">
        <v>40453</v>
      </c>
    </row>
    <row r="11531" spans="1:24">
      <c r="A11531">
        <f>HYPERLINK("https://www.philgeps.gov.ph/GEPSNONPILOT/Tender/SplashBidNoticeAbstractUI.aspx?menuIndex=3&amp;refID=7024174&amp;Result=3","7024174")</f>
        <v>0</v>
      </c>
      <c r="B11531" t="s">
        <v>2328</v>
      </c>
      <c r="C11531" t="s">
        <v>14113</v>
      </c>
      <c r="D11531" t="s">
        <v>16200</v>
      </c>
      <c r="E11531" t="s">
        <v>26281</v>
      </c>
      <c r="F11531" t="s">
        <v>28198</v>
      </c>
      <c r="G11531" t="s">
        <v>28208</v>
      </c>
      <c r="H11531" t="s">
        <v>28214</v>
      </c>
      <c r="I11531" t="s">
        <v>3797</v>
      </c>
      <c r="J11531" t="s">
        <v>35435</v>
      </c>
      <c r="K11531" t="s">
        <v>36894</v>
      </c>
      <c r="M11531" t="s">
        <v>39506</v>
      </c>
      <c r="N11531" t="s">
        <v>40436</v>
      </c>
      <c r="O11531" t="s">
        <v>40437</v>
      </c>
      <c r="Q11531">
        <v>7</v>
      </c>
      <c r="R11531" t="s">
        <v>40452</v>
      </c>
      <c r="S11531" t="s">
        <v>41233</v>
      </c>
      <c r="T11531" t="s">
        <v>42103</v>
      </c>
      <c r="U11531" t="s">
        <v>46684</v>
      </c>
      <c r="W11531" t="s">
        <v>39506</v>
      </c>
      <c r="X11531" t="s">
        <v>40453</v>
      </c>
    </row>
    <row r="11532" spans="1:24">
      <c r="A11532">
        <f>HYPERLINK("https://www.philgeps.gov.ph/GEPSNONPILOT/Tender/SplashBidNoticeAbstractUI.aspx?menuIndex=3&amp;refID=7024043&amp;Result=3","7024043")</f>
        <v>0</v>
      </c>
      <c r="B11532" t="s">
        <v>1728</v>
      </c>
      <c r="C11532" t="s">
        <v>14114</v>
      </c>
      <c r="D11532" t="s">
        <v>16195</v>
      </c>
      <c r="E11532" t="s">
        <v>26282</v>
      </c>
      <c r="F11532" t="s">
        <v>28198</v>
      </c>
      <c r="G11532" t="s">
        <v>28205</v>
      </c>
      <c r="H11532" t="s">
        <v>28214</v>
      </c>
      <c r="I11532" t="s">
        <v>3797</v>
      </c>
      <c r="J11532" t="s">
        <v>35436</v>
      </c>
      <c r="K11532" t="s">
        <v>36829</v>
      </c>
      <c r="M11532" t="s">
        <v>40177</v>
      </c>
      <c r="N11532" t="s">
        <v>40436</v>
      </c>
      <c r="O11532" t="s">
        <v>40437</v>
      </c>
      <c r="P11532">
        <v>0</v>
      </c>
      <c r="Q11532">
        <v>3</v>
      </c>
      <c r="R11532" t="s">
        <v>40452</v>
      </c>
      <c r="S11532" t="s">
        <v>41140</v>
      </c>
      <c r="T11532" t="s">
        <v>42103</v>
      </c>
      <c r="U11532" t="s">
        <v>52130</v>
      </c>
      <c r="V11532" t="s">
        <v>55098</v>
      </c>
      <c r="W11532" t="s">
        <v>40177</v>
      </c>
      <c r="X11532" t="s">
        <v>40453</v>
      </c>
    </row>
    <row r="11533" spans="1:24">
      <c r="A11533">
        <f>HYPERLINK("https://www.philgeps.gov.ph/GEPSNONPILOT/Tender/SplashBidNoticeAbstractUI.aspx?menuIndex=3&amp;refID=7024144&amp;Result=3","7024144")</f>
        <v>0</v>
      </c>
      <c r="B11533" t="s">
        <v>977</v>
      </c>
      <c r="C11533" t="s">
        <v>14115</v>
      </c>
      <c r="D11533" t="s">
        <v>16217</v>
      </c>
      <c r="E11533" t="s">
        <v>26283</v>
      </c>
      <c r="F11533" t="s">
        <v>28198</v>
      </c>
      <c r="G11533" t="s">
        <v>28205</v>
      </c>
      <c r="H11533" t="s">
        <v>28215</v>
      </c>
      <c r="I11533" t="s">
        <v>28246</v>
      </c>
      <c r="J11533" t="s">
        <v>35437</v>
      </c>
      <c r="K11533" t="s">
        <v>36707</v>
      </c>
      <c r="M11533" t="s">
        <v>38003</v>
      </c>
      <c r="N11533" t="s">
        <v>40436</v>
      </c>
      <c r="O11533" t="s">
        <v>40437</v>
      </c>
      <c r="P11533">
        <v>0</v>
      </c>
      <c r="Q11533">
        <v>2</v>
      </c>
      <c r="R11533" t="s">
        <v>40452</v>
      </c>
      <c r="S11533" t="s">
        <v>41140</v>
      </c>
      <c r="T11533" t="s">
        <v>42102</v>
      </c>
      <c r="U11533" t="s">
        <v>52149</v>
      </c>
      <c r="W11533" t="s">
        <v>55469</v>
      </c>
      <c r="X11533" t="s">
        <v>40453</v>
      </c>
    </row>
    <row r="11534" spans="1:24">
      <c r="A11534">
        <f>HYPERLINK("https://www.philgeps.gov.ph/GEPSNONPILOT/Tender/SplashBidNoticeAbstractUI.aspx?menuIndex=3&amp;refID=7024094&amp;Result=3","7024094")</f>
        <v>0</v>
      </c>
      <c r="B11534" t="s">
        <v>977</v>
      </c>
      <c r="C11534" t="s">
        <v>14116</v>
      </c>
      <c r="D11534" t="s">
        <v>16217</v>
      </c>
      <c r="E11534" t="s">
        <v>26284</v>
      </c>
      <c r="F11534" t="s">
        <v>28198</v>
      </c>
      <c r="G11534" t="s">
        <v>28205</v>
      </c>
      <c r="H11534" t="s">
        <v>28215</v>
      </c>
      <c r="I11534" t="s">
        <v>28224</v>
      </c>
      <c r="J11534" t="s">
        <v>35438</v>
      </c>
      <c r="K11534" t="s">
        <v>36701</v>
      </c>
      <c r="M11534" t="s">
        <v>38003</v>
      </c>
      <c r="N11534" t="s">
        <v>40436</v>
      </c>
      <c r="O11534" t="s">
        <v>40437</v>
      </c>
      <c r="P11534">
        <v>0</v>
      </c>
      <c r="Q11534">
        <v>3</v>
      </c>
      <c r="R11534" t="s">
        <v>40452</v>
      </c>
      <c r="S11534" t="s">
        <v>41140</v>
      </c>
      <c r="T11534" t="s">
        <v>42102</v>
      </c>
      <c r="U11534" t="s">
        <v>52150</v>
      </c>
      <c r="W11534" t="s">
        <v>55469</v>
      </c>
      <c r="X11534" t="s">
        <v>40453</v>
      </c>
    </row>
    <row r="11535" spans="1:24">
      <c r="A11535">
        <f>HYPERLINK("https://www.philgeps.gov.ph/GEPSNONPILOT/Tender/SplashBidNoticeAbstractUI.aspx?menuIndex=3&amp;refID=7024071&amp;Result=3","7024071")</f>
        <v>0</v>
      </c>
      <c r="B11535" t="s">
        <v>121</v>
      </c>
      <c r="C11535" t="s">
        <v>14117</v>
      </c>
      <c r="D11535" t="s">
        <v>16207</v>
      </c>
      <c r="E11535" t="s">
        <v>26285</v>
      </c>
      <c r="F11535" t="s">
        <v>28198</v>
      </c>
      <c r="G11535" t="s">
        <v>28205</v>
      </c>
      <c r="H11535" t="s">
        <v>28215</v>
      </c>
      <c r="I11535" t="s">
        <v>6051</v>
      </c>
      <c r="J11535" t="s">
        <v>29224</v>
      </c>
      <c r="K11535" t="s">
        <v>36701</v>
      </c>
      <c r="M11535" t="s">
        <v>37095</v>
      </c>
      <c r="N11535" t="s">
        <v>40436</v>
      </c>
      <c r="O11535" t="s">
        <v>40437</v>
      </c>
      <c r="P11535">
        <v>0</v>
      </c>
      <c r="Q11535">
        <v>5</v>
      </c>
      <c r="R11535" t="s">
        <v>40452</v>
      </c>
      <c r="S11535" t="s">
        <v>41140</v>
      </c>
      <c r="T11535" t="s">
        <v>42188</v>
      </c>
      <c r="U11535" t="s">
        <v>52151</v>
      </c>
      <c r="W11535" t="s">
        <v>37095</v>
      </c>
      <c r="X11535" t="s">
        <v>40453</v>
      </c>
    </row>
    <row r="11536" spans="1:24">
      <c r="A11536">
        <f>HYPERLINK("https://www.philgeps.gov.ph/GEPSNONPILOT/Tender/SplashBidNoticeAbstractUI.aspx?menuIndex=3&amp;refID=7024173&amp;Result=3","7024173")</f>
        <v>0</v>
      </c>
      <c r="B11536" t="s">
        <v>2855</v>
      </c>
      <c r="C11536" t="s">
        <v>14118</v>
      </c>
      <c r="D11536" t="s">
        <v>16236</v>
      </c>
      <c r="E11536" t="s">
        <v>17567</v>
      </c>
      <c r="F11536" t="s">
        <v>28198</v>
      </c>
      <c r="G11536" t="s">
        <v>28205</v>
      </c>
      <c r="H11536" t="s">
        <v>28215</v>
      </c>
      <c r="I11536" t="s">
        <v>28241</v>
      </c>
      <c r="J11536" t="s">
        <v>29316</v>
      </c>
      <c r="K11536" t="s">
        <v>36701</v>
      </c>
      <c r="M11536" t="s">
        <v>40117</v>
      </c>
      <c r="N11536" t="s">
        <v>40436</v>
      </c>
      <c r="O11536" t="s">
        <v>40437</v>
      </c>
      <c r="Q11536">
        <v>1</v>
      </c>
      <c r="R11536" t="s">
        <v>40452</v>
      </c>
      <c r="S11536" t="s">
        <v>41234</v>
      </c>
      <c r="T11536" t="s">
        <v>42176</v>
      </c>
      <c r="U11536" t="s">
        <v>52152</v>
      </c>
      <c r="V11536" t="s">
        <v>55099</v>
      </c>
      <c r="W11536" t="s">
        <v>40117</v>
      </c>
      <c r="X11536" t="s">
        <v>40453</v>
      </c>
    </row>
    <row r="11537" spans="1:24">
      <c r="A11537">
        <f>HYPERLINK("https://www.philgeps.gov.ph/GEPSNONPILOT/Tender/SplashBidNoticeAbstractUI.aspx?menuIndex=3&amp;refID=7024145&amp;Result=3","7024145")</f>
        <v>0</v>
      </c>
      <c r="B11537" t="s">
        <v>977</v>
      </c>
      <c r="C11537" t="s">
        <v>14119</v>
      </c>
      <c r="D11537" t="s">
        <v>16217</v>
      </c>
      <c r="E11537" t="s">
        <v>26286</v>
      </c>
      <c r="F11537" t="s">
        <v>28198</v>
      </c>
      <c r="G11537" t="s">
        <v>28205</v>
      </c>
      <c r="H11537" t="s">
        <v>28215</v>
      </c>
      <c r="I11537" t="s">
        <v>28228</v>
      </c>
      <c r="J11537" t="s">
        <v>35439</v>
      </c>
      <c r="K11537" t="s">
        <v>36697</v>
      </c>
      <c r="M11537" t="s">
        <v>38003</v>
      </c>
      <c r="N11537" t="s">
        <v>40436</v>
      </c>
      <c r="O11537" t="s">
        <v>40437</v>
      </c>
      <c r="P11537">
        <v>0</v>
      </c>
      <c r="Q11537">
        <v>0</v>
      </c>
      <c r="R11537" t="s">
        <v>40452</v>
      </c>
      <c r="S11537" t="s">
        <v>41140</v>
      </c>
      <c r="T11537" t="s">
        <v>42102</v>
      </c>
      <c r="U11537" t="s">
        <v>52153</v>
      </c>
      <c r="W11537" t="s">
        <v>55469</v>
      </c>
      <c r="X11537" t="s">
        <v>40453</v>
      </c>
    </row>
    <row r="11538" spans="1:24">
      <c r="A11538">
        <f>HYPERLINK("https://www.philgeps.gov.ph/GEPSNONPILOT/Tender/SplashBidNoticeAbstractUI.aspx?menuIndex=3&amp;refID=7023988&amp;Result=3","7023988")</f>
        <v>0</v>
      </c>
      <c r="B11538" t="s">
        <v>121</v>
      </c>
      <c r="C11538" t="s">
        <v>14120</v>
      </c>
      <c r="D11538" t="s">
        <v>16207</v>
      </c>
      <c r="E11538" t="s">
        <v>26287</v>
      </c>
      <c r="F11538" t="s">
        <v>28198</v>
      </c>
      <c r="G11538" t="s">
        <v>28205</v>
      </c>
      <c r="H11538" t="s">
        <v>28214</v>
      </c>
      <c r="I11538" t="s">
        <v>3797</v>
      </c>
      <c r="J11538" t="s">
        <v>35440</v>
      </c>
      <c r="K11538" t="s">
        <v>36737</v>
      </c>
      <c r="M11538" t="s">
        <v>37095</v>
      </c>
      <c r="N11538" t="s">
        <v>40436</v>
      </c>
      <c r="O11538" t="s">
        <v>40437</v>
      </c>
      <c r="P11538">
        <v>0</v>
      </c>
      <c r="Q11538">
        <v>0</v>
      </c>
      <c r="R11538" t="s">
        <v>40452</v>
      </c>
      <c r="S11538" t="s">
        <v>41140</v>
      </c>
      <c r="T11538" t="s">
        <v>42188</v>
      </c>
      <c r="U11538" t="s">
        <v>52154</v>
      </c>
      <c r="W11538" t="s">
        <v>37095</v>
      </c>
      <c r="X11538" t="s">
        <v>40453</v>
      </c>
    </row>
    <row r="11539" spans="1:24">
      <c r="A11539">
        <f>HYPERLINK("https://www.philgeps.gov.ph/GEPSNONPILOT/Tender/SplashBidNoticeAbstractUI.aspx?menuIndex=3&amp;refID=7024192&amp;Result=3","7024192")</f>
        <v>0</v>
      </c>
      <c r="B11539" t="s">
        <v>2328</v>
      </c>
      <c r="C11539" t="s">
        <v>14121</v>
      </c>
      <c r="D11539" t="s">
        <v>16200</v>
      </c>
      <c r="E11539" t="s">
        <v>26288</v>
      </c>
      <c r="F11539" t="s">
        <v>28198</v>
      </c>
      <c r="G11539" t="s">
        <v>28208</v>
      </c>
      <c r="H11539" t="s">
        <v>28214</v>
      </c>
      <c r="I11539" t="s">
        <v>3797</v>
      </c>
      <c r="J11539" t="s">
        <v>35441</v>
      </c>
      <c r="K11539" t="s">
        <v>36956</v>
      </c>
      <c r="M11539" t="s">
        <v>39506</v>
      </c>
      <c r="N11539" t="s">
        <v>40436</v>
      </c>
      <c r="O11539" t="s">
        <v>40437</v>
      </c>
      <c r="Q11539">
        <v>6</v>
      </c>
      <c r="R11539" t="s">
        <v>40452</v>
      </c>
      <c r="S11539" t="s">
        <v>41235</v>
      </c>
      <c r="T11539" t="s">
        <v>42103</v>
      </c>
      <c r="U11539" t="s">
        <v>46684</v>
      </c>
      <c r="W11539" t="s">
        <v>39506</v>
      </c>
      <c r="X11539" t="s">
        <v>40453</v>
      </c>
    </row>
    <row r="11540" spans="1:24">
      <c r="A11540">
        <f>HYPERLINK("https://www.philgeps.gov.ph/GEPSNONPILOT/Tender/SplashBidNoticeAbstractUI.aspx?menuIndex=3&amp;refID=7024099&amp;Result=3","7024099")</f>
        <v>0</v>
      </c>
      <c r="B11540" t="s">
        <v>977</v>
      </c>
      <c r="C11540" t="s">
        <v>14122</v>
      </c>
      <c r="D11540" t="s">
        <v>16217</v>
      </c>
      <c r="E11540" t="s">
        <v>26289</v>
      </c>
      <c r="F11540" t="s">
        <v>28198</v>
      </c>
      <c r="G11540" t="s">
        <v>28205</v>
      </c>
      <c r="H11540" t="s">
        <v>28215</v>
      </c>
      <c r="I11540" t="s">
        <v>28224</v>
      </c>
      <c r="J11540" t="s">
        <v>35442</v>
      </c>
      <c r="K11540" t="s">
        <v>36701</v>
      </c>
      <c r="M11540" t="s">
        <v>38003</v>
      </c>
      <c r="N11540" t="s">
        <v>40436</v>
      </c>
      <c r="O11540" t="s">
        <v>40437</v>
      </c>
      <c r="P11540">
        <v>0</v>
      </c>
      <c r="Q11540">
        <v>0</v>
      </c>
      <c r="R11540" t="s">
        <v>40452</v>
      </c>
      <c r="S11540" t="s">
        <v>41140</v>
      </c>
      <c r="T11540" t="s">
        <v>42102</v>
      </c>
      <c r="U11540" t="s">
        <v>52155</v>
      </c>
      <c r="W11540" t="s">
        <v>55469</v>
      </c>
      <c r="X11540" t="s">
        <v>40453</v>
      </c>
    </row>
    <row r="11541" spans="1:24">
      <c r="A11541">
        <f>HYPERLINK("https://www.philgeps.gov.ph/GEPSNONPILOT/Tender/SplashBidNoticeAbstractUI.aspx?menuIndex=3&amp;refID=7024089&amp;Result=3","7024089")</f>
        <v>0</v>
      </c>
      <c r="B11541" t="s">
        <v>361</v>
      </c>
      <c r="C11541" t="s">
        <v>14123</v>
      </c>
      <c r="D11541" t="s">
        <v>16236</v>
      </c>
      <c r="E11541" t="s">
        <v>26290</v>
      </c>
      <c r="F11541" t="s">
        <v>28198</v>
      </c>
      <c r="G11541" t="s">
        <v>28205</v>
      </c>
      <c r="H11541" t="s">
        <v>28215</v>
      </c>
      <c r="I11541" t="s">
        <v>28279</v>
      </c>
      <c r="J11541" t="s">
        <v>35443</v>
      </c>
      <c r="K11541" t="s">
        <v>36707</v>
      </c>
      <c r="M11541" t="s">
        <v>37340</v>
      </c>
      <c r="N11541" t="s">
        <v>40436</v>
      </c>
      <c r="O11541" t="s">
        <v>40437</v>
      </c>
      <c r="P11541">
        <v>0</v>
      </c>
      <c r="Q11541">
        <v>2</v>
      </c>
      <c r="R11541" t="s">
        <v>40452</v>
      </c>
      <c r="S11541" t="s">
        <v>41140</v>
      </c>
      <c r="T11541" t="s">
        <v>42209</v>
      </c>
      <c r="U11541" t="s">
        <v>52156</v>
      </c>
      <c r="V11541" t="s">
        <v>53826</v>
      </c>
      <c r="W11541" t="s">
        <v>37340</v>
      </c>
      <c r="X11541" t="s">
        <v>40453</v>
      </c>
    </row>
    <row r="11542" spans="1:24">
      <c r="A11542">
        <f>HYPERLINK("https://www.philgeps.gov.ph/GEPSNONPILOT/Tender/SplashBidNoticeAbstractUI.aspx?menuIndex=3&amp;refID=7024087&amp;Result=3","7024087")</f>
        <v>0</v>
      </c>
      <c r="B11542" t="s">
        <v>361</v>
      </c>
      <c r="C11542" t="s">
        <v>14124</v>
      </c>
      <c r="D11542" t="s">
        <v>16236</v>
      </c>
      <c r="E11542" t="s">
        <v>26291</v>
      </c>
      <c r="F11542" t="s">
        <v>28198</v>
      </c>
      <c r="G11542" t="s">
        <v>28205</v>
      </c>
      <c r="H11542" t="s">
        <v>28215</v>
      </c>
      <c r="I11542" t="s">
        <v>28256</v>
      </c>
      <c r="J11542" t="s">
        <v>28395</v>
      </c>
      <c r="K11542" t="s">
        <v>36694</v>
      </c>
      <c r="M11542" t="s">
        <v>37971</v>
      </c>
      <c r="N11542" t="s">
        <v>40436</v>
      </c>
      <c r="O11542" t="s">
        <v>40437</v>
      </c>
      <c r="P11542">
        <v>0</v>
      </c>
      <c r="Q11542">
        <v>8</v>
      </c>
      <c r="R11542" t="s">
        <v>40452</v>
      </c>
      <c r="S11542" t="s">
        <v>41140</v>
      </c>
      <c r="T11542" t="s">
        <v>42209</v>
      </c>
      <c r="U11542" t="s">
        <v>52157</v>
      </c>
      <c r="V11542" t="s">
        <v>53826</v>
      </c>
      <c r="W11542" t="s">
        <v>37971</v>
      </c>
      <c r="X11542" t="s">
        <v>40453</v>
      </c>
    </row>
    <row r="11543" spans="1:24">
      <c r="A11543">
        <f>HYPERLINK("https://www.philgeps.gov.ph/GEPSNONPILOT/Tender/SplashBidNoticeAbstractUI.aspx?menuIndex=3&amp;refID=7024186&amp;Result=3","7024186")</f>
        <v>0</v>
      </c>
      <c r="B11543" t="s">
        <v>2328</v>
      </c>
      <c r="C11543" t="s">
        <v>14125</v>
      </c>
      <c r="D11543" t="s">
        <v>16200</v>
      </c>
      <c r="E11543" t="s">
        <v>26292</v>
      </c>
      <c r="F11543" t="s">
        <v>28198</v>
      </c>
      <c r="G11543" t="s">
        <v>28208</v>
      </c>
      <c r="H11543" t="s">
        <v>28214</v>
      </c>
      <c r="I11543" t="s">
        <v>3797</v>
      </c>
      <c r="J11543" t="s">
        <v>35444</v>
      </c>
      <c r="K11543" t="s">
        <v>36898</v>
      </c>
      <c r="M11543" t="s">
        <v>39506</v>
      </c>
      <c r="N11543" t="s">
        <v>40436</v>
      </c>
      <c r="O11543" t="s">
        <v>40437</v>
      </c>
      <c r="Q11543">
        <v>5</v>
      </c>
      <c r="R11543" t="s">
        <v>40452</v>
      </c>
      <c r="S11543" t="s">
        <v>41236</v>
      </c>
      <c r="T11543" t="s">
        <v>42103</v>
      </c>
      <c r="U11543" t="s">
        <v>46684</v>
      </c>
      <c r="W11543" t="s">
        <v>39506</v>
      </c>
      <c r="X11543" t="s">
        <v>40453</v>
      </c>
    </row>
    <row r="11544" spans="1:24">
      <c r="A11544">
        <f>HYPERLINK("https://www.philgeps.gov.ph/GEPSNONPILOT/Tender/SplashBidNoticeAbstractUI.aspx?menuIndex=3&amp;refID=7024224&amp;Result=3","7024224")</f>
        <v>0</v>
      </c>
      <c r="B11544" t="s">
        <v>977</v>
      </c>
      <c r="C11544" t="s">
        <v>14126</v>
      </c>
      <c r="D11544" t="s">
        <v>16217</v>
      </c>
      <c r="E11544" t="s">
        <v>26293</v>
      </c>
      <c r="F11544" t="s">
        <v>28198</v>
      </c>
      <c r="G11544" t="s">
        <v>28205</v>
      </c>
      <c r="H11544" t="s">
        <v>28215</v>
      </c>
      <c r="I11544" t="s">
        <v>28243</v>
      </c>
      <c r="J11544" t="s">
        <v>35445</v>
      </c>
      <c r="K11544" t="s">
        <v>36701</v>
      </c>
      <c r="M11544" t="s">
        <v>38003</v>
      </c>
      <c r="N11544" t="s">
        <v>40436</v>
      </c>
      <c r="O11544" t="s">
        <v>40437</v>
      </c>
      <c r="P11544">
        <v>0</v>
      </c>
      <c r="Q11544">
        <v>8</v>
      </c>
      <c r="R11544" t="s">
        <v>40452</v>
      </c>
      <c r="S11544" t="s">
        <v>41140</v>
      </c>
      <c r="T11544" t="s">
        <v>42102</v>
      </c>
      <c r="U11544" t="s">
        <v>52158</v>
      </c>
      <c r="W11544" t="s">
        <v>55469</v>
      </c>
      <c r="X11544" t="s">
        <v>40453</v>
      </c>
    </row>
    <row r="11545" spans="1:24">
      <c r="A11545">
        <f>HYPERLINK("https://www.philgeps.gov.ph/GEPSNONPILOT/Tender/SplashBidNoticeAbstractUI.aspx?menuIndex=3&amp;refID=7011470&amp;Result=3","7011470")</f>
        <v>0</v>
      </c>
      <c r="B11545" t="s">
        <v>1680</v>
      </c>
      <c r="C11545" t="s">
        <v>14127</v>
      </c>
      <c r="E11545" t="s">
        <v>26294</v>
      </c>
      <c r="F11545" t="s">
        <v>28198</v>
      </c>
      <c r="G11545" t="s">
        <v>28205</v>
      </c>
      <c r="H11545" t="s">
        <v>28215</v>
      </c>
      <c r="I11545" t="s">
        <v>5100</v>
      </c>
      <c r="J11545" t="s">
        <v>35446</v>
      </c>
      <c r="K11545" t="s">
        <v>36689</v>
      </c>
      <c r="M11545" t="s">
        <v>38776</v>
      </c>
      <c r="N11545" t="s">
        <v>40436</v>
      </c>
      <c r="O11545" t="s">
        <v>40437</v>
      </c>
      <c r="P11545">
        <v>0</v>
      </c>
      <c r="Q11545">
        <v>2</v>
      </c>
      <c r="R11545" t="s">
        <v>40453</v>
      </c>
      <c r="S11545" t="s">
        <v>41237</v>
      </c>
      <c r="T11545" t="s">
        <v>42134</v>
      </c>
      <c r="U11545" t="s">
        <v>52159</v>
      </c>
      <c r="W11545" t="s">
        <v>38776</v>
      </c>
      <c r="X11545" t="s">
        <v>40460</v>
      </c>
    </row>
    <row r="11546" spans="1:24">
      <c r="A11546">
        <f>HYPERLINK("https://www.philgeps.gov.ph/GEPSNONPILOT/Tender/SplashBidNoticeAbstractUI.aspx?menuIndex=3&amp;refID=6978719&amp;Result=3","6978719")</f>
        <v>0</v>
      </c>
      <c r="B11546" t="s">
        <v>34</v>
      </c>
      <c r="C11546" t="s">
        <v>14128</v>
      </c>
      <c r="D11546" t="s">
        <v>16195</v>
      </c>
      <c r="E11546" t="s">
        <v>26295</v>
      </c>
      <c r="F11546" t="s">
        <v>28198</v>
      </c>
      <c r="G11546" t="s">
        <v>28205</v>
      </c>
      <c r="H11546" t="s">
        <v>28215</v>
      </c>
      <c r="I11546" t="s">
        <v>28247</v>
      </c>
      <c r="J11546" t="s">
        <v>28862</v>
      </c>
      <c r="K11546" t="s">
        <v>36715</v>
      </c>
      <c r="M11546" t="s">
        <v>37550</v>
      </c>
      <c r="N11546" t="s">
        <v>40436</v>
      </c>
      <c r="O11546" t="s">
        <v>40437</v>
      </c>
      <c r="P11546">
        <v>0</v>
      </c>
      <c r="Q11546">
        <v>8</v>
      </c>
      <c r="R11546" t="s">
        <v>40453</v>
      </c>
      <c r="S11546" t="s">
        <v>41237</v>
      </c>
      <c r="T11546" t="s">
        <v>42179</v>
      </c>
      <c r="U11546" t="s">
        <v>52160</v>
      </c>
      <c r="V11546" t="s">
        <v>53826</v>
      </c>
      <c r="W11546" t="s">
        <v>37550</v>
      </c>
      <c r="X11546" t="s">
        <v>40480</v>
      </c>
    </row>
    <row r="11547" spans="1:24">
      <c r="A11547">
        <f>HYPERLINK("https://www.philgeps.gov.ph/GEPSNONPILOT/Tender/SplashBidNoticeAbstractUI.aspx?menuIndex=3&amp;refID=6978609&amp;Result=3","6978609")</f>
        <v>0</v>
      </c>
      <c r="B11547" t="s">
        <v>34</v>
      </c>
      <c r="C11547" t="s">
        <v>14129</v>
      </c>
      <c r="D11547" t="s">
        <v>16195</v>
      </c>
      <c r="E11547" t="s">
        <v>26296</v>
      </c>
      <c r="F11547" t="s">
        <v>28198</v>
      </c>
      <c r="G11547" t="s">
        <v>28205</v>
      </c>
      <c r="H11547" t="s">
        <v>28215</v>
      </c>
      <c r="I11547" t="s">
        <v>3774</v>
      </c>
      <c r="J11547" t="s">
        <v>35447</v>
      </c>
      <c r="K11547" t="s">
        <v>36696</v>
      </c>
      <c r="M11547" t="s">
        <v>37550</v>
      </c>
      <c r="N11547" t="s">
        <v>40436</v>
      </c>
      <c r="O11547" t="s">
        <v>40437</v>
      </c>
      <c r="P11547">
        <v>0</v>
      </c>
      <c r="Q11547">
        <v>0</v>
      </c>
      <c r="R11547" t="s">
        <v>40453</v>
      </c>
      <c r="S11547" t="s">
        <v>41237</v>
      </c>
      <c r="T11547" t="s">
        <v>42179</v>
      </c>
      <c r="U11547" t="s">
        <v>52161</v>
      </c>
      <c r="V11547" t="s">
        <v>53826</v>
      </c>
      <c r="W11547" t="s">
        <v>37550</v>
      </c>
      <c r="X11547" t="s">
        <v>40480</v>
      </c>
    </row>
    <row r="11548" spans="1:24">
      <c r="A11548">
        <f>HYPERLINK("https://www.philgeps.gov.ph/GEPSNONPILOT/Tender/SplashBidNoticeAbstractUI.aspx?menuIndex=3&amp;refID=6978728&amp;Result=3","6978728")</f>
        <v>0</v>
      </c>
      <c r="B11548" t="s">
        <v>34</v>
      </c>
      <c r="C11548" t="s">
        <v>14130</v>
      </c>
      <c r="D11548" t="s">
        <v>16195</v>
      </c>
      <c r="E11548" t="s">
        <v>26297</v>
      </c>
      <c r="F11548" t="s">
        <v>28198</v>
      </c>
      <c r="G11548" t="s">
        <v>28205</v>
      </c>
      <c r="H11548" t="s">
        <v>28215</v>
      </c>
      <c r="I11548" t="s">
        <v>28247</v>
      </c>
      <c r="J11548" t="s">
        <v>35448</v>
      </c>
      <c r="K11548" t="s">
        <v>36715</v>
      </c>
      <c r="M11548" t="s">
        <v>37550</v>
      </c>
      <c r="N11548" t="s">
        <v>40436</v>
      </c>
      <c r="O11548" t="s">
        <v>40437</v>
      </c>
      <c r="Q11548">
        <v>9</v>
      </c>
      <c r="R11548" t="s">
        <v>40453</v>
      </c>
      <c r="S11548" t="s">
        <v>40851</v>
      </c>
      <c r="T11548" t="s">
        <v>42179</v>
      </c>
      <c r="U11548" t="s">
        <v>52162</v>
      </c>
      <c r="V11548" t="s">
        <v>53826</v>
      </c>
      <c r="W11548" t="s">
        <v>37550</v>
      </c>
      <c r="X11548" t="s">
        <v>40480</v>
      </c>
    </row>
    <row r="11549" spans="1:24">
      <c r="A11549">
        <f>HYPERLINK("https://www.philgeps.gov.ph/GEPSNONPILOT/Tender/SplashBidNoticeAbstractUI.aspx?menuIndex=3&amp;refID=6977808&amp;Result=3","6977808")</f>
        <v>0</v>
      </c>
      <c r="B11549" t="s">
        <v>34</v>
      </c>
      <c r="C11549" t="s">
        <v>14131</v>
      </c>
      <c r="D11549" t="s">
        <v>16195</v>
      </c>
      <c r="E11549" t="s">
        <v>26298</v>
      </c>
      <c r="F11549" t="s">
        <v>28198</v>
      </c>
      <c r="G11549" t="s">
        <v>28205</v>
      </c>
      <c r="H11549" t="s">
        <v>28215</v>
      </c>
      <c r="I11549" t="s">
        <v>5100</v>
      </c>
      <c r="J11549" t="s">
        <v>35449</v>
      </c>
      <c r="K11549" t="s">
        <v>36693</v>
      </c>
      <c r="M11549" t="s">
        <v>37550</v>
      </c>
      <c r="N11549" t="s">
        <v>40436</v>
      </c>
      <c r="O11549" t="s">
        <v>40437</v>
      </c>
      <c r="P11549">
        <v>0</v>
      </c>
      <c r="Q11549">
        <v>1</v>
      </c>
      <c r="R11549" t="s">
        <v>40453</v>
      </c>
      <c r="S11549" t="s">
        <v>41237</v>
      </c>
      <c r="T11549" t="s">
        <v>42179</v>
      </c>
      <c r="U11549" t="s">
        <v>52163</v>
      </c>
      <c r="V11549" t="s">
        <v>53826</v>
      </c>
      <c r="W11549" t="s">
        <v>37550</v>
      </c>
      <c r="X11549" t="s">
        <v>40480</v>
      </c>
    </row>
    <row r="11550" spans="1:24">
      <c r="A11550">
        <f>HYPERLINK("https://www.philgeps.gov.ph/GEPSNONPILOT/Tender/SplashBidNoticeAbstractUI.aspx?menuIndex=3&amp;refID=6986153&amp;Result=3","6986153")</f>
        <v>0</v>
      </c>
      <c r="B11550" t="s">
        <v>34</v>
      </c>
      <c r="C11550" t="s">
        <v>14132</v>
      </c>
      <c r="D11550" t="s">
        <v>16195</v>
      </c>
      <c r="E11550" t="s">
        <v>26299</v>
      </c>
      <c r="F11550" t="s">
        <v>28198</v>
      </c>
      <c r="G11550" t="s">
        <v>28205</v>
      </c>
      <c r="H11550" t="s">
        <v>28215</v>
      </c>
      <c r="I11550" t="s">
        <v>5100</v>
      </c>
      <c r="J11550" t="s">
        <v>35450</v>
      </c>
      <c r="K11550" t="s">
        <v>36693</v>
      </c>
      <c r="M11550" t="s">
        <v>37550</v>
      </c>
      <c r="N11550" t="s">
        <v>40436</v>
      </c>
      <c r="O11550" t="s">
        <v>40437</v>
      </c>
      <c r="P11550">
        <v>0</v>
      </c>
      <c r="Q11550">
        <v>1</v>
      </c>
      <c r="R11550" t="s">
        <v>40453</v>
      </c>
      <c r="S11550" t="s">
        <v>41237</v>
      </c>
      <c r="T11550" t="s">
        <v>42179</v>
      </c>
      <c r="U11550" t="s">
        <v>52164</v>
      </c>
      <c r="V11550" t="s">
        <v>53826</v>
      </c>
      <c r="W11550" t="s">
        <v>37550</v>
      </c>
      <c r="X11550" t="s">
        <v>40478</v>
      </c>
    </row>
    <row r="11551" spans="1:24">
      <c r="A11551">
        <f>HYPERLINK("https://www.philgeps.gov.ph/GEPSNONPILOT/Tender/SplashBidNoticeAbstractUI.aspx?menuIndex=3&amp;refID=6938271&amp;Result=3","6938271")</f>
        <v>0</v>
      </c>
      <c r="B11551" t="s">
        <v>293</v>
      </c>
      <c r="C11551" t="s">
        <v>13794</v>
      </c>
      <c r="D11551" t="s">
        <v>16241</v>
      </c>
      <c r="E11551" t="s">
        <v>26300</v>
      </c>
      <c r="F11551" t="s">
        <v>28198</v>
      </c>
      <c r="G11551" t="s">
        <v>28205</v>
      </c>
      <c r="H11551" t="s">
        <v>28214</v>
      </c>
      <c r="I11551" t="s">
        <v>3797</v>
      </c>
      <c r="J11551" t="s">
        <v>28683</v>
      </c>
      <c r="K11551" t="s">
        <v>36697</v>
      </c>
      <c r="M11551" t="s">
        <v>37270</v>
      </c>
      <c r="N11551" t="s">
        <v>40436</v>
      </c>
      <c r="O11551" t="s">
        <v>40437</v>
      </c>
      <c r="P11551">
        <v>0</v>
      </c>
      <c r="Q11551">
        <v>0</v>
      </c>
      <c r="R11551" t="s">
        <v>40453</v>
      </c>
      <c r="S11551" t="s">
        <v>41237</v>
      </c>
      <c r="T11551" t="s">
        <v>42133</v>
      </c>
      <c r="U11551" t="s">
        <v>52165</v>
      </c>
      <c r="W11551" t="s">
        <v>37270</v>
      </c>
      <c r="X11551" t="s">
        <v>40511</v>
      </c>
    </row>
    <row r="11552" spans="1:24">
      <c r="A11552">
        <f>HYPERLINK("https://www.philgeps.gov.ph/GEPSNONPILOT/Tender/SplashBidNoticeAbstractUI.aspx?menuIndex=3&amp;refID=6940209&amp;Result=3","6940209")</f>
        <v>0</v>
      </c>
      <c r="B11552" t="s">
        <v>2909</v>
      </c>
      <c r="C11552" t="s">
        <v>14133</v>
      </c>
      <c r="D11552" t="s">
        <v>16200</v>
      </c>
      <c r="E11552" t="s">
        <v>21190</v>
      </c>
      <c r="F11552" t="s">
        <v>28198</v>
      </c>
      <c r="G11552" t="s">
        <v>28205</v>
      </c>
      <c r="H11552" t="s">
        <v>28215</v>
      </c>
      <c r="I11552" t="s">
        <v>28222</v>
      </c>
      <c r="J11552" t="s">
        <v>29316</v>
      </c>
      <c r="K11552" t="s">
        <v>36707</v>
      </c>
      <c r="M11552" t="s">
        <v>40181</v>
      </c>
      <c r="N11552" t="s">
        <v>40436</v>
      </c>
      <c r="O11552" t="s">
        <v>40437</v>
      </c>
      <c r="P11552">
        <v>0</v>
      </c>
      <c r="Q11552">
        <v>4</v>
      </c>
      <c r="R11552" t="s">
        <v>40453</v>
      </c>
      <c r="S11552" t="s">
        <v>41237</v>
      </c>
      <c r="T11552" t="s">
        <v>42218</v>
      </c>
      <c r="U11552" t="s">
        <v>52166</v>
      </c>
      <c r="W11552" t="s">
        <v>40181</v>
      </c>
      <c r="X11552" t="s">
        <v>40509</v>
      </c>
    </row>
    <row r="11553" spans="1:24">
      <c r="A11553">
        <f>HYPERLINK("https://www.philgeps.gov.ph/GEPSNONPILOT/Tender/SplashBidNoticeAbstractUI.aspx?menuIndex=3&amp;refID=7024254&amp;Result=3","7024254")</f>
        <v>0</v>
      </c>
      <c r="B11553" t="s">
        <v>1669</v>
      </c>
      <c r="C11553" t="s">
        <v>14134</v>
      </c>
      <c r="D11553" t="s">
        <v>16192</v>
      </c>
      <c r="E11553" t="s">
        <v>26301</v>
      </c>
      <c r="F11553" t="s">
        <v>28198</v>
      </c>
      <c r="G11553" t="s">
        <v>28205</v>
      </c>
      <c r="H11553" t="s">
        <v>28215</v>
      </c>
      <c r="I11553" t="s">
        <v>4200</v>
      </c>
      <c r="J11553" t="s">
        <v>35451</v>
      </c>
      <c r="K11553" t="s">
        <v>36689</v>
      </c>
      <c r="M11553" t="s">
        <v>39932</v>
      </c>
      <c r="N11553" t="s">
        <v>40436</v>
      </c>
      <c r="O11553" t="s">
        <v>40437</v>
      </c>
      <c r="P11553">
        <v>0</v>
      </c>
      <c r="Q11553">
        <v>3</v>
      </c>
      <c r="R11553" t="s">
        <v>40452</v>
      </c>
      <c r="S11553" t="s">
        <v>41140</v>
      </c>
      <c r="T11553" t="s">
        <v>42177</v>
      </c>
      <c r="U11553" t="s">
        <v>52167</v>
      </c>
      <c r="W11553" t="s">
        <v>55529</v>
      </c>
      <c r="X11553" t="s">
        <v>40453</v>
      </c>
    </row>
    <row r="11554" spans="1:24">
      <c r="A11554">
        <f>HYPERLINK("https://www.philgeps.gov.ph/GEPSNONPILOT/Tender/SplashBidNoticeAbstractUI.aspx?menuIndex=3&amp;refID=7005631&amp;Result=3","7005631")</f>
        <v>0</v>
      </c>
      <c r="B11554" t="s">
        <v>2413</v>
      </c>
      <c r="C11554" t="s">
        <v>14135</v>
      </c>
      <c r="D11554" t="s">
        <v>16191</v>
      </c>
      <c r="E11554" t="s">
        <v>26302</v>
      </c>
      <c r="F11554" t="s">
        <v>28198</v>
      </c>
      <c r="G11554" t="s">
        <v>28209</v>
      </c>
      <c r="H11554" t="s">
        <v>28217</v>
      </c>
      <c r="I11554" t="s">
        <v>28337</v>
      </c>
      <c r="J11554" t="s">
        <v>35452</v>
      </c>
      <c r="K11554" t="s">
        <v>36717</v>
      </c>
      <c r="M11554" t="s">
        <v>39653</v>
      </c>
      <c r="N11554" t="s">
        <v>40436</v>
      </c>
      <c r="O11554" t="s">
        <v>40437</v>
      </c>
      <c r="Q11554">
        <v>1</v>
      </c>
      <c r="R11554" t="s">
        <v>40453</v>
      </c>
      <c r="S11554" t="s">
        <v>41238</v>
      </c>
      <c r="T11554" t="s">
        <v>42184</v>
      </c>
      <c r="U11554" t="s">
        <v>49378</v>
      </c>
      <c r="V11554" t="s">
        <v>54909</v>
      </c>
      <c r="W11554" t="s">
        <v>39653</v>
      </c>
      <c r="X11554" t="s">
        <v>40464</v>
      </c>
    </row>
    <row r="11555" spans="1:24">
      <c r="A11555">
        <f>HYPERLINK("https://www.philgeps.gov.ph/GEPSNONPILOT/Tender/SplashBidNoticeAbstractUI.aspx?menuIndex=3&amp;refID=6964177&amp;Result=3","6964177")</f>
        <v>0</v>
      </c>
      <c r="B11555" t="s">
        <v>2416</v>
      </c>
      <c r="C11555" t="s">
        <v>14136</v>
      </c>
      <c r="D11555" t="s">
        <v>16191</v>
      </c>
      <c r="E11555" t="s">
        <v>26303</v>
      </c>
      <c r="F11555" t="s">
        <v>28198</v>
      </c>
      <c r="G11555" t="s">
        <v>28205</v>
      </c>
      <c r="H11555" t="s">
        <v>28215</v>
      </c>
      <c r="I11555" t="s">
        <v>28239</v>
      </c>
      <c r="J11555" t="s">
        <v>35453</v>
      </c>
      <c r="K11555" t="s">
        <v>36701</v>
      </c>
      <c r="M11555" t="s">
        <v>36997</v>
      </c>
      <c r="N11555" t="s">
        <v>40436</v>
      </c>
      <c r="O11555" t="s">
        <v>40437</v>
      </c>
      <c r="Q11555">
        <v>13</v>
      </c>
      <c r="R11555" t="s">
        <v>40453</v>
      </c>
      <c r="S11555" t="s">
        <v>41239</v>
      </c>
      <c r="T11555" t="s">
        <v>42133</v>
      </c>
      <c r="U11555" t="s">
        <v>52168</v>
      </c>
      <c r="V11555" t="s">
        <v>55100</v>
      </c>
      <c r="W11555" t="s">
        <v>36997</v>
      </c>
      <c r="X11555" t="s">
        <v>40498</v>
      </c>
    </row>
    <row r="11556" spans="1:24">
      <c r="A11556">
        <f>HYPERLINK("https://www.philgeps.gov.ph/GEPSNONPILOT/Tender/SplashBidNoticeAbstractUI.aspx?menuIndex=3&amp;refID=7012414&amp;Result=3","7012414")</f>
        <v>0</v>
      </c>
      <c r="B11556" t="s">
        <v>48</v>
      </c>
      <c r="C11556" t="s">
        <v>14137</v>
      </c>
      <c r="D11556" t="s">
        <v>16204</v>
      </c>
      <c r="E11556" t="s">
        <v>26304</v>
      </c>
      <c r="F11556" t="s">
        <v>28198</v>
      </c>
      <c r="G11556" t="s">
        <v>28208</v>
      </c>
      <c r="H11556" t="s">
        <v>28215</v>
      </c>
      <c r="I11556" t="s">
        <v>3774</v>
      </c>
      <c r="J11556" t="s">
        <v>35454</v>
      </c>
      <c r="K11556" t="s">
        <v>36701</v>
      </c>
      <c r="M11556" t="s">
        <v>37019</v>
      </c>
      <c r="N11556" t="s">
        <v>40436</v>
      </c>
      <c r="O11556" t="s">
        <v>40437</v>
      </c>
      <c r="P11556">
        <v>0</v>
      </c>
      <c r="Q11556">
        <v>3</v>
      </c>
      <c r="R11556" t="s">
        <v>40453</v>
      </c>
      <c r="S11556" t="s">
        <v>41237</v>
      </c>
      <c r="T11556" t="s">
        <v>42133</v>
      </c>
      <c r="U11556" t="s">
        <v>52169</v>
      </c>
      <c r="V11556" t="s">
        <v>55101</v>
      </c>
      <c r="W11556" t="s">
        <v>37019</v>
      </c>
      <c r="X11556" t="s">
        <v>40459</v>
      </c>
    </row>
    <row r="11557" spans="1:24">
      <c r="A11557">
        <f>HYPERLINK("https://www.philgeps.gov.ph/GEPSNONPILOT/Tender/SplashBidNoticeAbstractUI.aspx?menuIndex=3&amp;refID=7010939&amp;Result=3","7010939")</f>
        <v>0</v>
      </c>
      <c r="B11557" t="s">
        <v>2910</v>
      </c>
      <c r="C11557" t="s">
        <v>14138</v>
      </c>
      <c r="D11557" t="s">
        <v>16206</v>
      </c>
      <c r="E11557" t="s">
        <v>26305</v>
      </c>
      <c r="F11557" t="s">
        <v>28198</v>
      </c>
      <c r="G11557" t="s">
        <v>28205</v>
      </c>
      <c r="H11557" t="s">
        <v>28214</v>
      </c>
      <c r="I11557" t="s">
        <v>3797</v>
      </c>
      <c r="J11557" t="s">
        <v>35455</v>
      </c>
      <c r="K11557" t="s">
        <v>36724</v>
      </c>
      <c r="M11557" t="s">
        <v>40182</v>
      </c>
      <c r="N11557" t="s">
        <v>40436</v>
      </c>
      <c r="O11557" t="s">
        <v>40437</v>
      </c>
      <c r="P11557">
        <v>0</v>
      </c>
      <c r="Q11557">
        <v>3</v>
      </c>
      <c r="R11557" t="s">
        <v>40453</v>
      </c>
      <c r="S11557" t="s">
        <v>41237</v>
      </c>
      <c r="T11557" t="s">
        <v>42129</v>
      </c>
      <c r="U11557" t="s">
        <v>52170</v>
      </c>
      <c r="W11557" t="s">
        <v>40182</v>
      </c>
      <c r="X11557" t="s">
        <v>40460</v>
      </c>
    </row>
    <row r="11558" spans="1:24">
      <c r="A11558">
        <f>HYPERLINK("https://www.philgeps.gov.ph/GEPSNONPILOT/Tender/SplashBidNoticeAbstractUI.aspx?menuIndex=3&amp;refID=7016106&amp;Result=3","7016106")</f>
        <v>0</v>
      </c>
      <c r="B11558" t="s">
        <v>1731</v>
      </c>
      <c r="C11558" t="s">
        <v>14139</v>
      </c>
      <c r="D11558" t="s">
        <v>16193</v>
      </c>
      <c r="E11558" t="s">
        <v>26306</v>
      </c>
      <c r="F11558" t="s">
        <v>28198</v>
      </c>
      <c r="G11558" t="s">
        <v>28205</v>
      </c>
      <c r="H11558" t="s">
        <v>28214</v>
      </c>
      <c r="I11558" t="s">
        <v>3797</v>
      </c>
      <c r="J11558" t="s">
        <v>35456</v>
      </c>
      <c r="K11558" t="s">
        <v>36690</v>
      </c>
      <c r="M11558" t="s">
        <v>38842</v>
      </c>
      <c r="N11558" t="s">
        <v>40436</v>
      </c>
      <c r="O11558" t="s">
        <v>40437</v>
      </c>
      <c r="P11558">
        <v>0</v>
      </c>
      <c r="Q11558">
        <v>0</v>
      </c>
      <c r="R11558" t="s">
        <v>40453</v>
      </c>
      <c r="S11558" t="s">
        <v>41237</v>
      </c>
      <c r="T11558" t="s">
        <v>42119</v>
      </c>
      <c r="U11558" t="s">
        <v>52171</v>
      </c>
      <c r="W11558" t="s">
        <v>38842</v>
      </c>
      <c r="X11558" t="s">
        <v>40458</v>
      </c>
    </row>
    <row r="11559" spans="1:24">
      <c r="A11559">
        <f>HYPERLINK("https://www.philgeps.gov.ph/GEPSNONPILOT/Tender/SplashBidNoticeAbstractUI.aspx?menuIndex=3&amp;refID=7024259&amp;Result=3","7024259")</f>
        <v>0</v>
      </c>
      <c r="B11559" t="s">
        <v>827</v>
      </c>
      <c r="C11559" t="s">
        <v>14140</v>
      </c>
      <c r="D11559" t="s">
        <v>16287</v>
      </c>
      <c r="E11559" t="s">
        <v>26307</v>
      </c>
      <c r="F11559" t="s">
        <v>28198</v>
      </c>
      <c r="G11559" t="s">
        <v>28205</v>
      </c>
      <c r="H11559" t="s">
        <v>28215</v>
      </c>
      <c r="I11559" t="s">
        <v>28243</v>
      </c>
      <c r="J11559" t="s">
        <v>29643</v>
      </c>
      <c r="K11559" t="s">
        <v>36694</v>
      </c>
      <c r="M11559" t="s">
        <v>37839</v>
      </c>
      <c r="N11559" t="s">
        <v>40436</v>
      </c>
      <c r="O11559" t="s">
        <v>40437</v>
      </c>
      <c r="P11559">
        <v>0</v>
      </c>
      <c r="Q11559">
        <v>5</v>
      </c>
      <c r="R11559" t="s">
        <v>40452</v>
      </c>
      <c r="S11559" t="s">
        <v>41140</v>
      </c>
      <c r="T11559" t="s">
        <v>42228</v>
      </c>
      <c r="U11559" t="s">
        <v>52172</v>
      </c>
      <c r="W11559" t="s">
        <v>37839</v>
      </c>
      <c r="X11559" t="s">
        <v>40453</v>
      </c>
    </row>
    <row r="11560" spans="1:24">
      <c r="A11560">
        <f>HYPERLINK("https://www.philgeps.gov.ph/GEPSNONPILOT/Tender/SplashBidNoticeAbstractUI.aspx?menuIndex=3&amp;refID=6404943&amp;Result=3","6404943")</f>
        <v>0</v>
      </c>
      <c r="B11560" t="s">
        <v>2911</v>
      </c>
      <c r="C11560" t="s">
        <v>14141</v>
      </c>
      <c r="E11560" t="s">
        <v>26308</v>
      </c>
      <c r="F11560" t="s">
        <v>28198</v>
      </c>
      <c r="G11560" t="s">
        <v>28205</v>
      </c>
      <c r="H11560" t="s">
        <v>28215</v>
      </c>
      <c r="I11560" t="s">
        <v>5082</v>
      </c>
      <c r="J11560" t="s">
        <v>35457</v>
      </c>
      <c r="K11560" t="s">
        <v>36689</v>
      </c>
      <c r="M11560" t="s">
        <v>40183</v>
      </c>
      <c r="N11560" t="s">
        <v>40436</v>
      </c>
      <c r="O11560" t="s">
        <v>40437</v>
      </c>
      <c r="P11560">
        <v>0</v>
      </c>
      <c r="Q11560">
        <v>0</v>
      </c>
      <c r="R11560" t="s">
        <v>40453</v>
      </c>
      <c r="S11560" t="s">
        <v>41237</v>
      </c>
      <c r="T11560" t="s">
        <v>42119</v>
      </c>
      <c r="U11560" t="s">
        <v>52173</v>
      </c>
      <c r="W11560" t="s">
        <v>40183</v>
      </c>
      <c r="X11560" t="s">
        <v>55554</v>
      </c>
    </row>
    <row r="11561" spans="1:24">
      <c r="A11561">
        <f>HYPERLINK("https://www.philgeps.gov.ph/GEPSNONPILOT/Tender/SplashBidNoticeAbstractUI.aspx?menuIndex=3&amp;refID=7015344&amp;Result=3","7015344")</f>
        <v>0</v>
      </c>
      <c r="B11561" t="s">
        <v>357</v>
      </c>
      <c r="C11561" t="s">
        <v>14142</v>
      </c>
      <c r="D11561" t="s">
        <v>16197</v>
      </c>
      <c r="E11561" t="s">
        <v>26309</v>
      </c>
      <c r="F11561" t="s">
        <v>28198</v>
      </c>
      <c r="G11561" t="s">
        <v>28205</v>
      </c>
      <c r="H11561" t="s">
        <v>28214</v>
      </c>
      <c r="I11561" t="s">
        <v>3797</v>
      </c>
      <c r="J11561" t="s">
        <v>28699</v>
      </c>
      <c r="K11561" t="s">
        <v>36690</v>
      </c>
      <c r="M11561" t="s">
        <v>37336</v>
      </c>
      <c r="N11561" t="s">
        <v>40436</v>
      </c>
      <c r="O11561" t="s">
        <v>40437</v>
      </c>
      <c r="Q11561">
        <v>2</v>
      </c>
      <c r="R11561" t="s">
        <v>40453</v>
      </c>
      <c r="S11561" t="s">
        <v>41240</v>
      </c>
      <c r="T11561" t="s">
        <v>42176</v>
      </c>
      <c r="U11561" t="s">
        <v>52174</v>
      </c>
      <c r="W11561" t="s">
        <v>37336</v>
      </c>
      <c r="X11561" t="s">
        <v>40458</v>
      </c>
    </row>
    <row r="11562" spans="1:24">
      <c r="A11562">
        <f>HYPERLINK("https://www.philgeps.gov.ph/GEPSNONPILOT/Tender/SplashBidNoticeAbstractUI.aspx?menuIndex=3&amp;refID=7024085&amp;Result=3","7024085")</f>
        <v>0</v>
      </c>
      <c r="B11562" t="s">
        <v>977</v>
      </c>
      <c r="C11562" t="s">
        <v>14143</v>
      </c>
      <c r="D11562" t="s">
        <v>16217</v>
      </c>
      <c r="E11562" t="s">
        <v>26310</v>
      </c>
      <c r="F11562" t="s">
        <v>28198</v>
      </c>
      <c r="G11562" t="s">
        <v>28205</v>
      </c>
      <c r="H11562" t="s">
        <v>28215</v>
      </c>
      <c r="I11562" t="s">
        <v>28224</v>
      </c>
      <c r="J11562" t="s">
        <v>35458</v>
      </c>
      <c r="K11562" t="s">
        <v>36701</v>
      </c>
      <c r="M11562" t="s">
        <v>38003</v>
      </c>
      <c r="N11562" t="s">
        <v>40436</v>
      </c>
      <c r="O11562" t="s">
        <v>40437</v>
      </c>
      <c r="P11562">
        <v>0</v>
      </c>
      <c r="Q11562">
        <v>2</v>
      </c>
      <c r="R11562" t="s">
        <v>40452</v>
      </c>
      <c r="S11562" t="s">
        <v>41140</v>
      </c>
      <c r="T11562" t="s">
        <v>42102</v>
      </c>
      <c r="U11562" t="s">
        <v>52175</v>
      </c>
      <c r="W11562" t="s">
        <v>55469</v>
      </c>
      <c r="X11562" t="s">
        <v>40453</v>
      </c>
    </row>
    <row r="11563" spans="1:24">
      <c r="A11563">
        <f>HYPERLINK("https://www.philgeps.gov.ph/GEPSNONPILOT/Tender/SplashBidNoticeAbstractUI.aspx?menuIndex=3&amp;refID=7015920&amp;Result=3","7015920")</f>
        <v>0</v>
      </c>
      <c r="B11563" t="s">
        <v>1731</v>
      </c>
      <c r="C11563" t="s">
        <v>14144</v>
      </c>
      <c r="D11563" t="s">
        <v>16193</v>
      </c>
      <c r="E11563" t="s">
        <v>26311</v>
      </c>
      <c r="F11563" t="s">
        <v>28198</v>
      </c>
      <c r="G11563" t="s">
        <v>28205</v>
      </c>
      <c r="H11563" t="s">
        <v>28214</v>
      </c>
      <c r="I11563" t="s">
        <v>8870</v>
      </c>
      <c r="J11563" t="s">
        <v>35459</v>
      </c>
      <c r="K11563" t="s">
        <v>36697</v>
      </c>
      <c r="M11563" t="s">
        <v>38842</v>
      </c>
      <c r="N11563" t="s">
        <v>40436</v>
      </c>
      <c r="O11563" t="s">
        <v>40437</v>
      </c>
      <c r="P11563">
        <v>0</v>
      </c>
      <c r="Q11563">
        <v>4</v>
      </c>
      <c r="R11563" t="s">
        <v>40453</v>
      </c>
      <c r="S11563" t="s">
        <v>41237</v>
      </c>
      <c r="T11563" t="s">
        <v>42119</v>
      </c>
      <c r="U11563" t="s">
        <v>52176</v>
      </c>
      <c r="W11563" t="s">
        <v>38842</v>
      </c>
      <c r="X11563" t="s">
        <v>40458</v>
      </c>
    </row>
    <row r="11564" spans="1:24">
      <c r="A11564">
        <f>HYPERLINK("https://www.philgeps.gov.ph/GEPSNONPILOT/Tender/SplashBidNoticeAbstractUI.aspx?menuIndex=3&amp;refID=7016078&amp;Result=3","7016078")</f>
        <v>0</v>
      </c>
      <c r="B11564" t="s">
        <v>1731</v>
      </c>
      <c r="C11564" t="s">
        <v>14145</v>
      </c>
      <c r="D11564" t="s">
        <v>16193</v>
      </c>
      <c r="E11564" t="s">
        <v>26312</v>
      </c>
      <c r="F11564" t="s">
        <v>28198</v>
      </c>
      <c r="G11564" t="s">
        <v>28205</v>
      </c>
      <c r="H11564" t="s">
        <v>28214</v>
      </c>
      <c r="I11564" t="s">
        <v>3797</v>
      </c>
      <c r="J11564" t="s">
        <v>35460</v>
      </c>
      <c r="K11564" t="s">
        <v>36690</v>
      </c>
      <c r="M11564" t="s">
        <v>38842</v>
      </c>
      <c r="N11564" t="s">
        <v>40436</v>
      </c>
      <c r="O11564" t="s">
        <v>40437</v>
      </c>
      <c r="P11564">
        <v>0</v>
      </c>
      <c r="Q11564">
        <v>1</v>
      </c>
      <c r="R11564" t="s">
        <v>40453</v>
      </c>
      <c r="S11564" t="s">
        <v>41237</v>
      </c>
      <c r="T11564" t="s">
        <v>42119</v>
      </c>
      <c r="U11564" t="s">
        <v>52177</v>
      </c>
      <c r="W11564" t="s">
        <v>38842</v>
      </c>
      <c r="X11564" t="s">
        <v>40458</v>
      </c>
    </row>
    <row r="11565" spans="1:24">
      <c r="A11565">
        <f>HYPERLINK("https://www.philgeps.gov.ph/GEPSNONPILOT/Tender/SplashBidNoticeAbstractUI.aspx?menuIndex=3&amp;refID=7015374&amp;Result=3","7015374")</f>
        <v>0</v>
      </c>
      <c r="B11565" t="s">
        <v>52</v>
      </c>
      <c r="C11565" t="s">
        <v>14146</v>
      </c>
      <c r="D11565" t="s">
        <v>16200</v>
      </c>
      <c r="E11565" t="s">
        <v>26313</v>
      </c>
      <c r="F11565" t="s">
        <v>28198</v>
      </c>
      <c r="G11565" t="s">
        <v>28205</v>
      </c>
      <c r="H11565" t="s">
        <v>28215</v>
      </c>
      <c r="I11565" t="s">
        <v>28234</v>
      </c>
      <c r="J11565" t="s">
        <v>28797</v>
      </c>
      <c r="K11565" t="s">
        <v>36701</v>
      </c>
      <c r="M11565" t="s">
        <v>37023</v>
      </c>
      <c r="N11565" t="s">
        <v>40436</v>
      </c>
      <c r="O11565" t="s">
        <v>40437</v>
      </c>
      <c r="P11565">
        <v>0</v>
      </c>
      <c r="Q11565">
        <v>9</v>
      </c>
      <c r="R11565" t="s">
        <v>40453</v>
      </c>
      <c r="S11565" t="s">
        <v>41237</v>
      </c>
      <c r="T11565" t="s">
        <v>42103</v>
      </c>
      <c r="U11565" t="s">
        <v>52178</v>
      </c>
      <c r="W11565" t="s">
        <v>55427</v>
      </c>
      <c r="X11565" t="s">
        <v>40458</v>
      </c>
    </row>
    <row r="11566" spans="1:24">
      <c r="A11566">
        <f>HYPERLINK("https://www.philgeps.gov.ph/GEPSNONPILOT/Tender/SplashBidNoticeAbstractUI.aspx?menuIndex=3&amp;refID=7012268&amp;Result=3","7012268")</f>
        <v>0</v>
      </c>
      <c r="B11566" t="s">
        <v>48</v>
      </c>
      <c r="C11566" t="s">
        <v>14147</v>
      </c>
      <c r="D11566" t="s">
        <v>16204</v>
      </c>
      <c r="E11566" t="s">
        <v>26314</v>
      </c>
      <c r="F11566" t="s">
        <v>28198</v>
      </c>
      <c r="G11566" t="s">
        <v>28208</v>
      </c>
      <c r="H11566" t="s">
        <v>28215</v>
      </c>
      <c r="I11566" t="s">
        <v>4168</v>
      </c>
      <c r="J11566" t="s">
        <v>35461</v>
      </c>
      <c r="K11566" t="s">
        <v>36701</v>
      </c>
      <c r="M11566" t="s">
        <v>37019</v>
      </c>
      <c r="N11566" t="s">
        <v>40436</v>
      </c>
      <c r="O11566" t="s">
        <v>40437</v>
      </c>
      <c r="P11566">
        <v>0</v>
      </c>
      <c r="Q11566">
        <v>10</v>
      </c>
      <c r="R11566" t="s">
        <v>40453</v>
      </c>
      <c r="S11566" t="s">
        <v>41237</v>
      </c>
      <c r="T11566" t="s">
        <v>42133</v>
      </c>
      <c r="U11566" t="s">
        <v>52179</v>
      </c>
      <c r="V11566" t="s">
        <v>55101</v>
      </c>
      <c r="W11566" t="s">
        <v>37019</v>
      </c>
      <c r="X11566" t="s">
        <v>40459</v>
      </c>
    </row>
    <row r="11567" spans="1:24">
      <c r="A11567">
        <f>HYPERLINK("https://www.philgeps.gov.ph/GEPSNONPILOT/Tender/SplashBidNoticeAbstractUI.aspx?menuIndex=3&amp;refID=7015306&amp;Result=3","7015306")</f>
        <v>0</v>
      </c>
      <c r="B11567" t="s">
        <v>52</v>
      </c>
      <c r="C11567" t="s">
        <v>14148</v>
      </c>
      <c r="D11567" t="s">
        <v>16200</v>
      </c>
      <c r="E11567" t="s">
        <v>26315</v>
      </c>
      <c r="F11567" t="s">
        <v>28198</v>
      </c>
      <c r="G11567" t="s">
        <v>28205</v>
      </c>
      <c r="H11567" t="s">
        <v>28215</v>
      </c>
      <c r="I11567" t="s">
        <v>28234</v>
      </c>
      <c r="J11567" t="s">
        <v>31223</v>
      </c>
      <c r="K11567" t="s">
        <v>36701</v>
      </c>
      <c r="M11567" t="s">
        <v>37023</v>
      </c>
      <c r="N11567" t="s">
        <v>40436</v>
      </c>
      <c r="O11567" t="s">
        <v>40437</v>
      </c>
      <c r="P11567">
        <v>0</v>
      </c>
      <c r="Q11567">
        <v>6</v>
      </c>
      <c r="R11567" t="s">
        <v>40453</v>
      </c>
      <c r="S11567" t="s">
        <v>41237</v>
      </c>
      <c r="T11567" t="s">
        <v>42103</v>
      </c>
      <c r="U11567" t="s">
        <v>52180</v>
      </c>
      <c r="W11567" t="s">
        <v>55427</v>
      </c>
      <c r="X11567" t="s">
        <v>40458</v>
      </c>
    </row>
    <row r="11568" spans="1:24">
      <c r="A11568">
        <f>HYPERLINK("https://www.philgeps.gov.ph/GEPSNONPILOT/Tender/SplashBidNoticeAbstractUI.aspx?menuIndex=3&amp;refID=7015883&amp;Result=3","7015883")</f>
        <v>0</v>
      </c>
      <c r="B11568" t="s">
        <v>1731</v>
      </c>
      <c r="C11568" t="s">
        <v>14149</v>
      </c>
      <c r="D11568" t="s">
        <v>16193</v>
      </c>
      <c r="E11568" t="s">
        <v>26316</v>
      </c>
      <c r="F11568" t="s">
        <v>28198</v>
      </c>
      <c r="G11568" t="s">
        <v>28205</v>
      </c>
      <c r="H11568" t="s">
        <v>28214</v>
      </c>
      <c r="I11568" t="s">
        <v>3797</v>
      </c>
      <c r="J11568" t="s">
        <v>35462</v>
      </c>
      <c r="K11568" t="s">
        <v>36710</v>
      </c>
      <c r="M11568" t="s">
        <v>38842</v>
      </c>
      <c r="N11568" t="s">
        <v>40436</v>
      </c>
      <c r="O11568" t="s">
        <v>40437</v>
      </c>
      <c r="P11568">
        <v>0</v>
      </c>
      <c r="Q11568">
        <v>0</v>
      </c>
      <c r="R11568" t="s">
        <v>40453</v>
      </c>
      <c r="S11568" t="s">
        <v>41237</v>
      </c>
      <c r="T11568" t="s">
        <v>42119</v>
      </c>
      <c r="U11568" t="s">
        <v>52181</v>
      </c>
      <c r="W11568" t="s">
        <v>38842</v>
      </c>
      <c r="X11568" t="s">
        <v>40458</v>
      </c>
    </row>
    <row r="11569" spans="1:24">
      <c r="A11569">
        <f>HYPERLINK("https://www.philgeps.gov.ph/GEPSNONPILOT/Tender/SplashBidNoticeAbstractUI.aspx?menuIndex=3&amp;refID=7014815&amp;Result=3","7014815")</f>
        <v>0</v>
      </c>
      <c r="B11569" t="s">
        <v>2529</v>
      </c>
      <c r="C11569" t="s">
        <v>5107</v>
      </c>
      <c r="D11569" t="s">
        <v>16245</v>
      </c>
      <c r="E11569" t="s">
        <v>26317</v>
      </c>
      <c r="F11569" t="s">
        <v>28198</v>
      </c>
      <c r="G11569" t="s">
        <v>28205</v>
      </c>
      <c r="H11569" t="s">
        <v>28215</v>
      </c>
      <c r="I11569" t="s">
        <v>5082</v>
      </c>
      <c r="J11569" t="s">
        <v>35463</v>
      </c>
      <c r="K11569" t="s">
        <v>36701</v>
      </c>
      <c r="M11569" t="s">
        <v>39738</v>
      </c>
      <c r="N11569" t="s">
        <v>40436</v>
      </c>
      <c r="O11569" t="s">
        <v>40437</v>
      </c>
      <c r="P11569">
        <v>0</v>
      </c>
      <c r="Q11569">
        <v>2</v>
      </c>
      <c r="R11569" t="s">
        <v>40453</v>
      </c>
      <c r="S11569" t="s">
        <v>41237</v>
      </c>
      <c r="T11569" t="s">
        <v>42124</v>
      </c>
      <c r="U11569" t="s">
        <v>52182</v>
      </c>
      <c r="W11569" t="s">
        <v>39738</v>
      </c>
      <c r="X11569" t="s">
        <v>40458</v>
      </c>
    </row>
    <row r="11570" spans="1:24">
      <c r="A11570">
        <f>HYPERLINK("https://www.philgeps.gov.ph/GEPSNONPILOT/Tender/SplashBidNoticeAbstractUI.aspx?menuIndex=3&amp;refID=7014219&amp;Result=3","7014219")</f>
        <v>0</v>
      </c>
      <c r="B11570" t="s">
        <v>1093</v>
      </c>
      <c r="C11570" t="s">
        <v>14150</v>
      </c>
      <c r="D11570" t="s">
        <v>16187</v>
      </c>
      <c r="E11570" t="s">
        <v>26318</v>
      </c>
      <c r="F11570" t="s">
        <v>28198</v>
      </c>
      <c r="G11570" t="s">
        <v>28205</v>
      </c>
      <c r="H11570" t="s">
        <v>28214</v>
      </c>
      <c r="I11570" t="s">
        <v>3797</v>
      </c>
      <c r="J11570" t="s">
        <v>35464</v>
      </c>
      <c r="K11570" t="s">
        <v>36710</v>
      </c>
      <c r="M11570" t="s">
        <v>38128</v>
      </c>
      <c r="N11570" t="s">
        <v>40436</v>
      </c>
      <c r="O11570" t="s">
        <v>40437</v>
      </c>
      <c r="P11570">
        <v>0</v>
      </c>
      <c r="Q11570">
        <v>1</v>
      </c>
      <c r="R11570" t="s">
        <v>40453</v>
      </c>
      <c r="S11570" t="s">
        <v>41237</v>
      </c>
      <c r="T11570" t="s">
        <v>42177</v>
      </c>
      <c r="U11570" t="s">
        <v>52183</v>
      </c>
      <c r="W11570" t="s">
        <v>38128</v>
      </c>
      <c r="X11570" t="s">
        <v>40459</v>
      </c>
    </row>
    <row r="11571" spans="1:24">
      <c r="A11571">
        <f>HYPERLINK("https://www.philgeps.gov.ph/GEPSNONPILOT/Tender/SplashBidNoticeAbstractUI.aspx?menuIndex=3&amp;refID=7014233&amp;Result=3","7014233")</f>
        <v>0</v>
      </c>
      <c r="B11571" t="s">
        <v>1093</v>
      </c>
      <c r="C11571" t="s">
        <v>14151</v>
      </c>
      <c r="D11571" t="s">
        <v>16187</v>
      </c>
      <c r="E11571" t="s">
        <v>26319</v>
      </c>
      <c r="F11571" t="s">
        <v>28198</v>
      </c>
      <c r="G11571" t="s">
        <v>28205</v>
      </c>
      <c r="H11571" t="s">
        <v>28214</v>
      </c>
      <c r="I11571" t="s">
        <v>3797</v>
      </c>
      <c r="J11571" t="s">
        <v>35465</v>
      </c>
      <c r="K11571" t="s">
        <v>36710</v>
      </c>
      <c r="M11571" t="s">
        <v>38128</v>
      </c>
      <c r="N11571" t="s">
        <v>40436</v>
      </c>
      <c r="O11571" t="s">
        <v>40437</v>
      </c>
      <c r="P11571">
        <v>0</v>
      </c>
      <c r="Q11571">
        <v>5</v>
      </c>
      <c r="R11571" t="s">
        <v>40453</v>
      </c>
      <c r="S11571" t="s">
        <v>41237</v>
      </c>
      <c r="T11571" t="s">
        <v>42177</v>
      </c>
      <c r="U11571" t="s">
        <v>52184</v>
      </c>
      <c r="W11571" t="s">
        <v>38128</v>
      </c>
      <c r="X11571" t="s">
        <v>40459</v>
      </c>
    </row>
    <row r="11572" spans="1:24">
      <c r="A11572">
        <f>HYPERLINK("https://www.philgeps.gov.ph/GEPSNONPILOT/Tender/SplashBidNoticeAbstractUI.aspx?menuIndex=3&amp;refID=7016007&amp;Result=3","7016007")</f>
        <v>0</v>
      </c>
      <c r="B11572" t="s">
        <v>1731</v>
      </c>
      <c r="C11572" t="s">
        <v>14152</v>
      </c>
      <c r="D11572" t="s">
        <v>16193</v>
      </c>
      <c r="E11572" t="s">
        <v>26320</v>
      </c>
      <c r="F11572" t="s">
        <v>28198</v>
      </c>
      <c r="G11572" t="s">
        <v>28205</v>
      </c>
      <c r="H11572" t="s">
        <v>28214</v>
      </c>
      <c r="I11572" t="s">
        <v>8870</v>
      </c>
      <c r="J11572" t="s">
        <v>35466</v>
      </c>
      <c r="K11572" t="s">
        <v>36697</v>
      </c>
      <c r="M11572" t="s">
        <v>38842</v>
      </c>
      <c r="N11572" t="s">
        <v>40436</v>
      </c>
      <c r="O11572" t="s">
        <v>40437</v>
      </c>
      <c r="P11572">
        <v>0</v>
      </c>
      <c r="Q11572">
        <v>2</v>
      </c>
      <c r="R11572" t="s">
        <v>40453</v>
      </c>
      <c r="S11572" t="s">
        <v>41237</v>
      </c>
      <c r="T11572" t="s">
        <v>42119</v>
      </c>
      <c r="U11572" t="s">
        <v>52185</v>
      </c>
      <c r="W11572" t="s">
        <v>38842</v>
      </c>
      <c r="X11572" t="s">
        <v>40458</v>
      </c>
    </row>
    <row r="11573" spans="1:24">
      <c r="A11573">
        <f>HYPERLINK("https://www.philgeps.gov.ph/GEPSNONPILOT/Tender/SplashBidNoticeAbstractUI.aspx?menuIndex=3&amp;refID=7014211&amp;Result=3","7014211")</f>
        <v>0</v>
      </c>
      <c r="B11573" t="s">
        <v>1093</v>
      </c>
      <c r="C11573" t="s">
        <v>14153</v>
      </c>
      <c r="D11573" t="s">
        <v>16187</v>
      </c>
      <c r="E11573" t="s">
        <v>26321</v>
      </c>
      <c r="F11573" t="s">
        <v>28198</v>
      </c>
      <c r="G11573" t="s">
        <v>28205</v>
      </c>
      <c r="H11573" t="s">
        <v>28214</v>
      </c>
      <c r="I11573" t="s">
        <v>3797</v>
      </c>
      <c r="J11573" t="s">
        <v>35467</v>
      </c>
      <c r="K11573" t="s">
        <v>36710</v>
      </c>
      <c r="M11573" t="s">
        <v>38128</v>
      </c>
      <c r="N11573" t="s">
        <v>40436</v>
      </c>
      <c r="O11573" t="s">
        <v>40437</v>
      </c>
      <c r="P11573">
        <v>0</v>
      </c>
      <c r="Q11573">
        <v>1</v>
      </c>
      <c r="R11573" t="s">
        <v>40453</v>
      </c>
      <c r="S11573" t="s">
        <v>41237</v>
      </c>
      <c r="T11573" t="s">
        <v>42177</v>
      </c>
      <c r="U11573" t="s">
        <v>52186</v>
      </c>
      <c r="W11573" t="s">
        <v>38128</v>
      </c>
      <c r="X11573" t="s">
        <v>40459</v>
      </c>
    </row>
    <row r="11574" spans="1:24">
      <c r="A11574">
        <f>HYPERLINK("https://www.philgeps.gov.ph/GEPSNONPILOT/Tender/SplashBidNoticeAbstractUI.aspx?menuIndex=3&amp;refID=7014237&amp;Result=3","7014237")</f>
        <v>0</v>
      </c>
      <c r="B11574" t="s">
        <v>1093</v>
      </c>
      <c r="C11574" t="s">
        <v>14154</v>
      </c>
      <c r="D11574" t="s">
        <v>16187</v>
      </c>
      <c r="E11574" t="s">
        <v>26322</v>
      </c>
      <c r="F11574" t="s">
        <v>28198</v>
      </c>
      <c r="G11574" t="s">
        <v>28205</v>
      </c>
      <c r="H11574" t="s">
        <v>28214</v>
      </c>
      <c r="I11574" t="s">
        <v>8870</v>
      </c>
      <c r="J11574" t="s">
        <v>35468</v>
      </c>
      <c r="K11574" t="s">
        <v>36715</v>
      </c>
      <c r="M11574" t="s">
        <v>38128</v>
      </c>
      <c r="N11574" t="s">
        <v>40436</v>
      </c>
      <c r="O11574" t="s">
        <v>40437</v>
      </c>
      <c r="P11574">
        <v>0</v>
      </c>
      <c r="Q11574">
        <v>7</v>
      </c>
      <c r="R11574" t="s">
        <v>40453</v>
      </c>
      <c r="S11574" t="s">
        <v>41237</v>
      </c>
      <c r="T11574" t="s">
        <v>42177</v>
      </c>
      <c r="U11574" t="s">
        <v>52187</v>
      </c>
      <c r="W11574" t="s">
        <v>38128</v>
      </c>
      <c r="X11574" t="s">
        <v>40459</v>
      </c>
    </row>
    <row r="11575" spans="1:24">
      <c r="A11575">
        <f>HYPERLINK("https://www.philgeps.gov.ph/GEPSNONPILOT/Tender/SplashBidNoticeAbstractUI.aspx?menuIndex=3&amp;refID=7016044&amp;Result=3","7016044")</f>
        <v>0</v>
      </c>
      <c r="B11575" t="s">
        <v>1731</v>
      </c>
      <c r="C11575" t="s">
        <v>14155</v>
      </c>
      <c r="D11575" t="s">
        <v>16193</v>
      </c>
      <c r="E11575" t="s">
        <v>26323</v>
      </c>
      <c r="F11575" t="s">
        <v>28198</v>
      </c>
      <c r="G11575" t="s">
        <v>28205</v>
      </c>
      <c r="H11575" t="s">
        <v>28214</v>
      </c>
      <c r="I11575" t="s">
        <v>3797</v>
      </c>
      <c r="J11575" t="s">
        <v>35469</v>
      </c>
      <c r="K11575" t="s">
        <v>36717</v>
      </c>
      <c r="M11575" t="s">
        <v>38842</v>
      </c>
      <c r="N11575" t="s">
        <v>40436</v>
      </c>
      <c r="O11575" t="s">
        <v>40437</v>
      </c>
      <c r="P11575">
        <v>0</v>
      </c>
      <c r="Q11575">
        <v>0</v>
      </c>
      <c r="R11575" t="s">
        <v>40453</v>
      </c>
      <c r="S11575" t="s">
        <v>41237</v>
      </c>
      <c r="T11575" t="s">
        <v>42119</v>
      </c>
      <c r="U11575" t="s">
        <v>52188</v>
      </c>
      <c r="W11575" t="s">
        <v>38842</v>
      </c>
      <c r="X11575" t="s">
        <v>40458</v>
      </c>
    </row>
    <row r="11576" spans="1:24">
      <c r="A11576">
        <f>HYPERLINK("https://www.philgeps.gov.ph/GEPSNONPILOT/Tender/SplashBidNoticeAbstractUI.aspx?menuIndex=3&amp;refID=7017081&amp;Result=3","7017081")</f>
        <v>0</v>
      </c>
      <c r="B11576" t="s">
        <v>2760</v>
      </c>
      <c r="C11576" t="s">
        <v>14156</v>
      </c>
      <c r="D11576" t="s">
        <v>16201</v>
      </c>
      <c r="E11576" t="s">
        <v>26324</v>
      </c>
      <c r="F11576" t="s">
        <v>28198</v>
      </c>
      <c r="G11576" t="s">
        <v>28205</v>
      </c>
      <c r="H11576" t="s">
        <v>28215</v>
      </c>
      <c r="I11576" t="s">
        <v>4219</v>
      </c>
      <c r="J11576" t="s">
        <v>35470</v>
      </c>
      <c r="K11576" t="s">
        <v>36701</v>
      </c>
      <c r="M11576" t="s">
        <v>40009</v>
      </c>
      <c r="N11576" t="s">
        <v>40436</v>
      </c>
      <c r="O11576" t="s">
        <v>40437</v>
      </c>
      <c r="Q11576">
        <v>4</v>
      </c>
      <c r="R11576" t="s">
        <v>40453</v>
      </c>
      <c r="S11576" t="s">
        <v>41241</v>
      </c>
      <c r="T11576" t="s">
        <v>42129</v>
      </c>
      <c r="U11576" t="s">
        <v>52189</v>
      </c>
      <c r="W11576" t="s">
        <v>40009</v>
      </c>
      <c r="X11576" t="s">
        <v>40457</v>
      </c>
    </row>
    <row r="11577" spans="1:24">
      <c r="A11577">
        <f>HYPERLINK("https://www.philgeps.gov.ph/GEPSNONPILOT/Tender/SplashBidNoticeAbstractUI.aspx?menuIndex=3&amp;refID=7014436&amp;Result=3","7014436")</f>
        <v>0</v>
      </c>
      <c r="B11577" t="s">
        <v>320</v>
      </c>
      <c r="C11577" t="s">
        <v>14157</v>
      </c>
      <c r="D11577" t="s">
        <v>16199</v>
      </c>
      <c r="E11577" t="s">
        <v>26325</v>
      </c>
      <c r="F11577" t="s">
        <v>28198</v>
      </c>
      <c r="G11577" t="s">
        <v>28205</v>
      </c>
      <c r="H11577" t="s">
        <v>28214</v>
      </c>
      <c r="I11577" t="s">
        <v>3797</v>
      </c>
      <c r="J11577" t="s">
        <v>35471</v>
      </c>
      <c r="K11577" t="s">
        <v>36689</v>
      </c>
      <c r="M11577" t="s">
        <v>37298</v>
      </c>
      <c r="N11577" t="s">
        <v>40436</v>
      </c>
      <c r="O11577" t="s">
        <v>40437</v>
      </c>
      <c r="P11577">
        <v>0</v>
      </c>
      <c r="Q11577">
        <v>1</v>
      </c>
      <c r="R11577" t="s">
        <v>40453</v>
      </c>
      <c r="S11577" t="s">
        <v>41237</v>
      </c>
      <c r="T11577" t="s">
        <v>42103</v>
      </c>
      <c r="U11577" t="s">
        <v>52190</v>
      </c>
      <c r="W11577" t="s">
        <v>37298</v>
      </c>
      <c r="X11577" t="s">
        <v>40458</v>
      </c>
    </row>
    <row r="11578" spans="1:24">
      <c r="A11578">
        <f>HYPERLINK("https://www.philgeps.gov.ph/GEPSNONPILOT/Tender/SplashBidNoticeAbstractUI.aspx?menuIndex=3&amp;refID=7016993&amp;Result=3","7016993")</f>
        <v>0</v>
      </c>
      <c r="B11578" t="s">
        <v>2912</v>
      </c>
      <c r="C11578" t="s">
        <v>14158</v>
      </c>
      <c r="D11578" t="s">
        <v>16231</v>
      </c>
      <c r="E11578" t="s">
        <v>26326</v>
      </c>
      <c r="F11578" t="s">
        <v>28198</v>
      </c>
      <c r="G11578" t="s">
        <v>28205</v>
      </c>
      <c r="H11578" t="s">
        <v>28214</v>
      </c>
      <c r="I11578" t="s">
        <v>3797</v>
      </c>
      <c r="J11578" t="s">
        <v>31166</v>
      </c>
      <c r="K11578" t="s">
        <v>36690</v>
      </c>
      <c r="M11578" t="s">
        <v>40184</v>
      </c>
      <c r="N11578" t="s">
        <v>40436</v>
      </c>
      <c r="O11578" t="s">
        <v>40437</v>
      </c>
      <c r="P11578">
        <v>0</v>
      </c>
      <c r="Q11578">
        <v>4</v>
      </c>
      <c r="R11578" t="s">
        <v>40453</v>
      </c>
      <c r="S11578" t="s">
        <v>41237</v>
      </c>
      <c r="T11578" t="s">
        <v>42119</v>
      </c>
      <c r="U11578" t="s">
        <v>52191</v>
      </c>
      <c r="W11578" t="s">
        <v>40184</v>
      </c>
      <c r="X11578" t="s">
        <v>40457</v>
      </c>
    </row>
    <row r="11579" spans="1:24">
      <c r="A11579">
        <f>HYPERLINK("https://www.philgeps.gov.ph/GEPSNONPILOT/Tender/SplashBidNoticeAbstractUI.aspx?menuIndex=3&amp;refID=7013985&amp;Result=3","7013985")</f>
        <v>0</v>
      </c>
      <c r="B11579" t="s">
        <v>1687</v>
      </c>
      <c r="C11579" t="s">
        <v>14159</v>
      </c>
      <c r="D11579" t="s">
        <v>16200</v>
      </c>
      <c r="E11579" t="s">
        <v>26327</v>
      </c>
      <c r="F11579" t="s">
        <v>28198</v>
      </c>
      <c r="G11579" t="s">
        <v>28205</v>
      </c>
      <c r="H11579" t="s">
        <v>28214</v>
      </c>
      <c r="I11579" t="s">
        <v>3797</v>
      </c>
      <c r="J11579" t="s">
        <v>28363</v>
      </c>
      <c r="K11579" t="s">
        <v>36697</v>
      </c>
      <c r="M11579" t="s">
        <v>38784</v>
      </c>
      <c r="N11579" t="s">
        <v>40436</v>
      </c>
      <c r="O11579" t="s">
        <v>40437</v>
      </c>
      <c r="P11579">
        <v>0</v>
      </c>
      <c r="Q11579">
        <v>2</v>
      </c>
      <c r="R11579" t="s">
        <v>40453</v>
      </c>
      <c r="S11579" t="s">
        <v>41237</v>
      </c>
      <c r="T11579" t="s">
        <v>42112</v>
      </c>
      <c r="U11579" t="s">
        <v>52192</v>
      </c>
      <c r="W11579" t="s">
        <v>38784</v>
      </c>
      <c r="X11579" t="s">
        <v>40459</v>
      </c>
    </row>
    <row r="11580" spans="1:24">
      <c r="A11580">
        <f>HYPERLINK("https://www.philgeps.gov.ph/GEPSNONPILOT/Tender/SplashBidNoticeAbstractUI.aspx?menuIndex=3&amp;refID=7014006&amp;Result=3","7014006")</f>
        <v>0</v>
      </c>
      <c r="B11580" t="s">
        <v>1687</v>
      </c>
      <c r="C11580" t="s">
        <v>14160</v>
      </c>
      <c r="D11580" t="s">
        <v>16200</v>
      </c>
      <c r="E11580" t="s">
        <v>26328</v>
      </c>
      <c r="F11580" t="s">
        <v>28198</v>
      </c>
      <c r="G11580" t="s">
        <v>28205</v>
      </c>
      <c r="H11580" t="s">
        <v>28214</v>
      </c>
      <c r="I11580" t="s">
        <v>3797</v>
      </c>
      <c r="J11580" t="s">
        <v>28351</v>
      </c>
      <c r="K11580" t="s">
        <v>36697</v>
      </c>
      <c r="M11580" t="s">
        <v>38784</v>
      </c>
      <c r="N11580" t="s">
        <v>40436</v>
      </c>
      <c r="O11580" t="s">
        <v>40437</v>
      </c>
      <c r="P11580">
        <v>0</v>
      </c>
      <c r="Q11580">
        <v>2</v>
      </c>
      <c r="R11580" t="s">
        <v>40453</v>
      </c>
      <c r="S11580" t="s">
        <v>41237</v>
      </c>
      <c r="T11580" t="s">
        <v>42112</v>
      </c>
      <c r="U11580" t="s">
        <v>52193</v>
      </c>
      <c r="W11580" t="s">
        <v>38784</v>
      </c>
      <c r="X11580" t="s">
        <v>40459</v>
      </c>
    </row>
    <row r="11581" spans="1:24">
      <c r="A11581">
        <f>HYPERLINK("https://www.philgeps.gov.ph/GEPSNONPILOT/Tender/SplashBidNoticeAbstractUI.aspx?menuIndex=3&amp;refID=7017584&amp;Result=3","7017584")</f>
        <v>0</v>
      </c>
      <c r="B11581" t="s">
        <v>2233</v>
      </c>
      <c r="C11581" t="s">
        <v>14161</v>
      </c>
      <c r="D11581" t="s">
        <v>16248</v>
      </c>
      <c r="E11581" t="s">
        <v>26329</v>
      </c>
      <c r="F11581" t="s">
        <v>28198</v>
      </c>
      <c r="G11581" t="s">
        <v>28205</v>
      </c>
      <c r="H11581" t="s">
        <v>28214</v>
      </c>
      <c r="I11581" t="s">
        <v>3797</v>
      </c>
      <c r="J11581" t="s">
        <v>28378</v>
      </c>
      <c r="K11581" t="s">
        <v>36701</v>
      </c>
      <c r="M11581" t="s">
        <v>39401</v>
      </c>
      <c r="N11581" t="s">
        <v>40436</v>
      </c>
      <c r="O11581" t="s">
        <v>40437</v>
      </c>
      <c r="P11581">
        <v>0</v>
      </c>
      <c r="Q11581">
        <v>0</v>
      </c>
      <c r="R11581" t="s">
        <v>40453</v>
      </c>
      <c r="S11581" t="s">
        <v>41237</v>
      </c>
      <c r="T11581" t="s">
        <v>42102</v>
      </c>
      <c r="U11581" t="s">
        <v>52194</v>
      </c>
      <c r="W11581" t="s">
        <v>39401</v>
      </c>
      <c r="X11581" t="s">
        <v>40457</v>
      </c>
    </row>
    <row r="11582" spans="1:24">
      <c r="A11582">
        <f>HYPERLINK("https://www.philgeps.gov.ph/GEPSNONPILOT/Tender/SplashBidNoticeAbstractUI.aspx?menuIndex=3&amp;refID=7017041&amp;Result=3","7017041")</f>
        <v>0</v>
      </c>
      <c r="B11582" t="s">
        <v>2912</v>
      </c>
      <c r="C11582" t="s">
        <v>14162</v>
      </c>
      <c r="D11582" t="s">
        <v>16240</v>
      </c>
      <c r="E11582" t="s">
        <v>26330</v>
      </c>
      <c r="F11582" t="s">
        <v>28198</v>
      </c>
      <c r="G11582" t="s">
        <v>28205</v>
      </c>
      <c r="H11582" t="s">
        <v>28214</v>
      </c>
      <c r="I11582" t="s">
        <v>3797</v>
      </c>
      <c r="J11582" t="s">
        <v>31166</v>
      </c>
      <c r="K11582" t="s">
        <v>36690</v>
      </c>
      <c r="M11582" t="s">
        <v>40184</v>
      </c>
      <c r="N11582" t="s">
        <v>40436</v>
      </c>
      <c r="O11582" t="s">
        <v>40437</v>
      </c>
      <c r="P11582">
        <v>0</v>
      </c>
      <c r="Q11582">
        <v>6</v>
      </c>
      <c r="R11582" t="s">
        <v>40453</v>
      </c>
      <c r="S11582" t="s">
        <v>41237</v>
      </c>
      <c r="T11582" t="s">
        <v>42163</v>
      </c>
      <c r="U11582" t="s">
        <v>52195</v>
      </c>
      <c r="W11582" t="s">
        <v>40184</v>
      </c>
      <c r="X11582" t="s">
        <v>40457</v>
      </c>
    </row>
    <row r="11583" spans="1:24">
      <c r="A11583">
        <f>HYPERLINK("https://www.philgeps.gov.ph/GEPSNONPILOT/Tender/SplashBidNoticeAbstractUI.aspx?menuIndex=3&amp;refID=7017577&amp;Result=3","7017577")</f>
        <v>0</v>
      </c>
      <c r="B11583" t="s">
        <v>2233</v>
      </c>
      <c r="C11583" t="s">
        <v>14163</v>
      </c>
      <c r="D11583" t="s">
        <v>16248</v>
      </c>
      <c r="E11583" t="s">
        <v>26331</v>
      </c>
      <c r="F11583" t="s">
        <v>28198</v>
      </c>
      <c r="G11583" t="s">
        <v>28205</v>
      </c>
      <c r="H11583" t="s">
        <v>28214</v>
      </c>
      <c r="I11583" t="s">
        <v>3797</v>
      </c>
      <c r="J11583" t="s">
        <v>28378</v>
      </c>
      <c r="K11583" t="s">
        <v>36701</v>
      </c>
      <c r="M11583" t="s">
        <v>39401</v>
      </c>
      <c r="N11583" t="s">
        <v>40436</v>
      </c>
      <c r="O11583" t="s">
        <v>40437</v>
      </c>
      <c r="P11583">
        <v>0</v>
      </c>
      <c r="Q11583">
        <v>0</v>
      </c>
      <c r="R11583" t="s">
        <v>40453</v>
      </c>
      <c r="S11583" t="s">
        <v>41237</v>
      </c>
      <c r="T11583" t="s">
        <v>42102</v>
      </c>
      <c r="U11583" t="s">
        <v>52194</v>
      </c>
      <c r="W11583" t="s">
        <v>39401</v>
      </c>
      <c r="X11583" t="s">
        <v>40457</v>
      </c>
    </row>
    <row r="11584" spans="1:24">
      <c r="A11584">
        <f>HYPERLINK("https://www.philgeps.gov.ph/GEPSNONPILOT/Tender/SplashBidNoticeAbstractUI.aspx?menuIndex=3&amp;refID=7017540&amp;Result=3","7017540")</f>
        <v>0</v>
      </c>
      <c r="B11584" t="s">
        <v>2913</v>
      </c>
      <c r="C11584" t="s">
        <v>14164</v>
      </c>
      <c r="D11584" t="s">
        <v>16204</v>
      </c>
      <c r="E11584" t="s">
        <v>14164</v>
      </c>
      <c r="F11584" t="s">
        <v>28198</v>
      </c>
      <c r="G11584" t="s">
        <v>28205</v>
      </c>
      <c r="H11584" t="s">
        <v>28217</v>
      </c>
      <c r="I11584" t="s">
        <v>28231</v>
      </c>
      <c r="J11584" t="s">
        <v>35472</v>
      </c>
      <c r="K11584" t="s">
        <v>36705</v>
      </c>
      <c r="M11584" t="s">
        <v>40185</v>
      </c>
      <c r="N11584" t="s">
        <v>40436</v>
      </c>
      <c r="O11584" t="s">
        <v>40437</v>
      </c>
      <c r="Q11584">
        <v>2</v>
      </c>
      <c r="R11584" t="s">
        <v>40453</v>
      </c>
      <c r="S11584" t="s">
        <v>41242</v>
      </c>
      <c r="T11584" t="s">
        <v>42119</v>
      </c>
      <c r="U11584" t="s">
        <v>52196</v>
      </c>
      <c r="W11584" t="s">
        <v>40185</v>
      </c>
      <c r="X11584" t="s">
        <v>40457</v>
      </c>
    </row>
    <row r="11585" spans="1:24">
      <c r="A11585">
        <f>HYPERLINK("https://www.philgeps.gov.ph/GEPSNONPILOT/Tender/SplashBidNoticeAbstractUI.aspx?menuIndex=3&amp;refID=7017599&amp;Result=3","7017599")</f>
        <v>0</v>
      </c>
      <c r="B11585" t="s">
        <v>2233</v>
      </c>
      <c r="C11585" t="s">
        <v>14165</v>
      </c>
      <c r="D11585" t="s">
        <v>16248</v>
      </c>
      <c r="E11585" t="s">
        <v>26332</v>
      </c>
      <c r="F11585" t="s">
        <v>28198</v>
      </c>
      <c r="G11585" t="s">
        <v>28205</v>
      </c>
      <c r="H11585" t="s">
        <v>28214</v>
      </c>
      <c r="I11585" t="s">
        <v>3797</v>
      </c>
      <c r="J11585" t="s">
        <v>28378</v>
      </c>
      <c r="K11585" t="s">
        <v>36701</v>
      </c>
      <c r="M11585" t="s">
        <v>39401</v>
      </c>
      <c r="N11585" t="s">
        <v>40436</v>
      </c>
      <c r="O11585" t="s">
        <v>40437</v>
      </c>
      <c r="P11585">
        <v>0</v>
      </c>
      <c r="Q11585">
        <v>0</v>
      </c>
      <c r="R11585" t="s">
        <v>40453</v>
      </c>
      <c r="S11585" t="s">
        <v>41237</v>
      </c>
      <c r="T11585" t="s">
        <v>42102</v>
      </c>
      <c r="U11585" t="s">
        <v>52194</v>
      </c>
      <c r="W11585" t="s">
        <v>39401</v>
      </c>
      <c r="X11585" t="s">
        <v>40457</v>
      </c>
    </row>
    <row r="11586" spans="1:24">
      <c r="A11586">
        <f>HYPERLINK("https://www.philgeps.gov.ph/GEPSNONPILOT/Tender/SplashBidNoticeAbstractUI.aspx?menuIndex=3&amp;refID=7017602&amp;Result=3","7017602")</f>
        <v>0</v>
      </c>
      <c r="B11586" t="s">
        <v>2573</v>
      </c>
      <c r="C11586" t="s">
        <v>14166</v>
      </c>
      <c r="D11586" t="s">
        <v>16237</v>
      </c>
      <c r="E11586" t="s">
        <v>26333</v>
      </c>
      <c r="F11586" t="s">
        <v>28198</v>
      </c>
      <c r="G11586" t="s">
        <v>28205</v>
      </c>
      <c r="H11586" t="s">
        <v>28214</v>
      </c>
      <c r="I11586" t="s">
        <v>3797</v>
      </c>
      <c r="J11586" t="s">
        <v>35473</v>
      </c>
      <c r="K11586" t="s">
        <v>36688</v>
      </c>
      <c r="M11586" t="s">
        <v>39787</v>
      </c>
      <c r="N11586" t="s">
        <v>40436</v>
      </c>
      <c r="O11586" t="s">
        <v>40437</v>
      </c>
      <c r="P11586">
        <v>0</v>
      </c>
      <c r="Q11586">
        <v>1</v>
      </c>
      <c r="R11586" t="s">
        <v>40453</v>
      </c>
      <c r="S11586" t="s">
        <v>41237</v>
      </c>
      <c r="T11586" t="s">
        <v>42129</v>
      </c>
      <c r="U11586" t="s">
        <v>52197</v>
      </c>
      <c r="W11586" t="s">
        <v>39787</v>
      </c>
      <c r="X11586" t="s">
        <v>40457</v>
      </c>
    </row>
    <row r="11587" spans="1:24">
      <c r="A11587">
        <f>HYPERLINK("https://www.philgeps.gov.ph/GEPSNONPILOT/Tender/SplashBidNoticeAbstractUI.aspx?menuIndex=3&amp;refID=7017569&amp;Result=3","7017569")</f>
        <v>0</v>
      </c>
      <c r="B11587" t="s">
        <v>2233</v>
      </c>
      <c r="C11587" t="s">
        <v>14167</v>
      </c>
      <c r="D11587" t="s">
        <v>16248</v>
      </c>
      <c r="E11587" t="s">
        <v>26334</v>
      </c>
      <c r="F11587" t="s">
        <v>28198</v>
      </c>
      <c r="G11587" t="s">
        <v>28205</v>
      </c>
      <c r="H11587" t="s">
        <v>28214</v>
      </c>
      <c r="I11587" t="s">
        <v>3797</v>
      </c>
      <c r="J11587" t="s">
        <v>28378</v>
      </c>
      <c r="K11587" t="s">
        <v>36701</v>
      </c>
      <c r="M11587" t="s">
        <v>39401</v>
      </c>
      <c r="N11587" t="s">
        <v>40436</v>
      </c>
      <c r="O11587" t="s">
        <v>40437</v>
      </c>
      <c r="P11587">
        <v>0</v>
      </c>
      <c r="Q11587">
        <v>0</v>
      </c>
      <c r="R11587" t="s">
        <v>40453</v>
      </c>
      <c r="S11587" t="s">
        <v>41237</v>
      </c>
      <c r="T11587" t="s">
        <v>42102</v>
      </c>
      <c r="U11587" t="s">
        <v>52194</v>
      </c>
      <c r="W11587" t="s">
        <v>39401</v>
      </c>
      <c r="X11587" t="s">
        <v>40457</v>
      </c>
    </row>
    <row r="11588" spans="1:24">
      <c r="A11588">
        <f>HYPERLINK("https://www.philgeps.gov.ph/GEPSNONPILOT/Tender/SplashBidNoticeAbstractUI.aspx?menuIndex=3&amp;refID=7016036&amp;Result=3","7016036")</f>
        <v>0</v>
      </c>
      <c r="B11588" t="s">
        <v>2758</v>
      </c>
      <c r="C11588" t="s">
        <v>14168</v>
      </c>
      <c r="D11588" t="s">
        <v>16200</v>
      </c>
      <c r="E11588" t="s">
        <v>26335</v>
      </c>
      <c r="F11588" t="s">
        <v>28198</v>
      </c>
      <c r="G11588" t="s">
        <v>28205</v>
      </c>
      <c r="H11588" t="s">
        <v>28215</v>
      </c>
      <c r="I11588" t="s">
        <v>28247</v>
      </c>
      <c r="J11588" t="s">
        <v>30526</v>
      </c>
      <c r="K11588" t="s">
        <v>36692</v>
      </c>
      <c r="M11588" t="s">
        <v>40007</v>
      </c>
      <c r="N11588" t="s">
        <v>40436</v>
      </c>
      <c r="O11588" t="s">
        <v>40437</v>
      </c>
      <c r="Q11588">
        <v>15</v>
      </c>
      <c r="R11588" t="s">
        <v>40453</v>
      </c>
      <c r="S11588" t="s">
        <v>41243</v>
      </c>
      <c r="T11588" t="s">
        <v>42536</v>
      </c>
      <c r="U11588" t="s">
        <v>52198</v>
      </c>
      <c r="W11588" t="s">
        <v>40007</v>
      </c>
      <c r="X11588" t="s">
        <v>40458</v>
      </c>
    </row>
    <row r="11589" spans="1:24">
      <c r="A11589">
        <f>HYPERLINK("https://www.philgeps.gov.ph/GEPSNONPILOT/Tender/SplashBidNoticeAbstractUI.aspx?menuIndex=3&amp;refID=7016959&amp;Result=3","7016959")</f>
        <v>0</v>
      </c>
      <c r="B11589" t="s">
        <v>2650</v>
      </c>
      <c r="C11589" t="s">
        <v>14169</v>
      </c>
      <c r="D11589" t="s">
        <v>16195</v>
      </c>
      <c r="E11589" t="s">
        <v>24546</v>
      </c>
      <c r="F11589" t="s">
        <v>28198</v>
      </c>
      <c r="G11589" t="s">
        <v>28205</v>
      </c>
      <c r="H11589" t="s">
        <v>28214</v>
      </c>
      <c r="I11589" t="s">
        <v>3797</v>
      </c>
      <c r="J11589" t="s">
        <v>28921</v>
      </c>
      <c r="K11589" t="s">
        <v>36689</v>
      </c>
      <c r="M11589" t="s">
        <v>39877</v>
      </c>
      <c r="N11589" t="s">
        <v>40436</v>
      </c>
      <c r="O11589" t="s">
        <v>40437</v>
      </c>
      <c r="P11589">
        <v>0</v>
      </c>
      <c r="Q11589">
        <v>3</v>
      </c>
      <c r="R11589" t="s">
        <v>40453</v>
      </c>
      <c r="S11589" t="s">
        <v>41237</v>
      </c>
      <c r="T11589" t="s">
        <v>42176</v>
      </c>
      <c r="U11589" t="s">
        <v>52199</v>
      </c>
      <c r="V11589" t="s">
        <v>55102</v>
      </c>
      <c r="W11589" t="s">
        <v>39877</v>
      </c>
      <c r="X11589" t="s">
        <v>40457</v>
      </c>
    </row>
    <row r="11590" spans="1:24">
      <c r="A11590">
        <f>HYPERLINK("https://www.philgeps.gov.ph/GEPSNONPILOT/Tender/SplashBidNoticeAbstractUI.aspx?menuIndex=3&amp;refID=7017351&amp;Result=3","7017351")</f>
        <v>0</v>
      </c>
      <c r="B11590" t="s">
        <v>2233</v>
      </c>
      <c r="C11590" t="s">
        <v>14170</v>
      </c>
      <c r="D11590" t="s">
        <v>16248</v>
      </c>
      <c r="E11590" t="s">
        <v>26336</v>
      </c>
      <c r="F11590" t="s">
        <v>28198</v>
      </c>
      <c r="G11590" t="s">
        <v>28205</v>
      </c>
      <c r="H11590" t="s">
        <v>28214</v>
      </c>
      <c r="I11590" t="s">
        <v>3797</v>
      </c>
      <c r="J11590" t="s">
        <v>28398</v>
      </c>
      <c r="K11590" t="s">
        <v>36701</v>
      </c>
      <c r="M11590" t="s">
        <v>39401</v>
      </c>
      <c r="N11590" t="s">
        <v>40436</v>
      </c>
      <c r="O11590" t="s">
        <v>40437</v>
      </c>
      <c r="P11590">
        <v>0</v>
      </c>
      <c r="Q11590">
        <v>0</v>
      </c>
      <c r="R11590" t="s">
        <v>40453</v>
      </c>
      <c r="S11590" t="s">
        <v>41237</v>
      </c>
      <c r="T11590" t="s">
        <v>42102</v>
      </c>
      <c r="U11590" t="s">
        <v>52194</v>
      </c>
      <c r="W11590" t="s">
        <v>39401</v>
      </c>
      <c r="X11590" t="s">
        <v>40457</v>
      </c>
    </row>
    <row r="11591" spans="1:24">
      <c r="A11591">
        <f>HYPERLINK("https://www.philgeps.gov.ph/GEPSNONPILOT/Tender/SplashBidNoticeAbstractUI.aspx?menuIndex=3&amp;refID=7016749&amp;Result=3","7016749")</f>
        <v>0</v>
      </c>
      <c r="B11591" t="s">
        <v>525</v>
      </c>
      <c r="C11591" t="s">
        <v>14171</v>
      </c>
      <c r="D11591" t="s">
        <v>16221</v>
      </c>
      <c r="E11591" t="s">
        <v>26337</v>
      </c>
      <c r="F11591" t="s">
        <v>28198</v>
      </c>
      <c r="G11591" t="s">
        <v>28205</v>
      </c>
      <c r="H11591" t="s">
        <v>28214</v>
      </c>
      <c r="I11591" t="s">
        <v>3797</v>
      </c>
      <c r="J11591" t="s">
        <v>28379</v>
      </c>
      <c r="K11591" t="s">
        <v>36701</v>
      </c>
      <c r="M11591" t="s">
        <v>37510</v>
      </c>
      <c r="N11591" t="s">
        <v>40436</v>
      </c>
      <c r="O11591" t="s">
        <v>40437</v>
      </c>
      <c r="P11591">
        <v>0</v>
      </c>
      <c r="Q11591">
        <v>1</v>
      </c>
      <c r="R11591" t="s">
        <v>40453</v>
      </c>
      <c r="S11591" t="s">
        <v>41237</v>
      </c>
      <c r="T11591" t="s">
        <v>42133</v>
      </c>
      <c r="U11591" t="s">
        <v>52200</v>
      </c>
      <c r="W11591" t="s">
        <v>37510</v>
      </c>
      <c r="X11591" t="s">
        <v>40457</v>
      </c>
    </row>
    <row r="11592" spans="1:24">
      <c r="A11592">
        <f>HYPERLINK("https://www.philgeps.gov.ph/GEPSNONPILOT/Tender/SplashBidNoticeAbstractUI.aspx?menuIndex=3&amp;refID=7016780&amp;Result=3","7016780")</f>
        <v>0</v>
      </c>
      <c r="B11592" t="s">
        <v>2758</v>
      </c>
      <c r="C11592" t="s">
        <v>14172</v>
      </c>
      <c r="D11592" t="s">
        <v>16200</v>
      </c>
      <c r="E11592" t="s">
        <v>16625</v>
      </c>
      <c r="F11592" t="s">
        <v>28198</v>
      </c>
      <c r="G11592" t="s">
        <v>28205</v>
      </c>
      <c r="H11592" t="s">
        <v>28215</v>
      </c>
      <c r="I11592" t="s">
        <v>28247</v>
      </c>
      <c r="J11592" t="s">
        <v>28921</v>
      </c>
      <c r="K11592" t="s">
        <v>36692</v>
      </c>
      <c r="M11592" t="s">
        <v>40007</v>
      </c>
      <c r="N11592" t="s">
        <v>40436</v>
      </c>
      <c r="O11592" t="s">
        <v>40437</v>
      </c>
      <c r="Q11592">
        <v>12</v>
      </c>
      <c r="R11592" t="s">
        <v>40453</v>
      </c>
      <c r="S11592" t="s">
        <v>41244</v>
      </c>
      <c r="T11592" t="s">
        <v>42578</v>
      </c>
      <c r="U11592" t="s">
        <v>52201</v>
      </c>
      <c r="W11592" t="s">
        <v>40007</v>
      </c>
      <c r="X11592" t="s">
        <v>40457</v>
      </c>
    </row>
    <row r="11593" spans="1:24">
      <c r="A11593">
        <f>HYPERLINK("https://www.philgeps.gov.ph/GEPSNONPILOT/Tender/SplashBidNoticeAbstractUI.aspx?menuIndex=3&amp;refID=7017792&amp;Result=3","7017792")</f>
        <v>0</v>
      </c>
      <c r="B11593" t="s">
        <v>2233</v>
      </c>
      <c r="C11593" t="s">
        <v>14173</v>
      </c>
      <c r="D11593" t="s">
        <v>16248</v>
      </c>
      <c r="E11593" t="s">
        <v>26338</v>
      </c>
      <c r="F11593" t="s">
        <v>28198</v>
      </c>
      <c r="G11593" t="s">
        <v>28205</v>
      </c>
      <c r="H11593" t="s">
        <v>28214</v>
      </c>
      <c r="I11593" t="s">
        <v>3797</v>
      </c>
      <c r="J11593" t="s">
        <v>28398</v>
      </c>
      <c r="K11593" t="s">
        <v>36709</v>
      </c>
      <c r="M11593" t="s">
        <v>39401</v>
      </c>
      <c r="N11593" t="s">
        <v>40436</v>
      </c>
      <c r="O11593" t="s">
        <v>40437</v>
      </c>
      <c r="P11593">
        <v>0</v>
      </c>
      <c r="Q11593">
        <v>0</v>
      </c>
      <c r="R11593" t="s">
        <v>40453</v>
      </c>
      <c r="S11593" t="s">
        <v>41237</v>
      </c>
      <c r="T11593" t="s">
        <v>42102</v>
      </c>
      <c r="U11593" t="s">
        <v>52194</v>
      </c>
      <c r="W11593" t="s">
        <v>39401</v>
      </c>
      <c r="X11593" t="s">
        <v>40457</v>
      </c>
    </row>
    <row r="11594" spans="1:24">
      <c r="A11594">
        <f>HYPERLINK("https://www.philgeps.gov.ph/GEPSNONPILOT/Tender/SplashBidNoticeAbstractUI.aspx?menuIndex=3&amp;refID=7017342&amp;Result=3","7017342")</f>
        <v>0</v>
      </c>
      <c r="B11594" t="s">
        <v>2914</v>
      </c>
      <c r="C11594" t="s">
        <v>14174</v>
      </c>
      <c r="D11594" t="s">
        <v>16203</v>
      </c>
      <c r="E11594" t="s">
        <v>26339</v>
      </c>
      <c r="F11594" t="s">
        <v>28198</v>
      </c>
      <c r="G11594" t="s">
        <v>28205</v>
      </c>
      <c r="H11594" t="s">
        <v>28214</v>
      </c>
      <c r="I11594" t="s">
        <v>3797</v>
      </c>
      <c r="J11594" t="s">
        <v>28378</v>
      </c>
      <c r="K11594" t="s">
        <v>36701</v>
      </c>
      <c r="M11594" t="s">
        <v>40186</v>
      </c>
      <c r="N11594" t="s">
        <v>40436</v>
      </c>
      <c r="O11594" t="s">
        <v>40437</v>
      </c>
      <c r="P11594">
        <v>0</v>
      </c>
      <c r="Q11594">
        <v>0</v>
      </c>
      <c r="R11594" t="s">
        <v>40453</v>
      </c>
      <c r="S11594" t="s">
        <v>41237</v>
      </c>
      <c r="T11594" t="s">
        <v>42103</v>
      </c>
      <c r="U11594" t="s">
        <v>52202</v>
      </c>
      <c r="V11594" t="s">
        <v>55103</v>
      </c>
      <c r="W11594" t="s">
        <v>40186</v>
      </c>
      <c r="X11594" t="s">
        <v>40457</v>
      </c>
    </row>
    <row r="11595" spans="1:24">
      <c r="A11595">
        <f>HYPERLINK("https://www.philgeps.gov.ph/GEPSNONPILOT/Tender/SplashBidNoticeAbstractUI.aspx?menuIndex=3&amp;refID=7018242&amp;Result=3","7018242")</f>
        <v>0</v>
      </c>
      <c r="B11595" t="s">
        <v>980</v>
      </c>
      <c r="C11595" t="s">
        <v>14175</v>
      </c>
      <c r="D11595" t="s">
        <v>16197</v>
      </c>
      <c r="E11595" t="s">
        <v>26340</v>
      </c>
      <c r="F11595" t="s">
        <v>28198</v>
      </c>
      <c r="G11595" t="s">
        <v>28205</v>
      </c>
      <c r="H11595" t="s">
        <v>28214</v>
      </c>
      <c r="I11595" t="s">
        <v>3797</v>
      </c>
      <c r="J11595" t="s">
        <v>35474</v>
      </c>
      <c r="K11595" t="s">
        <v>36770</v>
      </c>
      <c r="M11595" t="s">
        <v>40187</v>
      </c>
      <c r="N11595" t="s">
        <v>40436</v>
      </c>
      <c r="O11595" t="s">
        <v>40437</v>
      </c>
      <c r="Q11595">
        <v>4</v>
      </c>
      <c r="R11595" t="s">
        <v>40453</v>
      </c>
      <c r="S11595" t="s">
        <v>41245</v>
      </c>
      <c r="T11595" t="s">
        <v>42390</v>
      </c>
      <c r="U11595" t="s">
        <v>52203</v>
      </c>
      <c r="W11595" t="s">
        <v>40187</v>
      </c>
      <c r="X11595" t="s">
        <v>40457</v>
      </c>
    </row>
    <row r="11596" spans="1:24">
      <c r="A11596">
        <f>HYPERLINK("https://www.philgeps.gov.ph/GEPSNONPILOT/Tender/SplashBidNoticeAbstractUI.aspx?menuIndex=3&amp;refID=7017756&amp;Result=3","7017756")</f>
        <v>0</v>
      </c>
      <c r="B11596" t="s">
        <v>2233</v>
      </c>
      <c r="C11596" t="s">
        <v>14176</v>
      </c>
      <c r="D11596" t="s">
        <v>16248</v>
      </c>
      <c r="E11596" t="s">
        <v>26341</v>
      </c>
      <c r="F11596" t="s">
        <v>28198</v>
      </c>
      <c r="G11596" t="s">
        <v>28205</v>
      </c>
      <c r="H11596" t="s">
        <v>28214</v>
      </c>
      <c r="I11596" t="s">
        <v>3797</v>
      </c>
      <c r="J11596" t="s">
        <v>28393</v>
      </c>
      <c r="K11596" t="s">
        <v>36694</v>
      </c>
      <c r="M11596" t="s">
        <v>39401</v>
      </c>
      <c r="N11596" t="s">
        <v>40436</v>
      </c>
      <c r="O11596" t="s">
        <v>40437</v>
      </c>
      <c r="P11596">
        <v>0</v>
      </c>
      <c r="Q11596">
        <v>0</v>
      </c>
      <c r="R11596" t="s">
        <v>40453</v>
      </c>
      <c r="S11596" t="s">
        <v>41237</v>
      </c>
      <c r="T11596" t="s">
        <v>42102</v>
      </c>
      <c r="U11596" t="s">
        <v>52194</v>
      </c>
      <c r="W11596" t="s">
        <v>39401</v>
      </c>
      <c r="X11596" t="s">
        <v>40457</v>
      </c>
    </row>
    <row r="11597" spans="1:24">
      <c r="A11597">
        <f>HYPERLINK("https://www.philgeps.gov.ph/GEPSNONPILOT/Tender/SplashBidNoticeAbstractUI.aspx?menuIndex=3&amp;refID=7016809&amp;Result=3","7016809")</f>
        <v>0</v>
      </c>
      <c r="B11597" t="s">
        <v>525</v>
      </c>
      <c r="C11597" t="s">
        <v>14177</v>
      </c>
      <c r="D11597" t="s">
        <v>16221</v>
      </c>
      <c r="E11597" t="s">
        <v>26342</v>
      </c>
      <c r="F11597" t="s">
        <v>28198</v>
      </c>
      <c r="G11597" t="s">
        <v>28205</v>
      </c>
      <c r="H11597" t="s">
        <v>28214</v>
      </c>
      <c r="I11597" t="s">
        <v>3797</v>
      </c>
      <c r="J11597" t="s">
        <v>28699</v>
      </c>
      <c r="K11597" t="s">
        <v>36697</v>
      </c>
      <c r="M11597" t="s">
        <v>37510</v>
      </c>
      <c r="N11597" t="s">
        <v>40436</v>
      </c>
      <c r="O11597" t="s">
        <v>40437</v>
      </c>
      <c r="P11597">
        <v>0</v>
      </c>
      <c r="Q11597">
        <v>1</v>
      </c>
      <c r="R11597" t="s">
        <v>40453</v>
      </c>
      <c r="S11597" t="s">
        <v>41237</v>
      </c>
      <c r="T11597" t="s">
        <v>42177</v>
      </c>
      <c r="U11597" t="s">
        <v>52204</v>
      </c>
      <c r="W11597" t="s">
        <v>37510</v>
      </c>
      <c r="X11597" t="s">
        <v>40457</v>
      </c>
    </row>
    <row r="11598" spans="1:24">
      <c r="A11598">
        <f>HYPERLINK("https://www.philgeps.gov.ph/GEPSNONPILOT/Tender/SplashBidNoticeAbstractUI.aspx?menuIndex=3&amp;refID=7018241&amp;Result=3","7018241")</f>
        <v>0</v>
      </c>
      <c r="B11598" t="s">
        <v>2233</v>
      </c>
      <c r="C11598" t="s">
        <v>14178</v>
      </c>
      <c r="D11598" t="s">
        <v>16248</v>
      </c>
      <c r="E11598" t="s">
        <v>26343</v>
      </c>
      <c r="F11598" t="s">
        <v>28198</v>
      </c>
      <c r="G11598" t="s">
        <v>28205</v>
      </c>
      <c r="H11598" t="s">
        <v>28215</v>
      </c>
      <c r="I11598" t="s">
        <v>5082</v>
      </c>
      <c r="J11598" t="s">
        <v>35475</v>
      </c>
      <c r="K11598" t="s">
        <v>36736</v>
      </c>
      <c r="M11598" t="s">
        <v>39401</v>
      </c>
      <c r="N11598" t="s">
        <v>40436</v>
      </c>
      <c r="O11598" t="s">
        <v>40437</v>
      </c>
      <c r="P11598">
        <v>0</v>
      </c>
      <c r="Q11598">
        <v>5</v>
      </c>
      <c r="R11598" t="s">
        <v>40453</v>
      </c>
      <c r="S11598" t="s">
        <v>41237</v>
      </c>
      <c r="T11598" t="s">
        <v>42119</v>
      </c>
      <c r="U11598" t="s">
        <v>52205</v>
      </c>
      <c r="V11598" t="s">
        <v>55104</v>
      </c>
      <c r="W11598" t="s">
        <v>39401</v>
      </c>
      <c r="X11598" t="s">
        <v>40457</v>
      </c>
    </row>
    <row r="11599" spans="1:24">
      <c r="A11599">
        <f>HYPERLINK("https://www.philgeps.gov.ph/GEPSNONPILOT/Tender/SplashBidNoticeAbstractUI.aspx?menuIndex=3&amp;refID=7017746&amp;Result=3","7017746")</f>
        <v>0</v>
      </c>
      <c r="B11599" t="s">
        <v>2233</v>
      </c>
      <c r="C11599" t="s">
        <v>14179</v>
      </c>
      <c r="D11599" t="s">
        <v>16248</v>
      </c>
      <c r="E11599" t="s">
        <v>26344</v>
      </c>
      <c r="F11599" t="s">
        <v>28198</v>
      </c>
      <c r="G11599" t="s">
        <v>28205</v>
      </c>
      <c r="H11599" t="s">
        <v>28214</v>
      </c>
      <c r="I11599" t="s">
        <v>3797</v>
      </c>
      <c r="J11599" t="s">
        <v>28398</v>
      </c>
      <c r="K11599" t="s">
        <v>36701</v>
      </c>
      <c r="M11599" t="s">
        <v>39401</v>
      </c>
      <c r="N11599" t="s">
        <v>40436</v>
      </c>
      <c r="O11599" t="s">
        <v>40437</v>
      </c>
      <c r="P11599">
        <v>0</v>
      </c>
      <c r="Q11599">
        <v>0</v>
      </c>
      <c r="R11599" t="s">
        <v>40453</v>
      </c>
      <c r="S11599" t="s">
        <v>41237</v>
      </c>
      <c r="T11599" t="s">
        <v>42102</v>
      </c>
      <c r="U11599" t="s">
        <v>52194</v>
      </c>
      <c r="W11599" t="s">
        <v>39401</v>
      </c>
      <c r="X11599" t="s">
        <v>40457</v>
      </c>
    </row>
    <row r="11600" spans="1:24">
      <c r="A11600">
        <f>HYPERLINK("https://www.philgeps.gov.ph/GEPSNONPILOT/Tender/SplashBidNoticeAbstractUI.aspx?menuIndex=3&amp;refID=7018302&amp;Result=3","7018302")</f>
        <v>0</v>
      </c>
      <c r="B11600" t="s">
        <v>2413</v>
      </c>
      <c r="C11600" t="s">
        <v>14180</v>
      </c>
      <c r="D11600" t="s">
        <v>16191</v>
      </c>
      <c r="E11600" t="s">
        <v>26345</v>
      </c>
      <c r="F11600" t="s">
        <v>28198</v>
      </c>
      <c r="G11600" t="s">
        <v>28205</v>
      </c>
      <c r="H11600" t="s">
        <v>28217</v>
      </c>
      <c r="I11600" t="s">
        <v>28325</v>
      </c>
      <c r="J11600" t="s">
        <v>35476</v>
      </c>
      <c r="K11600" t="s">
        <v>36697</v>
      </c>
      <c r="M11600" t="s">
        <v>39653</v>
      </c>
      <c r="N11600" t="s">
        <v>40436</v>
      </c>
      <c r="O11600" t="s">
        <v>40437</v>
      </c>
      <c r="Q11600">
        <v>4</v>
      </c>
      <c r="R11600" t="s">
        <v>40453</v>
      </c>
      <c r="S11600" t="s">
        <v>41246</v>
      </c>
      <c r="T11600" t="s">
        <v>42134</v>
      </c>
      <c r="U11600" t="s">
        <v>49378</v>
      </c>
      <c r="V11600" t="s">
        <v>54644</v>
      </c>
      <c r="W11600" t="s">
        <v>39653</v>
      </c>
      <c r="X11600" t="s">
        <v>40457</v>
      </c>
    </row>
    <row r="11601" spans="1:24">
      <c r="A11601">
        <f>HYPERLINK("https://www.philgeps.gov.ph/GEPSNONPILOT/Tender/SplashBidNoticeAbstractUI.aspx?menuIndex=3&amp;refID=7017807&amp;Result=3","7017807")</f>
        <v>0</v>
      </c>
      <c r="B11601" t="s">
        <v>2233</v>
      </c>
      <c r="C11601" t="s">
        <v>14181</v>
      </c>
      <c r="D11601" t="s">
        <v>16248</v>
      </c>
      <c r="E11601" t="s">
        <v>26346</v>
      </c>
      <c r="F11601" t="s">
        <v>28198</v>
      </c>
      <c r="G11601" t="s">
        <v>28205</v>
      </c>
      <c r="H11601" t="s">
        <v>28214</v>
      </c>
      <c r="I11601" t="s">
        <v>3797</v>
      </c>
      <c r="J11601" t="s">
        <v>28415</v>
      </c>
      <c r="K11601" t="s">
        <v>36701</v>
      </c>
      <c r="M11601" t="s">
        <v>39401</v>
      </c>
      <c r="N11601" t="s">
        <v>40436</v>
      </c>
      <c r="O11601" t="s">
        <v>40437</v>
      </c>
      <c r="P11601">
        <v>0</v>
      </c>
      <c r="Q11601">
        <v>0</v>
      </c>
      <c r="R11601" t="s">
        <v>40453</v>
      </c>
      <c r="S11601" t="s">
        <v>41237</v>
      </c>
      <c r="T11601" t="s">
        <v>42102</v>
      </c>
      <c r="U11601" t="s">
        <v>52194</v>
      </c>
      <c r="W11601" t="s">
        <v>39401</v>
      </c>
      <c r="X11601" t="s">
        <v>40457</v>
      </c>
    </row>
    <row r="11602" spans="1:24">
      <c r="A11602">
        <f>HYPERLINK("https://www.philgeps.gov.ph/GEPSNONPILOT/Tender/SplashBidNoticeAbstractUI.aspx?menuIndex=3&amp;refID=7017686&amp;Result=3","7017686")</f>
        <v>0</v>
      </c>
      <c r="B11602" t="s">
        <v>2860</v>
      </c>
      <c r="C11602" t="s">
        <v>14182</v>
      </c>
      <c r="D11602" t="s">
        <v>16195</v>
      </c>
      <c r="E11602" t="s">
        <v>26347</v>
      </c>
      <c r="F11602" t="s">
        <v>28198</v>
      </c>
      <c r="G11602" t="s">
        <v>28205</v>
      </c>
      <c r="H11602" t="s">
        <v>28215</v>
      </c>
      <c r="I11602" t="s">
        <v>5100</v>
      </c>
      <c r="J11602" t="s">
        <v>35477</v>
      </c>
      <c r="K11602" t="s">
        <v>36688</v>
      </c>
      <c r="M11602" t="s">
        <v>40122</v>
      </c>
      <c r="N11602" t="s">
        <v>40436</v>
      </c>
      <c r="O11602" t="s">
        <v>40437</v>
      </c>
      <c r="P11602">
        <v>0</v>
      </c>
      <c r="Q11602">
        <v>0</v>
      </c>
      <c r="R11602" t="s">
        <v>40453</v>
      </c>
      <c r="S11602" t="s">
        <v>41237</v>
      </c>
      <c r="T11602" t="s">
        <v>42136</v>
      </c>
      <c r="U11602" t="s">
        <v>52206</v>
      </c>
      <c r="V11602" t="s">
        <v>55105</v>
      </c>
      <c r="W11602" t="s">
        <v>40122</v>
      </c>
      <c r="X11602" t="s">
        <v>40457</v>
      </c>
    </row>
    <row r="11603" spans="1:24">
      <c r="A11603">
        <f>HYPERLINK("https://www.philgeps.gov.ph/GEPSNONPILOT/Tender/SplashBidNoticeAbstractUI.aspx?menuIndex=3&amp;refID=7017678&amp;Result=3","7017678")</f>
        <v>0</v>
      </c>
      <c r="B11603" t="s">
        <v>2233</v>
      </c>
      <c r="C11603" t="s">
        <v>14183</v>
      </c>
      <c r="D11603" t="s">
        <v>16248</v>
      </c>
      <c r="E11603" t="s">
        <v>26348</v>
      </c>
      <c r="F11603" t="s">
        <v>28198</v>
      </c>
      <c r="G11603" t="s">
        <v>28205</v>
      </c>
      <c r="H11603" t="s">
        <v>28214</v>
      </c>
      <c r="I11603" t="s">
        <v>3797</v>
      </c>
      <c r="J11603" t="s">
        <v>28393</v>
      </c>
      <c r="K11603" t="s">
        <v>36701</v>
      </c>
      <c r="M11603" t="s">
        <v>39401</v>
      </c>
      <c r="N11603" t="s">
        <v>40436</v>
      </c>
      <c r="O11603" t="s">
        <v>40437</v>
      </c>
      <c r="P11603">
        <v>0</v>
      </c>
      <c r="Q11603">
        <v>0</v>
      </c>
      <c r="R11603" t="s">
        <v>40453</v>
      </c>
      <c r="S11603" t="s">
        <v>41237</v>
      </c>
      <c r="T11603" t="s">
        <v>42102</v>
      </c>
      <c r="U11603" t="s">
        <v>52194</v>
      </c>
      <c r="W11603" t="s">
        <v>39401</v>
      </c>
      <c r="X11603" t="s">
        <v>40457</v>
      </c>
    </row>
    <row r="11604" spans="1:24">
      <c r="A11604">
        <f>HYPERLINK("https://www.philgeps.gov.ph/GEPSNONPILOT/Tender/SplashBidNoticeAbstractUI.aspx?menuIndex=3&amp;refID=7017774&amp;Result=3","7017774")</f>
        <v>0</v>
      </c>
      <c r="B11604" t="s">
        <v>2233</v>
      </c>
      <c r="C11604" t="s">
        <v>14184</v>
      </c>
      <c r="D11604" t="s">
        <v>16248</v>
      </c>
      <c r="E11604" t="s">
        <v>26349</v>
      </c>
      <c r="F11604" t="s">
        <v>28198</v>
      </c>
      <c r="G11604" t="s">
        <v>28205</v>
      </c>
      <c r="H11604" t="s">
        <v>28214</v>
      </c>
      <c r="I11604" t="s">
        <v>3797</v>
      </c>
      <c r="J11604" t="s">
        <v>28661</v>
      </c>
      <c r="K11604" t="s">
        <v>36709</v>
      </c>
      <c r="M11604" t="s">
        <v>39401</v>
      </c>
      <c r="N11604" t="s">
        <v>40436</v>
      </c>
      <c r="O11604" t="s">
        <v>40437</v>
      </c>
      <c r="P11604">
        <v>0</v>
      </c>
      <c r="Q11604">
        <v>0</v>
      </c>
      <c r="R11604" t="s">
        <v>40453</v>
      </c>
      <c r="S11604" t="s">
        <v>41237</v>
      </c>
      <c r="T11604" t="s">
        <v>42102</v>
      </c>
      <c r="U11604" t="s">
        <v>52194</v>
      </c>
      <c r="W11604" t="s">
        <v>39401</v>
      </c>
      <c r="X11604" t="s">
        <v>40457</v>
      </c>
    </row>
    <row r="11605" spans="1:24">
      <c r="A11605">
        <f>HYPERLINK("https://www.philgeps.gov.ph/GEPSNONPILOT/Tender/SplashBidNoticeAbstractUI.aspx?menuIndex=3&amp;refID=7017767&amp;Result=3","7017767")</f>
        <v>0</v>
      </c>
      <c r="B11605" t="s">
        <v>2233</v>
      </c>
      <c r="C11605" t="s">
        <v>14185</v>
      </c>
      <c r="D11605" t="s">
        <v>16248</v>
      </c>
      <c r="E11605" t="s">
        <v>26350</v>
      </c>
      <c r="F11605" t="s">
        <v>28198</v>
      </c>
      <c r="G11605" t="s">
        <v>28205</v>
      </c>
      <c r="H11605" t="s">
        <v>28214</v>
      </c>
      <c r="I11605" t="s">
        <v>3797</v>
      </c>
      <c r="J11605" t="s">
        <v>28561</v>
      </c>
      <c r="K11605" t="s">
        <v>36715</v>
      </c>
      <c r="M11605" t="s">
        <v>39401</v>
      </c>
      <c r="N11605" t="s">
        <v>40436</v>
      </c>
      <c r="O11605" t="s">
        <v>40437</v>
      </c>
      <c r="P11605">
        <v>0</v>
      </c>
      <c r="Q11605">
        <v>0</v>
      </c>
      <c r="R11605" t="s">
        <v>40453</v>
      </c>
      <c r="S11605" t="s">
        <v>41237</v>
      </c>
      <c r="T11605" t="s">
        <v>42102</v>
      </c>
      <c r="U11605" t="s">
        <v>52194</v>
      </c>
      <c r="W11605" t="s">
        <v>39401</v>
      </c>
      <c r="X11605" t="s">
        <v>40457</v>
      </c>
    </row>
    <row r="11606" spans="1:24">
      <c r="A11606">
        <f>HYPERLINK("https://www.philgeps.gov.ph/GEPSNONPILOT/Tender/SplashBidNoticeAbstractUI.aspx?menuIndex=3&amp;refID=7017706&amp;Result=3","7017706")</f>
        <v>0</v>
      </c>
      <c r="B11606" t="s">
        <v>2233</v>
      </c>
      <c r="C11606" t="s">
        <v>14186</v>
      </c>
      <c r="D11606" t="s">
        <v>16248</v>
      </c>
      <c r="E11606" t="s">
        <v>26351</v>
      </c>
      <c r="F11606" t="s">
        <v>28198</v>
      </c>
      <c r="G11606" t="s">
        <v>28205</v>
      </c>
      <c r="H11606" t="s">
        <v>28214</v>
      </c>
      <c r="I11606" t="s">
        <v>3797</v>
      </c>
      <c r="J11606" t="s">
        <v>28378</v>
      </c>
      <c r="K11606" t="s">
        <v>36701</v>
      </c>
      <c r="M11606" t="s">
        <v>39401</v>
      </c>
      <c r="N11606" t="s">
        <v>40436</v>
      </c>
      <c r="O11606" t="s">
        <v>40437</v>
      </c>
      <c r="P11606">
        <v>0</v>
      </c>
      <c r="Q11606">
        <v>0</v>
      </c>
      <c r="R11606" t="s">
        <v>40453</v>
      </c>
      <c r="S11606" t="s">
        <v>41237</v>
      </c>
      <c r="T11606" t="s">
        <v>42102</v>
      </c>
      <c r="U11606" t="s">
        <v>52194</v>
      </c>
      <c r="W11606" t="s">
        <v>39401</v>
      </c>
      <c r="X11606" t="s">
        <v>40457</v>
      </c>
    </row>
    <row r="11607" spans="1:24">
      <c r="A11607">
        <f>HYPERLINK("https://www.philgeps.gov.ph/GEPSNONPILOT/Tender/SplashBidNoticeAbstractUI.aspx?menuIndex=3&amp;refID=7017652&amp;Result=3","7017652")</f>
        <v>0</v>
      </c>
      <c r="B11607" t="s">
        <v>2233</v>
      </c>
      <c r="C11607" t="s">
        <v>14187</v>
      </c>
      <c r="D11607" t="s">
        <v>16248</v>
      </c>
      <c r="E11607" t="s">
        <v>26352</v>
      </c>
      <c r="F11607" t="s">
        <v>28198</v>
      </c>
      <c r="G11607" t="s">
        <v>28205</v>
      </c>
      <c r="H11607" t="s">
        <v>28214</v>
      </c>
      <c r="I11607" t="s">
        <v>3797</v>
      </c>
      <c r="J11607" t="s">
        <v>28661</v>
      </c>
      <c r="K11607" t="s">
        <v>36701</v>
      </c>
      <c r="M11607" t="s">
        <v>39401</v>
      </c>
      <c r="N11607" t="s">
        <v>40436</v>
      </c>
      <c r="O11607" t="s">
        <v>40437</v>
      </c>
      <c r="P11607">
        <v>0</v>
      </c>
      <c r="Q11607">
        <v>0</v>
      </c>
      <c r="R11607" t="s">
        <v>40453</v>
      </c>
      <c r="S11607" t="s">
        <v>41237</v>
      </c>
      <c r="T11607" t="s">
        <v>42102</v>
      </c>
      <c r="U11607" t="s">
        <v>52194</v>
      </c>
      <c r="W11607" t="s">
        <v>39401</v>
      </c>
      <c r="X11607" t="s">
        <v>40457</v>
      </c>
    </row>
    <row r="11608" spans="1:24">
      <c r="A11608">
        <f>HYPERLINK("https://www.philgeps.gov.ph/GEPSNONPILOT/Tender/SplashBidNoticeAbstractUI.aspx?menuIndex=3&amp;refID=7017671&amp;Result=3","7017671")</f>
        <v>0</v>
      </c>
      <c r="B11608" t="s">
        <v>2233</v>
      </c>
      <c r="C11608" t="s">
        <v>14188</v>
      </c>
      <c r="D11608" t="s">
        <v>16248</v>
      </c>
      <c r="E11608" t="s">
        <v>26353</v>
      </c>
      <c r="F11608" t="s">
        <v>28198</v>
      </c>
      <c r="G11608" t="s">
        <v>28205</v>
      </c>
      <c r="H11608" t="s">
        <v>28214</v>
      </c>
      <c r="I11608" t="s">
        <v>3797</v>
      </c>
      <c r="J11608" t="s">
        <v>28378</v>
      </c>
      <c r="K11608" t="s">
        <v>36736</v>
      </c>
      <c r="M11608" t="s">
        <v>39401</v>
      </c>
      <c r="N11608" t="s">
        <v>40436</v>
      </c>
      <c r="O11608" t="s">
        <v>40437</v>
      </c>
      <c r="P11608">
        <v>0</v>
      </c>
      <c r="Q11608">
        <v>0</v>
      </c>
      <c r="R11608" t="s">
        <v>40453</v>
      </c>
      <c r="S11608" t="s">
        <v>41237</v>
      </c>
      <c r="T11608" t="s">
        <v>42102</v>
      </c>
      <c r="U11608" t="s">
        <v>52194</v>
      </c>
      <c r="W11608" t="s">
        <v>39401</v>
      </c>
      <c r="X11608" t="s">
        <v>40457</v>
      </c>
    </row>
    <row r="11609" spans="1:24">
      <c r="A11609">
        <f>HYPERLINK("https://www.philgeps.gov.ph/GEPSNONPILOT/Tender/SplashBidNoticeAbstractUI.aspx?menuIndex=3&amp;refID=7017721&amp;Result=3","7017721")</f>
        <v>0</v>
      </c>
      <c r="B11609" t="s">
        <v>2233</v>
      </c>
      <c r="C11609" t="s">
        <v>14189</v>
      </c>
      <c r="D11609" t="s">
        <v>16248</v>
      </c>
      <c r="E11609" t="s">
        <v>26354</v>
      </c>
      <c r="F11609" t="s">
        <v>28198</v>
      </c>
      <c r="G11609" t="s">
        <v>28205</v>
      </c>
      <c r="H11609" t="s">
        <v>28214</v>
      </c>
      <c r="I11609" t="s">
        <v>3797</v>
      </c>
      <c r="J11609" t="s">
        <v>28378</v>
      </c>
      <c r="K11609" t="s">
        <v>36701</v>
      </c>
      <c r="M11609" t="s">
        <v>39401</v>
      </c>
      <c r="N11609" t="s">
        <v>40436</v>
      </c>
      <c r="O11609" t="s">
        <v>40437</v>
      </c>
      <c r="P11609">
        <v>0</v>
      </c>
      <c r="Q11609">
        <v>0</v>
      </c>
      <c r="R11609" t="s">
        <v>40453</v>
      </c>
      <c r="S11609" t="s">
        <v>41237</v>
      </c>
      <c r="T11609" t="s">
        <v>42102</v>
      </c>
      <c r="U11609" t="s">
        <v>52194</v>
      </c>
      <c r="W11609" t="s">
        <v>39401</v>
      </c>
      <c r="X11609" t="s">
        <v>40457</v>
      </c>
    </row>
    <row r="11610" spans="1:24">
      <c r="A11610">
        <f>HYPERLINK("https://www.philgeps.gov.ph/GEPSNONPILOT/Tender/SplashBidNoticeAbstractUI.aspx?menuIndex=3&amp;refID=7017734&amp;Result=3","7017734")</f>
        <v>0</v>
      </c>
      <c r="B11610" t="s">
        <v>2233</v>
      </c>
      <c r="C11610" t="s">
        <v>14190</v>
      </c>
      <c r="D11610" t="s">
        <v>16248</v>
      </c>
      <c r="E11610" t="s">
        <v>26355</v>
      </c>
      <c r="F11610" t="s">
        <v>28198</v>
      </c>
      <c r="G11610" t="s">
        <v>28205</v>
      </c>
      <c r="H11610" t="s">
        <v>28214</v>
      </c>
      <c r="I11610" t="s">
        <v>3797</v>
      </c>
      <c r="J11610" t="s">
        <v>28378</v>
      </c>
      <c r="K11610" t="s">
        <v>36701</v>
      </c>
      <c r="M11610" t="s">
        <v>39401</v>
      </c>
      <c r="N11610" t="s">
        <v>40436</v>
      </c>
      <c r="O11610" t="s">
        <v>40437</v>
      </c>
      <c r="P11610">
        <v>0</v>
      </c>
      <c r="Q11610">
        <v>0</v>
      </c>
      <c r="R11610" t="s">
        <v>40453</v>
      </c>
      <c r="S11610" t="s">
        <v>41237</v>
      </c>
      <c r="T11610" t="s">
        <v>42102</v>
      </c>
      <c r="U11610" t="s">
        <v>52194</v>
      </c>
      <c r="W11610" t="s">
        <v>39401</v>
      </c>
      <c r="X11610" t="s">
        <v>40457</v>
      </c>
    </row>
    <row r="11611" spans="1:24">
      <c r="A11611">
        <f>HYPERLINK("https://www.philgeps.gov.ph/GEPSNONPILOT/Tender/SplashBidNoticeAbstractUI.aspx?menuIndex=3&amp;refID=7017651&amp;Result=3","7017651")</f>
        <v>0</v>
      </c>
      <c r="B11611" t="s">
        <v>2573</v>
      </c>
      <c r="C11611" t="s">
        <v>14191</v>
      </c>
      <c r="D11611" t="s">
        <v>16237</v>
      </c>
      <c r="E11611" t="s">
        <v>26356</v>
      </c>
      <c r="F11611" t="s">
        <v>28198</v>
      </c>
      <c r="G11611" t="s">
        <v>28205</v>
      </c>
      <c r="H11611" t="s">
        <v>28214</v>
      </c>
      <c r="I11611" t="s">
        <v>3797</v>
      </c>
      <c r="J11611" t="s">
        <v>35478</v>
      </c>
      <c r="K11611" t="s">
        <v>36689</v>
      </c>
      <c r="M11611" t="s">
        <v>39787</v>
      </c>
      <c r="N11611" t="s">
        <v>40436</v>
      </c>
      <c r="O11611" t="s">
        <v>40437</v>
      </c>
      <c r="Q11611">
        <v>4</v>
      </c>
      <c r="R11611" t="s">
        <v>40453</v>
      </c>
      <c r="S11611" t="s">
        <v>41247</v>
      </c>
      <c r="T11611" t="s">
        <v>42129</v>
      </c>
      <c r="U11611" t="s">
        <v>52197</v>
      </c>
      <c r="W11611" t="s">
        <v>39787</v>
      </c>
      <c r="X11611" t="s">
        <v>40457</v>
      </c>
    </row>
    <row r="11612" spans="1:24">
      <c r="A11612">
        <f>HYPERLINK("https://www.philgeps.gov.ph/GEPSNONPILOT/Tender/SplashBidNoticeAbstractUI.aspx?menuIndex=3&amp;refID=7018338&amp;Result=3","7018338")</f>
        <v>0</v>
      </c>
      <c r="B11612" t="s">
        <v>2717</v>
      </c>
      <c r="C11612" t="s">
        <v>14192</v>
      </c>
      <c r="D11612" t="s">
        <v>16261</v>
      </c>
      <c r="E11612" t="s">
        <v>26357</v>
      </c>
      <c r="F11612" t="s">
        <v>28198</v>
      </c>
      <c r="G11612" t="s">
        <v>28205</v>
      </c>
      <c r="H11612" t="s">
        <v>28215</v>
      </c>
      <c r="I11612" t="s">
        <v>28222</v>
      </c>
      <c r="J11612" t="s">
        <v>28771</v>
      </c>
      <c r="K11612" t="s">
        <v>36689</v>
      </c>
      <c r="M11612" t="s">
        <v>39960</v>
      </c>
      <c r="N11612" t="s">
        <v>40436</v>
      </c>
      <c r="O11612" t="s">
        <v>40437</v>
      </c>
      <c r="P11612">
        <v>0</v>
      </c>
      <c r="Q11612">
        <v>7</v>
      </c>
      <c r="R11612" t="s">
        <v>40453</v>
      </c>
      <c r="S11612" t="s">
        <v>41237</v>
      </c>
      <c r="T11612" t="s">
        <v>42134</v>
      </c>
      <c r="U11612" t="s">
        <v>52207</v>
      </c>
      <c r="W11612" t="s">
        <v>39960</v>
      </c>
      <c r="X11612" t="s">
        <v>40457</v>
      </c>
    </row>
    <row r="11613" spans="1:24">
      <c r="A11613">
        <f>HYPERLINK("https://www.philgeps.gov.ph/GEPSNONPILOT/Tender/SplashBidNoticeAbstractUI.aspx?menuIndex=3&amp;refID=7017647&amp;Result=3","7017647")</f>
        <v>0</v>
      </c>
      <c r="B11613" t="s">
        <v>2233</v>
      </c>
      <c r="C11613" t="s">
        <v>14193</v>
      </c>
      <c r="D11613" t="s">
        <v>16248</v>
      </c>
      <c r="E11613" t="s">
        <v>26358</v>
      </c>
      <c r="F11613" t="s">
        <v>28198</v>
      </c>
      <c r="G11613" t="s">
        <v>28205</v>
      </c>
      <c r="H11613" t="s">
        <v>28214</v>
      </c>
      <c r="I11613" t="s">
        <v>3797</v>
      </c>
      <c r="J11613" t="s">
        <v>28378</v>
      </c>
      <c r="K11613" t="s">
        <v>36701</v>
      </c>
      <c r="M11613" t="s">
        <v>39401</v>
      </c>
      <c r="N11613" t="s">
        <v>40436</v>
      </c>
      <c r="O11613" t="s">
        <v>40437</v>
      </c>
      <c r="P11613">
        <v>0</v>
      </c>
      <c r="Q11613">
        <v>0</v>
      </c>
      <c r="R11613" t="s">
        <v>40453</v>
      </c>
      <c r="S11613" t="s">
        <v>41237</v>
      </c>
      <c r="T11613" t="s">
        <v>42102</v>
      </c>
      <c r="U11613" t="s">
        <v>52194</v>
      </c>
      <c r="W11613" t="s">
        <v>39401</v>
      </c>
      <c r="X11613" t="s">
        <v>40457</v>
      </c>
    </row>
    <row r="11614" spans="1:24">
      <c r="A11614">
        <f>HYPERLINK("https://www.philgeps.gov.ph/GEPSNONPILOT/Tender/SplashBidNoticeAbstractUI.aspx?menuIndex=3&amp;refID=7018855&amp;Result=3","7018855")</f>
        <v>0</v>
      </c>
      <c r="B11614" t="s">
        <v>593</v>
      </c>
      <c r="C11614" t="s">
        <v>14194</v>
      </c>
      <c r="E11614" t="s">
        <v>26359</v>
      </c>
      <c r="F11614" t="s">
        <v>28198</v>
      </c>
      <c r="G11614" t="s">
        <v>28205</v>
      </c>
      <c r="H11614" t="s">
        <v>28214</v>
      </c>
      <c r="I11614" t="s">
        <v>3797</v>
      </c>
      <c r="J11614" t="s">
        <v>29566</v>
      </c>
      <c r="K11614" t="s">
        <v>36737</v>
      </c>
      <c r="M11614" t="s">
        <v>39621</v>
      </c>
      <c r="N11614" t="s">
        <v>40436</v>
      </c>
      <c r="O11614" t="s">
        <v>40437</v>
      </c>
      <c r="Q11614">
        <v>0</v>
      </c>
      <c r="R11614" t="s">
        <v>40453</v>
      </c>
      <c r="S11614" t="s">
        <v>41248</v>
      </c>
      <c r="T11614" t="s">
        <v>42134</v>
      </c>
      <c r="U11614" t="s">
        <v>52208</v>
      </c>
      <c r="V11614" t="s">
        <v>54655</v>
      </c>
      <c r="W11614" t="s">
        <v>39621</v>
      </c>
      <c r="X11614" t="s">
        <v>40456</v>
      </c>
    </row>
    <row r="11615" spans="1:24">
      <c r="A11615">
        <f>HYPERLINK("https://www.philgeps.gov.ph/GEPSNONPILOT/Tender/SplashBidNoticeAbstractUI.aspx?menuIndex=3&amp;refID=7018376&amp;Result=3","7018376")</f>
        <v>0</v>
      </c>
      <c r="B11615" t="s">
        <v>2413</v>
      </c>
      <c r="C11615" t="s">
        <v>14195</v>
      </c>
      <c r="D11615" t="s">
        <v>16191</v>
      </c>
      <c r="E11615" t="s">
        <v>26360</v>
      </c>
      <c r="F11615" t="s">
        <v>28198</v>
      </c>
      <c r="G11615" t="s">
        <v>28205</v>
      </c>
      <c r="H11615" t="s">
        <v>28217</v>
      </c>
      <c r="I11615" t="s">
        <v>28325</v>
      </c>
      <c r="J11615" t="s">
        <v>35479</v>
      </c>
      <c r="K11615" t="s">
        <v>36717</v>
      </c>
      <c r="M11615" t="s">
        <v>39653</v>
      </c>
      <c r="N11615" t="s">
        <v>40436</v>
      </c>
      <c r="O11615" t="s">
        <v>40437</v>
      </c>
      <c r="Q11615">
        <v>2</v>
      </c>
      <c r="R11615" t="s">
        <v>40453</v>
      </c>
      <c r="S11615" t="s">
        <v>41249</v>
      </c>
      <c r="T11615" t="s">
        <v>42134</v>
      </c>
      <c r="U11615" t="s">
        <v>49378</v>
      </c>
      <c r="V11615" t="s">
        <v>54644</v>
      </c>
      <c r="W11615" t="s">
        <v>39653</v>
      </c>
      <c r="X11615" t="s">
        <v>40457</v>
      </c>
    </row>
    <row r="11616" spans="1:24">
      <c r="A11616">
        <f>HYPERLINK("https://www.philgeps.gov.ph/GEPSNONPILOT/Tender/SplashBidNoticeAbstractUI.aspx?menuIndex=3&amp;refID=7017633&amp;Result=3","7017633")</f>
        <v>0</v>
      </c>
      <c r="B11616" t="s">
        <v>2233</v>
      </c>
      <c r="C11616" t="s">
        <v>14196</v>
      </c>
      <c r="D11616" t="s">
        <v>16248</v>
      </c>
      <c r="E11616" t="s">
        <v>26361</v>
      </c>
      <c r="F11616" t="s">
        <v>28198</v>
      </c>
      <c r="G11616" t="s">
        <v>28205</v>
      </c>
      <c r="H11616" t="s">
        <v>28214</v>
      </c>
      <c r="I11616" t="s">
        <v>3797</v>
      </c>
      <c r="J11616" t="s">
        <v>28378</v>
      </c>
      <c r="K11616" t="s">
        <v>36736</v>
      </c>
      <c r="M11616" t="s">
        <v>39401</v>
      </c>
      <c r="N11616" t="s">
        <v>40436</v>
      </c>
      <c r="O11616" t="s">
        <v>40437</v>
      </c>
      <c r="P11616">
        <v>0</v>
      </c>
      <c r="Q11616">
        <v>0</v>
      </c>
      <c r="R11616" t="s">
        <v>40453</v>
      </c>
      <c r="S11616" t="s">
        <v>41237</v>
      </c>
      <c r="T11616" t="s">
        <v>42102</v>
      </c>
      <c r="U11616" t="s">
        <v>52194</v>
      </c>
      <c r="W11616" t="s">
        <v>39401</v>
      </c>
      <c r="X11616" t="s">
        <v>40457</v>
      </c>
    </row>
    <row r="11617" spans="1:24">
      <c r="A11617">
        <f>HYPERLINK("https://www.philgeps.gov.ph/GEPSNONPILOT/Tender/SplashBidNoticeAbstractUI.aspx?menuIndex=3&amp;refID=7016605&amp;Result=3","7016605")</f>
        <v>0</v>
      </c>
      <c r="B11617" t="s">
        <v>1731</v>
      </c>
      <c r="C11617" t="s">
        <v>14197</v>
      </c>
      <c r="D11617" t="s">
        <v>16193</v>
      </c>
      <c r="E11617" t="s">
        <v>26362</v>
      </c>
      <c r="F11617" t="s">
        <v>28198</v>
      </c>
      <c r="G11617" t="s">
        <v>28205</v>
      </c>
      <c r="H11617" t="s">
        <v>28214</v>
      </c>
      <c r="I11617" t="s">
        <v>3797</v>
      </c>
      <c r="J11617" t="s">
        <v>35480</v>
      </c>
      <c r="K11617" t="s">
        <v>36694</v>
      </c>
      <c r="M11617" t="s">
        <v>38842</v>
      </c>
      <c r="N11617" t="s">
        <v>40436</v>
      </c>
      <c r="O11617" t="s">
        <v>40437</v>
      </c>
      <c r="P11617">
        <v>0</v>
      </c>
      <c r="Q11617">
        <v>0</v>
      </c>
      <c r="R11617" t="s">
        <v>40453</v>
      </c>
      <c r="S11617" t="s">
        <v>41237</v>
      </c>
      <c r="T11617" t="s">
        <v>42119</v>
      </c>
      <c r="U11617" t="s">
        <v>52209</v>
      </c>
      <c r="W11617" t="s">
        <v>38842</v>
      </c>
      <c r="X11617" t="s">
        <v>40457</v>
      </c>
    </row>
    <row r="11618" spans="1:24">
      <c r="A11618">
        <f>HYPERLINK("https://www.philgeps.gov.ph/GEPSNONPILOT/Tender/SplashBidNoticeAbstractUI.aspx?menuIndex=3&amp;refID=7017625&amp;Result=3","7017625")</f>
        <v>0</v>
      </c>
      <c r="B11618" t="s">
        <v>2233</v>
      </c>
      <c r="C11618" t="s">
        <v>14198</v>
      </c>
      <c r="D11618" t="s">
        <v>16248</v>
      </c>
      <c r="E11618" t="s">
        <v>26363</v>
      </c>
      <c r="F11618" t="s">
        <v>28198</v>
      </c>
      <c r="G11618" t="s">
        <v>28205</v>
      </c>
      <c r="H11618" t="s">
        <v>28214</v>
      </c>
      <c r="I11618" t="s">
        <v>3797</v>
      </c>
      <c r="J11618" t="s">
        <v>28415</v>
      </c>
      <c r="K11618" t="s">
        <v>36701</v>
      </c>
      <c r="M11618" t="s">
        <v>39401</v>
      </c>
      <c r="N11618" t="s">
        <v>40436</v>
      </c>
      <c r="O11618" t="s">
        <v>40437</v>
      </c>
      <c r="P11618">
        <v>0</v>
      </c>
      <c r="Q11618">
        <v>0</v>
      </c>
      <c r="R11618" t="s">
        <v>40453</v>
      </c>
      <c r="S11618" t="s">
        <v>41237</v>
      </c>
      <c r="T11618" t="s">
        <v>42102</v>
      </c>
      <c r="U11618" t="s">
        <v>52194</v>
      </c>
      <c r="W11618" t="s">
        <v>39401</v>
      </c>
      <c r="X11618" t="s">
        <v>40457</v>
      </c>
    </row>
    <row r="11619" spans="1:24">
      <c r="A11619">
        <f>HYPERLINK("https://www.philgeps.gov.ph/GEPSNONPILOT/Tender/SplashBidNoticeAbstractUI.aspx?menuIndex=3&amp;refID=7018923&amp;Result=3","7018923")</f>
        <v>0</v>
      </c>
      <c r="B11619" t="s">
        <v>1023</v>
      </c>
      <c r="C11619" t="s">
        <v>14199</v>
      </c>
      <c r="D11619" t="s">
        <v>16265</v>
      </c>
      <c r="E11619" t="s">
        <v>26364</v>
      </c>
      <c r="F11619" t="s">
        <v>28198</v>
      </c>
      <c r="G11619" t="s">
        <v>28205</v>
      </c>
      <c r="H11619" t="s">
        <v>28215</v>
      </c>
      <c r="I11619" t="s">
        <v>5082</v>
      </c>
      <c r="J11619" t="s">
        <v>28358</v>
      </c>
      <c r="K11619" t="s">
        <v>36701</v>
      </c>
      <c r="M11619" t="s">
        <v>38054</v>
      </c>
      <c r="N11619" t="s">
        <v>40436</v>
      </c>
      <c r="O11619" t="s">
        <v>40437</v>
      </c>
      <c r="P11619">
        <v>0</v>
      </c>
      <c r="Q11619">
        <v>0</v>
      </c>
      <c r="R11619" t="s">
        <v>40453</v>
      </c>
      <c r="S11619" t="s">
        <v>41237</v>
      </c>
      <c r="T11619" t="s">
        <v>42133</v>
      </c>
      <c r="U11619" t="s">
        <v>52210</v>
      </c>
      <c r="W11619" t="s">
        <v>38054</v>
      </c>
      <c r="X11619" t="s">
        <v>40455</v>
      </c>
    </row>
    <row r="11620" spans="1:24">
      <c r="A11620">
        <f>HYPERLINK("https://www.philgeps.gov.ph/GEPSNONPILOT/Tender/SplashBidNoticeAbstractUI.aspx?menuIndex=3&amp;refID=7018918&amp;Result=3","7018918")</f>
        <v>0</v>
      </c>
      <c r="B11620" t="s">
        <v>1023</v>
      </c>
      <c r="C11620" t="s">
        <v>14200</v>
      </c>
      <c r="D11620" t="s">
        <v>16265</v>
      </c>
      <c r="E11620" t="s">
        <v>26364</v>
      </c>
      <c r="F11620" t="s">
        <v>28198</v>
      </c>
      <c r="G11620" t="s">
        <v>28205</v>
      </c>
      <c r="H11620" t="s">
        <v>28215</v>
      </c>
      <c r="I11620" t="s">
        <v>3422</v>
      </c>
      <c r="J11620" t="s">
        <v>29029</v>
      </c>
      <c r="K11620" t="s">
        <v>36701</v>
      </c>
      <c r="M11620" t="s">
        <v>38054</v>
      </c>
      <c r="N11620" t="s">
        <v>40436</v>
      </c>
      <c r="O11620" t="s">
        <v>40437</v>
      </c>
      <c r="P11620">
        <v>0</v>
      </c>
      <c r="Q11620">
        <v>0</v>
      </c>
      <c r="R11620" t="s">
        <v>40453</v>
      </c>
      <c r="S11620" t="s">
        <v>41237</v>
      </c>
      <c r="T11620" t="s">
        <v>42133</v>
      </c>
      <c r="U11620" t="s">
        <v>52210</v>
      </c>
      <c r="W11620" t="s">
        <v>38054</v>
      </c>
      <c r="X11620" t="s">
        <v>40455</v>
      </c>
    </row>
    <row r="11621" spans="1:24">
      <c r="A11621">
        <f>HYPERLINK("https://www.philgeps.gov.ph/GEPSNONPILOT/Tender/SplashBidNoticeAbstractUI.aspx?menuIndex=3&amp;refID=7018856&amp;Result=3","7018856")</f>
        <v>0</v>
      </c>
      <c r="B11621" t="s">
        <v>593</v>
      </c>
      <c r="C11621" t="s">
        <v>14201</v>
      </c>
      <c r="E11621" t="s">
        <v>26365</v>
      </c>
      <c r="F11621" t="s">
        <v>28198</v>
      </c>
      <c r="G11621" t="s">
        <v>28205</v>
      </c>
      <c r="H11621" t="s">
        <v>28214</v>
      </c>
      <c r="I11621" t="s">
        <v>3797</v>
      </c>
      <c r="J11621" t="s">
        <v>29632</v>
      </c>
      <c r="K11621" t="s">
        <v>36694</v>
      </c>
      <c r="M11621" t="s">
        <v>39621</v>
      </c>
      <c r="N11621" t="s">
        <v>40436</v>
      </c>
      <c r="O11621" t="s">
        <v>40437</v>
      </c>
      <c r="Q11621">
        <v>0</v>
      </c>
      <c r="R11621" t="s">
        <v>40453</v>
      </c>
      <c r="S11621" t="s">
        <v>41250</v>
      </c>
      <c r="T11621" t="s">
        <v>42134</v>
      </c>
      <c r="U11621" t="s">
        <v>52208</v>
      </c>
      <c r="V11621" t="s">
        <v>54655</v>
      </c>
      <c r="W11621" t="s">
        <v>39621</v>
      </c>
      <c r="X11621" t="s">
        <v>40456</v>
      </c>
    </row>
    <row r="11622" spans="1:24">
      <c r="A11622">
        <f>HYPERLINK("https://www.philgeps.gov.ph/GEPSNONPILOT/Tender/SplashBidNoticeAbstractUI.aspx?menuIndex=3&amp;refID=7018846&amp;Result=3","7018846")</f>
        <v>0</v>
      </c>
      <c r="B11622" t="s">
        <v>303</v>
      </c>
      <c r="C11622" t="s">
        <v>14202</v>
      </c>
      <c r="D11622" t="s">
        <v>16196</v>
      </c>
      <c r="E11622" t="s">
        <v>26366</v>
      </c>
      <c r="F11622" t="s">
        <v>28198</v>
      </c>
      <c r="G11622" t="s">
        <v>28205</v>
      </c>
      <c r="H11622" t="s">
        <v>28214</v>
      </c>
      <c r="I11622" t="s">
        <v>3797</v>
      </c>
      <c r="J11622" t="s">
        <v>35481</v>
      </c>
      <c r="K11622" t="s">
        <v>36697</v>
      </c>
      <c r="M11622" t="s">
        <v>37280</v>
      </c>
      <c r="N11622" t="s">
        <v>40436</v>
      </c>
      <c r="O11622" t="s">
        <v>40437</v>
      </c>
      <c r="P11622">
        <v>0</v>
      </c>
      <c r="Q11622">
        <v>14</v>
      </c>
      <c r="R11622" t="s">
        <v>40453</v>
      </c>
      <c r="S11622" t="s">
        <v>41237</v>
      </c>
      <c r="T11622" t="s">
        <v>42103</v>
      </c>
      <c r="U11622" t="s">
        <v>43100</v>
      </c>
      <c r="W11622" t="s">
        <v>37280</v>
      </c>
      <c r="X11622" t="s">
        <v>40456</v>
      </c>
    </row>
    <row r="11623" spans="1:24">
      <c r="A11623">
        <f>HYPERLINK("https://www.philgeps.gov.ph/GEPSNONPILOT/Tender/SplashBidNoticeAbstractUI.aspx?menuIndex=3&amp;refID=7018912&amp;Result=3","7018912")</f>
        <v>0</v>
      </c>
      <c r="B11623" t="s">
        <v>1023</v>
      </c>
      <c r="C11623" t="s">
        <v>14203</v>
      </c>
      <c r="D11623" t="s">
        <v>16265</v>
      </c>
      <c r="E11623" t="s">
        <v>26367</v>
      </c>
      <c r="F11623" t="s">
        <v>28198</v>
      </c>
      <c r="G11623" t="s">
        <v>28205</v>
      </c>
      <c r="H11623" t="s">
        <v>28217</v>
      </c>
      <c r="I11623" t="s">
        <v>28274</v>
      </c>
      <c r="J11623" t="s">
        <v>33120</v>
      </c>
      <c r="K11623" t="s">
        <v>36701</v>
      </c>
      <c r="M11623" t="s">
        <v>38054</v>
      </c>
      <c r="N11623" t="s">
        <v>40436</v>
      </c>
      <c r="O11623" t="s">
        <v>40437</v>
      </c>
      <c r="P11623">
        <v>0</v>
      </c>
      <c r="Q11623">
        <v>2</v>
      </c>
      <c r="R11623" t="s">
        <v>40453</v>
      </c>
      <c r="S11623" t="s">
        <v>41237</v>
      </c>
      <c r="T11623" t="s">
        <v>42133</v>
      </c>
      <c r="U11623" t="s">
        <v>52211</v>
      </c>
      <c r="W11623" t="s">
        <v>38054</v>
      </c>
      <c r="X11623" t="s">
        <v>40455</v>
      </c>
    </row>
    <row r="11624" spans="1:24">
      <c r="A11624">
        <f>HYPERLINK("https://www.philgeps.gov.ph/GEPSNONPILOT/Tender/SplashBidNoticeAbstractUI.aspx?menuIndex=3&amp;refID=7018853&amp;Result=3","7018853")</f>
        <v>0</v>
      </c>
      <c r="B11624" t="s">
        <v>593</v>
      </c>
      <c r="C11624" t="s">
        <v>14204</v>
      </c>
      <c r="E11624" t="s">
        <v>26368</v>
      </c>
      <c r="F11624" t="s">
        <v>28198</v>
      </c>
      <c r="G11624" t="s">
        <v>28205</v>
      </c>
      <c r="H11624" t="s">
        <v>28214</v>
      </c>
      <c r="I11624" t="s">
        <v>3797</v>
      </c>
      <c r="J11624" t="s">
        <v>32342</v>
      </c>
      <c r="K11624" t="s">
        <v>36717</v>
      </c>
      <c r="M11624" t="s">
        <v>39621</v>
      </c>
      <c r="N11624" t="s">
        <v>40436</v>
      </c>
      <c r="O11624" t="s">
        <v>40437</v>
      </c>
      <c r="Q11624">
        <v>0</v>
      </c>
      <c r="R11624" t="s">
        <v>40453</v>
      </c>
      <c r="S11624" t="s">
        <v>41251</v>
      </c>
      <c r="T11624" t="s">
        <v>42134</v>
      </c>
      <c r="U11624" t="s">
        <v>52208</v>
      </c>
      <c r="V11624" t="s">
        <v>54655</v>
      </c>
      <c r="W11624" t="s">
        <v>39621</v>
      </c>
      <c r="X11624" t="s">
        <v>40456</v>
      </c>
    </row>
    <row r="11625" spans="1:24">
      <c r="A11625">
        <f>HYPERLINK("https://www.philgeps.gov.ph/GEPSNONPILOT/Tender/SplashBidNoticeAbstractUI.aspx?menuIndex=3&amp;refID=7018848&amp;Result=3","7018848")</f>
        <v>0</v>
      </c>
      <c r="B11625" t="s">
        <v>303</v>
      </c>
      <c r="C11625" t="s">
        <v>14205</v>
      </c>
      <c r="D11625" t="s">
        <v>16196</v>
      </c>
      <c r="E11625" t="s">
        <v>26369</v>
      </c>
      <c r="F11625" t="s">
        <v>28198</v>
      </c>
      <c r="G11625" t="s">
        <v>28205</v>
      </c>
      <c r="H11625" t="s">
        <v>28214</v>
      </c>
      <c r="I11625" t="s">
        <v>3797</v>
      </c>
      <c r="J11625" t="s">
        <v>35482</v>
      </c>
      <c r="K11625" t="s">
        <v>36737</v>
      </c>
      <c r="M11625" t="s">
        <v>37280</v>
      </c>
      <c r="N11625" t="s">
        <v>40436</v>
      </c>
      <c r="O11625" t="s">
        <v>40437</v>
      </c>
      <c r="P11625">
        <v>0</v>
      </c>
      <c r="Q11625">
        <v>9</v>
      </c>
      <c r="R11625" t="s">
        <v>40453</v>
      </c>
      <c r="S11625" t="s">
        <v>41237</v>
      </c>
      <c r="T11625" t="s">
        <v>42103</v>
      </c>
      <c r="U11625" t="s">
        <v>43100</v>
      </c>
      <c r="W11625" t="s">
        <v>37280</v>
      </c>
      <c r="X11625" t="s">
        <v>40456</v>
      </c>
    </row>
    <row r="11626" spans="1:24">
      <c r="A11626">
        <f>HYPERLINK("https://www.philgeps.gov.ph/GEPSNONPILOT/Tender/SplashBidNoticeAbstractUI.aspx?menuIndex=3&amp;refID=7018857&amp;Result=3","7018857")</f>
        <v>0</v>
      </c>
      <c r="B11626" t="s">
        <v>593</v>
      </c>
      <c r="C11626" t="s">
        <v>14206</v>
      </c>
      <c r="E11626" t="s">
        <v>26370</v>
      </c>
      <c r="F11626" t="s">
        <v>28198</v>
      </c>
      <c r="G11626" t="s">
        <v>28205</v>
      </c>
      <c r="H11626" t="s">
        <v>28214</v>
      </c>
      <c r="I11626" t="s">
        <v>3797</v>
      </c>
      <c r="J11626" t="s">
        <v>28363</v>
      </c>
      <c r="K11626" t="s">
        <v>36715</v>
      </c>
      <c r="M11626" t="s">
        <v>39621</v>
      </c>
      <c r="N11626" t="s">
        <v>40436</v>
      </c>
      <c r="O11626" t="s">
        <v>40437</v>
      </c>
      <c r="Q11626">
        <v>0</v>
      </c>
      <c r="R11626" t="s">
        <v>40453</v>
      </c>
      <c r="S11626" t="s">
        <v>41252</v>
      </c>
      <c r="T11626" t="s">
        <v>42134</v>
      </c>
      <c r="U11626" t="s">
        <v>52208</v>
      </c>
      <c r="V11626" t="s">
        <v>54655</v>
      </c>
      <c r="W11626" t="s">
        <v>39621</v>
      </c>
      <c r="X11626" t="s">
        <v>40456</v>
      </c>
    </row>
    <row r="11627" spans="1:24">
      <c r="A11627">
        <f>HYPERLINK("https://www.philgeps.gov.ph/GEPSNONPILOT/Tender/SplashBidNoticeAbstractUI.aspx?menuIndex=3&amp;refID=7018809&amp;Result=3","7018809")</f>
        <v>0</v>
      </c>
      <c r="B11627" t="s">
        <v>64</v>
      </c>
      <c r="C11627" t="s">
        <v>14207</v>
      </c>
      <c r="D11627" t="s">
        <v>16201</v>
      </c>
      <c r="E11627" t="s">
        <v>26371</v>
      </c>
      <c r="F11627" t="s">
        <v>28198</v>
      </c>
      <c r="G11627" t="s">
        <v>28205</v>
      </c>
      <c r="H11627" t="s">
        <v>28216</v>
      </c>
      <c r="I11627" t="s">
        <v>28216</v>
      </c>
      <c r="J11627" t="s">
        <v>35483</v>
      </c>
      <c r="K11627" t="s">
        <v>36694</v>
      </c>
      <c r="M11627" t="s">
        <v>37035</v>
      </c>
      <c r="N11627" t="s">
        <v>40436</v>
      </c>
      <c r="O11627" t="s">
        <v>40437</v>
      </c>
      <c r="P11627">
        <v>0</v>
      </c>
      <c r="Q11627">
        <v>2</v>
      </c>
      <c r="R11627" t="s">
        <v>40453</v>
      </c>
      <c r="S11627" t="s">
        <v>41237</v>
      </c>
      <c r="T11627" t="s">
        <v>42134</v>
      </c>
      <c r="U11627" t="s">
        <v>52212</v>
      </c>
      <c r="W11627" t="s">
        <v>37035</v>
      </c>
      <c r="X11627" t="s">
        <v>40456</v>
      </c>
    </row>
    <row r="11628" spans="1:24">
      <c r="A11628">
        <f>HYPERLINK("https://www.philgeps.gov.ph/GEPSNONPILOT/Tender/SplashBidNoticeAbstractUI.aspx?menuIndex=3&amp;refID=7018838&amp;Result=3","7018838")</f>
        <v>0</v>
      </c>
      <c r="B11628" t="s">
        <v>303</v>
      </c>
      <c r="C11628" t="s">
        <v>14208</v>
      </c>
      <c r="D11628" t="s">
        <v>16196</v>
      </c>
      <c r="E11628" t="s">
        <v>26372</v>
      </c>
      <c r="F11628" t="s">
        <v>28198</v>
      </c>
      <c r="G11628" t="s">
        <v>28205</v>
      </c>
      <c r="H11628" t="s">
        <v>28214</v>
      </c>
      <c r="I11628" t="s">
        <v>3797</v>
      </c>
      <c r="J11628" t="s">
        <v>35484</v>
      </c>
      <c r="K11628" t="s">
        <v>36697</v>
      </c>
      <c r="M11628" t="s">
        <v>37280</v>
      </c>
      <c r="N11628" t="s">
        <v>40436</v>
      </c>
      <c r="O11628" t="s">
        <v>40437</v>
      </c>
      <c r="P11628">
        <v>0</v>
      </c>
      <c r="Q11628">
        <v>14</v>
      </c>
      <c r="R11628" t="s">
        <v>40453</v>
      </c>
      <c r="S11628" t="s">
        <v>41237</v>
      </c>
      <c r="T11628" t="s">
        <v>42103</v>
      </c>
      <c r="U11628" t="s">
        <v>43100</v>
      </c>
      <c r="W11628" t="s">
        <v>37280</v>
      </c>
      <c r="X11628" t="s">
        <v>40456</v>
      </c>
    </row>
    <row r="11629" spans="1:24">
      <c r="A11629">
        <f>HYPERLINK("https://www.philgeps.gov.ph/GEPSNONPILOT/Tender/SplashBidNoticeAbstractUI.aspx?menuIndex=3&amp;refID=7018854&amp;Result=3","7018854")</f>
        <v>0</v>
      </c>
      <c r="B11629" t="s">
        <v>593</v>
      </c>
      <c r="C11629" t="s">
        <v>14209</v>
      </c>
      <c r="E11629" t="s">
        <v>26373</v>
      </c>
      <c r="F11629" t="s">
        <v>28198</v>
      </c>
      <c r="G11629" t="s">
        <v>28205</v>
      </c>
      <c r="H11629" t="s">
        <v>28214</v>
      </c>
      <c r="I11629" t="s">
        <v>3797</v>
      </c>
      <c r="J11629" t="s">
        <v>31204</v>
      </c>
      <c r="K11629" t="s">
        <v>36717</v>
      </c>
      <c r="M11629" t="s">
        <v>39621</v>
      </c>
      <c r="N11629" t="s">
        <v>40436</v>
      </c>
      <c r="O11629" t="s">
        <v>40437</v>
      </c>
      <c r="Q11629">
        <v>0</v>
      </c>
      <c r="R11629" t="s">
        <v>40453</v>
      </c>
      <c r="S11629" t="s">
        <v>41248</v>
      </c>
      <c r="T11629" t="s">
        <v>42134</v>
      </c>
      <c r="U11629" t="s">
        <v>52208</v>
      </c>
      <c r="V11629" t="s">
        <v>54655</v>
      </c>
      <c r="W11629" t="s">
        <v>39621</v>
      </c>
      <c r="X11629" t="s">
        <v>40456</v>
      </c>
    </row>
    <row r="11630" spans="1:24">
      <c r="A11630">
        <f>HYPERLINK("https://www.philgeps.gov.ph/GEPSNONPILOT/Tender/SplashBidNoticeAbstractUI.aspx?menuIndex=3&amp;refID=7018904&amp;Result=3","7018904")</f>
        <v>0</v>
      </c>
      <c r="B11630" t="s">
        <v>1023</v>
      </c>
      <c r="C11630" t="s">
        <v>14210</v>
      </c>
      <c r="D11630" t="s">
        <v>16265</v>
      </c>
      <c r="E11630" t="s">
        <v>26374</v>
      </c>
      <c r="F11630" t="s">
        <v>28198</v>
      </c>
      <c r="G11630" t="s">
        <v>28205</v>
      </c>
      <c r="H11630" t="s">
        <v>28215</v>
      </c>
      <c r="I11630" t="s">
        <v>28258</v>
      </c>
      <c r="J11630" t="s">
        <v>28398</v>
      </c>
      <c r="K11630" t="s">
        <v>36701</v>
      </c>
      <c r="M11630" t="s">
        <v>38054</v>
      </c>
      <c r="N11630" t="s">
        <v>40436</v>
      </c>
      <c r="O11630" t="s">
        <v>40437</v>
      </c>
      <c r="P11630">
        <v>0</v>
      </c>
      <c r="Q11630">
        <v>6</v>
      </c>
      <c r="R11630" t="s">
        <v>40453</v>
      </c>
      <c r="S11630" t="s">
        <v>41237</v>
      </c>
      <c r="T11630" t="s">
        <v>42133</v>
      </c>
      <c r="U11630" t="s">
        <v>52213</v>
      </c>
      <c r="W11630" t="s">
        <v>38054</v>
      </c>
      <c r="X11630" t="s">
        <v>40455</v>
      </c>
    </row>
    <row r="11631" spans="1:24">
      <c r="A11631">
        <f>HYPERLINK("https://www.philgeps.gov.ph/GEPSNONPILOT/Tender/SplashBidNoticeAbstractUI.aspx?menuIndex=3&amp;refID=7018530&amp;Result=3","7018530")</f>
        <v>0</v>
      </c>
      <c r="B11631" t="s">
        <v>1612</v>
      </c>
      <c r="C11631" t="s">
        <v>14211</v>
      </c>
      <c r="D11631" t="s">
        <v>16232</v>
      </c>
      <c r="E11631" t="s">
        <v>26375</v>
      </c>
      <c r="F11631" t="s">
        <v>28198</v>
      </c>
      <c r="G11631" t="s">
        <v>28205</v>
      </c>
      <c r="H11631" t="s">
        <v>28214</v>
      </c>
      <c r="I11631" t="s">
        <v>3797</v>
      </c>
      <c r="J11631" t="s">
        <v>31789</v>
      </c>
      <c r="K11631" t="s">
        <v>36730</v>
      </c>
      <c r="M11631" t="s">
        <v>38699</v>
      </c>
      <c r="N11631" t="s">
        <v>40436</v>
      </c>
      <c r="O11631" t="s">
        <v>40437</v>
      </c>
      <c r="P11631">
        <v>0</v>
      </c>
      <c r="Q11631">
        <v>0</v>
      </c>
      <c r="R11631" t="s">
        <v>40453</v>
      </c>
      <c r="S11631" t="s">
        <v>41237</v>
      </c>
      <c r="T11631" t="s">
        <v>42176</v>
      </c>
      <c r="U11631" t="s">
        <v>52214</v>
      </c>
      <c r="W11631" t="s">
        <v>38699</v>
      </c>
      <c r="X11631" t="s">
        <v>40457</v>
      </c>
    </row>
    <row r="11632" spans="1:24">
      <c r="A11632">
        <f>HYPERLINK("https://www.philgeps.gov.ph/GEPSNONPILOT/Tender/SplashBidNoticeAbstractUI.aspx?menuIndex=3&amp;refID=7018843&amp;Result=3","7018843")</f>
        <v>0</v>
      </c>
      <c r="B11632" t="s">
        <v>303</v>
      </c>
      <c r="C11632" t="s">
        <v>14212</v>
      </c>
      <c r="D11632" t="s">
        <v>16196</v>
      </c>
      <c r="E11632" t="s">
        <v>26376</v>
      </c>
      <c r="F11632" t="s">
        <v>28198</v>
      </c>
      <c r="G11632" t="s">
        <v>28205</v>
      </c>
      <c r="H11632" t="s">
        <v>28214</v>
      </c>
      <c r="I11632" t="s">
        <v>3797</v>
      </c>
      <c r="J11632" t="s">
        <v>35485</v>
      </c>
      <c r="K11632" t="s">
        <v>36697</v>
      </c>
      <c r="M11632" t="s">
        <v>37280</v>
      </c>
      <c r="N11632" t="s">
        <v>40436</v>
      </c>
      <c r="O11632" t="s">
        <v>40437</v>
      </c>
      <c r="P11632">
        <v>0</v>
      </c>
      <c r="Q11632">
        <v>13</v>
      </c>
      <c r="R11632" t="s">
        <v>40453</v>
      </c>
      <c r="S11632" t="s">
        <v>41237</v>
      </c>
      <c r="T11632" t="s">
        <v>42103</v>
      </c>
      <c r="U11632" t="s">
        <v>43100</v>
      </c>
      <c r="W11632" t="s">
        <v>37280</v>
      </c>
      <c r="X11632" t="s">
        <v>40456</v>
      </c>
    </row>
    <row r="11633" spans="1:24">
      <c r="A11633">
        <f>HYPERLINK("https://www.philgeps.gov.ph/GEPSNONPILOT/Tender/SplashBidNoticeAbstractUI.aspx?menuIndex=3&amp;refID=7016163&amp;Result=3","7016163")</f>
        <v>0</v>
      </c>
      <c r="B11633" t="s">
        <v>1731</v>
      </c>
      <c r="C11633" t="s">
        <v>14213</v>
      </c>
      <c r="D11633" t="s">
        <v>16193</v>
      </c>
      <c r="E11633" t="s">
        <v>26377</v>
      </c>
      <c r="F11633" t="s">
        <v>28198</v>
      </c>
      <c r="G11633" t="s">
        <v>28205</v>
      </c>
      <c r="H11633" t="s">
        <v>28214</v>
      </c>
      <c r="I11633" t="s">
        <v>3797</v>
      </c>
      <c r="J11633" t="s">
        <v>35486</v>
      </c>
      <c r="K11633" t="s">
        <v>36737</v>
      </c>
      <c r="M11633" t="s">
        <v>38842</v>
      </c>
      <c r="N11633" t="s">
        <v>40436</v>
      </c>
      <c r="O11633" t="s">
        <v>40437</v>
      </c>
      <c r="P11633">
        <v>0</v>
      </c>
      <c r="Q11633">
        <v>0</v>
      </c>
      <c r="R11633" t="s">
        <v>40453</v>
      </c>
      <c r="S11633" t="s">
        <v>41237</v>
      </c>
      <c r="T11633" t="s">
        <v>42119</v>
      </c>
      <c r="U11633" t="s">
        <v>52215</v>
      </c>
      <c r="W11633" t="s">
        <v>38842</v>
      </c>
      <c r="X11633" t="s">
        <v>40458</v>
      </c>
    </row>
    <row r="11634" spans="1:24">
      <c r="A11634">
        <f>HYPERLINK("https://www.philgeps.gov.ph/GEPSNONPILOT/Tender/SplashBidNoticeAbstractUI.aspx?menuIndex=3&amp;refID=7018392&amp;Result=3","7018392")</f>
        <v>0</v>
      </c>
      <c r="B11634" t="s">
        <v>2413</v>
      </c>
      <c r="C11634" t="s">
        <v>14214</v>
      </c>
      <c r="D11634" t="s">
        <v>16191</v>
      </c>
      <c r="E11634" t="s">
        <v>26378</v>
      </c>
      <c r="F11634" t="s">
        <v>28198</v>
      </c>
      <c r="G11634" t="s">
        <v>28205</v>
      </c>
      <c r="H11634" t="s">
        <v>28217</v>
      </c>
      <c r="I11634" t="s">
        <v>28325</v>
      </c>
      <c r="J11634" t="s">
        <v>35452</v>
      </c>
      <c r="K11634" t="s">
        <v>36717</v>
      </c>
      <c r="M11634" t="s">
        <v>39653</v>
      </c>
      <c r="N11634" t="s">
        <v>40436</v>
      </c>
      <c r="O11634" t="s">
        <v>40437</v>
      </c>
      <c r="Q11634">
        <v>4</v>
      </c>
      <c r="R11634" t="s">
        <v>40453</v>
      </c>
      <c r="S11634" t="s">
        <v>41253</v>
      </c>
      <c r="T11634" t="s">
        <v>42134</v>
      </c>
      <c r="U11634" t="s">
        <v>49378</v>
      </c>
      <c r="V11634" t="s">
        <v>54909</v>
      </c>
      <c r="W11634" t="s">
        <v>39653</v>
      </c>
      <c r="X11634" t="s">
        <v>40457</v>
      </c>
    </row>
    <row r="11635" spans="1:24">
      <c r="A11635">
        <f>HYPERLINK("https://www.philgeps.gov.ph/GEPSNONPILOT/Tender/SplashBidNoticeAbstractUI.aspx?menuIndex=3&amp;refID=7018689&amp;Result=3","7018689")</f>
        <v>0</v>
      </c>
      <c r="B11635" t="s">
        <v>2092</v>
      </c>
      <c r="C11635" t="s">
        <v>14215</v>
      </c>
      <c r="E11635" t="s">
        <v>26379</v>
      </c>
      <c r="F11635" t="s">
        <v>28198</v>
      </c>
      <c r="G11635" t="s">
        <v>28205</v>
      </c>
      <c r="H11635" t="s">
        <v>28215</v>
      </c>
      <c r="I11635" t="s">
        <v>28231</v>
      </c>
      <c r="J11635" t="s">
        <v>35487</v>
      </c>
      <c r="K11635" t="s">
        <v>36689</v>
      </c>
      <c r="M11635" t="s">
        <v>39241</v>
      </c>
      <c r="N11635" t="s">
        <v>40436</v>
      </c>
      <c r="O11635" t="s">
        <v>40437</v>
      </c>
      <c r="Q11635">
        <v>8</v>
      </c>
      <c r="R11635" t="s">
        <v>40453</v>
      </c>
      <c r="S11635" t="s">
        <v>41254</v>
      </c>
      <c r="T11635" t="s">
        <v>42103</v>
      </c>
      <c r="U11635" t="s">
        <v>52216</v>
      </c>
      <c r="V11635" t="s">
        <v>55106</v>
      </c>
      <c r="W11635" t="s">
        <v>55506</v>
      </c>
      <c r="X11635" t="s">
        <v>40456</v>
      </c>
    </row>
    <row r="11636" spans="1:24">
      <c r="A11636">
        <f>HYPERLINK("https://www.philgeps.gov.ph/GEPSNONPILOT/Tender/SplashBidNoticeAbstractUI.aspx?menuIndex=3&amp;refID=7013517&amp;Result=3","7013517")</f>
        <v>0</v>
      </c>
      <c r="B11636" t="s">
        <v>1687</v>
      </c>
      <c r="C11636" t="s">
        <v>14216</v>
      </c>
      <c r="D11636" t="s">
        <v>16200</v>
      </c>
      <c r="E11636" t="s">
        <v>26380</v>
      </c>
      <c r="F11636" t="s">
        <v>28198</v>
      </c>
      <c r="G11636" t="s">
        <v>28205</v>
      </c>
      <c r="H11636" t="s">
        <v>28214</v>
      </c>
      <c r="I11636" t="s">
        <v>3797</v>
      </c>
      <c r="J11636" t="s">
        <v>28351</v>
      </c>
      <c r="K11636" t="s">
        <v>36694</v>
      </c>
      <c r="M11636" t="s">
        <v>38784</v>
      </c>
      <c r="N11636" t="s">
        <v>40436</v>
      </c>
      <c r="O11636" t="s">
        <v>40437</v>
      </c>
      <c r="P11636">
        <v>0</v>
      </c>
      <c r="Q11636">
        <v>2</v>
      </c>
      <c r="R11636" t="s">
        <v>40453</v>
      </c>
      <c r="S11636" t="s">
        <v>41237</v>
      </c>
      <c r="T11636" t="s">
        <v>42112</v>
      </c>
      <c r="U11636" t="s">
        <v>52193</v>
      </c>
      <c r="W11636" t="s">
        <v>38784</v>
      </c>
      <c r="X11636" t="s">
        <v>40459</v>
      </c>
    </row>
    <row r="11637" spans="1:24">
      <c r="A11637">
        <f>HYPERLINK("https://www.philgeps.gov.ph/GEPSNONPILOT/Tender/SplashBidNoticeAbstractUI.aspx?menuIndex=3&amp;refID=7024253&amp;Result=3","7024253")</f>
        <v>0</v>
      </c>
      <c r="B11637" t="s">
        <v>827</v>
      </c>
      <c r="C11637" t="s">
        <v>14140</v>
      </c>
      <c r="D11637" t="s">
        <v>16288</v>
      </c>
      <c r="E11637" t="s">
        <v>26381</v>
      </c>
      <c r="F11637" t="s">
        <v>28198</v>
      </c>
      <c r="G11637" t="s">
        <v>28205</v>
      </c>
      <c r="H11637" t="s">
        <v>28215</v>
      </c>
      <c r="I11637" t="s">
        <v>28243</v>
      </c>
      <c r="J11637" t="s">
        <v>29113</v>
      </c>
      <c r="K11637" t="s">
        <v>36694</v>
      </c>
      <c r="M11637" t="s">
        <v>37839</v>
      </c>
      <c r="N11637" t="s">
        <v>40436</v>
      </c>
      <c r="O11637" t="s">
        <v>40437</v>
      </c>
      <c r="P11637">
        <v>0</v>
      </c>
      <c r="Q11637">
        <v>7</v>
      </c>
      <c r="R11637" t="s">
        <v>40452</v>
      </c>
      <c r="S11637" t="s">
        <v>41140</v>
      </c>
      <c r="T11637" t="s">
        <v>42228</v>
      </c>
      <c r="U11637" t="s">
        <v>52217</v>
      </c>
      <c r="W11637" t="s">
        <v>37839</v>
      </c>
      <c r="X11637" t="s">
        <v>40453</v>
      </c>
    </row>
    <row r="11638" spans="1:24">
      <c r="A11638">
        <f>HYPERLINK("https://www.philgeps.gov.ph/GEPSNONPILOT/Tender/SplashBidNoticeAbstractUI.aspx?menuIndex=3&amp;refID=7016578&amp;Result=3","7016578")</f>
        <v>0</v>
      </c>
      <c r="B11638" t="s">
        <v>1731</v>
      </c>
      <c r="C11638" t="s">
        <v>14217</v>
      </c>
      <c r="D11638" t="s">
        <v>16193</v>
      </c>
      <c r="E11638" t="s">
        <v>26382</v>
      </c>
      <c r="F11638" t="s">
        <v>28198</v>
      </c>
      <c r="G11638" t="s">
        <v>28205</v>
      </c>
      <c r="H11638" t="s">
        <v>28214</v>
      </c>
      <c r="I11638" t="s">
        <v>3797</v>
      </c>
      <c r="J11638" t="s">
        <v>35488</v>
      </c>
      <c r="K11638" t="s">
        <v>36737</v>
      </c>
      <c r="M11638" t="s">
        <v>38842</v>
      </c>
      <c r="N11638" t="s">
        <v>40436</v>
      </c>
      <c r="O11638" t="s">
        <v>40437</v>
      </c>
      <c r="P11638">
        <v>0</v>
      </c>
      <c r="Q11638">
        <v>0</v>
      </c>
      <c r="R11638" t="s">
        <v>40453</v>
      </c>
      <c r="S11638" t="s">
        <v>41237</v>
      </c>
      <c r="T11638" t="s">
        <v>42119</v>
      </c>
      <c r="U11638" t="s">
        <v>52218</v>
      </c>
      <c r="W11638" t="s">
        <v>38842</v>
      </c>
      <c r="X11638" t="s">
        <v>40457</v>
      </c>
    </row>
    <row r="11639" spans="1:24">
      <c r="A11639">
        <f>HYPERLINK("https://www.philgeps.gov.ph/GEPSNONPILOT/Tender/SplashBidNoticeAbstractUI.aspx?menuIndex=3&amp;refID=7016181&amp;Result=3","7016181")</f>
        <v>0</v>
      </c>
      <c r="B11639" t="s">
        <v>1731</v>
      </c>
      <c r="C11639" t="s">
        <v>14218</v>
      </c>
      <c r="D11639" t="s">
        <v>16193</v>
      </c>
      <c r="E11639" t="s">
        <v>26383</v>
      </c>
      <c r="F11639" t="s">
        <v>28198</v>
      </c>
      <c r="G11639" t="s">
        <v>28205</v>
      </c>
      <c r="H11639" t="s">
        <v>28214</v>
      </c>
      <c r="I11639" t="s">
        <v>3797</v>
      </c>
      <c r="J11639" t="s">
        <v>35489</v>
      </c>
      <c r="K11639" t="s">
        <v>36694</v>
      </c>
      <c r="M11639" t="s">
        <v>38842</v>
      </c>
      <c r="N11639" t="s">
        <v>40436</v>
      </c>
      <c r="O11639" t="s">
        <v>40437</v>
      </c>
      <c r="P11639">
        <v>0</v>
      </c>
      <c r="Q11639">
        <v>0</v>
      </c>
      <c r="R11639" t="s">
        <v>40453</v>
      </c>
      <c r="S11639" t="s">
        <v>41237</v>
      </c>
      <c r="T11639" t="s">
        <v>42119</v>
      </c>
      <c r="U11639" t="s">
        <v>52219</v>
      </c>
      <c r="W11639" t="s">
        <v>38842</v>
      </c>
      <c r="X11639" t="s">
        <v>40458</v>
      </c>
    </row>
    <row r="11640" spans="1:24">
      <c r="A11640">
        <f>HYPERLINK("https://www.philgeps.gov.ph/GEPSNONPILOT/Tender/SplashBidNoticeAbstractUI.aspx?menuIndex=3&amp;refID=7016589&amp;Result=3","7016589")</f>
        <v>0</v>
      </c>
      <c r="B11640" t="s">
        <v>1731</v>
      </c>
      <c r="C11640" t="s">
        <v>7624</v>
      </c>
      <c r="D11640" t="s">
        <v>16193</v>
      </c>
      <c r="E11640" t="s">
        <v>26384</v>
      </c>
      <c r="F11640" t="s">
        <v>28198</v>
      </c>
      <c r="G11640" t="s">
        <v>28205</v>
      </c>
      <c r="H11640" t="s">
        <v>28214</v>
      </c>
      <c r="I11640" t="s">
        <v>3797</v>
      </c>
      <c r="J11640" t="s">
        <v>35490</v>
      </c>
      <c r="K11640" t="s">
        <v>36707</v>
      </c>
      <c r="M11640" t="s">
        <v>38842</v>
      </c>
      <c r="N11640" t="s">
        <v>40436</v>
      </c>
      <c r="O11640" t="s">
        <v>40437</v>
      </c>
      <c r="P11640">
        <v>0</v>
      </c>
      <c r="Q11640">
        <v>0</v>
      </c>
      <c r="R11640" t="s">
        <v>40453</v>
      </c>
      <c r="S11640" t="s">
        <v>41237</v>
      </c>
      <c r="T11640" t="s">
        <v>42119</v>
      </c>
      <c r="U11640" t="s">
        <v>52220</v>
      </c>
      <c r="W11640" t="s">
        <v>38842</v>
      </c>
      <c r="X11640" t="s">
        <v>40457</v>
      </c>
    </row>
    <row r="11641" spans="1:24">
      <c r="A11641">
        <f>HYPERLINK("https://www.philgeps.gov.ph/GEPSNONPILOT/Tender/SplashBidNoticeAbstractUI.aspx?menuIndex=3&amp;refID=7024240&amp;Result=3","7024240")</f>
        <v>0</v>
      </c>
      <c r="B11641" t="s">
        <v>1669</v>
      </c>
      <c r="C11641" t="s">
        <v>14219</v>
      </c>
      <c r="D11641" t="s">
        <v>16192</v>
      </c>
      <c r="E11641" t="s">
        <v>26385</v>
      </c>
      <c r="F11641" t="s">
        <v>28198</v>
      </c>
      <c r="G11641" t="s">
        <v>28205</v>
      </c>
      <c r="H11641" t="s">
        <v>28215</v>
      </c>
      <c r="I11641" t="s">
        <v>5100</v>
      </c>
      <c r="J11641" t="s">
        <v>35491</v>
      </c>
      <c r="K11641" t="s">
        <v>36689</v>
      </c>
      <c r="M11641" t="s">
        <v>39932</v>
      </c>
      <c r="N11641" t="s">
        <v>40436</v>
      </c>
      <c r="O11641" t="s">
        <v>40437</v>
      </c>
      <c r="P11641">
        <v>0</v>
      </c>
      <c r="Q11641">
        <v>0</v>
      </c>
      <c r="R11641" t="s">
        <v>40452</v>
      </c>
      <c r="S11641" t="s">
        <v>41140</v>
      </c>
      <c r="T11641" t="s">
        <v>42177</v>
      </c>
      <c r="U11641" t="s">
        <v>52167</v>
      </c>
      <c r="W11641" t="s">
        <v>55529</v>
      </c>
      <c r="X11641" t="s">
        <v>40453</v>
      </c>
    </row>
    <row r="11642" spans="1:24">
      <c r="A11642">
        <f>HYPERLINK("https://www.philgeps.gov.ph/GEPSNONPILOT/Tender/SplashBidNoticeAbstractUI.aspx?menuIndex=3&amp;refID=7018528&amp;Result=3","7018528")</f>
        <v>0</v>
      </c>
      <c r="B11642" t="s">
        <v>1612</v>
      </c>
      <c r="C11642" t="s">
        <v>14220</v>
      </c>
      <c r="D11642" t="s">
        <v>16232</v>
      </c>
      <c r="E11642" t="s">
        <v>26386</v>
      </c>
      <c r="F11642" t="s">
        <v>28198</v>
      </c>
      <c r="G11642" t="s">
        <v>28205</v>
      </c>
      <c r="H11642" t="s">
        <v>28214</v>
      </c>
      <c r="I11642" t="s">
        <v>3797</v>
      </c>
      <c r="J11642" t="s">
        <v>28468</v>
      </c>
      <c r="K11642" t="s">
        <v>36730</v>
      </c>
      <c r="M11642" t="s">
        <v>38699</v>
      </c>
      <c r="N11642" t="s">
        <v>40436</v>
      </c>
      <c r="O11642" t="s">
        <v>40437</v>
      </c>
      <c r="P11642">
        <v>0</v>
      </c>
      <c r="Q11642">
        <v>0</v>
      </c>
      <c r="R11642" t="s">
        <v>40453</v>
      </c>
      <c r="S11642" t="s">
        <v>41237</v>
      </c>
      <c r="T11642" t="s">
        <v>42176</v>
      </c>
      <c r="U11642" t="s">
        <v>52221</v>
      </c>
      <c r="W11642" t="s">
        <v>38699</v>
      </c>
      <c r="X11642" t="s">
        <v>40457</v>
      </c>
    </row>
    <row r="11643" spans="1:24">
      <c r="A11643">
        <f>HYPERLINK("https://www.philgeps.gov.ph/GEPSNONPILOT/Tender/SplashBidNoticeAbstractUI.aspx?menuIndex=3&amp;refID=7024245&amp;Result=3","7024245")</f>
        <v>0</v>
      </c>
      <c r="B11643" t="s">
        <v>1669</v>
      </c>
      <c r="C11643" t="s">
        <v>14221</v>
      </c>
      <c r="D11643" t="s">
        <v>16192</v>
      </c>
      <c r="E11643" t="s">
        <v>26387</v>
      </c>
      <c r="F11643" t="s">
        <v>28198</v>
      </c>
      <c r="G11643" t="s">
        <v>28205</v>
      </c>
      <c r="H11643" t="s">
        <v>28215</v>
      </c>
      <c r="I11643" t="s">
        <v>4168</v>
      </c>
      <c r="J11643" t="s">
        <v>35492</v>
      </c>
      <c r="K11643" t="s">
        <v>36689</v>
      </c>
      <c r="M11643" t="s">
        <v>39932</v>
      </c>
      <c r="N11643" t="s">
        <v>40436</v>
      </c>
      <c r="O11643" t="s">
        <v>40437</v>
      </c>
      <c r="P11643">
        <v>0</v>
      </c>
      <c r="Q11643">
        <v>0</v>
      </c>
      <c r="R11643" t="s">
        <v>40452</v>
      </c>
      <c r="S11643" t="s">
        <v>41140</v>
      </c>
      <c r="T11643" t="s">
        <v>42177</v>
      </c>
      <c r="U11643" t="s">
        <v>52167</v>
      </c>
      <c r="W11643" t="s">
        <v>55529</v>
      </c>
      <c r="X11643" t="s">
        <v>40453</v>
      </c>
    </row>
    <row r="11644" spans="1:24">
      <c r="A11644">
        <f>HYPERLINK("https://www.philgeps.gov.ph/GEPSNONPILOT/Tender/SplashBidNoticeAbstractUI.aspx?menuIndex=3&amp;refID=7024251&amp;Result=3","7024251")</f>
        <v>0</v>
      </c>
      <c r="B11644" t="s">
        <v>1669</v>
      </c>
      <c r="C11644" t="s">
        <v>14222</v>
      </c>
      <c r="D11644" t="s">
        <v>16192</v>
      </c>
      <c r="E11644" t="s">
        <v>26388</v>
      </c>
      <c r="F11644" t="s">
        <v>28198</v>
      </c>
      <c r="G11644" t="s">
        <v>28205</v>
      </c>
      <c r="H11644" t="s">
        <v>28215</v>
      </c>
      <c r="I11644" t="s">
        <v>28228</v>
      </c>
      <c r="J11644" t="s">
        <v>35493</v>
      </c>
      <c r="K11644" t="s">
        <v>36689</v>
      </c>
      <c r="M11644" t="s">
        <v>39932</v>
      </c>
      <c r="N11644" t="s">
        <v>40436</v>
      </c>
      <c r="O11644" t="s">
        <v>40437</v>
      </c>
      <c r="P11644">
        <v>0</v>
      </c>
      <c r="Q11644">
        <v>1</v>
      </c>
      <c r="R11644" t="s">
        <v>40452</v>
      </c>
      <c r="S11644" t="s">
        <v>41140</v>
      </c>
      <c r="T11644" t="s">
        <v>42177</v>
      </c>
      <c r="U11644" t="s">
        <v>52167</v>
      </c>
      <c r="W11644" t="s">
        <v>55529</v>
      </c>
      <c r="X11644" t="s">
        <v>40453</v>
      </c>
    </row>
    <row r="11645" spans="1:24">
      <c r="A11645">
        <f>HYPERLINK("https://www.philgeps.gov.ph/GEPSNONPILOT/Tender/SplashBidNoticeAbstractUI.aspx?menuIndex=3&amp;refID=7018928&amp;Result=3","7018928")</f>
        <v>0</v>
      </c>
      <c r="B11645" t="s">
        <v>1023</v>
      </c>
      <c r="C11645" t="s">
        <v>14223</v>
      </c>
      <c r="D11645" t="s">
        <v>16265</v>
      </c>
      <c r="E11645" t="s">
        <v>26364</v>
      </c>
      <c r="F11645" t="s">
        <v>28198</v>
      </c>
      <c r="G11645" t="s">
        <v>28205</v>
      </c>
      <c r="H11645" t="s">
        <v>28215</v>
      </c>
      <c r="I11645" t="s">
        <v>28281</v>
      </c>
      <c r="J11645" t="s">
        <v>28352</v>
      </c>
      <c r="K11645" t="s">
        <v>36701</v>
      </c>
      <c r="M11645" t="s">
        <v>38054</v>
      </c>
      <c r="N11645" t="s">
        <v>40436</v>
      </c>
      <c r="O11645" t="s">
        <v>40437</v>
      </c>
      <c r="P11645">
        <v>0</v>
      </c>
      <c r="Q11645">
        <v>2</v>
      </c>
      <c r="R11645" t="s">
        <v>40453</v>
      </c>
      <c r="S11645" t="s">
        <v>41237</v>
      </c>
      <c r="T11645" t="s">
        <v>42133</v>
      </c>
      <c r="U11645" t="s">
        <v>52210</v>
      </c>
      <c r="W11645" t="s">
        <v>38054</v>
      </c>
      <c r="X11645" t="s">
        <v>40455</v>
      </c>
    </row>
    <row r="11646" spans="1:24">
      <c r="A11646">
        <f>HYPERLINK("https://www.philgeps.gov.ph/GEPSNONPILOT/Tender/SplashBidNoticeAbstractUI.aspx?menuIndex=3&amp;refID=7018949&amp;Result=3","7018949")</f>
        <v>0</v>
      </c>
      <c r="B11646" t="s">
        <v>1023</v>
      </c>
      <c r="C11646" t="s">
        <v>14224</v>
      </c>
      <c r="E11646" t="s">
        <v>26389</v>
      </c>
      <c r="F11646" t="s">
        <v>28198</v>
      </c>
      <c r="G11646" t="s">
        <v>28205</v>
      </c>
      <c r="H11646" t="s">
        <v>28215</v>
      </c>
      <c r="I11646" t="s">
        <v>28258</v>
      </c>
      <c r="J11646" t="s">
        <v>35494</v>
      </c>
      <c r="K11646" t="s">
        <v>36701</v>
      </c>
      <c r="M11646" t="s">
        <v>38054</v>
      </c>
      <c r="N11646" t="s">
        <v>40436</v>
      </c>
      <c r="O11646" t="s">
        <v>40437</v>
      </c>
      <c r="P11646">
        <v>0</v>
      </c>
      <c r="Q11646">
        <v>1</v>
      </c>
      <c r="R11646" t="s">
        <v>40453</v>
      </c>
      <c r="S11646" t="s">
        <v>41237</v>
      </c>
      <c r="T11646" t="s">
        <v>42133</v>
      </c>
      <c r="U11646" t="s">
        <v>52222</v>
      </c>
      <c r="W11646" t="s">
        <v>38054</v>
      </c>
      <c r="X11646" t="s">
        <v>40455</v>
      </c>
    </row>
    <row r="11647" spans="1:24">
      <c r="A11647">
        <f>HYPERLINK("https://www.philgeps.gov.ph/GEPSNONPILOT/Tender/SplashBidNoticeAbstractUI.aspx?menuIndex=3&amp;refID=7018946&amp;Result=3","7018946")</f>
        <v>0</v>
      </c>
      <c r="B11647" t="s">
        <v>1023</v>
      </c>
      <c r="C11647" t="s">
        <v>14225</v>
      </c>
      <c r="D11647" t="s">
        <v>16265</v>
      </c>
      <c r="E11647" t="s">
        <v>26389</v>
      </c>
      <c r="F11647" t="s">
        <v>28198</v>
      </c>
      <c r="G11647" t="s">
        <v>28205</v>
      </c>
      <c r="H11647" t="s">
        <v>28215</v>
      </c>
      <c r="I11647" t="s">
        <v>4200</v>
      </c>
      <c r="J11647" t="s">
        <v>35495</v>
      </c>
      <c r="K11647" t="s">
        <v>36701</v>
      </c>
      <c r="M11647" t="s">
        <v>38054</v>
      </c>
      <c r="N11647" t="s">
        <v>40436</v>
      </c>
      <c r="O11647" t="s">
        <v>40437</v>
      </c>
      <c r="P11647">
        <v>0</v>
      </c>
      <c r="Q11647">
        <v>0</v>
      </c>
      <c r="R11647" t="s">
        <v>40453</v>
      </c>
      <c r="S11647" t="s">
        <v>41237</v>
      </c>
      <c r="T11647" t="s">
        <v>42133</v>
      </c>
      <c r="U11647" t="s">
        <v>52222</v>
      </c>
      <c r="W11647" t="s">
        <v>38054</v>
      </c>
      <c r="X11647" t="s">
        <v>40455</v>
      </c>
    </row>
    <row r="11648" spans="1:24">
      <c r="A11648">
        <f>HYPERLINK("https://www.philgeps.gov.ph/GEPSNONPILOT/Tender/SplashBidNoticeAbstractUI.aspx?menuIndex=3&amp;refID=7018942&amp;Result=3","7018942")</f>
        <v>0</v>
      </c>
      <c r="B11648" t="s">
        <v>1023</v>
      </c>
      <c r="C11648" t="s">
        <v>14226</v>
      </c>
      <c r="D11648" t="s">
        <v>16265</v>
      </c>
      <c r="E11648" t="s">
        <v>26390</v>
      </c>
      <c r="F11648" t="s">
        <v>28198</v>
      </c>
      <c r="G11648" t="s">
        <v>28205</v>
      </c>
      <c r="H11648" t="s">
        <v>28215</v>
      </c>
      <c r="I11648" t="s">
        <v>28256</v>
      </c>
      <c r="J11648" t="s">
        <v>29667</v>
      </c>
      <c r="K11648" t="s">
        <v>36701</v>
      </c>
      <c r="M11648" t="s">
        <v>38054</v>
      </c>
      <c r="N11648" t="s">
        <v>40436</v>
      </c>
      <c r="O11648" t="s">
        <v>40437</v>
      </c>
      <c r="P11648">
        <v>0</v>
      </c>
      <c r="Q11648">
        <v>5</v>
      </c>
      <c r="R11648" t="s">
        <v>40453</v>
      </c>
      <c r="S11648" t="s">
        <v>41237</v>
      </c>
      <c r="T11648" t="s">
        <v>42133</v>
      </c>
      <c r="U11648" t="s">
        <v>52223</v>
      </c>
      <c r="W11648" t="s">
        <v>38054</v>
      </c>
      <c r="X11648" t="s">
        <v>40455</v>
      </c>
    </row>
    <row r="11649" spans="1:24">
      <c r="A11649">
        <f>HYPERLINK("https://www.philgeps.gov.ph/GEPSNONPILOT/Tender/SplashBidNoticeAbstractUI.aspx?menuIndex=3&amp;refID=7018941&amp;Result=3","7018941")</f>
        <v>0</v>
      </c>
      <c r="B11649" t="s">
        <v>1023</v>
      </c>
      <c r="C11649" t="s">
        <v>14227</v>
      </c>
      <c r="D11649" t="s">
        <v>16265</v>
      </c>
      <c r="E11649" t="s">
        <v>26391</v>
      </c>
      <c r="F11649" t="s">
        <v>28198</v>
      </c>
      <c r="G11649" t="s">
        <v>28205</v>
      </c>
      <c r="H11649" t="s">
        <v>28215</v>
      </c>
      <c r="I11649" t="s">
        <v>28225</v>
      </c>
      <c r="J11649" t="s">
        <v>35496</v>
      </c>
      <c r="K11649" t="s">
        <v>36701</v>
      </c>
      <c r="M11649" t="s">
        <v>38054</v>
      </c>
      <c r="N11649" t="s">
        <v>40436</v>
      </c>
      <c r="O11649" t="s">
        <v>40437</v>
      </c>
      <c r="P11649">
        <v>0</v>
      </c>
      <c r="Q11649">
        <v>3</v>
      </c>
      <c r="R11649" t="s">
        <v>40453</v>
      </c>
      <c r="S11649" t="s">
        <v>41237</v>
      </c>
      <c r="T11649" t="s">
        <v>42133</v>
      </c>
      <c r="U11649" t="s">
        <v>52224</v>
      </c>
      <c r="W11649" t="s">
        <v>38054</v>
      </c>
      <c r="X11649" t="s">
        <v>40455</v>
      </c>
    </row>
    <row r="11650" spans="1:24">
      <c r="A11650">
        <f>HYPERLINK("https://www.philgeps.gov.ph/GEPSNONPILOT/Tender/SplashBidNoticeAbstractUI.aspx?menuIndex=3&amp;refID=7018982&amp;Result=3","7018982")</f>
        <v>0</v>
      </c>
      <c r="B11650" t="s">
        <v>589</v>
      </c>
      <c r="C11650" t="s">
        <v>14228</v>
      </c>
      <c r="D11650" t="s">
        <v>16199</v>
      </c>
      <c r="E11650" t="s">
        <v>26392</v>
      </c>
      <c r="F11650" t="s">
        <v>28198</v>
      </c>
      <c r="G11650" t="s">
        <v>28205</v>
      </c>
      <c r="H11650" t="s">
        <v>28215</v>
      </c>
      <c r="I11650" t="s">
        <v>6051</v>
      </c>
      <c r="J11650" t="s">
        <v>35497</v>
      </c>
      <c r="K11650" t="s">
        <v>36701</v>
      </c>
      <c r="M11650" t="s">
        <v>37578</v>
      </c>
      <c r="N11650" t="s">
        <v>40436</v>
      </c>
      <c r="O11650" t="s">
        <v>40437</v>
      </c>
      <c r="P11650">
        <v>0</v>
      </c>
      <c r="Q11650">
        <v>3</v>
      </c>
      <c r="R11650" t="s">
        <v>40453</v>
      </c>
      <c r="S11650" t="s">
        <v>41237</v>
      </c>
      <c r="T11650" t="s">
        <v>42129</v>
      </c>
      <c r="U11650" t="s">
        <v>52225</v>
      </c>
      <c r="V11650" t="s">
        <v>54441</v>
      </c>
      <c r="W11650" t="s">
        <v>37578</v>
      </c>
      <c r="X11650" t="s">
        <v>40455</v>
      </c>
    </row>
    <row r="11651" spans="1:24">
      <c r="A11651">
        <f>HYPERLINK("https://www.philgeps.gov.ph/GEPSNONPILOT/Tender/SplashBidNoticeAbstractUI.aspx?menuIndex=3&amp;refID=7018954&amp;Result=3","7018954")</f>
        <v>0</v>
      </c>
      <c r="B11651" t="s">
        <v>1023</v>
      </c>
      <c r="C11651" t="s">
        <v>14229</v>
      </c>
      <c r="D11651" t="s">
        <v>16265</v>
      </c>
      <c r="E11651" t="s">
        <v>26393</v>
      </c>
      <c r="F11651" t="s">
        <v>28198</v>
      </c>
      <c r="G11651" t="s">
        <v>28205</v>
      </c>
      <c r="H11651" t="s">
        <v>28215</v>
      </c>
      <c r="I11651" t="s">
        <v>4200</v>
      </c>
      <c r="J11651" t="s">
        <v>28769</v>
      </c>
      <c r="K11651" t="s">
        <v>36701</v>
      </c>
      <c r="M11651" t="s">
        <v>38054</v>
      </c>
      <c r="N11651" t="s">
        <v>40436</v>
      </c>
      <c r="O11651" t="s">
        <v>40437</v>
      </c>
      <c r="P11651">
        <v>0</v>
      </c>
      <c r="Q11651">
        <v>1</v>
      </c>
      <c r="R11651" t="s">
        <v>40453</v>
      </c>
      <c r="S11651" t="s">
        <v>41237</v>
      </c>
      <c r="T11651" t="s">
        <v>42133</v>
      </c>
      <c r="U11651" t="s">
        <v>52226</v>
      </c>
      <c r="W11651" t="s">
        <v>38054</v>
      </c>
      <c r="X11651" t="s">
        <v>40455</v>
      </c>
    </row>
    <row r="11652" spans="1:24">
      <c r="A11652">
        <f>HYPERLINK("https://www.philgeps.gov.ph/GEPSNONPILOT/Tender/SplashBidNoticeAbstractUI.aspx?menuIndex=3&amp;refID=7018976&amp;Result=3","7018976")</f>
        <v>0</v>
      </c>
      <c r="B11652" t="s">
        <v>1023</v>
      </c>
      <c r="C11652" t="s">
        <v>14230</v>
      </c>
      <c r="D11652" t="s">
        <v>16265</v>
      </c>
      <c r="E11652" t="s">
        <v>26394</v>
      </c>
      <c r="F11652" t="s">
        <v>28198</v>
      </c>
      <c r="G11652" t="s">
        <v>28205</v>
      </c>
      <c r="H11652" t="s">
        <v>28215</v>
      </c>
      <c r="I11652" t="s">
        <v>3774</v>
      </c>
      <c r="J11652" t="s">
        <v>28868</v>
      </c>
      <c r="K11652" t="s">
        <v>36701</v>
      </c>
      <c r="M11652" t="s">
        <v>38054</v>
      </c>
      <c r="N11652" t="s">
        <v>40436</v>
      </c>
      <c r="O11652" t="s">
        <v>40437</v>
      </c>
      <c r="P11652">
        <v>0</v>
      </c>
      <c r="Q11652">
        <v>0</v>
      </c>
      <c r="R11652" t="s">
        <v>40453</v>
      </c>
      <c r="S11652" t="s">
        <v>41237</v>
      </c>
      <c r="T11652" t="s">
        <v>42133</v>
      </c>
      <c r="U11652" t="s">
        <v>52227</v>
      </c>
      <c r="W11652" t="s">
        <v>38054</v>
      </c>
      <c r="X11652" t="s">
        <v>40455</v>
      </c>
    </row>
    <row r="11653" spans="1:24">
      <c r="A11653">
        <f>HYPERLINK("https://www.philgeps.gov.ph/GEPSNONPILOT/Tender/SplashBidNoticeAbstractUI.aspx?menuIndex=3&amp;refID=7018979&amp;Result=3","7018979")</f>
        <v>0</v>
      </c>
      <c r="B11653" t="s">
        <v>1023</v>
      </c>
      <c r="C11653" t="s">
        <v>14231</v>
      </c>
      <c r="D11653" t="s">
        <v>16265</v>
      </c>
      <c r="E11653" t="s">
        <v>26395</v>
      </c>
      <c r="F11653" t="s">
        <v>28198</v>
      </c>
      <c r="G11653" t="s">
        <v>28205</v>
      </c>
      <c r="H11653" t="s">
        <v>28215</v>
      </c>
      <c r="I11653" t="s">
        <v>28234</v>
      </c>
      <c r="J11653" t="s">
        <v>35498</v>
      </c>
      <c r="K11653" t="s">
        <v>36701</v>
      </c>
      <c r="M11653" t="s">
        <v>38054</v>
      </c>
      <c r="N11653" t="s">
        <v>40436</v>
      </c>
      <c r="O11653" t="s">
        <v>40437</v>
      </c>
      <c r="P11653">
        <v>0</v>
      </c>
      <c r="Q11653">
        <v>2</v>
      </c>
      <c r="R11653" t="s">
        <v>40453</v>
      </c>
      <c r="S11653" t="s">
        <v>41237</v>
      </c>
      <c r="T11653" t="s">
        <v>42133</v>
      </c>
      <c r="U11653" t="s">
        <v>52228</v>
      </c>
      <c r="W11653" t="s">
        <v>38054</v>
      </c>
      <c r="X11653" t="s">
        <v>40455</v>
      </c>
    </row>
    <row r="11654" spans="1:24">
      <c r="A11654">
        <f>HYPERLINK("https://www.philgeps.gov.ph/GEPSNONPILOT/Tender/SplashBidNoticeAbstractUI.aspx?menuIndex=3&amp;refID=7018972&amp;Result=3","7018972")</f>
        <v>0</v>
      </c>
      <c r="B11654" t="s">
        <v>1023</v>
      </c>
      <c r="C11654" t="s">
        <v>14232</v>
      </c>
      <c r="D11654" t="s">
        <v>16265</v>
      </c>
      <c r="E11654" t="s">
        <v>26396</v>
      </c>
      <c r="F11654" t="s">
        <v>28198</v>
      </c>
      <c r="G11654" t="s">
        <v>28205</v>
      </c>
      <c r="H11654" t="s">
        <v>28215</v>
      </c>
      <c r="I11654" t="s">
        <v>28224</v>
      </c>
      <c r="J11654" t="s">
        <v>28540</v>
      </c>
      <c r="K11654" t="s">
        <v>36701</v>
      </c>
      <c r="M11654" t="s">
        <v>38054</v>
      </c>
      <c r="N11654" t="s">
        <v>40436</v>
      </c>
      <c r="O11654" t="s">
        <v>40437</v>
      </c>
      <c r="P11654">
        <v>0</v>
      </c>
      <c r="Q11654">
        <v>1</v>
      </c>
      <c r="R11654" t="s">
        <v>40453</v>
      </c>
      <c r="S11654" t="s">
        <v>41237</v>
      </c>
      <c r="T11654" t="s">
        <v>42133</v>
      </c>
      <c r="U11654" t="s">
        <v>52229</v>
      </c>
      <c r="W11654" t="s">
        <v>38054</v>
      </c>
      <c r="X11654" t="s">
        <v>40455</v>
      </c>
    </row>
    <row r="11655" spans="1:24">
      <c r="A11655">
        <f>HYPERLINK("https://www.philgeps.gov.ph/GEPSNONPILOT/Tender/SplashBidNoticeAbstractUI.aspx?menuIndex=3&amp;refID=7018980&amp;Result=3","7018980")</f>
        <v>0</v>
      </c>
      <c r="B11655" t="s">
        <v>589</v>
      </c>
      <c r="C11655" t="s">
        <v>14233</v>
      </c>
      <c r="D11655" t="s">
        <v>16199</v>
      </c>
      <c r="E11655" t="s">
        <v>26397</v>
      </c>
      <c r="F11655" t="s">
        <v>28198</v>
      </c>
      <c r="G11655" t="s">
        <v>28205</v>
      </c>
      <c r="H11655" t="s">
        <v>28215</v>
      </c>
      <c r="I11655" t="s">
        <v>28234</v>
      </c>
      <c r="J11655" t="s">
        <v>28363</v>
      </c>
      <c r="K11655" t="s">
        <v>36701</v>
      </c>
      <c r="M11655" t="s">
        <v>37578</v>
      </c>
      <c r="N11655" t="s">
        <v>40436</v>
      </c>
      <c r="O11655" t="s">
        <v>40437</v>
      </c>
      <c r="P11655">
        <v>0</v>
      </c>
      <c r="Q11655">
        <v>10</v>
      </c>
      <c r="R11655" t="s">
        <v>40453</v>
      </c>
      <c r="S11655" t="s">
        <v>41237</v>
      </c>
      <c r="T11655" t="s">
        <v>42129</v>
      </c>
      <c r="U11655" t="s">
        <v>52230</v>
      </c>
      <c r="V11655" t="s">
        <v>54441</v>
      </c>
      <c r="W11655" t="s">
        <v>37578</v>
      </c>
      <c r="X11655" t="s">
        <v>40455</v>
      </c>
    </row>
    <row r="11656" spans="1:24">
      <c r="A11656">
        <f>HYPERLINK("https://www.philgeps.gov.ph/GEPSNONPILOT/Tender/SplashBidNoticeAbstractUI.aspx?menuIndex=3&amp;refID=7018973&amp;Result=3","7018973")</f>
        <v>0</v>
      </c>
      <c r="B11656" t="s">
        <v>1023</v>
      </c>
      <c r="C11656" t="s">
        <v>14234</v>
      </c>
      <c r="D11656" t="s">
        <v>16265</v>
      </c>
      <c r="E11656" t="s">
        <v>26398</v>
      </c>
      <c r="F11656" t="s">
        <v>28198</v>
      </c>
      <c r="G11656" t="s">
        <v>28205</v>
      </c>
      <c r="H11656" t="s">
        <v>28215</v>
      </c>
      <c r="I11656" t="s">
        <v>4200</v>
      </c>
      <c r="J11656" t="s">
        <v>28573</v>
      </c>
      <c r="K11656" t="s">
        <v>36701</v>
      </c>
      <c r="M11656" t="s">
        <v>38054</v>
      </c>
      <c r="N11656" t="s">
        <v>40436</v>
      </c>
      <c r="O11656" t="s">
        <v>40437</v>
      </c>
      <c r="P11656">
        <v>0</v>
      </c>
      <c r="Q11656">
        <v>0</v>
      </c>
      <c r="R11656" t="s">
        <v>40453</v>
      </c>
      <c r="S11656" t="s">
        <v>41237</v>
      </c>
      <c r="T11656" t="s">
        <v>42133</v>
      </c>
      <c r="U11656" t="s">
        <v>52231</v>
      </c>
      <c r="W11656" t="s">
        <v>38054</v>
      </c>
      <c r="X11656" t="s">
        <v>40455</v>
      </c>
    </row>
    <row r="11657" spans="1:24">
      <c r="A11657">
        <f>HYPERLINK("https://www.philgeps.gov.ph/GEPSNONPILOT/Tender/SplashBidNoticeAbstractUI.aspx?menuIndex=3&amp;refID=7018969&amp;Result=3","7018969")</f>
        <v>0</v>
      </c>
      <c r="B11657" t="s">
        <v>1023</v>
      </c>
      <c r="C11657" t="s">
        <v>14235</v>
      </c>
      <c r="D11657" t="s">
        <v>16265</v>
      </c>
      <c r="E11657" t="s">
        <v>26399</v>
      </c>
      <c r="F11657" t="s">
        <v>28198</v>
      </c>
      <c r="G11657" t="s">
        <v>28205</v>
      </c>
      <c r="H11657" t="s">
        <v>28215</v>
      </c>
      <c r="I11657" t="s">
        <v>3774</v>
      </c>
      <c r="J11657" t="s">
        <v>29012</v>
      </c>
      <c r="K11657" t="s">
        <v>36701</v>
      </c>
      <c r="M11657" t="s">
        <v>38054</v>
      </c>
      <c r="N11657" t="s">
        <v>40436</v>
      </c>
      <c r="O11657" t="s">
        <v>40437</v>
      </c>
      <c r="P11657">
        <v>0</v>
      </c>
      <c r="Q11657">
        <v>0</v>
      </c>
      <c r="R11657" t="s">
        <v>40453</v>
      </c>
      <c r="S11657" t="s">
        <v>41237</v>
      </c>
      <c r="T11657" t="s">
        <v>42133</v>
      </c>
      <c r="U11657" t="s">
        <v>52232</v>
      </c>
      <c r="W11657" t="s">
        <v>38054</v>
      </c>
      <c r="X11657" t="s">
        <v>40455</v>
      </c>
    </row>
    <row r="11658" spans="1:24">
      <c r="A11658">
        <f>HYPERLINK("https://www.philgeps.gov.ph/GEPSNONPILOT/Tender/SplashBidNoticeAbstractUI.aspx?menuIndex=3&amp;refID=7018959&amp;Result=3","7018959")</f>
        <v>0</v>
      </c>
      <c r="B11658" t="s">
        <v>591</v>
      </c>
      <c r="C11658" t="s">
        <v>14236</v>
      </c>
      <c r="D11658" t="s">
        <v>16228</v>
      </c>
      <c r="E11658" t="s">
        <v>26400</v>
      </c>
      <c r="F11658" t="s">
        <v>28198</v>
      </c>
      <c r="G11658" t="s">
        <v>28205</v>
      </c>
      <c r="H11658" t="s">
        <v>28215</v>
      </c>
      <c r="I11658" t="s">
        <v>28234</v>
      </c>
      <c r="J11658" t="s">
        <v>28921</v>
      </c>
      <c r="K11658" t="s">
        <v>36692</v>
      </c>
      <c r="M11658" t="s">
        <v>37580</v>
      </c>
      <c r="N11658" t="s">
        <v>40436</v>
      </c>
      <c r="O11658" t="s">
        <v>40437</v>
      </c>
      <c r="Q11658">
        <v>11</v>
      </c>
      <c r="R11658" t="s">
        <v>40453</v>
      </c>
      <c r="S11658" t="s">
        <v>41255</v>
      </c>
      <c r="T11658" t="s">
        <v>42160</v>
      </c>
      <c r="U11658" t="s">
        <v>52233</v>
      </c>
      <c r="W11658" t="s">
        <v>37580</v>
      </c>
      <c r="X11658" t="s">
        <v>40455</v>
      </c>
    </row>
    <row r="11659" spans="1:24">
      <c r="A11659">
        <f>HYPERLINK("https://www.philgeps.gov.ph/GEPSNONPILOT/Tender/SplashBidNoticeAbstractUI.aspx?menuIndex=3&amp;refID=7018951&amp;Result=3","7018951")</f>
        <v>0</v>
      </c>
      <c r="B11659" t="s">
        <v>1023</v>
      </c>
      <c r="C11659" t="s">
        <v>14237</v>
      </c>
      <c r="D11659" t="s">
        <v>16265</v>
      </c>
      <c r="E11659" t="s">
        <v>26401</v>
      </c>
      <c r="F11659" t="s">
        <v>28198</v>
      </c>
      <c r="G11659" t="s">
        <v>28205</v>
      </c>
      <c r="H11659" t="s">
        <v>28215</v>
      </c>
      <c r="I11659" t="s">
        <v>28279</v>
      </c>
      <c r="J11659" t="s">
        <v>30036</v>
      </c>
      <c r="K11659" t="s">
        <v>36701</v>
      </c>
      <c r="M11659" t="s">
        <v>38054</v>
      </c>
      <c r="N11659" t="s">
        <v>40436</v>
      </c>
      <c r="O11659" t="s">
        <v>40437</v>
      </c>
      <c r="P11659">
        <v>0</v>
      </c>
      <c r="Q11659">
        <v>1</v>
      </c>
      <c r="R11659" t="s">
        <v>40453</v>
      </c>
      <c r="S11659" t="s">
        <v>41237</v>
      </c>
      <c r="T11659" t="s">
        <v>42133</v>
      </c>
      <c r="U11659" t="s">
        <v>52234</v>
      </c>
      <c r="W11659" t="s">
        <v>38054</v>
      </c>
      <c r="X11659" t="s">
        <v>40455</v>
      </c>
    </row>
    <row r="11660" spans="1:24">
      <c r="A11660">
        <f>HYPERLINK("https://www.philgeps.gov.ph/GEPSNONPILOT/Tender/SplashBidNoticeAbstractUI.aspx?menuIndex=3&amp;refID=7018996&amp;Result=3","7018996")</f>
        <v>0</v>
      </c>
      <c r="B11660" t="s">
        <v>591</v>
      </c>
      <c r="C11660" t="s">
        <v>14238</v>
      </c>
      <c r="D11660" t="s">
        <v>16228</v>
      </c>
      <c r="E11660" t="s">
        <v>26400</v>
      </c>
      <c r="F11660" t="s">
        <v>28198</v>
      </c>
      <c r="G11660" t="s">
        <v>28205</v>
      </c>
      <c r="H11660" t="s">
        <v>28215</v>
      </c>
      <c r="I11660" t="s">
        <v>28247</v>
      </c>
      <c r="J11660" t="s">
        <v>35499</v>
      </c>
      <c r="K11660" t="s">
        <v>36692</v>
      </c>
      <c r="M11660" t="s">
        <v>40188</v>
      </c>
      <c r="N11660" t="s">
        <v>40436</v>
      </c>
      <c r="O11660" t="s">
        <v>40437</v>
      </c>
      <c r="Q11660">
        <v>46</v>
      </c>
      <c r="R11660" t="s">
        <v>40453</v>
      </c>
      <c r="S11660" t="s">
        <v>41256</v>
      </c>
      <c r="T11660" t="s">
        <v>42119</v>
      </c>
      <c r="U11660" t="s">
        <v>52235</v>
      </c>
      <c r="W11660" t="s">
        <v>37580</v>
      </c>
      <c r="X11660" t="s">
        <v>40455</v>
      </c>
    </row>
    <row r="11661" spans="1:24">
      <c r="A11661">
        <f>HYPERLINK("https://www.philgeps.gov.ph/GEPSNONPILOT/Tender/SplashBidNoticeAbstractUI.aspx?menuIndex=3&amp;refID=7018956&amp;Result=3","7018956")</f>
        <v>0</v>
      </c>
      <c r="B11661" t="s">
        <v>1023</v>
      </c>
      <c r="C11661" t="s">
        <v>14239</v>
      </c>
      <c r="D11661" t="s">
        <v>16265</v>
      </c>
      <c r="E11661" t="s">
        <v>26402</v>
      </c>
      <c r="F11661" t="s">
        <v>28198</v>
      </c>
      <c r="G11661" t="s">
        <v>28205</v>
      </c>
      <c r="H11661" t="s">
        <v>28215</v>
      </c>
      <c r="I11661" t="s">
        <v>28279</v>
      </c>
      <c r="J11661" t="s">
        <v>35500</v>
      </c>
      <c r="K11661" t="s">
        <v>36701</v>
      </c>
      <c r="M11661" t="s">
        <v>38054</v>
      </c>
      <c r="N11661" t="s">
        <v>40436</v>
      </c>
      <c r="O11661" t="s">
        <v>40437</v>
      </c>
      <c r="P11661">
        <v>0</v>
      </c>
      <c r="Q11661">
        <v>3</v>
      </c>
      <c r="R11661" t="s">
        <v>40453</v>
      </c>
      <c r="S11661" t="s">
        <v>41237</v>
      </c>
      <c r="T11661" t="s">
        <v>42133</v>
      </c>
      <c r="U11661" t="s">
        <v>52236</v>
      </c>
      <c r="W11661" t="s">
        <v>38054</v>
      </c>
      <c r="X11661" t="s">
        <v>40455</v>
      </c>
    </row>
    <row r="11662" spans="1:24">
      <c r="A11662">
        <f>HYPERLINK("https://www.philgeps.gov.ph/GEPSNONPILOT/Tender/SplashBidNoticeAbstractUI.aspx?menuIndex=3&amp;refID=7019173&amp;Result=3","7019173")</f>
        <v>0</v>
      </c>
      <c r="B11662" t="s">
        <v>2915</v>
      </c>
      <c r="C11662" t="s">
        <v>14240</v>
      </c>
      <c r="D11662" t="s">
        <v>16215</v>
      </c>
      <c r="E11662" t="s">
        <v>24152</v>
      </c>
      <c r="F11662" t="s">
        <v>28198</v>
      </c>
      <c r="G11662" t="s">
        <v>28205</v>
      </c>
      <c r="H11662" t="s">
        <v>28214</v>
      </c>
      <c r="I11662" t="s">
        <v>3797</v>
      </c>
      <c r="J11662" t="s">
        <v>28363</v>
      </c>
      <c r="K11662" t="s">
        <v>36697</v>
      </c>
      <c r="M11662" t="s">
        <v>40189</v>
      </c>
      <c r="N11662" t="s">
        <v>40436</v>
      </c>
      <c r="O11662" t="s">
        <v>40437</v>
      </c>
      <c r="P11662">
        <v>0</v>
      </c>
      <c r="Q11662">
        <v>5</v>
      </c>
      <c r="R11662" t="s">
        <v>40453</v>
      </c>
      <c r="S11662" t="s">
        <v>41237</v>
      </c>
      <c r="T11662" t="s">
        <v>42163</v>
      </c>
      <c r="U11662" t="s">
        <v>52237</v>
      </c>
      <c r="W11662" t="s">
        <v>40189</v>
      </c>
      <c r="X11662" t="s">
        <v>40454</v>
      </c>
    </row>
    <row r="11663" spans="1:24">
      <c r="A11663">
        <f>HYPERLINK("https://www.philgeps.gov.ph/GEPSNONPILOT/Tender/SplashBidNoticeAbstractUI.aspx?menuIndex=3&amp;refID=7019172&amp;Result=3","7019172")</f>
        <v>0</v>
      </c>
      <c r="B11663" t="s">
        <v>2915</v>
      </c>
      <c r="C11663" t="s">
        <v>14241</v>
      </c>
      <c r="D11663" t="s">
        <v>16215</v>
      </c>
      <c r="E11663" t="s">
        <v>24561</v>
      </c>
      <c r="F11663" t="s">
        <v>28198</v>
      </c>
      <c r="G11663" t="s">
        <v>28205</v>
      </c>
      <c r="H11663" t="s">
        <v>28214</v>
      </c>
      <c r="I11663" t="s">
        <v>3797</v>
      </c>
      <c r="J11663" t="s">
        <v>28351</v>
      </c>
      <c r="K11663" t="s">
        <v>36717</v>
      </c>
      <c r="M11663" t="s">
        <v>40189</v>
      </c>
      <c r="N11663" t="s">
        <v>40436</v>
      </c>
      <c r="O11663" t="s">
        <v>40437</v>
      </c>
      <c r="P11663">
        <v>0</v>
      </c>
      <c r="Q11663">
        <v>5</v>
      </c>
      <c r="R11663" t="s">
        <v>40453</v>
      </c>
      <c r="S11663" t="s">
        <v>41237</v>
      </c>
      <c r="T11663" t="s">
        <v>42163</v>
      </c>
      <c r="U11663" t="s">
        <v>52238</v>
      </c>
      <c r="W11663" t="s">
        <v>40189</v>
      </c>
      <c r="X11663" t="s">
        <v>40454</v>
      </c>
    </row>
    <row r="11664" spans="1:24">
      <c r="A11664">
        <f>HYPERLINK("https://www.philgeps.gov.ph/GEPSNONPILOT/Tender/SplashBidNoticeAbstractUI.aspx?menuIndex=3&amp;refID=7019043&amp;Result=3","7019043")</f>
        <v>0</v>
      </c>
      <c r="B11664" t="s">
        <v>285</v>
      </c>
      <c r="C11664" t="s">
        <v>14242</v>
      </c>
      <c r="D11664" t="s">
        <v>16203</v>
      </c>
      <c r="E11664" t="s">
        <v>26403</v>
      </c>
      <c r="F11664" t="s">
        <v>28198</v>
      </c>
      <c r="G11664" t="s">
        <v>28205</v>
      </c>
      <c r="H11664" t="s">
        <v>28215</v>
      </c>
      <c r="I11664" t="s">
        <v>28249</v>
      </c>
      <c r="J11664" t="s">
        <v>35501</v>
      </c>
      <c r="K11664" t="s">
        <v>36689</v>
      </c>
      <c r="M11664" t="s">
        <v>37569</v>
      </c>
      <c r="N11664" t="s">
        <v>40436</v>
      </c>
      <c r="O11664" t="s">
        <v>40437</v>
      </c>
      <c r="P11664">
        <v>0</v>
      </c>
      <c r="Q11664">
        <v>2</v>
      </c>
      <c r="R11664" t="s">
        <v>40453</v>
      </c>
      <c r="S11664" t="s">
        <v>41237</v>
      </c>
      <c r="T11664" t="s">
        <v>42134</v>
      </c>
      <c r="U11664" t="s">
        <v>52239</v>
      </c>
      <c r="W11664" t="s">
        <v>37569</v>
      </c>
      <c r="X11664" t="s">
        <v>40455</v>
      </c>
    </row>
    <row r="11665" spans="1:24">
      <c r="A11665">
        <f>HYPERLINK("https://www.philgeps.gov.ph/GEPSNONPILOT/Tender/SplashBidNoticeAbstractUI.aspx?menuIndex=3&amp;refID=7019176&amp;Result=3","7019176")</f>
        <v>0</v>
      </c>
      <c r="B11665" t="s">
        <v>2915</v>
      </c>
      <c r="C11665" t="s">
        <v>14243</v>
      </c>
      <c r="D11665" t="s">
        <v>16215</v>
      </c>
      <c r="E11665" t="s">
        <v>24551</v>
      </c>
      <c r="F11665" t="s">
        <v>28198</v>
      </c>
      <c r="G11665" t="s">
        <v>28205</v>
      </c>
      <c r="H11665" t="s">
        <v>28214</v>
      </c>
      <c r="I11665" t="s">
        <v>3797</v>
      </c>
      <c r="J11665" t="s">
        <v>28363</v>
      </c>
      <c r="K11665" t="s">
        <v>36692</v>
      </c>
      <c r="M11665" t="s">
        <v>40189</v>
      </c>
      <c r="N11665" t="s">
        <v>40436</v>
      </c>
      <c r="O11665" t="s">
        <v>40437</v>
      </c>
      <c r="P11665">
        <v>0</v>
      </c>
      <c r="Q11665">
        <v>4</v>
      </c>
      <c r="R11665" t="s">
        <v>40453</v>
      </c>
      <c r="S11665" t="s">
        <v>41237</v>
      </c>
      <c r="T11665" t="s">
        <v>42163</v>
      </c>
      <c r="U11665" t="s">
        <v>52240</v>
      </c>
      <c r="W11665" t="s">
        <v>40189</v>
      </c>
      <c r="X11665" t="s">
        <v>40454</v>
      </c>
    </row>
    <row r="11666" spans="1:24">
      <c r="A11666">
        <f>HYPERLINK("https://www.philgeps.gov.ph/GEPSNONPILOT/Tender/SplashBidNoticeAbstractUI.aspx?menuIndex=3&amp;refID=7019157&amp;Result=3","7019157")</f>
        <v>0</v>
      </c>
      <c r="B11666" t="s">
        <v>2889</v>
      </c>
      <c r="C11666" t="s">
        <v>14244</v>
      </c>
      <c r="D11666" t="s">
        <v>16189</v>
      </c>
      <c r="E11666" t="s">
        <v>26404</v>
      </c>
      <c r="F11666" t="s">
        <v>28198</v>
      </c>
      <c r="G11666" t="s">
        <v>28205</v>
      </c>
      <c r="H11666" t="s">
        <v>28214</v>
      </c>
      <c r="I11666" t="s">
        <v>3797</v>
      </c>
      <c r="J11666" t="s">
        <v>28363</v>
      </c>
      <c r="K11666" t="s">
        <v>36757</v>
      </c>
      <c r="M11666" t="s">
        <v>40154</v>
      </c>
      <c r="N11666" t="s">
        <v>40436</v>
      </c>
      <c r="O11666" t="s">
        <v>40437</v>
      </c>
      <c r="P11666">
        <v>0</v>
      </c>
      <c r="Q11666">
        <v>0</v>
      </c>
      <c r="R11666" t="s">
        <v>40453</v>
      </c>
      <c r="S11666" t="s">
        <v>41237</v>
      </c>
      <c r="T11666" t="s">
        <v>42326</v>
      </c>
      <c r="U11666" t="s">
        <v>44230</v>
      </c>
      <c r="W11666" t="s">
        <v>40154</v>
      </c>
      <c r="X11666" t="s">
        <v>40454</v>
      </c>
    </row>
    <row r="11667" spans="1:24">
      <c r="A11667">
        <f>HYPERLINK("https://www.philgeps.gov.ph/GEPSNONPILOT/Tender/SplashBidNoticeAbstractUI.aspx?menuIndex=3&amp;refID=7018958&amp;Result=3","7018958")</f>
        <v>0</v>
      </c>
      <c r="B11667" t="s">
        <v>1023</v>
      </c>
      <c r="C11667" t="s">
        <v>14245</v>
      </c>
      <c r="D11667" t="s">
        <v>16265</v>
      </c>
      <c r="E11667" t="s">
        <v>26405</v>
      </c>
      <c r="F11667" t="s">
        <v>28198</v>
      </c>
      <c r="G11667" t="s">
        <v>28205</v>
      </c>
      <c r="H11667" t="s">
        <v>28215</v>
      </c>
      <c r="I11667" t="s">
        <v>28247</v>
      </c>
      <c r="J11667" t="s">
        <v>35502</v>
      </c>
      <c r="K11667" t="s">
        <v>36701</v>
      </c>
      <c r="M11667" t="s">
        <v>38054</v>
      </c>
      <c r="N11667" t="s">
        <v>40436</v>
      </c>
      <c r="O11667" t="s">
        <v>40437</v>
      </c>
      <c r="P11667">
        <v>0</v>
      </c>
      <c r="Q11667">
        <v>11</v>
      </c>
      <c r="R11667" t="s">
        <v>40453</v>
      </c>
      <c r="S11667" t="s">
        <v>41237</v>
      </c>
      <c r="T11667" t="s">
        <v>42133</v>
      </c>
      <c r="U11667" t="s">
        <v>52241</v>
      </c>
      <c r="W11667" t="s">
        <v>38054</v>
      </c>
      <c r="X11667" t="s">
        <v>40455</v>
      </c>
    </row>
    <row r="11668" spans="1:24">
      <c r="A11668">
        <f>HYPERLINK("https://www.philgeps.gov.ph/GEPSNONPILOT/Tender/SplashBidNoticeAbstractUI.aspx?menuIndex=3&amp;refID=7019055&amp;Result=3","7019055")</f>
        <v>0</v>
      </c>
      <c r="B11668" t="s">
        <v>285</v>
      </c>
      <c r="C11668" t="s">
        <v>14246</v>
      </c>
      <c r="D11668" t="s">
        <v>16203</v>
      </c>
      <c r="E11668" t="s">
        <v>26406</v>
      </c>
      <c r="F11668" t="s">
        <v>28198</v>
      </c>
      <c r="G11668" t="s">
        <v>28205</v>
      </c>
      <c r="H11668" t="s">
        <v>28215</v>
      </c>
      <c r="I11668" t="s">
        <v>28243</v>
      </c>
      <c r="J11668" t="s">
        <v>28927</v>
      </c>
      <c r="K11668" t="s">
        <v>36701</v>
      </c>
      <c r="M11668" t="s">
        <v>37569</v>
      </c>
      <c r="N11668" t="s">
        <v>40436</v>
      </c>
      <c r="O11668" t="s">
        <v>40437</v>
      </c>
      <c r="Q11668">
        <v>2</v>
      </c>
      <c r="R11668" t="s">
        <v>40453</v>
      </c>
      <c r="S11668" t="s">
        <v>41257</v>
      </c>
      <c r="T11668" t="s">
        <v>42134</v>
      </c>
      <c r="U11668" t="s">
        <v>52242</v>
      </c>
      <c r="W11668" t="s">
        <v>37569</v>
      </c>
      <c r="X11668" t="s">
        <v>40455</v>
      </c>
    </row>
    <row r="11669" spans="1:24">
      <c r="A11669">
        <f>HYPERLINK("https://www.philgeps.gov.ph/GEPSNONPILOT/Tender/SplashBidNoticeAbstractUI.aspx?menuIndex=3&amp;refID=7018948&amp;Result=3","7018948")</f>
        <v>0</v>
      </c>
      <c r="B11669" t="s">
        <v>1023</v>
      </c>
      <c r="C11669" t="s">
        <v>14247</v>
      </c>
      <c r="D11669" t="s">
        <v>16265</v>
      </c>
      <c r="E11669" t="s">
        <v>26389</v>
      </c>
      <c r="F11669" t="s">
        <v>28198</v>
      </c>
      <c r="G11669" t="s">
        <v>28205</v>
      </c>
      <c r="H11669" t="s">
        <v>28215</v>
      </c>
      <c r="I11669" t="s">
        <v>4168</v>
      </c>
      <c r="J11669" t="s">
        <v>35503</v>
      </c>
      <c r="K11669" t="s">
        <v>36701</v>
      </c>
      <c r="M11669" t="s">
        <v>38054</v>
      </c>
      <c r="N11669" t="s">
        <v>40436</v>
      </c>
      <c r="O11669" t="s">
        <v>40437</v>
      </c>
      <c r="P11669">
        <v>0</v>
      </c>
      <c r="Q11669">
        <v>1</v>
      </c>
      <c r="R11669" t="s">
        <v>40453</v>
      </c>
      <c r="S11669" t="s">
        <v>41237</v>
      </c>
      <c r="T11669" t="s">
        <v>42133</v>
      </c>
      <c r="U11669" t="s">
        <v>52222</v>
      </c>
      <c r="W11669" t="s">
        <v>38054</v>
      </c>
      <c r="X11669" t="s">
        <v>40455</v>
      </c>
    </row>
    <row r="11670" spans="1:24">
      <c r="A11670">
        <f>HYPERLINK("https://www.philgeps.gov.ph/GEPSNONPILOT/Tender/SplashBidNoticeAbstractUI.aspx?menuIndex=3&amp;refID=7019052&amp;Result=3","7019052")</f>
        <v>0</v>
      </c>
      <c r="B11670" t="s">
        <v>285</v>
      </c>
      <c r="C11670" t="s">
        <v>14248</v>
      </c>
      <c r="D11670" t="s">
        <v>16289</v>
      </c>
      <c r="E11670" t="s">
        <v>26407</v>
      </c>
      <c r="F11670" t="s">
        <v>28198</v>
      </c>
      <c r="G11670" t="s">
        <v>28205</v>
      </c>
      <c r="H11670" t="s">
        <v>28215</v>
      </c>
      <c r="I11670" t="s">
        <v>28224</v>
      </c>
      <c r="J11670" t="s">
        <v>35504</v>
      </c>
      <c r="K11670" t="s">
        <v>36701</v>
      </c>
      <c r="M11670" t="s">
        <v>37569</v>
      </c>
      <c r="N11670" t="s">
        <v>40436</v>
      </c>
      <c r="O11670" t="s">
        <v>40437</v>
      </c>
      <c r="Q11670">
        <v>3</v>
      </c>
      <c r="R11670" t="s">
        <v>40453</v>
      </c>
      <c r="S11670" t="s">
        <v>41258</v>
      </c>
      <c r="T11670" t="s">
        <v>42134</v>
      </c>
      <c r="U11670" t="s">
        <v>52243</v>
      </c>
      <c r="W11670" t="s">
        <v>37569</v>
      </c>
      <c r="X11670" t="s">
        <v>40455</v>
      </c>
    </row>
    <row r="11671" spans="1:24">
      <c r="A11671">
        <f>HYPERLINK("https://www.philgeps.gov.ph/GEPSNONPILOT/Tender/SplashBidNoticeAbstractUI.aspx?menuIndex=3&amp;refID=7019156&amp;Result=3","7019156")</f>
        <v>0</v>
      </c>
      <c r="B11671" t="s">
        <v>2889</v>
      </c>
      <c r="C11671" t="s">
        <v>14249</v>
      </c>
      <c r="D11671" t="s">
        <v>16189</v>
      </c>
      <c r="E11671" t="s">
        <v>26408</v>
      </c>
      <c r="F11671" t="s">
        <v>28198</v>
      </c>
      <c r="G11671" t="s">
        <v>28205</v>
      </c>
      <c r="H11671" t="s">
        <v>28214</v>
      </c>
      <c r="I11671" t="s">
        <v>3797</v>
      </c>
      <c r="J11671" t="s">
        <v>28379</v>
      </c>
      <c r="K11671" t="s">
        <v>36949</v>
      </c>
      <c r="M11671" t="s">
        <v>40154</v>
      </c>
      <c r="N11671" t="s">
        <v>40436</v>
      </c>
      <c r="O11671" t="s">
        <v>40437</v>
      </c>
      <c r="P11671">
        <v>0</v>
      </c>
      <c r="Q11671">
        <v>0</v>
      </c>
      <c r="R11671" t="s">
        <v>40453</v>
      </c>
      <c r="S11671" t="s">
        <v>41237</v>
      </c>
      <c r="T11671" t="s">
        <v>42326</v>
      </c>
      <c r="U11671" t="s">
        <v>44230</v>
      </c>
      <c r="W11671" t="s">
        <v>40154</v>
      </c>
      <c r="X11671" t="s">
        <v>40454</v>
      </c>
    </row>
    <row r="11672" spans="1:24">
      <c r="A11672">
        <f>HYPERLINK("https://www.philgeps.gov.ph/GEPSNONPILOT/Tender/SplashBidNoticeAbstractUI.aspx?menuIndex=3&amp;refID=7019152&amp;Result=3","7019152")</f>
        <v>0</v>
      </c>
      <c r="B11672" t="s">
        <v>593</v>
      </c>
      <c r="C11672" t="s">
        <v>14250</v>
      </c>
      <c r="E11672" t="s">
        <v>26409</v>
      </c>
      <c r="F11672" t="s">
        <v>28198</v>
      </c>
      <c r="G11672" t="s">
        <v>28205</v>
      </c>
      <c r="H11672" t="s">
        <v>28214</v>
      </c>
      <c r="I11672" t="s">
        <v>3797</v>
      </c>
      <c r="J11672" t="s">
        <v>28398</v>
      </c>
      <c r="K11672" t="s">
        <v>36694</v>
      </c>
      <c r="M11672" t="s">
        <v>39621</v>
      </c>
      <c r="N11672" t="s">
        <v>40436</v>
      </c>
      <c r="O11672" t="s">
        <v>40437</v>
      </c>
      <c r="Q11672">
        <v>0</v>
      </c>
      <c r="R11672" t="s">
        <v>40453</v>
      </c>
      <c r="S11672" t="s">
        <v>41259</v>
      </c>
      <c r="T11672" t="s">
        <v>42134</v>
      </c>
      <c r="U11672" t="s">
        <v>52244</v>
      </c>
      <c r="V11672" t="s">
        <v>54655</v>
      </c>
      <c r="W11672" t="s">
        <v>39621</v>
      </c>
      <c r="X11672" t="s">
        <v>40454</v>
      </c>
    </row>
    <row r="11673" spans="1:24">
      <c r="A11673">
        <f>HYPERLINK("https://www.philgeps.gov.ph/GEPSNONPILOT/Tender/SplashBidNoticeAbstractUI.aspx?menuIndex=3&amp;refID=7019174&amp;Result=3","7019174")</f>
        <v>0</v>
      </c>
      <c r="B11673" t="s">
        <v>2915</v>
      </c>
      <c r="C11673" t="s">
        <v>14240</v>
      </c>
      <c r="D11673" t="s">
        <v>16215</v>
      </c>
      <c r="E11673" t="s">
        <v>26410</v>
      </c>
      <c r="F11673" t="s">
        <v>28198</v>
      </c>
      <c r="G11673" t="s">
        <v>28205</v>
      </c>
      <c r="H11673" t="s">
        <v>28214</v>
      </c>
      <c r="I11673" t="s">
        <v>3797</v>
      </c>
      <c r="J11673" t="s">
        <v>28363</v>
      </c>
      <c r="K11673" t="s">
        <v>36694</v>
      </c>
      <c r="M11673" t="s">
        <v>40189</v>
      </c>
      <c r="N11673" t="s">
        <v>40436</v>
      </c>
      <c r="O11673" t="s">
        <v>40437</v>
      </c>
      <c r="P11673">
        <v>0</v>
      </c>
      <c r="Q11673">
        <v>4</v>
      </c>
      <c r="R11673" t="s">
        <v>40453</v>
      </c>
      <c r="S11673" t="s">
        <v>41237</v>
      </c>
      <c r="T11673" t="s">
        <v>42163</v>
      </c>
      <c r="U11673" t="s">
        <v>52245</v>
      </c>
      <c r="W11673" t="s">
        <v>40189</v>
      </c>
      <c r="X11673" t="s">
        <v>40454</v>
      </c>
    </row>
    <row r="11674" spans="1:24">
      <c r="A11674">
        <f>HYPERLINK("https://www.philgeps.gov.ph/GEPSNONPILOT/Tender/SplashBidNoticeAbstractUI.aspx?menuIndex=3&amp;refID=7019240&amp;Result=3","7019240")</f>
        <v>0</v>
      </c>
      <c r="B11674" t="s">
        <v>2414</v>
      </c>
      <c r="C11674" t="s">
        <v>14251</v>
      </c>
      <c r="D11674" t="s">
        <v>16213</v>
      </c>
      <c r="E11674" t="s">
        <v>26411</v>
      </c>
      <c r="F11674" t="s">
        <v>28198</v>
      </c>
      <c r="G11674" t="s">
        <v>28205</v>
      </c>
      <c r="H11674" t="s">
        <v>28214</v>
      </c>
      <c r="I11674" t="s">
        <v>3797</v>
      </c>
      <c r="J11674" t="s">
        <v>35505</v>
      </c>
      <c r="K11674" t="s">
        <v>36692</v>
      </c>
      <c r="M11674" t="s">
        <v>39603</v>
      </c>
      <c r="N11674" t="s">
        <v>40436</v>
      </c>
      <c r="O11674" t="s">
        <v>40437</v>
      </c>
      <c r="P11674">
        <v>0</v>
      </c>
      <c r="Q11674">
        <v>1</v>
      </c>
      <c r="R11674" t="s">
        <v>40453</v>
      </c>
      <c r="S11674" t="s">
        <v>41237</v>
      </c>
      <c r="T11674" t="s">
        <v>42203</v>
      </c>
      <c r="U11674" t="s">
        <v>52246</v>
      </c>
      <c r="V11674" t="s">
        <v>55107</v>
      </c>
      <c r="W11674" t="s">
        <v>39603</v>
      </c>
      <c r="X11674" t="s">
        <v>40454</v>
      </c>
    </row>
    <row r="11675" spans="1:24">
      <c r="A11675">
        <f>HYPERLINK("https://www.philgeps.gov.ph/GEPSNONPILOT/Tender/SplashBidNoticeAbstractUI.aspx?menuIndex=3&amp;refID=7019045&amp;Result=3","7019045")</f>
        <v>0</v>
      </c>
      <c r="B11675" t="s">
        <v>285</v>
      </c>
      <c r="C11675" t="s">
        <v>14252</v>
      </c>
      <c r="D11675" t="s">
        <v>16203</v>
      </c>
      <c r="E11675" t="s">
        <v>26412</v>
      </c>
      <c r="F11675" t="s">
        <v>28198</v>
      </c>
      <c r="G11675" t="s">
        <v>28205</v>
      </c>
      <c r="H11675" t="s">
        <v>28215</v>
      </c>
      <c r="I11675" t="s">
        <v>28224</v>
      </c>
      <c r="J11675" t="s">
        <v>35506</v>
      </c>
      <c r="K11675" t="s">
        <v>36701</v>
      </c>
      <c r="M11675" t="s">
        <v>37569</v>
      </c>
      <c r="N11675" t="s">
        <v>40436</v>
      </c>
      <c r="O11675" t="s">
        <v>40437</v>
      </c>
      <c r="P11675">
        <v>0</v>
      </c>
      <c r="Q11675">
        <v>5</v>
      </c>
      <c r="R11675" t="s">
        <v>40453</v>
      </c>
      <c r="S11675" t="s">
        <v>41237</v>
      </c>
      <c r="T11675" t="s">
        <v>42134</v>
      </c>
      <c r="U11675" t="s">
        <v>52247</v>
      </c>
      <c r="W11675" t="s">
        <v>37569</v>
      </c>
      <c r="X11675" t="s">
        <v>40455</v>
      </c>
    </row>
    <row r="11676" spans="1:24">
      <c r="A11676">
        <f>HYPERLINK("https://www.philgeps.gov.ph/GEPSNONPILOT/Tender/SplashBidNoticeAbstractUI.aspx?menuIndex=3&amp;refID=7018952&amp;Result=3","7018952")</f>
        <v>0</v>
      </c>
      <c r="B11676" t="s">
        <v>1023</v>
      </c>
      <c r="C11676" t="s">
        <v>14253</v>
      </c>
      <c r="D11676" t="s">
        <v>16265</v>
      </c>
      <c r="E11676" t="s">
        <v>26413</v>
      </c>
      <c r="F11676" t="s">
        <v>28198</v>
      </c>
      <c r="G11676" t="s">
        <v>28205</v>
      </c>
      <c r="H11676" t="s">
        <v>28215</v>
      </c>
      <c r="I11676" t="s">
        <v>4200</v>
      </c>
      <c r="J11676" t="s">
        <v>35507</v>
      </c>
      <c r="K11676" t="s">
        <v>36701</v>
      </c>
      <c r="M11676" t="s">
        <v>38054</v>
      </c>
      <c r="N11676" t="s">
        <v>40436</v>
      </c>
      <c r="O11676" t="s">
        <v>40437</v>
      </c>
      <c r="P11676">
        <v>0</v>
      </c>
      <c r="Q11676">
        <v>0</v>
      </c>
      <c r="R11676" t="s">
        <v>40453</v>
      </c>
      <c r="S11676" t="s">
        <v>41237</v>
      </c>
      <c r="T11676" t="s">
        <v>42133</v>
      </c>
      <c r="U11676" t="s">
        <v>52248</v>
      </c>
      <c r="W11676" t="s">
        <v>38054</v>
      </c>
      <c r="X11676" t="s">
        <v>40455</v>
      </c>
    </row>
    <row r="11677" spans="1:24">
      <c r="A11677">
        <f>HYPERLINK("https://www.philgeps.gov.ph/GEPSNONPILOT/Tender/SplashBidNoticeAbstractUI.aspx?menuIndex=3&amp;refID=7019243&amp;Result=3","7019243")</f>
        <v>0</v>
      </c>
      <c r="B11677" t="s">
        <v>2916</v>
      </c>
      <c r="C11677" t="s">
        <v>14254</v>
      </c>
      <c r="D11677" t="s">
        <v>16247</v>
      </c>
      <c r="E11677" t="s">
        <v>26414</v>
      </c>
      <c r="F11677" t="s">
        <v>28198</v>
      </c>
      <c r="G11677" t="s">
        <v>28205</v>
      </c>
      <c r="H11677" t="s">
        <v>28215</v>
      </c>
      <c r="I11677" t="s">
        <v>28225</v>
      </c>
      <c r="J11677" t="s">
        <v>35508</v>
      </c>
      <c r="K11677" t="s">
        <v>36756</v>
      </c>
      <c r="M11677" t="s">
        <v>40190</v>
      </c>
      <c r="N11677" t="s">
        <v>40436</v>
      </c>
      <c r="O11677" t="s">
        <v>40437</v>
      </c>
      <c r="P11677">
        <v>0</v>
      </c>
      <c r="Q11677">
        <v>23</v>
      </c>
      <c r="R11677" t="s">
        <v>40453</v>
      </c>
      <c r="S11677" t="s">
        <v>41237</v>
      </c>
      <c r="T11677" t="s">
        <v>42119</v>
      </c>
      <c r="U11677" t="s">
        <v>52249</v>
      </c>
      <c r="W11677" t="s">
        <v>40190</v>
      </c>
      <c r="X11677" t="s">
        <v>40454</v>
      </c>
    </row>
    <row r="11678" spans="1:24">
      <c r="A11678">
        <f>HYPERLINK("https://www.philgeps.gov.ph/GEPSNONPILOT/Tender/SplashBidNoticeAbstractUI.aspx?menuIndex=3&amp;refID=7019237&amp;Result=3","7019237")</f>
        <v>0</v>
      </c>
      <c r="B11678" t="s">
        <v>2916</v>
      </c>
      <c r="C11678" t="s">
        <v>14255</v>
      </c>
      <c r="D11678" t="s">
        <v>16247</v>
      </c>
      <c r="E11678" t="s">
        <v>26415</v>
      </c>
      <c r="F11678" t="s">
        <v>28198</v>
      </c>
      <c r="G11678" t="s">
        <v>28205</v>
      </c>
      <c r="H11678" t="s">
        <v>28215</v>
      </c>
      <c r="I11678" t="s">
        <v>8888</v>
      </c>
      <c r="J11678" t="s">
        <v>35509</v>
      </c>
      <c r="K11678" t="s">
        <v>36756</v>
      </c>
      <c r="M11678" t="s">
        <v>40190</v>
      </c>
      <c r="N11678" t="s">
        <v>40436</v>
      </c>
      <c r="O11678" t="s">
        <v>40437</v>
      </c>
      <c r="P11678">
        <v>0</v>
      </c>
      <c r="Q11678">
        <v>13</v>
      </c>
      <c r="R11678" t="s">
        <v>40453</v>
      </c>
      <c r="S11678" t="s">
        <v>41237</v>
      </c>
      <c r="T11678" t="s">
        <v>42119</v>
      </c>
      <c r="U11678" t="s">
        <v>52249</v>
      </c>
      <c r="W11678" t="s">
        <v>40190</v>
      </c>
      <c r="X11678" t="s">
        <v>40454</v>
      </c>
    </row>
    <row r="11679" spans="1:24">
      <c r="A11679">
        <f>HYPERLINK("https://www.philgeps.gov.ph/GEPSNONPILOT/Tender/SplashBidNoticeAbstractUI.aspx?menuIndex=3&amp;refID=7019215&amp;Result=3","7019215")</f>
        <v>0</v>
      </c>
      <c r="B11679" t="s">
        <v>2574</v>
      </c>
      <c r="C11679" t="s">
        <v>14256</v>
      </c>
      <c r="E11679" t="s">
        <v>26416</v>
      </c>
      <c r="F11679" t="s">
        <v>28198</v>
      </c>
      <c r="G11679" t="s">
        <v>28205</v>
      </c>
      <c r="H11679" t="s">
        <v>28214</v>
      </c>
      <c r="I11679" t="s">
        <v>3797</v>
      </c>
      <c r="J11679" t="s">
        <v>35510</v>
      </c>
      <c r="K11679" t="s">
        <v>36852</v>
      </c>
      <c r="M11679" t="s">
        <v>39788</v>
      </c>
      <c r="N11679" t="s">
        <v>40436</v>
      </c>
      <c r="O11679" t="s">
        <v>40437</v>
      </c>
      <c r="Q11679">
        <v>11</v>
      </c>
      <c r="R11679" t="s">
        <v>40453</v>
      </c>
      <c r="S11679" t="s">
        <v>41260</v>
      </c>
      <c r="T11679" t="s">
        <v>42133</v>
      </c>
      <c r="U11679" t="s">
        <v>52250</v>
      </c>
      <c r="W11679" t="s">
        <v>39788</v>
      </c>
      <c r="X11679" t="s">
        <v>40454</v>
      </c>
    </row>
    <row r="11680" spans="1:24">
      <c r="A11680">
        <f>HYPERLINK("https://www.philgeps.gov.ph/GEPSNONPILOT/Tender/SplashBidNoticeAbstractUI.aspx?menuIndex=3&amp;refID=7019181&amp;Result=3","7019181")</f>
        <v>0</v>
      </c>
      <c r="B11680" t="s">
        <v>1915</v>
      </c>
      <c r="C11680" t="s">
        <v>14257</v>
      </c>
      <c r="D11680" t="s">
        <v>16209</v>
      </c>
      <c r="E11680" t="s">
        <v>18183</v>
      </c>
      <c r="F11680" t="s">
        <v>28198</v>
      </c>
      <c r="G11680" t="s">
        <v>28205</v>
      </c>
      <c r="H11680" t="s">
        <v>28214</v>
      </c>
      <c r="I11680" t="s">
        <v>3797</v>
      </c>
      <c r="J11680" t="s">
        <v>35511</v>
      </c>
      <c r="K11680" t="s">
        <v>36694</v>
      </c>
      <c r="L11680" t="s">
        <v>1915</v>
      </c>
      <c r="M11680" t="s">
        <v>39047</v>
      </c>
      <c r="N11680" t="s">
        <v>40436</v>
      </c>
      <c r="O11680" t="s">
        <v>40437</v>
      </c>
      <c r="P11680">
        <v>0</v>
      </c>
      <c r="Q11680">
        <v>2</v>
      </c>
      <c r="R11680" t="s">
        <v>40453</v>
      </c>
      <c r="S11680" t="s">
        <v>41237</v>
      </c>
      <c r="T11680" t="s">
        <v>42097</v>
      </c>
      <c r="U11680" t="s">
        <v>52251</v>
      </c>
      <c r="V11680" t="s">
        <v>55108</v>
      </c>
      <c r="W11680" t="s">
        <v>39047</v>
      </c>
      <c r="X11680" t="s">
        <v>40454</v>
      </c>
    </row>
    <row r="11681" spans="1:24">
      <c r="A11681">
        <f>HYPERLINK("https://www.philgeps.gov.ph/GEPSNONPILOT/Tender/SplashBidNoticeAbstractUI.aspx?menuIndex=3&amp;refID=7019178&amp;Result=3","7019178")</f>
        <v>0</v>
      </c>
      <c r="B11681" t="s">
        <v>1915</v>
      </c>
      <c r="C11681" t="s">
        <v>5333</v>
      </c>
      <c r="D11681" t="s">
        <v>16209</v>
      </c>
      <c r="E11681" t="s">
        <v>16570</v>
      </c>
      <c r="F11681" t="s">
        <v>28198</v>
      </c>
      <c r="G11681" t="s">
        <v>28205</v>
      </c>
      <c r="H11681" t="s">
        <v>28214</v>
      </c>
      <c r="I11681" t="s">
        <v>3797</v>
      </c>
      <c r="J11681" t="s">
        <v>35512</v>
      </c>
      <c r="K11681" t="s">
        <v>36694</v>
      </c>
      <c r="L11681" t="s">
        <v>1915</v>
      </c>
      <c r="M11681" t="s">
        <v>39047</v>
      </c>
      <c r="N11681" t="s">
        <v>40436</v>
      </c>
      <c r="O11681" t="s">
        <v>40437</v>
      </c>
      <c r="P11681">
        <v>0</v>
      </c>
      <c r="Q11681">
        <v>1</v>
      </c>
      <c r="R11681" t="s">
        <v>40453</v>
      </c>
      <c r="S11681" t="s">
        <v>41237</v>
      </c>
      <c r="T11681" t="s">
        <v>42097</v>
      </c>
      <c r="U11681" t="s">
        <v>52252</v>
      </c>
      <c r="V11681" t="s">
        <v>55109</v>
      </c>
      <c r="W11681" t="s">
        <v>39047</v>
      </c>
      <c r="X11681" t="s">
        <v>40454</v>
      </c>
    </row>
    <row r="11682" spans="1:24">
      <c r="A11682">
        <f>HYPERLINK("https://www.philgeps.gov.ph/GEPSNONPILOT/Tender/SplashBidNoticeAbstractUI.aspx?menuIndex=3&amp;refID=7019197&amp;Result=3","7019197")</f>
        <v>0</v>
      </c>
      <c r="B11682" t="s">
        <v>2917</v>
      </c>
      <c r="C11682" t="s">
        <v>14258</v>
      </c>
      <c r="D11682" t="s">
        <v>16217</v>
      </c>
      <c r="E11682" t="s">
        <v>26417</v>
      </c>
      <c r="F11682" t="s">
        <v>28198</v>
      </c>
      <c r="G11682" t="s">
        <v>28206</v>
      </c>
      <c r="H11682" t="s">
        <v>28215</v>
      </c>
      <c r="I11682" t="s">
        <v>4505</v>
      </c>
      <c r="J11682" t="s">
        <v>35513</v>
      </c>
      <c r="K11682" t="s">
        <v>36688</v>
      </c>
      <c r="M11682" t="s">
        <v>40191</v>
      </c>
      <c r="N11682" t="s">
        <v>40436</v>
      </c>
      <c r="O11682" t="s">
        <v>40437</v>
      </c>
      <c r="Q11682">
        <v>9</v>
      </c>
      <c r="R11682" t="s">
        <v>40453</v>
      </c>
      <c r="S11682" t="s">
        <v>41261</v>
      </c>
      <c r="T11682" t="s">
        <v>42133</v>
      </c>
      <c r="U11682" t="s">
        <v>52253</v>
      </c>
      <c r="W11682" t="s">
        <v>40191</v>
      </c>
      <c r="X11682" t="s">
        <v>40454</v>
      </c>
    </row>
    <row r="11683" spans="1:24">
      <c r="A11683">
        <f>HYPERLINK("https://www.philgeps.gov.ph/GEPSNONPILOT/Tender/SplashBidNoticeAbstractUI.aspx?menuIndex=3&amp;refID=7019193&amp;Result=3","7019193")</f>
        <v>0</v>
      </c>
      <c r="B11683" t="s">
        <v>1657</v>
      </c>
      <c r="C11683" t="s">
        <v>14259</v>
      </c>
      <c r="D11683" t="s">
        <v>16260</v>
      </c>
      <c r="E11683" t="s">
        <v>26418</v>
      </c>
      <c r="F11683" t="s">
        <v>28198</v>
      </c>
      <c r="G11683" t="s">
        <v>28205</v>
      </c>
      <c r="H11683" t="s">
        <v>28214</v>
      </c>
      <c r="I11683" t="s">
        <v>3797</v>
      </c>
      <c r="J11683" t="s">
        <v>28398</v>
      </c>
      <c r="K11683" t="s">
        <v>36766</v>
      </c>
      <c r="M11683" t="s">
        <v>38751</v>
      </c>
      <c r="N11683" t="s">
        <v>40436</v>
      </c>
      <c r="O11683" t="s">
        <v>40437</v>
      </c>
      <c r="P11683">
        <v>0</v>
      </c>
      <c r="Q11683">
        <v>0</v>
      </c>
      <c r="R11683" t="s">
        <v>40453</v>
      </c>
      <c r="S11683" t="s">
        <v>41237</v>
      </c>
      <c r="T11683" t="s">
        <v>42177</v>
      </c>
      <c r="U11683" t="s">
        <v>52254</v>
      </c>
      <c r="V11683" t="s">
        <v>55110</v>
      </c>
      <c r="W11683" t="s">
        <v>38751</v>
      </c>
      <c r="X11683" t="s">
        <v>40454</v>
      </c>
    </row>
    <row r="11684" spans="1:24">
      <c r="A11684">
        <f>HYPERLINK("https://www.philgeps.gov.ph/GEPSNONPILOT/Tender/SplashBidNoticeAbstractUI.aspx?menuIndex=3&amp;refID=7019253&amp;Result=3","7019253")</f>
        <v>0</v>
      </c>
      <c r="B11684" t="s">
        <v>2916</v>
      </c>
      <c r="C11684" t="s">
        <v>14260</v>
      </c>
      <c r="D11684" t="s">
        <v>16247</v>
      </c>
      <c r="E11684" t="s">
        <v>26419</v>
      </c>
      <c r="F11684" t="s">
        <v>28198</v>
      </c>
      <c r="G11684" t="s">
        <v>28205</v>
      </c>
      <c r="H11684" t="s">
        <v>28215</v>
      </c>
      <c r="I11684" t="s">
        <v>8888</v>
      </c>
      <c r="J11684" t="s">
        <v>35514</v>
      </c>
      <c r="K11684" t="s">
        <v>36756</v>
      </c>
      <c r="M11684" t="s">
        <v>40190</v>
      </c>
      <c r="N11684" t="s">
        <v>40436</v>
      </c>
      <c r="O11684" t="s">
        <v>40437</v>
      </c>
      <c r="P11684">
        <v>0</v>
      </c>
      <c r="Q11684">
        <v>9</v>
      </c>
      <c r="R11684" t="s">
        <v>40453</v>
      </c>
      <c r="S11684" t="s">
        <v>41237</v>
      </c>
      <c r="T11684" t="s">
        <v>42119</v>
      </c>
      <c r="U11684" t="s">
        <v>52249</v>
      </c>
      <c r="W11684" t="s">
        <v>40190</v>
      </c>
      <c r="X11684" t="s">
        <v>40454</v>
      </c>
    </row>
    <row r="11685" spans="1:24">
      <c r="A11685">
        <f>HYPERLINK("https://www.philgeps.gov.ph/GEPSNONPILOT/Tender/SplashBidNoticeAbstractUI.aspx?menuIndex=3&amp;refID=7019192&amp;Result=3","7019192")</f>
        <v>0</v>
      </c>
      <c r="B11685" t="s">
        <v>1657</v>
      </c>
      <c r="C11685" t="s">
        <v>14261</v>
      </c>
      <c r="D11685" t="s">
        <v>16260</v>
      </c>
      <c r="E11685" t="s">
        <v>26420</v>
      </c>
      <c r="F11685" t="s">
        <v>28198</v>
      </c>
      <c r="G11685" t="s">
        <v>28205</v>
      </c>
      <c r="H11685" t="s">
        <v>28214</v>
      </c>
      <c r="I11685" t="s">
        <v>3797</v>
      </c>
      <c r="J11685" t="s">
        <v>28645</v>
      </c>
      <c r="K11685" t="s">
        <v>36880</v>
      </c>
      <c r="M11685" t="s">
        <v>38751</v>
      </c>
      <c r="N11685" t="s">
        <v>40436</v>
      </c>
      <c r="O11685" t="s">
        <v>40437</v>
      </c>
      <c r="P11685">
        <v>0</v>
      </c>
      <c r="Q11685">
        <v>0</v>
      </c>
      <c r="R11685" t="s">
        <v>40453</v>
      </c>
      <c r="S11685" t="s">
        <v>41237</v>
      </c>
      <c r="T11685" t="s">
        <v>42177</v>
      </c>
      <c r="U11685" t="s">
        <v>52255</v>
      </c>
      <c r="V11685" t="s">
        <v>55110</v>
      </c>
      <c r="W11685" t="s">
        <v>38751</v>
      </c>
      <c r="X11685" t="s">
        <v>40454</v>
      </c>
    </row>
    <row r="11686" spans="1:24">
      <c r="A11686">
        <f>HYPERLINK("https://www.philgeps.gov.ph/GEPSNONPILOT/Tender/SplashBidNoticeAbstractUI.aspx?menuIndex=3&amp;refID=7019294&amp;Result=3","7019294")</f>
        <v>0</v>
      </c>
      <c r="B11686" t="s">
        <v>2918</v>
      </c>
      <c r="C11686" t="s">
        <v>14262</v>
      </c>
      <c r="D11686" t="s">
        <v>16193</v>
      </c>
      <c r="E11686" t="s">
        <v>26421</v>
      </c>
      <c r="F11686" t="s">
        <v>28198</v>
      </c>
      <c r="G11686" t="s">
        <v>28205</v>
      </c>
      <c r="H11686" t="s">
        <v>28214</v>
      </c>
      <c r="I11686" t="s">
        <v>3797</v>
      </c>
      <c r="J11686" t="s">
        <v>35515</v>
      </c>
      <c r="K11686" t="s">
        <v>36737</v>
      </c>
      <c r="M11686" t="s">
        <v>40192</v>
      </c>
      <c r="N11686" t="s">
        <v>40436</v>
      </c>
      <c r="O11686" t="s">
        <v>40437</v>
      </c>
      <c r="P11686">
        <v>0</v>
      </c>
      <c r="Q11686">
        <v>0</v>
      </c>
      <c r="R11686" t="s">
        <v>40453</v>
      </c>
      <c r="S11686" t="s">
        <v>41237</v>
      </c>
      <c r="T11686" t="s">
        <v>42159</v>
      </c>
      <c r="U11686" t="s">
        <v>52256</v>
      </c>
      <c r="W11686" t="s">
        <v>40192</v>
      </c>
      <c r="X11686" t="s">
        <v>40454</v>
      </c>
    </row>
    <row r="11687" spans="1:24">
      <c r="A11687">
        <f>HYPERLINK("https://www.philgeps.gov.ph/GEPSNONPILOT/Tender/SplashBidNoticeAbstractUI.aspx?menuIndex=3&amp;refID=7019281&amp;Result=3","7019281")</f>
        <v>0</v>
      </c>
      <c r="B11687" t="s">
        <v>2916</v>
      </c>
      <c r="C11687" t="s">
        <v>14263</v>
      </c>
      <c r="D11687" t="s">
        <v>16247</v>
      </c>
      <c r="E11687" t="s">
        <v>26422</v>
      </c>
      <c r="F11687" t="s">
        <v>28198</v>
      </c>
      <c r="G11687" t="s">
        <v>28205</v>
      </c>
      <c r="H11687" t="s">
        <v>28214</v>
      </c>
      <c r="I11687" t="s">
        <v>3797</v>
      </c>
      <c r="J11687" t="s">
        <v>35516</v>
      </c>
      <c r="K11687" t="s">
        <v>36697</v>
      </c>
      <c r="M11687" t="s">
        <v>40190</v>
      </c>
      <c r="N11687" t="s">
        <v>40436</v>
      </c>
      <c r="O11687" t="s">
        <v>40437</v>
      </c>
      <c r="P11687">
        <v>0</v>
      </c>
      <c r="Q11687">
        <v>2</v>
      </c>
      <c r="R11687" t="s">
        <v>40453</v>
      </c>
      <c r="S11687" t="s">
        <v>41237</v>
      </c>
      <c r="T11687" t="s">
        <v>42119</v>
      </c>
      <c r="U11687" t="s">
        <v>52249</v>
      </c>
      <c r="W11687" t="s">
        <v>40190</v>
      </c>
      <c r="X11687" t="s">
        <v>40454</v>
      </c>
    </row>
    <row r="11688" spans="1:24">
      <c r="A11688">
        <f>HYPERLINK("https://www.philgeps.gov.ph/GEPSNONPILOT/Tender/SplashBidNoticeAbstractUI.aspx?menuIndex=3&amp;refID=7019275&amp;Result=3","7019275")</f>
        <v>0</v>
      </c>
      <c r="B11688" t="s">
        <v>2916</v>
      </c>
      <c r="C11688" t="s">
        <v>14264</v>
      </c>
      <c r="D11688" t="s">
        <v>16247</v>
      </c>
      <c r="E11688" t="s">
        <v>26423</v>
      </c>
      <c r="F11688" t="s">
        <v>28198</v>
      </c>
      <c r="G11688" t="s">
        <v>28205</v>
      </c>
      <c r="H11688" t="s">
        <v>28215</v>
      </c>
      <c r="I11688" t="s">
        <v>5100</v>
      </c>
      <c r="J11688" t="s">
        <v>35517</v>
      </c>
      <c r="K11688" t="s">
        <v>36756</v>
      </c>
      <c r="M11688" t="s">
        <v>40190</v>
      </c>
      <c r="N11688" t="s">
        <v>40436</v>
      </c>
      <c r="O11688" t="s">
        <v>40437</v>
      </c>
      <c r="P11688">
        <v>0</v>
      </c>
      <c r="Q11688">
        <v>1</v>
      </c>
      <c r="R11688" t="s">
        <v>40453</v>
      </c>
      <c r="S11688" t="s">
        <v>41237</v>
      </c>
      <c r="T11688" t="s">
        <v>42119</v>
      </c>
      <c r="U11688" t="s">
        <v>52249</v>
      </c>
      <c r="W11688" t="s">
        <v>40190</v>
      </c>
      <c r="X11688" t="s">
        <v>40454</v>
      </c>
    </row>
    <row r="11689" spans="1:24">
      <c r="A11689">
        <f>HYPERLINK("https://www.philgeps.gov.ph/GEPSNONPILOT/Tender/SplashBidNoticeAbstractUI.aspx?menuIndex=3&amp;refID=7019263&amp;Result=3","7019263")</f>
        <v>0</v>
      </c>
      <c r="B11689" t="s">
        <v>2916</v>
      </c>
      <c r="C11689" t="s">
        <v>14265</v>
      </c>
      <c r="D11689" t="s">
        <v>16247</v>
      </c>
      <c r="E11689" t="s">
        <v>26424</v>
      </c>
      <c r="F11689" t="s">
        <v>28198</v>
      </c>
      <c r="G11689" t="s">
        <v>28205</v>
      </c>
      <c r="H11689" t="s">
        <v>28215</v>
      </c>
      <c r="I11689" t="s">
        <v>5100</v>
      </c>
      <c r="J11689" t="s">
        <v>35518</v>
      </c>
      <c r="K11689" t="s">
        <v>36756</v>
      </c>
      <c r="M11689" t="s">
        <v>40190</v>
      </c>
      <c r="N11689" t="s">
        <v>40436</v>
      </c>
      <c r="O11689" t="s">
        <v>40437</v>
      </c>
      <c r="P11689">
        <v>0</v>
      </c>
      <c r="Q11689">
        <v>1</v>
      </c>
      <c r="R11689" t="s">
        <v>40453</v>
      </c>
      <c r="S11689" t="s">
        <v>41237</v>
      </c>
      <c r="T11689" t="s">
        <v>42119</v>
      </c>
      <c r="U11689" t="s">
        <v>52249</v>
      </c>
      <c r="W11689" t="s">
        <v>40190</v>
      </c>
      <c r="X11689" t="s">
        <v>40454</v>
      </c>
    </row>
    <row r="11690" spans="1:24">
      <c r="A11690">
        <f>HYPERLINK("https://www.philgeps.gov.ph/GEPSNONPILOT/Tender/SplashBidNoticeAbstractUI.aspx?menuIndex=3&amp;refID=7019276&amp;Result=3","7019276")</f>
        <v>0</v>
      </c>
      <c r="B11690" t="s">
        <v>2692</v>
      </c>
      <c r="C11690" t="s">
        <v>14266</v>
      </c>
      <c r="D11690" t="s">
        <v>16254</v>
      </c>
      <c r="E11690" t="s">
        <v>26425</v>
      </c>
      <c r="F11690" t="s">
        <v>28198</v>
      </c>
      <c r="G11690" t="s">
        <v>28205</v>
      </c>
      <c r="H11690" t="s">
        <v>28215</v>
      </c>
      <c r="I11690" t="s">
        <v>28257</v>
      </c>
      <c r="J11690" t="s">
        <v>28379</v>
      </c>
      <c r="K11690" t="s">
        <v>36715</v>
      </c>
      <c r="M11690" t="s">
        <v>39929</v>
      </c>
      <c r="N11690" t="s">
        <v>40436</v>
      </c>
      <c r="O11690" t="s">
        <v>40437</v>
      </c>
      <c r="P11690">
        <v>0</v>
      </c>
      <c r="Q11690">
        <v>1</v>
      </c>
      <c r="R11690" t="s">
        <v>40453</v>
      </c>
      <c r="S11690" t="s">
        <v>41237</v>
      </c>
      <c r="T11690" t="s">
        <v>42128</v>
      </c>
      <c r="U11690" t="s">
        <v>52257</v>
      </c>
      <c r="W11690" t="s">
        <v>39929</v>
      </c>
      <c r="X11690" t="s">
        <v>40454</v>
      </c>
    </row>
    <row r="11691" spans="1:24">
      <c r="A11691">
        <f>HYPERLINK("https://www.philgeps.gov.ph/GEPSNONPILOT/Tender/SplashBidNoticeAbstractUI.aspx?menuIndex=3&amp;refID=7019297&amp;Result=3","7019297")</f>
        <v>0</v>
      </c>
      <c r="B11691" t="s">
        <v>2287</v>
      </c>
      <c r="C11691" t="s">
        <v>14267</v>
      </c>
      <c r="D11691" t="s">
        <v>16252</v>
      </c>
      <c r="E11691" t="s">
        <v>26426</v>
      </c>
      <c r="F11691" t="s">
        <v>28198</v>
      </c>
      <c r="G11691" t="s">
        <v>28205</v>
      </c>
      <c r="H11691" t="s">
        <v>28215</v>
      </c>
      <c r="I11691" t="s">
        <v>3797</v>
      </c>
      <c r="J11691" t="s">
        <v>35519</v>
      </c>
      <c r="K11691" t="s">
        <v>36696</v>
      </c>
      <c r="M11691" t="s">
        <v>39461</v>
      </c>
      <c r="N11691" t="s">
        <v>40436</v>
      </c>
      <c r="O11691" t="s">
        <v>40437</v>
      </c>
      <c r="P11691">
        <v>0</v>
      </c>
      <c r="Q11691">
        <v>5</v>
      </c>
      <c r="R11691" t="s">
        <v>40453</v>
      </c>
      <c r="S11691" t="s">
        <v>41237</v>
      </c>
      <c r="T11691" t="s">
        <v>42484</v>
      </c>
      <c r="U11691" t="s">
        <v>52258</v>
      </c>
      <c r="W11691" t="s">
        <v>39461</v>
      </c>
      <c r="X11691" t="s">
        <v>40454</v>
      </c>
    </row>
    <row r="11692" spans="1:24">
      <c r="A11692">
        <f>HYPERLINK("https://www.philgeps.gov.ph/GEPSNONPILOT/Tender/SplashBidNoticeAbstractUI.aspx?menuIndex=3&amp;refID=7019271&amp;Result=3","7019271")</f>
        <v>0</v>
      </c>
      <c r="B11692" t="s">
        <v>2541</v>
      </c>
      <c r="C11692" t="s">
        <v>14268</v>
      </c>
      <c r="D11692" t="s">
        <v>16206</v>
      </c>
      <c r="E11692" t="s">
        <v>26427</v>
      </c>
      <c r="F11692" t="s">
        <v>28198</v>
      </c>
      <c r="G11692" t="s">
        <v>28205</v>
      </c>
      <c r="H11692" t="s">
        <v>28214</v>
      </c>
      <c r="I11692" t="s">
        <v>3797</v>
      </c>
      <c r="J11692" t="s">
        <v>35520</v>
      </c>
      <c r="K11692" t="s">
        <v>36776</v>
      </c>
      <c r="M11692" t="s">
        <v>40193</v>
      </c>
      <c r="N11692" t="s">
        <v>40436</v>
      </c>
      <c r="O11692" t="s">
        <v>40437</v>
      </c>
      <c r="Q11692">
        <v>3</v>
      </c>
      <c r="R11692" t="s">
        <v>40453</v>
      </c>
      <c r="S11692" t="s">
        <v>41262</v>
      </c>
      <c r="T11692" t="s">
        <v>42119</v>
      </c>
      <c r="U11692" t="s">
        <v>52259</v>
      </c>
      <c r="W11692" t="s">
        <v>40193</v>
      </c>
      <c r="X11692" t="s">
        <v>40454</v>
      </c>
    </row>
    <row r="11693" spans="1:24">
      <c r="A11693">
        <f>HYPERLINK("https://www.philgeps.gov.ph/GEPSNONPILOT/Tender/SplashBidNoticeAbstractUI.aspx?menuIndex=3&amp;refID=7019382&amp;Result=3","7019382")</f>
        <v>0</v>
      </c>
      <c r="B11693" t="s">
        <v>2541</v>
      </c>
      <c r="C11693" t="s">
        <v>14269</v>
      </c>
      <c r="D11693" t="s">
        <v>16206</v>
      </c>
      <c r="E11693" t="s">
        <v>26428</v>
      </c>
      <c r="F11693" t="s">
        <v>28198</v>
      </c>
      <c r="G11693" t="s">
        <v>28205</v>
      </c>
      <c r="H11693" t="s">
        <v>28214</v>
      </c>
      <c r="I11693" t="s">
        <v>3797</v>
      </c>
      <c r="J11693" t="s">
        <v>35521</v>
      </c>
      <c r="K11693" t="s">
        <v>36846</v>
      </c>
      <c r="M11693" t="s">
        <v>40193</v>
      </c>
      <c r="N11693" t="s">
        <v>40436</v>
      </c>
      <c r="O11693" t="s">
        <v>40437</v>
      </c>
      <c r="P11693">
        <v>0</v>
      </c>
      <c r="Q11693">
        <v>4</v>
      </c>
      <c r="R11693" t="s">
        <v>40453</v>
      </c>
      <c r="S11693" t="s">
        <v>41237</v>
      </c>
      <c r="T11693" t="s">
        <v>42119</v>
      </c>
      <c r="U11693" t="s">
        <v>52260</v>
      </c>
      <c r="W11693" t="s">
        <v>40193</v>
      </c>
      <c r="X11693" t="s">
        <v>40454</v>
      </c>
    </row>
    <row r="11694" spans="1:24">
      <c r="A11694">
        <f>HYPERLINK("https://www.philgeps.gov.ph/GEPSNONPILOT/Tender/SplashBidNoticeAbstractUI.aspx?menuIndex=3&amp;refID=7019367&amp;Result=3","7019367")</f>
        <v>0</v>
      </c>
      <c r="B11694" t="s">
        <v>2414</v>
      </c>
      <c r="C11694" t="s">
        <v>14270</v>
      </c>
      <c r="D11694" t="s">
        <v>16213</v>
      </c>
      <c r="E11694" t="s">
        <v>26429</v>
      </c>
      <c r="F11694" t="s">
        <v>28198</v>
      </c>
      <c r="G11694" t="s">
        <v>28205</v>
      </c>
      <c r="H11694" t="s">
        <v>28214</v>
      </c>
      <c r="I11694" t="s">
        <v>3797</v>
      </c>
      <c r="J11694" t="s">
        <v>35522</v>
      </c>
      <c r="K11694" t="s">
        <v>36694</v>
      </c>
      <c r="M11694" t="s">
        <v>39603</v>
      </c>
      <c r="N11694" t="s">
        <v>40436</v>
      </c>
      <c r="O11694" t="s">
        <v>40437</v>
      </c>
      <c r="P11694">
        <v>0</v>
      </c>
      <c r="Q11694">
        <v>0</v>
      </c>
      <c r="R11694" t="s">
        <v>40453</v>
      </c>
      <c r="S11694" t="s">
        <v>41237</v>
      </c>
      <c r="T11694" t="s">
        <v>42203</v>
      </c>
      <c r="U11694" t="s">
        <v>52261</v>
      </c>
      <c r="V11694" t="s">
        <v>55111</v>
      </c>
      <c r="W11694" t="s">
        <v>39603</v>
      </c>
      <c r="X11694" t="s">
        <v>40454</v>
      </c>
    </row>
    <row r="11695" spans="1:24">
      <c r="A11695">
        <f>HYPERLINK("https://www.philgeps.gov.ph/GEPSNONPILOT/Tender/SplashBidNoticeAbstractUI.aspx?menuIndex=3&amp;refID=7019282&amp;Result=3","7019282")</f>
        <v>0</v>
      </c>
      <c r="B11695" t="s">
        <v>2918</v>
      </c>
      <c r="C11695" t="s">
        <v>14271</v>
      </c>
      <c r="D11695" t="s">
        <v>16193</v>
      </c>
      <c r="E11695" t="s">
        <v>26430</v>
      </c>
      <c r="F11695" t="s">
        <v>28198</v>
      </c>
      <c r="G11695" t="s">
        <v>28205</v>
      </c>
      <c r="H11695" t="s">
        <v>28214</v>
      </c>
      <c r="I11695" t="s">
        <v>3797</v>
      </c>
      <c r="J11695" t="s">
        <v>35523</v>
      </c>
      <c r="K11695" t="s">
        <v>36737</v>
      </c>
      <c r="M11695" t="s">
        <v>40192</v>
      </c>
      <c r="N11695" t="s">
        <v>40436</v>
      </c>
      <c r="O11695" t="s">
        <v>40437</v>
      </c>
      <c r="P11695">
        <v>0</v>
      </c>
      <c r="Q11695">
        <v>1</v>
      </c>
      <c r="R11695" t="s">
        <v>40453</v>
      </c>
      <c r="S11695" t="s">
        <v>41237</v>
      </c>
      <c r="T11695" t="s">
        <v>42159</v>
      </c>
      <c r="U11695" t="s">
        <v>52256</v>
      </c>
      <c r="W11695" t="s">
        <v>40192</v>
      </c>
      <c r="X11695" t="s">
        <v>40454</v>
      </c>
    </row>
    <row r="11696" spans="1:24">
      <c r="A11696">
        <f>HYPERLINK("https://www.philgeps.gov.ph/GEPSNONPILOT/Tender/SplashBidNoticeAbstractUI.aspx?menuIndex=3&amp;refID=7019337&amp;Result=3","7019337")</f>
        <v>0</v>
      </c>
      <c r="B11696" t="s">
        <v>1509</v>
      </c>
      <c r="C11696" t="s">
        <v>14272</v>
      </c>
      <c r="D11696" t="s">
        <v>16262</v>
      </c>
      <c r="E11696" t="s">
        <v>26431</v>
      </c>
      <c r="F11696" t="s">
        <v>28198</v>
      </c>
      <c r="G11696" t="s">
        <v>28208</v>
      </c>
      <c r="H11696" t="s">
        <v>28215</v>
      </c>
      <c r="I11696" t="s">
        <v>28231</v>
      </c>
      <c r="J11696" t="s">
        <v>35524</v>
      </c>
      <c r="K11696" t="s">
        <v>36692</v>
      </c>
      <c r="M11696" t="s">
        <v>40194</v>
      </c>
      <c r="N11696" t="s">
        <v>40436</v>
      </c>
      <c r="O11696" t="s">
        <v>40437</v>
      </c>
      <c r="P11696">
        <v>0</v>
      </c>
      <c r="Q11696">
        <v>1</v>
      </c>
      <c r="R11696" t="s">
        <v>40453</v>
      </c>
      <c r="S11696" t="s">
        <v>41237</v>
      </c>
      <c r="T11696" t="s">
        <v>42133</v>
      </c>
      <c r="U11696" t="s">
        <v>52262</v>
      </c>
      <c r="V11696" t="s">
        <v>55112</v>
      </c>
      <c r="W11696" t="s">
        <v>40194</v>
      </c>
      <c r="X11696" t="s">
        <v>40454</v>
      </c>
    </row>
    <row r="11697" spans="1:24">
      <c r="A11697">
        <f>HYPERLINK("https://www.philgeps.gov.ph/GEPSNONPILOT/Tender/SplashBidNoticeAbstractUI.aspx?menuIndex=3&amp;refID=7019259&amp;Result=3","7019259")</f>
        <v>0</v>
      </c>
      <c r="B11697" t="s">
        <v>1731</v>
      </c>
      <c r="C11697" t="s">
        <v>14273</v>
      </c>
      <c r="D11697" t="s">
        <v>16193</v>
      </c>
      <c r="E11697" t="s">
        <v>26432</v>
      </c>
      <c r="F11697" t="s">
        <v>28198</v>
      </c>
      <c r="G11697" t="s">
        <v>28205</v>
      </c>
      <c r="H11697" t="s">
        <v>28215</v>
      </c>
      <c r="I11697" t="s">
        <v>3422</v>
      </c>
      <c r="J11697" t="s">
        <v>35525</v>
      </c>
      <c r="K11697" t="s">
        <v>36705</v>
      </c>
      <c r="M11697" t="s">
        <v>38842</v>
      </c>
      <c r="N11697" t="s">
        <v>40436</v>
      </c>
      <c r="O11697" t="s">
        <v>40437</v>
      </c>
      <c r="P11697">
        <v>0</v>
      </c>
      <c r="Q11697">
        <v>0</v>
      </c>
      <c r="R11697" t="s">
        <v>40453</v>
      </c>
      <c r="S11697" t="s">
        <v>41237</v>
      </c>
      <c r="T11697" t="s">
        <v>42119</v>
      </c>
      <c r="U11697" t="s">
        <v>52263</v>
      </c>
      <c r="W11697" t="s">
        <v>38842</v>
      </c>
      <c r="X11697" t="s">
        <v>40454</v>
      </c>
    </row>
    <row r="11698" spans="1:24">
      <c r="A11698">
        <f>HYPERLINK("https://www.philgeps.gov.ph/GEPSNONPILOT/Tender/SplashBidNoticeAbstractUI.aspx?menuIndex=3&amp;refID=7019348&amp;Result=3","7019348")</f>
        <v>0</v>
      </c>
      <c r="B11698" t="s">
        <v>1731</v>
      </c>
      <c r="C11698" t="s">
        <v>14274</v>
      </c>
      <c r="D11698" t="s">
        <v>16193</v>
      </c>
      <c r="E11698" t="s">
        <v>26433</v>
      </c>
      <c r="F11698" t="s">
        <v>28198</v>
      </c>
      <c r="G11698" t="s">
        <v>28205</v>
      </c>
      <c r="H11698" t="s">
        <v>28215</v>
      </c>
      <c r="I11698" t="s">
        <v>4200</v>
      </c>
      <c r="J11698" t="s">
        <v>35526</v>
      </c>
      <c r="K11698" t="s">
        <v>36701</v>
      </c>
      <c r="M11698" t="s">
        <v>38842</v>
      </c>
      <c r="N11698" t="s">
        <v>40436</v>
      </c>
      <c r="O11698" t="s">
        <v>40437</v>
      </c>
      <c r="P11698">
        <v>0</v>
      </c>
      <c r="Q11698">
        <v>5</v>
      </c>
      <c r="R11698" t="s">
        <v>40453</v>
      </c>
      <c r="S11698" t="s">
        <v>41237</v>
      </c>
      <c r="T11698" t="s">
        <v>42119</v>
      </c>
      <c r="U11698" t="s">
        <v>52264</v>
      </c>
      <c r="V11698" t="s">
        <v>54518</v>
      </c>
      <c r="W11698" t="s">
        <v>38842</v>
      </c>
      <c r="X11698" t="s">
        <v>40454</v>
      </c>
    </row>
    <row r="11699" spans="1:24">
      <c r="A11699">
        <f>HYPERLINK("https://www.philgeps.gov.ph/GEPSNONPILOT/Tender/SplashBidNoticeAbstractUI.aspx?menuIndex=3&amp;refID=7019412&amp;Result=3","7019412")</f>
        <v>0</v>
      </c>
      <c r="B11699" t="s">
        <v>67</v>
      </c>
      <c r="C11699" t="s">
        <v>14275</v>
      </c>
      <c r="D11699" t="s">
        <v>16192</v>
      </c>
      <c r="E11699" t="s">
        <v>26434</v>
      </c>
      <c r="F11699" t="s">
        <v>28198</v>
      </c>
      <c r="G11699" t="s">
        <v>28205</v>
      </c>
      <c r="H11699" t="s">
        <v>28215</v>
      </c>
      <c r="I11699" t="s">
        <v>28314</v>
      </c>
      <c r="J11699" t="s">
        <v>35527</v>
      </c>
      <c r="K11699" t="s">
        <v>36701</v>
      </c>
      <c r="M11699" t="s">
        <v>37039</v>
      </c>
      <c r="N11699" t="s">
        <v>40436</v>
      </c>
      <c r="O11699" t="s">
        <v>40437</v>
      </c>
      <c r="P11699">
        <v>0</v>
      </c>
      <c r="Q11699">
        <v>6</v>
      </c>
      <c r="R11699" t="s">
        <v>40453</v>
      </c>
      <c r="S11699" t="s">
        <v>41237</v>
      </c>
      <c r="T11699" t="s">
        <v>42126</v>
      </c>
      <c r="U11699" t="s">
        <v>42701</v>
      </c>
      <c r="V11699" t="s">
        <v>55113</v>
      </c>
      <c r="W11699" t="s">
        <v>37039</v>
      </c>
      <c r="X11699" t="s">
        <v>40454</v>
      </c>
    </row>
    <row r="11700" spans="1:24">
      <c r="A11700">
        <f>HYPERLINK("https://www.philgeps.gov.ph/GEPSNONPILOT/Tender/SplashBidNoticeAbstractUI.aspx?menuIndex=3&amp;refID=7019261&amp;Result=3","7019261")</f>
        <v>0</v>
      </c>
      <c r="B11700" t="s">
        <v>2918</v>
      </c>
      <c r="C11700" t="s">
        <v>14276</v>
      </c>
      <c r="D11700" t="s">
        <v>16193</v>
      </c>
      <c r="E11700" t="s">
        <v>26435</v>
      </c>
      <c r="F11700" t="s">
        <v>28198</v>
      </c>
      <c r="G11700" t="s">
        <v>28205</v>
      </c>
      <c r="H11700" t="s">
        <v>28215</v>
      </c>
      <c r="I11700" t="s">
        <v>28222</v>
      </c>
      <c r="J11700" t="s">
        <v>28351</v>
      </c>
      <c r="K11700" t="s">
        <v>36694</v>
      </c>
      <c r="M11700" t="s">
        <v>40192</v>
      </c>
      <c r="N11700" t="s">
        <v>40436</v>
      </c>
      <c r="O11700" t="s">
        <v>40437</v>
      </c>
      <c r="P11700">
        <v>0</v>
      </c>
      <c r="Q11700">
        <v>11</v>
      </c>
      <c r="R11700" t="s">
        <v>40453</v>
      </c>
      <c r="S11700" t="s">
        <v>41237</v>
      </c>
      <c r="T11700" t="s">
        <v>42159</v>
      </c>
      <c r="U11700" t="s">
        <v>52256</v>
      </c>
      <c r="W11700" t="s">
        <v>40192</v>
      </c>
      <c r="X11700" t="s">
        <v>40454</v>
      </c>
    </row>
    <row r="11701" spans="1:24">
      <c r="A11701">
        <f>HYPERLINK("https://www.philgeps.gov.ph/GEPSNONPILOT/Tender/SplashBidNoticeAbstractUI.aspx?menuIndex=3&amp;refID=7019324&amp;Result=3","7019324")</f>
        <v>0</v>
      </c>
      <c r="B11701" t="s">
        <v>2919</v>
      </c>
      <c r="C11701" t="s">
        <v>14277</v>
      </c>
      <c r="D11701" t="s">
        <v>16193</v>
      </c>
      <c r="E11701" t="s">
        <v>26436</v>
      </c>
      <c r="F11701" t="s">
        <v>28198</v>
      </c>
      <c r="G11701" t="s">
        <v>28205</v>
      </c>
      <c r="H11701" t="s">
        <v>28214</v>
      </c>
      <c r="I11701" t="s">
        <v>3797</v>
      </c>
      <c r="J11701" t="s">
        <v>35528</v>
      </c>
      <c r="K11701" t="s">
        <v>36692</v>
      </c>
      <c r="M11701" t="s">
        <v>40195</v>
      </c>
      <c r="N11701" t="s">
        <v>40436</v>
      </c>
      <c r="O11701" t="s">
        <v>40437</v>
      </c>
      <c r="P11701">
        <v>0</v>
      </c>
      <c r="Q11701">
        <v>0</v>
      </c>
      <c r="R11701" t="s">
        <v>40453</v>
      </c>
      <c r="S11701" t="s">
        <v>41237</v>
      </c>
      <c r="T11701" t="s">
        <v>42383</v>
      </c>
      <c r="U11701" t="s">
        <v>52265</v>
      </c>
      <c r="W11701" t="s">
        <v>40195</v>
      </c>
      <c r="X11701" t="s">
        <v>40454</v>
      </c>
    </row>
    <row r="11702" spans="1:24">
      <c r="A11702">
        <f>HYPERLINK("https://www.philgeps.gov.ph/GEPSNONPILOT/Tender/SplashBidNoticeAbstractUI.aspx?menuIndex=3&amp;refID=7019358&amp;Result=3","7019358")</f>
        <v>0</v>
      </c>
      <c r="B11702" t="s">
        <v>67</v>
      </c>
      <c r="C11702" t="s">
        <v>14278</v>
      </c>
      <c r="D11702" t="s">
        <v>16192</v>
      </c>
      <c r="E11702" t="s">
        <v>26437</v>
      </c>
      <c r="F11702" t="s">
        <v>28198</v>
      </c>
      <c r="G11702" t="s">
        <v>28205</v>
      </c>
      <c r="H11702" t="s">
        <v>28214</v>
      </c>
      <c r="I11702" t="s">
        <v>3797</v>
      </c>
      <c r="J11702" t="s">
        <v>35529</v>
      </c>
      <c r="K11702" t="s">
        <v>36690</v>
      </c>
      <c r="M11702" t="s">
        <v>37039</v>
      </c>
      <c r="N11702" t="s">
        <v>40436</v>
      </c>
      <c r="O11702" t="s">
        <v>40437</v>
      </c>
      <c r="P11702">
        <v>0</v>
      </c>
      <c r="Q11702">
        <v>3</v>
      </c>
      <c r="R11702" t="s">
        <v>40453</v>
      </c>
      <c r="S11702" t="s">
        <v>41237</v>
      </c>
      <c r="T11702" t="s">
        <v>42144</v>
      </c>
      <c r="U11702" t="s">
        <v>52266</v>
      </c>
      <c r="W11702" t="s">
        <v>37039</v>
      </c>
      <c r="X11702" t="s">
        <v>40454</v>
      </c>
    </row>
    <row r="11703" spans="1:24">
      <c r="A11703">
        <f>HYPERLINK("https://www.philgeps.gov.ph/GEPSNONPILOT/Tender/SplashBidNoticeAbstractUI.aspx?menuIndex=3&amp;refID=7019411&amp;Result=3","7019411")</f>
        <v>0</v>
      </c>
      <c r="B11703" t="s">
        <v>1990</v>
      </c>
      <c r="C11703" t="s">
        <v>14279</v>
      </c>
      <c r="D11703" t="s">
        <v>16258</v>
      </c>
      <c r="E11703" t="s">
        <v>26438</v>
      </c>
      <c r="F11703" t="s">
        <v>28198</v>
      </c>
      <c r="G11703" t="s">
        <v>28205</v>
      </c>
      <c r="H11703" t="s">
        <v>28214</v>
      </c>
      <c r="I11703" t="s">
        <v>3797</v>
      </c>
      <c r="J11703" t="s">
        <v>35530</v>
      </c>
      <c r="K11703" t="s">
        <v>36731</v>
      </c>
      <c r="M11703" t="s">
        <v>39436</v>
      </c>
      <c r="N11703" t="s">
        <v>40436</v>
      </c>
      <c r="O11703" t="s">
        <v>40437</v>
      </c>
      <c r="P11703">
        <v>0</v>
      </c>
      <c r="Q11703">
        <v>2</v>
      </c>
      <c r="R11703" t="s">
        <v>40453</v>
      </c>
      <c r="S11703" t="s">
        <v>41237</v>
      </c>
      <c r="T11703" t="s">
        <v>42273</v>
      </c>
      <c r="U11703" t="s">
        <v>52267</v>
      </c>
      <c r="V11703" t="s">
        <v>54542</v>
      </c>
      <c r="W11703" t="s">
        <v>39436</v>
      </c>
      <c r="X11703" t="s">
        <v>40454</v>
      </c>
    </row>
    <row r="11704" spans="1:24">
      <c r="A11704">
        <f>HYPERLINK("https://www.philgeps.gov.ph/GEPSNONPILOT/Tender/SplashBidNoticeAbstractUI.aspx?menuIndex=3&amp;refID=7019355&amp;Result=3","7019355")</f>
        <v>0</v>
      </c>
      <c r="B11704" t="s">
        <v>261</v>
      </c>
      <c r="C11704" t="s">
        <v>14280</v>
      </c>
      <c r="D11704" t="s">
        <v>16237</v>
      </c>
      <c r="E11704" t="s">
        <v>26439</v>
      </c>
      <c r="F11704" t="s">
        <v>28198</v>
      </c>
      <c r="G11704" t="s">
        <v>28205</v>
      </c>
      <c r="H11704" t="s">
        <v>28215</v>
      </c>
      <c r="I11704" t="s">
        <v>28222</v>
      </c>
      <c r="J11704" t="s">
        <v>29002</v>
      </c>
      <c r="K11704" t="s">
        <v>36694</v>
      </c>
      <c r="M11704" t="s">
        <v>37237</v>
      </c>
      <c r="N11704" t="s">
        <v>40436</v>
      </c>
      <c r="O11704" t="s">
        <v>40437</v>
      </c>
      <c r="P11704">
        <v>0</v>
      </c>
      <c r="Q11704">
        <v>7</v>
      </c>
      <c r="R11704" t="s">
        <v>40453</v>
      </c>
      <c r="S11704" t="s">
        <v>41237</v>
      </c>
      <c r="T11704" t="s">
        <v>42133</v>
      </c>
      <c r="U11704" t="s">
        <v>52268</v>
      </c>
      <c r="W11704" t="s">
        <v>37237</v>
      </c>
      <c r="X11704" t="s">
        <v>40454</v>
      </c>
    </row>
    <row r="11705" spans="1:24">
      <c r="A11705">
        <f>HYPERLINK("https://www.philgeps.gov.ph/GEPSNONPILOT/Tender/SplashBidNoticeAbstractUI.aspx?menuIndex=3&amp;refID=7019405&amp;Result=3","7019405")</f>
        <v>0</v>
      </c>
      <c r="B11705" t="s">
        <v>2209</v>
      </c>
      <c r="C11705" t="s">
        <v>14281</v>
      </c>
      <c r="D11705" t="s">
        <v>16195</v>
      </c>
      <c r="E11705" t="s">
        <v>26440</v>
      </c>
      <c r="F11705" t="s">
        <v>28198</v>
      </c>
      <c r="G11705" t="s">
        <v>28205</v>
      </c>
      <c r="H11705" t="s">
        <v>28215</v>
      </c>
      <c r="I11705" t="s">
        <v>4168</v>
      </c>
      <c r="J11705" t="s">
        <v>35531</v>
      </c>
      <c r="K11705" t="s">
        <v>36706</v>
      </c>
      <c r="M11705" t="s">
        <v>39374</v>
      </c>
      <c r="N11705" t="s">
        <v>40436</v>
      </c>
      <c r="O11705" t="s">
        <v>40437</v>
      </c>
      <c r="P11705">
        <v>0</v>
      </c>
      <c r="Q11705">
        <v>2</v>
      </c>
      <c r="R11705" t="s">
        <v>40453</v>
      </c>
      <c r="S11705" t="s">
        <v>41237</v>
      </c>
      <c r="T11705" t="s">
        <v>42579</v>
      </c>
      <c r="U11705" t="s">
        <v>48556</v>
      </c>
      <c r="W11705" t="s">
        <v>55509</v>
      </c>
      <c r="X11705" t="s">
        <v>40454</v>
      </c>
    </row>
    <row r="11706" spans="1:24">
      <c r="A11706">
        <f>HYPERLINK("https://www.philgeps.gov.ph/GEPSNONPILOT/Tender/SplashBidNoticeAbstractUI.aspx?menuIndex=3&amp;refID=7019476&amp;Result=3","7019476")</f>
        <v>0</v>
      </c>
      <c r="B11706" t="s">
        <v>1990</v>
      </c>
      <c r="C11706" t="s">
        <v>14282</v>
      </c>
      <c r="D11706" t="s">
        <v>16258</v>
      </c>
      <c r="E11706" t="s">
        <v>26441</v>
      </c>
      <c r="F11706" t="s">
        <v>28198</v>
      </c>
      <c r="G11706" t="s">
        <v>28205</v>
      </c>
      <c r="H11706" t="s">
        <v>28214</v>
      </c>
      <c r="I11706" t="s">
        <v>3797</v>
      </c>
      <c r="J11706" t="s">
        <v>35532</v>
      </c>
      <c r="K11706" t="s">
        <v>36697</v>
      </c>
      <c r="M11706" t="s">
        <v>39436</v>
      </c>
      <c r="N11706" t="s">
        <v>40436</v>
      </c>
      <c r="O11706" t="s">
        <v>40437</v>
      </c>
      <c r="P11706">
        <v>0</v>
      </c>
      <c r="Q11706">
        <v>0</v>
      </c>
      <c r="R11706" t="s">
        <v>40453</v>
      </c>
      <c r="S11706" t="s">
        <v>41237</v>
      </c>
      <c r="T11706" t="s">
        <v>42273</v>
      </c>
      <c r="U11706" t="s">
        <v>52269</v>
      </c>
      <c r="V11706" t="s">
        <v>54542</v>
      </c>
      <c r="W11706" t="s">
        <v>39436</v>
      </c>
      <c r="X11706" t="s">
        <v>40454</v>
      </c>
    </row>
    <row r="11707" spans="1:24">
      <c r="A11707">
        <f>HYPERLINK("https://www.philgeps.gov.ph/GEPSNONPILOT/Tender/SplashBidNoticeAbstractUI.aspx?menuIndex=3&amp;refID=7019472&amp;Result=3","7019472")</f>
        <v>0</v>
      </c>
      <c r="B11707" t="s">
        <v>1990</v>
      </c>
      <c r="C11707" t="s">
        <v>14283</v>
      </c>
      <c r="D11707" t="s">
        <v>16258</v>
      </c>
      <c r="E11707" t="s">
        <v>26442</v>
      </c>
      <c r="F11707" t="s">
        <v>28198</v>
      </c>
      <c r="G11707" t="s">
        <v>28205</v>
      </c>
      <c r="H11707" t="s">
        <v>28214</v>
      </c>
      <c r="I11707" t="s">
        <v>3797</v>
      </c>
      <c r="J11707" t="s">
        <v>35533</v>
      </c>
      <c r="K11707" t="s">
        <v>36742</v>
      </c>
      <c r="M11707" t="s">
        <v>39436</v>
      </c>
      <c r="N11707" t="s">
        <v>40436</v>
      </c>
      <c r="O11707" t="s">
        <v>40437</v>
      </c>
      <c r="P11707">
        <v>0</v>
      </c>
      <c r="Q11707">
        <v>1</v>
      </c>
      <c r="R11707" t="s">
        <v>40453</v>
      </c>
      <c r="S11707" t="s">
        <v>41237</v>
      </c>
      <c r="T11707" t="s">
        <v>42273</v>
      </c>
      <c r="U11707" t="s">
        <v>52270</v>
      </c>
      <c r="V11707" t="s">
        <v>54542</v>
      </c>
      <c r="W11707" t="s">
        <v>39436</v>
      </c>
      <c r="X11707" t="s">
        <v>40454</v>
      </c>
    </row>
    <row r="11708" spans="1:24">
      <c r="A11708">
        <f>HYPERLINK("https://www.philgeps.gov.ph/GEPSNONPILOT/Tender/SplashBidNoticeAbstractUI.aspx?menuIndex=3&amp;refID=7019463&amp;Result=3","7019463")</f>
        <v>0</v>
      </c>
      <c r="B11708" t="s">
        <v>1990</v>
      </c>
      <c r="C11708" t="s">
        <v>14284</v>
      </c>
      <c r="D11708" t="s">
        <v>16258</v>
      </c>
      <c r="E11708" t="s">
        <v>26443</v>
      </c>
      <c r="F11708" t="s">
        <v>28198</v>
      </c>
      <c r="G11708" t="s">
        <v>28205</v>
      </c>
      <c r="H11708" t="s">
        <v>28214</v>
      </c>
      <c r="I11708" t="s">
        <v>3797</v>
      </c>
      <c r="J11708" t="s">
        <v>35001</v>
      </c>
      <c r="K11708" t="s">
        <v>36690</v>
      </c>
      <c r="M11708" t="s">
        <v>39436</v>
      </c>
      <c r="N11708" t="s">
        <v>40436</v>
      </c>
      <c r="O11708" t="s">
        <v>40437</v>
      </c>
      <c r="P11708">
        <v>0</v>
      </c>
      <c r="Q11708">
        <v>0</v>
      </c>
      <c r="R11708" t="s">
        <v>40453</v>
      </c>
      <c r="S11708" t="s">
        <v>41237</v>
      </c>
      <c r="T11708" t="s">
        <v>42273</v>
      </c>
      <c r="U11708" t="s">
        <v>52271</v>
      </c>
      <c r="V11708" t="s">
        <v>54542</v>
      </c>
      <c r="W11708" t="s">
        <v>39436</v>
      </c>
      <c r="X11708" t="s">
        <v>40454</v>
      </c>
    </row>
    <row r="11709" spans="1:24">
      <c r="A11709">
        <f>HYPERLINK("https://www.philgeps.gov.ph/GEPSNONPILOT/Tender/SplashBidNoticeAbstractUI.aspx?menuIndex=3&amp;refID=7019452&amp;Result=3","7019452")</f>
        <v>0</v>
      </c>
      <c r="B11709" t="s">
        <v>1990</v>
      </c>
      <c r="C11709" t="s">
        <v>14285</v>
      </c>
      <c r="D11709" t="s">
        <v>16258</v>
      </c>
      <c r="E11709" t="s">
        <v>26444</v>
      </c>
      <c r="F11709" t="s">
        <v>28198</v>
      </c>
      <c r="G11709" t="s">
        <v>28205</v>
      </c>
      <c r="H11709" t="s">
        <v>28214</v>
      </c>
      <c r="I11709" t="s">
        <v>3797</v>
      </c>
      <c r="J11709" t="s">
        <v>35534</v>
      </c>
      <c r="K11709" t="s">
        <v>36742</v>
      </c>
      <c r="M11709" t="s">
        <v>39436</v>
      </c>
      <c r="N11709" t="s">
        <v>40436</v>
      </c>
      <c r="O11709" t="s">
        <v>40437</v>
      </c>
      <c r="P11709">
        <v>0</v>
      </c>
      <c r="Q11709">
        <v>0</v>
      </c>
      <c r="R11709" t="s">
        <v>40453</v>
      </c>
      <c r="S11709" t="s">
        <v>41237</v>
      </c>
      <c r="T11709" t="s">
        <v>42273</v>
      </c>
      <c r="U11709" t="s">
        <v>52272</v>
      </c>
      <c r="V11709" t="s">
        <v>54542</v>
      </c>
      <c r="W11709" t="s">
        <v>39436</v>
      </c>
      <c r="X11709" t="s">
        <v>40454</v>
      </c>
    </row>
    <row r="11710" spans="1:24">
      <c r="A11710">
        <f>HYPERLINK("https://www.philgeps.gov.ph/GEPSNONPILOT/Tender/SplashBidNoticeAbstractUI.aspx?menuIndex=3&amp;refID=7019443&amp;Result=3","7019443")</f>
        <v>0</v>
      </c>
      <c r="B11710" t="s">
        <v>67</v>
      </c>
      <c r="C11710" t="s">
        <v>14286</v>
      </c>
      <c r="D11710" t="s">
        <v>16192</v>
      </c>
      <c r="E11710" t="s">
        <v>26445</v>
      </c>
      <c r="F11710" t="s">
        <v>28198</v>
      </c>
      <c r="G11710" t="s">
        <v>28205</v>
      </c>
      <c r="H11710" t="s">
        <v>28215</v>
      </c>
      <c r="I11710" t="s">
        <v>28222</v>
      </c>
      <c r="J11710" t="s">
        <v>29159</v>
      </c>
      <c r="K11710" t="s">
        <v>36701</v>
      </c>
      <c r="M11710" t="s">
        <v>37039</v>
      </c>
      <c r="N11710" t="s">
        <v>40436</v>
      </c>
      <c r="O11710" t="s">
        <v>40437</v>
      </c>
      <c r="P11710">
        <v>0</v>
      </c>
      <c r="Q11710">
        <v>4</v>
      </c>
      <c r="R11710" t="s">
        <v>40453</v>
      </c>
      <c r="S11710" t="s">
        <v>41237</v>
      </c>
      <c r="T11710" t="s">
        <v>42126</v>
      </c>
      <c r="U11710" t="s">
        <v>50344</v>
      </c>
      <c r="V11710" t="s">
        <v>55114</v>
      </c>
      <c r="W11710" t="s">
        <v>37039</v>
      </c>
      <c r="X11710" t="s">
        <v>40454</v>
      </c>
    </row>
    <row r="11711" spans="1:24">
      <c r="A11711">
        <f>HYPERLINK("https://www.philgeps.gov.ph/GEPSNONPILOT/Tender/SplashBidNoticeAbstractUI.aspx?menuIndex=3&amp;refID=7019427&amp;Result=3","7019427")</f>
        <v>0</v>
      </c>
      <c r="B11711" t="s">
        <v>2040</v>
      </c>
      <c r="C11711" t="s">
        <v>14287</v>
      </c>
      <c r="D11711" t="s">
        <v>16219</v>
      </c>
      <c r="E11711" t="s">
        <v>26446</v>
      </c>
      <c r="F11711" t="s">
        <v>28198</v>
      </c>
      <c r="G11711" t="s">
        <v>28205</v>
      </c>
      <c r="H11711" t="s">
        <v>28215</v>
      </c>
      <c r="I11711" t="s">
        <v>28225</v>
      </c>
      <c r="J11711" t="s">
        <v>35535</v>
      </c>
      <c r="K11711" t="s">
        <v>36707</v>
      </c>
      <c r="M11711" t="s">
        <v>39183</v>
      </c>
      <c r="N11711" t="s">
        <v>40436</v>
      </c>
      <c r="O11711" t="s">
        <v>40437</v>
      </c>
      <c r="P11711">
        <v>0</v>
      </c>
      <c r="Q11711">
        <v>7</v>
      </c>
      <c r="R11711" t="s">
        <v>40453</v>
      </c>
      <c r="S11711" t="s">
        <v>41237</v>
      </c>
      <c r="T11711" t="s">
        <v>42133</v>
      </c>
      <c r="U11711" t="s">
        <v>52273</v>
      </c>
      <c r="W11711" t="s">
        <v>39183</v>
      </c>
      <c r="X11711" t="s">
        <v>40454</v>
      </c>
    </row>
    <row r="11712" spans="1:24">
      <c r="A11712">
        <f>HYPERLINK("https://www.philgeps.gov.ph/GEPSNONPILOT/Tender/SplashBidNoticeAbstractUI.aspx?menuIndex=3&amp;refID=7019499&amp;Result=3","7019499")</f>
        <v>0</v>
      </c>
      <c r="B11712" t="s">
        <v>600</v>
      </c>
      <c r="C11712" t="s">
        <v>14288</v>
      </c>
      <c r="D11712" t="s">
        <v>16216</v>
      </c>
      <c r="E11712" t="s">
        <v>26447</v>
      </c>
      <c r="F11712" t="s">
        <v>28198</v>
      </c>
      <c r="G11712" t="s">
        <v>28205</v>
      </c>
      <c r="H11712" t="s">
        <v>28215</v>
      </c>
      <c r="I11712" t="s">
        <v>28284</v>
      </c>
      <c r="J11712" t="s">
        <v>35536</v>
      </c>
      <c r="K11712" t="s">
        <v>36701</v>
      </c>
      <c r="M11712" t="s">
        <v>37590</v>
      </c>
      <c r="N11712" t="s">
        <v>40436</v>
      </c>
      <c r="O11712" t="s">
        <v>40437</v>
      </c>
      <c r="P11712">
        <v>0</v>
      </c>
      <c r="Q11712">
        <v>6</v>
      </c>
      <c r="R11712" t="s">
        <v>40453</v>
      </c>
      <c r="S11712" t="s">
        <v>41237</v>
      </c>
      <c r="T11712" t="s">
        <v>42133</v>
      </c>
      <c r="U11712" t="s">
        <v>52274</v>
      </c>
      <c r="W11712" t="s">
        <v>37590</v>
      </c>
      <c r="X11712" t="s">
        <v>40454</v>
      </c>
    </row>
    <row r="11713" spans="1:24">
      <c r="A11713">
        <f>HYPERLINK("https://www.philgeps.gov.ph/GEPSNONPILOT/Tender/SplashBidNoticeAbstractUI.aspx?menuIndex=3&amp;refID=7019507&amp;Result=3","7019507")</f>
        <v>0</v>
      </c>
      <c r="B11713" t="s">
        <v>1990</v>
      </c>
      <c r="C11713" t="s">
        <v>14289</v>
      </c>
      <c r="D11713" t="s">
        <v>16258</v>
      </c>
      <c r="E11713" t="s">
        <v>26448</v>
      </c>
      <c r="F11713" t="s">
        <v>28198</v>
      </c>
      <c r="G11713" t="s">
        <v>28205</v>
      </c>
      <c r="H11713" t="s">
        <v>28214</v>
      </c>
      <c r="I11713" t="s">
        <v>3797</v>
      </c>
      <c r="J11713" t="s">
        <v>35537</v>
      </c>
      <c r="K11713" t="s">
        <v>36697</v>
      </c>
      <c r="M11713" t="s">
        <v>39436</v>
      </c>
      <c r="N11713" t="s">
        <v>40436</v>
      </c>
      <c r="O11713" t="s">
        <v>40437</v>
      </c>
      <c r="P11713">
        <v>0</v>
      </c>
      <c r="Q11713">
        <v>0</v>
      </c>
      <c r="R11713" t="s">
        <v>40453</v>
      </c>
      <c r="S11713" t="s">
        <v>41237</v>
      </c>
      <c r="T11713" t="s">
        <v>42273</v>
      </c>
      <c r="U11713" t="s">
        <v>52275</v>
      </c>
      <c r="V11713" t="s">
        <v>54542</v>
      </c>
      <c r="W11713" t="s">
        <v>39436</v>
      </c>
      <c r="X11713" t="s">
        <v>40454</v>
      </c>
    </row>
    <row r="11714" spans="1:24">
      <c r="A11714">
        <f>HYPERLINK("https://www.philgeps.gov.ph/GEPSNONPILOT/Tender/SplashBidNoticeAbstractUI.aspx?menuIndex=3&amp;refID=7019494&amp;Result=3","7019494")</f>
        <v>0</v>
      </c>
      <c r="B11714" t="s">
        <v>1990</v>
      </c>
      <c r="C11714" t="s">
        <v>14290</v>
      </c>
      <c r="D11714" t="s">
        <v>16258</v>
      </c>
      <c r="E11714" t="s">
        <v>26449</v>
      </c>
      <c r="F11714" t="s">
        <v>28198</v>
      </c>
      <c r="G11714" t="s">
        <v>28205</v>
      </c>
      <c r="H11714" t="s">
        <v>28214</v>
      </c>
      <c r="I11714" t="s">
        <v>3797</v>
      </c>
      <c r="J11714" t="s">
        <v>35538</v>
      </c>
      <c r="K11714" t="s">
        <v>36697</v>
      </c>
      <c r="M11714" t="s">
        <v>39436</v>
      </c>
      <c r="N11714" t="s">
        <v>40436</v>
      </c>
      <c r="O11714" t="s">
        <v>40437</v>
      </c>
      <c r="Q11714">
        <v>0</v>
      </c>
      <c r="R11714" t="s">
        <v>40453</v>
      </c>
      <c r="S11714" t="s">
        <v>41263</v>
      </c>
      <c r="T11714" t="s">
        <v>42273</v>
      </c>
      <c r="U11714" t="s">
        <v>52276</v>
      </c>
      <c r="V11714" t="s">
        <v>54542</v>
      </c>
      <c r="W11714" t="s">
        <v>39436</v>
      </c>
      <c r="X11714" t="s">
        <v>40454</v>
      </c>
    </row>
    <row r="11715" spans="1:24">
      <c r="A11715">
        <f>HYPERLINK("https://www.philgeps.gov.ph/GEPSNONPILOT/Tender/SplashBidNoticeAbstractUI.aspx?menuIndex=3&amp;refID=7019504&amp;Result=3","7019504")</f>
        <v>0</v>
      </c>
      <c r="B11715" t="s">
        <v>1990</v>
      </c>
      <c r="C11715" t="s">
        <v>14291</v>
      </c>
      <c r="D11715" t="s">
        <v>16258</v>
      </c>
      <c r="E11715" t="s">
        <v>26450</v>
      </c>
      <c r="F11715" t="s">
        <v>28198</v>
      </c>
      <c r="G11715" t="s">
        <v>28205</v>
      </c>
      <c r="H11715" t="s">
        <v>28214</v>
      </c>
      <c r="I11715" t="s">
        <v>3797</v>
      </c>
      <c r="J11715" t="s">
        <v>35539</v>
      </c>
      <c r="K11715" t="s">
        <v>36692</v>
      </c>
      <c r="M11715" t="s">
        <v>39436</v>
      </c>
      <c r="N11715" t="s">
        <v>40436</v>
      </c>
      <c r="O11715" t="s">
        <v>40437</v>
      </c>
      <c r="P11715">
        <v>0</v>
      </c>
      <c r="Q11715">
        <v>0</v>
      </c>
      <c r="R11715" t="s">
        <v>40453</v>
      </c>
      <c r="S11715" t="s">
        <v>41237</v>
      </c>
      <c r="T11715" t="s">
        <v>42273</v>
      </c>
      <c r="U11715" t="s">
        <v>52277</v>
      </c>
      <c r="V11715" t="s">
        <v>54542</v>
      </c>
      <c r="W11715" t="s">
        <v>39436</v>
      </c>
      <c r="X11715" t="s">
        <v>40454</v>
      </c>
    </row>
    <row r="11716" spans="1:24">
      <c r="A11716">
        <f>HYPERLINK("https://www.philgeps.gov.ph/GEPSNONPILOT/Tender/SplashBidNoticeAbstractUI.aspx?menuIndex=3&amp;refID=7019553&amp;Result=3","7019553")</f>
        <v>0</v>
      </c>
      <c r="B11716" t="s">
        <v>1990</v>
      </c>
      <c r="C11716" t="s">
        <v>14292</v>
      </c>
      <c r="D11716" t="s">
        <v>16258</v>
      </c>
      <c r="E11716" t="s">
        <v>26451</v>
      </c>
      <c r="F11716" t="s">
        <v>28198</v>
      </c>
      <c r="G11716" t="s">
        <v>28205</v>
      </c>
      <c r="H11716" t="s">
        <v>28214</v>
      </c>
      <c r="I11716" t="s">
        <v>3797</v>
      </c>
      <c r="J11716" t="s">
        <v>35540</v>
      </c>
      <c r="K11716" t="s">
        <v>36730</v>
      </c>
      <c r="M11716" t="s">
        <v>39436</v>
      </c>
      <c r="N11716" t="s">
        <v>40436</v>
      </c>
      <c r="O11716" t="s">
        <v>40437</v>
      </c>
      <c r="P11716">
        <v>0</v>
      </c>
      <c r="Q11716">
        <v>0</v>
      </c>
      <c r="R11716" t="s">
        <v>40453</v>
      </c>
      <c r="S11716" t="s">
        <v>41237</v>
      </c>
      <c r="T11716" t="s">
        <v>42273</v>
      </c>
      <c r="U11716" t="s">
        <v>52278</v>
      </c>
      <c r="V11716" t="s">
        <v>54542</v>
      </c>
      <c r="W11716" t="s">
        <v>39436</v>
      </c>
      <c r="X11716" t="s">
        <v>40454</v>
      </c>
    </row>
    <row r="11717" spans="1:24">
      <c r="A11717">
        <f>HYPERLINK("https://www.philgeps.gov.ph/GEPSNONPILOT/Tender/SplashBidNoticeAbstractUI.aspx?menuIndex=3&amp;refID=7019540&amp;Result=3","7019540")</f>
        <v>0</v>
      </c>
      <c r="B11717" t="s">
        <v>1990</v>
      </c>
      <c r="C11717" t="s">
        <v>14293</v>
      </c>
      <c r="D11717" t="s">
        <v>16258</v>
      </c>
      <c r="E11717" t="s">
        <v>26452</v>
      </c>
      <c r="F11717" t="s">
        <v>28198</v>
      </c>
      <c r="G11717" t="s">
        <v>28205</v>
      </c>
      <c r="H11717" t="s">
        <v>28214</v>
      </c>
      <c r="I11717" t="s">
        <v>3797</v>
      </c>
      <c r="J11717" t="s">
        <v>35541</v>
      </c>
      <c r="K11717" t="s">
        <v>36697</v>
      </c>
      <c r="M11717" t="s">
        <v>39436</v>
      </c>
      <c r="N11717" t="s">
        <v>40436</v>
      </c>
      <c r="O11717" t="s">
        <v>40437</v>
      </c>
      <c r="P11717">
        <v>0</v>
      </c>
      <c r="Q11717">
        <v>0</v>
      </c>
      <c r="R11717" t="s">
        <v>40453</v>
      </c>
      <c r="S11717" t="s">
        <v>41237</v>
      </c>
      <c r="T11717" t="s">
        <v>42273</v>
      </c>
      <c r="U11717" t="s">
        <v>52279</v>
      </c>
      <c r="V11717" t="s">
        <v>54542</v>
      </c>
      <c r="W11717" t="s">
        <v>39436</v>
      </c>
      <c r="X11717" t="s">
        <v>40454</v>
      </c>
    </row>
    <row r="11718" spans="1:24">
      <c r="A11718">
        <f>HYPERLINK("https://www.philgeps.gov.ph/GEPSNONPILOT/Tender/SplashBidNoticeAbstractUI.aspx?menuIndex=3&amp;refID=7019534&amp;Result=3","7019534")</f>
        <v>0</v>
      </c>
      <c r="B11718" t="s">
        <v>1990</v>
      </c>
      <c r="C11718" t="s">
        <v>14294</v>
      </c>
      <c r="D11718" t="s">
        <v>16258</v>
      </c>
      <c r="E11718" t="s">
        <v>26453</v>
      </c>
      <c r="F11718" t="s">
        <v>28198</v>
      </c>
      <c r="G11718" t="s">
        <v>28205</v>
      </c>
      <c r="H11718" t="s">
        <v>28214</v>
      </c>
      <c r="I11718" t="s">
        <v>3797</v>
      </c>
      <c r="J11718" t="s">
        <v>35542</v>
      </c>
      <c r="K11718" t="s">
        <v>36697</v>
      </c>
      <c r="M11718" t="s">
        <v>39436</v>
      </c>
      <c r="N11718" t="s">
        <v>40436</v>
      </c>
      <c r="O11718" t="s">
        <v>40437</v>
      </c>
      <c r="P11718">
        <v>0</v>
      </c>
      <c r="Q11718">
        <v>0</v>
      </c>
      <c r="R11718" t="s">
        <v>40453</v>
      </c>
      <c r="S11718" t="s">
        <v>41237</v>
      </c>
      <c r="T11718" t="s">
        <v>42273</v>
      </c>
      <c r="U11718" t="s">
        <v>52280</v>
      </c>
      <c r="V11718" t="s">
        <v>54542</v>
      </c>
      <c r="W11718" t="s">
        <v>39436</v>
      </c>
      <c r="X11718" t="s">
        <v>40454</v>
      </c>
    </row>
    <row r="11719" spans="1:24">
      <c r="A11719">
        <f>HYPERLINK("https://www.philgeps.gov.ph/GEPSNONPILOT/Tender/SplashBidNoticeAbstractUI.aspx?menuIndex=3&amp;refID=7019450&amp;Result=3","7019450")</f>
        <v>0</v>
      </c>
      <c r="B11719" t="s">
        <v>2651</v>
      </c>
      <c r="C11719" t="s">
        <v>14295</v>
      </c>
      <c r="D11719" t="s">
        <v>16261</v>
      </c>
      <c r="E11719" t="s">
        <v>25156</v>
      </c>
      <c r="F11719" t="s">
        <v>28198</v>
      </c>
      <c r="G11719" t="s">
        <v>28205</v>
      </c>
      <c r="H11719" t="s">
        <v>28214</v>
      </c>
      <c r="I11719" t="s">
        <v>3797</v>
      </c>
      <c r="J11719" t="s">
        <v>28730</v>
      </c>
      <c r="K11719" t="s">
        <v>36689</v>
      </c>
      <c r="M11719" t="s">
        <v>39878</v>
      </c>
      <c r="N11719" t="s">
        <v>40436</v>
      </c>
      <c r="O11719" t="s">
        <v>40437</v>
      </c>
      <c r="P11719">
        <v>0</v>
      </c>
      <c r="Q11719">
        <v>1</v>
      </c>
      <c r="R11719" t="s">
        <v>40453</v>
      </c>
      <c r="S11719" t="s">
        <v>41237</v>
      </c>
      <c r="T11719" t="s">
        <v>42133</v>
      </c>
      <c r="U11719" t="s">
        <v>52281</v>
      </c>
      <c r="V11719" t="s">
        <v>55115</v>
      </c>
      <c r="W11719" t="s">
        <v>39878</v>
      </c>
      <c r="X11719" t="s">
        <v>40454</v>
      </c>
    </row>
    <row r="11720" spans="1:24">
      <c r="A11720">
        <f>HYPERLINK("https://www.philgeps.gov.ph/GEPSNONPILOT/Tender/SplashBidNoticeAbstractUI.aspx?menuIndex=3&amp;refID=7019542&amp;Result=3","7019542")</f>
        <v>0</v>
      </c>
      <c r="B11720" t="s">
        <v>2916</v>
      </c>
      <c r="C11720" t="s">
        <v>14296</v>
      </c>
      <c r="D11720" t="s">
        <v>16247</v>
      </c>
      <c r="E11720" t="s">
        <v>26454</v>
      </c>
      <c r="F11720" t="s">
        <v>28198</v>
      </c>
      <c r="G11720" t="s">
        <v>28205</v>
      </c>
      <c r="H11720" t="s">
        <v>28215</v>
      </c>
      <c r="I11720" t="s">
        <v>8888</v>
      </c>
      <c r="J11720" t="s">
        <v>35543</v>
      </c>
      <c r="K11720" t="s">
        <v>36707</v>
      </c>
      <c r="M11720" t="s">
        <v>40190</v>
      </c>
      <c r="N11720" t="s">
        <v>40436</v>
      </c>
      <c r="O11720" t="s">
        <v>40437</v>
      </c>
      <c r="P11720">
        <v>0</v>
      </c>
      <c r="Q11720">
        <v>9</v>
      </c>
      <c r="R11720" t="s">
        <v>40453</v>
      </c>
      <c r="S11720" t="s">
        <v>41237</v>
      </c>
      <c r="T11720" t="s">
        <v>42119</v>
      </c>
      <c r="U11720" t="s">
        <v>52282</v>
      </c>
      <c r="W11720" t="s">
        <v>40190</v>
      </c>
      <c r="X11720" t="s">
        <v>40454</v>
      </c>
    </row>
    <row r="11721" spans="1:24">
      <c r="A11721">
        <f>HYPERLINK("https://www.philgeps.gov.ph/GEPSNONPILOT/Tender/SplashBidNoticeAbstractUI.aspx?menuIndex=3&amp;refID=7019487&amp;Result=3","7019487")</f>
        <v>0</v>
      </c>
      <c r="B11721" t="s">
        <v>1731</v>
      </c>
      <c r="C11721" t="s">
        <v>14297</v>
      </c>
      <c r="D11721" t="s">
        <v>16193</v>
      </c>
      <c r="E11721" t="s">
        <v>26455</v>
      </c>
      <c r="F11721" t="s">
        <v>28198</v>
      </c>
      <c r="G11721" t="s">
        <v>28205</v>
      </c>
      <c r="H11721" t="s">
        <v>28215</v>
      </c>
      <c r="I11721" t="s">
        <v>28248</v>
      </c>
      <c r="J11721" t="s">
        <v>33647</v>
      </c>
      <c r="K11721" t="s">
        <v>36701</v>
      </c>
      <c r="M11721" t="s">
        <v>38842</v>
      </c>
      <c r="N11721" t="s">
        <v>40436</v>
      </c>
      <c r="O11721" t="s">
        <v>40437</v>
      </c>
      <c r="P11721">
        <v>0</v>
      </c>
      <c r="Q11721">
        <v>5</v>
      </c>
      <c r="R11721" t="s">
        <v>40453</v>
      </c>
      <c r="S11721" t="s">
        <v>41237</v>
      </c>
      <c r="T11721" t="s">
        <v>42119</v>
      </c>
      <c r="U11721" t="s">
        <v>52283</v>
      </c>
      <c r="V11721" t="s">
        <v>54518</v>
      </c>
      <c r="W11721" t="s">
        <v>38842</v>
      </c>
      <c r="X11721" t="s">
        <v>40454</v>
      </c>
    </row>
    <row r="11722" spans="1:24">
      <c r="A11722">
        <f>HYPERLINK("https://www.philgeps.gov.ph/GEPSNONPILOT/Tender/SplashBidNoticeAbstractUI.aspx?menuIndex=3&amp;refID=7019524&amp;Result=3","7019524")</f>
        <v>0</v>
      </c>
      <c r="B11722" t="s">
        <v>1990</v>
      </c>
      <c r="C11722" t="s">
        <v>14298</v>
      </c>
      <c r="D11722" t="s">
        <v>16258</v>
      </c>
      <c r="E11722" t="s">
        <v>26456</v>
      </c>
      <c r="F11722" t="s">
        <v>28198</v>
      </c>
      <c r="G11722" t="s">
        <v>28205</v>
      </c>
      <c r="H11722" t="s">
        <v>28214</v>
      </c>
      <c r="I11722" t="s">
        <v>3797</v>
      </c>
      <c r="J11722" t="s">
        <v>35544</v>
      </c>
      <c r="K11722" t="s">
        <v>36697</v>
      </c>
      <c r="M11722" t="s">
        <v>39436</v>
      </c>
      <c r="N11722" t="s">
        <v>40436</v>
      </c>
      <c r="O11722" t="s">
        <v>40437</v>
      </c>
      <c r="P11722">
        <v>0</v>
      </c>
      <c r="Q11722">
        <v>0</v>
      </c>
      <c r="R11722" t="s">
        <v>40453</v>
      </c>
      <c r="S11722" t="s">
        <v>41237</v>
      </c>
      <c r="T11722" t="s">
        <v>42273</v>
      </c>
      <c r="U11722" t="s">
        <v>52284</v>
      </c>
      <c r="V11722" t="s">
        <v>54542</v>
      </c>
      <c r="W11722" t="s">
        <v>39436</v>
      </c>
      <c r="X11722" t="s">
        <v>40454</v>
      </c>
    </row>
    <row r="11723" spans="1:24">
      <c r="A11723">
        <f>HYPERLINK("https://www.philgeps.gov.ph/GEPSNONPILOT/Tender/SplashBidNoticeAbstractUI.aspx?menuIndex=3&amp;refID=7019589&amp;Result=3","7019589")</f>
        <v>0</v>
      </c>
      <c r="B11723" t="s">
        <v>2233</v>
      </c>
      <c r="C11723" t="s">
        <v>14299</v>
      </c>
      <c r="D11723" t="s">
        <v>16248</v>
      </c>
      <c r="E11723" t="s">
        <v>26457</v>
      </c>
      <c r="F11723" t="s">
        <v>28198</v>
      </c>
      <c r="G11723" t="s">
        <v>28205</v>
      </c>
      <c r="H11723" t="s">
        <v>28215</v>
      </c>
      <c r="I11723" t="s">
        <v>28222</v>
      </c>
      <c r="J11723" t="s">
        <v>32515</v>
      </c>
      <c r="K11723" t="s">
        <v>36736</v>
      </c>
      <c r="M11723" t="s">
        <v>39401</v>
      </c>
      <c r="N11723" t="s">
        <v>40436</v>
      </c>
      <c r="O11723" t="s">
        <v>40437</v>
      </c>
      <c r="P11723">
        <v>0</v>
      </c>
      <c r="Q11723">
        <v>7</v>
      </c>
      <c r="R11723" t="s">
        <v>40453</v>
      </c>
      <c r="S11723" t="s">
        <v>41237</v>
      </c>
      <c r="T11723" t="s">
        <v>42119</v>
      </c>
      <c r="U11723" t="s">
        <v>52205</v>
      </c>
      <c r="V11723" t="s">
        <v>55116</v>
      </c>
      <c r="W11723" t="s">
        <v>39401</v>
      </c>
      <c r="X11723" t="s">
        <v>40454</v>
      </c>
    </row>
    <row r="11724" spans="1:24">
      <c r="A11724">
        <f>HYPERLINK("https://www.philgeps.gov.ph/GEPSNONPILOT/Tender/SplashBidNoticeAbstractUI.aspx?menuIndex=3&amp;refID=7019579&amp;Result=3","7019579")</f>
        <v>0</v>
      </c>
      <c r="B11724" t="s">
        <v>2233</v>
      </c>
      <c r="C11724" t="s">
        <v>14300</v>
      </c>
      <c r="D11724" t="s">
        <v>16248</v>
      </c>
      <c r="E11724" t="s">
        <v>26458</v>
      </c>
      <c r="F11724" t="s">
        <v>28198</v>
      </c>
      <c r="G11724" t="s">
        <v>28205</v>
      </c>
      <c r="H11724" t="s">
        <v>28215</v>
      </c>
      <c r="I11724" t="s">
        <v>28222</v>
      </c>
      <c r="J11724" t="s">
        <v>30496</v>
      </c>
      <c r="K11724" t="s">
        <v>36736</v>
      </c>
      <c r="M11724" t="s">
        <v>39401</v>
      </c>
      <c r="N11724" t="s">
        <v>40436</v>
      </c>
      <c r="O11724" t="s">
        <v>40437</v>
      </c>
      <c r="P11724">
        <v>0</v>
      </c>
      <c r="Q11724">
        <v>7</v>
      </c>
      <c r="R11724" t="s">
        <v>40453</v>
      </c>
      <c r="S11724" t="s">
        <v>41237</v>
      </c>
      <c r="T11724" t="s">
        <v>42119</v>
      </c>
      <c r="U11724" t="s">
        <v>52205</v>
      </c>
      <c r="V11724" t="s">
        <v>55104</v>
      </c>
      <c r="W11724" t="s">
        <v>39401</v>
      </c>
      <c r="X11724" t="s">
        <v>40454</v>
      </c>
    </row>
    <row r="11725" spans="1:24">
      <c r="A11725">
        <f>HYPERLINK("https://www.philgeps.gov.ph/GEPSNONPILOT/Tender/SplashBidNoticeAbstractUI.aspx?menuIndex=3&amp;refID=7019547&amp;Result=3","7019547")</f>
        <v>0</v>
      </c>
      <c r="B11725" t="s">
        <v>1990</v>
      </c>
      <c r="C11725" t="s">
        <v>14301</v>
      </c>
      <c r="D11725" t="s">
        <v>16258</v>
      </c>
      <c r="E11725" t="s">
        <v>26459</v>
      </c>
      <c r="F11725" t="s">
        <v>28198</v>
      </c>
      <c r="G11725" t="s">
        <v>28205</v>
      </c>
      <c r="H11725" t="s">
        <v>28214</v>
      </c>
      <c r="I11725" t="s">
        <v>3797</v>
      </c>
      <c r="J11725" t="s">
        <v>35545</v>
      </c>
      <c r="K11725" t="s">
        <v>36697</v>
      </c>
      <c r="M11725" t="s">
        <v>39436</v>
      </c>
      <c r="N11725" t="s">
        <v>40436</v>
      </c>
      <c r="O11725" t="s">
        <v>40437</v>
      </c>
      <c r="P11725">
        <v>0</v>
      </c>
      <c r="Q11725">
        <v>0</v>
      </c>
      <c r="R11725" t="s">
        <v>40453</v>
      </c>
      <c r="S11725" t="s">
        <v>41237</v>
      </c>
      <c r="T11725" t="s">
        <v>42273</v>
      </c>
      <c r="U11725" t="s">
        <v>52285</v>
      </c>
      <c r="V11725" t="s">
        <v>54542</v>
      </c>
      <c r="W11725" t="s">
        <v>39436</v>
      </c>
      <c r="X11725" t="s">
        <v>40454</v>
      </c>
    </row>
    <row r="11726" spans="1:24">
      <c r="A11726">
        <f>HYPERLINK("https://www.philgeps.gov.ph/GEPSNONPILOT/Tender/SplashBidNoticeAbstractUI.aspx?menuIndex=3&amp;refID=7019486&amp;Result=3","7019486")</f>
        <v>0</v>
      </c>
      <c r="B11726" t="s">
        <v>1990</v>
      </c>
      <c r="C11726" t="s">
        <v>14302</v>
      </c>
      <c r="D11726" t="s">
        <v>16258</v>
      </c>
      <c r="E11726" t="s">
        <v>26460</v>
      </c>
      <c r="F11726" t="s">
        <v>28198</v>
      </c>
      <c r="G11726" t="s">
        <v>28205</v>
      </c>
      <c r="H11726" t="s">
        <v>28214</v>
      </c>
      <c r="I11726" t="s">
        <v>3797</v>
      </c>
      <c r="J11726" t="s">
        <v>35546</v>
      </c>
      <c r="K11726" t="s">
        <v>36697</v>
      </c>
      <c r="M11726" t="s">
        <v>39436</v>
      </c>
      <c r="N11726" t="s">
        <v>40436</v>
      </c>
      <c r="O11726" t="s">
        <v>40437</v>
      </c>
      <c r="P11726">
        <v>0</v>
      </c>
      <c r="Q11726">
        <v>1</v>
      </c>
      <c r="R11726" t="s">
        <v>40453</v>
      </c>
      <c r="S11726" t="s">
        <v>41237</v>
      </c>
      <c r="T11726" t="s">
        <v>42273</v>
      </c>
      <c r="U11726" t="s">
        <v>52286</v>
      </c>
      <c r="V11726" t="s">
        <v>54542</v>
      </c>
      <c r="W11726" t="s">
        <v>39436</v>
      </c>
      <c r="X11726" t="s">
        <v>40454</v>
      </c>
    </row>
    <row r="11727" spans="1:24">
      <c r="A11727">
        <f>HYPERLINK("https://www.philgeps.gov.ph/GEPSNONPILOT/Tender/SplashBidNoticeAbstractUI.aspx?menuIndex=3&amp;refID=7019571&amp;Result=3","7019571")</f>
        <v>0</v>
      </c>
      <c r="B11727" t="s">
        <v>1990</v>
      </c>
      <c r="C11727" t="s">
        <v>14303</v>
      </c>
      <c r="D11727" t="s">
        <v>16258</v>
      </c>
      <c r="E11727" t="s">
        <v>26461</v>
      </c>
      <c r="F11727" t="s">
        <v>28198</v>
      </c>
      <c r="G11727" t="s">
        <v>28205</v>
      </c>
      <c r="H11727" t="s">
        <v>28214</v>
      </c>
      <c r="I11727" t="s">
        <v>3797</v>
      </c>
      <c r="J11727" t="s">
        <v>35547</v>
      </c>
      <c r="K11727" t="s">
        <v>36904</v>
      </c>
      <c r="M11727" t="s">
        <v>39436</v>
      </c>
      <c r="N11727" t="s">
        <v>40436</v>
      </c>
      <c r="O11727" t="s">
        <v>40437</v>
      </c>
      <c r="P11727">
        <v>0</v>
      </c>
      <c r="Q11727">
        <v>0</v>
      </c>
      <c r="R11727" t="s">
        <v>40453</v>
      </c>
      <c r="S11727" t="s">
        <v>41237</v>
      </c>
      <c r="T11727" t="s">
        <v>42273</v>
      </c>
      <c r="U11727" t="s">
        <v>52287</v>
      </c>
      <c r="V11727" t="s">
        <v>54542</v>
      </c>
      <c r="W11727" t="s">
        <v>39436</v>
      </c>
      <c r="X11727" t="s">
        <v>40454</v>
      </c>
    </row>
    <row r="11728" spans="1:24">
      <c r="A11728">
        <f>HYPERLINK("https://www.philgeps.gov.ph/GEPSNONPILOT/Tender/SplashBidNoticeAbstractUI.aspx?menuIndex=3&amp;refID=7019663&amp;Result=3","7019663")</f>
        <v>0</v>
      </c>
      <c r="B11728" t="s">
        <v>1990</v>
      </c>
      <c r="C11728" t="s">
        <v>14304</v>
      </c>
      <c r="D11728" t="s">
        <v>16258</v>
      </c>
      <c r="E11728" t="s">
        <v>26462</v>
      </c>
      <c r="F11728" t="s">
        <v>28198</v>
      </c>
      <c r="G11728" t="s">
        <v>28205</v>
      </c>
      <c r="H11728" t="s">
        <v>28214</v>
      </c>
      <c r="I11728" t="s">
        <v>3797</v>
      </c>
      <c r="J11728" t="s">
        <v>35548</v>
      </c>
      <c r="K11728" t="s">
        <v>36769</v>
      </c>
      <c r="M11728" t="s">
        <v>39436</v>
      </c>
      <c r="N11728" t="s">
        <v>40436</v>
      </c>
      <c r="O11728" t="s">
        <v>40437</v>
      </c>
      <c r="P11728">
        <v>0</v>
      </c>
      <c r="Q11728">
        <v>2</v>
      </c>
      <c r="R11728" t="s">
        <v>40453</v>
      </c>
      <c r="S11728" t="s">
        <v>41237</v>
      </c>
      <c r="T11728" t="s">
        <v>42273</v>
      </c>
      <c r="U11728" t="s">
        <v>52288</v>
      </c>
      <c r="V11728" t="s">
        <v>54542</v>
      </c>
      <c r="W11728" t="s">
        <v>39436</v>
      </c>
      <c r="X11728" t="s">
        <v>40454</v>
      </c>
    </row>
    <row r="11729" spans="1:24">
      <c r="A11729">
        <f>HYPERLINK("https://www.philgeps.gov.ph/GEPSNONPILOT/Tender/SplashBidNoticeAbstractUI.aspx?menuIndex=3&amp;refID=7019585&amp;Result=3","7019585")</f>
        <v>0</v>
      </c>
      <c r="B11729" t="s">
        <v>1990</v>
      </c>
      <c r="C11729" t="s">
        <v>14305</v>
      </c>
      <c r="D11729" t="s">
        <v>16258</v>
      </c>
      <c r="E11729" t="s">
        <v>26463</v>
      </c>
      <c r="F11729" t="s">
        <v>28198</v>
      </c>
      <c r="G11729" t="s">
        <v>28205</v>
      </c>
      <c r="H11729" t="s">
        <v>28214</v>
      </c>
      <c r="I11729" t="s">
        <v>3797</v>
      </c>
      <c r="J11729" t="s">
        <v>35549</v>
      </c>
      <c r="K11729" t="s">
        <v>36937</v>
      </c>
      <c r="M11729" t="s">
        <v>39436</v>
      </c>
      <c r="N11729" t="s">
        <v>40436</v>
      </c>
      <c r="O11729" t="s">
        <v>40437</v>
      </c>
      <c r="P11729">
        <v>0</v>
      </c>
      <c r="Q11729">
        <v>0</v>
      </c>
      <c r="R11729" t="s">
        <v>40453</v>
      </c>
      <c r="S11729" t="s">
        <v>41237</v>
      </c>
      <c r="T11729" t="s">
        <v>42273</v>
      </c>
      <c r="U11729" t="s">
        <v>52289</v>
      </c>
      <c r="V11729" t="s">
        <v>54542</v>
      </c>
      <c r="W11729" t="s">
        <v>39436</v>
      </c>
      <c r="X11729" t="s">
        <v>40454</v>
      </c>
    </row>
    <row r="11730" spans="1:24">
      <c r="A11730">
        <f>HYPERLINK("https://www.philgeps.gov.ph/GEPSNONPILOT/Tender/SplashBidNoticeAbstractUI.aspx?menuIndex=3&amp;refID=7019645&amp;Result=3","7019645")</f>
        <v>0</v>
      </c>
      <c r="B11730" t="s">
        <v>1990</v>
      </c>
      <c r="C11730" t="s">
        <v>14306</v>
      </c>
      <c r="D11730" t="s">
        <v>16258</v>
      </c>
      <c r="E11730" t="s">
        <v>26464</v>
      </c>
      <c r="F11730" t="s">
        <v>28198</v>
      </c>
      <c r="G11730" t="s">
        <v>28205</v>
      </c>
      <c r="H11730" t="s">
        <v>28214</v>
      </c>
      <c r="I11730" t="s">
        <v>3797</v>
      </c>
      <c r="J11730" t="s">
        <v>35550</v>
      </c>
      <c r="K11730" t="s">
        <v>36810</v>
      </c>
      <c r="M11730" t="s">
        <v>39436</v>
      </c>
      <c r="N11730" t="s">
        <v>40436</v>
      </c>
      <c r="O11730" t="s">
        <v>40437</v>
      </c>
      <c r="P11730">
        <v>0</v>
      </c>
      <c r="Q11730">
        <v>1</v>
      </c>
      <c r="R11730" t="s">
        <v>40453</v>
      </c>
      <c r="S11730" t="s">
        <v>41237</v>
      </c>
      <c r="T11730" t="s">
        <v>42273</v>
      </c>
      <c r="U11730" t="s">
        <v>52290</v>
      </c>
      <c r="V11730" t="s">
        <v>54542</v>
      </c>
      <c r="W11730" t="s">
        <v>39436</v>
      </c>
      <c r="X11730" t="s">
        <v>40454</v>
      </c>
    </row>
    <row r="11731" spans="1:24">
      <c r="A11731">
        <f>HYPERLINK("https://www.philgeps.gov.ph/GEPSNONPILOT/Tender/SplashBidNoticeAbstractUI.aspx?menuIndex=3&amp;refID=7019562&amp;Result=3","7019562")</f>
        <v>0</v>
      </c>
      <c r="B11731" t="s">
        <v>2233</v>
      </c>
      <c r="C11731" t="s">
        <v>14307</v>
      </c>
      <c r="D11731" t="s">
        <v>16248</v>
      </c>
      <c r="E11731" t="s">
        <v>26465</v>
      </c>
      <c r="F11731" t="s">
        <v>28198</v>
      </c>
      <c r="G11731" t="s">
        <v>28205</v>
      </c>
      <c r="H11731" t="s">
        <v>28215</v>
      </c>
      <c r="I11731" t="s">
        <v>28222</v>
      </c>
      <c r="J11731" t="s">
        <v>28818</v>
      </c>
      <c r="K11731" t="s">
        <v>36736</v>
      </c>
      <c r="M11731" t="s">
        <v>39401</v>
      </c>
      <c r="N11731" t="s">
        <v>40436</v>
      </c>
      <c r="O11731" t="s">
        <v>40437</v>
      </c>
      <c r="P11731">
        <v>0</v>
      </c>
      <c r="Q11731">
        <v>6</v>
      </c>
      <c r="R11731" t="s">
        <v>40453</v>
      </c>
      <c r="S11731" t="s">
        <v>41237</v>
      </c>
      <c r="T11731" t="s">
        <v>42119</v>
      </c>
      <c r="U11731" t="s">
        <v>52205</v>
      </c>
      <c r="V11731" t="s">
        <v>55104</v>
      </c>
      <c r="W11731" t="s">
        <v>39401</v>
      </c>
      <c r="X11731" t="s">
        <v>40454</v>
      </c>
    </row>
    <row r="11732" spans="1:24">
      <c r="A11732">
        <f>HYPERLINK("https://www.philgeps.gov.ph/GEPSNONPILOT/Tender/SplashBidNoticeAbstractUI.aspx?menuIndex=3&amp;refID=7019563&amp;Result=3","7019563")</f>
        <v>0</v>
      </c>
      <c r="B11732" t="s">
        <v>1990</v>
      </c>
      <c r="C11732" t="s">
        <v>14308</v>
      </c>
      <c r="D11732" t="s">
        <v>16258</v>
      </c>
      <c r="E11732" t="s">
        <v>26466</v>
      </c>
      <c r="F11732" t="s">
        <v>28198</v>
      </c>
      <c r="G11732" t="s">
        <v>28205</v>
      </c>
      <c r="H11732" t="s">
        <v>28214</v>
      </c>
      <c r="I11732" t="s">
        <v>3797</v>
      </c>
      <c r="J11732" t="s">
        <v>35551</v>
      </c>
      <c r="K11732" t="s">
        <v>36904</v>
      </c>
      <c r="M11732" t="s">
        <v>39436</v>
      </c>
      <c r="N11732" t="s">
        <v>40436</v>
      </c>
      <c r="O11732" t="s">
        <v>40437</v>
      </c>
      <c r="P11732">
        <v>0</v>
      </c>
      <c r="Q11732">
        <v>0</v>
      </c>
      <c r="R11732" t="s">
        <v>40453</v>
      </c>
      <c r="S11732" t="s">
        <v>41237</v>
      </c>
      <c r="T11732" t="s">
        <v>42273</v>
      </c>
      <c r="U11732" t="s">
        <v>52291</v>
      </c>
      <c r="V11732" t="s">
        <v>54542</v>
      </c>
      <c r="W11732" t="s">
        <v>39436</v>
      </c>
      <c r="X11732" t="s">
        <v>40454</v>
      </c>
    </row>
    <row r="11733" spans="1:24">
      <c r="A11733">
        <f>HYPERLINK("https://www.philgeps.gov.ph/GEPSNONPILOT/Tender/SplashBidNoticeAbstractUI.aspx?menuIndex=3&amp;refID=7019631&amp;Result=3","7019631")</f>
        <v>0</v>
      </c>
      <c r="B11733" t="s">
        <v>67</v>
      </c>
      <c r="C11733" t="s">
        <v>14286</v>
      </c>
      <c r="D11733" t="s">
        <v>16192</v>
      </c>
      <c r="E11733" t="s">
        <v>26467</v>
      </c>
      <c r="F11733" t="s">
        <v>28198</v>
      </c>
      <c r="G11733" t="s">
        <v>28205</v>
      </c>
      <c r="H11733" t="s">
        <v>28215</v>
      </c>
      <c r="I11733" t="s">
        <v>28222</v>
      </c>
      <c r="J11733" t="s">
        <v>35552</v>
      </c>
      <c r="K11733" t="s">
        <v>36701</v>
      </c>
      <c r="M11733" t="s">
        <v>37039</v>
      </c>
      <c r="N11733" t="s">
        <v>40436</v>
      </c>
      <c r="O11733" t="s">
        <v>40437</v>
      </c>
      <c r="Q11733">
        <v>9</v>
      </c>
      <c r="R11733" t="s">
        <v>40453</v>
      </c>
      <c r="S11733" t="s">
        <v>41264</v>
      </c>
      <c r="T11733" t="s">
        <v>42126</v>
      </c>
      <c r="U11733" t="s">
        <v>42701</v>
      </c>
      <c r="V11733" t="s">
        <v>55117</v>
      </c>
      <c r="W11733" t="s">
        <v>37039</v>
      </c>
      <c r="X11733" t="s">
        <v>40454</v>
      </c>
    </row>
    <row r="11734" spans="1:24">
      <c r="A11734">
        <f>HYPERLINK("https://www.philgeps.gov.ph/GEPSNONPILOT/Tender/SplashBidNoticeAbstractUI.aspx?menuIndex=3&amp;refID=7019625&amp;Result=3","7019625")</f>
        <v>0</v>
      </c>
      <c r="B11734" t="s">
        <v>1990</v>
      </c>
      <c r="C11734" t="s">
        <v>14309</v>
      </c>
      <c r="D11734" t="s">
        <v>16258</v>
      </c>
      <c r="E11734" t="s">
        <v>26468</v>
      </c>
      <c r="F11734" t="s">
        <v>28198</v>
      </c>
      <c r="G11734" t="s">
        <v>28205</v>
      </c>
      <c r="H11734" t="s">
        <v>28214</v>
      </c>
      <c r="I11734" t="s">
        <v>3797</v>
      </c>
      <c r="J11734" t="s">
        <v>35553</v>
      </c>
      <c r="K11734" t="s">
        <v>36937</v>
      </c>
      <c r="M11734" t="s">
        <v>39436</v>
      </c>
      <c r="N11734" t="s">
        <v>40436</v>
      </c>
      <c r="O11734" t="s">
        <v>40437</v>
      </c>
      <c r="P11734">
        <v>0</v>
      </c>
      <c r="Q11734">
        <v>0</v>
      </c>
      <c r="R11734" t="s">
        <v>40453</v>
      </c>
      <c r="S11734" t="s">
        <v>41237</v>
      </c>
      <c r="T11734" t="s">
        <v>42273</v>
      </c>
      <c r="U11734" t="s">
        <v>52291</v>
      </c>
      <c r="V11734" t="s">
        <v>54542</v>
      </c>
      <c r="W11734" t="s">
        <v>39436</v>
      </c>
      <c r="X11734" t="s">
        <v>40454</v>
      </c>
    </row>
    <row r="11735" spans="1:24">
      <c r="A11735">
        <f>HYPERLINK("https://www.philgeps.gov.ph/GEPSNONPILOT/Tender/SplashBidNoticeAbstractUI.aspx?menuIndex=3&amp;refID=7019642&amp;Result=3","7019642")</f>
        <v>0</v>
      </c>
      <c r="B11735" t="s">
        <v>2279</v>
      </c>
      <c r="C11735" t="s">
        <v>14310</v>
      </c>
      <c r="E11735" t="s">
        <v>26469</v>
      </c>
      <c r="F11735" t="s">
        <v>28198</v>
      </c>
      <c r="G11735" t="s">
        <v>28205</v>
      </c>
      <c r="H11735" t="s">
        <v>28215</v>
      </c>
      <c r="I11735" t="s">
        <v>28247</v>
      </c>
      <c r="J11735" t="s">
        <v>33885</v>
      </c>
      <c r="K11735" t="s">
        <v>36707</v>
      </c>
      <c r="M11735" t="s">
        <v>39451</v>
      </c>
      <c r="N11735" t="s">
        <v>40436</v>
      </c>
      <c r="O11735" t="s">
        <v>40437</v>
      </c>
      <c r="Q11735">
        <v>14</v>
      </c>
      <c r="R11735" t="s">
        <v>40453</v>
      </c>
      <c r="S11735" t="s">
        <v>41265</v>
      </c>
      <c r="T11735" t="s">
        <v>42203</v>
      </c>
      <c r="U11735" t="s">
        <v>48841</v>
      </c>
      <c r="W11735" t="s">
        <v>39451</v>
      </c>
      <c r="X11735" t="s">
        <v>40454</v>
      </c>
    </row>
    <row r="11736" spans="1:24">
      <c r="A11736">
        <f>HYPERLINK("https://www.philgeps.gov.ph/GEPSNONPILOT/Tender/SplashBidNoticeAbstractUI.aspx?menuIndex=3&amp;refID=7019557&amp;Result=3","7019557")</f>
        <v>0</v>
      </c>
      <c r="B11736" t="s">
        <v>2916</v>
      </c>
      <c r="C11736" t="s">
        <v>14311</v>
      </c>
      <c r="D11736" t="s">
        <v>16247</v>
      </c>
      <c r="E11736" t="s">
        <v>26470</v>
      </c>
      <c r="F11736" t="s">
        <v>28198</v>
      </c>
      <c r="G11736" t="s">
        <v>28205</v>
      </c>
      <c r="H11736" t="s">
        <v>28215</v>
      </c>
      <c r="I11736" t="s">
        <v>28247</v>
      </c>
      <c r="J11736" t="s">
        <v>35554</v>
      </c>
      <c r="K11736" t="s">
        <v>36756</v>
      </c>
      <c r="M11736" t="s">
        <v>40190</v>
      </c>
      <c r="N11736" t="s">
        <v>40436</v>
      </c>
      <c r="O11736" t="s">
        <v>40437</v>
      </c>
      <c r="P11736">
        <v>0</v>
      </c>
      <c r="Q11736">
        <v>21</v>
      </c>
      <c r="R11736" t="s">
        <v>40453</v>
      </c>
      <c r="S11736" t="s">
        <v>41237</v>
      </c>
      <c r="T11736" t="s">
        <v>42119</v>
      </c>
      <c r="U11736" t="s">
        <v>52282</v>
      </c>
      <c r="W11736" t="s">
        <v>40190</v>
      </c>
      <c r="X11736" t="s">
        <v>40454</v>
      </c>
    </row>
    <row r="11737" spans="1:24">
      <c r="A11737">
        <f>HYPERLINK("https://www.philgeps.gov.ph/GEPSNONPILOT/Tender/SplashBidNoticeAbstractUI.aspx?menuIndex=3&amp;refID=7019574&amp;Result=3","7019574")</f>
        <v>0</v>
      </c>
      <c r="B11737" t="s">
        <v>1990</v>
      </c>
      <c r="C11737" t="s">
        <v>14312</v>
      </c>
      <c r="D11737" t="s">
        <v>16258</v>
      </c>
      <c r="E11737" t="s">
        <v>26471</v>
      </c>
      <c r="F11737" t="s">
        <v>28198</v>
      </c>
      <c r="G11737" t="s">
        <v>28205</v>
      </c>
      <c r="H11737" t="s">
        <v>28214</v>
      </c>
      <c r="I11737" t="s">
        <v>3797</v>
      </c>
      <c r="J11737" t="s">
        <v>35555</v>
      </c>
      <c r="K11737" t="s">
        <v>36829</v>
      </c>
      <c r="M11737" t="s">
        <v>39436</v>
      </c>
      <c r="N11737" t="s">
        <v>40436</v>
      </c>
      <c r="O11737" t="s">
        <v>40437</v>
      </c>
      <c r="P11737">
        <v>0</v>
      </c>
      <c r="Q11737">
        <v>0</v>
      </c>
      <c r="R11737" t="s">
        <v>40453</v>
      </c>
      <c r="S11737" t="s">
        <v>41237</v>
      </c>
      <c r="T11737" t="s">
        <v>42273</v>
      </c>
      <c r="U11737" t="s">
        <v>52292</v>
      </c>
      <c r="V11737" t="s">
        <v>54542</v>
      </c>
      <c r="W11737" t="s">
        <v>39436</v>
      </c>
      <c r="X11737" t="s">
        <v>40454</v>
      </c>
    </row>
    <row r="11738" spans="1:24">
      <c r="A11738">
        <f>HYPERLINK("https://www.philgeps.gov.ph/GEPSNONPILOT/Tender/SplashBidNoticeAbstractUI.aspx?menuIndex=3&amp;refID=7019651&amp;Result=3","7019651")</f>
        <v>0</v>
      </c>
      <c r="B11738" t="s">
        <v>1990</v>
      </c>
      <c r="C11738" t="s">
        <v>14313</v>
      </c>
      <c r="D11738" t="s">
        <v>16258</v>
      </c>
      <c r="E11738" t="s">
        <v>26472</v>
      </c>
      <c r="F11738" t="s">
        <v>28198</v>
      </c>
      <c r="G11738" t="s">
        <v>28205</v>
      </c>
      <c r="H11738" t="s">
        <v>28214</v>
      </c>
      <c r="I11738" t="s">
        <v>3797</v>
      </c>
      <c r="J11738" t="s">
        <v>35556</v>
      </c>
      <c r="K11738" t="s">
        <v>36821</v>
      </c>
      <c r="M11738" t="s">
        <v>39436</v>
      </c>
      <c r="N11738" t="s">
        <v>40436</v>
      </c>
      <c r="O11738" t="s">
        <v>40437</v>
      </c>
      <c r="P11738">
        <v>0</v>
      </c>
      <c r="Q11738">
        <v>0</v>
      </c>
      <c r="R11738" t="s">
        <v>40453</v>
      </c>
      <c r="S11738" t="s">
        <v>41237</v>
      </c>
      <c r="T11738" t="s">
        <v>42273</v>
      </c>
      <c r="U11738" t="s">
        <v>51565</v>
      </c>
      <c r="V11738" t="s">
        <v>54542</v>
      </c>
      <c r="W11738" t="s">
        <v>39436</v>
      </c>
      <c r="X11738" t="s">
        <v>40454</v>
      </c>
    </row>
    <row r="11739" spans="1:24">
      <c r="A11739">
        <f>HYPERLINK("https://www.philgeps.gov.ph/GEPSNONPILOT/Tender/SplashBidNoticeAbstractUI.aspx?menuIndex=3&amp;refID=7019641&amp;Result=3","7019641")</f>
        <v>0</v>
      </c>
      <c r="B11739" t="s">
        <v>2531</v>
      </c>
      <c r="C11739" t="s">
        <v>14314</v>
      </c>
      <c r="D11739" t="s">
        <v>16207</v>
      </c>
      <c r="E11739" t="s">
        <v>26473</v>
      </c>
      <c r="F11739" t="s">
        <v>28198</v>
      </c>
      <c r="G11739" t="s">
        <v>28205</v>
      </c>
      <c r="H11739" t="s">
        <v>28215</v>
      </c>
      <c r="I11739" t="s">
        <v>4219</v>
      </c>
      <c r="J11739" t="s">
        <v>28351</v>
      </c>
      <c r="K11739" t="s">
        <v>36696</v>
      </c>
      <c r="M11739" t="s">
        <v>39740</v>
      </c>
      <c r="N11739" t="s">
        <v>40436</v>
      </c>
      <c r="O11739" t="s">
        <v>40437</v>
      </c>
      <c r="P11739">
        <v>0</v>
      </c>
      <c r="Q11739">
        <v>3</v>
      </c>
      <c r="R11739" t="s">
        <v>40453</v>
      </c>
      <c r="S11739" t="s">
        <v>41237</v>
      </c>
      <c r="T11739" t="s">
        <v>42111</v>
      </c>
      <c r="U11739" t="s">
        <v>52293</v>
      </c>
      <c r="W11739" t="s">
        <v>55519</v>
      </c>
      <c r="X11739" t="s">
        <v>40454</v>
      </c>
    </row>
    <row r="11740" spans="1:24">
      <c r="A11740">
        <f>HYPERLINK("https://www.philgeps.gov.ph/GEPSNONPILOT/Tender/SplashBidNoticeAbstractUI.aspx?menuIndex=3&amp;refID=7019622&amp;Result=3","7019622")</f>
        <v>0</v>
      </c>
      <c r="B11740" t="s">
        <v>2804</v>
      </c>
      <c r="C11740" t="s">
        <v>14315</v>
      </c>
      <c r="D11740" t="s">
        <v>16233</v>
      </c>
      <c r="E11740" t="s">
        <v>26474</v>
      </c>
      <c r="F11740" t="s">
        <v>28198</v>
      </c>
      <c r="G11740" t="s">
        <v>28205</v>
      </c>
      <c r="H11740" t="s">
        <v>28215</v>
      </c>
      <c r="I11740" t="s">
        <v>28222</v>
      </c>
      <c r="J11740" t="s">
        <v>29409</v>
      </c>
      <c r="K11740" t="s">
        <v>36701</v>
      </c>
      <c r="M11740" t="s">
        <v>40054</v>
      </c>
      <c r="N11740" t="s">
        <v>40436</v>
      </c>
      <c r="O11740" t="s">
        <v>40437</v>
      </c>
      <c r="P11740">
        <v>0</v>
      </c>
      <c r="Q11740">
        <v>6</v>
      </c>
      <c r="R11740" t="s">
        <v>40453</v>
      </c>
      <c r="S11740" t="s">
        <v>41237</v>
      </c>
      <c r="T11740" t="s">
        <v>42200</v>
      </c>
      <c r="U11740" t="s">
        <v>52294</v>
      </c>
      <c r="V11740" t="s">
        <v>55118</v>
      </c>
      <c r="W11740" t="s">
        <v>55533</v>
      </c>
      <c r="X11740" t="s">
        <v>40454</v>
      </c>
    </row>
    <row r="11741" spans="1:24">
      <c r="A11741">
        <f>HYPERLINK("https://www.philgeps.gov.ph/GEPSNONPILOT/Tender/SplashBidNoticeAbstractUI.aspx?menuIndex=3&amp;refID=7019618&amp;Result=3","7019618")</f>
        <v>0</v>
      </c>
      <c r="B11741" t="s">
        <v>1222</v>
      </c>
      <c r="C11741" t="s">
        <v>14316</v>
      </c>
      <c r="D11741" t="s">
        <v>16236</v>
      </c>
      <c r="E11741" t="s">
        <v>26475</v>
      </c>
      <c r="F11741" t="s">
        <v>28198</v>
      </c>
      <c r="G11741" t="s">
        <v>28205</v>
      </c>
      <c r="H11741" t="s">
        <v>28214</v>
      </c>
      <c r="I11741" t="s">
        <v>3797</v>
      </c>
      <c r="J11741" t="s">
        <v>35557</v>
      </c>
      <c r="K11741" t="s">
        <v>36694</v>
      </c>
      <c r="M11741" t="s">
        <v>38268</v>
      </c>
      <c r="N11741" t="s">
        <v>40436</v>
      </c>
      <c r="O11741" t="s">
        <v>40437</v>
      </c>
      <c r="P11741">
        <v>0</v>
      </c>
      <c r="Q11741">
        <v>0</v>
      </c>
      <c r="R11741" t="s">
        <v>40453</v>
      </c>
      <c r="S11741" t="s">
        <v>41237</v>
      </c>
      <c r="T11741" t="s">
        <v>42103</v>
      </c>
      <c r="U11741" t="s">
        <v>52295</v>
      </c>
      <c r="W11741" t="s">
        <v>38268</v>
      </c>
      <c r="X11741" t="s">
        <v>40454</v>
      </c>
    </row>
    <row r="11742" spans="1:24">
      <c r="A11742">
        <f>HYPERLINK("https://www.philgeps.gov.ph/GEPSNONPILOT/Tender/SplashBidNoticeAbstractUI.aspx?menuIndex=3&amp;refID=7019613&amp;Result=3","7019613")</f>
        <v>0</v>
      </c>
      <c r="B11742" t="s">
        <v>1461</v>
      </c>
      <c r="C11742" t="s">
        <v>14317</v>
      </c>
      <c r="D11742" t="s">
        <v>16238</v>
      </c>
      <c r="E11742" t="s">
        <v>26476</v>
      </c>
      <c r="F11742" t="s">
        <v>28198</v>
      </c>
      <c r="G11742" t="s">
        <v>28205</v>
      </c>
      <c r="H11742" t="s">
        <v>28215</v>
      </c>
      <c r="I11742" t="s">
        <v>4219</v>
      </c>
      <c r="J11742" t="s">
        <v>35558</v>
      </c>
      <c r="K11742" t="s">
        <v>36687</v>
      </c>
      <c r="M11742" t="s">
        <v>38530</v>
      </c>
      <c r="N11742" t="s">
        <v>40436</v>
      </c>
      <c r="O11742" t="s">
        <v>40437</v>
      </c>
      <c r="Q11742">
        <v>6</v>
      </c>
      <c r="R11742" t="s">
        <v>40453</v>
      </c>
      <c r="S11742" t="s">
        <v>41266</v>
      </c>
      <c r="T11742" t="s">
        <v>42103</v>
      </c>
      <c r="U11742" t="s">
        <v>52296</v>
      </c>
      <c r="W11742" t="s">
        <v>38530</v>
      </c>
      <c r="X11742" t="s">
        <v>40454</v>
      </c>
    </row>
    <row r="11743" spans="1:24">
      <c r="A11743">
        <f>HYPERLINK("https://www.philgeps.gov.ph/GEPSNONPILOT/Tender/SplashBidNoticeAbstractUI.aspx?menuIndex=3&amp;refID=7019595&amp;Result=3","7019595")</f>
        <v>0</v>
      </c>
      <c r="B11743" t="s">
        <v>1990</v>
      </c>
      <c r="C11743" t="s">
        <v>14318</v>
      </c>
      <c r="D11743" t="s">
        <v>16258</v>
      </c>
      <c r="E11743" t="s">
        <v>26477</v>
      </c>
      <c r="F11743" t="s">
        <v>28198</v>
      </c>
      <c r="G11743" t="s">
        <v>28205</v>
      </c>
      <c r="H11743" t="s">
        <v>28214</v>
      </c>
      <c r="I11743" t="s">
        <v>3797</v>
      </c>
      <c r="J11743" t="s">
        <v>35559</v>
      </c>
      <c r="K11743" t="s">
        <v>36937</v>
      </c>
      <c r="M11743" t="s">
        <v>39436</v>
      </c>
      <c r="N11743" t="s">
        <v>40436</v>
      </c>
      <c r="O11743" t="s">
        <v>40437</v>
      </c>
      <c r="P11743">
        <v>0</v>
      </c>
      <c r="Q11743">
        <v>0</v>
      </c>
      <c r="R11743" t="s">
        <v>40453</v>
      </c>
      <c r="S11743" t="s">
        <v>41237</v>
      </c>
      <c r="T11743" t="s">
        <v>42273</v>
      </c>
      <c r="U11743" t="s">
        <v>52297</v>
      </c>
      <c r="V11743" t="s">
        <v>54542</v>
      </c>
      <c r="W11743" t="s">
        <v>39436</v>
      </c>
      <c r="X11743" t="s">
        <v>40454</v>
      </c>
    </row>
    <row r="11744" spans="1:24">
      <c r="A11744">
        <f>HYPERLINK("https://www.philgeps.gov.ph/GEPSNONPILOT/Tender/SplashBidNoticeAbstractUI.aspx?menuIndex=3&amp;refID=7019591&amp;Result=3","7019591")</f>
        <v>0</v>
      </c>
      <c r="B11744" t="s">
        <v>1990</v>
      </c>
      <c r="C11744" t="s">
        <v>14319</v>
      </c>
      <c r="D11744" t="s">
        <v>16258</v>
      </c>
      <c r="E11744" t="s">
        <v>26478</v>
      </c>
      <c r="F11744" t="s">
        <v>28198</v>
      </c>
      <c r="G11744" t="s">
        <v>28205</v>
      </c>
      <c r="H11744" t="s">
        <v>28214</v>
      </c>
      <c r="I11744" t="s">
        <v>3797</v>
      </c>
      <c r="J11744" t="s">
        <v>35560</v>
      </c>
      <c r="K11744" t="s">
        <v>36859</v>
      </c>
      <c r="M11744" t="s">
        <v>39436</v>
      </c>
      <c r="N11744" t="s">
        <v>40436</v>
      </c>
      <c r="O11744" t="s">
        <v>40437</v>
      </c>
      <c r="P11744">
        <v>0</v>
      </c>
      <c r="Q11744">
        <v>0</v>
      </c>
      <c r="R11744" t="s">
        <v>40453</v>
      </c>
      <c r="S11744" t="s">
        <v>41237</v>
      </c>
      <c r="T11744" t="s">
        <v>42273</v>
      </c>
      <c r="U11744" t="s">
        <v>52291</v>
      </c>
      <c r="V11744" t="s">
        <v>54542</v>
      </c>
      <c r="W11744" t="s">
        <v>39436</v>
      </c>
      <c r="X11744" t="s">
        <v>40454</v>
      </c>
    </row>
    <row r="11745" spans="1:24">
      <c r="A11745">
        <f>HYPERLINK("https://www.philgeps.gov.ph/GEPSNONPILOT/Tender/SplashBidNoticeAbstractUI.aspx?menuIndex=3&amp;refID=7019669&amp;Result=3","7019669")</f>
        <v>0</v>
      </c>
      <c r="B11745" t="s">
        <v>2920</v>
      </c>
      <c r="C11745" t="s">
        <v>14320</v>
      </c>
      <c r="E11745" t="s">
        <v>26479</v>
      </c>
      <c r="F11745" t="s">
        <v>28198</v>
      </c>
      <c r="G11745" t="s">
        <v>28205</v>
      </c>
      <c r="H11745" t="s">
        <v>28214</v>
      </c>
      <c r="I11745" t="s">
        <v>3797</v>
      </c>
      <c r="J11745" t="s">
        <v>35561</v>
      </c>
      <c r="K11745" t="s">
        <v>36896</v>
      </c>
      <c r="M11745" t="s">
        <v>40196</v>
      </c>
      <c r="N11745" t="s">
        <v>40436</v>
      </c>
      <c r="O11745" t="s">
        <v>40437</v>
      </c>
      <c r="P11745">
        <v>0</v>
      </c>
      <c r="Q11745">
        <v>3</v>
      </c>
      <c r="R11745" t="s">
        <v>40453</v>
      </c>
      <c r="S11745" t="s">
        <v>41237</v>
      </c>
      <c r="T11745" t="s">
        <v>42142</v>
      </c>
      <c r="U11745" t="s">
        <v>52298</v>
      </c>
      <c r="W11745" t="s">
        <v>40196</v>
      </c>
      <c r="X11745" t="s">
        <v>40454</v>
      </c>
    </row>
    <row r="11746" spans="1:24">
      <c r="A11746">
        <f>HYPERLINK("https://www.philgeps.gov.ph/GEPSNONPILOT/Tender/SplashBidNoticeAbstractUI.aspx?menuIndex=3&amp;refID=7019675&amp;Result=3","7019675")</f>
        <v>0</v>
      </c>
      <c r="B11746" t="s">
        <v>1108</v>
      </c>
      <c r="C11746" t="s">
        <v>14321</v>
      </c>
      <c r="D11746" t="s">
        <v>16193</v>
      </c>
      <c r="E11746" t="s">
        <v>26480</v>
      </c>
      <c r="F11746" t="s">
        <v>28198</v>
      </c>
      <c r="G11746" t="s">
        <v>28205</v>
      </c>
      <c r="H11746" t="s">
        <v>28214</v>
      </c>
      <c r="I11746" t="s">
        <v>3797</v>
      </c>
      <c r="J11746" t="s">
        <v>35562</v>
      </c>
      <c r="K11746" t="s">
        <v>36697</v>
      </c>
      <c r="M11746" t="s">
        <v>38144</v>
      </c>
      <c r="N11746" t="s">
        <v>40436</v>
      </c>
      <c r="O11746" t="s">
        <v>40437</v>
      </c>
      <c r="P11746">
        <v>0</v>
      </c>
      <c r="Q11746">
        <v>2</v>
      </c>
      <c r="R11746" t="s">
        <v>40453</v>
      </c>
      <c r="S11746" t="s">
        <v>41237</v>
      </c>
      <c r="T11746" t="s">
        <v>42183</v>
      </c>
      <c r="U11746" t="s">
        <v>52299</v>
      </c>
      <c r="W11746" t="s">
        <v>38144</v>
      </c>
      <c r="X11746" t="s">
        <v>40454</v>
      </c>
    </row>
    <row r="11747" spans="1:24">
      <c r="A11747">
        <f>HYPERLINK("https://www.philgeps.gov.ph/GEPSNONPILOT/Tender/SplashBidNoticeAbstractUI.aspx?menuIndex=3&amp;refID=7019708&amp;Result=3","7019708")</f>
        <v>0</v>
      </c>
      <c r="B11747" t="s">
        <v>1990</v>
      </c>
      <c r="C11747" t="s">
        <v>14322</v>
      </c>
      <c r="D11747" t="s">
        <v>16258</v>
      </c>
      <c r="E11747" t="s">
        <v>26481</v>
      </c>
      <c r="F11747" t="s">
        <v>28198</v>
      </c>
      <c r="G11747" t="s">
        <v>28205</v>
      </c>
      <c r="H11747" t="s">
        <v>28214</v>
      </c>
      <c r="I11747" t="s">
        <v>3797</v>
      </c>
      <c r="J11747" t="s">
        <v>35563</v>
      </c>
      <c r="K11747" t="s">
        <v>36697</v>
      </c>
      <c r="M11747" t="s">
        <v>39436</v>
      </c>
      <c r="N11747" t="s">
        <v>40436</v>
      </c>
      <c r="O11747" t="s">
        <v>40437</v>
      </c>
      <c r="P11747">
        <v>0</v>
      </c>
      <c r="Q11747">
        <v>0</v>
      </c>
      <c r="R11747" t="s">
        <v>40453</v>
      </c>
      <c r="S11747" t="s">
        <v>41237</v>
      </c>
      <c r="T11747" t="s">
        <v>42273</v>
      </c>
      <c r="U11747" t="s">
        <v>52300</v>
      </c>
      <c r="V11747" t="s">
        <v>54542</v>
      </c>
      <c r="W11747" t="s">
        <v>39436</v>
      </c>
      <c r="X11747" t="s">
        <v>40454</v>
      </c>
    </row>
    <row r="11748" spans="1:24">
      <c r="A11748">
        <f>HYPERLINK("https://www.philgeps.gov.ph/GEPSNONPILOT/Tender/SplashBidNoticeAbstractUI.aspx?menuIndex=3&amp;refID=7019707&amp;Result=3","7019707")</f>
        <v>0</v>
      </c>
      <c r="B11748" t="s">
        <v>1252</v>
      </c>
      <c r="C11748" t="s">
        <v>14323</v>
      </c>
      <c r="D11748" t="s">
        <v>16203</v>
      </c>
      <c r="E11748" t="s">
        <v>26482</v>
      </c>
      <c r="F11748" t="s">
        <v>28198</v>
      </c>
      <c r="G11748" t="s">
        <v>28205</v>
      </c>
      <c r="H11748" t="s">
        <v>28214</v>
      </c>
      <c r="I11748" t="s">
        <v>3797</v>
      </c>
      <c r="J11748" t="s">
        <v>28379</v>
      </c>
      <c r="K11748" t="s">
        <v>36711</v>
      </c>
      <c r="M11748" t="s">
        <v>38302</v>
      </c>
      <c r="N11748" t="s">
        <v>40436</v>
      </c>
      <c r="O11748" t="s">
        <v>40437</v>
      </c>
      <c r="P11748">
        <v>0</v>
      </c>
      <c r="Q11748">
        <v>9</v>
      </c>
      <c r="R11748" t="s">
        <v>40453</v>
      </c>
      <c r="S11748" t="s">
        <v>41237</v>
      </c>
      <c r="T11748" t="s">
        <v>42129</v>
      </c>
      <c r="U11748" t="s">
        <v>52301</v>
      </c>
      <c r="V11748" t="s">
        <v>55119</v>
      </c>
      <c r="W11748" t="s">
        <v>38302</v>
      </c>
      <c r="X11748" t="s">
        <v>40454</v>
      </c>
    </row>
    <row r="11749" spans="1:24">
      <c r="A11749">
        <f>HYPERLINK("https://www.philgeps.gov.ph/GEPSNONPILOT/Tender/SplashBidNoticeAbstractUI.aspx?menuIndex=3&amp;refID=7019702&amp;Result=3","7019702")</f>
        <v>0</v>
      </c>
      <c r="B11749" t="s">
        <v>2804</v>
      </c>
      <c r="C11749" t="s">
        <v>14324</v>
      </c>
      <c r="D11749" t="s">
        <v>16233</v>
      </c>
      <c r="E11749" t="s">
        <v>26483</v>
      </c>
      <c r="F11749" t="s">
        <v>28198</v>
      </c>
      <c r="G11749" t="s">
        <v>28205</v>
      </c>
      <c r="H11749" t="s">
        <v>28214</v>
      </c>
      <c r="I11749" t="s">
        <v>3797</v>
      </c>
      <c r="J11749" t="s">
        <v>29002</v>
      </c>
      <c r="K11749" t="s">
        <v>36830</v>
      </c>
      <c r="M11749" t="s">
        <v>40054</v>
      </c>
      <c r="N11749" t="s">
        <v>40436</v>
      </c>
      <c r="O11749" t="s">
        <v>40437</v>
      </c>
      <c r="P11749">
        <v>0</v>
      </c>
      <c r="Q11749">
        <v>1</v>
      </c>
      <c r="R11749" t="s">
        <v>40453</v>
      </c>
      <c r="S11749" t="s">
        <v>41237</v>
      </c>
      <c r="T11749" t="s">
        <v>42200</v>
      </c>
      <c r="U11749" t="s">
        <v>52302</v>
      </c>
      <c r="V11749" t="s">
        <v>55120</v>
      </c>
      <c r="W11749" t="s">
        <v>55533</v>
      </c>
      <c r="X11749" t="s">
        <v>40454</v>
      </c>
    </row>
    <row r="11750" spans="1:24">
      <c r="A11750">
        <f>HYPERLINK("https://www.philgeps.gov.ph/GEPSNONPILOT/Tender/SplashBidNoticeAbstractUI.aspx?menuIndex=3&amp;refID=7019719&amp;Result=3","7019719")</f>
        <v>0</v>
      </c>
      <c r="B11750" t="s">
        <v>1990</v>
      </c>
      <c r="C11750" t="s">
        <v>14325</v>
      </c>
      <c r="D11750" t="s">
        <v>16258</v>
      </c>
      <c r="E11750" t="s">
        <v>26484</v>
      </c>
      <c r="F11750" t="s">
        <v>28198</v>
      </c>
      <c r="G11750" t="s">
        <v>28205</v>
      </c>
      <c r="H11750" t="s">
        <v>28214</v>
      </c>
      <c r="I11750" t="s">
        <v>3797</v>
      </c>
      <c r="J11750" t="s">
        <v>35564</v>
      </c>
      <c r="K11750" t="s">
        <v>36957</v>
      </c>
      <c r="M11750" t="s">
        <v>39436</v>
      </c>
      <c r="N11750" t="s">
        <v>40436</v>
      </c>
      <c r="O11750" t="s">
        <v>40437</v>
      </c>
      <c r="P11750">
        <v>0</v>
      </c>
      <c r="Q11750">
        <v>0</v>
      </c>
      <c r="R11750" t="s">
        <v>40453</v>
      </c>
      <c r="S11750" t="s">
        <v>41237</v>
      </c>
      <c r="T11750" t="s">
        <v>42273</v>
      </c>
      <c r="U11750" t="s">
        <v>52303</v>
      </c>
      <c r="V11750" t="s">
        <v>54542</v>
      </c>
      <c r="W11750" t="s">
        <v>39436</v>
      </c>
      <c r="X11750" t="s">
        <v>40454</v>
      </c>
    </row>
    <row r="11751" spans="1:24">
      <c r="A11751">
        <f>HYPERLINK("https://www.philgeps.gov.ph/GEPSNONPILOT/Tender/SplashBidNoticeAbstractUI.aspx?menuIndex=3&amp;refID=7019688&amp;Result=3","7019688")</f>
        <v>0</v>
      </c>
      <c r="B11751" t="s">
        <v>2921</v>
      </c>
      <c r="C11751" t="s">
        <v>14326</v>
      </c>
      <c r="D11751" t="s">
        <v>16194</v>
      </c>
      <c r="E11751" t="s">
        <v>26485</v>
      </c>
      <c r="F11751" t="s">
        <v>28198</v>
      </c>
      <c r="G11751" t="s">
        <v>28205</v>
      </c>
      <c r="H11751" t="s">
        <v>28214</v>
      </c>
      <c r="I11751" t="s">
        <v>3797</v>
      </c>
      <c r="J11751" t="s">
        <v>28363</v>
      </c>
      <c r="K11751" t="s">
        <v>36701</v>
      </c>
      <c r="M11751" t="s">
        <v>40197</v>
      </c>
      <c r="N11751" t="s">
        <v>40436</v>
      </c>
      <c r="O11751" t="s">
        <v>40437</v>
      </c>
      <c r="P11751">
        <v>0</v>
      </c>
      <c r="Q11751">
        <v>0</v>
      </c>
      <c r="R11751" t="s">
        <v>40453</v>
      </c>
      <c r="S11751" t="s">
        <v>41237</v>
      </c>
      <c r="T11751" t="s">
        <v>42158</v>
      </c>
      <c r="U11751" t="s">
        <v>52304</v>
      </c>
      <c r="W11751" t="s">
        <v>40197</v>
      </c>
      <c r="X11751" t="s">
        <v>40454</v>
      </c>
    </row>
    <row r="11752" spans="1:24">
      <c r="A11752">
        <f>HYPERLINK("https://www.philgeps.gov.ph/GEPSNONPILOT/Tender/SplashBidNoticeAbstractUI.aspx?menuIndex=3&amp;refID=7019687&amp;Result=3","7019687")</f>
        <v>0</v>
      </c>
      <c r="B11752" t="s">
        <v>2922</v>
      </c>
      <c r="C11752" t="s">
        <v>14327</v>
      </c>
      <c r="D11752" t="s">
        <v>16246</v>
      </c>
      <c r="E11752" t="s">
        <v>22508</v>
      </c>
      <c r="F11752" t="s">
        <v>28198</v>
      </c>
      <c r="G11752" t="s">
        <v>28205</v>
      </c>
      <c r="H11752" t="s">
        <v>28214</v>
      </c>
      <c r="I11752" t="s">
        <v>3797</v>
      </c>
      <c r="J11752" t="s">
        <v>35565</v>
      </c>
      <c r="K11752" t="s">
        <v>36689</v>
      </c>
      <c r="M11752" t="s">
        <v>40198</v>
      </c>
      <c r="N11752" t="s">
        <v>40436</v>
      </c>
      <c r="O11752" t="s">
        <v>40437</v>
      </c>
      <c r="P11752">
        <v>0</v>
      </c>
      <c r="Q11752">
        <v>0</v>
      </c>
      <c r="R11752" t="s">
        <v>40453</v>
      </c>
      <c r="S11752" t="s">
        <v>41237</v>
      </c>
      <c r="T11752" t="s">
        <v>42133</v>
      </c>
      <c r="U11752" t="s">
        <v>52305</v>
      </c>
      <c r="W11752" t="s">
        <v>40198</v>
      </c>
      <c r="X11752" t="s">
        <v>40454</v>
      </c>
    </row>
    <row r="11753" spans="1:24">
      <c r="A11753">
        <f>HYPERLINK("https://www.philgeps.gov.ph/GEPSNONPILOT/Tender/SplashBidNoticeAbstractUI.aspx?menuIndex=3&amp;refID=7019678&amp;Result=3","7019678")</f>
        <v>0</v>
      </c>
      <c r="B11753" t="s">
        <v>2637</v>
      </c>
      <c r="C11753" t="s">
        <v>14328</v>
      </c>
      <c r="D11753" t="s">
        <v>16193</v>
      </c>
      <c r="E11753" t="s">
        <v>26486</v>
      </c>
      <c r="F11753" t="s">
        <v>28198</v>
      </c>
      <c r="G11753" t="s">
        <v>28205</v>
      </c>
      <c r="H11753" t="s">
        <v>28215</v>
      </c>
      <c r="I11753" t="s">
        <v>5082</v>
      </c>
      <c r="J11753" t="s">
        <v>35566</v>
      </c>
      <c r="K11753" t="s">
        <v>36689</v>
      </c>
      <c r="M11753" t="s">
        <v>39862</v>
      </c>
      <c r="N11753" t="s">
        <v>40436</v>
      </c>
      <c r="O11753" t="s">
        <v>40437</v>
      </c>
      <c r="P11753">
        <v>0</v>
      </c>
      <c r="Q11753">
        <v>3</v>
      </c>
      <c r="R11753" t="s">
        <v>40453</v>
      </c>
      <c r="S11753" t="s">
        <v>41237</v>
      </c>
      <c r="T11753" t="s">
        <v>42111</v>
      </c>
      <c r="U11753" t="s">
        <v>47490</v>
      </c>
      <c r="W11753" t="s">
        <v>39862</v>
      </c>
      <c r="X11753" t="s">
        <v>40454</v>
      </c>
    </row>
    <row r="11754" spans="1:24">
      <c r="A11754">
        <f>HYPERLINK("https://www.philgeps.gov.ph/GEPSNONPILOT/Tender/SplashBidNoticeAbstractUI.aspx?menuIndex=3&amp;refID=7019713&amp;Result=3","7019713")</f>
        <v>0</v>
      </c>
      <c r="B11754" t="s">
        <v>1990</v>
      </c>
      <c r="C11754" t="s">
        <v>14329</v>
      </c>
      <c r="D11754" t="s">
        <v>16258</v>
      </c>
      <c r="E11754" t="s">
        <v>26487</v>
      </c>
      <c r="F11754" t="s">
        <v>28198</v>
      </c>
      <c r="G11754" t="s">
        <v>28205</v>
      </c>
      <c r="H11754" t="s">
        <v>28214</v>
      </c>
      <c r="I11754" t="s">
        <v>3797</v>
      </c>
      <c r="J11754" t="s">
        <v>35567</v>
      </c>
      <c r="K11754" t="s">
        <v>36697</v>
      </c>
      <c r="M11754" t="s">
        <v>39436</v>
      </c>
      <c r="N11754" t="s">
        <v>40436</v>
      </c>
      <c r="O11754" t="s">
        <v>40437</v>
      </c>
      <c r="P11754">
        <v>0</v>
      </c>
      <c r="Q11754">
        <v>0</v>
      </c>
      <c r="R11754" t="s">
        <v>40453</v>
      </c>
      <c r="S11754" t="s">
        <v>41237</v>
      </c>
      <c r="T11754" t="s">
        <v>42273</v>
      </c>
      <c r="U11754" t="s">
        <v>52306</v>
      </c>
      <c r="V11754" t="s">
        <v>54542</v>
      </c>
      <c r="W11754" t="s">
        <v>39436</v>
      </c>
      <c r="X11754" t="s">
        <v>40454</v>
      </c>
    </row>
    <row r="11755" spans="1:24">
      <c r="A11755">
        <f>HYPERLINK("https://www.philgeps.gov.ph/GEPSNONPILOT/Tender/SplashBidNoticeAbstractUI.aspx?menuIndex=3&amp;refID=7019766&amp;Result=3","7019766")</f>
        <v>0</v>
      </c>
      <c r="B11755" t="s">
        <v>2403</v>
      </c>
      <c r="C11755" t="s">
        <v>14330</v>
      </c>
      <c r="D11755" t="s">
        <v>16223</v>
      </c>
      <c r="E11755" t="s">
        <v>26488</v>
      </c>
      <c r="F11755" t="s">
        <v>28198</v>
      </c>
      <c r="G11755" t="s">
        <v>28205</v>
      </c>
      <c r="H11755" t="s">
        <v>28217</v>
      </c>
      <c r="I11755" t="s">
        <v>28236</v>
      </c>
      <c r="J11755" t="s">
        <v>31520</v>
      </c>
      <c r="K11755" t="s">
        <v>36707</v>
      </c>
      <c r="M11755" t="s">
        <v>39591</v>
      </c>
      <c r="N11755" t="s">
        <v>40436</v>
      </c>
      <c r="O11755" t="s">
        <v>40437</v>
      </c>
      <c r="P11755">
        <v>0</v>
      </c>
      <c r="Q11755">
        <v>0</v>
      </c>
      <c r="R11755" t="s">
        <v>40453</v>
      </c>
      <c r="S11755" t="s">
        <v>41237</v>
      </c>
      <c r="T11755" t="s">
        <v>42277</v>
      </c>
      <c r="U11755" t="s">
        <v>52307</v>
      </c>
      <c r="W11755" t="s">
        <v>39591</v>
      </c>
      <c r="X11755" t="s">
        <v>40454</v>
      </c>
    </row>
    <row r="11756" spans="1:24">
      <c r="A11756">
        <f>HYPERLINK("https://www.philgeps.gov.ph/GEPSNONPILOT/Tender/SplashBidNoticeAbstractUI.aspx?menuIndex=3&amp;refID=7019724&amp;Result=3","7019724")</f>
        <v>0</v>
      </c>
      <c r="B11756" t="s">
        <v>1990</v>
      </c>
      <c r="C11756" t="s">
        <v>14331</v>
      </c>
      <c r="D11756" t="s">
        <v>16258</v>
      </c>
      <c r="E11756" t="s">
        <v>26489</v>
      </c>
      <c r="F11756" t="s">
        <v>28198</v>
      </c>
      <c r="G11756" t="s">
        <v>28205</v>
      </c>
      <c r="H11756" t="s">
        <v>28214</v>
      </c>
      <c r="I11756" t="s">
        <v>3797</v>
      </c>
      <c r="J11756" t="s">
        <v>35568</v>
      </c>
      <c r="K11756" t="s">
        <v>36937</v>
      </c>
      <c r="M11756" t="s">
        <v>39436</v>
      </c>
      <c r="N11756" t="s">
        <v>40436</v>
      </c>
      <c r="O11756" t="s">
        <v>40437</v>
      </c>
      <c r="P11756">
        <v>0</v>
      </c>
      <c r="Q11756">
        <v>0</v>
      </c>
      <c r="R11756" t="s">
        <v>40453</v>
      </c>
      <c r="S11756" t="s">
        <v>41237</v>
      </c>
      <c r="T11756" t="s">
        <v>42273</v>
      </c>
      <c r="U11756" t="s">
        <v>52308</v>
      </c>
      <c r="V11756" t="s">
        <v>54542</v>
      </c>
      <c r="W11756" t="s">
        <v>39436</v>
      </c>
      <c r="X11756" t="s">
        <v>40454</v>
      </c>
    </row>
    <row r="11757" spans="1:24">
      <c r="A11757">
        <f>HYPERLINK("https://www.philgeps.gov.ph/GEPSNONPILOT/Tender/SplashBidNoticeAbstractUI.aspx?menuIndex=3&amp;refID=7019777&amp;Result=3","7019777")</f>
        <v>0</v>
      </c>
      <c r="B11757" t="s">
        <v>1731</v>
      </c>
      <c r="C11757" t="s">
        <v>14332</v>
      </c>
      <c r="D11757" t="s">
        <v>16193</v>
      </c>
      <c r="E11757" t="s">
        <v>26490</v>
      </c>
      <c r="F11757" t="s">
        <v>28198</v>
      </c>
      <c r="G11757" t="s">
        <v>28205</v>
      </c>
      <c r="H11757" t="s">
        <v>28215</v>
      </c>
      <c r="I11757" t="s">
        <v>4200</v>
      </c>
      <c r="J11757" t="s">
        <v>35569</v>
      </c>
      <c r="K11757" t="s">
        <v>36701</v>
      </c>
      <c r="M11757" t="s">
        <v>38842</v>
      </c>
      <c r="N11757" t="s">
        <v>40436</v>
      </c>
      <c r="O11757" t="s">
        <v>40437</v>
      </c>
      <c r="P11757">
        <v>0</v>
      </c>
      <c r="Q11757">
        <v>0</v>
      </c>
      <c r="R11757" t="s">
        <v>40453</v>
      </c>
      <c r="S11757" t="s">
        <v>41237</v>
      </c>
      <c r="T11757" t="s">
        <v>42119</v>
      </c>
      <c r="U11757" t="s">
        <v>52309</v>
      </c>
      <c r="W11757" t="s">
        <v>38842</v>
      </c>
      <c r="X11757" t="s">
        <v>40454</v>
      </c>
    </row>
    <row r="11758" spans="1:24">
      <c r="A11758">
        <f>HYPERLINK("https://www.philgeps.gov.ph/GEPSNONPILOT/Tender/SplashBidNoticeAbstractUI.aspx?menuIndex=3&amp;refID=7019761&amp;Result=3","7019761")</f>
        <v>0</v>
      </c>
      <c r="B11758" t="s">
        <v>2531</v>
      </c>
      <c r="C11758" t="s">
        <v>14333</v>
      </c>
      <c r="D11758" t="s">
        <v>16207</v>
      </c>
      <c r="E11758" t="s">
        <v>26491</v>
      </c>
      <c r="F11758" t="s">
        <v>28198</v>
      </c>
      <c r="G11758" t="s">
        <v>28205</v>
      </c>
      <c r="H11758" t="s">
        <v>28215</v>
      </c>
      <c r="I11758" t="s">
        <v>28228</v>
      </c>
      <c r="J11758" t="s">
        <v>29409</v>
      </c>
      <c r="K11758" t="s">
        <v>36728</v>
      </c>
      <c r="M11758" t="s">
        <v>39740</v>
      </c>
      <c r="N11758" t="s">
        <v>40436</v>
      </c>
      <c r="O11758" t="s">
        <v>40437</v>
      </c>
      <c r="P11758">
        <v>0</v>
      </c>
      <c r="Q11758">
        <v>0</v>
      </c>
      <c r="R11758" t="s">
        <v>40453</v>
      </c>
      <c r="S11758" t="s">
        <v>41237</v>
      </c>
      <c r="T11758" t="s">
        <v>42103</v>
      </c>
      <c r="U11758" t="s">
        <v>52310</v>
      </c>
      <c r="W11758" t="s">
        <v>55519</v>
      </c>
      <c r="X11758" t="s">
        <v>40454</v>
      </c>
    </row>
    <row r="11759" spans="1:24">
      <c r="A11759">
        <f>HYPERLINK("https://www.philgeps.gov.ph/GEPSNONPILOT/Tender/SplashBidNoticeAbstractUI.aspx?menuIndex=3&amp;refID=7019759&amp;Result=3","7019759")</f>
        <v>0</v>
      </c>
      <c r="B11759" t="s">
        <v>1990</v>
      </c>
      <c r="C11759" t="s">
        <v>14334</v>
      </c>
      <c r="D11759" t="s">
        <v>16258</v>
      </c>
      <c r="E11759" t="s">
        <v>26492</v>
      </c>
      <c r="F11759" t="s">
        <v>28198</v>
      </c>
      <c r="G11759" t="s">
        <v>28205</v>
      </c>
      <c r="H11759" t="s">
        <v>28214</v>
      </c>
      <c r="I11759" t="s">
        <v>3797</v>
      </c>
      <c r="J11759" t="s">
        <v>35570</v>
      </c>
      <c r="K11759" t="s">
        <v>36957</v>
      </c>
      <c r="M11759" t="s">
        <v>39436</v>
      </c>
      <c r="N11759" t="s">
        <v>40436</v>
      </c>
      <c r="O11759" t="s">
        <v>40437</v>
      </c>
      <c r="Q11759">
        <v>0</v>
      </c>
      <c r="R11759" t="s">
        <v>40453</v>
      </c>
      <c r="S11759" t="s">
        <v>41267</v>
      </c>
      <c r="T11759" t="s">
        <v>42273</v>
      </c>
      <c r="U11759" t="s">
        <v>52311</v>
      </c>
      <c r="V11759" t="s">
        <v>54542</v>
      </c>
      <c r="W11759" t="s">
        <v>39436</v>
      </c>
      <c r="X11759" t="s">
        <v>40454</v>
      </c>
    </row>
    <row r="11760" spans="1:24">
      <c r="A11760">
        <f>HYPERLINK("https://www.philgeps.gov.ph/GEPSNONPILOT/Tender/SplashBidNoticeAbstractUI.aspx?menuIndex=3&amp;refID=7019751&amp;Result=3","7019751")</f>
        <v>0</v>
      </c>
      <c r="B11760" t="s">
        <v>1990</v>
      </c>
      <c r="C11760" t="s">
        <v>14335</v>
      </c>
      <c r="D11760" t="s">
        <v>16258</v>
      </c>
      <c r="E11760" t="s">
        <v>26493</v>
      </c>
      <c r="F11760" t="s">
        <v>28198</v>
      </c>
      <c r="G11760" t="s">
        <v>28205</v>
      </c>
      <c r="H11760" t="s">
        <v>28214</v>
      </c>
      <c r="I11760" t="s">
        <v>3797</v>
      </c>
      <c r="J11760" t="s">
        <v>35571</v>
      </c>
      <c r="K11760" t="s">
        <v>36957</v>
      </c>
      <c r="M11760" t="s">
        <v>39436</v>
      </c>
      <c r="N11760" t="s">
        <v>40436</v>
      </c>
      <c r="O11760" t="s">
        <v>40437</v>
      </c>
      <c r="Q11760">
        <v>0</v>
      </c>
      <c r="R11760" t="s">
        <v>40453</v>
      </c>
      <c r="S11760" t="s">
        <v>41268</v>
      </c>
      <c r="T11760" t="s">
        <v>42273</v>
      </c>
      <c r="U11760" t="s">
        <v>52312</v>
      </c>
      <c r="V11760" t="s">
        <v>54542</v>
      </c>
      <c r="W11760" t="s">
        <v>39436</v>
      </c>
      <c r="X11760" t="s">
        <v>40454</v>
      </c>
    </row>
    <row r="11761" spans="1:24">
      <c r="A11761">
        <f>HYPERLINK("https://www.philgeps.gov.ph/GEPSNONPILOT/Tender/SplashBidNoticeAbstractUI.aspx?menuIndex=3&amp;refID=7019760&amp;Result=3","7019760")</f>
        <v>0</v>
      </c>
      <c r="B11761" t="s">
        <v>2923</v>
      </c>
      <c r="C11761" t="s">
        <v>14336</v>
      </c>
      <c r="D11761" t="s">
        <v>16222</v>
      </c>
      <c r="E11761" t="s">
        <v>17244</v>
      </c>
      <c r="F11761" t="s">
        <v>28198</v>
      </c>
      <c r="G11761" t="s">
        <v>28205</v>
      </c>
      <c r="H11761" t="s">
        <v>28214</v>
      </c>
      <c r="I11761" t="s">
        <v>3797</v>
      </c>
      <c r="J11761" t="s">
        <v>28390</v>
      </c>
      <c r="K11761" t="s">
        <v>36735</v>
      </c>
      <c r="M11761" t="s">
        <v>40199</v>
      </c>
      <c r="N11761" t="s">
        <v>40436</v>
      </c>
      <c r="O11761" t="s">
        <v>40437</v>
      </c>
      <c r="P11761">
        <v>0</v>
      </c>
      <c r="Q11761">
        <v>4</v>
      </c>
      <c r="R11761" t="s">
        <v>40453</v>
      </c>
      <c r="S11761" t="s">
        <v>41237</v>
      </c>
      <c r="T11761" t="s">
        <v>42103</v>
      </c>
      <c r="U11761" t="s">
        <v>52313</v>
      </c>
      <c r="V11761" t="s">
        <v>55121</v>
      </c>
      <c r="W11761" t="s">
        <v>40199</v>
      </c>
      <c r="X11761" t="s">
        <v>40454</v>
      </c>
    </row>
    <row r="11762" spans="1:24">
      <c r="A11762">
        <f>HYPERLINK("https://www.philgeps.gov.ph/GEPSNONPILOT/Tender/SplashBidNoticeAbstractUI.aspx?menuIndex=3&amp;refID=7019816&amp;Result=3","7019816")</f>
        <v>0</v>
      </c>
      <c r="B11762" t="s">
        <v>1990</v>
      </c>
      <c r="C11762" t="s">
        <v>14337</v>
      </c>
      <c r="D11762" t="s">
        <v>16258</v>
      </c>
      <c r="E11762" t="s">
        <v>26494</v>
      </c>
      <c r="F11762" t="s">
        <v>28198</v>
      </c>
      <c r="G11762" t="s">
        <v>28205</v>
      </c>
      <c r="H11762" t="s">
        <v>28214</v>
      </c>
      <c r="I11762" t="s">
        <v>3797</v>
      </c>
      <c r="J11762" t="s">
        <v>35572</v>
      </c>
      <c r="K11762" t="s">
        <v>36690</v>
      </c>
      <c r="M11762" t="s">
        <v>39436</v>
      </c>
      <c r="N11762" t="s">
        <v>40436</v>
      </c>
      <c r="O11762" t="s">
        <v>40437</v>
      </c>
      <c r="P11762">
        <v>0</v>
      </c>
      <c r="Q11762">
        <v>0</v>
      </c>
      <c r="R11762" t="s">
        <v>40453</v>
      </c>
      <c r="S11762" t="s">
        <v>41237</v>
      </c>
      <c r="T11762" t="s">
        <v>42273</v>
      </c>
      <c r="U11762" t="s">
        <v>52314</v>
      </c>
      <c r="V11762" t="s">
        <v>54542</v>
      </c>
      <c r="W11762" t="s">
        <v>39436</v>
      </c>
      <c r="X11762" t="s">
        <v>40454</v>
      </c>
    </row>
    <row r="11763" spans="1:24">
      <c r="A11763">
        <f>HYPERLINK("https://www.philgeps.gov.ph/GEPSNONPILOT/Tender/SplashBidNoticeAbstractUI.aspx?menuIndex=3&amp;refID=7019880&amp;Result=3","7019880")</f>
        <v>0</v>
      </c>
      <c r="B11763" t="s">
        <v>1712</v>
      </c>
      <c r="C11763" t="s">
        <v>14338</v>
      </c>
      <c r="D11763" t="s">
        <v>16244</v>
      </c>
      <c r="E11763" t="s">
        <v>26495</v>
      </c>
      <c r="F11763" t="s">
        <v>28198</v>
      </c>
      <c r="G11763" t="s">
        <v>28205</v>
      </c>
      <c r="H11763" t="s">
        <v>28214</v>
      </c>
      <c r="I11763" t="s">
        <v>3797</v>
      </c>
      <c r="J11763" t="s">
        <v>29552</v>
      </c>
      <c r="K11763" t="s">
        <v>36830</v>
      </c>
      <c r="M11763" t="s">
        <v>38818</v>
      </c>
      <c r="N11763" t="s">
        <v>40436</v>
      </c>
      <c r="O11763" t="s">
        <v>40437</v>
      </c>
      <c r="P11763">
        <v>0</v>
      </c>
      <c r="Q11763">
        <v>0</v>
      </c>
      <c r="R11763" t="s">
        <v>40453</v>
      </c>
      <c r="S11763" t="s">
        <v>41237</v>
      </c>
      <c r="T11763" t="s">
        <v>42158</v>
      </c>
      <c r="U11763" t="s">
        <v>46839</v>
      </c>
      <c r="W11763" t="s">
        <v>38818</v>
      </c>
      <c r="X11763" t="s">
        <v>40454</v>
      </c>
    </row>
    <row r="11764" spans="1:24">
      <c r="A11764">
        <f>HYPERLINK("https://www.philgeps.gov.ph/GEPSNONPILOT/Tender/SplashBidNoticeAbstractUI.aspx?menuIndex=3&amp;refID=7019715&amp;Result=3","7019715")</f>
        <v>0</v>
      </c>
      <c r="B11764" t="s">
        <v>386</v>
      </c>
      <c r="C11764" t="s">
        <v>14339</v>
      </c>
      <c r="D11764" t="s">
        <v>16259</v>
      </c>
      <c r="E11764" t="s">
        <v>26496</v>
      </c>
      <c r="F11764" t="s">
        <v>28198</v>
      </c>
      <c r="G11764" t="s">
        <v>28205</v>
      </c>
      <c r="H11764" t="s">
        <v>28215</v>
      </c>
      <c r="I11764" t="s">
        <v>28274</v>
      </c>
      <c r="J11764" t="s">
        <v>28362</v>
      </c>
      <c r="K11764" t="s">
        <v>36691</v>
      </c>
      <c r="M11764" t="s">
        <v>37366</v>
      </c>
      <c r="N11764" t="s">
        <v>40436</v>
      </c>
      <c r="O11764" t="s">
        <v>40437</v>
      </c>
      <c r="P11764">
        <v>0</v>
      </c>
      <c r="Q11764">
        <v>1</v>
      </c>
      <c r="R11764" t="s">
        <v>40453</v>
      </c>
      <c r="S11764" t="s">
        <v>41237</v>
      </c>
      <c r="T11764" t="s">
        <v>42158</v>
      </c>
      <c r="U11764" t="s">
        <v>52315</v>
      </c>
      <c r="V11764" t="s">
        <v>53872</v>
      </c>
      <c r="W11764" t="s">
        <v>37366</v>
      </c>
      <c r="X11764" t="s">
        <v>40454</v>
      </c>
    </row>
    <row r="11765" spans="1:24">
      <c r="A11765">
        <f>HYPERLINK("https://www.philgeps.gov.ph/GEPSNONPILOT/Tender/SplashBidNoticeAbstractUI.aspx?menuIndex=3&amp;refID=7019737&amp;Result=3","7019737")</f>
        <v>0</v>
      </c>
      <c r="B11765" t="s">
        <v>1990</v>
      </c>
      <c r="C11765" t="s">
        <v>14340</v>
      </c>
      <c r="D11765" t="s">
        <v>16258</v>
      </c>
      <c r="E11765" t="s">
        <v>26497</v>
      </c>
      <c r="F11765" t="s">
        <v>28198</v>
      </c>
      <c r="G11765" t="s">
        <v>28205</v>
      </c>
      <c r="H11765" t="s">
        <v>28214</v>
      </c>
      <c r="I11765" t="s">
        <v>3797</v>
      </c>
      <c r="J11765" t="s">
        <v>35573</v>
      </c>
      <c r="K11765" t="s">
        <v>36957</v>
      </c>
      <c r="M11765" t="s">
        <v>39436</v>
      </c>
      <c r="N11765" t="s">
        <v>40436</v>
      </c>
      <c r="O11765" t="s">
        <v>40437</v>
      </c>
      <c r="P11765">
        <v>0</v>
      </c>
      <c r="Q11765">
        <v>1</v>
      </c>
      <c r="R11765" t="s">
        <v>40453</v>
      </c>
      <c r="S11765" t="s">
        <v>41237</v>
      </c>
      <c r="T11765" t="s">
        <v>42273</v>
      </c>
      <c r="U11765" t="s">
        <v>52316</v>
      </c>
      <c r="V11765" t="s">
        <v>54542</v>
      </c>
      <c r="W11765" t="s">
        <v>39436</v>
      </c>
      <c r="X11765" t="s">
        <v>40454</v>
      </c>
    </row>
    <row r="11766" spans="1:24">
      <c r="A11766">
        <f>HYPERLINK("https://www.philgeps.gov.ph/GEPSNONPILOT/Tender/SplashBidNoticeAbstractUI.aspx?menuIndex=3&amp;refID=7019786&amp;Result=3","7019786")</f>
        <v>0</v>
      </c>
      <c r="B11766" t="s">
        <v>2924</v>
      </c>
      <c r="C11766" t="s">
        <v>14341</v>
      </c>
      <c r="D11766" t="s">
        <v>16220</v>
      </c>
      <c r="E11766" t="s">
        <v>26498</v>
      </c>
      <c r="F11766" t="s">
        <v>28198</v>
      </c>
      <c r="G11766" t="s">
        <v>28205</v>
      </c>
      <c r="H11766" t="s">
        <v>28215</v>
      </c>
      <c r="I11766" t="s">
        <v>8888</v>
      </c>
      <c r="J11766" t="s">
        <v>35574</v>
      </c>
      <c r="K11766" t="s">
        <v>36707</v>
      </c>
      <c r="M11766" t="s">
        <v>40200</v>
      </c>
      <c r="N11766" t="s">
        <v>40436</v>
      </c>
      <c r="O11766" t="s">
        <v>40437</v>
      </c>
      <c r="P11766">
        <v>0</v>
      </c>
      <c r="Q11766">
        <v>3</v>
      </c>
      <c r="R11766" t="s">
        <v>40453</v>
      </c>
      <c r="S11766" t="s">
        <v>41237</v>
      </c>
      <c r="T11766" t="s">
        <v>42134</v>
      </c>
      <c r="U11766" t="s">
        <v>52317</v>
      </c>
      <c r="W11766" t="s">
        <v>40200</v>
      </c>
      <c r="X11766" t="s">
        <v>40454</v>
      </c>
    </row>
    <row r="11767" spans="1:24">
      <c r="A11767">
        <f>HYPERLINK("https://www.philgeps.gov.ph/GEPSNONPILOT/Tender/SplashBidNoticeAbstractUI.aspx?menuIndex=3&amp;refID=7019877&amp;Result=3","7019877")</f>
        <v>0</v>
      </c>
      <c r="B11767" t="s">
        <v>89</v>
      </c>
      <c r="C11767" t="s">
        <v>14342</v>
      </c>
      <c r="D11767" t="s">
        <v>16215</v>
      </c>
      <c r="E11767" t="s">
        <v>26499</v>
      </c>
      <c r="F11767" t="s">
        <v>28198</v>
      </c>
      <c r="G11767" t="s">
        <v>28205</v>
      </c>
      <c r="H11767" t="s">
        <v>28214</v>
      </c>
      <c r="I11767" t="s">
        <v>3797</v>
      </c>
      <c r="J11767" t="s">
        <v>35575</v>
      </c>
      <c r="K11767" t="s">
        <v>36694</v>
      </c>
      <c r="M11767" t="s">
        <v>37061</v>
      </c>
      <c r="N11767" t="s">
        <v>40436</v>
      </c>
      <c r="O11767" t="s">
        <v>40437</v>
      </c>
      <c r="P11767">
        <v>0</v>
      </c>
      <c r="Q11767">
        <v>0</v>
      </c>
      <c r="R11767" t="s">
        <v>40453</v>
      </c>
      <c r="S11767" t="s">
        <v>41237</v>
      </c>
      <c r="T11767" t="s">
        <v>42205</v>
      </c>
      <c r="U11767" t="s">
        <v>52318</v>
      </c>
      <c r="W11767" t="s">
        <v>37061</v>
      </c>
      <c r="X11767" t="s">
        <v>40454</v>
      </c>
    </row>
    <row r="11768" spans="1:24">
      <c r="A11768">
        <f>HYPERLINK("https://www.philgeps.gov.ph/GEPSNONPILOT/Tender/SplashBidNoticeAbstractUI.aspx?menuIndex=3&amp;refID=7019895&amp;Result=3","7019895")</f>
        <v>0</v>
      </c>
      <c r="B11768" t="s">
        <v>89</v>
      </c>
      <c r="C11768" t="s">
        <v>14343</v>
      </c>
      <c r="D11768" t="s">
        <v>16215</v>
      </c>
      <c r="E11768" t="s">
        <v>19432</v>
      </c>
      <c r="F11768" t="s">
        <v>28198</v>
      </c>
      <c r="G11768" t="s">
        <v>28205</v>
      </c>
      <c r="H11768" t="s">
        <v>28214</v>
      </c>
      <c r="I11768" t="s">
        <v>3797</v>
      </c>
      <c r="J11768" t="s">
        <v>35576</v>
      </c>
      <c r="K11768" t="s">
        <v>36694</v>
      </c>
      <c r="M11768" t="s">
        <v>37061</v>
      </c>
      <c r="N11768" t="s">
        <v>40436</v>
      </c>
      <c r="O11768" t="s">
        <v>40437</v>
      </c>
      <c r="P11768">
        <v>0</v>
      </c>
      <c r="Q11768">
        <v>1</v>
      </c>
      <c r="R11768" t="s">
        <v>40453</v>
      </c>
      <c r="S11768" t="s">
        <v>41237</v>
      </c>
      <c r="T11768" t="s">
        <v>42205</v>
      </c>
      <c r="U11768" t="s">
        <v>52319</v>
      </c>
      <c r="W11768" t="s">
        <v>37061</v>
      </c>
      <c r="X11768" t="s">
        <v>40454</v>
      </c>
    </row>
    <row r="11769" spans="1:24">
      <c r="A11769">
        <f>HYPERLINK("https://www.philgeps.gov.ph/GEPSNONPILOT/Tender/SplashBidNoticeAbstractUI.aspx?menuIndex=3&amp;refID=7019804&amp;Result=3","7019804")</f>
        <v>0</v>
      </c>
      <c r="B11769" t="s">
        <v>1990</v>
      </c>
      <c r="C11769" t="s">
        <v>14344</v>
      </c>
      <c r="D11769" t="s">
        <v>16258</v>
      </c>
      <c r="E11769" t="s">
        <v>26500</v>
      </c>
      <c r="F11769" t="s">
        <v>28198</v>
      </c>
      <c r="G11769" t="s">
        <v>28205</v>
      </c>
      <c r="H11769" t="s">
        <v>28214</v>
      </c>
      <c r="I11769" t="s">
        <v>3797</v>
      </c>
      <c r="J11769" t="s">
        <v>35577</v>
      </c>
      <c r="K11769" t="s">
        <v>36690</v>
      </c>
      <c r="M11769" t="s">
        <v>39436</v>
      </c>
      <c r="N11769" t="s">
        <v>40436</v>
      </c>
      <c r="O11769" t="s">
        <v>40437</v>
      </c>
      <c r="P11769">
        <v>0</v>
      </c>
      <c r="Q11769">
        <v>0</v>
      </c>
      <c r="R11769" t="s">
        <v>40453</v>
      </c>
      <c r="S11769" t="s">
        <v>41237</v>
      </c>
      <c r="T11769" t="s">
        <v>42273</v>
      </c>
      <c r="U11769" t="s">
        <v>52320</v>
      </c>
      <c r="V11769" t="s">
        <v>54542</v>
      </c>
      <c r="W11769" t="s">
        <v>39436</v>
      </c>
      <c r="X11769" t="s">
        <v>40454</v>
      </c>
    </row>
    <row r="11770" spans="1:24">
      <c r="A11770">
        <f>HYPERLINK("https://www.philgeps.gov.ph/GEPSNONPILOT/Tender/SplashBidNoticeAbstractUI.aspx?menuIndex=3&amp;refID=7019731&amp;Result=3","7019731")</f>
        <v>0</v>
      </c>
      <c r="B11770" t="s">
        <v>1990</v>
      </c>
      <c r="C11770" t="s">
        <v>14345</v>
      </c>
      <c r="D11770" t="s">
        <v>16258</v>
      </c>
      <c r="E11770" t="s">
        <v>26501</v>
      </c>
      <c r="F11770" t="s">
        <v>28198</v>
      </c>
      <c r="G11770" t="s">
        <v>28205</v>
      </c>
      <c r="H11770" t="s">
        <v>28214</v>
      </c>
      <c r="I11770" t="s">
        <v>3797</v>
      </c>
      <c r="J11770" t="s">
        <v>35578</v>
      </c>
      <c r="K11770" t="s">
        <v>36829</v>
      </c>
      <c r="M11770" t="s">
        <v>39436</v>
      </c>
      <c r="N11770" t="s">
        <v>40436</v>
      </c>
      <c r="O11770" t="s">
        <v>40437</v>
      </c>
      <c r="P11770">
        <v>0</v>
      </c>
      <c r="Q11770">
        <v>0</v>
      </c>
      <c r="R11770" t="s">
        <v>40453</v>
      </c>
      <c r="S11770" t="s">
        <v>41237</v>
      </c>
      <c r="T11770" t="s">
        <v>42273</v>
      </c>
      <c r="U11770" t="s">
        <v>52321</v>
      </c>
      <c r="V11770" t="s">
        <v>54542</v>
      </c>
      <c r="W11770" t="s">
        <v>39436</v>
      </c>
      <c r="X11770" t="s">
        <v>40454</v>
      </c>
    </row>
    <row r="11771" spans="1:24">
      <c r="A11771">
        <f>HYPERLINK("https://www.philgeps.gov.ph/GEPSNONPILOT/Tender/SplashBidNoticeAbstractUI.aspx?menuIndex=3&amp;refID=7019864&amp;Result=3","7019864")</f>
        <v>0</v>
      </c>
      <c r="B11771" t="s">
        <v>1712</v>
      </c>
      <c r="C11771" t="s">
        <v>14346</v>
      </c>
      <c r="D11771" t="s">
        <v>16244</v>
      </c>
      <c r="E11771" t="s">
        <v>26502</v>
      </c>
      <c r="F11771" t="s">
        <v>28198</v>
      </c>
      <c r="G11771" t="s">
        <v>28205</v>
      </c>
      <c r="H11771" t="s">
        <v>28214</v>
      </c>
      <c r="I11771" t="s">
        <v>3797</v>
      </c>
      <c r="J11771" t="s">
        <v>29552</v>
      </c>
      <c r="K11771" t="s">
        <v>36697</v>
      </c>
      <c r="M11771" t="s">
        <v>38818</v>
      </c>
      <c r="N11771" t="s">
        <v>40436</v>
      </c>
      <c r="O11771" t="s">
        <v>40437</v>
      </c>
      <c r="P11771">
        <v>0</v>
      </c>
      <c r="Q11771">
        <v>0</v>
      </c>
      <c r="R11771" t="s">
        <v>40453</v>
      </c>
      <c r="S11771" t="s">
        <v>41237</v>
      </c>
      <c r="T11771" t="s">
        <v>42158</v>
      </c>
      <c r="U11771" t="s">
        <v>46839</v>
      </c>
      <c r="W11771" t="s">
        <v>38818</v>
      </c>
      <c r="X11771" t="s">
        <v>40454</v>
      </c>
    </row>
    <row r="11772" spans="1:24">
      <c r="A11772">
        <f>HYPERLINK("https://www.philgeps.gov.ph/GEPSNONPILOT/Tender/SplashBidNoticeAbstractUI.aspx?menuIndex=3&amp;refID=7019856&amp;Result=3","7019856")</f>
        <v>0</v>
      </c>
      <c r="B11772" t="s">
        <v>2531</v>
      </c>
      <c r="C11772" t="s">
        <v>14347</v>
      </c>
      <c r="D11772" t="s">
        <v>16207</v>
      </c>
      <c r="E11772" t="s">
        <v>26503</v>
      </c>
      <c r="F11772" t="s">
        <v>28198</v>
      </c>
      <c r="G11772" t="s">
        <v>28205</v>
      </c>
      <c r="H11772" t="s">
        <v>28214</v>
      </c>
      <c r="I11772" t="s">
        <v>28248</v>
      </c>
      <c r="J11772" t="s">
        <v>35579</v>
      </c>
      <c r="K11772" t="s">
        <v>36701</v>
      </c>
      <c r="M11772" t="s">
        <v>39740</v>
      </c>
      <c r="N11772" t="s">
        <v>40436</v>
      </c>
      <c r="O11772" t="s">
        <v>40437</v>
      </c>
      <c r="P11772">
        <v>0</v>
      </c>
      <c r="Q11772">
        <v>10</v>
      </c>
      <c r="R11772" t="s">
        <v>40453</v>
      </c>
      <c r="S11772" t="s">
        <v>41237</v>
      </c>
      <c r="T11772" t="s">
        <v>42103</v>
      </c>
      <c r="U11772" t="s">
        <v>52322</v>
      </c>
      <c r="W11772" t="s">
        <v>55519</v>
      </c>
      <c r="X11772" t="s">
        <v>40454</v>
      </c>
    </row>
    <row r="11773" spans="1:24">
      <c r="A11773">
        <f>HYPERLINK("https://www.philgeps.gov.ph/GEPSNONPILOT/Tender/SplashBidNoticeAbstractUI.aspx?menuIndex=3&amp;refID=7019894&amp;Result=3","7019894")</f>
        <v>0</v>
      </c>
      <c r="B11773" t="s">
        <v>1712</v>
      </c>
      <c r="C11773" t="s">
        <v>14348</v>
      </c>
      <c r="D11773" t="s">
        <v>16244</v>
      </c>
      <c r="E11773" t="s">
        <v>26504</v>
      </c>
      <c r="F11773" t="s">
        <v>28198</v>
      </c>
      <c r="G11773" t="s">
        <v>28205</v>
      </c>
      <c r="H11773" t="s">
        <v>28214</v>
      </c>
      <c r="I11773" t="s">
        <v>3797</v>
      </c>
      <c r="J11773" t="s">
        <v>29552</v>
      </c>
      <c r="K11773" t="s">
        <v>36751</v>
      </c>
      <c r="M11773" t="s">
        <v>38818</v>
      </c>
      <c r="N11773" t="s">
        <v>40436</v>
      </c>
      <c r="O11773" t="s">
        <v>40437</v>
      </c>
      <c r="P11773">
        <v>0</v>
      </c>
      <c r="Q11773">
        <v>0</v>
      </c>
      <c r="R11773" t="s">
        <v>40453</v>
      </c>
      <c r="S11773" t="s">
        <v>41237</v>
      </c>
      <c r="T11773" t="s">
        <v>42158</v>
      </c>
      <c r="U11773" t="s">
        <v>46839</v>
      </c>
      <c r="W11773" t="s">
        <v>38818</v>
      </c>
      <c r="X11773" t="s">
        <v>40454</v>
      </c>
    </row>
    <row r="11774" spans="1:24">
      <c r="A11774">
        <f>HYPERLINK("https://www.philgeps.gov.ph/GEPSNONPILOT/Tender/SplashBidNoticeAbstractUI.aspx?menuIndex=3&amp;refID=7019879&amp;Result=3","7019879")</f>
        <v>0</v>
      </c>
      <c r="B11774" t="s">
        <v>2923</v>
      </c>
      <c r="C11774" t="s">
        <v>14349</v>
      </c>
      <c r="D11774" t="s">
        <v>16222</v>
      </c>
      <c r="E11774" t="s">
        <v>19001</v>
      </c>
      <c r="F11774" t="s">
        <v>28198</v>
      </c>
      <c r="G11774" t="s">
        <v>28205</v>
      </c>
      <c r="H11774" t="s">
        <v>28214</v>
      </c>
      <c r="I11774" t="s">
        <v>3797</v>
      </c>
      <c r="J11774" t="s">
        <v>29220</v>
      </c>
      <c r="K11774" t="s">
        <v>36769</v>
      </c>
      <c r="M11774" t="s">
        <v>40199</v>
      </c>
      <c r="N11774" t="s">
        <v>40436</v>
      </c>
      <c r="O11774" t="s">
        <v>40437</v>
      </c>
      <c r="P11774">
        <v>0</v>
      </c>
      <c r="Q11774">
        <v>0</v>
      </c>
      <c r="R11774" t="s">
        <v>40453</v>
      </c>
      <c r="S11774" t="s">
        <v>41237</v>
      </c>
      <c r="T11774" t="s">
        <v>42103</v>
      </c>
      <c r="U11774" t="s">
        <v>52323</v>
      </c>
      <c r="V11774" t="s">
        <v>55122</v>
      </c>
      <c r="W11774" t="s">
        <v>40199</v>
      </c>
      <c r="X11774" t="s">
        <v>40454</v>
      </c>
    </row>
    <row r="11775" spans="1:24">
      <c r="A11775">
        <f>HYPERLINK("https://www.philgeps.gov.ph/GEPSNONPILOT/Tender/SplashBidNoticeAbstractUI.aspx?menuIndex=3&amp;refID=7019854&amp;Result=3","7019854")</f>
        <v>0</v>
      </c>
      <c r="B11775" t="s">
        <v>2925</v>
      </c>
      <c r="C11775" t="s">
        <v>14350</v>
      </c>
      <c r="D11775" t="s">
        <v>16210</v>
      </c>
      <c r="E11775" t="s">
        <v>25035</v>
      </c>
      <c r="F11775" t="s">
        <v>28198</v>
      </c>
      <c r="G11775" t="s">
        <v>28209</v>
      </c>
      <c r="H11775" t="s">
        <v>28215</v>
      </c>
      <c r="I11775" t="s">
        <v>28228</v>
      </c>
      <c r="J11775" t="s">
        <v>35580</v>
      </c>
      <c r="K11775" t="s">
        <v>36744</v>
      </c>
      <c r="M11775" t="s">
        <v>40201</v>
      </c>
      <c r="N11775" t="s">
        <v>40436</v>
      </c>
      <c r="O11775" t="s">
        <v>40437</v>
      </c>
      <c r="Q11775">
        <v>5</v>
      </c>
      <c r="R11775" t="s">
        <v>40453</v>
      </c>
      <c r="S11775" t="s">
        <v>41269</v>
      </c>
      <c r="T11775" t="s">
        <v>42123</v>
      </c>
      <c r="U11775" t="s">
        <v>52324</v>
      </c>
      <c r="W11775" t="s">
        <v>40201</v>
      </c>
      <c r="X11775" t="s">
        <v>40454</v>
      </c>
    </row>
    <row r="11776" spans="1:24">
      <c r="A11776">
        <f>HYPERLINK("https://www.philgeps.gov.ph/GEPSNONPILOT/Tender/SplashBidNoticeAbstractUI.aspx?menuIndex=3&amp;refID=7019833&amp;Result=3","7019833")</f>
        <v>0</v>
      </c>
      <c r="B11776" t="s">
        <v>1712</v>
      </c>
      <c r="C11776" t="s">
        <v>14351</v>
      </c>
      <c r="D11776" t="s">
        <v>16244</v>
      </c>
      <c r="E11776" t="s">
        <v>26505</v>
      </c>
      <c r="F11776" t="s">
        <v>28198</v>
      </c>
      <c r="G11776" t="s">
        <v>28205</v>
      </c>
      <c r="H11776" t="s">
        <v>28214</v>
      </c>
      <c r="I11776" t="s">
        <v>3797</v>
      </c>
      <c r="J11776" t="s">
        <v>30873</v>
      </c>
      <c r="K11776" t="s">
        <v>36778</v>
      </c>
      <c r="M11776" t="s">
        <v>38818</v>
      </c>
      <c r="N11776" t="s">
        <v>40436</v>
      </c>
      <c r="O11776" t="s">
        <v>40437</v>
      </c>
      <c r="P11776">
        <v>0</v>
      </c>
      <c r="Q11776">
        <v>0</v>
      </c>
      <c r="R11776" t="s">
        <v>40453</v>
      </c>
      <c r="S11776" t="s">
        <v>41237</v>
      </c>
      <c r="T11776" t="s">
        <v>42158</v>
      </c>
      <c r="U11776" t="s">
        <v>46839</v>
      </c>
      <c r="W11776" t="s">
        <v>38818</v>
      </c>
      <c r="X11776" t="s">
        <v>40454</v>
      </c>
    </row>
    <row r="11777" spans="1:24">
      <c r="A11777">
        <f>HYPERLINK("https://www.philgeps.gov.ph/GEPSNONPILOT/Tender/SplashBidNoticeAbstractUI.aspx?menuIndex=3&amp;refID=7019843&amp;Result=3","7019843")</f>
        <v>0</v>
      </c>
      <c r="B11777" t="s">
        <v>2920</v>
      </c>
      <c r="C11777" t="s">
        <v>14352</v>
      </c>
      <c r="E11777" t="s">
        <v>26506</v>
      </c>
      <c r="F11777" t="s">
        <v>28198</v>
      </c>
      <c r="G11777" t="s">
        <v>28205</v>
      </c>
      <c r="H11777" t="s">
        <v>28214</v>
      </c>
      <c r="I11777" t="s">
        <v>3797</v>
      </c>
      <c r="J11777" t="s">
        <v>35581</v>
      </c>
      <c r="K11777" t="s">
        <v>36694</v>
      </c>
      <c r="M11777" t="s">
        <v>40196</v>
      </c>
      <c r="N11777" t="s">
        <v>40436</v>
      </c>
      <c r="O11777" t="s">
        <v>40437</v>
      </c>
      <c r="P11777">
        <v>0</v>
      </c>
      <c r="Q11777">
        <v>2</v>
      </c>
      <c r="R11777" t="s">
        <v>40453</v>
      </c>
      <c r="S11777" t="s">
        <v>41237</v>
      </c>
      <c r="T11777" t="s">
        <v>42142</v>
      </c>
      <c r="U11777" t="s">
        <v>52298</v>
      </c>
      <c r="W11777" t="s">
        <v>40196</v>
      </c>
      <c r="X11777" t="s">
        <v>40454</v>
      </c>
    </row>
    <row r="11778" spans="1:24">
      <c r="A11778">
        <f>HYPERLINK("https://www.philgeps.gov.ph/GEPSNONPILOT/Tender/SplashBidNoticeAbstractUI.aspx?menuIndex=3&amp;refID=7019857&amp;Result=3","7019857")</f>
        <v>0</v>
      </c>
      <c r="B11778" t="s">
        <v>89</v>
      </c>
      <c r="C11778" t="s">
        <v>14353</v>
      </c>
      <c r="D11778" t="s">
        <v>16215</v>
      </c>
      <c r="E11778" t="s">
        <v>26507</v>
      </c>
      <c r="F11778" t="s">
        <v>28198</v>
      </c>
      <c r="G11778" t="s">
        <v>28205</v>
      </c>
      <c r="H11778" t="s">
        <v>28214</v>
      </c>
      <c r="I11778" t="s">
        <v>3797</v>
      </c>
      <c r="J11778" t="s">
        <v>35582</v>
      </c>
      <c r="K11778" t="s">
        <v>36694</v>
      </c>
      <c r="M11778" t="s">
        <v>37061</v>
      </c>
      <c r="N11778" t="s">
        <v>40436</v>
      </c>
      <c r="O11778" t="s">
        <v>40437</v>
      </c>
      <c r="P11778">
        <v>0</v>
      </c>
      <c r="Q11778">
        <v>0</v>
      </c>
      <c r="R11778" t="s">
        <v>40453</v>
      </c>
      <c r="S11778" t="s">
        <v>41237</v>
      </c>
      <c r="T11778" t="s">
        <v>42205</v>
      </c>
      <c r="U11778" t="s">
        <v>52325</v>
      </c>
      <c r="W11778" t="s">
        <v>37061</v>
      </c>
      <c r="X11778" t="s">
        <v>40454</v>
      </c>
    </row>
    <row r="11779" spans="1:24">
      <c r="A11779">
        <f>HYPERLINK("https://www.philgeps.gov.ph/GEPSNONPILOT/Tender/SplashBidNoticeAbstractUI.aspx?menuIndex=3&amp;refID=7019826&amp;Result=3","7019826")</f>
        <v>0</v>
      </c>
      <c r="B11779" t="s">
        <v>89</v>
      </c>
      <c r="C11779" t="s">
        <v>14354</v>
      </c>
      <c r="D11779" t="s">
        <v>16215</v>
      </c>
      <c r="E11779" t="s">
        <v>26108</v>
      </c>
      <c r="F11779" t="s">
        <v>28198</v>
      </c>
      <c r="G11779" t="s">
        <v>28205</v>
      </c>
      <c r="H11779" t="s">
        <v>28214</v>
      </c>
      <c r="I11779" t="s">
        <v>3797</v>
      </c>
      <c r="J11779" t="s">
        <v>35583</v>
      </c>
      <c r="K11779" t="s">
        <v>36694</v>
      </c>
      <c r="M11779" t="s">
        <v>37061</v>
      </c>
      <c r="N11779" t="s">
        <v>40436</v>
      </c>
      <c r="O11779" t="s">
        <v>40437</v>
      </c>
      <c r="P11779">
        <v>0</v>
      </c>
      <c r="Q11779">
        <v>0</v>
      </c>
      <c r="R11779" t="s">
        <v>40453</v>
      </c>
      <c r="S11779" t="s">
        <v>41237</v>
      </c>
      <c r="T11779" t="s">
        <v>42205</v>
      </c>
      <c r="U11779" t="s">
        <v>52326</v>
      </c>
      <c r="W11779" t="s">
        <v>37061</v>
      </c>
      <c r="X11779" t="s">
        <v>40454</v>
      </c>
    </row>
    <row r="11780" spans="1:24">
      <c r="A11780">
        <f>HYPERLINK("https://www.philgeps.gov.ph/GEPSNONPILOT/Tender/SplashBidNoticeAbstractUI.aspx?menuIndex=3&amp;refID=7019858&amp;Result=3","7019858")</f>
        <v>0</v>
      </c>
      <c r="B11780" t="s">
        <v>1252</v>
      </c>
      <c r="C11780" t="s">
        <v>14355</v>
      </c>
      <c r="D11780" t="s">
        <v>16203</v>
      </c>
      <c r="E11780" t="s">
        <v>26508</v>
      </c>
      <c r="F11780" t="s">
        <v>28198</v>
      </c>
      <c r="G11780" t="s">
        <v>28205</v>
      </c>
      <c r="H11780" t="s">
        <v>28214</v>
      </c>
      <c r="I11780" t="s">
        <v>3797</v>
      </c>
      <c r="J11780" t="s">
        <v>28351</v>
      </c>
      <c r="K11780" t="s">
        <v>36694</v>
      </c>
      <c r="M11780" t="s">
        <v>38302</v>
      </c>
      <c r="N11780" t="s">
        <v>40436</v>
      </c>
      <c r="O11780" t="s">
        <v>40437</v>
      </c>
      <c r="P11780">
        <v>0</v>
      </c>
      <c r="Q11780">
        <v>8</v>
      </c>
      <c r="R11780" t="s">
        <v>40453</v>
      </c>
      <c r="S11780" t="s">
        <v>41237</v>
      </c>
      <c r="T11780" t="s">
        <v>42136</v>
      </c>
      <c r="U11780" t="s">
        <v>52327</v>
      </c>
      <c r="V11780" t="s">
        <v>55119</v>
      </c>
      <c r="W11780" t="s">
        <v>38302</v>
      </c>
      <c r="X11780" t="s">
        <v>40454</v>
      </c>
    </row>
    <row r="11781" spans="1:24">
      <c r="A11781">
        <f>HYPERLINK("https://www.philgeps.gov.ph/GEPSNONPILOT/Tender/SplashBidNoticeAbstractUI.aspx?menuIndex=3&amp;refID=7019869&amp;Result=3","7019869")</f>
        <v>0</v>
      </c>
      <c r="B11781" t="s">
        <v>2911</v>
      </c>
      <c r="C11781" t="s">
        <v>14356</v>
      </c>
      <c r="E11781" t="s">
        <v>16542</v>
      </c>
      <c r="F11781" t="s">
        <v>28198</v>
      </c>
      <c r="G11781" t="s">
        <v>28205</v>
      </c>
      <c r="H11781" t="s">
        <v>28215</v>
      </c>
      <c r="I11781" t="s">
        <v>5082</v>
      </c>
      <c r="J11781" t="s">
        <v>28352</v>
      </c>
      <c r="K11781" t="s">
        <v>36689</v>
      </c>
      <c r="M11781" t="s">
        <v>40183</v>
      </c>
      <c r="N11781" t="s">
        <v>40436</v>
      </c>
      <c r="O11781" t="s">
        <v>40437</v>
      </c>
      <c r="P11781">
        <v>0</v>
      </c>
      <c r="Q11781">
        <v>0</v>
      </c>
      <c r="R11781" t="s">
        <v>40453</v>
      </c>
      <c r="S11781" t="s">
        <v>41237</v>
      </c>
      <c r="T11781" t="s">
        <v>42119</v>
      </c>
      <c r="U11781" t="s">
        <v>52328</v>
      </c>
      <c r="W11781" t="s">
        <v>40183</v>
      </c>
      <c r="X11781" t="s">
        <v>40454</v>
      </c>
    </row>
    <row r="11782" spans="1:24">
      <c r="A11782">
        <f>HYPERLINK("https://www.philgeps.gov.ph/GEPSNONPILOT/Tender/SplashBidNoticeAbstractUI.aspx?menuIndex=3&amp;refID=7019912&amp;Result=3","7019912")</f>
        <v>0</v>
      </c>
      <c r="B11782" t="s">
        <v>89</v>
      </c>
      <c r="C11782" t="s">
        <v>14357</v>
      </c>
      <c r="D11782" t="s">
        <v>16215</v>
      </c>
      <c r="E11782" t="s">
        <v>26509</v>
      </c>
      <c r="F11782" t="s">
        <v>28198</v>
      </c>
      <c r="G11782" t="s">
        <v>28205</v>
      </c>
      <c r="H11782" t="s">
        <v>28214</v>
      </c>
      <c r="I11782" t="s">
        <v>28307</v>
      </c>
      <c r="J11782" t="s">
        <v>28378</v>
      </c>
      <c r="K11782" t="s">
        <v>36694</v>
      </c>
      <c r="M11782" t="s">
        <v>37061</v>
      </c>
      <c r="N11782" t="s">
        <v>40436</v>
      </c>
      <c r="O11782" t="s">
        <v>40437</v>
      </c>
      <c r="P11782">
        <v>0</v>
      </c>
      <c r="Q11782">
        <v>1</v>
      </c>
      <c r="R11782" t="s">
        <v>40453</v>
      </c>
      <c r="S11782" t="s">
        <v>41237</v>
      </c>
      <c r="T11782" t="s">
        <v>42205</v>
      </c>
      <c r="U11782" t="s">
        <v>52329</v>
      </c>
      <c r="W11782" t="s">
        <v>37061</v>
      </c>
      <c r="X11782" t="s">
        <v>40454</v>
      </c>
    </row>
    <row r="11783" spans="1:24">
      <c r="A11783">
        <f>HYPERLINK("https://www.philgeps.gov.ph/GEPSNONPILOT/Tender/SplashBidNoticeAbstractUI.aspx?menuIndex=3&amp;refID=7019957&amp;Result=3","7019957")</f>
        <v>0</v>
      </c>
      <c r="B11783" t="s">
        <v>1712</v>
      </c>
      <c r="C11783" t="s">
        <v>14358</v>
      </c>
      <c r="D11783" t="s">
        <v>16244</v>
      </c>
      <c r="E11783" t="s">
        <v>26510</v>
      </c>
      <c r="F11783" t="s">
        <v>28198</v>
      </c>
      <c r="G11783" t="s">
        <v>28205</v>
      </c>
      <c r="H11783" t="s">
        <v>28214</v>
      </c>
      <c r="I11783" t="s">
        <v>3797</v>
      </c>
      <c r="J11783" t="s">
        <v>32253</v>
      </c>
      <c r="K11783" t="s">
        <v>36690</v>
      </c>
      <c r="M11783" t="s">
        <v>38818</v>
      </c>
      <c r="N11783" t="s">
        <v>40436</v>
      </c>
      <c r="O11783" t="s">
        <v>40437</v>
      </c>
      <c r="Q11783">
        <v>0</v>
      </c>
      <c r="R11783" t="s">
        <v>40453</v>
      </c>
      <c r="S11783" t="s">
        <v>41270</v>
      </c>
      <c r="T11783" t="s">
        <v>42158</v>
      </c>
      <c r="U11783" t="s">
        <v>46839</v>
      </c>
      <c r="W11783" t="s">
        <v>38818</v>
      </c>
      <c r="X11783" t="s">
        <v>40454</v>
      </c>
    </row>
    <row r="11784" spans="1:24">
      <c r="A11784">
        <f>HYPERLINK("https://www.philgeps.gov.ph/GEPSNONPILOT/Tender/SplashBidNoticeAbstractUI.aspx?menuIndex=3&amp;refID=7019896&amp;Result=3","7019896")</f>
        <v>0</v>
      </c>
      <c r="B11784" t="s">
        <v>2414</v>
      </c>
      <c r="C11784" t="s">
        <v>14359</v>
      </c>
      <c r="D11784" t="s">
        <v>16213</v>
      </c>
      <c r="E11784" t="s">
        <v>26511</v>
      </c>
      <c r="F11784" t="s">
        <v>28198</v>
      </c>
      <c r="G11784" t="s">
        <v>28205</v>
      </c>
      <c r="H11784" t="s">
        <v>28214</v>
      </c>
      <c r="I11784" t="s">
        <v>3797</v>
      </c>
      <c r="J11784" t="s">
        <v>35584</v>
      </c>
      <c r="K11784" t="s">
        <v>36697</v>
      </c>
      <c r="M11784" t="s">
        <v>39603</v>
      </c>
      <c r="N11784" t="s">
        <v>40436</v>
      </c>
      <c r="O11784" t="s">
        <v>40437</v>
      </c>
      <c r="P11784">
        <v>0</v>
      </c>
      <c r="Q11784">
        <v>0</v>
      </c>
      <c r="R11784" t="s">
        <v>40453</v>
      </c>
      <c r="S11784" t="s">
        <v>41237</v>
      </c>
      <c r="T11784" t="s">
        <v>42203</v>
      </c>
      <c r="U11784" t="s">
        <v>52330</v>
      </c>
      <c r="V11784" t="s">
        <v>55123</v>
      </c>
      <c r="W11784" t="s">
        <v>39603</v>
      </c>
      <c r="X11784" t="s">
        <v>40454</v>
      </c>
    </row>
    <row r="11785" spans="1:24">
      <c r="A11785">
        <f>HYPERLINK("https://www.philgeps.gov.ph/GEPSNONPILOT/Tender/SplashBidNoticeAbstractUI.aspx?menuIndex=3&amp;refID=7020064&amp;Result=3","7020064")</f>
        <v>0</v>
      </c>
      <c r="B11785" t="s">
        <v>1303</v>
      </c>
      <c r="C11785" t="s">
        <v>14360</v>
      </c>
      <c r="D11785" t="s">
        <v>16200</v>
      </c>
      <c r="E11785" t="s">
        <v>26512</v>
      </c>
      <c r="F11785" t="s">
        <v>28198</v>
      </c>
      <c r="G11785" t="s">
        <v>28205</v>
      </c>
      <c r="H11785" t="s">
        <v>28214</v>
      </c>
      <c r="I11785" t="s">
        <v>3797</v>
      </c>
      <c r="J11785" t="s">
        <v>31508</v>
      </c>
      <c r="K11785" t="s">
        <v>36694</v>
      </c>
      <c r="M11785" t="s">
        <v>38357</v>
      </c>
      <c r="N11785" t="s">
        <v>40436</v>
      </c>
      <c r="O11785" t="s">
        <v>40437</v>
      </c>
      <c r="Q11785">
        <v>1</v>
      </c>
      <c r="R11785" t="s">
        <v>40453</v>
      </c>
      <c r="S11785" t="s">
        <v>41271</v>
      </c>
      <c r="T11785" t="s">
        <v>42273</v>
      </c>
      <c r="U11785" t="s">
        <v>52331</v>
      </c>
      <c r="V11785" t="s">
        <v>55124</v>
      </c>
      <c r="W11785" t="s">
        <v>38357</v>
      </c>
      <c r="X11785" t="s">
        <v>40454</v>
      </c>
    </row>
    <row r="11786" spans="1:24">
      <c r="A11786">
        <f>HYPERLINK("https://www.philgeps.gov.ph/GEPSNONPILOT/Tender/SplashBidNoticeAbstractUI.aspx?menuIndex=3&amp;refID=7019818&amp;Result=3","7019818")</f>
        <v>0</v>
      </c>
      <c r="B11786" t="s">
        <v>2157</v>
      </c>
      <c r="C11786" t="s">
        <v>14361</v>
      </c>
      <c r="D11786" t="s">
        <v>16204</v>
      </c>
      <c r="E11786" t="s">
        <v>26513</v>
      </c>
      <c r="F11786" t="s">
        <v>28198</v>
      </c>
      <c r="G11786" t="s">
        <v>28205</v>
      </c>
      <c r="H11786" t="s">
        <v>28215</v>
      </c>
      <c r="I11786" t="s">
        <v>28228</v>
      </c>
      <c r="J11786" t="s">
        <v>35585</v>
      </c>
      <c r="K11786" t="s">
        <v>36707</v>
      </c>
      <c r="M11786" t="s">
        <v>39314</v>
      </c>
      <c r="N11786" t="s">
        <v>40436</v>
      </c>
      <c r="O11786" t="s">
        <v>40437</v>
      </c>
      <c r="P11786">
        <v>0</v>
      </c>
      <c r="Q11786">
        <v>2</v>
      </c>
      <c r="R11786" t="s">
        <v>40453</v>
      </c>
      <c r="S11786" t="s">
        <v>41237</v>
      </c>
      <c r="T11786" t="s">
        <v>42103</v>
      </c>
      <c r="U11786" t="s">
        <v>52332</v>
      </c>
      <c r="W11786" t="s">
        <v>55522</v>
      </c>
      <c r="X11786" t="s">
        <v>40454</v>
      </c>
    </row>
    <row r="11787" spans="1:24">
      <c r="A11787">
        <f>HYPERLINK("https://www.philgeps.gov.ph/GEPSNONPILOT/Tender/SplashBidNoticeAbstractUI.aspx?menuIndex=3&amp;refID=7019830&amp;Result=3","7019830")</f>
        <v>0</v>
      </c>
      <c r="B11787" t="s">
        <v>1222</v>
      </c>
      <c r="C11787" t="s">
        <v>14362</v>
      </c>
      <c r="D11787" t="s">
        <v>16236</v>
      </c>
      <c r="E11787" t="s">
        <v>26514</v>
      </c>
      <c r="F11787" t="s">
        <v>28198</v>
      </c>
      <c r="G11787" t="s">
        <v>28205</v>
      </c>
      <c r="H11787" t="s">
        <v>28214</v>
      </c>
      <c r="I11787" t="s">
        <v>3797</v>
      </c>
      <c r="J11787" t="s">
        <v>28363</v>
      </c>
      <c r="K11787" t="s">
        <v>36694</v>
      </c>
      <c r="M11787" t="s">
        <v>38268</v>
      </c>
      <c r="N11787" t="s">
        <v>40436</v>
      </c>
      <c r="O11787" t="s">
        <v>40437</v>
      </c>
      <c r="P11787">
        <v>0</v>
      </c>
      <c r="Q11787">
        <v>0</v>
      </c>
      <c r="R11787" t="s">
        <v>40453</v>
      </c>
      <c r="S11787" t="s">
        <v>41237</v>
      </c>
      <c r="T11787" t="s">
        <v>42103</v>
      </c>
      <c r="U11787" t="s">
        <v>52333</v>
      </c>
      <c r="W11787" t="s">
        <v>38268</v>
      </c>
      <c r="X11787" t="s">
        <v>40454</v>
      </c>
    </row>
    <row r="11788" spans="1:24">
      <c r="A11788">
        <f>HYPERLINK("https://www.philgeps.gov.ph/GEPSNONPILOT/Tender/SplashBidNoticeAbstractUI.aspx?menuIndex=3&amp;refID=7020038&amp;Result=3","7020038")</f>
        <v>0</v>
      </c>
      <c r="B11788" t="s">
        <v>1303</v>
      </c>
      <c r="C11788" t="s">
        <v>14363</v>
      </c>
      <c r="D11788" t="s">
        <v>16200</v>
      </c>
      <c r="E11788" t="s">
        <v>26515</v>
      </c>
      <c r="F11788" t="s">
        <v>28198</v>
      </c>
      <c r="G11788" t="s">
        <v>28205</v>
      </c>
      <c r="H11788" t="s">
        <v>28214</v>
      </c>
      <c r="I11788" t="s">
        <v>3797</v>
      </c>
      <c r="J11788" t="s">
        <v>28347</v>
      </c>
      <c r="K11788" t="s">
        <v>36746</v>
      </c>
      <c r="M11788" t="s">
        <v>38357</v>
      </c>
      <c r="N11788" t="s">
        <v>40436</v>
      </c>
      <c r="O11788" t="s">
        <v>40437</v>
      </c>
      <c r="Q11788">
        <v>2</v>
      </c>
      <c r="R11788" t="s">
        <v>40453</v>
      </c>
      <c r="S11788" t="s">
        <v>41272</v>
      </c>
      <c r="T11788" t="s">
        <v>42273</v>
      </c>
      <c r="U11788" t="s">
        <v>52334</v>
      </c>
      <c r="V11788" t="s">
        <v>55124</v>
      </c>
      <c r="W11788" t="s">
        <v>38357</v>
      </c>
      <c r="X11788" t="s">
        <v>40454</v>
      </c>
    </row>
    <row r="11789" spans="1:24">
      <c r="A11789">
        <f>HYPERLINK("https://www.philgeps.gov.ph/GEPSNONPILOT/Tender/SplashBidNoticeAbstractUI.aspx?menuIndex=3&amp;refID=7020065&amp;Result=3","7020065")</f>
        <v>0</v>
      </c>
      <c r="B11789" t="s">
        <v>2926</v>
      </c>
      <c r="C11789" t="s">
        <v>14364</v>
      </c>
      <c r="E11789" t="s">
        <v>26516</v>
      </c>
      <c r="F11789" t="s">
        <v>28198</v>
      </c>
      <c r="G11789" t="s">
        <v>28205</v>
      </c>
      <c r="H11789" t="s">
        <v>28215</v>
      </c>
      <c r="I11789" t="s">
        <v>5100</v>
      </c>
      <c r="J11789" t="s">
        <v>35586</v>
      </c>
      <c r="K11789" t="s">
        <v>36689</v>
      </c>
      <c r="M11789" t="s">
        <v>40202</v>
      </c>
      <c r="N11789" t="s">
        <v>40436</v>
      </c>
      <c r="O11789" t="s">
        <v>40437</v>
      </c>
      <c r="P11789">
        <v>0</v>
      </c>
      <c r="Q11789">
        <v>2</v>
      </c>
      <c r="R11789" t="s">
        <v>40453</v>
      </c>
      <c r="S11789" t="s">
        <v>41237</v>
      </c>
      <c r="T11789" t="s">
        <v>42142</v>
      </c>
      <c r="U11789" t="s">
        <v>52335</v>
      </c>
      <c r="V11789" t="s">
        <v>55125</v>
      </c>
      <c r="W11789" t="s">
        <v>40202</v>
      </c>
      <c r="X11789" t="s">
        <v>40454</v>
      </c>
    </row>
    <row r="11790" spans="1:24">
      <c r="A11790">
        <f>HYPERLINK("https://www.philgeps.gov.ph/GEPSNONPILOT/Tender/SplashBidNoticeAbstractUI.aspx?menuIndex=3&amp;refID=7020030&amp;Result=3","7020030")</f>
        <v>0</v>
      </c>
      <c r="B11790" t="s">
        <v>1023</v>
      </c>
      <c r="C11790" t="s">
        <v>14365</v>
      </c>
      <c r="D11790" t="s">
        <v>16265</v>
      </c>
      <c r="E11790" t="s">
        <v>26517</v>
      </c>
      <c r="F11790" t="s">
        <v>28198</v>
      </c>
      <c r="G11790" t="s">
        <v>28205</v>
      </c>
      <c r="H11790" t="s">
        <v>28215</v>
      </c>
      <c r="I11790" t="s">
        <v>4222</v>
      </c>
      <c r="J11790" t="s">
        <v>35587</v>
      </c>
      <c r="K11790" t="s">
        <v>36701</v>
      </c>
      <c r="M11790" t="s">
        <v>38054</v>
      </c>
      <c r="N11790" t="s">
        <v>40436</v>
      </c>
      <c r="O11790" t="s">
        <v>40437</v>
      </c>
      <c r="P11790">
        <v>0</v>
      </c>
      <c r="Q11790">
        <v>3</v>
      </c>
      <c r="R11790" t="s">
        <v>40453</v>
      </c>
      <c r="S11790" t="s">
        <v>41237</v>
      </c>
      <c r="T11790" t="s">
        <v>42133</v>
      </c>
      <c r="U11790" t="s">
        <v>52336</v>
      </c>
      <c r="W11790" t="s">
        <v>38054</v>
      </c>
      <c r="X11790" t="s">
        <v>40454</v>
      </c>
    </row>
    <row r="11791" spans="1:24">
      <c r="A11791">
        <f>HYPERLINK("https://www.philgeps.gov.ph/GEPSNONPILOT/Tender/SplashBidNoticeAbstractUI.aspx?menuIndex=3&amp;refID=7020052&amp;Result=3","7020052")</f>
        <v>0</v>
      </c>
      <c r="B11791" t="s">
        <v>2463</v>
      </c>
      <c r="C11791" t="s">
        <v>14366</v>
      </c>
      <c r="D11791" t="s">
        <v>16209</v>
      </c>
      <c r="E11791" t="s">
        <v>26518</v>
      </c>
      <c r="F11791" t="s">
        <v>28198</v>
      </c>
      <c r="G11791" t="s">
        <v>28205</v>
      </c>
      <c r="H11791" t="s">
        <v>28214</v>
      </c>
      <c r="I11791" t="s">
        <v>3797</v>
      </c>
      <c r="J11791" t="s">
        <v>35588</v>
      </c>
      <c r="K11791" t="s">
        <v>36709</v>
      </c>
      <c r="M11791" t="s">
        <v>39659</v>
      </c>
      <c r="N11791" t="s">
        <v>40436</v>
      </c>
      <c r="O11791" t="s">
        <v>40437</v>
      </c>
      <c r="P11791">
        <v>0</v>
      </c>
      <c r="Q11791">
        <v>1</v>
      </c>
      <c r="R11791" t="s">
        <v>40453</v>
      </c>
      <c r="S11791" t="s">
        <v>41237</v>
      </c>
      <c r="T11791" t="s">
        <v>42158</v>
      </c>
      <c r="U11791" t="s">
        <v>52337</v>
      </c>
      <c r="V11791" t="s">
        <v>55126</v>
      </c>
      <c r="W11791" t="s">
        <v>39659</v>
      </c>
      <c r="X11791" t="s">
        <v>40454</v>
      </c>
    </row>
    <row r="11792" spans="1:24">
      <c r="A11792">
        <f>HYPERLINK("https://www.philgeps.gov.ph/GEPSNONPILOT/Tender/SplashBidNoticeAbstractUI.aspx?menuIndex=3&amp;refID=7020010&amp;Result=3","7020010")</f>
        <v>0</v>
      </c>
      <c r="B11792" t="s">
        <v>1731</v>
      </c>
      <c r="C11792" t="s">
        <v>14367</v>
      </c>
      <c r="D11792" t="s">
        <v>16193</v>
      </c>
      <c r="E11792" t="s">
        <v>26519</v>
      </c>
      <c r="F11792" t="s">
        <v>28198</v>
      </c>
      <c r="G11792" t="s">
        <v>28205</v>
      </c>
      <c r="H11792" t="s">
        <v>28215</v>
      </c>
      <c r="I11792" t="s">
        <v>3774</v>
      </c>
      <c r="J11792" t="s">
        <v>29190</v>
      </c>
      <c r="K11792" t="s">
        <v>36694</v>
      </c>
      <c r="M11792" t="s">
        <v>38842</v>
      </c>
      <c r="N11792" t="s">
        <v>40436</v>
      </c>
      <c r="O11792" t="s">
        <v>40437</v>
      </c>
      <c r="P11792">
        <v>0</v>
      </c>
      <c r="Q11792">
        <v>1</v>
      </c>
      <c r="R11792" t="s">
        <v>40453</v>
      </c>
      <c r="S11792" t="s">
        <v>41237</v>
      </c>
      <c r="T11792" t="s">
        <v>42119</v>
      </c>
      <c r="U11792" t="s">
        <v>52338</v>
      </c>
      <c r="W11792" t="s">
        <v>38842</v>
      </c>
      <c r="X11792" t="s">
        <v>40454</v>
      </c>
    </row>
    <row r="11793" spans="1:24">
      <c r="A11793">
        <f>HYPERLINK("https://www.philgeps.gov.ph/GEPSNONPILOT/Tender/SplashBidNoticeAbstractUI.aspx?menuIndex=3&amp;refID=7020014&amp;Result=3","7020014")</f>
        <v>0</v>
      </c>
      <c r="B11793" t="s">
        <v>1023</v>
      </c>
      <c r="C11793" t="s">
        <v>14368</v>
      </c>
      <c r="D11793" t="s">
        <v>16265</v>
      </c>
      <c r="E11793" t="s">
        <v>26517</v>
      </c>
      <c r="F11793" t="s">
        <v>28198</v>
      </c>
      <c r="G11793" t="s">
        <v>28205</v>
      </c>
      <c r="H11793" t="s">
        <v>28215</v>
      </c>
      <c r="I11793" t="s">
        <v>28234</v>
      </c>
      <c r="J11793" t="s">
        <v>29554</v>
      </c>
      <c r="K11793" t="s">
        <v>36701</v>
      </c>
      <c r="M11793" t="s">
        <v>38054</v>
      </c>
      <c r="N11793" t="s">
        <v>40436</v>
      </c>
      <c r="O11793" t="s">
        <v>40437</v>
      </c>
      <c r="P11793">
        <v>0</v>
      </c>
      <c r="Q11793">
        <v>5</v>
      </c>
      <c r="R11793" t="s">
        <v>40453</v>
      </c>
      <c r="S11793" t="s">
        <v>41237</v>
      </c>
      <c r="T11793" t="s">
        <v>42133</v>
      </c>
      <c r="U11793" t="s">
        <v>52336</v>
      </c>
      <c r="W11793" t="s">
        <v>38054</v>
      </c>
      <c r="X11793" t="s">
        <v>40454</v>
      </c>
    </row>
    <row r="11794" spans="1:24">
      <c r="A11794">
        <f>HYPERLINK("https://www.philgeps.gov.ph/GEPSNONPILOT/Tender/SplashBidNoticeAbstractUI.aspx?menuIndex=3&amp;refID=7019935&amp;Result=3","7019935")</f>
        <v>0</v>
      </c>
      <c r="B11794" t="s">
        <v>1712</v>
      </c>
      <c r="C11794" t="s">
        <v>14369</v>
      </c>
      <c r="D11794" t="s">
        <v>16244</v>
      </c>
      <c r="E11794" t="s">
        <v>26520</v>
      </c>
      <c r="F11794" t="s">
        <v>28198</v>
      </c>
      <c r="G11794" t="s">
        <v>28205</v>
      </c>
      <c r="H11794" t="s">
        <v>28214</v>
      </c>
      <c r="I11794" t="s">
        <v>3797</v>
      </c>
      <c r="J11794" t="s">
        <v>29546</v>
      </c>
      <c r="K11794" t="s">
        <v>36817</v>
      </c>
      <c r="M11794" t="s">
        <v>38818</v>
      </c>
      <c r="N11794" t="s">
        <v>40436</v>
      </c>
      <c r="O11794" t="s">
        <v>40437</v>
      </c>
      <c r="P11794">
        <v>0</v>
      </c>
      <c r="Q11794">
        <v>0</v>
      </c>
      <c r="R11794" t="s">
        <v>40453</v>
      </c>
      <c r="S11794" t="s">
        <v>41237</v>
      </c>
      <c r="T11794" t="s">
        <v>42158</v>
      </c>
      <c r="U11794" t="s">
        <v>46839</v>
      </c>
      <c r="W11794" t="s">
        <v>38818</v>
      </c>
      <c r="X11794" t="s">
        <v>40454</v>
      </c>
    </row>
    <row r="11795" spans="1:24">
      <c r="A11795">
        <f>HYPERLINK("https://www.philgeps.gov.ph/GEPSNONPILOT/Tender/SplashBidNoticeAbstractUI.aspx?menuIndex=3&amp;refID=7019988&amp;Result=3","7019988")</f>
        <v>0</v>
      </c>
      <c r="B11795" t="s">
        <v>2651</v>
      </c>
      <c r="C11795" t="s">
        <v>14370</v>
      </c>
      <c r="D11795" t="s">
        <v>16261</v>
      </c>
      <c r="E11795" t="s">
        <v>25156</v>
      </c>
      <c r="F11795" t="s">
        <v>28198</v>
      </c>
      <c r="G11795" t="s">
        <v>28205</v>
      </c>
      <c r="H11795" t="s">
        <v>28214</v>
      </c>
      <c r="I11795" t="s">
        <v>3797</v>
      </c>
      <c r="J11795" t="s">
        <v>35589</v>
      </c>
      <c r="K11795" t="s">
        <v>36689</v>
      </c>
      <c r="M11795" t="s">
        <v>39878</v>
      </c>
      <c r="N11795" t="s">
        <v>40436</v>
      </c>
      <c r="O11795" t="s">
        <v>40437</v>
      </c>
      <c r="P11795">
        <v>0</v>
      </c>
      <c r="Q11795">
        <v>0</v>
      </c>
      <c r="R11795" t="s">
        <v>40453</v>
      </c>
      <c r="S11795" t="s">
        <v>41237</v>
      </c>
      <c r="T11795" t="s">
        <v>42134</v>
      </c>
      <c r="U11795" t="s">
        <v>52339</v>
      </c>
      <c r="V11795" t="s">
        <v>55115</v>
      </c>
      <c r="W11795" t="s">
        <v>39878</v>
      </c>
      <c r="X11795" t="s">
        <v>40454</v>
      </c>
    </row>
    <row r="11796" spans="1:24">
      <c r="A11796">
        <f>HYPERLINK("https://www.philgeps.gov.ph/GEPSNONPILOT/Tender/SplashBidNoticeAbstractUI.aspx?menuIndex=3&amp;refID=7020019&amp;Result=3","7020019")</f>
        <v>0</v>
      </c>
      <c r="B11796" t="s">
        <v>2651</v>
      </c>
      <c r="C11796" t="s">
        <v>14371</v>
      </c>
      <c r="D11796" t="s">
        <v>16261</v>
      </c>
      <c r="E11796" t="s">
        <v>25156</v>
      </c>
      <c r="F11796" t="s">
        <v>28198</v>
      </c>
      <c r="G11796" t="s">
        <v>28205</v>
      </c>
      <c r="H11796" t="s">
        <v>28214</v>
      </c>
      <c r="I11796" t="s">
        <v>3797</v>
      </c>
      <c r="J11796" t="s">
        <v>28363</v>
      </c>
      <c r="K11796" t="s">
        <v>36689</v>
      </c>
      <c r="M11796" t="s">
        <v>39878</v>
      </c>
      <c r="N11796" t="s">
        <v>40436</v>
      </c>
      <c r="O11796" t="s">
        <v>40437</v>
      </c>
      <c r="P11796">
        <v>0</v>
      </c>
      <c r="Q11796">
        <v>0</v>
      </c>
      <c r="R11796" t="s">
        <v>40453</v>
      </c>
      <c r="S11796" t="s">
        <v>41237</v>
      </c>
      <c r="T11796" t="s">
        <v>42133</v>
      </c>
      <c r="U11796" t="s">
        <v>52340</v>
      </c>
      <c r="V11796" t="s">
        <v>55115</v>
      </c>
      <c r="W11796" t="s">
        <v>39878</v>
      </c>
      <c r="X11796" t="s">
        <v>40454</v>
      </c>
    </row>
    <row r="11797" spans="1:24">
      <c r="A11797">
        <f>HYPERLINK("https://www.philgeps.gov.ph/GEPSNONPILOT/Tender/SplashBidNoticeAbstractUI.aspx?menuIndex=3&amp;refID=7019924&amp;Result=3","7019924")</f>
        <v>0</v>
      </c>
      <c r="B11797" t="s">
        <v>1712</v>
      </c>
      <c r="C11797" t="s">
        <v>14372</v>
      </c>
      <c r="D11797" t="s">
        <v>16244</v>
      </c>
      <c r="E11797" t="s">
        <v>26521</v>
      </c>
      <c r="F11797" t="s">
        <v>28198</v>
      </c>
      <c r="G11797" t="s">
        <v>28205</v>
      </c>
      <c r="H11797" t="s">
        <v>28214</v>
      </c>
      <c r="I11797" t="s">
        <v>3797</v>
      </c>
      <c r="J11797" t="s">
        <v>29526</v>
      </c>
      <c r="K11797" t="s">
        <v>36749</v>
      </c>
      <c r="M11797" t="s">
        <v>38818</v>
      </c>
      <c r="N11797" t="s">
        <v>40436</v>
      </c>
      <c r="O11797" t="s">
        <v>40437</v>
      </c>
      <c r="P11797">
        <v>0</v>
      </c>
      <c r="Q11797">
        <v>0</v>
      </c>
      <c r="R11797" t="s">
        <v>40453</v>
      </c>
      <c r="S11797" t="s">
        <v>41237</v>
      </c>
      <c r="T11797" t="s">
        <v>42158</v>
      </c>
      <c r="U11797" t="s">
        <v>46839</v>
      </c>
      <c r="W11797" t="s">
        <v>38818</v>
      </c>
      <c r="X11797" t="s">
        <v>40454</v>
      </c>
    </row>
    <row r="11798" spans="1:24">
      <c r="A11798">
        <f>HYPERLINK("https://www.philgeps.gov.ph/GEPSNONPILOT/Tender/SplashBidNoticeAbstractUI.aspx?menuIndex=3&amp;refID=7019994&amp;Result=3","7019994")</f>
        <v>0</v>
      </c>
      <c r="B11798" t="s">
        <v>1497</v>
      </c>
      <c r="C11798" t="s">
        <v>14373</v>
      </c>
      <c r="D11798" t="s">
        <v>16211</v>
      </c>
      <c r="E11798" t="s">
        <v>26522</v>
      </c>
      <c r="F11798" t="s">
        <v>28198</v>
      </c>
      <c r="G11798" t="s">
        <v>28208</v>
      </c>
      <c r="H11798" t="s">
        <v>28215</v>
      </c>
      <c r="I11798" t="s">
        <v>28222</v>
      </c>
      <c r="J11798" t="s">
        <v>35590</v>
      </c>
      <c r="K11798" t="s">
        <v>36701</v>
      </c>
      <c r="M11798" t="s">
        <v>38572</v>
      </c>
      <c r="N11798" t="s">
        <v>40436</v>
      </c>
      <c r="O11798" t="s">
        <v>40437</v>
      </c>
      <c r="P11798">
        <v>0</v>
      </c>
      <c r="Q11798">
        <v>2</v>
      </c>
      <c r="R11798" t="s">
        <v>40453</v>
      </c>
      <c r="S11798" t="s">
        <v>41237</v>
      </c>
      <c r="T11798" t="s">
        <v>42129</v>
      </c>
      <c r="U11798" t="s">
        <v>52341</v>
      </c>
      <c r="V11798" t="s">
        <v>55127</v>
      </c>
      <c r="W11798" t="s">
        <v>38572</v>
      </c>
      <c r="X11798" t="s">
        <v>40454</v>
      </c>
    </row>
    <row r="11799" spans="1:24">
      <c r="A11799">
        <f>HYPERLINK("https://www.philgeps.gov.ph/GEPSNONPILOT/Tender/SplashBidNoticeAbstractUI.aspx?menuIndex=3&amp;refID=7020087&amp;Result=3","7020087")</f>
        <v>0</v>
      </c>
      <c r="B11799" t="s">
        <v>1303</v>
      </c>
      <c r="C11799" t="s">
        <v>14374</v>
      </c>
      <c r="D11799" t="s">
        <v>16200</v>
      </c>
      <c r="E11799" t="s">
        <v>26523</v>
      </c>
      <c r="F11799" t="s">
        <v>28198</v>
      </c>
      <c r="G11799" t="s">
        <v>28205</v>
      </c>
      <c r="H11799" t="s">
        <v>28214</v>
      </c>
      <c r="I11799" t="s">
        <v>3797</v>
      </c>
      <c r="J11799" t="s">
        <v>28363</v>
      </c>
      <c r="K11799" t="s">
        <v>36715</v>
      </c>
      <c r="M11799" t="s">
        <v>38357</v>
      </c>
      <c r="N11799" t="s">
        <v>40436</v>
      </c>
      <c r="O11799" t="s">
        <v>40437</v>
      </c>
      <c r="Q11799">
        <v>1</v>
      </c>
      <c r="R11799" t="s">
        <v>40453</v>
      </c>
      <c r="S11799" t="s">
        <v>41273</v>
      </c>
      <c r="T11799" t="s">
        <v>42273</v>
      </c>
      <c r="U11799" t="s">
        <v>52342</v>
      </c>
      <c r="V11799" t="s">
        <v>55124</v>
      </c>
      <c r="W11799" t="s">
        <v>38357</v>
      </c>
      <c r="X11799" t="s">
        <v>40454</v>
      </c>
    </row>
    <row r="11800" spans="1:24">
      <c r="A11800">
        <f>HYPERLINK("https://www.philgeps.gov.ph/GEPSNONPILOT/Tender/SplashBidNoticeAbstractUI.aspx?menuIndex=3&amp;refID=7020039&amp;Result=3","7020039")</f>
        <v>0</v>
      </c>
      <c r="B11800" t="s">
        <v>1023</v>
      </c>
      <c r="C11800" t="s">
        <v>14375</v>
      </c>
      <c r="D11800" t="s">
        <v>16265</v>
      </c>
      <c r="E11800" t="s">
        <v>26517</v>
      </c>
      <c r="F11800" t="s">
        <v>28198</v>
      </c>
      <c r="G11800" t="s">
        <v>28205</v>
      </c>
      <c r="H11800" t="s">
        <v>28215</v>
      </c>
      <c r="I11800" t="s">
        <v>28258</v>
      </c>
      <c r="J11800" t="s">
        <v>35591</v>
      </c>
      <c r="K11800" t="s">
        <v>36701</v>
      </c>
      <c r="M11800" t="s">
        <v>38054</v>
      </c>
      <c r="N11800" t="s">
        <v>40436</v>
      </c>
      <c r="O11800" t="s">
        <v>40437</v>
      </c>
      <c r="P11800">
        <v>0</v>
      </c>
      <c r="Q11800">
        <v>2</v>
      </c>
      <c r="R11800" t="s">
        <v>40453</v>
      </c>
      <c r="S11800" t="s">
        <v>41237</v>
      </c>
      <c r="T11800" t="s">
        <v>42133</v>
      </c>
      <c r="U11800" t="s">
        <v>52336</v>
      </c>
      <c r="W11800" t="s">
        <v>38054</v>
      </c>
      <c r="X11800" t="s">
        <v>40454</v>
      </c>
    </row>
    <row r="11801" spans="1:24">
      <c r="A11801">
        <f>HYPERLINK("https://www.philgeps.gov.ph/GEPSNONPILOT/Tender/SplashBidNoticeAbstractUI.aspx?menuIndex=3&amp;refID=7020175&amp;Result=3","7020175")</f>
        <v>0</v>
      </c>
      <c r="B11801" t="s">
        <v>2927</v>
      </c>
      <c r="C11801" t="s">
        <v>14376</v>
      </c>
      <c r="D11801" t="s">
        <v>16239</v>
      </c>
      <c r="E11801" t="s">
        <v>26524</v>
      </c>
      <c r="F11801" t="s">
        <v>28198</v>
      </c>
      <c r="G11801" t="s">
        <v>28205</v>
      </c>
      <c r="H11801" t="s">
        <v>28214</v>
      </c>
      <c r="I11801" t="s">
        <v>3797</v>
      </c>
      <c r="J11801" t="s">
        <v>35592</v>
      </c>
      <c r="K11801" t="s">
        <v>36694</v>
      </c>
      <c r="M11801" t="s">
        <v>40203</v>
      </c>
      <c r="N11801" t="s">
        <v>40436</v>
      </c>
      <c r="O11801" t="s">
        <v>40437</v>
      </c>
      <c r="P11801">
        <v>0</v>
      </c>
      <c r="Q11801">
        <v>0</v>
      </c>
      <c r="R11801" t="s">
        <v>40453</v>
      </c>
      <c r="S11801" t="s">
        <v>41237</v>
      </c>
      <c r="T11801" t="s">
        <v>42188</v>
      </c>
      <c r="U11801" t="s">
        <v>52343</v>
      </c>
      <c r="W11801" t="s">
        <v>40203</v>
      </c>
      <c r="X11801" t="s">
        <v>40454</v>
      </c>
    </row>
    <row r="11802" spans="1:24">
      <c r="A11802">
        <f>HYPERLINK("https://www.philgeps.gov.ph/GEPSNONPILOT/Tender/SplashBidNoticeAbstractUI.aspx?menuIndex=3&amp;refID=7019927&amp;Result=3","7019927")</f>
        <v>0</v>
      </c>
      <c r="B11802" t="s">
        <v>460</v>
      </c>
      <c r="C11802" t="s">
        <v>14377</v>
      </c>
      <c r="D11802" t="s">
        <v>16217</v>
      </c>
      <c r="E11802" t="s">
        <v>26525</v>
      </c>
      <c r="F11802" t="s">
        <v>28198</v>
      </c>
      <c r="G11802" t="s">
        <v>28205</v>
      </c>
      <c r="H11802" t="s">
        <v>28214</v>
      </c>
      <c r="I11802" t="s">
        <v>3797</v>
      </c>
      <c r="J11802" t="s">
        <v>35593</v>
      </c>
      <c r="K11802" t="s">
        <v>36692</v>
      </c>
      <c r="M11802" t="s">
        <v>37444</v>
      </c>
      <c r="N11802" t="s">
        <v>40436</v>
      </c>
      <c r="O11802" t="s">
        <v>40437</v>
      </c>
      <c r="P11802">
        <v>0</v>
      </c>
      <c r="Q11802">
        <v>1</v>
      </c>
      <c r="R11802" t="s">
        <v>40453</v>
      </c>
      <c r="S11802" t="s">
        <v>41237</v>
      </c>
      <c r="T11802" t="s">
        <v>42580</v>
      </c>
      <c r="U11802" t="s">
        <v>49144</v>
      </c>
      <c r="V11802" t="s">
        <v>55128</v>
      </c>
      <c r="W11802" t="s">
        <v>37444</v>
      </c>
      <c r="X11802" t="s">
        <v>40454</v>
      </c>
    </row>
    <row r="11803" spans="1:24">
      <c r="A11803">
        <f>HYPERLINK("https://www.philgeps.gov.ph/GEPSNONPILOT/Tender/SplashBidNoticeAbstractUI.aspx?menuIndex=3&amp;refID=7020162&amp;Result=3","7020162")</f>
        <v>0</v>
      </c>
      <c r="B11803" t="s">
        <v>2927</v>
      </c>
      <c r="C11803" t="s">
        <v>14378</v>
      </c>
      <c r="D11803" t="s">
        <v>16239</v>
      </c>
      <c r="E11803" t="s">
        <v>26526</v>
      </c>
      <c r="F11803" t="s">
        <v>28198</v>
      </c>
      <c r="G11803" t="s">
        <v>28205</v>
      </c>
      <c r="H11803" t="s">
        <v>28214</v>
      </c>
      <c r="I11803" t="s">
        <v>3797</v>
      </c>
      <c r="J11803" t="s">
        <v>35594</v>
      </c>
      <c r="K11803" t="s">
        <v>36832</v>
      </c>
      <c r="M11803" t="s">
        <v>40203</v>
      </c>
      <c r="N11803" t="s">
        <v>40436</v>
      </c>
      <c r="O11803" t="s">
        <v>40437</v>
      </c>
      <c r="P11803">
        <v>0</v>
      </c>
      <c r="Q11803">
        <v>0</v>
      </c>
      <c r="R11803" t="s">
        <v>40453</v>
      </c>
      <c r="S11803" t="s">
        <v>41237</v>
      </c>
      <c r="T11803" t="s">
        <v>42188</v>
      </c>
      <c r="U11803" t="s">
        <v>52344</v>
      </c>
      <c r="W11803" t="s">
        <v>40203</v>
      </c>
      <c r="X11803" t="s">
        <v>40454</v>
      </c>
    </row>
    <row r="11804" spans="1:24">
      <c r="A11804">
        <f>HYPERLINK("https://www.philgeps.gov.ph/GEPSNONPILOT/Tender/SplashBidNoticeAbstractUI.aspx?menuIndex=3&amp;refID=7020053&amp;Result=3","7020053")</f>
        <v>0</v>
      </c>
      <c r="B11804" t="s">
        <v>1023</v>
      </c>
      <c r="C11804" t="s">
        <v>14379</v>
      </c>
      <c r="D11804" t="s">
        <v>16265</v>
      </c>
      <c r="E11804" t="s">
        <v>26517</v>
      </c>
      <c r="F11804" t="s">
        <v>28198</v>
      </c>
      <c r="G11804" t="s">
        <v>28205</v>
      </c>
      <c r="H11804" t="s">
        <v>28215</v>
      </c>
      <c r="I11804" t="s">
        <v>28256</v>
      </c>
      <c r="J11804" t="s">
        <v>29115</v>
      </c>
      <c r="K11804" t="s">
        <v>36701</v>
      </c>
      <c r="M11804" t="s">
        <v>38054</v>
      </c>
      <c r="N11804" t="s">
        <v>40436</v>
      </c>
      <c r="O11804" t="s">
        <v>40437</v>
      </c>
      <c r="P11804">
        <v>0</v>
      </c>
      <c r="Q11804">
        <v>4</v>
      </c>
      <c r="R11804" t="s">
        <v>40453</v>
      </c>
      <c r="S11804" t="s">
        <v>41237</v>
      </c>
      <c r="T11804" t="s">
        <v>42133</v>
      </c>
      <c r="U11804" t="s">
        <v>52336</v>
      </c>
      <c r="W11804" t="s">
        <v>38054</v>
      </c>
      <c r="X11804" t="s">
        <v>40454</v>
      </c>
    </row>
    <row r="11805" spans="1:24">
      <c r="A11805">
        <f>HYPERLINK("https://www.philgeps.gov.ph/GEPSNONPILOT/Tender/SplashBidNoticeAbstractUI.aspx?menuIndex=3&amp;refID=7019902&amp;Result=3","7019902")</f>
        <v>0</v>
      </c>
      <c r="B11805" t="s">
        <v>1023</v>
      </c>
      <c r="C11805" t="s">
        <v>14380</v>
      </c>
      <c r="D11805" t="s">
        <v>16265</v>
      </c>
      <c r="E11805" t="s">
        <v>26527</v>
      </c>
      <c r="F11805" t="s">
        <v>28198</v>
      </c>
      <c r="G11805" t="s">
        <v>28205</v>
      </c>
      <c r="H11805" t="s">
        <v>28215</v>
      </c>
      <c r="I11805" t="s">
        <v>4168</v>
      </c>
      <c r="J11805" t="s">
        <v>28378</v>
      </c>
      <c r="K11805" t="s">
        <v>36701</v>
      </c>
      <c r="M11805" t="s">
        <v>38054</v>
      </c>
      <c r="N11805" t="s">
        <v>40436</v>
      </c>
      <c r="O11805" t="s">
        <v>40437</v>
      </c>
      <c r="P11805">
        <v>0</v>
      </c>
      <c r="Q11805">
        <v>10</v>
      </c>
      <c r="R11805" t="s">
        <v>40453</v>
      </c>
      <c r="S11805" t="s">
        <v>41237</v>
      </c>
      <c r="T11805" t="s">
        <v>42133</v>
      </c>
      <c r="U11805" t="s">
        <v>52345</v>
      </c>
      <c r="W11805" t="s">
        <v>38054</v>
      </c>
      <c r="X11805" t="s">
        <v>40454</v>
      </c>
    </row>
    <row r="11806" spans="1:24">
      <c r="A11806">
        <f>HYPERLINK("https://www.philgeps.gov.ph/GEPSNONPILOT/Tender/SplashBidNoticeAbstractUI.aspx?menuIndex=3&amp;refID=7019984&amp;Result=3","7019984")</f>
        <v>0</v>
      </c>
      <c r="B11806" t="s">
        <v>1497</v>
      </c>
      <c r="C11806" t="s">
        <v>14381</v>
      </c>
      <c r="D11806" t="s">
        <v>16211</v>
      </c>
      <c r="E11806" t="s">
        <v>26528</v>
      </c>
      <c r="F11806" t="s">
        <v>28198</v>
      </c>
      <c r="G11806" t="s">
        <v>28208</v>
      </c>
      <c r="H11806" t="s">
        <v>28215</v>
      </c>
      <c r="I11806" t="s">
        <v>28222</v>
      </c>
      <c r="J11806" t="s">
        <v>35595</v>
      </c>
      <c r="K11806" t="s">
        <v>36701</v>
      </c>
      <c r="M11806" t="s">
        <v>38572</v>
      </c>
      <c r="N11806" t="s">
        <v>40436</v>
      </c>
      <c r="O11806" t="s">
        <v>40437</v>
      </c>
      <c r="P11806">
        <v>0</v>
      </c>
      <c r="Q11806">
        <v>2</v>
      </c>
      <c r="R11806" t="s">
        <v>40453</v>
      </c>
      <c r="S11806" t="s">
        <v>41237</v>
      </c>
      <c r="T11806" t="s">
        <v>42129</v>
      </c>
      <c r="U11806" t="s">
        <v>52346</v>
      </c>
      <c r="V11806" t="s">
        <v>55129</v>
      </c>
      <c r="W11806" t="s">
        <v>38572</v>
      </c>
      <c r="X11806" t="s">
        <v>40454</v>
      </c>
    </row>
    <row r="11807" spans="1:24">
      <c r="A11807">
        <f>HYPERLINK("https://www.philgeps.gov.ph/GEPSNONPILOT/Tender/SplashBidNoticeAbstractUI.aspx?menuIndex=3&amp;refID=7020199&amp;Result=3","7020199")</f>
        <v>0</v>
      </c>
      <c r="B11807" t="s">
        <v>2927</v>
      </c>
      <c r="C11807" t="s">
        <v>14382</v>
      </c>
      <c r="D11807" t="s">
        <v>16239</v>
      </c>
      <c r="E11807" t="s">
        <v>26529</v>
      </c>
      <c r="F11807" t="s">
        <v>28198</v>
      </c>
      <c r="G11807" t="s">
        <v>28205</v>
      </c>
      <c r="H11807" t="s">
        <v>28214</v>
      </c>
      <c r="I11807" t="s">
        <v>3797</v>
      </c>
      <c r="J11807" t="s">
        <v>35596</v>
      </c>
      <c r="K11807" t="s">
        <v>36709</v>
      </c>
      <c r="M11807" t="s">
        <v>40203</v>
      </c>
      <c r="N11807" t="s">
        <v>40436</v>
      </c>
      <c r="O11807" t="s">
        <v>40437</v>
      </c>
      <c r="P11807">
        <v>0</v>
      </c>
      <c r="Q11807">
        <v>0</v>
      </c>
      <c r="R11807" t="s">
        <v>40453</v>
      </c>
      <c r="S11807" t="s">
        <v>41237</v>
      </c>
      <c r="T11807" t="s">
        <v>42188</v>
      </c>
      <c r="U11807" t="s">
        <v>52347</v>
      </c>
      <c r="W11807" t="s">
        <v>40203</v>
      </c>
      <c r="X11807" t="s">
        <v>40454</v>
      </c>
    </row>
    <row r="11808" spans="1:24">
      <c r="A11808">
        <f>HYPERLINK("https://www.philgeps.gov.ph/GEPSNONPILOT/Tender/SplashBidNoticeAbstractUI.aspx?menuIndex=3&amp;refID=7020185&amp;Result=3","7020185")</f>
        <v>0</v>
      </c>
      <c r="B11808" t="s">
        <v>2927</v>
      </c>
      <c r="C11808" t="s">
        <v>14383</v>
      </c>
      <c r="D11808" t="s">
        <v>16239</v>
      </c>
      <c r="E11808" t="s">
        <v>26530</v>
      </c>
      <c r="F11808" t="s">
        <v>28198</v>
      </c>
      <c r="G11808" t="s">
        <v>28205</v>
      </c>
      <c r="H11808" t="s">
        <v>28214</v>
      </c>
      <c r="I11808" t="s">
        <v>3797</v>
      </c>
      <c r="J11808" t="s">
        <v>35597</v>
      </c>
      <c r="K11808" t="s">
        <v>36889</v>
      </c>
      <c r="M11808" t="s">
        <v>40203</v>
      </c>
      <c r="N11808" t="s">
        <v>40436</v>
      </c>
      <c r="O11808" t="s">
        <v>40437</v>
      </c>
      <c r="P11808">
        <v>0</v>
      </c>
      <c r="Q11808">
        <v>0</v>
      </c>
      <c r="R11808" t="s">
        <v>40453</v>
      </c>
      <c r="S11808" t="s">
        <v>41237</v>
      </c>
      <c r="T11808" t="s">
        <v>42188</v>
      </c>
      <c r="U11808" t="s">
        <v>52348</v>
      </c>
      <c r="W11808" t="s">
        <v>40203</v>
      </c>
      <c r="X11808" t="s">
        <v>40454</v>
      </c>
    </row>
    <row r="11809" spans="1:24">
      <c r="A11809">
        <f>HYPERLINK("https://www.philgeps.gov.ph/GEPSNONPILOT/Tender/SplashBidNoticeAbstractUI.aspx?menuIndex=3&amp;refID=7020182&amp;Result=3","7020182")</f>
        <v>0</v>
      </c>
      <c r="B11809" t="s">
        <v>1731</v>
      </c>
      <c r="C11809" t="s">
        <v>14384</v>
      </c>
      <c r="D11809" t="s">
        <v>16193</v>
      </c>
      <c r="E11809" t="s">
        <v>26531</v>
      </c>
      <c r="F11809" t="s">
        <v>28198</v>
      </c>
      <c r="G11809" t="s">
        <v>28205</v>
      </c>
      <c r="H11809" t="s">
        <v>28215</v>
      </c>
      <c r="I11809" t="s">
        <v>28222</v>
      </c>
      <c r="J11809" t="s">
        <v>31116</v>
      </c>
      <c r="K11809" t="s">
        <v>36701</v>
      </c>
      <c r="M11809" t="s">
        <v>38842</v>
      </c>
      <c r="N11809" t="s">
        <v>40436</v>
      </c>
      <c r="O11809" t="s">
        <v>40437</v>
      </c>
      <c r="P11809">
        <v>0</v>
      </c>
      <c r="Q11809">
        <v>0</v>
      </c>
      <c r="R11809" t="s">
        <v>40453</v>
      </c>
      <c r="S11809" t="s">
        <v>41237</v>
      </c>
      <c r="T11809" t="s">
        <v>42142</v>
      </c>
      <c r="U11809" t="s">
        <v>52349</v>
      </c>
      <c r="V11809" t="s">
        <v>54518</v>
      </c>
      <c r="W11809" t="s">
        <v>38842</v>
      </c>
      <c r="X11809" t="s">
        <v>40454</v>
      </c>
    </row>
    <row r="11810" spans="1:24">
      <c r="A11810">
        <f>HYPERLINK("https://www.philgeps.gov.ph/GEPSNONPILOT/Tender/SplashBidNoticeAbstractUI.aspx?menuIndex=3&amp;refID=7020257&amp;Result=3","7020257")</f>
        <v>0</v>
      </c>
      <c r="B11810" t="s">
        <v>2409</v>
      </c>
      <c r="C11810" t="s">
        <v>14385</v>
      </c>
      <c r="D11810" t="s">
        <v>16226</v>
      </c>
      <c r="E11810" t="s">
        <v>26532</v>
      </c>
      <c r="F11810" t="s">
        <v>28198</v>
      </c>
      <c r="G11810" t="s">
        <v>28207</v>
      </c>
      <c r="H11810" t="s">
        <v>28216</v>
      </c>
      <c r="I11810" t="s">
        <v>28216</v>
      </c>
      <c r="J11810" t="s">
        <v>35598</v>
      </c>
      <c r="K11810" t="s">
        <v>36689</v>
      </c>
      <c r="M11810" t="s">
        <v>40204</v>
      </c>
      <c r="N11810" t="s">
        <v>40436</v>
      </c>
      <c r="O11810" t="s">
        <v>40437</v>
      </c>
      <c r="P11810">
        <v>0</v>
      </c>
      <c r="Q11810">
        <v>3</v>
      </c>
      <c r="R11810" t="s">
        <v>40453</v>
      </c>
      <c r="S11810" t="s">
        <v>41237</v>
      </c>
      <c r="T11810" t="s">
        <v>42233</v>
      </c>
      <c r="U11810" t="s">
        <v>52350</v>
      </c>
      <c r="V11810" t="s">
        <v>55130</v>
      </c>
      <c r="W11810" t="s">
        <v>40204</v>
      </c>
      <c r="X11810" t="s">
        <v>40454</v>
      </c>
    </row>
    <row r="11811" spans="1:24">
      <c r="A11811">
        <f>HYPERLINK("https://www.philgeps.gov.ph/GEPSNONPILOT/Tender/SplashBidNoticeAbstractUI.aspx?menuIndex=3&amp;refID=7020153&amp;Result=3","7020153")</f>
        <v>0</v>
      </c>
      <c r="B11811" t="s">
        <v>1020</v>
      </c>
      <c r="C11811" t="s">
        <v>14386</v>
      </c>
      <c r="D11811" t="s">
        <v>16208</v>
      </c>
      <c r="E11811" t="s">
        <v>26533</v>
      </c>
      <c r="F11811" t="s">
        <v>28198</v>
      </c>
      <c r="G11811" t="s">
        <v>28205</v>
      </c>
      <c r="H11811" t="s">
        <v>28214</v>
      </c>
      <c r="I11811" t="s">
        <v>3797</v>
      </c>
      <c r="J11811" t="s">
        <v>28363</v>
      </c>
      <c r="K11811" t="s">
        <v>36697</v>
      </c>
      <c r="M11811" t="s">
        <v>38049</v>
      </c>
      <c r="N11811" t="s">
        <v>40436</v>
      </c>
      <c r="O11811" t="s">
        <v>40437</v>
      </c>
      <c r="P11811">
        <v>0</v>
      </c>
      <c r="Q11811">
        <v>0</v>
      </c>
      <c r="R11811" t="s">
        <v>40453</v>
      </c>
      <c r="S11811" t="s">
        <v>41237</v>
      </c>
      <c r="T11811" t="s">
        <v>42134</v>
      </c>
      <c r="U11811" t="s">
        <v>52351</v>
      </c>
      <c r="W11811" t="s">
        <v>38049</v>
      </c>
      <c r="X11811" t="s">
        <v>40454</v>
      </c>
    </row>
    <row r="11812" spans="1:24">
      <c r="A11812">
        <f>HYPERLINK("https://www.philgeps.gov.ph/GEPSNONPILOT/Tender/SplashBidNoticeAbstractUI.aspx?menuIndex=3&amp;refID=7020146&amp;Result=3","7020146")</f>
        <v>0</v>
      </c>
      <c r="B11812" t="s">
        <v>2928</v>
      </c>
      <c r="C11812" t="s">
        <v>14387</v>
      </c>
      <c r="D11812" t="s">
        <v>16209</v>
      </c>
      <c r="E11812" t="s">
        <v>26534</v>
      </c>
      <c r="F11812" t="s">
        <v>28198</v>
      </c>
      <c r="G11812" t="s">
        <v>28205</v>
      </c>
      <c r="H11812" t="s">
        <v>28215</v>
      </c>
      <c r="I11812" t="s">
        <v>6051</v>
      </c>
      <c r="J11812" t="s">
        <v>35599</v>
      </c>
      <c r="K11812" t="s">
        <v>36694</v>
      </c>
      <c r="M11812" t="s">
        <v>40205</v>
      </c>
      <c r="N11812" t="s">
        <v>40436</v>
      </c>
      <c r="O11812" t="s">
        <v>40437</v>
      </c>
      <c r="Q11812">
        <v>6</v>
      </c>
      <c r="R11812" t="s">
        <v>40453</v>
      </c>
      <c r="S11812" t="s">
        <v>41274</v>
      </c>
      <c r="T11812" t="s">
        <v>42134</v>
      </c>
      <c r="U11812" t="s">
        <v>52352</v>
      </c>
      <c r="V11812" t="s">
        <v>55131</v>
      </c>
      <c r="W11812" t="s">
        <v>40205</v>
      </c>
      <c r="X11812" t="s">
        <v>40454</v>
      </c>
    </row>
    <row r="11813" spans="1:24">
      <c r="A11813">
        <f>HYPERLINK("https://www.philgeps.gov.ph/GEPSNONPILOT/Tender/SplashBidNoticeAbstractUI.aspx?menuIndex=3&amp;refID=7020229&amp;Result=3","7020229")</f>
        <v>0</v>
      </c>
      <c r="B11813" t="s">
        <v>1020</v>
      </c>
      <c r="C11813" t="s">
        <v>14388</v>
      </c>
      <c r="D11813" t="s">
        <v>16208</v>
      </c>
      <c r="E11813" t="s">
        <v>26535</v>
      </c>
      <c r="F11813" t="s">
        <v>28198</v>
      </c>
      <c r="G11813" t="s">
        <v>28205</v>
      </c>
      <c r="H11813" t="s">
        <v>28215</v>
      </c>
      <c r="I11813" t="s">
        <v>28228</v>
      </c>
      <c r="J11813" t="s">
        <v>35600</v>
      </c>
      <c r="K11813" t="s">
        <v>36705</v>
      </c>
      <c r="M11813" t="s">
        <v>38049</v>
      </c>
      <c r="N11813" t="s">
        <v>40436</v>
      </c>
      <c r="O11813" t="s">
        <v>40437</v>
      </c>
      <c r="P11813">
        <v>0</v>
      </c>
      <c r="Q11813">
        <v>0</v>
      </c>
      <c r="R11813" t="s">
        <v>40453</v>
      </c>
      <c r="S11813" t="s">
        <v>41237</v>
      </c>
      <c r="T11813" t="s">
        <v>42134</v>
      </c>
      <c r="U11813" t="s">
        <v>52353</v>
      </c>
      <c r="W11813" t="s">
        <v>38049</v>
      </c>
      <c r="X11813" t="s">
        <v>40454</v>
      </c>
    </row>
    <row r="11814" spans="1:24">
      <c r="A11814">
        <f>HYPERLINK("https://www.philgeps.gov.ph/GEPSNONPILOT/Tender/SplashBidNoticeAbstractUI.aspx?menuIndex=3&amp;refID=7020142&amp;Result=3","7020142")</f>
        <v>0</v>
      </c>
      <c r="B11814" t="s">
        <v>2927</v>
      </c>
      <c r="C11814" t="s">
        <v>14389</v>
      </c>
      <c r="D11814" t="s">
        <v>16239</v>
      </c>
      <c r="E11814" t="s">
        <v>26536</v>
      </c>
      <c r="F11814" t="s">
        <v>28198</v>
      </c>
      <c r="G11814" t="s">
        <v>28205</v>
      </c>
      <c r="H11814" t="s">
        <v>28214</v>
      </c>
      <c r="I11814" t="s">
        <v>3797</v>
      </c>
      <c r="J11814" t="s">
        <v>35601</v>
      </c>
      <c r="K11814" t="s">
        <v>36816</v>
      </c>
      <c r="M11814" t="s">
        <v>40203</v>
      </c>
      <c r="N11814" t="s">
        <v>40436</v>
      </c>
      <c r="O11814" t="s">
        <v>40437</v>
      </c>
      <c r="P11814">
        <v>0</v>
      </c>
      <c r="Q11814">
        <v>0</v>
      </c>
      <c r="R11814" t="s">
        <v>40453</v>
      </c>
      <c r="S11814" t="s">
        <v>41237</v>
      </c>
      <c r="T11814" t="s">
        <v>42188</v>
      </c>
      <c r="U11814" t="s">
        <v>46643</v>
      </c>
      <c r="W11814" t="s">
        <v>40203</v>
      </c>
      <c r="X11814" t="s">
        <v>40454</v>
      </c>
    </row>
    <row r="11815" spans="1:24">
      <c r="A11815">
        <f>HYPERLINK("https://www.philgeps.gov.ph/GEPSNONPILOT/Tender/SplashBidNoticeAbstractUI.aspx?menuIndex=3&amp;refID=7020151&amp;Result=3","7020151")</f>
        <v>0</v>
      </c>
      <c r="B11815" t="s">
        <v>2927</v>
      </c>
      <c r="C11815" t="s">
        <v>14390</v>
      </c>
      <c r="D11815" t="s">
        <v>16239</v>
      </c>
      <c r="E11815" t="s">
        <v>26537</v>
      </c>
      <c r="F11815" t="s">
        <v>28198</v>
      </c>
      <c r="G11815" t="s">
        <v>28205</v>
      </c>
      <c r="H11815" t="s">
        <v>28214</v>
      </c>
      <c r="I11815" t="s">
        <v>3797</v>
      </c>
      <c r="J11815" t="s">
        <v>35602</v>
      </c>
      <c r="K11815" t="s">
        <v>36703</v>
      </c>
      <c r="M11815" t="s">
        <v>40203</v>
      </c>
      <c r="N11815" t="s">
        <v>40436</v>
      </c>
      <c r="O11815" t="s">
        <v>40437</v>
      </c>
      <c r="P11815">
        <v>0</v>
      </c>
      <c r="Q11815">
        <v>0</v>
      </c>
      <c r="R11815" t="s">
        <v>40453</v>
      </c>
      <c r="S11815" t="s">
        <v>41237</v>
      </c>
      <c r="T11815" t="s">
        <v>42188</v>
      </c>
      <c r="U11815" t="s">
        <v>52354</v>
      </c>
      <c r="W11815" t="s">
        <v>40203</v>
      </c>
      <c r="X11815" t="s">
        <v>40454</v>
      </c>
    </row>
    <row r="11816" spans="1:24">
      <c r="A11816">
        <f>HYPERLINK("https://www.philgeps.gov.ph/GEPSNONPILOT/Tender/SplashBidNoticeAbstractUI.aspx?menuIndex=3&amp;refID=7020134&amp;Result=3","7020134")</f>
        <v>0</v>
      </c>
      <c r="B11816" t="s">
        <v>1242</v>
      </c>
      <c r="C11816" t="s">
        <v>6345</v>
      </c>
      <c r="D11816" t="s">
        <v>16258</v>
      </c>
      <c r="E11816" t="s">
        <v>26538</v>
      </c>
      <c r="F11816" t="s">
        <v>28198</v>
      </c>
      <c r="G11816" t="s">
        <v>28205</v>
      </c>
      <c r="H11816" t="s">
        <v>28215</v>
      </c>
      <c r="I11816" t="s">
        <v>8888</v>
      </c>
      <c r="J11816" t="s">
        <v>35603</v>
      </c>
      <c r="K11816" t="s">
        <v>36706</v>
      </c>
      <c r="M11816" t="s">
        <v>38291</v>
      </c>
      <c r="N11816" t="s">
        <v>40436</v>
      </c>
      <c r="O11816" t="s">
        <v>40437</v>
      </c>
      <c r="P11816">
        <v>0</v>
      </c>
      <c r="Q11816">
        <v>2</v>
      </c>
      <c r="R11816" t="s">
        <v>40453</v>
      </c>
      <c r="S11816" t="s">
        <v>41237</v>
      </c>
      <c r="T11816" t="s">
        <v>42134</v>
      </c>
      <c r="U11816" t="s">
        <v>52355</v>
      </c>
      <c r="W11816" t="s">
        <v>38291</v>
      </c>
      <c r="X11816" t="s">
        <v>40454</v>
      </c>
    </row>
    <row r="11817" spans="1:24">
      <c r="A11817">
        <f>HYPERLINK("https://www.philgeps.gov.ph/GEPSNONPILOT/Tender/SplashBidNoticeAbstractUI.aspx?menuIndex=3&amp;refID=7020223&amp;Result=3","7020223")</f>
        <v>0</v>
      </c>
      <c r="B11817" t="s">
        <v>2413</v>
      </c>
      <c r="C11817" t="s">
        <v>14391</v>
      </c>
      <c r="D11817" t="s">
        <v>16210</v>
      </c>
      <c r="E11817" t="s">
        <v>26539</v>
      </c>
      <c r="F11817" t="s">
        <v>28198</v>
      </c>
      <c r="G11817" t="s">
        <v>28205</v>
      </c>
      <c r="H11817" t="s">
        <v>28217</v>
      </c>
      <c r="I11817" t="s">
        <v>28332</v>
      </c>
      <c r="J11817" t="s">
        <v>35604</v>
      </c>
      <c r="K11817" t="s">
        <v>36694</v>
      </c>
      <c r="M11817" t="s">
        <v>39653</v>
      </c>
      <c r="N11817" t="s">
        <v>40436</v>
      </c>
      <c r="O11817" t="s">
        <v>40437</v>
      </c>
      <c r="Q11817">
        <v>4</v>
      </c>
      <c r="R11817" t="s">
        <v>40453</v>
      </c>
      <c r="S11817" t="s">
        <v>41200</v>
      </c>
      <c r="T11817" t="s">
        <v>42134</v>
      </c>
      <c r="U11817" t="s">
        <v>49378</v>
      </c>
      <c r="V11817" t="s">
        <v>54909</v>
      </c>
      <c r="W11817" t="s">
        <v>39653</v>
      </c>
      <c r="X11817" t="s">
        <v>40454</v>
      </c>
    </row>
    <row r="11818" spans="1:24">
      <c r="A11818">
        <f>HYPERLINK("https://www.philgeps.gov.ph/GEPSNONPILOT/Tender/SplashBidNoticeAbstractUI.aspx?menuIndex=3&amp;refID=7020092&amp;Result=3","7020092")</f>
        <v>0</v>
      </c>
      <c r="B11818" t="s">
        <v>2072</v>
      </c>
      <c r="C11818" t="s">
        <v>14392</v>
      </c>
      <c r="D11818" t="s">
        <v>16192</v>
      </c>
      <c r="E11818" t="s">
        <v>26540</v>
      </c>
      <c r="F11818" t="s">
        <v>28198</v>
      </c>
      <c r="G11818" t="s">
        <v>28205</v>
      </c>
      <c r="H11818" t="s">
        <v>28215</v>
      </c>
      <c r="I11818" t="s">
        <v>28228</v>
      </c>
      <c r="J11818" t="s">
        <v>35605</v>
      </c>
      <c r="K11818" t="s">
        <v>36701</v>
      </c>
      <c r="M11818" t="s">
        <v>40206</v>
      </c>
      <c r="N11818" t="s">
        <v>40436</v>
      </c>
      <c r="O11818" t="s">
        <v>40437</v>
      </c>
      <c r="P11818">
        <v>0</v>
      </c>
      <c r="Q11818">
        <v>0</v>
      </c>
      <c r="R11818" t="s">
        <v>40453</v>
      </c>
      <c r="S11818" t="s">
        <v>41237</v>
      </c>
      <c r="T11818" t="s">
        <v>42112</v>
      </c>
      <c r="U11818" t="s">
        <v>52356</v>
      </c>
      <c r="V11818" t="s">
        <v>54461</v>
      </c>
      <c r="W11818" t="s">
        <v>40206</v>
      </c>
      <c r="X11818" t="s">
        <v>40454</v>
      </c>
    </row>
    <row r="11819" spans="1:24">
      <c r="A11819">
        <f>HYPERLINK("https://www.philgeps.gov.ph/GEPSNONPILOT/Tender/SplashBidNoticeAbstractUI.aspx?menuIndex=3&amp;refID=7020132&amp;Result=3","7020132")</f>
        <v>0</v>
      </c>
      <c r="B11819" t="s">
        <v>2927</v>
      </c>
      <c r="C11819" t="s">
        <v>14393</v>
      </c>
      <c r="D11819" t="s">
        <v>16239</v>
      </c>
      <c r="E11819" t="s">
        <v>26541</v>
      </c>
      <c r="F11819" t="s">
        <v>28198</v>
      </c>
      <c r="G11819" t="s">
        <v>28205</v>
      </c>
      <c r="H11819" t="s">
        <v>28214</v>
      </c>
      <c r="I11819" t="s">
        <v>3797</v>
      </c>
      <c r="J11819" t="s">
        <v>35606</v>
      </c>
      <c r="K11819" t="s">
        <v>36792</v>
      </c>
      <c r="M11819" t="s">
        <v>40203</v>
      </c>
      <c r="N11819" t="s">
        <v>40436</v>
      </c>
      <c r="O11819" t="s">
        <v>40437</v>
      </c>
      <c r="P11819">
        <v>0</v>
      </c>
      <c r="Q11819">
        <v>0</v>
      </c>
      <c r="R11819" t="s">
        <v>40453</v>
      </c>
      <c r="S11819" t="s">
        <v>41237</v>
      </c>
      <c r="T11819" t="s">
        <v>42188</v>
      </c>
      <c r="U11819" t="s">
        <v>52357</v>
      </c>
      <c r="W11819" t="s">
        <v>40203</v>
      </c>
      <c r="X11819" t="s">
        <v>40454</v>
      </c>
    </row>
    <row r="11820" spans="1:24">
      <c r="A11820">
        <f>HYPERLINK("https://www.philgeps.gov.ph/GEPSNONPILOT/Tender/SplashBidNoticeAbstractUI.aspx?menuIndex=3&amp;refID=7020210&amp;Result=3","7020210")</f>
        <v>0</v>
      </c>
      <c r="B11820" t="s">
        <v>1172</v>
      </c>
      <c r="C11820" t="s">
        <v>14394</v>
      </c>
      <c r="D11820" t="s">
        <v>16210</v>
      </c>
      <c r="E11820" t="s">
        <v>26542</v>
      </c>
      <c r="F11820" t="s">
        <v>28198</v>
      </c>
      <c r="G11820" t="s">
        <v>28205</v>
      </c>
      <c r="H11820" t="s">
        <v>28215</v>
      </c>
      <c r="I11820" t="s">
        <v>5103</v>
      </c>
      <c r="J11820" t="s">
        <v>35607</v>
      </c>
      <c r="K11820" t="s">
        <v>36688</v>
      </c>
      <c r="M11820" t="s">
        <v>38214</v>
      </c>
      <c r="N11820" t="s">
        <v>40436</v>
      </c>
      <c r="O11820" t="s">
        <v>40437</v>
      </c>
      <c r="P11820">
        <v>0</v>
      </c>
      <c r="Q11820">
        <v>15</v>
      </c>
      <c r="R11820" t="s">
        <v>40453</v>
      </c>
      <c r="S11820" t="s">
        <v>41237</v>
      </c>
      <c r="T11820" t="s">
        <v>42119</v>
      </c>
      <c r="U11820" t="s">
        <v>52358</v>
      </c>
      <c r="W11820" t="s">
        <v>38214</v>
      </c>
      <c r="X11820" t="s">
        <v>40454</v>
      </c>
    </row>
    <row r="11821" spans="1:24">
      <c r="A11821">
        <f>HYPERLINK("https://www.philgeps.gov.ph/GEPSNONPILOT/Tender/SplashBidNoticeAbstractUI.aspx?menuIndex=3&amp;refID=7020090&amp;Result=3","7020090")</f>
        <v>0</v>
      </c>
      <c r="B11821" t="s">
        <v>2928</v>
      </c>
      <c r="C11821" t="s">
        <v>14395</v>
      </c>
      <c r="D11821" t="s">
        <v>16257</v>
      </c>
      <c r="E11821" t="s">
        <v>26543</v>
      </c>
      <c r="F11821" t="s">
        <v>28198</v>
      </c>
      <c r="G11821" t="s">
        <v>28205</v>
      </c>
      <c r="H11821" t="s">
        <v>28215</v>
      </c>
      <c r="I11821" t="s">
        <v>28235</v>
      </c>
      <c r="J11821" t="s">
        <v>28363</v>
      </c>
      <c r="K11821" t="s">
        <v>36701</v>
      </c>
      <c r="M11821" t="s">
        <v>40205</v>
      </c>
      <c r="N11821" t="s">
        <v>40436</v>
      </c>
      <c r="O11821" t="s">
        <v>40437</v>
      </c>
      <c r="P11821">
        <v>0</v>
      </c>
      <c r="Q11821">
        <v>2</v>
      </c>
      <c r="R11821" t="s">
        <v>40453</v>
      </c>
      <c r="S11821" t="s">
        <v>41237</v>
      </c>
      <c r="T11821" t="s">
        <v>42134</v>
      </c>
      <c r="U11821" t="s">
        <v>52352</v>
      </c>
      <c r="V11821" t="s">
        <v>55132</v>
      </c>
      <c r="W11821" t="s">
        <v>40205</v>
      </c>
      <c r="X11821" t="s">
        <v>40454</v>
      </c>
    </row>
    <row r="11822" spans="1:24">
      <c r="A11822">
        <f>HYPERLINK("https://www.philgeps.gov.ph/GEPSNONPILOT/Tender/SplashBidNoticeAbstractUI.aspx?menuIndex=3&amp;refID=7020263&amp;Result=3","7020263")</f>
        <v>0</v>
      </c>
      <c r="B11822" t="s">
        <v>2651</v>
      </c>
      <c r="C11822" t="s">
        <v>14396</v>
      </c>
      <c r="D11822" t="s">
        <v>16261</v>
      </c>
      <c r="E11822" t="s">
        <v>25156</v>
      </c>
      <c r="F11822" t="s">
        <v>28198</v>
      </c>
      <c r="G11822" t="s">
        <v>28205</v>
      </c>
      <c r="H11822" t="s">
        <v>28214</v>
      </c>
      <c r="I11822" t="s">
        <v>3797</v>
      </c>
      <c r="J11822" t="s">
        <v>35608</v>
      </c>
      <c r="K11822" t="s">
        <v>36689</v>
      </c>
      <c r="M11822" t="s">
        <v>39878</v>
      </c>
      <c r="N11822" t="s">
        <v>40436</v>
      </c>
      <c r="O11822" t="s">
        <v>40437</v>
      </c>
      <c r="P11822">
        <v>0</v>
      </c>
      <c r="Q11822">
        <v>0</v>
      </c>
      <c r="R11822" t="s">
        <v>40453</v>
      </c>
      <c r="S11822" t="s">
        <v>41237</v>
      </c>
      <c r="T11822" t="s">
        <v>42133</v>
      </c>
      <c r="U11822" t="s">
        <v>52359</v>
      </c>
      <c r="V11822" t="s">
        <v>55115</v>
      </c>
      <c r="W11822" t="s">
        <v>39878</v>
      </c>
      <c r="X11822" t="s">
        <v>40454</v>
      </c>
    </row>
    <row r="11823" spans="1:24">
      <c r="A11823">
        <f>HYPERLINK("https://www.philgeps.gov.ph/GEPSNONPILOT/Tender/SplashBidNoticeAbstractUI.aspx?menuIndex=3&amp;refID=7020271&amp;Result=3","7020271")</f>
        <v>0</v>
      </c>
      <c r="B11823" t="s">
        <v>2929</v>
      </c>
      <c r="C11823" t="s">
        <v>14397</v>
      </c>
      <c r="D11823" t="s">
        <v>16190</v>
      </c>
      <c r="E11823" t="s">
        <v>26544</v>
      </c>
      <c r="F11823" t="s">
        <v>28198</v>
      </c>
      <c r="G11823" t="s">
        <v>28205</v>
      </c>
      <c r="H11823" t="s">
        <v>28214</v>
      </c>
      <c r="I11823" t="s">
        <v>3797</v>
      </c>
      <c r="J11823" t="s">
        <v>28361</v>
      </c>
      <c r="K11823" t="s">
        <v>36701</v>
      </c>
      <c r="M11823" t="s">
        <v>40207</v>
      </c>
      <c r="N11823" t="s">
        <v>40436</v>
      </c>
      <c r="O11823" t="s">
        <v>40437</v>
      </c>
      <c r="P11823">
        <v>0</v>
      </c>
      <c r="Q11823">
        <v>0</v>
      </c>
      <c r="R11823" t="s">
        <v>40453</v>
      </c>
      <c r="S11823" t="s">
        <v>41237</v>
      </c>
      <c r="T11823" t="s">
        <v>42297</v>
      </c>
      <c r="U11823" t="s">
        <v>52360</v>
      </c>
      <c r="W11823" t="s">
        <v>40207</v>
      </c>
      <c r="X11823" t="s">
        <v>40454</v>
      </c>
    </row>
    <row r="11824" spans="1:24">
      <c r="A11824">
        <f>HYPERLINK("https://www.philgeps.gov.ph/GEPSNONPILOT/Tender/SplashBidNoticeAbstractUI.aspx?menuIndex=3&amp;refID=7020346&amp;Result=3","7020346")</f>
        <v>0</v>
      </c>
      <c r="B11824" t="s">
        <v>2414</v>
      </c>
      <c r="C11824" t="s">
        <v>14398</v>
      </c>
      <c r="D11824" t="s">
        <v>16213</v>
      </c>
      <c r="E11824" t="s">
        <v>26545</v>
      </c>
      <c r="F11824" t="s">
        <v>28198</v>
      </c>
      <c r="G11824" t="s">
        <v>28205</v>
      </c>
      <c r="H11824" t="s">
        <v>28214</v>
      </c>
      <c r="I11824" t="s">
        <v>3797</v>
      </c>
      <c r="J11824" t="s">
        <v>35609</v>
      </c>
      <c r="K11824" t="s">
        <v>36697</v>
      </c>
      <c r="M11824" t="s">
        <v>39603</v>
      </c>
      <c r="N11824" t="s">
        <v>40436</v>
      </c>
      <c r="O11824" t="s">
        <v>40437</v>
      </c>
      <c r="P11824">
        <v>0</v>
      </c>
      <c r="Q11824">
        <v>1</v>
      </c>
      <c r="R11824" t="s">
        <v>40453</v>
      </c>
      <c r="S11824" t="s">
        <v>41237</v>
      </c>
      <c r="T11824" t="s">
        <v>42203</v>
      </c>
      <c r="U11824" t="s">
        <v>52361</v>
      </c>
      <c r="V11824" t="s">
        <v>55111</v>
      </c>
      <c r="W11824" t="s">
        <v>39603</v>
      </c>
      <c r="X11824" t="s">
        <v>40454</v>
      </c>
    </row>
    <row r="11825" spans="1:24">
      <c r="A11825">
        <f>HYPERLINK("https://www.philgeps.gov.ph/GEPSNONPILOT/Tender/SplashBidNoticeAbstractUI.aspx?menuIndex=3&amp;refID=7020088&amp;Result=3","7020088")</f>
        <v>0</v>
      </c>
      <c r="B11825" t="s">
        <v>332</v>
      </c>
      <c r="C11825" t="s">
        <v>14399</v>
      </c>
      <c r="E11825" t="s">
        <v>26546</v>
      </c>
      <c r="F11825" t="s">
        <v>28198</v>
      </c>
      <c r="G11825" t="s">
        <v>28205</v>
      </c>
      <c r="H11825" t="s">
        <v>28215</v>
      </c>
      <c r="I11825" t="s">
        <v>28228</v>
      </c>
      <c r="J11825" t="s">
        <v>35610</v>
      </c>
      <c r="K11825" t="s">
        <v>36689</v>
      </c>
      <c r="M11825" t="s">
        <v>37310</v>
      </c>
      <c r="N11825" t="s">
        <v>40436</v>
      </c>
      <c r="O11825" t="s">
        <v>40437</v>
      </c>
      <c r="P11825">
        <v>0</v>
      </c>
      <c r="Q11825">
        <v>0</v>
      </c>
      <c r="R11825" t="s">
        <v>40453</v>
      </c>
      <c r="S11825" t="s">
        <v>41237</v>
      </c>
      <c r="T11825" t="s">
        <v>42176</v>
      </c>
      <c r="U11825" t="s">
        <v>52362</v>
      </c>
      <c r="W11825" t="s">
        <v>37310</v>
      </c>
      <c r="X11825" t="s">
        <v>40454</v>
      </c>
    </row>
    <row r="11826" spans="1:24">
      <c r="A11826">
        <f>HYPERLINK("https://www.philgeps.gov.ph/GEPSNONPILOT/Tender/SplashBidNoticeAbstractUI.aspx?menuIndex=3&amp;refID=7019983&amp;Result=3","7019983")</f>
        <v>0</v>
      </c>
      <c r="B11826" t="s">
        <v>499</v>
      </c>
      <c r="C11826" t="s">
        <v>14400</v>
      </c>
      <c r="D11826" t="s">
        <v>16193</v>
      </c>
      <c r="E11826" t="s">
        <v>24561</v>
      </c>
      <c r="F11826" t="s">
        <v>28198</v>
      </c>
      <c r="G11826" t="s">
        <v>28205</v>
      </c>
      <c r="H11826" t="s">
        <v>28217</v>
      </c>
      <c r="I11826" t="s">
        <v>6051</v>
      </c>
      <c r="J11826" t="s">
        <v>28468</v>
      </c>
      <c r="K11826" t="s">
        <v>36701</v>
      </c>
      <c r="M11826" t="s">
        <v>37484</v>
      </c>
      <c r="N11826" t="s">
        <v>40436</v>
      </c>
      <c r="O11826" t="s">
        <v>40437</v>
      </c>
      <c r="P11826">
        <v>0</v>
      </c>
      <c r="Q11826">
        <v>5</v>
      </c>
      <c r="R11826" t="s">
        <v>40453</v>
      </c>
      <c r="S11826" t="s">
        <v>41237</v>
      </c>
      <c r="T11826" t="s">
        <v>42201</v>
      </c>
      <c r="U11826" t="s">
        <v>52363</v>
      </c>
      <c r="W11826" t="s">
        <v>37484</v>
      </c>
      <c r="X11826" t="s">
        <v>40454</v>
      </c>
    </row>
    <row r="11827" spans="1:24">
      <c r="A11827">
        <f>HYPERLINK("https://www.philgeps.gov.ph/GEPSNONPILOT/Tender/SplashBidNoticeAbstractUI.aspx?menuIndex=3&amp;refID=7020377&amp;Result=3","7020377")</f>
        <v>0</v>
      </c>
      <c r="B11827" t="s">
        <v>2930</v>
      </c>
      <c r="C11827" t="s">
        <v>14401</v>
      </c>
      <c r="D11827" t="s">
        <v>16199</v>
      </c>
      <c r="E11827" t="s">
        <v>26547</v>
      </c>
      <c r="F11827" t="s">
        <v>28198</v>
      </c>
      <c r="G11827" t="s">
        <v>28205</v>
      </c>
      <c r="H11827" t="s">
        <v>28214</v>
      </c>
      <c r="I11827" t="s">
        <v>3797</v>
      </c>
      <c r="J11827" t="s">
        <v>28398</v>
      </c>
      <c r="K11827" t="s">
        <v>36715</v>
      </c>
      <c r="M11827" t="s">
        <v>40208</v>
      </c>
      <c r="N11827" t="s">
        <v>40436</v>
      </c>
      <c r="O11827" t="s">
        <v>40437</v>
      </c>
      <c r="P11827">
        <v>0</v>
      </c>
      <c r="Q11827">
        <v>1</v>
      </c>
      <c r="R11827" t="s">
        <v>40453</v>
      </c>
      <c r="S11827" t="s">
        <v>41237</v>
      </c>
      <c r="T11827" t="s">
        <v>42180</v>
      </c>
      <c r="U11827" t="s">
        <v>52364</v>
      </c>
      <c r="W11827" t="s">
        <v>40208</v>
      </c>
      <c r="X11827" t="s">
        <v>40454</v>
      </c>
    </row>
    <row r="11828" spans="1:24">
      <c r="A11828">
        <f>HYPERLINK("https://www.philgeps.gov.ph/GEPSNONPILOT/Tender/SplashBidNoticeAbstractUI.aspx?menuIndex=3&amp;refID=7020357&amp;Result=3","7020357")</f>
        <v>0</v>
      </c>
      <c r="B11828" t="s">
        <v>2927</v>
      </c>
      <c r="C11828" t="s">
        <v>14402</v>
      </c>
      <c r="D11828" t="s">
        <v>16239</v>
      </c>
      <c r="E11828" t="s">
        <v>26548</v>
      </c>
      <c r="F11828" t="s">
        <v>28198</v>
      </c>
      <c r="G11828" t="s">
        <v>28205</v>
      </c>
      <c r="H11828" t="s">
        <v>28214</v>
      </c>
      <c r="I11828" t="s">
        <v>3797</v>
      </c>
      <c r="J11828" t="s">
        <v>35611</v>
      </c>
      <c r="K11828" t="s">
        <v>36709</v>
      </c>
      <c r="M11828" t="s">
        <v>40203</v>
      </c>
      <c r="N11828" t="s">
        <v>40436</v>
      </c>
      <c r="O11828" t="s">
        <v>40437</v>
      </c>
      <c r="P11828">
        <v>0</v>
      </c>
      <c r="Q11828">
        <v>0</v>
      </c>
      <c r="R11828" t="s">
        <v>40453</v>
      </c>
      <c r="S11828" t="s">
        <v>41237</v>
      </c>
      <c r="T11828" t="s">
        <v>42188</v>
      </c>
      <c r="U11828" t="s">
        <v>52365</v>
      </c>
      <c r="W11828" t="s">
        <v>40203</v>
      </c>
      <c r="X11828" t="s">
        <v>40454</v>
      </c>
    </row>
    <row r="11829" spans="1:24">
      <c r="A11829">
        <f>HYPERLINK("https://www.philgeps.gov.ph/GEPSNONPILOT/Tender/SplashBidNoticeAbstractUI.aspx?menuIndex=3&amp;refID=7020355&amp;Result=3","7020355")</f>
        <v>0</v>
      </c>
      <c r="B11829" t="s">
        <v>2931</v>
      </c>
      <c r="C11829" t="s">
        <v>14403</v>
      </c>
      <c r="D11829" t="s">
        <v>16219</v>
      </c>
      <c r="E11829" t="s">
        <v>14403</v>
      </c>
      <c r="F11829" t="s">
        <v>28198</v>
      </c>
      <c r="G11829" t="s">
        <v>28205</v>
      </c>
      <c r="H11829" t="s">
        <v>28215</v>
      </c>
      <c r="I11829" t="s">
        <v>28245</v>
      </c>
      <c r="J11829" t="s">
        <v>35612</v>
      </c>
      <c r="K11829" t="s">
        <v>36697</v>
      </c>
      <c r="M11829" t="s">
        <v>40209</v>
      </c>
      <c r="N11829" t="s">
        <v>40436</v>
      </c>
      <c r="O11829" t="s">
        <v>40437</v>
      </c>
      <c r="P11829">
        <v>0</v>
      </c>
      <c r="Q11829">
        <v>11</v>
      </c>
      <c r="R11829" t="s">
        <v>40453</v>
      </c>
      <c r="S11829" t="s">
        <v>41237</v>
      </c>
      <c r="T11829" t="s">
        <v>42319</v>
      </c>
      <c r="U11829" t="s">
        <v>52366</v>
      </c>
      <c r="W11829" t="s">
        <v>40209</v>
      </c>
      <c r="X11829" t="s">
        <v>40454</v>
      </c>
    </row>
    <row r="11830" spans="1:24">
      <c r="A11830">
        <f>HYPERLINK("https://www.philgeps.gov.ph/GEPSNONPILOT/Tender/SplashBidNoticeAbstractUI.aspx?menuIndex=3&amp;refID=7020376&amp;Result=3","7020376")</f>
        <v>0</v>
      </c>
      <c r="B11830" t="s">
        <v>2927</v>
      </c>
      <c r="C11830" t="s">
        <v>14404</v>
      </c>
      <c r="D11830" t="s">
        <v>16239</v>
      </c>
      <c r="E11830" t="s">
        <v>26549</v>
      </c>
      <c r="F11830" t="s">
        <v>28198</v>
      </c>
      <c r="G11830" t="s">
        <v>28205</v>
      </c>
      <c r="H11830" t="s">
        <v>28214</v>
      </c>
      <c r="I11830" t="s">
        <v>3797</v>
      </c>
      <c r="J11830" t="s">
        <v>28899</v>
      </c>
      <c r="K11830" t="s">
        <v>36697</v>
      </c>
      <c r="M11830" t="s">
        <v>40203</v>
      </c>
      <c r="N11830" t="s">
        <v>40436</v>
      </c>
      <c r="O11830" t="s">
        <v>40437</v>
      </c>
      <c r="P11830">
        <v>0</v>
      </c>
      <c r="Q11830">
        <v>0</v>
      </c>
      <c r="R11830" t="s">
        <v>40453</v>
      </c>
      <c r="S11830" t="s">
        <v>41237</v>
      </c>
      <c r="T11830" t="s">
        <v>42188</v>
      </c>
      <c r="U11830" t="s">
        <v>52367</v>
      </c>
      <c r="W11830" t="s">
        <v>40203</v>
      </c>
      <c r="X11830" t="s">
        <v>40454</v>
      </c>
    </row>
    <row r="11831" spans="1:24">
      <c r="A11831">
        <f>HYPERLINK("https://www.philgeps.gov.ph/GEPSNONPILOT/Tender/SplashBidNoticeAbstractUI.aspx?menuIndex=3&amp;refID=7020326&amp;Result=3","7020326")</f>
        <v>0</v>
      </c>
      <c r="B11831" t="s">
        <v>2927</v>
      </c>
      <c r="C11831" t="s">
        <v>14405</v>
      </c>
      <c r="D11831" t="s">
        <v>16239</v>
      </c>
      <c r="E11831" t="s">
        <v>26550</v>
      </c>
      <c r="F11831" t="s">
        <v>28198</v>
      </c>
      <c r="G11831" t="s">
        <v>28205</v>
      </c>
      <c r="H11831" t="s">
        <v>28214</v>
      </c>
      <c r="I11831" t="s">
        <v>3797</v>
      </c>
      <c r="J11831" t="s">
        <v>35613</v>
      </c>
      <c r="K11831" t="s">
        <v>36753</v>
      </c>
      <c r="M11831" t="s">
        <v>40203</v>
      </c>
      <c r="N11831" t="s">
        <v>40436</v>
      </c>
      <c r="O11831" t="s">
        <v>40437</v>
      </c>
      <c r="P11831">
        <v>0</v>
      </c>
      <c r="Q11831">
        <v>0</v>
      </c>
      <c r="R11831" t="s">
        <v>40453</v>
      </c>
      <c r="S11831" t="s">
        <v>41237</v>
      </c>
      <c r="T11831" t="s">
        <v>42188</v>
      </c>
      <c r="U11831" t="s">
        <v>52368</v>
      </c>
      <c r="W11831" t="s">
        <v>40203</v>
      </c>
      <c r="X11831" t="s">
        <v>40454</v>
      </c>
    </row>
    <row r="11832" spans="1:24">
      <c r="A11832">
        <f>HYPERLINK("https://www.philgeps.gov.ph/GEPSNONPILOT/Tender/SplashBidNoticeAbstractUI.aspx?menuIndex=3&amp;refID=7020341&amp;Result=3","7020341")</f>
        <v>0</v>
      </c>
      <c r="B11832" t="s">
        <v>2927</v>
      </c>
      <c r="C11832" t="s">
        <v>14406</v>
      </c>
      <c r="D11832" t="s">
        <v>16239</v>
      </c>
      <c r="E11832" t="s">
        <v>26551</v>
      </c>
      <c r="F11832" t="s">
        <v>28198</v>
      </c>
      <c r="G11832" t="s">
        <v>28205</v>
      </c>
      <c r="H11832" t="s">
        <v>28214</v>
      </c>
      <c r="I11832" t="s">
        <v>3797</v>
      </c>
      <c r="J11832" t="s">
        <v>35614</v>
      </c>
      <c r="K11832" t="s">
        <v>36701</v>
      </c>
      <c r="M11832" t="s">
        <v>40203</v>
      </c>
      <c r="N11832" t="s">
        <v>40436</v>
      </c>
      <c r="O11832" t="s">
        <v>40437</v>
      </c>
      <c r="P11832">
        <v>0</v>
      </c>
      <c r="Q11832">
        <v>0</v>
      </c>
      <c r="R11832" t="s">
        <v>40453</v>
      </c>
      <c r="S11832" t="s">
        <v>41237</v>
      </c>
      <c r="T11832" t="s">
        <v>42188</v>
      </c>
      <c r="U11832" t="s">
        <v>52369</v>
      </c>
      <c r="W11832" t="s">
        <v>40203</v>
      </c>
      <c r="X11832" t="s">
        <v>40454</v>
      </c>
    </row>
    <row r="11833" spans="1:24">
      <c r="A11833">
        <f>HYPERLINK("https://www.philgeps.gov.ph/GEPSNONPILOT/Tender/SplashBidNoticeAbstractUI.aspx?menuIndex=3&amp;refID=7020288&amp;Result=3","7020288")</f>
        <v>0</v>
      </c>
      <c r="B11833" t="s">
        <v>1481</v>
      </c>
      <c r="C11833" t="s">
        <v>14407</v>
      </c>
      <c r="D11833" t="s">
        <v>16210</v>
      </c>
      <c r="E11833" t="s">
        <v>26552</v>
      </c>
      <c r="F11833" t="s">
        <v>28198</v>
      </c>
      <c r="G11833" t="s">
        <v>28205</v>
      </c>
      <c r="H11833" t="s">
        <v>28214</v>
      </c>
      <c r="I11833" t="s">
        <v>3797</v>
      </c>
      <c r="J11833" t="s">
        <v>35615</v>
      </c>
      <c r="K11833" t="s">
        <v>36715</v>
      </c>
      <c r="M11833" t="s">
        <v>40210</v>
      </c>
      <c r="N11833" t="s">
        <v>40436</v>
      </c>
      <c r="O11833" t="s">
        <v>40437</v>
      </c>
      <c r="P11833">
        <v>0</v>
      </c>
      <c r="Q11833">
        <v>3</v>
      </c>
      <c r="R11833" t="s">
        <v>40453</v>
      </c>
      <c r="S11833" t="s">
        <v>41237</v>
      </c>
      <c r="T11833" t="s">
        <v>42129</v>
      </c>
      <c r="U11833" t="s">
        <v>52370</v>
      </c>
      <c r="W11833" t="s">
        <v>40210</v>
      </c>
      <c r="X11833" t="s">
        <v>40454</v>
      </c>
    </row>
    <row r="11834" spans="1:24">
      <c r="A11834">
        <f>HYPERLINK("https://www.philgeps.gov.ph/GEPSNONPILOT/Tender/SplashBidNoticeAbstractUI.aspx?menuIndex=3&amp;refID=7020294&amp;Result=3","7020294")</f>
        <v>0</v>
      </c>
      <c r="B11834" t="s">
        <v>2790</v>
      </c>
      <c r="C11834" t="s">
        <v>14408</v>
      </c>
      <c r="D11834" t="s">
        <v>16262</v>
      </c>
      <c r="E11834" t="s">
        <v>26553</v>
      </c>
      <c r="F11834" t="s">
        <v>28198</v>
      </c>
      <c r="G11834" t="s">
        <v>28205</v>
      </c>
      <c r="H11834" t="s">
        <v>28214</v>
      </c>
      <c r="I11834" t="s">
        <v>3797</v>
      </c>
      <c r="J11834" t="s">
        <v>35616</v>
      </c>
      <c r="K11834" t="s">
        <v>36717</v>
      </c>
      <c r="M11834" t="s">
        <v>40039</v>
      </c>
      <c r="N11834" t="s">
        <v>40436</v>
      </c>
      <c r="O11834" t="s">
        <v>40437</v>
      </c>
      <c r="P11834">
        <v>0</v>
      </c>
      <c r="Q11834">
        <v>0</v>
      </c>
      <c r="R11834" t="s">
        <v>40453</v>
      </c>
      <c r="S11834" t="s">
        <v>41237</v>
      </c>
      <c r="T11834" t="s">
        <v>42554</v>
      </c>
      <c r="U11834" t="s">
        <v>52371</v>
      </c>
      <c r="W11834" t="s">
        <v>40039</v>
      </c>
      <c r="X11834" t="s">
        <v>40454</v>
      </c>
    </row>
    <row r="11835" spans="1:24">
      <c r="A11835">
        <f>HYPERLINK("https://www.philgeps.gov.ph/GEPSNONPILOT/Tender/SplashBidNoticeAbstractUI.aspx?menuIndex=3&amp;refID=7020297&amp;Result=3","7020297")</f>
        <v>0</v>
      </c>
      <c r="B11835" t="s">
        <v>1284</v>
      </c>
      <c r="C11835" t="s">
        <v>14409</v>
      </c>
      <c r="D11835" t="s">
        <v>16199</v>
      </c>
      <c r="E11835" t="s">
        <v>26554</v>
      </c>
      <c r="F11835" t="s">
        <v>28198</v>
      </c>
      <c r="G11835" t="s">
        <v>28205</v>
      </c>
      <c r="H11835" t="s">
        <v>28215</v>
      </c>
      <c r="I11835" t="s">
        <v>28238</v>
      </c>
      <c r="J11835" t="s">
        <v>35617</v>
      </c>
      <c r="K11835" t="s">
        <v>36701</v>
      </c>
      <c r="M11835" t="s">
        <v>38337</v>
      </c>
      <c r="N11835" t="s">
        <v>40436</v>
      </c>
      <c r="O11835" t="s">
        <v>40437</v>
      </c>
      <c r="P11835">
        <v>0</v>
      </c>
      <c r="Q11835">
        <v>3</v>
      </c>
      <c r="R11835" t="s">
        <v>40453</v>
      </c>
      <c r="S11835" t="s">
        <v>41237</v>
      </c>
      <c r="T11835" t="s">
        <v>42199</v>
      </c>
      <c r="U11835" t="s">
        <v>52372</v>
      </c>
      <c r="W11835" t="s">
        <v>38337</v>
      </c>
      <c r="X11835" t="s">
        <v>40454</v>
      </c>
    </row>
    <row r="11836" spans="1:24">
      <c r="A11836">
        <f>HYPERLINK("https://www.philgeps.gov.ph/GEPSNONPILOT/Tender/SplashBidNoticeAbstractUI.aspx?menuIndex=3&amp;refID=7020282&amp;Result=3","7020282")</f>
        <v>0</v>
      </c>
      <c r="B11836" t="s">
        <v>1252</v>
      </c>
      <c r="C11836" t="s">
        <v>14410</v>
      </c>
      <c r="D11836" t="s">
        <v>16203</v>
      </c>
      <c r="E11836" t="s">
        <v>26555</v>
      </c>
      <c r="F11836" t="s">
        <v>28198</v>
      </c>
      <c r="G11836" t="s">
        <v>28205</v>
      </c>
      <c r="H11836" t="s">
        <v>28214</v>
      </c>
      <c r="I11836" t="s">
        <v>3797</v>
      </c>
      <c r="J11836" t="s">
        <v>28398</v>
      </c>
      <c r="K11836" t="s">
        <v>36707</v>
      </c>
      <c r="M11836" t="s">
        <v>38302</v>
      </c>
      <c r="N11836" t="s">
        <v>40436</v>
      </c>
      <c r="O11836" t="s">
        <v>40437</v>
      </c>
      <c r="P11836">
        <v>0</v>
      </c>
      <c r="Q11836">
        <v>6</v>
      </c>
      <c r="R11836" t="s">
        <v>40453</v>
      </c>
      <c r="S11836" t="s">
        <v>41237</v>
      </c>
      <c r="T11836" t="s">
        <v>42119</v>
      </c>
      <c r="U11836" t="s">
        <v>52373</v>
      </c>
      <c r="V11836" t="s">
        <v>55119</v>
      </c>
      <c r="W11836" t="s">
        <v>38302</v>
      </c>
      <c r="X11836" t="s">
        <v>40454</v>
      </c>
    </row>
    <row r="11837" spans="1:24">
      <c r="A11837">
        <f>HYPERLINK("https://www.philgeps.gov.ph/GEPSNONPILOT/Tender/SplashBidNoticeAbstractUI.aspx?menuIndex=3&amp;refID=7020279&amp;Result=3","7020279")</f>
        <v>0</v>
      </c>
      <c r="B11837" t="s">
        <v>320</v>
      </c>
      <c r="C11837" t="s">
        <v>14157</v>
      </c>
      <c r="D11837" t="s">
        <v>16199</v>
      </c>
      <c r="E11837" t="s">
        <v>16526</v>
      </c>
      <c r="F11837" t="s">
        <v>28198</v>
      </c>
      <c r="G11837" t="s">
        <v>28205</v>
      </c>
      <c r="H11837" t="s">
        <v>28214</v>
      </c>
      <c r="I11837" t="s">
        <v>3797</v>
      </c>
      <c r="J11837" t="s">
        <v>35471</v>
      </c>
      <c r="K11837" t="s">
        <v>36689</v>
      </c>
      <c r="M11837" t="s">
        <v>37298</v>
      </c>
      <c r="N11837" t="s">
        <v>40436</v>
      </c>
      <c r="O11837" t="s">
        <v>40437</v>
      </c>
      <c r="P11837">
        <v>0</v>
      </c>
      <c r="Q11837">
        <v>0</v>
      </c>
      <c r="R11837" t="s">
        <v>40453</v>
      </c>
      <c r="S11837" t="s">
        <v>41237</v>
      </c>
      <c r="T11837" t="s">
        <v>42103</v>
      </c>
      <c r="U11837" t="s">
        <v>52190</v>
      </c>
      <c r="W11837" t="s">
        <v>37298</v>
      </c>
      <c r="X11837" t="s">
        <v>40454</v>
      </c>
    </row>
    <row r="11838" spans="1:24">
      <c r="A11838">
        <f>HYPERLINK("https://www.philgeps.gov.ph/GEPSNONPILOT/Tender/SplashBidNoticeAbstractUI.aspx?menuIndex=3&amp;refID=7020275&amp;Result=3","7020275")</f>
        <v>0</v>
      </c>
      <c r="B11838" t="s">
        <v>1481</v>
      </c>
      <c r="C11838" t="s">
        <v>14411</v>
      </c>
      <c r="D11838" t="s">
        <v>16210</v>
      </c>
      <c r="E11838" t="s">
        <v>26556</v>
      </c>
      <c r="F11838" t="s">
        <v>28198</v>
      </c>
      <c r="G11838" t="s">
        <v>28205</v>
      </c>
      <c r="H11838" t="s">
        <v>28214</v>
      </c>
      <c r="I11838" t="s">
        <v>3797</v>
      </c>
      <c r="J11838" t="s">
        <v>35618</v>
      </c>
      <c r="K11838" t="s">
        <v>36715</v>
      </c>
      <c r="M11838" t="s">
        <v>40210</v>
      </c>
      <c r="N11838" t="s">
        <v>40436</v>
      </c>
      <c r="O11838" t="s">
        <v>40437</v>
      </c>
      <c r="P11838">
        <v>0</v>
      </c>
      <c r="Q11838">
        <v>4</v>
      </c>
      <c r="R11838" t="s">
        <v>40453</v>
      </c>
      <c r="S11838" t="s">
        <v>41237</v>
      </c>
      <c r="T11838" t="s">
        <v>42129</v>
      </c>
      <c r="U11838" t="s">
        <v>52374</v>
      </c>
      <c r="W11838" t="s">
        <v>40210</v>
      </c>
      <c r="X11838" t="s">
        <v>40454</v>
      </c>
    </row>
    <row r="11839" spans="1:24">
      <c r="A11839">
        <f>HYPERLINK("https://www.philgeps.gov.ph/GEPSNONPILOT/Tender/SplashBidNoticeAbstractUI.aspx?menuIndex=3&amp;refID=7020281&amp;Result=3","7020281")</f>
        <v>0</v>
      </c>
      <c r="B11839" t="s">
        <v>1731</v>
      </c>
      <c r="C11839" t="s">
        <v>14412</v>
      </c>
      <c r="D11839" t="s">
        <v>16193</v>
      </c>
      <c r="E11839" t="s">
        <v>26557</v>
      </c>
      <c r="F11839" t="s">
        <v>28198</v>
      </c>
      <c r="G11839" t="s">
        <v>28205</v>
      </c>
      <c r="H11839" t="s">
        <v>28215</v>
      </c>
      <c r="I11839" t="s">
        <v>28224</v>
      </c>
      <c r="J11839" t="s">
        <v>35619</v>
      </c>
      <c r="K11839" t="s">
        <v>36701</v>
      </c>
      <c r="M11839" t="s">
        <v>38842</v>
      </c>
      <c r="N11839" t="s">
        <v>40436</v>
      </c>
      <c r="O11839" t="s">
        <v>40437</v>
      </c>
      <c r="P11839">
        <v>0</v>
      </c>
      <c r="Q11839">
        <v>4</v>
      </c>
      <c r="R11839" t="s">
        <v>40453</v>
      </c>
      <c r="S11839" t="s">
        <v>41237</v>
      </c>
      <c r="T11839" t="s">
        <v>42119</v>
      </c>
      <c r="U11839" t="s">
        <v>52375</v>
      </c>
      <c r="V11839" t="s">
        <v>54518</v>
      </c>
      <c r="W11839" t="s">
        <v>38842</v>
      </c>
      <c r="X11839" t="s">
        <v>40454</v>
      </c>
    </row>
    <row r="11840" spans="1:24">
      <c r="A11840">
        <f>HYPERLINK("https://www.philgeps.gov.ph/GEPSNONPILOT/Tender/SplashBidNoticeAbstractUI.aspx?menuIndex=3&amp;refID=7020384&amp;Result=3","7020384")</f>
        <v>0</v>
      </c>
      <c r="B11840" t="s">
        <v>2927</v>
      </c>
      <c r="C11840" t="s">
        <v>14413</v>
      </c>
      <c r="D11840" t="s">
        <v>16239</v>
      </c>
      <c r="E11840" t="s">
        <v>26558</v>
      </c>
      <c r="F11840" t="s">
        <v>28198</v>
      </c>
      <c r="G11840" t="s">
        <v>28205</v>
      </c>
      <c r="H11840" t="s">
        <v>28214</v>
      </c>
      <c r="I11840" t="s">
        <v>3797</v>
      </c>
      <c r="J11840" t="s">
        <v>28390</v>
      </c>
      <c r="K11840" t="s">
        <v>36692</v>
      </c>
      <c r="M11840" t="s">
        <v>40203</v>
      </c>
      <c r="N11840" t="s">
        <v>40436</v>
      </c>
      <c r="O11840" t="s">
        <v>40437</v>
      </c>
      <c r="P11840">
        <v>0</v>
      </c>
      <c r="Q11840">
        <v>1</v>
      </c>
      <c r="R11840" t="s">
        <v>40453</v>
      </c>
      <c r="S11840" t="s">
        <v>41237</v>
      </c>
      <c r="T11840" t="s">
        <v>42188</v>
      </c>
      <c r="U11840" t="s">
        <v>52376</v>
      </c>
      <c r="W11840" t="s">
        <v>40203</v>
      </c>
      <c r="X11840" t="s">
        <v>40454</v>
      </c>
    </row>
    <row r="11841" spans="1:24">
      <c r="A11841">
        <f>HYPERLINK("https://www.philgeps.gov.ph/GEPSNONPILOT/Tender/SplashBidNoticeAbstractUI.aspx?menuIndex=3&amp;refID=7020315&amp;Result=3","7020315")</f>
        <v>0</v>
      </c>
      <c r="B11841" t="s">
        <v>2932</v>
      </c>
      <c r="C11841" t="s">
        <v>14414</v>
      </c>
      <c r="D11841" t="s">
        <v>16210</v>
      </c>
      <c r="E11841" t="s">
        <v>26559</v>
      </c>
      <c r="F11841" t="s">
        <v>28198</v>
      </c>
      <c r="G11841" t="s">
        <v>28205</v>
      </c>
      <c r="H11841" t="s">
        <v>28215</v>
      </c>
      <c r="I11841" t="s">
        <v>5791</v>
      </c>
      <c r="J11841" t="s">
        <v>35620</v>
      </c>
      <c r="K11841" t="s">
        <v>36689</v>
      </c>
      <c r="M11841" t="s">
        <v>40211</v>
      </c>
      <c r="N11841" t="s">
        <v>40436</v>
      </c>
      <c r="O11841" t="s">
        <v>40437</v>
      </c>
      <c r="P11841">
        <v>0</v>
      </c>
      <c r="Q11841">
        <v>15</v>
      </c>
      <c r="R11841" t="s">
        <v>40453</v>
      </c>
      <c r="S11841" t="s">
        <v>41237</v>
      </c>
      <c r="T11841" t="s">
        <v>42103</v>
      </c>
      <c r="U11841" t="s">
        <v>52377</v>
      </c>
      <c r="W11841" t="s">
        <v>40211</v>
      </c>
      <c r="X11841" t="s">
        <v>40454</v>
      </c>
    </row>
    <row r="11842" spans="1:24">
      <c r="A11842">
        <f>HYPERLINK("https://www.philgeps.gov.ph/GEPSNONPILOT/Tender/SplashBidNoticeAbstractUI.aspx?menuIndex=3&amp;refID=7020433&amp;Result=3","7020433")</f>
        <v>0</v>
      </c>
      <c r="B11842" t="s">
        <v>1214</v>
      </c>
      <c r="C11842" t="s">
        <v>14415</v>
      </c>
      <c r="D11842" t="s">
        <v>16187</v>
      </c>
      <c r="E11842" t="s">
        <v>26560</v>
      </c>
      <c r="F11842" t="s">
        <v>28198</v>
      </c>
      <c r="G11842" t="s">
        <v>28205</v>
      </c>
      <c r="H11842" t="s">
        <v>28215</v>
      </c>
      <c r="I11842" t="s">
        <v>3797</v>
      </c>
      <c r="J11842" t="s">
        <v>35621</v>
      </c>
      <c r="K11842" t="s">
        <v>36689</v>
      </c>
      <c r="M11842" t="s">
        <v>39191</v>
      </c>
      <c r="N11842" t="s">
        <v>40436</v>
      </c>
      <c r="O11842" t="s">
        <v>40437</v>
      </c>
      <c r="P11842">
        <v>0</v>
      </c>
      <c r="Q11842">
        <v>1</v>
      </c>
      <c r="R11842" t="s">
        <v>40453</v>
      </c>
      <c r="S11842" t="s">
        <v>41237</v>
      </c>
      <c r="T11842" t="s">
        <v>42105</v>
      </c>
      <c r="U11842" t="s">
        <v>48232</v>
      </c>
      <c r="W11842" t="s">
        <v>39191</v>
      </c>
      <c r="X11842" t="s">
        <v>40454</v>
      </c>
    </row>
    <row r="11843" spans="1:24">
      <c r="A11843">
        <f>HYPERLINK("https://www.philgeps.gov.ph/GEPSNONPILOT/Tender/SplashBidNoticeAbstractUI.aspx?menuIndex=3&amp;refID=7020385&amp;Result=3","7020385")</f>
        <v>0</v>
      </c>
      <c r="B11843" t="s">
        <v>2928</v>
      </c>
      <c r="C11843" t="s">
        <v>14416</v>
      </c>
      <c r="D11843" t="s">
        <v>16272</v>
      </c>
      <c r="E11843" t="s">
        <v>26561</v>
      </c>
      <c r="F11843" t="s">
        <v>28198</v>
      </c>
      <c r="G11843" t="s">
        <v>28205</v>
      </c>
      <c r="H11843" t="s">
        <v>28215</v>
      </c>
      <c r="I11843" t="s">
        <v>28324</v>
      </c>
      <c r="J11843" t="s">
        <v>28395</v>
      </c>
      <c r="K11843" t="s">
        <v>36701</v>
      </c>
      <c r="M11843" t="s">
        <v>40205</v>
      </c>
      <c r="N11843" t="s">
        <v>40436</v>
      </c>
      <c r="O11843" t="s">
        <v>40437</v>
      </c>
      <c r="P11843">
        <v>0</v>
      </c>
      <c r="Q11843">
        <v>1</v>
      </c>
      <c r="R11843" t="s">
        <v>40453</v>
      </c>
      <c r="S11843" t="s">
        <v>41237</v>
      </c>
      <c r="T11843" t="s">
        <v>42134</v>
      </c>
      <c r="U11843" t="s">
        <v>52352</v>
      </c>
      <c r="V11843" t="s">
        <v>55133</v>
      </c>
      <c r="W11843" t="s">
        <v>40205</v>
      </c>
      <c r="X11843" t="s">
        <v>40454</v>
      </c>
    </row>
    <row r="11844" spans="1:24">
      <c r="A11844">
        <f>HYPERLINK("https://www.philgeps.gov.ph/GEPSNONPILOT/Tender/SplashBidNoticeAbstractUI.aspx?menuIndex=3&amp;refID=7020303&amp;Result=3","7020303")</f>
        <v>0</v>
      </c>
      <c r="B11844" t="s">
        <v>2527</v>
      </c>
      <c r="C11844" t="s">
        <v>14417</v>
      </c>
      <c r="D11844" t="s">
        <v>16198</v>
      </c>
      <c r="E11844" t="s">
        <v>21958</v>
      </c>
      <c r="F11844" t="s">
        <v>28198</v>
      </c>
      <c r="G11844" t="s">
        <v>28208</v>
      </c>
      <c r="H11844" t="s">
        <v>28215</v>
      </c>
      <c r="I11844" t="s">
        <v>28222</v>
      </c>
      <c r="J11844" t="s">
        <v>28921</v>
      </c>
      <c r="K11844" t="s">
        <v>36688</v>
      </c>
      <c r="M11844" t="s">
        <v>39730</v>
      </c>
      <c r="N11844" t="s">
        <v>40436</v>
      </c>
      <c r="O11844" t="s">
        <v>40437</v>
      </c>
      <c r="P11844">
        <v>0</v>
      </c>
      <c r="Q11844">
        <v>6</v>
      </c>
      <c r="R11844" t="s">
        <v>40453</v>
      </c>
      <c r="S11844" t="s">
        <v>41237</v>
      </c>
      <c r="T11844" t="s">
        <v>42167</v>
      </c>
      <c r="U11844" t="s">
        <v>52378</v>
      </c>
      <c r="W11844" t="s">
        <v>39730</v>
      </c>
      <c r="X11844" t="s">
        <v>40454</v>
      </c>
    </row>
    <row r="11845" spans="1:24">
      <c r="A11845">
        <f>HYPERLINK("https://www.philgeps.gov.ph/GEPSNONPILOT/Tender/SplashBidNoticeAbstractUI.aspx?menuIndex=3&amp;refID=7020470&amp;Result=3","7020470")</f>
        <v>0</v>
      </c>
      <c r="B11845" t="s">
        <v>2927</v>
      </c>
      <c r="C11845" t="s">
        <v>14418</v>
      </c>
      <c r="D11845" t="s">
        <v>16239</v>
      </c>
      <c r="E11845" t="s">
        <v>26562</v>
      </c>
      <c r="F11845" t="s">
        <v>28198</v>
      </c>
      <c r="G11845" t="s">
        <v>28205</v>
      </c>
      <c r="H11845" t="s">
        <v>28214</v>
      </c>
      <c r="I11845" t="s">
        <v>3797</v>
      </c>
      <c r="J11845" t="s">
        <v>35622</v>
      </c>
      <c r="K11845" t="s">
        <v>36701</v>
      </c>
      <c r="M11845" t="s">
        <v>40203</v>
      </c>
      <c r="N11845" t="s">
        <v>40436</v>
      </c>
      <c r="O11845" t="s">
        <v>40437</v>
      </c>
      <c r="P11845">
        <v>0</v>
      </c>
      <c r="Q11845">
        <v>0</v>
      </c>
      <c r="R11845" t="s">
        <v>40453</v>
      </c>
      <c r="S11845" t="s">
        <v>41237</v>
      </c>
      <c r="T11845" t="s">
        <v>42188</v>
      </c>
      <c r="U11845" t="s">
        <v>52379</v>
      </c>
      <c r="W11845" t="s">
        <v>40203</v>
      </c>
      <c r="X11845" t="s">
        <v>40454</v>
      </c>
    </row>
    <row r="11846" spans="1:24">
      <c r="A11846">
        <f>HYPERLINK("https://www.philgeps.gov.ph/GEPSNONPILOT/Tender/SplashBidNoticeAbstractUI.aspx?menuIndex=3&amp;refID=7020317&amp;Result=3","7020317")</f>
        <v>0</v>
      </c>
      <c r="B11846" t="s">
        <v>2928</v>
      </c>
      <c r="C11846" t="s">
        <v>14419</v>
      </c>
      <c r="D11846" t="s">
        <v>16209</v>
      </c>
      <c r="E11846" t="s">
        <v>26563</v>
      </c>
      <c r="F11846" t="s">
        <v>28198</v>
      </c>
      <c r="G11846" t="s">
        <v>28205</v>
      </c>
      <c r="H11846" t="s">
        <v>28215</v>
      </c>
      <c r="I11846" t="s">
        <v>28321</v>
      </c>
      <c r="J11846" t="s">
        <v>28398</v>
      </c>
      <c r="K11846" t="s">
        <v>36694</v>
      </c>
      <c r="M11846" t="s">
        <v>40205</v>
      </c>
      <c r="N11846" t="s">
        <v>40436</v>
      </c>
      <c r="O11846" t="s">
        <v>40437</v>
      </c>
      <c r="P11846">
        <v>0</v>
      </c>
      <c r="Q11846">
        <v>7</v>
      </c>
      <c r="R11846" t="s">
        <v>40453</v>
      </c>
      <c r="S11846" t="s">
        <v>41237</v>
      </c>
      <c r="T11846" t="s">
        <v>42134</v>
      </c>
      <c r="U11846" t="s">
        <v>52352</v>
      </c>
      <c r="V11846" t="s">
        <v>55131</v>
      </c>
      <c r="W11846" t="s">
        <v>40205</v>
      </c>
      <c r="X11846" t="s">
        <v>40454</v>
      </c>
    </row>
    <row r="11847" spans="1:24">
      <c r="A11847">
        <f>HYPERLINK("https://www.philgeps.gov.ph/GEPSNONPILOT/Tender/SplashBidNoticeAbstractUI.aspx?menuIndex=3&amp;refID=7020452&amp;Result=3","7020452")</f>
        <v>0</v>
      </c>
      <c r="B11847" t="s">
        <v>2927</v>
      </c>
      <c r="C11847" t="s">
        <v>14420</v>
      </c>
      <c r="D11847" t="s">
        <v>16239</v>
      </c>
      <c r="E11847" t="s">
        <v>26564</v>
      </c>
      <c r="F11847" t="s">
        <v>28198</v>
      </c>
      <c r="G11847" t="s">
        <v>28205</v>
      </c>
      <c r="H11847" t="s">
        <v>28214</v>
      </c>
      <c r="I11847" t="s">
        <v>3797</v>
      </c>
      <c r="J11847" t="s">
        <v>35623</v>
      </c>
      <c r="K11847" t="s">
        <v>36701</v>
      </c>
      <c r="M11847" t="s">
        <v>40203</v>
      </c>
      <c r="N11847" t="s">
        <v>40436</v>
      </c>
      <c r="O11847" t="s">
        <v>40437</v>
      </c>
      <c r="P11847">
        <v>0</v>
      </c>
      <c r="Q11847">
        <v>0</v>
      </c>
      <c r="R11847" t="s">
        <v>40453</v>
      </c>
      <c r="S11847" t="s">
        <v>41237</v>
      </c>
      <c r="T11847" t="s">
        <v>42188</v>
      </c>
      <c r="U11847" t="s">
        <v>52380</v>
      </c>
      <c r="W11847" t="s">
        <v>40203</v>
      </c>
      <c r="X11847" t="s">
        <v>40454</v>
      </c>
    </row>
    <row r="11848" spans="1:24">
      <c r="A11848">
        <f>HYPERLINK("https://www.philgeps.gov.ph/GEPSNONPILOT/Tender/SplashBidNoticeAbstractUI.aspx?menuIndex=3&amp;refID=7020440&amp;Result=3","7020440")</f>
        <v>0</v>
      </c>
      <c r="B11848" t="s">
        <v>2927</v>
      </c>
      <c r="C11848" t="s">
        <v>14421</v>
      </c>
      <c r="D11848" t="s">
        <v>16239</v>
      </c>
      <c r="E11848" t="s">
        <v>26565</v>
      </c>
      <c r="F11848" t="s">
        <v>28198</v>
      </c>
      <c r="G11848" t="s">
        <v>28205</v>
      </c>
      <c r="H11848" t="s">
        <v>28214</v>
      </c>
      <c r="I11848" t="s">
        <v>3797</v>
      </c>
      <c r="J11848" t="s">
        <v>35624</v>
      </c>
      <c r="K11848" t="s">
        <v>36701</v>
      </c>
      <c r="M11848" t="s">
        <v>40203</v>
      </c>
      <c r="N11848" t="s">
        <v>40436</v>
      </c>
      <c r="O11848" t="s">
        <v>40437</v>
      </c>
      <c r="P11848">
        <v>0</v>
      </c>
      <c r="Q11848">
        <v>0</v>
      </c>
      <c r="R11848" t="s">
        <v>40453</v>
      </c>
      <c r="S11848" t="s">
        <v>41237</v>
      </c>
      <c r="T11848" t="s">
        <v>42188</v>
      </c>
      <c r="U11848" t="s">
        <v>52381</v>
      </c>
      <c r="W11848" t="s">
        <v>40203</v>
      </c>
      <c r="X11848" t="s">
        <v>40454</v>
      </c>
    </row>
    <row r="11849" spans="1:24">
      <c r="A11849">
        <f>HYPERLINK("https://www.philgeps.gov.ph/GEPSNONPILOT/Tender/SplashBidNoticeAbstractUI.aspx?menuIndex=3&amp;refID=7020483&amp;Result=3","7020483")</f>
        <v>0</v>
      </c>
      <c r="B11849" t="s">
        <v>573</v>
      </c>
      <c r="C11849" t="s">
        <v>14422</v>
      </c>
      <c r="D11849" t="s">
        <v>16222</v>
      </c>
      <c r="E11849" t="s">
        <v>26566</v>
      </c>
      <c r="F11849" t="s">
        <v>28198</v>
      </c>
      <c r="G11849" t="s">
        <v>28205</v>
      </c>
      <c r="H11849" t="s">
        <v>28214</v>
      </c>
      <c r="I11849" t="s">
        <v>3797</v>
      </c>
      <c r="J11849" t="s">
        <v>35625</v>
      </c>
      <c r="K11849" t="s">
        <v>36714</v>
      </c>
      <c r="M11849" t="s">
        <v>37561</v>
      </c>
      <c r="N11849" t="s">
        <v>40436</v>
      </c>
      <c r="O11849" t="s">
        <v>40437</v>
      </c>
      <c r="P11849">
        <v>0</v>
      </c>
      <c r="Q11849">
        <v>1</v>
      </c>
      <c r="R11849" t="s">
        <v>40453</v>
      </c>
      <c r="S11849" t="s">
        <v>41237</v>
      </c>
      <c r="T11849" t="s">
        <v>42525</v>
      </c>
      <c r="U11849" t="s">
        <v>52382</v>
      </c>
      <c r="W11849" t="s">
        <v>37561</v>
      </c>
      <c r="X11849" t="s">
        <v>40454</v>
      </c>
    </row>
    <row r="11850" spans="1:24">
      <c r="A11850">
        <f>HYPERLINK("https://www.philgeps.gov.ph/GEPSNONPILOT/Tender/SplashBidNoticeAbstractUI.aspx?menuIndex=3&amp;refID=7020425&amp;Result=3","7020425")</f>
        <v>0</v>
      </c>
      <c r="B11850" t="s">
        <v>1284</v>
      </c>
      <c r="C11850" t="s">
        <v>14423</v>
      </c>
      <c r="D11850" t="s">
        <v>16199</v>
      </c>
      <c r="E11850" t="s">
        <v>26554</v>
      </c>
      <c r="F11850" t="s">
        <v>28198</v>
      </c>
      <c r="G11850" t="s">
        <v>28205</v>
      </c>
      <c r="H11850" t="s">
        <v>28214</v>
      </c>
      <c r="I11850" t="s">
        <v>3797</v>
      </c>
      <c r="J11850" t="s">
        <v>35626</v>
      </c>
      <c r="K11850" t="s">
        <v>36832</v>
      </c>
      <c r="M11850" t="s">
        <v>38337</v>
      </c>
      <c r="N11850" t="s">
        <v>40436</v>
      </c>
      <c r="O11850" t="s">
        <v>40437</v>
      </c>
      <c r="P11850">
        <v>0</v>
      </c>
      <c r="Q11850">
        <v>1</v>
      </c>
      <c r="R11850" t="s">
        <v>40453</v>
      </c>
      <c r="S11850" t="s">
        <v>41237</v>
      </c>
      <c r="T11850" t="s">
        <v>42199</v>
      </c>
      <c r="U11850" t="s">
        <v>52383</v>
      </c>
      <c r="W11850" t="s">
        <v>38337</v>
      </c>
      <c r="X11850" t="s">
        <v>40454</v>
      </c>
    </row>
    <row r="11851" spans="1:24">
      <c r="A11851">
        <f>HYPERLINK("https://www.philgeps.gov.ph/GEPSNONPILOT/Tender/SplashBidNoticeAbstractUI.aspx?menuIndex=3&amp;refID=7020366&amp;Result=3","7020366")</f>
        <v>0</v>
      </c>
      <c r="B11851" t="s">
        <v>2927</v>
      </c>
      <c r="C11851" t="s">
        <v>14424</v>
      </c>
      <c r="D11851" t="s">
        <v>16239</v>
      </c>
      <c r="E11851" t="s">
        <v>26567</v>
      </c>
      <c r="F11851" t="s">
        <v>28198</v>
      </c>
      <c r="G11851" t="s">
        <v>28205</v>
      </c>
      <c r="H11851" t="s">
        <v>28214</v>
      </c>
      <c r="I11851" t="s">
        <v>3797</v>
      </c>
      <c r="J11851" t="s">
        <v>35627</v>
      </c>
      <c r="K11851" t="s">
        <v>36786</v>
      </c>
      <c r="M11851" t="s">
        <v>40203</v>
      </c>
      <c r="N11851" t="s">
        <v>40436</v>
      </c>
      <c r="O11851" t="s">
        <v>40437</v>
      </c>
      <c r="P11851">
        <v>0</v>
      </c>
      <c r="Q11851">
        <v>0</v>
      </c>
      <c r="R11851" t="s">
        <v>40453</v>
      </c>
      <c r="S11851" t="s">
        <v>41237</v>
      </c>
      <c r="T11851" t="s">
        <v>42188</v>
      </c>
      <c r="U11851" t="s">
        <v>52384</v>
      </c>
      <c r="W11851" t="s">
        <v>40203</v>
      </c>
      <c r="X11851" t="s">
        <v>40454</v>
      </c>
    </row>
    <row r="11852" spans="1:24">
      <c r="A11852">
        <f>HYPERLINK("https://www.philgeps.gov.ph/GEPSNONPILOT/Tender/SplashBidNoticeAbstractUI.aspx?menuIndex=3&amp;refID=7020419&amp;Result=3","7020419")</f>
        <v>0</v>
      </c>
      <c r="B11852" t="s">
        <v>1895</v>
      </c>
      <c r="C11852" t="s">
        <v>14425</v>
      </c>
      <c r="D11852" t="s">
        <v>16193</v>
      </c>
      <c r="E11852" t="s">
        <v>18070</v>
      </c>
      <c r="F11852" t="s">
        <v>28198</v>
      </c>
      <c r="G11852" t="s">
        <v>28205</v>
      </c>
      <c r="H11852" t="s">
        <v>28214</v>
      </c>
      <c r="I11852" t="s">
        <v>3797</v>
      </c>
      <c r="J11852" t="s">
        <v>35628</v>
      </c>
      <c r="K11852" t="s">
        <v>36790</v>
      </c>
      <c r="M11852" t="s">
        <v>39027</v>
      </c>
      <c r="N11852" t="s">
        <v>40436</v>
      </c>
      <c r="O11852" t="s">
        <v>40437</v>
      </c>
      <c r="P11852">
        <v>0</v>
      </c>
      <c r="Q11852">
        <v>0</v>
      </c>
      <c r="R11852" t="s">
        <v>40453</v>
      </c>
      <c r="S11852" t="s">
        <v>41237</v>
      </c>
      <c r="T11852" t="s">
        <v>42129</v>
      </c>
      <c r="U11852" t="s">
        <v>52385</v>
      </c>
      <c r="W11852" t="s">
        <v>39027</v>
      </c>
      <c r="X11852" t="s">
        <v>40454</v>
      </c>
    </row>
    <row r="11853" spans="1:24">
      <c r="A11853">
        <f>HYPERLINK("https://www.philgeps.gov.ph/GEPSNONPILOT/Tender/SplashBidNoticeAbstractUI.aspx?menuIndex=3&amp;refID=7020455&amp;Result=3","7020455")</f>
        <v>0</v>
      </c>
      <c r="B11853" t="s">
        <v>1214</v>
      </c>
      <c r="C11853" t="s">
        <v>14426</v>
      </c>
      <c r="D11853" t="s">
        <v>16187</v>
      </c>
      <c r="E11853" t="s">
        <v>26568</v>
      </c>
      <c r="F11853" t="s">
        <v>28198</v>
      </c>
      <c r="G11853" t="s">
        <v>28205</v>
      </c>
      <c r="H11853" t="s">
        <v>28215</v>
      </c>
      <c r="I11853" t="s">
        <v>3797</v>
      </c>
      <c r="J11853" t="s">
        <v>35629</v>
      </c>
      <c r="K11853" t="s">
        <v>36736</v>
      </c>
      <c r="M11853" t="s">
        <v>39191</v>
      </c>
      <c r="N11853" t="s">
        <v>40436</v>
      </c>
      <c r="O11853" t="s">
        <v>40437</v>
      </c>
      <c r="P11853">
        <v>0</v>
      </c>
      <c r="Q11853">
        <v>1</v>
      </c>
      <c r="R11853" t="s">
        <v>40453</v>
      </c>
      <c r="S11853" t="s">
        <v>41237</v>
      </c>
      <c r="T11853" t="s">
        <v>42105</v>
      </c>
      <c r="U11853" t="s">
        <v>48232</v>
      </c>
      <c r="W11853" t="s">
        <v>39191</v>
      </c>
      <c r="X11853" t="s">
        <v>40454</v>
      </c>
    </row>
    <row r="11854" spans="1:24">
      <c r="A11854">
        <f>HYPERLINK("https://www.philgeps.gov.ph/GEPSNONPILOT/Tender/SplashBidNoticeAbstractUI.aspx?menuIndex=3&amp;refID=7020427&amp;Result=3","7020427")</f>
        <v>0</v>
      </c>
      <c r="B11854" t="s">
        <v>2927</v>
      </c>
      <c r="C11854" t="s">
        <v>14427</v>
      </c>
      <c r="D11854" t="s">
        <v>16239</v>
      </c>
      <c r="E11854" t="s">
        <v>26569</v>
      </c>
      <c r="F11854" t="s">
        <v>28198</v>
      </c>
      <c r="G11854" t="s">
        <v>28205</v>
      </c>
      <c r="H11854" t="s">
        <v>28214</v>
      </c>
      <c r="I11854" t="s">
        <v>3797</v>
      </c>
      <c r="J11854" t="s">
        <v>35630</v>
      </c>
      <c r="K11854" t="s">
        <v>36697</v>
      </c>
      <c r="M11854" t="s">
        <v>40203</v>
      </c>
      <c r="N11854" t="s">
        <v>40436</v>
      </c>
      <c r="O11854" t="s">
        <v>40437</v>
      </c>
      <c r="P11854">
        <v>0</v>
      </c>
      <c r="Q11854">
        <v>0</v>
      </c>
      <c r="R11854" t="s">
        <v>40453</v>
      </c>
      <c r="S11854" t="s">
        <v>41237</v>
      </c>
      <c r="T11854" t="s">
        <v>42188</v>
      </c>
      <c r="U11854" t="s">
        <v>52386</v>
      </c>
      <c r="W11854" t="s">
        <v>40203</v>
      </c>
      <c r="X11854" t="s">
        <v>40454</v>
      </c>
    </row>
    <row r="11855" spans="1:24">
      <c r="A11855">
        <f>HYPERLINK("https://www.philgeps.gov.ph/GEPSNONPILOT/Tender/SplashBidNoticeAbstractUI.aspx?menuIndex=3&amp;refID=7020414&amp;Result=3","7020414")</f>
        <v>0</v>
      </c>
      <c r="B11855" t="s">
        <v>2527</v>
      </c>
      <c r="C11855" t="s">
        <v>14428</v>
      </c>
      <c r="D11855" t="s">
        <v>16198</v>
      </c>
      <c r="E11855" t="s">
        <v>26570</v>
      </c>
      <c r="F11855" t="s">
        <v>28198</v>
      </c>
      <c r="G11855" t="s">
        <v>28208</v>
      </c>
      <c r="H11855" t="s">
        <v>28215</v>
      </c>
      <c r="I11855" t="s">
        <v>28222</v>
      </c>
      <c r="J11855" t="s">
        <v>29409</v>
      </c>
      <c r="K11855" t="s">
        <v>36688</v>
      </c>
      <c r="M11855" t="s">
        <v>39730</v>
      </c>
      <c r="N11855" t="s">
        <v>40436</v>
      </c>
      <c r="O11855" t="s">
        <v>40437</v>
      </c>
      <c r="Q11855">
        <v>5</v>
      </c>
      <c r="R11855" t="s">
        <v>40453</v>
      </c>
      <c r="S11855" t="s">
        <v>41275</v>
      </c>
      <c r="T11855" t="s">
        <v>42200</v>
      </c>
      <c r="U11855" t="s">
        <v>52387</v>
      </c>
      <c r="W11855" t="s">
        <v>39730</v>
      </c>
      <c r="X11855" t="s">
        <v>40454</v>
      </c>
    </row>
    <row r="11856" spans="1:24">
      <c r="A11856">
        <f>HYPERLINK("https://www.philgeps.gov.ph/GEPSNONPILOT/Tender/SplashBidNoticeAbstractUI.aspx?menuIndex=3&amp;refID=7020413&amp;Result=3","7020413")</f>
        <v>0</v>
      </c>
      <c r="B11856" t="s">
        <v>2927</v>
      </c>
      <c r="C11856" t="s">
        <v>14429</v>
      </c>
      <c r="D11856" t="s">
        <v>16193</v>
      </c>
      <c r="E11856" t="s">
        <v>26571</v>
      </c>
      <c r="F11856" t="s">
        <v>28198</v>
      </c>
      <c r="G11856" t="s">
        <v>28205</v>
      </c>
      <c r="H11856" t="s">
        <v>28214</v>
      </c>
      <c r="I11856" t="s">
        <v>3797</v>
      </c>
      <c r="J11856" t="s">
        <v>35631</v>
      </c>
      <c r="K11856" t="s">
        <v>36748</v>
      </c>
      <c r="M11856" t="s">
        <v>40203</v>
      </c>
      <c r="N11856" t="s">
        <v>40436</v>
      </c>
      <c r="O11856" t="s">
        <v>40437</v>
      </c>
      <c r="P11856">
        <v>0</v>
      </c>
      <c r="Q11856">
        <v>0</v>
      </c>
      <c r="R11856" t="s">
        <v>40453</v>
      </c>
      <c r="S11856" t="s">
        <v>41237</v>
      </c>
      <c r="T11856" t="s">
        <v>42188</v>
      </c>
      <c r="U11856" t="s">
        <v>52388</v>
      </c>
      <c r="W11856" t="s">
        <v>40203</v>
      </c>
      <c r="X11856" t="s">
        <v>40454</v>
      </c>
    </row>
    <row r="11857" spans="1:24">
      <c r="A11857">
        <f>HYPERLINK("https://www.philgeps.gov.ph/GEPSNONPILOT/Tender/SplashBidNoticeAbstractUI.aspx?menuIndex=3&amp;refID=7020374&amp;Result=3","7020374")</f>
        <v>0</v>
      </c>
      <c r="B11857" t="s">
        <v>1731</v>
      </c>
      <c r="C11857" t="s">
        <v>14430</v>
      </c>
      <c r="D11857" t="s">
        <v>16193</v>
      </c>
      <c r="E11857" t="s">
        <v>26572</v>
      </c>
      <c r="F11857" t="s">
        <v>28198</v>
      </c>
      <c r="G11857" t="s">
        <v>28205</v>
      </c>
      <c r="H11857" t="s">
        <v>28215</v>
      </c>
      <c r="I11857" t="s">
        <v>28263</v>
      </c>
      <c r="J11857" t="s">
        <v>35632</v>
      </c>
      <c r="K11857" t="s">
        <v>36697</v>
      </c>
      <c r="M11857" t="s">
        <v>38842</v>
      </c>
      <c r="N11857" t="s">
        <v>40436</v>
      </c>
      <c r="O11857" t="s">
        <v>40437</v>
      </c>
      <c r="P11857">
        <v>0</v>
      </c>
      <c r="Q11857">
        <v>3</v>
      </c>
      <c r="R11857" t="s">
        <v>40453</v>
      </c>
      <c r="S11857" t="s">
        <v>41237</v>
      </c>
      <c r="T11857" t="s">
        <v>42119</v>
      </c>
      <c r="U11857" t="s">
        <v>52389</v>
      </c>
      <c r="V11857" t="s">
        <v>54518</v>
      </c>
      <c r="W11857" t="s">
        <v>38842</v>
      </c>
      <c r="X11857" t="s">
        <v>40454</v>
      </c>
    </row>
    <row r="11858" spans="1:24">
      <c r="A11858">
        <f>HYPERLINK("https://www.philgeps.gov.ph/GEPSNONPILOT/Tender/SplashBidNoticeAbstractUI.aspx?menuIndex=3&amp;refID=7020453&amp;Result=3","7020453")</f>
        <v>0</v>
      </c>
      <c r="B11858" t="s">
        <v>1303</v>
      </c>
      <c r="C11858" t="s">
        <v>14431</v>
      </c>
      <c r="D11858" t="s">
        <v>16200</v>
      </c>
      <c r="E11858" t="s">
        <v>26573</v>
      </c>
      <c r="F11858" t="s">
        <v>28198</v>
      </c>
      <c r="G11858" t="s">
        <v>28205</v>
      </c>
      <c r="H11858" t="s">
        <v>28216</v>
      </c>
      <c r="I11858" t="s">
        <v>28216</v>
      </c>
      <c r="J11858" t="s">
        <v>35633</v>
      </c>
      <c r="K11858" t="s">
        <v>36694</v>
      </c>
      <c r="M11858" t="s">
        <v>38357</v>
      </c>
      <c r="N11858" t="s">
        <v>40436</v>
      </c>
      <c r="O11858" t="s">
        <v>40437</v>
      </c>
      <c r="Q11858">
        <v>3</v>
      </c>
      <c r="R11858" t="s">
        <v>40453</v>
      </c>
      <c r="S11858" t="s">
        <v>41276</v>
      </c>
      <c r="T11858" t="s">
        <v>42467</v>
      </c>
      <c r="U11858" t="s">
        <v>52390</v>
      </c>
      <c r="V11858" t="s">
        <v>55134</v>
      </c>
      <c r="W11858" t="s">
        <v>38357</v>
      </c>
      <c r="X11858" t="s">
        <v>40454</v>
      </c>
    </row>
    <row r="11859" spans="1:24">
      <c r="A11859">
        <f>HYPERLINK("https://www.philgeps.gov.ph/GEPSNONPILOT/Tender/SplashBidNoticeAbstractUI.aspx?menuIndex=3&amp;refID=7020438&amp;Result=3","7020438")</f>
        <v>0</v>
      </c>
      <c r="B11859" t="s">
        <v>1573</v>
      </c>
      <c r="C11859" t="s">
        <v>14432</v>
      </c>
      <c r="D11859" t="s">
        <v>16230</v>
      </c>
      <c r="E11859" t="s">
        <v>26574</v>
      </c>
      <c r="F11859" t="s">
        <v>28200</v>
      </c>
      <c r="G11859" t="s">
        <v>28207</v>
      </c>
      <c r="H11859" t="s">
        <v>28215</v>
      </c>
      <c r="I11859" t="s">
        <v>28237</v>
      </c>
      <c r="J11859" t="s">
        <v>35634</v>
      </c>
      <c r="K11859" t="s">
        <v>36707</v>
      </c>
      <c r="M11859" t="s">
        <v>38656</v>
      </c>
      <c r="N11859" t="s">
        <v>40436</v>
      </c>
      <c r="O11859" t="s">
        <v>40437</v>
      </c>
      <c r="Q11859">
        <v>0</v>
      </c>
      <c r="R11859" t="s">
        <v>40453</v>
      </c>
      <c r="S11859" t="s">
        <v>41277</v>
      </c>
      <c r="T11859" t="s">
        <v>42185</v>
      </c>
      <c r="U11859" t="s">
        <v>50638</v>
      </c>
      <c r="W11859" t="s">
        <v>38656</v>
      </c>
      <c r="X11859" t="s">
        <v>40454</v>
      </c>
    </row>
    <row r="11860" spans="1:24">
      <c r="A11860">
        <f>HYPERLINK("https://www.philgeps.gov.ph/GEPSNONPILOT/Tender/SplashBidNoticeAbstractUI.aspx?menuIndex=3&amp;refID=7020412&amp;Result=3","7020412")</f>
        <v>0</v>
      </c>
      <c r="B11860" t="s">
        <v>2933</v>
      </c>
      <c r="C11860" t="s">
        <v>14433</v>
      </c>
      <c r="D11860" t="s">
        <v>16243</v>
      </c>
      <c r="E11860" t="s">
        <v>26575</v>
      </c>
      <c r="F11860" t="s">
        <v>28198</v>
      </c>
      <c r="G11860" t="s">
        <v>28205</v>
      </c>
      <c r="H11860" t="s">
        <v>28215</v>
      </c>
      <c r="I11860" t="s">
        <v>28222</v>
      </c>
      <c r="J11860" t="s">
        <v>28699</v>
      </c>
      <c r="K11860" t="s">
        <v>36689</v>
      </c>
      <c r="M11860" t="s">
        <v>40212</v>
      </c>
      <c r="N11860" t="s">
        <v>40436</v>
      </c>
      <c r="O11860" t="s">
        <v>40437</v>
      </c>
      <c r="P11860">
        <v>0</v>
      </c>
      <c r="Q11860">
        <v>7</v>
      </c>
      <c r="R11860" t="s">
        <v>40453</v>
      </c>
      <c r="S11860" t="s">
        <v>41237</v>
      </c>
      <c r="T11860" t="s">
        <v>42175</v>
      </c>
      <c r="U11860" t="s">
        <v>52391</v>
      </c>
      <c r="W11860" t="s">
        <v>40212</v>
      </c>
      <c r="X11860" t="s">
        <v>40454</v>
      </c>
    </row>
    <row r="11861" spans="1:24">
      <c r="A11861">
        <f>HYPERLINK("https://www.philgeps.gov.ph/GEPSNONPILOT/Tender/SplashBidNoticeAbstractUI.aspx?menuIndex=3&amp;refID=7020411&amp;Result=3","7020411")</f>
        <v>0</v>
      </c>
      <c r="B11861" t="s">
        <v>2823</v>
      </c>
      <c r="C11861" t="s">
        <v>14434</v>
      </c>
      <c r="D11861" t="s">
        <v>16252</v>
      </c>
      <c r="E11861" t="s">
        <v>26576</v>
      </c>
      <c r="F11861" t="s">
        <v>28198</v>
      </c>
      <c r="G11861" t="s">
        <v>28205</v>
      </c>
      <c r="H11861" t="s">
        <v>28214</v>
      </c>
      <c r="I11861" t="s">
        <v>3797</v>
      </c>
      <c r="J11861" t="s">
        <v>28379</v>
      </c>
      <c r="K11861" t="s">
        <v>36688</v>
      </c>
      <c r="M11861" t="s">
        <v>40075</v>
      </c>
      <c r="N11861" t="s">
        <v>40436</v>
      </c>
      <c r="O11861" t="s">
        <v>40437</v>
      </c>
      <c r="P11861">
        <v>0</v>
      </c>
      <c r="Q11861">
        <v>2</v>
      </c>
      <c r="R11861" t="s">
        <v>40453</v>
      </c>
      <c r="S11861" t="s">
        <v>41237</v>
      </c>
      <c r="T11861" t="s">
        <v>42292</v>
      </c>
      <c r="U11861" t="s">
        <v>52392</v>
      </c>
      <c r="W11861" t="s">
        <v>40075</v>
      </c>
      <c r="X11861" t="s">
        <v>40454</v>
      </c>
    </row>
    <row r="11862" spans="1:24">
      <c r="A11862">
        <f>HYPERLINK("https://www.philgeps.gov.ph/GEPSNONPILOT/Tender/SplashBidNoticeAbstractUI.aspx?menuIndex=3&amp;refID=7020408&amp;Result=3","7020408")</f>
        <v>0</v>
      </c>
      <c r="B11862" t="s">
        <v>632</v>
      </c>
      <c r="C11862" t="s">
        <v>14435</v>
      </c>
      <c r="D11862" t="s">
        <v>16210</v>
      </c>
      <c r="E11862" t="s">
        <v>26577</v>
      </c>
      <c r="F11862" t="s">
        <v>28198</v>
      </c>
      <c r="G11862" t="s">
        <v>28207</v>
      </c>
      <c r="H11862" t="s">
        <v>28215</v>
      </c>
      <c r="I11862" t="s">
        <v>4222</v>
      </c>
      <c r="J11862" t="s">
        <v>35635</v>
      </c>
      <c r="K11862" t="s">
        <v>36701</v>
      </c>
      <c r="M11862" t="s">
        <v>37625</v>
      </c>
      <c r="N11862" t="s">
        <v>40436</v>
      </c>
      <c r="O11862" t="s">
        <v>40437</v>
      </c>
      <c r="Q11862">
        <v>6</v>
      </c>
      <c r="R11862" t="s">
        <v>40453</v>
      </c>
      <c r="S11862" t="s">
        <v>41278</v>
      </c>
      <c r="T11862" t="s">
        <v>42158</v>
      </c>
      <c r="U11862" t="s">
        <v>52393</v>
      </c>
      <c r="V11862" t="s">
        <v>53939</v>
      </c>
      <c r="W11862" t="s">
        <v>37625</v>
      </c>
      <c r="X11862" t="s">
        <v>40454</v>
      </c>
    </row>
    <row r="11863" spans="1:24">
      <c r="A11863">
        <f>HYPERLINK("https://www.philgeps.gov.ph/GEPSNONPILOT/Tender/SplashBidNoticeAbstractUI.aspx?menuIndex=3&amp;refID=7020402&amp;Result=3","7020402")</f>
        <v>0</v>
      </c>
      <c r="B11863" t="s">
        <v>2927</v>
      </c>
      <c r="C11863" t="s">
        <v>14436</v>
      </c>
      <c r="D11863" t="s">
        <v>16239</v>
      </c>
      <c r="E11863" t="s">
        <v>26578</v>
      </c>
      <c r="F11863" t="s">
        <v>28198</v>
      </c>
      <c r="G11863" t="s">
        <v>28205</v>
      </c>
      <c r="H11863" t="s">
        <v>28214</v>
      </c>
      <c r="I11863" t="s">
        <v>3797</v>
      </c>
      <c r="J11863" t="s">
        <v>35636</v>
      </c>
      <c r="K11863" t="s">
        <v>36827</v>
      </c>
      <c r="M11863" t="s">
        <v>40203</v>
      </c>
      <c r="N11863" t="s">
        <v>40436</v>
      </c>
      <c r="O11863" t="s">
        <v>40437</v>
      </c>
      <c r="P11863">
        <v>0</v>
      </c>
      <c r="Q11863">
        <v>0</v>
      </c>
      <c r="R11863" t="s">
        <v>40453</v>
      </c>
      <c r="S11863" t="s">
        <v>41237</v>
      </c>
      <c r="T11863" t="s">
        <v>42188</v>
      </c>
      <c r="U11863" t="s">
        <v>52394</v>
      </c>
      <c r="W11863" t="s">
        <v>40203</v>
      </c>
      <c r="X11863" t="s">
        <v>40454</v>
      </c>
    </row>
    <row r="11864" spans="1:24">
      <c r="A11864">
        <f>HYPERLINK("https://www.philgeps.gov.ph/GEPSNONPILOT/Tender/SplashBidNoticeAbstractUI.aspx?menuIndex=3&amp;refID=7020509&amp;Result=3","7020509")</f>
        <v>0</v>
      </c>
      <c r="B11864" t="s">
        <v>1046</v>
      </c>
      <c r="C11864" t="s">
        <v>14437</v>
      </c>
      <c r="E11864" t="s">
        <v>26579</v>
      </c>
      <c r="F11864" t="s">
        <v>28198</v>
      </c>
      <c r="G11864" t="s">
        <v>28205</v>
      </c>
      <c r="H11864" t="s">
        <v>28214</v>
      </c>
      <c r="I11864" t="s">
        <v>3797</v>
      </c>
      <c r="J11864" t="s">
        <v>35637</v>
      </c>
      <c r="K11864" t="s">
        <v>36689</v>
      </c>
      <c r="M11864" t="s">
        <v>38079</v>
      </c>
      <c r="N11864" t="s">
        <v>40436</v>
      </c>
      <c r="O11864" t="s">
        <v>40437</v>
      </c>
      <c r="Q11864">
        <v>5</v>
      </c>
      <c r="R11864" t="s">
        <v>40453</v>
      </c>
      <c r="S11864" t="s">
        <v>41279</v>
      </c>
      <c r="T11864" t="s">
        <v>42134</v>
      </c>
      <c r="U11864" t="s">
        <v>52395</v>
      </c>
      <c r="W11864" t="s">
        <v>38079</v>
      </c>
      <c r="X11864" t="s">
        <v>40454</v>
      </c>
    </row>
    <row r="11865" spans="1:24">
      <c r="A11865">
        <f>HYPERLINK("https://www.philgeps.gov.ph/GEPSNONPILOT/Tender/SplashBidNoticeAbstractUI.aspx?menuIndex=3&amp;refID=7020532&amp;Result=3","7020532")</f>
        <v>0</v>
      </c>
      <c r="B11865" t="s">
        <v>2910</v>
      </c>
      <c r="C11865" t="s">
        <v>14438</v>
      </c>
      <c r="D11865" t="s">
        <v>16206</v>
      </c>
      <c r="E11865" t="s">
        <v>26580</v>
      </c>
      <c r="F11865" t="s">
        <v>28198</v>
      </c>
      <c r="G11865" t="s">
        <v>28205</v>
      </c>
      <c r="H11865" t="s">
        <v>28214</v>
      </c>
      <c r="I11865" t="s">
        <v>3797</v>
      </c>
      <c r="J11865" t="s">
        <v>35638</v>
      </c>
      <c r="K11865" t="s">
        <v>36903</v>
      </c>
      <c r="M11865" t="s">
        <v>40182</v>
      </c>
      <c r="N11865" t="s">
        <v>40436</v>
      </c>
      <c r="O11865" t="s">
        <v>40437</v>
      </c>
      <c r="P11865">
        <v>0</v>
      </c>
      <c r="Q11865">
        <v>2</v>
      </c>
      <c r="R11865" t="s">
        <v>40453</v>
      </c>
      <c r="S11865" t="s">
        <v>41237</v>
      </c>
      <c r="T11865" t="s">
        <v>42129</v>
      </c>
      <c r="U11865" t="s">
        <v>52396</v>
      </c>
      <c r="W11865" t="s">
        <v>40182</v>
      </c>
      <c r="X11865" t="s">
        <v>40454</v>
      </c>
    </row>
    <row r="11866" spans="1:24">
      <c r="A11866">
        <f>HYPERLINK("https://www.philgeps.gov.ph/GEPSNONPILOT/Tender/SplashBidNoticeAbstractUI.aspx?menuIndex=3&amp;refID=7020485&amp;Result=3","7020485")</f>
        <v>0</v>
      </c>
      <c r="B11866" t="s">
        <v>2934</v>
      </c>
      <c r="C11866" t="s">
        <v>14439</v>
      </c>
      <c r="D11866" t="s">
        <v>16246</v>
      </c>
      <c r="E11866" t="s">
        <v>26581</v>
      </c>
      <c r="F11866" t="s">
        <v>28198</v>
      </c>
      <c r="G11866" t="s">
        <v>28205</v>
      </c>
      <c r="H11866" t="s">
        <v>28214</v>
      </c>
      <c r="I11866" t="s">
        <v>3797</v>
      </c>
      <c r="J11866" t="s">
        <v>28699</v>
      </c>
      <c r="K11866" t="s">
        <v>36697</v>
      </c>
      <c r="M11866" t="s">
        <v>40213</v>
      </c>
      <c r="N11866" t="s">
        <v>40436</v>
      </c>
      <c r="O11866" t="s">
        <v>40437</v>
      </c>
      <c r="P11866">
        <v>0</v>
      </c>
      <c r="Q11866">
        <v>2</v>
      </c>
      <c r="R11866" t="s">
        <v>40453</v>
      </c>
      <c r="S11866" t="s">
        <v>41237</v>
      </c>
      <c r="T11866" t="s">
        <v>42129</v>
      </c>
      <c r="U11866" t="s">
        <v>52397</v>
      </c>
      <c r="W11866" t="s">
        <v>40213</v>
      </c>
      <c r="X11866" t="s">
        <v>40454</v>
      </c>
    </row>
    <row r="11867" spans="1:24">
      <c r="A11867">
        <f>HYPERLINK("https://www.philgeps.gov.ph/GEPSNONPILOT/Tender/SplashBidNoticeAbstractUI.aspx?menuIndex=3&amp;refID=7020588&amp;Result=3","7020588")</f>
        <v>0</v>
      </c>
      <c r="B11867" t="s">
        <v>2823</v>
      </c>
      <c r="C11867" t="s">
        <v>14440</v>
      </c>
      <c r="D11867" t="s">
        <v>16252</v>
      </c>
      <c r="E11867" t="s">
        <v>26582</v>
      </c>
      <c r="F11867" t="s">
        <v>28198</v>
      </c>
      <c r="G11867" t="s">
        <v>28205</v>
      </c>
      <c r="H11867" t="s">
        <v>28214</v>
      </c>
      <c r="I11867" t="s">
        <v>3797</v>
      </c>
      <c r="J11867" t="s">
        <v>28379</v>
      </c>
      <c r="K11867" t="s">
        <v>36688</v>
      </c>
      <c r="M11867" t="s">
        <v>40075</v>
      </c>
      <c r="N11867" t="s">
        <v>40436</v>
      </c>
      <c r="O11867" t="s">
        <v>40437</v>
      </c>
      <c r="P11867">
        <v>0</v>
      </c>
      <c r="Q11867">
        <v>3</v>
      </c>
      <c r="R11867" t="s">
        <v>40453</v>
      </c>
      <c r="S11867" t="s">
        <v>41237</v>
      </c>
      <c r="T11867" t="s">
        <v>42292</v>
      </c>
      <c r="U11867" t="s">
        <v>52392</v>
      </c>
      <c r="W11867" t="s">
        <v>40075</v>
      </c>
      <c r="X11867" t="s">
        <v>40454</v>
      </c>
    </row>
    <row r="11868" spans="1:24">
      <c r="A11868">
        <f>HYPERLINK("https://www.philgeps.gov.ph/GEPSNONPILOT/Tender/SplashBidNoticeAbstractUI.aspx?menuIndex=3&amp;refID=7020515&amp;Result=3","7020515")</f>
        <v>0</v>
      </c>
      <c r="B11868" t="s">
        <v>1553</v>
      </c>
      <c r="C11868" t="s">
        <v>14441</v>
      </c>
      <c r="D11868" t="s">
        <v>16247</v>
      </c>
      <c r="E11868" t="s">
        <v>26583</v>
      </c>
      <c r="F11868" t="s">
        <v>28201</v>
      </c>
      <c r="G11868" t="s">
        <v>28205</v>
      </c>
      <c r="H11868" t="s">
        <v>28215</v>
      </c>
      <c r="I11868" t="s">
        <v>28222</v>
      </c>
      <c r="J11868" t="s">
        <v>28899</v>
      </c>
      <c r="K11868" t="s">
        <v>36697</v>
      </c>
      <c r="M11868" t="s">
        <v>38635</v>
      </c>
      <c r="N11868" t="s">
        <v>40436</v>
      </c>
      <c r="O11868" t="s">
        <v>40437</v>
      </c>
      <c r="P11868">
        <v>0</v>
      </c>
      <c r="Q11868">
        <v>9</v>
      </c>
      <c r="R11868" t="s">
        <v>40453</v>
      </c>
      <c r="S11868" t="s">
        <v>41237</v>
      </c>
      <c r="T11868" t="s">
        <v>42278</v>
      </c>
      <c r="U11868" t="s">
        <v>52398</v>
      </c>
      <c r="W11868" t="s">
        <v>38635</v>
      </c>
      <c r="X11868" t="s">
        <v>40454</v>
      </c>
    </row>
    <row r="11869" spans="1:24">
      <c r="A11869">
        <f>HYPERLINK("https://www.philgeps.gov.ph/GEPSNONPILOT/Tender/SplashBidNoticeAbstractUI.aspx?menuIndex=3&amp;refID=7020538&amp;Result=3","7020538")</f>
        <v>0</v>
      </c>
      <c r="B11869" t="s">
        <v>2927</v>
      </c>
      <c r="C11869" t="s">
        <v>14442</v>
      </c>
      <c r="D11869" t="s">
        <v>16239</v>
      </c>
      <c r="E11869" t="s">
        <v>26584</v>
      </c>
      <c r="F11869" t="s">
        <v>28198</v>
      </c>
      <c r="G11869" t="s">
        <v>28205</v>
      </c>
      <c r="H11869" t="s">
        <v>28214</v>
      </c>
      <c r="I11869" t="s">
        <v>3797</v>
      </c>
      <c r="J11869" t="s">
        <v>35639</v>
      </c>
      <c r="K11869" t="s">
        <v>36786</v>
      </c>
      <c r="M11869" t="s">
        <v>40203</v>
      </c>
      <c r="N11869" t="s">
        <v>40436</v>
      </c>
      <c r="O11869" t="s">
        <v>40437</v>
      </c>
      <c r="P11869">
        <v>0</v>
      </c>
      <c r="Q11869">
        <v>2</v>
      </c>
      <c r="R11869" t="s">
        <v>40453</v>
      </c>
      <c r="S11869" t="s">
        <v>41237</v>
      </c>
      <c r="T11869" t="s">
        <v>42188</v>
      </c>
      <c r="U11869" t="s">
        <v>52399</v>
      </c>
      <c r="W11869" t="s">
        <v>40203</v>
      </c>
      <c r="X11869" t="s">
        <v>40454</v>
      </c>
    </row>
    <row r="11870" spans="1:24">
      <c r="A11870">
        <f>HYPERLINK("https://www.philgeps.gov.ph/GEPSNONPILOT/Tender/SplashBidNoticeAbstractUI.aspx?menuIndex=3&amp;refID=7020578&amp;Result=3","7020578")</f>
        <v>0</v>
      </c>
      <c r="B11870" t="s">
        <v>759</v>
      </c>
      <c r="C11870" t="s">
        <v>14443</v>
      </c>
      <c r="D11870" t="s">
        <v>16196</v>
      </c>
      <c r="E11870" t="s">
        <v>26585</v>
      </c>
      <c r="F11870" t="s">
        <v>28198</v>
      </c>
      <c r="G11870" t="s">
        <v>28205</v>
      </c>
      <c r="H11870" t="s">
        <v>28215</v>
      </c>
      <c r="I11870" t="s">
        <v>28238</v>
      </c>
      <c r="J11870" t="s">
        <v>35640</v>
      </c>
      <c r="K11870" t="s">
        <v>36689</v>
      </c>
      <c r="M11870" t="s">
        <v>37762</v>
      </c>
      <c r="N11870" t="s">
        <v>40436</v>
      </c>
      <c r="O11870" t="s">
        <v>40437</v>
      </c>
      <c r="P11870">
        <v>0</v>
      </c>
      <c r="Q11870">
        <v>7</v>
      </c>
      <c r="R11870" t="s">
        <v>40453</v>
      </c>
      <c r="S11870" t="s">
        <v>41237</v>
      </c>
      <c r="T11870" t="s">
        <v>42129</v>
      </c>
      <c r="U11870" t="s">
        <v>52400</v>
      </c>
      <c r="W11870" t="s">
        <v>37762</v>
      </c>
      <c r="X11870" t="s">
        <v>40454</v>
      </c>
    </row>
    <row r="11871" spans="1:24">
      <c r="A11871">
        <f>HYPERLINK("https://www.philgeps.gov.ph/GEPSNONPILOT/Tender/SplashBidNoticeAbstractUI.aspx?menuIndex=3&amp;refID=7020572&amp;Result=3","7020572")</f>
        <v>0</v>
      </c>
      <c r="B11871" t="s">
        <v>673</v>
      </c>
      <c r="C11871" t="s">
        <v>14444</v>
      </c>
      <c r="D11871" t="s">
        <v>16222</v>
      </c>
      <c r="E11871" t="s">
        <v>16495</v>
      </c>
      <c r="F11871" t="s">
        <v>28198</v>
      </c>
      <c r="G11871" t="s">
        <v>28205</v>
      </c>
      <c r="H11871" t="s">
        <v>28214</v>
      </c>
      <c r="I11871" t="s">
        <v>3797</v>
      </c>
      <c r="J11871" t="s">
        <v>32037</v>
      </c>
      <c r="K11871" t="s">
        <v>36694</v>
      </c>
      <c r="M11871" t="s">
        <v>37669</v>
      </c>
      <c r="N11871" t="s">
        <v>40436</v>
      </c>
      <c r="O11871" t="s">
        <v>40437</v>
      </c>
      <c r="P11871">
        <v>0</v>
      </c>
      <c r="Q11871">
        <v>0</v>
      </c>
      <c r="R11871" t="s">
        <v>40453</v>
      </c>
      <c r="S11871" t="s">
        <v>41237</v>
      </c>
      <c r="T11871" t="s">
        <v>42134</v>
      </c>
      <c r="U11871" t="s">
        <v>52401</v>
      </c>
      <c r="W11871" t="s">
        <v>37669</v>
      </c>
      <c r="X11871" t="s">
        <v>40454</v>
      </c>
    </row>
    <row r="11872" spans="1:24">
      <c r="A11872">
        <f>HYPERLINK("https://www.philgeps.gov.ph/GEPSNONPILOT/Tender/SplashBidNoticeAbstractUI.aspx?menuIndex=3&amp;refID=7020573&amp;Result=3","7020573")</f>
        <v>0</v>
      </c>
      <c r="B11872" t="s">
        <v>2927</v>
      </c>
      <c r="C11872" t="s">
        <v>14445</v>
      </c>
      <c r="D11872" t="s">
        <v>16239</v>
      </c>
      <c r="E11872" t="s">
        <v>26586</v>
      </c>
      <c r="F11872" t="s">
        <v>28198</v>
      </c>
      <c r="G11872" t="s">
        <v>28205</v>
      </c>
      <c r="H11872" t="s">
        <v>28214</v>
      </c>
      <c r="I11872" t="s">
        <v>3797</v>
      </c>
      <c r="J11872" t="s">
        <v>35641</v>
      </c>
      <c r="K11872" t="s">
        <v>36708</v>
      </c>
      <c r="M11872" t="s">
        <v>40203</v>
      </c>
      <c r="N11872" t="s">
        <v>40436</v>
      </c>
      <c r="O11872" t="s">
        <v>40437</v>
      </c>
      <c r="P11872">
        <v>0</v>
      </c>
      <c r="Q11872">
        <v>0</v>
      </c>
      <c r="R11872" t="s">
        <v>40453</v>
      </c>
      <c r="S11872" t="s">
        <v>41237</v>
      </c>
      <c r="T11872" t="s">
        <v>42188</v>
      </c>
      <c r="U11872" t="s">
        <v>52402</v>
      </c>
      <c r="W11872" t="s">
        <v>40203</v>
      </c>
      <c r="X11872" t="s">
        <v>40454</v>
      </c>
    </row>
    <row r="11873" spans="1:24">
      <c r="A11873">
        <f>HYPERLINK("https://www.philgeps.gov.ph/GEPSNONPILOT/Tender/SplashBidNoticeAbstractUI.aspx?menuIndex=3&amp;refID=7020395&amp;Result=3","7020395")</f>
        <v>0</v>
      </c>
      <c r="B11873" t="s">
        <v>2927</v>
      </c>
      <c r="C11873" t="s">
        <v>14446</v>
      </c>
      <c r="D11873" t="s">
        <v>16239</v>
      </c>
      <c r="E11873" t="s">
        <v>26587</v>
      </c>
      <c r="F11873" t="s">
        <v>28198</v>
      </c>
      <c r="G11873" t="s">
        <v>28205</v>
      </c>
      <c r="H11873" t="s">
        <v>28214</v>
      </c>
      <c r="I11873" t="s">
        <v>3797</v>
      </c>
      <c r="J11873" t="s">
        <v>28363</v>
      </c>
      <c r="K11873" t="s">
        <v>36786</v>
      </c>
      <c r="M11873" t="s">
        <v>40203</v>
      </c>
      <c r="N11873" t="s">
        <v>40436</v>
      </c>
      <c r="O11873" t="s">
        <v>40437</v>
      </c>
      <c r="P11873">
        <v>0</v>
      </c>
      <c r="Q11873">
        <v>0</v>
      </c>
      <c r="R11873" t="s">
        <v>40453</v>
      </c>
      <c r="S11873" t="s">
        <v>41237</v>
      </c>
      <c r="T11873" t="s">
        <v>42188</v>
      </c>
      <c r="U11873" t="s">
        <v>50836</v>
      </c>
      <c r="W11873" t="s">
        <v>40203</v>
      </c>
      <c r="X11873" t="s">
        <v>40454</v>
      </c>
    </row>
    <row r="11874" spans="1:24">
      <c r="A11874">
        <f>HYPERLINK("https://www.philgeps.gov.ph/GEPSNONPILOT/Tender/SplashBidNoticeAbstractUI.aspx?menuIndex=3&amp;refID=7020564&amp;Result=3","7020564")</f>
        <v>0</v>
      </c>
      <c r="B11874" t="s">
        <v>2927</v>
      </c>
      <c r="C11874" t="s">
        <v>14447</v>
      </c>
      <c r="D11874" t="s">
        <v>16239</v>
      </c>
      <c r="E11874" t="s">
        <v>26588</v>
      </c>
      <c r="F11874" t="s">
        <v>28198</v>
      </c>
      <c r="G11874" t="s">
        <v>28205</v>
      </c>
      <c r="H11874" t="s">
        <v>28214</v>
      </c>
      <c r="I11874" t="s">
        <v>3797</v>
      </c>
      <c r="J11874" t="s">
        <v>35642</v>
      </c>
      <c r="K11874" t="s">
        <v>36707</v>
      </c>
      <c r="M11874" t="s">
        <v>40203</v>
      </c>
      <c r="N11874" t="s">
        <v>40436</v>
      </c>
      <c r="O11874" t="s">
        <v>40437</v>
      </c>
      <c r="P11874">
        <v>0</v>
      </c>
      <c r="Q11874">
        <v>0</v>
      </c>
      <c r="R11874" t="s">
        <v>40453</v>
      </c>
      <c r="S11874" t="s">
        <v>41237</v>
      </c>
      <c r="T11874" t="s">
        <v>42188</v>
      </c>
      <c r="U11874" t="s">
        <v>52402</v>
      </c>
      <c r="W11874" t="s">
        <v>40203</v>
      </c>
      <c r="X11874" t="s">
        <v>40454</v>
      </c>
    </row>
    <row r="11875" spans="1:24">
      <c r="A11875">
        <f>HYPERLINK("https://www.philgeps.gov.ph/GEPSNONPILOT/Tender/SplashBidNoticeAbstractUI.aspx?menuIndex=3&amp;refID=7020586&amp;Result=3","7020586")</f>
        <v>0</v>
      </c>
      <c r="B11875" t="s">
        <v>2927</v>
      </c>
      <c r="C11875" t="s">
        <v>14448</v>
      </c>
      <c r="D11875" t="s">
        <v>16239</v>
      </c>
      <c r="E11875" t="s">
        <v>26589</v>
      </c>
      <c r="F11875" t="s">
        <v>28198</v>
      </c>
      <c r="G11875" t="s">
        <v>28205</v>
      </c>
      <c r="H11875" t="s">
        <v>28214</v>
      </c>
      <c r="I11875" t="s">
        <v>3797</v>
      </c>
      <c r="J11875" t="s">
        <v>35643</v>
      </c>
      <c r="K11875" t="s">
        <v>36708</v>
      </c>
      <c r="M11875" t="s">
        <v>40203</v>
      </c>
      <c r="N11875" t="s">
        <v>40436</v>
      </c>
      <c r="O11875" t="s">
        <v>40437</v>
      </c>
      <c r="P11875">
        <v>0</v>
      </c>
      <c r="Q11875">
        <v>0</v>
      </c>
      <c r="R11875" t="s">
        <v>40453</v>
      </c>
      <c r="S11875" t="s">
        <v>41237</v>
      </c>
      <c r="T11875" t="s">
        <v>42188</v>
      </c>
      <c r="U11875" t="s">
        <v>52402</v>
      </c>
      <c r="W11875" t="s">
        <v>40203</v>
      </c>
      <c r="X11875" t="s">
        <v>40454</v>
      </c>
    </row>
    <row r="11876" spans="1:24">
      <c r="A11876">
        <f>HYPERLINK("https://www.philgeps.gov.ph/GEPSNONPILOT/Tender/SplashBidNoticeAbstractUI.aspx?menuIndex=3&amp;refID=7020521&amp;Result=3","7020521")</f>
        <v>0</v>
      </c>
      <c r="B11876" t="s">
        <v>1282</v>
      </c>
      <c r="C11876" t="s">
        <v>14449</v>
      </c>
      <c r="D11876" t="s">
        <v>16214</v>
      </c>
      <c r="E11876" t="s">
        <v>26590</v>
      </c>
      <c r="F11876" t="s">
        <v>28198</v>
      </c>
      <c r="G11876" t="s">
        <v>28205</v>
      </c>
      <c r="H11876" t="s">
        <v>28214</v>
      </c>
      <c r="I11876" t="s">
        <v>3797</v>
      </c>
      <c r="J11876" t="s">
        <v>34433</v>
      </c>
      <c r="K11876" t="s">
        <v>36958</v>
      </c>
      <c r="M11876" t="s">
        <v>39998</v>
      </c>
      <c r="N11876" t="s">
        <v>40436</v>
      </c>
      <c r="O11876" t="s">
        <v>40437</v>
      </c>
      <c r="P11876">
        <v>0</v>
      </c>
      <c r="Q11876">
        <v>11</v>
      </c>
      <c r="R11876" t="s">
        <v>40453</v>
      </c>
      <c r="S11876" t="s">
        <v>41237</v>
      </c>
      <c r="T11876" t="s">
        <v>42103</v>
      </c>
      <c r="U11876" t="s">
        <v>45679</v>
      </c>
      <c r="V11876" t="s">
        <v>55135</v>
      </c>
      <c r="W11876" t="s">
        <v>39998</v>
      </c>
      <c r="X11876" t="s">
        <v>40454</v>
      </c>
    </row>
    <row r="11877" spans="1:24">
      <c r="A11877">
        <f>HYPERLINK("https://www.philgeps.gov.ph/GEPSNONPILOT/Tender/SplashBidNoticeAbstractUI.aspx?menuIndex=3&amp;refID=7020550&amp;Result=3","7020550")</f>
        <v>0</v>
      </c>
      <c r="B11877" t="s">
        <v>2927</v>
      </c>
      <c r="C11877" t="s">
        <v>14450</v>
      </c>
      <c r="D11877" t="s">
        <v>16239</v>
      </c>
      <c r="E11877" t="s">
        <v>26591</v>
      </c>
      <c r="F11877" t="s">
        <v>28198</v>
      </c>
      <c r="G11877" t="s">
        <v>28205</v>
      </c>
      <c r="H11877" t="s">
        <v>28214</v>
      </c>
      <c r="I11877" t="s">
        <v>3797</v>
      </c>
      <c r="J11877" t="s">
        <v>30841</v>
      </c>
      <c r="K11877" t="s">
        <v>36719</v>
      </c>
      <c r="M11877" t="s">
        <v>40203</v>
      </c>
      <c r="N11877" t="s">
        <v>40436</v>
      </c>
      <c r="O11877" t="s">
        <v>40437</v>
      </c>
      <c r="P11877">
        <v>0</v>
      </c>
      <c r="Q11877">
        <v>0</v>
      </c>
      <c r="R11877" t="s">
        <v>40453</v>
      </c>
      <c r="S11877" t="s">
        <v>41237</v>
      </c>
      <c r="T11877" t="s">
        <v>42188</v>
      </c>
      <c r="U11877" t="s">
        <v>52402</v>
      </c>
      <c r="W11877" t="s">
        <v>40203</v>
      </c>
      <c r="X11877" t="s">
        <v>40454</v>
      </c>
    </row>
    <row r="11878" spans="1:24">
      <c r="A11878">
        <f>HYPERLINK("https://www.philgeps.gov.ph/GEPSNONPILOT/Tender/SplashBidNoticeAbstractUI.aspx?menuIndex=3&amp;refID=7020486&amp;Result=3","7020486")</f>
        <v>0</v>
      </c>
      <c r="B11878" t="s">
        <v>2927</v>
      </c>
      <c r="C11878" t="s">
        <v>14451</v>
      </c>
      <c r="D11878" t="s">
        <v>16239</v>
      </c>
      <c r="E11878" t="s">
        <v>26592</v>
      </c>
      <c r="F11878" t="s">
        <v>28198</v>
      </c>
      <c r="G11878" t="s">
        <v>28205</v>
      </c>
      <c r="H11878" t="s">
        <v>28214</v>
      </c>
      <c r="I11878" t="s">
        <v>3797</v>
      </c>
      <c r="J11878" t="s">
        <v>35644</v>
      </c>
      <c r="K11878" t="s">
        <v>36799</v>
      </c>
      <c r="M11878" t="s">
        <v>40203</v>
      </c>
      <c r="N11878" t="s">
        <v>40436</v>
      </c>
      <c r="O11878" t="s">
        <v>40437</v>
      </c>
      <c r="P11878">
        <v>0</v>
      </c>
      <c r="Q11878">
        <v>0</v>
      </c>
      <c r="R11878" t="s">
        <v>40453</v>
      </c>
      <c r="S11878" t="s">
        <v>41237</v>
      </c>
      <c r="T11878" t="s">
        <v>42188</v>
      </c>
      <c r="U11878" t="s">
        <v>52403</v>
      </c>
      <c r="W11878" t="s">
        <v>40203</v>
      </c>
      <c r="X11878" t="s">
        <v>40454</v>
      </c>
    </row>
    <row r="11879" spans="1:24">
      <c r="A11879">
        <f>HYPERLINK("https://www.philgeps.gov.ph/GEPSNONPILOT/Tender/SplashBidNoticeAbstractUI.aspx?menuIndex=3&amp;refID=7020497&amp;Result=3","7020497")</f>
        <v>0</v>
      </c>
      <c r="B11879" t="s">
        <v>2927</v>
      </c>
      <c r="C11879" t="s">
        <v>14452</v>
      </c>
      <c r="D11879" t="s">
        <v>16239</v>
      </c>
      <c r="E11879" t="s">
        <v>26593</v>
      </c>
      <c r="F11879" t="s">
        <v>28198</v>
      </c>
      <c r="G11879" t="s">
        <v>28205</v>
      </c>
      <c r="H11879" t="s">
        <v>28214</v>
      </c>
      <c r="I11879" t="s">
        <v>3797</v>
      </c>
      <c r="J11879" t="s">
        <v>35645</v>
      </c>
      <c r="K11879" t="s">
        <v>36724</v>
      </c>
      <c r="M11879" t="s">
        <v>40203</v>
      </c>
      <c r="N11879" t="s">
        <v>40436</v>
      </c>
      <c r="O11879" t="s">
        <v>40437</v>
      </c>
      <c r="P11879">
        <v>0</v>
      </c>
      <c r="Q11879">
        <v>0</v>
      </c>
      <c r="R11879" t="s">
        <v>40453</v>
      </c>
      <c r="S11879" t="s">
        <v>41237</v>
      </c>
      <c r="T11879" t="s">
        <v>42188</v>
      </c>
      <c r="U11879" t="s">
        <v>52404</v>
      </c>
      <c r="W11879" t="s">
        <v>40203</v>
      </c>
      <c r="X11879" t="s">
        <v>40454</v>
      </c>
    </row>
    <row r="11880" spans="1:24">
      <c r="A11880">
        <f>HYPERLINK("https://www.philgeps.gov.ph/GEPSNONPILOT/Tender/SplashBidNoticeAbstractUI.aspx?menuIndex=3&amp;refID=7020546&amp;Result=3","7020546")</f>
        <v>0</v>
      </c>
      <c r="B11880" t="s">
        <v>2935</v>
      </c>
      <c r="C11880" t="s">
        <v>14453</v>
      </c>
      <c r="D11880" t="s">
        <v>16193</v>
      </c>
      <c r="E11880" t="s">
        <v>26594</v>
      </c>
      <c r="F11880" t="s">
        <v>28198</v>
      </c>
      <c r="G11880" t="s">
        <v>28205</v>
      </c>
      <c r="H11880" t="s">
        <v>28215</v>
      </c>
      <c r="I11880" t="s">
        <v>4505</v>
      </c>
      <c r="J11880" t="s">
        <v>35646</v>
      </c>
      <c r="K11880" t="s">
        <v>36701</v>
      </c>
      <c r="M11880" t="s">
        <v>40214</v>
      </c>
      <c r="N11880" t="s">
        <v>40436</v>
      </c>
      <c r="O11880" t="s">
        <v>40437</v>
      </c>
      <c r="P11880">
        <v>0</v>
      </c>
      <c r="Q11880">
        <v>9</v>
      </c>
      <c r="R11880" t="s">
        <v>40453</v>
      </c>
      <c r="S11880" t="s">
        <v>41237</v>
      </c>
      <c r="T11880" t="s">
        <v>42160</v>
      </c>
      <c r="U11880" t="s">
        <v>52405</v>
      </c>
      <c r="W11880" t="s">
        <v>40214</v>
      </c>
      <c r="X11880" t="s">
        <v>40454</v>
      </c>
    </row>
    <row r="11881" spans="1:24">
      <c r="A11881">
        <f>HYPERLINK("https://www.philgeps.gov.ph/GEPSNONPILOT/Tender/SplashBidNoticeAbstractUI.aspx?menuIndex=3&amp;refID=7020600&amp;Result=3","7020600")</f>
        <v>0</v>
      </c>
      <c r="B11881" t="s">
        <v>2927</v>
      </c>
      <c r="C11881" t="s">
        <v>14454</v>
      </c>
      <c r="D11881" t="s">
        <v>16239</v>
      </c>
      <c r="E11881" t="s">
        <v>26595</v>
      </c>
      <c r="F11881" t="s">
        <v>28198</v>
      </c>
      <c r="G11881" t="s">
        <v>28205</v>
      </c>
      <c r="H11881" t="s">
        <v>28214</v>
      </c>
      <c r="I11881" t="s">
        <v>3797</v>
      </c>
      <c r="J11881" t="s">
        <v>35647</v>
      </c>
      <c r="K11881" t="s">
        <v>36711</v>
      </c>
      <c r="M11881" t="s">
        <v>40203</v>
      </c>
      <c r="N11881" t="s">
        <v>40436</v>
      </c>
      <c r="O11881" t="s">
        <v>40437</v>
      </c>
      <c r="P11881">
        <v>0</v>
      </c>
      <c r="Q11881">
        <v>0</v>
      </c>
      <c r="R11881" t="s">
        <v>40453</v>
      </c>
      <c r="S11881" t="s">
        <v>41237</v>
      </c>
      <c r="T11881" t="s">
        <v>42188</v>
      </c>
      <c r="U11881" t="s">
        <v>52406</v>
      </c>
      <c r="W11881" t="s">
        <v>40203</v>
      </c>
      <c r="X11881" t="s">
        <v>40454</v>
      </c>
    </row>
    <row r="11882" spans="1:24">
      <c r="A11882">
        <f>HYPERLINK("https://www.philgeps.gov.ph/GEPSNONPILOT/Tender/SplashBidNoticeAbstractUI.aspx?menuIndex=3&amp;refID=7020519&amp;Result=3","7020519")</f>
        <v>0</v>
      </c>
      <c r="B11882" t="s">
        <v>2927</v>
      </c>
      <c r="C11882" t="s">
        <v>14455</v>
      </c>
      <c r="D11882" t="s">
        <v>16239</v>
      </c>
      <c r="E11882" t="s">
        <v>26596</v>
      </c>
      <c r="F11882" t="s">
        <v>28198</v>
      </c>
      <c r="G11882" t="s">
        <v>28205</v>
      </c>
      <c r="H11882" t="s">
        <v>28214</v>
      </c>
      <c r="I11882" t="s">
        <v>3797</v>
      </c>
      <c r="J11882" t="s">
        <v>35648</v>
      </c>
      <c r="K11882" t="s">
        <v>36708</v>
      </c>
      <c r="M11882" t="s">
        <v>40203</v>
      </c>
      <c r="N11882" t="s">
        <v>40436</v>
      </c>
      <c r="O11882" t="s">
        <v>40437</v>
      </c>
      <c r="P11882">
        <v>0</v>
      </c>
      <c r="Q11882">
        <v>0</v>
      </c>
      <c r="R11882" t="s">
        <v>40453</v>
      </c>
      <c r="S11882" t="s">
        <v>41237</v>
      </c>
      <c r="T11882" t="s">
        <v>42188</v>
      </c>
      <c r="U11882" t="s">
        <v>52407</v>
      </c>
      <c r="W11882" t="s">
        <v>40203</v>
      </c>
      <c r="X11882" t="s">
        <v>40454</v>
      </c>
    </row>
    <row r="11883" spans="1:24">
      <c r="A11883">
        <f>HYPERLINK("https://www.philgeps.gov.ph/GEPSNONPILOT/Tender/SplashBidNoticeAbstractUI.aspx?menuIndex=3&amp;refID=7020556&amp;Result=3","7020556")</f>
        <v>0</v>
      </c>
      <c r="B11883" t="s">
        <v>1282</v>
      </c>
      <c r="C11883" t="s">
        <v>14456</v>
      </c>
      <c r="D11883" t="s">
        <v>16214</v>
      </c>
      <c r="E11883" t="s">
        <v>26597</v>
      </c>
      <c r="F11883" t="s">
        <v>28198</v>
      </c>
      <c r="G11883" t="s">
        <v>28205</v>
      </c>
      <c r="H11883" t="s">
        <v>28214</v>
      </c>
      <c r="I11883" t="s">
        <v>3797</v>
      </c>
      <c r="J11883" t="s">
        <v>34433</v>
      </c>
      <c r="K11883" t="s">
        <v>36958</v>
      </c>
      <c r="M11883" t="s">
        <v>39998</v>
      </c>
      <c r="N11883" t="s">
        <v>40436</v>
      </c>
      <c r="O11883" t="s">
        <v>40437</v>
      </c>
      <c r="Q11883">
        <v>11</v>
      </c>
      <c r="R11883" t="s">
        <v>40453</v>
      </c>
      <c r="S11883" t="s">
        <v>41280</v>
      </c>
      <c r="T11883" t="s">
        <v>42112</v>
      </c>
      <c r="U11883" t="s">
        <v>45679</v>
      </c>
      <c r="V11883" t="s">
        <v>55136</v>
      </c>
      <c r="W11883" t="s">
        <v>39998</v>
      </c>
      <c r="X11883" t="s">
        <v>40454</v>
      </c>
    </row>
    <row r="11884" spans="1:24">
      <c r="A11884">
        <f>HYPERLINK("https://www.philgeps.gov.ph/GEPSNONPILOT/Tender/SplashBidNoticeAbstractUI.aspx?menuIndex=3&amp;refID=7020535&amp;Result=3","7020535")</f>
        <v>0</v>
      </c>
      <c r="B11884" t="s">
        <v>1046</v>
      </c>
      <c r="C11884" t="s">
        <v>14457</v>
      </c>
      <c r="E11884" t="s">
        <v>26598</v>
      </c>
      <c r="F11884" t="s">
        <v>28198</v>
      </c>
      <c r="G11884" t="s">
        <v>28205</v>
      </c>
      <c r="H11884" t="s">
        <v>28214</v>
      </c>
      <c r="I11884" t="s">
        <v>3797</v>
      </c>
      <c r="J11884" t="s">
        <v>35649</v>
      </c>
      <c r="K11884" t="s">
        <v>36689</v>
      </c>
      <c r="M11884" t="s">
        <v>38079</v>
      </c>
      <c r="N11884" t="s">
        <v>40436</v>
      </c>
      <c r="O11884" t="s">
        <v>40437</v>
      </c>
      <c r="Q11884">
        <v>2</v>
      </c>
      <c r="R11884" t="s">
        <v>40453</v>
      </c>
      <c r="S11884" t="s">
        <v>41281</v>
      </c>
      <c r="T11884" t="s">
        <v>42133</v>
      </c>
      <c r="U11884" t="s">
        <v>52408</v>
      </c>
      <c r="W11884" t="s">
        <v>38079</v>
      </c>
      <c r="X11884" t="s">
        <v>40454</v>
      </c>
    </row>
    <row r="11885" spans="1:24">
      <c r="A11885">
        <f>HYPERLINK("https://www.philgeps.gov.ph/GEPSNONPILOT/Tender/SplashBidNoticeAbstractUI.aspx?menuIndex=3&amp;refID=7020604&amp;Result=3","7020604")</f>
        <v>0</v>
      </c>
      <c r="B11885" t="s">
        <v>1731</v>
      </c>
      <c r="C11885" t="s">
        <v>14458</v>
      </c>
      <c r="D11885" t="s">
        <v>16193</v>
      </c>
      <c r="E11885" t="s">
        <v>26599</v>
      </c>
      <c r="F11885" t="s">
        <v>28198</v>
      </c>
      <c r="G11885" t="s">
        <v>28205</v>
      </c>
      <c r="H11885" t="s">
        <v>28215</v>
      </c>
      <c r="I11885" t="s">
        <v>4200</v>
      </c>
      <c r="J11885" t="s">
        <v>31408</v>
      </c>
      <c r="K11885" t="s">
        <v>36701</v>
      </c>
      <c r="M11885" t="s">
        <v>38842</v>
      </c>
      <c r="N11885" t="s">
        <v>40436</v>
      </c>
      <c r="O11885" t="s">
        <v>40437</v>
      </c>
      <c r="P11885">
        <v>0</v>
      </c>
      <c r="Q11885">
        <v>2</v>
      </c>
      <c r="R11885" t="s">
        <v>40453</v>
      </c>
      <c r="S11885" t="s">
        <v>41237</v>
      </c>
      <c r="T11885" t="s">
        <v>42119</v>
      </c>
      <c r="U11885" t="s">
        <v>52409</v>
      </c>
      <c r="V11885" t="s">
        <v>54518</v>
      </c>
      <c r="W11885" t="s">
        <v>38842</v>
      </c>
      <c r="X11885" t="s">
        <v>40454</v>
      </c>
    </row>
    <row r="11886" spans="1:24">
      <c r="A11886">
        <f>HYPERLINK("https://www.philgeps.gov.ph/GEPSNONPILOT/Tender/SplashBidNoticeAbstractUI.aspx?menuIndex=3&amp;refID=7020634&amp;Result=3","7020634")</f>
        <v>0</v>
      </c>
      <c r="B11886" t="s">
        <v>1445</v>
      </c>
      <c r="C11886" t="s">
        <v>14459</v>
      </c>
      <c r="D11886" t="s">
        <v>16187</v>
      </c>
      <c r="E11886" t="s">
        <v>26600</v>
      </c>
      <c r="F11886" t="s">
        <v>28198</v>
      </c>
      <c r="G11886" t="s">
        <v>28205</v>
      </c>
      <c r="H11886" t="s">
        <v>28214</v>
      </c>
      <c r="I11886" t="s">
        <v>3797</v>
      </c>
      <c r="J11886" t="s">
        <v>35650</v>
      </c>
      <c r="K11886" t="s">
        <v>36697</v>
      </c>
      <c r="M11886" t="s">
        <v>38512</v>
      </c>
      <c r="N11886" t="s">
        <v>40436</v>
      </c>
      <c r="O11886" t="s">
        <v>40437</v>
      </c>
      <c r="P11886">
        <v>0</v>
      </c>
      <c r="Q11886">
        <v>0</v>
      </c>
      <c r="R11886" t="s">
        <v>40453</v>
      </c>
      <c r="S11886" t="s">
        <v>41237</v>
      </c>
      <c r="T11886" t="s">
        <v>42160</v>
      </c>
      <c r="U11886" t="s">
        <v>52410</v>
      </c>
      <c r="W11886" t="s">
        <v>38512</v>
      </c>
      <c r="X11886" t="s">
        <v>40454</v>
      </c>
    </row>
    <row r="11887" spans="1:24">
      <c r="A11887">
        <f>HYPERLINK("https://www.philgeps.gov.ph/GEPSNONPILOT/Tender/SplashBidNoticeAbstractUI.aspx?menuIndex=3&amp;refID=7020640&amp;Result=3","7020640")</f>
        <v>0</v>
      </c>
      <c r="B11887" t="s">
        <v>2823</v>
      </c>
      <c r="C11887" t="s">
        <v>14460</v>
      </c>
      <c r="D11887" t="s">
        <v>16252</v>
      </c>
      <c r="E11887" t="s">
        <v>26601</v>
      </c>
      <c r="F11887" t="s">
        <v>28198</v>
      </c>
      <c r="G11887" t="s">
        <v>28205</v>
      </c>
      <c r="H11887" t="s">
        <v>28214</v>
      </c>
      <c r="I11887" t="s">
        <v>3797</v>
      </c>
      <c r="J11887" t="s">
        <v>28379</v>
      </c>
      <c r="K11887" t="s">
        <v>36688</v>
      </c>
      <c r="M11887" t="s">
        <v>40075</v>
      </c>
      <c r="N11887" t="s">
        <v>40436</v>
      </c>
      <c r="O11887" t="s">
        <v>40437</v>
      </c>
      <c r="P11887">
        <v>0</v>
      </c>
      <c r="Q11887">
        <v>2</v>
      </c>
      <c r="R11887" t="s">
        <v>40453</v>
      </c>
      <c r="S11887" t="s">
        <v>41237</v>
      </c>
      <c r="T11887" t="s">
        <v>42292</v>
      </c>
      <c r="U11887" t="s">
        <v>52392</v>
      </c>
      <c r="W11887" t="s">
        <v>40075</v>
      </c>
      <c r="X11887" t="s">
        <v>40454</v>
      </c>
    </row>
    <row r="11888" spans="1:24">
      <c r="A11888">
        <f>HYPERLINK("https://www.philgeps.gov.ph/GEPSNONPILOT/Tender/SplashBidNoticeAbstractUI.aspx?menuIndex=3&amp;refID=7020622&amp;Result=3","7020622")</f>
        <v>0</v>
      </c>
      <c r="B11888" t="s">
        <v>1214</v>
      </c>
      <c r="C11888" t="s">
        <v>14461</v>
      </c>
      <c r="D11888" t="s">
        <v>16187</v>
      </c>
      <c r="E11888" t="s">
        <v>26602</v>
      </c>
      <c r="F11888" t="s">
        <v>28198</v>
      </c>
      <c r="G11888" t="s">
        <v>28205</v>
      </c>
      <c r="H11888" t="s">
        <v>28215</v>
      </c>
      <c r="I11888" t="s">
        <v>3797</v>
      </c>
      <c r="J11888" t="s">
        <v>35651</v>
      </c>
      <c r="K11888" t="s">
        <v>36736</v>
      </c>
      <c r="M11888" t="s">
        <v>39191</v>
      </c>
      <c r="N11888" t="s">
        <v>40436</v>
      </c>
      <c r="O11888" t="s">
        <v>40437</v>
      </c>
      <c r="P11888">
        <v>0</v>
      </c>
      <c r="Q11888">
        <v>1</v>
      </c>
      <c r="R11888" t="s">
        <v>40453</v>
      </c>
      <c r="S11888" t="s">
        <v>41237</v>
      </c>
      <c r="T11888" t="s">
        <v>42105</v>
      </c>
      <c r="U11888" t="s">
        <v>48232</v>
      </c>
      <c r="W11888" t="s">
        <v>39191</v>
      </c>
      <c r="X11888" t="s">
        <v>40454</v>
      </c>
    </row>
    <row r="11889" spans="1:24">
      <c r="A11889">
        <f>HYPERLINK("https://www.philgeps.gov.ph/GEPSNONPILOT/Tender/SplashBidNoticeAbstractUI.aspx?menuIndex=3&amp;refID=7020619&amp;Result=3","7020619")</f>
        <v>0</v>
      </c>
      <c r="B11889" t="s">
        <v>2934</v>
      </c>
      <c r="C11889" t="s">
        <v>14462</v>
      </c>
      <c r="D11889" t="s">
        <v>16246</v>
      </c>
      <c r="E11889" t="s">
        <v>26603</v>
      </c>
      <c r="F11889" t="s">
        <v>28198</v>
      </c>
      <c r="G11889" t="s">
        <v>28205</v>
      </c>
      <c r="H11889" t="s">
        <v>28214</v>
      </c>
      <c r="I11889" t="s">
        <v>3797</v>
      </c>
      <c r="J11889" t="s">
        <v>28379</v>
      </c>
      <c r="K11889" t="s">
        <v>36697</v>
      </c>
      <c r="M11889" t="s">
        <v>40213</v>
      </c>
      <c r="N11889" t="s">
        <v>40436</v>
      </c>
      <c r="O11889" t="s">
        <v>40437</v>
      </c>
      <c r="P11889">
        <v>0</v>
      </c>
      <c r="Q11889">
        <v>1</v>
      </c>
      <c r="R11889" t="s">
        <v>40453</v>
      </c>
      <c r="S11889" t="s">
        <v>41237</v>
      </c>
      <c r="T11889" t="s">
        <v>42129</v>
      </c>
      <c r="U11889" t="s">
        <v>52411</v>
      </c>
      <c r="W11889" t="s">
        <v>40213</v>
      </c>
      <c r="X11889" t="s">
        <v>40454</v>
      </c>
    </row>
    <row r="11890" spans="1:24">
      <c r="A11890">
        <f>HYPERLINK("https://www.philgeps.gov.ph/GEPSNONPILOT/Tender/SplashBidNoticeAbstractUI.aspx?menuIndex=3&amp;refID=7020606&amp;Result=3","7020606")</f>
        <v>0</v>
      </c>
      <c r="B11890" t="s">
        <v>1214</v>
      </c>
      <c r="C11890" t="s">
        <v>14463</v>
      </c>
      <c r="D11890" t="s">
        <v>16187</v>
      </c>
      <c r="E11890" t="s">
        <v>26604</v>
      </c>
      <c r="F11890" t="s">
        <v>28198</v>
      </c>
      <c r="G11890" t="s">
        <v>28205</v>
      </c>
      <c r="H11890" t="s">
        <v>28215</v>
      </c>
      <c r="I11890" t="s">
        <v>3797</v>
      </c>
      <c r="J11890" t="s">
        <v>35652</v>
      </c>
      <c r="K11890" t="s">
        <v>36736</v>
      </c>
      <c r="M11890" t="s">
        <v>39191</v>
      </c>
      <c r="N11890" t="s">
        <v>40436</v>
      </c>
      <c r="O11890" t="s">
        <v>40437</v>
      </c>
      <c r="P11890">
        <v>0</v>
      </c>
      <c r="Q11890">
        <v>1</v>
      </c>
      <c r="R11890" t="s">
        <v>40453</v>
      </c>
      <c r="S11890" t="s">
        <v>41237</v>
      </c>
      <c r="T11890" t="s">
        <v>42105</v>
      </c>
      <c r="U11890" t="s">
        <v>48232</v>
      </c>
      <c r="W11890" t="s">
        <v>39191</v>
      </c>
      <c r="X11890" t="s">
        <v>40454</v>
      </c>
    </row>
    <row r="11891" spans="1:24">
      <c r="A11891">
        <f>HYPERLINK("https://www.philgeps.gov.ph/GEPSNONPILOT/Tender/SplashBidNoticeAbstractUI.aspx?menuIndex=3&amp;refID=7020621&amp;Result=3","7020621")</f>
        <v>0</v>
      </c>
      <c r="B11891" t="s">
        <v>2527</v>
      </c>
      <c r="C11891" t="s">
        <v>14464</v>
      </c>
      <c r="D11891" t="s">
        <v>16198</v>
      </c>
      <c r="E11891" t="s">
        <v>23275</v>
      </c>
      <c r="F11891" t="s">
        <v>28198</v>
      </c>
      <c r="G11891" t="s">
        <v>28208</v>
      </c>
      <c r="H11891" t="s">
        <v>28215</v>
      </c>
      <c r="I11891" t="s">
        <v>28222</v>
      </c>
      <c r="J11891" t="s">
        <v>28351</v>
      </c>
      <c r="K11891" t="s">
        <v>36688</v>
      </c>
      <c r="M11891" t="s">
        <v>39730</v>
      </c>
      <c r="N11891" t="s">
        <v>40436</v>
      </c>
      <c r="O11891" t="s">
        <v>40437</v>
      </c>
      <c r="Q11891">
        <v>5</v>
      </c>
      <c r="R11891" t="s">
        <v>40453</v>
      </c>
      <c r="S11891" t="s">
        <v>41282</v>
      </c>
      <c r="T11891" t="s">
        <v>42163</v>
      </c>
      <c r="U11891" t="s">
        <v>52412</v>
      </c>
      <c r="W11891" t="s">
        <v>39730</v>
      </c>
      <c r="X11891" t="s">
        <v>40454</v>
      </c>
    </row>
    <row r="11892" spans="1:24">
      <c r="A11892">
        <f>HYPERLINK("https://www.philgeps.gov.ph/GEPSNONPILOT/Tender/SplashBidNoticeAbstractUI.aspx?menuIndex=3&amp;refID=7020609&amp;Result=3","7020609")</f>
        <v>0</v>
      </c>
      <c r="B11892" t="s">
        <v>2927</v>
      </c>
      <c r="C11892" t="s">
        <v>14465</v>
      </c>
      <c r="D11892" t="s">
        <v>16239</v>
      </c>
      <c r="E11892" t="s">
        <v>26605</v>
      </c>
      <c r="F11892" t="s">
        <v>28198</v>
      </c>
      <c r="G11892" t="s">
        <v>28205</v>
      </c>
      <c r="H11892" t="s">
        <v>28214</v>
      </c>
      <c r="I11892" t="s">
        <v>3797</v>
      </c>
      <c r="J11892" t="s">
        <v>35653</v>
      </c>
      <c r="K11892" t="s">
        <v>36773</v>
      </c>
      <c r="M11892" t="s">
        <v>40203</v>
      </c>
      <c r="N11892" t="s">
        <v>40436</v>
      </c>
      <c r="O11892" t="s">
        <v>40437</v>
      </c>
      <c r="P11892">
        <v>0</v>
      </c>
      <c r="Q11892">
        <v>0</v>
      </c>
      <c r="R11892" t="s">
        <v>40453</v>
      </c>
      <c r="S11892" t="s">
        <v>41237</v>
      </c>
      <c r="T11892" t="s">
        <v>42188</v>
      </c>
      <c r="U11892" t="s">
        <v>52413</v>
      </c>
      <c r="W11892" t="s">
        <v>40203</v>
      </c>
      <c r="X11892" t="s">
        <v>40454</v>
      </c>
    </row>
    <row r="11893" spans="1:24">
      <c r="A11893">
        <f>HYPERLINK("https://www.philgeps.gov.ph/GEPSNONPILOT/Tender/SplashBidNoticeAbstractUI.aspx?menuIndex=3&amp;refID=7020591&amp;Result=3","7020591")</f>
        <v>0</v>
      </c>
      <c r="B11893" t="s">
        <v>2934</v>
      </c>
      <c r="C11893" t="s">
        <v>14466</v>
      </c>
      <c r="D11893" t="s">
        <v>16246</v>
      </c>
      <c r="E11893" t="s">
        <v>26606</v>
      </c>
      <c r="F11893" t="s">
        <v>28198</v>
      </c>
      <c r="G11893" t="s">
        <v>28205</v>
      </c>
      <c r="H11893" t="s">
        <v>28214</v>
      </c>
      <c r="I11893" t="s">
        <v>28242</v>
      </c>
      <c r="J11893" t="s">
        <v>28379</v>
      </c>
      <c r="K11893" t="s">
        <v>36692</v>
      </c>
      <c r="M11893" t="s">
        <v>40213</v>
      </c>
      <c r="N11893" t="s">
        <v>40436</v>
      </c>
      <c r="O11893" t="s">
        <v>40437</v>
      </c>
      <c r="P11893">
        <v>0</v>
      </c>
      <c r="Q11893">
        <v>1</v>
      </c>
      <c r="R11893" t="s">
        <v>40453</v>
      </c>
      <c r="S11893" t="s">
        <v>41237</v>
      </c>
      <c r="T11893" t="s">
        <v>42129</v>
      </c>
      <c r="U11893" t="s">
        <v>52414</v>
      </c>
      <c r="W11893" t="s">
        <v>40213</v>
      </c>
      <c r="X11893" t="s">
        <v>40454</v>
      </c>
    </row>
    <row r="11894" spans="1:24">
      <c r="A11894">
        <f>HYPERLINK("https://www.philgeps.gov.ph/GEPSNONPILOT/Tender/SplashBidNoticeAbstractUI.aspx?menuIndex=3&amp;refID=7020712&amp;Result=3","7020712")</f>
        <v>0</v>
      </c>
      <c r="B11894" t="s">
        <v>847</v>
      </c>
      <c r="C11894" t="s">
        <v>14467</v>
      </c>
      <c r="E11894" t="s">
        <v>26607</v>
      </c>
      <c r="F11894" t="s">
        <v>28198</v>
      </c>
      <c r="G11894" t="s">
        <v>28205</v>
      </c>
      <c r="H11894" t="s">
        <v>28214</v>
      </c>
      <c r="I11894" t="s">
        <v>3797</v>
      </c>
      <c r="J11894" t="s">
        <v>35654</v>
      </c>
      <c r="K11894" t="s">
        <v>36959</v>
      </c>
      <c r="M11894" t="s">
        <v>40215</v>
      </c>
      <c r="N11894" t="s">
        <v>40436</v>
      </c>
      <c r="O11894" t="s">
        <v>40437</v>
      </c>
      <c r="P11894">
        <v>0</v>
      </c>
      <c r="Q11894">
        <v>11</v>
      </c>
      <c r="R11894" t="s">
        <v>40453</v>
      </c>
      <c r="S11894" t="s">
        <v>41237</v>
      </c>
      <c r="T11894" t="s">
        <v>42581</v>
      </c>
      <c r="U11894" t="s">
        <v>52415</v>
      </c>
      <c r="V11894" t="s">
        <v>54754</v>
      </c>
      <c r="W11894" t="s">
        <v>40215</v>
      </c>
      <c r="X11894" t="s">
        <v>40454</v>
      </c>
    </row>
    <row r="11895" spans="1:24">
      <c r="A11895">
        <f>HYPERLINK("https://www.philgeps.gov.ph/GEPSNONPILOT/Tender/SplashBidNoticeAbstractUI.aspx?menuIndex=3&amp;refID=7020675&amp;Result=3","7020675")</f>
        <v>0</v>
      </c>
      <c r="B11895" t="s">
        <v>2419</v>
      </c>
      <c r="C11895" t="s">
        <v>14468</v>
      </c>
      <c r="D11895" t="s">
        <v>16268</v>
      </c>
      <c r="E11895" t="s">
        <v>19890</v>
      </c>
      <c r="F11895" t="s">
        <v>28200</v>
      </c>
      <c r="G11895" t="s">
        <v>28205</v>
      </c>
      <c r="H11895" t="s">
        <v>28214</v>
      </c>
      <c r="I11895" t="s">
        <v>3797</v>
      </c>
      <c r="J11895" t="s">
        <v>28347</v>
      </c>
      <c r="K11895" t="s">
        <v>36692</v>
      </c>
      <c r="M11895" t="s">
        <v>40216</v>
      </c>
      <c r="N11895" t="s">
        <v>40436</v>
      </c>
      <c r="O11895" t="s">
        <v>40437</v>
      </c>
      <c r="P11895">
        <v>0</v>
      </c>
      <c r="Q11895">
        <v>7</v>
      </c>
      <c r="R11895" t="s">
        <v>40453</v>
      </c>
      <c r="S11895" t="s">
        <v>41237</v>
      </c>
      <c r="T11895" t="s">
        <v>42129</v>
      </c>
      <c r="U11895" t="s">
        <v>42746</v>
      </c>
      <c r="W11895" t="s">
        <v>40216</v>
      </c>
      <c r="X11895" t="s">
        <v>40454</v>
      </c>
    </row>
    <row r="11896" spans="1:24">
      <c r="A11896">
        <f>HYPERLINK("https://www.philgeps.gov.ph/GEPSNONPILOT/Tender/SplashBidNoticeAbstractUI.aspx?menuIndex=3&amp;refID=7020691&amp;Result=3","7020691")</f>
        <v>0</v>
      </c>
      <c r="B11896" t="s">
        <v>694</v>
      </c>
      <c r="C11896" t="s">
        <v>14469</v>
      </c>
      <c r="D11896" t="s">
        <v>16200</v>
      </c>
      <c r="E11896" t="s">
        <v>26608</v>
      </c>
      <c r="F11896" t="s">
        <v>28198</v>
      </c>
      <c r="G11896" t="s">
        <v>28205</v>
      </c>
      <c r="H11896" t="s">
        <v>28215</v>
      </c>
      <c r="I11896" t="s">
        <v>4168</v>
      </c>
      <c r="J11896" t="s">
        <v>32342</v>
      </c>
      <c r="K11896" t="s">
        <v>36692</v>
      </c>
      <c r="L11896" t="s">
        <v>694</v>
      </c>
      <c r="M11896" t="s">
        <v>37694</v>
      </c>
      <c r="N11896" t="s">
        <v>40436</v>
      </c>
      <c r="O11896" t="s">
        <v>40437</v>
      </c>
      <c r="Q11896">
        <v>6</v>
      </c>
      <c r="R11896" t="s">
        <v>40453</v>
      </c>
      <c r="S11896" t="s">
        <v>41283</v>
      </c>
      <c r="T11896" t="s">
        <v>42103</v>
      </c>
      <c r="U11896" t="s">
        <v>52416</v>
      </c>
      <c r="W11896" t="s">
        <v>37694</v>
      </c>
      <c r="X11896" t="s">
        <v>40454</v>
      </c>
    </row>
    <row r="11897" spans="1:24">
      <c r="A11897">
        <f>HYPERLINK("https://www.philgeps.gov.ph/GEPSNONPILOT/Tender/SplashBidNoticeAbstractUI.aspx?menuIndex=3&amp;refID=7020603&amp;Result=3","7020603")</f>
        <v>0</v>
      </c>
      <c r="B11897" t="s">
        <v>1046</v>
      </c>
      <c r="C11897" t="s">
        <v>14470</v>
      </c>
      <c r="E11897" t="s">
        <v>26609</v>
      </c>
      <c r="F11897" t="s">
        <v>28198</v>
      </c>
      <c r="G11897" t="s">
        <v>28205</v>
      </c>
      <c r="H11897" t="s">
        <v>28214</v>
      </c>
      <c r="I11897" t="s">
        <v>3797</v>
      </c>
      <c r="J11897" t="s">
        <v>35655</v>
      </c>
      <c r="K11897" t="s">
        <v>36689</v>
      </c>
      <c r="M11897" t="s">
        <v>38079</v>
      </c>
      <c r="N11897" t="s">
        <v>40436</v>
      </c>
      <c r="O11897" t="s">
        <v>40437</v>
      </c>
      <c r="Q11897">
        <v>2</v>
      </c>
      <c r="R11897" t="s">
        <v>40453</v>
      </c>
      <c r="S11897" t="s">
        <v>41284</v>
      </c>
      <c r="T11897" t="s">
        <v>42238</v>
      </c>
      <c r="U11897" t="s">
        <v>52417</v>
      </c>
      <c r="W11897" t="s">
        <v>38079</v>
      </c>
      <c r="X11897" t="s">
        <v>40454</v>
      </c>
    </row>
    <row r="11898" spans="1:24">
      <c r="A11898">
        <f>HYPERLINK("https://www.philgeps.gov.ph/GEPSNONPILOT/Tender/SplashBidNoticeAbstractUI.aspx?menuIndex=3&amp;refID=7020672&amp;Result=3","7020672")</f>
        <v>0</v>
      </c>
      <c r="B11898" t="s">
        <v>2936</v>
      </c>
      <c r="C11898" t="s">
        <v>14471</v>
      </c>
      <c r="D11898" t="s">
        <v>16202</v>
      </c>
      <c r="E11898" t="s">
        <v>26610</v>
      </c>
      <c r="F11898" t="s">
        <v>28198</v>
      </c>
      <c r="G11898" t="s">
        <v>28205</v>
      </c>
      <c r="H11898" t="s">
        <v>28215</v>
      </c>
      <c r="I11898" t="s">
        <v>8888</v>
      </c>
      <c r="J11898" t="s">
        <v>35656</v>
      </c>
      <c r="K11898" t="s">
        <v>36701</v>
      </c>
      <c r="M11898" t="s">
        <v>40217</v>
      </c>
      <c r="N11898" t="s">
        <v>40436</v>
      </c>
      <c r="O11898" t="s">
        <v>40437</v>
      </c>
      <c r="P11898">
        <v>0</v>
      </c>
      <c r="Q11898">
        <v>1</v>
      </c>
      <c r="R11898" t="s">
        <v>40453</v>
      </c>
      <c r="S11898" t="s">
        <v>41237</v>
      </c>
      <c r="T11898" t="s">
        <v>42176</v>
      </c>
      <c r="U11898" t="s">
        <v>52418</v>
      </c>
      <c r="W11898" t="s">
        <v>40217</v>
      </c>
      <c r="X11898" t="s">
        <v>40454</v>
      </c>
    </row>
    <row r="11899" spans="1:24">
      <c r="A11899">
        <f>HYPERLINK("https://www.philgeps.gov.ph/GEPSNONPILOT/Tender/SplashBidNoticeAbstractUI.aspx?menuIndex=3&amp;refID=7020558&amp;Result=3","7020558")</f>
        <v>0</v>
      </c>
      <c r="B11899" t="s">
        <v>2934</v>
      </c>
      <c r="C11899" t="s">
        <v>14472</v>
      </c>
      <c r="D11899" t="s">
        <v>16246</v>
      </c>
      <c r="E11899" t="s">
        <v>26611</v>
      </c>
      <c r="F11899" t="s">
        <v>28198</v>
      </c>
      <c r="G11899" t="s">
        <v>28205</v>
      </c>
      <c r="H11899" t="s">
        <v>28214</v>
      </c>
      <c r="I11899" t="s">
        <v>3797</v>
      </c>
      <c r="J11899" t="s">
        <v>28699</v>
      </c>
      <c r="K11899" t="s">
        <v>36697</v>
      </c>
      <c r="M11899" t="s">
        <v>40213</v>
      </c>
      <c r="N11899" t="s">
        <v>40436</v>
      </c>
      <c r="O11899" t="s">
        <v>40437</v>
      </c>
      <c r="P11899">
        <v>0</v>
      </c>
      <c r="Q11899">
        <v>3</v>
      </c>
      <c r="R11899" t="s">
        <v>40453</v>
      </c>
      <c r="S11899" t="s">
        <v>41237</v>
      </c>
      <c r="T11899" t="s">
        <v>42129</v>
      </c>
      <c r="U11899" t="s">
        <v>52419</v>
      </c>
      <c r="W11899" t="s">
        <v>40213</v>
      </c>
      <c r="X11899" t="s">
        <v>40454</v>
      </c>
    </row>
    <row r="11900" spans="1:24">
      <c r="A11900">
        <f>HYPERLINK("https://www.philgeps.gov.ph/GEPSNONPILOT/Tender/SplashBidNoticeAbstractUI.aspx?menuIndex=3&amp;refID=7020734&amp;Result=3","7020734")</f>
        <v>0</v>
      </c>
      <c r="B11900" t="s">
        <v>2935</v>
      </c>
      <c r="C11900" t="s">
        <v>14473</v>
      </c>
      <c r="D11900" t="s">
        <v>16193</v>
      </c>
      <c r="E11900" t="s">
        <v>26594</v>
      </c>
      <c r="F11900" t="s">
        <v>28198</v>
      </c>
      <c r="G11900" t="s">
        <v>28205</v>
      </c>
      <c r="H11900" t="s">
        <v>28215</v>
      </c>
      <c r="I11900" t="s">
        <v>4505</v>
      </c>
      <c r="J11900" t="s">
        <v>35657</v>
      </c>
      <c r="K11900" t="s">
        <v>36701</v>
      </c>
      <c r="M11900" t="s">
        <v>40214</v>
      </c>
      <c r="N11900" t="s">
        <v>40436</v>
      </c>
      <c r="O11900" t="s">
        <v>40437</v>
      </c>
      <c r="Q11900">
        <v>9</v>
      </c>
      <c r="R11900" t="s">
        <v>40453</v>
      </c>
      <c r="S11900" t="s">
        <v>40639</v>
      </c>
      <c r="T11900" t="s">
        <v>42287</v>
      </c>
      <c r="U11900" t="s">
        <v>52420</v>
      </c>
      <c r="W11900" t="s">
        <v>40214</v>
      </c>
      <c r="X11900" t="s">
        <v>40454</v>
      </c>
    </row>
    <row r="11901" spans="1:24">
      <c r="A11901">
        <f>HYPERLINK("https://www.philgeps.gov.ph/GEPSNONPILOT/Tender/SplashBidNoticeAbstractUI.aspx?menuIndex=3&amp;refID=7020716&amp;Result=3","7020716")</f>
        <v>0</v>
      </c>
      <c r="B11901" t="s">
        <v>2937</v>
      </c>
      <c r="C11901" t="s">
        <v>14474</v>
      </c>
      <c r="E11901" t="s">
        <v>26612</v>
      </c>
      <c r="F11901" t="s">
        <v>28198</v>
      </c>
      <c r="G11901" t="s">
        <v>28205</v>
      </c>
      <c r="H11901" t="s">
        <v>28215</v>
      </c>
      <c r="I11901" t="s">
        <v>28222</v>
      </c>
      <c r="J11901" t="s">
        <v>35658</v>
      </c>
      <c r="K11901" t="s">
        <v>36689</v>
      </c>
      <c r="M11901" t="s">
        <v>40218</v>
      </c>
      <c r="N11901" t="s">
        <v>40436</v>
      </c>
      <c r="O11901" t="s">
        <v>40437</v>
      </c>
      <c r="P11901">
        <v>0</v>
      </c>
      <c r="Q11901">
        <v>4</v>
      </c>
      <c r="R11901" t="s">
        <v>40453</v>
      </c>
      <c r="S11901" t="s">
        <v>41237</v>
      </c>
      <c r="T11901" t="s">
        <v>42218</v>
      </c>
      <c r="U11901" t="s">
        <v>52421</v>
      </c>
      <c r="W11901" t="s">
        <v>40218</v>
      </c>
      <c r="X11901" t="s">
        <v>40454</v>
      </c>
    </row>
    <row r="11902" spans="1:24">
      <c r="A11902">
        <f>HYPERLINK("https://www.philgeps.gov.ph/GEPSNONPILOT/Tender/SplashBidNoticeAbstractUI.aspx?menuIndex=3&amp;refID=7020869&amp;Result=3","7020869")</f>
        <v>0</v>
      </c>
      <c r="B11902" t="s">
        <v>2938</v>
      </c>
      <c r="C11902" t="s">
        <v>14475</v>
      </c>
      <c r="D11902" t="s">
        <v>16255</v>
      </c>
      <c r="E11902" t="s">
        <v>16473</v>
      </c>
      <c r="F11902" t="s">
        <v>28198</v>
      </c>
      <c r="G11902" t="s">
        <v>28205</v>
      </c>
      <c r="H11902" t="s">
        <v>28214</v>
      </c>
      <c r="I11902" t="s">
        <v>28242</v>
      </c>
      <c r="J11902" t="s">
        <v>35659</v>
      </c>
      <c r="K11902" t="s">
        <v>36697</v>
      </c>
      <c r="M11902" t="s">
        <v>40219</v>
      </c>
      <c r="N11902" t="s">
        <v>40436</v>
      </c>
      <c r="O11902" t="s">
        <v>40437</v>
      </c>
      <c r="P11902">
        <v>0</v>
      </c>
      <c r="Q11902">
        <v>0</v>
      </c>
      <c r="R11902" t="s">
        <v>40453</v>
      </c>
      <c r="S11902" t="s">
        <v>41237</v>
      </c>
      <c r="T11902" t="s">
        <v>42129</v>
      </c>
      <c r="U11902" t="s">
        <v>52422</v>
      </c>
      <c r="W11902" t="s">
        <v>40219</v>
      </c>
      <c r="X11902" t="s">
        <v>40454</v>
      </c>
    </row>
    <row r="11903" spans="1:24">
      <c r="A11903">
        <f>HYPERLINK("https://www.philgeps.gov.ph/GEPSNONPILOT/Tender/SplashBidNoticeAbstractUI.aspx?menuIndex=3&amp;refID=7020871&amp;Result=3","7020871")</f>
        <v>0</v>
      </c>
      <c r="B11903" t="s">
        <v>1260</v>
      </c>
      <c r="C11903" t="s">
        <v>14476</v>
      </c>
      <c r="D11903" t="s">
        <v>16206</v>
      </c>
      <c r="E11903" t="s">
        <v>26613</v>
      </c>
      <c r="F11903" t="s">
        <v>28198</v>
      </c>
      <c r="G11903" t="s">
        <v>28205</v>
      </c>
      <c r="H11903" t="s">
        <v>28215</v>
      </c>
      <c r="I11903" t="s">
        <v>28222</v>
      </c>
      <c r="J11903" t="s">
        <v>28351</v>
      </c>
      <c r="K11903" t="s">
        <v>36697</v>
      </c>
      <c r="M11903" t="s">
        <v>38310</v>
      </c>
      <c r="N11903" t="s">
        <v>40436</v>
      </c>
      <c r="O11903" t="s">
        <v>40437</v>
      </c>
      <c r="P11903">
        <v>0</v>
      </c>
      <c r="Q11903">
        <v>4</v>
      </c>
      <c r="R11903" t="s">
        <v>40453</v>
      </c>
      <c r="S11903" t="s">
        <v>41237</v>
      </c>
      <c r="T11903" t="s">
        <v>42397</v>
      </c>
      <c r="U11903" t="s">
        <v>52423</v>
      </c>
      <c r="W11903" t="s">
        <v>38310</v>
      </c>
      <c r="X11903" t="s">
        <v>40454</v>
      </c>
    </row>
    <row r="11904" spans="1:24">
      <c r="A11904">
        <f>HYPERLINK("https://www.philgeps.gov.ph/GEPSNONPILOT/Tender/SplashBidNoticeAbstractUI.aspx?menuIndex=3&amp;refID=7020706&amp;Result=3","7020706")</f>
        <v>0</v>
      </c>
      <c r="B11904" t="s">
        <v>1536</v>
      </c>
      <c r="C11904" t="s">
        <v>14477</v>
      </c>
      <c r="D11904" t="s">
        <v>16222</v>
      </c>
      <c r="E11904" t="s">
        <v>26614</v>
      </c>
      <c r="F11904" t="s">
        <v>28198</v>
      </c>
      <c r="G11904" t="s">
        <v>28205</v>
      </c>
      <c r="H11904" t="s">
        <v>28214</v>
      </c>
      <c r="I11904" t="s">
        <v>3797</v>
      </c>
      <c r="J11904" t="s">
        <v>35660</v>
      </c>
      <c r="K11904" t="s">
        <v>36689</v>
      </c>
      <c r="M11904" t="s">
        <v>38629</v>
      </c>
      <c r="N11904" t="s">
        <v>40436</v>
      </c>
      <c r="O11904" t="s">
        <v>40437</v>
      </c>
      <c r="P11904">
        <v>0</v>
      </c>
      <c r="Q11904">
        <v>2</v>
      </c>
      <c r="R11904" t="s">
        <v>40453</v>
      </c>
      <c r="S11904" t="s">
        <v>41237</v>
      </c>
      <c r="T11904" t="s">
        <v>42176</v>
      </c>
      <c r="U11904" t="s">
        <v>46255</v>
      </c>
      <c r="W11904" t="s">
        <v>38629</v>
      </c>
      <c r="X11904" t="s">
        <v>40454</v>
      </c>
    </row>
    <row r="11905" spans="1:24">
      <c r="A11905">
        <f>HYPERLINK("https://www.philgeps.gov.ph/GEPSNONPILOT/Tender/SplashBidNoticeAbstractUI.aspx?menuIndex=3&amp;refID=7020739&amp;Result=3","7020739")</f>
        <v>0</v>
      </c>
      <c r="B11905" t="s">
        <v>2130</v>
      </c>
      <c r="C11905" t="s">
        <v>14478</v>
      </c>
      <c r="D11905" t="s">
        <v>16265</v>
      </c>
      <c r="E11905" t="s">
        <v>26615</v>
      </c>
      <c r="F11905" t="s">
        <v>28198</v>
      </c>
      <c r="G11905" t="s">
        <v>28205</v>
      </c>
      <c r="H11905" t="s">
        <v>28215</v>
      </c>
      <c r="I11905" t="s">
        <v>8888</v>
      </c>
      <c r="J11905" t="s">
        <v>35661</v>
      </c>
      <c r="K11905" t="s">
        <v>36689</v>
      </c>
      <c r="M11905" t="s">
        <v>39287</v>
      </c>
      <c r="N11905" t="s">
        <v>40436</v>
      </c>
      <c r="O11905" t="s">
        <v>40437</v>
      </c>
      <c r="P11905">
        <v>0</v>
      </c>
      <c r="Q11905">
        <v>0</v>
      </c>
      <c r="R11905" t="s">
        <v>40453</v>
      </c>
      <c r="S11905" t="s">
        <v>41237</v>
      </c>
      <c r="T11905" t="s">
        <v>42103</v>
      </c>
      <c r="U11905" t="s">
        <v>52424</v>
      </c>
      <c r="W11905" t="s">
        <v>39287</v>
      </c>
      <c r="X11905" t="s">
        <v>40454</v>
      </c>
    </row>
    <row r="11906" spans="1:24">
      <c r="A11906">
        <f>HYPERLINK("https://www.philgeps.gov.ph/GEPSNONPILOT/Tender/SplashBidNoticeAbstractUI.aspx?menuIndex=3&amp;refID=7020833&amp;Result=3","7020833")</f>
        <v>0</v>
      </c>
      <c r="B11906" t="s">
        <v>1194</v>
      </c>
      <c r="C11906" t="s">
        <v>14479</v>
      </c>
      <c r="D11906" t="s">
        <v>16258</v>
      </c>
      <c r="E11906" t="s">
        <v>26616</v>
      </c>
      <c r="F11906" t="s">
        <v>28198</v>
      </c>
      <c r="G11906" t="s">
        <v>28205</v>
      </c>
      <c r="H11906" t="s">
        <v>28214</v>
      </c>
      <c r="I11906" t="s">
        <v>3797</v>
      </c>
      <c r="J11906" t="s">
        <v>35662</v>
      </c>
      <c r="K11906" t="s">
        <v>36689</v>
      </c>
      <c r="M11906" t="s">
        <v>38238</v>
      </c>
      <c r="N11906" t="s">
        <v>40436</v>
      </c>
      <c r="O11906" t="s">
        <v>40437</v>
      </c>
      <c r="P11906">
        <v>0</v>
      </c>
      <c r="Q11906">
        <v>0</v>
      </c>
      <c r="R11906" t="s">
        <v>40453</v>
      </c>
      <c r="S11906" t="s">
        <v>41237</v>
      </c>
      <c r="T11906" t="s">
        <v>42128</v>
      </c>
      <c r="U11906" t="s">
        <v>52425</v>
      </c>
      <c r="W11906" t="s">
        <v>38238</v>
      </c>
      <c r="X11906" t="s">
        <v>40454</v>
      </c>
    </row>
    <row r="11907" spans="1:24">
      <c r="A11907">
        <f>HYPERLINK("https://www.philgeps.gov.ph/GEPSNONPILOT/Tender/SplashBidNoticeAbstractUI.aspx?menuIndex=3&amp;refID=7020643&amp;Result=3","7020643")</f>
        <v>0</v>
      </c>
      <c r="B11907" t="s">
        <v>1214</v>
      </c>
      <c r="C11907" t="s">
        <v>14480</v>
      </c>
      <c r="D11907" t="s">
        <v>16187</v>
      </c>
      <c r="E11907" t="s">
        <v>26617</v>
      </c>
      <c r="F11907" t="s">
        <v>28198</v>
      </c>
      <c r="G11907" t="s">
        <v>28205</v>
      </c>
      <c r="H11907" t="s">
        <v>28215</v>
      </c>
      <c r="I11907" t="s">
        <v>3797</v>
      </c>
      <c r="J11907" t="s">
        <v>35663</v>
      </c>
      <c r="K11907" t="s">
        <v>36736</v>
      </c>
      <c r="M11907" t="s">
        <v>39191</v>
      </c>
      <c r="N11907" t="s">
        <v>40436</v>
      </c>
      <c r="O11907" t="s">
        <v>40437</v>
      </c>
      <c r="P11907">
        <v>0</v>
      </c>
      <c r="Q11907">
        <v>1</v>
      </c>
      <c r="R11907" t="s">
        <v>40453</v>
      </c>
      <c r="S11907" t="s">
        <v>41237</v>
      </c>
      <c r="T11907" t="s">
        <v>42105</v>
      </c>
      <c r="U11907" t="s">
        <v>48232</v>
      </c>
      <c r="W11907" t="s">
        <v>39191</v>
      </c>
      <c r="X11907" t="s">
        <v>40454</v>
      </c>
    </row>
    <row r="11908" spans="1:24">
      <c r="A11908">
        <f>HYPERLINK("https://www.philgeps.gov.ph/GEPSNONPILOT/Tender/SplashBidNoticeAbstractUI.aspx?menuIndex=3&amp;refID=7020866&amp;Result=3","7020866")</f>
        <v>0</v>
      </c>
      <c r="B11908" t="s">
        <v>2567</v>
      </c>
      <c r="C11908" t="s">
        <v>14481</v>
      </c>
      <c r="D11908" t="s">
        <v>16274</v>
      </c>
      <c r="E11908" t="s">
        <v>26618</v>
      </c>
      <c r="F11908" t="s">
        <v>28198</v>
      </c>
      <c r="G11908" t="s">
        <v>28205</v>
      </c>
      <c r="H11908" t="s">
        <v>28214</v>
      </c>
      <c r="I11908" t="s">
        <v>3797</v>
      </c>
      <c r="J11908" t="s">
        <v>29565</v>
      </c>
      <c r="K11908" t="s">
        <v>36730</v>
      </c>
      <c r="M11908" t="s">
        <v>39781</v>
      </c>
      <c r="N11908" t="s">
        <v>40436</v>
      </c>
      <c r="O11908" t="s">
        <v>40437</v>
      </c>
      <c r="P11908">
        <v>0</v>
      </c>
      <c r="Q11908">
        <v>0</v>
      </c>
      <c r="R11908" t="s">
        <v>40453</v>
      </c>
      <c r="S11908" t="s">
        <v>41237</v>
      </c>
      <c r="T11908" t="s">
        <v>42582</v>
      </c>
      <c r="U11908" t="s">
        <v>52426</v>
      </c>
      <c r="W11908" t="s">
        <v>39781</v>
      </c>
      <c r="X11908" t="s">
        <v>40454</v>
      </c>
    </row>
    <row r="11909" spans="1:24">
      <c r="A11909">
        <f>HYPERLINK("https://www.philgeps.gov.ph/GEPSNONPILOT/Tender/SplashBidNoticeAbstractUI.aspx?menuIndex=3&amp;refID=7020651&amp;Result=3","7020651")</f>
        <v>0</v>
      </c>
      <c r="B11909" t="s">
        <v>1206</v>
      </c>
      <c r="C11909" t="s">
        <v>14482</v>
      </c>
      <c r="D11909" t="s">
        <v>16203</v>
      </c>
      <c r="E11909" t="s">
        <v>26619</v>
      </c>
      <c r="F11909" t="s">
        <v>28198</v>
      </c>
      <c r="G11909" t="s">
        <v>28205</v>
      </c>
      <c r="H11909" t="s">
        <v>28215</v>
      </c>
      <c r="I11909" t="s">
        <v>28224</v>
      </c>
      <c r="J11909" t="s">
        <v>35664</v>
      </c>
      <c r="K11909" t="s">
        <v>36701</v>
      </c>
      <c r="M11909" t="s">
        <v>39330</v>
      </c>
      <c r="N11909" t="s">
        <v>40436</v>
      </c>
      <c r="O11909" t="s">
        <v>40437</v>
      </c>
      <c r="P11909">
        <v>0</v>
      </c>
      <c r="Q11909">
        <v>5</v>
      </c>
      <c r="R11909" t="s">
        <v>40453</v>
      </c>
      <c r="S11909" t="s">
        <v>41237</v>
      </c>
      <c r="T11909" t="s">
        <v>42176</v>
      </c>
      <c r="U11909" t="s">
        <v>52427</v>
      </c>
      <c r="W11909" t="s">
        <v>39330</v>
      </c>
      <c r="X11909" t="s">
        <v>40454</v>
      </c>
    </row>
    <row r="11910" spans="1:24">
      <c r="A11910">
        <f>HYPERLINK("https://www.philgeps.gov.ph/GEPSNONPILOT/Tender/SplashBidNoticeAbstractUI.aspx?menuIndex=3&amp;refID=7020700&amp;Result=3","7020700")</f>
        <v>0</v>
      </c>
      <c r="B11910" t="s">
        <v>1046</v>
      </c>
      <c r="C11910" t="s">
        <v>14483</v>
      </c>
      <c r="E11910" t="s">
        <v>26620</v>
      </c>
      <c r="F11910" t="s">
        <v>28198</v>
      </c>
      <c r="G11910" t="s">
        <v>28205</v>
      </c>
      <c r="H11910" t="s">
        <v>28214</v>
      </c>
      <c r="I11910" t="s">
        <v>3797</v>
      </c>
      <c r="J11910" t="s">
        <v>30935</v>
      </c>
      <c r="K11910" t="s">
        <v>36689</v>
      </c>
      <c r="M11910" t="s">
        <v>38079</v>
      </c>
      <c r="N11910" t="s">
        <v>40436</v>
      </c>
      <c r="O11910" t="s">
        <v>40437</v>
      </c>
      <c r="Q11910">
        <v>4</v>
      </c>
      <c r="R11910" t="s">
        <v>40453</v>
      </c>
      <c r="S11910" t="s">
        <v>41285</v>
      </c>
      <c r="T11910" t="s">
        <v>42177</v>
      </c>
      <c r="U11910" t="s">
        <v>52428</v>
      </c>
      <c r="W11910" t="s">
        <v>38079</v>
      </c>
      <c r="X11910" t="s">
        <v>40454</v>
      </c>
    </row>
    <row r="11911" spans="1:24">
      <c r="A11911">
        <f>HYPERLINK("https://www.philgeps.gov.ph/GEPSNONPILOT/Tender/SplashBidNoticeAbstractUI.aspx?menuIndex=3&amp;refID=7020826&amp;Result=3","7020826")</f>
        <v>0</v>
      </c>
      <c r="B11911" t="s">
        <v>1486</v>
      </c>
      <c r="C11911" t="s">
        <v>14484</v>
      </c>
      <c r="D11911" t="s">
        <v>16210</v>
      </c>
      <c r="E11911" t="s">
        <v>26621</v>
      </c>
      <c r="F11911" t="s">
        <v>28198</v>
      </c>
      <c r="G11911" t="s">
        <v>28207</v>
      </c>
      <c r="H11911" t="s">
        <v>28215</v>
      </c>
      <c r="I11911" t="s">
        <v>28258</v>
      </c>
      <c r="J11911" t="s">
        <v>32161</v>
      </c>
      <c r="K11911" t="s">
        <v>36687</v>
      </c>
      <c r="M11911" t="s">
        <v>38558</v>
      </c>
      <c r="N11911" t="s">
        <v>40436</v>
      </c>
      <c r="O11911" t="s">
        <v>40437</v>
      </c>
      <c r="Q11911">
        <v>34</v>
      </c>
      <c r="R11911" t="s">
        <v>40453</v>
      </c>
      <c r="S11911" t="s">
        <v>41286</v>
      </c>
      <c r="T11911" t="s">
        <v>42233</v>
      </c>
      <c r="U11911" t="s">
        <v>52429</v>
      </c>
      <c r="V11911" t="s">
        <v>55137</v>
      </c>
      <c r="W11911" t="s">
        <v>38558</v>
      </c>
      <c r="X11911" t="s">
        <v>40454</v>
      </c>
    </row>
    <row r="11912" spans="1:24">
      <c r="A11912">
        <f>HYPERLINK("https://www.philgeps.gov.ph/GEPSNONPILOT/Tender/SplashBidNoticeAbstractUI.aspx?menuIndex=3&amp;refID=7020899&amp;Result=3","7020899")</f>
        <v>0</v>
      </c>
      <c r="B11912" t="s">
        <v>2072</v>
      </c>
      <c r="C11912" t="s">
        <v>14485</v>
      </c>
      <c r="D11912" t="s">
        <v>16192</v>
      </c>
      <c r="E11912" t="s">
        <v>26622</v>
      </c>
      <c r="F11912" t="s">
        <v>28198</v>
      </c>
      <c r="G11912" t="s">
        <v>28205</v>
      </c>
      <c r="H11912" t="s">
        <v>28214</v>
      </c>
      <c r="I11912" t="s">
        <v>3797</v>
      </c>
      <c r="J11912" t="s">
        <v>28468</v>
      </c>
      <c r="K11912" t="s">
        <v>36697</v>
      </c>
      <c r="M11912" t="s">
        <v>39221</v>
      </c>
      <c r="N11912" t="s">
        <v>40436</v>
      </c>
      <c r="O11912" t="s">
        <v>40437</v>
      </c>
      <c r="P11912">
        <v>0</v>
      </c>
      <c r="Q11912">
        <v>3</v>
      </c>
      <c r="R11912" t="s">
        <v>40453</v>
      </c>
      <c r="S11912" t="s">
        <v>41237</v>
      </c>
      <c r="T11912" t="s">
        <v>42112</v>
      </c>
      <c r="U11912" t="s">
        <v>52430</v>
      </c>
      <c r="V11912" t="s">
        <v>54462</v>
      </c>
      <c r="W11912" t="s">
        <v>40206</v>
      </c>
      <c r="X11912" t="s">
        <v>40454</v>
      </c>
    </row>
    <row r="11913" spans="1:24">
      <c r="A11913">
        <f>HYPERLINK("https://www.philgeps.gov.ph/GEPSNONPILOT/Tender/SplashBidNoticeAbstractUI.aspx?menuIndex=3&amp;refID=7020884&amp;Result=3","7020884")</f>
        <v>0</v>
      </c>
      <c r="B11913" t="s">
        <v>1251</v>
      </c>
      <c r="C11913" t="s">
        <v>14486</v>
      </c>
      <c r="E11913" t="s">
        <v>26623</v>
      </c>
      <c r="F11913" t="s">
        <v>28198</v>
      </c>
      <c r="G11913" t="s">
        <v>28205</v>
      </c>
      <c r="H11913" t="s">
        <v>28215</v>
      </c>
      <c r="I11913" t="s">
        <v>3797</v>
      </c>
      <c r="J11913" t="s">
        <v>28899</v>
      </c>
      <c r="K11913" t="s">
        <v>36689</v>
      </c>
      <c r="M11913" t="s">
        <v>38301</v>
      </c>
      <c r="N11913" t="s">
        <v>40436</v>
      </c>
      <c r="O11913" t="s">
        <v>40437</v>
      </c>
      <c r="P11913">
        <v>0</v>
      </c>
      <c r="Q11913">
        <v>1</v>
      </c>
      <c r="R11913" t="s">
        <v>40453</v>
      </c>
      <c r="S11913" t="s">
        <v>41237</v>
      </c>
      <c r="T11913" t="s">
        <v>42144</v>
      </c>
      <c r="U11913" t="s">
        <v>45428</v>
      </c>
      <c r="W11913" t="s">
        <v>38301</v>
      </c>
      <c r="X11913" t="s">
        <v>40454</v>
      </c>
    </row>
    <row r="11914" spans="1:24">
      <c r="A11914">
        <f>HYPERLINK("https://www.philgeps.gov.ph/GEPSNONPILOT/Tender/SplashBidNoticeAbstractUI.aspx?menuIndex=3&amp;refID=7020808&amp;Result=3","7020808")</f>
        <v>0</v>
      </c>
      <c r="B11914" t="s">
        <v>1536</v>
      </c>
      <c r="C11914" t="s">
        <v>14487</v>
      </c>
      <c r="D11914" t="s">
        <v>16222</v>
      </c>
      <c r="E11914" t="s">
        <v>26624</v>
      </c>
      <c r="F11914" t="s">
        <v>28198</v>
      </c>
      <c r="G11914" t="s">
        <v>28205</v>
      </c>
      <c r="H11914" t="s">
        <v>28214</v>
      </c>
      <c r="I11914" t="s">
        <v>3797</v>
      </c>
      <c r="J11914" t="s">
        <v>35665</v>
      </c>
      <c r="K11914" t="s">
        <v>36689</v>
      </c>
      <c r="M11914" t="s">
        <v>38629</v>
      </c>
      <c r="N11914" t="s">
        <v>40436</v>
      </c>
      <c r="O11914" t="s">
        <v>40437</v>
      </c>
      <c r="P11914">
        <v>0</v>
      </c>
      <c r="Q11914">
        <v>2</v>
      </c>
      <c r="R11914" t="s">
        <v>40453</v>
      </c>
      <c r="S11914" t="s">
        <v>41237</v>
      </c>
      <c r="T11914" t="s">
        <v>42176</v>
      </c>
      <c r="U11914" t="s">
        <v>46255</v>
      </c>
      <c r="W11914" t="s">
        <v>38629</v>
      </c>
      <c r="X11914" t="s">
        <v>40454</v>
      </c>
    </row>
    <row r="11915" spans="1:24">
      <c r="A11915">
        <f>HYPERLINK("https://www.philgeps.gov.ph/GEPSNONPILOT/Tender/SplashBidNoticeAbstractUI.aspx?menuIndex=3&amp;refID=7020703&amp;Result=3","7020703")</f>
        <v>0</v>
      </c>
      <c r="B11915" t="s">
        <v>2930</v>
      </c>
      <c r="C11915" t="s">
        <v>14488</v>
      </c>
      <c r="D11915" t="s">
        <v>16199</v>
      </c>
      <c r="E11915" t="s">
        <v>26547</v>
      </c>
      <c r="F11915" t="s">
        <v>28198</v>
      </c>
      <c r="G11915" t="s">
        <v>28205</v>
      </c>
      <c r="H11915" t="s">
        <v>28214</v>
      </c>
      <c r="I11915" t="s">
        <v>3797</v>
      </c>
      <c r="J11915" t="s">
        <v>28398</v>
      </c>
      <c r="K11915" t="s">
        <v>36715</v>
      </c>
      <c r="M11915" t="s">
        <v>40208</v>
      </c>
      <c r="N11915" t="s">
        <v>40436</v>
      </c>
      <c r="O11915" t="s">
        <v>40437</v>
      </c>
      <c r="P11915">
        <v>0</v>
      </c>
      <c r="Q11915">
        <v>1</v>
      </c>
      <c r="R11915" t="s">
        <v>40453</v>
      </c>
      <c r="S11915" t="s">
        <v>41237</v>
      </c>
      <c r="T11915" t="s">
        <v>42180</v>
      </c>
      <c r="U11915" t="s">
        <v>52364</v>
      </c>
      <c r="W11915" t="s">
        <v>40208</v>
      </c>
      <c r="X11915" t="s">
        <v>40454</v>
      </c>
    </row>
    <row r="11916" spans="1:24">
      <c r="A11916">
        <f>HYPERLINK("https://www.philgeps.gov.ph/GEPSNONPILOT/Tender/SplashBidNoticeAbstractUI.aspx?menuIndex=3&amp;refID=7020821&amp;Result=3","7020821")</f>
        <v>0</v>
      </c>
      <c r="B11916" t="s">
        <v>1046</v>
      </c>
      <c r="C11916" t="s">
        <v>14489</v>
      </c>
      <c r="E11916" t="s">
        <v>26625</v>
      </c>
      <c r="F11916" t="s">
        <v>28198</v>
      </c>
      <c r="G11916" t="s">
        <v>28205</v>
      </c>
      <c r="H11916" t="s">
        <v>28215</v>
      </c>
      <c r="I11916" t="s">
        <v>28246</v>
      </c>
      <c r="J11916" t="s">
        <v>35666</v>
      </c>
      <c r="K11916" t="s">
        <v>36689</v>
      </c>
      <c r="M11916" t="s">
        <v>38079</v>
      </c>
      <c r="N11916" t="s">
        <v>40436</v>
      </c>
      <c r="O11916" t="s">
        <v>40437</v>
      </c>
      <c r="Q11916">
        <v>2</v>
      </c>
      <c r="R11916" t="s">
        <v>40453</v>
      </c>
      <c r="S11916" t="s">
        <v>41287</v>
      </c>
      <c r="T11916" t="s">
        <v>42176</v>
      </c>
      <c r="U11916" t="s">
        <v>52431</v>
      </c>
      <c r="W11916" t="s">
        <v>38079</v>
      </c>
      <c r="X11916" t="s">
        <v>40454</v>
      </c>
    </row>
    <row r="11917" spans="1:24">
      <c r="A11917">
        <f>HYPERLINK("https://www.philgeps.gov.ph/GEPSNONPILOT/Tender/SplashBidNoticeAbstractUI.aspx?menuIndex=3&amp;refID=7020835&amp;Result=3","7020835")</f>
        <v>0</v>
      </c>
      <c r="B11917" t="s">
        <v>1536</v>
      </c>
      <c r="C11917" t="s">
        <v>14490</v>
      </c>
      <c r="D11917" t="s">
        <v>16222</v>
      </c>
      <c r="E11917" t="s">
        <v>26626</v>
      </c>
      <c r="F11917" t="s">
        <v>28198</v>
      </c>
      <c r="G11917" t="s">
        <v>28205</v>
      </c>
      <c r="H11917" t="s">
        <v>28214</v>
      </c>
      <c r="I11917" t="s">
        <v>3797</v>
      </c>
      <c r="J11917" t="s">
        <v>35667</v>
      </c>
      <c r="K11917" t="s">
        <v>36689</v>
      </c>
      <c r="M11917" t="s">
        <v>38629</v>
      </c>
      <c r="N11917" t="s">
        <v>40436</v>
      </c>
      <c r="O11917" t="s">
        <v>40437</v>
      </c>
      <c r="P11917">
        <v>0</v>
      </c>
      <c r="Q11917">
        <v>1</v>
      </c>
      <c r="R11917" t="s">
        <v>40453</v>
      </c>
      <c r="S11917" t="s">
        <v>41237</v>
      </c>
      <c r="T11917" t="s">
        <v>42176</v>
      </c>
      <c r="U11917" t="s">
        <v>46255</v>
      </c>
      <c r="W11917" t="s">
        <v>38629</v>
      </c>
      <c r="X11917" t="s">
        <v>40454</v>
      </c>
    </row>
    <row r="11918" spans="1:24">
      <c r="A11918">
        <f>HYPERLINK("https://www.philgeps.gov.ph/GEPSNONPILOT/Tender/SplashBidNoticeAbstractUI.aspx?menuIndex=3&amp;refID=7020764&amp;Result=3","7020764")</f>
        <v>0</v>
      </c>
      <c r="B11918" t="s">
        <v>1536</v>
      </c>
      <c r="C11918" t="s">
        <v>14491</v>
      </c>
      <c r="D11918" t="s">
        <v>16222</v>
      </c>
      <c r="E11918" t="s">
        <v>26627</v>
      </c>
      <c r="F11918" t="s">
        <v>28198</v>
      </c>
      <c r="G11918" t="s">
        <v>28205</v>
      </c>
      <c r="H11918" t="s">
        <v>28214</v>
      </c>
      <c r="I11918" t="s">
        <v>3797</v>
      </c>
      <c r="J11918" t="s">
        <v>35668</v>
      </c>
      <c r="K11918" t="s">
        <v>36689</v>
      </c>
      <c r="M11918" t="s">
        <v>38629</v>
      </c>
      <c r="N11918" t="s">
        <v>40436</v>
      </c>
      <c r="O11918" t="s">
        <v>40437</v>
      </c>
      <c r="P11918">
        <v>0</v>
      </c>
      <c r="Q11918">
        <v>2</v>
      </c>
      <c r="R11918" t="s">
        <v>40453</v>
      </c>
      <c r="S11918" t="s">
        <v>41237</v>
      </c>
      <c r="T11918" t="s">
        <v>42176</v>
      </c>
      <c r="U11918" t="s">
        <v>46255</v>
      </c>
      <c r="W11918" t="s">
        <v>38629</v>
      </c>
      <c r="X11918" t="s">
        <v>40454</v>
      </c>
    </row>
    <row r="11919" spans="1:24">
      <c r="A11919">
        <f>HYPERLINK("https://www.philgeps.gov.ph/GEPSNONPILOT/Tender/SplashBidNoticeAbstractUI.aspx?menuIndex=3&amp;refID=7020783&amp;Result=3","7020783")</f>
        <v>0</v>
      </c>
      <c r="B11919" t="s">
        <v>2930</v>
      </c>
      <c r="C11919" t="s">
        <v>14492</v>
      </c>
      <c r="D11919" t="s">
        <v>16199</v>
      </c>
      <c r="E11919" t="s">
        <v>26547</v>
      </c>
      <c r="F11919" t="s">
        <v>28198</v>
      </c>
      <c r="G11919" t="s">
        <v>28205</v>
      </c>
      <c r="H11919" t="s">
        <v>28214</v>
      </c>
      <c r="I11919" t="s">
        <v>3797</v>
      </c>
      <c r="J11919" t="s">
        <v>28398</v>
      </c>
      <c r="K11919" t="s">
        <v>36715</v>
      </c>
      <c r="M11919" t="s">
        <v>40208</v>
      </c>
      <c r="N11919" t="s">
        <v>40436</v>
      </c>
      <c r="O11919" t="s">
        <v>40437</v>
      </c>
      <c r="P11919">
        <v>0</v>
      </c>
      <c r="Q11919">
        <v>1</v>
      </c>
      <c r="R11919" t="s">
        <v>40453</v>
      </c>
      <c r="S11919" t="s">
        <v>41237</v>
      </c>
      <c r="T11919" t="s">
        <v>42180</v>
      </c>
      <c r="U11919" t="s">
        <v>52364</v>
      </c>
      <c r="W11919" t="s">
        <v>40208</v>
      </c>
      <c r="X11919" t="s">
        <v>40454</v>
      </c>
    </row>
    <row r="11920" spans="1:24">
      <c r="A11920">
        <f>HYPERLINK("https://www.philgeps.gov.ph/GEPSNONPILOT/Tender/SplashBidNoticeAbstractUI.aspx?menuIndex=3&amp;refID=7020934&amp;Result=3","7020934")</f>
        <v>0</v>
      </c>
      <c r="B11920" t="s">
        <v>1046</v>
      </c>
      <c r="C11920" t="s">
        <v>14493</v>
      </c>
      <c r="E11920" t="s">
        <v>26628</v>
      </c>
      <c r="F11920" t="s">
        <v>28198</v>
      </c>
      <c r="G11920" t="s">
        <v>28209</v>
      </c>
      <c r="H11920" t="s">
        <v>28215</v>
      </c>
      <c r="I11920" t="s">
        <v>28219</v>
      </c>
      <c r="J11920" t="s">
        <v>35669</v>
      </c>
      <c r="K11920" t="s">
        <v>36689</v>
      </c>
      <c r="M11920" t="s">
        <v>38079</v>
      </c>
      <c r="N11920" t="s">
        <v>40436</v>
      </c>
      <c r="O11920" t="s">
        <v>40437</v>
      </c>
      <c r="Q11920">
        <v>3</v>
      </c>
      <c r="R11920" t="s">
        <v>40453</v>
      </c>
      <c r="S11920" t="s">
        <v>41288</v>
      </c>
      <c r="T11920" t="s">
        <v>42266</v>
      </c>
      <c r="U11920" t="s">
        <v>52432</v>
      </c>
      <c r="V11920" t="s">
        <v>54476</v>
      </c>
      <c r="W11920" t="s">
        <v>38079</v>
      </c>
      <c r="X11920" t="s">
        <v>40454</v>
      </c>
    </row>
    <row r="11921" spans="1:24">
      <c r="A11921">
        <f>HYPERLINK("https://www.philgeps.gov.ph/GEPSNONPILOT/Tender/SplashBidNoticeAbstractUI.aspx?menuIndex=3&amp;refID=7020844&amp;Result=3","7020844")</f>
        <v>0</v>
      </c>
      <c r="B11921" t="s">
        <v>1251</v>
      </c>
      <c r="C11921" t="s">
        <v>14494</v>
      </c>
      <c r="E11921" t="s">
        <v>26629</v>
      </c>
      <c r="F11921" t="s">
        <v>28198</v>
      </c>
      <c r="G11921" t="s">
        <v>28205</v>
      </c>
      <c r="H11921" t="s">
        <v>28215</v>
      </c>
      <c r="I11921" t="s">
        <v>3797</v>
      </c>
      <c r="J11921" t="s">
        <v>35670</v>
      </c>
      <c r="K11921" t="s">
        <v>36689</v>
      </c>
      <c r="M11921" t="s">
        <v>38301</v>
      </c>
      <c r="N11921" t="s">
        <v>40436</v>
      </c>
      <c r="O11921" t="s">
        <v>40437</v>
      </c>
      <c r="P11921">
        <v>0</v>
      </c>
      <c r="Q11921">
        <v>0</v>
      </c>
      <c r="R11921" t="s">
        <v>40453</v>
      </c>
      <c r="S11921" t="s">
        <v>41237</v>
      </c>
      <c r="T11921" t="s">
        <v>42144</v>
      </c>
      <c r="U11921" t="s">
        <v>45428</v>
      </c>
      <c r="W11921" t="s">
        <v>38301</v>
      </c>
      <c r="X11921" t="s">
        <v>40454</v>
      </c>
    </row>
    <row r="11922" spans="1:24">
      <c r="A11922">
        <f>HYPERLINK("https://www.philgeps.gov.ph/GEPSNONPILOT/Tender/SplashBidNoticeAbstractUI.aspx?menuIndex=3&amp;refID=7020799&amp;Result=3","7020799")</f>
        <v>0</v>
      </c>
      <c r="B11922" t="s">
        <v>1206</v>
      </c>
      <c r="C11922" t="s">
        <v>14495</v>
      </c>
      <c r="D11922" t="s">
        <v>16203</v>
      </c>
      <c r="E11922" t="s">
        <v>26630</v>
      </c>
      <c r="F11922" t="s">
        <v>28198</v>
      </c>
      <c r="G11922" t="s">
        <v>28205</v>
      </c>
      <c r="H11922" t="s">
        <v>28215</v>
      </c>
      <c r="I11922" t="s">
        <v>8888</v>
      </c>
      <c r="J11922" t="s">
        <v>35671</v>
      </c>
      <c r="K11922" t="s">
        <v>36701</v>
      </c>
      <c r="M11922" t="s">
        <v>39330</v>
      </c>
      <c r="N11922" t="s">
        <v>40436</v>
      </c>
      <c r="O11922" t="s">
        <v>40437</v>
      </c>
      <c r="P11922">
        <v>0</v>
      </c>
      <c r="Q11922">
        <v>4</v>
      </c>
      <c r="R11922" t="s">
        <v>40453</v>
      </c>
      <c r="S11922" t="s">
        <v>41237</v>
      </c>
      <c r="T11922" t="s">
        <v>42176</v>
      </c>
      <c r="U11922" t="s">
        <v>52433</v>
      </c>
      <c r="W11922" t="s">
        <v>39330</v>
      </c>
      <c r="X11922" t="s">
        <v>40454</v>
      </c>
    </row>
    <row r="11923" spans="1:24">
      <c r="A11923">
        <f>HYPERLINK("https://www.philgeps.gov.ph/GEPSNONPILOT/Tender/SplashBidNoticeAbstractUI.aspx?menuIndex=3&amp;refID=7020931&amp;Result=3","7020931")</f>
        <v>0</v>
      </c>
      <c r="B11923" t="s">
        <v>1533</v>
      </c>
      <c r="C11923" t="s">
        <v>14496</v>
      </c>
      <c r="D11923" t="s">
        <v>16236</v>
      </c>
      <c r="E11923" t="s">
        <v>26631</v>
      </c>
      <c r="F11923" t="s">
        <v>28198</v>
      </c>
      <c r="G11923" t="s">
        <v>28205</v>
      </c>
      <c r="H11923" t="s">
        <v>28214</v>
      </c>
      <c r="I11923" t="s">
        <v>3797</v>
      </c>
      <c r="J11923" t="s">
        <v>35672</v>
      </c>
      <c r="K11923" t="s">
        <v>36690</v>
      </c>
      <c r="M11923" t="s">
        <v>38611</v>
      </c>
      <c r="N11923" t="s">
        <v>40436</v>
      </c>
      <c r="O11923" t="s">
        <v>40437</v>
      </c>
      <c r="P11923">
        <v>0</v>
      </c>
      <c r="Q11923">
        <v>0</v>
      </c>
      <c r="R11923" t="s">
        <v>40453</v>
      </c>
      <c r="S11923" t="s">
        <v>41237</v>
      </c>
      <c r="T11923" t="s">
        <v>42159</v>
      </c>
      <c r="U11923" t="s">
        <v>52434</v>
      </c>
      <c r="V11923" t="s">
        <v>55138</v>
      </c>
      <c r="W11923" t="s">
        <v>38611</v>
      </c>
      <c r="X11923" t="s">
        <v>40454</v>
      </c>
    </row>
    <row r="11924" spans="1:24">
      <c r="A11924">
        <f>HYPERLINK("https://www.philgeps.gov.ph/GEPSNONPILOT/Tender/SplashBidNoticeAbstractUI.aspx?menuIndex=3&amp;refID=7020746&amp;Result=3","7020746")</f>
        <v>0</v>
      </c>
      <c r="B11924" t="s">
        <v>583</v>
      </c>
      <c r="C11924" t="s">
        <v>14497</v>
      </c>
      <c r="D11924" t="s">
        <v>16235</v>
      </c>
      <c r="E11924" t="s">
        <v>16504</v>
      </c>
      <c r="F11924" t="s">
        <v>28198</v>
      </c>
      <c r="G11924" t="s">
        <v>28205</v>
      </c>
      <c r="H11924" t="s">
        <v>28215</v>
      </c>
      <c r="I11924" t="s">
        <v>28249</v>
      </c>
      <c r="J11924" t="s">
        <v>35673</v>
      </c>
      <c r="K11924" t="s">
        <v>36700</v>
      </c>
      <c r="M11924" t="s">
        <v>39806</v>
      </c>
      <c r="N11924" t="s">
        <v>40436</v>
      </c>
      <c r="O11924" t="s">
        <v>40437</v>
      </c>
      <c r="P11924">
        <v>0</v>
      </c>
      <c r="Q11924">
        <v>3</v>
      </c>
      <c r="R11924" t="s">
        <v>40453</v>
      </c>
      <c r="S11924" t="s">
        <v>41237</v>
      </c>
      <c r="T11924" t="s">
        <v>42203</v>
      </c>
      <c r="U11924" t="s">
        <v>52435</v>
      </c>
      <c r="V11924" t="s">
        <v>54754</v>
      </c>
      <c r="W11924" t="s">
        <v>39806</v>
      </c>
      <c r="X11924" t="s">
        <v>40454</v>
      </c>
    </row>
    <row r="11925" spans="1:24">
      <c r="A11925">
        <f>HYPERLINK("https://www.philgeps.gov.ph/GEPSNONPILOT/Tender/SplashBidNoticeAbstractUI.aspx?menuIndex=3&amp;refID=7020874&amp;Result=3","7020874")</f>
        <v>0</v>
      </c>
      <c r="B11925" t="s">
        <v>2791</v>
      </c>
      <c r="C11925" t="s">
        <v>14498</v>
      </c>
      <c r="D11925" t="s">
        <v>16203</v>
      </c>
      <c r="E11925" t="s">
        <v>26632</v>
      </c>
      <c r="F11925" t="s">
        <v>28198</v>
      </c>
      <c r="G11925" t="s">
        <v>28205</v>
      </c>
      <c r="H11925" t="s">
        <v>28214</v>
      </c>
      <c r="I11925" t="s">
        <v>3797</v>
      </c>
      <c r="J11925" t="s">
        <v>35674</v>
      </c>
      <c r="K11925" t="s">
        <v>36717</v>
      </c>
      <c r="M11925" t="s">
        <v>40040</v>
      </c>
      <c r="N11925" t="s">
        <v>40436</v>
      </c>
      <c r="O11925" t="s">
        <v>40437</v>
      </c>
      <c r="P11925">
        <v>0</v>
      </c>
      <c r="Q11925">
        <v>1</v>
      </c>
      <c r="R11925" t="s">
        <v>40453</v>
      </c>
      <c r="S11925" t="s">
        <v>41237</v>
      </c>
      <c r="T11925" t="s">
        <v>42134</v>
      </c>
      <c r="U11925" t="s">
        <v>52436</v>
      </c>
      <c r="V11925" t="s">
        <v>54906</v>
      </c>
      <c r="W11925" t="s">
        <v>40040</v>
      </c>
      <c r="X11925" t="s">
        <v>40454</v>
      </c>
    </row>
    <row r="11926" spans="1:24">
      <c r="A11926">
        <f>HYPERLINK("https://www.philgeps.gov.ph/GEPSNONPILOT/Tender/SplashBidNoticeAbstractUI.aspx?menuIndex=3&amp;refID=7020877&amp;Result=3","7020877")</f>
        <v>0</v>
      </c>
      <c r="B11926" t="s">
        <v>609</v>
      </c>
      <c r="C11926" t="s">
        <v>14499</v>
      </c>
      <c r="D11926" t="s">
        <v>16202</v>
      </c>
      <c r="E11926" t="s">
        <v>26633</v>
      </c>
      <c r="F11926" t="s">
        <v>28198</v>
      </c>
      <c r="G11926" t="s">
        <v>28205</v>
      </c>
      <c r="H11926" t="s">
        <v>28217</v>
      </c>
      <c r="I11926" t="s">
        <v>28255</v>
      </c>
      <c r="J11926" t="s">
        <v>35675</v>
      </c>
      <c r="K11926" t="s">
        <v>36694</v>
      </c>
      <c r="M11926" t="s">
        <v>37601</v>
      </c>
      <c r="N11926" t="s">
        <v>40436</v>
      </c>
      <c r="O11926" t="s">
        <v>40437</v>
      </c>
      <c r="Q11926">
        <v>2</v>
      </c>
      <c r="R11926" t="s">
        <v>40453</v>
      </c>
      <c r="S11926" t="s">
        <v>41289</v>
      </c>
      <c r="T11926" t="s">
        <v>42119</v>
      </c>
      <c r="U11926" t="s">
        <v>52437</v>
      </c>
      <c r="W11926" t="s">
        <v>37601</v>
      </c>
      <c r="X11926" t="s">
        <v>40454</v>
      </c>
    </row>
    <row r="11927" spans="1:24">
      <c r="A11927">
        <f>HYPERLINK("https://www.philgeps.gov.ph/GEPSNONPILOT/Tender/SplashBidNoticeAbstractUI.aspx?menuIndex=3&amp;refID=7020956&amp;Result=3","7020956")</f>
        <v>0</v>
      </c>
      <c r="B11927" t="s">
        <v>1895</v>
      </c>
      <c r="C11927" t="s">
        <v>14500</v>
      </c>
      <c r="D11927" t="s">
        <v>16193</v>
      </c>
      <c r="E11927" t="s">
        <v>18706</v>
      </c>
      <c r="F11927" t="s">
        <v>28198</v>
      </c>
      <c r="G11927" t="s">
        <v>28205</v>
      </c>
      <c r="H11927" t="s">
        <v>28214</v>
      </c>
      <c r="I11927" t="s">
        <v>3797</v>
      </c>
      <c r="J11927" t="s">
        <v>35676</v>
      </c>
      <c r="K11927" t="s">
        <v>36715</v>
      </c>
      <c r="M11927" t="s">
        <v>39027</v>
      </c>
      <c r="N11927" t="s">
        <v>40436</v>
      </c>
      <c r="O11927" t="s">
        <v>40437</v>
      </c>
      <c r="P11927">
        <v>0</v>
      </c>
      <c r="Q11927">
        <v>0</v>
      </c>
      <c r="R11927" t="s">
        <v>40453</v>
      </c>
      <c r="S11927" t="s">
        <v>41237</v>
      </c>
      <c r="T11927" t="s">
        <v>42129</v>
      </c>
      <c r="U11927" t="s">
        <v>52438</v>
      </c>
      <c r="W11927" t="s">
        <v>39027</v>
      </c>
      <c r="X11927" t="s">
        <v>40454</v>
      </c>
    </row>
    <row r="11928" spans="1:24">
      <c r="A11928">
        <f>HYPERLINK("https://www.philgeps.gov.ph/GEPSNONPILOT/Tender/SplashBidNoticeAbstractUI.aspx?menuIndex=3&amp;refID=7020953&amp;Result=3","7020953")</f>
        <v>0</v>
      </c>
      <c r="B11928" t="s">
        <v>2040</v>
      </c>
      <c r="C11928" t="s">
        <v>14501</v>
      </c>
      <c r="D11928" t="s">
        <v>16219</v>
      </c>
      <c r="E11928" t="s">
        <v>26634</v>
      </c>
      <c r="F11928" t="s">
        <v>28198</v>
      </c>
      <c r="G11928" t="s">
        <v>28205</v>
      </c>
      <c r="H11928" t="s">
        <v>28215</v>
      </c>
      <c r="I11928" t="s">
        <v>28274</v>
      </c>
      <c r="J11928" t="s">
        <v>28398</v>
      </c>
      <c r="K11928" t="s">
        <v>36707</v>
      </c>
      <c r="M11928" t="s">
        <v>39183</v>
      </c>
      <c r="N11928" t="s">
        <v>40436</v>
      </c>
      <c r="O11928" t="s">
        <v>40437</v>
      </c>
      <c r="P11928">
        <v>0</v>
      </c>
      <c r="Q11928">
        <v>3</v>
      </c>
      <c r="R11928" t="s">
        <v>40453</v>
      </c>
      <c r="S11928" t="s">
        <v>41237</v>
      </c>
      <c r="T11928" t="s">
        <v>42133</v>
      </c>
      <c r="U11928" t="s">
        <v>52439</v>
      </c>
      <c r="W11928" t="s">
        <v>39183</v>
      </c>
      <c r="X11928" t="s">
        <v>40454</v>
      </c>
    </row>
    <row r="11929" spans="1:24">
      <c r="A11929">
        <f>HYPERLINK("https://www.philgeps.gov.ph/GEPSNONPILOT/Tender/SplashBidNoticeAbstractUI.aspx?menuIndex=3&amp;refID=7020937&amp;Result=3","7020937")</f>
        <v>0</v>
      </c>
      <c r="B11929" t="s">
        <v>2939</v>
      </c>
      <c r="C11929" t="s">
        <v>14502</v>
      </c>
      <c r="D11929" t="s">
        <v>16266</v>
      </c>
      <c r="E11929" t="s">
        <v>26635</v>
      </c>
      <c r="F11929" t="s">
        <v>28198</v>
      </c>
      <c r="G11929" t="s">
        <v>28205</v>
      </c>
      <c r="H11929" t="s">
        <v>28214</v>
      </c>
      <c r="I11929" t="s">
        <v>3797</v>
      </c>
      <c r="J11929" t="s">
        <v>35677</v>
      </c>
      <c r="K11929" t="s">
        <v>36697</v>
      </c>
      <c r="M11929" t="s">
        <v>40220</v>
      </c>
      <c r="N11929" t="s">
        <v>40436</v>
      </c>
      <c r="O11929" t="s">
        <v>40437</v>
      </c>
      <c r="P11929">
        <v>0</v>
      </c>
      <c r="Q11929">
        <v>0</v>
      </c>
      <c r="R11929" t="s">
        <v>40453</v>
      </c>
      <c r="S11929" t="s">
        <v>41237</v>
      </c>
      <c r="T11929" t="s">
        <v>42103</v>
      </c>
      <c r="U11929" t="s">
        <v>52440</v>
      </c>
      <c r="W11929" t="s">
        <v>40220</v>
      </c>
      <c r="X11929" t="s">
        <v>40454</v>
      </c>
    </row>
    <row r="11930" spans="1:24">
      <c r="A11930">
        <f>HYPERLINK("https://www.philgeps.gov.ph/GEPSNONPILOT/Tender/SplashBidNoticeAbstractUI.aspx?menuIndex=3&amp;refID=7021113&amp;Result=3","7021113")</f>
        <v>0</v>
      </c>
      <c r="B11930" t="s">
        <v>785</v>
      </c>
      <c r="C11930" t="s">
        <v>14503</v>
      </c>
      <c r="E11930" t="s">
        <v>26636</v>
      </c>
      <c r="F11930" t="s">
        <v>28198</v>
      </c>
      <c r="G11930" t="s">
        <v>28205</v>
      </c>
      <c r="H11930" t="s">
        <v>28217</v>
      </c>
      <c r="I11930" t="s">
        <v>28231</v>
      </c>
      <c r="J11930" t="s">
        <v>35678</v>
      </c>
      <c r="K11930" t="s">
        <v>36953</v>
      </c>
      <c r="M11930" t="s">
        <v>37819</v>
      </c>
      <c r="N11930" t="s">
        <v>40436</v>
      </c>
      <c r="O11930" t="s">
        <v>40437</v>
      </c>
      <c r="P11930">
        <v>0</v>
      </c>
      <c r="Q11930">
        <v>8</v>
      </c>
      <c r="R11930" t="s">
        <v>40453</v>
      </c>
      <c r="S11930" t="s">
        <v>41237</v>
      </c>
      <c r="T11930" t="s">
        <v>42119</v>
      </c>
      <c r="U11930" t="s">
        <v>52441</v>
      </c>
      <c r="W11930" t="s">
        <v>37819</v>
      </c>
      <c r="X11930" t="s">
        <v>40454</v>
      </c>
    </row>
    <row r="11931" spans="1:24">
      <c r="A11931">
        <f>HYPERLINK("https://www.philgeps.gov.ph/GEPSNONPILOT/Tender/SplashBidNoticeAbstractUI.aspx?menuIndex=3&amp;refID=7020928&amp;Result=3","7020928")</f>
        <v>0</v>
      </c>
      <c r="B11931" t="s">
        <v>404</v>
      </c>
      <c r="C11931" t="s">
        <v>14504</v>
      </c>
      <c r="E11931" t="s">
        <v>26637</v>
      </c>
      <c r="F11931" t="s">
        <v>28198</v>
      </c>
      <c r="G11931" t="s">
        <v>28205</v>
      </c>
      <c r="H11931" t="s">
        <v>28215</v>
      </c>
      <c r="I11931" t="s">
        <v>28324</v>
      </c>
      <c r="J11931" t="s">
        <v>31114</v>
      </c>
      <c r="K11931" t="s">
        <v>36689</v>
      </c>
      <c r="M11931" t="s">
        <v>37385</v>
      </c>
      <c r="N11931" t="s">
        <v>40436</v>
      </c>
      <c r="O11931" t="s">
        <v>40437</v>
      </c>
      <c r="P11931">
        <v>0</v>
      </c>
      <c r="Q11931">
        <v>4</v>
      </c>
      <c r="R11931" t="s">
        <v>40453</v>
      </c>
      <c r="S11931" t="s">
        <v>41237</v>
      </c>
      <c r="T11931" t="s">
        <v>42452</v>
      </c>
      <c r="U11931" t="s">
        <v>52442</v>
      </c>
      <c r="V11931" t="s">
        <v>55139</v>
      </c>
      <c r="W11931" t="s">
        <v>55539</v>
      </c>
      <c r="X11931" t="s">
        <v>40454</v>
      </c>
    </row>
    <row r="11932" spans="1:24">
      <c r="A11932">
        <f>HYPERLINK("https://www.philgeps.gov.ph/GEPSNONPILOT/Tender/SplashBidNoticeAbstractUI.aspx?menuIndex=3&amp;refID=7021105&amp;Result=3","7021105")</f>
        <v>0</v>
      </c>
      <c r="B11932" t="s">
        <v>894</v>
      </c>
      <c r="C11932" t="s">
        <v>14505</v>
      </c>
      <c r="D11932" t="s">
        <v>16235</v>
      </c>
      <c r="E11932" t="s">
        <v>17443</v>
      </c>
      <c r="F11932" t="s">
        <v>28198</v>
      </c>
      <c r="G11932" t="s">
        <v>28207</v>
      </c>
      <c r="H11932" t="s">
        <v>28215</v>
      </c>
      <c r="I11932" t="s">
        <v>3422</v>
      </c>
      <c r="J11932" t="s">
        <v>29323</v>
      </c>
      <c r="K11932" t="s">
        <v>36689</v>
      </c>
      <c r="M11932" t="s">
        <v>40221</v>
      </c>
      <c r="N11932" t="s">
        <v>40436</v>
      </c>
      <c r="O11932" t="s">
        <v>40437</v>
      </c>
      <c r="Q11932">
        <v>0</v>
      </c>
      <c r="R11932" t="s">
        <v>40453</v>
      </c>
      <c r="S11932" t="s">
        <v>41290</v>
      </c>
      <c r="T11932" t="s">
        <v>42583</v>
      </c>
      <c r="U11932" t="s">
        <v>52443</v>
      </c>
      <c r="W11932" t="s">
        <v>40221</v>
      </c>
      <c r="X11932" t="s">
        <v>40454</v>
      </c>
    </row>
    <row r="11933" spans="1:24">
      <c r="A11933">
        <f>HYPERLINK("https://www.philgeps.gov.ph/GEPSNONPILOT/Tender/SplashBidNoticeAbstractUI.aspx?menuIndex=3&amp;refID=7021108&amp;Result=3","7021108")</f>
        <v>0</v>
      </c>
      <c r="B11933" t="s">
        <v>2940</v>
      </c>
      <c r="C11933" t="s">
        <v>14506</v>
      </c>
      <c r="D11933" t="s">
        <v>16218</v>
      </c>
      <c r="E11933" t="s">
        <v>26638</v>
      </c>
      <c r="F11933" t="s">
        <v>28198</v>
      </c>
      <c r="G11933" t="s">
        <v>28205</v>
      </c>
      <c r="H11933" t="s">
        <v>28214</v>
      </c>
      <c r="I11933" t="s">
        <v>3797</v>
      </c>
      <c r="J11933" t="s">
        <v>35679</v>
      </c>
      <c r="K11933" t="s">
        <v>36737</v>
      </c>
      <c r="L11933" t="s">
        <v>2940</v>
      </c>
      <c r="M11933" t="s">
        <v>40222</v>
      </c>
      <c r="N11933" t="s">
        <v>40436</v>
      </c>
      <c r="O11933" t="s">
        <v>40437</v>
      </c>
      <c r="P11933">
        <v>0</v>
      </c>
      <c r="Q11933">
        <v>0</v>
      </c>
      <c r="R11933" t="s">
        <v>40453</v>
      </c>
      <c r="S11933" t="s">
        <v>41237</v>
      </c>
      <c r="T11933" t="s">
        <v>42103</v>
      </c>
      <c r="U11933" t="s">
        <v>52444</v>
      </c>
      <c r="V11933" t="s">
        <v>55140</v>
      </c>
      <c r="W11933" t="s">
        <v>40222</v>
      </c>
      <c r="X11933" t="s">
        <v>40454</v>
      </c>
    </row>
    <row r="11934" spans="1:24">
      <c r="A11934">
        <f>HYPERLINK("https://www.philgeps.gov.ph/GEPSNONPILOT/Tender/SplashBidNoticeAbstractUI.aspx?menuIndex=3&amp;refID=7021086&amp;Result=3","7021086")</f>
        <v>0</v>
      </c>
      <c r="B11934" t="s">
        <v>404</v>
      </c>
      <c r="C11934" t="s">
        <v>14507</v>
      </c>
      <c r="E11934" t="s">
        <v>26639</v>
      </c>
      <c r="F11934" t="s">
        <v>28198</v>
      </c>
      <c r="G11934" t="s">
        <v>28205</v>
      </c>
      <c r="H11934" t="s">
        <v>28215</v>
      </c>
      <c r="I11934" t="s">
        <v>28234</v>
      </c>
      <c r="J11934" t="s">
        <v>29113</v>
      </c>
      <c r="K11934" t="s">
        <v>36689</v>
      </c>
      <c r="M11934" t="s">
        <v>40223</v>
      </c>
      <c r="N11934" t="s">
        <v>40436</v>
      </c>
      <c r="O11934" t="s">
        <v>40437</v>
      </c>
      <c r="P11934">
        <v>0</v>
      </c>
      <c r="Q11934">
        <v>18</v>
      </c>
      <c r="R11934" t="s">
        <v>40453</v>
      </c>
      <c r="S11934" t="s">
        <v>41237</v>
      </c>
      <c r="T11934" t="s">
        <v>42452</v>
      </c>
      <c r="U11934" t="s">
        <v>52445</v>
      </c>
      <c r="V11934" t="s">
        <v>55141</v>
      </c>
      <c r="W11934" t="s">
        <v>55539</v>
      </c>
      <c r="X11934" t="s">
        <v>40454</v>
      </c>
    </row>
    <row r="11935" spans="1:24">
      <c r="A11935">
        <f>HYPERLINK("https://www.philgeps.gov.ph/GEPSNONPILOT/Tender/SplashBidNoticeAbstractUI.aspx?menuIndex=3&amp;refID=7021114&amp;Result=3","7021114")</f>
        <v>0</v>
      </c>
      <c r="B11935" t="s">
        <v>1389</v>
      </c>
      <c r="C11935" t="s">
        <v>13126</v>
      </c>
      <c r="D11935" t="s">
        <v>16187</v>
      </c>
      <c r="E11935" t="s">
        <v>26640</v>
      </c>
      <c r="F11935" t="s">
        <v>28198</v>
      </c>
      <c r="G11935" t="s">
        <v>28205</v>
      </c>
      <c r="H11935" t="s">
        <v>28215</v>
      </c>
      <c r="I11935" t="s">
        <v>28227</v>
      </c>
      <c r="J11935" t="s">
        <v>35680</v>
      </c>
      <c r="K11935" t="s">
        <v>36689</v>
      </c>
      <c r="M11935" t="s">
        <v>38453</v>
      </c>
      <c r="N11935" t="s">
        <v>40436</v>
      </c>
      <c r="O11935" t="s">
        <v>40437</v>
      </c>
      <c r="P11935">
        <v>0</v>
      </c>
      <c r="Q11935">
        <v>0</v>
      </c>
      <c r="R11935" t="s">
        <v>40453</v>
      </c>
      <c r="S11935" t="s">
        <v>41237</v>
      </c>
      <c r="T11935" t="s">
        <v>42209</v>
      </c>
      <c r="U11935" t="s">
        <v>51378</v>
      </c>
      <c r="W11935" t="s">
        <v>38453</v>
      </c>
      <c r="X11935" t="s">
        <v>40454</v>
      </c>
    </row>
    <row r="11936" spans="1:24">
      <c r="A11936">
        <f>HYPERLINK("https://www.philgeps.gov.ph/GEPSNONPILOT/Tender/SplashBidNoticeAbstractUI.aspx?menuIndex=3&amp;refID=7021110&amp;Result=3","7021110")</f>
        <v>0</v>
      </c>
      <c r="B11936" t="s">
        <v>1794</v>
      </c>
      <c r="C11936" t="s">
        <v>14508</v>
      </c>
      <c r="D11936" t="s">
        <v>16200</v>
      </c>
      <c r="E11936" t="s">
        <v>26641</v>
      </c>
      <c r="F11936" t="s">
        <v>28198</v>
      </c>
      <c r="G11936" t="s">
        <v>28205</v>
      </c>
      <c r="H11936" t="s">
        <v>28215</v>
      </c>
      <c r="I11936" t="s">
        <v>28243</v>
      </c>
      <c r="J11936" t="s">
        <v>34245</v>
      </c>
      <c r="K11936" t="s">
        <v>36697</v>
      </c>
      <c r="M11936" t="s">
        <v>38911</v>
      </c>
      <c r="N11936" t="s">
        <v>40436</v>
      </c>
      <c r="O11936" t="s">
        <v>40437</v>
      </c>
      <c r="P11936">
        <v>0</v>
      </c>
      <c r="Q11936">
        <v>6</v>
      </c>
      <c r="R11936" t="s">
        <v>40453</v>
      </c>
      <c r="S11936" t="s">
        <v>41237</v>
      </c>
      <c r="T11936" t="s">
        <v>42133</v>
      </c>
      <c r="U11936" t="s">
        <v>52446</v>
      </c>
      <c r="V11936" t="s">
        <v>55142</v>
      </c>
      <c r="W11936" t="s">
        <v>38911</v>
      </c>
      <c r="X11936" t="s">
        <v>40454</v>
      </c>
    </row>
    <row r="11937" spans="1:24">
      <c r="A11937">
        <f>HYPERLINK("https://www.philgeps.gov.ph/GEPSNONPILOT/Tender/SplashBidNoticeAbstractUI.aspx?menuIndex=3&amp;refID=7021052&amp;Result=3","7021052")</f>
        <v>0</v>
      </c>
      <c r="B11937" t="s">
        <v>1174</v>
      </c>
      <c r="C11937" t="s">
        <v>14509</v>
      </c>
      <c r="D11937" t="s">
        <v>16228</v>
      </c>
      <c r="E11937" t="s">
        <v>26642</v>
      </c>
      <c r="F11937" t="s">
        <v>28198</v>
      </c>
      <c r="G11937" t="s">
        <v>28205</v>
      </c>
      <c r="H11937" t="s">
        <v>28215</v>
      </c>
      <c r="I11937" t="s">
        <v>4321</v>
      </c>
      <c r="J11937" t="s">
        <v>34516</v>
      </c>
      <c r="K11937" t="s">
        <v>36706</v>
      </c>
      <c r="M11937" t="s">
        <v>38216</v>
      </c>
      <c r="N11937" t="s">
        <v>40436</v>
      </c>
      <c r="O11937" t="s">
        <v>40437</v>
      </c>
      <c r="P11937">
        <v>0</v>
      </c>
      <c r="Q11937">
        <v>1</v>
      </c>
      <c r="R11937" t="s">
        <v>40453</v>
      </c>
      <c r="S11937" t="s">
        <v>41237</v>
      </c>
      <c r="T11937" t="s">
        <v>42228</v>
      </c>
      <c r="U11937" t="s">
        <v>45208</v>
      </c>
      <c r="W11937" t="s">
        <v>38216</v>
      </c>
      <c r="X11937" t="s">
        <v>40454</v>
      </c>
    </row>
    <row r="11938" spans="1:24">
      <c r="A11938">
        <f>HYPERLINK("https://www.philgeps.gov.ph/GEPSNONPILOT/Tender/SplashBidNoticeAbstractUI.aspx?menuIndex=3&amp;refID=7021040&amp;Result=3","7021040")</f>
        <v>0</v>
      </c>
      <c r="B11938" t="s">
        <v>1222</v>
      </c>
      <c r="C11938" t="s">
        <v>14510</v>
      </c>
      <c r="D11938" t="s">
        <v>16236</v>
      </c>
      <c r="E11938" t="s">
        <v>26643</v>
      </c>
      <c r="F11938" t="s">
        <v>28198</v>
      </c>
      <c r="G11938" t="s">
        <v>28205</v>
      </c>
      <c r="H11938" t="s">
        <v>28215</v>
      </c>
      <c r="I11938" t="s">
        <v>28249</v>
      </c>
      <c r="J11938" t="s">
        <v>29739</v>
      </c>
      <c r="K11938" t="s">
        <v>36707</v>
      </c>
      <c r="M11938" t="s">
        <v>38268</v>
      </c>
      <c r="N11938" t="s">
        <v>40436</v>
      </c>
      <c r="O11938" t="s">
        <v>40437</v>
      </c>
      <c r="P11938">
        <v>0</v>
      </c>
      <c r="Q11938">
        <v>1</v>
      </c>
      <c r="R11938" t="s">
        <v>40453</v>
      </c>
      <c r="S11938" t="s">
        <v>41237</v>
      </c>
      <c r="T11938" t="s">
        <v>42103</v>
      </c>
      <c r="U11938" t="s">
        <v>52447</v>
      </c>
      <c r="W11938" t="s">
        <v>38268</v>
      </c>
      <c r="X11938" t="s">
        <v>40454</v>
      </c>
    </row>
    <row r="11939" spans="1:24">
      <c r="A11939">
        <f>HYPERLINK("https://www.philgeps.gov.ph/GEPSNONPILOT/Tender/SplashBidNoticeAbstractUI.aspx?menuIndex=3&amp;refID=7021067&amp;Result=3","7021067")</f>
        <v>0</v>
      </c>
      <c r="B11939" t="s">
        <v>2928</v>
      </c>
      <c r="C11939" t="s">
        <v>14511</v>
      </c>
      <c r="D11939" t="s">
        <v>16209</v>
      </c>
      <c r="E11939" t="s">
        <v>26644</v>
      </c>
      <c r="F11939" t="s">
        <v>28198</v>
      </c>
      <c r="G11939" t="s">
        <v>28205</v>
      </c>
      <c r="H11939" t="s">
        <v>28215</v>
      </c>
      <c r="I11939" t="s">
        <v>4321</v>
      </c>
      <c r="J11939" t="s">
        <v>29620</v>
      </c>
      <c r="K11939" t="s">
        <v>36694</v>
      </c>
      <c r="M11939" t="s">
        <v>40205</v>
      </c>
      <c r="N11939" t="s">
        <v>40436</v>
      </c>
      <c r="O11939" t="s">
        <v>40437</v>
      </c>
      <c r="P11939">
        <v>0</v>
      </c>
      <c r="Q11939">
        <v>4</v>
      </c>
      <c r="R11939" t="s">
        <v>40453</v>
      </c>
      <c r="S11939" t="s">
        <v>41237</v>
      </c>
      <c r="T11939" t="s">
        <v>42134</v>
      </c>
      <c r="U11939" t="s">
        <v>52352</v>
      </c>
      <c r="V11939" t="s">
        <v>55131</v>
      </c>
      <c r="W11939" t="s">
        <v>40205</v>
      </c>
      <c r="X11939" t="s">
        <v>40454</v>
      </c>
    </row>
    <row r="11940" spans="1:24">
      <c r="A11940">
        <f>HYPERLINK("https://www.philgeps.gov.ph/GEPSNONPILOT/Tender/SplashBidNoticeAbstractUI.aspx?menuIndex=3&amp;refID=7021048&amp;Result=3","7021048")</f>
        <v>0</v>
      </c>
      <c r="B11940" t="s">
        <v>2892</v>
      </c>
      <c r="C11940" t="s">
        <v>14512</v>
      </c>
      <c r="D11940" t="s">
        <v>16217</v>
      </c>
      <c r="E11940" t="s">
        <v>26645</v>
      </c>
      <c r="F11940" t="s">
        <v>28198</v>
      </c>
      <c r="G11940" t="s">
        <v>28205</v>
      </c>
      <c r="H11940" t="s">
        <v>28214</v>
      </c>
      <c r="I11940" t="s">
        <v>3797</v>
      </c>
      <c r="J11940" t="s">
        <v>32169</v>
      </c>
      <c r="K11940" t="s">
        <v>36724</v>
      </c>
      <c r="M11940" t="s">
        <v>40158</v>
      </c>
      <c r="N11940" t="s">
        <v>40436</v>
      </c>
      <c r="O11940" t="s">
        <v>40437</v>
      </c>
      <c r="P11940">
        <v>0</v>
      </c>
      <c r="Q11940">
        <v>0</v>
      </c>
      <c r="R11940" t="s">
        <v>40453</v>
      </c>
      <c r="S11940" t="s">
        <v>41237</v>
      </c>
      <c r="T11940" t="s">
        <v>42176</v>
      </c>
      <c r="U11940" t="s">
        <v>52448</v>
      </c>
      <c r="W11940" t="s">
        <v>40158</v>
      </c>
      <c r="X11940" t="s">
        <v>40454</v>
      </c>
    </row>
    <row r="11941" spans="1:24">
      <c r="A11941">
        <f>HYPERLINK("https://www.philgeps.gov.ph/GEPSNONPILOT/Tender/SplashBidNoticeAbstractUI.aspx?menuIndex=3&amp;refID=7021047&amp;Result=3","7021047")</f>
        <v>0</v>
      </c>
      <c r="B11941" t="s">
        <v>1794</v>
      </c>
      <c r="C11941" t="s">
        <v>14513</v>
      </c>
      <c r="D11941" t="s">
        <v>16200</v>
      </c>
      <c r="E11941" t="s">
        <v>26646</v>
      </c>
      <c r="F11941" t="s">
        <v>28198</v>
      </c>
      <c r="G11941" t="s">
        <v>28205</v>
      </c>
      <c r="H11941" t="s">
        <v>28215</v>
      </c>
      <c r="I11941" t="s">
        <v>5100</v>
      </c>
      <c r="J11941" t="s">
        <v>35681</v>
      </c>
      <c r="K11941" t="s">
        <v>36701</v>
      </c>
      <c r="M11941" t="s">
        <v>38911</v>
      </c>
      <c r="N11941" t="s">
        <v>40436</v>
      </c>
      <c r="O11941" t="s">
        <v>40437</v>
      </c>
      <c r="P11941">
        <v>0</v>
      </c>
      <c r="Q11941">
        <v>2</v>
      </c>
      <c r="R11941" t="s">
        <v>40453</v>
      </c>
      <c r="S11941" t="s">
        <v>41237</v>
      </c>
      <c r="T11941" t="s">
        <v>42133</v>
      </c>
      <c r="U11941" t="s">
        <v>52449</v>
      </c>
      <c r="V11941" t="s">
        <v>55143</v>
      </c>
      <c r="W11941" t="s">
        <v>38911</v>
      </c>
      <c r="X11941" t="s">
        <v>40454</v>
      </c>
    </row>
    <row r="11942" spans="1:24">
      <c r="A11942">
        <f>HYPERLINK("https://www.philgeps.gov.ph/GEPSNONPILOT/Tender/SplashBidNoticeAbstractUI.aspx?menuIndex=3&amp;refID=7021106&amp;Result=3","7021106")</f>
        <v>0</v>
      </c>
      <c r="B11942" t="s">
        <v>1222</v>
      </c>
      <c r="C11942" t="s">
        <v>14514</v>
      </c>
      <c r="D11942" t="s">
        <v>16236</v>
      </c>
      <c r="E11942" t="s">
        <v>26647</v>
      </c>
      <c r="F11942" t="s">
        <v>28198</v>
      </c>
      <c r="G11942" t="s">
        <v>28205</v>
      </c>
      <c r="H11942" t="s">
        <v>28215</v>
      </c>
      <c r="I11942" t="s">
        <v>28249</v>
      </c>
      <c r="J11942" t="s">
        <v>29346</v>
      </c>
      <c r="K11942" t="s">
        <v>36707</v>
      </c>
      <c r="M11942" t="s">
        <v>38268</v>
      </c>
      <c r="N11942" t="s">
        <v>40436</v>
      </c>
      <c r="O11942" t="s">
        <v>40437</v>
      </c>
      <c r="P11942">
        <v>0</v>
      </c>
      <c r="Q11942">
        <v>1</v>
      </c>
      <c r="R11942" t="s">
        <v>40453</v>
      </c>
      <c r="S11942" t="s">
        <v>41237</v>
      </c>
      <c r="T11942" t="s">
        <v>42103</v>
      </c>
      <c r="U11942" t="s">
        <v>52450</v>
      </c>
      <c r="W11942" t="s">
        <v>38268</v>
      </c>
      <c r="X11942" t="s">
        <v>40454</v>
      </c>
    </row>
    <row r="11943" spans="1:24">
      <c r="A11943">
        <f>HYPERLINK("https://www.philgeps.gov.ph/GEPSNONPILOT/Tender/SplashBidNoticeAbstractUI.aspx?menuIndex=3&amp;refID=7021019&amp;Result=3","7021019")</f>
        <v>0</v>
      </c>
      <c r="B11943" t="s">
        <v>2928</v>
      </c>
      <c r="C11943" t="s">
        <v>14515</v>
      </c>
      <c r="D11943" t="s">
        <v>16209</v>
      </c>
      <c r="E11943" t="s">
        <v>26648</v>
      </c>
      <c r="F11943" t="s">
        <v>28198</v>
      </c>
      <c r="G11943" t="s">
        <v>28205</v>
      </c>
      <c r="H11943" t="s">
        <v>28215</v>
      </c>
      <c r="I11943" t="s">
        <v>4321</v>
      </c>
      <c r="J11943" t="s">
        <v>35682</v>
      </c>
      <c r="K11943" t="s">
        <v>36694</v>
      </c>
      <c r="M11943" t="s">
        <v>40205</v>
      </c>
      <c r="N11943" t="s">
        <v>40436</v>
      </c>
      <c r="O11943" t="s">
        <v>40437</v>
      </c>
      <c r="P11943">
        <v>0</v>
      </c>
      <c r="Q11943">
        <v>5</v>
      </c>
      <c r="R11943" t="s">
        <v>40453</v>
      </c>
      <c r="S11943" t="s">
        <v>41237</v>
      </c>
      <c r="T11943" t="s">
        <v>42134</v>
      </c>
      <c r="U11943" t="s">
        <v>52352</v>
      </c>
      <c r="V11943" t="s">
        <v>55131</v>
      </c>
      <c r="W11943" t="s">
        <v>40205</v>
      </c>
      <c r="X11943" t="s">
        <v>40454</v>
      </c>
    </row>
    <row r="11944" spans="1:24">
      <c r="A11944">
        <f>HYPERLINK("https://www.philgeps.gov.ph/GEPSNONPILOT/Tender/SplashBidNoticeAbstractUI.aspx?menuIndex=3&amp;refID=7021119&amp;Result=3","7021119")</f>
        <v>0</v>
      </c>
      <c r="B11944" t="s">
        <v>2940</v>
      </c>
      <c r="C11944" t="s">
        <v>14516</v>
      </c>
      <c r="D11944" t="s">
        <v>16218</v>
      </c>
      <c r="E11944" t="s">
        <v>26649</v>
      </c>
      <c r="F11944" t="s">
        <v>28198</v>
      </c>
      <c r="G11944" t="s">
        <v>28205</v>
      </c>
      <c r="H11944" t="s">
        <v>28214</v>
      </c>
      <c r="I11944" t="s">
        <v>3797</v>
      </c>
      <c r="J11944" t="s">
        <v>35683</v>
      </c>
      <c r="K11944" t="s">
        <v>36697</v>
      </c>
      <c r="L11944" t="s">
        <v>2940</v>
      </c>
      <c r="M11944" t="s">
        <v>40222</v>
      </c>
      <c r="N11944" t="s">
        <v>40436</v>
      </c>
      <c r="O11944" t="s">
        <v>40437</v>
      </c>
      <c r="P11944">
        <v>0</v>
      </c>
      <c r="Q11944">
        <v>0</v>
      </c>
      <c r="R11944" t="s">
        <v>40453</v>
      </c>
      <c r="S11944" t="s">
        <v>41237</v>
      </c>
      <c r="T11944" t="s">
        <v>42103</v>
      </c>
      <c r="U11944" t="s">
        <v>52451</v>
      </c>
      <c r="V11944" t="s">
        <v>55144</v>
      </c>
      <c r="W11944" t="s">
        <v>40222</v>
      </c>
      <c r="X11944" t="s">
        <v>40454</v>
      </c>
    </row>
    <row r="11945" spans="1:24">
      <c r="A11945">
        <f>HYPERLINK("https://www.philgeps.gov.ph/GEPSNONPILOT/Tender/SplashBidNoticeAbstractUI.aspx?menuIndex=3&amp;refID=7021036&amp;Result=3","7021036")</f>
        <v>0</v>
      </c>
      <c r="B11945" t="s">
        <v>2941</v>
      </c>
      <c r="C11945" t="s">
        <v>14517</v>
      </c>
      <c r="E11945" t="s">
        <v>23511</v>
      </c>
      <c r="F11945" t="s">
        <v>28198</v>
      </c>
      <c r="G11945" t="s">
        <v>28205</v>
      </c>
      <c r="H11945" t="s">
        <v>28215</v>
      </c>
      <c r="I11945" t="s">
        <v>5082</v>
      </c>
      <c r="J11945" t="s">
        <v>35684</v>
      </c>
      <c r="K11945" t="s">
        <v>36689</v>
      </c>
      <c r="M11945" t="s">
        <v>40224</v>
      </c>
      <c r="N11945" t="s">
        <v>40436</v>
      </c>
      <c r="O11945" t="s">
        <v>40437</v>
      </c>
      <c r="Q11945">
        <v>7</v>
      </c>
      <c r="R11945" t="s">
        <v>40453</v>
      </c>
      <c r="S11945" t="s">
        <v>41291</v>
      </c>
      <c r="T11945" t="s">
        <v>42103</v>
      </c>
      <c r="U11945" t="s">
        <v>52452</v>
      </c>
      <c r="W11945" t="s">
        <v>40224</v>
      </c>
      <c r="X11945" t="s">
        <v>40454</v>
      </c>
    </row>
    <row r="11946" spans="1:24">
      <c r="A11946">
        <f>HYPERLINK("https://www.philgeps.gov.ph/GEPSNONPILOT/Tender/SplashBidNoticeAbstractUI.aspx?menuIndex=3&amp;refID=7021162&amp;Result=3","7021162")</f>
        <v>0</v>
      </c>
      <c r="B11946" t="s">
        <v>1514</v>
      </c>
      <c r="C11946" t="s">
        <v>14518</v>
      </c>
      <c r="D11946" t="s">
        <v>16188</v>
      </c>
      <c r="E11946" t="s">
        <v>26650</v>
      </c>
      <c r="F11946" t="s">
        <v>28198</v>
      </c>
      <c r="G11946" t="s">
        <v>28205</v>
      </c>
      <c r="H11946" t="s">
        <v>28215</v>
      </c>
      <c r="I11946" t="s">
        <v>3797</v>
      </c>
      <c r="J11946" t="s">
        <v>28363</v>
      </c>
      <c r="K11946" t="s">
        <v>36697</v>
      </c>
      <c r="M11946" t="s">
        <v>38591</v>
      </c>
      <c r="N11946" t="s">
        <v>40436</v>
      </c>
      <c r="O11946" t="s">
        <v>40437</v>
      </c>
      <c r="P11946">
        <v>0</v>
      </c>
      <c r="Q11946">
        <v>0</v>
      </c>
      <c r="R11946" t="s">
        <v>40453</v>
      </c>
      <c r="S11946" t="s">
        <v>41237</v>
      </c>
      <c r="T11946" t="s">
        <v>42163</v>
      </c>
      <c r="U11946" t="s">
        <v>52453</v>
      </c>
      <c r="W11946" t="s">
        <v>38591</v>
      </c>
      <c r="X11946" t="s">
        <v>40454</v>
      </c>
    </row>
    <row r="11947" spans="1:24">
      <c r="A11947">
        <f>HYPERLINK("https://www.philgeps.gov.ph/GEPSNONPILOT/Tender/SplashBidNoticeAbstractUI.aspx?menuIndex=3&amp;refID=7021152&amp;Result=3","7021152")</f>
        <v>0</v>
      </c>
      <c r="B11947" t="s">
        <v>748</v>
      </c>
      <c r="C11947" t="s">
        <v>14519</v>
      </c>
      <c r="D11947" t="s">
        <v>16203</v>
      </c>
      <c r="E11947" t="s">
        <v>26651</v>
      </c>
      <c r="F11947" t="s">
        <v>28198</v>
      </c>
      <c r="G11947" t="s">
        <v>28205</v>
      </c>
      <c r="H11947" t="s">
        <v>28214</v>
      </c>
      <c r="I11947" t="s">
        <v>3797</v>
      </c>
      <c r="J11947" t="s">
        <v>35685</v>
      </c>
      <c r="K11947" t="s">
        <v>36710</v>
      </c>
      <c r="M11947" t="s">
        <v>37751</v>
      </c>
      <c r="N11947" t="s">
        <v>40436</v>
      </c>
      <c r="O11947" t="s">
        <v>40437</v>
      </c>
      <c r="Q11947">
        <v>14</v>
      </c>
      <c r="R11947" t="s">
        <v>40453</v>
      </c>
      <c r="S11947" t="s">
        <v>41292</v>
      </c>
      <c r="T11947" t="s">
        <v>42351</v>
      </c>
      <c r="U11947" t="s">
        <v>52454</v>
      </c>
      <c r="V11947" t="s">
        <v>53964</v>
      </c>
      <c r="W11947" t="s">
        <v>37751</v>
      </c>
      <c r="X11947" t="s">
        <v>40454</v>
      </c>
    </row>
    <row r="11948" spans="1:24">
      <c r="A11948">
        <f>HYPERLINK("https://www.philgeps.gov.ph/GEPSNONPILOT/Tender/SplashBidNoticeAbstractUI.aspx?menuIndex=3&amp;refID=7021126&amp;Result=3","7021126")</f>
        <v>0</v>
      </c>
      <c r="B11948" t="s">
        <v>1389</v>
      </c>
      <c r="C11948" t="s">
        <v>13126</v>
      </c>
      <c r="D11948" t="s">
        <v>16187</v>
      </c>
      <c r="E11948" t="s">
        <v>26652</v>
      </c>
      <c r="F11948" t="s">
        <v>28198</v>
      </c>
      <c r="G11948" t="s">
        <v>28205</v>
      </c>
      <c r="H11948" t="s">
        <v>28215</v>
      </c>
      <c r="I11948" t="s">
        <v>28227</v>
      </c>
      <c r="J11948" t="s">
        <v>35686</v>
      </c>
      <c r="K11948" t="s">
        <v>36689</v>
      </c>
      <c r="M11948" t="s">
        <v>38453</v>
      </c>
      <c r="N11948" t="s">
        <v>40436</v>
      </c>
      <c r="O11948" t="s">
        <v>40437</v>
      </c>
      <c r="P11948">
        <v>0</v>
      </c>
      <c r="Q11948">
        <v>0</v>
      </c>
      <c r="R11948" t="s">
        <v>40453</v>
      </c>
      <c r="S11948" t="s">
        <v>41237</v>
      </c>
      <c r="T11948" t="s">
        <v>42209</v>
      </c>
      <c r="U11948" t="s">
        <v>52455</v>
      </c>
      <c r="W11948" t="s">
        <v>38453</v>
      </c>
      <c r="X11948" t="s">
        <v>40454</v>
      </c>
    </row>
    <row r="11949" spans="1:24">
      <c r="A11949">
        <f>HYPERLINK("https://www.philgeps.gov.ph/GEPSNONPILOT/Tender/SplashBidNoticeAbstractUI.aspx?menuIndex=3&amp;refID=7021132&amp;Result=3","7021132")</f>
        <v>0</v>
      </c>
      <c r="B11949" t="s">
        <v>2942</v>
      </c>
      <c r="C11949" t="s">
        <v>14520</v>
      </c>
      <c r="D11949" t="s">
        <v>16239</v>
      </c>
      <c r="E11949" t="s">
        <v>17020</v>
      </c>
      <c r="F11949" t="s">
        <v>28198</v>
      </c>
      <c r="G11949" t="s">
        <v>28205</v>
      </c>
      <c r="H11949" t="s">
        <v>28214</v>
      </c>
      <c r="I11949" t="s">
        <v>28235</v>
      </c>
      <c r="J11949" t="s">
        <v>35687</v>
      </c>
      <c r="K11949" t="s">
        <v>36690</v>
      </c>
      <c r="M11949" t="s">
        <v>40225</v>
      </c>
      <c r="N11949" t="s">
        <v>40436</v>
      </c>
      <c r="O11949" t="s">
        <v>40437</v>
      </c>
      <c r="Q11949">
        <v>0</v>
      </c>
      <c r="R11949" t="s">
        <v>40453</v>
      </c>
      <c r="S11949" t="s">
        <v>41293</v>
      </c>
      <c r="T11949" t="s">
        <v>42119</v>
      </c>
      <c r="U11949" t="s">
        <v>52456</v>
      </c>
      <c r="W11949" t="s">
        <v>40225</v>
      </c>
      <c r="X11949" t="s">
        <v>40454</v>
      </c>
    </row>
    <row r="11950" spans="1:24">
      <c r="A11950">
        <f>HYPERLINK("https://www.philgeps.gov.ph/GEPSNONPILOT/Tender/SplashBidNoticeAbstractUI.aspx?menuIndex=3&amp;refID=7021198&amp;Result=3","7021198")</f>
        <v>0</v>
      </c>
      <c r="B11950" t="s">
        <v>2258</v>
      </c>
      <c r="C11950" t="s">
        <v>14521</v>
      </c>
      <c r="D11950" t="s">
        <v>16200</v>
      </c>
      <c r="E11950" t="s">
        <v>26653</v>
      </c>
      <c r="F11950" t="s">
        <v>28198</v>
      </c>
      <c r="G11950" t="s">
        <v>28205</v>
      </c>
      <c r="H11950" t="s">
        <v>28215</v>
      </c>
      <c r="I11950" t="s">
        <v>5100</v>
      </c>
      <c r="J11950" t="s">
        <v>35688</v>
      </c>
      <c r="K11950" t="s">
        <v>36689</v>
      </c>
      <c r="M11950" t="s">
        <v>39428</v>
      </c>
      <c r="N11950" t="s">
        <v>40436</v>
      </c>
      <c r="O11950" t="s">
        <v>40437</v>
      </c>
      <c r="P11950">
        <v>0</v>
      </c>
      <c r="Q11950">
        <v>1</v>
      </c>
      <c r="R11950" t="s">
        <v>40453</v>
      </c>
      <c r="S11950" t="s">
        <v>41237</v>
      </c>
      <c r="T11950" t="s">
        <v>42129</v>
      </c>
      <c r="U11950" t="s">
        <v>52457</v>
      </c>
      <c r="W11950" t="s">
        <v>39428</v>
      </c>
      <c r="X11950" t="s">
        <v>40454</v>
      </c>
    </row>
    <row r="11951" spans="1:24">
      <c r="A11951">
        <f>HYPERLINK("https://www.philgeps.gov.ph/GEPSNONPILOT/Tender/SplashBidNoticeAbstractUI.aspx?menuIndex=3&amp;refID=7021128&amp;Result=3","7021128")</f>
        <v>0</v>
      </c>
      <c r="B11951" t="s">
        <v>404</v>
      </c>
      <c r="C11951" t="s">
        <v>14522</v>
      </c>
      <c r="E11951" t="s">
        <v>26654</v>
      </c>
      <c r="F11951" t="s">
        <v>28198</v>
      </c>
      <c r="G11951" t="s">
        <v>28205</v>
      </c>
      <c r="H11951" t="s">
        <v>28215</v>
      </c>
      <c r="I11951" t="s">
        <v>28234</v>
      </c>
      <c r="J11951" t="s">
        <v>35689</v>
      </c>
      <c r="K11951" t="s">
        <v>36689</v>
      </c>
      <c r="M11951" t="s">
        <v>37385</v>
      </c>
      <c r="N11951" t="s">
        <v>40436</v>
      </c>
      <c r="O11951" t="s">
        <v>40437</v>
      </c>
      <c r="P11951">
        <v>0</v>
      </c>
      <c r="Q11951">
        <v>19</v>
      </c>
      <c r="R11951" t="s">
        <v>40453</v>
      </c>
      <c r="S11951" t="s">
        <v>41237</v>
      </c>
      <c r="T11951" t="s">
        <v>42452</v>
      </c>
      <c r="U11951" t="s">
        <v>52458</v>
      </c>
      <c r="V11951" t="s">
        <v>55139</v>
      </c>
      <c r="W11951" t="s">
        <v>55539</v>
      </c>
      <c r="X11951" t="s">
        <v>40454</v>
      </c>
    </row>
    <row r="11952" spans="1:24">
      <c r="A11952">
        <f>HYPERLINK("https://www.philgeps.gov.ph/GEPSNONPILOT/Tender/SplashBidNoticeAbstractUI.aspx?menuIndex=3&amp;refID=7021177&amp;Result=3","7021177")</f>
        <v>0</v>
      </c>
      <c r="B11952" t="s">
        <v>1389</v>
      </c>
      <c r="C11952" t="s">
        <v>14523</v>
      </c>
      <c r="D11952" t="s">
        <v>16187</v>
      </c>
      <c r="E11952" t="s">
        <v>26655</v>
      </c>
      <c r="F11952" t="s">
        <v>28198</v>
      </c>
      <c r="G11952" t="s">
        <v>28205</v>
      </c>
      <c r="H11952" t="s">
        <v>28215</v>
      </c>
      <c r="I11952" t="s">
        <v>28234</v>
      </c>
      <c r="J11952" t="s">
        <v>28363</v>
      </c>
      <c r="K11952" t="s">
        <v>36689</v>
      </c>
      <c r="M11952" t="s">
        <v>38453</v>
      </c>
      <c r="N11952" t="s">
        <v>40436</v>
      </c>
      <c r="O11952" t="s">
        <v>40437</v>
      </c>
      <c r="P11952">
        <v>0</v>
      </c>
      <c r="Q11952">
        <v>7</v>
      </c>
      <c r="R11952" t="s">
        <v>40453</v>
      </c>
      <c r="S11952" t="s">
        <v>41237</v>
      </c>
      <c r="T11952" t="s">
        <v>42209</v>
      </c>
      <c r="U11952" t="s">
        <v>52459</v>
      </c>
      <c r="W11952" t="s">
        <v>38453</v>
      </c>
      <c r="X11952" t="s">
        <v>40454</v>
      </c>
    </row>
    <row r="11953" spans="1:24">
      <c r="A11953">
        <f>HYPERLINK("https://www.philgeps.gov.ph/GEPSNONPILOT/Tender/SplashBidNoticeAbstractUI.aspx?menuIndex=3&amp;refID=7021214&amp;Result=3","7021214")</f>
        <v>0</v>
      </c>
      <c r="B11953" t="s">
        <v>1064</v>
      </c>
      <c r="C11953" t="s">
        <v>14524</v>
      </c>
      <c r="D11953" t="s">
        <v>16290</v>
      </c>
      <c r="E11953" t="s">
        <v>26656</v>
      </c>
      <c r="F11953" t="s">
        <v>28198</v>
      </c>
      <c r="G11953" t="s">
        <v>28205</v>
      </c>
      <c r="H11953" t="s">
        <v>28215</v>
      </c>
      <c r="I11953" t="s">
        <v>3422</v>
      </c>
      <c r="J11953" t="s">
        <v>35690</v>
      </c>
      <c r="K11953" t="s">
        <v>36719</v>
      </c>
      <c r="M11953" t="s">
        <v>40226</v>
      </c>
      <c r="N11953" t="s">
        <v>40436</v>
      </c>
      <c r="O11953" t="s">
        <v>40437</v>
      </c>
      <c r="Q11953">
        <v>3</v>
      </c>
      <c r="R11953" t="s">
        <v>40453</v>
      </c>
      <c r="S11953" t="s">
        <v>41294</v>
      </c>
      <c r="T11953" t="s">
        <v>42297</v>
      </c>
      <c r="U11953" t="s">
        <v>52460</v>
      </c>
      <c r="V11953" t="s">
        <v>55145</v>
      </c>
      <c r="W11953" t="s">
        <v>38097</v>
      </c>
      <c r="X11953" t="s">
        <v>40454</v>
      </c>
    </row>
    <row r="11954" spans="1:24">
      <c r="A11954">
        <f>HYPERLINK("https://www.philgeps.gov.ph/GEPSNONPILOT/Tender/SplashBidNoticeAbstractUI.aspx?menuIndex=3&amp;refID=7021192&amp;Result=3","7021192")</f>
        <v>0</v>
      </c>
      <c r="B11954" t="s">
        <v>2268</v>
      </c>
      <c r="C11954" t="s">
        <v>14525</v>
      </c>
      <c r="D11954" t="s">
        <v>16199</v>
      </c>
      <c r="E11954" t="s">
        <v>14525</v>
      </c>
      <c r="F11954" t="s">
        <v>28198</v>
      </c>
      <c r="G11954" t="s">
        <v>28207</v>
      </c>
      <c r="H11954" t="s">
        <v>28215</v>
      </c>
      <c r="I11954" t="s">
        <v>5100</v>
      </c>
      <c r="J11954" t="s">
        <v>35691</v>
      </c>
      <c r="K11954" t="s">
        <v>36687</v>
      </c>
      <c r="M11954" t="s">
        <v>39439</v>
      </c>
      <c r="N11954" t="s">
        <v>40436</v>
      </c>
      <c r="O11954" t="s">
        <v>40437</v>
      </c>
      <c r="P11954">
        <v>0</v>
      </c>
      <c r="Q11954">
        <v>1</v>
      </c>
      <c r="R11954" t="s">
        <v>40453</v>
      </c>
      <c r="S11954" t="s">
        <v>41237</v>
      </c>
      <c r="T11954" t="s">
        <v>42133</v>
      </c>
      <c r="U11954" t="s">
        <v>52102</v>
      </c>
      <c r="W11954" t="s">
        <v>39439</v>
      </c>
      <c r="X11954" t="s">
        <v>40454</v>
      </c>
    </row>
    <row r="11955" spans="1:24">
      <c r="A11955">
        <f>HYPERLINK("https://www.philgeps.gov.ph/GEPSNONPILOT/Tender/SplashBidNoticeAbstractUI.aspx?menuIndex=3&amp;refID=7021197&amp;Result=3","7021197")</f>
        <v>0</v>
      </c>
      <c r="B11955" t="s">
        <v>2072</v>
      </c>
      <c r="C11955" t="s">
        <v>14526</v>
      </c>
      <c r="D11955" t="s">
        <v>16192</v>
      </c>
      <c r="E11955" t="s">
        <v>26657</v>
      </c>
      <c r="F11955" t="s">
        <v>28198</v>
      </c>
      <c r="G11955" t="s">
        <v>28205</v>
      </c>
      <c r="H11955" t="s">
        <v>28214</v>
      </c>
      <c r="I11955" t="s">
        <v>3797</v>
      </c>
      <c r="J11955" t="s">
        <v>35692</v>
      </c>
      <c r="K11955" t="s">
        <v>36823</v>
      </c>
      <c r="M11955" t="s">
        <v>39221</v>
      </c>
      <c r="N11955" t="s">
        <v>40436</v>
      </c>
      <c r="O11955" t="s">
        <v>40437</v>
      </c>
      <c r="P11955">
        <v>0</v>
      </c>
      <c r="Q11955">
        <v>2</v>
      </c>
      <c r="R11955" t="s">
        <v>40453</v>
      </c>
      <c r="S11955" t="s">
        <v>41237</v>
      </c>
      <c r="T11955" t="s">
        <v>42112</v>
      </c>
      <c r="U11955" t="s">
        <v>52461</v>
      </c>
      <c r="V11955" t="s">
        <v>54462</v>
      </c>
      <c r="W11955" t="s">
        <v>40206</v>
      </c>
      <c r="X11955" t="s">
        <v>40454</v>
      </c>
    </row>
    <row r="11956" spans="1:24">
      <c r="A11956">
        <f>HYPERLINK("https://www.philgeps.gov.ph/GEPSNONPILOT/Tender/SplashBidNoticeAbstractUI.aspx?menuIndex=3&amp;refID=7021195&amp;Result=3","7021195")</f>
        <v>0</v>
      </c>
      <c r="B11956" t="s">
        <v>2430</v>
      </c>
      <c r="C11956" t="s">
        <v>14527</v>
      </c>
      <c r="D11956" t="s">
        <v>16248</v>
      </c>
      <c r="E11956" t="s">
        <v>26658</v>
      </c>
      <c r="F11956" t="s">
        <v>28198</v>
      </c>
      <c r="G11956" t="s">
        <v>28205</v>
      </c>
      <c r="H11956" t="s">
        <v>28214</v>
      </c>
      <c r="I11956" t="s">
        <v>3797</v>
      </c>
      <c r="J11956" t="s">
        <v>31508</v>
      </c>
      <c r="K11956" t="s">
        <v>36697</v>
      </c>
      <c r="M11956" t="s">
        <v>39618</v>
      </c>
      <c r="N11956" t="s">
        <v>40436</v>
      </c>
      <c r="O11956" t="s">
        <v>40437</v>
      </c>
      <c r="P11956">
        <v>0</v>
      </c>
      <c r="Q11956">
        <v>0</v>
      </c>
      <c r="R11956" t="s">
        <v>40453</v>
      </c>
      <c r="S11956" t="s">
        <v>41237</v>
      </c>
      <c r="T11956" t="s">
        <v>42129</v>
      </c>
      <c r="U11956" t="s">
        <v>52462</v>
      </c>
      <c r="V11956" t="s">
        <v>54654</v>
      </c>
      <c r="W11956" t="s">
        <v>39618</v>
      </c>
      <c r="X11956" t="s">
        <v>40454</v>
      </c>
    </row>
    <row r="11957" spans="1:24">
      <c r="A11957">
        <f>HYPERLINK("https://www.philgeps.gov.ph/GEPSNONPILOT/Tender/SplashBidNoticeAbstractUI.aspx?menuIndex=3&amp;refID=7021184&amp;Result=3","7021184")</f>
        <v>0</v>
      </c>
      <c r="B11957" t="s">
        <v>1194</v>
      </c>
      <c r="C11957" t="s">
        <v>14528</v>
      </c>
      <c r="D11957" t="s">
        <v>16258</v>
      </c>
      <c r="E11957" t="s">
        <v>26659</v>
      </c>
      <c r="F11957" t="s">
        <v>28198</v>
      </c>
      <c r="G11957" t="s">
        <v>28205</v>
      </c>
      <c r="H11957" t="s">
        <v>28214</v>
      </c>
      <c r="I11957" t="s">
        <v>3797</v>
      </c>
      <c r="J11957" t="s">
        <v>35693</v>
      </c>
      <c r="K11957" t="s">
        <v>36689</v>
      </c>
      <c r="M11957" t="s">
        <v>38238</v>
      </c>
      <c r="N11957" t="s">
        <v>40436</v>
      </c>
      <c r="O11957" t="s">
        <v>40437</v>
      </c>
      <c r="P11957">
        <v>0</v>
      </c>
      <c r="Q11957">
        <v>0</v>
      </c>
      <c r="R11957" t="s">
        <v>40453</v>
      </c>
      <c r="S11957" t="s">
        <v>41237</v>
      </c>
      <c r="T11957" t="s">
        <v>42128</v>
      </c>
      <c r="U11957" t="s">
        <v>52463</v>
      </c>
      <c r="W11957" t="s">
        <v>38238</v>
      </c>
      <c r="X11957" t="s">
        <v>40454</v>
      </c>
    </row>
    <row r="11958" spans="1:24">
      <c r="A11958">
        <f>HYPERLINK("https://www.philgeps.gov.ph/GEPSNONPILOT/Tender/SplashBidNoticeAbstractUI.aspx?menuIndex=3&amp;refID=7021228&amp;Result=3","7021228")</f>
        <v>0</v>
      </c>
      <c r="B11958" t="s">
        <v>1330</v>
      </c>
      <c r="C11958" t="s">
        <v>14529</v>
      </c>
      <c r="D11958" t="s">
        <v>16262</v>
      </c>
      <c r="E11958" t="s">
        <v>26660</v>
      </c>
      <c r="F11958" t="s">
        <v>28198</v>
      </c>
      <c r="G11958" t="s">
        <v>28205</v>
      </c>
      <c r="H11958" t="s">
        <v>28214</v>
      </c>
      <c r="I11958" t="s">
        <v>3797</v>
      </c>
      <c r="J11958" t="s">
        <v>35694</v>
      </c>
      <c r="K11958" t="s">
        <v>36866</v>
      </c>
      <c r="M11958" t="s">
        <v>39853</v>
      </c>
      <c r="N11958" t="s">
        <v>40436</v>
      </c>
      <c r="O11958" t="s">
        <v>40437</v>
      </c>
      <c r="P11958">
        <v>0</v>
      </c>
      <c r="Q11958">
        <v>0</v>
      </c>
      <c r="R11958" t="s">
        <v>40453</v>
      </c>
      <c r="S11958" t="s">
        <v>41237</v>
      </c>
      <c r="T11958" t="s">
        <v>42177</v>
      </c>
      <c r="U11958" t="s">
        <v>50392</v>
      </c>
      <c r="W11958" t="s">
        <v>39853</v>
      </c>
      <c r="X11958" t="s">
        <v>40454</v>
      </c>
    </row>
    <row r="11959" spans="1:24">
      <c r="A11959">
        <f>HYPERLINK("https://www.philgeps.gov.ph/GEPSNONPILOT/Tender/SplashBidNoticeAbstractUI.aspx?menuIndex=3&amp;refID=7021215&amp;Result=3","7021215")</f>
        <v>0</v>
      </c>
      <c r="B11959" t="s">
        <v>2268</v>
      </c>
      <c r="C11959" t="s">
        <v>14530</v>
      </c>
      <c r="D11959" t="s">
        <v>16199</v>
      </c>
      <c r="E11959" t="s">
        <v>14530</v>
      </c>
      <c r="F11959" t="s">
        <v>28198</v>
      </c>
      <c r="G11959" t="s">
        <v>28207</v>
      </c>
      <c r="H11959" t="s">
        <v>28215</v>
      </c>
      <c r="I11959" t="s">
        <v>5100</v>
      </c>
      <c r="J11959" t="s">
        <v>35695</v>
      </c>
      <c r="K11959" t="s">
        <v>36706</v>
      </c>
      <c r="M11959" t="s">
        <v>39439</v>
      </c>
      <c r="N11959" t="s">
        <v>40436</v>
      </c>
      <c r="O11959" t="s">
        <v>40437</v>
      </c>
      <c r="P11959">
        <v>0</v>
      </c>
      <c r="Q11959">
        <v>1</v>
      </c>
      <c r="R11959" t="s">
        <v>40453</v>
      </c>
      <c r="S11959" t="s">
        <v>41237</v>
      </c>
      <c r="T11959" t="s">
        <v>42133</v>
      </c>
      <c r="U11959" t="s">
        <v>52102</v>
      </c>
      <c r="W11959" t="s">
        <v>39439</v>
      </c>
      <c r="X11959" t="s">
        <v>40454</v>
      </c>
    </row>
    <row r="11960" spans="1:24">
      <c r="A11960">
        <f>HYPERLINK("https://www.philgeps.gov.ph/GEPSNONPILOT/Tender/SplashBidNoticeAbstractUI.aspx?menuIndex=3&amp;refID=7021151&amp;Result=3","7021151")</f>
        <v>0</v>
      </c>
      <c r="B11960" t="s">
        <v>2603</v>
      </c>
      <c r="C11960" t="s">
        <v>14531</v>
      </c>
      <c r="D11960" t="s">
        <v>16194</v>
      </c>
      <c r="E11960" t="s">
        <v>26661</v>
      </c>
      <c r="F11960" t="s">
        <v>28198</v>
      </c>
      <c r="G11960" t="s">
        <v>28205</v>
      </c>
      <c r="H11960" t="s">
        <v>28214</v>
      </c>
      <c r="I11960" t="s">
        <v>3797</v>
      </c>
      <c r="J11960" t="s">
        <v>35696</v>
      </c>
      <c r="K11960" t="s">
        <v>36690</v>
      </c>
      <c r="M11960" t="s">
        <v>39821</v>
      </c>
      <c r="N11960" t="s">
        <v>40436</v>
      </c>
      <c r="O11960" t="s">
        <v>40437</v>
      </c>
      <c r="P11960">
        <v>0</v>
      </c>
      <c r="Q11960">
        <v>14</v>
      </c>
      <c r="R11960" t="s">
        <v>40453</v>
      </c>
      <c r="S11960" t="s">
        <v>41237</v>
      </c>
      <c r="T11960" t="s">
        <v>42133</v>
      </c>
      <c r="U11960" t="s">
        <v>52464</v>
      </c>
      <c r="W11960" t="s">
        <v>55521</v>
      </c>
      <c r="X11960" t="s">
        <v>40454</v>
      </c>
    </row>
    <row r="11961" spans="1:24">
      <c r="A11961">
        <f>HYPERLINK("https://www.philgeps.gov.ph/GEPSNONPILOT/Tender/SplashBidNoticeAbstractUI.aspx?menuIndex=3&amp;refID=7021181&amp;Result=3","7021181")</f>
        <v>0</v>
      </c>
      <c r="B11961" t="s">
        <v>2268</v>
      </c>
      <c r="C11961" t="s">
        <v>14532</v>
      </c>
      <c r="D11961" t="s">
        <v>16199</v>
      </c>
      <c r="E11961" t="s">
        <v>14532</v>
      </c>
      <c r="F11961" t="s">
        <v>28198</v>
      </c>
      <c r="G11961" t="s">
        <v>28207</v>
      </c>
      <c r="H11961" t="s">
        <v>28215</v>
      </c>
      <c r="I11961" t="s">
        <v>5100</v>
      </c>
      <c r="J11961" t="s">
        <v>35697</v>
      </c>
      <c r="K11961" t="s">
        <v>36706</v>
      </c>
      <c r="M11961" t="s">
        <v>39439</v>
      </c>
      <c r="N11961" t="s">
        <v>40436</v>
      </c>
      <c r="O11961" t="s">
        <v>40437</v>
      </c>
      <c r="P11961">
        <v>0</v>
      </c>
      <c r="Q11961">
        <v>1</v>
      </c>
      <c r="R11961" t="s">
        <v>40453</v>
      </c>
      <c r="S11961" t="s">
        <v>41237</v>
      </c>
      <c r="T11961" t="s">
        <v>42133</v>
      </c>
      <c r="U11961" t="s">
        <v>52102</v>
      </c>
      <c r="W11961" t="s">
        <v>39439</v>
      </c>
      <c r="X11961" t="s">
        <v>40454</v>
      </c>
    </row>
    <row r="11962" spans="1:24">
      <c r="A11962">
        <f>HYPERLINK("https://www.philgeps.gov.ph/GEPSNONPILOT/Tender/SplashBidNoticeAbstractUI.aspx?menuIndex=3&amp;refID=7021222&amp;Result=3","7021222")</f>
        <v>0</v>
      </c>
      <c r="B11962" t="s">
        <v>1731</v>
      </c>
      <c r="C11962" t="s">
        <v>14533</v>
      </c>
      <c r="D11962" t="s">
        <v>16193</v>
      </c>
      <c r="E11962" t="s">
        <v>26662</v>
      </c>
      <c r="F11962" t="s">
        <v>28198</v>
      </c>
      <c r="G11962" t="s">
        <v>28205</v>
      </c>
      <c r="H11962" t="s">
        <v>28215</v>
      </c>
      <c r="I11962" t="s">
        <v>28234</v>
      </c>
      <c r="J11962" t="s">
        <v>28397</v>
      </c>
      <c r="K11962" t="s">
        <v>36701</v>
      </c>
      <c r="M11962" t="s">
        <v>38842</v>
      </c>
      <c r="N11962" t="s">
        <v>40436</v>
      </c>
      <c r="O11962" t="s">
        <v>40437</v>
      </c>
      <c r="P11962">
        <v>0</v>
      </c>
      <c r="Q11962">
        <v>0</v>
      </c>
      <c r="R11962" t="s">
        <v>40453</v>
      </c>
      <c r="S11962" t="s">
        <v>41237</v>
      </c>
      <c r="T11962" t="s">
        <v>42119</v>
      </c>
      <c r="U11962" t="s">
        <v>52465</v>
      </c>
      <c r="W11962" t="s">
        <v>38842</v>
      </c>
      <c r="X11962" t="s">
        <v>40454</v>
      </c>
    </row>
    <row r="11963" spans="1:24">
      <c r="A11963">
        <f>HYPERLINK("https://www.philgeps.gov.ph/GEPSNONPILOT/Tender/SplashBidNoticeAbstractUI.aspx?menuIndex=3&amp;refID=7021232&amp;Result=3","7021232")</f>
        <v>0</v>
      </c>
      <c r="B11963" t="s">
        <v>2233</v>
      </c>
      <c r="C11963" t="s">
        <v>14534</v>
      </c>
      <c r="D11963" t="s">
        <v>16248</v>
      </c>
      <c r="E11963" t="s">
        <v>26663</v>
      </c>
      <c r="F11963" t="s">
        <v>28198</v>
      </c>
      <c r="G11963" t="s">
        <v>28205</v>
      </c>
      <c r="H11963" t="s">
        <v>28215</v>
      </c>
      <c r="I11963" t="s">
        <v>28234</v>
      </c>
      <c r="J11963" t="s">
        <v>28699</v>
      </c>
      <c r="K11963" t="s">
        <v>36694</v>
      </c>
      <c r="M11963" t="s">
        <v>39401</v>
      </c>
      <c r="N11963" t="s">
        <v>40436</v>
      </c>
      <c r="O11963" t="s">
        <v>40437</v>
      </c>
      <c r="P11963">
        <v>0</v>
      </c>
      <c r="Q11963">
        <v>15</v>
      </c>
      <c r="R11963" t="s">
        <v>40453</v>
      </c>
      <c r="S11963" t="s">
        <v>41237</v>
      </c>
      <c r="T11963" t="s">
        <v>42102</v>
      </c>
      <c r="U11963" t="s">
        <v>52205</v>
      </c>
      <c r="V11963" t="s">
        <v>55104</v>
      </c>
      <c r="W11963" t="s">
        <v>39401</v>
      </c>
      <c r="X11963" t="s">
        <v>40454</v>
      </c>
    </row>
    <row r="11964" spans="1:24">
      <c r="A11964">
        <f>HYPERLINK("https://www.philgeps.gov.ph/GEPSNONPILOT/Tender/SplashBidNoticeAbstractUI.aspx?menuIndex=3&amp;refID=7021235&amp;Result=3","7021235")</f>
        <v>0</v>
      </c>
      <c r="B11964" t="s">
        <v>2268</v>
      </c>
      <c r="C11964" t="s">
        <v>14535</v>
      </c>
      <c r="D11964" t="s">
        <v>16199</v>
      </c>
      <c r="E11964" t="s">
        <v>14535</v>
      </c>
      <c r="F11964" t="s">
        <v>28198</v>
      </c>
      <c r="G11964" t="s">
        <v>28207</v>
      </c>
      <c r="H11964" t="s">
        <v>28215</v>
      </c>
      <c r="I11964" t="s">
        <v>5100</v>
      </c>
      <c r="J11964" t="s">
        <v>35698</v>
      </c>
      <c r="K11964" t="s">
        <v>36706</v>
      </c>
      <c r="M11964" t="s">
        <v>39439</v>
      </c>
      <c r="N11964" t="s">
        <v>40436</v>
      </c>
      <c r="O11964" t="s">
        <v>40437</v>
      </c>
      <c r="P11964">
        <v>0</v>
      </c>
      <c r="Q11964">
        <v>1</v>
      </c>
      <c r="R11964" t="s">
        <v>40453</v>
      </c>
      <c r="S11964" t="s">
        <v>41237</v>
      </c>
      <c r="T11964" t="s">
        <v>42133</v>
      </c>
      <c r="U11964" t="s">
        <v>52102</v>
      </c>
      <c r="W11964" t="s">
        <v>39439</v>
      </c>
      <c r="X11964" t="s">
        <v>40454</v>
      </c>
    </row>
    <row r="11965" spans="1:24">
      <c r="A11965">
        <f>HYPERLINK("https://www.philgeps.gov.ph/GEPSNONPILOT/Tender/SplashBidNoticeAbstractUI.aspx?menuIndex=3&amp;refID=7021163&amp;Result=3","7021163")</f>
        <v>0</v>
      </c>
      <c r="B11965" t="s">
        <v>1330</v>
      </c>
      <c r="C11965" t="s">
        <v>14536</v>
      </c>
      <c r="D11965" t="s">
        <v>16262</v>
      </c>
      <c r="E11965" t="s">
        <v>26664</v>
      </c>
      <c r="F11965" t="s">
        <v>28198</v>
      </c>
      <c r="G11965" t="s">
        <v>28205</v>
      </c>
      <c r="H11965" t="s">
        <v>28214</v>
      </c>
      <c r="I11965" t="s">
        <v>3797</v>
      </c>
      <c r="J11965" t="s">
        <v>35699</v>
      </c>
      <c r="K11965" t="s">
        <v>36798</v>
      </c>
      <c r="M11965" t="s">
        <v>39853</v>
      </c>
      <c r="N11965" t="s">
        <v>40436</v>
      </c>
      <c r="O11965" t="s">
        <v>40437</v>
      </c>
      <c r="P11965">
        <v>0</v>
      </c>
      <c r="Q11965">
        <v>0</v>
      </c>
      <c r="R11965" t="s">
        <v>40453</v>
      </c>
      <c r="S11965" t="s">
        <v>41237</v>
      </c>
      <c r="T11965" t="s">
        <v>42177</v>
      </c>
      <c r="U11965" t="s">
        <v>52466</v>
      </c>
      <c r="W11965" t="s">
        <v>39853</v>
      </c>
      <c r="X11965" t="s">
        <v>40454</v>
      </c>
    </row>
    <row r="11966" spans="1:24">
      <c r="A11966">
        <f>HYPERLINK("https://www.philgeps.gov.ph/GEPSNONPILOT/Tender/SplashBidNoticeAbstractUI.aspx?menuIndex=3&amp;refID=7021234&amp;Result=3","7021234")</f>
        <v>0</v>
      </c>
      <c r="B11966" t="s">
        <v>2072</v>
      </c>
      <c r="C11966" t="s">
        <v>14537</v>
      </c>
      <c r="D11966" t="s">
        <v>16192</v>
      </c>
      <c r="E11966" t="s">
        <v>26665</v>
      </c>
      <c r="F11966" t="s">
        <v>28198</v>
      </c>
      <c r="G11966" t="s">
        <v>28205</v>
      </c>
      <c r="H11966" t="s">
        <v>28214</v>
      </c>
      <c r="I11966" t="s">
        <v>3797</v>
      </c>
      <c r="J11966" t="s">
        <v>28379</v>
      </c>
      <c r="K11966" t="s">
        <v>36694</v>
      </c>
      <c r="M11966" t="s">
        <v>39221</v>
      </c>
      <c r="N11966" t="s">
        <v>40436</v>
      </c>
      <c r="O11966" t="s">
        <v>40437</v>
      </c>
      <c r="P11966">
        <v>0</v>
      </c>
      <c r="Q11966">
        <v>2</v>
      </c>
      <c r="R11966" t="s">
        <v>40453</v>
      </c>
      <c r="S11966" t="s">
        <v>41237</v>
      </c>
      <c r="T11966" t="s">
        <v>42112</v>
      </c>
      <c r="U11966" t="s">
        <v>52467</v>
      </c>
      <c r="V11966" t="s">
        <v>54462</v>
      </c>
      <c r="W11966" t="s">
        <v>40206</v>
      </c>
      <c r="X11966" t="s">
        <v>40454</v>
      </c>
    </row>
    <row r="11967" spans="1:24">
      <c r="A11967">
        <f>HYPERLINK("https://www.philgeps.gov.ph/GEPSNONPILOT/Tender/SplashBidNoticeAbstractUI.aspx?menuIndex=3&amp;refID=7021142&amp;Result=3","7021142")</f>
        <v>0</v>
      </c>
      <c r="B11967" t="s">
        <v>1389</v>
      </c>
      <c r="C11967" t="s">
        <v>14538</v>
      </c>
      <c r="D11967" t="s">
        <v>16187</v>
      </c>
      <c r="E11967" t="s">
        <v>26666</v>
      </c>
      <c r="F11967" t="s">
        <v>28198</v>
      </c>
      <c r="G11967" t="s">
        <v>28205</v>
      </c>
      <c r="H11967" t="s">
        <v>28215</v>
      </c>
      <c r="I11967" t="s">
        <v>4200</v>
      </c>
      <c r="J11967" t="s">
        <v>35700</v>
      </c>
      <c r="K11967" t="s">
        <v>36689</v>
      </c>
      <c r="M11967" t="s">
        <v>38453</v>
      </c>
      <c r="N11967" t="s">
        <v>40436</v>
      </c>
      <c r="O11967" t="s">
        <v>40437</v>
      </c>
      <c r="P11967">
        <v>0</v>
      </c>
      <c r="Q11967">
        <v>1</v>
      </c>
      <c r="R11967" t="s">
        <v>40453</v>
      </c>
      <c r="S11967" t="s">
        <v>41237</v>
      </c>
      <c r="T11967" t="s">
        <v>42209</v>
      </c>
      <c r="U11967" t="s">
        <v>52468</v>
      </c>
      <c r="W11967" t="s">
        <v>38453</v>
      </c>
      <c r="X11967" t="s">
        <v>40454</v>
      </c>
    </row>
    <row r="11968" spans="1:24">
      <c r="A11968">
        <f>HYPERLINK("https://www.philgeps.gov.ph/GEPSNONPILOT/Tender/SplashBidNoticeAbstractUI.aspx?menuIndex=3&amp;refID=7021292&amp;Result=3","7021292")</f>
        <v>0</v>
      </c>
      <c r="B11968" t="s">
        <v>2943</v>
      </c>
      <c r="C11968" t="s">
        <v>14539</v>
      </c>
      <c r="D11968" t="s">
        <v>16228</v>
      </c>
      <c r="E11968" t="s">
        <v>26667</v>
      </c>
      <c r="F11968" t="s">
        <v>28198</v>
      </c>
      <c r="G11968" t="s">
        <v>28205</v>
      </c>
      <c r="H11968" t="s">
        <v>28214</v>
      </c>
      <c r="I11968" t="s">
        <v>3797</v>
      </c>
      <c r="J11968" t="s">
        <v>28347</v>
      </c>
      <c r="K11968" t="s">
        <v>36690</v>
      </c>
      <c r="M11968" t="s">
        <v>40227</v>
      </c>
      <c r="N11968" t="s">
        <v>40436</v>
      </c>
      <c r="O11968" t="s">
        <v>40437</v>
      </c>
      <c r="P11968">
        <v>0</v>
      </c>
      <c r="Q11968">
        <v>0</v>
      </c>
      <c r="R11968" t="s">
        <v>40453</v>
      </c>
      <c r="S11968" t="s">
        <v>41237</v>
      </c>
      <c r="T11968" t="s">
        <v>42176</v>
      </c>
      <c r="U11968" t="s">
        <v>52469</v>
      </c>
      <c r="W11968" t="s">
        <v>40227</v>
      </c>
      <c r="X11968" t="s">
        <v>40454</v>
      </c>
    </row>
    <row r="11969" spans="1:24">
      <c r="A11969">
        <f>HYPERLINK("https://www.philgeps.gov.ph/GEPSNONPILOT/Tender/SplashBidNoticeAbstractUI.aspx?menuIndex=3&amp;refID=7021257&amp;Result=3","7021257")</f>
        <v>0</v>
      </c>
      <c r="B11969" t="s">
        <v>2268</v>
      </c>
      <c r="C11969" t="s">
        <v>14540</v>
      </c>
      <c r="D11969" t="s">
        <v>16199</v>
      </c>
      <c r="E11969" t="s">
        <v>26668</v>
      </c>
      <c r="F11969" t="s">
        <v>28198</v>
      </c>
      <c r="G11969" t="s">
        <v>28205</v>
      </c>
      <c r="H11969" t="s">
        <v>28215</v>
      </c>
      <c r="I11969" t="s">
        <v>5100</v>
      </c>
      <c r="J11969" t="s">
        <v>35701</v>
      </c>
      <c r="K11969" t="s">
        <v>36707</v>
      </c>
      <c r="M11969" t="s">
        <v>39439</v>
      </c>
      <c r="N11969" t="s">
        <v>40436</v>
      </c>
      <c r="O11969" t="s">
        <v>40437</v>
      </c>
      <c r="P11969">
        <v>0</v>
      </c>
      <c r="Q11969">
        <v>3</v>
      </c>
      <c r="R11969" t="s">
        <v>40453</v>
      </c>
      <c r="S11969" t="s">
        <v>41237</v>
      </c>
      <c r="T11969" t="s">
        <v>42133</v>
      </c>
      <c r="U11969" t="s">
        <v>52470</v>
      </c>
      <c r="W11969" t="s">
        <v>39439</v>
      </c>
      <c r="X11969" t="s">
        <v>40454</v>
      </c>
    </row>
    <row r="11970" spans="1:24">
      <c r="A11970">
        <f>HYPERLINK("https://www.philgeps.gov.ph/GEPSNONPILOT/Tender/SplashBidNoticeAbstractUI.aspx?menuIndex=3&amp;refID=7021240&amp;Result=3","7021240")</f>
        <v>0</v>
      </c>
      <c r="B11970" t="s">
        <v>2664</v>
      </c>
      <c r="C11970" t="s">
        <v>14541</v>
      </c>
      <c r="D11970" t="s">
        <v>16244</v>
      </c>
      <c r="E11970" t="s">
        <v>26669</v>
      </c>
      <c r="F11970" t="s">
        <v>28198</v>
      </c>
      <c r="G11970" t="s">
        <v>28205</v>
      </c>
      <c r="H11970" t="s">
        <v>28215</v>
      </c>
      <c r="I11970" t="s">
        <v>3797</v>
      </c>
      <c r="J11970" t="s">
        <v>35702</v>
      </c>
      <c r="K11970" t="s">
        <v>36920</v>
      </c>
      <c r="M11970" t="s">
        <v>39891</v>
      </c>
      <c r="N11970" t="s">
        <v>40436</v>
      </c>
      <c r="O11970" t="s">
        <v>40437</v>
      </c>
      <c r="P11970">
        <v>0</v>
      </c>
      <c r="Q11970">
        <v>0</v>
      </c>
      <c r="R11970" t="s">
        <v>40453</v>
      </c>
      <c r="S11970" t="s">
        <v>41237</v>
      </c>
      <c r="T11970" t="s">
        <v>42134</v>
      </c>
      <c r="U11970" t="s">
        <v>52471</v>
      </c>
      <c r="W11970" t="s">
        <v>39891</v>
      </c>
      <c r="X11970" t="s">
        <v>40454</v>
      </c>
    </row>
    <row r="11971" spans="1:24">
      <c r="A11971">
        <f>HYPERLINK("https://www.philgeps.gov.ph/GEPSNONPILOT/Tender/SplashBidNoticeAbstractUI.aspx?menuIndex=3&amp;refID=7021272&amp;Result=3","7021272")</f>
        <v>0</v>
      </c>
      <c r="B11971" t="s">
        <v>1729</v>
      </c>
      <c r="C11971" t="s">
        <v>14542</v>
      </c>
      <c r="D11971" t="s">
        <v>16249</v>
      </c>
      <c r="E11971" t="s">
        <v>26670</v>
      </c>
      <c r="F11971" t="s">
        <v>28198</v>
      </c>
      <c r="G11971" t="s">
        <v>28205</v>
      </c>
      <c r="H11971" t="s">
        <v>28215</v>
      </c>
      <c r="I11971" t="s">
        <v>28320</v>
      </c>
      <c r="J11971" t="s">
        <v>28699</v>
      </c>
      <c r="K11971" t="s">
        <v>36690</v>
      </c>
      <c r="M11971" t="s">
        <v>38838</v>
      </c>
      <c r="N11971" t="s">
        <v>40436</v>
      </c>
      <c r="O11971" t="s">
        <v>40437</v>
      </c>
      <c r="P11971">
        <v>0</v>
      </c>
      <c r="Q11971">
        <v>11</v>
      </c>
      <c r="R11971" t="s">
        <v>40453</v>
      </c>
      <c r="S11971" t="s">
        <v>41237</v>
      </c>
      <c r="T11971" t="s">
        <v>42129</v>
      </c>
      <c r="U11971" t="s">
        <v>51025</v>
      </c>
      <c r="W11971" t="s">
        <v>55493</v>
      </c>
      <c r="X11971" t="s">
        <v>40454</v>
      </c>
    </row>
    <row r="11972" spans="1:24">
      <c r="A11972">
        <f>HYPERLINK("https://www.philgeps.gov.ph/GEPSNONPILOT/Tender/SplashBidNoticeAbstractUI.aspx?menuIndex=3&amp;refID=7021281&amp;Result=3","7021281")</f>
        <v>0</v>
      </c>
      <c r="B11972" t="s">
        <v>2072</v>
      </c>
      <c r="C11972" t="s">
        <v>14543</v>
      </c>
      <c r="D11972" t="s">
        <v>16192</v>
      </c>
      <c r="E11972" t="s">
        <v>26671</v>
      </c>
      <c r="F11972" t="s">
        <v>28198</v>
      </c>
      <c r="G11972" t="s">
        <v>28205</v>
      </c>
      <c r="H11972" t="s">
        <v>28214</v>
      </c>
      <c r="I11972" t="s">
        <v>3797</v>
      </c>
      <c r="J11972" t="s">
        <v>28398</v>
      </c>
      <c r="K11972" t="s">
        <v>36694</v>
      </c>
      <c r="M11972" t="s">
        <v>39221</v>
      </c>
      <c r="N11972" t="s">
        <v>40436</v>
      </c>
      <c r="O11972" t="s">
        <v>40437</v>
      </c>
      <c r="P11972">
        <v>0</v>
      </c>
      <c r="Q11972">
        <v>3</v>
      </c>
      <c r="R11972" t="s">
        <v>40453</v>
      </c>
      <c r="S11972" t="s">
        <v>41237</v>
      </c>
      <c r="T11972" t="s">
        <v>42112</v>
      </c>
      <c r="U11972" t="s">
        <v>52472</v>
      </c>
      <c r="V11972" t="s">
        <v>54462</v>
      </c>
      <c r="W11972" t="s">
        <v>40206</v>
      </c>
      <c r="X11972" t="s">
        <v>40454</v>
      </c>
    </row>
    <row r="11973" spans="1:24">
      <c r="A11973">
        <f>HYPERLINK("https://www.philgeps.gov.ph/GEPSNONPILOT/Tender/SplashBidNoticeAbstractUI.aspx?menuIndex=3&amp;refID=7021271&amp;Result=3","7021271")</f>
        <v>0</v>
      </c>
      <c r="B11973" t="s">
        <v>2268</v>
      </c>
      <c r="C11973" t="s">
        <v>14544</v>
      </c>
      <c r="D11973" t="s">
        <v>16199</v>
      </c>
      <c r="E11973" t="s">
        <v>26672</v>
      </c>
      <c r="F11973" t="s">
        <v>28198</v>
      </c>
      <c r="G11973" t="s">
        <v>28205</v>
      </c>
      <c r="H11973" t="s">
        <v>28215</v>
      </c>
      <c r="I11973" t="s">
        <v>5082</v>
      </c>
      <c r="J11973" t="s">
        <v>35703</v>
      </c>
      <c r="K11973" t="s">
        <v>36707</v>
      </c>
      <c r="M11973" t="s">
        <v>39439</v>
      </c>
      <c r="N11973" t="s">
        <v>40436</v>
      </c>
      <c r="O11973" t="s">
        <v>40437</v>
      </c>
      <c r="P11973">
        <v>0</v>
      </c>
      <c r="Q11973">
        <v>0</v>
      </c>
      <c r="R11973" t="s">
        <v>40453</v>
      </c>
      <c r="S11973" t="s">
        <v>41237</v>
      </c>
      <c r="T11973" t="s">
        <v>42133</v>
      </c>
      <c r="U11973" t="s">
        <v>52470</v>
      </c>
      <c r="W11973" t="s">
        <v>39439</v>
      </c>
      <c r="X11973" t="s">
        <v>40454</v>
      </c>
    </row>
    <row r="11974" spans="1:24">
      <c r="A11974">
        <f>HYPERLINK("https://www.philgeps.gov.ph/GEPSNONPILOT/Tender/SplashBidNoticeAbstractUI.aspx?menuIndex=3&amp;refID=7021247&amp;Result=3","7021247")</f>
        <v>0</v>
      </c>
      <c r="B11974" t="s">
        <v>2268</v>
      </c>
      <c r="C11974" t="s">
        <v>14545</v>
      </c>
      <c r="D11974" t="s">
        <v>16199</v>
      </c>
      <c r="E11974" t="s">
        <v>14545</v>
      </c>
      <c r="F11974" t="s">
        <v>28198</v>
      </c>
      <c r="G11974" t="s">
        <v>28207</v>
      </c>
      <c r="H11974" t="s">
        <v>28215</v>
      </c>
      <c r="I11974" t="s">
        <v>5100</v>
      </c>
      <c r="J11974" t="s">
        <v>35704</v>
      </c>
      <c r="K11974" t="s">
        <v>36719</v>
      </c>
      <c r="M11974" t="s">
        <v>39439</v>
      </c>
      <c r="N11974" t="s">
        <v>40436</v>
      </c>
      <c r="O11974" t="s">
        <v>40437</v>
      </c>
      <c r="P11974">
        <v>0</v>
      </c>
      <c r="Q11974">
        <v>1</v>
      </c>
      <c r="R11974" t="s">
        <v>40453</v>
      </c>
      <c r="S11974" t="s">
        <v>41237</v>
      </c>
      <c r="T11974" t="s">
        <v>42133</v>
      </c>
      <c r="U11974" t="s">
        <v>52102</v>
      </c>
      <c r="W11974" t="s">
        <v>39439</v>
      </c>
      <c r="X11974" t="s">
        <v>40454</v>
      </c>
    </row>
    <row r="11975" spans="1:24">
      <c r="A11975">
        <f>HYPERLINK("https://www.philgeps.gov.ph/GEPSNONPILOT/Tender/SplashBidNoticeAbstractUI.aspx?menuIndex=3&amp;refID=7021266&amp;Result=3","7021266")</f>
        <v>0</v>
      </c>
      <c r="B11975" t="s">
        <v>1330</v>
      </c>
      <c r="C11975" t="s">
        <v>14546</v>
      </c>
      <c r="D11975" t="s">
        <v>16262</v>
      </c>
      <c r="E11975" t="s">
        <v>26673</v>
      </c>
      <c r="F11975" t="s">
        <v>28198</v>
      </c>
      <c r="G11975" t="s">
        <v>28205</v>
      </c>
      <c r="H11975" t="s">
        <v>28214</v>
      </c>
      <c r="I11975" t="s">
        <v>3797</v>
      </c>
      <c r="J11975" t="s">
        <v>35705</v>
      </c>
      <c r="K11975" t="s">
        <v>36903</v>
      </c>
      <c r="M11975" t="s">
        <v>39853</v>
      </c>
      <c r="N11975" t="s">
        <v>40436</v>
      </c>
      <c r="O11975" t="s">
        <v>40437</v>
      </c>
      <c r="P11975">
        <v>0</v>
      </c>
      <c r="Q11975">
        <v>0</v>
      </c>
      <c r="R11975" t="s">
        <v>40453</v>
      </c>
      <c r="S11975" t="s">
        <v>41237</v>
      </c>
      <c r="T11975" t="s">
        <v>42177</v>
      </c>
      <c r="U11975" t="s">
        <v>52466</v>
      </c>
      <c r="W11975" t="s">
        <v>39853</v>
      </c>
      <c r="X11975" t="s">
        <v>40454</v>
      </c>
    </row>
    <row r="11976" spans="1:24">
      <c r="A11976">
        <f>HYPERLINK("https://www.philgeps.gov.ph/GEPSNONPILOT/Tender/SplashBidNoticeAbstractUI.aspx?menuIndex=3&amp;refID=7021244&amp;Result=3","7021244")</f>
        <v>0</v>
      </c>
      <c r="B11976" t="s">
        <v>1330</v>
      </c>
      <c r="C11976" t="s">
        <v>14547</v>
      </c>
      <c r="D11976" t="s">
        <v>16262</v>
      </c>
      <c r="E11976" t="s">
        <v>26674</v>
      </c>
      <c r="F11976" t="s">
        <v>28198</v>
      </c>
      <c r="G11976" t="s">
        <v>28205</v>
      </c>
      <c r="H11976" t="s">
        <v>28214</v>
      </c>
      <c r="I11976" t="s">
        <v>3797</v>
      </c>
      <c r="J11976" t="s">
        <v>35706</v>
      </c>
      <c r="K11976" t="s">
        <v>36758</v>
      </c>
      <c r="M11976" t="s">
        <v>39853</v>
      </c>
      <c r="N11976" t="s">
        <v>40436</v>
      </c>
      <c r="O11976" t="s">
        <v>40437</v>
      </c>
      <c r="P11976">
        <v>0</v>
      </c>
      <c r="Q11976">
        <v>0</v>
      </c>
      <c r="R11976" t="s">
        <v>40453</v>
      </c>
      <c r="S11976" t="s">
        <v>41237</v>
      </c>
      <c r="T11976" t="s">
        <v>42177</v>
      </c>
      <c r="U11976" t="s">
        <v>52466</v>
      </c>
      <c r="W11976" t="s">
        <v>39853</v>
      </c>
      <c r="X11976" t="s">
        <v>40454</v>
      </c>
    </row>
    <row r="11977" spans="1:24">
      <c r="A11977">
        <f>HYPERLINK("https://www.philgeps.gov.ph/GEPSNONPILOT/Tender/SplashBidNoticeAbstractUI.aspx?menuIndex=3&amp;refID=7021265&amp;Result=3","7021265")</f>
        <v>0</v>
      </c>
      <c r="B11977" t="s">
        <v>332</v>
      </c>
      <c r="C11977" t="s">
        <v>14548</v>
      </c>
      <c r="E11977" t="s">
        <v>26675</v>
      </c>
      <c r="F11977" t="s">
        <v>28198</v>
      </c>
      <c r="G11977" t="s">
        <v>28205</v>
      </c>
      <c r="H11977" t="s">
        <v>28214</v>
      </c>
      <c r="I11977" t="s">
        <v>3797</v>
      </c>
      <c r="J11977" t="s">
        <v>35707</v>
      </c>
      <c r="K11977" t="s">
        <v>36689</v>
      </c>
      <c r="M11977" t="s">
        <v>37310</v>
      </c>
      <c r="N11977" t="s">
        <v>40436</v>
      </c>
      <c r="O11977" t="s">
        <v>40437</v>
      </c>
      <c r="P11977">
        <v>0</v>
      </c>
      <c r="Q11977">
        <v>1</v>
      </c>
      <c r="R11977" t="s">
        <v>40453</v>
      </c>
      <c r="S11977" t="s">
        <v>41237</v>
      </c>
      <c r="T11977" t="s">
        <v>42176</v>
      </c>
      <c r="U11977" t="s">
        <v>52473</v>
      </c>
      <c r="W11977" t="s">
        <v>37310</v>
      </c>
      <c r="X11977" t="s">
        <v>40454</v>
      </c>
    </row>
    <row r="11978" spans="1:24">
      <c r="A11978">
        <f>HYPERLINK("https://www.philgeps.gov.ph/GEPSNONPILOT/Tender/SplashBidNoticeAbstractUI.aspx?menuIndex=3&amp;refID=7021342&amp;Result=3","7021342")</f>
        <v>0</v>
      </c>
      <c r="B11978" t="s">
        <v>2927</v>
      </c>
      <c r="C11978" t="s">
        <v>14549</v>
      </c>
      <c r="D11978" t="s">
        <v>16239</v>
      </c>
      <c r="E11978" t="s">
        <v>26676</v>
      </c>
      <c r="F11978" t="s">
        <v>28198</v>
      </c>
      <c r="G11978" t="s">
        <v>28205</v>
      </c>
      <c r="H11978" t="s">
        <v>28214</v>
      </c>
      <c r="I11978" t="s">
        <v>3797</v>
      </c>
      <c r="J11978" t="s">
        <v>35708</v>
      </c>
      <c r="K11978" t="s">
        <v>36778</v>
      </c>
      <c r="M11978" t="s">
        <v>40203</v>
      </c>
      <c r="N11978" t="s">
        <v>40436</v>
      </c>
      <c r="O11978" t="s">
        <v>40437</v>
      </c>
      <c r="P11978">
        <v>0</v>
      </c>
      <c r="Q11978">
        <v>0</v>
      </c>
      <c r="R11978" t="s">
        <v>40453</v>
      </c>
      <c r="S11978" t="s">
        <v>41237</v>
      </c>
      <c r="T11978" t="s">
        <v>42188</v>
      </c>
      <c r="U11978" t="s">
        <v>52474</v>
      </c>
      <c r="W11978" t="s">
        <v>40203</v>
      </c>
      <c r="X11978" t="s">
        <v>40454</v>
      </c>
    </row>
    <row r="11979" spans="1:24">
      <c r="A11979">
        <f>HYPERLINK("https://www.philgeps.gov.ph/GEPSNONPILOT/Tender/SplashBidNoticeAbstractUI.aspx?menuIndex=3&amp;refID=7021337&amp;Result=3","7021337")</f>
        <v>0</v>
      </c>
      <c r="B11979" t="s">
        <v>2927</v>
      </c>
      <c r="C11979" t="s">
        <v>14550</v>
      </c>
      <c r="D11979" t="s">
        <v>16239</v>
      </c>
      <c r="E11979" t="s">
        <v>26677</v>
      </c>
      <c r="F11979" t="s">
        <v>28198</v>
      </c>
      <c r="G11979" t="s">
        <v>28205</v>
      </c>
      <c r="H11979" t="s">
        <v>28214</v>
      </c>
      <c r="I11979" t="s">
        <v>3797</v>
      </c>
      <c r="J11979" t="s">
        <v>35709</v>
      </c>
      <c r="K11979" t="s">
        <v>36802</v>
      </c>
      <c r="M11979" t="s">
        <v>40203</v>
      </c>
      <c r="N11979" t="s">
        <v>40436</v>
      </c>
      <c r="O11979" t="s">
        <v>40437</v>
      </c>
      <c r="P11979">
        <v>0</v>
      </c>
      <c r="Q11979">
        <v>0</v>
      </c>
      <c r="R11979" t="s">
        <v>40453</v>
      </c>
      <c r="S11979" t="s">
        <v>41237</v>
      </c>
      <c r="T11979" t="s">
        <v>42188</v>
      </c>
      <c r="U11979" t="s">
        <v>52474</v>
      </c>
      <c r="W11979" t="s">
        <v>40203</v>
      </c>
      <c r="X11979" t="s">
        <v>40454</v>
      </c>
    </row>
    <row r="11980" spans="1:24">
      <c r="A11980">
        <f>HYPERLINK("https://www.philgeps.gov.ph/GEPSNONPILOT/Tender/SplashBidNoticeAbstractUI.aspx?menuIndex=3&amp;refID=7021319&amp;Result=3","7021319")</f>
        <v>0</v>
      </c>
      <c r="B11980" t="s">
        <v>2944</v>
      </c>
      <c r="C11980" t="s">
        <v>14551</v>
      </c>
      <c r="D11980" t="s">
        <v>16203</v>
      </c>
      <c r="E11980" t="s">
        <v>26678</v>
      </c>
      <c r="F11980" t="s">
        <v>28198</v>
      </c>
      <c r="G11980" t="s">
        <v>28205</v>
      </c>
      <c r="H11980" t="s">
        <v>28215</v>
      </c>
      <c r="I11980" t="s">
        <v>4200</v>
      </c>
      <c r="J11980" t="s">
        <v>35710</v>
      </c>
      <c r="K11980" t="s">
        <v>36715</v>
      </c>
      <c r="M11980" t="s">
        <v>40228</v>
      </c>
      <c r="N11980" t="s">
        <v>40436</v>
      </c>
      <c r="O11980" t="s">
        <v>40437</v>
      </c>
      <c r="Q11980">
        <v>6</v>
      </c>
      <c r="R11980" t="s">
        <v>40453</v>
      </c>
      <c r="S11980" t="s">
        <v>41295</v>
      </c>
      <c r="T11980" t="s">
        <v>42159</v>
      </c>
      <c r="U11980" t="s">
        <v>52475</v>
      </c>
      <c r="W11980" t="s">
        <v>40228</v>
      </c>
      <c r="X11980" t="s">
        <v>40454</v>
      </c>
    </row>
    <row r="11981" spans="1:24">
      <c r="A11981">
        <f>HYPERLINK("https://www.philgeps.gov.ph/GEPSNONPILOT/Tender/SplashBidNoticeAbstractUI.aspx?menuIndex=3&amp;refID=7021259&amp;Result=3","7021259")</f>
        <v>0</v>
      </c>
      <c r="B11981" t="s">
        <v>2072</v>
      </c>
      <c r="C11981" t="s">
        <v>14552</v>
      </c>
      <c r="D11981" t="s">
        <v>16192</v>
      </c>
      <c r="E11981" t="s">
        <v>26679</v>
      </c>
      <c r="F11981" t="s">
        <v>28198</v>
      </c>
      <c r="G11981" t="s">
        <v>28205</v>
      </c>
      <c r="H11981" t="s">
        <v>28214</v>
      </c>
      <c r="I11981" t="s">
        <v>3797</v>
      </c>
      <c r="J11981" t="s">
        <v>28818</v>
      </c>
      <c r="K11981" t="s">
        <v>36737</v>
      </c>
      <c r="M11981" t="s">
        <v>39221</v>
      </c>
      <c r="N11981" t="s">
        <v>40436</v>
      </c>
      <c r="O11981" t="s">
        <v>40437</v>
      </c>
      <c r="P11981">
        <v>0</v>
      </c>
      <c r="Q11981">
        <v>1</v>
      </c>
      <c r="R11981" t="s">
        <v>40453</v>
      </c>
      <c r="S11981" t="s">
        <v>41237</v>
      </c>
      <c r="T11981" t="s">
        <v>42112</v>
      </c>
      <c r="U11981" t="s">
        <v>52476</v>
      </c>
      <c r="V11981" t="s">
        <v>54462</v>
      </c>
      <c r="W11981" t="s">
        <v>40206</v>
      </c>
      <c r="X11981" t="s">
        <v>40454</v>
      </c>
    </row>
    <row r="11982" spans="1:24">
      <c r="A11982">
        <f>HYPERLINK("https://www.philgeps.gov.ph/GEPSNONPILOT/Tender/SplashBidNoticeAbstractUI.aspx?menuIndex=3&amp;refID=7021330&amp;Result=3","7021330")</f>
        <v>0</v>
      </c>
      <c r="B11982" t="s">
        <v>2945</v>
      </c>
      <c r="C11982" t="s">
        <v>6293</v>
      </c>
      <c r="D11982" t="s">
        <v>16223</v>
      </c>
      <c r="E11982" t="s">
        <v>26680</v>
      </c>
      <c r="F11982" t="s">
        <v>28198</v>
      </c>
      <c r="G11982" t="s">
        <v>28205</v>
      </c>
      <c r="H11982" t="s">
        <v>28215</v>
      </c>
      <c r="I11982" t="s">
        <v>28256</v>
      </c>
      <c r="J11982" t="s">
        <v>32519</v>
      </c>
      <c r="K11982" t="s">
        <v>36715</v>
      </c>
      <c r="M11982" t="s">
        <v>40229</v>
      </c>
      <c r="N11982" t="s">
        <v>40436</v>
      </c>
      <c r="O11982" t="s">
        <v>40437</v>
      </c>
      <c r="Q11982">
        <v>17</v>
      </c>
      <c r="R11982" t="s">
        <v>40453</v>
      </c>
      <c r="S11982" t="s">
        <v>41296</v>
      </c>
      <c r="T11982" t="s">
        <v>42103</v>
      </c>
      <c r="U11982" t="s">
        <v>52477</v>
      </c>
      <c r="W11982" t="s">
        <v>40229</v>
      </c>
      <c r="X11982" t="s">
        <v>40454</v>
      </c>
    </row>
    <row r="11983" spans="1:24">
      <c r="A11983">
        <f>HYPERLINK("https://www.philgeps.gov.ph/GEPSNONPILOT/Tender/SplashBidNoticeAbstractUI.aspx?menuIndex=3&amp;refID=7021410&amp;Result=3","7021410")</f>
        <v>0</v>
      </c>
      <c r="B11983" t="s">
        <v>1023</v>
      </c>
      <c r="C11983" t="s">
        <v>14553</v>
      </c>
      <c r="D11983" t="s">
        <v>16265</v>
      </c>
      <c r="E11983" t="s">
        <v>26681</v>
      </c>
      <c r="F11983" t="s">
        <v>28198</v>
      </c>
      <c r="G11983" t="s">
        <v>28205</v>
      </c>
      <c r="H11983" t="s">
        <v>28215</v>
      </c>
      <c r="I11983" t="s">
        <v>4321</v>
      </c>
      <c r="J11983" t="s">
        <v>35711</v>
      </c>
      <c r="K11983" t="s">
        <v>36701</v>
      </c>
      <c r="M11983" t="s">
        <v>38054</v>
      </c>
      <c r="N11983" t="s">
        <v>40436</v>
      </c>
      <c r="O11983" t="s">
        <v>40437</v>
      </c>
      <c r="P11983">
        <v>0</v>
      </c>
      <c r="Q11983">
        <v>1</v>
      </c>
      <c r="R11983" t="s">
        <v>40453</v>
      </c>
      <c r="S11983" t="s">
        <v>41237</v>
      </c>
      <c r="T11983" t="s">
        <v>42133</v>
      </c>
      <c r="U11983" t="s">
        <v>52478</v>
      </c>
      <c r="W11983" t="s">
        <v>38054</v>
      </c>
      <c r="X11983" t="s">
        <v>40454</v>
      </c>
    </row>
    <row r="11984" spans="1:24">
      <c r="A11984">
        <f>HYPERLINK("https://www.philgeps.gov.ph/GEPSNONPILOT/Tender/SplashBidNoticeAbstractUI.aspx?menuIndex=3&amp;refID=7021347&amp;Result=3","7021347")</f>
        <v>0</v>
      </c>
      <c r="B11984" t="s">
        <v>2927</v>
      </c>
      <c r="C11984" t="s">
        <v>14554</v>
      </c>
      <c r="D11984" t="s">
        <v>16239</v>
      </c>
      <c r="E11984" t="s">
        <v>26682</v>
      </c>
      <c r="F11984" t="s">
        <v>28198</v>
      </c>
      <c r="G11984" t="s">
        <v>28205</v>
      </c>
      <c r="H11984" t="s">
        <v>28214</v>
      </c>
      <c r="I11984" t="s">
        <v>3797</v>
      </c>
      <c r="J11984" t="s">
        <v>28390</v>
      </c>
      <c r="K11984" t="s">
        <v>36697</v>
      </c>
      <c r="M11984" t="s">
        <v>40203</v>
      </c>
      <c r="N11984" t="s">
        <v>40436</v>
      </c>
      <c r="O11984" t="s">
        <v>40437</v>
      </c>
      <c r="P11984">
        <v>0</v>
      </c>
      <c r="Q11984">
        <v>1</v>
      </c>
      <c r="R11984" t="s">
        <v>40453</v>
      </c>
      <c r="S11984" t="s">
        <v>41237</v>
      </c>
      <c r="T11984" t="s">
        <v>42188</v>
      </c>
      <c r="U11984" t="s">
        <v>52479</v>
      </c>
      <c r="W11984" t="s">
        <v>40203</v>
      </c>
      <c r="X11984" t="s">
        <v>40454</v>
      </c>
    </row>
    <row r="11985" spans="1:24">
      <c r="A11985">
        <f>HYPERLINK("https://www.philgeps.gov.ph/GEPSNONPILOT/Tender/SplashBidNoticeAbstractUI.aspx?menuIndex=3&amp;refID=7021333&amp;Result=3","7021333")</f>
        <v>0</v>
      </c>
      <c r="B11985" t="s">
        <v>2927</v>
      </c>
      <c r="C11985" t="s">
        <v>14555</v>
      </c>
      <c r="D11985" t="s">
        <v>16239</v>
      </c>
      <c r="E11985" t="s">
        <v>26683</v>
      </c>
      <c r="F11985" t="s">
        <v>28198</v>
      </c>
      <c r="G11985" t="s">
        <v>28205</v>
      </c>
      <c r="H11985" t="s">
        <v>28214</v>
      </c>
      <c r="I11985" t="s">
        <v>3797</v>
      </c>
      <c r="J11985" t="s">
        <v>35712</v>
      </c>
      <c r="K11985" t="s">
        <v>36805</v>
      </c>
      <c r="M11985" t="s">
        <v>40203</v>
      </c>
      <c r="N11985" t="s">
        <v>40436</v>
      </c>
      <c r="O11985" t="s">
        <v>40437</v>
      </c>
      <c r="P11985">
        <v>0</v>
      </c>
      <c r="Q11985">
        <v>0</v>
      </c>
      <c r="R11985" t="s">
        <v>40453</v>
      </c>
      <c r="S11985" t="s">
        <v>41237</v>
      </c>
      <c r="T11985" t="s">
        <v>42188</v>
      </c>
      <c r="U11985" t="s">
        <v>52480</v>
      </c>
      <c r="W11985" t="s">
        <v>40203</v>
      </c>
      <c r="X11985" t="s">
        <v>40454</v>
      </c>
    </row>
    <row r="11986" spans="1:24">
      <c r="A11986">
        <f>HYPERLINK("https://www.philgeps.gov.ph/GEPSNONPILOT/Tender/SplashBidNoticeAbstractUI.aspx?menuIndex=3&amp;refID=7021370&amp;Result=3","7021370")</f>
        <v>0</v>
      </c>
      <c r="B11986" t="s">
        <v>1189</v>
      </c>
      <c r="C11986" t="s">
        <v>14556</v>
      </c>
      <c r="D11986" t="s">
        <v>16235</v>
      </c>
      <c r="E11986" t="s">
        <v>26684</v>
      </c>
      <c r="F11986" t="s">
        <v>28198</v>
      </c>
      <c r="G11986" t="s">
        <v>28205</v>
      </c>
      <c r="H11986" t="s">
        <v>28214</v>
      </c>
      <c r="I11986" t="s">
        <v>3797</v>
      </c>
      <c r="J11986" t="s">
        <v>35227</v>
      </c>
      <c r="K11986" t="s">
        <v>36716</v>
      </c>
      <c r="M11986" t="s">
        <v>40230</v>
      </c>
      <c r="N11986" t="s">
        <v>40436</v>
      </c>
      <c r="O11986" t="s">
        <v>40437</v>
      </c>
      <c r="Q11986">
        <v>2</v>
      </c>
      <c r="R11986" t="s">
        <v>40453</v>
      </c>
      <c r="S11986" t="s">
        <v>41297</v>
      </c>
      <c r="T11986" t="s">
        <v>42159</v>
      </c>
      <c r="U11986" t="s">
        <v>52481</v>
      </c>
      <c r="V11986" t="s">
        <v>55146</v>
      </c>
      <c r="W11986" t="s">
        <v>40230</v>
      </c>
      <c r="X11986" t="s">
        <v>40454</v>
      </c>
    </row>
    <row r="11987" spans="1:24">
      <c r="A11987">
        <f>HYPERLINK("https://www.philgeps.gov.ph/GEPSNONPILOT/Tender/SplashBidNoticeAbstractUI.aspx?menuIndex=3&amp;refID=7021395&amp;Result=3","7021395")</f>
        <v>0</v>
      </c>
      <c r="B11987" t="s">
        <v>2946</v>
      </c>
      <c r="C11987" t="s">
        <v>14557</v>
      </c>
      <c r="D11987" t="s">
        <v>16218</v>
      </c>
      <c r="E11987" t="s">
        <v>26685</v>
      </c>
      <c r="F11987" t="s">
        <v>28198</v>
      </c>
      <c r="G11987" t="s">
        <v>28205</v>
      </c>
      <c r="H11987" t="s">
        <v>28215</v>
      </c>
      <c r="I11987" t="s">
        <v>28249</v>
      </c>
      <c r="J11987" t="s">
        <v>28379</v>
      </c>
      <c r="K11987" t="s">
        <v>36694</v>
      </c>
      <c r="M11987" t="s">
        <v>40231</v>
      </c>
      <c r="N11987" t="s">
        <v>40436</v>
      </c>
      <c r="O11987" t="s">
        <v>40437</v>
      </c>
      <c r="P11987">
        <v>0</v>
      </c>
      <c r="Q11987">
        <v>1</v>
      </c>
      <c r="R11987" t="s">
        <v>40453</v>
      </c>
      <c r="S11987" t="s">
        <v>41237</v>
      </c>
      <c r="T11987" t="s">
        <v>42177</v>
      </c>
      <c r="U11987" t="s">
        <v>52482</v>
      </c>
      <c r="W11987" t="s">
        <v>40231</v>
      </c>
      <c r="X11987" t="s">
        <v>40454</v>
      </c>
    </row>
    <row r="11988" spans="1:24">
      <c r="A11988">
        <f>HYPERLINK("https://www.philgeps.gov.ph/GEPSNONPILOT/Tender/SplashBidNoticeAbstractUI.aspx?menuIndex=3&amp;refID=7021355&amp;Result=3","7021355")</f>
        <v>0</v>
      </c>
      <c r="B11988" t="s">
        <v>445</v>
      </c>
      <c r="C11988" t="s">
        <v>14558</v>
      </c>
      <c r="D11988" t="s">
        <v>16202</v>
      </c>
      <c r="E11988" t="s">
        <v>26686</v>
      </c>
      <c r="F11988" t="s">
        <v>28198</v>
      </c>
      <c r="G11988" t="s">
        <v>28205</v>
      </c>
      <c r="H11988" t="s">
        <v>28215</v>
      </c>
      <c r="I11988" t="s">
        <v>28254</v>
      </c>
      <c r="J11988" t="s">
        <v>35713</v>
      </c>
      <c r="K11988" t="s">
        <v>36692</v>
      </c>
      <c r="M11988" t="s">
        <v>37429</v>
      </c>
      <c r="N11988" t="s">
        <v>40436</v>
      </c>
      <c r="O11988" t="s">
        <v>40437</v>
      </c>
      <c r="P11988">
        <v>0</v>
      </c>
      <c r="Q11988">
        <v>9</v>
      </c>
      <c r="R11988" t="s">
        <v>40453</v>
      </c>
      <c r="S11988" t="s">
        <v>41237</v>
      </c>
      <c r="T11988" t="s">
        <v>42129</v>
      </c>
      <c r="U11988" t="s">
        <v>43410</v>
      </c>
      <c r="W11988" t="s">
        <v>37429</v>
      </c>
      <c r="X11988" t="s">
        <v>40454</v>
      </c>
    </row>
    <row r="11989" spans="1:24">
      <c r="A11989">
        <f>HYPERLINK("https://www.philgeps.gov.ph/GEPSNONPILOT/Tender/SplashBidNoticeAbstractUI.aspx?menuIndex=3&amp;refID=7021389&amp;Result=3","7021389")</f>
        <v>0</v>
      </c>
      <c r="B11989" t="s">
        <v>2946</v>
      </c>
      <c r="C11989" t="s">
        <v>14559</v>
      </c>
      <c r="D11989" t="s">
        <v>16218</v>
      </c>
      <c r="E11989" t="s">
        <v>26687</v>
      </c>
      <c r="F11989" t="s">
        <v>28198</v>
      </c>
      <c r="G11989" t="s">
        <v>28205</v>
      </c>
      <c r="H11989" t="s">
        <v>28215</v>
      </c>
      <c r="I11989" t="s">
        <v>28222</v>
      </c>
      <c r="J11989" t="s">
        <v>29437</v>
      </c>
      <c r="K11989" t="s">
        <v>36717</v>
      </c>
      <c r="M11989" t="s">
        <v>40231</v>
      </c>
      <c r="N11989" t="s">
        <v>40436</v>
      </c>
      <c r="O11989" t="s">
        <v>40437</v>
      </c>
      <c r="P11989">
        <v>0</v>
      </c>
      <c r="Q11989">
        <v>3</v>
      </c>
      <c r="R11989" t="s">
        <v>40453</v>
      </c>
      <c r="S11989" t="s">
        <v>41237</v>
      </c>
      <c r="T11989" t="s">
        <v>42177</v>
      </c>
      <c r="U11989" t="s">
        <v>52483</v>
      </c>
      <c r="W11989" t="s">
        <v>40231</v>
      </c>
      <c r="X11989" t="s">
        <v>40454</v>
      </c>
    </row>
    <row r="11990" spans="1:24">
      <c r="A11990">
        <f>HYPERLINK("https://www.philgeps.gov.ph/GEPSNONPILOT/Tender/SplashBidNoticeAbstractUI.aspx?menuIndex=3&amp;refID=7021406&amp;Result=3","7021406")</f>
        <v>0</v>
      </c>
      <c r="B11990" t="s">
        <v>1023</v>
      </c>
      <c r="C11990" t="s">
        <v>14560</v>
      </c>
      <c r="D11990" t="s">
        <v>16265</v>
      </c>
      <c r="E11990" t="s">
        <v>26688</v>
      </c>
      <c r="F11990" t="s">
        <v>28198</v>
      </c>
      <c r="G11990" t="s">
        <v>28205</v>
      </c>
      <c r="H11990" t="s">
        <v>28215</v>
      </c>
      <c r="I11990" t="s">
        <v>28222</v>
      </c>
      <c r="J11990" t="s">
        <v>30496</v>
      </c>
      <c r="K11990" t="s">
        <v>36701</v>
      </c>
      <c r="M11990" t="s">
        <v>38054</v>
      </c>
      <c r="N11990" t="s">
        <v>40436</v>
      </c>
      <c r="O11990" t="s">
        <v>40437</v>
      </c>
      <c r="P11990">
        <v>0</v>
      </c>
      <c r="Q11990">
        <v>3</v>
      </c>
      <c r="R11990" t="s">
        <v>40453</v>
      </c>
      <c r="S11990" t="s">
        <v>41237</v>
      </c>
      <c r="T11990" t="s">
        <v>42133</v>
      </c>
      <c r="U11990" t="s">
        <v>52484</v>
      </c>
      <c r="W11990" t="s">
        <v>38054</v>
      </c>
      <c r="X11990" t="s">
        <v>40454</v>
      </c>
    </row>
    <row r="11991" spans="1:24">
      <c r="A11991">
        <f>HYPERLINK("https://www.philgeps.gov.ph/GEPSNONPILOT/Tender/SplashBidNoticeAbstractUI.aspx?menuIndex=3&amp;refID=7021465&amp;Result=3","7021465")</f>
        <v>0</v>
      </c>
      <c r="B11991" t="s">
        <v>2947</v>
      </c>
      <c r="C11991" t="s">
        <v>14561</v>
      </c>
      <c r="D11991" t="s">
        <v>16188</v>
      </c>
      <c r="E11991" t="s">
        <v>26689</v>
      </c>
      <c r="F11991" t="s">
        <v>28198</v>
      </c>
      <c r="G11991" t="s">
        <v>28205</v>
      </c>
      <c r="H11991" t="s">
        <v>28214</v>
      </c>
      <c r="I11991" t="s">
        <v>3797</v>
      </c>
      <c r="J11991" t="s">
        <v>35714</v>
      </c>
      <c r="K11991" t="s">
        <v>36689</v>
      </c>
      <c r="L11991" t="s">
        <v>2947</v>
      </c>
      <c r="M11991" t="s">
        <v>40232</v>
      </c>
      <c r="N11991" t="s">
        <v>40436</v>
      </c>
      <c r="O11991" t="s">
        <v>40437</v>
      </c>
      <c r="Q11991">
        <v>1</v>
      </c>
      <c r="R11991" t="s">
        <v>40453</v>
      </c>
      <c r="S11991" t="s">
        <v>41298</v>
      </c>
      <c r="T11991" t="s">
        <v>42133</v>
      </c>
      <c r="U11991" t="s">
        <v>52485</v>
      </c>
      <c r="V11991" t="s">
        <v>55147</v>
      </c>
      <c r="W11991" t="s">
        <v>40232</v>
      </c>
      <c r="X11991" t="s">
        <v>40454</v>
      </c>
    </row>
    <row r="11992" spans="1:24">
      <c r="A11992">
        <f>HYPERLINK("https://www.philgeps.gov.ph/GEPSNONPILOT/Tender/SplashBidNoticeAbstractUI.aspx?menuIndex=3&amp;refID=7021327&amp;Result=3","7021327")</f>
        <v>0</v>
      </c>
      <c r="B11992" t="s">
        <v>2927</v>
      </c>
      <c r="C11992" t="s">
        <v>14562</v>
      </c>
      <c r="D11992" t="s">
        <v>16239</v>
      </c>
      <c r="E11992" t="s">
        <v>26690</v>
      </c>
      <c r="F11992" t="s">
        <v>28198</v>
      </c>
      <c r="G11992" t="s">
        <v>28205</v>
      </c>
      <c r="H11992" t="s">
        <v>28214</v>
      </c>
      <c r="I11992" t="s">
        <v>3797</v>
      </c>
      <c r="J11992" t="s">
        <v>35715</v>
      </c>
      <c r="K11992" t="s">
        <v>36880</v>
      </c>
      <c r="M11992" t="s">
        <v>40203</v>
      </c>
      <c r="N11992" t="s">
        <v>40436</v>
      </c>
      <c r="O11992" t="s">
        <v>40437</v>
      </c>
      <c r="P11992">
        <v>0</v>
      </c>
      <c r="Q11992">
        <v>0</v>
      </c>
      <c r="R11992" t="s">
        <v>40453</v>
      </c>
      <c r="S11992" t="s">
        <v>41237</v>
      </c>
      <c r="T11992" t="s">
        <v>42188</v>
      </c>
      <c r="U11992" t="s">
        <v>52413</v>
      </c>
      <c r="W11992" t="s">
        <v>40203</v>
      </c>
      <c r="X11992" t="s">
        <v>40454</v>
      </c>
    </row>
    <row r="11993" spans="1:24">
      <c r="A11993">
        <f>HYPERLINK("https://www.philgeps.gov.ph/GEPSNONPILOT/Tender/SplashBidNoticeAbstractUI.aspx?menuIndex=3&amp;refID=7021449&amp;Result=3","7021449")</f>
        <v>0</v>
      </c>
      <c r="B11993" t="s">
        <v>2947</v>
      </c>
      <c r="C11993" t="s">
        <v>14563</v>
      </c>
      <c r="D11993" t="s">
        <v>16188</v>
      </c>
      <c r="E11993" t="s">
        <v>26691</v>
      </c>
      <c r="F11993" t="s">
        <v>28198</v>
      </c>
      <c r="G11993" t="s">
        <v>28205</v>
      </c>
      <c r="H11993" t="s">
        <v>28214</v>
      </c>
      <c r="I11993" t="s">
        <v>3797</v>
      </c>
      <c r="J11993" t="s">
        <v>35716</v>
      </c>
      <c r="K11993" t="s">
        <v>36689</v>
      </c>
      <c r="L11993" t="s">
        <v>2947</v>
      </c>
      <c r="M11993" t="s">
        <v>40232</v>
      </c>
      <c r="N11993" t="s">
        <v>40436</v>
      </c>
      <c r="O11993" t="s">
        <v>40437</v>
      </c>
      <c r="Q11993">
        <v>1</v>
      </c>
      <c r="R11993" t="s">
        <v>40453</v>
      </c>
      <c r="S11993" t="s">
        <v>41299</v>
      </c>
      <c r="T11993" t="s">
        <v>42133</v>
      </c>
      <c r="U11993" t="s">
        <v>52485</v>
      </c>
      <c r="V11993" t="s">
        <v>55147</v>
      </c>
      <c r="W11993" t="s">
        <v>40232</v>
      </c>
      <c r="X11993" t="s">
        <v>40454</v>
      </c>
    </row>
    <row r="11994" spans="1:24">
      <c r="A11994">
        <f>HYPERLINK("https://www.philgeps.gov.ph/GEPSNONPILOT/Tender/SplashBidNoticeAbstractUI.aspx?menuIndex=3&amp;refID=7021442&amp;Result=3","7021442")</f>
        <v>0</v>
      </c>
      <c r="B11994" t="s">
        <v>977</v>
      </c>
      <c r="C11994" t="s">
        <v>14564</v>
      </c>
      <c r="D11994" t="s">
        <v>16217</v>
      </c>
      <c r="E11994" t="s">
        <v>26692</v>
      </c>
      <c r="F11994" t="s">
        <v>28198</v>
      </c>
      <c r="G11994" t="s">
        <v>28205</v>
      </c>
      <c r="H11994" t="s">
        <v>28214</v>
      </c>
      <c r="I11994" t="s">
        <v>3797</v>
      </c>
      <c r="J11994" t="s">
        <v>28390</v>
      </c>
      <c r="K11994" t="s">
        <v>36690</v>
      </c>
      <c r="M11994" t="s">
        <v>38003</v>
      </c>
      <c r="N11994" t="s">
        <v>40436</v>
      </c>
      <c r="O11994" t="s">
        <v>40437</v>
      </c>
      <c r="P11994">
        <v>0</v>
      </c>
      <c r="Q11994">
        <v>0</v>
      </c>
      <c r="R11994" t="s">
        <v>40453</v>
      </c>
      <c r="S11994" t="s">
        <v>41237</v>
      </c>
      <c r="T11994" t="s">
        <v>42240</v>
      </c>
      <c r="U11994" t="s">
        <v>52486</v>
      </c>
      <c r="W11994" t="s">
        <v>55543</v>
      </c>
      <c r="X11994" t="s">
        <v>40454</v>
      </c>
    </row>
    <row r="11995" spans="1:24">
      <c r="A11995">
        <f>HYPERLINK("https://www.philgeps.gov.ph/GEPSNONPILOT/Tender/SplashBidNoticeAbstractUI.aspx?menuIndex=3&amp;refID=7021461&amp;Result=3","7021461")</f>
        <v>0</v>
      </c>
      <c r="B11995" t="s">
        <v>2947</v>
      </c>
      <c r="C11995" t="s">
        <v>14565</v>
      </c>
      <c r="D11995" t="s">
        <v>16188</v>
      </c>
      <c r="E11995" t="s">
        <v>26693</v>
      </c>
      <c r="F11995" t="s">
        <v>28198</v>
      </c>
      <c r="G11995" t="s">
        <v>28205</v>
      </c>
      <c r="H11995" t="s">
        <v>28214</v>
      </c>
      <c r="I11995" t="s">
        <v>3797</v>
      </c>
      <c r="J11995" t="s">
        <v>31936</v>
      </c>
      <c r="K11995" t="s">
        <v>36689</v>
      </c>
      <c r="L11995" t="s">
        <v>2947</v>
      </c>
      <c r="M11995" t="s">
        <v>40232</v>
      </c>
      <c r="N11995" t="s">
        <v>40436</v>
      </c>
      <c r="O11995" t="s">
        <v>40437</v>
      </c>
      <c r="P11995">
        <v>0</v>
      </c>
      <c r="Q11995">
        <v>1</v>
      </c>
      <c r="R11995" t="s">
        <v>40453</v>
      </c>
      <c r="S11995" t="s">
        <v>41237</v>
      </c>
      <c r="T11995" t="s">
        <v>42133</v>
      </c>
      <c r="U11995" t="s">
        <v>52485</v>
      </c>
      <c r="V11995" t="s">
        <v>55147</v>
      </c>
      <c r="W11995" t="s">
        <v>40232</v>
      </c>
      <c r="X11995" t="s">
        <v>40454</v>
      </c>
    </row>
    <row r="11996" spans="1:24">
      <c r="A11996">
        <f>HYPERLINK("https://www.philgeps.gov.ph/GEPSNONPILOT/Tender/SplashBidNoticeAbstractUI.aspx?menuIndex=3&amp;refID=7021427&amp;Result=3","7021427")</f>
        <v>0</v>
      </c>
      <c r="B11996" t="s">
        <v>2948</v>
      </c>
      <c r="C11996" t="s">
        <v>14566</v>
      </c>
      <c r="D11996" t="s">
        <v>16189</v>
      </c>
      <c r="E11996" t="s">
        <v>16307</v>
      </c>
      <c r="F11996" t="s">
        <v>28198</v>
      </c>
      <c r="G11996" t="s">
        <v>28205</v>
      </c>
      <c r="H11996" t="s">
        <v>28214</v>
      </c>
      <c r="I11996" t="s">
        <v>3797</v>
      </c>
      <c r="J11996" t="s">
        <v>29409</v>
      </c>
      <c r="K11996" t="s">
        <v>36758</v>
      </c>
      <c r="M11996" t="s">
        <v>40233</v>
      </c>
      <c r="N11996" t="s">
        <v>40436</v>
      </c>
      <c r="O11996" t="s">
        <v>40437</v>
      </c>
      <c r="P11996">
        <v>0</v>
      </c>
      <c r="Q11996">
        <v>0</v>
      </c>
      <c r="R11996" t="s">
        <v>40453</v>
      </c>
      <c r="S11996" t="s">
        <v>41237</v>
      </c>
      <c r="T11996" t="s">
        <v>42119</v>
      </c>
      <c r="U11996" t="s">
        <v>52487</v>
      </c>
      <c r="W11996" t="s">
        <v>40233</v>
      </c>
      <c r="X11996" t="s">
        <v>40454</v>
      </c>
    </row>
    <row r="11997" spans="1:24">
      <c r="A11997">
        <f>HYPERLINK("https://www.philgeps.gov.ph/GEPSNONPILOT/Tender/SplashBidNoticeAbstractUI.aspx?menuIndex=3&amp;refID=7021455&amp;Result=3","7021455")</f>
        <v>0</v>
      </c>
      <c r="B11997" t="s">
        <v>2947</v>
      </c>
      <c r="C11997" t="s">
        <v>14567</v>
      </c>
      <c r="D11997" t="s">
        <v>16188</v>
      </c>
      <c r="E11997" t="s">
        <v>26694</v>
      </c>
      <c r="F11997" t="s">
        <v>28198</v>
      </c>
      <c r="G11997" t="s">
        <v>28205</v>
      </c>
      <c r="H11997" t="s">
        <v>28214</v>
      </c>
      <c r="I11997" t="s">
        <v>3797</v>
      </c>
      <c r="J11997" t="s">
        <v>31937</v>
      </c>
      <c r="K11997" t="s">
        <v>36689</v>
      </c>
      <c r="L11997" t="s">
        <v>2947</v>
      </c>
      <c r="M11997" t="s">
        <v>40232</v>
      </c>
      <c r="N11997" t="s">
        <v>40436</v>
      </c>
      <c r="O11997" t="s">
        <v>40437</v>
      </c>
      <c r="P11997">
        <v>0</v>
      </c>
      <c r="Q11997">
        <v>0</v>
      </c>
      <c r="R11997" t="s">
        <v>40453</v>
      </c>
      <c r="S11997" t="s">
        <v>41237</v>
      </c>
      <c r="T11997" t="s">
        <v>42133</v>
      </c>
      <c r="U11997" t="s">
        <v>52485</v>
      </c>
      <c r="V11997" t="s">
        <v>55147</v>
      </c>
      <c r="W11997" t="s">
        <v>40232</v>
      </c>
      <c r="X11997" t="s">
        <v>40454</v>
      </c>
    </row>
    <row r="11998" spans="1:24">
      <c r="A11998">
        <f>HYPERLINK("https://www.philgeps.gov.ph/GEPSNONPILOT/Tender/SplashBidNoticeAbstractUI.aspx?menuIndex=3&amp;refID=7021429&amp;Result=3","7021429")</f>
        <v>0</v>
      </c>
      <c r="B11998" t="s">
        <v>977</v>
      </c>
      <c r="C11998" t="s">
        <v>14568</v>
      </c>
      <c r="D11998" t="s">
        <v>16217</v>
      </c>
      <c r="E11998" t="s">
        <v>26695</v>
      </c>
      <c r="F11998" t="s">
        <v>28198</v>
      </c>
      <c r="G11998" t="s">
        <v>28205</v>
      </c>
      <c r="H11998" t="s">
        <v>28214</v>
      </c>
      <c r="I11998" t="s">
        <v>3797</v>
      </c>
      <c r="J11998" t="s">
        <v>28347</v>
      </c>
      <c r="K11998" t="s">
        <v>36692</v>
      </c>
      <c r="M11998" t="s">
        <v>38003</v>
      </c>
      <c r="N11998" t="s">
        <v>40436</v>
      </c>
      <c r="O11998" t="s">
        <v>40437</v>
      </c>
      <c r="P11998">
        <v>0</v>
      </c>
      <c r="Q11998">
        <v>0</v>
      </c>
      <c r="R11998" t="s">
        <v>40453</v>
      </c>
      <c r="S11998" t="s">
        <v>41237</v>
      </c>
      <c r="T11998" t="s">
        <v>42240</v>
      </c>
      <c r="U11998" t="s">
        <v>52488</v>
      </c>
      <c r="W11998" t="s">
        <v>55543</v>
      </c>
      <c r="X11998" t="s">
        <v>40454</v>
      </c>
    </row>
    <row r="11999" spans="1:24">
      <c r="A11999">
        <f>HYPERLINK("https://www.philgeps.gov.ph/GEPSNONPILOT/Tender/SplashBidNoticeAbstractUI.aspx?menuIndex=3&amp;refID=7021354&amp;Result=3","7021354")</f>
        <v>0</v>
      </c>
      <c r="B11999" t="s">
        <v>415</v>
      </c>
      <c r="C11999" t="s">
        <v>14569</v>
      </c>
      <c r="D11999" t="s">
        <v>16261</v>
      </c>
      <c r="E11999" t="s">
        <v>19355</v>
      </c>
      <c r="F11999" t="s">
        <v>28198</v>
      </c>
      <c r="G11999" t="s">
        <v>28205</v>
      </c>
      <c r="H11999" t="s">
        <v>28215</v>
      </c>
      <c r="I11999" t="s">
        <v>8888</v>
      </c>
      <c r="J11999" t="s">
        <v>35717</v>
      </c>
      <c r="K11999" t="s">
        <v>36687</v>
      </c>
      <c r="M11999" t="s">
        <v>37397</v>
      </c>
      <c r="N11999" t="s">
        <v>40436</v>
      </c>
      <c r="O11999" t="s">
        <v>40437</v>
      </c>
      <c r="P11999">
        <v>0</v>
      </c>
      <c r="Q11999">
        <v>8</v>
      </c>
      <c r="R11999" t="s">
        <v>40453</v>
      </c>
      <c r="S11999" t="s">
        <v>41237</v>
      </c>
      <c r="T11999" t="s">
        <v>42388</v>
      </c>
      <c r="U11999" t="s">
        <v>52489</v>
      </c>
      <c r="V11999" t="s">
        <v>55148</v>
      </c>
      <c r="W11999" t="s">
        <v>37397</v>
      </c>
      <c r="X11999" t="s">
        <v>40454</v>
      </c>
    </row>
    <row r="12000" spans="1:24">
      <c r="A12000">
        <f>HYPERLINK("https://www.philgeps.gov.ph/GEPSNONPILOT/Tender/SplashBidNoticeAbstractUI.aspx?menuIndex=3&amp;refID=7021414&amp;Result=3","7021414")</f>
        <v>0</v>
      </c>
      <c r="B12000" t="s">
        <v>977</v>
      </c>
      <c r="C12000" t="s">
        <v>14570</v>
      </c>
      <c r="D12000" t="s">
        <v>16217</v>
      </c>
      <c r="E12000" t="s">
        <v>26696</v>
      </c>
      <c r="F12000" t="s">
        <v>28198</v>
      </c>
      <c r="G12000" t="s">
        <v>28205</v>
      </c>
      <c r="H12000" t="s">
        <v>28214</v>
      </c>
      <c r="I12000" t="s">
        <v>3797</v>
      </c>
      <c r="J12000" t="s">
        <v>28347</v>
      </c>
      <c r="K12000" t="s">
        <v>36692</v>
      </c>
      <c r="M12000" t="s">
        <v>38003</v>
      </c>
      <c r="N12000" t="s">
        <v>40436</v>
      </c>
      <c r="O12000" t="s">
        <v>40437</v>
      </c>
      <c r="P12000">
        <v>0</v>
      </c>
      <c r="Q12000">
        <v>1</v>
      </c>
      <c r="R12000" t="s">
        <v>40453</v>
      </c>
      <c r="S12000" t="s">
        <v>41237</v>
      </c>
      <c r="T12000" t="s">
        <v>42240</v>
      </c>
      <c r="U12000" t="s">
        <v>52490</v>
      </c>
      <c r="W12000" t="s">
        <v>55543</v>
      </c>
      <c r="X12000" t="s">
        <v>40454</v>
      </c>
    </row>
    <row r="12001" spans="1:24">
      <c r="A12001">
        <f>HYPERLINK("https://www.philgeps.gov.ph/GEPSNONPILOT/Tender/SplashBidNoticeAbstractUI.aspx?menuIndex=3&amp;refID=7021412&amp;Result=3","7021412")</f>
        <v>0</v>
      </c>
      <c r="B12001" t="s">
        <v>764</v>
      </c>
      <c r="C12001" t="s">
        <v>14571</v>
      </c>
      <c r="D12001" t="s">
        <v>16247</v>
      </c>
      <c r="E12001" t="s">
        <v>26697</v>
      </c>
      <c r="F12001" t="s">
        <v>28198</v>
      </c>
      <c r="G12001" t="s">
        <v>28205</v>
      </c>
      <c r="H12001" t="s">
        <v>28214</v>
      </c>
      <c r="I12001" t="s">
        <v>3797</v>
      </c>
      <c r="J12001" t="s">
        <v>35718</v>
      </c>
      <c r="K12001" t="s">
        <v>36710</v>
      </c>
      <c r="M12001" t="s">
        <v>37767</v>
      </c>
      <c r="N12001" t="s">
        <v>40436</v>
      </c>
      <c r="O12001" t="s">
        <v>40437</v>
      </c>
      <c r="P12001">
        <v>0</v>
      </c>
      <c r="Q12001">
        <v>38</v>
      </c>
      <c r="R12001" t="s">
        <v>40453</v>
      </c>
      <c r="S12001" t="s">
        <v>41237</v>
      </c>
      <c r="T12001" t="s">
        <v>42159</v>
      </c>
      <c r="U12001" t="s">
        <v>52491</v>
      </c>
      <c r="W12001" t="s">
        <v>37767</v>
      </c>
      <c r="X12001" t="s">
        <v>40454</v>
      </c>
    </row>
    <row r="12002" spans="1:24">
      <c r="A12002">
        <f>HYPERLINK("https://www.philgeps.gov.ph/GEPSNONPILOT/Tender/SplashBidNoticeAbstractUI.aspx?menuIndex=3&amp;refID=7021349&amp;Result=3","7021349")</f>
        <v>0</v>
      </c>
      <c r="B12002" t="s">
        <v>1264</v>
      </c>
      <c r="C12002" t="s">
        <v>14572</v>
      </c>
      <c r="D12002" t="s">
        <v>16209</v>
      </c>
      <c r="E12002" t="s">
        <v>26698</v>
      </c>
      <c r="F12002" t="s">
        <v>28198</v>
      </c>
      <c r="G12002" t="s">
        <v>28205</v>
      </c>
      <c r="H12002" t="s">
        <v>28215</v>
      </c>
      <c r="I12002" t="s">
        <v>28281</v>
      </c>
      <c r="J12002" t="s">
        <v>35719</v>
      </c>
      <c r="K12002" t="s">
        <v>36715</v>
      </c>
      <c r="M12002" t="s">
        <v>38314</v>
      </c>
      <c r="N12002" t="s">
        <v>40436</v>
      </c>
      <c r="O12002" t="s">
        <v>40437</v>
      </c>
      <c r="P12002">
        <v>0</v>
      </c>
      <c r="Q12002">
        <v>1</v>
      </c>
      <c r="R12002" t="s">
        <v>40453</v>
      </c>
      <c r="S12002" t="s">
        <v>41237</v>
      </c>
      <c r="T12002" t="s">
        <v>42134</v>
      </c>
      <c r="U12002" t="s">
        <v>47980</v>
      </c>
      <c r="W12002" t="s">
        <v>38314</v>
      </c>
      <c r="X12002" t="s">
        <v>40454</v>
      </c>
    </row>
    <row r="12003" spans="1:24">
      <c r="A12003">
        <f>HYPERLINK("https://www.philgeps.gov.ph/GEPSNONPILOT/Tender/SplashBidNoticeAbstractUI.aspx?menuIndex=3&amp;refID=7021415&amp;Result=3","7021415")</f>
        <v>0</v>
      </c>
      <c r="B12003" t="s">
        <v>764</v>
      </c>
      <c r="C12003" t="s">
        <v>14573</v>
      </c>
      <c r="D12003" t="s">
        <v>16247</v>
      </c>
      <c r="E12003" t="s">
        <v>26699</v>
      </c>
      <c r="F12003" t="s">
        <v>28198</v>
      </c>
      <c r="G12003" t="s">
        <v>28205</v>
      </c>
      <c r="H12003" t="s">
        <v>28214</v>
      </c>
      <c r="I12003" t="s">
        <v>3797</v>
      </c>
      <c r="J12003" t="s">
        <v>35720</v>
      </c>
      <c r="K12003" t="s">
        <v>36710</v>
      </c>
      <c r="M12003" t="s">
        <v>37767</v>
      </c>
      <c r="N12003" t="s">
        <v>40436</v>
      </c>
      <c r="O12003" t="s">
        <v>40437</v>
      </c>
      <c r="P12003">
        <v>0</v>
      </c>
      <c r="Q12003">
        <v>38</v>
      </c>
      <c r="R12003" t="s">
        <v>40453</v>
      </c>
      <c r="S12003" t="s">
        <v>41237</v>
      </c>
      <c r="T12003" t="s">
        <v>42159</v>
      </c>
      <c r="U12003" t="s">
        <v>52492</v>
      </c>
      <c r="W12003" t="s">
        <v>37767</v>
      </c>
      <c r="X12003" t="s">
        <v>40454</v>
      </c>
    </row>
    <row r="12004" spans="1:24">
      <c r="A12004">
        <f>HYPERLINK("https://www.philgeps.gov.ph/GEPSNONPILOT/Tender/SplashBidNoticeAbstractUI.aspx?menuIndex=3&amp;refID=7021411&amp;Result=3","7021411")</f>
        <v>0</v>
      </c>
      <c r="B12004" t="s">
        <v>977</v>
      </c>
      <c r="C12004" t="s">
        <v>14574</v>
      </c>
      <c r="D12004" t="s">
        <v>16217</v>
      </c>
      <c r="E12004" t="s">
        <v>26700</v>
      </c>
      <c r="F12004" t="s">
        <v>28198</v>
      </c>
      <c r="G12004" t="s">
        <v>28205</v>
      </c>
      <c r="H12004" t="s">
        <v>28214</v>
      </c>
      <c r="I12004" t="s">
        <v>3797</v>
      </c>
      <c r="J12004" t="s">
        <v>28347</v>
      </c>
      <c r="K12004" t="s">
        <v>36777</v>
      </c>
      <c r="M12004" t="s">
        <v>38003</v>
      </c>
      <c r="N12004" t="s">
        <v>40436</v>
      </c>
      <c r="O12004" t="s">
        <v>40437</v>
      </c>
      <c r="P12004">
        <v>0</v>
      </c>
      <c r="Q12004">
        <v>0</v>
      </c>
      <c r="R12004" t="s">
        <v>40453</v>
      </c>
      <c r="S12004" t="s">
        <v>41237</v>
      </c>
      <c r="T12004" t="s">
        <v>42240</v>
      </c>
      <c r="U12004" t="s">
        <v>52493</v>
      </c>
      <c r="W12004" t="s">
        <v>55543</v>
      </c>
      <c r="X12004" t="s">
        <v>40454</v>
      </c>
    </row>
    <row r="12005" spans="1:24">
      <c r="A12005">
        <f>HYPERLINK("https://www.philgeps.gov.ph/GEPSNONPILOT/Tender/SplashBidNoticeAbstractUI.aspx?menuIndex=3&amp;refID=7021470&amp;Result=3","7021470")</f>
        <v>0</v>
      </c>
      <c r="B12005" t="s">
        <v>2947</v>
      </c>
      <c r="C12005" t="s">
        <v>14575</v>
      </c>
      <c r="D12005" t="s">
        <v>16188</v>
      </c>
      <c r="E12005" t="s">
        <v>26701</v>
      </c>
      <c r="F12005" t="s">
        <v>28198</v>
      </c>
      <c r="G12005" t="s">
        <v>28205</v>
      </c>
      <c r="H12005" t="s">
        <v>28214</v>
      </c>
      <c r="I12005" t="s">
        <v>3797</v>
      </c>
      <c r="J12005" t="s">
        <v>35721</v>
      </c>
      <c r="K12005" t="s">
        <v>36689</v>
      </c>
      <c r="L12005" t="s">
        <v>2947</v>
      </c>
      <c r="M12005" t="s">
        <v>40232</v>
      </c>
      <c r="N12005" t="s">
        <v>40436</v>
      </c>
      <c r="O12005" t="s">
        <v>40437</v>
      </c>
      <c r="P12005">
        <v>0</v>
      </c>
      <c r="Q12005">
        <v>0</v>
      </c>
      <c r="R12005" t="s">
        <v>40453</v>
      </c>
      <c r="S12005" t="s">
        <v>41237</v>
      </c>
      <c r="T12005" t="s">
        <v>42133</v>
      </c>
      <c r="U12005" t="s">
        <v>52485</v>
      </c>
      <c r="V12005" t="s">
        <v>55147</v>
      </c>
      <c r="W12005" t="s">
        <v>40232</v>
      </c>
      <c r="X12005" t="s">
        <v>40454</v>
      </c>
    </row>
    <row r="12006" spans="1:24">
      <c r="A12006">
        <f>HYPERLINK("https://www.philgeps.gov.ph/GEPSNONPILOT/Tender/SplashBidNoticeAbstractUI.aspx?menuIndex=3&amp;refID=7021522&amp;Result=3","7021522")</f>
        <v>0</v>
      </c>
      <c r="B12006" t="s">
        <v>1600</v>
      </c>
      <c r="C12006" t="s">
        <v>14576</v>
      </c>
      <c r="D12006" t="s">
        <v>16210</v>
      </c>
      <c r="E12006" t="s">
        <v>26702</v>
      </c>
      <c r="F12006" t="s">
        <v>28198</v>
      </c>
      <c r="G12006" t="s">
        <v>28205</v>
      </c>
      <c r="H12006" t="s">
        <v>28215</v>
      </c>
      <c r="I12006" t="s">
        <v>28253</v>
      </c>
      <c r="J12006" t="s">
        <v>35722</v>
      </c>
      <c r="K12006" t="s">
        <v>36689</v>
      </c>
      <c r="M12006" t="s">
        <v>38687</v>
      </c>
      <c r="N12006" t="s">
        <v>40436</v>
      </c>
      <c r="O12006" t="s">
        <v>40437</v>
      </c>
      <c r="Q12006">
        <v>15</v>
      </c>
      <c r="R12006" t="s">
        <v>40453</v>
      </c>
      <c r="S12006" t="s">
        <v>41300</v>
      </c>
      <c r="T12006" t="s">
        <v>42136</v>
      </c>
      <c r="U12006" t="s">
        <v>52494</v>
      </c>
      <c r="W12006" t="s">
        <v>38687</v>
      </c>
      <c r="X12006" t="s">
        <v>40454</v>
      </c>
    </row>
    <row r="12007" spans="1:24">
      <c r="A12007">
        <f>HYPERLINK("https://www.philgeps.gov.ph/GEPSNONPILOT/Tender/SplashBidNoticeAbstractUI.aspx?menuIndex=3&amp;refID=7021500&amp;Result=3","7021500")</f>
        <v>0</v>
      </c>
      <c r="B12007" t="s">
        <v>2273</v>
      </c>
      <c r="C12007" t="s">
        <v>14577</v>
      </c>
      <c r="D12007" t="s">
        <v>16203</v>
      </c>
      <c r="E12007" t="s">
        <v>26703</v>
      </c>
      <c r="F12007" t="s">
        <v>28198</v>
      </c>
      <c r="G12007" t="s">
        <v>28205</v>
      </c>
      <c r="H12007" t="s">
        <v>28215</v>
      </c>
      <c r="I12007" t="s">
        <v>28226</v>
      </c>
      <c r="J12007" t="s">
        <v>35723</v>
      </c>
      <c r="K12007" t="s">
        <v>36687</v>
      </c>
      <c r="L12007" t="s">
        <v>2273</v>
      </c>
      <c r="M12007" t="s">
        <v>39445</v>
      </c>
      <c r="N12007" t="s">
        <v>40436</v>
      </c>
      <c r="O12007" t="s">
        <v>40437</v>
      </c>
      <c r="P12007">
        <v>0</v>
      </c>
      <c r="Q12007">
        <v>3</v>
      </c>
      <c r="R12007" t="s">
        <v>40453</v>
      </c>
      <c r="S12007" t="s">
        <v>41237</v>
      </c>
      <c r="T12007" t="s">
        <v>42134</v>
      </c>
      <c r="U12007" t="s">
        <v>52495</v>
      </c>
      <c r="W12007" t="s">
        <v>39445</v>
      </c>
      <c r="X12007" t="s">
        <v>40454</v>
      </c>
    </row>
    <row r="12008" spans="1:24">
      <c r="A12008">
        <f>HYPERLINK("https://www.philgeps.gov.ph/GEPSNONPILOT/Tender/SplashBidNoticeAbstractUI.aspx?menuIndex=3&amp;refID=7021495&amp;Result=3","7021495")</f>
        <v>0</v>
      </c>
      <c r="B12008" t="s">
        <v>950</v>
      </c>
      <c r="C12008" t="s">
        <v>14578</v>
      </c>
      <c r="D12008" t="s">
        <v>16232</v>
      </c>
      <c r="E12008" t="s">
        <v>26704</v>
      </c>
      <c r="F12008" t="s">
        <v>28198</v>
      </c>
      <c r="G12008" t="s">
        <v>28205</v>
      </c>
      <c r="H12008" t="s">
        <v>28214</v>
      </c>
      <c r="I12008" t="s">
        <v>3797</v>
      </c>
      <c r="J12008" t="s">
        <v>35724</v>
      </c>
      <c r="K12008" t="s">
        <v>36692</v>
      </c>
      <c r="M12008" t="s">
        <v>37974</v>
      </c>
      <c r="N12008" t="s">
        <v>40436</v>
      </c>
      <c r="O12008" t="s">
        <v>40437</v>
      </c>
      <c r="P12008">
        <v>0</v>
      </c>
      <c r="Q12008">
        <v>0</v>
      </c>
      <c r="R12008" t="s">
        <v>40453</v>
      </c>
      <c r="S12008" t="s">
        <v>41237</v>
      </c>
      <c r="T12008" t="s">
        <v>42103</v>
      </c>
      <c r="U12008" t="s">
        <v>52496</v>
      </c>
      <c r="W12008" t="s">
        <v>37974</v>
      </c>
      <c r="X12008" t="s">
        <v>40454</v>
      </c>
    </row>
    <row r="12009" spans="1:24">
      <c r="A12009">
        <f>HYPERLINK("https://www.philgeps.gov.ph/GEPSNONPILOT/Tender/SplashBidNoticeAbstractUI.aspx?menuIndex=3&amp;refID=7021521&amp;Result=3","7021521")</f>
        <v>0</v>
      </c>
      <c r="B12009" t="s">
        <v>950</v>
      </c>
      <c r="C12009" t="s">
        <v>14579</v>
      </c>
      <c r="D12009" t="s">
        <v>16232</v>
      </c>
      <c r="E12009" t="s">
        <v>26705</v>
      </c>
      <c r="F12009" t="s">
        <v>28198</v>
      </c>
      <c r="G12009" t="s">
        <v>28205</v>
      </c>
      <c r="H12009" t="s">
        <v>28214</v>
      </c>
      <c r="I12009" t="s">
        <v>3797</v>
      </c>
      <c r="J12009" t="s">
        <v>35725</v>
      </c>
      <c r="K12009" t="s">
        <v>36694</v>
      </c>
      <c r="M12009" t="s">
        <v>37974</v>
      </c>
      <c r="N12009" t="s">
        <v>40436</v>
      </c>
      <c r="O12009" t="s">
        <v>40437</v>
      </c>
      <c r="P12009">
        <v>0</v>
      </c>
      <c r="Q12009">
        <v>0</v>
      </c>
      <c r="R12009" t="s">
        <v>40453</v>
      </c>
      <c r="S12009" t="s">
        <v>41237</v>
      </c>
      <c r="T12009" t="s">
        <v>42103</v>
      </c>
      <c r="U12009" t="s">
        <v>52496</v>
      </c>
      <c r="W12009" t="s">
        <v>37974</v>
      </c>
      <c r="X12009" t="s">
        <v>40454</v>
      </c>
    </row>
    <row r="12010" spans="1:24">
      <c r="A12010">
        <f>HYPERLINK("https://www.philgeps.gov.ph/GEPSNONPILOT/Tender/SplashBidNoticeAbstractUI.aspx?menuIndex=3&amp;refID=7021486&amp;Result=3","7021486")</f>
        <v>0</v>
      </c>
      <c r="B12010" t="s">
        <v>1638</v>
      </c>
      <c r="C12010" t="s">
        <v>14580</v>
      </c>
      <c r="D12010" t="s">
        <v>16193</v>
      </c>
      <c r="E12010" t="s">
        <v>26706</v>
      </c>
      <c r="F12010" t="s">
        <v>28198</v>
      </c>
      <c r="G12010" t="s">
        <v>28205</v>
      </c>
      <c r="H12010" t="s">
        <v>28215</v>
      </c>
      <c r="I12010" t="s">
        <v>28258</v>
      </c>
      <c r="J12010" t="s">
        <v>35726</v>
      </c>
      <c r="K12010" t="s">
        <v>36689</v>
      </c>
      <c r="M12010" t="s">
        <v>38729</v>
      </c>
      <c r="N12010" t="s">
        <v>40436</v>
      </c>
      <c r="O12010" t="s">
        <v>40437</v>
      </c>
      <c r="Q12010">
        <v>10</v>
      </c>
      <c r="R12010" t="s">
        <v>40453</v>
      </c>
      <c r="S12010" t="s">
        <v>41301</v>
      </c>
      <c r="T12010" t="s">
        <v>42103</v>
      </c>
      <c r="U12010" t="s">
        <v>52497</v>
      </c>
      <c r="W12010" t="s">
        <v>38729</v>
      </c>
      <c r="X12010" t="s">
        <v>40454</v>
      </c>
    </row>
    <row r="12011" spans="1:24">
      <c r="A12011">
        <f>HYPERLINK("https://www.philgeps.gov.ph/GEPSNONPILOT/Tender/SplashBidNoticeAbstractUI.aspx?menuIndex=3&amp;refID=7021501&amp;Result=3","7021501")</f>
        <v>0</v>
      </c>
      <c r="B12011" t="s">
        <v>1600</v>
      </c>
      <c r="C12011" t="s">
        <v>14581</v>
      </c>
      <c r="D12011" t="s">
        <v>16210</v>
      </c>
      <c r="E12011" t="s">
        <v>14581</v>
      </c>
      <c r="F12011" t="s">
        <v>28198</v>
      </c>
      <c r="G12011" t="s">
        <v>28205</v>
      </c>
      <c r="H12011" t="s">
        <v>28215</v>
      </c>
      <c r="I12011" t="s">
        <v>4200</v>
      </c>
      <c r="J12011" t="s">
        <v>35727</v>
      </c>
      <c r="K12011" t="s">
        <v>36689</v>
      </c>
      <c r="M12011" t="s">
        <v>38687</v>
      </c>
      <c r="N12011" t="s">
        <v>40436</v>
      </c>
      <c r="O12011" t="s">
        <v>40437</v>
      </c>
      <c r="P12011">
        <v>0</v>
      </c>
      <c r="Q12011">
        <v>8</v>
      </c>
      <c r="R12011" t="s">
        <v>40453</v>
      </c>
      <c r="S12011" t="s">
        <v>41237</v>
      </c>
      <c r="T12011" t="s">
        <v>42119</v>
      </c>
      <c r="U12011" t="s">
        <v>52498</v>
      </c>
      <c r="W12011" t="s">
        <v>38687</v>
      </c>
      <c r="X12011" t="s">
        <v>40454</v>
      </c>
    </row>
    <row r="12012" spans="1:24">
      <c r="A12012">
        <f>HYPERLINK("https://www.philgeps.gov.ph/GEPSNONPILOT/Tender/SplashBidNoticeAbstractUI.aspx?menuIndex=3&amp;refID=7021475&amp;Result=3","7021475")</f>
        <v>0</v>
      </c>
      <c r="B12012" t="s">
        <v>2947</v>
      </c>
      <c r="C12012" t="s">
        <v>14582</v>
      </c>
      <c r="D12012" t="s">
        <v>16188</v>
      </c>
      <c r="E12012" t="s">
        <v>26707</v>
      </c>
      <c r="F12012" t="s">
        <v>28198</v>
      </c>
      <c r="G12012" t="s">
        <v>28205</v>
      </c>
      <c r="H12012" t="s">
        <v>28214</v>
      </c>
      <c r="I12012" t="s">
        <v>3797</v>
      </c>
      <c r="J12012" t="s">
        <v>35728</v>
      </c>
      <c r="K12012" t="s">
        <v>36689</v>
      </c>
      <c r="L12012" t="s">
        <v>2947</v>
      </c>
      <c r="M12012" t="s">
        <v>40232</v>
      </c>
      <c r="N12012" t="s">
        <v>40436</v>
      </c>
      <c r="O12012" t="s">
        <v>40437</v>
      </c>
      <c r="Q12012">
        <v>1</v>
      </c>
      <c r="R12012" t="s">
        <v>40453</v>
      </c>
      <c r="S12012" t="s">
        <v>41302</v>
      </c>
      <c r="T12012" t="s">
        <v>42133</v>
      </c>
      <c r="U12012" t="s">
        <v>52485</v>
      </c>
      <c r="V12012" t="s">
        <v>55147</v>
      </c>
      <c r="W12012" t="s">
        <v>40232</v>
      </c>
      <c r="X12012" t="s">
        <v>40454</v>
      </c>
    </row>
    <row r="12013" spans="1:24">
      <c r="A12013">
        <f>HYPERLINK("https://www.philgeps.gov.ph/GEPSNONPILOT/Tender/SplashBidNoticeAbstractUI.aspx?menuIndex=3&amp;refID=7021503&amp;Result=3","7021503")</f>
        <v>0</v>
      </c>
      <c r="B12013" t="s">
        <v>2273</v>
      </c>
      <c r="C12013" t="s">
        <v>14583</v>
      </c>
      <c r="D12013" t="s">
        <v>16203</v>
      </c>
      <c r="E12013" t="s">
        <v>26708</v>
      </c>
      <c r="F12013" t="s">
        <v>28198</v>
      </c>
      <c r="G12013" t="s">
        <v>28205</v>
      </c>
      <c r="H12013" t="s">
        <v>28214</v>
      </c>
      <c r="I12013" t="s">
        <v>3797</v>
      </c>
      <c r="J12013" t="s">
        <v>28699</v>
      </c>
      <c r="K12013" t="s">
        <v>36829</v>
      </c>
      <c r="L12013" t="s">
        <v>2273</v>
      </c>
      <c r="M12013" t="s">
        <v>39445</v>
      </c>
      <c r="N12013" t="s">
        <v>40436</v>
      </c>
      <c r="O12013" t="s">
        <v>40437</v>
      </c>
      <c r="P12013">
        <v>0</v>
      </c>
      <c r="Q12013">
        <v>3</v>
      </c>
      <c r="R12013" t="s">
        <v>40453</v>
      </c>
      <c r="S12013" t="s">
        <v>41237</v>
      </c>
      <c r="T12013" t="s">
        <v>42134</v>
      </c>
      <c r="U12013" t="s">
        <v>52499</v>
      </c>
      <c r="W12013" t="s">
        <v>39445</v>
      </c>
      <c r="X12013" t="s">
        <v>40454</v>
      </c>
    </row>
    <row r="12014" spans="1:24">
      <c r="A12014">
        <f>HYPERLINK("https://www.philgeps.gov.ph/GEPSNONPILOT/Tender/SplashBidNoticeAbstractUI.aspx?menuIndex=3&amp;refID=7021480&amp;Result=3","7021480")</f>
        <v>0</v>
      </c>
      <c r="B12014" t="s">
        <v>2947</v>
      </c>
      <c r="C12014" t="s">
        <v>14584</v>
      </c>
      <c r="D12014" t="s">
        <v>16188</v>
      </c>
      <c r="E12014" t="s">
        <v>26709</v>
      </c>
      <c r="F12014" t="s">
        <v>28198</v>
      </c>
      <c r="G12014" t="s">
        <v>28205</v>
      </c>
      <c r="H12014" t="s">
        <v>28214</v>
      </c>
      <c r="I12014" t="s">
        <v>3797</v>
      </c>
      <c r="J12014" t="s">
        <v>29566</v>
      </c>
      <c r="K12014" t="s">
        <v>36689</v>
      </c>
      <c r="L12014" t="s">
        <v>2947</v>
      </c>
      <c r="M12014" t="s">
        <v>40232</v>
      </c>
      <c r="N12014" t="s">
        <v>40436</v>
      </c>
      <c r="O12014" t="s">
        <v>40437</v>
      </c>
      <c r="P12014">
        <v>0</v>
      </c>
      <c r="Q12014">
        <v>1</v>
      </c>
      <c r="R12014" t="s">
        <v>40453</v>
      </c>
      <c r="S12014" t="s">
        <v>41237</v>
      </c>
      <c r="T12014" t="s">
        <v>42133</v>
      </c>
      <c r="U12014" t="s">
        <v>52485</v>
      </c>
      <c r="V12014" t="s">
        <v>55147</v>
      </c>
      <c r="W12014" t="s">
        <v>40232</v>
      </c>
      <c r="X12014" t="s">
        <v>40454</v>
      </c>
    </row>
    <row r="12015" spans="1:24">
      <c r="A12015">
        <f>HYPERLINK("https://www.philgeps.gov.ph/GEPSNONPILOT/Tender/SplashBidNoticeAbstractUI.aspx?menuIndex=3&amp;refID=7021551&amp;Result=3","7021551")</f>
        <v>0</v>
      </c>
      <c r="B12015" t="s">
        <v>1600</v>
      </c>
      <c r="C12015" t="s">
        <v>14585</v>
      </c>
      <c r="D12015" t="s">
        <v>16210</v>
      </c>
      <c r="E12015" t="s">
        <v>26710</v>
      </c>
      <c r="F12015" t="s">
        <v>28198</v>
      </c>
      <c r="G12015" t="s">
        <v>28205</v>
      </c>
      <c r="H12015" t="s">
        <v>28215</v>
      </c>
      <c r="I12015" t="s">
        <v>8888</v>
      </c>
      <c r="J12015" t="s">
        <v>35729</v>
      </c>
      <c r="K12015" t="s">
        <v>36689</v>
      </c>
      <c r="M12015" t="s">
        <v>38687</v>
      </c>
      <c r="N12015" t="s">
        <v>40436</v>
      </c>
      <c r="O12015" t="s">
        <v>40437</v>
      </c>
      <c r="P12015">
        <v>0</v>
      </c>
      <c r="Q12015">
        <v>40</v>
      </c>
      <c r="R12015" t="s">
        <v>40453</v>
      </c>
      <c r="S12015" t="s">
        <v>41237</v>
      </c>
      <c r="T12015" t="s">
        <v>42146</v>
      </c>
      <c r="U12015" t="s">
        <v>52500</v>
      </c>
      <c r="W12015" t="s">
        <v>38687</v>
      </c>
      <c r="X12015" t="s">
        <v>40454</v>
      </c>
    </row>
    <row r="12016" spans="1:24">
      <c r="A12016">
        <f>HYPERLINK("https://www.philgeps.gov.ph/GEPSNONPILOT/Tender/SplashBidNoticeAbstractUI.aspx?menuIndex=3&amp;refID=7021515&amp;Result=3","7021515")</f>
        <v>0</v>
      </c>
      <c r="B12016" t="s">
        <v>950</v>
      </c>
      <c r="C12016" t="s">
        <v>14586</v>
      </c>
      <c r="D12016" t="s">
        <v>16232</v>
      </c>
      <c r="E12016" t="s">
        <v>26711</v>
      </c>
      <c r="F12016" t="s">
        <v>28198</v>
      </c>
      <c r="G12016" t="s">
        <v>28205</v>
      </c>
      <c r="H12016" t="s">
        <v>28214</v>
      </c>
      <c r="I12016" t="s">
        <v>3797</v>
      </c>
      <c r="J12016" t="s">
        <v>35730</v>
      </c>
      <c r="K12016" t="s">
        <v>36692</v>
      </c>
      <c r="M12016" t="s">
        <v>37974</v>
      </c>
      <c r="N12016" t="s">
        <v>40436</v>
      </c>
      <c r="O12016" t="s">
        <v>40437</v>
      </c>
      <c r="P12016">
        <v>0</v>
      </c>
      <c r="Q12016">
        <v>0</v>
      </c>
      <c r="R12016" t="s">
        <v>40453</v>
      </c>
      <c r="S12016" t="s">
        <v>41237</v>
      </c>
      <c r="T12016" t="s">
        <v>42103</v>
      </c>
      <c r="U12016" t="s">
        <v>52496</v>
      </c>
      <c r="W12016" t="s">
        <v>37974</v>
      </c>
      <c r="X12016" t="s">
        <v>40454</v>
      </c>
    </row>
    <row r="12017" spans="1:24">
      <c r="A12017">
        <f>HYPERLINK("https://www.philgeps.gov.ph/GEPSNONPILOT/Tender/SplashBidNoticeAbstractUI.aspx?menuIndex=3&amp;refID=7021562&amp;Result=3","7021562")</f>
        <v>0</v>
      </c>
      <c r="B12017" t="s">
        <v>1766</v>
      </c>
      <c r="C12017" t="s">
        <v>14587</v>
      </c>
      <c r="E12017" t="s">
        <v>26712</v>
      </c>
      <c r="F12017" t="s">
        <v>28198</v>
      </c>
      <c r="G12017" t="s">
        <v>28208</v>
      </c>
      <c r="H12017" t="s">
        <v>28215</v>
      </c>
      <c r="I12017" t="s">
        <v>28243</v>
      </c>
      <c r="J12017" t="s">
        <v>35731</v>
      </c>
      <c r="K12017" t="s">
        <v>36694</v>
      </c>
      <c r="M12017" t="s">
        <v>38881</v>
      </c>
      <c r="N12017" t="s">
        <v>40436</v>
      </c>
      <c r="O12017" t="s">
        <v>40437</v>
      </c>
      <c r="Q12017">
        <v>2</v>
      </c>
      <c r="R12017" t="s">
        <v>40453</v>
      </c>
      <c r="S12017" t="s">
        <v>41303</v>
      </c>
      <c r="T12017" t="s">
        <v>42119</v>
      </c>
      <c r="U12017" t="s">
        <v>52501</v>
      </c>
      <c r="V12017" t="s">
        <v>54836</v>
      </c>
      <c r="W12017" t="s">
        <v>38881</v>
      </c>
      <c r="X12017" t="s">
        <v>40454</v>
      </c>
    </row>
    <row r="12018" spans="1:24">
      <c r="A12018">
        <f>HYPERLINK("https://www.philgeps.gov.ph/GEPSNONPILOT/Tender/SplashBidNoticeAbstractUI.aspx?menuIndex=3&amp;refID=7021502&amp;Result=3","7021502")</f>
        <v>0</v>
      </c>
      <c r="B12018" t="s">
        <v>2273</v>
      </c>
      <c r="C12018" t="s">
        <v>14588</v>
      </c>
      <c r="D12018" t="s">
        <v>16203</v>
      </c>
      <c r="E12018" t="s">
        <v>26713</v>
      </c>
      <c r="F12018" t="s">
        <v>28198</v>
      </c>
      <c r="G12018" t="s">
        <v>28205</v>
      </c>
      <c r="H12018" t="s">
        <v>28214</v>
      </c>
      <c r="I12018" t="s">
        <v>3797</v>
      </c>
      <c r="J12018" t="s">
        <v>35732</v>
      </c>
      <c r="K12018" t="s">
        <v>36829</v>
      </c>
      <c r="L12018" t="s">
        <v>2273</v>
      </c>
      <c r="M12018" t="s">
        <v>39445</v>
      </c>
      <c r="N12018" t="s">
        <v>40436</v>
      </c>
      <c r="O12018" t="s">
        <v>40437</v>
      </c>
      <c r="P12018">
        <v>0</v>
      </c>
      <c r="Q12018">
        <v>2</v>
      </c>
      <c r="R12018" t="s">
        <v>40453</v>
      </c>
      <c r="S12018" t="s">
        <v>41237</v>
      </c>
      <c r="T12018" t="s">
        <v>42134</v>
      </c>
      <c r="U12018" t="s">
        <v>52502</v>
      </c>
      <c r="W12018" t="s">
        <v>39445</v>
      </c>
      <c r="X12018" t="s">
        <v>40454</v>
      </c>
    </row>
    <row r="12019" spans="1:24">
      <c r="A12019">
        <f>HYPERLINK("https://www.philgeps.gov.ph/GEPSNONPILOT/Tender/SplashBidNoticeAbstractUI.aspx?menuIndex=3&amp;refID=7021556&amp;Result=3","7021556")</f>
        <v>0</v>
      </c>
      <c r="B12019" t="s">
        <v>2949</v>
      </c>
      <c r="C12019" t="s">
        <v>14589</v>
      </c>
      <c r="D12019" t="s">
        <v>16190</v>
      </c>
      <c r="E12019" t="s">
        <v>20218</v>
      </c>
      <c r="F12019" t="s">
        <v>28198</v>
      </c>
      <c r="G12019" t="s">
        <v>28205</v>
      </c>
      <c r="H12019" t="s">
        <v>28215</v>
      </c>
      <c r="I12019" t="s">
        <v>28225</v>
      </c>
      <c r="J12019" t="s">
        <v>35733</v>
      </c>
      <c r="K12019" t="s">
        <v>36698</v>
      </c>
      <c r="M12019" t="s">
        <v>40234</v>
      </c>
      <c r="N12019" t="s">
        <v>40436</v>
      </c>
      <c r="O12019" t="s">
        <v>40437</v>
      </c>
      <c r="P12019">
        <v>0</v>
      </c>
      <c r="Q12019">
        <v>1</v>
      </c>
      <c r="R12019" t="s">
        <v>40453</v>
      </c>
      <c r="S12019" t="s">
        <v>41237</v>
      </c>
      <c r="T12019" t="s">
        <v>42111</v>
      </c>
      <c r="U12019" t="s">
        <v>52503</v>
      </c>
      <c r="W12019" t="s">
        <v>40234</v>
      </c>
      <c r="X12019" t="s">
        <v>40454</v>
      </c>
    </row>
    <row r="12020" spans="1:24">
      <c r="A12020">
        <f>HYPERLINK("https://www.philgeps.gov.ph/GEPSNONPILOT/Tender/SplashBidNoticeAbstractUI.aspx?menuIndex=3&amp;refID=7021532&amp;Result=3","7021532")</f>
        <v>0</v>
      </c>
      <c r="B12020" t="s">
        <v>1600</v>
      </c>
      <c r="C12020" t="s">
        <v>14590</v>
      </c>
      <c r="D12020" t="s">
        <v>16210</v>
      </c>
      <c r="E12020" t="s">
        <v>26714</v>
      </c>
      <c r="F12020" t="s">
        <v>28198</v>
      </c>
      <c r="G12020" t="s">
        <v>28205</v>
      </c>
      <c r="H12020" t="s">
        <v>28215</v>
      </c>
      <c r="I12020" t="s">
        <v>28253</v>
      </c>
      <c r="J12020" t="s">
        <v>35734</v>
      </c>
      <c r="K12020" t="s">
        <v>36689</v>
      </c>
      <c r="M12020" t="s">
        <v>38687</v>
      </c>
      <c r="N12020" t="s">
        <v>40436</v>
      </c>
      <c r="O12020" t="s">
        <v>40437</v>
      </c>
      <c r="Q12020">
        <v>13</v>
      </c>
      <c r="R12020" t="s">
        <v>40453</v>
      </c>
      <c r="S12020" t="s">
        <v>41304</v>
      </c>
      <c r="T12020" t="s">
        <v>42160</v>
      </c>
      <c r="U12020" t="s">
        <v>52504</v>
      </c>
      <c r="W12020" t="s">
        <v>38687</v>
      </c>
      <c r="X12020" t="s">
        <v>40454</v>
      </c>
    </row>
    <row r="12021" spans="1:24">
      <c r="A12021">
        <f>HYPERLINK("https://www.philgeps.gov.ph/GEPSNONPILOT/Tender/SplashBidNoticeAbstractUI.aspx?menuIndex=3&amp;refID=7021507&amp;Result=3","7021507")</f>
        <v>0</v>
      </c>
      <c r="B12021" t="s">
        <v>950</v>
      </c>
      <c r="C12021" t="s">
        <v>14591</v>
      </c>
      <c r="D12021" t="s">
        <v>16232</v>
      </c>
      <c r="E12021" t="s">
        <v>26715</v>
      </c>
      <c r="F12021" t="s">
        <v>28198</v>
      </c>
      <c r="G12021" t="s">
        <v>28205</v>
      </c>
      <c r="H12021" t="s">
        <v>28214</v>
      </c>
      <c r="I12021" t="s">
        <v>3797</v>
      </c>
      <c r="J12021" t="s">
        <v>34517</v>
      </c>
      <c r="K12021" t="s">
        <v>36694</v>
      </c>
      <c r="M12021" t="s">
        <v>37974</v>
      </c>
      <c r="N12021" t="s">
        <v>40436</v>
      </c>
      <c r="O12021" t="s">
        <v>40437</v>
      </c>
      <c r="P12021">
        <v>0</v>
      </c>
      <c r="Q12021">
        <v>0</v>
      </c>
      <c r="R12021" t="s">
        <v>40453</v>
      </c>
      <c r="S12021" t="s">
        <v>41237</v>
      </c>
      <c r="T12021" t="s">
        <v>42103</v>
      </c>
      <c r="U12021" t="s">
        <v>52496</v>
      </c>
      <c r="W12021" t="s">
        <v>37974</v>
      </c>
      <c r="X12021" t="s">
        <v>40454</v>
      </c>
    </row>
    <row r="12022" spans="1:24">
      <c r="A12022">
        <f>HYPERLINK("https://www.philgeps.gov.ph/GEPSNONPILOT/Tender/SplashBidNoticeAbstractUI.aspx?menuIndex=3&amp;refID=7021622&amp;Result=3","7021622")</f>
        <v>0</v>
      </c>
      <c r="B12022" t="s">
        <v>111</v>
      </c>
      <c r="C12022" t="s">
        <v>14592</v>
      </c>
      <c r="D12022" t="s">
        <v>16242</v>
      </c>
      <c r="E12022" t="s">
        <v>20104</v>
      </c>
      <c r="F12022" t="s">
        <v>28198</v>
      </c>
      <c r="G12022" t="s">
        <v>28205</v>
      </c>
      <c r="H12022" t="s">
        <v>28215</v>
      </c>
      <c r="I12022" t="s">
        <v>4222</v>
      </c>
      <c r="J12022" t="s">
        <v>28351</v>
      </c>
      <c r="K12022" t="s">
        <v>36694</v>
      </c>
      <c r="M12022" t="s">
        <v>37085</v>
      </c>
      <c r="N12022" t="s">
        <v>40436</v>
      </c>
      <c r="O12022" t="s">
        <v>40437</v>
      </c>
      <c r="P12022">
        <v>0</v>
      </c>
      <c r="Q12022">
        <v>5</v>
      </c>
      <c r="R12022" t="s">
        <v>40453</v>
      </c>
      <c r="S12022" t="s">
        <v>41237</v>
      </c>
      <c r="T12022" t="s">
        <v>42160</v>
      </c>
      <c r="U12022" t="s">
        <v>52505</v>
      </c>
      <c r="W12022" t="s">
        <v>37085</v>
      </c>
      <c r="X12022" t="s">
        <v>40454</v>
      </c>
    </row>
    <row r="12023" spans="1:24">
      <c r="A12023">
        <f>HYPERLINK("https://www.philgeps.gov.ph/GEPSNONPILOT/Tender/SplashBidNoticeAbstractUI.aspx?menuIndex=3&amp;refID=7021529&amp;Result=3","7021529")</f>
        <v>0</v>
      </c>
      <c r="B12023" t="s">
        <v>2507</v>
      </c>
      <c r="C12023" t="s">
        <v>14593</v>
      </c>
      <c r="D12023" t="s">
        <v>16227</v>
      </c>
      <c r="E12023" t="s">
        <v>26716</v>
      </c>
      <c r="F12023" t="s">
        <v>28198</v>
      </c>
      <c r="G12023" t="s">
        <v>28205</v>
      </c>
      <c r="H12023" t="s">
        <v>28215</v>
      </c>
      <c r="I12023" t="s">
        <v>5100</v>
      </c>
      <c r="J12023" t="s">
        <v>35735</v>
      </c>
      <c r="K12023" t="s">
        <v>36707</v>
      </c>
      <c r="M12023" t="s">
        <v>39709</v>
      </c>
      <c r="N12023" t="s">
        <v>40436</v>
      </c>
      <c r="O12023" t="s">
        <v>40437</v>
      </c>
      <c r="Q12023">
        <v>4</v>
      </c>
      <c r="R12023" t="s">
        <v>40453</v>
      </c>
      <c r="S12023" t="s">
        <v>41305</v>
      </c>
      <c r="T12023" t="s">
        <v>42133</v>
      </c>
      <c r="U12023" t="s">
        <v>52506</v>
      </c>
      <c r="V12023" t="s">
        <v>55149</v>
      </c>
      <c r="W12023" t="s">
        <v>39709</v>
      </c>
      <c r="X12023" t="s">
        <v>40454</v>
      </c>
    </row>
    <row r="12024" spans="1:24">
      <c r="A12024">
        <f>HYPERLINK("https://www.philgeps.gov.ph/GEPSNONPILOT/Tender/SplashBidNoticeAbstractUI.aspx?menuIndex=3&amp;refID=7009105&amp;Result=3","7009105")</f>
        <v>0</v>
      </c>
      <c r="B12024" t="s">
        <v>2646</v>
      </c>
      <c r="C12024" t="s">
        <v>14594</v>
      </c>
      <c r="D12024" t="s">
        <v>16260</v>
      </c>
      <c r="E12024" t="s">
        <v>26717</v>
      </c>
      <c r="F12024" t="s">
        <v>28198</v>
      </c>
      <c r="G12024" t="s">
        <v>28205</v>
      </c>
      <c r="H12024" t="s">
        <v>28214</v>
      </c>
      <c r="I12024" t="s">
        <v>3797</v>
      </c>
      <c r="J12024" t="s">
        <v>35736</v>
      </c>
      <c r="K12024" t="s">
        <v>36694</v>
      </c>
      <c r="M12024" t="s">
        <v>39872</v>
      </c>
      <c r="N12024" t="s">
        <v>40436</v>
      </c>
      <c r="O12024" t="s">
        <v>40437</v>
      </c>
      <c r="P12024">
        <v>0</v>
      </c>
      <c r="Q12024">
        <v>0</v>
      </c>
      <c r="R12024" t="s">
        <v>40454</v>
      </c>
      <c r="S12024" t="s">
        <v>41306</v>
      </c>
      <c r="T12024" t="s">
        <v>42124</v>
      </c>
      <c r="U12024" t="s">
        <v>52507</v>
      </c>
      <c r="V12024" t="s">
        <v>55150</v>
      </c>
      <c r="W12024" t="s">
        <v>39872</v>
      </c>
      <c r="X12024" t="s">
        <v>40466</v>
      </c>
    </row>
    <row r="12025" spans="1:24">
      <c r="A12025">
        <f>HYPERLINK("https://www.philgeps.gov.ph/GEPSNONPILOT/Tender/SplashBidNoticeAbstractUI.aspx?menuIndex=3&amp;refID=7021542&amp;Result=3","7021542")</f>
        <v>0</v>
      </c>
      <c r="B12025" t="s">
        <v>1600</v>
      </c>
      <c r="C12025" t="s">
        <v>14595</v>
      </c>
      <c r="D12025" t="s">
        <v>16210</v>
      </c>
      <c r="E12025" t="s">
        <v>26718</v>
      </c>
      <c r="F12025" t="s">
        <v>28198</v>
      </c>
      <c r="G12025" t="s">
        <v>28205</v>
      </c>
      <c r="H12025" t="s">
        <v>28215</v>
      </c>
      <c r="I12025" t="s">
        <v>5791</v>
      </c>
      <c r="J12025" t="s">
        <v>35737</v>
      </c>
      <c r="K12025" t="s">
        <v>36689</v>
      </c>
      <c r="M12025" t="s">
        <v>38687</v>
      </c>
      <c r="N12025" t="s">
        <v>40436</v>
      </c>
      <c r="O12025" t="s">
        <v>40437</v>
      </c>
      <c r="Q12025">
        <v>5</v>
      </c>
      <c r="R12025" t="s">
        <v>40453</v>
      </c>
      <c r="S12025" t="s">
        <v>41307</v>
      </c>
      <c r="T12025" t="s">
        <v>42129</v>
      </c>
      <c r="U12025" t="s">
        <v>52508</v>
      </c>
      <c r="W12025" t="s">
        <v>38687</v>
      </c>
      <c r="X12025" t="s">
        <v>40454</v>
      </c>
    </row>
    <row r="12026" spans="1:24">
      <c r="A12026">
        <f>HYPERLINK("https://www.philgeps.gov.ph/GEPSNONPILOT/Tender/SplashBidNoticeAbstractUI.aspx?menuIndex=3&amp;refID=7002869&amp;Result=3","7002869")</f>
        <v>0</v>
      </c>
      <c r="B12026" t="s">
        <v>2567</v>
      </c>
      <c r="C12026" t="s">
        <v>14596</v>
      </c>
      <c r="D12026" t="s">
        <v>16274</v>
      </c>
      <c r="E12026" t="s">
        <v>26719</v>
      </c>
      <c r="F12026" t="s">
        <v>28198</v>
      </c>
      <c r="G12026" t="s">
        <v>28205</v>
      </c>
      <c r="H12026" t="s">
        <v>28214</v>
      </c>
      <c r="I12026" t="s">
        <v>3797</v>
      </c>
      <c r="J12026" t="s">
        <v>28347</v>
      </c>
      <c r="K12026" t="s">
        <v>36709</v>
      </c>
      <c r="M12026" t="s">
        <v>39781</v>
      </c>
      <c r="N12026" t="s">
        <v>40436</v>
      </c>
      <c r="O12026" t="s">
        <v>40437</v>
      </c>
      <c r="P12026">
        <v>0</v>
      </c>
      <c r="Q12026">
        <v>0</v>
      </c>
      <c r="R12026" t="s">
        <v>40454</v>
      </c>
      <c r="S12026" t="s">
        <v>41306</v>
      </c>
      <c r="T12026" t="s">
        <v>42584</v>
      </c>
      <c r="U12026" t="s">
        <v>52509</v>
      </c>
      <c r="W12026" t="s">
        <v>39781</v>
      </c>
      <c r="X12026" t="s">
        <v>40465</v>
      </c>
    </row>
    <row r="12027" spans="1:24">
      <c r="A12027">
        <f>HYPERLINK("https://www.philgeps.gov.ph/GEPSNONPILOT/Tender/SplashBidNoticeAbstractUI.aspx?menuIndex=3&amp;refID=7021582&amp;Result=3","7021582")</f>
        <v>0</v>
      </c>
      <c r="B12027" t="s">
        <v>1458</v>
      </c>
      <c r="C12027" t="s">
        <v>14597</v>
      </c>
      <c r="D12027" t="s">
        <v>16192</v>
      </c>
      <c r="E12027" t="s">
        <v>26720</v>
      </c>
      <c r="F12027" t="s">
        <v>28198</v>
      </c>
      <c r="G12027" t="s">
        <v>28205</v>
      </c>
      <c r="H12027" t="s">
        <v>28215</v>
      </c>
      <c r="I12027" t="s">
        <v>8870</v>
      </c>
      <c r="J12027" t="s">
        <v>28363</v>
      </c>
      <c r="K12027" t="s">
        <v>36697</v>
      </c>
      <c r="M12027" t="s">
        <v>38525</v>
      </c>
      <c r="N12027" t="s">
        <v>40436</v>
      </c>
      <c r="O12027" t="s">
        <v>40437</v>
      </c>
      <c r="P12027">
        <v>0</v>
      </c>
      <c r="Q12027">
        <v>3</v>
      </c>
      <c r="R12027" t="s">
        <v>40453</v>
      </c>
      <c r="S12027" t="s">
        <v>41237</v>
      </c>
      <c r="T12027" t="s">
        <v>42112</v>
      </c>
      <c r="U12027" t="s">
        <v>52510</v>
      </c>
      <c r="V12027" t="s">
        <v>54183</v>
      </c>
      <c r="W12027" t="s">
        <v>38525</v>
      </c>
      <c r="X12027" t="s">
        <v>40454</v>
      </c>
    </row>
    <row r="12028" spans="1:24">
      <c r="A12028">
        <f>HYPERLINK("https://www.philgeps.gov.ph/GEPSNONPILOT/Tender/SplashBidNoticeAbstractUI.aspx?menuIndex=3&amp;refID=7009107&amp;Result=3","7009107")</f>
        <v>0</v>
      </c>
      <c r="B12028" t="s">
        <v>2646</v>
      </c>
      <c r="C12028" t="s">
        <v>14598</v>
      </c>
      <c r="D12028" t="s">
        <v>16260</v>
      </c>
      <c r="E12028" t="s">
        <v>26721</v>
      </c>
      <c r="F12028" t="s">
        <v>28198</v>
      </c>
      <c r="G12028" t="s">
        <v>28205</v>
      </c>
      <c r="H12028" t="s">
        <v>28214</v>
      </c>
      <c r="I12028" t="s">
        <v>3797</v>
      </c>
      <c r="J12028" t="s">
        <v>28363</v>
      </c>
      <c r="K12028" t="s">
        <v>36694</v>
      </c>
      <c r="M12028" t="s">
        <v>39872</v>
      </c>
      <c r="N12028" t="s">
        <v>40436</v>
      </c>
      <c r="O12028" t="s">
        <v>40437</v>
      </c>
      <c r="P12028">
        <v>0</v>
      </c>
      <c r="Q12028">
        <v>0</v>
      </c>
      <c r="R12028" t="s">
        <v>40454</v>
      </c>
      <c r="S12028" t="s">
        <v>41306</v>
      </c>
      <c r="T12028" t="s">
        <v>42124</v>
      </c>
      <c r="U12028" t="s">
        <v>52511</v>
      </c>
      <c r="V12028" t="s">
        <v>55151</v>
      </c>
      <c r="W12028" t="s">
        <v>39872</v>
      </c>
      <c r="X12028" t="s">
        <v>40466</v>
      </c>
    </row>
    <row r="12029" spans="1:24">
      <c r="A12029">
        <f>HYPERLINK("https://www.philgeps.gov.ph/GEPSNONPILOT/Tender/SplashBidNoticeAbstractUI.aspx?menuIndex=3&amp;refID=7021576&amp;Result=3","7021576")</f>
        <v>0</v>
      </c>
      <c r="B12029" t="s">
        <v>2949</v>
      </c>
      <c r="C12029" t="s">
        <v>14599</v>
      </c>
      <c r="D12029" t="s">
        <v>16190</v>
      </c>
      <c r="E12029" t="s">
        <v>16782</v>
      </c>
      <c r="F12029" t="s">
        <v>28198</v>
      </c>
      <c r="G12029" t="s">
        <v>28205</v>
      </c>
      <c r="H12029" t="s">
        <v>28215</v>
      </c>
      <c r="I12029" t="s">
        <v>4219</v>
      </c>
      <c r="J12029" t="s">
        <v>35738</v>
      </c>
      <c r="K12029" t="s">
        <v>36698</v>
      </c>
      <c r="M12029" t="s">
        <v>40234</v>
      </c>
      <c r="N12029" t="s">
        <v>40436</v>
      </c>
      <c r="O12029" t="s">
        <v>40437</v>
      </c>
      <c r="P12029">
        <v>0</v>
      </c>
      <c r="Q12029">
        <v>0</v>
      </c>
      <c r="R12029" t="s">
        <v>40453</v>
      </c>
      <c r="S12029" t="s">
        <v>41237</v>
      </c>
      <c r="T12029" t="s">
        <v>42111</v>
      </c>
      <c r="U12029" t="s">
        <v>52512</v>
      </c>
      <c r="W12029" t="s">
        <v>40234</v>
      </c>
      <c r="X12029" t="s">
        <v>40454</v>
      </c>
    </row>
    <row r="12030" spans="1:24">
      <c r="A12030">
        <f>HYPERLINK("https://www.philgeps.gov.ph/GEPSNONPILOT/Tender/SplashBidNoticeAbstractUI.aspx?menuIndex=3&amp;refID=6978672&amp;Result=3","6978672")</f>
        <v>0</v>
      </c>
      <c r="B12030" t="s">
        <v>34</v>
      </c>
      <c r="C12030" t="s">
        <v>14600</v>
      </c>
      <c r="D12030" t="s">
        <v>16195</v>
      </c>
      <c r="E12030" t="s">
        <v>26722</v>
      </c>
      <c r="F12030" t="s">
        <v>28198</v>
      </c>
      <c r="G12030" t="s">
        <v>28205</v>
      </c>
      <c r="H12030" t="s">
        <v>28215</v>
      </c>
      <c r="I12030" t="s">
        <v>5631</v>
      </c>
      <c r="J12030" t="s">
        <v>35739</v>
      </c>
      <c r="K12030" t="s">
        <v>36687</v>
      </c>
      <c r="M12030" t="s">
        <v>37550</v>
      </c>
      <c r="N12030" t="s">
        <v>40436</v>
      </c>
      <c r="O12030" t="s">
        <v>40437</v>
      </c>
      <c r="P12030">
        <v>0</v>
      </c>
      <c r="Q12030">
        <v>0</v>
      </c>
      <c r="R12030" t="s">
        <v>40454</v>
      </c>
      <c r="S12030" t="s">
        <v>41306</v>
      </c>
      <c r="T12030" t="s">
        <v>42102</v>
      </c>
      <c r="U12030" t="s">
        <v>52513</v>
      </c>
      <c r="V12030" t="s">
        <v>53826</v>
      </c>
      <c r="W12030" t="s">
        <v>37550</v>
      </c>
      <c r="X12030" t="s">
        <v>40480</v>
      </c>
    </row>
    <row r="12031" spans="1:24">
      <c r="A12031">
        <f>HYPERLINK("https://www.philgeps.gov.ph/GEPSNONPILOT/Tender/SplashBidNoticeAbstractUI.aspx?menuIndex=3&amp;refID=6931679&amp;Result=3","6931679")</f>
        <v>0</v>
      </c>
      <c r="B12031" t="s">
        <v>1104</v>
      </c>
      <c r="C12031" t="s">
        <v>14601</v>
      </c>
      <c r="D12031" t="s">
        <v>16202</v>
      </c>
      <c r="E12031" t="s">
        <v>26723</v>
      </c>
      <c r="F12031" t="s">
        <v>28198</v>
      </c>
      <c r="G12031" t="s">
        <v>28205</v>
      </c>
      <c r="H12031" t="s">
        <v>28214</v>
      </c>
      <c r="I12031" t="s">
        <v>3797</v>
      </c>
      <c r="J12031" t="s">
        <v>28347</v>
      </c>
      <c r="K12031" t="s">
        <v>36717</v>
      </c>
      <c r="M12031" t="s">
        <v>38140</v>
      </c>
      <c r="N12031" t="s">
        <v>40436</v>
      </c>
      <c r="O12031" t="s">
        <v>40437</v>
      </c>
      <c r="Q12031">
        <v>6</v>
      </c>
      <c r="R12031" t="s">
        <v>40454</v>
      </c>
      <c r="S12031" t="s">
        <v>41308</v>
      </c>
      <c r="T12031" t="s">
        <v>42585</v>
      </c>
      <c r="U12031" t="s">
        <v>52514</v>
      </c>
      <c r="V12031" t="s">
        <v>55152</v>
      </c>
      <c r="W12031" t="s">
        <v>38140</v>
      </c>
      <c r="X12031" t="s">
        <v>40514</v>
      </c>
    </row>
    <row r="12032" spans="1:24">
      <c r="A12032">
        <f>HYPERLINK("https://www.philgeps.gov.ph/GEPSNONPILOT/Tender/SplashBidNoticeAbstractUI.aspx?menuIndex=3&amp;refID=6977990&amp;Result=3","6977990")</f>
        <v>0</v>
      </c>
      <c r="B12032" t="s">
        <v>34</v>
      </c>
      <c r="C12032" t="s">
        <v>14602</v>
      </c>
      <c r="D12032" t="s">
        <v>16195</v>
      </c>
      <c r="E12032" t="s">
        <v>26724</v>
      </c>
      <c r="F12032" t="s">
        <v>28198</v>
      </c>
      <c r="G12032" t="s">
        <v>28205</v>
      </c>
      <c r="H12032" t="s">
        <v>28215</v>
      </c>
      <c r="I12032" t="s">
        <v>28258</v>
      </c>
      <c r="J12032" t="s">
        <v>35740</v>
      </c>
      <c r="K12032" t="s">
        <v>36701</v>
      </c>
      <c r="M12032" t="s">
        <v>37550</v>
      </c>
      <c r="N12032" t="s">
        <v>40436</v>
      </c>
      <c r="O12032" t="s">
        <v>40437</v>
      </c>
      <c r="P12032">
        <v>0</v>
      </c>
      <c r="Q12032">
        <v>4</v>
      </c>
      <c r="R12032" t="s">
        <v>40454</v>
      </c>
      <c r="S12032" t="s">
        <v>41306</v>
      </c>
      <c r="T12032" t="s">
        <v>42102</v>
      </c>
      <c r="U12032" t="s">
        <v>52515</v>
      </c>
      <c r="V12032" t="s">
        <v>53826</v>
      </c>
      <c r="W12032" t="s">
        <v>37550</v>
      </c>
      <c r="X12032" t="s">
        <v>40480</v>
      </c>
    </row>
    <row r="12033" spans="1:24">
      <c r="A12033">
        <f>HYPERLINK("https://www.philgeps.gov.ph/GEPSNONPILOT/Tender/SplashBidNoticeAbstractUI.aspx?menuIndex=3&amp;refID=7021512&amp;Result=3","7021512")</f>
        <v>0</v>
      </c>
      <c r="B12033" t="s">
        <v>1600</v>
      </c>
      <c r="C12033" t="s">
        <v>14603</v>
      </c>
      <c r="D12033" t="s">
        <v>16210</v>
      </c>
      <c r="E12033" t="s">
        <v>26725</v>
      </c>
      <c r="F12033" t="s">
        <v>28198</v>
      </c>
      <c r="G12033" t="s">
        <v>28205</v>
      </c>
      <c r="H12033" t="s">
        <v>28215</v>
      </c>
      <c r="I12033" t="s">
        <v>5103</v>
      </c>
      <c r="J12033" t="s">
        <v>35741</v>
      </c>
      <c r="K12033" t="s">
        <v>36689</v>
      </c>
      <c r="M12033" t="s">
        <v>38687</v>
      </c>
      <c r="N12033" t="s">
        <v>40436</v>
      </c>
      <c r="O12033" t="s">
        <v>40437</v>
      </c>
      <c r="Q12033">
        <v>15</v>
      </c>
      <c r="R12033" t="s">
        <v>40453</v>
      </c>
      <c r="S12033" t="s">
        <v>41309</v>
      </c>
      <c r="T12033" t="s">
        <v>42103</v>
      </c>
      <c r="U12033" t="s">
        <v>52516</v>
      </c>
      <c r="W12033" t="s">
        <v>38687</v>
      </c>
      <c r="X12033" t="s">
        <v>40454</v>
      </c>
    </row>
    <row r="12034" spans="1:24">
      <c r="A12034">
        <f>HYPERLINK("https://www.philgeps.gov.ph/GEPSNONPILOT/Tender/SplashBidNoticeAbstractUI.aspx?menuIndex=3&amp;refID=7002878&amp;Result=3","7002878")</f>
        <v>0</v>
      </c>
      <c r="B12034" t="s">
        <v>2567</v>
      </c>
      <c r="C12034" t="s">
        <v>14604</v>
      </c>
      <c r="D12034" t="s">
        <v>16274</v>
      </c>
      <c r="E12034" t="s">
        <v>26726</v>
      </c>
      <c r="F12034" t="s">
        <v>28198</v>
      </c>
      <c r="G12034" t="s">
        <v>28205</v>
      </c>
      <c r="H12034" t="s">
        <v>28214</v>
      </c>
      <c r="I12034" t="s">
        <v>3797</v>
      </c>
      <c r="J12034" t="s">
        <v>28899</v>
      </c>
      <c r="K12034" t="s">
        <v>36734</v>
      </c>
      <c r="M12034" t="s">
        <v>39781</v>
      </c>
      <c r="N12034" t="s">
        <v>40436</v>
      </c>
      <c r="O12034" t="s">
        <v>40437</v>
      </c>
      <c r="P12034">
        <v>0</v>
      </c>
      <c r="Q12034">
        <v>0</v>
      </c>
      <c r="R12034" t="s">
        <v>40454</v>
      </c>
      <c r="S12034" t="s">
        <v>41306</v>
      </c>
      <c r="T12034" t="s">
        <v>42584</v>
      </c>
      <c r="U12034" t="s">
        <v>52517</v>
      </c>
      <c r="W12034" t="s">
        <v>39781</v>
      </c>
      <c r="X12034" t="s">
        <v>40465</v>
      </c>
    </row>
    <row r="12035" spans="1:24">
      <c r="A12035">
        <f>HYPERLINK("https://www.philgeps.gov.ph/GEPSNONPILOT/Tender/SplashBidNoticeAbstractUI.aspx?menuIndex=3&amp;refID=6948817&amp;Result=3","6948817")</f>
        <v>0</v>
      </c>
      <c r="B12035" t="s">
        <v>2648</v>
      </c>
      <c r="C12035" t="s">
        <v>14605</v>
      </c>
      <c r="D12035" t="s">
        <v>16214</v>
      </c>
      <c r="E12035" t="s">
        <v>26727</v>
      </c>
      <c r="F12035" t="s">
        <v>28198</v>
      </c>
      <c r="G12035" t="s">
        <v>28205</v>
      </c>
      <c r="H12035" t="s">
        <v>28214</v>
      </c>
      <c r="I12035" t="s">
        <v>3797</v>
      </c>
      <c r="J12035" t="s">
        <v>31670</v>
      </c>
      <c r="K12035" t="s">
        <v>36858</v>
      </c>
      <c r="M12035" t="s">
        <v>39874</v>
      </c>
      <c r="N12035" t="s">
        <v>40436</v>
      </c>
      <c r="O12035" t="s">
        <v>40437</v>
      </c>
      <c r="P12035">
        <v>0</v>
      </c>
      <c r="Q12035">
        <v>2</v>
      </c>
      <c r="R12035" t="s">
        <v>40454</v>
      </c>
      <c r="S12035" t="s">
        <v>41306</v>
      </c>
      <c r="T12035" t="s">
        <v>42124</v>
      </c>
      <c r="U12035" t="s">
        <v>52518</v>
      </c>
      <c r="V12035" t="s">
        <v>54804</v>
      </c>
      <c r="W12035" t="s">
        <v>39874</v>
      </c>
      <c r="X12035" t="s">
        <v>40506</v>
      </c>
    </row>
    <row r="12036" spans="1:24">
      <c r="A12036">
        <f>HYPERLINK("https://www.philgeps.gov.ph/GEPSNONPILOT/Tender/SplashBidNoticeAbstractUI.aspx?menuIndex=3&amp;refID=7002861&amp;Result=3","7002861")</f>
        <v>0</v>
      </c>
      <c r="B12036" t="s">
        <v>2567</v>
      </c>
      <c r="C12036" t="s">
        <v>14606</v>
      </c>
      <c r="D12036" t="s">
        <v>16274</v>
      </c>
      <c r="E12036" t="s">
        <v>26728</v>
      </c>
      <c r="F12036" t="s">
        <v>28198</v>
      </c>
      <c r="G12036" t="s">
        <v>28205</v>
      </c>
      <c r="H12036" t="s">
        <v>28214</v>
      </c>
      <c r="I12036" t="s">
        <v>3797</v>
      </c>
      <c r="J12036" t="s">
        <v>35742</v>
      </c>
      <c r="K12036" t="s">
        <v>36790</v>
      </c>
      <c r="M12036" t="s">
        <v>39781</v>
      </c>
      <c r="N12036" t="s">
        <v>40436</v>
      </c>
      <c r="O12036" t="s">
        <v>40437</v>
      </c>
      <c r="P12036">
        <v>0</v>
      </c>
      <c r="Q12036">
        <v>0</v>
      </c>
      <c r="R12036" t="s">
        <v>40454</v>
      </c>
      <c r="S12036" t="s">
        <v>41306</v>
      </c>
      <c r="T12036" t="s">
        <v>42584</v>
      </c>
      <c r="U12036" t="s">
        <v>52519</v>
      </c>
      <c r="W12036" t="s">
        <v>39781</v>
      </c>
      <c r="X12036" t="s">
        <v>40465</v>
      </c>
    </row>
    <row r="12037" spans="1:24">
      <c r="A12037">
        <f>HYPERLINK("https://www.philgeps.gov.ph/GEPSNONPILOT/Tender/SplashBidNoticeAbstractUI.aspx?menuIndex=3&amp;refID=7021648&amp;Result=3","7021648")</f>
        <v>0</v>
      </c>
      <c r="B12037" t="s">
        <v>2915</v>
      </c>
      <c r="C12037" t="s">
        <v>14607</v>
      </c>
      <c r="D12037" t="s">
        <v>16215</v>
      </c>
      <c r="E12037" t="s">
        <v>26729</v>
      </c>
      <c r="F12037" t="s">
        <v>28198</v>
      </c>
      <c r="G12037" t="s">
        <v>28205</v>
      </c>
      <c r="H12037" t="s">
        <v>28214</v>
      </c>
      <c r="I12037" t="s">
        <v>3797</v>
      </c>
      <c r="J12037" t="s">
        <v>30482</v>
      </c>
      <c r="K12037" t="s">
        <v>36701</v>
      </c>
      <c r="M12037" t="s">
        <v>40189</v>
      </c>
      <c r="N12037" t="s">
        <v>40436</v>
      </c>
      <c r="O12037" t="s">
        <v>40437</v>
      </c>
      <c r="P12037">
        <v>0</v>
      </c>
      <c r="Q12037">
        <v>1</v>
      </c>
      <c r="R12037" t="s">
        <v>40453</v>
      </c>
      <c r="S12037" t="s">
        <v>41237</v>
      </c>
      <c r="T12037" t="s">
        <v>42163</v>
      </c>
      <c r="U12037" t="s">
        <v>52520</v>
      </c>
      <c r="W12037" t="s">
        <v>40189</v>
      </c>
      <c r="X12037" t="s">
        <v>40454</v>
      </c>
    </row>
    <row r="12038" spans="1:24">
      <c r="A12038">
        <f>HYPERLINK("https://www.philgeps.gov.ph/GEPSNONPILOT/Tender/SplashBidNoticeAbstractUI.aspx?menuIndex=3&amp;refID=6978642&amp;Result=3","6978642")</f>
        <v>0</v>
      </c>
      <c r="B12038" t="s">
        <v>34</v>
      </c>
      <c r="C12038" t="s">
        <v>14608</v>
      </c>
      <c r="D12038" t="s">
        <v>16195</v>
      </c>
      <c r="E12038" t="s">
        <v>26730</v>
      </c>
      <c r="F12038" t="s">
        <v>28198</v>
      </c>
      <c r="G12038" t="s">
        <v>28205</v>
      </c>
      <c r="H12038" t="s">
        <v>28215</v>
      </c>
      <c r="I12038" t="s">
        <v>5631</v>
      </c>
      <c r="J12038" t="s">
        <v>35743</v>
      </c>
      <c r="K12038" t="s">
        <v>36696</v>
      </c>
      <c r="M12038" t="s">
        <v>37550</v>
      </c>
      <c r="N12038" t="s">
        <v>40436</v>
      </c>
      <c r="O12038" t="s">
        <v>40437</v>
      </c>
      <c r="P12038">
        <v>0</v>
      </c>
      <c r="Q12038">
        <v>0</v>
      </c>
      <c r="R12038" t="s">
        <v>40454</v>
      </c>
      <c r="S12038" t="s">
        <v>41306</v>
      </c>
      <c r="T12038" t="s">
        <v>42102</v>
      </c>
      <c r="U12038" t="s">
        <v>52521</v>
      </c>
      <c r="V12038" t="s">
        <v>53826</v>
      </c>
      <c r="W12038" t="s">
        <v>37550</v>
      </c>
      <c r="X12038" t="s">
        <v>40480</v>
      </c>
    </row>
    <row r="12039" spans="1:24">
      <c r="A12039">
        <f>HYPERLINK("https://www.philgeps.gov.ph/GEPSNONPILOT/Tender/SplashBidNoticeAbstractUI.aspx?menuIndex=3&amp;refID=7021646&amp;Result=3","7021646")</f>
        <v>0</v>
      </c>
      <c r="B12039" t="s">
        <v>2915</v>
      </c>
      <c r="C12039" t="s">
        <v>14609</v>
      </c>
      <c r="D12039" t="s">
        <v>16215</v>
      </c>
      <c r="E12039" t="s">
        <v>26731</v>
      </c>
      <c r="F12039" t="s">
        <v>28198</v>
      </c>
      <c r="G12039" t="s">
        <v>28205</v>
      </c>
      <c r="H12039" t="s">
        <v>28214</v>
      </c>
      <c r="I12039" t="s">
        <v>3797</v>
      </c>
      <c r="J12039" t="s">
        <v>28406</v>
      </c>
      <c r="K12039" t="s">
        <v>36701</v>
      </c>
      <c r="M12039" t="s">
        <v>40189</v>
      </c>
      <c r="N12039" t="s">
        <v>40436</v>
      </c>
      <c r="O12039" t="s">
        <v>40437</v>
      </c>
      <c r="P12039">
        <v>0</v>
      </c>
      <c r="Q12039">
        <v>1</v>
      </c>
      <c r="R12039" t="s">
        <v>40453</v>
      </c>
      <c r="S12039" t="s">
        <v>41237</v>
      </c>
      <c r="T12039" t="s">
        <v>42163</v>
      </c>
      <c r="U12039" t="s">
        <v>52522</v>
      </c>
      <c r="W12039" t="s">
        <v>40189</v>
      </c>
      <c r="X12039" t="s">
        <v>40454</v>
      </c>
    </row>
    <row r="12040" spans="1:24">
      <c r="A12040">
        <f>HYPERLINK("https://www.philgeps.gov.ph/GEPSNONPILOT/Tender/SplashBidNoticeAbstractUI.aspx?menuIndex=3&amp;refID=7021626&amp;Result=3","7021626")</f>
        <v>0</v>
      </c>
      <c r="B12040" t="s">
        <v>847</v>
      </c>
      <c r="C12040" t="s">
        <v>14610</v>
      </c>
      <c r="E12040" t="s">
        <v>26732</v>
      </c>
      <c r="F12040" t="s">
        <v>28198</v>
      </c>
      <c r="G12040" t="s">
        <v>28205</v>
      </c>
      <c r="H12040" t="s">
        <v>28214</v>
      </c>
      <c r="I12040" t="s">
        <v>3797</v>
      </c>
      <c r="J12040" t="s">
        <v>35744</v>
      </c>
      <c r="K12040" t="s">
        <v>36884</v>
      </c>
      <c r="M12040" t="s">
        <v>40215</v>
      </c>
      <c r="N12040" t="s">
        <v>40436</v>
      </c>
      <c r="O12040" t="s">
        <v>40437</v>
      </c>
      <c r="P12040">
        <v>0</v>
      </c>
      <c r="Q12040">
        <v>12</v>
      </c>
      <c r="R12040" t="s">
        <v>40453</v>
      </c>
      <c r="S12040" t="s">
        <v>41237</v>
      </c>
      <c r="T12040" t="s">
        <v>42581</v>
      </c>
      <c r="U12040" t="s">
        <v>52523</v>
      </c>
      <c r="V12040" t="s">
        <v>55153</v>
      </c>
      <c r="W12040" t="s">
        <v>40215</v>
      </c>
      <c r="X12040" t="s">
        <v>40454</v>
      </c>
    </row>
    <row r="12041" spans="1:24">
      <c r="A12041">
        <f>HYPERLINK("https://www.philgeps.gov.ph/GEPSNONPILOT/Tender/SplashBidNoticeAbstractUI.aspx?menuIndex=3&amp;refID=7009119&amp;Result=3","7009119")</f>
        <v>0</v>
      </c>
      <c r="B12041" t="s">
        <v>2646</v>
      </c>
      <c r="C12041" t="s">
        <v>14611</v>
      </c>
      <c r="D12041" t="s">
        <v>16260</v>
      </c>
      <c r="E12041" t="s">
        <v>26733</v>
      </c>
      <c r="F12041" t="s">
        <v>28198</v>
      </c>
      <c r="G12041" t="s">
        <v>28205</v>
      </c>
      <c r="H12041" t="s">
        <v>28214</v>
      </c>
      <c r="I12041" t="s">
        <v>3797</v>
      </c>
      <c r="J12041" t="s">
        <v>28918</v>
      </c>
      <c r="K12041" t="s">
        <v>36694</v>
      </c>
      <c r="M12041" t="s">
        <v>39872</v>
      </c>
      <c r="N12041" t="s">
        <v>40436</v>
      </c>
      <c r="O12041" t="s">
        <v>40437</v>
      </c>
      <c r="P12041">
        <v>0</v>
      </c>
      <c r="Q12041">
        <v>0</v>
      </c>
      <c r="R12041" t="s">
        <v>40454</v>
      </c>
      <c r="S12041" t="s">
        <v>41306</v>
      </c>
      <c r="T12041" t="s">
        <v>42124</v>
      </c>
      <c r="U12041" t="s">
        <v>52524</v>
      </c>
      <c r="V12041" t="s">
        <v>54797</v>
      </c>
      <c r="W12041" t="s">
        <v>39872</v>
      </c>
      <c r="X12041" t="s">
        <v>40466</v>
      </c>
    </row>
    <row r="12042" spans="1:24">
      <c r="A12042">
        <f>HYPERLINK("https://www.philgeps.gov.ph/GEPSNONPILOT/Tender/SplashBidNoticeAbstractUI.aspx?menuIndex=3&amp;refID=7012340&amp;Result=3","7012340")</f>
        <v>0</v>
      </c>
      <c r="B12042" t="s">
        <v>2950</v>
      </c>
      <c r="C12042" t="s">
        <v>14612</v>
      </c>
      <c r="D12042" t="s">
        <v>16266</v>
      </c>
      <c r="E12042" t="s">
        <v>26734</v>
      </c>
      <c r="F12042" t="s">
        <v>28198</v>
      </c>
      <c r="G12042" t="s">
        <v>28208</v>
      </c>
      <c r="H12042" t="s">
        <v>28214</v>
      </c>
      <c r="I12042" t="s">
        <v>3797</v>
      </c>
      <c r="J12042" t="s">
        <v>28699</v>
      </c>
      <c r="K12042" t="s">
        <v>36690</v>
      </c>
      <c r="M12042" t="s">
        <v>40235</v>
      </c>
      <c r="N12042" t="s">
        <v>40436</v>
      </c>
      <c r="O12042" t="s">
        <v>40437</v>
      </c>
      <c r="P12042">
        <v>0</v>
      </c>
      <c r="Q12042">
        <v>1</v>
      </c>
      <c r="R12042" t="s">
        <v>40454</v>
      </c>
      <c r="S12042" t="s">
        <v>41306</v>
      </c>
      <c r="T12042" t="s">
        <v>42200</v>
      </c>
      <c r="U12042" t="s">
        <v>52525</v>
      </c>
      <c r="V12042" t="s">
        <v>55154</v>
      </c>
      <c r="W12042" t="s">
        <v>40235</v>
      </c>
      <c r="X12042" t="s">
        <v>40459</v>
      </c>
    </row>
    <row r="12043" spans="1:24">
      <c r="A12043">
        <f>HYPERLINK("https://www.philgeps.gov.ph/GEPSNONPILOT/Tender/SplashBidNoticeAbstractUI.aspx?menuIndex=3&amp;refID=7014542&amp;Result=3","7014542")</f>
        <v>0</v>
      </c>
      <c r="B12043" t="s">
        <v>87</v>
      </c>
      <c r="C12043" t="s">
        <v>14613</v>
      </c>
      <c r="D12043" t="s">
        <v>16222</v>
      </c>
      <c r="E12043" t="s">
        <v>26735</v>
      </c>
      <c r="F12043" t="s">
        <v>28198</v>
      </c>
      <c r="G12043" t="s">
        <v>28205</v>
      </c>
      <c r="H12043" t="s">
        <v>28214</v>
      </c>
      <c r="I12043" t="s">
        <v>3797</v>
      </c>
      <c r="J12043" t="s">
        <v>35745</v>
      </c>
      <c r="K12043" t="s">
        <v>36803</v>
      </c>
      <c r="M12043" t="s">
        <v>37059</v>
      </c>
      <c r="N12043" t="s">
        <v>40436</v>
      </c>
      <c r="O12043" t="s">
        <v>40437</v>
      </c>
      <c r="P12043">
        <v>0</v>
      </c>
      <c r="Q12043">
        <v>2</v>
      </c>
      <c r="R12043" t="s">
        <v>40454</v>
      </c>
      <c r="S12043" t="s">
        <v>41306</v>
      </c>
      <c r="T12043" t="s">
        <v>42205</v>
      </c>
      <c r="U12043" t="s">
        <v>52526</v>
      </c>
      <c r="W12043" t="s">
        <v>37059</v>
      </c>
      <c r="X12043" t="s">
        <v>40458</v>
      </c>
    </row>
    <row r="12044" spans="1:24">
      <c r="A12044">
        <f>HYPERLINK("https://www.philgeps.gov.ph/GEPSNONPILOT/Tender/SplashBidNoticeAbstractUI.aspx?menuIndex=3&amp;refID=7014563&amp;Result=3","7014563")</f>
        <v>0</v>
      </c>
      <c r="B12044" t="s">
        <v>87</v>
      </c>
      <c r="C12044" t="s">
        <v>14614</v>
      </c>
      <c r="D12044" t="s">
        <v>16222</v>
      </c>
      <c r="E12044" t="s">
        <v>26736</v>
      </c>
      <c r="F12044" t="s">
        <v>28198</v>
      </c>
      <c r="G12044" t="s">
        <v>28205</v>
      </c>
      <c r="H12044" t="s">
        <v>28214</v>
      </c>
      <c r="I12044" t="s">
        <v>3797</v>
      </c>
      <c r="J12044" t="s">
        <v>33123</v>
      </c>
      <c r="K12044" t="s">
        <v>36811</v>
      </c>
      <c r="M12044" t="s">
        <v>37059</v>
      </c>
      <c r="N12044" t="s">
        <v>40436</v>
      </c>
      <c r="O12044" t="s">
        <v>40437</v>
      </c>
      <c r="P12044">
        <v>0</v>
      </c>
      <c r="Q12044">
        <v>2</v>
      </c>
      <c r="R12044" t="s">
        <v>40454</v>
      </c>
      <c r="S12044" t="s">
        <v>41306</v>
      </c>
      <c r="T12044" t="s">
        <v>42205</v>
      </c>
      <c r="U12044" t="s">
        <v>52527</v>
      </c>
      <c r="W12044" t="s">
        <v>37059</v>
      </c>
      <c r="X12044" t="s">
        <v>40458</v>
      </c>
    </row>
    <row r="12045" spans="1:24">
      <c r="A12045">
        <f>HYPERLINK("https://www.philgeps.gov.ph/GEPSNONPILOT/Tender/SplashBidNoticeAbstractUI.aspx?menuIndex=3&amp;refID=7009115&amp;Result=3","7009115")</f>
        <v>0</v>
      </c>
      <c r="B12045" t="s">
        <v>2646</v>
      </c>
      <c r="C12045" t="s">
        <v>14615</v>
      </c>
      <c r="D12045" t="s">
        <v>16260</v>
      </c>
      <c r="E12045" t="s">
        <v>26737</v>
      </c>
      <c r="F12045" t="s">
        <v>28198</v>
      </c>
      <c r="G12045" t="s">
        <v>28205</v>
      </c>
      <c r="H12045" t="s">
        <v>28214</v>
      </c>
      <c r="I12045" t="s">
        <v>3797</v>
      </c>
      <c r="J12045" t="s">
        <v>30783</v>
      </c>
      <c r="K12045" t="s">
        <v>36694</v>
      </c>
      <c r="M12045" t="s">
        <v>39872</v>
      </c>
      <c r="N12045" t="s">
        <v>40436</v>
      </c>
      <c r="O12045" t="s">
        <v>40437</v>
      </c>
      <c r="P12045">
        <v>0</v>
      </c>
      <c r="Q12045">
        <v>0</v>
      </c>
      <c r="R12045" t="s">
        <v>40454</v>
      </c>
      <c r="S12045" t="s">
        <v>41306</v>
      </c>
      <c r="T12045" t="s">
        <v>42124</v>
      </c>
      <c r="U12045" t="s">
        <v>52528</v>
      </c>
      <c r="V12045" t="s">
        <v>54797</v>
      </c>
      <c r="W12045" t="s">
        <v>39872</v>
      </c>
      <c r="X12045" t="s">
        <v>40466</v>
      </c>
    </row>
    <row r="12046" spans="1:24">
      <c r="A12046">
        <f>HYPERLINK("https://www.philgeps.gov.ph/GEPSNONPILOT/Tender/SplashBidNoticeAbstractUI.aspx?menuIndex=3&amp;refID=7009114&amp;Result=3","7009114")</f>
        <v>0</v>
      </c>
      <c r="B12046" t="s">
        <v>2646</v>
      </c>
      <c r="C12046" t="s">
        <v>14616</v>
      </c>
      <c r="D12046" t="s">
        <v>16260</v>
      </c>
      <c r="E12046" t="s">
        <v>26738</v>
      </c>
      <c r="F12046" t="s">
        <v>28198</v>
      </c>
      <c r="G12046" t="s">
        <v>28205</v>
      </c>
      <c r="H12046" t="s">
        <v>28214</v>
      </c>
      <c r="I12046" t="s">
        <v>3797</v>
      </c>
      <c r="J12046" t="s">
        <v>35746</v>
      </c>
      <c r="K12046" t="s">
        <v>36709</v>
      </c>
      <c r="M12046" t="s">
        <v>39872</v>
      </c>
      <c r="N12046" t="s">
        <v>40436</v>
      </c>
      <c r="O12046" t="s">
        <v>40437</v>
      </c>
      <c r="P12046">
        <v>0</v>
      </c>
      <c r="Q12046">
        <v>0</v>
      </c>
      <c r="R12046" t="s">
        <v>40454</v>
      </c>
      <c r="S12046" t="s">
        <v>41306</v>
      </c>
      <c r="T12046" t="s">
        <v>42124</v>
      </c>
      <c r="U12046" t="s">
        <v>52529</v>
      </c>
      <c r="V12046" t="s">
        <v>54797</v>
      </c>
      <c r="W12046" t="s">
        <v>39872</v>
      </c>
      <c r="X12046" t="s">
        <v>40466</v>
      </c>
    </row>
    <row r="12047" spans="1:24">
      <c r="A12047">
        <f>HYPERLINK("https://www.philgeps.gov.ph/GEPSNONPILOT/Tender/SplashBidNoticeAbstractUI.aspx?menuIndex=3&amp;refID=7014513&amp;Result=3","7014513")</f>
        <v>0</v>
      </c>
      <c r="B12047" t="s">
        <v>87</v>
      </c>
      <c r="C12047" t="s">
        <v>14617</v>
      </c>
      <c r="D12047" t="s">
        <v>16222</v>
      </c>
      <c r="E12047" t="s">
        <v>26739</v>
      </c>
      <c r="F12047" t="s">
        <v>28198</v>
      </c>
      <c r="G12047" t="s">
        <v>28205</v>
      </c>
      <c r="H12047" t="s">
        <v>28214</v>
      </c>
      <c r="I12047" t="s">
        <v>3797</v>
      </c>
      <c r="J12047" t="s">
        <v>35747</v>
      </c>
      <c r="K12047" t="s">
        <v>36799</v>
      </c>
      <c r="M12047" t="s">
        <v>37059</v>
      </c>
      <c r="N12047" t="s">
        <v>40436</v>
      </c>
      <c r="O12047" t="s">
        <v>40437</v>
      </c>
      <c r="P12047">
        <v>0</v>
      </c>
      <c r="Q12047">
        <v>3</v>
      </c>
      <c r="R12047" t="s">
        <v>40454</v>
      </c>
      <c r="S12047" t="s">
        <v>41306</v>
      </c>
      <c r="T12047" t="s">
        <v>42205</v>
      </c>
      <c r="U12047" t="s">
        <v>52530</v>
      </c>
      <c r="W12047" t="s">
        <v>37059</v>
      </c>
      <c r="X12047" t="s">
        <v>40458</v>
      </c>
    </row>
    <row r="12048" spans="1:24">
      <c r="A12048">
        <f>HYPERLINK("https://www.philgeps.gov.ph/GEPSNONPILOT/Tender/SplashBidNoticeAbstractUI.aspx?menuIndex=3&amp;refID=7014683&amp;Result=3","7014683")</f>
        <v>0</v>
      </c>
      <c r="B12048" t="s">
        <v>2951</v>
      </c>
      <c r="C12048" t="s">
        <v>14618</v>
      </c>
      <c r="D12048" t="s">
        <v>16246</v>
      </c>
      <c r="E12048" t="s">
        <v>26740</v>
      </c>
      <c r="F12048" t="s">
        <v>28198</v>
      </c>
      <c r="G12048" t="s">
        <v>28205</v>
      </c>
      <c r="H12048" t="s">
        <v>28215</v>
      </c>
      <c r="I12048" t="s">
        <v>8888</v>
      </c>
      <c r="J12048" t="s">
        <v>28918</v>
      </c>
      <c r="K12048" t="s">
        <v>36689</v>
      </c>
      <c r="M12048" t="s">
        <v>40236</v>
      </c>
      <c r="N12048" t="s">
        <v>40436</v>
      </c>
      <c r="O12048" t="s">
        <v>40437</v>
      </c>
      <c r="P12048">
        <v>0</v>
      </c>
      <c r="Q12048">
        <v>1</v>
      </c>
      <c r="R12048" t="s">
        <v>40454</v>
      </c>
      <c r="S12048" t="s">
        <v>41306</v>
      </c>
      <c r="T12048" t="s">
        <v>42133</v>
      </c>
      <c r="U12048" t="s">
        <v>52531</v>
      </c>
      <c r="W12048" t="s">
        <v>40236</v>
      </c>
      <c r="X12048" t="s">
        <v>40458</v>
      </c>
    </row>
    <row r="12049" spans="1:24">
      <c r="A12049">
        <f>HYPERLINK("https://www.philgeps.gov.ph/GEPSNONPILOT/Tender/SplashBidNoticeAbstractUI.aspx?menuIndex=3&amp;refID=7009111&amp;Result=3","7009111")</f>
        <v>0</v>
      </c>
      <c r="B12049" t="s">
        <v>2646</v>
      </c>
      <c r="C12049" t="s">
        <v>14619</v>
      </c>
      <c r="D12049" t="s">
        <v>16260</v>
      </c>
      <c r="E12049" t="s">
        <v>26741</v>
      </c>
      <c r="F12049" t="s">
        <v>28198</v>
      </c>
      <c r="G12049" t="s">
        <v>28205</v>
      </c>
      <c r="H12049" t="s">
        <v>28214</v>
      </c>
      <c r="I12049" t="s">
        <v>3797</v>
      </c>
      <c r="J12049" t="s">
        <v>28379</v>
      </c>
      <c r="K12049" t="s">
        <v>36694</v>
      </c>
      <c r="M12049" t="s">
        <v>39872</v>
      </c>
      <c r="N12049" t="s">
        <v>40436</v>
      </c>
      <c r="O12049" t="s">
        <v>40437</v>
      </c>
      <c r="P12049">
        <v>0</v>
      </c>
      <c r="Q12049">
        <v>0</v>
      </c>
      <c r="R12049" t="s">
        <v>40454</v>
      </c>
      <c r="S12049" t="s">
        <v>41306</v>
      </c>
      <c r="T12049" t="s">
        <v>42124</v>
      </c>
      <c r="U12049" t="s">
        <v>52532</v>
      </c>
      <c r="V12049" t="s">
        <v>54797</v>
      </c>
      <c r="W12049" t="s">
        <v>39872</v>
      </c>
      <c r="X12049" t="s">
        <v>40466</v>
      </c>
    </row>
    <row r="12050" spans="1:24">
      <c r="A12050">
        <f>HYPERLINK("https://www.philgeps.gov.ph/GEPSNONPILOT/Tender/SplashBidNoticeAbstractUI.aspx?menuIndex=3&amp;refID=7014653&amp;Result=3","7014653")</f>
        <v>0</v>
      </c>
      <c r="B12050" t="s">
        <v>2952</v>
      </c>
      <c r="C12050" t="s">
        <v>14620</v>
      </c>
      <c r="D12050" t="s">
        <v>16238</v>
      </c>
      <c r="E12050" t="s">
        <v>26742</v>
      </c>
      <c r="F12050" t="s">
        <v>28198</v>
      </c>
      <c r="G12050" t="s">
        <v>28205</v>
      </c>
      <c r="H12050" t="s">
        <v>28215</v>
      </c>
      <c r="I12050" t="s">
        <v>8888</v>
      </c>
      <c r="J12050" t="s">
        <v>35748</v>
      </c>
      <c r="K12050" t="s">
        <v>36697</v>
      </c>
      <c r="M12050" t="s">
        <v>40237</v>
      </c>
      <c r="N12050" t="s">
        <v>40436</v>
      </c>
      <c r="O12050" t="s">
        <v>40437</v>
      </c>
      <c r="P12050">
        <v>0</v>
      </c>
      <c r="Q12050">
        <v>5</v>
      </c>
      <c r="R12050" t="s">
        <v>40454</v>
      </c>
      <c r="S12050" t="s">
        <v>41306</v>
      </c>
      <c r="T12050" t="s">
        <v>42130</v>
      </c>
      <c r="U12050" t="s">
        <v>52533</v>
      </c>
      <c r="W12050" t="s">
        <v>40237</v>
      </c>
      <c r="X12050" t="s">
        <v>40458</v>
      </c>
    </row>
    <row r="12051" spans="1:24">
      <c r="A12051">
        <f>HYPERLINK("https://www.philgeps.gov.ph/GEPSNONPILOT/Tender/SplashBidNoticeAbstractUI.aspx?menuIndex=3&amp;refID=7015734&amp;Result=3","7015734")</f>
        <v>0</v>
      </c>
      <c r="B12051" t="s">
        <v>2758</v>
      </c>
      <c r="C12051" t="s">
        <v>14621</v>
      </c>
      <c r="D12051" t="s">
        <v>16200</v>
      </c>
      <c r="E12051" t="s">
        <v>20281</v>
      </c>
      <c r="F12051" t="s">
        <v>28198</v>
      </c>
      <c r="G12051" t="s">
        <v>28205</v>
      </c>
      <c r="H12051" t="s">
        <v>28215</v>
      </c>
      <c r="I12051" t="s">
        <v>28241</v>
      </c>
      <c r="J12051" t="s">
        <v>30991</v>
      </c>
      <c r="K12051" t="s">
        <v>36692</v>
      </c>
      <c r="M12051" t="s">
        <v>40007</v>
      </c>
      <c r="N12051" t="s">
        <v>40436</v>
      </c>
      <c r="O12051" t="s">
        <v>40437</v>
      </c>
      <c r="Q12051">
        <v>9</v>
      </c>
      <c r="R12051" t="s">
        <v>40454</v>
      </c>
      <c r="S12051" t="s">
        <v>41310</v>
      </c>
      <c r="T12051" t="s">
        <v>42586</v>
      </c>
      <c r="U12051" t="s">
        <v>52534</v>
      </c>
      <c r="W12051" t="s">
        <v>40007</v>
      </c>
      <c r="X12051" t="s">
        <v>40458</v>
      </c>
    </row>
    <row r="12052" spans="1:24">
      <c r="A12052">
        <f>HYPERLINK("https://www.philgeps.gov.ph/GEPSNONPILOT/Tender/SplashBidNoticeAbstractUI.aspx?menuIndex=3&amp;refID=7015939&amp;Result=3","7015939")</f>
        <v>0</v>
      </c>
      <c r="B12052" t="s">
        <v>97</v>
      </c>
      <c r="C12052" t="s">
        <v>14622</v>
      </c>
      <c r="D12052" t="s">
        <v>16226</v>
      </c>
      <c r="E12052" t="s">
        <v>26743</v>
      </c>
      <c r="F12052" t="s">
        <v>28198</v>
      </c>
      <c r="G12052" t="s">
        <v>28205</v>
      </c>
      <c r="H12052" t="s">
        <v>28215</v>
      </c>
      <c r="I12052" t="s">
        <v>28222</v>
      </c>
      <c r="J12052" t="s">
        <v>35749</v>
      </c>
      <c r="K12052" t="s">
        <v>36689</v>
      </c>
      <c r="M12052" t="s">
        <v>38839</v>
      </c>
      <c r="N12052" t="s">
        <v>40436</v>
      </c>
      <c r="O12052" t="s">
        <v>40437</v>
      </c>
      <c r="P12052">
        <v>0</v>
      </c>
      <c r="Q12052">
        <v>9</v>
      </c>
      <c r="R12052" t="s">
        <v>40454</v>
      </c>
      <c r="S12052" t="s">
        <v>41306</v>
      </c>
      <c r="T12052" t="s">
        <v>42129</v>
      </c>
      <c r="U12052" t="s">
        <v>52535</v>
      </c>
      <c r="W12052" t="s">
        <v>38839</v>
      </c>
      <c r="X12052" t="s">
        <v>40458</v>
      </c>
    </row>
    <row r="12053" spans="1:24">
      <c r="A12053">
        <f>HYPERLINK("https://www.philgeps.gov.ph/GEPSNONPILOT/Tender/SplashBidNoticeAbstractUI.aspx?menuIndex=3&amp;refID=7015959&amp;Result=3","7015959")</f>
        <v>0</v>
      </c>
      <c r="B12053" t="s">
        <v>97</v>
      </c>
      <c r="C12053" t="s">
        <v>14623</v>
      </c>
      <c r="D12053" t="s">
        <v>16226</v>
      </c>
      <c r="E12053" t="s">
        <v>19696</v>
      </c>
      <c r="F12053" t="s">
        <v>28198</v>
      </c>
      <c r="G12053" t="s">
        <v>28205</v>
      </c>
      <c r="H12053" t="s">
        <v>28215</v>
      </c>
      <c r="I12053" t="s">
        <v>28222</v>
      </c>
      <c r="J12053" t="s">
        <v>29608</v>
      </c>
      <c r="K12053" t="s">
        <v>36689</v>
      </c>
      <c r="M12053" t="s">
        <v>38839</v>
      </c>
      <c r="N12053" t="s">
        <v>40436</v>
      </c>
      <c r="O12053" t="s">
        <v>40437</v>
      </c>
      <c r="P12053">
        <v>0</v>
      </c>
      <c r="Q12053">
        <v>7</v>
      </c>
      <c r="R12053" t="s">
        <v>40454</v>
      </c>
      <c r="S12053" t="s">
        <v>41306</v>
      </c>
      <c r="T12053" t="s">
        <v>42129</v>
      </c>
      <c r="U12053" t="s">
        <v>52536</v>
      </c>
      <c r="W12053" t="s">
        <v>38839</v>
      </c>
      <c r="X12053" t="s">
        <v>40458</v>
      </c>
    </row>
    <row r="12054" spans="1:24">
      <c r="A12054">
        <f>HYPERLINK("https://www.philgeps.gov.ph/GEPSNONPILOT/Tender/SplashBidNoticeAbstractUI.aspx?menuIndex=3&amp;refID=7015776&amp;Result=3","7015776")</f>
        <v>0</v>
      </c>
      <c r="B12054" t="s">
        <v>2953</v>
      </c>
      <c r="C12054" t="s">
        <v>14624</v>
      </c>
      <c r="D12054" t="s">
        <v>16212</v>
      </c>
      <c r="E12054" t="s">
        <v>26744</v>
      </c>
      <c r="F12054" t="s">
        <v>28198</v>
      </c>
      <c r="G12054" t="s">
        <v>28205</v>
      </c>
      <c r="H12054" t="s">
        <v>28215</v>
      </c>
      <c r="I12054" t="s">
        <v>28246</v>
      </c>
      <c r="J12054" t="s">
        <v>35750</v>
      </c>
      <c r="K12054" t="s">
        <v>36701</v>
      </c>
      <c r="M12054" t="s">
        <v>40238</v>
      </c>
      <c r="N12054" t="s">
        <v>40436</v>
      </c>
      <c r="O12054" t="s">
        <v>40437</v>
      </c>
      <c r="Q12054">
        <v>0</v>
      </c>
      <c r="R12054" t="s">
        <v>40454</v>
      </c>
      <c r="S12054" t="s">
        <v>41311</v>
      </c>
      <c r="T12054" t="s">
        <v>42103</v>
      </c>
      <c r="U12054" t="s">
        <v>52537</v>
      </c>
      <c r="W12054" t="s">
        <v>40238</v>
      </c>
      <c r="X12054" t="s">
        <v>40458</v>
      </c>
    </row>
    <row r="12055" spans="1:24">
      <c r="A12055">
        <f>HYPERLINK("https://www.philgeps.gov.ph/GEPSNONPILOT/Tender/SplashBidNoticeAbstractUI.aspx?menuIndex=3&amp;refID=7014771&amp;Result=3","7014771")</f>
        <v>0</v>
      </c>
      <c r="B12055" t="s">
        <v>2952</v>
      </c>
      <c r="C12055" t="s">
        <v>14625</v>
      </c>
      <c r="D12055" t="s">
        <v>16238</v>
      </c>
      <c r="E12055" t="s">
        <v>26745</v>
      </c>
      <c r="F12055" t="s">
        <v>28198</v>
      </c>
      <c r="G12055" t="s">
        <v>28205</v>
      </c>
      <c r="H12055" t="s">
        <v>28215</v>
      </c>
      <c r="I12055" t="s">
        <v>5082</v>
      </c>
      <c r="J12055" t="s">
        <v>35751</v>
      </c>
      <c r="K12055" t="s">
        <v>36697</v>
      </c>
      <c r="M12055" t="s">
        <v>40237</v>
      </c>
      <c r="N12055" t="s">
        <v>40436</v>
      </c>
      <c r="O12055" t="s">
        <v>40437</v>
      </c>
      <c r="P12055">
        <v>0</v>
      </c>
      <c r="Q12055">
        <v>5</v>
      </c>
      <c r="R12055" t="s">
        <v>40454</v>
      </c>
      <c r="S12055" t="s">
        <v>41306</v>
      </c>
      <c r="T12055" t="s">
        <v>42116</v>
      </c>
      <c r="U12055" t="s">
        <v>52538</v>
      </c>
      <c r="W12055" t="s">
        <v>40237</v>
      </c>
      <c r="X12055" t="s">
        <v>40458</v>
      </c>
    </row>
    <row r="12056" spans="1:24">
      <c r="A12056">
        <f>HYPERLINK("https://www.philgeps.gov.ph/GEPSNONPILOT/Tender/SplashBidNoticeAbstractUI.aspx?menuIndex=3&amp;refID=7014754&amp;Result=3","7014754")</f>
        <v>0</v>
      </c>
      <c r="B12056" t="s">
        <v>90</v>
      </c>
      <c r="C12056" t="s">
        <v>14626</v>
      </c>
      <c r="D12056" t="s">
        <v>16190</v>
      </c>
      <c r="E12056" t="s">
        <v>26746</v>
      </c>
      <c r="F12056" t="s">
        <v>28198</v>
      </c>
      <c r="G12056" t="s">
        <v>28205</v>
      </c>
      <c r="H12056" t="s">
        <v>28215</v>
      </c>
      <c r="I12056" t="s">
        <v>28222</v>
      </c>
      <c r="J12056" t="s">
        <v>35752</v>
      </c>
      <c r="K12056" t="s">
        <v>36689</v>
      </c>
      <c r="M12056" t="s">
        <v>37062</v>
      </c>
      <c r="N12056" t="s">
        <v>40436</v>
      </c>
      <c r="O12056" t="s">
        <v>40437</v>
      </c>
      <c r="P12056">
        <v>0</v>
      </c>
      <c r="Q12056">
        <v>6</v>
      </c>
      <c r="R12056" t="s">
        <v>40454</v>
      </c>
      <c r="S12056" t="s">
        <v>41306</v>
      </c>
      <c r="T12056" t="s">
        <v>42134</v>
      </c>
      <c r="U12056" t="s">
        <v>42737</v>
      </c>
      <c r="W12056" t="s">
        <v>37062</v>
      </c>
      <c r="X12056" t="s">
        <v>40458</v>
      </c>
    </row>
    <row r="12057" spans="1:24">
      <c r="A12057">
        <f>HYPERLINK("https://www.philgeps.gov.ph/GEPSNONPILOT/Tender/SplashBidNoticeAbstractUI.aspx?menuIndex=3&amp;refID=7014738&amp;Result=3","7014738")</f>
        <v>0</v>
      </c>
      <c r="B12057" t="s">
        <v>90</v>
      </c>
      <c r="C12057" t="s">
        <v>14627</v>
      </c>
      <c r="D12057" t="s">
        <v>16190</v>
      </c>
      <c r="E12057" t="s">
        <v>26747</v>
      </c>
      <c r="F12057" t="s">
        <v>28198</v>
      </c>
      <c r="G12057" t="s">
        <v>28205</v>
      </c>
      <c r="H12057" t="s">
        <v>28215</v>
      </c>
      <c r="I12057" t="s">
        <v>28222</v>
      </c>
      <c r="J12057" t="s">
        <v>33102</v>
      </c>
      <c r="K12057" t="s">
        <v>36689</v>
      </c>
      <c r="M12057" t="s">
        <v>37062</v>
      </c>
      <c r="N12057" t="s">
        <v>40436</v>
      </c>
      <c r="O12057" t="s">
        <v>40437</v>
      </c>
      <c r="P12057">
        <v>0</v>
      </c>
      <c r="Q12057">
        <v>6</v>
      </c>
      <c r="R12057" t="s">
        <v>40454</v>
      </c>
      <c r="S12057" t="s">
        <v>41306</v>
      </c>
      <c r="T12057" t="s">
        <v>42134</v>
      </c>
      <c r="U12057" t="s">
        <v>42737</v>
      </c>
      <c r="W12057" t="s">
        <v>37062</v>
      </c>
      <c r="X12057" t="s">
        <v>40458</v>
      </c>
    </row>
    <row r="12058" spans="1:24">
      <c r="A12058">
        <f>HYPERLINK("https://www.philgeps.gov.ph/GEPSNONPILOT/Tender/SplashBidNoticeAbstractUI.aspx?menuIndex=3&amp;refID=7014726&amp;Result=3","7014726")</f>
        <v>0</v>
      </c>
      <c r="B12058" t="s">
        <v>2952</v>
      </c>
      <c r="C12058" t="s">
        <v>14628</v>
      </c>
      <c r="D12058" t="s">
        <v>16238</v>
      </c>
      <c r="E12058" t="s">
        <v>26748</v>
      </c>
      <c r="F12058" t="s">
        <v>28198</v>
      </c>
      <c r="G12058" t="s">
        <v>28205</v>
      </c>
      <c r="H12058" t="s">
        <v>28215</v>
      </c>
      <c r="I12058" t="s">
        <v>28302</v>
      </c>
      <c r="J12058" t="s">
        <v>29869</v>
      </c>
      <c r="K12058" t="s">
        <v>36697</v>
      </c>
      <c r="M12058" t="s">
        <v>40237</v>
      </c>
      <c r="N12058" t="s">
        <v>40436</v>
      </c>
      <c r="O12058" t="s">
        <v>40437</v>
      </c>
      <c r="P12058">
        <v>0</v>
      </c>
      <c r="Q12058">
        <v>5</v>
      </c>
      <c r="R12058" t="s">
        <v>40454</v>
      </c>
      <c r="S12058" t="s">
        <v>41306</v>
      </c>
      <c r="T12058" t="s">
        <v>42116</v>
      </c>
      <c r="U12058" t="s">
        <v>52539</v>
      </c>
      <c r="W12058" t="s">
        <v>40237</v>
      </c>
      <c r="X12058" t="s">
        <v>40458</v>
      </c>
    </row>
    <row r="12059" spans="1:24">
      <c r="A12059">
        <f>HYPERLINK("https://www.philgeps.gov.ph/GEPSNONPILOT/Tender/SplashBidNoticeAbstractUI.aspx?menuIndex=3&amp;refID=7014759&amp;Result=3","7014759")</f>
        <v>0</v>
      </c>
      <c r="B12059" t="s">
        <v>2952</v>
      </c>
      <c r="C12059" t="s">
        <v>14629</v>
      </c>
      <c r="D12059" t="s">
        <v>16238</v>
      </c>
      <c r="E12059" t="s">
        <v>26749</v>
      </c>
      <c r="F12059" t="s">
        <v>28198</v>
      </c>
      <c r="G12059" t="s">
        <v>28205</v>
      </c>
      <c r="H12059" t="s">
        <v>28215</v>
      </c>
      <c r="I12059" t="s">
        <v>28228</v>
      </c>
      <c r="J12059" t="s">
        <v>35753</v>
      </c>
      <c r="K12059" t="s">
        <v>36697</v>
      </c>
      <c r="M12059" t="s">
        <v>40237</v>
      </c>
      <c r="N12059" t="s">
        <v>40436</v>
      </c>
      <c r="O12059" t="s">
        <v>40437</v>
      </c>
      <c r="P12059">
        <v>0</v>
      </c>
      <c r="Q12059">
        <v>0</v>
      </c>
      <c r="R12059" t="s">
        <v>40454</v>
      </c>
      <c r="S12059" t="s">
        <v>41306</v>
      </c>
      <c r="T12059" t="s">
        <v>42130</v>
      </c>
      <c r="U12059" t="s">
        <v>52540</v>
      </c>
      <c r="W12059" t="s">
        <v>40237</v>
      </c>
      <c r="X12059" t="s">
        <v>40458</v>
      </c>
    </row>
    <row r="12060" spans="1:24">
      <c r="A12060">
        <f>HYPERLINK("https://www.philgeps.gov.ph/GEPSNONPILOT/Tender/SplashBidNoticeAbstractUI.aspx?menuIndex=3&amp;refID=7014707&amp;Result=3","7014707")</f>
        <v>0</v>
      </c>
      <c r="B12060" t="s">
        <v>90</v>
      </c>
      <c r="C12060" t="s">
        <v>14630</v>
      </c>
      <c r="D12060" t="s">
        <v>16190</v>
      </c>
      <c r="E12060" t="s">
        <v>26750</v>
      </c>
      <c r="F12060" t="s">
        <v>28198</v>
      </c>
      <c r="G12060" t="s">
        <v>28205</v>
      </c>
      <c r="H12060" t="s">
        <v>28215</v>
      </c>
      <c r="I12060" t="s">
        <v>28222</v>
      </c>
      <c r="J12060" t="s">
        <v>35754</v>
      </c>
      <c r="K12060" t="s">
        <v>36689</v>
      </c>
      <c r="M12060" t="s">
        <v>37062</v>
      </c>
      <c r="N12060" t="s">
        <v>40436</v>
      </c>
      <c r="O12060" t="s">
        <v>40437</v>
      </c>
      <c r="P12060">
        <v>0</v>
      </c>
      <c r="Q12060">
        <v>5</v>
      </c>
      <c r="R12060" t="s">
        <v>40454</v>
      </c>
      <c r="S12060" t="s">
        <v>41306</v>
      </c>
      <c r="T12060" t="s">
        <v>42134</v>
      </c>
      <c r="U12060" t="s">
        <v>42737</v>
      </c>
      <c r="W12060" t="s">
        <v>37062</v>
      </c>
      <c r="X12060" t="s">
        <v>40458</v>
      </c>
    </row>
    <row r="12061" spans="1:24">
      <c r="A12061">
        <f>HYPERLINK("https://www.philgeps.gov.ph/GEPSNONPILOT/Tender/SplashBidNoticeAbstractUI.aspx?menuIndex=3&amp;refID=7016075&amp;Result=3","7016075")</f>
        <v>0</v>
      </c>
      <c r="B12061" t="s">
        <v>550</v>
      </c>
      <c r="C12061" t="s">
        <v>14631</v>
      </c>
      <c r="D12061" t="s">
        <v>16193</v>
      </c>
      <c r="E12061" t="s">
        <v>26751</v>
      </c>
      <c r="F12061" t="s">
        <v>28198</v>
      </c>
      <c r="G12061" t="s">
        <v>28205</v>
      </c>
      <c r="H12061" t="s">
        <v>28217</v>
      </c>
      <c r="I12061" t="s">
        <v>28263</v>
      </c>
      <c r="J12061" t="s">
        <v>35755</v>
      </c>
      <c r="K12061" t="s">
        <v>36701</v>
      </c>
      <c r="M12061" t="s">
        <v>37536</v>
      </c>
      <c r="N12061" t="s">
        <v>40436</v>
      </c>
      <c r="O12061" t="s">
        <v>40437</v>
      </c>
      <c r="P12061">
        <v>0</v>
      </c>
      <c r="Q12061">
        <v>2</v>
      </c>
      <c r="R12061" t="s">
        <v>40454</v>
      </c>
      <c r="S12061" t="s">
        <v>41306</v>
      </c>
      <c r="T12061" t="s">
        <v>42103</v>
      </c>
      <c r="U12061" t="s">
        <v>52541</v>
      </c>
      <c r="W12061" t="s">
        <v>37536</v>
      </c>
      <c r="X12061" t="s">
        <v>40458</v>
      </c>
    </row>
    <row r="12062" spans="1:24">
      <c r="A12062">
        <f>HYPERLINK("https://www.philgeps.gov.ph/GEPSNONPILOT/Tender/SplashBidNoticeAbstractUI.aspx?menuIndex=3&amp;refID=7015521&amp;Result=3","7015521")</f>
        <v>0</v>
      </c>
      <c r="B12062" t="s">
        <v>97</v>
      </c>
      <c r="C12062" t="s">
        <v>14632</v>
      </c>
      <c r="D12062" t="s">
        <v>16226</v>
      </c>
      <c r="E12062" t="s">
        <v>26752</v>
      </c>
      <c r="F12062" t="s">
        <v>28198</v>
      </c>
      <c r="G12062" t="s">
        <v>28205</v>
      </c>
      <c r="H12062" t="s">
        <v>28215</v>
      </c>
      <c r="I12062" t="s">
        <v>4321</v>
      </c>
      <c r="J12062" t="s">
        <v>35756</v>
      </c>
      <c r="K12062" t="s">
        <v>36689</v>
      </c>
      <c r="M12062" t="s">
        <v>38839</v>
      </c>
      <c r="N12062" t="s">
        <v>40436</v>
      </c>
      <c r="O12062" t="s">
        <v>40437</v>
      </c>
      <c r="Q12062">
        <v>4</v>
      </c>
      <c r="R12062" t="s">
        <v>40454</v>
      </c>
      <c r="S12062" t="s">
        <v>40609</v>
      </c>
      <c r="T12062" t="s">
        <v>42129</v>
      </c>
      <c r="U12062" t="s">
        <v>52542</v>
      </c>
      <c r="W12062" t="s">
        <v>38839</v>
      </c>
      <c r="X12062" t="s">
        <v>40458</v>
      </c>
    </row>
    <row r="12063" spans="1:24">
      <c r="A12063">
        <f>HYPERLINK("https://www.philgeps.gov.ph/GEPSNONPILOT/Tender/SplashBidNoticeAbstractUI.aspx?menuIndex=3&amp;refID=7016397&amp;Result=3","7016397")</f>
        <v>0</v>
      </c>
      <c r="B12063" t="s">
        <v>2954</v>
      </c>
      <c r="C12063" t="s">
        <v>14633</v>
      </c>
      <c r="D12063" t="s">
        <v>16251</v>
      </c>
      <c r="E12063" t="s">
        <v>26753</v>
      </c>
      <c r="F12063" t="s">
        <v>28198</v>
      </c>
      <c r="G12063" t="s">
        <v>28205</v>
      </c>
      <c r="H12063" t="s">
        <v>28214</v>
      </c>
      <c r="I12063" t="s">
        <v>3797</v>
      </c>
      <c r="J12063" t="s">
        <v>31303</v>
      </c>
      <c r="K12063" t="s">
        <v>36694</v>
      </c>
      <c r="M12063" t="s">
        <v>40239</v>
      </c>
      <c r="N12063" t="s">
        <v>40436</v>
      </c>
      <c r="O12063" t="s">
        <v>40437</v>
      </c>
      <c r="P12063">
        <v>0</v>
      </c>
      <c r="Q12063">
        <v>1</v>
      </c>
      <c r="R12063" t="s">
        <v>40454</v>
      </c>
      <c r="S12063" t="s">
        <v>41306</v>
      </c>
      <c r="T12063" t="s">
        <v>42111</v>
      </c>
      <c r="U12063" t="s">
        <v>52543</v>
      </c>
      <c r="V12063" t="s">
        <v>55155</v>
      </c>
      <c r="W12063" t="s">
        <v>40239</v>
      </c>
      <c r="X12063" t="s">
        <v>40458</v>
      </c>
    </row>
    <row r="12064" spans="1:24">
      <c r="A12064">
        <f>HYPERLINK("https://www.philgeps.gov.ph/GEPSNONPILOT/Tender/SplashBidNoticeAbstractUI.aspx?menuIndex=3&amp;refID=7015966&amp;Result=3","7015966")</f>
        <v>0</v>
      </c>
      <c r="B12064" t="s">
        <v>2567</v>
      </c>
      <c r="C12064" t="s">
        <v>14634</v>
      </c>
      <c r="D12064" t="s">
        <v>16274</v>
      </c>
      <c r="E12064" t="s">
        <v>26754</v>
      </c>
      <c r="F12064" t="s">
        <v>28198</v>
      </c>
      <c r="G12064" t="s">
        <v>28205</v>
      </c>
      <c r="H12064" t="s">
        <v>28214</v>
      </c>
      <c r="I12064" t="s">
        <v>3797</v>
      </c>
      <c r="J12064" t="s">
        <v>28347</v>
      </c>
      <c r="K12064" t="s">
        <v>36708</v>
      </c>
      <c r="M12064" t="s">
        <v>39781</v>
      </c>
      <c r="N12064" t="s">
        <v>40436</v>
      </c>
      <c r="O12064" t="s">
        <v>40437</v>
      </c>
      <c r="P12064">
        <v>0</v>
      </c>
      <c r="Q12064">
        <v>0</v>
      </c>
      <c r="R12064" t="s">
        <v>40454</v>
      </c>
      <c r="S12064" t="s">
        <v>41306</v>
      </c>
      <c r="T12064" t="s">
        <v>42584</v>
      </c>
      <c r="U12064" t="s">
        <v>52544</v>
      </c>
      <c r="W12064" t="s">
        <v>39781</v>
      </c>
      <c r="X12064" t="s">
        <v>40458</v>
      </c>
    </row>
    <row r="12065" spans="1:24">
      <c r="A12065">
        <f>HYPERLINK("https://www.philgeps.gov.ph/GEPSNONPILOT/Tender/SplashBidNoticeAbstractUI.aspx?menuIndex=3&amp;refID=7015925&amp;Result=3","7015925")</f>
        <v>0</v>
      </c>
      <c r="B12065" t="s">
        <v>97</v>
      </c>
      <c r="C12065" t="s">
        <v>14635</v>
      </c>
      <c r="D12065" t="s">
        <v>16226</v>
      </c>
      <c r="E12065" t="s">
        <v>26755</v>
      </c>
      <c r="F12065" t="s">
        <v>28198</v>
      </c>
      <c r="G12065" t="s">
        <v>28205</v>
      </c>
      <c r="H12065" t="s">
        <v>28215</v>
      </c>
      <c r="I12065" t="s">
        <v>28222</v>
      </c>
      <c r="J12065" t="s">
        <v>29570</v>
      </c>
      <c r="K12065" t="s">
        <v>36689</v>
      </c>
      <c r="M12065" t="s">
        <v>38839</v>
      </c>
      <c r="N12065" t="s">
        <v>40436</v>
      </c>
      <c r="O12065" t="s">
        <v>40437</v>
      </c>
      <c r="P12065">
        <v>0</v>
      </c>
      <c r="Q12065">
        <v>7</v>
      </c>
      <c r="R12065" t="s">
        <v>40454</v>
      </c>
      <c r="S12065" t="s">
        <v>41306</v>
      </c>
      <c r="T12065" t="s">
        <v>42129</v>
      </c>
      <c r="U12065" t="s">
        <v>52545</v>
      </c>
      <c r="W12065" t="s">
        <v>38839</v>
      </c>
      <c r="X12065" t="s">
        <v>40458</v>
      </c>
    </row>
    <row r="12066" spans="1:24">
      <c r="A12066">
        <f>HYPERLINK("https://www.philgeps.gov.ph/GEPSNONPILOT/Tender/SplashBidNoticeAbstractUI.aspx?menuIndex=3&amp;refID=7016558&amp;Result=3","7016558")</f>
        <v>0</v>
      </c>
      <c r="B12066" t="s">
        <v>2955</v>
      </c>
      <c r="C12066" t="s">
        <v>14636</v>
      </c>
      <c r="D12066" t="s">
        <v>16235</v>
      </c>
      <c r="E12066" t="s">
        <v>16591</v>
      </c>
      <c r="F12066" t="s">
        <v>28198</v>
      </c>
      <c r="G12066" t="s">
        <v>28205</v>
      </c>
      <c r="H12066" t="s">
        <v>28214</v>
      </c>
      <c r="I12066" t="s">
        <v>3797</v>
      </c>
      <c r="J12066" t="s">
        <v>35757</v>
      </c>
      <c r="K12066" t="s">
        <v>36737</v>
      </c>
      <c r="M12066" t="s">
        <v>40240</v>
      </c>
      <c r="N12066" t="s">
        <v>40436</v>
      </c>
      <c r="O12066" t="s">
        <v>40437</v>
      </c>
      <c r="P12066">
        <v>0</v>
      </c>
      <c r="Q12066">
        <v>0</v>
      </c>
      <c r="R12066" t="s">
        <v>40454</v>
      </c>
      <c r="S12066" t="s">
        <v>41306</v>
      </c>
      <c r="T12066" t="s">
        <v>42136</v>
      </c>
      <c r="U12066" t="s">
        <v>52546</v>
      </c>
      <c r="W12066" t="s">
        <v>40240</v>
      </c>
      <c r="X12066" t="s">
        <v>40457</v>
      </c>
    </row>
    <row r="12067" spans="1:24">
      <c r="A12067">
        <f>HYPERLINK("https://www.philgeps.gov.ph/GEPSNONPILOT/Tender/SplashBidNoticeAbstractUI.aspx?menuIndex=3&amp;refID=7016944&amp;Result=3","7016944")</f>
        <v>0</v>
      </c>
      <c r="B12067" t="s">
        <v>181</v>
      </c>
      <c r="C12067" t="s">
        <v>14637</v>
      </c>
      <c r="D12067" t="s">
        <v>16209</v>
      </c>
      <c r="E12067" t="s">
        <v>24115</v>
      </c>
      <c r="F12067" t="s">
        <v>28198</v>
      </c>
      <c r="G12067" t="s">
        <v>28205</v>
      </c>
      <c r="H12067" t="s">
        <v>28214</v>
      </c>
      <c r="I12067" t="s">
        <v>3797</v>
      </c>
      <c r="J12067" t="s">
        <v>35758</v>
      </c>
      <c r="K12067" t="s">
        <v>36715</v>
      </c>
      <c r="M12067" t="s">
        <v>37156</v>
      </c>
      <c r="N12067" t="s">
        <v>40436</v>
      </c>
      <c r="O12067" t="s">
        <v>40437</v>
      </c>
      <c r="P12067">
        <v>0</v>
      </c>
      <c r="Q12067">
        <v>0</v>
      </c>
      <c r="R12067" t="s">
        <v>40454</v>
      </c>
      <c r="S12067" t="s">
        <v>41306</v>
      </c>
      <c r="T12067" t="s">
        <v>42455</v>
      </c>
      <c r="U12067" t="s">
        <v>42915</v>
      </c>
      <c r="W12067" t="s">
        <v>37156</v>
      </c>
      <c r="X12067" t="s">
        <v>40457</v>
      </c>
    </row>
    <row r="12068" spans="1:24">
      <c r="A12068">
        <f>HYPERLINK("https://www.philgeps.gov.ph/GEPSNONPILOT/Tender/SplashBidNoticeAbstractUI.aspx?menuIndex=3&amp;refID=7016924&amp;Result=3","7016924")</f>
        <v>0</v>
      </c>
      <c r="B12068" t="s">
        <v>181</v>
      </c>
      <c r="C12068" t="s">
        <v>14638</v>
      </c>
      <c r="D12068" t="s">
        <v>16209</v>
      </c>
      <c r="E12068" t="s">
        <v>20114</v>
      </c>
      <c r="F12068" t="s">
        <v>28198</v>
      </c>
      <c r="G12068" t="s">
        <v>28205</v>
      </c>
      <c r="H12068" t="s">
        <v>28214</v>
      </c>
      <c r="I12068" t="s">
        <v>3797</v>
      </c>
      <c r="J12068" t="s">
        <v>28378</v>
      </c>
      <c r="K12068" t="s">
        <v>36715</v>
      </c>
      <c r="M12068" t="s">
        <v>37156</v>
      </c>
      <c r="N12068" t="s">
        <v>40436</v>
      </c>
      <c r="O12068" t="s">
        <v>40437</v>
      </c>
      <c r="P12068">
        <v>0</v>
      </c>
      <c r="Q12068">
        <v>0</v>
      </c>
      <c r="R12068" t="s">
        <v>40454</v>
      </c>
      <c r="S12068" t="s">
        <v>41306</v>
      </c>
      <c r="T12068" t="s">
        <v>42455</v>
      </c>
      <c r="U12068" t="s">
        <v>42915</v>
      </c>
      <c r="W12068" t="s">
        <v>37156</v>
      </c>
      <c r="X12068" t="s">
        <v>40457</v>
      </c>
    </row>
    <row r="12069" spans="1:24">
      <c r="A12069">
        <f>HYPERLINK("https://www.philgeps.gov.ph/GEPSNONPILOT/Tender/SplashBidNoticeAbstractUI.aspx?menuIndex=3&amp;refID=7016876&amp;Result=3","7016876")</f>
        <v>0</v>
      </c>
      <c r="B12069" t="s">
        <v>2224</v>
      </c>
      <c r="C12069" t="s">
        <v>14639</v>
      </c>
      <c r="D12069" t="s">
        <v>16217</v>
      </c>
      <c r="E12069" t="s">
        <v>23997</v>
      </c>
      <c r="F12069" t="s">
        <v>28198</v>
      </c>
      <c r="G12069" t="s">
        <v>28205</v>
      </c>
      <c r="H12069" t="s">
        <v>28214</v>
      </c>
      <c r="I12069" t="s">
        <v>28242</v>
      </c>
      <c r="J12069" t="s">
        <v>35759</v>
      </c>
      <c r="K12069" t="s">
        <v>36715</v>
      </c>
      <c r="M12069" t="s">
        <v>39391</v>
      </c>
      <c r="N12069" t="s">
        <v>40436</v>
      </c>
      <c r="O12069" t="s">
        <v>40437</v>
      </c>
      <c r="Q12069">
        <v>0</v>
      </c>
      <c r="R12069" t="s">
        <v>40454</v>
      </c>
      <c r="S12069" t="s">
        <v>41312</v>
      </c>
      <c r="T12069" t="s">
        <v>42158</v>
      </c>
      <c r="U12069" t="s">
        <v>52547</v>
      </c>
      <c r="W12069" t="s">
        <v>39391</v>
      </c>
      <c r="X12069" t="s">
        <v>40457</v>
      </c>
    </row>
    <row r="12070" spans="1:24">
      <c r="A12070">
        <f>HYPERLINK("https://www.philgeps.gov.ph/GEPSNONPILOT/Tender/SplashBidNoticeAbstractUI.aspx?menuIndex=3&amp;refID=7016936&amp;Result=3","7016936")</f>
        <v>0</v>
      </c>
      <c r="B12070" t="s">
        <v>181</v>
      </c>
      <c r="C12070" t="s">
        <v>14640</v>
      </c>
      <c r="D12070" t="s">
        <v>16209</v>
      </c>
      <c r="E12070" t="s">
        <v>16621</v>
      </c>
      <c r="F12070" t="s">
        <v>28198</v>
      </c>
      <c r="G12070" t="s">
        <v>28205</v>
      </c>
      <c r="H12070" t="s">
        <v>28214</v>
      </c>
      <c r="I12070" t="s">
        <v>3797</v>
      </c>
      <c r="J12070" t="s">
        <v>28415</v>
      </c>
      <c r="K12070" t="s">
        <v>36694</v>
      </c>
      <c r="M12070" t="s">
        <v>37156</v>
      </c>
      <c r="N12070" t="s">
        <v>40436</v>
      </c>
      <c r="O12070" t="s">
        <v>40437</v>
      </c>
      <c r="P12070">
        <v>0</v>
      </c>
      <c r="Q12070">
        <v>0</v>
      </c>
      <c r="R12070" t="s">
        <v>40454</v>
      </c>
      <c r="S12070" t="s">
        <v>41306</v>
      </c>
      <c r="T12070" t="s">
        <v>42455</v>
      </c>
      <c r="U12070" t="s">
        <v>42915</v>
      </c>
      <c r="W12070" t="s">
        <v>37156</v>
      </c>
      <c r="X12070" t="s">
        <v>40457</v>
      </c>
    </row>
    <row r="12071" spans="1:24">
      <c r="A12071">
        <f>HYPERLINK("https://www.philgeps.gov.ph/GEPSNONPILOT/Tender/SplashBidNoticeAbstractUI.aspx?menuIndex=3&amp;refID=7016903&amp;Result=3","7016903")</f>
        <v>0</v>
      </c>
      <c r="B12071" t="s">
        <v>181</v>
      </c>
      <c r="C12071" t="s">
        <v>14641</v>
      </c>
      <c r="D12071" t="s">
        <v>16209</v>
      </c>
      <c r="E12071" t="s">
        <v>17900</v>
      </c>
      <c r="F12071" t="s">
        <v>28198</v>
      </c>
      <c r="G12071" t="s">
        <v>28205</v>
      </c>
      <c r="H12071" t="s">
        <v>28214</v>
      </c>
      <c r="I12071" t="s">
        <v>3797</v>
      </c>
      <c r="J12071" t="s">
        <v>28352</v>
      </c>
      <c r="K12071" t="s">
        <v>36715</v>
      </c>
      <c r="M12071" t="s">
        <v>37156</v>
      </c>
      <c r="N12071" t="s">
        <v>40436</v>
      </c>
      <c r="O12071" t="s">
        <v>40437</v>
      </c>
      <c r="P12071">
        <v>0</v>
      </c>
      <c r="Q12071">
        <v>0</v>
      </c>
      <c r="R12071" t="s">
        <v>40454</v>
      </c>
      <c r="S12071" t="s">
        <v>41306</v>
      </c>
      <c r="T12071" t="s">
        <v>42455</v>
      </c>
      <c r="U12071" t="s">
        <v>42915</v>
      </c>
      <c r="W12071" t="s">
        <v>37156</v>
      </c>
      <c r="X12071" t="s">
        <v>40457</v>
      </c>
    </row>
    <row r="12072" spans="1:24">
      <c r="A12072">
        <f>HYPERLINK("https://www.philgeps.gov.ph/GEPSNONPILOT/Tender/SplashBidNoticeAbstractUI.aspx?menuIndex=3&amp;refID=7016710&amp;Result=3","7016710")</f>
        <v>0</v>
      </c>
      <c r="B12072" t="s">
        <v>525</v>
      </c>
      <c r="C12072" t="s">
        <v>14642</v>
      </c>
      <c r="D12072" t="s">
        <v>16221</v>
      </c>
      <c r="E12072" t="s">
        <v>26756</v>
      </c>
      <c r="F12072" t="s">
        <v>28198</v>
      </c>
      <c r="G12072" t="s">
        <v>28205</v>
      </c>
      <c r="H12072" t="s">
        <v>28215</v>
      </c>
      <c r="I12072" t="s">
        <v>28222</v>
      </c>
      <c r="J12072" t="s">
        <v>35760</v>
      </c>
      <c r="K12072" t="s">
        <v>36689</v>
      </c>
      <c r="M12072" t="s">
        <v>37510</v>
      </c>
      <c r="N12072" t="s">
        <v>40436</v>
      </c>
      <c r="O12072" t="s">
        <v>40437</v>
      </c>
      <c r="P12072">
        <v>0</v>
      </c>
      <c r="Q12072">
        <v>8</v>
      </c>
      <c r="R12072" t="s">
        <v>40454</v>
      </c>
      <c r="S12072" t="s">
        <v>41306</v>
      </c>
      <c r="T12072" t="s">
        <v>42103</v>
      </c>
      <c r="U12072" t="s">
        <v>52548</v>
      </c>
      <c r="W12072" t="s">
        <v>37510</v>
      </c>
      <c r="X12072" t="s">
        <v>40457</v>
      </c>
    </row>
    <row r="12073" spans="1:24">
      <c r="A12073">
        <f>HYPERLINK("https://www.philgeps.gov.ph/GEPSNONPILOT/Tender/SplashBidNoticeAbstractUI.aspx?menuIndex=3&amp;refID=7016879&amp;Result=3","7016879")</f>
        <v>0</v>
      </c>
      <c r="B12073" t="s">
        <v>2956</v>
      </c>
      <c r="C12073" t="s">
        <v>14643</v>
      </c>
      <c r="D12073" t="s">
        <v>16261</v>
      </c>
      <c r="E12073" t="s">
        <v>26757</v>
      </c>
      <c r="F12073" t="s">
        <v>28198</v>
      </c>
      <c r="G12073" t="s">
        <v>28205</v>
      </c>
      <c r="H12073" t="s">
        <v>28214</v>
      </c>
      <c r="I12073" t="s">
        <v>3797</v>
      </c>
      <c r="J12073" t="s">
        <v>35761</v>
      </c>
      <c r="K12073" t="s">
        <v>36694</v>
      </c>
      <c r="M12073" t="s">
        <v>40241</v>
      </c>
      <c r="N12073" t="s">
        <v>40436</v>
      </c>
      <c r="O12073" t="s">
        <v>40437</v>
      </c>
      <c r="P12073">
        <v>0</v>
      </c>
      <c r="Q12073">
        <v>0</v>
      </c>
      <c r="R12073" t="s">
        <v>40454</v>
      </c>
      <c r="S12073" t="s">
        <v>41306</v>
      </c>
      <c r="T12073" t="s">
        <v>42134</v>
      </c>
      <c r="U12073" t="s">
        <v>52549</v>
      </c>
      <c r="W12073" t="s">
        <v>40241</v>
      </c>
      <c r="X12073" t="s">
        <v>40457</v>
      </c>
    </row>
    <row r="12074" spans="1:24">
      <c r="A12074">
        <f>HYPERLINK("https://www.philgeps.gov.ph/GEPSNONPILOT/Tender/SplashBidNoticeAbstractUI.aspx?menuIndex=3&amp;refID=7017020&amp;Result=3","7017020")</f>
        <v>0</v>
      </c>
      <c r="B12074" t="s">
        <v>181</v>
      </c>
      <c r="C12074" t="s">
        <v>14644</v>
      </c>
      <c r="D12074" t="s">
        <v>16209</v>
      </c>
      <c r="E12074" t="s">
        <v>24115</v>
      </c>
      <c r="F12074" t="s">
        <v>28198</v>
      </c>
      <c r="G12074" t="s">
        <v>28205</v>
      </c>
      <c r="H12074" t="s">
        <v>28214</v>
      </c>
      <c r="I12074" t="s">
        <v>3797</v>
      </c>
      <c r="J12074" t="s">
        <v>28393</v>
      </c>
      <c r="K12074" t="s">
        <v>36694</v>
      </c>
      <c r="M12074" t="s">
        <v>37156</v>
      </c>
      <c r="N12074" t="s">
        <v>40436</v>
      </c>
      <c r="O12074" t="s">
        <v>40437</v>
      </c>
      <c r="P12074">
        <v>0</v>
      </c>
      <c r="Q12074">
        <v>0</v>
      </c>
      <c r="R12074" t="s">
        <v>40454</v>
      </c>
      <c r="S12074" t="s">
        <v>41306</v>
      </c>
      <c r="T12074" t="s">
        <v>42455</v>
      </c>
      <c r="U12074" t="s">
        <v>42915</v>
      </c>
      <c r="W12074" t="s">
        <v>37156</v>
      </c>
      <c r="X12074" t="s">
        <v>40457</v>
      </c>
    </row>
    <row r="12075" spans="1:24">
      <c r="A12075">
        <f>HYPERLINK("https://www.philgeps.gov.ph/GEPSNONPILOT/Tender/SplashBidNoticeAbstractUI.aspx?menuIndex=3&amp;refID=7016990&amp;Result=3","7016990")</f>
        <v>0</v>
      </c>
      <c r="B12075" t="s">
        <v>181</v>
      </c>
      <c r="C12075" t="s">
        <v>14645</v>
      </c>
      <c r="D12075" t="s">
        <v>16209</v>
      </c>
      <c r="E12075" t="s">
        <v>24115</v>
      </c>
      <c r="F12075" t="s">
        <v>28198</v>
      </c>
      <c r="G12075" t="s">
        <v>28205</v>
      </c>
      <c r="H12075" t="s">
        <v>28214</v>
      </c>
      <c r="I12075" t="s">
        <v>3797</v>
      </c>
      <c r="J12075" t="s">
        <v>28345</v>
      </c>
      <c r="K12075" t="s">
        <v>36694</v>
      </c>
      <c r="M12075" t="s">
        <v>37156</v>
      </c>
      <c r="N12075" t="s">
        <v>40436</v>
      </c>
      <c r="O12075" t="s">
        <v>40437</v>
      </c>
      <c r="P12075">
        <v>0</v>
      </c>
      <c r="Q12075">
        <v>0</v>
      </c>
      <c r="R12075" t="s">
        <v>40454</v>
      </c>
      <c r="S12075" t="s">
        <v>41306</v>
      </c>
      <c r="T12075" t="s">
        <v>42455</v>
      </c>
      <c r="U12075" t="s">
        <v>42915</v>
      </c>
      <c r="W12075" t="s">
        <v>37156</v>
      </c>
      <c r="X12075" t="s">
        <v>40457</v>
      </c>
    </row>
    <row r="12076" spans="1:24">
      <c r="A12076">
        <f>HYPERLINK("https://www.philgeps.gov.ph/GEPSNONPILOT/Tender/SplashBidNoticeAbstractUI.aspx?menuIndex=3&amp;refID=7016979&amp;Result=3","7016979")</f>
        <v>0</v>
      </c>
      <c r="B12076" t="s">
        <v>181</v>
      </c>
      <c r="C12076" t="s">
        <v>14646</v>
      </c>
      <c r="D12076" t="s">
        <v>16209</v>
      </c>
      <c r="E12076" t="s">
        <v>16621</v>
      </c>
      <c r="F12076" t="s">
        <v>28198</v>
      </c>
      <c r="G12076" t="s">
        <v>28205</v>
      </c>
      <c r="H12076" t="s">
        <v>28214</v>
      </c>
      <c r="I12076" t="s">
        <v>3797</v>
      </c>
      <c r="J12076" t="s">
        <v>28352</v>
      </c>
      <c r="K12076" t="s">
        <v>36715</v>
      </c>
      <c r="M12076" t="s">
        <v>37156</v>
      </c>
      <c r="N12076" t="s">
        <v>40436</v>
      </c>
      <c r="O12076" t="s">
        <v>40437</v>
      </c>
      <c r="P12076">
        <v>0</v>
      </c>
      <c r="Q12076">
        <v>0</v>
      </c>
      <c r="R12076" t="s">
        <v>40454</v>
      </c>
      <c r="S12076" t="s">
        <v>41306</v>
      </c>
      <c r="T12076" t="s">
        <v>42455</v>
      </c>
      <c r="U12076" t="s">
        <v>42915</v>
      </c>
      <c r="W12076" t="s">
        <v>37156</v>
      </c>
      <c r="X12076" t="s">
        <v>40457</v>
      </c>
    </row>
    <row r="12077" spans="1:24">
      <c r="A12077">
        <f>HYPERLINK("https://www.philgeps.gov.ph/GEPSNONPILOT/Tender/SplashBidNoticeAbstractUI.aspx?menuIndex=3&amp;refID=7017006&amp;Result=3","7017006")</f>
        <v>0</v>
      </c>
      <c r="B12077" t="s">
        <v>2675</v>
      </c>
      <c r="C12077" t="s">
        <v>14647</v>
      </c>
      <c r="D12077" t="s">
        <v>16245</v>
      </c>
      <c r="E12077" t="s">
        <v>26758</v>
      </c>
      <c r="F12077" t="s">
        <v>28198</v>
      </c>
      <c r="G12077" t="s">
        <v>28205</v>
      </c>
      <c r="H12077" t="s">
        <v>28214</v>
      </c>
      <c r="I12077" t="s">
        <v>28260</v>
      </c>
      <c r="J12077" t="s">
        <v>29598</v>
      </c>
      <c r="K12077" t="s">
        <v>36694</v>
      </c>
      <c r="M12077" t="s">
        <v>39908</v>
      </c>
      <c r="N12077" t="s">
        <v>40436</v>
      </c>
      <c r="O12077" t="s">
        <v>40437</v>
      </c>
      <c r="P12077">
        <v>0</v>
      </c>
      <c r="Q12077">
        <v>0</v>
      </c>
      <c r="R12077" t="s">
        <v>40454</v>
      </c>
      <c r="S12077" t="s">
        <v>41306</v>
      </c>
      <c r="T12077" t="s">
        <v>42103</v>
      </c>
      <c r="U12077" t="s">
        <v>52550</v>
      </c>
      <c r="W12077" t="s">
        <v>39908</v>
      </c>
      <c r="X12077" t="s">
        <v>40457</v>
      </c>
    </row>
    <row r="12078" spans="1:24">
      <c r="A12078">
        <f>HYPERLINK("https://www.philgeps.gov.ph/GEPSNONPILOT/Tender/SplashBidNoticeAbstractUI.aspx?menuIndex=3&amp;refID=7017000&amp;Result=3","7017000")</f>
        <v>0</v>
      </c>
      <c r="B12078" t="s">
        <v>181</v>
      </c>
      <c r="C12078" t="s">
        <v>14648</v>
      </c>
      <c r="D12078" t="s">
        <v>16209</v>
      </c>
      <c r="E12078" t="s">
        <v>17900</v>
      </c>
      <c r="F12078" t="s">
        <v>28198</v>
      </c>
      <c r="G12078" t="s">
        <v>28205</v>
      </c>
      <c r="H12078" t="s">
        <v>28214</v>
      </c>
      <c r="I12078" t="s">
        <v>3797</v>
      </c>
      <c r="J12078" t="s">
        <v>28694</v>
      </c>
      <c r="K12078" t="s">
        <v>36694</v>
      </c>
      <c r="M12078" t="s">
        <v>37156</v>
      </c>
      <c r="N12078" t="s">
        <v>40436</v>
      </c>
      <c r="O12078" t="s">
        <v>40437</v>
      </c>
      <c r="P12078">
        <v>0</v>
      </c>
      <c r="Q12078">
        <v>0</v>
      </c>
      <c r="R12078" t="s">
        <v>40454</v>
      </c>
      <c r="S12078" t="s">
        <v>41306</v>
      </c>
      <c r="T12078" t="s">
        <v>42455</v>
      </c>
      <c r="U12078" t="s">
        <v>42915</v>
      </c>
      <c r="W12078" t="s">
        <v>37156</v>
      </c>
      <c r="X12078" t="s">
        <v>40457</v>
      </c>
    </row>
    <row r="12079" spans="1:24">
      <c r="A12079">
        <f>HYPERLINK("https://www.philgeps.gov.ph/GEPSNONPILOT/Tender/SplashBidNoticeAbstractUI.aspx?menuIndex=3&amp;refID=7016707&amp;Result=3","7016707")</f>
        <v>0</v>
      </c>
      <c r="B12079" t="s">
        <v>840</v>
      </c>
      <c r="C12079" t="s">
        <v>14649</v>
      </c>
      <c r="E12079" t="s">
        <v>26759</v>
      </c>
      <c r="F12079" t="s">
        <v>28198</v>
      </c>
      <c r="G12079" t="s">
        <v>28205</v>
      </c>
      <c r="H12079" t="s">
        <v>28215</v>
      </c>
      <c r="I12079" t="s">
        <v>28247</v>
      </c>
      <c r="J12079" t="s">
        <v>32581</v>
      </c>
      <c r="K12079" t="s">
        <v>36689</v>
      </c>
      <c r="M12079" t="s">
        <v>40242</v>
      </c>
      <c r="N12079" t="s">
        <v>40436</v>
      </c>
      <c r="O12079" t="s">
        <v>40437</v>
      </c>
      <c r="P12079">
        <v>0</v>
      </c>
      <c r="Q12079">
        <v>15</v>
      </c>
      <c r="R12079" t="s">
        <v>40454</v>
      </c>
      <c r="S12079" t="s">
        <v>41306</v>
      </c>
      <c r="T12079" t="s">
        <v>42176</v>
      </c>
      <c r="U12079" t="s">
        <v>52551</v>
      </c>
      <c r="W12079" t="s">
        <v>40242</v>
      </c>
      <c r="X12079" t="s">
        <v>40457</v>
      </c>
    </row>
    <row r="12080" spans="1:24">
      <c r="A12080">
        <f>HYPERLINK("https://www.philgeps.gov.ph/GEPSNONPILOT/Tender/SplashBidNoticeAbstractUI.aspx?menuIndex=3&amp;refID=7017080&amp;Result=3","7017080")</f>
        <v>0</v>
      </c>
      <c r="B12080" t="s">
        <v>588</v>
      </c>
      <c r="C12080" t="s">
        <v>14650</v>
      </c>
      <c r="D12080" t="s">
        <v>16197</v>
      </c>
      <c r="E12080" t="s">
        <v>17543</v>
      </c>
      <c r="F12080" t="s">
        <v>28198</v>
      </c>
      <c r="G12080" t="s">
        <v>28205</v>
      </c>
      <c r="H12080" t="s">
        <v>28215</v>
      </c>
      <c r="I12080" t="s">
        <v>28222</v>
      </c>
      <c r="J12080" t="s">
        <v>28351</v>
      </c>
      <c r="K12080" t="s">
        <v>36694</v>
      </c>
      <c r="M12080" t="s">
        <v>37577</v>
      </c>
      <c r="N12080" t="s">
        <v>40436</v>
      </c>
      <c r="O12080" t="s">
        <v>40437</v>
      </c>
      <c r="P12080">
        <v>0</v>
      </c>
      <c r="Q12080">
        <v>7</v>
      </c>
      <c r="R12080" t="s">
        <v>40454</v>
      </c>
      <c r="S12080" t="s">
        <v>41306</v>
      </c>
      <c r="T12080" t="s">
        <v>42213</v>
      </c>
      <c r="U12080" t="s">
        <v>52552</v>
      </c>
      <c r="V12080" t="s">
        <v>55156</v>
      </c>
      <c r="W12080" t="s">
        <v>37577</v>
      </c>
      <c r="X12080" t="s">
        <v>40457</v>
      </c>
    </row>
    <row r="12081" spans="1:24">
      <c r="A12081">
        <f>HYPERLINK("https://www.philgeps.gov.ph/GEPSNONPILOT/Tender/SplashBidNoticeAbstractUI.aspx?menuIndex=3&amp;refID=7016965&amp;Result=3","7016965")</f>
        <v>0</v>
      </c>
      <c r="B12081" t="s">
        <v>2866</v>
      </c>
      <c r="C12081" t="s">
        <v>14651</v>
      </c>
      <c r="D12081" t="s">
        <v>16228</v>
      </c>
      <c r="E12081" t="s">
        <v>26760</v>
      </c>
      <c r="F12081" t="s">
        <v>28200</v>
      </c>
      <c r="G12081" t="s">
        <v>28205</v>
      </c>
      <c r="H12081" t="s">
        <v>28215</v>
      </c>
      <c r="I12081" t="s">
        <v>28222</v>
      </c>
      <c r="J12081" t="s">
        <v>28752</v>
      </c>
      <c r="K12081" t="s">
        <v>36701</v>
      </c>
      <c r="M12081" t="s">
        <v>40128</v>
      </c>
      <c r="N12081" t="s">
        <v>40436</v>
      </c>
      <c r="O12081" t="s">
        <v>40437</v>
      </c>
      <c r="P12081">
        <v>0</v>
      </c>
      <c r="Q12081">
        <v>5</v>
      </c>
      <c r="R12081" t="s">
        <v>40454</v>
      </c>
      <c r="S12081" t="s">
        <v>41306</v>
      </c>
      <c r="T12081" t="s">
        <v>42187</v>
      </c>
      <c r="U12081" t="s">
        <v>52553</v>
      </c>
      <c r="V12081" t="s">
        <v>55071</v>
      </c>
      <c r="W12081" t="s">
        <v>40128</v>
      </c>
      <c r="X12081" t="s">
        <v>40457</v>
      </c>
    </row>
    <row r="12082" spans="1:24">
      <c r="A12082">
        <f>HYPERLINK("https://www.philgeps.gov.ph/GEPSNONPILOT/Tender/SplashBidNoticeAbstractUI.aspx?menuIndex=3&amp;refID=7017088&amp;Result=3","7017088")</f>
        <v>0</v>
      </c>
      <c r="B12082" t="s">
        <v>1029</v>
      </c>
      <c r="C12082" t="s">
        <v>14652</v>
      </c>
      <c r="D12082" t="s">
        <v>16193</v>
      </c>
      <c r="E12082" t="s">
        <v>26761</v>
      </c>
      <c r="F12082" t="s">
        <v>28198</v>
      </c>
      <c r="G12082" t="s">
        <v>28205</v>
      </c>
      <c r="H12082" t="s">
        <v>28215</v>
      </c>
      <c r="I12082" t="s">
        <v>28332</v>
      </c>
      <c r="J12082" t="s">
        <v>29113</v>
      </c>
      <c r="K12082" t="s">
        <v>36694</v>
      </c>
      <c r="M12082" t="s">
        <v>38061</v>
      </c>
      <c r="N12082" t="s">
        <v>40436</v>
      </c>
      <c r="O12082" t="s">
        <v>40437</v>
      </c>
      <c r="P12082">
        <v>0</v>
      </c>
      <c r="Q12082">
        <v>2</v>
      </c>
      <c r="R12082" t="s">
        <v>40454</v>
      </c>
      <c r="S12082" t="s">
        <v>41306</v>
      </c>
      <c r="T12082" t="s">
        <v>42163</v>
      </c>
      <c r="U12082" t="s">
        <v>44325</v>
      </c>
      <c r="W12082" t="s">
        <v>38061</v>
      </c>
      <c r="X12082" t="s">
        <v>40457</v>
      </c>
    </row>
    <row r="12083" spans="1:24">
      <c r="A12083">
        <f>HYPERLINK("https://www.philgeps.gov.ph/GEPSNONPILOT/Tender/SplashBidNoticeAbstractUI.aspx?menuIndex=3&amp;refID=7017076&amp;Result=3","7017076")</f>
        <v>0</v>
      </c>
      <c r="B12083" t="s">
        <v>181</v>
      </c>
      <c r="C12083" t="s">
        <v>14653</v>
      </c>
      <c r="D12083" t="s">
        <v>16209</v>
      </c>
      <c r="E12083" t="s">
        <v>17900</v>
      </c>
      <c r="F12083" t="s">
        <v>28198</v>
      </c>
      <c r="G12083" t="s">
        <v>28205</v>
      </c>
      <c r="H12083" t="s">
        <v>28214</v>
      </c>
      <c r="I12083" t="s">
        <v>3797</v>
      </c>
      <c r="J12083" t="s">
        <v>28352</v>
      </c>
      <c r="K12083" t="s">
        <v>36715</v>
      </c>
      <c r="M12083" t="s">
        <v>37156</v>
      </c>
      <c r="N12083" t="s">
        <v>40436</v>
      </c>
      <c r="O12083" t="s">
        <v>40437</v>
      </c>
      <c r="P12083">
        <v>0</v>
      </c>
      <c r="Q12083">
        <v>0</v>
      </c>
      <c r="R12083" t="s">
        <v>40454</v>
      </c>
      <c r="S12083" t="s">
        <v>41306</v>
      </c>
      <c r="T12083" t="s">
        <v>42455</v>
      </c>
      <c r="U12083" t="s">
        <v>42915</v>
      </c>
      <c r="W12083" t="s">
        <v>37156</v>
      </c>
      <c r="X12083" t="s">
        <v>40457</v>
      </c>
    </row>
    <row r="12084" spans="1:24">
      <c r="A12084">
        <f>HYPERLINK("https://www.philgeps.gov.ph/GEPSNONPILOT/Tender/SplashBidNoticeAbstractUI.aspx?menuIndex=3&amp;refID=7016559&amp;Result=3","7016559")</f>
        <v>0</v>
      </c>
      <c r="B12084" t="s">
        <v>2955</v>
      </c>
      <c r="C12084" t="s">
        <v>14654</v>
      </c>
      <c r="D12084" t="s">
        <v>16235</v>
      </c>
      <c r="E12084" t="s">
        <v>16586</v>
      </c>
      <c r="F12084" t="s">
        <v>28198</v>
      </c>
      <c r="G12084" t="s">
        <v>28205</v>
      </c>
      <c r="H12084" t="s">
        <v>28214</v>
      </c>
      <c r="I12084" t="s">
        <v>3797</v>
      </c>
      <c r="J12084" t="s">
        <v>35762</v>
      </c>
      <c r="K12084" t="s">
        <v>36697</v>
      </c>
      <c r="M12084" t="s">
        <v>40240</v>
      </c>
      <c r="N12084" t="s">
        <v>40436</v>
      </c>
      <c r="O12084" t="s">
        <v>40437</v>
      </c>
      <c r="P12084">
        <v>0</v>
      </c>
      <c r="Q12084">
        <v>0</v>
      </c>
      <c r="R12084" t="s">
        <v>40454</v>
      </c>
      <c r="S12084" t="s">
        <v>41306</v>
      </c>
      <c r="T12084" t="s">
        <v>42136</v>
      </c>
      <c r="U12084" t="s">
        <v>52554</v>
      </c>
      <c r="W12084" t="s">
        <v>40240</v>
      </c>
      <c r="X12084" t="s">
        <v>40457</v>
      </c>
    </row>
    <row r="12085" spans="1:24">
      <c r="A12085">
        <f>HYPERLINK("https://www.philgeps.gov.ph/GEPSNONPILOT/Tender/SplashBidNoticeAbstractUI.aspx?menuIndex=3&amp;refID=7017121&amp;Result=3","7017121")</f>
        <v>0</v>
      </c>
      <c r="B12085" t="s">
        <v>181</v>
      </c>
      <c r="C12085" t="s">
        <v>14655</v>
      </c>
      <c r="D12085" t="s">
        <v>16209</v>
      </c>
      <c r="E12085" t="s">
        <v>20950</v>
      </c>
      <c r="F12085" t="s">
        <v>28198</v>
      </c>
      <c r="G12085" t="s">
        <v>28205</v>
      </c>
      <c r="H12085" t="s">
        <v>28214</v>
      </c>
      <c r="I12085" t="s">
        <v>3797</v>
      </c>
      <c r="J12085" t="s">
        <v>29401</v>
      </c>
      <c r="K12085" t="s">
        <v>36694</v>
      </c>
      <c r="M12085" t="s">
        <v>37156</v>
      </c>
      <c r="N12085" t="s">
        <v>40436</v>
      </c>
      <c r="O12085" t="s">
        <v>40437</v>
      </c>
      <c r="P12085">
        <v>0</v>
      </c>
      <c r="Q12085">
        <v>0</v>
      </c>
      <c r="R12085" t="s">
        <v>40454</v>
      </c>
      <c r="S12085" t="s">
        <v>41306</v>
      </c>
      <c r="T12085" t="s">
        <v>42455</v>
      </c>
      <c r="U12085" t="s">
        <v>42915</v>
      </c>
      <c r="W12085" t="s">
        <v>37156</v>
      </c>
      <c r="X12085" t="s">
        <v>40457</v>
      </c>
    </row>
    <row r="12086" spans="1:24">
      <c r="A12086">
        <f>HYPERLINK("https://www.philgeps.gov.ph/GEPSNONPILOT/Tender/SplashBidNoticeAbstractUI.aspx?menuIndex=3&amp;refID=7017136&amp;Result=3","7017136")</f>
        <v>0</v>
      </c>
      <c r="B12086" t="s">
        <v>916</v>
      </c>
      <c r="C12086" t="s">
        <v>14656</v>
      </c>
      <c r="E12086" t="s">
        <v>26762</v>
      </c>
      <c r="F12086" t="s">
        <v>28198</v>
      </c>
      <c r="G12086" t="s">
        <v>28205</v>
      </c>
      <c r="H12086" t="s">
        <v>28215</v>
      </c>
      <c r="I12086" t="s">
        <v>28311</v>
      </c>
      <c r="J12086" t="s">
        <v>35763</v>
      </c>
      <c r="K12086" t="s">
        <v>36694</v>
      </c>
      <c r="M12086" t="s">
        <v>40243</v>
      </c>
      <c r="N12086" t="s">
        <v>40436</v>
      </c>
      <c r="O12086" t="s">
        <v>40437</v>
      </c>
      <c r="P12086">
        <v>0</v>
      </c>
      <c r="Q12086">
        <v>4</v>
      </c>
      <c r="R12086" t="s">
        <v>40454</v>
      </c>
      <c r="S12086" t="s">
        <v>41306</v>
      </c>
      <c r="T12086" t="s">
        <v>42134</v>
      </c>
      <c r="U12086" t="s">
        <v>52555</v>
      </c>
      <c r="W12086" t="s">
        <v>40243</v>
      </c>
      <c r="X12086" t="s">
        <v>40457</v>
      </c>
    </row>
    <row r="12087" spans="1:24">
      <c r="A12087">
        <f>HYPERLINK("https://www.philgeps.gov.ph/GEPSNONPILOT/Tender/SplashBidNoticeAbstractUI.aspx?menuIndex=3&amp;refID=7016950&amp;Result=3","7016950")</f>
        <v>0</v>
      </c>
      <c r="B12087" t="s">
        <v>181</v>
      </c>
      <c r="C12087" t="s">
        <v>14657</v>
      </c>
      <c r="D12087" t="s">
        <v>16209</v>
      </c>
      <c r="E12087" t="s">
        <v>20950</v>
      </c>
      <c r="F12087" t="s">
        <v>28198</v>
      </c>
      <c r="G12087" t="s">
        <v>28205</v>
      </c>
      <c r="H12087" t="s">
        <v>28214</v>
      </c>
      <c r="I12087" t="s">
        <v>3797</v>
      </c>
      <c r="J12087" t="s">
        <v>28354</v>
      </c>
      <c r="K12087" t="s">
        <v>36715</v>
      </c>
      <c r="M12087" t="s">
        <v>37156</v>
      </c>
      <c r="N12087" t="s">
        <v>40436</v>
      </c>
      <c r="O12087" t="s">
        <v>40437</v>
      </c>
      <c r="P12087">
        <v>0</v>
      </c>
      <c r="Q12087">
        <v>0</v>
      </c>
      <c r="R12087" t="s">
        <v>40454</v>
      </c>
      <c r="S12087" t="s">
        <v>41306</v>
      </c>
      <c r="T12087" t="s">
        <v>42455</v>
      </c>
      <c r="U12087" t="s">
        <v>42915</v>
      </c>
      <c r="W12087" t="s">
        <v>37156</v>
      </c>
      <c r="X12087" t="s">
        <v>40457</v>
      </c>
    </row>
    <row r="12088" spans="1:24">
      <c r="A12088">
        <f>HYPERLINK("https://www.philgeps.gov.ph/GEPSNONPILOT/Tender/SplashBidNoticeAbstractUI.aspx?menuIndex=3&amp;refID=7016560&amp;Result=3","7016560")</f>
        <v>0</v>
      </c>
      <c r="B12088" t="s">
        <v>2955</v>
      </c>
      <c r="C12088" t="s">
        <v>14658</v>
      </c>
      <c r="D12088" t="s">
        <v>16235</v>
      </c>
      <c r="E12088" t="s">
        <v>16598</v>
      </c>
      <c r="F12088" t="s">
        <v>28198</v>
      </c>
      <c r="G12088" t="s">
        <v>28205</v>
      </c>
      <c r="H12088" t="s">
        <v>28214</v>
      </c>
      <c r="I12088" t="s">
        <v>3797</v>
      </c>
      <c r="J12088" t="s">
        <v>35764</v>
      </c>
      <c r="K12088" t="s">
        <v>36697</v>
      </c>
      <c r="M12088" t="s">
        <v>40240</v>
      </c>
      <c r="N12088" t="s">
        <v>40436</v>
      </c>
      <c r="O12088" t="s">
        <v>40437</v>
      </c>
      <c r="P12088">
        <v>0</v>
      </c>
      <c r="Q12088">
        <v>0</v>
      </c>
      <c r="R12088" t="s">
        <v>40454</v>
      </c>
      <c r="S12088" t="s">
        <v>41306</v>
      </c>
      <c r="T12088" t="s">
        <v>42136</v>
      </c>
      <c r="U12088" t="s">
        <v>52556</v>
      </c>
      <c r="W12088" t="s">
        <v>40240</v>
      </c>
      <c r="X12088" t="s">
        <v>40457</v>
      </c>
    </row>
    <row r="12089" spans="1:24">
      <c r="A12089">
        <f>HYPERLINK("https://www.philgeps.gov.ph/GEPSNONPILOT/Tender/SplashBidNoticeAbstractUI.aspx?menuIndex=3&amp;refID=7017119&amp;Result=3","7017119")</f>
        <v>0</v>
      </c>
      <c r="B12089" t="s">
        <v>2866</v>
      </c>
      <c r="C12089" t="s">
        <v>14659</v>
      </c>
      <c r="D12089" t="s">
        <v>16228</v>
      </c>
      <c r="E12089" t="s">
        <v>25954</v>
      </c>
      <c r="F12089" t="s">
        <v>28200</v>
      </c>
      <c r="G12089" t="s">
        <v>28205</v>
      </c>
      <c r="H12089" t="s">
        <v>28214</v>
      </c>
      <c r="I12089" t="s">
        <v>3797</v>
      </c>
      <c r="J12089" t="s">
        <v>28464</v>
      </c>
      <c r="K12089" t="s">
        <v>36861</v>
      </c>
      <c r="M12089" t="s">
        <v>40128</v>
      </c>
      <c r="N12089" t="s">
        <v>40436</v>
      </c>
      <c r="O12089" t="s">
        <v>40437</v>
      </c>
      <c r="P12089">
        <v>0</v>
      </c>
      <c r="Q12089">
        <v>0</v>
      </c>
      <c r="R12089" t="s">
        <v>40454</v>
      </c>
      <c r="S12089" t="s">
        <v>41306</v>
      </c>
      <c r="T12089" t="s">
        <v>42103</v>
      </c>
      <c r="U12089" t="s">
        <v>52557</v>
      </c>
      <c r="V12089" t="s">
        <v>55157</v>
      </c>
      <c r="W12089" t="s">
        <v>40128</v>
      </c>
      <c r="X12089" t="s">
        <v>40457</v>
      </c>
    </row>
    <row r="12090" spans="1:24">
      <c r="A12090">
        <f>HYPERLINK("https://www.philgeps.gov.ph/GEPSNONPILOT/Tender/SplashBidNoticeAbstractUI.aspx?menuIndex=3&amp;refID=7017112&amp;Result=3","7017112")</f>
        <v>0</v>
      </c>
      <c r="B12090" t="s">
        <v>916</v>
      </c>
      <c r="C12090" t="s">
        <v>14660</v>
      </c>
      <c r="E12090" t="s">
        <v>26763</v>
      </c>
      <c r="F12090" t="s">
        <v>28198</v>
      </c>
      <c r="G12090" t="s">
        <v>28205</v>
      </c>
      <c r="H12090" t="s">
        <v>28215</v>
      </c>
      <c r="I12090" t="s">
        <v>28311</v>
      </c>
      <c r="J12090" t="s">
        <v>35765</v>
      </c>
      <c r="K12090" t="s">
        <v>36694</v>
      </c>
      <c r="M12090" t="s">
        <v>40243</v>
      </c>
      <c r="N12090" t="s">
        <v>40436</v>
      </c>
      <c r="O12090" t="s">
        <v>40437</v>
      </c>
      <c r="P12090">
        <v>0</v>
      </c>
      <c r="Q12090">
        <v>5</v>
      </c>
      <c r="R12090" t="s">
        <v>40454</v>
      </c>
      <c r="S12090" t="s">
        <v>41306</v>
      </c>
      <c r="T12090" t="s">
        <v>42134</v>
      </c>
      <c r="U12090" t="s">
        <v>52558</v>
      </c>
      <c r="W12090" t="s">
        <v>40243</v>
      </c>
      <c r="X12090" t="s">
        <v>40457</v>
      </c>
    </row>
    <row r="12091" spans="1:24">
      <c r="A12091">
        <f>HYPERLINK("https://www.philgeps.gov.ph/GEPSNONPILOT/Tender/SplashBidNoticeAbstractUI.aspx?menuIndex=3&amp;refID=7016115&amp;Result=3","7016115")</f>
        <v>0</v>
      </c>
      <c r="B12091" t="s">
        <v>1379</v>
      </c>
      <c r="C12091" t="s">
        <v>14661</v>
      </c>
      <c r="D12091" t="s">
        <v>16199</v>
      </c>
      <c r="E12091" t="s">
        <v>26764</v>
      </c>
      <c r="F12091" t="s">
        <v>28198</v>
      </c>
      <c r="G12091" t="s">
        <v>28205</v>
      </c>
      <c r="H12091" t="s">
        <v>28214</v>
      </c>
      <c r="I12091" t="s">
        <v>3797</v>
      </c>
      <c r="J12091" t="s">
        <v>35766</v>
      </c>
      <c r="K12091" t="s">
        <v>36737</v>
      </c>
      <c r="M12091" t="s">
        <v>38443</v>
      </c>
      <c r="N12091" t="s">
        <v>40436</v>
      </c>
      <c r="O12091" t="s">
        <v>40437</v>
      </c>
      <c r="P12091">
        <v>0</v>
      </c>
      <c r="Q12091">
        <v>1</v>
      </c>
      <c r="R12091" t="s">
        <v>40454</v>
      </c>
      <c r="S12091" t="s">
        <v>41306</v>
      </c>
      <c r="T12091" t="s">
        <v>42587</v>
      </c>
      <c r="U12091" t="s">
        <v>52559</v>
      </c>
      <c r="W12091" t="s">
        <v>38443</v>
      </c>
      <c r="X12091" t="s">
        <v>40458</v>
      </c>
    </row>
    <row r="12092" spans="1:24">
      <c r="A12092">
        <f>HYPERLINK("https://www.philgeps.gov.ph/GEPSNONPILOT/Tender/SplashBidNoticeAbstractUI.aspx?menuIndex=3&amp;refID=7017089&amp;Result=3","7017089")</f>
        <v>0</v>
      </c>
      <c r="B12092" t="s">
        <v>181</v>
      </c>
      <c r="C12092" t="s">
        <v>14662</v>
      </c>
      <c r="D12092" t="s">
        <v>16209</v>
      </c>
      <c r="E12092" t="s">
        <v>20114</v>
      </c>
      <c r="F12092" t="s">
        <v>28198</v>
      </c>
      <c r="G12092" t="s">
        <v>28205</v>
      </c>
      <c r="H12092" t="s">
        <v>28215</v>
      </c>
      <c r="I12092" t="s">
        <v>28232</v>
      </c>
      <c r="J12092" t="s">
        <v>29172</v>
      </c>
      <c r="K12092" t="s">
        <v>36701</v>
      </c>
      <c r="M12092" t="s">
        <v>37156</v>
      </c>
      <c r="N12092" t="s">
        <v>40436</v>
      </c>
      <c r="O12092" t="s">
        <v>40437</v>
      </c>
      <c r="P12092">
        <v>0</v>
      </c>
      <c r="Q12092">
        <v>1</v>
      </c>
      <c r="R12092" t="s">
        <v>40454</v>
      </c>
      <c r="S12092" t="s">
        <v>41306</v>
      </c>
      <c r="T12092" t="s">
        <v>42455</v>
      </c>
      <c r="U12092" t="s">
        <v>42915</v>
      </c>
      <c r="W12092" t="s">
        <v>37156</v>
      </c>
      <c r="X12092" t="s">
        <v>40457</v>
      </c>
    </row>
    <row r="12093" spans="1:24">
      <c r="A12093">
        <f>HYPERLINK("https://www.philgeps.gov.ph/GEPSNONPILOT/Tender/SplashBidNoticeAbstractUI.aspx?menuIndex=3&amp;refID=7017139&amp;Result=3","7017139")</f>
        <v>0</v>
      </c>
      <c r="B12093" t="s">
        <v>181</v>
      </c>
      <c r="C12093" t="s">
        <v>14663</v>
      </c>
      <c r="D12093" t="s">
        <v>16209</v>
      </c>
      <c r="E12093" t="s">
        <v>20948</v>
      </c>
      <c r="F12093" t="s">
        <v>28198</v>
      </c>
      <c r="G12093" t="s">
        <v>28205</v>
      </c>
      <c r="H12093" t="s">
        <v>28214</v>
      </c>
      <c r="I12093" t="s">
        <v>3797</v>
      </c>
      <c r="J12093" t="s">
        <v>35767</v>
      </c>
      <c r="K12093" t="s">
        <v>36715</v>
      </c>
      <c r="M12093" t="s">
        <v>37156</v>
      </c>
      <c r="N12093" t="s">
        <v>40436</v>
      </c>
      <c r="O12093" t="s">
        <v>40437</v>
      </c>
      <c r="P12093">
        <v>0</v>
      </c>
      <c r="Q12093">
        <v>0</v>
      </c>
      <c r="R12093" t="s">
        <v>40454</v>
      </c>
      <c r="S12093" t="s">
        <v>41306</v>
      </c>
      <c r="T12093" t="s">
        <v>42455</v>
      </c>
      <c r="U12093" t="s">
        <v>42915</v>
      </c>
      <c r="W12093" t="s">
        <v>37156</v>
      </c>
      <c r="X12093" t="s">
        <v>40457</v>
      </c>
    </row>
    <row r="12094" spans="1:24">
      <c r="A12094">
        <f>HYPERLINK("https://www.philgeps.gov.ph/GEPSNONPILOT/Tender/SplashBidNoticeAbstractUI.aspx?menuIndex=3&amp;refID=7017111&amp;Result=3","7017111")</f>
        <v>0</v>
      </c>
      <c r="B12094" t="s">
        <v>181</v>
      </c>
      <c r="C12094" t="s">
        <v>14664</v>
      </c>
      <c r="D12094" t="s">
        <v>16209</v>
      </c>
      <c r="E12094" t="s">
        <v>24115</v>
      </c>
      <c r="F12094" t="s">
        <v>28198</v>
      </c>
      <c r="G12094" t="s">
        <v>28205</v>
      </c>
      <c r="H12094" t="s">
        <v>28214</v>
      </c>
      <c r="I12094" t="s">
        <v>3797</v>
      </c>
      <c r="J12094" t="s">
        <v>30213</v>
      </c>
      <c r="K12094" t="s">
        <v>36715</v>
      </c>
      <c r="M12094" t="s">
        <v>37156</v>
      </c>
      <c r="N12094" t="s">
        <v>40436</v>
      </c>
      <c r="O12094" t="s">
        <v>40437</v>
      </c>
      <c r="P12094">
        <v>0</v>
      </c>
      <c r="Q12094">
        <v>0</v>
      </c>
      <c r="R12094" t="s">
        <v>40454</v>
      </c>
      <c r="S12094" t="s">
        <v>41306</v>
      </c>
      <c r="T12094" t="s">
        <v>42455</v>
      </c>
      <c r="U12094" t="s">
        <v>42915</v>
      </c>
      <c r="W12094" t="s">
        <v>37156</v>
      </c>
      <c r="X12094" t="s">
        <v>40457</v>
      </c>
    </row>
    <row r="12095" spans="1:24">
      <c r="A12095">
        <f>HYPERLINK("https://www.philgeps.gov.ph/GEPSNONPILOT/Tender/SplashBidNoticeAbstractUI.aspx?menuIndex=3&amp;refID=7017116&amp;Result=3","7017116")</f>
        <v>0</v>
      </c>
      <c r="B12095" t="s">
        <v>588</v>
      </c>
      <c r="C12095" t="s">
        <v>14665</v>
      </c>
      <c r="D12095" t="s">
        <v>16197</v>
      </c>
      <c r="E12095" t="s">
        <v>17543</v>
      </c>
      <c r="F12095" t="s">
        <v>28198</v>
      </c>
      <c r="G12095" t="s">
        <v>28205</v>
      </c>
      <c r="H12095" t="s">
        <v>28215</v>
      </c>
      <c r="I12095" t="s">
        <v>28222</v>
      </c>
      <c r="J12095" t="s">
        <v>28752</v>
      </c>
      <c r="K12095" t="s">
        <v>36694</v>
      </c>
      <c r="M12095" t="s">
        <v>37577</v>
      </c>
      <c r="N12095" t="s">
        <v>40436</v>
      </c>
      <c r="O12095" t="s">
        <v>40437</v>
      </c>
      <c r="P12095">
        <v>0</v>
      </c>
      <c r="Q12095">
        <v>5</v>
      </c>
      <c r="R12095" t="s">
        <v>40454</v>
      </c>
      <c r="S12095" t="s">
        <v>41306</v>
      </c>
      <c r="T12095" t="s">
        <v>42213</v>
      </c>
      <c r="U12095" t="s">
        <v>52560</v>
      </c>
      <c r="V12095" t="s">
        <v>55156</v>
      </c>
      <c r="W12095" t="s">
        <v>37577</v>
      </c>
      <c r="X12095" t="s">
        <v>40457</v>
      </c>
    </row>
    <row r="12096" spans="1:24">
      <c r="A12096">
        <f>HYPERLINK("https://www.philgeps.gov.ph/GEPSNONPILOT/Tender/SplashBidNoticeAbstractUI.aspx?menuIndex=3&amp;refID=7017218&amp;Result=3","7017218")</f>
        <v>0</v>
      </c>
      <c r="B12096" t="s">
        <v>181</v>
      </c>
      <c r="C12096" t="s">
        <v>14666</v>
      </c>
      <c r="D12096" t="s">
        <v>16209</v>
      </c>
      <c r="E12096" t="s">
        <v>16621</v>
      </c>
      <c r="F12096" t="s">
        <v>28198</v>
      </c>
      <c r="G12096" t="s">
        <v>28205</v>
      </c>
      <c r="H12096" t="s">
        <v>28214</v>
      </c>
      <c r="I12096" t="s">
        <v>28245</v>
      </c>
      <c r="J12096" t="s">
        <v>35768</v>
      </c>
      <c r="K12096" t="s">
        <v>36715</v>
      </c>
      <c r="M12096" t="s">
        <v>37156</v>
      </c>
      <c r="N12096" t="s">
        <v>40436</v>
      </c>
      <c r="O12096" t="s">
        <v>40437</v>
      </c>
      <c r="P12096">
        <v>0</v>
      </c>
      <c r="Q12096">
        <v>0</v>
      </c>
      <c r="R12096" t="s">
        <v>40454</v>
      </c>
      <c r="S12096" t="s">
        <v>41306</v>
      </c>
      <c r="T12096" t="s">
        <v>42455</v>
      </c>
      <c r="U12096" t="s">
        <v>42915</v>
      </c>
      <c r="W12096" t="s">
        <v>37156</v>
      </c>
      <c r="X12096" t="s">
        <v>40457</v>
      </c>
    </row>
    <row r="12097" spans="1:24">
      <c r="A12097">
        <f>HYPERLINK("https://www.philgeps.gov.ph/GEPSNONPILOT/Tender/SplashBidNoticeAbstractUI.aspx?menuIndex=3&amp;refID=7017149&amp;Result=3","7017149")</f>
        <v>0</v>
      </c>
      <c r="B12097" t="s">
        <v>1029</v>
      </c>
      <c r="C12097" t="s">
        <v>14667</v>
      </c>
      <c r="E12097" t="s">
        <v>26765</v>
      </c>
      <c r="F12097" t="s">
        <v>28198</v>
      </c>
      <c r="G12097" t="s">
        <v>28205</v>
      </c>
      <c r="H12097" t="s">
        <v>28215</v>
      </c>
      <c r="I12097" t="s">
        <v>28246</v>
      </c>
      <c r="J12097" t="s">
        <v>33102</v>
      </c>
      <c r="K12097" t="s">
        <v>36694</v>
      </c>
      <c r="M12097" t="s">
        <v>38061</v>
      </c>
      <c r="N12097" t="s">
        <v>40436</v>
      </c>
      <c r="O12097" t="s">
        <v>40437</v>
      </c>
      <c r="Q12097">
        <v>5</v>
      </c>
      <c r="R12097" t="s">
        <v>40454</v>
      </c>
      <c r="S12097" t="s">
        <v>41313</v>
      </c>
      <c r="T12097" t="s">
        <v>42199</v>
      </c>
      <c r="U12097" t="s">
        <v>44325</v>
      </c>
      <c r="W12097" t="s">
        <v>38061</v>
      </c>
      <c r="X12097" t="s">
        <v>40457</v>
      </c>
    </row>
    <row r="12098" spans="1:24">
      <c r="A12098">
        <f>HYPERLINK("https://www.philgeps.gov.ph/GEPSNONPILOT/Tender/SplashBidNoticeAbstractUI.aspx?menuIndex=3&amp;refID=7017102&amp;Result=3","7017102")</f>
        <v>0</v>
      </c>
      <c r="B12098" t="s">
        <v>181</v>
      </c>
      <c r="C12098" t="s">
        <v>14668</v>
      </c>
      <c r="D12098" t="s">
        <v>16209</v>
      </c>
      <c r="E12098" t="s">
        <v>16621</v>
      </c>
      <c r="F12098" t="s">
        <v>28198</v>
      </c>
      <c r="G12098" t="s">
        <v>28205</v>
      </c>
      <c r="H12098" t="s">
        <v>28214</v>
      </c>
      <c r="I12098" t="s">
        <v>4505</v>
      </c>
      <c r="J12098" t="s">
        <v>28878</v>
      </c>
      <c r="K12098" t="s">
        <v>36715</v>
      </c>
      <c r="M12098" t="s">
        <v>37156</v>
      </c>
      <c r="N12098" t="s">
        <v>40436</v>
      </c>
      <c r="O12098" t="s">
        <v>40437</v>
      </c>
      <c r="P12098">
        <v>0</v>
      </c>
      <c r="Q12098">
        <v>1</v>
      </c>
      <c r="R12098" t="s">
        <v>40454</v>
      </c>
      <c r="S12098" t="s">
        <v>41306</v>
      </c>
      <c r="T12098" t="s">
        <v>42455</v>
      </c>
      <c r="U12098" t="s">
        <v>42915</v>
      </c>
      <c r="W12098" t="s">
        <v>37156</v>
      </c>
      <c r="X12098" t="s">
        <v>40457</v>
      </c>
    </row>
    <row r="12099" spans="1:24">
      <c r="A12099">
        <f>HYPERLINK("https://www.philgeps.gov.ph/GEPSNONPILOT/Tender/SplashBidNoticeAbstractUI.aspx?menuIndex=3&amp;refID=7017192&amp;Result=3","7017192")</f>
        <v>0</v>
      </c>
      <c r="B12099" t="s">
        <v>181</v>
      </c>
      <c r="C12099" t="s">
        <v>14669</v>
      </c>
      <c r="D12099" t="s">
        <v>16209</v>
      </c>
      <c r="E12099" t="s">
        <v>17900</v>
      </c>
      <c r="F12099" t="s">
        <v>28198</v>
      </c>
      <c r="G12099" t="s">
        <v>28205</v>
      </c>
      <c r="H12099" t="s">
        <v>28214</v>
      </c>
      <c r="I12099" t="s">
        <v>3797</v>
      </c>
      <c r="J12099" t="s">
        <v>28529</v>
      </c>
      <c r="K12099" t="s">
        <v>36715</v>
      </c>
      <c r="M12099" t="s">
        <v>37156</v>
      </c>
      <c r="N12099" t="s">
        <v>40436</v>
      </c>
      <c r="O12099" t="s">
        <v>40437</v>
      </c>
      <c r="P12099">
        <v>0</v>
      </c>
      <c r="Q12099">
        <v>0</v>
      </c>
      <c r="R12099" t="s">
        <v>40454</v>
      </c>
      <c r="S12099" t="s">
        <v>41306</v>
      </c>
      <c r="T12099" t="s">
        <v>42455</v>
      </c>
      <c r="U12099" t="s">
        <v>42915</v>
      </c>
      <c r="W12099" t="s">
        <v>37156</v>
      </c>
      <c r="X12099" t="s">
        <v>40457</v>
      </c>
    </row>
    <row r="12100" spans="1:24">
      <c r="A12100">
        <f>HYPERLINK("https://www.philgeps.gov.ph/GEPSNONPILOT/Tender/SplashBidNoticeAbstractUI.aspx?menuIndex=3&amp;refID=7017152&amp;Result=3","7017152")</f>
        <v>0</v>
      </c>
      <c r="B12100" t="s">
        <v>1912</v>
      </c>
      <c r="C12100" t="s">
        <v>14670</v>
      </c>
      <c r="D12100" t="s">
        <v>16260</v>
      </c>
      <c r="E12100" t="s">
        <v>26766</v>
      </c>
      <c r="F12100" t="s">
        <v>28198</v>
      </c>
      <c r="G12100" t="s">
        <v>28205</v>
      </c>
      <c r="H12100" t="s">
        <v>28215</v>
      </c>
      <c r="I12100" t="s">
        <v>6051</v>
      </c>
      <c r="J12100" t="s">
        <v>35769</v>
      </c>
      <c r="K12100" t="s">
        <v>36707</v>
      </c>
      <c r="M12100" t="s">
        <v>39044</v>
      </c>
      <c r="N12100" t="s">
        <v>40436</v>
      </c>
      <c r="O12100" t="s">
        <v>40437</v>
      </c>
      <c r="P12100">
        <v>0</v>
      </c>
      <c r="Q12100">
        <v>5</v>
      </c>
      <c r="R12100" t="s">
        <v>40454</v>
      </c>
      <c r="S12100" t="s">
        <v>41306</v>
      </c>
      <c r="T12100" t="s">
        <v>42119</v>
      </c>
      <c r="U12100" t="s">
        <v>52561</v>
      </c>
      <c r="V12100" t="s">
        <v>55158</v>
      </c>
      <c r="W12100" t="s">
        <v>39044</v>
      </c>
      <c r="X12100" t="s">
        <v>40457</v>
      </c>
    </row>
    <row r="12101" spans="1:24">
      <c r="A12101">
        <f>HYPERLINK("https://www.philgeps.gov.ph/GEPSNONPILOT/Tender/SplashBidNoticeAbstractUI.aspx?menuIndex=3&amp;refID=7017157&amp;Result=3","7017157")</f>
        <v>0</v>
      </c>
      <c r="B12101" t="s">
        <v>1114</v>
      </c>
      <c r="C12101" t="s">
        <v>14671</v>
      </c>
      <c r="D12101" t="s">
        <v>16228</v>
      </c>
      <c r="E12101" t="s">
        <v>26767</v>
      </c>
      <c r="F12101" t="s">
        <v>28198</v>
      </c>
      <c r="G12101" t="s">
        <v>28205</v>
      </c>
      <c r="H12101" t="s">
        <v>28214</v>
      </c>
      <c r="I12101" t="s">
        <v>3797</v>
      </c>
      <c r="J12101" t="s">
        <v>35770</v>
      </c>
      <c r="K12101" t="s">
        <v>36854</v>
      </c>
      <c r="M12101" t="s">
        <v>40244</v>
      </c>
      <c r="N12101" t="s">
        <v>40436</v>
      </c>
      <c r="O12101" t="s">
        <v>40437</v>
      </c>
      <c r="P12101">
        <v>0</v>
      </c>
      <c r="Q12101">
        <v>3</v>
      </c>
      <c r="R12101" t="s">
        <v>40454</v>
      </c>
      <c r="S12101" t="s">
        <v>41306</v>
      </c>
      <c r="T12101" t="s">
        <v>42158</v>
      </c>
      <c r="U12101" t="s">
        <v>52562</v>
      </c>
      <c r="V12101" t="s">
        <v>55159</v>
      </c>
      <c r="W12101" t="s">
        <v>40244</v>
      </c>
      <c r="X12101" t="s">
        <v>40457</v>
      </c>
    </row>
    <row r="12102" spans="1:24">
      <c r="A12102">
        <f>HYPERLINK("https://www.philgeps.gov.ph/GEPSNONPILOT/Tender/SplashBidNoticeAbstractUI.aspx?menuIndex=3&amp;refID=7017183&amp;Result=3","7017183")</f>
        <v>0</v>
      </c>
      <c r="B12102" t="s">
        <v>1114</v>
      </c>
      <c r="C12102" t="s">
        <v>14672</v>
      </c>
      <c r="D12102" t="s">
        <v>16228</v>
      </c>
      <c r="E12102" t="s">
        <v>26768</v>
      </c>
      <c r="F12102" t="s">
        <v>28198</v>
      </c>
      <c r="G12102" t="s">
        <v>28205</v>
      </c>
      <c r="H12102" t="s">
        <v>28214</v>
      </c>
      <c r="I12102" t="s">
        <v>3797</v>
      </c>
      <c r="J12102" t="s">
        <v>32342</v>
      </c>
      <c r="K12102" t="s">
        <v>36775</v>
      </c>
      <c r="M12102" t="s">
        <v>40244</v>
      </c>
      <c r="N12102" t="s">
        <v>40436</v>
      </c>
      <c r="O12102" t="s">
        <v>40437</v>
      </c>
      <c r="P12102">
        <v>0</v>
      </c>
      <c r="Q12102">
        <v>3</v>
      </c>
      <c r="R12102" t="s">
        <v>40454</v>
      </c>
      <c r="S12102" t="s">
        <v>41306</v>
      </c>
      <c r="T12102" t="s">
        <v>42158</v>
      </c>
      <c r="U12102" t="s">
        <v>52563</v>
      </c>
      <c r="V12102" t="s">
        <v>55160</v>
      </c>
      <c r="W12102" t="s">
        <v>40244</v>
      </c>
      <c r="X12102" t="s">
        <v>40457</v>
      </c>
    </row>
    <row r="12103" spans="1:24">
      <c r="A12103">
        <f>HYPERLINK("https://www.philgeps.gov.ph/GEPSNONPILOT/Tender/SplashBidNoticeAbstractUI.aspx?menuIndex=3&amp;refID=7017230&amp;Result=3","7017230")</f>
        <v>0</v>
      </c>
      <c r="B12103" t="s">
        <v>181</v>
      </c>
      <c r="C12103" t="s">
        <v>14673</v>
      </c>
      <c r="D12103" t="s">
        <v>16209</v>
      </c>
      <c r="E12103" t="s">
        <v>24115</v>
      </c>
      <c r="F12103" t="s">
        <v>28198</v>
      </c>
      <c r="G12103" t="s">
        <v>28205</v>
      </c>
      <c r="H12103" t="s">
        <v>28214</v>
      </c>
      <c r="I12103" t="s">
        <v>3797</v>
      </c>
      <c r="J12103" t="s">
        <v>28414</v>
      </c>
      <c r="K12103" t="s">
        <v>36715</v>
      </c>
      <c r="M12103" t="s">
        <v>37156</v>
      </c>
      <c r="N12103" t="s">
        <v>40436</v>
      </c>
      <c r="O12103" t="s">
        <v>40437</v>
      </c>
      <c r="P12103">
        <v>0</v>
      </c>
      <c r="Q12103">
        <v>0</v>
      </c>
      <c r="R12103" t="s">
        <v>40454</v>
      </c>
      <c r="S12103" t="s">
        <v>41306</v>
      </c>
      <c r="T12103" t="s">
        <v>42455</v>
      </c>
      <c r="U12103" t="s">
        <v>42915</v>
      </c>
      <c r="W12103" t="s">
        <v>37156</v>
      </c>
      <c r="X12103" t="s">
        <v>40457</v>
      </c>
    </row>
    <row r="12104" spans="1:24">
      <c r="A12104">
        <f>HYPERLINK("https://www.philgeps.gov.ph/GEPSNONPILOT/Tender/SplashBidNoticeAbstractUI.aspx?menuIndex=3&amp;refID=7017316&amp;Result=3","7017316")</f>
        <v>0</v>
      </c>
      <c r="B12104" t="s">
        <v>181</v>
      </c>
      <c r="C12104" t="s">
        <v>14674</v>
      </c>
      <c r="D12104" t="s">
        <v>16209</v>
      </c>
      <c r="E12104" t="s">
        <v>19248</v>
      </c>
      <c r="F12104" t="s">
        <v>28198</v>
      </c>
      <c r="G12104" t="s">
        <v>28205</v>
      </c>
      <c r="H12104" t="s">
        <v>28214</v>
      </c>
      <c r="I12104" t="s">
        <v>3797</v>
      </c>
      <c r="J12104" t="s">
        <v>28529</v>
      </c>
      <c r="K12104" t="s">
        <v>36715</v>
      </c>
      <c r="M12104" t="s">
        <v>37156</v>
      </c>
      <c r="N12104" t="s">
        <v>40436</v>
      </c>
      <c r="O12104" t="s">
        <v>40437</v>
      </c>
      <c r="P12104">
        <v>0</v>
      </c>
      <c r="Q12104">
        <v>0</v>
      </c>
      <c r="R12104" t="s">
        <v>40454</v>
      </c>
      <c r="S12104" t="s">
        <v>41306</v>
      </c>
      <c r="T12104" t="s">
        <v>42455</v>
      </c>
      <c r="U12104" t="s">
        <v>42915</v>
      </c>
      <c r="W12104" t="s">
        <v>37156</v>
      </c>
      <c r="X12104" t="s">
        <v>40457</v>
      </c>
    </row>
    <row r="12105" spans="1:24">
      <c r="A12105">
        <f>HYPERLINK("https://www.philgeps.gov.ph/GEPSNONPILOT/Tender/SplashBidNoticeAbstractUI.aspx?menuIndex=3&amp;refID=7017201&amp;Result=3","7017201")</f>
        <v>0</v>
      </c>
      <c r="B12105" t="s">
        <v>181</v>
      </c>
      <c r="C12105" t="s">
        <v>14675</v>
      </c>
      <c r="D12105" t="s">
        <v>16209</v>
      </c>
      <c r="E12105" t="s">
        <v>20114</v>
      </c>
      <c r="F12105" t="s">
        <v>28198</v>
      </c>
      <c r="G12105" t="s">
        <v>28205</v>
      </c>
      <c r="H12105" t="s">
        <v>28214</v>
      </c>
      <c r="I12105" t="s">
        <v>3797</v>
      </c>
      <c r="J12105" t="s">
        <v>31009</v>
      </c>
      <c r="K12105" t="s">
        <v>36715</v>
      </c>
      <c r="M12105" t="s">
        <v>37156</v>
      </c>
      <c r="N12105" t="s">
        <v>40436</v>
      </c>
      <c r="O12105" t="s">
        <v>40437</v>
      </c>
      <c r="P12105">
        <v>0</v>
      </c>
      <c r="Q12105">
        <v>0</v>
      </c>
      <c r="R12105" t="s">
        <v>40454</v>
      </c>
      <c r="S12105" t="s">
        <v>41306</v>
      </c>
      <c r="T12105" t="s">
        <v>42455</v>
      </c>
      <c r="U12105" t="s">
        <v>42915</v>
      </c>
      <c r="W12105" t="s">
        <v>37156</v>
      </c>
      <c r="X12105" t="s">
        <v>40457</v>
      </c>
    </row>
    <row r="12106" spans="1:24">
      <c r="A12106">
        <f>HYPERLINK("https://www.philgeps.gov.ph/GEPSNONPILOT/Tender/SplashBidNoticeAbstractUI.aspx?menuIndex=3&amp;refID=7017300&amp;Result=3","7017300")</f>
        <v>0</v>
      </c>
      <c r="B12106" t="s">
        <v>303</v>
      </c>
      <c r="C12106" t="s">
        <v>14676</v>
      </c>
      <c r="D12106" t="s">
        <v>16196</v>
      </c>
      <c r="E12106" t="s">
        <v>26769</v>
      </c>
      <c r="F12106" t="s">
        <v>28198</v>
      </c>
      <c r="G12106" t="s">
        <v>28205</v>
      </c>
      <c r="H12106" t="s">
        <v>28214</v>
      </c>
      <c r="I12106" t="s">
        <v>3797</v>
      </c>
      <c r="J12106" t="s">
        <v>35771</v>
      </c>
      <c r="K12106" t="s">
        <v>36697</v>
      </c>
      <c r="M12106" t="s">
        <v>37280</v>
      </c>
      <c r="N12106" t="s">
        <v>40436</v>
      </c>
      <c r="O12106" t="s">
        <v>40437</v>
      </c>
      <c r="P12106">
        <v>0</v>
      </c>
      <c r="Q12106">
        <v>16</v>
      </c>
      <c r="R12106" t="s">
        <v>40454</v>
      </c>
      <c r="S12106" t="s">
        <v>41306</v>
      </c>
      <c r="T12106" t="s">
        <v>42103</v>
      </c>
      <c r="U12106" t="s">
        <v>43100</v>
      </c>
      <c r="W12106" t="s">
        <v>37280</v>
      </c>
      <c r="X12106" t="s">
        <v>40457</v>
      </c>
    </row>
    <row r="12107" spans="1:24">
      <c r="A12107">
        <f>HYPERLINK("https://www.philgeps.gov.ph/GEPSNONPILOT/Tender/SplashBidNoticeAbstractUI.aspx?menuIndex=3&amp;refID=7017308&amp;Result=3","7017308")</f>
        <v>0</v>
      </c>
      <c r="B12107" t="s">
        <v>181</v>
      </c>
      <c r="C12107" t="s">
        <v>14677</v>
      </c>
      <c r="D12107" t="s">
        <v>16209</v>
      </c>
      <c r="E12107" t="s">
        <v>19248</v>
      </c>
      <c r="F12107" t="s">
        <v>28198</v>
      </c>
      <c r="G12107" t="s">
        <v>28205</v>
      </c>
      <c r="H12107" t="s">
        <v>28214</v>
      </c>
      <c r="I12107" t="s">
        <v>3797</v>
      </c>
      <c r="J12107" t="s">
        <v>28350</v>
      </c>
      <c r="K12107" t="s">
        <v>36715</v>
      </c>
      <c r="M12107" t="s">
        <v>37156</v>
      </c>
      <c r="N12107" t="s">
        <v>40436</v>
      </c>
      <c r="O12107" t="s">
        <v>40437</v>
      </c>
      <c r="P12107">
        <v>0</v>
      </c>
      <c r="Q12107">
        <v>0</v>
      </c>
      <c r="R12107" t="s">
        <v>40454</v>
      </c>
      <c r="S12107" t="s">
        <v>41306</v>
      </c>
      <c r="T12107" t="s">
        <v>42233</v>
      </c>
      <c r="U12107" t="s">
        <v>42915</v>
      </c>
      <c r="W12107" t="s">
        <v>37156</v>
      </c>
      <c r="X12107" t="s">
        <v>40457</v>
      </c>
    </row>
    <row r="12108" spans="1:24">
      <c r="A12108">
        <f>HYPERLINK("https://www.philgeps.gov.ph/GEPSNONPILOT/Tender/SplashBidNoticeAbstractUI.aspx?menuIndex=3&amp;refID=7017209&amp;Result=3","7017209")</f>
        <v>0</v>
      </c>
      <c r="B12108" t="s">
        <v>1114</v>
      </c>
      <c r="C12108" t="s">
        <v>14678</v>
      </c>
      <c r="D12108" t="s">
        <v>16228</v>
      </c>
      <c r="E12108" t="s">
        <v>26770</v>
      </c>
      <c r="F12108" t="s">
        <v>28198</v>
      </c>
      <c r="G12108" t="s">
        <v>28205</v>
      </c>
      <c r="H12108" t="s">
        <v>28214</v>
      </c>
      <c r="I12108" t="s">
        <v>3797</v>
      </c>
      <c r="J12108" t="s">
        <v>31258</v>
      </c>
      <c r="K12108" t="s">
        <v>36783</v>
      </c>
      <c r="M12108" t="s">
        <v>40244</v>
      </c>
      <c r="N12108" t="s">
        <v>40436</v>
      </c>
      <c r="O12108" t="s">
        <v>40437</v>
      </c>
      <c r="P12108">
        <v>0</v>
      </c>
      <c r="Q12108">
        <v>2</v>
      </c>
      <c r="R12108" t="s">
        <v>40454</v>
      </c>
      <c r="S12108" t="s">
        <v>41306</v>
      </c>
      <c r="T12108" t="s">
        <v>42158</v>
      </c>
      <c r="U12108" t="s">
        <v>52564</v>
      </c>
      <c r="V12108" t="s">
        <v>55161</v>
      </c>
      <c r="W12108" t="s">
        <v>40244</v>
      </c>
      <c r="X12108" t="s">
        <v>40457</v>
      </c>
    </row>
    <row r="12109" spans="1:24">
      <c r="A12109">
        <f>HYPERLINK("https://www.philgeps.gov.ph/GEPSNONPILOT/Tender/SplashBidNoticeAbstractUI.aspx?menuIndex=3&amp;refID=7017274&amp;Result=3","7017274")</f>
        <v>0</v>
      </c>
      <c r="B12109" t="s">
        <v>2168</v>
      </c>
      <c r="C12109" t="s">
        <v>14679</v>
      </c>
      <c r="D12109" t="s">
        <v>16210</v>
      </c>
      <c r="E12109" t="s">
        <v>26771</v>
      </c>
      <c r="F12109" t="s">
        <v>28198</v>
      </c>
      <c r="G12109" t="s">
        <v>28205</v>
      </c>
      <c r="H12109" t="s">
        <v>28215</v>
      </c>
      <c r="I12109" t="s">
        <v>28222</v>
      </c>
      <c r="J12109" t="s">
        <v>35772</v>
      </c>
      <c r="K12109" t="s">
        <v>36689</v>
      </c>
      <c r="M12109" t="s">
        <v>39325</v>
      </c>
      <c r="N12109" t="s">
        <v>40436</v>
      </c>
      <c r="O12109" t="s">
        <v>40437</v>
      </c>
      <c r="P12109">
        <v>0</v>
      </c>
      <c r="Q12109">
        <v>20</v>
      </c>
      <c r="R12109" t="s">
        <v>40454</v>
      </c>
      <c r="S12109" t="s">
        <v>41306</v>
      </c>
      <c r="T12109" t="s">
        <v>42168</v>
      </c>
      <c r="U12109" t="s">
        <v>42743</v>
      </c>
      <c r="W12109" t="s">
        <v>39325</v>
      </c>
      <c r="X12109" t="s">
        <v>40457</v>
      </c>
    </row>
    <row r="12110" spans="1:24">
      <c r="A12110">
        <f>HYPERLINK("https://www.philgeps.gov.ph/GEPSNONPILOT/Tender/SplashBidNoticeAbstractUI.aspx?menuIndex=3&amp;refID=7017303&amp;Result=3","7017303")</f>
        <v>0</v>
      </c>
      <c r="B12110" t="s">
        <v>181</v>
      </c>
      <c r="C12110" t="s">
        <v>14680</v>
      </c>
      <c r="D12110" t="s">
        <v>16209</v>
      </c>
      <c r="E12110" t="s">
        <v>20948</v>
      </c>
      <c r="F12110" t="s">
        <v>28198</v>
      </c>
      <c r="G12110" t="s">
        <v>28205</v>
      </c>
      <c r="H12110" t="s">
        <v>28214</v>
      </c>
      <c r="I12110" t="s">
        <v>3797</v>
      </c>
      <c r="J12110" t="s">
        <v>28352</v>
      </c>
      <c r="K12110" t="s">
        <v>36715</v>
      </c>
      <c r="M12110" t="s">
        <v>37156</v>
      </c>
      <c r="N12110" t="s">
        <v>40436</v>
      </c>
      <c r="O12110" t="s">
        <v>40437</v>
      </c>
      <c r="P12110">
        <v>0</v>
      </c>
      <c r="Q12110">
        <v>0</v>
      </c>
      <c r="R12110" t="s">
        <v>40454</v>
      </c>
      <c r="S12110" t="s">
        <v>41306</v>
      </c>
      <c r="T12110" t="s">
        <v>42455</v>
      </c>
      <c r="U12110" t="s">
        <v>42915</v>
      </c>
      <c r="W12110" t="s">
        <v>37156</v>
      </c>
      <c r="X12110" t="s">
        <v>40457</v>
      </c>
    </row>
    <row r="12111" spans="1:24">
      <c r="A12111">
        <f>HYPERLINK("https://www.philgeps.gov.ph/GEPSNONPILOT/Tender/SplashBidNoticeAbstractUI.aspx?menuIndex=3&amp;refID=7017298&amp;Result=3","7017298")</f>
        <v>0</v>
      </c>
      <c r="B12111" t="s">
        <v>181</v>
      </c>
      <c r="C12111" t="s">
        <v>14681</v>
      </c>
      <c r="D12111" t="s">
        <v>16209</v>
      </c>
      <c r="E12111" t="s">
        <v>20950</v>
      </c>
      <c r="F12111" t="s">
        <v>28198</v>
      </c>
      <c r="G12111" t="s">
        <v>28205</v>
      </c>
      <c r="H12111" t="s">
        <v>28214</v>
      </c>
      <c r="I12111" t="s">
        <v>3797</v>
      </c>
      <c r="J12111" t="s">
        <v>28430</v>
      </c>
      <c r="K12111" t="s">
        <v>36694</v>
      </c>
      <c r="M12111" t="s">
        <v>37156</v>
      </c>
      <c r="N12111" t="s">
        <v>40436</v>
      </c>
      <c r="O12111" t="s">
        <v>40437</v>
      </c>
      <c r="P12111">
        <v>0</v>
      </c>
      <c r="Q12111">
        <v>0</v>
      </c>
      <c r="R12111" t="s">
        <v>40454</v>
      </c>
      <c r="S12111" t="s">
        <v>41306</v>
      </c>
      <c r="T12111" t="s">
        <v>42455</v>
      </c>
      <c r="U12111" t="s">
        <v>42915</v>
      </c>
      <c r="W12111" t="s">
        <v>37156</v>
      </c>
      <c r="X12111" t="s">
        <v>40457</v>
      </c>
    </row>
    <row r="12112" spans="1:24">
      <c r="A12112">
        <f>HYPERLINK("https://www.philgeps.gov.ph/GEPSNONPILOT/Tender/SplashBidNoticeAbstractUI.aspx?menuIndex=3&amp;refID=7017296&amp;Result=3","7017296")</f>
        <v>0</v>
      </c>
      <c r="B12112" t="s">
        <v>1114</v>
      </c>
      <c r="C12112" t="s">
        <v>14682</v>
      </c>
      <c r="D12112" t="s">
        <v>16228</v>
      </c>
      <c r="E12112" t="s">
        <v>26772</v>
      </c>
      <c r="F12112" t="s">
        <v>28198</v>
      </c>
      <c r="G12112" t="s">
        <v>28205</v>
      </c>
      <c r="H12112" t="s">
        <v>28214</v>
      </c>
      <c r="I12112" t="s">
        <v>3797</v>
      </c>
      <c r="J12112" t="s">
        <v>29683</v>
      </c>
      <c r="K12112" t="s">
        <v>36809</v>
      </c>
      <c r="M12112" t="s">
        <v>40244</v>
      </c>
      <c r="N12112" t="s">
        <v>40436</v>
      </c>
      <c r="O12112" t="s">
        <v>40437</v>
      </c>
      <c r="P12112">
        <v>0</v>
      </c>
      <c r="Q12112">
        <v>4</v>
      </c>
      <c r="R12112" t="s">
        <v>40454</v>
      </c>
      <c r="S12112" t="s">
        <v>41306</v>
      </c>
      <c r="T12112" t="s">
        <v>42158</v>
      </c>
      <c r="U12112" t="s">
        <v>52565</v>
      </c>
      <c r="W12112" t="s">
        <v>40244</v>
      </c>
      <c r="X12112" t="s">
        <v>40457</v>
      </c>
    </row>
    <row r="12113" spans="1:24">
      <c r="A12113">
        <f>HYPERLINK("https://www.philgeps.gov.ph/GEPSNONPILOT/Tender/SplashBidNoticeAbstractUI.aspx?menuIndex=3&amp;refID=7017252&amp;Result=3","7017252")</f>
        <v>0</v>
      </c>
      <c r="B12113" t="s">
        <v>2168</v>
      </c>
      <c r="C12113" t="s">
        <v>14683</v>
      </c>
      <c r="D12113" t="s">
        <v>16210</v>
      </c>
      <c r="E12113" t="s">
        <v>26773</v>
      </c>
      <c r="F12113" t="s">
        <v>28198</v>
      </c>
      <c r="G12113" t="s">
        <v>28205</v>
      </c>
      <c r="H12113" t="s">
        <v>28215</v>
      </c>
      <c r="I12113" t="s">
        <v>28230</v>
      </c>
      <c r="J12113" t="s">
        <v>32712</v>
      </c>
      <c r="K12113" t="s">
        <v>36689</v>
      </c>
      <c r="M12113" t="s">
        <v>39325</v>
      </c>
      <c r="N12113" t="s">
        <v>40436</v>
      </c>
      <c r="O12113" t="s">
        <v>40437</v>
      </c>
      <c r="P12113">
        <v>0</v>
      </c>
      <c r="Q12113">
        <v>11</v>
      </c>
      <c r="R12113" t="s">
        <v>40454</v>
      </c>
      <c r="S12113" t="s">
        <v>41306</v>
      </c>
      <c r="T12113" t="s">
        <v>42113</v>
      </c>
      <c r="U12113" t="s">
        <v>42743</v>
      </c>
      <c r="W12113" t="s">
        <v>39325</v>
      </c>
      <c r="X12113" t="s">
        <v>40457</v>
      </c>
    </row>
    <row r="12114" spans="1:24">
      <c r="A12114">
        <f>HYPERLINK("https://www.philgeps.gov.ph/GEPSNONPILOT/Tender/SplashBidNoticeAbstractUI.aspx?menuIndex=3&amp;refID=7017314&amp;Result=3","7017314")</f>
        <v>0</v>
      </c>
      <c r="B12114" t="s">
        <v>1114</v>
      </c>
      <c r="C12114" t="s">
        <v>14684</v>
      </c>
      <c r="D12114" t="s">
        <v>16228</v>
      </c>
      <c r="E12114" t="s">
        <v>26774</v>
      </c>
      <c r="F12114" t="s">
        <v>28198</v>
      </c>
      <c r="G12114" t="s">
        <v>28205</v>
      </c>
      <c r="H12114" t="s">
        <v>28214</v>
      </c>
      <c r="I12114" t="s">
        <v>3797</v>
      </c>
      <c r="J12114" t="s">
        <v>28797</v>
      </c>
      <c r="K12114" t="s">
        <v>36701</v>
      </c>
      <c r="M12114" t="s">
        <v>40244</v>
      </c>
      <c r="N12114" t="s">
        <v>40436</v>
      </c>
      <c r="O12114" t="s">
        <v>40437</v>
      </c>
      <c r="P12114">
        <v>0</v>
      </c>
      <c r="Q12114">
        <v>2</v>
      </c>
      <c r="R12114" t="s">
        <v>40454</v>
      </c>
      <c r="S12114" t="s">
        <v>41306</v>
      </c>
      <c r="T12114" t="s">
        <v>42158</v>
      </c>
      <c r="U12114" t="s">
        <v>52566</v>
      </c>
      <c r="W12114" t="s">
        <v>40244</v>
      </c>
      <c r="X12114" t="s">
        <v>40457</v>
      </c>
    </row>
    <row r="12115" spans="1:24">
      <c r="A12115">
        <f>HYPERLINK("https://www.philgeps.gov.ph/GEPSNONPILOT/Tender/SplashBidNoticeAbstractUI.aspx?menuIndex=3&amp;refID=7017265&amp;Result=3","7017265")</f>
        <v>0</v>
      </c>
      <c r="B12115" t="s">
        <v>1912</v>
      </c>
      <c r="C12115" t="s">
        <v>14685</v>
      </c>
      <c r="D12115" t="s">
        <v>16260</v>
      </c>
      <c r="E12115" t="s">
        <v>26775</v>
      </c>
      <c r="F12115" t="s">
        <v>28198</v>
      </c>
      <c r="G12115" t="s">
        <v>28205</v>
      </c>
      <c r="H12115" t="s">
        <v>28215</v>
      </c>
      <c r="I12115" t="s">
        <v>28266</v>
      </c>
      <c r="J12115" t="s">
        <v>28360</v>
      </c>
      <c r="K12115" t="s">
        <v>36707</v>
      </c>
      <c r="M12115" t="s">
        <v>39044</v>
      </c>
      <c r="N12115" t="s">
        <v>40436</v>
      </c>
      <c r="O12115" t="s">
        <v>40437</v>
      </c>
      <c r="P12115">
        <v>0</v>
      </c>
      <c r="Q12115">
        <v>4</v>
      </c>
      <c r="R12115" t="s">
        <v>40454</v>
      </c>
      <c r="S12115" t="s">
        <v>41306</v>
      </c>
      <c r="T12115" t="s">
        <v>42119</v>
      </c>
      <c r="U12115" t="s">
        <v>52567</v>
      </c>
      <c r="V12115" t="s">
        <v>55162</v>
      </c>
      <c r="W12115" t="s">
        <v>39044</v>
      </c>
      <c r="X12115" t="s">
        <v>40457</v>
      </c>
    </row>
    <row r="12116" spans="1:24">
      <c r="A12116">
        <f>HYPERLINK("https://www.philgeps.gov.ph/GEPSNONPILOT/Tender/SplashBidNoticeAbstractUI.aspx?menuIndex=3&amp;refID=7017242&amp;Result=3","7017242")</f>
        <v>0</v>
      </c>
      <c r="B12116" t="s">
        <v>1114</v>
      </c>
      <c r="C12116" t="s">
        <v>14686</v>
      </c>
      <c r="D12116" t="s">
        <v>16228</v>
      </c>
      <c r="E12116" t="s">
        <v>26776</v>
      </c>
      <c r="F12116" t="s">
        <v>28198</v>
      </c>
      <c r="G12116" t="s">
        <v>28205</v>
      </c>
      <c r="H12116" t="s">
        <v>28214</v>
      </c>
      <c r="I12116" t="s">
        <v>3797</v>
      </c>
      <c r="J12116" t="s">
        <v>29683</v>
      </c>
      <c r="K12116" t="s">
        <v>36809</v>
      </c>
      <c r="M12116" t="s">
        <v>40244</v>
      </c>
      <c r="N12116" t="s">
        <v>40436</v>
      </c>
      <c r="O12116" t="s">
        <v>40437</v>
      </c>
      <c r="P12116">
        <v>0</v>
      </c>
      <c r="Q12116">
        <v>2</v>
      </c>
      <c r="R12116" t="s">
        <v>40454</v>
      </c>
      <c r="S12116" t="s">
        <v>41306</v>
      </c>
      <c r="T12116" t="s">
        <v>42158</v>
      </c>
      <c r="U12116" t="s">
        <v>52568</v>
      </c>
      <c r="W12116" t="s">
        <v>40244</v>
      </c>
      <c r="X12116" t="s">
        <v>40457</v>
      </c>
    </row>
    <row r="12117" spans="1:24">
      <c r="A12117">
        <f>HYPERLINK("https://www.philgeps.gov.ph/GEPSNONPILOT/Tender/SplashBidNoticeAbstractUI.aspx?menuIndex=3&amp;refID=7017319&amp;Result=3","7017319")</f>
        <v>0</v>
      </c>
      <c r="B12117" t="s">
        <v>303</v>
      </c>
      <c r="C12117" t="s">
        <v>14687</v>
      </c>
      <c r="D12117" t="s">
        <v>16196</v>
      </c>
      <c r="E12117" t="s">
        <v>26777</v>
      </c>
      <c r="F12117" t="s">
        <v>28198</v>
      </c>
      <c r="G12117" t="s">
        <v>28205</v>
      </c>
      <c r="H12117" t="s">
        <v>28214</v>
      </c>
      <c r="I12117" t="s">
        <v>3797</v>
      </c>
      <c r="J12117" t="s">
        <v>35773</v>
      </c>
      <c r="K12117" t="s">
        <v>36697</v>
      </c>
      <c r="M12117" t="s">
        <v>37280</v>
      </c>
      <c r="N12117" t="s">
        <v>40436</v>
      </c>
      <c r="O12117" t="s">
        <v>40437</v>
      </c>
      <c r="P12117">
        <v>0</v>
      </c>
      <c r="Q12117">
        <v>16</v>
      </c>
      <c r="R12117" t="s">
        <v>40454</v>
      </c>
      <c r="S12117" t="s">
        <v>41306</v>
      </c>
      <c r="T12117" t="s">
        <v>42103</v>
      </c>
      <c r="U12117" t="s">
        <v>43100</v>
      </c>
      <c r="W12117" t="s">
        <v>37280</v>
      </c>
      <c r="X12117" t="s">
        <v>40457</v>
      </c>
    </row>
    <row r="12118" spans="1:24">
      <c r="A12118">
        <f>HYPERLINK("https://www.philgeps.gov.ph/GEPSNONPILOT/Tender/SplashBidNoticeAbstractUI.aspx?menuIndex=3&amp;refID=7017253&amp;Result=3","7017253")</f>
        <v>0</v>
      </c>
      <c r="B12118" t="s">
        <v>916</v>
      </c>
      <c r="C12118" t="s">
        <v>14688</v>
      </c>
      <c r="E12118" t="s">
        <v>26778</v>
      </c>
      <c r="F12118" t="s">
        <v>28198</v>
      </c>
      <c r="G12118" t="s">
        <v>28205</v>
      </c>
      <c r="H12118" t="s">
        <v>28217</v>
      </c>
      <c r="I12118" t="s">
        <v>28294</v>
      </c>
      <c r="J12118" t="s">
        <v>30496</v>
      </c>
      <c r="K12118" t="s">
        <v>36705</v>
      </c>
      <c r="M12118" t="s">
        <v>40243</v>
      </c>
      <c r="N12118" t="s">
        <v>40436</v>
      </c>
      <c r="O12118" t="s">
        <v>40437</v>
      </c>
      <c r="P12118">
        <v>0</v>
      </c>
      <c r="Q12118">
        <v>6</v>
      </c>
      <c r="R12118" t="s">
        <v>40454</v>
      </c>
      <c r="S12118" t="s">
        <v>41306</v>
      </c>
      <c r="T12118" t="s">
        <v>42134</v>
      </c>
      <c r="U12118" t="s">
        <v>52569</v>
      </c>
      <c r="W12118" t="s">
        <v>40243</v>
      </c>
      <c r="X12118" t="s">
        <v>40457</v>
      </c>
    </row>
    <row r="12119" spans="1:24">
      <c r="A12119">
        <f>HYPERLINK("https://www.philgeps.gov.ph/GEPSNONPILOT/Tender/SplashBidNoticeAbstractUI.aspx?menuIndex=3&amp;refID=7017236&amp;Result=3","7017236")</f>
        <v>0</v>
      </c>
      <c r="B12119" t="s">
        <v>2607</v>
      </c>
      <c r="C12119" t="s">
        <v>14689</v>
      </c>
      <c r="D12119" t="s">
        <v>16208</v>
      </c>
      <c r="E12119" t="s">
        <v>26779</v>
      </c>
      <c r="F12119" t="s">
        <v>28198</v>
      </c>
      <c r="G12119" t="s">
        <v>28205</v>
      </c>
      <c r="H12119" t="s">
        <v>28215</v>
      </c>
      <c r="I12119" t="s">
        <v>28234</v>
      </c>
      <c r="J12119" t="s">
        <v>35774</v>
      </c>
      <c r="K12119" t="s">
        <v>36694</v>
      </c>
      <c r="M12119" t="s">
        <v>39825</v>
      </c>
      <c r="N12119" t="s">
        <v>40436</v>
      </c>
      <c r="O12119" t="s">
        <v>40437</v>
      </c>
      <c r="Q12119">
        <v>13</v>
      </c>
      <c r="R12119" t="s">
        <v>40454</v>
      </c>
      <c r="S12119" t="s">
        <v>41314</v>
      </c>
      <c r="T12119" t="s">
        <v>42119</v>
      </c>
      <c r="U12119" t="s">
        <v>50260</v>
      </c>
      <c r="V12119" t="s">
        <v>55163</v>
      </c>
      <c r="W12119" t="s">
        <v>39825</v>
      </c>
      <c r="X12119" t="s">
        <v>40457</v>
      </c>
    </row>
    <row r="12120" spans="1:24">
      <c r="A12120">
        <f>HYPERLINK("https://www.philgeps.gov.ph/GEPSNONPILOT/Tender/SplashBidNoticeAbstractUI.aspx?menuIndex=3&amp;refID=7017232&amp;Result=3","7017232")</f>
        <v>0</v>
      </c>
      <c r="B12120" t="s">
        <v>1114</v>
      </c>
      <c r="C12120" t="s">
        <v>14690</v>
      </c>
      <c r="D12120" t="s">
        <v>16228</v>
      </c>
      <c r="E12120" t="s">
        <v>26780</v>
      </c>
      <c r="F12120" t="s">
        <v>28198</v>
      </c>
      <c r="G12120" t="s">
        <v>28205</v>
      </c>
      <c r="H12120" t="s">
        <v>28214</v>
      </c>
      <c r="I12120" t="s">
        <v>3797</v>
      </c>
      <c r="J12120" t="s">
        <v>35775</v>
      </c>
      <c r="K12120" t="s">
        <v>36960</v>
      </c>
      <c r="M12120" t="s">
        <v>40244</v>
      </c>
      <c r="N12120" t="s">
        <v>40436</v>
      </c>
      <c r="O12120" t="s">
        <v>40437</v>
      </c>
      <c r="Q12120">
        <v>2</v>
      </c>
      <c r="R12120" t="s">
        <v>40454</v>
      </c>
      <c r="S12120" t="s">
        <v>40943</v>
      </c>
      <c r="T12120" t="s">
        <v>42158</v>
      </c>
      <c r="U12120" t="s">
        <v>52570</v>
      </c>
      <c r="V12120" t="s">
        <v>55164</v>
      </c>
      <c r="W12120" t="s">
        <v>40244</v>
      </c>
      <c r="X12120" t="s">
        <v>40457</v>
      </c>
    </row>
    <row r="12121" spans="1:24">
      <c r="A12121">
        <f>HYPERLINK("https://www.philgeps.gov.ph/GEPSNONPILOT/Tender/SplashBidNoticeAbstractUI.aspx?menuIndex=3&amp;refID=7017320&amp;Result=3","7017320")</f>
        <v>0</v>
      </c>
      <c r="B12121" t="s">
        <v>1114</v>
      </c>
      <c r="C12121" t="s">
        <v>14691</v>
      </c>
      <c r="D12121" t="s">
        <v>16228</v>
      </c>
      <c r="E12121" t="s">
        <v>26781</v>
      </c>
      <c r="F12121" t="s">
        <v>28198</v>
      </c>
      <c r="G12121" t="s">
        <v>28205</v>
      </c>
      <c r="H12121" t="s">
        <v>28214</v>
      </c>
      <c r="I12121" t="s">
        <v>3797</v>
      </c>
      <c r="J12121" t="s">
        <v>28797</v>
      </c>
      <c r="K12121" t="s">
        <v>36701</v>
      </c>
      <c r="M12121" t="s">
        <v>40244</v>
      </c>
      <c r="N12121" t="s">
        <v>40436</v>
      </c>
      <c r="O12121" t="s">
        <v>40437</v>
      </c>
      <c r="P12121">
        <v>0</v>
      </c>
      <c r="Q12121">
        <v>1</v>
      </c>
      <c r="R12121" t="s">
        <v>40454</v>
      </c>
      <c r="S12121" t="s">
        <v>41306</v>
      </c>
      <c r="T12121" t="s">
        <v>42158</v>
      </c>
      <c r="U12121" t="s">
        <v>52571</v>
      </c>
      <c r="W12121" t="s">
        <v>40244</v>
      </c>
      <c r="X12121" t="s">
        <v>40457</v>
      </c>
    </row>
    <row r="12122" spans="1:24">
      <c r="A12122">
        <f>HYPERLINK("https://www.philgeps.gov.ph/GEPSNONPILOT/Tender/SplashBidNoticeAbstractUI.aspx?menuIndex=3&amp;refID=7017350&amp;Result=3","7017350")</f>
        <v>0</v>
      </c>
      <c r="B12122" t="s">
        <v>1912</v>
      </c>
      <c r="C12122" t="s">
        <v>14692</v>
      </c>
      <c r="D12122" t="s">
        <v>16260</v>
      </c>
      <c r="E12122" t="s">
        <v>26782</v>
      </c>
      <c r="F12122" t="s">
        <v>28198</v>
      </c>
      <c r="G12122" t="s">
        <v>28205</v>
      </c>
      <c r="H12122" t="s">
        <v>28215</v>
      </c>
      <c r="I12122" t="s">
        <v>28241</v>
      </c>
      <c r="J12122" t="s">
        <v>28398</v>
      </c>
      <c r="K12122" t="s">
        <v>36707</v>
      </c>
      <c r="M12122" t="s">
        <v>39044</v>
      </c>
      <c r="N12122" t="s">
        <v>40436</v>
      </c>
      <c r="O12122" t="s">
        <v>40437</v>
      </c>
      <c r="Q12122">
        <v>8</v>
      </c>
      <c r="R12122" t="s">
        <v>40454</v>
      </c>
      <c r="S12122" t="s">
        <v>41315</v>
      </c>
      <c r="T12122" t="s">
        <v>42119</v>
      </c>
      <c r="U12122" t="s">
        <v>52572</v>
      </c>
      <c r="V12122" t="s">
        <v>55165</v>
      </c>
      <c r="W12122" t="s">
        <v>39044</v>
      </c>
      <c r="X12122" t="s">
        <v>40457</v>
      </c>
    </row>
    <row r="12123" spans="1:24">
      <c r="A12123">
        <f>HYPERLINK("https://www.philgeps.gov.ph/GEPSNONPILOT/Tender/SplashBidNoticeAbstractUI.aspx?menuIndex=3&amp;refID=7017366&amp;Result=3","7017366")</f>
        <v>0</v>
      </c>
      <c r="B12123" t="s">
        <v>766</v>
      </c>
      <c r="C12123" t="s">
        <v>14693</v>
      </c>
      <c r="D12123" t="s">
        <v>16219</v>
      </c>
      <c r="E12123" t="s">
        <v>26783</v>
      </c>
      <c r="F12123" t="s">
        <v>28198</v>
      </c>
      <c r="G12123" t="s">
        <v>28205</v>
      </c>
      <c r="H12123" t="s">
        <v>28214</v>
      </c>
      <c r="I12123" t="s">
        <v>28274</v>
      </c>
      <c r="J12123" t="s">
        <v>35776</v>
      </c>
      <c r="K12123" t="s">
        <v>36717</v>
      </c>
      <c r="M12123" t="s">
        <v>38825</v>
      </c>
      <c r="N12123" t="s">
        <v>40436</v>
      </c>
      <c r="O12123" t="s">
        <v>40437</v>
      </c>
      <c r="P12123">
        <v>0</v>
      </c>
      <c r="Q12123">
        <v>0</v>
      </c>
      <c r="R12123" t="s">
        <v>40454</v>
      </c>
      <c r="S12123" t="s">
        <v>41306</v>
      </c>
      <c r="T12123" t="s">
        <v>42133</v>
      </c>
      <c r="U12123" t="s">
        <v>52573</v>
      </c>
      <c r="W12123" t="s">
        <v>38825</v>
      </c>
      <c r="X12123" t="s">
        <v>40457</v>
      </c>
    </row>
    <row r="12124" spans="1:24">
      <c r="A12124">
        <f>HYPERLINK("https://www.philgeps.gov.ph/GEPSNONPILOT/Tender/SplashBidNoticeAbstractUI.aspx?menuIndex=3&amp;refID=7017358&amp;Result=3","7017358")</f>
        <v>0</v>
      </c>
      <c r="B12124" t="s">
        <v>766</v>
      </c>
      <c r="C12124" t="s">
        <v>14694</v>
      </c>
      <c r="D12124" t="s">
        <v>16219</v>
      </c>
      <c r="E12124" t="s">
        <v>26784</v>
      </c>
      <c r="F12124" t="s">
        <v>28198</v>
      </c>
      <c r="G12124" t="s">
        <v>28205</v>
      </c>
      <c r="H12124" t="s">
        <v>28214</v>
      </c>
      <c r="I12124" t="s">
        <v>28274</v>
      </c>
      <c r="J12124" t="s">
        <v>35776</v>
      </c>
      <c r="K12124" t="s">
        <v>36717</v>
      </c>
      <c r="M12124" t="s">
        <v>38825</v>
      </c>
      <c r="N12124" t="s">
        <v>40436</v>
      </c>
      <c r="O12124" t="s">
        <v>40437</v>
      </c>
      <c r="P12124">
        <v>0</v>
      </c>
      <c r="Q12124">
        <v>0</v>
      </c>
      <c r="R12124" t="s">
        <v>40454</v>
      </c>
      <c r="S12124" t="s">
        <v>41306</v>
      </c>
      <c r="T12124" t="s">
        <v>42133</v>
      </c>
      <c r="U12124" t="s">
        <v>52573</v>
      </c>
      <c r="W12124" t="s">
        <v>38825</v>
      </c>
      <c r="X12124" t="s">
        <v>40457</v>
      </c>
    </row>
    <row r="12125" spans="1:24">
      <c r="A12125">
        <f>HYPERLINK("https://www.philgeps.gov.ph/GEPSNONPILOT/Tender/SplashBidNoticeAbstractUI.aspx?menuIndex=3&amp;refID=7017426&amp;Result=3","7017426")</f>
        <v>0</v>
      </c>
      <c r="B12125" t="s">
        <v>2957</v>
      </c>
      <c r="C12125" t="s">
        <v>14695</v>
      </c>
      <c r="D12125" t="s">
        <v>16238</v>
      </c>
      <c r="E12125" t="s">
        <v>26785</v>
      </c>
      <c r="F12125" t="s">
        <v>28198</v>
      </c>
      <c r="G12125" t="s">
        <v>28205</v>
      </c>
      <c r="H12125" t="s">
        <v>28215</v>
      </c>
      <c r="I12125" t="s">
        <v>5100</v>
      </c>
      <c r="J12125" t="s">
        <v>35777</v>
      </c>
      <c r="K12125" t="s">
        <v>36707</v>
      </c>
      <c r="M12125" t="s">
        <v>40245</v>
      </c>
      <c r="N12125" t="s">
        <v>40436</v>
      </c>
      <c r="O12125" t="s">
        <v>40437</v>
      </c>
      <c r="P12125">
        <v>0</v>
      </c>
      <c r="Q12125">
        <v>1</v>
      </c>
      <c r="R12125" t="s">
        <v>40454</v>
      </c>
      <c r="S12125" t="s">
        <v>41306</v>
      </c>
      <c r="T12125" t="s">
        <v>42119</v>
      </c>
      <c r="U12125" t="s">
        <v>52574</v>
      </c>
      <c r="V12125" t="s">
        <v>55166</v>
      </c>
      <c r="W12125" t="s">
        <v>40245</v>
      </c>
      <c r="X12125" t="s">
        <v>40457</v>
      </c>
    </row>
    <row r="12126" spans="1:24">
      <c r="A12126">
        <f>HYPERLINK("https://www.philgeps.gov.ph/GEPSNONPILOT/Tender/SplashBidNoticeAbstractUI.aspx?menuIndex=3&amp;refID=7017339&amp;Result=3","7017339")</f>
        <v>0</v>
      </c>
      <c r="B12126" t="s">
        <v>2958</v>
      </c>
      <c r="C12126" t="s">
        <v>14696</v>
      </c>
      <c r="D12126" t="s">
        <v>16195</v>
      </c>
      <c r="E12126" t="s">
        <v>26786</v>
      </c>
      <c r="F12126" t="s">
        <v>28198</v>
      </c>
      <c r="G12126" t="s">
        <v>28205</v>
      </c>
      <c r="H12126" t="s">
        <v>28215</v>
      </c>
      <c r="I12126" t="s">
        <v>5100</v>
      </c>
      <c r="J12126" t="s">
        <v>35778</v>
      </c>
      <c r="K12126" t="s">
        <v>36706</v>
      </c>
      <c r="M12126" t="s">
        <v>40246</v>
      </c>
      <c r="N12126" t="s">
        <v>40436</v>
      </c>
      <c r="O12126" t="s">
        <v>40437</v>
      </c>
      <c r="P12126">
        <v>0</v>
      </c>
      <c r="Q12126">
        <v>0</v>
      </c>
      <c r="R12126" t="s">
        <v>40454</v>
      </c>
      <c r="S12126" t="s">
        <v>41306</v>
      </c>
      <c r="T12126" t="s">
        <v>42319</v>
      </c>
      <c r="U12126" t="s">
        <v>52575</v>
      </c>
      <c r="W12126" t="s">
        <v>40246</v>
      </c>
      <c r="X12126" t="s">
        <v>40457</v>
      </c>
    </row>
    <row r="12127" spans="1:24">
      <c r="A12127">
        <f>HYPERLINK("https://www.philgeps.gov.ph/GEPSNONPILOT/Tender/SplashBidNoticeAbstractUI.aspx?menuIndex=3&amp;refID=7017384&amp;Result=3","7017384")</f>
        <v>0</v>
      </c>
      <c r="B12127" t="s">
        <v>2959</v>
      </c>
      <c r="C12127" t="s">
        <v>14697</v>
      </c>
      <c r="D12127" t="s">
        <v>16195</v>
      </c>
      <c r="E12127" t="s">
        <v>26787</v>
      </c>
      <c r="F12127" t="s">
        <v>28198</v>
      </c>
      <c r="G12127" t="s">
        <v>28205</v>
      </c>
      <c r="H12127" t="s">
        <v>28214</v>
      </c>
      <c r="I12127" t="s">
        <v>28277</v>
      </c>
      <c r="J12127" t="s">
        <v>35779</v>
      </c>
      <c r="K12127" t="s">
        <v>36692</v>
      </c>
      <c r="M12127" t="s">
        <v>40247</v>
      </c>
      <c r="N12127" t="s">
        <v>40436</v>
      </c>
      <c r="O12127" t="s">
        <v>40437</v>
      </c>
      <c r="P12127">
        <v>0</v>
      </c>
      <c r="Q12127">
        <v>2</v>
      </c>
      <c r="R12127" t="s">
        <v>40454</v>
      </c>
      <c r="S12127" t="s">
        <v>41306</v>
      </c>
      <c r="T12127" t="s">
        <v>42273</v>
      </c>
      <c r="U12127" t="s">
        <v>52576</v>
      </c>
      <c r="V12127" t="s">
        <v>55167</v>
      </c>
      <c r="W12127" t="s">
        <v>40247</v>
      </c>
      <c r="X12127" t="s">
        <v>40457</v>
      </c>
    </row>
    <row r="12128" spans="1:24">
      <c r="A12128">
        <f>HYPERLINK("https://www.philgeps.gov.ph/GEPSNONPILOT/Tender/SplashBidNoticeAbstractUI.aspx?menuIndex=3&amp;refID=7017367&amp;Result=3","7017367")</f>
        <v>0</v>
      </c>
      <c r="B12128" t="s">
        <v>2959</v>
      </c>
      <c r="C12128" t="s">
        <v>14698</v>
      </c>
      <c r="D12128" t="s">
        <v>16195</v>
      </c>
      <c r="E12128" t="s">
        <v>26788</v>
      </c>
      <c r="F12128" t="s">
        <v>28198</v>
      </c>
      <c r="G12128" t="s">
        <v>28205</v>
      </c>
      <c r="H12128" t="s">
        <v>28215</v>
      </c>
      <c r="I12128" t="s">
        <v>5100</v>
      </c>
      <c r="J12128" t="s">
        <v>35780</v>
      </c>
      <c r="K12128" t="s">
        <v>36707</v>
      </c>
      <c r="M12128" t="s">
        <v>40247</v>
      </c>
      <c r="N12128" t="s">
        <v>40436</v>
      </c>
      <c r="O12128" t="s">
        <v>40437</v>
      </c>
      <c r="P12128">
        <v>0</v>
      </c>
      <c r="Q12128">
        <v>0</v>
      </c>
      <c r="R12128" t="s">
        <v>40454</v>
      </c>
      <c r="S12128" t="s">
        <v>41306</v>
      </c>
      <c r="T12128" t="s">
        <v>42160</v>
      </c>
      <c r="U12128" t="s">
        <v>52577</v>
      </c>
      <c r="V12128" t="s">
        <v>55168</v>
      </c>
      <c r="W12128" t="s">
        <v>40247</v>
      </c>
      <c r="X12128" t="s">
        <v>40457</v>
      </c>
    </row>
    <row r="12129" spans="1:24">
      <c r="A12129">
        <f>HYPERLINK("https://www.philgeps.gov.ph/GEPSNONPILOT/Tender/SplashBidNoticeAbstractUI.aspx?menuIndex=3&amp;refID=7017594&amp;Result=3","7017594")</f>
        <v>0</v>
      </c>
      <c r="B12129" t="s">
        <v>1726</v>
      </c>
      <c r="C12129" t="s">
        <v>14699</v>
      </c>
      <c r="E12129" t="s">
        <v>26789</v>
      </c>
      <c r="F12129" t="s">
        <v>28198</v>
      </c>
      <c r="G12129" t="s">
        <v>28205</v>
      </c>
      <c r="H12129" t="s">
        <v>28214</v>
      </c>
      <c r="I12129" t="s">
        <v>9499</v>
      </c>
      <c r="J12129" t="s">
        <v>35781</v>
      </c>
      <c r="K12129" t="s">
        <v>36689</v>
      </c>
      <c r="M12129" t="s">
        <v>38835</v>
      </c>
      <c r="N12129" t="s">
        <v>40436</v>
      </c>
      <c r="O12129" t="s">
        <v>40437</v>
      </c>
      <c r="P12129">
        <v>0</v>
      </c>
      <c r="Q12129">
        <v>9</v>
      </c>
      <c r="R12129" t="s">
        <v>40454</v>
      </c>
      <c r="S12129" t="s">
        <v>41306</v>
      </c>
      <c r="T12129" t="s">
        <v>42588</v>
      </c>
      <c r="U12129" t="s">
        <v>52578</v>
      </c>
      <c r="W12129" t="s">
        <v>38835</v>
      </c>
      <c r="X12129" t="s">
        <v>40457</v>
      </c>
    </row>
    <row r="12130" spans="1:24">
      <c r="A12130">
        <f>HYPERLINK("https://www.philgeps.gov.ph/GEPSNONPILOT/Tender/SplashBidNoticeAbstractUI.aspx?menuIndex=3&amp;refID=7017610&amp;Result=3","7017610")</f>
        <v>0</v>
      </c>
      <c r="B12130" t="s">
        <v>121</v>
      </c>
      <c r="C12130" t="s">
        <v>14700</v>
      </c>
      <c r="D12130" t="s">
        <v>16207</v>
      </c>
      <c r="E12130" t="s">
        <v>26790</v>
      </c>
      <c r="F12130" t="s">
        <v>28198</v>
      </c>
      <c r="G12130" t="s">
        <v>28205</v>
      </c>
      <c r="H12130" t="s">
        <v>28215</v>
      </c>
      <c r="I12130" t="s">
        <v>28224</v>
      </c>
      <c r="J12130" t="s">
        <v>35782</v>
      </c>
      <c r="K12130" t="s">
        <v>36706</v>
      </c>
      <c r="M12130" t="s">
        <v>37095</v>
      </c>
      <c r="N12130" t="s">
        <v>40436</v>
      </c>
      <c r="O12130" t="s">
        <v>40437</v>
      </c>
      <c r="P12130">
        <v>0</v>
      </c>
      <c r="Q12130">
        <v>2</v>
      </c>
      <c r="R12130" t="s">
        <v>40454</v>
      </c>
      <c r="S12130" t="s">
        <v>41306</v>
      </c>
      <c r="T12130" t="s">
        <v>42133</v>
      </c>
      <c r="U12130" t="s">
        <v>52579</v>
      </c>
      <c r="W12130" t="s">
        <v>37095</v>
      </c>
      <c r="X12130" t="s">
        <v>40457</v>
      </c>
    </row>
    <row r="12131" spans="1:24">
      <c r="A12131">
        <f>HYPERLINK("https://www.philgeps.gov.ph/GEPSNONPILOT/Tender/SplashBidNoticeAbstractUI.aspx?menuIndex=3&amp;refID=7017530&amp;Result=3","7017530")</f>
        <v>0</v>
      </c>
      <c r="B12131" t="s">
        <v>2960</v>
      </c>
      <c r="C12131" t="s">
        <v>14701</v>
      </c>
      <c r="D12131" t="s">
        <v>16263</v>
      </c>
      <c r="E12131" t="s">
        <v>26791</v>
      </c>
      <c r="F12131" t="s">
        <v>28198</v>
      </c>
      <c r="G12131" t="s">
        <v>28205</v>
      </c>
      <c r="H12131" t="s">
        <v>28215</v>
      </c>
      <c r="I12131" t="s">
        <v>28290</v>
      </c>
      <c r="J12131" t="s">
        <v>35783</v>
      </c>
      <c r="K12131" t="s">
        <v>36694</v>
      </c>
      <c r="M12131" t="s">
        <v>40248</v>
      </c>
      <c r="N12131" t="s">
        <v>40436</v>
      </c>
      <c r="O12131" t="s">
        <v>40437</v>
      </c>
      <c r="P12131">
        <v>0</v>
      </c>
      <c r="Q12131">
        <v>7</v>
      </c>
      <c r="R12131" t="s">
        <v>40454</v>
      </c>
      <c r="S12131" t="s">
        <v>41306</v>
      </c>
      <c r="T12131" t="s">
        <v>42160</v>
      </c>
      <c r="U12131" t="s">
        <v>52580</v>
      </c>
      <c r="W12131" t="s">
        <v>40248</v>
      </c>
      <c r="X12131" t="s">
        <v>40457</v>
      </c>
    </row>
    <row r="12132" spans="1:24">
      <c r="A12132">
        <f>HYPERLINK("https://www.philgeps.gov.ph/GEPSNONPILOT/Tender/SplashBidNoticeAbstractUI.aspx?menuIndex=3&amp;refID=7017526&amp;Result=3","7017526")</f>
        <v>0</v>
      </c>
      <c r="B12132" t="s">
        <v>121</v>
      </c>
      <c r="C12132" t="s">
        <v>14702</v>
      </c>
      <c r="D12132" t="s">
        <v>16207</v>
      </c>
      <c r="E12132" t="s">
        <v>26792</v>
      </c>
      <c r="F12132" t="s">
        <v>28198</v>
      </c>
      <c r="G12132" t="s">
        <v>28205</v>
      </c>
      <c r="H12132" t="s">
        <v>28215</v>
      </c>
      <c r="I12132" t="s">
        <v>5791</v>
      </c>
      <c r="J12132" t="s">
        <v>35784</v>
      </c>
      <c r="K12132" t="s">
        <v>36728</v>
      </c>
      <c r="M12132" t="s">
        <v>37095</v>
      </c>
      <c r="N12132" t="s">
        <v>40436</v>
      </c>
      <c r="O12132" t="s">
        <v>40437</v>
      </c>
      <c r="P12132">
        <v>0</v>
      </c>
      <c r="Q12132">
        <v>0</v>
      </c>
      <c r="R12132" t="s">
        <v>40454</v>
      </c>
      <c r="S12132" t="s">
        <v>41306</v>
      </c>
      <c r="T12132" t="s">
        <v>42133</v>
      </c>
      <c r="U12132" t="s">
        <v>52581</v>
      </c>
      <c r="W12132" t="s">
        <v>37095</v>
      </c>
      <c r="X12132" t="s">
        <v>40457</v>
      </c>
    </row>
    <row r="12133" spans="1:24">
      <c r="A12133">
        <f>HYPERLINK("https://www.philgeps.gov.ph/GEPSNONPILOT/Tender/SplashBidNoticeAbstractUI.aspx?menuIndex=3&amp;refID=7017597&amp;Result=3","7017597")</f>
        <v>0</v>
      </c>
      <c r="B12133" t="s">
        <v>2960</v>
      </c>
      <c r="C12133" t="s">
        <v>14703</v>
      </c>
      <c r="D12133" t="s">
        <v>16263</v>
      </c>
      <c r="E12133" t="s">
        <v>26793</v>
      </c>
      <c r="F12133" t="s">
        <v>28198</v>
      </c>
      <c r="G12133" t="s">
        <v>28205</v>
      </c>
      <c r="H12133" t="s">
        <v>28215</v>
      </c>
      <c r="I12133" t="s">
        <v>8888</v>
      </c>
      <c r="J12133" t="s">
        <v>35785</v>
      </c>
      <c r="K12133" t="s">
        <v>36692</v>
      </c>
      <c r="M12133" t="s">
        <v>40248</v>
      </c>
      <c r="N12133" t="s">
        <v>40436</v>
      </c>
      <c r="O12133" t="s">
        <v>40437</v>
      </c>
      <c r="P12133">
        <v>0</v>
      </c>
      <c r="Q12133">
        <v>3</v>
      </c>
      <c r="R12133" t="s">
        <v>40454</v>
      </c>
      <c r="S12133" t="s">
        <v>41306</v>
      </c>
      <c r="T12133" t="s">
        <v>42160</v>
      </c>
      <c r="U12133" t="s">
        <v>52582</v>
      </c>
      <c r="W12133" t="s">
        <v>40248</v>
      </c>
      <c r="X12133" t="s">
        <v>40457</v>
      </c>
    </row>
    <row r="12134" spans="1:24">
      <c r="A12134">
        <f>HYPERLINK("https://www.philgeps.gov.ph/GEPSNONPILOT/Tender/SplashBidNoticeAbstractUI.aspx?menuIndex=3&amp;refID=7017571&amp;Result=3","7017571")</f>
        <v>0</v>
      </c>
      <c r="B12134" t="s">
        <v>121</v>
      </c>
      <c r="C12134" t="s">
        <v>14704</v>
      </c>
      <c r="D12134" t="s">
        <v>16207</v>
      </c>
      <c r="E12134" t="s">
        <v>26794</v>
      </c>
      <c r="F12134" t="s">
        <v>28198</v>
      </c>
      <c r="G12134" t="s">
        <v>28205</v>
      </c>
      <c r="H12134" t="s">
        <v>28215</v>
      </c>
      <c r="I12134" t="s">
        <v>28224</v>
      </c>
      <c r="J12134" t="s">
        <v>35786</v>
      </c>
      <c r="K12134" t="s">
        <v>36706</v>
      </c>
      <c r="M12134" t="s">
        <v>37095</v>
      </c>
      <c r="N12134" t="s">
        <v>40436</v>
      </c>
      <c r="O12134" t="s">
        <v>40437</v>
      </c>
      <c r="P12134">
        <v>0</v>
      </c>
      <c r="Q12134">
        <v>3</v>
      </c>
      <c r="R12134" t="s">
        <v>40454</v>
      </c>
      <c r="S12134" t="s">
        <v>41306</v>
      </c>
      <c r="T12134" t="s">
        <v>42133</v>
      </c>
      <c r="U12134" t="s">
        <v>52583</v>
      </c>
      <c r="W12134" t="s">
        <v>37095</v>
      </c>
      <c r="X12134" t="s">
        <v>40457</v>
      </c>
    </row>
    <row r="12135" spans="1:24">
      <c r="A12135">
        <f>HYPERLINK("https://www.philgeps.gov.ph/GEPSNONPILOT/Tender/SplashBidNoticeAbstractUI.aspx?menuIndex=3&amp;refID=7017483&amp;Result=3","7017483")</f>
        <v>0</v>
      </c>
      <c r="B12135" t="s">
        <v>121</v>
      </c>
      <c r="C12135" t="s">
        <v>14705</v>
      </c>
      <c r="D12135" t="s">
        <v>16207</v>
      </c>
      <c r="E12135" t="s">
        <v>26795</v>
      </c>
      <c r="F12135" t="s">
        <v>28198</v>
      </c>
      <c r="G12135" t="s">
        <v>28205</v>
      </c>
      <c r="H12135" t="s">
        <v>28215</v>
      </c>
      <c r="I12135" t="s">
        <v>5791</v>
      </c>
      <c r="J12135" t="s">
        <v>35787</v>
      </c>
      <c r="K12135" t="s">
        <v>36728</v>
      </c>
      <c r="M12135" t="s">
        <v>37095</v>
      </c>
      <c r="N12135" t="s">
        <v>40436</v>
      </c>
      <c r="O12135" t="s">
        <v>40437</v>
      </c>
      <c r="P12135">
        <v>0</v>
      </c>
      <c r="Q12135">
        <v>0</v>
      </c>
      <c r="R12135" t="s">
        <v>40454</v>
      </c>
      <c r="S12135" t="s">
        <v>41306</v>
      </c>
      <c r="T12135" t="s">
        <v>42133</v>
      </c>
      <c r="U12135" t="s">
        <v>52584</v>
      </c>
      <c r="W12135" t="s">
        <v>37095</v>
      </c>
      <c r="X12135" t="s">
        <v>40457</v>
      </c>
    </row>
    <row r="12136" spans="1:24">
      <c r="A12136">
        <f>HYPERLINK("https://www.philgeps.gov.ph/GEPSNONPILOT/Tender/SplashBidNoticeAbstractUI.aspx?menuIndex=3&amp;refID=7017529&amp;Result=3","7017529")</f>
        <v>0</v>
      </c>
      <c r="B12136" t="s">
        <v>1045</v>
      </c>
      <c r="C12136" t="s">
        <v>14706</v>
      </c>
      <c r="D12136" t="s">
        <v>16255</v>
      </c>
      <c r="E12136" t="s">
        <v>26796</v>
      </c>
      <c r="F12136" t="s">
        <v>28198</v>
      </c>
      <c r="G12136" t="s">
        <v>28205</v>
      </c>
      <c r="H12136" t="s">
        <v>28215</v>
      </c>
      <c r="I12136" t="s">
        <v>4505</v>
      </c>
      <c r="J12136" t="s">
        <v>30496</v>
      </c>
      <c r="K12136" t="s">
        <v>36694</v>
      </c>
      <c r="M12136" t="s">
        <v>38078</v>
      </c>
      <c r="N12136" t="s">
        <v>40436</v>
      </c>
      <c r="O12136" t="s">
        <v>40437</v>
      </c>
      <c r="Q12136">
        <v>4</v>
      </c>
      <c r="R12136" t="s">
        <v>40454</v>
      </c>
      <c r="S12136" t="s">
        <v>41316</v>
      </c>
      <c r="T12136" t="s">
        <v>42119</v>
      </c>
      <c r="U12136" t="s">
        <v>52585</v>
      </c>
      <c r="V12136" t="s">
        <v>55169</v>
      </c>
      <c r="W12136" t="s">
        <v>38078</v>
      </c>
      <c r="X12136" t="s">
        <v>40457</v>
      </c>
    </row>
    <row r="12137" spans="1:24">
      <c r="A12137">
        <f>HYPERLINK("https://www.philgeps.gov.ph/GEPSNONPILOT/Tender/SplashBidNoticeAbstractUI.aspx?menuIndex=3&amp;refID=7017563&amp;Result=3","7017563")</f>
        <v>0</v>
      </c>
      <c r="B12137" t="s">
        <v>2960</v>
      </c>
      <c r="C12137" t="s">
        <v>14701</v>
      </c>
      <c r="D12137" t="s">
        <v>16263</v>
      </c>
      <c r="E12137" t="s">
        <v>26797</v>
      </c>
      <c r="F12137" t="s">
        <v>28198</v>
      </c>
      <c r="G12137" t="s">
        <v>28205</v>
      </c>
      <c r="H12137" t="s">
        <v>28215</v>
      </c>
      <c r="I12137" t="s">
        <v>28254</v>
      </c>
      <c r="J12137" t="s">
        <v>35788</v>
      </c>
      <c r="K12137" t="s">
        <v>36694</v>
      </c>
      <c r="M12137" t="s">
        <v>40248</v>
      </c>
      <c r="N12137" t="s">
        <v>40436</v>
      </c>
      <c r="O12137" t="s">
        <v>40437</v>
      </c>
      <c r="P12137">
        <v>0</v>
      </c>
      <c r="Q12137">
        <v>3</v>
      </c>
      <c r="R12137" t="s">
        <v>40454</v>
      </c>
      <c r="S12137" t="s">
        <v>41306</v>
      </c>
      <c r="T12137" t="s">
        <v>42160</v>
      </c>
      <c r="U12137" t="s">
        <v>52586</v>
      </c>
      <c r="W12137" t="s">
        <v>40248</v>
      </c>
      <c r="X12137" t="s">
        <v>40457</v>
      </c>
    </row>
    <row r="12138" spans="1:24">
      <c r="A12138">
        <f>HYPERLINK("https://www.philgeps.gov.ph/GEPSNONPILOT/Tender/SplashBidNoticeAbstractUI.aspx?menuIndex=3&amp;refID=7017668&amp;Result=3","7017668")</f>
        <v>0</v>
      </c>
      <c r="B12138" t="s">
        <v>121</v>
      </c>
      <c r="C12138" t="s">
        <v>14707</v>
      </c>
      <c r="D12138" t="s">
        <v>16207</v>
      </c>
      <c r="E12138" t="s">
        <v>26798</v>
      </c>
      <c r="F12138" t="s">
        <v>28198</v>
      </c>
      <c r="G12138" t="s">
        <v>28205</v>
      </c>
      <c r="H12138" t="s">
        <v>28215</v>
      </c>
      <c r="I12138" t="s">
        <v>28224</v>
      </c>
      <c r="J12138" t="s">
        <v>33494</v>
      </c>
      <c r="K12138" t="s">
        <v>36706</v>
      </c>
      <c r="M12138" t="s">
        <v>37095</v>
      </c>
      <c r="N12138" t="s">
        <v>40436</v>
      </c>
      <c r="O12138" t="s">
        <v>40437</v>
      </c>
      <c r="P12138">
        <v>0</v>
      </c>
      <c r="Q12138">
        <v>2</v>
      </c>
      <c r="R12138" t="s">
        <v>40454</v>
      </c>
      <c r="S12138" t="s">
        <v>41306</v>
      </c>
      <c r="T12138" t="s">
        <v>42133</v>
      </c>
      <c r="U12138" t="s">
        <v>52587</v>
      </c>
      <c r="W12138" t="s">
        <v>37095</v>
      </c>
      <c r="X12138" t="s">
        <v>40457</v>
      </c>
    </row>
    <row r="12139" spans="1:24">
      <c r="A12139">
        <f>HYPERLINK("https://www.philgeps.gov.ph/GEPSNONPILOT/Tender/SplashBidNoticeAbstractUI.aspx?menuIndex=3&amp;refID=7017461&amp;Result=3","7017461")</f>
        <v>0</v>
      </c>
      <c r="B12139" t="s">
        <v>2607</v>
      </c>
      <c r="C12139" t="s">
        <v>14708</v>
      </c>
      <c r="D12139" t="s">
        <v>16208</v>
      </c>
      <c r="E12139" t="s">
        <v>26799</v>
      </c>
      <c r="F12139" t="s">
        <v>28198</v>
      </c>
      <c r="G12139" t="s">
        <v>28205</v>
      </c>
      <c r="H12139" t="s">
        <v>28215</v>
      </c>
      <c r="I12139" t="s">
        <v>28281</v>
      </c>
      <c r="J12139" t="s">
        <v>35789</v>
      </c>
      <c r="K12139" t="s">
        <v>36694</v>
      </c>
      <c r="M12139" t="s">
        <v>39825</v>
      </c>
      <c r="N12139" t="s">
        <v>40436</v>
      </c>
      <c r="O12139" t="s">
        <v>40437</v>
      </c>
      <c r="P12139">
        <v>0</v>
      </c>
      <c r="Q12139">
        <v>5</v>
      </c>
      <c r="R12139" t="s">
        <v>40454</v>
      </c>
      <c r="S12139" t="s">
        <v>41306</v>
      </c>
      <c r="T12139" t="s">
        <v>42160</v>
      </c>
      <c r="U12139" t="s">
        <v>50260</v>
      </c>
      <c r="V12139" t="s">
        <v>55170</v>
      </c>
      <c r="W12139" t="s">
        <v>39825</v>
      </c>
      <c r="X12139" t="s">
        <v>40457</v>
      </c>
    </row>
    <row r="12140" spans="1:24">
      <c r="A12140">
        <f>HYPERLINK("https://www.philgeps.gov.ph/GEPSNONPILOT/Tender/SplashBidNoticeAbstractUI.aspx?menuIndex=3&amp;refID=7017629&amp;Result=3","7017629")</f>
        <v>0</v>
      </c>
      <c r="B12140" t="s">
        <v>2960</v>
      </c>
      <c r="C12140" t="s">
        <v>8401</v>
      </c>
      <c r="D12140" t="s">
        <v>16263</v>
      </c>
      <c r="E12140" t="s">
        <v>26800</v>
      </c>
      <c r="F12140" t="s">
        <v>28198</v>
      </c>
      <c r="G12140" t="s">
        <v>28205</v>
      </c>
      <c r="H12140" t="s">
        <v>28215</v>
      </c>
      <c r="I12140" t="s">
        <v>28225</v>
      </c>
      <c r="J12140" t="s">
        <v>35790</v>
      </c>
      <c r="K12140" t="s">
        <v>36694</v>
      </c>
      <c r="M12140" t="s">
        <v>40248</v>
      </c>
      <c r="N12140" t="s">
        <v>40436</v>
      </c>
      <c r="O12140" t="s">
        <v>40437</v>
      </c>
      <c r="P12140">
        <v>0</v>
      </c>
      <c r="Q12140">
        <v>4</v>
      </c>
      <c r="R12140" t="s">
        <v>40454</v>
      </c>
      <c r="S12140" t="s">
        <v>41306</v>
      </c>
      <c r="T12140" t="s">
        <v>42160</v>
      </c>
      <c r="U12140" t="s">
        <v>52588</v>
      </c>
      <c r="W12140" t="s">
        <v>40248</v>
      </c>
      <c r="X12140" t="s">
        <v>40457</v>
      </c>
    </row>
    <row r="12141" spans="1:24">
      <c r="A12141">
        <f>HYPERLINK("https://www.philgeps.gov.ph/GEPSNONPILOT/Tender/SplashBidNoticeAbstractUI.aspx?menuIndex=3&amp;refID=7017477&amp;Result=3","7017477")</f>
        <v>0</v>
      </c>
      <c r="B12141" t="s">
        <v>2959</v>
      </c>
      <c r="C12141" t="s">
        <v>14709</v>
      </c>
      <c r="D12141" t="s">
        <v>16195</v>
      </c>
      <c r="E12141" t="s">
        <v>26801</v>
      </c>
      <c r="F12141" t="s">
        <v>28198</v>
      </c>
      <c r="G12141" t="s">
        <v>28205</v>
      </c>
      <c r="H12141" t="s">
        <v>28215</v>
      </c>
      <c r="I12141" t="s">
        <v>5100</v>
      </c>
      <c r="J12141" t="s">
        <v>35791</v>
      </c>
      <c r="K12141" t="s">
        <v>36707</v>
      </c>
      <c r="M12141" t="s">
        <v>40247</v>
      </c>
      <c r="N12141" t="s">
        <v>40436</v>
      </c>
      <c r="O12141" t="s">
        <v>40437</v>
      </c>
      <c r="P12141">
        <v>0</v>
      </c>
      <c r="Q12141">
        <v>0</v>
      </c>
      <c r="R12141" t="s">
        <v>40454</v>
      </c>
      <c r="S12141" t="s">
        <v>41306</v>
      </c>
      <c r="T12141" t="s">
        <v>42119</v>
      </c>
      <c r="U12141" t="s">
        <v>52577</v>
      </c>
      <c r="V12141" t="s">
        <v>55167</v>
      </c>
      <c r="W12141" t="s">
        <v>40247</v>
      </c>
      <c r="X12141" t="s">
        <v>40457</v>
      </c>
    </row>
    <row r="12142" spans="1:24">
      <c r="A12142">
        <f>HYPERLINK("https://www.philgeps.gov.ph/GEPSNONPILOT/Tender/SplashBidNoticeAbstractUI.aspx?menuIndex=3&amp;refID=7017431&amp;Result=3","7017431")</f>
        <v>0</v>
      </c>
      <c r="B12142" t="s">
        <v>2961</v>
      </c>
      <c r="C12142" t="s">
        <v>14710</v>
      </c>
      <c r="D12142" t="s">
        <v>16210</v>
      </c>
      <c r="E12142" t="s">
        <v>16542</v>
      </c>
      <c r="F12142" t="s">
        <v>28198</v>
      </c>
      <c r="G12142" t="s">
        <v>28205</v>
      </c>
      <c r="H12142" t="s">
        <v>28215</v>
      </c>
      <c r="I12142" t="s">
        <v>28259</v>
      </c>
      <c r="J12142" t="s">
        <v>32970</v>
      </c>
      <c r="K12142" t="s">
        <v>36701</v>
      </c>
      <c r="M12142" t="s">
        <v>40249</v>
      </c>
      <c r="N12142" t="s">
        <v>40436</v>
      </c>
      <c r="O12142" t="s">
        <v>40437</v>
      </c>
      <c r="P12142">
        <v>0</v>
      </c>
      <c r="Q12142">
        <v>12</v>
      </c>
      <c r="R12142" t="s">
        <v>40454</v>
      </c>
      <c r="S12142" t="s">
        <v>41306</v>
      </c>
      <c r="T12142" t="s">
        <v>42116</v>
      </c>
      <c r="U12142" t="s">
        <v>52589</v>
      </c>
      <c r="V12142" t="s">
        <v>55171</v>
      </c>
      <c r="W12142" t="s">
        <v>40249</v>
      </c>
      <c r="X12142" t="s">
        <v>40457</v>
      </c>
    </row>
    <row r="12143" spans="1:24">
      <c r="A12143">
        <f>HYPERLINK("https://www.philgeps.gov.ph/GEPSNONPILOT/Tender/SplashBidNoticeAbstractUI.aspx?menuIndex=3&amp;refID=7017808&amp;Result=3","7017808")</f>
        <v>0</v>
      </c>
      <c r="B12143" t="s">
        <v>2962</v>
      </c>
      <c r="C12143" t="s">
        <v>14711</v>
      </c>
      <c r="D12143" t="s">
        <v>16204</v>
      </c>
      <c r="E12143" t="s">
        <v>26802</v>
      </c>
      <c r="F12143" t="s">
        <v>28198</v>
      </c>
      <c r="G12143" t="s">
        <v>28205</v>
      </c>
      <c r="H12143" t="s">
        <v>28215</v>
      </c>
      <c r="I12143" t="s">
        <v>28234</v>
      </c>
      <c r="J12143" t="s">
        <v>28404</v>
      </c>
      <c r="K12143" t="s">
        <v>36707</v>
      </c>
      <c r="M12143" t="s">
        <v>40250</v>
      </c>
      <c r="N12143" t="s">
        <v>40436</v>
      </c>
      <c r="O12143" t="s">
        <v>40437</v>
      </c>
      <c r="P12143">
        <v>0</v>
      </c>
      <c r="Q12143">
        <v>11</v>
      </c>
      <c r="R12143" t="s">
        <v>40454</v>
      </c>
      <c r="S12143" t="s">
        <v>41306</v>
      </c>
      <c r="T12143" t="s">
        <v>42133</v>
      </c>
      <c r="U12143" t="s">
        <v>52590</v>
      </c>
      <c r="V12143" t="s">
        <v>55172</v>
      </c>
      <c r="W12143" t="s">
        <v>40250</v>
      </c>
      <c r="X12143" t="s">
        <v>40457</v>
      </c>
    </row>
    <row r="12144" spans="1:24">
      <c r="A12144">
        <f>HYPERLINK("https://www.philgeps.gov.ph/GEPSNONPILOT/Tender/SplashBidNoticeAbstractUI.aspx?menuIndex=3&amp;refID=7017795&amp;Result=3","7017795")</f>
        <v>0</v>
      </c>
      <c r="B12144" t="s">
        <v>2963</v>
      </c>
      <c r="C12144" t="s">
        <v>14712</v>
      </c>
      <c r="D12144" t="s">
        <v>16250</v>
      </c>
      <c r="E12144" t="s">
        <v>26803</v>
      </c>
      <c r="F12144" t="s">
        <v>28198</v>
      </c>
      <c r="G12144" t="s">
        <v>28205</v>
      </c>
      <c r="H12144" t="s">
        <v>28215</v>
      </c>
      <c r="I12144" t="s">
        <v>5100</v>
      </c>
      <c r="J12144" t="s">
        <v>35792</v>
      </c>
      <c r="K12144" t="s">
        <v>36693</v>
      </c>
      <c r="M12144" t="s">
        <v>40251</v>
      </c>
      <c r="N12144" t="s">
        <v>40436</v>
      </c>
      <c r="O12144" t="s">
        <v>40437</v>
      </c>
      <c r="P12144">
        <v>0</v>
      </c>
      <c r="Q12144">
        <v>1</v>
      </c>
      <c r="R12144" t="s">
        <v>40454</v>
      </c>
      <c r="S12144" t="s">
        <v>41306</v>
      </c>
      <c r="T12144" t="s">
        <v>42098</v>
      </c>
      <c r="U12144" t="s">
        <v>52591</v>
      </c>
      <c r="W12144" t="s">
        <v>40251</v>
      </c>
      <c r="X12144" t="s">
        <v>40457</v>
      </c>
    </row>
    <row r="12145" spans="1:24">
      <c r="A12145">
        <f>HYPERLINK("https://www.philgeps.gov.ph/GEPSNONPILOT/Tender/SplashBidNoticeAbstractUI.aspx?menuIndex=3&amp;refID=7017718&amp;Result=3","7017718")</f>
        <v>0</v>
      </c>
      <c r="B12145" t="s">
        <v>121</v>
      </c>
      <c r="C12145" t="s">
        <v>14713</v>
      </c>
      <c r="D12145" t="s">
        <v>16207</v>
      </c>
      <c r="E12145" t="s">
        <v>26804</v>
      </c>
      <c r="F12145" t="s">
        <v>28198</v>
      </c>
      <c r="G12145" t="s">
        <v>28205</v>
      </c>
      <c r="H12145" t="s">
        <v>28215</v>
      </c>
      <c r="I12145" t="s">
        <v>4200</v>
      </c>
      <c r="J12145" t="s">
        <v>28363</v>
      </c>
      <c r="K12145" t="s">
        <v>36706</v>
      </c>
      <c r="M12145" t="s">
        <v>37095</v>
      </c>
      <c r="N12145" t="s">
        <v>40436</v>
      </c>
      <c r="O12145" t="s">
        <v>40437</v>
      </c>
      <c r="P12145">
        <v>0</v>
      </c>
      <c r="Q12145">
        <v>3</v>
      </c>
      <c r="R12145" t="s">
        <v>40454</v>
      </c>
      <c r="S12145" t="s">
        <v>41306</v>
      </c>
      <c r="T12145" t="s">
        <v>42133</v>
      </c>
      <c r="U12145" t="s">
        <v>52592</v>
      </c>
      <c r="W12145" t="s">
        <v>37095</v>
      </c>
      <c r="X12145" t="s">
        <v>40457</v>
      </c>
    </row>
    <row r="12146" spans="1:24">
      <c r="A12146">
        <f>HYPERLINK("https://www.philgeps.gov.ph/GEPSNONPILOT/Tender/SplashBidNoticeAbstractUI.aspx?menuIndex=3&amp;refID=7017430&amp;Result=3","7017430")</f>
        <v>0</v>
      </c>
      <c r="B12146" t="s">
        <v>2959</v>
      </c>
      <c r="C12146" t="s">
        <v>14714</v>
      </c>
      <c r="D12146" t="s">
        <v>16195</v>
      </c>
      <c r="E12146" t="s">
        <v>26805</v>
      </c>
      <c r="F12146" t="s">
        <v>28198</v>
      </c>
      <c r="G12146" t="s">
        <v>28205</v>
      </c>
      <c r="H12146" t="s">
        <v>28214</v>
      </c>
      <c r="I12146" t="s">
        <v>28277</v>
      </c>
      <c r="J12146" t="s">
        <v>35793</v>
      </c>
      <c r="K12146" t="s">
        <v>36692</v>
      </c>
      <c r="M12146" t="s">
        <v>40247</v>
      </c>
      <c r="N12146" t="s">
        <v>40436</v>
      </c>
      <c r="O12146" t="s">
        <v>40437</v>
      </c>
      <c r="P12146">
        <v>0</v>
      </c>
      <c r="Q12146">
        <v>2</v>
      </c>
      <c r="R12146" t="s">
        <v>40454</v>
      </c>
      <c r="S12146" t="s">
        <v>41306</v>
      </c>
      <c r="T12146" t="s">
        <v>42199</v>
      </c>
      <c r="U12146" t="s">
        <v>52593</v>
      </c>
      <c r="V12146" t="s">
        <v>55167</v>
      </c>
      <c r="W12146" t="s">
        <v>40247</v>
      </c>
      <c r="X12146" t="s">
        <v>40457</v>
      </c>
    </row>
    <row r="12147" spans="1:24">
      <c r="A12147">
        <f>HYPERLINK("https://www.philgeps.gov.ph/GEPSNONPILOT/Tender/SplashBidNoticeAbstractUI.aspx?menuIndex=3&amp;refID=7018047&amp;Result=3","7018047")</f>
        <v>0</v>
      </c>
      <c r="B12147" t="s">
        <v>521</v>
      </c>
      <c r="C12147" t="s">
        <v>14715</v>
      </c>
      <c r="D12147" t="s">
        <v>16254</v>
      </c>
      <c r="E12147" t="s">
        <v>26806</v>
      </c>
      <c r="F12147" t="s">
        <v>28198</v>
      </c>
      <c r="G12147" t="s">
        <v>28205</v>
      </c>
      <c r="H12147" t="s">
        <v>28215</v>
      </c>
      <c r="I12147" t="s">
        <v>5100</v>
      </c>
      <c r="J12147" t="s">
        <v>35794</v>
      </c>
      <c r="K12147" t="s">
        <v>36706</v>
      </c>
      <c r="M12147" t="s">
        <v>37506</v>
      </c>
      <c r="N12147" t="s">
        <v>40436</v>
      </c>
      <c r="O12147" t="s">
        <v>40437</v>
      </c>
      <c r="P12147">
        <v>0</v>
      </c>
      <c r="Q12147">
        <v>1</v>
      </c>
      <c r="R12147" t="s">
        <v>40454</v>
      </c>
      <c r="S12147" t="s">
        <v>41306</v>
      </c>
      <c r="T12147" t="s">
        <v>42124</v>
      </c>
      <c r="U12147" t="s">
        <v>52594</v>
      </c>
      <c r="V12147" t="s">
        <v>54319</v>
      </c>
      <c r="W12147" t="s">
        <v>37506</v>
      </c>
      <c r="X12147" t="s">
        <v>40457</v>
      </c>
    </row>
    <row r="12148" spans="1:24">
      <c r="A12148">
        <f>HYPERLINK("https://www.philgeps.gov.ph/GEPSNONPILOT/Tender/SplashBidNoticeAbstractUI.aspx?menuIndex=3&amp;refID=7018071&amp;Result=3","7018071")</f>
        <v>0</v>
      </c>
      <c r="B12148" t="s">
        <v>595</v>
      </c>
      <c r="C12148" t="s">
        <v>14716</v>
      </c>
      <c r="D12148" t="s">
        <v>16291</v>
      </c>
      <c r="E12148" t="s">
        <v>26807</v>
      </c>
      <c r="F12148" t="s">
        <v>28198</v>
      </c>
      <c r="G12148" t="s">
        <v>28205</v>
      </c>
      <c r="H12148" t="s">
        <v>28215</v>
      </c>
      <c r="I12148" t="s">
        <v>28249</v>
      </c>
      <c r="J12148" t="s">
        <v>35795</v>
      </c>
      <c r="K12148" t="s">
        <v>36701</v>
      </c>
      <c r="M12148" t="s">
        <v>37713</v>
      </c>
      <c r="N12148" t="s">
        <v>40436</v>
      </c>
      <c r="O12148" t="s">
        <v>40437</v>
      </c>
      <c r="Q12148">
        <v>1</v>
      </c>
      <c r="R12148" t="s">
        <v>40454</v>
      </c>
      <c r="S12148" t="s">
        <v>41317</v>
      </c>
      <c r="T12148" t="s">
        <v>42160</v>
      </c>
      <c r="U12148" t="s">
        <v>52595</v>
      </c>
      <c r="W12148" t="s">
        <v>37713</v>
      </c>
      <c r="X12148" t="s">
        <v>40457</v>
      </c>
    </row>
    <row r="12149" spans="1:24">
      <c r="A12149">
        <f>HYPERLINK("https://www.philgeps.gov.ph/GEPSNONPILOT/Tender/SplashBidNoticeAbstractUI.aspx?menuIndex=3&amp;refID=7017939&amp;Result=3","7017939")</f>
        <v>0</v>
      </c>
      <c r="B12149" t="s">
        <v>595</v>
      </c>
      <c r="C12149" t="s">
        <v>14717</v>
      </c>
      <c r="D12149" t="s">
        <v>16269</v>
      </c>
      <c r="E12149" t="s">
        <v>26808</v>
      </c>
      <c r="F12149" t="s">
        <v>28198</v>
      </c>
      <c r="G12149" t="s">
        <v>28205</v>
      </c>
      <c r="H12149" t="s">
        <v>28215</v>
      </c>
      <c r="I12149" t="s">
        <v>28243</v>
      </c>
      <c r="J12149" t="s">
        <v>35796</v>
      </c>
      <c r="K12149" t="s">
        <v>36715</v>
      </c>
      <c r="M12149" t="s">
        <v>37713</v>
      </c>
      <c r="N12149" t="s">
        <v>40436</v>
      </c>
      <c r="O12149" t="s">
        <v>40437</v>
      </c>
      <c r="Q12149">
        <v>5</v>
      </c>
      <c r="R12149" t="s">
        <v>40454</v>
      </c>
      <c r="S12149" t="s">
        <v>41318</v>
      </c>
      <c r="T12149" t="s">
        <v>42160</v>
      </c>
      <c r="U12149" t="s">
        <v>52596</v>
      </c>
      <c r="W12149" t="s">
        <v>37713</v>
      </c>
      <c r="X12149" t="s">
        <v>40457</v>
      </c>
    </row>
    <row r="12150" spans="1:24">
      <c r="A12150">
        <f>HYPERLINK("https://www.philgeps.gov.ph/GEPSNONPILOT/Tender/SplashBidNoticeAbstractUI.aspx?menuIndex=3&amp;refID=7018067&amp;Result=3","7018067")</f>
        <v>0</v>
      </c>
      <c r="B12150" t="s">
        <v>772</v>
      </c>
      <c r="C12150" t="s">
        <v>14718</v>
      </c>
      <c r="D12150" t="s">
        <v>16238</v>
      </c>
      <c r="E12150" t="s">
        <v>26809</v>
      </c>
      <c r="F12150" t="s">
        <v>28198</v>
      </c>
      <c r="G12150" t="s">
        <v>28205</v>
      </c>
      <c r="H12150" t="s">
        <v>28215</v>
      </c>
      <c r="I12150" t="s">
        <v>5656</v>
      </c>
      <c r="J12150" t="s">
        <v>35797</v>
      </c>
      <c r="K12150" t="s">
        <v>36707</v>
      </c>
      <c r="M12150" t="s">
        <v>37775</v>
      </c>
      <c r="N12150" t="s">
        <v>40436</v>
      </c>
      <c r="O12150" t="s">
        <v>40437</v>
      </c>
      <c r="P12150">
        <v>0</v>
      </c>
      <c r="Q12150">
        <v>6</v>
      </c>
      <c r="R12150" t="s">
        <v>40454</v>
      </c>
      <c r="S12150" t="s">
        <v>41306</v>
      </c>
      <c r="T12150" t="s">
        <v>42203</v>
      </c>
      <c r="U12150" t="s">
        <v>52597</v>
      </c>
      <c r="V12150" t="s">
        <v>54580</v>
      </c>
      <c r="W12150" t="s">
        <v>37775</v>
      </c>
      <c r="X12150" t="s">
        <v>40457</v>
      </c>
    </row>
    <row r="12151" spans="1:24">
      <c r="A12151">
        <f>HYPERLINK("https://www.philgeps.gov.ph/GEPSNONPILOT/Tender/SplashBidNoticeAbstractUI.aspx?menuIndex=3&amp;refID=7017912&amp;Result=3","7017912")</f>
        <v>0</v>
      </c>
      <c r="B12151" t="s">
        <v>2964</v>
      </c>
      <c r="C12151" t="s">
        <v>14719</v>
      </c>
      <c r="D12151" t="s">
        <v>16236</v>
      </c>
      <c r="E12151" t="s">
        <v>26810</v>
      </c>
      <c r="F12151" t="s">
        <v>28199</v>
      </c>
      <c r="G12151" t="s">
        <v>28205</v>
      </c>
      <c r="H12151" t="s">
        <v>28215</v>
      </c>
      <c r="I12151" t="s">
        <v>28234</v>
      </c>
      <c r="J12151" t="s">
        <v>35798</v>
      </c>
      <c r="K12151" t="s">
        <v>36687</v>
      </c>
      <c r="M12151" t="s">
        <v>40252</v>
      </c>
      <c r="N12151" t="s">
        <v>40436</v>
      </c>
      <c r="O12151" t="s">
        <v>40437</v>
      </c>
      <c r="P12151">
        <v>0</v>
      </c>
      <c r="Q12151">
        <v>6</v>
      </c>
      <c r="R12151" t="s">
        <v>40454</v>
      </c>
      <c r="S12151" t="s">
        <v>41306</v>
      </c>
      <c r="T12151" t="s">
        <v>42167</v>
      </c>
      <c r="U12151" t="s">
        <v>52598</v>
      </c>
      <c r="W12151" t="s">
        <v>40252</v>
      </c>
      <c r="X12151" t="s">
        <v>40457</v>
      </c>
    </row>
    <row r="12152" spans="1:24">
      <c r="A12152">
        <f>HYPERLINK("https://www.philgeps.gov.ph/GEPSNONPILOT/Tender/SplashBidNoticeAbstractUI.aspx?menuIndex=3&amp;refID=7018037&amp;Result=3","7018037")</f>
        <v>0</v>
      </c>
      <c r="B12152" t="s">
        <v>2965</v>
      </c>
      <c r="C12152" t="s">
        <v>14720</v>
      </c>
      <c r="D12152" t="s">
        <v>16190</v>
      </c>
      <c r="E12152" t="s">
        <v>26811</v>
      </c>
      <c r="F12152" t="s">
        <v>28198</v>
      </c>
      <c r="G12152" t="s">
        <v>28205</v>
      </c>
      <c r="H12152" t="s">
        <v>28214</v>
      </c>
      <c r="I12152" t="s">
        <v>3797</v>
      </c>
      <c r="J12152" t="s">
        <v>28347</v>
      </c>
      <c r="K12152" t="s">
        <v>36689</v>
      </c>
      <c r="M12152" t="s">
        <v>40253</v>
      </c>
      <c r="N12152" t="s">
        <v>40436</v>
      </c>
      <c r="O12152" t="s">
        <v>40437</v>
      </c>
      <c r="P12152">
        <v>0</v>
      </c>
      <c r="Q12152">
        <v>8</v>
      </c>
      <c r="R12152" t="s">
        <v>40454</v>
      </c>
      <c r="S12152" t="s">
        <v>41306</v>
      </c>
      <c r="T12152" t="s">
        <v>42134</v>
      </c>
      <c r="U12152" t="s">
        <v>52599</v>
      </c>
      <c r="V12152" t="s">
        <v>43656</v>
      </c>
      <c r="W12152" t="s">
        <v>40253</v>
      </c>
      <c r="X12152" t="s">
        <v>40457</v>
      </c>
    </row>
    <row r="12153" spans="1:24">
      <c r="A12153">
        <f>HYPERLINK("https://www.philgeps.gov.ph/GEPSNONPILOT/Tender/SplashBidNoticeAbstractUI.aspx?menuIndex=3&amp;refID=7018172&amp;Result=3","7018172")</f>
        <v>0</v>
      </c>
      <c r="B12153" t="s">
        <v>1912</v>
      </c>
      <c r="C12153" t="s">
        <v>14721</v>
      </c>
      <c r="D12153" t="s">
        <v>16260</v>
      </c>
      <c r="E12153" t="s">
        <v>26812</v>
      </c>
      <c r="F12153" t="s">
        <v>28198</v>
      </c>
      <c r="G12153" t="s">
        <v>28205</v>
      </c>
      <c r="H12153" t="s">
        <v>28215</v>
      </c>
      <c r="I12153" t="s">
        <v>28222</v>
      </c>
      <c r="J12153" t="s">
        <v>28351</v>
      </c>
      <c r="K12153" t="s">
        <v>36707</v>
      </c>
      <c r="M12153" t="s">
        <v>39044</v>
      </c>
      <c r="N12153" t="s">
        <v>40436</v>
      </c>
      <c r="O12153" t="s">
        <v>40437</v>
      </c>
      <c r="Q12153">
        <v>4</v>
      </c>
      <c r="R12153" t="s">
        <v>40454</v>
      </c>
      <c r="S12153" t="s">
        <v>41319</v>
      </c>
      <c r="T12153" t="s">
        <v>42119</v>
      </c>
      <c r="U12153" t="s">
        <v>52600</v>
      </c>
      <c r="V12153" t="s">
        <v>55173</v>
      </c>
      <c r="W12153" t="s">
        <v>39044</v>
      </c>
      <c r="X12153" t="s">
        <v>40457</v>
      </c>
    </row>
    <row r="12154" spans="1:24">
      <c r="A12154">
        <f>HYPERLINK("https://www.philgeps.gov.ph/GEPSNONPILOT/Tender/SplashBidNoticeAbstractUI.aspx?menuIndex=3&amp;refID=7017402&amp;Result=3","7017402")</f>
        <v>0</v>
      </c>
      <c r="B12154" t="s">
        <v>2959</v>
      </c>
      <c r="C12154" t="s">
        <v>14722</v>
      </c>
      <c r="D12154" t="s">
        <v>16195</v>
      </c>
      <c r="E12154" t="s">
        <v>26813</v>
      </c>
      <c r="F12154" t="s">
        <v>28198</v>
      </c>
      <c r="G12154" t="s">
        <v>28205</v>
      </c>
      <c r="H12154" t="s">
        <v>28214</v>
      </c>
      <c r="I12154" t="s">
        <v>28277</v>
      </c>
      <c r="J12154" t="s">
        <v>35799</v>
      </c>
      <c r="K12154" t="s">
        <v>36692</v>
      </c>
      <c r="M12154" t="s">
        <v>40247</v>
      </c>
      <c r="N12154" t="s">
        <v>40436</v>
      </c>
      <c r="O12154" t="s">
        <v>40437</v>
      </c>
      <c r="P12154">
        <v>0</v>
      </c>
      <c r="Q12154">
        <v>2</v>
      </c>
      <c r="R12154" t="s">
        <v>40454</v>
      </c>
      <c r="S12154" t="s">
        <v>41306</v>
      </c>
      <c r="T12154" t="s">
        <v>42200</v>
      </c>
      <c r="U12154" t="s">
        <v>52601</v>
      </c>
      <c r="V12154" t="s">
        <v>55167</v>
      </c>
      <c r="W12154" t="s">
        <v>40247</v>
      </c>
      <c r="X12154" t="s">
        <v>40457</v>
      </c>
    </row>
    <row r="12155" spans="1:24">
      <c r="A12155">
        <f>HYPERLINK("https://www.philgeps.gov.ph/GEPSNONPILOT/Tender/SplashBidNoticeAbstractUI.aspx?menuIndex=3&amp;refID=7018174&amp;Result=3","7018174")</f>
        <v>0</v>
      </c>
      <c r="B12155" t="s">
        <v>2957</v>
      </c>
      <c r="C12155" t="s">
        <v>14723</v>
      </c>
      <c r="D12155" t="s">
        <v>16238</v>
      </c>
      <c r="E12155" t="s">
        <v>26814</v>
      </c>
      <c r="F12155" t="s">
        <v>28198</v>
      </c>
      <c r="G12155" t="s">
        <v>28205</v>
      </c>
      <c r="H12155" t="s">
        <v>28215</v>
      </c>
      <c r="I12155" t="s">
        <v>5100</v>
      </c>
      <c r="J12155" t="s">
        <v>35800</v>
      </c>
      <c r="K12155" t="s">
        <v>36707</v>
      </c>
      <c r="M12155" t="s">
        <v>40245</v>
      </c>
      <c r="N12155" t="s">
        <v>40436</v>
      </c>
      <c r="O12155" t="s">
        <v>40437</v>
      </c>
      <c r="P12155">
        <v>0</v>
      </c>
      <c r="Q12155">
        <v>1</v>
      </c>
      <c r="R12155" t="s">
        <v>40454</v>
      </c>
      <c r="S12155" t="s">
        <v>41306</v>
      </c>
      <c r="T12155" t="s">
        <v>42119</v>
      </c>
      <c r="U12155" t="s">
        <v>52602</v>
      </c>
      <c r="V12155" t="s">
        <v>55166</v>
      </c>
      <c r="W12155" t="s">
        <v>40245</v>
      </c>
      <c r="X12155" t="s">
        <v>40457</v>
      </c>
    </row>
    <row r="12156" spans="1:24">
      <c r="A12156">
        <f>HYPERLINK("https://www.philgeps.gov.ph/GEPSNONPILOT/Tender/SplashBidNoticeAbstractUI.aspx?menuIndex=3&amp;refID=7018154&amp;Result=3","7018154")</f>
        <v>0</v>
      </c>
      <c r="B12156" t="s">
        <v>91</v>
      </c>
      <c r="C12156" t="s">
        <v>14724</v>
      </c>
      <c r="D12156" t="s">
        <v>16192</v>
      </c>
      <c r="E12156" t="s">
        <v>26815</v>
      </c>
      <c r="F12156" t="s">
        <v>28198</v>
      </c>
      <c r="G12156" t="s">
        <v>28205</v>
      </c>
      <c r="H12156" t="s">
        <v>28214</v>
      </c>
      <c r="I12156" t="s">
        <v>3797</v>
      </c>
      <c r="J12156" t="s">
        <v>28347</v>
      </c>
      <c r="K12156" t="s">
        <v>36692</v>
      </c>
      <c r="M12156" t="s">
        <v>37063</v>
      </c>
      <c r="N12156" t="s">
        <v>40436</v>
      </c>
      <c r="O12156" t="s">
        <v>40437</v>
      </c>
      <c r="P12156">
        <v>0</v>
      </c>
      <c r="Q12156">
        <v>8</v>
      </c>
      <c r="R12156" t="s">
        <v>40454</v>
      </c>
      <c r="S12156" t="s">
        <v>41306</v>
      </c>
      <c r="T12156" t="s">
        <v>42103</v>
      </c>
      <c r="U12156" t="s">
        <v>52603</v>
      </c>
      <c r="V12156" t="s">
        <v>53794</v>
      </c>
      <c r="W12156" t="s">
        <v>37063</v>
      </c>
      <c r="X12156" t="s">
        <v>40457</v>
      </c>
    </row>
    <row r="12157" spans="1:24">
      <c r="A12157">
        <f>HYPERLINK("https://www.philgeps.gov.ph/GEPSNONPILOT/Tender/SplashBidNoticeAbstractUI.aspx?menuIndex=3&amp;refID=7018126&amp;Result=3","7018126")</f>
        <v>0</v>
      </c>
      <c r="B12157" t="s">
        <v>91</v>
      </c>
      <c r="C12157" t="s">
        <v>14725</v>
      </c>
      <c r="D12157" t="s">
        <v>16192</v>
      </c>
      <c r="E12157" t="s">
        <v>26816</v>
      </c>
      <c r="F12157" t="s">
        <v>28198</v>
      </c>
      <c r="G12157" t="s">
        <v>28205</v>
      </c>
      <c r="H12157" t="s">
        <v>28214</v>
      </c>
      <c r="I12157" t="s">
        <v>3797</v>
      </c>
      <c r="J12157" t="s">
        <v>31508</v>
      </c>
      <c r="K12157" t="s">
        <v>36694</v>
      </c>
      <c r="M12157" t="s">
        <v>37063</v>
      </c>
      <c r="N12157" t="s">
        <v>40436</v>
      </c>
      <c r="O12157" t="s">
        <v>40437</v>
      </c>
      <c r="P12157">
        <v>0</v>
      </c>
      <c r="Q12157">
        <v>4</v>
      </c>
      <c r="R12157" t="s">
        <v>40454</v>
      </c>
      <c r="S12157" t="s">
        <v>41306</v>
      </c>
      <c r="T12157" t="s">
        <v>42103</v>
      </c>
      <c r="U12157" t="s">
        <v>52604</v>
      </c>
      <c r="V12157" t="s">
        <v>53794</v>
      </c>
      <c r="W12157" t="s">
        <v>37063</v>
      </c>
      <c r="X12157" t="s">
        <v>40457</v>
      </c>
    </row>
    <row r="12158" spans="1:24">
      <c r="A12158">
        <f>HYPERLINK("https://www.philgeps.gov.ph/GEPSNONPILOT/Tender/SplashBidNoticeAbstractUI.aspx?menuIndex=3&amp;refID=7018152&amp;Result=3","7018152")</f>
        <v>0</v>
      </c>
      <c r="B12158" t="s">
        <v>1225</v>
      </c>
      <c r="C12158" t="s">
        <v>14726</v>
      </c>
      <c r="D12158" t="s">
        <v>16236</v>
      </c>
      <c r="E12158" t="s">
        <v>26817</v>
      </c>
      <c r="F12158" t="s">
        <v>28198</v>
      </c>
      <c r="G12158" t="s">
        <v>28205</v>
      </c>
      <c r="H12158" t="s">
        <v>28214</v>
      </c>
      <c r="I12158" t="s">
        <v>3797</v>
      </c>
      <c r="J12158" t="s">
        <v>28395</v>
      </c>
      <c r="K12158" t="s">
        <v>36692</v>
      </c>
      <c r="M12158" t="s">
        <v>38273</v>
      </c>
      <c r="N12158" t="s">
        <v>40436</v>
      </c>
      <c r="O12158" t="s">
        <v>40437</v>
      </c>
      <c r="P12158">
        <v>0</v>
      </c>
      <c r="Q12158">
        <v>0</v>
      </c>
      <c r="R12158" t="s">
        <v>40454</v>
      </c>
      <c r="S12158" t="s">
        <v>41306</v>
      </c>
      <c r="T12158" t="s">
        <v>42129</v>
      </c>
      <c r="U12158" t="s">
        <v>52605</v>
      </c>
      <c r="V12158" t="s">
        <v>54111</v>
      </c>
      <c r="W12158" t="s">
        <v>38273</v>
      </c>
      <c r="X12158" t="s">
        <v>40457</v>
      </c>
    </row>
    <row r="12159" spans="1:24">
      <c r="A12159">
        <f>HYPERLINK("https://www.philgeps.gov.ph/GEPSNONPILOT/Tender/SplashBidNoticeAbstractUI.aspx?menuIndex=3&amp;refID=7018075&amp;Result=3","7018075")</f>
        <v>0</v>
      </c>
      <c r="B12159" t="s">
        <v>121</v>
      </c>
      <c r="C12159" t="s">
        <v>14727</v>
      </c>
      <c r="D12159" t="s">
        <v>16207</v>
      </c>
      <c r="E12159" t="s">
        <v>26818</v>
      </c>
      <c r="F12159" t="s">
        <v>28198</v>
      </c>
      <c r="G12159" t="s">
        <v>28205</v>
      </c>
      <c r="H12159" t="s">
        <v>28215</v>
      </c>
      <c r="I12159" t="s">
        <v>8888</v>
      </c>
      <c r="J12159" t="s">
        <v>35801</v>
      </c>
      <c r="K12159" t="s">
        <v>36706</v>
      </c>
      <c r="M12159" t="s">
        <v>37095</v>
      </c>
      <c r="N12159" t="s">
        <v>40436</v>
      </c>
      <c r="O12159" t="s">
        <v>40437</v>
      </c>
      <c r="P12159">
        <v>0</v>
      </c>
      <c r="Q12159">
        <v>6</v>
      </c>
      <c r="R12159" t="s">
        <v>40454</v>
      </c>
      <c r="S12159" t="s">
        <v>41306</v>
      </c>
      <c r="T12159" t="s">
        <v>42133</v>
      </c>
      <c r="U12159" t="s">
        <v>52606</v>
      </c>
      <c r="W12159" t="s">
        <v>37095</v>
      </c>
      <c r="X12159" t="s">
        <v>40457</v>
      </c>
    </row>
    <row r="12160" spans="1:24">
      <c r="A12160">
        <f>HYPERLINK("https://www.philgeps.gov.ph/GEPSNONPILOT/Tender/SplashBidNoticeAbstractUI.aspx?menuIndex=3&amp;refID=7018022&amp;Result=3","7018022")</f>
        <v>0</v>
      </c>
      <c r="B12160" t="s">
        <v>772</v>
      </c>
      <c r="C12160" t="s">
        <v>14728</v>
      </c>
      <c r="D12160" t="s">
        <v>16238</v>
      </c>
      <c r="E12160" t="s">
        <v>26819</v>
      </c>
      <c r="F12160" t="s">
        <v>28198</v>
      </c>
      <c r="G12160" t="s">
        <v>28205</v>
      </c>
      <c r="H12160" t="s">
        <v>28215</v>
      </c>
      <c r="I12160" t="s">
        <v>28239</v>
      </c>
      <c r="J12160" t="s">
        <v>35802</v>
      </c>
      <c r="K12160" t="s">
        <v>36715</v>
      </c>
      <c r="M12160" t="s">
        <v>37775</v>
      </c>
      <c r="N12160" t="s">
        <v>40436</v>
      </c>
      <c r="O12160" t="s">
        <v>40437</v>
      </c>
      <c r="P12160">
        <v>0</v>
      </c>
      <c r="Q12160">
        <v>6</v>
      </c>
      <c r="R12160" t="s">
        <v>40454</v>
      </c>
      <c r="S12160" t="s">
        <v>41306</v>
      </c>
      <c r="T12160" t="s">
        <v>42203</v>
      </c>
      <c r="U12160" t="s">
        <v>52607</v>
      </c>
      <c r="V12160" t="s">
        <v>54580</v>
      </c>
      <c r="W12160" t="s">
        <v>37775</v>
      </c>
      <c r="X12160" t="s">
        <v>40457</v>
      </c>
    </row>
    <row r="12161" spans="1:24">
      <c r="A12161">
        <f>HYPERLINK("https://www.philgeps.gov.ph/GEPSNONPILOT/Tender/SplashBidNoticeAbstractUI.aspx?menuIndex=3&amp;refID=7018170&amp;Result=3","7018170")</f>
        <v>0</v>
      </c>
      <c r="B12161" t="s">
        <v>91</v>
      </c>
      <c r="C12161" t="s">
        <v>14729</v>
      </c>
      <c r="D12161" t="s">
        <v>16192</v>
      </c>
      <c r="E12161" t="s">
        <v>26820</v>
      </c>
      <c r="F12161" t="s">
        <v>28198</v>
      </c>
      <c r="G12161" t="s">
        <v>28205</v>
      </c>
      <c r="H12161" t="s">
        <v>28214</v>
      </c>
      <c r="I12161" t="s">
        <v>3797</v>
      </c>
      <c r="J12161" t="s">
        <v>28351</v>
      </c>
      <c r="K12161" t="s">
        <v>36697</v>
      </c>
      <c r="M12161" t="s">
        <v>37063</v>
      </c>
      <c r="N12161" t="s">
        <v>40436</v>
      </c>
      <c r="O12161" t="s">
        <v>40437</v>
      </c>
      <c r="Q12161">
        <v>5</v>
      </c>
      <c r="R12161" t="s">
        <v>40454</v>
      </c>
      <c r="S12161" t="s">
        <v>41320</v>
      </c>
      <c r="T12161" t="s">
        <v>42103</v>
      </c>
      <c r="U12161" t="s">
        <v>52608</v>
      </c>
      <c r="V12161" t="s">
        <v>53794</v>
      </c>
      <c r="W12161" t="s">
        <v>37063</v>
      </c>
      <c r="X12161" t="s">
        <v>40457</v>
      </c>
    </row>
    <row r="12162" spans="1:24">
      <c r="A12162">
        <f>HYPERLINK("https://www.philgeps.gov.ph/GEPSNONPILOT/Tender/SplashBidNoticeAbstractUI.aspx?menuIndex=3&amp;refID=7018361&amp;Result=3","7018361")</f>
        <v>0</v>
      </c>
      <c r="B12162" t="s">
        <v>121</v>
      </c>
      <c r="C12162" t="s">
        <v>14730</v>
      </c>
      <c r="D12162" t="s">
        <v>16207</v>
      </c>
      <c r="E12162" t="s">
        <v>26821</v>
      </c>
      <c r="F12162" t="s">
        <v>28198</v>
      </c>
      <c r="G12162" t="s">
        <v>28205</v>
      </c>
      <c r="H12162" t="s">
        <v>28215</v>
      </c>
      <c r="I12162" t="s">
        <v>28247</v>
      </c>
      <c r="J12162" t="s">
        <v>35803</v>
      </c>
      <c r="K12162" t="s">
        <v>36706</v>
      </c>
      <c r="M12162" t="s">
        <v>37095</v>
      </c>
      <c r="N12162" t="s">
        <v>40436</v>
      </c>
      <c r="O12162" t="s">
        <v>40437</v>
      </c>
      <c r="P12162">
        <v>0</v>
      </c>
      <c r="Q12162">
        <v>14</v>
      </c>
      <c r="R12162" t="s">
        <v>40454</v>
      </c>
      <c r="S12162" t="s">
        <v>41306</v>
      </c>
      <c r="T12162" t="s">
        <v>42133</v>
      </c>
      <c r="U12162" t="s">
        <v>52609</v>
      </c>
      <c r="W12162" t="s">
        <v>37095</v>
      </c>
      <c r="X12162" t="s">
        <v>40457</v>
      </c>
    </row>
    <row r="12163" spans="1:24">
      <c r="A12163">
        <f>HYPERLINK("https://www.philgeps.gov.ph/GEPSNONPILOT/Tender/SplashBidNoticeAbstractUI.aspx?menuIndex=3&amp;refID=7018136&amp;Result=3","7018136")</f>
        <v>0</v>
      </c>
      <c r="B12163" t="s">
        <v>772</v>
      </c>
      <c r="C12163" t="s">
        <v>14731</v>
      </c>
      <c r="D12163" t="s">
        <v>16238</v>
      </c>
      <c r="E12163" t="s">
        <v>26822</v>
      </c>
      <c r="F12163" t="s">
        <v>28198</v>
      </c>
      <c r="G12163" t="s">
        <v>28205</v>
      </c>
      <c r="H12163" t="s">
        <v>28215</v>
      </c>
      <c r="I12163" t="s">
        <v>5100</v>
      </c>
      <c r="J12163" t="s">
        <v>35804</v>
      </c>
      <c r="K12163" t="s">
        <v>36715</v>
      </c>
      <c r="M12163" t="s">
        <v>37775</v>
      </c>
      <c r="N12163" t="s">
        <v>40436</v>
      </c>
      <c r="O12163" t="s">
        <v>40437</v>
      </c>
      <c r="P12163">
        <v>0</v>
      </c>
      <c r="Q12163">
        <v>1</v>
      </c>
      <c r="R12163" t="s">
        <v>40454</v>
      </c>
      <c r="S12163" t="s">
        <v>41306</v>
      </c>
      <c r="T12163" t="s">
        <v>42203</v>
      </c>
      <c r="U12163" t="s">
        <v>52610</v>
      </c>
      <c r="V12163" t="s">
        <v>54580</v>
      </c>
      <c r="W12163" t="s">
        <v>37775</v>
      </c>
      <c r="X12163" t="s">
        <v>40457</v>
      </c>
    </row>
    <row r="12164" spans="1:24">
      <c r="A12164">
        <f>HYPERLINK("https://www.philgeps.gov.ph/GEPSNONPILOT/Tender/SplashBidNoticeAbstractUI.aspx?menuIndex=3&amp;refID=7018160&amp;Result=3","7018160")</f>
        <v>0</v>
      </c>
      <c r="B12164" t="s">
        <v>91</v>
      </c>
      <c r="C12164" t="s">
        <v>14732</v>
      </c>
      <c r="D12164" t="s">
        <v>16192</v>
      </c>
      <c r="E12164" t="s">
        <v>26823</v>
      </c>
      <c r="F12164" t="s">
        <v>28198</v>
      </c>
      <c r="G12164" t="s">
        <v>28205</v>
      </c>
      <c r="H12164" t="s">
        <v>28214</v>
      </c>
      <c r="I12164" t="s">
        <v>3797</v>
      </c>
      <c r="J12164" t="s">
        <v>28379</v>
      </c>
      <c r="K12164" t="s">
        <v>36727</v>
      </c>
      <c r="M12164" t="s">
        <v>37063</v>
      </c>
      <c r="N12164" t="s">
        <v>40436</v>
      </c>
      <c r="O12164" t="s">
        <v>40437</v>
      </c>
      <c r="P12164">
        <v>0</v>
      </c>
      <c r="Q12164">
        <v>6</v>
      </c>
      <c r="R12164" t="s">
        <v>40454</v>
      </c>
      <c r="S12164" t="s">
        <v>41306</v>
      </c>
      <c r="T12164" t="s">
        <v>42103</v>
      </c>
      <c r="U12164" t="s">
        <v>52611</v>
      </c>
      <c r="V12164" t="s">
        <v>53794</v>
      </c>
      <c r="W12164" t="s">
        <v>37063</v>
      </c>
      <c r="X12164" t="s">
        <v>40457</v>
      </c>
    </row>
    <row r="12165" spans="1:24">
      <c r="A12165">
        <f>HYPERLINK("https://www.philgeps.gov.ph/GEPSNONPILOT/Tender/SplashBidNoticeAbstractUI.aspx?menuIndex=3&amp;refID=7018191&amp;Result=3","7018191")</f>
        <v>0</v>
      </c>
      <c r="B12165" t="s">
        <v>772</v>
      </c>
      <c r="C12165" t="s">
        <v>14733</v>
      </c>
      <c r="D12165" t="s">
        <v>16238</v>
      </c>
      <c r="E12165" t="s">
        <v>26824</v>
      </c>
      <c r="F12165" t="s">
        <v>28198</v>
      </c>
      <c r="G12165" t="s">
        <v>28205</v>
      </c>
      <c r="H12165" t="s">
        <v>28214</v>
      </c>
      <c r="I12165" t="s">
        <v>3797</v>
      </c>
      <c r="J12165" t="s">
        <v>35805</v>
      </c>
      <c r="K12165" t="s">
        <v>36851</v>
      </c>
      <c r="M12165" t="s">
        <v>37775</v>
      </c>
      <c r="N12165" t="s">
        <v>40436</v>
      </c>
      <c r="O12165" t="s">
        <v>40437</v>
      </c>
      <c r="P12165">
        <v>0</v>
      </c>
      <c r="Q12165">
        <v>0</v>
      </c>
      <c r="R12165" t="s">
        <v>40454</v>
      </c>
      <c r="S12165" t="s">
        <v>41306</v>
      </c>
      <c r="T12165" t="s">
        <v>42203</v>
      </c>
      <c r="U12165" t="s">
        <v>52612</v>
      </c>
      <c r="V12165" t="s">
        <v>54580</v>
      </c>
      <c r="W12165" t="s">
        <v>37775</v>
      </c>
      <c r="X12165" t="s">
        <v>40457</v>
      </c>
    </row>
    <row r="12166" spans="1:24">
      <c r="A12166">
        <f>HYPERLINK("https://www.philgeps.gov.ph/GEPSNONPILOT/Tender/SplashBidNoticeAbstractUI.aspx?menuIndex=3&amp;refID=7018318&amp;Result=3","7018318")</f>
        <v>0</v>
      </c>
      <c r="B12166" t="s">
        <v>121</v>
      </c>
      <c r="C12166" t="s">
        <v>14734</v>
      </c>
      <c r="D12166" t="s">
        <v>16207</v>
      </c>
      <c r="E12166" t="s">
        <v>26825</v>
      </c>
      <c r="F12166" t="s">
        <v>28198</v>
      </c>
      <c r="G12166" t="s">
        <v>28205</v>
      </c>
      <c r="H12166" t="s">
        <v>28215</v>
      </c>
      <c r="I12166" t="s">
        <v>8888</v>
      </c>
      <c r="J12166" t="s">
        <v>35806</v>
      </c>
      <c r="K12166" t="s">
        <v>36706</v>
      </c>
      <c r="M12166" t="s">
        <v>37095</v>
      </c>
      <c r="N12166" t="s">
        <v>40436</v>
      </c>
      <c r="O12166" t="s">
        <v>40437</v>
      </c>
      <c r="P12166">
        <v>0</v>
      </c>
      <c r="Q12166">
        <v>6</v>
      </c>
      <c r="R12166" t="s">
        <v>40454</v>
      </c>
      <c r="S12166" t="s">
        <v>41306</v>
      </c>
      <c r="T12166" t="s">
        <v>42133</v>
      </c>
      <c r="U12166" t="s">
        <v>52613</v>
      </c>
      <c r="W12166" t="s">
        <v>37095</v>
      </c>
      <c r="X12166" t="s">
        <v>40457</v>
      </c>
    </row>
    <row r="12167" spans="1:24">
      <c r="A12167">
        <f>HYPERLINK("https://www.philgeps.gov.ph/GEPSNONPILOT/Tender/SplashBidNoticeAbstractUI.aspx?menuIndex=3&amp;refID=7018332&amp;Result=3","7018332")</f>
        <v>0</v>
      </c>
      <c r="B12167" t="s">
        <v>735</v>
      </c>
      <c r="C12167" t="s">
        <v>14735</v>
      </c>
      <c r="D12167" t="s">
        <v>16227</v>
      </c>
      <c r="E12167" t="s">
        <v>26826</v>
      </c>
      <c r="F12167" t="s">
        <v>28198</v>
      </c>
      <c r="G12167" t="s">
        <v>28205</v>
      </c>
      <c r="H12167" t="s">
        <v>28214</v>
      </c>
      <c r="I12167" t="s">
        <v>3797</v>
      </c>
      <c r="J12167" t="s">
        <v>30373</v>
      </c>
      <c r="K12167" t="s">
        <v>36692</v>
      </c>
      <c r="M12167" t="s">
        <v>40254</v>
      </c>
      <c r="N12167" t="s">
        <v>40436</v>
      </c>
      <c r="O12167" t="s">
        <v>40437</v>
      </c>
      <c r="P12167">
        <v>0</v>
      </c>
      <c r="Q12167">
        <v>0</v>
      </c>
      <c r="R12167" t="s">
        <v>40454</v>
      </c>
      <c r="S12167" t="s">
        <v>41306</v>
      </c>
      <c r="T12167" t="s">
        <v>42176</v>
      </c>
      <c r="U12167" t="s">
        <v>52614</v>
      </c>
      <c r="W12167" t="s">
        <v>40254</v>
      </c>
      <c r="X12167" t="s">
        <v>40457</v>
      </c>
    </row>
    <row r="12168" spans="1:24">
      <c r="A12168">
        <f>HYPERLINK("https://www.philgeps.gov.ph/GEPSNONPILOT/Tender/SplashBidNoticeAbstractUI.aspx?menuIndex=3&amp;refID=7018299&amp;Result=3","7018299")</f>
        <v>0</v>
      </c>
      <c r="B12168" t="s">
        <v>121</v>
      </c>
      <c r="C12168" t="s">
        <v>14736</v>
      </c>
      <c r="D12168" t="s">
        <v>16207</v>
      </c>
      <c r="E12168" t="s">
        <v>26827</v>
      </c>
      <c r="F12168" t="s">
        <v>28198</v>
      </c>
      <c r="G12168" t="s">
        <v>28205</v>
      </c>
      <c r="H12168" t="s">
        <v>28215</v>
      </c>
      <c r="I12168" t="s">
        <v>28255</v>
      </c>
      <c r="J12168" t="s">
        <v>35807</v>
      </c>
      <c r="K12168" t="s">
        <v>36701</v>
      </c>
      <c r="M12168" t="s">
        <v>37095</v>
      </c>
      <c r="N12168" t="s">
        <v>40436</v>
      </c>
      <c r="O12168" t="s">
        <v>40437</v>
      </c>
      <c r="P12168">
        <v>0</v>
      </c>
      <c r="Q12168">
        <v>2</v>
      </c>
      <c r="R12168" t="s">
        <v>40454</v>
      </c>
      <c r="S12168" t="s">
        <v>41306</v>
      </c>
      <c r="T12168" t="s">
        <v>42133</v>
      </c>
      <c r="U12168" t="s">
        <v>52615</v>
      </c>
      <c r="W12168" t="s">
        <v>37095</v>
      </c>
      <c r="X12168" t="s">
        <v>40457</v>
      </c>
    </row>
    <row r="12169" spans="1:24">
      <c r="A12169">
        <f>HYPERLINK("https://www.philgeps.gov.ph/GEPSNONPILOT/Tender/SplashBidNoticeAbstractUI.aspx?menuIndex=3&amp;refID=7018507&amp;Result=3","7018507")</f>
        <v>0</v>
      </c>
      <c r="B12169" t="s">
        <v>2966</v>
      </c>
      <c r="C12169" t="s">
        <v>14737</v>
      </c>
      <c r="D12169" t="s">
        <v>16212</v>
      </c>
      <c r="E12169" t="s">
        <v>26828</v>
      </c>
      <c r="F12169" t="s">
        <v>28198</v>
      </c>
      <c r="G12169" t="s">
        <v>28205</v>
      </c>
      <c r="H12169" t="s">
        <v>28214</v>
      </c>
      <c r="I12169" t="s">
        <v>3797</v>
      </c>
      <c r="J12169" t="s">
        <v>35808</v>
      </c>
      <c r="K12169" t="s">
        <v>36697</v>
      </c>
      <c r="M12169" t="s">
        <v>40255</v>
      </c>
      <c r="N12169" t="s">
        <v>40436</v>
      </c>
      <c r="O12169" t="s">
        <v>40437</v>
      </c>
      <c r="P12169">
        <v>0</v>
      </c>
      <c r="Q12169">
        <v>2</v>
      </c>
      <c r="R12169" t="s">
        <v>40454</v>
      </c>
      <c r="S12169" t="s">
        <v>41306</v>
      </c>
      <c r="T12169" t="s">
        <v>42103</v>
      </c>
      <c r="U12169" t="s">
        <v>52616</v>
      </c>
      <c r="V12169" t="s">
        <v>55174</v>
      </c>
      <c r="W12169" t="s">
        <v>40255</v>
      </c>
      <c r="X12169" t="s">
        <v>40457</v>
      </c>
    </row>
    <row r="12170" spans="1:24">
      <c r="A12170">
        <f>HYPERLINK("https://www.philgeps.gov.ph/GEPSNONPILOT/Tender/SplashBidNoticeAbstractUI.aspx?menuIndex=3&amp;refID=7017967&amp;Result=3","7017967")</f>
        <v>0</v>
      </c>
      <c r="B12170" t="s">
        <v>766</v>
      </c>
      <c r="C12170" t="s">
        <v>14738</v>
      </c>
      <c r="D12170" t="s">
        <v>16219</v>
      </c>
      <c r="E12170" t="s">
        <v>26829</v>
      </c>
      <c r="F12170" t="s">
        <v>28198</v>
      </c>
      <c r="G12170" t="s">
        <v>28209</v>
      </c>
      <c r="H12170" t="s">
        <v>28215</v>
      </c>
      <c r="I12170" t="s">
        <v>28238</v>
      </c>
      <c r="J12170" t="s">
        <v>35809</v>
      </c>
      <c r="K12170" t="s">
        <v>36707</v>
      </c>
      <c r="M12170" t="s">
        <v>39412</v>
      </c>
      <c r="N12170" t="s">
        <v>40436</v>
      </c>
      <c r="O12170" t="s">
        <v>40437</v>
      </c>
      <c r="P12170">
        <v>0</v>
      </c>
      <c r="Q12170">
        <v>6</v>
      </c>
      <c r="R12170" t="s">
        <v>40454</v>
      </c>
      <c r="S12170" t="s">
        <v>41306</v>
      </c>
      <c r="T12170" t="s">
        <v>42152</v>
      </c>
      <c r="U12170" t="s">
        <v>52617</v>
      </c>
      <c r="W12170" t="s">
        <v>39412</v>
      </c>
      <c r="X12170" t="s">
        <v>40457</v>
      </c>
    </row>
    <row r="12171" spans="1:24">
      <c r="A12171">
        <f>HYPERLINK("https://www.philgeps.gov.ph/GEPSNONPILOT/Tender/SplashBidNoticeAbstractUI.aspx?menuIndex=3&amp;refID=7018378&amp;Result=3","7018378")</f>
        <v>0</v>
      </c>
      <c r="B12171" t="s">
        <v>121</v>
      </c>
      <c r="C12171" t="s">
        <v>14739</v>
      </c>
      <c r="D12171" t="s">
        <v>16207</v>
      </c>
      <c r="E12171" t="s">
        <v>26830</v>
      </c>
      <c r="F12171" t="s">
        <v>28198</v>
      </c>
      <c r="G12171" t="s">
        <v>28205</v>
      </c>
      <c r="H12171" t="s">
        <v>28215</v>
      </c>
      <c r="I12171" t="s">
        <v>4168</v>
      </c>
      <c r="J12171" t="s">
        <v>35810</v>
      </c>
      <c r="K12171" t="s">
        <v>36701</v>
      </c>
      <c r="M12171" t="s">
        <v>37095</v>
      </c>
      <c r="N12171" t="s">
        <v>40436</v>
      </c>
      <c r="O12171" t="s">
        <v>40437</v>
      </c>
      <c r="P12171">
        <v>0</v>
      </c>
      <c r="Q12171">
        <v>1</v>
      </c>
      <c r="R12171" t="s">
        <v>40454</v>
      </c>
      <c r="S12171" t="s">
        <v>41306</v>
      </c>
      <c r="T12171" t="s">
        <v>42133</v>
      </c>
      <c r="U12171" t="s">
        <v>52618</v>
      </c>
      <c r="W12171" t="s">
        <v>37095</v>
      </c>
      <c r="X12171" t="s">
        <v>40457</v>
      </c>
    </row>
    <row r="12172" spans="1:24">
      <c r="A12172">
        <f>HYPERLINK("https://www.philgeps.gov.ph/GEPSNONPILOT/Tender/SplashBidNoticeAbstractUI.aspx?menuIndex=3&amp;refID=7018364&amp;Result=3","7018364")</f>
        <v>0</v>
      </c>
      <c r="B12172" t="s">
        <v>735</v>
      </c>
      <c r="C12172" t="s">
        <v>14740</v>
      </c>
      <c r="D12172" t="s">
        <v>16227</v>
      </c>
      <c r="E12172" t="s">
        <v>26831</v>
      </c>
      <c r="F12172" t="s">
        <v>28198</v>
      </c>
      <c r="G12172" t="s">
        <v>28205</v>
      </c>
      <c r="H12172" t="s">
        <v>28215</v>
      </c>
      <c r="I12172" t="s">
        <v>28222</v>
      </c>
      <c r="J12172" t="s">
        <v>29643</v>
      </c>
      <c r="K12172" t="s">
        <v>36707</v>
      </c>
      <c r="M12172" t="s">
        <v>40254</v>
      </c>
      <c r="N12172" t="s">
        <v>40436</v>
      </c>
      <c r="O12172" t="s">
        <v>40437</v>
      </c>
      <c r="P12172">
        <v>0</v>
      </c>
      <c r="Q12172">
        <v>5</v>
      </c>
      <c r="R12172" t="s">
        <v>40454</v>
      </c>
      <c r="S12172" t="s">
        <v>41306</v>
      </c>
      <c r="T12172" t="s">
        <v>42176</v>
      </c>
      <c r="U12172" t="s">
        <v>52619</v>
      </c>
      <c r="W12172" t="s">
        <v>40254</v>
      </c>
      <c r="X12172" t="s">
        <v>40457</v>
      </c>
    </row>
    <row r="12173" spans="1:24">
      <c r="A12173">
        <f>HYPERLINK("https://www.philgeps.gov.ph/GEPSNONPILOT/Tender/SplashBidNoticeAbstractUI.aspx?menuIndex=3&amp;refID=7018253&amp;Result=3","7018253")</f>
        <v>0</v>
      </c>
      <c r="B12173" t="s">
        <v>2957</v>
      </c>
      <c r="C12173" t="s">
        <v>14741</v>
      </c>
      <c r="D12173" t="s">
        <v>16238</v>
      </c>
      <c r="E12173" t="s">
        <v>26832</v>
      </c>
      <c r="F12173" t="s">
        <v>28198</v>
      </c>
      <c r="G12173" t="s">
        <v>28205</v>
      </c>
      <c r="H12173" t="s">
        <v>28215</v>
      </c>
      <c r="I12173" t="s">
        <v>5100</v>
      </c>
      <c r="J12173" t="s">
        <v>35811</v>
      </c>
      <c r="K12173" t="s">
        <v>36707</v>
      </c>
      <c r="M12173" t="s">
        <v>40245</v>
      </c>
      <c r="N12173" t="s">
        <v>40436</v>
      </c>
      <c r="O12173" t="s">
        <v>40437</v>
      </c>
      <c r="P12173">
        <v>0</v>
      </c>
      <c r="Q12173">
        <v>0</v>
      </c>
      <c r="R12173" t="s">
        <v>40454</v>
      </c>
      <c r="S12173" t="s">
        <v>41306</v>
      </c>
      <c r="T12173" t="s">
        <v>42119</v>
      </c>
      <c r="U12173" t="s">
        <v>52620</v>
      </c>
      <c r="V12173" t="s">
        <v>55166</v>
      </c>
      <c r="W12173" t="s">
        <v>40245</v>
      </c>
      <c r="X12173" t="s">
        <v>40457</v>
      </c>
    </row>
    <row r="12174" spans="1:24">
      <c r="A12174">
        <f>HYPERLINK("https://www.philgeps.gov.ph/GEPSNONPILOT/Tender/SplashBidNoticeAbstractUI.aspx?menuIndex=3&amp;refID=7018390&amp;Result=3","7018390")</f>
        <v>0</v>
      </c>
      <c r="B12174" t="s">
        <v>2967</v>
      </c>
      <c r="C12174" t="s">
        <v>14742</v>
      </c>
      <c r="D12174" t="s">
        <v>16202</v>
      </c>
      <c r="E12174" t="s">
        <v>26833</v>
      </c>
      <c r="F12174" t="s">
        <v>28198</v>
      </c>
      <c r="G12174" t="s">
        <v>28208</v>
      </c>
      <c r="H12174" t="s">
        <v>28215</v>
      </c>
      <c r="I12174" t="s">
        <v>5082</v>
      </c>
      <c r="J12174" t="s">
        <v>35812</v>
      </c>
      <c r="K12174" t="s">
        <v>36694</v>
      </c>
      <c r="M12174" t="s">
        <v>40256</v>
      </c>
      <c r="N12174" t="s">
        <v>40436</v>
      </c>
      <c r="O12174" t="s">
        <v>40437</v>
      </c>
      <c r="P12174">
        <v>0</v>
      </c>
      <c r="Q12174">
        <v>11</v>
      </c>
      <c r="R12174" t="s">
        <v>40454</v>
      </c>
      <c r="S12174" t="s">
        <v>41306</v>
      </c>
      <c r="T12174" t="s">
        <v>42589</v>
      </c>
      <c r="U12174" t="s">
        <v>52621</v>
      </c>
      <c r="V12174" t="s">
        <v>55175</v>
      </c>
      <c r="W12174" t="s">
        <v>55544</v>
      </c>
      <c r="X12174" t="s">
        <v>40457</v>
      </c>
    </row>
    <row r="12175" spans="1:24">
      <c r="A12175">
        <f>HYPERLINK("https://www.philgeps.gov.ph/GEPSNONPILOT/Tender/SplashBidNoticeAbstractUI.aspx?menuIndex=3&amp;refID=7018379&amp;Result=3","7018379")</f>
        <v>0</v>
      </c>
      <c r="B12175" t="s">
        <v>735</v>
      </c>
      <c r="C12175" t="s">
        <v>14743</v>
      </c>
      <c r="D12175" t="s">
        <v>16227</v>
      </c>
      <c r="E12175" t="s">
        <v>26834</v>
      </c>
      <c r="F12175" t="s">
        <v>28198</v>
      </c>
      <c r="G12175" t="s">
        <v>28205</v>
      </c>
      <c r="H12175" t="s">
        <v>28215</v>
      </c>
      <c r="I12175" t="s">
        <v>28222</v>
      </c>
      <c r="J12175" t="s">
        <v>35813</v>
      </c>
      <c r="K12175" t="s">
        <v>36707</v>
      </c>
      <c r="M12175" t="s">
        <v>40254</v>
      </c>
      <c r="N12175" t="s">
        <v>40436</v>
      </c>
      <c r="O12175" t="s">
        <v>40437</v>
      </c>
      <c r="P12175">
        <v>0</v>
      </c>
      <c r="Q12175">
        <v>5</v>
      </c>
      <c r="R12175" t="s">
        <v>40454</v>
      </c>
      <c r="S12175" t="s">
        <v>41306</v>
      </c>
      <c r="T12175" t="s">
        <v>42176</v>
      </c>
      <c r="U12175" t="s">
        <v>52622</v>
      </c>
      <c r="W12175" t="s">
        <v>40254</v>
      </c>
      <c r="X12175" t="s">
        <v>40457</v>
      </c>
    </row>
    <row r="12176" spans="1:24">
      <c r="A12176">
        <f>HYPERLINK("https://www.philgeps.gov.ph/GEPSNONPILOT/Tender/SplashBidNoticeAbstractUI.aspx?menuIndex=3&amp;refID=7018239&amp;Result=3","7018239")</f>
        <v>0</v>
      </c>
      <c r="B12176" t="s">
        <v>121</v>
      </c>
      <c r="C12176" t="s">
        <v>14744</v>
      </c>
      <c r="D12176" t="s">
        <v>16207</v>
      </c>
      <c r="E12176" t="s">
        <v>26835</v>
      </c>
      <c r="F12176" t="s">
        <v>28198</v>
      </c>
      <c r="G12176" t="s">
        <v>28205</v>
      </c>
      <c r="H12176" t="s">
        <v>28215</v>
      </c>
      <c r="I12176" t="s">
        <v>8888</v>
      </c>
      <c r="J12176" t="s">
        <v>35814</v>
      </c>
      <c r="K12176" t="s">
        <v>36706</v>
      </c>
      <c r="M12176" t="s">
        <v>37095</v>
      </c>
      <c r="N12176" t="s">
        <v>40436</v>
      </c>
      <c r="O12176" t="s">
        <v>40437</v>
      </c>
      <c r="P12176">
        <v>0</v>
      </c>
      <c r="Q12176">
        <v>5</v>
      </c>
      <c r="R12176" t="s">
        <v>40454</v>
      </c>
      <c r="S12176" t="s">
        <v>41306</v>
      </c>
      <c r="T12176" t="s">
        <v>42133</v>
      </c>
      <c r="U12176" t="s">
        <v>52623</v>
      </c>
      <c r="W12176" t="s">
        <v>37095</v>
      </c>
      <c r="X12176" t="s">
        <v>40457</v>
      </c>
    </row>
    <row r="12177" spans="1:24">
      <c r="A12177">
        <f>HYPERLINK("https://www.philgeps.gov.ph/GEPSNONPILOT/Tender/SplashBidNoticeAbstractUI.aspx?menuIndex=3&amp;refID=7018265&amp;Result=3","7018265")</f>
        <v>0</v>
      </c>
      <c r="B12177" t="s">
        <v>121</v>
      </c>
      <c r="C12177" t="s">
        <v>14745</v>
      </c>
      <c r="D12177" t="s">
        <v>16207</v>
      </c>
      <c r="E12177" t="s">
        <v>26836</v>
      </c>
      <c r="F12177" t="s">
        <v>28198</v>
      </c>
      <c r="G12177" t="s">
        <v>28205</v>
      </c>
      <c r="H12177" t="s">
        <v>28215</v>
      </c>
      <c r="I12177" t="s">
        <v>28228</v>
      </c>
      <c r="J12177" t="s">
        <v>35815</v>
      </c>
      <c r="K12177" t="s">
        <v>36706</v>
      </c>
      <c r="M12177" t="s">
        <v>37095</v>
      </c>
      <c r="N12177" t="s">
        <v>40436</v>
      </c>
      <c r="O12177" t="s">
        <v>40437</v>
      </c>
      <c r="P12177">
        <v>0</v>
      </c>
      <c r="Q12177">
        <v>1</v>
      </c>
      <c r="R12177" t="s">
        <v>40454</v>
      </c>
      <c r="S12177" t="s">
        <v>41306</v>
      </c>
      <c r="T12177" t="s">
        <v>42133</v>
      </c>
      <c r="U12177" t="s">
        <v>52624</v>
      </c>
      <c r="W12177" t="s">
        <v>37095</v>
      </c>
      <c r="X12177" t="s">
        <v>40457</v>
      </c>
    </row>
    <row r="12178" spans="1:24">
      <c r="A12178">
        <f>HYPERLINK("https://www.philgeps.gov.ph/GEPSNONPILOT/Tender/SplashBidNoticeAbstractUI.aspx?menuIndex=3&amp;refID=7018214&amp;Result=3","7018214")</f>
        <v>0</v>
      </c>
      <c r="B12178" t="s">
        <v>91</v>
      </c>
      <c r="C12178" t="s">
        <v>14746</v>
      </c>
      <c r="D12178" t="s">
        <v>16192</v>
      </c>
      <c r="E12178" t="s">
        <v>26837</v>
      </c>
      <c r="F12178" t="s">
        <v>28198</v>
      </c>
      <c r="G12178" t="s">
        <v>28205</v>
      </c>
      <c r="H12178" t="s">
        <v>28214</v>
      </c>
      <c r="I12178" t="s">
        <v>3797</v>
      </c>
      <c r="J12178" t="s">
        <v>35816</v>
      </c>
      <c r="K12178" t="s">
        <v>36694</v>
      </c>
      <c r="M12178" t="s">
        <v>37063</v>
      </c>
      <c r="N12178" t="s">
        <v>40436</v>
      </c>
      <c r="O12178" t="s">
        <v>40437</v>
      </c>
      <c r="Q12178">
        <v>6</v>
      </c>
      <c r="R12178" t="s">
        <v>40454</v>
      </c>
      <c r="S12178" t="s">
        <v>41321</v>
      </c>
      <c r="T12178" t="s">
        <v>42103</v>
      </c>
      <c r="U12178" t="s">
        <v>52625</v>
      </c>
      <c r="V12178" t="s">
        <v>53794</v>
      </c>
      <c r="W12178" t="s">
        <v>37063</v>
      </c>
      <c r="X12178" t="s">
        <v>40457</v>
      </c>
    </row>
    <row r="12179" spans="1:24">
      <c r="A12179">
        <f>HYPERLINK("https://www.philgeps.gov.ph/GEPSNONPILOT/Tender/SplashBidNoticeAbstractUI.aspx?menuIndex=3&amp;refID=7018205&amp;Result=3","7018205")</f>
        <v>0</v>
      </c>
      <c r="B12179" t="s">
        <v>121</v>
      </c>
      <c r="C12179" t="s">
        <v>14747</v>
      </c>
      <c r="D12179" t="s">
        <v>16207</v>
      </c>
      <c r="E12179" t="s">
        <v>26838</v>
      </c>
      <c r="F12179" t="s">
        <v>28198</v>
      </c>
      <c r="G12179" t="s">
        <v>28205</v>
      </c>
      <c r="H12179" t="s">
        <v>28215</v>
      </c>
      <c r="I12179" t="s">
        <v>5071</v>
      </c>
      <c r="J12179" t="s">
        <v>35817</v>
      </c>
      <c r="K12179" t="s">
        <v>36706</v>
      </c>
      <c r="M12179" t="s">
        <v>37095</v>
      </c>
      <c r="N12179" t="s">
        <v>40436</v>
      </c>
      <c r="O12179" t="s">
        <v>40437</v>
      </c>
      <c r="P12179">
        <v>0</v>
      </c>
      <c r="Q12179">
        <v>4</v>
      </c>
      <c r="R12179" t="s">
        <v>40454</v>
      </c>
      <c r="S12179" t="s">
        <v>41306</v>
      </c>
      <c r="T12179" t="s">
        <v>42133</v>
      </c>
      <c r="U12179" t="s">
        <v>52626</v>
      </c>
      <c r="W12179" t="s">
        <v>37095</v>
      </c>
      <c r="X12179" t="s">
        <v>40457</v>
      </c>
    </row>
    <row r="12180" spans="1:24">
      <c r="A12180">
        <f>HYPERLINK("https://www.philgeps.gov.ph/GEPSNONPILOT/Tender/SplashBidNoticeAbstractUI.aspx?menuIndex=3&amp;refID=7018393&amp;Result=3","7018393")</f>
        <v>0</v>
      </c>
      <c r="B12180" t="s">
        <v>735</v>
      </c>
      <c r="C12180" t="s">
        <v>14748</v>
      </c>
      <c r="D12180" t="s">
        <v>16227</v>
      </c>
      <c r="E12180" t="s">
        <v>26839</v>
      </c>
      <c r="F12180" t="s">
        <v>28198</v>
      </c>
      <c r="G12180" t="s">
        <v>28205</v>
      </c>
      <c r="H12180" t="s">
        <v>28215</v>
      </c>
      <c r="I12180" t="s">
        <v>28222</v>
      </c>
      <c r="J12180" t="s">
        <v>35381</v>
      </c>
      <c r="K12180" t="s">
        <v>36707</v>
      </c>
      <c r="M12180" t="s">
        <v>40254</v>
      </c>
      <c r="N12180" t="s">
        <v>40436</v>
      </c>
      <c r="O12180" t="s">
        <v>40437</v>
      </c>
      <c r="P12180">
        <v>0</v>
      </c>
      <c r="Q12180">
        <v>4</v>
      </c>
      <c r="R12180" t="s">
        <v>40454</v>
      </c>
      <c r="S12180" t="s">
        <v>41306</v>
      </c>
      <c r="T12180" t="s">
        <v>42176</v>
      </c>
      <c r="U12180" t="s">
        <v>52627</v>
      </c>
      <c r="W12180" t="s">
        <v>40254</v>
      </c>
      <c r="X12180" t="s">
        <v>40457</v>
      </c>
    </row>
    <row r="12181" spans="1:24">
      <c r="A12181">
        <f>HYPERLINK("https://www.philgeps.gov.ph/GEPSNONPILOT/Tender/SplashBidNoticeAbstractUI.aspx?menuIndex=3&amp;refID=7018746&amp;Result=3","7018746")</f>
        <v>0</v>
      </c>
      <c r="B12181" t="s">
        <v>2968</v>
      </c>
      <c r="C12181" t="s">
        <v>14749</v>
      </c>
      <c r="D12181" t="s">
        <v>16244</v>
      </c>
      <c r="E12181" t="s">
        <v>25035</v>
      </c>
      <c r="F12181" t="s">
        <v>28198</v>
      </c>
      <c r="G12181" t="s">
        <v>28205</v>
      </c>
      <c r="H12181" t="s">
        <v>28214</v>
      </c>
      <c r="I12181" t="s">
        <v>3797</v>
      </c>
      <c r="J12181" t="s">
        <v>35818</v>
      </c>
      <c r="K12181" t="s">
        <v>36851</v>
      </c>
      <c r="M12181" t="s">
        <v>40257</v>
      </c>
      <c r="N12181" t="s">
        <v>40436</v>
      </c>
      <c r="O12181" t="s">
        <v>40437</v>
      </c>
      <c r="P12181">
        <v>0</v>
      </c>
      <c r="Q12181">
        <v>0</v>
      </c>
      <c r="R12181" t="s">
        <v>40454</v>
      </c>
      <c r="S12181" t="s">
        <v>41306</v>
      </c>
      <c r="T12181" t="s">
        <v>42167</v>
      </c>
      <c r="U12181" t="s">
        <v>52628</v>
      </c>
      <c r="W12181" t="s">
        <v>40257</v>
      </c>
      <c r="X12181" t="s">
        <v>40456</v>
      </c>
    </row>
    <row r="12182" spans="1:24">
      <c r="A12182">
        <f>HYPERLINK("https://www.philgeps.gov.ph/GEPSNONPILOT/Tender/SplashBidNoticeAbstractUI.aspx?menuIndex=3&amp;refID=7018523&amp;Result=3","7018523")</f>
        <v>0</v>
      </c>
      <c r="B12182" t="s">
        <v>2966</v>
      </c>
      <c r="C12182" t="s">
        <v>14750</v>
      </c>
      <c r="D12182" t="s">
        <v>16212</v>
      </c>
      <c r="E12182" t="s">
        <v>26840</v>
      </c>
      <c r="F12182" t="s">
        <v>28198</v>
      </c>
      <c r="G12182" t="s">
        <v>28205</v>
      </c>
      <c r="H12182" t="s">
        <v>28215</v>
      </c>
      <c r="I12182" t="s">
        <v>3774</v>
      </c>
      <c r="J12182" t="s">
        <v>35819</v>
      </c>
      <c r="K12182" t="s">
        <v>36707</v>
      </c>
      <c r="M12182" t="s">
        <v>40255</v>
      </c>
      <c r="N12182" t="s">
        <v>40436</v>
      </c>
      <c r="O12182" t="s">
        <v>40437</v>
      </c>
      <c r="P12182">
        <v>0</v>
      </c>
      <c r="Q12182">
        <v>0</v>
      </c>
      <c r="R12182" t="s">
        <v>40454</v>
      </c>
      <c r="S12182" t="s">
        <v>41306</v>
      </c>
      <c r="T12182" t="s">
        <v>42103</v>
      </c>
      <c r="U12182" t="s">
        <v>52629</v>
      </c>
      <c r="V12182" t="s">
        <v>55176</v>
      </c>
      <c r="W12182" t="s">
        <v>40255</v>
      </c>
      <c r="X12182" t="s">
        <v>40457</v>
      </c>
    </row>
    <row r="12183" spans="1:24">
      <c r="A12183">
        <f>HYPERLINK("https://www.philgeps.gov.ph/GEPSNONPILOT/Tender/SplashBidNoticeAbstractUI.aspx?menuIndex=3&amp;refID=7018517&amp;Result=3","7018517")</f>
        <v>0</v>
      </c>
      <c r="B12183" t="s">
        <v>2966</v>
      </c>
      <c r="C12183" t="s">
        <v>14751</v>
      </c>
      <c r="D12183" t="s">
        <v>16212</v>
      </c>
      <c r="E12183" t="s">
        <v>26841</v>
      </c>
      <c r="F12183" t="s">
        <v>28198</v>
      </c>
      <c r="G12183" t="s">
        <v>28205</v>
      </c>
      <c r="H12183" t="s">
        <v>28215</v>
      </c>
      <c r="I12183" t="s">
        <v>5100</v>
      </c>
      <c r="J12183" t="s">
        <v>35820</v>
      </c>
      <c r="K12183" t="s">
        <v>36707</v>
      </c>
      <c r="M12183" t="s">
        <v>40255</v>
      </c>
      <c r="N12183" t="s">
        <v>40436</v>
      </c>
      <c r="O12183" t="s">
        <v>40437</v>
      </c>
      <c r="P12183">
        <v>0</v>
      </c>
      <c r="Q12183">
        <v>0</v>
      </c>
      <c r="R12183" t="s">
        <v>40454</v>
      </c>
      <c r="S12183" t="s">
        <v>41306</v>
      </c>
      <c r="T12183" t="s">
        <v>42103</v>
      </c>
      <c r="U12183" t="s">
        <v>52630</v>
      </c>
      <c r="V12183" t="s">
        <v>55176</v>
      </c>
      <c r="W12183" t="s">
        <v>40255</v>
      </c>
      <c r="X12183" t="s">
        <v>40457</v>
      </c>
    </row>
    <row r="12184" spans="1:24">
      <c r="A12184">
        <f>HYPERLINK("https://www.philgeps.gov.ph/GEPSNONPILOT/Tender/SplashBidNoticeAbstractUI.aspx?menuIndex=3&amp;refID=7018753&amp;Result=3","7018753")</f>
        <v>0</v>
      </c>
      <c r="B12184" t="s">
        <v>2507</v>
      </c>
      <c r="C12184" t="s">
        <v>14752</v>
      </c>
      <c r="D12184" t="s">
        <v>16227</v>
      </c>
      <c r="E12184" t="s">
        <v>26842</v>
      </c>
      <c r="F12184" t="s">
        <v>28198</v>
      </c>
      <c r="G12184" t="s">
        <v>28205</v>
      </c>
      <c r="H12184" t="s">
        <v>28214</v>
      </c>
      <c r="I12184" t="s">
        <v>3797</v>
      </c>
      <c r="J12184" t="s">
        <v>35821</v>
      </c>
      <c r="K12184" t="s">
        <v>36736</v>
      </c>
      <c r="M12184" t="s">
        <v>39709</v>
      </c>
      <c r="N12184" t="s">
        <v>40436</v>
      </c>
      <c r="O12184" t="s">
        <v>40437</v>
      </c>
      <c r="Q12184">
        <v>23</v>
      </c>
      <c r="R12184" t="s">
        <v>40454</v>
      </c>
      <c r="S12184" t="s">
        <v>41322</v>
      </c>
      <c r="T12184" t="s">
        <v>42133</v>
      </c>
      <c r="U12184" t="s">
        <v>52631</v>
      </c>
      <c r="V12184" t="s">
        <v>54704</v>
      </c>
      <c r="W12184" t="s">
        <v>39709</v>
      </c>
      <c r="X12184" t="s">
        <v>40456</v>
      </c>
    </row>
    <row r="12185" spans="1:24">
      <c r="A12185">
        <f>HYPERLINK("https://www.philgeps.gov.ph/GEPSNONPILOT/Tender/SplashBidNoticeAbstractUI.aspx?menuIndex=3&amp;refID=7018469&amp;Result=3","7018469")</f>
        <v>0</v>
      </c>
      <c r="B12185" t="s">
        <v>2969</v>
      </c>
      <c r="C12185" t="s">
        <v>14753</v>
      </c>
      <c r="D12185" t="s">
        <v>16221</v>
      </c>
      <c r="E12185" t="s">
        <v>17230</v>
      </c>
      <c r="F12185" t="s">
        <v>28198</v>
      </c>
      <c r="G12185" t="s">
        <v>28205</v>
      </c>
      <c r="H12185" t="s">
        <v>28215</v>
      </c>
      <c r="I12185" t="s">
        <v>4219</v>
      </c>
      <c r="J12185" t="s">
        <v>35822</v>
      </c>
      <c r="K12185" t="s">
        <v>36688</v>
      </c>
      <c r="M12185" t="s">
        <v>40258</v>
      </c>
      <c r="N12185" t="s">
        <v>40436</v>
      </c>
      <c r="O12185" t="s">
        <v>40437</v>
      </c>
      <c r="P12185">
        <v>0</v>
      </c>
      <c r="Q12185">
        <v>8</v>
      </c>
      <c r="R12185" t="s">
        <v>40454</v>
      </c>
      <c r="S12185" t="s">
        <v>41306</v>
      </c>
      <c r="T12185" t="s">
        <v>42103</v>
      </c>
      <c r="U12185" t="s">
        <v>52632</v>
      </c>
      <c r="W12185" t="s">
        <v>40258</v>
      </c>
      <c r="X12185" t="s">
        <v>40457</v>
      </c>
    </row>
    <row r="12186" spans="1:24">
      <c r="A12186">
        <f>HYPERLINK("https://www.philgeps.gov.ph/GEPSNONPILOT/Tender/SplashBidNoticeAbstractUI.aspx?menuIndex=3&amp;refID=7018750&amp;Result=3","7018750")</f>
        <v>0</v>
      </c>
      <c r="B12186" t="s">
        <v>2968</v>
      </c>
      <c r="C12186" t="s">
        <v>14754</v>
      </c>
      <c r="D12186" t="s">
        <v>16244</v>
      </c>
      <c r="E12186" t="s">
        <v>20556</v>
      </c>
      <c r="F12186" t="s">
        <v>28198</v>
      </c>
      <c r="G12186" t="s">
        <v>28205</v>
      </c>
      <c r="H12186" t="s">
        <v>28215</v>
      </c>
      <c r="I12186" t="s">
        <v>28236</v>
      </c>
      <c r="J12186" t="s">
        <v>35823</v>
      </c>
      <c r="K12186" t="s">
        <v>36707</v>
      </c>
      <c r="M12186" t="s">
        <v>40257</v>
      </c>
      <c r="N12186" t="s">
        <v>40436</v>
      </c>
      <c r="O12186" t="s">
        <v>40437</v>
      </c>
      <c r="P12186">
        <v>0</v>
      </c>
      <c r="Q12186">
        <v>10</v>
      </c>
      <c r="R12186" t="s">
        <v>40454</v>
      </c>
      <c r="S12186" t="s">
        <v>41306</v>
      </c>
      <c r="T12186" t="s">
        <v>42146</v>
      </c>
      <c r="U12186" t="s">
        <v>52633</v>
      </c>
      <c r="W12186" t="s">
        <v>40257</v>
      </c>
      <c r="X12186" t="s">
        <v>40456</v>
      </c>
    </row>
    <row r="12187" spans="1:24">
      <c r="A12187">
        <f>HYPERLINK("https://www.philgeps.gov.ph/GEPSNONPILOT/Tender/SplashBidNoticeAbstractUI.aspx?menuIndex=3&amp;refID=7018754&amp;Result=3","7018754")</f>
        <v>0</v>
      </c>
      <c r="B12187" t="s">
        <v>2507</v>
      </c>
      <c r="C12187" t="s">
        <v>14755</v>
      </c>
      <c r="D12187" t="s">
        <v>16227</v>
      </c>
      <c r="E12187" t="s">
        <v>26843</v>
      </c>
      <c r="F12187" t="s">
        <v>28198</v>
      </c>
      <c r="G12187" t="s">
        <v>28205</v>
      </c>
      <c r="H12187" t="s">
        <v>28214</v>
      </c>
      <c r="I12187" t="s">
        <v>3797</v>
      </c>
      <c r="J12187" t="s">
        <v>31508</v>
      </c>
      <c r="K12187" t="s">
        <v>36717</v>
      </c>
      <c r="M12187" t="s">
        <v>39709</v>
      </c>
      <c r="N12187" t="s">
        <v>40436</v>
      </c>
      <c r="O12187" t="s">
        <v>40437</v>
      </c>
      <c r="Q12187">
        <v>13</v>
      </c>
      <c r="R12187" t="s">
        <v>40454</v>
      </c>
      <c r="S12187" t="s">
        <v>41323</v>
      </c>
      <c r="T12187" t="s">
        <v>42133</v>
      </c>
      <c r="U12187" t="s">
        <v>52634</v>
      </c>
      <c r="V12187" t="s">
        <v>54704</v>
      </c>
      <c r="W12187" t="s">
        <v>39709</v>
      </c>
      <c r="X12187" t="s">
        <v>40456</v>
      </c>
    </row>
    <row r="12188" spans="1:24">
      <c r="A12188">
        <f>HYPERLINK("https://www.philgeps.gov.ph/GEPSNONPILOT/Tender/SplashBidNoticeAbstractUI.aspx?menuIndex=3&amp;refID=7018744&amp;Result=3","7018744")</f>
        <v>0</v>
      </c>
      <c r="B12188" t="s">
        <v>2968</v>
      </c>
      <c r="C12188" t="s">
        <v>14756</v>
      </c>
      <c r="D12188" t="s">
        <v>16244</v>
      </c>
      <c r="E12188" t="s">
        <v>22848</v>
      </c>
      <c r="F12188" t="s">
        <v>28198</v>
      </c>
      <c r="G12188" t="s">
        <v>28205</v>
      </c>
      <c r="H12188" t="s">
        <v>28214</v>
      </c>
      <c r="I12188" t="s">
        <v>3797</v>
      </c>
      <c r="J12188" t="s">
        <v>28363</v>
      </c>
      <c r="K12188" t="s">
        <v>36711</v>
      </c>
      <c r="M12188" t="s">
        <v>40257</v>
      </c>
      <c r="N12188" t="s">
        <v>40436</v>
      </c>
      <c r="O12188" t="s">
        <v>40437</v>
      </c>
      <c r="P12188">
        <v>0</v>
      </c>
      <c r="Q12188">
        <v>0</v>
      </c>
      <c r="R12188" t="s">
        <v>40454</v>
      </c>
      <c r="S12188" t="s">
        <v>41306</v>
      </c>
      <c r="T12188" t="s">
        <v>42167</v>
      </c>
      <c r="U12188" t="s">
        <v>52628</v>
      </c>
      <c r="W12188" t="s">
        <v>40257</v>
      </c>
      <c r="X12188" t="s">
        <v>40456</v>
      </c>
    </row>
    <row r="12189" spans="1:24">
      <c r="A12189">
        <f>HYPERLINK("https://www.philgeps.gov.ph/GEPSNONPILOT/Tender/SplashBidNoticeAbstractUI.aspx?menuIndex=3&amp;refID=7018762&amp;Result=3","7018762")</f>
        <v>0</v>
      </c>
      <c r="B12189" t="s">
        <v>2970</v>
      </c>
      <c r="C12189" t="s">
        <v>14757</v>
      </c>
      <c r="D12189" t="s">
        <v>16187</v>
      </c>
      <c r="E12189" t="s">
        <v>20065</v>
      </c>
      <c r="F12189" t="s">
        <v>28198</v>
      </c>
      <c r="G12189" t="s">
        <v>28205</v>
      </c>
      <c r="H12189" t="s">
        <v>28214</v>
      </c>
      <c r="I12189" t="s">
        <v>3797</v>
      </c>
      <c r="J12189" t="s">
        <v>35824</v>
      </c>
      <c r="K12189" t="s">
        <v>36687</v>
      </c>
      <c r="M12189" t="s">
        <v>40259</v>
      </c>
      <c r="N12189" t="s">
        <v>40436</v>
      </c>
      <c r="O12189" t="s">
        <v>40437</v>
      </c>
      <c r="P12189">
        <v>0</v>
      </c>
      <c r="Q12189">
        <v>0</v>
      </c>
      <c r="R12189" t="s">
        <v>40454</v>
      </c>
      <c r="S12189" t="s">
        <v>41306</v>
      </c>
      <c r="T12189" t="s">
        <v>42176</v>
      </c>
      <c r="U12189" t="s">
        <v>46236</v>
      </c>
      <c r="W12189" t="s">
        <v>40259</v>
      </c>
      <c r="X12189" t="s">
        <v>40456</v>
      </c>
    </row>
    <row r="12190" spans="1:24">
      <c r="A12190">
        <f>HYPERLINK("https://www.philgeps.gov.ph/GEPSNONPILOT/Tender/SplashBidNoticeAbstractUI.aspx?menuIndex=3&amp;refID=7018224&amp;Result=3","7018224")</f>
        <v>0</v>
      </c>
      <c r="B12190" t="s">
        <v>91</v>
      </c>
      <c r="C12190" t="s">
        <v>14758</v>
      </c>
      <c r="D12190" t="s">
        <v>16192</v>
      </c>
      <c r="E12190" t="s">
        <v>26844</v>
      </c>
      <c r="F12190" t="s">
        <v>28198</v>
      </c>
      <c r="G12190" t="s">
        <v>28205</v>
      </c>
      <c r="H12190" t="s">
        <v>28214</v>
      </c>
      <c r="I12190" t="s">
        <v>3797</v>
      </c>
      <c r="J12190" t="s">
        <v>28699</v>
      </c>
      <c r="K12190" t="s">
        <v>36694</v>
      </c>
      <c r="M12190" t="s">
        <v>37063</v>
      </c>
      <c r="N12190" t="s">
        <v>40436</v>
      </c>
      <c r="O12190" t="s">
        <v>40437</v>
      </c>
      <c r="P12190">
        <v>0</v>
      </c>
      <c r="Q12190">
        <v>8</v>
      </c>
      <c r="R12190" t="s">
        <v>40454</v>
      </c>
      <c r="S12190" t="s">
        <v>41306</v>
      </c>
      <c r="T12190" t="s">
        <v>42103</v>
      </c>
      <c r="U12190" t="s">
        <v>52635</v>
      </c>
      <c r="V12190" t="s">
        <v>53794</v>
      </c>
      <c r="W12190" t="s">
        <v>37063</v>
      </c>
      <c r="X12190" t="s">
        <v>40457</v>
      </c>
    </row>
    <row r="12191" spans="1:24">
      <c r="A12191">
        <f>HYPERLINK("https://www.philgeps.gov.ph/GEPSNONPILOT/Tender/SplashBidNoticeAbstractUI.aspx?menuIndex=3&amp;refID=7018738&amp;Result=3","7018738")</f>
        <v>0</v>
      </c>
      <c r="B12191" t="s">
        <v>2968</v>
      </c>
      <c r="C12191" t="s">
        <v>14759</v>
      </c>
      <c r="D12191" t="s">
        <v>16244</v>
      </c>
      <c r="E12191" t="s">
        <v>16598</v>
      </c>
      <c r="F12191" t="s">
        <v>28198</v>
      </c>
      <c r="G12191" t="s">
        <v>28205</v>
      </c>
      <c r="H12191" t="s">
        <v>28214</v>
      </c>
      <c r="I12191" t="s">
        <v>3797</v>
      </c>
      <c r="J12191" t="s">
        <v>28398</v>
      </c>
      <c r="K12191" t="s">
        <v>36701</v>
      </c>
      <c r="M12191" t="s">
        <v>40257</v>
      </c>
      <c r="N12191" t="s">
        <v>40436</v>
      </c>
      <c r="O12191" t="s">
        <v>40437</v>
      </c>
      <c r="P12191">
        <v>0</v>
      </c>
      <c r="Q12191">
        <v>0</v>
      </c>
      <c r="R12191" t="s">
        <v>40454</v>
      </c>
      <c r="S12191" t="s">
        <v>41306</v>
      </c>
      <c r="T12191" t="s">
        <v>42167</v>
      </c>
      <c r="U12191" t="s">
        <v>52628</v>
      </c>
      <c r="W12191" t="s">
        <v>40257</v>
      </c>
      <c r="X12191" t="s">
        <v>40456</v>
      </c>
    </row>
    <row r="12192" spans="1:24">
      <c r="A12192">
        <f>HYPERLINK("https://www.philgeps.gov.ph/GEPSNONPILOT/Tender/SplashBidNoticeAbstractUI.aspx?menuIndex=3&amp;refID=7018733&amp;Result=3","7018733")</f>
        <v>0</v>
      </c>
      <c r="B12192" t="s">
        <v>2968</v>
      </c>
      <c r="C12192" t="s">
        <v>14760</v>
      </c>
      <c r="D12192" t="s">
        <v>16244</v>
      </c>
      <c r="E12192" t="s">
        <v>16586</v>
      </c>
      <c r="F12192" t="s">
        <v>28198</v>
      </c>
      <c r="G12192" t="s">
        <v>28205</v>
      </c>
      <c r="H12192" t="s">
        <v>28214</v>
      </c>
      <c r="I12192" t="s">
        <v>3797</v>
      </c>
      <c r="J12192" t="s">
        <v>28379</v>
      </c>
      <c r="K12192" t="s">
        <v>36736</v>
      </c>
      <c r="M12192" t="s">
        <v>40257</v>
      </c>
      <c r="N12192" t="s">
        <v>40436</v>
      </c>
      <c r="O12192" t="s">
        <v>40437</v>
      </c>
      <c r="P12192">
        <v>0</v>
      </c>
      <c r="Q12192">
        <v>0</v>
      </c>
      <c r="R12192" t="s">
        <v>40454</v>
      </c>
      <c r="S12192" t="s">
        <v>41306</v>
      </c>
      <c r="T12192" t="s">
        <v>42167</v>
      </c>
      <c r="U12192" t="s">
        <v>52628</v>
      </c>
      <c r="W12192" t="s">
        <v>40257</v>
      </c>
      <c r="X12192" t="s">
        <v>40456</v>
      </c>
    </row>
    <row r="12193" spans="1:24">
      <c r="A12193">
        <f>HYPERLINK("https://www.philgeps.gov.ph/GEPSNONPILOT/Tender/SplashBidNoticeAbstractUI.aspx?menuIndex=3&amp;refID=7018816&amp;Result=3","7018816")</f>
        <v>0</v>
      </c>
      <c r="B12193" t="s">
        <v>1713</v>
      </c>
      <c r="C12193" t="s">
        <v>14761</v>
      </c>
      <c r="D12193" t="s">
        <v>16252</v>
      </c>
      <c r="E12193" t="s">
        <v>26845</v>
      </c>
      <c r="F12193" t="s">
        <v>28198</v>
      </c>
      <c r="G12193" t="s">
        <v>28205</v>
      </c>
      <c r="H12193" t="s">
        <v>28215</v>
      </c>
      <c r="I12193" t="s">
        <v>6051</v>
      </c>
      <c r="J12193" t="s">
        <v>28351</v>
      </c>
      <c r="K12193" t="s">
        <v>36701</v>
      </c>
      <c r="M12193" t="s">
        <v>38819</v>
      </c>
      <c r="N12193" t="s">
        <v>40436</v>
      </c>
      <c r="O12193" t="s">
        <v>40437</v>
      </c>
      <c r="P12193">
        <v>0</v>
      </c>
      <c r="Q12193">
        <v>6</v>
      </c>
      <c r="R12193" t="s">
        <v>40454</v>
      </c>
      <c r="S12193" t="s">
        <v>41306</v>
      </c>
      <c r="T12193" t="s">
        <v>42111</v>
      </c>
      <c r="U12193" t="s">
        <v>52636</v>
      </c>
      <c r="W12193" t="s">
        <v>38819</v>
      </c>
      <c r="X12193" t="s">
        <v>40456</v>
      </c>
    </row>
    <row r="12194" spans="1:24">
      <c r="A12194">
        <f>HYPERLINK("https://www.philgeps.gov.ph/GEPSNONPILOT/Tender/SplashBidNoticeAbstractUI.aspx?menuIndex=3&amp;refID=7018875&amp;Result=3","7018875")</f>
        <v>0</v>
      </c>
      <c r="B12194" t="s">
        <v>1888</v>
      </c>
      <c r="C12194" t="s">
        <v>14762</v>
      </c>
      <c r="D12194" t="s">
        <v>16198</v>
      </c>
      <c r="E12194" t="s">
        <v>26846</v>
      </c>
      <c r="F12194" t="s">
        <v>28198</v>
      </c>
      <c r="G12194" t="s">
        <v>28209</v>
      </c>
      <c r="H12194" t="s">
        <v>28215</v>
      </c>
      <c r="I12194" t="s">
        <v>5082</v>
      </c>
      <c r="J12194" t="s">
        <v>35825</v>
      </c>
      <c r="K12194" t="s">
        <v>36694</v>
      </c>
      <c r="M12194" t="s">
        <v>39020</v>
      </c>
      <c r="N12194" t="s">
        <v>40436</v>
      </c>
      <c r="O12194" t="s">
        <v>40437</v>
      </c>
      <c r="P12194">
        <v>0</v>
      </c>
      <c r="Q12194">
        <v>4</v>
      </c>
      <c r="R12194" t="s">
        <v>40454</v>
      </c>
      <c r="S12194" t="s">
        <v>41306</v>
      </c>
      <c r="T12194" t="s">
        <v>42129</v>
      </c>
      <c r="U12194" t="s">
        <v>52637</v>
      </c>
      <c r="W12194" t="s">
        <v>55498</v>
      </c>
      <c r="X12194" t="s">
        <v>40455</v>
      </c>
    </row>
    <row r="12195" spans="1:24">
      <c r="A12195">
        <f>HYPERLINK("https://www.philgeps.gov.ph/GEPSNONPILOT/Tender/SplashBidNoticeAbstractUI.aspx?menuIndex=3&amp;refID=7018741&amp;Result=3","7018741")</f>
        <v>0</v>
      </c>
      <c r="B12195" t="s">
        <v>2968</v>
      </c>
      <c r="C12195" t="s">
        <v>14763</v>
      </c>
      <c r="D12195" t="s">
        <v>16244</v>
      </c>
      <c r="E12195" t="s">
        <v>16620</v>
      </c>
      <c r="F12195" t="s">
        <v>28198</v>
      </c>
      <c r="G12195" t="s">
        <v>28205</v>
      </c>
      <c r="H12195" t="s">
        <v>28214</v>
      </c>
      <c r="I12195" t="s">
        <v>3797</v>
      </c>
      <c r="J12195" t="s">
        <v>28398</v>
      </c>
      <c r="K12195" t="s">
        <v>36708</v>
      </c>
      <c r="M12195" t="s">
        <v>40257</v>
      </c>
      <c r="N12195" t="s">
        <v>40436</v>
      </c>
      <c r="O12195" t="s">
        <v>40437</v>
      </c>
      <c r="P12195">
        <v>0</v>
      </c>
      <c r="Q12195">
        <v>0</v>
      </c>
      <c r="R12195" t="s">
        <v>40454</v>
      </c>
      <c r="S12195" t="s">
        <v>41306</v>
      </c>
      <c r="T12195" t="s">
        <v>42167</v>
      </c>
      <c r="U12195" t="s">
        <v>52628</v>
      </c>
      <c r="W12195" t="s">
        <v>40257</v>
      </c>
      <c r="X12195" t="s">
        <v>40456</v>
      </c>
    </row>
    <row r="12196" spans="1:24">
      <c r="A12196">
        <f>HYPERLINK("https://www.philgeps.gov.ph/GEPSNONPILOT/Tender/SplashBidNoticeAbstractUI.aspx?menuIndex=3&amp;refID=7018817&amp;Result=3","7018817")</f>
        <v>0</v>
      </c>
      <c r="B12196" t="s">
        <v>1713</v>
      </c>
      <c r="C12196" t="s">
        <v>14764</v>
      </c>
      <c r="D12196" t="s">
        <v>16252</v>
      </c>
      <c r="E12196" t="s">
        <v>26847</v>
      </c>
      <c r="F12196" t="s">
        <v>28198</v>
      </c>
      <c r="G12196" t="s">
        <v>28205</v>
      </c>
      <c r="H12196" t="s">
        <v>28215</v>
      </c>
      <c r="I12196" t="s">
        <v>28222</v>
      </c>
      <c r="J12196" t="s">
        <v>29159</v>
      </c>
      <c r="K12196" t="s">
        <v>36694</v>
      </c>
      <c r="M12196" t="s">
        <v>38819</v>
      </c>
      <c r="N12196" t="s">
        <v>40436</v>
      </c>
      <c r="O12196" t="s">
        <v>40437</v>
      </c>
      <c r="P12196">
        <v>0</v>
      </c>
      <c r="Q12196">
        <v>7</v>
      </c>
      <c r="R12196" t="s">
        <v>40454</v>
      </c>
      <c r="S12196" t="s">
        <v>41306</v>
      </c>
      <c r="T12196" t="s">
        <v>42111</v>
      </c>
      <c r="U12196" t="s">
        <v>52638</v>
      </c>
      <c r="W12196" t="s">
        <v>38819</v>
      </c>
      <c r="X12196" t="s">
        <v>40456</v>
      </c>
    </row>
    <row r="12197" spans="1:24">
      <c r="A12197">
        <f>HYPERLINK("https://www.philgeps.gov.ph/GEPSNONPILOT/Tender/SplashBidNoticeAbstractUI.aspx?menuIndex=3&amp;refID=7018649&amp;Result=3","7018649")</f>
        <v>0</v>
      </c>
      <c r="B12197" t="s">
        <v>1379</v>
      </c>
      <c r="C12197" t="s">
        <v>14765</v>
      </c>
      <c r="D12197" t="s">
        <v>16199</v>
      </c>
      <c r="E12197" t="s">
        <v>26848</v>
      </c>
      <c r="F12197" t="s">
        <v>28198</v>
      </c>
      <c r="G12197" t="s">
        <v>28205</v>
      </c>
      <c r="H12197" t="s">
        <v>28215</v>
      </c>
      <c r="I12197" t="s">
        <v>28241</v>
      </c>
      <c r="J12197" t="s">
        <v>33255</v>
      </c>
      <c r="K12197" t="s">
        <v>36707</v>
      </c>
      <c r="M12197" t="s">
        <v>38443</v>
      </c>
      <c r="N12197" t="s">
        <v>40436</v>
      </c>
      <c r="O12197" t="s">
        <v>40437</v>
      </c>
      <c r="P12197">
        <v>0</v>
      </c>
      <c r="Q12197">
        <v>8</v>
      </c>
      <c r="R12197" t="s">
        <v>40454</v>
      </c>
      <c r="S12197" t="s">
        <v>41306</v>
      </c>
      <c r="T12197" t="s">
        <v>42587</v>
      </c>
      <c r="U12197" t="s">
        <v>52639</v>
      </c>
      <c r="W12197" t="s">
        <v>38443</v>
      </c>
      <c r="X12197" t="s">
        <v>40456</v>
      </c>
    </row>
    <row r="12198" spans="1:24">
      <c r="A12198">
        <f>HYPERLINK("https://www.philgeps.gov.ph/GEPSNONPILOT/Tender/SplashBidNoticeAbstractUI.aspx?menuIndex=3&amp;refID=7018974&amp;Result=3","7018974")</f>
        <v>0</v>
      </c>
      <c r="B12198" t="s">
        <v>1887</v>
      </c>
      <c r="C12198" t="s">
        <v>14766</v>
      </c>
      <c r="E12198" t="s">
        <v>26849</v>
      </c>
      <c r="F12198" t="s">
        <v>28198</v>
      </c>
      <c r="G12198" t="s">
        <v>28205</v>
      </c>
      <c r="H12198" t="s">
        <v>28215</v>
      </c>
      <c r="I12198" t="s">
        <v>28234</v>
      </c>
      <c r="J12198" t="s">
        <v>28351</v>
      </c>
      <c r="K12198" t="s">
        <v>36689</v>
      </c>
      <c r="M12198" t="s">
        <v>39019</v>
      </c>
      <c r="N12198" t="s">
        <v>40436</v>
      </c>
      <c r="O12198" t="s">
        <v>40437</v>
      </c>
      <c r="Q12198">
        <v>21</v>
      </c>
      <c r="R12198" t="s">
        <v>40454</v>
      </c>
      <c r="S12198" t="s">
        <v>40865</v>
      </c>
      <c r="T12198" t="s">
        <v>42159</v>
      </c>
      <c r="U12198" t="s">
        <v>44074</v>
      </c>
      <c r="W12198" t="s">
        <v>39019</v>
      </c>
      <c r="X12198" t="s">
        <v>40455</v>
      </c>
    </row>
    <row r="12199" spans="1:24">
      <c r="A12199">
        <f>HYPERLINK("https://www.philgeps.gov.ph/GEPSNONPILOT/Tender/SplashBidNoticeAbstractUI.aspx?menuIndex=3&amp;refID=7018245&amp;Result=3","7018245")</f>
        <v>0</v>
      </c>
      <c r="B12199" t="s">
        <v>91</v>
      </c>
      <c r="C12199" t="s">
        <v>14767</v>
      </c>
      <c r="D12199" t="s">
        <v>16192</v>
      </c>
      <c r="E12199" t="s">
        <v>26850</v>
      </c>
      <c r="F12199" t="s">
        <v>28198</v>
      </c>
      <c r="G12199" t="s">
        <v>28205</v>
      </c>
      <c r="H12199" t="s">
        <v>28214</v>
      </c>
      <c r="I12199" t="s">
        <v>3797</v>
      </c>
      <c r="J12199" t="s">
        <v>32308</v>
      </c>
      <c r="K12199" t="s">
        <v>36867</v>
      </c>
      <c r="M12199" t="s">
        <v>37063</v>
      </c>
      <c r="N12199" t="s">
        <v>40436</v>
      </c>
      <c r="O12199" t="s">
        <v>40437</v>
      </c>
      <c r="P12199">
        <v>0</v>
      </c>
      <c r="Q12199">
        <v>10</v>
      </c>
      <c r="R12199" t="s">
        <v>40454</v>
      </c>
      <c r="S12199" t="s">
        <v>41306</v>
      </c>
      <c r="T12199" t="s">
        <v>42103</v>
      </c>
      <c r="U12199" t="s">
        <v>52640</v>
      </c>
      <c r="V12199" t="s">
        <v>53794</v>
      </c>
      <c r="W12199" t="s">
        <v>37063</v>
      </c>
      <c r="X12199" t="s">
        <v>40457</v>
      </c>
    </row>
    <row r="12200" spans="1:24">
      <c r="A12200">
        <f>HYPERLINK("https://www.philgeps.gov.ph/GEPSNONPILOT/Tender/SplashBidNoticeAbstractUI.aspx?menuIndex=3&amp;refID=7018640&amp;Result=3","7018640")</f>
        <v>0</v>
      </c>
      <c r="B12200" t="s">
        <v>2673</v>
      </c>
      <c r="C12200" t="s">
        <v>14768</v>
      </c>
      <c r="E12200" t="s">
        <v>26851</v>
      </c>
      <c r="F12200" t="s">
        <v>28198</v>
      </c>
      <c r="G12200" t="s">
        <v>28205</v>
      </c>
      <c r="H12200" t="s">
        <v>28215</v>
      </c>
      <c r="I12200" t="s">
        <v>28270</v>
      </c>
      <c r="J12200" t="s">
        <v>28351</v>
      </c>
      <c r="K12200" t="s">
        <v>36701</v>
      </c>
      <c r="M12200" t="s">
        <v>39906</v>
      </c>
      <c r="N12200" t="s">
        <v>40436</v>
      </c>
      <c r="O12200" t="s">
        <v>40437</v>
      </c>
      <c r="P12200">
        <v>0</v>
      </c>
      <c r="Q12200">
        <v>6</v>
      </c>
      <c r="R12200" t="s">
        <v>40454</v>
      </c>
      <c r="S12200" t="s">
        <v>41306</v>
      </c>
      <c r="T12200" t="s">
        <v>42228</v>
      </c>
      <c r="U12200" t="s">
        <v>52641</v>
      </c>
      <c r="W12200" t="s">
        <v>39906</v>
      </c>
      <c r="X12200" t="s">
        <v>40456</v>
      </c>
    </row>
    <row r="12201" spans="1:24">
      <c r="A12201">
        <f>HYPERLINK("https://www.philgeps.gov.ph/GEPSNONPILOT/Tender/SplashBidNoticeAbstractUI.aspx?menuIndex=3&amp;refID=7018992&amp;Result=3","7018992")</f>
        <v>0</v>
      </c>
      <c r="B12201" t="s">
        <v>2431</v>
      </c>
      <c r="C12201" t="s">
        <v>14769</v>
      </c>
      <c r="D12201" t="s">
        <v>16198</v>
      </c>
      <c r="E12201" t="s">
        <v>19713</v>
      </c>
      <c r="F12201" t="s">
        <v>28198</v>
      </c>
      <c r="G12201" t="s">
        <v>28205</v>
      </c>
      <c r="H12201" t="s">
        <v>28215</v>
      </c>
      <c r="I12201" t="s">
        <v>28222</v>
      </c>
      <c r="J12201" t="s">
        <v>35826</v>
      </c>
      <c r="K12201" t="s">
        <v>36689</v>
      </c>
      <c r="M12201" t="s">
        <v>39619</v>
      </c>
      <c r="N12201" t="s">
        <v>40436</v>
      </c>
      <c r="O12201" t="s">
        <v>40437</v>
      </c>
      <c r="P12201">
        <v>0</v>
      </c>
      <c r="Q12201">
        <v>7</v>
      </c>
      <c r="R12201" t="s">
        <v>40454</v>
      </c>
      <c r="S12201" t="s">
        <v>41306</v>
      </c>
      <c r="T12201" t="s">
        <v>42129</v>
      </c>
      <c r="U12201" t="s">
        <v>52642</v>
      </c>
      <c r="W12201" t="s">
        <v>39619</v>
      </c>
      <c r="X12201" t="s">
        <v>40455</v>
      </c>
    </row>
    <row r="12202" spans="1:24">
      <c r="A12202">
        <f>HYPERLINK("https://www.philgeps.gov.ph/GEPSNONPILOT/Tender/SplashBidNoticeAbstractUI.aspx?menuIndex=3&amp;refID=7018967&amp;Result=3","7018967")</f>
        <v>0</v>
      </c>
      <c r="B12202" t="s">
        <v>2966</v>
      </c>
      <c r="C12202" t="s">
        <v>14770</v>
      </c>
      <c r="D12202" t="s">
        <v>16212</v>
      </c>
      <c r="E12202" t="s">
        <v>26852</v>
      </c>
      <c r="F12202" t="s">
        <v>28198</v>
      </c>
      <c r="G12202" t="s">
        <v>28205</v>
      </c>
      <c r="H12202" t="s">
        <v>28215</v>
      </c>
      <c r="I12202" t="s">
        <v>3774</v>
      </c>
      <c r="J12202" t="s">
        <v>29206</v>
      </c>
      <c r="K12202" t="s">
        <v>36707</v>
      </c>
      <c r="M12202" t="s">
        <v>40255</v>
      </c>
      <c r="N12202" t="s">
        <v>40436</v>
      </c>
      <c r="O12202" t="s">
        <v>40437</v>
      </c>
      <c r="P12202">
        <v>0</v>
      </c>
      <c r="Q12202">
        <v>1</v>
      </c>
      <c r="R12202" t="s">
        <v>40454</v>
      </c>
      <c r="S12202" t="s">
        <v>41306</v>
      </c>
      <c r="T12202" t="s">
        <v>42103</v>
      </c>
      <c r="U12202" t="s">
        <v>52643</v>
      </c>
      <c r="V12202" t="s">
        <v>55177</v>
      </c>
      <c r="W12202" t="s">
        <v>40255</v>
      </c>
      <c r="X12202" t="s">
        <v>40455</v>
      </c>
    </row>
    <row r="12203" spans="1:24">
      <c r="A12203">
        <f>HYPERLINK("https://www.philgeps.gov.ph/GEPSNONPILOT/Tender/SplashBidNoticeAbstractUI.aspx?menuIndex=3&amp;refID=7018993&amp;Result=3","7018993")</f>
        <v>0</v>
      </c>
      <c r="B12203" t="s">
        <v>2431</v>
      </c>
      <c r="C12203" t="s">
        <v>14771</v>
      </c>
      <c r="D12203" t="s">
        <v>16198</v>
      </c>
      <c r="E12203" t="s">
        <v>17596</v>
      </c>
      <c r="F12203" t="s">
        <v>28198</v>
      </c>
      <c r="G12203" t="s">
        <v>28205</v>
      </c>
      <c r="H12203" t="s">
        <v>28215</v>
      </c>
      <c r="I12203" t="s">
        <v>28222</v>
      </c>
      <c r="J12203" t="s">
        <v>35827</v>
      </c>
      <c r="K12203" t="s">
        <v>36689</v>
      </c>
      <c r="M12203" t="s">
        <v>39619</v>
      </c>
      <c r="N12203" t="s">
        <v>40436</v>
      </c>
      <c r="O12203" t="s">
        <v>40437</v>
      </c>
      <c r="P12203">
        <v>0</v>
      </c>
      <c r="Q12203">
        <v>4</v>
      </c>
      <c r="R12203" t="s">
        <v>40454</v>
      </c>
      <c r="S12203" t="s">
        <v>41306</v>
      </c>
      <c r="T12203" t="s">
        <v>42129</v>
      </c>
      <c r="U12203" t="s">
        <v>52644</v>
      </c>
      <c r="W12203" t="s">
        <v>39619</v>
      </c>
      <c r="X12203" t="s">
        <v>40455</v>
      </c>
    </row>
    <row r="12204" spans="1:24">
      <c r="A12204">
        <f>HYPERLINK("https://www.philgeps.gov.ph/GEPSNONPILOT/Tender/SplashBidNoticeAbstractUI.aspx?menuIndex=3&amp;refID=7018902&amp;Result=3","7018902")</f>
        <v>0</v>
      </c>
      <c r="B12204" t="s">
        <v>2971</v>
      </c>
      <c r="C12204" t="s">
        <v>14772</v>
      </c>
      <c r="D12204" t="s">
        <v>16233</v>
      </c>
      <c r="E12204" t="s">
        <v>16860</v>
      </c>
      <c r="F12204" t="s">
        <v>28198</v>
      </c>
      <c r="G12204" t="s">
        <v>28205</v>
      </c>
      <c r="H12204" t="s">
        <v>28214</v>
      </c>
      <c r="I12204" t="s">
        <v>3797</v>
      </c>
      <c r="J12204" t="s">
        <v>29041</v>
      </c>
      <c r="K12204" t="s">
        <v>36694</v>
      </c>
      <c r="L12204" t="s">
        <v>2971</v>
      </c>
      <c r="M12204" t="s">
        <v>40260</v>
      </c>
      <c r="N12204" t="s">
        <v>40436</v>
      </c>
      <c r="O12204" t="s">
        <v>40437</v>
      </c>
      <c r="P12204">
        <v>0</v>
      </c>
      <c r="Q12204">
        <v>1</v>
      </c>
      <c r="R12204" t="s">
        <v>40454</v>
      </c>
      <c r="S12204" t="s">
        <v>41306</v>
      </c>
      <c r="T12204" t="s">
        <v>42163</v>
      </c>
      <c r="U12204" t="s">
        <v>52645</v>
      </c>
      <c r="W12204" t="s">
        <v>40260</v>
      </c>
      <c r="X12204" t="s">
        <v>40455</v>
      </c>
    </row>
    <row r="12205" spans="1:24">
      <c r="A12205">
        <f>HYPERLINK("https://www.philgeps.gov.ph/GEPSNONPILOT/Tender/SplashBidNoticeAbstractUI.aspx?menuIndex=3&amp;refID=7018898&amp;Result=3","7018898")</f>
        <v>0</v>
      </c>
      <c r="B12205" t="s">
        <v>2971</v>
      </c>
      <c r="C12205" t="s">
        <v>14773</v>
      </c>
      <c r="D12205" t="s">
        <v>16233</v>
      </c>
      <c r="E12205" t="s">
        <v>16834</v>
      </c>
      <c r="F12205" t="s">
        <v>28198</v>
      </c>
      <c r="G12205" t="s">
        <v>28205</v>
      </c>
      <c r="H12205" t="s">
        <v>28214</v>
      </c>
      <c r="I12205" t="s">
        <v>3797</v>
      </c>
      <c r="J12205" t="s">
        <v>28363</v>
      </c>
      <c r="K12205" t="s">
        <v>36694</v>
      </c>
      <c r="L12205" t="s">
        <v>2971</v>
      </c>
      <c r="M12205" t="s">
        <v>40260</v>
      </c>
      <c r="N12205" t="s">
        <v>40436</v>
      </c>
      <c r="O12205" t="s">
        <v>40437</v>
      </c>
      <c r="P12205">
        <v>0</v>
      </c>
      <c r="Q12205">
        <v>1</v>
      </c>
      <c r="R12205" t="s">
        <v>40454</v>
      </c>
      <c r="S12205" t="s">
        <v>41306</v>
      </c>
      <c r="T12205" t="s">
        <v>42163</v>
      </c>
      <c r="U12205" t="s">
        <v>52646</v>
      </c>
      <c r="W12205" t="s">
        <v>40260</v>
      </c>
      <c r="X12205" t="s">
        <v>40455</v>
      </c>
    </row>
    <row r="12206" spans="1:24">
      <c r="A12206">
        <f>HYPERLINK("https://www.philgeps.gov.ph/GEPSNONPILOT/Tender/SplashBidNoticeAbstractUI.aspx?menuIndex=3&amp;refID=7018938&amp;Result=3","7018938")</f>
        <v>0</v>
      </c>
      <c r="B12206" t="s">
        <v>1778</v>
      </c>
      <c r="C12206" t="s">
        <v>14774</v>
      </c>
      <c r="D12206" t="s">
        <v>16249</v>
      </c>
      <c r="E12206" t="s">
        <v>26853</v>
      </c>
      <c r="F12206" t="s">
        <v>28198</v>
      </c>
      <c r="G12206" t="s">
        <v>28205</v>
      </c>
      <c r="H12206" t="s">
        <v>28215</v>
      </c>
      <c r="I12206" t="s">
        <v>4200</v>
      </c>
      <c r="J12206" t="s">
        <v>35828</v>
      </c>
      <c r="K12206" t="s">
        <v>36707</v>
      </c>
      <c r="M12206" t="s">
        <v>38894</v>
      </c>
      <c r="N12206" t="s">
        <v>40436</v>
      </c>
      <c r="O12206" t="s">
        <v>40437</v>
      </c>
      <c r="P12206">
        <v>0</v>
      </c>
      <c r="Q12206">
        <v>11</v>
      </c>
      <c r="R12206" t="s">
        <v>40454</v>
      </c>
      <c r="S12206" t="s">
        <v>41306</v>
      </c>
      <c r="T12206" t="s">
        <v>42142</v>
      </c>
      <c r="U12206" t="s">
        <v>52647</v>
      </c>
      <c r="V12206" t="s">
        <v>55178</v>
      </c>
      <c r="W12206" t="s">
        <v>38894</v>
      </c>
      <c r="X12206" t="s">
        <v>40455</v>
      </c>
    </row>
    <row r="12207" spans="1:24">
      <c r="A12207">
        <f>HYPERLINK("https://www.philgeps.gov.ph/GEPSNONPILOT/Tender/SplashBidNoticeAbstractUI.aspx?menuIndex=3&amp;refID=7018916&amp;Result=3","7018916")</f>
        <v>0</v>
      </c>
      <c r="B12207" t="s">
        <v>2588</v>
      </c>
      <c r="C12207" t="s">
        <v>14775</v>
      </c>
      <c r="D12207" t="s">
        <v>16222</v>
      </c>
      <c r="E12207" t="s">
        <v>26854</v>
      </c>
      <c r="F12207" t="s">
        <v>28198</v>
      </c>
      <c r="G12207" t="s">
        <v>28205</v>
      </c>
      <c r="H12207" t="s">
        <v>28214</v>
      </c>
      <c r="I12207" t="s">
        <v>3797</v>
      </c>
      <c r="J12207" t="s">
        <v>29002</v>
      </c>
      <c r="K12207" t="s">
        <v>36692</v>
      </c>
      <c r="M12207" t="s">
        <v>39802</v>
      </c>
      <c r="N12207" t="s">
        <v>40436</v>
      </c>
      <c r="O12207" t="s">
        <v>40437</v>
      </c>
      <c r="P12207">
        <v>0</v>
      </c>
      <c r="Q12207">
        <v>0</v>
      </c>
      <c r="R12207" t="s">
        <v>40454</v>
      </c>
      <c r="S12207" t="s">
        <v>41306</v>
      </c>
      <c r="T12207" t="s">
        <v>42129</v>
      </c>
      <c r="U12207" t="s">
        <v>52648</v>
      </c>
      <c r="W12207" t="s">
        <v>39802</v>
      </c>
      <c r="X12207" t="s">
        <v>40455</v>
      </c>
    </row>
    <row r="12208" spans="1:24">
      <c r="A12208">
        <f>HYPERLINK("https://www.philgeps.gov.ph/GEPSNONPILOT/Tender/SplashBidNoticeAbstractUI.aspx?menuIndex=3&amp;refID=7018897&amp;Result=3","7018897")</f>
        <v>0</v>
      </c>
      <c r="B12208" t="s">
        <v>1673</v>
      </c>
      <c r="C12208" t="s">
        <v>14776</v>
      </c>
      <c r="D12208" t="s">
        <v>16251</v>
      </c>
      <c r="E12208" t="s">
        <v>26855</v>
      </c>
      <c r="F12208" t="s">
        <v>28198</v>
      </c>
      <c r="G12208" t="s">
        <v>28205</v>
      </c>
      <c r="H12208" t="s">
        <v>28215</v>
      </c>
      <c r="I12208" t="s">
        <v>3797</v>
      </c>
      <c r="J12208" t="s">
        <v>35829</v>
      </c>
      <c r="K12208" t="s">
        <v>36707</v>
      </c>
      <c r="M12208" t="s">
        <v>38768</v>
      </c>
      <c r="N12208" t="s">
        <v>40436</v>
      </c>
      <c r="O12208" t="s">
        <v>40437</v>
      </c>
      <c r="P12208">
        <v>0</v>
      </c>
      <c r="Q12208">
        <v>3</v>
      </c>
      <c r="R12208" t="s">
        <v>40454</v>
      </c>
      <c r="S12208" t="s">
        <v>41306</v>
      </c>
      <c r="T12208" t="s">
        <v>42159</v>
      </c>
      <c r="U12208" t="s">
        <v>50486</v>
      </c>
      <c r="W12208" t="s">
        <v>38768</v>
      </c>
      <c r="X12208" t="s">
        <v>40455</v>
      </c>
    </row>
    <row r="12209" spans="1:24">
      <c r="A12209">
        <f>HYPERLINK("https://www.philgeps.gov.ph/GEPSNONPILOT/Tender/SplashBidNoticeAbstractUI.aspx?menuIndex=3&amp;refID=7018893&amp;Result=3","7018893")</f>
        <v>0</v>
      </c>
      <c r="B12209" t="s">
        <v>1673</v>
      </c>
      <c r="C12209" t="s">
        <v>12893</v>
      </c>
      <c r="D12209" t="s">
        <v>16251</v>
      </c>
      <c r="E12209" t="s">
        <v>26856</v>
      </c>
      <c r="F12209" t="s">
        <v>28198</v>
      </c>
      <c r="G12209" t="s">
        <v>28205</v>
      </c>
      <c r="H12209" t="s">
        <v>28214</v>
      </c>
      <c r="I12209" t="s">
        <v>3797</v>
      </c>
      <c r="J12209" t="s">
        <v>35830</v>
      </c>
      <c r="K12209" t="s">
        <v>36694</v>
      </c>
      <c r="M12209" t="s">
        <v>38768</v>
      </c>
      <c r="N12209" t="s">
        <v>40436</v>
      </c>
      <c r="O12209" t="s">
        <v>40437</v>
      </c>
      <c r="P12209">
        <v>0</v>
      </c>
      <c r="Q12209">
        <v>0</v>
      </c>
      <c r="R12209" t="s">
        <v>40454</v>
      </c>
      <c r="S12209" t="s">
        <v>41306</v>
      </c>
      <c r="T12209" t="s">
        <v>42312</v>
      </c>
      <c r="U12209" t="s">
        <v>52649</v>
      </c>
      <c r="W12209" t="s">
        <v>38768</v>
      </c>
      <c r="X12209" t="s">
        <v>40455</v>
      </c>
    </row>
    <row r="12210" spans="1:24">
      <c r="A12210">
        <f>HYPERLINK("https://www.philgeps.gov.ph/GEPSNONPILOT/Tender/SplashBidNoticeAbstractUI.aspx?menuIndex=3&amp;refID=7018910&amp;Result=3","7018910")</f>
        <v>0</v>
      </c>
      <c r="B12210" t="s">
        <v>2971</v>
      </c>
      <c r="C12210" t="s">
        <v>14777</v>
      </c>
      <c r="D12210" t="s">
        <v>16233</v>
      </c>
      <c r="E12210" t="s">
        <v>17244</v>
      </c>
      <c r="F12210" t="s">
        <v>28198</v>
      </c>
      <c r="G12210" t="s">
        <v>28205</v>
      </c>
      <c r="H12210" t="s">
        <v>28214</v>
      </c>
      <c r="I12210" t="s">
        <v>3797</v>
      </c>
      <c r="J12210" t="s">
        <v>28899</v>
      </c>
      <c r="K12210" t="s">
        <v>36717</v>
      </c>
      <c r="L12210" t="s">
        <v>2971</v>
      </c>
      <c r="M12210" t="s">
        <v>40260</v>
      </c>
      <c r="N12210" t="s">
        <v>40436</v>
      </c>
      <c r="O12210" t="s">
        <v>40437</v>
      </c>
      <c r="P12210">
        <v>0</v>
      </c>
      <c r="Q12210">
        <v>2</v>
      </c>
      <c r="R12210" t="s">
        <v>40454</v>
      </c>
      <c r="S12210" t="s">
        <v>41306</v>
      </c>
      <c r="T12210" t="s">
        <v>42163</v>
      </c>
      <c r="U12210" t="s">
        <v>52650</v>
      </c>
      <c r="W12210" t="s">
        <v>40260</v>
      </c>
      <c r="X12210" t="s">
        <v>40455</v>
      </c>
    </row>
    <row r="12211" spans="1:24">
      <c r="A12211">
        <f>HYPERLINK("https://www.philgeps.gov.ph/GEPSNONPILOT/Tender/SplashBidNoticeAbstractUI.aspx?menuIndex=3&amp;refID=7018888&amp;Result=3","7018888")</f>
        <v>0</v>
      </c>
      <c r="B12211" t="s">
        <v>2686</v>
      </c>
      <c r="C12211" t="s">
        <v>14778</v>
      </c>
      <c r="D12211" t="s">
        <v>16210</v>
      </c>
      <c r="E12211" t="s">
        <v>26857</v>
      </c>
      <c r="F12211" t="s">
        <v>28198</v>
      </c>
      <c r="G12211" t="s">
        <v>28205</v>
      </c>
      <c r="H12211" t="s">
        <v>28215</v>
      </c>
      <c r="I12211" t="s">
        <v>28234</v>
      </c>
      <c r="J12211" t="s">
        <v>35831</v>
      </c>
      <c r="K12211" t="s">
        <v>36701</v>
      </c>
      <c r="M12211" t="s">
        <v>39921</v>
      </c>
      <c r="N12211" t="s">
        <v>40436</v>
      </c>
      <c r="O12211" t="s">
        <v>40437</v>
      </c>
      <c r="Q12211">
        <v>15</v>
      </c>
      <c r="R12211" t="s">
        <v>40454</v>
      </c>
      <c r="S12211" t="s">
        <v>41324</v>
      </c>
      <c r="T12211" t="s">
        <v>42167</v>
      </c>
      <c r="U12211" t="s">
        <v>52651</v>
      </c>
      <c r="W12211" t="s">
        <v>39921</v>
      </c>
      <c r="X12211" t="s">
        <v>40455</v>
      </c>
    </row>
    <row r="12212" spans="1:24">
      <c r="A12212">
        <f>HYPERLINK("https://www.philgeps.gov.ph/GEPSNONPILOT/Tender/SplashBidNoticeAbstractUI.aspx?menuIndex=3&amp;refID=7018886&amp;Result=3","7018886")</f>
        <v>0</v>
      </c>
      <c r="B12212" t="s">
        <v>2972</v>
      </c>
      <c r="C12212" t="s">
        <v>14779</v>
      </c>
      <c r="D12212" t="s">
        <v>16193</v>
      </c>
      <c r="E12212" t="s">
        <v>26858</v>
      </c>
      <c r="F12212" t="s">
        <v>28198</v>
      </c>
      <c r="G12212" t="s">
        <v>28205</v>
      </c>
      <c r="H12212" t="s">
        <v>28215</v>
      </c>
      <c r="I12212" t="s">
        <v>5100</v>
      </c>
      <c r="J12212" t="s">
        <v>35832</v>
      </c>
      <c r="K12212" t="s">
        <v>36701</v>
      </c>
      <c r="M12212" t="s">
        <v>40261</v>
      </c>
      <c r="N12212" t="s">
        <v>40436</v>
      </c>
      <c r="O12212" t="s">
        <v>40437</v>
      </c>
      <c r="P12212">
        <v>0</v>
      </c>
      <c r="Q12212">
        <v>1</v>
      </c>
      <c r="R12212" t="s">
        <v>40454</v>
      </c>
      <c r="S12212" t="s">
        <v>41306</v>
      </c>
      <c r="T12212" t="s">
        <v>42119</v>
      </c>
      <c r="U12212" t="s">
        <v>52652</v>
      </c>
      <c r="W12212" t="s">
        <v>40261</v>
      </c>
      <c r="X12212" t="s">
        <v>40455</v>
      </c>
    </row>
    <row r="12213" spans="1:24">
      <c r="A12213">
        <f>HYPERLINK("https://www.philgeps.gov.ph/GEPSNONPILOT/Tender/SplashBidNoticeAbstractUI.aspx?menuIndex=3&amp;refID=7018896&amp;Result=3","7018896")</f>
        <v>0</v>
      </c>
      <c r="B12213" t="s">
        <v>1673</v>
      </c>
      <c r="C12213" t="s">
        <v>8199</v>
      </c>
      <c r="D12213" t="s">
        <v>16251</v>
      </c>
      <c r="E12213" t="s">
        <v>26859</v>
      </c>
      <c r="F12213" t="s">
        <v>28198</v>
      </c>
      <c r="G12213" t="s">
        <v>28205</v>
      </c>
      <c r="H12213" t="s">
        <v>28214</v>
      </c>
      <c r="I12213" t="s">
        <v>3797</v>
      </c>
      <c r="J12213" t="s">
        <v>35833</v>
      </c>
      <c r="K12213" t="s">
        <v>36692</v>
      </c>
      <c r="M12213" t="s">
        <v>38768</v>
      </c>
      <c r="N12213" t="s">
        <v>40436</v>
      </c>
      <c r="O12213" t="s">
        <v>40437</v>
      </c>
      <c r="P12213">
        <v>0</v>
      </c>
      <c r="Q12213">
        <v>0</v>
      </c>
      <c r="R12213" t="s">
        <v>40454</v>
      </c>
      <c r="S12213" t="s">
        <v>41306</v>
      </c>
      <c r="T12213" t="s">
        <v>42312</v>
      </c>
      <c r="U12213" t="s">
        <v>52653</v>
      </c>
      <c r="W12213" t="s">
        <v>38768</v>
      </c>
      <c r="X12213" t="s">
        <v>40455</v>
      </c>
    </row>
    <row r="12214" spans="1:24">
      <c r="A12214">
        <f>HYPERLINK("https://www.philgeps.gov.ph/GEPSNONPILOT/Tender/SplashBidNoticeAbstractUI.aspx?menuIndex=3&amp;refID=7018879&amp;Result=3","7018879")</f>
        <v>0</v>
      </c>
      <c r="B12214" t="s">
        <v>2686</v>
      </c>
      <c r="C12214" t="s">
        <v>14780</v>
      </c>
      <c r="D12214" t="s">
        <v>16210</v>
      </c>
      <c r="E12214" t="s">
        <v>26860</v>
      </c>
      <c r="F12214" t="s">
        <v>28198</v>
      </c>
      <c r="G12214" t="s">
        <v>28205</v>
      </c>
      <c r="H12214" t="s">
        <v>28215</v>
      </c>
      <c r="I12214" t="s">
        <v>28234</v>
      </c>
      <c r="J12214" t="s">
        <v>35834</v>
      </c>
      <c r="K12214" t="s">
        <v>36701</v>
      </c>
      <c r="M12214" t="s">
        <v>39921</v>
      </c>
      <c r="N12214" t="s">
        <v>40436</v>
      </c>
      <c r="O12214" t="s">
        <v>40437</v>
      </c>
      <c r="Q12214">
        <v>7</v>
      </c>
      <c r="R12214" t="s">
        <v>40454</v>
      </c>
      <c r="S12214" t="s">
        <v>41325</v>
      </c>
      <c r="T12214" t="s">
        <v>42199</v>
      </c>
      <c r="U12214" t="s">
        <v>52654</v>
      </c>
      <c r="W12214" t="s">
        <v>39921</v>
      </c>
      <c r="X12214" t="s">
        <v>40455</v>
      </c>
    </row>
    <row r="12215" spans="1:24">
      <c r="A12215">
        <f>HYPERLINK("https://www.philgeps.gov.ph/GEPSNONPILOT/Tender/SplashBidNoticeAbstractUI.aspx?menuIndex=3&amp;refID=7018872&amp;Result=3","7018872")</f>
        <v>0</v>
      </c>
      <c r="B12215" t="s">
        <v>1888</v>
      </c>
      <c r="C12215" t="s">
        <v>14781</v>
      </c>
      <c r="D12215" t="s">
        <v>16198</v>
      </c>
      <c r="E12215" t="s">
        <v>26861</v>
      </c>
      <c r="F12215" t="s">
        <v>28198</v>
      </c>
      <c r="G12215" t="s">
        <v>28205</v>
      </c>
      <c r="H12215" t="s">
        <v>28215</v>
      </c>
      <c r="I12215" t="s">
        <v>8888</v>
      </c>
      <c r="J12215" t="s">
        <v>35835</v>
      </c>
      <c r="K12215" t="s">
        <v>36708</v>
      </c>
      <c r="M12215" t="s">
        <v>39020</v>
      </c>
      <c r="N12215" t="s">
        <v>40436</v>
      </c>
      <c r="O12215" t="s">
        <v>40437</v>
      </c>
      <c r="P12215">
        <v>0</v>
      </c>
      <c r="Q12215">
        <v>5</v>
      </c>
      <c r="R12215" t="s">
        <v>40454</v>
      </c>
      <c r="S12215" t="s">
        <v>41306</v>
      </c>
      <c r="T12215" t="s">
        <v>42129</v>
      </c>
      <c r="U12215" t="s">
        <v>52655</v>
      </c>
      <c r="W12215" t="s">
        <v>55498</v>
      </c>
      <c r="X12215" t="s">
        <v>40455</v>
      </c>
    </row>
    <row r="12216" spans="1:24">
      <c r="A12216">
        <f>HYPERLINK("https://www.philgeps.gov.ph/GEPSNONPILOT/Tender/SplashBidNoticeAbstractUI.aspx?menuIndex=3&amp;refID=7018892&amp;Result=3","7018892")</f>
        <v>0</v>
      </c>
      <c r="B12216" t="s">
        <v>1673</v>
      </c>
      <c r="C12216" t="s">
        <v>14782</v>
      </c>
      <c r="D12216" t="s">
        <v>16251</v>
      </c>
      <c r="E12216" t="s">
        <v>26862</v>
      </c>
      <c r="F12216" t="s">
        <v>28198</v>
      </c>
      <c r="G12216" t="s">
        <v>28205</v>
      </c>
      <c r="H12216" t="s">
        <v>28214</v>
      </c>
      <c r="I12216" t="s">
        <v>3797</v>
      </c>
      <c r="J12216" t="s">
        <v>35836</v>
      </c>
      <c r="K12216" t="s">
        <v>36707</v>
      </c>
      <c r="M12216" t="s">
        <v>38768</v>
      </c>
      <c r="N12216" t="s">
        <v>40436</v>
      </c>
      <c r="O12216" t="s">
        <v>40437</v>
      </c>
      <c r="P12216">
        <v>0</v>
      </c>
      <c r="Q12216">
        <v>1</v>
      </c>
      <c r="R12216" t="s">
        <v>40454</v>
      </c>
      <c r="S12216" t="s">
        <v>41306</v>
      </c>
      <c r="T12216" t="s">
        <v>42312</v>
      </c>
      <c r="U12216" t="s">
        <v>52656</v>
      </c>
      <c r="W12216" t="s">
        <v>38768</v>
      </c>
      <c r="X12216" t="s">
        <v>40455</v>
      </c>
    </row>
    <row r="12217" spans="1:24">
      <c r="A12217">
        <f>HYPERLINK("https://www.philgeps.gov.ph/GEPSNONPILOT/Tender/SplashBidNoticeAbstractUI.aspx?menuIndex=3&amp;refID=7018890&amp;Result=3","7018890")</f>
        <v>0</v>
      </c>
      <c r="B12217" t="s">
        <v>2686</v>
      </c>
      <c r="C12217" t="s">
        <v>14783</v>
      </c>
      <c r="D12217" t="s">
        <v>16210</v>
      </c>
      <c r="E12217" t="s">
        <v>26863</v>
      </c>
      <c r="F12217" t="s">
        <v>28198</v>
      </c>
      <c r="G12217" t="s">
        <v>28205</v>
      </c>
      <c r="H12217" t="s">
        <v>28215</v>
      </c>
      <c r="I12217" t="s">
        <v>28234</v>
      </c>
      <c r="J12217" t="s">
        <v>29820</v>
      </c>
      <c r="K12217" t="s">
        <v>36756</v>
      </c>
      <c r="M12217" t="s">
        <v>39921</v>
      </c>
      <c r="N12217" t="s">
        <v>40436</v>
      </c>
      <c r="O12217" t="s">
        <v>40437</v>
      </c>
      <c r="Q12217">
        <v>12</v>
      </c>
      <c r="R12217" t="s">
        <v>40454</v>
      </c>
      <c r="S12217" t="s">
        <v>41326</v>
      </c>
      <c r="T12217" t="s">
        <v>42103</v>
      </c>
      <c r="U12217" t="s">
        <v>52657</v>
      </c>
      <c r="W12217" t="s">
        <v>39921</v>
      </c>
      <c r="X12217" t="s">
        <v>40455</v>
      </c>
    </row>
    <row r="12218" spans="1:24">
      <c r="A12218">
        <f>HYPERLINK("https://www.philgeps.gov.ph/GEPSNONPILOT/Tender/SplashBidNoticeAbstractUI.aspx?menuIndex=3&amp;refID=7019002&amp;Result=3","7019002")</f>
        <v>0</v>
      </c>
      <c r="B12218" t="s">
        <v>1778</v>
      </c>
      <c r="C12218" t="s">
        <v>14784</v>
      </c>
      <c r="D12218" t="s">
        <v>16249</v>
      </c>
      <c r="E12218" t="s">
        <v>26864</v>
      </c>
      <c r="F12218" t="s">
        <v>28198</v>
      </c>
      <c r="G12218" t="s">
        <v>28205</v>
      </c>
      <c r="H12218" t="s">
        <v>28215</v>
      </c>
      <c r="I12218" t="s">
        <v>5656</v>
      </c>
      <c r="J12218" t="s">
        <v>30534</v>
      </c>
      <c r="K12218" t="s">
        <v>36701</v>
      </c>
      <c r="M12218" t="s">
        <v>38894</v>
      </c>
      <c r="N12218" t="s">
        <v>40436</v>
      </c>
      <c r="O12218" t="s">
        <v>40437</v>
      </c>
      <c r="P12218">
        <v>0</v>
      </c>
      <c r="Q12218">
        <v>5</v>
      </c>
      <c r="R12218" t="s">
        <v>40454</v>
      </c>
      <c r="S12218" t="s">
        <v>41306</v>
      </c>
      <c r="T12218" t="s">
        <v>42119</v>
      </c>
      <c r="U12218" t="s">
        <v>52658</v>
      </c>
      <c r="V12218" t="s">
        <v>55179</v>
      </c>
      <c r="W12218" t="s">
        <v>38894</v>
      </c>
      <c r="X12218" t="s">
        <v>40455</v>
      </c>
    </row>
    <row r="12219" spans="1:24">
      <c r="A12219">
        <f>HYPERLINK("https://www.philgeps.gov.ph/GEPSNONPILOT/Tender/SplashBidNoticeAbstractUI.aspx?menuIndex=3&amp;refID=7018878&amp;Result=3","7018878")</f>
        <v>0</v>
      </c>
      <c r="B12219" t="s">
        <v>2686</v>
      </c>
      <c r="C12219" t="s">
        <v>14785</v>
      </c>
      <c r="D12219" t="s">
        <v>16210</v>
      </c>
      <c r="E12219" t="s">
        <v>26865</v>
      </c>
      <c r="F12219" t="s">
        <v>28198</v>
      </c>
      <c r="G12219" t="s">
        <v>28205</v>
      </c>
      <c r="H12219" t="s">
        <v>28215</v>
      </c>
      <c r="I12219" t="s">
        <v>28234</v>
      </c>
      <c r="J12219" t="s">
        <v>35837</v>
      </c>
      <c r="K12219" t="s">
        <v>36715</v>
      </c>
      <c r="M12219" t="s">
        <v>39921</v>
      </c>
      <c r="N12219" t="s">
        <v>40436</v>
      </c>
      <c r="O12219" t="s">
        <v>40437</v>
      </c>
      <c r="Q12219">
        <v>30</v>
      </c>
      <c r="R12219" t="s">
        <v>40454</v>
      </c>
      <c r="S12219" t="s">
        <v>41327</v>
      </c>
      <c r="T12219" t="s">
        <v>42119</v>
      </c>
      <c r="U12219" t="s">
        <v>52659</v>
      </c>
      <c r="W12219" t="s">
        <v>39921</v>
      </c>
      <c r="X12219" t="s">
        <v>40455</v>
      </c>
    </row>
    <row r="12220" spans="1:24">
      <c r="A12220">
        <f>HYPERLINK("https://www.philgeps.gov.ph/GEPSNONPILOT/Tender/SplashBidNoticeAbstractUI.aspx?menuIndex=3&amp;refID=7018635&amp;Result=3","7018635")</f>
        <v>0</v>
      </c>
      <c r="B12220" t="s">
        <v>2673</v>
      </c>
      <c r="C12220" t="s">
        <v>14786</v>
      </c>
      <c r="E12220" t="s">
        <v>26866</v>
      </c>
      <c r="F12220" t="s">
        <v>28198</v>
      </c>
      <c r="G12220" t="s">
        <v>28205</v>
      </c>
      <c r="H12220" t="s">
        <v>28215</v>
      </c>
      <c r="I12220" t="s">
        <v>28231</v>
      </c>
      <c r="J12220" t="s">
        <v>35838</v>
      </c>
      <c r="K12220" t="s">
        <v>36705</v>
      </c>
      <c r="M12220" t="s">
        <v>39906</v>
      </c>
      <c r="N12220" t="s">
        <v>40436</v>
      </c>
      <c r="O12220" t="s">
        <v>40437</v>
      </c>
      <c r="P12220">
        <v>0</v>
      </c>
      <c r="Q12220">
        <v>2</v>
      </c>
      <c r="R12220" t="s">
        <v>40454</v>
      </c>
      <c r="S12220" t="s">
        <v>41306</v>
      </c>
      <c r="T12220" t="s">
        <v>42273</v>
      </c>
      <c r="U12220" t="s">
        <v>52660</v>
      </c>
      <c r="W12220" t="s">
        <v>39906</v>
      </c>
      <c r="X12220" t="s">
        <v>40456</v>
      </c>
    </row>
    <row r="12221" spans="1:24">
      <c r="A12221">
        <f>HYPERLINK("https://www.philgeps.gov.ph/GEPSNONPILOT/Tender/SplashBidNoticeAbstractUI.aspx?menuIndex=3&amp;refID=7019044&amp;Result=3","7019044")</f>
        <v>0</v>
      </c>
      <c r="B12221" t="s">
        <v>2973</v>
      </c>
      <c r="C12221" t="s">
        <v>14787</v>
      </c>
      <c r="D12221" t="s">
        <v>16197</v>
      </c>
      <c r="E12221" t="s">
        <v>20479</v>
      </c>
      <c r="F12221" t="s">
        <v>28198</v>
      </c>
      <c r="G12221" t="s">
        <v>28205</v>
      </c>
      <c r="H12221" t="s">
        <v>28215</v>
      </c>
      <c r="I12221" t="s">
        <v>5100</v>
      </c>
      <c r="J12221" t="s">
        <v>35839</v>
      </c>
      <c r="K12221" t="s">
        <v>36687</v>
      </c>
      <c r="M12221" t="s">
        <v>40262</v>
      </c>
      <c r="N12221" t="s">
        <v>40436</v>
      </c>
      <c r="O12221" t="s">
        <v>40437</v>
      </c>
      <c r="P12221">
        <v>0</v>
      </c>
      <c r="Q12221">
        <v>0</v>
      </c>
      <c r="R12221" t="s">
        <v>40454</v>
      </c>
      <c r="S12221" t="s">
        <v>41306</v>
      </c>
      <c r="T12221" t="s">
        <v>42295</v>
      </c>
      <c r="U12221" t="s">
        <v>52661</v>
      </c>
      <c r="W12221" t="s">
        <v>40262</v>
      </c>
      <c r="X12221" t="s">
        <v>40455</v>
      </c>
    </row>
    <row r="12222" spans="1:24">
      <c r="A12222">
        <f>HYPERLINK("https://www.philgeps.gov.ph/GEPSNONPILOT/Tender/SplashBidNoticeAbstractUI.aspx?menuIndex=3&amp;refID=7018999&amp;Result=3","7018999")</f>
        <v>0</v>
      </c>
      <c r="B12222" t="s">
        <v>1660</v>
      </c>
      <c r="C12222" t="s">
        <v>14788</v>
      </c>
      <c r="D12222" t="s">
        <v>16217</v>
      </c>
      <c r="E12222" t="s">
        <v>26867</v>
      </c>
      <c r="F12222" t="s">
        <v>28198</v>
      </c>
      <c r="G12222" t="s">
        <v>28205</v>
      </c>
      <c r="H12222" t="s">
        <v>28215</v>
      </c>
      <c r="I12222" t="s">
        <v>3774</v>
      </c>
      <c r="J12222" t="s">
        <v>35840</v>
      </c>
      <c r="K12222" t="s">
        <v>36707</v>
      </c>
      <c r="M12222" t="s">
        <v>38754</v>
      </c>
      <c r="N12222" t="s">
        <v>40436</v>
      </c>
      <c r="O12222" t="s">
        <v>40437</v>
      </c>
      <c r="Q12222">
        <v>1</v>
      </c>
      <c r="R12222" t="s">
        <v>40454</v>
      </c>
      <c r="S12222" t="s">
        <v>41328</v>
      </c>
      <c r="T12222" t="s">
        <v>42199</v>
      </c>
      <c r="U12222" t="s">
        <v>52662</v>
      </c>
      <c r="V12222" t="s">
        <v>55180</v>
      </c>
      <c r="W12222" t="s">
        <v>38754</v>
      </c>
      <c r="X12222" t="s">
        <v>40455</v>
      </c>
    </row>
    <row r="12223" spans="1:24">
      <c r="A12223">
        <f>HYPERLINK("https://www.philgeps.gov.ph/GEPSNONPILOT/Tender/SplashBidNoticeAbstractUI.aspx?menuIndex=3&amp;refID=7018627&amp;Result=3","7018627")</f>
        <v>0</v>
      </c>
      <c r="B12223" t="s">
        <v>1379</v>
      </c>
      <c r="C12223" t="s">
        <v>14789</v>
      </c>
      <c r="D12223" t="s">
        <v>16199</v>
      </c>
      <c r="E12223" t="s">
        <v>26868</v>
      </c>
      <c r="F12223" t="s">
        <v>28198</v>
      </c>
      <c r="G12223" t="s">
        <v>28205</v>
      </c>
      <c r="H12223" t="s">
        <v>28214</v>
      </c>
      <c r="I12223" t="s">
        <v>3797</v>
      </c>
      <c r="J12223" t="s">
        <v>28351</v>
      </c>
      <c r="K12223" t="s">
        <v>36694</v>
      </c>
      <c r="M12223" t="s">
        <v>38443</v>
      </c>
      <c r="N12223" t="s">
        <v>40436</v>
      </c>
      <c r="O12223" t="s">
        <v>40437</v>
      </c>
      <c r="P12223">
        <v>0</v>
      </c>
      <c r="Q12223">
        <v>3</v>
      </c>
      <c r="R12223" t="s">
        <v>40454</v>
      </c>
      <c r="S12223" t="s">
        <v>41306</v>
      </c>
      <c r="T12223" t="s">
        <v>42587</v>
      </c>
      <c r="U12223" t="s">
        <v>52663</v>
      </c>
      <c r="W12223" t="s">
        <v>38443</v>
      </c>
      <c r="X12223" t="s">
        <v>40456</v>
      </c>
    </row>
    <row r="12224" spans="1:24">
      <c r="A12224">
        <f>HYPERLINK("https://www.philgeps.gov.ph/GEPSNONPILOT/Tender/SplashBidNoticeAbstractUI.aspx?menuIndex=3&amp;refID=7019128&amp;Result=3","7019128")</f>
        <v>0</v>
      </c>
      <c r="B12224" t="s">
        <v>2974</v>
      </c>
      <c r="C12224" t="s">
        <v>14790</v>
      </c>
      <c r="D12224" t="s">
        <v>16210</v>
      </c>
      <c r="E12224" t="s">
        <v>26869</v>
      </c>
      <c r="F12224" t="s">
        <v>28198</v>
      </c>
      <c r="G12224" t="s">
        <v>28205</v>
      </c>
      <c r="H12224" t="s">
        <v>28215</v>
      </c>
      <c r="I12224" t="s">
        <v>28231</v>
      </c>
      <c r="J12224" t="s">
        <v>35841</v>
      </c>
      <c r="K12224" t="s">
        <v>36701</v>
      </c>
      <c r="M12224" t="s">
        <v>40263</v>
      </c>
      <c r="N12224" t="s">
        <v>40436</v>
      </c>
      <c r="O12224" t="s">
        <v>40437</v>
      </c>
      <c r="P12224">
        <v>0</v>
      </c>
      <c r="Q12224">
        <v>4</v>
      </c>
      <c r="R12224" t="s">
        <v>40454</v>
      </c>
      <c r="S12224" t="s">
        <v>41306</v>
      </c>
      <c r="T12224" t="s">
        <v>42124</v>
      </c>
      <c r="U12224" t="s">
        <v>52664</v>
      </c>
      <c r="V12224" t="s">
        <v>55181</v>
      </c>
      <c r="W12224" t="s">
        <v>40263</v>
      </c>
      <c r="X12224" t="s">
        <v>40455</v>
      </c>
    </row>
    <row r="12225" spans="1:24">
      <c r="A12225">
        <f>HYPERLINK("https://www.philgeps.gov.ph/GEPSNONPILOT/Tender/SplashBidNoticeAbstractUI.aspx?menuIndex=3&amp;refID=7019085&amp;Result=3","7019085")</f>
        <v>0</v>
      </c>
      <c r="B12225" t="s">
        <v>977</v>
      </c>
      <c r="C12225" t="s">
        <v>14791</v>
      </c>
      <c r="D12225" t="s">
        <v>16217</v>
      </c>
      <c r="E12225" t="s">
        <v>26870</v>
      </c>
      <c r="F12225" t="s">
        <v>28198</v>
      </c>
      <c r="G12225" t="s">
        <v>28205</v>
      </c>
      <c r="H12225" t="s">
        <v>28215</v>
      </c>
      <c r="I12225" t="s">
        <v>28257</v>
      </c>
      <c r="J12225" t="s">
        <v>35842</v>
      </c>
      <c r="K12225" t="s">
        <v>36694</v>
      </c>
      <c r="M12225" t="s">
        <v>38003</v>
      </c>
      <c r="N12225" t="s">
        <v>40436</v>
      </c>
      <c r="O12225" t="s">
        <v>40437</v>
      </c>
      <c r="P12225">
        <v>0</v>
      </c>
      <c r="Q12225">
        <v>3</v>
      </c>
      <c r="R12225" t="s">
        <v>40454</v>
      </c>
      <c r="S12225" t="s">
        <v>41306</v>
      </c>
      <c r="T12225" t="s">
        <v>42103</v>
      </c>
      <c r="U12225" t="s">
        <v>52665</v>
      </c>
      <c r="W12225" t="s">
        <v>55469</v>
      </c>
      <c r="X12225" t="s">
        <v>40455</v>
      </c>
    </row>
    <row r="12226" spans="1:24">
      <c r="A12226">
        <f>HYPERLINK("https://www.philgeps.gov.ph/GEPSNONPILOT/Tender/SplashBidNoticeAbstractUI.aspx?menuIndex=3&amp;refID=7019081&amp;Result=3","7019081")</f>
        <v>0</v>
      </c>
      <c r="B12226" t="s">
        <v>977</v>
      </c>
      <c r="C12226" t="s">
        <v>14792</v>
      </c>
      <c r="D12226" t="s">
        <v>16217</v>
      </c>
      <c r="E12226" t="s">
        <v>26871</v>
      </c>
      <c r="F12226" t="s">
        <v>28198</v>
      </c>
      <c r="G12226" t="s">
        <v>28205</v>
      </c>
      <c r="H12226" t="s">
        <v>28215</v>
      </c>
      <c r="I12226" t="s">
        <v>28249</v>
      </c>
      <c r="J12226" t="s">
        <v>35843</v>
      </c>
      <c r="K12226" t="s">
        <v>36707</v>
      </c>
      <c r="M12226" t="s">
        <v>38003</v>
      </c>
      <c r="N12226" t="s">
        <v>40436</v>
      </c>
      <c r="O12226" t="s">
        <v>40437</v>
      </c>
      <c r="P12226">
        <v>0</v>
      </c>
      <c r="Q12226">
        <v>3</v>
      </c>
      <c r="R12226" t="s">
        <v>40454</v>
      </c>
      <c r="S12226" t="s">
        <v>41306</v>
      </c>
      <c r="T12226" t="s">
        <v>42136</v>
      </c>
      <c r="U12226" t="s">
        <v>52666</v>
      </c>
      <c r="W12226" t="s">
        <v>55469</v>
      </c>
      <c r="X12226" t="s">
        <v>40455</v>
      </c>
    </row>
    <row r="12227" spans="1:24">
      <c r="A12227">
        <f>HYPERLINK("https://www.philgeps.gov.ph/GEPSNONPILOT/Tender/SplashBidNoticeAbstractUI.aspx?menuIndex=3&amp;refID=7019083&amp;Result=3","7019083")</f>
        <v>0</v>
      </c>
      <c r="B12227" t="s">
        <v>977</v>
      </c>
      <c r="C12227" t="s">
        <v>14793</v>
      </c>
      <c r="D12227" t="s">
        <v>16217</v>
      </c>
      <c r="E12227" t="s">
        <v>26872</v>
      </c>
      <c r="F12227" t="s">
        <v>28198</v>
      </c>
      <c r="G12227" t="s">
        <v>28205</v>
      </c>
      <c r="H12227" t="s">
        <v>28215</v>
      </c>
      <c r="I12227" t="s">
        <v>3774</v>
      </c>
      <c r="J12227" t="s">
        <v>31670</v>
      </c>
      <c r="K12227" t="s">
        <v>36707</v>
      </c>
      <c r="M12227" t="s">
        <v>38003</v>
      </c>
      <c r="N12227" t="s">
        <v>40436</v>
      </c>
      <c r="O12227" t="s">
        <v>40437</v>
      </c>
      <c r="P12227">
        <v>0</v>
      </c>
      <c r="Q12227">
        <v>3</v>
      </c>
      <c r="R12227" t="s">
        <v>40454</v>
      </c>
      <c r="S12227" t="s">
        <v>41306</v>
      </c>
      <c r="T12227" t="s">
        <v>42136</v>
      </c>
      <c r="U12227" t="s">
        <v>52667</v>
      </c>
      <c r="W12227" t="s">
        <v>55469</v>
      </c>
      <c r="X12227" t="s">
        <v>40455</v>
      </c>
    </row>
    <row r="12228" spans="1:24">
      <c r="A12228">
        <f>HYPERLINK("https://www.philgeps.gov.ph/GEPSNONPILOT/Tender/SplashBidNoticeAbstractUI.aspx?menuIndex=3&amp;refID=7019124&amp;Result=3","7019124")</f>
        <v>0</v>
      </c>
      <c r="B12228" t="s">
        <v>2974</v>
      </c>
      <c r="C12228" t="s">
        <v>14794</v>
      </c>
      <c r="D12228" t="s">
        <v>16210</v>
      </c>
      <c r="E12228" t="s">
        <v>26873</v>
      </c>
      <c r="F12228" t="s">
        <v>28198</v>
      </c>
      <c r="G12228" t="s">
        <v>28205</v>
      </c>
      <c r="H12228" t="s">
        <v>28215</v>
      </c>
      <c r="I12228" t="s">
        <v>28231</v>
      </c>
      <c r="J12228" t="s">
        <v>35844</v>
      </c>
      <c r="K12228" t="s">
        <v>36701</v>
      </c>
      <c r="M12228" t="s">
        <v>40263</v>
      </c>
      <c r="N12228" t="s">
        <v>40436</v>
      </c>
      <c r="O12228" t="s">
        <v>40437</v>
      </c>
      <c r="P12228">
        <v>0</v>
      </c>
      <c r="Q12228">
        <v>4</v>
      </c>
      <c r="R12228" t="s">
        <v>40454</v>
      </c>
      <c r="S12228" t="s">
        <v>41306</v>
      </c>
      <c r="T12228" t="s">
        <v>42124</v>
      </c>
      <c r="U12228" t="s">
        <v>52664</v>
      </c>
      <c r="V12228" t="s">
        <v>55181</v>
      </c>
      <c r="W12228" t="s">
        <v>40263</v>
      </c>
      <c r="X12228" t="s">
        <v>40455</v>
      </c>
    </row>
    <row r="12229" spans="1:24">
      <c r="A12229">
        <f>HYPERLINK("https://www.philgeps.gov.ph/GEPSNONPILOT/Tender/SplashBidNoticeAbstractUI.aspx?menuIndex=3&amp;refID=7019118&amp;Result=3","7019118")</f>
        <v>0</v>
      </c>
      <c r="B12229" t="s">
        <v>2974</v>
      </c>
      <c r="C12229" t="s">
        <v>14795</v>
      </c>
      <c r="D12229" t="s">
        <v>16210</v>
      </c>
      <c r="E12229" t="s">
        <v>26874</v>
      </c>
      <c r="F12229" t="s">
        <v>28198</v>
      </c>
      <c r="G12229" t="s">
        <v>28205</v>
      </c>
      <c r="H12229" t="s">
        <v>28215</v>
      </c>
      <c r="I12229" t="s">
        <v>28231</v>
      </c>
      <c r="J12229" t="s">
        <v>35845</v>
      </c>
      <c r="K12229" t="s">
        <v>36701</v>
      </c>
      <c r="M12229" t="s">
        <v>40263</v>
      </c>
      <c r="N12229" t="s">
        <v>40436</v>
      </c>
      <c r="O12229" t="s">
        <v>40437</v>
      </c>
      <c r="P12229">
        <v>0</v>
      </c>
      <c r="Q12229">
        <v>4</v>
      </c>
      <c r="R12229" t="s">
        <v>40454</v>
      </c>
      <c r="S12229" t="s">
        <v>41306</v>
      </c>
      <c r="T12229" t="s">
        <v>42124</v>
      </c>
      <c r="U12229" t="s">
        <v>52664</v>
      </c>
      <c r="V12229" t="s">
        <v>55181</v>
      </c>
      <c r="W12229" t="s">
        <v>40263</v>
      </c>
      <c r="X12229" t="s">
        <v>40455</v>
      </c>
    </row>
    <row r="12230" spans="1:24">
      <c r="A12230">
        <f>HYPERLINK("https://www.philgeps.gov.ph/GEPSNONPILOT/Tender/SplashBidNoticeAbstractUI.aspx?menuIndex=3&amp;refID=7018607&amp;Result=3","7018607")</f>
        <v>0</v>
      </c>
      <c r="B12230" t="s">
        <v>1688</v>
      </c>
      <c r="C12230" t="s">
        <v>13794</v>
      </c>
      <c r="D12230" t="s">
        <v>16265</v>
      </c>
      <c r="E12230" t="s">
        <v>26875</v>
      </c>
      <c r="F12230" t="s">
        <v>28198</v>
      </c>
      <c r="G12230" t="s">
        <v>28205</v>
      </c>
      <c r="H12230" t="s">
        <v>28214</v>
      </c>
      <c r="I12230" t="s">
        <v>3797</v>
      </c>
      <c r="J12230" t="s">
        <v>28351</v>
      </c>
      <c r="K12230" t="s">
        <v>36736</v>
      </c>
      <c r="M12230" t="s">
        <v>38785</v>
      </c>
      <c r="N12230" t="s">
        <v>40436</v>
      </c>
      <c r="O12230" t="s">
        <v>40437</v>
      </c>
      <c r="P12230">
        <v>0</v>
      </c>
      <c r="Q12230">
        <v>0</v>
      </c>
      <c r="R12230" t="s">
        <v>40454</v>
      </c>
      <c r="S12230" t="s">
        <v>41306</v>
      </c>
      <c r="T12230" t="s">
        <v>42103</v>
      </c>
      <c r="U12230" t="s">
        <v>52668</v>
      </c>
      <c r="W12230" t="s">
        <v>38785</v>
      </c>
      <c r="X12230" t="s">
        <v>40456</v>
      </c>
    </row>
    <row r="12231" spans="1:24">
      <c r="A12231">
        <f>HYPERLINK("https://www.philgeps.gov.ph/GEPSNONPILOT/Tender/SplashBidNoticeAbstractUI.aspx?menuIndex=3&amp;refID=7019035&amp;Result=3","7019035")</f>
        <v>0</v>
      </c>
      <c r="B12231" t="s">
        <v>2340</v>
      </c>
      <c r="C12231" t="s">
        <v>14796</v>
      </c>
      <c r="D12231" t="s">
        <v>16196</v>
      </c>
      <c r="E12231" t="s">
        <v>26876</v>
      </c>
      <c r="F12231" t="s">
        <v>28198</v>
      </c>
      <c r="G12231" t="s">
        <v>28205</v>
      </c>
      <c r="H12231" t="s">
        <v>28214</v>
      </c>
      <c r="I12231" t="s">
        <v>3797</v>
      </c>
      <c r="J12231" t="s">
        <v>31934</v>
      </c>
      <c r="K12231" t="s">
        <v>36877</v>
      </c>
      <c r="M12231" t="s">
        <v>39520</v>
      </c>
      <c r="N12231" t="s">
        <v>40436</v>
      </c>
      <c r="O12231" t="s">
        <v>40437</v>
      </c>
      <c r="P12231">
        <v>0</v>
      </c>
      <c r="Q12231">
        <v>12</v>
      </c>
      <c r="R12231" t="s">
        <v>40454</v>
      </c>
      <c r="S12231" t="s">
        <v>41306</v>
      </c>
      <c r="T12231" t="s">
        <v>42103</v>
      </c>
      <c r="U12231" t="s">
        <v>52669</v>
      </c>
      <c r="V12231" t="s">
        <v>55182</v>
      </c>
      <c r="W12231" t="s">
        <v>39520</v>
      </c>
      <c r="X12231" t="s">
        <v>40455</v>
      </c>
    </row>
    <row r="12232" spans="1:24">
      <c r="A12232">
        <f>HYPERLINK("https://www.philgeps.gov.ph/GEPSNONPILOT/Tender/SplashBidNoticeAbstractUI.aspx?menuIndex=3&amp;refID=7019058&amp;Result=3","7019058")</f>
        <v>0</v>
      </c>
      <c r="B12232" t="s">
        <v>916</v>
      </c>
      <c r="C12232" t="s">
        <v>14797</v>
      </c>
      <c r="D12232" t="s">
        <v>16210</v>
      </c>
      <c r="E12232" t="s">
        <v>26877</v>
      </c>
      <c r="F12232" t="s">
        <v>28198</v>
      </c>
      <c r="G12232" t="s">
        <v>28205</v>
      </c>
      <c r="H12232" t="s">
        <v>28215</v>
      </c>
      <c r="I12232" t="s">
        <v>28247</v>
      </c>
      <c r="J12232" t="s">
        <v>35846</v>
      </c>
      <c r="K12232" t="s">
        <v>36697</v>
      </c>
      <c r="M12232" t="s">
        <v>40264</v>
      </c>
      <c r="N12232" t="s">
        <v>40436</v>
      </c>
      <c r="O12232" t="s">
        <v>40437</v>
      </c>
      <c r="P12232">
        <v>0</v>
      </c>
      <c r="Q12232">
        <v>14</v>
      </c>
      <c r="R12232" t="s">
        <v>40454</v>
      </c>
      <c r="S12232" t="s">
        <v>41306</v>
      </c>
      <c r="T12232" t="s">
        <v>42134</v>
      </c>
      <c r="U12232" t="s">
        <v>52670</v>
      </c>
      <c r="W12232" t="s">
        <v>40264</v>
      </c>
      <c r="X12232" t="s">
        <v>40455</v>
      </c>
    </row>
    <row r="12233" spans="1:24">
      <c r="A12233">
        <f>HYPERLINK("https://www.philgeps.gov.ph/GEPSNONPILOT/Tender/SplashBidNoticeAbstractUI.aspx?menuIndex=3&amp;refID=7019057&amp;Result=3","7019057")</f>
        <v>0</v>
      </c>
      <c r="B12233" t="s">
        <v>916</v>
      </c>
      <c r="C12233" t="s">
        <v>14798</v>
      </c>
      <c r="D12233" t="s">
        <v>16210</v>
      </c>
      <c r="E12233" t="s">
        <v>26878</v>
      </c>
      <c r="F12233" t="s">
        <v>28198</v>
      </c>
      <c r="G12233" t="s">
        <v>28205</v>
      </c>
      <c r="H12233" t="s">
        <v>28215</v>
      </c>
      <c r="I12233" t="s">
        <v>28247</v>
      </c>
      <c r="J12233" t="s">
        <v>35847</v>
      </c>
      <c r="K12233" t="s">
        <v>36701</v>
      </c>
      <c r="M12233" t="s">
        <v>40264</v>
      </c>
      <c r="N12233" t="s">
        <v>40436</v>
      </c>
      <c r="O12233" t="s">
        <v>40437</v>
      </c>
      <c r="P12233">
        <v>0</v>
      </c>
      <c r="Q12233">
        <v>10</v>
      </c>
      <c r="R12233" t="s">
        <v>40454</v>
      </c>
      <c r="S12233" t="s">
        <v>41306</v>
      </c>
      <c r="T12233" t="s">
        <v>42134</v>
      </c>
      <c r="U12233" t="s">
        <v>52671</v>
      </c>
      <c r="W12233" t="s">
        <v>40264</v>
      </c>
      <c r="X12233" t="s">
        <v>40455</v>
      </c>
    </row>
    <row r="12234" spans="1:24">
      <c r="A12234">
        <f>HYPERLINK("https://www.philgeps.gov.ph/GEPSNONPILOT/Tender/SplashBidNoticeAbstractUI.aspx?menuIndex=3&amp;refID=7019073&amp;Result=3","7019073")</f>
        <v>0</v>
      </c>
      <c r="B12234" t="s">
        <v>2340</v>
      </c>
      <c r="C12234" t="s">
        <v>14799</v>
      </c>
      <c r="D12234" t="s">
        <v>16196</v>
      </c>
      <c r="E12234" t="s">
        <v>26879</v>
      </c>
      <c r="F12234" t="s">
        <v>28198</v>
      </c>
      <c r="G12234" t="s">
        <v>28205</v>
      </c>
      <c r="H12234" t="s">
        <v>28214</v>
      </c>
      <c r="I12234" t="s">
        <v>3797</v>
      </c>
      <c r="J12234" t="s">
        <v>34433</v>
      </c>
      <c r="K12234" t="s">
        <v>36961</v>
      </c>
      <c r="M12234" t="s">
        <v>39520</v>
      </c>
      <c r="N12234" t="s">
        <v>40436</v>
      </c>
      <c r="O12234" t="s">
        <v>40437</v>
      </c>
      <c r="P12234">
        <v>0</v>
      </c>
      <c r="Q12234">
        <v>4</v>
      </c>
      <c r="R12234" t="s">
        <v>40454</v>
      </c>
      <c r="S12234" t="s">
        <v>41306</v>
      </c>
      <c r="T12234" t="s">
        <v>42103</v>
      </c>
      <c r="U12234" t="s">
        <v>52672</v>
      </c>
      <c r="V12234" t="s">
        <v>55182</v>
      </c>
      <c r="W12234" t="s">
        <v>39520</v>
      </c>
      <c r="X12234" t="s">
        <v>40455</v>
      </c>
    </row>
    <row r="12235" spans="1:24">
      <c r="A12235">
        <f>HYPERLINK("https://www.philgeps.gov.ph/GEPSNONPILOT/Tender/SplashBidNoticeAbstractUI.aspx?menuIndex=3&amp;refID=7019034&amp;Result=3","7019034")</f>
        <v>0</v>
      </c>
      <c r="B12235" t="s">
        <v>660</v>
      </c>
      <c r="C12235" t="s">
        <v>14800</v>
      </c>
      <c r="D12235" t="s">
        <v>16188</v>
      </c>
      <c r="E12235" t="s">
        <v>17562</v>
      </c>
      <c r="F12235" t="s">
        <v>28198</v>
      </c>
      <c r="G12235" t="s">
        <v>28205</v>
      </c>
      <c r="H12235" t="s">
        <v>28215</v>
      </c>
      <c r="I12235" t="s">
        <v>28238</v>
      </c>
      <c r="J12235" t="s">
        <v>35848</v>
      </c>
      <c r="K12235" t="s">
        <v>36689</v>
      </c>
      <c r="M12235" t="s">
        <v>37656</v>
      </c>
      <c r="N12235" t="s">
        <v>40436</v>
      </c>
      <c r="O12235" t="s">
        <v>40437</v>
      </c>
      <c r="Q12235">
        <v>8</v>
      </c>
      <c r="R12235" t="s">
        <v>40454</v>
      </c>
      <c r="S12235" t="s">
        <v>41329</v>
      </c>
      <c r="T12235" t="s">
        <v>42228</v>
      </c>
      <c r="U12235" t="s">
        <v>52673</v>
      </c>
      <c r="W12235" t="s">
        <v>37656</v>
      </c>
      <c r="X12235" t="s">
        <v>40455</v>
      </c>
    </row>
    <row r="12236" spans="1:24">
      <c r="A12236">
        <f>HYPERLINK("https://www.philgeps.gov.ph/GEPSNONPILOT/Tender/SplashBidNoticeAbstractUI.aspx?menuIndex=3&amp;refID=7019050&amp;Result=3","7019050")</f>
        <v>0</v>
      </c>
      <c r="B12236" t="s">
        <v>825</v>
      </c>
      <c r="C12236" t="s">
        <v>14801</v>
      </c>
      <c r="D12236" t="s">
        <v>16208</v>
      </c>
      <c r="E12236" t="s">
        <v>26880</v>
      </c>
      <c r="F12236" t="s">
        <v>28198</v>
      </c>
      <c r="G12236" t="s">
        <v>28205</v>
      </c>
      <c r="H12236" t="s">
        <v>28214</v>
      </c>
      <c r="I12236" t="s">
        <v>3797</v>
      </c>
      <c r="J12236" t="s">
        <v>28398</v>
      </c>
      <c r="K12236" t="s">
        <v>36694</v>
      </c>
      <c r="M12236" t="s">
        <v>37837</v>
      </c>
      <c r="N12236" t="s">
        <v>40436</v>
      </c>
      <c r="O12236" t="s">
        <v>40437</v>
      </c>
      <c r="P12236">
        <v>0</v>
      </c>
      <c r="Q12236">
        <v>0</v>
      </c>
      <c r="R12236" t="s">
        <v>40454</v>
      </c>
      <c r="S12236" t="s">
        <v>41306</v>
      </c>
      <c r="T12236" t="s">
        <v>42103</v>
      </c>
      <c r="U12236" t="s">
        <v>52674</v>
      </c>
      <c r="W12236" t="s">
        <v>37837</v>
      </c>
      <c r="X12236" t="s">
        <v>40455</v>
      </c>
    </row>
    <row r="12237" spans="1:24">
      <c r="A12237">
        <f>HYPERLINK("https://www.philgeps.gov.ph/GEPSNONPILOT/Tender/SplashBidNoticeAbstractUI.aspx?menuIndex=3&amp;refID=7019047&amp;Result=3","7019047")</f>
        <v>0</v>
      </c>
      <c r="B12237" t="s">
        <v>2973</v>
      </c>
      <c r="C12237" t="s">
        <v>14802</v>
      </c>
      <c r="D12237" t="s">
        <v>16197</v>
      </c>
      <c r="E12237" t="s">
        <v>16657</v>
      </c>
      <c r="F12237" t="s">
        <v>28198</v>
      </c>
      <c r="G12237" t="s">
        <v>28205</v>
      </c>
      <c r="H12237" t="s">
        <v>28215</v>
      </c>
      <c r="I12237" t="s">
        <v>5100</v>
      </c>
      <c r="J12237" t="s">
        <v>35849</v>
      </c>
      <c r="K12237" t="s">
        <v>36687</v>
      </c>
      <c r="M12237" t="s">
        <v>40262</v>
      </c>
      <c r="N12237" t="s">
        <v>40436</v>
      </c>
      <c r="O12237" t="s">
        <v>40437</v>
      </c>
      <c r="P12237">
        <v>0</v>
      </c>
      <c r="Q12237">
        <v>0</v>
      </c>
      <c r="R12237" t="s">
        <v>40454</v>
      </c>
      <c r="S12237" t="s">
        <v>41306</v>
      </c>
      <c r="T12237" t="s">
        <v>42295</v>
      </c>
      <c r="U12237" t="s">
        <v>52661</v>
      </c>
      <c r="W12237" t="s">
        <v>40262</v>
      </c>
      <c r="X12237" t="s">
        <v>40455</v>
      </c>
    </row>
    <row r="12238" spans="1:24">
      <c r="A12238">
        <f>HYPERLINK("https://www.philgeps.gov.ph/GEPSNONPILOT/Tender/SplashBidNoticeAbstractUI.aspx?menuIndex=3&amp;refID=7017235&amp;Result=3","7017235")</f>
        <v>0</v>
      </c>
      <c r="B12238" t="s">
        <v>775</v>
      </c>
      <c r="C12238" t="s">
        <v>14803</v>
      </c>
      <c r="D12238" t="s">
        <v>16206</v>
      </c>
      <c r="E12238" t="s">
        <v>26881</v>
      </c>
      <c r="F12238" t="s">
        <v>28198</v>
      </c>
      <c r="G12238" t="s">
        <v>28205</v>
      </c>
      <c r="H12238" t="s">
        <v>28215</v>
      </c>
      <c r="I12238" t="s">
        <v>28243</v>
      </c>
      <c r="J12238" t="s">
        <v>28730</v>
      </c>
      <c r="K12238" t="s">
        <v>36715</v>
      </c>
      <c r="M12238" t="s">
        <v>37779</v>
      </c>
      <c r="N12238" t="s">
        <v>40436</v>
      </c>
      <c r="O12238" t="s">
        <v>40437</v>
      </c>
      <c r="P12238">
        <v>0</v>
      </c>
      <c r="Q12238">
        <v>3</v>
      </c>
      <c r="R12238" t="s">
        <v>40455</v>
      </c>
      <c r="S12238" t="s">
        <v>41330</v>
      </c>
      <c r="T12238" t="s">
        <v>42188</v>
      </c>
      <c r="U12238" t="s">
        <v>52675</v>
      </c>
      <c r="W12238" t="s">
        <v>37779</v>
      </c>
      <c r="X12238" t="s">
        <v>40457</v>
      </c>
    </row>
    <row r="12239" spans="1:24">
      <c r="A12239">
        <f>HYPERLINK("https://www.philgeps.gov.ph/GEPSNONPILOT/Tender/SplashBidNoticeAbstractUI.aspx?menuIndex=3&amp;refID=7017453&amp;Result=3","7017453")</f>
        <v>0</v>
      </c>
      <c r="B12239" t="s">
        <v>215</v>
      </c>
      <c r="C12239" t="s">
        <v>14804</v>
      </c>
      <c r="D12239" t="s">
        <v>16218</v>
      </c>
      <c r="E12239" t="s">
        <v>26882</v>
      </c>
      <c r="F12239" t="s">
        <v>28198</v>
      </c>
      <c r="G12239" t="s">
        <v>28205</v>
      </c>
      <c r="H12239" t="s">
        <v>28214</v>
      </c>
      <c r="I12239" t="s">
        <v>3797</v>
      </c>
      <c r="J12239" t="s">
        <v>35850</v>
      </c>
      <c r="K12239" t="s">
        <v>36865</v>
      </c>
      <c r="M12239" t="s">
        <v>37795</v>
      </c>
      <c r="N12239" t="s">
        <v>40436</v>
      </c>
      <c r="O12239" t="s">
        <v>40437</v>
      </c>
      <c r="P12239">
        <v>0</v>
      </c>
      <c r="Q12239">
        <v>0</v>
      </c>
      <c r="R12239" t="s">
        <v>40455</v>
      </c>
      <c r="S12239" t="s">
        <v>41330</v>
      </c>
      <c r="T12239" t="s">
        <v>42340</v>
      </c>
      <c r="U12239" t="s">
        <v>52676</v>
      </c>
      <c r="W12239" t="s">
        <v>37795</v>
      </c>
      <c r="X12239" t="s">
        <v>40457</v>
      </c>
    </row>
    <row r="12240" spans="1:24">
      <c r="A12240">
        <f>HYPERLINK("https://www.philgeps.gov.ph/GEPSNONPILOT/Tender/SplashBidNoticeAbstractUI.aspx?menuIndex=3&amp;refID=7019051&amp;Result=3","7019051")</f>
        <v>0</v>
      </c>
      <c r="B12240" t="s">
        <v>825</v>
      </c>
      <c r="C12240" t="s">
        <v>14805</v>
      </c>
      <c r="D12240" t="s">
        <v>16208</v>
      </c>
      <c r="E12240" t="s">
        <v>26883</v>
      </c>
      <c r="F12240" t="s">
        <v>28198</v>
      </c>
      <c r="G12240" t="s">
        <v>28205</v>
      </c>
      <c r="H12240" t="s">
        <v>28215</v>
      </c>
      <c r="I12240" t="s">
        <v>28224</v>
      </c>
      <c r="J12240" t="s">
        <v>28645</v>
      </c>
      <c r="K12240" t="s">
        <v>36701</v>
      </c>
      <c r="M12240" t="s">
        <v>37837</v>
      </c>
      <c r="N12240" t="s">
        <v>40436</v>
      </c>
      <c r="O12240" t="s">
        <v>40437</v>
      </c>
      <c r="P12240">
        <v>0</v>
      </c>
      <c r="Q12240">
        <v>2</v>
      </c>
      <c r="R12240" t="s">
        <v>40454</v>
      </c>
      <c r="S12240" t="s">
        <v>41306</v>
      </c>
      <c r="T12240" t="s">
        <v>42103</v>
      </c>
      <c r="U12240" t="s">
        <v>52677</v>
      </c>
      <c r="W12240" t="s">
        <v>37837</v>
      </c>
      <c r="X12240" t="s">
        <v>40455</v>
      </c>
    </row>
    <row r="12241" spans="1:24">
      <c r="A12241">
        <f>HYPERLINK("https://www.philgeps.gov.ph/GEPSNONPILOT/Tender/SplashBidNoticeAbstractUI.aspx?menuIndex=3&amp;refID=7017171&amp;Result=3","7017171")</f>
        <v>0</v>
      </c>
      <c r="B12241" t="s">
        <v>215</v>
      </c>
      <c r="C12241" t="s">
        <v>14806</v>
      </c>
      <c r="D12241" t="s">
        <v>16218</v>
      </c>
      <c r="E12241" t="s">
        <v>26884</v>
      </c>
      <c r="F12241" t="s">
        <v>28198</v>
      </c>
      <c r="G12241" t="s">
        <v>28205</v>
      </c>
      <c r="H12241" t="s">
        <v>28214</v>
      </c>
      <c r="I12241" t="s">
        <v>3797</v>
      </c>
      <c r="J12241" t="s">
        <v>35851</v>
      </c>
      <c r="K12241" t="s">
        <v>36859</v>
      </c>
      <c r="M12241" t="s">
        <v>37795</v>
      </c>
      <c r="N12241" t="s">
        <v>40436</v>
      </c>
      <c r="O12241" t="s">
        <v>40437</v>
      </c>
      <c r="P12241">
        <v>0</v>
      </c>
      <c r="Q12241">
        <v>1</v>
      </c>
      <c r="R12241" t="s">
        <v>40455</v>
      </c>
      <c r="S12241" t="s">
        <v>41330</v>
      </c>
      <c r="T12241" t="s">
        <v>42340</v>
      </c>
      <c r="U12241" t="s">
        <v>52678</v>
      </c>
      <c r="W12241" t="s">
        <v>37795</v>
      </c>
      <c r="X12241" t="s">
        <v>40457</v>
      </c>
    </row>
    <row r="12242" spans="1:24">
      <c r="A12242">
        <f>HYPERLINK("https://www.philgeps.gov.ph/GEPSNONPILOT/Tender/SplashBidNoticeAbstractUI.aspx?menuIndex=3&amp;refID=7017272&amp;Result=3","7017272")</f>
        <v>0</v>
      </c>
      <c r="B12242" t="s">
        <v>215</v>
      </c>
      <c r="C12242" t="s">
        <v>14807</v>
      </c>
      <c r="D12242" t="s">
        <v>16218</v>
      </c>
      <c r="E12242" t="s">
        <v>26885</v>
      </c>
      <c r="F12242" t="s">
        <v>28198</v>
      </c>
      <c r="G12242" t="s">
        <v>28205</v>
      </c>
      <c r="H12242" t="s">
        <v>28214</v>
      </c>
      <c r="I12242" t="s">
        <v>3797</v>
      </c>
      <c r="J12242" t="s">
        <v>35852</v>
      </c>
      <c r="K12242" t="s">
        <v>36865</v>
      </c>
      <c r="M12242" t="s">
        <v>37795</v>
      </c>
      <c r="N12242" t="s">
        <v>40436</v>
      </c>
      <c r="O12242" t="s">
        <v>40437</v>
      </c>
      <c r="P12242">
        <v>0</v>
      </c>
      <c r="Q12242">
        <v>0</v>
      </c>
      <c r="R12242" t="s">
        <v>40455</v>
      </c>
      <c r="S12242" t="s">
        <v>41330</v>
      </c>
      <c r="T12242" t="s">
        <v>42340</v>
      </c>
      <c r="U12242" t="s">
        <v>52679</v>
      </c>
      <c r="W12242" t="s">
        <v>37795</v>
      </c>
      <c r="X12242" t="s">
        <v>40457</v>
      </c>
    </row>
    <row r="12243" spans="1:24">
      <c r="A12243">
        <f>HYPERLINK("https://www.philgeps.gov.ph/GEPSNONPILOT/Tender/SplashBidNoticeAbstractUI.aspx?menuIndex=3&amp;refID=7019041&amp;Result=3","7019041")</f>
        <v>0</v>
      </c>
      <c r="B12243" t="s">
        <v>2973</v>
      </c>
      <c r="C12243" t="s">
        <v>14808</v>
      </c>
      <c r="D12243" t="s">
        <v>16197</v>
      </c>
      <c r="E12243" t="s">
        <v>26886</v>
      </c>
      <c r="F12243" t="s">
        <v>28198</v>
      </c>
      <c r="G12243" t="s">
        <v>28205</v>
      </c>
      <c r="H12243" t="s">
        <v>28215</v>
      </c>
      <c r="I12243" t="s">
        <v>5100</v>
      </c>
      <c r="J12243" t="s">
        <v>35853</v>
      </c>
      <c r="K12243" t="s">
        <v>36687</v>
      </c>
      <c r="M12243" t="s">
        <v>40262</v>
      </c>
      <c r="N12243" t="s">
        <v>40436</v>
      </c>
      <c r="O12243" t="s">
        <v>40437</v>
      </c>
      <c r="P12243">
        <v>0</v>
      </c>
      <c r="Q12243">
        <v>1</v>
      </c>
      <c r="R12243" t="s">
        <v>40454</v>
      </c>
      <c r="S12243" t="s">
        <v>41306</v>
      </c>
      <c r="T12243" t="s">
        <v>42295</v>
      </c>
      <c r="U12243" t="s">
        <v>52661</v>
      </c>
      <c r="W12243" t="s">
        <v>40262</v>
      </c>
      <c r="X12243" t="s">
        <v>40455</v>
      </c>
    </row>
    <row r="12244" spans="1:24">
      <c r="A12244">
        <f>HYPERLINK("https://www.philgeps.gov.ph/GEPSNONPILOT/Tender/SplashBidNoticeAbstractUI.aspx?menuIndex=3&amp;refID=7017713&amp;Result=3","7017713")</f>
        <v>0</v>
      </c>
      <c r="B12244" t="s">
        <v>215</v>
      </c>
      <c r="C12244" t="s">
        <v>14809</v>
      </c>
      <c r="D12244" t="s">
        <v>16218</v>
      </c>
      <c r="E12244" t="s">
        <v>26887</v>
      </c>
      <c r="F12244" t="s">
        <v>28198</v>
      </c>
      <c r="G12244" t="s">
        <v>28205</v>
      </c>
      <c r="H12244" t="s">
        <v>28214</v>
      </c>
      <c r="I12244" t="s">
        <v>3797</v>
      </c>
      <c r="J12244" t="s">
        <v>35854</v>
      </c>
      <c r="K12244" t="s">
        <v>36895</v>
      </c>
      <c r="M12244" t="s">
        <v>37795</v>
      </c>
      <c r="N12244" t="s">
        <v>40436</v>
      </c>
      <c r="O12244" t="s">
        <v>40437</v>
      </c>
      <c r="P12244">
        <v>0</v>
      </c>
      <c r="Q12244">
        <v>0</v>
      </c>
      <c r="R12244" t="s">
        <v>40455</v>
      </c>
      <c r="S12244" t="s">
        <v>41330</v>
      </c>
      <c r="T12244" t="s">
        <v>42340</v>
      </c>
      <c r="U12244" t="s">
        <v>52680</v>
      </c>
      <c r="W12244" t="s">
        <v>37795</v>
      </c>
      <c r="X12244" t="s">
        <v>40457</v>
      </c>
    </row>
    <row r="12245" spans="1:24">
      <c r="A12245">
        <f>HYPERLINK("https://www.philgeps.gov.ph/GEPSNONPILOT/Tender/SplashBidNoticeAbstractUI.aspx?menuIndex=3&amp;refID=7017018&amp;Result=3","7017018")</f>
        <v>0</v>
      </c>
      <c r="B12245" t="s">
        <v>215</v>
      </c>
      <c r="C12245" t="s">
        <v>14810</v>
      </c>
      <c r="D12245" t="s">
        <v>16218</v>
      </c>
      <c r="E12245" t="s">
        <v>26888</v>
      </c>
      <c r="F12245" t="s">
        <v>28198</v>
      </c>
      <c r="G12245" t="s">
        <v>28205</v>
      </c>
      <c r="H12245" t="s">
        <v>28214</v>
      </c>
      <c r="I12245" t="s">
        <v>3797</v>
      </c>
      <c r="J12245" t="s">
        <v>35855</v>
      </c>
      <c r="K12245" t="s">
        <v>36734</v>
      </c>
      <c r="M12245" t="s">
        <v>37795</v>
      </c>
      <c r="N12245" t="s">
        <v>40436</v>
      </c>
      <c r="O12245" t="s">
        <v>40437</v>
      </c>
      <c r="P12245">
        <v>0</v>
      </c>
      <c r="Q12245">
        <v>0</v>
      </c>
      <c r="R12245" t="s">
        <v>40455</v>
      </c>
      <c r="S12245" t="s">
        <v>41330</v>
      </c>
      <c r="T12245" t="s">
        <v>42340</v>
      </c>
      <c r="U12245" t="s">
        <v>52681</v>
      </c>
      <c r="W12245" t="s">
        <v>37795</v>
      </c>
      <c r="X12245" t="s">
        <v>40457</v>
      </c>
    </row>
    <row r="12246" spans="1:24">
      <c r="A12246">
        <f>HYPERLINK("https://www.philgeps.gov.ph/GEPSNONPILOT/Tender/SplashBidNoticeAbstractUI.aspx?menuIndex=3&amp;refID=7016002&amp;Result=3","7016002")</f>
        <v>0</v>
      </c>
      <c r="B12246" t="s">
        <v>215</v>
      </c>
      <c r="C12246" t="s">
        <v>14811</v>
      </c>
      <c r="D12246" t="s">
        <v>16218</v>
      </c>
      <c r="E12246" t="s">
        <v>26889</v>
      </c>
      <c r="F12246" t="s">
        <v>28198</v>
      </c>
      <c r="G12246" t="s">
        <v>28205</v>
      </c>
      <c r="H12246" t="s">
        <v>28214</v>
      </c>
      <c r="I12246" t="s">
        <v>3797</v>
      </c>
      <c r="J12246" t="s">
        <v>35856</v>
      </c>
      <c r="K12246" t="s">
        <v>36793</v>
      </c>
      <c r="M12246" t="s">
        <v>37795</v>
      </c>
      <c r="N12246" t="s">
        <v>40436</v>
      </c>
      <c r="O12246" t="s">
        <v>40437</v>
      </c>
      <c r="P12246">
        <v>0</v>
      </c>
      <c r="Q12246">
        <v>1</v>
      </c>
      <c r="R12246" t="s">
        <v>40455</v>
      </c>
      <c r="S12246" t="s">
        <v>41330</v>
      </c>
      <c r="T12246" t="s">
        <v>42340</v>
      </c>
      <c r="U12246" t="s">
        <v>52682</v>
      </c>
      <c r="W12246" t="s">
        <v>37795</v>
      </c>
      <c r="X12246" t="s">
        <v>40458</v>
      </c>
    </row>
    <row r="12247" spans="1:24">
      <c r="A12247">
        <f>HYPERLINK("https://www.philgeps.gov.ph/GEPSNONPILOT/Tender/SplashBidNoticeAbstractUI.aspx?menuIndex=3&amp;refID=7016899&amp;Result=3","7016899")</f>
        <v>0</v>
      </c>
      <c r="B12247" t="s">
        <v>215</v>
      </c>
      <c r="C12247" t="s">
        <v>14812</v>
      </c>
      <c r="D12247" t="s">
        <v>16218</v>
      </c>
      <c r="E12247" t="s">
        <v>26890</v>
      </c>
      <c r="F12247" t="s">
        <v>28198</v>
      </c>
      <c r="G12247" t="s">
        <v>28205</v>
      </c>
      <c r="H12247" t="s">
        <v>28214</v>
      </c>
      <c r="I12247" t="s">
        <v>3797</v>
      </c>
      <c r="J12247" t="s">
        <v>35857</v>
      </c>
      <c r="K12247" t="s">
        <v>36795</v>
      </c>
      <c r="M12247" t="s">
        <v>37795</v>
      </c>
      <c r="N12247" t="s">
        <v>40436</v>
      </c>
      <c r="O12247" t="s">
        <v>40437</v>
      </c>
      <c r="P12247">
        <v>0</v>
      </c>
      <c r="Q12247">
        <v>0</v>
      </c>
      <c r="R12247" t="s">
        <v>40455</v>
      </c>
      <c r="S12247" t="s">
        <v>41330</v>
      </c>
      <c r="T12247" t="s">
        <v>42340</v>
      </c>
      <c r="U12247" t="s">
        <v>52683</v>
      </c>
      <c r="W12247" t="s">
        <v>37795</v>
      </c>
      <c r="X12247" t="s">
        <v>40457</v>
      </c>
    </row>
    <row r="12248" spans="1:24">
      <c r="A12248">
        <f>HYPERLINK("https://www.philgeps.gov.ph/GEPSNONPILOT/Tender/SplashBidNoticeAbstractUI.aspx?menuIndex=3&amp;refID=7016955&amp;Result=3","7016955")</f>
        <v>0</v>
      </c>
      <c r="B12248" t="s">
        <v>215</v>
      </c>
      <c r="C12248" t="s">
        <v>14813</v>
      </c>
      <c r="D12248" t="s">
        <v>16218</v>
      </c>
      <c r="E12248" t="s">
        <v>26891</v>
      </c>
      <c r="F12248" t="s">
        <v>28198</v>
      </c>
      <c r="G12248" t="s">
        <v>28205</v>
      </c>
      <c r="H12248" t="s">
        <v>28214</v>
      </c>
      <c r="I12248" t="s">
        <v>3797</v>
      </c>
      <c r="J12248" t="s">
        <v>35858</v>
      </c>
      <c r="K12248" t="s">
        <v>36784</v>
      </c>
      <c r="M12248" t="s">
        <v>37795</v>
      </c>
      <c r="N12248" t="s">
        <v>40436</v>
      </c>
      <c r="O12248" t="s">
        <v>40437</v>
      </c>
      <c r="P12248">
        <v>0</v>
      </c>
      <c r="Q12248">
        <v>0</v>
      </c>
      <c r="R12248" t="s">
        <v>40455</v>
      </c>
      <c r="S12248" t="s">
        <v>41330</v>
      </c>
      <c r="T12248" t="s">
        <v>42340</v>
      </c>
      <c r="U12248" t="s">
        <v>52684</v>
      </c>
      <c r="W12248" t="s">
        <v>37795</v>
      </c>
      <c r="X12248" t="s">
        <v>40457</v>
      </c>
    </row>
    <row r="12249" spans="1:24">
      <c r="A12249">
        <f>HYPERLINK("https://www.philgeps.gov.ph/GEPSNONPILOT/Tender/SplashBidNoticeAbstractUI.aspx?menuIndex=3&amp;refID=7016795&amp;Result=3","7016795")</f>
        <v>0</v>
      </c>
      <c r="B12249" t="s">
        <v>215</v>
      </c>
      <c r="C12249" t="s">
        <v>14814</v>
      </c>
      <c r="D12249" t="s">
        <v>16218</v>
      </c>
      <c r="E12249" t="s">
        <v>26892</v>
      </c>
      <c r="F12249" t="s">
        <v>28198</v>
      </c>
      <c r="G12249" t="s">
        <v>28205</v>
      </c>
      <c r="H12249" t="s">
        <v>28214</v>
      </c>
      <c r="I12249" t="s">
        <v>3797</v>
      </c>
      <c r="J12249" t="s">
        <v>35859</v>
      </c>
      <c r="K12249" t="s">
        <v>36962</v>
      </c>
      <c r="M12249" t="s">
        <v>37795</v>
      </c>
      <c r="N12249" t="s">
        <v>40436</v>
      </c>
      <c r="O12249" t="s">
        <v>40437</v>
      </c>
      <c r="P12249">
        <v>0</v>
      </c>
      <c r="Q12249">
        <v>1</v>
      </c>
      <c r="R12249" t="s">
        <v>40455</v>
      </c>
      <c r="S12249" t="s">
        <v>41330</v>
      </c>
      <c r="T12249" t="s">
        <v>42340</v>
      </c>
      <c r="U12249" t="s">
        <v>52685</v>
      </c>
      <c r="W12249" t="s">
        <v>37795</v>
      </c>
      <c r="X12249" t="s">
        <v>40457</v>
      </c>
    </row>
    <row r="12250" spans="1:24">
      <c r="A12250">
        <f>HYPERLINK("https://www.philgeps.gov.ph/GEPSNONPILOT/Tender/SplashBidNoticeAbstractUI.aspx?menuIndex=3&amp;refID=7017208&amp;Result=3","7017208")</f>
        <v>0</v>
      </c>
      <c r="B12250" t="s">
        <v>215</v>
      </c>
      <c r="C12250" t="s">
        <v>14815</v>
      </c>
      <c r="D12250" t="s">
        <v>16218</v>
      </c>
      <c r="E12250" t="s">
        <v>26893</v>
      </c>
      <c r="F12250" t="s">
        <v>28198</v>
      </c>
      <c r="G12250" t="s">
        <v>28205</v>
      </c>
      <c r="H12250" t="s">
        <v>28214</v>
      </c>
      <c r="I12250" t="s">
        <v>3797</v>
      </c>
      <c r="J12250" t="s">
        <v>35860</v>
      </c>
      <c r="K12250" t="s">
        <v>36715</v>
      </c>
      <c r="M12250" t="s">
        <v>37795</v>
      </c>
      <c r="N12250" t="s">
        <v>40436</v>
      </c>
      <c r="O12250" t="s">
        <v>40437</v>
      </c>
      <c r="P12250">
        <v>0</v>
      </c>
      <c r="Q12250">
        <v>0</v>
      </c>
      <c r="R12250" t="s">
        <v>40455</v>
      </c>
      <c r="S12250" t="s">
        <v>41330</v>
      </c>
      <c r="T12250" t="s">
        <v>42340</v>
      </c>
      <c r="U12250" t="s">
        <v>52686</v>
      </c>
      <c r="W12250" t="s">
        <v>37795</v>
      </c>
      <c r="X12250" t="s">
        <v>40457</v>
      </c>
    </row>
    <row r="12251" spans="1:24">
      <c r="A12251">
        <f>HYPERLINK("https://www.philgeps.gov.ph/GEPSNONPILOT/Tender/SplashBidNoticeAbstractUI.aspx?menuIndex=3&amp;refID=7010540&amp;Result=3","7010540")</f>
        <v>0</v>
      </c>
      <c r="B12251" t="s">
        <v>799</v>
      </c>
      <c r="C12251" t="s">
        <v>14816</v>
      </c>
      <c r="E12251" t="s">
        <v>26894</v>
      </c>
      <c r="F12251" t="s">
        <v>28198</v>
      </c>
      <c r="G12251" t="s">
        <v>28205</v>
      </c>
      <c r="H12251" t="s">
        <v>28215</v>
      </c>
      <c r="I12251" t="s">
        <v>28224</v>
      </c>
      <c r="J12251" t="s">
        <v>35861</v>
      </c>
      <c r="K12251" t="s">
        <v>36701</v>
      </c>
      <c r="M12251" t="s">
        <v>40265</v>
      </c>
      <c r="N12251" t="s">
        <v>40436</v>
      </c>
      <c r="O12251" t="s">
        <v>40437</v>
      </c>
      <c r="Q12251">
        <v>4</v>
      </c>
      <c r="R12251" t="s">
        <v>40455</v>
      </c>
      <c r="S12251" t="s">
        <v>41331</v>
      </c>
      <c r="T12251" t="s">
        <v>42119</v>
      </c>
      <c r="U12251" t="s">
        <v>52687</v>
      </c>
      <c r="W12251" t="s">
        <v>40265</v>
      </c>
      <c r="X12251" t="s">
        <v>40460</v>
      </c>
    </row>
    <row r="12252" spans="1:24">
      <c r="A12252">
        <f>HYPERLINK("https://www.philgeps.gov.ph/GEPSNONPILOT/Tender/SplashBidNoticeAbstractUI.aspx?menuIndex=3&amp;refID=7018777&amp;Result=3","7018777")</f>
        <v>0</v>
      </c>
      <c r="B12252" t="s">
        <v>680</v>
      </c>
      <c r="C12252" t="s">
        <v>14817</v>
      </c>
      <c r="D12252" t="s">
        <v>16223</v>
      </c>
      <c r="E12252" t="s">
        <v>26895</v>
      </c>
      <c r="F12252" t="s">
        <v>28198</v>
      </c>
      <c r="G12252" t="s">
        <v>28205</v>
      </c>
      <c r="H12252" t="s">
        <v>28215</v>
      </c>
      <c r="I12252" t="s">
        <v>4321</v>
      </c>
      <c r="J12252" t="s">
        <v>35862</v>
      </c>
      <c r="K12252" t="s">
        <v>36706</v>
      </c>
      <c r="M12252" t="s">
        <v>37678</v>
      </c>
      <c r="N12252" t="s">
        <v>40436</v>
      </c>
      <c r="O12252" t="s">
        <v>40437</v>
      </c>
      <c r="P12252">
        <v>0</v>
      </c>
      <c r="Q12252">
        <v>0</v>
      </c>
      <c r="R12252" t="s">
        <v>40455</v>
      </c>
      <c r="S12252" t="s">
        <v>41330</v>
      </c>
      <c r="T12252" t="s">
        <v>42103</v>
      </c>
      <c r="U12252" t="s">
        <v>52688</v>
      </c>
      <c r="V12252" t="s">
        <v>53826</v>
      </c>
      <c r="W12252" t="s">
        <v>55456</v>
      </c>
      <c r="X12252" t="s">
        <v>40456</v>
      </c>
    </row>
    <row r="12253" spans="1:24">
      <c r="A12253">
        <f>HYPERLINK("https://www.philgeps.gov.ph/GEPSNONPILOT/Tender/SplashBidNoticeAbstractUI.aspx?menuIndex=3&amp;refID=7018717&amp;Result=3","7018717")</f>
        <v>0</v>
      </c>
      <c r="B12253" t="s">
        <v>1625</v>
      </c>
      <c r="C12253" t="s">
        <v>14818</v>
      </c>
      <c r="D12253" t="s">
        <v>16235</v>
      </c>
      <c r="E12253" t="s">
        <v>26896</v>
      </c>
      <c r="F12253" t="s">
        <v>28198</v>
      </c>
      <c r="G12253" t="s">
        <v>28205</v>
      </c>
      <c r="H12253" t="s">
        <v>28214</v>
      </c>
      <c r="I12253" t="s">
        <v>3797</v>
      </c>
      <c r="J12253" t="s">
        <v>28362</v>
      </c>
      <c r="K12253" t="s">
        <v>36694</v>
      </c>
      <c r="M12253" t="s">
        <v>38714</v>
      </c>
      <c r="N12253" t="s">
        <v>40436</v>
      </c>
      <c r="O12253" t="s">
        <v>40437</v>
      </c>
      <c r="P12253">
        <v>0</v>
      </c>
      <c r="Q12253">
        <v>0</v>
      </c>
      <c r="R12253" t="s">
        <v>40455</v>
      </c>
      <c r="S12253" t="s">
        <v>41330</v>
      </c>
      <c r="T12253" t="s">
        <v>42161</v>
      </c>
      <c r="U12253" t="s">
        <v>52689</v>
      </c>
      <c r="W12253" t="s">
        <v>38714</v>
      </c>
      <c r="X12253" t="s">
        <v>40456</v>
      </c>
    </row>
    <row r="12254" spans="1:24">
      <c r="A12254">
        <f>HYPERLINK("https://www.philgeps.gov.ph/GEPSNONPILOT/Tender/SplashBidNoticeAbstractUI.aspx?menuIndex=3&amp;refID=7018706&amp;Result=3","7018706")</f>
        <v>0</v>
      </c>
      <c r="B12254" t="s">
        <v>2975</v>
      </c>
      <c r="C12254" t="s">
        <v>14819</v>
      </c>
      <c r="D12254" t="s">
        <v>16267</v>
      </c>
      <c r="E12254" t="s">
        <v>26897</v>
      </c>
      <c r="F12254" t="s">
        <v>28198</v>
      </c>
      <c r="G12254" t="s">
        <v>28205</v>
      </c>
      <c r="H12254" t="s">
        <v>28214</v>
      </c>
      <c r="I12254" t="s">
        <v>3797</v>
      </c>
      <c r="J12254" t="s">
        <v>32323</v>
      </c>
      <c r="K12254" t="s">
        <v>36823</v>
      </c>
      <c r="M12254" t="s">
        <v>40266</v>
      </c>
      <c r="N12254" t="s">
        <v>40436</v>
      </c>
      <c r="O12254" t="s">
        <v>40437</v>
      </c>
      <c r="P12254">
        <v>0</v>
      </c>
      <c r="Q12254">
        <v>0</v>
      </c>
      <c r="R12254" t="s">
        <v>40455</v>
      </c>
      <c r="S12254" t="s">
        <v>41330</v>
      </c>
      <c r="T12254" t="s">
        <v>42103</v>
      </c>
      <c r="U12254" t="s">
        <v>52690</v>
      </c>
      <c r="V12254" t="s">
        <v>55183</v>
      </c>
      <c r="W12254" t="s">
        <v>40266</v>
      </c>
      <c r="X12254" t="s">
        <v>40456</v>
      </c>
    </row>
    <row r="12255" spans="1:24">
      <c r="A12255">
        <f>HYPERLINK("https://www.philgeps.gov.ph/GEPSNONPILOT/Tender/SplashBidNoticeAbstractUI.aspx?menuIndex=3&amp;refID=7018722&amp;Result=3","7018722")</f>
        <v>0</v>
      </c>
      <c r="B12255" t="s">
        <v>680</v>
      </c>
      <c r="C12255" t="s">
        <v>14820</v>
      </c>
      <c r="D12255" t="s">
        <v>16223</v>
      </c>
      <c r="E12255" t="s">
        <v>26898</v>
      </c>
      <c r="F12255" t="s">
        <v>28198</v>
      </c>
      <c r="G12255" t="s">
        <v>28205</v>
      </c>
      <c r="H12255" t="s">
        <v>28215</v>
      </c>
      <c r="I12255" t="s">
        <v>5100</v>
      </c>
      <c r="J12255" t="s">
        <v>35863</v>
      </c>
      <c r="K12255" t="s">
        <v>36706</v>
      </c>
      <c r="M12255" t="s">
        <v>37678</v>
      </c>
      <c r="N12255" t="s">
        <v>40436</v>
      </c>
      <c r="O12255" t="s">
        <v>40437</v>
      </c>
      <c r="Q12255">
        <v>0</v>
      </c>
      <c r="R12255" t="s">
        <v>40455</v>
      </c>
      <c r="S12255" t="s">
        <v>41332</v>
      </c>
      <c r="T12255" t="s">
        <v>42103</v>
      </c>
      <c r="U12255" t="s">
        <v>52691</v>
      </c>
      <c r="V12255" t="s">
        <v>53826</v>
      </c>
      <c r="W12255" t="s">
        <v>55456</v>
      </c>
      <c r="X12255" t="s">
        <v>40456</v>
      </c>
    </row>
    <row r="12256" spans="1:24">
      <c r="A12256">
        <f>HYPERLINK("https://www.philgeps.gov.ph/GEPSNONPILOT/Tender/SplashBidNoticeAbstractUI.aspx?menuIndex=3&amp;refID=7018674&amp;Result=3","7018674")</f>
        <v>0</v>
      </c>
      <c r="B12256" t="s">
        <v>2975</v>
      </c>
      <c r="C12256" t="s">
        <v>14821</v>
      </c>
      <c r="D12256" t="s">
        <v>16267</v>
      </c>
      <c r="E12256" t="s">
        <v>26899</v>
      </c>
      <c r="F12256" t="s">
        <v>28198</v>
      </c>
      <c r="G12256" t="s">
        <v>28205</v>
      </c>
      <c r="H12256" t="s">
        <v>28214</v>
      </c>
      <c r="I12256" t="s">
        <v>3797</v>
      </c>
      <c r="J12256" t="s">
        <v>35864</v>
      </c>
      <c r="K12256" t="s">
        <v>36963</v>
      </c>
      <c r="M12256" t="s">
        <v>40266</v>
      </c>
      <c r="N12256" t="s">
        <v>40436</v>
      </c>
      <c r="O12256" t="s">
        <v>40437</v>
      </c>
      <c r="P12256">
        <v>0</v>
      </c>
      <c r="Q12256">
        <v>0</v>
      </c>
      <c r="R12256" t="s">
        <v>40455</v>
      </c>
      <c r="S12256" t="s">
        <v>41330</v>
      </c>
      <c r="T12256" t="s">
        <v>42103</v>
      </c>
      <c r="U12256" t="s">
        <v>52692</v>
      </c>
      <c r="V12256" t="s">
        <v>55183</v>
      </c>
      <c r="W12256" t="s">
        <v>40266</v>
      </c>
      <c r="X12256" t="s">
        <v>40456</v>
      </c>
    </row>
    <row r="12257" spans="1:24">
      <c r="A12257">
        <f>HYPERLINK("https://www.philgeps.gov.ph/GEPSNONPILOT/Tender/SplashBidNoticeAbstractUI.aspx?menuIndex=3&amp;refID=7018599&amp;Result=3","7018599")</f>
        <v>0</v>
      </c>
      <c r="B12257" t="s">
        <v>943</v>
      </c>
      <c r="C12257" t="s">
        <v>14822</v>
      </c>
      <c r="D12257" t="s">
        <v>16193</v>
      </c>
      <c r="E12257" t="s">
        <v>26900</v>
      </c>
      <c r="F12257" t="s">
        <v>28198</v>
      </c>
      <c r="G12257" t="s">
        <v>28205</v>
      </c>
      <c r="H12257" t="s">
        <v>28214</v>
      </c>
      <c r="I12257" t="s">
        <v>3797</v>
      </c>
      <c r="J12257" t="s">
        <v>29552</v>
      </c>
      <c r="K12257" t="s">
        <v>36724</v>
      </c>
      <c r="M12257" t="s">
        <v>38717</v>
      </c>
      <c r="N12257" t="s">
        <v>40436</v>
      </c>
      <c r="O12257" t="s">
        <v>40437</v>
      </c>
      <c r="Q12257">
        <v>4</v>
      </c>
      <c r="R12257" t="s">
        <v>40455</v>
      </c>
      <c r="S12257" t="s">
        <v>41333</v>
      </c>
      <c r="T12257" t="s">
        <v>42103</v>
      </c>
      <c r="U12257" t="s">
        <v>52693</v>
      </c>
      <c r="W12257" t="s">
        <v>38717</v>
      </c>
      <c r="X12257" t="s">
        <v>40456</v>
      </c>
    </row>
    <row r="12258" spans="1:24">
      <c r="A12258">
        <f>HYPERLINK("https://www.philgeps.gov.ph/GEPSNONPILOT/Tender/SplashBidNoticeAbstractUI.aspx?menuIndex=3&amp;refID=7018728&amp;Result=3","7018728")</f>
        <v>0</v>
      </c>
      <c r="B12258" t="s">
        <v>680</v>
      </c>
      <c r="C12258" t="s">
        <v>14823</v>
      </c>
      <c r="D12258" t="s">
        <v>16223</v>
      </c>
      <c r="E12258" t="s">
        <v>26901</v>
      </c>
      <c r="F12258" t="s">
        <v>28198</v>
      </c>
      <c r="G12258" t="s">
        <v>28205</v>
      </c>
      <c r="H12258" t="s">
        <v>28215</v>
      </c>
      <c r="I12258" t="s">
        <v>5100</v>
      </c>
      <c r="J12258" t="s">
        <v>35865</v>
      </c>
      <c r="K12258" t="s">
        <v>36706</v>
      </c>
      <c r="M12258" t="s">
        <v>37678</v>
      </c>
      <c r="N12258" t="s">
        <v>40436</v>
      </c>
      <c r="O12258" t="s">
        <v>40437</v>
      </c>
      <c r="Q12258">
        <v>0</v>
      </c>
      <c r="R12258" t="s">
        <v>40455</v>
      </c>
      <c r="S12258" t="s">
        <v>40943</v>
      </c>
      <c r="T12258" t="s">
        <v>42103</v>
      </c>
      <c r="U12258" t="s">
        <v>52694</v>
      </c>
      <c r="V12258" t="s">
        <v>53826</v>
      </c>
      <c r="W12258" t="s">
        <v>55456</v>
      </c>
      <c r="X12258" t="s">
        <v>40456</v>
      </c>
    </row>
    <row r="12259" spans="1:24">
      <c r="A12259">
        <f>HYPERLINK("https://www.philgeps.gov.ph/GEPSNONPILOT/Tender/SplashBidNoticeAbstractUI.aspx?menuIndex=3&amp;refID=7018601&amp;Result=3","7018601")</f>
        <v>0</v>
      </c>
      <c r="B12259" t="s">
        <v>943</v>
      </c>
      <c r="C12259" t="s">
        <v>14824</v>
      </c>
      <c r="D12259" t="s">
        <v>16193</v>
      </c>
      <c r="E12259" t="s">
        <v>26902</v>
      </c>
      <c r="F12259" t="s">
        <v>28198</v>
      </c>
      <c r="G12259" t="s">
        <v>28205</v>
      </c>
      <c r="H12259" t="s">
        <v>28214</v>
      </c>
      <c r="I12259" t="s">
        <v>3797</v>
      </c>
      <c r="J12259" t="s">
        <v>35866</v>
      </c>
      <c r="K12259" t="s">
        <v>36694</v>
      </c>
      <c r="M12259" t="s">
        <v>38717</v>
      </c>
      <c r="N12259" t="s">
        <v>40436</v>
      </c>
      <c r="O12259" t="s">
        <v>40437</v>
      </c>
      <c r="Q12259">
        <v>3</v>
      </c>
      <c r="R12259" t="s">
        <v>40455</v>
      </c>
      <c r="S12259" t="s">
        <v>41334</v>
      </c>
      <c r="T12259" t="s">
        <v>42103</v>
      </c>
      <c r="U12259" t="s">
        <v>52695</v>
      </c>
      <c r="W12259" t="s">
        <v>38717</v>
      </c>
      <c r="X12259" t="s">
        <v>40456</v>
      </c>
    </row>
    <row r="12260" spans="1:24">
      <c r="A12260">
        <f>HYPERLINK("https://www.philgeps.gov.ph/GEPSNONPILOT/Tender/SplashBidNoticeAbstractUI.aspx?menuIndex=3&amp;refID=7018773&amp;Result=3","7018773")</f>
        <v>0</v>
      </c>
      <c r="B12260" t="s">
        <v>680</v>
      </c>
      <c r="C12260" t="s">
        <v>14825</v>
      </c>
      <c r="D12260" t="s">
        <v>16223</v>
      </c>
      <c r="E12260" t="s">
        <v>26903</v>
      </c>
      <c r="F12260" t="s">
        <v>28198</v>
      </c>
      <c r="G12260" t="s">
        <v>28205</v>
      </c>
      <c r="H12260" t="s">
        <v>28215</v>
      </c>
      <c r="I12260" t="s">
        <v>28258</v>
      </c>
      <c r="J12260" t="s">
        <v>35867</v>
      </c>
      <c r="K12260" t="s">
        <v>36707</v>
      </c>
      <c r="M12260" t="s">
        <v>37678</v>
      </c>
      <c r="N12260" t="s">
        <v>40436</v>
      </c>
      <c r="O12260" t="s">
        <v>40437</v>
      </c>
      <c r="P12260">
        <v>0</v>
      </c>
      <c r="Q12260">
        <v>4</v>
      </c>
      <c r="R12260" t="s">
        <v>40455</v>
      </c>
      <c r="S12260" t="s">
        <v>41330</v>
      </c>
      <c r="T12260" t="s">
        <v>42103</v>
      </c>
      <c r="U12260" t="s">
        <v>52696</v>
      </c>
      <c r="V12260" t="s">
        <v>53826</v>
      </c>
      <c r="W12260" t="s">
        <v>55456</v>
      </c>
      <c r="X12260" t="s">
        <v>40456</v>
      </c>
    </row>
    <row r="12261" spans="1:24">
      <c r="A12261">
        <f>HYPERLINK("https://www.philgeps.gov.ph/GEPSNONPILOT/Tender/SplashBidNoticeAbstractUI.aspx?menuIndex=3&amp;refID=7017891&amp;Result=3","7017891")</f>
        <v>0</v>
      </c>
      <c r="B12261" t="s">
        <v>215</v>
      </c>
      <c r="C12261" t="s">
        <v>14826</v>
      </c>
      <c r="D12261" t="s">
        <v>16218</v>
      </c>
      <c r="E12261" t="s">
        <v>26904</v>
      </c>
      <c r="F12261" t="s">
        <v>28198</v>
      </c>
      <c r="G12261" t="s">
        <v>28205</v>
      </c>
      <c r="H12261" t="s">
        <v>28214</v>
      </c>
      <c r="I12261" t="s">
        <v>3797</v>
      </c>
      <c r="J12261" t="s">
        <v>35868</v>
      </c>
      <c r="K12261" t="s">
        <v>36883</v>
      </c>
      <c r="M12261" t="s">
        <v>37795</v>
      </c>
      <c r="N12261" t="s">
        <v>40436</v>
      </c>
      <c r="O12261" t="s">
        <v>40437</v>
      </c>
      <c r="P12261">
        <v>0</v>
      </c>
      <c r="Q12261">
        <v>0</v>
      </c>
      <c r="R12261" t="s">
        <v>40455</v>
      </c>
      <c r="S12261" t="s">
        <v>41330</v>
      </c>
      <c r="T12261" t="s">
        <v>42340</v>
      </c>
      <c r="U12261" t="s">
        <v>52697</v>
      </c>
      <c r="W12261" t="s">
        <v>37795</v>
      </c>
      <c r="X12261" t="s">
        <v>40457</v>
      </c>
    </row>
    <row r="12262" spans="1:24">
      <c r="A12262">
        <f>HYPERLINK("https://www.philgeps.gov.ph/GEPSNONPILOT/Tender/SplashBidNoticeAbstractUI.aspx?menuIndex=3&amp;refID=7017941&amp;Result=3","7017941")</f>
        <v>0</v>
      </c>
      <c r="B12262" t="s">
        <v>1021</v>
      </c>
      <c r="C12262" t="s">
        <v>14827</v>
      </c>
      <c r="D12262" t="s">
        <v>16204</v>
      </c>
      <c r="E12262" t="s">
        <v>26905</v>
      </c>
      <c r="F12262" t="s">
        <v>28198</v>
      </c>
      <c r="G12262" t="s">
        <v>28205</v>
      </c>
      <c r="H12262" t="s">
        <v>28214</v>
      </c>
      <c r="I12262" t="s">
        <v>3797</v>
      </c>
      <c r="J12262" t="s">
        <v>32323</v>
      </c>
      <c r="K12262" t="s">
        <v>36692</v>
      </c>
      <c r="M12262" t="s">
        <v>38052</v>
      </c>
      <c r="N12262" t="s">
        <v>40436</v>
      </c>
      <c r="O12262" t="s">
        <v>40437</v>
      </c>
      <c r="P12262">
        <v>0</v>
      </c>
      <c r="Q12262">
        <v>31</v>
      </c>
      <c r="R12262" t="s">
        <v>40455</v>
      </c>
      <c r="S12262" t="s">
        <v>41330</v>
      </c>
      <c r="T12262" t="s">
        <v>42103</v>
      </c>
      <c r="U12262" t="s">
        <v>50334</v>
      </c>
      <c r="V12262" t="s">
        <v>54048</v>
      </c>
      <c r="W12262" t="s">
        <v>38052</v>
      </c>
      <c r="X12262" t="s">
        <v>40457</v>
      </c>
    </row>
    <row r="12263" spans="1:24">
      <c r="A12263">
        <f>HYPERLINK("https://www.philgeps.gov.ph/GEPSNONPILOT/Tender/SplashBidNoticeAbstractUI.aspx?menuIndex=3&amp;refID=7018577&amp;Result=3","7018577")</f>
        <v>0</v>
      </c>
      <c r="B12263" t="s">
        <v>2976</v>
      </c>
      <c r="C12263" t="s">
        <v>14828</v>
      </c>
      <c r="D12263" t="s">
        <v>16197</v>
      </c>
      <c r="E12263" t="s">
        <v>26906</v>
      </c>
      <c r="F12263" t="s">
        <v>28201</v>
      </c>
      <c r="G12263" t="s">
        <v>28205</v>
      </c>
      <c r="H12263" t="s">
        <v>28215</v>
      </c>
      <c r="I12263" t="s">
        <v>28243</v>
      </c>
      <c r="J12263" t="s">
        <v>35869</v>
      </c>
      <c r="K12263" t="s">
        <v>36697</v>
      </c>
      <c r="M12263" t="s">
        <v>40267</v>
      </c>
      <c r="N12263" t="s">
        <v>40436</v>
      </c>
      <c r="O12263" t="s">
        <v>40437</v>
      </c>
      <c r="Q12263">
        <v>5</v>
      </c>
      <c r="R12263" t="s">
        <v>40455</v>
      </c>
      <c r="S12263" t="s">
        <v>41335</v>
      </c>
      <c r="T12263" t="s">
        <v>42455</v>
      </c>
      <c r="U12263" t="s">
        <v>52698</v>
      </c>
      <c r="W12263" t="s">
        <v>40267</v>
      </c>
      <c r="X12263" t="s">
        <v>40456</v>
      </c>
    </row>
    <row r="12264" spans="1:24">
      <c r="A12264">
        <f>HYPERLINK("https://www.philgeps.gov.ph/GEPSNONPILOT/Tender/SplashBidNoticeAbstractUI.aspx?menuIndex=3&amp;refID=7017834&amp;Result=3","7017834")</f>
        <v>0</v>
      </c>
      <c r="B12264" t="s">
        <v>1021</v>
      </c>
      <c r="C12264" t="s">
        <v>14829</v>
      </c>
      <c r="D12264" t="s">
        <v>16204</v>
      </c>
      <c r="E12264" t="s">
        <v>26907</v>
      </c>
      <c r="F12264" t="s">
        <v>28198</v>
      </c>
      <c r="G12264" t="s">
        <v>28205</v>
      </c>
      <c r="H12264" t="s">
        <v>28214</v>
      </c>
      <c r="I12264" t="s">
        <v>3797</v>
      </c>
      <c r="J12264" t="s">
        <v>32323</v>
      </c>
      <c r="K12264" t="s">
        <v>36692</v>
      </c>
      <c r="M12264" t="s">
        <v>38052</v>
      </c>
      <c r="N12264" t="s">
        <v>40436</v>
      </c>
      <c r="O12264" t="s">
        <v>40437</v>
      </c>
      <c r="Q12264">
        <v>34</v>
      </c>
      <c r="R12264" t="s">
        <v>40455</v>
      </c>
      <c r="S12264" t="s">
        <v>40614</v>
      </c>
      <c r="T12264" t="s">
        <v>42112</v>
      </c>
      <c r="U12264" t="s">
        <v>50334</v>
      </c>
      <c r="V12264" t="s">
        <v>54048</v>
      </c>
      <c r="W12264" t="s">
        <v>38052</v>
      </c>
      <c r="X12264" t="s">
        <v>40457</v>
      </c>
    </row>
    <row r="12265" spans="1:24">
      <c r="A12265">
        <f>HYPERLINK("https://www.philgeps.gov.ph/GEPSNONPILOT/Tender/SplashBidNoticeAbstractUI.aspx?menuIndex=3&amp;refID=7017790&amp;Result=3","7017790")</f>
        <v>0</v>
      </c>
      <c r="B12265" t="s">
        <v>1021</v>
      </c>
      <c r="C12265" t="s">
        <v>14830</v>
      </c>
      <c r="D12265" t="s">
        <v>16204</v>
      </c>
      <c r="E12265" t="s">
        <v>26908</v>
      </c>
      <c r="F12265" t="s">
        <v>28198</v>
      </c>
      <c r="G12265" t="s">
        <v>28205</v>
      </c>
      <c r="H12265" t="s">
        <v>28214</v>
      </c>
      <c r="I12265" t="s">
        <v>3797</v>
      </c>
      <c r="J12265" t="s">
        <v>32323</v>
      </c>
      <c r="K12265" t="s">
        <v>36692</v>
      </c>
      <c r="M12265" t="s">
        <v>38052</v>
      </c>
      <c r="N12265" t="s">
        <v>40436</v>
      </c>
      <c r="O12265" t="s">
        <v>40437</v>
      </c>
      <c r="Q12265">
        <v>40</v>
      </c>
      <c r="R12265" t="s">
        <v>40455</v>
      </c>
      <c r="S12265" t="s">
        <v>41336</v>
      </c>
      <c r="T12265" t="s">
        <v>42112</v>
      </c>
      <c r="U12265" t="s">
        <v>50334</v>
      </c>
      <c r="V12265" t="s">
        <v>54048</v>
      </c>
      <c r="W12265" t="s">
        <v>38052</v>
      </c>
      <c r="X12265" t="s">
        <v>40457</v>
      </c>
    </row>
    <row r="12266" spans="1:24">
      <c r="A12266">
        <f>HYPERLINK("https://www.philgeps.gov.ph/GEPSNONPILOT/Tender/SplashBidNoticeAbstractUI.aspx?menuIndex=3&amp;refID=7018765&amp;Result=3","7018765")</f>
        <v>0</v>
      </c>
      <c r="B12266" t="s">
        <v>680</v>
      </c>
      <c r="C12266" t="s">
        <v>14831</v>
      </c>
      <c r="D12266" t="s">
        <v>16223</v>
      </c>
      <c r="E12266" t="s">
        <v>26909</v>
      </c>
      <c r="F12266" t="s">
        <v>28198</v>
      </c>
      <c r="G12266" t="s">
        <v>28205</v>
      </c>
      <c r="H12266" t="s">
        <v>28215</v>
      </c>
      <c r="I12266" t="s">
        <v>28239</v>
      </c>
      <c r="J12266" t="s">
        <v>35870</v>
      </c>
      <c r="K12266" t="s">
        <v>36707</v>
      </c>
      <c r="M12266" t="s">
        <v>37678</v>
      </c>
      <c r="N12266" t="s">
        <v>40436</v>
      </c>
      <c r="O12266" t="s">
        <v>40437</v>
      </c>
      <c r="P12266">
        <v>0</v>
      </c>
      <c r="Q12266">
        <v>1</v>
      </c>
      <c r="R12266" t="s">
        <v>40455</v>
      </c>
      <c r="S12266" t="s">
        <v>41330</v>
      </c>
      <c r="T12266" t="s">
        <v>42103</v>
      </c>
      <c r="U12266" t="s">
        <v>52699</v>
      </c>
      <c r="V12266" t="s">
        <v>53826</v>
      </c>
      <c r="W12266" t="s">
        <v>55456</v>
      </c>
      <c r="X12266" t="s">
        <v>40456</v>
      </c>
    </row>
    <row r="12267" spans="1:24">
      <c r="A12267">
        <f>HYPERLINK("https://www.philgeps.gov.ph/GEPSNONPILOT/Tender/SplashBidNoticeAbstractUI.aspx?menuIndex=3&amp;refID=7017963&amp;Result=3","7017963")</f>
        <v>0</v>
      </c>
      <c r="B12267" t="s">
        <v>215</v>
      </c>
      <c r="C12267" t="s">
        <v>14832</v>
      </c>
      <c r="D12267" t="s">
        <v>16218</v>
      </c>
      <c r="E12267" t="s">
        <v>26910</v>
      </c>
      <c r="F12267" t="s">
        <v>28198</v>
      </c>
      <c r="G12267" t="s">
        <v>28205</v>
      </c>
      <c r="H12267" t="s">
        <v>28214</v>
      </c>
      <c r="I12267" t="s">
        <v>3797</v>
      </c>
      <c r="J12267" t="s">
        <v>35868</v>
      </c>
      <c r="K12267" t="s">
        <v>36883</v>
      </c>
      <c r="M12267" t="s">
        <v>37795</v>
      </c>
      <c r="N12267" t="s">
        <v>40436</v>
      </c>
      <c r="O12267" t="s">
        <v>40437</v>
      </c>
      <c r="P12267">
        <v>0</v>
      </c>
      <c r="Q12267">
        <v>0</v>
      </c>
      <c r="R12267" t="s">
        <v>40455</v>
      </c>
      <c r="S12267" t="s">
        <v>41330</v>
      </c>
      <c r="T12267" t="s">
        <v>42340</v>
      </c>
      <c r="U12267" t="s">
        <v>52700</v>
      </c>
      <c r="W12267" t="s">
        <v>37795</v>
      </c>
      <c r="X12267" t="s">
        <v>40457</v>
      </c>
    </row>
    <row r="12268" spans="1:24">
      <c r="A12268">
        <f>HYPERLINK("https://www.philgeps.gov.ph/GEPSNONPILOT/Tender/SplashBidNoticeAbstractUI.aspx?menuIndex=3&amp;refID=7018760&amp;Result=3","7018760")</f>
        <v>0</v>
      </c>
      <c r="B12268" t="s">
        <v>680</v>
      </c>
      <c r="C12268" t="s">
        <v>14833</v>
      </c>
      <c r="D12268" t="s">
        <v>16223</v>
      </c>
      <c r="E12268" t="s">
        <v>26911</v>
      </c>
      <c r="F12268" t="s">
        <v>28198</v>
      </c>
      <c r="G12268" t="s">
        <v>28205</v>
      </c>
      <c r="H12268" t="s">
        <v>28215</v>
      </c>
      <c r="I12268" t="s">
        <v>28234</v>
      </c>
      <c r="J12268" t="s">
        <v>35871</v>
      </c>
      <c r="K12268" t="s">
        <v>36706</v>
      </c>
      <c r="M12268" t="s">
        <v>37678</v>
      </c>
      <c r="N12268" t="s">
        <v>40436</v>
      </c>
      <c r="O12268" t="s">
        <v>40437</v>
      </c>
      <c r="P12268">
        <v>0</v>
      </c>
      <c r="Q12268">
        <v>2</v>
      </c>
      <c r="R12268" t="s">
        <v>40455</v>
      </c>
      <c r="S12268" t="s">
        <v>41330</v>
      </c>
      <c r="T12268" t="s">
        <v>42103</v>
      </c>
      <c r="U12268" t="s">
        <v>52701</v>
      </c>
      <c r="V12268" t="s">
        <v>53826</v>
      </c>
      <c r="W12268" t="s">
        <v>55456</v>
      </c>
      <c r="X12268" t="s">
        <v>40456</v>
      </c>
    </row>
    <row r="12269" spans="1:24">
      <c r="A12269">
        <f>HYPERLINK("https://www.philgeps.gov.ph/GEPSNONPILOT/Tender/SplashBidNoticeAbstractUI.aspx?menuIndex=3&amp;refID=7018579&amp;Result=3","7018579")</f>
        <v>0</v>
      </c>
      <c r="B12269" t="s">
        <v>2976</v>
      </c>
      <c r="C12269" t="s">
        <v>14834</v>
      </c>
      <c r="D12269" t="s">
        <v>16197</v>
      </c>
      <c r="E12269" t="s">
        <v>26912</v>
      </c>
      <c r="F12269" t="s">
        <v>28201</v>
      </c>
      <c r="G12269" t="s">
        <v>28205</v>
      </c>
      <c r="H12269" t="s">
        <v>28215</v>
      </c>
      <c r="I12269" t="s">
        <v>28243</v>
      </c>
      <c r="J12269" t="s">
        <v>28418</v>
      </c>
      <c r="K12269" t="s">
        <v>36697</v>
      </c>
      <c r="M12269" t="s">
        <v>40267</v>
      </c>
      <c r="N12269" t="s">
        <v>40436</v>
      </c>
      <c r="O12269" t="s">
        <v>40437</v>
      </c>
      <c r="Q12269">
        <v>12</v>
      </c>
      <c r="R12269" t="s">
        <v>40455</v>
      </c>
      <c r="S12269" t="s">
        <v>41337</v>
      </c>
      <c r="T12269" t="s">
        <v>42455</v>
      </c>
      <c r="U12269" t="s">
        <v>52702</v>
      </c>
      <c r="W12269" t="s">
        <v>40267</v>
      </c>
      <c r="X12269" t="s">
        <v>40456</v>
      </c>
    </row>
    <row r="12270" spans="1:24">
      <c r="A12270">
        <f>HYPERLINK("https://www.philgeps.gov.ph/GEPSNONPILOT/Tender/SplashBidNoticeAbstractUI.aspx?menuIndex=3&amp;refID=7018771&amp;Result=3","7018771")</f>
        <v>0</v>
      </c>
      <c r="B12270" t="s">
        <v>680</v>
      </c>
      <c r="C12270" t="s">
        <v>14835</v>
      </c>
      <c r="D12270" t="s">
        <v>16223</v>
      </c>
      <c r="E12270" t="s">
        <v>26913</v>
      </c>
      <c r="F12270" t="s">
        <v>28198</v>
      </c>
      <c r="G12270" t="s">
        <v>28205</v>
      </c>
      <c r="H12270" t="s">
        <v>28215</v>
      </c>
      <c r="I12270" t="s">
        <v>28257</v>
      </c>
      <c r="J12270" t="s">
        <v>35872</v>
      </c>
      <c r="K12270" t="s">
        <v>36707</v>
      </c>
      <c r="M12270" t="s">
        <v>37678</v>
      </c>
      <c r="N12270" t="s">
        <v>40436</v>
      </c>
      <c r="O12270" t="s">
        <v>40437</v>
      </c>
      <c r="Q12270">
        <v>1</v>
      </c>
      <c r="R12270" t="s">
        <v>40455</v>
      </c>
      <c r="S12270" t="s">
        <v>41270</v>
      </c>
      <c r="T12270" t="s">
        <v>42103</v>
      </c>
      <c r="U12270" t="s">
        <v>52703</v>
      </c>
      <c r="V12270" t="s">
        <v>53826</v>
      </c>
      <c r="W12270" t="s">
        <v>55456</v>
      </c>
      <c r="X12270" t="s">
        <v>40456</v>
      </c>
    </row>
    <row r="12271" spans="1:24">
      <c r="A12271">
        <f>HYPERLINK("https://www.philgeps.gov.ph/GEPSNONPILOT/Tender/SplashBidNoticeAbstractUI.aspx?menuIndex=3&amp;refID=7016069&amp;Result=3","7016069")</f>
        <v>0</v>
      </c>
      <c r="B12271" t="s">
        <v>1068</v>
      </c>
      <c r="C12271" t="s">
        <v>14836</v>
      </c>
      <c r="D12271" t="s">
        <v>16258</v>
      </c>
      <c r="E12271" t="s">
        <v>26914</v>
      </c>
      <c r="F12271" t="s">
        <v>28198</v>
      </c>
      <c r="G12271" t="s">
        <v>28205</v>
      </c>
      <c r="H12271" t="s">
        <v>28215</v>
      </c>
      <c r="I12271" t="s">
        <v>28224</v>
      </c>
      <c r="J12271" t="s">
        <v>28629</v>
      </c>
      <c r="K12271" t="s">
        <v>36689</v>
      </c>
      <c r="M12271" t="s">
        <v>38101</v>
      </c>
      <c r="N12271" t="s">
        <v>40436</v>
      </c>
      <c r="O12271" t="s">
        <v>40437</v>
      </c>
      <c r="P12271">
        <v>0</v>
      </c>
      <c r="Q12271">
        <v>1</v>
      </c>
      <c r="R12271" t="s">
        <v>40456</v>
      </c>
      <c r="S12271" t="s">
        <v>41338</v>
      </c>
      <c r="T12271" t="s">
        <v>42160</v>
      </c>
      <c r="U12271" t="s">
        <v>52704</v>
      </c>
      <c r="W12271" t="s">
        <v>38101</v>
      </c>
      <c r="X12271" t="s">
        <v>40458</v>
      </c>
    </row>
    <row r="12272" spans="1:24">
      <c r="A12272">
        <f>HYPERLINK("https://www.philgeps.gov.ph/GEPSNONPILOT/Tender/SplashBidNoticeAbstractUI.aspx?menuIndex=3&amp;refID=7015601&amp;Result=3","7015601")</f>
        <v>0</v>
      </c>
      <c r="B12272" t="s">
        <v>2977</v>
      </c>
      <c r="C12272" t="s">
        <v>8886</v>
      </c>
      <c r="D12272" t="s">
        <v>16187</v>
      </c>
      <c r="E12272" t="s">
        <v>17596</v>
      </c>
      <c r="F12272" t="s">
        <v>28198</v>
      </c>
      <c r="G12272" t="s">
        <v>28206</v>
      </c>
      <c r="H12272" t="s">
        <v>28215</v>
      </c>
      <c r="I12272" t="s">
        <v>5082</v>
      </c>
      <c r="J12272" t="s">
        <v>28352</v>
      </c>
      <c r="K12272" t="s">
        <v>36689</v>
      </c>
      <c r="M12272" t="s">
        <v>40268</v>
      </c>
      <c r="N12272" t="s">
        <v>40436</v>
      </c>
      <c r="O12272" t="s">
        <v>40437</v>
      </c>
      <c r="P12272">
        <v>0</v>
      </c>
      <c r="Q12272">
        <v>2</v>
      </c>
      <c r="R12272" t="s">
        <v>40456</v>
      </c>
      <c r="S12272" t="s">
        <v>41338</v>
      </c>
      <c r="T12272" t="s">
        <v>42390</v>
      </c>
      <c r="U12272" t="s">
        <v>52705</v>
      </c>
      <c r="W12272" t="s">
        <v>40268</v>
      </c>
      <c r="X12272" t="s">
        <v>40458</v>
      </c>
    </row>
    <row r="12273" spans="1:24">
      <c r="A12273">
        <f>HYPERLINK("https://www.philgeps.gov.ph/GEPSNONPILOT/Tender/SplashBidNoticeAbstractUI.aspx?menuIndex=3&amp;refID=7016122&amp;Result=3","7016122")</f>
        <v>0</v>
      </c>
      <c r="B12273" t="s">
        <v>1068</v>
      </c>
      <c r="C12273" t="s">
        <v>14837</v>
      </c>
      <c r="D12273" t="s">
        <v>16258</v>
      </c>
      <c r="E12273" t="s">
        <v>26915</v>
      </c>
      <c r="F12273" t="s">
        <v>28198</v>
      </c>
      <c r="G12273" t="s">
        <v>28205</v>
      </c>
      <c r="H12273" t="s">
        <v>28214</v>
      </c>
      <c r="I12273" t="s">
        <v>3797</v>
      </c>
      <c r="J12273" t="s">
        <v>35873</v>
      </c>
      <c r="K12273" t="s">
        <v>36689</v>
      </c>
      <c r="M12273" t="s">
        <v>38101</v>
      </c>
      <c r="N12273" t="s">
        <v>40436</v>
      </c>
      <c r="O12273" t="s">
        <v>40437</v>
      </c>
      <c r="P12273">
        <v>0</v>
      </c>
      <c r="Q12273">
        <v>1</v>
      </c>
      <c r="R12273" t="s">
        <v>40456</v>
      </c>
      <c r="S12273" t="s">
        <v>41338</v>
      </c>
      <c r="T12273" t="s">
        <v>42160</v>
      </c>
      <c r="U12273" t="s">
        <v>52706</v>
      </c>
      <c r="W12273" t="s">
        <v>38101</v>
      </c>
      <c r="X12273" t="s">
        <v>40458</v>
      </c>
    </row>
    <row r="12274" spans="1:24">
      <c r="A12274">
        <f>HYPERLINK("https://www.philgeps.gov.ph/GEPSNONPILOT/Tender/SplashBidNoticeAbstractUI.aspx?menuIndex=3&amp;refID=7001689&amp;Result=3","7001689")</f>
        <v>0</v>
      </c>
      <c r="B12274" t="s">
        <v>1669</v>
      </c>
      <c r="C12274" t="s">
        <v>14838</v>
      </c>
      <c r="D12274" t="s">
        <v>16192</v>
      </c>
      <c r="E12274" t="s">
        <v>26916</v>
      </c>
      <c r="F12274" t="s">
        <v>28198</v>
      </c>
      <c r="G12274" t="s">
        <v>28207</v>
      </c>
      <c r="H12274" t="s">
        <v>28215</v>
      </c>
      <c r="I12274" t="s">
        <v>4200</v>
      </c>
      <c r="J12274" t="s">
        <v>28373</v>
      </c>
      <c r="K12274" t="s">
        <v>36689</v>
      </c>
      <c r="M12274" t="s">
        <v>38764</v>
      </c>
      <c r="N12274" t="s">
        <v>40436</v>
      </c>
      <c r="O12274" t="s">
        <v>40437</v>
      </c>
      <c r="Q12274">
        <v>0</v>
      </c>
      <c r="R12274" t="s">
        <v>40456</v>
      </c>
      <c r="S12274" t="s">
        <v>41013</v>
      </c>
      <c r="T12274" t="s">
        <v>42205</v>
      </c>
      <c r="U12274" t="s">
        <v>52707</v>
      </c>
      <c r="W12274" t="s">
        <v>38764</v>
      </c>
      <c r="X12274" t="s">
        <v>40471</v>
      </c>
    </row>
    <row r="12275" spans="1:24">
      <c r="A12275">
        <f>HYPERLINK("https://www.philgeps.gov.ph/GEPSNONPILOT/Tender/SplashBidNoticeAbstractUI.aspx?menuIndex=3&amp;refID=6893108-2&amp;Result=3","6893108-2")</f>
        <v>0</v>
      </c>
      <c r="B12275" t="s">
        <v>2368</v>
      </c>
      <c r="C12275" t="s">
        <v>14839</v>
      </c>
      <c r="D12275" t="s">
        <v>16210</v>
      </c>
      <c r="E12275" t="s">
        <v>26917</v>
      </c>
      <c r="F12275" t="s">
        <v>28198</v>
      </c>
      <c r="G12275" t="s">
        <v>28205</v>
      </c>
      <c r="H12275" t="s">
        <v>28216</v>
      </c>
      <c r="I12275" t="s">
        <v>28216</v>
      </c>
      <c r="J12275" t="s">
        <v>35874</v>
      </c>
      <c r="K12275" t="s">
        <v>36689</v>
      </c>
      <c r="M12275" t="s">
        <v>39550</v>
      </c>
      <c r="N12275" t="s">
        <v>40436</v>
      </c>
      <c r="O12275" t="s">
        <v>40437</v>
      </c>
      <c r="Q12275">
        <v>0</v>
      </c>
      <c r="R12275" t="s">
        <v>40456</v>
      </c>
      <c r="S12275" t="s">
        <v>41339</v>
      </c>
      <c r="T12275" t="s">
        <v>42203</v>
      </c>
      <c r="U12275" t="s">
        <v>52708</v>
      </c>
      <c r="W12275" t="s">
        <v>39550</v>
      </c>
      <c r="X12275" t="s">
        <v>40457</v>
      </c>
    </row>
    <row r="12276" spans="1:24">
      <c r="A12276">
        <f>HYPERLINK("https://www.philgeps.gov.ph/GEPSNONPILOT/Tender/SplashBidNoticeAbstractUI.aspx?menuIndex=3&amp;refID=6995513&amp;Result=3","6995513")</f>
        <v>0</v>
      </c>
      <c r="B12276" t="s">
        <v>2978</v>
      </c>
      <c r="C12276" t="s">
        <v>14840</v>
      </c>
      <c r="D12276" t="s">
        <v>16203</v>
      </c>
      <c r="E12276" t="s">
        <v>26339</v>
      </c>
      <c r="F12276" t="s">
        <v>28198</v>
      </c>
      <c r="G12276" t="s">
        <v>28205</v>
      </c>
      <c r="H12276" t="s">
        <v>28215</v>
      </c>
      <c r="I12276" t="s">
        <v>5100</v>
      </c>
      <c r="J12276" t="s">
        <v>35875</v>
      </c>
      <c r="K12276" t="s">
        <v>36715</v>
      </c>
      <c r="M12276" t="s">
        <v>40269</v>
      </c>
      <c r="N12276" t="s">
        <v>40436</v>
      </c>
      <c r="O12276" t="s">
        <v>40437</v>
      </c>
      <c r="P12276">
        <v>0</v>
      </c>
      <c r="Q12276">
        <v>0</v>
      </c>
      <c r="R12276" t="s">
        <v>40456</v>
      </c>
      <c r="S12276" t="s">
        <v>41338</v>
      </c>
      <c r="T12276" t="s">
        <v>42190</v>
      </c>
      <c r="U12276" t="s">
        <v>52709</v>
      </c>
      <c r="V12276" t="s">
        <v>55184</v>
      </c>
      <c r="W12276" t="s">
        <v>40269</v>
      </c>
      <c r="X12276" t="s">
        <v>40473</v>
      </c>
    </row>
    <row r="12277" spans="1:24">
      <c r="A12277">
        <f>HYPERLINK("https://www.philgeps.gov.ph/GEPSNONPILOT/Tender/SplashBidNoticeAbstractUI.aspx?menuIndex=3&amp;refID=7018870&amp;Result=3","7018870")</f>
        <v>0</v>
      </c>
      <c r="B12277" t="s">
        <v>2113</v>
      </c>
      <c r="C12277" t="s">
        <v>14841</v>
      </c>
      <c r="D12277" t="s">
        <v>16251</v>
      </c>
      <c r="E12277" t="s">
        <v>26918</v>
      </c>
      <c r="F12277" t="s">
        <v>28198</v>
      </c>
      <c r="G12277" t="s">
        <v>28205</v>
      </c>
      <c r="H12277" t="s">
        <v>28215</v>
      </c>
      <c r="I12277" t="s">
        <v>5631</v>
      </c>
      <c r="J12277" t="s">
        <v>29717</v>
      </c>
      <c r="K12277" t="s">
        <v>36707</v>
      </c>
      <c r="M12277" t="s">
        <v>39267</v>
      </c>
      <c r="N12277" t="s">
        <v>40436</v>
      </c>
      <c r="O12277" t="s">
        <v>40437</v>
      </c>
      <c r="P12277">
        <v>0</v>
      </c>
      <c r="Q12277">
        <v>2</v>
      </c>
      <c r="R12277" t="s">
        <v>40455</v>
      </c>
      <c r="S12277" t="s">
        <v>41330</v>
      </c>
      <c r="T12277" t="s">
        <v>42218</v>
      </c>
      <c r="U12277" t="s">
        <v>52710</v>
      </c>
      <c r="W12277" t="s">
        <v>39267</v>
      </c>
      <c r="X12277" t="s">
        <v>40456</v>
      </c>
    </row>
    <row r="12278" spans="1:24">
      <c r="A12278">
        <f>HYPERLINK("https://www.philgeps.gov.ph/GEPSNONPILOT/Tender/SplashBidNoticeAbstractUI.aspx?menuIndex=3&amp;refID=7016054&amp;Result=3","7016054")</f>
        <v>0</v>
      </c>
      <c r="B12278" t="s">
        <v>2861</v>
      </c>
      <c r="C12278" t="s">
        <v>14842</v>
      </c>
      <c r="D12278" t="s">
        <v>16198</v>
      </c>
      <c r="E12278" t="s">
        <v>26919</v>
      </c>
      <c r="F12278" t="s">
        <v>28198</v>
      </c>
      <c r="G12278" t="s">
        <v>28205</v>
      </c>
      <c r="H12278" t="s">
        <v>28214</v>
      </c>
      <c r="I12278" t="s">
        <v>3797</v>
      </c>
      <c r="J12278" t="s">
        <v>32877</v>
      </c>
      <c r="K12278" t="s">
        <v>36692</v>
      </c>
      <c r="M12278" t="s">
        <v>40123</v>
      </c>
      <c r="N12278" t="s">
        <v>40436</v>
      </c>
      <c r="O12278" t="s">
        <v>40437</v>
      </c>
      <c r="Q12278">
        <v>4</v>
      </c>
      <c r="R12278" t="s">
        <v>40456</v>
      </c>
      <c r="S12278" t="s">
        <v>41340</v>
      </c>
      <c r="T12278" t="s">
        <v>42190</v>
      </c>
      <c r="U12278" t="s">
        <v>52711</v>
      </c>
      <c r="W12278" t="s">
        <v>40123</v>
      </c>
      <c r="X12278" t="s">
        <v>40458</v>
      </c>
    </row>
    <row r="12279" spans="1:24">
      <c r="A12279">
        <f>HYPERLINK("https://www.philgeps.gov.ph/GEPSNONPILOT/Tender/SplashBidNoticeAbstractUI.aspx?menuIndex=3&amp;refID=7016088&amp;Result=3","7016088")</f>
        <v>0</v>
      </c>
      <c r="B12279" t="s">
        <v>1068</v>
      </c>
      <c r="C12279" t="s">
        <v>14843</v>
      </c>
      <c r="D12279" t="s">
        <v>16258</v>
      </c>
      <c r="E12279" t="s">
        <v>26920</v>
      </c>
      <c r="F12279" t="s">
        <v>28198</v>
      </c>
      <c r="G12279" t="s">
        <v>28205</v>
      </c>
      <c r="H12279" t="s">
        <v>28214</v>
      </c>
      <c r="I12279" t="s">
        <v>3797</v>
      </c>
      <c r="J12279" t="s">
        <v>35876</v>
      </c>
      <c r="K12279" t="s">
        <v>36689</v>
      </c>
      <c r="M12279" t="s">
        <v>38101</v>
      </c>
      <c r="N12279" t="s">
        <v>40436</v>
      </c>
      <c r="O12279" t="s">
        <v>40437</v>
      </c>
      <c r="P12279">
        <v>0</v>
      </c>
      <c r="Q12279">
        <v>1</v>
      </c>
      <c r="R12279" t="s">
        <v>40456</v>
      </c>
      <c r="S12279" t="s">
        <v>41338</v>
      </c>
      <c r="T12279" t="s">
        <v>42160</v>
      </c>
      <c r="U12279" t="s">
        <v>52712</v>
      </c>
      <c r="W12279" t="s">
        <v>38101</v>
      </c>
      <c r="X12279" t="s">
        <v>40458</v>
      </c>
    </row>
    <row r="12280" spans="1:24">
      <c r="A12280">
        <f>HYPERLINK("https://www.philgeps.gov.ph/GEPSNONPILOT/Tender/SplashBidNoticeAbstractUI.aspx?menuIndex=3&amp;refID=6995581&amp;Result=3","6995581")</f>
        <v>0</v>
      </c>
      <c r="B12280" t="s">
        <v>2978</v>
      </c>
      <c r="C12280" t="s">
        <v>14844</v>
      </c>
      <c r="D12280" t="s">
        <v>16203</v>
      </c>
      <c r="E12280" t="s">
        <v>26921</v>
      </c>
      <c r="F12280" t="s">
        <v>28198</v>
      </c>
      <c r="G12280" t="s">
        <v>28205</v>
      </c>
      <c r="H12280" t="s">
        <v>28215</v>
      </c>
      <c r="I12280" t="s">
        <v>5100</v>
      </c>
      <c r="J12280" t="s">
        <v>35877</v>
      </c>
      <c r="K12280" t="s">
        <v>36715</v>
      </c>
      <c r="M12280" t="s">
        <v>40269</v>
      </c>
      <c r="N12280" t="s">
        <v>40436</v>
      </c>
      <c r="O12280" t="s">
        <v>40437</v>
      </c>
      <c r="P12280">
        <v>0</v>
      </c>
      <c r="Q12280">
        <v>0</v>
      </c>
      <c r="R12280" t="s">
        <v>40456</v>
      </c>
      <c r="S12280" t="s">
        <v>41338</v>
      </c>
      <c r="T12280" t="s">
        <v>42190</v>
      </c>
      <c r="U12280" t="s">
        <v>52713</v>
      </c>
      <c r="V12280" t="s">
        <v>55185</v>
      </c>
      <c r="W12280" t="s">
        <v>40269</v>
      </c>
      <c r="X12280" t="s">
        <v>40473</v>
      </c>
    </row>
    <row r="12281" spans="1:24">
      <c r="A12281">
        <f>HYPERLINK("https://www.philgeps.gov.ph/GEPSNONPILOT/Tender/SplashBidNoticeAbstractUI.aspx?menuIndex=3&amp;refID=7018865&amp;Result=3","7018865")</f>
        <v>0</v>
      </c>
      <c r="B12281" t="s">
        <v>2113</v>
      </c>
      <c r="C12281" t="s">
        <v>14845</v>
      </c>
      <c r="D12281" t="s">
        <v>16251</v>
      </c>
      <c r="E12281" t="s">
        <v>26922</v>
      </c>
      <c r="F12281" t="s">
        <v>28198</v>
      </c>
      <c r="G12281" t="s">
        <v>28205</v>
      </c>
      <c r="H12281" t="s">
        <v>28215</v>
      </c>
      <c r="I12281" t="s">
        <v>28227</v>
      </c>
      <c r="J12281" t="s">
        <v>35878</v>
      </c>
      <c r="K12281" t="s">
        <v>36707</v>
      </c>
      <c r="M12281" t="s">
        <v>39267</v>
      </c>
      <c r="N12281" t="s">
        <v>40436</v>
      </c>
      <c r="O12281" t="s">
        <v>40437</v>
      </c>
      <c r="P12281">
        <v>0</v>
      </c>
      <c r="Q12281">
        <v>1</v>
      </c>
      <c r="R12281" t="s">
        <v>40455</v>
      </c>
      <c r="S12281" t="s">
        <v>41330</v>
      </c>
      <c r="T12281" t="s">
        <v>42218</v>
      </c>
      <c r="U12281" t="s">
        <v>52714</v>
      </c>
      <c r="W12281" t="s">
        <v>39267</v>
      </c>
      <c r="X12281" t="s">
        <v>40456</v>
      </c>
    </row>
    <row r="12282" spans="1:24">
      <c r="A12282">
        <f>HYPERLINK("https://www.philgeps.gov.ph/GEPSNONPILOT/Tender/SplashBidNoticeAbstractUI.aspx?menuIndex=3&amp;refID=7016096&amp;Result=3","7016096")</f>
        <v>0</v>
      </c>
      <c r="B12282" t="s">
        <v>1725</v>
      </c>
      <c r="C12282" t="s">
        <v>14846</v>
      </c>
      <c r="E12282" t="s">
        <v>26923</v>
      </c>
      <c r="F12282" t="s">
        <v>28198</v>
      </c>
      <c r="G12282" t="s">
        <v>28205</v>
      </c>
      <c r="H12282" t="s">
        <v>28215</v>
      </c>
      <c r="I12282" t="s">
        <v>28238</v>
      </c>
      <c r="J12282" t="s">
        <v>35879</v>
      </c>
      <c r="K12282" t="s">
        <v>36689</v>
      </c>
      <c r="M12282" t="s">
        <v>38834</v>
      </c>
      <c r="N12282" t="s">
        <v>40436</v>
      </c>
      <c r="O12282" t="s">
        <v>40437</v>
      </c>
      <c r="P12282">
        <v>0</v>
      </c>
      <c r="Q12282">
        <v>17</v>
      </c>
      <c r="R12282" t="s">
        <v>40456</v>
      </c>
      <c r="S12282" t="s">
        <v>41338</v>
      </c>
      <c r="T12282" t="s">
        <v>42124</v>
      </c>
      <c r="U12282" t="s">
        <v>52715</v>
      </c>
      <c r="W12282" t="s">
        <v>38834</v>
      </c>
      <c r="X12282" t="s">
        <v>40458</v>
      </c>
    </row>
    <row r="12283" spans="1:24">
      <c r="A12283">
        <f>HYPERLINK("https://www.philgeps.gov.ph/GEPSNONPILOT/Tender/SplashBidNoticeAbstractUI.aspx?menuIndex=3&amp;refID=7018868&amp;Result=3","7018868")</f>
        <v>0</v>
      </c>
      <c r="B12283" t="s">
        <v>2113</v>
      </c>
      <c r="C12283" t="s">
        <v>3536</v>
      </c>
      <c r="D12283" t="s">
        <v>16251</v>
      </c>
      <c r="E12283" t="s">
        <v>16497</v>
      </c>
      <c r="F12283" t="s">
        <v>28198</v>
      </c>
      <c r="G12283" t="s">
        <v>28205</v>
      </c>
      <c r="H12283" t="s">
        <v>28215</v>
      </c>
      <c r="I12283" t="s">
        <v>4168</v>
      </c>
      <c r="J12283" t="s">
        <v>29732</v>
      </c>
      <c r="K12283" t="s">
        <v>36707</v>
      </c>
      <c r="M12283" t="s">
        <v>39267</v>
      </c>
      <c r="N12283" t="s">
        <v>40436</v>
      </c>
      <c r="O12283" t="s">
        <v>40437</v>
      </c>
      <c r="P12283">
        <v>0</v>
      </c>
      <c r="Q12283">
        <v>11</v>
      </c>
      <c r="R12283" t="s">
        <v>40455</v>
      </c>
      <c r="S12283" t="s">
        <v>41330</v>
      </c>
      <c r="T12283" t="s">
        <v>42218</v>
      </c>
      <c r="U12283" t="s">
        <v>52716</v>
      </c>
      <c r="W12283" t="s">
        <v>39267</v>
      </c>
      <c r="X12283" t="s">
        <v>40456</v>
      </c>
    </row>
    <row r="12284" spans="1:24">
      <c r="A12284">
        <f>HYPERLINK("https://www.philgeps.gov.ph/GEPSNONPILOT/Tender/SplashBidNoticeAbstractUI.aspx?menuIndex=3&amp;refID=7018866&amp;Result=3","7018866")</f>
        <v>0</v>
      </c>
      <c r="B12284" t="s">
        <v>2113</v>
      </c>
      <c r="C12284" t="s">
        <v>14847</v>
      </c>
      <c r="D12284" t="s">
        <v>16251</v>
      </c>
      <c r="E12284" t="s">
        <v>16295</v>
      </c>
      <c r="F12284" t="s">
        <v>28198</v>
      </c>
      <c r="G12284" t="s">
        <v>28205</v>
      </c>
      <c r="H12284" t="s">
        <v>28215</v>
      </c>
      <c r="I12284" t="s">
        <v>28222</v>
      </c>
      <c r="J12284" t="s">
        <v>29041</v>
      </c>
      <c r="K12284" t="s">
        <v>36701</v>
      </c>
      <c r="M12284" t="s">
        <v>39267</v>
      </c>
      <c r="N12284" t="s">
        <v>40436</v>
      </c>
      <c r="O12284" t="s">
        <v>40437</v>
      </c>
      <c r="P12284">
        <v>0</v>
      </c>
      <c r="Q12284">
        <v>6</v>
      </c>
      <c r="R12284" t="s">
        <v>40455</v>
      </c>
      <c r="S12284" t="s">
        <v>41330</v>
      </c>
      <c r="T12284" t="s">
        <v>42218</v>
      </c>
      <c r="U12284" t="s">
        <v>52717</v>
      </c>
      <c r="W12284" t="s">
        <v>39267</v>
      </c>
      <c r="X12284" t="s">
        <v>40456</v>
      </c>
    </row>
    <row r="12285" spans="1:24">
      <c r="A12285">
        <f>HYPERLINK("https://www.philgeps.gov.ph/GEPSNONPILOT/Tender/SplashBidNoticeAbstractUI.aspx?menuIndex=3&amp;refID=7016593&amp;Result=3","7016593")</f>
        <v>0</v>
      </c>
      <c r="B12285" t="s">
        <v>1068</v>
      </c>
      <c r="C12285" t="s">
        <v>14848</v>
      </c>
      <c r="D12285" t="s">
        <v>16258</v>
      </c>
      <c r="E12285" t="s">
        <v>26924</v>
      </c>
      <c r="F12285" t="s">
        <v>28198</v>
      </c>
      <c r="G12285" t="s">
        <v>28205</v>
      </c>
      <c r="H12285" t="s">
        <v>28214</v>
      </c>
      <c r="I12285" t="s">
        <v>3797</v>
      </c>
      <c r="J12285" t="s">
        <v>35880</v>
      </c>
      <c r="K12285" t="s">
        <v>36689</v>
      </c>
      <c r="M12285" t="s">
        <v>38101</v>
      </c>
      <c r="N12285" t="s">
        <v>40436</v>
      </c>
      <c r="O12285" t="s">
        <v>40437</v>
      </c>
      <c r="P12285">
        <v>0</v>
      </c>
      <c r="Q12285">
        <v>1</v>
      </c>
      <c r="R12285" t="s">
        <v>40456</v>
      </c>
      <c r="S12285" t="s">
        <v>41338</v>
      </c>
      <c r="T12285" t="s">
        <v>42160</v>
      </c>
      <c r="U12285" t="s">
        <v>52718</v>
      </c>
      <c r="W12285" t="s">
        <v>38101</v>
      </c>
      <c r="X12285" t="s">
        <v>40457</v>
      </c>
    </row>
    <row r="12286" spans="1:24">
      <c r="A12286">
        <f>HYPERLINK("https://www.philgeps.gov.ph/GEPSNONPILOT/Tender/SplashBidNoticeAbstractUI.aspx?menuIndex=3&amp;refID=7013770&amp;Result=3","7013770")</f>
        <v>0</v>
      </c>
      <c r="B12286" t="s">
        <v>2478</v>
      </c>
      <c r="C12286" t="s">
        <v>14849</v>
      </c>
      <c r="D12286" t="s">
        <v>16203</v>
      </c>
      <c r="E12286" t="s">
        <v>26925</v>
      </c>
      <c r="F12286" t="s">
        <v>28198</v>
      </c>
      <c r="G12286" t="s">
        <v>28205</v>
      </c>
      <c r="H12286" t="s">
        <v>28215</v>
      </c>
      <c r="I12286" t="s">
        <v>28220</v>
      </c>
      <c r="J12286" t="s">
        <v>29432</v>
      </c>
      <c r="K12286" t="s">
        <v>36707</v>
      </c>
      <c r="M12286" t="s">
        <v>39677</v>
      </c>
      <c r="N12286" t="s">
        <v>40436</v>
      </c>
      <c r="O12286" t="s">
        <v>40437</v>
      </c>
      <c r="P12286">
        <v>0</v>
      </c>
      <c r="Q12286">
        <v>4</v>
      </c>
      <c r="R12286" t="s">
        <v>40456</v>
      </c>
      <c r="S12286" t="s">
        <v>41338</v>
      </c>
      <c r="T12286" t="s">
        <v>42590</v>
      </c>
      <c r="U12286" t="s">
        <v>52719</v>
      </c>
      <c r="V12286" t="s">
        <v>54683</v>
      </c>
      <c r="W12286" t="s">
        <v>39677</v>
      </c>
      <c r="X12286" t="s">
        <v>40459</v>
      </c>
    </row>
    <row r="12287" spans="1:24">
      <c r="A12287">
        <f>HYPERLINK("https://www.philgeps.gov.ph/GEPSNONPILOT/Tender/SplashBidNoticeAbstractUI.aspx?menuIndex=3&amp;refID=7016587&amp;Result=3","7016587")</f>
        <v>0</v>
      </c>
      <c r="B12287" t="s">
        <v>2942</v>
      </c>
      <c r="C12287" t="s">
        <v>14850</v>
      </c>
      <c r="D12287" t="s">
        <v>16239</v>
      </c>
      <c r="E12287" t="s">
        <v>26926</v>
      </c>
      <c r="F12287" t="s">
        <v>28198</v>
      </c>
      <c r="G12287" t="s">
        <v>28205</v>
      </c>
      <c r="H12287" t="s">
        <v>28214</v>
      </c>
      <c r="I12287" t="s">
        <v>28235</v>
      </c>
      <c r="J12287" t="s">
        <v>35881</v>
      </c>
      <c r="K12287" t="s">
        <v>36692</v>
      </c>
      <c r="M12287" t="s">
        <v>40225</v>
      </c>
      <c r="N12287" t="s">
        <v>40436</v>
      </c>
      <c r="O12287" t="s">
        <v>40437</v>
      </c>
      <c r="Q12287">
        <v>0</v>
      </c>
      <c r="R12287" t="s">
        <v>40456</v>
      </c>
      <c r="S12287" t="s">
        <v>41341</v>
      </c>
      <c r="T12287" t="s">
        <v>42119</v>
      </c>
      <c r="U12287" t="s">
        <v>52720</v>
      </c>
      <c r="W12287" t="s">
        <v>40225</v>
      </c>
      <c r="X12287" t="s">
        <v>40457</v>
      </c>
    </row>
    <row r="12288" spans="1:24">
      <c r="A12288">
        <f>HYPERLINK("https://www.philgeps.gov.ph/GEPSNONPILOT/Tender/SplashBidNoticeAbstractUI.aspx?menuIndex=3&amp;refID=7016333&amp;Result=3","7016333")</f>
        <v>0</v>
      </c>
      <c r="B12288" t="s">
        <v>2979</v>
      </c>
      <c r="C12288" t="s">
        <v>14851</v>
      </c>
      <c r="D12288" t="s">
        <v>16203</v>
      </c>
      <c r="E12288" t="s">
        <v>26927</v>
      </c>
      <c r="F12288" t="s">
        <v>28198</v>
      </c>
      <c r="G12288" t="s">
        <v>28205</v>
      </c>
      <c r="H12288" t="s">
        <v>28214</v>
      </c>
      <c r="I12288" t="s">
        <v>3797</v>
      </c>
      <c r="J12288" t="s">
        <v>35882</v>
      </c>
      <c r="K12288" t="s">
        <v>36694</v>
      </c>
      <c r="M12288" t="s">
        <v>40270</v>
      </c>
      <c r="N12288" t="s">
        <v>40436</v>
      </c>
      <c r="O12288" t="s">
        <v>40437</v>
      </c>
      <c r="Q12288">
        <v>35</v>
      </c>
      <c r="R12288" t="s">
        <v>40456</v>
      </c>
      <c r="S12288" t="s">
        <v>41342</v>
      </c>
      <c r="T12288" t="s">
        <v>42190</v>
      </c>
      <c r="U12288" t="s">
        <v>52721</v>
      </c>
      <c r="V12288" t="s">
        <v>55186</v>
      </c>
      <c r="W12288" t="s">
        <v>40270</v>
      </c>
      <c r="X12288" t="s">
        <v>40458</v>
      </c>
    </row>
    <row r="12289" spans="1:24">
      <c r="A12289">
        <f>HYPERLINK("https://www.philgeps.gov.ph/GEPSNONPILOT/Tender/SplashBidNoticeAbstractUI.aspx?menuIndex=3&amp;refID=7016326&amp;Result=3","7016326")</f>
        <v>0</v>
      </c>
      <c r="B12289" t="s">
        <v>2979</v>
      </c>
      <c r="C12289" t="s">
        <v>14852</v>
      </c>
      <c r="D12289" t="s">
        <v>16203</v>
      </c>
      <c r="E12289" t="s">
        <v>26928</v>
      </c>
      <c r="F12289" t="s">
        <v>28198</v>
      </c>
      <c r="G12289" t="s">
        <v>28205</v>
      </c>
      <c r="H12289" t="s">
        <v>28214</v>
      </c>
      <c r="I12289" t="s">
        <v>3797</v>
      </c>
      <c r="J12289" t="s">
        <v>35883</v>
      </c>
      <c r="K12289" t="s">
        <v>36737</v>
      </c>
      <c r="M12289" t="s">
        <v>40270</v>
      </c>
      <c r="N12289" t="s">
        <v>40436</v>
      </c>
      <c r="O12289" t="s">
        <v>40437</v>
      </c>
      <c r="Q12289">
        <v>33</v>
      </c>
      <c r="R12289" t="s">
        <v>40456</v>
      </c>
      <c r="S12289" t="s">
        <v>41343</v>
      </c>
      <c r="T12289" t="s">
        <v>42190</v>
      </c>
      <c r="U12289" t="s">
        <v>52722</v>
      </c>
      <c r="V12289" t="s">
        <v>55187</v>
      </c>
      <c r="W12289" t="s">
        <v>40270</v>
      </c>
      <c r="X12289" t="s">
        <v>40458</v>
      </c>
    </row>
    <row r="12290" spans="1:24">
      <c r="A12290">
        <f>HYPERLINK("https://www.philgeps.gov.ph/GEPSNONPILOT/Tender/SplashBidNoticeAbstractUI.aspx?menuIndex=3&amp;refID=7018864&amp;Result=3","7018864")</f>
        <v>0</v>
      </c>
      <c r="B12290" t="s">
        <v>2113</v>
      </c>
      <c r="C12290" t="s">
        <v>14853</v>
      </c>
      <c r="D12290" t="s">
        <v>16251</v>
      </c>
      <c r="E12290" t="s">
        <v>26929</v>
      </c>
      <c r="F12290" t="s">
        <v>28198</v>
      </c>
      <c r="G12290" t="s">
        <v>28205</v>
      </c>
      <c r="H12290" t="s">
        <v>28215</v>
      </c>
      <c r="I12290" t="s">
        <v>28227</v>
      </c>
      <c r="J12290" t="s">
        <v>35884</v>
      </c>
      <c r="K12290" t="s">
        <v>36707</v>
      </c>
      <c r="M12290" t="s">
        <v>39267</v>
      </c>
      <c r="N12290" t="s">
        <v>40436</v>
      </c>
      <c r="O12290" t="s">
        <v>40437</v>
      </c>
      <c r="P12290">
        <v>0</v>
      </c>
      <c r="Q12290">
        <v>2</v>
      </c>
      <c r="R12290" t="s">
        <v>40455</v>
      </c>
      <c r="S12290" t="s">
        <v>41330</v>
      </c>
      <c r="T12290" t="s">
        <v>42218</v>
      </c>
      <c r="U12290" t="s">
        <v>52723</v>
      </c>
      <c r="W12290" t="s">
        <v>39267</v>
      </c>
      <c r="X12290" t="s">
        <v>40456</v>
      </c>
    </row>
    <row r="12291" spans="1:24">
      <c r="A12291">
        <f>HYPERLINK("https://www.philgeps.gov.ph/GEPSNONPILOT/Tender/SplashBidNoticeAbstractUI.aspx?menuIndex=3&amp;refID=7016342&amp;Result=3","7016342")</f>
        <v>0</v>
      </c>
      <c r="B12291" t="s">
        <v>2979</v>
      </c>
      <c r="C12291" t="s">
        <v>14854</v>
      </c>
      <c r="D12291" t="s">
        <v>16203</v>
      </c>
      <c r="E12291" t="s">
        <v>26930</v>
      </c>
      <c r="F12291" t="s">
        <v>28198</v>
      </c>
      <c r="G12291" t="s">
        <v>28205</v>
      </c>
      <c r="H12291" t="s">
        <v>28214</v>
      </c>
      <c r="I12291" t="s">
        <v>3797</v>
      </c>
      <c r="J12291" t="s">
        <v>35885</v>
      </c>
      <c r="K12291" t="s">
        <v>36737</v>
      </c>
      <c r="M12291" t="s">
        <v>40270</v>
      </c>
      <c r="N12291" t="s">
        <v>40436</v>
      </c>
      <c r="O12291" t="s">
        <v>40437</v>
      </c>
      <c r="Q12291">
        <v>46</v>
      </c>
      <c r="R12291" t="s">
        <v>40456</v>
      </c>
      <c r="S12291" t="s">
        <v>41344</v>
      </c>
      <c r="T12291" t="s">
        <v>42190</v>
      </c>
      <c r="U12291" t="s">
        <v>52724</v>
      </c>
      <c r="V12291" t="s">
        <v>55188</v>
      </c>
      <c r="W12291" t="s">
        <v>40270</v>
      </c>
      <c r="X12291" t="s">
        <v>40458</v>
      </c>
    </row>
    <row r="12292" spans="1:24">
      <c r="A12292">
        <f>HYPERLINK("https://www.philgeps.gov.ph/GEPSNONPILOT/Tender/SplashBidNoticeAbstractUI.aspx?menuIndex=3&amp;refID=7016307&amp;Result=3","7016307")</f>
        <v>0</v>
      </c>
      <c r="B12292" t="s">
        <v>2979</v>
      </c>
      <c r="C12292" t="s">
        <v>14855</v>
      </c>
      <c r="D12292" t="s">
        <v>16203</v>
      </c>
      <c r="E12292" t="s">
        <v>26931</v>
      </c>
      <c r="F12292" t="s">
        <v>28198</v>
      </c>
      <c r="G12292" t="s">
        <v>28205</v>
      </c>
      <c r="H12292" t="s">
        <v>28214</v>
      </c>
      <c r="I12292" t="s">
        <v>3797</v>
      </c>
      <c r="J12292" t="s">
        <v>35886</v>
      </c>
      <c r="K12292" t="s">
        <v>36694</v>
      </c>
      <c r="M12292" t="s">
        <v>40270</v>
      </c>
      <c r="N12292" t="s">
        <v>40436</v>
      </c>
      <c r="O12292" t="s">
        <v>40437</v>
      </c>
      <c r="Q12292">
        <v>44</v>
      </c>
      <c r="R12292" t="s">
        <v>40456</v>
      </c>
      <c r="S12292" t="s">
        <v>41345</v>
      </c>
      <c r="T12292" t="s">
        <v>42190</v>
      </c>
      <c r="U12292" t="s">
        <v>52725</v>
      </c>
      <c r="V12292" t="s">
        <v>55189</v>
      </c>
      <c r="W12292" t="s">
        <v>40270</v>
      </c>
      <c r="X12292" t="s">
        <v>40458</v>
      </c>
    </row>
    <row r="12293" spans="1:24">
      <c r="A12293">
        <f>HYPERLINK("https://www.philgeps.gov.ph/GEPSNONPILOT/Tender/SplashBidNoticeAbstractUI.aspx?menuIndex=3&amp;refID=7018863&amp;Result=3","7018863")</f>
        <v>0</v>
      </c>
      <c r="B12293" t="s">
        <v>2113</v>
      </c>
      <c r="C12293" t="s">
        <v>14856</v>
      </c>
      <c r="D12293" t="s">
        <v>16251</v>
      </c>
      <c r="E12293" t="s">
        <v>26932</v>
      </c>
      <c r="F12293" t="s">
        <v>28198</v>
      </c>
      <c r="G12293" t="s">
        <v>28205</v>
      </c>
      <c r="H12293" t="s">
        <v>28215</v>
      </c>
      <c r="I12293" t="s">
        <v>28228</v>
      </c>
      <c r="J12293" t="s">
        <v>35887</v>
      </c>
      <c r="K12293" t="s">
        <v>36697</v>
      </c>
      <c r="M12293" t="s">
        <v>39267</v>
      </c>
      <c r="N12293" t="s">
        <v>40436</v>
      </c>
      <c r="O12293" t="s">
        <v>40437</v>
      </c>
      <c r="P12293">
        <v>0</v>
      </c>
      <c r="Q12293">
        <v>1</v>
      </c>
      <c r="R12293" t="s">
        <v>40455</v>
      </c>
      <c r="S12293" t="s">
        <v>41330</v>
      </c>
      <c r="T12293" t="s">
        <v>42218</v>
      </c>
      <c r="U12293" t="s">
        <v>52726</v>
      </c>
      <c r="W12293" t="s">
        <v>39267</v>
      </c>
      <c r="X12293" t="s">
        <v>40456</v>
      </c>
    </row>
    <row r="12294" spans="1:24">
      <c r="A12294">
        <f>HYPERLINK("https://www.philgeps.gov.ph/GEPSNONPILOT/Tender/SplashBidNoticeAbstractUI.aspx?menuIndex=3&amp;refID=7016319&amp;Result=3","7016319")</f>
        <v>0</v>
      </c>
      <c r="B12294" t="s">
        <v>2979</v>
      </c>
      <c r="C12294" t="s">
        <v>14857</v>
      </c>
      <c r="D12294" t="s">
        <v>16203</v>
      </c>
      <c r="E12294" t="s">
        <v>26933</v>
      </c>
      <c r="F12294" t="s">
        <v>28198</v>
      </c>
      <c r="G12294" t="s">
        <v>28205</v>
      </c>
      <c r="H12294" t="s">
        <v>28214</v>
      </c>
      <c r="I12294" t="s">
        <v>3797</v>
      </c>
      <c r="J12294" t="s">
        <v>35888</v>
      </c>
      <c r="K12294" t="s">
        <v>36694</v>
      </c>
      <c r="M12294" t="s">
        <v>40270</v>
      </c>
      <c r="N12294" t="s">
        <v>40436</v>
      </c>
      <c r="O12294" t="s">
        <v>40437</v>
      </c>
      <c r="Q12294">
        <v>48</v>
      </c>
      <c r="R12294" t="s">
        <v>40456</v>
      </c>
      <c r="S12294" t="s">
        <v>41346</v>
      </c>
      <c r="T12294" t="s">
        <v>42190</v>
      </c>
      <c r="U12294" t="s">
        <v>52727</v>
      </c>
      <c r="V12294" t="s">
        <v>55190</v>
      </c>
      <c r="W12294" t="s">
        <v>40270</v>
      </c>
      <c r="X12294" t="s">
        <v>40458</v>
      </c>
    </row>
    <row r="12295" spans="1:24">
      <c r="A12295">
        <f>HYPERLINK("https://www.philgeps.gov.ph/GEPSNONPILOT/Tender/SplashBidNoticeAbstractUI.aspx?menuIndex=3&amp;refID=7016302&amp;Result=3","7016302")</f>
        <v>0</v>
      </c>
      <c r="B12295" t="s">
        <v>2979</v>
      </c>
      <c r="C12295" t="s">
        <v>14858</v>
      </c>
      <c r="D12295" t="s">
        <v>16203</v>
      </c>
      <c r="E12295" t="s">
        <v>26934</v>
      </c>
      <c r="F12295" t="s">
        <v>28198</v>
      </c>
      <c r="G12295" t="s">
        <v>28205</v>
      </c>
      <c r="H12295" t="s">
        <v>28214</v>
      </c>
      <c r="I12295" t="s">
        <v>3797</v>
      </c>
      <c r="J12295" t="s">
        <v>35889</v>
      </c>
      <c r="K12295" t="s">
        <v>36697</v>
      </c>
      <c r="M12295" t="s">
        <v>40270</v>
      </c>
      <c r="N12295" t="s">
        <v>40436</v>
      </c>
      <c r="O12295" t="s">
        <v>40437</v>
      </c>
      <c r="Q12295">
        <v>38</v>
      </c>
      <c r="R12295" t="s">
        <v>40456</v>
      </c>
      <c r="S12295" t="s">
        <v>41347</v>
      </c>
      <c r="T12295" t="s">
        <v>42190</v>
      </c>
      <c r="U12295" t="s">
        <v>52728</v>
      </c>
      <c r="V12295" t="s">
        <v>55191</v>
      </c>
      <c r="W12295" t="s">
        <v>40270</v>
      </c>
      <c r="X12295" t="s">
        <v>40458</v>
      </c>
    </row>
    <row r="12296" spans="1:24">
      <c r="A12296">
        <f>HYPERLINK("https://www.philgeps.gov.ph/GEPSNONPILOT/Tender/SplashBidNoticeAbstractUI.aspx?menuIndex=3&amp;refID=7016338&amp;Result=3","7016338")</f>
        <v>0</v>
      </c>
      <c r="B12296" t="s">
        <v>2979</v>
      </c>
      <c r="C12296" t="s">
        <v>14859</v>
      </c>
      <c r="D12296" t="s">
        <v>16203</v>
      </c>
      <c r="E12296" t="s">
        <v>26935</v>
      </c>
      <c r="F12296" t="s">
        <v>28198</v>
      </c>
      <c r="G12296" t="s">
        <v>28205</v>
      </c>
      <c r="H12296" t="s">
        <v>28214</v>
      </c>
      <c r="I12296" t="s">
        <v>3797</v>
      </c>
      <c r="J12296" t="s">
        <v>35890</v>
      </c>
      <c r="K12296" t="s">
        <v>36737</v>
      </c>
      <c r="M12296" t="s">
        <v>40270</v>
      </c>
      <c r="N12296" t="s">
        <v>40436</v>
      </c>
      <c r="O12296" t="s">
        <v>40437</v>
      </c>
      <c r="Q12296">
        <v>41</v>
      </c>
      <c r="R12296" t="s">
        <v>40456</v>
      </c>
      <c r="S12296" t="s">
        <v>41348</v>
      </c>
      <c r="T12296" t="s">
        <v>42190</v>
      </c>
      <c r="U12296" t="s">
        <v>52729</v>
      </c>
      <c r="V12296" t="s">
        <v>55192</v>
      </c>
      <c r="W12296" t="s">
        <v>40270</v>
      </c>
      <c r="X12296" t="s">
        <v>40458</v>
      </c>
    </row>
    <row r="12297" spans="1:24">
      <c r="A12297">
        <f>HYPERLINK("https://www.philgeps.gov.ph/GEPSNONPILOT/Tender/SplashBidNoticeAbstractUI.aspx?menuIndex=3&amp;refID=7016298&amp;Result=3","7016298")</f>
        <v>0</v>
      </c>
      <c r="B12297" t="s">
        <v>2979</v>
      </c>
      <c r="C12297" t="s">
        <v>14860</v>
      </c>
      <c r="D12297" t="s">
        <v>16203</v>
      </c>
      <c r="E12297" t="s">
        <v>19904</v>
      </c>
      <c r="F12297" t="s">
        <v>28198</v>
      </c>
      <c r="G12297" t="s">
        <v>28205</v>
      </c>
      <c r="H12297" t="s">
        <v>28214</v>
      </c>
      <c r="I12297" t="s">
        <v>3797</v>
      </c>
      <c r="J12297" t="s">
        <v>35891</v>
      </c>
      <c r="K12297" t="s">
        <v>36694</v>
      </c>
      <c r="M12297" t="s">
        <v>40270</v>
      </c>
      <c r="N12297" t="s">
        <v>40436</v>
      </c>
      <c r="O12297" t="s">
        <v>40437</v>
      </c>
      <c r="Q12297">
        <v>34</v>
      </c>
      <c r="R12297" t="s">
        <v>40456</v>
      </c>
      <c r="S12297" t="s">
        <v>41349</v>
      </c>
      <c r="T12297" t="s">
        <v>42190</v>
      </c>
      <c r="U12297" t="s">
        <v>52730</v>
      </c>
      <c r="V12297" t="s">
        <v>55193</v>
      </c>
      <c r="W12297" t="s">
        <v>40270</v>
      </c>
      <c r="X12297" t="s">
        <v>40458</v>
      </c>
    </row>
    <row r="12298" spans="1:24">
      <c r="A12298">
        <f>HYPERLINK("https://www.philgeps.gov.ph/GEPSNONPILOT/Tender/SplashBidNoticeAbstractUI.aspx?menuIndex=3&amp;refID=7018861&amp;Result=3","7018861")</f>
        <v>0</v>
      </c>
      <c r="B12298" t="s">
        <v>2113</v>
      </c>
      <c r="C12298" t="s">
        <v>14861</v>
      </c>
      <c r="D12298" t="s">
        <v>16251</v>
      </c>
      <c r="E12298" t="s">
        <v>26936</v>
      </c>
      <c r="F12298" t="s">
        <v>28198</v>
      </c>
      <c r="G12298" t="s">
        <v>28205</v>
      </c>
      <c r="H12298" t="s">
        <v>28215</v>
      </c>
      <c r="I12298" t="s">
        <v>28227</v>
      </c>
      <c r="J12298" t="s">
        <v>35892</v>
      </c>
      <c r="K12298" t="s">
        <v>36707</v>
      </c>
      <c r="M12298" t="s">
        <v>39267</v>
      </c>
      <c r="N12298" t="s">
        <v>40436</v>
      </c>
      <c r="O12298" t="s">
        <v>40437</v>
      </c>
      <c r="P12298">
        <v>0</v>
      </c>
      <c r="Q12298">
        <v>2</v>
      </c>
      <c r="R12298" t="s">
        <v>40455</v>
      </c>
      <c r="S12298" t="s">
        <v>41330</v>
      </c>
      <c r="T12298" t="s">
        <v>42218</v>
      </c>
      <c r="U12298" t="s">
        <v>52731</v>
      </c>
      <c r="W12298" t="s">
        <v>39267</v>
      </c>
      <c r="X12298" t="s">
        <v>40456</v>
      </c>
    </row>
    <row r="12299" spans="1:24">
      <c r="A12299">
        <f>HYPERLINK("https://www.philgeps.gov.ph/GEPSNONPILOT/Tender/SplashBidNoticeAbstractUI.aspx?menuIndex=3&amp;refID=7016305&amp;Result=3","7016305")</f>
        <v>0</v>
      </c>
      <c r="B12299" t="s">
        <v>2979</v>
      </c>
      <c r="C12299" t="s">
        <v>14862</v>
      </c>
      <c r="D12299" t="s">
        <v>16203</v>
      </c>
      <c r="E12299" t="s">
        <v>26937</v>
      </c>
      <c r="F12299" t="s">
        <v>28198</v>
      </c>
      <c r="G12299" t="s">
        <v>28205</v>
      </c>
      <c r="H12299" t="s">
        <v>28214</v>
      </c>
      <c r="I12299" t="s">
        <v>3797</v>
      </c>
      <c r="J12299" t="s">
        <v>35893</v>
      </c>
      <c r="K12299" t="s">
        <v>36697</v>
      </c>
      <c r="M12299" t="s">
        <v>40270</v>
      </c>
      <c r="N12299" t="s">
        <v>40436</v>
      </c>
      <c r="O12299" t="s">
        <v>40437</v>
      </c>
      <c r="Q12299">
        <v>48</v>
      </c>
      <c r="R12299" t="s">
        <v>40456</v>
      </c>
      <c r="S12299" t="s">
        <v>41350</v>
      </c>
      <c r="T12299" t="s">
        <v>42190</v>
      </c>
      <c r="U12299" t="s">
        <v>52732</v>
      </c>
      <c r="V12299" t="s">
        <v>55194</v>
      </c>
      <c r="W12299" t="s">
        <v>40270</v>
      </c>
      <c r="X12299" t="s">
        <v>40458</v>
      </c>
    </row>
    <row r="12300" spans="1:24">
      <c r="A12300">
        <f>HYPERLINK("https://www.philgeps.gov.ph/GEPSNONPILOT/Tender/SplashBidNoticeAbstractUI.aspx?menuIndex=3&amp;refID=7016281&amp;Result=3","7016281")</f>
        <v>0</v>
      </c>
      <c r="B12300" t="s">
        <v>2979</v>
      </c>
      <c r="C12300" t="s">
        <v>14863</v>
      </c>
      <c r="D12300" t="s">
        <v>16203</v>
      </c>
      <c r="E12300" t="s">
        <v>26938</v>
      </c>
      <c r="F12300" t="s">
        <v>28198</v>
      </c>
      <c r="G12300" t="s">
        <v>28205</v>
      </c>
      <c r="H12300" t="s">
        <v>28214</v>
      </c>
      <c r="I12300" t="s">
        <v>3797</v>
      </c>
      <c r="J12300" t="s">
        <v>35894</v>
      </c>
      <c r="K12300" t="s">
        <v>36694</v>
      </c>
      <c r="M12300" t="s">
        <v>40270</v>
      </c>
      <c r="N12300" t="s">
        <v>40436</v>
      </c>
      <c r="O12300" t="s">
        <v>40437</v>
      </c>
      <c r="Q12300">
        <v>45</v>
      </c>
      <c r="R12300" t="s">
        <v>40456</v>
      </c>
      <c r="S12300" t="s">
        <v>40858</v>
      </c>
      <c r="T12300" t="s">
        <v>42190</v>
      </c>
      <c r="U12300" t="s">
        <v>52733</v>
      </c>
      <c r="V12300" t="s">
        <v>55195</v>
      </c>
      <c r="W12300" t="s">
        <v>40270</v>
      </c>
      <c r="X12300" t="s">
        <v>40458</v>
      </c>
    </row>
    <row r="12301" spans="1:24">
      <c r="A12301">
        <f>HYPERLINK("https://www.philgeps.gov.ph/GEPSNONPILOT/Tender/SplashBidNoticeAbstractUI.aspx?menuIndex=3&amp;refID=7016288&amp;Result=3","7016288")</f>
        <v>0</v>
      </c>
      <c r="B12301" t="s">
        <v>2979</v>
      </c>
      <c r="C12301" t="s">
        <v>14864</v>
      </c>
      <c r="D12301" t="s">
        <v>16203</v>
      </c>
      <c r="E12301" t="s">
        <v>22502</v>
      </c>
      <c r="F12301" t="s">
        <v>28198</v>
      </c>
      <c r="G12301" t="s">
        <v>28205</v>
      </c>
      <c r="H12301" t="s">
        <v>28214</v>
      </c>
      <c r="I12301" t="s">
        <v>3797</v>
      </c>
      <c r="J12301" t="s">
        <v>35895</v>
      </c>
      <c r="K12301" t="s">
        <v>36694</v>
      </c>
      <c r="M12301" t="s">
        <v>40270</v>
      </c>
      <c r="N12301" t="s">
        <v>40436</v>
      </c>
      <c r="O12301" t="s">
        <v>40437</v>
      </c>
      <c r="Q12301">
        <v>43</v>
      </c>
      <c r="R12301" t="s">
        <v>40456</v>
      </c>
      <c r="S12301" t="s">
        <v>41351</v>
      </c>
      <c r="T12301" t="s">
        <v>42190</v>
      </c>
      <c r="U12301" t="s">
        <v>52734</v>
      </c>
      <c r="V12301" t="s">
        <v>55196</v>
      </c>
      <c r="W12301" t="s">
        <v>40270</v>
      </c>
      <c r="X12301" t="s">
        <v>40458</v>
      </c>
    </row>
    <row r="12302" spans="1:24">
      <c r="A12302">
        <f>HYPERLINK("https://www.philgeps.gov.ph/GEPSNONPILOT/Tender/SplashBidNoticeAbstractUI.aspx?menuIndex=3&amp;refID=7016617&amp;Result=3","7016617")</f>
        <v>0</v>
      </c>
      <c r="B12302" t="s">
        <v>1068</v>
      </c>
      <c r="C12302" t="s">
        <v>14865</v>
      </c>
      <c r="D12302" t="s">
        <v>16258</v>
      </c>
      <c r="E12302" t="s">
        <v>26939</v>
      </c>
      <c r="F12302" t="s">
        <v>28198</v>
      </c>
      <c r="G12302" t="s">
        <v>28205</v>
      </c>
      <c r="H12302" t="s">
        <v>28214</v>
      </c>
      <c r="I12302" t="s">
        <v>3797</v>
      </c>
      <c r="J12302" t="s">
        <v>35896</v>
      </c>
      <c r="K12302" t="s">
        <v>36689</v>
      </c>
      <c r="M12302" t="s">
        <v>38101</v>
      </c>
      <c r="N12302" t="s">
        <v>40436</v>
      </c>
      <c r="O12302" t="s">
        <v>40437</v>
      </c>
      <c r="P12302">
        <v>0</v>
      </c>
      <c r="Q12302">
        <v>1</v>
      </c>
      <c r="R12302" t="s">
        <v>40456</v>
      </c>
      <c r="S12302" t="s">
        <v>41338</v>
      </c>
      <c r="T12302" t="s">
        <v>42160</v>
      </c>
      <c r="U12302" t="s">
        <v>52735</v>
      </c>
      <c r="W12302" t="s">
        <v>38101</v>
      </c>
      <c r="X12302" t="s">
        <v>40457</v>
      </c>
    </row>
    <row r="12303" spans="1:24">
      <c r="A12303">
        <f>HYPERLINK("https://www.philgeps.gov.ph/GEPSNONPILOT/Tender/SplashBidNoticeAbstractUI.aspx?menuIndex=3&amp;refID=7016256&amp;Result=3","7016256")</f>
        <v>0</v>
      </c>
      <c r="B12303" t="s">
        <v>2979</v>
      </c>
      <c r="C12303" t="s">
        <v>14866</v>
      </c>
      <c r="D12303" t="s">
        <v>16203</v>
      </c>
      <c r="E12303" t="s">
        <v>26940</v>
      </c>
      <c r="F12303" t="s">
        <v>28198</v>
      </c>
      <c r="G12303" t="s">
        <v>28205</v>
      </c>
      <c r="H12303" t="s">
        <v>28214</v>
      </c>
      <c r="I12303" t="s">
        <v>3797</v>
      </c>
      <c r="J12303" t="s">
        <v>35897</v>
      </c>
      <c r="K12303" t="s">
        <v>36694</v>
      </c>
      <c r="M12303" t="s">
        <v>40270</v>
      </c>
      <c r="N12303" t="s">
        <v>40436</v>
      </c>
      <c r="O12303" t="s">
        <v>40437</v>
      </c>
      <c r="Q12303">
        <v>36</v>
      </c>
      <c r="R12303" t="s">
        <v>40456</v>
      </c>
      <c r="S12303" t="s">
        <v>41352</v>
      </c>
      <c r="T12303" t="s">
        <v>42190</v>
      </c>
      <c r="U12303" t="s">
        <v>52736</v>
      </c>
      <c r="V12303" t="s">
        <v>55197</v>
      </c>
      <c r="W12303" t="s">
        <v>40270</v>
      </c>
      <c r="X12303" t="s">
        <v>40458</v>
      </c>
    </row>
    <row r="12304" spans="1:24">
      <c r="A12304">
        <f>HYPERLINK("https://www.philgeps.gov.ph/GEPSNONPILOT/Tender/SplashBidNoticeAbstractUI.aspx?menuIndex=3&amp;refID=7016312&amp;Result=3","7016312")</f>
        <v>0</v>
      </c>
      <c r="B12304" t="s">
        <v>2979</v>
      </c>
      <c r="C12304" t="s">
        <v>14867</v>
      </c>
      <c r="D12304" t="s">
        <v>16203</v>
      </c>
      <c r="E12304" t="s">
        <v>26941</v>
      </c>
      <c r="F12304" t="s">
        <v>28198</v>
      </c>
      <c r="G12304" t="s">
        <v>28205</v>
      </c>
      <c r="H12304" t="s">
        <v>28214</v>
      </c>
      <c r="I12304" t="s">
        <v>3797</v>
      </c>
      <c r="J12304" t="s">
        <v>35898</v>
      </c>
      <c r="K12304" t="s">
        <v>36694</v>
      </c>
      <c r="M12304" t="s">
        <v>40270</v>
      </c>
      <c r="N12304" t="s">
        <v>40436</v>
      </c>
      <c r="O12304" t="s">
        <v>40437</v>
      </c>
      <c r="Q12304">
        <v>38</v>
      </c>
      <c r="R12304" t="s">
        <v>40456</v>
      </c>
      <c r="S12304" t="s">
        <v>41242</v>
      </c>
      <c r="T12304" t="s">
        <v>42190</v>
      </c>
      <c r="U12304" t="s">
        <v>52737</v>
      </c>
      <c r="V12304" t="s">
        <v>55198</v>
      </c>
      <c r="W12304" t="s">
        <v>40270</v>
      </c>
      <c r="X12304" t="s">
        <v>40458</v>
      </c>
    </row>
    <row r="12305" spans="1:24">
      <c r="A12305">
        <f>HYPERLINK("https://www.philgeps.gov.ph/GEPSNONPILOT/Tender/SplashBidNoticeAbstractUI.aspx?menuIndex=3&amp;refID=7016846&amp;Result=3","7016846")</f>
        <v>0</v>
      </c>
      <c r="B12305" t="s">
        <v>780</v>
      </c>
      <c r="C12305" t="s">
        <v>14868</v>
      </c>
      <c r="D12305" t="s">
        <v>16197</v>
      </c>
      <c r="E12305" t="s">
        <v>26942</v>
      </c>
      <c r="F12305" t="s">
        <v>28198</v>
      </c>
      <c r="G12305" t="s">
        <v>28205</v>
      </c>
      <c r="H12305" t="s">
        <v>28214</v>
      </c>
      <c r="I12305" t="s">
        <v>3797</v>
      </c>
      <c r="J12305" t="s">
        <v>35899</v>
      </c>
      <c r="K12305" t="s">
        <v>36692</v>
      </c>
      <c r="M12305" t="s">
        <v>37784</v>
      </c>
      <c r="N12305" t="s">
        <v>40436</v>
      </c>
      <c r="O12305" t="s">
        <v>40437</v>
      </c>
      <c r="Q12305">
        <v>1</v>
      </c>
      <c r="R12305" t="s">
        <v>40456</v>
      </c>
      <c r="S12305" t="s">
        <v>41353</v>
      </c>
      <c r="T12305" t="s">
        <v>42233</v>
      </c>
      <c r="U12305" t="s">
        <v>52738</v>
      </c>
      <c r="W12305" t="s">
        <v>37784</v>
      </c>
      <c r="X12305" t="s">
        <v>40457</v>
      </c>
    </row>
    <row r="12306" spans="1:24">
      <c r="A12306">
        <f>HYPERLINK("https://www.philgeps.gov.ph/GEPSNONPILOT/Tender/SplashBidNoticeAbstractUI.aspx?menuIndex=3&amp;refID=7016554&amp;Result=3","7016554")</f>
        <v>0</v>
      </c>
      <c r="B12306" t="s">
        <v>2400</v>
      </c>
      <c r="C12306" t="s">
        <v>14869</v>
      </c>
      <c r="D12306" t="s">
        <v>16219</v>
      </c>
      <c r="E12306" t="s">
        <v>26943</v>
      </c>
      <c r="F12306" t="s">
        <v>28198</v>
      </c>
      <c r="G12306" t="s">
        <v>28205</v>
      </c>
      <c r="H12306" t="s">
        <v>28214</v>
      </c>
      <c r="I12306" t="s">
        <v>3797</v>
      </c>
      <c r="J12306" t="s">
        <v>30496</v>
      </c>
      <c r="K12306" t="s">
        <v>36715</v>
      </c>
      <c r="M12306" t="s">
        <v>39587</v>
      </c>
      <c r="N12306" t="s">
        <v>40436</v>
      </c>
      <c r="O12306" t="s">
        <v>40437</v>
      </c>
      <c r="P12306">
        <v>0</v>
      </c>
      <c r="Q12306">
        <v>0</v>
      </c>
      <c r="R12306" t="s">
        <v>40456</v>
      </c>
      <c r="S12306" t="s">
        <v>41338</v>
      </c>
      <c r="T12306" t="s">
        <v>42103</v>
      </c>
      <c r="U12306" t="s">
        <v>52739</v>
      </c>
      <c r="W12306" t="s">
        <v>39587</v>
      </c>
      <c r="X12306" t="s">
        <v>40457</v>
      </c>
    </row>
    <row r="12307" spans="1:24">
      <c r="A12307">
        <f>HYPERLINK("https://www.philgeps.gov.ph/GEPSNONPILOT/Tender/SplashBidNoticeAbstractUI.aspx?menuIndex=3&amp;refID=7016826&amp;Result=3","7016826")</f>
        <v>0</v>
      </c>
      <c r="B12307" t="s">
        <v>780</v>
      </c>
      <c r="C12307" t="s">
        <v>14870</v>
      </c>
      <c r="D12307" t="s">
        <v>16197</v>
      </c>
      <c r="E12307" t="s">
        <v>26944</v>
      </c>
      <c r="F12307" t="s">
        <v>28198</v>
      </c>
      <c r="G12307" t="s">
        <v>28205</v>
      </c>
      <c r="H12307" t="s">
        <v>28214</v>
      </c>
      <c r="I12307" t="s">
        <v>3797</v>
      </c>
      <c r="J12307" t="s">
        <v>35900</v>
      </c>
      <c r="K12307" t="s">
        <v>36710</v>
      </c>
      <c r="M12307" t="s">
        <v>37784</v>
      </c>
      <c r="N12307" t="s">
        <v>40436</v>
      </c>
      <c r="O12307" t="s">
        <v>40437</v>
      </c>
      <c r="Q12307">
        <v>3</v>
      </c>
      <c r="R12307" t="s">
        <v>40456</v>
      </c>
      <c r="S12307" t="s">
        <v>40878</v>
      </c>
      <c r="T12307" t="s">
        <v>42233</v>
      </c>
      <c r="U12307" t="s">
        <v>52738</v>
      </c>
      <c r="W12307" t="s">
        <v>37784</v>
      </c>
      <c r="X12307" t="s">
        <v>40457</v>
      </c>
    </row>
    <row r="12308" spans="1:24">
      <c r="A12308">
        <f>HYPERLINK("https://www.philgeps.gov.ph/GEPSNONPILOT/Tender/SplashBidNoticeAbstractUI.aspx?menuIndex=3&amp;refID=7016775&amp;Result=3","7016775")</f>
        <v>0</v>
      </c>
      <c r="B12308" t="s">
        <v>780</v>
      </c>
      <c r="C12308" t="s">
        <v>14871</v>
      </c>
      <c r="D12308" t="s">
        <v>16197</v>
      </c>
      <c r="E12308" t="s">
        <v>26945</v>
      </c>
      <c r="F12308" t="s">
        <v>28198</v>
      </c>
      <c r="G12308" t="s">
        <v>28205</v>
      </c>
      <c r="H12308" t="s">
        <v>28214</v>
      </c>
      <c r="I12308" t="s">
        <v>3797</v>
      </c>
      <c r="J12308" t="s">
        <v>35901</v>
      </c>
      <c r="K12308" t="s">
        <v>36735</v>
      </c>
      <c r="M12308" t="s">
        <v>37784</v>
      </c>
      <c r="N12308" t="s">
        <v>40436</v>
      </c>
      <c r="O12308" t="s">
        <v>40437</v>
      </c>
      <c r="P12308">
        <v>0</v>
      </c>
      <c r="Q12308">
        <v>1</v>
      </c>
      <c r="R12308" t="s">
        <v>40456</v>
      </c>
      <c r="S12308" t="s">
        <v>41338</v>
      </c>
      <c r="T12308" t="s">
        <v>42233</v>
      </c>
      <c r="U12308" t="s">
        <v>52738</v>
      </c>
      <c r="W12308" t="s">
        <v>37784</v>
      </c>
      <c r="X12308" t="s">
        <v>40457</v>
      </c>
    </row>
    <row r="12309" spans="1:24">
      <c r="A12309">
        <f>HYPERLINK("https://www.philgeps.gov.ph/GEPSNONPILOT/Tender/SplashBidNoticeAbstractUI.aspx?menuIndex=3&amp;refID=7016857&amp;Result=3","7016857")</f>
        <v>0</v>
      </c>
      <c r="B12309" t="s">
        <v>2707</v>
      </c>
      <c r="C12309" t="s">
        <v>14872</v>
      </c>
      <c r="D12309" t="s">
        <v>16265</v>
      </c>
      <c r="E12309" t="s">
        <v>26946</v>
      </c>
      <c r="F12309" t="s">
        <v>28198</v>
      </c>
      <c r="G12309" t="s">
        <v>28205</v>
      </c>
      <c r="H12309" t="s">
        <v>28215</v>
      </c>
      <c r="I12309" t="s">
        <v>28222</v>
      </c>
      <c r="J12309" t="s">
        <v>29316</v>
      </c>
      <c r="K12309" t="s">
        <v>36701</v>
      </c>
      <c r="M12309" t="s">
        <v>39948</v>
      </c>
      <c r="N12309" t="s">
        <v>40436</v>
      </c>
      <c r="O12309" t="s">
        <v>40437</v>
      </c>
      <c r="P12309">
        <v>0</v>
      </c>
      <c r="Q12309">
        <v>4</v>
      </c>
      <c r="R12309" t="s">
        <v>40456</v>
      </c>
      <c r="S12309" t="s">
        <v>41338</v>
      </c>
      <c r="T12309" t="s">
        <v>42129</v>
      </c>
      <c r="U12309" t="s">
        <v>52740</v>
      </c>
      <c r="W12309" t="s">
        <v>39948</v>
      </c>
      <c r="X12309" t="s">
        <v>40457</v>
      </c>
    </row>
    <row r="12310" spans="1:24">
      <c r="A12310">
        <f>HYPERLINK("https://www.philgeps.gov.ph/GEPSNONPILOT/Tender/SplashBidNoticeAbstractUI.aspx?menuIndex=3&amp;refID=7016806&amp;Result=3","7016806")</f>
        <v>0</v>
      </c>
      <c r="B12310" t="s">
        <v>2980</v>
      </c>
      <c r="C12310" t="s">
        <v>14873</v>
      </c>
      <c r="D12310" t="s">
        <v>16261</v>
      </c>
      <c r="E12310" t="s">
        <v>26947</v>
      </c>
      <c r="F12310" t="s">
        <v>28198</v>
      </c>
      <c r="G12310" t="s">
        <v>28205</v>
      </c>
      <c r="H12310" t="s">
        <v>28215</v>
      </c>
      <c r="I12310" t="s">
        <v>28229</v>
      </c>
      <c r="J12310" t="s">
        <v>35902</v>
      </c>
      <c r="K12310" t="s">
        <v>36701</v>
      </c>
      <c r="M12310" t="s">
        <v>40271</v>
      </c>
      <c r="N12310" t="s">
        <v>40436</v>
      </c>
      <c r="O12310" t="s">
        <v>40437</v>
      </c>
      <c r="P12310">
        <v>0</v>
      </c>
      <c r="Q12310">
        <v>9</v>
      </c>
      <c r="R12310" t="s">
        <v>40456</v>
      </c>
      <c r="S12310" t="s">
        <v>41338</v>
      </c>
      <c r="T12310" t="s">
        <v>42228</v>
      </c>
      <c r="U12310" t="s">
        <v>52741</v>
      </c>
      <c r="W12310" t="s">
        <v>40271</v>
      </c>
      <c r="X12310" t="s">
        <v>40457</v>
      </c>
    </row>
    <row r="12311" spans="1:24">
      <c r="A12311">
        <f>HYPERLINK("https://www.philgeps.gov.ph/GEPSNONPILOT/Tender/SplashBidNoticeAbstractUI.aspx?menuIndex=3&amp;refID=7016800&amp;Result=3","7016800")</f>
        <v>0</v>
      </c>
      <c r="B12311" t="s">
        <v>780</v>
      </c>
      <c r="C12311" t="s">
        <v>14874</v>
      </c>
      <c r="D12311" t="s">
        <v>16197</v>
      </c>
      <c r="E12311" t="s">
        <v>26948</v>
      </c>
      <c r="F12311" t="s">
        <v>28198</v>
      </c>
      <c r="G12311" t="s">
        <v>28205</v>
      </c>
      <c r="H12311" t="s">
        <v>28214</v>
      </c>
      <c r="I12311" t="s">
        <v>3797</v>
      </c>
      <c r="J12311" t="s">
        <v>35903</v>
      </c>
      <c r="K12311" t="s">
        <v>36717</v>
      </c>
      <c r="M12311" t="s">
        <v>37784</v>
      </c>
      <c r="N12311" t="s">
        <v>40436</v>
      </c>
      <c r="O12311" t="s">
        <v>40437</v>
      </c>
      <c r="P12311">
        <v>0</v>
      </c>
      <c r="Q12311">
        <v>3</v>
      </c>
      <c r="R12311" t="s">
        <v>40456</v>
      </c>
      <c r="S12311" t="s">
        <v>41338</v>
      </c>
      <c r="T12311" t="s">
        <v>42233</v>
      </c>
      <c r="U12311" t="s">
        <v>52738</v>
      </c>
      <c r="W12311" t="s">
        <v>37784</v>
      </c>
      <c r="X12311" t="s">
        <v>40457</v>
      </c>
    </row>
    <row r="12312" spans="1:24">
      <c r="A12312">
        <f>HYPERLINK("https://www.philgeps.gov.ph/GEPSNONPILOT/Tender/SplashBidNoticeAbstractUI.aspx?menuIndex=3&amp;refID=7016734&amp;Result=3","7016734")</f>
        <v>0</v>
      </c>
      <c r="B12312" t="s">
        <v>780</v>
      </c>
      <c r="C12312" t="s">
        <v>14875</v>
      </c>
      <c r="D12312" t="s">
        <v>16197</v>
      </c>
      <c r="E12312" t="s">
        <v>26949</v>
      </c>
      <c r="F12312" t="s">
        <v>28198</v>
      </c>
      <c r="G12312" t="s">
        <v>28205</v>
      </c>
      <c r="H12312" t="s">
        <v>28214</v>
      </c>
      <c r="I12312" t="s">
        <v>3797</v>
      </c>
      <c r="J12312" t="s">
        <v>33538</v>
      </c>
      <c r="K12312" t="s">
        <v>36727</v>
      </c>
      <c r="M12312" t="s">
        <v>37784</v>
      </c>
      <c r="N12312" t="s">
        <v>40436</v>
      </c>
      <c r="O12312" t="s">
        <v>40437</v>
      </c>
      <c r="P12312">
        <v>0</v>
      </c>
      <c r="Q12312">
        <v>1</v>
      </c>
      <c r="R12312" t="s">
        <v>40456</v>
      </c>
      <c r="S12312" t="s">
        <v>41338</v>
      </c>
      <c r="T12312" t="s">
        <v>42233</v>
      </c>
      <c r="U12312" t="s">
        <v>52738</v>
      </c>
      <c r="W12312" t="s">
        <v>37784</v>
      </c>
      <c r="X12312" t="s">
        <v>40457</v>
      </c>
    </row>
    <row r="12313" spans="1:24">
      <c r="A12313">
        <f>HYPERLINK("https://www.philgeps.gov.ph/GEPSNONPILOT/Tender/SplashBidNoticeAbstractUI.aspx?menuIndex=3&amp;refID=7016755&amp;Result=3","7016755")</f>
        <v>0</v>
      </c>
      <c r="B12313" t="s">
        <v>780</v>
      </c>
      <c r="C12313" t="s">
        <v>14876</v>
      </c>
      <c r="D12313" t="s">
        <v>16197</v>
      </c>
      <c r="E12313" t="s">
        <v>26950</v>
      </c>
      <c r="F12313" t="s">
        <v>28198</v>
      </c>
      <c r="G12313" t="s">
        <v>28205</v>
      </c>
      <c r="H12313" t="s">
        <v>28214</v>
      </c>
      <c r="I12313" t="s">
        <v>3797</v>
      </c>
      <c r="J12313" t="s">
        <v>29632</v>
      </c>
      <c r="K12313" t="s">
        <v>36767</v>
      </c>
      <c r="M12313" t="s">
        <v>37784</v>
      </c>
      <c r="N12313" t="s">
        <v>40436</v>
      </c>
      <c r="O12313" t="s">
        <v>40437</v>
      </c>
      <c r="Q12313">
        <v>1</v>
      </c>
      <c r="R12313" t="s">
        <v>40456</v>
      </c>
      <c r="S12313" t="s">
        <v>41354</v>
      </c>
      <c r="T12313" t="s">
        <v>42233</v>
      </c>
      <c r="U12313" t="s">
        <v>52738</v>
      </c>
      <c r="W12313" t="s">
        <v>37784</v>
      </c>
      <c r="X12313" t="s">
        <v>40457</v>
      </c>
    </row>
    <row r="12314" spans="1:24">
      <c r="A12314">
        <f>HYPERLINK("https://www.philgeps.gov.ph/GEPSNONPILOT/Tender/SplashBidNoticeAbstractUI.aspx?menuIndex=3&amp;refID=7016249&amp;Result=3","7016249")</f>
        <v>0</v>
      </c>
      <c r="B12314" t="s">
        <v>2979</v>
      </c>
      <c r="C12314" t="s">
        <v>14877</v>
      </c>
      <c r="D12314" t="s">
        <v>16203</v>
      </c>
      <c r="E12314" t="s">
        <v>26951</v>
      </c>
      <c r="F12314" t="s">
        <v>28198</v>
      </c>
      <c r="G12314" t="s">
        <v>28205</v>
      </c>
      <c r="H12314" t="s">
        <v>28214</v>
      </c>
      <c r="I12314" t="s">
        <v>3797</v>
      </c>
      <c r="J12314" t="s">
        <v>35904</v>
      </c>
      <c r="K12314" t="s">
        <v>36694</v>
      </c>
      <c r="M12314" t="s">
        <v>40270</v>
      </c>
      <c r="N12314" t="s">
        <v>40436</v>
      </c>
      <c r="O12314" t="s">
        <v>40437</v>
      </c>
      <c r="Q12314">
        <v>35</v>
      </c>
      <c r="R12314" t="s">
        <v>40456</v>
      </c>
      <c r="S12314" t="s">
        <v>41355</v>
      </c>
      <c r="T12314" t="s">
        <v>42190</v>
      </c>
      <c r="U12314" t="s">
        <v>52742</v>
      </c>
      <c r="V12314" t="s">
        <v>55199</v>
      </c>
      <c r="W12314" t="s">
        <v>40270</v>
      </c>
      <c r="X12314" t="s">
        <v>40458</v>
      </c>
    </row>
    <row r="12315" spans="1:24">
      <c r="A12315">
        <f>HYPERLINK("https://www.philgeps.gov.ph/GEPSNONPILOT/Tender/SplashBidNoticeAbstractUI.aspx?menuIndex=3&amp;refID=7016703&amp;Result=3","7016703")</f>
        <v>0</v>
      </c>
      <c r="B12315" t="s">
        <v>780</v>
      </c>
      <c r="C12315" t="s">
        <v>14878</v>
      </c>
      <c r="D12315" t="s">
        <v>16197</v>
      </c>
      <c r="E12315" t="s">
        <v>26952</v>
      </c>
      <c r="F12315" t="s">
        <v>28198</v>
      </c>
      <c r="G12315" t="s">
        <v>28205</v>
      </c>
      <c r="H12315" t="s">
        <v>28214</v>
      </c>
      <c r="I12315" t="s">
        <v>3797</v>
      </c>
      <c r="J12315" t="s">
        <v>29632</v>
      </c>
      <c r="K12315" t="s">
        <v>36767</v>
      </c>
      <c r="M12315" t="s">
        <v>37784</v>
      </c>
      <c r="N12315" t="s">
        <v>40436</v>
      </c>
      <c r="O12315" t="s">
        <v>40437</v>
      </c>
      <c r="P12315">
        <v>0</v>
      </c>
      <c r="Q12315">
        <v>2</v>
      </c>
      <c r="R12315" t="s">
        <v>40456</v>
      </c>
      <c r="S12315" t="s">
        <v>41338</v>
      </c>
      <c r="T12315" t="s">
        <v>42233</v>
      </c>
      <c r="U12315" t="s">
        <v>52738</v>
      </c>
      <c r="W12315" t="s">
        <v>37784</v>
      </c>
      <c r="X12315" t="s">
        <v>40457</v>
      </c>
    </row>
    <row r="12316" spans="1:24">
      <c r="A12316">
        <f>HYPERLINK("https://www.philgeps.gov.ph/GEPSNONPILOT/Tender/SplashBidNoticeAbstractUI.aspx?menuIndex=3&amp;refID=7016810&amp;Result=3","7016810")</f>
        <v>0</v>
      </c>
      <c r="B12316" t="s">
        <v>33</v>
      </c>
      <c r="C12316" t="s">
        <v>14879</v>
      </c>
      <c r="D12316" t="s">
        <v>16189</v>
      </c>
      <c r="E12316" t="s">
        <v>26953</v>
      </c>
      <c r="F12316" t="s">
        <v>28198</v>
      </c>
      <c r="G12316" t="s">
        <v>28205</v>
      </c>
      <c r="H12316" t="s">
        <v>28215</v>
      </c>
      <c r="I12316" t="s">
        <v>5100</v>
      </c>
      <c r="J12316" t="s">
        <v>35905</v>
      </c>
      <c r="K12316" t="s">
        <v>36707</v>
      </c>
      <c r="M12316" t="s">
        <v>37002</v>
      </c>
      <c r="N12316" t="s">
        <v>40436</v>
      </c>
      <c r="O12316" t="s">
        <v>40437</v>
      </c>
      <c r="P12316">
        <v>0</v>
      </c>
      <c r="Q12316">
        <v>3</v>
      </c>
      <c r="R12316" t="s">
        <v>40456</v>
      </c>
      <c r="S12316" t="s">
        <v>41338</v>
      </c>
      <c r="T12316" t="s">
        <v>42158</v>
      </c>
      <c r="U12316" t="s">
        <v>52743</v>
      </c>
      <c r="W12316" t="s">
        <v>37002</v>
      </c>
      <c r="X12316" t="s">
        <v>40457</v>
      </c>
    </row>
    <row r="12317" spans="1:24">
      <c r="A12317">
        <f>HYPERLINK("https://www.philgeps.gov.ph/GEPSNONPILOT/Tender/SplashBidNoticeAbstractUI.aspx?menuIndex=3&amp;refID=7016690&amp;Result=3","7016690")</f>
        <v>0</v>
      </c>
      <c r="B12317" t="s">
        <v>780</v>
      </c>
      <c r="C12317" t="s">
        <v>14880</v>
      </c>
      <c r="D12317" t="s">
        <v>16197</v>
      </c>
      <c r="E12317" t="s">
        <v>26954</v>
      </c>
      <c r="F12317" t="s">
        <v>28198</v>
      </c>
      <c r="G12317" t="s">
        <v>28205</v>
      </c>
      <c r="H12317" t="s">
        <v>28214</v>
      </c>
      <c r="I12317" t="s">
        <v>3797</v>
      </c>
      <c r="J12317" t="s">
        <v>29566</v>
      </c>
      <c r="K12317" t="s">
        <v>36764</v>
      </c>
      <c r="M12317" t="s">
        <v>37784</v>
      </c>
      <c r="N12317" t="s">
        <v>40436</v>
      </c>
      <c r="O12317" t="s">
        <v>40437</v>
      </c>
      <c r="Q12317">
        <v>3</v>
      </c>
      <c r="R12317" t="s">
        <v>40456</v>
      </c>
      <c r="S12317" t="s">
        <v>41356</v>
      </c>
      <c r="T12317" t="s">
        <v>42233</v>
      </c>
      <c r="U12317" t="s">
        <v>52738</v>
      </c>
      <c r="W12317" t="s">
        <v>37784</v>
      </c>
      <c r="X12317" t="s">
        <v>40457</v>
      </c>
    </row>
    <row r="12318" spans="1:24">
      <c r="A12318">
        <f>HYPERLINK("https://www.philgeps.gov.ph/GEPSNONPILOT/Tender/SplashBidNoticeAbstractUI.aspx?menuIndex=3&amp;refID=7016748&amp;Result=3","7016748")</f>
        <v>0</v>
      </c>
      <c r="B12318" t="s">
        <v>2707</v>
      </c>
      <c r="C12318" t="s">
        <v>14881</v>
      </c>
      <c r="D12318" t="s">
        <v>16265</v>
      </c>
      <c r="E12318" t="s">
        <v>26955</v>
      </c>
      <c r="F12318" t="s">
        <v>28198</v>
      </c>
      <c r="G12318" t="s">
        <v>28205</v>
      </c>
      <c r="H12318" t="s">
        <v>28215</v>
      </c>
      <c r="I12318" t="s">
        <v>28239</v>
      </c>
      <c r="J12318" t="s">
        <v>28730</v>
      </c>
      <c r="K12318" t="s">
        <v>36701</v>
      </c>
      <c r="M12318" t="s">
        <v>39948</v>
      </c>
      <c r="N12318" t="s">
        <v>40436</v>
      </c>
      <c r="O12318" t="s">
        <v>40437</v>
      </c>
      <c r="P12318">
        <v>0</v>
      </c>
      <c r="Q12318">
        <v>8</v>
      </c>
      <c r="R12318" t="s">
        <v>40456</v>
      </c>
      <c r="S12318" t="s">
        <v>41338</v>
      </c>
      <c r="T12318" t="s">
        <v>42129</v>
      </c>
      <c r="U12318" t="s">
        <v>52744</v>
      </c>
      <c r="W12318" t="s">
        <v>39948</v>
      </c>
      <c r="X12318" t="s">
        <v>40457</v>
      </c>
    </row>
    <row r="12319" spans="1:24">
      <c r="A12319">
        <f>HYPERLINK("https://www.philgeps.gov.ph/GEPSNONPILOT/Tender/SplashBidNoticeAbstractUI.aspx?menuIndex=3&amp;refID=7017200&amp;Result=3","7017200")</f>
        <v>0</v>
      </c>
      <c r="B12319" t="s">
        <v>381</v>
      </c>
      <c r="C12319" t="s">
        <v>14882</v>
      </c>
      <c r="D12319" t="s">
        <v>16203</v>
      </c>
      <c r="E12319" t="s">
        <v>26956</v>
      </c>
      <c r="F12319" t="s">
        <v>28198</v>
      </c>
      <c r="G12319" t="s">
        <v>28205</v>
      </c>
      <c r="H12319" t="s">
        <v>28214</v>
      </c>
      <c r="I12319" t="s">
        <v>3797</v>
      </c>
      <c r="J12319" t="s">
        <v>35906</v>
      </c>
      <c r="K12319" t="s">
        <v>36694</v>
      </c>
      <c r="M12319" t="s">
        <v>39833</v>
      </c>
      <c r="N12319" t="s">
        <v>40436</v>
      </c>
      <c r="O12319" t="s">
        <v>40437</v>
      </c>
      <c r="P12319">
        <v>0</v>
      </c>
      <c r="Q12319">
        <v>1</v>
      </c>
      <c r="R12319" t="s">
        <v>40456</v>
      </c>
      <c r="S12319" t="s">
        <v>41338</v>
      </c>
      <c r="T12319" t="s">
        <v>42103</v>
      </c>
      <c r="U12319" t="s">
        <v>52745</v>
      </c>
      <c r="V12319" t="s">
        <v>55072</v>
      </c>
      <c r="W12319" t="s">
        <v>39833</v>
      </c>
      <c r="X12319" t="s">
        <v>40457</v>
      </c>
    </row>
    <row r="12320" spans="1:24">
      <c r="A12320">
        <f>HYPERLINK("https://www.philgeps.gov.ph/GEPSNONPILOT/Tender/SplashBidNoticeAbstractUI.aspx?menuIndex=3&amp;refID=7016701&amp;Result=3","7016701")</f>
        <v>0</v>
      </c>
      <c r="B12320" t="s">
        <v>1068</v>
      </c>
      <c r="C12320" t="s">
        <v>14883</v>
      </c>
      <c r="D12320" t="s">
        <v>16258</v>
      </c>
      <c r="E12320" t="s">
        <v>26957</v>
      </c>
      <c r="F12320" t="s">
        <v>28198</v>
      </c>
      <c r="G12320" t="s">
        <v>28205</v>
      </c>
      <c r="H12320" t="s">
        <v>28215</v>
      </c>
      <c r="I12320" t="s">
        <v>3797</v>
      </c>
      <c r="J12320" t="s">
        <v>35907</v>
      </c>
      <c r="K12320" t="s">
        <v>36689</v>
      </c>
      <c r="M12320" t="s">
        <v>38101</v>
      </c>
      <c r="N12320" t="s">
        <v>40436</v>
      </c>
      <c r="O12320" t="s">
        <v>40437</v>
      </c>
      <c r="P12320">
        <v>0</v>
      </c>
      <c r="Q12320">
        <v>1</v>
      </c>
      <c r="R12320" t="s">
        <v>40456</v>
      </c>
      <c r="S12320" t="s">
        <v>41338</v>
      </c>
      <c r="T12320" t="s">
        <v>42160</v>
      </c>
      <c r="U12320" t="s">
        <v>52746</v>
      </c>
      <c r="W12320" t="s">
        <v>38101</v>
      </c>
      <c r="X12320" t="s">
        <v>40457</v>
      </c>
    </row>
    <row r="12321" spans="1:24">
      <c r="A12321">
        <f>HYPERLINK("https://www.philgeps.gov.ph/GEPSNONPILOT/Tender/SplashBidNoticeAbstractUI.aspx?menuIndex=3&amp;refID=7017254&amp;Result=3","7017254")</f>
        <v>0</v>
      </c>
      <c r="B12321" t="s">
        <v>325</v>
      </c>
      <c r="C12321" t="s">
        <v>14884</v>
      </c>
      <c r="D12321" t="s">
        <v>16226</v>
      </c>
      <c r="E12321" t="s">
        <v>26958</v>
      </c>
      <c r="F12321" t="s">
        <v>28198</v>
      </c>
      <c r="G12321" t="s">
        <v>28205</v>
      </c>
      <c r="H12321" t="s">
        <v>28215</v>
      </c>
      <c r="I12321" t="s">
        <v>28225</v>
      </c>
      <c r="J12321" t="s">
        <v>35908</v>
      </c>
      <c r="K12321" t="s">
        <v>36706</v>
      </c>
      <c r="M12321" t="s">
        <v>37303</v>
      </c>
      <c r="N12321" t="s">
        <v>40436</v>
      </c>
      <c r="O12321" t="s">
        <v>40437</v>
      </c>
      <c r="P12321">
        <v>0</v>
      </c>
      <c r="Q12321">
        <v>16</v>
      </c>
      <c r="R12321" t="s">
        <v>40456</v>
      </c>
      <c r="S12321" t="s">
        <v>41338</v>
      </c>
      <c r="T12321" t="s">
        <v>42103</v>
      </c>
      <c r="U12321" t="s">
        <v>52747</v>
      </c>
      <c r="V12321" t="s">
        <v>55200</v>
      </c>
      <c r="W12321" t="s">
        <v>55443</v>
      </c>
      <c r="X12321" t="s">
        <v>40457</v>
      </c>
    </row>
    <row r="12322" spans="1:24">
      <c r="A12322">
        <f>HYPERLINK("https://www.philgeps.gov.ph/GEPSNONPILOT/Tender/SplashBidNoticeAbstractUI.aspx?menuIndex=3&amp;refID=7017124&amp;Result=3","7017124")</f>
        <v>0</v>
      </c>
      <c r="B12322" t="s">
        <v>381</v>
      </c>
      <c r="C12322" t="s">
        <v>14885</v>
      </c>
      <c r="D12322" t="s">
        <v>16203</v>
      </c>
      <c r="E12322" t="s">
        <v>26959</v>
      </c>
      <c r="F12322" t="s">
        <v>28198</v>
      </c>
      <c r="G12322" t="s">
        <v>28205</v>
      </c>
      <c r="H12322" t="s">
        <v>28214</v>
      </c>
      <c r="I12322" t="s">
        <v>3797</v>
      </c>
      <c r="J12322" t="s">
        <v>35909</v>
      </c>
      <c r="K12322" t="s">
        <v>36714</v>
      </c>
      <c r="M12322" t="s">
        <v>39833</v>
      </c>
      <c r="N12322" t="s">
        <v>40436</v>
      </c>
      <c r="O12322" t="s">
        <v>40437</v>
      </c>
      <c r="P12322">
        <v>0</v>
      </c>
      <c r="Q12322">
        <v>0</v>
      </c>
      <c r="R12322" t="s">
        <v>40456</v>
      </c>
      <c r="S12322" t="s">
        <v>41338</v>
      </c>
      <c r="T12322" t="s">
        <v>42103</v>
      </c>
      <c r="U12322" t="s">
        <v>52745</v>
      </c>
      <c r="V12322" t="s">
        <v>55072</v>
      </c>
      <c r="W12322" t="s">
        <v>39833</v>
      </c>
      <c r="X12322" t="s">
        <v>40457</v>
      </c>
    </row>
    <row r="12323" spans="1:24">
      <c r="A12323">
        <f>HYPERLINK("https://www.philgeps.gov.ph/GEPSNONPILOT/Tender/SplashBidNoticeAbstractUI.aspx?menuIndex=3&amp;refID=7017107&amp;Result=3","7017107")</f>
        <v>0</v>
      </c>
      <c r="B12323" t="s">
        <v>335</v>
      </c>
      <c r="C12323" t="s">
        <v>14886</v>
      </c>
      <c r="D12323" t="s">
        <v>16221</v>
      </c>
      <c r="E12323" t="s">
        <v>26960</v>
      </c>
      <c r="F12323" t="s">
        <v>28198</v>
      </c>
      <c r="G12323" t="s">
        <v>28205</v>
      </c>
      <c r="H12323" t="s">
        <v>28214</v>
      </c>
      <c r="I12323" t="s">
        <v>3797</v>
      </c>
      <c r="J12323" t="s">
        <v>28379</v>
      </c>
      <c r="K12323" t="s">
        <v>36697</v>
      </c>
      <c r="M12323" t="s">
        <v>37313</v>
      </c>
      <c r="N12323" t="s">
        <v>40436</v>
      </c>
      <c r="O12323" t="s">
        <v>40437</v>
      </c>
      <c r="P12323">
        <v>0</v>
      </c>
      <c r="Q12323">
        <v>0</v>
      </c>
      <c r="R12323" t="s">
        <v>40456</v>
      </c>
      <c r="S12323" t="s">
        <v>41338</v>
      </c>
      <c r="T12323" t="s">
        <v>42133</v>
      </c>
      <c r="U12323" t="s">
        <v>43474</v>
      </c>
      <c r="W12323" t="s">
        <v>55444</v>
      </c>
      <c r="X12323" t="s">
        <v>40457</v>
      </c>
    </row>
    <row r="12324" spans="1:24">
      <c r="A12324">
        <f>HYPERLINK("https://www.philgeps.gov.ph/GEPSNONPILOT/Tender/SplashBidNoticeAbstractUI.aspx?menuIndex=3&amp;refID=7016711&amp;Result=3","7016711")</f>
        <v>0</v>
      </c>
      <c r="B12324" t="s">
        <v>173</v>
      </c>
      <c r="C12324" t="s">
        <v>4678</v>
      </c>
      <c r="D12324" t="s">
        <v>16208</v>
      </c>
      <c r="E12324" t="s">
        <v>26961</v>
      </c>
      <c r="F12324" t="s">
        <v>28202</v>
      </c>
      <c r="G12324" t="s">
        <v>28207</v>
      </c>
      <c r="H12324" t="s">
        <v>28215</v>
      </c>
      <c r="I12324" t="s">
        <v>3774</v>
      </c>
      <c r="J12324" t="s">
        <v>28589</v>
      </c>
      <c r="K12324" t="s">
        <v>36707</v>
      </c>
      <c r="M12324" t="s">
        <v>37147</v>
      </c>
      <c r="N12324" t="s">
        <v>40436</v>
      </c>
      <c r="O12324" t="s">
        <v>40437</v>
      </c>
      <c r="P12324">
        <v>0</v>
      </c>
      <c r="Q12324">
        <v>0</v>
      </c>
      <c r="R12324" t="s">
        <v>40456</v>
      </c>
      <c r="S12324" t="s">
        <v>41338</v>
      </c>
      <c r="T12324" t="s">
        <v>42138</v>
      </c>
      <c r="U12324" t="s">
        <v>52748</v>
      </c>
      <c r="W12324" t="s">
        <v>37147</v>
      </c>
      <c r="X12324" t="s">
        <v>40457</v>
      </c>
    </row>
    <row r="12325" spans="1:24">
      <c r="A12325">
        <f>HYPERLINK("https://www.philgeps.gov.ph/GEPSNONPILOT/Tender/SplashBidNoticeAbstractUI.aspx?menuIndex=3&amp;refID=7017193&amp;Result=3","7017193")</f>
        <v>0</v>
      </c>
      <c r="B12325" t="s">
        <v>2981</v>
      </c>
      <c r="C12325" t="s">
        <v>14887</v>
      </c>
      <c r="D12325" t="s">
        <v>16238</v>
      </c>
      <c r="E12325" t="s">
        <v>26962</v>
      </c>
      <c r="F12325" t="s">
        <v>28198</v>
      </c>
      <c r="G12325" t="s">
        <v>28205</v>
      </c>
      <c r="H12325" t="s">
        <v>28215</v>
      </c>
      <c r="I12325" t="s">
        <v>28222</v>
      </c>
      <c r="J12325" t="s">
        <v>28818</v>
      </c>
      <c r="K12325" t="s">
        <v>36701</v>
      </c>
      <c r="M12325" t="s">
        <v>40272</v>
      </c>
      <c r="N12325" t="s">
        <v>40436</v>
      </c>
      <c r="O12325" t="s">
        <v>40437</v>
      </c>
      <c r="P12325">
        <v>0</v>
      </c>
      <c r="Q12325">
        <v>3</v>
      </c>
      <c r="R12325" t="s">
        <v>40456</v>
      </c>
      <c r="S12325" t="s">
        <v>41338</v>
      </c>
      <c r="T12325" t="s">
        <v>42350</v>
      </c>
      <c r="U12325" t="s">
        <v>52749</v>
      </c>
      <c r="W12325" t="s">
        <v>40272</v>
      </c>
      <c r="X12325" t="s">
        <v>40457</v>
      </c>
    </row>
    <row r="12326" spans="1:24">
      <c r="A12326">
        <f>HYPERLINK("https://www.philgeps.gov.ph/GEPSNONPILOT/Tender/SplashBidNoticeAbstractUI.aspx?menuIndex=3&amp;refID=7016714&amp;Result=3","7016714")</f>
        <v>0</v>
      </c>
      <c r="B12326" t="s">
        <v>780</v>
      </c>
      <c r="C12326" t="s">
        <v>14888</v>
      </c>
      <c r="D12326" t="s">
        <v>16197</v>
      </c>
      <c r="E12326" t="s">
        <v>26963</v>
      </c>
      <c r="F12326" t="s">
        <v>28198</v>
      </c>
      <c r="G12326" t="s">
        <v>28205</v>
      </c>
      <c r="H12326" t="s">
        <v>28214</v>
      </c>
      <c r="I12326" t="s">
        <v>3797</v>
      </c>
      <c r="J12326" t="s">
        <v>29632</v>
      </c>
      <c r="K12326" t="s">
        <v>36767</v>
      </c>
      <c r="M12326" t="s">
        <v>37784</v>
      </c>
      <c r="N12326" t="s">
        <v>40436</v>
      </c>
      <c r="O12326" t="s">
        <v>40437</v>
      </c>
      <c r="P12326">
        <v>0</v>
      </c>
      <c r="Q12326">
        <v>1</v>
      </c>
      <c r="R12326" t="s">
        <v>40456</v>
      </c>
      <c r="S12326" t="s">
        <v>41338</v>
      </c>
      <c r="T12326" t="s">
        <v>42233</v>
      </c>
      <c r="U12326" t="s">
        <v>52738</v>
      </c>
      <c r="W12326" t="s">
        <v>37784</v>
      </c>
      <c r="X12326" t="s">
        <v>40457</v>
      </c>
    </row>
    <row r="12327" spans="1:24">
      <c r="A12327">
        <f>HYPERLINK("https://www.philgeps.gov.ph/GEPSNONPILOT/Tender/SplashBidNoticeAbstractUI.aspx?menuIndex=3&amp;refID=7017008&amp;Result=3","7017008")</f>
        <v>0</v>
      </c>
      <c r="B12327" t="s">
        <v>2775</v>
      </c>
      <c r="C12327" t="s">
        <v>14889</v>
      </c>
      <c r="D12327" t="s">
        <v>16199</v>
      </c>
      <c r="E12327" t="s">
        <v>26964</v>
      </c>
      <c r="F12327" t="s">
        <v>28198</v>
      </c>
      <c r="G12327" t="s">
        <v>28205</v>
      </c>
      <c r="H12327" t="s">
        <v>28214</v>
      </c>
      <c r="I12327" t="s">
        <v>3797</v>
      </c>
      <c r="J12327" t="s">
        <v>28395</v>
      </c>
      <c r="K12327" t="s">
        <v>36701</v>
      </c>
      <c r="M12327" t="s">
        <v>40024</v>
      </c>
      <c r="N12327" t="s">
        <v>40436</v>
      </c>
      <c r="O12327" t="s">
        <v>40437</v>
      </c>
      <c r="P12327">
        <v>0</v>
      </c>
      <c r="Q12327">
        <v>1</v>
      </c>
      <c r="R12327" t="s">
        <v>40456</v>
      </c>
      <c r="S12327" t="s">
        <v>41338</v>
      </c>
      <c r="T12327" t="s">
        <v>42169</v>
      </c>
      <c r="U12327" t="s">
        <v>52750</v>
      </c>
      <c r="W12327" t="s">
        <v>40024</v>
      </c>
      <c r="X12327" t="s">
        <v>40457</v>
      </c>
    </row>
    <row r="12328" spans="1:24">
      <c r="A12328">
        <f>HYPERLINK("https://www.philgeps.gov.ph/GEPSNONPILOT/Tender/SplashBidNoticeAbstractUI.aspx?menuIndex=3&amp;refID=7017172&amp;Result=3","7017172")</f>
        <v>0</v>
      </c>
      <c r="B12328" t="s">
        <v>335</v>
      </c>
      <c r="C12328" t="s">
        <v>14890</v>
      </c>
      <c r="D12328" t="s">
        <v>16221</v>
      </c>
      <c r="E12328" t="s">
        <v>26965</v>
      </c>
      <c r="F12328" t="s">
        <v>28198</v>
      </c>
      <c r="G12328" t="s">
        <v>28205</v>
      </c>
      <c r="H12328" t="s">
        <v>28214</v>
      </c>
      <c r="I12328" t="s">
        <v>3797</v>
      </c>
      <c r="J12328" t="s">
        <v>28921</v>
      </c>
      <c r="K12328" t="s">
        <v>36727</v>
      </c>
      <c r="M12328" t="s">
        <v>37313</v>
      </c>
      <c r="N12328" t="s">
        <v>40436</v>
      </c>
      <c r="O12328" t="s">
        <v>40437</v>
      </c>
      <c r="P12328">
        <v>0</v>
      </c>
      <c r="Q12328">
        <v>0</v>
      </c>
      <c r="R12328" t="s">
        <v>40456</v>
      </c>
      <c r="S12328" t="s">
        <v>41338</v>
      </c>
      <c r="T12328" t="s">
        <v>42133</v>
      </c>
      <c r="U12328" t="s">
        <v>52751</v>
      </c>
      <c r="W12328" t="s">
        <v>55444</v>
      </c>
      <c r="X12328" t="s">
        <v>40457</v>
      </c>
    </row>
    <row r="12329" spans="1:24">
      <c r="A12329">
        <f>HYPERLINK("https://www.philgeps.gov.ph/GEPSNONPILOT/Tender/SplashBidNoticeAbstractUI.aspx?menuIndex=3&amp;refID=7017034&amp;Result=3","7017034")</f>
        <v>0</v>
      </c>
      <c r="B12329" t="s">
        <v>2079</v>
      </c>
      <c r="C12329" t="s">
        <v>14891</v>
      </c>
      <c r="D12329" t="s">
        <v>16217</v>
      </c>
      <c r="E12329" t="s">
        <v>26966</v>
      </c>
      <c r="F12329" t="s">
        <v>28198</v>
      </c>
      <c r="G12329" t="s">
        <v>28205</v>
      </c>
      <c r="H12329" t="s">
        <v>28214</v>
      </c>
      <c r="I12329" t="s">
        <v>3797</v>
      </c>
      <c r="J12329" t="s">
        <v>30991</v>
      </c>
      <c r="K12329" t="s">
        <v>36854</v>
      </c>
      <c r="L12329" t="s">
        <v>2079</v>
      </c>
      <c r="M12329" t="s">
        <v>39228</v>
      </c>
      <c r="N12329" t="s">
        <v>40436</v>
      </c>
      <c r="O12329" t="s">
        <v>40437</v>
      </c>
      <c r="P12329">
        <v>0</v>
      </c>
      <c r="Q12329">
        <v>0</v>
      </c>
      <c r="R12329" t="s">
        <v>40456</v>
      </c>
      <c r="S12329" t="s">
        <v>41338</v>
      </c>
      <c r="T12329" t="s">
        <v>42158</v>
      </c>
      <c r="U12329" t="s">
        <v>52752</v>
      </c>
      <c r="W12329" t="s">
        <v>39228</v>
      </c>
      <c r="X12329" t="s">
        <v>40457</v>
      </c>
    </row>
    <row r="12330" spans="1:24">
      <c r="A12330">
        <f>HYPERLINK("https://www.philgeps.gov.ph/GEPSNONPILOT/Tender/SplashBidNoticeAbstractUI.aspx?menuIndex=3&amp;refID=7017062&amp;Result=3","7017062")</f>
        <v>0</v>
      </c>
      <c r="B12330" t="s">
        <v>1225</v>
      </c>
      <c r="C12330" t="s">
        <v>14892</v>
      </c>
      <c r="D12330" t="s">
        <v>16236</v>
      </c>
      <c r="E12330" t="s">
        <v>26967</v>
      </c>
      <c r="F12330" t="s">
        <v>28198</v>
      </c>
      <c r="G12330" t="s">
        <v>28205</v>
      </c>
      <c r="H12330" t="s">
        <v>28214</v>
      </c>
      <c r="I12330" t="s">
        <v>3797</v>
      </c>
      <c r="J12330" t="s">
        <v>28415</v>
      </c>
      <c r="K12330" t="s">
        <v>36697</v>
      </c>
      <c r="M12330" t="s">
        <v>38273</v>
      </c>
      <c r="N12330" t="s">
        <v>40436</v>
      </c>
      <c r="O12330" t="s">
        <v>40437</v>
      </c>
      <c r="P12330">
        <v>0</v>
      </c>
      <c r="Q12330">
        <v>0</v>
      </c>
      <c r="R12330" t="s">
        <v>40456</v>
      </c>
      <c r="S12330" t="s">
        <v>41338</v>
      </c>
      <c r="T12330" t="s">
        <v>42129</v>
      </c>
      <c r="U12330" t="s">
        <v>52753</v>
      </c>
      <c r="V12330" t="s">
        <v>54111</v>
      </c>
      <c r="W12330" t="s">
        <v>38273</v>
      </c>
      <c r="X12330" t="s">
        <v>40457</v>
      </c>
    </row>
    <row r="12331" spans="1:24">
      <c r="A12331">
        <f>HYPERLINK("https://www.philgeps.gov.ph/GEPSNONPILOT/Tender/SplashBidNoticeAbstractUI.aspx?menuIndex=3&amp;refID=7016995&amp;Result=3","7016995")</f>
        <v>0</v>
      </c>
      <c r="B12331" t="s">
        <v>2467</v>
      </c>
      <c r="C12331" t="s">
        <v>14893</v>
      </c>
      <c r="D12331" t="s">
        <v>16248</v>
      </c>
      <c r="E12331" t="s">
        <v>26968</v>
      </c>
      <c r="F12331" t="s">
        <v>28198</v>
      </c>
      <c r="G12331" t="s">
        <v>28205</v>
      </c>
      <c r="H12331" t="s">
        <v>28214</v>
      </c>
      <c r="I12331" t="s">
        <v>3797</v>
      </c>
      <c r="J12331" t="s">
        <v>35910</v>
      </c>
      <c r="K12331" t="s">
        <v>36706</v>
      </c>
      <c r="M12331" t="s">
        <v>40273</v>
      </c>
      <c r="N12331" t="s">
        <v>40436</v>
      </c>
      <c r="O12331" t="s">
        <v>40437</v>
      </c>
      <c r="P12331">
        <v>0</v>
      </c>
      <c r="Q12331">
        <v>0</v>
      </c>
      <c r="R12331" t="s">
        <v>40456</v>
      </c>
      <c r="S12331" t="s">
        <v>41338</v>
      </c>
      <c r="T12331" t="s">
        <v>42102</v>
      </c>
      <c r="U12331" t="s">
        <v>52754</v>
      </c>
      <c r="W12331" t="s">
        <v>40273</v>
      </c>
      <c r="X12331" t="s">
        <v>40457</v>
      </c>
    </row>
    <row r="12332" spans="1:24">
      <c r="A12332">
        <f>HYPERLINK("https://www.philgeps.gov.ph/GEPSNONPILOT/Tender/SplashBidNoticeAbstractUI.aspx?menuIndex=3&amp;refID=7017013&amp;Result=3","7017013")</f>
        <v>0</v>
      </c>
      <c r="B12332" t="s">
        <v>1225</v>
      </c>
      <c r="C12332" t="s">
        <v>14894</v>
      </c>
      <c r="D12332" t="s">
        <v>16236</v>
      </c>
      <c r="E12332" t="s">
        <v>26969</v>
      </c>
      <c r="F12332" t="s">
        <v>28198</v>
      </c>
      <c r="G12332" t="s">
        <v>28205</v>
      </c>
      <c r="H12332" t="s">
        <v>28214</v>
      </c>
      <c r="I12332" t="s">
        <v>3797</v>
      </c>
      <c r="J12332" t="s">
        <v>28415</v>
      </c>
      <c r="K12332" t="s">
        <v>36697</v>
      </c>
      <c r="M12332" t="s">
        <v>38273</v>
      </c>
      <c r="N12332" t="s">
        <v>40436</v>
      </c>
      <c r="O12332" t="s">
        <v>40437</v>
      </c>
      <c r="P12332">
        <v>0</v>
      </c>
      <c r="Q12332">
        <v>0</v>
      </c>
      <c r="R12332" t="s">
        <v>40456</v>
      </c>
      <c r="S12332" t="s">
        <v>41338</v>
      </c>
      <c r="T12332" t="s">
        <v>42129</v>
      </c>
      <c r="U12332" t="s">
        <v>52755</v>
      </c>
      <c r="V12332" t="s">
        <v>54111</v>
      </c>
      <c r="W12332" t="s">
        <v>38273</v>
      </c>
      <c r="X12332" t="s">
        <v>40457</v>
      </c>
    </row>
    <row r="12333" spans="1:24">
      <c r="A12333">
        <f>HYPERLINK("https://www.philgeps.gov.ph/GEPSNONPILOT/Tender/SplashBidNoticeAbstractUI.aspx?menuIndex=3&amp;refID=7016977&amp;Result=3","7016977")</f>
        <v>0</v>
      </c>
      <c r="B12333" t="s">
        <v>2252</v>
      </c>
      <c r="C12333" t="s">
        <v>14895</v>
      </c>
      <c r="D12333" t="s">
        <v>16192</v>
      </c>
      <c r="E12333" t="s">
        <v>26970</v>
      </c>
      <c r="F12333" t="s">
        <v>28198</v>
      </c>
      <c r="G12333" t="s">
        <v>28205</v>
      </c>
      <c r="H12333" t="s">
        <v>28215</v>
      </c>
      <c r="I12333" t="s">
        <v>3797</v>
      </c>
      <c r="J12333" t="s">
        <v>35911</v>
      </c>
      <c r="K12333" t="s">
        <v>36690</v>
      </c>
      <c r="M12333" t="s">
        <v>39422</v>
      </c>
      <c r="N12333" t="s">
        <v>40436</v>
      </c>
      <c r="O12333" t="s">
        <v>40437</v>
      </c>
      <c r="P12333">
        <v>0</v>
      </c>
      <c r="Q12333">
        <v>0</v>
      </c>
      <c r="R12333" t="s">
        <v>40456</v>
      </c>
      <c r="S12333" t="s">
        <v>41338</v>
      </c>
      <c r="T12333" t="s">
        <v>42216</v>
      </c>
      <c r="U12333" t="s">
        <v>52756</v>
      </c>
      <c r="W12333" t="s">
        <v>39422</v>
      </c>
      <c r="X12333" t="s">
        <v>40457</v>
      </c>
    </row>
    <row r="12334" spans="1:24">
      <c r="A12334">
        <f>HYPERLINK("https://www.philgeps.gov.ph/GEPSNONPILOT/Tender/SplashBidNoticeAbstractUI.aspx?menuIndex=3&amp;refID=7017077&amp;Result=3","7017077")</f>
        <v>0</v>
      </c>
      <c r="B12334" t="s">
        <v>381</v>
      </c>
      <c r="C12334" t="s">
        <v>14896</v>
      </c>
      <c r="D12334" t="s">
        <v>16203</v>
      </c>
      <c r="E12334" t="s">
        <v>26971</v>
      </c>
      <c r="F12334" t="s">
        <v>28198</v>
      </c>
      <c r="G12334" t="s">
        <v>28205</v>
      </c>
      <c r="H12334" t="s">
        <v>28214</v>
      </c>
      <c r="I12334" t="s">
        <v>3797</v>
      </c>
      <c r="J12334" t="s">
        <v>35912</v>
      </c>
      <c r="K12334" t="s">
        <v>36692</v>
      </c>
      <c r="M12334" t="s">
        <v>39833</v>
      </c>
      <c r="N12334" t="s">
        <v>40436</v>
      </c>
      <c r="O12334" t="s">
        <v>40437</v>
      </c>
      <c r="P12334">
        <v>0</v>
      </c>
      <c r="Q12334">
        <v>0</v>
      </c>
      <c r="R12334" t="s">
        <v>40456</v>
      </c>
      <c r="S12334" t="s">
        <v>41338</v>
      </c>
      <c r="T12334" t="s">
        <v>42103</v>
      </c>
      <c r="U12334" t="s">
        <v>52745</v>
      </c>
      <c r="V12334" t="s">
        <v>55072</v>
      </c>
      <c r="W12334" t="s">
        <v>39833</v>
      </c>
      <c r="X12334" t="s">
        <v>40457</v>
      </c>
    </row>
    <row r="12335" spans="1:24">
      <c r="A12335">
        <f>HYPERLINK("https://www.philgeps.gov.ph/GEPSNONPILOT/Tender/SplashBidNoticeAbstractUI.aspx?menuIndex=3&amp;refID=7016901&amp;Result=3","7016901")</f>
        <v>0</v>
      </c>
      <c r="B12335" t="s">
        <v>1225</v>
      </c>
      <c r="C12335" t="s">
        <v>14897</v>
      </c>
      <c r="D12335" t="s">
        <v>16236</v>
      </c>
      <c r="E12335" t="s">
        <v>26972</v>
      </c>
      <c r="F12335" t="s">
        <v>28198</v>
      </c>
      <c r="G12335" t="s">
        <v>28205</v>
      </c>
      <c r="H12335" t="s">
        <v>28215</v>
      </c>
      <c r="I12335" t="s">
        <v>28224</v>
      </c>
      <c r="J12335" t="s">
        <v>35913</v>
      </c>
      <c r="K12335" t="s">
        <v>36701</v>
      </c>
      <c r="M12335" t="s">
        <v>38273</v>
      </c>
      <c r="N12335" t="s">
        <v>40436</v>
      </c>
      <c r="O12335" t="s">
        <v>40437</v>
      </c>
      <c r="P12335">
        <v>0</v>
      </c>
      <c r="Q12335">
        <v>3</v>
      </c>
      <c r="R12335" t="s">
        <v>40456</v>
      </c>
      <c r="S12335" t="s">
        <v>41338</v>
      </c>
      <c r="T12335" t="s">
        <v>42129</v>
      </c>
      <c r="U12335" t="s">
        <v>52757</v>
      </c>
      <c r="V12335" t="s">
        <v>55201</v>
      </c>
      <c r="W12335" t="s">
        <v>38273</v>
      </c>
      <c r="X12335" t="s">
        <v>40457</v>
      </c>
    </row>
    <row r="12336" spans="1:24">
      <c r="A12336">
        <f>HYPERLINK("https://www.philgeps.gov.ph/GEPSNONPILOT/Tender/SplashBidNoticeAbstractUI.aspx?menuIndex=3&amp;refID=7017082&amp;Result=3","7017082")</f>
        <v>0</v>
      </c>
      <c r="B12336" t="s">
        <v>335</v>
      </c>
      <c r="C12336" t="s">
        <v>14898</v>
      </c>
      <c r="D12336" t="s">
        <v>16221</v>
      </c>
      <c r="E12336" t="s">
        <v>26973</v>
      </c>
      <c r="F12336" t="s">
        <v>28198</v>
      </c>
      <c r="G12336" t="s">
        <v>28205</v>
      </c>
      <c r="H12336" t="s">
        <v>28214</v>
      </c>
      <c r="I12336" t="s">
        <v>3797</v>
      </c>
      <c r="J12336" t="s">
        <v>35914</v>
      </c>
      <c r="K12336" t="s">
        <v>36697</v>
      </c>
      <c r="M12336" t="s">
        <v>37313</v>
      </c>
      <c r="N12336" t="s">
        <v>40436</v>
      </c>
      <c r="O12336" t="s">
        <v>40437</v>
      </c>
      <c r="P12336">
        <v>0</v>
      </c>
      <c r="Q12336">
        <v>0</v>
      </c>
      <c r="R12336" t="s">
        <v>40456</v>
      </c>
      <c r="S12336" t="s">
        <v>41338</v>
      </c>
      <c r="T12336" t="s">
        <v>42133</v>
      </c>
      <c r="U12336" t="s">
        <v>52758</v>
      </c>
      <c r="W12336" t="s">
        <v>55444</v>
      </c>
      <c r="X12336" t="s">
        <v>40457</v>
      </c>
    </row>
    <row r="12337" spans="1:24">
      <c r="A12337">
        <f>HYPERLINK("https://www.philgeps.gov.ph/GEPSNONPILOT/Tender/SplashBidNoticeAbstractUI.aspx?menuIndex=3&amp;refID=7017410&amp;Result=3","7017410")</f>
        <v>0</v>
      </c>
      <c r="B12337" t="s">
        <v>381</v>
      </c>
      <c r="C12337" t="s">
        <v>14899</v>
      </c>
      <c r="D12337" t="s">
        <v>16203</v>
      </c>
      <c r="E12337" t="s">
        <v>26974</v>
      </c>
      <c r="F12337" t="s">
        <v>28198</v>
      </c>
      <c r="G12337" t="s">
        <v>28205</v>
      </c>
      <c r="H12337" t="s">
        <v>28214</v>
      </c>
      <c r="I12337" t="s">
        <v>3797</v>
      </c>
      <c r="J12337" t="s">
        <v>35915</v>
      </c>
      <c r="K12337" t="s">
        <v>36809</v>
      </c>
      <c r="M12337" t="s">
        <v>39833</v>
      </c>
      <c r="N12337" t="s">
        <v>40436</v>
      </c>
      <c r="O12337" t="s">
        <v>40437</v>
      </c>
      <c r="P12337">
        <v>0</v>
      </c>
      <c r="Q12337">
        <v>1</v>
      </c>
      <c r="R12337" t="s">
        <v>40456</v>
      </c>
      <c r="S12337" t="s">
        <v>41338</v>
      </c>
      <c r="T12337" t="s">
        <v>42103</v>
      </c>
      <c r="U12337" t="s">
        <v>52759</v>
      </c>
      <c r="V12337" t="s">
        <v>55072</v>
      </c>
      <c r="W12337" t="s">
        <v>39833</v>
      </c>
      <c r="X12337" t="s">
        <v>40457</v>
      </c>
    </row>
    <row r="12338" spans="1:24">
      <c r="A12338">
        <f>HYPERLINK("https://www.philgeps.gov.ph/GEPSNONPILOT/Tender/SplashBidNoticeAbstractUI.aspx?menuIndex=3&amp;refID=7017414&amp;Result=3","7017414")</f>
        <v>0</v>
      </c>
      <c r="B12338" t="s">
        <v>445</v>
      </c>
      <c r="C12338" t="s">
        <v>14900</v>
      </c>
      <c r="D12338" t="s">
        <v>16202</v>
      </c>
      <c r="E12338" t="s">
        <v>26975</v>
      </c>
      <c r="F12338" t="s">
        <v>28198</v>
      </c>
      <c r="G12338" t="s">
        <v>28205</v>
      </c>
      <c r="H12338" t="s">
        <v>28215</v>
      </c>
      <c r="I12338" t="s">
        <v>28234</v>
      </c>
      <c r="J12338" t="s">
        <v>28921</v>
      </c>
      <c r="K12338" t="s">
        <v>36701</v>
      </c>
      <c r="M12338" t="s">
        <v>37429</v>
      </c>
      <c r="N12338" t="s">
        <v>40436</v>
      </c>
      <c r="O12338" t="s">
        <v>40437</v>
      </c>
      <c r="P12338">
        <v>0</v>
      </c>
      <c r="Q12338">
        <v>14</v>
      </c>
      <c r="R12338" t="s">
        <v>40456</v>
      </c>
      <c r="S12338" t="s">
        <v>41338</v>
      </c>
      <c r="T12338" t="s">
        <v>42133</v>
      </c>
      <c r="U12338" t="s">
        <v>43410</v>
      </c>
      <c r="W12338" t="s">
        <v>37429</v>
      </c>
      <c r="X12338" t="s">
        <v>40457</v>
      </c>
    </row>
    <row r="12339" spans="1:24">
      <c r="A12339">
        <f>HYPERLINK("https://www.philgeps.gov.ph/GEPSNONPILOT/Tender/SplashBidNoticeAbstractUI.aspx?menuIndex=3&amp;refID=7017451&amp;Result=3","7017451")</f>
        <v>0</v>
      </c>
      <c r="B12339" t="s">
        <v>381</v>
      </c>
      <c r="C12339" t="s">
        <v>14901</v>
      </c>
      <c r="D12339" t="s">
        <v>16203</v>
      </c>
      <c r="E12339" t="s">
        <v>26976</v>
      </c>
      <c r="F12339" t="s">
        <v>28198</v>
      </c>
      <c r="G12339" t="s">
        <v>28205</v>
      </c>
      <c r="H12339" t="s">
        <v>28214</v>
      </c>
      <c r="I12339" t="s">
        <v>3797</v>
      </c>
      <c r="J12339" t="s">
        <v>35916</v>
      </c>
      <c r="K12339" t="s">
        <v>36697</v>
      </c>
      <c r="M12339" t="s">
        <v>39833</v>
      </c>
      <c r="N12339" t="s">
        <v>40436</v>
      </c>
      <c r="O12339" t="s">
        <v>40437</v>
      </c>
      <c r="P12339">
        <v>0</v>
      </c>
      <c r="Q12339">
        <v>0</v>
      </c>
      <c r="R12339" t="s">
        <v>40456</v>
      </c>
      <c r="S12339" t="s">
        <v>41338</v>
      </c>
      <c r="T12339" t="s">
        <v>42103</v>
      </c>
      <c r="U12339" t="s">
        <v>52760</v>
      </c>
      <c r="V12339" t="s">
        <v>55072</v>
      </c>
      <c r="W12339" t="s">
        <v>39833</v>
      </c>
      <c r="X12339" t="s">
        <v>40457</v>
      </c>
    </row>
    <row r="12340" spans="1:24">
      <c r="A12340">
        <f>HYPERLINK("https://www.philgeps.gov.ph/GEPSNONPILOT/Tender/SplashBidNoticeAbstractUI.aspx?menuIndex=3&amp;refID=7017436&amp;Result=3","7017436")</f>
        <v>0</v>
      </c>
      <c r="B12340" t="s">
        <v>381</v>
      </c>
      <c r="C12340" t="s">
        <v>14902</v>
      </c>
      <c r="D12340" t="s">
        <v>16203</v>
      </c>
      <c r="E12340" t="s">
        <v>26977</v>
      </c>
      <c r="F12340" t="s">
        <v>28198</v>
      </c>
      <c r="G12340" t="s">
        <v>28205</v>
      </c>
      <c r="H12340" t="s">
        <v>28214</v>
      </c>
      <c r="I12340" t="s">
        <v>3797</v>
      </c>
      <c r="J12340" t="s">
        <v>35917</v>
      </c>
      <c r="K12340" t="s">
        <v>36697</v>
      </c>
      <c r="M12340" t="s">
        <v>39833</v>
      </c>
      <c r="N12340" t="s">
        <v>40436</v>
      </c>
      <c r="O12340" t="s">
        <v>40437</v>
      </c>
      <c r="P12340">
        <v>0</v>
      </c>
      <c r="Q12340">
        <v>0</v>
      </c>
      <c r="R12340" t="s">
        <v>40456</v>
      </c>
      <c r="S12340" t="s">
        <v>41338</v>
      </c>
      <c r="T12340" t="s">
        <v>42103</v>
      </c>
      <c r="U12340" t="s">
        <v>52760</v>
      </c>
      <c r="V12340" t="s">
        <v>55072</v>
      </c>
      <c r="W12340" t="s">
        <v>39833</v>
      </c>
      <c r="X12340" t="s">
        <v>40457</v>
      </c>
    </row>
    <row r="12341" spans="1:24">
      <c r="A12341">
        <f>HYPERLINK("https://www.philgeps.gov.ph/GEPSNONPILOT/Tender/SplashBidNoticeAbstractUI.aspx?menuIndex=3&amp;refID=7017445&amp;Result=3","7017445")</f>
        <v>0</v>
      </c>
      <c r="B12341" t="s">
        <v>1077</v>
      </c>
      <c r="C12341" t="s">
        <v>14903</v>
      </c>
      <c r="D12341" t="s">
        <v>16238</v>
      </c>
      <c r="E12341" t="s">
        <v>26978</v>
      </c>
      <c r="F12341" t="s">
        <v>28198</v>
      </c>
      <c r="G12341" t="s">
        <v>28205</v>
      </c>
      <c r="H12341" t="s">
        <v>28215</v>
      </c>
      <c r="I12341" t="s">
        <v>28222</v>
      </c>
      <c r="J12341" t="s">
        <v>34020</v>
      </c>
      <c r="K12341" t="s">
        <v>36688</v>
      </c>
      <c r="M12341" t="s">
        <v>38112</v>
      </c>
      <c r="N12341" t="s">
        <v>40436</v>
      </c>
      <c r="O12341" t="s">
        <v>40437</v>
      </c>
      <c r="P12341">
        <v>0</v>
      </c>
      <c r="Q12341">
        <v>5</v>
      </c>
      <c r="R12341" t="s">
        <v>40456</v>
      </c>
      <c r="S12341" t="s">
        <v>41338</v>
      </c>
      <c r="T12341" t="s">
        <v>42176</v>
      </c>
      <c r="U12341" t="s">
        <v>52761</v>
      </c>
      <c r="W12341" t="s">
        <v>38112</v>
      </c>
      <c r="X12341" t="s">
        <v>40457</v>
      </c>
    </row>
    <row r="12342" spans="1:24">
      <c r="A12342">
        <f>HYPERLINK("https://www.philgeps.gov.ph/GEPSNONPILOT/Tender/SplashBidNoticeAbstractUI.aspx?menuIndex=3&amp;refID=7017423&amp;Result=3","7017423")</f>
        <v>0</v>
      </c>
      <c r="B12342" t="s">
        <v>381</v>
      </c>
      <c r="C12342" t="s">
        <v>14904</v>
      </c>
      <c r="D12342" t="s">
        <v>16203</v>
      </c>
      <c r="E12342" t="s">
        <v>26979</v>
      </c>
      <c r="F12342" t="s">
        <v>28198</v>
      </c>
      <c r="G12342" t="s">
        <v>28205</v>
      </c>
      <c r="H12342" t="s">
        <v>28214</v>
      </c>
      <c r="I12342" t="s">
        <v>3797</v>
      </c>
      <c r="J12342" t="s">
        <v>35918</v>
      </c>
      <c r="K12342" t="s">
        <v>36697</v>
      </c>
      <c r="M12342" t="s">
        <v>39833</v>
      </c>
      <c r="N12342" t="s">
        <v>40436</v>
      </c>
      <c r="O12342" t="s">
        <v>40437</v>
      </c>
      <c r="P12342">
        <v>0</v>
      </c>
      <c r="Q12342">
        <v>1</v>
      </c>
      <c r="R12342" t="s">
        <v>40456</v>
      </c>
      <c r="S12342" t="s">
        <v>41338</v>
      </c>
      <c r="T12342" t="s">
        <v>42103</v>
      </c>
      <c r="U12342" t="s">
        <v>52760</v>
      </c>
      <c r="V12342" t="s">
        <v>55072</v>
      </c>
      <c r="W12342" t="s">
        <v>39833</v>
      </c>
      <c r="X12342" t="s">
        <v>40457</v>
      </c>
    </row>
    <row r="12343" spans="1:24">
      <c r="A12343">
        <f>HYPERLINK("https://www.philgeps.gov.ph/GEPSNONPILOT/Tender/SplashBidNoticeAbstractUI.aspx?menuIndex=3&amp;refID=7017360&amp;Result=3","7017360")</f>
        <v>0</v>
      </c>
      <c r="B12343" t="s">
        <v>572</v>
      </c>
      <c r="C12343" t="s">
        <v>14905</v>
      </c>
      <c r="D12343" t="s">
        <v>16192</v>
      </c>
      <c r="E12343" t="s">
        <v>26980</v>
      </c>
      <c r="F12343" t="s">
        <v>28198</v>
      </c>
      <c r="G12343" t="s">
        <v>28205</v>
      </c>
      <c r="H12343" t="s">
        <v>28214</v>
      </c>
      <c r="I12343" t="s">
        <v>3797</v>
      </c>
      <c r="J12343" t="s">
        <v>29159</v>
      </c>
      <c r="K12343" t="s">
        <v>36964</v>
      </c>
      <c r="M12343" t="s">
        <v>37560</v>
      </c>
      <c r="N12343" t="s">
        <v>40436</v>
      </c>
      <c r="O12343" t="s">
        <v>40437</v>
      </c>
      <c r="P12343">
        <v>0</v>
      </c>
      <c r="Q12343">
        <v>5</v>
      </c>
      <c r="R12343" t="s">
        <v>40456</v>
      </c>
      <c r="S12343" t="s">
        <v>41338</v>
      </c>
      <c r="T12343" t="s">
        <v>42119</v>
      </c>
      <c r="U12343" t="s">
        <v>52762</v>
      </c>
      <c r="W12343" t="s">
        <v>37560</v>
      </c>
      <c r="X12343" t="s">
        <v>40457</v>
      </c>
    </row>
    <row r="12344" spans="1:24">
      <c r="A12344">
        <f>HYPERLINK("https://www.philgeps.gov.ph/GEPSNONPILOT/Tender/SplashBidNoticeAbstractUI.aspx?menuIndex=3&amp;refID=7017441&amp;Result=3","7017441")</f>
        <v>0</v>
      </c>
      <c r="B12344" t="s">
        <v>1286</v>
      </c>
      <c r="C12344" t="s">
        <v>14906</v>
      </c>
      <c r="D12344" t="s">
        <v>16228</v>
      </c>
      <c r="E12344" t="s">
        <v>26981</v>
      </c>
      <c r="F12344" t="s">
        <v>28198</v>
      </c>
      <c r="G12344" t="s">
        <v>28205</v>
      </c>
      <c r="H12344" t="s">
        <v>28215</v>
      </c>
      <c r="I12344" t="s">
        <v>28227</v>
      </c>
      <c r="J12344" t="s">
        <v>35919</v>
      </c>
      <c r="K12344" t="s">
        <v>36689</v>
      </c>
      <c r="M12344" t="s">
        <v>38339</v>
      </c>
      <c r="N12344" t="s">
        <v>40436</v>
      </c>
      <c r="O12344" t="s">
        <v>40437</v>
      </c>
      <c r="P12344">
        <v>0</v>
      </c>
      <c r="Q12344">
        <v>3</v>
      </c>
      <c r="R12344" t="s">
        <v>40456</v>
      </c>
      <c r="S12344" t="s">
        <v>41338</v>
      </c>
      <c r="T12344" t="s">
        <v>42320</v>
      </c>
      <c r="U12344" t="s">
        <v>52763</v>
      </c>
      <c r="W12344" t="s">
        <v>38339</v>
      </c>
      <c r="X12344" t="s">
        <v>40457</v>
      </c>
    </row>
    <row r="12345" spans="1:24">
      <c r="A12345">
        <f>HYPERLINK("https://www.philgeps.gov.ph/GEPSNONPILOT/Tender/SplashBidNoticeAbstractUI.aspx?menuIndex=3&amp;refID=7017324&amp;Result=3","7017324")</f>
        <v>0</v>
      </c>
      <c r="B12345" t="s">
        <v>325</v>
      </c>
      <c r="C12345" t="s">
        <v>14907</v>
      </c>
      <c r="D12345" t="s">
        <v>16226</v>
      </c>
      <c r="E12345" t="s">
        <v>26982</v>
      </c>
      <c r="F12345" t="s">
        <v>28198</v>
      </c>
      <c r="G12345" t="s">
        <v>28205</v>
      </c>
      <c r="H12345" t="s">
        <v>28215</v>
      </c>
      <c r="I12345" t="s">
        <v>5100</v>
      </c>
      <c r="J12345" t="s">
        <v>35920</v>
      </c>
      <c r="K12345" t="s">
        <v>36706</v>
      </c>
      <c r="M12345" t="s">
        <v>37303</v>
      </c>
      <c r="N12345" t="s">
        <v>40436</v>
      </c>
      <c r="O12345" t="s">
        <v>40437</v>
      </c>
      <c r="P12345">
        <v>0</v>
      </c>
      <c r="Q12345">
        <v>1</v>
      </c>
      <c r="R12345" t="s">
        <v>40456</v>
      </c>
      <c r="S12345" t="s">
        <v>41338</v>
      </c>
      <c r="T12345" t="s">
        <v>42103</v>
      </c>
      <c r="U12345" t="s">
        <v>52747</v>
      </c>
      <c r="V12345" t="s">
        <v>55200</v>
      </c>
      <c r="W12345" t="s">
        <v>55443</v>
      </c>
      <c r="X12345" t="s">
        <v>40457</v>
      </c>
    </row>
    <row r="12346" spans="1:24">
      <c r="A12346">
        <f>HYPERLINK("https://www.philgeps.gov.ph/GEPSNONPILOT/Tender/SplashBidNoticeAbstractUI.aspx?menuIndex=3&amp;refID=7016880&amp;Result=3","7016880")</f>
        <v>0</v>
      </c>
      <c r="B12346" t="s">
        <v>1550</v>
      </c>
      <c r="C12346" t="s">
        <v>14908</v>
      </c>
      <c r="D12346" t="s">
        <v>16192</v>
      </c>
      <c r="E12346" t="s">
        <v>26983</v>
      </c>
      <c r="F12346" t="s">
        <v>28198</v>
      </c>
      <c r="G12346" t="s">
        <v>28205</v>
      </c>
      <c r="H12346" t="s">
        <v>28214</v>
      </c>
      <c r="I12346" t="s">
        <v>3797</v>
      </c>
      <c r="J12346" t="s">
        <v>35921</v>
      </c>
      <c r="K12346" t="s">
        <v>36697</v>
      </c>
      <c r="M12346" t="s">
        <v>38631</v>
      </c>
      <c r="N12346" t="s">
        <v>40436</v>
      </c>
      <c r="O12346" t="s">
        <v>40437</v>
      </c>
      <c r="Q12346">
        <v>6</v>
      </c>
      <c r="R12346" t="s">
        <v>40456</v>
      </c>
      <c r="S12346" t="s">
        <v>41357</v>
      </c>
      <c r="T12346" t="s">
        <v>42111</v>
      </c>
      <c r="U12346" t="s">
        <v>52764</v>
      </c>
      <c r="W12346" t="s">
        <v>38631</v>
      </c>
      <c r="X12346" t="s">
        <v>40457</v>
      </c>
    </row>
    <row r="12347" spans="1:24">
      <c r="A12347">
        <f>HYPERLINK("https://www.philgeps.gov.ph/GEPSNONPILOT/Tender/SplashBidNoticeAbstractUI.aspx?menuIndex=3&amp;refID=7017270&amp;Result=3","7017270")</f>
        <v>0</v>
      </c>
      <c r="B12347" t="s">
        <v>325</v>
      </c>
      <c r="C12347" t="s">
        <v>14909</v>
      </c>
      <c r="D12347" t="s">
        <v>16226</v>
      </c>
      <c r="E12347" t="s">
        <v>26984</v>
      </c>
      <c r="F12347" t="s">
        <v>28198</v>
      </c>
      <c r="G12347" t="s">
        <v>28205</v>
      </c>
      <c r="H12347" t="s">
        <v>28215</v>
      </c>
      <c r="I12347" t="s">
        <v>28222</v>
      </c>
      <c r="J12347" t="s">
        <v>28351</v>
      </c>
      <c r="K12347" t="s">
        <v>36706</v>
      </c>
      <c r="M12347" t="s">
        <v>37303</v>
      </c>
      <c r="N12347" t="s">
        <v>40436</v>
      </c>
      <c r="O12347" t="s">
        <v>40437</v>
      </c>
      <c r="P12347">
        <v>0</v>
      </c>
      <c r="Q12347">
        <v>5</v>
      </c>
      <c r="R12347" t="s">
        <v>40456</v>
      </c>
      <c r="S12347" t="s">
        <v>41338</v>
      </c>
      <c r="T12347" t="s">
        <v>42103</v>
      </c>
      <c r="U12347" t="s">
        <v>52747</v>
      </c>
      <c r="V12347" t="s">
        <v>55200</v>
      </c>
      <c r="W12347" t="s">
        <v>55443</v>
      </c>
      <c r="X12347" t="s">
        <v>40457</v>
      </c>
    </row>
    <row r="12348" spans="1:24">
      <c r="A12348">
        <f>HYPERLINK("https://www.philgeps.gov.ph/GEPSNONPILOT/Tender/SplashBidNoticeAbstractUI.aspx?menuIndex=3&amp;refID=7017375&amp;Result=3","7017375")</f>
        <v>0</v>
      </c>
      <c r="B12348" t="s">
        <v>381</v>
      </c>
      <c r="C12348" t="s">
        <v>14910</v>
      </c>
      <c r="D12348" t="s">
        <v>16203</v>
      </c>
      <c r="E12348" t="s">
        <v>26985</v>
      </c>
      <c r="F12348" t="s">
        <v>28198</v>
      </c>
      <c r="G12348" t="s">
        <v>28205</v>
      </c>
      <c r="H12348" t="s">
        <v>28214</v>
      </c>
      <c r="I12348" t="s">
        <v>3797</v>
      </c>
      <c r="J12348" t="s">
        <v>35922</v>
      </c>
      <c r="K12348" t="s">
        <v>36697</v>
      </c>
      <c r="M12348" t="s">
        <v>39833</v>
      </c>
      <c r="N12348" t="s">
        <v>40436</v>
      </c>
      <c r="O12348" t="s">
        <v>40437</v>
      </c>
      <c r="P12348">
        <v>0</v>
      </c>
      <c r="Q12348">
        <v>1</v>
      </c>
      <c r="R12348" t="s">
        <v>40456</v>
      </c>
      <c r="S12348" t="s">
        <v>41338</v>
      </c>
      <c r="T12348" t="s">
        <v>42103</v>
      </c>
      <c r="U12348" t="s">
        <v>52765</v>
      </c>
      <c r="V12348" t="s">
        <v>55072</v>
      </c>
      <c r="W12348" t="s">
        <v>39833</v>
      </c>
      <c r="X12348" t="s">
        <v>40457</v>
      </c>
    </row>
    <row r="12349" spans="1:24">
      <c r="A12349">
        <f>HYPERLINK("https://www.philgeps.gov.ph/GEPSNONPILOT/Tender/SplashBidNoticeAbstractUI.aspx?menuIndex=3&amp;refID=7017317&amp;Result=3","7017317")</f>
        <v>0</v>
      </c>
      <c r="B12349" t="s">
        <v>325</v>
      </c>
      <c r="C12349" t="s">
        <v>14911</v>
      </c>
      <c r="D12349" t="s">
        <v>16226</v>
      </c>
      <c r="E12349" t="s">
        <v>26986</v>
      </c>
      <c r="F12349" t="s">
        <v>28198</v>
      </c>
      <c r="G12349" t="s">
        <v>28205</v>
      </c>
      <c r="H12349" t="s">
        <v>28215</v>
      </c>
      <c r="I12349" t="s">
        <v>28247</v>
      </c>
      <c r="J12349" t="s">
        <v>35923</v>
      </c>
      <c r="K12349" t="s">
        <v>36706</v>
      </c>
      <c r="M12349" t="s">
        <v>37303</v>
      </c>
      <c r="N12349" t="s">
        <v>40436</v>
      </c>
      <c r="O12349" t="s">
        <v>40437</v>
      </c>
      <c r="P12349">
        <v>0</v>
      </c>
      <c r="Q12349">
        <v>16</v>
      </c>
      <c r="R12349" t="s">
        <v>40456</v>
      </c>
      <c r="S12349" t="s">
        <v>41338</v>
      </c>
      <c r="T12349" t="s">
        <v>42103</v>
      </c>
      <c r="U12349" t="s">
        <v>52747</v>
      </c>
      <c r="V12349" t="s">
        <v>55200</v>
      </c>
      <c r="W12349" t="s">
        <v>55443</v>
      </c>
      <c r="X12349" t="s">
        <v>40457</v>
      </c>
    </row>
    <row r="12350" spans="1:24">
      <c r="A12350">
        <f>HYPERLINK("https://www.philgeps.gov.ph/GEPSNONPILOT/Tender/SplashBidNoticeAbstractUI.aspx?menuIndex=3&amp;refID=7017304&amp;Result=3","7017304")</f>
        <v>0</v>
      </c>
      <c r="B12350" t="s">
        <v>325</v>
      </c>
      <c r="C12350" t="s">
        <v>14912</v>
      </c>
      <c r="D12350" t="s">
        <v>16226</v>
      </c>
      <c r="E12350" t="s">
        <v>26987</v>
      </c>
      <c r="F12350" t="s">
        <v>28198</v>
      </c>
      <c r="G12350" t="s">
        <v>28205</v>
      </c>
      <c r="H12350" t="s">
        <v>28215</v>
      </c>
      <c r="I12350" t="s">
        <v>28310</v>
      </c>
      <c r="J12350" t="s">
        <v>35924</v>
      </c>
      <c r="K12350" t="s">
        <v>36706</v>
      </c>
      <c r="M12350" t="s">
        <v>37303</v>
      </c>
      <c r="N12350" t="s">
        <v>40436</v>
      </c>
      <c r="O12350" t="s">
        <v>40437</v>
      </c>
      <c r="Q12350">
        <v>0</v>
      </c>
      <c r="R12350" t="s">
        <v>40456</v>
      </c>
      <c r="S12350" t="s">
        <v>41358</v>
      </c>
      <c r="T12350" t="s">
        <v>42103</v>
      </c>
      <c r="U12350" t="s">
        <v>52747</v>
      </c>
      <c r="V12350" t="s">
        <v>55200</v>
      </c>
      <c r="W12350" t="s">
        <v>55443</v>
      </c>
      <c r="X12350" t="s">
        <v>40457</v>
      </c>
    </row>
    <row r="12351" spans="1:24">
      <c r="A12351">
        <f>HYPERLINK("https://www.philgeps.gov.ph/GEPSNONPILOT/Tender/SplashBidNoticeAbstractUI.aspx?menuIndex=3&amp;refID=7017341&amp;Result=3","7017341")</f>
        <v>0</v>
      </c>
      <c r="B12351" t="s">
        <v>2810</v>
      </c>
      <c r="C12351" t="s">
        <v>13396</v>
      </c>
      <c r="D12351" t="s">
        <v>16195</v>
      </c>
      <c r="E12351" t="s">
        <v>17248</v>
      </c>
      <c r="F12351" t="s">
        <v>28198</v>
      </c>
      <c r="G12351" t="s">
        <v>28205</v>
      </c>
      <c r="H12351" t="s">
        <v>28215</v>
      </c>
      <c r="I12351" t="s">
        <v>5100</v>
      </c>
      <c r="J12351" t="s">
        <v>35925</v>
      </c>
      <c r="K12351" t="s">
        <v>36707</v>
      </c>
      <c r="M12351" t="s">
        <v>40061</v>
      </c>
      <c r="N12351" t="s">
        <v>40436</v>
      </c>
      <c r="O12351" t="s">
        <v>40437</v>
      </c>
      <c r="P12351">
        <v>0</v>
      </c>
      <c r="Q12351">
        <v>1</v>
      </c>
      <c r="R12351" t="s">
        <v>40456</v>
      </c>
      <c r="S12351" t="s">
        <v>41338</v>
      </c>
      <c r="T12351" t="s">
        <v>42158</v>
      </c>
      <c r="U12351" t="s">
        <v>52766</v>
      </c>
      <c r="V12351" t="s">
        <v>55202</v>
      </c>
      <c r="W12351" t="s">
        <v>40061</v>
      </c>
      <c r="X12351" t="s">
        <v>40457</v>
      </c>
    </row>
    <row r="12352" spans="1:24">
      <c r="A12352">
        <f>HYPERLINK("https://www.philgeps.gov.ph/GEPSNONPILOT/Tender/SplashBidNoticeAbstractUI.aspx?menuIndex=3&amp;refID=7017282&amp;Result=3","7017282")</f>
        <v>0</v>
      </c>
      <c r="B12352" t="s">
        <v>1365</v>
      </c>
      <c r="C12352" t="s">
        <v>14913</v>
      </c>
      <c r="D12352" t="s">
        <v>16232</v>
      </c>
      <c r="E12352" t="s">
        <v>26988</v>
      </c>
      <c r="F12352" t="s">
        <v>28198</v>
      </c>
      <c r="G12352" t="s">
        <v>28205</v>
      </c>
      <c r="H12352" t="s">
        <v>28215</v>
      </c>
      <c r="I12352" t="s">
        <v>28247</v>
      </c>
      <c r="J12352" t="s">
        <v>34213</v>
      </c>
      <c r="K12352" t="s">
        <v>36701</v>
      </c>
      <c r="M12352" t="s">
        <v>38425</v>
      </c>
      <c r="N12352" t="s">
        <v>40436</v>
      </c>
      <c r="O12352" t="s">
        <v>40437</v>
      </c>
      <c r="P12352">
        <v>0</v>
      </c>
      <c r="Q12352">
        <v>25</v>
      </c>
      <c r="R12352" t="s">
        <v>40456</v>
      </c>
      <c r="S12352" t="s">
        <v>41338</v>
      </c>
      <c r="T12352" t="s">
        <v>42320</v>
      </c>
      <c r="U12352" t="s">
        <v>52767</v>
      </c>
      <c r="W12352" t="s">
        <v>38425</v>
      </c>
      <c r="X12352" t="s">
        <v>40457</v>
      </c>
    </row>
    <row r="12353" spans="1:24">
      <c r="A12353">
        <f>HYPERLINK("https://www.philgeps.gov.ph/GEPSNONPILOT/Tender/SplashBidNoticeAbstractUI.aspx?menuIndex=3&amp;refID=7016928&amp;Result=3","7016928")</f>
        <v>0</v>
      </c>
      <c r="B12353" t="s">
        <v>572</v>
      </c>
      <c r="C12353" t="s">
        <v>14914</v>
      </c>
      <c r="D12353" t="s">
        <v>16192</v>
      </c>
      <c r="E12353" t="s">
        <v>26989</v>
      </c>
      <c r="F12353" t="s">
        <v>28198</v>
      </c>
      <c r="G12353" t="s">
        <v>28205</v>
      </c>
      <c r="H12353" t="s">
        <v>28215</v>
      </c>
      <c r="I12353" t="s">
        <v>28222</v>
      </c>
      <c r="J12353" t="s">
        <v>28379</v>
      </c>
      <c r="K12353" t="s">
        <v>36697</v>
      </c>
      <c r="M12353" t="s">
        <v>37560</v>
      </c>
      <c r="N12353" t="s">
        <v>40436</v>
      </c>
      <c r="O12353" t="s">
        <v>40437</v>
      </c>
      <c r="P12353">
        <v>0</v>
      </c>
      <c r="Q12353">
        <v>5</v>
      </c>
      <c r="R12353" t="s">
        <v>40456</v>
      </c>
      <c r="S12353" t="s">
        <v>41338</v>
      </c>
      <c r="T12353" t="s">
        <v>42119</v>
      </c>
      <c r="U12353" t="s">
        <v>52768</v>
      </c>
      <c r="W12353" t="s">
        <v>37560</v>
      </c>
      <c r="X12353" t="s">
        <v>40457</v>
      </c>
    </row>
    <row r="12354" spans="1:24">
      <c r="A12354">
        <f>HYPERLINK("https://www.philgeps.gov.ph/GEPSNONPILOT/Tender/SplashBidNoticeAbstractUI.aspx?menuIndex=3&amp;refID=7017284&amp;Result=3","7017284")</f>
        <v>0</v>
      </c>
      <c r="B12354" t="s">
        <v>759</v>
      </c>
      <c r="C12354" t="s">
        <v>14915</v>
      </c>
      <c r="D12354" t="s">
        <v>16196</v>
      </c>
      <c r="E12354" t="s">
        <v>26990</v>
      </c>
      <c r="F12354" t="s">
        <v>28198</v>
      </c>
      <c r="G12354" t="s">
        <v>28205</v>
      </c>
      <c r="H12354" t="s">
        <v>28215</v>
      </c>
      <c r="I12354" t="s">
        <v>28248</v>
      </c>
      <c r="J12354" t="s">
        <v>35926</v>
      </c>
      <c r="K12354" t="s">
        <v>36689</v>
      </c>
      <c r="M12354" t="s">
        <v>37762</v>
      </c>
      <c r="N12354" t="s">
        <v>40436</v>
      </c>
      <c r="O12354" t="s">
        <v>40437</v>
      </c>
      <c r="P12354">
        <v>0</v>
      </c>
      <c r="Q12354">
        <v>17</v>
      </c>
      <c r="R12354" t="s">
        <v>40456</v>
      </c>
      <c r="S12354" t="s">
        <v>41338</v>
      </c>
      <c r="T12354" t="s">
        <v>42128</v>
      </c>
      <c r="U12354" t="s">
        <v>52769</v>
      </c>
      <c r="W12354" t="s">
        <v>37762</v>
      </c>
      <c r="X12354" t="s">
        <v>40457</v>
      </c>
    </row>
    <row r="12355" spans="1:24">
      <c r="A12355">
        <f>HYPERLINK("https://www.philgeps.gov.ph/GEPSNONPILOT/Tender/SplashBidNoticeAbstractUI.aspx?menuIndex=3&amp;refID=7016877&amp;Result=3","7016877")</f>
        <v>0</v>
      </c>
      <c r="B12355" t="s">
        <v>2707</v>
      </c>
      <c r="C12355" t="s">
        <v>14916</v>
      </c>
      <c r="D12355" t="s">
        <v>16265</v>
      </c>
      <c r="E12355" t="s">
        <v>26991</v>
      </c>
      <c r="F12355" t="s">
        <v>28198</v>
      </c>
      <c r="G12355" t="s">
        <v>28205</v>
      </c>
      <c r="H12355" t="s">
        <v>28215</v>
      </c>
      <c r="I12355" t="s">
        <v>28222</v>
      </c>
      <c r="J12355" t="s">
        <v>28818</v>
      </c>
      <c r="K12355" t="s">
        <v>36701</v>
      </c>
      <c r="M12355" t="s">
        <v>39948</v>
      </c>
      <c r="N12355" t="s">
        <v>40436</v>
      </c>
      <c r="O12355" t="s">
        <v>40437</v>
      </c>
      <c r="P12355">
        <v>0</v>
      </c>
      <c r="Q12355">
        <v>5</v>
      </c>
      <c r="R12355" t="s">
        <v>40456</v>
      </c>
      <c r="S12355" t="s">
        <v>41338</v>
      </c>
      <c r="T12355" t="s">
        <v>42129</v>
      </c>
      <c r="U12355" t="s">
        <v>52770</v>
      </c>
      <c r="W12355" t="s">
        <v>39948</v>
      </c>
      <c r="X12355" t="s">
        <v>40457</v>
      </c>
    </row>
    <row r="12356" spans="1:24">
      <c r="A12356">
        <f>HYPERLINK("https://www.philgeps.gov.ph/GEPSNONPILOT/Tender/SplashBidNoticeAbstractUI.aspx?menuIndex=3&amp;refID=7017294&amp;Result=3","7017294")</f>
        <v>0</v>
      </c>
      <c r="B12356" t="s">
        <v>834</v>
      </c>
      <c r="C12356" t="s">
        <v>14917</v>
      </c>
      <c r="D12356" t="s">
        <v>16190</v>
      </c>
      <c r="E12356" t="s">
        <v>26992</v>
      </c>
      <c r="F12356" t="s">
        <v>28198</v>
      </c>
      <c r="G12356" t="s">
        <v>28205</v>
      </c>
      <c r="H12356" t="s">
        <v>28214</v>
      </c>
      <c r="I12356" t="s">
        <v>3797</v>
      </c>
      <c r="J12356" t="s">
        <v>35927</v>
      </c>
      <c r="K12356" t="s">
        <v>36694</v>
      </c>
      <c r="M12356" t="s">
        <v>39967</v>
      </c>
      <c r="N12356" t="s">
        <v>40436</v>
      </c>
      <c r="O12356" t="s">
        <v>40437</v>
      </c>
      <c r="P12356">
        <v>0</v>
      </c>
      <c r="Q12356">
        <v>3</v>
      </c>
      <c r="R12356" t="s">
        <v>40456</v>
      </c>
      <c r="S12356" t="s">
        <v>41338</v>
      </c>
      <c r="T12356" t="s">
        <v>42191</v>
      </c>
      <c r="U12356" t="s">
        <v>52771</v>
      </c>
      <c r="V12356" t="s">
        <v>54859</v>
      </c>
      <c r="W12356" t="s">
        <v>39967</v>
      </c>
      <c r="X12356" t="s">
        <v>40457</v>
      </c>
    </row>
    <row r="12357" spans="1:24">
      <c r="A12357">
        <f>HYPERLINK("https://www.philgeps.gov.ph/GEPSNONPILOT/Tender/SplashBidNoticeAbstractUI.aspx?menuIndex=3&amp;refID=7017496&amp;Result=3","7017496")</f>
        <v>0</v>
      </c>
      <c r="B12357" t="s">
        <v>775</v>
      </c>
      <c r="C12357" t="s">
        <v>14918</v>
      </c>
      <c r="D12357" t="s">
        <v>16206</v>
      </c>
      <c r="E12357" t="s">
        <v>26881</v>
      </c>
      <c r="F12357" t="s">
        <v>28198</v>
      </c>
      <c r="G12357" t="s">
        <v>28205</v>
      </c>
      <c r="H12357" t="s">
        <v>28215</v>
      </c>
      <c r="I12357" t="s">
        <v>28243</v>
      </c>
      <c r="J12357" t="s">
        <v>28363</v>
      </c>
      <c r="K12357" t="s">
        <v>36701</v>
      </c>
      <c r="M12357" t="s">
        <v>37779</v>
      </c>
      <c r="N12357" t="s">
        <v>40436</v>
      </c>
      <c r="O12357" t="s">
        <v>40437</v>
      </c>
      <c r="P12357">
        <v>0</v>
      </c>
      <c r="Q12357">
        <v>6</v>
      </c>
      <c r="R12357" t="s">
        <v>40456</v>
      </c>
      <c r="S12357" t="s">
        <v>41338</v>
      </c>
      <c r="T12357" t="s">
        <v>42133</v>
      </c>
      <c r="U12357" t="s">
        <v>52772</v>
      </c>
      <c r="W12357" t="s">
        <v>37779</v>
      </c>
      <c r="X12357" t="s">
        <v>40457</v>
      </c>
    </row>
    <row r="12358" spans="1:24">
      <c r="A12358">
        <f>HYPERLINK("https://www.philgeps.gov.ph/GEPSNONPILOT/Tender/SplashBidNoticeAbstractUI.aspx?menuIndex=3&amp;refID=7016962&amp;Result=3","7016962")</f>
        <v>0</v>
      </c>
      <c r="B12358" t="s">
        <v>572</v>
      </c>
      <c r="C12358" t="s">
        <v>14919</v>
      </c>
      <c r="D12358" t="s">
        <v>16192</v>
      </c>
      <c r="E12358" t="s">
        <v>26993</v>
      </c>
      <c r="F12358" t="s">
        <v>28198</v>
      </c>
      <c r="G12358" t="s">
        <v>28205</v>
      </c>
      <c r="H12358" t="s">
        <v>28214</v>
      </c>
      <c r="I12358" t="s">
        <v>3797</v>
      </c>
      <c r="J12358" t="s">
        <v>28363</v>
      </c>
      <c r="K12358" t="s">
        <v>36931</v>
      </c>
      <c r="M12358" t="s">
        <v>37560</v>
      </c>
      <c r="N12358" t="s">
        <v>40436</v>
      </c>
      <c r="O12358" t="s">
        <v>40437</v>
      </c>
      <c r="P12358">
        <v>0</v>
      </c>
      <c r="Q12358">
        <v>3</v>
      </c>
      <c r="R12358" t="s">
        <v>40456</v>
      </c>
      <c r="S12358" t="s">
        <v>41338</v>
      </c>
      <c r="T12358" t="s">
        <v>42119</v>
      </c>
      <c r="U12358" t="s">
        <v>52773</v>
      </c>
      <c r="W12358" t="s">
        <v>37560</v>
      </c>
      <c r="X12358" t="s">
        <v>40457</v>
      </c>
    </row>
    <row r="12359" spans="1:24">
      <c r="A12359">
        <f>HYPERLINK("https://www.philgeps.gov.ph/GEPSNONPILOT/Tender/SplashBidNoticeAbstractUI.aspx?menuIndex=3&amp;refID=7017276&amp;Result=3","7017276")</f>
        <v>0</v>
      </c>
      <c r="B12359" t="s">
        <v>325</v>
      </c>
      <c r="C12359" t="s">
        <v>14920</v>
      </c>
      <c r="D12359" t="s">
        <v>16226</v>
      </c>
      <c r="E12359" t="s">
        <v>26994</v>
      </c>
      <c r="F12359" t="s">
        <v>28198</v>
      </c>
      <c r="G12359" t="s">
        <v>28205</v>
      </c>
      <c r="H12359" t="s">
        <v>28215</v>
      </c>
      <c r="I12359" t="s">
        <v>3774</v>
      </c>
      <c r="J12359" t="s">
        <v>35928</v>
      </c>
      <c r="K12359" t="s">
        <v>36706</v>
      </c>
      <c r="M12359" t="s">
        <v>37303</v>
      </c>
      <c r="N12359" t="s">
        <v>40436</v>
      </c>
      <c r="O12359" t="s">
        <v>40437</v>
      </c>
      <c r="P12359">
        <v>0</v>
      </c>
      <c r="Q12359">
        <v>2</v>
      </c>
      <c r="R12359" t="s">
        <v>40456</v>
      </c>
      <c r="S12359" t="s">
        <v>41338</v>
      </c>
      <c r="T12359" t="s">
        <v>42103</v>
      </c>
      <c r="U12359" t="s">
        <v>52747</v>
      </c>
      <c r="V12359" t="s">
        <v>55200</v>
      </c>
      <c r="W12359" t="s">
        <v>55443</v>
      </c>
      <c r="X12359" t="s">
        <v>40457</v>
      </c>
    </row>
    <row r="12360" spans="1:24">
      <c r="A12360">
        <f>HYPERLINK("https://www.philgeps.gov.ph/GEPSNONPILOT/Tender/SplashBidNoticeAbstractUI.aspx?menuIndex=3&amp;refID=7016869&amp;Result=3","7016869")</f>
        <v>0</v>
      </c>
      <c r="B12360" t="s">
        <v>572</v>
      </c>
      <c r="C12360" t="s">
        <v>14921</v>
      </c>
      <c r="D12360" t="s">
        <v>16192</v>
      </c>
      <c r="E12360" t="s">
        <v>26995</v>
      </c>
      <c r="F12360" t="s">
        <v>28198</v>
      </c>
      <c r="G12360" t="s">
        <v>28205</v>
      </c>
      <c r="H12360" t="s">
        <v>28215</v>
      </c>
      <c r="I12360" t="s">
        <v>28222</v>
      </c>
      <c r="J12360" t="s">
        <v>35929</v>
      </c>
      <c r="K12360" t="s">
        <v>36697</v>
      </c>
      <c r="M12360" t="s">
        <v>37560</v>
      </c>
      <c r="N12360" t="s">
        <v>40436</v>
      </c>
      <c r="O12360" t="s">
        <v>40437</v>
      </c>
      <c r="Q12360">
        <v>9</v>
      </c>
      <c r="R12360" t="s">
        <v>40456</v>
      </c>
      <c r="S12360" t="s">
        <v>41011</v>
      </c>
      <c r="T12360" t="s">
        <v>42119</v>
      </c>
      <c r="U12360" t="s">
        <v>52774</v>
      </c>
      <c r="W12360" t="s">
        <v>37560</v>
      </c>
      <c r="X12360" t="s">
        <v>40457</v>
      </c>
    </row>
    <row r="12361" spans="1:24">
      <c r="A12361">
        <f>HYPERLINK("https://www.philgeps.gov.ph/GEPSNONPILOT/Tender/SplashBidNoticeAbstractUI.aspx?menuIndex=3&amp;refID=7017484&amp;Result=3","7017484")</f>
        <v>0</v>
      </c>
      <c r="B12361" t="s">
        <v>2608</v>
      </c>
      <c r="C12361" t="s">
        <v>14922</v>
      </c>
      <c r="D12361" t="s">
        <v>16249</v>
      </c>
      <c r="E12361" t="s">
        <v>26996</v>
      </c>
      <c r="F12361" t="s">
        <v>28198</v>
      </c>
      <c r="G12361" t="s">
        <v>28205</v>
      </c>
      <c r="H12361" t="s">
        <v>28214</v>
      </c>
      <c r="I12361" t="s">
        <v>3797</v>
      </c>
      <c r="J12361" t="s">
        <v>35930</v>
      </c>
      <c r="K12361" t="s">
        <v>36799</v>
      </c>
      <c r="L12361" t="s">
        <v>2608</v>
      </c>
      <c r="M12361" t="s">
        <v>39827</v>
      </c>
      <c r="N12361" t="s">
        <v>40436</v>
      </c>
      <c r="O12361" t="s">
        <v>40437</v>
      </c>
      <c r="P12361">
        <v>0</v>
      </c>
      <c r="Q12361">
        <v>21</v>
      </c>
      <c r="R12361" t="s">
        <v>40456</v>
      </c>
      <c r="S12361" t="s">
        <v>41338</v>
      </c>
      <c r="T12361" t="s">
        <v>42133</v>
      </c>
      <c r="U12361" t="s">
        <v>52775</v>
      </c>
      <c r="W12361" t="s">
        <v>39827</v>
      </c>
      <c r="X12361" t="s">
        <v>40457</v>
      </c>
    </row>
    <row r="12362" spans="1:24">
      <c r="A12362">
        <f>HYPERLINK("https://www.philgeps.gov.ph/GEPSNONPILOT/Tender/SplashBidNoticeAbstractUI.aspx?menuIndex=3&amp;refID=7017481&amp;Result=3","7017481")</f>
        <v>0</v>
      </c>
      <c r="B12362" t="s">
        <v>1225</v>
      </c>
      <c r="C12362" t="s">
        <v>14923</v>
      </c>
      <c r="D12362" t="s">
        <v>16236</v>
      </c>
      <c r="E12362" t="s">
        <v>26997</v>
      </c>
      <c r="F12362" t="s">
        <v>28198</v>
      </c>
      <c r="G12362" t="s">
        <v>28205</v>
      </c>
      <c r="H12362" t="s">
        <v>28214</v>
      </c>
      <c r="I12362" t="s">
        <v>3797</v>
      </c>
      <c r="J12362" t="s">
        <v>35931</v>
      </c>
      <c r="K12362" t="s">
        <v>36697</v>
      </c>
      <c r="M12362" t="s">
        <v>38273</v>
      </c>
      <c r="N12362" t="s">
        <v>40436</v>
      </c>
      <c r="O12362" t="s">
        <v>40437</v>
      </c>
      <c r="P12362">
        <v>0</v>
      </c>
      <c r="Q12362">
        <v>0</v>
      </c>
      <c r="R12362" t="s">
        <v>40456</v>
      </c>
      <c r="S12362" t="s">
        <v>41338</v>
      </c>
      <c r="T12362" t="s">
        <v>42129</v>
      </c>
      <c r="U12362" t="s">
        <v>52776</v>
      </c>
      <c r="V12362" t="s">
        <v>54111</v>
      </c>
      <c r="W12362" t="s">
        <v>38273</v>
      </c>
      <c r="X12362" t="s">
        <v>40457</v>
      </c>
    </row>
    <row r="12363" spans="1:24">
      <c r="A12363">
        <f>HYPERLINK("https://www.philgeps.gov.ph/GEPSNONPILOT/Tender/SplashBidNoticeAbstractUI.aspx?menuIndex=3&amp;refID=7017280&amp;Result=3","7017280")</f>
        <v>0</v>
      </c>
      <c r="B12363" t="s">
        <v>325</v>
      </c>
      <c r="C12363" t="s">
        <v>14924</v>
      </c>
      <c r="D12363" t="s">
        <v>16226</v>
      </c>
      <c r="E12363" t="s">
        <v>26998</v>
      </c>
      <c r="F12363" t="s">
        <v>28198</v>
      </c>
      <c r="G12363" t="s">
        <v>28205</v>
      </c>
      <c r="H12363" t="s">
        <v>28215</v>
      </c>
      <c r="I12363" t="s">
        <v>28228</v>
      </c>
      <c r="J12363" t="s">
        <v>35932</v>
      </c>
      <c r="K12363" t="s">
        <v>36706</v>
      </c>
      <c r="M12363" t="s">
        <v>37303</v>
      </c>
      <c r="N12363" t="s">
        <v>40436</v>
      </c>
      <c r="O12363" t="s">
        <v>40437</v>
      </c>
      <c r="P12363">
        <v>0</v>
      </c>
      <c r="Q12363">
        <v>0</v>
      </c>
      <c r="R12363" t="s">
        <v>40456</v>
      </c>
      <c r="S12363" t="s">
        <v>41338</v>
      </c>
      <c r="T12363" t="s">
        <v>42103</v>
      </c>
      <c r="U12363" t="s">
        <v>52747</v>
      </c>
      <c r="V12363" t="s">
        <v>55200</v>
      </c>
      <c r="W12363" t="s">
        <v>55443</v>
      </c>
      <c r="X12363" t="s">
        <v>40457</v>
      </c>
    </row>
    <row r="12364" spans="1:24">
      <c r="A12364">
        <f>HYPERLINK("https://www.philgeps.gov.ph/GEPSNONPILOT/Tender/SplashBidNoticeAbstractUI.aspx?menuIndex=3&amp;refID=7017456&amp;Result=3","7017456")</f>
        <v>0</v>
      </c>
      <c r="B12364" t="s">
        <v>1225</v>
      </c>
      <c r="C12364" t="s">
        <v>14925</v>
      </c>
      <c r="D12364" t="s">
        <v>16236</v>
      </c>
      <c r="E12364" t="s">
        <v>26999</v>
      </c>
      <c r="F12364" t="s">
        <v>28198</v>
      </c>
      <c r="G12364" t="s">
        <v>28205</v>
      </c>
      <c r="H12364" t="s">
        <v>28214</v>
      </c>
      <c r="I12364" t="s">
        <v>3797</v>
      </c>
      <c r="J12364" t="s">
        <v>28363</v>
      </c>
      <c r="K12364" t="s">
        <v>36692</v>
      </c>
      <c r="M12364" t="s">
        <v>38273</v>
      </c>
      <c r="N12364" t="s">
        <v>40436</v>
      </c>
      <c r="O12364" t="s">
        <v>40437</v>
      </c>
      <c r="P12364">
        <v>0</v>
      </c>
      <c r="Q12364">
        <v>0</v>
      </c>
      <c r="R12364" t="s">
        <v>40456</v>
      </c>
      <c r="S12364" t="s">
        <v>41338</v>
      </c>
      <c r="T12364" t="s">
        <v>42129</v>
      </c>
      <c r="U12364" t="s">
        <v>52777</v>
      </c>
      <c r="V12364" t="s">
        <v>54111</v>
      </c>
      <c r="W12364" t="s">
        <v>38273</v>
      </c>
      <c r="X12364" t="s">
        <v>40457</v>
      </c>
    </row>
    <row r="12365" spans="1:24">
      <c r="A12365">
        <f>HYPERLINK("https://www.philgeps.gov.ph/GEPSNONPILOT/Tender/SplashBidNoticeAbstractUI.aspx?menuIndex=3&amp;refID=7017501&amp;Result=3","7017501")</f>
        <v>0</v>
      </c>
      <c r="B12365" t="s">
        <v>1820</v>
      </c>
      <c r="C12365" t="s">
        <v>14926</v>
      </c>
      <c r="D12365" t="s">
        <v>16199</v>
      </c>
      <c r="E12365" t="s">
        <v>27000</v>
      </c>
      <c r="F12365" t="s">
        <v>28198</v>
      </c>
      <c r="G12365" t="s">
        <v>28205</v>
      </c>
      <c r="H12365" t="s">
        <v>28214</v>
      </c>
      <c r="I12365" t="s">
        <v>3797</v>
      </c>
      <c r="J12365" t="s">
        <v>35933</v>
      </c>
      <c r="K12365" t="s">
        <v>36711</v>
      </c>
      <c r="M12365" t="s">
        <v>38941</v>
      </c>
      <c r="N12365" t="s">
        <v>40436</v>
      </c>
      <c r="O12365" t="s">
        <v>40437</v>
      </c>
      <c r="P12365">
        <v>0</v>
      </c>
      <c r="Q12365">
        <v>0</v>
      </c>
      <c r="R12365" t="s">
        <v>40456</v>
      </c>
      <c r="S12365" t="s">
        <v>41338</v>
      </c>
      <c r="T12365" t="s">
        <v>42216</v>
      </c>
      <c r="U12365" t="s">
        <v>52778</v>
      </c>
      <c r="V12365" t="s">
        <v>55203</v>
      </c>
      <c r="W12365" t="s">
        <v>38941</v>
      </c>
      <c r="X12365" t="s">
        <v>40457</v>
      </c>
    </row>
    <row r="12366" spans="1:24">
      <c r="A12366">
        <f>HYPERLINK("https://www.philgeps.gov.ph/GEPSNONPILOT/Tender/SplashBidNoticeAbstractUI.aspx?menuIndex=3&amp;refID=7017741&amp;Result=3","7017741")</f>
        <v>0</v>
      </c>
      <c r="B12366" t="s">
        <v>2982</v>
      </c>
      <c r="C12366" t="s">
        <v>14927</v>
      </c>
      <c r="D12366" t="s">
        <v>16242</v>
      </c>
      <c r="E12366" t="s">
        <v>27001</v>
      </c>
      <c r="F12366" t="s">
        <v>28198</v>
      </c>
      <c r="G12366" t="s">
        <v>28205</v>
      </c>
      <c r="H12366" t="s">
        <v>28214</v>
      </c>
      <c r="I12366" t="s">
        <v>3797</v>
      </c>
      <c r="J12366" t="s">
        <v>35934</v>
      </c>
      <c r="K12366" t="s">
        <v>36764</v>
      </c>
      <c r="M12366" t="s">
        <v>40274</v>
      </c>
      <c r="N12366" t="s">
        <v>40436</v>
      </c>
      <c r="O12366" t="s">
        <v>40437</v>
      </c>
      <c r="P12366">
        <v>0</v>
      </c>
      <c r="Q12366">
        <v>0</v>
      </c>
      <c r="R12366" t="s">
        <v>40456</v>
      </c>
      <c r="S12366" t="s">
        <v>41338</v>
      </c>
      <c r="T12366" t="s">
        <v>42133</v>
      </c>
      <c r="U12366" t="s">
        <v>52779</v>
      </c>
      <c r="W12366" t="s">
        <v>40274</v>
      </c>
      <c r="X12366" t="s">
        <v>40457</v>
      </c>
    </row>
    <row r="12367" spans="1:24">
      <c r="A12367">
        <f>HYPERLINK("https://www.philgeps.gov.ph/GEPSNONPILOT/Tender/SplashBidNoticeAbstractUI.aspx?menuIndex=3&amp;refID=7017497&amp;Result=3","7017497")</f>
        <v>0</v>
      </c>
      <c r="B12367" t="s">
        <v>1225</v>
      </c>
      <c r="C12367" t="s">
        <v>14928</v>
      </c>
      <c r="D12367" t="s">
        <v>16236</v>
      </c>
      <c r="E12367" t="s">
        <v>27002</v>
      </c>
      <c r="F12367" t="s">
        <v>28198</v>
      </c>
      <c r="G12367" t="s">
        <v>28205</v>
      </c>
      <c r="H12367" t="s">
        <v>28214</v>
      </c>
      <c r="I12367" t="s">
        <v>3797</v>
      </c>
      <c r="J12367" t="s">
        <v>28415</v>
      </c>
      <c r="K12367" t="s">
        <v>36697</v>
      </c>
      <c r="M12367" t="s">
        <v>38273</v>
      </c>
      <c r="N12367" t="s">
        <v>40436</v>
      </c>
      <c r="O12367" t="s">
        <v>40437</v>
      </c>
      <c r="P12367">
        <v>0</v>
      </c>
      <c r="Q12367">
        <v>0</v>
      </c>
      <c r="R12367" t="s">
        <v>40456</v>
      </c>
      <c r="S12367" t="s">
        <v>41338</v>
      </c>
      <c r="T12367" t="s">
        <v>42129</v>
      </c>
      <c r="U12367" t="s">
        <v>52780</v>
      </c>
      <c r="V12367" t="s">
        <v>54116</v>
      </c>
      <c r="W12367" t="s">
        <v>38273</v>
      </c>
      <c r="X12367" t="s">
        <v>40457</v>
      </c>
    </row>
    <row r="12368" spans="1:24">
      <c r="A12368">
        <f>HYPERLINK("https://www.philgeps.gov.ph/GEPSNONPILOT/Tender/SplashBidNoticeAbstractUI.aspx?menuIndex=3&amp;refID=7017672&amp;Result=3","7017672")</f>
        <v>0</v>
      </c>
      <c r="B12368" t="s">
        <v>381</v>
      </c>
      <c r="C12368" t="s">
        <v>14929</v>
      </c>
      <c r="D12368" t="s">
        <v>16203</v>
      </c>
      <c r="E12368" t="s">
        <v>27003</v>
      </c>
      <c r="F12368" t="s">
        <v>28198</v>
      </c>
      <c r="G12368" t="s">
        <v>28205</v>
      </c>
      <c r="H12368" t="s">
        <v>28214</v>
      </c>
      <c r="I12368" t="s">
        <v>3797</v>
      </c>
      <c r="J12368" t="s">
        <v>35935</v>
      </c>
      <c r="K12368" t="s">
        <v>36694</v>
      </c>
      <c r="M12368" t="s">
        <v>39833</v>
      </c>
      <c r="N12368" t="s">
        <v>40436</v>
      </c>
      <c r="O12368" t="s">
        <v>40437</v>
      </c>
      <c r="P12368">
        <v>0</v>
      </c>
      <c r="Q12368">
        <v>0</v>
      </c>
      <c r="R12368" t="s">
        <v>40456</v>
      </c>
      <c r="S12368" t="s">
        <v>41338</v>
      </c>
      <c r="T12368" t="s">
        <v>42133</v>
      </c>
      <c r="U12368" t="s">
        <v>52781</v>
      </c>
      <c r="V12368" t="s">
        <v>55072</v>
      </c>
      <c r="W12368" t="s">
        <v>39833</v>
      </c>
      <c r="X12368" t="s">
        <v>40457</v>
      </c>
    </row>
    <row r="12369" spans="1:24">
      <c r="A12369">
        <f>HYPERLINK("https://www.philgeps.gov.ph/GEPSNONPILOT/Tender/SplashBidNoticeAbstractUI.aspx?menuIndex=3&amp;refID=7017712&amp;Result=3","7017712")</f>
        <v>0</v>
      </c>
      <c r="B12369" t="s">
        <v>2983</v>
      </c>
      <c r="C12369" t="s">
        <v>14930</v>
      </c>
      <c r="D12369" t="s">
        <v>16217</v>
      </c>
      <c r="E12369" t="s">
        <v>20218</v>
      </c>
      <c r="F12369" t="s">
        <v>28200</v>
      </c>
      <c r="G12369" t="s">
        <v>28205</v>
      </c>
      <c r="H12369" t="s">
        <v>28215</v>
      </c>
      <c r="I12369" t="s">
        <v>28234</v>
      </c>
      <c r="J12369" t="s">
        <v>35936</v>
      </c>
      <c r="K12369" t="s">
        <v>36694</v>
      </c>
      <c r="M12369" t="s">
        <v>40275</v>
      </c>
      <c r="N12369" t="s">
        <v>40436</v>
      </c>
      <c r="O12369" t="s">
        <v>40437</v>
      </c>
      <c r="P12369">
        <v>0</v>
      </c>
      <c r="Q12369">
        <v>5</v>
      </c>
      <c r="R12369" t="s">
        <v>40456</v>
      </c>
      <c r="S12369" t="s">
        <v>41338</v>
      </c>
      <c r="T12369" t="s">
        <v>42113</v>
      </c>
      <c r="U12369" t="s">
        <v>52782</v>
      </c>
      <c r="W12369" t="s">
        <v>40275</v>
      </c>
      <c r="X12369" t="s">
        <v>40457</v>
      </c>
    </row>
    <row r="12370" spans="1:24">
      <c r="A12370">
        <f>HYPERLINK("https://www.philgeps.gov.ph/GEPSNONPILOT/Tender/SplashBidNoticeAbstractUI.aspx?menuIndex=3&amp;refID=7017723&amp;Result=3","7017723")</f>
        <v>0</v>
      </c>
      <c r="B12370" t="s">
        <v>381</v>
      </c>
      <c r="C12370" t="s">
        <v>14931</v>
      </c>
      <c r="D12370" t="s">
        <v>16203</v>
      </c>
      <c r="E12370" t="s">
        <v>27004</v>
      </c>
      <c r="F12370" t="s">
        <v>28198</v>
      </c>
      <c r="G12370" t="s">
        <v>28205</v>
      </c>
      <c r="H12370" t="s">
        <v>28214</v>
      </c>
      <c r="I12370" t="s">
        <v>3797</v>
      </c>
      <c r="J12370" t="s">
        <v>35937</v>
      </c>
      <c r="K12370" t="s">
        <v>36694</v>
      </c>
      <c r="M12370" t="s">
        <v>39833</v>
      </c>
      <c r="N12370" t="s">
        <v>40436</v>
      </c>
      <c r="O12370" t="s">
        <v>40437</v>
      </c>
      <c r="P12370">
        <v>0</v>
      </c>
      <c r="Q12370">
        <v>1</v>
      </c>
      <c r="R12370" t="s">
        <v>40456</v>
      </c>
      <c r="S12370" t="s">
        <v>41338</v>
      </c>
      <c r="T12370" t="s">
        <v>42133</v>
      </c>
      <c r="U12370" t="s">
        <v>52783</v>
      </c>
      <c r="V12370" t="s">
        <v>55072</v>
      </c>
      <c r="W12370" t="s">
        <v>39833</v>
      </c>
      <c r="X12370" t="s">
        <v>40457</v>
      </c>
    </row>
    <row r="12371" spans="1:24">
      <c r="A12371">
        <f>HYPERLINK("https://www.philgeps.gov.ph/GEPSNONPILOT/Tender/SplashBidNoticeAbstractUI.aspx?menuIndex=3&amp;refID=7017719&amp;Result=3","7017719")</f>
        <v>0</v>
      </c>
      <c r="B12371" t="s">
        <v>2079</v>
      </c>
      <c r="C12371" t="s">
        <v>14932</v>
      </c>
      <c r="D12371" t="s">
        <v>16217</v>
      </c>
      <c r="E12371" t="s">
        <v>27005</v>
      </c>
      <c r="F12371" t="s">
        <v>28198</v>
      </c>
      <c r="G12371" t="s">
        <v>28205</v>
      </c>
      <c r="H12371" t="s">
        <v>28215</v>
      </c>
      <c r="I12371" t="s">
        <v>5100</v>
      </c>
      <c r="J12371" t="s">
        <v>35938</v>
      </c>
      <c r="K12371" t="s">
        <v>36707</v>
      </c>
      <c r="M12371" t="s">
        <v>40276</v>
      </c>
      <c r="N12371" t="s">
        <v>40436</v>
      </c>
      <c r="O12371" t="s">
        <v>40437</v>
      </c>
      <c r="P12371">
        <v>0</v>
      </c>
      <c r="Q12371">
        <v>2</v>
      </c>
      <c r="R12371" t="s">
        <v>40456</v>
      </c>
      <c r="S12371" t="s">
        <v>41338</v>
      </c>
      <c r="T12371" t="s">
        <v>42103</v>
      </c>
      <c r="U12371" t="s">
        <v>45873</v>
      </c>
      <c r="W12371" t="s">
        <v>40276</v>
      </c>
      <c r="X12371" t="s">
        <v>40457</v>
      </c>
    </row>
    <row r="12372" spans="1:24">
      <c r="A12372">
        <f>HYPERLINK("https://www.philgeps.gov.ph/GEPSNONPILOT/Tender/SplashBidNoticeAbstractUI.aspx?menuIndex=3&amp;refID=7017681&amp;Result=3","7017681")</f>
        <v>0</v>
      </c>
      <c r="B12372" t="s">
        <v>381</v>
      </c>
      <c r="C12372" t="s">
        <v>14933</v>
      </c>
      <c r="D12372" t="s">
        <v>16203</v>
      </c>
      <c r="E12372" t="s">
        <v>27006</v>
      </c>
      <c r="F12372" t="s">
        <v>28198</v>
      </c>
      <c r="G12372" t="s">
        <v>28205</v>
      </c>
      <c r="H12372" t="s">
        <v>28214</v>
      </c>
      <c r="I12372" t="s">
        <v>3797</v>
      </c>
      <c r="J12372" t="s">
        <v>35939</v>
      </c>
      <c r="K12372" t="s">
        <v>36737</v>
      </c>
      <c r="M12372" t="s">
        <v>39833</v>
      </c>
      <c r="N12372" t="s">
        <v>40436</v>
      </c>
      <c r="O12372" t="s">
        <v>40437</v>
      </c>
      <c r="P12372">
        <v>0</v>
      </c>
      <c r="Q12372">
        <v>0</v>
      </c>
      <c r="R12372" t="s">
        <v>40456</v>
      </c>
      <c r="S12372" t="s">
        <v>41338</v>
      </c>
      <c r="T12372" t="s">
        <v>42133</v>
      </c>
      <c r="U12372" t="s">
        <v>52781</v>
      </c>
      <c r="V12372" t="s">
        <v>55072</v>
      </c>
      <c r="W12372" t="s">
        <v>39833</v>
      </c>
      <c r="X12372" t="s">
        <v>40457</v>
      </c>
    </row>
    <row r="12373" spans="1:24">
      <c r="A12373">
        <f>HYPERLINK("https://www.philgeps.gov.ph/GEPSNONPILOT/Tender/SplashBidNoticeAbstractUI.aspx?menuIndex=3&amp;refID=7017606&amp;Result=3","7017606")</f>
        <v>0</v>
      </c>
      <c r="B12373" t="s">
        <v>381</v>
      </c>
      <c r="C12373" t="s">
        <v>14934</v>
      </c>
      <c r="D12373" t="s">
        <v>16203</v>
      </c>
      <c r="E12373" t="s">
        <v>27007</v>
      </c>
      <c r="F12373" t="s">
        <v>28198</v>
      </c>
      <c r="G12373" t="s">
        <v>28205</v>
      </c>
      <c r="H12373" t="s">
        <v>28214</v>
      </c>
      <c r="I12373" t="s">
        <v>3797</v>
      </c>
      <c r="J12373" t="s">
        <v>35940</v>
      </c>
      <c r="K12373" t="s">
        <v>36697</v>
      </c>
      <c r="M12373" t="s">
        <v>39833</v>
      </c>
      <c r="N12373" t="s">
        <v>40436</v>
      </c>
      <c r="O12373" t="s">
        <v>40437</v>
      </c>
      <c r="P12373">
        <v>0</v>
      </c>
      <c r="Q12373">
        <v>0</v>
      </c>
      <c r="R12373" t="s">
        <v>40456</v>
      </c>
      <c r="S12373" t="s">
        <v>41338</v>
      </c>
      <c r="T12373" t="s">
        <v>42103</v>
      </c>
      <c r="U12373" t="s">
        <v>52760</v>
      </c>
      <c r="V12373" t="s">
        <v>55072</v>
      </c>
      <c r="W12373" t="s">
        <v>39833</v>
      </c>
      <c r="X12373" t="s">
        <v>40457</v>
      </c>
    </row>
    <row r="12374" spans="1:24">
      <c r="A12374">
        <f>HYPERLINK("https://www.philgeps.gov.ph/GEPSNONPILOT/Tender/SplashBidNoticeAbstractUI.aspx?menuIndex=3&amp;refID=7017286&amp;Result=3","7017286")</f>
        <v>0</v>
      </c>
      <c r="B12374" t="s">
        <v>834</v>
      </c>
      <c r="C12374" t="s">
        <v>14935</v>
      </c>
      <c r="D12374" t="s">
        <v>16190</v>
      </c>
      <c r="E12374" t="s">
        <v>27008</v>
      </c>
      <c r="F12374" t="s">
        <v>28198</v>
      </c>
      <c r="G12374" t="s">
        <v>28205</v>
      </c>
      <c r="H12374" t="s">
        <v>28214</v>
      </c>
      <c r="I12374" t="s">
        <v>3797</v>
      </c>
      <c r="J12374" t="s">
        <v>30947</v>
      </c>
      <c r="K12374" t="s">
        <v>36690</v>
      </c>
      <c r="M12374" t="s">
        <v>39967</v>
      </c>
      <c r="N12374" t="s">
        <v>40436</v>
      </c>
      <c r="O12374" t="s">
        <v>40437</v>
      </c>
      <c r="P12374">
        <v>0</v>
      </c>
      <c r="Q12374">
        <v>7</v>
      </c>
      <c r="R12374" t="s">
        <v>40456</v>
      </c>
      <c r="S12374" t="s">
        <v>41338</v>
      </c>
      <c r="T12374" t="s">
        <v>42191</v>
      </c>
      <c r="U12374" t="s">
        <v>52784</v>
      </c>
      <c r="V12374" t="s">
        <v>54859</v>
      </c>
      <c r="W12374" t="s">
        <v>39967</v>
      </c>
      <c r="X12374" t="s">
        <v>40457</v>
      </c>
    </row>
    <row r="12375" spans="1:24">
      <c r="A12375">
        <f>HYPERLINK("https://www.philgeps.gov.ph/GEPSNONPILOT/Tender/SplashBidNoticeAbstractUI.aspx?menuIndex=3&amp;refID=7017700&amp;Result=3","7017700")</f>
        <v>0</v>
      </c>
      <c r="B12375" t="s">
        <v>2982</v>
      </c>
      <c r="C12375" t="s">
        <v>14936</v>
      </c>
      <c r="D12375" t="s">
        <v>16242</v>
      </c>
      <c r="E12375" t="s">
        <v>27009</v>
      </c>
      <c r="F12375" t="s">
        <v>28198</v>
      </c>
      <c r="G12375" t="s">
        <v>28205</v>
      </c>
      <c r="H12375" t="s">
        <v>28214</v>
      </c>
      <c r="I12375" t="s">
        <v>3797</v>
      </c>
      <c r="J12375" t="s">
        <v>35941</v>
      </c>
      <c r="K12375" t="s">
        <v>36851</v>
      </c>
      <c r="M12375" t="s">
        <v>40274</v>
      </c>
      <c r="N12375" t="s">
        <v>40436</v>
      </c>
      <c r="O12375" t="s">
        <v>40437</v>
      </c>
      <c r="P12375">
        <v>0</v>
      </c>
      <c r="Q12375">
        <v>0</v>
      </c>
      <c r="R12375" t="s">
        <v>40456</v>
      </c>
      <c r="S12375" t="s">
        <v>41338</v>
      </c>
      <c r="T12375" t="s">
        <v>42133</v>
      </c>
      <c r="U12375" t="s">
        <v>52779</v>
      </c>
      <c r="W12375" t="s">
        <v>40274</v>
      </c>
      <c r="X12375" t="s">
        <v>40457</v>
      </c>
    </row>
    <row r="12376" spans="1:24">
      <c r="A12376">
        <f>HYPERLINK("https://www.philgeps.gov.ph/GEPSNONPILOT/Tender/SplashBidNoticeAbstractUI.aspx?menuIndex=3&amp;refID=7017550&amp;Result=3","7017550")</f>
        <v>0</v>
      </c>
      <c r="B12376" t="s">
        <v>381</v>
      </c>
      <c r="C12376" t="s">
        <v>14937</v>
      </c>
      <c r="D12376" t="s">
        <v>16203</v>
      </c>
      <c r="E12376" t="s">
        <v>27010</v>
      </c>
      <c r="F12376" t="s">
        <v>28198</v>
      </c>
      <c r="G12376" t="s">
        <v>28205</v>
      </c>
      <c r="H12376" t="s">
        <v>28214</v>
      </c>
      <c r="I12376" t="s">
        <v>3797</v>
      </c>
      <c r="J12376" t="s">
        <v>35942</v>
      </c>
      <c r="K12376" t="s">
        <v>36809</v>
      </c>
      <c r="M12376" t="s">
        <v>39833</v>
      </c>
      <c r="N12376" t="s">
        <v>40436</v>
      </c>
      <c r="O12376" t="s">
        <v>40437</v>
      </c>
      <c r="P12376">
        <v>0</v>
      </c>
      <c r="Q12376">
        <v>0</v>
      </c>
      <c r="R12376" t="s">
        <v>40456</v>
      </c>
      <c r="S12376" t="s">
        <v>41338</v>
      </c>
      <c r="T12376" t="s">
        <v>42103</v>
      </c>
      <c r="U12376" t="s">
        <v>52760</v>
      </c>
      <c r="V12376" t="s">
        <v>55072</v>
      </c>
      <c r="W12376" t="s">
        <v>39833</v>
      </c>
      <c r="X12376" t="s">
        <v>40457</v>
      </c>
    </row>
    <row r="12377" spans="1:24">
      <c r="A12377">
        <f>HYPERLINK("https://www.philgeps.gov.ph/GEPSNONPILOT/Tender/SplashBidNoticeAbstractUI.aspx?menuIndex=3&amp;refID=7017465&amp;Result=3","7017465")</f>
        <v>0</v>
      </c>
      <c r="B12377" t="s">
        <v>381</v>
      </c>
      <c r="C12377" t="s">
        <v>14938</v>
      </c>
      <c r="D12377" t="s">
        <v>16203</v>
      </c>
      <c r="E12377" t="s">
        <v>27011</v>
      </c>
      <c r="F12377" t="s">
        <v>28198</v>
      </c>
      <c r="G12377" t="s">
        <v>28205</v>
      </c>
      <c r="H12377" t="s">
        <v>28214</v>
      </c>
      <c r="I12377" t="s">
        <v>3797</v>
      </c>
      <c r="J12377" t="s">
        <v>35943</v>
      </c>
      <c r="K12377" t="s">
        <v>36694</v>
      </c>
      <c r="M12377" t="s">
        <v>39833</v>
      </c>
      <c r="N12377" t="s">
        <v>40436</v>
      </c>
      <c r="O12377" t="s">
        <v>40437</v>
      </c>
      <c r="P12377">
        <v>0</v>
      </c>
      <c r="Q12377">
        <v>0</v>
      </c>
      <c r="R12377" t="s">
        <v>40456</v>
      </c>
      <c r="S12377" t="s">
        <v>41338</v>
      </c>
      <c r="T12377" t="s">
        <v>42103</v>
      </c>
      <c r="U12377" t="s">
        <v>52760</v>
      </c>
      <c r="V12377" t="s">
        <v>55072</v>
      </c>
      <c r="W12377" t="s">
        <v>39833</v>
      </c>
      <c r="X12377" t="s">
        <v>40457</v>
      </c>
    </row>
    <row r="12378" spans="1:24">
      <c r="A12378">
        <f>HYPERLINK("https://www.philgeps.gov.ph/GEPSNONPILOT/Tender/SplashBidNoticeAbstractUI.aspx?menuIndex=3&amp;refID=7017574&amp;Result=3","7017574")</f>
        <v>0</v>
      </c>
      <c r="B12378" t="s">
        <v>381</v>
      </c>
      <c r="C12378" t="s">
        <v>14939</v>
      </c>
      <c r="D12378" t="s">
        <v>16203</v>
      </c>
      <c r="E12378" t="s">
        <v>27012</v>
      </c>
      <c r="F12378" t="s">
        <v>28198</v>
      </c>
      <c r="G12378" t="s">
        <v>28205</v>
      </c>
      <c r="H12378" t="s">
        <v>28214</v>
      </c>
      <c r="I12378" t="s">
        <v>3797</v>
      </c>
      <c r="J12378" t="s">
        <v>35944</v>
      </c>
      <c r="K12378" t="s">
        <v>36697</v>
      </c>
      <c r="M12378" t="s">
        <v>39833</v>
      </c>
      <c r="N12378" t="s">
        <v>40436</v>
      </c>
      <c r="O12378" t="s">
        <v>40437</v>
      </c>
      <c r="P12378">
        <v>0</v>
      </c>
      <c r="Q12378">
        <v>0</v>
      </c>
      <c r="R12378" t="s">
        <v>40456</v>
      </c>
      <c r="S12378" t="s">
        <v>41338</v>
      </c>
      <c r="T12378" t="s">
        <v>42103</v>
      </c>
      <c r="U12378" t="s">
        <v>52760</v>
      </c>
      <c r="V12378" t="s">
        <v>55072</v>
      </c>
      <c r="W12378" t="s">
        <v>39833</v>
      </c>
      <c r="X12378" t="s">
        <v>40457</v>
      </c>
    </row>
    <row r="12379" spans="1:24">
      <c r="A12379">
        <f>HYPERLINK("https://www.philgeps.gov.ph/GEPSNONPILOT/Tender/SplashBidNoticeAbstractUI.aspx?menuIndex=3&amp;refID=7016667&amp;Result=3","7016667")</f>
        <v>0</v>
      </c>
      <c r="B12379" t="s">
        <v>1068</v>
      </c>
      <c r="C12379" t="s">
        <v>14940</v>
      </c>
      <c r="D12379" t="s">
        <v>16258</v>
      </c>
      <c r="E12379" t="s">
        <v>27013</v>
      </c>
      <c r="F12379" t="s">
        <v>28198</v>
      </c>
      <c r="G12379" t="s">
        <v>28205</v>
      </c>
      <c r="H12379" t="s">
        <v>28214</v>
      </c>
      <c r="I12379" t="s">
        <v>3797</v>
      </c>
      <c r="J12379" t="s">
        <v>35945</v>
      </c>
      <c r="K12379" t="s">
        <v>36689</v>
      </c>
      <c r="M12379" t="s">
        <v>38101</v>
      </c>
      <c r="N12379" t="s">
        <v>40436</v>
      </c>
      <c r="O12379" t="s">
        <v>40437</v>
      </c>
      <c r="P12379">
        <v>0</v>
      </c>
      <c r="Q12379">
        <v>1</v>
      </c>
      <c r="R12379" t="s">
        <v>40456</v>
      </c>
      <c r="S12379" t="s">
        <v>41338</v>
      </c>
      <c r="T12379" t="s">
        <v>42160</v>
      </c>
      <c r="U12379" t="s">
        <v>52785</v>
      </c>
      <c r="W12379" t="s">
        <v>38101</v>
      </c>
      <c r="X12379" t="s">
        <v>40457</v>
      </c>
    </row>
    <row r="12380" spans="1:24">
      <c r="A12380">
        <f>HYPERLINK("https://www.philgeps.gov.ph/GEPSNONPILOT/Tender/SplashBidNoticeAbstractUI.aspx?menuIndex=3&amp;refID=7016243&amp;Result=3","7016243")</f>
        <v>0</v>
      </c>
      <c r="B12380" t="s">
        <v>2979</v>
      </c>
      <c r="C12380" t="s">
        <v>14941</v>
      </c>
      <c r="D12380" t="s">
        <v>16203</v>
      </c>
      <c r="E12380" t="s">
        <v>27014</v>
      </c>
      <c r="F12380" t="s">
        <v>28198</v>
      </c>
      <c r="G12380" t="s">
        <v>28205</v>
      </c>
      <c r="H12380" t="s">
        <v>28214</v>
      </c>
      <c r="I12380" t="s">
        <v>3797</v>
      </c>
      <c r="J12380" t="s">
        <v>35946</v>
      </c>
      <c r="K12380" t="s">
        <v>36694</v>
      </c>
      <c r="M12380" t="s">
        <v>40270</v>
      </c>
      <c r="N12380" t="s">
        <v>40436</v>
      </c>
      <c r="O12380" t="s">
        <v>40437</v>
      </c>
      <c r="Q12380">
        <v>44</v>
      </c>
      <c r="R12380" t="s">
        <v>40456</v>
      </c>
      <c r="S12380" t="s">
        <v>41359</v>
      </c>
      <c r="T12380" t="s">
        <v>42190</v>
      </c>
      <c r="U12380" t="s">
        <v>52786</v>
      </c>
      <c r="V12380" t="s">
        <v>55204</v>
      </c>
      <c r="W12380" t="s">
        <v>40270</v>
      </c>
      <c r="X12380" t="s">
        <v>40458</v>
      </c>
    </row>
    <row r="12381" spans="1:24">
      <c r="A12381">
        <f>HYPERLINK("https://www.philgeps.gov.ph/GEPSNONPILOT/Tender/SplashBidNoticeAbstractUI.aspx?menuIndex=3&amp;refID=7017548&amp;Result=3","7017548")</f>
        <v>0</v>
      </c>
      <c r="B12381" t="s">
        <v>2597</v>
      </c>
      <c r="C12381" t="s">
        <v>14942</v>
      </c>
      <c r="D12381" t="s">
        <v>16195</v>
      </c>
      <c r="E12381" t="s">
        <v>27015</v>
      </c>
      <c r="F12381" t="s">
        <v>28198</v>
      </c>
      <c r="G12381" t="s">
        <v>28205</v>
      </c>
      <c r="H12381" t="s">
        <v>28214</v>
      </c>
      <c r="I12381" t="s">
        <v>3797</v>
      </c>
      <c r="J12381" t="s">
        <v>28379</v>
      </c>
      <c r="K12381" t="s">
        <v>36711</v>
      </c>
      <c r="M12381" t="s">
        <v>39813</v>
      </c>
      <c r="N12381" t="s">
        <v>40436</v>
      </c>
      <c r="O12381" t="s">
        <v>40437</v>
      </c>
      <c r="P12381">
        <v>0</v>
      </c>
      <c r="Q12381">
        <v>0</v>
      </c>
      <c r="R12381" t="s">
        <v>40456</v>
      </c>
      <c r="S12381" t="s">
        <v>41338</v>
      </c>
      <c r="T12381" t="s">
        <v>42233</v>
      </c>
      <c r="U12381" t="s">
        <v>52787</v>
      </c>
      <c r="W12381" t="s">
        <v>39813</v>
      </c>
      <c r="X12381" t="s">
        <v>40457</v>
      </c>
    </row>
    <row r="12382" spans="1:24">
      <c r="A12382">
        <f>HYPERLINK("https://www.philgeps.gov.ph/GEPSNONPILOT/Tender/SplashBidNoticeAbstractUI.aspx?menuIndex=3&amp;refID=7016606&amp;Result=3","7016606")</f>
        <v>0</v>
      </c>
      <c r="B12382" t="s">
        <v>2942</v>
      </c>
      <c r="C12382" t="s">
        <v>14943</v>
      </c>
      <c r="D12382" t="s">
        <v>16239</v>
      </c>
      <c r="E12382" t="s">
        <v>27016</v>
      </c>
      <c r="F12382" t="s">
        <v>28198</v>
      </c>
      <c r="G12382" t="s">
        <v>28205</v>
      </c>
      <c r="H12382" t="s">
        <v>28214</v>
      </c>
      <c r="I12382" t="s">
        <v>28235</v>
      </c>
      <c r="J12382" t="s">
        <v>35947</v>
      </c>
      <c r="K12382" t="s">
        <v>36692</v>
      </c>
      <c r="M12382" t="s">
        <v>40225</v>
      </c>
      <c r="N12382" t="s">
        <v>40436</v>
      </c>
      <c r="O12382" t="s">
        <v>40437</v>
      </c>
      <c r="Q12382">
        <v>0</v>
      </c>
      <c r="R12382" t="s">
        <v>40456</v>
      </c>
      <c r="S12382" t="s">
        <v>41360</v>
      </c>
      <c r="T12382" t="s">
        <v>42119</v>
      </c>
      <c r="U12382" t="s">
        <v>52788</v>
      </c>
      <c r="W12382" t="s">
        <v>40225</v>
      </c>
      <c r="X12382" t="s">
        <v>40457</v>
      </c>
    </row>
    <row r="12383" spans="1:24">
      <c r="A12383">
        <f>HYPERLINK("https://www.philgeps.gov.ph/GEPSNONPILOT/Tender/SplashBidNoticeAbstractUI.aspx?menuIndex=3&amp;refID=7017478&amp;Result=3","7017478")</f>
        <v>0</v>
      </c>
      <c r="B12383" t="s">
        <v>752</v>
      </c>
      <c r="C12383" t="s">
        <v>14944</v>
      </c>
      <c r="D12383" t="s">
        <v>16216</v>
      </c>
      <c r="E12383" t="s">
        <v>27017</v>
      </c>
      <c r="F12383" t="s">
        <v>28198</v>
      </c>
      <c r="G12383" t="s">
        <v>28205</v>
      </c>
      <c r="H12383" t="s">
        <v>28214</v>
      </c>
      <c r="I12383" t="s">
        <v>3797</v>
      </c>
      <c r="J12383" t="s">
        <v>29159</v>
      </c>
      <c r="K12383" t="s">
        <v>36713</v>
      </c>
      <c r="M12383" t="s">
        <v>37755</v>
      </c>
      <c r="N12383" t="s">
        <v>40436</v>
      </c>
      <c r="O12383" t="s">
        <v>40437</v>
      </c>
      <c r="P12383">
        <v>0</v>
      </c>
      <c r="Q12383">
        <v>2</v>
      </c>
      <c r="R12383" t="s">
        <v>40456</v>
      </c>
      <c r="S12383" t="s">
        <v>41338</v>
      </c>
      <c r="T12383" t="s">
        <v>42175</v>
      </c>
      <c r="U12383" t="s">
        <v>52789</v>
      </c>
      <c r="W12383" t="s">
        <v>37755</v>
      </c>
      <c r="X12383" t="s">
        <v>40457</v>
      </c>
    </row>
    <row r="12384" spans="1:24">
      <c r="A12384">
        <f>HYPERLINK("https://www.philgeps.gov.ph/GEPSNONPILOT/Tender/SplashBidNoticeAbstractUI.aspx?menuIndex=3&amp;refID=7017770&amp;Result=3","7017770")</f>
        <v>0</v>
      </c>
      <c r="B12384" t="s">
        <v>2079</v>
      </c>
      <c r="C12384" t="s">
        <v>14945</v>
      </c>
      <c r="D12384" t="s">
        <v>16217</v>
      </c>
      <c r="E12384" t="s">
        <v>27018</v>
      </c>
      <c r="F12384" t="s">
        <v>28198</v>
      </c>
      <c r="G12384" t="s">
        <v>28205</v>
      </c>
      <c r="H12384" t="s">
        <v>28215</v>
      </c>
      <c r="I12384" t="s">
        <v>5100</v>
      </c>
      <c r="J12384" t="s">
        <v>35948</v>
      </c>
      <c r="K12384" t="s">
        <v>36707</v>
      </c>
      <c r="M12384" t="s">
        <v>40276</v>
      </c>
      <c r="N12384" t="s">
        <v>40436</v>
      </c>
      <c r="O12384" t="s">
        <v>40437</v>
      </c>
      <c r="P12384">
        <v>0</v>
      </c>
      <c r="Q12384">
        <v>0</v>
      </c>
      <c r="R12384" t="s">
        <v>40456</v>
      </c>
      <c r="S12384" t="s">
        <v>41338</v>
      </c>
      <c r="T12384" t="s">
        <v>42103</v>
      </c>
      <c r="U12384" t="s">
        <v>45873</v>
      </c>
      <c r="W12384" t="s">
        <v>40276</v>
      </c>
      <c r="X12384" t="s">
        <v>40457</v>
      </c>
    </row>
    <row r="12385" spans="1:24">
      <c r="A12385">
        <f>HYPERLINK("https://www.philgeps.gov.ph/GEPSNONPILOT/Tender/SplashBidNoticeAbstractUI.aspx?menuIndex=3&amp;refID=7016683&amp;Result=3","7016683")</f>
        <v>0</v>
      </c>
      <c r="B12385" t="s">
        <v>1068</v>
      </c>
      <c r="C12385" t="s">
        <v>14946</v>
      </c>
      <c r="D12385" t="s">
        <v>16258</v>
      </c>
      <c r="E12385" t="s">
        <v>27019</v>
      </c>
      <c r="F12385" t="s">
        <v>28198</v>
      </c>
      <c r="G12385" t="s">
        <v>28205</v>
      </c>
      <c r="H12385" t="s">
        <v>28214</v>
      </c>
      <c r="I12385" t="s">
        <v>3797</v>
      </c>
      <c r="J12385" t="s">
        <v>35949</v>
      </c>
      <c r="K12385" t="s">
        <v>36689</v>
      </c>
      <c r="M12385" t="s">
        <v>38101</v>
      </c>
      <c r="N12385" t="s">
        <v>40436</v>
      </c>
      <c r="O12385" t="s">
        <v>40437</v>
      </c>
      <c r="P12385">
        <v>0</v>
      </c>
      <c r="Q12385">
        <v>1</v>
      </c>
      <c r="R12385" t="s">
        <v>40456</v>
      </c>
      <c r="S12385" t="s">
        <v>41338</v>
      </c>
      <c r="T12385" t="s">
        <v>42160</v>
      </c>
      <c r="U12385" t="s">
        <v>52790</v>
      </c>
      <c r="W12385" t="s">
        <v>38101</v>
      </c>
      <c r="X12385" t="s">
        <v>40457</v>
      </c>
    </row>
    <row r="12386" spans="1:24">
      <c r="A12386">
        <f>HYPERLINK("https://www.philgeps.gov.ph/GEPSNONPILOT/Tender/SplashBidNoticeAbstractUI.aspx?menuIndex=3&amp;refID=7016602&amp;Result=3","7016602")</f>
        <v>0</v>
      </c>
      <c r="B12386" t="s">
        <v>1068</v>
      </c>
      <c r="C12386" t="s">
        <v>14947</v>
      </c>
      <c r="D12386" t="s">
        <v>16258</v>
      </c>
      <c r="E12386" t="s">
        <v>27020</v>
      </c>
      <c r="F12386" t="s">
        <v>28198</v>
      </c>
      <c r="G12386" t="s">
        <v>28205</v>
      </c>
      <c r="H12386" t="s">
        <v>28214</v>
      </c>
      <c r="I12386" t="s">
        <v>3797</v>
      </c>
      <c r="J12386" t="s">
        <v>35950</v>
      </c>
      <c r="K12386" t="s">
        <v>36689</v>
      </c>
      <c r="M12386" t="s">
        <v>38101</v>
      </c>
      <c r="N12386" t="s">
        <v>40436</v>
      </c>
      <c r="O12386" t="s">
        <v>40437</v>
      </c>
      <c r="P12386">
        <v>0</v>
      </c>
      <c r="Q12386">
        <v>1</v>
      </c>
      <c r="R12386" t="s">
        <v>40456</v>
      </c>
      <c r="S12386" t="s">
        <v>41338</v>
      </c>
      <c r="T12386" t="s">
        <v>42160</v>
      </c>
      <c r="U12386" t="s">
        <v>52791</v>
      </c>
      <c r="W12386" t="s">
        <v>38101</v>
      </c>
      <c r="X12386" t="s">
        <v>40457</v>
      </c>
    </row>
    <row r="12387" spans="1:24">
      <c r="A12387">
        <f>HYPERLINK("https://www.philgeps.gov.ph/GEPSNONPILOT/Tender/SplashBidNoticeAbstractUI.aspx?menuIndex=3&amp;refID=7017810&amp;Result=3","7017810")</f>
        <v>0</v>
      </c>
      <c r="B12387" t="s">
        <v>2079</v>
      </c>
      <c r="C12387" t="s">
        <v>14948</v>
      </c>
      <c r="D12387" t="s">
        <v>16217</v>
      </c>
      <c r="E12387" t="s">
        <v>27021</v>
      </c>
      <c r="F12387" t="s">
        <v>28198</v>
      </c>
      <c r="G12387" t="s">
        <v>28205</v>
      </c>
      <c r="H12387" t="s">
        <v>28215</v>
      </c>
      <c r="I12387" t="s">
        <v>28231</v>
      </c>
      <c r="J12387" t="s">
        <v>35951</v>
      </c>
      <c r="K12387" t="s">
        <v>36707</v>
      </c>
      <c r="M12387" t="s">
        <v>40276</v>
      </c>
      <c r="N12387" t="s">
        <v>40436</v>
      </c>
      <c r="O12387" t="s">
        <v>40437</v>
      </c>
      <c r="P12387">
        <v>0</v>
      </c>
      <c r="Q12387">
        <v>2</v>
      </c>
      <c r="R12387" t="s">
        <v>40456</v>
      </c>
      <c r="S12387" t="s">
        <v>41338</v>
      </c>
      <c r="T12387" t="s">
        <v>42103</v>
      </c>
      <c r="U12387" t="s">
        <v>52792</v>
      </c>
      <c r="W12387" t="s">
        <v>40276</v>
      </c>
      <c r="X12387" t="s">
        <v>40457</v>
      </c>
    </row>
    <row r="12388" spans="1:24">
      <c r="A12388">
        <f>HYPERLINK("https://www.philgeps.gov.ph/GEPSNONPILOT/Tender/SplashBidNoticeAbstractUI.aspx?menuIndex=3&amp;refID=7017786&amp;Result=3","7017786")</f>
        <v>0</v>
      </c>
      <c r="B12388" t="s">
        <v>381</v>
      </c>
      <c r="C12388" t="s">
        <v>14949</v>
      </c>
      <c r="D12388" t="s">
        <v>16203</v>
      </c>
      <c r="E12388" t="s">
        <v>27022</v>
      </c>
      <c r="F12388" t="s">
        <v>28198</v>
      </c>
      <c r="G12388" t="s">
        <v>28205</v>
      </c>
      <c r="H12388" t="s">
        <v>28214</v>
      </c>
      <c r="I12388" t="s">
        <v>3797</v>
      </c>
      <c r="J12388" t="s">
        <v>35952</v>
      </c>
      <c r="K12388" t="s">
        <v>36697</v>
      </c>
      <c r="M12388" t="s">
        <v>39833</v>
      </c>
      <c r="N12388" t="s">
        <v>40436</v>
      </c>
      <c r="O12388" t="s">
        <v>40437</v>
      </c>
      <c r="P12388">
        <v>0</v>
      </c>
      <c r="Q12388">
        <v>0</v>
      </c>
      <c r="R12388" t="s">
        <v>40456</v>
      </c>
      <c r="S12388" t="s">
        <v>41338</v>
      </c>
      <c r="T12388" t="s">
        <v>42133</v>
      </c>
      <c r="U12388" t="s">
        <v>52783</v>
      </c>
      <c r="V12388" t="s">
        <v>55072</v>
      </c>
      <c r="W12388" t="s">
        <v>39833</v>
      </c>
      <c r="X12388" t="s">
        <v>40457</v>
      </c>
    </row>
    <row r="12389" spans="1:24">
      <c r="A12389">
        <f>HYPERLINK("https://www.philgeps.gov.ph/GEPSNONPILOT/Tender/SplashBidNoticeAbstractUI.aspx?menuIndex=3&amp;refID=7017520&amp;Result=3","7017520")</f>
        <v>0</v>
      </c>
      <c r="B12389" t="s">
        <v>1225</v>
      </c>
      <c r="C12389" t="s">
        <v>14950</v>
      </c>
      <c r="D12389" t="s">
        <v>16236</v>
      </c>
      <c r="E12389" t="s">
        <v>27023</v>
      </c>
      <c r="F12389" t="s">
        <v>28198</v>
      </c>
      <c r="G12389" t="s">
        <v>28205</v>
      </c>
      <c r="H12389" t="s">
        <v>28214</v>
      </c>
      <c r="I12389" t="s">
        <v>3797</v>
      </c>
      <c r="J12389" t="s">
        <v>28415</v>
      </c>
      <c r="K12389" t="s">
        <v>36697</v>
      </c>
      <c r="M12389" t="s">
        <v>38273</v>
      </c>
      <c r="N12389" t="s">
        <v>40436</v>
      </c>
      <c r="O12389" t="s">
        <v>40437</v>
      </c>
      <c r="P12389">
        <v>0</v>
      </c>
      <c r="Q12389">
        <v>0</v>
      </c>
      <c r="R12389" t="s">
        <v>40456</v>
      </c>
      <c r="S12389" t="s">
        <v>41338</v>
      </c>
      <c r="T12389" t="s">
        <v>42129</v>
      </c>
      <c r="U12389" t="s">
        <v>52755</v>
      </c>
      <c r="V12389" t="s">
        <v>54111</v>
      </c>
      <c r="W12389" t="s">
        <v>38273</v>
      </c>
      <c r="X12389" t="s">
        <v>40457</v>
      </c>
    </row>
    <row r="12390" spans="1:24">
      <c r="A12390">
        <f>HYPERLINK("https://www.philgeps.gov.ph/GEPSNONPILOT/Tender/SplashBidNoticeAbstractUI.aspx?menuIndex=3&amp;refID=7016149&amp;Result=3","7016149")</f>
        <v>0</v>
      </c>
      <c r="B12390" t="s">
        <v>1068</v>
      </c>
      <c r="C12390" t="s">
        <v>14951</v>
      </c>
      <c r="D12390" t="s">
        <v>16258</v>
      </c>
      <c r="E12390" t="s">
        <v>27024</v>
      </c>
      <c r="F12390" t="s">
        <v>28198</v>
      </c>
      <c r="G12390" t="s">
        <v>28205</v>
      </c>
      <c r="H12390" t="s">
        <v>28214</v>
      </c>
      <c r="I12390" t="s">
        <v>3797</v>
      </c>
      <c r="J12390" t="s">
        <v>35953</v>
      </c>
      <c r="K12390" t="s">
        <v>36689</v>
      </c>
      <c r="M12390" t="s">
        <v>38101</v>
      </c>
      <c r="N12390" t="s">
        <v>40436</v>
      </c>
      <c r="O12390" t="s">
        <v>40437</v>
      </c>
      <c r="P12390">
        <v>0</v>
      </c>
      <c r="Q12390">
        <v>2</v>
      </c>
      <c r="R12390" t="s">
        <v>40456</v>
      </c>
      <c r="S12390" t="s">
        <v>41338</v>
      </c>
      <c r="T12390" t="s">
        <v>42160</v>
      </c>
      <c r="U12390" t="s">
        <v>52793</v>
      </c>
      <c r="W12390" t="s">
        <v>38101</v>
      </c>
      <c r="X12390" t="s">
        <v>40458</v>
      </c>
    </row>
    <row r="12391" spans="1:24">
      <c r="A12391">
        <f>HYPERLINK("https://www.philgeps.gov.ph/GEPSNONPILOT/Tender/SplashBidNoticeAbstractUI.aspx?menuIndex=3&amp;refID=7017811&amp;Result=3","7017811")</f>
        <v>0</v>
      </c>
      <c r="B12391" t="s">
        <v>381</v>
      </c>
      <c r="C12391" t="s">
        <v>14952</v>
      </c>
      <c r="D12391" t="s">
        <v>16203</v>
      </c>
      <c r="E12391" t="s">
        <v>27025</v>
      </c>
      <c r="F12391" t="s">
        <v>28198</v>
      </c>
      <c r="G12391" t="s">
        <v>28205</v>
      </c>
      <c r="H12391" t="s">
        <v>28214</v>
      </c>
      <c r="I12391" t="s">
        <v>3797</v>
      </c>
      <c r="J12391" t="s">
        <v>35954</v>
      </c>
      <c r="K12391" t="s">
        <v>36694</v>
      </c>
      <c r="M12391" t="s">
        <v>39833</v>
      </c>
      <c r="N12391" t="s">
        <v>40436</v>
      </c>
      <c r="O12391" t="s">
        <v>40437</v>
      </c>
      <c r="P12391">
        <v>0</v>
      </c>
      <c r="Q12391">
        <v>0</v>
      </c>
      <c r="R12391" t="s">
        <v>40456</v>
      </c>
      <c r="S12391" t="s">
        <v>41338</v>
      </c>
      <c r="T12391" t="s">
        <v>42133</v>
      </c>
      <c r="U12391" t="s">
        <v>52745</v>
      </c>
      <c r="V12391" t="s">
        <v>55072</v>
      </c>
      <c r="W12391" t="s">
        <v>39833</v>
      </c>
      <c r="X12391" t="s">
        <v>40457</v>
      </c>
    </row>
    <row r="12392" spans="1:24">
      <c r="A12392">
        <f>HYPERLINK("https://www.philgeps.gov.ph/GEPSNONPILOT/Tender/SplashBidNoticeAbstractUI.aspx?menuIndex=3&amp;refID=7017946&amp;Result=3","7017946")</f>
        <v>0</v>
      </c>
      <c r="B12392" t="s">
        <v>2795</v>
      </c>
      <c r="C12392" t="s">
        <v>14953</v>
      </c>
      <c r="D12392" t="s">
        <v>16244</v>
      </c>
      <c r="E12392" t="s">
        <v>26906</v>
      </c>
      <c r="F12392" t="s">
        <v>28198</v>
      </c>
      <c r="G12392" t="s">
        <v>28205</v>
      </c>
      <c r="H12392" t="s">
        <v>28217</v>
      </c>
      <c r="I12392" t="s">
        <v>28220</v>
      </c>
      <c r="J12392" t="s">
        <v>35955</v>
      </c>
      <c r="K12392" t="s">
        <v>36715</v>
      </c>
      <c r="M12392" t="s">
        <v>40044</v>
      </c>
      <c r="N12392" t="s">
        <v>40436</v>
      </c>
      <c r="O12392" t="s">
        <v>40437</v>
      </c>
      <c r="Q12392">
        <v>20</v>
      </c>
      <c r="R12392" t="s">
        <v>40456</v>
      </c>
      <c r="S12392" t="s">
        <v>41361</v>
      </c>
      <c r="T12392" t="s">
        <v>42169</v>
      </c>
      <c r="U12392" t="s">
        <v>52794</v>
      </c>
      <c r="W12392" t="s">
        <v>40044</v>
      </c>
      <c r="X12392" t="s">
        <v>40457</v>
      </c>
    </row>
    <row r="12393" spans="1:24">
      <c r="A12393">
        <f>HYPERLINK("https://www.philgeps.gov.ph/GEPSNONPILOT/Tender/SplashBidNoticeAbstractUI.aspx?menuIndex=3&amp;refID=7017966&amp;Result=3","7017966")</f>
        <v>0</v>
      </c>
      <c r="B12393" t="s">
        <v>2452</v>
      </c>
      <c r="C12393" t="s">
        <v>14954</v>
      </c>
      <c r="D12393" t="s">
        <v>16264</v>
      </c>
      <c r="E12393" t="s">
        <v>27026</v>
      </c>
      <c r="F12393" t="s">
        <v>28198</v>
      </c>
      <c r="G12393" t="s">
        <v>28205</v>
      </c>
      <c r="H12393" t="s">
        <v>28214</v>
      </c>
      <c r="I12393" t="s">
        <v>3797</v>
      </c>
      <c r="J12393" t="s">
        <v>35956</v>
      </c>
      <c r="K12393" t="s">
        <v>36697</v>
      </c>
      <c r="M12393" t="s">
        <v>39643</v>
      </c>
      <c r="N12393" t="s">
        <v>40436</v>
      </c>
      <c r="O12393" t="s">
        <v>40437</v>
      </c>
      <c r="Q12393">
        <v>0</v>
      </c>
      <c r="R12393" t="s">
        <v>40456</v>
      </c>
      <c r="S12393" t="s">
        <v>41362</v>
      </c>
      <c r="T12393" t="s">
        <v>42158</v>
      </c>
      <c r="U12393" t="s">
        <v>49555</v>
      </c>
      <c r="W12393" t="s">
        <v>39643</v>
      </c>
      <c r="X12393" t="s">
        <v>40457</v>
      </c>
    </row>
    <row r="12394" spans="1:24">
      <c r="A12394">
        <f>HYPERLINK("https://www.philgeps.gov.ph/GEPSNONPILOT/Tender/SplashBidNoticeAbstractUI.aspx?menuIndex=3&amp;refID=7017913&amp;Result=3","7017913")</f>
        <v>0</v>
      </c>
      <c r="B12394" t="s">
        <v>2982</v>
      </c>
      <c r="C12394" t="s">
        <v>14955</v>
      </c>
      <c r="D12394" t="s">
        <v>16242</v>
      </c>
      <c r="E12394" t="s">
        <v>27027</v>
      </c>
      <c r="F12394" t="s">
        <v>28198</v>
      </c>
      <c r="G12394" t="s">
        <v>28205</v>
      </c>
      <c r="H12394" t="s">
        <v>28214</v>
      </c>
      <c r="I12394" t="s">
        <v>3797</v>
      </c>
      <c r="J12394" t="s">
        <v>35957</v>
      </c>
      <c r="K12394" t="s">
        <v>36777</v>
      </c>
      <c r="M12394" t="s">
        <v>40274</v>
      </c>
      <c r="N12394" t="s">
        <v>40436</v>
      </c>
      <c r="O12394" t="s">
        <v>40437</v>
      </c>
      <c r="P12394">
        <v>0</v>
      </c>
      <c r="Q12394">
        <v>0</v>
      </c>
      <c r="R12394" t="s">
        <v>40456</v>
      </c>
      <c r="S12394" t="s">
        <v>41338</v>
      </c>
      <c r="T12394" t="s">
        <v>42133</v>
      </c>
      <c r="U12394" t="s">
        <v>52779</v>
      </c>
      <c r="W12394" t="s">
        <v>40274</v>
      </c>
      <c r="X12394" t="s">
        <v>40457</v>
      </c>
    </row>
    <row r="12395" spans="1:24">
      <c r="A12395">
        <f>HYPERLINK("https://www.philgeps.gov.ph/GEPSNONPILOT/Tender/SplashBidNoticeAbstractUI.aspx?menuIndex=3&amp;refID=7017782&amp;Result=3","7017782")</f>
        <v>0</v>
      </c>
      <c r="B12395" t="s">
        <v>2982</v>
      </c>
      <c r="C12395" t="s">
        <v>14956</v>
      </c>
      <c r="D12395" t="s">
        <v>16242</v>
      </c>
      <c r="E12395" t="s">
        <v>27028</v>
      </c>
      <c r="F12395" t="s">
        <v>28198</v>
      </c>
      <c r="G12395" t="s">
        <v>28205</v>
      </c>
      <c r="H12395" t="s">
        <v>28214</v>
      </c>
      <c r="I12395" t="s">
        <v>3797</v>
      </c>
      <c r="J12395" t="s">
        <v>35958</v>
      </c>
      <c r="K12395" t="s">
        <v>36766</v>
      </c>
      <c r="M12395" t="s">
        <v>40274</v>
      </c>
      <c r="N12395" t="s">
        <v>40436</v>
      </c>
      <c r="O12395" t="s">
        <v>40437</v>
      </c>
      <c r="P12395">
        <v>0</v>
      </c>
      <c r="Q12395">
        <v>0</v>
      </c>
      <c r="R12395" t="s">
        <v>40456</v>
      </c>
      <c r="S12395" t="s">
        <v>41338</v>
      </c>
      <c r="T12395" t="s">
        <v>42133</v>
      </c>
      <c r="U12395" t="s">
        <v>52779</v>
      </c>
      <c r="W12395" t="s">
        <v>40274</v>
      </c>
      <c r="X12395" t="s">
        <v>40457</v>
      </c>
    </row>
    <row r="12396" spans="1:24">
      <c r="A12396">
        <f>HYPERLINK("https://www.philgeps.gov.ph/GEPSNONPILOT/Tender/SplashBidNoticeAbstractUI.aspx?menuIndex=3&amp;refID=7017908&amp;Result=3","7017908")</f>
        <v>0</v>
      </c>
      <c r="B12396" t="s">
        <v>1264</v>
      </c>
      <c r="C12396" t="s">
        <v>14957</v>
      </c>
      <c r="D12396" t="s">
        <v>16209</v>
      </c>
      <c r="E12396" t="s">
        <v>27029</v>
      </c>
      <c r="F12396" t="s">
        <v>28198</v>
      </c>
      <c r="G12396" t="s">
        <v>28205</v>
      </c>
      <c r="H12396" t="s">
        <v>28215</v>
      </c>
      <c r="I12396" t="s">
        <v>8888</v>
      </c>
      <c r="J12396" t="s">
        <v>35959</v>
      </c>
      <c r="K12396" t="s">
        <v>36701</v>
      </c>
      <c r="M12396" t="s">
        <v>38314</v>
      </c>
      <c r="N12396" t="s">
        <v>40436</v>
      </c>
      <c r="O12396" t="s">
        <v>40437</v>
      </c>
      <c r="P12396">
        <v>0</v>
      </c>
      <c r="Q12396">
        <v>3</v>
      </c>
      <c r="R12396" t="s">
        <v>40456</v>
      </c>
      <c r="S12396" t="s">
        <v>41338</v>
      </c>
      <c r="T12396" t="s">
        <v>42134</v>
      </c>
      <c r="U12396" t="s">
        <v>47980</v>
      </c>
      <c r="W12396" t="s">
        <v>38314</v>
      </c>
      <c r="X12396" t="s">
        <v>40457</v>
      </c>
    </row>
    <row r="12397" spans="1:24">
      <c r="A12397">
        <f>HYPERLINK("https://www.philgeps.gov.ph/GEPSNONPILOT/Tender/SplashBidNoticeAbstractUI.aspx?menuIndex=3&amp;refID=7017935&amp;Result=3","7017935")</f>
        <v>0</v>
      </c>
      <c r="B12397" t="s">
        <v>2982</v>
      </c>
      <c r="C12397" t="s">
        <v>14958</v>
      </c>
      <c r="D12397" t="s">
        <v>16242</v>
      </c>
      <c r="E12397" t="s">
        <v>27030</v>
      </c>
      <c r="F12397" t="s">
        <v>28198</v>
      </c>
      <c r="G12397" t="s">
        <v>28205</v>
      </c>
      <c r="H12397" t="s">
        <v>28214</v>
      </c>
      <c r="I12397" t="s">
        <v>3797</v>
      </c>
      <c r="J12397" t="s">
        <v>35960</v>
      </c>
      <c r="K12397" t="s">
        <v>36692</v>
      </c>
      <c r="M12397" t="s">
        <v>40274</v>
      </c>
      <c r="N12397" t="s">
        <v>40436</v>
      </c>
      <c r="O12397" t="s">
        <v>40437</v>
      </c>
      <c r="P12397">
        <v>0</v>
      </c>
      <c r="Q12397">
        <v>0</v>
      </c>
      <c r="R12397" t="s">
        <v>40456</v>
      </c>
      <c r="S12397" t="s">
        <v>41338</v>
      </c>
      <c r="T12397" t="s">
        <v>42133</v>
      </c>
      <c r="U12397" t="s">
        <v>52779</v>
      </c>
      <c r="W12397" t="s">
        <v>40274</v>
      </c>
      <c r="X12397" t="s">
        <v>40457</v>
      </c>
    </row>
    <row r="12398" spans="1:24">
      <c r="A12398">
        <f>HYPERLINK("https://www.philgeps.gov.ph/GEPSNONPILOT/Tender/SplashBidNoticeAbstractUI.aspx?menuIndex=3&amp;refID=7017944&amp;Result=3","7017944")</f>
        <v>0</v>
      </c>
      <c r="B12398" t="s">
        <v>381</v>
      </c>
      <c r="C12398" t="s">
        <v>14959</v>
      </c>
      <c r="D12398" t="s">
        <v>16203</v>
      </c>
      <c r="E12398" t="s">
        <v>27031</v>
      </c>
      <c r="F12398" t="s">
        <v>28198</v>
      </c>
      <c r="G12398" t="s">
        <v>28205</v>
      </c>
      <c r="H12398" t="s">
        <v>28214</v>
      </c>
      <c r="I12398" t="s">
        <v>3797</v>
      </c>
      <c r="J12398" t="s">
        <v>35961</v>
      </c>
      <c r="K12398" t="s">
        <v>36694</v>
      </c>
      <c r="M12398" t="s">
        <v>39833</v>
      </c>
      <c r="N12398" t="s">
        <v>40436</v>
      </c>
      <c r="O12398" t="s">
        <v>40437</v>
      </c>
      <c r="P12398">
        <v>0</v>
      </c>
      <c r="Q12398">
        <v>0</v>
      </c>
      <c r="R12398" t="s">
        <v>40456</v>
      </c>
      <c r="S12398" t="s">
        <v>41338</v>
      </c>
      <c r="T12398" t="s">
        <v>42133</v>
      </c>
      <c r="U12398" t="s">
        <v>52783</v>
      </c>
      <c r="V12398" t="s">
        <v>55072</v>
      </c>
      <c r="W12398" t="s">
        <v>39833</v>
      </c>
      <c r="X12398" t="s">
        <v>40457</v>
      </c>
    </row>
    <row r="12399" spans="1:24">
      <c r="A12399">
        <f>HYPERLINK("https://www.philgeps.gov.ph/GEPSNONPILOT/Tender/SplashBidNoticeAbstractUI.aspx?menuIndex=3&amp;refID=7017903&amp;Result=3","7017903")</f>
        <v>0</v>
      </c>
      <c r="B12399" t="s">
        <v>381</v>
      </c>
      <c r="C12399" t="s">
        <v>14960</v>
      </c>
      <c r="D12399" t="s">
        <v>16203</v>
      </c>
      <c r="E12399" t="s">
        <v>27032</v>
      </c>
      <c r="F12399" t="s">
        <v>28198</v>
      </c>
      <c r="G12399" t="s">
        <v>28205</v>
      </c>
      <c r="H12399" t="s">
        <v>28214</v>
      </c>
      <c r="I12399" t="s">
        <v>3797</v>
      </c>
      <c r="J12399" t="s">
        <v>35962</v>
      </c>
      <c r="K12399" t="s">
        <v>36724</v>
      </c>
      <c r="M12399" t="s">
        <v>39833</v>
      </c>
      <c r="N12399" t="s">
        <v>40436</v>
      </c>
      <c r="O12399" t="s">
        <v>40437</v>
      </c>
      <c r="P12399">
        <v>0</v>
      </c>
      <c r="Q12399">
        <v>1</v>
      </c>
      <c r="R12399" t="s">
        <v>40456</v>
      </c>
      <c r="S12399" t="s">
        <v>41338</v>
      </c>
      <c r="T12399" t="s">
        <v>42133</v>
      </c>
      <c r="U12399" t="s">
        <v>52783</v>
      </c>
      <c r="V12399" t="s">
        <v>55072</v>
      </c>
      <c r="W12399" t="s">
        <v>39833</v>
      </c>
      <c r="X12399" t="s">
        <v>40457</v>
      </c>
    </row>
    <row r="12400" spans="1:24">
      <c r="A12400">
        <f>HYPERLINK("https://www.philgeps.gov.ph/GEPSNONPILOT/Tender/SplashBidNoticeAbstractUI.aspx?menuIndex=3&amp;refID=7017888&amp;Result=3","7017888")</f>
        <v>0</v>
      </c>
      <c r="B12400" t="s">
        <v>2496</v>
      </c>
      <c r="C12400" t="s">
        <v>14961</v>
      </c>
      <c r="D12400" t="s">
        <v>16216</v>
      </c>
      <c r="E12400" t="s">
        <v>27033</v>
      </c>
      <c r="F12400" t="s">
        <v>28198</v>
      </c>
      <c r="G12400" t="s">
        <v>28205</v>
      </c>
      <c r="H12400" t="s">
        <v>28215</v>
      </c>
      <c r="I12400" t="s">
        <v>5100</v>
      </c>
      <c r="J12400" t="s">
        <v>32834</v>
      </c>
      <c r="K12400" t="s">
        <v>36707</v>
      </c>
      <c r="M12400" t="s">
        <v>39697</v>
      </c>
      <c r="N12400" t="s">
        <v>40436</v>
      </c>
      <c r="O12400" t="s">
        <v>40437</v>
      </c>
      <c r="P12400">
        <v>0</v>
      </c>
      <c r="Q12400">
        <v>2</v>
      </c>
      <c r="R12400" t="s">
        <v>40456</v>
      </c>
      <c r="S12400" t="s">
        <v>41338</v>
      </c>
      <c r="T12400" t="s">
        <v>42218</v>
      </c>
      <c r="U12400" t="s">
        <v>52795</v>
      </c>
      <c r="W12400" t="s">
        <v>39697</v>
      </c>
      <c r="X12400" t="s">
        <v>40457</v>
      </c>
    </row>
    <row r="12401" spans="1:24">
      <c r="A12401">
        <f>HYPERLINK("https://www.philgeps.gov.ph/GEPSNONPILOT/Tender/SplashBidNoticeAbstractUI.aspx?menuIndex=3&amp;refID=7017896&amp;Result=3","7017896")</f>
        <v>0</v>
      </c>
      <c r="B12401" t="s">
        <v>2033</v>
      </c>
      <c r="C12401" t="s">
        <v>14962</v>
      </c>
      <c r="E12401" t="s">
        <v>27034</v>
      </c>
      <c r="F12401" t="s">
        <v>28198</v>
      </c>
      <c r="G12401" t="s">
        <v>28205</v>
      </c>
      <c r="H12401" t="s">
        <v>28214</v>
      </c>
      <c r="I12401" t="s">
        <v>3797</v>
      </c>
      <c r="J12401" t="s">
        <v>35963</v>
      </c>
      <c r="K12401" t="s">
        <v>36689</v>
      </c>
      <c r="M12401" t="s">
        <v>39175</v>
      </c>
      <c r="N12401" t="s">
        <v>40436</v>
      </c>
      <c r="O12401" t="s">
        <v>40437</v>
      </c>
      <c r="Q12401">
        <v>50</v>
      </c>
      <c r="R12401" t="s">
        <v>40456</v>
      </c>
      <c r="S12401" t="s">
        <v>41363</v>
      </c>
      <c r="T12401" t="s">
        <v>42233</v>
      </c>
      <c r="U12401" t="s">
        <v>47923</v>
      </c>
      <c r="W12401" t="s">
        <v>55503</v>
      </c>
      <c r="X12401" t="s">
        <v>40457</v>
      </c>
    </row>
    <row r="12402" spans="1:24">
      <c r="A12402">
        <f>HYPERLINK("https://www.philgeps.gov.ph/GEPSNONPILOT/Tender/SplashBidNoticeAbstractUI.aspx?menuIndex=3&amp;refID=7017877&amp;Result=3","7017877")</f>
        <v>0</v>
      </c>
      <c r="B12402" t="s">
        <v>2033</v>
      </c>
      <c r="C12402" t="s">
        <v>14963</v>
      </c>
      <c r="E12402" t="s">
        <v>27035</v>
      </c>
      <c r="F12402" t="s">
        <v>28198</v>
      </c>
      <c r="G12402" t="s">
        <v>28205</v>
      </c>
      <c r="H12402" t="s">
        <v>28214</v>
      </c>
      <c r="I12402" t="s">
        <v>3797</v>
      </c>
      <c r="J12402" t="s">
        <v>35964</v>
      </c>
      <c r="K12402" t="s">
        <v>36689</v>
      </c>
      <c r="M12402" t="s">
        <v>39175</v>
      </c>
      <c r="N12402" t="s">
        <v>40436</v>
      </c>
      <c r="O12402" t="s">
        <v>40437</v>
      </c>
      <c r="Q12402">
        <v>44</v>
      </c>
      <c r="R12402" t="s">
        <v>40456</v>
      </c>
      <c r="S12402" t="s">
        <v>41364</v>
      </c>
      <c r="T12402" t="s">
        <v>42234</v>
      </c>
      <c r="U12402" t="s">
        <v>47923</v>
      </c>
      <c r="W12402" t="s">
        <v>55503</v>
      </c>
      <c r="X12402" t="s">
        <v>40457</v>
      </c>
    </row>
    <row r="12403" spans="1:24">
      <c r="A12403">
        <f>HYPERLINK("https://www.philgeps.gov.ph/GEPSNONPILOT/Tender/SplashBidNoticeAbstractUI.aspx?menuIndex=3&amp;refID=7017890&amp;Result=3","7017890")</f>
        <v>0</v>
      </c>
      <c r="B12403" t="s">
        <v>2982</v>
      </c>
      <c r="C12403" t="s">
        <v>14964</v>
      </c>
      <c r="D12403" t="s">
        <v>16242</v>
      </c>
      <c r="E12403" t="s">
        <v>27036</v>
      </c>
      <c r="F12403" t="s">
        <v>28198</v>
      </c>
      <c r="G12403" t="s">
        <v>28205</v>
      </c>
      <c r="H12403" t="s">
        <v>28214</v>
      </c>
      <c r="I12403" t="s">
        <v>3797</v>
      </c>
      <c r="J12403" t="s">
        <v>35965</v>
      </c>
      <c r="K12403" t="s">
        <v>36714</v>
      </c>
      <c r="M12403" t="s">
        <v>40274</v>
      </c>
      <c r="N12403" t="s">
        <v>40436</v>
      </c>
      <c r="O12403" t="s">
        <v>40437</v>
      </c>
      <c r="P12403">
        <v>0</v>
      </c>
      <c r="Q12403">
        <v>0</v>
      </c>
      <c r="R12403" t="s">
        <v>40456</v>
      </c>
      <c r="S12403" t="s">
        <v>41338</v>
      </c>
      <c r="T12403" t="s">
        <v>42133</v>
      </c>
      <c r="U12403" t="s">
        <v>52779</v>
      </c>
      <c r="W12403" t="s">
        <v>40274</v>
      </c>
      <c r="X12403" t="s">
        <v>40457</v>
      </c>
    </row>
    <row r="12404" spans="1:24">
      <c r="A12404">
        <f>HYPERLINK("https://www.philgeps.gov.ph/GEPSNONPILOT/Tender/SplashBidNoticeAbstractUI.aspx?menuIndex=3&amp;refID=7018800&amp;Result=3","7018800")</f>
        <v>0</v>
      </c>
      <c r="B12404" t="s">
        <v>2550</v>
      </c>
      <c r="C12404" t="s">
        <v>14965</v>
      </c>
      <c r="D12404" t="s">
        <v>16246</v>
      </c>
      <c r="E12404" t="s">
        <v>27037</v>
      </c>
      <c r="F12404" t="s">
        <v>28198</v>
      </c>
      <c r="G12404" t="s">
        <v>28205</v>
      </c>
      <c r="H12404" t="s">
        <v>28214</v>
      </c>
      <c r="I12404" t="s">
        <v>3797</v>
      </c>
      <c r="J12404" t="s">
        <v>35966</v>
      </c>
      <c r="K12404" t="s">
        <v>36697</v>
      </c>
      <c r="M12404" t="s">
        <v>39761</v>
      </c>
      <c r="N12404" t="s">
        <v>40436</v>
      </c>
      <c r="O12404" t="s">
        <v>40437</v>
      </c>
      <c r="Q12404">
        <v>2</v>
      </c>
      <c r="R12404" t="s">
        <v>40455</v>
      </c>
      <c r="S12404" t="s">
        <v>41365</v>
      </c>
      <c r="T12404" t="s">
        <v>42103</v>
      </c>
      <c r="U12404" t="s">
        <v>52796</v>
      </c>
      <c r="W12404" t="s">
        <v>39761</v>
      </c>
      <c r="X12404" t="s">
        <v>40456</v>
      </c>
    </row>
    <row r="12405" spans="1:24">
      <c r="A12405">
        <f>HYPERLINK("https://www.philgeps.gov.ph/GEPSNONPILOT/Tender/SplashBidNoticeAbstractUI.aspx?menuIndex=3&amp;refID=7017938&amp;Result=3","7017938")</f>
        <v>0</v>
      </c>
      <c r="B12405" t="s">
        <v>2452</v>
      </c>
      <c r="C12405" t="s">
        <v>14966</v>
      </c>
      <c r="D12405" t="s">
        <v>16264</v>
      </c>
      <c r="E12405" t="s">
        <v>27038</v>
      </c>
      <c r="F12405" t="s">
        <v>28198</v>
      </c>
      <c r="G12405" t="s">
        <v>28205</v>
      </c>
      <c r="H12405" t="s">
        <v>28214</v>
      </c>
      <c r="I12405" t="s">
        <v>3797</v>
      </c>
      <c r="J12405" t="s">
        <v>29632</v>
      </c>
      <c r="K12405" t="s">
        <v>36697</v>
      </c>
      <c r="M12405" t="s">
        <v>39643</v>
      </c>
      <c r="N12405" t="s">
        <v>40436</v>
      </c>
      <c r="O12405" t="s">
        <v>40437</v>
      </c>
      <c r="Q12405">
        <v>0</v>
      </c>
      <c r="R12405" t="s">
        <v>40456</v>
      </c>
      <c r="S12405" t="s">
        <v>41366</v>
      </c>
      <c r="T12405" t="s">
        <v>42158</v>
      </c>
      <c r="U12405" t="s">
        <v>49555</v>
      </c>
      <c r="W12405" t="s">
        <v>39643</v>
      </c>
      <c r="X12405" t="s">
        <v>40457</v>
      </c>
    </row>
    <row r="12406" spans="1:24">
      <c r="A12406">
        <f>HYPERLINK("https://www.philgeps.gov.ph/GEPSNONPILOT/Tender/SplashBidNoticeAbstractUI.aspx?menuIndex=3&amp;refID=7016232&amp;Result=3","7016232")</f>
        <v>0</v>
      </c>
      <c r="B12406" t="s">
        <v>2979</v>
      </c>
      <c r="C12406" t="s">
        <v>14967</v>
      </c>
      <c r="D12406" t="s">
        <v>16203</v>
      </c>
      <c r="E12406" t="s">
        <v>23723</v>
      </c>
      <c r="F12406" t="s">
        <v>28198</v>
      </c>
      <c r="G12406" t="s">
        <v>28205</v>
      </c>
      <c r="H12406" t="s">
        <v>28214</v>
      </c>
      <c r="I12406" t="s">
        <v>3797</v>
      </c>
      <c r="J12406" t="s">
        <v>35967</v>
      </c>
      <c r="K12406" t="s">
        <v>36694</v>
      </c>
      <c r="M12406" t="s">
        <v>40270</v>
      </c>
      <c r="N12406" t="s">
        <v>40436</v>
      </c>
      <c r="O12406" t="s">
        <v>40437</v>
      </c>
      <c r="Q12406">
        <v>51</v>
      </c>
      <c r="R12406" t="s">
        <v>40456</v>
      </c>
      <c r="S12406" t="s">
        <v>41367</v>
      </c>
      <c r="T12406" t="s">
        <v>42190</v>
      </c>
      <c r="U12406" t="s">
        <v>52797</v>
      </c>
      <c r="V12406" t="s">
        <v>55205</v>
      </c>
      <c r="W12406" t="s">
        <v>40270</v>
      </c>
      <c r="X12406" t="s">
        <v>40458</v>
      </c>
    </row>
    <row r="12407" spans="1:24">
      <c r="A12407">
        <f>HYPERLINK("https://www.philgeps.gov.ph/GEPSNONPILOT/Tender/SplashBidNoticeAbstractUI.aspx?menuIndex=3&amp;refID=7018782&amp;Result=3","7018782")</f>
        <v>0</v>
      </c>
      <c r="B12407" t="s">
        <v>2550</v>
      </c>
      <c r="C12407" t="s">
        <v>14968</v>
      </c>
      <c r="D12407" t="s">
        <v>16246</v>
      </c>
      <c r="E12407" t="s">
        <v>27039</v>
      </c>
      <c r="F12407" t="s">
        <v>28198</v>
      </c>
      <c r="G12407" t="s">
        <v>28205</v>
      </c>
      <c r="H12407" t="s">
        <v>28214</v>
      </c>
      <c r="I12407" t="s">
        <v>3797</v>
      </c>
      <c r="J12407" t="s">
        <v>35968</v>
      </c>
      <c r="K12407" t="s">
        <v>36692</v>
      </c>
      <c r="M12407" t="s">
        <v>39761</v>
      </c>
      <c r="N12407" t="s">
        <v>40436</v>
      </c>
      <c r="O12407" t="s">
        <v>40437</v>
      </c>
      <c r="Q12407">
        <v>2</v>
      </c>
      <c r="R12407" t="s">
        <v>40455</v>
      </c>
      <c r="S12407" t="s">
        <v>41368</v>
      </c>
      <c r="T12407" t="s">
        <v>42142</v>
      </c>
      <c r="U12407" t="s">
        <v>52798</v>
      </c>
      <c r="W12407" t="s">
        <v>39761</v>
      </c>
      <c r="X12407" t="s">
        <v>40456</v>
      </c>
    </row>
    <row r="12408" spans="1:24">
      <c r="A12408">
        <f>HYPERLINK("https://www.philgeps.gov.ph/GEPSNONPILOT/Tender/SplashBidNoticeAbstractUI.aspx?menuIndex=3&amp;refID=7017859&amp;Result=3","7017859")</f>
        <v>0</v>
      </c>
      <c r="B12408" t="s">
        <v>2033</v>
      </c>
      <c r="C12408" t="s">
        <v>14969</v>
      </c>
      <c r="E12408" t="s">
        <v>27040</v>
      </c>
      <c r="F12408" t="s">
        <v>28198</v>
      </c>
      <c r="G12408" t="s">
        <v>28205</v>
      </c>
      <c r="H12408" t="s">
        <v>28214</v>
      </c>
      <c r="I12408" t="s">
        <v>3797</v>
      </c>
      <c r="J12408" t="s">
        <v>35969</v>
      </c>
      <c r="K12408" t="s">
        <v>36689</v>
      </c>
      <c r="M12408" t="s">
        <v>39175</v>
      </c>
      <c r="N12408" t="s">
        <v>40436</v>
      </c>
      <c r="O12408" t="s">
        <v>40437</v>
      </c>
      <c r="Q12408">
        <v>60</v>
      </c>
      <c r="R12408" t="s">
        <v>40456</v>
      </c>
      <c r="S12408" t="s">
        <v>41369</v>
      </c>
      <c r="T12408" t="s">
        <v>42234</v>
      </c>
      <c r="U12408" t="s">
        <v>47923</v>
      </c>
      <c r="W12408" t="s">
        <v>55503</v>
      </c>
      <c r="X12408" t="s">
        <v>40457</v>
      </c>
    </row>
    <row r="12409" spans="1:24">
      <c r="A12409">
        <f>HYPERLINK("https://www.philgeps.gov.ph/GEPSNONPILOT/Tender/SplashBidNoticeAbstractUI.aspx?menuIndex=3&amp;refID=7017976&amp;Result=3","7017976")</f>
        <v>0</v>
      </c>
      <c r="B12409" t="s">
        <v>415</v>
      </c>
      <c r="C12409" t="s">
        <v>14970</v>
      </c>
      <c r="D12409" t="s">
        <v>16261</v>
      </c>
      <c r="E12409" t="s">
        <v>27041</v>
      </c>
      <c r="F12409" t="s">
        <v>28198</v>
      </c>
      <c r="G12409" t="s">
        <v>28205</v>
      </c>
      <c r="H12409" t="s">
        <v>28215</v>
      </c>
      <c r="I12409" t="s">
        <v>28251</v>
      </c>
      <c r="J12409" t="s">
        <v>35970</v>
      </c>
      <c r="K12409" t="s">
        <v>36687</v>
      </c>
      <c r="M12409" t="s">
        <v>37397</v>
      </c>
      <c r="N12409" t="s">
        <v>40436</v>
      </c>
      <c r="O12409" t="s">
        <v>40437</v>
      </c>
      <c r="P12409">
        <v>0</v>
      </c>
      <c r="Q12409">
        <v>9</v>
      </c>
      <c r="R12409" t="s">
        <v>40456</v>
      </c>
      <c r="S12409" t="s">
        <v>41338</v>
      </c>
      <c r="T12409" t="s">
        <v>42103</v>
      </c>
      <c r="U12409" t="s">
        <v>52799</v>
      </c>
      <c r="V12409" t="s">
        <v>55148</v>
      </c>
      <c r="W12409" t="s">
        <v>37397</v>
      </c>
      <c r="X12409" t="s">
        <v>40457</v>
      </c>
    </row>
    <row r="12410" spans="1:24">
      <c r="A12410">
        <f>HYPERLINK("https://www.philgeps.gov.ph/GEPSNONPILOT/Tender/SplashBidNoticeAbstractUI.aspx?menuIndex=3&amp;refID=7018101&amp;Result=3","7018101")</f>
        <v>0</v>
      </c>
      <c r="B12410" t="s">
        <v>381</v>
      </c>
      <c r="C12410" t="s">
        <v>14971</v>
      </c>
      <c r="D12410" t="s">
        <v>16203</v>
      </c>
      <c r="E12410" t="s">
        <v>27042</v>
      </c>
      <c r="F12410" t="s">
        <v>28198</v>
      </c>
      <c r="G12410" t="s">
        <v>28205</v>
      </c>
      <c r="H12410" t="s">
        <v>28214</v>
      </c>
      <c r="I12410" t="s">
        <v>3797</v>
      </c>
      <c r="J12410" t="s">
        <v>35971</v>
      </c>
      <c r="K12410" t="s">
        <v>36697</v>
      </c>
      <c r="M12410" t="s">
        <v>39833</v>
      </c>
      <c r="N12410" t="s">
        <v>40436</v>
      </c>
      <c r="O12410" t="s">
        <v>40437</v>
      </c>
      <c r="P12410">
        <v>0</v>
      </c>
      <c r="Q12410">
        <v>0</v>
      </c>
      <c r="R12410" t="s">
        <v>40456</v>
      </c>
      <c r="S12410" t="s">
        <v>41338</v>
      </c>
      <c r="T12410" t="s">
        <v>42112</v>
      </c>
      <c r="U12410" t="s">
        <v>52800</v>
      </c>
      <c r="V12410" t="s">
        <v>55072</v>
      </c>
      <c r="W12410" t="s">
        <v>39833</v>
      </c>
      <c r="X12410" t="s">
        <v>40457</v>
      </c>
    </row>
    <row r="12411" spans="1:24">
      <c r="A12411">
        <f>HYPERLINK("https://www.philgeps.gov.ph/GEPSNONPILOT/Tender/SplashBidNoticeAbstractUI.aspx?menuIndex=3&amp;refID=7018080&amp;Result=3","7018080")</f>
        <v>0</v>
      </c>
      <c r="B12411" t="s">
        <v>381</v>
      </c>
      <c r="C12411" t="s">
        <v>14972</v>
      </c>
      <c r="D12411" t="s">
        <v>16203</v>
      </c>
      <c r="E12411" t="s">
        <v>27043</v>
      </c>
      <c r="F12411" t="s">
        <v>28198</v>
      </c>
      <c r="G12411" t="s">
        <v>28205</v>
      </c>
      <c r="H12411" t="s">
        <v>28214</v>
      </c>
      <c r="I12411" t="s">
        <v>3797</v>
      </c>
      <c r="J12411" t="s">
        <v>35972</v>
      </c>
      <c r="K12411" t="s">
        <v>36709</v>
      </c>
      <c r="M12411" t="s">
        <v>39833</v>
      </c>
      <c r="N12411" t="s">
        <v>40436</v>
      </c>
      <c r="O12411" t="s">
        <v>40437</v>
      </c>
      <c r="P12411">
        <v>0</v>
      </c>
      <c r="Q12411">
        <v>0</v>
      </c>
      <c r="R12411" t="s">
        <v>40456</v>
      </c>
      <c r="S12411" t="s">
        <v>41338</v>
      </c>
      <c r="T12411" t="s">
        <v>42112</v>
      </c>
      <c r="U12411" t="s">
        <v>52783</v>
      </c>
      <c r="V12411" t="s">
        <v>55072</v>
      </c>
      <c r="W12411" t="s">
        <v>39833</v>
      </c>
      <c r="X12411" t="s">
        <v>40457</v>
      </c>
    </row>
    <row r="12412" spans="1:24">
      <c r="A12412">
        <f>HYPERLINK("https://www.philgeps.gov.ph/GEPSNONPILOT/Tender/SplashBidNoticeAbstractUI.aspx?menuIndex=3&amp;refID=7018092&amp;Result=3","7018092")</f>
        <v>0</v>
      </c>
      <c r="B12412" t="s">
        <v>381</v>
      </c>
      <c r="C12412" t="s">
        <v>14973</v>
      </c>
      <c r="D12412" t="s">
        <v>16203</v>
      </c>
      <c r="E12412" t="s">
        <v>27044</v>
      </c>
      <c r="F12412" t="s">
        <v>28198</v>
      </c>
      <c r="G12412" t="s">
        <v>28205</v>
      </c>
      <c r="H12412" t="s">
        <v>28214</v>
      </c>
      <c r="I12412" t="s">
        <v>3797</v>
      </c>
      <c r="J12412" t="s">
        <v>35973</v>
      </c>
      <c r="K12412" t="s">
        <v>36697</v>
      </c>
      <c r="M12412" t="s">
        <v>39833</v>
      </c>
      <c r="N12412" t="s">
        <v>40436</v>
      </c>
      <c r="O12412" t="s">
        <v>40437</v>
      </c>
      <c r="P12412">
        <v>0</v>
      </c>
      <c r="Q12412">
        <v>0</v>
      </c>
      <c r="R12412" t="s">
        <v>40456</v>
      </c>
      <c r="S12412" t="s">
        <v>41338</v>
      </c>
      <c r="T12412" t="s">
        <v>42112</v>
      </c>
      <c r="U12412" t="s">
        <v>52800</v>
      </c>
      <c r="V12412" t="s">
        <v>55072</v>
      </c>
      <c r="W12412" t="s">
        <v>39833</v>
      </c>
      <c r="X12412" t="s">
        <v>40457</v>
      </c>
    </row>
    <row r="12413" spans="1:24">
      <c r="A12413">
        <f>HYPERLINK("https://www.philgeps.gov.ph/GEPSNONPILOT/Tender/SplashBidNoticeAbstractUI.aspx?menuIndex=3&amp;refID=7018087&amp;Result=3","7018087")</f>
        <v>0</v>
      </c>
      <c r="B12413" t="s">
        <v>237</v>
      </c>
      <c r="C12413" t="s">
        <v>14974</v>
      </c>
      <c r="D12413" t="s">
        <v>16197</v>
      </c>
      <c r="E12413" t="s">
        <v>17596</v>
      </c>
      <c r="F12413" t="s">
        <v>28198</v>
      </c>
      <c r="G12413" t="s">
        <v>28205</v>
      </c>
      <c r="H12413" t="s">
        <v>28215</v>
      </c>
      <c r="I12413" t="s">
        <v>28222</v>
      </c>
      <c r="J12413" t="s">
        <v>28663</v>
      </c>
      <c r="K12413" t="s">
        <v>36701</v>
      </c>
      <c r="M12413" t="s">
        <v>37213</v>
      </c>
      <c r="N12413" t="s">
        <v>40436</v>
      </c>
      <c r="O12413" t="s">
        <v>40437</v>
      </c>
      <c r="P12413">
        <v>0</v>
      </c>
      <c r="Q12413">
        <v>5</v>
      </c>
      <c r="R12413" t="s">
        <v>40456</v>
      </c>
      <c r="S12413" t="s">
        <v>41338</v>
      </c>
      <c r="T12413" t="s">
        <v>42144</v>
      </c>
      <c r="U12413" t="s">
        <v>52801</v>
      </c>
      <c r="W12413" t="s">
        <v>37213</v>
      </c>
      <c r="X12413" t="s">
        <v>40457</v>
      </c>
    </row>
    <row r="12414" spans="1:24">
      <c r="A12414">
        <f>HYPERLINK("https://www.philgeps.gov.ph/GEPSNONPILOT/Tender/SplashBidNoticeAbstractUI.aspx?menuIndex=3&amp;refID=7018065&amp;Result=3","7018065")</f>
        <v>0</v>
      </c>
      <c r="B12414" t="s">
        <v>381</v>
      </c>
      <c r="C12414" t="s">
        <v>14975</v>
      </c>
      <c r="D12414" t="s">
        <v>16203</v>
      </c>
      <c r="E12414" t="s">
        <v>27045</v>
      </c>
      <c r="F12414" t="s">
        <v>28198</v>
      </c>
      <c r="G12414" t="s">
        <v>28205</v>
      </c>
      <c r="H12414" t="s">
        <v>28214</v>
      </c>
      <c r="I12414" t="s">
        <v>3797</v>
      </c>
      <c r="J12414" t="s">
        <v>35974</v>
      </c>
      <c r="K12414" t="s">
        <v>36694</v>
      </c>
      <c r="M12414" t="s">
        <v>39833</v>
      </c>
      <c r="N12414" t="s">
        <v>40436</v>
      </c>
      <c r="O12414" t="s">
        <v>40437</v>
      </c>
      <c r="P12414">
        <v>0</v>
      </c>
      <c r="Q12414">
        <v>0</v>
      </c>
      <c r="R12414" t="s">
        <v>40456</v>
      </c>
      <c r="S12414" t="s">
        <v>41338</v>
      </c>
      <c r="T12414" t="s">
        <v>42112</v>
      </c>
      <c r="U12414" t="s">
        <v>52783</v>
      </c>
      <c r="V12414" t="s">
        <v>55072</v>
      </c>
      <c r="W12414" t="s">
        <v>39833</v>
      </c>
      <c r="X12414" t="s">
        <v>40457</v>
      </c>
    </row>
    <row r="12415" spans="1:24">
      <c r="A12415">
        <f>HYPERLINK("https://www.philgeps.gov.ph/GEPSNONPILOT/Tender/SplashBidNoticeAbstractUI.aspx?menuIndex=3&amp;refID=7018097&amp;Result=3","7018097")</f>
        <v>0</v>
      </c>
      <c r="B12415" t="s">
        <v>2306</v>
      </c>
      <c r="C12415" t="s">
        <v>14976</v>
      </c>
      <c r="D12415" t="s">
        <v>16209</v>
      </c>
      <c r="E12415" t="s">
        <v>27046</v>
      </c>
      <c r="F12415" t="s">
        <v>28198</v>
      </c>
      <c r="G12415" t="s">
        <v>28205</v>
      </c>
      <c r="H12415" t="s">
        <v>28214</v>
      </c>
      <c r="I12415" t="s">
        <v>3797</v>
      </c>
      <c r="J12415" t="s">
        <v>28624</v>
      </c>
      <c r="K12415" t="s">
        <v>36694</v>
      </c>
      <c r="M12415" t="s">
        <v>39482</v>
      </c>
      <c r="N12415" t="s">
        <v>40436</v>
      </c>
      <c r="O12415" t="s">
        <v>40437</v>
      </c>
      <c r="P12415">
        <v>0</v>
      </c>
      <c r="Q12415">
        <v>0</v>
      </c>
      <c r="R12415" t="s">
        <v>40456</v>
      </c>
      <c r="S12415" t="s">
        <v>41338</v>
      </c>
      <c r="T12415" t="s">
        <v>42378</v>
      </c>
      <c r="U12415" t="s">
        <v>48964</v>
      </c>
      <c r="W12415" t="s">
        <v>39482</v>
      </c>
      <c r="X12415" t="s">
        <v>40457</v>
      </c>
    </row>
    <row r="12416" spans="1:24">
      <c r="A12416">
        <f>HYPERLINK("https://www.philgeps.gov.ph/GEPSNONPILOT/Tender/SplashBidNoticeAbstractUI.aspx?menuIndex=3&amp;refID=7018031&amp;Result=3","7018031")</f>
        <v>0</v>
      </c>
      <c r="B12416" t="s">
        <v>381</v>
      </c>
      <c r="C12416" t="s">
        <v>14977</v>
      </c>
      <c r="D12416" t="s">
        <v>16203</v>
      </c>
      <c r="E12416" t="s">
        <v>27047</v>
      </c>
      <c r="F12416" t="s">
        <v>28198</v>
      </c>
      <c r="G12416" t="s">
        <v>28205</v>
      </c>
      <c r="H12416" t="s">
        <v>28214</v>
      </c>
      <c r="I12416" t="s">
        <v>3797</v>
      </c>
      <c r="J12416" t="s">
        <v>35975</v>
      </c>
      <c r="K12416" t="s">
        <v>36694</v>
      </c>
      <c r="M12416" t="s">
        <v>39833</v>
      </c>
      <c r="N12416" t="s">
        <v>40436</v>
      </c>
      <c r="O12416" t="s">
        <v>40437</v>
      </c>
      <c r="P12416">
        <v>0</v>
      </c>
      <c r="Q12416">
        <v>0</v>
      </c>
      <c r="R12416" t="s">
        <v>40456</v>
      </c>
      <c r="S12416" t="s">
        <v>41338</v>
      </c>
      <c r="T12416" t="s">
        <v>42112</v>
      </c>
      <c r="U12416" t="s">
        <v>52783</v>
      </c>
      <c r="V12416" t="s">
        <v>55072</v>
      </c>
      <c r="W12416" t="s">
        <v>39833</v>
      </c>
      <c r="X12416" t="s">
        <v>40457</v>
      </c>
    </row>
    <row r="12417" spans="1:24">
      <c r="A12417">
        <f>HYPERLINK("https://www.philgeps.gov.ph/GEPSNONPILOT/Tender/SplashBidNoticeAbstractUI.aspx?menuIndex=3&amp;refID=7018063&amp;Result=3","7018063")</f>
        <v>0</v>
      </c>
      <c r="B12417" t="s">
        <v>1885</v>
      </c>
      <c r="C12417" t="s">
        <v>14978</v>
      </c>
      <c r="D12417" t="s">
        <v>16235</v>
      </c>
      <c r="E12417" t="s">
        <v>27048</v>
      </c>
      <c r="F12417" t="s">
        <v>28198</v>
      </c>
      <c r="G12417" t="s">
        <v>28205</v>
      </c>
      <c r="H12417" t="s">
        <v>28214</v>
      </c>
      <c r="I12417" t="s">
        <v>3797</v>
      </c>
      <c r="J12417" t="s">
        <v>35976</v>
      </c>
      <c r="K12417" t="s">
        <v>36737</v>
      </c>
      <c r="M12417" t="s">
        <v>39017</v>
      </c>
      <c r="N12417" t="s">
        <v>40436</v>
      </c>
      <c r="O12417" t="s">
        <v>40437</v>
      </c>
      <c r="P12417">
        <v>0</v>
      </c>
      <c r="Q12417">
        <v>0</v>
      </c>
      <c r="R12417" t="s">
        <v>40456</v>
      </c>
      <c r="S12417" t="s">
        <v>41338</v>
      </c>
      <c r="T12417" t="s">
        <v>42199</v>
      </c>
      <c r="U12417" t="s">
        <v>52802</v>
      </c>
      <c r="W12417" t="s">
        <v>39017</v>
      </c>
      <c r="X12417" t="s">
        <v>40457</v>
      </c>
    </row>
    <row r="12418" spans="1:24">
      <c r="A12418">
        <f>HYPERLINK("https://www.philgeps.gov.ph/GEPSNONPILOT/Tender/SplashBidNoticeAbstractUI.aspx?menuIndex=3&amp;refID=7018018&amp;Result=3","7018018")</f>
        <v>0</v>
      </c>
      <c r="B12418" t="s">
        <v>381</v>
      </c>
      <c r="C12418" t="s">
        <v>14979</v>
      </c>
      <c r="D12418" t="s">
        <v>16203</v>
      </c>
      <c r="E12418" t="s">
        <v>27049</v>
      </c>
      <c r="F12418" t="s">
        <v>28198</v>
      </c>
      <c r="G12418" t="s">
        <v>28205</v>
      </c>
      <c r="H12418" t="s">
        <v>28214</v>
      </c>
      <c r="I12418" t="s">
        <v>3797</v>
      </c>
      <c r="J12418" t="s">
        <v>35977</v>
      </c>
      <c r="K12418" t="s">
        <v>36809</v>
      </c>
      <c r="M12418" t="s">
        <v>39833</v>
      </c>
      <c r="N12418" t="s">
        <v>40436</v>
      </c>
      <c r="O12418" t="s">
        <v>40437</v>
      </c>
      <c r="P12418">
        <v>0</v>
      </c>
      <c r="Q12418">
        <v>0</v>
      </c>
      <c r="R12418" t="s">
        <v>40456</v>
      </c>
      <c r="S12418" t="s">
        <v>41338</v>
      </c>
      <c r="T12418" t="s">
        <v>42133</v>
      </c>
      <c r="U12418" t="s">
        <v>52783</v>
      </c>
      <c r="V12418" t="s">
        <v>55072</v>
      </c>
      <c r="W12418" t="s">
        <v>39833</v>
      </c>
      <c r="X12418" t="s">
        <v>40457</v>
      </c>
    </row>
    <row r="12419" spans="1:24">
      <c r="A12419">
        <f>HYPERLINK("https://www.philgeps.gov.ph/GEPSNONPILOT/Tender/SplashBidNoticeAbstractUI.aspx?menuIndex=3&amp;refID=7018011&amp;Result=3","7018011")</f>
        <v>0</v>
      </c>
      <c r="B12419" t="s">
        <v>2795</v>
      </c>
      <c r="C12419" t="s">
        <v>14980</v>
      </c>
      <c r="D12419" t="s">
        <v>16244</v>
      </c>
      <c r="E12419" t="s">
        <v>26912</v>
      </c>
      <c r="F12419" t="s">
        <v>28198</v>
      </c>
      <c r="G12419" t="s">
        <v>28205</v>
      </c>
      <c r="H12419" t="s">
        <v>28217</v>
      </c>
      <c r="I12419" t="s">
        <v>28220</v>
      </c>
      <c r="J12419" t="s">
        <v>30908</v>
      </c>
      <c r="K12419" t="s">
        <v>36715</v>
      </c>
      <c r="M12419" t="s">
        <v>40044</v>
      </c>
      <c r="N12419" t="s">
        <v>40436</v>
      </c>
      <c r="O12419" t="s">
        <v>40437</v>
      </c>
      <c r="Q12419">
        <v>38</v>
      </c>
      <c r="R12419" t="s">
        <v>40456</v>
      </c>
      <c r="S12419" t="s">
        <v>41370</v>
      </c>
      <c r="T12419" t="s">
        <v>42169</v>
      </c>
      <c r="U12419" t="s">
        <v>52803</v>
      </c>
      <c r="W12419" t="s">
        <v>40044</v>
      </c>
      <c r="X12419" t="s">
        <v>40457</v>
      </c>
    </row>
    <row r="12420" spans="1:24">
      <c r="A12420">
        <f>HYPERLINK("https://www.philgeps.gov.ph/GEPSNONPILOT/Tender/SplashBidNoticeAbstractUI.aspx?menuIndex=3&amp;refID=7009986&amp;Result=3","7009986")</f>
        <v>0</v>
      </c>
      <c r="B12420" t="s">
        <v>799</v>
      </c>
      <c r="C12420" t="s">
        <v>14981</v>
      </c>
      <c r="D12420" t="s">
        <v>16292</v>
      </c>
      <c r="E12420" t="s">
        <v>27050</v>
      </c>
      <c r="F12420" t="s">
        <v>28198</v>
      </c>
      <c r="G12420" t="s">
        <v>28205</v>
      </c>
      <c r="H12420" t="s">
        <v>28215</v>
      </c>
      <c r="I12420" t="s">
        <v>28249</v>
      </c>
      <c r="J12420" t="s">
        <v>35978</v>
      </c>
      <c r="K12420" t="s">
        <v>36701</v>
      </c>
      <c r="M12420" t="s">
        <v>40265</v>
      </c>
      <c r="N12420" t="s">
        <v>40436</v>
      </c>
      <c r="O12420" t="s">
        <v>40437</v>
      </c>
      <c r="P12420">
        <v>0</v>
      </c>
      <c r="Q12420">
        <v>1</v>
      </c>
      <c r="R12420" t="s">
        <v>40455</v>
      </c>
      <c r="S12420" t="s">
        <v>41330</v>
      </c>
      <c r="T12420" t="s">
        <v>42119</v>
      </c>
      <c r="U12420" t="s">
        <v>52804</v>
      </c>
      <c r="W12420" t="s">
        <v>40265</v>
      </c>
      <c r="X12420" t="s">
        <v>40460</v>
      </c>
    </row>
    <row r="12421" spans="1:24">
      <c r="A12421">
        <f>HYPERLINK("https://www.philgeps.gov.ph/GEPSNONPILOT/Tender/SplashBidNoticeAbstractUI.aspx?menuIndex=3&amp;refID=7018040&amp;Result=3","7018040")</f>
        <v>0</v>
      </c>
      <c r="B12421" t="s">
        <v>2452</v>
      </c>
      <c r="C12421" t="s">
        <v>14982</v>
      </c>
      <c r="D12421" t="s">
        <v>16264</v>
      </c>
      <c r="E12421" t="s">
        <v>27051</v>
      </c>
      <c r="F12421" t="s">
        <v>28198</v>
      </c>
      <c r="G12421" t="s">
        <v>28205</v>
      </c>
      <c r="H12421" t="s">
        <v>28214</v>
      </c>
      <c r="I12421" t="s">
        <v>3797</v>
      </c>
      <c r="J12421" t="s">
        <v>35979</v>
      </c>
      <c r="K12421" t="s">
        <v>36697</v>
      </c>
      <c r="M12421" t="s">
        <v>39643</v>
      </c>
      <c r="N12421" t="s">
        <v>40436</v>
      </c>
      <c r="O12421" t="s">
        <v>40437</v>
      </c>
      <c r="Q12421">
        <v>0</v>
      </c>
      <c r="R12421" t="s">
        <v>40456</v>
      </c>
      <c r="S12421" t="s">
        <v>41371</v>
      </c>
      <c r="T12421" t="s">
        <v>42158</v>
      </c>
      <c r="U12421" t="s">
        <v>49555</v>
      </c>
      <c r="W12421" t="s">
        <v>39643</v>
      </c>
      <c r="X12421" t="s">
        <v>40457</v>
      </c>
    </row>
    <row r="12422" spans="1:24">
      <c r="A12422">
        <f>HYPERLINK("https://www.philgeps.gov.ph/GEPSNONPILOT/Tender/SplashBidNoticeAbstractUI.aspx?menuIndex=3&amp;refID=7018000&amp;Result=3","7018000")</f>
        <v>0</v>
      </c>
      <c r="B12422" t="s">
        <v>381</v>
      </c>
      <c r="C12422" t="s">
        <v>14983</v>
      </c>
      <c r="D12422" t="s">
        <v>16203</v>
      </c>
      <c r="E12422" t="s">
        <v>27052</v>
      </c>
      <c r="F12422" t="s">
        <v>28198</v>
      </c>
      <c r="G12422" t="s">
        <v>28205</v>
      </c>
      <c r="H12422" t="s">
        <v>28214</v>
      </c>
      <c r="I12422" t="s">
        <v>3797</v>
      </c>
      <c r="J12422" t="s">
        <v>35980</v>
      </c>
      <c r="K12422" t="s">
        <v>36694</v>
      </c>
      <c r="M12422" t="s">
        <v>39833</v>
      </c>
      <c r="N12422" t="s">
        <v>40436</v>
      </c>
      <c r="O12422" t="s">
        <v>40437</v>
      </c>
      <c r="P12422">
        <v>0</v>
      </c>
      <c r="Q12422">
        <v>0</v>
      </c>
      <c r="R12422" t="s">
        <v>40456</v>
      </c>
      <c r="S12422" t="s">
        <v>41338</v>
      </c>
      <c r="T12422" t="s">
        <v>42133</v>
      </c>
      <c r="U12422" t="s">
        <v>52783</v>
      </c>
      <c r="V12422" t="s">
        <v>55072</v>
      </c>
      <c r="W12422" t="s">
        <v>39833</v>
      </c>
      <c r="X12422" t="s">
        <v>40457</v>
      </c>
    </row>
    <row r="12423" spans="1:24">
      <c r="A12423">
        <f>HYPERLINK("https://www.philgeps.gov.ph/GEPSNONPILOT/Tender/SplashBidNoticeAbstractUI.aspx?menuIndex=3&amp;refID=7018002&amp;Result=3","7018002")</f>
        <v>0</v>
      </c>
      <c r="B12423" t="s">
        <v>1854</v>
      </c>
      <c r="C12423" t="s">
        <v>14984</v>
      </c>
      <c r="D12423" t="s">
        <v>16191</v>
      </c>
      <c r="E12423" t="s">
        <v>27053</v>
      </c>
      <c r="F12423" t="s">
        <v>28198</v>
      </c>
      <c r="G12423" t="s">
        <v>28205</v>
      </c>
      <c r="H12423" t="s">
        <v>28215</v>
      </c>
      <c r="I12423" t="s">
        <v>28222</v>
      </c>
      <c r="J12423" t="s">
        <v>35981</v>
      </c>
      <c r="K12423" t="s">
        <v>36689</v>
      </c>
      <c r="M12423" t="s">
        <v>40277</v>
      </c>
      <c r="N12423" t="s">
        <v>40436</v>
      </c>
      <c r="O12423" t="s">
        <v>40437</v>
      </c>
      <c r="Q12423">
        <v>5</v>
      </c>
      <c r="R12423" t="s">
        <v>40456</v>
      </c>
      <c r="S12423" t="s">
        <v>41372</v>
      </c>
      <c r="T12423" t="s">
        <v>42163</v>
      </c>
      <c r="U12423" t="s">
        <v>52805</v>
      </c>
      <c r="V12423" t="s">
        <v>55206</v>
      </c>
      <c r="W12423" t="s">
        <v>40277</v>
      </c>
      <c r="X12423" t="s">
        <v>40457</v>
      </c>
    </row>
    <row r="12424" spans="1:24">
      <c r="A12424">
        <f>HYPERLINK("https://www.philgeps.gov.ph/GEPSNONPILOT/Tender/SplashBidNoticeAbstractUI.aspx?menuIndex=3&amp;refID=7017997&amp;Result=3","7017997")</f>
        <v>0</v>
      </c>
      <c r="B12424" t="s">
        <v>2982</v>
      </c>
      <c r="C12424" t="s">
        <v>14985</v>
      </c>
      <c r="D12424" t="s">
        <v>16242</v>
      </c>
      <c r="E12424" t="s">
        <v>27054</v>
      </c>
      <c r="F12424" t="s">
        <v>28198</v>
      </c>
      <c r="G12424" t="s">
        <v>28205</v>
      </c>
      <c r="H12424" t="s">
        <v>28214</v>
      </c>
      <c r="I12424" t="s">
        <v>3797</v>
      </c>
      <c r="J12424" t="s">
        <v>35982</v>
      </c>
      <c r="K12424" t="s">
        <v>36777</v>
      </c>
      <c r="M12424" t="s">
        <v>40274</v>
      </c>
      <c r="N12424" t="s">
        <v>40436</v>
      </c>
      <c r="O12424" t="s">
        <v>40437</v>
      </c>
      <c r="P12424">
        <v>0</v>
      </c>
      <c r="Q12424">
        <v>0</v>
      </c>
      <c r="R12424" t="s">
        <v>40456</v>
      </c>
      <c r="S12424" t="s">
        <v>41338</v>
      </c>
      <c r="T12424" t="s">
        <v>42133</v>
      </c>
      <c r="U12424" t="s">
        <v>52779</v>
      </c>
      <c r="W12424" t="s">
        <v>40274</v>
      </c>
      <c r="X12424" t="s">
        <v>40457</v>
      </c>
    </row>
    <row r="12425" spans="1:24">
      <c r="A12425">
        <f>HYPERLINK("https://www.philgeps.gov.ph/GEPSNONPILOT/Tender/SplashBidNoticeAbstractUI.aspx?menuIndex=3&amp;refID=7017998&amp;Result=3","7017998")</f>
        <v>0</v>
      </c>
      <c r="B12425" t="s">
        <v>2452</v>
      </c>
      <c r="C12425" t="s">
        <v>14986</v>
      </c>
      <c r="D12425" t="s">
        <v>16264</v>
      </c>
      <c r="E12425" t="s">
        <v>27055</v>
      </c>
      <c r="F12425" t="s">
        <v>28198</v>
      </c>
      <c r="G12425" t="s">
        <v>28205</v>
      </c>
      <c r="H12425" t="s">
        <v>28214</v>
      </c>
      <c r="I12425" t="s">
        <v>3797</v>
      </c>
      <c r="J12425" t="s">
        <v>35983</v>
      </c>
      <c r="K12425" t="s">
        <v>36697</v>
      </c>
      <c r="M12425" t="s">
        <v>39643</v>
      </c>
      <c r="N12425" t="s">
        <v>40436</v>
      </c>
      <c r="O12425" t="s">
        <v>40437</v>
      </c>
      <c r="Q12425">
        <v>0</v>
      </c>
      <c r="R12425" t="s">
        <v>40456</v>
      </c>
      <c r="S12425" t="s">
        <v>41373</v>
      </c>
      <c r="T12425" t="s">
        <v>42158</v>
      </c>
      <c r="U12425" t="s">
        <v>49555</v>
      </c>
      <c r="W12425" t="s">
        <v>39643</v>
      </c>
      <c r="X12425" t="s">
        <v>40457</v>
      </c>
    </row>
    <row r="12426" spans="1:24">
      <c r="A12426">
        <f>HYPERLINK("https://www.philgeps.gov.ph/GEPSNONPILOT/Tender/SplashBidNoticeAbstractUI.aspx?menuIndex=3&amp;refID=7017837&amp;Result=3","7017837")</f>
        <v>0</v>
      </c>
      <c r="B12426" t="s">
        <v>381</v>
      </c>
      <c r="C12426" t="s">
        <v>14987</v>
      </c>
      <c r="D12426" t="s">
        <v>16203</v>
      </c>
      <c r="E12426" t="s">
        <v>27056</v>
      </c>
      <c r="F12426" t="s">
        <v>28198</v>
      </c>
      <c r="G12426" t="s">
        <v>28205</v>
      </c>
      <c r="H12426" t="s">
        <v>28214</v>
      </c>
      <c r="I12426" t="s">
        <v>3797</v>
      </c>
      <c r="J12426" t="s">
        <v>35984</v>
      </c>
      <c r="K12426" t="s">
        <v>36715</v>
      </c>
      <c r="M12426" t="s">
        <v>39833</v>
      </c>
      <c r="N12426" t="s">
        <v>40436</v>
      </c>
      <c r="O12426" t="s">
        <v>40437</v>
      </c>
      <c r="P12426">
        <v>0</v>
      </c>
      <c r="Q12426">
        <v>0</v>
      </c>
      <c r="R12426" t="s">
        <v>40456</v>
      </c>
      <c r="S12426" t="s">
        <v>41338</v>
      </c>
      <c r="T12426" t="s">
        <v>42133</v>
      </c>
      <c r="U12426" t="s">
        <v>52806</v>
      </c>
      <c r="V12426" t="s">
        <v>55072</v>
      </c>
      <c r="W12426" t="s">
        <v>39833</v>
      </c>
      <c r="X12426" t="s">
        <v>40457</v>
      </c>
    </row>
    <row r="12427" spans="1:24">
      <c r="A12427">
        <f>HYPERLINK("https://www.philgeps.gov.ph/GEPSNONPILOT/Tender/SplashBidNoticeAbstractUI.aspx?menuIndex=3&amp;refID=7018199&amp;Result=3","7018199")</f>
        <v>0</v>
      </c>
      <c r="B12427" t="s">
        <v>381</v>
      </c>
      <c r="C12427" t="s">
        <v>14988</v>
      </c>
      <c r="D12427" t="s">
        <v>16203</v>
      </c>
      <c r="E12427" t="s">
        <v>27057</v>
      </c>
      <c r="F12427" t="s">
        <v>28198</v>
      </c>
      <c r="G12427" t="s">
        <v>28205</v>
      </c>
      <c r="H12427" t="s">
        <v>28214</v>
      </c>
      <c r="I12427" t="s">
        <v>3797</v>
      </c>
      <c r="J12427" t="s">
        <v>35985</v>
      </c>
      <c r="K12427" t="s">
        <v>36694</v>
      </c>
      <c r="M12427" t="s">
        <v>39833</v>
      </c>
      <c r="N12427" t="s">
        <v>40436</v>
      </c>
      <c r="O12427" t="s">
        <v>40437</v>
      </c>
      <c r="P12427">
        <v>0</v>
      </c>
      <c r="Q12427">
        <v>0</v>
      </c>
      <c r="R12427" t="s">
        <v>40456</v>
      </c>
      <c r="S12427" t="s">
        <v>41338</v>
      </c>
      <c r="T12427" t="s">
        <v>42112</v>
      </c>
      <c r="U12427" t="s">
        <v>52807</v>
      </c>
      <c r="V12427" t="s">
        <v>55072</v>
      </c>
      <c r="W12427" t="s">
        <v>39833</v>
      </c>
      <c r="X12427" t="s">
        <v>40457</v>
      </c>
    </row>
    <row r="12428" spans="1:24">
      <c r="A12428">
        <f>HYPERLINK("https://www.philgeps.gov.ph/GEPSNONPILOT/Tender/SplashBidNoticeAbstractUI.aspx?menuIndex=3&amp;refID=7017820&amp;Result=3","7017820")</f>
        <v>0</v>
      </c>
      <c r="B12428" t="s">
        <v>2982</v>
      </c>
      <c r="C12428" t="s">
        <v>14989</v>
      </c>
      <c r="D12428" t="s">
        <v>16242</v>
      </c>
      <c r="E12428" t="s">
        <v>27058</v>
      </c>
      <c r="F12428" t="s">
        <v>28198</v>
      </c>
      <c r="G12428" t="s">
        <v>28205</v>
      </c>
      <c r="H12428" t="s">
        <v>28214</v>
      </c>
      <c r="I12428" t="s">
        <v>3797</v>
      </c>
      <c r="J12428" t="s">
        <v>35986</v>
      </c>
      <c r="K12428" t="s">
        <v>36773</v>
      </c>
      <c r="M12428" t="s">
        <v>40274</v>
      </c>
      <c r="N12428" t="s">
        <v>40436</v>
      </c>
      <c r="O12428" t="s">
        <v>40437</v>
      </c>
      <c r="P12428">
        <v>0</v>
      </c>
      <c r="Q12428">
        <v>1</v>
      </c>
      <c r="R12428" t="s">
        <v>40456</v>
      </c>
      <c r="S12428" t="s">
        <v>41338</v>
      </c>
      <c r="T12428" t="s">
        <v>42133</v>
      </c>
      <c r="U12428" t="s">
        <v>52779</v>
      </c>
      <c r="W12428" t="s">
        <v>40274</v>
      </c>
      <c r="X12428" t="s">
        <v>40457</v>
      </c>
    </row>
    <row r="12429" spans="1:24">
      <c r="A12429">
        <f>HYPERLINK("https://www.philgeps.gov.ph/GEPSNONPILOT/Tender/SplashBidNoticeAbstractUI.aspx?menuIndex=3&amp;refID=7017742&amp;Result=3","7017742")</f>
        <v>0</v>
      </c>
      <c r="B12429" t="s">
        <v>1021</v>
      </c>
      <c r="C12429" t="s">
        <v>14990</v>
      </c>
      <c r="D12429" t="s">
        <v>16204</v>
      </c>
      <c r="E12429" t="s">
        <v>27059</v>
      </c>
      <c r="F12429" t="s">
        <v>28198</v>
      </c>
      <c r="G12429" t="s">
        <v>28205</v>
      </c>
      <c r="H12429" t="s">
        <v>28214</v>
      </c>
      <c r="I12429" t="s">
        <v>3797</v>
      </c>
      <c r="J12429" t="s">
        <v>33626</v>
      </c>
      <c r="K12429" t="s">
        <v>36770</v>
      </c>
      <c r="M12429" t="s">
        <v>38052</v>
      </c>
      <c r="N12429" t="s">
        <v>40436</v>
      </c>
      <c r="O12429" t="s">
        <v>40437</v>
      </c>
      <c r="Q12429">
        <v>27</v>
      </c>
      <c r="R12429" t="s">
        <v>40455</v>
      </c>
      <c r="S12429" t="s">
        <v>41374</v>
      </c>
      <c r="T12429" t="s">
        <v>42112</v>
      </c>
      <c r="U12429" t="s">
        <v>51648</v>
      </c>
      <c r="V12429" t="s">
        <v>54048</v>
      </c>
      <c r="W12429" t="s">
        <v>38052</v>
      </c>
      <c r="X12429" t="s">
        <v>40457</v>
      </c>
    </row>
    <row r="12430" spans="1:24">
      <c r="A12430">
        <f>HYPERLINK("https://www.philgeps.gov.ph/GEPSNONPILOT/Tender/SplashBidNoticeAbstractUI.aspx?menuIndex=3&amp;refID=7018013&amp;Result=3","7018013")</f>
        <v>0</v>
      </c>
      <c r="B12430" t="s">
        <v>2984</v>
      </c>
      <c r="C12430" t="s">
        <v>14991</v>
      </c>
      <c r="D12430" t="s">
        <v>16246</v>
      </c>
      <c r="E12430" t="s">
        <v>17417</v>
      </c>
      <c r="F12430" t="s">
        <v>28198</v>
      </c>
      <c r="G12430" t="s">
        <v>28205</v>
      </c>
      <c r="H12430" t="s">
        <v>28214</v>
      </c>
      <c r="I12430" t="s">
        <v>28235</v>
      </c>
      <c r="J12430" t="s">
        <v>28373</v>
      </c>
      <c r="K12430" t="s">
        <v>36707</v>
      </c>
      <c r="L12430" t="s">
        <v>2984</v>
      </c>
      <c r="M12430" t="s">
        <v>40278</v>
      </c>
      <c r="N12430" t="s">
        <v>40436</v>
      </c>
      <c r="O12430" t="s">
        <v>40437</v>
      </c>
      <c r="P12430">
        <v>0</v>
      </c>
      <c r="Q12430">
        <v>0</v>
      </c>
      <c r="R12430" t="s">
        <v>40456</v>
      </c>
      <c r="S12430" t="s">
        <v>41338</v>
      </c>
      <c r="T12430" t="s">
        <v>42158</v>
      </c>
      <c r="U12430" t="s">
        <v>52808</v>
      </c>
      <c r="W12430" t="s">
        <v>40278</v>
      </c>
      <c r="X12430" t="s">
        <v>40457</v>
      </c>
    </row>
    <row r="12431" spans="1:24">
      <c r="A12431">
        <f>HYPERLINK("https://www.philgeps.gov.ph/GEPSNONPILOT/Tender/SplashBidNoticeAbstractUI.aspx?menuIndex=3&amp;refID=7018228&amp;Result=3","7018228")</f>
        <v>0</v>
      </c>
      <c r="B12431" t="s">
        <v>2985</v>
      </c>
      <c r="C12431" t="s">
        <v>14992</v>
      </c>
      <c r="D12431" t="s">
        <v>16221</v>
      </c>
      <c r="E12431" t="s">
        <v>27060</v>
      </c>
      <c r="F12431" t="s">
        <v>28198</v>
      </c>
      <c r="G12431" t="s">
        <v>28205</v>
      </c>
      <c r="H12431" t="s">
        <v>28214</v>
      </c>
      <c r="I12431" t="s">
        <v>3797</v>
      </c>
      <c r="J12431" t="s">
        <v>28921</v>
      </c>
      <c r="K12431" t="s">
        <v>36697</v>
      </c>
      <c r="M12431" t="s">
        <v>40279</v>
      </c>
      <c r="N12431" t="s">
        <v>40436</v>
      </c>
      <c r="O12431" t="s">
        <v>40437</v>
      </c>
      <c r="P12431">
        <v>0</v>
      </c>
      <c r="Q12431">
        <v>11</v>
      </c>
      <c r="R12431" t="s">
        <v>40456</v>
      </c>
      <c r="S12431" t="s">
        <v>41338</v>
      </c>
      <c r="T12431" t="s">
        <v>42103</v>
      </c>
      <c r="U12431" t="s">
        <v>52809</v>
      </c>
      <c r="W12431" t="s">
        <v>40279</v>
      </c>
      <c r="X12431" t="s">
        <v>40457</v>
      </c>
    </row>
    <row r="12432" spans="1:24">
      <c r="A12432">
        <f>HYPERLINK("https://www.philgeps.gov.ph/GEPSNONPILOT/Tender/SplashBidNoticeAbstractUI.aspx?menuIndex=3&amp;refID=7018226&amp;Result=3","7018226")</f>
        <v>0</v>
      </c>
      <c r="B12432" t="s">
        <v>980</v>
      </c>
      <c r="C12432" t="s">
        <v>14993</v>
      </c>
      <c r="D12432" t="s">
        <v>16197</v>
      </c>
      <c r="E12432" t="s">
        <v>27061</v>
      </c>
      <c r="F12432" t="s">
        <v>28198</v>
      </c>
      <c r="G12432" t="s">
        <v>28205</v>
      </c>
      <c r="H12432" t="s">
        <v>28214</v>
      </c>
      <c r="I12432" t="s">
        <v>3797</v>
      </c>
      <c r="J12432" t="s">
        <v>35987</v>
      </c>
      <c r="K12432" t="s">
        <v>36717</v>
      </c>
      <c r="M12432" t="s">
        <v>40187</v>
      </c>
      <c r="N12432" t="s">
        <v>40436</v>
      </c>
      <c r="O12432" t="s">
        <v>40437</v>
      </c>
      <c r="Q12432">
        <v>3</v>
      </c>
      <c r="R12432" t="s">
        <v>40456</v>
      </c>
      <c r="S12432" t="s">
        <v>41054</v>
      </c>
      <c r="T12432" t="s">
        <v>42390</v>
      </c>
      <c r="U12432" t="s">
        <v>52810</v>
      </c>
      <c r="W12432" t="s">
        <v>40187</v>
      </c>
      <c r="X12432" t="s">
        <v>40457</v>
      </c>
    </row>
    <row r="12433" spans="1:24">
      <c r="A12433">
        <f>HYPERLINK("https://www.philgeps.gov.ph/GEPSNONPILOT/Tender/SplashBidNoticeAbstractUI.aspx?menuIndex=3&amp;refID=7018179&amp;Result=3","7018179")</f>
        <v>0</v>
      </c>
      <c r="B12433" t="s">
        <v>2707</v>
      </c>
      <c r="C12433" t="s">
        <v>14994</v>
      </c>
      <c r="D12433" t="s">
        <v>16265</v>
      </c>
      <c r="E12433" t="s">
        <v>27062</v>
      </c>
      <c r="F12433" t="s">
        <v>28198</v>
      </c>
      <c r="G12433" t="s">
        <v>28205</v>
      </c>
      <c r="H12433" t="s">
        <v>28215</v>
      </c>
      <c r="I12433" t="s">
        <v>5631</v>
      </c>
      <c r="J12433" t="s">
        <v>35988</v>
      </c>
      <c r="K12433" t="s">
        <v>36701</v>
      </c>
      <c r="M12433" t="s">
        <v>39948</v>
      </c>
      <c r="N12433" t="s">
        <v>40436</v>
      </c>
      <c r="O12433" t="s">
        <v>40437</v>
      </c>
      <c r="P12433">
        <v>0</v>
      </c>
      <c r="Q12433">
        <v>1</v>
      </c>
      <c r="R12433" t="s">
        <v>40456</v>
      </c>
      <c r="S12433" t="s">
        <v>41338</v>
      </c>
      <c r="T12433" t="s">
        <v>42129</v>
      </c>
      <c r="U12433" t="s">
        <v>52811</v>
      </c>
      <c r="W12433" t="s">
        <v>39948</v>
      </c>
      <c r="X12433" t="s">
        <v>40457</v>
      </c>
    </row>
    <row r="12434" spans="1:24">
      <c r="A12434">
        <f>HYPERLINK("https://www.philgeps.gov.ph/GEPSNONPILOT/Tender/SplashBidNoticeAbstractUI.aspx?menuIndex=3&amp;refID=7018279&amp;Result=3","7018279")</f>
        <v>0</v>
      </c>
      <c r="B12434" t="s">
        <v>33</v>
      </c>
      <c r="C12434" t="s">
        <v>14995</v>
      </c>
      <c r="D12434" t="s">
        <v>16189</v>
      </c>
      <c r="E12434" t="s">
        <v>27063</v>
      </c>
      <c r="F12434" t="s">
        <v>28198</v>
      </c>
      <c r="G12434" t="s">
        <v>28205</v>
      </c>
      <c r="H12434" t="s">
        <v>28215</v>
      </c>
      <c r="I12434" t="s">
        <v>4168</v>
      </c>
      <c r="J12434" t="s">
        <v>30526</v>
      </c>
      <c r="K12434" t="s">
        <v>36694</v>
      </c>
      <c r="M12434" t="s">
        <v>37002</v>
      </c>
      <c r="N12434" t="s">
        <v>40436</v>
      </c>
      <c r="O12434" t="s">
        <v>40437</v>
      </c>
      <c r="Q12434">
        <v>8</v>
      </c>
      <c r="R12434" t="s">
        <v>40456</v>
      </c>
      <c r="S12434" t="s">
        <v>41375</v>
      </c>
      <c r="T12434" t="s">
        <v>42158</v>
      </c>
      <c r="U12434" t="s">
        <v>52812</v>
      </c>
      <c r="W12434" t="s">
        <v>37002</v>
      </c>
      <c r="X12434" t="s">
        <v>40457</v>
      </c>
    </row>
    <row r="12435" spans="1:24">
      <c r="A12435">
        <f>HYPERLINK("https://www.philgeps.gov.ph/GEPSNONPILOT/Tender/SplashBidNoticeAbstractUI.aspx?menuIndex=3&amp;refID=7018163&amp;Result=3","7018163")</f>
        <v>0</v>
      </c>
      <c r="B12435" t="s">
        <v>381</v>
      </c>
      <c r="C12435" t="s">
        <v>14996</v>
      </c>
      <c r="D12435" t="s">
        <v>16203</v>
      </c>
      <c r="E12435" t="s">
        <v>27064</v>
      </c>
      <c r="F12435" t="s">
        <v>28198</v>
      </c>
      <c r="G12435" t="s">
        <v>28205</v>
      </c>
      <c r="H12435" t="s">
        <v>28214</v>
      </c>
      <c r="I12435" t="s">
        <v>8870</v>
      </c>
      <c r="J12435" t="s">
        <v>35989</v>
      </c>
      <c r="K12435" t="s">
        <v>36805</v>
      </c>
      <c r="M12435" t="s">
        <v>39833</v>
      </c>
      <c r="N12435" t="s">
        <v>40436</v>
      </c>
      <c r="O12435" t="s">
        <v>40437</v>
      </c>
      <c r="P12435">
        <v>0</v>
      </c>
      <c r="Q12435">
        <v>0</v>
      </c>
      <c r="R12435" t="s">
        <v>40456</v>
      </c>
      <c r="S12435" t="s">
        <v>41338</v>
      </c>
      <c r="T12435" t="s">
        <v>42112</v>
      </c>
      <c r="U12435" t="s">
        <v>52807</v>
      </c>
      <c r="V12435" t="s">
        <v>55072</v>
      </c>
      <c r="W12435" t="s">
        <v>39833</v>
      </c>
      <c r="X12435" t="s">
        <v>40457</v>
      </c>
    </row>
    <row r="12436" spans="1:24">
      <c r="A12436">
        <f>HYPERLINK("https://www.philgeps.gov.ph/GEPSNONPILOT/Tender/SplashBidNoticeAbstractUI.aspx?menuIndex=3&amp;refID=7018196&amp;Result=3","7018196")</f>
        <v>0</v>
      </c>
      <c r="B12436" t="s">
        <v>980</v>
      </c>
      <c r="C12436" t="s">
        <v>14997</v>
      </c>
      <c r="D12436" t="s">
        <v>16197</v>
      </c>
      <c r="E12436" t="s">
        <v>27065</v>
      </c>
      <c r="F12436" t="s">
        <v>28198</v>
      </c>
      <c r="G12436" t="s">
        <v>28205</v>
      </c>
      <c r="H12436" t="s">
        <v>28214</v>
      </c>
      <c r="I12436" t="s">
        <v>3797</v>
      </c>
      <c r="J12436" t="s">
        <v>29632</v>
      </c>
      <c r="K12436" t="s">
        <v>36692</v>
      </c>
      <c r="M12436" t="s">
        <v>40187</v>
      </c>
      <c r="N12436" t="s">
        <v>40436</v>
      </c>
      <c r="O12436" t="s">
        <v>40437</v>
      </c>
      <c r="Q12436">
        <v>1</v>
      </c>
      <c r="R12436" t="s">
        <v>40456</v>
      </c>
      <c r="S12436" t="s">
        <v>41048</v>
      </c>
      <c r="T12436" t="s">
        <v>42390</v>
      </c>
      <c r="U12436" t="s">
        <v>52813</v>
      </c>
      <c r="W12436" t="s">
        <v>40187</v>
      </c>
      <c r="X12436" t="s">
        <v>40457</v>
      </c>
    </row>
    <row r="12437" spans="1:24">
      <c r="A12437">
        <f>HYPERLINK("https://www.philgeps.gov.ph/GEPSNONPILOT/Tender/SplashBidNoticeAbstractUI.aspx?menuIndex=3&amp;refID=7018177&amp;Result=3","7018177")</f>
        <v>0</v>
      </c>
      <c r="B12437" t="s">
        <v>381</v>
      </c>
      <c r="C12437" t="s">
        <v>14998</v>
      </c>
      <c r="D12437" t="s">
        <v>16203</v>
      </c>
      <c r="E12437" t="s">
        <v>27066</v>
      </c>
      <c r="F12437" t="s">
        <v>28198</v>
      </c>
      <c r="G12437" t="s">
        <v>28205</v>
      </c>
      <c r="H12437" t="s">
        <v>28214</v>
      </c>
      <c r="I12437" t="s">
        <v>3797</v>
      </c>
      <c r="J12437" t="s">
        <v>35990</v>
      </c>
      <c r="K12437" t="s">
        <v>36715</v>
      </c>
      <c r="M12437" t="s">
        <v>39833</v>
      </c>
      <c r="N12437" t="s">
        <v>40436</v>
      </c>
      <c r="O12437" t="s">
        <v>40437</v>
      </c>
      <c r="Q12437">
        <v>0</v>
      </c>
      <c r="R12437" t="s">
        <v>40456</v>
      </c>
      <c r="S12437" t="s">
        <v>41376</v>
      </c>
      <c r="T12437" t="s">
        <v>42112</v>
      </c>
      <c r="U12437" t="s">
        <v>52807</v>
      </c>
      <c r="V12437" t="s">
        <v>55072</v>
      </c>
      <c r="W12437" t="s">
        <v>39833</v>
      </c>
      <c r="X12437" t="s">
        <v>40457</v>
      </c>
    </row>
    <row r="12438" spans="1:24">
      <c r="A12438">
        <f>HYPERLINK("https://www.philgeps.gov.ph/GEPSNONPILOT/Tender/SplashBidNoticeAbstractUI.aspx?menuIndex=3&amp;refID=7018207&amp;Result=3","7018207")</f>
        <v>0</v>
      </c>
      <c r="B12438" t="s">
        <v>980</v>
      </c>
      <c r="C12438" t="s">
        <v>14999</v>
      </c>
      <c r="D12438" t="s">
        <v>16197</v>
      </c>
      <c r="E12438" t="s">
        <v>27067</v>
      </c>
      <c r="F12438" t="s">
        <v>28198</v>
      </c>
      <c r="G12438" t="s">
        <v>28205</v>
      </c>
      <c r="H12438" t="s">
        <v>28214</v>
      </c>
      <c r="I12438" t="s">
        <v>3797</v>
      </c>
      <c r="J12438" t="s">
        <v>29224</v>
      </c>
      <c r="K12438" t="s">
        <v>36697</v>
      </c>
      <c r="M12438" t="s">
        <v>40187</v>
      </c>
      <c r="N12438" t="s">
        <v>40436</v>
      </c>
      <c r="O12438" t="s">
        <v>40437</v>
      </c>
      <c r="Q12438">
        <v>2</v>
      </c>
      <c r="R12438" t="s">
        <v>40456</v>
      </c>
      <c r="S12438" t="s">
        <v>41051</v>
      </c>
      <c r="T12438" t="s">
        <v>42390</v>
      </c>
      <c r="U12438" t="s">
        <v>52814</v>
      </c>
      <c r="W12438" t="s">
        <v>40187</v>
      </c>
      <c r="X12438" t="s">
        <v>40457</v>
      </c>
    </row>
    <row r="12439" spans="1:24">
      <c r="A12439">
        <f>HYPERLINK("https://www.philgeps.gov.ph/GEPSNONPILOT/Tender/SplashBidNoticeAbstractUI.aspx?menuIndex=3&amp;refID=7018161&amp;Result=3","7018161")</f>
        <v>0</v>
      </c>
      <c r="B12439" t="s">
        <v>980</v>
      </c>
      <c r="C12439" t="s">
        <v>15000</v>
      </c>
      <c r="D12439" t="s">
        <v>16197</v>
      </c>
      <c r="E12439" t="s">
        <v>27068</v>
      </c>
      <c r="F12439" t="s">
        <v>28198</v>
      </c>
      <c r="G12439" t="s">
        <v>28205</v>
      </c>
      <c r="H12439" t="s">
        <v>28214</v>
      </c>
      <c r="I12439" t="s">
        <v>3797</v>
      </c>
      <c r="J12439" t="s">
        <v>35991</v>
      </c>
      <c r="K12439" t="s">
        <v>36692</v>
      </c>
      <c r="M12439" t="s">
        <v>40187</v>
      </c>
      <c r="N12439" t="s">
        <v>40436</v>
      </c>
      <c r="O12439" t="s">
        <v>40437</v>
      </c>
      <c r="Q12439">
        <v>3</v>
      </c>
      <c r="R12439" t="s">
        <v>40456</v>
      </c>
      <c r="S12439" t="s">
        <v>41377</v>
      </c>
      <c r="T12439" t="s">
        <v>42390</v>
      </c>
      <c r="U12439" t="s">
        <v>52815</v>
      </c>
      <c r="W12439" t="s">
        <v>40187</v>
      </c>
      <c r="X12439" t="s">
        <v>40457</v>
      </c>
    </row>
    <row r="12440" spans="1:24">
      <c r="A12440">
        <f>HYPERLINK("https://www.philgeps.gov.ph/GEPSNONPILOT/Tender/SplashBidNoticeAbstractUI.aspx?menuIndex=3&amp;refID=7018149&amp;Result=3","7018149")</f>
        <v>0</v>
      </c>
      <c r="B12440" t="s">
        <v>2306</v>
      </c>
      <c r="C12440" t="s">
        <v>15001</v>
      </c>
      <c r="D12440" t="s">
        <v>16209</v>
      </c>
      <c r="E12440" t="s">
        <v>27069</v>
      </c>
      <c r="F12440" t="s">
        <v>28198</v>
      </c>
      <c r="G12440" t="s">
        <v>28205</v>
      </c>
      <c r="H12440" t="s">
        <v>28214</v>
      </c>
      <c r="I12440" t="s">
        <v>3797</v>
      </c>
      <c r="J12440" t="s">
        <v>28769</v>
      </c>
      <c r="K12440" t="s">
        <v>36694</v>
      </c>
      <c r="M12440" t="s">
        <v>39482</v>
      </c>
      <c r="N12440" t="s">
        <v>40436</v>
      </c>
      <c r="O12440" t="s">
        <v>40437</v>
      </c>
      <c r="P12440">
        <v>0</v>
      </c>
      <c r="Q12440">
        <v>0</v>
      </c>
      <c r="R12440" t="s">
        <v>40456</v>
      </c>
      <c r="S12440" t="s">
        <v>41338</v>
      </c>
      <c r="T12440" t="s">
        <v>42378</v>
      </c>
      <c r="U12440" t="s">
        <v>48964</v>
      </c>
      <c r="W12440" t="s">
        <v>39482</v>
      </c>
      <c r="X12440" t="s">
        <v>40457</v>
      </c>
    </row>
    <row r="12441" spans="1:24">
      <c r="A12441">
        <f>HYPERLINK("https://www.philgeps.gov.ph/GEPSNONPILOT/Tender/SplashBidNoticeAbstractUI.aspx?menuIndex=3&amp;refID=7018218&amp;Result=3","7018218")</f>
        <v>0</v>
      </c>
      <c r="B12441" t="s">
        <v>980</v>
      </c>
      <c r="C12441" t="s">
        <v>15002</v>
      </c>
      <c r="D12441" t="s">
        <v>16197</v>
      </c>
      <c r="E12441" t="s">
        <v>27070</v>
      </c>
      <c r="F12441" t="s">
        <v>28198</v>
      </c>
      <c r="G12441" t="s">
        <v>28205</v>
      </c>
      <c r="H12441" t="s">
        <v>28214</v>
      </c>
      <c r="I12441" t="s">
        <v>3797</v>
      </c>
      <c r="J12441" t="s">
        <v>35992</v>
      </c>
      <c r="K12441" t="s">
        <v>36717</v>
      </c>
      <c r="M12441" t="s">
        <v>40187</v>
      </c>
      <c r="N12441" t="s">
        <v>40436</v>
      </c>
      <c r="O12441" t="s">
        <v>40437</v>
      </c>
      <c r="Q12441">
        <v>6</v>
      </c>
      <c r="R12441" t="s">
        <v>40456</v>
      </c>
      <c r="S12441" t="s">
        <v>41378</v>
      </c>
      <c r="T12441" t="s">
        <v>42390</v>
      </c>
      <c r="U12441" t="s">
        <v>52816</v>
      </c>
      <c r="W12441" t="s">
        <v>40187</v>
      </c>
      <c r="X12441" t="s">
        <v>40457</v>
      </c>
    </row>
    <row r="12442" spans="1:24">
      <c r="A12442">
        <f>HYPERLINK("https://www.philgeps.gov.ph/GEPSNONPILOT/Tender/SplashBidNoticeAbstractUI.aspx?menuIndex=3&amp;refID=7018121&amp;Result=3","7018121")</f>
        <v>0</v>
      </c>
      <c r="B12442" t="s">
        <v>775</v>
      </c>
      <c r="C12442" t="s">
        <v>15003</v>
      </c>
      <c r="D12442" t="s">
        <v>16206</v>
      </c>
      <c r="E12442" t="s">
        <v>27071</v>
      </c>
      <c r="F12442" t="s">
        <v>28198</v>
      </c>
      <c r="G12442" t="s">
        <v>28205</v>
      </c>
      <c r="H12442" t="s">
        <v>28215</v>
      </c>
      <c r="I12442" t="s">
        <v>28249</v>
      </c>
      <c r="J12442" t="s">
        <v>35993</v>
      </c>
      <c r="K12442" t="s">
        <v>36701</v>
      </c>
      <c r="M12442" t="s">
        <v>37779</v>
      </c>
      <c r="N12442" t="s">
        <v>40436</v>
      </c>
      <c r="O12442" t="s">
        <v>40437</v>
      </c>
      <c r="P12442">
        <v>0</v>
      </c>
      <c r="Q12442">
        <v>2</v>
      </c>
      <c r="R12442" t="s">
        <v>40456</v>
      </c>
      <c r="S12442" t="s">
        <v>41338</v>
      </c>
      <c r="T12442" t="s">
        <v>42128</v>
      </c>
      <c r="U12442" t="s">
        <v>52817</v>
      </c>
      <c r="W12442" t="s">
        <v>37779</v>
      </c>
      <c r="X12442" t="s">
        <v>40457</v>
      </c>
    </row>
    <row r="12443" spans="1:24">
      <c r="A12443">
        <f>HYPERLINK("https://www.philgeps.gov.ph/GEPSNONPILOT/Tender/SplashBidNoticeAbstractUI.aspx?menuIndex=3&amp;refID=7018186&amp;Result=3","7018186")</f>
        <v>0</v>
      </c>
      <c r="B12443" t="s">
        <v>980</v>
      </c>
      <c r="C12443" t="s">
        <v>15004</v>
      </c>
      <c r="D12443" t="s">
        <v>16197</v>
      </c>
      <c r="E12443" t="s">
        <v>27072</v>
      </c>
      <c r="F12443" t="s">
        <v>28198</v>
      </c>
      <c r="G12443" t="s">
        <v>28205</v>
      </c>
      <c r="H12443" t="s">
        <v>28214</v>
      </c>
      <c r="I12443" t="s">
        <v>3797</v>
      </c>
      <c r="J12443" t="s">
        <v>35994</v>
      </c>
      <c r="K12443" t="s">
        <v>36853</v>
      </c>
      <c r="M12443" t="s">
        <v>40187</v>
      </c>
      <c r="N12443" t="s">
        <v>40436</v>
      </c>
      <c r="O12443" t="s">
        <v>40437</v>
      </c>
      <c r="Q12443">
        <v>4</v>
      </c>
      <c r="R12443" t="s">
        <v>40456</v>
      </c>
      <c r="S12443" t="s">
        <v>41379</v>
      </c>
      <c r="T12443" t="s">
        <v>42390</v>
      </c>
      <c r="U12443" t="s">
        <v>52818</v>
      </c>
      <c r="W12443" t="s">
        <v>40187</v>
      </c>
      <c r="X12443" t="s">
        <v>40457</v>
      </c>
    </row>
    <row r="12444" spans="1:24">
      <c r="A12444">
        <f>HYPERLINK("https://www.philgeps.gov.ph/GEPSNONPILOT/Tender/SplashBidNoticeAbstractUI.aspx?menuIndex=3&amp;refID=7018193&amp;Result=3","7018193")</f>
        <v>0</v>
      </c>
      <c r="B12444" t="s">
        <v>381</v>
      </c>
      <c r="C12444" t="s">
        <v>15005</v>
      </c>
      <c r="D12444" t="s">
        <v>16203</v>
      </c>
      <c r="E12444" t="s">
        <v>27073</v>
      </c>
      <c r="F12444" t="s">
        <v>28198</v>
      </c>
      <c r="G12444" t="s">
        <v>28205</v>
      </c>
      <c r="H12444" t="s">
        <v>28214</v>
      </c>
      <c r="I12444" t="s">
        <v>3797</v>
      </c>
      <c r="J12444" t="s">
        <v>35995</v>
      </c>
      <c r="K12444" t="s">
        <v>36736</v>
      </c>
      <c r="M12444" t="s">
        <v>39833</v>
      </c>
      <c r="N12444" t="s">
        <v>40436</v>
      </c>
      <c r="O12444" t="s">
        <v>40437</v>
      </c>
      <c r="P12444">
        <v>0</v>
      </c>
      <c r="Q12444">
        <v>1</v>
      </c>
      <c r="R12444" t="s">
        <v>40456</v>
      </c>
      <c r="S12444" t="s">
        <v>41338</v>
      </c>
      <c r="T12444" t="s">
        <v>42112</v>
      </c>
      <c r="U12444" t="s">
        <v>52807</v>
      </c>
      <c r="V12444" t="s">
        <v>55072</v>
      </c>
      <c r="W12444" t="s">
        <v>39833</v>
      </c>
      <c r="X12444" t="s">
        <v>40457</v>
      </c>
    </row>
    <row r="12445" spans="1:24">
      <c r="A12445">
        <f>HYPERLINK("https://www.philgeps.gov.ph/GEPSNONPILOT/Tender/SplashBidNoticeAbstractUI.aspx?menuIndex=3&amp;refID=7018112&amp;Result=3","7018112")</f>
        <v>0</v>
      </c>
      <c r="B12445" t="s">
        <v>381</v>
      </c>
      <c r="C12445" t="s">
        <v>15006</v>
      </c>
      <c r="D12445" t="s">
        <v>16203</v>
      </c>
      <c r="E12445" t="s">
        <v>27074</v>
      </c>
      <c r="F12445" t="s">
        <v>28198</v>
      </c>
      <c r="G12445" t="s">
        <v>28205</v>
      </c>
      <c r="H12445" t="s">
        <v>28214</v>
      </c>
      <c r="I12445" t="s">
        <v>3797</v>
      </c>
      <c r="J12445" t="s">
        <v>35996</v>
      </c>
      <c r="K12445" t="s">
        <v>36715</v>
      </c>
      <c r="M12445" t="s">
        <v>39833</v>
      </c>
      <c r="N12445" t="s">
        <v>40436</v>
      </c>
      <c r="O12445" t="s">
        <v>40437</v>
      </c>
      <c r="P12445">
        <v>0</v>
      </c>
      <c r="Q12445">
        <v>0</v>
      </c>
      <c r="R12445" t="s">
        <v>40456</v>
      </c>
      <c r="S12445" t="s">
        <v>41338</v>
      </c>
      <c r="T12445" t="s">
        <v>42112</v>
      </c>
      <c r="U12445" t="s">
        <v>52800</v>
      </c>
      <c r="V12445" t="s">
        <v>55072</v>
      </c>
      <c r="W12445" t="s">
        <v>39833</v>
      </c>
      <c r="X12445" t="s">
        <v>40457</v>
      </c>
    </row>
    <row r="12446" spans="1:24">
      <c r="A12446">
        <f>HYPERLINK("https://www.philgeps.gov.ph/GEPSNONPILOT/Tender/SplashBidNoticeAbstractUI.aspx?menuIndex=3&amp;refID=7018123&amp;Result=3","7018123")</f>
        <v>0</v>
      </c>
      <c r="B12446" t="s">
        <v>2306</v>
      </c>
      <c r="C12446" t="s">
        <v>15007</v>
      </c>
      <c r="D12446" t="s">
        <v>16209</v>
      </c>
      <c r="E12446" t="s">
        <v>27075</v>
      </c>
      <c r="F12446" t="s">
        <v>28198</v>
      </c>
      <c r="G12446" t="s">
        <v>28205</v>
      </c>
      <c r="H12446" t="s">
        <v>28214</v>
      </c>
      <c r="I12446" t="s">
        <v>3797</v>
      </c>
      <c r="J12446" t="s">
        <v>28494</v>
      </c>
      <c r="K12446" t="s">
        <v>36694</v>
      </c>
      <c r="M12446" t="s">
        <v>39482</v>
      </c>
      <c r="N12446" t="s">
        <v>40436</v>
      </c>
      <c r="O12446" t="s">
        <v>40437</v>
      </c>
      <c r="P12446">
        <v>0</v>
      </c>
      <c r="Q12446">
        <v>0</v>
      </c>
      <c r="R12446" t="s">
        <v>40456</v>
      </c>
      <c r="S12446" t="s">
        <v>41338</v>
      </c>
      <c r="T12446" t="s">
        <v>42378</v>
      </c>
      <c r="U12446" t="s">
        <v>48964</v>
      </c>
      <c r="W12446" t="s">
        <v>39482</v>
      </c>
      <c r="X12446" t="s">
        <v>40457</v>
      </c>
    </row>
    <row r="12447" spans="1:24">
      <c r="A12447">
        <f>HYPERLINK("https://www.philgeps.gov.ph/GEPSNONPILOT/Tender/SplashBidNoticeAbstractUI.aspx?menuIndex=3&amp;refID=7018135&amp;Result=3","7018135")</f>
        <v>0</v>
      </c>
      <c r="B12447" t="s">
        <v>381</v>
      </c>
      <c r="C12447" t="s">
        <v>15008</v>
      </c>
      <c r="D12447" t="s">
        <v>16203</v>
      </c>
      <c r="E12447" t="s">
        <v>27076</v>
      </c>
      <c r="F12447" t="s">
        <v>28198</v>
      </c>
      <c r="G12447" t="s">
        <v>28205</v>
      </c>
      <c r="H12447" t="s">
        <v>28214</v>
      </c>
      <c r="I12447" t="s">
        <v>3797</v>
      </c>
      <c r="J12447" t="s">
        <v>35989</v>
      </c>
      <c r="K12447" t="s">
        <v>36805</v>
      </c>
      <c r="M12447" t="s">
        <v>39833</v>
      </c>
      <c r="N12447" t="s">
        <v>40436</v>
      </c>
      <c r="O12447" t="s">
        <v>40437</v>
      </c>
      <c r="P12447">
        <v>0</v>
      </c>
      <c r="Q12447">
        <v>1</v>
      </c>
      <c r="R12447" t="s">
        <v>40456</v>
      </c>
      <c r="S12447" t="s">
        <v>41338</v>
      </c>
      <c r="T12447" t="s">
        <v>42112</v>
      </c>
      <c r="U12447" t="s">
        <v>52807</v>
      </c>
      <c r="V12447" t="s">
        <v>55072</v>
      </c>
      <c r="W12447" t="s">
        <v>39833</v>
      </c>
      <c r="X12447" t="s">
        <v>40457</v>
      </c>
    </row>
    <row r="12448" spans="1:24">
      <c r="A12448">
        <f>HYPERLINK("https://www.philgeps.gov.ph/GEPSNONPILOT/Tender/SplashBidNoticeAbstractUI.aspx?menuIndex=3&amp;refID=7018129&amp;Result=3","7018129")</f>
        <v>0</v>
      </c>
      <c r="B12448" t="s">
        <v>381</v>
      </c>
      <c r="C12448" t="s">
        <v>15009</v>
      </c>
      <c r="D12448" t="s">
        <v>16203</v>
      </c>
      <c r="E12448" t="s">
        <v>27077</v>
      </c>
      <c r="F12448" t="s">
        <v>28198</v>
      </c>
      <c r="G12448" t="s">
        <v>28205</v>
      </c>
      <c r="H12448" t="s">
        <v>28214</v>
      </c>
      <c r="I12448" t="s">
        <v>3797</v>
      </c>
      <c r="J12448" t="s">
        <v>35997</v>
      </c>
      <c r="K12448" t="s">
        <v>36694</v>
      </c>
      <c r="M12448" t="s">
        <v>39833</v>
      </c>
      <c r="N12448" t="s">
        <v>40436</v>
      </c>
      <c r="O12448" t="s">
        <v>40437</v>
      </c>
      <c r="P12448">
        <v>0</v>
      </c>
      <c r="Q12448">
        <v>0</v>
      </c>
      <c r="R12448" t="s">
        <v>40456</v>
      </c>
      <c r="S12448" t="s">
        <v>41338</v>
      </c>
      <c r="T12448" t="s">
        <v>42112</v>
      </c>
      <c r="U12448" t="s">
        <v>52807</v>
      </c>
      <c r="V12448" t="s">
        <v>55072</v>
      </c>
      <c r="W12448" t="s">
        <v>39833</v>
      </c>
      <c r="X12448" t="s">
        <v>40457</v>
      </c>
    </row>
    <row r="12449" spans="1:24">
      <c r="A12449">
        <f>HYPERLINK("https://www.philgeps.gov.ph/GEPSNONPILOT/Tender/SplashBidNoticeAbstractUI.aspx?menuIndex=3&amp;refID=7018303&amp;Result=3","7018303")</f>
        <v>0</v>
      </c>
      <c r="B12449" t="s">
        <v>33</v>
      </c>
      <c r="C12449" t="s">
        <v>15010</v>
      </c>
      <c r="D12449" t="s">
        <v>16189</v>
      </c>
      <c r="E12449" t="s">
        <v>27078</v>
      </c>
      <c r="F12449" t="s">
        <v>28198</v>
      </c>
      <c r="G12449" t="s">
        <v>28205</v>
      </c>
      <c r="H12449" t="s">
        <v>28215</v>
      </c>
      <c r="I12449" t="s">
        <v>4168</v>
      </c>
      <c r="J12449" t="s">
        <v>28351</v>
      </c>
      <c r="K12449" t="s">
        <v>36694</v>
      </c>
      <c r="M12449" t="s">
        <v>37002</v>
      </c>
      <c r="N12449" t="s">
        <v>40436</v>
      </c>
      <c r="O12449" t="s">
        <v>40437</v>
      </c>
      <c r="Q12449">
        <v>2</v>
      </c>
      <c r="R12449" t="s">
        <v>40456</v>
      </c>
      <c r="S12449" t="s">
        <v>41048</v>
      </c>
      <c r="T12449" t="s">
        <v>42158</v>
      </c>
      <c r="U12449" t="s">
        <v>52819</v>
      </c>
      <c r="W12449" t="s">
        <v>37002</v>
      </c>
      <c r="X12449" t="s">
        <v>40457</v>
      </c>
    </row>
    <row r="12450" spans="1:24">
      <c r="A12450">
        <f>HYPERLINK("https://www.philgeps.gov.ph/GEPSNONPILOT/Tender/SplashBidNoticeAbstractUI.aspx?menuIndex=3&amp;refID=7017979&amp;Result=3","7017979")</f>
        <v>0</v>
      </c>
      <c r="B12450" t="s">
        <v>381</v>
      </c>
      <c r="C12450" t="s">
        <v>15011</v>
      </c>
      <c r="D12450" t="s">
        <v>16203</v>
      </c>
      <c r="E12450" t="s">
        <v>27079</v>
      </c>
      <c r="F12450" t="s">
        <v>28198</v>
      </c>
      <c r="G12450" t="s">
        <v>28205</v>
      </c>
      <c r="H12450" t="s">
        <v>28214</v>
      </c>
      <c r="I12450" t="s">
        <v>3797</v>
      </c>
      <c r="J12450" t="s">
        <v>35998</v>
      </c>
      <c r="K12450" t="s">
        <v>36737</v>
      </c>
      <c r="M12450" t="s">
        <v>39833</v>
      </c>
      <c r="N12450" t="s">
        <v>40436</v>
      </c>
      <c r="O12450" t="s">
        <v>40437</v>
      </c>
      <c r="P12450">
        <v>0</v>
      </c>
      <c r="Q12450">
        <v>0</v>
      </c>
      <c r="R12450" t="s">
        <v>40456</v>
      </c>
      <c r="S12450" t="s">
        <v>41338</v>
      </c>
      <c r="T12450" t="s">
        <v>42133</v>
      </c>
      <c r="U12450" t="s">
        <v>52783</v>
      </c>
      <c r="V12450" t="s">
        <v>55072</v>
      </c>
      <c r="W12450" t="s">
        <v>39833</v>
      </c>
      <c r="X12450" t="s">
        <v>40457</v>
      </c>
    </row>
    <row r="12451" spans="1:24">
      <c r="A12451">
        <f>HYPERLINK("https://www.philgeps.gov.ph/GEPSNONPILOT/Tender/SplashBidNoticeAbstractUI.aspx?menuIndex=3&amp;refID=7018114&amp;Result=3","7018114")</f>
        <v>0</v>
      </c>
      <c r="B12451" t="s">
        <v>980</v>
      </c>
      <c r="C12451" t="s">
        <v>15012</v>
      </c>
      <c r="D12451" t="s">
        <v>16197</v>
      </c>
      <c r="E12451" t="s">
        <v>27080</v>
      </c>
      <c r="F12451" t="s">
        <v>28198</v>
      </c>
      <c r="G12451" t="s">
        <v>28205</v>
      </c>
      <c r="H12451" t="s">
        <v>28214</v>
      </c>
      <c r="I12451" t="s">
        <v>3797</v>
      </c>
      <c r="J12451" t="s">
        <v>32106</v>
      </c>
      <c r="K12451" t="s">
        <v>36913</v>
      </c>
      <c r="M12451" t="s">
        <v>40187</v>
      </c>
      <c r="N12451" t="s">
        <v>40436</v>
      </c>
      <c r="O12451" t="s">
        <v>40437</v>
      </c>
      <c r="Q12451">
        <v>2</v>
      </c>
      <c r="R12451" t="s">
        <v>40456</v>
      </c>
      <c r="S12451" t="s">
        <v>41380</v>
      </c>
      <c r="T12451" t="s">
        <v>42390</v>
      </c>
      <c r="U12451" t="s">
        <v>52820</v>
      </c>
      <c r="W12451" t="s">
        <v>40187</v>
      </c>
      <c r="X12451" t="s">
        <v>40457</v>
      </c>
    </row>
    <row r="12452" spans="1:24">
      <c r="A12452">
        <f>HYPERLINK("https://www.philgeps.gov.ph/GEPSNONPILOT/Tender/SplashBidNoticeAbstractUI.aspx?menuIndex=3&amp;refID=7018404&amp;Result=3","7018404")</f>
        <v>0</v>
      </c>
      <c r="B12452" t="s">
        <v>2452</v>
      </c>
      <c r="C12452" t="s">
        <v>15013</v>
      </c>
      <c r="D12452" t="s">
        <v>16264</v>
      </c>
      <c r="E12452" t="s">
        <v>27081</v>
      </c>
      <c r="F12452" t="s">
        <v>28198</v>
      </c>
      <c r="G12452" t="s">
        <v>28205</v>
      </c>
      <c r="H12452" t="s">
        <v>28214</v>
      </c>
      <c r="I12452" t="s">
        <v>3797</v>
      </c>
      <c r="J12452" t="s">
        <v>28699</v>
      </c>
      <c r="K12452" t="s">
        <v>36823</v>
      </c>
      <c r="M12452" t="s">
        <v>39643</v>
      </c>
      <c r="N12452" t="s">
        <v>40436</v>
      </c>
      <c r="O12452" t="s">
        <v>40437</v>
      </c>
      <c r="Q12452">
        <v>0</v>
      </c>
      <c r="R12452" t="s">
        <v>40456</v>
      </c>
      <c r="S12452" t="s">
        <v>41381</v>
      </c>
      <c r="T12452" t="s">
        <v>42158</v>
      </c>
      <c r="U12452" t="s">
        <v>49555</v>
      </c>
      <c r="W12452" t="s">
        <v>39643</v>
      </c>
      <c r="X12452" t="s">
        <v>40457</v>
      </c>
    </row>
    <row r="12453" spans="1:24">
      <c r="A12453">
        <f>HYPERLINK("https://www.philgeps.gov.ph/GEPSNONPILOT/Tender/SplashBidNoticeAbstractUI.aspx?menuIndex=3&amp;refID=7017987&amp;Result=3","7017987")</f>
        <v>0</v>
      </c>
      <c r="B12453" t="s">
        <v>381</v>
      </c>
      <c r="C12453" t="s">
        <v>15014</v>
      </c>
      <c r="D12453" t="s">
        <v>16203</v>
      </c>
      <c r="E12453" t="s">
        <v>27082</v>
      </c>
      <c r="F12453" t="s">
        <v>28198</v>
      </c>
      <c r="G12453" t="s">
        <v>28205</v>
      </c>
      <c r="H12453" t="s">
        <v>28214</v>
      </c>
      <c r="I12453" t="s">
        <v>3797</v>
      </c>
      <c r="J12453" t="s">
        <v>35999</v>
      </c>
      <c r="K12453" t="s">
        <v>36694</v>
      </c>
      <c r="M12453" t="s">
        <v>39833</v>
      </c>
      <c r="N12453" t="s">
        <v>40436</v>
      </c>
      <c r="O12453" t="s">
        <v>40437</v>
      </c>
      <c r="P12453">
        <v>0</v>
      </c>
      <c r="Q12453">
        <v>1</v>
      </c>
      <c r="R12453" t="s">
        <v>40456</v>
      </c>
      <c r="S12453" t="s">
        <v>41338</v>
      </c>
      <c r="T12453" t="s">
        <v>42133</v>
      </c>
      <c r="U12453" t="s">
        <v>52783</v>
      </c>
      <c r="V12453" t="s">
        <v>55072</v>
      </c>
      <c r="W12453" t="s">
        <v>39833</v>
      </c>
      <c r="X12453" t="s">
        <v>40457</v>
      </c>
    </row>
    <row r="12454" spans="1:24">
      <c r="A12454">
        <f>HYPERLINK("https://www.philgeps.gov.ph/GEPSNONPILOT/Tender/SplashBidNoticeAbstractUI.aspx?menuIndex=3&amp;refID=7018470&amp;Result=3","7018470")</f>
        <v>0</v>
      </c>
      <c r="B12454" t="s">
        <v>999</v>
      </c>
      <c r="C12454" t="s">
        <v>15015</v>
      </c>
      <c r="D12454" t="s">
        <v>16201</v>
      </c>
      <c r="E12454" t="s">
        <v>27083</v>
      </c>
      <c r="F12454" t="s">
        <v>28198</v>
      </c>
      <c r="G12454" t="s">
        <v>28205</v>
      </c>
      <c r="H12454" t="s">
        <v>28215</v>
      </c>
      <c r="I12454" t="s">
        <v>28236</v>
      </c>
      <c r="J12454" t="s">
        <v>30991</v>
      </c>
      <c r="K12454" t="s">
        <v>36709</v>
      </c>
      <c r="M12454" t="s">
        <v>38027</v>
      </c>
      <c r="N12454" t="s">
        <v>40436</v>
      </c>
      <c r="O12454" t="s">
        <v>40437</v>
      </c>
      <c r="P12454">
        <v>0</v>
      </c>
      <c r="Q12454">
        <v>8</v>
      </c>
      <c r="R12454" t="s">
        <v>40456</v>
      </c>
      <c r="S12454" t="s">
        <v>41338</v>
      </c>
      <c r="T12454" t="s">
        <v>42177</v>
      </c>
      <c r="U12454" t="s">
        <v>52821</v>
      </c>
      <c r="W12454" t="s">
        <v>38027</v>
      </c>
      <c r="X12454" t="s">
        <v>40457</v>
      </c>
    </row>
    <row r="12455" spans="1:24">
      <c r="A12455">
        <f>HYPERLINK("https://www.philgeps.gov.ph/GEPSNONPILOT/Tender/SplashBidNoticeAbstractUI.aspx?menuIndex=3&amp;refID=7017978&amp;Result=3","7017978")</f>
        <v>0</v>
      </c>
      <c r="B12455" t="s">
        <v>2982</v>
      </c>
      <c r="C12455" t="s">
        <v>15016</v>
      </c>
      <c r="D12455" t="s">
        <v>16242</v>
      </c>
      <c r="E12455" t="s">
        <v>27084</v>
      </c>
      <c r="F12455" t="s">
        <v>28198</v>
      </c>
      <c r="G12455" t="s">
        <v>28205</v>
      </c>
      <c r="H12455" t="s">
        <v>28214</v>
      </c>
      <c r="I12455" t="s">
        <v>3797</v>
      </c>
      <c r="J12455" t="s">
        <v>36000</v>
      </c>
      <c r="K12455" t="s">
        <v>36717</v>
      </c>
      <c r="M12455" t="s">
        <v>40274</v>
      </c>
      <c r="N12455" t="s">
        <v>40436</v>
      </c>
      <c r="O12455" t="s">
        <v>40437</v>
      </c>
      <c r="P12455">
        <v>0</v>
      </c>
      <c r="Q12455">
        <v>1</v>
      </c>
      <c r="R12455" t="s">
        <v>40456</v>
      </c>
      <c r="S12455" t="s">
        <v>41338</v>
      </c>
      <c r="T12455" t="s">
        <v>42133</v>
      </c>
      <c r="U12455" t="s">
        <v>52779</v>
      </c>
      <c r="W12455" t="s">
        <v>40274</v>
      </c>
      <c r="X12455" t="s">
        <v>40457</v>
      </c>
    </row>
    <row r="12456" spans="1:24">
      <c r="A12456">
        <f>HYPERLINK("https://www.philgeps.gov.ph/GEPSNONPILOT/Tender/SplashBidNoticeAbstractUI.aspx?menuIndex=3&amp;refID=7018481&amp;Result=3","7018481")</f>
        <v>0</v>
      </c>
      <c r="B12456" t="s">
        <v>2986</v>
      </c>
      <c r="C12456" t="s">
        <v>15017</v>
      </c>
      <c r="D12456" t="s">
        <v>16210</v>
      </c>
      <c r="E12456" t="s">
        <v>27085</v>
      </c>
      <c r="F12456" t="s">
        <v>28198</v>
      </c>
      <c r="G12456" t="s">
        <v>28205</v>
      </c>
      <c r="H12456" t="s">
        <v>28215</v>
      </c>
      <c r="I12456" t="s">
        <v>28234</v>
      </c>
      <c r="J12456" t="s">
        <v>30496</v>
      </c>
      <c r="K12456" t="s">
        <v>36965</v>
      </c>
      <c r="L12456" t="s">
        <v>2986</v>
      </c>
      <c r="M12456" t="s">
        <v>40280</v>
      </c>
      <c r="N12456" t="s">
        <v>40436</v>
      </c>
      <c r="O12456" t="s">
        <v>40437</v>
      </c>
      <c r="P12456">
        <v>0</v>
      </c>
      <c r="Q12456">
        <v>5</v>
      </c>
      <c r="R12456" t="s">
        <v>40456</v>
      </c>
      <c r="S12456" t="s">
        <v>41338</v>
      </c>
      <c r="T12456" t="s">
        <v>42129</v>
      </c>
      <c r="U12456" t="s">
        <v>52822</v>
      </c>
      <c r="V12456" t="s">
        <v>55207</v>
      </c>
      <c r="W12456" t="s">
        <v>40280</v>
      </c>
      <c r="X12456" t="s">
        <v>40457</v>
      </c>
    </row>
    <row r="12457" spans="1:24">
      <c r="A12457">
        <f>HYPERLINK("https://www.philgeps.gov.ph/GEPSNONPILOT/Tender/SplashBidNoticeAbstractUI.aspx?menuIndex=3&amp;refID=7018453&amp;Result=3","7018453")</f>
        <v>0</v>
      </c>
      <c r="B12457" t="s">
        <v>2038</v>
      </c>
      <c r="C12457" t="s">
        <v>15018</v>
      </c>
      <c r="D12457" t="s">
        <v>16274</v>
      </c>
      <c r="E12457" t="s">
        <v>27086</v>
      </c>
      <c r="F12457" t="s">
        <v>28198</v>
      </c>
      <c r="G12457" t="s">
        <v>28205</v>
      </c>
      <c r="H12457" t="s">
        <v>28214</v>
      </c>
      <c r="I12457" t="s">
        <v>3797</v>
      </c>
      <c r="J12457" t="s">
        <v>36001</v>
      </c>
      <c r="K12457" t="s">
        <v>36812</v>
      </c>
      <c r="M12457" t="s">
        <v>39181</v>
      </c>
      <c r="N12457" t="s">
        <v>40436</v>
      </c>
      <c r="O12457" t="s">
        <v>40437</v>
      </c>
      <c r="P12457">
        <v>0</v>
      </c>
      <c r="Q12457">
        <v>0</v>
      </c>
      <c r="R12457" t="s">
        <v>40456</v>
      </c>
      <c r="S12457" t="s">
        <v>41338</v>
      </c>
      <c r="T12457" t="s">
        <v>42233</v>
      </c>
      <c r="U12457" t="s">
        <v>52823</v>
      </c>
      <c r="V12457" t="s">
        <v>55208</v>
      </c>
      <c r="W12457" t="s">
        <v>39181</v>
      </c>
      <c r="X12457" t="s">
        <v>40457</v>
      </c>
    </row>
    <row r="12458" spans="1:24">
      <c r="A12458">
        <f>HYPERLINK("https://www.philgeps.gov.ph/GEPSNONPILOT/Tender/SplashBidNoticeAbstractUI.aspx?menuIndex=3&amp;refID=7018412&amp;Result=3","7018412")</f>
        <v>0</v>
      </c>
      <c r="B12458" t="s">
        <v>2452</v>
      </c>
      <c r="C12458" t="s">
        <v>15019</v>
      </c>
      <c r="D12458" t="s">
        <v>16264</v>
      </c>
      <c r="E12458" t="s">
        <v>27087</v>
      </c>
      <c r="F12458" t="s">
        <v>28198</v>
      </c>
      <c r="G12458" t="s">
        <v>28205</v>
      </c>
      <c r="H12458" t="s">
        <v>28214</v>
      </c>
      <c r="I12458" t="s">
        <v>3797</v>
      </c>
      <c r="J12458" t="s">
        <v>28398</v>
      </c>
      <c r="K12458" t="s">
        <v>36701</v>
      </c>
      <c r="M12458" t="s">
        <v>39643</v>
      </c>
      <c r="N12458" t="s">
        <v>40436</v>
      </c>
      <c r="O12458" t="s">
        <v>40437</v>
      </c>
      <c r="P12458">
        <v>0</v>
      </c>
      <c r="Q12458">
        <v>0</v>
      </c>
      <c r="R12458" t="s">
        <v>40456</v>
      </c>
      <c r="S12458" t="s">
        <v>41338</v>
      </c>
      <c r="T12458" t="s">
        <v>42158</v>
      </c>
      <c r="U12458" t="s">
        <v>49555</v>
      </c>
      <c r="W12458" t="s">
        <v>39643</v>
      </c>
      <c r="X12458" t="s">
        <v>40457</v>
      </c>
    </row>
    <row r="12459" spans="1:24">
      <c r="A12459">
        <f>HYPERLINK("https://www.philgeps.gov.ph/GEPSNONPILOT/Tender/SplashBidNoticeAbstractUI.aspx?menuIndex=3&amp;refID=7018440&amp;Result=3","7018440")</f>
        <v>0</v>
      </c>
      <c r="B12459" t="s">
        <v>452</v>
      </c>
      <c r="C12459" t="s">
        <v>15020</v>
      </c>
      <c r="D12459" t="s">
        <v>16203</v>
      </c>
      <c r="E12459" t="s">
        <v>27088</v>
      </c>
      <c r="F12459" t="s">
        <v>28198</v>
      </c>
      <c r="G12459" t="s">
        <v>28205</v>
      </c>
      <c r="H12459" t="s">
        <v>28215</v>
      </c>
      <c r="I12459" t="s">
        <v>28220</v>
      </c>
      <c r="J12459" t="s">
        <v>30526</v>
      </c>
      <c r="K12459" t="s">
        <v>36697</v>
      </c>
      <c r="M12459" t="s">
        <v>37436</v>
      </c>
      <c r="N12459" t="s">
        <v>40436</v>
      </c>
      <c r="O12459" t="s">
        <v>40437</v>
      </c>
      <c r="P12459">
        <v>0</v>
      </c>
      <c r="Q12459">
        <v>25</v>
      </c>
      <c r="R12459" t="s">
        <v>40456</v>
      </c>
      <c r="S12459" t="s">
        <v>41338</v>
      </c>
      <c r="T12459" t="s">
        <v>42098</v>
      </c>
      <c r="U12459" t="s">
        <v>52824</v>
      </c>
      <c r="W12459" t="s">
        <v>37436</v>
      </c>
      <c r="X12459" t="s">
        <v>40457</v>
      </c>
    </row>
    <row r="12460" spans="1:24">
      <c r="A12460">
        <f>HYPERLINK("https://www.philgeps.gov.ph/GEPSNONPILOT/Tender/SplashBidNoticeAbstractUI.aspx?menuIndex=3&amp;refID=7018375&amp;Result=3","7018375")</f>
        <v>0</v>
      </c>
      <c r="B12460" t="s">
        <v>706</v>
      </c>
      <c r="C12460" t="s">
        <v>15021</v>
      </c>
      <c r="D12460" t="s">
        <v>16202</v>
      </c>
      <c r="E12460" t="s">
        <v>27089</v>
      </c>
      <c r="F12460" t="s">
        <v>28198</v>
      </c>
      <c r="G12460" t="s">
        <v>28205</v>
      </c>
      <c r="H12460" t="s">
        <v>28215</v>
      </c>
      <c r="I12460" t="s">
        <v>5100</v>
      </c>
      <c r="J12460" t="s">
        <v>36002</v>
      </c>
      <c r="K12460" t="s">
        <v>36707</v>
      </c>
      <c r="M12460" t="s">
        <v>37706</v>
      </c>
      <c r="N12460" t="s">
        <v>40436</v>
      </c>
      <c r="O12460" t="s">
        <v>40437</v>
      </c>
      <c r="P12460">
        <v>0</v>
      </c>
      <c r="Q12460">
        <v>2</v>
      </c>
      <c r="R12460" t="s">
        <v>40456</v>
      </c>
      <c r="S12460" t="s">
        <v>41338</v>
      </c>
      <c r="T12460" t="s">
        <v>42218</v>
      </c>
      <c r="U12460" t="s">
        <v>52825</v>
      </c>
      <c r="W12460" t="s">
        <v>37706</v>
      </c>
      <c r="X12460" t="s">
        <v>40457</v>
      </c>
    </row>
    <row r="12461" spans="1:24">
      <c r="A12461">
        <f>HYPERLINK("https://www.philgeps.gov.ph/GEPSNONPILOT/Tender/SplashBidNoticeAbstractUI.aspx?menuIndex=3&amp;refID=7018415&amp;Result=3","7018415")</f>
        <v>0</v>
      </c>
      <c r="B12461" t="s">
        <v>2452</v>
      </c>
      <c r="C12461" t="s">
        <v>15022</v>
      </c>
      <c r="D12461" t="s">
        <v>16264</v>
      </c>
      <c r="E12461" t="s">
        <v>27090</v>
      </c>
      <c r="F12461" t="s">
        <v>28198</v>
      </c>
      <c r="G12461" t="s">
        <v>28205</v>
      </c>
      <c r="H12461" t="s">
        <v>28214</v>
      </c>
      <c r="I12461" t="s">
        <v>3797</v>
      </c>
      <c r="J12461" t="s">
        <v>28363</v>
      </c>
      <c r="K12461" t="s">
        <v>36701</v>
      </c>
      <c r="M12461" t="s">
        <v>39643</v>
      </c>
      <c r="N12461" t="s">
        <v>40436</v>
      </c>
      <c r="O12461" t="s">
        <v>40437</v>
      </c>
      <c r="Q12461">
        <v>0</v>
      </c>
      <c r="R12461" t="s">
        <v>40456</v>
      </c>
      <c r="S12461" t="s">
        <v>41382</v>
      </c>
      <c r="T12461" t="s">
        <v>42158</v>
      </c>
      <c r="U12461" t="s">
        <v>49555</v>
      </c>
      <c r="W12461" t="s">
        <v>39643</v>
      </c>
      <c r="X12461" t="s">
        <v>40457</v>
      </c>
    </row>
    <row r="12462" spans="1:24">
      <c r="A12462">
        <f>HYPERLINK("https://www.philgeps.gov.ph/GEPSNONPILOT/Tender/SplashBidNoticeAbstractUI.aspx?menuIndex=3&amp;refID=7018398&amp;Result=3","7018398")</f>
        <v>0</v>
      </c>
      <c r="B12462" t="s">
        <v>2452</v>
      </c>
      <c r="C12462" t="s">
        <v>15023</v>
      </c>
      <c r="D12462" t="s">
        <v>16264</v>
      </c>
      <c r="E12462" t="s">
        <v>27091</v>
      </c>
      <c r="F12462" t="s">
        <v>28198</v>
      </c>
      <c r="G12462" t="s">
        <v>28205</v>
      </c>
      <c r="H12462" t="s">
        <v>28214</v>
      </c>
      <c r="I12462" t="s">
        <v>3797</v>
      </c>
      <c r="J12462" t="s">
        <v>36003</v>
      </c>
      <c r="K12462" t="s">
        <v>36805</v>
      </c>
      <c r="M12462" t="s">
        <v>39643</v>
      </c>
      <c r="N12462" t="s">
        <v>40436</v>
      </c>
      <c r="O12462" t="s">
        <v>40437</v>
      </c>
      <c r="Q12462">
        <v>0</v>
      </c>
      <c r="R12462" t="s">
        <v>40456</v>
      </c>
      <c r="S12462" t="s">
        <v>41383</v>
      </c>
      <c r="T12462" t="s">
        <v>42158</v>
      </c>
      <c r="U12462" t="s">
        <v>49555</v>
      </c>
      <c r="W12462" t="s">
        <v>39643</v>
      </c>
      <c r="X12462" t="s">
        <v>40457</v>
      </c>
    </row>
    <row r="12463" spans="1:24">
      <c r="A12463">
        <f>HYPERLINK("https://www.philgeps.gov.ph/GEPSNONPILOT/Tender/SplashBidNoticeAbstractUI.aspx?menuIndex=3&amp;refID=7018447&amp;Result=3","7018447")</f>
        <v>0</v>
      </c>
      <c r="B12463" t="s">
        <v>2038</v>
      </c>
      <c r="C12463" t="s">
        <v>15024</v>
      </c>
      <c r="D12463" t="s">
        <v>16274</v>
      </c>
      <c r="E12463" t="s">
        <v>27092</v>
      </c>
      <c r="F12463" t="s">
        <v>28198</v>
      </c>
      <c r="G12463" t="s">
        <v>28205</v>
      </c>
      <c r="H12463" t="s">
        <v>28214</v>
      </c>
      <c r="I12463" t="s">
        <v>3797</v>
      </c>
      <c r="J12463" t="s">
        <v>36004</v>
      </c>
      <c r="K12463" t="s">
        <v>36966</v>
      </c>
      <c r="M12463" t="s">
        <v>39181</v>
      </c>
      <c r="N12463" t="s">
        <v>40436</v>
      </c>
      <c r="O12463" t="s">
        <v>40437</v>
      </c>
      <c r="P12463">
        <v>0</v>
      </c>
      <c r="Q12463">
        <v>0</v>
      </c>
      <c r="R12463" t="s">
        <v>40456</v>
      </c>
      <c r="S12463" t="s">
        <v>41338</v>
      </c>
      <c r="T12463" t="s">
        <v>42233</v>
      </c>
      <c r="U12463" t="s">
        <v>52826</v>
      </c>
      <c r="V12463" t="s">
        <v>55209</v>
      </c>
      <c r="W12463" t="s">
        <v>39181</v>
      </c>
      <c r="X12463" t="s">
        <v>40457</v>
      </c>
    </row>
    <row r="12464" spans="1:24">
      <c r="A12464">
        <f>HYPERLINK("https://www.philgeps.gov.ph/GEPSNONPILOT/Tender/SplashBidNoticeAbstractUI.aspx?menuIndex=3&amp;refID=7018358&amp;Result=3","7018358")</f>
        <v>0</v>
      </c>
      <c r="B12464" t="s">
        <v>2987</v>
      </c>
      <c r="C12464" t="s">
        <v>15025</v>
      </c>
      <c r="D12464" t="s">
        <v>16195</v>
      </c>
      <c r="E12464" t="s">
        <v>27093</v>
      </c>
      <c r="F12464" t="s">
        <v>28198</v>
      </c>
      <c r="G12464" t="s">
        <v>28205</v>
      </c>
      <c r="H12464" t="s">
        <v>28215</v>
      </c>
      <c r="I12464" t="s">
        <v>5100</v>
      </c>
      <c r="J12464" t="s">
        <v>36005</v>
      </c>
      <c r="K12464" t="s">
        <v>36707</v>
      </c>
      <c r="M12464" t="s">
        <v>40281</v>
      </c>
      <c r="N12464" t="s">
        <v>40436</v>
      </c>
      <c r="O12464" t="s">
        <v>40437</v>
      </c>
      <c r="P12464">
        <v>0</v>
      </c>
      <c r="Q12464">
        <v>3</v>
      </c>
      <c r="R12464" t="s">
        <v>40456</v>
      </c>
      <c r="S12464" t="s">
        <v>41338</v>
      </c>
      <c r="T12464" t="s">
        <v>42158</v>
      </c>
      <c r="U12464" t="s">
        <v>52827</v>
      </c>
      <c r="W12464" t="s">
        <v>55545</v>
      </c>
      <c r="X12464" t="s">
        <v>40457</v>
      </c>
    </row>
    <row r="12465" spans="1:24">
      <c r="A12465">
        <f>HYPERLINK("https://www.philgeps.gov.ph/GEPSNONPILOT/Tender/SplashBidNoticeAbstractUI.aspx?menuIndex=3&amp;refID=7018373&amp;Result=3","7018373")</f>
        <v>0</v>
      </c>
      <c r="B12465" t="s">
        <v>1820</v>
      </c>
      <c r="C12465" t="s">
        <v>15026</v>
      </c>
      <c r="D12465" t="s">
        <v>16199</v>
      </c>
      <c r="E12465" t="s">
        <v>27094</v>
      </c>
      <c r="F12465" t="s">
        <v>28198</v>
      </c>
      <c r="G12465" t="s">
        <v>28205</v>
      </c>
      <c r="H12465" t="s">
        <v>28214</v>
      </c>
      <c r="I12465" t="s">
        <v>3797</v>
      </c>
      <c r="J12465" t="s">
        <v>36006</v>
      </c>
      <c r="K12465" t="s">
        <v>36761</v>
      </c>
      <c r="M12465" t="s">
        <v>38941</v>
      </c>
      <c r="N12465" t="s">
        <v>40436</v>
      </c>
      <c r="O12465" t="s">
        <v>40437</v>
      </c>
      <c r="P12465">
        <v>0</v>
      </c>
      <c r="Q12465">
        <v>0</v>
      </c>
      <c r="R12465" t="s">
        <v>40456</v>
      </c>
      <c r="S12465" t="s">
        <v>41338</v>
      </c>
      <c r="T12465" t="s">
        <v>42216</v>
      </c>
      <c r="U12465" t="s">
        <v>52828</v>
      </c>
      <c r="V12465" t="s">
        <v>55210</v>
      </c>
      <c r="W12465" t="s">
        <v>38941</v>
      </c>
      <c r="X12465" t="s">
        <v>40457</v>
      </c>
    </row>
    <row r="12466" spans="1:24">
      <c r="A12466">
        <f>HYPERLINK("https://www.philgeps.gov.ph/GEPSNONPILOT/Tender/SplashBidNoticeAbstractUI.aspx?menuIndex=3&amp;refID=7018309&amp;Result=3","7018309")</f>
        <v>0</v>
      </c>
      <c r="B12466" t="s">
        <v>1512</v>
      </c>
      <c r="C12466" t="s">
        <v>15027</v>
      </c>
      <c r="D12466" t="s">
        <v>16254</v>
      </c>
      <c r="E12466" t="s">
        <v>27095</v>
      </c>
      <c r="F12466" t="s">
        <v>28198</v>
      </c>
      <c r="G12466" t="s">
        <v>28205</v>
      </c>
      <c r="H12466" t="s">
        <v>28215</v>
      </c>
      <c r="I12466" t="s">
        <v>5100</v>
      </c>
      <c r="J12466" t="s">
        <v>31366</v>
      </c>
      <c r="K12466" t="s">
        <v>36689</v>
      </c>
      <c r="L12466" t="s">
        <v>1512</v>
      </c>
      <c r="M12466" t="s">
        <v>38589</v>
      </c>
      <c r="N12466" t="s">
        <v>40436</v>
      </c>
      <c r="O12466" t="s">
        <v>40437</v>
      </c>
      <c r="P12466">
        <v>0</v>
      </c>
      <c r="Q12466">
        <v>0</v>
      </c>
      <c r="R12466" t="s">
        <v>40456</v>
      </c>
      <c r="S12466" t="s">
        <v>41338</v>
      </c>
      <c r="T12466" t="s">
        <v>42259</v>
      </c>
      <c r="U12466" t="s">
        <v>52829</v>
      </c>
      <c r="W12466" t="s">
        <v>38589</v>
      </c>
      <c r="X12466" t="s">
        <v>40457</v>
      </c>
    </row>
    <row r="12467" spans="1:24">
      <c r="A12467">
        <f>HYPERLINK("https://www.philgeps.gov.ph/GEPSNONPILOT/Tender/SplashBidNoticeAbstractUI.aspx?menuIndex=3&amp;refID=7018423&amp;Result=3","7018423")</f>
        <v>0</v>
      </c>
      <c r="B12467" t="s">
        <v>452</v>
      </c>
      <c r="C12467" t="s">
        <v>15028</v>
      </c>
      <c r="D12467" t="s">
        <v>16203</v>
      </c>
      <c r="E12467" t="s">
        <v>27096</v>
      </c>
      <c r="F12467" t="s">
        <v>28198</v>
      </c>
      <c r="G12467" t="s">
        <v>28205</v>
      </c>
      <c r="H12467" t="s">
        <v>28215</v>
      </c>
      <c r="I12467" t="s">
        <v>28220</v>
      </c>
      <c r="J12467" t="s">
        <v>28699</v>
      </c>
      <c r="K12467" t="s">
        <v>36697</v>
      </c>
      <c r="M12467" t="s">
        <v>37436</v>
      </c>
      <c r="N12467" t="s">
        <v>40436</v>
      </c>
      <c r="O12467" t="s">
        <v>40437</v>
      </c>
      <c r="P12467">
        <v>0</v>
      </c>
      <c r="Q12467">
        <v>25</v>
      </c>
      <c r="R12467" t="s">
        <v>40456</v>
      </c>
      <c r="S12467" t="s">
        <v>41338</v>
      </c>
      <c r="T12467" t="s">
        <v>42112</v>
      </c>
      <c r="U12467" t="s">
        <v>52830</v>
      </c>
      <c r="W12467" t="s">
        <v>37436</v>
      </c>
      <c r="X12467" t="s">
        <v>40457</v>
      </c>
    </row>
    <row r="12468" spans="1:24">
      <c r="A12468">
        <f>HYPERLINK("https://www.philgeps.gov.ph/GEPSNONPILOT/Tender/SplashBidNoticeAbstractUI.aspx?menuIndex=3&amp;refID=7018496&amp;Result=3","7018496")</f>
        <v>0</v>
      </c>
      <c r="B12468" t="s">
        <v>1866</v>
      </c>
      <c r="C12468" t="s">
        <v>15029</v>
      </c>
      <c r="D12468" t="s">
        <v>16243</v>
      </c>
      <c r="E12468" t="s">
        <v>27097</v>
      </c>
      <c r="F12468" t="s">
        <v>28198</v>
      </c>
      <c r="G12468" t="s">
        <v>28205</v>
      </c>
      <c r="H12468" t="s">
        <v>28214</v>
      </c>
      <c r="I12468" t="s">
        <v>3797</v>
      </c>
      <c r="J12468" t="s">
        <v>36007</v>
      </c>
      <c r="K12468" t="s">
        <v>36761</v>
      </c>
      <c r="M12468" t="s">
        <v>38994</v>
      </c>
      <c r="N12468" t="s">
        <v>40436</v>
      </c>
      <c r="O12468" t="s">
        <v>40437</v>
      </c>
      <c r="P12468">
        <v>0</v>
      </c>
      <c r="Q12468">
        <v>2</v>
      </c>
      <c r="R12468" t="s">
        <v>40456</v>
      </c>
      <c r="S12468" t="s">
        <v>41338</v>
      </c>
      <c r="T12468" t="s">
        <v>42103</v>
      </c>
      <c r="U12468" t="s">
        <v>52831</v>
      </c>
      <c r="W12468" t="s">
        <v>38994</v>
      </c>
      <c r="X12468" t="s">
        <v>40457</v>
      </c>
    </row>
    <row r="12469" spans="1:24">
      <c r="A12469">
        <f>HYPERLINK("https://www.philgeps.gov.ph/GEPSNONPILOT/Tender/SplashBidNoticeAbstractUI.aspx?menuIndex=3&amp;refID=7002818&amp;Result=3","7002818")</f>
        <v>0</v>
      </c>
      <c r="B12469" t="s">
        <v>2988</v>
      </c>
      <c r="C12469" t="s">
        <v>15030</v>
      </c>
      <c r="D12469" t="s">
        <v>16192</v>
      </c>
      <c r="E12469" t="s">
        <v>27098</v>
      </c>
      <c r="F12469" t="s">
        <v>28198</v>
      </c>
      <c r="G12469" t="s">
        <v>28205</v>
      </c>
      <c r="H12469" t="s">
        <v>28214</v>
      </c>
      <c r="I12469" t="s">
        <v>3797</v>
      </c>
      <c r="J12469" t="s">
        <v>36008</v>
      </c>
      <c r="K12469" t="s">
        <v>36690</v>
      </c>
      <c r="M12469" t="s">
        <v>40282</v>
      </c>
      <c r="N12469" t="s">
        <v>40436</v>
      </c>
      <c r="O12469" t="s">
        <v>40437</v>
      </c>
      <c r="Q12469">
        <v>12</v>
      </c>
      <c r="R12469" t="s">
        <v>40457</v>
      </c>
      <c r="S12469" t="s">
        <v>41384</v>
      </c>
      <c r="T12469" t="s">
        <v>42129</v>
      </c>
      <c r="U12469" t="s">
        <v>52832</v>
      </c>
      <c r="V12469" t="s">
        <v>54156</v>
      </c>
      <c r="W12469" t="s">
        <v>40282</v>
      </c>
      <c r="X12469" t="s">
        <v>40465</v>
      </c>
    </row>
    <row r="12470" spans="1:24">
      <c r="A12470">
        <f>HYPERLINK("https://www.philgeps.gov.ph/GEPSNONPILOT/Tender/SplashBidNoticeAbstractUI.aspx?menuIndex=3&amp;refID=7018320&amp;Result=3","7018320")</f>
        <v>0</v>
      </c>
      <c r="B12470" t="s">
        <v>2989</v>
      </c>
      <c r="C12470" t="s">
        <v>15031</v>
      </c>
      <c r="D12470" t="s">
        <v>16260</v>
      </c>
      <c r="E12470" t="s">
        <v>18071</v>
      </c>
      <c r="F12470" t="s">
        <v>28198</v>
      </c>
      <c r="G12470" t="s">
        <v>28205</v>
      </c>
      <c r="H12470" t="s">
        <v>28215</v>
      </c>
      <c r="I12470" t="s">
        <v>28251</v>
      </c>
      <c r="J12470" t="s">
        <v>28687</v>
      </c>
      <c r="K12470" t="s">
        <v>36706</v>
      </c>
      <c r="M12470" t="s">
        <v>40283</v>
      </c>
      <c r="N12470" t="s">
        <v>40436</v>
      </c>
      <c r="O12470" t="s">
        <v>40437</v>
      </c>
      <c r="P12470">
        <v>0</v>
      </c>
      <c r="Q12470">
        <v>4</v>
      </c>
      <c r="R12470" t="s">
        <v>40456</v>
      </c>
      <c r="S12470" t="s">
        <v>41338</v>
      </c>
      <c r="T12470" t="s">
        <v>42190</v>
      </c>
      <c r="U12470" t="s">
        <v>52833</v>
      </c>
      <c r="V12470" t="s">
        <v>55211</v>
      </c>
      <c r="W12470" t="s">
        <v>40283</v>
      </c>
      <c r="X12470" t="s">
        <v>40457</v>
      </c>
    </row>
    <row r="12471" spans="1:24">
      <c r="A12471">
        <f>HYPERLINK("https://www.philgeps.gov.ph/GEPSNONPILOT/Tender/SplashBidNoticeAbstractUI.aspx?menuIndex=3&amp;refID=7018455&amp;Result=3","7018455")</f>
        <v>0</v>
      </c>
      <c r="B12471" t="s">
        <v>2038</v>
      </c>
      <c r="C12471" t="s">
        <v>15032</v>
      </c>
      <c r="D12471" t="s">
        <v>16274</v>
      </c>
      <c r="E12471" t="s">
        <v>27099</v>
      </c>
      <c r="F12471" t="s">
        <v>28198</v>
      </c>
      <c r="G12471" t="s">
        <v>28205</v>
      </c>
      <c r="H12471" t="s">
        <v>28214</v>
      </c>
      <c r="I12471" t="s">
        <v>3797</v>
      </c>
      <c r="J12471" t="s">
        <v>36009</v>
      </c>
      <c r="K12471" t="s">
        <v>36746</v>
      </c>
      <c r="M12471" t="s">
        <v>39181</v>
      </c>
      <c r="N12471" t="s">
        <v>40436</v>
      </c>
      <c r="O12471" t="s">
        <v>40437</v>
      </c>
      <c r="Q12471">
        <v>0</v>
      </c>
      <c r="R12471" t="s">
        <v>40456</v>
      </c>
      <c r="S12471" t="s">
        <v>41385</v>
      </c>
      <c r="T12471" t="s">
        <v>42233</v>
      </c>
      <c r="U12471" t="s">
        <v>52834</v>
      </c>
      <c r="V12471" t="s">
        <v>55212</v>
      </c>
      <c r="W12471" t="s">
        <v>39181</v>
      </c>
      <c r="X12471" t="s">
        <v>40457</v>
      </c>
    </row>
    <row r="12472" spans="1:24">
      <c r="A12472">
        <f>HYPERLINK("https://www.philgeps.gov.ph/GEPSNONPILOT/Tender/SplashBidNoticeAbstractUI.aspx?menuIndex=3&amp;refID=7001459&amp;Result=3","7001459")</f>
        <v>0</v>
      </c>
      <c r="B12472" t="s">
        <v>998</v>
      </c>
      <c r="C12472" t="s">
        <v>6421</v>
      </c>
      <c r="D12472" t="s">
        <v>16209</v>
      </c>
      <c r="E12472" t="s">
        <v>27100</v>
      </c>
      <c r="F12472" t="s">
        <v>28198</v>
      </c>
      <c r="G12472" t="s">
        <v>28205</v>
      </c>
      <c r="H12472" t="s">
        <v>28215</v>
      </c>
      <c r="I12472" t="s">
        <v>28228</v>
      </c>
      <c r="J12472" t="s">
        <v>29598</v>
      </c>
      <c r="K12472" t="s">
        <v>36706</v>
      </c>
      <c r="L12472" t="s">
        <v>998</v>
      </c>
      <c r="M12472" t="s">
        <v>38026</v>
      </c>
      <c r="N12472" t="s">
        <v>40436</v>
      </c>
      <c r="O12472" t="s">
        <v>40437</v>
      </c>
      <c r="P12472">
        <v>0</v>
      </c>
      <c r="Q12472">
        <v>0</v>
      </c>
      <c r="R12472" t="s">
        <v>40457</v>
      </c>
      <c r="S12472" t="s">
        <v>41386</v>
      </c>
      <c r="T12472" t="s">
        <v>42141</v>
      </c>
      <c r="U12472" t="s">
        <v>52835</v>
      </c>
      <c r="W12472" t="s">
        <v>38026</v>
      </c>
      <c r="X12472" t="s">
        <v>40471</v>
      </c>
    </row>
    <row r="12473" spans="1:24">
      <c r="A12473">
        <f>HYPERLINK("https://www.philgeps.gov.ph/GEPSNONPILOT/Tender/SplashBidNoticeAbstractUI.aspx?menuIndex=3&amp;refID=7018570&amp;Result=3","7018570")</f>
        <v>0</v>
      </c>
      <c r="B12473" t="s">
        <v>2976</v>
      </c>
      <c r="C12473" t="s">
        <v>15033</v>
      </c>
      <c r="D12473" t="s">
        <v>16197</v>
      </c>
      <c r="E12473" t="s">
        <v>27101</v>
      </c>
      <c r="F12473" t="s">
        <v>28201</v>
      </c>
      <c r="G12473" t="s">
        <v>28205</v>
      </c>
      <c r="H12473" t="s">
        <v>28215</v>
      </c>
      <c r="I12473" t="s">
        <v>28243</v>
      </c>
      <c r="J12473" t="s">
        <v>36010</v>
      </c>
      <c r="K12473" t="s">
        <v>36697</v>
      </c>
      <c r="M12473" t="s">
        <v>40267</v>
      </c>
      <c r="N12473" t="s">
        <v>40436</v>
      </c>
      <c r="O12473" t="s">
        <v>40437</v>
      </c>
      <c r="Q12473">
        <v>6</v>
      </c>
      <c r="R12473" t="s">
        <v>40456</v>
      </c>
      <c r="S12473" t="s">
        <v>41387</v>
      </c>
      <c r="T12473" t="s">
        <v>42455</v>
      </c>
      <c r="U12473" t="s">
        <v>52836</v>
      </c>
      <c r="W12473" t="s">
        <v>40267</v>
      </c>
      <c r="X12473" t="s">
        <v>40457</v>
      </c>
    </row>
    <row r="12474" spans="1:24">
      <c r="A12474">
        <f>HYPERLINK("https://www.philgeps.gov.ph/GEPSNONPILOT/Tender/SplashBidNoticeAbstractUI.aspx?menuIndex=3&amp;refID=7018562&amp;Result=3","7018562")</f>
        <v>0</v>
      </c>
      <c r="B12474" t="s">
        <v>2976</v>
      </c>
      <c r="C12474" t="s">
        <v>15034</v>
      </c>
      <c r="D12474" t="s">
        <v>16197</v>
      </c>
      <c r="E12474" t="s">
        <v>27089</v>
      </c>
      <c r="F12474" t="s">
        <v>28201</v>
      </c>
      <c r="G12474" t="s">
        <v>28205</v>
      </c>
      <c r="H12474" t="s">
        <v>28215</v>
      </c>
      <c r="I12474" t="s">
        <v>28243</v>
      </c>
      <c r="J12474" t="s">
        <v>29261</v>
      </c>
      <c r="K12474" t="s">
        <v>36697</v>
      </c>
      <c r="M12474" t="s">
        <v>40267</v>
      </c>
      <c r="N12474" t="s">
        <v>40436</v>
      </c>
      <c r="O12474" t="s">
        <v>40437</v>
      </c>
      <c r="Q12474">
        <v>4</v>
      </c>
      <c r="R12474" t="s">
        <v>40456</v>
      </c>
      <c r="S12474" t="s">
        <v>41388</v>
      </c>
      <c r="T12474" t="s">
        <v>42455</v>
      </c>
      <c r="U12474" t="s">
        <v>52837</v>
      </c>
      <c r="W12474" t="s">
        <v>40267</v>
      </c>
      <c r="X12474" t="s">
        <v>40457</v>
      </c>
    </row>
    <row r="12475" spans="1:24">
      <c r="A12475">
        <f>HYPERLINK("https://www.philgeps.gov.ph/GEPSNONPILOT/Tender/SplashBidNoticeAbstractUI.aspx?menuIndex=3&amp;refID=7018311&amp;Result=3","7018311")</f>
        <v>0</v>
      </c>
      <c r="B12475" t="s">
        <v>1885</v>
      </c>
      <c r="C12475" t="s">
        <v>15035</v>
      </c>
      <c r="D12475" t="s">
        <v>16235</v>
      </c>
      <c r="E12475" t="s">
        <v>27102</v>
      </c>
      <c r="F12475" t="s">
        <v>28198</v>
      </c>
      <c r="G12475" t="s">
        <v>28205</v>
      </c>
      <c r="H12475" t="s">
        <v>28215</v>
      </c>
      <c r="I12475" t="s">
        <v>28222</v>
      </c>
      <c r="J12475" t="s">
        <v>31441</v>
      </c>
      <c r="K12475" t="s">
        <v>36701</v>
      </c>
      <c r="M12475" t="s">
        <v>39017</v>
      </c>
      <c r="N12475" t="s">
        <v>40436</v>
      </c>
      <c r="O12475" t="s">
        <v>40437</v>
      </c>
      <c r="P12475">
        <v>0</v>
      </c>
      <c r="Q12475">
        <v>6</v>
      </c>
      <c r="R12475" t="s">
        <v>40456</v>
      </c>
      <c r="S12475" t="s">
        <v>41338</v>
      </c>
      <c r="T12475" t="s">
        <v>42199</v>
      </c>
      <c r="U12475" t="s">
        <v>52838</v>
      </c>
      <c r="W12475" t="s">
        <v>39017</v>
      </c>
      <c r="X12475" t="s">
        <v>40457</v>
      </c>
    </row>
    <row r="12476" spans="1:24">
      <c r="A12476">
        <f>HYPERLINK("https://www.philgeps.gov.ph/GEPSNONPILOT/Tender/SplashBidNoticeAbstractUI.aspx?menuIndex=3&amp;refID=7018569&amp;Result=3","7018569")</f>
        <v>0</v>
      </c>
      <c r="B12476" t="s">
        <v>2976</v>
      </c>
      <c r="C12476" t="s">
        <v>15036</v>
      </c>
      <c r="D12476" t="s">
        <v>16197</v>
      </c>
      <c r="E12476" t="s">
        <v>27103</v>
      </c>
      <c r="F12476" t="s">
        <v>28201</v>
      </c>
      <c r="G12476" t="s">
        <v>28205</v>
      </c>
      <c r="H12476" t="s">
        <v>28215</v>
      </c>
      <c r="I12476" t="s">
        <v>28243</v>
      </c>
      <c r="J12476" t="s">
        <v>36010</v>
      </c>
      <c r="K12476" t="s">
        <v>36697</v>
      </c>
      <c r="M12476" t="s">
        <v>40267</v>
      </c>
      <c r="N12476" t="s">
        <v>40436</v>
      </c>
      <c r="O12476" t="s">
        <v>40437</v>
      </c>
      <c r="Q12476">
        <v>5</v>
      </c>
      <c r="R12476" t="s">
        <v>40456</v>
      </c>
      <c r="S12476" t="s">
        <v>41389</v>
      </c>
      <c r="T12476" t="s">
        <v>42455</v>
      </c>
      <c r="U12476" t="s">
        <v>52839</v>
      </c>
      <c r="W12476" t="s">
        <v>40267</v>
      </c>
      <c r="X12476" t="s">
        <v>40457</v>
      </c>
    </row>
    <row r="12477" spans="1:24">
      <c r="A12477">
        <f>HYPERLINK("https://www.philgeps.gov.ph/GEPSNONPILOT/Tender/SplashBidNoticeAbstractUI.aspx?menuIndex=3&amp;refID=7018535&amp;Result=3","7018535")</f>
        <v>0</v>
      </c>
      <c r="B12477" t="s">
        <v>2990</v>
      </c>
      <c r="C12477" t="s">
        <v>15037</v>
      </c>
      <c r="D12477" t="s">
        <v>16249</v>
      </c>
      <c r="E12477" t="s">
        <v>26339</v>
      </c>
      <c r="F12477" t="s">
        <v>28198</v>
      </c>
      <c r="G12477" t="s">
        <v>28205</v>
      </c>
      <c r="H12477" t="s">
        <v>28215</v>
      </c>
      <c r="I12477" t="s">
        <v>5100</v>
      </c>
      <c r="J12477" t="s">
        <v>36011</v>
      </c>
      <c r="K12477" t="s">
        <v>36688</v>
      </c>
      <c r="M12477" t="s">
        <v>40284</v>
      </c>
      <c r="N12477" t="s">
        <v>40436</v>
      </c>
      <c r="O12477" t="s">
        <v>40437</v>
      </c>
      <c r="Q12477">
        <v>10</v>
      </c>
      <c r="R12477" t="s">
        <v>40456</v>
      </c>
      <c r="S12477" t="s">
        <v>41390</v>
      </c>
      <c r="T12477" t="s">
        <v>42131</v>
      </c>
      <c r="U12477" t="s">
        <v>52840</v>
      </c>
      <c r="W12477" t="s">
        <v>40284</v>
      </c>
      <c r="X12477" t="s">
        <v>40457</v>
      </c>
    </row>
    <row r="12478" spans="1:24">
      <c r="A12478">
        <f>HYPERLINK("https://www.philgeps.gov.ph/GEPSNONPILOT/Tender/SplashBidNoticeAbstractUI.aspx?menuIndex=3&amp;refID=7018544&amp;Result=3","7018544")</f>
        <v>0</v>
      </c>
      <c r="B12478" t="s">
        <v>2106</v>
      </c>
      <c r="C12478" t="s">
        <v>15038</v>
      </c>
      <c r="D12478" t="s">
        <v>16203</v>
      </c>
      <c r="E12478" t="s">
        <v>27104</v>
      </c>
      <c r="F12478" t="s">
        <v>28198</v>
      </c>
      <c r="G12478" t="s">
        <v>28205</v>
      </c>
      <c r="H12478" t="s">
        <v>28214</v>
      </c>
      <c r="I12478" t="s">
        <v>3797</v>
      </c>
      <c r="J12478" t="s">
        <v>36012</v>
      </c>
      <c r="K12478" t="s">
        <v>36967</v>
      </c>
      <c r="M12478" t="s">
        <v>39259</v>
      </c>
      <c r="N12478" t="s">
        <v>40436</v>
      </c>
      <c r="O12478" t="s">
        <v>40437</v>
      </c>
      <c r="P12478">
        <v>0</v>
      </c>
      <c r="Q12478">
        <v>0</v>
      </c>
      <c r="R12478" t="s">
        <v>40456</v>
      </c>
      <c r="S12478" t="s">
        <v>41338</v>
      </c>
      <c r="T12478" t="s">
        <v>42103</v>
      </c>
      <c r="U12478" t="s">
        <v>52841</v>
      </c>
      <c r="W12478" t="s">
        <v>39259</v>
      </c>
      <c r="X12478" t="s">
        <v>40457</v>
      </c>
    </row>
    <row r="12479" spans="1:24">
      <c r="A12479">
        <f>HYPERLINK("https://www.philgeps.gov.ph/GEPSNONPILOT/Tender/SplashBidNoticeAbstractUI.aspx?menuIndex=3&amp;refID=7018513&amp;Result=3","7018513")</f>
        <v>0</v>
      </c>
      <c r="B12479" t="s">
        <v>1569</v>
      </c>
      <c r="C12479" t="s">
        <v>15039</v>
      </c>
      <c r="D12479" t="s">
        <v>16189</v>
      </c>
      <c r="E12479" t="s">
        <v>27105</v>
      </c>
      <c r="F12479" t="s">
        <v>28198</v>
      </c>
      <c r="G12479" t="s">
        <v>28205</v>
      </c>
      <c r="H12479" t="s">
        <v>28214</v>
      </c>
      <c r="I12479" t="s">
        <v>3797</v>
      </c>
      <c r="J12479" t="s">
        <v>36013</v>
      </c>
      <c r="K12479" t="s">
        <v>36689</v>
      </c>
      <c r="M12479" t="s">
        <v>38933</v>
      </c>
      <c r="N12479" t="s">
        <v>40436</v>
      </c>
      <c r="O12479" t="s">
        <v>40437</v>
      </c>
      <c r="P12479">
        <v>0</v>
      </c>
      <c r="Q12479">
        <v>0</v>
      </c>
      <c r="R12479" t="s">
        <v>40456</v>
      </c>
      <c r="S12479" t="s">
        <v>41338</v>
      </c>
      <c r="T12479" t="s">
        <v>42103</v>
      </c>
      <c r="U12479" t="s">
        <v>52842</v>
      </c>
      <c r="W12479" t="s">
        <v>38933</v>
      </c>
      <c r="X12479" t="s">
        <v>40457</v>
      </c>
    </row>
    <row r="12480" spans="1:24">
      <c r="A12480">
        <f>HYPERLINK("https://www.philgeps.gov.ph/GEPSNONPILOT/Tender/SplashBidNoticeAbstractUI.aspx?menuIndex=3&amp;refID=7018518&amp;Result=3","7018518")</f>
        <v>0</v>
      </c>
      <c r="B12480" t="s">
        <v>1569</v>
      </c>
      <c r="C12480" t="s">
        <v>15040</v>
      </c>
      <c r="D12480" t="s">
        <v>16189</v>
      </c>
      <c r="E12480" t="s">
        <v>27106</v>
      </c>
      <c r="F12480" t="s">
        <v>28198</v>
      </c>
      <c r="G12480" t="s">
        <v>28205</v>
      </c>
      <c r="H12480" t="s">
        <v>28214</v>
      </c>
      <c r="I12480" t="s">
        <v>3797</v>
      </c>
      <c r="J12480" t="s">
        <v>29331</v>
      </c>
      <c r="K12480" t="s">
        <v>36689</v>
      </c>
      <c r="M12480" t="s">
        <v>38933</v>
      </c>
      <c r="N12480" t="s">
        <v>40436</v>
      </c>
      <c r="O12480" t="s">
        <v>40437</v>
      </c>
      <c r="Q12480">
        <v>0</v>
      </c>
      <c r="R12480" t="s">
        <v>40456</v>
      </c>
      <c r="S12480" t="s">
        <v>41391</v>
      </c>
      <c r="T12480" t="s">
        <v>42103</v>
      </c>
      <c r="U12480" t="s">
        <v>52843</v>
      </c>
      <c r="W12480" t="s">
        <v>38933</v>
      </c>
      <c r="X12480" t="s">
        <v>40457</v>
      </c>
    </row>
    <row r="12481" spans="1:24">
      <c r="A12481">
        <f>HYPERLINK("https://www.philgeps.gov.ph/GEPSNONPILOT/Tender/SplashBidNoticeAbstractUI.aspx?menuIndex=3&amp;refID=7009319&amp;Result=3","7009319")</f>
        <v>0</v>
      </c>
      <c r="B12481" t="s">
        <v>2988</v>
      </c>
      <c r="C12481" t="s">
        <v>15041</v>
      </c>
      <c r="D12481" t="s">
        <v>16192</v>
      </c>
      <c r="E12481" t="s">
        <v>27107</v>
      </c>
      <c r="F12481" t="s">
        <v>28198</v>
      </c>
      <c r="G12481" t="s">
        <v>28205</v>
      </c>
      <c r="H12481" t="s">
        <v>28214</v>
      </c>
      <c r="I12481" t="s">
        <v>3797</v>
      </c>
      <c r="J12481" t="s">
        <v>36014</v>
      </c>
      <c r="K12481" t="s">
        <v>36738</v>
      </c>
      <c r="M12481" t="s">
        <v>40282</v>
      </c>
      <c r="N12481" t="s">
        <v>40436</v>
      </c>
      <c r="O12481" t="s">
        <v>40437</v>
      </c>
      <c r="Q12481">
        <v>9</v>
      </c>
      <c r="R12481" t="s">
        <v>40457</v>
      </c>
      <c r="S12481" t="s">
        <v>41392</v>
      </c>
      <c r="T12481" t="s">
        <v>42129</v>
      </c>
      <c r="U12481" t="s">
        <v>52844</v>
      </c>
      <c r="V12481" t="s">
        <v>54156</v>
      </c>
      <c r="W12481" t="s">
        <v>40282</v>
      </c>
      <c r="X12481" t="s">
        <v>40466</v>
      </c>
    </row>
    <row r="12482" spans="1:24">
      <c r="A12482">
        <f>HYPERLINK("https://www.philgeps.gov.ph/GEPSNONPILOT/Tender/SplashBidNoticeAbstractUI.aspx?menuIndex=3&amp;refID=7018386&amp;Result=3","7018386")</f>
        <v>0</v>
      </c>
      <c r="B12482" t="s">
        <v>305</v>
      </c>
      <c r="C12482" t="s">
        <v>15042</v>
      </c>
      <c r="D12482" t="s">
        <v>16197</v>
      </c>
      <c r="E12482" t="s">
        <v>27108</v>
      </c>
      <c r="F12482" t="s">
        <v>28198</v>
      </c>
      <c r="G12482" t="s">
        <v>28205</v>
      </c>
      <c r="H12482" t="s">
        <v>28214</v>
      </c>
      <c r="I12482" t="s">
        <v>3797</v>
      </c>
      <c r="J12482" t="s">
        <v>36015</v>
      </c>
      <c r="K12482" t="s">
        <v>36692</v>
      </c>
      <c r="M12482" t="s">
        <v>40285</v>
      </c>
      <c r="N12482" t="s">
        <v>40436</v>
      </c>
      <c r="O12482" t="s">
        <v>40437</v>
      </c>
      <c r="P12482">
        <v>0</v>
      </c>
      <c r="Q12482">
        <v>0</v>
      </c>
      <c r="R12482" t="s">
        <v>40456</v>
      </c>
      <c r="S12482" t="s">
        <v>41338</v>
      </c>
      <c r="T12482" t="s">
        <v>42228</v>
      </c>
      <c r="U12482" t="s">
        <v>52845</v>
      </c>
      <c r="W12482" t="s">
        <v>40285</v>
      </c>
      <c r="X12482" t="s">
        <v>40457</v>
      </c>
    </row>
    <row r="12483" spans="1:24">
      <c r="A12483">
        <f>HYPERLINK("https://www.philgeps.gov.ph/GEPSNONPILOT/Tender/SplashBidNoticeAbstractUI.aspx?menuIndex=3&amp;refID=7018573&amp;Result=3","7018573")</f>
        <v>0</v>
      </c>
      <c r="B12483" t="s">
        <v>2976</v>
      </c>
      <c r="C12483" t="s">
        <v>15043</v>
      </c>
      <c r="D12483" t="s">
        <v>16197</v>
      </c>
      <c r="E12483" t="s">
        <v>27109</v>
      </c>
      <c r="F12483" t="s">
        <v>28198</v>
      </c>
      <c r="G12483" t="s">
        <v>28205</v>
      </c>
      <c r="H12483" t="s">
        <v>28215</v>
      </c>
      <c r="I12483" t="s">
        <v>28243</v>
      </c>
      <c r="J12483" t="s">
        <v>28699</v>
      </c>
      <c r="K12483" t="s">
        <v>36697</v>
      </c>
      <c r="M12483" t="s">
        <v>40267</v>
      </c>
      <c r="N12483" t="s">
        <v>40436</v>
      </c>
      <c r="O12483" t="s">
        <v>40437</v>
      </c>
      <c r="Q12483">
        <v>9</v>
      </c>
      <c r="R12483" t="s">
        <v>40456</v>
      </c>
      <c r="S12483" t="s">
        <v>41393</v>
      </c>
      <c r="T12483" t="s">
        <v>42455</v>
      </c>
      <c r="U12483" t="s">
        <v>52846</v>
      </c>
      <c r="W12483" t="s">
        <v>40267</v>
      </c>
      <c r="X12483" t="s">
        <v>40457</v>
      </c>
    </row>
    <row r="12484" spans="1:24">
      <c r="A12484">
        <f>HYPERLINK("https://www.philgeps.gov.ph/GEPSNONPILOT/Tender/SplashBidNoticeAbstractUI.aspx?menuIndex=3&amp;refID=7018512&amp;Result=3","7018512")</f>
        <v>0</v>
      </c>
      <c r="B12484" t="s">
        <v>1569</v>
      </c>
      <c r="C12484" t="s">
        <v>15044</v>
      </c>
      <c r="D12484" t="s">
        <v>16189</v>
      </c>
      <c r="E12484" t="s">
        <v>27110</v>
      </c>
      <c r="F12484" t="s">
        <v>28198</v>
      </c>
      <c r="G12484" t="s">
        <v>28205</v>
      </c>
      <c r="H12484" t="s">
        <v>28214</v>
      </c>
      <c r="I12484" t="s">
        <v>3797</v>
      </c>
      <c r="J12484" t="s">
        <v>31114</v>
      </c>
      <c r="K12484" t="s">
        <v>36689</v>
      </c>
      <c r="M12484" t="s">
        <v>38933</v>
      </c>
      <c r="N12484" t="s">
        <v>40436</v>
      </c>
      <c r="O12484" t="s">
        <v>40437</v>
      </c>
      <c r="P12484">
        <v>0</v>
      </c>
      <c r="Q12484">
        <v>1</v>
      </c>
      <c r="R12484" t="s">
        <v>40456</v>
      </c>
      <c r="S12484" t="s">
        <v>41338</v>
      </c>
      <c r="T12484" t="s">
        <v>42103</v>
      </c>
      <c r="U12484" t="s">
        <v>52847</v>
      </c>
      <c r="W12484" t="s">
        <v>38933</v>
      </c>
      <c r="X12484" t="s">
        <v>40457</v>
      </c>
    </row>
    <row r="12485" spans="1:24">
      <c r="A12485">
        <f>HYPERLINK("https://www.philgeps.gov.ph/GEPSNONPILOT/Tender/SplashBidNoticeAbstractUI.aspx?menuIndex=3&amp;refID=7018566&amp;Result=3","7018566")</f>
        <v>0</v>
      </c>
      <c r="B12485" t="s">
        <v>2976</v>
      </c>
      <c r="C12485" t="s">
        <v>15045</v>
      </c>
      <c r="D12485" t="s">
        <v>16197</v>
      </c>
      <c r="E12485" t="s">
        <v>27111</v>
      </c>
      <c r="F12485" t="s">
        <v>28201</v>
      </c>
      <c r="G12485" t="s">
        <v>28205</v>
      </c>
      <c r="H12485" t="s">
        <v>28215</v>
      </c>
      <c r="I12485" t="s">
        <v>28243</v>
      </c>
      <c r="J12485" t="s">
        <v>29261</v>
      </c>
      <c r="K12485" t="s">
        <v>36697</v>
      </c>
      <c r="M12485" t="s">
        <v>40267</v>
      </c>
      <c r="N12485" t="s">
        <v>40436</v>
      </c>
      <c r="O12485" t="s">
        <v>40437</v>
      </c>
      <c r="Q12485">
        <v>5</v>
      </c>
      <c r="R12485" t="s">
        <v>40456</v>
      </c>
      <c r="S12485" t="s">
        <v>41394</v>
      </c>
      <c r="T12485" t="s">
        <v>42455</v>
      </c>
      <c r="U12485" t="s">
        <v>52848</v>
      </c>
      <c r="W12485" t="s">
        <v>40267</v>
      </c>
      <c r="X12485" t="s">
        <v>40457</v>
      </c>
    </row>
    <row r="12486" spans="1:24">
      <c r="A12486">
        <f>HYPERLINK("https://www.philgeps.gov.ph/GEPSNONPILOT/Tender/SplashBidNoticeAbstractUI.aspx?menuIndex=3&amp;refID=7012923&amp;Result=3","7012923")</f>
        <v>0</v>
      </c>
      <c r="B12486" t="s">
        <v>1282</v>
      </c>
      <c r="C12486" t="s">
        <v>15046</v>
      </c>
      <c r="D12486" t="s">
        <v>16214</v>
      </c>
      <c r="E12486" t="s">
        <v>27112</v>
      </c>
      <c r="F12486" t="s">
        <v>28198</v>
      </c>
      <c r="G12486" t="s">
        <v>28205</v>
      </c>
      <c r="H12486" t="s">
        <v>28214</v>
      </c>
      <c r="I12486" t="s">
        <v>3797</v>
      </c>
      <c r="J12486" t="s">
        <v>36016</v>
      </c>
      <c r="K12486" t="s">
        <v>36690</v>
      </c>
      <c r="M12486" t="s">
        <v>39998</v>
      </c>
      <c r="N12486" t="s">
        <v>40436</v>
      </c>
      <c r="O12486" t="s">
        <v>40437</v>
      </c>
      <c r="P12486">
        <v>0</v>
      </c>
      <c r="Q12486">
        <v>7</v>
      </c>
      <c r="R12486" t="s">
        <v>40457</v>
      </c>
      <c r="S12486" t="s">
        <v>41386</v>
      </c>
      <c r="T12486" t="s">
        <v>42233</v>
      </c>
      <c r="U12486" t="s">
        <v>50957</v>
      </c>
      <c r="V12486" t="s">
        <v>55213</v>
      </c>
      <c r="W12486" t="s">
        <v>39998</v>
      </c>
      <c r="X12486" t="s">
        <v>40459</v>
      </c>
    </row>
    <row r="12487" spans="1:24">
      <c r="A12487">
        <f>HYPERLINK("https://www.philgeps.gov.ph/GEPSNONPILOT/Tender/SplashBidNoticeAbstractUI.aspx?menuIndex=3&amp;refID=7013032&amp;Result=3","7013032")</f>
        <v>0</v>
      </c>
      <c r="B12487" t="s">
        <v>1282</v>
      </c>
      <c r="C12487" t="s">
        <v>15047</v>
      </c>
      <c r="D12487" t="s">
        <v>16214</v>
      </c>
      <c r="E12487" t="s">
        <v>27113</v>
      </c>
      <c r="F12487" t="s">
        <v>28198</v>
      </c>
      <c r="G12487" t="s">
        <v>28205</v>
      </c>
      <c r="H12487" t="s">
        <v>28214</v>
      </c>
      <c r="I12487" t="s">
        <v>3797</v>
      </c>
      <c r="J12487" t="s">
        <v>32323</v>
      </c>
      <c r="K12487" t="s">
        <v>36764</v>
      </c>
      <c r="M12487" t="s">
        <v>39998</v>
      </c>
      <c r="N12487" t="s">
        <v>40436</v>
      </c>
      <c r="O12487" t="s">
        <v>40437</v>
      </c>
      <c r="P12487">
        <v>0</v>
      </c>
      <c r="Q12487">
        <v>5</v>
      </c>
      <c r="R12487" t="s">
        <v>40457</v>
      </c>
      <c r="S12487" t="s">
        <v>41386</v>
      </c>
      <c r="T12487" t="s">
        <v>42233</v>
      </c>
      <c r="U12487" t="s">
        <v>45679</v>
      </c>
      <c r="V12487" t="s">
        <v>55214</v>
      </c>
      <c r="W12487" t="s">
        <v>39998</v>
      </c>
      <c r="X12487" t="s">
        <v>40459</v>
      </c>
    </row>
    <row r="12488" spans="1:24">
      <c r="A12488">
        <f>HYPERLINK("https://www.philgeps.gov.ph/GEPSNONPILOT/Tender/SplashBidNoticeAbstractUI.aspx?menuIndex=3&amp;refID=7018515&amp;Result=3","7018515")</f>
        <v>0</v>
      </c>
      <c r="B12488" t="s">
        <v>1569</v>
      </c>
      <c r="C12488" t="s">
        <v>15048</v>
      </c>
      <c r="D12488" t="s">
        <v>16189</v>
      </c>
      <c r="E12488" t="s">
        <v>27114</v>
      </c>
      <c r="F12488" t="s">
        <v>28198</v>
      </c>
      <c r="G12488" t="s">
        <v>28205</v>
      </c>
      <c r="H12488" t="s">
        <v>28214</v>
      </c>
      <c r="I12488" t="s">
        <v>3797</v>
      </c>
      <c r="J12488" t="s">
        <v>28379</v>
      </c>
      <c r="K12488" t="s">
        <v>36689</v>
      </c>
      <c r="M12488" t="s">
        <v>38933</v>
      </c>
      <c r="N12488" t="s">
        <v>40436</v>
      </c>
      <c r="O12488" t="s">
        <v>40437</v>
      </c>
      <c r="P12488">
        <v>0</v>
      </c>
      <c r="Q12488">
        <v>1</v>
      </c>
      <c r="R12488" t="s">
        <v>40456</v>
      </c>
      <c r="S12488" t="s">
        <v>41338</v>
      </c>
      <c r="T12488" t="s">
        <v>42103</v>
      </c>
      <c r="U12488" t="s">
        <v>52849</v>
      </c>
      <c r="W12488" t="s">
        <v>38933</v>
      </c>
      <c r="X12488" t="s">
        <v>40457</v>
      </c>
    </row>
    <row r="12489" spans="1:24">
      <c r="A12489">
        <f>HYPERLINK("https://www.philgeps.gov.ph/GEPSNONPILOT/Tender/SplashBidNoticeAbstractUI.aspx?menuIndex=3&amp;refID=7018575&amp;Result=3","7018575")</f>
        <v>0</v>
      </c>
      <c r="B12489" t="s">
        <v>2976</v>
      </c>
      <c r="C12489" t="s">
        <v>15049</v>
      </c>
      <c r="D12489" t="s">
        <v>16197</v>
      </c>
      <c r="E12489" t="s">
        <v>27115</v>
      </c>
      <c r="F12489" t="s">
        <v>28201</v>
      </c>
      <c r="G12489" t="s">
        <v>28205</v>
      </c>
      <c r="H12489" t="s">
        <v>28215</v>
      </c>
      <c r="I12489" t="s">
        <v>28243</v>
      </c>
      <c r="J12489" t="s">
        <v>36017</v>
      </c>
      <c r="K12489" t="s">
        <v>36697</v>
      </c>
      <c r="M12489" t="s">
        <v>40267</v>
      </c>
      <c r="N12489" t="s">
        <v>40436</v>
      </c>
      <c r="O12489" t="s">
        <v>40437</v>
      </c>
      <c r="Q12489">
        <v>7</v>
      </c>
      <c r="R12489" t="s">
        <v>40456</v>
      </c>
      <c r="S12489" t="s">
        <v>40741</v>
      </c>
      <c r="T12489" t="s">
        <v>42455</v>
      </c>
      <c r="U12489" t="s">
        <v>52850</v>
      </c>
      <c r="W12489" t="s">
        <v>40267</v>
      </c>
      <c r="X12489" t="s">
        <v>40457</v>
      </c>
    </row>
    <row r="12490" spans="1:24">
      <c r="A12490">
        <f>HYPERLINK("https://www.philgeps.gov.ph/GEPSNONPILOT/Tender/SplashBidNoticeAbstractUI.aspx?menuIndex=3&amp;refID=7018511&amp;Result=3","7018511")</f>
        <v>0</v>
      </c>
      <c r="B12490" t="s">
        <v>1569</v>
      </c>
      <c r="C12490" t="s">
        <v>15050</v>
      </c>
      <c r="D12490" t="s">
        <v>16189</v>
      </c>
      <c r="E12490" t="s">
        <v>27116</v>
      </c>
      <c r="F12490" t="s">
        <v>28198</v>
      </c>
      <c r="G12490" t="s">
        <v>28205</v>
      </c>
      <c r="H12490" t="s">
        <v>28214</v>
      </c>
      <c r="I12490" t="s">
        <v>3797</v>
      </c>
      <c r="J12490" t="s">
        <v>31114</v>
      </c>
      <c r="K12490" t="s">
        <v>36689</v>
      </c>
      <c r="M12490" t="s">
        <v>38933</v>
      </c>
      <c r="N12490" t="s">
        <v>40436</v>
      </c>
      <c r="O12490" t="s">
        <v>40437</v>
      </c>
      <c r="P12490">
        <v>0</v>
      </c>
      <c r="Q12490">
        <v>1</v>
      </c>
      <c r="R12490" t="s">
        <v>40456</v>
      </c>
      <c r="S12490" t="s">
        <v>41338</v>
      </c>
      <c r="T12490" t="s">
        <v>42103</v>
      </c>
      <c r="U12490" t="s">
        <v>52851</v>
      </c>
      <c r="W12490" t="s">
        <v>38933</v>
      </c>
      <c r="X12490" t="s">
        <v>40457</v>
      </c>
    </row>
    <row r="12491" spans="1:24">
      <c r="A12491">
        <f>HYPERLINK("https://www.philgeps.gov.ph/GEPSNONPILOT/Tender/SplashBidNoticeAbstractUI.aspx?menuIndex=3&amp;refID=7013088&amp;Result=3","7013088")</f>
        <v>0</v>
      </c>
      <c r="B12491" t="s">
        <v>2991</v>
      </c>
      <c r="C12491" t="s">
        <v>15051</v>
      </c>
      <c r="D12491" t="s">
        <v>16202</v>
      </c>
      <c r="E12491" t="s">
        <v>27117</v>
      </c>
      <c r="F12491" t="s">
        <v>28198</v>
      </c>
      <c r="G12491" t="s">
        <v>28205</v>
      </c>
      <c r="H12491" t="s">
        <v>28215</v>
      </c>
      <c r="I12491" t="s">
        <v>7310</v>
      </c>
      <c r="J12491" t="s">
        <v>36018</v>
      </c>
      <c r="K12491" t="s">
        <v>36701</v>
      </c>
      <c r="M12491" t="s">
        <v>40286</v>
      </c>
      <c r="N12491" t="s">
        <v>40436</v>
      </c>
      <c r="O12491" t="s">
        <v>40437</v>
      </c>
      <c r="P12491">
        <v>0</v>
      </c>
      <c r="Q12491">
        <v>2</v>
      </c>
      <c r="R12491" t="s">
        <v>40457</v>
      </c>
      <c r="S12491" t="s">
        <v>41386</v>
      </c>
      <c r="T12491" t="s">
        <v>42378</v>
      </c>
      <c r="U12491" t="s">
        <v>52852</v>
      </c>
      <c r="W12491" t="s">
        <v>40286</v>
      </c>
      <c r="X12491" t="s">
        <v>40459</v>
      </c>
    </row>
    <row r="12492" spans="1:24">
      <c r="A12492">
        <f>HYPERLINK("https://www.philgeps.gov.ph/GEPSNONPILOT/Tender/SplashBidNoticeAbstractUI.aspx?menuIndex=3&amp;refID=7012851&amp;Result=3","7012851")</f>
        <v>0</v>
      </c>
      <c r="B12492" t="s">
        <v>214</v>
      </c>
      <c r="C12492" t="s">
        <v>15052</v>
      </c>
      <c r="D12492" t="s">
        <v>16251</v>
      </c>
      <c r="E12492" t="s">
        <v>27118</v>
      </c>
      <c r="F12492" t="s">
        <v>28198</v>
      </c>
      <c r="G12492" t="s">
        <v>28205</v>
      </c>
      <c r="H12492" t="s">
        <v>28214</v>
      </c>
      <c r="I12492" t="s">
        <v>3797</v>
      </c>
      <c r="J12492" t="s">
        <v>36019</v>
      </c>
      <c r="K12492" t="s">
        <v>36715</v>
      </c>
      <c r="M12492" t="s">
        <v>37190</v>
      </c>
      <c r="N12492" t="s">
        <v>40436</v>
      </c>
      <c r="O12492" t="s">
        <v>40437</v>
      </c>
      <c r="P12492">
        <v>0</v>
      </c>
      <c r="Q12492">
        <v>0</v>
      </c>
      <c r="R12492" t="s">
        <v>40457</v>
      </c>
      <c r="S12492" t="s">
        <v>41386</v>
      </c>
      <c r="T12492" t="s">
        <v>42129</v>
      </c>
      <c r="U12492" t="s">
        <v>52853</v>
      </c>
      <c r="W12492" t="s">
        <v>37190</v>
      </c>
      <c r="X12492" t="s">
        <v>40459</v>
      </c>
    </row>
    <row r="12493" spans="1:24">
      <c r="A12493">
        <f>HYPERLINK("https://www.philgeps.gov.ph/GEPSNONPILOT/Tender/SplashBidNoticeAbstractUI.aspx?menuIndex=3&amp;refID=7012942&amp;Result=3","7012942")</f>
        <v>0</v>
      </c>
      <c r="B12493" t="s">
        <v>2991</v>
      </c>
      <c r="C12493" t="s">
        <v>15053</v>
      </c>
      <c r="D12493" t="s">
        <v>16202</v>
      </c>
      <c r="E12493" t="s">
        <v>27119</v>
      </c>
      <c r="F12493" t="s">
        <v>28198</v>
      </c>
      <c r="G12493" t="s">
        <v>28205</v>
      </c>
      <c r="H12493" t="s">
        <v>28214</v>
      </c>
      <c r="I12493" t="s">
        <v>3797</v>
      </c>
      <c r="J12493" t="s">
        <v>29220</v>
      </c>
      <c r="K12493" t="s">
        <v>36715</v>
      </c>
      <c r="M12493" t="s">
        <v>40286</v>
      </c>
      <c r="N12493" t="s">
        <v>40436</v>
      </c>
      <c r="O12493" t="s">
        <v>40437</v>
      </c>
      <c r="P12493">
        <v>0</v>
      </c>
      <c r="Q12493">
        <v>0</v>
      </c>
      <c r="R12493" t="s">
        <v>40457</v>
      </c>
      <c r="S12493" t="s">
        <v>41386</v>
      </c>
      <c r="T12493" t="s">
        <v>42205</v>
      </c>
      <c r="U12493" t="s">
        <v>52852</v>
      </c>
      <c r="W12493" t="s">
        <v>40286</v>
      </c>
      <c r="X12493" t="s">
        <v>40459</v>
      </c>
    </row>
    <row r="12494" spans="1:24">
      <c r="A12494">
        <f>HYPERLINK("https://www.philgeps.gov.ph/GEPSNONPILOT/Tender/SplashBidNoticeAbstractUI.aspx?menuIndex=3&amp;refID=7013091&amp;Result=3","7013091")</f>
        <v>0</v>
      </c>
      <c r="B12494" t="s">
        <v>2992</v>
      </c>
      <c r="C12494" t="s">
        <v>15054</v>
      </c>
      <c r="D12494" t="s">
        <v>16256</v>
      </c>
      <c r="E12494" t="s">
        <v>27120</v>
      </c>
      <c r="F12494" t="s">
        <v>28198</v>
      </c>
      <c r="G12494" t="s">
        <v>28209</v>
      </c>
      <c r="H12494" t="s">
        <v>28215</v>
      </c>
      <c r="I12494" t="s">
        <v>3797</v>
      </c>
      <c r="J12494" t="s">
        <v>28393</v>
      </c>
      <c r="K12494" t="s">
        <v>36694</v>
      </c>
      <c r="M12494" t="s">
        <v>40287</v>
      </c>
      <c r="N12494" t="s">
        <v>40436</v>
      </c>
      <c r="O12494" t="s">
        <v>40437</v>
      </c>
      <c r="P12494">
        <v>0</v>
      </c>
      <c r="Q12494">
        <v>0</v>
      </c>
      <c r="R12494" t="s">
        <v>40457</v>
      </c>
      <c r="S12494" t="s">
        <v>41386</v>
      </c>
      <c r="T12494" t="s">
        <v>42128</v>
      </c>
      <c r="U12494" t="s">
        <v>52854</v>
      </c>
      <c r="V12494" t="s">
        <v>54906</v>
      </c>
      <c r="W12494" t="s">
        <v>40287</v>
      </c>
      <c r="X12494" t="s">
        <v>40459</v>
      </c>
    </row>
    <row r="12495" spans="1:24">
      <c r="A12495">
        <f>HYPERLINK("https://www.philgeps.gov.ph/GEPSNONPILOT/Tender/SplashBidNoticeAbstractUI.aspx?menuIndex=3&amp;refID=7012815&amp;Result=3","7012815")</f>
        <v>0</v>
      </c>
      <c r="B12495" t="s">
        <v>487</v>
      </c>
      <c r="C12495" t="s">
        <v>15055</v>
      </c>
      <c r="D12495" t="s">
        <v>16245</v>
      </c>
      <c r="E12495" t="s">
        <v>27121</v>
      </c>
      <c r="F12495" t="s">
        <v>28198</v>
      </c>
      <c r="G12495" t="s">
        <v>28205</v>
      </c>
      <c r="H12495" t="s">
        <v>28215</v>
      </c>
      <c r="I12495" t="s">
        <v>28256</v>
      </c>
      <c r="J12495" t="s">
        <v>28699</v>
      </c>
      <c r="K12495" t="s">
        <v>36689</v>
      </c>
      <c r="M12495" t="s">
        <v>37472</v>
      </c>
      <c r="N12495" t="s">
        <v>40436</v>
      </c>
      <c r="O12495" t="s">
        <v>40437</v>
      </c>
      <c r="Q12495">
        <v>7</v>
      </c>
      <c r="R12495" t="s">
        <v>40457</v>
      </c>
      <c r="S12495" t="s">
        <v>41395</v>
      </c>
      <c r="T12495" t="s">
        <v>42163</v>
      </c>
      <c r="U12495" t="s">
        <v>52855</v>
      </c>
      <c r="W12495" t="s">
        <v>37472</v>
      </c>
      <c r="X12495" t="s">
        <v>40459</v>
      </c>
    </row>
    <row r="12496" spans="1:24">
      <c r="A12496">
        <f>HYPERLINK("https://www.philgeps.gov.ph/GEPSNONPILOT/Tender/SplashBidNoticeAbstractUI.aspx?menuIndex=3&amp;refID=7012866&amp;Result=3","7012866")</f>
        <v>0</v>
      </c>
      <c r="B12496" t="s">
        <v>1282</v>
      </c>
      <c r="C12496" t="s">
        <v>15056</v>
      </c>
      <c r="D12496" t="s">
        <v>16214</v>
      </c>
      <c r="E12496" t="s">
        <v>27122</v>
      </c>
      <c r="F12496" t="s">
        <v>28198</v>
      </c>
      <c r="G12496" t="s">
        <v>28205</v>
      </c>
      <c r="H12496" t="s">
        <v>28214</v>
      </c>
      <c r="I12496" t="s">
        <v>3797</v>
      </c>
      <c r="J12496" t="s">
        <v>29552</v>
      </c>
      <c r="K12496" t="s">
        <v>36848</v>
      </c>
      <c r="M12496" t="s">
        <v>39998</v>
      </c>
      <c r="N12496" t="s">
        <v>40436</v>
      </c>
      <c r="O12496" t="s">
        <v>40437</v>
      </c>
      <c r="P12496">
        <v>0</v>
      </c>
      <c r="Q12496">
        <v>4</v>
      </c>
      <c r="R12496" t="s">
        <v>40457</v>
      </c>
      <c r="S12496" t="s">
        <v>41386</v>
      </c>
      <c r="T12496" t="s">
        <v>42233</v>
      </c>
      <c r="U12496" t="s">
        <v>50957</v>
      </c>
      <c r="V12496" t="s">
        <v>55215</v>
      </c>
      <c r="W12496" t="s">
        <v>39998</v>
      </c>
      <c r="X12496" t="s">
        <v>40459</v>
      </c>
    </row>
    <row r="12497" spans="1:24">
      <c r="A12497">
        <f>HYPERLINK("https://www.philgeps.gov.ph/GEPSNONPILOT/Tender/SplashBidNoticeAbstractUI.aspx?menuIndex=3&amp;refID=7012919&amp;Result=3","7012919")</f>
        <v>0</v>
      </c>
      <c r="B12497" t="s">
        <v>2992</v>
      </c>
      <c r="C12497" t="s">
        <v>15057</v>
      </c>
      <c r="D12497" t="s">
        <v>16256</v>
      </c>
      <c r="E12497" t="s">
        <v>27123</v>
      </c>
      <c r="F12497" t="s">
        <v>28198</v>
      </c>
      <c r="G12497" t="s">
        <v>28205</v>
      </c>
      <c r="H12497" t="s">
        <v>28214</v>
      </c>
      <c r="I12497" t="s">
        <v>3797</v>
      </c>
      <c r="J12497" t="s">
        <v>28927</v>
      </c>
      <c r="K12497" t="s">
        <v>36697</v>
      </c>
      <c r="M12497" t="s">
        <v>40287</v>
      </c>
      <c r="N12497" t="s">
        <v>40436</v>
      </c>
      <c r="O12497" t="s">
        <v>40437</v>
      </c>
      <c r="P12497">
        <v>0</v>
      </c>
      <c r="Q12497">
        <v>0</v>
      </c>
      <c r="R12497" t="s">
        <v>40457</v>
      </c>
      <c r="S12497" t="s">
        <v>41386</v>
      </c>
      <c r="T12497" t="s">
        <v>42128</v>
      </c>
      <c r="U12497" t="s">
        <v>52856</v>
      </c>
      <c r="V12497" t="s">
        <v>54906</v>
      </c>
      <c r="W12497" t="s">
        <v>40287</v>
      </c>
      <c r="X12497" t="s">
        <v>40459</v>
      </c>
    </row>
    <row r="12498" spans="1:24">
      <c r="A12498">
        <f>HYPERLINK("https://www.philgeps.gov.ph/GEPSNONPILOT/Tender/SplashBidNoticeAbstractUI.aspx?menuIndex=3&amp;refID=7012979&amp;Result=3","7012979")</f>
        <v>0</v>
      </c>
      <c r="B12498" t="s">
        <v>2992</v>
      </c>
      <c r="C12498" t="s">
        <v>15058</v>
      </c>
      <c r="D12498" t="s">
        <v>16256</v>
      </c>
      <c r="E12498" t="s">
        <v>27124</v>
      </c>
      <c r="F12498" t="s">
        <v>28198</v>
      </c>
      <c r="G12498" t="s">
        <v>28209</v>
      </c>
      <c r="H12498" t="s">
        <v>28214</v>
      </c>
      <c r="I12498" t="s">
        <v>3797</v>
      </c>
      <c r="J12498" t="s">
        <v>28393</v>
      </c>
      <c r="K12498" t="s">
        <v>36694</v>
      </c>
      <c r="M12498" t="s">
        <v>40287</v>
      </c>
      <c r="N12498" t="s">
        <v>40436</v>
      </c>
      <c r="O12498" t="s">
        <v>40437</v>
      </c>
      <c r="P12498">
        <v>0</v>
      </c>
      <c r="Q12498">
        <v>0</v>
      </c>
      <c r="R12498" t="s">
        <v>40457</v>
      </c>
      <c r="S12498" t="s">
        <v>41386</v>
      </c>
      <c r="T12498" t="s">
        <v>42128</v>
      </c>
      <c r="U12498" t="s">
        <v>52857</v>
      </c>
      <c r="V12498" t="s">
        <v>54906</v>
      </c>
      <c r="W12498" t="s">
        <v>40287</v>
      </c>
      <c r="X12498" t="s">
        <v>40459</v>
      </c>
    </row>
    <row r="12499" spans="1:24">
      <c r="A12499">
        <f>HYPERLINK("https://www.philgeps.gov.ph/GEPSNONPILOT/Tender/SplashBidNoticeAbstractUI.aspx?menuIndex=3&amp;refID=7010372&amp;Result=3","7010372")</f>
        <v>0</v>
      </c>
      <c r="B12499" t="s">
        <v>747</v>
      </c>
      <c r="C12499" t="s">
        <v>15059</v>
      </c>
      <c r="D12499" t="s">
        <v>16230</v>
      </c>
      <c r="E12499" t="s">
        <v>27125</v>
      </c>
      <c r="F12499" t="s">
        <v>28198</v>
      </c>
      <c r="G12499" t="s">
        <v>28205</v>
      </c>
      <c r="H12499" t="s">
        <v>28215</v>
      </c>
      <c r="I12499" t="s">
        <v>28234</v>
      </c>
      <c r="J12499" t="s">
        <v>36020</v>
      </c>
      <c r="K12499" t="s">
        <v>36694</v>
      </c>
      <c r="M12499" t="s">
        <v>37750</v>
      </c>
      <c r="N12499" t="s">
        <v>40436</v>
      </c>
      <c r="O12499" t="s">
        <v>40437</v>
      </c>
      <c r="P12499">
        <v>0</v>
      </c>
      <c r="Q12499">
        <v>14</v>
      </c>
      <c r="R12499" t="s">
        <v>40457</v>
      </c>
      <c r="S12499" t="s">
        <v>41386</v>
      </c>
      <c r="T12499" t="s">
        <v>42340</v>
      </c>
      <c r="U12499" t="s">
        <v>52858</v>
      </c>
      <c r="V12499" t="s">
        <v>55216</v>
      </c>
      <c r="W12499" t="s">
        <v>55546</v>
      </c>
      <c r="X12499" t="s">
        <v>40460</v>
      </c>
    </row>
    <row r="12500" spans="1:24">
      <c r="A12500">
        <f>HYPERLINK("https://www.philgeps.gov.ph/GEPSNONPILOT/Tender/SplashBidNoticeAbstractUI.aspx?menuIndex=3&amp;refID=7012128&amp;Result=3","7012128")</f>
        <v>0</v>
      </c>
      <c r="B12500" t="s">
        <v>2434</v>
      </c>
      <c r="C12500" t="s">
        <v>15060</v>
      </c>
      <c r="D12500" t="s">
        <v>16202</v>
      </c>
      <c r="E12500" t="s">
        <v>27126</v>
      </c>
      <c r="F12500" t="s">
        <v>28198</v>
      </c>
      <c r="G12500" t="s">
        <v>28207</v>
      </c>
      <c r="H12500" t="s">
        <v>28214</v>
      </c>
      <c r="I12500" t="s">
        <v>3797</v>
      </c>
      <c r="J12500" t="s">
        <v>29566</v>
      </c>
      <c r="K12500" t="s">
        <v>36694</v>
      </c>
      <c r="M12500" t="s">
        <v>39624</v>
      </c>
      <c r="N12500" t="s">
        <v>40436</v>
      </c>
      <c r="O12500" t="s">
        <v>40437</v>
      </c>
      <c r="Q12500">
        <v>2</v>
      </c>
      <c r="R12500" t="s">
        <v>40457</v>
      </c>
      <c r="S12500" t="s">
        <v>41396</v>
      </c>
      <c r="T12500" t="s">
        <v>42205</v>
      </c>
      <c r="U12500" t="s">
        <v>52859</v>
      </c>
      <c r="V12500" t="s">
        <v>53932</v>
      </c>
      <c r="W12500" t="s">
        <v>39624</v>
      </c>
      <c r="X12500" t="s">
        <v>40459</v>
      </c>
    </row>
    <row r="12501" spans="1:24">
      <c r="A12501">
        <f>HYPERLINK("https://www.philgeps.gov.ph/GEPSNONPILOT/Tender/SplashBidNoticeAbstractUI.aspx?menuIndex=3&amp;refID=7012989&amp;Result=3","7012989")</f>
        <v>0</v>
      </c>
      <c r="B12501" t="s">
        <v>840</v>
      </c>
      <c r="C12501" t="s">
        <v>15061</v>
      </c>
      <c r="E12501" t="s">
        <v>27127</v>
      </c>
      <c r="F12501" t="s">
        <v>28198</v>
      </c>
      <c r="G12501" t="s">
        <v>28205</v>
      </c>
      <c r="H12501" t="s">
        <v>28215</v>
      </c>
      <c r="I12501" t="s">
        <v>28225</v>
      </c>
      <c r="J12501" t="s">
        <v>36021</v>
      </c>
      <c r="K12501" t="s">
        <v>36689</v>
      </c>
      <c r="M12501" t="s">
        <v>38830</v>
      </c>
      <c r="N12501" t="s">
        <v>40436</v>
      </c>
      <c r="O12501" t="s">
        <v>40437</v>
      </c>
      <c r="Q12501">
        <v>9</v>
      </c>
      <c r="R12501" t="s">
        <v>40457</v>
      </c>
      <c r="S12501" t="s">
        <v>41397</v>
      </c>
      <c r="T12501" t="s">
        <v>42278</v>
      </c>
      <c r="U12501" t="s">
        <v>52860</v>
      </c>
      <c r="W12501" t="s">
        <v>38830</v>
      </c>
      <c r="X12501" t="s">
        <v>40459</v>
      </c>
    </row>
    <row r="12502" spans="1:24">
      <c r="A12502">
        <f>HYPERLINK("https://www.philgeps.gov.ph/GEPSNONPILOT/Tender/SplashBidNoticeAbstractUI.aspx?menuIndex=3&amp;refID=7012399&amp;Result=3","7012399")</f>
        <v>0</v>
      </c>
      <c r="B12502" t="s">
        <v>2991</v>
      </c>
      <c r="C12502" t="s">
        <v>15062</v>
      </c>
      <c r="D12502" t="s">
        <v>16202</v>
      </c>
      <c r="E12502" t="s">
        <v>27128</v>
      </c>
      <c r="F12502" t="s">
        <v>28198</v>
      </c>
      <c r="G12502" t="s">
        <v>28205</v>
      </c>
      <c r="H12502" t="s">
        <v>28215</v>
      </c>
      <c r="I12502" t="s">
        <v>28269</v>
      </c>
      <c r="J12502" t="s">
        <v>36022</v>
      </c>
      <c r="K12502" t="s">
        <v>36701</v>
      </c>
      <c r="M12502" t="s">
        <v>40286</v>
      </c>
      <c r="N12502" t="s">
        <v>40436</v>
      </c>
      <c r="O12502" t="s">
        <v>40437</v>
      </c>
      <c r="P12502">
        <v>0</v>
      </c>
      <c r="Q12502">
        <v>2</v>
      </c>
      <c r="R12502" t="s">
        <v>40457</v>
      </c>
      <c r="S12502" t="s">
        <v>41386</v>
      </c>
      <c r="T12502" t="s">
        <v>42233</v>
      </c>
      <c r="U12502" t="s">
        <v>52852</v>
      </c>
      <c r="W12502" t="s">
        <v>40286</v>
      </c>
      <c r="X12502" t="s">
        <v>40459</v>
      </c>
    </row>
    <row r="12503" spans="1:24">
      <c r="A12503">
        <f>HYPERLINK("https://www.philgeps.gov.ph/GEPSNONPILOT/Tender/SplashBidNoticeAbstractUI.aspx?menuIndex=3&amp;refID=7013890&amp;Result=3","7013890")</f>
        <v>0</v>
      </c>
      <c r="B12503" t="s">
        <v>1141</v>
      </c>
      <c r="C12503" t="s">
        <v>15063</v>
      </c>
      <c r="D12503" t="s">
        <v>16261</v>
      </c>
      <c r="E12503" t="s">
        <v>27129</v>
      </c>
      <c r="F12503" t="s">
        <v>28198</v>
      </c>
      <c r="G12503" t="s">
        <v>28205</v>
      </c>
      <c r="H12503" t="s">
        <v>28214</v>
      </c>
      <c r="I12503" t="s">
        <v>3797</v>
      </c>
      <c r="J12503" t="s">
        <v>36023</v>
      </c>
      <c r="K12503" t="s">
        <v>36796</v>
      </c>
      <c r="M12503" t="s">
        <v>38181</v>
      </c>
      <c r="N12503" t="s">
        <v>40436</v>
      </c>
      <c r="O12503" t="s">
        <v>40437</v>
      </c>
      <c r="P12503">
        <v>0</v>
      </c>
      <c r="Q12503">
        <v>0</v>
      </c>
      <c r="R12503" t="s">
        <v>40457</v>
      </c>
      <c r="S12503" t="s">
        <v>41386</v>
      </c>
      <c r="T12503" t="s">
        <v>42133</v>
      </c>
      <c r="U12503" t="s">
        <v>52861</v>
      </c>
      <c r="W12503" t="s">
        <v>38181</v>
      </c>
      <c r="X12503" t="s">
        <v>40459</v>
      </c>
    </row>
    <row r="12504" spans="1:24">
      <c r="A12504">
        <f>HYPERLINK("https://www.philgeps.gov.ph/GEPSNONPILOT/Tender/SplashBidNoticeAbstractUI.aspx?menuIndex=3&amp;refID=7013446&amp;Result=3","7013446")</f>
        <v>0</v>
      </c>
      <c r="B12504" t="s">
        <v>2993</v>
      </c>
      <c r="C12504" t="s">
        <v>15064</v>
      </c>
      <c r="D12504" t="s">
        <v>16268</v>
      </c>
      <c r="E12504" t="s">
        <v>27130</v>
      </c>
      <c r="F12504" t="s">
        <v>28198</v>
      </c>
      <c r="G12504" t="s">
        <v>28205</v>
      </c>
      <c r="H12504" t="s">
        <v>28215</v>
      </c>
      <c r="I12504" t="s">
        <v>28220</v>
      </c>
      <c r="J12504" t="s">
        <v>29604</v>
      </c>
      <c r="K12504" t="s">
        <v>36701</v>
      </c>
      <c r="M12504" t="s">
        <v>40288</v>
      </c>
      <c r="N12504" t="s">
        <v>40436</v>
      </c>
      <c r="O12504" t="s">
        <v>40437</v>
      </c>
      <c r="P12504">
        <v>0</v>
      </c>
      <c r="Q12504">
        <v>2</v>
      </c>
      <c r="R12504" t="s">
        <v>40457</v>
      </c>
      <c r="S12504" t="s">
        <v>41386</v>
      </c>
      <c r="T12504" t="s">
        <v>42103</v>
      </c>
      <c r="U12504" t="s">
        <v>52862</v>
      </c>
      <c r="W12504" t="s">
        <v>40288</v>
      </c>
      <c r="X12504" t="s">
        <v>40459</v>
      </c>
    </row>
    <row r="12505" spans="1:24">
      <c r="A12505">
        <f>HYPERLINK("https://www.philgeps.gov.ph/GEPSNONPILOT/Tender/SplashBidNoticeAbstractUI.aspx?menuIndex=3&amp;refID=7010965&amp;Result=3","7010965")</f>
        <v>0</v>
      </c>
      <c r="B12505" t="s">
        <v>2991</v>
      </c>
      <c r="C12505" t="s">
        <v>15065</v>
      </c>
      <c r="D12505" t="s">
        <v>16202</v>
      </c>
      <c r="E12505" t="s">
        <v>27131</v>
      </c>
      <c r="F12505" t="s">
        <v>28198</v>
      </c>
      <c r="G12505" t="s">
        <v>28205</v>
      </c>
      <c r="H12505" t="s">
        <v>28215</v>
      </c>
      <c r="I12505" t="s">
        <v>5100</v>
      </c>
      <c r="J12505" t="s">
        <v>36024</v>
      </c>
      <c r="K12505" t="s">
        <v>36701</v>
      </c>
      <c r="M12505" t="s">
        <v>40286</v>
      </c>
      <c r="N12505" t="s">
        <v>40436</v>
      </c>
      <c r="O12505" t="s">
        <v>40437</v>
      </c>
      <c r="P12505">
        <v>0</v>
      </c>
      <c r="Q12505">
        <v>0</v>
      </c>
      <c r="R12505" t="s">
        <v>40457</v>
      </c>
      <c r="S12505" t="s">
        <v>41386</v>
      </c>
      <c r="T12505" t="s">
        <v>42468</v>
      </c>
      <c r="U12505" t="s">
        <v>52863</v>
      </c>
      <c r="W12505" t="s">
        <v>40286</v>
      </c>
      <c r="X12505" t="s">
        <v>40460</v>
      </c>
    </row>
    <row r="12506" spans="1:24">
      <c r="A12506">
        <f>HYPERLINK("https://www.philgeps.gov.ph/GEPSNONPILOT/Tender/SplashBidNoticeAbstractUI.aspx?menuIndex=3&amp;refID=7013880&amp;Result=3","7013880")</f>
        <v>0</v>
      </c>
      <c r="B12506" t="s">
        <v>2992</v>
      </c>
      <c r="C12506" t="s">
        <v>15066</v>
      </c>
      <c r="D12506" t="s">
        <v>16256</v>
      </c>
      <c r="E12506" t="s">
        <v>27132</v>
      </c>
      <c r="F12506" t="s">
        <v>28198</v>
      </c>
      <c r="G12506" t="s">
        <v>28205</v>
      </c>
      <c r="H12506" t="s">
        <v>28215</v>
      </c>
      <c r="I12506" t="s">
        <v>3422</v>
      </c>
      <c r="J12506" t="s">
        <v>28413</v>
      </c>
      <c r="K12506" t="s">
        <v>36701</v>
      </c>
      <c r="M12506" t="s">
        <v>40287</v>
      </c>
      <c r="N12506" t="s">
        <v>40436</v>
      </c>
      <c r="O12506" t="s">
        <v>40437</v>
      </c>
      <c r="P12506">
        <v>0</v>
      </c>
      <c r="Q12506">
        <v>0</v>
      </c>
      <c r="R12506" t="s">
        <v>40457</v>
      </c>
      <c r="S12506" t="s">
        <v>41386</v>
      </c>
      <c r="T12506" t="s">
        <v>42128</v>
      </c>
      <c r="U12506" t="s">
        <v>52864</v>
      </c>
      <c r="V12506" t="s">
        <v>54289</v>
      </c>
      <c r="W12506" t="s">
        <v>40287</v>
      </c>
      <c r="X12506" t="s">
        <v>40459</v>
      </c>
    </row>
    <row r="12507" spans="1:24">
      <c r="A12507">
        <f>HYPERLINK("https://www.philgeps.gov.ph/GEPSNONPILOT/Tender/SplashBidNoticeAbstractUI.aspx?menuIndex=3&amp;refID=7014037&amp;Result=3","7014037")</f>
        <v>0</v>
      </c>
      <c r="B12507" t="s">
        <v>2994</v>
      </c>
      <c r="C12507" t="s">
        <v>15067</v>
      </c>
      <c r="D12507" t="s">
        <v>16240</v>
      </c>
      <c r="E12507" t="s">
        <v>18126</v>
      </c>
      <c r="F12507" t="s">
        <v>28198</v>
      </c>
      <c r="G12507" t="s">
        <v>28205</v>
      </c>
      <c r="H12507" t="s">
        <v>28215</v>
      </c>
      <c r="I12507" t="s">
        <v>5100</v>
      </c>
      <c r="J12507" t="s">
        <v>36025</v>
      </c>
      <c r="K12507" t="s">
        <v>36690</v>
      </c>
      <c r="M12507" t="s">
        <v>40289</v>
      </c>
      <c r="N12507" t="s">
        <v>40436</v>
      </c>
      <c r="O12507" t="s">
        <v>40437</v>
      </c>
      <c r="P12507">
        <v>0</v>
      </c>
      <c r="Q12507">
        <v>0</v>
      </c>
      <c r="R12507" t="s">
        <v>40457</v>
      </c>
      <c r="S12507" t="s">
        <v>41386</v>
      </c>
      <c r="T12507" t="s">
        <v>42103</v>
      </c>
      <c r="U12507" t="s">
        <v>52865</v>
      </c>
      <c r="W12507" t="s">
        <v>40289</v>
      </c>
      <c r="X12507" t="s">
        <v>40459</v>
      </c>
    </row>
    <row r="12508" spans="1:24">
      <c r="A12508">
        <f>HYPERLINK("https://www.philgeps.gov.ph/GEPSNONPILOT/Tender/SplashBidNoticeAbstractUI.aspx?menuIndex=3&amp;refID=7014335&amp;Result=3","7014335")</f>
        <v>0</v>
      </c>
      <c r="B12508" t="s">
        <v>2993</v>
      </c>
      <c r="C12508" t="s">
        <v>15068</v>
      </c>
      <c r="D12508" t="s">
        <v>16268</v>
      </c>
      <c r="E12508" t="s">
        <v>27133</v>
      </c>
      <c r="F12508" t="s">
        <v>28198</v>
      </c>
      <c r="G12508" t="s">
        <v>28205</v>
      </c>
      <c r="H12508" t="s">
        <v>28215</v>
      </c>
      <c r="I12508" t="s">
        <v>28228</v>
      </c>
      <c r="J12508" t="s">
        <v>28351</v>
      </c>
      <c r="K12508" t="s">
        <v>36701</v>
      </c>
      <c r="M12508" t="s">
        <v>40288</v>
      </c>
      <c r="N12508" t="s">
        <v>40436</v>
      </c>
      <c r="O12508" t="s">
        <v>40437</v>
      </c>
      <c r="P12508">
        <v>0</v>
      </c>
      <c r="Q12508">
        <v>0</v>
      </c>
      <c r="R12508" t="s">
        <v>40457</v>
      </c>
      <c r="S12508" t="s">
        <v>41386</v>
      </c>
      <c r="T12508" t="s">
        <v>42103</v>
      </c>
      <c r="U12508" t="s">
        <v>52866</v>
      </c>
      <c r="W12508" t="s">
        <v>40288</v>
      </c>
      <c r="X12508" t="s">
        <v>40458</v>
      </c>
    </row>
    <row r="12509" spans="1:24">
      <c r="A12509">
        <f>HYPERLINK("https://www.philgeps.gov.ph/GEPSNONPILOT/Tender/SplashBidNoticeAbstractUI.aspx?menuIndex=3&amp;refID=7014224&amp;Result=3","7014224")</f>
        <v>0</v>
      </c>
      <c r="B12509" t="s">
        <v>2507</v>
      </c>
      <c r="C12509" t="s">
        <v>15069</v>
      </c>
      <c r="D12509" t="s">
        <v>16227</v>
      </c>
      <c r="E12509" t="s">
        <v>27134</v>
      </c>
      <c r="F12509" t="s">
        <v>28198</v>
      </c>
      <c r="G12509" t="s">
        <v>28205</v>
      </c>
      <c r="H12509" t="s">
        <v>28215</v>
      </c>
      <c r="I12509" t="s">
        <v>5100</v>
      </c>
      <c r="J12509" t="s">
        <v>33494</v>
      </c>
      <c r="K12509" t="s">
        <v>36707</v>
      </c>
      <c r="M12509" t="s">
        <v>39709</v>
      </c>
      <c r="N12509" t="s">
        <v>40436</v>
      </c>
      <c r="O12509" t="s">
        <v>40437</v>
      </c>
      <c r="Q12509">
        <v>1</v>
      </c>
      <c r="R12509" t="s">
        <v>40457</v>
      </c>
      <c r="S12509" t="s">
        <v>41060</v>
      </c>
      <c r="T12509" t="s">
        <v>42233</v>
      </c>
      <c r="U12509" t="s">
        <v>52867</v>
      </c>
      <c r="V12509" t="s">
        <v>54704</v>
      </c>
      <c r="W12509" t="s">
        <v>39709</v>
      </c>
      <c r="X12509" t="s">
        <v>40459</v>
      </c>
    </row>
    <row r="12510" spans="1:24">
      <c r="A12510">
        <f>HYPERLINK("https://www.philgeps.gov.ph/GEPSNONPILOT/Tender/SplashBidNoticeAbstractUI.aspx?menuIndex=3&amp;refID=7010492&amp;Result=3","7010492")</f>
        <v>0</v>
      </c>
      <c r="B12510" t="s">
        <v>747</v>
      </c>
      <c r="C12510" t="s">
        <v>15070</v>
      </c>
      <c r="D12510" t="s">
        <v>16208</v>
      </c>
      <c r="E12510" t="s">
        <v>27135</v>
      </c>
      <c r="F12510" t="s">
        <v>28198</v>
      </c>
      <c r="G12510" t="s">
        <v>28205</v>
      </c>
      <c r="H12510" t="s">
        <v>28215</v>
      </c>
      <c r="I12510" t="s">
        <v>28234</v>
      </c>
      <c r="J12510" t="s">
        <v>36026</v>
      </c>
      <c r="K12510" t="s">
        <v>36694</v>
      </c>
      <c r="M12510" t="s">
        <v>37750</v>
      </c>
      <c r="N12510" t="s">
        <v>40436</v>
      </c>
      <c r="O12510" t="s">
        <v>40437</v>
      </c>
      <c r="P12510">
        <v>0</v>
      </c>
      <c r="Q12510">
        <v>16</v>
      </c>
      <c r="R12510" t="s">
        <v>40457</v>
      </c>
      <c r="S12510" t="s">
        <v>41386</v>
      </c>
      <c r="T12510" t="s">
        <v>42190</v>
      </c>
      <c r="U12510" t="s">
        <v>52868</v>
      </c>
      <c r="V12510" t="s">
        <v>55216</v>
      </c>
      <c r="W12510" t="s">
        <v>55546</v>
      </c>
      <c r="X12510" t="s">
        <v>40460</v>
      </c>
    </row>
    <row r="12511" spans="1:24">
      <c r="A12511">
        <f>HYPERLINK("https://www.philgeps.gov.ph/GEPSNONPILOT/Tender/SplashBidNoticeAbstractUI.aspx?menuIndex=3&amp;refID=7014218&amp;Result=3","7014218")</f>
        <v>0</v>
      </c>
      <c r="B12511" t="s">
        <v>2507</v>
      </c>
      <c r="C12511" t="s">
        <v>15071</v>
      </c>
      <c r="D12511" t="s">
        <v>16227</v>
      </c>
      <c r="E12511" t="s">
        <v>27136</v>
      </c>
      <c r="F12511" t="s">
        <v>28198</v>
      </c>
      <c r="G12511" t="s">
        <v>28205</v>
      </c>
      <c r="H12511" t="s">
        <v>28215</v>
      </c>
      <c r="I12511" t="s">
        <v>5100</v>
      </c>
      <c r="J12511" t="s">
        <v>36027</v>
      </c>
      <c r="K12511" t="s">
        <v>36707</v>
      </c>
      <c r="M12511" t="s">
        <v>39709</v>
      </c>
      <c r="N12511" t="s">
        <v>40436</v>
      </c>
      <c r="O12511" t="s">
        <v>40437</v>
      </c>
      <c r="Q12511">
        <v>3</v>
      </c>
      <c r="R12511" t="s">
        <v>40457</v>
      </c>
      <c r="S12511" t="s">
        <v>41398</v>
      </c>
      <c r="T12511" t="s">
        <v>42233</v>
      </c>
      <c r="U12511" t="s">
        <v>52869</v>
      </c>
      <c r="V12511" t="s">
        <v>54704</v>
      </c>
      <c r="W12511" t="s">
        <v>39709</v>
      </c>
      <c r="X12511" t="s">
        <v>40459</v>
      </c>
    </row>
    <row r="12512" spans="1:24">
      <c r="A12512">
        <f>HYPERLINK("https://www.philgeps.gov.ph/GEPSNONPILOT/Tender/SplashBidNoticeAbstractUI.aspx?menuIndex=3&amp;refID=7014144&amp;Result=3","7014144")</f>
        <v>0</v>
      </c>
      <c r="B12512" t="s">
        <v>1820</v>
      </c>
      <c r="C12512" t="s">
        <v>15072</v>
      </c>
      <c r="D12512" t="s">
        <v>16199</v>
      </c>
      <c r="E12512" t="s">
        <v>27137</v>
      </c>
      <c r="F12512" t="s">
        <v>28198</v>
      </c>
      <c r="G12512" t="s">
        <v>28205</v>
      </c>
      <c r="H12512" t="s">
        <v>28214</v>
      </c>
      <c r="I12512" t="s">
        <v>3797</v>
      </c>
      <c r="J12512" t="s">
        <v>36028</v>
      </c>
      <c r="K12512" t="s">
        <v>36817</v>
      </c>
      <c r="M12512" t="s">
        <v>38941</v>
      </c>
      <c r="N12512" t="s">
        <v>40436</v>
      </c>
      <c r="O12512" t="s">
        <v>40437</v>
      </c>
      <c r="P12512">
        <v>0</v>
      </c>
      <c r="Q12512">
        <v>1</v>
      </c>
      <c r="R12512" t="s">
        <v>40457</v>
      </c>
      <c r="S12512" t="s">
        <v>41386</v>
      </c>
      <c r="T12512" t="s">
        <v>42205</v>
      </c>
      <c r="U12512" t="s">
        <v>52870</v>
      </c>
      <c r="V12512" t="s">
        <v>55217</v>
      </c>
      <c r="W12512" t="s">
        <v>38941</v>
      </c>
      <c r="X12512" t="s">
        <v>40459</v>
      </c>
    </row>
    <row r="12513" spans="1:24">
      <c r="A12513">
        <f>HYPERLINK("https://www.philgeps.gov.ph/GEPSNONPILOT/Tender/SplashBidNoticeAbstractUI.aspx?menuIndex=3&amp;refID=7012419&amp;Result=3","7012419")</f>
        <v>0</v>
      </c>
      <c r="B12513" t="s">
        <v>2995</v>
      </c>
      <c r="C12513" t="s">
        <v>15073</v>
      </c>
      <c r="D12513" t="s">
        <v>16187</v>
      </c>
      <c r="E12513" t="s">
        <v>27138</v>
      </c>
      <c r="F12513" t="s">
        <v>28198</v>
      </c>
      <c r="G12513" t="s">
        <v>28205</v>
      </c>
      <c r="H12513" t="s">
        <v>28214</v>
      </c>
      <c r="I12513" t="s">
        <v>3797</v>
      </c>
      <c r="J12513" t="s">
        <v>36029</v>
      </c>
      <c r="K12513" t="s">
        <v>36854</v>
      </c>
      <c r="M12513" t="s">
        <v>40290</v>
      </c>
      <c r="N12513" t="s">
        <v>40436</v>
      </c>
      <c r="O12513" t="s">
        <v>40437</v>
      </c>
      <c r="P12513">
        <v>0</v>
      </c>
      <c r="Q12513">
        <v>5</v>
      </c>
      <c r="R12513" t="s">
        <v>40457</v>
      </c>
      <c r="S12513" t="s">
        <v>41386</v>
      </c>
      <c r="T12513" t="s">
        <v>42385</v>
      </c>
      <c r="U12513" t="s">
        <v>52871</v>
      </c>
      <c r="W12513" t="s">
        <v>40290</v>
      </c>
      <c r="X12513" t="s">
        <v>40459</v>
      </c>
    </row>
    <row r="12514" spans="1:24">
      <c r="A12514">
        <f>HYPERLINK("https://www.philgeps.gov.ph/GEPSNONPILOT/Tender/SplashBidNoticeAbstractUI.aspx?menuIndex=3&amp;refID=7012677&amp;Result=3","7012677")</f>
        <v>0</v>
      </c>
      <c r="B12514" t="s">
        <v>2381</v>
      </c>
      <c r="C12514" t="s">
        <v>15074</v>
      </c>
      <c r="D12514" t="s">
        <v>16243</v>
      </c>
      <c r="E12514" t="s">
        <v>27139</v>
      </c>
      <c r="F12514" t="s">
        <v>28198</v>
      </c>
      <c r="G12514" t="s">
        <v>28205</v>
      </c>
      <c r="H12514" t="s">
        <v>28214</v>
      </c>
      <c r="I12514" t="s">
        <v>3797</v>
      </c>
      <c r="J12514" t="s">
        <v>28351</v>
      </c>
      <c r="K12514" t="s">
        <v>36697</v>
      </c>
      <c r="M12514" t="s">
        <v>39641</v>
      </c>
      <c r="N12514" t="s">
        <v>40436</v>
      </c>
      <c r="O12514" t="s">
        <v>40437</v>
      </c>
      <c r="Q12514">
        <v>0</v>
      </c>
      <c r="R12514" t="s">
        <v>40457</v>
      </c>
      <c r="S12514" t="s">
        <v>41399</v>
      </c>
      <c r="T12514" t="s">
        <v>42277</v>
      </c>
      <c r="U12514" t="s">
        <v>52872</v>
      </c>
      <c r="W12514" t="s">
        <v>39641</v>
      </c>
      <c r="X12514" t="s">
        <v>40459</v>
      </c>
    </row>
    <row r="12515" spans="1:24">
      <c r="A12515">
        <f>HYPERLINK("https://www.philgeps.gov.ph/GEPSNONPILOT/Tender/SplashBidNoticeAbstractUI.aspx?menuIndex=3&amp;refID=7013831&amp;Result=3","7013831")</f>
        <v>0</v>
      </c>
      <c r="B12515" t="s">
        <v>1141</v>
      </c>
      <c r="C12515" t="s">
        <v>15075</v>
      </c>
      <c r="D12515" t="s">
        <v>16261</v>
      </c>
      <c r="E12515" t="s">
        <v>27140</v>
      </c>
      <c r="F12515" t="s">
        <v>28198</v>
      </c>
      <c r="G12515" t="s">
        <v>28205</v>
      </c>
      <c r="H12515" t="s">
        <v>28214</v>
      </c>
      <c r="I12515" t="s">
        <v>3797</v>
      </c>
      <c r="J12515" t="s">
        <v>36030</v>
      </c>
      <c r="K12515" t="s">
        <v>36715</v>
      </c>
      <c r="M12515" t="s">
        <v>38181</v>
      </c>
      <c r="N12515" t="s">
        <v>40436</v>
      </c>
      <c r="O12515" t="s">
        <v>40437</v>
      </c>
      <c r="P12515">
        <v>0</v>
      </c>
      <c r="Q12515">
        <v>0</v>
      </c>
      <c r="R12515" t="s">
        <v>40457</v>
      </c>
      <c r="S12515" t="s">
        <v>41386</v>
      </c>
      <c r="T12515" t="s">
        <v>42133</v>
      </c>
      <c r="U12515" t="s">
        <v>52873</v>
      </c>
      <c r="W12515" t="s">
        <v>38181</v>
      </c>
      <c r="X12515" t="s">
        <v>40459</v>
      </c>
    </row>
    <row r="12516" spans="1:24">
      <c r="A12516">
        <f>HYPERLINK("https://www.philgeps.gov.ph/GEPSNONPILOT/Tender/SplashBidNoticeAbstractUI.aspx?menuIndex=3&amp;refID=7013908&amp;Result=3","7013908")</f>
        <v>0</v>
      </c>
      <c r="B12516" t="s">
        <v>2992</v>
      </c>
      <c r="C12516" t="s">
        <v>15076</v>
      </c>
      <c r="D12516" t="s">
        <v>16256</v>
      </c>
      <c r="E12516" t="s">
        <v>27141</v>
      </c>
      <c r="F12516" t="s">
        <v>28198</v>
      </c>
      <c r="G12516" t="s">
        <v>28205</v>
      </c>
      <c r="H12516" t="s">
        <v>28215</v>
      </c>
      <c r="I12516" t="s">
        <v>5082</v>
      </c>
      <c r="J12516" t="s">
        <v>28406</v>
      </c>
      <c r="K12516" t="s">
        <v>36701</v>
      </c>
      <c r="M12516" t="s">
        <v>40287</v>
      </c>
      <c r="N12516" t="s">
        <v>40436</v>
      </c>
      <c r="O12516" t="s">
        <v>40437</v>
      </c>
      <c r="Q12516">
        <v>2</v>
      </c>
      <c r="R12516" t="s">
        <v>40457</v>
      </c>
      <c r="S12516" t="s">
        <v>41400</v>
      </c>
      <c r="T12516" t="s">
        <v>42128</v>
      </c>
      <c r="U12516" t="s">
        <v>52874</v>
      </c>
      <c r="V12516" t="s">
        <v>54289</v>
      </c>
      <c r="W12516" t="s">
        <v>40287</v>
      </c>
      <c r="X12516" t="s">
        <v>40459</v>
      </c>
    </row>
    <row r="12517" spans="1:24">
      <c r="A12517">
        <f>HYPERLINK("https://www.philgeps.gov.ph/GEPSNONPILOT/Tender/SplashBidNoticeAbstractUI.aspx?menuIndex=3&amp;refID=7013851&amp;Result=3","7013851")</f>
        <v>0</v>
      </c>
      <c r="B12517" t="s">
        <v>2996</v>
      </c>
      <c r="C12517" t="s">
        <v>15077</v>
      </c>
      <c r="D12517" t="s">
        <v>16190</v>
      </c>
      <c r="E12517" t="s">
        <v>27142</v>
      </c>
      <c r="F12517" t="s">
        <v>28198</v>
      </c>
      <c r="G12517" t="s">
        <v>28205</v>
      </c>
      <c r="H12517" t="s">
        <v>28215</v>
      </c>
      <c r="I12517" t="s">
        <v>28222</v>
      </c>
      <c r="J12517" t="s">
        <v>28379</v>
      </c>
      <c r="K12517" t="s">
        <v>36689</v>
      </c>
      <c r="M12517" t="s">
        <v>40291</v>
      </c>
      <c r="N12517" t="s">
        <v>40436</v>
      </c>
      <c r="O12517" t="s">
        <v>40437</v>
      </c>
      <c r="P12517">
        <v>0</v>
      </c>
      <c r="Q12517">
        <v>4</v>
      </c>
      <c r="R12517" t="s">
        <v>40457</v>
      </c>
      <c r="S12517" t="s">
        <v>41386</v>
      </c>
      <c r="T12517" t="s">
        <v>42165</v>
      </c>
      <c r="U12517" t="s">
        <v>52875</v>
      </c>
      <c r="V12517" t="s">
        <v>55218</v>
      </c>
      <c r="W12517" t="s">
        <v>40291</v>
      </c>
      <c r="X12517" t="s">
        <v>40459</v>
      </c>
    </row>
    <row r="12518" spans="1:24">
      <c r="A12518">
        <f>HYPERLINK("https://www.philgeps.gov.ph/GEPSNONPILOT/Tender/SplashBidNoticeAbstractUI.aspx?menuIndex=3&amp;refID=7013565&amp;Result=3","7013565")</f>
        <v>0</v>
      </c>
      <c r="B12518" t="s">
        <v>1903</v>
      </c>
      <c r="C12518" t="s">
        <v>15078</v>
      </c>
      <c r="D12518" t="s">
        <v>16218</v>
      </c>
      <c r="E12518" t="s">
        <v>27143</v>
      </c>
      <c r="F12518" t="s">
        <v>28198</v>
      </c>
      <c r="G12518" t="s">
        <v>28205</v>
      </c>
      <c r="H12518" t="s">
        <v>28215</v>
      </c>
      <c r="I12518" t="s">
        <v>28234</v>
      </c>
      <c r="J12518" t="s">
        <v>33072</v>
      </c>
      <c r="K12518" t="s">
        <v>36715</v>
      </c>
      <c r="M12518" t="s">
        <v>39035</v>
      </c>
      <c r="N12518" t="s">
        <v>40436</v>
      </c>
      <c r="O12518" t="s">
        <v>40437</v>
      </c>
      <c r="P12518">
        <v>0</v>
      </c>
      <c r="Q12518">
        <v>13</v>
      </c>
      <c r="R12518" t="s">
        <v>40457</v>
      </c>
      <c r="S12518" t="s">
        <v>41386</v>
      </c>
      <c r="T12518" t="s">
        <v>42159</v>
      </c>
      <c r="U12518" t="s">
        <v>52876</v>
      </c>
      <c r="W12518" t="s">
        <v>39035</v>
      </c>
      <c r="X12518" t="s">
        <v>40459</v>
      </c>
    </row>
    <row r="12519" spans="1:24">
      <c r="A12519">
        <f>HYPERLINK("https://www.philgeps.gov.ph/GEPSNONPILOT/Tender/SplashBidNoticeAbstractUI.aspx?menuIndex=3&amp;refID=7013511&amp;Result=3","7013511")</f>
        <v>0</v>
      </c>
      <c r="B12519" t="s">
        <v>2997</v>
      </c>
      <c r="C12519" t="s">
        <v>15079</v>
      </c>
      <c r="D12519" t="s">
        <v>16214</v>
      </c>
      <c r="E12519" t="s">
        <v>16588</v>
      </c>
      <c r="F12519" t="s">
        <v>28198</v>
      </c>
      <c r="G12519" t="s">
        <v>28205</v>
      </c>
      <c r="H12519" t="s">
        <v>28215</v>
      </c>
      <c r="I12519" t="s">
        <v>4321</v>
      </c>
      <c r="J12519" t="s">
        <v>36031</v>
      </c>
      <c r="K12519" t="s">
        <v>36701</v>
      </c>
      <c r="M12519" t="s">
        <v>40292</v>
      </c>
      <c r="N12519" t="s">
        <v>40436</v>
      </c>
      <c r="O12519" t="s">
        <v>40437</v>
      </c>
      <c r="P12519">
        <v>0</v>
      </c>
      <c r="Q12519">
        <v>2</v>
      </c>
      <c r="R12519" t="s">
        <v>40457</v>
      </c>
      <c r="S12519" t="s">
        <v>41386</v>
      </c>
      <c r="T12519" t="s">
        <v>42233</v>
      </c>
      <c r="U12519" t="s">
        <v>52877</v>
      </c>
      <c r="W12519" t="s">
        <v>40292</v>
      </c>
      <c r="X12519" t="s">
        <v>40459</v>
      </c>
    </row>
    <row r="12520" spans="1:24">
      <c r="A12520">
        <f>HYPERLINK("https://www.philgeps.gov.ph/GEPSNONPILOT/Tender/SplashBidNoticeAbstractUI.aspx?menuIndex=3&amp;refID=7013961&amp;Result=3","7013961")</f>
        <v>0</v>
      </c>
      <c r="B12520" t="s">
        <v>2993</v>
      </c>
      <c r="C12520" t="s">
        <v>15080</v>
      </c>
      <c r="D12520" t="s">
        <v>16268</v>
      </c>
      <c r="E12520" t="s">
        <v>27144</v>
      </c>
      <c r="F12520" t="s">
        <v>28198</v>
      </c>
      <c r="G12520" t="s">
        <v>28205</v>
      </c>
      <c r="H12520" t="s">
        <v>28215</v>
      </c>
      <c r="I12520" t="s">
        <v>3774</v>
      </c>
      <c r="J12520" t="s">
        <v>36032</v>
      </c>
      <c r="K12520" t="s">
        <v>36701</v>
      </c>
      <c r="M12520" t="s">
        <v>40288</v>
      </c>
      <c r="N12520" t="s">
        <v>40436</v>
      </c>
      <c r="O12520" t="s">
        <v>40437</v>
      </c>
      <c r="P12520">
        <v>0</v>
      </c>
      <c r="Q12520">
        <v>1</v>
      </c>
      <c r="R12520" t="s">
        <v>40457</v>
      </c>
      <c r="S12520" t="s">
        <v>41386</v>
      </c>
      <c r="T12520" t="s">
        <v>42103</v>
      </c>
      <c r="U12520" t="s">
        <v>52878</v>
      </c>
      <c r="W12520" t="s">
        <v>40288</v>
      </c>
      <c r="X12520" t="s">
        <v>40459</v>
      </c>
    </row>
    <row r="12521" spans="1:24">
      <c r="A12521">
        <f>HYPERLINK("https://www.philgeps.gov.ph/GEPSNONPILOT/Tender/SplashBidNoticeAbstractUI.aspx?menuIndex=3&amp;refID=7014351&amp;Result=3","7014351")</f>
        <v>0</v>
      </c>
      <c r="B12521" t="s">
        <v>2402</v>
      </c>
      <c r="C12521" t="s">
        <v>15081</v>
      </c>
      <c r="D12521" t="s">
        <v>16250</v>
      </c>
      <c r="E12521" t="s">
        <v>27145</v>
      </c>
      <c r="F12521" t="s">
        <v>28198</v>
      </c>
      <c r="G12521" t="s">
        <v>28205</v>
      </c>
      <c r="H12521" t="s">
        <v>28215</v>
      </c>
      <c r="I12521" t="s">
        <v>28258</v>
      </c>
      <c r="J12521" t="s">
        <v>28415</v>
      </c>
      <c r="K12521" t="s">
        <v>36701</v>
      </c>
      <c r="M12521" t="s">
        <v>39590</v>
      </c>
      <c r="N12521" t="s">
        <v>40436</v>
      </c>
      <c r="O12521" t="s">
        <v>40437</v>
      </c>
      <c r="P12521">
        <v>0</v>
      </c>
      <c r="Q12521">
        <v>3</v>
      </c>
      <c r="R12521" t="s">
        <v>40457</v>
      </c>
      <c r="S12521" t="s">
        <v>41386</v>
      </c>
      <c r="T12521" t="s">
        <v>42183</v>
      </c>
      <c r="U12521" t="s">
        <v>52879</v>
      </c>
      <c r="W12521" t="s">
        <v>39590</v>
      </c>
      <c r="X12521" t="s">
        <v>40458</v>
      </c>
    </row>
    <row r="12522" spans="1:24">
      <c r="A12522">
        <f>HYPERLINK("https://www.philgeps.gov.ph/GEPSNONPILOT/Tender/SplashBidNoticeAbstractUI.aspx?menuIndex=3&amp;refID=7013679&amp;Result=3","7013679")</f>
        <v>0</v>
      </c>
      <c r="B12522" t="s">
        <v>2993</v>
      </c>
      <c r="C12522" t="s">
        <v>15080</v>
      </c>
      <c r="D12522" t="s">
        <v>16268</v>
      </c>
      <c r="E12522" t="s">
        <v>27146</v>
      </c>
      <c r="F12522" t="s">
        <v>28198</v>
      </c>
      <c r="G12522" t="s">
        <v>28205</v>
      </c>
      <c r="H12522" t="s">
        <v>28215</v>
      </c>
      <c r="I12522" t="s">
        <v>3774</v>
      </c>
      <c r="J12522" t="s">
        <v>36033</v>
      </c>
      <c r="K12522" t="s">
        <v>36701</v>
      </c>
      <c r="M12522" t="s">
        <v>40288</v>
      </c>
      <c r="N12522" t="s">
        <v>40436</v>
      </c>
      <c r="O12522" t="s">
        <v>40437</v>
      </c>
      <c r="P12522">
        <v>0</v>
      </c>
      <c r="Q12522">
        <v>1</v>
      </c>
      <c r="R12522" t="s">
        <v>40457</v>
      </c>
      <c r="S12522" t="s">
        <v>41386</v>
      </c>
      <c r="T12522" t="s">
        <v>42103</v>
      </c>
      <c r="U12522" t="s">
        <v>52880</v>
      </c>
      <c r="W12522" t="s">
        <v>40288</v>
      </c>
      <c r="X12522" t="s">
        <v>40459</v>
      </c>
    </row>
    <row r="12523" spans="1:24">
      <c r="A12523">
        <f>HYPERLINK("https://www.philgeps.gov.ph/GEPSNONPILOT/Tender/SplashBidNoticeAbstractUI.aspx?menuIndex=3&amp;refID=7014516&amp;Result=3","7014516")</f>
        <v>0</v>
      </c>
      <c r="B12523" t="s">
        <v>1990</v>
      </c>
      <c r="C12523" t="s">
        <v>15082</v>
      </c>
      <c r="D12523" t="s">
        <v>16258</v>
      </c>
      <c r="E12523" t="s">
        <v>27147</v>
      </c>
      <c r="F12523" t="s">
        <v>28198</v>
      </c>
      <c r="G12523" t="s">
        <v>28205</v>
      </c>
      <c r="H12523" t="s">
        <v>28214</v>
      </c>
      <c r="I12523" t="s">
        <v>3797</v>
      </c>
      <c r="J12523" t="s">
        <v>36034</v>
      </c>
      <c r="K12523" t="s">
        <v>36697</v>
      </c>
      <c r="M12523" t="s">
        <v>39436</v>
      </c>
      <c r="N12523" t="s">
        <v>40436</v>
      </c>
      <c r="O12523" t="s">
        <v>40437</v>
      </c>
      <c r="P12523">
        <v>0</v>
      </c>
      <c r="Q12523">
        <v>1</v>
      </c>
      <c r="R12523" t="s">
        <v>40457</v>
      </c>
      <c r="S12523" t="s">
        <v>41386</v>
      </c>
      <c r="T12523" t="s">
        <v>42478</v>
      </c>
      <c r="U12523" t="s">
        <v>52881</v>
      </c>
      <c r="V12523" t="s">
        <v>54542</v>
      </c>
      <c r="W12523" t="s">
        <v>39436</v>
      </c>
      <c r="X12523" t="s">
        <v>40458</v>
      </c>
    </row>
    <row r="12524" spans="1:24">
      <c r="A12524">
        <f>HYPERLINK("https://www.philgeps.gov.ph/GEPSNONPILOT/Tender/SplashBidNoticeAbstractUI.aspx?menuIndex=3&amp;refID=7013571&amp;Result=3","7013571")</f>
        <v>0</v>
      </c>
      <c r="B12524" t="s">
        <v>2998</v>
      </c>
      <c r="C12524" t="s">
        <v>15083</v>
      </c>
      <c r="D12524" t="s">
        <v>16203</v>
      </c>
      <c r="E12524" t="s">
        <v>27148</v>
      </c>
      <c r="F12524" t="s">
        <v>28198</v>
      </c>
      <c r="G12524" t="s">
        <v>28205</v>
      </c>
      <c r="H12524" t="s">
        <v>28214</v>
      </c>
      <c r="I12524" t="s">
        <v>28237</v>
      </c>
      <c r="J12524" t="s">
        <v>36035</v>
      </c>
      <c r="K12524" t="s">
        <v>36701</v>
      </c>
      <c r="M12524" t="s">
        <v>40293</v>
      </c>
      <c r="N12524" t="s">
        <v>40436</v>
      </c>
      <c r="O12524" t="s">
        <v>40437</v>
      </c>
      <c r="Q12524">
        <v>7</v>
      </c>
      <c r="R12524" t="s">
        <v>40457</v>
      </c>
      <c r="S12524" t="s">
        <v>41401</v>
      </c>
      <c r="T12524" t="s">
        <v>42103</v>
      </c>
      <c r="U12524" t="s">
        <v>52882</v>
      </c>
      <c r="W12524" t="s">
        <v>40293</v>
      </c>
      <c r="X12524" t="s">
        <v>40459</v>
      </c>
    </row>
    <row r="12525" spans="1:24">
      <c r="A12525">
        <f>HYPERLINK("https://www.philgeps.gov.ph/GEPSNONPILOT/Tender/SplashBidNoticeAbstractUI.aspx?menuIndex=3&amp;refID=7014461&amp;Result=3","7014461")</f>
        <v>0</v>
      </c>
      <c r="B12525" t="s">
        <v>1990</v>
      </c>
      <c r="C12525" t="s">
        <v>15084</v>
      </c>
      <c r="D12525" t="s">
        <v>16258</v>
      </c>
      <c r="E12525" t="s">
        <v>27149</v>
      </c>
      <c r="F12525" t="s">
        <v>28198</v>
      </c>
      <c r="G12525" t="s">
        <v>28205</v>
      </c>
      <c r="H12525" t="s">
        <v>28214</v>
      </c>
      <c r="I12525" t="s">
        <v>3797</v>
      </c>
      <c r="J12525" t="s">
        <v>36036</v>
      </c>
      <c r="K12525" t="s">
        <v>36690</v>
      </c>
      <c r="M12525" t="s">
        <v>39436</v>
      </c>
      <c r="N12525" t="s">
        <v>40436</v>
      </c>
      <c r="O12525" t="s">
        <v>40437</v>
      </c>
      <c r="P12525">
        <v>0</v>
      </c>
      <c r="Q12525">
        <v>0</v>
      </c>
      <c r="R12525" t="s">
        <v>40457</v>
      </c>
      <c r="S12525" t="s">
        <v>41386</v>
      </c>
      <c r="T12525" t="s">
        <v>42478</v>
      </c>
      <c r="U12525" t="s">
        <v>52883</v>
      </c>
      <c r="V12525" t="s">
        <v>54542</v>
      </c>
      <c r="W12525" t="s">
        <v>39436</v>
      </c>
      <c r="X12525" t="s">
        <v>40458</v>
      </c>
    </row>
    <row r="12526" spans="1:24">
      <c r="A12526">
        <f>HYPERLINK("https://www.philgeps.gov.ph/GEPSNONPILOT/Tender/SplashBidNoticeAbstractUI.aspx?menuIndex=3&amp;refID=7013966&amp;Result=3","7013966")</f>
        <v>0</v>
      </c>
      <c r="B12526" t="s">
        <v>1141</v>
      </c>
      <c r="C12526" t="s">
        <v>15085</v>
      </c>
      <c r="D12526" t="s">
        <v>16261</v>
      </c>
      <c r="E12526" t="s">
        <v>27150</v>
      </c>
      <c r="F12526" t="s">
        <v>28198</v>
      </c>
      <c r="G12526" t="s">
        <v>28205</v>
      </c>
      <c r="H12526" t="s">
        <v>28214</v>
      </c>
      <c r="I12526" t="s">
        <v>3797</v>
      </c>
      <c r="J12526" t="s">
        <v>36037</v>
      </c>
      <c r="K12526" t="s">
        <v>36896</v>
      </c>
      <c r="M12526" t="s">
        <v>38181</v>
      </c>
      <c r="N12526" t="s">
        <v>40436</v>
      </c>
      <c r="O12526" t="s">
        <v>40437</v>
      </c>
      <c r="P12526">
        <v>0</v>
      </c>
      <c r="Q12526">
        <v>0</v>
      </c>
      <c r="R12526" t="s">
        <v>40457</v>
      </c>
      <c r="S12526" t="s">
        <v>41386</v>
      </c>
      <c r="T12526" t="s">
        <v>42133</v>
      </c>
      <c r="U12526" t="s">
        <v>52884</v>
      </c>
      <c r="W12526" t="s">
        <v>38181</v>
      </c>
      <c r="X12526" t="s">
        <v>40459</v>
      </c>
    </row>
    <row r="12527" spans="1:24">
      <c r="A12527">
        <f>HYPERLINK("https://www.philgeps.gov.ph/GEPSNONPILOT/Tender/SplashBidNoticeAbstractUI.aspx?menuIndex=3&amp;refID=7014544&amp;Result=3","7014544")</f>
        <v>0</v>
      </c>
      <c r="B12527" t="s">
        <v>1990</v>
      </c>
      <c r="C12527" t="s">
        <v>15086</v>
      </c>
      <c r="D12527" t="s">
        <v>16258</v>
      </c>
      <c r="E12527" t="s">
        <v>27151</v>
      </c>
      <c r="F12527" t="s">
        <v>28198</v>
      </c>
      <c r="G12527" t="s">
        <v>28205</v>
      </c>
      <c r="H12527" t="s">
        <v>28214</v>
      </c>
      <c r="I12527" t="s">
        <v>3797</v>
      </c>
      <c r="J12527" t="s">
        <v>36038</v>
      </c>
      <c r="K12527" t="s">
        <v>36697</v>
      </c>
      <c r="M12527" t="s">
        <v>39436</v>
      </c>
      <c r="N12527" t="s">
        <v>40436</v>
      </c>
      <c r="O12527" t="s">
        <v>40437</v>
      </c>
      <c r="P12527">
        <v>0</v>
      </c>
      <c r="Q12527">
        <v>0</v>
      </c>
      <c r="R12527" t="s">
        <v>40457</v>
      </c>
      <c r="S12527" t="s">
        <v>41386</v>
      </c>
      <c r="T12527" t="s">
        <v>42478</v>
      </c>
      <c r="U12527" t="s">
        <v>51578</v>
      </c>
      <c r="V12527" t="s">
        <v>54542</v>
      </c>
      <c r="W12527" t="s">
        <v>39436</v>
      </c>
      <c r="X12527" t="s">
        <v>40458</v>
      </c>
    </row>
    <row r="12528" spans="1:24">
      <c r="A12528">
        <f>HYPERLINK("https://www.philgeps.gov.ph/GEPSNONPILOT/Tender/SplashBidNoticeAbstractUI.aspx?menuIndex=3&amp;refID=7014438&amp;Result=3","7014438")</f>
        <v>0</v>
      </c>
      <c r="B12528" t="s">
        <v>1990</v>
      </c>
      <c r="C12528" t="s">
        <v>15087</v>
      </c>
      <c r="D12528" t="s">
        <v>16258</v>
      </c>
      <c r="E12528" t="s">
        <v>27152</v>
      </c>
      <c r="F12528" t="s">
        <v>28198</v>
      </c>
      <c r="G12528" t="s">
        <v>28205</v>
      </c>
      <c r="H12528" t="s">
        <v>28214</v>
      </c>
      <c r="I12528" t="s">
        <v>3797</v>
      </c>
      <c r="J12528" t="s">
        <v>36039</v>
      </c>
      <c r="K12528" t="s">
        <v>36968</v>
      </c>
      <c r="M12528" t="s">
        <v>39436</v>
      </c>
      <c r="N12528" t="s">
        <v>40436</v>
      </c>
      <c r="O12528" t="s">
        <v>40437</v>
      </c>
      <c r="P12528">
        <v>0</v>
      </c>
      <c r="Q12528">
        <v>0</v>
      </c>
      <c r="R12528" t="s">
        <v>40457</v>
      </c>
      <c r="S12528" t="s">
        <v>41386</v>
      </c>
      <c r="T12528" t="s">
        <v>42478</v>
      </c>
      <c r="U12528" t="s">
        <v>52885</v>
      </c>
      <c r="V12528" t="s">
        <v>54542</v>
      </c>
      <c r="W12528" t="s">
        <v>39436</v>
      </c>
      <c r="X12528" t="s">
        <v>40458</v>
      </c>
    </row>
    <row r="12529" spans="1:24">
      <c r="A12529">
        <f>HYPERLINK("https://www.philgeps.gov.ph/GEPSNONPILOT/Tender/SplashBidNoticeAbstractUI.aspx?menuIndex=3&amp;refID=7014498&amp;Result=3","7014498")</f>
        <v>0</v>
      </c>
      <c r="B12529" t="s">
        <v>1990</v>
      </c>
      <c r="C12529" t="s">
        <v>15088</v>
      </c>
      <c r="D12529" t="s">
        <v>16258</v>
      </c>
      <c r="E12529" t="s">
        <v>27153</v>
      </c>
      <c r="F12529" t="s">
        <v>28198</v>
      </c>
      <c r="G12529" t="s">
        <v>28205</v>
      </c>
      <c r="H12529" t="s">
        <v>28214</v>
      </c>
      <c r="I12529" t="s">
        <v>3797</v>
      </c>
      <c r="J12529" t="s">
        <v>36034</v>
      </c>
      <c r="K12529" t="s">
        <v>36697</v>
      </c>
      <c r="M12529" t="s">
        <v>39436</v>
      </c>
      <c r="N12529" t="s">
        <v>40436</v>
      </c>
      <c r="O12529" t="s">
        <v>40437</v>
      </c>
      <c r="P12529">
        <v>0</v>
      </c>
      <c r="Q12529">
        <v>2</v>
      </c>
      <c r="R12529" t="s">
        <v>40457</v>
      </c>
      <c r="S12529" t="s">
        <v>41386</v>
      </c>
      <c r="T12529" t="s">
        <v>42478</v>
      </c>
      <c r="U12529" t="s">
        <v>52881</v>
      </c>
      <c r="V12529" t="s">
        <v>54542</v>
      </c>
      <c r="W12529" t="s">
        <v>39436</v>
      </c>
      <c r="X12529" t="s">
        <v>40458</v>
      </c>
    </row>
    <row r="12530" spans="1:24">
      <c r="A12530">
        <f>HYPERLINK("https://www.philgeps.gov.ph/GEPSNONPILOT/Tender/SplashBidNoticeAbstractUI.aspx?menuIndex=3&amp;refID=7014228&amp;Result=3","7014228")</f>
        <v>0</v>
      </c>
      <c r="B12530" t="s">
        <v>2507</v>
      </c>
      <c r="C12530" t="s">
        <v>15089</v>
      </c>
      <c r="D12530" t="s">
        <v>16227</v>
      </c>
      <c r="E12530" t="s">
        <v>27154</v>
      </c>
      <c r="F12530" t="s">
        <v>28198</v>
      </c>
      <c r="G12530" t="s">
        <v>28205</v>
      </c>
      <c r="H12530" t="s">
        <v>28215</v>
      </c>
      <c r="I12530" t="s">
        <v>5100</v>
      </c>
      <c r="J12530" t="s">
        <v>36040</v>
      </c>
      <c r="K12530" t="s">
        <v>36701</v>
      </c>
      <c r="M12530" t="s">
        <v>39709</v>
      </c>
      <c r="N12530" t="s">
        <v>40436</v>
      </c>
      <c r="O12530" t="s">
        <v>40437</v>
      </c>
      <c r="Q12530">
        <v>3</v>
      </c>
      <c r="R12530" t="s">
        <v>40457</v>
      </c>
      <c r="S12530" t="s">
        <v>41061</v>
      </c>
      <c r="T12530" t="s">
        <v>42233</v>
      </c>
      <c r="U12530" t="s">
        <v>52886</v>
      </c>
      <c r="V12530" t="s">
        <v>54704</v>
      </c>
      <c r="W12530" t="s">
        <v>39709</v>
      </c>
      <c r="X12530" t="s">
        <v>40459</v>
      </c>
    </row>
    <row r="12531" spans="1:24">
      <c r="A12531">
        <f>HYPERLINK("https://www.philgeps.gov.ph/GEPSNONPILOT/Tender/SplashBidNoticeAbstractUI.aspx?menuIndex=3&amp;refID=7014481&amp;Result=3","7014481")</f>
        <v>0</v>
      </c>
      <c r="B12531" t="s">
        <v>214</v>
      </c>
      <c r="C12531" t="s">
        <v>15090</v>
      </c>
      <c r="D12531" t="s">
        <v>16251</v>
      </c>
      <c r="E12531" t="s">
        <v>27155</v>
      </c>
      <c r="F12531" t="s">
        <v>28198</v>
      </c>
      <c r="G12531" t="s">
        <v>28205</v>
      </c>
      <c r="H12531" t="s">
        <v>28214</v>
      </c>
      <c r="I12531" t="s">
        <v>3797</v>
      </c>
      <c r="J12531" t="s">
        <v>36041</v>
      </c>
      <c r="K12531" t="s">
        <v>36902</v>
      </c>
      <c r="M12531" t="s">
        <v>37190</v>
      </c>
      <c r="N12531" t="s">
        <v>40436</v>
      </c>
      <c r="O12531" t="s">
        <v>40437</v>
      </c>
      <c r="P12531">
        <v>0</v>
      </c>
      <c r="Q12531">
        <v>2</v>
      </c>
      <c r="R12531" t="s">
        <v>40457</v>
      </c>
      <c r="S12531" t="s">
        <v>41386</v>
      </c>
      <c r="T12531" t="s">
        <v>42129</v>
      </c>
      <c r="U12531" t="s">
        <v>52887</v>
      </c>
      <c r="W12531" t="s">
        <v>37190</v>
      </c>
      <c r="X12531" t="s">
        <v>40458</v>
      </c>
    </row>
    <row r="12532" spans="1:24">
      <c r="A12532">
        <f>HYPERLINK("https://www.philgeps.gov.ph/GEPSNONPILOT/Tender/SplashBidNoticeAbstractUI.aspx?menuIndex=3&amp;refID=7014514&amp;Result=3","7014514")</f>
        <v>0</v>
      </c>
      <c r="B12532" t="s">
        <v>335</v>
      </c>
      <c r="C12532" t="s">
        <v>15091</v>
      </c>
      <c r="D12532" t="s">
        <v>16221</v>
      </c>
      <c r="E12532" t="s">
        <v>27156</v>
      </c>
      <c r="F12532" t="s">
        <v>28198</v>
      </c>
      <c r="G12532" t="s">
        <v>28205</v>
      </c>
      <c r="H12532" t="s">
        <v>28215</v>
      </c>
      <c r="I12532" t="s">
        <v>28225</v>
      </c>
      <c r="J12532" t="s">
        <v>36042</v>
      </c>
      <c r="K12532" t="s">
        <v>36697</v>
      </c>
      <c r="M12532" t="s">
        <v>37313</v>
      </c>
      <c r="N12532" t="s">
        <v>40436</v>
      </c>
      <c r="O12532" t="s">
        <v>40437</v>
      </c>
      <c r="P12532">
        <v>0</v>
      </c>
      <c r="Q12532">
        <v>3</v>
      </c>
      <c r="R12532" t="s">
        <v>40457</v>
      </c>
      <c r="S12532" t="s">
        <v>41386</v>
      </c>
      <c r="T12532" t="s">
        <v>42103</v>
      </c>
      <c r="U12532" t="s">
        <v>52888</v>
      </c>
      <c r="W12532" t="s">
        <v>55444</v>
      </c>
      <c r="X12532" t="s">
        <v>40458</v>
      </c>
    </row>
    <row r="12533" spans="1:24">
      <c r="A12533">
        <f>HYPERLINK("https://www.philgeps.gov.ph/GEPSNONPILOT/Tender/SplashBidNoticeAbstractUI.aspx?menuIndex=3&amp;refID=7014429&amp;Result=3","7014429")</f>
        <v>0</v>
      </c>
      <c r="B12533" t="s">
        <v>136</v>
      </c>
      <c r="C12533" t="s">
        <v>15092</v>
      </c>
      <c r="D12533" t="s">
        <v>16188</v>
      </c>
      <c r="E12533" t="s">
        <v>27157</v>
      </c>
      <c r="F12533" t="s">
        <v>28198</v>
      </c>
      <c r="G12533" t="s">
        <v>28205</v>
      </c>
      <c r="H12533" t="s">
        <v>28214</v>
      </c>
      <c r="I12533" t="s">
        <v>3797</v>
      </c>
      <c r="J12533" t="s">
        <v>36043</v>
      </c>
      <c r="K12533" t="s">
        <v>36710</v>
      </c>
      <c r="M12533" t="s">
        <v>37110</v>
      </c>
      <c r="N12533" t="s">
        <v>40436</v>
      </c>
      <c r="O12533" t="s">
        <v>40437</v>
      </c>
      <c r="P12533">
        <v>0</v>
      </c>
      <c r="Q12533">
        <v>5</v>
      </c>
      <c r="R12533" t="s">
        <v>40457</v>
      </c>
      <c r="S12533" t="s">
        <v>41386</v>
      </c>
      <c r="T12533" t="s">
        <v>42203</v>
      </c>
      <c r="U12533" t="s">
        <v>52889</v>
      </c>
      <c r="V12533" t="s">
        <v>53806</v>
      </c>
      <c r="W12533" t="s">
        <v>55432</v>
      </c>
      <c r="X12533" t="s">
        <v>40458</v>
      </c>
    </row>
    <row r="12534" spans="1:24">
      <c r="A12534">
        <f>HYPERLINK("https://www.philgeps.gov.ph/GEPSNONPILOT/Tender/SplashBidNoticeAbstractUI.aspx?menuIndex=3&amp;refID=7014403&amp;Result=3","7014403")</f>
        <v>0</v>
      </c>
      <c r="B12534" t="s">
        <v>1990</v>
      </c>
      <c r="C12534" t="s">
        <v>15093</v>
      </c>
      <c r="D12534" t="s">
        <v>16258</v>
      </c>
      <c r="E12534" t="s">
        <v>27158</v>
      </c>
      <c r="F12534" t="s">
        <v>28198</v>
      </c>
      <c r="G12534" t="s">
        <v>28205</v>
      </c>
      <c r="H12534" t="s">
        <v>28214</v>
      </c>
      <c r="I12534" t="s">
        <v>3797</v>
      </c>
      <c r="J12534" t="s">
        <v>36044</v>
      </c>
      <c r="K12534" t="s">
        <v>36690</v>
      </c>
      <c r="M12534" t="s">
        <v>39436</v>
      </c>
      <c r="N12534" t="s">
        <v>40436</v>
      </c>
      <c r="O12534" t="s">
        <v>40437</v>
      </c>
      <c r="P12534">
        <v>0</v>
      </c>
      <c r="Q12534">
        <v>1</v>
      </c>
      <c r="R12534" t="s">
        <v>40457</v>
      </c>
      <c r="S12534" t="s">
        <v>41386</v>
      </c>
      <c r="T12534" t="s">
        <v>42478</v>
      </c>
      <c r="U12534" t="s">
        <v>52890</v>
      </c>
      <c r="V12534" t="s">
        <v>54542</v>
      </c>
      <c r="W12534" t="s">
        <v>39436</v>
      </c>
      <c r="X12534" t="s">
        <v>40458</v>
      </c>
    </row>
    <row r="12535" spans="1:24">
      <c r="A12535">
        <f>HYPERLINK("https://www.philgeps.gov.ph/GEPSNONPILOT/Tender/SplashBidNoticeAbstractUI.aspx?menuIndex=3&amp;refID=7014350&amp;Result=3","7014350")</f>
        <v>0</v>
      </c>
      <c r="B12535" t="s">
        <v>2920</v>
      </c>
      <c r="C12535" t="s">
        <v>15094</v>
      </c>
      <c r="E12535" t="s">
        <v>27159</v>
      </c>
      <c r="F12535" t="s">
        <v>28198</v>
      </c>
      <c r="G12535" t="s">
        <v>28205</v>
      </c>
      <c r="H12535" t="s">
        <v>28214</v>
      </c>
      <c r="I12535" t="s">
        <v>3797</v>
      </c>
      <c r="J12535" t="s">
        <v>28418</v>
      </c>
      <c r="K12535" t="s">
        <v>36709</v>
      </c>
      <c r="M12535" t="s">
        <v>40196</v>
      </c>
      <c r="N12535" t="s">
        <v>40436</v>
      </c>
      <c r="O12535" t="s">
        <v>40437</v>
      </c>
      <c r="P12535">
        <v>0</v>
      </c>
      <c r="Q12535">
        <v>5</v>
      </c>
      <c r="R12535" t="s">
        <v>40457</v>
      </c>
      <c r="S12535" t="s">
        <v>41386</v>
      </c>
      <c r="T12535" t="s">
        <v>42297</v>
      </c>
      <c r="U12535" t="s">
        <v>52891</v>
      </c>
      <c r="W12535" t="s">
        <v>40196</v>
      </c>
      <c r="X12535" t="s">
        <v>40458</v>
      </c>
    </row>
    <row r="12536" spans="1:24">
      <c r="A12536">
        <f>HYPERLINK("https://www.philgeps.gov.ph/GEPSNONPILOT/Tender/SplashBidNoticeAbstractUI.aspx?menuIndex=3&amp;refID=7014395&amp;Result=3","7014395")</f>
        <v>0</v>
      </c>
      <c r="B12536" t="s">
        <v>2920</v>
      </c>
      <c r="C12536" t="s">
        <v>15095</v>
      </c>
      <c r="E12536" t="s">
        <v>27160</v>
      </c>
      <c r="F12536" t="s">
        <v>28198</v>
      </c>
      <c r="G12536" t="s">
        <v>28205</v>
      </c>
      <c r="H12536" t="s">
        <v>28214</v>
      </c>
      <c r="I12536" t="s">
        <v>3797</v>
      </c>
      <c r="J12536" t="s">
        <v>36045</v>
      </c>
      <c r="K12536" t="s">
        <v>36783</v>
      </c>
      <c r="M12536" t="s">
        <v>40196</v>
      </c>
      <c r="N12536" t="s">
        <v>40436</v>
      </c>
      <c r="O12536" t="s">
        <v>40437</v>
      </c>
      <c r="P12536">
        <v>0</v>
      </c>
      <c r="Q12536">
        <v>3</v>
      </c>
      <c r="R12536" t="s">
        <v>40457</v>
      </c>
      <c r="S12536" t="s">
        <v>41386</v>
      </c>
      <c r="T12536" t="s">
        <v>42297</v>
      </c>
      <c r="U12536" t="s">
        <v>52891</v>
      </c>
      <c r="W12536" t="s">
        <v>40196</v>
      </c>
      <c r="X12536" t="s">
        <v>40458</v>
      </c>
    </row>
    <row r="12537" spans="1:24">
      <c r="A12537">
        <f>HYPERLINK("https://www.philgeps.gov.ph/GEPSNONPILOT/Tender/SplashBidNoticeAbstractUI.aspx?menuIndex=3&amp;refID=7014526&amp;Result=3","7014526")</f>
        <v>0</v>
      </c>
      <c r="B12537" t="s">
        <v>1990</v>
      </c>
      <c r="C12537" t="s">
        <v>15096</v>
      </c>
      <c r="D12537" t="s">
        <v>16258</v>
      </c>
      <c r="E12537" t="s">
        <v>27161</v>
      </c>
      <c r="F12537" t="s">
        <v>28198</v>
      </c>
      <c r="G12537" t="s">
        <v>28205</v>
      </c>
      <c r="H12537" t="s">
        <v>28214</v>
      </c>
      <c r="I12537" t="s">
        <v>3797</v>
      </c>
      <c r="J12537" t="s">
        <v>36046</v>
      </c>
      <c r="K12537" t="s">
        <v>36697</v>
      </c>
      <c r="M12537" t="s">
        <v>39436</v>
      </c>
      <c r="N12537" t="s">
        <v>40436</v>
      </c>
      <c r="O12537" t="s">
        <v>40437</v>
      </c>
      <c r="P12537">
        <v>0</v>
      </c>
      <c r="Q12537">
        <v>0</v>
      </c>
      <c r="R12537" t="s">
        <v>40457</v>
      </c>
      <c r="S12537" t="s">
        <v>41386</v>
      </c>
      <c r="T12537" t="s">
        <v>42478</v>
      </c>
      <c r="U12537" t="s">
        <v>52881</v>
      </c>
      <c r="V12537" t="s">
        <v>54542</v>
      </c>
      <c r="W12537" t="s">
        <v>39436</v>
      </c>
      <c r="X12537" t="s">
        <v>40458</v>
      </c>
    </row>
    <row r="12538" spans="1:24">
      <c r="A12538">
        <f>HYPERLINK("https://www.philgeps.gov.ph/GEPSNONPILOT/Tender/SplashBidNoticeAbstractUI.aspx?menuIndex=3&amp;refID=7014479&amp;Result=3","7014479")</f>
        <v>0</v>
      </c>
      <c r="B12538" t="s">
        <v>1990</v>
      </c>
      <c r="C12538" t="s">
        <v>15097</v>
      </c>
      <c r="D12538" t="s">
        <v>16258</v>
      </c>
      <c r="E12538" t="s">
        <v>27162</v>
      </c>
      <c r="F12538" t="s">
        <v>28198</v>
      </c>
      <c r="G12538" t="s">
        <v>28205</v>
      </c>
      <c r="H12538" t="s">
        <v>28214</v>
      </c>
      <c r="I12538" t="s">
        <v>3797</v>
      </c>
      <c r="J12538" t="s">
        <v>36047</v>
      </c>
      <c r="K12538" t="s">
        <v>36697</v>
      </c>
      <c r="M12538" t="s">
        <v>39436</v>
      </c>
      <c r="N12538" t="s">
        <v>40436</v>
      </c>
      <c r="O12538" t="s">
        <v>40437</v>
      </c>
      <c r="P12538">
        <v>0</v>
      </c>
      <c r="Q12538">
        <v>0</v>
      </c>
      <c r="R12538" t="s">
        <v>40457</v>
      </c>
      <c r="S12538" t="s">
        <v>41386</v>
      </c>
      <c r="T12538" t="s">
        <v>42478</v>
      </c>
      <c r="U12538" t="s">
        <v>52892</v>
      </c>
      <c r="V12538" t="s">
        <v>54542</v>
      </c>
      <c r="W12538" t="s">
        <v>39436</v>
      </c>
      <c r="X12538" t="s">
        <v>40458</v>
      </c>
    </row>
    <row r="12539" spans="1:24">
      <c r="A12539">
        <f>HYPERLINK("https://www.philgeps.gov.ph/GEPSNONPILOT/Tender/SplashBidNoticeAbstractUI.aspx?menuIndex=3&amp;refID=7014482&amp;Result=3","7014482")</f>
        <v>0</v>
      </c>
      <c r="B12539" t="s">
        <v>136</v>
      </c>
      <c r="C12539" t="s">
        <v>15098</v>
      </c>
      <c r="D12539" t="s">
        <v>16188</v>
      </c>
      <c r="E12539" t="s">
        <v>27163</v>
      </c>
      <c r="F12539" t="s">
        <v>28198</v>
      </c>
      <c r="G12539" t="s">
        <v>28205</v>
      </c>
      <c r="H12539" t="s">
        <v>28214</v>
      </c>
      <c r="I12539" t="s">
        <v>3797</v>
      </c>
      <c r="J12539" t="s">
        <v>36048</v>
      </c>
      <c r="K12539" t="s">
        <v>36761</v>
      </c>
      <c r="M12539" t="s">
        <v>37110</v>
      </c>
      <c r="N12539" t="s">
        <v>40436</v>
      </c>
      <c r="O12539" t="s">
        <v>40437</v>
      </c>
      <c r="P12539">
        <v>0</v>
      </c>
      <c r="Q12539">
        <v>7</v>
      </c>
      <c r="R12539" t="s">
        <v>40457</v>
      </c>
      <c r="S12539" t="s">
        <v>41386</v>
      </c>
      <c r="T12539" t="s">
        <v>42116</v>
      </c>
      <c r="U12539" t="s">
        <v>52893</v>
      </c>
      <c r="V12539" t="s">
        <v>53806</v>
      </c>
      <c r="W12539" t="s">
        <v>55432</v>
      </c>
      <c r="X12539" t="s">
        <v>40458</v>
      </c>
    </row>
    <row r="12540" spans="1:24">
      <c r="A12540">
        <f>HYPERLINK("https://www.philgeps.gov.ph/GEPSNONPILOT/Tender/SplashBidNoticeAbstractUI.aspx?menuIndex=3&amp;refID=7014397&amp;Result=3","7014397")</f>
        <v>0</v>
      </c>
      <c r="B12540" t="s">
        <v>136</v>
      </c>
      <c r="C12540" t="s">
        <v>15099</v>
      </c>
      <c r="D12540" t="s">
        <v>16188</v>
      </c>
      <c r="E12540" t="s">
        <v>27164</v>
      </c>
      <c r="F12540" t="s">
        <v>28198</v>
      </c>
      <c r="G12540" t="s">
        <v>28205</v>
      </c>
      <c r="H12540" t="s">
        <v>28214</v>
      </c>
      <c r="I12540" t="s">
        <v>3797</v>
      </c>
      <c r="J12540" t="s">
        <v>34475</v>
      </c>
      <c r="K12540" t="s">
        <v>36969</v>
      </c>
      <c r="M12540" t="s">
        <v>37110</v>
      </c>
      <c r="N12540" t="s">
        <v>40436</v>
      </c>
      <c r="O12540" t="s">
        <v>40437</v>
      </c>
      <c r="P12540">
        <v>0</v>
      </c>
      <c r="Q12540">
        <v>6</v>
      </c>
      <c r="R12540" t="s">
        <v>40457</v>
      </c>
      <c r="S12540" t="s">
        <v>41386</v>
      </c>
      <c r="T12540" t="s">
        <v>42203</v>
      </c>
      <c r="U12540" t="s">
        <v>52894</v>
      </c>
      <c r="V12540" t="s">
        <v>53806</v>
      </c>
      <c r="W12540" t="s">
        <v>55432</v>
      </c>
      <c r="X12540" t="s">
        <v>40458</v>
      </c>
    </row>
    <row r="12541" spans="1:24">
      <c r="A12541">
        <f>HYPERLINK("https://www.philgeps.gov.ph/GEPSNONPILOT/Tender/SplashBidNoticeAbstractUI.aspx?menuIndex=3&amp;refID=7014538&amp;Result=3","7014538")</f>
        <v>0</v>
      </c>
      <c r="B12541" t="s">
        <v>136</v>
      </c>
      <c r="C12541" t="s">
        <v>15100</v>
      </c>
      <c r="D12541" t="s">
        <v>16188</v>
      </c>
      <c r="E12541" t="s">
        <v>27165</v>
      </c>
      <c r="F12541" t="s">
        <v>28198</v>
      </c>
      <c r="G12541" t="s">
        <v>28205</v>
      </c>
      <c r="H12541" t="s">
        <v>28214</v>
      </c>
      <c r="I12541" t="s">
        <v>3797</v>
      </c>
      <c r="J12541" t="s">
        <v>36049</v>
      </c>
      <c r="K12541" t="s">
        <v>36768</v>
      </c>
      <c r="M12541" t="s">
        <v>37110</v>
      </c>
      <c r="N12541" t="s">
        <v>40436</v>
      </c>
      <c r="O12541" t="s">
        <v>40437</v>
      </c>
      <c r="P12541">
        <v>0</v>
      </c>
      <c r="Q12541">
        <v>7</v>
      </c>
      <c r="R12541" t="s">
        <v>40457</v>
      </c>
      <c r="S12541" t="s">
        <v>41386</v>
      </c>
      <c r="T12541" t="s">
        <v>42116</v>
      </c>
      <c r="U12541" t="s">
        <v>52895</v>
      </c>
      <c r="V12541" t="s">
        <v>53806</v>
      </c>
      <c r="W12541" t="s">
        <v>55432</v>
      </c>
      <c r="X12541" t="s">
        <v>40458</v>
      </c>
    </row>
    <row r="12542" spans="1:24">
      <c r="A12542">
        <f>HYPERLINK("https://www.philgeps.gov.ph/GEPSNONPILOT/Tender/SplashBidNoticeAbstractUI.aspx?menuIndex=3&amp;refID=7014401&amp;Result=3","7014401")</f>
        <v>0</v>
      </c>
      <c r="B12542" t="s">
        <v>351</v>
      </c>
      <c r="C12542" t="s">
        <v>15101</v>
      </c>
      <c r="D12542" t="s">
        <v>16258</v>
      </c>
      <c r="E12542" t="s">
        <v>27166</v>
      </c>
      <c r="F12542" t="s">
        <v>28198</v>
      </c>
      <c r="G12542" t="s">
        <v>28205</v>
      </c>
      <c r="H12542" t="s">
        <v>28215</v>
      </c>
      <c r="I12542" t="s">
        <v>3422</v>
      </c>
      <c r="J12542" t="s">
        <v>36050</v>
      </c>
      <c r="K12542" t="s">
        <v>36706</v>
      </c>
      <c r="M12542" t="s">
        <v>37330</v>
      </c>
      <c r="N12542" t="s">
        <v>40436</v>
      </c>
      <c r="O12542" t="s">
        <v>40437</v>
      </c>
      <c r="P12542">
        <v>0</v>
      </c>
      <c r="Q12542">
        <v>0</v>
      </c>
      <c r="R12542" t="s">
        <v>40457</v>
      </c>
      <c r="S12542" t="s">
        <v>41386</v>
      </c>
      <c r="T12542" t="s">
        <v>42136</v>
      </c>
      <c r="U12542" t="s">
        <v>52896</v>
      </c>
      <c r="W12542" t="s">
        <v>37330</v>
      </c>
      <c r="X12542" t="s">
        <v>40458</v>
      </c>
    </row>
    <row r="12543" spans="1:24">
      <c r="A12543">
        <f>HYPERLINK("https://www.philgeps.gov.ph/GEPSNONPILOT/Tender/SplashBidNoticeAbstractUI.aspx?menuIndex=3&amp;refID=7018505&amp;Result=3","7018505")</f>
        <v>0</v>
      </c>
      <c r="B12543" t="s">
        <v>2999</v>
      </c>
      <c r="C12543" t="s">
        <v>15102</v>
      </c>
      <c r="E12543" t="s">
        <v>27167</v>
      </c>
      <c r="F12543" t="s">
        <v>28198</v>
      </c>
      <c r="G12543" t="s">
        <v>28207</v>
      </c>
      <c r="H12543" t="s">
        <v>28215</v>
      </c>
      <c r="I12543" t="s">
        <v>28258</v>
      </c>
      <c r="J12543" t="s">
        <v>28645</v>
      </c>
      <c r="K12543" t="s">
        <v>36689</v>
      </c>
      <c r="M12543" t="s">
        <v>40294</v>
      </c>
      <c r="N12543" t="s">
        <v>40436</v>
      </c>
      <c r="O12543" t="s">
        <v>40437</v>
      </c>
      <c r="P12543">
        <v>0</v>
      </c>
      <c r="Q12543">
        <v>5</v>
      </c>
      <c r="R12543" t="s">
        <v>40456</v>
      </c>
      <c r="S12543" t="s">
        <v>41338</v>
      </c>
      <c r="T12543" t="s">
        <v>42335</v>
      </c>
      <c r="U12543" t="s">
        <v>52897</v>
      </c>
      <c r="W12543" t="s">
        <v>40294</v>
      </c>
      <c r="X12543" t="s">
        <v>40457</v>
      </c>
    </row>
    <row r="12544" spans="1:24">
      <c r="A12544">
        <f>HYPERLINK("https://www.philgeps.gov.ph/GEPSNONPILOT/Tender/SplashBidNoticeAbstractUI.aspx?menuIndex=3&amp;refID=7013136&amp;Result=3","7013136")</f>
        <v>0</v>
      </c>
      <c r="B12544" t="s">
        <v>2992</v>
      </c>
      <c r="C12544" t="s">
        <v>15103</v>
      </c>
      <c r="D12544" t="s">
        <v>16256</v>
      </c>
      <c r="E12544" t="s">
        <v>27168</v>
      </c>
      <c r="F12544" t="s">
        <v>28198</v>
      </c>
      <c r="G12544" t="s">
        <v>28209</v>
      </c>
      <c r="H12544" t="s">
        <v>28214</v>
      </c>
      <c r="I12544" t="s">
        <v>3797</v>
      </c>
      <c r="J12544" t="s">
        <v>28561</v>
      </c>
      <c r="K12544" t="s">
        <v>36694</v>
      </c>
      <c r="M12544" t="s">
        <v>40287</v>
      </c>
      <c r="N12544" t="s">
        <v>40436</v>
      </c>
      <c r="O12544" t="s">
        <v>40437</v>
      </c>
      <c r="P12544">
        <v>0</v>
      </c>
      <c r="Q12544">
        <v>0</v>
      </c>
      <c r="R12544" t="s">
        <v>40457</v>
      </c>
      <c r="S12544" t="s">
        <v>41386</v>
      </c>
      <c r="T12544" t="s">
        <v>42128</v>
      </c>
      <c r="U12544" t="s">
        <v>52898</v>
      </c>
      <c r="V12544" t="s">
        <v>54906</v>
      </c>
      <c r="W12544" t="s">
        <v>40287</v>
      </c>
      <c r="X12544" t="s">
        <v>40459</v>
      </c>
    </row>
    <row r="12545" spans="1:24">
      <c r="A12545">
        <f>HYPERLINK("https://www.philgeps.gov.ph/GEPSNONPILOT/Tender/SplashBidNoticeAbstractUI.aspx?menuIndex=3&amp;refID=7014381&amp;Result=3","7014381")</f>
        <v>0</v>
      </c>
      <c r="B12545" t="s">
        <v>2920</v>
      </c>
      <c r="C12545" t="s">
        <v>15104</v>
      </c>
      <c r="E12545" t="s">
        <v>27169</v>
      </c>
      <c r="F12545" t="s">
        <v>28198</v>
      </c>
      <c r="G12545" t="s">
        <v>28205</v>
      </c>
      <c r="H12545" t="s">
        <v>28214</v>
      </c>
      <c r="I12545" t="s">
        <v>3797</v>
      </c>
      <c r="J12545" t="s">
        <v>28699</v>
      </c>
      <c r="K12545" t="s">
        <v>36896</v>
      </c>
      <c r="M12545" t="s">
        <v>40196</v>
      </c>
      <c r="N12545" t="s">
        <v>40436</v>
      </c>
      <c r="O12545" t="s">
        <v>40437</v>
      </c>
      <c r="P12545">
        <v>0</v>
      </c>
      <c r="Q12545">
        <v>2</v>
      </c>
      <c r="R12545" t="s">
        <v>40457</v>
      </c>
      <c r="S12545" t="s">
        <v>41386</v>
      </c>
      <c r="T12545" t="s">
        <v>42297</v>
      </c>
      <c r="U12545" t="s">
        <v>52891</v>
      </c>
      <c r="W12545" t="s">
        <v>40196</v>
      </c>
      <c r="X12545" t="s">
        <v>40458</v>
      </c>
    </row>
    <row r="12546" spans="1:24">
      <c r="A12546">
        <f>HYPERLINK("https://www.philgeps.gov.ph/GEPSNONPILOT/Tender/SplashBidNoticeAbstractUI.aspx?menuIndex=3&amp;refID=7014354&amp;Result=3","7014354")</f>
        <v>0</v>
      </c>
      <c r="B12546" t="s">
        <v>136</v>
      </c>
      <c r="C12546" t="s">
        <v>15105</v>
      </c>
      <c r="D12546" t="s">
        <v>16188</v>
      </c>
      <c r="E12546" t="s">
        <v>27170</v>
      </c>
      <c r="F12546" t="s">
        <v>28198</v>
      </c>
      <c r="G12546" t="s">
        <v>28205</v>
      </c>
      <c r="H12546" t="s">
        <v>28214</v>
      </c>
      <c r="I12546" t="s">
        <v>3797</v>
      </c>
      <c r="J12546" t="s">
        <v>36051</v>
      </c>
      <c r="K12546" t="s">
        <v>36970</v>
      </c>
      <c r="M12546" t="s">
        <v>37110</v>
      </c>
      <c r="N12546" t="s">
        <v>40436</v>
      </c>
      <c r="O12546" t="s">
        <v>40437</v>
      </c>
      <c r="P12546">
        <v>0</v>
      </c>
      <c r="Q12546">
        <v>10</v>
      </c>
      <c r="R12546" t="s">
        <v>40457</v>
      </c>
      <c r="S12546" t="s">
        <v>41386</v>
      </c>
      <c r="T12546" t="s">
        <v>42203</v>
      </c>
      <c r="U12546" t="s">
        <v>52899</v>
      </c>
      <c r="V12546" t="s">
        <v>53806</v>
      </c>
      <c r="W12546" t="s">
        <v>55432</v>
      </c>
      <c r="X12546" t="s">
        <v>40458</v>
      </c>
    </row>
    <row r="12547" spans="1:24">
      <c r="A12547">
        <f>HYPERLINK("https://www.philgeps.gov.ph/GEPSNONPILOT/Tender/SplashBidNoticeAbstractUI.aspx?menuIndex=3&amp;refID=7018508&amp;Result=3","7018508")</f>
        <v>0</v>
      </c>
      <c r="B12547" t="s">
        <v>1569</v>
      </c>
      <c r="C12547" t="s">
        <v>15106</v>
      </c>
      <c r="D12547" t="s">
        <v>16189</v>
      </c>
      <c r="E12547" t="s">
        <v>27171</v>
      </c>
      <c r="F12547" t="s">
        <v>28198</v>
      </c>
      <c r="G12547" t="s">
        <v>28205</v>
      </c>
      <c r="H12547" t="s">
        <v>28214</v>
      </c>
      <c r="I12547" t="s">
        <v>3797</v>
      </c>
      <c r="J12547" t="s">
        <v>31114</v>
      </c>
      <c r="K12547" t="s">
        <v>36689</v>
      </c>
      <c r="M12547" t="s">
        <v>38933</v>
      </c>
      <c r="N12547" t="s">
        <v>40436</v>
      </c>
      <c r="O12547" t="s">
        <v>40437</v>
      </c>
      <c r="P12547">
        <v>0</v>
      </c>
      <c r="Q12547">
        <v>0</v>
      </c>
      <c r="R12547" t="s">
        <v>40456</v>
      </c>
      <c r="S12547" t="s">
        <v>41338</v>
      </c>
      <c r="T12547" t="s">
        <v>42103</v>
      </c>
      <c r="U12547" t="s">
        <v>52900</v>
      </c>
      <c r="W12547" t="s">
        <v>38933</v>
      </c>
      <c r="X12547" t="s">
        <v>40457</v>
      </c>
    </row>
    <row r="12548" spans="1:24">
      <c r="A12548">
        <f>HYPERLINK("https://www.philgeps.gov.ph/GEPSNONPILOT/Tender/SplashBidNoticeAbstractUI.aspx?menuIndex=3&amp;refID=7018504&amp;Result=3","7018504")</f>
        <v>0</v>
      </c>
      <c r="B12548" t="s">
        <v>1866</v>
      </c>
      <c r="C12548" t="s">
        <v>15107</v>
      </c>
      <c r="D12548" t="s">
        <v>16243</v>
      </c>
      <c r="E12548" t="s">
        <v>27172</v>
      </c>
      <c r="F12548" t="s">
        <v>28198</v>
      </c>
      <c r="G12548" t="s">
        <v>28205</v>
      </c>
      <c r="H12548" t="s">
        <v>28214</v>
      </c>
      <c r="I12548" t="s">
        <v>3797</v>
      </c>
      <c r="J12548" t="s">
        <v>36052</v>
      </c>
      <c r="K12548" t="s">
        <v>36902</v>
      </c>
      <c r="M12548" t="s">
        <v>38994</v>
      </c>
      <c r="N12548" t="s">
        <v>40436</v>
      </c>
      <c r="O12548" t="s">
        <v>40437</v>
      </c>
      <c r="P12548">
        <v>0</v>
      </c>
      <c r="Q12548">
        <v>1</v>
      </c>
      <c r="R12548" t="s">
        <v>40456</v>
      </c>
      <c r="S12548" t="s">
        <v>41338</v>
      </c>
      <c r="T12548" t="s">
        <v>42103</v>
      </c>
      <c r="U12548" t="s">
        <v>52901</v>
      </c>
      <c r="W12548" t="s">
        <v>38994</v>
      </c>
      <c r="X12548" t="s">
        <v>40457</v>
      </c>
    </row>
    <row r="12549" spans="1:24">
      <c r="A12549">
        <f>HYPERLINK("https://www.philgeps.gov.ph/GEPSNONPILOT/Tender/SplashBidNoticeAbstractUI.aspx?menuIndex=3&amp;refID=7014374&amp;Result=3","7014374")</f>
        <v>0</v>
      </c>
      <c r="B12549" t="s">
        <v>1203</v>
      </c>
      <c r="C12549" t="s">
        <v>15108</v>
      </c>
      <c r="D12549" t="s">
        <v>16210</v>
      </c>
      <c r="E12549" t="s">
        <v>27173</v>
      </c>
      <c r="F12549" t="s">
        <v>28198</v>
      </c>
      <c r="G12549" t="s">
        <v>28205</v>
      </c>
      <c r="H12549" t="s">
        <v>28214</v>
      </c>
      <c r="I12549" t="s">
        <v>3797</v>
      </c>
      <c r="J12549" t="s">
        <v>36053</v>
      </c>
      <c r="K12549" t="s">
        <v>36689</v>
      </c>
      <c r="M12549" t="s">
        <v>38248</v>
      </c>
      <c r="N12549" t="s">
        <v>40436</v>
      </c>
      <c r="O12549" t="s">
        <v>40437</v>
      </c>
      <c r="Q12549">
        <v>17</v>
      </c>
      <c r="R12549" t="s">
        <v>40457</v>
      </c>
      <c r="S12549" t="s">
        <v>41402</v>
      </c>
      <c r="T12549" t="s">
        <v>42190</v>
      </c>
      <c r="U12549" t="s">
        <v>52902</v>
      </c>
      <c r="W12549" t="s">
        <v>38248</v>
      </c>
      <c r="X12549" t="s">
        <v>40458</v>
      </c>
    </row>
    <row r="12550" spans="1:24">
      <c r="A12550">
        <f>HYPERLINK("https://www.philgeps.gov.ph/GEPSNONPILOT/Tender/SplashBidNoticeAbstractUI.aspx?menuIndex=3&amp;refID=7018502&amp;Result=3","7018502")</f>
        <v>0</v>
      </c>
      <c r="B12550" t="s">
        <v>3000</v>
      </c>
      <c r="C12550" t="s">
        <v>9764</v>
      </c>
      <c r="D12550" t="s">
        <v>16203</v>
      </c>
      <c r="E12550" t="s">
        <v>18644</v>
      </c>
      <c r="F12550" t="s">
        <v>28198</v>
      </c>
      <c r="G12550" t="s">
        <v>28205</v>
      </c>
      <c r="H12550" t="s">
        <v>28214</v>
      </c>
      <c r="I12550" t="s">
        <v>3797</v>
      </c>
      <c r="J12550" t="s">
        <v>36054</v>
      </c>
      <c r="K12550" t="s">
        <v>36689</v>
      </c>
      <c r="M12550" t="s">
        <v>40295</v>
      </c>
      <c r="N12550" t="s">
        <v>40436</v>
      </c>
      <c r="O12550" t="s">
        <v>40437</v>
      </c>
      <c r="P12550">
        <v>0</v>
      </c>
      <c r="Q12550">
        <v>0</v>
      </c>
      <c r="R12550" t="s">
        <v>40456</v>
      </c>
      <c r="S12550" t="s">
        <v>41338</v>
      </c>
      <c r="T12550" t="s">
        <v>42131</v>
      </c>
      <c r="U12550" t="s">
        <v>52903</v>
      </c>
      <c r="W12550" t="s">
        <v>40295</v>
      </c>
      <c r="X12550" t="s">
        <v>40457</v>
      </c>
    </row>
    <row r="12551" spans="1:24">
      <c r="A12551">
        <f>HYPERLINK("https://www.philgeps.gov.ph/GEPSNONPILOT/Tender/SplashBidNoticeAbstractUI.aspx?menuIndex=3&amp;refID=7014547&amp;Result=3","7014547")</f>
        <v>0</v>
      </c>
      <c r="B12551" t="s">
        <v>335</v>
      </c>
      <c r="C12551" t="s">
        <v>15109</v>
      </c>
      <c r="D12551" t="s">
        <v>16221</v>
      </c>
      <c r="E12551" t="s">
        <v>27174</v>
      </c>
      <c r="F12551" t="s">
        <v>28198</v>
      </c>
      <c r="G12551" t="s">
        <v>28205</v>
      </c>
      <c r="H12551" t="s">
        <v>28215</v>
      </c>
      <c r="I12551" t="s">
        <v>28220</v>
      </c>
      <c r="J12551" t="s">
        <v>34020</v>
      </c>
      <c r="K12551" t="s">
        <v>36697</v>
      </c>
      <c r="M12551" t="s">
        <v>37313</v>
      </c>
      <c r="N12551" t="s">
        <v>40436</v>
      </c>
      <c r="O12551" t="s">
        <v>40437</v>
      </c>
      <c r="P12551">
        <v>0</v>
      </c>
      <c r="Q12551">
        <v>7</v>
      </c>
      <c r="R12551" t="s">
        <v>40457</v>
      </c>
      <c r="S12551" t="s">
        <v>41386</v>
      </c>
      <c r="T12551" t="s">
        <v>42103</v>
      </c>
      <c r="U12551" t="s">
        <v>52904</v>
      </c>
      <c r="W12551" t="s">
        <v>55444</v>
      </c>
      <c r="X12551" t="s">
        <v>40458</v>
      </c>
    </row>
    <row r="12552" spans="1:24">
      <c r="A12552">
        <f>HYPERLINK("https://www.philgeps.gov.ph/GEPSNONPILOT/Tender/SplashBidNoticeAbstractUI.aspx?menuIndex=3&amp;refID=7009575&amp;Result=3","7009575")</f>
        <v>0</v>
      </c>
      <c r="B12552" t="s">
        <v>2084</v>
      </c>
      <c r="C12552" t="s">
        <v>9268</v>
      </c>
      <c r="D12552" t="s">
        <v>16236</v>
      </c>
      <c r="E12552" t="s">
        <v>16536</v>
      </c>
      <c r="F12552" t="s">
        <v>28198</v>
      </c>
      <c r="G12552" t="s">
        <v>28205</v>
      </c>
      <c r="H12552" t="s">
        <v>28215</v>
      </c>
      <c r="I12552" t="s">
        <v>5100</v>
      </c>
      <c r="J12552" t="s">
        <v>36055</v>
      </c>
      <c r="K12552" t="s">
        <v>36688</v>
      </c>
      <c r="M12552" t="s">
        <v>39233</v>
      </c>
      <c r="N12552" t="s">
        <v>40436</v>
      </c>
      <c r="O12552" t="s">
        <v>40437</v>
      </c>
      <c r="P12552">
        <v>0</v>
      </c>
      <c r="Q12552">
        <v>1</v>
      </c>
      <c r="R12552" t="s">
        <v>40457</v>
      </c>
      <c r="S12552" t="s">
        <v>41386</v>
      </c>
      <c r="T12552" t="s">
        <v>42350</v>
      </c>
      <c r="U12552" t="s">
        <v>52905</v>
      </c>
      <c r="W12552" t="s">
        <v>39233</v>
      </c>
      <c r="X12552" t="s">
        <v>40461</v>
      </c>
    </row>
    <row r="12553" spans="1:24">
      <c r="A12553">
        <f>HYPERLINK("https://www.philgeps.gov.ph/GEPSNONPILOT/Tender/SplashBidNoticeAbstractUI.aspx?menuIndex=3&amp;refID=7014611&amp;Result=3","7014611")</f>
        <v>0</v>
      </c>
      <c r="B12553" t="s">
        <v>348</v>
      </c>
      <c r="C12553" t="s">
        <v>15110</v>
      </c>
      <c r="D12553" t="s">
        <v>16227</v>
      </c>
      <c r="E12553" t="s">
        <v>27175</v>
      </c>
      <c r="F12553" t="s">
        <v>28198</v>
      </c>
      <c r="G12553" t="s">
        <v>28205</v>
      </c>
      <c r="H12553" t="s">
        <v>28215</v>
      </c>
      <c r="I12553" t="s">
        <v>7310</v>
      </c>
      <c r="J12553" t="s">
        <v>33647</v>
      </c>
      <c r="K12553" t="s">
        <v>36701</v>
      </c>
      <c r="M12553" t="s">
        <v>37327</v>
      </c>
      <c r="N12553" t="s">
        <v>40436</v>
      </c>
      <c r="O12553" t="s">
        <v>40437</v>
      </c>
      <c r="P12553">
        <v>0</v>
      </c>
      <c r="Q12553">
        <v>4</v>
      </c>
      <c r="R12553" t="s">
        <v>40457</v>
      </c>
      <c r="S12553" t="s">
        <v>41386</v>
      </c>
      <c r="T12553" t="s">
        <v>42129</v>
      </c>
      <c r="U12553" t="s">
        <v>52906</v>
      </c>
      <c r="W12553" t="s">
        <v>55445</v>
      </c>
      <c r="X12553" t="s">
        <v>40458</v>
      </c>
    </row>
    <row r="12554" spans="1:24">
      <c r="A12554">
        <f>HYPERLINK("https://www.philgeps.gov.ph/GEPSNONPILOT/Tender/SplashBidNoticeAbstractUI.aspx?menuIndex=3&amp;refID=7003330&amp;Result=3","7003330")</f>
        <v>0</v>
      </c>
      <c r="B12554" t="s">
        <v>1668</v>
      </c>
      <c r="C12554" t="s">
        <v>15111</v>
      </c>
      <c r="D12554" t="s">
        <v>16193</v>
      </c>
      <c r="E12554" t="s">
        <v>27176</v>
      </c>
      <c r="F12554" t="s">
        <v>28198</v>
      </c>
      <c r="G12554" t="s">
        <v>28205</v>
      </c>
      <c r="H12554" t="s">
        <v>28215</v>
      </c>
      <c r="I12554" t="s">
        <v>28243</v>
      </c>
      <c r="J12554" t="s">
        <v>28347</v>
      </c>
      <c r="K12554" t="s">
        <v>36701</v>
      </c>
      <c r="M12554" t="s">
        <v>38947</v>
      </c>
      <c r="N12554" t="s">
        <v>40436</v>
      </c>
      <c r="O12554" t="s">
        <v>40437</v>
      </c>
      <c r="Q12554">
        <v>1</v>
      </c>
      <c r="R12554" t="s">
        <v>40455</v>
      </c>
      <c r="S12554" t="s">
        <v>41403</v>
      </c>
      <c r="T12554" t="s">
        <v>42103</v>
      </c>
      <c r="U12554" t="s">
        <v>52907</v>
      </c>
      <c r="V12554" t="s">
        <v>54318</v>
      </c>
      <c r="W12554" t="s">
        <v>38947</v>
      </c>
      <c r="X12554" t="s">
        <v>40465</v>
      </c>
    </row>
    <row r="12555" spans="1:24">
      <c r="A12555">
        <f>HYPERLINK("https://www.philgeps.gov.ph/GEPSNONPILOT/Tender/SplashBidNoticeAbstractUI.aspx?menuIndex=3&amp;refID=7014701&amp;Result=3","7014701")</f>
        <v>0</v>
      </c>
      <c r="B12555" t="s">
        <v>491</v>
      </c>
      <c r="C12555" t="s">
        <v>15112</v>
      </c>
      <c r="E12555" t="s">
        <v>27177</v>
      </c>
      <c r="F12555" t="s">
        <v>28198</v>
      </c>
      <c r="G12555" t="s">
        <v>28205</v>
      </c>
      <c r="H12555" t="s">
        <v>28215</v>
      </c>
      <c r="I12555" t="s">
        <v>28222</v>
      </c>
      <c r="J12555" t="s">
        <v>28351</v>
      </c>
      <c r="K12555" t="s">
        <v>36689</v>
      </c>
      <c r="M12555" t="s">
        <v>37476</v>
      </c>
      <c r="N12555" t="s">
        <v>40436</v>
      </c>
      <c r="O12555" t="s">
        <v>40437</v>
      </c>
      <c r="P12555">
        <v>0</v>
      </c>
      <c r="Q12555">
        <v>4</v>
      </c>
      <c r="R12555" t="s">
        <v>40457</v>
      </c>
      <c r="S12555" t="s">
        <v>41386</v>
      </c>
      <c r="T12555" t="s">
        <v>42112</v>
      </c>
      <c r="U12555" t="s">
        <v>52908</v>
      </c>
      <c r="W12555" t="s">
        <v>37476</v>
      </c>
      <c r="X12555" t="s">
        <v>40458</v>
      </c>
    </row>
    <row r="12556" spans="1:24">
      <c r="A12556">
        <f>HYPERLINK("https://www.philgeps.gov.ph/GEPSNONPILOT/Tender/SplashBidNoticeAbstractUI.aspx?menuIndex=3&amp;refID=7014674&amp;Result=3","7014674")</f>
        <v>0</v>
      </c>
      <c r="B12556" t="s">
        <v>3001</v>
      </c>
      <c r="C12556" t="s">
        <v>15113</v>
      </c>
      <c r="D12556" t="s">
        <v>16254</v>
      </c>
      <c r="E12556" t="s">
        <v>27178</v>
      </c>
      <c r="F12556" t="s">
        <v>28198</v>
      </c>
      <c r="G12556" t="s">
        <v>28205</v>
      </c>
      <c r="H12556" t="s">
        <v>28215</v>
      </c>
      <c r="I12556" t="s">
        <v>5100</v>
      </c>
      <c r="J12556" t="s">
        <v>28895</v>
      </c>
      <c r="K12556" t="s">
        <v>36707</v>
      </c>
      <c r="M12556" t="s">
        <v>40296</v>
      </c>
      <c r="N12556" t="s">
        <v>40436</v>
      </c>
      <c r="O12556" t="s">
        <v>40437</v>
      </c>
      <c r="P12556">
        <v>0</v>
      </c>
      <c r="Q12556">
        <v>0</v>
      </c>
      <c r="R12556" t="s">
        <v>40457</v>
      </c>
      <c r="S12556" t="s">
        <v>41386</v>
      </c>
      <c r="T12556" t="s">
        <v>42205</v>
      </c>
      <c r="U12556" t="s">
        <v>52909</v>
      </c>
      <c r="W12556" t="s">
        <v>40296</v>
      </c>
      <c r="X12556" t="s">
        <v>40458</v>
      </c>
    </row>
    <row r="12557" spans="1:24">
      <c r="A12557">
        <f>HYPERLINK("https://www.philgeps.gov.ph/GEPSNONPILOT/Tender/SplashBidNoticeAbstractUI.aspx?menuIndex=3&amp;refID=7018305&amp;Result=3","7018305")</f>
        <v>0</v>
      </c>
      <c r="B12557" t="s">
        <v>452</v>
      </c>
      <c r="C12557" t="s">
        <v>15114</v>
      </c>
      <c r="D12557" t="s">
        <v>16203</v>
      </c>
      <c r="E12557" t="s">
        <v>27179</v>
      </c>
      <c r="F12557" t="s">
        <v>28198</v>
      </c>
      <c r="G12557" t="s">
        <v>28205</v>
      </c>
      <c r="H12557" t="s">
        <v>28215</v>
      </c>
      <c r="I12557" t="s">
        <v>8888</v>
      </c>
      <c r="J12557" t="s">
        <v>36056</v>
      </c>
      <c r="K12557" t="s">
        <v>36707</v>
      </c>
      <c r="M12557" t="s">
        <v>37436</v>
      </c>
      <c r="N12557" t="s">
        <v>40436</v>
      </c>
      <c r="O12557" t="s">
        <v>40437</v>
      </c>
      <c r="P12557">
        <v>0</v>
      </c>
      <c r="Q12557">
        <v>12</v>
      </c>
      <c r="R12557" t="s">
        <v>40456</v>
      </c>
      <c r="S12557" t="s">
        <v>41338</v>
      </c>
      <c r="T12557" t="s">
        <v>42133</v>
      </c>
      <c r="U12557" t="s">
        <v>52910</v>
      </c>
      <c r="W12557" t="s">
        <v>37436</v>
      </c>
      <c r="X12557" t="s">
        <v>40457</v>
      </c>
    </row>
    <row r="12558" spans="1:24">
      <c r="A12558">
        <f>HYPERLINK("https://www.philgeps.gov.ph/GEPSNONPILOT/Tender/SplashBidNoticeAbstractUI.aspx?menuIndex=3&amp;refID=7014679&amp;Result=3","7014679")</f>
        <v>0</v>
      </c>
      <c r="B12558" t="s">
        <v>1990</v>
      </c>
      <c r="C12558" t="s">
        <v>15115</v>
      </c>
      <c r="D12558" t="s">
        <v>16258</v>
      </c>
      <c r="E12558" t="s">
        <v>27180</v>
      </c>
      <c r="F12558" t="s">
        <v>28198</v>
      </c>
      <c r="G12558" t="s">
        <v>28205</v>
      </c>
      <c r="H12558" t="s">
        <v>28214</v>
      </c>
      <c r="I12558" t="s">
        <v>3797</v>
      </c>
      <c r="J12558" t="s">
        <v>36057</v>
      </c>
      <c r="K12558" t="s">
        <v>36697</v>
      </c>
      <c r="M12558" t="s">
        <v>39436</v>
      </c>
      <c r="N12558" t="s">
        <v>40436</v>
      </c>
      <c r="O12558" t="s">
        <v>40437</v>
      </c>
      <c r="P12558">
        <v>0</v>
      </c>
      <c r="Q12558">
        <v>1</v>
      </c>
      <c r="R12558" t="s">
        <v>40457</v>
      </c>
      <c r="S12558" t="s">
        <v>41386</v>
      </c>
      <c r="T12558" t="s">
        <v>42478</v>
      </c>
      <c r="U12558" t="s">
        <v>52911</v>
      </c>
      <c r="V12558" t="s">
        <v>54542</v>
      </c>
      <c r="W12558" t="s">
        <v>39436</v>
      </c>
      <c r="X12558" t="s">
        <v>40458</v>
      </c>
    </row>
    <row r="12559" spans="1:24">
      <c r="A12559">
        <f>HYPERLINK("https://www.philgeps.gov.ph/GEPSNONPILOT/Tender/SplashBidNoticeAbstractUI.aspx?menuIndex=3&amp;refID=7014652&amp;Result=3","7014652")</f>
        <v>0</v>
      </c>
      <c r="B12559" t="s">
        <v>2727</v>
      </c>
      <c r="C12559" t="s">
        <v>15116</v>
      </c>
      <c r="D12559" t="s">
        <v>16193</v>
      </c>
      <c r="E12559" t="s">
        <v>27181</v>
      </c>
      <c r="F12559" t="s">
        <v>28200</v>
      </c>
      <c r="G12559" t="s">
        <v>28205</v>
      </c>
      <c r="H12559" t="s">
        <v>28214</v>
      </c>
      <c r="I12559" t="s">
        <v>3797</v>
      </c>
      <c r="J12559" t="s">
        <v>33538</v>
      </c>
      <c r="K12559" t="s">
        <v>36717</v>
      </c>
      <c r="M12559" t="s">
        <v>39973</v>
      </c>
      <c r="N12559" t="s">
        <v>40436</v>
      </c>
      <c r="O12559" t="s">
        <v>40437</v>
      </c>
      <c r="Q12559">
        <v>5</v>
      </c>
      <c r="R12559" t="s">
        <v>40457</v>
      </c>
      <c r="S12559" t="s">
        <v>41404</v>
      </c>
      <c r="T12559" t="s">
        <v>42297</v>
      </c>
      <c r="U12559" t="s">
        <v>50842</v>
      </c>
      <c r="V12559" t="s">
        <v>55219</v>
      </c>
      <c r="W12559" t="s">
        <v>39973</v>
      </c>
      <c r="X12559" t="s">
        <v>40458</v>
      </c>
    </row>
    <row r="12560" spans="1:24">
      <c r="A12560">
        <f>HYPERLINK("https://www.philgeps.gov.ph/GEPSNONPILOT/Tender/SplashBidNoticeAbstractUI.aspx?menuIndex=3&amp;refID=7014609&amp;Result=3","7014609")</f>
        <v>0</v>
      </c>
      <c r="B12560" t="s">
        <v>1990</v>
      </c>
      <c r="C12560" t="s">
        <v>15117</v>
      </c>
      <c r="D12560" t="s">
        <v>16258</v>
      </c>
      <c r="E12560" t="s">
        <v>27182</v>
      </c>
      <c r="F12560" t="s">
        <v>28198</v>
      </c>
      <c r="G12560" t="s">
        <v>28205</v>
      </c>
      <c r="H12560" t="s">
        <v>28214</v>
      </c>
      <c r="I12560" t="s">
        <v>3797</v>
      </c>
      <c r="J12560" t="s">
        <v>36058</v>
      </c>
      <c r="K12560" t="s">
        <v>36697</v>
      </c>
      <c r="M12560" t="s">
        <v>39436</v>
      </c>
      <c r="N12560" t="s">
        <v>40436</v>
      </c>
      <c r="O12560" t="s">
        <v>40437</v>
      </c>
      <c r="P12560">
        <v>0</v>
      </c>
      <c r="Q12560">
        <v>0</v>
      </c>
      <c r="R12560" t="s">
        <v>40457</v>
      </c>
      <c r="S12560" t="s">
        <v>41386</v>
      </c>
      <c r="T12560" t="s">
        <v>42478</v>
      </c>
      <c r="U12560" t="s">
        <v>52912</v>
      </c>
      <c r="V12560" t="s">
        <v>54542</v>
      </c>
      <c r="W12560" t="s">
        <v>39436</v>
      </c>
      <c r="X12560" t="s">
        <v>40458</v>
      </c>
    </row>
    <row r="12561" spans="1:24">
      <c r="A12561">
        <f>HYPERLINK("https://www.philgeps.gov.ph/GEPSNONPILOT/Tender/SplashBidNoticeAbstractUI.aspx?menuIndex=3&amp;refID=7014635&amp;Result=3","7014635")</f>
        <v>0</v>
      </c>
      <c r="B12561" t="s">
        <v>1990</v>
      </c>
      <c r="C12561" t="s">
        <v>15118</v>
      </c>
      <c r="D12561" t="s">
        <v>16258</v>
      </c>
      <c r="E12561" t="s">
        <v>27183</v>
      </c>
      <c r="F12561" t="s">
        <v>28198</v>
      </c>
      <c r="G12561" t="s">
        <v>28205</v>
      </c>
      <c r="H12561" t="s">
        <v>28214</v>
      </c>
      <c r="I12561" t="s">
        <v>3797</v>
      </c>
      <c r="J12561" t="s">
        <v>36059</v>
      </c>
      <c r="K12561" t="s">
        <v>36692</v>
      </c>
      <c r="M12561" t="s">
        <v>39436</v>
      </c>
      <c r="N12561" t="s">
        <v>40436</v>
      </c>
      <c r="O12561" t="s">
        <v>40437</v>
      </c>
      <c r="P12561">
        <v>0</v>
      </c>
      <c r="Q12561">
        <v>0</v>
      </c>
      <c r="R12561" t="s">
        <v>40457</v>
      </c>
      <c r="S12561" t="s">
        <v>41386</v>
      </c>
      <c r="T12561" t="s">
        <v>42478</v>
      </c>
      <c r="U12561" t="s">
        <v>52913</v>
      </c>
      <c r="V12561" t="s">
        <v>54542</v>
      </c>
      <c r="W12561" t="s">
        <v>39436</v>
      </c>
      <c r="X12561" t="s">
        <v>40458</v>
      </c>
    </row>
    <row r="12562" spans="1:24">
      <c r="A12562">
        <f>HYPERLINK("https://www.philgeps.gov.ph/GEPSNONPILOT/Tender/SplashBidNoticeAbstractUI.aspx?menuIndex=3&amp;refID=7014696&amp;Result=3","7014696")</f>
        <v>0</v>
      </c>
      <c r="B12562" t="s">
        <v>1990</v>
      </c>
      <c r="C12562" t="s">
        <v>15119</v>
      </c>
      <c r="D12562" t="s">
        <v>16258</v>
      </c>
      <c r="E12562" t="s">
        <v>27184</v>
      </c>
      <c r="F12562" t="s">
        <v>28198</v>
      </c>
      <c r="G12562" t="s">
        <v>28205</v>
      </c>
      <c r="H12562" t="s">
        <v>28214</v>
      </c>
      <c r="I12562" t="s">
        <v>3797</v>
      </c>
      <c r="J12562" t="s">
        <v>36060</v>
      </c>
      <c r="K12562" t="s">
        <v>36697</v>
      </c>
      <c r="M12562" t="s">
        <v>39436</v>
      </c>
      <c r="N12562" t="s">
        <v>40436</v>
      </c>
      <c r="O12562" t="s">
        <v>40437</v>
      </c>
      <c r="P12562">
        <v>0</v>
      </c>
      <c r="Q12562">
        <v>0</v>
      </c>
      <c r="R12562" t="s">
        <v>40457</v>
      </c>
      <c r="S12562" t="s">
        <v>41386</v>
      </c>
      <c r="T12562" t="s">
        <v>42478</v>
      </c>
      <c r="U12562" t="s">
        <v>52914</v>
      </c>
      <c r="V12562" t="s">
        <v>54542</v>
      </c>
      <c r="W12562" t="s">
        <v>39436</v>
      </c>
      <c r="X12562" t="s">
        <v>40458</v>
      </c>
    </row>
    <row r="12563" spans="1:24">
      <c r="A12563">
        <f>HYPERLINK("https://www.philgeps.gov.ph/GEPSNONPILOT/Tender/SplashBidNoticeAbstractUI.aspx?menuIndex=3&amp;refID=7014624&amp;Result=3","7014624")</f>
        <v>0</v>
      </c>
      <c r="B12563" t="s">
        <v>1058</v>
      </c>
      <c r="C12563" t="s">
        <v>15120</v>
      </c>
      <c r="D12563" t="s">
        <v>16193</v>
      </c>
      <c r="E12563" t="s">
        <v>26943</v>
      </c>
      <c r="F12563" t="s">
        <v>28198</v>
      </c>
      <c r="G12563" t="s">
        <v>28205</v>
      </c>
      <c r="H12563" t="s">
        <v>28215</v>
      </c>
      <c r="I12563" t="s">
        <v>4505</v>
      </c>
      <c r="J12563" t="s">
        <v>36061</v>
      </c>
      <c r="K12563" t="s">
        <v>36707</v>
      </c>
      <c r="M12563" t="s">
        <v>38091</v>
      </c>
      <c r="N12563" t="s">
        <v>40436</v>
      </c>
      <c r="O12563" t="s">
        <v>40437</v>
      </c>
      <c r="P12563">
        <v>0</v>
      </c>
      <c r="Q12563">
        <v>12</v>
      </c>
      <c r="R12563" t="s">
        <v>40457</v>
      </c>
      <c r="S12563" t="s">
        <v>41386</v>
      </c>
      <c r="T12563" t="s">
        <v>42218</v>
      </c>
      <c r="U12563" t="s">
        <v>52915</v>
      </c>
      <c r="V12563" t="s">
        <v>55220</v>
      </c>
      <c r="W12563" t="s">
        <v>38091</v>
      </c>
      <c r="X12563" t="s">
        <v>40458</v>
      </c>
    </row>
    <row r="12564" spans="1:24">
      <c r="A12564">
        <f>HYPERLINK("https://www.philgeps.gov.ph/GEPSNONPILOT/Tender/SplashBidNoticeAbstractUI.aspx?menuIndex=3&amp;refID=7014597&amp;Result=3","7014597")</f>
        <v>0</v>
      </c>
      <c r="B12564" t="s">
        <v>1990</v>
      </c>
      <c r="C12564" t="s">
        <v>15121</v>
      </c>
      <c r="D12564" t="s">
        <v>16258</v>
      </c>
      <c r="E12564" t="s">
        <v>27185</v>
      </c>
      <c r="F12564" t="s">
        <v>28198</v>
      </c>
      <c r="G12564" t="s">
        <v>28205</v>
      </c>
      <c r="H12564" t="s">
        <v>28214</v>
      </c>
      <c r="I12564" t="s">
        <v>3797</v>
      </c>
      <c r="J12564" t="s">
        <v>36062</v>
      </c>
      <c r="K12564" t="s">
        <v>36697</v>
      </c>
      <c r="M12564" t="s">
        <v>39436</v>
      </c>
      <c r="N12564" t="s">
        <v>40436</v>
      </c>
      <c r="O12564" t="s">
        <v>40437</v>
      </c>
      <c r="P12564">
        <v>0</v>
      </c>
      <c r="Q12564">
        <v>0</v>
      </c>
      <c r="R12564" t="s">
        <v>40457</v>
      </c>
      <c r="S12564" t="s">
        <v>41386</v>
      </c>
      <c r="T12564" t="s">
        <v>42478</v>
      </c>
      <c r="U12564" t="s">
        <v>52916</v>
      </c>
      <c r="V12564" t="s">
        <v>54542</v>
      </c>
      <c r="W12564" t="s">
        <v>39436</v>
      </c>
      <c r="X12564" t="s">
        <v>40458</v>
      </c>
    </row>
    <row r="12565" spans="1:24">
      <c r="A12565">
        <f>HYPERLINK("https://www.philgeps.gov.ph/GEPSNONPILOT/Tender/SplashBidNoticeAbstractUI.aspx?menuIndex=3&amp;refID=7014666&amp;Result=3","7014666")</f>
        <v>0</v>
      </c>
      <c r="B12565" t="s">
        <v>1990</v>
      </c>
      <c r="C12565" t="s">
        <v>15122</v>
      </c>
      <c r="D12565" t="s">
        <v>16258</v>
      </c>
      <c r="E12565" t="s">
        <v>27186</v>
      </c>
      <c r="F12565" t="s">
        <v>28198</v>
      </c>
      <c r="G12565" t="s">
        <v>28205</v>
      </c>
      <c r="H12565" t="s">
        <v>28214</v>
      </c>
      <c r="I12565" t="s">
        <v>3797</v>
      </c>
      <c r="J12565" t="s">
        <v>36063</v>
      </c>
      <c r="K12565" t="s">
        <v>36697</v>
      </c>
      <c r="M12565" t="s">
        <v>39436</v>
      </c>
      <c r="N12565" t="s">
        <v>40436</v>
      </c>
      <c r="O12565" t="s">
        <v>40437</v>
      </c>
      <c r="P12565">
        <v>0</v>
      </c>
      <c r="Q12565">
        <v>0</v>
      </c>
      <c r="R12565" t="s">
        <v>40457</v>
      </c>
      <c r="S12565" t="s">
        <v>41386</v>
      </c>
      <c r="T12565" t="s">
        <v>42478</v>
      </c>
      <c r="U12565" t="s">
        <v>52917</v>
      </c>
      <c r="V12565" t="s">
        <v>54542</v>
      </c>
      <c r="W12565" t="s">
        <v>39436</v>
      </c>
      <c r="X12565" t="s">
        <v>40458</v>
      </c>
    </row>
    <row r="12566" spans="1:24">
      <c r="A12566">
        <f>HYPERLINK("https://www.philgeps.gov.ph/GEPSNONPILOT/Tender/SplashBidNoticeAbstractUI.aspx?menuIndex=3&amp;refID=7014631&amp;Result=3","7014631")</f>
        <v>0</v>
      </c>
      <c r="B12566" t="s">
        <v>2993</v>
      </c>
      <c r="C12566" t="s">
        <v>15123</v>
      </c>
      <c r="D12566" t="s">
        <v>16268</v>
      </c>
      <c r="E12566" t="s">
        <v>27187</v>
      </c>
      <c r="F12566" t="s">
        <v>28202</v>
      </c>
      <c r="G12566" t="s">
        <v>28205</v>
      </c>
      <c r="H12566" t="s">
        <v>28215</v>
      </c>
      <c r="I12566" t="s">
        <v>28222</v>
      </c>
      <c r="J12566" t="s">
        <v>28464</v>
      </c>
      <c r="K12566" t="s">
        <v>36715</v>
      </c>
      <c r="M12566" t="s">
        <v>40288</v>
      </c>
      <c r="N12566" t="s">
        <v>40436</v>
      </c>
      <c r="O12566" t="s">
        <v>40437</v>
      </c>
      <c r="P12566">
        <v>0</v>
      </c>
      <c r="Q12566">
        <v>3</v>
      </c>
      <c r="R12566" t="s">
        <v>40457</v>
      </c>
      <c r="S12566" t="s">
        <v>41386</v>
      </c>
      <c r="T12566" t="s">
        <v>42103</v>
      </c>
      <c r="U12566" t="s">
        <v>52918</v>
      </c>
      <c r="W12566" t="s">
        <v>40288</v>
      </c>
      <c r="X12566" t="s">
        <v>40458</v>
      </c>
    </row>
    <row r="12567" spans="1:24">
      <c r="A12567">
        <f>HYPERLINK("https://www.philgeps.gov.ph/GEPSNONPILOT/Tender/SplashBidNoticeAbstractUI.aspx?menuIndex=3&amp;refID=7014575&amp;Result=3","7014575")</f>
        <v>0</v>
      </c>
      <c r="B12567" t="s">
        <v>335</v>
      </c>
      <c r="C12567" t="s">
        <v>15124</v>
      </c>
      <c r="D12567" t="s">
        <v>16221</v>
      </c>
      <c r="E12567" t="s">
        <v>27188</v>
      </c>
      <c r="F12567" t="s">
        <v>28198</v>
      </c>
      <c r="G12567" t="s">
        <v>28205</v>
      </c>
      <c r="H12567" t="s">
        <v>28215</v>
      </c>
      <c r="I12567" t="s">
        <v>28328</v>
      </c>
      <c r="J12567" t="s">
        <v>36064</v>
      </c>
      <c r="K12567" t="s">
        <v>36697</v>
      </c>
      <c r="M12567" t="s">
        <v>37313</v>
      </c>
      <c r="N12567" t="s">
        <v>40436</v>
      </c>
      <c r="O12567" t="s">
        <v>40437</v>
      </c>
      <c r="P12567">
        <v>0</v>
      </c>
      <c r="Q12567">
        <v>3</v>
      </c>
      <c r="R12567" t="s">
        <v>40457</v>
      </c>
      <c r="S12567" t="s">
        <v>41386</v>
      </c>
      <c r="T12567" t="s">
        <v>42103</v>
      </c>
      <c r="U12567" t="s">
        <v>52919</v>
      </c>
      <c r="W12567" t="s">
        <v>55444</v>
      </c>
      <c r="X12567" t="s">
        <v>40458</v>
      </c>
    </row>
    <row r="12568" spans="1:24">
      <c r="A12568">
        <f>HYPERLINK("https://www.philgeps.gov.ph/GEPSNONPILOT/Tender/SplashBidNoticeAbstractUI.aspx?menuIndex=3&amp;refID=7014596&amp;Result=3","7014596")</f>
        <v>0</v>
      </c>
      <c r="B12568" t="s">
        <v>1017</v>
      </c>
      <c r="C12568" t="s">
        <v>15125</v>
      </c>
      <c r="D12568" t="s">
        <v>16190</v>
      </c>
      <c r="E12568" t="s">
        <v>27189</v>
      </c>
      <c r="F12568" t="s">
        <v>28198</v>
      </c>
      <c r="G12568" t="s">
        <v>28205</v>
      </c>
      <c r="H12568" t="s">
        <v>28214</v>
      </c>
      <c r="I12568" t="s">
        <v>3797</v>
      </c>
      <c r="J12568" t="s">
        <v>36065</v>
      </c>
      <c r="K12568" t="s">
        <v>36689</v>
      </c>
      <c r="M12568" t="s">
        <v>39344</v>
      </c>
      <c r="N12568" t="s">
        <v>40436</v>
      </c>
      <c r="O12568" t="s">
        <v>40437</v>
      </c>
      <c r="Q12568">
        <v>11</v>
      </c>
      <c r="R12568" t="s">
        <v>40457</v>
      </c>
      <c r="S12568" t="s">
        <v>41405</v>
      </c>
      <c r="T12568" t="s">
        <v>42129</v>
      </c>
      <c r="U12568" t="s">
        <v>48430</v>
      </c>
      <c r="W12568" t="s">
        <v>39344</v>
      </c>
      <c r="X12568" t="s">
        <v>40458</v>
      </c>
    </row>
    <row r="12569" spans="1:24">
      <c r="A12569">
        <f>HYPERLINK("https://www.philgeps.gov.ph/GEPSNONPILOT/Tender/SplashBidNoticeAbstractUI.aspx?menuIndex=3&amp;refID=7014608&amp;Result=3","7014608")</f>
        <v>0</v>
      </c>
      <c r="B12569" t="s">
        <v>1186</v>
      </c>
      <c r="C12569" t="s">
        <v>15126</v>
      </c>
      <c r="D12569" t="s">
        <v>16199</v>
      </c>
      <c r="E12569" t="s">
        <v>27190</v>
      </c>
      <c r="F12569" t="s">
        <v>28198</v>
      </c>
      <c r="G12569" t="s">
        <v>28205</v>
      </c>
      <c r="H12569" t="s">
        <v>28215</v>
      </c>
      <c r="I12569" t="s">
        <v>5631</v>
      </c>
      <c r="J12569" t="s">
        <v>36066</v>
      </c>
      <c r="K12569" t="s">
        <v>36701</v>
      </c>
      <c r="M12569" t="s">
        <v>38228</v>
      </c>
      <c r="N12569" t="s">
        <v>40436</v>
      </c>
      <c r="O12569" t="s">
        <v>40437</v>
      </c>
      <c r="P12569">
        <v>0</v>
      </c>
      <c r="Q12569">
        <v>1</v>
      </c>
      <c r="R12569" t="s">
        <v>40457</v>
      </c>
      <c r="S12569" t="s">
        <v>41386</v>
      </c>
      <c r="T12569" t="s">
        <v>42103</v>
      </c>
      <c r="U12569" t="s">
        <v>52920</v>
      </c>
      <c r="V12569" t="s">
        <v>54134</v>
      </c>
      <c r="W12569" t="s">
        <v>38228</v>
      </c>
      <c r="X12569" t="s">
        <v>40458</v>
      </c>
    </row>
    <row r="12570" spans="1:24">
      <c r="A12570">
        <f>HYPERLINK("https://www.philgeps.gov.ph/GEPSNONPILOT/Tender/SplashBidNoticeAbstractUI.aspx?menuIndex=3&amp;refID=7014566&amp;Result=3","7014566")</f>
        <v>0</v>
      </c>
      <c r="B12570" t="s">
        <v>1990</v>
      </c>
      <c r="C12570" t="s">
        <v>15127</v>
      </c>
      <c r="D12570" t="s">
        <v>16258</v>
      </c>
      <c r="E12570" t="s">
        <v>27191</v>
      </c>
      <c r="F12570" t="s">
        <v>28198</v>
      </c>
      <c r="G12570" t="s">
        <v>28205</v>
      </c>
      <c r="H12570" t="s">
        <v>28214</v>
      </c>
      <c r="I12570" t="s">
        <v>3797</v>
      </c>
      <c r="J12570" t="s">
        <v>36067</v>
      </c>
      <c r="K12570" t="s">
        <v>36697</v>
      </c>
      <c r="M12570" t="s">
        <v>39436</v>
      </c>
      <c r="N12570" t="s">
        <v>40436</v>
      </c>
      <c r="O12570" t="s">
        <v>40437</v>
      </c>
      <c r="P12570">
        <v>0</v>
      </c>
      <c r="Q12570">
        <v>0</v>
      </c>
      <c r="R12570" t="s">
        <v>40457</v>
      </c>
      <c r="S12570" t="s">
        <v>41386</v>
      </c>
      <c r="T12570" t="s">
        <v>42478</v>
      </c>
      <c r="U12570" t="s">
        <v>52921</v>
      </c>
      <c r="V12570" t="s">
        <v>54542</v>
      </c>
      <c r="W12570" t="s">
        <v>39436</v>
      </c>
      <c r="X12570" t="s">
        <v>40458</v>
      </c>
    </row>
    <row r="12571" spans="1:24">
      <c r="A12571">
        <f>HYPERLINK("https://www.philgeps.gov.ph/GEPSNONPILOT/Tender/SplashBidNoticeAbstractUI.aspx?menuIndex=3&amp;refID=7019145&amp;Result=3","7019145")</f>
        <v>0</v>
      </c>
      <c r="B12571" t="s">
        <v>916</v>
      </c>
      <c r="C12571" t="s">
        <v>15128</v>
      </c>
      <c r="D12571" t="s">
        <v>16278</v>
      </c>
      <c r="E12571" t="s">
        <v>27192</v>
      </c>
      <c r="F12571" t="s">
        <v>28198</v>
      </c>
      <c r="G12571" t="s">
        <v>28205</v>
      </c>
      <c r="H12571" t="s">
        <v>28215</v>
      </c>
      <c r="I12571" t="s">
        <v>28247</v>
      </c>
      <c r="J12571" t="s">
        <v>36068</v>
      </c>
      <c r="K12571" t="s">
        <v>36694</v>
      </c>
      <c r="M12571" t="s">
        <v>40297</v>
      </c>
      <c r="N12571" t="s">
        <v>40436</v>
      </c>
      <c r="O12571" t="s">
        <v>40437</v>
      </c>
      <c r="Q12571">
        <v>24</v>
      </c>
      <c r="R12571" t="s">
        <v>40454</v>
      </c>
      <c r="S12571" t="s">
        <v>41406</v>
      </c>
      <c r="T12571" t="s">
        <v>42134</v>
      </c>
      <c r="U12571" t="s">
        <v>52922</v>
      </c>
      <c r="W12571" t="s">
        <v>40297</v>
      </c>
      <c r="X12571" t="s">
        <v>40455</v>
      </c>
    </row>
    <row r="12572" spans="1:24">
      <c r="A12572">
        <f>HYPERLINK("https://www.philgeps.gov.ph/GEPSNONPILOT/Tender/SplashBidNoticeAbstractUI.aspx?menuIndex=3&amp;refID=7014578&amp;Result=3","7014578")</f>
        <v>0</v>
      </c>
      <c r="B12572" t="s">
        <v>1990</v>
      </c>
      <c r="C12572" t="s">
        <v>15129</v>
      </c>
      <c r="D12572" t="s">
        <v>16258</v>
      </c>
      <c r="E12572" t="s">
        <v>27193</v>
      </c>
      <c r="F12572" t="s">
        <v>28198</v>
      </c>
      <c r="G12572" t="s">
        <v>28205</v>
      </c>
      <c r="H12572" t="s">
        <v>28214</v>
      </c>
      <c r="I12572" t="s">
        <v>3797</v>
      </c>
      <c r="J12572" t="s">
        <v>36069</v>
      </c>
      <c r="K12572" t="s">
        <v>36697</v>
      </c>
      <c r="M12572" t="s">
        <v>39436</v>
      </c>
      <c r="N12572" t="s">
        <v>40436</v>
      </c>
      <c r="O12572" t="s">
        <v>40437</v>
      </c>
      <c r="P12572">
        <v>0</v>
      </c>
      <c r="Q12572">
        <v>0</v>
      </c>
      <c r="R12572" t="s">
        <v>40457</v>
      </c>
      <c r="S12572" t="s">
        <v>41386</v>
      </c>
      <c r="T12572" t="s">
        <v>42478</v>
      </c>
      <c r="U12572" t="s">
        <v>52923</v>
      </c>
      <c r="V12572" t="s">
        <v>54542</v>
      </c>
      <c r="W12572" t="s">
        <v>39436</v>
      </c>
      <c r="X12572" t="s">
        <v>40458</v>
      </c>
    </row>
    <row r="12573" spans="1:24">
      <c r="A12573">
        <f>HYPERLINK("https://www.philgeps.gov.ph/GEPSNONPILOT/Tender/SplashBidNoticeAbstractUI.aspx?menuIndex=3&amp;refID=7014873&amp;Result=3","7014873")</f>
        <v>0</v>
      </c>
      <c r="B12573" t="s">
        <v>3002</v>
      </c>
      <c r="C12573" t="s">
        <v>15130</v>
      </c>
      <c r="D12573" t="s">
        <v>16208</v>
      </c>
      <c r="E12573" t="s">
        <v>27194</v>
      </c>
      <c r="F12573" t="s">
        <v>28198</v>
      </c>
      <c r="G12573" t="s">
        <v>28205</v>
      </c>
      <c r="H12573" t="s">
        <v>28214</v>
      </c>
      <c r="I12573" t="s">
        <v>3797</v>
      </c>
      <c r="J12573" t="s">
        <v>36070</v>
      </c>
      <c r="K12573" t="s">
        <v>36727</v>
      </c>
      <c r="M12573" t="s">
        <v>40298</v>
      </c>
      <c r="N12573" t="s">
        <v>40436</v>
      </c>
      <c r="O12573" t="s">
        <v>40437</v>
      </c>
      <c r="Q12573">
        <v>0</v>
      </c>
      <c r="R12573" t="s">
        <v>40457</v>
      </c>
      <c r="S12573" t="s">
        <v>41407</v>
      </c>
      <c r="T12573" t="s">
        <v>42233</v>
      </c>
      <c r="U12573" t="s">
        <v>52924</v>
      </c>
      <c r="V12573" t="s">
        <v>55221</v>
      </c>
      <c r="W12573" t="s">
        <v>40298</v>
      </c>
      <c r="X12573" t="s">
        <v>40458</v>
      </c>
    </row>
    <row r="12574" spans="1:24">
      <c r="A12574">
        <f>HYPERLINK("https://www.philgeps.gov.ph/GEPSNONPILOT/Tender/SplashBidNoticeAbstractUI.aspx?menuIndex=3&amp;refID=7014558&amp;Result=3","7014558")</f>
        <v>0</v>
      </c>
      <c r="B12574" t="s">
        <v>1990</v>
      </c>
      <c r="C12574" t="s">
        <v>15131</v>
      </c>
      <c r="D12574" t="s">
        <v>16258</v>
      </c>
      <c r="E12574" t="s">
        <v>27195</v>
      </c>
      <c r="F12574" t="s">
        <v>28198</v>
      </c>
      <c r="G12574" t="s">
        <v>28205</v>
      </c>
      <c r="H12574" t="s">
        <v>28214</v>
      </c>
      <c r="I12574" t="s">
        <v>3797</v>
      </c>
      <c r="J12574" t="s">
        <v>36071</v>
      </c>
      <c r="K12574" t="s">
        <v>36697</v>
      </c>
      <c r="M12574" t="s">
        <v>39436</v>
      </c>
      <c r="N12574" t="s">
        <v>40436</v>
      </c>
      <c r="O12574" t="s">
        <v>40437</v>
      </c>
      <c r="P12574">
        <v>0</v>
      </c>
      <c r="Q12574">
        <v>0</v>
      </c>
      <c r="R12574" t="s">
        <v>40457</v>
      </c>
      <c r="S12574" t="s">
        <v>41386</v>
      </c>
      <c r="T12574" t="s">
        <v>42478</v>
      </c>
      <c r="U12574" t="s">
        <v>52925</v>
      </c>
      <c r="V12574" t="s">
        <v>54542</v>
      </c>
      <c r="W12574" t="s">
        <v>39436</v>
      </c>
      <c r="X12574" t="s">
        <v>40458</v>
      </c>
    </row>
    <row r="12575" spans="1:24">
      <c r="A12575">
        <f>HYPERLINK("https://www.philgeps.gov.ph/GEPSNONPILOT/Tender/SplashBidNoticeAbstractUI.aspx?menuIndex=3&amp;refID=7014867&amp;Result=3","7014867")</f>
        <v>0</v>
      </c>
      <c r="B12575" t="s">
        <v>1990</v>
      </c>
      <c r="C12575" t="s">
        <v>15132</v>
      </c>
      <c r="D12575" t="s">
        <v>16258</v>
      </c>
      <c r="E12575" t="s">
        <v>27196</v>
      </c>
      <c r="F12575" t="s">
        <v>28198</v>
      </c>
      <c r="G12575" t="s">
        <v>28205</v>
      </c>
      <c r="H12575" t="s">
        <v>28214</v>
      </c>
      <c r="I12575" t="s">
        <v>3797</v>
      </c>
      <c r="J12575" t="s">
        <v>36072</v>
      </c>
      <c r="K12575" t="s">
        <v>36971</v>
      </c>
      <c r="M12575" t="s">
        <v>39436</v>
      </c>
      <c r="N12575" t="s">
        <v>40436</v>
      </c>
      <c r="O12575" t="s">
        <v>40437</v>
      </c>
      <c r="P12575">
        <v>0</v>
      </c>
      <c r="Q12575">
        <v>0</v>
      </c>
      <c r="R12575" t="s">
        <v>40457</v>
      </c>
      <c r="S12575" t="s">
        <v>41386</v>
      </c>
      <c r="T12575" t="s">
        <v>42478</v>
      </c>
      <c r="U12575" t="s">
        <v>52926</v>
      </c>
      <c r="V12575" t="s">
        <v>54542</v>
      </c>
      <c r="W12575" t="s">
        <v>39436</v>
      </c>
      <c r="X12575" t="s">
        <v>40458</v>
      </c>
    </row>
    <row r="12576" spans="1:24">
      <c r="A12576">
        <f>HYPERLINK("https://www.philgeps.gov.ph/GEPSNONPILOT/Tender/SplashBidNoticeAbstractUI.aspx?menuIndex=3&amp;refID=7014709&amp;Result=3","7014709")</f>
        <v>0</v>
      </c>
      <c r="B12576" t="s">
        <v>2727</v>
      </c>
      <c r="C12576" t="s">
        <v>15133</v>
      </c>
      <c r="D12576" t="s">
        <v>16193</v>
      </c>
      <c r="E12576" t="s">
        <v>27197</v>
      </c>
      <c r="F12576" t="s">
        <v>28200</v>
      </c>
      <c r="G12576" t="s">
        <v>28205</v>
      </c>
      <c r="H12576" t="s">
        <v>28214</v>
      </c>
      <c r="I12576" t="s">
        <v>3797</v>
      </c>
      <c r="J12576" t="s">
        <v>29566</v>
      </c>
      <c r="K12576" t="s">
        <v>36690</v>
      </c>
      <c r="M12576" t="s">
        <v>39973</v>
      </c>
      <c r="N12576" t="s">
        <v>40436</v>
      </c>
      <c r="O12576" t="s">
        <v>40437</v>
      </c>
      <c r="Q12576">
        <v>4</v>
      </c>
      <c r="R12576" t="s">
        <v>40457</v>
      </c>
      <c r="S12576" t="s">
        <v>41408</v>
      </c>
      <c r="T12576" t="s">
        <v>42297</v>
      </c>
      <c r="U12576" t="s">
        <v>50842</v>
      </c>
      <c r="V12576" t="s">
        <v>55222</v>
      </c>
      <c r="W12576" t="s">
        <v>39973</v>
      </c>
      <c r="X12576" t="s">
        <v>40458</v>
      </c>
    </row>
    <row r="12577" spans="1:24">
      <c r="A12577">
        <f>HYPERLINK("https://www.philgeps.gov.ph/GEPSNONPILOT/Tender/SplashBidNoticeAbstractUI.aspx?menuIndex=3&amp;refID=7014840&amp;Result=3","7014840")</f>
        <v>0</v>
      </c>
      <c r="B12577" t="s">
        <v>3002</v>
      </c>
      <c r="C12577" t="s">
        <v>15134</v>
      </c>
      <c r="D12577" t="s">
        <v>16208</v>
      </c>
      <c r="E12577" t="s">
        <v>27198</v>
      </c>
      <c r="F12577" t="s">
        <v>28198</v>
      </c>
      <c r="G12577" t="s">
        <v>28205</v>
      </c>
      <c r="H12577" t="s">
        <v>28214</v>
      </c>
      <c r="I12577" t="s">
        <v>3797</v>
      </c>
      <c r="J12577" t="s">
        <v>36073</v>
      </c>
      <c r="K12577" t="s">
        <v>36692</v>
      </c>
      <c r="M12577" t="s">
        <v>40298</v>
      </c>
      <c r="N12577" t="s">
        <v>40436</v>
      </c>
      <c r="O12577" t="s">
        <v>40437</v>
      </c>
      <c r="Q12577">
        <v>1</v>
      </c>
      <c r="R12577" t="s">
        <v>40457</v>
      </c>
      <c r="S12577" t="s">
        <v>41409</v>
      </c>
      <c r="T12577" t="s">
        <v>42233</v>
      </c>
      <c r="U12577" t="s">
        <v>52924</v>
      </c>
      <c r="V12577" t="s">
        <v>55223</v>
      </c>
      <c r="W12577" t="s">
        <v>40298</v>
      </c>
      <c r="X12577" t="s">
        <v>40458</v>
      </c>
    </row>
    <row r="12578" spans="1:24">
      <c r="A12578">
        <f>HYPERLINK("https://www.philgeps.gov.ph/GEPSNONPILOT/Tender/SplashBidNoticeAbstractUI.aspx?menuIndex=3&amp;refID=7014833&amp;Result=3","7014833")</f>
        <v>0</v>
      </c>
      <c r="B12578" t="s">
        <v>1990</v>
      </c>
      <c r="C12578" t="s">
        <v>15135</v>
      </c>
      <c r="D12578" t="s">
        <v>16258</v>
      </c>
      <c r="E12578" t="s">
        <v>27199</v>
      </c>
      <c r="F12578" t="s">
        <v>28198</v>
      </c>
      <c r="G12578" t="s">
        <v>28205</v>
      </c>
      <c r="H12578" t="s">
        <v>28214</v>
      </c>
      <c r="I12578" t="s">
        <v>3797</v>
      </c>
      <c r="J12578" t="s">
        <v>36074</v>
      </c>
      <c r="K12578" t="s">
        <v>36697</v>
      </c>
      <c r="M12578" t="s">
        <v>39436</v>
      </c>
      <c r="N12578" t="s">
        <v>40436</v>
      </c>
      <c r="O12578" t="s">
        <v>40437</v>
      </c>
      <c r="P12578">
        <v>0</v>
      </c>
      <c r="Q12578">
        <v>0</v>
      </c>
      <c r="R12578" t="s">
        <v>40457</v>
      </c>
      <c r="S12578" t="s">
        <v>41386</v>
      </c>
      <c r="T12578" t="s">
        <v>42478</v>
      </c>
      <c r="U12578" t="s">
        <v>52927</v>
      </c>
      <c r="V12578" t="s">
        <v>54542</v>
      </c>
      <c r="W12578" t="s">
        <v>39436</v>
      </c>
      <c r="X12578" t="s">
        <v>40458</v>
      </c>
    </row>
    <row r="12579" spans="1:24">
      <c r="A12579">
        <f>HYPERLINK("https://www.philgeps.gov.ph/GEPSNONPILOT/Tender/SplashBidNoticeAbstractUI.aspx?menuIndex=3&amp;refID=7014856&amp;Result=3","7014856")</f>
        <v>0</v>
      </c>
      <c r="B12579" t="s">
        <v>3002</v>
      </c>
      <c r="C12579" t="s">
        <v>15136</v>
      </c>
      <c r="D12579" t="s">
        <v>16208</v>
      </c>
      <c r="E12579" t="s">
        <v>27200</v>
      </c>
      <c r="F12579" t="s">
        <v>28198</v>
      </c>
      <c r="G12579" t="s">
        <v>28205</v>
      </c>
      <c r="H12579" t="s">
        <v>28214</v>
      </c>
      <c r="I12579" t="s">
        <v>3797</v>
      </c>
      <c r="J12579" t="s">
        <v>28351</v>
      </c>
      <c r="K12579" t="s">
        <v>36727</v>
      </c>
      <c r="M12579" t="s">
        <v>40298</v>
      </c>
      <c r="N12579" t="s">
        <v>40436</v>
      </c>
      <c r="O12579" t="s">
        <v>40437</v>
      </c>
      <c r="Q12579">
        <v>0</v>
      </c>
      <c r="R12579" t="s">
        <v>40457</v>
      </c>
      <c r="S12579" t="s">
        <v>41410</v>
      </c>
      <c r="T12579" t="s">
        <v>42233</v>
      </c>
      <c r="U12579" t="s">
        <v>52928</v>
      </c>
      <c r="V12579" t="s">
        <v>55224</v>
      </c>
      <c r="W12579" t="s">
        <v>40298</v>
      </c>
      <c r="X12579" t="s">
        <v>40458</v>
      </c>
    </row>
    <row r="12580" spans="1:24">
      <c r="A12580">
        <f>HYPERLINK("https://www.philgeps.gov.ph/GEPSNONPILOT/Tender/SplashBidNoticeAbstractUI.aspx?menuIndex=3&amp;refID=7014796&amp;Result=3","7014796")</f>
        <v>0</v>
      </c>
      <c r="B12580" t="s">
        <v>2059</v>
      </c>
      <c r="C12580" t="s">
        <v>15137</v>
      </c>
      <c r="D12580" t="s">
        <v>16196</v>
      </c>
      <c r="E12580" t="s">
        <v>27201</v>
      </c>
      <c r="F12580" t="s">
        <v>28198</v>
      </c>
      <c r="G12580" t="s">
        <v>28210</v>
      </c>
      <c r="H12580" t="s">
        <v>28215</v>
      </c>
      <c r="I12580" t="s">
        <v>6013</v>
      </c>
      <c r="J12580" t="s">
        <v>28751</v>
      </c>
      <c r="K12580" t="s">
        <v>36687</v>
      </c>
      <c r="M12580" t="s">
        <v>39207</v>
      </c>
      <c r="N12580" t="s">
        <v>40436</v>
      </c>
      <c r="O12580" t="s">
        <v>40437</v>
      </c>
      <c r="Q12580">
        <v>0</v>
      </c>
      <c r="R12580" t="s">
        <v>40457</v>
      </c>
      <c r="S12580" t="s">
        <v>41411</v>
      </c>
      <c r="T12580" t="s">
        <v>42103</v>
      </c>
      <c r="U12580" t="s">
        <v>52929</v>
      </c>
      <c r="W12580" t="s">
        <v>39207</v>
      </c>
      <c r="X12580" t="s">
        <v>40458</v>
      </c>
    </row>
    <row r="12581" spans="1:24">
      <c r="A12581">
        <f>HYPERLINK("https://www.philgeps.gov.ph/GEPSNONPILOT/Tender/SplashBidNoticeAbstractUI.aspx?menuIndex=3&amp;refID=7014767&amp;Result=3","7014767")</f>
        <v>0</v>
      </c>
      <c r="B12581" t="s">
        <v>491</v>
      </c>
      <c r="C12581" t="s">
        <v>15138</v>
      </c>
      <c r="E12581" t="s">
        <v>19310</v>
      </c>
      <c r="F12581" t="s">
        <v>28198</v>
      </c>
      <c r="G12581" t="s">
        <v>28205</v>
      </c>
      <c r="H12581" t="s">
        <v>28214</v>
      </c>
      <c r="I12581" t="s">
        <v>28227</v>
      </c>
      <c r="J12581" t="s">
        <v>36075</v>
      </c>
      <c r="K12581" t="s">
        <v>36689</v>
      </c>
      <c r="M12581" t="s">
        <v>37476</v>
      </c>
      <c r="N12581" t="s">
        <v>40436</v>
      </c>
      <c r="O12581" t="s">
        <v>40437</v>
      </c>
      <c r="P12581">
        <v>0</v>
      </c>
      <c r="Q12581">
        <v>0</v>
      </c>
      <c r="R12581" t="s">
        <v>40457</v>
      </c>
      <c r="S12581" t="s">
        <v>41386</v>
      </c>
      <c r="T12581" t="s">
        <v>42112</v>
      </c>
      <c r="U12581" t="s">
        <v>52930</v>
      </c>
      <c r="W12581" t="s">
        <v>37476</v>
      </c>
      <c r="X12581" t="s">
        <v>40458</v>
      </c>
    </row>
    <row r="12582" spans="1:24">
      <c r="A12582">
        <f>HYPERLINK("https://www.philgeps.gov.ph/GEPSNONPILOT/Tender/SplashBidNoticeAbstractUI.aspx?menuIndex=3&amp;refID=7014792&amp;Result=3","7014792")</f>
        <v>0</v>
      </c>
      <c r="B12582" t="s">
        <v>1990</v>
      </c>
      <c r="C12582" t="s">
        <v>15139</v>
      </c>
      <c r="D12582" t="s">
        <v>16258</v>
      </c>
      <c r="E12582" t="s">
        <v>27202</v>
      </c>
      <c r="F12582" t="s">
        <v>28198</v>
      </c>
      <c r="G12582" t="s">
        <v>28205</v>
      </c>
      <c r="H12582" t="s">
        <v>28214</v>
      </c>
      <c r="I12582" t="s">
        <v>3797</v>
      </c>
      <c r="J12582" t="s">
        <v>36076</v>
      </c>
      <c r="K12582" t="s">
        <v>36692</v>
      </c>
      <c r="M12582" t="s">
        <v>39436</v>
      </c>
      <c r="N12582" t="s">
        <v>40436</v>
      </c>
      <c r="O12582" t="s">
        <v>40437</v>
      </c>
      <c r="P12582">
        <v>0</v>
      </c>
      <c r="Q12582">
        <v>0</v>
      </c>
      <c r="R12582" t="s">
        <v>40457</v>
      </c>
      <c r="S12582" t="s">
        <v>41386</v>
      </c>
      <c r="T12582" t="s">
        <v>42478</v>
      </c>
      <c r="U12582" t="s">
        <v>52931</v>
      </c>
      <c r="V12582" t="s">
        <v>54542</v>
      </c>
      <c r="W12582" t="s">
        <v>39436</v>
      </c>
      <c r="X12582" t="s">
        <v>40458</v>
      </c>
    </row>
    <row r="12583" spans="1:24">
      <c r="A12583">
        <f>HYPERLINK("https://www.philgeps.gov.ph/GEPSNONPILOT/Tender/SplashBidNoticeAbstractUI.aspx?menuIndex=3&amp;refID=7014744&amp;Result=3","7014744")</f>
        <v>0</v>
      </c>
      <c r="B12583" t="s">
        <v>491</v>
      </c>
      <c r="C12583" t="s">
        <v>15140</v>
      </c>
      <c r="E12583" t="s">
        <v>20987</v>
      </c>
      <c r="F12583" t="s">
        <v>28198</v>
      </c>
      <c r="G12583" t="s">
        <v>28205</v>
      </c>
      <c r="H12583" t="s">
        <v>28214</v>
      </c>
      <c r="I12583" t="s">
        <v>28227</v>
      </c>
      <c r="J12583" t="s">
        <v>36077</v>
      </c>
      <c r="K12583" t="s">
        <v>36689</v>
      </c>
      <c r="M12583" t="s">
        <v>37476</v>
      </c>
      <c r="N12583" t="s">
        <v>40436</v>
      </c>
      <c r="O12583" t="s">
        <v>40437</v>
      </c>
      <c r="P12583">
        <v>0</v>
      </c>
      <c r="Q12583">
        <v>0</v>
      </c>
      <c r="R12583" t="s">
        <v>40457</v>
      </c>
      <c r="S12583" t="s">
        <v>41386</v>
      </c>
      <c r="T12583" t="s">
        <v>42112</v>
      </c>
      <c r="U12583" t="s">
        <v>52932</v>
      </c>
      <c r="W12583" t="s">
        <v>37476</v>
      </c>
      <c r="X12583" t="s">
        <v>40458</v>
      </c>
    </row>
    <row r="12584" spans="1:24">
      <c r="A12584">
        <f>HYPERLINK("https://www.philgeps.gov.ph/GEPSNONPILOT/Tender/SplashBidNoticeAbstractUI.aspx?menuIndex=3&amp;refID=7014845&amp;Result=3","7014845")</f>
        <v>0</v>
      </c>
      <c r="B12584" t="s">
        <v>1990</v>
      </c>
      <c r="C12584" t="s">
        <v>15141</v>
      </c>
      <c r="D12584" t="s">
        <v>16258</v>
      </c>
      <c r="E12584" t="s">
        <v>27203</v>
      </c>
      <c r="F12584" t="s">
        <v>28198</v>
      </c>
      <c r="G12584" t="s">
        <v>28205</v>
      </c>
      <c r="H12584" t="s">
        <v>28214</v>
      </c>
      <c r="I12584" t="s">
        <v>3797</v>
      </c>
      <c r="J12584" t="s">
        <v>36078</v>
      </c>
      <c r="K12584" t="s">
        <v>36697</v>
      </c>
      <c r="M12584" t="s">
        <v>39436</v>
      </c>
      <c r="N12584" t="s">
        <v>40436</v>
      </c>
      <c r="O12584" t="s">
        <v>40437</v>
      </c>
      <c r="P12584">
        <v>0</v>
      </c>
      <c r="Q12584">
        <v>0</v>
      </c>
      <c r="R12584" t="s">
        <v>40457</v>
      </c>
      <c r="S12584" t="s">
        <v>41386</v>
      </c>
      <c r="T12584" t="s">
        <v>42478</v>
      </c>
      <c r="U12584" t="s">
        <v>52933</v>
      </c>
      <c r="V12584" t="s">
        <v>54542</v>
      </c>
      <c r="W12584" t="s">
        <v>39436</v>
      </c>
      <c r="X12584" t="s">
        <v>40458</v>
      </c>
    </row>
    <row r="12585" spans="1:24">
      <c r="A12585">
        <f>HYPERLINK("https://www.philgeps.gov.ph/GEPSNONPILOT/Tender/SplashBidNoticeAbstractUI.aspx?menuIndex=3&amp;refID=7014824&amp;Result=3","7014824")</f>
        <v>0</v>
      </c>
      <c r="B12585" t="s">
        <v>2993</v>
      </c>
      <c r="C12585" t="s">
        <v>15142</v>
      </c>
      <c r="D12585" t="s">
        <v>16268</v>
      </c>
      <c r="E12585" t="s">
        <v>27204</v>
      </c>
      <c r="F12585" t="s">
        <v>28198</v>
      </c>
      <c r="G12585" t="s">
        <v>28205</v>
      </c>
      <c r="H12585" t="s">
        <v>28214</v>
      </c>
      <c r="I12585" t="s">
        <v>3797</v>
      </c>
      <c r="J12585" t="s">
        <v>36079</v>
      </c>
      <c r="K12585" t="s">
        <v>36717</v>
      </c>
      <c r="M12585" t="s">
        <v>40288</v>
      </c>
      <c r="N12585" t="s">
        <v>40436</v>
      </c>
      <c r="O12585" t="s">
        <v>40437</v>
      </c>
      <c r="P12585">
        <v>0</v>
      </c>
      <c r="Q12585">
        <v>0</v>
      </c>
      <c r="R12585" t="s">
        <v>40457</v>
      </c>
      <c r="S12585" t="s">
        <v>41386</v>
      </c>
      <c r="T12585" t="s">
        <v>42103</v>
      </c>
      <c r="U12585" t="s">
        <v>52934</v>
      </c>
      <c r="W12585" t="s">
        <v>40288</v>
      </c>
      <c r="X12585" t="s">
        <v>40458</v>
      </c>
    </row>
    <row r="12586" spans="1:24">
      <c r="A12586">
        <f>HYPERLINK("https://www.philgeps.gov.ph/GEPSNONPILOT/Tender/SplashBidNoticeAbstractUI.aspx?menuIndex=3&amp;refID=7014731&amp;Result=3","7014731")</f>
        <v>0</v>
      </c>
      <c r="B12586" t="s">
        <v>491</v>
      </c>
      <c r="C12586" t="s">
        <v>15143</v>
      </c>
      <c r="E12586" t="s">
        <v>20997</v>
      </c>
      <c r="F12586" t="s">
        <v>28198</v>
      </c>
      <c r="G12586" t="s">
        <v>28205</v>
      </c>
      <c r="H12586" t="s">
        <v>28214</v>
      </c>
      <c r="I12586" t="s">
        <v>28227</v>
      </c>
      <c r="J12586" t="s">
        <v>36080</v>
      </c>
      <c r="K12586" t="s">
        <v>36689</v>
      </c>
      <c r="M12586" t="s">
        <v>37476</v>
      </c>
      <c r="N12586" t="s">
        <v>40436</v>
      </c>
      <c r="O12586" t="s">
        <v>40437</v>
      </c>
      <c r="P12586">
        <v>0</v>
      </c>
      <c r="Q12586">
        <v>0</v>
      </c>
      <c r="R12586" t="s">
        <v>40457</v>
      </c>
      <c r="S12586" t="s">
        <v>41386</v>
      </c>
      <c r="T12586" t="s">
        <v>42112</v>
      </c>
      <c r="U12586" t="s">
        <v>52935</v>
      </c>
      <c r="W12586" t="s">
        <v>37476</v>
      </c>
      <c r="X12586" t="s">
        <v>40458</v>
      </c>
    </row>
    <row r="12587" spans="1:24">
      <c r="A12587">
        <f>HYPERLINK("https://www.philgeps.gov.ph/GEPSNONPILOT/Tender/SplashBidNoticeAbstractUI.aspx?menuIndex=3&amp;refID=7014764&amp;Result=3","7014764")</f>
        <v>0</v>
      </c>
      <c r="B12587" t="s">
        <v>1990</v>
      </c>
      <c r="C12587" t="s">
        <v>15144</v>
      </c>
      <c r="D12587" t="s">
        <v>16258</v>
      </c>
      <c r="E12587" t="s">
        <v>27205</v>
      </c>
      <c r="F12587" t="s">
        <v>28198</v>
      </c>
      <c r="G12587" t="s">
        <v>28205</v>
      </c>
      <c r="H12587" t="s">
        <v>28214</v>
      </c>
      <c r="I12587" t="s">
        <v>3797</v>
      </c>
      <c r="J12587" t="s">
        <v>36081</v>
      </c>
      <c r="K12587" t="s">
        <v>36697</v>
      </c>
      <c r="M12587" t="s">
        <v>39436</v>
      </c>
      <c r="N12587" t="s">
        <v>40436</v>
      </c>
      <c r="O12587" t="s">
        <v>40437</v>
      </c>
      <c r="P12587">
        <v>0</v>
      </c>
      <c r="Q12587">
        <v>0</v>
      </c>
      <c r="R12587" t="s">
        <v>40457</v>
      </c>
      <c r="S12587" t="s">
        <v>41386</v>
      </c>
      <c r="T12587" t="s">
        <v>42478</v>
      </c>
      <c r="U12587" t="s">
        <v>52936</v>
      </c>
      <c r="V12587" t="s">
        <v>54542</v>
      </c>
      <c r="W12587" t="s">
        <v>39436</v>
      </c>
      <c r="X12587" t="s">
        <v>40458</v>
      </c>
    </row>
    <row r="12588" spans="1:24">
      <c r="A12588">
        <f>HYPERLINK("https://www.philgeps.gov.ph/GEPSNONPILOT/Tender/SplashBidNoticeAbstractUI.aspx?menuIndex=3&amp;refID=7014737&amp;Result=3","7014737")</f>
        <v>0</v>
      </c>
      <c r="B12588" t="s">
        <v>2727</v>
      </c>
      <c r="C12588" t="s">
        <v>15145</v>
      </c>
      <c r="D12588" t="s">
        <v>16193</v>
      </c>
      <c r="E12588" t="s">
        <v>27206</v>
      </c>
      <c r="F12588" t="s">
        <v>28200</v>
      </c>
      <c r="G12588" t="s">
        <v>28205</v>
      </c>
      <c r="H12588" t="s">
        <v>28214</v>
      </c>
      <c r="I12588" t="s">
        <v>3797</v>
      </c>
      <c r="J12588" t="s">
        <v>32323</v>
      </c>
      <c r="K12588" t="s">
        <v>36865</v>
      </c>
      <c r="M12588" t="s">
        <v>39973</v>
      </c>
      <c r="N12588" t="s">
        <v>40436</v>
      </c>
      <c r="O12588" t="s">
        <v>40437</v>
      </c>
      <c r="Q12588">
        <v>6</v>
      </c>
      <c r="R12588" t="s">
        <v>40457</v>
      </c>
      <c r="S12588" t="s">
        <v>41412</v>
      </c>
      <c r="T12588" t="s">
        <v>42297</v>
      </c>
      <c r="U12588" t="s">
        <v>50842</v>
      </c>
      <c r="V12588" t="s">
        <v>55222</v>
      </c>
      <c r="W12588" t="s">
        <v>39973</v>
      </c>
      <c r="X12588" t="s">
        <v>40458</v>
      </c>
    </row>
    <row r="12589" spans="1:24">
      <c r="A12589">
        <f>HYPERLINK("https://www.philgeps.gov.ph/GEPSNONPILOT/Tender/SplashBidNoticeAbstractUI.aspx?menuIndex=3&amp;refID=7014728&amp;Result=3","7014728")</f>
        <v>0</v>
      </c>
      <c r="B12589" t="s">
        <v>1990</v>
      </c>
      <c r="C12589" t="s">
        <v>15146</v>
      </c>
      <c r="D12589" t="s">
        <v>16258</v>
      </c>
      <c r="E12589" t="s">
        <v>27207</v>
      </c>
      <c r="F12589" t="s">
        <v>28198</v>
      </c>
      <c r="G12589" t="s">
        <v>28205</v>
      </c>
      <c r="H12589" t="s">
        <v>28214</v>
      </c>
      <c r="I12589" t="s">
        <v>3797</v>
      </c>
      <c r="J12589" t="s">
        <v>36082</v>
      </c>
      <c r="K12589" t="s">
        <v>36697</v>
      </c>
      <c r="M12589" t="s">
        <v>39436</v>
      </c>
      <c r="N12589" t="s">
        <v>40436</v>
      </c>
      <c r="O12589" t="s">
        <v>40437</v>
      </c>
      <c r="P12589">
        <v>0</v>
      </c>
      <c r="Q12589">
        <v>1</v>
      </c>
      <c r="R12589" t="s">
        <v>40457</v>
      </c>
      <c r="S12589" t="s">
        <v>41386</v>
      </c>
      <c r="T12589" t="s">
        <v>42478</v>
      </c>
      <c r="U12589" t="s">
        <v>52937</v>
      </c>
      <c r="V12589" t="s">
        <v>54542</v>
      </c>
      <c r="W12589" t="s">
        <v>39436</v>
      </c>
      <c r="X12589" t="s">
        <v>40458</v>
      </c>
    </row>
    <row r="12590" spans="1:24">
      <c r="A12590">
        <f>HYPERLINK("https://www.philgeps.gov.ph/GEPSNONPILOT/Tender/SplashBidNoticeAbstractUI.aspx?menuIndex=3&amp;refID=7015001&amp;Result=3","7015001")</f>
        <v>0</v>
      </c>
      <c r="B12590" t="s">
        <v>587</v>
      </c>
      <c r="C12590" t="s">
        <v>15147</v>
      </c>
      <c r="D12590" t="s">
        <v>16230</v>
      </c>
      <c r="E12590" t="s">
        <v>27208</v>
      </c>
      <c r="F12590" t="s">
        <v>28198</v>
      </c>
      <c r="G12590" t="s">
        <v>28205</v>
      </c>
      <c r="H12590" t="s">
        <v>28215</v>
      </c>
      <c r="I12590" t="s">
        <v>28222</v>
      </c>
      <c r="J12590" t="s">
        <v>35492</v>
      </c>
      <c r="K12590" t="s">
        <v>36694</v>
      </c>
      <c r="M12590" t="s">
        <v>37576</v>
      </c>
      <c r="N12590" t="s">
        <v>40436</v>
      </c>
      <c r="O12590" t="s">
        <v>40437</v>
      </c>
      <c r="P12590">
        <v>0</v>
      </c>
      <c r="Q12590">
        <v>4</v>
      </c>
      <c r="R12590" t="s">
        <v>40457</v>
      </c>
      <c r="S12590" t="s">
        <v>41386</v>
      </c>
      <c r="T12590" t="s">
        <v>42218</v>
      </c>
      <c r="U12590" t="s">
        <v>52938</v>
      </c>
      <c r="W12590" t="s">
        <v>37576</v>
      </c>
      <c r="X12590" t="s">
        <v>40458</v>
      </c>
    </row>
    <row r="12591" spans="1:24">
      <c r="A12591">
        <f>HYPERLINK("https://www.philgeps.gov.ph/GEPSNONPILOT/Tender/SplashBidNoticeAbstractUI.aspx?menuIndex=3&amp;refID=7015044&amp;Result=3","7015044")</f>
        <v>0</v>
      </c>
      <c r="B12591" t="s">
        <v>2993</v>
      </c>
      <c r="C12591" t="s">
        <v>15148</v>
      </c>
      <c r="D12591" t="s">
        <v>16268</v>
      </c>
      <c r="E12591" t="s">
        <v>27209</v>
      </c>
      <c r="F12591" t="s">
        <v>28198</v>
      </c>
      <c r="G12591" t="s">
        <v>28205</v>
      </c>
      <c r="H12591" t="s">
        <v>28214</v>
      </c>
      <c r="I12591" t="s">
        <v>3797</v>
      </c>
      <c r="J12591" t="s">
        <v>36083</v>
      </c>
      <c r="K12591" t="s">
        <v>36697</v>
      </c>
      <c r="M12591" t="s">
        <v>40288</v>
      </c>
      <c r="N12591" t="s">
        <v>40436</v>
      </c>
      <c r="O12591" t="s">
        <v>40437</v>
      </c>
      <c r="P12591">
        <v>0</v>
      </c>
      <c r="Q12591">
        <v>0</v>
      </c>
      <c r="R12591" t="s">
        <v>40457</v>
      </c>
      <c r="S12591" t="s">
        <v>41386</v>
      </c>
      <c r="T12591" t="s">
        <v>42103</v>
      </c>
      <c r="U12591" t="s">
        <v>52939</v>
      </c>
      <c r="W12591" t="s">
        <v>40288</v>
      </c>
      <c r="X12591" t="s">
        <v>40458</v>
      </c>
    </row>
    <row r="12592" spans="1:24">
      <c r="A12592">
        <f>HYPERLINK("https://www.philgeps.gov.ph/GEPSNONPILOT/Tender/SplashBidNoticeAbstractUI.aspx?menuIndex=3&amp;refID=7019143&amp;Result=3","7019143")</f>
        <v>0</v>
      </c>
      <c r="B12592" t="s">
        <v>2974</v>
      </c>
      <c r="C12592" t="s">
        <v>15149</v>
      </c>
      <c r="D12592" t="s">
        <v>16210</v>
      </c>
      <c r="E12592" t="s">
        <v>27210</v>
      </c>
      <c r="F12592" t="s">
        <v>28198</v>
      </c>
      <c r="G12592" t="s">
        <v>28205</v>
      </c>
      <c r="H12592" t="s">
        <v>28215</v>
      </c>
      <c r="I12592" t="s">
        <v>28309</v>
      </c>
      <c r="J12592" t="s">
        <v>28379</v>
      </c>
      <c r="K12592" t="s">
        <v>36701</v>
      </c>
      <c r="M12592" t="s">
        <v>40263</v>
      </c>
      <c r="N12592" t="s">
        <v>40436</v>
      </c>
      <c r="O12592" t="s">
        <v>40437</v>
      </c>
      <c r="P12592">
        <v>0</v>
      </c>
      <c r="Q12592">
        <v>1</v>
      </c>
      <c r="R12592" t="s">
        <v>40454</v>
      </c>
      <c r="S12592" t="s">
        <v>41306</v>
      </c>
      <c r="T12592" t="s">
        <v>42152</v>
      </c>
      <c r="U12592" t="s">
        <v>52940</v>
      </c>
      <c r="V12592" t="s">
        <v>55181</v>
      </c>
      <c r="W12592" t="s">
        <v>40263</v>
      </c>
      <c r="X12592" t="s">
        <v>40455</v>
      </c>
    </row>
    <row r="12593" spans="1:24">
      <c r="A12593">
        <f>HYPERLINK("https://www.philgeps.gov.ph/GEPSNONPILOT/Tender/SplashBidNoticeAbstractUI.aspx?menuIndex=3&amp;refID=7015056&amp;Result=3","7015056")</f>
        <v>0</v>
      </c>
      <c r="B12593" t="s">
        <v>2993</v>
      </c>
      <c r="C12593" t="s">
        <v>15150</v>
      </c>
      <c r="D12593" t="s">
        <v>16268</v>
      </c>
      <c r="E12593" t="s">
        <v>27211</v>
      </c>
      <c r="F12593" t="s">
        <v>28198</v>
      </c>
      <c r="G12593" t="s">
        <v>28205</v>
      </c>
      <c r="H12593" t="s">
        <v>28214</v>
      </c>
      <c r="I12593" t="s">
        <v>3797</v>
      </c>
      <c r="J12593" t="s">
        <v>36084</v>
      </c>
      <c r="K12593" t="s">
        <v>36817</v>
      </c>
      <c r="M12593" t="s">
        <v>40288</v>
      </c>
      <c r="N12593" t="s">
        <v>40436</v>
      </c>
      <c r="O12593" t="s">
        <v>40437</v>
      </c>
      <c r="P12593">
        <v>0</v>
      </c>
      <c r="Q12593">
        <v>0</v>
      </c>
      <c r="R12593" t="s">
        <v>40457</v>
      </c>
      <c r="S12593" t="s">
        <v>41386</v>
      </c>
      <c r="T12593" t="s">
        <v>42103</v>
      </c>
      <c r="U12593" t="s">
        <v>52941</v>
      </c>
      <c r="W12593" t="s">
        <v>40288</v>
      </c>
      <c r="X12593" t="s">
        <v>40458</v>
      </c>
    </row>
    <row r="12594" spans="1:24">
      <c r="A12594">
        <f>HYPERLINK("https://www.philgeps.gov.ph/GEPSNONPILOT/Tender/SplashBidNoticeAbstractUI.aspx?menuIndex=3&amp;refID=7015087&amp;Result=3","7015087")</f>
        <v>0</v>
      </c>
      <c r="B12594" t="s">
        <v>3003</v>
      </c>
      <c r="C12594" t="s">
        <v>15151</v>
      </c>
      <c r="D12594" t="s">
        <v>16192</v>
      </c>
      <c r="E12594" t="s">
        <v>16307</v>
      </c>
      <c r="F12594" t="s">
        <v>28198</v>
      </c>
      <c r="G12594" t="s">
        <v>28209</v>
      </c>
      <c r="H12594" t="s">
        <v>28215</v>
      </c>
      <c r="I12594" t="s">
        <v>4168</v>
      </c>
      <c r="J12594" t="s">
        <v>36085</v>
      </c>
      <c r="K12594" t="s">
        <v>36701</v>
      </c>
      <c r="M12594" t="s">
        <v>40299</v>
      </c>
      <c r="N12594" t="s">
        <v>40436</v>
      </c>
      <c r="O12594" t="s">
        <v>40437</v>
      </c>
      <c r="Q12594">
        <v>6</v>
      </c>
      <c r="R12594" t="s">
        <v>40457</v>
      </c>
      <c r="S12594" t="s">
        <v>41413</v>
      </c>
      <c r="T12594" t="s">
        <v>42119</v>
      </c>
      <c r="U12594" t="s">
        <v>52942</v>
      </c>
      <c r="W12594" t="s">
        <v>40299</v>
      </c>
      <c r="X12594" t="s">
        <v>40458</v>
      </c>
    </row>
    <row r="12595" spans="1:24">
      <c r="A12595">
        <f>HYPERLINK("https://www.philgeps.gov.ph/GEPSNONPILOT/Tender/SplashBidNoticeAbstractUI.aspx?menuIndex=3&amp;refID=7015035&amp;Result=3","7015035")</f>
        <v>0</v>
      </c>
      <c r="B12595" t="s">
        <v>2171</v>
      </c>
      <c r="C12595" t="s">
        <v>15152</v>
      </c>
      <c r="D12595" t="s">
        <v>16199</v>
      </c>
      <c r="E12595" t="s">
        <v>27212</v>
      </c>
      <c r="F12595" t="s">
        <v>28198</v>
      </c>
      <c r="G12595" t="s">
        <v>28205</v>
      </c>
      <c r="H12595" t="s">
        <v>28214</v>
      </c>
      <c r="I12595" t="s">
        <v>3797</v>
      </c>
      <c r="J12595" t="s">
        <v>36086</v>
      </c>
      <c r="K12595" t="s">
        <v>36694</v>
      </c>
      <c r="M12595" t="s">
        <v>40098</v>
      </c>
      <c r="N12595" t="s">
        <v>40436</v>
      </c>
      <c r="O12595" t="s">
        <v>40437</v>
      </c>
      <c r="P12595">
        <v>0</v>
      </c>
      <c r="Q12595">
        <v>2</v>
      </c>
      <c r="R12595" t="s">
        <v>40457</v>
      </c>
      <c r="S12595" t="s">
        <v>41386</v>
      </c>
      <c r="T12595" t="s">
        <v>42375</v>
      </c>
      <c r="U12595" t="s">
        <v>52943</v>
      </c>
      <c r="W12595" t="s">
        <v>40098</v>
      </c>
      <c r="X12595" t="s">
        <v>40458</v>
      </c>
    </row>
    <row r="12596" spans="1:24">
      <c r="A12596">
        <f>HYPERLINK("https://www.philgeps.gov.ph/GEPSNONPILOT/Tender/SplashBidNoticeAbstractUI.aspx?menuIndex=3&amp;refID=7014740&amp;Result=3","7014740")</f>
        <v>0</v>
      </c>
      <c r="B12596" t="s">
        <v>1990</v>
      </c>
      <c r="C12596" t="s">
        <v>15153</v>
      </c>
      <c r="D12596" t="s">
        <v>16258</v>
      </c>
      <c r="E12596" t="s">
        <v>27213</v>
      </c>
      <c r="F12596" t="s">
        <v>28198</v>
      </c>
      <c r="G12596" t="s">
        <v>28205</v>
      </c>
      <c r="H12596" t="s">
        <v>28214</v>
      </c>
      <c r="I12596" t="s">
        <v>3797</v>
      </c>
      <c r="J12596" t="s">
        <v>36087</v>
      </c>
      <c r="K12596" t="s">
        <v>36697</v>
      </c>
      <c r="M12596" t="s">
        <v>39436</v>
      </c>
      <c r="N12596" t="s">
        <v>40436</v>
      </c>
      <c r="O12596" t="s">
        <v>40437</v>
      </c>
      <c r="P12596">
        <v>0</v>
      </c>
      <c r="Q12596">
        <v>1</v>
      </c>
      <c r="R12596" t="s">
        <v>40457</v>
      </c>
      <c r="S12596" t="s">
        <v>41386</v>
      </c>
      <c r="T12596" t="s">
        <v>42478</v>
      </c>
      <c r="U12596" t="s">
        <v>52944</v>
      </c>
      <c r="V12596" t="s">
        <v>54542</v>
      </c>
      <c r="W12596" t="s">
        <v>39436</v>
      </c>
      <c r="X12596" t="s">
        <v>40458</v>
      </c>
    </row>
    <row r="12597" spans="1:24">
      <c r="A12597">
        <f>HYPERLINK("https://www.philgeps.gov.ph/GEPSNONPILOT/Tender/SplashBidNoticeAbstractUI.aspx?menuIndex=3&amp;refID=7015030&amp;Result=3","7015030")</f>
        <v>0</v>
      </c>
      <c r="B12597" t="s">
        <v>1501</v>
      </c>
      <c r="C12597" t="s">
        <v>15154</v>
      </c>
      <c r="D12597" t="s">
        <v>16192</v>
      </c>
      <c r="E12597" t="s">
        <v>27214</v>
      </c>
      <c r="F12597" t="s">
        <v>28198</v>
      </c>
      <c r="G12597" t="s">
        <v>28205</v>
      </c>
      <c r="H12597" t="s">
        <v>28214</v>
      </c>
      <c r="I12597" t="s">
        <v>3797</v>
      </c>
      <c r="J12597" t="s">
        <v>36088</v>
      </c>
      <c r="K12597" t="s">
        <v>36732</v>
      </c>
      <c r="M12597" t="s">
        <v>40300</v>
      </c>
      <c r="N12597" t="s">
        <v>40436</v>
      </c>
      <c r="O12597" t="s">
        <v>40437</v>
      </c>
      <c r="P12597">
        <v>0</v>
      </c>
      <c r="Q12597">
        <v>8</v>
      </c>
      <c r="R12597" t="s">
        <v>40457</v>
      </c>
      <c r="S12597" t="s">
        <v>41386</v>
      </c>
      <c r="T12597" t="s">
        <v>42317</v>
      </c>
      <c r="U12597" t="s">
        <v>52945</v>
      </c>
      <c r="W12597" t="s">
        <v>40300</v>
      </c>
      <c r="X12597" t="s">
        <v>40458</v>
      </c>
    </row>
    <row r="12598" spans="1:24">
      <c r="A12598">
        <f>HYPERLINK("https://www.philgeps.gov.ph/GEPSNONPILOT/Tender/SplashBidNoticeAbstractUI.aspx?menuIndex=3&amp;refID=7014711&amp;Result=3","7014711")</f>
        <v>0</v>
      </c>
      <c r="B12598" t="s">
        <v>1990</v>
      </c>
      <c r="C12598" t="s">
        <v>15155</v>
      </c>
      <c r="D12598" t="s">
        <v>16258</v>
      </c>
      <c r="E12598" t="s">
        <v>27215</v>
      </c>
      <c r="F12598" t="s">
        <v>28198</v>
      </c>
      <c r="G12598" t="s">
        <v>28205</v>
      </c>
      <c r="H12598" t="s">
        <v>28214</v>
      </c>
      <c r="I12598" t="s">
        <v>3797</v>
      </c>
      <c r="J12598" t="s">
        <v>36089</v>
      </c>
      <c r="K12598" t="s">
        <v>36697</v>
      </c>
      <c r="M12598" t="s">
        <v>39436</v>
      </c>
      <c r="N12598" t="s">
        <v>40436</v>
      </c>
      <c r="O12598" t="s">
        <v>40437</v>
      </c>
      <c r="P12598">
        <v>0</v>
      </c>
      <c r="Q12598">
        <v>0</v>
      </c>
      <c r="R12598" t="s">
        <v>40457</v>
      </c>
      <c r="S12598" t="s">
        <v>41386</v>
      </c>
      <c r="T12598" t="s">
        <v>42478</v>
      </c>
      <c r="U12598" t="s">
        <v>52946</v>
      </c>
      <c r="V12598" t="s">
        <v>54542</v>
      </c>
      <c r="W12598" t="s">
        <v>39436</v>
      </c>
      <c r="X12598" t="s">
        <v>40458</v>
      </c>
    </row>
    <row r="12599" spans="1:24">
      <c r="A12599">
        <f>HYPERLINK("https://www.philgeps.gov.ph/GEPSNONPILOT/Tender/SplashBidNoticeAbstractUI.aspx?menuIndex=3&amp;refID=7014742&amp;Result=3","7014742")</f>
        <v>0</v>
      </c>
      <c r="B12599" t="s">
        <v>2936</v>
      </c>
      <c r="C12599" t="s">
        <v>15156</v>
      </c>
      <c r="D12599" t="s">
        <v>16202</v>
      </c>
      <c r="E12599" t="s">
        <v>27216</v>
      </c>
      <c r="F12599" t="s">
        <v>28198</v>
      </c>
      <c r="G12599" t="s">
        <v>28205</v>
      </c>
      <c r="H12599" t="s">
        <v>28215</v>
      </c>
      <c r="I12599" t="s">
        <v>28222</v>
      </c>
      <c r="J12599" t="s">
        <v>30484</v>
      </c>
      <c r="K12599" t="s">
        <v>36701</v>
      </c>
      <c r="M12599" t="s">
        <v>40217</v>
      </c>
      <c r="N12599" t="s">
        <v>40436</v>
      </c>
      <c r="O12599" t="s">
        <v>40437</v>
      </c>
      <c r="P12599">
        <v>0</v>
      </c>
      <c r="Q12599">
        <v>6</v>
      </c>
      <c r="R12599" t="s">
        <v>40457</v>
      </c>
      <c r="S12599" t="s">
        <v>41386</v>
      </c>
      <c r="T12599" t="s">
        <v>42320</v>
      </c>
      <c r="U12599" t="s">
        <v>52947</v>
      </c>
      <c r="W12599" t="s">
        <v>40217</v>
      </c>
      <c r="X12599" t="s">
        <v>40458</v>
      </c>
    </row>
    <row r="12600" spans="1:24">
      <c r="A12600">
        <f>HYPERLINK("https://www.philgeps.gov.ph/GEPSNONPILOT/Tender/SplashBidNoticeAbstractUI.aspx?menuIndex=3&amp;refID=7015018&amp;Result=3","7015018")</f>
        <v>0</v>
      </c>
      <c r="B12600" t="s">
        <v>2381</v>
      </c>
      <c r="C12600" t="s">
        <v>15157</v>
      </c>
      <c r="D12600" t="s">
        <v>16243</v>
      </c>
      <c r="E12600" t="s">
        <v>27217</v>
      </c>
      <c r="F12600" t="s">
        <v>28198</v>
      </c>
      <c r="G12600" t="s">
        <v>28205</v>
      </c>
      <c r="H12600" t="s">
        <v>28214</v>
      </c>
      <c r="I12600" t="s">
        <v>3797</v>
      </c>
      <c r="J12600" t="s">
        <v>29325</v>
      </c>
      <c r="K12600" t="s">
        <v>36856</v>
      </c>
      <c r="M12600" t="s">
        <v>39641</v>
      </c>
      <c r="N12600" t="s">
        <v>40436</v>
      </c>
      <c r="O12600" t="s">
        <v>40437</v>
      </c>
      <c r="P12600">
        <v>0</v>
      </c>
      <c r="Q12600">
        <v>0</v>
      </c>
      <c r="R12600" t="s">
        <v>40457</v>
      </c>
      <c r="S12600" t="s">
        <v>41386</v>
      </c>
      <c r="T12600" t="s">
        <v>42277</v>
      </c>
      <c r="U12600" t="s">
        <v>52948</v>
      </c>
      <c r="W12600" t="s">
        <v>39641</v>
      </c>
      <c r="X12600" t="s">
        <v>40458</v>
      </c>
    </row>
    <row r="12601" spans="1:24">
      <c r="A12601">
        <f>HYPERLINK("https://www.philgeps.gov.ph/GEPSNONPILOT/Tender/SplashBidNoticeAbstractUI.aspx?menuIndex=3&amp;refID=7014802&amp;Result=3","7014802")</f>
        <v>0</v>
      </c>
      <c r="B12601" t="s">
        <v>2727</v>
      </c>
      <c r="C12601" t="s">
        <v>15158</v>
      </c>
      <c r="D12601" t="s">
        <v>16193</v>
      </c>
      <c r="E12601" t="s">
        <v>27218</v>
      </c>
      <c r="F12601" t="s">
        <v>28200</v>
      </c>
      <c r="G12601" t="s">
        <v>28205</v>
      </c>
      <c r="H12601" t="s">
        <v>28214</v>
      </c>
      <c r="I12601" t="s">
        <v>3797</v>
      </c>
      <c r="J12601" t="s">
        <v>29526</v>
      </c>
      <c r="K12601" t="s">
        <v>36735</v>
      </c>
      <c r="M12601" t="s">
        <v>39973</v>
      </c>
      <c r="N12601" t="s">
        <v>40436</v>
      </c>
      <c r="O12601" t="s">
        <v>40437</v>
      </c>
      <c r="Q12601">
        <v>7</v>
      </c>
      <c r="R12601" t="s">
        <v>40457</v>
      </c>
      <c r="S12601" t="s">
        <v>41414</v>
      </c>
      <c r="T12601" t="s">
        <v>42297</v>
      </c>
      <c r="U12601" t="s">
        <v>50842</v>
      </c>
      <c r="V12601" t="s">
        <v>55225</v>
      </c>
      <c r="W12601" t="s">
        <v>39973</v>
      </c>
      <c r="X12601" t="s">
        <v>40458</v>
      </c>
    </row>
    <row r="12602" spans="1:24">
      <c r="A12602">
        <f>HYPERLINK("https://www.philgeps.gov.ph/GEPSNONPILOT/Tender/SplashBidNoticeAbstractUI.aspx?menuIndex=3&amp;refID=7014954&amp;Result=3","7014954")</f>
        <v>0</v>
      </c>
      <c r="B12602" t="s">
        <v>2727</v>
      </c>
      <c r="C12602" t="s">
        <v>15159</v>
      </c>
      <c r="D12602" t="s">
        <v>16193</v>
      </c>
      <c r="E12602" t="s">
        <v>27219</v>
      </c>
      <c r="F12602" t="s">
        <v>28200</v>
      </c>
      <c r="G12602" t="s">
        <v>28205</v>
      </c>
      <c r="H12602" t="s">
        <v>28214</v>
      </c>
      <c r="I12602" t="s">
        <v>3797</v>
      </c>
      <c r="J12602" t="s">
        <v>29552</v>
      </c>
      <c r="K12602" t="s">
        <v>36843</v>
      </c>
      <c r="M12602" t="s">
        <v>39973</v>
      </c>
      <c r="N12602" t="s">
        <v>40436</v>
      </c>
      <c r="O12602" t="s">
        <v>40437</v>
      </c>
      <c r="Q12602">
        <v>5</v>
      </c>
      <c r="R12602" t="s">
        <v>40457</v>
      </c>
      <c r="S12602" t="s">
        <v>41415</v>
      </c>
      <c r="T12602" t="s">
        <v>42297</v>
      </c>
      <c r="U12602" t="s">
        <v>50842</v>
      </c>
      <c r="V12602" t="s">
        <v>55222</v>
      </c>
      <c r="W12602" t="s">
        <v>39973</v>
      </c>
      <c r="X12602" t="s">
        <v>40458</v>
      </c>
    </row>
    <row r="12603" spans="1:24">
      <c r="A12603">
        <f>HYPERLINK("https://www.philgeps.gov.ph/GEPSNONPILOT/Tender/SplashBidNoticeAbstractUI.aspx?menuIndex=3&amp;refID=7014935&amp;Result=3","7014935")</f>
        <v>0</v>
      </c>
      <c r="B12603" t="s">
        <v>3002</v>
      </c>
      <c r="C12603" t="s">
        <v>15160</v>
      </c>
      <c r="D12603" t="s">
        <v>16208</v>
      </c>
      <c r="E12603" t="s">
        <v>27220</v>
      </c>
      <c r="F12603" t="s">
        <v>28198</v>
      </c>
      <c r="G12603" t="s">
        <v>28205</v>
      </c>
      <c r="H12603" t="s">
        <v>28214</v>
      </c>
      <c r="I12603" t="s">
        <v>3797</v>
      </c>
      <c r="J12603" t="s">
        <v>29691</v>
      </c>
      <c r="K12603" t="s">
        <v>36692</v>
      </c>
      <c r="M12603" t="s">
        <v>40298</v>
      </c>
      <c r="N12603" t="s">
        <v>40436</v>
      </c>
      <c r="O12603" t="s">
        <v>40437</v>
      </c>
      <c r="Q12603">
        <v>0</v>
      </c>
      <c r="R12603" t="s">
        <v>40457</v>
      </c>
      <c r="S12603" t="s">
        <v>41416</v>
      </c>
      <c r="T12603" t="s">
        <v>42233</v>
      </c>
      <c r="U12603" t="s">
        <v>52949</v>
      </c>
      <c r="V12603" t="s">
        <v>55226</v>
      </c>
      <c r="W12603" t="s">
        <v>40298</v>
      </c>
      <c r="X12603" t="s">
        <v>40458</v>
      </c>
    </row>
    <row r="12604" spans="1:24">
      <c r="A12604">
        <f>HYPERLINK("https://www.philgeps.gov.ph/GEPSNONPILOT/Tender/SplashBidNoticeAbstractUI.aspx?menuIndex=3&amp;refID=7014819&amp;Result=3","7014819")</f>
        <v>0</v>
      </c>
      <c r="B12604" t="s">
        <v>1990</v>
      </c>
      <c r="C12604" t="s">
        <v>15161</v>
      </c>
      <c r="D12604" t="s">
        <v>16258</v>
      </c>
      <c r="E12604" t="s">
        <v>27221</v>
      </c>
      <c r="F12604" t="s">
        <v>28198</v>
      </c>
      <c r="G12604" t="s">
        <v>28205</v>
      </c>
      <c r="H12604" t="s">
        <v>28214</v>
      </c>
      <c r="I12604" t="s">
        <v>3797</v>
      </c>
      <c r="J12604" t="s">
        <v>36074</v>
      </c>
      <c r="K12604" t="s">
        <v>36697</v>
      </c>
      <c r="M12604" t="s">
        <v>39436</v>
      </c>
      <c r="N12604" t="s">
        <v>40436</v>
      </c>
      <c r="O12604" t="s">
        <v>40437</v>
      </c>
      <c r="P12604">
        <v>0</v>
      </c>
      <c r="Q12604">
        <v>1</v>
      </c>
      <c r="R12604" t="s">
        <v>40457</v>
      </c>
      <c r="S12604" t="s">
        <v>41386</v>
      </c>
      <c r="T12604" t="s">
        <v>42478</v>
      </c>
      <c r="U12604" t="s">
        <v>52950</v>
      </c>
      <c r="V12604" t="s">
        <v>54542</v>
      </c>
      <c r="W12604" t="s">
        <v>39436</v>
      </c>
      <c r="X12604" t="s">
        <v>40458</v>
      </c>
    </row>
    <row r="12605" spans="1:24">
      <c r="A12605">
        <f>HYPERLINK("https://www.philgeps.gov.ph/GEPSNONPILOT/Tender/SplashBidNoticeAbstractUI.aspx?menuIndex=3&amp;refID=7014906&amp;Result=3","7014906")</f>
        <v>0</v>
      </c>
      <c r="B12605" t="s">
        <v>1990</v>
      </c>
      <c r="C12605" t="s">
        <v>15162</v>
      </c>
      <c r="D12605" t="s">
        <v>16258</v>
      </c>
      <c r="E12605" t="s">
        <v>27222</v>
      </c>
      <c r="F12605" t="s">
        <v>28198</v>
      </c>
      <c r="G12605" t="s">
        <v>28205</v>
      </c>
      <c r="H12605" t="s">
        <v>28214</v>
      </c>
      <c r="I12605" t="s">
        <v>3797</v>
      </c>
      <c r="J12605" t="s">
        <v>36090</v>
      </c>
      <c r="K12605" t="s">
        <v>36692</v>
      </c>
      <c r="M12605" t="s">
        <v>39436</v>
      </c>
      <c r="N12605" t="s">
        <v>40436</v>
      </c>
      <c r="O12605" t="s">
        <v>40437</v>
      </c>
      <c r="P12605">
        <v>0</v>
      </c>
      <c r="Q12605">
        <v>2</v>
      </c>
      <c r="R12605" t="s">
        <v>40457</v>
      </c>
      <c r="S12605" t="s">
        <v>41386</v>
      </c>
      <c r="T12605" t="s">
        <v>42478</v>
      </c>
      <c r="U12605" t="s">
        <v>52951</v>
      </c>
      <c r="V12605" t="s">
        <v>54542</v>
      </c>
      <c r="W12605" t="s">
        <v>39436</v>
      </c>
      <c r="X12605" t="s">
        <v>40458</v>
      </c>
    </row>
    <row r="12606" spans="1:24">
      <c r="A12606">
        <f>HYPERLINK("https://www.philgeps.gov.ph/GEPSNONPILOT/Tender/SplashBidNoticeAbstractUI.aspx?menuIndex=3&amp;refID=7015019&amp;Result=3","7015019")</f>
        <v>0</v>
      </c>
      <c r="B12606" t="s">
        <v>2083</v>
      </c>
      <c r="C12606" t="s">
        <v>15163</v>
      </c>
      <c r="D12606" t="s">
        <v>16201</v>
      </c>
      <c r="E12606" t="s">
        <v>27223</v>
      </c>
      <c r="F12606" t="s">
        <v>28198</v>
      </c>
      <c r="G12606" t="s">
        <v>28207</v>
      </c>
      <c r="H12606" t="s">
        <v>28217</v>
      </c>
      <c r="I12606" t="s">
        <v>3422</v>
      </c>
      <c r="J12606" t="s">
        <v>29001</v>
      </c>
      <c r="K12606" t="s">
        <v>36693</v>
      </c>
      <c r="M12606" t="s">
        <v>39232</v>
      </c>
      <c r="N12606" t="s">
        <v>40436</v>
      </c>
      <c r="O12606" t="s">
        <v>40437</v>
      </c>
      <c r="Q12606">
        <v>0</v>
      </c>
      <c r="R12606" t="s">
        <v>40457</v>
      </c>
      <c r="S12606" t="s">
        <v>41417</v>
      </c>
      <c r="T12606" t="s">
        <v>42133</v>
      </c>
      <c r="U12606" t="s">
        <v>52952</v>
      </c>
      <c r="W12606" t="s">
        <v>39232</v>
      </c>
      <c r="X12606" t="s">
        <v>40458</v>
      </c>
    </row>
    <row r="12607" spans="1:24">
      <c r="A12607">
        <f>HYPERLINK("https://www.philgeps.gov.ph/GEPSNONPILOT/Tender/SplashBidNoticeAbstractUI.aspx?menuIndex=3&amp;refID=7015058&amp;Result=3","7015058")</f>
        <v>0</v>
      </c>
      <c r="B12607" t="s">
        <v>2381</v>
      </c>
      <c r="C12607" t="s">
        <v>15164</v>
      </c>
      <c r="D12607" t="s">
        <v>16243</v>
      </c>
      <c r="E12607" t="s">
        <v>27224</v>
      </c>
      <c r="F12607" t="s">
        <v>28198</v>
      </c>
      <c r="G12607" t="s">
        <v>28205</v>
      </c>
      <c r="H12607" t="s">
        <v>28214</v>
      </c>
      <c r="I12607" t="s">
        <v>3797</v>
      </c>
      <c r="J12607" t="s">
        <v>31258</v>
      </c>
      <c r="K12607" t="s">
        <v>36717</v>
      </c>
      <c r="M12607" t="s">
        <v>39641</v>
      </c>
      <c r="N12607" t="s">
        <v>40436</v>
      </c>
      <c r="O12607" t="s">
        <v>40437</v>
      </c>
      <c r="P12607">
        <v>0</v>
      </c>
      <c r="Q12607">
        <v>0</v>
      </c>
      <c r="R12607" t="s">
        <v>40457</v>
      </c>
      <c r="S12607" t="s">
        <v>41386</v>
      </c>
      <c r="T12607" t="s">
        <v>42277</v>
      </c>
      <c r="U12607" t="s">
        <v>52953</v>
      </c>
      <c r="W12607" t="s">
        <v>39641</v>
      </c>
      <c r="X12607" t="s">
        <v>40458</v>
      </c>
    </row>
    <row r="12608" spans="1:24">
      <c r="A12608">
        <f>HYPERLINK("https://www.philgeps.gov.ph/GEPSNONPILOT/Tender/SplashBidNoticeAbstractUI.aspx?menuIndex=3&amp;refID=7015602&amp;Result=3","7015602")</f>
        <v>0</v>
      </c>
      <c r="B12608" t="s">
        <v>2651</v>
      </c>
      <c r="C12608" t="s">
        <v>15165</v>
      </c>
      <c r="D12608" t="s">
        <v>16261</v>
      </c>
      <c r="E12608" t="s">
        <v>25156</v>
      </c>
      <c r="F12608" t="s">
        <v>28198</v>
      </c>
      <c r="G12608" t="s">
        <v>28205</v>
      </c>
      <c r="H12608" t="s">
        <v>28214</v>
      </c>
      <c r="I12608" t="s">
        <v>3797</v>
      </c>
      <c r="J12608" t="s">
        <v>28371</v>
      </c>
      <c r="K12608" t="s">
        <v>36689</v>
      </c>
      <c r="M12608" t="s">
        <v>39878</v>
      </c>
      <c r="N12608" t="s">
        <v>40436</v>
      </c>
      <c r="O12608" t="s">
        <v>40437</v>
      </c>
      <c r="P12608">
        <v>0</v>
      </c>
      <c r="Q12608">
        <v>0</v>
      </c>
      <c r="R12608" t="s">
        <v>40457</v>
      </c>
      <c r="S12608" t="s">
        <v>41386</v>
      </c>
      <c r="T12608" t="s">
        <v>42133</v>
      </c>
      <c r="U12608" t="s">
        <v>52954</v>
      </c>
      <c r="V12608" t="s">
        <v>55227</v>
      </c>
      <c r="W12608" t="s">
        <v>39878</v>
      </c>
      <c r="X12608" t="s">
        <v>40458</v>
      </c>
    </row>
    <row r="12609" spans="1:24">
      <c r="A12609">
        <f>HYPERLINK("https://www.philgeps.gov.ph/GEPSNONPILOT/Tender/SplashBidNoticeAbstractUI.aspx?menuIndex=3&amp;refID=7015493&amp;Result=3","7015493")</f>
        <v>0</v>
      </c>
      <c r="B12609" t="s">
        <v>1456</v>
      </c>
      <c r="C12609" t="s">
        <v>15166</v>
      </c>
      <c r="D12609" t="s">
        <v>16264</v>
      </c>
      <c r="E12609" t="s">
        <v>27225</v>
      </c>
      <c r="F12609" t="s">
        <v>28198</v>
      </c>
      <c r="G12609" t="s">
        <v>28205</v>
      </c>
      <c r="H12609" t="s">
        <v>28215</v>
      </c>
      <c r="I12609" t="s">
        <v>5100</v>
      </c>
      <c r="J12609" t="s">
        <v>36091</v>
      </c>
      <c r="K12609" t="s">
        <v>36706</v>
      </c>
      <c r="M12609" t="s">
        <v>38523</v>
      </c>
      <c r="N12609" t="s">
        <v>40436</v>
      </c>
      <c r="O12609" t="s">
        <v>40437</v>
      </c>
      <c r="P12609">
        <v>0</v>
      </c>
      <c r="Q12609">
        <v>1</v>
      </c>
      <c r="R12609" t="s">
        <v>40457</v>
      </c>
      <c r="S12609" t="s">
        <v>41386</v>
      </c>
      <c r="T12609" t="s">
        <v>42218</v>
      </c>
      <c r="U12609" t="s">
        <v>46003</v>
      </c>
      <c r="W12609" t="s">
        <v>38523</v>
      </c>
      <c r="X12609" t="s">
        <v>40458</v>
      </c>
    </row>
    <row r="12610" spans="1:24">
      <c r="A12610">
        <f>HYPERLINK("https://www.philgeps.gov.ph/GEPSNONPILOT/Tender/SplashBidNoticeAbstractUI.aspx?menuIndex=3&amp;refID=7015491&amp;Result=3","7015491")</f>
        <v>0</v>
      </c>
      <c r="B12610" t="s">
        <v>419</v>
      </c>
      <c r="C12610" t="s">
        <v>15167</v>
      </c>
      <c r="D12610" t="s">
        <v>16202</v>
      </c>
      <c r="E12610" t="s">
        <v>27226</v>
      </c>
      <c r="F12610" t="s">
        <v>28198</v>
      </c>
      <c r="G12610" t="s">
        <v>28205</v>
      </c>
      <c r="H12610" t="s">
        <v>28215</v>
      </c>
      <c r="I12610" t="s">
        <v>28222</v>
      </c>
      <c r="J12610" t="s">
        <v>28921</v>
      </c>
      <c r="K12610" t="s">
        <v>36692</v>
      </c>
      <c r="M12610" t="s">
        <v>37401</v>
      </c>
      <c r="N12610" t="s">
        <v>40436</v>
      </c>
      <c r="O12610" t="s">
        <v>40437</v>
      </c>
      <c r="P12610">
        <v>0</v>
      </c>
      <c r="Q12610">
        <v>9</v>
      </c>
      <c r="R12610" t="s">
        <v>40457</v>
      </c>
      <c r="S12610" t="s">
        <v>41386</v>
      </c>
      <c r="T12610" t="s">
        <v>42320</v>
      </c>
      <c r="U12610" t="s">
        <v>52955</v>
      </c>
      <c r="W12610" t="s">
        <v>37401</v>
      </c>
      <c r="X12610" t="s">
        <v>40458</v>
      </c>
    </row>
    <row r="12611" spans="1:24">
      <c r="A12611">
        <f>HYPERLINK("https://www.philgeps.gov.ph/GEPSNONPILOT/Tender/SplashBidNoticeAbstractUI.aspx?menuIndex=3&amp;refID=7014911&amp;Result=3","7014911")</f>
        <v>0</v>
      </c>
      <c r="B12611" t="s">
        <v>1052</v>
      </c>
      <c r="C12611" t="s">
        <v>15168</v>
      </c>
      <c r="D12611" t="s">
        <v>16198</v>
      </c>
      <c r="E12611" t="s">
        <v>27227</v>
      </c>
      <c r="F12611" t="s">
        <v>28198</v>
      </c>
      <c r="G12611" t="s">
        <v>28205</v>
      </c>
      <c r="H12611" t="s">
        <v>28214</v>
      </c>
      <c r="I12611" t="s">
        <v>3797</v>
      </c>
      <c r="J12611" t="s">
        <v>28379</v>
      </c>
      <c r="K12611" t="s">
        <v>36789</v>
      </c>
      <c r="M12611" t="s">
        <v>38085</v>
      </c>
      <c r="N12611" t="s">
        <v>40436</v>
      </c>
      <c r="O12611" t="s">
        <v>40437</v>
      </c>
      <c r="P12611">
        <v>0</v>
      </c>
      <c r="Q12611">
        <v>1</v>
      </c>
      <c r="R12611" t="s">
        <v>40457</v>
      </c>
      <c r="S12611" t="s">
        <v>41386</v>
      </c>
      <c r="T12611" t="s">
        <v>42161</v>
      </c>
      <c r="U12611" t="s">
        <v>52956</v>
      </c>
      <c r="W12611" t="s">
        <v>38085</v>
      </c>
      <c r="X12611" t="s">
        <v>40458</v>
      </c>
    </row>
    <row r="12612" spans="1:24">
      <c r="A12612">
        <f>HYPERLINK("https://www.philgeps.gov.ph/GEPSNONPILOT/Tender/SplashBidNoticeAbstractUI.aspx?menuIndex=3&amp;refID=7015483&amp;Result=3","7015483")</f>
        <v>0</v>
      </c>
      <c r="B12612" t="s">
        <v>3001</v>
      </c>
      <c r="C12612" t="s">
        <v>15169</v>
      </c>
      <c r="D12612" t="s">
        <v>16254</v>
      </c>
      <c r="E12612" t="s">
        <v>27228</v>
      </c>
      <c r="F12612" t="s">
        <v>28198</v>
      </c>
      <c r="G12612" t="s">
        <v>28205</v>
      </c>
      <c r="H12612" t="s">
        <v>28215</v>
      </c>
      <c r="I12612" t="s">
        <v>28222</v>
      </c>
      <c r="J12612" t="s">
        <v>28404</v>
      </c>
      <c r="K12612" t="s">
        <v>36701</v>
      </c>
      <c r="M12612" t="s">
        <v>40296</v>
      </c>
      <c r="N12612" t="s">
        <v>40436</v>
      </c>
      <c r="O12612" t="s">
        <v>40437</v>
      </c>
      <c r="P12612">
        <v>0</v>
      </c>
      <c r="Q12612">
        <v>1</v>
      </c>
      <c r="R12612" t="s">
        <v>40457</v>
      </c>
      <c r="S12612" t="s">
        <v>41386</v>
      </c>
      <c r="T12612" t="s">
        <v>42205</v>
      </c>
      <c r="U12612" t="s">
        <v>52957</v>
      </c>
      <c r="W12612" t="s">
        <v>40296</v>
      </c>
      <c r="X12612" t="s">
        <v>40458</v>
      </c>
    </row>
    <row r="12613" spans="1:24">
      <c r="A12613">
        <f>HYPERLINK("https://www.philgeps.gov.ph/GEPSNONPILOT/Tender/SplashBidNoticeAbstractUI.aspx?menuIndex=3&amp;refID=7015586&amp;Result=3","7015586")</f>
        <v>0</v>
      </c>
      <c r="B12613" t="s">
        <v>3004</v>
      </c>
      <c r="C12613" t="s">
        <v>3953</v>
      </c>
      <c r="D12613" t="s">
        <v>16199</v>
      </c>
      <c r="E12613" t="s">
        <v>27229</v>
      </c>
      <c r="F12613" t="s">
        <v>28198</v>
      </c>
      <c r="G12613" t="s">
        <v>28205</v>
      </c>
      <c r="H12613" t="s">
        <v>28214</v>
      </c>
      <c r="I12613" t="s">
        <v>3797</v>
      </c>
      <c r="J12613" t="s">
        <v>28468</v>
      </c>
      <c r="K12613" t="s">
        <v>36717</v>
      </c>
      <c r="M12613" t="s">
        <v>40301</v>
      </c>
      <c r="N12613" t="s">
        <v>40436</v>
      </c>
      <c r="O12613" t="s">
        <v>40437</v>
      </c>
      <c r="P12613">
        <v>0</v>
      </c>
      <c r="Q12613">
        <v>2</v>
      </c>
      <c r="R12613" t="s">
        <v>40457</v>
      </c>
      <c r="S12613" t="s">
        <v>41386</v>
      </c>
      <c r="T12613" t="s">
        <v>42279</v>
      </c>
      <c r="U12613" t="s">
        <v>52958</v>
      </c>
      <c r="V12613" t="s">
        <v>55228</v>
      </c>
      <c r="W12613" t="s">
        <v>40301</v>
      </c>
      <c r="X12613" t="s">
        <v>40458</v>
      </c>
    </row>
    <row r="12614" spans="1:24">
      <c r="A12614">
        <f>HYPERLINK("https://www.philgeps.gov.ph/GEPSNONPILOT/Tender/SplashBidNoticeAbstractUI.aspx?menuIndex=3&amp;refID=7015397&amp;Result=3","7015397")</f>
        <v>0</v>
      </c>
      <c r="B12614" t="s">
        <v>1014</v>
      </c>
      <c r="C12614" t="s">
        <v>3422</v>
      </c>
      <c r="D12614" t="s">
        <v>16217</v>
      </c>
      <c r="E12614" t="s">
        <v>27230</v>
      </c>
      <c r="F12614" t="s">
        <v>28198</v>
      </c>
      <c r="G12614" t="s">
        <v>28205</v>
      </c>
      <c r="H12614" t="s">
        <v>28215</v>
      </c>
      <c r="I12614" t="s">
        <v>3422</v>
      </c>
      <c r="J12614" t="s">
        <v>28953</v>
      </c>
      <c r="K12614" t="s">
        <v>36701</v>
      </c>
      <c r="M12614" t="s">
        <v>38042</v>
      </c>
      <c r="N12614" t="s">
        <v>40436</v>
      </c>
      <c r="O12614" t="s">
        <v>40437</v>
      </c>
      <c r="P12614">
        <v>0</v>
      </c>
      <c r="Q12614">
        <v>1</v>
      </c>
      <c r="R12614" t="s">
        <v>40457</v>
      </c>
      <c r="S12614" t="s">
        <v>41386</v>
      </c>
      <c r="T12614" t="s">
        <v>42103</v>
      </c>
      <c r="U12614" t="s">
        <v>52959</v>
      </c>
      <c r="W12614" t="s">
        <v>38042</v>
      </c>
      <c r="X12614" t="s">
        <v>40458</v>
      </c>
    </row>
    <row r="12615" spans="1:24">
      <c r="A12615">
        <f>HYPERLINK("https://www.philgeps.gov.ph/GEPSNONPILOT/Tender/SplashBidNoticeAbstractUI.aspx?menuIndex=3&amp;refID=7014924&amp;Result=3","7014924")</f>
        <v>0</v>
      </c>
      <c r="B12615" t="s">
        <v>1990</v>
      </c>
      <c r="C12615" t="s">
        <v>15170</v>
      </c>
      <c r="D12615" t="s">
        <v>16258</v>
      </c>
      <c r="E12615" t="s">
        <v>27231</v>
      </c>
      <c r="F12615" t="s">
        <v>28198</v>
      </c>
      <c r="G12615" t="s">
        <v>28205</v>
      </c>
      <c r="H12615" t="s">
        <v>28214</v>
      </c>
      <c r="I12615" t="s">
        <v>3797</v>
      </c>
      <c r="J12615" t="s">
        <v>36092</v>
      </c>
      <c r="K12615" t="s">
        <v>36904</v>
      </c>
      <c r="M12615" t="s">
        <v>39436</v>
      </c>
      <c r="N12615" t="s">
        <v>40436</v>
      </c>
      <c r="O12615" t="s">
        <v>40437</v>
      </c>
      <c r="Q12615">
        <v>0</v>
      </c>
      <c r="R12615" t="s">
        <v>40457</v>
      </c>
      <c r="S12615" t="s">
        <v>41418</v>
      </c>
      <c r="T12615" t="s">
        <v>42478</v>
      </c>
      <c r="U12615" t="s">
        <v>52960</v>
      </c>
      <c r="V12615" t="s">
        <v>54542</v>
      </c>
      <c r="W12615" t="s">
        <v>39436</v>
      </c>
      <c r="X12615" t="s">
        <v>40458</v>
      </c>
    </row>
    <row r="12616" spans="1:24">
      <c r="A12616">
        <f>HYPERLINK("https://www.philgeps.gov.ph/GEPSNONPILOT/Tender/SplashBidNoticeAbstractUI.aspx?menuIndex=3&amp;refID=7015466&amp;Result=3","7015466")</f>
        <v>0</v>
      </c>
      <c r="B12616" t="s">
        <v>3005</v>
      </c>
      <c r="C12616" t="s">
        <v>15171</v>
      </c>
      <c r="D12616" t="s">
        <v>16241</v>
      </c>
      <c r="E12616" t="s">
        <v>20579</v>
      </c>
      <c r="F12616" t="s">
        <v>28198</v>
      </c>
      <c r="G12616" t="s">
        <v>28205</v>
      </c>
      <c r="H12616" t="s">
        <v>28215</v>
      </c>
      <c r="I12616" t="s">
        <v>28248</v>
      </c>
      <c r="J12616" t="s">
        <v>28398</v>
      </c>
      <c r="K12616" t="s">
        <v>36715</v>
      </c>
      <c r="M12616" t="s">
        <v>40302</v>
      </c>
      <c r="N12616" t="s">
        <v>40436</v>
      </c>
      <c r="O12616" t="s">
        <v>40437</v>
      </c>
      <c r="P12616">
        <v>0</v>
      </c>
      <c r="Q12616">
        <v>4</v>
      </c>
      <c r="R12616" t="s">
        <v>40457</v>
      </c>
      <c r="S12616" t="s">
        <v>41386</v>
      </c>
      <c r="T12616" t="s">
        <v>42148</v>
      </c>
      <c r="U12616" t="s">
        <v>52961</v>
      </c>
      <c r="V12616" t="s">
        <v>55229</v>
      </c>
      <c r="W12616" t="s">
        <v>40302</v>
      </c>
      <c r="X12616" t="s">
        <v>40458</v>
      </c>
    </row>
    <row r="12617" spans="1:24">
      <c r="A12617">
        <f>HYPERLINK("https://www.philgeps.gov.ph/GEPSNONPILOT/Tender/SplashBidNoticeAbstractUI.aspx?menuIndex=3&amp;refID=7015554&amp;Result=3","7015554")</f>
        <v>0</v>
      </c>
      <c r="B12617" t="s">
        <v>2651</v>
      </c>
      <c r="C12617" t="s">
        <v>15172</v>
      </c>
      <c r="D12617" t="s">
        <v>16261</v>
      </c>
      <c r="E12617" t="s">
        <v>25156</v>
      </c>
      <c r="F12617" t="s">
        <v>28198</v>
      </c>
      <c r="G12617" t="s">
        <v>28205</v>
      </c>
      <c r="H12617" t="s">
        <v>28214</v>
      </c>
      <c r="I12617" t="s">
        <v>3797</v>
      </c>
      <c r="J12617" t="s">
        <v>28918</v>
      </c>
      <c r="K12617" t="s">
        <v>36689</v>
      </c>
      <c r="M12617" t="s">
        <v>39878</v>
      </c>
      <c r="N12617" t="s">
        <v>40436</v>
      </c>
      <c r="O12617" t="s">
        <v>40437</v>
      </c>
      <c r="P12617">
        <v>0</v>
      </c>
      <c r="Q12617">
        <v>0</v>
      </c>
      <c r="R12617" t="s">
        <v>40457</v>
      </c>
      <c r="S12617" t="s">
        <v>41386</v>
      </c>
      <c r="T12617" t="s">
        <v>42133</v>
      </c>
      <c r="U12617" t="s">
        <v>52962</v>
      </c>
      <c r="V12617" t="s">
        <v>55227</v>
      </c>
      <c r="W12617" t="s">
        <v>39878</v>
      </c>
      <c r="X12617" t="s">
        <v>40458</v>
      </c>
    </row>
    <row r="12618" spans="1:24">
      <c r="A12618">
        <f>HYPERLINK("https://www.philgeps.gov.ph/GEPSNONPILOT/Tender/SplashBidNoticeAbstractUI.aspx?menuIndex=3&amp;refID=7015394&amp;Result=3","7015394")</f>
        <v>0</v>
      </c>
      <c r="B12618" t="s">
        <v>2171</v>
      </c>
      <c r="C12618" t="s">
        <v>15173</v>
      </c>
      <c r="D12618" t="s">
        <v>16199</v>
      </c>
      <c r="E12618" t="s">
        <v>27232</v>
      </c>
      <c r="F12618" t="s">
        <v>28198</v>
      </c>
      <c r="G12618" t="s">
        <v>28205</v>
      </c>
      <c r="H12618" t="s">
        <v>28214</v>
      </c>
      <c r="I12618" t="s">
        <v>3797</v>
      </c>
      <c r="J12618" t="s">
        <v>36093</v>
      </c>
      <c r="K12618" t="s">
        <v>36694</v>
      </c>
      <c r="M12618" t="s">
        <v>39331</v>
      </c>
      <c r="N12618" t="s">
        <v>40436</v>
      </c>
      <c r="O12618" t="s">
        <v>40437</v>
      </c>
      <c r="P12618">
        <v>0</v>
      </c>
      <c r="Q12618">
        <v>2</v>
      </c>
      <c r="R12618" t="s">
        <v>40457</v>
      </c>
      <c r="S12618" t="s">
        <v>41386</v>
      </c>
      <c r="T12618" t="s">
        <v>42375</v>
      </c>
      <c r="U12618" t="s">
        <v>52963</v>
      </c>
      <c r="W12618" t="s">
        <v>39331</v>
      </c>
      <c r="X12618" t="s">
        <v>40458</v>
      </c>
    </row>
    <row r="12619" spans="1:24">
      <c r="A12619">
        <f>HYPERLINK("https://www.philgeps.gov.ph/GEPSNONPILOT/Tender/SplashBidNoticeAbstractUI.aspx?menuIndex=3&amp;refID=7014919&amp;Result=3","7014919")</f>
        <v>0</v>
      </c>
      <c r="B12619" t="s">
        <v>3002</v>
      </c>
      <c r="C12619" t="s">
        <v>15174</v>
      </c>
      <c r="D12619" t="s">
        <v>16208</v>
      </c>
      <c r="E12619" t="s">
        <v>27233</v>
      </c>
      <c r="F12619" t="s">
        <v>28198</v>
      </c>
      <c r="G12619" t="s">
        <v>28205</v>
      </c>
      <c r="H12619" t="s">
        <v>28214</v>
      </c>
      <c r="I12619" t="s">
        <v>3797</v>
      </c>
      <c r="J12619" t="s">
        <v>36094</v>
      </c>
      <c r="K12619" t="s">
        <v>36727</v>
      </c>
      <c r="M12619" t="s">
        <v>40298</v>
      </c>
      <c r="N12619" t="s">
        <v>40436</v>
      </c>
      <c r="O12619" t="s">
        <v>40437</v>
      </c>
      <c r="Q12619">
        <v>0</v>
      </c>
      <c r="R12619" t="s">
        <v>40457</v>
      </c>
      <c r="S12619" t="s">
        <v>41419</v>
      </c>
      <c r="T12619" t="s">
        <v>42233</v>
      </c>
      <c r="U12619" t="s">
        <v>52928</v>
      </c>
      <c r="V12619" t="s">
        <v>55230</v>
      </c>
      <c r="W12619" t="s">
        <v>40298</v>
      </c>
      <c r="X12619" t="s">
        <v>40458</v>
      </c>
    </row>
    <row r="12620" spans="1:24">
      <c r="A12620">
        <f>HYPERLINK("https://www.philgeps.gov.ph/GEPSNONPILOT/Tender/SplashBidNoticeAbstractUI.aspx?menuIndex=3&amp;refID=7015539&amp;Result=3","7015539")</f>
        <v>0</v>
      </c>
      <c r="B12620" t="s">
        <v>2171</v>
      </c>
      <c r="C12620" t="s">
        <v>15175</v>
      </c>
      <c r="D12620" t="s">
        <v>16199</v>
      </c>
      <c r="E12620" t="s">
        <v>27234</v>
      </c>
      <c r="F12620" t="s">
        <v>28198</v>
      </c>
      <c r="G12620" t="s">
        <v>28205</v>
      </c>
      <c r="H12620" t="s">
        <v>28214</v>
      </c>
      <c r="I12620" t="s">
        <v>3797</v>
      </c>
      <c r="J12620" t="s">
        <v>28395</v>
      </c>
      <c r="K12620" t="s">
        <v>36694</v>
      </c>
      <c r="M12620" t="s">
        <v>39331</v>
      </c>
      <c r="N12620" t="s">
        <v>40436</v>
      </c>
      <c r="O12620" t="s">
        <v>40437</v>
      </c>
      <c r="P12620">
        <v>0</v>
      </c>
      <c r="Q12620">
        <v>1</v>
      </c>
      <c r="R12620" t="s">
        <v>40457</v>
      </c>
      <c r="S12620" t="s">
        <v>41386</v>
      </c>
      <c r="T12620" t="s">
        <v>42431</v>
      </c>
      <c r="U12620" t="s">
        <v>52964</v>
      </c>
      <c r="W12620" t="s">
        <v>39331</v>
      </c>
      <c r="X12620" t="s">
        <v>40458</v>
      </c>
    </row>
    <row r="12621" spans="1:24">
      <c r="A12621">
        <f>HYPERLINK("https://www.philgeps.gov.ph/GEPSNONPILOT/Tender/SplashBidNoticeAbstractUI.aspx?menuIndex=3&amp;refID=7015338&amp;Result=3","7015338")</f>
        <v>0</v>
      </c>
      <c r="B12621" t="s">
        <v>866</v>
      </c>
      <c r="C12621" t="s">
        <v>3622</v>
      </c>
      <c r="D12621" t="s">
        <v>16271</v>
      </c>
      <c r="E12621" t="s">
        <v>27235</v>
      </c>
      <c r="F12621" t="s">
        <v>28198</v>
      </c>
      <c r="G12621" t="s">
        <v>28205</v>
      </c>
      <c r="H12621" t="s">
        <v>28215</v>
      </c>
      <c r="I12621" t="s">
        <v>28225</v>
      </c>
      <c r="J12621" t="s">
        <v>36095</v>
      </c>
      <c r="K12621" t="s">
        <v>36701</v>
      </c>
      <c r="M12621" t="s">
        <v>37878</v>
      </c>
      <c r="N12621" t="s">
        <v>40436</v>
      </c>
      <c r="O12621" t="s">
        <v>40437</v>
      </c>
      <c r="P12621">
        <v>0</v>
      </c>
      <c r="Q12621">
        <v>14</v>
      </c>
      <c r="R12621" t="s">
        <v>40457</v>
      </c>
      <c r="S12621" t="s">
        <v>41386</v>
      </c>
      <c r="T12621" t="s">
        <v>42134</v>
      </c>
      <c r="U12621" t="s">
        <v>52965</v>
      </c>
      <c r="V12621" t="s">
        <v>55231</v>
      </c>
      <c r="W12621" t="s">
        <v>37878</v>
      </c>
      <c r="X12621" t="s">
        <v>40458</v>
      </c>
    </row>
    <row r="12622" spans="1:24">
      <c r="A12622">
        <f>HYPERLINK("https://www.philgeps.gov.ph/GEPSNONPILOT/Tender/SplashBidNoticeAbstractUI.aspx?menuIndex=3&amp;refID=7015364&amp;Result=3","7015364")</f>
        <v>0</v>
      </c>
      <c r="B12622" t="s">
        <v>2171</v>
      </c>
      <c r="C12622" t="s">
        <v>15176</v>
      </c>
      <c r="D12622" t="s">
        <v>16199</v>
      </c>
      <c r="E12622" t="s">
        <v>27236</v>
      </c>
      <c r="F12622" t="s">
        <v>28198</v>
      </c>
      <c r="G12622" t="s">
        <v>28205</v>
      </c>
      <c r="H12622" t="s">
        <v>28214</v>
      </c>
      <c r="I12622" t="s">
        <v>3797</v>
      </c>
      <c r="J12622" t="s">
        <v>36096</v>
      </c>
      <c r="K12622" t="s">
        <v>36694</v>
      </c>
      <c r="M12622" t="s">
        <v>39331</v>
      </c>
      <c r="N12622" t="s">
        <v>40436</v>
      </c>
      <c r="O12622" t="s">
        <v>40437</v>
      </c>
      <c r="P12622">
        <v>0</v>
      </c>
      <c r="Q12622">
        <v>1</v>
      </c>
      <c r="R12622" t="s">
        <v>40457</v>
      </c>
      <c r="S12622" t="s">
        <v>41386</v>
      </c>
      <c r="T12622" t="s">
        <v>42375</v>
      </c>
      <c r="U12622" t="s">
        <v>52963</v>
      </c>
      <c r="W12622" t="s">
        <v>39331</v>
      </c>
      <c r="X12622" t="s">
        <v>40458</v>
      </c>
    </row>
    <row r="12623" spans="1:24">
      <c r="A12623">
        <f>HYPERLINK("https://www.philgeps.gov.ph/GEPSNONPILOT/Tender/SplashBidNoticeAbstractUI.aspx?menuIndex=3&amp;refID=7015789&amp;Result=3","7015789")</f>
        <v>0</v>
      </c>
      <c r="B12623" t="s">
        <v>3006</v>
      </c>
      <c r="C12623" t="s">
        <v>15177</v>
      </c>
      <c r="D12623" t="s">
        <v>16223</v>
      </c>
      <c r="E12623" t="s">
        <v>27237</v>
      </c>
      <c r="F12623" t="s">
        <v>28198</v>
      </c>
      <c r="G12623" t="s">
        <v>28205</v>
      </c>
      <c r="H12623" t="s">
        <v>28215</v>
      </c>
      <c r="I12623" t="s">
        <v>28222</v>
      </c>
      <c r="J12623" t="s">
        <v>28379</v>
      </c>
      <c r="K12623" t="s">
        <v>36701</v>
      </c>
      <c r="L12623" t="s">
        <v>3006</v>
      </c>
      <c r="M12623" t="s">
        <v>40303</v>
      </c>
      <c r="N12623" t="s">
        <v>40436</v>
      </c>
      <c r="O12623" t="s">
        <v>40437</v>
      </c>
      <c r="Q12623">
        <v>3</v>
      </c>
      <c r="R12623" t="s">
        <v>40457</v>
      </c>
      <c r="S12623" t="s">
        <v>41420</v>
      </c>
      <c r="T12623" t="s">
        <v>42177</v>
      </c>
      <c r="U12623" t="s">
        <v>52966</v>
      </c>
      <c r="V12623" t="s">
        <v>52256</v>
      </c>
      <c r="W12623" t="s">
        <v>40303</v>
      </c>
      <c r="X12623" t="s">
        <v>40458</v>
      </c>
    </row>
    <row r="12624" spans="1:24">
      <c r="A12624">
        <f>HYPERLINK("https://www.philgeps.gov.ph/GEPSNONPILOT/Tender/SplashBidNoticeAbstractUI.aspx?menuIndex=3&amp;refID=7015334&amp;Result=3","7015334")</f>
        <v>0</v>
      </c>
      <c r="B12624" t="s">
        <v>2171</v>
      </c>
      <c r="C12624" t="s">
        <v>15178</v>
      </c>
      <c r="D12624" t="s">
        <v>16199</v>
      </c>
      <c r="E12624" t="s">
        <v>27238</v>
      </c>
      <c r="F12624" t="s">
        <v>28198</v>
      </c>
      <c r="G12624" t="s">
        <v>28205</v>
      </c>
      <c r="H12624" t="s">
        <v>28214</v>
      </c>
      <c r="I12624" t="s">
        <v>3797</v>
      </c>
      <c r="J12624" t="s">
        <v>36097</v>
      </c>
      <c r="K12624" t="s">
        <v>36701</v>
      </c>
      <c r="M12624" t="s">
        <v>39331</v>
      </c>
      <c r="N12624" t="s">
        <v>40436</v>
      </c>
      <c r="O12624" t="s">
        <v>40437</v>
      </c>
      <c r="P12624">
        <v>0</v>
      </c>
      <c r="Q12624">
        <v>2</v>
      </c>
      <c r="R12624" t="s">
        <v>40457</v>
      </c>
      <c r="S12624" t="s">
        <v>41386</v>
      </c>
      <c r="T12624" t="s">
        <v>42190</v>
      </c>
      <c r="U12624" t="s">
        <v>52967</v>
      </c>
      <c r="W12624" t="s">
        <v>39331</v>
      </c>
      <c r="X12624" t="s">
        <v>40458</v>
      </c>
    </row>
    <row r="12625" spans="1:24">
      <c r="A12625">
        <f>HYPERLINK("https://www.philgeps.gov.ph/GEPSNONPILOT/Tender/SplashBidNoticeAbstractUI.aspx?menuIndex=3&amp;refID=7015314&amp;Result=3","7015314")</f>
        <v>0</v>
      </c>
      <c r="B12625" t="s">
        <v>97</v>
      </c>
      <c r="C12625" t="s">
        <v>15179</v>
      </c>
      <c r="D12625" t="s">
        <v>16226</v>
      </c>
      <c r="E12625" t="s">
        <v>27239</v>
      </c>
      <c r="F12625" t="s">
        <v>28198</v>
      </c>
      <c r="G12625" t="s">
        <v>28205</v>
      </c>
      <c r="H12625" t="s">
        <v>28214</v>
      </c>
      <c r="I12625" t="s">
        <v>3797</v>
      </c>
      <c r="J12625" t="s">
        <v>36098</v>
      </c>
      <c r="K12625" t="s">
        <v>36689</v>
      </c>
      <c r="M12625" t="s">
        <v>38839</v>
      </c>
      <c r="N12625" t="s">
        <v>40436</v>
      </c>
      <c r="O12625" t="s">
        <v>40437</v>
      </c>
      <c r="P12625">
        <v>0</v>
      </c>
      <c r="Q12625">
        <v>8</v>
      </c>
      <c r="R12625" t="s">
        <v>40457</v>
      </c>
      <c r="S12625" t="s">
        <v>41386</v>
      </c>
      <c r="T12625" t="s">
        <v>42277</v>
      </c>
      <c r="U12625" t="s">
        <v>52968</v>
      </c>
      <c r="W12625" t="s">
        <v>38839</v>
      </c>
      <c r="X12625" t="s">
        <v>40458</v>
      </c>
    </row>
    <row r="12626" spans="1:24">
      <c r="A12626">
        <f>HYPERLINK("https://www.philgeps.gov.ph/GEPSNONPILOT/Tender/SplashBidNoticeAbstractUI.aspx?menuIndex=3&amp;refID=7015739&amp;Result=3","7015739")</f>
        <v>0</v>
      </c>
      <c r="B12626" t="s">
        <v>2225</v>
      </c>
      <c r="C12626" t="s">
        <v>15180</v>
      </c>
      <c r="D12626" t="s">
        <v>16187</v>
      </c>
      <c r="E12626" t="s">
        <v>27240</v>
      </c>
      <c r="F12626" t="s">
        <v>28198</v>
      </c>
      <c r="G12626" t="s">
        <v>28205</v>
      </c>
      <c r="H12626" t="s">
        <v>28214</v>
      </c>
      <c r="I12626" t="s">
        <v>3797</v>
      </c>
      <c r="J12626" t="s">
        <v>29546</v>
      </c>
      <c r="K12626" t="s">
        <v>36690</v>
      </c>
      <c r="L12626" t="s">
        <v>2225</v>
      </c>
      <c r="M12626" t="s">
        <v>39392</v>
      </c>
      <c r="N12626" t="s">
        <v>40436</v>
      </c>
      <c r="O12626" t="s">
        <v>40437</v>
      </c>
      <c r="P12626">
        <v>0</v>
      </c>
      <c r="Q12626">
        <v>13</v>
      </c>
      <c r="R12626" t="s">
        <v>40457</v>
      </c>
      <c r="S12626" t="s">
        <v>41386</v>
      </c>
      <c r="T12626" t="s">
        <v>42431</v>
      </c>
      <c r="U12626" t="s">
        <v>52969</v>
      </c>
      <c r="W12626" t="s">
        <v>39392</v>
      </c>
      <c r="X12626" t="s">
        <v>40458</v>
      </c>
    </row>
    <row r="12627" spans="1:24">
      <c r="A12627">
        <f>HYPERLINK("https://www.philgeps.gov.ph/GEPSNONPILOT/Tender/SplashBidNoticeAbstractUI.aspx?menuIndex=3&amp;refID=7015736&amp;Result=3","7015736")</f>
        <v>0</v>
      </c>
      <c r="B12627" t="s">
        <v>2171</v>
      </c>
      <c r="C12627" t="s">
        <v>15181</v>
      </c>
      <c r="D12627" t="s">
        <v>16199</v>
      </c>
      <c r="E12627" t="s">
        <v>27241</v>
      </c>
      <c r="F12627" t="s">
        <v>28198</v>
      </c>
      <c r="G12627" t="s">
        <v>28205</v>
      </c>
      <c r="H12627" t="s">
        <v>28214</v>
      </c>
      <c r="I12627" t="s">
        <v>3797</v>
      </c>
      <c r="J12627" t="s">
        <v>28363</v>
      </c>
      <c r="K12627" t="s">
        <v>36724</v>
      </c>
      <c r="M12627" t="s">
        <v>40098</v>
      </c>
      <c r="N12627" t="s">
        <v>40436</v>
      </c>
      <c r="O12627" t="s">
        <v>40437</v>
      </c>
      <c r="P12627">
        <v>0</v>
      </c>
      <c r="Q12627">
        <v>0</v>
      </c>
      <c r="R12627" t="s">
        <v>40457</v>
      </c>
      <c r="S12627" t="s">
        <v>41386</v>
      </c>
      <c r="T12627" t="s">
        <v>42431</v>
      </c>
      <c r="U12627" t="s">
        <v>52970</v>
      </c>
      <c r="W12627" t="s">
        <v>40098</v>
      </c>
      <c r="X12627" t="s">
        <v>40458</v>
      </c>
    </row>
    <row r="12628" spans="1:24">
      <c r="A12628">
        <f>HYPERLINK("https://www.philgeps.gov.ph/GEPSNONPILOT/Tender/SplashBidNoticeAbstractUI.aspx?menuIndex=3&amp;refID=7015735&amp;Result=3","7015735")</f>
        <v>0</v>
      </c>
      <c r="B12628" t="s">
        <v>2467</v>
      </c>
      <c r="C12628" t="s">
        <v>15182</v>
      </c>
      <c r="D12628" t="s">
        <v>16248</v>
      </c>
      <c r="E12628" t="s">
        <v>27242</v>
      </c>
      <c r="F12628" t="s">
        <v>28198</v>
      </c>
      <c r="G12628" t="s">
        <v>28205</v>
      </c>
      <c r="H12628" t="s">
        <v>28214</v>
      </c>
      <c r="I12628" t="s">
        <v>3797</v>
      </c>
      <c r="J12628" t="s">
        <v>36099</v>
      </c>
      <c r="K12628" t="s">
        <v>36969</v>
      </c>
      <c r="M12628" t="s">
        <v>40273</v>
      </c>
      <c r="N12628" t="s">
        <v>40436</v>
      </c>
      <c r="O12628" t="s">
        <v>40437</v>
      </c>
      <c r="P12628">
        <v>0</v>
      </c>
      <c r="Q12628">
        <v>1</v>
      </c>
      <c r="R12628" t="s">
        <v>40457</v>
      </c>
      <c r="S12628" t="s">
        <v>41386</v>
      </c>
      <c r="T12628" t="s">
        <v>42102</v>
      </c>
      <c r="U12628" t="s">
        <v>52754</v>
      </c>
      <c r="W12628" t="s">
        <v>40273</v>
      </c>
      <c r="X12628" t="s">
        <v>40458</v>
      </c>
    </row>
    <row r="12629" spans="1:24">
      <c r="A12629">
        <f>HYPERLINK("https://www.philgeps.gov.ph/GEPSNONPILOT/Tender/SplashBidNoticeAbstractUI.aspx?menuIndex=3&amp;refID=7015728&amp;Result=3","7015728")</f>
        <v>0</v>
      </c>
      <c r="B12629" t="s">
        <v>2225</v>
      </c>
      <c r="C12629" t="s">
        <v>15183</v>
      </c>
      <c r="D12629" t="s">
        <v>16187</v>
      </c>
      <c r="E12629" t="s">
        <v>27243</v>
      </c>
      <c r="F12629" t="s">
        <v>28198</v>
      </c>
      <c r="G12629" t="s">
        <v>28205</v>
      </c>
      <c r="H12629" t="s">
        <v>28214</v>
      </c>
      <c r="I12629" t="s">
        <v>3797</v>
      </c>
      <c r="J12629" t="s">
        <v>36100</v>
      </c>
      <c r="K12629" t="s">
        <v>36690</v>
      </c>
      <c r="L12629" t="s">
        <v>2225</v>
      </c>
      <c r="M12629" t="s">
        <v>39392</v>
      </c>
      <c r="N12629" t="s">
        <v>40436</v>
      </c>
      <c r="O12629" t="s">
        <v>40437</v>
      </c>
      <c r="Q12629">
        <v>15</v>
      </c>
      <c r="R12629" t="s">
        <v>40457</v>
      </c>
      <c r="S12629" t="s">
        <v>41421</v>
      </c>
      <c r="T12629" t="s">
        <v>42431</v>
      </c>
      <c r="U12629" t="s">
        <v>52969</v>
      </c>
      <c r="W12629" t="s">
        <v>39392</v>
      </c>
      <c r="X12629" t="s">
        <v>40458</v>
      </c>
    </row>
    <row r="12630" spans="1:24">
      <c r="A12630">
        <f>HYPERLINK("https://www.philgeps.gov.ph/GEPSNONPILOT/Tender/SplashBidNoticeAbstractUI.aspx?menuIndex=3&amp;refID=7015695&amp;Result=3","7015695")</f>
        <v>0</v>
      </c>
      <c r="B12630" t="s">
        <v>3007</v>
      </c>
      <c r="C12630" t="s">
        <v>15184</v>
      </c>
      <c r="D12630" t="s">
        <v>16251</v>
      </c>
      <c r="E12630" t="s">
        <v>27244</v>
      </c>
      <c r="F12630" t="s">
        <v>28198</v>
      </c>
      <c r="G12630" t="s">
        <v>28205</v>
      </c>
      <c r="H12630" t="s">
        <v>28214</v>
      </c>
      <c r="I12630" t="s">
        <v>3797</v>
      </c>
      <c r="J12630" t="s">
        <v>36101</v>
      </c>
      <c r="K12630" t="s">
        <v>36697</v>
      </c>
      <c r="M12630" t="s">
        <v>40304</v>
      </c>
      <c r="N12630" t="s">
        <v>40436</v>
      </c>
      <c r="O12630" t="s">
        <v>40437</v>
      </c>
      <c r="P12630">
        <v>0</v>
      </c>
      <c r="Q12630">
        <v>1</v>
      </c>
      <c r="R12630" t="s">
        <v>40457</v>
      </c>
      <c r="S12630" t="s">
        <v>41386</v>
      </c>
      <c r="T12630" t="s">
        <v>42233</v>
      </c>
      <c r="U12630" t="s">
        <v>52971</v>
      </c>
      <c r="W12630" t="s">
        <v>40304</v>
      </c>
      <c r="X12630" t="s">
        <v>40458</v>
      </c>
    </row>
    <row r="12631" spans="1:24">
      <c r="A12631">
        <f>HYPERLINK("https://www.philgeps.gov.ph/GEPSNONPILOT/Tender/SplashBidNoticeAbstractUI.aspx?menuIndex=3&amp;refID=7015791&amp;Result=3","7015791")</f>
        <v>0</v>
      </c>
      <c r="B12631" t="s">
        <v>2671</v>
      </c>
      <c r="C12631" t="s">
        <v>15185</v>
      </c>
      <c r="D12631" t="s">
        <v>16244</v>
      </c>
      <c r="E12631" t="s">
        <v>17337</v>
      </c>
      <c r="F12631" t="s">
        <v>28198</v>
      </c>
      <c r="G12631" t="s">
        <v>28205</v>
      </c>
      <c r="H12631" t="s">
        <v>28217</v>
      </c>
      <c r="I12631" t="s">
        <v>5791</v>
      </c>
      <c r="J12631" t="s">
        <v>29437</v>
      </c>
      <c r="K12631" t="s">
        <v>36732</v>
      </c>
      <c r="M12631" t="s">
        <v>39904</v>
      </c>
      <c r="N12631" t="s">
        <v>40436</v>
      </c>
      <c r="O12631" t="s">
        <v>40437</v>
      </c>
      <c r="P12631">
        <v>0</v>
      </c>
      <c r="Q12631">
        <v>0</v>
      </c>
      <c r="R12631" t="s">
        <v>40457</v>
      </c>
      <c r="S12631" t="s">
        <v>41386</v>
      </c>
      <c r="T12631" t="s">
        <v>42277</v>
      </c>
      <c r="U12631" t="s">
        <v>52972</v>
      </c>
      <c r="W12631" t="s">
        <v>39904</v>
      </c>
      <c r="X12631" t="s">
        <v>40458</v>
      </c>
    </row>
    <row r="12632" spans="1:24">
      <c r="A12632">
        <f>HYPERLINK("https://www.philgeps.gov.ph/GEPSNONPILOT/Tender/SplashBidNoticeAbstractUI.aspx?menuIndex=3&amp;refID=7015689&amp;Result=3","7015689")</f>
        <v>0</v>
      </c>
      <c r="B12632" t="s">
        <v>3008</v>
      </c>
      <c r="C12632" t="s">
        <v>15186</v>
      </c>
      <c r="D12632" t="s">
        <v>16193</v>
      </c>
      <c r="E12632" t="s">
        <v>17572</v>
      </c>
      <c r="F12632" t="s">
        <v>28198</v>
      </c>
      <c r="G12632" t="s">
        <v>28205</v>
      </c>
      <c r="H12632" t="s">
        <v>28214</v>
      </c>
      <c r="I12632" t="s">
        <v>3797</v>
      </c>
      <c r="J12632" t="s">
        <v>36102</v>
      </c>
      <c r="K12632" t="s">
        <v>36697</v>
      </c>
      <c r="M12632" t="s">
        <v>40305</v>
      </c>
      <c r="N12632" t="s">
        <v>40436</v>
      </c>
      <c r="O12632" t="s">
        <v>40437</v>
      </c>
      <c r="P12632">
        <v>0</v>
      </c>
      <c r="Q12632">
        <v>2</v>
      </c>
      <c r="R12632" t="s">
        <v>40457</v>
      </c>
      <c r="S12632" t="s">
        <v>41386</v>
      </c>
      <c r="T12632" t="s">
        <v>42128</v>
      </c>
      <c r="U12632" t="s">
        <v>52973</v>
      </c>
      <c r="W12632" t="s">
        <v>40305</v>
      </c>
      <c r="X12632" t="s">
        <v>40458</v>
      </c>
    </row>
    <row r="12633" spans="1:24">
      <c r="A12633">
        <f>HYPERLINK("https://www.philgeps.gov.ph/GEPSNONPILOT/Tender/SplashBidNoticeAbstractUI.aspx?menuIndex=3&amp;refID=7015746&amp;Result=3","7015746")</f>
        <v>0</v>
      </c>
      <c r="B12633" t="s">
        <v>2225</v>
      </c>
      <c r="C12633" t="s">
        <v>15187</v>
      </c>
      <c r="D12633" t="s">
        <v>16187</v>
      </c>
      <c r="E12633" t="s">
        <v>27245</v>
      </c>
      <c r="F12633" t="s">
        <v>28198</v>
      </c>
      <c r="G12633" t="s">
        <v>28205</v>
      </c>
      <c r="H12633" t="s">
        <v>28214</v>
      </c>
      <c r="I12633" t="s">
        <v>3797</v>
      </c>
      <c r="J12633" t="s">
        <v>34209</v>
      </c>
      <c r="K12633" t="s">
        <v>36692</v>
      </c>
      <c r="L12633" t="s">
        <v>2225</v>
      </c>
      <c r="M12633" t="s">
        <v>39392</v>
      </c>
      <c r="N12633" t="s">
        <v>40436</v>
      </c>
      <c r="O12633" t="s">
        <v>40437</v>
      </c>
      <c r="P12633">
        <v>0</v>
      </c>
      <c r="Q12633">
        <v>9</v>
      </c>
      <c r="R12633" t="s">
        <v>40457</v>
      </c>
      <c r="S12633" t="s">
        <v>41386</v>
      </c>
      <c r="T12633" t="s">
        <v>42431</v>
      </c>
      <c r="U12633" t="s">
        <v>52969</v>
      </c>
      <c r="W12633" t="s">
        <v>39392</v>
      </c>
      <c r="X12633" t="s">
        <v>40458</v>
      </c>
    </row>
    <row r="12634" spans="1:24">
      <c r="A12634">
        <f>HYPERLINK("https://www.philgeps.gov.ph/GEPSNONPILOT/Tender/SplashBidNoticeAbstractUI.aspx?menuIndex=3&amp;refID=7015760&amp;Result=3","7015760")</f>
        <v>0</v>
      </c>
      <c r="B12634" t="s">
        <v>2225</v>
      </c>
      <c r="C12634" t="s">
        <v>15188</v>
      </c>
      <c r="D12634" t="s">
        <v>16187</v>
      </c>
      <c r="E12634" t="s">
        <v>27246</v>
      </c>
      <c r="F12634" t="s">
        <v>28198</v>
      </c>
      <c r="G12634" t="s">
        <v>28205</v>
      </c>
      <c r="H12634" t="s">
        <v>28214</v>
      </c>
      <c r="I12634" t="s">
        <v>3797</v>
      </c>
      <c r="J12634" t="s">
        <v>32323</v>
      </c>
      <c r="K12634" t="s">
        <v>36694</v>
      </c>
      <c r="L12634" t="s">
        <v>2225</v>
      </c>
      <c r="M12634" t="s">
        <v>39392</v>
      </c>
      <c r="N12634" t="s">
        <v>40436</v>
      </c>
      <c r="O12634" t="s">
        <v>40437</v>
      </c>
      <c r="P12634">
        <v>0</v>
      </c>
      <c r="Q12634">
        <v>2</v>
      </c>
      <c r="R12634" t="s">
        <v>40457</v>
      </c>
      <c r="S12634" t="s">
        <v>41386</v>
      </c>
      <c r="T12634" t="s">
        <v>42431</v>
      </c>
      <c r="U12634" t="s">
        <v>52969</v>
      </c>
      <c r="W12634" t="s">
        <v>39392</v>
      </c>
      <c r="X12634" t="s">
        <v>40458</v>
      </c>
    </row>
    <row r="12635" spans="1:24">
      <c r="A12635">
        <f>HYPERLINK("https://www.philgeps.gov.ph/GEPSNONPILOT/Tender/SplashBidNoticeAbstractUI.aspx?menuIndex=3&amp;refID=7015705&amp;Result=3","7015705")</f>
        <v>0</v>
      </c>
      <c r="B12635" t="s">
        <v>1993</v>
      </c>
      <c r="C12635" t="s">
        <v>15189</v>
      </c>
      <c r="D12635" t="s">
        <v>16244</v>
      </c>
      <c r="E12635" t="s">
        <v>27247</v>
      </c>
      <c r="F12635" t="s">
        <v>28198</v>
      </c>
      <c r="G12635" t="s">
        <v>28205</v>
      </c>
      <c r="H12635" t="s">
        <v>28215</v>
      </c>
      <c r="I12635" t="s">
        <v>28236</v>
      </c>
      <c r="J12635" t="s">
        <v>29565</v>
      </c>
      <c r="K12635" t="s">
        <v>36715</v>
      </c>
      <c r="M12635" t="s">
        <v>39131</v>
      </c>
      <c r="N12635" t="s">
        <v>40436</v>
      </c>
      <c r="O12635" t="s">
        <v>40437</v>
      </c>
      <c r="P12635">
        <v>0</v>
      </c>
      <c r="Q12635">
        <v>12</v>
      </c>
      <c r="R12635" t="s">
        <v>40457</v>
      </c>
      <c r="S12635" t="s">
        <v>41386</v>
      </c>
      <c r="T12635" t="s">
        <v>42176</v>
      </c>
      <c r="U12635" t="s">
        <v>52974</v>
      </c>
      <c r="W12635" t="s">
        <v>39131</v>
      </c>
      <c r="X12635" t="s">
        <v>40458</v>
      </c>
    </row>
    <row r="12636" spans="1:24">
      <c r="A12636">
        <f>HYPERLINK("https://www.philgeps.gov.ph/GEPSNONPILOT/Tender/SplashBidNoticeAbstractUI.aspx?menuIndex=3&amp;refID=7015653&amp;Result=3","7015653")</f>
        <v>0</v>
      </c>
      <c r="B12636" t="s">
        <v>1993</v>
      </c>
      <c r="C12636" t="s">
        <v>15190</v>
      </c>
      <c r="D12636" t="s">
        <v>16244</v>
      </c>
      <c r="E12636" t="s">
        <v>27248</v>
      </c>
      <c r="F12636" t="s">
        <v>28198</v>
      </c>
      <c r="G12636" t="s">
        <v>28205</v>
      </c>
      <c r="H12636" t="s">
        <v>28215</v>
      </c>
      <c r="I12636" t="s">
        <v>28222</v>
      </c>
      <c r="J12636" t="s">
        <v>36103</v>
      </c>
      <c r="K12636" t="s">
        <v>36715</v>
      </c>
      <c r="M12636" t="s">
        <v>39131</v>
      </c>
      <c r="N12636" t="s">
        <v>40436</v>
      </c>
      <c r="O12636" t="s">
        <v>40437</v>
      </c>
      <c r="P12636">
        <v>0</v>
      </c>
      <c r="Q12636">
        <v>4</v>
      </c>
      <c r="R12636" t="s">
        <v>40457</v>
      </c>
      <c r="S12636" t="s">
        <v>41386</v>
      </c>
      <c r="T12636" t="s">
        <v>42134</v>
      </c>
      <c r="U12636" t="s">
        <v>52975</v>
      </c>
      <c r="W12636" t="s">
        <v>39131</v>
      </c>
      <c r="X12636" t="s">
        <v>40458</v>
      </c>
    </row>
    <row r="12637" spans="1:24">
      <c r="A12637">
        <f>HYPERLINK("https://www.philgeps.gov.ph/GEPSNONPILOT/Tender/SplashBidNoticeAbstractUI.aspx?menuIndex=3&amp;refID=7015639&amp;Result=3","7015639")</f>
        <v>0</v>
      </c>
      <c r="B12637" t="s">
        <v>2171</v>
      </c>
      <c r="C12637" t="s">
        <v>15191</v>
      </c>
      <c r="D12637" t="s">
        <v>16199</v>
      </c>
      <c r="E12637" t="s">
        <v>27249</v>
      </c>
      <c r="F12637" t="s">
        <v>28198</v>
      </c>
      <c r="G12637" t="s">
        <v>28205</v>
      </c>
      <c r="H12637" t="s">
        <v>28214</v>
      </c>
      <c r="I12637" t="s">
        <v>3797</v>
      </c>
      <c r="J12637" t="s">
        <v>36104</v>
      </c>
      <c r="K12637" t="s">
        <v>36694</v>
      </c>
      <c r="M12637" t="s">
        <v>40098</v>
      </c>
      <c r="N12637" t="s">
        <v>40436</v>
      </c>
      <c r="O12637" t="s">
        <v>40437</v>
      </c>
      <c r="P12637">
        <v>0</v>
      </c>
      <c r="Q12637">
        <v>2</v>
      </c>
      <c r="R12637" t="s">
        <v>40457</v>
      </c>
      <c r="S12637" t="s">
        <v>41386</v>
      </c>
      <c r="T12637" t="s">
        <v>42375</v>
      </c>
      <c r="U12637" t="s">
        <v>52976</v>
      </c>
      <c r="W12637" t="s">
        <v>40098</v>
      </c>
      <c r="X12637" t="s">
        <v>40458</v>
      </c>
    </row>
    <row r="12638" spans="1:24">
      <c r="A12638">
        <f>HYPERLINK("https://www.philgeps.gov.ph/GEPSNONPILOT/Tender/SplashBidNoticeAbstractUI.aspx?menuIndex=3&amp;refID=7015620&amp;Result=3","7015620")</f>
        <v>0</v>
      </c>
      <c r="B12638" t="s">
        <v>2171</v>
      </c>
      <c r="C12638" t="s">
        <v>15192</v>
      </c>
      <c r="D12638" t="s">
        <v>16199</v>
      </c>
      <c r="E12638" t="s">
        <v>27250</v>
      </c>
      <c r="F12638" t="s">
        <v>28198</v>
      </c>
      <c r="G12638" t="s">
        <v>28205</v>
      </c>
      <c r="H12638" t="s">
        <v>28214</v>
      </c>
      <c r="I12638" t="s">
        <v>28216</v>
      </c>
      <c r="J12638" t="s">
        <v>28398</v>
      </c>
      <c r="K12638" t="s">
        <v>36694</v>
      </c>
      <c r="M12638" t="s">
        <v>39331</v>
      </c>
      <c r="N12638" t="s">
        <v>40436</v>
      </c>
      <c r="O12638" t="s">
        <v>40437</v>
      </c>
      <c r="P12638">
        <v>0</v>
      </c>
      <c r="Q12638">
        <v>2</v>
      </c>
      <c r="R12638" t="s">
        <v>40457</v>
      </c>
      <c r="S12638" t="s">
        <v>41386</v>
      </c>
      <c r="T12638" t="s">
        <v>42431</v>
      </c>
      <c r="U12638" t="s">
        <v>46531</v>
      </c>
      <c r="W12638" t="s">
        <v>39331</v>
      </c>
      <c r="X12638" t="s">
        <v>40458</v>
      </c>
    </row>
    <row r="12639" spans="1:24">
      <c r="A12639">
        <f>HYPERLINK("https://www.philgeps.gov.ph/GEPSNONPILOT/Tender/SplashBidNoticeAbstractUI.aspx?menuIndex=3&amp;refID=7015640&amp;Result=3","7015640")</f>
        <v>0</v>
      </c>
      <c r="B12639" t="s">
        <v>2171</v>
      </c>
      <c r="C12639" t="s">
        <v>15193</v>
      </c>
      <c r="D12639" t="s">
        <v>16199</v>
      </c>
      <c r="E12639" t="s">
        <v>27251</v>
      </c>
      <c r="F12639" t="s">
        <v>28198</v>
      </c>
      <c r="G12639" t="s">
        <v>28205</v>
      </c>
      <c r="H12639" t="s">
        <v>28214</v>
      </c>
      <c r="I12639" t="s">
        <v>3797</v>
      </c>
      <c r="J12639" t="s">
        <v>29552</v>
      </c>
      <c r="K12639" t="s">
        <v>36737</v>
      </c>
      <c r="M12639" t="s">
        <v>39331</v>
      </c>
      <c r="N12639" t="s">
        <v>40436</v>
      </c>
      <c r="O12639" t="s">
        <v>40437</v>
      </c>
      <c r="P12639">
        <v>0</v>
      </c>
      <c r="Q12639">
        <v>0</v>
      </c>
      <c r="R12639" t="s">
        <v>40457</v>
      </c>
      <c r="S12639" t="s">
        <v>41386</v>
      </c>
      <c r="T12639" t="s">
        <v>42431</v>
      </c>
      <c r="U12639" t="s">
        <v>52977</v>
      </c>
      <c r="W12639" t="s">
        <v>39331</v>
      </c>
      <c r="X12639" t="s">
        <v>40458</v>
      </c>
    </row>
    <row r="12640" spans="1:24">
      <c r="A12640">
        <f>HYPERLINK("https://www.philgeps.gov.ph/GEPSNONPILOT/Tender/SplashBidNoticeAbstractUI.aspx?menuIndex=3&amp;refID=7015712&amp;Result=3","7015712")</f>
        <v>0</v>
      </c>
      <c r="B12640" t="s">
        <v>2171</v>
      </c>
      <c r="C12640" t="s">
        <v>15194</v>
      </c>
      <c r="D12640" t="s">
        <v>16199</v>
      </c>
      <c r="E12640" t="s">
        <v>27252</v>
      </c>
      <c r="F12640" t="s">
        <v>28198</v>
      </c>
      <c r="G12640" t="s">
        <v>28205</v>
      </c>
      <c r="H12640" t="s">
        <v>28214</v>
      </c>
      <c r="I12640" t="s">
        <v>3797</v>
      </c>
      <c r="J12640" t="s">
        <v>28363</v>
      </c>
      <c r="K12640" t="s">
        <v>36724</v>
      </c>
      <c r="M12640" t="s">
        <v>40098</v>
      </c>
      <c r="N12640" t="s">
        <v>40436</v>
      </c>
      <c r="O12640" t="s">
        <v>40437</v>
      </c>
      <c r="P12640">
        <v>0</v>
      </c>
      <c r="Q12640">
        <v>1</v>
      </c>
      <c r="R12640" t="s">
        <v>40457</v>
      </c>
      <c r="S12640" t="s">
        <v>41386</v>
      </c>
      <c r="T12640" t="s">
        <v>42431</v>
      </c>
      <c r="U12640" t="s">
        <v>52978</v>
      </c>
      <c r="W12640" t="s">
        <v>40098</v>
      </c>
      <c r="X12640" t="s">
        <v>40458</v>
      </c>
    </row>
    <row r="12641" spans="1:24">
      <c r="A12641">
        <f>HYPERLINK("https://www.philgeps.gov.ph/GEPSNONPILOT/Tender/SplashBidNoticeAbstractUI.aspx?menuIndex=3&amp;refID=7015770&amp;Result=3","7015770")</f>
        <v>0</v>
      </c>
      <c r="B12641" t="s">
        <v>2225</v>
      </c>
      <c r="C12641" t="s">
        <v>15195</v>
      </c>
      <c r="D12641" t="s">
        <v>16187</v>
      </c>
      <c r="E12641" t="s">
        <v>27253</v>
      </c>
      <c r="F12641" t="s">
        <v>28198</v>
      </c>
      <c r="G12641" t="s">
        <v>28205</v>
      </c>
      <c r="H12641" t="s">
        <v>28214</v>
      </c>
      <c r="I12641" t="s">
        <v>3797</v>
      </c>
      <c r="J12641" t="s">
        <v>32323</v>
      </c>
      <c r="K12641" t="s">
        <v>36697</v>
      </c>
      <c r="L12641" t="s">
        <v>2225</v>
      </c>
      <c r="M12641" t="s">
        <v>39392</v>
      </c>
      <c r="N12641" t="s">
        <v>40436</v>
      </c>
      <c r="O12641" t="s">
        <v>40437</v>
      </c>
      <c r="P12641">
        <v>0</v>
      </c>
      <c r="Q12641">
        <v>3</v>
      </c>
      <c r="R12641" t="s">
        <v>40457</v>
      </c>
      <c r="S12641" t="s">
        <v>41386</v>
      </c>
      <c r="T12641" t="s">
        <v>42431</v>
      </c>
      <c r="U12641" t="s">
        <v>52969</v>
      </c>
      <c r="W12641" t="s">
        <v>39392</v>
      </c>
      <c r="X12641" t="s">
        <v>40458</v>
      </c>
    </row>
    <row r="12642" spans="1:24">
      <c r="A12642">
        <f>HYPERLINK("https://www.philgeps.gov.ph/GEPSNONPILOT/Tender/SplashBidNoticeAbstractUI.aspx?menuIndex=3&amp;refID=7015984&amp;Result=3","7015984")</f>
        <v>0</v>
      </c>
      <c r="B12642" t="s">
        <v>3009</v>
      </c>
      <c r="C12642" t="s">
        <v>15196</v>
      </c>
      <c r="D12642" t="s">
        <v>16267</v>
      </c>
      <c r="E12642" t="s">
        <v>17298</v>
      </c>
      <c r="F12642" t="s">
        <v>28198</v>
      </c>
      <c r="G12642" t="s">
        <v>28205</v>
      </c>
      <c r="H12642" t="s">
        <v>28215</v>
      </c>
      <c r="I12642" t="s">
        <v>5100</v>
      </c>
      <c r="J12642" t="s">
        <v>36105</v>
      </c>
      <c r="K12642" t="s">
        <v>36707</v>
      </c>
      <c r="M12642" t="s">
        <v>40306</v>
      </c>
      <c r="N12642" t="s">
        <v>40436</v>
      </c>
      <c r="O12642" t="s">
        <v>40437</v>
      </c>
      <c r="Q12642">
        <v>1</v>
      </c>
      <c r="R12642" t="s">
        <v>40457</v>
      </c>
      <c r="S12642" t="s">
        <v>41422</v>
      </c>
      <c r="T12642" t="s">
        <v>42591</v>
      </c>
      <c r="U12642" t="s">
        <v>52979</v>
      </c>
      <c r="W12642" t="s">
        <v>40306</v>
      </c>
      <c r="X12642" t="s">
        <v>40458</v>
      </c>
    </row>
    <row r="12643" spans="1:24">
      <c r="A12643">
        <f>HYPERLINK("https://www.philgeps.gov.ph/GEPSNONPILOT/Tender/SplashBidNoticeAbstractUI.aspx?menuIndex=3&amp;refID=7015777&amp;Result=3","7015777")</f>
        <v>0</v>
      </c>
      <c r="B12643" t="s">
        <v>2225</v>
      </c>
      <c r="C12643" t="s">
        <v>15197</v>
      </c>
      <c r="D12643" t="s">
        <v>16187</v>
      </c>
      <c r="E12643" t="s">
        <v>27254</v>
      </c>
      <c r="F12643" t="s">
        <v>28198</v>
      </c>
      <c r="G12643" t="s">
        <v>28205</v>
      </c>
      <c r="H12643" t="s">
        <v>28214</v>
      </c>
      <c r="I12643" t="s">
        <v>3797</v>
      </c>
      <c r="J12643" t="s">
        <v>32342</v>
      </c>
      <c r="K12643" t="s">
        <v>36697</v>
      </c>
      <c r="L12643" t="s">
        <v>2225</v>
      </c>
      <c r="M12643" t="s">
        <v>39392</v>
      </c>
      <c r="N12643" t="s">
        <v>40436</v>
      </c>
      <c r="O12643" t="s">
        <v>40437</v>
      </c>
      <c r="P12643">
        <v>0</v>
      </c>
      <c r="Q12643">
        <v>3</v>
      </c>
      <c r="R12643" t="s">
        <v>40457</v>
      </c>
      <c r="S12643" t="s">
        <v>41386</v>
      </c>
      <c r="T12643" t="s">
        <v>42431</v>
      </c>
      <c r="U12643" t="s">
        <v>52969</v>
      </c>
      <c r="W12643" t="s">
        <v>39392</v>
      </c>
      <c r="X12643" t="s">
        <v>40458</v>
      </c>
    </row>
    <row r="12644" spans="1:24">
      <c r="A12644">
        <f>HYPERLINK("https://www.philgeps.gov.ph/GEPSNONPILOT/Tender/SplashBidNoticeAbstractUI.aspx?menuIndex=3&amp;refID=7015944&amp;Result=3","7015944")</f>
        <v>0</v>
      </c>
      <c r="B12644" t="s">
        <v>1426</v>
      </c>
      <c r="C12644" t="s">
        <v>15198</v>
      </c>
      <c r="D12644" t="s">
        <v>16216</v>
      </c>
      <c r="E12644" t="s">
        <v>27255</v>
      </c>
      <c r="F12644" t="s">
        <v>28198</v>
      </c>
      <c r="G12644" t="s">
        <v>28205</v>
      </c>
      <c r="H12644" t="s">
        <v>28215</v>
      </c>
      <c r="I12644" t="s">
        <v>5082</v>
      </c>
      <c r="J12644" t="s">
        <v>36106</v>
      </c>
      <c r="K12644" t="s">
        <v>36707</v>
      </c>
      <c r="M12644" t="s">
        <v>38492</v>
      </c>
      <c r="N12644" t="s">
        <v>40436</v>
      </c>
      <c r="O12644" t="s">
        <v>40437</v>
      </c>
      <c r="P12644">
        <v>0</v>
      </c>
      <c r="Q12644">
        <v>3</v>
      </c>
      <c r="R12644" t="s">
        <v>40457</v>
      </c>
      <c r="S12644" t="s">
        <v>41386</v>
      </c>
      <c r="T12644" t="s">
        <v>42200</v>
      </c>
      <c r="U12644" t="s">
        <v>52980</v>
      </c>
      <c r="V12644" t="s">
        <v>54617</v>
      </c>
      <c r="W12644" t="s">
        <v>38492</v>
      </c>
      <c r="X12644" t="s">
        <v>40458</v>
      </c>
    </row>
    <row r="12645" spans="1:24">
      <c r="A12645">
        <f>HYPERLINK("https://www.philgeps.gov.ph/GEPSNONPILOT/Tender/SplashBidNoticeAbstractUI.aspx?menuIndex=3&amp;refID=7015871&amp;Result=3","7015871")</f>
        <v>0</v>
      </c>
      <c r="B12645" t="s">
        <v>2171</v>
      </c>
      <c r="C12645" t="s">
        <v>15199</v>
      </c>
      <c r="D12645" t="s">
        <v>16199</v>
      </c>
      <c r="E12645" t="s">
        <v>27256</v>
      </c>
      <c r="F12645" t="s">
        <v>28198</v>
      </c>
      <c r="G12645" t="s">
        <v>28205</v>
      </c>
      <c r="H12645" t="s">
        <v>28214</v>
      </c>
      <c r="I12645" t="s">
        <v>3797</v>
      </c>
      <c r="J12645" t="s">
        <v>28363</v>
      </c>
      <c r="K12645" t="s">
        <v>36724</v>
      </c>
      <c r="M12645" t="s">
        <v>40098</v>
      </c>
      <c r="N12645" t="s">
        <v>40436</v>
      </c>
      <c r="O12645" t="s">
        <v>40437</v>
      </c>
      <c r="P12645">
        <v>0</v>
      </c>
      <c r="Q12645">
        <v>0</v>
      </c>
      <c r="R12645" t="s">
        <v>40457</v>
      </c>
      <c r="S12645" t="s">
        <v>41386</v>
      </c>
      <c r="T12645" t="s">
        <v>42431</v>
      </c>
      <c r="U12645" t="s">
        <v>52981</v>
      </c>
      <c r="W12645" t="s">
        <v>40098</v>
      </c>
      <c r="X12645" t="s">
        <v>40458</v>
      </c>
    </row>
    <row r="12646" spans="1:24">
      <c r="A12646">
        <f>HYPERLINK("https://www.philgeps.gov.ph/GEPSNONPILOT/Tender/SplashBidNoticeAbstractUI.aspx?menuIndex=3&amp;refID=7016025&amp;Result=3","7016025")</f>
        <v>0</v>
      </c>
      <c r="B12646" t="s">
        <v>305</v>
      </c>
      <c r="C12646" t="s">
        <v>15200</v>
      </c>
      <c r="D12646" t="s">
        <v>16197</v>
      </c>
      <c r="E12646" t="s">
        <v>27257</v>
      </c>
      <c r="F12646" t="s">
        <v>28198</v>
      </c>
      <c r="G12646" t="s">
        <v>28205</v>
      </c>
      <c r="H12646" t="s">
        <v>28215</v>
      </c>
      <c r="I12646" t="s">
        <v>28222</v>
      </c>
      <c r="J12646" t="s">
        <v>28351</v>
      </c>
      <c r="K12646" t="s">
        <v>36701</v>
      </c>
      <c r="M12646" t="s">
        <v>37282</v>
      </c>
      <c r="N12646" t="s">
        <v>40436</v>
      </c>
      <c r="O12646" t="s">
        <v>40437</v>
      </c>
      <c r="Q12646">
        <v>5</v>
      </c>
      <c r="R12646" t="s">
        <v>40457</v>
      </c>
      <c r="S12646" t="s">
        <v>41423</v>
      </c>
      <c r="T12646" t="s">
        <v>42233</v>
      </c>
      <c r="U12646" t="s">
        <v>43102</v>
      </c>
      <c r="W12646" t="s">
        <v>37282</v>
      </c>
      <c r="X12646" t="s">
        <v>40458</v>
      </c>
    </row>
    <row r="12647" spans="1:24">
      <c r="A12647">
        <f>HYPERLINK("https://www.philgeps.gov.ph/GEPSNONPILOT/Tender/SplashBidNoticeAbstractUI.aspx?menuIndex=3&amp;refID=7015990&amp;Result=3","7015990")</f>
        <v>0</v>
      </c>
      <c r="B12647" t="s">
        <v>637</v>
      </c>
      <c r="C12647" t="s">
        <v>15201</v>
      </c>
      <c r="D12647" t="s">
        <v>16216</v>
      </c>
      <c r="E12647" t="s">
        <v>27258</v>
      </c>
      <c r="F12647" t="s">
        <v>28198</v>
      </c>
      <c r="G12647" t="s">
        <v>28207</v>
      </c>
      <c r="H12647" t="s">
        <v>28217</v>
      </c>
      <c r="I12647" t="s">
        <v>3422</v>
      </c>
      <c r="J12647" t="s">
        <v>36107</v>
      </c>
      <c r="K12647" t="s">
        <v>36711</v>
      </c>
      <c r="M12647" t="s">
        <v>37630</v>
      </c>
      <c r="N12647" t="s">
        <v>40436</v>
      </c>
      <c r="O12647" t="s">
        <v>40437</v>
      </c>
      <c r="P12647">
        <v>0</v>
      </c>
      <c r="Q12647">
        <v>0</v>
      </c>
      <c r="R12647" t="s">
        <v>40457</v>
      </c>
      <c r="S12647" t="s">
        <v>41386</v>
      </c>
      <c r="T12647" t="s">
        <v>42306</v>
      </c>
      <c r="U12647" t="s">
        <v>52982</v>
      </c>
      <c r="W12647" t="s">
        <v>37630</v>
      </c>
      <c r="X12647" t="s">
        <v>40458</v>
      </c>
    </row>
    <row r="12648" spans="1:24">
      <c r="A12648">
        <f>HYPERLINK("https://www.philgeps.gov.ph/GEPSNONPILOT/Tender/SplashBidNoticeAbstractUI.aspx?menuIndex=3&amp;refID=7015935&amp;Result=3","7015935")</f>
        <v>0</v>
      </c>
      <c r="B12648" t="s">
        <v>3006</v>
      </c>
      <c r="C12648" t="s">
        <v>15202</v>
      </c>
      <c r="D12648" t="s">
        <v>16223</v>
      </c>
      <c r="E12648" t="s">
        <v>27259</v>
      </c>
      <c r="F12648" t="s">
        <v>28198</v>
      </c>
      <c r="G12648" t="s">
        <v>28205</v>
      </c>
      <c r="H12648" t="s">
        <v>28215</v>
      </c>
      <c r="I12648" t="s">
        <v>28222</v>
      </c>
      <c r="J12648" t="s">
        <v>28379</v>
      </c>
      <c r="K12648" t="s">
        <v>36701</v>
      </c>
      <c r="L12648" t="s">
        <v>3006</v>
      </c>
      <c r="M12648" t="s">
        <v>40303</v>
      </c>
      <c r="N12648" t="s">
        <v>40436</v>
      </c>
      <c r="O12648" t="s">
        <v>40437</v>
      </c>
      <c r="Q12648">
        <v>3</v>
      </c>
      <c r="R12648" t="s">
        <v>40457</v>
      </c>
      <c r="S12648" t="s">
        <v>41424</v>
      </c>
      <c r="T12648" t="s">
        <v>42160</v>
      </c>
      <c r="U12648" t="s">
        <v>52983</v>
      </c>
      <c r="V12648" t="s">
        <v>52256</v>
      </c>
      <c r="W12648" t="s">
        <v>40303</v>
      </c>
      <c r="X12648" t="s">
        <v>40458</v>
      </c>
    </row>
    <row r="12649" spans="1:24">
      <c r="A12649">
        <f>HYPERLINK("https://www.philgeps.gov.ph/GEPSNONPILOT/Tender/SplashBidNoticeAbstractUI.aspx?menuIndex=3&amp;refID=7015976&amp;Result=3","7015976")</f>
        <v>0</v>
      </c>
      <c r="B12649" t="s">
        <v>216</v>
      </c>
      <c r="C12649" t="s">
        <v>15203</v>
      </c>
      <c r="E12649" t="s">
        <v>27260</v>
      </c>
      <c r="F12649" t="s">
        <v>28198</v>
      </c>
      <c r="G12649" t="s">
        <v>28205</v>
      </c>
      <c r="H12649" t="s">
        <v>28215</v>
      </c>
      <c r="I12649" t="s">
        <v>28316</v>
      </c>
      <c r="J12649" t="s">
        <v>36108</v>
      </c>
      <c r="K12649" t="s">
        <v>36717</v>
      </c>
      <c r="M12649" t="s">
        <v>40307</v>
      </c>
      <c r="N12649" t="s">
        <v>40436</v>
      </c>
      <c r="O12649" t="s">
        <v>40437</v>
      </c>
      <c r="Q12649">
        <v>12</v>
      </c>
      <c r="R12649" t="s">
        <v>40457</v>
      </c>
      <c r="S12649" t="s">
        <v>41425</v>
      </c>
      <c r="T12649" t="s">
        <v>42163</v>
      </c>
      <c r="U12649" t="s">
        <v>52984</v>
      </c>
      <c r="W12649" t="s">
        <v>40307</v>
      </c>
      <c r="X12649" t="s">
        <v>40458</v>
      </c>
    </row>
    <row r="12650" spans="1:24">
      <c r="A12650">
        <f>HYPERLINK("https://www.philgeps.gov.ph/GEPSNONPILOT/Tender/SplashBidNoticeAbstractUI.aspx?menuIndex=3&amp;refID=7016010&amp;Result=3","7016010")</f>
        <v>0</v>
      </c>
      <c r="B12650" t="s">
        <v>216</v>
      </c>
      <c r="C12650" t="s">
        <v>15204</v>
      </c>
      <c r="E12650" t="s">
        <v>27261</v>
      </c>
      <c r="F12650" t="s">
        <v>28198</v>
      </c>
      <c r="G12650" t="s">
        <v>28205</v>
      </c>
      <c r="H12650" t="s">
        <v>28215</v>
      </c>
      <c r="I12650" t="s">
        <v>28316</v>
      </c>
      <c r="J12650" t="s">
        <v>36109</v>
      </c>
      <c r="K12650" t="s">
        <v>36697</v>
      </c>
      <c r="M12650" t="s">
        <v>40307</v>
      </c>
      <c r="N12650" t="s">
        <v>40436</v>
      </c>
      <c r="O12650" t="s">
        <v>40437</v>
      </c>
      <c r="Q12650">
        <v>10</v>
      </c>
      <c r="R12650" t="s">
        <v>40457</v>
      </c>
      <c r="S12650" t="s">
        <v>41426</v>
      </c>
      <c r="T12650" t="s">
        <v>42163</v>
      </c>
      <c r="U12650" t="s">
        <v>52984</v>
      </c>
      <c r="W12650" t="s">
        <v>40307</v>
      </c>
      <c r="X12650" t="s">
        <v>40458</v>
      </c>
    </row>
    <row r="12651" spans="1:24">
      <c r="A12651">
        <f>HYPERLINK("https://www.philgeps.gov.ph/GEPSNONPILOT/Tender/SplashBidNoticeAbstractUI.aspx?menuIndex=3&amp;refID=7015830&amp;Result=3","7015830")</f>
        <v>0</v>
      </c>
      <c r="B12651" t="s">
        <v>2225</v>
      </c>
      <c r="C12651" t="s">
        <v>15205</v>
      </c>
      <c r="D12651" t="s">
        <v>16187</v>
      </c>
      <c r="E12651" t="s">
        <v>27262</v>
      </c>
      <c r="F12651" t="s">
        <v>28198</v>
      </c>
      <c r="G12651" t="s">
        <v>28205</v>
      </c>
      <c r="H12651" t="s">
        <v>28214</v>
      </c>
      <c r="I12651" t="s">
        <v>3797</v>
      </c>
      <c r="J12651" t="s">
        <v>29679</v>
      </c>
      <c r="K12651" t="s">
        <v>36694</v>
      </c>
      <c r="L12651" t="s">
        <v>2225</v>
      </c>
      <c r="M12651" t="s">
        <v>39392</v>
      </c>
      <c r="N12651" t="s">
        <v>40436</v>
      </c>
      <c r="O12651" t="s">
        <v>40437</v>
      </c>
      <c r="P12651">
        <v>0</v>
      </c>
      <c r="Q12651">
        <v>2</v>
      </c>
      <c r="R12651" t="s">
        <v>40457</v>
      </c>
      <c r="S12651" t="s">
        <v>41386</v>
      </c>
      <c r="T12651" t="s">
        <v>42431</v>
      </c>
      <c r="U12651" t="s">
        <v>52969</v>
      </c>
      <c r="W12651" t="s">
        <v>39392</v>
      </c>
      <c r="X12651" t="s">
        <v>40458</v>
      </c>
    </row>
    <row r="12652" spans="1:24">
      <c r="A12652">
        <f>HYPERLINK("https://www.philgeps.gov.ph/GEPSNONPILOT/Tender/SplashBidNoticeAbstractUI.aspx?menuIndex=3&amp;refID=7015841&amp;Result=3","7015841")</f>
        <v>0</v>
      </c>
      <c r="B12652" t="s">
        <v>2225</v>
      </c>
      <c r="C12652" t="s">
        <v>15206</v>
      </c>
      <c r="D12652" t="s">
        <v>16187</v>
      </c>
      <c r="E12652" t="s">
        <v>27263</v>
      </c>
      <c r="F12652" t="s">
        <v>28198</v>
      </c>
      <c r="G12652" t="s">
        <v>28205</v>
      </c>
      <c r="H12652" t="s">
        <v>28214</v>
      </c>
      <c r="I12652" t="s">
        <v>3797</v>
      </c>
      <c r="J12652" t="s">
        <v>29566</v>
      </c>
      <c r="K12652" t="s">
        <v>36694</v>
      </c>
      <c r="L12652" t="s">
        <v>2225</v>
      </c>
      <c r="M12652" t="s">
        <v>39392</v>
      </c>
      <c r="N12652" t="s">
        <v>40436</v>
      </c>
      <c r="O12652" t="s">
        <v>40437</v>
      </c>
      <c r="P12652">
        <v>0</v>
      </c>
      <c r="Q12652">
        <v>1</v>
      </c>
      <c r="R12652" t="s">
        <v>40457</v>
      </c>
      <c r="S12652" t="s">
        <v>41386</v>
      </c>
      <c r="T12652" t="s">
        <v>42431</v>
      </c>
      <c r="U12652" t="s">
        <v>52969</v>
      </c>
      <c r="W12652" t="s">
        <v>39392</v>
      </c>
      <c r="X12652" t="s">
        <v>40458</v>
      </c>
    </row>
    <row r="12653" spans="1:24">
      <c r="A12653">
        <f>HYPERLINK("https://www.philgeps.gov.ph/GEPSNONPILOT/Tender/SplashBidNoticeAbstractUI.aspx?menuIndex=3&amp;refID=7015822&amp;Result=3","7015822")</f>
        <v>0</v>
      </c>
      <c r="B12653" t="s">
        <v>2225</v>
      </c>
      <c r="C12653" t="s">
        <v>15207</v>
      </c>
      <c r="D12653" t="s">
        <v>16187</v>
      </c>
      <c r="E12653" t="s">
        <v>27264</v>
      </c>
      <c r="F12653" t="s">
        <v>28198</v>
      </c>
      <c r="G12653" t="s">
        <v>28205</v>
      </c>
      <c r="H12653" t="s">
        <v>28214</v>
      </c>
      <c r="I12653" t="s">
        <v>3797</v>
      </c>
      <c r="J12653" t="s">
        <v>29552</v>
      </c>
      <c r="K12653" t="s">
        <v>36697</v>
      </c>
      <c r="L12653" t="s">
        <v>2225</v>
      </c>
      <c r="M12653" t="s">
        <v>39392</v>
      </c>
      <c r="N12653" t="s">
        <v>40436</v>
      </c>
      <c r="O12653" t="s">
        <v>40437</v>
      </c>
      <c r="P12653">
        <v>0</v>
      </c>
      <c r="Q12653">
        <v>1</v>
      </c>
      <c r="R12653" t="s">
        <v>40457</v>
      </c>
      <c r="S12653" t="s">
        <v>41386</v>
      </c>
      <c r="T12653" t="s">
        <v>42431</v>
      </c>
      <c r="U12653" t="s">
        <v>52969</v>
      </c>
      <c r="W12653" t="s">
        <v>39392</v>
      </c>
      <c r="X12653" t="s">
        <v>40458</v>
      </c>
    </row>
    <row r="12654" spans="1:24">
      <c r="A12654">
        <f>HYPERLINK("https://www.philgeps.gov.ph/GEPSNONPILOT/Tender/SplashBidNoticeAbstractUI.aspx?menuIndex=3&amp;refID=7016004&amp;Result=3","7016004")</f>
        <v>0</v>
      </c>
      <c r="B12654" t="s">
        <v>1225</v>
      </c>
      <c r="C12654" t="s">
        <v>15208</v>
      </c>
      <c r="D12654" t="s">
        <v>16236</v>
      </c>
      <c r="E12654" t="s">
        <v>27265</v>
      </c>
      <c r="F12654" t="s">
        <v>28198</v>
      </c>
      <c r="G12654" t="s">
        <v>28205</v>
      </c>
      <c r="H12654" t="s">
        <v>28215</v>
      </c>
      <c r="I12654" t="s">
        <v>28274</v>
      </c>
      <c r="J12654" t="s">
        <v>36110</v>
      </c>
      <c r="K12654" t="s">
        <v>36697</v>
      </c>
      <c r="M12654" t="s">
        <v>38273</v>
      </c>
      <c r="N12654" t="s">
        <v>40436</v>
      </c>
      <c r="O12654" t="s">
        <v>40437</v>
      </c>
      <c r="P12654">
        <v>0</v>
      </c>
      <c r="Q12654">
        <v>0</v>
      </c>
      <c r="R12654" t="s">
        <v>40457</v>
      </c>
      <c r="S12654" t="s">
        <v>41386</v>
      </c>
      <c r="T12654" t="s">
        <v>42129</v>
      </c>
      <c r="U12654" t="s">
        <v>52985</v>
      </c>
      <c r="V12654" t="s">
        <v>55232</v>
      </c>
      <c r="W12654" t="s">
        <v>38273</v>
      </c>
      <c r="X12654" t="s">
        <v>40458</v>
      </c>
    </row>
    <row r="12655" spans="1:24">
      <c r="A12655">
        <f>HYPERLINK("https://www.philgeps.gov.ph/GEPSNONPILOT/Tender/SplashBidNoticeAbstractUI.aspx?menuIndex=3&amp;refID=7016120&amp;Result=3","7016120")</f>
        <v>0</v>
      </c>
      <c r="B12655" t="s">
        <v>2803</v>
      </c>
      <c r="C12655" t="s">
        <v>15209</v>
      </c>
      <c r="D12655" t="s">
        <v>16221</v>
      </c>
      <c r="E12655" t="s">
        <v>27266</v>
      </c>
      <c r="F12655" t="s">
        <v>28198</v>
      </c>
      <c r="G12655" t="s">
        <v>28205</v>
      </c>
      <c r="H12655" t="s">
        <v>28214</v>
      </c>
      <c r="I12655" t="s">
        <v>3797</v>
      </c>
      <c r="J12655" t="s">
        <v>36111</v>
      </c>
      <c r="K12655" t="s">
        <v>36694</v>
      </c>
      <c r="M12655" t="s">
        <v>40053</v>
      </c>
      <c r="N12655" t="s">
        <v>40436</v>
      </c>
      <c r="O12655" t="s">
        <v>40437</v>
      </c>
      <c r="P12655">
        <v>0</v>
      </c>
      <c r="Q12655">
        <v>1</v>
      </c>
      <c r="R12655" t="s">
        <v>40457</v>
      </c>
      <c r="S12655" t="s">
        <v>41386</v>
      </c>
      <c r="T12655" t="s">
        <v>42167</v>
      </c>
      <c r="U12655" t="s">
        <v>52986</v>
      </c>
      <c r="W12655" t="s">
        <v>40053</v>
      </c>
      <c r="X12655" t="s">
        <v>40458</v>
      </c>
    </row>
    <row r="12656" spans="1:24">
      <c r="A12656">
        <f>HYPERLINK("https://www.philgeps.gov.ph/GEPSNONPILOT/Tender/SplashBidNoticeAbstractUI.aspx?menuIndex=3&amp;refID=7016003&amp;Result=3","7016003")</f>
        <v>0</v>
      </c>
      <c r="B12656" t="s">
        <v>305</v>
      </c>
      <c r="C12656" t="s">
        <v>15210</v>
      </c>
      <c r="D12656" t="s">
        <v>16197</v>
      </c>
      <c r="E12656" t="s">
        <v>27267</v>
      </c>
      <c r="F12656" t="s">
        <v>28198</v>
      </c>
      <c r="G12656" t="s">
        <v>28205</v>
      </c>
      <c r="H12656" t="s">
        <v>28215</v>
      </c>
      <c r="I12656" t="s">
        <v>28222</v>
      </c>
      <c r="J12656" t="s">
        <v>36112</v>
      </c>
      <c r="K12656" t="s">
        <v>36701</v>
      </c>
      <c r="M12656" t="s">
        <v>37282</v>
      </c>
      <c r="N12656" t="s">
        <v>40436</v>
      </c>
      <c r="O12656" t="s">
        <v>40437</v>
      </c>
      <c r="Q12656">
        <v>3</v>
      </c>
      <c r="R12656" t="s">
        <v>40457</v>
      </c>
      <c r="S12656" t="s">
        <v>41403</v>
      </c>
      <c r="T12656" t="s">
        <v>42233</v>
      </c>
      <c r="U12656" t="s">
        <v>43102</v>
      </c>
      <c r="W12656" t="s">
        <v>37282</v>
      </c>
      <c r="X12656" t="s">
        <v>40458</v>
      </c>
    </row>
    <row r="12657" spans="1:24">
      <c r="A12657">
        <f>HYPERLINK("https://www.philgeps.gov.ph/GEPSNONPILOT/Tender/SplashBidNoticeAbstractUI.aspx?menuIndex=3&amp;refID=7015846&amp;Result=3","7015846")</f>
        <v>0</v>
      </c>
      <c r="B12657" t="s">
        <v>2225</v>
      </c>
      <c r="C12657" t="s">
        <v>15211</v>
      </c>
      <c r="D12657" t="s">
        <v>16187</v>
      </c>
      <c r="E12657" t="s">
        <v>27268</v>
      </c>
      <c r="F12657" t="s">
        <v>28198</v>
      </c>
      <c r="G12657" t="s">
        <v>28205</v>
      </c>
      <c r="H12657" t="s">
        <v>28214</v>
      </c>
      <c r="I12657" t="s">
        <v>3797</v>
      </c>
      <c r="J12657" t="s">
        <v>35090</v>
      </c>
      <c r="K12657" t="s">
        <v>36694</v>
      </c>
      <c r="L12657" t="s">
        <v>2225</v>
      </c>
      <c r="M12657" t="s">
        <v>39392</v>
      </c>
      <c r="N12657" t="s">
        <v>40436</v>
      </c>
      <c r="O12657" t="s">
        <v>40437</v>
      </c>
      <c r="P12657">
        <v>0</v>
      </c>
      <c r="Q12657">
        <v>3</v>
      </c>
      <c r="R12657" t="s">
        <v>40457</v>
      </c>
      <c r="S12657" t="s">
        <v>41386</v>
      </c>
      <c r="T12657" t="s">
        <v>42431</v>
      </c>
      <c r="U12657" t="s">
        <v>52969</v>
      </c>
      <c r="W12657" t="s">
        <v>39392</v>
      </c>
      <c r="X12657" t="s">
        <v>40458</v>
      </c>
    </row>
    <row r="12658" spans="1:24">
      <c r="A12658">
        <f>HYPERLINK("https://www.philgeps.gov.ph/GEPSNONPILOT/Tender/SplashBidNoticeAbstractUI.aspx?menuIndex=3&amp;refID=7015810&amp;Result=3","7015810")</f>
        <v>0</v>
      </c>
      <c r="B12658" t="s">
        <v>216</v>
      </c>
      <c r="C12658" t="s">
        <v>15212</v>
      </c>
      <c r="E12658" t="s">
        <v>27269</v>
      </c>
      <c r="F12658" t="s">
        <v>28198</v>
      </c>
      <c r="G12658" t="s">
        <v>28205</v>
      </c>
      <c r="H12658" t="s">
        <v>28215</v>
      </c>
      <c r="I12658" t="s">
        <v>28316</v>
      </c>
      <c r="J12658" t="s">
        <v>36113</v>
      </c>
      <c r="K12658" t="s">
        <v>36697</v>
      </c>
      <c r="M12658" t="s">
        <v>40307</v>
      </c>
      <c r="N12658" t="s">
        <v>40436</v>
      </c>
      <c r="O12658" t="s">
        <v>40437</v>
      </c>
      <c r="Q12658">
        <v>4</v>
      </c>
      <c r="R12658" t="s">
        <v>40457</v>
      </c>
      <c r="S12658" t="s">
        <v>41427</v>
      </c>
      <c r="T12658" t="s">
        <v>42163</v>
      </c>
      <c r="U12658" t="s">
        <v>52984</v>
      </c>
      <c r="W12658" t="s">
        <v>40307</v>
      </c>
      <c r="X12658" t="s">
        <v>40458</v>
      </c>
    </row>
    <row r="12659" spans="1:24">
      <c r="A12659">
        <f>HYPERLINK("https://www.philgeps.gov.ph/GEPSNONPILOT/Tender/SplashBidNoticeAbstractUI.aspx?menuIndex=3&amp;refID=7015815&amp;Result=3","7015815")</f>
        <v>0</v>
      </c>
      <c r="B12659" t="s">
        <v>2225</v>
      </c>
      <c r="C12659" t="s">
        <v>15213</v>
      </c>
      <c r="D12659" t="s">
        <v>16187</v>
      </c>
      <c r="E12659" t="s">
        <v>27270</v>
      </c>
      <c r="F12659" t="s">
        <v>28198</v>
      </c>
      <c r="G12659" t="s">
        <v>28205</v>
      </c>
      <c r="H12659" t="s">
        <v>28214</v>
      </c>
      <c r="I12659" t="s">
        <v>3797</v>
      </c>
      <c r="J12659" t="s">
        <v>36114</v>
      </c>
      <c r="K12659" t="s">
        <v>36697</v>
      </c>
      <c r="L12659" t="s">
        <v>2225</v>
      </c>
      <c r="M12659" t="s">
        <v>39392</v>
      </c>
      <c r="N12659" t="s">
        <v>40436</v>
      </c>
      <c r="O12659" t="s">
        <v>40437</v>
      </c>
      <c r="P12659">
        <v>0</v>
      </c>
      <c r="Q12659">
        <v>2</v>
      </c>
      <c r="R12659" t="s">
        <v>40457</v>
      </c>
      <c r="S12659" t="s">
        <v>41386</v>
      </c>
      <c r="T12659" t="s">
        <v>42431</v>
      </c>
      <c r="U12659" t="s">
        <v>52969</v>
      </c>
      <c r="W12659" t="s">
        <v>39392</v>
      </c>
      <c r="X12659" t="s">
        <v>40458</v>
      </c>
    </row>
    <row r="12660" spans="1:24">
      <c r="A12660">
        <f>HYPERLINK("https://www.philgeps.gov.ph/GEPSNONPILOT/Tender/SplashBidNoticeAbstractUI.aspx?menuIndex=3&amp;refID=7016101&amp;Result=3","7016101")</f>
        <v>0</v>
      </c>
      <c r="B12660" t="s">
        <v>2268</v>
      </c>
      <c r="C12660" t="s">
        <v>15214</v>
      </c>
      <c r="D12660" t="s">
        <v>16199</v>
      </c>
      <c r="E12660" t="s">
        <v>27271</v>
      </c>
      <c r="F12660" t="s">
        <v>28198</v>
      </c>
      <c r="G12660" t="s">
        <v>28205</v>
      </c>
      <c r="H12660" t="s">
        <v>28214</v>
      </c>
      <c r="I12660" t="s">
        <v>3797</v>
      </c>
      <c r="J12660" t="s">
        <v>28347</v>
      </c>
      <c r="K12660" t="s">
        <v>36725</v>
      </c>
      <c r="M12660" t="s">
        <v>39439</v>
      </c>
      <c r="N12660" t="s">
        <v>40436</v>
      </c>
      <c r="O12660" t="s">
        <v>40437</v>
      </c>
      <c r="P12660">
        <v>0</v>
      </c>
      <c r="Q12660">
        <v>1</v>
      </c>
      <c r="R12660" t="s">
        <v>40457</v>
      </c>
      <c r="S12660" t="s">
        <v>41386</v>
      </c>
      <c r="T12660" t="s">
        <v>42233</v>
      </c>
      <c r="U12660" t="s">
        <v>52987</v>
      </c>
      <c r="W12660" t="s">
        <v>39439</v>
      </c>
      <c r="X12660" t="s">
        <v>40458</v>
      </c>
    </row>
    <row r="12661" spans="1:24">
      <c r="A12661">
        <f>HYPERLINK("https://www.philgeps.gov.ph/GEPSNONPILOT/Tender/SplashBidNoticeAbstractUI.aspx?menuIndex=3&amp;refID=7016113&amp;Result=3","7016113")</f>
        <v>0</v>
      </c>
      <c r="B12661" t="s">
        <v>415</v>
      </c>
      <c r="C12661" t="s">
        <v>15215</v>
      </c>
      <c r="D12661" t="s">
        <v>16261</v>
      </c>
      <c r="E12661" t="s">
        <v>27272</v>
      </c>
      <c r="F12661" t="s">
        <v>28198</v>
      </c>
      <c r="G12661" t="s">
        <v>28205</v>
      </c>
      <c r="H12661" t="s">
        <v>28215</v>
      </c>
      <c r="I12661" t="s">
        <v>28234</v>
      </c>
      <c r="J12661" t="s">
        <v>36115</v>
      </c>
      <c r="K12661" t="s">
        <v>36687</v>
      </c>
      <c r="M12661" t="s">
        <v>37397</v>
      </c>
      <c r="N12661" t="s">
        <v>40436</v>
      </c>
      <c r="O12661" t="s">
        <v>40437</v>
      </c>
      <c r="P12661">
        <v>0</v>
      </c>
      <c r="Q12661">
        <v>11</v>
      </c>
      <c r="R12661" t="s">
        <v>40457</v>
      </c>
      <c r="S12661" t="s">
        <v>41386</v>
      </c>
      <c r="T12661" t="s">
        <v>42373</v>
      </c>
      <c r="U12661" t="s">
        <v>52988</v>
      </c>
      <c r="V12661" t="s">
        <v>55148</v>
      </c>
      <c r="W12661" t="s">
        <v>37397</v>
      </c>
      <c r="X12661" t="s">
        <v>40458</v>
      </c>
    </row>
    <row r="12662" spans="1:24">
      <c r="A12662">
        <f>HYPERLINK("https://www.philgeps.gov.ph/GEPSNONPILOT/Tender/SplashBidNoticeAbstractUI.aspx?menuIndex=3&amp;refID=7016125&amp;Result=3","7016125")</f>
        <v>0</v>
      </c>
      <c r="B12662" t="s">
        <v>2350</v>
      </c>
      <c r="C12662" t="s">
        <v>15216</v>
      </c>
      <c r="E12662" t="s">
        <v>27273</v>
      </c>
      <c r="F12662" t="s">
        <v>28198</v>
      </c>
      <c r="G12662" t="s">
        <v>28205</v>
      </c>
      <c r="H12662" t="s">
        <v>28215</v>
      </c>
      <c r="I12662" t="s">
        <v>6013</v>
      </c>
      <c r="J12662" t="s">
        <v>36116</v>
      </c>
      <c r="K12662" t="s">
        <v>36689</v>
      </c>
      <c r="M12662" t="s">
        <v>39530</v>
      </c>
      <c r="N12662" t="s">
        <v>40436</v>
      </c>
      <c r="O12662" t="s">
        <v>40437</v>
      </c>
      <c r="Q12662">
        <v>0</v>
      </c>
      <c r="R12662" t="s">
        <v>40457</v>
      </c>
      <c r="S12662" t="s">
        <v>41428</v>
      </c>
      <c r="T12662" t="s">
        <v>42134</v>
      </c>
      <c r="U12662" t="s">
        <v>52989</v>
      </c>
      <c r="W12662" t="s">
        <v>39530</v>
      </c>
      <c r="X12662" t="s">
        <v>40458</v>
      </c>
    </row>
    <row r="12663" spans="1:24">
      <c r="A12663">
        <f>HYPERLINK("https://www.philgeps.gov.ph/GEPSNONPILOT/Tender/SplashBidNoticeAbstractUI.aspx?menuIndex=3&amp;refID=7016108&amp;Result=3","7016108")</f>
        <v>0</v>
      </c>
      <c r="B12663" t="s">
        <v>305</v>
      </c>
      <c r="C12663" t="s">
        <v>15217</v>
      </c>
      <c r="D12663" t="s">
        <v>16197</v>
      </c>
      <c r="E12663" t="s">
        <v>27274</v>
      </c>
      <c r="F12663" t="s">
        <v>28198</v>
      </c>
      <c r="G12663" t="s">
        <v>28205</v>
      </c>
      <c r="H12663" t="s">
        <v>28215</v>
      </c>
      <c r="I12663" t="s">
        <v>28222</v>
      </c>
      <c r="J12663" t="s">
        <v>28699</v>
      </c>
      <c r="K12663" t="s">
        <v>36701</v>
      </c>
      <c r="M12663" t="s">
        <v>37282</v>
      </c>
      <c r="N12663" t="s">
        <v>40436</v>
      </c>
      <c r="O12663" t="s">
        <v>40437</v>
      </c>
      <c r="Q12663">
        <v>6</v>
      </c>
      <c r="R12663" t="s">
        <v>40457</v>
      </c>
      <c r="S12663" t="s">
        <v>41429</v>
      </c>
      <c r="T12663" t="s">
        <v>42233</v>
      </c>
      <c r="U12663" t="s">
        <v>43102</v>
      </c>
      <c r="W12663" t="s">
        <v>37282</v>
      </c>
      <c r="X12663" t="s">
        <v>40458</v>
      </c>
    </row>
    <row r="12664" spans="1:24">
      <c r="A12664">
        <f>HYPERLINK("https://www.philgeps.gov.ph/GEPSNONPILOT/Tender/SplashBidNoticeAbstractUI.aspx?menuIndex=3&amp;refID=7015855&amp;Result=3","7015855")</f>
        <v>0</v>
      </c>
      <c r="B12664" t="s">
        <v>2225</v>
      </c>
      <c r="C12664" t="s">
        <v>15218</v>
      </c>
      <c r="D12664" t="s">
        <v>16187</v>
      </c>
      <c r="E12664" t="s">
        <v>27275</v>
      </c>
      <c r="F12664" t="s">
        <v>28198</v>
      </c>
      <c r="G12664" t="s">
        <v>28205</v>
      </c>
      <c r="H12664" t="s">
        <v>28214</v>
      </c>
      <c r="I12664" t="s">
        <v>3797</v>
      </c>
      <c r="J12664" t="s">
        <v>29595</v>
      </c>
      <c r="K12664" t="s">
        <v>36701</v>
      </c>
      <c r="L12664" t="s">
        <v>2225</v>
      </c>
      <c r="M12664" t="s">
        <v>39392</v>
      </c>
      <c r="N12664" t="s">
        <v>40436</v>
      </c>
      <c r="O12664" t="s">
        <v>40437</v>
      </c>
      <c r="P12664">
        <v>0</v>
      </c>
      <c r="Q12664">
        <v>0</v>
      </c>
      <c r="R12664" t="s">
        <v>40457</v>
      </c>
      <c r="S12664" t="s">
        <v>41386</v>
      </c>
      <c r="T12664" t="s">
        <v>42431</v>
      </c>
      <c r="U12664" t="s">
        <v>52969</v>
      </c>
      <c r="W12664" t="s">
        <v>39392</v>
      </c>
      <c r="X12664" t="s">
        <v>40458</v>
      </c>
    </row>
    <row r="12665" spans="1:24">
      <c r="A12665">
        <f>HYPERLINK("https://www.philgeps.gov.ph/GEPSNONPILOT/Tender/SplashBidNoticeAbstractUI.aspx?menuIndex=3&amp;refID=7016112&amp;Result=3","7016112")</f>
        <v>0</v>
      </c>
      <c r="B12665" t="s">
        <v>2268</v>
      </c>
      <c r="C12665" t="s">
        <v>15219</v>
      </c>
      <c r="D12665" t="s">
        <v>16199</v>
      </c>
      <c r="E12665" t="s">
        <v>27276</v>
      </c>
      <c r="F12665" t="s">
        <v>28198</v>
      </c>
      <c r="G12665" t="s">
        <v>28205</v>
      </c>
      <c r="H12665" t="s">
        <v>28214</v>
      </c>
      <c r="I12665" t="s">
        <v>3797</v>
      </c>
      <c r="J12665" t="s">
        <v>28379</v>
      </c>
      <c r="K12665" t="s">
        <v>36692</v>
      </c>
      <c r="M12665" t="s">
        <v>39439</v>
      </c>
      <c r="N12665" t="s">
        <v>40436</v>
      </c>
      <c r="O12665" t="s">
        <v>40437</v>
      </c>
      <c r="P12665">
        <v>0</v>
      </c>
      <c r="Q12665">
        <v>0</v>
      </c>
      <c r="R12665" t="s">
        <v>40457</v>
      </c>
      <c r="S12665" t="s">
        <v>41386</v>
      </c>
      <c r="T12665" t="s">
        <v>42233</v>
      </c>
      <c r="U12665" t="s">
        <v>52990</v>
      </c>
      <c r="W12665" t="s">
        <v>39439</v>
      </c>
      <c r="X12665" t="s">
        <v>40458</v>
      </c>
    </row>
    <row r="12666" spans="1:24">
      <c r="A12666">
        <f>HYPERLINK("https://www.philgeps.gov.ph/GEPSNONPILOT/Tender/SplashBidNoticeAbstractUI.aspx?menuIndex=3&amp;refID=7016091&amp;Result=3","7016091")</f>
        <v>0</v>
      </c>
      <c r="B12666" t="s">
        <v>305</v>
      </c>
      <c r="C12666" t="s">
        <v>15220</v>
      </c>
      <c r="D12666" t="s">
        <v>16197</v>
      </c>
      <c r="E12666" t="s">
        <v>27277</v>
      </c>
      <c r="F12666" t="s">
        <v>28198</v>
      </c>
      <c r="G12666" t="s">
        <v>28205</v>
      </c>
      <c r="H12666" t="s">
        <v>28215</v>
      </c>
      <c r="I12666" t="s">
        <v>28222</v>
      </c>
      <c r="J12666" t="s">
        <v>28351</v>
      </c>
      <c r="K12666" t="s">
        <v>36701</v>
      </c>
      <c r="M12666" t="s">
        <v>37282</v>
      </c>
      <c r="N12666" t="s">
        <v>40436</v>
      </c>
      <c r="O12666" t="s">
        <v>40437</v>
      </c>
      <c r="P12666">
        <v>0</v>
      </c>
      <c r="Q12666">
        <v>5</v>
      </c>
      <c r="R12666" t="s">
        <v>40457</v>
      </c>
      <c r="S12666" t="s">
        <v>41386</v>
      </c>
      <c r="T12666" t="s">
        <v>42233</v>
      </c>
      <c r="U12666" t="s">
        <v>43102</v>
      </c>
      <c r="W12666" t="s">
        <v>37282</v>
      </c>
      <c r="X12666" t="s">
        <v>40458</v>
      </c>
    </row>
    <row r="12667" spans="1:24">
      <c r="A12667">
        <f>HYPERLINK("https://www.philgeps.gov.ph/GEPSNONPILOT/Tender/SplashBidNoticeAbstractUI.aspx?menuIndex=3&amp;refID=7016083&amp;Result=3","7016083")</f>
        <v>0</v>
      </c>
      <c r="B12667" t="s">
        <v>1585</v>
      </c>
      <c r="C12667" t="s">
        <v>15221</v>
      </c>
      <c r="D12667" t="s">
        <v>16208</v>
      </c>
      <c r="E12667" t="s">
        <v>27278</v>
      </c>
      <c r="F12667" t="s">
        <v>28198</v>
      </c>
      <c r="G12667" t="s">
        <v>28205</v>
      </c>
      <c r="H12667" t="s">
        <v>28214</v>
      </c>
      <c r="I12667" t="s">
        <v>3797</v>
      </c>
      <c r="J12667" t="s">
        <v>29552</v>
      </c>
      <c r="K12667" t="s">
        <v>36692</v>
      </c>
      <c r="M12667" t="s">
        <v>38670</v>
      </c>
      <c r="N12667" t="s">
        <v>40436</v>
      </c>
      <c r="O12667" t="s">
        <v>40437</v>
      </c>
      <c r="P12667">
        <v>0</v>
      </c>
      <c r="Q12667">
        <v>0</v>
      </c>
      <c r="R12667" t="s">
        <v>40457</v>
      </c>
      <c r="S12667" t="s">
        <v>41386</v>
      </c>
      <c r="T12667" t="s">
        <v>42205</v>
      </c>
      <c r="U12667" t="s">
        <v>52991</v>
      </c>
      <c r="W12667" t="s">
        <v>38670</v>
      </c>
      <c r="X12667" t="s">
        <v>40458</v>
      </c>
    </row>
    <row r="12668" spans="1:24">
      <c r="A12668">
        <f>HYPERLINK("https://www.philgeps.gov.ph/GEPSNONPILOT/Tender/SplashBidNoticeAbstractUI.aspx?menuIndex=3&amp;refID=7016076&amp;Result=3","7016076")</f>
        <v>0</v>
      </c>
      <c r="B12668" t="s">
        <v>2268</v>
      </c>
      <c r="C12668" t="s">
        <v>15222</v>
      </c>
      <c r="D12668" t="s">
        <v>16199</v>
      </c>
      <c r="E12668" t="s">
        <v>27279</v>
      </c>
      <c r="F12668" t="s">
        <v>28198</v>
      </c>
      <c r="G12668" t="s">
        <v>28205</v>
      </c>
      <c r="H12668" t="s">
        <v>28214</v>
      </c>
      <c r="I12668" t="s">
        <v>3797</v>
      </c>
      <c r="J12668" t="s">
        <v>28699</v>
      </c>
      <c r="K12668" t="s">
        <v>36827</v>
      </c>
      <c r="M12668" t="s">
        <v>39439</v>
      </c>
      <c r="N12668" t="s">
        <v>40436</v>
      </c>
      <c r="O12668" t="s">
        <v>40437</v>
      </c>
      <c r="P12668">
        <v>0</v>
      </c>
      <c r="Q12668">
        <v>1</v>
      </c>
      <c r="R12668" t="s">
        <v>40457</v>
      </c>
      <c r="S12668" t="s">
        <v>41386</v>
      </c>
      <c r="T12668" t="s">
        <v>42233</v>
      </c>
      <c r="U12668" t="s">
        <v>52992</v>
      </c>
      <c r="W12668" t="s">
        <v>39439</v>
      </c>
      <c r="X12668" t="s">
        <v>40458</v>
      </c>
    </row>
    <row r="12669" spans="1:24">
      <c r="A12669">
        <f>HYPERLINK("https://www.philgeps.gov.ph/GEPSNONPILOT/Tender/SplashBidNoticeAbstractUI.aspx?menuIndex=3&amp;refID=7016103&amp;Result=3","7016103")</f>
        <v>0</v>
      </c>
      <c r="B12669" t="s">
        <v>2294</v>
      </c>
      <c r="C12669" t="s">
        <v>15223</v>
      </c>
      <c r="D12669" t="s">
        <v>16262</v>
      </c>
      <c r="E12669" t="s">
        <v>27280</v>
      </c>
      <c r="F12669" t="s">
        <v>28198</v>
      </c>
      <c r="G12669" t="s">
        <v>28205</v>
      </c>
      <c r="H12669" t="s">
        <v>28214</v>
      </c>
      <c r="I12669" t="s">
        <v>3797</v>
      </c>
      <c r="J12669" t="s">
        <v>36117</v>
      </c>
      <c r="K12669" t="s">
        <v>36697</v>
      </c>
      <c r="M12669" t="s">
        <v>39469</v>
      </c>
      <c r="N12669" t="s">
        <v>40436</v>
      </c>
      <c r="O12669" t="s">
        <v>40437</v>
      </c>
      <c r="Q12669">
        <v>0</v>
      </c>
      <c r="R12669" t="s">
        <v>40457</v>
      </c>
      <c r="S12669" t="s">
        <v>41397</v>
      </c>
      <c r="T12669" t="s">
        <v>42158</v>
      </c>
      <c r="U12669" t="s">
        <v>52993</v>
      </c>
      <c r="V12669" t="s">
        <v>54563</v>
      </c>
      <c r="W12669" t="s">
        <v>39469</v>
      </c>
      <c r="X12669" t="s">
        <v>40458</v>
      </c>
    </row>
    <row r="12670" spans="1:24">
      <c r="A12670">
        <f>HYPERLINK("https://www.philgeps.gov.ph/GEPSNONPILOT/Tender/SplashBidNoticeAbstractUI.aspx?menuIndex=3&amp;refID=7016081&amp;Result=3","7016081")</f>
        <v>0</v>
      </c>
      <c r="B12670" t="s">
        <v>216</v>
      </c>
      <c r="C12670" t="s">
        <v>15224</v>
      </c>
      <c r="E12670" t="s">
        <v>27281</v>
      </c>
      <c r="F12670" t="s">
        <v>28198</v>
      </c>
      <c r="G12670" t="s">
        <v>28205</v>
      </c>
      <c r="H12670" t="s">
        <v>28215</v>
      </c>
      <c r="I12670" t="s">
        <v>28316</v>
      </c>
      <c r="J12670" t="s">
        <v>36118</v>
      </c>
      <c r="K12670" t="s">
        <v>36697</v>
      </c>
      <c r="M12670" t="s">
        <v>40307</v>
      </c>
      <c r="N12670" t="s">
        <v>40436</v>
      </c>
      <c r="O12670" t="s">
        <v>40437</v>
      </c>
      <c r="Q12670">
        <v>4</v>
      </c>
      <c r="R12670" t="s">
        <v>40457</v>
      </c>
      <c r="S12670" t="s">
        <v>41430</v>
      </c>
      <c r="T12670" t="s">
        <v>42163</v>
      </c>
      <c r="U12670" t="s">
        <v>52984</v>
      </c>
      <c r="W12670" t="s">
        <v>40307</v>
      </c>
      <c r="X12670" t="s">
        <v>40458</v>
      </c>
    </row>
    <row r="12671" spans="1:24">
      <c r="A12671">
        <f>HYPERLINK("https://www.philgeps.gov.ph/GEPSNONPILOT/Tender/SplashBidNoticeAbstractUI.aspx?menuIndex=3&amp;refID=7016263&amp;Result=3","7016263")</f>
        <v>0</v>
      </c>
      <c r="B12671" t="s">
        <v>3010</v>
      </c>
      <c r="C12671" t="s">
        <v>8924</v>
      </c>
      <c r="D12671" t="s">
        <v>16238</v>
      </c>
      <c r="E12671" t="s">
        <v>27282</v>
      </c>
      <c r="F12671" t="s">
        <v>28198</v>
      </c>
      <c r="G12671" t="s">
        <v>28208</v>
      </c>
      <c r="H12671" t="s">
        <v>28215</v>
      </c>
      <c r="I12671" t="s">
        <v>28231</v>
      </c>
      <c r="J12671" t="s">
        <v>36119</v>
      </c>
      <c r="K12671" t="s">
        <v>36756</v>
      </c>
      <c r="M12671" t="s">
        <v>40308</v>
      </c>
      <c r="N12671" t="s">
        <v>40436</v>
      </c>
      <c r="O12671" t="s">
        <v>40437</v>
      </c>
      <c r="P12671">
        <v>0</v>
      </c>
      <c r="Q12671">
        <v>3</v>
      </c>
      <c r="R12671" t="s">
        <v>40457</v>
      </c>
      <c r="S12671" t="s">
        <v>41386</v>
      </c>
      <c r="T12671" t="s">
        <v>42318</v>
      </c>
      <c r="U12671" t="s">
        <v>52994</v>
      </c>
      <c r="W12671" t="s">
        <v>40308</v>
      </c>
      <c r="X12671" t="s">
        <v>40458</v>
      </c>
    </row>
    <row r="12672" spans="1:24">
      <c r="A12672">
        <f>HYPERLINK("https://www.philgeps.gov.ph/GEPSNONPILOT/Tender/SplashBidNoticeAbstractUI.aspx?menuIndex=3&amp;refID=7016207&amp;Result=3","7016207")</f>
        <v>0</v>
      </c>
      <c r="B12672" t="s">
        <v>1730</v>
      </c>
      <c r="C12672" t="s">
        <v>15225</v>
      </c>
      <c r="E12672" t="s">
        <v>27283</v>
      </c>
      <c r="F12672" t="s">
        <v>28198</v>
      </c>
      <c r="G12672" t="s">
        <v>28205</v>
      </c>
      <c r="H12672" t="s">
        <v>28215</v>
      </c>
      <c r="I12672" t="s">
        <v>28247</v>
      </c>
      <c r="J12672" t="s">
        <v>29632</v>
      </c>
      <c r="K12672" t="s">
        <v>36694</v>
      </c>
      <c r="M12672" t="s">
        <v>38840</v>
      </c>
      <c r="N12672" t="s">
        <v>40436</v>
      </c>
      <c r="O12672" t="s">
        <v>40437</v>
      </c>
      <c r="P12672">
        <v>0</v>
      </c>
      <c r="Q12672">
        <v>28</v>
      </c>
      <c r="R12672" t="s">
        <v>40457</v>
      </c>
      <c r="S12672" t="s">
        <v>41386</v>
      </c>
      <c r="T12672" t="s">
        <v>42113</v>
      </c>
      <c r="U12672" t="s">
        <v>52995</v>
      </c>
      <c r="W12672" t="s">
        <v>38840</v>
      </c>
      <c r="X12672" t="s">
        <v>40458</v>
      </c>
    </row>
    <row r="12673" spans="1:24">
      <c r="A12673">
        <f>HYPERLINK("https://www.philgeps.gov.ph/GEPSNONPILOT/Tender/SplashBidNoticeAbstractUI.aspx?menuIndex=3&amp;refID=7016261&amp;Result=3","7016261")</f>
        <v>0</v>
      </c>
      <c r="B12673" t="s">
        <v>1612</v>
      </c>
      <c r="C12673" t="s">
        <v>15226</v>
      </c>
      <c r="D12673" t="s">
        <v>16232</v>
      </c>
      <c r="E12673" t="s">
        <v>27284</v>
      </c>
      <c r="F12673" t="s">
        <v>28198</v>
      </c>
      <c r="G12673" t="s">
        <v>28205</v>
      </c>
      <c r="H12673" t="s">
        <v>28215</v>
      </c>
      <c r="I12673" t="s">
        <v>5100</v>
      </c>
      <c r="J12673" t="s">
        <v>32096</v>
      </c>
      <c r="K12673" t="s">
        <v>36707</v>
      </c>
      <c r="M12673" t="s">
        <v>38699</v>
      </c>
      <c r="N12673" t="s">
        <v>40436</v>
      </c>
      <c r="O12673" t="s">
        <v>40437</v>
      </c>
      <c r="P12673">
        <v>0</v>
      </c>
      <c r="Q12673">
        <v>1</v>
      </c>
      <c r="R12673" t="s">
        <v>40457</v>
      </c>
      <c r="S12673" t="s">
        <v>41386</v>
      </c>
      <c r="T12673" t="s">
        <v>42233</v>
      </c>
      <c r="U12673" t="s">
        <v>52996</v>
      </c>
      <c r="W12673" t="s">
        <v>38699</v>
      </c>
      <c r="X12673" t="s">
        <v>40458</v>
      </c>
    </row>
    <row r="12674" spans="1:24">
      <c r="A12674">
        <f>HYPERLINK("https://www.philgeps.gov.ph/GEPSNONPILOT/Tender/SplashBidNoticeAbstractUI.aspx?menuIndex=3&amp;refID=7016267&amp;Result=3","7016267")</f>
        <v>0</v>
      </c>
      <c r="B12674" t="s">
        <v>1612</v>
      </c>
      <c r="C12674" t="s">
        <v>15227</v>
      </c>
      <c r="D12674" t="s">
        <v>16232</v>
      </c>
      <c r="E12674" t="s">
        <v>27285</v>
      </c>
      <c r="F12674" t="s">
        <v>28198</v>
      </c>
      <c r="G12674" t="s">
        <v>28205</v>
      </c>
      <c r="H12674" t="s">
        <v>28215</v>
      </c>
      <c r="I12674" t="s">
        <v>5100</v>
      </c>
      <c r="J12674" t="s">
        <v>36120</v>
      </c>
      <c r="K12674" t="s">
        <v>36707</v>
      </c>
      <c r="M12674" t="s">
        <v>38699</v>
      </c>
      <c r="N12674" t="s">
        <v>40436</v>
      </c>
      <c r="O12674" t="s">
        <v>40437</v>
      </c>
      <c r="P12674">
        <v>0</v>
      </c>
      <c r="Q12674">
        <v>0</v>
      </c>
      <c r="R12674" t="s">
        <v>40457</v>
      </c>
      <c r="S12674" t="s">
        <v>41386</v>
      </c>
      <c r="T12674" t="s">
        <v>42233</v>
      </c>
      <c r="U12674" t="s">
        <v>52997</v>
      </c>
      <c r="W12674" t="s">
        <v>38699</v>
      </c>
      <c r="X12674" t="s">
        <v>40458</v>
      </c>
    </row>
    <row r="12675" spans="1:24">
      <c r="A12675">
        <f>HYPERLINK("https://www.philgeps.gov.ph/GEPSNONPILOT/Tender/SplashBidNoticeAbstractUI.aspx?menuIndex=3&amp;refID=7016241&amp;Result=3","7016241")</f>
        <v>0</v>
      </c>
      <c r="B12675" t="s">
        <v>2294</v>
      </c>
      <c r="C12675" t="s">
        <v>15228</v>
      </c>
      <c r="D12675" t="s">
        <v>16262</v>
      </c>
      <c r="E12675" t="s">
        <v>27286</v>
      </c>
      <c r="F12675" t="s">
        <v>28198</v>
      </c>
      <c r="G12675" t="s">
        <v>28205</v>
      </c>
      <c r="H12675" t="s">
        <v>28214</v>
      </c>
      <c r="I12675" t="s">
        <v>3797</v>
      </c>
      <c r="J12675" t="s">
        <v>36121</v>
      </c>
      <c r="K12675" t="s">
        <v>36735</v>
      </c>
      <c r="M12675" t="s">
        <v>39469</v>
      </c>
      <c r="N12675" t="s">
        <v>40436</v>
      </c>
      <c r="O12675" t="s">
        <v>40437</v>
      </c>
      <c r="Q12675">
        <v>1</v>
      </c>
      <c r="R12675" t="s">
        <v>40457</v>
      </c>
      <c r="S12675" t="s">
        <v>41431</v>
      </c>
      <c r="T12675" t="s">
        <v>42158</v>
      </c>
      <c r="U12675" t="s">
        <v>52998</v>
      </c>
      <c r="V12675" t="s">
        <v>55233</v>
      </c>
      <c r="W12675" t="s">
        <v>39469</v>
      </c>
      <c r="X12675" t="s">
        <v>40458</v>
      </c>
    </row>
    <row r="12676" spans="1:24">
      <c r="A12676">
        <f>HYPERLINK("https://www.philgeps.gov.ph/GEPSNONPILOT/Tender/SplashBidNoticeAbstractUI.aspx?menuIndex=3&amp;refID=7016271&amp;Result=3","7016271")</f>
        <v>0</v>
      </c>
      <c r="B12676" t="s">
        <v>1612</v>
      </c>
      <c r="C12676" t="s">
        <v>15229</v>
      </c>
      <c r="D12676" t="s">
        <v>16232</v>
      </c>
      <c r="E12676" t="s">
        <v>27287</v>
      </c>
      <c r="F12676" t="s">
        <v>28198</v>
      </c>
      <c r="G12676" t="s">
        <v>28205</v>
      </c>
      <c r="H12676" t="s">
        <v>28215</v>
      </c>
      <c r="I12676" t="s">
        <v>28228</v>
      </c>
      <c r="J12676" t="s">
        <v>36122</v>
      </c>
      <c r="K12676" t="s">
        <v>36707</v>
      </c>
      <c r="M12676" t="s">
        <v>38699</v>
      </c>
      <c r="N12676" t="s">
        <v>40436</v>
      </c>
      <c r="O12676" t="s">
        <v>40437</v>
      </c>
      <c r="P12676">
        <v>0</v>
      </c>
      <c r="Q12676">
        <v>0</v>
      </c>
      <c r="R12676" t="s">
        <v>40457</v>
      </c>
      <c r="S12676" t="s">
        <v>41386</v>
      </c>
      <c r="T12676" t="s">
        <v>42233</v>
      </c>
      <c r="U12676" t="s">
        <v>52999</v>
      </c>
      <c r="W12676" t="s">
        <v>38699</v>
      </c>
      <c r="X12676" t="s">
        <v>40458</v>
      </c>
    </row>
    <row r="12677" spans="1:24">
      <c r="A12677">
        <f>HYPERLINK("https://www.philgeps.gov.ph/GEPSNONPILOT/Tender/SplashBidNoticeAbstractUI.aspx?menuIndex=3&amp;refID=7016080&amp;Result=3","7016080")</f>
        <v>0</v>
      </c>
      <c r="B12677" t="s">
        <v>2591</v>
      </c>
      <c r="C12677" t="s">
        <v>15230</v>
      </c>
      <c r="D12677" t="s">
        <v>16209</v>
      </c>
      <c r="E12677" t="s">
        <v>27288</v>
      </c>
      <c r="F12677" t="s">
        <v>28198</v>
      </c>
      <c r="G12677" t="s">
        <v>28205</v>
      </c>
      <c r="H12677" t="s">
        <v>28215</v>
      </c>
      <c r="I12677" t="s">
        <v>28342</v>
      </c>
      <c r="J12677" t="s">
        <v>31789</v>
      </c>
      <c r="K12677" t="s">
        <v>36715</v>
      </c>
      <c r="M12677" t="s">
        <v>39805</v>
      </c>
      <c r="N12677" t="s">
        <v>40436</v>
      </c>
      <c r="O12677" t="s">
        <v>40437</v>
      </c>
      <c r="P12677">
        <v>0</v>
      </c>
      <c r="Q12677">
        <v>2</v>
      </c>
      <c r="R12677" t="s">
        <v>40457</v>
      </c>
      <c r="S12677" t="s">
        <v>41386</v>
      </c>
      <c r="T12677" t="s">
        <v>42233</v>
      </c>
      <c r="U12677" t="s">
        <v>53000</v>
      </c>
      <c r="W12677" t="s">
        <v>39805</v>
      </c>
      <c r="X12677" t="s">
        <v>40458</v>
      </c>
    </row>
    <row r="12678" spans="1:24">
      <c r="A12678">
        <f>HYPERLINK("https://www.philgeps.gov.ph/GEPSNONPILOT/Tender/SplashBidNoticeAbstractUI.aspx?menuIndex=3&amp;refID=7016130&amp;Result=3","7016130")</f>
        <v>0</v>
      </c>
      <c r="B12678" t="s">
        <v>1730</v>
      </c>
      <c r="C12678" t="s">
        <v>15231</v>
      </c>
      <c r="E12678" t="s">
        <v>27289</v>
      </c>
      <c r="F12678" t="s">
        <v>28198</v>
      </c>
      <c r="G12678" t="s">
        <v>28205</v>
      </c>
      <c r="H12678" t="s">
        <v>28215</v>
      </c>
      <c r="I12678" t="s">
        <v>28247</v>
      </c>
      <c r="J12678" t="s">
        <v>34242</v>
      </c>
      <c r="K12678" t="s">
        <v>36694</v>
      </c>
      <c r="M12678" t="s">
        <v>38840</v>
      </c>
      <c r="N12678" t="s">
        <v>40436</v>
      </c>
      <c r="O12678" t="s">
        <v>40437</v>
      </c>
      <c r="Q12678">
        <v>16</v>
      </c>
      <c r="R12678" t="s">
        <v>40457</v>
      </c>
      <c r="S12678" t="s">
        <v>41432</v>
      </c>
      <c r="T12678" t="s">
        <v>42168</v>
      </c>
      <c r="U12678" t="s">
        <v>53001</v>
      </c>
      <c r="W12678" t="s">
        <v>38840</v>
      </c>
      <c r="X12678" t="s">
        <v>40458</v>
      </c>
    </row>
    <row r="12679" spans="1:24">
      <c r="A12679">
        <f>HYPERLINK("https://www.philgeps.gov.ph/GEPSNONPILOT/Tender/SplashBidNoticeAbstractUI.aspx?menuIndex=3&amp;refID=7016190&amp;Result=3","7016190")</f>
        <v>0</v>
      </c>
      <c r="B12679" t="s">
        <v>2197</v>
      </c>
      <c r="C12679" t="s">
        <v>15232</v>
      </c>
      <c r="D12679" t="s">
        <v>16200</v>
      </c>
      <c r="E12679" t="s">
        <v>27290</v>
      </c>
      <c r="F12679" t="s">
        <v>28198</v>
      </c>
      <c r="G12679" t="s">
        <v>28205</v>
      </c>
      <c r="H12679" t="s">
        <v>28214</v>
      </c>
      <c r="I12679" t="s">
        <v>3797</v>
      </c>
      <c r="J12679" t="s">
        <v>29566</v>
      </c>
      <c r="K12679" t="s">
        <v>36692</v>
      </c>
      <c r="M12679" t="s">
        <v>39362</v>
      </c>
      <c r="N12679" t="s">
        <v>40436</v>
      </c>
      <c r="O12679" t="s">
        <v>40437</v>
      </c>
      <c r="P12679">
        <v>0</v>
      </c>
      <c r="Q12679">
        <v>0</v>
      </c>
      <c r="R12679" t="s">
        <v>40457</v>
      </c>
      <c r="S12679" t="s">
        <v>41386</v>
      </c>
      <c r="T12679" t="s">
        <v>42103</v>
      </c>
      <c r="U12679" t="s">
        <v>53002</v>
      </c>
      <c r="W12679" t="s">
        <v>39362</v>
      </c>
      <c r="X12679" t="s">
        <v>40458</v>
      </c>
    </row>
    <row r="12680" spans="1:24">
      <c r="A12680">
        <f>HYPERLINK("https://www.philgeps.gov.ph/GEPSNONPILOT/Tender/SplashBidNoticeAbstractUI.aspx?menuIndex=3&amp;refID=7016199&amp;Result=3","7016199")</f>
        <v>0</v>
      </c>
      <c r="B12680" t="s">
        <v>2197</v>
      </c>
      <c r="C12680" t="s">
        <v>15233</v>
      </c>
      <c r="D12680" t="s">
        <v>16200</v>
      </c>
      <c r="E12680" t="s">
        <v>27291</v>
      </c>
      <c r="F12680" t="s">
        <v>28198</v>
      </c>
      <c r="G12680" t="s">
        <v>28205</v>
      </c>
      <c r="H12680" t="s">
        <v>28214</v>
      </c>
      <c r="I12680" t="s">
        <v>3797</v>
      </c>
      <c r="J12680" t="s">
        <v>29546</v>
      </c>
      <c r="K12680" t="s">
        <v>36910</v>
      </c>
      <c r="M12680" t="s">
        <v>39362</v>
      </c>
      <c r="N12680" t="s">
        <v>40436</v>
      </c>
      <c r="O12680" t="s">
        <v>40437</v>
      </c>
      <c r="Q12680">
        <v>1</v>
      </c>
      <c r="R12680" t="s">
        <v>40457</v>
      </c>
      <c r="S12680" t="s">
        <v>41433</v>
      </c>
      <c r="T12680" t="s">
        <v>42104</v>
      </c>
      <c r="U12680" t="s">
        <v>53003</v>
      </c>
      <c r="W12680" t="s">
        <v>39362</v>
      </c>
      <c r="X12680" t="s">
        <v>40458</v>
      </c>
    </row>
    <row r="12681" spans="1:24">
      <c r="A12681">
        <f>HYPERLINK("https://www.philgeps.gov.ph/GEPSNONPILOT/Tender/SplashBidNoticeAbstractUI.aspx?menuIndex=3&amp;refID=7016203&amp;Result=3","7016203")</f>
        <v>0</v>
      </c>
      <c r="B12681" t="s">
        <v>1819</v>
      </c>
      <c r="C12681" t="s">
        <v>15234</v>
      </c>
      <c r="D12681" t="s">
        <v>16255</v>
      </c>
      <c r="E12681" t="s">
        <v>27292</v>
      </c>
      <c r="F12681" t="s">
        <v>28198</v>
      </c>
      <c r="G12681" t="s">
        <v>28205</v>
      </c>
      <c r="H12681" t="s">
        <v>28214</v>
      </c>
      <c r="I12681" t="s">
        <v>3797</v>
      </c>
      <c r="J12681" t="s">
        <v>31508</v>
      </c>
      <c r="K12681" t="s">
        <v>36701</v>
      </c>
      <c r="L12681" t="s">
        <v>1819</v>
      </c>
      <c r="M12681" t="s">
        <v>38940</v>
      </c>
      <c r="N12681" t="s">
        <v>40436</v>
      </c>
      <c r="O12681" t="s">
        <v>40437</v>
      </c>
      <c r="Q12681">
        <v>5</v>
      </c>
      <c r="R12681" t="s">
        <v>40457</v>
      </c>
      <c r="S12681" t="s">
        <v>41232</v>
      </c>
      <c r="T12681" t="s">
        <v>42184</v>
      </c>
      <c r="U12681" t="s">
        <v>53004</v>
      </c>
      <c r="W12681" t="s">
        <v>38940</v>
      </c>
      <c r="X12681" t="s">
        <v>40458</v>
      </c>
    </row>
    <row r="12682" spans="1:24">
      <c r="A12682">
        <f>HYPERLINK("https://www.philgeps.gov.ph/GEPSNONPILOT/Tender/SplashBidNoticeAbstractUI.aspx?menuIndex=3&amp;refID=7016184&amp;Result=3","7016184")</f>
        <v>0</v>
      </c>
      <c r="B12682" t="s">
        <v>2294</v>
      </c>
      <c r="C12682" t="s">
        <v>15235</v>
      </c>
      <c r="D12682" t="s">
        <v>16262</v>
      </c>
      <c r="E12682" t="s">
        <v>27293</v>
      </c>
      <c r="F12682" t="s">
        <v>28198</v>
      </c>
      <c r="G12682" t="s">
        <v>28205</v>
      </c>
      <c r="H12682" t="s">
        <v>28214</v>
      </c>
      <c r="I12682" t="s">
        <v>3797</v>
      </c>
      <c r="J12682" t="s">
        <v>36123</v>
      </c>
      <c r="K12682" t="s">
        <v>36694</v>
      </c>
      <c r="M12682" t="s">
        <v>39469</v>
      </c>
      <c r="N12682" t="s">
        <v>40436</v>
      </c>
      <c r="O12682" t="s">
        <v>40437</v>
      </c>
      <c r="Q12682">
        <v>0</v>
      </c>
      <c r="R12682" t="s">
        <v>40457</v>
      </c>
      <c r="S12682" t="s">
        <v>41007</v>
      </c>
      <c r="T12682" t="s">
        <v>42158</v>
      </c>
      <c r="U12682" t="s">
        <v>53005</v>
      </c>
      <c r="V12682" t="s">
        <v>54563</v>
      </c>
      <c r="W12682" t="s">
        <v>39469</v>
      </c>
      <c r="X12682" t="s">
        <v>40458</v>
      </c>
    </row>
    <row r="12683" spans="1:24">
      <c r="A12683">
        <f>HYPERLINK("https://www.philgeps.gov.ph/GEPSNONPILOT/Tender/SplashBidNoticeAbstractUI.aspx?menuIndex=3&amp;refID=7016278&amp;Result=3","7016278")</f>
        <v>0</v>
      </c>
      <c r="B12683" t="s">
        <v>85</v>
      </c>
      <c r="C12683" t="s">
        <v>15236</v>
      </c>
      <c r="D12683" t="s">
        <v>16221</v>
      </c>
      <c r="E12683" t="s">
        <v>27294</v>
      </c>
      <c r="F12683" t="s">
        <v>28198</v>
      </c>
      <c r="G12683" t="s">
        <v>28205</v>
      </c>
      <c r="H12683" t="s">
        <v>28214</v>
      </c>
      <c r="I12683" t="s">
        <v>3797</v>
      </c>
      <c r="J12683" t="s">
        <v>36124</v>
      </c>
      <c r="K12683" t="s">
        <v>36694</v>
      </c>
      <c r="M12683" t="s">
        <v>37057</v>
      </c>
      <c r="N12683" t="s">
        <v>40436</v>
      </c>
      <c r="O12683" t="s">
        <v>40437</v>
      </c>
      <c r="P12683">
        <v>0</v>
      </c>
      <c r="Q12683">
        <v>0</v>
      </c>
      <c r="R12683" t="s">
        <v>40457</v>
      </c>
      <c r="S12683" t="s">
        <v>41386</v>
      </c>
      <c r="T12683" t="s">
        <v>42102</v>
      </c>
      <c r="U12683" t="s">
        <v>53006</v>
      </c>
      <c r="W12683" t="s">
        <v>37057</v>
      </c>
      <c r="X12683" t="s">
        <v>40458</v>
      </c>
    </row>
    <row r="12684" spans="1:24">
      <c r="A12684">
        <f>HYPERLINK("https://www.philgeps.gov.ph/GEPSNONPILOT/Tender/SplashBidNoticeAbstractUI.aspx?menuIndex=3&amp;refID=7016206&amp;Result=3","7016206")</f>
        <v>0</v>
      </c>
      <c r="B12684" t="s">
        <v>2197</v>
      </c>
      <c r="C12684" t="s">
        <v>15237</v>
      </c>
      <c r="D12684" t="s">
        <v>16200</v>
      </c>
      <c r="E12684" t="s">
        <v>27295</v>
      </c>
      <c r="F12684" t="s">
        <v>28198</v>
      </c>
      <c r="G12684" t="s">
        <v>28205</v>
      </c>
      <c r="H12684" t="s">
        <v>28214</v>
      </c>
      <c r="I12684" t="s">
        <v>3797</v>
      </c>
      <c r="J12684" t="s">
        <v>29526</v>
      </c>
      <c r="K12684" t="s">
        <v>36972</v>
      </c>
      <c r="M12684" t="s">
        <v>39362</v>
      </c>
      <c r="N12684" t="s">
        <v>40436</v>
      </c>
      <c r="O12684" t="s">
        <v>40437</v>
      </c>
      <c r="Q12684">
        <v>2</v>
      </c>
      <c r="R12684" t="s">
        <v>40457</v>
      </c>
      <c r="S12684" t="s">
        <v>41434</v>
      </c>
      <c r="T12684" t="s">
        <v>42104</v>
      </c>
      <c r="U12684" t="s">
        <v>53007</v>
      </c>
      <c r="W12684" t="s">
        <v>39362</v>
      </c>
      <c r="X12684" t="s">
        <v>40458</v>
      </c>
    </row>
    <row r="12685" spans="1:24">
      <c r="A12685">
        <f>HYPERLINK("https://www.philgeps.gov.ph/GEPSNONPILOT/Tender/SplashBidNoticeAbstractUI.aspx?menuIndex=3&amp;refID=7016176&amp;Result=3","7016176")</f>
        <v>0</v>
      </c>
      <c r="B12685" t="s">
        <v>2499</v>
      </c>
      <c r="C12685" t="s">
        <v>15238</v>
      </c>
      <c r="D12685" t="s">
        <v>16200</v>
      </c>
      <c r="E12685" t="s">
        <v>27296</v>
      </c>
      <c r="F12685" t="s">
        <v>28198</v>
      </c>
      <c r="G12685" t="s">
        <v>28205</v>
      </c>
      <c r="H12685" t="s">
        <v>28217</v>
      </c>
      <c r="I12685" t="s">
        <v>28274</v>
      </c>
      <c r="J12685" t="s">
        <v>36125</v>
      </c>
      <c r="K12685" t="s">
        <v>36705</v>
      </c>
      <c r="M12685" t="s">
        <v>39701</v>
      </c>
      <c r="N12685" t="s">
        <v>40436</v>
      </c>
      <c r="O12685" t="s">
        <v>40437</v>
      </c>
      <c r="Q12685">
        <v>0</v>
      </c>
      <c r="R12685" t="s">
        <v>40457</v>
      </c>
      <c r="S12685" t="s">
        <v>41435</v>
      </c>
      <c r="T12685" t="s">
        <v>42131</v>
      </c>
      <c r="U12685" t="s">
        <v>53008</v>
      </c>
      <c r="W12685" t="s">
        <v>39701</v>
      </c>
      <c r="X12685" t="s">
        <v>40458</v>
      </c>
    </row>
    <row r="12686" spans="1:24">
      <c r="A12686">
        <f>HYPERLINK("https://www.philgeps.gov.ph/GEPSNONPILOT/Tender/SplashBidNoticeAbstractUI.aspx?menuIndex=3&amp;refID=7016315&amp;Result=3","7016315")</f>
        <v>0</v>
      </c>
      <c r="B12686" t="s">
        <v>2355</v>
      </c>
      <c r="C12686" t="s">
        <v>15239</v>
      </c>
      <c r="D12686" t="s">
        <v>16210</v>
      </c>
      <c r="E12686" t="s">
        <v>23372</v>
      </c>
      <c r="F12686" t="s">
        <v>28198</v>
      </c>
      <c r="G12686" t="s">
        <v>28205</v>
      </c>
      <c r="H12686" t="s">
        <v>28214</v>
      </c>
      <c r="I12686" t="s">
        <v>3797</v>
      </c>
      <c r="J12686" t="s">
        <v>36126</v>
      </c>
      <c r="K12686" t="s">
        <v>36690</v>
      </c>
      <c r="M12686" t="s">
        <v>39535</v>
      </c>
      <c r="N12686" t="s">
        <v>40436</v>
      </c>
      <c r="O12686" t="s">
        <v>40437</v>
      </c>
      <c r="Q12686">
        <v>57</v>
      </c>
      <c r="R12686" t="s">
        <v>40457</v>
      </c>
      <c r="S12686" t="s">
        <v>41436</v>
      </c>
      <c r="T12686" t="s">
        <v>42233</v>
      </c>
      <c r="U12686" t="s">
        <v>49176</v>
      </c>
      <c r="W12686" t="s">
        <v>39535</v>
      </c>
      <c r="X12686" t="s">
        <v>40458</v>
      </c>
    </row>
    <row r="12687" spans="1:24">
      <c r="A12687">
        <f>HYPERLINK("https://www.philgeps.gov.ph/GEPSNONPILOT/Tender/SplashBidNoticeAbstractUI.aspx?menuIndex=3&amp;refID=7016189&amp;Result=3","7016189")</f>
        <v>0</v>
      </c>
      <c r="B12687" t="s">
        <v>1247</v>
      </c>
      <c r="C12687" t="s">
        <v>15240</v>
      </c>
      <c r="D12687" t="s">
        <v>16210</v>
      </c>
      <c r="E12687" t="s">
        <v>27297</v>
      </c>
      <c r="F12687" t="s">
        <v>28198</v>
      </c>
      <c r="G12687" t="s">
        <v>28205</v>
      </c>
      <c r="H12687" t="s">
        <v>28215</v>
      </c>
      <c r="I12687" t="s">
        <v>28222</v>
      </c>
      <c r="J12687" t="s">
        <v>36127</v>
      </c>
      <c r="K12687" t="s">
        <v>36701</v>
      </c>
      <c r="M12687" t="s">
        <v>40309</v>
      </c>
      <c r="N12687" t="s">
        <v>40436</v>
      </c>
      <c r="O12687" t="s">
        <v>40437</v>
      </c>
      <c r="P12687">
        <v>0</v>
      </c>
      <c r="Q12687">
        <v>4</v>
      </c>
      <c r="R12687" t="s">
        <v>40457</v>
      </c>
      <c r="S12687" t="s">
        <v>41386</v>
      </c>
      <c r="T12687" t="s">
        <v>42455</v>
      </c>
      <c r="U12687" t="s">
        <v>53009</v>
      </c>
      <c r="W12687" t="s">
        <v>40309</v>
      </c>
      <c r="X12687" t="s">
        <v>40458</v>
      </c>
    </row>
    <row r="12688" spans="1:24">
      <c r="A12688">
        <f>HYPERLINK("https://www.philgeps.gov.ph/GEPSNONPILOT/Tender/SplashBidNoticeAbstractUI.aspx?menuIndex=3&amp;refID=7016360&amp;Result=3","7016360")</f>
        <v>0</v>
      </c>
      <c r="B12688" t="s">
        <v>974</v>
      </c>
      <c r="C12688" t="s">
        <v>15241</v>
      </c>
      <c r="D12688" t="s">
        <v>16217</v>
      </c>
      <c r="E12688" t="s">
        <v>27298</v>
      </c>
      <c r="F12688" t="s">
        <v>28198</v>
      </c>
      <c r="G12688" t="s">
        <v>28205</v>
      </c>
      <c r="H12688" t="s">
        <v>28214</v>
      </c>
      <c r="I12688" t="s">
        <v>3797</v>
      </c>
      <c r="J12688" t="s">
        <v>28363</v>
      </c>
      <c r="K12688" t="s">
        <v>36737</v>
      </c>
      <c r="M12688" t="s">
        <v>38000</v>
      </c>
      <c r="N12688" t="s">
        <v>40436</v>
      </c>
      <c r="O12688" t="s">
        <v>40437</v>
      </c>
      <c r="P12688">
        <v>0</v>
      </c>
      <c r="Q12688">
        <v>1</v>
      </c>
      <c r="R12688" t="s">
        <v>40457</v>
      </c>
      <c r="S12688" t="s">
        <v>41386</v>
      </c>
      <c r="T12688" t="s">
        <v>42103</v>
      </c>
      <c r="U12688" t="s">
        <v>53010</v>
      </c>
      <c r="V12688" t="s">
        <v>55234</v>
      </c>
      <c r="W12688" t="s">
        <v>38000</v>
      </c>
      <c r="X12688" t="s">
        <v>40458</v>
      </c>
    </row>
    <row r="12689" spans="1:24">
      <c r="A12689">
        <f>HYPERLINK("https://www.philgeps.gov.ph/GEPSNONPILOT/Tender/SplashBidNoticeAbstractUI.aspx?menuIndex=3&amp;refID=7016356&amp;Result=3","7016356")</f>
        <v>0</v>
      </c>
      <c r="B12689" t="s">
        <v>720</v>
      </c>
      <c r="C12689" t="s">
        <v>15242</v>
      </c>
      <c r="D12689" t="s">
        <v>16187</v>
      </c>
      <c r="E12689" t="s">
        <v>27299</v>
      </c>
      <c r="F12689" t="s">
        <v>28198</v>
      </c>
      <c r="G12689" t="s">
        <v>28205</v>
      </c>
      <c r="H12689" t="s">
        <v>28214</v>
      </c>
      <c r="I12689" t="s">
        <v>3797</v>
      </c>
      <c r="J12689" t="s">
        <v>29113</v>
      </c>
      <c r="K12689" t="s">
        <v>36694</v>
      </c>
      <c r="M12689" t="s">
        <v>37721</v>
      </c>
      <c r="N12689" t="s">
        <v>40436</v>
      </c>
      <c r="O12689" t="s">
        <v>40437</v>
      </c>
      <c r="P12689">
        <v>0</v>
      </c>
      <c r="Q12689">
        <v>0</v>
      </c>
      <c r="R12689" t="s">
        <v>40457</v>
      </c>
      <c r="S12689" t="s">
        <v>41386</v>
      </c>
      <c r="T12689" t="s">
        <v>42233</v>
      </c>
      <c r="U12689" t="s">
        <v>53011</v>
      </c>
      <c r="V12689" t="s">
        <v>53956</v>
      </c>
      <c r="W12689" t="s">
        <v>37721</v>
      </c>
      <c r="X12689" t="s">
        <v>40458</v>
      </c>
    </row>
    <row r="12690" spans="1:24">
      <c r="A12690">
        <f>HYPERLINK("https://www.philgeps.gov.ph/GEPSNONPILOT/Tender/SplashBidNoticeAbstractUI.aspx?menuIndex=3&amp;refID=7016140&amp;Result=3","7016140")</f>
        <v>0</v>
      </c>
      <c r="B12690" t="s">
        <v>1225</v>
      </c>
      <c r="C12690" t="s">
        <v>15243</v>
      </c>
      <c r="D12690" t="s">
        <v>16236</v>
      </c>
      <c r="E12690" t="s">
        <v>27300</v>
      </c>
      <c r="F12690" t="s">
        <v>28198</v>
      </c>
      <c r="G12690" t="s">
        <v>28205</v>
      </c>
      <c r="H12690" t="s">
        <v>28215</v>
      </c>
      <c r="I12690" t="s">
        <v>3797</v>
      </c>
      <c r="J12690" t="s">
        <v>36128</v>
      </c>
      <c r="K12690" t="s">
        <v>36697</v>
      </c>
      <c r="M12690" t="s">
        <v>38273</v>
      </c>
      <c r="N12690" t="s">
        <v>40436</v>
      </c>
      <c r="O12690" t="s">
        <v>40437</v>
      </c>
      <c r="P12690">
        <v>0</v>
      </c>
      <c r="Q12690">
        <v>0</v>
      </c>
      <c r="R12690" t="s">
        <v>40457</v>
      </c>
      <c r="S12690" t="s">
        <v>41386</v>
      </c>
      <c r="T12690" t="s">
        <v>42129</v>
      </c>
      <c r="U12690" t="s">
        <v>52776</v>
      </c>
      <c r="V12690" t="s">
        <v>55235</v>
      </c>
      <c r="W12690" t="s">
        <v>38273</v>
      </c>
      <c r="X12690" t="s">
        <v>40458</v>
      </c>
    </row>
    <row r="12691" spans="1:24">
      <c r="A12691">
        <f>HYPERLINK("https://www.philgeps.gov.ph/GEPSNONPILOT/Tender/SplashBidNoticeAbstractUI.aspx?menuIndex=3&amp;refID=7016370&amp;Result=3","7016370")</f>
        <v>0</v>
      </c>
      <c r="B12691" t="s">
        <v>2448</v>
      </c>
      <c r="C12691" t="s">
        <v>15244</v>
      </c>
      <c r="D12691" t="s">
        <v>16260</v>
      </c>
      <c r="E12691" t="s">
        <v>27301</v>
      </c>
      <c r="F12691" t="s">
        <v>28198</v>
      </c>
      <c r="G12691" t="s">
        <v>28205</v>
      </c>
      <c r="H12691" t="s">
        <v>28214</v>
      </c>
      <c r="I12691" t="s">
        <v>3797</v>
      </c>
      <c r="J12691" t="s">
        <v>36129</v>
      </c>
      <c r="K12691" t="s">
        <v>36692</v>
      </c>
      <c r="M12691" t="s">
        <v>39638</v>
      </c>
      <c r="N12691" t="s">
        <v>40436</v>
      </c>
      <c r="O12691" t="s">
        <v>40437</v>
      </c>
      <c r="P12691">
        <v>0</v>
      </c>
      <c r="Q12691">
        <v>9</v>
      </c>
      <c r="R12691" t="s">
        <v>40457</v>
      </c>
      <c r="S12691" t="s">
        <v>41386</v>
      </c>
      <c r="T12691" t="s">
        <v>42233</v>
      </c>
      <c r="U12691" t="s">
        <v>53012</v>
      </c>
      <c r="W12691" t="s">
        <v>39638</v>
      </c>
      <c r="X12691" t="s">
        <v>40458</v>
      </c>
    </row>
    <row r="12692" spans="1:24">
      <c r="A12692">
        <f>HYPERLINK("https://www.philgeps.gov.ph/GEPSNONPILOT/Tender/SplashBidNoticeAbstractUI.aspx?menuIndex=3&amp;refID=7016318&amp;Result=3","7016318")</f>
        <v>0</v>
      </c>
      <c r="B12692" t="s">
        <v>2355</v>
      </c>
      <c r="C12692" t="s">
        <v>15245</v>
      </c>
      <c r="D12692" t="s">
        <v>16210</v>
      </c>
      <c r="E12692" t="s">
        <v>25089</v>
      </c>
      <c r="F12692" t="s">
        <v>28198</v>
      </c>
      <c r="G12692" t="s">
        <v>28205</v>
      </c>
      <c r="H12692" t="s">
        <v>28214</v>
      </c>
      <c r="I12692" t="s">
        <v>3797</v>
      </c>
      <c r="J12692" t="s">
        <v>36130</v>
      </c>
      <c r="K12692" t="s">
        <v>36690</v>
      </c>
      <c r="M12692" t="s">
        <v>39535</v>
      </c>
      <c r="N12692" t="s">
        <v>40436</v>
      </c>
      <c r="O12692" t="s">
        <v>40437</v>
      </c>
      <c r="Q12692">
        <v>60</v>
      </c>
      <c r="R12692" t="s">
        <v>40457</v>
      </c>
      <c r="S12692" t="s">
        <v>41437</v>
      </c>
      <c r="T12692" t="s">
        <v>42233</v>
      </c>
      <c r="U12692" t="s">
        <v>49176</v>
      </c>
      <c r="W12692" t="s">
        <v>39535</v>
      </c>
      <c r="X12692" t="s">
        <v>40458</v>
      </c>
    </row>
    <row r="12693" spans="1:24">
      <c r="A12693">
        <f>HYPERLINK("https://www.philgeps.gov.ph/GEPSNONPILOT/Tender/SplashBidNoticeAbstractUI.aspx?menuIndex=3&amp;refID=7016171&amp;Result=3","7016171")</f>
        <v>0</v>
      </c>
      <c r="B12693" t="s">
        <v>1247</v>
      </c>
      <c r="C12693" t="s">
        <v>15246</v>
      </c>
      <c r="D12693" t="s">
        <v>16210</v>
      </c>
      <c r="E12693" t="s">
        <v>27302</v>
      </c>
      <c r="F12693" t="s">
        <v>28198</v>
      </c>
      <c r="G12693" t="s">
        <v>28205</v>
      </c>
      <c r="H12693" t="s">
        <v>28215</v>
      </c>
      <c r="I12693" t="s">
        <v>8888</v>
      </c>
      <c r="J12693" t="s">
        <v>36131</v>
      </c>
      <c r="K12693" t="s">
        <v>36701</v>
      </c>
      <c r="M12693" t="s">
        <v>40309</v>
      </c>
      <c r="N12693" t="s">
        <v>40436</v>
      </c>
      <c r="O12693" t="s">
        <v>40437</v>
      </c>
      <c r="P12693">
        <v>0</v>
      </c>
      <c r="Q12693">
        <v>7</v>
      </c>
      <c r="R12693" t="s">
        <v>40457</v>
      </c>
      <c r="S12693" t="s">
        <v>41386</v>
      </c>
      <c r="T12693" t="s">
        <v>42455</v>
      </c>
      <c r="U12693" t="s">
        <v>53013</v>
      </c>
      <c r="W12693" t="s">
        <v>40309</v>
      </c>
      <c r="X12693" t="s">
        <v>40458</v>
      </c>
    </row>
    <row r="12694" spans="1:24">
      <c r="A12694">
        <f>HYPERLINK("https://www.philgeps.gov.ph/GEPSNONPILOT/Tender/SplashBidNoticeAbstractUI.aspx?menuIndex=3&amp;refID=7016309&amp;Result=3","7016309")</f>
        <v>0</v>
      </c>
      <c r="B12694" t="s">
        <v>2355</v>
      </c>
      <c r="C12694" t="s">
        <v>15247</v>
      </c>
      <c r="D12694" t="s">
        <v>16210</v>
      </c>
      <c r="E12694" t="s">
        <v>27303</v>
      </c>
      <c r="F12694" t="s">
        <v>28198</v>
      </c>
      <c r="G12694" t="s">
        <v>28205</v>
      </c>
      <c r="H12694" t="s">
        <v>28214</v>
      </c>
      <c r="I12694" t="s">
        <v>3797</v>
      </c>
      <c r="J12694" t="s">
        <v>36132</v>
      </c>
      <c r="K12694" t="s">
        <v>36761</v>
      </c>
      <c r="M12694" t="s">
        <v>39535</v>
      </c>
      <c r="N12694" t="s">
        <v>40436</v>
      </c>
      <c r="O12694" t="s">
        <v>40437</v>
      </c>
      <c r="Q12694">
        <v>63</v>
      </c>
      <c r="R12694" t="s">
        <v>40457</v>
      </c>
      <c r="S12694" t="s">
        <v>41438</v>
      </c>
      <c r="T12694" t="s">
        <v>42233</v>
      </c>
      <c r="U12694" t="s">
        <v>49176</v>
      </c>
      <c r="W12694" t="s">
        <v>39535</v>
      </c>
      <c r="X12694" t="s">
        <v>40458</v>
      </c>
    </row>
    <row r="12695" spans="1:24">
      <c r="A12695">
        <f>HYPERLINK("https://www.philgeps.gov.ph/GEPSNONPILOT/Tender/SplashBidNoticeAbstractUI.aspx?menuIndex=3&amp;refID=7016336&amp;Result=3","7016336")</f>
        <v>0</v>
      </c>
      <c r="B12695" t="s">
        <v>3011</v>
      </c>
      <c r="C12695" t="s">
        <v>15248</v>
      </c>
      <c r="D12695" t="s">
        <v>16230</v>
      </c>
      <c r="E12695" t="s">
        <v>27304</v>
      </c>
      <c r="F12695" t="s">
        <v>28198</v>
      </c>
      <c r="G12695" t="s">
        <v>28205</v>
      </c>
      <c r="H12695" t="s">
        <v>28215</v>
      </c>
      <c r="I12695" t="s">
        <v>5103</v>
      </c>
      <c r="J12695" t="s">
        <v>32359</v>
      </c>
      <c r="K12695" t="s">
        <v>36715</v>
      </c>
      <c r="M12695" t="s">
        <v>40310</v>
      </c>
      <c r="N12695" t="s">
        <v>40436</v>
      </c>
      <c r="O12695" t="s">
        <v>40437</v>
      </c>
      <c r="P12695">
        <v>0</v>
      </c>
      <c r="Q12695">
        <v>12</v>
      </c>
      <c r="R12695" t="s">
        <v>40457</v>
      </c>
      <c r="S12695" t="s">
        <v>41386</v>
      </c>
      <c r="T12695" t="s">
        <v>42163</v>
      </c>
      <c r="U12695" t="s">
        <v>53014</v>
      </c>
      <c r="V12695" t="s">
        <v>55236</v>
      </c>
      <c r="W12695" t="s">
        <v>40310</v>
      </c>
      <c r="X12695" t="s">
        <v>40458</v>
      </c>
    </row>
    <row r="12696" spans="1:24">
      <c r="A12696">
        <f>HYPERLINK("https://www.philgeps.gov.ph/GEPSNONPILOT/Tender/SplashBidNoticeAbstractUI.aspx?menuIndex=3&amp;refID=7016316&amp;Result=3","7016316")</f>
        <v>0</v>
      </c>
      <c r="B12696" t="s">
        <v>2452</v>
      </c>
      <c r="C12696" t="s">
        <v>15249</v>
      </c>
      <c r="D12696" t="s">
        <v>16264</v>
      </c>
      <c r="E12696" t="s">
        <v>27305</v>
      </c>
      <c r="F12696" t="s">
        <v>28198</v>
      </c>
      <c r="G12696" t="s">
        <v>28205</v>
      </c>
      <c r="H12696" t="s">
        <v>28214</v>
      </c>
      <c r="I12696" t="s">
        <v>3797</v>
      </c>
      <c r="J12696" t="s">
        <v>36133</v>
      </c>
      <c r="K12696" t="s">
        <v>36694</v>
      </c>
      <c r="M12696" t="s">
        <v>39643</v>
      </c>
      <c r="N12696" t="s">
        <v>40436</v>
      </c>
      <c r="O12696" t="s">
        <v>40437</v>
      </c>
      <c r="P12696">
        <v>0</v>
      </c>
      <c r="Q12696">
        <v>0</v>
      </c>
      <c r="R12696" t="s">
        <v>40457</v>
      </c>
      <c r="S12696" t="s">
        <v>41386</v>
      </c>
      <c r="T12696" t="s">
        <v>42233</v>
      </c>
      <c r="U12696" t="s">
        <v>49555</v>
      </c>
      <c r="W12696" t="s">
        <v>39643</v>
      </c>
      <c r="X12696" t="s">
        <v>40458</v>
      </c>
    </row>
    <row r="12697" spans="1:24">
      <c r="A12697">
        <f>HYPERLINK("https://www.philgeps.gov.ph/GEPSNONPILOT/Tender/SplashBidNoticeAbstractUI.aspx?menuIndex=3&amp;refID=7016296&amp;Result=3","7016296")</f>
        <v>0</v>
      </c>
      <c r="B12697" t="s">
        <v>2733</v>
      </c>
      <c r="C12697" t="s">
        <v>15250</v>
      </c>
      <c r="D12697" t="s">
        <v>16187</v>
      </c>
      <c r="E12697" t="s">
        <v>27306</v>
      </c>
      <c r="F12697" t="s">
        <v>28198</v>
      </c>
      <c r="G12697" t="s">
        <v>28205</v>
      </c>
      <c r="H12697" t="s">
        <v>28214</v>
      </c>
      <c r="I12697" t="s">
        <v>3797</v>
      </c>
      <c r="J12697" t="s">
        <v>32106</v>
      </c>
      <c r="K12697" t="s">
        <v>36928</v>
      </c>
      <c r="M12697" t="s">
        <v>39979</v>
      </c>
      <c r="N12697" t="s">
        <v>40436</v>
      </c>
      <c r="O12697" t="s">
        <v>40437</v>
      </c>
      <c r="P12697">
        <v>0</v>
      </c>
      <c r="Q12697">
        <v>19</v>
      </c>
      <c r="R12697" t="s">
        <v>40457</v>
      </c>
      <c r="S12697" t="s">
        <v>41386</v>
      </c>
      <c r="T12697" t="s">
        <v>42184</v>
      </c>
      <c r="U12697" t="s">
        <v>53015</v>
      </c>
      <c r="V12697" t="s">
        <v>55237</v>
      </c>
      <c r="W12697" t="s">
        <v>39979</v>
      </c>
      <c r="X12697" t="s">
        <v>40458</v>
      </c>
    </row>
    <row r="12698" spans="1:24">
      <c r="A12698">
        <f>HYPERLINK("https://www.philgeps.gov.ph/GEPSNONPILOT/Tender/SplashBidNoticeAbstractUI.aspx?menuIndex=3&amp;refID=7016172&amp;Result=3","7016172")</f>
        <v>0</v>
      </c>
      <c r="B12698" t="s">
        <v>1730</v>
      </c>
      <c r="C12698" t="s">
        <v>15251</v>
      </c>
      <c r="E12698" t="s">
        <v>27307</v>
      </c>
      <c r="F12698" t="s">
        <v>28198</v>
      </c>
      <c r="G12698" t="s">
        <v>28205</v>
      </c>
      <c r="H12698" t="s">
        <v>28215</v>
      </c>
      <c r="I12698" t="s">
        <v>28247</v>
      </c>
      <c r="J12698" t="s">
        <v>29331</v>
      </c>
      <c r="K12698" t="s">
        <v>36694</v>
      </c>
      <c r="M12698" t="s">
        <v>38840</v>
      </c>
      <c r="N12698" t="s">
        <v>40436</v>
      </c>
      <c r="O12698" t="s">
        <v>40437</v>
      </c>
      <c r="Q12698">
        <v>19</v>
      </c>
      <c r="R12698" t="s">
        <v>40457</v>
      </c>
      <c r="S12698" t="s">
        <v>40928</v>
      </c>
      <c r="T12698" t="s">
        <v>42234</v>
      </c>
      <c r="U12698" t="s">
        <v>53016</v>
      </c>
      <c r="W12698" t="s">
        <v>38840</v>
      </c>
      <c r="X12698" t="s">
        <v>40458</v>
      </c>
    </row>
    <row r="12699" spans="1:24">
      <c r="A12699">
        <f>HYPERLINK("https://www.philgeps.gov.ph/GEPSNONPILOT/Tender/SplashBidNoticeAbstractUI.aspx?menuIndex=3&amp;refID=7016290&amp;Result=3","7016290")</f>
        <v>0</v>
      </c>
      <c r="B12699" t="s">
        <v>1612</v>
      </c>
      <c r="C12699" t="s">
        <v>15252</v>
      </c>
      <c r="D12699" t="s">
        <v>16232</v>
      </c>
      <c r="E12699" t="s">
        <v>27308</v>
      </c>
      <c r="F12699" t="s">
        <v>28198</v>
      </c>
      <c r="G12699" t="s">
        <v>28205</v>
      </c>
      <c r="H12699" t="s">
        <v>28214</v>
      </c>
      <c r="I12699" t="s">
        <v>3797</v>
      </c>
      <c r="J12699" t="s">
        <v>31258</v>
      </c>
      <c r="K12699" t="s">
        <v>36776</v>
      </c>
      <c r="M12699" t="s">
        <v>38699</v>
      </c>
      <c r="N12699" t="s">
        <v>40436</v>
      </c>
      <c r="O12699" t="s">
        <v>40437</v>
      </c>
      <c r="P12699">
        <v>0</v>
      </c>
      <c r="Q12699">
        <v>1</v>
      </c>
      <c r="R12699" t="s">
        <v>40457</v>
      </c>
      <c r="S12699" t="s">
        <v>41386</v>
      </c>
      <c r="T12699" t="s">
        <v>42277</v>
      </c>
      <c r="U12699" t="s">
        <v>53017</v>
      </c>
      <c r="W12699" t="s">
        <v>38699</v>
      </c>
      <c r="X12699" t="s">
        <v>40458</v>
      </c>
    </row>
    <row r="12700" spans="1:24">
      <c r="A12700">
        <f>HYPERLINK("https://www.philgeps.gov.ph/GEPSNONPILOT/Tender/SplashBidNoticeAbstractUI.aspx?menuIndex=3&amp;refID=7016295&amp;Result=3","7016295")</f>
        <v>0</v>
      </c>
      <c r="B12700" t="s">
        <v>1612</v>
      </c>
      <c r="C12700" t="s">
        <v>15253</v>
      </c>
      <c r="D12700" t="s">
        <v>16232</v>
      </c>
      <c r="E12700" t="s">
        <v>27309</v>
      </c>
      <c r="F12700" t="s">
        <v>28198</v>
      </c>
      <c r="G12700" t="s">
        <v>28205</v>
      </c>
      <c r="H12700" t="s">
        <v>28214</v>
      </c>
      <c r="I12700" t="s">
        <v>3797</v>
      </c>
      <c r="J12700" t="s">
        <v>29546</v>
      </c>
      <c r="K12700" t="s">
        <v>36727</v>
      </c>
      <c r="M12700" t="s">
        <v>38699</v>
      </c>
      <c r="N12700" t="s">
        <v>40436</v>
      </c>
      <c r="O12700" t="s">
        <v>40437</v>
      </c>
      <c r="P12700">
        <v>0</v>
      </c>
      <c r="Q12700">
        <v>1</v>
      </c>
      <c r="R12700" t="s">
        <v>40457</v>
      </c>
      <c r="S12700" t="s">
        <v>41386</v>
      </c>
      <c r="T12700" t="s">
        <v>42277</v>
      </c>
      <c r="U12700" t="s">
        <v>53018</v>
      </c>
      <c r="W12700" t="s">
        <v>38699</v>
      </c>
      <c r="X12700" t="s">
        <v>40458</v>
      </c>
    </row>
    <row r="12701" spans="1:24">
      <c r="A12701">
        <f>HYPERLINK("https://www.philgeps.gov.ph/GEPSNONPILOT/Tender/SplashBidNoticeAbstractUI.aspx?menuIndex=3&amp;refID=7016496&amp;Result=3","7016496")</f>
        <v>0</v>
      </c>
      <c r="B12701" t="s">
        <v>593</v>
      </c>
      <c r="C12701" t="s">
        <v>15254</v>
      </c>
      <c r="D12701" t="s">
        <v>16187</v>
      </c>
      <c r="E12701" t="s">
        <v>27310</v>
      </c>
      <c r="F12701" t="s">
        <v>28198</v>
      </c>
      <c r="G12701" t="s">
        <v>28205</v>
      </c>
      <c r="H12701" t="s">
        <v>28215</v>
      </c>
      <c r="I12701" t="s">
        <v>28228</v>
      </c>
      <c r="J12701" t="s">
        <v>36134</v>
      </c>
      <c r="K12701" t="s">
        <v>36697</v>
      </c>
      <c r="M12701" t="s">
        <v>37582</v>
      </c>
      <c r="N12701" t="s">
        <v>40436</v>
      </c>
      <c r="O12701" t="s">
        <v>40437</v>
      </c>
      <c r="P12701">
        <v>0</v>
      </c>
      <c r="Q12701">
        <v>0</v>
      </c>
      <c r="R12701" t="s">
        <v>40457</v>
      </c>
      <c r="S12701" t="s">
        <v>41386</v>
      </c>
      <c r="T12701" t="s">
        <v>42184</v>
      </c>
      <c r="U12701" t="s">
        <v>53019</v>
      </c>
      <c r="V12701" t="s">
        <v>53928</v>
      </c>
      <c r="W12701" t="s">
        <v>37582</v>
      </c>
      <c r="X12701" t="s">
        <v>40458</v>
      </c>
    </row>
    <row r="12702" spans="1:24">
      <c r="A12702">
        <f>HYPERLINK("https://www.philgeps.gov.ph/GEPSNONPILOT/Tender/SplashBidNoticeAbstractUI.aspx?menuIndex=3&amp;refID=7016303&amp;Result=3","7016303")</f>
        <v>0</v>
      </c>
      <c r="B12702" t="s">
        <v>1612</v>
      </c>
      <c r="C12702" t="s">
        <v>15255</v>
      </c>
      <c r="D12702" t="s">
        <v>16232</v>
      </c>
      <c r="E12702" t="s">
        <v>27311</v>
      </c>
      <c r="F12702" t="s">
        <v>28198</v>
      </c>
      <c r="G12702" t="s">
        <v>28205</v>
      </c>
      <c r="H12702" t="s">
        <v>28214</v>
      </c>
      <c r="I12702" t="s">
        <v>3797</v>
      </c>
      <c r="J12702" t="s">
        <v>31258</v>
      </c>
      <c r="K12702" t="s">
        <v>36776</v>
      </c>
      <c r="M12702" t="s">
        <v>38699</v>
      </c>
      <c r="N12702" t="s">
        <v>40436</v>
      </c>
      <c r="O12702" t="s">
        <v>40437</v>
      </c>
      <c r="P12702">
        <v>0</v>
      </c>
      <c r="Q12702">
        <v>0</v>
      </c>
      <c r="R12702" t="s">
        <v>40457</v>
      </c>
      <c r="S12702" t="s">
        <v>41386</v>
      </c>
      <c r="T12702" t="s">
        <v>42277</v>
      </c>
      <c r="U12702" t="s">
        <v>53020</v>
      </c>
      <c r="W12702" t="s">
        <v>38699</v>
      </c>
      <c r="X12702" t="s">
        <v>40458</v>
      </c>
    </row>
    <row r="12703" spans="1:24">
      <c r="A12703">
        <f>HYPERLINK("https://www.philgeps.gov.ph/GEPSNONPILOT/Tender/SplashBidNoticeAbstractUI.aspx?menuIndex=3&amp;refID=7016297&amp;Result=3","7016297")</f>
        <v>0</v>
      </c>
      <c r="B12703" t="s">
        <v>1612</v>
      </c>
      <c r="C12703" t="s">
        <v>15256</v>
      </c>
      <c r="D12703" t="s">
        <v>16232</v>
      </c>
      <c r="E12703" t="s">
        <v>27312</v>
      </c>
      <c r="F12703" t="s">
        <v>28198</v>
      </c>
      <c r="G12703" t="s">
        <v>28205</v>
      </c>
      <c r="H12703" t="s">
        <v>28214</v>
      </c>
      <c r="I12703" t="s">
        <v>3797</v>
      </c>
      <c r="J12703" t="s">
        <v>29224</v>
      </c>
      <c r="K12703" t="s">
        <v>36694</v>
      </c>
      <c r="M12703" t="s">
        <v>38699</v>
      </c>
      <c r="N12703" t="s">
        <v>40436</v>
      </c>
      <c r="O12703" t="s">
        <v>40437</v>
      </c>
      <c r="P12703">
        <v>0</v>
      </c>
      <c r="Q12703">
        <v>0</v>
      </c>
      <c r="R12703" t="s">
        <v>40457</v>
      </c>
      <c r="S12703" t="s">
        <v>41386</v>
      </c>
      <c r="T12703" t="s">
        <v>42277</v>
      </c>
      <c r="U12703" t="s">
        <v>53021</v>
      </c>
      <c r="W12703" t="s">
        <v>38699</v>
      </c>
      <c r="X12703" t="s">
        <v>40458</v>
      </c>
    </row>
    <row r="12704" spans="1:24">
      <c r="A12704">
        <f>HYPERLINK("https://www.philgeps.gov.ph/GEPSNONPILOT/Tender/SplashBidNoticeAbstractUI.aspx?menuIndex=3&amp;refID=7016287&amp;Result=3","7016287")</f>
        <v>0</v>
      </c>
      <c r="B12704" t="s">
        <v>1612</v>
      </c>
      <c r="C12704" t="s">
        <v>15257</v>
      </c>
      <c r="D12704" t="s">
        <v>16232</v>
      </c>
      <c r="E12704" t="s">
        <v>27313</v>
      </c>
      <c r="F12704" t="s">
        <v>28198</v>
      </c>
      <c r="G12704" t="s">
        <v>28205</v>
      </c>
      <c r="H12704" t="s">
        <v>28214</v>
      </c>
      <c r="I12704" t="s">
        <v>3797</v>
      </c>
      <c r="J12704" t="s">
        <v>29325</v>
      </c>
      <c r="K12704" t="s">
        <v>36727</v>
      </c>
      <c r="M12704" t="s">
        <v>38699</v>
      </c>
      <c r="N12704" t="s">
        <v>40436</v>
      </c>
      <c r="O12704" t="s">
        <v>40437</v>
      </c>
      <c r="P12704">
        <v>0</v>
      </c>
      <c r="Q12704">
        <v>1</v>
      </c>
      <c r="R12704" t="s">
        <v>40457</v>
      </c>
      <c r="S12704" t="s">
        <v>41386</v>
      </c>
      <c r="T12704" t="s">
        <v>42277</v>
      </c>
      <c r="U12704" t="s">
        <v>53022</v>
      </c>
      <c r="W12704" t="s">
        <v>38699</v>
      </c>
      <c r="X12704" t="s">
        <v>40458</v>
      </c>
    </row>
    <row r="12705" spans="1:24">
      <c r="A12705">
        <f>HYPERLINK("https://www.philgeps.gov.ph/GEPSNONPILOT/Tender/SplashBidNoticeAbstractUI.aspx?menuIndex=3&amp;refID=7016466&amp;Result=3","7016466")</f>
        <v>0</v>
      </c>
      <c r="B12705" t="s">
        <v>2733</v>
      </c>
      <c r="C12705" t="s">
        <v>15258</v>
      </c>
      <c r="D12705" t="s">
        <v>16187</v>
      </c>
      <c r="E12705" t="s">
        <v>27314</v>
      </c>
      <c r="F12705" t="s">
        <v>28198</v>
      </c>
      <c r="G12705" t="s">
        <v>28205</v>
      </c>
      <c r="H12705" t="s">
        <v>28214</v>
      </c>
      <c r="I12705" t="s">
        <v>3797</v>
      </c>
      <c r="J12705" t="s">
        <v>29615</v>
      </c>
      <c r="K12705" t="s">
        <v>36941</v>
      </c>
      <c r="M12705" t="s">
        <v>39979</v>
      </c>
      <c r="N12705" t="s">
        <v>40436</v>
      </c>
      <c r="O12705" t="s">
        <v>40437</v>
      </c>
      <c r="Q12705">
        <v>3</v>
      </c>
      <c r="R12705" t="s">
        <v>40457</v>
      </c>
      <c r="S12705" t="s">
        <v>41439</v>
      </c>
      <c r="T12705" t="s">
        <v>42134</v>
      </c>
      <c r="U12705" t="s">
        <v>53023</v>
      </c>
      <c r="V12705" t="s">
        <v>55238</v>
      </c>
      <c r="W12705" t="s">
        <v>39979</v>
      </c>
      <c r="X12705" t="s">
        <v>40458</v>
      </c>
    </row>
    <row r="12706" spans="1:24">
      <c r="A12706">
        <f>HYPERLINK("https://www.philgeps.gov.ph/GEPSNONPILOT/Tender/SplashBidNoticeAbstractUI.aspx?menuIndex=3&amp;refID=7016328&amp;Result=3","7016328")</f>
        <v>0</v>
      </c>
      <c r="B12706" t="s">
        <v>2355</v>
      </c>
      <c r="C12706" t="s">
        <v>15259</v>
      </c>
      <c r="D12706" t="s">
        <v>16210</v>
      </c>
      <c r="E12706" t="s">
        <v>27315</v>
      </c>
      <c r="F12706" t="s">
        <v>28198</v>
      </c>
      <c r="G12706" t="s">
        <v>28205</v>
      </c>
      <c r="H12706" t="s">
        <v>28214</v>
      </c>
      <c r="I12706" t="s">
        <v>3797</v>
      </c>
      <c r="J12706" t="s">
        <v>36135</v>
      </c>
      <c r="K12706" t="s">
        <v>36735</v>
      </c>
      <c r="M12706" t="s">
        <v>39535</v>
      </c>
      <c r="N12706" t="s">
        <v>40436</v>
      </c>
      <c r="O12706" t="s">
        <v>40437</v>
      </c>
      <c r="Q12706">
        <v>60</v>
      </c>
      <c r="R12706" t="s">
        <v>40457</v>
      </c>
      <c r="S12706" t="s">
        <v>41440</v>
      </c>
      <c r="T12706" t="s">
        <v>42233</v>
      </c>
      <c r="U12706" t="s">
        <v>49176</v>
      </c>
      <c r="W12706" t="s">
        <v>39535</v>
      </c>
      <c r="X12706" t="s">
        <v>40458</v>
      </c>
    </row>
    <row r="12707" spans="1:24">
      <c r="A12707">
        <f>HYPERLINK("https://www.philgeps.gov.ph/GEPSNONPILOT/Tender/SplashBidNoticeAbstractUI.aspx?menuIndex=3&amp;refID=7016461&amp;Result=3","7016461")</f>
        <v>0</v>
      </c>
      <c r="B12707" t="s">
        <v>2733</v>
      </c>
      <c r="C12707" t="s">
        <v>15260</v>
      </c>
      <c r="D12707" t="s">
        <v>16187</v>
      </c>
      <c r="E12707" t="s">
        <v>27316</v>
      </c>
      <c r="F12707" t="s">
        <v>28198</v>
      </c>
      <c r="G12707" t="s">
        <v>28205</v>
      </c>
      <c r="H12707" t="s">
        <v>28214</v>
      </c>
      <c r="I12707" t="s">
        <v>3797</v>
      </c>
      <c r="J12707" t="s">
        <v>32323</v>
      </c>
      <c r="K12707" t="s">
        <v>36973</v>
      </c>
      <c r="M12707" t="s">
        <v>39979</v>
      </c>
      <c r="N12707" t="s">
        <v>40436</v>
      </c>
      <c r="O12707" t="s">
        <v>40437</v>
      </c>
      <c r="P12707">
        <v>0</v>
      </c>
      <c r="Q12707">
        <v>4</v>
      </c>
      <c r="R12707" t="s">
        <v>40457</v>
      </c>
      <c r="S12707" t="s">
        <v>41386</v>
      </c>
      <c r="T12707" t="s">
        <v>42184</v>
      </c>
      <c r="U12707" t="s">
        <v>53024</v>
      </c>
      <c r="V12707" t="s">
        <v>55239</v>
      </c>
      <c r="W12707" t="s">
        <v>39979</v>
      </c>
      <c r="X12707" t="s">
        <v>40458</v>
      </c>
    </row>
    <row r="12708" spans="1:24">
      <c r="A12708">
        <f>HYPERLINK("https://www.philgeps.gov.ph/GEPSNONPILOT/Tender/SplashBidNoticeAbstractUI.aspx?menuIndex=3&amp;refID=7016459&amp;Result=3","7016459")</f>
        <v>0</v>
      </c>
      <c r="B12708" t="s">
        <v>3012</v>
      </c>
      <c r="C12708" t="s">
        <v>15261</v>
      </c>
      <c r="D12708" t="s">
        <v>16210</v>
      </c>
      <c r="E12708" t="s">
        <v>27317</v>
      </c>
      <c r="F12708" t="s">
        <v>28198</v>
      </c>
      <c r="G12708" t="s">
        <v>28205</v>
      </c>
      <c r="H12708" t="s">
        <v>28217</v>
      </c>
      <c r="I12708" t="s">
        <v>28290</v>
      </c>
      <c r="J12708" t="s">
        <v>29780</v>
      </c>
      <c r="K12708" t="s">
        <v>36692</v>
      </c>
      <c r="M12708" t="s">
        <v>40311</v>
      </c>
      <c r="N12708" t="s">
        <v>40436</v>
      </c>
      <c r="O12708" t="s">
        <v>40437</v>
      </c>
      <c r="Q12708">
        <v>3</v>
      </c>
      <c r="R12708" t="s">
        <v>40457</v>
      </c>
      <c r="S12708" t="s">
        <v>41441</v>
      </c>
      <c r="T12708" t="s">
        <v>42100</v>
      </c>
      <c r="U12708" t="s">
        <v>53025</v>
      </c>
      <c r="W12708" t="s">
        <v>55547</v>
      </c>
      <c r="X12708" t="s">
        <v>40458</v>
      </c>
    </row>
    <row r="12709" spans="1:24">
      <c r="A12709">
        <f>HYPERLINK("https://www.philgeps.gov.ph/GEPSNONPILOT/Tender/SplashBidNoticeAbstractUI.aspx?menuIndex=3&amp;refID=7016299&amp;Result=3","7016299")</f>
        <v>0</v>
      </c>
      <c r="B12709" t="s">
        <v>1612</v>
      </c>
      <c r="C12709" t="s">
        <v>15262</v>
      </c>
      <c r="D12709" t="s">
        <v>16232</v>
      </c>
      <c r="E12709" t="s">
        <v>27318</v>
      </c>
      <c r="F12709" t="s">
        <v>28198</v>
      </c>
      <c r="G12709" t="s">
        <v>28205</v>
      </c>
      <c r="H12709" t="s">
        <v>28214</v>
      </c>
      <c r="I12709" t="s">
        <v>3797</v>
      </c>
      <c r="J12709" t="s">
        <v>34209</v>
      </c>
      <c r="K12709" t="s">
        <v>36793</v>
      </c>
      <c r="M12709" t="s">
        <v>38699</v>
      </c>
      <c r="N12709" t="s">
        <v>40436</v>
      </c>
      <c r="O12709" t="s">
        <v>40437</v>
      </c>
      <c r="P12709">
        <v>0</v>
      </c>
      <c r="Q12709">
        <v>0</v>
      </c>
      <c r="R12709" t="s">
        <v>40457</v>
      </c>
      <c r="S12709" t="s">
        <v>41386</v>
      </c>
      <c r="T12709" t="s">
        <v>42277</v>
      </c>
      <c r="U12709" t="s">
        <v>53026</v>
      </c>
      <c r="W12709" t="s">
        <v>38699</v>
      </c>
      <c r="X12709" t="s">
        <v>40458</v>
      </c>
    </row>
    <row r="12710" spans="1:24">
      <c r="A12710">
        <f>HYPERLINK("https://www.philgeps.gov.ph/GEPSNONPILOT/Tender/SplashBidNoticeAbstractUI.aspx?menuIndex=3&amp;refID=7016332&amp;Result=3","7016332")</f>
        <v>0</v>
      </c>
      <c r="B12710" t="s">
        <v>2355</v>
      </c>
      <c r="C12710" t="s">
        <v>15263</v>
      </c>
      <c r="D12710" t="s">
        <v>16210</v>
      </c>
      <c r="E12710" t="s">
        <v>27319</v>
      </c>
      <c r="F12710" t="s">
        <v>28198</v>
      </c>
      <c r="G12710" t="s">
        <v>28205</v>
      </c>
      <c r="H12710" t="s">
        <v>28214</v>
      </c>
      <c r="I12710" t="s">
        <v>3797</v>
      </c>
      <c r="J12710" t="s">
        <v>36136</v>
      </c>
      <c r="K12710" t="s">
        <v>36692</v>
      </c>
      <c r="M12710" t="s">
        <v>39535</v>
      </c>
      <c r="N12710" t="s">
        <v>40436</v>
      </c>
      <c r="O12710" t="s">
        <v>40437</v>
      </c>
      <c r="Q12710">
        <v>51</v>
      </c>
      <c r="R12710" t="s">
        <v>40457</v>
      </c>
      <c r="S12710" t="s">
        <v>41442</v>
      </c>
      <c r="T12710" t="s">
        <v>42233</v>
      </c>
      <c r="U12710" t="s">
        <v>49176</v>
      </c>
      <c r="W12710" t="s">
        <v>39535</v>
      </c>
      <c r="X12710" t="s">
        <v>40458</v>
      </c>
    </row>
    <row r="12711" spans="1:24">
      <c r="A12711">
        <f>HYPERLINK("https://www.philgeps.gov.ph/GEPSNONPILOT/Tender/SplashBidNoticeAbstractUI.aspx?menuIndex=3&amp;refID=7016446&amp;Result=3","7016446")</f>
        <v>0</v>
      </c>
      <c r="B12711" t="s">
        <v>85</v>
      </c>
      <c r="C12711" t="s">
        <v>15264</v>
      </c>
      <c r="D12711" t="s">
        <v>16221</v>
      </c>
      <c r="E12711" t="s">
        <v>27320</v>
      </c>
      <c r="F12711" t="s">
        <v>28198</v>
      </c>
      <c r="G12711" t="s">
        <v>28205</v>
      </c>
      <c r="H12711" t="s">
        <v>28214</v>
      </c>
      <c r="I12711" t="s">
        <v>3797</v>
      </c>
      <c r="J12711" t="s">
        <v>28378</v>
      </c>
      <c r="K12711" t="s">
        <v>36701</v>
      </c>
      <c r="M12711" t="s">
        <v>37057</v>
      </c>
      <c r="N12711" t="s">
        <v>40436</v>
      </c>
      <c r="O12711" t="s">
        <v>40437</v>
      </c>
      <c r="P12711">
        <v>0</v>
      </c>
      <c r="Q12711">
        <v>1</v>
      </c>
      <c r="R12711" t="s">
        <v>40457</v>
      </c>
      <c r="S12711" t="s">
        <v>41386</v>
      </c>
      <c r="T12711" t="s">
        <v>42102</v>
      </c>
      <c r="U12711" t="s">
        <v>42729</v>
      </c>
      <c r="W12711" t="s">
        <v>37057</v>
      </c>
      <c r="X12711" t="s">
        <v>40458</v>
      </c>
    </row>
    <row r="12712" spans="1:24">
      <c r="A12712">
        <f>HYPERLINK("https://www.philgeps.gov.ph/GEPSNONPILOT/Tender/SplashBidNoticeAbstractUI.aspx?menuIndex=3&amp;refID=7016445&amp;Result=3","7016445")</f>
        <v>0</v>
      </c>
      <c r="B12712" t="s">
        <v>2733</v>
      </c>
      <c r="C12712" t="s">
        <v>15265</v>
      </c>
      <c r="D12712" t="s">
        <v>16187</v>
      </c>
      <c r="E12712" t="s">
        <v>27321</v>
      </c>
      <c r="F12712" t="s">
        <v>28198</v>
      </c>
      <c r="G12712" t="s">
        <v>28205</v>
      </c>
      <c r="H12712" t="s">
        <v>28214</v>
      </c>
      <c r="I12712" t="s">
        <v>3797</v>
      </c>
      <c r="J12712" t="s">
        <v>29552</v>
      </c>
      <c r="K12712" t="s">
        <v>36782</v>
      </c>
      <c r="M12712" t="s">
        <v>39979</v>
      </c>
      <c r="N12712" t="s">
        <v>40436</v>
      </c>
      <c r="O12712" t="s">
        <v>40437</v>
      </c>
      <c r="P12712">
        <v>0</v>
      </c>
      <c r="Q12712">
        <v>2</v>
      </c>
      <c r="R12712" t="s">
        <v>40457</v>
      </c>
      <c r="S12712" t="s">
        <v>41386</v>
      </c>
      <c r="T12712" t="s">
        <v>42184</v>
      </c>
      <c r="U12712" t="s">
        <v>53027</v>
      </c>
      <c r="V12712" t="s">
        <v>55240</v>
      </c>
      <c r="W12712" t="s">
        <v>39979</v>
      </c>
      <c r="X12712" t="s">
        <v>40458</v>
      </c>
    </row>
    <row r="12713" spans="1:24">
      <c r="A12713">
        <f>HYPERLINK("https://www.philgeps.gov.ph/GEPSNONPILOT/Tender/SplashBidNoticeAbstractUI.aspx?menuIndex=3&amp;refID=7016451&amp;Result=3","7016451")</f>
        <v>0</v>
      </c>
      <c r="B12713" t="s">
        <v>2733</v>
      </c>
      <c r="C12713" t="s">
        <v>15266</v>
      </c>
      <c r="D12713" t="s">
        <v>16187</v>
      </c>
      <c r="E12713" t="s">
        <v>27322</v>
      </c>
      <c r="F12713" t="s">
        <v>28198</v>
      </c>
      <c r="G12713" t="s">
        <v>28205</v>
      </c>
      <c r="H12713" t="s">
        <v>28214</v>
      </c>
      <c r="I12713" t="s">
        <v>3797</v>
      </c>
      <c r="J12713" t="s">
        <v>35349</v>
      </c>
      <c r="K12713" t="s">
        <v>36973</v>
      </c>
      <c r="M12713" t="s">
        <v>39979</v>
      </c>
      <c r="N12713" t="s">
        <v>40436</v>
      </c>
      <c r="O12713" t="s">
        <v>40437</v>
      </c>
      <c r="Q12713">
        <v>13</v>
      </c>
      <c r="R12713" t="s">
        <v>40457</v>
      </c>
      <c r="S12713" t="s">
        <v>41443</v>
      </c>
      <c r="T12713" t="s">
        <v>42134</v>
      </c>
      <c r="U12713" t="s">
        <v>53015</v>
      </c>
      <c r="V12713" t="s">
        <v>55241</v>
      </c>
      <c r="W12713" t="s">
        <v>39979</v>
      </c>
      <c r="X12713" t="s">
        <v>40458</v>
      </c>
    </row>
    <row r="12714" spans="1:24">
      <c r="A12714">
        <f>HYPERLINK("https://www.philgeps.gov.ph/GEPSNONPILOT/Tender/SplashBidNoticeAbstractUI.aspx?menuIndex=3&amp;refID=7016471&amp;Result=3","7016471")</f>
        <v>0</v>
      </c>
      <c r="B12714" t="s">
        <v>2733</v>
      </c>
      <c r="C12714" t="s">
        <v>15267</v>
      </c>
      <c r="D12714" t="s">
        <v>16187</v>
      </c>
      <c r="E12714" t="s">
        <v>27323</v>
      </c>
      <c r="F12714" t="s">
        <v>28198</v>
      </c>
      <c r="G12714" t="s">
        <v>28205</v>
      </c>
      <c r="H12714" t="s">
        <v>28214</v>
      </c>
      <c r="I12714" t="s">
        <v>3797</v>
      </c>
      <c r="J12714" t="s">
        <v>32533</v>
      </c>
      <c r="K12714" t="s">
        <v>36973</v>
      </c>
      <c r="M12714" t="s">
        <v>39979</v>
      </c>
      <c r="N12714" t="s">
        <v>40436</v>
      </c>
      <c r="O12714" t="s">
        <v>40437</v>
      </c>
      <c r="P12714">
        <v>0</v>
      </c>
      <c r="Q12714">
        <v>14</v>
      </c>
      <c r="R12714" t="s">
        <v>40457</v>
      </c>
      <c r="S12714" t="s">
        <v>41386</v>
      </c>
      <c r="T12714" t="s">
        <v>42184</v>
      </c>
      <c r="U12714" t="s">
        <v>53028</v>
      </c>
      <c r="V12714" t="s">
        <v>55242</v>
      </c>
      <c r="W12714" t="s">
        <v>39979</v>
      </c>
      <c r="X12714" t="s">
        <v>40458</v>
      </c>
    </row>
    <row r="12715" spans="1:24">
      <c r="A12715">
        <f>HYPERLINK("https://www.philgeps.gov.ph/GEPSNONPILOT/Tender/SplashBidNoticeAbstractUI.aspx?menuIndex=3&amp;refID=7016456&amp;Result=3","7016456")</f>
        <v>0</v>
      </c>
      <c r="B12715" t="s">
        <v>2733</v>
      </c>
      <c r="C12715" t="s">
        <v>15268</v>
      </c>
      <c r="D12715" t="s">
        <v>16187</v>
      </c>
      <c r="E12715" t="s">
        <v>27324</v>
      </c>
      <c r="F12715" t="s">
        <v>28198</v>
      </c>
      <c r="G12715" t="s">
        <v>28205</v>
      </c>
      <c r="H12715" t="s">
        <v>28214</v>
      </c>
      <c r="I12715" t="s">
        <v>3797</v>
      </c>
      <c r="J12715" t="s">
        <v>32323</v>
      </c>
      <c r="K12715" t="s">
        <v>36941</v>
      </c>
      <c r="M12715" t="s">
        <v>39979</v>
      </c>
      <c r="N12715" t="s">
        <v>40436</v>
      </c>
      <c r="O12715" t="s">
        <v>40437</v>
      </c>
      <c r="P12715">
        <v>0</v>
      </c>
      <c r="Q12715">
        <v>6</v>
      </c>
      <c r="R12715" t="s">
        <v>40457</v>
      </c>
      <c r="S12715" t="s">
        <v>41386</v>
      </c>
      <c r="T12715" t="s">
        <v>42184</v>
      </c>
      <c r="U12715" t="s">
        <v>53029</v>
      </c>
      <c r="V12715" t="s">
        <v>55243</v>
      </c>
      <c r="W12715" t="s">
        <v>39979</v>
      </c>
      <c r="X12715" t="s">
        <v>40458</v>
      </c>
    </row>
    <row r="12716" spans="1:24">
      <c r="A12716">
        <f>HYPERLINK("https://www.philgeps.gov.ph/GEPSNONPILOT/Tender/SplashBidNoticeAbstractUI.aspx?menuIndex=3&amp;refID=7016434&amp;Result=3","7016434")</f>
        <v>0</v>
      </c>
      <c r="B12716" t="s">
        <v>1141</v>
      </c>
      <c r="C12716" t="s">
        <v>15269</v>
      </c>
      <c r="D12716" t="s">
        <v>16261</v>
      </c>
      <c r="E12716" t="s">
        <v>27325</v>
      </c>
      <c r="F12716" t="s">
        <v>28198</v>
      </c>
      <c r="G12716" t="s">
        <v>28205</v>
      </c>
      <c r="H12716" t="s">
        <v>28214</v>
      </c>
      <c r="I12716" t="s">
        <v>3797</v>
      </c>
      <c r="J12716" t="s">
        <v>28430</v>
      </c>
      <c r="K12716" t="s">
        <v>36813</v>
      </c>
      <c r="M12716" t="s">
        <v>38181</v>
      </c>
      <c r="N12716" t="s">
        <v>40436</v>
      </c>
      <c r="O12716" t="s">
        <v>40437</v>
      </c>
      <c r="P12716">
        <v>0</v>
      </c>
      <c r="Q12716">
        <v>0</v>
      </c>
      <c r="R12716" t="s">
        <v>40457</v>
      </c>
      <c r="S12716" t="s">
        <v>41386</v>
      </c>
      <c r="T12716" t="s">
        <v>42133</v>
      </c>
      <c r="U12716" t="s">
        <v>53030</v>
      </c>
      <c r="W12716" t="s">
        <v>38181</v>
      </c>
      <c r="X12716" t="s">
        <v>40458</v>
      </c>
    </row>
    <row r="12717" spans="1:24">
      <c r="A12717">
        <f>HYPERLINK("https://www.philgeps.gov.ph/GEPSNONPILOT/Tender/SplashBidNoticeAbstractUI.aspx?menuIndex=3&amp;refID=7016452&amp;Result=3","7016452")</f>
        <v>0</v>
      </c>
      <c r="B12717" t="s">
        <v>2733</v>
      </c>
      <c r="C12717" t="s">
        <v>15270</v>
      </c>
      <c r="D12717" t="s">
        <v>16187</v>
      </c>
      <c r="E12717" t="s">
        <v>27326</v>
      </c>
      <c r="F12717" t="s">
        <v>28198</v>
      </c>
      <c r="G12717" t="s">
        <v>28205</v>
      </c>
      <c r="H12717" t="s">
        <v>28214</v>
      </c>
      <c r="I12717" t="s">
        <v>3797</v>
      </c>
      <c r="J12717" t="s">
        <v>32253</v>
      </c>
      <c r="K12717" t="s">
        <v>36973</v>
      </c>
      <c r="M12717" t="s">
        <v>39979</v>
      </c>
      <c r="N12717" t="s">
        <v>40436</v>
      </c>
      <c r="O12717" t="s">
        <v>40437</v>
      </c>
      <c r="Q12717">
        <v>10</v>
      </c>
      <c r="R12717" t="s">
        <v>40457</v>
      </c>
      <c r="S12717" t="s">
        <v>41444</v>
      </c>
      <c r="T12717" t="s">
        <v>42134</v>
      </c>
      <c r="U12717" t="s">
        <v>53031</v>
      </c>
      <c r="V12717" t="s">
        <v>55244</v>
      </c>
      <c r="W12717" t="s">
        <v>39979</v>
      </c>
      <c r="X12717" t="s">
        <v>40458</v>
      </c>
    </row>
    <row r="12718" spans="1:24">
      <c r="A12718">
        <f>HYPERLINK("https://www.philgeps.gov.ph/GEPSNONPILOT/Tender/SplashBidNoticeAbstractUI.aspx?menuIndex=3&amp;refID=7016440&amp;Result=3","7016440")</f>
        <v>0</v>
      </c>
      <c r="B12718" t="s">
        <v>1141</v>
      </c>
      <c r="C12718" t="s">
        <v>15271</v>
      </c>
      <c r="D12718" t="s">
        <v>16261</v>
      </c>
      <c r="E12718" t="s">
        <v>27327</v>
      </c>
      <c r="F12718" t="s">
        <v>28198</v>
      </c>
      <c r="G12718" t="s">
        <v>28205</v>
      </c>
      <c r="H12718" t="s">
        <v>28214</v>
      </c>
      <c r="I12718" t="s">
        <v>3797</v>
      </c>
      <c r="J12718" t="s">
        <v>28361</v>
      </c>
      <c r="K12718" t="s">
        <v>36695</v>
      </c>
      <c r="M12718" t="s">
        <v>38181</v>
      </c>
      <c r="N12718" t="s">
        <v>40436</v>
      </c>
      <c r="O12718" t="s">
        <v>40437</v>
      </c>
      <c r="P12718">
        <v>0</v>
      </c>
      <c r="Q12718">
        <v>0</v>
      </c>
      <c r="R12718" t="s">
        <v>40457</v>
      </c>
      <c r="S12718" t="s">
        <v>41386</v>
      </c>
      <c r="T12718" t="s">
        <v>42133</v>
      </c>
      <c r="U12718" t="s">
        <v>53032</v>
      </c>
      <c r="W12718" t="s">
        <v>38181</v>
      </c>
      <c r="X12718" t="s">
        <v>40458</v>
      </c>
    </row>
    <row r="12719" spans="1:24">
      <c r="A12719">
        <f>HYPERLINK("https://www.philgeps.gov.ph/GEPSNONPILOT/Tender/SplashBidNoticeAbstractUI.aspx?menuIndex=3&amp;refID=7010676&amp;Result=3","7010676")</f>
        <v>0</v>
      </c>
      <c r="B12719" t="s">
        <v>3013</v>
      </c>
      <c r="C12719" t="s">
        <v>15272</v>
      </c>
      <c r="D12719" t="s">
        <v>16213</v>
      </c>
      <c r="E12719" t="s">
        <v>27328</v>
      </c>
      <c r="F12719" t="s">
        <v>28198</v>
      </c>
      <c r="G12719" t="s">
        <v>28205</v>
      </c>
      <c r="H12719" t="s">
        <v>28214</v>
      </c>
      <c r="I12719" t="s">
        <v>3797</v>
      </c>
      <c r="J12719" t="s">
        <v>36137</v>
      </c>
      <c r="K12719" t="s">
        <v>36727</v>
      </c>
      <c r="M12719" t="s">
        <v>40312</v>
      </c>
      <c r="N12719" t="s">
        <v>40436</v>
      </c>
      <c r="O12719" t="s">
        <v>40437</v>
      </c>
      <c r="P12719">
        <v>0</v>
      </c>
      <c r="Q12719">
        <v>3</v>
      </c>
      <c r="R12719" t="s">
        <v>40458</v>
      </c>
      <c r="S12719" t="s">
        <v>41445</v>
      </c>
      <c r="T12719" t="s">
        <v>42277</v>
      </c>
      <c r="U12719" t="s">
        <v>53033</v>
      </c>
      <c r="W12719" t="s">
        <v>40312</v>
      </c>
      <c r="X12719" t="s">
        <v>40460</v>
      </c>
    </row>
    <row r="12720" spans="1:24">
      <c r="A12720">
        <f>HYPERLINK("https://www.philgeps.gov.ph/GEPSNONPILOT/Tender/SplashBidNoticeAbstractUI.aspx?menuIndex=3&amp;refID=7010209&amp;Result=3","7010209")</f>
        <v>0</v>
      </c>
      <c r="B12720" t="s">
        <v>2279</v>
      </c>
      <c r="C12720" t="s">
        <v>15273</v>
      </c>
      <c r="E12720" t="s">
        <v>27329</v>
      </c>
      <c r="F12720" t="s">
        <v>28198</v>
      </c>
      <c r="G12720" t="s">
        <v>28205</v>
      </c>
      <c r="H12720" t="s">
        <v>28215</v>
      </c>
      <c r="I12720" t="s">
        <v>28222</v>
      </c>
      <c r="J12720" t="s">
        <v>36138</v>
      </c>
      <c r="K12720" t="s">
        <v>36701</v>
      </c>
      <c r="M12720" t="s">
        <v>39451</v>
      </c>
      <c r="N12720" t="s">
        <v>40436</v>
      </c>
      <c r="O12720" t="s">
        <v>40437</v>
      </c>
      <c r="P12720">
        <v>0</v>
      </c>
      <c r="Q12720">
        <v>3</v>
      </c>
      <c r="R12720" t="s">
        <v>40458</v>
      </c>
      <c r="S12720" t="s">
        <v>41445</v>
      </c>
      <c r="T12720" t="s">
        <v>42350</v>
      </c>
      <c r="U12720" t="s">
        <v>48841</v>
      </c>
      <c r="W12720" t="s">
        <v>39451</v>
      </c>
      <c r="X12720" t="s">
        <v>40460</v>
      </c>
    </row>
    <row r="12721" spans="1:24">
      <c r="A12721">
        <f>HYPERLINK("https://www.philgeps.gov.ph/GEPSNONPILOT/Tender/SplashBidNoticeAbstractUI.aspx?menuIndex=3&amp;refID=7010319&amp;Result=3","7010319")</f>
        <v>0</v>
      </c>
      <c r="B12721" t="s">
        <v>320</v>
      </c>
      <c r="C12721" t="s">
        <v>15274</v>
      </c>
      <c r="D12721" t="s">
        <v>16199</v>
      </c>
      <c r="E12721" t="s">
        <v>27330</v>
      </c>
      <c r="F12721" t="s">
        <v>28198</v>
      </c>
      <c r="G12721" t="s">
        <v>28205</v>
      </c>
      <c r="H12721" t="s">
        <v>28214</v>
      </c>
      <c r="I12721" t="s">
        <v>3797</v>
      </c>
      <c r="J12721" t="s">
        <v>36139</v>
      </c>
      <c r="K12721" t="s">
        <v>36689</v>
      </c>
      <c r="M12721" t="s">
        <v>37298</v>
      </c>
      <c r="N12721" t="s">
        <v>40436</v>
      </c>
      <c r="O12721" t="s">
        <v>40437</v>
      </c>
      <c r="P12721">
        <v>0</v>
      </c>
      <c r="Q12721">
        <v>1</v>
      </c>
      <c r="R12721" t="s">
        <v>40458</v>
      </c>
      <c r="S12721" t="s">
        <v>41445</v>
      </c>
      <c r="T12721" t="s">
        <v>42121</v>
      </c>
      <c r="U12721" t="s">
        <v>53034</v>
      </c>
      <c r="W12721" t="s">
        <v>37298</v>
      </c>
      <c r="X12721" t="s">
        <v>40460</v>
      </c>
    </row>
    <row r="12722" spans="1:24">
      <c r="A12722">
        <f>HYPERLINK("https://www.philgeps.gov.ph/GEPSNONPILOT/Tender/SplashBidNoticeAbstractUI.aspx?menuIndex=3&amp;refID=7008325&amp;Result=3","7008325")</f>
        <v>0</v>
      </c>
      <c r="B12722" t="s">
        <v>2554</v>
      </c>
      <c r="C12722" t="s">
        <v>15275</v>
      </c>
      <c r="D12722" t="s">
        <v>16251</v>
      </c>
      <c r="E12722" t="s">
        <v>17611</v>
      </c>
      <c r="F12722" t="s">
        <v>28198</v>
      </c>
      <c r="G12722" t="s">
        <v>28205</v>
      </c>
      <c r="H12722" t="s">
        <v>28214</v>
      </c>
      <c r="I12722" t="s">
        <v>3797</v>
      </c>
      <c r="J12722" t="s">
        <v>28921</v>
      </c>
      <c r="K12722" t="s">
        <v>36692</v>
      </c>
      <c r="M12722" t="s">
        <v>39767</v>
      </c>
      <c r="N12722" t="s">
        <v>40436</v>
      </c>
      <c r="O12722" t="s">
        <v>40437</v>
      </c>
      <c r="P12722">
        <v>0</v>
      </c>
      <c r="Q12722">
        <v>0</v>
      </c>
      <c r="R12722" t="s">
        <v>40458</v>
      </c>
      <c r="S12722" t="s">
        <v>41445</v>
      </c>
      <c r="T12722" t="s">
        <v>42277</v>
      </c>
      <c r="U12722" t="s">
        <v>50082</v>
      </c>
      <c r="W12722" t="s">
        <v>39767</v>
      </c>
      <c r="X12722" t="s">
        <v>40463</v>
      </c>
    </row>
    <row r="12723" spans="1:24">
      <c r="A12723">
        <f>HYPERLINK("https://www.philgeps.gov.ph/GEPSNONPILOT/Tender/SplashBidNoticeAbstractUI.aspx?menuIndex=3&amp;refID=7010699&amp;Result=3","7010699")</f>
        <v>0</v>
      </c>
      <c r="B12723" t="s">
        <v>3013</v>
      </c>
      <c r="C12723" t="s">
        <v>15276</v>
      </c>
      <c r="D12723" t="s">
        <v>16213</v>
      </c>
      <c r="E12723" t="s">
        <v>27331</v>
      </c>
      <c r="F12723" t="s">
        <v>28198</v>
      </c>
      <c r="G12723" t="s">
        <v>28205</v>
      </c>
      <c r="H12723" t="s">
        <v>28214</v>
      </c>
      <c r="I12723" t="s">
        <v>3797</v>
      </c>
      <c r="J12723" t="s">
        <v>29409</v>
      </c>
      <c r="K12723" t="s">
        <v>36694</v>
      </c>
      <c r="M12723" t="s">
        <v>40312</v>
      </c>
      <c r="N12723" t="s">
        <v>40436</v>
      </c>
      <c r="O12723" t="s">
        <v>40437</v>
      </c>
      <c r="P12723">
        <v>0</v>
      </c>
      <c r="Q12723">
        <v>3</v>
      </c>
      <c r="R12723" t="s">
        <v>40458</v>
      </c>
      <c r="S12723" t="s">
        <v>41445</v>
      </c>
      <c r="T12723" t="s">
        <v>42277</v>
      </c>
      <c r="U12723" t="s">
        <v>53035</v>
      </c>
      <c r="W12723" t="s">
        <v>40312</v>
      </c>
      <c r="X12723" t="s">
        <v>40460</v>
      </c>
    </row>
    <row r="12724" spans="1:24">
      <c r="A12724">
        <f>HYPERLINK("https://www.philgeps.gov.ph/GEPSNONPILOT/Tender/SplashBidNoticeAbstractUI.aspx?menuIndex=3&amp;refID=7000370&amp;Result=3","7000370")</f>
        <v>0</v>
      </c>
      <c r="B12724" t="s">
        <v>78</v>
      </c>
      <c r="C12724" t="s">
        <v>15277</v>
      </c>
      <c r="D12724" t="s">
        <v>16217</v>
      </c>
      <c r="E12724" t="s">
        <v>27332</v>
      </c>
      <c r="F12724" t="s">
        <v>28198</v>
      </c>
      <c r="G12724" t="s">
        <v>28205</v>
      </c>
      <c r="H12724" t="s">
        <v>28214</v>
      </c>
      <c r="I12724" t="s">
        <v>3797</v>
      </c>
      <c r="J12724" t="s">
        <v>36140</v>
      </c>
      <c r="K12724" t="s">
        <v>36727</v>
      </c>
      <c r="M12724" t="s">
        <v>39733</v>
      </c>
      <c r="N12724" t="s">
        <v>40436</v>
      </c>
      <c r="O12724" t="s">
        <v>40437</v>
      </c>
      <c r="P12724">
        <v>0</v>
      </c>
      <c r="Q12724">
        <v>1</v>
      </c>
      <c r="R12724" t="s">
        <v>40458</v>
      </c>
      <c r="S12724" t="s">
        <v>41445</v>
      </c>
      <c r="T12724" t="s">
        <v>42134</v>
      </c>
      <c r="U12724" t="s">
        <v>53036</v>
      </c>
      <c r="V12724" t="s">
        <v>53791</v>
      </c>
      <c r="W12724" t="s">
        <v>39733</v>
      </c>
      <c r="X12724" t="s">
        <v>40467</v>
      </c>
    </row>
    <row r="12725" spans="1:24">
      <c r="A12725">
        <f>HYPERLINK("https://www.philgeps.gov.ph/GEPSNONPILOT/Tender/SplashBidNoticeAbstractUI.aspx?menuIndex=3&amp;refID=7009589&amp;Result=3","7009589")</f>
        <v>0</v>
      </c>
      <c r="B12725" t="s">
        <v>1891</v>
      </c>
      <c r="C12725" t="s">
        <v>15278</v>
      </c>
      <c r="D12725" t="s">
        <v>16195</v>
      </c>
      <c r="E12725" t="s">
        <v>27333</v>
      </c>
      <c r="F12725" t="s">
        <v>28198</v>
      </c>
      <c r="G12725" t="s">
        <v>28205</v>
      </c>
      <c r="H12725" t="s">
        <v>28215</v>
      </c>
      <c r="I12725" t="s">
        <v>5082</v>
      </c>
      <c r="J12725" t="s">
        <v>28378</v>
      </c>
      <c r="K12725" t="s">
        <v>36701</v>
      </c>
      <c r="M12725" t="s">
        <v>39023</v>
      </c>
      <c r="N12725" t="s">
        <v>40436</v>
      </c>
      <c r="O12725" t="s">
        <v>40437</v>
      </c>
      <c r="P12725">
        <v>0</v>
      </c>
      <c r="Q12725">
        <v>1</v>
      </c>
      <c r="R12725" t="s">
        <v>40458</v>
      </c>
      <c r="S12725" t="s">
        <v>41445</v>
      </c>
      <c r="T12725" t="s">
        <v>42152</v>
      </c>
      <c r="U12725" t="s">
        <v>53037</v>
      </c>
      <c r="W12725" t="s">
        <v>39023</v>
      </c>
      <c r="X12725" t="s">
        <v>40461</v>
      </c>
    </row>
    <row r="12726" spans="1:24">
      <c r="A12726">
        <f>HYPERLINK("https://www.philgeps.gov.ph/GEPSNONPILOT/Tender/SplashBidNoticeAbstractUI.aspx?menuIndex=3&amp;refID=7004878&amp;Result=3","7004878")</f>
        <v>0</v>
      </c>
      <c r="B12726" t="s">
        <v>78</v>
      </c>
      <c r="C12726" t="s">
        <v>15279</v>
      </c>
      <c r="D12726" t="s">
        <v>16217</v>
      </c>
      <c r="E12726" t="s">
        <v>27334</v>
      </c>
      <c r="F12726" t="s">
        <v>28198</v>
      </c>
      <c r="G12726" t="s">
        <v>28205</v>
      </c>
      <c r="H12726" t="s">
        <v>28214</v>
      </c>
      <c r="I12726" t="s">
        <v>3797</v>
      </c>
      <c r="J12726" t="s">
        <v>36141</v>
      </c>
      <c r="K12726" t="s">
        <v>36864</v>
      </c>
      <c r="M12726" t="s">
        <v>39733</v>
      </c>
      <c r="N12726" t="s">
        <v>40436</v>
      </c>
      <c r="O12726" t="s">
        <v>40437</v>
      </c>
      <c r="P12726">
        <v>0</v>
      </c>
      <c r="Q12726">
        <v>1</v>
      </c>
      <c r="R12726" t="s">
        <v>40458</v>
      </c>
      <c r="S12726" t="s">
        <v>41445</v>
      </c>
      <c r="T12726" t="s">
        <v>42134</v>
      </c>
      <c r="U12726" t="s">
        <v>53038</v>
      </c>
      <c r="V12726" t="s">
        <v>53791</v>
      </c>
      <c r="W12726" t="s">
        <v>39733</v>
      </c>
      <c r="X12726" t="s">
        <v>40464</v>
      </c>
    </row>
    <row r="12727" spans="1:24">
      <c r="A12727">
        <f>HYPERLINK("https://www.philgeps.gov.ph/GEPSNONPILOT/Tender/SplashBidNoticeAbstractUI.aspx?menuIndex=3&amp;refID=7004900&amp;Result=3","7004900")</f>
        <v>0</v>
      </c>
      <c r="B12727" t="s">
        <v>78</v>
      </c>
      <c r="C12727" t="s">
        <v>15280</v>
      </c>
      <c r="D12727" t="s">
        <v>16217</v>
      </c>
      <c r="E12727" t="s">
        <v>27335</v>
      </c>
      <c r="F12727" t="s">
        <v>28198</v>
      </c>
      <c r="G12727" t="s">
        <v>28205</v>
      </c>
      <c r="H12727" t="s">
        <v>28215</v>
      </c>
      <c r="I12727" t="s">
        <v>28228</v>
      </c>
      <c r="J12727" t="s">
        <v>36142</v>
      </c>
      <c r="K12727" t="s">
        <v>36697</v>
      </c>
      <c r="M12727" t="s">
        <v>39735</v>
      </c>
      <c r="N12727" t="s">
        <v>40436</v>
      </c>
      <c r="O12727" t="s">
        <v>40437</v>
      </c>
      <c r="P12727">
        <v>0</v>
      </c>
      <c r="Q12727">
        <v>0</v>
      </c>
      <c r="R12727" t="s">
        <v>40458</v>
      </c>
      <c r="S12727" t="s">
        <v>41445</v>
      </c>
      <c r="T12727" t="s">
        <v>42134</v>
      </c>
      <c r="U12727" t="s">
        <v>53039</v>
      </c>
      <c r="V12727" t="s">
        <v>53791</v>
      </c>
      <c r="W12727" t="s">
        <v>39735</v>
      </c>
      <c r="X12727" t="s">
        <v>40464</v>
      </c>
    </row>
    <row r="12728" spans="1:24">
      <c r="A12728">
        <f>HYPERLINK("https://www.philgeps.gov.ph/GEPSNONPILOT/Tender/SplashBidNoticeAbstractUI.aspx?menuIndex=3&amp;refID=7010677&amp;Result=3","7010677")</f>
        <v>0</v>
      </c>
      <c r="B12728" t="s">
        <v>73</v>
      </c>
      <c r="C12728" t="s">
        <v>15281</v>
      </c>
      <c r="D12728" t="s">
        <v>16213</v>
      </c>
      <c r="E12728" t="s">
        <v>27336</v>
      </c>
      <c r="F12728" t="s">
        <v>28198</v>
      </c>
      <c r="G12728" t="s">
        <v>28205</v>
      </c>
      <c r="H12728" t="s">
        <v>28215</v>
      </c>
      <c r="I12728" t="s">
        <v>28262</v>
      </c>
      <c r="J12728" t="s">
        <v>28351</v>
      </c>
      <c r="K12728" t="s">
        <v>36694</v>
      </c>
      <c r="M12728" t="s">
        <v>37045</v>
      </c>
      <c r="N12728" t="s">
        <v>40436</v>
      </c>
      <c r="O12728" t="s">
        <v>40437</v>
      </c>
      <c r="P12728">
        <v>0</v>
      </c>
      <c r="Q12728">
        <v>4</v>
      </c>
      <c r="R12728" t="s">
        <v>40458</v>
      </c>
      <c r="S12728" t="s">
        <v>41445</v>
      </c>
      <c r="T12728" t="s">
        <v>42184</v>
      </c>
      <c r="U12728" t="s">
        <v>53040</v>
      </c>
      <c r="W12728" t="s">
        <v>37045</v>
      </c>
      <c r="X12728" t="s">
        <v>40460</v>
      </c>
    </row>
    <row r="12729" spans="1:24">
      <c r="A12729">
        <f>HYPERLINK("https://www.philgeps.gov.ph/GEPSNONPILOT/Tender/SplashBidNoticeAbstractUI.aspx?menuIndex=3&amp;refID=6997003&amp;Result=3","6997003")</f>
        <v>0</v>
      </c>
      <c r="B12729" t="s">
        <v>78</v>
      </c>
      <c r="C12729" t="s">
        <v>15282</v>
      </c>
      <c r="D12729" t="s">
        <v>16217</v>
      </c>
      <c r="E12729" t="s">
        <v>27337</v>
      </c>
      <c r="F12729" t="s">
        <v>28198</v>
      </c>
      <c r="G12729" t="s">
        <v>28205</v>
      </c>
      <c r="H12729" t="s">
        <v>28214</v>
      </c>
      <c r="I12729" t="s">
        <v>3797</v>
      </c>
      <c r="J12729" t="s">
        <v>36143</v>
      </c>
      <c r="K12729" t="s">
        <v>36690</v>
      </c>
      <c r="M12729" t="s">
        <v>39733</v>
      </c>
      <c r="N12729" t="s">
        <v>40436</v>
      </c>
      <c r="O12729" t="s">
        <v>40437</v>
      </c>
      <c r="P12729">
        <v>0</v>
      </c>
      <c r="Q12729">
        <v>1</v>
      </c>
      <c r="R12729" t="s">
        <v>40458</v>
      </c>
      <c r="S12729" t="s">
        <v>41445</v>
      </c>
      <c r="T12729" t="s">
        <v>42134</v>
      </c>
      <c r="U12729" t="s">
        <v>53041</v>
      </c>
      <c r="V12729" t="s">
        <v>53791</v>
      </c>
      <c r="W12729" t="s">
        <v>39733</v>
      </c>
      <c r="X12729" t="s">
        <v>40470</v>
      </c>
    </row>
    <row r="12730" spans="1:24">
      <c r="A12730">
        <f>HYPERLINK("https://www.philgeps.gov.ph/GEPSNONPILOT/Tender/SplashBidNoticeAbstractUI.aspx?menuIndex=3&amp;refID=7004897&amp;Result=3","7004897")</f>
        <v>0</v>
      </c>
      <c r="B12730" t="s">
        <v>78</v>
      </c>
      <c r="C12730" t="s">
        <v>15283</v>
      </c>
      <c r="D12730" t="s">
        <v>16217</v>
      </c>
      <c r="E12730" t="s">
        <v>27338</v>
      </c>
      <c r="F12730" t="s">
        <v>28198</v>
      </c>
      <c r="G12730" t="s">
        <v>28205</v>
      </c>
      <c r="H12730" t="s">
        <v>28215</v>
      </c>
      <c r="I12730" t="s">
        <v>28228</v>
      </c>
      <c r="J12730" t="s">
        <v>36144</v>
      </c>
      <c r="K12730" t="s">
        <v>36697</v>
      </c>
      <c r="M12730" t="s">
        <v>39735</v>
      </c>
      <c r="N12730" t="s">
        <v>40436</v>
      </c>
      <c r="O12730" t="s">
        <v>40437</v>
      </c>
      <c r="P12730">
        <v>0</v>
      </c>
      <c r="Q12730">
        <v>0</v>
      </c>
      <c r="R12730" t="s">
        <v>40458</v>
      </c>
      <c r="S12730" t="s">
        <v>41445</v>
      </c>
      <c r="T12730" t="s">
        <v>42134</v>
      </c>
      <c r="U12730" t="s">
        <v>53042</v>
      </c>
      <c r="V12730" t="s">
        <v>53791</v>
      </c>
      <c r="W12730" t="s">
        <v>39735</v>
      </c>
      <c r="X12730" t="s">
        <v>40464</v>
      </c>
    </row>
    <row r="12731" spans="1:24">
      <c r="A12731">
        <f>HYPERLINK("https://www.philgeps.gov.ph/GEPSNONPILOT/Tender/SplashBidNoticeAbstractUI.aspx?menuIndex=3&amp;refID=7009585&amp;Result=3","7009585")</f>
        <v>0</v>
      </c>
      <c r="B12731" t="s">
        <v>1891</v>
      </c>
      <c r="C12731" t="s">
        <v>15284</v>
      </c>
      <c r="D12731" t="s">
        <v>16195</v>
      </c>
      <c r="E12731" t="s">
        <v>27339</v>
      </c>
      <c r="F12731" t="s">
        <v>28198</v>
      </c>
      <c r="G12731" t="s">
        <v>28205</v>
      </c>
      <c r="H12731" t="s">
        <v>28214</v>
      </c>
      <c r="I12731" t="s">
        <v>3797</v>
      </c>
      <c r="J12731" t="s">
        <v>28361</v>
      </c>
      <c r="K12731" t="s">
        <v>36694</v>
      </c>
      <c r="M12731" t="s">
        <v>39023</v>
      </c>
      <c r="N12731" t="s">
        <v>40436</v>
      </c>
      <c r="O12731" t="s">
        <v>40437</v>
      </c>
      <c r="P12731">
        <v>0</v>
      </c>
      <c r="Q12731">
        <v>0</v>
      </c>
      <c r="R12731" t="s">
        <v>40458</v>
      </c>
      <c r="S12731" t="s">
        <v>41445</v>
      </c>
      <c r="T12731" t="s">
        <v>42152</v>
      </c>
      <c r="U12731" t="s">
        <v>53043</v>
      </c>
      <c r="W12731" t="s">
        <v>39023</v>
      </c>
      <c r="X12731" t="s">
        <v>40461</v>
      </c>
    </row>
    <row r="12732" spans="1:24">
      <c r="A12732">
        <f>HYPERLINK("https://www.philgeps.gov.ph/GEPSNONPILOT/Tender/SplashBidNoticeAbstractUI.aspx?menuIndex=3&amp;refID=7016535&amp;Result=3","7016535")</f>
        <v>0</v>
      </c>
      <c r="B12732" t="s">
        <v>1767</v>
      </c>
      <c r="C12732" t="s">
        <v>15285</v>
      </c>
      <c r="D12732" t="s">
        <v>16266</v>
      </c>
      <c r="E12732" t="s">
        <v>27340</v>
      </c>
      <c r="F12732" t="s">
        <v>28198</v>
      </c>
      <c r="G12732" t="s">
        <v>28205</v>
      </c>
      <c r="H12732" t="s">
        <v>28215</v>
      </c>
      <c r="I12732" t="s">
        <v>8870</v>
      </c>
      <c r="J12732" t="s">
        <v>36145</v>
      </c>
      <c r="K12732" t="s">
        <v>36707</v>
      </c>
      <c r="M12732" t="s">
        <v>38882</v>
      </c>
      <c r="N12732" t="s">
        <v>40436</v>
      </c>
      <c r="O12732" t="s">
        <v>40437</v>
      </c>
      <c r="P12732">
        <v>0</v>
      </c>
      <c r="Q12732">
        <v>0</v>
      </c>
      <c r="R12732" t="s">
        <v>40457</v>
      </c>
      <c r="S12732" t="s">
        <v>41386</v>
      </c>
      <c r="T12732" t="s">
        <v>42277</v>
      </c>
      <c r="U12732" t="s">
        <v>53044</v>
      </c>
      <c r="W12732" t="s">
        <v>38882</v>
      </c>
      <c r="X12732" t="s">
        <v>40458</v>
      </c>
    </row>
    <row r="12733" spans="1:24">
      <c r="A12733">
        <f>HYPERLINK("https://www.philgeps.gov.ph/GEPSNONPILOT/Tender/SplashBidNoticeAbstractUI.aspx?menuIndex=3&amp;refID=6996992&amp;Result=3","6996992")</f>
        <v>0</v>
      </c>
      <c r="B12733" t="s">
        <v>78</v>
      </c>
      <c r="C12733" t="s">
        <v>15286</v>
      </c>
      <c r="D12733" t="s">
        <v>16217</v>
      </c>
      <c r="E12733" t="s">
        <v>27341</v>
      </c>
      <c r="F12733" t="s">
        <v>28198</v>
      </c>
      <c r="G12733" t="s">
        <v>28205</v>
      </c>
      <c r="H12733" t="s">
        <v>28214</v>
      </c>
      <c r="I12733" t="s">
        <v>3797</v>
      </c>
      <c r="J12733" t="s">
        <v>36146</v>
      </c>
      <c r="K12733" t="s">
        <v>36690</v>
      </c>
      <c r="M12733" t="s">
        <v>39733</v>
      </c>
      <c r="N12733" t="s">
        <v>40436</v>
      </c>
      <c r="O12733" t="s">
        <v>40437</v>
      </c>
      <c r="P12733">
        <v>0</v>
      </c>
      <c r="Q12733">
        <v>1</v>
      </c>
      <c r="R12733" t="s">
        <v>40458</v>
      </c>
      <c r="S12733" t="s">
        <v>41445</v>
      </c>
      <c r="T12733" t="s">
        <v>42134</v>
      </c>
      <c r="U12733" t="s">
        <v>53045</v>
      </c>
      <c r="V12733" t="s">
        <v>53791</v>
      </c>
      <c r="W12733" t="s">
        <v>39733</v>
      </c>
      <c r="X12733" t="s">
        <v>40470</v>
      </c>
    </row>
    <row r="12734" spans="1:24">
      <c r="A12734">
        <f>HYPERLINK("https://www.philgeps.gov.ph/GEPSNONPILOT/Tender/SplashBidNoticeAbstractUI.aspx?menuIndex=3&amp;refID=7016542&amp;Result=3","7016542")</f>
        <v>0</v>
      </c>
      <c r="B12734" t="s">
        <v>1767</v>
      </c>
      <c r="C12734" t="s">
        <v>15287</v>
      </c>
      <c r="D12734" t="s">
        <v>16266</v>
      </c>
      <c r="E12734" t="s">
        <v>27342</v>
      </c>
      <c r="F12734" t="s">
        <v>28198</v>
      </c>
      <c r="G12734" t="s">
        <v>28205</v>
      </c>
      <c r="H12734" t="s">
        <v>28215</v>
      </c>
      <c r="I12734" t="s">
        <v>28237</v>
      </c>
      <c r="J12734" t="s">
        <v>28373</v>
      </c>
      <c r="K12734" t="s">
        <v>36707</v>
      </c>
      <c r="M12734" t="s">
        <v>38882</v>
      </c>
      <c r="N12734" t="s">
        <v>40436</v>
      </c>
      <c r="O12734" t="s">
        <v>40437</v>
      </c>
      <c r="P12734">
        <v>0</v>
      </c>
      <c r="Q12734">
        <v>0</v>
      </c>
      <c r="R12734" t="s">
        <v>40457</v>
      </c>
      <c r="S12734" t="s">
        <v>41386</v>
      </c>
      <c r="T12734" t="s">
        <v>42277</v>
      </c>
      <c r="U12734" t="s">
        <v>53046</v>
      </c>
      <c r="W12734" t="s">
        <v>38882</v>
      </c>
      <c r="X12734" t="s">
        <v>40458</v>
      </c>
    </row>
    <row r="12735" spans="1:24">
      <c r="A12735">
        <f>HYPERLINK("https://www.philgeps.gov.ph/GEPSNONPILOT/Tender/SplashBidNoticeAbstractUI.aspx?menuIndex=3&amp;refID=6997016&amp;Result=3","6997016")</f>
        <v>0</v>
      </c>
      <c r="B12735" t="s">
        <v>78</v>
      </c>
      <c r="C12735" t="s">
        <v>15288</v>
      </c>
      <c r="D12735" t="s">
        <v>16217</v>
      </c>
      <c r="E12735" t="s">
        <v>27343</v>
      </c>
      <c r="F12735" t="s">
        <v>28198</v>
      </c>
      <c r="G12735" t="s">
        <v>28205</v>
      </c>
      <c r="H12735" t="s">
        <v>28214</v>
      </c>
      <c r="I12735" t="s">
        <v>3797</v>
      </c>
      <c r="J12735" t="s">
        <v>36147</v>
      </c>
      <c r="K12735" t="s">
        <v>36724</v>
      </c>
      <c r="M12735" t="s">
        <v>39733</v>
      </c>
      <c r="N12735" t="s">
        <v>40436</v>
      </c>
      <c r="O12735" t="s">
        <v>40437</v>
      </c>
      <c r="P12735">
        <v>0</v>
      </c>
      <c r="Q12735">
        <v>1</v>
      </c>
      <c r="R12735" t="s">
        <v>40458</v>
      </c>
      <c r="S12735" t="s">
        <v>41445</v>
      </c>
      <c r="T12735" t="s">
        <v>42134</v>
      </c>
      <c r="U12735" t="s">
        <v>53047</v>
      </c>
      <c r="V12735" t="s">
        <v>53791</v>
      </c>
      <c r="W12735" t="s">
        <v>39733</v>
      </c>
      <c r="X12735" t="s">
        <v>40470</v>
      </c>
    </row>
    <row r="12736" spans="1:24">
      <c r="A12736">
        <f>HYPERLINK("https://www.philgeps.gov.ph/GEPSNONPILOT/Tender/SplashBidNoticeAbstractUI.aspx?menuIndex=3&amp;refID=7011963&amp;Result=3","7011963")</f>
        <v>0</v>
      </c>
      <c r="B12736" t="s">
        <v>105</v>
      </c>
      <c r="C12736" t="s">
        <v>15289</v>
      </c>
      <c r="D12736" t="s">
        <v>16233</v>
      </c>
      <c r="E12736" t="s">
        <v>27344</v>
      </c>
      <c r="F12736" t="s">
        <v>28198</v>
      </c>
      <c r="G12736" t="s">
        <v>28210</v>
      </c>
      <c r="H12736" t="s">
        <v>28215</v>
      </c>
      <c r="I12736" t="s">
        <v>28234</v>
      </c>
      <c r="J12736" t="s">
        <v>28406</v>
      </c>
      <c r="K12736" t="s">
        <v>36701</v>
      </c>
      <c r="M12736" t="s">
        <v>39589</v>
      </c>
      <c r="N12736" t="s">
        <v>40436</v>
      </c>
      <c r="O12736" t="s">
        <v>40437</v>
      </c>
      <c r="Q12736">
        <v>3</v>
      </c>
      <c r="R12736" t="s">
        <v>40458</v>
      </c>
      <c r="S12736" t="s">
        <v>41446</v>
      </c>
      <c r="T12736" t="s">
        <v>42158</v>
      </c>
      <c r="U12736" t="s">
        <v>53048</v>
      </c>
      <c r="W12736" t="s">
        <v>39589</v>
      </c>
      <c r="X12736" t="s">
        <v>40459</v>
      </c>
    </row>
    <row r="12737" spans="1:24">
      <c r="A12737">
        <f>HYPERLINK("https://www.philgeps.gov.ph/GEPSNONPILOT/Tender/SplashBidNoticeAbstractUI.aspx?menuIndex=3&amp;refID=7011957&amp;Result=3","7011957")</f>
        <v>0</v>
      </c>
      <c r="B12737" t="s">
        <v>2402</v>
      </c>
      <c r="C12737" t="s">
        <v>15290</v>
      </c>
      <c r="D12737" t="s">
        <v>16250</v>
      </c>
      <c r="E12737" t="s">
        <v>23127</v>
      </c>
      <c r="F12737" t="s">
        <v>28198</v>
      </c>
      <c r="G12737" t="s">
        <v>28205</v>
      </c>
      <c r="H12737" t="s">
        <v>28215</v>
      </c>
      <c r="I12737" t="s">
        <v>28228</v>
      </c>
      <c r="J12737" t="s">
        <v>36148</v>
      </c>
      <c r="K12737" t="s">
        <v>36701</v>
      </c>
      <c r="M12737" t="s">
        <v>39590</v>
      </c>
      <c r="N12737" t="s">
        <v>40436</v>
      </c>
      <c r="O12737" t="s">
        <v>40437</v>
      </c>
      <c r="P12737">
        <v>0</v>
      </c>
      <c r="Q12737">
        <v>0</v>
      </c>
      <c r="R12737" t="s">
        <v>40458</v>
      </c>
      <c r="S12737" t="s">
        <v>41445</v>
      </c>
      <c r="T12737" t="s">
        <v>42183</v>
      </c>
      <c r="U12737" t="s">
        <v>53049</v>
      </c>
      <c r="W12737" t="s">
        <v>39590</v>
      </c>
      <c r="X12737" t="s">
        <v>40459</v>
      </c>
    </row>
    <row r="12738" spans="1:24">
      <c r="A12738">
        <f>HYPERLINK("https://www.philgeps.gov.ph/GEPSNONPILOT/Tender/SplashBidNoticeAbstractUI.aspx?menuIndex=3&amp;refID=7016528&amp;Result=3","7016528")</f>
        <v>0</v>
      </c>
      <c r="B12738" t="s">
        <v>1391</v>
      </c>
      <c r="C12738" t="s">
        <v>15291</v>
      </c>
      <c r="D12738" t="s">
        <v>16233</v>
      </c>
      <c r="E12738" t="s">
        <v>27345</v>
      </c>
      <c r="F12738" t="s">
        <v>28198</v>
      </c>
      <c r="G12738" t="s">
        <v>28205</v>
      </c>
      <c r="H12738" t="s">
        <v>28215</v>
      </c>
      <c r="I12738" t="s">
        <v>3774</v>
      </c>
      <c r="J12738" t="s">
        <v>36149</v>
      </c>
      <c r="K12738" t="s">
        <v>36707</v>
      </c>
      <c r="M12738" t="s">
        <v>38455</v>
      </c>
      <c r="N12738" t="s">
        <v>40436</v>
      </c>
      <c r="O12738" t="s">
        <v>40437</v>
      </c>
      <c r="P12738">
        <v>0</v>
      </c>
      <c r="Q12738">
        <v>1</v>
      </c>
      <c r="R12738" t="s">
        <v>40457</v>
      </c>
      <c r="S12738" t="s">
        <v>41386</v>
      </c>
      <c r="T12738" t="s">
        <v>42177</v>
      </c>
      <c r="U12738" t="s">
        <v>53050</v>
      </c>
      <c r="V12738" t="s">
        <v>54719</v>
      </c>
      <c r="W12738" t="s">
        <v>38455</v>
      </c>
      <c r="X12738" t="s">
        <v>40458</v>
      </c>
    </row>
    <row r="12739" spans="1:24">
      <c r="A12739">
        <f>HYPERLINK("https://www.philgeps.gov.ph/GEPSNONPILOT/Tender/SplashBidNoticeAbstractUI.aspx?menuIndex=3&amp;refID=7011902&amp;Result=3","7011902")</f>
        <v>0</v>
      </c>
      <c r="B12739" t="s">
        <v>3014</v>
      </c>
      <c r="C12739" t="s">
        <v>15292</v>
      </c>
      <c r="D12739" t="s">
        <v>16220</v>
      </c>
      <c r="E12739" t="s">
        <v>27346</v>
      </c>
      <c r="F12739" t="s">
        <v>28198</v>
      </c>
      <c r="G12739" t="s">
        <v>28205</v>
      </c>
      <c r="H12739" t="s">
        <v>28215</v>
      </c>
      <c r="I12739" t="s">
        <v>4505</v>
      </c>
      <c r="J12739" t="s">
        <v>36150</v>
      </c>
      <c r="K12739" t="s">
        <v>36690</v>
      </c>
      <c r="M12739" t="s">
        <v>40313</v>
      </c>
      <c r="N12739" t="s">
        <v>40436</v>
      </c>
      <c r="O12739" t="s">
        <v>40437</v>
      </c>
      <c r="P12739">
        <v>0</v>
      </c>
      <c r="Q12739">
        <v>1</v>
      </c>
      <c r="R12739" t="s">
        <v>40458</v>
      </c>
      <c r="S12739" t="s">
        <v>41445</v>
      </c>
      <c r="T12739" t="s">
        <v>42129</v>
      </c>
      <c r="U12739" t="s">
        <v>53051</v>
      </c>
      <c r="W12739" t="s">
        <v>40313</v>
      </c>
      <c r="X12739" t="s">
        <v>40459</v>
      </c>
    </row>
    <row r="12740" spans="1:24">
      <c r="A12740">
        <f>HYPERLINK("https://www.philgeps.gov.ph/GEPSNONPILOT/Tender/SplashBidNoticeAbstractUI.aspx?menuIndex=3&amp;refID=7011943&amp;Result=3","7011943")</f>
        <v>0</v>
      </c>
      <c r="B12740" t="s">
        <v>105</v>
      </c>
      <c r="C12740" t="s">
        <v>15293</v>
      </c>
      <c r="D12740" t="s">
        <v>16233</v>
      </c>
      <c r="E12740" t="s">
        <v>27347</v>
      </c>
      <c r="F12740" t="s">
        <v>28198</v>
      </c>
      <c r="G12740" t="s">
        <v>28210</v>
      </c>
      <c r="H12740" t="s">
        <v>28215</v>
      </c>
      <c r="I12740" t="s">
        <v>28226</v>
      </c>
      <c r="J12740" t="s">
        <v>28415</v>
      </c>
      <c r="K12740" t="s">
        <v>36701</v>
      </c>
      <c r="M12740" t="s">
        <v>39589</v>
      </c>
      <c r="N12740" t="s">
        <v>40436</v>
      </c>
      <c r="O12740" t="s">
        <v>40437</v>
      </c>
      <c r="Q12740">
        <v>5</v>
      </c>
      <c r="R12740" t="s">
        <v>40458</v>
      </c>
      <c r="S12740" t="s">
        <v>41447</v>
      </c>
      <c r="T12740" t="s">
        <v>42158</v>
      </c>
      <c r="U12740" t="s">
        <v>53052</v>
      </c>
      <c r="W12740" t="s">
        <v>39589</v>
      </c>
      <c r="X12740" t="s">
        <v>40459</v>
      </c>
    </row>
    <row r="12741" spans="1:24">
      <c r="A12741">
        <f>HYPERLINK("https://www.philgeps.gov.ph/GEPSNONPILOT/Tender/SplashBidNoticeAbstractUI.aspx?menuIndex=3&amp;refID=7011927&amp;Result=3","7011927")</f>
        <v>0</v>
      </c>
      <c r="B12741" t="s">
        <v>105</v>
      </c>
      <c r="C12741" t="s">
        <v>15294</v>
      </c>
      <c r="D12741" t="s">
        <v>16233</v>
      </c>
      <c r="E12741" t="s">
        <v>27348</v>
      </c>
      <c r="F12741" t="s">
        <v>28198</v>
      </c>
      <c r="G12741" t="s">
        <v>28210</v>
      </c>
      <c r="H12741" t="s">
        <v>28215</v>
      </c>
      <c r="I12741" t="s">
        <v>28274</v>
      </c>
      <c r="J12741" t="s">
        <v>28398</v>
      </c>
      <c r="K12741" t="s">
        <v>36707</v>
      </c>
      <c r="M12741" t="s">
        <v>39589</v>
      </c>
      <c r="N12741" t="s">
        <v>40436</v>
      </c>
      <c r="O12741" t="s">
        <v>40437</v>
      </c>
      <c r="Q12741">
        <v>0</v>
      </c>
      <c r="R12741" t="s">
        <v>40458</v>
      </c>
      <c r="S12741" t="s">
        <v>41448</v>
      </c>
      <c r="T12741" t="s">
        <v>42121</v>
      </c>
      <c r="U12741" t="s">
        <v>53053</v>
      </c>
      <c r="W12741" t="s">
        <v>39589</v>
      </c>
      <c r="X12741" t="s">
        <v>40459</v>
      </c>
    </row>
    <row r="12742" spans="1:24">
      <c r="A12742">
        <f>HYPERLINK("https://www.philgeps.gov.ph/GEPSNONPILOT/Tender/SplashBidNoticeAbstractUI.aspx?menuIndex=3&amp;refID=7011840&amp;Result=3","7011840")</f>
        <v>0</v>
      </c>
      <c r="B12742" t="s">
        <v>3015</v>
      </c>
      <c r="C12742" t="s">
        <v>15295</v>
      </c>
      <c r="D12742" t="s">
        <v>16193</v>
      </c>
      <c r="E12742" t="s">
        <v>27349</v>
      </c>
      <c r="F12742" t="s">
        <v>28200</v>
      </c>
      <c r="G12742" t="s">
        <v>28205</v>
      </c>
      <c r="H12742" t="s">
        <v>28214</v>
      </c>
      <c r="I12742" t="s">
        <v>3797</v>
      </c>
      <c r="J12742" t="s">
        <v>28415</v>
      </c>
      <c r="K12742" t="s">
        <v>36715</v>
      </c>
      <c r="L12742" t="s">
        <v>3015</v>
      </c>
      <c r="M12742" t="s">
        <v>40314</v>
      </c>
      <c r="N12742" t="s">
        <v>40436</v>
      </c>
      <c r="O12742" t="s">
        <v>40437</v>
      </c>
      <c r="P12742">
        <v>0</v>
      </c>
      <c r="Q12742">
        <v>1</v>
      </c>
      <c r="R12742" t="s">
        <v>40458</v>
      </c>
      <c r="S12742" t="s">
        <v>41445</v>
      </c>
      <c r="T12742" t="s">
        <v>42177</v>
      </c>
      <c r="U12742" t="s">
        <v>53054</v>
      </c>
      <c r="V12742" t="s">
        <v>55245</v>
      </c>
      <c r="W12742" t="s">
        <v>40314</v>
      </c>
      <c r="X12742" t="s">
        <v>40459</v>
      </c>
    </row>
    <row r="12743" spans="1:24">
      <c r="A12743">
        <f>HYPERLINK("https://www.philgeps.gov.ph/GEPSNONPILOT/Tender/SplashBidNoticeAbstractUI.aspx?menuIndex=3&amp;refID=7010721&amp;Result=3","7010721")</f>
        <v>0</v>
      </c>
      <c r="B12743" t="s">
        <v>3013</v>
      </c>
      <c r="C12743" t="s">
        <v>15296</v>
      </c>
      <c r="D12743" t="s">
        <v>16213</v>
      </c>
      <c r="E12743" t="s">
        <v>27350</v>
      </c>
      <c r="F12743" t="s">
        <v>28198</v>
      </c>
      <c r="G12743" t="s">
        <v>28205</v>
      </c>
      <c r="H12743" t="s">
        <v>28214</v>
      </c>
      <c r="I12743" t="s">
        <v>3797</v>
      </c>
      <c r="J12743" t="s">
        <v>36151</v>
      </c>
      <c r="K12743" t="s">
        <v>36717</v>
      </c>
      <c r="M12743" t="s">
        <v>40312</v>
      </c>
      <c r="N12743" t="s">
        <v>40436</v>
      </c>
      <c r="O12743" t="s">
        <v>40437</v>
      </c>
      <c r="P12743">
        <v>0</v>
      </c>
      <c r="Q12743">
        <v>3</v>
      </c>
      <c r="R12743" t="s">
        <v>40458</v>
      </c>
      <c r="S12743" t="s">
        <v>41445</v>
      </c>
      <c r="T12743" t="s">
        <v>42277</v>
      </c>
      <c r="U12743" t="s">
        <v>53055</v>
      </c>
      <c r="W12743" t="s">
        <v>40312</v>
      </c>
      <c r="X12743" t="s">
        <v>40460</v>
      </c>
    </row>
    <row r="12744" spans="1:24">
      <c r="A12744">
        <f>HYPERLINK("https://www.philgeps.gov.ph/GEPSNONPILOT/Tender/SplashBidNoticeAbstractUI.aspx?menuIndex=3&amp;refID=7011826&amp;Result=3","7011826")</f>
        <v>0</v>
      </c>
      <c r="B12744" t="s">
        <v>3015</v>
      </c>
      <c r="C12744" t="s">
        <v>15297</v>
      </c>
      <c r="D12744" t="s">
        <v>16193</v>
      </c>
      <c r="E12744" t="s">
        <v>27351</v>
      </c>
      <c r="F12744" t="s">
        <v>28200</v>
      </c>
      <c r="G12744" t="s">
        <v>28205</v>
      </c>
      <c r="H12744" t="s">
        <v>28214</v>
      </c>
      <c r="I12744" t="s">
        <v>3797</v>
      </c>
      <c r="J12744" t="s">
        <v>36152</v>
      </c>
      <c r="K12744" t="s">
        <v>36697</v>
      </c>
      <c r="L12744" t="s">
        <v>3015</v>
      </c>
      <c r="M12744" t="s">
        <v>40314</v>
      </c>
      <c r="N12744" t="s">
        <v>40436</v>
      </c>
      <c r="O12744" t="s">
        <v>40437</v>
      </c>
      <c r="P12744">
        <v>0</v>
      </c>
      <c r="Q12744">
        <v>1</v>
      </c>
      <c r="R12744" t="s">
        <v>40458</v>
      </c>
      <c r="S12744" t="s">
        <v>41445</v>
      </c>
      <c r="T12744" t="s">
        <v>42177</v>
      </c>
      <c r="U12744" t="s">
        <v>53056</v>
      </c>
      <c r="V12744" t="s">
        <v>55245</v>
      </c>
      <c r="W12744" t="s">
        <v>40314</v>
      </c>
      <c r="X12744" t="s">
        <v>40459</v>
      </c>
    </row>
    <row r="12745" spans="1:24">
      <c r="A12745">
        <f>HYPERLINK("https://www.philgeps.gov.ph/GEPSNONPILOT/Tender/SplashBidNoticeAbstractUI.aspx?menuIndex=3&amp;refID=7011821&amp;Result=3","7011821")</f>
        <v>0</v>
      </c>
      <c r="B12745" t="s">
        <v>3015</v>
      </c>
      <c r="C12745" t="s">
        <v>15298</v>
      </c>
      <c r="D12745" t="s">
        <v>16193</v>
      </c>
      <c r="E12745" t="s">
        <v>27352</v>
      </c>
      <c r="F12745" t="s">
        <v>28200</v>
      </c>
      <c r="G12745" t="s">
        <v>28205</v>
      </c>
      <c r="H12745" t="s">
        <v>28214</v>
      </c>
      <c r="I12745" t="s">
        <v>3797</v>
      </c>
      <c r="J12745" t="s">
        <v>28378</v>
      </c>
      <c r="K12745" t="s">
        <v>36701</v>
      </c>
      <c r="L12745" t="s">
        <v>3015</v>
      </c>
      <c r="M12745" t="s">
        <v>40314</v>
      </c>
      <c r="N12745" t="s">
        <v>40436</v>
      </c>
      <c r="O12745" t="s">
        <v>40437</v>
      </c>
      <c r="P12745">
        <v>0</v>
      </c>
      <c r="Q12745">
        <v>1</v>
      </c>
      <c r="R12745" t="s">
        <v>40458</v>
      </c>
      <c r="S12745" t="s">
        <v>41445</v>
      </c>
      <c r="T12745" t="s">
        <v>42177</v>
      </c>
      <c r="U12745" t="s">
        <v>53057</v>
      </c>
      <c r="V12745" t="s">
        <v>55246</v>
      </c>
      <c r="W12745" t="s">
        <v>40314</v>
      </c>
      <c r="X12745" t="s">
        <v>40459</v>
      </c>
    </row>
    <row r="12746" spans="1:24">
      <c r="A12746">
        <f>HYPERLINK("https://www.philgeps.gov.ph/GEPSNONPILOT/Tender/SplashBidNoticeAbstractUI.aspx?menuIndex=3&amp;refID=7011913&amp;Result=3","7011913")</f>
        <v>0</v>
      </c>
      <c r="B12746" t="s">
        <v>3014</v>
      </c>
      <c r="C12746" t="s">
        <v>15299</v>
      </c>
      <c r="D12746" t="s">
        <v>16220</v>
      </c>
      <c r="E12746" t="s">
        <v>27353</v>
      </c>
      <c r="F12746" t="s">
        <v>28198</v>
      </c>
      <c r="G12746" t="s">
        <v>28205</v>
      </c>
      <c r="H12746" t="s">
        <v>28215</v>
      </c>
      <c r="I12746" t="s">
        <v>28232</v>
      </c>
      <c r="J12746" t="s">
        <v>28601</v>
      </c>
      <c r="K12746" t="s">
        <v>36701</v>
      </c>
      <c r="M12746" t="s">
        <v>40313</v>
      </c>
      <c r="N12746" t="s">
        <v>40436</v>
      </c>
      <c r="O12746" t="s">
        <v>40437</v>
      </c>
      <c r="P12746">
        <v>0</v>
      </c>
      <c r="Q12746">
        <v>1</v>
      </c>
      <c r="R12746" t="s">
        <v>40458</v>
      </c>
      <c r="S12746" t="s">
        <v>41445</v>
      </c>
      <c r="T12746" t="s">
        <v>42183</v>
      </c>
      <c r="U12746" t="s">
        <v>53058</v>
      </c>
      <c r="W12746" t="s">
        <v>40313</v>
      </c>
      <c r="X12746" t="s">
        <v>40459</v>
      </c>
    </row>
    <row r="12747" spans="1:24">
      <c r="A12747">
        <f>HYPERLINK("https://www.philgeps.gov.ph/GEPSNONPILOT/Tender/SplashBidNoticeAbstractUI.aspx?menuIndex=3&amp;refID=7011819&amp;Result=3","7011819")</f>
        <v>0</v>
      </c>
      <c r="B12747" t="s">
        <v>3016</v>
      </c>
      <c r="C12747" t="s">
        <v>15300</v>
      </c>
      <c r="D12747" t="s">
        <v>16260</v>
      </c>
      <c r="E12747" t="s">
        <v>27354</v>
      </c>
      <c r="F12747" t="s">
        <v>28198</v>
      </c>
      <c r="G12747" t="s">
        <v>28209</v>
      </c>
      <c r="H12747" t="s">
        <v>28215</v>
      </c>
      <c r="I12747" t="s">
        <v>8888</v>
      </c>
      <c r="J12747" t="s">
        <v>36153</v>
      </c>
      <c r="K12747" t="s">
        <v>36706</v>
      </c>
      <c r="M12747" t="s">
        <v>40315</v>
      </c>
      <c r="N12747" t="s">
        <v>40436</v>
      </c>
      <c r="O12747" t="s">
        <v>40437</v>
      </c>
      <c r="Q12747">
        <v>1</v>
      </c>
      <c r="R12747" t="s">
        <v>40458</v>
      </c>
      <c r="S12747" t="s">
        <v>41449</v>
      </c>
      <c r="T12747" t="s">
        <v>42292</v>
      </c>
      <c r="U12747" t="s">
        <v>53059</v>
      </c>
      <c r="V12747" t="s">
        <v>55247</v>
      </c>
      <c r="W12747" t="s">
        <v>40315</v>
      </c>
      <c r="X12747" t="s">
        <v>40459</v>
      </c>
    </row>
    <row r="12748" spans="1:24">
      <c r="A12748">
        <f>HYPERLINK("https://www.philgeps.gov.ph/GEPSNONPILOT/Tender/SplashBidNoticeAbstractUI.aspx?menuIndex=3&amp;refID=6918700&amp;Result=3","6918700")</f>
        <v>0</v>
      </c>
      <c r="B12748" t="s">
        <v>3017</v>
      </c>
      <c r="C12748" t="s">
        <v>15301</v>
      </c>
      <c r="D12748" t="s">
        <v>16203</v>
      </c>
      <c r="E12748" t="s">
        <v>27355</v>
      </c>
      <c r="F12748" t="s">
        <v>28198</v>
      </c>
      <c r="G12748" t="s">
        <v>28205</v>
      </c>
      <c r="H12748" t="s">
        <v>28214</v>
      </c>
      <c r="I12748" t="s">
        <v>3797</v>
      </c>
      <c r="J12748" t="s">
        <v>36154</v>
      </c>
      <c r="K12748" t="s">
        <v>36690</v>
      </c>
      <c r="M12748" t="s">
        <v>40316</v>
      </c>
      <c r="N12748" t="s">
        <v>40436</v>
      </c>
      <c r="O12748" t="s">
        <v>40437</v>
      </c>
      <c r="P12748">
        <v>0</v>
      </c>
      <c r="Q12748">
        <v>8</v>
      </c>
      <c r="R12748" t="s">
        <v>40458</v>
      </c>
      <c r="S12748" t="s">
        <v>41445</v>
      </c>
      <c r="T12748" t="s">
        <v>42233</v>
      </c>
      <c r="U12748" t="s">
        <v>53060</v>
      </c>
      <c r="V12748" t="s">
        <v>55248</v>
      </c>
      <c r="W12748" t="s">
        <v>40316</v>
      </c>
      <c r="X12748" t="s">
        <v>40519</v>
      </c>
    </row>
    <row r="12749" spans="1:24">
      <c r="A12749">
        <f>HYPERLINK("https://www.philgeps.gov.ph/GEPSNONPILOT/Tender/SplashBidNoticeAbstractUI.aspx?menuIndex=3&amp;refID=7011920&amp;Result=3","7011920")</f>
        <v>0</v>
      </c>
      <c r="B12749" t="s">
        <v>128</v>
      </c>
      <c r="C12749" t="s">
        <v>15302</v>
      </c>
      <c r="D12749" t="s">
        <v>16210</v>
      </c>
      <c r="E12749" t="s">
        <v>27356</v>
      </c>
      <c r="F12749" t="s">
        <v>28198</v>
      </c>
      <c r="G12749" t="s">
        <v>28207</v>
      </c>
      <c r="H12749" t="s">
        <v>28215</v>
      </c>
      <c r="I12749" t="s">
        <v>28251</v>
      </c>
      <c r="J12749" t="s">
        <v>28414</v>
      </c>
      <c r="K12749" t="s">
        <v>36688</v>
      </c>
      <c r="M12749" t="s">
        <v>37102</v>
      </c>
      <c r="N12749" t="s">
        <v>40436</v>
      </c>
      <c r="O12749" t="s">
        <v>40437</v>
      </c>
      <c r="P12749">
        <v>0</v>
      </c>
      <c r="Q12749">
        <v>15</v>
      </c>
      <c r="R12749" t="s">
        <v>40458</v>
      </c>
      <c r="S12749" t="s">
        <v>41445</v>
      </c>
      <c r="T12749" t="s">
        <v>42390</v>
      </c>
      <c r="U12749" t="s">
        <v>53061</v>
      </c>
      <c r="W12749" t="s">
        <v>37102</v>
      </c>
      <c r="X12749" t="s">
        <v>40459</v>
      </c>
    </row>
    <row r="12750" spans="1:24">
      <c r="A12750">
        <f>HYPERLINK("https://www.philgeps.gov.ph/GEPSNONPILOT/Tender/SplashBidNoticeAbstractUI.aspx?menuIndex=3&amp;refID=7011071&amp;Result=3","7011071")</f>
        <v>0</v>
      </c>
      <c r="B12750" t="s">
        <v>1791</v>
      </c>
      <c r="C12750" t="s">
        <v>15303</v>
      </c>
      <c r="D12750" t="s">
        <v>16254</v>
      </c>
      <c r="E12750" t="s">
        <v>27357</v>
      </c>
      <c r="F12750" t="s">
        <v>28198</v>
      </c>
      <c r="G12750" t="s">
        <v>28205</v>
      </c>
      <c r="H12750" t="s">
        <v>28216</v>
      </c>
      <c r="I12750" t="s">
        <v>28216</v>
      </c>
      <c r="J12750" t="s">
        <v>35649</v>
      </c>
      <c r="K12750" t="s">
        <v>36690</v>
      </c>
      <c r="M12750" t="s">
        <v>38907</v>
      </c>
      <c r="N12750" t="s">
        <v>40436</v>
      </c>
      <c r="O12750" t="s">
        <v>40437</v>
      </c>
      <c r="P12750">
        <v>0</v>
      </c>
      <c r="Q12750">
        <v>7</v>
      </c>
      <c r="R12750" t="s">
        <v>40458</v>
      </c>
      <c r="S12750" t="s">
        <v>41445</v>
      </c>
      <c r="T12750" t="s">
        <v>42238</v>
      </c>
      <c r="U12750" t="s">
        <v>53062</v>
      </c>
      <c r="W12750" t="s">
        <v>38907</v>
      </c>
      <c r="X12750" t="s">
        <v>40460</v>
      </c>
    </row>
    <row r="12751" spans="1:24">
      <c r="A12751">
        <f>HYPERLINK("https://www.philgeps.gov.ph/GEPSNONPILOT/Tender/SplashBidNoticeAbstractUI.aspx?menuIndex=3&amp;refID=7011816&amp;Result=3","7011816")</f>
        <v>0</v>
      </c>
      <c r="B12751" t="s">
        <v>3015</v>
      </c>
      <c r="C12751" t="s">
        <v>15304</v>
      </c>
      <c r="D12751" t="s">
        <v>16193</v>
      </c>
      <c r="E12751" t="s">
        <v>27358</v>
      </c>
      <c r="F12751" t="s">
        <v>28200</v>
      </c>
      <c r="G12751" t="s">
        <v>28205</v>
      </c>
      <c r="H12751" t="s">
        <v>28214</v>
      </c>
      <c r="I12751" t="s">
        <v>3797</v>
      </c>
      <c r="J12751" t="s">
        <v>36152</v>
      </c>
      <c r="K12751" t="s">
        <v>36697</v>
      </c>
      <c r="L12751" t="s">
        <v>3015</v>
      </c>
      <c r="M12751" t="s">
        <v>40314</v>
      </c>
      <c r="N12751" t="s">
        <v>40436</v>
      </c>
      <c r="O12751" t="s">
        <v>40437</v>
      </c>
      <c r="P12751">
        <v>0</v>
      </c>
      <c r="Q12751">
        <v>1</v>
      </c>
      <c r="R12751" t="s">
        <v>40458</v>
      </c>
      <c r="S12751" t="s">
        <v>41445</v>
      </c>
      <c r="T12751" t="s">
        <v>42177</v>
      </c>
      <c r="U12751" t="s">
        <v>53063</v>
      </c>
      <c r="V12751" t="s">
        <v>55249</v>
      </c>
      <c r="W12751" t="s">
        <v>40314</v>
      </c>
      <c r="X12751" t="s">
        <v>40459</v>
      </c>
    </row>
    <row r="12752" spans="1:24">
      <c r="A12752">
        <f>HYPERLINK("https://www.philgeps.gov.ph/GEPSNONPILOT/Tender/SplashBidNoticeAbstractUI.aspx?menuIndex=3&amp;refID=7011832&amp;Result=3","7011832")</f>
        <v>0</v>
      </c>
      <c r="B12752" t="s">
        <v>3015</v>
      </c>
      <c r="C12752" t="s">
        <v>15305</v>
      </c>
      <c r="D12752" t="s">
        <v>16193</v>
      </c>
      <c r="E12752" t="s">
        <v>27359</v>
      </c>
      <c r="F12752" t="s">
        <v>28200</v>
      </c>
      <c r="G12752" t="s">
        <v>28205</v>
      </c>
      <c r="H12752" t="s">
        <v>28214</v>
      </c>
      <c r="I12752" t="s">
        <v>3797</v>
      </c>
      <c r="J12752" t="s">
        <v>30873</v>
      </c>
      <c r="K12752" t="s">
        <v>36724</v>
      </c>
      <c r="L12752" t="s">
        <v>3015</v>
      </c>
      <c r="M12752" t="s">
        <v>40314</v>
      </c>
      <c r="N12752" t="s">
        <v>40436</v>
      </c>
      <c r="O12752" t="s">
        <v>40437</v>
      </c>
      <c r="P12752">
        <v>0</v>
      </c>
      <c r="Q12752">
        <v>1</v>
      </c>
      <c r="R12752" t="s">
        <v>40458</v>
      </c>
      <c r="S12752" t="s">
        <v>41445</v>
      </c>
      <c r="T12752" t="s">
        <v>42177</v>
      </c>
      <c r="U12752" t="s">
        <v>53064</v>
      </c>
      <c r="V12752" t="s">
        <v>55245</v>
      </c>
      <c r="W12752" t="s">
        <v>40314</v>
      </c>
      <c r="X12752" t="s">
        <v>40459</v>
      </c>
    </row>
    <row r="12753" spans="1:24">
      <c r="A12753">
        <f>HYPERLINK("https://www.philgeps.gov.ph/GEPSNONPILOT/Tender/SplashBidNoticeAbstractUI.aspx?menuIndex=3&amp;refID=7010986&amp;Result=3","7010986")</f>
        <v>0</v>
      </c>
      <c r="B12753" t="s">
        <v>2079</v>
      </c>
      <c r="C12753" t="s">
        <v>15306</v>
      </c>
      <c r="D12753" t="s">
        <v>16217</v>
      </c>
      <c r="E12753" t="s">
        <v>27360</v>
      </c>
      <c r="F12753" t="s">
        <v>28198</v>
      </c>
      <c r="G12753" t="s">
        <v>28205</v>
      </c>
      <c r="H12753" t="s">
        <v>28214</v>
      </c>
      <c r="I12753" t="s">
        <v>3797</v>
      </c>
      <c r="J12753" t="s">
        <v>32342</v>
      </c>
      <c r="K12753" t="s">
        <v>36974</v>
      </c>
      <c r="M12753" t="s">
        <v>39228</v>
      </c>
      <c r="N12753" t="s">
        <v>40436</v>
      </c>
      <c r="O12753" t="s">
        <v>40437</v>
      </c>
      <c r="P12753">
        <v>0</v>
      </c>
      <c r="Q12753">
        <v>0</v>
      </c>
      <c r="R12753" t="s">
        <v>40458</v>
      </c>
      <c r="S12753" t="s">
        <v>41445</v>
      </c>
      <c r="T12753" t="s">
        <v>42233</v>
      </c>
      <c r="U12753" t="s">
        <v>53065</v>
      </c>
      <c r="W12753" t="s">
        <v>39228</v>
      </c>
      <c r="X12753" t="s">
        <v>40460</v>
      </c>
    </row>
    <row r="12754" spans="1:24">
      <c r="A12754">
        <f>HYPERLINK("https://www.philgeps.gov.ph/GEPSNONPILOT/Tender/SplashBidNoticeAbstractUI.aspx?menuIndex=3&amp;refID=7011262&amp;Result=3","7011262")</f>
        <v>0</v>
      </c>
      <c r="B12754" t="s">
        <v>2122</v>
      </c>
      <c r="C12754" t="s">
        <v>15307</v>
      </c>
      <c r="D12754" t="s">
        <v>16191</v>
      </c>
      <c r="E12754" t="s">
        <v>27361</v>
      </c>
      <c r="F12754" t="s">
        <v>28198</v>
      </c>
      <c r="G12754" t="s">
        <v>28205</v>
      </c>
      <c r="H12754" t="s">
        <v>28215</v>
      </c>
      <c r="I12754" t="s">
        <v>4200</v>
      </c>
      <c r="J12754" t="s">
        <v>36155</v>
      </c>
      <c r="K12754" t="s">
        <v>36687</v>
      </c>
      <c r="M12754" t="s">
        <v>40317</v>
      </c>
      <c r="N12754" t="s">
        <v>40436</v>
      </c>
      <c r="O12754" t="s">
        <v>40437</v>
      </c>
      <c r="P12754">
        <v>0</v>
      </c>
      <c r="Q12754">
        <v>5</v>
      </c>
      <c r="R12754" t="s">
        <v>40458</v>
      </c>
      <c r="S12754" t="s">
        <v>41445</v>
      </c>
      <c r="T12754" t="s">
        <v>42350</v>
      </c>
      <c r="U12754" t="s">
        <v>53066</v>
      </c>
      <c r="W12754" t="s">
        <v>40317</v>
      </c>
      <c r="X12754" t="s">
        <v>40460</v>
      </c>
    </row>
    <row r="12755" spans="1:24">
      <c r="A12755">
        <f>HYPERLINK("https://www.philgeps.gov.ph/GEPSNONPILOT/Tender/SplashBidNoticeAbstractUI.aspx?menuIndex=3&amp;refID=7011834&amp;Result=3","7011834")</f>
        <v>0</v>
      </c>
      <c r="B12755" t="s">
        <v>3015</v>
      </c>
      <c r="C12755" t="s">
        <v>15308</v>
      </c>
      <c r="D12755" t="s">
        <v>16193</v>
      </c>
      <c r="E12755" t="s">
        <v>27362</v>
      </c>
      <c r="F12755" t="s">
        <v>28200</v>
      </c>
      <c r="G12755" t="s">
        <v>28205</v>
      </c>
      <c r="H12755" t="s">
        <v>28214</v>
      </c>
      <c r="I12755" t="s">
        <v>3797</v>
      </c>
      <c r="J12755" t="s">
        <v>28398</v>
      </c>
      <c r="K12755" t="s">
        <v>36715</v>
      </c>
      <c r="L12755" t="s">
        <v>3015</v>
      </c>
      <c r="M12755" t="s">
        <v>40314</v>
      </c>
      <c r="N12755" t="s">
        <v>40436</v>
      </c>
      <c r="O12755" t="s">
        <v>40437</v>
      </c>
      <c r="P12755">
        <v>0</v>
      </c>
      <c r="Q12755">
        <v>1</v>
      </c>
      <c r="R12755" t="s">
        <v>40458</v>
      </c>
      <c r="S12755" t="s">
        <v>41445</v>
      </c>
      <c r="T12755" t="s">
        <v>42177</v>
      </c>
      <c r="U12755" t="s">
        <v>53067</v>
      </c>
      <c r="V12755" t="s">
        <v>55245</v>
      </c>
      <c r="W12755" t="s">
        <v>40314</v>
      </c>
      <c r="X12755" t="s">
        <v>40459</v>
      </c>
    </row>
    <row r="12756" spans="1:24">
      <c r="A12756">
        <f>HYPERLINK("https://www.philgeps.gov.ph/GEPSNONPILOT/Tender/SplashBidNoticeAbstractUI.aspx?menuIndex=3&amp;refID=7012104&amp;Result=3","7012104")</f>
        <v>0</v>
      </c>
      <c r="B12756" t="s">
        <v>3014</v>
      </c>
      <c r="C12756" t="s">
        <v>15309</v>
      </c>
      <c r="D12756" t="s">
        <v>16220</v>
      </c>
      <c r="E12756" t="s">
        <v>27363</v>
      </c>
      <c r="F12756" t="s">
        <v>28198</v>
      </c>
      <c r="G12756" t="s">
        <v>28205</v>
      </c>
      <c r="H12756" t="s">
        <v>28215</v>
      </c>
      <c r="I12756" t="s">
        <v>28343</v>
      </c>
      <c r="J12756" t="s">
        <v>33674</v>
      </c>
      <c r="K12756" t="s">
        <v>36701</v>
      </c>
      <c r="M12756" t="s">
        <v>40313</v>
      </c>
      <c r="N12756" t="s">
        <v>40436</v>
      </c>
      <c r="O12756" t="s">
        <v>40437</v>
      </c>
      <c r="P12756">
        <v>0</v>
      </c>
      <c r="Q12756">
        <v>1</v>
      </c>
      <c r="R12756" t="s">
        <v>40458</v>
      </c>
      <c r="S12756" t="s">
        <v>41445</v>
      </c>
      <c r="T12756" t="s">
        <v>42183</v>
      </c>
      <c r="U12756" t="s">
        <v>53068</v>
      </c>
      <c r="W12756" t="s">
        <v>40313</v>
      </c>
      <c r="X12756" t="s">
        <v>40459</v>
      </c>
    </row>
    <row r="12757" spans="1:24">
      <c r="A12757">
        <f>HYPERLINK("https://www.philgeps.gov.ph/GEPSNONPILOT/Tender/SplashBidNoticeAbstractUI.aspx?menuIndex=3&amp;refID=7012764&amp;Result=3","7012764")</f>
        <v>0</v>
      </c>
      <c r="B12757" t="s">
        <v>2122</v>
      </c>
      <c r="C12757" t="s">
        <v>15310</v>
      </c>
      <c r="D12757" t="s">
        <v>16191</v>
      </c>
      <c r="E12757" t="s">
        <v>27364</v>
      </c>
      <c r="F12757" t="s">
        <v>28198</v>
      </c>
      <c r="G12757" t="s">
        <v>28205</v>
      </c>
      <c r="H12757" t="s">
        <v>28215</v>
      </c>
      <c r="I12757" t="s">
        <v>4200</v>
      </c>
      <c r="J12757" t="s">
        <v>36156</v>
      </c>
      <c r="K12757" t="s">
        <v>36701</v>
      </c>
      <c r="M12757" t="s">
        <v>40317</v>
      </c>
      <c r="N12757" t="s">
        <v>40436</v>
      </c>
      <c r="O12757" t="s">
        <v>40437</v>
      </c>
      <c r="P12757">
        <v>0</v>
      </c>
      <c r="Q12757">
        <v>21</v>
      </c>
      <c r="R12757" t="s">
        <v>40458</v>
      </c>
      <c r="S12757" t="s">
        <v>41445</v>
      </c>
      <c r="T12757" t="s">
        <v>42350</v>
      </c>
      <c r="U12757" t="s">
        <v>53069</v>
      </c>
      <c r="W12757" t="s">
        <v>40317</v>
      </c>
      <c r="X12757" t="s">
        <v>40459</v>
      </c>
    </row>
    <row r="12758" spans="1:24">
      <c r="A12758">
        <f>HYPERLINK("https://www.philgeps.gov.ph/GEPSNONPILOT/Tender/SplashBidNoticeAbstractUI.aspx?menuIndex=3&amp;refID=7011997&amp;Result=3","7011997")</f>
        <v>0</v>
      </c>
      <c r="B12758" t="s">
        <v>2403</v>
      </c>
      <c r="C12758" t="s">
        <v>15311</v>
      </c>
      <c r="D12758" t="s">
        <v>16223</v>
      </c>
      <c r="E12758" t="s">
        <v>27365</v>
      </c>
      <c r="F12758" t="s">
        <v>28198</v>
      </c>
      <c r="G12758" t="s">
        <v>28205</v>
      </c>
      <c r="H12758" t="s">
        <v>28214</v>
      </c>
      <c r="I12758" t="s">
        <v>3797</v>
      </c>
      <c r="J12758" t="s">
        <v>29409</v>
      </c>
      <c r="K12758" t="s">
        <v>36694</v>
      </c>
      <c r="M12758" t="s">
        <v>39591</v>
      </c>
      <c r="N12758" t="s">
        <v>40436</v>
      </c>
      <c r="O12758" t="s">
        <v>40437</v>
      </c>
      <c r="P12758">
        <v>0</v>
      </c>
      <c r="Q12758">
        <v>0</v>
      </c>
      <c r="R12758" t="s">
        <v>40458</v>
      </c>
      <c r="S12758" t="s">
        <v>41445</v>
      </c>
      <c r="T12758" t="s">
        <v>42277</v>
      </c>
      <c r="U12758" t="s">
        <v>53070</v>
      </c>
      <c r="W12758" t="s">
        <v>39591</v>
      </c>
      <c r="X12758" t="s">
        <v>40459</v>
      </c>
    </row>
    <row r="12759" spans="1:24">
      <c r="A12759">
        <f>HYPERLINK("https://www.philgeps.gov.ph/GEPSNONPILOT/Tender/SplashBidNoticeAbstractUI.aspx?menuIndex=3&amp;refID=7012546&amp;Result=3","7012546")</f>
        <v>0</v>
      </c>
      <c r="B12759" t="s">
        <v>2122</v>
      </c>
      <c r="C12759" t="s">
        <v>15312</v>
      </c>
      <c r="D12759" t="s">
        <v>16191</v>
      </c>
      <c r="E12759" t="s">
        <v>27366</v>
      </c>
      <c r="F12759" t="s">
        <v>28198</v>
      </c>
      <c r="G12759" t="s">
        <v>28205</v>
      </c>
      <c r="H12759" t="s">
        <v>28215</v>
      </c>
      <c r="I12759" t="s">
        <v>5082</v>
      </c>
      <c r="J12759" t="s">
        <v>36157</v>
      </c>
      <c r="K12759" t="s">
        <v>36687</v>
      </c>
      <c r="M12759" t="s">
        <v>40317</v>
      </c>
      <c r="N12759" t="s">
        <v>40436</v>
      </c>
      <c r="O12759" t="s">
        <v>40437</v>
      </c>
      <c r="P12759">
        <v>0</v>
      </c>
      <c r="Q12759">
        <v>7</v>
      </c>
      <c r="R12759" t="s">
        <v>40458</v>
      </c>
      <c r="S12759" t="s">
        <v>41445</v>
      </c>
      <c r="T12759" t="s">
        <v>42350</v>
      </c>
      <c r="U12759" t="s">
        <v>53071</v>
      </c>
      <c r="W12759" t="s">
        <v>40317</v>
      </c>
      <c r="X12759" t="s">
        <v>40459</v>
      </c>
    </row>
    <row r="12760" spans="1:24">
      <c r="A12760">
        <f>HYPERLINK("https://www.philgeps.gov.ph/GEPSNONPILOT/Tender/SplashBidNoticeAbstractUI.aspx?menuIndex=3&amp;refID=7012532&amp;Result=3","7012532")</f>
        <v>0</v>
      </c>
      <c r="B12760" t="s">
        <v>3018</v>
      </c>
      <c r="C12760" t="s">
        <v>15313</v>
      </c>
      <c r="D12760" t="s">
        <v>16215</v>
      </c>
      <c r="E12760" t="s">
        <v>27367</v>
      </c>
      <c r="F12760" t="s">
        <v>28198</v>
      </c>
      <c r="G12760" t="s">
        <v>28205</v>
      </c>
      <c r="H12760" t="s">
        <v>28215</v>
      </c>
      <c r="I12760" t="s">
        <v>28314</v>
      </c>
      <c r="J12760" t="s">
        <v>29113</v>
      </c>
      <c r="K12760" t="s">
        <v>36694</v>
      </c>
      <c r="M12760" t="s">
        <v>40318</v>
      </c>
      <c r="N12760" t="s">
        <v>40436</v>
      </c>
      <c r="O12760" t="s">
        <v>40437</v>
      </c>
      <c r="P12760">
        <v>0</v>
      </c>
      <c r="Q12760">
        <v>2</v>
      </c>
      <c r="R12760" t="s">
        <v>40458</v>
      </c>
      <c r="S12760" t="s">
        <v>41445</v>
      </c>
      <c r="T12760" t="s">
        <v>42468</v>
      </c>
      <c r="U12760" t="s">
        <v>53072</v>
      </c>
      <c r="W12760" t="s">
        <v>40318</v>
      </c>
      <c r="X12760" t="s">
        <v>40459</v>
      </c>
    </row>
    <row r="12761" spans="1:24">
      <c r="A12761">
        <f>HYPERLINK("https://www.philgeps.gov.ph/GEPSNONPILOT/Tender/SplashBidNoticeAbstractUI.aspx?menuIndex=3&amp;refID=7011002&amp;Result=3","7011002")</f>
        <v>0</v>
      </c>
      <c r="B12761" t="s">
        <v>1791</v>
      </c>
      <c r="C12761" t="s">
        <v>15314</v>
      </c>
      <c r="D12761" t="s">
        <v>16254</v>
      </c>
      <c r="E12761" t="s">
        <v>27368</v>
      </c>
      <c r="F12761" t="s">
        <v>28198</v>
      </c>
      <c r="G12761" t="s">
        <v>28205</v>
      </c>
      <c r="H12761" t="s">
        <v>28216</v>
      </c>
      <c r="I12761" t="s">
        <v>28216</v>
      </c>
      <c r="J12761" t="s">
        <v>36158</v>
      </c>
      <c r="K12761" t="s">
        <v>36692</v>
      </c>
      <c r="M12761" t="s">
        <v>38907</v>
      </c>
      <c r="N12761" t="s">
        <v>40436</v>
      </c>
      <c r="O12761" t="s">
        <v>40437</v>
      </c>
      <c r="P12761">
        <v>0</v>
      </c>
      <c r="Q12761">
        <v>6</v>
      </c>
      <c r="R12761" t="s">
        <v>40458</v>
      </c>
      <c r="S12761" t="s">
        <v>41445</v>
      </c>
      <c r="T12761" t="s">
        <v>42133</v>
      </c>
      <c r="U12761" t="s">
        <v>53073</v>
      </c>
      <c r="W12761" t="s">
        <v>38907</v>
      </c>
      <c r="X12761" t="s">
        <v>40460</v>
      </c>
    </row>
    <row r="12762" spans="1:24">
      <c r="A12762">
        <f>HYPERLINK("https://www.philgeps.gov.ph/GEPSNONPILOT/Tender/SplashBidNoticeAbstractUI.aspx?menuIndex=3&amp;refID=7012527&amp;Result=3","7012527")</f>
        <v>0</v>
      </c>
      <c r="B12762" t="s">
        <v>2122</v>
      </c>
      <c r="C12762" t="s">
        <v>15315</v>
      </c>
      <c r="D12762" t="s">
        <v>16191</v>
      </c>
      <c r="E12762" t="s">
        <v>27369</v>
      </c>
      <c r="F12762" t="s">
        <v>28198</v>
      </c>
      <c r="G12762" t="s">
        <v>28205</v>
      </c>
      <c r="H12762" t="s">
        <v>28215</v>
      </c>
      <c r="I12762" t="s">
        <v>8888</v>
      </c>
      <c r="J12762" t="s">
        <v>28363</v>
      </c>
      <c r="K12762" t="s">
        <v>36687</v>
      </c>
      <c r="M12762" t="s">
        <v>40317</v>
      </c>
      <c r="N12762" t="s">
        <v>40436</v>
      </c>
      <c r="O12762" t="s">
        <v>40437</v>
      </c>
      <c r="P12762">
        <v>0</v>
      </c>
      <c r="Q12762">
        <v>12</v>
      </c>
      <c r="R12762" t="s">
        <v>40458</v>
      </c>
      <c r="S12762" t="s">
        <v>41445</v>
      </c>
      <c r="T12762" t="s">
        <v>42350</v>
      </c>
      <c r="U12762" t="s">
        <v>53074</v>
      </c>
      <c r="W12762" t="s">
        <v>40317</v>
      </c>
      <c r="X12762" t="s">
        <v>40459</v>
      </c>
    </row>
    <row r="12763" spans="1:24">
      <c r="A12763">
        <f>HYPERLINK("https://www.philgeps.gov.ph/GEPSNONPILOT/Tender/SplashBidNoticeAbstractUI.aspx?menuIndex=3&amp;refID=7012217&amp;Result=3","7012217")</f>
        <v>0</v>
      </c>
      <c r="B12763" t="s">
        <v>1462</v>
      </c>
      <c r="C12763" t="s">
        <v>15316</v>
      </c>
      <c r="D12763" t="s">
        <v>16210</v>
      </c>
      <c r="E12763" t="s">
        <v>27370</v>
      </c>
      <c r="F12763" t="s">
        <v>28198</v>
      </c>
      <c r="G12763" t="s">
        <v>28207</v>
      </c>
      <c r="H12763" t="s">
        <v>28215</v>
      </c>
      <c r="I12763" t="s">
        <v>5082</v>
      </c>
      <c r="J12763" t="s">
        <v>36159</v>
      </c>
      <c r="K12763" t="s">
        <v>36688</v>
      </c>
      <c r="M12763" t="s">
        <v>38531</v>
      </c>
      <c r="N12763" t="s">
        <v>40436</v>
      </c>
      <c r="O12763" t="s">
        <v>40437</v>
      </c>
      <c r="Q12763">
        <v>10</v>
      </c>
      <c r="R12763" t="s">
        <v>40458</v>
      </c>
      <c r="S12763" t="s">
        <v>40664</v>
      </c>
      <c r="T12763" t="s">
        <v>42116</v>
      </c>
      <c r="U12763" t="s">
        <v>53075</v>
      </c>
      <c r="W12763" t="s">
        <v>38531</v>
      </c>
      <c r="X12763" t="s">
        <v>40459</v>
      </c>
    </row>
    <row r="12764" spans="1:24">
      <c r="A12764">
        <f>HYPERLINK("https://www.philgeps.gov.ph/GEPSNONPILOT/Tender/SplashBidNoticeAbstractUI.aspx?menuIndex=3&amp;refID=7012358&amp;Result=3","7012358")</f>
        <v>0</v>
      </c>
      <c r="B12764" t="s">
        <v>214</v>
      </c>
      <c r="C12764" t="s">
        <v>15317</v>
      </c>
      <c r="D12764" t="s">
        <v>16251</v>
      </c>
      <c r="E12764" t="s">
        <v>27371</v>
      </c>
      <c r="F12764" t="s">
        <v>28198</v>
      </c>
      <c r="G12764" t="s">
        <v>28205</v>
      </c>
      <c r="H12764" t="s">
        <v>28215</v>
      </c>
      <c r="I12764" t="s">
        <v>28243</v>
      </c>
      <c r="J12764" t="s">
        <v>28730</v>
      </c>
      <c r="K12764" t="s">
        <v>36697</v>
      </c>
      <c r="M12764" t="s">
        <v>37190</v>
      </c>
      <c r="N12764" t="s">
        <v>40436</v>
      </c>
      <c r="O12764" t="s">
        <v>40437</v>
      </c>
      <c r="P12764">
        <v>0</v>
      </c>
      <c r="Q12764">
        <v>2</v>
      </c>
      <c r="R12764" t="s">
        <v>40458</v>
      </c>
      <c r="S12764" t="s">
        <v>41445</v>
      </c>
      <c r="T12764" t="s">
        <v>42129</v>
      </c>
      <c r="U12764" t="s">
        <v>53076</v>
      </c>
      <c r="W12764" t="s">
        <v>37190</v>
      </c>
      <c r="X12764" t="s">
        <v>40459</v>
      </c>
    </row>
    <row r="12765" spans="1:24">
      <c r="A12765">
        <f>HYPERLINK("https://www.philgeps.gov.ph/GEPSNONPILOT/Tender/SplashBidNoticeAbstractUI.aspx?menuIndex=3&amp;refID=7012130&amp;Result=3","7012130")</f>
        <v>0</v>
      </c>
      <c r="B12765" t="s">
        <v>2633</v>
      </c>
      <c r="C12765" t="s">
        <v>15318</v>
      </c>
      <c r="D12765" t="s">
        <v>16215</v>
      </c>
      <c r="E12765" t="s">
        <v>27372</v>
      </c>
      <c r="F12765" t="s">
        <v>28198</v>
      </c>
      <c r="G12765" t="s">
        <v>28205</v>
      </c>
      <c r="H12765" t="s">
        <v>28214</v>
      </c>
      <c r="I12765" t="s">
        <v>28260</v>
      </c>
      <c r="J12765" t="s">
        <v>28363</v>
      </c>
      <c r="K12765" t="s">
        <v>36692</v>
      </c>
      <c r="M12765" t="s">
        <v>39857</v>
      </c>
      <c r="N12765" t="s">
        <v>40436</v>
      </c>
      <c r="O12765" t="s">
        <v>40437</v>
      </c>
      <c r="P12765">
        <v>0</v>
      </c>
      <c r="Q12765">
        <v>15</v>
      </c>
      <c r="R12765" t="s">
        <v>40458</v>
      </c>
      <c r="S12765" t="s">
        <v>41445</v>
      </c>
      <c r="T12765" t="s">
        <v>42431</v>
      </c>
      <c r="U12765" t="s">
        <v>53077</v>
      </c>
      <c r="W12765" t="s">
        <v>39857</v>
      </c>
      <c r="X12765" t="s">
        <v>40459</v>
      </c>
    </row>
    <row r="12766" spans="1:24">
      <c r="A12766">
        <f>HYPERLINK("https://www.philgeps.gov.ph/GEPSNONPILOT/Tender/SplashBidNoticeAbstractUI.aspx?menuIndex=3&amp;refID=7012489&amp;Result=3","7012489")</f>
        <v>0</v>
      </c>
      <c r="B12766" t="s">
        <v>2122</v>
      </c>
      <c r="C12766" t="s">
        <v>15319</v>
      </c>
      <c r="D12766" t="s">
        <v>16191</v>
      </c>
      <c r="E12766" t="s">
        <v>27373</v>
      </c>
      <c r="F12766" t="s">
        <v>28198</v>
      </c>
      <c r="G12766" t="s">
        <v>28205</v>
      </c>
      <c r="H12766" t="s">
        <v>28215</v>
      </c>
      <c r="I12766" t="s">
        <v>8888</v>
      </c>
      <c r="J12766" t="s">
        <v>32104</v>
      </c>
      <c r="K12766" t="s">
        <v>36687</v>
      </c>
      <c r="M12766" t="s">
        <v>40317</v>
      </c>
      <c r="N12766" t="s">
        <v>40436</v>
      </c>
      <c r="O12766" t="s">
        <v>40437</v>
      </c>
      <c r="P12766">
        <v>0</v>
      </c>
      <c r="Q12766">
        <v>18</v>
      </c>
      <c r="R12766" t="s">
        <v>40458</v>
      </c>
      <c r="S12766" t="s">
        <v>41445</v>
      </c>
      <c r="T12766" t="s">
        <v>42350</v>
      </c>
      <c r="U12766" t="s">
        <v>53078</v>
      </c>
      <c r="W12766" t="s">
        <v>40317</v>
      </c>
      <c r="X12766" t="s">
        <v>40459</v>
      </c>
    </row>
    <row r="12767" spans="1:24">
      <c r="A12767">
        <f>HYPERLINK("https://www.philgeps.gov.ph/GEPSNONPILOT/Tender/SplashBidNoticeAbstractUI.aspx?menuIndex=3&amp;refID=7012082&amp;Result=3","7012082")</f>
        <v>0</v>
      </c>
      <c r="B12767" t="s">
        <v>2633</v>
      </c>
      <c r="C12767" t="s">
        <v>15318</v>
      </c>
      <c r="D12767" t="s">
        <v>16215</v>
      </c>
      <c r="E12767" t="s">
        <v>27374</v>
      </c>
      <c r="F12767" t="s">
        <v>28198</v>
      </c>
      <c r="G12767" t="s">
        <v>28205</v>
      </c>
      <c r="H12767" t="s">
        <v>28214</v>
      </c>
      <c r="I12767" t="s">
        <v>28260</v>
      </c>
      <c r="J12767" t="s">
        <v>28363</v>
      </c>
      <c r="K12767" t="s">
        <v>36697</v>
      </c>
      <c r="M12767" t="s">
        <v>39857</v>
      </c>
      <c r="N12767" t="s">
        <v>40436</v>
      </c>
      <c r="O12767" t="s">
        <v>40437</v>
      </c>
      <c r="P12767">
        <v>0</v>
      </c>
      <c r="Q12767">
        <v>15</v>
      </c>
      <c r="R12767" t="s">
        <v>40458</v>
      </c>
      <c r="S12767" t="s">
        <v>41445</v>
      </c>
      <c r="T12767" t="s">
        <v>42431</v>
      </c>
      <c r="U12767" t="s">
        <v>53079</v>
      </c>
      <c r="W12767" t="s">
        <v>39857</v>
      </c>
      <c r="X12767" t="s">
        <v>40459</v>
      </c>
    </row>
    <row r="12768" spans="1:24">
      <c r="A12768">
        <f>HYPERLINK("https://www.philgeps.gov.ph/GEPSNONPILOT/Tender/SplashBidNoticeAbstractUI.aspx?menuIndex=3&amp;refID=7012106&amp;Result=3","7012106")</f>
        <v>0</v>
      </c>
      <c r="B12768" t="s">
        <v>1033</v>
      </c>
      <c r="C12768" t="s">
        <v>15320</v>
      </c>
      <c r="D12768" t="s">
        <v>16187</v>
      </c>
      <c r="E12768" t="s">
        <v>27375</v>
      </c>
      <c r="F12768" t="s">
        <v>28198</v>
      </c>
      <c r="G12768" t="s">
        <v>28205</v>
      </c>
      <c r="H12768" t="s">
        <v>28214</v>
      </c>
      <c r="I12768" t="s">
        <v>3797</v>
      </c>
      <c r="J12768" t="s">
        <v>36160</v>
      </c>
      <c r="K12768" t="s">
        <v>36697</v>
      </c>
      <c r="M12768" t="s">
        <v>39055</v>
      </c>
      <c r="N12768" t="s">
        <v>40436</v>
      </c>
      <c r="O12768" t="s">
        <v>40437</v>
      </c>
      <c r="P12768">
        <v>0</v>
      </c>
      <c r="Q12768">
        <v>2</v>
      </c>
      <c r="R12768" t="s">
        <v>40458</v>
      </c>
      <c r="S12768" t="s">
        <v>41445</v>
      </c>
      <c r="T12768" t="s">
        <v>42159</v>
      </c>
      <c r="U12768" t="s">
        <v>53080</v>
      </c>
      <c r="W12768" t="s">
        <v>39055</v>
      </c>
      <c r="X12768" t="s">
        <v>40459</v>
      </c>
    </row>
    <row r="12769" spans="1:24">
      <c r="A12769">
        <f>HYPERLINK("https://www.philgeps.gov.ph/GEPSNONPILOT/Tender/SplashBidNoticeAbstractUI.aspx?menuIndex=3&amp;refID=7012098&amp;Result=3","7012098")</f>
        <v>0</v>
      </c>
      <c r="B12769" t="s">
        <v>2633</v>
      </c>
      <c r="C12769" t="s">
        <v>15318</v>
      </c>
      <c r="D12769" t="s">
        <v>16215</v>
      </c>
      <c r="E12769" t="s">
        <v>27376</v>
      </c>
      <c r="F12769" t="s">
        <v>28198</v>
      </c>
      <c r="G12769" t="s">
        <v>28205</v>
      </c>
      <c r="H12769" t="s">
        <v>28214</v>
      </c>
      <c r="I12769" t="s">
        <v>28260</v>
      </c>
      <c r="J12769" t="s">
        <v>28398</v>
      </c>
      <c r="K12769" t="s">
        <v>36694</v>
      </c>
      <c r="M12769" t="s">
        <v>39857</v>
      </c>
      <c r="N12769" t="s">
        <v>40436</v>
      </c>
      <c r="O12769" t="s">
        <v>40437</v>
      </c>
      <c r="P12769">
        <v>0</v>
      </c>
      <c r="Q12769">
        <v>14</v>
      </c>
      <c r="R12769" t="s">
        <v>40458</v>
      </c>
      <c r="S12769" t="s">
        <v>41445</v>
      </c>
      <c r="T12769" t="s">
        <v>42431</v>
      </c>
      <c r="U12769" t="s">
        <v>53081</v>
      </c>
      <c r="W12769" t="s">
        <v>39857</v>
      </c>
      <c r="X12769" t="s">
        <v>40459</v>
      </c>
    </row>
    <row r="12770" spans="1:24">
      <c r="A12770">
        <f>HYPERLINK("https://www.philgeps.gov.ph/GEPSNONPILOT/Tender/SplashBidNoticeAbstractUI.aspx?menuIndex=3&amp;refID=7012050&amp;Result=3","7012050")</f>
        <v>0</v>
      </c>
      <c r="B12770" t="s">
        <v>2633</v>
      </c>
      <c r="C12770" t="s">
        <v>15318</v>
      </c>
      <c r="D12770" t="s">
        <v>16215</v>
      </c>
      <c r="E12770" t="s">
        <v>27377</v>
      </c>
      <c r="F12770" t="s">
        <v>28198</v>
      </c>
      <c r="G12770" t="s">
        <v>28205</v>
      </c>
      <c r="H12770" t="s">
        <v>28214</v>
      </c>
      <c r="I12770" t="s">
        <v>28260</v>
      </c>
      <c r="J12770" t="s">
        <v>28363</v>
      </c>
      <c r="K12770" t="s">
        <v>36697</v>
      </c>
      <c r="M12770" t="s">
        <v>39857</v>
      </c>
      <c r="N12770" t="s">
        <v>40436</v>
      </c>
      <c r="O12770" t="s">
        <v>40437</v>
      </c>
      <c r="P12770">
        <v>0</v>
      </c>
      <c r="Q12770">
        <v>15</v>
      </c>
      <c r="R12770" t="s">
        <v>40458</v>
      </c>
      <c r="S12770" t="s">
        <v>41445</v>
      </c>
      <c r="T12770" t="s">
        <v>42431</v>
      </c>
      <c r="U12770" t="s">
        <v>53082</v>
      </c>
      <c r="W12770" t="s">
        <v>39857</v>
      </c>
      <c r="X12770" t="s">
        <v>40459</v>
      </c>
    </row>
    <row r="12771" spans="1:24">
      <c r="A12771">
        <f>HYPERLINK("https://www.philgeps.gov.ph/GEPSNONPILOT/Tender/SplashBidNoticeAbstractUI.aspx?menuIndex=3&amp;refID=7012427&amp;Result=3","7012427")</f>
        <v>0</v>
      </c>
      <c r="B12771" t="s">
        <v>2122</v>
      </c>
      <c r="C12771" t="s">
        <v>15321</v>
      </c>
      <c r="D12771" t="s">
        <v>16191</v>
      </c>
      <c r="E12771" t="s">
        <v>27378</v>
      </c>
      <c r="F12771" t="s">
        <v>28198</v>
      </c>
      <c r="G12771" t="s">
        <v>28205</v>
      </c>
      <c r="H12771" t="s">
        <v>28215</v>
      </c>
      <c r="I12771" t="s">
        <v>8888</v>
      </c>
      <c r="J12771" t="s">
        <v>28363</v>
      </c>
      <c r="K12771" t="s">
        <v>36687</v>
      </c>
      <c r="M12771" t="s">
        <v>40317</v>
      </c>
      <c r="N12771" t="s">
        <v>40436</v>
      </c>
      <c r="O12771" t="s">
        <v>40437</v>
      </c>
      <c r="P12771">
        <v>0</v>
      </c>
      <c r="Q12771">
        <v>13</v>
      </c>
      <c r="R12771" t="s">
        <v>40458</v>
      </c>
      <c r="S12771" t="s">
        <v>41445</v>
      </c>
      <c r="T12771" t="s">
        <v>42350</v>
      </c>
      <c r="U12771" t="s">
        <v>53083</v>
      </c>
      <c r="W12771" t="s">
        <v>40317</v>
      </c>
      <c r="X12771" t="s">
        <v>40459</v>
      </c>
    </row>
    <row r="12772" spans="1:24">
      <c r="A12772">
        <f>HYPERLINK("https://www.philgeps.gov.ph/GEPSNONPILOT/Tender/SplashBidNoticeAbstractUI.aspx?menuIndex=3&amp;refID=7012063&amp;Result=3","7012063")</f>
        <v>0</v>
      </c>
      <c r="B12772" t="s">
        <v>2633</v>
      </c>
      <c r="C12772" t="s">
        <v>15318</v>
      </c>
      <c r="D12772" t="s">
        <v>16215</v>
      </c>
      <c r="E12772" t="s">
        <v>27379</v>
      </c>
      <c r="F12772" t="s">
        <v>28198</v>
      </c>
      <c r="G12772" t="s">
        <v>28205</v>
      </c>
      <c r="H12772" t="s">
        <v>28214</v>
      </c>
      <c r="I12772" t="s">
        <v>28260</v>
      </c>
      <c r="J12772" t="s">
        <v>28363</v>
      </c>
      <c r="K12772" t="s">
        <v>36697</v>
      </c>
      <c r="M12772" t="s">
        <v>39857</v>
      </c>
      <c r="N12772" t="s">
        <v>40436</v>
      </c>
      <c r="O12772" t="s">
        <v>40437</v>
      </c>
      <c r="P12772">
        <v>0</v>
      </c>
      <c r="Q12772">
        <v>14</v>
      </c>
      <c r="R12772" t="s">
        <v>40458</v>
      </c>
      <c r="S12772" t="s">
        <v>41445</v>
      </c>
      <c r="T12772" t="s">
        <v>42431</v>
      </c>
      <c r="U12772" t="s">
        <v>53084</v>
      </c>
      <c r="W12772" t="s">
        <v>39857</v>
      </c>
      <c r="X12772" t="s">
        <v>40459</v>
      </c>
    </row>
    <row r="12773" spans="1:24">
      <c r="A12773">
        <f>HYPERLINK("https://www.philgeps.gov.ph/GEPSNONPILOT/Tender/SplashBidNoticeAbstractUI.aspx?menuIndex=3&amp;refID=7012210&amp;Result=3","7012210")</f>
        <v>0</v>
      </c>
      <c r="B12773" t="s">
        <v>3019</v>
      </c>
      <c r="C12773" t="s">
        <v>15322</v>
      </c>
      <c r="D12773" t="s">
        <v>16236</v>
      </c>
      <c r="E12773" t="s">
        <v>27380</v>
      </c>
      <c r="F12773" t="s">
        <v>28198</v>
      </c>
      <c r="G12773" t="s">
        <v>28205</v>
      </c>
      <c r="H12773" t="s">
        <v>28215</v>
      </c>
      <c r="I12773" t="s">
        <v>28236</v>
      </c>
      <c r="J12773" t="s">
        <v>33255</v>
      </c>
      <c r="K12773" t="s">
        <v>36701</v>
      </c>
      <c r="M12773" t="s">
        <v>40319</v>
      </c>
      <c r="N12773" t="s">
        <v>40436</v>
      </c>
      <c r="O12773" t="s">
        <v>40437</v>
      </c>
      <c r="Q12773">
        <v>8</v>
      </c>
      <c r="R12773" t="s">
        <v>40458</v>
      </c>
      <c r="S12773" t="s">
        <v>41450</v>
      </c>
      <c r="T12773" t="s">
        <v>42184</v>
      </c>
      <c r="U12773" t="s">
        <v>53085</v>
      </c>
      <c r="W12773" t="s">
        <v>40319</v>
      </c>
      <c r="X12773" t="s">
        <v>40459</v>
      </c>
    </row>
    <row r="12774" spans="1:24">
      <c r="A12774">
        <f>HYPERLINK("https://www.philgeps.gov.ph/GEPSNONPILOT/Tender/SplashBidNoticeAbstractUI.aspx?menuIndex=3&amp;refID=7011999&amp;Result=3","7011999")</f>
        <v>0</v>
      </c>
      <c r="B12774" t="s">
        <v>214</v>
      </c>
      <c r="C12774" t="s">
        <v>15323</v>
      </c>
      <c r="D12774" t="s">
        <v>16251</v>
      </c>
      <c r="E12774" t="s">
        <v>27381</v>
      </c>
      <c r="F12774" t="s">
        <v>28198</v>
      </c>
      <c r="G12774" t="s">
        <v>28205</v>
      </c>
      <c r="H12774" t="s">
        <v>28215</v>
      </c>
      <c r="I12774" t="s">
        <v>8888</v>
      </c>
      <c r="J12774" t="s">
        <v>28347</v>
      </c>
      <c r="K12774" t="s">
        <v>36707</v>
      </c>
      <c r="M12774" t="s">
        <v>37190</v>
      </c>
      <c r="N12774" t="s">
        <v>40436</v>
      </c>
      <c r="O12774" t="s">
        <v>40437</v>
      </c>
      <c r="P12774">
        <v>0</v>
      </c>
      <c r="Q12774">
        <v>7</v>
      </c>
      <c r="R12774" t="s">
        <v>40458</v>
      </c>
      <c r="S12774" t="s">
        <v>41445</v>
      </c>
      <c r="T12774" t="s">
        <v>42129</v>
      </c>
      <c r="U12774" t="s">
        <v>53086</v>
      </c>
      <c r="W12774" t="s">
        <v>37190</v>
      </c>
      <c r="X12774" t="s">
        <v>40459</v>
      </c>
    </row>
    <row r="12775" spans="1:24">
      <c r="A12775">
        <f>HYPERLINK("https://www.philgeps.gov.ph/GEPSNONPILOT/Tender/SplashBidNoticeAbstractUI.aspx?menuIndex=3&amp;refID=7012015&amp;Result=3","7012015")</f>
        <v>0</v>
      </c>
      <c r="B12775" t="s">
        <v>2633</v>
      </c>
      <c r="C12775" t="s">
        <v>15318</v>
      </c>
      <c r="D12775" t="s">
        <v>16215</v>
      </c>
      <c r="E12775" t="s">
        <v>27382</v>
      </c>
      <c r="F12775" t="s">
        <v>28198</v>
      </c>
      <c r="G12775" t="s">
        <v>28205</v>
      </c>
      <c r="H12775" t="s">
        <v>28214</v>
      </c>
      <c r="I12775" t="s">
        <v>28260</v>
      </c>
      <c r="J12775" t="s">
        <v>28351</v>
      </c>
      <c r="K12775" t="s">
        <v>36692</v>
      </c>
      <c r="M12775" t="s">
        <v>39857</v>
      </c>
      <c r="N12775" t="s">
        <v>40436</v>
      </c>
      <c r="O12775" t="s">
        <v>40437</v>
      </c>
      <c r="P12775">
        <v>0</v>
      </c>
      <c r="Q12775">
        <v>15</v>
      </c>
      <c r="R12775" t="s">
        <v>40458</v>
      </c>
      <c r="S12775" t="s">
        <v>41445</v>
      </c>
      <c r="T12775" t="s">
        <v>42431</v>
      </c>
      <c r="U12775" t="s">
        <v>53087</v>
      </c>
      <c r="W12775" t="s">
        <v>39857</v>
      </c>
      <c r="X12775" t="s">
        <v>40459</v>
      </c>
    </row>
    <row r="12776" spans="1:24">
      <c r="A12776">
        <f>HYPERLINK("https://www.philgeps.gov.ph/GEPSNONPILOT/Tender/SplashBidNoticeAbstractUI.aspx?menuIndex=3&amp;refID=7010894&amp;Result=3","7010894")</f>
        <v>0</v>
      </c>
      <c r="B12776" t="s">
        <v>2279</v>
      </c>
      <c r="C12776" t="s">
        <v>15324</v>
      </c>
      <c r="E12776" t="s">
        <v>27383</v>
      </c>
      <c r="F12776" t="s">
        <v>28198</v>
      </c>
      <c r="G12776" t="s">
        <v>28205</v>
      </c>
      <c r="H12776" t="s">
        <v>28215</v>
      </c>
      <c r="I12776" t="s">
        <v>5791</v>
      </c>
      <c r="J12776" t="s">
        <v>36161</v>
      </c>
      <c r="K12776" t="s">
        <v>36687</v>
      </c>
      <c r="M12776" t="s">
        <v>39451</v>
      </c>
      <c r="N12776" t="s">
        <v>40436</v>
      </c>
      <c r="O12776" t="s">
        <v>40437</v>
      </c>
      <c r="P12776">
        <v>0</v>
      </c>
      <c r="Q12776">
        <v>0</v>
      </c>
      <c r="R12776" t="s">
        <v>40458</v>
      </c>
      <c r="S12776" t="s">
        <v>41445</v>
      </c>
      <c r="T12776" t="s">
        <v>42350</v>
      </c>
      <c r="U12776" t="s">
        <v>48841</v>
      </c>
      <c r="W12776" t="s">
        <v>39451</v>
      </c>
      <c r="X12776" t="s">
        <v>40460</v>
      </c>
    </row>
    <row r="12777" spans="1:24">
      <c r="A12777">
        <f>HYPERLINK("https://www.philgeps.gov.ph/GEPSNONPILOT/Tender/SplashBidNoticeAbstractUI.aspx?menuIndex=3&amp;refID=7013350&amp;Result=3","7013350")</f>
        <v>0</v>
      </c>
      <c r="B12777" t="s">
        <v>2122</v>
      </c>
      <c r="C12777" t="s">
        <v>15325</v>
      </c>
      <c r="D12777" t="s">
        <v>16191</v>
      </c>
      <c r="E12777" t="s">
        <v>27384</v>
      </c>
      <c r="F12777" t="s">
        <v>28198</v>
      </c>
      <c r="G12777" t="s">
        <v>28205</v>
      </c>
      <c r="H12777" t="s">
        <v>28214</v>
      </c>
      <c r="I12777" t="s">
        <v>3797</v>
      </c>
      <c r="J12777" t="s">
        <v>28379</v>
      </c>
      <c r="K12777" t="s">
        <v>36715</v>
      </c>
      <c r="M12777" t="s">
        <v>39277</v>
      </c>
      <c r="N12777" t="s">
        <v>40436</v>
      </c>
      <c r="O12777" t="s">
        <v>40437</v>
      </c>
      <c r="P12777">
        <v>0</v>
      </c>
      <c r="Q12777">
        <v>3</v>
      </c>
      <c r="R12777" t="s">
        <v>40458</v>
      </c>
      <c r="S12777" t="s">
        <v>41445</v>
      </c>
      <c r="T12777" t="s">
        <v>42350</v>
      </c>
      <c r="U12777" t="s">
        <v>53088</v>
      </c>
      <c r="W12777" t="s">
        <v>39277</v>
      </c>
      <c r="X12777" t="s">
        <v>40459</v>
      </c>
    </row>
    <row r="12778" spans="1:24">
      <c r="A12778">
        <f>HYPERLINK("https://www.philgeps.gov.ph/GEPSNONPILOT/Tender/SplashBidNoticeAbstractUI.aspx?menuIndex=3&amp;refID=7016521&amp;Result=3","7016521")</f>
        <v>0</v>
      </c>
      <c r="B12778" t="s">
        <v>998</v>
      </c>
      <c r="C12778" t="s">
        <v>15326</v>
      </c>
      <c r="D12778" t="s">
        <v>16209</v>
      </c>
      <c r="E12778" t="s">
        <v>27100</v>
      </c>
      <c r="F12778" t="s">
        <v>28198</v>
      </c>
      <c r="G12778" t="s">
        <v>28205</v>
      </c>
      <c r="H12778" t="s">
        <v>28215</v>
      </c>
      <c r="I12778" t="s">
        <v>28260</v>
      </c>
      <c r="J12778" t="s">
        <v>36162</v>
      </c>
      <c r="K12778" t="s">
        <v>36706</v>
      </c>
      <c r="L12778" t="s">
        <v>998</v>
      </c>
      <c r="M12778" t="s">
        <v>38026</v>
      </c>
      <c r="N12778" t="s">
        <v>40436</v>
      </c>
      <c r="O12778" t="s">
        <v>40437</v>
      </c>
      <c r="P12778">
        <v>0</v>
      </c>
      <c r="Q12778">
        <v>0</v>
      </c>
      <c r="R12778" t="s">
        <v>40457</v>
      </c>
      <c r="S12778" t="s">
        <v>41386</v>
      </c>
      <c r="T12778" t="s">
        <v>42141</v>
      </c>
      <c r="U12778" t="s">
        <v>53089</v>
      </c>
      <c r="W12778" t="s">
        <v>38026</v>
      </c>
      <c r="X12778" t="s">
        <v>40458</v>
      </c>
    </row>
    <row r="12779" spans="1:24">
      <c r="A12779">
        <f>HYPERLINK("https://www.philgeps.gov.ph/GEPSNONPILOT/Tender/SplashBidNoticeAbstractUI.aspx?menuIndex=3&amp;refID=7013535&amp;Result=3","7013535")</f>
        <v>0</v>
      </c>
      <c r="B12779" t="s">
        <v>2737</v>
      </c>
      <c r="C12779" t="s">
        <v>3761</v>
      </c>
      <c r="D12779" t="s">
        <v>16209</v>
      </c>
      <c r="E12779" t="s">
        <v>27385</v>
      </c>
      <c r="F12779" t="s">
        <v>28198</v>
      </c>
      <c r="G12779" t="s">
        <v>28205</v>
      </c>
      <c r="H12779" t="s">
        <v>28214</v>
      </c>
      <c r="I12779" t="s">
        <v>3797</v>
      </c>
      <c r="J12779" t="s">
        <v>36163</v>
      </c>
      <c r="K12779" t="s">
        <v>36687</v>
      </c>
      <c r="M12779" t="s">
        <v>39983</v>
      </c>
      <c r="N12779" t="s">
        <v>40436</v>
      </c>
      <c r="O12779" t="s">
        <v>40437</v>
      </c>
      <c r="P12779">
        <v>0</v>
      </c>
      <c r="Q12779">
        <v>0</v>
      </c>
      <c r="R12779" t="s">
        <v>40458</v>
      </c>
      <c r="S12779" t="s">
        <v>41445</v>
      </c>
      <c r="T12779" t="s">
        <v>42277</v>
      </c>
      <c r="U12779" t="s">
        <v>53090</v>
      </c>
      <c r="V12779" t="s">
        <v>55250</v>
      </c>
      <c r="W12779" t="s">
        <v>39983</v>
      </c>
      <c r="X12779" t="s">
        <v>40459</v>
      </c>
    </row>
    <row r="12780" spans="1:24">
      <c r="A12780">
        <f>HYPERLINK("https://www.philgeps.gov.ph/GEPSNONPILOT/Tender/SplashBidNoticeAbstractUI.aspx?menuIndex=3&amp;refID=7013547&amp;Result=3","7013547")</f>
        <v>0</v>
      </c>
      <c r="B12780" t="s">
        <v>1114</v>
      </c>
      <c r="C12780" t="s">
        <v>15327</v>
      </c>
      <c r="D12780" t="s">
        <v>16228</v>
      </c>
      <c r="E12780" t="s">
        <v>27386</v>
      </c>
      <c r="F12780" t="s">
        <v>28198</v>
      </c>
      <c r="G12780" t="s">
        <v>28205</v>
      </c>
      <c r="H12780" t="s">
        <v>28214</v>
      </c>
      <c r="I12780" t="s">
        <v>3797</v>
      </c>
      <c r="J12780" t="s">
        <v>28363</v>
      </c>
      <c r="K12780" t="s">
        <v>36694</v>
      </c>
      <c r="M12780" t="s">
        <v>38151</v>
      </c>
      <c r="N12780" t="s">
        <v>40436</v>
      </c>
      <c r="O12780" t="s">
        <v>40437</v>
      </c>
      <c r="P12780">
        <v>0</v>
      </c>
      <c r="Q12780">
        <v>3</v>
      </c>
      <c r="R12780" t="s">
        <v>40458</v>
      </c>
      <c r="S12780" t="s">
        <v>41445</v>
      </c>
      <c r="T12780" t="s">
        <v>42233</v>
      </c>
      <c r="U12780" t="s">
        <v>51654</v>
      </c>
      <c r="W12780" t="s">
        <v>38151</v>
      </c>
      <c r="X12780" t="s">
        <v>40459</v>
      </c>
    </row>
    <row r="12781" spans="1:24">
      <c r="A12781">
        <f>HYPERLINK("https://www.philgeps.gov.ph/GEPSNONPILOT/Tender/SplashBidNoticeAbstractUI.aspx?menuIndex=3&amp;refID=7013493&amp;Result=3","7013493")</f>
        <v>0</v>
      </c>
      <c r="B12781" t="s">
        <v>3020</v>
      </c>
      <c r="C12781" t="s">
        <v>15328</v>
      </c>
      <c r="E12781" t="s">
        <v>27387</v>
      </c>
      <c r="F12781" t="s">
        <v>28198</v>
      </c>
      <c r="G12781" t="s">
        <v>28205</v>
      </c>
      <c r="H12781" t="s">
        <v>28215</v>
      </c>
      <c r="I12781" t="s">
        <v>28232</v>
      </c>
      <c r="J12781" t="s">
        <v>36164</v>
      </c>
      <c r="K12781" t="s">
        <v>36697</v>
      </c>
      <c r="M12781" t="s">
        <v>40320</v>
      </c>
      <c r="N12781" t="s">
        <v>40436</v>
      </c>
      <c r="O12781" t="s">
        <v>40437</v>
      </c>
      <c r="Q12781">
        <v>10</v>
      </c>
      <c r="R12781" t="s">
        <v>40458</v>
      </c>
      <c r="S12781" t="s">
        <v>41451</v>
      </c>
      <c r="T12781" t="s">
        <v>42132</v>
      </c>
      <c r="U12781" t="s">
        <v>53091</v>
      </c>
      <c r="W12781" t="s">
        <v>40320</v>
      </c>
      <c r="X12781" t="s">
        <v>40459</v>
      </c>
    </row>
    <row r="12782" spans="1:24">
      <c r="A12782">
        <f>HYPERLINK("https://www.philgeps.gov.ph/GEPSNONPILOT/Tender/SplashBidNoticeAbstractUI.aspx?menuIndex=3&amp;refID=7013580&amp;Result=3","7013580")</f>
        <v>0</v>
      </c>
      <c r="B12782" t="s">
        <v>1114</v>
      </c>
      <c r="C12782" t="s">
        <v>15329</v>
      </c>
      <c r="D12782" t="s">
        <v>16228</v>
      </c>
      <c r="E12782" t="s">
        <v>27388</v>
      </c>
      <c r="F12782" t="s">
        <v>28198</v>
      </c>
      <c r="G12782" t="s">
        <v>28205</v>
      </c>
      <c r="H12782" t="s">
        <v>28214</v>
      </c>
      <c r="I12782" t="s">
        <v>3797</v>
      </c>
      <c r="J12782" t="s">
        <v>36165</v>
      </c>
      <c r="K12782" t="s">
        <v>36832</v>
      </c>
      <c r="M12782" t="s">
        <v>38151</v>
      </c>
      <c r="N12782" t="s">
        <v>40436</v>
      </c>
      <c r="O12782" t="s">
        <v>40437</v>
      </c>
      <c r="P12782">
        <v>0</v>
      </c>
      <c r="Q12782">
        <v>1</v>
      </c>
      <c r="R12782" t="s">
        <v>40458</v>
      </c>
      <c r="S12782" t="s">
        <v>41445</v>
      </c>
      <c r="T12782" t="s">
        <v>42233</v>
      </c>
      <c r="U12782" t="s">
        <v>51654</v>
      </c>
      <c r="W12782" t="s">
        <v>38151</v>
      </c>
      <c r="X12782" t="s">
        <v>40459</v>
      </c>
    </row>
    <row r="12783" spans="1:24">
      <c r="A12783">
        <f>HYPERLINK("https://www.philgeps.gov.ph/GEPSNONPILOT/Tender/SplashBidNoticeAbstractUI.aspx?menuIndex=3&amp;refID=7013426&amp;Result=3","7013426")</f>
        <v>0</v>
      </c>
      <c r="B12783" t="s">
        <v>1187</v>
      </c>
      <c r="C12783" t="s">
        <v>3332</v>
      </c>
      <c r="D12783" t="s">
        <v>16197</v>
      </c>
      <c r="E12783" t="s">
        <v>17644</v>
      </c>
      <c r="F12783" t="s">
        <v>28198</v>
      </c>
      <c r="G12783" t="s">
        <v>28205</v>
      </c>
      <c r="H12783" t="s">
        <v>28215</v>
      </c>
      <c r="I12783" t="s">
        <v>28222</v>
      </c>
      <c r="J12783" t="s">
        <v>29113</v>
      </c>
      <c r="K12783" t="s">
        <v>36706</v>
      </c>
      <c r="M12783" t="s">
        <v>38229</v>
      </c>
      <c r="N12783" t="s">
        <v>40436</v>
      </c>
      <c r="O12783" t="s">
        <v>40437</v>
      </c>
      <c r="Q12783">
        <v>1</v>
      </c>
      <c r="R12783" t="s">
        <v>40458</v>
      </c>
      <c r="S12783" t="s">
        <v>41452</v>
      </c>
      <c r="T12783" t="s">
        <v>42233</v>
      </c>
      <c r="U12783" t="s">
        <v>53092</v>
      </c>
      <c r="W12783" t="s">
        <v>38229</v>
      </c>
      <c r="X12783" t="s">
        <v>40459</v>
      </c>
    </row>
    <row r="12784" spans="1:24">
      <c r="A12784">
        <f>HYPERLINK("https://www.philgeps.gov.ph/GEPSNONPILOT/Tender/SplashBidNoticeAbstractUI.aspx?menuIndex=3&amp;refID=7013389&amp;Result=3","7013389")</f>
        <v>0</v>
      </c>
      <c r="B12784" t="s">
        <v>2122</v>
      </c>
      <c r="C12784" t="s">
        <v>15330</v>
      </c>
      <c r="D12784" t="s">
        <v>16191</v>
      </c>
      <c r="E12784" t="s">
        <v>27389</v>
      </c>
      <c r="F12784" t="s">
        <v>28198</v>
      </c>
      <c r="G12784" t="s">
        <v>28205</v>
      </c>
      <c r="H12784" t="s">
        <v>28214</v>
      </c>
      <c r="I12784" t="s">
        <v>8870</v>
      </c>
      <c r="J12784" t="s">
        <v>36166</v>
      </c>
      <c r="K12784" t="s">
        <v>36701</v>
      </c>
      <c r="M12784" t="s">
        <v>39277</v>
      </c>
      <c r="N12784" t="s">
        <v>40436</v>
      </c>
      <c r="O12784" t="s">
        <v>40437</v>
      </c>
      <c r="P12784">
        <v>0</v>
      </c>
      <c r="Q12784">
        <v>7</v>
      </c>
      <c r="R12784" t="s">
        <v>40458</v>
      </c>
      <c r="S12784" t="s">
        <v>41445</v>
      </c>
      <c r="T12784" t="s">
        <v>42350</v>
      </c>
      <c r="U12784" t="s">
        <v>53093</v>
      </c>
      <c r="W12784" t="s">
        <v>39277</v>
      </c>
      <c r="X12784" t="s">
        <v>40459</v>
      </c>
    </row>
    <row r="12785" spans="1:24">
      <c r="A12785">
        <f>HYPERLINK("https://www.philgeps.gov.ph/GEPSNONPILOT/Tender/SplashBidNoticeAbstractUI.aspx?menuIndex=3&amp;refID=7013290&amp;Result=3","7013290")</f>
        <v>0</v>
      </c>
      <c r="B12785" t="s">
        <v>2122</v>
      </c>
      <c r="C12785" t="s">
        <v>15331</v>
      </c>
      <c r="D12785" t="s">
        <v>16191</v>
      </c>
      <c r="E12785" t="s">
        <v>27390</v>
      </c>
      <c r="F12785" t="s">
        <v>28198</v>
      </c>
      <c r="G12785" t="s">
        <v>28205</v>
      </c>
      <c r="H12785" t="s">
        <v>28214</v>
      </c>
      <c r="I12785" t="s">
        <v>3797</v>
      </c>
      <c r="J12785" t="s">
        <v>28363</v>
      </c>
      <c r="K12785" t="s">
        <v>36715</v>
      </c>
      <c r="M12785" t="s">
        <v>39277</v>
      </c>
      <c r="N12785" t="s">
        <v>40436</v>
      </c>
      <c r="O12785" t="s">
        <v>40437</v>
      </c>
      <c r="P12785">
        <v>0</v>
      </c>
      <c r="Q12785">
        <v>2</v>
      </c>
      <c r="R12785" t="s">
        <v>40458</v>
      </c>
      <c r="S12785" t="s">
        <v>41445</v>
      </c>
      <c r="T12785" t="s">
        <v>42350</v>
      </c>
      <c r="U12785" t="s">
        <v>53094</v>
      </c>
      <c r="W12785" t="s">
        <v>39277</v>
      </c>
      <c r="X12785" t="s">
        <v>40459</v>
      </c>
    </row>
    <row r="12786" spans="1:24">
      <c r="A12786">
        <f>HYPERLINK("https://www.philgeps.gov.ph/GEPSNONPILOT/Tender/SplashBidNoticeAbstractUI.aspx?menuIndex=3&amp;refID=7012800&amp;Result=3","7012800")</f>
        <v>0</v>
      </c>
      <c r="B12786" t="s">
        <v>2122</v>
      </c>
      <c r="C12786" t="s">
        <v>15332</v>
      </c>
      <c r="D12786" t="s">
        <v>16191</v>
      </c>
      <c r="E12786" t="s">
        <v>27391</v>
      </c>
      <c r="F12786" t="s">
        <v>28198</v>
      </c>
      <c r="G12786" t="s">
        <v>28205</v>
      </c>
      <c r="H12786" t="s">
        <v>28215</v>
      </c>
      <c r="I12786" t="s">
        <v>28224</v>
      </c>
      <c r="J12786" t="s">
        <v>28379</v>
      </c>
      <c r="K12786" t="s">
        <v>36687</v>
      </c>
      <c r="M12786" t="s">
        <v>40317</v>
      </c>
      <c r="N12786" t="s">
        <v>40436</v>
      </c>
      <c r="O12786" t="s">
        <v>40437</v>
      </c>
      <c r="P12786">
        <v>0</v>
      </c>
      <c r="Q12786">
        <v>3</v>
      </c>
      <c r="R12786" t="s">
        <v>40458</v>
      </c>
      <c r="S12786" t="s">
        <v>41445</v>
      </c>
      <c r="T12786" t="s">
        <v>42350</v>
      </c>
      <c r="U12786" t="s">
        <v>53095</v>
      </c>
      <c r="W12786" t="s">
        <v>40317</v>
      </c>
      <c r="X12786" t="s">
        <v>40459</v>
      </c>
    </row>
    <row r="12787" spans="1:24">
      <c r="A12787">
        <f>HYPERLINK("https://www.philgeps.gov.ph/GEPSNONPILOT/Tender/SplashBidNoticeAbstractUI.aspx?menuIndex=3&amp;refID=7013522&amp;Result=3","7013522")</f>
        <v>0</v>
      </c>
      <c r="B12787" t="s">
        <v>1215</v>
      </c>
      <c r="C12787" t="s">
        <v>15333</v>
      </c>
      <c r="D12787" t="s">
        <v>16238</v>
      </c>
      <c r="E12787" t="s">
        <v>27392</v>
      </c>
      <c r="F12787" t="s">
        <v>28198</v>
      </c>
      <c r="G12787" t="s">
        <v>28205</v>
      </c>
      <c r="H12787" t="s">
        <v>28215</v>
      </c>
      <c r="I12787" t="s">
        <v>28225</v>
      </c>
      <c r="J12787" t="s">
        <v>36167</v>
      </c>
      <c r="K12787" t="s">
        <v>36687</v>
      </c>
      <c r="L12787" t="s">
        <v>1215</v>
      </c>
      <c r="M12787" t="s">
        <v>38260</v>
      </c>
      <c r="N12787" t="s">
        <v>40436</v>
      </c>
      <c r="O12787" t="s">
        <v>40437</v>
      </c>
      <c r="P12787">
        <v>0</v>
      </c>
      <c r="Q12787">
        <v>24</v>
      </c>
      <c r="R12787" t="s">
        <v>40458</v>
      </c>
      <c r="S12787" t="s">
        <v>41445</v>
      </c>
      <c r="T12787" t="s">
        <v>42203</v>
      </c>
      <c r="U12787" t="s">
        <v>53096</v>
      </c>
      <c r="W12787" t="s">
        <v>38260</v>
      </c>
      <c r="X12787" t="s">
        <v>40459</v>
      </c>
    </row>
    <row r="12788" spans="1:24">
      <c r="A12788">
        <f>HYPERLINK("https://www.philgeps.gov.ph/GEPSNONPILOT/Tender/SplashBidNoticeAbstractUI.aspx?menuIndex=3&amp;refID=7016422&amp;Result=3","7016422")</f>
        <v>0</v>
      </c>
      <c r="B12788" t="s">
        <v>2448</v>
      </c>
      <c r="C12788" t="s">
        <v>15334</v>
      </c>
      <c r="D12788" t="s">
        <v>16260</v>
      </c>
      <c r="E12788" t="s">
        <v>27393</v>
      </c>
      <c r="F12788" t="s">
        <v>28198</v>
      </c>
      <c r="G12788" t="s">
        <v>28205</v>
      </c>
      <c r="H12788" t="s">
        <v>28214</v>
      </c>
      <c r="I12788" t="s">
        <v>3797</v>
      </c>
      <c r="J12788" t="s">
        <v>36168</v>
      </c>
      <c r="K12788" t="s">
        <v>36692</v>
      </c>
      <c r="M12788" t="s">
        <v>39638</v>
      </c>
      <c r="N12788" t="s">
        <v>40436</v>
      </c>
      <c r="O12788" t="s">
        <v>40437</v>
      </c>
      <c r="P12788">
        <v>0</v>
      </c>
      <c r="Q12788">
        <v>11</v>
      </c>
      <c r="R12788" t="s">
        <v>40457</v>
      </c>
      <c r="S12788" t="s">
        <v>41386</v>
      </c>
      <c r="T12788" t="s">
        <v>42233</v>
      </c>
      <c r="U12788" t="s">
        <v>53097</v>
      </c>
      <c r="W12788" t="s">
        <v>39638</v>
      </c>
      <c r="X12788" t="s">
        <v>40458</v>
      </c>
    </row>
    <row r="12789" spans="1:24">
      <c r="A12789">
        <f>HYPERLINK("https://www.philgeps.gov.ph/GEPSNONPILOT/Tender/SplashBidNoticeAbstractUI.aspx?menuIndex=3&amp;refID=7013414&amp;Result=3","7013414")</f>
        <v>0</v>
      </c>
      <c r="B12789" t="s">
        <v>2122</v>
      </c>
      <c r="C12789" t="s">
        <v>15335</v>
      </c>
      <c r="D12789" t="s">
        <v>16191</v>
      </c>
      <c r="E12789" t="s">
        <v>27394</v>
      </c>
      <c r="F12789" t="s">
        <v>28198</v>
      </c>
      <c r="G12789" t="s">
        <v>28205</v>
      </c>
      <c r="H12789" t="s">
        <v>28214</v>
      </c>
      <c r="I12789" t="s">
        <v>3797</v>
      </c>
      <c r="J12789" t="s">
        <v>36169</v>
      </c>
      <c r="K12789" t="s">
        <v>36692</v>
      </c>
      <c r="M12789" t="s">
        <v>39277</v>
      </c>
      <c r="N12789" t="s">
        <v>40436</v>
      </c>
      <c r="O12789" t="s">
        <v>40437</v>
      </c>
      <c r="P12789">
        <v>0</v>
      </c>
      <c r="Q12789">
        <v>2</v>
      </c>
      <c r="R12789" t="s">
        <v>40458</v>
      </c>
      <c r="S12789" t="s">
        <v>41445</v>
      </c>
      <c r="T12789" t="s">
        <v>42350</v>
      </c>
      <c r="U12789" t="s">
        <v>53098</v>
      </c>
      <c r="W12789" t="s">
        <v>39277</v>
      </c>
      <c r="X12789" t="s">
        <v>40459</v>
      </c>
    </row>
    <row r="12790" spans="1:24">
      <c r="A12790">
        <f>HYPERLINK("https://www.philgeps.gov.ph/GEPSNONPILOT/Tender/SplashBidNoticeAbstractUI.aspx?menuIndex=3&amp;refID=7013257&amp;Result=3","7013257")</f>
        <v>0</v>
      </c>
      <c r="B12790" t="s">
        <v>2122</v>
      </c>
      <c r="C12790" t="s">
        <v>15336</v>
      </c>
      <c r="D12790" t="s">
        <v>16191</v>
      </c>
      <c r="E12790" t="s">
        <v>27395</v>
      </c>
      <c r="F12790" t="s">
        <v>28198</v>
      </c>
      <c r="G12790" t="s">
        <v>28205</v>
      </c>
      <c r="H12790" t="s">
        <v>28214</v>
      </c>
      <c r="I12790" t="s">
        <v>3797</v>
      </c>
      <c r="J12790" t="s">
        <v>28379</v>
      </c>
      <c r="K12790" t="s">
        <v>36697</v>
      </c>
      <c r="M12790" t="s">
        <v>39277</v>
      </c>
      <c r="N12790" t="s">
        <v>40436</v>
      </c>
      <c r="O12790" t="s">
        <v>40437</v>
      </c>
      <c r="P12790">
        <v>0</v>
      </c>
      <c r="Q12790">
        <v>3</v>
      </c>
      <c r="R12790" t="s">
        <v>40458</v>
      </c>
      <c r="S12790" t="s">
        <v>41445</v>
      </c>
      <c r="T12790" t="s">
        <v>42350</v>
      </c>
      <c r="U12790" t="s">
        <v>53099</v>
      </c>
      <c r="W12790" t="s">
        <v>39277</v>
      </c>
      <c r="X12790" t="s">
        <v>40459</v>
      </c>
    </row>
    <row r="12791" spans="1:24">
      <c r="A12791">
        <f>HYPERLINK("https://www.philgeps.gov.ph/GEPSNONPILOT/Tender/SplashBidNoticeAbstractUI.aspx?menuIndex=3&amp;refID=7013970&amp;Result=3","7013970")</f>
        <v>0</v>
      </c>
      <c r="B12791" t="s">
        <v>1497</v>
      </c>
      <c r="C12791" t="s">
        <v>15337</v>
      </c>
      <c r="D12791" t="s">
        <v>16211</v>
      </c>
      <c r="E12791" t="s">
        <v>27396</v>
      </c>
      <c r="F12791" t="s">
        <v>28198</v>
      </c>
      <c r="G12791" t="s">
        <v>28208</v>
      </c>
      <c r="H12791" t="s">
        <v>28215</v>
      </c>
      <c r="I12791" t="s">
        <v>28228</v>
      </c>
      <c r="J12791" t="s">
        <v>36170</v>
      </c>
      <c r="K12791" t="s">
        <v>36688</v>
      </c>
      <c r="M12791" t="s">
        <v>38572</v>
      </c>
      <c r="N12791" t="s">
        <v>40436</v>
      </c>
      <c r="O12791" t="s">
        <v>40437</v>
      </c>
      <c r="P12791">
        <v>0</v>
      </c>
      <c r="Q12791">
        <v>0</v>
      </c>
      <c r="R12791" t="s">
        <v>40458</v>
      </c>
      <c r="S12791" t="s">
        <v>41445</v>
      </c>
      <c r="T12791" t="s">
        <v>42129</v>
      </c>
      <c r="U12791" t="s">
        <v>53100</v>
      </c>
      <c r="V12791" t="s">
        <v>55251</v>
      </c>
      <c r="W12791" t="s">
        <v>38572</v>
      </c>
      <c r="X12791" t="s">
        <v>40459</v>
      </c>
    </row>
    <row r="12792" spans="1:24">
      <c r="A12792">
        <f>HYPERLINK("https://www.philgeps.gov.ph/GEPSNONPILOT/Tender/SplashBidNoticeAbstractUI.aspx?menuIndex=3&amp;refID=7013954&amp;Result=3","7013954")</f>
        <v>0</v>
      </c>
      <c r="B12792" t="s">
        <v>1497</v>
      </c>
      <c r="C12792" t="s">
        <v>15338</v>
      </c>
      <c r="D12792" t="s">
        <v>16211</v>
      </c>
      <c r="E12792" t="s">
        <v>27397</v>
      </c>
      <c r="F12792" t="s">
        <v>28198</v>
      </c>
      <c r="G12792" t="s">
        <v>28208</v>
      </c>
      <c r="H12792" t="s">
        <v>28215</v>
      </c>
      <c r="I12792" t="s">
        <v>28228</v>
      </c>
      <c r="J12792" t="s">
        <v>36171</v>
      </c>
      <c r="K12792" t="s">
        <v>36688</v>
      </c>
      <c r="M12792" t="s">
        <v>38572</v>
      </c>
      <c r="N12792" t="s">
        <v>40436</v>
      </c>
      <c r="O12792" t="s">
        <v>40437</v>
      </c>
      <c r="P12792">
        <v>0</v>
      </c>
      <c r="Q12792">
        <v>0</v>
      </c>
      <c r="R12792" t="s">
        <v>40458</v>
      </c>
      <c r="S12792" t="s">
        <v>41445</v>
      </c>
      <c r="T12792" t="s">
        <v>42129</v>
      </c>
      <c r="U12792" t="s">
        <v>53101</v>
      </c>
      <c r="V12792" t="s">
        <v>55252</v>
      </c>
      <c r="W12792" t="s">
        <v>38572</v>
      </c>
      <c r="X12792" t="s">
        <v>40459</v>
      </c>
    </row>
    <row r="12793" spans="1:24">
      <c r="A12793">
        <f>HYPERLINK("https://www.philgeps.gov.ph/GEPSNONPILOT/Tender/SplashBidNoticeAbstractUI.aspx?menuIndex=3&amp;refID=7013262&amp;Result=3","7013262")</f>
        <v>0</v>
      </c>
      <c r="B12793" t="s">
        <v>2294</v>
      </c>
      <c r="C12793" t="s">
        <v>15339</v>
      </c>
      <c r="D12793" t="s">
        <v>16262</v>
      </c>
      <c r="E12793" t="s">
        <v>27398</v>
      </c>
      <c r="F12793" t="s">
        <v>28198</v>
      </c>
      <c r="G12793" t="s">
        <v>28205</v>
      </c>
      <c r="H12793" t="s">
        <v>28215</v>
      </c>
      <c r="I12793" t="s">
        <v>28240</v>
      </c>
      <c r="J12793" t="s">
        <v>36172</v>
      </c>
      <c r="K12793" t="s">
        <v>36707</v>
      </c>
      <c r="M12793" t="s">
        <v>39469</v>
      </c>
      <c r="N12793" t="s">
        <v>40436</v>
      </c>
      <c r="O12793" t="s">
        <v>40437</v>
      </c>
      <c r="P12793">
        <v>0</v>
      </c>
      <c r="Q12793">
        <v>3</v>
      </c>
      <c r="R12793" t="s">
        <v>40458</v>
      </c>
      <c r="S12793" t="s">
        <v>41445</v>
      </c>
      <c r="T12793" t="s">
        <v>42158</v>
      </c>
      <c r="U12793" t="s">
        <v>53102</v>
      </c>
      <c r="V12793" t="s">
        <v>55253</v>
      </c>
      <c r="W12793" t="s">
        <v>39469</v>
      </c>
      <c r="X12793" t="s">
        <v>40459</v>
      </c>
    </row>
    <row r="12794" spans="1:24">
      <c r="A12794">
        <f>HYPERLINK("https://www.philgeps.gov.ph/GEPSNONPILOT/Tender/SplashBidNoticeAbstractUI.aspx?menuIndex=3&amp;refID=7013370&amp;Result=3","7013370")</f>
        <v>0</v>
      </c>
      <c r="B12794" t="s">
        <v>2122</v>
      </c>
      <c r="C12794" t="s">
        <v>15340</v>
      </c>
      <c r="D12794" t="s">
        <v>16191</v>
      </c>
      <c r="E12794" t="s">
        <v>27399</v>
      </c>
      <c r="F12794" t="s">
        <v>28198</v>
      </c>
      <c r="G12794" t="s">
        <v>28205</v>
      </c>
      <c r="H12794" t="s">
        <v>28214</v>
      </c>
      <c r="I12794" t="s">
        <v>3797</v>
      </c>
      <c r="J12794" t="s">
        <v>28351</v>
      </c>
      <c r="K12794" t="s">
        <v>36694</v>
      </c>
      <c r="M12794" t="s">
        <v>39277</v>
      </c>
      <c r="N12794" t="s">
        <v>40436</v>
      </c>
      <c r="O12794" t="s">
        <v>40437</v>
      </c>
      <c r="P12794">
        <v>0</v>
      </c>
      <c r="Q12794">
        <v>2</v>
      </c>
      <c r="R12794" t="s">
        <v>40458</v>
      </c>
      <c r="S12794" t="s">
        <v>41445</v>
      </c>
      <c r="T12794" t="s">
        <v>42350</v>
      </c>
      <c r="U12794" t="s">
        <v>53103</v>
      </c>
      <c r="W12794" t="s">
        <v>39277</v>
      </c>
      <c r="X12794" t="s">
        <v>40459</v>
      </c>
    </row>
    <row r="12795" spans="1:24">
      <c r="A12795">
        <f>HYPERLINK("https://www.philgeps.gov.ph/GEPSNONPILOT/Tender/SplashBidNoticeAbstractUI.aspx?menuIndex=3&amp;refID=7013987&amp;Result=3","7013987")</f>
        <v>0</v>
      </c>
      <c r="B12795" t="s">
        <v>1497</v>
      </c>
      <c r="C12795" t="s">
        <v>15341</v>
      </c>
      <c r="D12795" t="s">
        <v>16211</v>
      </c>
      <c r="E12795" t="s">
        <v>27400</v>
      </c>
      <c r="F12795" t="s">
        <v>28198</v>
      </c>
      <c r="G12795" t="s">
        <v>28208</v>
      </c>
      <c r="H12795" t="s">
        <v>28215</v>
      </c>
      <c r="I12795" t="s">
        <v>28228</v>
      </c>
      <c r="J12795" t="s">
        <v>36173</v>
      </c>
      <c r="K12795" t="s">
        <v>36688</v>
      </c>
      <c r="M12795" t="s">
        <v>38572</v>
      </c>
      <c r="N12795" t="s">
        <v>40436</v>
      </c>
      <c r="O12795" t="s">
        <v>40437</v>
      </c>
      <c r="P12795">
        <v>0</v>
      </c>
      <c r="Q12795">
        <v>0</v>
      </c>
      <c r="R12795" t="s">
        <v>40458</v>
      </c>
      <c r="S12795" t="s">
        <v>41445</v>
      </c>
      <c r="T12795" t="s">
        <v>42129</v>
      </c>
      <c r="U12795" t="s">
        <v>53104</v>
      </c>
      <c r="V12795" t="s">
        <v>55254</v>
      </c>
      <c r="W12795" t="s">
        <v>38572</v>
      </c>
      <c r="X12795" t="s">
        <v>40459</v>
      </c>
    </row>
    <row r="12796" spans="1:24">
      <c r="A12796">
        <f>HYPERLINK("https://www.philgeps.gov.ph/GEPSNONPILOT/Tender/SplashBidNoticeAbstractUI.aspx?menuIndex=3&amp;refID=7013912&amp;Result=3","7013912")</f>
        <v>0</v>
      </c>
      <c r="B12796" t="s">
        <v>1497</v>
      </c>
      <c r="C12796" t="s">
        <v>15342</v>
      </c>
      <c r="D12796" t="s">
        <v>16211</v>
      </c>
      <c r="E12796" t="s">
        <v>27401</v>
      </c>
      <c r="F12796" t="s">
        <v>28198</v>
      </c>
      <c r="G12796" t="s">
        <v>28208</v>
      </c>
      <c r="H12796" t="s">
        <v>28215</v>
      </c>
      <c r="I12796" t="s">
        <v>28227</v>
      </c>
      <c r="J12796" t="s">
        <v>36174</v>
      </c>
      <c r="K12796" t="s">
        <v>36688</v>
      </c>
      <c r="M12796" t="s">
        <v>38572</v>
      </c>
      <c r="N12796" t="s">
        <v>40436</v>
      </c>
      <c r="O12796" t="s">
        <v>40437</v>
      </c>
      <c r="P12796">
        <v>0</v>
      </c>
      <c r="Q12796">
        <v>0</v>
      </c>
      <c r="R12796" t="s">
        <v>40458</v>
      </c>
      <c r="S12796" t="s">
        <v>41445</v>
      </c>
      <c r="T12796" t="s">
        <v>42129</v>
      </c>
      <c r="U12796" t="s">
        <v>53105</v>
      </c>
      <c r="V12796" t="s">
        <v>55255</v>
      </c>
      <c r="W12796" t="s">
        <v>38572</v>
      </c>
      <c r="X12796" t="s">
        <v>40459</v>
      </c>
    </row>
    <row r="12797" spans="1:24">
      <c r="A12797">
        <f>HYPERLINK("https://www.philgeps.gov.ph/GEPSNONPILOT/Tender/SplashBidNoticeAbstractUI.aspx?menuIndex=3&amp;refID=7013826&amp;Result=3","7013826")</f>
        <v>0</v>
      </c>
      <c r="B12797" t="s">
        <v>646</v>
      </c>
      <c r="C12797" t="s">
        <v>15343</v>
      </c>
      <c r="D12797" t="s">
        <v>16235</v>
      </c>
      <c r="E12797" t="s">
        <v>27402</v>
      </c>
      <c r="F12797" t="s">
        <v>28198</v>
      </c>
      <c r="G12797" t="s">
        <v>28205</v>
      </c>
      <c r="H12797" t="s">
        <v>28214</v>
      </c>
      <c r="I12797" t="s">
        <v>3797</v>
      </c>
      <c r="J12797" t="s">
        <v>36175</v>
      </c>
      <c r="K12797" t="s">
        <v>36690</v>
      </c>
      <c r="M12797" t="s">
        <v>37640</v>
      </c>
      <c r="N12797" t="s">
        <v>40436</v>
      </c>
      <c r="O12797" t="s">
        <v>40437</v>
      </c>
      <c r="P12797">
        <v>0</v>
      </c>
      <c r="Q12797">
        <v>0</v>
      </c>
      <c r="R12797" t="s">
        <v>40458</v>
      </c>
      <c r="S12797" t="s">
        <v>41445</v>
      </c>
      <c r="T12797" t="s">
        <v>42184</v>
      </c>
      <c r="U12797" t="s">
        <v>53106</v>
      </c>
      <c r="W12797" t="s">
        <v>37640</v>
      </c>
      <c r="X12797" t="s">
        <v>40459</v>
      </c>
    </row>
    <row r="12798" spans="1:24">
      <c r="A12798">
        <f>HYPERLINK("https://www.philgeps.gov.ph/GEPSNONPILOT/Tender/SplashBidNoticeAbstractUI.aspx?menuIndex=3&amp;refID=7012041&amp;Result=3","7012041")</f>
        <v>0</v>
      </c>
      <c r="B12798" t="s">
        <v>2633</v>
      </c>
      <c r="C12798" t="s">
        <v>15318</v>
      </c>
      <c r="D12798" t="s">
        <v>16215</v>
      </c>
      <c r="E12798" t="s">
        <v>27403</v>
      </c>
      <c r="F12798" t="s">
        <v>28198</v>
      </c>
      <c r="G12798" t="s">
        <v>28205</v>
      </c>
      <c r="H12798" t="s">
        <v>28214</v>
      </c>
      <c r="I12798" t="s">
        <v>28260</v>
      </c>
      <c r="J12798" t="s">
        <v>28363</v>
      </c>
      <c r="K12798" t="s">
        <v>36697</v>
      </c>
      <c r="M12798" t="s">
        <v>39857</v>
      </c>
      <c r="N12798" t="s">
        <v>40436</v>
      </c>
      <c r="O12798" t="s">
        <v>40437</v>
      </c>
      <c r="P12798">
        <v>0</v>
      </c>
      <c r="Q12798">
        <v>14</v>
      </c>
      <c r="R12798" t="s">
        <v>40458</v>
      </c>
      <c r="S12798" t="s">
        <v>41445</v>
      </c>
      <c r="T12798" t="s">
        <v>42431</v>
      </c>
      <c r="U12798" t="s">
        <v>53082</v>
      </c>
      <c r="W12798" t="s">
        <v>39857</v>
      </c>
      <c r="X12798" t="s">
        <v>40459</v>
      </c>
    </row>
    <row r="12799" spans="1:24">
      <c r="A12799">
        <f>HYPERLINK("https://www.philgeps.gov.ph/GEPSNONPILOT/Tender/SplashBidNoticeAbstractUI.aspx?menuIndex=3&amp;refID=7013810&amp;Result=3","7013810")</f>
        <v>0</v>
      </c>
      <c r="B12799" t="s">
        <v>1355</v>
      </c>
      <c r="C12799" t="s">
        <v>15344</v>
      </c>
      <c r="D12799" t="s">
        <v>16210</v>
      </c>
      <c r="E12799" t="s">
        <v>27404</v>
      </c>
      <c r="F12799" t="s">
        <v>28198</v>
      </c>
      <c r="G12799" t="s">
        <v>28207</v>
      </c>
      <c r="H12799" t="s">
        <v>28215</v>
      </c>
      <c r="I12799" t="s">
        <v>28247</v>
      </c>
      <c r="J12799" t="s">
        <v>30277</v>
      </c>
      <c r="K12799" t="s">
        <v>36689</v>
      </c>
      <c r="M12799" t="s">
        <v>40321</v>
      </c>
      <c r="N12799" t="s">
        <v>40436</v>
      </c>
      <c r="O12799" t="s">
        <v>40437</v>
      </c>
      <c r="Q12799">
        <v>9</v>
      </c>
      <c r="R12799" t="s">
        <v>40458</v>
      </c>
      <c r="S12799" t="s">
        <v>40729</v>
      </c>
      <c r="T12799" t="s">
        <v>42303</v>
      </c>
      <c r="U12799" t="s">
        <v>53107</v>
      </c>
      <c r="W12799" t="s">
        <v>40321</v>
      </c>
      <c r="X12799" t="s">
        <v>40459</v>
      </c>
    </row>
    <row r="12800" spans="1:24">
      <c r="A12800">
        <f>HYPERLINK("https://www.philgeps.gov.ph/GEPSNONPILOT/Tender/SplashBidNoticeAbstractUI.aspx?menuIndex=3&amp;refID=7013808&amp;Result=3","7013808")</f>
        <v>0</v>
      </c>
      <c r="B12800" t="s">
        <v>716</v>
      </c>
      <c r="C12800" t="s">
        <v>7758</v>
      </c>
      <c r="D12800" t="s">
        <v>16259</v>
      </c>
      <c r="E12800" t="s">
        <v>27405</v>
      </c>
      <c r="F12800" t="s">
        <v>28198</v>
      </c>
      <c r="G12800" t="s">
        <v>28205</v>
      </c>
      <c r="H12800" t="s">
        <v>28214</v>
      </c>
      <c r="I12800" t="s">
        <v>3797</v>
      </c>
      <c r="J12800" t="s">
        <v>36176</v>
      </c>
      <c r="K12800" t="s">
        <v>36708</v>
      </c>
      <c r="M12800" t="s">
        <v>37717</v>
      </c>
      <c r="N12800" t="s">
        <v>40436</v>
      </c>
      <c r="O12800" t="s">
        <v>40437</v>
      </c>
      <c r="Q12800">
        <v>0</v>
      </c>
      <c r="R12800" t="s">
        <v>40458</v>
      </c>
      <c r="S12800" t="s">
        <v>41453</v>
      </c>
      <c r="T12800" t="s">
        <v>42119</v>
      </c>
      <c r="U12800" t="s">
        <v>53108</v>
      </c>
      <c r="W12800" t="s">
        <v>37717</v>
      </c>
      <c r="X12800" t="s">
        <v>40459</v>
      </c>
    </row>
    <row r="12801" spans="1:24">
      <c r="A12801">
        <f>HYPERLINK("https://www.philgeps.gov.ph/GEPSNONPILOT/Tender/SplashBidNoticeAbstractUI.aspx?menuIndex=3&amp;refID=7013882&amp;Result=3","7013882")</f>
        <v>0</v>
      </c>
      <c r="B12801" t="s">
        <v>1497</v>
      </c>
      <c r="C12801" t="s">
        <v>15345</v>
      </c>
      <c r="D12801" t="s">
        <v>16211</v>
      </c>
      <c r="E12801" t="s">
        <v>27406</v>
      </c>
      <c r="F12801" t="s">
        <v>28198</v>
      </c>
      <c r="G12801" t="s">
        <v>28208</v>
      </c>
      <c r="H12801" t="s">
        <v>28215</v>
      </c>
      <c r="I12801" t="s">
        <v>28227</v>
      </c>
      <c r="J12801" t="s">
        <v>36177</v>
      </c>
      <c r="K12801" t="s">
        <v>36688</v>
      </c>
      <c r="M12801" t="s">
        <v>38572</v>
      </c>
      <c r="N12801" t="s">
        <v>40436</v>
      </c>
      <c r="O12801" t="s">
        <v>40437</v>
      </c>
      <c r="P12801">
        <v>0</v>
      </c>
      <c r="Q12801">
        <v>0</v>
      </c>
      <c r="R12801" t="s">
        <v>40458</v>
      </c>
      <c r="S12801" t="s">
        <v>41445</v>
      </c>
      <c r="T12801" t="s">
        <v>42129</v>
      </c>
      <c r="U12801" t="s">
        <v>53109</v>
      </c>
      <c r="V12801" t="s">
        <v>55256</v>
      </c>
      <c r="W12801" t="s">
        <v>38572</v>
      </c>
      <c r="X12801" t="s">
        <v>40459</v>
      </c>
    </row>
    <row r="12802" spans="1:24">
      <c r="A12802">
        <f>HYPERLINK("https://www.philgeps.gov.ph/GEPSNONPILOT/Tender/SplashBidNoticeAbstractUI.aspx?menuIndex=3&amp;refID=7013933&amp;Result=3","7013933")</f>
        <v>0</v>
      </c>
      <c r="B12802" t="s">
        <v>1497</v>
      </c>
      <c r="C12802" t="s">
        <v>15346</v>
      </c>
      <c r="D12802" t="s">
        <v>16211</v>
      </c>
      <c r="E12802" t="s">
        <v>27407</v>
      </c>
      <c r="F12802" t="s">
        <v>28198</v>
      </c>
      <c r="G12802" t="s">
        <v>28208</v>
      </c>
      <c r="H12802" t="s">
        <v>28215</v>
      </c>
      <c r="I12802" t="s">
        <v>28227</v>
      </c>
      <c r="J12802" t="s">
        <v>36178</v>
      </c>
      <c r="K12802" t="s">
        <v>36688</v>
      </c>
      <c r="M12802" t="s">
        <v>38572</v>
      </c>
      <c r="N12802" t="s">
        <v>40436</v>
      </c>
      <c r="O12802" t="s">
        <v>40437</v>
      </c>
      <c r="P12802">
        <v>0</v>
      </c>
      <c r="Q12802">
        <v>0</v>
      </c>
      <c r="R12802" t="s">
        <v>40458</v>
      </c>
      <c r="S12802" t="s">
        <v>41445</v>
      </c>
      <c r="T12802" t="s">
        <v>42129</v>
      </c>
      <c r="U12802" t="s">
        <v>53110</v>
      </c>
      <c r="V12802" t="s">
        <v>55257</v>
      </c>
      <c r="W12802" t="s">
        <v>38572</v>
      </c>
      <c r="X12802" t="s">
        <v>40459</v>
      </c>
    </row>
    <row r="12803" spans="1:24">
      <c r="A12803">
        <f>HYPERLINK("https://www.philgeps.gov.ph/GEPSNONPILOT/Tender/SplashBidNoticeAbstractUI.aspx?menuIndex=3&amp;refID=7013825&amp;Result=3","7013825")</f>
        <v>0</v>
      </c>
      <c r="B12803" t="s">
        <v>2394</v>
      </c>
      <c r="C12803" t="s">
        <v>15347</v>
      </c>
      <c r="D12803" t="s">
        <v>16201</v>
      </c>
      <c r="E12803" t="s">
        <v>27408</v>
      </c>
      <c r="F12803" t="s">
        <v>28198</v>
      </c>
      <c r="G12803" t="s">
        <v>28205</v>
      </c>
      <c r="H12803" t="s">
        <v>28214</v>
      </c>
      <c r="I12803" t="s">
        <v>3797</v>
      </c>
      <c r="J12803" t="s">
        <v>36179</v>
      </c>
      <c r="K12803" t="s">
        <v>36701</v>
      </c>
      <c r="M12803" t="s">
        <v>39581</v>
      </c>
      <c r="N12803" t="s">
        <v>40436</v>
      </c>
      <c r="O12803" t="s">
        <v>40437</v>
      </c>
      <c r="P12803">
        <v>0</v>
      </c>
      <c r="Q12803">
        <v>1</v>
      </c>
      <c r="R12803" t="s">
        <v>40458</v>
      </c>
      <c r="S12803" t="s">
        <v>41445</v>
      </c>
      <c r="T12803" t="s">
        <v>42205</v>
      </c>
      <c r="U12803" t="s">
        <v>53111</v>
      </c>
      <c r="W12803" t="s">
        <v>39581</v>
      </c>
      <c r="X12803" t="s">
        <v>40459</v>
      </c>
    </row>
    <row r="12804" spans="1:24">
      <c r="A12804">
        <f>HYPERLINK("https://www.philgeps.gov.ph/GEPSNONPILOT/Tender/SplashBidNoticeAbstractUI.aspx?menuIndex=3&amp;refID=7013785&amp;Result=3","7013785")</f>
        <v>0</v>
      </c>
      <c r="B12804" t="s">
        <v>1039</v>
      </c>
      <c r="C12804" t="s">
        <v>15348</v>
      </c>
      <c r="D12804" t="s">
        <v>16255</v>
      </c>
      <c r="E12804" t="s">
        <v>27409</v>
      </c>
      <c r="F12804" t="s">
        <v>28198</v>
      </c>
      <c r="G12804" t="s">
        <v>28205</v>
      </c>
      <c r="H12804" t="s">
        <v>28215</v>
      </c>
      <c r="I12804" t="s">
        <v>8888</v>
      </c>
      <c r="J12804" t="s">
        <v>36180</v>
      </c>
      <c r="K12804" t="s">
        <v>36701</v>
      </c>
      <c r="M12804" t="s">
        <v>38071</v>
      </c>
      <c r="N12804" t="s">
        <v>40436</v>
      </c>
      <c r="O12804" t="s">
        <v>40437</v>
      </c>
      <c r="Q12804">
        <v>5</v>
      </c>
      <c r="R12804" t="s">
        <v>40458</v>
      </c>
      <c r="S12804" t="s">
        <v>41454</v>
      </c>
      <c r="T12804" t="s">
        <v>42277</v>
      </c>
      <c r="U12804" t="s">
        <v>53112</v>
      </c>
      <c r="W12804" t="s">
        <v>38071</v>
      </c>
      <c r="X12804" t="s">
        <v>40459</v>
      </c>
    </row>
    <row r="12805" spans="1:24">
      <c r="A12805">
        <f>HYPERLINK("https://www.philgeps.gov.ph/GEPSNONPILOT/Tender/SplashBidNoticeAbstractUI.aspx?menuIndex=3&amp;refID=7013791&amp;Result=3","7013791")</f>
        <v>0</v>
      </c>
      <c r="B12805" t="s">
        <v>646</v>
      </c>
      <c r="C12805" t="s">
        <v>15349</v>
      </c>
      <c r="D12805" t="s">
        <v>16235</v>
      </c>
      <c r="E12805" t="s">
        <v>27410</v>
      </c>
      <c r="F12805" t="s">
        <v>28198</v>
      </c>
      <c r="G12805" t="s">
        <v>28205</v>
      </c>
      <c r="H12805" t="s">
        <v>28214</v>
      </c>
      <c r="I12805" t="s">
        <v>3797</v>
      </c>
      <c r="J12805" t="s">
        <v>36181</v>
      </c>
      <c r="K12805" t="s">
        <v>36692</v>
      </c>
      <c r="M12805" t="s">
        <v>37640</v>
      </c>
      <c r="N12805" t="s">
        <v>40436</v>
      </c>
      <c r="O12805" t="s">
        <v>40437</v>
      </c>
      <c r="P12805">
        <v>0</v>
      </c>
      <c r="Q12805">
        <v>1</v>
      </c>
      <c r="R12805" t="s">
        <v>40458</v>
      </c>
      <c r="S12805" t="s">
        <v>41445</v>
      </c>
      <c r="T12805" t="s">
        <v>42184</v>
      </c>
      <c r="U12805" t="s">
        <v>53113</v>
      </c>
      <c r="W12805" t="s">
        <v>37640</v>
      </c>
      <c r="X12805" t="s">
        <v>40459</v>
      </c>
    </row>
    <row r="12806" spans="1:24">
      <c r="A12806">
        <f>HYPERLINK("https://www.philgeps.gov.ph/GEPSNONPILOT/Tender/SplashBidNoticeAbstractUI.aspx?menuIndex=3&amp;refID=7013165&amp;Result=3","7013165")</f>
        <v>0</v>
      </c>
      <c r="B12806" t="s">
        <v>3021</v>
      </c>
      <c r="C12806" t="s">
        <v>15350</v>
      </c>
      <c r="D12806" t="s">
        <v>16198</v>
      </c>
      <c r="E12806" t="s">
        <v>27411</v>
      </c>
      <c r="F12806" t="s">
        <v>28198</v>
      </c>
      <c r="G12806" t="s">
        <v>28205</v>
      </c>
      <c r="H12806" t="s">
        <v>28214</v>
      </c>
      <c r="I12806" t="s">
        <v>3797</v>
      </c>
      <c r="J12806" t="s">
        <v>36182</v>
      </c>
      <c r="K12806" t="s">
        <v>36735</v>
      </c>
      <c r="M12806" t="s">
        <v>40322</v>
      </c>
      <c r="N12806" t="s">
        <v>40436</v>
      </c>
      <c r="O12806" t="s">
        <v>40437</v>
      </c>
      <c r="P12806">
        <v>0</v>
      </c>
      <c r="Q12806">
        <v>5</v>
      </c>
      <c r="R12806" t="s">
        <v>40458</v>
      </c>
      <c r="S12806" t="s">
        <v>41445</v>
      </c>
      <c r="T12806" t="s">
        <v>42233</v>
      </c>
      <c r="U12806" t="s">
        <v>53114</v>
      </c>
      <c r="W12806" t="s">
        <v>40322</v>
      </c>
      <c r="X12806" t="s">
        <v>40459</v>
      </c>
    </row>
    <row r="12807" spans="1:24">
      <c r="A12807">
        <f>HYPERLINK("https://www.philgeps.gov.ph/GEPSNONPILOT/Tender/SplashBidNoticeAbstractUI.aspx?menuIndex=3&amp;refID=7009599&amp;Result=3","7009599")</f>
        <v>0</v>
      </c>
      <c r="B12807" t="s">
        <v>1891</v>
      </c>
      <c r="C12807" t="s">
        <v>15351</v>
      </c>
      <c r="D12807" t="s">
        <v>16195</v>
      </c>
      <c r="E12807" t="s">
        <v>21887</v>
      </c>
      <c r="F12807" t="s">
        <v>28198</v>
      </c>
      <c r="G12807" t="s">
        <v>28205</v>
      </c>
      <c r="H12807" t="s">
        <v>28215</v>
      </c>
      <c r="I12807" t="s">
        <v>8888</v>
      </c>
      <c r="J12807" t="s">
        <v>36183</v>
      </c>
      <c r="K12807" t="s">
        <v>36701</v>
      </c>
      <c r="M12807" t="s">
        <v>39023</v>
      </c>
      <c r="N12807" t="s">
        <v>40436</v>
      </c>
      <c r="O12807" t="s">
        <v>40437</v>
      </c>
      <c r="P12807">
        <v>0</v>
      </c>
      <c r="Q12807">
        <v>7</v>
      </c>
      <c r="R12807" t="s">
        <v>40459</v>
      </c>
      <c r="S12807" t="s">
        <v>41455</v>
      </c>
      <c r="T12807" t="s">
        <v>42124</v>
      </c>
      <c r="U12807" t="s">
        <v>53115</v>
      </c>
      <c r="W12807" t="s">
        <v>39023</v>
      </c>
      <c r="X12807" t="s">
        <v>40461</v>
      </c>
    </row>
    <row r="12808" spans="1:24">
      <c r="A12808">
        <f>HYPERLINK("https://www.philgeps.gov.ph/GEPSNONPILOT/Tender/SplashBidNoticeAbstractUI.aspx?menuIndex=3&amp;refID=7014275&amp;Result=3","7014275")</f>
        <v>0</v>
      </c>
      <c r="B12808" t="s">
        <v>847</v>
      </c>
      <c r="C12808" t="s">
        <v>15352</v>
      </c>
      <c r="E12808" t="s">
        <v>27412</v>
      </c>
      <c r="F12808" t="s">
        <v>28198</v>
      </c>
      <c r="G12808" t="s">
        <v>28205</v>
      </c>
      <c r="H12808" t="s">
        <v>28214</v>
      </c>
      <c r="I12808" t="s">
        <v>3797</v>
      </c>
      <c r="J12808" t="s">
        <v>36184</v>
      </c>
      <c r="K12808" t="s">
        <v>36781</v>
      </c>
      <c r="M12808" t="s">
        <v>40215</v>
      </c>
      <c r="N12808" t="s">
        <v>40436</v>
      </c>
      <c r="O12808" t="s">
        <v>40437</v>
      </c>
      <c r="Q12808">
        <v>17</v>
      </c>
      <c r="R12808" t="s">
        <v>40458</v>
      </c>
      <c r="S12808" t="s">
        <v>41456</v>
      </c>
      <c r="T12808" t="s">
        <v>42234</v>
      </c>
      <c r="U12808" t="s">
        <v>53116</v>
      </c>
      <c r="V12808" t="s">
        <v>55153</v>
      </c>
      <c r="W12808" t="s">
        <v>40215</v>
      </c>
      <c r="X12808" t="s">
        <v>40459</v>
      </c>
    </row>
    <row r="12809" spans="1:24">
      <c r="A12809">
        <f>HYPERLINK("https://www.philgeps.gov.ph/GEPSNONPILOT/Tender/SplashBidNoticeAbstractUI.aspx?menuIndex=3&amp;refID=7006820&amp;Result=3","7006820")</f>
        <v>0</v>
      </c>
      <c r="B12809" t="s">
        <v>1007</v>
      </c>
      <c r="C12809" t="s">
        <v>15353</v>
      </c>
      <c r="E12809" t="s">
        <v>27413</v>
      </c>
      <c r="F12809" t="s">
        <v>28198</v>
      </c>
      <c r="G12809" t="s">
        <v>28207</v>
      </c>
      <c r="H12809" t="s">
        <v>28215</v>
      </c>
      <c r="I12809" t="s">
        <v>28249</v>
      </c>
      <c r="J12809" t="s">
        <v>36185</v>
      </c>
      <c r="K12809" t="s">
        <v>36765</v>
      </c>
      <c r="M12809" t="s">
        <v>38035</v>
      </c>
      <c r="N12809" t="s">
        <v>40436</v>
      </c>
      <c r="O12809" t="s">
        <v>40437</v>
      </c>
      <c r="Q12809">
        <v>0</v>
      </c>
      <c r="R12809" t="s">
        <v>40459</v>
      </c>
      <c r="S12809" t="s">
        <v>41457</v>
      </c>
      <c r="T12809" t="s">
        <v>42216</v>
      </c>
      <c r="U12809" t="s">
        <v>53117</v>
      </c>
      <c r="W12809" t="s">
        <v>38035</v>
      </c>
      <c r="X12809" t="s">
        <v>40464</v>
      </c>
    </row>
    <row r="12810" spans="1:24">
      <c r="A12810">
        <f>HYPERLINK("https://www.philgeps.gov.ph/GEPSNONPILOT/Tender/SplashBidNoticeAbstractUI.aspx?menuIndex=3&amp;refID=7013203&amp;Result=3","7013203")</f>
        <v>0</v>
      </c>
      <c r="B12810" t="s">
        <v>2122</v>
      </c>
      <c r="C12810" t="s">
        <v>15354</v>
      </c>
      <c r="D12810" t="s">
        <v>16191</v>
      </c>
      <c r="E12810" t="s">
        <v>27414</v>
      </c>
      <c r="F12810" t="s">
        <v>28198</v>
      </c>
      <c r="G12810" t="s">
        <v>28205</v>
      </c>
      <c r="H12810" t="s">
        <v>28214</v>
      </c>
      <c r="I12810" t="s">
        <v>3797</v>
      </c>
      <c r="J12810" t="s">
        <v>33132</v>
      </c>
      <c r="K12810" t="s">
        <v>36735</v>
      </c>
      <c r="M12810" t="s">
        <v>39277</v>
      </c>
      <c r="N12810" t="s">
        <v>40436</v>
      </c>
      <c r="O12810" t="s">
        <v>40437</v>
      </c>
      <c r="P12810">
        <v>0</v>
      </c>
      <c r="Q12810">
        <v>4</v>
      </c>
      <c r="R12810" t="s">
        <v>40458</v>
      </c>
      <c r="S12810" t="s">
        <v>41445</v>
      </c>
      <c r="T12810" t="s">
        <v>42350</v>
      </c>
      <c r="U12810" t="s">
        <v>53118</v>
      </c>
      <c r="W12810" t="s">
        <v>39277</v>
      </c>
      <c r="X12810" t="s">
        <v>40459</v>
      </c>
    </row>
    <row r="12811" spans="1:24">
      <c r="A12811">
        <f>HYPERLINK("https://www.philgeps.gov.ph/GEPSNONPILOT/Tender/SplashBidNoticeAbstractUI.aspx?menuIndex=3&amp;refID=7014195&amp;Result=3","7014195")</f>
        <v>0</v>
      </c>
      <c r="B12811" t="s">
        <v>3015</v>
      </c>
      <c r="C12811" t="s">
        <v>15355</v>
      </c>
      <c r="D12811" t="s">
        <v>16193</v>
      </c>
      <c r="E12811" t="s">
        <v>27415</v>
      </c>
      <c r="F12811" t="s">
        <v>28200</v>
      </c>
      <c r="G12811" t="s">
        <v>28205</v>
      </c>
      <c r="H12811" t="s">
        <v>28214</v>
      </c>
      <c r="I12811" t="s">
        <v>3797</v>
      </c>
      <c r="J12811" t="s">
        <v>29369</v>
      </c>
      <c r="K12811" t="s">
        <v>36692</v>
      </c>
      <c r="L12811" t="s">
        <v>3015</v>
      </c>
      <c r="M12811" t="s">
        <v>40314</v>
      </c>
      <c r="N12811" t="s">
        <v>40436</v>
      </c>
      <c r="O12811" t="s">
        <v>40437</v>
      </c>
      <c r="P12811">
        <v>0</v>
      </c>
      <c r="Q12811">
        <v>1</v>
      </c>
      <c r="R12811" t="s">
        <v>40458</v>
      </c>
      <c r="S12811" t="s">
        <v>41445</v>
      </c>
      <c r="T12811" t="s">
        <v>42177</v>
      </c>
      <c r="U12811" t="s">
        <v>53119</v>
      </c>
      <c r="V12811" t="s">
        <v>55245</v>
      </c>
      <c r="W12811" t="s">
        <v>40314</v>
      </c>
      <c r="X12811" t="s">
        <v>40459</v>
      </c>
    </row>
    <row r="12812" spans="1:24">
      <c r="A12812">
        <f>HYPERLINK("https://www.philgeps.gov.ph/GEPSNONPILOT/Tender/SplashBidNoticeAbstractUI.aspx?menuIndex=3&amp;refID=7014250&amp;Result=3","7014250")</f>
        <v>0</v>
      </c>
      <c r="B12812" t="s">
        <v>3022</v>
      </c>
      <c r="C12812" t="s">
        <v>15356</v>
      </c>
      <c r="E12812" t="s">
        <v>27416</v>
      </c>
      <c r="F12812" t="s">
        <v>28198</v>
      </c>
      <c r="G12812" t="s">
        <v>28205</v>
      </c>
      <c r="H12812" t="s">
        <v>28214</v>
      </c>
      <c r="I12812" t="s">
        <v>3797</v>
      </c>
      <c r="J12812" t="s">
        <v>36186</v>
      </c>
      <c r="K12812" t="s">
        <v>36759</v>
      </c>
      <c r="M12812" t="s">
        <v>40323</v>
      </c>
      <c r="N12812" t="s">
        <v>40436</v>
      </c>
      <c r="O12812" t="s">
        <v>40437</v>
      </c>
      <c r="P12812">
        <v>0</v>
      </c>
      <c r="Q12812">
        <v>1</v>
      </c>
      <c r="R12812" t="s">
        <v>40458</v>
      </c>
      <c r="S12812" t="s">
        <v>41445</v>
      </c>
      <c r="T12812" t="s">
        <v>42378</v>
      </c>
      <c r="U12812" t="s">
        <v>53120</v>
      </c>
      <c r="W12812" t="s">
        <v>40323</v>
      </c>
      <c r="X12812" t="s">
        <v>40459</v>
      </c>
    </row>
    <row r="12813" spans="1:24">
      <c r="A12813">
        <f>HYPERLINK("https://www.philgeps.gov.ph/GEPSNONPILOT/Tender/SplashBidNoticeAbstractUI.aspx?menuIndex=3&amp;refID=7003655&amp;Result=3","7003655")</f>
        <v>0</v>
      </c>
      <c r="B12813" t="s">
        <v>3023</v>
      </c>
      <c r="C12813" t="s">
        <v>15357</v>
      </c>
      <c r="D12813" t="s">
        <v>16255</v>
      </c>
      <c r="E12813" t="s">
        <v>27417</v>
      </c>
      <c r="F12813" t="s">
        <v>28198</v>
      </c>
      <c r="G12813" t="s">
        <v>28205</v>
      </c>
      <c r="H12813" t="s">
        <v>28215</v>
      </c>
      <c r="I12813" t="s">
        <v>28243</v>
      </c>
      <c r="J12813" t="s">
        <v>36187</v>
      </c>
      <c r="K12813" t="s">
        <v>36694</v>
      </c>
      <c r="M12813" t="s">
        <v>40324</v>
      </c>
      <c r="N12813" t="s">
        <v>40436</v>
      </c>
      <c r="O12813" t="s">
        <v>40437</v>
      </c>
      <c r="Q12813">
        <v>9</v>
      </c>
      <c r="R12813" t="s">
        <v>40459</v>
      </c>
      <c r="S12813" t="s">
        <v>41458</v>
      </c>
      <c r="T12813" t="s">
        <v>42277</v>
      </c>
      <c r="U12813" t="s">
        <v>53121</v>
      </c>
      <c r="W12813" t="s">
        <v>40324</v>
      </c>
      <c r="X12813" t="s">
        <v>40465</v>
      </c>
    </row>
    <row r="12814" spans="1:24">
      <c r="A12814">
        <f>HYPERLINK("https://www.philgeps.gov.ph/GEPSNONPILOT/Tender/SplashBidNoticeAbstractUI.aspx?menuIndex=3&amp;refID=7014192&amp;Result=3","7014192")</f>
        <v>0</v>
      </c>
      <c r="B12814" t="s">
        <v>847</v>
      </c>
      <c r="C12814" t="s">
        <v>15358</v>
      </c>
      <c r="E12814" t="s">
        <v>27418</v>
      </c>
      <c r="F12814" t="s">
        <v>28198</v>
      </c>
      <c r="G12814" t="s">
        <v>28205</v>
      </c>
      <c r="H12814" t="s">
        <v>28214</v>
      </c>
      <c r="I12814" t="s">
        <v>3797</v>
      </c>
      <c r="J12814" t="s">
        <v>36188</v>
      </c>
      <c r="K12814" t="s">
        <v>36733</v>
      </c>
      <c r="M12814" t="s">
        <v>40215</v>
      </c>
      <c r="N12814" t="s">
        <v>40436</v>
      </c>
      <c r="O12814" t="s">
        <v>40437</v>
      </c>
      <c r="Q12814">
        <v>16</v>
      </c>
      <c r="R12814" t="s">
        <v>40458</v>
      </c>
      <c r="S12814" t="s">
        <v>41459</v>
      </c>
      <c r="T12814" t="s">
        <v>42234</v>
      </c>
      <c r="U12814" t="s">
        <v>53122</v>
      </c>
      <c r="V12814" t="s">
        <v>54754</v>
      </c>
      <c r="W12814" t="s">
        <v>40215</v>
      </c>
      <c r="X12814" t="s">
        <v>40459</v>
      </c>
    </row>
    <row r="12815" spans="1:24">
      <c r="A12815">
        <f>HYPERLINK("https://www.philgeps.gov.ph/GEPSNONPILOT/Tender/SplashBidNoticeAbstractUI.aspx?menuIndex=3&amp;refID=7014264&amp;Result=3","7014264")</f>
        <v>0</v>
      </c>
      <c r="B12815" t="s">
        <v>847</v>
      </c>
      <c r="C12815" t="s">
        <v>15359</v>
      </c>
      <c r="E12815" t="s">
        <v>27419</v>
      </c>
      <c r="F12815" t="s">
        <v>28198</v>
      </c>
      <c r="G12815" t="s">
        <v>28205</v>
      </c>
      <c r="H12815" t="s">
        <v>28214</v>
      </c>
      <c r="I12815" t="s">
        <v>3797</v>
      </c>
      <c r="J12815" t="s">
        <v>36189</v>
      </c>
      <c r="K12815" t="s">
        <v>36779</v>
      </c>
      <c r="M12815" t="s">
        <v>40215</v>
      </c>
      <c r="N12815" t="s">
        <v>40436</v>
      </c>
      <c r="O12815" t="s">
        <v>40437</v>
      </c>
      <c r="Q12815">
        <v>14</v>
      </c>
      <c r="R12815" t="s">
        <v>40458</v>
      </c>
      <c r="S12815" t="s">
        <v>41460</v>
      </c>
      <c r="T12815" t="s">
        <v>42234</v>
      </c>
      <c r="U12815" t="s">
        <v>53123</v>
      </c>
      <c r="V12815" t="s">
        <v>55153</v>
      </c>
      <c r="W12815" t="s">
        <v>40215</v>
      </c>
      <c r="X12815" t="s">
        <v>40459</v>
      </c>
    </row>
    <row r="12816" spans="1:24">
      <c r="A12816">
        <f>HYPERLINK("https://www.philgeps.gov.ph/GEPSNONPILOT/Tender/SplashBidNoticeAbstractUI.aspx?menuIndex=3&amp;refID=7014200&amp;Result=3","7014200")</f>
        <v>0</v>
      </c>
      <c r="B12816" t="s">
        <v>1536</v>
      </c>
      <c r="C12816" t="s">
        <v>15360</v>
      </c>
      <c r="D12816" t="s">
        <v>16222</v>
      </c>
      <c r="E12816" t="s">
        <v>27420</v>
      </c>
      <c r="F12816" t="s">
        <v>28198</v>
      </c>
      <c r="G12816" t="s">
        <v>28205</v>
      </c>
      <c r="H12816" t="s">
        <v>28216</v>
      </c>
      <c r="I12816" t="s">
        <v>28216</v>
      </c>
      <c r="J12816" t="s">
        <v>28379</v>
      </c>
      <c r="K12816" t="s">
        <v>36692</v>
      </c>
      <c r="M12816" t="s">
        <v>38629</v>
      </c>
      <c r="N12816" t="s">
        <v>40436</v>
      </c>
      <c r="O12816" t="s">
        <v>40437</v>
      </c>
      <c r="P12816">
        <v>0</v>
      </c>
      <c r="Q12816">
        <v>2</v>
      </c>
      <c r="R12816" t="s">
        <v>40458</v>
      </c>
      <c r="S12816" t="s">
        <v>41445</v>
      </c>
      <c r="T12816" t="s">
        <v>42176</v>
      </c>
      <c r="U12816" t="s">
        <v>46255</v>
      </c>
      <c r="W12816" t="s">
        <v>38629</v>
      </c>
      <c r="X12816" t="s">
        <v>40459</v>
      </c>
    </row>
    <row r="12817" spans="1:24">
      <c r="A12817">
        <f>HYPERLINK("https://www.philgeps.gov.ph/GEPSNONPILOT/Tender/SplashBidNoticeAbstractUI.aspx?menuIndex=3&amp;refID=7014182&amp;Result=3","7014182")</f>
        <v>0</v>
      </c>
      <c r="B12817" t="s">
        <v>1681</v>
      </c>
      <c r="C12817" t="s">
        <v>15361</v>
      </c>
      <c r="D12817" t="s">
        <v>16199</v>
      </c>
      <c r="E12817" t="s">
        <v>22298</v>
      </c>
      <c r="F12817" t="s">
        <v>28198</v>
      </c>
      <c r="G12817" t="s">
        <v>28205</v>
      </c>
      <c r="H12817" t="s">
        <v>28215</v>
      </c>
      <c r="I12817" t="s">
        <v>4200</v>
      </c>
      <c r="J12817" t="s">
        <v>28345</v>
      </c>
      <c r="K12817" t="s">
        <v>36723</v>
      </c>
      <c r="L12817" t="s">
        <v>1681</v>
      </c>
      <c r="M12817" t="s">
        <v>38777</v>
      </c>
      <c r="N12817" t="s">
        <v>40436</v>
      </c>
      <c r="O12817" t="s">
        <v>40437</v>
      </c>
      <c r="P12817">
        <v>0</v>
      </c>
      <c r="Q12817">
        <v>0</v>
      </c>
      <c r="R12817" t="s">
        <v>40458</v>
      </c>
      <c r="S12817" t="s">
        <v>41445</v>
      </c>
      <c r="T12817" t="s">
        <v>42233</v>
      </c>
      <c r="U12817" t="s">
        <v>53124</v>
      </c>
      <c r="W12817" t="s">
        <v>38777</v>
      </c>
      <c r="X12817" t="s">
        <v>40459</v>
      </c>
    </row>
    <row r="12818" spans="1:24">
      <c r="A12818">
        <f>HYPERLINK("https://www.philgeps.gov.ph/GEPSNONPILOT/Tender/SplashBidNoticeAbstractUI.aspx?menuIndex=3&amp;refID=7014225&amp;Result=3","7014225")</f>
        <v>0</v>
      </c>
      <c r="B12818" t="s">
        <v>3015</v>
      </c>
      <c r="C12818" t="s">
        <v>15362</v>
      </c>
      <c r="D12818" t="s">
        <v>16193</v>
      </c>
      <c r="E12818" t="s">
        <v>27421</v>
      </c>
      <c r="F12818" t="s">
        <v>28200</v>
      </c>
      <c r="G12818" t="s">
        <v>28205</v>
      </c>
      <c r="H12818" t="s">
        <v>28215</v>
      </c>
      <c r="I12818" t="s">
        <v>4168</v>
      </c>
      <c r="J12818" t="s">
        <v>28530</v>
      </c>
      <c r="K12818" t="s">
        <v>36695</v>
      </c>
      <c r="L12818" t="s">
        <v>3015</v>
      </c>
      <c r="M12818" t="s">
        <v>40314</v>
      </c>
      <c r="N12818" t="s">
        <v>40436</v>
      </c>
      <c r="O12818" t="s">
        <v>40437</v>
      </c>
      <c r="P12818">
        <v>0</v>
      </c>
      <c r="Q12818">
        <v>2</v>
      </c>
      <c r="R12818" t="s">
        <v>40458</v>
      </c>
      <c r="S12818" t="s">
        <v>41445</v>
      </c>
      <c r="T12818" t="s">
        <v>42177</v>
      </c>
      <c r="U12818" t="s">
        <v>53125</v>
      </c>
      <c r="V12818" t="s">
        <v>55258</v>
      </c>
      <c r="W12818" t="s">
        <v>40314</v>
      </c>
      <c r="X12818" t="s">
        <v>40459</v>
      </c>
    </row>
    <row r="12819" spans="1:24">
      <c r="A12819">
        <f>HYPERLINK("https://www.philgeps.gov.ph/GEPSNONPILOT/Tender/SplashBidNoticeAbstractUI.aspx?menuIndex=3&amp;refID=7014145&amp;Result=3","7014145")</f>
        <v>0</v>
      </c>
      <c r="B12819" t="s">
        <v>2745</v>
      </c>
      <c r="C12819" t="s">
        <v>15363</v>
      </c>
      <c r="D12819" t="s">
        <v>16235</v>
      </c>
      <c r="E12819" t="s">
        <v>18192</v>
      </c>
      <c r="F12819" t="s">
        <v>28198</v>
      </c>
      <c r="G12819" t="s">
        <v>28205</v>
      </c>
      <c r="H12819" t="s">
        <v>28215</v>
      </c>
      <c r="I12819" t="s">
        <v>28262</v>
      </c>
      <c r="J12819" t="s">
        <v>28702</v>
      </c>
      <c r="K12819" t="s">
        <v>36701</v>
      </c>
      <c r="M12819" t="s">
        <v>39993</v>
      </c>
      <c r="N12819" t="s">
        <v>40436</v>
      </c>
      <c r="O12819" t="s">
        <v>40437</v>
      </c>
      <c r="P12819">
        <v>0</v>
      </c>
      <c r="Q12819">
        <v>1</v>
      </c>
      <c r="R12819" t="s">
        <v>40458</v>
      </c>
      <c r="S12819" t="s">
        <v>41445</v>
      </c>
      <c r="T12819" t="s">
        <v>42108</v>
      </c>
      <c r="U12819" t="s">
        <v>53126</v>
      </c>
      <c r="V12819" t="s">
        <v>53126</v>
      </c>
      <c r="W12819" t="s">
        <v>39993</v>
      </c>
      <c r="X12819" t="s">
        <v>40459</v>
      </c>
    </row>
    <row r="12820" spans="1:24">
      <c r="A12820">
        <f>HYPERLINK("https://www.philgeps.gov.ph/GEPSNONPILOT/Tender/SplashBidNoticeAbstractUI.aspx?menuIndex=3&amp;refID=7014119&amp;Result=3","7014119")</f>
        <v>0</v>
      </c>
      <c r="B12820" t="s">
        <v>491</v>
      </c>
      <c r="C12820" t="s">
        <v>15364</v>
      </c>
      <c r="E12820" t="s">
        <v>17202</v>
      </c>
      <c r="F12820" t="s">
        <v>28198</v>
      </c>
      <c r="G12820" t="s">
        <v>28205</v>
      </c>
      <c r="H12820" t="s">
        <v>28214</v>
      </c>
      <c r="I12820" t="s">
        <v>5100</v>
      </c>
      <c r="J12820" t="s">
        <v>36190</v>
      </c>
      <c r="K12820" t="s">
        <v>36689</v>
      </c>
      <c r="M12820" t="s">
        <v>37476</v>
      </c>
      <c r="N12820" t="s">
        <v>40436</v>
      </c>
      <c r="O12820" t="s">
        <v>40437</v>
      </c>
      <c r="P12820">
        <v>0</v>
      </c>
      <c r="Q12820">
        <v>1</v>
      </c>
      <c r="R12820" t="s">
        <v>40458</v>
      </c>
      <c r="S12820" t="s">
        <v>41445</v>
      </c>
      <c r="T12820" t="s">
        <v>42158</v>
      </c>
      <c r="U12820" t="s">
        <v>53127</v>
      </c>
      <c r="W12820" t="s">
        <v>37476</v>
      </c>
      <c r="X12820" t="s">
        <v>40459</v>
      </c>
    </row>
    <row r="12821" spans="1:24">
      <c r="A12821">
        <f>HYPERLINK("https://www.philgeps.gov.ph/GEPSNONPILOT/Tender/SplashBidNoticeAbstractUI.aspx?menuIndex=3&amp;refID=7014279&amp;Result=3","7014279")</f>
        <v>0</v>
      </c>
      <c r="B12821" t="s">
        <v>3024</v>
      </c>
      <c r="C12821" t="s">
        <v>15365</v>
      </c>
      <c r="D12821" t="s">
        <v>16230</v>
      </c>
      <c r="E12821" t="s">
        <v>27422</v>
      </c>
      <c r="F12821" t="s">
        <v>28198</v>
      </c>
      <c r="G12821" t="s">
        <v>28205</v>
      </c>
      <c r="H12821" t="s">
        <v>28215</v>
      </c>
      <c r="I12821" t="s">
        <v>8888</v>
      </c>
      <c r="J12821" t="s">
        <v>36191</v>
      </c>
      <c r="K12821" t="s">
        <v>36693</v>
      </c>
      <c r="M12821" t="s">
        <v>40325</v>
      </c>
      <c r="N12821" t="s">
        <v>40436</v>
      </c>
      <c r="O12821" t="s">
        <v>40437</v>
      </c>
      <c r="P12821">
        <v>0</v>
      </c>
      <c r="Q12821">
        <v>8</v>
      </c>
      <c r="R12821" t="s">
        <v>40458</v>
      </c>
      <c r="S12821" t="s">
        <v>41445</v>
      </c>
      <c r="T12821" t="s">
        <v>42184</v>
      </c>
      <c r="U12821" t="s">
        <v>53128</v>
      </c>
      <c r="W12821" t="s">
        <v>40325</v>
      </c>
      <c r="X12821" t="s">
        <v>40459</v>
      </c>
    </row>
    <row r="12822" spans="1:24">
      <c r="A12822">
        <f>HYPERLINK("https://www.philgeps.gov.ph/GEPSNONPILOT/Tender/SplashBidNoticeAbstractUI.aspx?menuIndex=3&amp;refID=7014190&amp;Result=3","7014190")</f>
        <v>0</v>
      </c>
      <c r="B12822" t="s">
        <v>3025</v>
      </c>
      <c r="C12822" t="s">
        <v>15366</v>
      </c>
      <c r="D12822" t="s">
        <v>16263</v>
      </c>
      <c r="E12822" t="s">
        <v>27423</v>
      </c>
      <c r="F12822" t="s">
        <v>28198</v>
      </c>
      <c r="G12822" t="s">
        <v>28205</v>
      </c>
      <c r="H12822" t="s">
        <v>28214</v>
      </c>
      <c r="I12822" t="s">
        <v>3797</v>
      </c>
      <c r="J12822" t="s">
        <v>28363</v>
      </c>
      <c r="K12822" t="s">
        <v>36694</v>
      </c>
      <c r="M12822" t="s">
        <v>40326</v>
      </c>
      <c r="N12822" t="s">
        <v>40436</v>
      </c>
      <c r="O12822" t="s">
        <v>40437</v>
      </c>
      <c r="P12822">
        <v>0</v>
      </c>
      <c r="Q12822">
        <v>0</v>
      </c>
      <c r="R12822" t="s">
        <v>40458</v>
      </c>
      <c r="S12822" t="s">
        <v>41445</v>
      </c>
      <c r="T12822" t="s">
        <v>42385</v>
      </c>
      <c r="U12822" t="s">
        <v>53129</v>
      </c>
      <c r="W12822" t="s">
        <v>40326</v>
      </c>
      <c r="X12822" t="s">
        <v>40459</v>
      </c>
    </row>
    <row r="12823" spans="1:24">
      <c r="A12823">
        <f>HYPERLINK("https://www.philgeps.gov.ph/GEPSNONPILOT/Tender/SplashBidNoticeAbstractUI.aspx?menuIndex=3&amp;refID=7014118&amp;Result=3","7014118")</f>
        <v>0</v>
      </c>
      <c r="B12823" t="s">
        <v>491</v>
      </c>
      <c r="C12823" t="s">
        <v>15367</v>
      </c>
      <c r="E12823" t="s">
        <v>23745</v>
      </c>
      <c r="F12823" t="s">
        <v>28198</v>
      </c>
      <c r="G12823" t="s">
        <v>28205</v>
      </c>
      <c r="H12823" t="s">
        <v>28214</v>
      </c>
      <c r="I12823" t="s">
        <v>28227</v>
      </c>
      <c r="J12823" t="s">
        <v>28351</v>
      </c>
      <c r="K12823" t="s">
        <v>36689</v>
      </c>
      <c r="M12823" t="s">
        <v>37476</v>
      </c>
      <c r="N12823" t="s">
        <v>40436</v>
      </c>
      <c r="O12823" t="s">
        <v>40437</v>
      </c>
      <c r="P12823">
        <v>0</v>
      </c>
      <c r="Q12823">
        <v>0</v>
      </c>
      <c r="R12823" t="s">
        <v>40458</v>
      </c>
      <c r="S12823" t="s">
        <v>41445</v>
      </c>
      <c r="T12823" t="s">
        <v>42158</v>
      </c>
      <c r="U12823" t="s">
        <v>52932</v>
      </c>
      <c r="W12823" t="s">
        <v>37476</v>
      </c>
      <c r="X12823" t="s">
        <v>40459</v>
      </c>
    </row>
    <row r="12824" spans="1:24">
      <c r="A12824">
        <f>HYPERLINK("https://www.philgeps.gov.ph/GEPSNONPILOT/Tender/SplashBidNoticeAbstractUI.aspx?menuIndex=3&amp;refID=7014150&amp;Result=3","7014150")</f>
        <v>0</v>
      </c>
      <c r="B12824" t="s">
        <v>847</v>
      </c>
      <c r="C12824" t="s">
        <v>15368</v>
      </c>
      <c r="E12824" t="s">
        <v>27424</v>
      </c>
      <c r="F12824" t="s">
        <v>28198</v>
      </c>
      <c r="G12824" t="s">
        <v>28205</v>
      </c>
      <c r="H12824" t="s">
        <v>28214</v>
      </c>
      <c r="I12824" t="s">
        <v>3797</v>
      </c>
      <c r="J12824" t="s">
        <v>36192</v>
      </c>
      <c r="K12824" t="s">
        <v>36733</v>
      </c>
      <c r="M12824" t="s">
        <v>40215</v>
      </c>
      <c r="N12824" t="s">
        <v>40436</v>
      </c>
      <c r="O12824" t="s">
        <v>40437</v>
      </c>
      <c r="Q12824">
        <v>16</v>
      </c>
      <c r="R12824" t="s">
        <v>40458</v>
      </c>
      <c r="S12824" t="s">
        <v>41461</v>
      </c>
      <c r="T12824" t="s">
        <v>42234</v>
      </c>
      <c r="U12824" t="s">
        <v>53122</v>
      </c>
      <c r="V12824" t="s">
        <v>54754</v>
      </c>
      <c r="W12824" t="s">
        <v>40215</v>
      </c>
      <c r="X12824" t="s">
        <v>40459</v>
      </c>
    </row>
    <row r="12825" spans="1:24">
      <c r="A12825">
        <f>HYPERLINK("https://www.philgeps.gov.ph/GEPSNONPILOT/Tender/SplashBidNoticeAbstractUI.aspx?menuIndex=3&amp;refID=7009620&amp;Result=3","7009620")</f>
        <v>0</v>
      </c>
      <c r="B12825" t="s">
        <v>1891</v>
      </c>
      <c r="C12825" t="s">
        <v>15369</v>
      </c>
      <c r="D12825" t="s">
        <v>16195</v>
      </c>
      <c r="E12825" t="s">
        <v>25541</v>
      </c>
      <c r="F12825" t="s">
        <v>28198</v>
      </c>
      <c r="G12825" t="s">
        <v>28205</v>
      </c>
      <c r="H12825" t="s">
        <v>28215</v>
      </c>
      <c r="I12825" t="s">
        <v>28220</v>
      </c>
      <c r="J12825" t="s">
        <v>36193</v>
      </c>
      <c r="K12825" t="s">
        <v>36701</v>
      </c>
      <c r="M12825" t="s">
        <v>39023</v>
      </c>
      <c r="N12825" t="s">
        <v>40436</v>
      </c>
      <c r="O12825" t="s">
        <v>40437</v>
      </c>
      <c r="P12825">
        <v>0</v>
      </c>
      <c r="Q12825">
        <v>10</v>
      </c>
      <c r="R12825" t="s">
        <v>40459</v>
      </c>
      <c r="S12825" t="s">
        <v>41455</v>
      </c>
      <c r="T12825" t="s">
        <v>42124</v>
      </c>
      <c r="U12825" t="s">
        <v>53130</v>
      </c>
      <c r="W12825" t="s">
        <v>39023</v>
      </c>
      <c r="X12825" t="s">
        <v>40461</v>
      </c>
    </row>
    <row r="12826" spans="1:24">
      <c r="A12826">
        <f>HYPERLINK("https://www.philgeps.gov.ph/GEPSNONPILOT/Tender/SplashBidNoticeAbstractUI.aspx?menuIndex=3&amp;refID=7014122&amp;Result=3","7014122")</f>
        <v>0</v>
      </c>
      <c r="B12826" t="s">
        <v>491</v>
      </c>
      <c r="C12826" t="s">
        <v>15370</v>
      </c>
      <c r="E12826" t="s">
        <v>18030</v>
      </c>
      <c r="F12826" t="s">
        <v>28198</v>
      </c>
      <c r="G12826" t="s">
        <v>28205</v>
      </c>
      <c r="H12826" t="s">
        <v>28214</v>
      </c>
      <c r="I12826" t="s">
        <v>5100</v>
      </c>
      <c r="J12826" t="s">
        <v>36194</v>
      </c>
      <c r="K12826" t="s">
        <v>36689</v>
      </c>
      <c r="M12826" t="s">
        <v>37476</v>
      </c>
      <c r="N12826" t="s">
        <v>40436</v>
      </c>
      <c r="O12826" t="s">
        <v>40437</v>
      </c>
      <c r="P12826">
        <v>0</v>
      </c>
      <c r="Q12826">
        <v>1</v>
      </c>
      <c r="R12826" t="s">
        <v>40458</v>
      </c>
      <c r="S12826" t="s">
        <v>41445</v>
      </c>
      <c r="T12826" t="s">
        <v>42158</v>
      </c>
      <c r="U12826" t="s">
        <v>53131</v>
      </c>
      <c r="W12826" t="s">
        <v>37476</v>
      </c>
      <c r="X12826" t="s">
        <v>40459</v>
      </c>
    </row>
    <row r="12827" spans="1:24">
      <c r="A12827">
        <f>HYPERLINK("https://www.philgeps.gov.ph/GEPSNONPILOT/Tender/SplashBidNoticeAbstractUI.aspx?menuIndex=3&amp;refID=7010672&amp;Result=3","7010672")</f>
        <v>0</v>
      </c>
      <c r="B12827" t="s">
        <v>3026</v>
      </c>
      <c r="C12827" t="s">
        <v>15371</v>
      </c>
      <c r="D12827" t="s">
        <v>16252</v>
      </c>
      <c r="E12827" t="s">
        <v>18615</v>
      </c>
      <c r="F12827" t="s">
        <v>28198</v>
      </c>
      <c r="G12827" t="s">
        <v>28205</v>
      </c>
      <c r="H12827" t="s">
        <v>28214</v>
      </c>
      <c r="I12827" t="s">
        <v>5100</v>
      </c>
      <c r="J12827" t="s">
        <v>36195</v>
      </c>
      <c r="K12827" t="s">
        <v>36694</v>
      </c>
      <c r="M12827" t="s">
        <v>40327</v>
      </c>
      <c r="N12827" t="s">
        <v>40436</v>
      </c>
      <c r="O12827" t="s">
        <v>40437</v>
      </c>
      <c r="P12827">
        <v>0</v>
      </c>
      <c r="Q12827">
        <v>2</v>
      </c>
      <c r="R12827" t="s">
        <v>40459</v>
      </c>
      <c r="S12827" t="s">
        <v>41455</v>
      </c>
      <c r="T12827" t="s">
        <v>42244</v>
      </c>
      <c r="U12827" t="s">
        <v>53132</v>
      </c>
      <c r="W12827" t="s">
        <v>40327</v>
      </c>
      <c r="X12827" t="s">
        <v>40460</v>
      </c>
    </row>
    <row r="12828" spans="1:24">
      <c r="A12828">
        <f>HYPERLINK("https://www.philgeps.gov.ph/GEPSNONPILOT/Tender/SplashBidNoticeAbstractUI.aspx?menuIndex=3&amp;refID=7010015&amp;Result=3","7010015")</f>
        <v>0</v>
      </c>
      <c r="B12828" t="s">
        <v>1226</v>
      </c>
      <c r="C12828" t="s">
        <v>15372</v>
      </c>
      <c r="D12828" t="s">
        <v>16197</v>
      </c>
      <c r="E12828" t="s">
        <v>27425</v>
      </c>
      <c r="F12828" t="s">
        <v>28198</v>
      </c>
      <c r="G12828" t="s">
        <v>28205</v>
      </c>
      <c r="H12828" t="s">
        <v>28215</v>
      </c>
      <c r="I12828" t="s">
        <v>5791</v>
      </c>
      <c r="J12828" t="s">
        <v>35557</v>
      </c>
      <c r="K12828" t="s">
        <v>36694</v>
      </c>
      <c r="M12828" t="s">
        <v>38274</v>
      </c>
      <c r="N12828" t="s">
        <v>40436</v>
      </c>
      <c r="O12828" t="s">
        <v>40437</v>
      </c>
      <c r="P12828">
        <v>0</v>
      </c>
      <c r="Q12828">
        <v>1</v>
      </c>
      <c r="R12828" t="s">
        <v>40459</v>
      </c>
      <c r="S12828" t="s">
        <v>41455</v>
      </c>
      <c r="T12828" t="s">
        <v>42112</v>
      </c>
      <c r="U12828" t="s">
        <v>53133</v>
      </c>
      <c r="V12828" t="s">
        <v>55259</v>
      </c>
      <c r="W12828" t="s">
        <v>38274</v>
      </c>
      <c r="X12828" t="s">
        <v>40460</v>
      </c>
    </row>
    <row r="12829" spans="1:24">
      <c r="A12829">
        <f>HYPERLINK("https://www.philgeps.gov.ph/GEPSNONPILOT/Tender/SplashBidNoticeAbstractUI.aspx?menuIndex=3&amp;refID=7010704&amp;Result=3","7010704")</f>
        <v>0</v>
      </c>
      <c r="B12829" t="s">
        <v>105</v>
      </c>
      <c r="C12829" t="s">
        <v>15373</v>
      </c>
      <c r="D12829" t="s">
        <v>16233</v>
      </c>
      <c r="E12829" t="s">
        <v>27426</v>
      </c>
      <c r="F12829" t="s">
        <v>28198</v>
      </c>
      <c r="G12829" t="s">
        <v>28205</v>
      </c>
      <c r="H12829" t="s">
        <v>28215</v>
      </c>
      <c r="I12829" t="s">
        <v>28219</v>
      </c>
      <c r="J12829" t="s">
        <v>36196</v>
      </c>
      <c r="K12829" t="s">
        <v>36711</v>
      </c>
      <c r="M12829" t="s">
        <v>39936</v>
      </c>
      <c r="N12829" t="s">
        <v>40436</v>
      </c>
      <c r="O12829" t="s">
        <v>40437</v>
      </c>
      <c r="P12829">
        <v>0</v>
      </c>
      <c r="Q12829">
        <v>10</v>
      </c>
      <c r="R12829" t="s">
        <v>40459</v>
      </c>
      <c r="S12829" t="s">
        <v>41455</v>
      </c>
      <c r="T12829" t="s">
        <v>42126</v>
      </c>
      <c r="U12829" t="s">
        <v>53134</v>
      </c>
      <c r="W12829" t="s">
        <v>39936</v>
      </c>
      <c r="X12829" t="s">
        <v>40460</v>
      </c>
    </row>
    <row r="12830" spans="1:24">
      <c r="A12830">
        <f>HYPERLINK("https://www.philgeps.gov.ph/GEPSNONPILOT/Tender/SplashBidNoticeAbstractUI.aspx?menuIndex=3&amp;refID=7010335&amp;Result=3","7010335")</f>
        <v>0</v>
      </c>
      <c r="B12830" t="s">
        <v>3027</v>
      </c>
      <c r="C12830" t="s">
        <v>15374</v>
      </c>
      <c r="D12830" t="s">
        <v>16249</v>
      </c>
      <c r="E12830" t="s">
        <v>27339</v>
      </c>
      <c r="F12830" t="s">
        <v>28201</v>
      </c>
      <c r="G12830" t="s">
        <v>28205</v>
      </c>
      <c r="H12830" t="s">
        <v>28215</v>
      </c>
      <c r="I12830" t="s">
        <v>28268</v>
      </c>
      <c r="J12830" t="s">
        <v>30651</v>
      </c>
      <c r="K12830" t="s">
        <v>36708</v>
      </c>
      <c r="M12830" t="s">
        <v>40328</v>
      </c>
      <c r="N12830" t="s">
        <v>40436</v>
      </c>
      <c r="O12830" t="s">
        <v>40437</v>
      </c>
      <c r="P12830">
        <v>0</v>
      </c>
      <c r="Q12830">
        <v>1</v>
      </c>
      <c r="R12830" t="s">
        <v>40459</v>
      </c>
      <c r="S12830" t="s">
        <v>41455</v>
      </c>
      <c r="T12830" t="s">
        <v>42218</v>
      </c>
      <c r="U12830" t="s">
        <v>53135</v>
      </c>
      <c r="V12830" t="s">
        <v>54156</v>
      </c>
      <c r="W12830" t="s">
        <v>40328</v>
      </c>
      <c r="X12830" t="s">
        <v>40460</v>
      </c>
    </row>
    <row r="12831" spans="1:24">
      <c r="A12831">
        <f>HYPERLINK("https://www.philgeps.gov.ph/GEPSNONPILOT/Tender/SplashBidNoticeAbstractUI.aspx?menuIndex=3&amp;refID=7009992&amp;Result=3","7009992")</f>
        <v>0</v>
      </c>
      <c r="B12831" t="s">
        <v>1501</v>
      </c>
      <c r="C12831" t="s">
        <v>15375</v>
      </c>
      <c r="D12831" t="s">
        <v>16192</v>
      </c>
      <c r="E12831" t="s">
        <v>27427</v>
      </c>
      <c r="F12831" t="s">
        <v>28198</v>
      </c>
      <c r="G12831" t="s">
        <v>28205</v>
      </c>
      <c r="H12831" t="s">
        <v>28215</v>
      </c>
      <c r="I12831" t="s">
        <v>28266</v>
      </c>
      <c r="J12831" t="s">
        <v>36197</v>
      </c>
      <c r="K12831" t="s">
        <v>36715</v>
      </c>
      <c r="M12831" t="s">
        <v>40300</v>
      </c>
      <c r="N12831" t="s">
        <v>40436</v>
      </c>
      <c r="O12831" t="s">
        <v>40437</v>
      </c>
      <c r="P12831">
        <v>0</v>
      </c>
      <c r="Q12831">
        <v>8</v>
      </c>
      <c r="R12831" t="s">
        <v>40459</v>
      </c>
      <c r="S12831" t="s">
        <v>41455</v>
      </c>
      <c r="T12831" t="s">
        <v>42132</v>
      </c>
      <c r="U12831" t="s">
        <v>53136</v>
      </c>
      <c r="W12831" t="s">
        <v>40300</v>
      </c>
      <c r="X12831" t="s">
        <v>40460</v>
      </c>
    </row>
    <row r="12832" spans="1:24">
      <c r="A12832">
        <f>HYPERLINK("https://www.philgeps.gov.ph/GEPSNONPILOT/Tender/SplashBidNoticeAbstractUI.aspx?menuIndex=3&amp;refID=7010634&amp;Result=3","7010634")</f>
        <v>0</v>
      </c>
      <c r="B12832" t="s">
        <v>105</v>
      </c>
      <c r="C12832" t="s">
        <v>15376</v>
      </c>
      <c r="D12832" t="s">
        <v>16233</v>
      </c>
      <c r="E12832" t="s">
        <v>27428</v>
      </c>
      <c r="F12832" t="s">
        <v>28198</v>
      </c>
      <c r="G12832" t="s">
        <v>28205</v>
      </c>
      <c r="H12832" t="s">
        <v>28215</v>
      </c>
      <c r="I12832" t="s">
        <v>3797</v>
      </c>
      <c r="J12832" t="s">
        <v>30493</v>
      </c>
      <c r="K12832" t="s">
        <v>36692</v>
      </c>
      <c r="M12832" t="s">
        <v>39936</v>
      </c>
      <c r="N12832" t="s">
        <v>40436</v>
      </c>
      <c r="O12832" t="s">
        <v>40437</v>
      </c>
      <c r="Q12832">
        <v>2</v>
      </c>
      <c r="R12832" t="s">
        <v>40459</v>
      </c>
      <c r="S12832" t="s">
        <v>41462</v>
      </c>
      <c r="T12832" t="s">
        <v>42126</v>
      </c>
      <c r="U12832" t="s">
        <v>53137</v>
      </c>
      <c r="W12832" t="s">
        <v>39936</v>
      </c>
      <c r="X12832" t="s">
        <v>40460</v>
      </c>
    </row>
    <row r="12833" spans="1:24">
      <c r="A12833">
        <f>HYPERLINK("https://www.philgeps.gov.ph/GEPSNONPILOT/Tender/SplashBidNoticeAbstractUI.aspx?menuIndex=3&amp;refID=7010207&amp;Result=3","7010207")</f>
        <v>0</v>
      </c>
      <c r="B12833" t="s">
        <v>2692</v>
      </c>
      <c r="C12833" t="s">
        <v>15377</v>
      </c>
      <c r="D12833" t="s">
        <v>16254</v>
      </c>
      <c r="E12833" t="s">
        <v>27429</v>
      </c>
      <c r="F12833" t="s">
        <v>28198</v>
      </c>
      <c r="G12833" t="s">
        <v>28205</v>
      </c>
      <c r="H12833" t="s">
        <v>28215</v>
      </c>
      <c r="I12833" t="s">
        <v>4505</v>
      </c>
      <c r="J12833" t="s">
        <v>28953</v>
      </c>
      <c r="K12833" t="s">
        <v>36707</v>
      </c>
      <c r="M12833" t="s">
        <v>39929</v>
      </c>
      <c r="N12833" t="s">
        <v>40436</v>
      </c>
      <c r="O12833" t="s">
        <v>40437</v>
      </c>
      <c r="P12833">
        <v>0</v>
      </c>
      <c r="Q12833">
        <v>0</v>
      </c>
      <c r="R12833" t="s">
        <v>40459</v>
      </c>
      <c r="S12833" t="s">
        <v>41455</v>
      </c>
      <c r="T12833" t="s">
        <v>42277</v>
      </c>
      <c r="U12833" t="s">
        <v>53138</v>
      </c>
      <c r="W12833" t="s">
        <v>39929</v>
      </c>
      <c r="X12833" t="s">
        <v>40460</v>
      </c>
    </row>
    <row r="12834" spans="1:24">
      <c r="A12834">
        <f>HYPERLINK("https://www.philgeps.gov.ph/GEPSNONPILOT/Tender/SplashBidNoticeAbstractUI.aspx?menuIndex=3&amp;refID=7010213&amp;Result=3","7010213")</f>
        <v>0</v>
      </c>
      <c r="B12834" t="s">
        <v>1259</v>
      </c>
      <c r="C12834" t="s">
        <v>15378</v>
      </c>
      <c r="D12834" t="s">
        <v>16219</v>
      </c>
      <c r="E12834" t="s">
        <v>27430</v>
      </c>
      <c r="F12834" t="s">
        <v>28198</v>
      </c>
      <c r="G12834" t="s">
        <v>28205</v>
      </c>
      <c r="H12834" t="s">
        <v>28215</v>
      </c>
      <c r="I12834" t="s">
        <v>9499</v>
      </c>
      <c r="J12834" t="s">
        <v>35096</v>
      </c>
      <c r="K12834" t="s">
        <v>36689</v>
      </c>
      <c r="M12834" t="s">
        <v>38309</v>
      </c>
      <c r="N12834" t="s">
        <v>40436</v>
      </c>
      <c r="O12834" t="s">
        <v>40437</v>
      </c>
      <c r="P12834">
        <v>0</v>
      </c>
      <c r="Q12834">
        <v>5</v>
      </c>
      <c r="R12834" t="s">
        <v>40459</v>
      </c>
      <c r="S12834" t="s">
        <v>41455</v>
      </c>
      <c r="T12834" t="s">
        <v>42320</v>
      </c>
      <c r="U12834" t="s">
        <v>53139</v>
      </c>
      <c r="W12834" t="s">
        <v>38309</v>
      </c>
      <c r="X12834" t="s">
        <v>40460</v>
      </c>
    </row>
    <row r="12835" spans="1:24">
      <c r="A12835">
        <f>HYPERLINK("https://www.philgeps.gov.ph/GEPSNONPILOT/Tender/SplashBidNoticeAbstractUI.aspx?menuIndex=3&amp;refID=7010136&amp;Result=3","7010136")</f>
        <v>0</v>
      </c>
      <c r="B12835" t="s">
        <v>1259</v>
      </c>
      <c r="C12835" t="s">
        <v>15379</v>
      </c>
      <c r="D12835" t="s">
        <v>16219</v>
      </c>
      <c r="E12835" t="s">
        <v>27431</v>
      </c>
      <c r="F12835" t="s">
        <v>28198</v>
      </c>
      <c r="G12835" t="s">
        <v>28205</v>
      </c>
      <c r="H12835" t="s">
        <v>28215</v>
      </c>
      <c r="I12835" t="s">
        <v>28222</v>
      </c>
      <c r="J12835" t="s">
        <v>36198</v>
      </c>
      <c r="K12835" t="s">
        <v>36689</v>
      </c>
      <c r="M12835" t="s">
        <v>38309</v>
      </c>
      <c r="N12835" t="s">
        <v>40436</v>
      </c>
      <c r="O12835" t="s">
        <v>40437</v>
      </c>
      <c r="P12835">
        <v>0</v>
      </c>
      <c r="Q12835">
        <v>7</v>
      </c>
      <c r="R12835" t="s">
        <v>40459</v>
      </c>
      <c r="S12835" t="s">
        <v>41455</v>
      </c>
      <c r="T12835" t="s">
        <v>42385</v>
      </c>
      <c r="U12835" t="s">
        <v>53139</v>
      </c>
      <c r="W12835" t="s">
        <v>38309</v>
      </c>
      <c r="X12835" t="s">
        <v>40460</v>
      </c>
    </row>
    <row r="12836" spans="1:24">
      <c r="A12836">
        <f>HYPERLINK("https://www.philgeps.gov.ph/GEPSNONPILOT/Tender/SplashBidNoticeAbstractUI.aspx?menuIndex=3&amp;refID=7010026&amp;Result=3","7010026")</f>
        <v>0</v>
      </c>
      <c r="B12836" t="s">
        <v>215</v>
      </c>
      <c r="C12836" t="s">
        <v>15380</v>
      </c>
      <c r="D12836" t="s">
        <v>16218</v>
      </c>
      <c r="E12836" t="s">
        <v>27432</v>
      </c>
      <c r="F12836" t="s">
        <v>28198</v>
      </c>
      <c r="G12836" t="s">
        <v>28205</v>
      </c>
      <c r="H12836" t="s">
        <v>28215</v>
      </c>
      <c r="I12836" t="s">
        <v>5100</v>
      </c>
      <c r="J12836" t="s">
        <v>36199</v>
      </c>
      <c r="K12836" t="s">
        <v>36688</v>
      </c>
      <c r="M12836" t="s">
        <v>38271</v>
      </c>
      <c r="N12836" t="s">
        <v>40436</v>
      </c>
      <c r="O12836" t="s">
        <v>40437</v>
      </c>
      <c r="P12836">
        <v>0</v>
      </c>
      <c r="Q12836">
        <v>0</v>
      </c>
      <c r="R12836" t="s">
        <v>40459</v>
      </c>
      <c r="S12836" t="s">
        <v>41455</v>
      </c>
      <c r="T12836" t="s">
        <v>42431</v>
      </c>
      <c r="U12836" t="s">
        <v>53140</v>
      </c>
      <c r="W12836" t="s">
        <v>38271</v>
      </c>
      <c r="X12836" t="s">
        <v>40460</v>
      </c>
    </row>
    <row r="12837" spans="1:24">
      <c r="A12837">
        <f>HYPERLINK("https://www.philgeps.gov.ph/GEPSNONPILOT/Tender/SplashBidNoticeAbstractUI.aspx?menuIndex=3&amp;refID=7010084&amp;Result=3","7010084")</f>
        <v>0</v>
      </c>
      <c r="B12837" t="s">
        <v>215</v>
      </c>
      <c r="C12837" t="s">
        <v>15381</v>
      </c>
      <c r="D12837" t="s">
        <v>16218</v>
      </c>
      <c r="E12837" t="s">
        <v>27433</v>
      </c>
      <c r="F12837" t="s">
        <v>28198</v>
      </c>
      <c r="G12837" t="s">
        <v>28205</v>
      </c>
      <c r="H12837" t="s">
        <v>28215</v>
      </c>
      <c r="I12837" t="s">
        <v>5100</v>
      </c>
      <c r="J12837" t="s">
        <v>36200</v>
      </c>
      <c r="K12837" t="s">
        <v>36688</v>
      </c>
      <c r="M12837" t="s">
        <v>38271</v>
      </c>
      <c r="N12837" t="s">
        <v>40436</v>
      </c>
      <c r="O12837" t="s">
        <v>40437</v>
      </c>
      <c r="P12837">
        <v>0</v>
      </c>
      <c r="Q12837">
        <v>0</v>
      </c>
      <c r="R12837" t="s">
        <v>40459</v>
      </c>
      <c r="S12837" t="s">
        <v>41455</v>
      </c>
      <c r="T12837" t="s">
        <v>42431</v>
      </c>
      <c r="U12837" t="s">
        <v>53141</v>
      </c>
      <c r="W12837" t="s">
        <v>38271</v>
      </c>
      <c r="X12837" t="s">
        <v>40460</v>
      </c>
    </row>
    <row r="12838" spans="1:24">
      <c r="A12838">
        <f>HYPERLINK("https://www.philgeps.gov.ph/GEPSNONPILOT/Tender/SplashBidNoticeAbstractUI.aspx?menuIndex=3&amp;refID=7010290&amp;Result=3","7010290")</f>
        <v>0</v>
      </c>
      <c r="B12838" t="s">
        <v>3028</v>
      </c>
      <c r="C12838" t="s">
        <v>15382</v>
      </c>
      <c r="D12838" t="s">
        <v>16228</v>
      </c>
      <c r="E12838" t="s">
        <v>27434</v>
      </c>
      <c r="F12838" t="s">
        <v>28198</v>
      </c>
      <c r="G12838" t="s">
        <v>28205</v>
      </c>
      <c r="H12838" t="s">
        <v>28215</v>
      </c>
      <c r="I12838" t="s">
        <v>28222</v>
      </c>
      <c r="J12838" t="s">
        <v>28345</v>
      </c>
      <c r="K12838" t="s">
        <v>36706</v>
      </c>
      <c r="M12838" t="s">
        <v>40329</v>
      </c>
      <c r="N12838" t="s">
        <v>40436</v>
      </c>
      <c r="O12838" t="s">
        <v>40437</v>
      </c>
      <c r="P12838">
        <v>0</v>
      </c>
      <c r="Q12838">
        <v>0</v>
      </c>
      <c r="R12838" t="s">
        <v>40459</v>
      </c>
      <c r="S12838" t="s">
        <v>41455</v>
      </c>
      <c r="T12838" t="s">
        <v>42218</v>
      </c>
      <c r="U12838" t="s">
        <v>53142</v>
      </c>
      <c r="W12838" t="s">
        <v>40329</v>
      </c>
      <c r="X12838" t="s">
        <v>40460</v>
      </c>
    </row>
    <row r="12839" spans="1:24">
      <c r="A12839">
        <f>HYPERLINK("https://www.philgeps.gov.ph/GEPSNONPILOT/Tender/SplashBidNoticeAbstractUI.aspx?menuIndex=3&amp;refID=7009784&amp;Result=3","7009784")</f>
        <v>0</v>
      </c>
      <c r="B12839" t="s">
        <v>3029</v>
      </c>
      <c r="C12839" t="s">
        <v>15383</v>
      </c>
      <c r="D12839" t="s">
        <v>16219</v>
      </c>
      <c r="E12839" t="s">
        <v>27435</v>
      </c>
      <c r="F12839" t="s">
        <v>28198</v>
      </c>
      <c r="G12839" t="s">
        <v>28205</v>
      </c>
      <c r="H12839" t="s">
        <v>28214</v>
      </c>
      <c r="I12839" t="s">
        <v>3797</v>
      </c>
      <c r="J12839" t="s">
        <v>34935</v>
      </c>
      <c r="K12839" t="s">
        <v>36841</v>
      </c>
      <c r="M12839" t="s">
        <v>40330</v>
      </c>
      <c r="N12839" t="s">
        <v>40436</v>
      </c>
      <c r="O12839" t="s">
        <v>40437</v>
      </c>
      <c r="Q12839">
        <v>2</v>
      </c>
      <c r="R12839" t="s">
        <v>40459</v>
      </c>
      <c r="S12839" t="s">
        <v>41463</v>
      </c>
      <c r="T12839" t="s">
        <v>42455</v>
      </c>
      <c r="U12839" t="s">
        <v>53143</v>
      </c>
      <c r="W12839" t="s">
        <v>40330</v>
      </c>
      <c r="X12839" t="s">
        <v>40460</v>
      </c>
    </row>
    <row r="12840" spans="1:24">
      <c r="A12840">
        <f>HYPERLINK("https://www.philgeps.gov.ph/GEPSNONPILOT/Tender/SplashBidNoticeAbstractUI.aspx?menuIndex=3&amp;refID=7009822&amp;Result=3","7009822")</f>
        <v>0</v>
      </c>
      <c r="B12840" t="s">
        <v>1226</v>
      </c>
      <c r="C12840" t="s">
        <v>15384</v>
      </c>
      <c r="D12840" t="s">
        <v>16197</v>
      </c>
      <c r="E12840" t="s">
        <v>27436</v>
      </c>
      <c r="F12840" t="s">
        <v>28198</v>
      </c>
      <c r="G12840" t="s">
        <v>28205</v>
      </c>
      <c r="H12840" t="s">
        <v>28214</v>
      </c>
      <c r="I12840" t="s">
        <v>3797</v>
      </c>
      <c r="J12840" t="s">
        <v>36201</v>
      </c>
      <c r="K12840" t="s">
        <v>36877</v>
      </c>
      <c r="M12840" t="s">
        <v>38274</v>
      </c>
      <c r="N12840" t="s">
        <v>40436</v>
      </c>
      <c r="O12840" t="s">
        <v>40437</v>
      </c>
      <c r="P12840">
        <v>0</v>
      </c>
      <c r="Q12840">
        <v>0</v>
      </c>
      <c r="R12840" t="s">
        <v>40459</v>
      </c>
      <c r="S12840" t="s">
        <v>41455</v>
      </c>
      <c r="T12840" t="s">
        <v>42112</v>
      </c>
      <c r="U12840" t="s">
        <v>53144</v>
      </c>
      <c r="V12840" t="s">
        <v>55260</v>
      </c>
      <c r="W12840" t="s">
        <v>38274</v>
      </c>
      <c r="X12840" t="s">
        <v>40460</v>
      </c>
    </row>
    <row r="12841" spans="1:24">
      <c r="A12841">
        <f>HYPERLINK("https://www.philgeps.gov.ph/GEPSNONPILOT/Tender/SplashBidNoticeAbstractUI.aspx?menuIndex=3&amp;refID=7010104&amp;Result=3","7010104")</f>
        <v>0</v>
      </c>
      <c r="B12841" t="s">
        <v>215</v>
      </c>
      <c r="C12841" t="s">
        <v>15385</v>
      </c>
      <c r="D12841" t="s">
        <v>16218</v>
      </c>
      <c r="E12841" t="s">
        <v>27437</v>
      </c>
      <c r="F12841" t="s">
        <v>28198</v>
      </c>
      <c r="G12841" t="s">
        <v>28205</v>
      </c>
      <c r="H12841" t="s">
        <v>28215</v>
      </c>
      <c r="I12841" t="s">
        <v>5100</v>
      </c>
      <c r="J12841" t="s">
        <v>36202</v>
      </c>
      <c r="K12841" t="s">
        <v>36688</v>
      </c>
      <c r="M12841" t="s">
        <v>38271</v>
      </c>
      <c r="N12841" t="s">
        <v>40436</v>
      </c>
      <c r="O12841" t="s">
        <v>40437</v>
      </c>
      <c r="P12841">
        <v>0</v>
      </c>
      <c r="Q12841">
        <v>1</v>
      </c>
      <c r="R12841" t="s">
        <v>40459</v>
      </c>
      <c r="S12841" t="s">
        <v>41455</v>
      </c>
      <c r="T12841" t="s">
        <v>42431</v>
      </c>
      <c r="U12841" t="s">
        <v>53145</v>
      </c>
      <c r="W12841" t="s">
        <v>38271</v>
      </c>
      <c r="X12841" t="s">
        <v>40460</v>
      </c>
    </row>
    <row r="12842" spans="1:24">
      <c r="A12842">
        <f>HYPERLINK("https://www.philgeps.gov.ph/GEPSNONPILOT/Tender/SplashBidNoticeAbstractUI.aspx?menuIndex=3&amp;refID=7014084&amp;Result=3","7014084")</f>
        <v>0</v>
      </c>
      <c r="B12842" t="s">
        <v>1778</v>
      </c>
      <c r="C12842" t="s">
        <v>15386</v>
      </c>
      <c r="D12842" t="s">
        <v>16249</v>
      </c>
      <c r="E12842" t="s">
        <v>27438</v>
      </c>
      <c r="F12842" t="s">
        <v>28198</v>
      </c>
      <c r="G12842" t="s">
        <v>28205</v>
      </c>
      <c r="H12842" t="s">
        <v>28215</v>
      </c>
      <c r="I12842" t="s">
        <v>5100</v>
      </c>
      <c r="J12842" t="s">
        <v>30237</v>
      </c>
      <c r="K12842" t="s">
        <v>36701</v>
      </c>
      <c r="M12842" t="s">
        <v>38894</v>
      </c>
      <c r="N12842" t="s">
        <v>40436</v>
      </c>
      <c r="O12842" t="s">
        <v>40437</v>
      </c>
      <c r="P12842">
        <v>0</v>
      </c>
      <c r="Q12842">
        <v>22</v>
      </c>
      <c r="R12842" t="s">
        <v>40458</v>
      </c>
      <c r="S12842" t="s">
        <v>41445</v>
      </c>
      <c r="T12842" t="s">
        <v>42297</v>
      </c>
      <c r="U12842" t="s">
        <v>53146</v>
      </c>
      <c r="V12842" t="s">
        <v>55261</v>
      </c>
      <c r="W12842" t="s">
        <v>38894</v>
      </c>
      <c r="X12842" t="s">
        <v>40459</v>
      </c>
    </row>
    <row r="12843" spans="1:24">
      <c r="A12843">
        <f>HYPERLINK("https://www.philgeps.gov.ph/GEPSNONPILOT/Tender/SplashBidNoticeAbstractUI.aspx?menuIndex=3&amp;refID=7009872&amp;Result=3","7009872")</f>
        <v>0</v>
      </c>
      <c r="B12843" t="s">
        <v>2402</v>
      </c>
      <c r="C12843" t="s">
        <v>15387</v>
      </c>
      <c r="D12843" t="s">
        <v>16250</v>
      </c>
      <c r="E12843" t="s">
        <v>27439</v>
      </c>
      <c r="F12843" t="s">
        <v>28198</v>
      </c>
      <c r="G12843" t="s">
        <v>28205</v>
      </c>
      <c r="H12843" t="s">
        <v>28215</v>
      </c>
      <c r="I12843" t="s">
        <v>28239</v>
      </c>
      <c r="J12843" t="s">
        <v>36203</v>
      </c>
      <c r="K12843" t="s">
        <v>36701</v>
      </c>
      <c r="M12843" t="s">
        <v>39590</v>
      </c>
      <c r="N12843" t="s">
        <v>40436</v>
      </c>
      <c r="O12843" t="s">
        <v>40437</v>
      </c>
      <c r="P12843">
        <v>0</v>
      </c>
      <c r="Q12843">
        <v>4</v>
      </c>
      <c r="R12843" t="s">
        <v>40459</v>
      </c>
      <c r="S12843" t="s">
        <v>41455</v>
      </c>
      <c r="T12843" t="s">
        <v>42183</v>
      </c>
      <c r="U12843" t="s">
        <v>53147</v>
      </c>
      <c r="W12843" t="s">
        <v>39590</v>
      </c>
      <c r="X12843" t="s">
        <v>40460</v>
      </c>
    </row>
    <row r="12844" spans="1:24">
      <c r="A12844">
        <f>HYPERLINK("https://www.philgeps.gov.ph/GEPSNONPILOT/Tender/SplashBidNoticeAbstractUI.aspx?menuIndex=3&amp;refID=7011500&amp;Result=3","7011500")</f>
        <v>0</v>
      </c>
      <c r="B12844" t="s">
        <v>445</v>
      </c>
      <c r="C12844" t="s">
        <v>15388</v>
      </c>
      <c r="D12844" t="s">
        <v>16202</v>
      </c>
      <c r="E12844" t="s">
        <v>27440</v>
      </c>
      <c r="F12844" t="s">
        <v>28198</v>
      </c>
      <c r="G12844" t="s">
        <v>28205</v>
      </c>
      <c r="H12844" t="s">
        <v>28215</v>
      </c>
      <c r="I12844" t="s">
        <v>28247</v>
      </c>
      <c r="J12844" t="s">
        <v>36204</v>
      </c>
      <c r="K12844" t="s">
        <v>36692</v>
      </c>
      <c r="M12844" t="s">
        <v>37429</v>
      </c>
      <c r="N12844" t="s">
        <v>40436</v>
      </c>
      <c r="O12844" t="s">
        <v>40437</v>
      </c>
      <c r="Q12844">
        <v>21</v>
      </c>
      <c r="R12844" t="s">
        <v>40459</v>
      </c>
      <c r="S12844" t="s">
        <v>41464</v>
      </c>
      <c r="T12844" t="s">
        <v>42455</v>
      </c>
      <c r="U12844" t="s">
        <v>43410</v>
      </c>
      <c r="W12844" t="s">
        <v>37429</v>
      </c>
      <c r="X12844" t="s">
        <v>40460</v>
      </c>
    </row>
    <row r="12845" spans="1:24">
      <c r="A12845">
        <f>HYPERLINK("https://www.philgeps.gov.ph/GEPSNONPILOT/Tender/SplashBidNoticeAbstractUI.aspx?menuIndex=3&amp;refID=7009939&amp;Result=3","7009939")</f>
        <v>0</v>
      </c>
      <c r="B12845" t="s">
        <v>2402</v>
      </c>
      <c r="C12845" t="s">
        <v>15389</v>
      </c>
      <c r="D12845" t="s">
        <v>16250</v>
      </c>
      <c r="E12845" t="s">
        <v>27441</v>
      </c>
      <c r="F12845" t="s">
        <v>28198</v>
      </c>
      <c r="G12845" t="s">
        <v>28205</v>
      </c>
      <c r="H12845" t="s">
        <v>28215</v>
      </c>
      <c r="I12845" t="s">
        <v>28234</v>
      </c>
      <c r="J12845" t="s">
        <v>36205</v>
      </c>
      <c r="K12845" t="s">
        <v>36701</v>
      </c>
      <c r="M12845" t="s">
        <v>39590</v>
      </c>
      <c r="N12845" t="s">
        <v>40436</v>
      </c>
      <c r="O12845" t="s">
        <v>40437</v>
      </c>
      <c r="P12845">
        <v>0</v>
      </c>
      <c r="Q12845">
        <v>0</v>
      </c>
      <c r="R12845" t="s">
        <v>40459</v>
      </c>
      <c r="S12845" t="s">
        <v>41455</v>
      </c>
      <c r="T12845" t="s">
        <v>42183</v>
      </c>
      <c r="U12845" t="s">
        <v>53148</v>
      </c>
      <c r="W12845" t="s">
        <v>39590</v>
      </c>
      <c r="X12845" t="s">
        <v>40460</v>
      </c>
    </row>
    <row r="12846" spans="1:24">
      <c r="A12846">
        <f>HYPERLINK("https://www.philgeps.gov.ph/GEPSNONPILOT/Tender/SplashBidNoticeAbstractUI.aspx?menuIndex=3&amp;refID=7011490&amp;Result=3","7011490")</f>
        <v>0</v>
      </c>
      <c r="B12846" t="s">
        <v>3014</v>
      </c>
      <c r="C12846" t="s">
        <v>15390</v>
      </c>
      <c r="D12846" t="s">
        <v>16220</v>
      </c>
      <c r="E12846" t="s">
        <v>27442</v>
      </c>
      <c r="F12846" t="s">
        <v>28198</v>
      </c>
      <c r="G12846" t="s">
        <v>28205</v>
      </c>
      <c r="H12846" t="s">
        <v>28215</v>
      </c>
      <c r="I12846" t="s">
        <v>4505</v>
      </c>
      <c r="J12846" t="s">
        <v>36206</v>
      </c>
      <c r="K12846" t="s">
        <v>36735</v>
      </c>
      <c r="M12846" t="s">
        <v>40313</v>
      </c>
      <c r="N12846" t="s">
        <v>40436</v>
      </c>
      <c r="O12846" t="s">
        <v>40437</v>
      </c>
      <c r="Q12846">
        <v>3</v>
      </c>
      <c r="R12846" t="s">
        <v>40459</v>
      </c>
      <c r="S12846" t="s">
        <v>41465</v>
      </c>
      <c r="T12846" t="s">
        <v>42129</v>
      </c>
      <c r="U12846" t="s">
        <v>53051</v>
      </c>
      <c r="W12846" t="s">
        <v>40313</v>
      </c>
      <c r="X12846" t="s">
        <v>40460</v>
      </c>
    </row>
    <row r="12847" spans="1:24">
      <c r="A12847">
        <f>HYPERLINK("https://www.philgeps.gov.ph/GEPSNONPILOT/Tender/SplashBidNoticeAbstractUI.aspx?menuIndex=3&amp;refID=7010190&amp;Result=3","7010190")</f>
        <v>0</v>
      </c>
      <c r="B12847" t="s">
        <v>1259</v>
      </c>
      <c r="C12847" t="s">
        <v>15391</v>
      </c>
      <c r="D12847" t="s">
        <v>16219</v>
      </c>
      <c r="E12847" t="s">
        <v>27443</v>
      </c>
      <c r="F12847" t="s">
        <v>28198</v>
      </c>
      <c r="G12847" t="s">
        <v>28205</v>
      </c>
      <c r="H12847" t="s">
        <v>28215</v>
      </c>
      <c r="I12847" t="s">
        <v>9499</v>
      </c>
      <c r="J12847" t="s">
        <v>36207</v>
      </c>
      <c r="K12847" t="s">
        <v>36689</v>
      </c>
      <c r="M12847" t="s">
        <v>38309</v>
      </c>
      <c r="N12847" t="s">
        <v>40436</v>
      </c>
      <c r="O12847" t="s">
        <v>40437</v>
      </c>
      <c r="P12847">
        <v>0</v>
      </c>
      <c r="Q12847">
        <v>4</v>
      </c>
      <c r="R12847" t="s">
        <v>40459</v>
      </c>
      <c r="S12847" t="s">
        <v>41455</v>
      </c>
      <c r="T12847" t="s">
        <v>42320</v>
      </c>
      <c r="U12847" t="s">
        <v>53139</v>
      </c>
      <c r="W12847" t="s">
        <v>38309</v>
      </c>
      <c r="X12847" t="s">
        <v>40460</v>
      </c>
    </row>
    <row r="12848" spans="1:24">
      <c r="A12848">
        <f>HYPERLINK("https://www.philgeps.gov.ph/GEPSNONPILOT/Tender/SplashBidNoticeAbstractUI.aspx?menuIndex=3&amp;refID=7011595&amp;Result=3","7011595")</f>
        <v>0</v>
      </c>
      <c r="B12848" t="s">
        <v>103</v>
      </c>
      <c r="C12848" t="s">
        <v>15392</v>
      </c>
      <c r="D12848" t="s">
        <v>16230</v>
      </c>
      <c r="E12848" t="s">
        <v>27444</v>
      </c>
      <c r="F12848" t="s">
        <v>28198</v>
      </c>
      <c r="G12848" t="s">
        <v>28205</v>
      </c>
      <c r="H12848" t="s">
        <v>28214</v>
      </c>
      <c r="I12848" t="s">
        <v>3797</v>
      </c>
      <c r="J12848" t="s">
        <v>28379</v>
      </c>
      <c r="K12848" t="s">
        <v>36690</v>
      </c>
      <c r="M12848" t="s">
        <v>37077</v>
      </c>
      <c r="N12848" t="s">
        <v>40436</v>
      </c>
      <c r="O12848" t="s">
        <v>40437</v>
      </c>
      <c r="P12848">
        <v>0</v>
      </c>
      <c r="Q12848">
        <v>0</v>
      </c>
      <c r="R12848" t="s">
        <v>40459</v>
      </c>
      <c r="S12848" t="s">
        <v>41455</v>
      </c>
      <c r="T12848" t="s">
        <v>42233</v>
      </c>
      <c r="U12848" t="s">
        <v>53149</v>
      </c>
      <c r="V12848" t="s">
        <v>55262</v>
      </c>
      <c r="W12848" t="s">
        <v>37077</v>
      </c>
      <c r="X12848" t="s">
        <v>40460</v>
      </c>
    </row>
    <row r="12849" spans="1:24">
      <c r="A12849">
        <f>HYPERLINK("https://www.philgeps.gov.ph/GEPSNONPILOT/Tender/SplashBidNoticeAbstractUI.aspx?menuIndex=3&amp;refID=7011412&amp;Result=3","7011412")</f>
        <v>0</v>
      </c>
      <c r="B12849" t="s">
        <v>1114</v>
      </c>
      <c r="C12849" t="s">
        <v>15393</v>
      </c>
      <c r="D12849" t="s">
        <v>16228</v>
      </c>
      <c r="E12849" t="s">
        <v>27445</v>
      </c>
      <c r="F12849" t="s">
        <v>28198</v>
      </c>
      <c r="G12849" t="s">
        <v>28205</v>
      </c>
      <c r="H12849" t="s">
        <v>28214</v>
      </c>
      <c r="I12849" t="s">
        <v>3797</v>
      </c>
      <c r="J12849" t="s">
        <v>36208</v>
      </c>
      <c r="K12849" t="s">
        <v>36758</v>
      </c>
      <c r="M12849" t="s">
        <v>38803</v>
      </c>
      <c r="N12849" t="s">
        <v>40436</v>
      </c>
      <c r="O12849" t="s">
        <v>40437</v>
      </c>
      <c r="Q12849">
        <v>2</v>
      </c>
      <c r="R12849" t="s">
        <v>40459</v>
      </c>
      <c r="S12849" t="s">
        <v>40906</v>
      </c>
      <c r="T12849" t="s">
        <v>42233</v>
      </c>
      <c r="U12849" t="s">
        <v>53150</v>
      </c>
      <c r="V12849" t="s">
        <v>55263</v>
      </c>
      <c r="W12849" t="s">
        <v>38803</v>
      </c>
      <c r="X12849" t="s">
        <v>40460</v>
      </c>
    </row>
    <row r="12850" spans="1:24">
      <c r="A12850">
        <f>HYPERLINK("https://www.philgeps.gov.ph/GEPSNONPILOT/Tender/SplashBidNoticeAbstractUI.aspx?menuIndex=3&amp;refID=7011586&amp;Result=3","7011586")</f>
        <v>0</v>
      </c>
      <c r="B12850" t="s">
        <v>303</v>
      </c>
      <c r="C12850" t="s">
        <v>15394</v>
      </c>
      <c r="D12850" t="s">
        <v>16196</v>
      </c>
      <c r="E12850" t="s">
        <v>27446</v>
      </c>
      <c r="F12850" t="s">
        <v>28198</v>
      </c>
      <c r="G12850" t="s">
        <v>28205</v>
      </c>
      <c r="H12850" t="s">
        <v>28214</v>
      </c>
      <c r="I12850" t="s">
        <v>3797</v>
      </c>
      <c r="J12850" t="s">
        <v>36209</v>
      </c>
      <c r="K12850" t="s">
        <v>36717</v>
      </c>
      <c r="M12850" t="s">
        <v>37320</v>
      </c>
      <c r="N12850" t="s">
        <v>40436</v>
      </c>
      <c r="O12850" t="s">
        <v>40437</v>
      </c>
      <c r="P12850">
        <v>0</v>
      </c>
      <c r="Q12850">
        <v>14</v>
      </c>
      <c r="R12850" t="s">
        <v>40459</v>
      </c>
      <c r="S12850" t="s">
        <v>41455</v>
      </c>
      <c r="T12850" t="s">
        <v>42233</v>
      </c>
      <c r="U12850" t="s">
        <v>53151</v>
      </c>
      <c r="W12850" t="s">
        <v>37320</v>
      </c>
      <c r="X12850" t="s">
        <v>40460</v>
      </c>
    </row>
    <row r="12851" spans="1:24">
      <c r="A12851">
        <f>HYPERLINK("https://www.philgeps.gov.ph/GEPSNONPILOT/Tender/SplashBidNoticeAbstractUI.aspx?menuIndex=3&amp;refID=7011200&amp;Result=3","7011200")</f>
        <v>0</v>
      </c>
      <c r="B12851" t="s">
        <v>2901</v>
      </c>
      <c r="C12851" t="s">
        <v>15395</v>
      </c>
      <c r="D12851" t="s">
        <v>16235</v>
      </c>
      <c r="E12851" t="s">
        <v>27447</v>
      </c>
      <c r="F12851" t="s">
        <v>28198</v>
      </c>
      <c r="G12851" t="s">
        <v>28205</v>
      </c>
      <c r="H12851" t="s">
        <v>28215</v>
      </c>
      <c r="I12851" t="s">
        <v>8888</v>
      </c>
      <c r="J12851" t="s">
        <v>36210</v>
      </c>
      <c r="K12851" t="s">
        <v>36689</v>
      </c>
      <c r="M12851" t="s">
        <v>40169</v>
      </c>
      <c r="N12851" t="s">
        <v>40436</v>
      </c>
      <c r="O12851" t="s">
        <v>40437</v>
      </c>
      <c r="P12851">
        <v>0</v>
      </c>
      <c r="Q12851">
        <v>8</v>
      </c>
      <c r="R12851" t="s">
        <v>40459</v>
      </c>
      <c r="S12851" t="s">
        <v>41455</v>
      </c>
      <c r="T12851" t="s">
        <v>42190</v>
      </c>
      <c r="U12851" t="s">
        <v>53152</v>
      </c>
      <c r="W12851" t="s">
        <v>40169</v>
      </c>
      <c r="X12851" t="s">
        <v>40460</v>
      </c>
    </row>
    <row r="12852" spans="1:24">
      <c r="A12852">
        <f>HYPERLINK("https://www.philgeps.gov.ph/GEPSNONPILOT/Tender/SplashBidNoticeAbstractUI.aspx?menuIndex=3&amp;refID=7011242&amp;Result=3","7011242")</f>
        <v>0</v>
      </c>
      <c r="B12852" t="s">
        <v>2510</v>
      </c>
      <c r="C12852" t="s">
        <v>15396</v>
      </c>
      <c r="D12852" t="s">
        <v>16239</v>
      </c>
      <c r="E12852" t="s">
        <v>27448</v>
      </c>
      <c r="F12852" t="s">
        <v>28198</v>
      </c>
      <c r="G12852" t="s">
        <v>28205</v>
      </c>
      <c r="H12852" t="s">
        <v>28214</v>
      </c>
      <c r="I12852" t="s">
        <v>3797</v>
      </c>
      <c r="J12852" t="s">
        <v>36211</v>
      </c>
      <c r="K12852" t="s">
        <v>36714</v>
      </c>
      <c r="M12852" t="s">
        <v>39713</v>
      </c>
      <c r="N12852" t="s">
        <v>40436</v>
      </c>
      <c r="O12852" t="s">
        <v>40437</v>
      </c>
      <c r="Q12852">
        <v>4</v>
      </c>
      <c r="R12852" t="s">
        <v>40459</v>
      </c>
      <c r="S12852" t="s">
        <v>41466</v>
      </c>
      <c r="T12852" t="s">
        <v>42145</v>
      </c>
      <c r="U12852" t="s">
        <v>53153</v>
      </c>
      <c r="V12852" t="s">
        <v>55264</v>
      </c>
      <c r="W12852" t="s">
        <v>39713</v>
      </c>
      <c r="X12852" t="s">
        <v>40460</v>
      </c>
    </row>
    <row r="12853" spans="1:24">
      <c r="A12853">
        <f>HYPERLINK("https://www.philgeps.gov.ph/GEPSNONPILOT/Tender/SplashBidNoticeAbstractUI.aspx?menuIndex=3&amp;refID=7010034&amp;Result=3","7010034")</f>
        <v>0</v>
      </c>
      <c r="B12853" t="s">
        <v>1528</v>
      </c>
      <c r="C12853" t="s">
        <v>15397</v>
      </c>
      <c r="D12853" t="s">
        <v>16230</v>
      </c>
      <c r="E12853" t="s">
        <v>16475</v>
      </c>
      <c r="F12853" t="s">
        <v>28198</v>
      </c>
      <c r="G12853" t="s">
        <v>28205</v>
      </c>
      <c r="H12853" t="s">
        <v>28215</v>
      </c>
      <c r="I12853" t="s">
        <v>4200</v>
      </c>
      <c r="J12853" t="s">
        <v>36212</v>
      </c>
      <c r="K12853" t="s">
        <v>36701</v>
      </c>
      <c r="M12853" t="s">
        <v>38606</v>
      </c>
      <c r="N12853" t="s">
        <v>40436</v>
      </c>
      <c r="O12853" t="s">
        <v>40437</v>
      </c>
      <c r="Q12853">
        <v>9</v>
      </c>
      <c r="R12853" t="s">
        <v>40459</v>
      </c>
      <c r="S12853" t="s">
        <v>41467</v>
      </c>
      <c r="T12853" t="s">
        <v>42184</v>
      </c>
      <c r="U12853" t="s">
        <v>53154</v>
      </c>
      <c r="W12853" t="s">
        <v>38606</v>
      </c>
      <c r="X12853" t="s">
        <v>40460</v>
      </c>
    </row>
    <row r="12854" spans="1:24">
      <c r="A12854">
        <f>HYPERLINK("https://www.philgeps.gov.ph/GEPSNONPILOT/Tender/SplashBidNoticeAbstractUI.aspx?menuIndex=3&amp;refID=7011168&amp;Result=3","7011168")</f>
        <v>0</v>
      </c>
      <c r="B12854" t="s">
        <v>2510</v>
      </c>
      <c r="C12854" t="s">
        <v>7478</v>
      </c>
      <c r="D12854" t="s">
        <v>16239</v>
      </c>
      <c r="E12854" t="s">
        <v>27449</v>
      </c>
      <c r="F12854" t="s">
        <v>28198</v>
      </c>
      <c r="G12854" t="s">
        <v>28207</v>
      </c>
      <c r="H12854" t="s">
        <v>28214</v>
      </c>
      <c r="I12854" t="s">
        <v>28242</v>
      </c>
      <c r="J12854" t="s">
        <v>36213</v>
      </c>
      <c r="K12854" t="s">
        <v>36692</v>
      </c>
      <c r="M12854" t="s">
        <v>39713</v>
      </c>
      <c r="N12854" t="s">
        <v>40436</v>
      </c>
      <c r="O12854" t="s">
        <v>40437</v>
      </c>
      <c r="P12854">
        <v>0</v>
      </c>
      <c r="Q12854">
        <v>7</v>
      </c>
      <c r="R12854" t="s">
        <v>40459</v>
      </c>
      <c r="S12854" t="s">
        <v>41455</v>
      </c>
      <c r="T12854" t="s">
        <v>42164</v>
      </c>
      <c r="U12854" t="s">
        <v>53155</v>
      </c>
      <c r="W12854" t="s">
        <v>39713</v>
      </c>
      <c r="X12854" t="s">
        <v>40460</v>
      </c>
    </row>
    <row r="12855" spans="1:24">
      <c r="A12855">
        <f>HYPERLINK("https://www.philgeps.gov.ph/GEPSNONPILOT/Tender/SplashBidNoticeAbstractUI.aspx?menuIndex=3&amp;refID=7011315&amp;Result=3","7011315")</f>
        <v>0</v>
      </c>
      <c r="B12855" t="s">
        <v>2901</v>
      </c>
      <c r="C12855" t="s">
        <v>15398</v>
      </c>
      <c r="D12855" t="s">
        <v>16235</v>
      </c>
      <c r="E12855" t="s">
        <v>27450</v>
      </c>
      <c r="F12855" t="s">
        <v>28198</v>
      </c>
      <c r="G12855" t="s">
        <v>28205</v>
      </c>
      <c r="H12855" t="s">
        <v>28214</v>
      </c>
      <c r="I12855" t="s">
        <v>3797</v>
      </c>
      <c r="J12855" t="s">
        <v>36214</v>
      </c>
      <c r="K12855" t="s">
        <v>36689</v>
      </c>
      <c r="M12855" t="s">
        <v>40169</v>
      </c>
      <c r="N12855" t="s">
        <v>40436</v>
      </c>
      <c r="O12855" t="s">
        <v>40437</v>
      </c>
      <c r="Q12855">
        <v>3</v>
      </c>
      <c r="R12855" t="s">
        <v>40459</v>
      </c>
      <c r="S12855" t="s">
        <v>41468</v>
      </c>
      <c r="T12855" t="s">
        <v>42131</v>
      </c>
      <c r="U12855" t="s">
        <v>53156</v>
      </c>
      <c r="W12855" t="s">
        <v>40169</v>
      </c>
      <c r="X12855" t="s">
        <v>40460</v>
      </c>
    </row>
    <row r="12856" spans="1:24">
      <c r="A12856">
        <f>HYPERLINK("https://www.philgeps.gov.ph/GEPSNONPILOT/Tender/SplashBidNoticeAbstractUI.aspx?menuIndex=3&amp;refID=7011126&amp;Result=3","7011126")</f>
        <v>0</v>
      </c>
      <c r="B12856" t="s">
        <v>2510</v>
      </c>
      <c r="C12856" t="s">
        <v>15399</v>
      </c>
      <c r="D12856" t="s">
        <v>16239</v>
      </c>
      <c r="E12856" t="s">
        <v>27451</v>
      </c>
      <c r="F12856" t="s">
        <v>28198</v>
      </c>
      <c r="G12856" t="s">
        <v>28205</v>
      </c>
      <c r="H12856" t="s">
        <v>28215</v>
      </c>
      <c r="I12856" t="s">
        <v>6051</v>
      </c>
      <c r="J12856" t="s">
        <v>30873</v>
      </c>
      <c r="K12856" t="s">
        <v>36715</v>
      </c>
      <c r="M12856" t="s">
        <v>39713</v>
      </c>
      <c r="N12856" t="s">
        <v>40436</v>
      </c>
      <c r="O12856" t="s">
        <v>40437</v>
      </c>
      <c r="Q12856">
        <v>10</v>
      </c>
      <c r="R12856" t="s">
        <v>40459</v>
      </c>
      <c r="S12856" t="s">
        <v>41469</v>
      </c>
      <c r="T12856" t="s">
        <v>42129</v>
      </c>
      <c r="U12856" t="s">
        <v>53157</v>
      </c>
      <c r="W12856" t="s">
        <v>39713</v>
      </c>
      <c r="X12856" t="s">
        <v>40460</v>
      </c>
    </row>
    <row r="12857" spans="1:24">
      <c r="A12857">
        <f>HYPERLINK("https://www.philgeps.gov.ph/GEPSNONPILOT/Tender/SplashBidNoticeAbstractUI.aspx?menuIndex=3&amp;refID=7011258&amp;Result=3","7011258")</f>
        <v>0</v>
      </c>
      <c r="B12857" t="s">
        <v>2901</v>
      </c>
      <c r="C12857" t="s">
        <v>15400</v>
      </c>
      <c r="D12857" t="s">
        <v>16235</v>
      </c>
      <c r="E12857" t="s">
        <v>27452</v>
      </c>
      <c r="F12857" t="s">
        <v>28198</v>
      </c>
      <c r="G12857" t="s">
        <v>28205</v>
      </c>
      <c r="H12857" t="s">
        <v>28215</v>
      </c>
      <c r="I12857" t="s">
        <v>4219</v>
      </c>
      <c r="J12857" t="s">
        <v>36215</v>
      </c>
      <c r="K12857" t="s">
        <v>36689</v>
      </c>
      <c r="M12857" t="s">
        <v>40169</v>
      </c>
      <c r="N12857" t="s">
        <v>40436</v>
      </c>
      <c r="O12857" t="s">
        <v>40437</v>
      </c>
      <c r="Q12857">
        <v>11</v>
      </c>
      <c r="R12857" t="s">
        <v>40459</v>
      </c>
      <c r="S12857" t="s">
        <v>41470</v>
      </c>
      <c r="T12857" t="s">
        <v>42190</v>
      </c>
      <c r="U12857" t="s">
        <v>53158</v>
      </c>
      <c r="W12857" t="s">
        <v>40169</v>
      </c>
      <c r="X12857" t="s">
        <v>40460</v>
      </c>
    </row>
    <row r="12858" spans="1:24">
      <c r="A12858">
        <f>HYPERLINK("https://www.philgeps.gov.ph/GEPSNONPILOT/Tender/SplashBidNoticeAbstractUI.aspx?menuIndex=3&amp;refID=7011162&amp;Result=3","7011162")</f>
        <v>0</v>
      </c>
      <c r="B12858" t="s">
        <v>2083</v>
      </c>
      <c r="C12858" t="s">
        <v>15401</v>
      </c>
      <c r="E12858" t="s">
        <v>27453</v>
      </c>
      <c r="F12858" t="s">
        <v>28198</v>
      </c>
      <c r="G12858" t="s">
        <v>28207</v>
      </c>
      <c r="H12858" t="s">
        <v>28215</v>
      </c>
      <c r="I12858" t="s">
        <v>5082</v>
      </c>
      <c r="J12858" t="s">
        <v>28416</v>
      </c>
      <c r="K12858" t="s">
        <v>36707</v>
      </c>
      <c r="M12858" t="s">
        <v>39232</v>
      </c>
      <c r="N12858" t="s">
        <v>40436</v>
      </c>
      <c r="O12858" t="s">
        <v>40437</v>
      </c>
      <c r="Q12858">
        <v>7</v>
      </c>
      <c r="R12858" t="s">
        <v>40459</v>
      </c>
      <c r="S12858" t="s">
        <v>41471</v>
      </c>
      <c r="T12858" t="s">
        <v>42133</v>
      </c>
      <c r="U12858" t="s">
        <v>53159</v>
      </c>
      <c r="W12858" t="s">
        <v>39232</v>
      </c>
      <c r="X12858" t="s">
        <v>40460</v>
      </c>
    </row>
    <row r="12859" spans="1:24">
      <c r="A12859">
        <f>HYPERLINK("https://www.philgeps.gov.ph/GEPSNONPILOT/Tender/SplashBidNoticeAbstractUI.aspx?menuIndex=3&amp;refID=7011084&amp;Result=3","7011084")</f>
        <v>0</v>
      </c>
      <c r="B12859" t="s">
        <v>215</v>
      </c>
      <c r="C12859" t="s">
        <v>15402</v>
      </c>
      <c r="D12859" t="s">
        <v>16218</v>
      </c>
      <c r="E12859" t="s">
        <v>27454</v>
      </c>
      <c r="F12859" t="s">
        <v>28198</v>
      </c>
      <c r="G12859" t="s">
        <v>28205</v>
      </c>
      <c r="H12859" t="s">
        <v>28215</v>
      </c>
      <c r="I12859" t="s">
        <v>28226</v>
      </c>
      <c r="J12859" t="s">
        <v>36216</v>
      </c>
      <c r="K12859" t="s">
        <v>36688</v>
      </c>
      <c r="M12859" t="s">
        <v>38271</v>
      </c>
      <c r="N12859" t="s">
        <v>40436</v>
      </c>
      <c r="O12859" t="s">
        <v>40437</v>
      </c>
      <c r="P12859">
        <v>0</v>
      </c>
      <c r="Q12859">
        <v>1</v>
      </c>
      <c r="R12859" t="s">
        <v>40459</v>
      </c>
      <c r="S12859" t="s">
        <v>41455</v>
      </c>
      <c r="T12859" t="s">
        <v>42431</v>
      </c>
      <c r="U12859" t="s">
        <v>53160</v>
      </c>
      <c r="W12859" t="s">
        <v>38271</v>
      </c>
      <c r="X12859" t="s">
        <v>40460</v>
      </c>
    </row>
    <row r="12860" spans="1:24">
      <c r="A12860">
        <f>HYPERLINK("https://www.philgeps.gov.ph/GEPSNONPILOT/Tender/SplashBidNoticeAbstractUI.aspx?menuIndex=3&amp;refID=7011128&amp;Result=3","7011128")</f>
        <v>0</v>
      </c>
      <c r="B12860" t="s">
        <v>2901</v>
      </c>
      <c r="C12860" t="s">
        <v>15403</v>
      </c>
      <c r="D12860" t="s">
        <v>16235</v>
      </c>
      <c r="E12860" t="s">
        <v>27455</v>
      </c>
      <c r="F12860" t="s">
        <v>28198</v>
      </c>
      <c r="G12860" t="s">
        <v>28205</v>
      </c>
      <c r="H12860" t="s">
        <v>28215</v>
      </c>
      <c r="I12860" t="s">
        <v>5100</v>
      </c>
      <c r="J12860" t="s">
        <v>36217</v>
      </c>
      <c r="K12860" t="s">
        <v>36689</v>
      </c>
      <c r="M12860" t="s">
        <v>40169</v>
      </c>
      <c r="N12860" t="s">
        <v>40436</v>
      </c>
      <c r="O12860" t="s">
        <v>40437</v>
      </c>
      <c r="P12860">
        <v>0</v>
      </c>
      <c r="Q12860">
        <v>1</v>
      </c>
      <c r="R12860" t="s">
        <v>40459</v>
      </c>
      <c r="S12860" t="s">
        <v>41455</v>
      </c>
      <c r="T12860" t="s">
        <v>42190</v>
      </c>
      <c r="U12860" t="s">
        <v>53161</v>
      </c>
      <c r="W12860" t="s">
        <v>40169</v>
      </c>
      <c r="X12860" t="s">
        <v>40460</v>
      </c>
    </row>
    <row r="12861" spans="1:24">
      <c r="A12861">
        <f>HYPERLINK("https://www.philgeps.gov.ph/GEPSNONPILOT/Tender/SplashBidNoticeAbstractUI.aspx?menuIndex=3&amp;refID=7010851&amp;Result=3","7010851")</f>
        <v>0</v>
      </c>
      <c r="B12861" t="s">
        <v>3030</v>
      </c>
      <c r="C12861" t="s">
        <v>15404</v>
      </c>
      <c r="D12861" t="s">
        <v>16200</v>
      </c>
      <c r="E12861" t="s">
        <v>27456</v>
      </c>
      <c r="F12861" t="s">
        <v>28198</v>
      </c>
      <c r="G12861" t="s">
        <v>28205</v>
      </c>
      <c r="H12861" t="s">
        <v>28215</v>
      </c>
      <c r="I12861" t="s">
        <v>5100</v>
      </c>
      <c r="J12861" t="s">
        <v>36218</v>
      </c>
      <c r="K12861" t="s">
        <v>36689</v>
      </c>
      <c r="M12861" t="s">
        <v>40331</v>
      </c>
      <c r="N12861" t="s">
        <v>40436</v>
      </c>
      <c r="O12861" t="s">
        <v>40437</v>
      </c>
      <c r="P12861">
        <v>0</v>
      </c>
      <c r="Q12861">
        <v>1</v>
      </c>
      <c r="R12861" t="s">
        <v>40459</v>
      </c>
      <c r="S12861" t="s">
        <v>41455</v>
      </c>
      <c r="T12861" t="s">
        <v>42277</v>
      </c>
      <c r="U12861" t="s">
        <v>53162</v>
      </c>
      <c r="W12861" t="s">
        <v>40331</v>
      </c>
      <c r="X12861" t="s">
        <v>40460</v>
      </c>
    </row>
    <row r="12862" spans="1:24">
      <c r="A12862">
        <f>HYPERLINK("https://www.philgeps.gov.ph/GEPSNONPILOT/Tender/SplashBidNoticeAbstractUI.aspx?menuIndex=3&amp;refID=7010796&amp;Result=3","7010796")</f>
        <v>0</v>
      </c>
      <c r="B12862" t="s">
        <v>766</v>
      </c>
      <c r="C12862" t="s">
        <v>15405</v>
      </c>
      <c r="D12862" t="s">
        <v>16219</v>
      </c>
      <c r="E12862" t="s">
        <v>27457</v>
      </c>
      <c r="F12862" t="s">
        <v>28198</v>
      </c>
      <c r="G12862" t="s">
        <v>28205</v>
      </c>
      <c r="H12862" t="s">
        <v>28214</v>
      </c>
      <c r="I12862" t="s">
        <v>28274</v>
      </c>
      <c r="J12862" t="s">
        <v>32432</v>
      </c>
      <c r="K12862" t="s">
        <v>36975</v>
      </c>
      <c r="M12862" t="s">
        <v>38825</v>
      </c>
      <c r="N12862" t="s">
        <v>40436</v>
      </c>
      <c r="O12862" t="s">
        <v>40437</v>
      </c>
      <c r="Q12862">
        <v>0</v>
      </c>
      <c r="R12862" t="s">
        <v>40459</v>
      </c>
      <c r="S12862" t="s">
        <v>41472</v>
      </c>
      <c r="T12862" t="s">
        <v>42133</v>
      </c>
      <c r="U12862" t="s">
        <v>53163</v>
      </c>
      <c r="W12862" t="s">
        <v>38825</v>
      </c>
      <c r="X12862" t="s">
        <v>40460</v>
      </c>
    </row>
    <row r="12863" spans="1:24">
      <c r="A12863">
        <f>HYPERLINK("https://www.philgeps.gov.ph/GEPSNONPILOT/Tender/SplashBidNoticeAbstractUI.aspx?menuIndex=3&amp;refID=7011320&amp;Result=3","7011320")</f>
        <v>0</v>
      </c>
      <c r="B12863" t="s">
        <v>3031</v>
      </c>
      <c r="C12863" t="s">
        <v>15406</v>
      </c>
      <c r="D12863" t="s">
        <v>16228</v>
      </c>
      <c r="E12863" t="s">
        <v>27458</v>
      </c>
      <c r="F12863" t="s">
        <v>28200</v>
      </c>
      <c r="G12863" t="s">
        <v>28205</v>
      </c>
      <c r="H12863" t="s">
        <v>28214</v>
      </c>
      <c r="I12863" t="s">
        <v>3797</v>
      </c>
      <c r="J12863" t="s">
        <v>28390</v>
      </c>
      <c r="K12863" t="s">
        <v>36830</v>
      </c>
      <c r="M12863" t="s">
        <v>40332</v>
      </c>
      <c r="N12863" t="s">
        <v>40436</v>
      </c>
      <c r="O12863" t="s">
        <v>40437</v>
      </c>
      <c r="P12863">
        <v>0</v>
      </c>
      <c r="Q12863">
        <v>5</v>
      </c>
      <c r="R12863" t="s">
        <v>40459</v>
      </c>
      <c r="S12863" t="s">
        <v>41455</v>
      </c>
      <c r="T12863" t="s">
        <v>42592</v>
      </c>
      <c r="U12863" t="s">
        <v>53164</v>
      </c>
      <c r="V12863" t="s">
        <v>55265</v>
      </c>
      <c r="W12863" t="s">
        <v>40332</v>
      </c>
      <c r="X12863" t="s">
        <v>40460</v>
      </c>
    </row>
    <row r="12864" spans="1:24">
      <c r="A12864">
        <f>HYPERLINK("https://www.philgeps.gov.ph/GEPSNONPILOT/Tender/SplashBidNoticeAbstractUI.aspx?menuIndex=3&amp;refID=7011021&amp;Result=3","7011021")</f>
        <v>0</v>
      </c>
      <c r="B12864" t="s">
        <v>1189</v>
      </c>
      <c r="C12864" t="s">
        <v>15407</v>
      </c>
      <c r="D12864" t="s">
        <v>16235</v>
      </c>
      <c r="E12864" t="s">
        <v>27459</v>
      </c>
      <c r="F12864" t="s">
        <v>28198</v>
      </c>
      <c r="G12864" t="s">
        <v>28205</v>
      </c>
      <c r="H12864" t="s">
        <v>28215</v>
      </c>
      <c r="I12864" t="s">
        <v>4505</v>
      </c>
      <c r="J12864" t="s">
        <v>36219</v>
      </c>
      <c r="K12864" t="s">
        <v>36701</v>
      </c>
      <c r="M12864" t="s">
        <v>40230</v>
      </c>
      <c r="N12864" t="s">
        <v>40436</v>
      </c>
      <c r="O12864" t="s">
        <v>40437</v>
      </c>
      <c r="Q12864">
        <v>7</v>
      </c>
      <c r="R12864" t="s">
        <v>40459</v>
      </c>
      <c r="S12864" t="s">
        <v>41036</v>
      </c>
      <c r="T12864" t="s">
        <v>42116</v>
      </c>
      <c r="U12864" t="s">
        <v>53165</v>
      </c>
      <c r="W12864" t="s">
        <v>40230</v>
      </c>
      <c r="X12864" t="s">
        <v>40460</v>
      </c>
    </row>
    <row r="12865" spans="1:24">
      <c r="A12865">
        <f>HYPERLINK("https://www.philgeps.gov.ph/GEPSNONPILOT/Tender/SplashBidNoticeAbstractUI.aspx?menuIndex=3&amp;refID=7010771&amp;Result=3","7010771")</f>
        <v>0</v>
      </c>
      <c r="B12865" t="s">
        <v>3032</v>
      </c>
      <c r="C12865" t="s">
        <v>15408</v>
      </c>
      <c r="D12865" t="s">
        <v>16236</v>
      </c>
      <c r="E12865" t="s">
        <v>27460</v>
      </c>
      <c r="F12865" t="s">
        <v>28198</v>
      </c>
      <c r="G12865" t="s">
        <v>28205</v>
      </c>
      <c r="H12865" t="s">
        <v>28214</v>
      </c>
      <c r="I12865" t="s">
        <v>3797</v>
      </c>
      <c r="J12865" t="s">
        <v>28363</v>
      </c>
      <c r="K12865" t="s">
        <v>36883</v>
      </c>
      <c r="M12865" t="s">
        <v>40333</v>
      </c>
      <c r="N12865" t="s">
        <v>40436</v>
      </c>
      <c r="O12865" t="s">
        <v>40437</v>
      </c>
      <c r="Q12865">
        <v>0</v>
      </c>
      <c r="R12865" t="s">
        <v>40459</v>
      </c>
      <c r="S12865" t="s">
        <v>41473</v>
      </c>
      <c r="T12865" t="s">
        <v>42133</v>
      </c>
      <c r="U12865" t="s">
        <v>53166</v>
      </c>
      <c r="W12865" t="s">
        <v>40333</v>
      </c>
      <c r="X12865" t="s">
        <v>40460</v>
      </c>
    </row>
    <row r="12866" spans="1:24">
      <c r="A12866">
        <f>HYPERLINK("https://www.philgeps.gov.ph/GEPSNONPILOT/Tender/SplashBidNoticeAbstractUI.aspx?menuIndex=3&amp;refID=7011054&amp;Result=3","7011054")</f>
        <v>0</v>
      </c>
      <c r="B12866" t="s">
        <v>215</v>
      </c>
      <c r="C12866" t="s">
        <v>15402</v>
      </c>
      <c r="D12866" t="s">
        <v>16218</v>
      </c>
      <c r="E12866" t="s">
        <v>27461</v>
      </c>
      <c r="F12866" t="s">
        <v>28198</v>
      </c>
      <c r="G12866" t="s">
        <v>28205</v>
      </c>
      <c r="H12866" t="s">
        <v>28215</v>
      </c>
      <c r="I12866" t="s">
        <v>28226</v>
      </c>
      <c r="J12866" t="s">
        <v>36220</v>
      </c>
      <c r="K12866" t="s">
        <v>36688</v>
      </c>
      <c r="M12866" t="s">
        <v>38271</v>
      </c>
      <c r="N12866" t="s">
        <v>40436</v>
      </c>
      <c r="O12866" t="s">
        <v>40437</v>
      </c>
      <c r="P12866">
        <v>0</v>
      </c>
      <c r="Q12866">
        <v>1</v>
      </c>
      <c r="R12866" t="s">
        <v>40459</v>
      </c>
      <c r="S12866" t="s">
        <v>41455</v>
      </c>
      <c r="T12866" t="s">
        <v>42431</v>
      </c>
      <c r="U12866" t="s">
        <v>53167</v>
      </c>
      <c r="W12866" t="s">
        <v>38271</v>
      </c>
      <c r="X12866" t="s">
        <v>40460</v>
      </c>
    </row>
    <row r="12867" spans="1:24">
      <c r="A12867">
        <f>HYPERLINK("https://www.philgeps.gov.ph/GEPSNONPILOT/Tender/SplashBidNoticeAbstractUI.aspx?menuIndex=3&amp;refID=7014038&amp;Result=3","7014038")</f>
        <v>0</v>
      </c>
      <c r="B12867" t="s">
        <v>2496</v>
      </c>
      <c r="C12867" t="s">
        <v>14464</v>
      </c>
      <c r="D12867" t="s">
        <v>16216</v>
      </c>
      <c r="E12867" t="s">
        <v>27462</v>
      </c>
      <c r="F12867" t="s">
        <v>28198</v>
      </c>
      <c r="G12867" t="s">
        <v>28205</v>
      </c>
      <c r="H12867" t="s">
        <v>28215</v>
      </c>
      <c r="I12867" t="s">
        <v>28222</v>
      </c>
      <c r="J12867" t="s">
        <v>33703</v>
      </c>
      <c r="K12867" t="s">
        <v>36697</v>
      </c>
      <c r="M12867" t="s">
        <v>39697</v>
      </c>
      <c r="N12867" t="s">
        <v>40436</v>
      </c>
      <c r="O12867" t="s">
        <v>40437</v>
      </c>
      <c r="P12867">
        <v>0</v>
      </c>
      <c r="Q12867">
        <v>10</v>
      </c>
      <c r="R12867" t="s">
        <v>40458</v>
      </c>
      <c r="S12867" t="s">
        <v>41445</v>
      </c>
      <c r="T12867" t="s">
        <v>42277</v>
      </c>
      <c r="U12867" t="s">
        <v>53168</v>
      </c>
      <c r="W12867" t="s">
        <v>39697</v>
      </c>
      <c r="X12867" t="s">
        <v>40459</v>
      </c>
    </row>
    <row r="12868" spans="1:24">
      <c r="A12868">
        <f>HYPERLINK("https://www.philgeps.gov.ph/GEPSNONPILOT/Tender/SplashBidNoticeAbstractUI.aspx?menuIndex=3&amp;refID=7013720&amp;Result=3","7013720")</f>
        <v>0</v>
      </c>
      <c r="B12868" t="s">
        <v>1215</v>
      </c>
      <c r="C12868" t="s">
        <v>15409</v>
      </c>
      <c r="D12868" t="s">
        <v>16238</v>
      </c>
      <c r="E12868" t="s">
        <v>27463</v>
      </c>
      <c r="F12868" t="s">
        <v>28198</v>
      </c>
      <c r="G12868" t="s">
        <v>28205</v>
      </c>
      <c r="H12868" t="s">
        <v>28215</v>
      </c>
      <c r="I12868" t="s">
        <v>28259</v>
      </c>
      <c r="J12868" t="s">
        <v>29632</v>
      </c>
      <c r="K12868" t="s">
        <v>36701</v>
      </c>
      <c r="L12868" t="s">
        <v>1215</v>
      </c>
      <c r="M12868" t="s">
        <v>38260</v>
      </c>
      <c r="N12868" t="s">
        <v>40436</v>
      </c>
      <c r="O12868" t="s">
        <v>40437</v>
      </c>
      <c r="P12868">
        <v>0</v>
      </c>
      <c r="Q12868">
        <v>3</v>
      </c>
      <c r="R12868" t="s">
        <v>40458</v>
      </c>
      <c r="S12868" t="s">
        <v>41445</v>
      </c>
      <c r="T12868" t="s">
        <v>42203</v>
      </c>
      <c r="U12868" t="s">
        <v>53169</v>
      </c>
      <c r="W12868" t="s">
        <v>38260</v>
      </c>
      <c r="X12868" t="s">
        <v>40459</v>
      </c>
    </row>
    <row r="12869" spans="1:24">
      <c r="A12869">
        <f>HYPERLINK("https://www.philgeps.gov.ph/GEPSNONPILOT/Tender/SplashBidNoticeAbstractUI.aspx?menuIndex=3&amp;refID=7013697&amp;Result=3","7013697")</f>
        <v>0</v>
      </c>
      <c r="B12869" t="s">
        <v>3033</v>
      </c>
      <c r="C12869" t="s">
        <v>15410</v>
      </c>
      <c r="D12869" t="s">
        <v>16246</v>
      </c>
      <c r="E12869" t="s">
        <v>27464</v>
      </c>
      <c r="F12869" t="s">
        <v>28198</v>
      </c>
      <c r="G12869" t="s">
        <v>28205</v>
      </c>
      <c r="H12869" t="s">
        <v>28216</v>
      </c>
      <c r="I12869" t="s">
        <v>28339</v>
      </c>
      <c r="J12869" t="s">
        <v>36221</v>
      </c>
      <c r="K12869" t="s">
        <v>36827</v>
      </c>
      <c r="M12869" t="s">
        <v>40334</v>
      </c>
      <c r="N12869" t="s">
        <v>40436</v>
      </c>
      <c r="O12869" t="s">
        <v>40437</v>
      </c>
      <c r="P12869">
        <v>0</v>
      </c>
      <c r="Q12869">
        <v>2</v>
      </c>
      <c r="R12869" t="s">
        <v>40458</v>
      </c>
      <c r="S12869" t="s">
        <v>41445</v>
      </c>
      <c r="T12869" t="s">
        <v>42233</v>
      </c>
      <c r="U12869" t="s">
        <v>53170</v>
      </c>
      <c r="W12869" t="s">
        <v>40334</v>
      </c>
      <c r="X12869" t="s">
        <v>40459</v>
      </c>
    </row>
    <row r="12870" spans="1:24">
      <c r="A12870">
        <f>HYPERLINK("https://www.philgeps.gov.ph/GEPSNONPILOT/Tender/SplashBidNoticeAbstractUI.aspx?menuIndex=3&amp;refID=7013773&amp;Result=3","7013773")</f>
        <v>0</v>
      </c>
      <c r="B12870" t="s">
        <v>1215</v>
      </c>
      <c r="C12870" t="s">
        <v>15411</v>
      </c>
      <c r="D12870" t="s">
        <v>16238</v>
      </c>
      <c r="E12870" t="s">
        <v>27465</v>
      </c>
      <c r="F12870" t="s">
        <v>28198</v>
      </c>
      <c r="G12870" t="s">
        <v>28205</v>
      </c>
      <c r="H12870" t="s">
        <v>28215</v>
      </c>
      <c r="I12870" t="s">
        <v>28256</v>
      </c>
      <c r="J12870" t="s">
        <v>28390</v>
      </c>
      <c r="K12870" t="s">
        <v>36694</v>
      </c>
      <c r="L12870" t="s">
        <v>1215</v>
      </c>
      <c r="M12870" t="s">
        <v>38260</v>
      </c>
      <c r="N12870" t="s">
        <v>40436</v>
      </c>
      <c r="O12870" t="s">
        <v>40437</v>
      </c>
      <c r="P12870">
        <v>0</v>
      </c>
      <c r="Q12870">
        <v>18</v>
      </c>
      <c r="R12870" t="s">
        <v>40458</v>
      </c>
      <c r="S12870" t="s">
        <v>41445</v>
      </c>
      <c r="T12870" t="s">
        <v>42203</v>
      </c>
      <c r="U12870" t="s">
        <v>53171</v>
      </c>
      <c r="W12870" t="s">
        <v>38260</v>
      </c>
      <c r="X12870" t="s">
        <v>40459</v>
      </c>
    </row>
    <row r="12871" spans="1:24">
      <c r="A12871">
        <f>HYPERLINK("https://www.philgeps.gov.ph/GEPSNONPILOT/Tender/SplashBidNoticeAbstractUI.aspx?menuIndex=3&amp;refID=7013075&amp;Result=3","7013075")</f>
        <v>0</v>
      </c>
      <c r="B12871" t="s">
        <v>1039</v>
      </c>
      <c r="C12871" t="s">
        <v>15412</v>
      </c>
      <c r="D12871" t="s">
        <v>16255</v>
      </c>
      <c r="E12871" t="s">
        <v>27466</v>
      </c>
      <c r="F12871" t="s">
        <v>28198</v>
      </c>
      <c r="G12871" t="s">
        <v>28205</v>
      </c>
      <c r="H12871" t="s">
        <v>28215</v>
      </c>
      <c r="I12871" t="s">
        <v>28225</v>
      </c>
      <c r="J12871" t="s">
        <v>36222</v>
      </c>
      <c r="K12871" t="s">
        <v>36701</v>
      </c>
      <c r="M12871" t="s">
        <v>38071</v>
      </c>
      <c r="N12871" t="s">
        <v>40436</v>
      </c>
      <c r="O12871" t="s">
        <v>40437</v>
      </c>
      <c r="Q12871">
        <v>4</v>
      </c>
      <c r="R12871" t="s">
        <v>40458</v>
      </c>
      <c r="S12871" t="s">
        <v>41474</v>
      </c>
      <c r="T12871" t="s">
        <v>42277</v>
      </c>
      <c r="U12871" t="s">
        <v>53172</v>
      </c>
      <c r="W12871" t="s">
        <v>38071</v>
      </c>
      <c r="X12871" t="s">
        <v>40459</v>
      </c>
    </row>
    <row r="12872" spans="1:24">
      <c r="A12872">
        <f>HYPERLINK("https://www.philgeps.gov.ph/GEPSNONPILOT/Tender/SplashBidNoticeAbstractUI.aspx?menuIndex=3&amp;refID=7013726&amp;Result=3","7013726")</f>
        <v>0</v>
      </c>
      <c r="B12872" t="s">
        <v>646</v>
      </c>
      <c r="C12872" t="s">
        <v>15413</v>
      </c>
      <c r="D12872" t="s">
        <v>16235</v>
      </c>
      <c r="E12872" t="s">
        <v>27467</v>
      </c>
      <c r="F12872" t="s">
        <v>28198</v>
      </c>
      <c r="G12872" t="s">
        <v>28205</v>
      </c>
      <c r="H12872" t="s">
        <v>28214</v>
      </c>
      <c r="I12872" t="s">
        <v>3797</v>
      </c>
      <c r="J12872" t="s">
        <v>36223</v>
      </c>
      <c r="K12872" t="s">
        <v>36690</v>
      </c>
      <c r="M12872" t="s">
        <v>37640</v>
      </c>
      <c r="N12872" t="s">
        <v>40436</v>
      </c>
      <c r="O12872" t="s">
        <v>40437</v>
      </c>
      <c r="P12872">
        <v>0</v>
      </c>
      <c r="Q12872">
        <v>1</v>
      </c>
      <c r="R12872" t="s">
        <v>40458</v>
      </c>
      <c r="S12872" t="s">
        <v>41445</v>
      </c>
      <c r="T12872" t="s">
        <v>42184</v>
      </c>
      <c r="U12872" t="s">
        <v>53173</v>
      </c>
      <c r="W12872" t="s">
        <v>37640</v>
      </c>
      <c r="X12872" t="s">
        <v>40459</v>
      </c>
    </row>
    <row r="12873" spans="1:24">
      <c r="A12873">
        <f>HYPERLINK("https://www.philgeps.gov.ph/GEPSNONPILOT/Tender/SplashBidNoticeAbstractUI.aspx?menuIndex=3&amp;refID=7013644&amp;Result=3","7013644")</f>
        <v>0</v>
      </c>
      <c r="B12873" t="s">
        <v>1215</v>
      </c>
      <c r="C12873" t="s">
        <v>15414</v>
      </c>
      <c r="D12873" t="s">
        <v>16238</v>
      </c>
      <c r="E12873" t="s">
        <v>27468</v>
      </c>
      <c r="F12873" t="s">
        <v>28198</v>
      </c>
      <c r="G12873" t="s">
        <v>28205</v>
      </c>
      <c r="H12873" t="s">
        <v>28215</v>
      </c>
      <c r="I12873" t="s">
        <v>28247</v>
      </c>
      <c r="J12873" t="s">
        <v>28921</v>
      </c>
      <c r="K12873" t="s">
        <v>36687</v>
      </c>
      <c r="L12873" t="s">
        <v>1215</v>
      </c>
      <c r="M12873" t="s">
        <v>38260</v>
      </c>
      <c r="N12873" t="s">
        <v>40436</v>
      </c>
      <c r="O12873" t="s">
        <v>40437</v>
      </c>
      <c r="P12873">
        <v>0</v>
      </c>
      <c r="Q12873">
        <v>31</v>
      </c>
      <c r="R12873" t="s">
        <v>40458</v>
      </c>
      <c r="S12873" t="s">
        <v>41445</v>
      </c>
      <c r="T12873" t="s">
        <v>42203</v>
      </c>
      <c r="U12873" t="s">
        <v>53174</v>
      </c>
      <c r="W12873" t="s">
        <v>38260</v>
      </c>
      <c r="X12873" t="s">
        <v>40459</v>
      </c>
    </row>
    <row r="12874" spans="1:24">
      <c r="A12874">
        <f>HYPERLINK("https://www.philgeps.gov.ph/GEPSNONPILOT/Tender/SplashBidNoticeAbstractUI.aspx?menuIndex=3&amp;refID=7013151&amp;Result=3","7013151")</f>
        <v>0</v>
      </c>
      <c r="B12874" t="s">
        <v>453</v>
      </c>
      <c r="C12874" t="s">
        <v>15415</v>
      </c>
      <c r="D12874" t="s">
        <v>16214</v>
      </c>
      <c r="E12874" t="s">
        <v>27469</v>
      </c>
      <c r="F12874" t="s">
        <v>28198</v>
      </c>
      <c r="G12874" t="s">
        <v>28205</v>
      </c>
      <c r="H12874" t="s">
        <v>28215</v>
      </c>
      <c r="I12874" t="s">
        <v>28245</v>
      </c>
      <c r="J12874" t="s">
        <v>36224</v>
      </c>
      <c r="K12874" t="s">
        <v>36692</v>
      </c>
      <c r="M12874" t="s">
        <v>40335</v>
      </c>
      <c r="N12874" t="s">
        <v>40436</v>
      </c>
      <c r="O12874" t="s">
        <v>40437</v>
      </c>
      <c r="Q12874">
        <v>4</v>
      </c>
      <c r="R12874" t="s">
        <v>40458</v>
      </c>
      <c r="S12874" t="s">
        <v>41475</v>
      </c>
      <c r="T12874" t="s">
        <v>42230</v>
      </c>
      <c r="U12874" t="s">
        <v>53175</v>
      </c>
      <c r="W12874" t="s">
        <v>40335</v>
      </c>
      <c r="X12874" t="s">
        <v>40459</v>
      </c>
    </row>
    <row r="12875" spans="1:24">
      <c r="A12875">
        <f>HYPERLINK("https://www.philgeps.gov.ph/GEPSNONPILOT/Tender/SplashBidNoticeAbstractUI.aspx?menuIndex=3&amp;refID=7013626&amp;Result=3","7013626")</f>
        <v>0</v>
      </c>
      <c r="B12875" t="s">
        <v>1112</v>
      </c>
      <c r="C12875" t="s">
        <v>15416</v>
      </c>
      <c r="D12875" t="s">
        <v>16191</v>
      </c>
      <c r="E12875" t="s">
        <v>27470</v>
      </c>
      <c r="F12875" t="s">
        <v>28198</v>
      </c>
      <c r="G12875" t="s">
        <v>28207</v>
      </c>
      <c r="H12875" t="s">
        <v>28215</v>
      </c>
      <c r="I12875" t="s">
        <v>28259</v>
      </c>
      <c r="J12875" t="s">
        <v>36225</v>
      </c>
      <c r="K12875" t="s">
        <v>36707</v>
      </c>
      <c r="M12875" t="s">
        <v>38149</v>
      </c>
      <c r="N12875" t="s">
        <v>40436</v>
      </c>
      <c r="O12875" t="s">
        <v>40437</v>
      </c>
      <c r="Q12875">
        <v>6</v>
      </c>
      <c r="R12875" t="s">
        <v>40458</v>
      </c>
      <c r="S12875" t="s">
        <v>41476</v>
      </c>
      <c r="T12875" t="s">
        <v>42115</v>
      </c>
      <c r="U12875" t="s">
        <v>53176</v>
      </c>
      <c r="V12875" t="s">
        <v>54089</v>
      </c>
      <c r="W12875" t="s">
        <v>38149</v>
      </c>
      <c r="X12875" t="s">
        <v>40459</v>
      </c>
    </row>
    <row r="12876" spans="1:24">
      <c r="A12876">
        <f>HYPERLINK("https://www.philgeps.gov.ph/GEPSNONPILOT/Tender/SplashBidNoticeAbstractUI.aspx?menuIndex=3&amp;refID=7013067&amp;Result=3","7013067")</f>
        <v>0</v>
      </c>
      <c r="B12876" t="s">
        <v>3021</v>
      </c>
      <c r="C12876" t="s">
        <v>15417</v>
      </c>
      <c r="D12876" t="s">
        <v>16198</v>
      </c>
      <c r="E12876" t="s">
        <v>27471</v>
      </c>
      <c r="F12876" t="s">
        <v>28198</v>
      </c>
      <c r="G12876" t="s">
        <v>28205</v>
      </c>
      <c r="H12876" t="s">
        <v>28215</v>
      </c>
      <c r="I12876" t="s">
        <v>28243</v>
      </c>
      <c r="J12876" t="s">
        <v>36226</v>
      </c>
      <c r="K12876" t="s">
        <v>36692</v>
      </c>
      <c r="M12876" t="s">
        <v>40322</v>
      </c>
      <c r="N12876" t="s">
        <v>40436</v>
      </c>
      <c r="O12876" t="s">
        <v>40437</v>
      </c>
      <c r="P12876">
        <v>0</v>
      </c>
      <c r="Q12876">
        <v>4</v>
      </c>
      <c r="R12876" t="s">
        <v>40458</v>
      </c>
      <c r="S12876" t="s">
        <v>41445</v>
      </c>
      <c r="T12876" t="s">
        <v>42233</v>
      </c>
      <c r="U12876" t="s">
        <v>53177</v>
      </c>
      <c r="W12876" t="s">
        <v>40322</v>
      </c>
      <c r="X12876" t="s">
        <v>40459</v>
      </c>
    </row>
    <row r="12877" spans="1:24">
      <c r="A12877">
        <f>HYPERLINK("https://www.philgeps.gov.ph/GEPSNONPILOT/Tender/SplashBidNoticeAbstractUI.aspx?menuIndex=3&amp;refID=7016398&amp;Result=3","7016398")</f>
        <v>0</v>
      </c>
      <c r="B12877" t="s">
        <v>2448</v>
      </c>
      <c r="C12877" t="s">
        <v>15418</v>
      </c>
      <c r="D12877" t="s">
        <v>16260</v>
      </c>
      <c r="E12877" t="s">
        <v>27472</v>
      </c>
      <c r="F12877" t="s">
        <v>28198</v>
      </c>
      <c r="G12877" t="s">
        <v>28205</v>
      </c>
      <c r="H12877" t="s">
        <v>28214</v>
      </c>
      <c r="I12877" t="s">
        <v>3797</v>
      </c>
      <c r="J12877" t="s">
        <v>36227</v>
      </c>
      <c r="K12877" t="s">
        <v>36711</v>
      </c>
      <c r="M12877" t="s">
        <v>39638</v>
      </c>
      <c r="N12877" t="s">
        <v>40436</v>
      </c>
      <c r="O12877" t="s">
        <v>40437</v>
      </c>
      <c r="P12877">
        <v>0</v>
      </c>
      <c r="Q12877">
        <v>0</v>
      </c>
      <c r="R12877" t="s">
        <v>40457</v>
      </c>
      <c r="S12877" t="s">
        <v>41386</v>
      </c>
      <c r="T12877" t="s">
        <v>42233</v>
      </c>
      <c r="U12877" t="s">
        <v>53097</v>
      </c>
      <c r="W12877" t="s">
        <v>39638</v>
      </c>
      <c r="X12877" t="s">
        <v>40458</v>
      </c>
    </row>
    <row r="12878" spans="1:24">
      <c r="A12878">
        <f>HYPERLINK("https://www.philgeps.gov.ph/GEPSNONPILOT/Tender/SplashBidNoticeAbstractUI.aspx?menuIndex=3&amp;refID=7013601&amp;Result=3","7013601")</f>
        <v>0</v>
      </c>
      <c r="B12878" t="s">
        <v>1114</v>
      </c>
      <c r="C12878" t="s">
        <v>15419</v>
      </c>
      <c r="D12878" t="s">
        <v>16228</v>
      </c>
      <c r="E12878" t="s">
        <v>27473</v>
      </c>
      <c r="F12878" t="s">
        <v>28198</v>
      </c>
      <c r="G12878" t="s">
        <v>28205</v>
      </c>
      <c r="H12878" t="s">
        <v>28214</v>
      </c>
      <c r="I12878" t="s">
        <v>3797</v>
      </c>
      <c r="J12878" t="s">
        <v>28398</v>
      </c>
      <c r="K12878" t="s">
        <v>36715</v>
      </c>
      <c r="M12878" t="s">
        <v>38151</v>
      </c>
      <c r="N12878" t="s">
        <v>40436</v>
      </c>
      <c r="O12878" t="s">
        <v>40437</v>
      </c>
      <c r="P12878">
        <v>0</v>
      </c>
      <c r="Q12878">
        <v>0</v>
      </c>
      <c r="R12878" t="s">
        <v>40458</v>
      </c>
      <c r="S12878" t="s">
        <v>41445</v>
      </c>
      <c r="T12878" t="s">
        <v>42233</v>
      </c>
      <c r="U12878" t="s">
        <v>51654</v>
      </c>
      <c r="W12878" t="s">
        <v>38151</v>
      </c>
      <c r="X12878" t="s">
        <v>40459</v>
      </c>
    </row>
    <row r="12879" spans="1:24">
      <c r="A12879">
        <f>HYPERLINK("https://www.philgeps.gov.ph/GEPSNONPILOT/Tender/SplashBidNoticeAbstractUI.aspx?menuIndex=3&amp;refID=7016392&amp;Result=3","7016392")</f>
        <v>0</v>
      </c>
      <c r="B12879" t="s">
        <v>2448</v>
      </c>
      <c r="C12879" t="s">
        <v>15420</v>
      </c>
      <c r="D12879" t="s">
        <v>16260</v>
      </c>
      <c r="E12879" t="s">
        <v>27474</v>
      </c>
      <c r="F12879" t="s">
        <v>28198</v>
      </c>
      <c r="G12879" t="s">
        <v>28205</v>
      </c>
      <c r="H12879" t="s">
        <v>28214</v>
      </c>
      <c r="I12879" t="s">
        <v>3797</v>
      </c>
      <c r="J12879" t="s">
        <v>36228</v>
      </c>
      <c r="K12879" t="s">
        <v>36714</v>
      </c>
      <c r="M12879" t="s">
        <v>39638</v>
      </c>
      <c r="N12879" t="s">
        <v>40436</v>
      </c>
      <c r="O12879" t="s">
        <v>40437</v>
      </c>
      <c r="P12879">
        <v>0</v>
      </c>
      <c r="Q12879">
        <v>7</v>
      </c>
      <c r="R12879" t="s">
        <v>40457</v>
      </c>
      <c r="S12879" t="s">
        <v>41386</v>
      </c>
      <c r="T12879" t="s">
        <v>42233</v>
      </c>
      <c r="U12879" t="s">
        <v>53097</v>
      </c>
      <c r="W12879" t="s">
        <v>39638</v>
      </c>
      <c r="X12879" t="s">
        <v>40458</v>
      </c>
    </row>
    <row r="12880" spans="1:24">
      <c r="A12880">
        <f>HYPERLINK("https://www.philgeps.gov.ph/GEPSNONPILOT/Tender/SplashBidNoticeAbstractUI.aspx?menuIndex=3&amp;refID=7012877&amp;Result=3","7012877")</f>
        <v>0</v>
      </c>
      <c r="B12880" t="s">
        <v>848</v>
      </c>
      <c r="C12880" t="s">
        <v>15421</v>
      </c>
      <c r="D12880" t="s">
        <v>16219</v>
      </c>
      <c r="E12880" t="s">
        <v>27475</v>
      </c>
      <c r="F12880" t="s">
        <v>28198</v>
      </c>
      <c r="G12880" t="s">
        <v>28205</v>
      </c>
      <c r="H12880" t="s">
        <v>28215</v>
      </c>
      <c r="I12880" t="s">
        <v>5100</v>
      </c>
      <c r="J12880" t="s">
        <v>36229</v>
      </c>
      <c r="K12880" t="s">
        <v>36689</v>
      </c>
      <c r="M12880" t="s">
        <v>38541</v>
      </c>
      <c r="N12880" t="s">
        <v>40436</v>
      </c>
      <c r="O12880" t="s">
        <v>40437</v>
      </c>
      <c r="P12880">
        <v>0</v>
      </c>
      <c r="Q12880">
        <v>1</v>
      </c>
      <c r="R12880" t="s">
        <v>40458</v>
      </c>
      <c r="S12880" t="s">
        <v>41445</v>
      </c>
      <c r="T12880" t="s">
        <v>42133</v>
      </c>
      <c r="U12880" t="s">
        <v>53178</v>
      </c>
      <c r="W12880" t="s">
        <v>38541</v>
      </c>
      <c r="X12880" t="s">
        <v>40459</v>
      </c>
    </row>
    <row r="12881" spans="1:24">
      <c r="A12881">
        <f>HYPERLINK("https://www.philgeps.gov.ph/GEPSNONPILOT/Tender/SplashBidNoticeAbstractUI.aspx?menuIndex=3&amp;refID=7011658&amp;Result=3","7011658")</f>
        <v>0</v>
      </c>
      <c r="B12881" t="s">
        <v>3034</v>
      </c>
      <c r="C12881" t="s">
        <v>14471</v>
      </c>
      <c r="D12881" t="s">
        <v>16196</v>
      </c>
      <c r="E12881" t="s">
        <v>27476</v>
      </c>
      <c r="F12881" t="s">
        <v>28198</v>
      </c>
      <c r="G12881" t="s">
        <v>28205</v>
      </c>
      <c r="H12881" t="s">
        <v>28215</v>
      </c>
      <c r="I12881" t="s">
        <v>8888</v>
      </c>
      <c r="J12881" t="s">
        <v>36230</v>
      </c>
      <c r="K12881" t="s">
        <v>36701</v>
      </c>
      <c r="M12881" t="s">
        <v>40336</v>
      </c>
      <c r="N12881" t="s">
        <v>40436</v>
      </c>
      <c r="O12881" t="s">
        <v>40437</v>
      </c>
      <c r="P12881">
        <v>0</v>
      </c>
      <c r="Q12881">
        <v>8</v>
      </c>
      <c r="R12881" t="s">
        <v>40459</v>
      </c>
      <c r="S12881" t="s">
        <v>41455</v>
      </c>
      <c r="T12881" t="s">
        <v>42456</v>
      </c>
      <c r="U12881" t="s">
        <v>53179</v>
      </c>
      <c r="W12881" t="s">
        <v>40336</v>
      </c>
      <c r="X12881" t="s">
        <v>40460</v>
      </c>
    </row>
    <row r="12882" spans="1:24">
      <c r="A12882">
        <f>HYPERLINK("https://www.philgeps.gov.ph/GEPSNONPILOT/Tender/SplashBidNoticeAbstractUI.aspx?menuIndex=3&amp;refID=7016421&amp;Result=3","7016421")</f>
        <v>0</v>
      </c>
      <c r="B12882" t="s">
        <v>2352</v>
      </c>
      <c r="C12882" t="s">
        <v>15422</v>
      </c>
      <c r="D12882" t="s">
        <v>16239</v>
      </c>
      <c r="E12882" t="s">
        <v>27477</v>
      </c>
      <c r="F12882" t="s">
        <v>28198</v>
      </c>
      <c r="G12882" t="s">
        <v>28205</v>
      </c>
      <c r="H12882" t="s">
        <v>28214</v>
      </c>
      <c r="I12882" t="s">
        <v>3797</v>
      </c>
      <c r="J12882" t="s">
        <v>32253</v>
      </c>
      <c r="K12882" t="s">
        <v>36976</v>
      </c>
      <c r="M12882" t="s">
        <v>39532</v>
      </c>
      <c r="N12882" t="s">
        <v>40436</v>
      </c>
      <c r="O12882" t="s">
        <v>40437</v>
      </c>
      <c r="Q12882">
        <v>31</v>
      </c>
      <c r="R12882" t="s">
        <v>40457</v>
      </c>
      <c r="S12882" t="s">
        <v>41477</v>
      </c>
      <c r="T12882" t="s">
        <v>42168</v>
      </c>
      <c r="U12882" t="s">
        <v>53180</v>
      </c>
      <c r="V12882" t="s">
        <v>55266</v>
      </c>
      <c r="W12882" t="s">
        <v>39532</v>
      </c>
      <c r="X12882" t="s">
        <v>40458</v>
      </c>
    </row>
    <row r="12883" spans="1:24">
      <c r="A12883">
        <f>HYPERLINK("https://www.philgeps.gov.ph/GEPSNONPILOT/Tender/SplashBidNoticeAbstractUI.aspx?menuIndex=3&amp;refID=7016405&amp;Result=3","7016405")</f>
        <v>0</v>
      </c>
      <c r="B12883" t="s">
        <v>2448</v>
      </c>
      <c r="C12883" t="s">
        <v>15423</v>
      </c>
      <c r="D12883" t="s">
        <v>16260</v>
      </c>
      <c r="E12883" t="s">
        <v>27478</v>
      </c>
      <c r="F12883" t="s">
        <v>28198</v>
      </c>
      <c r="G12883" t="s">
        <v>28205</v>
      </c>
      <c r="H12883" t="s">
        <v>28214</v>
      </c>
      <c r="I12883" t="s">
        <v>3797</v>
      </c>
      <c r="J12883" t="s">
        <v>36231</v>
      </c>
      <c r="K12883" t="s">
        <v>36898</v>
      </c>
      <c r="M12883" t="s">
        <v>39638</v>
      </c>
      <c r="N12883" t="s">
        <v>40436</v>
      </c>
      <c r="O12883" t="s">
        <v>40437</v>
      </c>
      <c r="P12883">
        <v>0</v>
      </c>
      <c r="Q12883">
        <v>9</v>
      </c>
      <c r="R12883" t="s">
        <v>40457</v>
      </c>
      <c r="S12883" t="s">
        <v>41386</v>
      </c>
      <c r="T12883" t="s">
        <v>42233</v>
      </c>
      <c r="U12883" t="s">
        <v>53097</v>
      </c>
      <c r="W12883" t="s">
        <v>39638</v>
      </c>
      <c r="X12883" t="s">
        <v>40458</v>
      </c>
    </row>
    <row r="12884" spans="1:24">
      <c r="A12884">
        <f>HYPERLINK("https://www.philgeps.gov.ph/GEPSNONPILOT/Tender/SplashBidNoticeAbstractUI.aspx?menuIndex=3&amp;refID=7009285&amp;Result=3","7009285")</f>
        <v>0</v>
      </c>
      <c r="B12884" t="s">
        <v>935</v>
      </c>
      <c r="C12884" t="s">
        <v>15424</v>
      </c>
      <c r="D12884" t="s">
        <v>16210</v>
      </c>
      <c r="E12884" t="s">
        <v>27479</v>
      </c>
      <c r="F12884" t="s">
        <v>28198</v>
      </c>
      <c r="G12884" t="s">
        <v>28205</v>
      </c>
      <c r="H12884" t="s">
        <v>28215</v>
      </c>
      <c r="I12884" t="s">
        <v>28234</v>
      </c>
      <c r="J12884" t="s">
        <v>32388</v>
      </c>
      <c r="K12884" t="s">
        <v>36689</v>
      </c>
      <c r="M12884" t="s">
        <v>38929</v>
      </c>
      <c r="N12884" t="s">
        <v>40436</v>
      </c>
      <c r="O12884" t="s">
        <v>40437</v>
      </c>
      <c r="Q12884">
        <v>11</v>
      </c>
      <c r="R12884" t="s">
        <v>40460</v>
      </c>
      <c r="S12884" t="s">
        <v>41478</v>
      </c>
      <c r="T12884" t="s">
        <v>42148</v>
      </c>
      <c r="U12884" t="s">
        <v>47268</v>
      </c>
      <c r="V12884" t="s">
        <v>55267</v>
      </c>
      <c r="W12884" t="s">
        <v>38929</v>
      </c>
      <c r="X12884" t="s">
        <v>40466</v>
      </c>
    </row>
    <row r="12885" spans="1:24">
      <c r="A12885">
        <f>HYPERLINK("https://www.philgeps.gov.ph/GEPSNONPILOT/Tender/SplashBidNoticeAbstractUI.aspx?menuIndex=3&amp;refID=7009381&amp;Result=3","7009381")</f>
        <v>0</v>
      </c>
      <c r="B12885" t="s">
        <v>1745</v>
      </c>
      <c r="C12885" t="s">
        <v>15425</v>
      </c>
      <c r="D12885" t="s">
        <v>16243</v>
      </c>
      <c r="E12885" t="s">
        <v>27480</v>
      </c>
      <c r="F12885" t="s">
        <v>28198</v>
      </c>
      <c r="G12885" t="s">
        <v>28205</v>
      </c>
      <c r="H12885" t="s">
        <v>28215</v>
      </c>
      <c r="I12885" t="s">
        <v>6051</v>
      </c>
      <c r="J12885" t="s">
        <v>30182</v>
      </c>
      <c r="K12885" t="s">
        <v>36694</v>
      </c>
      <c r="M12885" t="s">
        <v>38857</v>
      </c>
      <c r="N12885" t="s">
        <v>40436</v>
      </c>
      <c r="O12885" t="s">
        <v>40437</v>
      </c>
      <c r="Q12885">
        <v>1</v>
      </c>
      <c r="R12885" t="s">
        <v>40460</v>
      </c>
      <c r="S12885" t="s">
        <v>41479</v>
      </c>
      <c r="T12885" t="s">
        <v>42188</v>
      </c>
      <c r="U12885" t="s">
        <v>53181</v>
      </c>
      <c r="W12885" t="s">
        <v>38857</v>
      </c>
      <c r="X12885" t="s">
        <v>40461</v>
      </c>
    </row>
    <row r="12886" spans="1:24">
      <c r="A12886">
        <f>HYPERLINK("https://www.philgeps.gov.ph/GEPSNONPILOT/Tender/SplashBidNoticeAbstractUI.aspx?menuIndex=3&amp;refID=7016419&amp;Result=3","7016419")</f>
        <v>0</v>
      </c>
      <c r="B12886" t="s">
        <v>720</v>
      </c>
      <c r="C12886" t="s">
        <v>15426</v>
      </c>
      <c r="D12886" t="s">
        <v>16187</v>
      </c>
      <c r="E12886" t="s">
        <v>27481</v>
      </c>
      <c r="F12886" t="s">
        <v>28198</v>
      </c>
      <c r="G12886" t="s">
        <v>28205</v>
      </c>
      <c r="H12886" t="s">
        <v>28214</v>
      </c>
      <c r="I12886" t="s">
        <v>3797</v>
      </c>
      <c r="J12886" t="s">
        <v>36232</v>
      </c>
      <c r="K12886" t="s">
        <v>36692</v>
      </c>
      <c r="M12886" t="s">
        <v>37721</v>
      </c>
      <c r="N12886" t="s">
        <v>40436</v>
      </c>
      <c r="O12886" t="s">
        <v>40437</v>
      </c>
      <c r="P12886">
        <v>0</v>
      </c>
      <c r="Q12886">
        <v>0</v>
      </c>
      <c r="R12886" t="s">
        <v>40457</v>
      </c>
      <c r="S12886" t="s">
        <v>41386</v>
      </c>
      <c r="T12886" t="s">
        <v>42233</v>
      </c>
      <c r="U12886" t="s">
        <v>53182</v>
      </c>
      <c r="V12886" t="s">
        <v>53956</v>
      </c>
      <c r="W12886" t="s">
        <v>37721</v>
      </c>
      <c r="X12886" t="s">
        <v>40458</v>
      </c>
    </row>
    <row r="12887" spans="1:24">
      <c r="A12887">
        <f>HYPERLINK("https://www.philgeps.gov.ph/GEPSNONPILOT/Tender/SplashBidNoticeAbstractUI.aspx?menuIndex=3&amp;refID=7016418&amp;Result=3","7016418")</f>
        <v>0</v>
      </c>
      <c r="B12887" t="s">
        <v>2448</v>
      </c>
      <c r="C12887" t="s">
        <v>15427</v>
      </c>
      <c r="D12887" t="s">
        <v>16260</v>
      </c>
      <c r="E12887" t="s">
        <v>27482</v>
      </c>
      <c r="F12887" t="s">
        <v>28198</v>
      </c>
      <c r="G12887" t="s">
        <v>28205</v>
      </c>
      <c r="H12887" t="s">
        <v>28214</v>
      </c>
      <c r="I12887" t="s">
        <v>3797</v>
      </c>
      <c r="J12887" t="s">
        <v>36233</v>
      </c>
      <c r="K12887" t="s">
        <v>36921</v>
      </c>
      <c r="M12887" t="s">
        <v>39638</v>
      </c>
      <c r="N12887" t="s">
        <v>40436</v>
      </c>
      <c r="O12887" t="s">
        <v>40437</v>
      </c>
      <c r="P12887">
        <v>0</v>
      </c>
      <c r="Q12887">
        <v>4</v>
      </c>
      <c r="R12887" t="s">
        <v>40457</v>
      </c>
      <c r="S12887" t="s">
        <v>41386</v>
      </c>
      <c r="T12887" t="s">
        <v>42233</v>
      </c>
      <c r="U12887" t="s">
        <v>53097</v>
      </c>
      <c r="W12887" t="s">
        <v>39638</v>
      </c>
      <c r="X12887" t="s">
        <v>40458</v>
      </c>
    </row>
    <row r="12888" spans="1:24">
      <c r="A12888">
        <f>HYPERLINK("https://www.philgeps.gov.ph/GEPSNONPILOT/Tender/SplashBidNoticeAbstractUI.aspx?menuIndex=3&amp;refID=7009446&amp;Result=3","7009446")</f>
        <v>0</v>
      </c>
      <c r="B12888" t="s">
        <v>1745</v>
      </c>
      <c r="C12888" t="s">
        <v>15428</v>
      </c>
      <c r="D12888" t="s">
        <v>16248</v>
      </c>
      <c r="E12888" t="s">
        <v>27483</v>
      </c>
      <c r="F12888" t="s">
        <v>28198</v>
      </c>
      <c r="G12888" t="s">
        <v>28205</v>
      </c>
      <c r="H12888" t="s">
        <v>28215</v>
      </c>
      <c r="I12888" t="s">
        <v>6051</v>
      </c>
      <c r="J12888" t="s">
        <v>36234</v>
      </c>
      <c r="K12888" t="s">
        <v>36694</v>
      </c>
      <c r="M12888" t="s">
        <v>38857</v>
      </c>
      <c r="N12888" t="s">
        <v>40436</v>
      </c>
      <c r="O12888" t="s">
        <v>40437</v>
      </c>
      <c r="Q12888">
        <v>4</v>
      </c>
      <c r="R12888" t="s">
        <v>40460</v>
      </c>
      <c r="S12888" t="s">
        <v>41480</v>
      </c>
      <c r="T12888" t="s">
        <v>42188</v>
      </c>
      <c r="U12888" t="s">
        <v>53183</v>
      </c>
      <c r="W12888" t="s">
        <v>38857</v>
      </c>
      <c r="X12888" t="s">
        <v>40461</v>
      </c>
    </row>
    <row r="12889" spans="1:24">
      <c r="A12889">
        <f>HYPERLINK("https://www.philgeps.gov.ph/GEPSNONPILOT/Tender/SplashBidNoticeAbstractUI.aspx?menuIndex=3&amp;refID=7016380&amp;Result=3","7016380")</f>
        <v>0</v>
      </c>
      <c r="B12889" t="s">
        <v>1820</v>
      </c>
      <c r="C12889" t="s">
        <v>15429</v>
      </c>
      <c r="D12889" t="s">
        <v>16199</v>
      </c>
      <c r="E12889" t="s">
        <v>27484</v>
      </c>
      <c r="F12889" t="s">
        <v>28198</v>
      </c>
      <c r="G12889" t="s">
        <v>28205</v>
      </c>
      <c r="H12889" t="s">
        <v>28215</v>
      </c>
      <c r="I12889" t="s">
        <v>4200</v>
      </c>
      <c r="J12889" t="s">
        <v>36235</v>
      </c>
      <c r="K12889" t="s">
        <v>36694</v>
      </c>
      <c r="M12889" t="s">
        <v>38941</v>
      </c>
      <c r="N12889" t="s">
        <v>40436</v>
      </c>
      <c r="O12889" t="s">
        <v>40437</v>
      </c>
      <c r="P12889">
        <v>0</v>
      </c>
      <c r="Q12889">
        <v>8</v>
      </c>
      <c r="R12889" t="s">
        <v>40457</v>
      </c>
      <c r="S12889" t="s">
        <v>41386</v>
      </c>
      <c r="T12889" t="s">
        <v>42205</v>
      </c>
      <c r="U12889" t="s">
        <v>53184</v>
      </c>
      <c r="V12889" t="s">
        <v>55268</v>
      </c>
      <c r="W12889" t="s">
        <v>38941</v>
      </c>
      <c r="X12889" t="s">
        <v>40458</v>
      </c>
    </row>
    <row r="12890" spans="1:24">
      <c r="A12890">
        <f>HYPERLINK("https://www.philgeps.gov.ph/GEPSNONPILOT/Tender/SplashBidNoticeAbstractUI.aspx?menuIndex=3&amp;refID=7013780&amp;Result=3","7013780")</f>
        <v>0</v>
      </c>
      <c r="B12890" t="s">
        <v>2488</v>
      </c>
      <c r="C12890" t="s">
        <v>15430</v>
      </c>
      <c r="E12890" t="s">
        <v>27485</v>
      </c>
      <c r="F12890" t="s">
        <v>28198</v>
      </c>
      <c r="G12890" t="s">
        <v>28205</v>
      </c>
      <c r="H12890" t="s">
        <v>28214</v>
      </c>
      <c r="I12890" t="s">
        <v>3797</v>
      </c>
      <c r="J12890" t="s">
        <v>36236</v>
      </c>
      <c r="K12890" t="s">
        <v>36689</v>
      </c>
      <c r="M12890" t="s">
        <v>39687</v>
      </c>
      <c r="N12890" t="s">
        <v>40436</v>
      </c>
      <c r="O12890" t="s">
        <v>40437</v>
      </c>
      <c r="Q12890">
        <v>3</v>
      </c>
      <c r="R12890" t="s">
        <v>40458</v>
      </c>
      <c r="S12890" t="s">
        <v>40614</v>
      </c>
      <c r="T12890" t="s">
        <v>42101</v>
      </c>
      <c r="U12890" t="s">
        <v>53185</v>
      </c>
      <c r="W12890" t="s">
        <v>55516</v>
      </c>
      <c r="X12890" t="s">
        <v>40459</v>
      </c>
    </row>
    <row r="12891" spans="1:24">
      <c r="A12891">
        <f>HYPERLINK("https://www.philgeps.gov.ph/GEPSNONPILOT/Tender/SplashBidNoticeAbstractUI.aspx?menuIndex=3&amp;refID=7009431&amp;Result=3","7009431")</f>
        <v>0</v>
      </c>
      <c r="B12891" t="s">
        <v>1745</v>
      </c>
      <c r="C12891" t="s">
        <v>15431</v>
      </c>
      <c r="D12891" t="s">
        <v>16248</v>
      </c>
      <c r="E12891" t="s">
        <v>27486</v>
      </c>
      <c r="F12891" t="s">
        <v>28198</v>
      </c>
      <c r="G12891" t="s">
        <v>28205</v>
      </c>
      <c r="H12891" t="s">
        <v>28215</v>
      </c>
      <c r="I12891" t="s">
        <v>6051</v>
      </c>
      <c r="J12891" t="s">
        <v>32217</v>
      </c>
      <c r="K12891" t="s">
        <v>36694</v>
      </c>
      <c r="M12891" t="s">
        <v>38857</v>
      </c>
      <c r="N12891" t="s">
        <v>40436</v>
      </c>
      <c r="O12891" t="s">
        <v>40437</v>
      </c>
      <c r="Q12891">
        <v>5</v>
      </c>
      <c r="R12891" t="s">
        <v>40460</v>
      </c>
      <c r="S12891" t="s">
        <v>41481</v>
      </c>
      <c r="T12891" t="s">
        <v>42188</v>
      </c>
      <c r="U12891" t="s">
        <v>53186</v>
      </c>
      <c r="W12891" t="s">
        <v>38857</v>
      </c>
      <c r="X12891" t="s">
        <v>40461</v>
      </c>
    </row>
    <row r="12892" spans="1:24">
      <c r="A12892">
        <f>HYPERLINK("https://www.philgeps.gov.ph/GEPSNONPILOT/Tender/SplashBidNoticeAbstractUI.aspx?menuIndex=3&amp;refID=7009090&amp;Result=3","7009090")</f>
        <v>0</v>
      </c>
      <c r="B12892" t="s">
        <v>3035</v>
      </c>
      <c r="C12892" t="s">
        <v>15432</v>
      </c>
      <c r="D12892" t="s">
        <v>16195</v>
      </c>
      <c r="E12892" t="s">
        <v>27487</v>
      </c>
      <c r="F12892" t="s">
        <v>28198</v>
      </c>
      <c r="G12892" t="s">
        <v>28205</v>
      </c>
      <c r="H12892" t="s">
        <v>28214</v>
      </c>
      <c r="I12892" t="s">
        <v>3797</v>
      </c>
      <c r="J12892" t="s">
        <v>28468</v>
      </c>
      <c r="K12892" t="s">
        <v>36735</v>
      </c>
      <c r="M12892" t="s">
        <v>40337</v>
      </c>
      <c r="N12892" t="s">
        <v>40436</v>
      </c>
      <c r="O12892" t="s">
        <v>40437</v>
      </c>
      <c r="P12892">
        <v>0</v>
      </c>
      <c r="Q12892">
        <v>12</v>
      </c>
      <c r="R12892" t="s">
        <v>40460</v>
      </c>
      <c r="S12892" t="s">
        <v>41482</v>
      </c>
      <c r="T12892" t="s">
        <v>42387</v>
      </c>
      <c r="U12892" t="s">
        <v>53187</v>
      </c>
      <c r="V12892" t="s">
        <v>55269</v>
      </c>
      <c r="W12892" t="s">
        <v>40337</v>
      </c>
      <c r="X12892" t="s">
        <v>40466</v>
      </c>
    </row>
    <row r="12893" spans="1:24">
      <c r="A12893">
        <f>HYPERLINK("https://www.philgeps.gov.ph/GEPSNONPILOT/Tender/SplashBidNoticeAbstractUI.aspx?menuIndex=3&amp;refID=7008365&amp;Result=3","7008365")</f>
        <v>0</v>
      </c>
      <c r="B12893" t="s">
        <v>3036</v>
      </c>
      <c r="C12893" t="s">
        <v>15433</v>
      </c>
      <c r="D12893" t="s">
        <v>16191</v>
      </c>
      <c r="E12893" t="s">
        <v>27488</v>
      </c>
      <c r="F12893" t="s">
        <v>28198</v>
      </c>
      <c r="G12893" t="s">
        <v>28205</v>
      </c>
      <c r="H12893" t="s">
        <v>28215</v>
      </c>
      <c r="I12893" t="s">
        <v>4200</v>
      </c>
      <c r="J12893" t="s">
        <v>28364</v>
      </c>
      <c r="K12893" t="s">
        <v>36701</v>
      </c>
      <c r="M12893" t="s">
        <v>40338</v>
      </c>
      <c r="N12893" t="s">
        <v>40436</v>
      </c>
      <c r="O12893" t="s">
        <v>40437</v>
      </c>
      <c r="P12893">
        <v>0</v>
      </c>
      <c r="Q12893">
        <v>2</v>
      </c>
      <c r="R12893" t="s">
        <v>40460</v>
      </c>
      <c r="S12893" t="s">
        <v>41482</v>
      </c>
      <c r="T12893" t="s">
        <v>42593</v>
      </c>
      <c r="U12893" t="s">
        <v>53188</v>
      </c>
      <c r="W12893" t="s">
        <v>40338</v>
      </c>
      <c r="X12893" t="s">
        <v>40463</v>
      </c>
    </row>
    <row r="12894" spans="1:24">
      <c r="A12894">
        <f>HYPERLINK("https://www.philgeps.gov.ph/GEPSNONPILOT/Tender/SplashBidNoticeAbstractUI.aspx?menuIndex=3&amp;refID=7009384&amp;Result=3","7009384")</f>
        <v>0</v>
      </c>
      <c r="B12894" t="s">
        <v>1745</v>
      </c>
      <c r="C12894" t="s">
        <v>15434</v>
      </c>
      <c r="D12894" t="s">
        <v>16243</v>
      </c>
      <c r="E12894" t="s">
        <v>27489</v>
      </c>
      <c r="F12894" t="s">
        <v>28198</v>
      </c>
      <c r="G12894" t="s">
        <v>28205</v>
      </c>
      <c r="H12894" t="s">
        <v>28215</v>
      </c>
      <c r="I12894" t="s">
        <v>6051</v>
      </c>
      <c r="J12894" t="s">
        <v>36237</v>
      </c>
      <c r="K12894" t="s">
        <v>36694</v>
      </c>
      <c r="M12894" t="s">
        <v>38857</v>
      </c>
      <c r="N12894" t="s">
        <v>40436</v>
      </c>
      <c r="O12894" t="s">
        <v>40437</v>
      </c>
      <c r="Q12894">
        <v>4</v>
      </c>
      <c r="R12894" t="s">
        <v>40460</v>
      </c>
      <c r="S12894" t="s">
        <v>41483</v>
      </c>
      <c r="T12894" t="s">
        <v>42188</v>
      </c>
      <c r="U12894" t="s">
        <v>53189</v>
      </c>
      <c r="W12894" t="s">
        <v>38857</v>
      </c>
      <c r="X12894" t="s">
        <v>40461</v>
      </c>
    </row>
    <row r="12895" spans="1:24">
      <c r="A12895">
        <f>HYPERLINK("https://www.philgeps.gov.ph/GEPSNONPILOT/Tender/SplashBidNoticeAbstractUI.aspx?menuIndex=3&amp;refID=7008941&amp;Result=3","7008941")</f>
        <v>0</v>
      </c>
      <c r="B12895" t="s">
        <v>1745</v>
      </c>
      <c r="C12895" t="s">
        <v>15435</v>
      </c>
      <c r="D12895" t="s">
        <v>16248</v>
      </c>
      <c r="E12895" t="s">
        <v>27490</v>
      </c>
      <c r="F12895" t="s">
        <v>28198</v>
      </c>
      <c r="G12895" t="s">
        <v>28205</v>
      </c>
      <c r="H12895" t="s">
        <v>28215</v>
      </c>
      <c r="I12895" t="s">
        <v>6051</v>
      </c>
      <c r="J12895" t="s">
        <v>36238</v>
      </c>
      <c r="K12895" t="s">
        <v>36694</v>
      </c>
      <c r="M12895" t="s">
        <v>38857</v>
      </c>
      <c r="N12895" t="s">
        <v>40436</v>
      </c>
      <c r="O12895" t="s">
        <v>40437</v>
      </c>
      <c r="Q12895">
        <v>4</v>
      </c>
      <c r="R12895" t="s">
        <v>40460</v>
      </c>
      <c r="S12895" t="s">
        <v>41484</v>
      </c>
      <c r="T12895" t="s">
        <v>42188</v>
      </c>
      <c r="U12895" t="s">
        <v>53190</v>
      </c>
      <c r="W12895" t="s">
        <v>38857</v>
      </c>
      <c r="X12895" t="s">
        <v>40462</v>
      </c>
    </row>
    <row r="12896" spans="1:24">
      <c r="A12896">
        <f>HYPERLINK("https://www.philgeps.gov.ph/GEPSNONPILOT/Tender/SplashBidNoticeAbstractUI.aspx?menuIndex=3&amp;refID=7009440&amp;Result=3","7009440")</f>
        <v>0</v>
      </c>
      <c r="B12896" t="s">
        <v>1745</v>
      </c>
      <c r="C12896" t="s">
        <v>15436</v>
      </c>
      <c r="D12896" t="s">
        <v>16261</v>
      </c>
      <c r="E12896" t="s">
        <v>27491</v>
      </c>
      <c r="F12896" t="s">
        <v>28198</v>
      </c>
      <c r="G12896" t="s">
        <v>28205</v>
      </c>
      <c r="H12896" t="s">
        <v>28215</v>
      </c>
      <c r="I12896" t="s">
        <v>6051</v>
      </c>
      <c r="J12896" t="s">
        <v>36239</v>
      </c>
      <c r="K12896" t="s">
        <v>36694</v>
      </c>
      <c r="M12896" t="s">
        <v>38857</v>
      </c>
      <c r="N12896" t="s">
        <v>40436</v>
      </c>
      <c r="O12896" t="s">
        <v>40437</v>
      </c>
      <c r="Q12896">
        <v>2</v>
      </c>
      <c r="R12896" t="s">
        <v>40460</v>
      </c>
      <c r="S12896" t="s">
        <v>41485</v>
      </c>
      <c r="T12896" t="s">
        <v>42188</v>
      </c>
      <c r="U12896" t="s">
        <v>53191</v>
      </c>
      <c r="W12896" t="s">
        <v>38857</v>
      </c>
      <c r="X12896" t="s">
        <v>40461</v>
      </c>
    </row>
    <row r="12897" spans="1:24">
      <c r="A12897">
        <f>HYPERLINK("https://www.philgeps.gov.ph/GEPSNONPILOT/Tender/SplashBidNoticeAbstractUI.aspx?menuIndex=3&amp;refID=7008950&amp;Result=3","7008950")</f>
        <v>0</v>
      </c>
      <c r="B12897" t="s">
        <v>1745</v>
      </c>
      <c r="C12897" t="s">
        <v>15437</v>
      </c>
      <c r="D12897" t="s">
        <v>16248</v>
      </c>
      <c r="E12897" t="s">
        <v>27492</v>
      </c>
      <c r="F12897" t="s">
        <v>28198</v>
      </c>
      <c r="G12897" t="s">
        <v>28205</v>
      </c>
      <c r="H12897" t="s">
        <v>28215</v>
      </c>
      <c r="I12897" t="s">
        <v>6051</v>
      </c>
      <c r="J12897" t="s">
        <v>36240</v>
      </c>
      <c r="K12897" t="s">
        <v>36694</v>
      </c>
      <c r="M12897" t="s">
        <v>38857</v>
      </c>
      <c r="N12897" t="s">
        <v>40436</v>
      </c>
      <c r="O12897" t="s">
        <v>40437</v>
      </c>
      <c r="Q12897">
        <v>7</v>
      </c>
      <c r="R12897" t="s">
        <v>40460</v>
      </c>
      <c r="S12897" t="s">
        <v>41486</v>
      </c>
      <c r="T12897" t="s">
        <v>42188</v>
      </c>
      <c r="U12897" t="s">
        <v>53192</v>
      </c>
      <c r="W12897" t="s">
        <v>38857</v>
      </c>
      <c r="X12897" t="s">
        <v>40462</v>
      </c>
    </row>
    <row r="12898" spans="1:24">
      <c r="A12898">
        <f>HYPERLINK("https://www.philgeps.gov.ph/GEPSNONPILOT/Tender/SplashBidNoticeAbstractUI.aspx?menuIndex=3&amp;refID=7007495&amp;Result=3","7007495")</f>
        <v>0</v>
      </c>
      <c r="B12898" t="s">
        <v>3016</v>
      </c>
      <c r="C12898" t="s">
        <v>15438</v>
      </c>
      <c r="D12898" t="s">
        <v>16260</v>
      </c>
      <c r="E12898" t="s">
        <v>27493</v>
      </c>
      <c r="F12898" t="s">
        <v>28198</v>
      </c>
      <c r="G12898" t="s">
        <v>28205</v>
      </c>
      <c r="H12898" t="s">
        <v>28214</v>
      </c>
      <c r="I12898" t="s">
        <v>3797</v>
      </c>
      <c r="J12898" t="s">
        <v>28398</v>
      </c>
      <c r="K12898" t="s">
        <v>36715</v>
      </c>
      <c r="M12898" t="s">
        <v>40315</v>
      </c>
      <c r="N12898" t="s">
        <v>40436</v>
      </c>
      <c r="O12898" t="s">
        <v>40437</v>
      </c>
      <c r="Q12898">
        <v>0</v>
      </c>
      <c r="R12898" t="s">
        <v>40460</v>
      </c>
      <c r="S12898" t="s">
        <v>41197</v>
      </c>
      <c r="T12898" t="s">
        <v>42105</v>
      </c>
      <c r="U12898" t="s">
        <v>53193</v>
      </c>
      <c r="W12898" t="s">
        <v>40315</v>
      </c>
      <c r="X12898" t="s">
        <v>40463</v>
      </c>
    </row>
    <row r="12899" spans="1:24">
      <c r="A12899">
        <f>HYPERLINK("https://www.philgeps.gov.ph/GEPSNONPILOT/Tender/SplashBidNoticeAbstractUI.aspx?menuIndex=3&amp;refID=7008009&amp;Result=3","7008009")</f>
        <v>0</v>
      </c>
      <c r="B12899" t="s">
        <v>3037</v>
      </c>
      <c r="C12899" t="s">
        <v>15439</v>
      </c>
      <c r="D12899" t="s">
        <v>16200</v>
      </c>
      <c r="E12899" t="s">
        <v>21190</v>
      </c>
      <c r="F12899" t="s">
        <v>28198</v>
      </c>
      <c r="G12899" t="s">
        <v>28205</v>
      </c>
      <c r="H12899" t="s">
        <v>28215</v>
      </c>
      <c r="I12899" t="s">
        <v>28257</v>
      </c>
      <c r="J12899" t="s">
        <v>28382</v>
      </c>
      <c r="K12899" t="s">
        <v>36689</v>
      </c>
      <c r="M12899" t="s">
        <v>40339</v>
      </c>
      <c r="N12899" t="s">
        <v>40436</v>
      </c>
      <c r="O12899" t="s">
        <v>40437</v>
      </c>
      <c r="P12899">
        <v>0</v>
      </c>
      <c r="Q12899">
        <v>3</v>
      </c>
      <c r="R12899" t="s">
        <v>40460</v>
      </c>
      <c r="S12899" t="s">
        <v>41482</v>
      </c>
      <c r="T12899" t="s">
        <v>42129</v>
      </c>
      <c r="U12899" t="s">
        <v>53194</v>
      </c>
      <c r="W12899" t="s">
        <v>40339</v>
      </c>
      <c r="X12899" t="s">
        <v>40463</v>
      </c>
    </row>
    <row r="12900" spans="1:24">
      <c r="A12900">
        <f>HYPERLINK("https://www.philgeps.gov.ph/GEPSNONPILOT/Tender/SplashBidNoticeAbstractUI.aspx?menuIndex=3&amp;refID=7008955&amp;Result=3","7008955")</f>
        <v>0</v>
      </c>
      <c r="B12900" t="s">
        <v>1745</v>
      </c>
      <c r="C12900" t="s">
        <v>15440</v>
      </c>
      <c r="D12900" t="s">
        <v>16248</v>
      </c>
      <c r="E12900" t="s">
        <v>27494</v>
      </c>
      <c r="F12900" t="s">
        <v>28198</v>
      </c>
      <c r="G12900" t="s">
        <v>28205</v>
      </c>
      <c r="H12900" t="s">
        <v>28215</v>
      </c>
      <c r="I12900" t="s">
        <v>6051</v>
      </c>
      <c r="J12900" t="s">
        <v>32359</v>
      </c>
      <c r="K12900" t="s">
        <v>36694</v>
      </c>
      <c r="M12900" t="s">
        <v>38857</v>
      </c>
      <c r="N12900" t="s">
        <v>40436</v>
      </c>
      <c r="O12900" t="s">
        <v>40437</v>
      </c>
      <c r="Q12900">
        <v>5</v>
      </c>
      <c r="R12900" t="s">
        <v>40460</v>
      </c>
      <c r="S12900" t="s">
        <v>41479</v>
      </c>
      <c r="T12900" t="s">
        <v>42188</v>
      </c>
      <c r="U12900" t="s">
        <v>53195</v>
      </c>
      <c r="W12900" t="s">
        <v>38857</v>
      </c>
      <c r="X12900" t="s">
        <v>40462</v>
      </c>
    </row>
    <row r="12901" spans="1:24">
      <c r="A12901">
        <f>HYPERLINK("https://www.philgeps.gov.ph/GEPSNONPILOT/Tender/SplashBidNoticeAbstractUI.aspx?menuIndex=3&amp;refID=7007456&amp;Result=3","7007456")</f>
        <v>0</v>
      </c>
      <c r="B12901" t="s">
        <v>3016</v>
      </c>
      <c r="C12901" t="s">
        <v>15441</v>
      </c>
      <c r="D12901" t="s">
        <v>16260</v>
      </c>
      <c r="E12901" t="s">
        <v>27495</v>
      </c>
      <c r="F12901" t="s">
        <v>28198</v>
      </c>
      <c r="G12901" t="s">
        <v>28205</v>
      </c>
      <c r="H12901" t="s">
        <v>28214</v>
      </c>
      <c r="I12901" t="s">
        <v>3797</v>
      </c>
      <c r="J12901" t="s">
        <v>28378</v>
      </c>
      <c r="K12901" t="s">
        <v>36715</v>
      </c>
      <c r="M12901" t="s">
        <v>40315</v>
      </c>
      <c r="N12901" t="s">
        <v>40436</v>
      </c>
      <c r="O12901" t="s">
        <v>40437</v>
      </c>
      <c r="Q12901">
        <v>0</v>
      </c>
      <c r="R12901" t="s">
        <v>40460</v>
      </c>
      <c r="S12901" t="s">
        <v>40584</v>
      </c>
      <c r="T12901" t="s">
        <v>42105</v>
      </c>
      <c r="U12901" t="s">
        <v>53196</v>
      </c>
      <c r="W12901" t="s">
        <v>40315</v>
      </c>
      <c r="X12901" t="s">
        <v>40463</v>
      </c>
    </row>
    <row r="12902" spans="1:24">
      <c r="A12902">
        <f>HYPERLINK("https://www.philgeps.gov.ph/GEPSNONPILOT/Tender/SplashBidNoticeAbstractUI.aspx?menuIndex=3&amp;refID=7007406&amp;Result=3","7007406")</f>
        <v>0</v>
      </c>
      <c r="B12902" t="s">
        <v>3016</v>
      </c>
      <c r="C12902" t="s">
        <v>15442</v>
      </c>
      <c r="D12902" t="s">
        <v>16260</v>
      </c>
      <c r="E12902" t="s">
        <v>27496</v>
      </c>
      <c r="F12902" t="s">
        <v>28198</v>
      </c>
      <c r="G12902" t="s">
        <v>28205</v>
      </c>
      <c r="H12902" t="s">
        <v>28214</v>
      </c>
      <c r="I12902" t="s">
        <v>3797</v>
      </c>
      <c r="J12902" t="s">
        <v>28398</v>
      </c>
      <c r="K12902" t="s">
        <v>36896</v>
      </c>
      <c r="M12902" t="s">
        <v>40315</v>
      </c>
      <c r="N12902" t="s">
        <v>40436</v>
      </c>
      <c r="O12902" t="s">
        <v>40437</v>
      </c>
      <c r="Q12902">
        <v>0</v>
      </c>
      <c r="R12902" t="s">
        <v>40460</v>
      </c>
      <c r="S12902" t="s">
        <v>40600</v>
      </c>
      <c r="T12902" t="s">
        <v>42105</v>
      </c>
      <c r="U12902" t="s">
        <v>53197</v>
      </c>
      <c r="W12902" t="s">
        <v>40315</v>
      </c>
      <c r="X12902" t="s">
        <v>40463</v>
      </c>
    </row>
    <row r="12903" spans="1:24">
      <c r="A12903">
        <f>HYPERLINK("https://www.philgeps.gov.ph/GEPSNONPILOT/Tender/SplashBidNoticeAbstractUI.aspx?menuIndex=3&amp;refID=7016283&amp;Result=3","7016283")</f>
        <v>0</v>
      </c>
      <c r="B12903" t="s">
        <v>1612</v>
      </c>
      <c r="C12903" t="s">
        <v>15443</v>
      </c>
      <c r="D12903" t="s">
        <v>16232</v>
      </c>
      <c r="E12903" t="s">
        <v>27497</v>
      </c>
      <c r="F12903" t="s">
        <v>28198</v>
      </c>
      <c r="G12903" t="s">
        <v>28205</v>
      </c>
      <c r="H12903" t="s">
        <v>28214</v>
      </c>
      <c r="I12903" t="s">
        <v>3797</v>
      </c>
      <c r="J12903" t="s">
        <v>29526</v>
      </c>
      <c r="K12903" t="s">
        <v>36776</v>
      </c>
      <c r="M12903" t="s">
        <v>38699</v>
      </c>
      <c r="N12903" t="s">
        <v>40436</v>
      </c>
      <c r="O12903" t="s">
        <v>40437</v>
      </c>
      <c r="P12903">
        <v>0</v>
      </c>
      <c r="Q12903">
        <v>2</v>
      </c>
      <c r="R12903" t="s">
        <v>40457</v>
      </c>
      <c r="S12903" t="s">
        <v>41386</v>
      </c>
      <c r="T12903" t="s">
        <v>42277</v>
      </c>
      <c r="U12903" t="s">
        <v>53198</v>
      </c>
      <c r="W12903" t="s">
        <v>38699</v>
      </c>
      <c r="X12903" t="s">
        <v>40458</v>
      </c>
    </row>
    <row r="12904" spans="1:24">
      <c r="A12904">
        <f>HYPERLINK("https://www.philgeps.gov.ph/GEPSNONPILOT/Tender/SplashBidNoticeAbstractUI.aspx?menuIndex=3&amp;refID=7011720&amp;Result=3","7011720")</f>
        <v>0</v>
      </c>
      <c r="B12904" t="s">
        <v>1046</v>
      </c>
      <c r="C12904" t="s">
        <v>15444</v>
      </c>
      <c r="E12904" t="s">
        <v>27498</v>
      </c>
      <c r="F12904" t="s">
        <v>28198</v>
      </c>
      <c r="G12904" t="s">
        <v>28206</v>
      </c>
      <c r="H12904" t="s">
        <v>28215</v>
      </c>
      <c r="I12904" t="s">
        <v>28224</v>
      </c>
      <c r="J12904" t="s">
        <v>30794</v>
      </c>
      <c r="K12904" t="s">
        <v>36689</v>
      </c>
      <c r="M12904" t="s">
        <v>38079</v>
      </c>
      <c r="N12904" t="s">
        <v>40436</v>
      </c>
      <c r="O12904" t="s">
        <v>40437</v>
      </c>
      <c r="Q12904">
        <v>1</v>
      </c>
      <c r="R12904" t="s">
        <v>40459</v>
      </c>
      <c r="S12904" t="s">
        <v>40587</v>
      </c>
      <c r="T12904" t="s">
        <v>42119</v>
      </c>
      <c r="U12904" t="s">
        <v>53199</v>
      </c>
      <c r="V12904" t="s">
        <v>54078</v>
      </c>
      <c r="W12904" t="s">
        <v>38079</v>
      </c>
      <c r="X12904" t="s">
        <v>40460</v>
      </c>
    </row>
    <row r="12905" spans="1:24">
      <c r="A12905">
        <f>HYPERLINK("https://www.philgeps.gov.ph/GEPSNONPILOT/Tender/SplashBidNoticeAbstractUI.aspx?menuIndex=3&amp;refID=7009505&amp;Result=3","7009505")</f>
        <v>0</v>
      </c>
      <c r="B12905" t="s">
        <v>1745</v>
      </c>
      <c r="C12905" t="s">
        <v>15445</v>
      </c>
      <c r="D12905" t="s">
        <v>16248</v>
      </c>
      <c r="E12905" t="s">
        <v>27499</v>
      </c>
      <c r="F12905" t="s">
        <v>28198</v>
      </c>
      <c r="G12905" t="s">
        <v>28205</v>
      </c>
      <c r="H12905" t="s">
        <v>28215</v>
      </c>
      <c r="I12905" t="s">
        <v>6051</v>
      </c>
      <c r="J12905" t="s">
        <v>36241</v>
      </c>
      <c r="K12905" t="s">
        <v>36694</v>
      </c>
      <c r="M12905" t="s">
        <v>38857</v>
      </c>
      <c r="N12905" t="s">
        <v>40436</v>
      </c>
      <c r="O12905" t="s">
        <v>40437</v>
      </c>
      <c r="Q12905">
        <v>5</v>
      </c>
      <c r="R12905" t="s">
        <v>40460</v>
      </c>
      <c r="S12905" t="s">
        <v>41487</v>
      </c>
      <c r="T12905" t="s">
        <v>42188</v>
      </c>
      <c r="U12905" t="s">
        <v>53200</v>
      </c>
      <c r="W12905" t="s">
        <v>38857</v>
      </c>
      <c r="X12905" t="s">
        <v>40461</v>
      </c>
    </row>
    <row r="12906" spans="1:24">
      <c r="A12906">
        <f>HYPERLINK("https://www.philgeps.gov.ph/GEPSNONPILOT/Tender/SplashBidNoticeAbstractUI.aspx?menuIndex=3&amp;refID=7009150&amp;Result=3","7009150")</f>
        <v>0</v>
      </c>
      <c r="B12906" t="s">
        <v>3038</v>
      </c>
      <c r="C12906" t="s">
        <v>15446</v>
      </c>
      <c r="E12906" t="s">
        <v>27500</v>
      </c>
      <c r="F12906" t="s">
        <v>28198</v>
      </c>
      <c r="G12906" t="s">
        <v>28205</v>
      </c>
      <c r="H12906" t="s">
        <v>28214</v>
      </c>
      <c r="I12906" t="s">
        <v>3797</v>
      </c>
      <c r="J12906" t="s">
        <v>36242</v>
      </c>
      <c r="K12906" t="s">
        <v>36689</v>
      </c>
      <c r="M12906" t="s">
        <v>40340</v>
      </c>
      <c r="N12906" t="s">
        <v>40436</v>
      </c>
      <c r="O12906" t="s">
        <v>40437</v>
      </c>
      <c r="Q12906">
        <v>0</v>
      </c>
      <c r="R12906" t="s">
        <v>40461</v>
      </c>
      <c r="S12906" t="s">
        <v>41488</v>
      </c>
      <c r="T12906" t="s">
        <v>42594</v>
      </c>
      <c r="U12906" t="s">
        <v>53201</v>
      </c>
      <c r="W12906" t="s">
        <v>40340</v>
      </c>
      <c r="X12906" t="s">
        <v>40466</v>
      </c>
    </row>
    <row r="12907" spans="1:24">
      <c r="A12907">
        <f>HYPERLINK("https://www.philgeps.gov.ph/GEPSNONPILOT/Tender/SplashBidNoticeAbstractUI.aspx?menuIndex=3&amp;refID=7009149&amp;Result=3","7009149")</f>
        <v>0</v>
      </c>
      <c r="B12907" t="s">
        <v>3038</v>
      </c>
      <c r="C12907" t="s">
        <v>15447</v>
      </c>
      <c r="E12907" t="s">
        <v>27501</v>
      </c>
      <c r="F12907" t="s">
        <v>28198</v>
      </c>
      <c r="G12907" t="s">
        <v>28205</v>
      </c>
      <c r="H12907" t="s">
        <v>28214</v>
      </c>
      <c r="I12907" t="s">
        <v>3797</v>
      </c>
      <c r="J12907" t="s">
        <v>36243</v>
      </c>
      <c r="K12907" t="s">
        <v>36689</v>
      </c>
      <c r="M12907" t="s">
        <v>40340</v>
      </c>
      <c r="N12907" t="s">
        <v>40436</v>
      </c>
      <c r="O12907" t="s">
        <v>40437</v>
      </c>
      <c r="Q12907">
        <v>0</v>
      </c>
      <c r="R12907" t="s">
        <v>40461</v>
      </c>
      <c r="S12907" t="s">
        <v>41489</v>
      </c>
      <c r="T12907" t="s">
        <v>42594</v>
      </c>
      <c r="U12907" t="s">
        <v>53202</v>
      </c>
      <c r="W12907" t="s">
        <v>40340</v>
      </c>
      <c r="X12907" t="s">
        <v>40466</v>
      </c>
    </row>
    <row r="12908" spans="1:24">
      <c r="A12908">
        <f>HYPERLINK("https://www.philgeps.gov.ph/GEPSNONPILOT/Tender/SplashBidNoticeAbstractUI.aspx?menuIndex=3&amp;refID=7007350&amp;Result=3","7007350")</f>
        <v>0</v>
      </c>
      <c r="B12908" t="s">
        <v>3016</v>
      </c>
      <c r="C12908" t="s">
        <v>15448</v>
      </c>
      <c r="D12908" t="s">
        <v>16260</v>
      </c>
      <c r="E12908" t="s">
        <v>27502</v>
      </c>
      <c r="F12908" t="s">
        <v>28198</v>
      </c>
      <c r="G12908" t="s">
        <v>28205</v>
      </c>
      <c r="H12908" t="s">
        <v>28214</v>
      </c>
      <c r="I12908" t="s">
        <v>3797</v>
      </c>
      <c r="J12908" t="s">
        <v>28683</v>
      </c>
      <c r="K12908" t="s">
        <v>36735</v>
      </c>
      <c r="M12908" t="s">
        <v>40315</v>
      </c>
      <c r="N12908" t="s">
        <v>40436</v>
      </c>
      <c r="O12908" t="s">
        <v>40437</v>
      </c>
      <c r="Q12908">
        <v>3</v>
      </c>
      <c r="R12908" t="s">
        <v>40460</v>
      </c>
      <c r="S12908" t="s">
        <v>40600</v>
      </c>
      <c r="T12908" t="s">
        <v>42105</v>
      </c>
      <c r="U12908" t="s">
        <v>53203</v>
      </c>
      <c r="W12908" t="s">
        <v>40315</v>
      </c>
      <c r="X12908" t="s">
        <v>40463</v>
      </c>
    </row>
    <row r="12909" spans="1:24">
      <c r="A12909">
        <f>HYPERLINK("https://www.philgeps.gov.ph/GEPSNONPILOT/Tender/SplashBidNoticeAbstractUI.aspx?menuIndex=3&amp;refID=7008314&amp;Result=3","7008314")</f>
        <v>0</v>
      </c>
      <c r="B12909" t="s">
        <v>1226</v>
      </c>
      <c r="C12909" t="s">
        <v>15449</v>
      </c>
      <c r="D12909" t="s">
        <v>16197</v>
      </c>
      <c r="E12909" t="s">
        <v>27503</v>
      </c>
      <c r="F12909" t="s">
        <v>28198</v>
      </c>
      <c r="G12909" t="s">
        <v>28205</v>
      </c>
      <c r="H12909" t="s">
        <v>28215</v>
      </c>
      <c r="I12909" t="s">
        <v>28222</v>
      </c>
      <c r="J12909" t="s">
        <v>36244</v>
      </c>
      <c r="K12909" t="s">
        <v>36701</v>
      </c>
      <c r="M12909" t="s">
        <v>38274</v>
      </c>
      <c r="N12909" t="s">
        <v>40436</v>
      </c>
      <c r="O12909" t="s">
        <v>40437</v>
      </c>
      <c r="P12909">
        <v>0</v>
      </c>
      <c r="Q12909">
        <v>5</v>
      </c>
      <c r="R12909" t="s">
        <v>40461</v>
      </c>
      <c r="S12909" t="s">
        <v>41490</v>
      </c>
      <c r="T12909" t="s">
        <v>42112</v>
      </c>
      <c r="U12909" t="s">
        <v>53204</v>
      </c>
      <c r="V12909" t="s">
        <v>55270</v>
      </c>
      <c r="W12909" t="s">
        <v>38274</v>
      </c>
      <c r="X12909" t="s">
        <v>40463</v>
      </c>
    </row>
    <row r="12910" spans="1:24">
      <c r="A12910">
        <f>HYPERLINK("https://www.philgeps.gov.ph/GEPSNONPILOT/Tender/SplashBidNoticeAbstractUI.aspx?menuIndex=3&amp;refID=7009665&amp;Result=3","7009665")</f>
        <v>0</v>
      </c>
      <c r="B12910" t="s">
        <v>3039</v>
      </c>
      <c r="C12910" t="s">
        <v>15450</v>
      </c>
      <c r="D12910" t="s">
        <v>16194</v>
      </c>
      <c r="E12910" t="s">
        <v>27504</v>
      </c>
      <c r="F12910" t="s">
        <v>28198</v>
      </c>
      <c r="G12910" t="s">
        <v>28205</v>
      </c>
      <c r="H12910" t="s">
        <v>28217</v>
      </c>
      <c r="I12910" t="s">
        <v>28234</v>
      </c>
      <c r="J12910" t="s">
        <v>36245</v>
      </c>
      <c r="K12910" t="s">
        <v>36765</v>
      </c>
      <c r="M12910" t="s">
        <v>40341</v>
      </c>
      <c r="N12910" t="s">
        <v>40436</v>
      </c>
      <c r="O12910" t="s">
        <v>40437</v>
      </c>
      <c r="Q12910">
        <v>18</v>
      </c>
      <c r="R12910" t="s">
        <v>40460</v>
      </c>
      <c r="S12910" t="s">
        <v>41491</v>
      </c>
      <c r="T12910" t="s">
        <v>42233</v>
      </c>
      <c r="U12910" t="s">
        <v>53205</v>
      </c>
      <c r="W12910" t="s">
        <v>40341</v>
      </c>
      <c r="X12910" t="s">
        <v>40461</v>
      </c>
    </row>
    <row r="12911" spans="1:24">
      <c r="A12911">
        <f>HYPERLINK("https://www.philgeps.gov.ph/GEPSNONPILOT/Tender/SplashBidNoticeAbstractUI.aspx?menuIndex=3&amp;refID=7006985&amp;Result=3","7006985")</f>
        <v>0</v>
      </c>
      <c r="B12911" t="s">
        <v>2083</v>
      </c>
      <c r="C12911" t="s">
        <v>15451</v>
      </c>
      <c r="E12911" t="s">
        <v>27505</v>
      </c>
      <c r="F12911" t="s">
        <v>28198</v>
      </c>
      <c r="G12911" t="s">
        <v>28207</v>
      </c>
      <c r="H12911" t="s">
        <v>28215</v>
      </c>
      <c r="I12911" t="s">
        <v>28224</v>
      </c>
      <c r="J12911" t="s">
        <v>28629</v>
      </c>
      <c r="K12911" t="s">
        <v>36701</v>
      </c>
      <c r="M12911" t="s">
        <v>39232</v>
      </c>
      <c r="N12911" t="s">
        <v>40436</v>
      </c>
      <c r="O12911" t="s">
        <v>40437</v>
      </c>
      <c r="Q12911">
        <v>3</v>
      </c>
      <c r="R12911" t="s">
        <v>40461</v>
      </c>
      <c r="S12911" t="s">
        <v>41492</v>
      </c>
      <c r="T12911" t="s">
        <v>42133</v>
      </c>
      <c r="U12911" t="s">
        <v>53206</v>
      </c>
      <c r="W12911" t="s">
        <v>39232</v>
      </c>
      <c r="X12911" t="s">
        <v>40463</v>
      </c>
    </row>
    <row r="12912" spans="1:24">
      <c r="A12912">
        <f>HYPERLINK("https://www.philgeps.gov.ph/GEPSNONPILOT/Tender/SplashBidNoticeAbstractUI.aspx?menuIndex=3&amp;refID=7009658&amp;Result=3","7009658")</f>
        <v>0</v>
      </c>
      <c r="B12912" t="s">
        <v>3029</v>
      </c>
      <c r="C12912" t="s">
        <v>15452</v>
      </c>
      <c r="D12912" t="s">
        <v>16219</v>
      </c>
      <c r="E12912" t="s">
        <v>27506</v>
      </c>
      <c r="F12912" t="s">
        <v>28198</v>
      </c>
      <c r="G12912" t="s">
        <v>28205</v>
      </c>
      <c r="H12912" t="s">
        <v>28214</v>
      </c>
      <c r="I12912" t="s">
        <v>3797</v>
      </c>
      <c r="J12912" t="s">
        <v>36246</v>
      </c>
      <c r="K12912" t="s">
        <v>36687</v>
      </c>
      <c r="M12912" t="s">
        <v>40330</v>
      </c>
      <c r="N12912" t="s">
        <v>40436</v>
      </c>
      <c r="O12912" t="s">
        <v>40437</v>
      </c>
      <c r="Q12912">
        <v>3</v>
      </c>
      <c r="R12912" t="s">
        <v>40460</v>
      </c>
      <c r="S12912" t="s">
        <v>41493</v>
      </c>
      <c r="T12912" t="s">
        <v>42455</v>
      </c>
      <c r="U12912" t="s">
        <v>53207</v>
      </c>
      <c r="W12912" t="s">
        <v>40330</v>
      </c>
      <c r="X12912" t="s">
        <v>40461</v>
      </c>
    </row>
    <row r="12913" spans="1:24">
      <c r="A12913">
        <f>HYPERLINK("https://www.philgeps.gov.ph/GEPSNONPILOT/Tender/SplashBidNoticeAbstractUI.aspx?menuIndex=3&amp;refID=7007624&amp;Result=3","7007624")</f>
        <v>0</v>
      </c>
      <c r="B12913" t="s">
        <v>889</v>
      </c>
      <c r="C12913" t="s">
        <v>15453</v>
      </c>
      <c r="D12913" t="s">
        <v>16227</v>
      </c>
      <c r="E12913" t="s">
        <v>23065</v>
      </c>
      <c r="F12913" t="s">
        <v>28198</v>
      </c>
      <c r="G12913" t="s">
        <v>28205</v>
      </c>
      <c r="H12913" t="s">
        <v>28215</v>
      </c>
      <c r="I12913" t="s">
        <v>28222</v>
      </c>
      <c r="J12913" t="s">
        <v>28818</v>
      </c>
      <c r="K12913" t="s">
        <v>36697</v>
      </c>
      <c r="M12913" t="s">
        <v>37905</v>
      </c>
      <c r="N12913" t="s">
        <v>40436</v>
      </c>
      <c r="O12913" t="s">
        <v>40437</v>
      </c>
      <c r="P12913">
        <v>0</v>
      </c>
      <c r="Q12913">
        <v>3</v>
      </c>
      <c r="R12913" t="s">
        <v>40461</v>
      </c>
      <c r="S12913" t="s">
        <v>41490</v>
      </c>
      <c r="T12913" t="s">
        <v>42103</v>
      </c>
      <c r="U12913" t="s">
        <v>53208</v>
      </c>
      <c r="W12913" t="s">
        <v>37905</v>
      </c>
      <c r="X12913" t="s">
        <v>40463</v>
      </c>
    </row>
    <row r="12914" spans="1:24">
      <c r="A12914">
        <f>HYPERLINK("https://www.philgeps.gov.ph/GEPSNONPILOT/Tender/SplashBidNoticeAbstractUI.aspx?menuIndex=3&amp;refID=7009582&amp;Result=3","7009582")</f>
        <v>0</v>
      </c>
      <c r="B12914" t="s">
        <v>3034</v>
      </c>
      <c r="C12914" t="s">
        <v>15454</v>
      </c>
      <c r="D12914" t="s">
        <v>16196</v>
      </c>
      <c r="E12914" t="s">
        <v>27507</v>
      </c>
      <c r="F12914" t="s">
        <v>28198</v>
      </c>
      <c r="G12914" t="s">
        <v>28205</v>
      </c>
      <c r="H12914" t="s">
        <v>28214</v>
      </c>
      <c r="I12914" t="s">
        <v>3797</v>
      </c>
      <c r="J12914" t="s">
        <v>28464</v>
      </c>
      <c r="K12914" t="s">
        <v>36938</v>
      </c>
      <c r="M12914" t="s">
        <v>40336</v>
      </c>
      <c r="N12914" t="s">
        <v>40436</v>
      </c>
      <c r="O12914" t="s">
        <v>40437</v>
      </c>
      <c r="P12914">
        <v>0</v>
      </c>
      <c r="Q12914">
        <v>16</v>
      </c>
      <c r="R12914" t="s">
        <v>40460</v>
      </c>
      <c r="S12914" t="s">
        <v>41482</v>
      </c>
      <c r="T12914" t="s">
        <v>42473</v>
      </c>
      <c r="U12914" t="s">
        <v>53209</v>
      </c>
      <c r="W12914" t="s">
        <v>40336</v>
      </c>
      <c r="X12914" t="s">
        <v>40461</v>
      </c>
    </row>
    <row r="12915" spans="1:24">
      <c r="A12915">
        <f>HYPERLINK("https://www.philgeps.gov.ph/GEPSNONPILOT/Tender/SplashBidNoticeAbstractUI.aspx?menuIndex=3&amp;refID=7009148&amp;Result=3","7009148")</f>
        <v>0</v>
      </c>
      <c r="B12915" t="s">
        <v>3038</v>
      </c>
      <c r="C12915" t="s">
        <v>15455</v>
      </c>
      <c r="E12915" t="s">
        <v>27508</v>
      </c>
      <c r="F12915" t="s">
        <v>28198</v>
      </c>
      <c r="G12915" t="s">
        <v>28205</v>
      </c>
      <c r="H12915" t="s">
        <v>28214</v>
      </c>
      <c r="I12915" t="s">
        <v>3797</v>
      </c>
      <c r="J12915" t="s">
        <v>36247</v>
      </c>
      <c r="K12915" t="s">
        <v>36689</v>
      </c>
      <c r="M12915" t="s">
        <v>40340</v>
      </c>
      <c r="N12915" t="s">
        <v>40436</v>
      </c>
      <c r="O12915" t="s">
        <v>40437</v>
      </c>
      <c r="Q12915">
        <v>0</v>
      </c>
      <c r="R12915" t="s">
        <v>40461</v>
      </c>
      <c r="S12915" t="s">
        <v>41494</v>
      </c>
      <c r="T12915" t="s">
        <v>42102</v>
      </c>
      <c r="U12915" t="s">
        <v>53210</v>
      </c>
      <c r="W12915" t="s">
        <v>40340</v>
      </c>
      <c r="X12915" t="s">
        <v>40466</v>
      </c>
    </row>
    <row r="12916" spans="1:24">
      <c r="A12916">
        <f>HYPERLINK("https://www.philgeps.gov.ph/GEPSNONPILOT/Tender/SplashBidNoticeAbstractUI.aspx?menuIndex=3&amp;refID=7009550&amp;Result=3","7009550")</f>
        <v>0</v>
      </c>
      <c r="B12916" t="s">
        <v>1745</v>
      </c>
      <c r="C12916" t="s">
        <v>15456</v>
      </c>
      <c r="D12916" t="s">
        <v>16260</v>
      </c>
      <c r="E12916" t="s">
        <v>27509</v>
      </c>
      <c r="F12916" t="s">
        <v>28198</v>
      </c>
      <c r="G12916" t="s">
        <v>28205</v>
      </c>
      <c r="H12916" t="s">
        <v>28215</v>
      </c>
      <c r="I12916" t="s">
        <v>6051</v>
      </c>
      <c r="J12916" t="s">
        <v>36248</v>
      </c>
      <c r="K12916" t="s">
        <v>36694</v>
      </c>
      <c r="M12916" t="s">
        <v>38857</v>
      </c>
      <c r="N12916" t="s">
        <v>40436</v>
      </c>
      <c r="O12916" t="s">
        <v>40437</v>
      </c>
      <c r="Q12916">
        <v>4</v>
      </c>
      <c r="R12916" t="s">
        <v>40460</v>
      </c>
      <c r="S12916" t="s">
        <v>41495</v>
      </c>
      <c r="T12916" t="s">
        <v>42188</v>
      </c>
      <c r="U12916" t="s">
        <v>53211</v>
      </c>
      <c r="W12916" t="s">
        <v>38857</v>
      </c>
      <c r="X12916" t="s">
        <v>40461</v>
      </c>
    </row>
    <row r="12917" spans="1:24">
      <c r="A12917">
        <f>HYPERLINK("https://www.philgeps.gov.ph/GEPSNONPILOT/Tender/SplashBidNoticeAbstractUI.aspx?menuIndex=3&amp;refID=7009593&amp;Result=3","7009593")</f>
        <v>0</v>
      </c>
      <c r="B12917" t="s">
        <v>3034</v>
      </c>
      <c r="C12917" t="s">
        <v>15457</v>
      </c>
      <c r="D12917" t="s">
        <v>16196</v>
      </c>
      <c r="E12917" t="s">
        <v>21623</v>
      </c>
      <c r="F12917" t="s">
        <v>28198</v>
      </c>
      <c r="G12917" t="s">
        <v>28205</v>
      </c>
      <c r="H12917" t="s">
        <v>28214</v>
      </c>
      <c r="I12917" t="s">
        <v>3797</v>
      </c>
      <c r="J12917" t="s">
        <v>28663</v>
      </c>
      <c r="K12917" t="s">
        <v>36827</v>
      </c>
      <c r="M12917" t="s">
        <v>40336</v>
      </c>
      <c r="N12917" t="s">
        <v>40436</v>
      </c>
      <c r="O12917" t="s">
        <v>40437</v>
      </c>
      <c r="P12917">
        <v>0</v>
      </c>
      <c r="Q12917">
        <v>15</v>
      </c>
      <c r="R12917" t="s">
        <v>40460</v>
      </c>
      <c r="S12917" t="s">
        <v>41482</v>
      </c>
      <c r="T12917" t="s">
        <v>42184</v>
      </c>
      <c r="U12917" t="s">
        <v>53209</v>
      </c>
      <c r="W12917" t="s">
        <v>40336</v>
      </c>
      <c r="X12917" t="s">
        <v>40461</v>
      </c>
    </row>
    <row r="12918" spans="1:24">
      <c r="A12918">
        <f>HYPERLINK("https://www.philgeps.gov.ph/GEPSNONPILOT/Tender/SplashBidNoticeAbstractUI.aspx?menuIndex=3&amp;refID=7009527&amp;Result=3","7009527")</f>
        <v>0</v>
      </c>
      <c r="B12918" t="s">
        <v>1745</v>
      </c>
      <c r="C12918" t="s">
        <v>15437</v>
      </c>
      <c r="D12918" t="s">
        <v>16248</v>
      </c>
      <c r="E12918" t="s">
        <v>27510</v>
      </c>
      <c r="F12918" t="s">
        <v>28198</v>
      </c>
      <c r="G12918" t="s">
        <v>28205</v>
      </c>
      <c r="H12918" t="s">
        <v>28215</v>
      </c>
      <c r="I12918" t="s">
        <v>6051</v>
      </c>
      <c r="J12918" t="s">
        <v>36240</v>
      </c>
      <c r="K12918" t="s">
        <v>36694</v>
      </c>
      <c r="M12918" t="s">
        <v>38857</v>
      </c>
      <c r="N12918" t="s">
        <v>40436</v>
      </c>
      <c r="O12918" t="s">
        <v>40437</v>
      </c>
      <c r="Q12918">
        <v>5</v>
      </c>
      <c r="R12918" t="s">
        <v>40460</v>
      </c>
      <c r="S12918" t="s">
        <v>41496</v>
      </c>
      <c r="T12918" t="s">
        <v>42188</v>
      </c>
      <c r="U12918" t="s">
        <v>53212</v>
      </c>
      <c r="W12918" t="s">
        <v>38857</v>
      </c>
      <c r="X12918" t="s">
        <v>40461</v>
      </c>
    </row>
    <row r="12919" spans="1:24">
      <c r="A12919">
        <f>HYPERLINK("https://www.philgeps.gov.ph/GEPSNONPILOT/Tender/SplashBidNoticeAbstractUI.aspx?menuIndex=3&amp;refID=7009228&amp;Result=3","7009228")</f>
        <v>0</v>
      </c>
      <c r="B12919" t="s">
        <v>994</v>
      </c>
      <c r="C12919" t="s">
        <v>15458</v>
      </c>
      <c r="E12919" t="s">
        <v>27511</v>
      </c>
      <c r="F12919" t="s">
        <v>28198</v>
      </c>
      <c r="G12919" t="s">
        <v>28205</v>
      </c>
      <c r="H12919" t="s">
        <v>28216</v>
      </c>
      <c r="I12919" t="s">
        <v>28216</v>
      </c>
      <c r="J12919" t="s">
        <v>32594</v>
      </c>
      <c r="K12919" t="s">
        <v>36689</v>
      </c>
      <c r="M12919" t="s">
        <v>38022</v>
      </c>
      <c r="N12919" t="s">
        <v>40436</v>
      </c>
      <c r="O12919" t="s">
        <v>40437</v>
      </c>
      <c r="Q12919">
        <v>8</v>
      </c>
      <c r="R12919" t="s">
        <v>40461</v>
      </c>
      <c r="S12919" t="s">
        <v>41497</v>
      </c>
      <c r="T12919" t="s">
        <v>42237</v>
      </c>
      <c r="U12919" t="s">
        <v>53213</v>
      </c>
      <c r="W12919" t="s">
        <v>55548</v>
      </c>
      <c r="X12919" t="s">
        <v>40466</v>
      </c>
    </row>
    <row r="12920" spans="1:24">
      <c r="A12920">
        <f>HYPERLINK("https://www.philgeps.gov.ph/GEPSNONPILOT/Tender/SplashBidNoticeAbstractUI.aspx?menuIndex=3&amp;refID=7009152&amp;Result=3","7009152")</f>
        <v>0</v>
      </c>
      <c r="B12920" t="s">
        <v>3038</v>
      </c>
      <c r="C12920" t="s">
        <v>15459</v>
      </c>
      <c r="E12920" t="s">
        <v>27512</v>
      </c>
      <c r="F12920" t="s">
        <v>28198</v>
      </c>
      <c r="G12920" t="s">
        <v>28205</v>
      </c>
      <c r="H12920" t="s">
        <v>28214</v>
      </c>
      <c r="I12920" t="s">
        <v>3797</v>
      </c>
      <c r="J12920" t="s">
        <v>36249</v>
      </c>
      <c r="K12920" t="s">
        <v>36689</v>
      </c>
      <c r="M12920" t="s">
        <v>40340</v>
      </c>
      <c r="N12920" t="s">
        <v>40436</v>
      </c>
      <c r="O12920" t="s">
        <v>40437</v>
      </c>
      <c r="Q12920">
        <v>0</v>
      </c>
      <c r="R12920" t="s">
        <v>40461</v>
      </c>
      <c r="S12920" t="s">
        <v>41498</v>
      </c>
      <c r="T12920" t="s">
        <v>42102</v>
      </c>
      <c r="U12920" t="s">
        <v>53214</v>
      </c>
      <c r="W12920" t="s">
        <v>40340</v>
      </c>
      <c r="X12920" t="s">
        <v>40466</v>
      </c>
    </row>
    <row r="12921" spans="1:24">
      <c r="A12921">
        <f>HYPERLINK("https://www.philgeps.gov.ph/GEPSNONPILOT/Tender/SplashBidNoticeAbstractUI.aspx?menuIndex=3&amp;refID=7009161&amp;Result=3","7009161")</f>
        <v>0</v>
      </c>
      <c r="B12921" t="s">
        <v>3038</v>
      </c>
      <c r="C12921" t="s">
        <v>15460</v>
      </c>
      <c r="E12921" t="s">
        <v>27513</v>
      </c>
      <c r="F12921" t="s">
        <v>28198</v>
      </c>
      <c r="G12921" t="s">
        <v>28205</v>
      </c>
      <c r="H12921" t="s">
        <v>28215</v>
      </c>
      <c r="I12921" t="s">
        <v>4219</v>
      </c>
      <c r="J12921" t="s">
        <v>36250</v>
      </c>
      <c r="K12921" t="s">
        <v>36689</v>
      </c>
      <c r="M12921" t="s">
        <v>40340</v>
      </c>
      <c r="N12921" t="s">
        <v>40436</v>
      </c>
      <c r="O12921" t="s">
        <v>40437</v>
      </c>
      <c r="Q12921">
        <v>6</v>
      </c>
      <c r="R12921" t="s">
        <v>40461</v>
      </c>
      <c r="S12921" t="s">
        <v>41499</v>
      </c>
      <c r="T12921" t="s">
        <v>42594</v>
      </c>
      <c r="U12921" t="s">
        <v>53215</v>
      </c>
      <c r="W12921" t="s">
        <v>40340</v>
      </c>
      <c r="X12921" t="s">
        <v>40466</v>
      </c>
    </row>
    <row r="12922" spans="1:24">
      <c r="A12922">
        <f>HYPERLINK("https://www.philgeps.gov.ph/GEPSNONPILOT/Tender/SplashBidNoticeAbstractUI.aspx?menuIndex=3&amp;refID=7009530&amp;Result=3","7009530")</f>
        <v>0</v>
      </c>
      <c r="B12922" t="s">
        <v>1891</v>
      </c>
      <c r="C12922" t="s">
        <v>15461</v>
      </c>
      <c r="D12922" t="s">
        <v>16195</v>
      </c>
      <c r="E12922" t="s">
        <v>27514</v>
      </c>
      <c r="F12922" t="s">
        <v>28198</v>
      </c>
      <c r="G12922" t="s">
        <v>28205</v>
      </c>
      <c r="H12922" t="s">
        <v>28214</v>
      </c>
      <c r="I12922" t="s">
        <v>3797</v>
      </c>
      <c r="J12922" t="s">
        <v>28390</v>
      </c>
      <c r="K12922" t="s">
        <v>36812</v>
      </c>
      <c r="M12922" t="s">
        <v>39023</v>
      </c>
      <c r="N12922" t="s">
        <v>40436</v>
      </c>
      <c r="O12922" t="s">
        <v>40437</v>
      </c>
      <c r="P12922">
        <v>0</v>
      </c>
      <c r="Q12922">
        <v>7</v>
      </c>
      <c r="R12922" t="s">
        <v>40460</v>
      </c>
      <c r="S12922" t="s">
        <v>41482</v>
      </c>
      <c r="T12922" t="s">
        <v>42152</v>
      </c>
      <c r="U12922" t="s">
        <v>53216</v>
      </c>
      <c r="W12922" t="s">
        <v>39023</v>
      </c>
      <c r="X12922" t="s">
        <v>40461</v>
      </c>
    </row>
    <row r="12923" spans="1:24">
      <c r="A12923">
        <f>HYPERLINK("https://www.philgeps.gov.ph/GEPSNONPILOT/Tender/SplashBidNoticeAbstractUI.aspx?menuIndex=3&amp;refID=7008620&amp;Result=3","7008620")</f>
        <v>0</v>
      </c>
      <c r="B12923" t="s">
        <v>943</v>
      </c>
      <c r="C12923" t="s">
        <v>15462</v>
      </c>
      <c r="D12923" t="s">
        <v>16193</v>
      </c>
      <c r="E12923" t="s">
        <v>27515</v>
      </c>
      <c r="F12923" t="s">
        <v>28198</v>
      </c>
      <c r="G12923" t="s">
        <v>28205</v>
      </c>
      <c r="H12923" t="s">
        <v>28214</v>
      </c>
      <c r="I12923" t="s">
        <v>3797</v>
      </c>
      <c r="J12923" t="s">
        <v>29566</v>
      </c>
      <c r="K12923" t="s">
        <v>36697</v>
      </c>
      <c r="M12923" t="s">
        <v>38717</v>
      </c>
      <c r="N12923" t="s">
        <v>40436</v>
      </c>
      <c r="O12923" t="s">
        <v>40437</v>
      </c>
      <c r="Q12923">
        <v>5</v>
      </c>
      <c r="R12923" t="s">
        <v>40462</v>
      </c>
      <c r="S12923" t="s">
        <v>41500</v>
      </c>
      <c r="T12923" t="s">
        <v>42103</v>
      </c>
      <c r="U12923" t="s">
        <v>53217</v>
      </c>
      <c r="W12923" t="s">
        <v>38717</v>
      </c>
      <c r="X12923" t="s">
        <v>40463</v>
      </c>
    </row>
    <row r="12924" spans="1:24">
      <c r="A12924">
        <f>HYPERLINK("https://www.philgeps.gov.ph/GEPSNONPILOT/Tender/SplashBidNoticeAbstractUI.aspx?menuIndex=3&amp;refID=7008598&amp;Result=3","7008598")</f>
        <v>0</v>
      </c>
      <c r="B12924" t="s">
        <v>943</v>
      </c>
      <c r="C12924" t="s">
        <v>15463</v>
      </c>
      <c r="D12924" t="s">
        <v>16193</v>
      </c>
      <c r="E12924" t="s">
        <v>27516</v>
      </c>
      <c r="F12924" t="s">
        <v>28198</v>
      </c>
      <c r="G12924" t="s">
        <v>28205</v>
      </c>
      <c r="H12924" t="s">
        <v>28214</v>
      </c>
      <c r="I12924" t="s">
        <v>3797</v>
      </c>
      <c r="J12924" t="s">
        <v>29632</v>
      </c>
      <c r="K12924" t="s">
        <v>36694</v>
      </c>
      <c r="M12924" t="s">
        <v>38717</v>
      </c>
      <c r="N12924" t="s">
        <v>40436</v>
      </c>
      <c r="O12924" t="s">
        <v>40437</v>
      </c>
      <c r="Q12924">
        <v>4</v>
      </c>
      <c r="R12924" t="s">
        <v>40462</v>
      </c>
      <c r="S12924" t="s">
        <v>41501</v>
      </c>
      <c r="T12924" t="s">
        <v>42103</v>
      </c>
      <c r="U12924" t="s">
        <v>53217</v>
      </c>
      <c r="W12924" t="s">
        <v>38717</v>
      </c>
      <c r="X12924" t="s">
        <v>40463</v>
      </c>
    </row>
    <row r="12925" spans="1:24">
      <c r="A12925">
        <f>HYPERLINK("https://www.philgeps.gov.ph/GEPSNONPILOT/Tender/SplashBidNoticeAbstractUI.aspx?menuIndex=3&amp;refID=7009605&amp;Result=3","7009605")</f>
        <v>0</v>
      </c>
      <c r="B12925" t="s">
        <v>3034</v>
      </c>
      <c r="C12925" t="s">
        <v>15464</v>
      </c>
      <c r="D12925" t="s">
        <v>16196</v>
      </c>
      <c r="E12925" t="s">
        <v>27517</v>
      </c>
      <c r="F12925" t="s">
        <v>28198</v>
      </c>
      <c r="G12925" t="s">
        <v>28205</v>
      </c>
      <c r="H12925" t="s">
        <v>28214</v>
      </c>
      <c r="I12925" t="s">
        <v>3797</v>
      </c>
      <c r="J12925" t="s">
        <v>29479</v>
      </c>
      <c r="K12925" t="s">
        <v>36957</v>
      </c>
      <c r="M12925" t="s">
        <v>40336</v>
      </c>
      <c r="N12925" t="s">
        <v>40436</v>
      </c>
      <c r="O12925" t="s">
        <v>40437</v>
      </c>
      <c r="P12925">
        <v>0</v>
      </c>
      <c r="Q12925">
        <v>18</v>
      </c>
      <c r="R12925" t="s">
        <v>40460</v>
      </c>
      <c r="S12925" t="s">
        <v>41482</v>
      </c>
      <c r="T12925" t="s">
        <v>42385</v>
      </c>
      <c r="U12925" t="s">
        <v>53209</v>
      </c>
      <c r="W12925" t="s">
        <v>40336</v>
      </c>
      <c r="X12925" t="s">
        <v>40461</v>
      </c>
    </row>
    <row r="12926" spans="1:24">
      <c r="A12926">
        <f>HYPERLINK("https://www.philgeps.gov.ph/GEPSNONPILOT/Tender/SplashBidNoticeAbstractUI.aspx?menuIndex=3&amp;refID=7008618&amp;Result=3","7008618")</f>
        <v>0</v>
      </c>
      <c r="B12926" t="s">
        <v>943</v>
      </c>
      <c r="C12926" t="s">
        <v>15465</v>
      </c>
      <c r="D12926" t="s">
        <v>16193</v>
      </c>
      <c r="E12926" t="s">
        <v>27518</v>
      </c>
      <c r="F12926" t="s">
        <v>28198</v>
      </c>
      <c r="G12926" t="s">
        <v>28205</v>
      </c>
      <c r="H12926" t="s">
        <v>28214</v>
      </c>
      <c r="I12926" t="s">
        <v>3797</v>
      </c>
      <c r="J12926" t="s">
        <v>28468</v>
      </c>
      <c r="K12926" t="s">
        <v>36861</v>
      </c>
      <c r="M12926" t="s">
        <v>38717</v>
      </c>
      <c r="N12926" t="s">
        <v>40436</v>
      </c>
      <c r="O12926" t="s">
        <v>40437</v>
      </c>
      <c r="Q12926">
        <v>4</v>
      </c>
      <c r="R12926" t="s">
        <v>40462</v>
      </c>
      <c r="S12926" t="s">
        <v>41502</v>
      </c>
      <c r="T12926" t="s">
        <v>42103</v>
      </c>
      <c r="U12926" t="s">
        <v>53218</v>
      </c>
      <c r="W12926" t="s">
        <v>38717</v>
      </c>
      <c r="X12926" t="s">
        <v>40463</v>
      </c>
    </row>
    <row r="12927" spans="1:24">
      <c r="A12927">
        <f>HYPERLINK("https://www.philgeps.gov.ph/GEPSNONPILOT/Tender/SplashBidNoticeAbstractUI.aspx?menuIndex=3&amp;refID=7008434&amp;Result=3","7008434")</f>
        <v>0</v>
      </c>
      <c r="B12927" t="s">
        <v>3040</v>
      </c>
      <c r="C12927" t="s">
        <v>15466</v>
      </c>
      <c r="D12927" t="s">
        <v>16246</v>
      </c>
      <c r="E12927" t="s">
        <v>27519</v>
      </c>
      <c r="F12927" t="s">
        <v>28198</v>
      </c>
      <c r="G12927" t="s">
        <v>28208</v>
      </c>
      <c r="H12927" t="s">
        <v>28214</v>
      </c>
      <c r="I12927" t="s">
        <v>3797</v>
      </c>
      <c r="J12927" t="s">
        <v>36251</v>
      </c>
      <c r="K12927" t="s">
        <v>36692</v>
      </c>
      <c r="M12927" t="s">
        <v>40342</v>
      </c>
      <c r="N12927" t="s">
        <v>40436</v>
      </c>
      <c r="O12927" t="s">
        <v>40437</v>
      </c>
      <c r="Q12927">
        <v>0</v>
      </c>
      <c r="R12927" t="s">
        <v>40462</v>
      </c>
      <c r="S12927" t="s">
        <v>41398</v>
      </c>
      <c r="T12927" t="s">
        <v>42233</v>
      </c>
      <c r="U12927" t="s">
        <v>53219</v>
      </c>
      <c r="W12927" t="s">
        <v>40342</v>
      </c>
      <c r="X12927" t="s">
        <v>40463</v>
      </c>
    </row>
    <row r="12928" spans="1:24">
      <c r="A12928">
        <f>HYPERLINK("https://www.philgeps.gov.ph/GEPSNONPILOT/Tender/SplashBidNoticeAbstractUI.aspx?menuIndex=3&amp;refID=7008616&amp;Result=3","7008616")</f>
        <v>0</v>
      </c>
      <c r="B12928" t="s">
        <v>943</v>
      </c>
      <c r="C12928" t="s">
        <v>15467</v>
      </c>
      <c r="D12928" t="s">
        <v>16193</v>
      </c>
      <c r="E12928" t="s">
        <v>27520</v>
      </c>
      <c r="F12928" t="s">
        <v>28198</v>
      </c>
      <c r="G12928" t="s">
        <v>28205</v>
      </c>
      <c r="H12928" t="s">
        <v>28214</v>
      </c>
      <c r="I12928" t="s">
        <v>3797</v>
      </c>
      <c r="J12928" t="s">
        <v>29552</v>
      </c>
      <c r="K12928" t="s">
        <v>36692</v>
      </c>
      <c r="M12928" t="s">
        <v>38717</v>
      </c>
      <c r="N12928" t="s">
        <v>40436</v>
      </c>
      <c r="O12928" t="s">
        <v>40437</v>
      </c>
      <c r="Q12928">
        <v>4</v>
      </c>
      <c r="R12928" t="s">
        <v>40462</v>
      </c>
      <c r="S12928" t="s">
        <v>41503</v>
      </c>
      <c r="T12928" t="s">
        <v>42103</v>
      </c>
      <c r="U12928" t="s">
        <v>53217</v>
      </c>
      <c r="W12928" t="s">
        <v>38717</v>
      </c>
      <c r="X12928" t="s">
        <v>40463</v>
      </c>
    </row>
    <row r="12929" spans="1:24">
      <c r="A12929">
        <f>HYPERLINK("https://www.philgeps.gov.ph/GEPSNONPILOT/Tender/SplashBidNoticeAbstractUI.aspx?menuIndex=3&amp;refID=7009545&amp;Result=3","7009545")</f>
        <v>0</v>
      </c>
      <c r="B12929" t="s">
        <v>1745</v>
      </c>
      <c r="C12929" t="s">
        <v>15468</v>
      </c>
      <c r="D12929" t="s">
        <v>16260</v>
      </c>
      <c r="E12929" t="s">
        <v>27521</v>
      </c>
      <c r="F12929" t="s">
        <v>28198</v>
      </c>
      <c r="G12929" t="s">
        <v>28205</v>
      </c>
      <c r="H12929" t="s">
        <v>28215</v>
      </c>
      <c r="I12929" t="s">
        <v>6051</v>
      </c>
      <c r="J12929" t="s">
        <v>36252</v>
      </c>
      <c r="K12929" t="s">
        <v>36694</v>
      </c>
      <c r="M12929" t="s">
        <v>38857</v>
      </c>
      <c r="N12929" t="s">
        <v>40436</v>
      </c>
      <c r="O12929" t="s">
        <v>40437</v>
      </c>
      <c r="Q12929">
        <v>6</v>
      </c>
      <c r="R12929" t="s">
        <v>40460</v>
      </c>
      <c r="S12929" t="s">
        <v>41504</v>
      </c>
      <c r="T12929" t="s">
        <v>42188</v>
      </c>
      <c r="U12929" t="s">
        <v>53220</v>
      </c>
      <c r="W12929" t="s">
        <v>38857</v>
      </c>
      <c r="X12929" t="s">
        <v>40461</v>
      </c>
    </row>
    <row r="12930" spans="1:24">
      <c r="A12930">
        <f>HYPERLINK("https://www.philgeps.gov.ph/GEPSNONPILOT/Tender/SplashBidNoticeAbstractUI.aspx?menuIndex=3&amp;refID=7009390&amp;Result=3","7009390")</f>
        <v>0</v>
      </c>
      <c r="B12930" t="s">
        <v>1745</v>
      </c>
      <c r="C12930" t="s">
        <v>15469</v>
      </c>
      <c r="D12930" t="s">
        <v>16243</v>
      </c>
      <c r="E12930" t="s">
        <v>27522</v>
      </c>
      <c r="F12930" t="s">
        <v>28198</v>
      </c>
      <c r="G12930" t="s">
        <v>28205</v>
      </c>
      <c r="H12930" t="s">
        <v>28215</v>
      </c>
      <c r="I12930" t="s">
        <v>6051</v>
      </c>
      <c r="J12930" t="s">
        <v>36253</v>
      </c>
      <c r="K12930" t="s">
        <v>36694</v>
      </c>
      <c r="M12930" t="s">
        <v>38857</v>
      </c>
      <c r="N12930" t="s">
        <v>40436</v>
      </c>
      <c r="O12930" t="s">
        <v>40437</v>
      </c>
      <c r="Q12930">
        <v>5</v>
      </c>
      <c r="R12930" t="s">
        <v>40460</v>
      </c>
      <c r="S12930" t="s">
        <v>41505</v>
      </c>
      <c r="T12930" t="s">
        <v>42188</v>
      </c>
      <c r="U12930" t="s">
        <v>53221</v>
      </c>
      <c r="W12930" t="s">
        <v>38857</v>
      </c>
      <c r="X12930" t="s">
        <v>40461</v>
      </c>
    </row>
    <row r="12931" spans="1:24">
      <c r="A12931">
        <f>HYPERLINK("https://www.philgeps.gov.ph/GEPSNONPILOT/Tender/SplashBidNoticeAbstractUI.aspx?menuIndex=3&amp;refID=7008461&amp;Result=3","7008461")</f>
        <v>0</v>
      </c>
      <c r="B12931" t="s">
        <v>338</v>
      </c>
      <c r="C12931" t="s">
        <v>15470</v>
      </c>
      <c r="D12931" t="s">
        <v>16187</v>
      </c>
      <c r="E12931" t="s">
        <v>27523</v>
      </c>
      <c r="F12931" t="s">
        <v>28198</v>
      </c>
      <c r="G12931" t="s">
        <v>28206</v>
      </c>
      <c r="H12931" t="s">
        <v>28215</v>
      </c>
      <c r="I12931" t="s">
        <v>28266</v>
      </c>
      <c r="J12931" t="s">
        <v>36254</v>
      </c>
      <c r="K12931" t="s">
        <v>36698</v>
      </c>
      <c r="M12931" t="s">
        <v>37316</v>
      </c>
      <c r="N12931" t="s">
        <v>40436</v>
      </c>
      <c r="O12931" t="s">
        <v>40437</v>
      </c>
      <c r="Q12931">
        <v>3</v>
      </c>
      <c r="R12931" t="s">
        <v>40462</v>
      </c>
      <c r="S12931" t="s">
        <v>41506</v>
      </c>
      <c r="T12931" t="s">
        <v>42297</v>
      </c>
      <c r="U12931" t="s">
        <v>53222</v>
      </c>
      <c r="W12931" t="s">
        <v>37316</v>
      </c>
      <c r="X12931" t="s">
        <v>40463</v>
      </c>
    </row>
    <row r="12932" spans="1:24">
      <c r="A12932">
        <f>HYPERLINK("https://www.philgeps.gov.ph/GEPSNONPILOT/Tender/SplashBidNoticeAbstractUI.aspx?menuIndex=3&amp;refID=7007823&amp;Result=3","7007823")</f>
        <v>0</v>
      </c>
      <c r="B12932" t="s">
        <v>1792</v>
      </c>
      <c r="C12932" t="s">
        <v>15471</v>
      </c>
      <c r="D12932" t="s">
        <v>16210</v>
      </c>
      <c r="E12932" t="s">
        <v>27524</v>
      </c>
      <c r="F12932" t="s">
        <v>28198</v>
      </c>
      <c r="G12932" t="s">
        <v>28210</v>
      </c>
      <c r="H12932" t="s">
        <v>28215</v>
      </c>
      <c r="I12932" t="s">
        <v>5082</v>
      </c>
      <c r="J12932" t="s">
        <v>36255</v>
      </c>
      <c r="K12932" t="s">
        <v>36688</v>
      </c>
      <c r="M12932" t="s">
        <v>38909</v>
      </c>
      <c r="N12932" t="s">
        <v>40436</v>
      </c>
      <c r="O12932" t="s">
        <v>40437</v>
      </c>
      <c r="Q12932">
        <v>7</v>
      </c>
      <c r="R12932" t="s">
        <v>40462</v>
      </c>
      <c r="S12932" t="s">
        <v>41507</v>
      </c>
      <c r="T12932" t="s">
        <v>42378</v>
      </c>
      <c r="U12932" t="s">
        <v>53223</v>
      </c>
      <c r="W12932" t="s">
        <v>38909</v>
      </c>
      <c r="X12932" t="s">
        <v>40463</v>
      </c>
    </row>
    <row r="12933" spans="1:24">
      <c r="A12933">
        <f>HYPERLINK("https://www.philgeps.gov.ph/GEPSNONPILOT/Tender/SplashBidNoticeAbstractUI.aspx?menuIndex=3&amp;refID=7007704&amp;Result=3","7007704")</f>
        <v>0</v>
      </c>
      <c r="B12933" t="s">
        <v>3041</v>
      </c>
      <c r="C12933" t="s">
        <v>13913</v>
      </c>
      <c r="D12933" t="s">
        <v>16244</v>
      </c>
      <c r="E12933" t="s">
        <v>27525</v>
      </c>
      <c r="F12933" t="s">
        <v>28198</v>
      </c>
      <c r="G12933" t="s">
        <v>28205</v>
      </c>
      <c r="H12933" t="s">
        <v>28214</v>
      </c>
      <c r="I12933" t="s">
        <v>3797</v>
      </c>
      <c r="J12933" t="s">
        <v>28347</v>
      </c>
      <c r="K12933" t="s">
        <v>36701</v>
      </c>
      <c r="M12933" t="s">
        <v>40343</v>
      </c>
      <c r="N12933" t="s">
        <v>40436</v>
      </c>
      <c r="O12933" t="s">
        <v>40437</v>
      </c>
      <c r="P12933">
        <v>0</v>
      </c>
      <c r="Q12933">
        <v>0</v>
      </c>
      <c r="R12933" t="s">
        <v>40462</v>
      </c>
      <c r="S12933" t="s">
        <v>41508</v>
      </c>
      <c r="T12933" t="s">
        <v>42124</v>
      </c>
      <c r="U12933" t="s">
        <v>53224</v>
      </c>
      <c r="V12933" t="s">
        <v>55271</v>
      </c>
      <c r="W12933" t="s">
        <v>40343</v>
      </c>
      <c r="X12933" t="s">
        <v>40463</v>
      </c>
    </row>
    <row r="12934" spans="1:24">
      <c r="A12934">
        <f>HYPERLINK("https://www.philgeps.gov.ph/GEPSNONPILOT/Tender/SplashBidNoticeAbstractUI.aspx?menuIndex=3&amp;refID=7007306&amp;Result=3","7007306")</f>
        <v>0</v>
      </c>
      <c r="B12934" t="s">
        <v>1189</v>
      </c>
      <c r="C12934" t="s">
        <v>15472</v>
      </c>
      <c r="D12934" t="s">
        <v>16235</v>
      </c>
      <c r="E12934" t="s">
        <v>27526</v>
      </c>
      <c r="F12934" t="s">
        <v>28198</v>
      </c>
      <c r="G12934" t="s">
        <v>28205</v>
      </c>
      <c r="H12934" t="s">
        <v>28215</v>
      </c>
      <c r="I12934" t="s">
        <v>28234</v>
      </c>
      <c r="J12934" t="s">
        <v>31789</v>
      </c>
      <c r="K12934" t="s">
        <v>36701</v>
      </c>
      <c r="M12934" t="s">
        <v>40230</v>
      </c>
      <c r="N12934" t="s">
        <v>40436</v>
      </c>
      <c r="O12934" t="s">
        <v>40437</v>
      </c>
      <c r="P12934">
        <v>0</v>
      </c>
      <c r="Q12934">
        <v>14</v>
      </c>
      <c r="R12934" t="s">
        <v>40462</v>
      </c>
      <c r="S12934" t="s">
        <v>41508</v>
      </c>
      <c r="T12934" t="s">
        <v>42250</v>
      </c>
      <c r="U12934" t="s">
        <v>53225</v>
      </c>
      <c r="W12934" t="s">
        <v>40230</v>
      </c>
      <c r="X12934" t="s">
        <v>40463</v>
      </c>
    </row>
    <row r="12935" spans="1:24">
      <c r="A12935">
        <f>HYPERLINK("https://www.philgeps.gov.ph/GEPSNONPILOT/Tender/SplashBidNoticeAbstractUI.aspx?menuIndex=3&amp;refID=7007930&amp;Result=3","7007930")</f>
        <v>0</v>
      </c>
      <c r="B12935" t="s">
        <v>3041</v>
      </c>
      <c r="C12935" t="s">
        <v>15473</v>
      </c>
      <c r="D12935" t="s">
        <v>16244</v>
      </c>
      <c r="E12935" t="s">
        <v>27527</v>
      </c>
      <c r="F12935" t="s">
        <v>28198</v>
      </c>
      <c r="G12935" t="s">
        <v>28205</v>
      </c>
      <c r="H12935" t="s">
        <v>28214</v>
      </c>
      <c r="I12935" t="s">
        <v>5100</v>
      </c>
      <c r="J12935" t="s">
        <v>28398</v>
      </c>
      <c r="K12935" t="s">
        <v>36701</v>
      </c>
      <c r="M12935" t="s">
        <v>40343</v>
      </c>
      <c r="N12935" t="s">
        <v>40436</v>
      </c>
      <c r="O12935" t="s">
        <v>40437</v>
      </c>
      <c r="P12935">
        <v>0</v>
      </c>
      <c r="Q12935">
        <v>1</v>
      </c>
      <c r="R12935" t="s">
        <v>40462</v>
      </c>
      <c r="S12935" t="s">
        <v>41508</v>
      </c>
      <c r="T12935" t="s">
        <v>42124</v>
      </c>
      <c r="U12935" t="s">
        <v>53226</v>
      </c>
      <c r="V12935" t="s">
        <v>55272</v>
      </c>
      <c r="W12935" t="s">
        <v>40343</v>
      </c>
      <c r="X12935" t="s">
        <v>40463</v>
      </c>
    </row>
    <row r="12936" spans="1:24">
      <c r="A12936">
        <f>HYPERLINK("https://www.philgeps.gov.ph/GEPSNONPILOT/Tender/SplashBidNoticeAbstractUI.aspx?menuIndex=3&amp;refID=7004374&amp;Result=3","7004374")</f>
        <v>0</v>
      </c>
      <c r="B12936" t="s">
        <v>989</v>
      </c>
      <c r="C12936" t="s">
        <v>15474</v>
      </c>
      <c r="D12936" t="s">
        <v>16192</v>
      </c>
      <c r="E12936" t="s">
        <v>27528</v>
      </c>
      <c r="F12936" t="s">
        <v>28198</v>
      </c>
      <c r="G12936" t="s">
        <v>28209</v>
      </c>
      <c r="H12936" t="s">
        <v>28214</v>
      </c>
      <c r="I12936" t="s">
        <v>3797</v>
      </c>
      <c r="J12936" t="s">
        <v>36256</v>
      </c>
      <c r="K12936" t="s">
        <v>36761</v>
      </c>
      <c r="M12936" t="s">
        <v>38016</v>
      </c>
      <c r="N12936" t="s">
        <v>40436</v>
      </c>
      <c r="O12936" t="s">
        <v>40437</v>
      </c>
      <c r="Q12936">
        <v>2</v>
      </c>
      <c r="R12936" t="s">
        <v>40462</v>
      </c>
      <c r="S12936" t="s">
        <v>41509</v>
      </c>
      <c r="T12936" t="s">
        <v>42111</v>
      </c>
      <c r="U12936" t="s">
        <v>53227</v>
      </c>
      <c r="W12936" t="s">
        <v>38016</v>
      </c>
      <c r="X12936" t="s">
        <v>40465</v>
      </c>
    </row>
    <row r="12937" spans="1:24">
      <c r="A12937">
        <f>HYPERLINK("https://www.philgeps.gov.ph/GEPSNONPILOT/Tender/SplashBidNoticeAbstractUI.aspx?menuIndex=3&amp;refID=7006792&amp;Result=3","7006792")</f>
        <v>0</v>
      </c>
      <c r="B12937" t="s">
        <v>482</v>
      </c>
      <c r="C12937" t="s">
        <v>15475</v>
      </c>
      <c r="D12937" t="s">
        <v>16215</v>
      </c>
      <c r="E12937" t="s">
        <v>27529</v>
      </c>
      <c r="F12937" t="s">
        <v>28198</v>
      </c>
      <c r="G12937" t="s">
        <v>28205</v>
      </c>
      <c r="H12937" t="s">
        <v>28214</v>
      </c>
      <c r="I12937" t="s">
        <v>3797</v>
      </c>
      <c r="J12937" t="s">
        <v>28398</v>
      </c>
      <c r="K12937" t="s">
        <v>36697</v>
      </c>
      <c r="M12937" t="s">
        <v>37467</v>
      </c>
      <c r="N12937" t="s">
        <v>40436</v>
      </c>
      <c r="O12937" t="s">
        <v>40437</v>
      </c>
      <c r="P12937">
        <v>0</v>
      </c>
      <c r="Q12937">
        <v>1</v>
      </c>
      <c r="R12937" t="s">
        <v>40463</v>
      </c>
      <c r="S12937" t="s">
        <v>41510</v>
      </c>
      <c r="T12937" t="s">
        <v>42216</v>
      </c>
      <c r="U12937" t="s">
        <v>53228</v>
      </c>
      <c r="W12937" t="s">
        <v>37467</v>
      </c>
      <c r="X12937" t="s">
        <v>40464</v>
      </c>
    </row>
    <row r="12938" spans="1:24">
      <c r="A12938">
        <f>HYPERLINK("https://www.philgeps.gov.ph/GEPSNONPILOT/Tender/SplashBidNoticeAbstractUI.aspx?menuIndex=3&amp;refID=7006770&amp;Result=3","7006770")</f>
        <v>0</v>
      </c>
      <c r="B12938" t="s">
        <v>482</v>
      </c>
      <c r="C12938" t="s">
        <v>15476</v>
      </c>
      <c r="D12938" t="s">
        <v>16215</v>
      </c>
      <c r="E12938" t="s">
        <v>27530</v>
      </c>
      <c r="F12938" t="s">
        <v>28198</v>
      </c>
      <c r="G12938" t="s">
        <v>28205</v>
      </c>
      <c r="H12938" t="s">
        <v>28214</v>
      </c>
      <c r="I12938" t="s">
        <v>3797</v>
      </c>
      <c r="J12938" t="s">
        <v>28351</v>
      </c>
      <c r="K12938" t="s">
        <v>36692</v>
      </c>
      <c r="M12938" t="s">
        <v>37467</v>
      </c>
      <c r="N12938" t="s">
        <v>40436</v>
      </c>
      <c r="O12938" t="s">
        <v>40437</v>
      </c>
      <c r="P12938">
        <v>0</v>
      </c>
      <c r="Q12938">
        <v>3</v>
      </c>
      <c r="R12938" t="s">
        <v>40463</v>
      </c>
      <c r="S12938" t="s">
        <v>41510</v>
      </c>
      <c r="T12938" t="s">
        <v>42216</v>
      </c>
      <c r="U12938" t="s">
        <v>53228</v>
      </c>
      <c r="W12938" t="s">
        <v>37467</v>
      </c>
      <c r="X12938" t="s">
        <v>40464</v>
      </c>
    </row>
    <row r="12939" spans="1:24">
      <c r="A12939">
        <f>HYPERLINK("https://www.philgeps.gov.ph/GEPSNONPILOT/Tender/SplashBidNoticeAbstractUI.aspx?menuIndex=3&amp;refID=7006780&amp;Result=3","7006780")</f>
        <v>0</v>
      </c>
      <c r="B12939" t="s">
        <v>482</v>
      </c>
      <c r="C12939" t="s">
        <v>15477</v>
      </c>
      <c r="D12939" t="s">
        <v>16215</v>
      </c>
      <c r="E12939" t="s">
        <v>27531</v>
      </c>
      <c r="F12939" t="s">
        <v>28198</v>
      </c>
      <c r="G12939" t="s">
        <v>28205</v>
      </c>
      <c r="H12939" t="s">
        <v>28214</v>
      </c>
      <c r="I12939" t="s">
        <v>3797</v>
      </c>
      <c r="J12939" t="s">
        <v>28468</v>
      </c>
      <c r="K12939" t="s">
        <v>36692</v>
      </c>
      <c r="M12939" t="s">
        <v>37467</v>
      </c>
      <c r="N12939" t="s">
        <v>40436</v>
      </c>
      <c r="O12939" t="s">
        <v>40437</v>
      </c>
      <c r="P12939">
        <v>0</v>
      </c>
      <c r="Q12939">
        <v>3</v>
      </c>
      <c r="R12939" t="s">
        <v>40463</v>
      </c>
      <c r="S12939" t="s">
        <v>41510</v>
      </c>
      <c r="T12939" t="s">
        <v>42216</v>
      </c>
      <c r="U12939" t="s">
        <v>53228</v>
      </c>
      <c r="W12939" t="s">
        <v>37467</v>
      </c>
      <c r="X12939" t="s">
        <v>40464</v>
      </c>
    </row>
    <row r="12940" spans="1:24">
      <c r="A12940">
        <f>HYPERLINK("https://www.philgeps.gov.ph/GEPSNONPILOT/Tender/SplashBidNoticeAbstractUI.aspx?menuIndex=3&amp;refID=7007843&amp;Result=3","7007843")</f>
        <v>0</v>
      </c>
      <c r="B12940" t="s">
        <v>3041</v>
      </c>
      <c r="C12940" t="s">
        <v>15478</v>
      </c>
      <c r="D12940" t="s">
        <v>16244</v>
      </c>
      <c r="E12940" t="s">
        <v>27532</v>
      </c>
      <c r="F12940" t="s">
        <v>28198</v>
      </c>
      <c r="G12940" t="s">
        <v>28205</v>
      </c>
      <c r="H12940" t="s">
        <v>28214</v>
      </c>
      <c r="I12940" t="s">
        <v>3797</v>
      </c>
      <c r="J12940" t="s">
        <v>28927</v>
      </c>
      <c r="K12940" t="s">
        <v>36697</v>
      </c>
      <c r="M12940" t="s">
        <v>40343</v>
      </c>
      <c r="N12940" t="s">
        <v>40436</v>
      </c>
      <c r="O12940" t="s">
        <v>40437</v>
      </c>
      <c r="P12940">
        <v>0</v>
      </c>
      <c r="Q12940">
        <v>0</v>
      </c>
      <c r="R12940" t="s">
        <v>40462</v>
      </c>
      <c r="S12940" t="s">
        <v>41508</v>
      </c>
      <c r="T12940" t="s">
        <v>42124</v>
      </c>
      <c r="U12940" t="s">
        <v>53229</v>
      </c>
      <c r="V12940" t="s">
        <v>55273</v>
      </c>
      <c r="W12940" t="s">
        <v>40343</v>
      </c>
      <c r="X12940" t="s">
        <v>40463</v>
      </c>
    </row>
    <row r="12941" spans="1:24">
      <c r="A12941">
        <f>HYPERLINK("https://www.philgeps.gov.ph/GEPSNONPILOT/Tender/SplashBidNoticeAbstractUI.aspx?menuIndex=3&amp;refID=7006646&amp;Result=3","7006646")</f>
        <v>0</v>
      </c>
      <c r="B12941" t="s">
        <v>1112</v>
      </c>
      <c r="C12941" t="s">
        <v>15479</v>
      </c>
      <c r="D12941" t="s">
        <v>16191</v>
      </c>
      <c r="E12941" t="s">
        <v>27533</v>
      </c>
      <c r="F12941" t="s">
        <v>28198</v>
      </c>
      <c r="G12941" t="s">
        <v>28206</v>
      </c>
      <c r="H12941" t="s">
        <v>28215</v>
      </c>
      <c r="I12941" t="s">
        <v>28225</v>
      </c>
      <c r="J12941" t="s">
        <v>36257</v>
      </c>
      <c r="K12941" t="s">
        <v>36707</v>
      </c>
      <c r="M12941" t="s">
        <v>38149</v>
      </c>
      <c r="N12941" t="s">
        <v>40436</v>
      </c>
      <c r="O12941" t="s">
        <v>40437</v>
      </c>
      <c r="Q12941">
        <v>6</v>
      </c>
      <c r="R12941" t="s">
        <v>40463</v>
      </c>
      <c r="S12941" t="s">
        <v>41511</v>
      </c>
      <c r="T12941" t="s">
        <v>42115</v>
      </c>
      <c r="U12941" t="s">
        <v>53230</v>
      </c>
      <c r="V12941" t="s">
        <v>54089</v>
      </c>
      <c r="W12941" t="s">
        <v>38149</v>
      </c>
      <c r="X12941" t="s">
        <v>40464</v>
      </c>
    </row>
    <row r="12942" spans="1:24">
      <c r="A12942">
        <f>HYPERLINK("https://www.philgeps.gov.ph/GEPSNONPILOT/Tender/SplashBidNoticeAbstractUI.aspx?menuIndex=3&amp;refID=7006572&amp;Result=3","7006572")</f>
        <v>0</v>
      </c>
      <c r="B12942" t="s">
        <v>1338</v>
      </c>
      <c r="C12942" t="s">
        <v>15480</v>
      </c>
      <c r="D12942" t="s">
        <v>16197</v>
      </c>
      <c r="E12942" t="s">
        <v>27534</v>
      </c>
      <c r="F12942" t="s">
        <v>28201</v>
      </c>
      <c r="G12942" t="s">
        <v>28205</v>
      </c>
      <c r="H12942" t="s">
        <v>28214</v>
      </c>
      <c r="I12942" t="s">
        <v>3797</v>
      </c>
      <c r="J12942" t="s">
        <v>36258</v>
      </c>
      <c r="K12942" t="s">
        <v>36834</v>
      </c>
      <c r="M12942" t="s">
        <v>38396</v>
      </c>
      <c r="N12942" t="s">
        <v>40436</v>
      </c>
      <c r="O12942" t="s">
        <v>40437</v>
      </c>
      <c r="Q12942">
        <v>6</v>
      </c>
      <c r="R12942" t="s">
        <v>40463</v>
      </c>
      <c r="S12942" t="s">
        <v>41512</v>
      </c>
      <c r="T12942" t="s">
        <v>42218</v>
      </c>
      <c r="U12942" t="s">
        <v>53231</v>
      </c>
      <c r="W12942" t="s">
        <v>38396</v>
      </c>
      <c r="X12942" t="s">
        <v>40464</v>
      </c>
    </row>
    <row r="12943" spans="1:24">
      <c r="A12943">
        <f>HYPERLINK("https://www.philgeps.gov.ph/GEPSNONPILOT/Tender/SplashBidNoticeAbstractUI.aspx?menuIndex=3&amp;refID=7009425&amp;Result=3","7009425")</f>
        <v>0</v>
      </c>
      <c r="B12943" t="s">
        <v>1745</v>
      </c>
      <c r="C12943" t="s">
        <v>15481</v>
      </c>
      <c r="D12943" t="s">
        <v>16248</v>
      </c>
      <c r="E12943" t="s">
        <v>27535</v>
      </c>
      <c r="F12943" t="s">
        <v>28198</v>
      </c>
      <c r="G12943" t="s">
        <v>28205</v>
      </c>
      <c r="H12943" t="s">
        <v>28215</v>
      </c>
      <c r="I12943" t="s">
        <v>6051</v>
      </c>
      <c r="J12943" t="s">
        <v>36238</v>
      </c>
      <c r="K12943" t="s">
        <v>36694</v>
      </c>
      <c r="M12943" t="s">
        <v>38857</v>
      </c>
      <c r="N12943" t="s">
        <v>40436</v>
      </c>
      <c r="O12943" t="s">
        <v>40437</v>
      </c>
      <c r="Q12943">
        <v>4</v>
      </c>
      <c r="R12943" t="s">
        <v>40460</v>
      </c>
      <c r="S12943" t="s">
        <v>41481</v>
      </c>
      <c r="T12943" t="s">
        <v>42188</v>
      </c>
      <c r="U12943" t="s">
        <v>47044</v>
      </c>
      <c r="W12943" t="s">
        <v>38857</v>
      </c>
      <c r="X12943" t="s">
        <v>40461</v>
      </c>
    </row>
    <row r="12944" spans="1:24">
      <c r="A12944">
        <f>HYPERLINK("https://www.philgeps.gov.ph/GEPSNONPILOT/Tender/SplashBidNoticeAbstractUI.aspx?menuIndex=3&amp;refID=7006525&amp;Result=3","7006525")</f>
        <v>0</v>
      </c>
      <c r="B12944" t="s">
        <v>1338</v>
      </c>
      <c r="C12944" t="s">
        <v>15482</v>
      </c>
      <c r="D12944" t="s">
        <v>16197</v>
      </c>
      <c r="E12944" t="s">
        <v>27536</v>
      </c>
      <c r="F12944" t="s">
        <v>28201</v>
      </c>
      <c r="G12944" t="s">
        <v>28205</v>
      </c>
      <c r="H12944" t="s">
        <v>28215</v>
      </c>
      <c r="I12944" t="s">
        <v>28245</v>
      </c>
      <c r="J12944" t="s">
        <v>36259</v>
      </c>
      <c r="K12944" t="s">
        <v>36951</v>
      </c>
      <c r="M12944" t="s">
        <v>38396</v>
      </c>
      <c r="N12944" t="s">
        <v>40436</v>
      </c>
      <c r="O12944" t="s">
        <v>40437</v>
      </c>
      <c r="Q12944">
        <v>10</v>
      </c>
      <c r="R12944" t="s">
        <v>40463</v>
      </c>
      <c r="S12944" t="s">
        <v>41513</v>
      </c>
      <c r="T12944" t="s">
        <v>42218</v>
      </c>
      <c r="U12944" t="s">
        <v>53232</v>
      </c>
      <c r="W12944" t="s">
        <v>38396</v>
      </c>
      <c r="X12944" t="s">
        <v>40464</v>
      </c>
    </row>
    <row r="12945" spans="1:24">
      <c r="A12945">
        <f>HYPERLINK("https://www.philgeps.gov.ph/GEPSNONPILOT/Tender/SplashBidNoticeAbstractUI.aspx?menuIndex=3&amp;refID=7005846&amp;Result=3","7005846")</f>
        <v>0</v>
      </c>
      <c r="B12945" t="s">
        <v>1226</v>
      </c>
      <c r="C12945" t="s">
        <v>15483</v>
      </c>
      <c r="D12945" t="s">
        <v>16197</v>
      </c>
      <c r="E12945" t="s">
        <v>27537</v>
      </c>
      <c r="F12945" t="s">
        <v>28198</v>
      </c>
      <c r="G12945" t="s">
        <v>28205</v>
      </c>
      <c r="H12945" t="s">
        <v>28215</v>
      </c>
      <c r="I12945" t="s">
        <v>28300</v>
      </c>
      <c r="J12945" t="s">
        <v>36260</v>
      </c>
      <c r="K12945" t="s">
        <v>36737</v>
      </c>
      <c r="M12945" t="s">
        <v>38274</v>
      </c>
      <c r="N12945" t="s">
        <v>40436</v>
      </c>
      <c r="O12945" t="s">
        <v>40437</v>
      </c>
      <c r="P12945">
        <v>0</v>
      </c>
      <c r="Q12945">
        <v>4</v>
      </c>
      <c r="R12945" t="s">
        <v>40463</v>
      </c>
      <c r="S12945" t="s">
        <v>41510</v>
      </c>
      <c r="T12945" t="s">
        <v>42112</v>
      </c>
      <c r="U12945" t="s">
        <v>53233</v>
      </c>
      <c r="V12945" t="s">
        <v>55270</v>
      </c>
      <c r="W12945" t="s">
        <v>38274</v>
      </c>
      <c r="X12945" t="s">
        <v>40464</v>
      </c>
    </row>
    <row r="12946" spans="1:24">
      <c r="A12946">
        <f>HYPERLINK("https://www.philgeps.gov.ph/GEPSNONPILOT/Tender/SplashBidNoticeAbstractUI.aspx?menuIndex=3&amp;refID=7005827&amp;Result=3","7005827")</f>
        <v>0</v>
      </c>
      <c r="B12946" t="s">
        <v>587</v>
      </c>
      <c r="C12946" t="s">
        <v>15484</v>
      </c>
      <c r="D12946" t="s">
        <v>16230</v>
      </c>
      <c r="E12946" t="s">
        <v>27538</v>
      </c>
      <c r="F12946" t="s">
        <v>28198</v>
      </c>
      <c r="G12946" t="s">
        <v>28205</v>
      </c>
      <c r="H12946" t="s">
        <v>28214</v>
      </c>
      <c r="I12946" t="s">
        <v>8870</v>
      </c>
      <c r="J12946" t="s">
        <v>36261</v>
      </c>
      <c r="K12946" t="s">
        <v>36694</v>
      </c>
      <c r="M12946" t="s">
        <v>37576</v>
      </c>
      <c r="N12946" t="s">
        <v>40436</v>
      </c>
      <c r="O12946" t="s">
        <v>40437</v>
      </c>
      <c r="Q12946">
        <v>4</v>
      </c>
      <c r="R12946" t="s">
        <v>40463</v>
      </c>
      <c r="S12946" t="s">
        <v>41514</v>
      </c>
      <c r="T12946" t="s">
        <v>42218</v>
      </c>
      <c r="U12946" t="s">
        <v>53234</v>
      </c>
      <c r="W12946" t="s">
        <v>37576</v>
      </c>
      <c r="X12946" t="s">
        <v>40464</v>
      </c>
    </row>
    <row r="12947" spans="1:24">
      <c r="A12947">
        <f>HYPERLINK("https://www.philgeps.gov.ph/GEPSNONPILOT/Tender/SplashBidNoticeAbstractUI.aspx?menuIndex=3&amp;refID=7005264&amp;Result=3","7005264")</f>
        <v>0</v>
      </c>
      <c r="B12947" t="s">
        <v>280</v>
      </c>
      <c r="C12947" t="s">
        <v>15485</v>
      </c>
      <c r="D12947" t="s">
        <v>16254</v>
      </c>
      <c r="E12947" t="s">
        <v>27539</v>
      </c>
      <c r="F12947" t="s">
        <v>28198</v>
      </c>
      <c r="G12947" t="s">
        <v>28205</v>
      </c>
      <c r="H12947" t="s">
        <v>28214</v>
      </c>
      <c r="I12947" t="s">
        <v>3797</v>
      </c>
      <c r="J12947" t="s">
        <v>28363</v>
      </c>
      <c r="K12947" t="s">
        <v>36697</v>
      </c>
      <c r="M12947" t="s">
        <v>37257</v>
      </c>
      <c r="N12947" t="s">
        <v>40436</v>
      </c>
      <c r="O12947" t="s">
        <v>40437</v>
      </c>
      <c r="P12947">
        <v>0</v>
      </c>
      <c r="Q12947">
        <v>1</v>
      </c>
      <c r="R12947" t="s">
        <v>40463</v>
      </c>
      <c r="S12947" t="s">
        <v>41510</v>
      </c>
      <c r="T12947" t="s">
        <v>42128</v>
      </c>
      <c r="U12947" t="s">
        <v>43061</v>
      </c>
      <c r="W12947" t="s">
        <v>37257</v>
      </c>
      <c r="X12947" t="s">
        <v>40464</v>
      </c>
    </row>
    <row r="12948" spans="1:24">
      <c r="A12948">
        <f>HYPERLINK("https://www.philgeps.gov.ph/GEPSNONPILOT/Tender/SplashBidNoticeAbstractUI.aspx?menuIndex=3&amp;refID=7006131&amp;Result=3","7006131")</f>
        <v>0</v>
      </c>
      <c r="B12948" t="s">
        <v>847</v>
      </c>
      <c r="C12948" t="s">
        <v>15486</v>
      </c>
      <c r="E12948" t="s">
        <v>27540</v>
      </c>
      <c r="F12948" t="s">
        <v>28200</v>
      </c>
      <c r="G12948" t="s">
        <v>28213</v>
      </c>
      <c r="H12948" t="s">
        <v>28214</v>
      </c>
      <c r="I12948" t="s">
        <v>3797</v>
      </c>
      <c r="J12948" t="s">
        <v>32078</v>
      </c>
      <c r="K12948" t="s">
        <v>36977</v>
      </c>
      <c r="M12948" t="s">
        <v>40215</v>
      </c>
      <c r="N12948" t="s">
        <v>40436</v>
      </c>
      <c r="O12948" t="s">
        <v>40437</v>
      </c>
      <c r="P12948">
        <v>0</v>
      </c>
      <c r="Q12948">
        <v>16</v>
      </c>
      <c r="R12948" t="s">
        <v>40463</v>
      </c>
      <c r="S12948" t="s">
        <v>41510</v>
      </c>
      <c r="T12948" t="s">
        <v>42108</v>
      </c>
      <c r="U12948" t="s">
        <v>53235</v>
      </c>
      <c r="V12948" t="s">
        <v>55153</v>
      </c>
      <c r="W12948" t="s">
        <v>40215</v>
      </c>
      <c r="X12948" t="s">
        <v>40464</v>
      </c>
    </row>
    <row r="12949" spans="1:24">
      <c r="A12949">
        <f>HYPERLINK("https://www.philgeps.gov.ph/GEPSNONPILOT/Tender/SplashBidNoticeAbstractUI.aspx?menuIndex=3&amp;refID=7005123&amp;Result=3","7005123")</f>
        <v>0</v>
      </c>
      <c r="B12949" t="s">
        <v>2726</v>
      </c>
      <c r="C12949" t="s">
        <v>15487</v>
      </c>
      <c r="D12949" t="s">
        <v>16201</v>
      </c>
      <c r="E12949" t="s">
        <v>27541</v>
      </c>
      <c r="F12949" t="s">
        <v>28198</v>
      </c>
      <c r="G12949" t="s">
        <v>28207</v>
      </c>
      <c r="H12949" t="s">
        <v>28215</v>
      </c>
      <c r="I12949" t="s">
        <v>28245</v>
      </c>
      <c r="J12949" t="s">
        <v>28519</v>
      </c>
      <c r="K12949" t="s">
        <v>36735</v>
      </c>
      <c r="M12949" t="s">
        <v>39972</v>
      </c>
      <c r="N12949" t="s">
        <v>40436</v>
      </c>
      <c r="O12949" t="s">
        <v>40437</v>
      </c>
      <c r="Q12949">
        <v>0</v>
      </c>
      <c r="R12949" t="s">
        <v>40463</v>
      </c>
      <c r="S12949" t="s">
        <v>41515</v>
      </c>
      <c r="T12949" t="s">
        <v>42169</v>
      </c>
      <c r="U12949" t="s">
        <v>50866</v>
      </c>
      <c r="V12949" t="s">
        <v>54863</v>
      </c>
      <c r="W12949" t="s">
        <v>39972</v>
      </c>
      <c r="X12949" t="s">
        <v>40464</v>
      </c>
    </row>
    <row r="12950" spans="1:24">
      <c r="A12950">
        <f>HYPERLINK("https://www.philgeps.gov.ph/GEPSNONPILOT/Tender/SplashBidNoticeAbstractUI.aspx?menuIndex=3&amp;refID=7003754&amp;Result=3","7003754")</f>
        <v>0</v>
      </c>
      <c r="B12950" t="s">
        <v>2033</v>
      </c>
      <c r="C12950" t="s">
        <v>15488</v>
      </c>
      <c r="E12950" t="s">
        <v>27542</v>
      </c>
      <c r="F12950" t="s">
        <v>28198</v>
      </c>
      <c r="G12950" t="s">
        <v>28205</v>
      </c>
      <c r="H12950" t="s">
        <v>28214</v>
      </c>
      <c r="I12950" t="s">
        <v>3797</v>
      </c>
      <c r="J12950" t="s">
        <v>36262</v>
      </c>
      <c r="K12950" t="s">
        <v>36689</v>
      </c>
      <c r="M12950" t="s">
        <v>39175</v>
      </c>
      <c r="N12950" t="s">
        <v>40436</v>
      </c>
      <c r="O12950" t="s">
        <v>40437</v>
      </c>
      <c r="Q12950">
        <v>50</v>
      </c>
      <c r="R12950" t="s">
        <v>40464</v>
      </c>
      <c r="S12950" t="s">
        <v>41516</v>
      </c>
      <c r="T12950" t="s">
        <v>42112</v>
      </c>
      <c r="U12950" t="s">
        <v>47923</v>
      </c>
      <c r="W12950" t="s">
        <v>55503</v>
      </c>
      <c r="X12950" t="s">
        <v>40465</v>
      </c>
    </row>
    <row r="12951" spans="1:24">
      <c r="A12951">
        <f>HYPERLINK("https://www.philgeps.gov.ph/GEPSNONPILOT/Tender/SplashBidNoticeAbstractUI.aspx?menuIndex=3&amp;refID=7001622&amp;Result=3","7001622")</f>
        <v>0</v>
      </c>
      <c r="B12951" t="s">
        <v>3042</v>
      </c>
      <c r="C12951" t="s">
        <v>15489</v>
      </c>
      <c r="D12951" t="s">
        <v>16217</v>
      </c>
      <c r="E12951" t="s">
        <v>25095</v>
      </c>
      <c r="F12951" t="s">
        <v>28198</v>
      </c>
      <c r="G12951" t="s">
        <v>28207</v>
      </c>
      <c r="H12951" t="s">
        <v>28215</v>
      </c>
      <c r="I12951" t="s">
        <v>28290</v>
      </c>
      <c r="J12951" t="s">
        <v>28661</v>
      </c>
      <c r="K12951" t="s">
        <v>36707</v>
      </c>
      <c r="M12951" t="s">
        <v>40344</v>
      </c>
      <c r="N12951" t="s">
        <v>40436</v>
      </c>
      <c r="O12951" t="s">
        <v>40437</v>
      </c>
      <c r="Q12951">
        <v>9</v>
      </c>
      <c r="R12951" t="s">
        <v>40465</v>
      </c>
      <c r="S12951" t="s">
        <v>41517</v>
      </c>
      <c r="T12951" t="s">
        <v>42175</v>
      </c>
      <c r="U12951" t="s">
        <v>53236</v>
      </c>
      <c r="V12951" t="s">
        <v>55274</v>
      </c>
      <c r="W12951" t="s">
        <v>40344</v>
      </c>
      <c r="X12951" t="s">
        <v>40471</v>
      </c>
    </row>
    <row r="12952" spans="1:24">
      <c r="A12952">
        <f>HYPERLINK("https://www.philgeps.gov.ph/GEPSNONPILOT/Tender/SplashBidNoticeAbstractUI.aspx?menuIndex=3&amp;refID=7006590&amp;Result=3","7006590")</f>
        <v>0</v>
      </c>
      <c r="B12952" t="s">
        <v>1301</v>
      </c>
      <c r="C12952" t="s">
        <v>15490</v>
      </c>
      <c r="D12952" t="s">
        <v>16195</v>
      </c>
      <c r="E12952" t="s">
        <v>27543</v>
      </c>
      <c r="F12952" t="s">
        <v>28198</v>
      </c>
      <c r="G12952" t="s">
        <v>28211</v>
      </c>
      <c r="H12952" t="s">
        <v>28216</v>
      </c>
      <c r="I12952" t="s">
        <v>28216</v>
      </c>
      <c r="J12952" t="s">
        <v>36263</v>
      </c>
      <c r="K12952" t="s">
        <v>36694</v>
      </c>
      <c r="M12952" t="s">
        <v>38355</v>
      </c>
      <c r="N12952" t="s">
        <v>40436</v>
      </c>
      <c r="O12952" t="s">
        <v>40437</v>
      </c>
      <c r="P12952">
        <v>0</v>
      </c>
      <c r="Q12952">
        <v>4</v>
      </c>
      <c r="R12952" t="s">
        <v>40463</v>
      </c>
      <c r="S12952" t="s">
        <v>41510</v>
      </c>
      <c r="T12952" t="s">
        <v>42103</v>
      </c>
      <c r="U12952" t="s">
        <v>53237</v>
      </c>
      <c r="V12952" t="s">
        <v>55275</v>
      </c>
      <c r="W12952" t="s">
        <v>38355</v>
      </c>
      <c r="X12952" t="s">
        <v>40464</v>
      </c>
    </row>
    <row r="12953" spans="1:24">
      <c r="A12953">
        <f>HYPERLINK("https://www.philgeps.gov.ph/GEPSNONPILOT/Tender/SplashBidNoticeAbstractUI.aspx?menuIndex=3&amp;refID=7006626&amp;Result=3","7006626")</f>
        <v>0</v>
      </c>
      <c r="B12953" t="s">
        <v>2190</v>
      </c>
      <c r="C12953" t="s">
        <v>15491</v>
      </c>
      <c r="D12953" t="s">
        <v>16188</v>
      </c>
      <c r="E12953" t="s">
        <v>27544</v>
      </c>
      <c r="F12953" t="s">
        <v>28198</v>
      </c>
      <c r="G12953" t="s">
        <v>28205</v>
      </c>
      <c r="H12953" t="s">
        <v>28214</v>
      </c>
      <c r="I12953" t="s">
        <v>3797</v>
      </c>
      <c r="J12953" t="s">
        <v>29526</v>
      </c>
      <c r="K12953" t="s">
        <v>36777</v>
      </c>
      <c r="L12953" t="s">
        <v>2190</v>
      </c>
      <c r="M12953" t="s">
        <v>39855</v>
      </c>
      <c r="N12953" t="s">
        <v>40436</v>
      </c>
      <c r="O12953" t="s">
        <v>40437</v>
      </c>
      <c r="Q12953">
        <v>3</v>
      </c>
      <c r="R12953" t="s">
        <v>40463</v>
      </c>
      <c r="S12953" t="s">
        <v>41518</v>
      </c>
      <c r="T12953" t="s">
        <v>42133</v>
      </c>
      <c r="U12953" t="s">
        <v>53238</v>
      </c>
      <c r="V12953" t="s">
        <v>54441</v>
      </c>
      <c r="W12953" t="s">
        <v>39855</v>
      </c>
      <c r="X12953" t="s">
        <v>40464</v>
      </c>
    </row>
    <row r="12954" spans="1:24">
      <c r="A12954">
        <f>HYPERLINK("https://www.philgeps.gov.ph/GEPSNONPILOT/Tender/SplashBidNoticeAbstractUI.aspx?menuIndex=3&amp;refID=7001458&amp;Result=3","7001458")</f>
        <v>0</v>
      </c>
      <c r="B12954" t="s">
        <v>2603</v>
      </c>
      <c r="C12954" t="s">
        <v>15492</v>
      </c>
      <c r="D12954" t="s">
        <v>16194</v>
      </c>
      <c r="E12954" t="s">
        <v>27545</v>
      </c>
      <c r="F12954" t="s">
        <v>28198</v>
      </c>
      <c r="G12954" t="s">
        <v>28205</v>
      </c>
      <c r="H12954" t="s">
        <v>28214</v>
      </c>
      <c r="I12954" t="s">
        <v>3797</v>
      </c>
      <c r="J12954" t="s">
        <v>32342</v>
      </c>
      <c r="K12954" t="s">
        <v>36701</v>
      </c>
      <c r="M12954" t="s">
        <v>40345</v>
      </c>
      <c r="N12954" t="s">
        <v>40436</v>
      </c>
      <c r="O12954" t="s">
        <v>40437</v>
      </c>
      <c r="Q12954">
        <v>31</v>
      </c>
      <c r="R12954" t="s">
        <v>40465</v>
      </c>
      <c r="S12954" t="s">
        <v>41519</v>
      </c>
      <c r="T12954" t="s">
        <v>42233</v>
      </c>
      <c r="U12954" t="s">
        <v>53239</v>
      </c>
      <c r="W12954" t="s">
        <v>55521</v>
      </c>
      <c r="X12954" t="s">
        <v>40471</v>
      </c>
    </row>
    <row r="12955" spans="1:24">
      <c r="A12955">
        <f>HYPERLINK("https://www.philgeps.gov.ph/GEPSNONPILOT/Tender/SplashBidNoticeAbstractUI.aspx?menuIndex=3&amp;refID=7005112&amp;Result=3","7005112")</f>
        <v>0</v>
      </c>
      <c r="B12955" t="s">
        <v>683</v>
      </c>
      <c r="C12955" t="s">
        <v>15493</v>
      </c>
      <c r="D12955" t="s">
        <v>16196</v>
      </c>
      <c r="E12955" t="s">
        <v>27546</v>
      </c>
      <c r="F12955" t="s">
        <v>28198</v>
      </c>
      <c r="G12955" t="s">
        <v>28205</v>
      </c>
      <c r="H12955" t="s">
        <v>28215</v>
      </c>
      <c r="I12955" t="s">
        <v>3797</v>
      </c>
      <c r="J12955" t="s">
        <v>28395</v>
      </c>
      <c r="K12955" t="s">
        <v>36694</v>
      </c>
      <c r="M12955" t="s">
        <v>37681</v>
      </c>
      <c r="N12955" t="s">
        <v>40436</v>
      </c>
      <c r="O12955" t="s">
        <v>40437</v>
      </c>
      <c r="Q12955">
        <v>8</v>
      </c>
      <c r="R12955" t="s">
        <v>40463</v>
      </c>
      <c r="S12955" t="s">
        <v>41520</v>
      </c>
      <c r="T12955" t="s">
        <v>42119</v>
      </c>
      <c r="U12955" t="s">
        <v>53240</v>
      </c>
      <c r="W12955" t="s">
        <v>37681</v>
      </c>
      <c r="X12955" t="s">
        <v>40464</v>
      </c>
    </row>
    <row r="12956" spans="1:24">
      <c r="A12956">
        <f>HYPERLINK("https://www.philgeps.gov.ph/GEPSNONPILOT/Tender/SplashBidNoticeAbstractUI.aspx?menuIndex=3&amp;refID=7000670&amp;Result=3","7000670")</f>
        <v>0</v>
      </c>
      <c r="B12956" t="s">
        <v>2091</v>
      </c>
      <c r="C12956" t="s">
        <v>15494</v>
      </c>
      <c r="D12956" t="s">
        <v>16244</v>
      </c>
      <c r="E12956" t="s">
        <v>27547</v>
      </c>
      <c r="F12956" t="s">
        <v>28198</v>
      </c>
      <c r="G12956" t="s">
        <v>28205</v>
      </c>
      <c r="H12956" t="s">
        <v>28214</v>
      </c>
      <c r="I12956" t="s">
        <v>3797</v>
      </c>
      <c r="J12956" t="s">
        <v>36264</v>
      </c>
      <c r="K12956" t="s">
        <v>36898</v>
      </c>
      <c r="M12956" t="s">
        <v>39240</v>
      </c>
      <c r="N12956" t="s">
        <v>40436</v>
      </c>
      <c r="O12956" t="s">
        <v>40437</v>
      </c>
      <c r="Q12956">
        <v>0</v>
      </c>
      <c r="R12956" t="s">
        <v>40465</v>
      </c>
      <c r="S12956" t="s">
        <v>41521</v>
      </c>
      <c r="T12956" t="s">
        <v>42188</v>
      </c>
      <c r="U12956" t="s">
        <v>48138</v>
      </c>
      <c r="W12956" t="s">
        <v>39240</v>
      </c>
      <c r="X12956" t="s">
        <v>40467</v>
      </c>
    </row>
    <row r="12957" spans="1:24">
      <c r="A12957">
        <f>HYPERLINK("https://www.philgeps.gov.ph/GEPSNONPILOT/Tender/SplashBidNoticeAbstractUI.aspx?menuIndex=3&amp;refID=7000872&amp;Result=3","7000872")</f>
        <v>0</v>
      </c>
      <c r="B12957" t="s">
        <v>2059</v>
      </c>
      <c r="C12957" t="s">
        <v>15495</v>
      </c>
      <c r="D12957" t="s">
        <v>16204</v>
      </c>
      <c r="E12957" t="s">
        <v>27548</v>
      </c>
      <c r="F12957" t="s">
        <v>28198</v>
      </c>
      <c r="G12957" t="s">
        <v>28210</v>
      </c>
      <c r="H12957" t="s">
        <v>28215</v>
      </c>
      <c r="I12957" t="s">
        <v>6013</v>
      </c>
      <c r="J12957" t="s">
        <v>36265</v>
      </c>
      <c r="K12957" t="s">
        <v>36707</v>
      </c>
      <c r="M12957" t="s">
        <v>39207</v>
      </c>
      <c r="N12957" t="s">
        <v>40436</v>
      </c>
      <c r="O12957" t="s">
        <v>40437</v>
      </c>
      <c r="Q12957">
        <v>0</v>
      </c>
      <c r="R12957" t="s">
        <v>40465</v>
      </c>
      <c r="S12957" t="s">
        <v>41522</v>
      </c>
      <c r="T12957" t="s">
        <v>42103</v>
      </c>
      <c r="U12957" t="s">
        <v>53241</v>
      </c>
      <c r="W12957" t="s">
        <v>39207</v>
      </c>
      <c r="X12957" t="s">
        <v>40471</v>
      </c>
    </row>
    <row r="12958" spans="1:24">
      <c r="A12958">
        <f>HYPERLINK("https://www.philgeps.gov.ph/GEPSNONPILOT/Tender/SplashBidNoticeAbstractUI.aspx?menuIndex=3&amp;refID=7000660&amp;Result=3","7000660")</f>
        <v>0</v>
      </c>
      <c r="B12958" t="s">
        <v>2091</v>
      </c>
      <c r="C12958" t="s">
        <v>15496</v>
      </c>
      <c r="D12958" t="s">
        <v>16244</v>
      </c>
      <c r="E12958" t="s">
        <v>27549</v>
      </c>
      <c r="F12958" t="s">
        <v>28198</v>
      </c>
      <c r="G12958" t="s">
        <v>28205</v>
      </c>
      <c r="H12958" t="s">
        <v>28214</v>
      </c>
      <c r="I12958" t="s">
        <v>3797</v>
      </c>
      <c r="J12958" t="s">
        <v>36266</v>
      </c>
      <c r="K12958" t="s">
        <v>36690</v>
      </c>
      <c r="M12958" t="s">
        <v>39240</v>
      </c>
      <c r="N12958" t="s">
        <v>40436</v>
      </c>
      <c r="O12958" t="s">
        <v>40437</v>
      </c>
      <c r="Q12958">
        <v>0</v>
      </c>
      <c r="R12958" t="s">
        <v>40465</v>
      </c>
      <c r="S12958" t="s">
        <v>41523</v>
      </c>
      <c r="T12958" t="s">
        <v>42188</v>
      </c>
      <c r="U12958" t="s">
        <v>48138</v>
      </c>
      <c r="W12958" t="s">
        <v>39240</v>
      </c>
      <c r="X12958" t="s">
        <v>40467</v>
      </c>
    </row>
    <row r="12959" spans="1:24">
      <c r="A12959">
        <f>HYPERLINK("https://www.philgeps.gov.ph/GEPSNONPILOT/Tender/SplashBidNoticeAbstractUI.aspx?menuIndex=3&amp;refID=7003730&amp;Result=3","7003730")</f>
        <v>0</v>
      </c>
      <c r="B12959" t="s">
        <v>2033</v>
      </c>
      <c r="C12959" t="s">
        <v>15497</v>
      </c>
      <c r="E12959" t="s">
        <v>27550</v>
      </c>
      <c r="F12959" t="s">
        <v>28198</v>
      </c>
      <c r="G12959" t="s">
        <v>28205</v>
      </c>
      <c r="H12959" t="s">
        <v>28214</v>
      </c>
      <c r="I12959" t="s">
        <v>3797</v>
      </c>
      <c r="J12959" t="s">
        <v>36267</v>
      </c>
      <c r="K12959" t="s">
        <v>36689</v>
      </c>
      <c r="M12959" t="s">
        <v>39175</v>
      </c>
      <c r="N12959" t="s">
        <v>40436</v>
      </c>
      <c r="O12959" t="s">
        <v>40437</v>
      </c>
      <c r="Q12959">
        <v>54</v>
      </c>
      <c r="R12959" t="s">
        <v>40464</v>
      </c>
      <c r="S12959" t="s">
        <v>41524</v>
      </c>
      <c r="T12959" t="s">
        <v>42112</v>
      </c>
      <c r="U12959" t="s">
        <v>47923</v>
      </c>
      <c r="W12959" t="s">
        <v>55503</v>
      </c>
      <c r="X12959" t="s">
        <v>40465</v>
      </c>
    </row>
    <row r="12960" spans="1:24">
      <c r="A12960">
        <f>HYPERLINK("https://www.philgeps.gov.ph/GEPSNONPILOT/Tender/SplashBidNoticeAbstractUI.aspx?menuIndex=3&amp;refID=6996338&amp;Result=3","6996338")</f>
        <v>0</v>
      </c>
      <c r="B12960" t="s">
        <v>3043</v>
      </c>
      <c r="C12960" t="s">
        <v>15498</v>
      </c>
      <c r="D12960" t="s">
        <v>16200</v>
      </c>
      <c r="E12960" t="s">
        <v>27551</v>
      </c>
      <c r="F12960" t="s">
        <v>28198</v>
      </c>
      <c r="G12960" t="s">
        <v>28205</v>
      </c>
      <c r="H12960" t="s">
        <v>28214</v>
      </c>
      <c r="I12960" t="s">
        <v>28277</v>
      </c>
      <c r="J12960" t="s">
        <v>28390</v>
      </c>
      <c r="K12960" t="s">
        <v>36690</v>
      </c>
      <c r="M12960" t="s">
        <v>40346</v>
      </c>
      <c r="N12960" t="s">
        <v>40436</v>
      </c>
      <c r="O12960" t="s">
        <v>40437</v>
      </c>
      <c r="Q12960">
        <v>7</v>
      </c>
      <c r="R12960" t="s">
        <v>40465</v>
      </c>
      <c r="S12960" t="s">
        <v>41525</v>
      </c>
      <c r="T12960" t="s">
        <v>42199</v>
      </c>
      <c r="U12960" t="s">
        <v>53242</v>
      </c>
      <c r="W12960" t="s">
        <v>40346</v>
      </c>
      <c r="X12960" t="s">
        <v>40470</v>
      </c>
    </row>
    <row r="12961" spans="1:24">
      <c r="A12961">
        <f>HYPERLINK("https://www.philgeps.gov.ph/GEPSNONPILOT/Tender/SplashBidNoticeAbstractUI.aspx?menuIndex=3&amp;refID=6993327&amp;Result=3","6993327")</f>
        <v>0</v>
      </c>
      <c r="B12961" t="s">
        <v>743</v>
      </c>
      <c r="C12961" t="s">
        <v>15499</v>
      </c>
      <c r="D12961" t="s">
        <v>16194</v>
      </c>
      <c r="E12961" t="s">
        <v>17139</v>
      </c>
      <c r="F12961" t="s">
        <v>28198</v>
      </c>
      <c r="G12961" t="s">
        <v>28205</v>
      </c>
      <c r="H12961" t="s">
        <v>28215</v>
      </c>
      <c r="I12961" t="s">
        <v>28224</v>
      </c>
      <c r="J12961" t="s">
        <v>36268</v>
      </c>
      <c r="K12961" t="s">
        <v>36694</v>
      </c>
      <c r="M12961" t="s">
        <v>37746</v>
      </c>
      <c r="N12961" t="s">
        <v>40436</v>
      </c>
      <c r="O12961" t="s">
        <v>40437</v>
      </c>
      <c r="P12961">
        <v>0</v>
      </c>
      <c r="Q12961">
        <v>2</v>
      </c>
      <c r="R12961" t="s">
        <v>40465</v>
      </c>
      <c r="S12961" t="s">
        <v>41526</v>
      </c>
      <c r="T12961" t="s">
        <v>42128</v>
      </c>
      <c r="U12961" t="s">
        <v>53243</v>
      </c>
      <c r="W12961" t="s">
        <v>37746</v>
      </c>
      <c r="X12961" t="s">
        <v>40472</v>
      </c>
    </row>
    <row r="12962" spans="1:24">
      <c r="A12962">
        <f>HYPERLINK("https://www.philgeps.gov.ph/GEPSNONPILOT/Tender/SplashBidNoticeAbstractUI.aspx?menuIndex=3&amp;refID=7008976&amp;Result=3","7008976")</f>
        <v>0</v>
      </c>
      <c r="B12962" t="s">
        <v>2043</v>
      </c>
      <c r="C12962" t="s">
        <v>15500</v>
      </c>
      <c r="D12962" t="s">
        <v>16188</v>
      </c>
      <c r="E12962" t="s">
        <v>27552</v>
      </c>
      <c r="F12962" t="s">
        <v>28198</v>
      </c>
      <c r="G12962" t="s">
        <v>28207</v>
      </c>
      <c r="H12962" t="s">
        <v>28215</v>
      </c>
      <c r="I12962" t="s">
        <v>28221</v>
      </c>
      <c r="J12962" t="s">
        <v>36269</v>
      </c>
      <c r="K12962" t="s">
        <v>36689</v>
      </c>
      <c r="M12962" t="s">
        <v>40347</v>
      </c>
      <c r="N12962" t="s">
        <v>40436</v>
      </c>
      <c r="O12962" t="s">
        <v>40437</v>
      </c>
      <c r="Q12962">
        <v>1</v>
      </c>
      <c r="R12962" t="s">
        <v>40466</v>
      </c>
      <c r="S12962" t="s">
        <v>41527</v>
      </c>
      <c r="T12962" t="s">
        <v>42350</v>
      </c>
      <c r="U12962" t="s">
        <v>53244</v>
      </c>
      <c r="W12962" t="s">
        <v>40347</v>
      </c>
      <c r="X12962" t="s">
        <v>40462</v>
      </c>
    </row>
    <row r="12963" spans="1:24">
      <c r="A12963">
        <f>HYPERLINK("https://www.philgeps.gov.ph/GEPSNONPILOT/Tender/SplashBidNoticeAbstractUI.aspx?menuIndex=3&amp;refID=6999681&amp;Result=3","6999681")</f>
        <v>0</v>
      </c>
      <c r="B12963" t="s">
        <v>2869</v>
      </c>
      <c r="C12963" t="s">
        <v>15501</v>
      </c>
      <c r="D12963" t="s">
        <v>16241</v>
      </c>
      <c r="E12963" t="s">
        <v>27553</v>
      </c>
      <c r="F12963" t="s">
        <v>28198</v>
      </c>
      <c r="G12963" t="s">
        <v>28205</v>
      </c>
      <c r="H12963" t="s">
        <v>28215</v>
      </c>
      <c r="I12963" t="s">
        <v>28222</v>
      </c>
      <c r="J12963" t="s">
        <v>28730</v>
      </c>
      <c r="K12963" t="s">
        <v>36694</v>
      </c>
      <c r="M12963" t="s">
        <v>40131</v>
      </c>
      <c r="N12963" t="s">
        <v>40436</v>
      </c>
      <c r="O12963" t="s">
        <v>40437</v>
      </c>
      <c r="P12963">
        <v>0</v>
      </c>
      <c r="Q12963">
        <v>10</v>
      </c>
      <c r="R12963" t="s">
        <v>40465</v>
      </c>
      <c r="S12963" t="s">
        <v>41526</v>
      </c>
      <c r="T12963" t="s">
        <v>42103</v>
      </c>
      <c r="U12963" t="s">
        <v>53245</v>
      </c>
      <c r="W12963" t="s">
        <v>40131</v>
      </c>
      <c r="X12963" t="s">
        <v>40467</v>
      </c>
    </row>
    <row r="12964" spans="1:24">
      <c r="A12964">
        <f>HYPERLINK("https://www.philgeps.gov.ph/GEPSNONPILOT/Tender/SplashBidNoticeAbstractUI.aspx?menuIndex=3&amp;refID=7008990&amp;Result=3","7008990")</f>
        <v>0</v>
      </c>
      <c r="B12964" t="s">
        <v>3044</v>
      </c>
      <c r="C12964" t="s">
        <v>8415</v>
      </c>
      <c r="D12964" t="s">
        <v>16213</v>
      </c>
      <c r="E12964" t="s">
        <v>27100</v>
      </c>
      <c r="F12964" t="s">
        <v>28198</v>
      </c>
      <c r="G12964" t="s">
        <v>28205</v>
      </c>
      <c r="H12964" t="s">
        <v>28215</v>
      </c>
      <c r="I12964" t="s">
        <v>28243</v>
      </c>
      <c r="J12964" t="s">
        <v>28345</v>
      </c>
      <c r="K12964" t="s">
        <v>36688</v>
      </c>
      <c r="M12964" t="s">
        <v>40348</v>
      </c>
      <c r="N12964" t="s">
        <v>40436</v>
      </c>
      <c r="O12964" t="s">
        <v>40437</v>
      </c>
      <c r="P12964">
        <v>0</v>
      </c>
      <c r="Q12964">
        <v>2</v>
      </c>
      <c r="R12964" t="s">
        <v>40466</v>
      </c>
      <c r="S12964" t="s">
        <v>41528</v>
      </c>
      <c r="T12964" t="s">
        <v>42121</v>
      </c>
      <c r="U12964" t="s">
        <v>53246</v>
      </c>
      <c r="W12964" t="s">
        <v>40348</v>
      </c>
      <c r="X12964" t="s">
        <v>40462</v>
      </c>
    </row>
    <row r="12965" spans="1:24">
      <c r="A12965">
        <f>HYPERLINK("https://www.philgeps.gov.ph/GEPSNONPILOT/Tender/SplashBidNoticeAbstractUI.aspx?menuIndex=3&amp;refID=7004814&amp;Result=3","7004814")</f>
        <v>0</v>
      </c>
      <c r="B12965" t="s">
        <v>954</v>
      </c>
      <c r="C12965" t="s">
        <v>15502</v>
      </c>
      <c r="D12965" t="s">
        <v>16210</v>
      </c>
      <c r="E12965" t="s">
        <v>27554</v>
      </c>
      <c r="F12965" t="s">
        <v>28198</v>
      </c>
      <c r="G12965" t="s">
        <v>28205</v>
      </c>
      <c r="H12965" t="s">
        <v>28215</v>
      </c>
      <c r="I12965" t="s">
        <v>28338</v>
      </c>
      <c r="J12965" t="s">
        <v>36270</v>
      </c>
      <c r="K12965" t="s">
        <v>36689</v>
      </c>
      <c r="M12965" t="s">
        <v>37979</v>
      </c>
      <c r="N12965" t="s">
        <v>40436</v>
      </c>
      <c r="O12965" t="s">
        <v>40437</v>
      </c>
      <c r="Q12965">
        <v>21</v>
      </c>
      <c r="R12965" t="s">
        <v>40464</v>
      </c>
      <c r="S12965" t="s">
        <v>41529</v>
      </c>
      <c r="T12965" t="s">
        <v>42188</v>
      </c>
      <c r="U12965" t="s">
        <v>53247</v>
      </c>
      <c r="W12965" t="s">
        <v>37979</v>
      </c>
      <c r="X12965" t="s">
        <v>40465</v>
      </c>
    </row>
    <row r="12966" spans="1:24">
      <c r="A12966">
        <f>HYPERLINK("https://www.philgeps.gov.ph/GEPSNONPILOT/Tender/SplashBidNoticeAbstractUI.aspx?menuIndex=3&amp;refID=7004595&amp;Result=3","7004595")</f>
        <v>0</v>
      </c>
      <c r="B12966" t="s">
        <v>3045</v>
      </c>
      <c r="C12966" t="s">
        <v>15503</v>
      </c>
      <c r="D12966" t="s">
        <v>16274</v>
      </c>
      <c r="E12966" t="s">
        <v>21953</v>
      </c>
      <c r="F12966" t="s">
        <v>28198</v>
      </c>
      <c r="G12966" t="s">
        <v>28205</v>
      </c>
      <c r="H12966" t="s">
        <v>28214</v>
      </c>
      <c r="I12966" t="s">
        <v>3797</v>
      </c>
      <c r="J12966" t="s">
        <v>30373</v>
      </c>
      <c r="K12966" t="s">
        <v>36710</v>
      </c>
      <c r="M12966" t="s">
        <v>40349</v>
      </c>
      <c r="N12966" t="s">
        <v>40436</v>
      </c>
      <c r="O12966" t="s">
        <v>40437</v>
      </c>
      <c r="Q12966">
        <v>7</v>
      </c>
      <c r="R12966" t="s">
        <v>40464</v>
      </c>
      <c r="S12966" t="s">
        <v>41530</v>
      </c>
      <c r="T12966" t="s">
        <v>42595</v>
      </c>
      <c r="U12966" t="s">
        <v>52256</v>
      </c>
      <c r="W12966" t="s">
        <v>40349</v>
      </c>
      <c r="X12966" t="s">
        <v>40465</v>
      </c>
    </row>
    <row r="12967" spans="1:24">
      <c r="A12967">
        <f>HYPERLINK("https://www.philgeps.gov.ph/GEPSNONPILOT/Tender/SplashBidNoticeAbstractUI.aspx?menuIndex=3&amp;refID=7000657&amp;Result=3","7000657")</f>
        <v>0</v>
      </c>
      <c r="B12967" t="s">
        <v>2091</v>
      </c>
      <c r="C12967" t="s">
        <v>15504</v>
      </c>
      <c r="D12967" t="s">
        <v>16244</v>
      </c>
      <c r="E12967" t="s">
        <v>27555</v>
      </c>
      <c r="F12967" t="s">
        <v>28198</v>
      </c>
      <c r="G12967" t="s">
        <v>28205</v>
      </c>
      <c r="H12967" t="s">
        <v>28214</v>
      </c>
      <c r="I12967" t="s">
        <v>3797</v>
      </c>
      <c r="J12967" t="s">
        <v>36271</v>
      </c>
      <c r="K12967" t="s">
        <v>36716</v>
      </c>
      <c r="M12967" t="s">
        <v>39240</v>
      </c>
      <c r="N12967" t="s">
        <v>40436</v>
      </c>
      <c r="O12967" t="s">
        <v>40437</v>
      </c>
      <c r="Q12967">
        <v>0</v>
      </c>
      <c r="R12967" t="s">
        <v>40465</v>
      </c>
      <c r="S12967" t="s">
        <v>41531</v>
      </c>
      <c r="T12967" t="s">
        <v>42188</v>
      </c>
      <c r="U12967" t="s">
        <v>48138</v>
      </c>
      <c r="W12967" t="s">
        <v>39240</v>
      </c>
      <c r="X12967" t="s">
        <v>40467</v>
      </c>
    </row>
    <row r="12968" spans="1:24">
      <c r="A12968">
        <f>HYPERLINK("https://www.philgeps.gov.ph/GEPSNONPILOT/Tender/SplashBidNoticeAbstractUI.aspx?menuIndex=3&amp;refID=7004556&amp;Result=3","7004556")</f>
        <v>0</v>
      </c>
      <c r="B12968" t="s">
        <v>3045</v>
      </c>
      <c r="C12968" t="s">
        <v>15505</v>
      </c>
      <c r="D12968" t="s">
        <v>16274</v>
      </c>
      <c r="E12968" t="s">
        <v>21663</v>
      </c>
      <c r="F12968" t="s">
        <v>28198</v>
      </c>
      <c r="G12968" t="s">
        <v>28205</v>
      </c>
      <c r="H12968" t="s">
        <v>28215</v>
      </c>
      <c r="I12968" t="s">
        <v>28222</v>
      </c>
      <c r="J12968" t="s">
        <v>29002</v>
      </c>
      <c r="K12968" t="s">
        <v>36706</v>
      </c>
      <c r="M12968" t="s">
        <v>40349</v>
      </c>
      <c r="N12968" t="s">
        <v>40436</v>
      </c>
      <c r="O12968" t="s">
        <v>40437</v>
      </c>
      <c r="Q12968">
        <v>4</v>
      </c>
      <c r="R12968" t="s">
        <v>40464</v>
      </c>
      <c r="S12968" t="s">
        <v>41532</v>
      </c>
      <c r="T12968" t="s">
        <v>42103</v>
      </c>
      <c r="U12968" t="s">
        <v>53248</v>
      </c>
      <c r="W12968" t="s">
        <v>40349</v>
      </c>
      <c r="X12968" t="s">
        <v>40465</v>
      </c>
    </row>
    <row r="12969" spans="1:24">
      <c r="A12969">
        <f>HYPERLINK("https://www.philgeps.gov.ph/GEPSNONPILOT/Tender/SplashBidNoticeAbstractUI.aspx?menuIndex=3&amp;refID=6997228&amp;Result=3","6997228")</f>
        <v>0</v>
      </c>
      <c r="B12969" t="s">
        <v>595</v>
      </c>
      <c r="C12969" t="s">
        <v>15506</v>
      </c>
      <c r="D12969" t="s">
        <v>16190</v>
      </c>
      <c r="E12969" t="s">
        <v>27556</v>
      </c>
      <c r="F12969" t="s">
        <v>28198</v>
      </c>
      <c r="G12969" t="s">
        <v>28207</v>
      </c>
      <c r="H12969" t="s">
        <v>28215</v>
      </c>
      <c r="I12969" t="s">
        <v>28227</v>
      </c>
      <c r="J12969" t="s">
        <v>36272</v>
      </c>
      <c r="K12969" t="s">
        <v>36707</v>
      </c>
      <c r="M12969" t="s">
        <v>37584</v>
      </c>
      <c r="N12969" t="s">
        <v>40436</v>
      </c>
      <c r="O12969" t="s">
        <v>40437</v>
      </c>
      <c r="Q12969">
        <v>0</v>
      </c>
      <c r="R12969" t="s">
        <v>40467</v>
      </c>
      <c r="S12969" t="s">
        <v>41533</v>
      </c>
      <c r="T12969" t="s">
        <v>42350</v>
      </c>
      <c r="U12969" t="s">
        <v>53249</v>
      </c>
      <c r="W12969" t="s">
        <v>37584</v>
      </c>
      <c r="X12969" t="s">
        <v>40470</v>
      </c>
    </row>
    <row r="12970" spans="1:24">
      <c r="A12970">
        <f>HYPERLINK("https://www.philgeps.gov.ph/GEPSNONPILOT/Tender/SplashBidNoticeAbstractUI.aspx?menuIndex=3&amp;refID=7002542&amp;Result=3","7002542")</f>
        <v>0</v>
      </c>
      <c r="B12970" t="s">
        <v>2091</v>
      </c>
      <c r="C12970" t="s">
        <v>15507</v>
      </c>
      <c r="D12970" t="s">
        <v>16244</v>
      </c>
      <c r="E12970" t="s">
        <v>27557</v>
      </c>
      <c r="F12970" t="s">
        <v>28198</v>
      </c>
      <c r="G12970" t="s">
        <v>28205</v>
      </c>
      <c r="H12970" t="s">
        <v>28214</v>
      </c>
      <c r="I12970" t="s">
        <v>3797</v>
      </c>
      <c r="J12970" t="s">
        <v>36273</v>
      </c>
      <c r="K12970" t="s">
        <v>36710</v>
      </c>
      <c r="M12970" t="s">
        <v>39240</v>
      </c>
      <c r="N12970" t="s">
        <v>40436</v>
      </c>
      <c r="O12970" t="s">
        <v>40437</v>
      </c>
      <c r="Q12970">
        <v>0</v>
      </c>
      <c r="R12970" t="s">
        <v>40465</v>
      </c>
      <c r="S12970" t="s">
        <v>41534</v>
      </c>
      <c r="T12970" t="s">
        <v>42188</v>
      </c>
      <c r="U12970" t="s">
        <v>48138</v>
      </c>
      <c r="W12970" t="s">
        <v>39240</v>
      </c>
      <c r="X12970" t="s">
        <v>40471</v>
      </c>
    </row>
    <row r="12971" spans="1:24">
      <c r="A12971">
        <f>HYPERLINK("https://www.philgeps.gov.ph/GEPSNONPILOT/Tender/SplashBidNoticeAbstractUI.aspx?menuIndex=3&amp;refID=7002535&amp;Result=3","7002535")</f>
        <v>0</v>
      </c>
      <c r="B12971" t="s">
        <v>2091</v>
      </c>
      <c r="C12971" t="s">
        <v>15508</v>
      </c>
      <c r="D12971" t="s">
        <v>16244</v>
      </c>
      <c r="E12971" t="s">
        <v>27558</v>
      </c>
      <c r="F12971" t="s">
        <v>28198</v>
      </c>
      <c r="G12971" t="s">
        <v>28205</v>
      </c>
      <c r="H12971" t="s">
        <v>28214</v>
      </c>
      <c r="I12971" t="s">
        <v>3797</v>
      </c>
      <c r="J12971" t="s">
        <v>36274</v>
      </c>
      <c r="K12971" t="s">
        <v>36710</v>
      </c>
      <c r="M12971" t="s">
        <v>39240</v>
      </c>
      <c r="N12971" t="s">
        <v>40436</v>
      </c>
      <c r="O12971" t="s">
        <v>40437</v>
      </c>
      <c r="Q12971">
        <v>0</v>
      </c>
      <c r="R12971" t="s">
        <v>40465</v>
      </c>
      <c r="S12971" t="s">
        <v>41535</v>
      </c>
      <c r="T12971" t="s">
        <v>42188</v>
      </c>
      <c r="U12971" t="s">
        <v>48138</v>
      </c>
      <c r="W12971" t="s">
        <v>39240</v>
      </c>
      <c r="X12971" t="s">
        <v>40471</v>
      </c>
    </row>
    <row r="12972" spans="1:24">
      <c r="A12972">
        <f>HYPERLINK("https://www.philgeps.gov.ph/GEPSNONPILOT/Tender/SplashBidNoticeAbstractUI.aspx?menuIndex=3&amp;refID=7004153&amp;Result=3","7004153")</f>
        <v>0</v>
      </c>
      <c r="B12972" t="s">
        <v>3045</v>
      </c>
      <c r="C12972" t="s">
        <v>15509</v>
      </c>
      <c r="D12972" t="s">
        <v>16274</v>
      </c>
      <c r="E12972" t="s">
        <v>20987</v>
      </c>
      <c r="F12972" t="s">
        <v>28198</v>
      </c>
      <c r="G12972" t="s">
        <v>28205</v>
      </c>
      <c r="H12972" t="s">
        <v>28215</v>
      </c>
      <c r="I12972" t="s">
        <v>28222</v>
      </c>
      <c r="J12972" t="s">
        <v>32321</v>
      </c>
      <c r="K12972" t="s">
        <v>36706</v>
      </c>
      <c r="M12972" t="s">
        <v>40349</v>
      </c>
      <c r="N12972" t="s">
        <v>40436</v>
      </c>
      <c r="O12972" t="s">
        <v>40437</v>
      </c>
      <c r="Q12972">
        <v>3</v>
      </c>
      <c r="R12972" t="s">
        <v>40464</v>
      </c>
      <c r="S12972" t="s">
        <v>41536</v>
      </c>
      <c r="T12972" t="s">
        <v>42103</v>
      </c>
      <c r="U12972" t="s">
        <v>53250</v>
      </c>
      <c r="W12972" t="s">
        <v>40349</v>
      </c>
      <c r="X12972" t="s">
        <v>40465</v>
      </c>
    </row>
    <row r="12973" spans="1:24">
      <c r="A12973">
        <f>HYPERLINK("https://www.philgeps.gov.ph/GEPSNONPILOT/Tender/SplashBidNoticeAbstractUI.aspx?menuIndex=3&amp;refID=6997268&amp;Result=3","6997268")</f>
        <v>0</v>
      </c>
      <c r="B12973" t="s">
        <v>595</v>
      </c>
      <c r="C12973" t="s">
        <v>15506</v>
      </c>
      <c r="D12973" t="s">
        <v>16190</v>
      </c>
      <c r="E12973" t="s">
        <v>27559</v>
      </c>
      <c r="F12973" t="s">
        <v>28198</v>
      </c>
      <c r="G12973" t="s">
        <v>28207</v>
      </c>
      <c r="H12973" t="s">
        <v>28215</v>
      </c>
      <c r="I12973" t="s">
        <v>28227</v>
      </c>
      <c r="J12973" t="s">
        <v>36275</v>
      </c>
      <c r="K12973" t="s">
        <v>36707</v>
      </c>
      <c r="M12973" t="s">
        <v>37584</v>
      </c>
      <c r="N12973" t="s">
        <v>40436</v>
      </c>
      <c r="O12973" t="s">
        <v>40437</v>
      </c>
      <c r="Q12973">
        <v>0</v>
      </c>
      <c r="R12973" t="s">
        <v>40467</v>
      </c>
      <c r="S12973" t="s">
        <v>40843</v>
      </c>
      <c r="T12973" t="s">
        <v>42350</v>
      </c>
      <c r="U12973" t="s">
        <v>53251</v>
      </c>
      <c r="W12973" t="s">
        <v>37584</v>
      </c>
      <c r="X12973" t="s">
        <v>40470</v>
      </c>
    </row>
    <row r="12974" spans="1:24">
      <c r="A12974">
        <f>HYPERLINK("https://www.philgeps.gov.ph/GEPSNONPILOT/Tender/SplashBidNoticeAbstractUI.aspx?menuIndex=3&amp;refID=6998320&amp;Result=3","6998320")</f>
        <v>0</v>
      </c>
      <c r="B12974" t="s">
        <v>3046</v>
      </c>
      <c r="C12974" t="s">
        <v>15510</v>
      </c>
      <c r="D12974" t="s">
        <v>16200</v>
      </c>
      <c r="E12974" t="s">
        <v>27560</v>
      </c>
      <c r="F12974" t="s">
        <v>28198</v>
      </c>
      <c r="G12974" t="s">
        <v>28205</v>
      </c>
      <c r="H12974" t="s">
        <v>28215</v>
      </c>
      <c r="I12974" t="s">
        <v>28222</v>
      </c>
      <c r="J12974" t="s">
        <v>36276</v>
      </c>
      <c r="K12974" t="s">
        <v>36694</v>
      </c>
      <c r="M12974" t="s">
        <v>40350</v>
      </c>
      <c r="N12974" t="s">
        <v>40436</v>
      </c>
      <c r="O12974" t="s">
        <v>40437</v>
      </c>
      <c r="Q12974">
        <v>5</v>
      </c>
      <c r="R12974" t="s">
        <v>40468</v>
      </c>
      <c r="S12974" t="s">
        <v>41348</v>
      </c>
      <c r="T12974" t="s">
        <v>42482</v>
      </c>
      <c r="U12974" t="s">
        <v>53252</v>
      </c>
      <c r="V12974" t="s">
        <v>55276</v>
      </c>
      <c r="W12974" t="s">
        <v>55549</v>
      </c>
      <c r="X12974" t="s">
        <v>40469</v>
      </c>
    </row>
    <row r="12975" spans="1:24">
      <c r="A12975">
        <f>HYPERLINK("https://www.philgeps.gov.ph/GEPSNONPILOT/Tender/SplashBidNoticeAbstractUI.aspx?menuIndex=3&amp;refID=6998497&amp;Result=3","6998497")</f>
        <v>0</v>
      </c>
      <c r="B12975" t="s">
        <v>381</v>
      </c>
      <c r="C12975" t="s">
        <v>15511</v>
      </c>
      <c r="D12975" t="s">
        <v>16203</v>
      </c>
      <c r="E12975" t="s">
        <v>27561</v>
      </c>
      <c r="F12975" t="s">
        <v>28198</v>
      </c>
      <c r="G12975" t="s">
        <v>28207</v>
      </c>
      <c r="H12975" t="s">
        <v>28215</v>
      </c>
      <c r="I12975" t="s">
        <v>3774</v>
      </c>
      <c r="J12975" t="s">
        <v>30668</v>
      </c>
      <c r="K12975" t="s">
        <v>36687</v>
      </c>
      <c r="M12975" t="s">
        <v>37361</v>
      </c>
      <c r="N12975" t="s">
        <v>40436</v>
      </c>
      <c r="O12975" t="s">
        <v>40437</v>
      </c>
      <c r="Q12975">
        <v>1</v>
      </c>
      <c r="R12975" t="s">
        <v>40468</v>
      </c>
      <c r="S12975" t="s">
        <v>41537</v>
      </c>
      <c r="T12975" t="s">
        <v>42133</v>
      </c>
      <c r="U12975" t="s">
        <v>53253</v>
      </c>
      <c r="W12975" t="s">
        <v>37361</v>
      </c>
      <c r="X12975" t="s">
        <v>40469</v>
      </c>
    </row>
    <row r="12976" spans="1:24">
      <c r="A12976">
        <f>HYPERLINK("https://www.philgeps.gov.ph/GEPSNONPILOT/Tender/SplashBidNoticeAbstractUI.aspx?menuIndex=3&amp;refID=6997241&amp;Result=3","6997241")</f>
        <v>0</v>
      </c>
      <c r="B12976" t="s">
        <v>595</v>
      </c>
      <c r="C12976" t="s">
        <v>15506</v>
      </c>
      <c r="D12976" t="s">
        <v>16190</v>
      </c>
      <c r="E12976" t="s">
        <v>27562</v>
      </c>
      <c r="F12976" t="s">
        <v>28198</v>
      </c>
      <c r="G12976" t="s">
        <v>28207</v>
      </c>
      <c r="H12976" t="s">
        <v>28215</v>
      </c>
      <c r="I12976" t="s">
        <v>28227</v>
      </c>
      <c r="J12976" t="s">
        <v>28559</v>
      </c>
      <c r="K12976" t="s">
        <v>36707</v>
      </c>
      <c r="M12976" t="s">
        <v>37584</v>
      </c>
      <c r="N12976" t="s">
        <v>40436</v>
      </c>
      <c r="O12976" t="s">
        <v>40437</v>
      </c>
      <c r="Q12976">
        <v>0</v>
      </c>
      <c r="R12976" t="s">
        <v>40467</v>
      </c>
      <c r="S12976" t="s">
        <v>41538</v>
      </c>
      <c r="T12976" t="s">
        <v>42350</v>
      </c>
      <c r="U12976" t="s">
        <v>53254</v>
      </c>
      <c r="W12976" t="s">
        <v>37584</v>
      </c>
      <c r="X12976" t="s">
        <v>40470</v>
      </c>
    </row>
    <row r="12977" spans="1:24">
      <c r="A12977">
        <f>HYPERLINK("https://www.philgeps.gov.ph/GEPSNONPILOT/Tender/SplashBidNoticeAbstractUI.aspx?menuIndex=3&amp;refID=6997462&amp;Result=3","6997462")</f>
        <v>0</v>
      </c>
      <c r="B12977" t="s">
        <v>3047</v>
      </c>
      <c r="C12977" t="s">
        <v>15512</v>
      </c>
      <c r="D12977" t="s">
        <v>16210</v>
      </c>
      <c r="E12977" t="s">
        <v>27563</v>
      </c>
      <c r="F12977" t="s">
        <v>28198</v>
      </c>
      <c r="G12977" t="s">
        <v>28205</v>
      </c>
      <c r="H12977" t="s">
        <v>28216</v>
      </c>
      <c r="I12977" t="s">
        <v>28216</v>
      </c>
      <c r="J12977" t="s">
        <v>36277</v>
      </c>
      <c r="K12977" t="s">
        <v>36689</v>
      </c>
      <c r="M12977" t="s">
        <v>40351</v>
      </c>
      <c r="N12977" t="s">
        <v>40436</v>
      </c>
      <c r="O12977" t="s">
        <v>40437</v>
      </c>
      <c r="Q12977">
        <v>42</v>
      </c>
      <c r="R12977" t="s">
        <v>40469</v>
      </c>
      <c r="S12977" t="s">
        <v>41539</v>
      </c>
      <c r="T12977" t="s">
        <v>42181</v>
      </c>
      <c r="U12977" t="s">
        <v>53255</v>
      </c>
      <c r="W12977" t="s">
        <v>40351</v>
      </c>
      <c r="X12977" t="s">
        <v>40470</v>
      </c>
    </row>
    <row r="12978" spans="1:24">
      <c r="A12978">
        <f>HYPERLINK("https://www.philgeps.gov.ph/GEPSNONPILOT/Tender/SplashBidNoticeAbstractUI.aspx?menuIndex=3&amp;refID=6999022&amp;Result=3","6999022")</f>
        <v>0</v>
      </c>
      <c r="B12978" t="s">
        <v>1845</v>
      </c>
      <c r="C12978" t="s">
        <v>15513</v>
      </c>
      <c r="D12978" t="s">
        <v>16190</v>
      </c>
      <c r="E12978" t="s">
        <v>27564</v>
      </c>
      <c r="F12978" t="s">
        <v>28199</v>
      </c>
      <c r="G12978" t="s">
        <v>28208</v>
      </c>
      <c r="H12978" t="s">
        <v>28214</v>
      </c>
      <c r="I12978" t="s">
        <v>3797</v>
      </c>
      <c r="J12978" t="s">
        <v>36278</v>
      </c>
      <c r="K12978" t="s">
        <v>36729</v>
      </c>
      <c r="M12978" t="s">
        <v>38972</v>
      </c>
      <c r="N12978" t="s">
        <v>40436</v>
      </c>
      <c r="O12978" t="s">
        <v>40437</v>
      </c>
      <c r="Q12978">
        <v>21</v>
      </c>
      <c r="R12978" t="s">
        <v>40467</v>
      </c>
      <c r="S12978" t="s">
        <v>41540</v>
      </c>
      <c r="T12978" t="s">
        <v>42133</v>
      </c>
      <c r="U12978" t="s">
        <v>53256</v>
      </c>
      <c r="W12978" t="s">
        <v>55530</v>
      </c>
      <c r="X12978" t="s">
        <v>55555</v>
      </c>
    </row>
    <row r="12979" spans="1:24">
      <c r="A12979">
        <f>HYPERLINK("https://www.philgeps.gov.ph/GEPSNONPILOT/Tender/SplashBidNoticeAbstractUI.aspx?menuIndex=3&amp;refID=6998549&amp;Result=3","6998549")</f>
        <v>0</v>
      </c>
      <c r="B12979" t="s">
        <v>3046</v>
      </c>
      <c r="C12979" t="s">
        <v>15514</v>
      </c>
      <c r="D12979" t="s">
        <v>16200</v>
      </c>
      <c r="E12979" t="s">
        <v>27565</v>
      </c>
      <c r="F12979" t="s">
        <v>28198</v>
      </c>
      <c r="G12979" t="s">
        <v>28205</v>
      </c>
      <c r="H12979" t="s">
        <v>28215</v>
      </c>
      <c r="I12979" t="s">
        <v>5100</v>
      </c>
      <c r="J12979" t="s">
        <v>36279</v>
      </c>
      <c r="K12979" t="s">
        <v>36692</v>
      </c>
      <c r="M12979" t="s">
        <v>40350</v>
      </c>
      <c r="N12979" t="s">
        <v>40436</v>
      </c>
      <c r="O12979" t="s">
        <v>40437</v>
      </c>
      <c r="Q12979">
        <v>12</v>
      </c>
      <c r="R12979" t="s">
        <v>40468</v>
      </c>
      <c r="S12979" t="s">
        <v>41541</v>
      </c>
      <c r="T12979" t="s">
        <v>42372</v>
      </c>
      <c r="U12979" t="s">
        <v>53257</v>
      </c>
      <c r="V12979" t="s">
        <v>55276</v>
      </c>
      <c r="W12979" t="s">
        <v>55549</v>
      </c>
      <c r="X12979" t="s">
        <v>40469</v>
      </c>
    </row>
    <row r="12980" spans="1:24">
      <c r="A12980">
        <f>HYPERLINK("https://www.philgeps.gov.ph/GEPSNONPILOT/Tender/SplashBidNoticeAbstractUI.aspx?menuIndex=3&amp;refID=6994488&amp;Result=3","6994488")</f>
        <v>0</v>
      </c>
      <c r="B12980" t="s">
        <v>944</v>
      </c>
      <c r="C12980" t="s">
        <v>15515</v>
      </c>
      <c r="D12980" t="s">
        <v>16210</v>
      </c>
      <c r="E12980" t="s">
        <v>27566</v>
      </c>
      <c r="F12980" t="s">
        <v>28198</v>
      </c>
      <c r="G12980" t="s">
        <v>28205</v>
      </c>
      <c r="H12980" t="s">
        <v>28215</v>
      </c>
      <c r="I12980" t="s">
        <v>28262</v>
      </c>
      <c r="J12980" t="s">
        <v>36280</v>
      </c>
      <c r="K12980" t="s">
        <v>36732</v>
      </c>
      <c r="M12980" t="s">
        <v>40352</v>
      </c>
      <c r="N12980" t="s">
        <v>40436</v>
      </c>
      <c r="O12980" t="s">
        <v>40437</v>
      </c>
      <c r="Q12980">
        <v>20</v>
      </c>
      <c r="R12980" t="s">
        <v>40470</v>
      </c>
      <c r="S12980" t="s">
        <v>41542</v>
      </c>
      <c r="T12980" t="s">
        <v>42435</v>
      </c>
      <c r="U12980" t="s">
        <v>53258</v>
      </c>
      <c r="W12980" t="s">
        <v>40352</v>
      </c>
      <c r="X12980" t="s">
        <v>40473</v>
      </c>
    </row>
    <row r="12981" spans="1:24">
      <c r="A12981">
        <f>HYPERLINK("https://www.philgeps.gov.ph/GEPSNONPILOT/Tender/SplashBidNoticeAbstractUI.aspx?menuIndex=3&amp;refID=7000584&amp;Result=3","7000584")</f>
        <v>0</v>
      </c>
      <c r="B12981" t="s">
        <v>595</v>
      </c>
      <c r="C12981" t="s">
        <v>15516</v>
      </c>
      <c r="D12981" t="s">
        <v>16195</v>
      </c>
      <c r="E12981" t="s">
        <v>27567</v>
      </c>
      <c r="F12981" t="s">
        <v>28198</v>
      </c>
      <c r="G12981" t="s">
        <v>28207</v>
      </c>
      <c r="H12981" t="s">
        <v>28215</v>
      </c>
      <c r="I12981" t="s">
        <v>5103</v>
      </c>
      <c r="J12981" t="s">
        <v>29304</v>
      </c>
      <c r="K12981" t="s">
        <v>36707</v>
      </c>
      <c r="M12981" t="s">
        <v>37584</v>
      </c>
      <c r="N12981" t="s">
        <v>40436</v>
      </c>
      <c r="O12981" t="s">
        <v>40437</v>
      </c>
      <c r="Q12981">
        <v>5</v>
      </c>
      <c r="R12981" t="s">
        <v>40471</v>
      </c>
      <c r="S12981" t="s">
        <v>41543</v>
      </c>
      <c r="T12981" t="s">
        <v>42350</v>
      </c>
      <c r="U12981" t="s">
        <v>53259</v>
      </c>
      <c r="W12981" t="s">
        <v>37584</v>
      </c>
      <c r="X12981" t="s">
        <v>40467</v>
      </c>
    </row>
    <row r="12982" spans="1:24">
      <c r="A12982">
        <f>HYPERLINK("https://www.philgeps.gov.ph/GEPSNONPILOT/Tender/SplashBidNoticeAbstractUI.aspx?menuIndex=3&amp;refID=7004244&amp;Result=3","7004244")</f>
        <v>0</v>
      </c>
      <c r="B12982" t="s">
        <v>3045</v>
      </c>
      <c r="C12982" t="s">
        <v>15517</v>
      </c>
      <c r="D12982" t="s">
        <v>16274</v>
      </c>
      <c r="E12982" t="s">
        <v>19404</v>
      </c>
      <c r="F12982" t="s">
        <v>28198</v>
      </c>
      <c r="G12982" t="s">
        <v>28205</v>
      </c>
      <c r="H12982" t="s">
        <v>28215</v>
      </c>
      <c r="I12982" t="s">
        <v>28222</v>
      </c>
      <c r="J12982" t="s">
        <v>36281</v>
      </c>
      <c r="K12982" t="s">
        <v>36706</v>
      </c>
      <c r="M12982" t="s">
        <v>40349</v>
      </c>
      <c r="N12982" t="s">
        <v>40436</v>
      </c>
      <c r="O12982" t="s">
        <v>40437</v>
      </c>
      <c r="Q12982">
        <v>5</v>
      </c>
      <c r="R12982" t="s">
        <v>40464</v>
      </c>
      <c r="S12982" t="s">
        <v>41544</v>
      </c>
      <c r="T12982" t="s">
        <v>42103</v>
      </c>
      <c r="U12982" t="s">
        <v>53260</v>
      </c>
      <c r="W12982" t="s">
        <v>40349</v>
      </c>
      <c r="X12982" t="s">
        <v>40465</v>
      </c>
    </row>
    <row r="12983" spans="1:24">
      <c r="A12983">
        <f>HYPERLINK("https://www.philgeps.gov.ph/GEPSNONPILOT/Tender/SplashBidNoticeAbstractUI.aspx?menuIndex=3&amp;refID=6998256&amp;Result=3","6998256")</f>
        <v>0</v>
      </c>
      <c r="B12983" t="s">
        <v>2859</v>
      </c>
      <c r="C12983" t="s">
        <v>15518</v>
      </c>
      <c r="D12983" t="s">
        <v>16190</v>
      </c>
      <c r="E12983" t="s">
        <v>27568</v>
      </c>
      <c r="F12983" t="s">
        <v>28198</v>
      </c>
      <c r="G12983" t="s">
        <v>28205</v>
      </c>
      <c r="H12983" t="s">
        <v>28216</v>
      </c>
      <c r="I12983" t="s">
        <v>28216</v>
      </c>
      <c r="J12983" t="s">
        <v>36282</v>
      </c>
      <c r="K12983" t="s">
        <v>36715</v>
      </c>
      <c r="M12983" t="s">
        <v>40121</v>
      </c>
      <c r="N12983" t="s">
        <v>40436</v>
      </c>
      <c r="O12983" t="s">
        <v>40437</v>
      </c>
      <c r="P12983">
        <v>0</v>
      </c>
      <c r="Q12983">
        <v>4</v>
      </c>
      <c r="R12983" t="s">
        <v>40471</v>
      </c>
      <c r="S12983" t="s">
        <v>41545</v>
      </c>
      <c r="T12983" t="s">
        <v>42119</v>
      </c>
      <c r="U12983" t="s">
        <v>53261</v>
      </c>
      <c r="W12983" t="s">
        <v>40121</v>
      </c>
      <c r="X12983" t="s">
        <v>40469</v>
      </c>
    </row>
    <row r="12984" spans="1:24">
      <c r="A12984">
        <f>HYPERLINK("https://www.philgeps.gov.ph/GEPSNONPILOT/Tender/SplashBidNoticeAbstractUI.aspx?menuIndex=3&amp;refID=7002518&amp;Result=3","7002518")</f>
        <v>0</v>
      </c>
      <c r="B12984" t="s">
        <v>2091</v>
      </c>
      <c r="C12984" t="s">
        <v>15519</v>
      </c>
      <c r="D12984" t="s">
        <v>16244</v>
      </c>
      <c r="E12984" t="s">
        <v>27569</v>
      </c>
      <c r="F12984" t="s">
        <v>28198</v>
      </c>
      <c r="G12984" t="s">
        <v>28205</v>
      </c>
      <c r="H12984" t="s">
        <v>28214</v>
      </c>
      <c r="I12984" t="s">
        <v>3797</v>
      </c>
      <c r="J12984" t="s">
        <v>36283</v>
      </c>
      <c r="K12984" t="s">
        <v>36833</v>
      </c>
      <c r="M12984" t="s">
        <v>39240</v>
      </c>
      <c r="N12984" t="s">
        <v>40436</v>
      </c>
      <c r="O12984" t="s">
        <v>40437</v>
      </c>
      <c r="Q12984">
        <v>0</v>
      </c>
      <c r="R12984" t="s">
        <v>40465</v>
      </c>
      <c r="S12984" t="s">
        <v>41546</v>
      </c>
      <c r="T12984" t="s">
        <v>42188</v>
      </c>
      <c r="U12984" t="s">
        <v>48138</v>
      </c>
      <c r="W12984" t="s">
        <v>39240</v>
      </c>
      <c r="X12984" t="s">
        <v>40471</v>
      </c>
    </row>
    <row r="12985" spans="1:24">
      <c r="A12985">
        <f>HYPERLINK("https://www.philgeps.gov.ph/GEPSNONPILOT/Tender/SplashBidNoticeAbstractUI.aspx?menuIndex=3&amp;refID=7002426&amp;Result=3","7002426")</f>
        <v>0</v>
      </c>
      <c r="B12985" t="s">
        <v>2091</v>
      </c>
      <c r="C12985" t="s">
        <v>15520</v>
      </c>
      <c r="D12985" t="s">
        <v>16244</v>
      </c>
      <c r="E12985" t="s">
        <v>27570</v>
      </c>
      <c r="F12985" t="s">
        <v>28198</v>
      </c>
      <c r="G12985" t="s">
        <v>28205</v>
      </c>
      <c r="H12985" t="s">
        <v>28214</v>
      </c>
      <c r="I12985" t="s">
        <v>3797</v>
      </c>
      <c r="J12985" t="s">
        <v>36284</v>
      </c>
      <c r="K12985" t="s">
        <v>36710</v>
      </c>
      <c r="M12985" t="s">
        <v>39240</v>
      </c>
      <c r="N12985" t="s">
        <v>40436</v>
      </c>
      <c r="O12985" t="s">
        <v>40437</v>
      </c>
      <c r="Q12985">
        <v>0</v>
      </c>
      <c r="R12985" t="s">
        <v>40465</v>
      </c>
      <c r="S12985" t="s">
        <v>41547</v>
      </c>
      <c r="T12985" t="s">
        <v>42188</v>
      </c>
      <c r="U12985" t="s">
        <v>48138</v>
      </c>
      <c r="W12985" t="s">
        <v>39240</v>
      </c>
      <c r="X12985" t="s">
        <v>40471</v>
      </c>
    </row>
    <row r="12986" spans="1:24">
      <c r="A12986">
        <f>HYPERLINK("https://www.philgeps.gov.ph/GEPSNONPILOT/Tender/SplashBidNoticeAbstractUI.aspx?menuIndex=3&amp;refID=7001996&amp;Result=3","7001996")</f>
        <v>0</v>
      </c>
      <c r="B12986" t="s">
        <v>3029</v>
      </c>
      <c r="C12986" t="s">
        <v>15521</v>
      </c>
      <c r="D12986" t="s">
        <v>16219</v>
      </c>
      <c r="E12986" t="s">
        <v>27571</v>
      </c>
      <c r="F12986" t="s">
        <v>28198</v>
      </c>
      <c r="G12986" t="s">
        <v>28205</v>
      </c>
      <c r="H12986" t="s">
        <v>28214</v>
      </c>
      <c r="I12986" t="s">
        <v>3797</v>
      </c>
      <c r="J12986" t="s">
        <v>28363</v>
      </c>
      <c r="K12986" t="s">
        <v>36827</v>
      </c>
      <c r="M12986" t="s">
        <v>40330</v>
      </c>
      <c r="N12986" t="s">
        <v>40436</v>
      </c>
      <c r="O12986" t="s">
        <v>40437</v>
      </c>
      <c r="Q12986">
        <v>2</v>
      </c>
      <c r="R12986" t="s">
        <v>40465</v>
      </c>
      <c r="S12986" t="s">
        <v>41548</v>
      </c>
      <c r="T12986" t="s">
        <v>42455</v>
      </c>
      <c r="U12986" t="s">
        <v>53262</v>
      </c>
      <c r="W12986" t="s">
        <v>40330</v>
      </c>
      <c r="X12986" t="s">
        <v>40471</v>
      </c>
    </row>
    <row r="12987" spans="1:24">
      <c r="A12987">
        <f>HYPERLINK("https://www.philgeps.gov.ph/GEPSNONPILOT/Tender/SplashBidNoticeAbstractUI.aspx?menuIndex=3&amp;refID=7004028&amp;Result=3","7004028")</f>
        <v>0</v>
      </c>
      <c r="B12987" t="s">
        <v>3045</v>
      </c>
      <c r="C12987" t="s">
        <v>15522</v>
      </c>
      <c r="D12987" t="s">
        <v>16274</v>
      </c>
      <c r="E12987" t="s">
        <v>27177</v>
      </c>
      <c r="F12987" t="s">
        <v>28198</v>
      </c>
      <c r="G12987" t="s">
        <v>28205</v>
      </c>
      <c r="H12987" t="s">
        <v>28215</v>
      </c>
      <c r="I12987" t="s">
        <v>4168</v>
      </c>
      <c r="J12987" t="s">
        <v>28804</v>
      </c>
      <c r="K12987" t="s">
        <v>36706</v>
      </c>
      <c r="M12987" t="s">
        <v>40349</v>
      </c>
      <c r="N12987" t="s">
        <v>40436</v>
      </c>
      <c r="O12987" t="s">
        <v>40437</v>
      </c>
      <c r="P12987">
        <v>0</v>
      </c>
      <c r="Q12987">
        <v>3</v>
      </c>
      <c r="R12987" t="s">
        <v>40464</v>
      </c>
      <c r="S12987" t="s">
        <v>41549</v>
      </c>
      <c r="T12987" t="s">
        <v>42103</v>
      </c>
      <c r="U12987" t="s">
        <v>53263</v>
      </c>
      <c r="W12987" t="s">
        <v>40349</v>
      </c>
      <c r="X12987" t="s">
        <v>40465</v>
      </c>
    </row>
    <row r="12988" spans="1:24">
      <c r="A12988">
        <f>HYPERLINK("https://www.philgeps.gov.ph/GEPSNONPILOT/Tender/SplashBidNoticeAbstractUI.aspx?menuIndex=3&amp;refID=7001842&amp;Result=3","7001842")</f>
        <v>0</v>
      </c>
      <c r="B12988" t="s">
        <v>816</v>
      </c>
      <c r="C12988" t="s">
        <v>15523</v>
      </c>
      <c r="D12988" t="s">
        <v>16200</v>
      </c>
      <c r="E12988" t="s">
        <v>27572</v>
      </c>
      <c r="F12988" t="s">
        <v>28198</v>
      </c>
      <c r="G12988" t="s">
        <v>28205</v>
      </c>
      <c r="H12988" t="s">
        <v>28215</v>
      </c>
      <c r="I12988" t="s">
        <v>28225</v>
      </c>
      <c r="J12988" t="s">
        <v>36285</v>
      </c>
      <c r="K12988" t="s">
        <v>36689</v>
      </c>
      <c r="M12988" t="s">
        <v>37828</v>
      </c>
      <c r="N12988" t="s">
        <v>40436</v>
      </c>
      <c r="O12988" t="s">
        <v>40437</v>
      </c>
      <c r="Q12988">
        <v>7</v>
      </c>
      <c r="R12988" t="s">
        <v>40465</v>
      </c>
      <c r="S12988" t="s">
        <v>41550</v>
      </c>
      <c r="T12988" t="s">
        <v>42134</v>
      </c>
      <c r="U12988" t="s">
        <v>53264</v>
      </c>
      <c r="V12988" t="s">
        <v>55277</v>
      </c>
      <c r="W12988" t="s">
        <v>37828</v>
      </c>
      <c r="X12988" t="s">
        <v>40471</v>
      </c>
    </row>
    <row r="12989" spans="1:24">
      <c r="A12989">
        <f>HYPERLINK("https://www.philgeps.gov.ph/GEPSNONPILOT/Tender/SplashBidNoticeAbstractUI.aspx?menuIndex=3&amp;refID=7002112&amp;Result=3","7002112")</f>
        <v>0</v>
      </c>
      <c r="B12989" t="s">
        <v>2654</v>
      </c>
      <c r="C12989" t="s">
        <v>15524</v>
      </c>
      <c r="D12989" t="s">
        <v>16255</v>
      </c>
      <c r="E12989" t="s">
        <v>27573</v>
      </c>
      <c r="F12989" t="s">
        <v>28198</v>
      </c>
      <c r="G12989" t="s">
        <v>28205</v>
      </c>
      <c r="H12989" t="s">
        <v>28215</v>
      </c>
      <c r="I12989" t="s">
        <v>28247</v>
      </c>
      <c r="J12989" t="s">
        <v>31925</v>
      </c>
      <c r="K12989" t="s">
        <v>36694</v>
      </c>
      <c r="M12989" t="s">
        <v>39881</v>
      </c>
      <c r="N12989" t="s">
        <v>40436</v>
      </c>
      <c r="O12989" t="s">
        <v>40437</v>
      </c>
      <c r="Q12989">
        <v>41</v>
      </c>
      <c r="R12989" t="s">
        <v>40465</v>
      </c>
      <c r="S12989" t="s">
        <v>41551</v>
      </c>
      <c r="T12989" t="s">
        <v>42134</v>
      </c>
      <c r="U12989" t="s">
        <v>53265</v>
      </c>
      <c r="V12989" t="s">
        <v>54809</v>
      </c>
      <c r="W12989" t="s">
        <v>39881</v>
      </c>
      <c r="X12989" t="s">
        <v>40471</v>
      </c>
    </row>
    <row r="12990" spans="1:24">
      <c r="A12990">
        <f>HYPERLINK("https://www.philgeps.gov.ph/GEPSNONPILOT/Tender/SplashBidNoticeAbstractUI.aspx?menuIndex=3&amp;refID=7004042&amp;Result=3","7004042")</f>
        <v>0</v>
      </c>
      <c r="B12990" t="s">
        <v>2091</v>
      </c>
      <c r="C12990" t="s">
        <v>15525</v>
      </c>
      <c r="D12990" t="s">
        <v>16244</v>
      </c>
      <c r="E12990" t="s">
        <v>27574</v>
      </c>
      <c r="F12990" t="s">
        <v>28198</v>
      </c>
      <c r="G12990" t="s">
        <v>28205</v>
      </c>
      <c r="H12990" t="s">
        <v>28214</v>
      </c>
      <c r="I12990" t="s">
        <v>3797</v>
      </c>
      <c r="J12990" t="s">
        <v>36286</v>
      </c>
      <c r="K12990" t="s">
        <v>36690</v>
      </c>
      <c r="M12990" t="s">
        <v>39240</v>
      </c>
      <c r="N12990" t="s">
        <v>40436</v>
      </c>
      <c r="O12990" t="s">
        <v>40437</v>
      </c>
      <c r="Q12990">
        <v>0</v>
      </c>
      <c r="R12990" t="s">
        <v>40464</v>
      </c>
      <c r="S12990" t="s">
        <v>41552</v>
      </c>
      <c r="T12990" t="s">
        <v>42188</v>
      </c>
      <c r="U12990" t="s">
        <v>53266</v>
      </c>
      <c r="W12990" t="s">
        <v>39240</v>
      </c>
      <c r="X12990" t="s">
        <v>40465</v>
      </c>
    </row>
    <row r="12991" spans="1:24">
      <c r="A12991">
        <f>HYPERLINK("https://www.philgeps.gov.ph/GEPSNONPILOT/Tender/SplashBidNoticeAbstractUI.aspx?menuIndex=3&amp;refID=7003767&amp;Result=3","7003767")</f>
        <v>0</v>
      </c>
      <c r="B12991" t="s">
        <v>2033</v>
      </c>
      <c r="C12991" t="s">
        <v>15526</v>
      </c>
      <c r="E12991" t="s">
        <v>27575</v>
      </c>
      <c r="F12991" t="s">
        <v>28198</v>
      </c>
      <c r="G12991" t="s">
        <v>28205</v>
      </c>
      <c r="H12991" t="s">
        <v>28214</v>
      </c>
      <c r="I12991" t="s">
        <v>3797</v>
      </c>
      <c r="J12991" t="s">
        <v>36287</v>
      </c>
      <c r="K12991" t="s">
        <v>36689</v>
      </c>
      <c r="M12991" t="s">
        <v>39175</v>
      </c>
      <c r="N12991" t="s">
        <v>40436</v>
      </c>
      <c r="O12991" t="s">
        <v>40437</v>
      </c>
      <c r="Q12991">
        <v>61</v>
      </c>
      <c r="R12991" t="s">
        <v>40464</v>
      </c>
      <c r="S12991" t="s">
        <v>41553</v>
      </c>
      <c r="T12991" t="s">
        <v>42112</v>
      </c>
      <c r="U12991" t="s">
        <v>47923</v>
      </c>
      <c r="W12991" t="s">
        <v>55503</v>
      </c>
      <c r="X12991" t="s">
        <v>40465</v>
      </c>
    </row>
    <row r="12992" spans="1:24">
      <c r="A12992">
        <f>HYPERLINK("https://www.philgeps.gov.ph/GEPSNONPILOT/Tender/SplashBidNoticeAbstractUI.aspx?menuIndex=3&amp;refID=6997330&amp;Result=3","6997330")</f>
        <v>0</v>
      </c>
      <c r="B12992" t="s">
        <v>1348</v>
      </c>
      <c r="C12992" t="s">
        <v>15527</v>
      </c>
      <c r="D12992" t="s">
        <v>16217</v>
      </c>
      <c r="E12992" t="s">
        <v>27576</v>
      </c>
      <c r="F12992" t="s">
        <v>28198</v>
      </c>
      <c r="G12992" t="s">
        <v>28205</v>
      </c>
      <c r="H12992" t="s">
        <v>28214</v>
      </c>
      <c r="I12992" t="s">
        <v>28242</v>
      </c>
      <c r="J12992" t="s">
        <v>36288</v>
      </c>
      <c r="K12992" t="s">
        <v>36978</v>
      </c>
      <c r="M12992" t="s">
        <v>38406</v>
      </c>
      <c r="N12992" t="s">
        <v>40436</v>
      </c>
      <c r="O12992" t="s">
        <v>40437</v>
      </c>
      <c r="Q12992">
        <v>8</v>
      </c>
      <c r="R12992" t="s">
        <v>40469</v>
      </c>
      <c r="S12992" t="s">
        <v>41554</v>
      </c>
      <c r="T12992" t="s">
        <v>42119</v>
      </c>
      <c r="U12992" t="s">
        <v>53267</v>
      </c>
      <c r="W12992" t="s">
        <v>38406</v>
      </c>
      <c r="X12992" t="s">
        <v>40470</v>
      </c>
    </row>
    <row r="12993" spans="1:24">
      <c r="A12993">
        <f>HYPERLINK("https://www.philgeps.gov.ph/GEPSNONPILOT/Tender/SplashBidNoticeAbstractUI.aspx?menuIndex=3&amp;refID=6990891&amp;Result=3","6990891")</f>
        <v>0</v>
      </c>
      <c r="B12993" t="s">
        <v>3048</v>
      </c>
      <c r="C12993" t="s">
        <v>15528</v>
      </c>
      <c r="D12993" t="s">
        <v>16210</v>
      </c>
      <c r="E12993" t="s">
        <v>27577</v>
      </c>
      <c r="F12993" t="s">
        <v>28198</v>
      </c>
      <c r="G12993" t="s">
        <v>28207</v>
      </c>
      <c r="H12993" t="s">
        <v>28215</v>
      </c>
      <c r="I12993" t="s">
        <v>4200</v>
      </c>
      <c r="J12993" t="s">
        <v>36289</v>
      </c>
      <c r="K12993" t="s">
        <v>36769</v>
      </c>
      <c r="M12993" t="s">
        <v>40353</v>
      </c>
      <c r="N12993" t="s">
        <v>40436</v>
      </c>
      <c r="O12993" t="s">
        <v>40437</v>
      </c>
      <c r="P12993">
        <v>0</v>
      </c>
      <c r="Q12993">
        <v>2</v>
      </c>
      <c r="R12993" t="s">
        <v>40472</v>
      </c>
      <c r="S12993" t="s">
        <v>41555</v>
      </c>
      <c r="T12993" t="s">
        <v>42254</v>
      </c>
      <c r="U12993" t="s">
        <v>53268</v>
      </c>
      <c r="W12993" t="s">
        <v>40353</v>
      </c>
      <c r="X12993" t="s">
        <v>40474</v>
      </c>
    </row>
    <row r="12994" spans="1:24">
      <c r="A12994">
        <f>HYPERLINK("https://www.philgeps.gov.ph/GEPSNONPILOT/Tender/SplashBidNoticeAbstractUI.aspx?menuIndex=3&amp;refID=6996934&amp;Result=3","6996934")</f>
        <v>0</v>
      </c>
      <c r="B12994" t="s">
        <v>360</v>
      </c>
      <c r="C12994" t="s">
        <v>15529</v>
      </c>
      <c r="D12994" t="s">
        <v>16210</v>
      </c>
      <c r="E12994" t="s">
        <v>27578</v>
      </c>
      <c r="F12994" t="s">
        <v>28198</v>
      </c>
      <c r="G12994" t="s">
        <v>28205</v>
      </c>
      <c r="H12994" t="s">
        <v>28215</v>
      </c>
      <c r="I12994" t="s">
        <v>28276</v>
      </c>
      <c r="J12994" t="s">
        <v>30373</v>
      </c>
      <c r="K12994" t="s">
        <v>36689</v>
      </c>
      <c r="M12994" t="s">
        <v>40354</v>
      </c>
      <c r="N12994" t="s">
        <v>40436</v>
      </c>
      <c r="O12994" t="s">
        <v>40437</v>
      </c>
      <c r="Q12994">
        <v>9</v>
      </c>
      <c r="R12994" t="s">
        <v>40469</v>
      </c>
      <c r="S12994" t="s">
        <v>40596</v>
      </c>
      <c r="T12994" t="s">
        <v>42102</v>
      </c>
      <c r="U12994" t="s">
        <v>53269</v>
      </c>
      <c r="W12994" t="s">
        <v>40354</v>
      </c>
      <c r="X12994" t="s">
        <v>40470</v>
      </c>
    </row>
    <row r="12995" spans="1:24">
      <c r="A12995">
        <f>HYPERLINK("https://www.philgeps.gov.ph/GEPSNONPILOT/Tender/SplashBidNoticeAbstractUI.aspx?menuIndex=3&amp;refID=7003758&amp;Result=3","7003758")</f>
        <v>0</v>
      </c>
      <c r="B12995" t="s">
        <v>2033</v>
      </c>
      <c r="C12995" t="s">
        <v>15530</v>
      </c>
      <c r="E12995" t="s">
        <v>27579</v>
      </c>
      <c r="F12995" t="s">
        <v>28198</v>
      </c>
      <c r="G12995" t="s">
        <v>28205</v>
      </c>
      <c r="H12995" t="s">
        <v>28214</v>
      </c>
      <c r="I12995" t="s">
        <v>3797</v>
      </c>
      <c r="J12995" t="s">
        <v>36290</v>
      </c>
      <c r="K12995" t="s">
        <v>36689</v>
      </c>
      <c r="M12995" t="s">
        <v>39175</v>
      </c>
      <c r="N12995" t="s">
        <v>40436</v>
      </c>
      <c r="O12995" t="s">
        <v>40437</v>
      </c>
      <c r="Q12995">
        <v>47</v>
      </c>
      <c r="R12995" t="s">
        <v>40464</v>
      </c>
      <c r="S12995" t="s">
        <v>41556</v>
      </c>
      <c r="T12995" t="s">
        <v>42112</v>
      </c>
      <c r="U12995" t="s">
        <v>47923</v>
      </c>
      <c r="W12995" t="s">
        <v>55503</v>
      </c>
      <c r="X12995" t="s">
        <v>40465</v>
      </c>
    </row>
    <row r="12996" spans="1:24">
      <c r="A12996">
        <f>HYPERLINK("https://www.philgeps.gov.ph/GEPSNONPILOT/Tender/SplashBidNoticeAbstractUI.aspx?menuIndex=3&amp;refID=6993598&amp;Result=3","6993598")</f>
        <v>0</v>
      </c>
      <c r="B12996" t="s">
        <v>360</v>
      </c>
      <c r="C12996" t="s">
        <v>15531</v>
      </c>
      <c r="D12996" t="s">
        <v>16210</v>
      </c>
      <c r="E12996" t="s">
        <v>27580</v>
      </c>
      <c r="F12996" t="s">
        <v>28198</v>
      </c>
      <c r="G12996" t="s">
        <v>28205</v>
      </c>
      <c r="H12996" t="s">
        <v>28215</v>
      </c>
      <c r="I12996" t="s">
        <v>28333</v>
      </c>
      <c r="J12996" t="s">
        <v>35265</v>
      </c>
      <c r="K12996" t="s">
        <v>36788</v>
      </c>
      <c r="M12996" t="s">
        <v>40354</v>
      </c>
      <c r="N12996" t="s">
        <v>40436</v>
      </c>
      <c r="O12996" t="s">
        <v>40437</v>
      </c>
      <c r="Q12996">
        <v>9</v>
      </c>
      <c r="R12996" t="s">
        <v>40473</v>
      </c>
      <c r="S12996" t="s">
        <v>41557</v>
      </c>
      <c r="T12996" t="s">
        <v>42184</v>
      </c>
      <c r="U12996" t="s">
        <v>53270</v>
      </c>
      <c r="W12996" t="s">
        <v>40354</v>
      </c>
      <c r="X12996" t="s">
        <v>40472</v>
      </c>
    </row>
    <row r="12997" spans="1:24">
      <c r="A12997">
        <f>HYPERLINK("https://www.philgeps.gov.ph/GEPSNONPILOT/Tender/SplashBidNoticeAbstractUI.aspx?menuIndex=3&amp;refID=7004027&amp;Result=3","7004027")</f>
        <v>0</v>
      </c>
      <c r="B12997" t="s">
        <v>2091</v>
      </c>
      <c r="C12997" t="s">
        <v>15532</v>
      </c>
      <c r="D12997" t="s">
        <v>16244</v>
      </c>
      <c r="E12997" t="s">
        <v>27581</v>
      </c>
      <c r="F12997" t="s">
        <v>28198</v>
      </c>
      <c r="G12997" t="s">
        <v>28205</v>
      </c>
      <c r="H12997" t="s">
        <v>28214</v>
      </c>
      <c r="I12997" t="s">
        <v>3797</v>
      </c>
      <c r="J12997" t="s">
        <v>36291</v>
      </c>
      <c r="K12997" t="s">
        <v>36690</v>
      </c>
      <c r="M12997" t="s">
        <v>39240</v>
      </c>
      <c r="N12997" t="s">
        <v>40436</v>
      </c>
      <c r="O12997" t="s">
        <v>40437</v>
      </c>
      <c r="Q12997">
        <v>0</v>
      </c>
      <c r="R12997" t="s">
        <v>40464</v>
      </c>
      <c r="S12997" t="s">
        <v>41558</v>
      </c>
      <c r="T12997" t="s">
        <v>42188</v>
      </c>
      <c r="U12997" t="s">
        <v>53266</v>
      </c>
      <c r="W12997" t="s">
        <v>39240</v>
      </c>
      <c r="X12997" t="s">
        <v>40465</v>
      </c>
    </row>
    <row r="12998" spans="1:24">
      <c r="A12998">
        <f>HYPERLINK("https://www.philgeps.gov.ph/GEPSNONPILOT/Tender/SplashBidNoticeAbstractUI.aspx?menuIndex=3&amp;refID=6989721&amp;Result=3","6989721")</f>
        <v>0</v>
      </c>
      <c r="B12998" t="s">
        <v>1179</v>
      </c>
      <c r="C12998" t="s">
        <v>15533</v>
      </c>
      <c r="D12998" t="s">
        <v>16193</v>
      </c>
      <c r="E12998" t="s">
        <v>18992</v>
      </c>
      <c r="F12998" t="s">
        <v>28200</v>
      </c>
      <c r="G12998" t="s">
        <v>28205</v>
      </c>
      <c r="H12998" t="s">
        <v>28214</v>
      </c>
      <c r="I12998" t="s">
        <v>3797</v>
      </c>
      <c r="J12998" t="s">
        <v>33436</v>
      </c>
      <c r="K12998" t="s">
        <v>36696</v>
      </c>
      <c r="L12998" t="s">
        <v>1179</v>
      </c>
      <c r="M12998" t="s">
        <v>38221</v>
      </c>
      <c r="N12998" t="s">
        <v>40436</v>
      </c>
      <c r="O12998" t="s">
        <v>40437</v>
      </c>
      <c r="Q12998">
        <v>1</v>
      </c>
      <c r="R12998" t="s">
        <v>40474</v>
      </c>
      <c r="S12998" t="s">
        <v>41559</v>
      </c>
      <c r="T12998" t="s">
        <v>42279</v>
      </c>
      <c r="U12998" t="s">
        <v>53271</v>
      </c>
      <c r="W12998" t="s">
        <v>38221</v>
      </c>
      <c r="X12998" t="s">
        <v>40476</v>
      </c>
    </row>
    <row r="12999" spans="1:24">
      <c r="A12999">
        <f>HYPERLINK("https://www.philgeps.gov.ph/GEPSNONPILOT/Tender/SplashBidNoticeAbstractUI.aspx?menuIndex=3&amp;refID=6991099&amp;Result=3","6991099")</f>
        <v>0</v>
      </c>
      <c r="B12999" t="s">
        <v>595</v>
      </c>
      <c r="C12999" t="s">
        <v>15534</v>
      </c>
      <c r="D12999" t="s">
        <v>16195</v>
      </c>
      <c r="E12999" t="s">
        <v>27582</v>
      </c>
      <c r="F12999" t="s">
        <v>28198</v>
      </c>
      <c r="G12999" t="s">
        <v>28207</v>
      </c>
      <c r="H12999" t="s">
        <v>28215</v>
      </c>
      <c r="I12999" t="s">
        <v>28226</v>
      </c>
      <c r="J12999" t="s">
        <v>28543</v>
      </c>
      <c r="K12999" t="s">
        <v>36707</v>
      </c>
      <c r="M12999" t="s">
        <v>37584</v>
      </c>
      <c r="N12999" t="s">
        <v>40436</v>
      </c>
      <c r="O12999" t="s">
        <v>40437</v>
      </c>
      <c r="Q12999">
        <v>1</v>
      </c>
      <c r="R12999" t="s">
        <v>40472</v>
      </c>
      <c r="S12999" t="s">
        <v>41560</v>
      </c>
      <c r="T12999" t="s">
        <v>42350</v>
      </c>
      <c r="U12999" t="s">
        <v>53272</v>
      </c>
      <c r="W12999" t="s">
        <v>37584</v>
      </c>
      <c r="X12999" t="s">
        <v>40474</v>
      </c>
    </row>
    <row r="13000" spans="1:24">
      <c r="A13000">
        <f>HYPERLINK("https://www.philgeps.gov.ph/GEPSNONPILOT/Tender/SplashBidNoticeAbstractUI.aspx?menuIndex=3&amp;refID=6994164&amp;Result=3","6994164")</f>
        <v>0</v>
      </c>
      <c r="B13000" t="s">
        <v>1298</v>
      </c>
      <c r="C13000" t="s">
        <v>15535</v>
      </c>
      <c r="D13000" t="s">
        <v>16252</v>
      </c>
      <c r="E13000" t="s">
        <v>27583</v>
      </c>
      <c r="F13000" t="s">
        <v>28198</v>
      </c>
      <c r="G13000" t="s">
        <v>28205</v>
      </c>
      <c r="H13000" t="s">
        <v>28214</v>
      </c>
      <c r="I13000" t="s">
        <v>3797</v>
      </c>
      <c r="J13000" t="s">
        <v>36292</v>
      </c>
      <c r="K13000" t="s">
        <v>36694</v>
      </c>
      <c r="M13000" t="s">
        <v>40355</v>
      </c>
      <c r="N13000" t="s">
        <v>40436</v>
      </c>
      <c r="O13000" t="s">
        <v>40437</v>
      </c>
      <c r="Q13000">
        <v>1</v>
      </c>
      <c r="R13000" t="s">
        <v>40473</v>
      </c>
      <c r="S13000" t="s">
        <v>40889</v>
      </c>
      <c r="T13000" t="s">
        <v>42145</v>
      </c>
      <c r="U13000" t="s">
        <v>53273</v>
      </c>
      <c r="V13000" t="s">
        <v>55278</v>
      </c>
      <c r="W13000" t="s">
        <v>40355</v>
      </c>
      <c r="X13000" t="s">
        <v>40472</v>
      </c>
    </row>
    <row r="13001" spans="1:24">
      <c r="A13001">
        <f>HYPERLINK("https://www.philgeps.gov.ph/GEPSNONPILOT/Tender/SplashBidNoticeAbstractUI.aspx?menuIndex=3&amp;refID=6994590&amp;Result=3","6994590")</f>
        <v>0</v>
      </c>
      <c r="B13001" t="s">
        <v>2059</v>
      </c>
      <c r="C13001" t="s">
        <v>15536</v>
      </c>
      <c r="D13001" t="s">
        <v>16246</v>
      </c>
      <c r="E13001" t="s">
        <v>27584</v>
      </c>
      <c r="F13001" t="s">
        <v>28198</v>
      </c>
      <c r="G13001" t="s">
        <v>28207</v>
      </c>
      <c r="H13001" t="s">
        <v>28215</v>
      </c>
      <c r="I13001" t="s">
        <v>28224</v>
      </c>
      <c r="J13001" t="s">
        <v>28350</v>
      </c>
      <c r="K13001" t="s">
        <v>36701</v>
      </c>
      <c r="M13001" t="s">
        <v>39207</v>
      </c>
      <c r="N13001" t="s">
        <v>40436</v>
      </c>
      <c r="O13001" t="s">
        <v>40437</v>
      </c>
      <c r="Q13001">
        <v>0</v>
      </c>
      <c r="R13001" t="s">
        <v>40470</v>
      </c>
      <c r="S13001" t="s">
        <v>41561</v>
      </c>
      <c r="T13001" t="s">
        <v>42103</v>
      </c>
      <c r="U13001" t="s">
        <v>53274</v>
      </c>
      <c r="W13001" t="s">
        <v>39207</v>
      </c>
      <c r="X13001" t="s">
        <v>40473</v>
      </c>
    </row>
    <row r="13002" spans="1:24">
      <c r="A13002">
        <f>HYPERLINK("https://www.philgeps.gov.ph/GEPSNONPILOT/Tender/SplashBidNoticeAbstractUI.aspx?menuIndex=3&amp;refID=6990748&amp;Result=3","6990748")</f>
        <v>0</v>
      </c>
      <c r="B13002" t="s">
        <v>1114</v>
      </c>
      <c r="C13002" t="s">
        <v>15537</v>
      </c>
      <c r="D13002" t="s">
        <v>16228</v>
      </c>
      <c r="E13002" t="s">
        <v>27585</v>
      </c>
      <c r="F13002" t="s">
        <v>28198</v>
      </c>
      <c r="G13002" t="s">
        <v>28205</v>
      </c>
      <c r="H13002" t="s">
        <v>28216</v>
      </c>
      <c r="I13002" t="s">
        <v>28216</v>
      </c>
      <c r="J13002" t="s">
        <v>36293</v>
      </c>
      <c r="K13002" t="s">
        <v>36707</v>
      </c>
      <c r="M13002" t="s">
        <v>40244</v>
      </c>
      <c r="N13002" t="s">
        <v>40436</v>
      </c>
      <c r="O13002" t="s">
        <v>40437</v>
      </c>
      <c r="Q13002">
        <v>2</v>
      </c>
      <c r="R13002" t="s">
        <v>40472</v>
      </c>
      <c r="S13002" t="s">
        <v>41562</v>
      </c>
      <c r="T13002" t="s">
        <v>42533</v>
      </c>
      <c r="U13002" t="s">
        <v>53275</v>
      </c>
      <c r="W13002" t="s">
        <v>40244</v>
      </c>
      <c r="X13002" t="s">
        <v>40474</v>
      </c>
    </row>
    <row r="13003" spans="1:24">
      <c r="A13003">
        <f>HYPERLINK("https://www.philgeps.gov.ph/GEPSNONPILOT/Tender/SplashBidNoticeAbstractUI.aspx?menuIndex=3&amp;refID=6991352&amp;Result=3","6991352")</f>
        <v>0</v>
      </c>
      <c r="B13003" t="s">
        <v>381</v>
      </c>
      <c r="C13003" t="s">
        <v>15538</v>
      </c>
      <c r="D13003" t="s">
        <v>16203</v>
      </c>
      <c r="E13003" t="s">
        <v>27586</v>
      </c>
      <c r="F13003" t="s">
        <v>28198</v>
      </c>
      <c r="G13003" t="s">
        <v>28207</v>
      </c>
      <c r="H13003" t="s">
        <v>28215</v>
      </c>
      <c r="I13003" t="s">
        <v>28227</v>
      </c>
      <c r="J13003" t="s">
        <v>36294</v>
      </c>
      <c r="K13003" t="s">
        <v>36687</v>
      </c>
      <c r="M13003" t="s">
        <v>37361</v>
      </c>
      <c r="N13003" t="s">
        <v>40436</v>
      </c>
      <c r="O13003" t="s">
        <v>40437</v>
      </c>
      <c r="Q13003">
        <v>0</v>
      </c>
      <c r="R13003" t="s">
        <v>40472</v>
      </c>
      <c r="S13003" t="s">
        <v>41563</v>
      </c>
      <c r="T13003" t="s">
        <v>42133</v>
      </c>
      <c r="U13003" t="s">
        <v>53276</v>
      </c>
      <c r="W13003" t="s">
        <v>37361</v>
      </c>
      <c r="X13003" t="s">
        <v>40474</v>
      </c>
    </row>
    <row r="13004" spans="1:24">
      <c r="A13004">
        <f>HYPERLINK("https://www.philgeps.gov.ph/GEPSNONPILOT/Tender/SplashBidNoticeAbstractUI.aspx?menuIndex=3&amp;refID=6995875&amp;Result=3","6995875")</f>
        <v>0</v>
      </c>
      <c r="B13004" t="s">
        <v>2190</v>
      </c>
      <c r="C13004" t="s">
        <v>15539</v>
      </c>
      <c r="D13004" t="s">
        <v>16188</v>
      </c>
      <c r="E13004" t="s">
        <v>27587</v>
      </c>
      <c r="F13004" t="s">
        <v>28198</v>
      </c>
      <c r="G13004" t="s">
        <v>28205</v>
      </c>
      <c r="H13004" t="s">
        <v>28214</v>
      </c>
      <c r="I13004" t="s">
        <v>3797</v>
      </c>
      <c r="J13004" t="s">
        <v>36295</v>
      </c>
      <c r="K13004" t="s">
        <v>36923</v>
      </c>
      <c r="L13004" t="s">
        <v>2190</v>
      </c>
      <c r="M13004" t="s">
        <v>39855</v>
      </c>
      <c r="N13004" t="s">
        <v>40436</v>
      </c>
      <c r="O13004" t="s">
        <v>40437</v>
      </c>
      <c r="Q13004">
        <v>2</v>
      </c>
      <c r="R13004" t="s">
        <v>40470</v>
      </c>
      <c r="S13004" t="s">
        <v>41564</v>
      </c>
      <c r="T13004" t="s">
        <v>42188</v>
      </c>
      <c r="U13004" t="s">
        <v>46643</v>
      </c>
      <c r="V13004" t="s">
        <v>54156</v>
      </c>
      <c r="W13004" t="s">
        <v>39855</v>
      </c>
      <c r="X13004" t="s">
        <v>40473</v>
      </c>
    </row>
    <row r="13005" spans="1:24">
      <c r="A13005">
        <f>HYPERLINK("https://www.philgeps.gov.ph/GEPSNONPILOT/Tender/SplashBidNoticeAbstractUI.aspx?menuIndex=3&amp;refID=6994162&amp;Result=3","6994162")</f>
        <v>0</v>
      </c>
      <c r="B13005" t="s">
        <v>2947</v>
      </c>
      <c r="C13005" t="s">
        <v>15540</v>
      </c>
      <c r="D13005" t="s">
        <v>16188</v>
      </c>
      <c r="E13005" t="s">
        <v>27588</v>
      </c>
      <c r="F13005" t="s">
        <v>28198</v>
      </c>
      <c r="G13005" t="s">
        <v>28205</v>
      </c>
      <c r="H13005" t="s">
        <v>28214</v>
      </c>
      <c r="I13005" t="s">
        <v>3797</v>
      </c>
      <c r="J13005" t="s">
        <v>33852</v>
      </c>
      <c r="K13005" t="s">
        <v>36689</v>
      </c>
      <c r="L13005" t="s">
        <v>2947</v>
      </c>
      <c r="M13005" t="s">
        <v>40232</v>
      </c>
      <c r="N13005" t="s">
        <v>40436</v>
      </c>
      <c r="O13005" t="s">
        <v>40437</v>
      </c>
      <c r="Q13005">
        <v>2</v>
      </c>
      <c r="R13005" t="s">
        <v>40473</v>
      </c>
      <c r="S13005" t="s">
        <v>41565</v>
      </c>
      <c r="T13005" t="s">
        <v>42188</v>
      </c>
      <c r="U13005" t="s">
        <v>53277</v>
      </c>
      <c r="V13005" t="s">
        <v>55147</v>
      </c>
      <c r="W13005" t="s">
        <v>40232</v>
      </c>
      <c r="X13005" t="s">
        <v>40472</v>
      </c>
    </row>
    <row r="13006" spans="1:24">
      <c r="A13006">
        <f>HYPERLINK("https://www.philgeps.gov.ph/GEPSNONPILOT/Tender/SplashBidNoticeAbstractUI.aspx?menuIndex=3&amp;refID=6994072&amp;Result=3","6994072")</f>
        <v>0</v>
      </c>
      <c r="B13006" t="s">
        <v>2947</v>
      </c>
      <c r="C13006" t="s">
        <v>15541</v>
      </c>
      <c r="D13006" t="s">
        <v>16188</v>
      </c>
      <c r="E13006" t="s">
        <v>27589</v>
      </c>
      <c r="F13006" t="s">
        <v>28198</v>
      </c>
      <c r="G13006" t="s">
        <v>28205</v>
      </c>
      <c r="H13006" t="s">
        <v>28214</v>
      </c>
      <c r="I13006" t="s">
        <v>3797</v>
      </c>
      <c r="J13006" t="s">
        <v>33852</v>
      </c>
      <c r="K13006" t="s">
        <v>36689</v>
      </c>
      <c r="L13006" t="s">
        <v>2947</v>
      </c>
      <c r="M13006" t="s">
        <v>40232</v>
      </c>
      <c r="N13006" t="s">
        <v>40436</v>
      </c>
      <c r="O13006" t="s">
        <v>40437</v>
      </c>
      <c r="Q13006">
        <v>4</v>
      </c>
      <c r="R13006" t="s">
        <v>40473</v>
      </c>
      <c r="S13006" t="s">
        <v>41566</v>
      </c>
      <c r="T13006" t="s">
        <v>42233</v>
      </c>
      <c r="U13006" t="s">
        <v>53278</v>
      </c>
      <c r="V13006" t="s">
        <v>55147</v>
      </c>
      <c r="W13006" t="s">
        <v>40232</v>
      </c>
      <c r="X13006" t="s">
        <v>40472</v>
      </c>
    </row>
    <row r="13007" spans="1:24">
      <c r="A13007">
        <f>HYPERLINK("https://www.philgeps.gov.ph/GEPSNONPILOT/Tender/SplashBidNoticeAbstractUI.aspx?menuIndex=3&amp;refID=6995831&amp;Result=3","6995831")</f>
        <v>0</v>
      </c>
      <c r="B13007" t="s">
        <v>3049</v>
      </c>
      <c r="C13007" t="s">
        <v>15542</v>
      </c>
      <c r="D13007" t="s">
        <v>16293</v>
      </c>
      <c r="E13007" t="s">
        <v>27590</v>
      </c>
      <c r="F13007" t="s">
        <v>28198</v>
      </c>
      <c r="G13007" t="s">
        <v>28205</v>
      </c>
      <c r="H13007" t="s">
        <v>28217</v>
      </c>
      <c r="I13007" t="s">
        <v>28274</v>
      </c>
      <c r="J13007" t="s">
        <v>36296</v>
      </c>
      <c r="K13007" t="s">
        <v>36774</v>
      </c>
      <c r="M13007" t="s">
        <v>40356</v>
      </c>
      <c r="N13007" t="s">
        <v>40436</v>
      </c>
      <c r="O13007" t="s">
        <v>40437</v>
      </c>
      <c r="Q13007">
        <v>0</v>
      </c>
      <c r="R13007" t="s">
        <v>40470</v>
      </c>
      <c r="S13007" t="s">
        <v>41567</v>
      </c>
      <c r="T13007" t="s">
        <v>42233</v>
      </c>
      <c r="U13007" t="s">
        <v>53279</v>
      </c>
      <c r="W13007" t="s">
        <v>40356</v>
      </c>
      <c r="X13007" t="s">
        <v>40473</v>
      </c>
    </row>
    <row r="13008" spans="1:24">
      <c r="A13008">
        <f>HYPERLINK("https://www.philgeps.gov.ph/GEPSNONPILOT/Tender/SplashBidNoticeAbstractUI.aspx?menuIndex=3&amp;refID=6991058&amp;Result=3","6991058")</f>
        <v>0</v>
      </c>
      <c r="B13008" t="s">
        <v>595</v>
      </c>
      <c r="C13008" t="s">
        <v>15543</v>
      </c>
      <c r="D13008" t="s">
        <v>16195</v>
      </c>
      <c r="E13008" t="s">
        <v>27591</v>
      </c>
      <c r="F13008" t="s">
        <v>28198</v>
      </c>
      <c r="G13008" t="s">
        <v>28207</v>
      </c>
      <c r="H13008" t="s">
        <v>28215</v>
      </c>
      <c r="I13008" t="s">
        <v>4200</v>
      </c>
      <c r="J13008" t="s">
        <v>28530</v>
      </c>
      <c r="K13008" t="s">
        <v>36707</v>
      </c>
      <c r="M13008" t="s">
        <v>37584</v>
      </c>
      <c r="N13008" t="s">
        <v>40436</v>
      </c>
      <c r="O13008" t="s">
        <v>40437</v>
      </c>
      <c r="Q13008">
        <v>2</v>
      </c>
      <c r="R13008" t="s">
        <v>40472</v>
      </c>
      <c r="S13008" t="s">
        <v>40992</v>
      </c>
      <c r="T13008" t="s">
        <v>42350</v>
      </c>
      <c r="U13008" t="s">
        <v>53280</v>
      </c>
      <c r="W13008" t="s">
        <v>37584</v>
      </c>
      <c r="X13008" t="s">
        <v>40474</v>
      </c>
    </row>
    <row r="13009" spans="1:24">
      <c r="A13009">
        <f>HYPERLINK("https://www.philgeps.gov.ph/GEPSNONPILOT/Tender/SplashBidNoticeAbstractUI.aspx?menuIndex=3&amp;refID=6995567&amp;Result=3","6995567")</f>
        <v>0</v>
      </c>
      <c r="B13009" t="s">
        <v>2190</v>
      </c>
      <c r="C13009" t="s">
        <v>15544</v>
      </c>
      <c r="D13009" t="s">
        <v>16188</v>
      </c>
      <c r="E13009" t="s">
        <v>27592</v>
      </c>
      <c r="F13009" t="s">
        <v>28198</v>
      </c>
      <c r="G13009" t="s">
        <v>28205</v>
      </c>
      <c r="H13009" t="s">
        <v>28214</v>
      </c>
      <c r="I13009" t="s">
        <v>3797</v>
      </c>
      <c r="J13009" t="s">
        <v>31235</v>
      </c>
      <c r="K13009" t="s">
        <v>36710</v>
      </c>
      <c r="L13009" t="s">
        <v>2190</v>
      </c>
      <c r="M13009" t="s">
        <v>39855</v>
      </c>
      <c r="N13009" t="s">
        <v>40436</v>
      </c>
      <c r="O13009" t="s">
        <v>40437</v>
      </c>
      <c r="Q13009">
        <v>4</v>
      </c>
      <c r="R13009" t="s">
        <v>40470</v>
      </c>
      <c r="S13009" t="s">
        <v>41568</v>
      </c>
      <c r="T13009" t="s">
        <v>42233</v>
      </c>
      <c r="U13009" t="s">
        <v>50547</v>
      </c>
      <c r="V13009" t="s">
        <v>54156</v>
      </c>
      <c r="W13009" t="s">
        <v>39855</v>
      </c>
      <c r="X13009" t="s">
        <v>40473</v>
      </c>
    </row>
    <row r="13010" spans="1:24">
      <c r="A13010">
        <f>HYPERLINK("https://www.philgeps.gov.ph/GEPSNONPILOT/Tender/SplashBidNoticeAbstractUI.aspx?menuIndex=3&amp;refID=6994159&amp;Result=3","6994159")</f>
        <v>0</v>
      </c>
      <c r="B13010" t="s">
        <v>2947</v>
      </c>
      <c r="C13010" t="s">
        <v>15545</v>
      </c>
      <c r="D13010" t="s">
        <v>16188</v>
      </c>
      <c r="E13010" t="s">
        <v>27593</v>
      </c>
      <c r="F13010" t="s">
        <v>28198</v>
      </c>
      <c r="G13010" t="s">
        <v>28205</v>
      </c>
      <c r="H13010" t="s">
        <v>28214</v>
      </c>
      <c r="I13010" t="s">
        <v>3797</v>
      </c>
      <c r="J13010" t="s">
        <v>36297</v>
      </c>
      <c r="K13010" t="s">
        <v>36689</v>
      </c>
      <c r="L13010" t="s">
        <v>2947</v>
      </c>
      <c r="M13010" t="s">
        <v>40232</v>
      </c>
      <c r="N13010" t="s">
        <v>40436</v>
      </c>
      <c r="O13010" t="s">
        <v>40437</v>
      </c>
      <c r="Q13010">
        <v>0</v>
      </c>
      <c r="R13010" t="s">
        <v>40473</v>
      </c>
      <c r="S13010" t="s">
        <v>41569</v>
      </c>
      <c r="T13010" t="s">
        <v>42233</v>
      </c>
      <c r="U13010" t="s">
        <v>53277</v>
      </c>
      <c r="V13010" t="s">
        <v>55147</v>
      </c>
      <c r="W13010" t="s">
        <v>40232</v>
      </c>
      <c r="X13010" t="s">
        <v>40472</v>
      </c>
    </row>
    <row r="13011" spans="1:24">
      <c r="A13011">
        <f>HYPERLINK("https://www.philgeps.gov.ph/GEPSNONPILOT/Tender/SplashBidNoticeAbstractUI.aspx?menuIndex=3&amp;refID=6990755&amp;Result=3","6990755")</f>
        <v>0</v>
      </c>
      <c r="B13011" t="s">
        <v>1114</v>
      </c>
      <c r="C13011" t="s">
        <v>15546</v>
      </c>
      <c r="D13011" t="s">
        <v>16228</v>
      </c>
      <c r="E13011" t="s">
        <v>27594</v>
      </c>
      <c r="F13011" t="s">
        <v>28198</v>
      </c>
      <c r="G13011" t="s">
        <v>28205</v>
      </c>
      <c r="H13011" t="s">
        <v>28216</v>
      </c>
      <c r="I13011" t="s">
        <v>28216</v>
      </c>
      <c r="J13011" t="s">
        <v>36298</v>
      </c>
      <c r="K13011" t="s">
        <v>36701</v>
      </c>
      <c r="M13011" t="s">
        <v>40244</v>
      </c>
      <c r="N13011" t="s">
        <v>40436</v>
      </c>
      <c r="O13011" t="s">
        <v>40437</v>
      </c>
      <c r="Q13011">
        <v>1</v>
      </c>
      <c r="R13011" t="s">
        <v>40472</v>
      </c>
      <c r="S13011" t="s">
        <v>41570</v>
      </c>
      <c r="T13011" t="s">
        <v>42533</v>
      </c>
      <c r="U13011" t="s">
        <v>53281</v>
      </c>
      <c r="W13011" t="s">
        <v>40244</v>
      </c>
      <c r="X13011" t="s">
        <v>40474</v>
      </c>
    </row>
    <row r="13012" spans="1:24">
      <c r="A13012">
        <f>HYPERLINK("https://www.philgeps.gov.ph/GEPSNONPILOT/Tender/SplashBidNoticeAbstractUI.aspx?menuIndex=3&amp;refID=6994635&amp;Result=3","6994635")</f>
        <v>0</v>
      </c>
      <c r="B13012" t="s">
        <v>2059</v>
      </c>
      <c r="C13012" t="s">
        <v>15547</v>
      </c>
      <c r="D13012" t="s">
        <v>16196</v>
      </c>
      <c r="E13012" t="s">
        <v>27595</v>
      </c>
      <c r="F13012" t="s">
        <v>28198</v>
      </c>
      <c r="G13012" t="s">
        <v>28207</v>
      </c>
      <c r="H13012" t="s">
        <v>28215</v>
      </c>
      <c r="I13012" t="s">
        <v>28224</v>
      </c>
      <c r="J13012" t="s">
        <v>28378</v>
      </c>
      <c r="K13012" t="s">
        <v>36701</v>
      </c>
      <c r="M13012" t="s">
        <v>39207</v>
      </c>
      <c r="N13012" t="s">
        <v>40436</v>
      </c>
      <c r="O13012" t="s">
        <v>40437</v>
      </c>
      <c r="Q13012">
        <v>0</v>
      </c>
      <c r="R13012" t="s">
        <v>40470</v>
      </c>
      <c r="S13012" t="s">
        <v>41571</v>
      </c>
      <c r="T13012" t="s">
        <v>42103</v>
      </c>
      <c r="U13012" t="s">
        <v>53274</v>
      </c>
      <c r="W13012" t="s">
        <v>39207</v>
      </c>
      <c r="X13012" t="s">
        <v>40473</v>
      </c>
    </row>
    <row r="13013" spans="1:24">
      <c r="A13013">
        <f>HYPERLINK("https://www.philgeps.gov.ph/GEPSNONPILOT/Tender/SplashBidNoticeAbstractUI.aspx?menuIndex=3&amp;refID=7005077&amp;Result=3","7005077")</f>
        <v>0</v>
      </c>
      <c r="B13013" t="s">
        <v>2579</v>
      </c>
      <c r="C13013" t="s">
        <v>15548</v>
      </c>
      <c r="D13013" t="s">
        <v>16195</v>
      </c>
      <c r="E13013" t="s">
        <v>24124</v>
      </c>
      <c r="F13013" t="s">
        <v>28198</v>
      </c>
      <c r="G13013" t="s">
        <v>28205</v>
      </c>
      <c r="H13013" t="s">
        <v>28215</v>
      </c>
      <c r="I13013" t="s">
        <v>5100</v>
      </c>
      <c r="J13013" t="s">
        <v>36299</v>
      </c>
      <c r="K13013" t="s">
        <v>36701</v>
      </c>
      <c r="M13013" t="s">
        <v>39793</v>
      </c>
      <c r="N13013" t="s">
        <v>40436</v>
      </c>
      <c r="O13013" t="s">
        <v>40437</v>
      </c>
      <c r="P13013">
        <v>0</v>
      </c>
      <c r="Q13013">
        <v>0</v>
      </c>
      <c r="R13013" t="s">
        <v>40463</v>
      </c>
      <c r="S13013" t="s">
        <v>41510</v>
      </c>
      <c r="T13013" t="s">
        <v>42152</v>
      </c>
      <c r="U13013" t="s">
        <v>53282</v>
      </c>
      <c r="V13013" t="s">
        <v>54745</v>
      </c>
      <c r="W13013" t="s">
        <v>39793</v>
      </c>
      <c r="X13013" t="s">
        <v>40464</v>
      </c>
    </row>
    <row r="13014" spans="1:24">
      <c r="A13014">
        <f>HYPERLINK("https://www.philgeps.gov.ph/GEPSNONPILOT/Tender/SplashBidNoticeAbstractUI.aspx?menuIndex=3&amp;refID=6995869&amp;Result=3","6995869")</f>
        <v>0</v>
      </c>
      <c r="B13014" t="s">
        <v>978</v>
      </c>
      <c r="C13014" t="s">
        <v>15549</v>
      </c>
      <c r="D13014" t="s">
        <v>16247</v>
      </c>
      <c r="E13014" t="s">
        <v>27596</v>
      </c>
      <c r="F13014" t="s">
        <v>28198</v>
      </c>
      <c r="G13014" t="s">
        <v>28208</v>
      </c>
      <c r="H13014" t="s">
        <v>28214</v>
      </c>
      <c r="I13014" t="s">
        <v>3797</v>
      </c>
      <c r="J13014" t="s">
        <v>36300</v>
      </c>
      <c r="K13014" t="s">
        <v>36717</v>
      </c>
      <c r="M13014" t="s">
        <v>38004</v>
      </c>
      <c r="N13014" t="s">
        <v>40436</v>
      </c>
      <c r="O13014" t="s">
        <v>40437</v>
      </c>
      <c r="Q13014">
        <v>40</v>
      </c>
      <c r="R13014" t="s">
        <v>40470</v>
      </c>
      <c r="S13014" t="s">
        <v>41572</v>
      </c>
      <c r="T13014" t="s">
        <v>42133</v>
      </c>
      <c r="U13014" t="s">
        <v>53283</v>
      </c>
      <c r="V13014" t="s">
        <v>55279</v>
      </c>
      <c r="W13014" t="s">
        <v>38004</v>
      </c>
      <c r="X13014" t="s">
        <v>40473</v>
      </c>
    </row>
    <row r="13015" spans="1:24">
      <c r="A13015">
        <f>HYPERLINK("https://www.philgeps.gov.ph/GEPSNONPILOT/Tender/SplashBidNoticeAbstractUI.aspx?menuIndex=3&amp;refID=6995499&amp;Result=3","6995499")</f>
        <v>0</v>
      </c>
      <c r="B13015" t="s">
        <v>2190</v>
      </c>
      <c r="C13015" t="s">
        <v>15550</v>
      </c>
      <c r="D13015" t="s">
        <v>16188</v>
      </c>
      <c r="E13015" t="s">
        <v>27597</v>
      </c>
      <c r="F13015" t="s">
        <v>28198</v>
      </c>
      <c r="G13015" t="s">
        <v>28205</v>
      </c>
      <c r="H13015" t="s">
        <v>28214</v>
      </c>
      <c r="I13015" t="s">
        <v>3797</v>
      </c>
      <c r="J13015" t="s">
        <v>32817</v>
      </c>
      <c r="K13015" t="s">
        <v>36717</v>
      </c>
      <c r="L13015" t="s">
        <v>2190</v>
      </c>
      <c r="M13015" t="s">
        <v>39855</v>
      </c>
      <c r="N13015" t="s">
        <v>40436</v>
      </c>
      <c r="O13015" t="s">
        <v>40437</v>
      </c>
      <c r="Q13015">
        <v>3</v>
      </c>
      <c r="R13015" t="s">
        <v>40470</v>
      </c>
      <c r="S13015" t="s">
        <v>41573</v>
      </c>
      <c r="T13015" t="s">
        <v>42233</v>
      </c>
      <c r="U13015" t="s">
        <v>50547</v>
      </c>
      <c r="V13015" t="s">
        <v>54156</v>
      </c>
      <c r="W13015" t="s">
        <v>39855</v>
      </c>
      <c r="X13015" t="s">
        <v>40473</v>
      </c>
    </row>
    <row r="13016" spans="1:24">
      <c r="A13016">
        <f>HYPERLINK("https://www.philgeps.gov.ph/GEPSNONPILOT/Tender/SplashBidNoticeAbstractUI.aspx?menuIndex=3&amp;refID=6995641&amp;Result=3","6995641")</f>
        <v>0</v>
      </c>
      <c r="B13016" t="s">
        <v>2190</v>
      </c>
      <c r="C13016" t="s">
        <v>15551</v>
      </c>
      <c r="D13016" t="s">
        <v>16188</v>
      </c>
      <c r="E13016" t="s">
        <v>27598</v>
      </c>
      <c r="F13016" t="s">
        <v>28198</v>
      </c>
      <c r="G13016" t="s">
        <v>28205</v>
      </c>
      <c r="H13016" t="s">
        <v>28214</v>
      </c>
      <c r="I13016" t="s">
        <v>3797</v>
      </c>
      <c r="J13016" t="s">
        <v>29566</v>
      </c>
      <c r="K13016" t="s">
        <v>36809</v>
      </c>
      <c r="L13016" t="s">
        <v>2190</v>
      </c>
      <c r="M13016" t="s">
        <v>39855</v>
      </c>
      <c r="N13016" t="s">
        <v>40436</v>
      </c>
      <c r="O13016" t="s">
        <v>40437</v>
      </c>
      <c r="Q13016">
        <v>1</v>
      </c>
      <c r="R13016" t="s">
        <v>40470</v>
      </c>
      <c r="S13016" t="s">
        <v>41574</v>
      </c>
      <c r="T13016" t="s">
        <v>42233</v>
      </c>
      <c r="U13016" t="s">
        <v>53284</v>
      </c>
      <c r="V13016" t="s">
        <v>54156</v>
      </c>
      <c r="W13016" t="s">
        <v>39855</v>
      </c>
      <c r="X13016" t="s">
        <v>40473</v>
      </c>
    </row>
    <row r="13017" spans="1:24">
      <c r="A13017">
        <f>HYPERLINK("https://www.philgeps.gov.ph/GEPSNONPILOT/Tender/SplashBidNoticeAbstractUI.aspx?menuIndex=3&amp;refID=7003088&amp;Result=3","7003088")</f>
        <v>0</v>
      </c>
      <c r="B13017" t="s">
        <v>3050</v>
      </c>
      <c r="C13017" t="s">
        <v>15552</v>
      </c>
      <c r="D13017" t="s">
        <v>16214</v>
      </c>
      <c r="E13017" t="s">
        <v>17248</v>
      </c>
      <c r="F13017" t="s">
        <v>28198</v>
      </c>
      <c r="G13017" t="s">
        <v>28205</v>
      </c>
      <c r="H13017" t="s">
        <v>28215</v>
      </c>
      <c r="I13017" t="s">
        <v>28222</v>
      </c>
      <c r="J13017" t="s">
        <v>28559</v>
      </c>
      <c r="K13017" t="s">
        <v>36701</v>
      </c>
      <c r="M13017" t="s">
        <v>40357</v>
      </c>
      <c r="N13017" t="s">
        <v>40436</v>
      </c>
      <c r="O13017" t="s">
        <v>40437</v>
      </c>
      <c r="P13017">
        <v>0</v>
      </c>
      <c r="Q13017">
        <v>5</v>
      </c>
      <c r="R13017" t="s">
        <v>40463</v>
      </c>
      <c r="S13017" t="s">
        <v>41510</v>
      </c>
      <c r="T13017" t="s">
        <v>42124</v>
      </c>
      <c r="U13017" t="s">
        <v>53285</v>
      </c>
      <c r="W13017" t="s">
        <v>40357</v>
      </c>
      <c r="X13017" t="s">
        <v>40465</v>
      </c>
    </row>
    <row r="13018" spans="1:24">
      <c r="A13018">
        <f>HYPERLINK("https://www.philgeps.gov.ph/GEPSNONPILOT/Tender/SplashBidNoticeAbstractUI.aspx?menuIndex=3&amp;refID=7008625&amp;Result=3","7008625")</f>
        <v>0</v>
      </c>
      <c r="B13018" t="s">
        <v>943</v>
      </c>
      <c r="C13018" t="s">
        <v>15553</v>
      </c>
      <c r="D13018" t="s">
        <v>16193</v>
      </c>
      <c r="E13018" t="s">
        <v>27599</v>
      </c>
      <c r="F13018" t="s">
        <v>28198</v>
      </c>
      <c r="G13018" t="s">
        <v>28205</v>
      </c>
      <c r="H13018" t="s">
        <v>28214</v>
      </c>
      <c r="I13018" t="s">
        <v>3797</v>
      </c>
      <c r="J13018" t="s">
        <v>36301</v>
      </c>
      <c r="K13018" t="s">
        <v>36741</v>
      </c>
      <c r="M13018" t="s">
        <v>38717</v>
      </c>
      <c r="N13018" t="s">
        <v>40436</v>
      </c>
      <c r="O13018" t="s">
        <v>40437</v>
      </c>
      <c r="Q13018">
        <v>9</v>
      </c>
      <c r="R13018" t="s">
        <v>40462</v>
      </c>
      <c r="S13018" t="s">
        <v>41575</v>
      </c>
      <c r="T13018" t="s">
        <v>42103</v>
      </c>
      <c r="U13018" t="s">
        <v>53286</v>
      </c>
      <c r="W13018" t="s">
        <v>38717</v>
      </c>
      <c r="X13018" t="s">
        <v>40463</v>
      </c>
    </row>
    <row r="13019" spans="1:24">
      <c r="A13019">
        <f>HYPERLINK("https://www.philgeps.gov.ph/GEPSNONPILOT/Tender/SplashBidNoticeAbstractUI.aspx?menuIndex=3&amp;refID=6985789&amp;Result=3","6985789")</f>
        <v>0</v>
      </c>
      <c r="B13019" t="s">
        <v>2059</v>
      </c>
      <c r="C13019" t="s">
        <v>15554</v>
      </c>
      <c r="D13019" t="s">
        <v>16196</v>
      </c>
      <c r="E13019" t="s">
        <v>27600</v>
      </c>
      <c r="F13019" t="s">
        <v>28198</v>
      </c>
      <c r="G13019" t="s">
        <v>28210</v>
      </c>
      <c r="H13019" t="s">
        <v>28215</v>
      </c>
      <c r="I13019" t="s">
        <v>28226</v>
      </c>
      <c r="J13019" t="s">
        <v>36302</v>
      </c>
      <c r="K13019" t="s">
        <v>36701</v>
      </c>
      <c r="M13019" t="s">
        <v>39207</v>
      </c>
      <c r="N13019" t="s">
        <v>40436</v>
      </c>
      <c r="O13019" t="s">
        <v>40437</v>
      </c>
      <c r="Q13019">
        <v>2</v>
      </c>
      <c r="R13019" t="s">
        <v>40475</v>
      </c>
      <c r="S13019" t="s">
        <v>41576</v>
      </c>
      <c r="T13019" t="s">
        <v>42103</v>
      </c>
      <c r="U13019" t="s">
        <v>53287</v>
      </c>
      <c r="W13019" t="s">
        <v>39207</v>
      </c>
      <c r="X13019" t="s">
        <v>40478</v>
      </c>
    </row>
    <row r="13020" spans="1:24">
      <c r="A13020">
        <f>HYPERLINK("https://www.philgeps.gov.ph/GEPSNONPILOT/Tender/SplashBidNoticeAbstractUI.aspx?menuIndex=3&amp;refID=6988537&amp;Result=3","6988537")</f>
        <v>0</v>
      </c>
      <c r="B13020" t="s">
        <v>381</v>
      </c>
      <c r="C13020" t="s">
        <v>15555</v>
      </c>
      <c r="D13020" t="s">
        <v>16203</v>
      </c>
      <c r="E13020" t="s">
        <v>27601</v>
      </c>
      <c r="F13020" t="s">
        <v>28198</v>
      </c>
      <c r="G13020" t="s">
        <v>28207</v>
      </c>
      <c r="H13020" t="s">
        <v>28215</v>
      </c>
      <c r="I13020" t="s">
        <v>28227</v>
      </c>
      <c r="J13020" t="s">
        <v>36303</v>
      </c>
      <c r="K13020" t="s">
        <v>36687</v>
      </c>
      <c r="M13020" t="s">
        <v>37361</v>
      </c>
      <c r="N13020" t="s">
        <v>40436</v>
      </c>
      <c r="O13020" t="s">
        <v>40437</v>
      </c>
      <c r="Q13020">
        <v>1</v>
      </c>
      <c r="R13020" t="s">
        <v>40476</v>
      </c>
      <c r="S13020" t="s">
        <v>41577</v>
      </c>
      <c r="T13020" t="s">
        <v>42133</v>
      </c>
      <c r="U13020" t="s">
        <v>53288</v>
      </c>
      <c r="W13020" t="s">
        <v>37361</v>
      </c>
      <c r="X13020" t="s">
        <v>40475</v>
      </c>
    </row>
    <row r="13021" spans="1:24">
      <c r="A13021">
        <f>HYPERLINK("https://www.philgeps.gov.ph/GEPSNONPILOT/Tender/SplashBidNoticeAbstractUI.aspx?menuIndex=3&amp;refID=6986043&amp;Result=3","6986043")</f>
        <v>0</v>
      </c>
      <c r="B13021" t="s">
        <v>2059</v>
      </c>
      <c r="C13021" t="s">
        <v>15556</v>
      </c>
      <c r="D13021" t="s">
        <v>16196</v>
      </c>
      <c r="E13021" t="s">
        <v>27602</v>
      </c>
      <c r="F13021" t="s">
        <v>28198</v>
      </c>
      <c r="G13021" t="s">
        <v>28210</v>
      </c>
      <c r="H13021" t="s">
        <v>28215</v>
      </c>
      <c r="I13021" t="s">
        <v>28296</v>
      </c>
      <c r="J13021" t="s">
        <v>36304</v>
      </c>
      <c r="K13021" t="s">
        <v>36707</v>
      </c>
      <c r="M13021" t="s">
        <v>39207</v>
      </c>
      <c r="N13021" t="s">
        <v>40436</v>
      </c>
      <c r="O13021" t="s">
        <v>40437</v>
      </c>
      <c r="Q13021">
        <v>1</v>
      </c>
      <c r="R13021" t="s">
        <v>40475</v>
      </c>
      <c r="S13021" t="s">
        <v>40583</v>
      </c>
      <c r="T13021" t="s">
        <v>42279</v>
      </c>
      <c r="U13021" t="s">
        <v>53289</v>
      </c>
      <c r="W13021" t="s">
        <v>39207</v>
      </c>
      <c r="X13021" t="s">
        <v>40478</v>
      </c>
    </row>
    <row r="13022" spans="1:24">
      <c r="A13022">
        <f>HYPERLINK("https://www.philgeps.gov.ph/GEPSNONPILOT/Tender/SplashBidNoticeAbstractUI.aspx?menuIndex=3&amp;refID=6989765&amp;Result=3","6989765")</f>
        <v>0</v>
      </c>
      <c r="B13022" t="s">
        <v>1179</v>
      </c>
      <c r="C13022" t="s">
        <v>15557</v>
      </c>
      <c r="D13022" t="s">
        <v>16193</v>
      </c>
      <c r="E13022" t="s">
        <v>18992</v>
      </c>
      <c r="F13022" t="s">
        <v>28200</v>
      </c>
      <c r="G13022" t="s">
        <v>28205</v>
      </c>
      <c r="H13022" t="s">
        <v>28215</v>
      </c>
      <c r="I13022" t="s">
        <v>7310</v>
      </c>
      <c r="J13022" t="s">
        <v>32219</v>
      </c>
      <c r="K13022" t="s">
        <v>36706</v>
      </c>
      <c r="L13022" t="s">
        <v>1179</v>
      </c>
      <c r="M13022" t="s">
        <v>38221</v>
      </c>
      <c r="N13022" t="s">
        <v>40436</v>
      </c>
      <c r="O13022" t="s">
        <v>40437</v>
      </c>
      <c r="Q13022">
        <v>0</v>
      </c>
      <c r="R13022" t="s">
        <v>40474</v>
      </c>
      <c r="S13022" t="s">
        <v>41578</v>
      </c>
      <c r="T13022" t="s">
        <v>42279</v>
      </c>
      <c r="U13022" t="s">
        <v>53290</v>
      </c>
      <c r="W13022" t="s">
        <v>38221</v>
      </c>
      <c r="X13022" t="s">
        <v>40476</v>
      </c>
    </row>
    <row r="13023" spans="1:24">
      <c r="A13023">
        <f>HYPERLINK("https://www.philgeps.gov.ph/GEPSNONPILOT/Tender/SplashBidNoticeAbstractUI.aspx?menuIndex=3&amp;refID=6985978&amp;Result=3","6985978")</f>
        <v>0</v>
      </c>
      <c r="B13023" t="s">
        <v>2059</v>
      </c>
      <c r="C13023" t="s">
        <v>15558</v>
      </c>
      <c r="D13023" t="s">
        <v>16196</v>
      </c>
      <c r="E13023" t="s">
        <v>27603</v>
      </c>
      <c r="F13023" t="s">
        <v>28198</v>
      </c>
      <c r="G13023" t="s">
        <v>28210</v>
      </c>
      <c r="H13023" t="s">
        <v>28215</v>
      </c>
      <c r="I13023" t="s">
        <v>3774</v>
      </c>
      <c r="J13023" t="s">
        <v>36305</v>
      </c>
      <c r="K13023" t="s">
        <v>36707</v>
      </c>
      <c r="M13023" t="s">
        <v>39207</v>
      </c>
      <c r="N13023" t="s">
        <v>40436</v>
      </c>
      <c r="O13023" t="s">
        <v>40437</v>
      </c>
      <c r="Q13023">
        <v>3</v>
      </c>
      <c r="R13023" t="s">
        <v>40475</v>
      </c>
      <c r="S13023" t="s">
        <v>41579</v>
      </c>
      <c r="T13023" t="s">
        <v>42279</v>
      </c>
      <c r="U13023" t="s">
        <v>53291</v>
      </c>
      <c r="W13023" t="s">
        <v>39207</v>
      </c>
      <c r="X13023" t="s">
        <v>40478</v>
      </c>
    </row>
    <row r="13024" spans="1:24">
      <c r="A13024">
        <f>HYPERLINK("https://www.philgeps.gov.ph/GEPSNONPILOT/Tender/SplashBidNoticeAbstractUI.aspx?menuIndex=3&amp;refID=6987993&amp;Result=3","6987993")</f>
        <v>0</v>
      </c>
      <c r="B13024" t="s">
        <v>916</v>
      </c>
      <c r="C13024" t="s">
        <v>15559</v>
      </c>
      <c r="E13024" t="s">
        <v>27604</v>
      </c>
      <c r="F13024" t="s">
        <v>28198</v>
      </c>
      <c r="G13024" t="s">
        <v>28205</v>
      </c>
      <c r="H13024" t="s">
        <v>28215</v>
      </c>
      <c r="I13024" t="s">
        <v>28234</v>
      </c>
      <c r="J13024" t="s">
        <v>28390</v>
      </c>
      <c r="K13024" t="s">
        <v>36692</v>
      </c>
      <c r="M13024" t="s">
        <v>40358</v>
      </c>
      <c r="N13024" t="s">
        <v>40436</v>
      </c>
      <c r="O13024" t="s">
        <v>40437</v>
      </c>
      <c r="Q13024">
        <v>30</v>
      </c>
      <c r="R13024" t="s">
        <v>40476</v>
      </c>
      <c r="S13024" t="s">
        <v>41315</v>
      </c>
      <c r="T13024" t="s">
        <v>42134</v>
      </c>
      <c r="U13024" t="s">
        <v>53292</v>
      </c>
      <c r="W13024" t="s">
        <v>40358</v>
      </c>
      <c r="X13024" t="s">
        <v>40475</v>
      </c>
    </row>
    <row r="13025" spans="1:24">
      <c r="A13025">
        <f>HYPERLINK("https://www.philgeps.gov.ph/GEPSNONPILOT/Tender/SplashBidNoticeAbstractUI.aspx?menuIndex=3&amp;refID=7009158&amp;Result=3","7009158")</f>
        <v>0</v>
      </c>
      <c r="B13025" t="s">
        <v>3038</v>
      </c>
      <c r="C13025" t="s">
        <v>5107</v>
      </c>
      <c r="E13025" t="s">
        <v>27605</v>
      </c>
      <c r="F13025" t="s">
        <v>28198</v>
      </c>
      <c r="G13025" t="s">
        <v>28205</v>
      </c>
      <c r="H13025" t="s">
        <v>28215</v>
      </c>
      <c r="I13025" t="s">
        <v>4219</v>
      </c>
      <c r="J13025" t="s">
        <v>36306</v>
      </c>
      <c r="K13025" t="s">
        <v>36689</v>
      </c>
      <c r="M13025" t="s">
        <v>40340</v>
      </c>
      <c r="N13025" t="s">
        <v>40436</v>
      </c>
      <c r="O13025" t="s">
        <v>40437</v>
      </c>
      <c r="Q13025">
        <v>5</v>
      </c>
      <c r="R13025" t="s">
        <v>40461</v>
      </c>
      <c r="S13025" t="s">
        <v>41580</v>
      </c>
      <c r="T13025" t="s">
        <v>42102</v>
      </c>
      <c r="U13025" t="s">
        <v>53293</v>
      </c>
      <c r="W13025" t="s">
        <v>40340</v>
      </c>
      <c r="X13025" t="s">
        <v>40466</v>
      </c>
    </row>
    <row r="13026" spans="1:24">
      <c r="A13026">
        <f>HYPERLINK("https://www.philgeps.gov.ph/GEPSNONPILOT/Tender/SplashBidNoticeAbstractUI.aspx?menuIndex=3&amp;refID=6989000&amp;Result=3","6989000")</f>
        <v>0</v>
      </c>
      <c r="B13026" t="s">
        <v>105</v>
      </c>
      <c r="C13026" t="s">
        <v>15560</v>
      </c>
      <c r="D13026" t="s">
        <v>16233</v>
      </c>
      <c r="E13026" t="s">
        <v>27606</v>
      </c>
      <c r="F13026" t="s">
        <v>28198</v>
      </c>
      <c r="G13026" t="s">
        <v>28207</v>
      </c>
      <c r="H13026" t="s">
        <v>28215</v>
      </c>
      <c r="I13026" t="s">
        <v>28274</v>
      </c>
      <c r="J13026" t="s">
        <v>28417</v>
      </c>
      <c r="K13026" t="s">
        <v>36701</v>
      </c>
      <c r="M13026" t="s">
        <v>39589</v>
      </c>
      <c r="N13026" t="s">
        <v>40436</v>
      </c>
      <c r="O13026" t="s">
        <v>40437</v>
      </c>
      <c r="Q13026">
        <v>0</v>
      </c>
      <c r="R13026" t="s">
        <v>40477</v>
      </c>
      <c r="S13026" t="s">
        <v>40904</v>
      </c>
      <c r="T13026" t="s">
        <v>42121</v>
      </c>
      <c r="U13026" t="s">
        <v>53294</v>
      </c>
      <c r="V13026" t="s">
        <v>55280</v>
      </c>
      <c r="W13026" t="s">
        <v>39589</v>
      </c>
      <c r="X13026" t="s">
        <v>40476</v>
      </c>
    </row>
    <row r="13027" spans="1:24">
      <c r="A13027">
        <f>HYPERLINK("https://www.philgeps.gov.ph/GEPSNONPILOT/Tender/SplashBidNoticeAbstractUI.aspx?menuIndex=3&amp;refID=7007238&amp;Result=3","7007238")</f>
        <v>0</v>
      </c>
      <c r="B13027" t="s">
        <v>775</v>
      </c>
      <c r="C13027" t="s">
        <v>15561</v>
      </c>
      <c r="D13027" t="s">
        <v>16206</v>
      </c>
      <c r="E13027" t="s">
        <v>27607</v>
      </c>
      <c r="F13027" t="s">
        <v>28198</v>
      </c>
      <c r="G13027" t="s">
        <v>28205</v>
      </c>
      <c r="H13027" t="s">
        <v>28214</v>
      </c>
      <c r="I13027" t="s">
        <v>3797</v>
      </c>
      <c r="J13027" t="s">
        <v>36307</v>
      </c>
      <c r="K13027" t="s">
        <v>36784</v>
      </c>
      <c r="M13027" t="s">
        <v>37779</v>
      </c>
      <c r="N13027" t="s">
        <v>40436</v>
      </c>
      <c r="O13027" t="s">
        <v>40437</v>
      </c>
      <c r="P13027">
        <v>0</v>
      </c>
      <c r="Q13027">
        <v>0</v>
      </c>
      <c r="R13027" t="s">
        <v>40466</v>
      </c>
      <c r="S13027" t="s">
        <v>41528</v>
      </c>
      <c r="T13027" t="s">
        <v>42158</v>
      </c>
      <c r="U13027" t="s">
        <v>53295</v>
      </c>
      <c r="W13027" t="s">
        <v>37779</v>
      </c>
      <c r="X13027" t="s">
        <v>40463</v>
      </c>
    </row>
    <row r="13028" spans="1:24">
      <c r="A13028">
        <f>HYPERLINK("https://www.philgeps.gov.ph/GEPSNONPILOT/Tender/SplashBidNoticeAbstractUI.aspx?menuIndex=3&amp;refID=6985985&amp;Result=3","6985985")</f>
        <v>0</v>
      </c>
      <c r="B13028" t="s">
        <v>916</v>
      </c>
      <c r="C13028" t="s">
        <v>15562</v>
      </c>
      <c r="E13028" t="s">
        <v>27608</v>
      </c>
      <c r="F13028" t="s">
        <v>28198</v>
      </c>
      <c r="G13028" t="s">
        <v>28205</v>
      </c>
      <c r="H13028" t="s">
        <v>28215</v>
      </c>
      <c r="I13028" t="s">
        <v>28234</v>
      </c>
      <c r="J13028" t="s">
        <v>36308</v>
      </c>
      <c r="K13028" t="s">
        <v>36692</v>
      </c>
      <c r="M13028" t="s">
        <v>40358</v>
      </c>
      <c r="N13028" t="s">
        <v>40436</v>
      </c>
      <c r="O13028" t="s">
        <v>40437</v>
      </c>
      <c r="Q13028">
        <v>17</v>
      </c>
      <c r="R13028" t="s">
        <v>40475</v>
      </c>
      <c r="S13028" t="s">
        <v>41581</v>
      </c>
      <c r="T13028" t="s">
        <v>42100</v>
      </c>
      <c r="U13028" t="s">
        <v>53296</v>
      </c>
      <c r="W13028" t="s">
        <v>40358</v>
      </c>
      <c r="X13028" t="s">
        <v>40478</v>
      </c>
    </row>
    <row r="13029" spans="1:24">
      <c r="A13029">
        <f>HYPERLINK("https://www.philgeps.gov.ph/GEPSNONPILOT/Tender/SplashBidNoticeAbstractUI.aspx?menuIndex=3&amp;refID=6986036&amp;Result=3","6986036")</f>
        <v>0</v>
      </c>
      <c r="B13029" t="s">
        <v>2413</v>
      </c>
      <c r="C13029" t="s">
        <v>15563</v>
      </c>
      <c r="D13029" t="s">
        <v>16191</v>
      </c>
      <c r="E13029" t="s">
        <v>27609</v>
      </c>
      <c r="F13029" t="s">
        <v>28198</v>
      </c>
      <c r="G13029" t="s">
        <v>28205</v>
      </c>
      <c r="H13029" t="s">
        <v>28217</v>
      </c>
      <c r="I13029" t="s">
        <v>28331</v>
      </c>
      <c r="J13029" t="s">
        <v>36309</v>
      </c>
      <c r="K13029" t="s">
        <v>36761</v>
      </c>
      <c r="M13029" t="s">
        <v>39653</v>
      </c>
      <c r="N13029" t="s">
        <v>40436</v>
      </c>
      <c r="O13029" t="s">
        <v>40437</v>
      </c>
      <c r="Q13029">
        <v>7</v>
      </c>
      <c r="R13029" t="s">
        <v>40477</v>
      </c>
      <c r="S13029" t="s">
        <v>41582</v>
      </c>
      <c r="T13029" t="s">
        <v>42100</v>
      </c>
      <c r="U13029" t="s">
        <v>49378</v>
      </c>
      <c r="V13029" t="s">
        <v>55096</v>
      </c>
      <c r="W13029" t="s">
        <v>39653</v>
      </c>
      <c r="X13029" t="s">
        <v>40478</v>
      </c>
    </row>
    <row r="13030" spans="1:24">
      <c r="A13030">
        <f>HYPERLINK("https://www.philgeps.gov.ph/GEPSNONPILOT/Tender/SplashBidNoticeAbstractUI.aspx?menuIndex=3&amp;refID=7008774&amp;Result=3","7008774")</f>
        <v>0</v>
      </c>
      <c r="B13030" t="s">
        <v>989</v>
      </c>
      <c r="C13030" t="s">
        <v>15564</v>
      </c>
      <c r="D13030" t="s">
        <v>16192</v>
      </c>
      <c r="E13030" t="s">
        <v>27610</v>
      </c>
      <c r="F13030" t="s">
        <v>28198</v>
      </c>
      <c r="G13030" t="s">
        <v>28209</v>
      </c>
      <c r="H13030" t="s">
        <v>28214</v>
      </c>
      <c r="I13030" t="s">
        <v>3797</v>
      </c>
      <c r="J13030" t="s">
        <v>36310</v>
      </c>
      <c r="K13030" t="s">
        <v>36710</v>
      </c>
      <c r="M13030" t="s">
        <v>38016</v>
      </c>
      <c r="N13030" t="s">
        <v>40436</v>
      </c>
      <c r="O13030" t="s">
        <v>40437</v>
      </c>
      <c r="Q13030">
        <v>1</v>
      </c>
      <c r="R13030" t="s">
        <v>40466</v>
      </c>
      <c r="S13030" t="s">
        <v>41583</v>
      </c>
      <c r="T13030" t="s">
        <v>42111</v>
      </c>
      <c r="U13030" t="s">
        <v>53297</v>
      </c>
      <c r="W13030" t="s">
        <v>38016</v>
      </c>
      <c r="X13030" t="s">
        <v>40462</v>
      </c>
    </row>
    <row r="13031" spans="1:24">
      <c r="A13031">
        <f>HYPERLINK("https://www.philgeps.gov.ph/GEPSNONPILOT/Tender/SplashBidNoticeAbstractUI.aspx?menuIndex=3&amp;refID=6996716&amp;Result=3","6996716")</f>
        <v>0</v>
      </c>
      <c r="B13031" t="s">
        <v>632</v>
      </c>
      <c r="C13031" t="s">
        <v>15565</v>
      </c>
      <c r="D13031" t="s">
        <v>16210</v>
      </c>
      <c r="E13031" t="s">
        <v>27611</v>
      </c>
      <c r="F13031" t="s">
        <v>28198</v>
      </c>
      <c r="G13031" t="s">
        <v>28207</v>
      </c>
      <c r="H13031" t="s">
        <v>28215</v>
      </c>
      <c r="I13031" t="s">
        <v>5071</v>
      </c>
      <c r="J13031" t="s">
        <v>36311</v>
      </c>
      <c r="K13031" t="s">
        <v>36688</v>
      </c>
      <c r="M13031" t="s">
        <v>37625</v>
      </c>
      <c r="N13031" t="s">
        <v>40436</v>
      </c>
      <c r="O13031" t="s">
        <v>40437</v>
      </c>
      <c r="Q13031">
        <v>4</v>
      </c>
      <c r="R13031" t="s">
        <v>40463</v>
      </c>
      <c r="S13031" t="s">
        <v>41584</v>
      </c>
      <c r="T13031" t="s">
        <v>42233</v>
      </c>
      <c r="U13031" t="s">
        <v>53298</v>
      </c>
      <c r="V13031" t="s">
        <v>53939</v>
      </c>
      <c r="W13031" t="s">
        <v>37625</v>
      </c>
      <c r="X13031" t="s">
        <v>40470</v>
      </c>
    </row>
    <row r="13032" spans="1:24">
      <c r="A13032">
        <f>HYPERLINK("https://www.philgeps.gov.ph/GEPSNONPILOT/Tender/SplashBidNoticeAbstractUI.aspx?menuIndex=3&amp;refID=6986802&amp;Result=3","6986802")</f>
        <v>0</v>
      </c>
      <c r="B13032" t="s">
        <v>694</v>
      </c>
      <c r="C13032" t="s">
        <v>15566</v>
      </c>
      <c r="D13032" t="s">
        <v>16200</v>
      </c>
      <c r="E13032" t="s">
        <v>27612</v>
      </c>
      <c r="F13032" t="s">
        <v>28198</v>
      </c>
      <c r="G13032" t="s">
        <v>28205</v>
      </c>
      <c r="H13032" t="s">
        <v>28216</v>
      </c>
      <c r="I13032" t="s">
        <v>3797</v>
      </c>
      <c r="J13032" t="s">
        <v>36312</v>
      </c>
      <c r="K13032" t="s">
        <v>36710</v>
      </c>
      <c r="L13032" t="s">
        <v>694</v>
      </c>
      <c r="M13032" t="s">
        <v>37694</v>
      </c>
      <c r="N13032" t="s">
        <v>40436</v>
      </c>
      <c r="O13032" t="s">
        <v>40437</v>
      </c>
      <c r="Q13032">
        <v>3</v>
      </c>
      <c r="R13032" t="s">
        <v>40475</v>
      </c>
      <c r="S13032" t="s">
        <v>41585</v>
      </c>
      <c r="T13032" t="s">
        <v>42103</v>
      </c>
      <c r="U13032" t="s">
        <v>53299</v>
      </c>
      <c r="W13032" t="s">
        <v>37694</v>
      </c>
      <c r="X13032" t="s">
        <v>40478</v>
      </c>
    </row>
    <row r="13033" spans="1:24">
      <c r="A13033">
        <f>HYPERLINK("https://www.philgeps.gov.ph/GEPSNONPILOT/Tender/SplashBidNoticeAbstractUI.aspx?menuIndex=3&amp;refID=6984561&amp;Result=3","6984561")</f>
        <v>0</v>
      </c>
      <c r="B13033" t="s">
        <v>694</v>
      </c>
      <c r="C13033" t="s">
        <v>15567</v>
      </c>
      <c r="D13033" t="s">
        <v>16200</v>
      </c>
      <c r="E13033" t="s">
        <v>27613</v>
      </c>
      <c r="F13033" t="s">
        <v>28198</v>
      </c>
      <c r="G13033" t="s">
        <v>28205</v>
      </c>
      <c r="H13033" t="s">
        <v>28216</v>
      </c>
      <c r="I13033" t="s">
        <v>3797</v>
      </c>
      <c r="J13033" t="s">
        <v>36313</v>
      </c>
      <c r="K13033" t="s">
        <v>36710</v>
      </c>
      <c r="L13033" t="s">
        <v>694</v>
      </c>
      <c r="M13033" t="s">
        <v>37694</v>
      </c>
      <c r="N13033" t="s">
        <v>40436</v>
      </c>
      <c r="O13033" t="s">
        <v>40437</v>
      </c>
      <c r="Q13033">
        <v>5</v>
      </c>
      <c r="R13033" t="s">
        <v>40478</v>
      </c>
      <c r="S13033" t="s">
        <v>41243</v>
      </c>
      <c r="T13033" t="s">
        <v>42112</v>
      </c>
      <c r="U13033" t="s">
        <v>53299</v>
      </c>
      <c r="W13033" t="s">
        <v>37694</v>
      </c>
      <c r="X13033" t="s">
        <v>40479</v>
      </c>
    </row>
    <row r="13034" spans="1:24">
      <c r="A13034">
        <f>HYPERLINK("https://www.philgeps.gov.ph/GEPSNONPILOT/Tender/SplashBidNoticeAbstractUI.aspx?menuIndex=3&amp;refID=7004942&amp;Result=3","7004942")</f>
        <v>0</v>
      </c>
      <c r="B13034" t="s">
        <v>1094</v>
      </c>
      <c r="C13034" t="s">
        <v>15568</v>
      </c>
      <c r="E13034" t="s">
        <v>20218</v>
      </c>
      <c r="F13034" t="s">
        <v>28198</v>
      </c>
      <c r="G13034" t="s">
        <v>28205</v>
      </c>
      <c r="H13034" t="s">
        <v>28217</v>
      </c>
      <c r="I13034" t="s">
        <v>28274</v>
      </c>
      <c r="J13034" t="s">
        <v>36314</v>
      </c>
      <c r="K13034" t="s">
        <v>36756</v>
      </c>
      <c r="M13034" t="s">
        <v>38129</v>
      </c>
      <c r="N13034" t="s">
        <v>40436</v>
      </c>
      <c r="O13034" t="s">
        <v>40437</v>
      </c>
      <c r="P13034">
        <v>0</v>
      </c>
      <c r="Q13034">
        <v>3</v>
      </c>
      <c r="R13034" t="s">
        <v>40463</v>
      </c>
      <c r="S13034" t="s">
        <v>41510</v>
      </c>
      <c r="T13034" t="s">
        <v>42131</v>
      </c>
      <c r="U13034" t="s">
        <v>53300</v>
      </c>
      <c r="W13034" t="s">
        <v>38129</v>
      </c>
      <c r="X13034" t="s">
        <v>40464</v>
      </c>
    </row>
    <row r="13035" spans="1:24">
      <c r="A13035">
        <f>HYPERLINK("https://www.philgeps.gov.ph/GEPSNONPILOT/Tender/SplashBidNoticeAbstractUI.aspx?menuIndex=3&amp;refID=6986793&amp;Result=3","6986793")</f>
        <v>0</v>
      </c>
      <c r="B13035" t="s">
        <v>694</v>
      </c>
      <c r="C13035" t="s">
        <v>15569</v>
      </c>
      <c r="D13035" t="s">
        <v>16200</v>
      </c>
      <c r="E13035" t="s">
        <v>27614</v>
      </c>
      <c r="F13035" t="s">
        <v>28198</v>
      </c>
      <c r="G13035" t="s">
        <v>28205</v>
      </c>
      <c r="H13035" t="s">
        <v>28216</v>
      </c>
      <c r="I13035" t="s">
        <v>3797</v>
      </c>
      <c r="J13035" t="s">
        <v>36315</v>
      </c>
      <c r="K13035" t="s">
        <v>36710</v>
      </c>
      <c r="L13035" t="s">
        <v>694</v>
      </c>
      <c r="M13035" t="s">
        <v>37694</v>
      </c>
      <c r="N13035" t="s">
        <v>40436</v>
      </c>
      <c r="O13035" t="s">
        <v>40437</v>
      </c>
      <c r="Q13035">
        <v>3</v>
      </c>
      <c r="R13035" t="s">
        <v>40475</v>
      </c>
      <c r="S13035" t="s">
        <v>41586</v>
      </c>
      <c r="T13035" t="s">
        <v>42103</v>
      </c>
      <c r="U13035" t="s">
        <v>53299</v>
      </c>
      <c r="W13035" t="s">
        <v>37694</v>
      </c>
      <c r="X13035" t="s">
        <v>40478</v>
      </c>
    </row>
    <row r="13036" spans="1:24">
      <c r="A13036">
        <f>HYPERLINK("https://www.philgeps.gov.ph/GEPSNONPILOT/Tender/SplashBidNoticeAbstractUI.aspx?menuIndex=3&amp;refID=6986391&amp;Result=3","6986391")</f>
        <v>0</v>
      </c>
      <c r="B13036" t="s">
        <v>3051</v>
      </c>
      <c r="C13036" t="s">
        <v>15570</v>
      </c>
      <c r="D13036" t="s">
        <v>16213</v>
      </c>
      <c r="E13036" t="s">
        <v>27615</v>
      </c>
      <c r="F13036" t="s">
        <v>28198</v>
      </c>
      <c r="G13036" t="s">
        <v>28205</v>
      </c>
      <c r="H13036" t="s">
        <v>28214</v>
      </c>
      <c r="I13036" t="s">
        <v>28239</v>
      </c>
      <c r="J13036" t="s">
        <v>29409</v>
      </c>
      <c r="K13036" t="s">
        <v>36692</v>
      </c>
      <c r="M13036" t="s">
        <v>40359</v>
      </c>
      <c r="N13036" t="s">
        <v>40436</v>
      </c>
      <c r="O13036" t="s">
        <v>40437</v>
      </c>
      <c r="Q13036">
        <v>11</v>
      </c>
      <c r="R13036" t="s">
        <v>40475</v>
      </c>
      <c r="S13036" t="s">
        <v>41587</v>
      </c>
      <c r="T13036" t="s">
        <v>42596</v>
      </c>
      <c r="U13036" t="s">
        <v>53301</v>
      </c>
      <c r="W13036" t="s">
        <v>40359</v>
      </c>
      <c r="X13036" t="s">
        <v>40478</v>
      </c>
    </row>
    <row r="13037" spans="1:24">
      <c r="A13037">
        <f>HYPERLINK("https://www.philgeps.gov.ph/GEPSNONPILOT/Tender/SplashBidNoticeAbstractUI.aspx?menuIndex=3&amp;refID=6986257&amp;Result=3","6986257")</f>
        <v>0</v>
      </c>
      <c r="B13037" t="s">
        <v>2488</v>
      </c>
      <c r="C13037" t="s">
        <v>15571</v>
      </c>
      <c r="E13037" t="s">
        <v>27616</v>
      </c>
      <c r="F13037" t="s">
        <v>28198</v>
      </c>
      <c r="G13037" t="s">
        <v>28205</v>
      </c>
      <c r="H13037" t="s">
        <v>28214</v>
      </c>
      <c r="I13037" t="s">
        <v>3797</v>
      </c>
      <c r="J13037" t="s">
        <v>36316</v>
      </c>
      <c r="K13037" t="s">
        <v>36689</v>
      </c>
      <c r="M13037" t="s">
        <v>39687</v>
      </c>
      <c r="N13037" t="s">
        <v>40436</v>
      </c>
      <c r="O13037" t="s">
        <v>40437</v>
      </c>
      <c r="Q13037">
        <v>11</v>
      </c>
      <c r="R13037" t="s">
        <v>40475</v>
      </c>
      <c r="S13037" t="s">
        <v>40612</v>
      </c>
      <c r="T13037" t="s">
        <v>42101</v>
      </c>
      <c r="U13037" t="s">
        <v>53302</v>
      </c>
      <c r="W13037" t="s">
        <v>55516</v>
      </c>
      <c r="X13037" t="s">
        <v>40478</v>
      </c>
    </row>
    <row r="13038" spans="1:24">
      <c r="A13038">
        <f>HYPERLINK("https://www.philgeps.gov.ph/GEPSNONPILOT/Tender/SplashBidNoticeAbstractUI.aspx?menuIndex=3&amp;refID=6984007&amp;Result=3","6984007")</f>
        <v>0</v>
      </c>
      <c r="B13038" t="s">
        <v>694</v>
      </c>
      <c r="C13038" t="s">
        <v>15572</v>
      </c>
      <c r="D13038" t="s">
        <v>16200</v>
      </c>
      <c r="E13038" t="s">
        <v>27617</v>
      </c>
      <c r="F13038" t="s">
        <v>28198</v>
      </c>
      <c r="G13038" t="s">
        <v>28205</v>
      </c>
      <c r="H13038" t="s">
        <v>28216</v>
      </c>
      <c r="I13038" t="s">
        <v>3797</v>
      </c>
      <c r="J13038" t="s">
        <v>36317</v>
      </c>
      <c r="K13038" t="s">
        <v>36710</v>
      </c>
      <c r="L13038" t="s">
        <v>694</v>
      </c>
      <c r="M13038" t="s">
        <v>37694</v>
      </c>
      <c r="N13038" t="s">
        <v>40436</v>
      </c>
      <c r="O13038" t="s">
        <v>40437</v>
      </c>
      <c r="Q13038">
        <v>2</v>
      </c>
      <c r="R13038" t="s">
        <v>40478</v>
      </c>
      <c r="S13038" t="s">
        <v>40597</v>
      </c>
      <c r="T13038" t="s">
        <v>42133</v>
      </c>
      <c r="U13038" t="s">
        <v>53299</v>
      </c>
      <c r="W13038" t="s">
        <v>37694</v>
      </c>
      <c r="X13038" t="s">
        <v>40479</v>
      </c>
    </row>
    <row r="13039" spans="1:24">
      <c r="A13039">
        <f>HYPERLINK("https://www.philgeps.gov.ph/GEPSNONPILOT/Tender/SplashBidNoticeAbstractUI.aspx?menuIndex=3&amp;refID=6986798&amp;Result=3","6986798")</f>
        <v>0</v>
      </c>
      <c r="B13039" t="s">
        <v>694</v>
      </c>
      <c r="C13039" t="s">
        <v>15573</v>
      </c>
      <c r="D13039" t="s">
        <v>16200</v>
      </c>
      <c r="E13039" t="s">
        <v>27618</v>
      </c>
      <c r="F13039" t="s">
        <v>28198</v>
      </c>
      <c r="G13039" t="s">
        <v>28205</v>
      </c>
      <c r="H13039" t="s">
        <v>28216</v>
      </c>
      <c r="I13039" t="s">
        <v>3797</v>
      </c>
      <c r="J13039" t="s">
        <v>36318</v>
      </c>
      <c r="K13039" t="s">
        <v>36731</v>
      </c>
      <c r="L13039" t="s">
        <v>694</v>
      </c>
      <c r="M13039" t="s">
        <v>37694</v>
      </c>
      <c r="N13039" t="s">
        <v>40436</v>
      </c>
      <c r="O13039" t="s">
        <v>40437</v>
      </c>
      <c r="Q13039">
        <v>2</v>
      </c>
      <c r="R13039" t="s">
        <v>40475</v>
      </c>
      <c r="S13039" t="s">
        <v>41588</v>
      </c>
      <c r="T13039" t="s">
        <v>42103</v>
      </c>
      <c r="U13039" t="s">
        <v>53303</v>
      </c>
      <c r="W13039" t="s">
        <v>37694</v>
      </c>
      <c r="X13039" t="s">
        <v>40478</v>
      </c>
    </row>
    <row r="13040" spans="1:24">
      <c r="A13040">
        <f>HYPERLINK("https://www.philgeps.gov.ph/GEPSNONPILOT/Tender/SplashBidNoticeAbstractUI.aspx?menuIndex=3&amp;refID=6986787&amp;Result=3","6986787")</f>
        <v>0</v>
      </c>
      <c r="B13040" t="s">
        <v>694</v>
      </c>
      <c r="C13040" t="s">
        <v>15574</v>
      </c>
      <c r="D13040" t="s">
        <v>16200</v>
      </c>
      <c r="E13040" t="s">
        <v>27619</v>
      </c>
      <c r="F13040" t="s">
        <v>28198</v>
      </c>
      <c r="G13040" t="s">
        <v>28205</v>
      </c>
      <c r="H13040" t="s">
        <v>28216</v>
      </c>
      <c r="I13040" t="s">
        <v>3797</v>
      </c>
      <c r="J13040" t="s">
        <v>36319</v>
      </c>
      <c r="K13040" t="s">
        <v>36731</v>
      </c>
      <c r="L13040" t="s">
        <v>694</v>
      </c>
      <c r="M13040" t="s">
        <v>37694</v>
      </c>
      <c r="N13040" t="s">
        <v>40436</v>
      </c>
      <c r="O13040" t="s">
        <v>40437</v>
      </c>
      <c r="Q13040">
        <v>4</v>
      </c>
      <c r="R13040" t="s">
        <v>40475</v>
      </c>
      <c r="S13040" t="s">
        <v>41589</v>
      </c>
      <c r="T13040" t="s">
        <v>42103</v>
      </c>
      <c r="U13040" t="s">
        <v>53299</v>
      </c>
      <c r="W13040" t="s">
        <v>37694</v>
      </c>
      <c r="X13040" t="s">
        <v>40478</v>
      </c>
    </row>
    <row r="13041" spans="1:24">
      <c r="A13041">
        <f>HYPERLINK("https://www.philgeps.gov.ph/GEPSNONPILOT/Tender/SplashBidNoticeAbstractUI.aspx?menuIndex=3&amp;refID=7009155&amp;Result=3","7009155")</f>
        <v>0</v>
      </c>
      <c r="B13041" t="s">
        <v>3038</v>
      </c>
      <c r="C13041" t="s">
        <v>15575</v>
      </c>
      <c r="E13041" t="s">
        <v>27620</v>
      </c>
      <c r="F13041" t="s">
        <v>28198</v>
      </c>
      <c r="G13041" t="s">
        <v>28205</v>
      </c>
      <c r="H13041" t="s">
        <v>28214</v>
      </c>
      <c r="I13041" t="s">
        <v>3797</v>
      </c>
      <c r="J13041" t="s">
        <v>36320</v>
      </c>
      <c r="K13041" t="s">
        <v>36689</v>
      </c>
      <c r="M13041" t="s">
        <v>40340</v>
      </c>
      <c r="N13041" t="s">
        <v>40436</v>
      </c>
      <c r="O13041" t="s">
        <v>40437</v>
      </c>
      <c r="Q13041">
        <v>0</v>
      </c>
      <c r="R13041" t="s">
        <v>40461</v>
      </c>
      <c r="S13041" t="s">
        <v>41590</v>
      </c>
      <c r="T13041" t="s">
        <v>42102</v>
      </c>
      <c r="U13041" t="s">
        <v>53304</v>
      </c>
      <c r="W13041" t="s">
        <v>40340</v>
      </c>
      <c r="X13041" t="s">
        <v>40466</v>
      </c>
    </row>
    <row r="13042" spans="1:24">
      <c r="A13042">
        <f>HYPERLINK("https://www.philgeps.gov.ph/GEPSNONPILOT/Tender/SplashBidNoticeAbstractUI.aspx?menuIndex=3&amp;refID=7009513&amp;Result=3","7009513")</f>
        <v>0</v>
      </c>
      <c r="B13042" t="s">
        <v>1745</v>
      </c>
      <c r="C13042" t="s">
        <v>15576</v>
      </c>
      <c r="D13042" t="s">
        <v>16248</v>
      </c>
      <c r="E13042" t="s">
        <v>27621</v>
      </c>
      <c r="F13042" t="s">
        <v>28198</v>
      </c>
      <c r="G13042" t="s">
        <v>28205</v>
      </c>
      <c r="H13042" t="s">
        <v>28215</v>
      </c>
      <c r="I13042" t="s">
        <v>6051</v>
      </c>
      <c r="J13042" t="s">
        <v>36321</v>
      </c>
      <c r="K13042" t="s">
        <v>36694</v>
      </c>
      <c r="M13042" t="s">
        <v>38857</v>
      </c>
      <c r="N13042" t="s">
        <v>40436</v>
      </c>
      <c r="O13042" t="s">
        <v>40437</v>
      </c>
      <c r="Q13042">
        <v>7</v>
      </c>
      <c r="R13042" t="s">
        <v>40460</v>
      </c>
      <c r="S13042" t="s">
        <v>41487</v>
      </c>
      <c r="T13042" t="s">
        <v>42188</v>
      </c>
      <c r="U13042" t="s">
        <v>53305</v>
      </c>
      <c r="W13042" t="s">
        <v>38857</v>
      </c>
      <c r="X13042" t="s">
        <v>40461</v>
      </c>
    </row>
    <row r="13043" spans="1:24">
      <c r="A13043">
        <f>HYPERLINK("https://www.philgeps.gov.ph/GEPSNONPILOT/Tender/SplashBidNoticeAbstractUI.aspx?menuIndex=3&amp;refID=6984139&amp;Result=3","6984139")</f>
        <v>0</v>
      </c>
      <c r="B13043" t="s">
        <v>694</v>
      </c>
      <c r="C13043" t="s">
        <v>15577</v>
      </c>
      <c r="D13043" t="s">
        <v>16200</v>
      </c>
      <c r="E13043" t="s">
        <v>27622</v>
      </c>
      <c r="F13043" t="s">
        <v>28198</v>
      </c>
      <c r="G13043" t="s">
        <v>28205</v>
      </c>
      <c r="H13043" t="s">
        <v>28216</v>
      </c>
      <c r="I13043" t="s">
        <v>3797</v>
      </c>
      <c r="J13043" t="s">
        <v>36322</v>
      </c>
      <c r="K13043" t="s">
        <v>36710</v>
      </c>
      <c r="L13043" t="s">
        <v>694</v>
      </c>
      <c r="M13043" t="s">
        <v>37694</v>
      </c>
      <c r="N13043" t="s">
        <v>40436</v>
      </c>
      <c r="O13043" t="s">
        <v>40437</v>
      </c>
      <c r="Q13043">
        <v>4</v>
      </c>
      <c r="R13043" t="s">
        <v>40478</v>
      </c>
      <c r="S13043" t="s">
        <v>41244</v>
      </c>
      <c r="T13043" t="s">
        <v>42112</v>
      </c>
      <c r="U13043" t="s">
        <v>53299</v>
      </c>
      <c r="W13043" t="s">
        <v>37694</v>
      </c>
      <c r="X13043" t="s">
        <v>40479</v>
      </c>
    </row>
    <row r="13044" spans="1:24">
      <c r="A13044">
        <f>HYPERLINK("https://www.philgeps.gov.ph/GEPSNONPILOT/Tender/SplashBidNoticeAbstractUI.aspx?menuIndex=3&amp;refID=7009525&amp;Result=3","7009525")</f>
        <v>0</v>
      </c>
      <c r="B13044" t="s">
        <v>1745</v>
      </c>
      <c r="C13044" t="s">
        <v>15578</v>
      </c>
      <c r="D13044" t="s">
        <v>16243</v>
      </c>
      <c r="E13044" t="s">
        <v>27623</v>
      </c>
      <c r="F13044" t="s">
        <v>28198</v>
      </c>
      <c r="G13044" t="s">
        <v>28205</v>
      </c>
      <c r="H13044" t="s">
        <v>28215</v>
      </c>
      <c r="I13044" t="s">
        <v>6051</v>
      </c>
      <c r="J13044" t="s">
        <v>36323</v>
      </c>
      <c r="K13044" t="s">
        <v>36694</v>
      </c>
      <c r="M13044" t="s">
        <v>38857</v>
      </c>
      <c r="N13044" t="s">
        <v>40436</v>
      </c>
      <c r="O13044" t="s">
        <v>40437</v>
      </c>
      <c r="Q13044">
        <v>6</v>
      </c>
      <c r="R13044" t="s">
        <v>40460</v>
      </c>
      <c r="S13044" t="s">
        <v>41591</v>
      </c>
      <c r="T13044" t="s">
        <v>42188</v>
      </c>
      <c r="U13044" t="s">
        <v>53306</v>
      </c>
      <c r="W13044" t="s">
        <v>38857</v>
      </c>
      <c r="X13044" t="s">
        <v>40461</v>
      </c>
    </row>
    <row r="13045" spans="1:24">
      <c r="A13045">
        <f>HYPERLINK("https://www.philgeps.gov.ph/GEPSNONPILOT/Tender/SplashBidNoticeAbstractUI.aspx?menuIndex=3&amp;refID=7016279&amp;Result=3","7016279")</f>
        <v>0</v>
      </c>
      <c r="B13045" t="s">
        <v>1612</v>
      </c>
      <c r="C13045" t="s">
        <v>15579</v>
      </c>
      <c r="D13045" t="s">
        <v>16232</v>
      </c>
      <c r="E13045" t="s">
        <v>27624</v>
      </c>
      <c r="F13045" t="s">
        <v>28198</v>
      </c>
      <c r="G13045" t="s">
        <v>28205</v>
      </c>
      <c r="H13045" t="s">
        <v>28214</v>
      </c>
      <c r="I13045" t="s">
        <v>3797</v>
      </c>
      <c r="J13045" t="s">
        <v>29526</v>
      </c>
      <c r="K13045" t="s">
        <v>36776</v>
      </c>
      <c r="M13045" t="s">
        <v>38699</v>
      </c>
      <c r="N13045" t="s">
        <v>40436</v>
      </c>
      <c r="O13045" t="s">
        <v>40437</v>
      </c>
      <c r="P13045">
        <v>0</v>
      </c>
      <c r="Q13045">
        <v>0</v>
      </c>
      <c r="R13045" t="s">
        <v>40457</v>
      </c>
      <c r="S13045" t="s">
        <v>41386</v>
      </c>
      <c r="T13045" t="s">
        <v>42277</v>
      </c>
      <c r="U13045" t="s">
        <v>53307</v>
      </c>
      <c r="W13045" t="s">
        <v>38699</v>
      </c>
      <c r="X13045" t="s">
        <v>40458</v>
      </c>
    </row>
    <row r="13046" spans="1:24">
      <c r="A13046">
        <f>HYPERLINK("https://www.philgeps.gov.ph/GEPSNONPILOT/Tender/SplashBidNoticeAbstractUI.aspx?menuIndex=3&amp;refID=6989801&amp;Result=3","6989801")</f>
        <v>0</v>
      </c>
      <c r="B13046" t="s">
        <v>1179</v>
      </c>
      <c r="C13046" t="s">
        <v>15580</v>
      </c>
      <c r="D13046" t="s">
        <v>16193</v>
      </c>
      <c r="E13046" t="s">
        <v>18992</v>
      </c>
      <c r="F13046" t="s">
        <v>28200</v>
      </c>
      <c r="G13046" t="s">
        <v>28205</v>
      </c>
      <c r="H13046" t="s">
        <v>28214</v>
      </c>
      <c r="I13046" t="s">
        <v>3797</v>
      </c>
      <c r="J13046" t="s">
        <v>36324</v>
      </c>
      <c r="K13046" t="s">
        <v>36796</v>
      </c>
      <c r="L13046" t="s">
        <v>1179</v>
      </c>
      <c r="M13046" t="s">
        <v>38221</v>
      </c>
      <c r="N13046" t="s">
        <v>40436</v>
      </c>
      <c r="O13046" t="s">
        <v>40437</v>
      </c>
      <c r="Q13046">
        <v>1</v>
      </c>
      <c r="R13046" t="s">
        <v>40474</v>
      </c>
      <c r="S13046" t="s">
        <v>41403</v>
      </c>
      <c r="T13046" t="s">
        <v>42279</v>
      </c>
      <c r="U13046" t="s">
        <v>53308</v>
      </c>
      <c r="W13046" t="s">
        <v>38221</v>
      </c>
      <c r="X13046" t="s">
        <v>40476</v>
      </c>
    </row>
    <row r="13047" spans="1:24">
      <c r="A13047">
        <f>HYPERLINK("https://www.philgeps.gov.ph/GEPSNONPILOT/Tender/SplashBidNoticeAbstractUI.aspx?menuIndex=3&amp;refID=6983745&amp;Result=3","6983745")</f>
        <v>0</v>
      </c>
      <c r="B13047" t="s">
        <v>3052</v>
      </c>
      <c r="C13047" t="s">
        <v>15581</v>
      </c>
      <c r="D13047" t="s">
        <v>16203</v>
      </c>
      <c r="E13047" t="s">
        <v>27625</v>
      </c>
      <c r="F13047" t="s">
        <v>28198</v>
      </c>
      <c r="G13047" t="s">
        <v>28205</v>
      </c>
      <c r="H13047" t="s">
        <v>28216</v>
      </c>
      <c r="I13047" t="s">
        <v>28282</v>
      </c>
      <c r="J13047" t="s">
        <v>36325</v>
      </c>
      <c r="K13047" t="s">
        <v>36717</v>
      </c>
      <c r="M13047" t="s">
        <v>40360</v>
      </c>
      <c r="N13047" t="s">
        <v>40436</v>
      </c>
      <c r="O13047" t="s">
        <v>40437</v>
      </c>
      <c r="P13047">
        <v>0</v>
      </c>
      <c r="Q13047">
        <v>10</v>
      </c>
      <c r="R13047" t="s">
        <v>40478</v>
      </c>
      <c r="S13047" t="s">
        <v>41592</v>
      </c>
      <c r="T13047" t="s">
        <v>42225</v>
      </c>
      <c r="U13047" t="s">
        <v>53309</v>
      </c>
      <c r="W13047" t="s">
        <v>40360</v>
      </c>
      <c r="X13047" t="s">
        <v>40479</v>
      </c>
    </row>
    <row r="13048" spans="1:24">
      <c r="A13048">
        <f>HYPERLINK("https://www.philgeps.gov.ph/GEPSNONPILOT/Tender/SplashBidNoticeAbstractUI.aspx?menuIndex=3&amp;refID=7016134&amp;Result=3","7016134")</f>
        <v>0</v>
      </c>
      <c r="B13048" t="s">
        <v>2268</v>
      </c>
      <c r="C13048" t="s">
        <v>15582</v>
      </c>
      <c r="D13048" t="s">
        <v>16199</v>
      </c>
      <c r="E13048" t="s">
        <v>27626</v>
      </c>
      <c r="F13048" t="s">
        <v>28198</v>
      </c>
      <c r="G13048" t="s">
        <v>28205</v>
      </c>
      <c r="H13048" t="s">
        <v>28214</v>
      </c>
      <c r="I13048" t="s">
        <v>3797</v>
      </c>
      <c r="J13048" t="s">
        <v>28415</v>
      </c>
      <c r="K13048" t="s">
        <v>36724</v>
      </c>
      <c r="M13048" t="s">
        <v>39439</v>
      </c>
      <c r="N13048" t="s">
        <v>40436</v>
      </c>
      <c r="O13048" t="s">
        <v>40437</v>
      </c>
      <c r="P13048">
        <v>0</v>
      </c>
      <c r="Q13048">
        <v>0</v>
      </c>
      <c r="R13048" t="s">
        <v>40457</v>
      </c>
      <c r="S13048" t="s">
        <v>41386</v>
      </c>
      <c r="T13048" t="s">
        <v>42233</v>
      </c>
      <c r="U13048" t="s">
        <v>53310</v>
      </c>
      <c r="W13048" t="s">
        <v>39439</v>
      </c>
      <c r="X13048" t="s">
        <v>40458</v>
      </c>
    </row>
    <row r="13049" spans="1:24">
      <c r="A13049">
        <f>HYPERLINK("https://www.philgeps.gov.ph/GEPSNONPILOT/Tender/SplashBidNoticeAbstractUI.aspx?menuIndex=3&amp;refID=7009512&amp;Result=3","7009512")</f>
        <v>0</v>
      </c>
      <c r="B13049" t="s">
        <v>1546</v>
      </c>
      <c r="C13049" t="s">
        <v>15583</v>
      </c>
      <c r="D13049" t="s">
        <v>16215</v>
      </c>
      <c r="E13049" t="s">
        <v>27627</v>
      </c>
      <c r="F13049" t="s">
        <v>28198</v>
      </c>
      <c r="G13049" t="s">
        <v>28205</v>
      </c>
      <c r="H13049" t="s">
        <v>28216</v>
      </c>
      <c r="I13049" t="s">
        <v>28216</v>
      </c>
      <c r="J13049" t="s">
        <v>36326</v>
      </c>
      <c r="K13049" t="s">
        <v>36733</v>
      </c>
      <c r="M13049" t="s">
        <v>38626</v>
      </c>
      <c r="N13049" t="s">
        <v>40436</v>
      </c>
      <c r="O13049" t="s">
        <v>40437</v>
      </c>
      <c r="Q13049">
        <v>14</v>
      </c>
      <c r="R13049" t="s">
        <v>40460</v>
      </c>
      <c r="S13049" t="s">
        <v>41593</v>
      </c>
      <c r="T13049" t="s">
        <v>42355</v>
      </c>
      <c r="U13049" t="s">
        <v>53311</v>
      </c>
      <c r="W13049" t="s">
        <v>38626</v>
      </c>
      <c r="X13049" t="s">
        <v>40461</v>
      </c>
    </row>
    <row r="13050" spans="1:24">
      <c r="A13050">
        <f>HYPERLINK("https://www.philgeps.gov.ph/GEPSNONPILOT/Tender/SplashBidNoticeAbstractUI.aspx?menuIndex=3&amp;refID=7016135&amp;Result=3","7016135")</f>
        <v>0</v>
      </c>
      <c r="B13050" t="s">
        <v>1247</v>
      </c>
      <c r="C13050" t="s">
        <v>15584</v>
      </c>
      <c r="D13050" t="s">
        <v>16210</v>
      </c>
      <c r="E13050" t="s">
        <v>27628</v>
      </c>
      <c r="F13050" t="s">
        <v>28198</v>
      </c>
      <c r="G13050" t="s">
        <v>28205</v>
      </c>
      <c r="H13050" t="s">
        <v>28215</v>
      </c>
      <c r="I13050" t="s">
        <v>5103</v>
      </c>
      <c r="J13050" t="s">
        <v>28699</v>
      </c>
      <c r="K13050" t="s">
        <v>36701</v>
      </c>
      <c r="M13050" t="s">
        <v>40361</v>
      </c>
      <c r="N13050" t="s">
        <v>40436</v>
      </c>
      <c r="O13050" t="s">
        <v>40437</v>
      </c>
      <c r="P13050">
        <v>0</v>
      </c>
      <c r="Q13050">
        <v>16</v>
      </c>
      <c r="R13050" t="s">
        <v>40457</v>
      </c>
      <c r="S13050" t="s">
        <v>41386</v>
      </c>
      <c r="T13050" t="s">
        <v>42455</v>
      </c>
      <c r="U13050" t="s">
        <v>53312</v>
      </c>
      <c r="W13050" t="s">
        <v>40361</v>
      </c>
      <c r="X13050" t="s">
        <v>40458</v>
      </c>
    </row>
    <row r="13051" spans="1:24">
      <c r="A13051">
        <f>HYPERLINK("https://www.philgeps.gov.ph/GEPSNONPILOT/Tender/SplashBidNoticeAbstractUI.aspx?menuIndex=3&amp;refID=7016074&amp;Result=3","7016074")</f>
        <v>0</v>
      </c>
      <c r="B13051" t="s">
        <v>305</v>
      </c>
      <c r="C13051" t="s">
        <v>15585</v>
      </c>
      <c r="D13051" t="s">
        <v>16197</v>
      </c>
      <c r="E13051" t="s">
        <v>27629</v>
      </c>
      <c r="F13051" t="s">
        <v>28198</v>
      </c>
      <c r="G13051" t="s">
        <v>28205</v>
      </c>
      <c r="H13051" t="s">
        <v>28215</v>
      </c>
      <c r="I13051" t="s">
        <v>28222</v>
      </c>
      <c r="J13051" t="s">
        <v>36327</v>
      </c>
      <c r="K13051" t="s">
        <v>36701</v>
      </c>
      <c r="M13051" t="s">
        <v>37282</v>
      </c>
      <c r="N13051" t="s">
        <v>40436</v>
      </c>
      <c r="O13051" t="s">
        <v>40437</v>
      </c>
      <c r="P13051">
        <v>0</v>
      </c>
      <c r="Q13051">
        <v>3</v>
      </c>
      <c r="R13051" t="s">
        <v>40457</v>
      </c>
      <c r="S13051" t="s">
        <v>41386</v>
      </c>
      <c r="T13051" t="s">
        <v>42233</v>
      </c>
      <c r="U13051" t="s">
        <v>43102</v>
      </c>
      <c r="W13051" t="s">
        <v>37282</v>
      </c>
      <c r="X13051" t="s">
        <v>40458</v>
      </c>
    </row>
    <row r="13052" spans="1:24">
      <c r="A13052">
        <f>HYPERLINK("https://www.philgeps.gov.ph/GEPSNONPILOT/Tender/SplashBidNoticeAbstractUI.aspx?menuIndex=3&amp;refID=6982935&amp;Result=3","6982935")</f>
        <v>0</v>
      </c>
      <c r="B13052" t="s">
        <v>1189</v>
      </c>
      <c r="C13052" t="s">
        <v>15586</v>
      </c>
      <c r="D13052" t="s">
        <v>16235</v>
      </c>
      <c r="E13052" t="s">
        <v>27630</v>
      </c>
      <c r="F13052" t="s">
        <v>28198</v>
      </c>
      <c r="G13052" t="s">
        <v>28205</v>
      </c>
      <c r="H13052" t="s">
        <v>28215</v>
      </c>
      <c r="I13052" t="s">
        <v>3774</v>
      </c>
      <c r="J13052" t="s">
        <v>28752</v>
      </c>
      <c r="K13052" t="s">
        <v>36697</v>
      </c>
      <c r="M13052" t="s">
        <v>40230</v>
      </c>
      <c r="N13052" t="s">
        <v>40436</v>
      </c>
      <c r="O13052" t="s">
        <v>40437</v>
      </c>
      <c r="Q13052">
        <v>3</v>
      </c>
      <c r="R13052" t="s">
        <v>40479</v>
      </c>
      <c r="S13052" t="s">
        <v>41594</v>
      </c>
      <c r="T13052" t="s">
        <v>42350</v>
      </c>
      <c r="U13052" t="s">
        <v>53313</v>
      </c>
      <c r="W13052" t="s">
        <v>40230</v>
      </c>
      <c r="X13052" t="s">
        <v>55556</v>
      </c>
    </row>
    <row r="13053" spans="1:24">
      <c r="A13053">
        <f>HYPERLINK("https://www.philgeps.gov.ph/GEPSNONPILOT/Tender/SplashBidNoticeAbstractUI.aspx?menuIndex=3&amp;refID=6976799&amp;Result=3","6976799")</f>
        <v>0</v>
      </c>
      <c r="B13053" t="s">
        <v>3053</v>
      </c>
      <c r="C13053" t="s">
        <v>15587</v>
      </c>
      <c r="D13053" t="s">
        <v>16221</v>
      </c>
      <c r="E13053" t="s">
        <v>27631</v>
      </c>
      <c r="F13053" t="s">
        <v>28198</v>
      </c>
      <c r="G13053" t="s">
        <v>28205</v>
      </c>
      <c r="H13053" t="s">
        <v>28214</v>
      </c>
      <c r="I13053" t="s">
        <v>3797</v>
      </c>
      <c r="J13053" t="s">
        <v>36328</v>
      </c>
      <c r="K13053" t="s">
        <v>36692</v>
      </c>
      <c r="M13053" t="s">
        <v>40362</v>
      </c>
      <c r="N13053" t="s">
        <v>40436</v>
      </c>
      <c r="O13053" t="s">
        <v>40437</v>
      </c>
      <c r="Q13053">
        <v>5</v>
      </c>
      <c r="R13053" t="s">
        <v>40480</v>
      </c>
      <c r="S13053" t="s">
        <v>41595</v>
      </c>
      <c r="T13053" t="s">
        <v>42597</v>
      </c>
      <c r="U13053" t="s">
        <v>53314</v>
      </c>
      <c r="W13053" t="s">
        <v>40362</v>
      </c>
      <c r="X13053" t="s">
        <v>40481</v>
      </c>
    </row>
    <row r="13054" spans="1:24">
      <c r="A13054">
        <f>HYPERLINK("https://www.philgeps.gov.ph/GEPSNONPILOT/Tender/SplashBidNoticeAbstractUI.aspx?menuIndex=3&amp;refID=6976656&amp;Result=3","6976656")</f>
        <v>0</v>
      </c>
      <c r="B13054" t="s">
        <v>3053</v>
      </c>
      <c r="C13054" t="s">
        <v>15588</v>
      </c>
      <c r="D13054" t="s">
        <v>16221</v>
      </c>
      <c r="E13054" t="s">
        <v>27632</v>
      </c>
      <c r="F13054" t="s">
        <v>28198</v>
      </c>
      <c r="G13054" t="s">
        <v>28205</v>
      </c>
      <c r="H13054" t="s">
        <v>28214</v>
      </c>
      <c r="I13054" t="s">
        <v>3797</v>
      </c>
      <c r="J13054" t="s">
        <v>36329</v>
      </c>
      <c r="K13054" t="s">
        <v>36692</v>
      </c>
      <c r="M13054" t="s">
        <v>40362</v>
      </c>
      <c r="N13054" t="s">
        <v>40436</v>
      </c>
      <c r="O13054" t="s">
        <v>40437</v>
      </c>
      <c r="Q13054">
        <v>7</v>
      </c>
      <c r="R13054" t="s">
        <v>40480</v>
      </c>
      <c r="S13054" t="s">
        <v>41596</v>
      </c>
      <c r="T13054" t="s">
        <v>42597</v>
      </c>
      <c r="U13054" t="s">
        <v>53315</v>
      </c>
      <c r="W13054" t="s">
        <v>40362</v>
      </c>
      <c r="X13054" t="s">
        <v>40481</v>
      </c>
    </row>
    <row r="13055" spans="1:24">
      <c r="A13055">
        <f>HYPERLINK("https://www.philgeps.gov.ph/GEPSNONPILOT/Tender/SplashBidNoticeAbstractUI.aspx?menuIndex=3&amp;refID=7016070&amp;Result=3","7016070")</f>
        <v>0</v>
      </c>
      <c r="B13055" t="s">
        <v>1585</v>
      </c>
      <c r="C13055" t="s">
        <v>15589</v>
      </c>
      <c r="D13055" t="s">
        <v>16208</v>
      </c>
      <c r="E13055" t="s">
        <v>27633</v>
      </c>
      <c r="F13055" t="s">
        <v>28198</v>
      </c>
      <c r="G13055" t="s">
        <v>28205</v>
      </c>
      <c r="H13055" t="s">
        <v>28214</v>
      </c>
      <c r="I13055" t="s">
        <v>3797</v>
      </c>
      <c r="J13055" t="s">
        <v>31508</v>
      </c>
      <c r="K13055" t="s">
        <v>36692</v>
      </c>
      <c r="M13055" t="s">
        <v>38670</v>
      </c>
      <c r="N13055" t="s">
        <v>40436</v>
      </c>
      <c r="O13055" t="s">
        <v>40437</v>
      </c>
      <c r="P13055">
        <v>0</v>
      </c>
      <c r="Q13055">
        <v>0</v>
      </c>
      <c r="R13055" t="s">
        <v>40457</v>
      </c>
      <c r="S13055" t="s">
        <v>41386</v>
      </c>
      <c r="T13055" t="s">
        <v>42205</v>
      </c>
      <c r="U13055" t="s">
        <v>52991</v>
      </c>
      <c r="W13055" t="s">
        <v>38670</v>
      </c>
      <c r="X13055" t="s">
        <v>40458</v>
      </c>
    </row>
    <row r="13056" spans="1:24">
      <c r="A13056">
        <f>HYPERLINK("https://www.philgeps.gov.ph/GEPSNONPILOT/Tender/SplashBidNoticeAbstractUI.aspx?menuIndex=3&amp;refID=6975409&amp;Result=3","6975409")</f>
        <v>0</v>
      </c>
      <c r="B13056" t="s">
        <v>3054</v>
      </c>
      <c r="C13056" t="s">
        <v>15590</v>
      </c>
      <c r="D13056" t="s">
        <v>16209</v>
      </c>
      <c r="E13056" t="s">
        <v>27634</v>
      </c>
      <c r="F13056" t="s">
        <v>28198</v>
      </c>
      <c r="G13056" t="s">
        <v>28205</v>
      </c>
      <c r="H13056" t="s">
        <v>28214</v>
      </c>
      <c r="I13056" t="s">
        <v>3797</v>
      </c>
      <c r="J13056" t="s">
        <v>32800</v>
      </c>
      <c r="K13056" t="s">
        <v>36937</v>
      </c>
      <c r="M13056" t="s">
        <v>40363</v>
      </c>
      <c r="N13056" t="s">
        <v>40436</v>
      </c>
      <c r="O13056" t="s">
        <v>40437</v>
      </c>
      <c r="Q13056">
        <v>4</v>
      </c>
      <c r="R13056" t="s">
        <v>40481</v>
      </c>
      <c r="S13056" t="s">
        <v>41597</v>
      </c>
      <c r="T13056" t="s">
        <v>42103</v>
      </c>
      <c r="U13056" t="s">
        <v>53316</v>
      </c>
      <c r="W13056" t="s">
        <v>40363</v>
      </c>
      <c r="X13056" t="s">
        <v>40485</v>
      </c>
    </row>
    <row r="13057" spans="1:24">
      <c r="A13057">
        <f>HYPERLINK("https://www.philgeps.gov.ph/GEPSNONPILOT/Tender/SplashBidNoticeAbstractUI.aspx?menuIndex=3&amp;refID=6977331&amp;Result=3","6977331")</f>
        <v>0</v>
      </c>
      <c r="B13057" t="s">
        <v>3053</v>
      </c>
      <c r="C13057" t="s">
        <v>15591</v>
      </c>
      <c r="D13057" t="s">
        <v>16221</v>
      </c>
      <c r="E13057" t="s">
        <v>27635</v>
      </c>
      <c r="F13057" t="s">
        <v>28198</v>
      </c>
      <c r="G13057" t="s">
        <v>28205</v>
      </c>
      <c r="H13057" t="s">
        <v>28214</v>
      </c>
      <c r="I13057" t="s">
        <v>8870</v>
      </c>
      <c r="J13057" t="s">
        <v>36330</v>
      </c>
      <c r="K13057" t="s">
        <v>36697</v>
      </c>
      <c r="M13057" t="s">
        <v>40362</v>
      </c>
      <c r="N13057" t="s">
        <v>40436</v>
      </c>
      <c r="O13057" t="s">
        <v>40437</v>
      </c>
      <c r="Q13057">
        <v>6</v>
      </c>
      <c r="R13057" t="s">
        <v>40480</v>
      </c>
      <c r="S13057" t="s">
        <v>41598</v>
      </c>
      <c r="T13057" t="s">
        <v>42597</v>
      </c>
      <c r="U13057" t="s">
        <v>53317</v>
      </c>
      <c r="W13057" t="s">
        <v>40362</v>
      </c>
      <c r="X13057" t="s">
        <v>40481</v>
      </c>
    </row>
    <row r="13058" spans="1:24">
      <c r="A13058">
        <f>HYPERLINK("https://www.philgeps.gov.ph/GEPSNONPILOT/Tender/SplashBidNoticeAbstractUI.aspx?menuIndex=3&amp;refID=6976974&amp;Result=3","6976974")</f>
        <v>0</v>
      </c>
      <c r="B13058" t="s">
        <v>3053</v>
      </c>
      <c r="C13058" t="s">
        <v>15592</v>
      </c>
      <c r="D13058" t="s">
        <v>16221</v>
      </c>
      <c r="E13058" t="s">
        <v>27636</v>
      </c>
      <c r="F13058" t="s">
        <v>28198</v>
      </c>
      <c r="G13058" t="s">
        <v>28205</v>
      </c>
      <c r="H13058" t="s">
        <v>28215</v>
      </c>
      <c r="I13058" t="s">
        <v>3797</v>
      </c>
      <c r="J13058" t="s">
        <v>36331</v>
      </c>
      <c r="K13058" t="s">
        <v>36692</v>
      </c>
      <c r="M13058" t="s">
        <v>40362</v>
      </c>
      <c r="N13058" t="s">
        <v>40436</v>
      </c>
      <c r="O13058" t="s">
        <v>40437</v>
      </c>
      <c r="Q13058">
        <v>7</v>
      </c>
      <c r="R13058" t="s">
        <v>40480</v>
      </c>
      <c r="S13058" t="s">
        <v>41599</v>
      </c>
      <c r="T13058" t="s">
        <v>42597</v>
      </c>
      <c r="U13058" t="s">
        <v>53318</v>
      </c>
      <c r="W13058" t="s">
        <v>40362</v>
      </c>
      <c r="X13058" t="s">
        <v>40481</v>
      </c>
    </row>
    <row r="13059" spans="1:24">
      <c r="A13059">
        <f>HYPERLINK("https://www.philgeps.gov.ph/GEPSNONPILOT/Tender/SplashBidNoticeAbstractUI.aspx?menuIndex=3&amp;refID=6961613&amp;Result=3","6961613")</f>
        <v>0</v>
      </c>
      <c r="B13059" t="s">
        <v>2856</v>
      </c>
      <c r="C13059" t="s">
        <v>15593</v>
      </c>
      <c r="D13059" t="s">
        <v>16195</v>
      </c>
      <c r="E13059" t="s">
        <v>27637</v>
      </c>
      <c r="F13059" t="s">
        <v>28198</v>
      </c>
      <c r="G13059" t="s">
        <v>28205</v>
      </c>
      <c r="H13059" t="s">
        <v>28215</v>
      </c>
      <c r="I13059" t="s">
        <v>28220</v>
      </c>
      <c r="J13059" t="s">
        <v>30947</v>
      </c>
      <c r="K13059" t="s">
        <v>36715</v>
      </c>
      <c r="M13059" t="s">
        <v>40118</v>
      </c>
      <c r="N13059" t="s">
        <v>40436</v>
      </c>
      <c r="O13059" t="s">
        <v>40437</v>
      </c>
      <c r="Q13059">
        <v>42</v>
      </c>
      <c r="R13059" t="s">
        <v>40481</v>
      </c>
      <c r="S13059" t="s">
        <v>41600</v>
      </c>
      <c r="T13059" t="s">
        <v>42119</v>
      </c>
      <c r="U13059" t="s">
        <v>53319</v>
      </c>
      <c r="V13059" t="s">
        <v>55281</v>
      </c>
      <c r="W13059" t="s">
        <v>40118</v>
      </c>
      <c r="X13059" t="s">
        <v>40496</v>
      </c>
    </row>
    <row r="13060" spans="1:24">
      <c r="A13060">
        <f>HYPERLINK("https://www.philgeps.gov.ph/GEPSNONPILOT/Tender/SplashBidNoticeAbstractUI.aspx?menuIndex=3&amp;refID=6977130&amp;Result=3","6977130")</f>
        <v>0</v>
      </c>
      <c r="B13060" t="s">
        <v>3053</v>
      </c>
      <c r="C13060" t="s">
        <v>15594</v>
      </c>
      <c r="D13060" t="s">
        <v>16221</v>
      </c>
      <c r="E13060" t="s">
        <v>27638</v>
      </c>
      <c r="F13060" t="s">
        <v>28198</v>
      </c>
      <c r="G13060" t="s">
        <v>28205</v>
      </c>
      <c r="H13060" t="s">
        <v>28214</v>
      </c>
      <c r="I13060" t="s">
        <v>8870</v>
      </c>
      <c r="J13060" t="s">
        <v>36332</v>
      </c>
      <c r="K13060" t="s">
        <v>36697</v>
      </c>
      <c r="M13060" t="s">
        <v>40362</v>
      </c>
      <c r="N13060" t="s">
        <v>40436</v>
      </c>
      <c r="O13060" t="s">
        <v>40437</v>
      </c>
      <c r="Q13060">
        <v>7</v>
      </c>
      <c r="R13060" t="s">
        <v>40480</v>
      </c>
      <c r="S13060" t="s">
        <v>41601</v>
      </c>
      <c r="T13060" t="s">
        <v>42597</v>
      </c>
      <c r="U13060" t="s">
        <v>53320</v>
      </c>
      <c r="W13060" t="s">
        <v>40362</v>
      </c>
      <c r="X13060" t="s">
        <v>40481</v>
      </c>
    </row>
    <row r="13061" spans="1:24">
      <c r="A13061">
        <f>HYPERLINK("https://www.philgeps.gov.ph/GEPSNONPILOT/Tender/SplashBidNoticeAbstractUI.aspx?menuIndex=3&amp;refID=6977068&amp;Result=3","6977068")</f>
        <v>0</v>
      </c>
      <c r="B13061" t="s">
        <v>3053</v>
      </c>
      <c r="C13061" t="s">
        <v>15595</v>
      </c>
      <c r="D13061" t="s">
        <v>16221</v>
      </c>
      <c r="E13061" t="s">
        <v>27639</v>
      </c>
      <c r="F13061" t="s">
        <v>28198</v>
      </c>
      <c r="G13061" t="s">
        <v>28205</v>
      </c>
      <c r="H13061" t="s">
        <v>28214</v>
      </c>
      <c r="I13061" t="s">
        <v>3797</v>
      </c>
      <c r="J13061" t="s">
        <v>36333</v>
      </c>
      <c r="K13061" t="s">
        <v>36692</v>
      </c>
      <c r="M13061" t="s">
        <v>40362</v>
      </c>
      <c r="N13061" t="s">
        <v>40436</v>
      </c>
      <c r="O13061" t="s">
        <v>40437</v>
      </c>
      <c r="Q13061">
        <v>5</v>
      </c>
      <c r="R13061" t="s">
        <v>40480</v>
      </c>
      <c r="S13061" t="s">
        <v>41602</v>
      </c>
      <c r="T13061" t="s">
        <v>42597</v>
      </c>
      <c r="U13061" t="s">
        <v>53321</v>
      </c>
      <c r="W13061" t="s">
        <v>40362</v>
      </c>
      <c r="X13061" t="s">
        <v>40481</v>
      </c>
    </row>
    <row r="13062" spans="1:24">
      <c r="A13062">
        <f>HYPERLINK("https://www.philgeps.gov.ph/GEPSNONPILOT/Tender/SplashBidNoticeAbstractUI.aspx?menuIndex=3&amp;refID=6978347&amp;Result=3","6978347")</f>
        <v>0</v>
      </c>
      <c r="B13062" t="s">
        <v>1109</v>
      </c>
      <c r="C13062" t="s">
        <v>15596</v>
      </c>
      <c r="D13062" t="s">
        <v>16210</v>
      </c>
      <c r="E13062" t="s">
        <v>27640</v>
      </c>
      <c r="F13062" t="s">
        <v>28198</v>
      </c>
      <c r="G13062" t="s">
        <v>28205</v>
      </c>
      <c r="H13062" t="s">
        <v>28215</v>
      </c>
      <c r="I13062" t="s">
        <v>28228</v>
      </c>
      <c r="J13062" t="s">
        <v>36334</v>
      </c>
      <c r="K13062" t="s">
        <v>36765</v>
      </c>
      <c r="M13062" t="s">
        <v>40364</v>
      </c>
      <c r="N13062" t="s">
        <v>40436</v>
      </c>
      <c r="O13062" t="s">
        <v>40437</v>
      </c>
      <c r="Q13062">
        <v>2</v>
      </c>
      <c r="R13062" t="s">
        <v>40482</v>
      </c>
      <c r="S13062" t="s">
        <v>41603</v>
      </c>
      <c r="T13062" t="s">
        <v>42103</v>
      </c>
      <c r="U13062" t="s">
        <v>53322</v>
      </c>
      <c r="W13062" t="s">
        <v>40364</v>
      </c>
      <c r="X13062" t="s">
        <v>40480</v>
      </c>
    </row>
    <row r="13063" spans="1:24">
      <c r="A13063">
        <f>HYPERLINK("https://www.philgeps.gov.ph/GEPSNONPILOT/Tender/SplashBidNoticeAbstractUI.aspx?menuIndex=3&amp;refID=6976716&amp;Result=3","6976716")</f>
        <v>0</v>
      </c>
      <c r="B13063" t="s">
        <v>3053</v>
      </c>
      <c r="C13063" t="s">
        <v>15597</v>
      </c>
      <c r="D13063" t="s">
        <v>16221</v>
      </c>
      <c r="E13063" t="s">
        <v>27641</v>
      </c>
      <c r="F13063" t="s">
        <v>28198</v>
      </c>
      <c r="G13063" t="s">
        <v>28205</v>
      </c>
      <c r="H13063" t="s">
        <v>28214</v>
      </c>
      <c r="I13063" t="s">
        <v>3797</v>
      </c>
      <c r="J13063" t="s">
        <v>36335</v>
      </c>
      <c r="K13063" t="s">
        <v>36692</v>
      </c>
      <c r="M13063" t="s">
        <v>40362</v>
      </c>
      <c r="N13063" t="s">
        <v>40436</v>
      </c>
      <c r="O13063" t="s">
        <v>40437</v>
      </c>
      <c r="Q13063">
        <v>5</v>
      </c>
      <c r="R13063" t="s">
        <v>40480</v>
      </c>
      <c r="S13063" t="s">
        <v>41604</v>
      </c>
      <c r="T13063" t="s">
        <v>42597</v>
      </c>
      <c r="U13063" t="s">
        <v>53323</v>
      </c>
      <c r="W13063" t="s">
        <v>40362</v>
      </c>
      <c r="X13063" t="s">
        <v>40481</v>
      </c>
    </row>
    <row r="13064" spans="1:24">
      <c r="A13064">
        <f>HYPERLINK("https://www.philgeps.gov.ph/GEPSNONPILOT/Tender/SplashBidNoticeAbstractUI.aspx?menuIndex=3&amp;refID=6979678&amp;Result=3","6979678")</f>
        <v>0</v>
      </c>
      <c r="B13064" t="s">
        <v>1730</v>
      </c>
      <c r="C13064" t="s">
        <v>15598</v>
      </c>
      <c r="D13064" t="s">
        <v>16210</v>
      </c>
      <c r="E13064" t="s">
        <v>27642</v>
      </c>
      <c r="F13064" t="s">
        <v>28198</v>
      </c>
      <c r="G13064" t="s">
        <v>28205</v>
      </c>
      <c r="H13064" t="s">
        <v>28215</v>
      </c>
      <c r="I13064" t="s">
        <v>28224</v>
      </c>
      <c r="J13064" t="s">
        <v>36336</v>
      </c>
      <c r="K13064" t="s">
        <v>36715</v>
      </c>
      <c r="M13064" t="s">
        <v>38840</v>
      </c>
      <c r="N13064" t="s">
        <v>40436</v>
      </c>
      <c r="O13064" t="s">
        <v>40437</v>
      </c>
      <c r="Q13064">
        <v>3</v>
      </c>
      <c r="R13064" t="s">
        <v>40483</v>
      </c>
      <c r="S13064" t="s">
        <v>41605</v>
      </c>
      <c r="T13064" t="s">
        <v>42177</v>
      </c>
      <c r="U13064" t="s">
        <v>46910</v>
      </c>
      <c r="W13064" t="s">
        <v>38840</v>
      </c>
      <c r="X13064" t="s">
        <v>40482</v>
      </c>
    </row>
    <row r="13065" spans="1:24">
      <c r="A13065">
        <f>HYPERLINK("https://www.philgeps.gov.ph/GEPSNONPILOT/Tender/SplashBidNoticeAbstractUI.aspx?menuIndex=3&amp;refID=7016129&amp;Result=3","7016129")</f>
        <v>0</v>
      </c>
      <c r="B13065" t="s">
        <v>1247</v>
      </c>
      <c r="C13065" t="s">
        <v>15599</v>
      </c>
      <c r="D13065" t="s">
        <v>16210</v>
      </c>
      <c r="E13065" t="s">
        <v>27643</v>
      </c>
      <c r="F13065" t="s">
        <v>28198</v>
      </c>
      <c r="G13065" t="s">
        <v>28205</v>
      </c>
      <c r="H13065" t="s">
        <v>28215</v>
      </c>
      <c r="I13065" t="s">
        <v>8888</v>
      </c>
      <c r="J13065" t="s">
        <v>35232</v>
      </c>
      <c r="K13065" t="s">
        <v>36701</v>
      </c>
      <c r="M13065" t="s">
        <v>38297</v>
      </c>
      <c r="N13065" t="s">
        <v>40436</v>
      </c>
      <c r="O13065" t="s">
        <v>40437</v>
      </c>
      <c r="P13065">
        <v>0</v>
      </c>
      <c r="Q13065">
        <v>3</v>
      </c>
      <c r="R13065" t="s">
        <v>40457</v>
      </c>
      <c r="S13065" t="s">
        <v>41386</v>
      </c>
      <c r="T13065" t="s">
        <v>42455</v>
      </c>
      <c r="U13065" t="s">
        <v>53324</v>
      </c>
      <c r="W13065" t="s">
        <v>38297</v>
      </c>
      <c r="X13065" t="s">
        <v>40458</v>
      </c>
    </row>
    <row r="13066" spans="1:24">
      <c r="A13066">
        <f>HYPERLINK("https://www.philgeps.gov.ph/GEPSNONPILOT/Tender/SplashBidNoticeAbstractUI.aspx?menuIndex=3&amp;refID=6979777&amp;Result=3","6979777")</f>
        <v>0</v>
      </c>
      <c r="B13066" t="s">
        <v>1730</v>
      </c>
      <c r="C13066" t="s">
        <v>15600</v>
      </c>
      <c r="D13066" t="s">
        <v>16188</v>
      </c>
      <c r="E13066" t="s">
        <v>27644</v>
      </c>
      <c r="F13066" t="s">
        <v>28198</v>
      </c>
      <c r="G13066" t="s">
        <v>28205</v>
      </c>
      <c r="H13066" t="s">
        <v>28214</v>
      </c>
      <c r="I13066" t="s">
        <v>3797</v>
      </c>
      <c r="J13066" t="s">
        <v>28351</v>
      </c>
      <c r="K13066" t="s">
        <v>36692</v>
      </c>
      <c r="M13066" t="s">
        <v>38840</v>
      </c>
      <c r="N13066" t="s">
        <v>40436</v>
      </c>
      <c r="O13066" t="s">
        <v>40437</v>
      </c>
      <c r="Q13066">
        <v>5</v>
      </c>
      <c r="R13066" t="s">
        <v>40483</v>
      </c>
      <c r="S13066" t="s">
        <v>41606</v>
      </c>
      <c r="T13066" t="s">
        <v>42266</v>
      </c>
      <c r="U13066" t="s">
        <v>46910</v>
      </c>
      <c r="W13066" t="s">
        <v>38840</v>
      </c>
      <c r="X13066" t="s">
        <v>40482</v>
      </c>
    </row>
    <row r="13067" spans="1:24">
      <c r="A13067">
        <f>HYPERLINK("https://www.philgeps.gov.ph/GEPSNONPILOT/Tender/SplashBidNoticeAbstractUI.aspx?menuIndex=3&amp;refID=6979713&amp;Result=3","6979713")</f>
        <v>0</v>
      </c>
      <c r="B13067" t="s">
        <v>1730</v>
      </c>
      <c r="C13067" t="s">
        <v>15601</v>
      </c>
      <c r="D13067" t="s">
        <v>16260</v>
      </c>
      <c r="E13067" t="s">
        <v>27645</v>
      </c>
      <c r="F13067" t="s">
        <v>28198</v>
      </c>
      <c r="G13067" t="s">
        <v>28205</v>
      </c>
      <c r="H13067" t="s">
        <v>28214</v>
      </c>
      <c r="I13067" t="s">
        <v>3797</v>
      </c>
      <c r="J13067" t="s">
        <v>28379</v>
      </c>
      <c r="K13067" t="s">
        <v>36809</v>
      </c>
      <c r="M13067" t="s">
        <v>38840</v>
      </c>
      <c r="N13067" t="s">
        <v>40436</v>
      </c>
      <c r="O13067" t="s">
        <v>40437</v>
      </c>
      <c r="Q13067">
        <v>9</v>
      </c>
      <c r="R13067" t="s">
        <v>40483</v>
      </c>
      <c r="S13067" t="s">
        <v>41607</v>
      </c>
      <c r="T13067" t="s">
        <v>42176</v>
      </c>
      <c r="U13067" t="s">
        <v>46910</v>
      </c>
      <c r="W13067" t="s">
        <v>38840</v>
      </c>
      <c r="X13067" t="s">
        <v>40482</v>
      </c>
    </row>
    <row r="13068" spans="1:24">
      <c r="A13068">
        <f>HYPERLINK("https://www.philgeps.gov.ph/GEPSNONPILOT/Tender/SplashBidNoticeAbstractUI.aspx?menuIndex=3&amp;refID=6979581&amp;Result=3","6979581")</f>
        <v>0</v>
      </c>
      <c r="B13068" t="s">
        <v>1730</v>
      </c>
      <c r="C13068" t="s">
        <v>15602</v>
      </c>
      <c r="D13068" t="s">
        <v>16210</v>
      </c>
      <c r="E13068" t="s">
        <v>27646</v>
      </c>
      <c r="F13068" t="s">
        <v>28198</v>
      </c>
      <c r="G13068" t="s">
        <v>28205</v>
      </c>
      <c r="H13068" t="s">
        <v>28215</v>
      </c>
      <c r="I13068" t="s">
        <v>28284</v>
      </c>
      <c r="J13068" t="s">
        <v>32037</v>
      </c>
      <c r="K13068" t="s">
        <v>36715</v>
      </c>
      <c r="M13068" t="s">
        <v>38840</v>
      </c>
      <c r="N13068" t="s">
        <v>40436</v>
      </c>
      <c r="O13068" t="s">
        <v>40437</v>
      </c>
      <c r="Q13068">
        <v>12</v>
      </c>
      <c r="R13068" t="s">
        <v>40483</v>
      </c>
      <c r="S13068" t="s">
        <v>41608</v>
      </c>
      <c r="T13068" t="s">
        <v>42134</v>
      </c>
      <c r="U13068" t="s">
        <v>46910</v>
      </c>
      <c r="W13068" t="s">
        <v>38840</v>
      </c>
      <c r="X13068" t="s">
        <v>40482</v>
      </c>
    </row>
    <row r="13069" spans="1:24">
      <c r="A13069">
        <f>HYPERLINK("https://www.philgeps.gov.ph/GEPSNONPILOT/Tender/SplashBidNoticeAbstractUI.aspx?menuIndex=3&amp;refID=6968920&amp;Result=3","6968920")</f>
        <v>0</v>
      </c>
      <c r="B13069" t="s">
        <v>1282</v>
      </c>
      <c r="C13069" t="s">
        <v>15603</v>
      </c>
      <c r="D13069" t="s">
        <v>16214</v>
      </c>
      <c r="E13069" t="s">
        <v>27647</v>
      </c>
      <c r="F13069" t="s">
        <v>28198</v>
      </c>
      <c r="G13069" t="s">
        <v>28205</v>
      </c>
      <c r="H13069" t="s">
        <v>28214</v>
      </c>
      <c r="I13069" t="s">
        <v>3797</v>
      </c>
      <c r="J13069" t="s">
        <v>29595</v>
      </c>
      <c r="K13069" t="s">
        <v>36737</v>
      </c>
      <c r="M13069" t="s">
        <v>38334</v>
      </c>
      <c r="N13069" t="s">
        <v>40436</v>
      </c>
      <c r="O13069" t="s">
        <v>40437</v>
      </c>
      <c r="Q13069">
        <v>2</v>
      </c>
      <c r="R13069" t="s">
        <v>40484</v>
      </c>
      <c r="S13069" t="s">
        <v>41609</v>
      </c>
      <c r="T13069" t="s">
        <v>42133</v>
      </c>
      <c r="U13069" t="s">
        <v>45498</v>
      </c>
      <c r="V13069" t="s">
        <v>55282</v>
      </c>
      <c r="W13069" t="s">
        <v>38334</v>
      </c>
      <c r="X13069" t="s">
        <v>40490</v>
      </c>
    </row>
    <row r="13070" spans="1:24">
      <c r="A13070">
        <f>HYPERLINK("https://www.philgeps.gov.ph/GEPSNONPILOT/Tender/SplashBidNoticeAbstractUI.aspx?menuIndex=3&amp;refID=7016059&amp;Result=3","7016059")</f>
        <v>0</v>
      </c>
      <c r="B13070" t="s">
        <v>3055</v>
      </c>
      <c r="C13070" t="s">
        <v>15604</v>
      </c>
      <c r="D13070" t="s">
        <v>16208</v>
      </c>
      <c r="E13070" t="s">
        <v>27648</v>
      </c>
      <c r="F13070" t="s">
        <v>28198</v>
      </c>
      <c r="G13070" t="s">
        <v>28205</v>
      </c>
      <c r="H13070" t="s">
        <v>28215</v>
      </c>
      <c r="I13070" t="s">
        <v>28298</v>
      </c>
      <c r="J13070" t="s">
        <v>29113</v>
      </c>
      <c r="K13070" t="s">
        <v>36701</v>
      </c>
      <c r="M13070" t="s">
        <v>40365</v>
      </c>
      <c r="N13070" t="s">
        <v>40436</v>
      </c>
      <c r="O13070" t="s">
        <v>40437</v>
      </c>
      <c r="P13070">
        <v>0</v>
      </c>
      <c r="Q13070">
        <v>10</v>
      </c>
      <c r="R13070" t="s">
        <v>40457</v>
      </c>
      <c r="S13070" t="s">
        <v>41386</v>
      </c>
      <c r="T13070" t="s">
        <v>42177</v>
      </c>
      <c r="U13070" t="s">
        <v>53325</v>
      </c>
      <c r="W13070" t="s">
        <v>40365</v>
      </c>
      <c r="X13070" t="s">
        <v>40458</v>
      </c>
    </row>
    <row r="13071" spans="1:24">
      <c r="A13071">
        <f>HYPERLINK("https://www.philgeps.gov.ph/GEPSNONPILOT/Tender/SplashBidNoticeAbstractUI.aspx?menuIndex=3&amp;refID=6975424&amp;Result=3","6975424")</f>
        <v>0</v>
      </c>
      <c r="B13071" t="s">
        <v>3054</v>
      </c>
      <c r="C13071" t="s">
        <v>15605</v>
      </c>
      <c r="D13071" t="s">
        <v>16209</v>
      </c>
      <c r="E13071" t="s">
        <v>27649</v>
      </c>
      <c r="F13071" t="s">
        <v>28198</v>
      </c>
      <c r="G13071" t="s">
        <v>28205</v>
      </c>
      <c r="H13071" t="s">
        <v>28214</v>
      </c>
      <c r="I13071" t="s">
        <v>3797</v>
      </c>
      <c r="J13071" t="s">
        <v>36337</v>
      </c>
      <c r="K13071" t="s">
        <v>36921</v>
      </c>
      <c r="M13071" t="s">
        <v>40363</v>
      </c>
      <c r="N13071" t="s">
        <v>40436</v>
      </c>
      <c r="O13071" t="s">
        <v>40437</v>
      </c>
      <c r="Q13071">
        <v>1</v>
      </c>
      <c r="R13071" t="s">
        <v>40481</v>
      </c>
      <c r="S13071" t="s">
        <v>41610</v>
      </c>
      <c r="T13071" t="s">
        <v>42103</v>
      </c>
      <c r="U13071" t="s">
        <v>53316</v>
      </c>
      <c r="W13071" t="s">
        <v>40363</v>
      </c>
      <c r="X13071" t="s">
        <v>40485</v>
      </c>
    </row>
    <row r="13072" spans="1:24">
      <c r="A13072">
        <f>HYPERLINK("https://www.philgeps.gov.ph/GEPSNONPILOT/Tender/SplashBidNoticeAbstractUI.aspx?menuIndex=3&amp;refID=6975435&amp;Result=3","6975435")</f>
        <v>0</v>
      </c>
      <c r="B13072" t="s">
        <v>3054</v>
      </c>
      <c r="C13072" t="s">
        <v>15606</v>
      </c>
      <c r="D13072" t="s">
        <v>16209</v>
      </c>
      <c r="E13072" t="s">
        <v>27650</v>
      </c>
      <c r="F13072" t="s">
        <v>28198</v>
      </c>
      <c r="G13072" t="s">
        <v>28205</v>
      </c>
      <c r="H13072" t="s">
        <v>28214</v>
      </c>
      <c r="I13072" t="s">
        <v>3797</v>
      </c>
      <c r="J13072" t="s">
        <v>36338</v>
      </c>
      <c r="K13072" t="s">
        <v>36863</v>
      </c>
      <c r="M13072" t="s">
        <v>40363</v>
      </c>
      <c r="N13072" t="s">
        <v>40436</v>
      </c>
      <c r="O13072" t="s">
        <v>40437</v>
      </c>
      <c r="Q13072">
        <v>1</v>
      </c>
      <c r="R13072" t="s">
        <v>40481</v>
      </c>
      <c r="S13072" t="s">
        <v>41611</v>
      </c>
      <c r="T13072" t="s">
        <v>42103</v>
      </c>
      <c r="U13072" t="s">
        <v>53316</v>
      </c>
      <c r="W13072" t="s">
        <v>40363</v>
      </c>
      <c r="X13072" t="s">
        <v>40485</v>
      </c>
    </row>
    <row r="13073" spans="1:24">
      <c r="A13073">
        <f>HYPERLINK("https://www.philgeps.gov.ph/GEPSNONPILOT/Tender/SplashBidNoticeAbstractUI.aspx?menuIndex=3&amp;refID=6975430&amp;Result=3","6975430")</f>
        <v>0</v>
      </c>
      <c r="B13073" t="s">
        <v>3054</v>
      </c>
      <c r="C13073" t="s">
        <v>15607</v>
      </c>
      <c r="D13073" t="s">
        <v>16209</v>
      </c>
      <c r="E13073" t="s">
        <v>27651</v>
      </c>
      <c r="F13073" t="s">
        <v>28198</v>
      </c>
      <c r="G13073" t="s">
        <v>28205</v>
      </c>
      <c r="H13073" t="s">
        <v>28214</v>
      </c>
      <c r="I13073" t="s">
        <v>3797</v>
      </c>
      <c r="J13073" t="s">
        <v>36339</v>
      </c>
      <c r="K13073" t="s">
        <v>36924</v>
      </c>
      <c r="M13073" t="s">
        <v>40363</v>
      </c>
      <c r="N13073" t="s">
        <v>40436</v>
      </c>
      <c r="O13073" t="s">
        <v>40437</v>
      </c>
      <c r="Q13073">
        <v>1</v>
      </c>
      <c r="R13073" t="s">
        <v>40481</v>
      </c>
      <c r="S13073" t="s">
        <v>41612</v>
      </c>
      <c r="T13073" t="s">
        <v>42103</v>
      </c>
      <c r="U13073" t="s">
        <v>53316</v>
      </c>
      <c r="W13073" t="s">
        <v>40363</v>
      </c>
      <c r="X13073" t="s">
        <v>40485</v>
      </c>
    </row>
    <row r="13074" spans="1:24">
      <c r="A13074">
        <f>HYPERLINK("https://www.philgeps.gov.ph/GEPSNONPILOT/Tender/SplashBidNoticeAbstractUI.aspx?menuIndex=3&amp;refID=6975414&amp;Result=3","6975414")</f>
        <v>0</v>
      </c>
      <c r="B13074" t="s">
        <v>3054</v>
      </c>
      <c r="C13074" t="s">
        <v>15608</v>
      </c>
      <c r="D13074" t="s">
        <v>16209</v>
      </c>
      <c r="E13074" t="s">
        <v>27652</v>
      </c>
      <c r="F13074" t="s">
        <v>28198</v>
      </c>
      <c r="G13074" t="s">
        <v>28205</v>
      </c>
      <c r="H13074" t="s">
        <v>28214</v>
      </c>
      <c r="I13074" t="s">
        <v>3797</v>
      </c>
      <c r="J13074" t="s">
        <v>36340</v>
      </c>
      <c r="K13074" t="s">
        <v>36823</v>
      </c>
      <c r="M13074" t="s">
        <v>40363</v>
      </c>
      <c r="N13074" t="s">
        <v>40436</v>
      </c>
      <c r="O13074" t="s">
        <v>40437</v>
      </c>
      <c r="Q13074">
        <v>3</v>
      </c>
      <c r="R13074" t="s">
        <v>40481</v>
      </c>
      <c r="S13074" t="s">
        <v>41613</v>
      </c>
      <c r="T13074" t="s">
        <v>42103</v>
      </c>
      <c r="U13074" t="s">
        <v>53316</v>
      </c>
      <c r="W13074" t="s">
        <v>40363</v>
      </c>
      <c r="X13074" t="s">
        <v>40485</v>
      </c>
    </row>
    <row r="13075" spans="1:24">
      <c r="A13075">
        <f>HYPERLINK("https://www.philgeps.gov.ph/GEPSNONPILOT/Tender/SplashBidNoticeAbstractUI.aspx?menuIndex=3&amp;refID=6979620&amp;Result=3","6979620")</f>
        <v>0</v>
      </c>
      <c r="B13075" t="s">
        <v>1730</v>
      </c>
      <c r="C13075" t="s">
        <v>15609</v>
      </c>
      <c r="D13075" t="s">
        <v>16210</v>
      </c>
      <c r="E13075" t="s">
        <v>27653</v>
      </c>
      <c r="F13075" t="s">
        <v>28198</v>
      </c>
      <c r="G13075" t="s">
        <v>28205</v>
      </c>
      <c r="H13075" t="s">
        <v>28215</v>
      </c>
      <c r="I13075" t="s">
        <v>28284</v>
      </c>
      <c r="J13075" t="s">
        <v>36341</v>
      </c>
      <c r="K13075" t="s">
        <v>36715</v>
      </c>
      <c r="M13075" t="s">
        <v>38840</v>
      </c>
      <c r="N13075" t="s">
        <v>40436</v>
      </c>
      <c r="O13075" t="s">
        <v>40437</v>
      </c>
      <c r="Q13075">
        <v>8</v>
      </c>
      <c r="R13075" t="s">
        <v>40483</v>
      </c>
      <c r="S13075" t="s">
        <v>41607</v>
      </c>
      <c r="T13075" t="s">
        <v>42133</v>
      </c>
      <c r="U13075" t="s">
        <v>46910</v>
      </c>
      <c r="W13075" t="s">
        <v>38840</v>
      </c>
      <c r="X13075" t="s">
        <v>40482</v>
      </c>
    </row>
    <row r="13076" spans="1:24">
      <c r="A13076">
        <f>HYPERLINK("https://www.philgeps.gov.ph/GEPSNONPILOT/Tender/SplashBidNoticeAbstractUI.aspx?menuIndex=3&amp;refID=6968873&amp;Result=3","6968873")</f>
        <v>0</v>
      </c>
      <c r="B13076" t="s">
        <v>1282</v>
      </c>
      <c r="C13076" t="s">
        <v>15610</v>
      </c>
      <c r="D13076" t="s">
        <v>16214</v>
      </c>
      <c r="E13076" t="s">
        <v>27654</v>
      </c>
      <c r="F13076" t="s">
        <v>28198</v>
      </c>
      <c r="G13076" t="s">
        <v>28205</v>
      </c>
      <c r="H13076" t="s">
        <v>28214</v>
      </c>
      <c r="I13076" t="s">
        <v>3797</v>
      </c>
      <c r="J13076" t="s">
        <v>29632</v>
      </c>
      <c r="K13076" t="s">
        <v>36737</v>
      </c>
      <c r="M13076" t="s">
        <v>38334</v>
      </c>
      <c r="N13076" t="s">
        <v>40436</v>
      </c>
      <c r="O13076" t="s">
        <v>40437</v>
      </c>
      <c r="Q13076">
        <v>3</v>
      </c>
      <c r="R13076" t="s">
        <v>40484</v>
      </c>
      <c r="S13076" t="s">
        <v>41614</v>
      </c>
      <c r="T13076" t="s">
        <v>42133</v>
      </c>
      <c r="U13076" t="s">
        <v>45498</v>
      </c>
      <c r="V13076" t="s">
        <v>55283</v>
      </c>
      <c r="W13076" t="s">
        <v>38334</v>
      </c>
      <c r="X13076" t="s">
        <v>40490</v>
      </c>
    </row>
    <row r="13077" spans="1:24">
      <c r="A13077">
        <f>HYPERLINK("https://www.philgeps.gov.ph/GEPSNONPILOT/Tender/SplashBidNoticeAbstractUI.aspx?menuIndex=3&amp;refID=7016035&amp;Result=3","7016035")</f>
        <v>0</v>
      </c>
      <c r="B13077" t="s">
        <v>216</v>
      </c>
      <c r="C13077" t="s">
        <v>15611</v>
      </c>
      <c r="E13077" t="s">
        <v>27655</v>
      </c>
      <c r="F13077" t="s">
        <v>28198</v>
      </c>
      <c r="G13077" t="s">
        <v>28205</v>
      </c>
      <c r="H13077" t="s">
        <v>28215</v>
      </c>
      <c r="I13077" t="s">
        <v>28316</v>
      </c>
      <c r="J13077" t="s">
        <v>36342</v>
      </c>
      <c r="K13077" t="s">
        <v>36735</v>
      </c>
      <c r="M13077" t="s">
        <v>40307</v>
      </c>
      <c r="N13077" t="s">
        <v>40436</v>
      </c>
      <c r="O13077" t="s">
        <v>40437</v>
      </c>
      <c r="Q13077">
        <v>14</v>
      </c>
      <c r="R13077" t="s">
        <v>40457</v>
      </c>
      <c r="S13077" t="s">
        <v>41615</v>
      </c>
      <c r="T13077" t="s">
        <v>42163</v>
      </c>
      <c r="U13077" t="s">
        <v>52984</v>
      </c>
      <c r="W13077" t="s">
        <v>40307</v>
      </c>
      <c r="X13077" t="s">
        <v>40458</v>
      </c>
    </row>
    <row r="13078" spans="1:24">
      <c r="A13078">
        <f>HYPERLINK("https://www.philgeps.gov.ph/GEPSNONPILOT/Tender/SplashBidNoticeAbstractUI.aspx?menuIndex=3&amp;refID=6979396&amp;Result=3","6979396")</f>
        <v>0</v>
      </c>
      <c r="B13078" t="s">
        <v>3056</v>
      </c>
      <c r="C13078" t="s">
        <v>15612</v>
      </c>
      <c r="D13078" t="s">
        <v>16200</v>
      </c>
      <c r="E13078" t="s">
        <v>27656</v>
      </c>
      <c r="F13078" t="s">
        <v>28198</v>
      </c>
      <c r="G13078" t="s">
        <v>28207</v>
      </c>
      <c r="H13078" t="s">
        <v>28214</v>
      </c>
      <c r="I13078" t="s">
        <v>28260</v>
      </c>
      <c r="J13078" t="s">
        <v>36343</v>
      </c>
      <c r="K13078" t="s">
        <v>36711</v>
      </c>
      <c r="M13078" t="s">
        <v>40366</v>
      </c>
      <c r="N13078" t="s">
        <v>40436</v>
      </c>
      <c r="O13078" t="s">
        <v>40437</v>
      </c>
      <c r="Q13078">
        <v>0</v>
      </c>
      <c r="R13078" t="s">
        <v>40483</v>
      </c>
      <c r="S13078" t="s">
        <v>41616</v>
      </c>
      <c r="T13078" t="s">
        <v>42194</v>
      </c>
      <c r="U13078" t="s">
        <v>53326</v>
      </c>
      <c r="W13078" t="s">
        <v>40366</v>
      </c>
      <c r="X13078" t="s">
        <v>40482</v>
      </c>
    </row>
    <row r="13079" spans="1:24">
      <c r="A13079">
        <f>HYPERLINK("https://www.philgeps.gov.ph/GEPSNONPILOT/Tender/SplashBidNoticeAbstractUI.aspx?menuIndex=3&amp;refID=7016037&amp;Result=3","7016037")</f>
        <v>0</v>
      </c>
      <c r="B13079" t="s">
        <v>1225</v>
      </c>
      <c r="C13079" t="s">
        <v>15613</v>
      </c>
      <c r="D13079" t="s">
        <v>16236</v>
      </c>
      <c r="E13079" t="s">
        <v>27657</v>
      </c>
      <c r="F13079" t="s">
        <v>28198</v>
      </c>
      <c r="G13079" t="s">
        <v>28205</v>
      </c>
      <c r="H13079" t="s">
        <v>28215</v>
      </c>
      <c r="I13079" t="s">
        <v>28274</v>
      </c>
      <c r="J13079" t="s">
        <v>28398</v>
      </c>
      <c r="K13079" t="s">
        <v>36697</v>
      </c>
      <c r="M13079" t="s">
        <v>38273</v>
      </c>
      <c r="N13079" t="s">
        <v>40436</v>
      </c>
      <c r="O13079" t="s">
        <v>40437</v>
      </c>
      <c r="P13079">
        <v>0</v>
      </c>
      <c r="Q13079">
        <v>0</v>
      </c>
      <c r="R13079" t="s">
        <v>40457</v>
      </c>
      <c r="S13079" t="s">
        <v>41386</v>
      </c>
      <c r="T13079" t="s">
        <v>42129</v>
      </c>
      <c r="U13079" t="s">
        <v>53327</v>
      </c>
      <c r="V13079" t="s">
        <v>55284</v>
      </c>
      <c r="W13079" t="s">
        <v>38273</v>
      </c>
      <c r="X13079" t="s">
        <v>40458</v>
      </c>
    </row>
    <row r="13080" spans="1:24">
      <c r="A13080">
        <f>HYPERLINK("https://www.philgeps.gov.ph/GEPSNONPILOT/Tender/SplashBidNoticeAbstractUI.aspx?menuIndex=3&amp;refID=6979366&amp;Result=3","6979366")</f>
        <v>0</v>
      </c>
      <c r="B13080" t="s">
        <v>590</v>
      </c>
      <c r="C13080" t="s">
        <v>15614</v>
      </c>
      <c r="D13080" t="s">
        <v>16210</v>
      </c>
      <c r="E13080" t="s">
        <v>27658</v>
      </c>
      <c r="F13080" t="s">
        <v>28198</v>
      </c>
      <c r="G13080" t="s">
        <v>28205</v>
      </c>
      <c r="H13080" t="s">
        <v>28215</v>
      </c>
      <c r="I13080" t="s">
        <v>28234</v>
      </c>
      <c r="J13080" t="s">
        <v>36344</v>
      </c>
      <c r="K13080" t="s">
        <v>36701</v>
      </c>
      <c r="M13080" t="s">
        <v>40367</v>
      </c>
      <c r="N13080" t="s">
        <v>40436</v>
      </c>
      <c r="O13080" t="s">
        <v>40437</v>
      </c>
      <c r="Q13080">
        <v>23</v>
      </c>
      <c r="R13080" t="s">
        <v>40483</v>
      </c>
      <c r="S13080" t="s">
        <v>41617</v>
      </c>
      <c r="T13080" t="s">
        <v>42598</v>
      </c>
      <c r="U13080" t="s">
        <v>53328</v>
      </c>
      <c r="W13080" t="s">
        <v>40367</v>
      </c>
      <c r="X13080" t="s">
        <v>40482</v>
      </c>
    </row>
    <row r="13081" spans="1:24">
      <c r="A13081">
        <f>HYPERLINK("https://www.philgeps.gov.ph/GEPSNONPILOT/Tender/SplashBidNoticeAbstractUI.aspx?menuIndex=3&amp;refID=7016049&amp;Result=3","7016049")</f>
        <v>0</v>
      </c>
      <c r="B13081" t="s">
        <v>1585</v>
      </c>
      <c r="C13081" t="s">
        <v>15615</v>
      </c>
      <c r="D13081" t="s">
        <v>16208</v>
      </c>
      <c r="E13081" t="s">
        <v>27659</v>
      </c>
      <c r="F13081" t="s">
        <v>28198</v>
      </c>
      <c r="G13081" t="s">
        <v>28205</v>
      </c>
      <c r="H13081" t="s">
        <v>28214</v>
      </c>
      <c r="I13081" t="s">
        <v>3797</v>
      </c>
      <c r="J13081" t="s">
        <v>28363</v>
      </c>
      <c r="K13081" t="s">
        <v>36789</v>
      </c>
      <c r="M13081" t="s">
        <v>38670</v>
      </c>
      <c r="N13081" t="s">
        <v>40436</v>
      </c>
      <c r="O13081" t="s">
        <v>40437</v>
      </c>
      <c r="Q13081">
        <v>0</v>
      </c>
      <c r="R13081" t="s">
        <v>40457</v>
      </c>
      <c r="S13081" t="s">
        <v>41618</v>
      </c>
      <c r="T13081" t="s">
        <v>42205</v>
      </c>
      <c r="U13081" t="s">
        <v>52991</v>
      </c>
      <c r="W13081" t="s">
        <v>38670</v>
      </c>
      <c r="X13081" t="s">
        <v>40458</v>
      </c>
    </row>
    <row r="13082" spans="1:24">
      <c r="A13082">
        <f>HYPERLINK("https://www.philgeps.gov.ph/GEPSNONPILOT/Tender/SplashBidNoticeAbstractUI.aspx?menuIndex=3&amp;refID=6974036&amp;Result=3","6974036")</f>
        <v>0</v>
      </c>
      <c r="B13082" t="s">
        <v>2059</v>
      </c>
      <c r="C13082" t="s">
        <v>15616</v>
      </c>
      <c r="D13082" t="s">
        <v>16196</v>
      </c>
      <c r="E13082" t="s">
        <v>27660</v>
      </c>
      <c r="F13082" t="s">
        <v>28198</v>
      </c>
      <c r="G13082" t="s">
        <v>28210</v>
      </c>
      <c r="H13082" t="s">
        <v>28215</v>
      </c>
      <c r="I13082" t="s">
        <v>5082</v>
      </c>
      <c r="J13082" t="s">
        <v>28414</v>
      </c>
      <c r="K13082" t="s">
        <v>36687</v>
      </c>
      <c r="M13082" t="s">
        <v>39207</v>
      </c>
      <c r="N13082" t="s">
        <v>40436</v>
      </c>
      <c r="O13082" t="s">
        <v>40437</v>
      </c>
      <c r="Q13082">
        <v>2</v>
      </c>
      <c r="R13082" t="s">
        <v>40485</v>
      </c>
      <c r="S13082" t="s">
        <v>41581</v>
      </c>
      <c r="T13082" t="s">
        <v>42279</v>
      </c>
      <c r="U13082" t="s">
        <v>53329</v>
      </c>
      <c r="W13082" t="s">
        <v>39207</v>
      </c>
      <c r="X13082" t="s">
        <v>40486</v>
      </c>
    </row>
    <row r="13083" spans="1:24">
      <c r="A13083">
        <f>HYPERLINK("https://www.philgeps.gov.ph/GEPSNONPILOT/Tender/SplashBidNoticeAbstractUI.aspx?menuIndex=3&amp;refID=6972583&amp;Result=3","6972583")</f>
        <v>0</v>
      </c>
      <c r="B13083" t="s">
        <v>2947</v>
      </c>
      <c r="C13083" t="s">
        <v>15617</v>
      </c>
      <c r="D13083" t="s">
        <v>16188</v>
      </c>
      <c r="E13083" t="s">
        <v>27661</v>
      </c>
      <c r="F13083" t="s">
        <v>28198</v>
      </c>
      <c r="G13083" t="s">
        <v>28205</v>
      </c>
      <c r="H13083" t="s">
        <v>28214</v>
      </c>
      <c r="I13083" t="s">
        <v>3797</v>
      </c>
      <c r="J13083" t="s">
        <v>31934</v>
      </c>
      <c r="K13083" t="s">
        <v>36689</v>
      </c>
      <c r="L13083" t="s">
        <v>2947</v>
      </c>
      <c r="M13083" t="s">
        <v>40232</v>
      </c>
      <c r="N13083" t="s">
        <v>40436</v>
      </c>
      <c r="O13083" t="s">
        <v>40437</v>
      </c>
      <c r="Q13083">
        <v>0</v>
      </c>
      <c r="R13083" t="s">
        <v>40486</v>
      </c>
      <c r="S13083" t="s">
        <v>41619</v>
      </c>
      <c r="T13083" t="s">
        <v>42455</v>
      </c>
      <c r="U13083" t="s">
        <v>53330</v>
      </c>
      <c r="V13083" t="s">
        <v>55147</v>
      </c>
      <c r="W13083" t="s">
        <v>40232</v>
      </c>
      <c r="X13083" t="s">
        <v>40488</v>
      </c>
    </row>
    <row r="13084" spans="1:24">
      <c r="A13084">
        <f>HYPERLINK("https://www.philgeps.gov.ph/GEPSNONPILOT/Tender/SplashBidNoticeAbstractUI.aspx?menuIndex=3&amp;refID=7016048&amp;Result=3","7016048")</f>
        <v>0</v>
      </c>
      <c r="B13084" t="s">
        <v>305</v>
      </c>
      <c r="C13084" t="s">
        <v>15618</v>
      </c>
      <c r="D13084" t="s">
        <v>16197</v>
      </c>
      <c r="E13084" t="s">
        <v>27662</v>
      </c>
      <c r="F13084" t="s">
        <v>28198</v>
      </c>
      <c r="G13084" t="s">
        <v>28205</v>
      </c>
      <c r="H13084" t="s">
        <v>28215</v>
      </c>
      <c r="I13084" t="s">
        <v>28222</v>
      </c>
      <c r="J13084" t="s">
        <v>28818</v>
      </c>
      <c r="K13084" t="s">
        <v>36701</v>
      </c>
      <c r="M13084" t="s">
        <v>37282</v>
      </c>
      <c r="N13084" t="s">
        <v>40436</v>
      </c>
      <c r="O13084" t="s">
        <v>40437</v>
      </c>
      <c r="P13084">
        <v>0</v>
      </c>
      <c r="Q13084">
        <v>4</v>
      </c>
      <c r="R13084" t="s">
        <v>40457</v>
      </c>
      <c r="S13084" t="s">
        <v>41386</v>
      </c>
      <c r="T13084" t="s">
        <v>42233</v>
      </c>
      <c r="U13084" t="s">
        <v>43102</v>
      </c>
      <c r="W13084" t="s">
        <v>37282</v>
      </c>
      <c r="X13084" t="s">
        <v>40458</v>
      </c>
    </row>
    <row r="13085" spans="1:24">
      <c r="A13085">
        <f>HYPERLINK("https://www.philgeps.gov.ph/GEPSNONPILOT/Tender/SplashBidNoticeAbstractUI.aspx?menuIndex=3&amp;refID=6972562&amp;Result=3","6972562")</f>
        <v>0</v>
      </c>
      <c r="B13085" t="s">
        <v>2947</v>
      </c>
      <c r="C13085" t="s">
        <v>15619</v>
      </c>
      <c r="D13085" t="s">
        <v>16188</v>
      </c>
      <c r="E13085" t="s">
        <v>27663</v>
      </c>
      <c r="F13085" t="s">
        <v>28198</v>
      </c>
      <c r="G13085" t="s">
        <v>28205</v>
      </c>
      <c r="H13085" t="s">
        <v>28214</v>
      </c>
      <c r="I13085" t="s">
        <v>3797</v>
      </c>
      <c r="J13085" t="s">
        <v>29325</v>
      </c>
      <c r="K13085" t="s">
        <v>36689</v>
      </c>
      <c r="L13085" t="s">
        <v>2947</v>
      </c>
      <c r="M13085" t="s">
        <v>40232</v>
      </c>
      <c r="N13085" t="s">
        <v>40436</v>
      </c>
      <c r="O13085" t="s">
        <v>40437</v>
      </c>
      <c r="Q13085">
        <v>0</v>
      </c>
      <c r="R13085" t="s">
        <v>40486</v>
      </c>
      <c r="S13085" t="s">
        <v>41620</v>
      </c>
      <c r="T13085" t="s">
        <v>42233</v>
      </c>
      <c r="U13085" t="s">
        <v>53330</v>
      </c>
      <c r="V13085" t="s">
        <v>55147</v>
      </c>
      <c r="W13085" t="s">
        <v>40232</v>
      </c>
      <c r="X13085" t="s">
        <v>40488</v>
      </c>
    </row>
    <row r="13086" spans="1:24">
      <c r="A13086">
        <f>HYPERLINK("https://www.philgeps.gov.ph/GEPSNONPILOT/Tender/SplashBidNoticeAbstractUI.aspx?menuIndex=3&amp;refID=6974224&amp;Result=3","6974224")</f>
        <v>0</v>
      </c>
      <c r="B13086" t="s">
        <v>2157</v>
      </c>
      <c r="C13086" t="s">
        <v>15620</v>
      </c>
      <c r="D13086" t="s">
        <v>16204</v>
      </c>
      <c r="E13086" t="s">
        <v>27664</v>
      </c>
      <c r="F13086" t="s">
        <v>28198</v>
      </c>
      <c r="G13086" t="s">
        <v>28205</v>
      </c>
      <c r="H13086" t="s">
        <v>28214</v>
      </c>
      <c r="I13086" t="s">
        <v>3797</v>
      </c>
      <c r="J13086" t="s">
        <v>36345</v>
      </c>
      <c r="K13086" t="s">
        <v>36829</v>
      </c>
      <c r="M13086" t="s">
        <v>39314</v>
      </c>
      <c r="N13086" t="s">
        <v>40436</v>
      </c>
      <c r="O13086" t="s">
        <v>40437</v>
      </c>
      <c r="Q13086">
        <v>17</v>
      </c>
      <c r="R13086" t="s">
        <v>40485</v>
      </c>
      <c r="S13086" t="s">
        <v>41621</v>
      </c>
      <c r="T13086" t="s">
        <v>42103</v>
      </c>
      <c r="U13086" t="s">
        <v>53331</v>
      </c>
      <c r="V13086" t="s">
        <v>54495</v>
      </c>
      <c r="W13086" t="s">
        <v>39314</v>
      </c>
      <c r="X13086" t="s">
        <v>40486</v>
      </c>
    </row>
    <row r="13087" spans="1:24">
      <c r="A13087">
        <f>HYPERLINK("https://www.philgeps.gov.ph/GEPSNONPILOT/Tender/SplashBidNoticeAbstractUI.aspx?menuIndex=3&amp;refID=6974141&amp;Result=3","6974141")</f>
        <v>0</v>
      </c>
      <c r="B13087" t="s">
        <v>2157</v>
      </c>
      <c r="C13087" t="s">
        <v>15621</v>
      </c>
      <c r="D13087" t="s">
        <v>16204</v>
      </c>
      <c r="E13087" t="s">
        <v>27665</v>
      </c>
      <c r="F13087" t="s">
        <v>28198</v>
      </c>
      <c r="G13087" t="s">
        <v>28205</v>
      </c>
      <c r="H13087" t="s">
        <v>28214</v>
      </c>
      <c r="I13087" t="s">
        <v>3797</v>
      </c>
      <c r="J13087" t="s">
        <v>36346</v>
      </c>
      <c r="K13087" t="s">
        <v>36829</v>
      </c>
      <c r="M13087" t="s">
        <v>39314</v>
      </c>
      <c r="N13087" t="s">
        <v>40436</v>
      </c>
      <c r="O13087" t="s">
        <v>40437</v>
      </c>
      <c r="Q13087">
        <v>15</v>
      </c>
      <c r="R13087" t="s">
        <v>40485</v>
      </c>
      <c r="S13087" t="s">
        <v>41622</v>
      </c>
      <c r="T13087" t="s">
        <v>42103</v>
      </c>
      <c r="U13087" t="s">
        <v>53332</v>
      </c>
      <c r="V13087" t="s">
        <v>54495</v>
      </c>
      <c r="W13087" t="s">
        <v>39314</v>
      </c>
      <c r="X13087" t="s">
        <v>40486</v>
      </c>
    </row>
    <row r="13088" spans="1:24">
      <c r="A13088">
        <f>HYPERLINK("https://www.philgeps.gov.ph/GEPSNONPILOT/Tender/SplashBidNoticeAbstractUI.aspx?menuIndex=3&amp;refID=6972608&amp;Result=3","6972608")</f>
        <v>0</v>
      </c>
      <c r="B13088" t="s">
        <v>2947</v>
      </c>
      <c r="C13088" t="s">
        <v>15622</v>
      </c>
      <c r="D13088" t="s">
        <v>16188</v>
      </c>
      <c r="E13088" t="s">
        <v>27666</v>
      </c>
      <c r="F13088" t="s">
        <v>28198</v>
      </c>
      <c r="G13088" t="s">
        <v>28205</v>
      </c>
      <c r="H13088" t="s">
        <v>28214</v>
      </c>
      <c r="I13088" t="s">
        <v>3797</v>
      </c>
      <c r="J13088" t="s">
        <v>34249</v>
      </c>
      <c r="K13088" t="s">
        <v>36689</v>
      </c>
      <c r="L13088" t="s">
        <v>2947</v>
      </c>
      <c r="M13088" t="s">
        <v>40232</v>
      </c>
      <c r="N13088" t="s">
        <v>40436</v>
      </c>
      <c r="O13088" t="s">
        <v>40437</v>
      </c>
      <c r="Q13088">
        <v>0</v>
      </c>
      <c r="R13088" t="s">
        <v>40486</v>
      </c>
      <c r="S13088" t="s">
        <v>41623</v>
      </c>
      <c r="T13088" t="s">
        <v>42233</v>
      </c>
      <c r="U13088" t="s">
        <v>53330</v>
      </c>
      <c r="V13088" t="s">
        <v>55147</v>
      </c>
      <c r="W13088" t="s">
        <v>40232</v>
      </c>
      <c r="X13088" t="s">
        <v>40488</v>
      </c>
    </row>
    <row r="13089" spans="1:24">
      <c r="A13089">
        <f>HYPERLINK("https://www.philgeps.gov.ph/GEPSNONPILOT/Tender/SplashBidNoticeAbstractUI.aspx?menuIndex=3&amp;refID=6972264&amp;Result=3","6972264")</f>
        <v>0</v>
      </c>
      <c r="B13089" t="s">
        <v>2947</v>
      </c>
      <c r="C13089" t="s">
        <v>15623</v>
      </c>
      <c r="D13089" t="s">
        <v>16188</v>
      </c>
      <c r="E13089" t="s">
        <v>27667</v>
      </c>
      <c r="F13089" t="s">
        <v>28198</v>
      </c>
      <c r="G13089" t="s">
        <v>28205</v>
      </c>
      <c r="H13089" t="s">
        <v>28214</v>
      </c>
      <c r="I13089" t="s">
        <v>3797</v>
      </c>
      <c r="J13089" t="s">
        <v>29526</v>
      </c>
      <c r="K13089" t="s">
        <v>36689</v>
      </c>
      <c r="L13089" t="s">
        <v>2947</v>
      </c>
      <c r="M13089" t="s">
        <v>40232</v>
      </c>
      <c r="N13089" t="s">
        <v>40436</v>
      </c>
      <c r="O13089" t="s">
        <v>40437</v>
      </c>
      <c r="Q13089">
        <v>1</v>
      </c>
      <c r="R13089" t="s">
        <v>40486</v>
      </c>
      <c r="S13089" t="s">
        <v>41624</v>
      </c>
      <c r="T13089" t="s">
        <v>42188</v>
      </c>
      <c r="U13089" t="s">
        <v>53333</v>
      </c>
      <c r="V13089" t="s">
        <v>55147</v>
      </c>
      <c r="W13089" t="s">
        <v>40232</v>
      </c>
      <c r="X13089" t="s">
        <v>40488</v>
      </c>
    </row>
    <row r="13090" spans="1:24">
      <c r="A13090">
        <f>HYPERLINK("https://www.philgeps.gov.ph/GEPSNONPILOT/Tender/SplashBidNoticeAbstractUI.aspx?menuIndex=3&amp;refID=6974098&amp;Result=3","6974098")</f>
        <v>0</v>
      </c>
      <c r="B13090" t="s">
        <v>2059</v>
      </c>
      <c r="C13090" t="s">
        <v>15624</v>
      </c>
      <c r="D13090" t="s">
        <v>16215</v>
      </c>
      <c r="E13090" t="s">
        <v>27668</v>
      </c>
      <c r="F13090" t="s">
        <v>28198</v>
      </c>
      <c r="G13090" t="s">
        <v>28207</v>
      </c>
      <c r="H13090" t="s">
        <v>28215</v>
      </c>
      <c r="I13090" t="s">
        <v>28246</v>
      </c>
      <c r="J13090" t="s">
        <v>28486</v>
      </c>
      <c r="K13090" t="s">
        <v>36701</v>
      </c>
      <c r="M13090" t="s">
        <v>39207</v>
      </c>
      <c r="N13090" t="s">
        <v>40436</v>
      </c>
      <c r="O13090" t="s">
        <v>40437</v>
      </c>
      <c r="Q13090">
        <v>0</v>
      </c>
      <c r="R13090" t="s">
        <v>40485</v>
      </c>
      <c r="S13090" t="s">
        <v>41625</v>
      </c>
      <c r="T13090" t="s">
        <v>42103</v>
      </c>
      <c r="U13090" t="s">
        <v>53334</v>
      </c>
      <c r="W13090" t="s">
        <v>39207</v>
      </c>
      <c r="X13090" t="s">
        <v>40486</v>
      </c>
    </row>
    <row r="13091" spans="1:24">
      <c r="A13091">
        <f>HYPERLINK("https://www.philgeps.gov.ph/GEPSNONPILOT/Tender/SplashBidNoticeAbstractUI.aspx?menuIndex=3&amp;refID=6972105&amp;Result=3","6972105")</f>
        <v>0</v>
      </c>
      <c r="B13091" t="s">
        <v>3056</v>
      </c>
      <c r="C13091" t="s">
        <v>15625</v>
      </c>
      <c r="D13091" t="s">
        <v>16200</v>
      </c>
      <c r="E13091" t="s">
        <v>27669</v>
      </c>
      <c r="F13091" t="s">
        <v>28198</v>
      </c>
      <c r="G13091" t="s">
        <v>28207</v>
      </c>
      <c r="H13091" t="s">
        <v>28214</v>
      </c>
      <c r="I13091" t="s">
        <v>3797</v>
      </c>
      <c r="J13091" t="s">
        <v>36347</v>
      </c>
      <c r="K13091" t="s">
        <v>36701</v>
      </c>
      <c r="M13091" t="s">
        <v>40366</v>
      </c>
      <c r="N13091" t="s">
        <v>40436</v>
      </c>
      <c r="O13091" t="s">
        <v>40437</v>
      </c>
      <c r="Q13091">
        <v>1</v>
      </c>
      <c r="R13091" t="s">
        <v>40486</v>
      </c>
      <c r="S13091" t="s">
        <v>41626</v>
      </c>
      <c r="T13091" t="s">
        <v>42399</v>
      </c>
      <c r="U13091" t="s">
        <v>53335</v>
      </c>
      <c r="W13091" t="s">
        <v>40366</v>
      </c>
      <c r="X13091" t="s">
        <v>40488</v>
      </c>
    </row>
    <row r="13092" spans="1:24">
      <c r="A13092">
        <f>HYPERLINK("https://www.philgeps.gov.ph/GEPSNONPILOT/Tender/SplashBidNoticeAbstractUI.aspx?menuIndex=3&amp;refID=6972592&amp;Result=3","6972592")</f>
        <v>0</v>
      </c>
      <c r="B13092" t="s">
        <v>2947</v>
      </c>
      <c r="C13092" t="s">
        <v>15626</v>
      </c>
      <c r="D13092" t="s">
        <v>16188</v>
      </c>
      <c r="E13092" t="s">
        <v>27670</v>
      </c>
      <c r="F13092" t="s">
        <v>28198</v>
      </c>
      <c r="G13092" t="s">
        <v>28205</v>
      </c>
      <c r="H13092" t="s">
        <v>28214</v>
      </c>
      <c r="I13092" t="s">
        <v>3797</v>
      </c>
      <c r="J13092" t="s">
        <v>31934</v>
      </c>
      <c r="K13092" t="s">
        <v>36689</v>
      </c>
      <c r="L13092" t="s">
        <v>2947</v>
      </c>
      <c r="M13092" t="s">
        <v>40232</v>
      </c>
      <c r="N13092" t="s">
        <v>40436</v>
      </c>
      <c r="O13092" t="s">
        <v>40437</v>
      </c>
      <c r="Q13092">
        <v>0</v>
      </c>
      <c r="R13092" t="s">
        <v>40486</v>
      </c>
      <c r="S13092" t="s">
        <v>41627</v>
      </c>
      <c r="T13092" t="s">
        <v>42233</v>
      </c>
      <c r="U13092" t="s">
        <v>53330</v>
      </c>
      <c r="V13092" t="s">
        <v>55147</v>
      </c>
      <c r="W13092" t="s">
        <v>40232</v>
      </c>
      <c r="X13092" t="s">
        <v>40488</v>
      </c>
    </row>
    <row r="13093" spans="1:24">
      <c r="A13093">
        <f>HYPERLINK("https://www.philgeps.gov.ph/GEPSNONPILOT/Tender/SplashBidNoticeAbstractUI.aspx?menuIndex=3&amp;refID=6975130&amp;Result=3","6975130")</f>
        <v>0</v>
      </c>
      <c r="B13093" t="s">
        <v>2059</v>
      </c>
      <c r="C13093" t="s">
        <v>15627</v>
      </c>
      <c r="D13093" t="s">
        <v>16196</v>
      </c>
      <c r="E13093" t="s">
        <v>27671</v>
      </c>
      <c r="F13093" t="s">
        <v>28198</v>
      </c>
      <c r="G13093" t="s">
        <v>28210</v>
      </c>
      <c r="H13093" t="s">
        <v>28215</v>
      </c>
      <c r="I13093" t="s">
        <v>4219</v>
      </c>
      <c r="J13093" t="s">
        <v>36348</v>
      </c>
      <c r="K13093" t="s">
        <v>36707</v>
      </c>
      <c r="M13093" t="s">
        <v>39207</v>
      </c>
      <c r="N13093" t="s">
        <v>40436</v>
      </c>
      <c r="O13093" t="s">
        <v>40437</v>
      </c>
      <c r="Q13093">
        <v>2</v>
      </c>
      <c r="R13093" t="s">
        <v>40487</v>
      </c>
      <c r="S13093" t="s">
        <v>41628</v>
      </c>
      <c r="T13093" t="s">
        <v>42279</v>
      </c>
      <c r="U13093" t="s">
        <v>53336</v>
      </c>
      <c r="W13093" t="s">
        <v>39207</v>
      </c>
      <c r="X13093" t="s">
        <v>40485</v>
      </c>
    </row>
    <row r="13094" spans="1:24">
      <c r="A13094">
        <f>HYPERLINK("https://www.philgeps.gov.ph/GEPSNONPILOT/Tender/SplashBidNoticeAbstractUI.aspx?menuIndex=3&amp;refID=6972331&amp;Result=3","6972331")</f>
        <v>0</v>
      </c>
      <c r="B13094" t="s">
        <v>2947</v>
      </c>
      <c r="C13094" t="s">
        <v>15628</v>
      </c>
      <c r="D13094" t="s">
        <v>16188</v>
      </c>
      <c r="E13094" t="s">
        <v>27672</v>
      </c>
      <c r="F13094" t="s">
        <v>28198</v>
      </c>
      <c r="G13094" t="s">
        <v>28205</v>
      </c>
      <c r="H13094" t="s">
        <v>28214</v>
      </c>
      <c r="I13094" t="s">
        <v>3797</v>
      </c>
      <c r="J13094" t="s">
        <v>29526</v>
      </c>
      <c r="K13094" t="s">
        <v>36689</v>
      </c>
      <c r="L13094" t="s">
        <v>2947</v>
      </c>
      <c r="M13094" t="s">
        <v>40232</v>
      </c>
      <c r="N13094" t="s">
        <v>40436</v>
      </c>
      <c r="O13094" t="s">
        <v>40437</v>
      </c>
      <c r="Q13094">
        <v>0</v>
      </c>
      <c r="R13094" t="s">
        <v>40486</v>
      </c>
      <c r="S13094" t="s">
        <v>41629</v>
      </c>
      <c r="T13094" t="s">
        <v>42188</v>
      </c>
      <c r="U13094" t="s">
        <v>53333</v>
      </c>
      <c r="V13094" t="s">
        <v>55147</v>
      </c>
      <c r="W13094" t="s">
        <v>40232</v>
      </c>
      <c r="X13094" t="s">
        <v>40488</v>
      </c>
    </row>
    <row r="13095" spans="1:24">
      <c r="A13095">
        <f>HYPERLINK("https://www.philgeps.gov.ph/GEPSNONPILOT/Tender/SplashBidNoticeAbstractUI.aspx?menuIndex=3&amp;refID=7016026&amp;Result=3","7016026")</f>
        <v>0</v>
      </c>
      <c r="B13095" t="s">
        <v>2294</v>
      </c>
      <c r="C13095" t="s">
        <v>15629</v>
      </c>
      <c r="D13095" t="s">
        <v>16262</v>
      </c>
      <c r="E13095" t="s">
        <v>27673</v>
      </c>
      <c r="F13095" t="s">
        <v>28198</v>
      </c>
      <c r="G13095" t="s">
        <v>28205</v>
      </c>
      <c r="H13095" t="s">
        <v>28214</v>
      </c>
      <c r="I13095" t="s">
        <v>3797</v>
      </c>
      <c r="J13095" t="s">
        <v>36349</v>
      </c>
      <c r="K13095" t="s">
        <v>36694</v>
      </c>
      <c r="M13095" t="s">
        <v>39469</v>
      </c>
      <c r="N13095" t="s">
        <v>40436</v>
      </c>
      <c r="O13095" t="s">
        <v>40437</v>
      </c>
      <c r="Q13095">
        <v>0</v>
      </c>
      <c r="R13095" t="s">
        <v>40457</v>
      </c>
      <c r="S13095" t="s">
        <v>41630</v>
      </c>
      <c r="T13095" t="s">
        <v>42158</v>
      </c>
      <c r="U13095" t="s">
        <v>53337</v>
      </c>
      <c r="V13095" t="s">
        <v>55285</v>
      </c>
      <c r="W13095" t="s">
        <v>39469</v>
      </c>
      <c r="X13095" t="s">
        <v>40458</v>
      </c>
    </row>
    <row r="13096" spans="1:24">
      <c r="A13096">
        <f>HYPERLINK("https://www.philgeps.gov.ph/GEPSNONPILOT/Tender/SplashBidNoticeAbstractUI.aspx?menuIndex=3&amp;refID=6973057&amp;Result=3","6973057")</f>
        <v>0</v>
      </c>
      <c r="B13096" t="s">
        <v>2059</v>
      </c>
      <c r="C13096" t="s">
        <v>15630</v>
      </c>
      <c r="D13096" t="s">
        <v>16196</v>
      </c>
      <c r="E13096" t="s">
        <v>27674</v>
      </c>
      <c r="F13096" t="s">
        <v>28198</v>
      </c>
      <c r="G13096" t="s">
        <v>28210</v>
      </c>
      <c r="H13096" t="s">
        <v>28215</v>
      </c>
      <c r="I13096" t="s">
        <v>4219</v>
      </c>
      <c r="J13096" t="s">
        <v>33696</v>
      </c>
      <c r="K13096" t="s">
        <v>36707</v>
      </c>
      <c r="M13096" t="s">
        <v>39207</v>
      </c>
      <c r="N13096" t="s">
        <v>40436</v>
      </c>
      <c r="O13096" t="s">
        <v>40437</v>
      </c>
      <c r="Q13096">
        <v>4</v>
      </c>
      <c r="R13096" t="s">
        <v>40485</v>
      </c>
      <c r="S13096" t="s">
        <v>41631</v>
      </c>
      <c r="T13096" t="s">
        <v>42279</v>
      </c>
      <c r="U13096" t="s">
        <v>53338</v>
      </c>
      <c r="W13096" t="s">
        <v>39207</v>
      </c>
      <c r="X13096" t="s">
        <v>40486</v>
      </c>
    </row>
    <row r="13097" spans="1:24">
      <c r="A13097">
        <f>HYPERLINK("https://www.philgeps.gov.ph/GEPSNONPILOT/Tender/SplashBidNoticeAbstractUI.aspx?menuIndex=3&amp;refID=6974544&amp;Result=3","6974544")</f>
        <v>0</v>
      </c>
      <c r="B13097" t="s">
        <v>2059</v>
      </c>
      <c r="C13097" t="s">
        <v>15631</v>
      </c>
      <c r="D13097" t="s">
        <v>16204</v>
      </c>
      <c r="E13097" t="s">
        <v>27675</v>
      </c>
      <c r="F13097" t="s">
        <v>28198</v>
      </c>
      <c r="G13097" t="s">
        <v>28210</v>
      </c>
      <c r="H13097" t="s">
        <v>28215</v>
      </c>
      <c r="I13097" t="s">
        <v>28227</v>
      </c>
      <c r="J13097" t="s">
        <v>36350</v>
      </c>
      <c r="K13097" t="s">
        <v>36707</v>
      </c>
      <c r="M13097" t="s">
        <v>39207</v>
      </c>
      <c r="N13097" t="s">
        <v>40436</v>
      </c>
      <c r="O13097" t="s">
        <v>40437</v>
      </c>
      <c r="Q13097">
        <v>2</v>
      </c>
      <c r="R13097" t="s">
        <v>40485</v>
      </c>
      <c r="S13097" t="s">
        <v>40842</v>
      </c>
      <c r="T13097" t="s">
        <v>42103</v>
      </c>
      <c r="U13097" t="s">
        <v>53339</v>
      </c>
      <c r="W13097" t="s">
        <v>39207</v>
      </c>
      <c r="X13097" t="s">
        <v>40486</v>
      </c>
    </row>
    <row r="13098" spans="1:24">
      <c r="A13098">
        <f>HYPERLINK("https://www.philgeps.gov.ph/GEPSNONPILOT/Tender/SplashBidNoticeAbstractUI.aspx?menuIndex=3&amp;refID=6975171&amp;Result=3","6975171")</f>
        <v>0</v>
      </c>
      <c r="B13098" t="s">
        <v>2059</v>
      </c>
      <c r="C13098" t="s">
        <v>15632</v>
      </c>
      <c r="D13098" t="s">
        <v>16196</v>
      </c>
      <c r="E13098" t="s">
        <v>27676</v>
      </c>
      <c r="F13098" t="s">
        <v>28198</v>
      </c>
      <c r="G13098" t="s">
        <v>28207</v>
      </c>
      <c r="H13098" t="s">
        <v>28215</v>
      </c>
      <c r="I13098" t="s">
        <v>28238</v>
      </c>
      <c r="J13098" t="s">
        <v>36351</v>
      </c>
      <c r="K13098" t="s">
        <v>36707</v>
      </c>
      <c r="M13098" t="s">
        <v>39207</v>
      </c>
      <c r="N13098" t="s">
        <v>40436</v>
      </c>
      <c r="O13098" t="s">
        <v>40437</v>
      </c>
      <c r="Q13098">
        <v>2</v>
      </c>
      <c r="R13098" t="s">
        <v>40487</v>
      </c>
      <c r="S13098" t="s">
        <v>41517</v>
      </c>
      <c r="T13098" t="s">
        <v>42103</v>
      </c>
      <c r="U13098" t="s">
        <v>53340</v>
      </c>
      <c r="W13098" t="s">
        <v>39207</v>
      </c>
      <c r="X13098" t="s">
        <v>40485</v>
      </c>
    </row>
    <row r="13099" spans="1:24">
      <c r="A13099">
        <f>HYPERLINK("https://www.philgeps.gov.ph/GEPSNONPILOT/Tender/SplashBidNoticeAbstractUI.aspx?menuIndex=3&amp;refID=6971240&amp;Result=3","6971240")</f>
        <v>0</v>
      </c>
      <c r="B13099" t="s">
        <v>2059</v>
      </c>
      <c r="C13099" t="s">
        <v>15633</v>
      </c>
      <c r="D13099" t="s">
        <v>16196</v>
      </c>
      <c r="E13099" t="s">
        <v>27677</v>
      </c>
      <c r="F13099" t="s">
        <v>28198</v>
      </c>
      <c r="G13099" t="s">
        <v>28210</v>
      </c>
      <c r="H13099" t="s">
        <v>28215</v>
      </c>
      <c r="I13099" t="s">
        <v>5082</v>
      </c>
      <c r="J13099" t="s">
        <v>36352</v>
      </c>
      <c r="K13099" t="s">
        <v>36701</v>
      </c>
      <c r="M13099" t="s">
        <v>39207</v>
      </c>
      <c r="N13099" t="s">
        <v>40436</v>
      </c>
      <c r="O13099" t="s">
        <v>40437</v>
      </c>
      <c r="Q13099">
        <v>0</v>
      </c>
      <c r="R13099" t="s">
        <v>40488</v>
      </c>
      <c r="S13099" t="s">
        <v>40810</v>
      </c>
      <c r="T13099" t="s">
        <v>42103</v>
      </c>
      <c r="U13099" t="s">
        <v>53341</v>
      </c>
      <c r="W13099" t="s">
        <v>39207</v>
      </c>
      <c r="X13099" t="s">
        <v>40489</v>
      </c>
    </row>
    <row r="13100" spans="1:24">
      <c r="A13100">
        <f>HYPERLINK("https://www.philgeps.gov.ph/GEPSNONPILOT/Tender/SplashBidNoticeAbstractUI.aspx?menuIndex=3&amp;refID=6975651&amp;Result=3","6975651")</f>
        <v>0</v>
      </c>
      <c r="B13100" t="s">
        <v>506</v>
      </c>
      <c r="C13100" t="s">
        <v>15634</v>
      </c>
      <c r="D13100" t="s">
        <v>16252</v>
      </c>
      <c r="E13100" t="s">
        <v>27678</v>
      </c>
      <c r="F13100" t="s">
        <v>28198</v>
      </c>
      <c r="G13100" t="s">
        <v>28207</v>
      </c>
      <c r="H13100" t="s">
        <v>28215</v>
      </c>
      <c r="I13100" t="s">
        <v>4168</v>
      </c>
      <c r="J13100" t="s">
        <v>29172</v>
      </c>
      <c r="K13100" t="s">
        <v>36697</v>
      </c>
      <c r="M13100" t="s">
        <v>37491</v>
      </c>
      <c r="N13100" t="s">
        <v>40436</v>
      </c>
      <c r="O13100" t="s">
        <v>40437</v>
      </c>
      <c r="P13100">
        <v>0</v>
      </c>
      <c r="Q13100">
        <v>1</v>
      </c>
      <c r="R13100" t="s">
        <v>40481</v>
      </c>
      <c r="S13100" t="s">
        <v>41632</v>
      </c>
      <c r="T13100" t="s">
        <v>42599</v>
      </c>
      <c r="U13100" t="s">
        <v>50579</v>
      </c>
      <c r="W13100" t="s">
        <v>37491</v>
      </c>
      <c r="X13100" t="s">
        <v>40487</v>
      </c>
    </row>
    <row r="13101" spans="1:24">
      <c r="A13101">
        <f>HYPERLINK("https://www.philgeps.gov.ph/GEPSNONPILOT/Tender/SplashBidNoticeAbstractUI.aspx?menuIndex=3&amp;refID=7015808&amp;Result=3","7015808")</f>
        <v>0</v>
      </c>
      <c r="B13101" t="s">
        <v>341</v>
      </c>
      <c r="C13101" t="s">
        <v>15635</v>
      </c>
      <c r="D13101" t="s">
        <v>16199</v>
      </c>
      <c r="E13101" t="s">
        <v>27679</v>
      </c>
      <c r="F13101" t="s">
        <v>28198</v>
      </c>
      <c r="G13101" t="s">
        <v>28205</v>
      </c>
      <c r="H13101" t="s">
        <v>28215</v>
      </c>
      <c r="I13101" t="s">
        <v>28243</v>
      </c>
      <c r="J13101" t="s">
        <v>29364</v>
      </c>
      <c r="K13101" t="s">
        <v>36689</v>
      </c>
      <c r="M13101" t="s">
        <v>37319</v>
      </c>
      <c r="N13101" t="s">
        <v>40436</v>
      </c>
      <c r="O13101" t="s">
        <v>40437</v>
      </c>
      <c r="P13101">
        <v>0</v>
      </c>
      <c r="Q13101">
        <v>3</v>
      </c>
      <c r="R13101" t="s">
        <v>40457</v>
      </c>
      <c r="S13101" t="s">
        <v>41386</v>
      </c>
      <c r="T13101" t="s">
        <v>42160</v>
      </c>
      <c r="U13101" t="s">
        <v>53342</v>
      </c>
      <c r="W13101" t="s">
        <v>37319</v>
      </c>
      <c r="X13101" t="s">
        <v>40458</v>
      </c>
    </row>
    <row r="13102" spans="1:24">
      <c r="A13102">
        <f>HYPERLINK("https://www.philgeps.gov.ph/GEPSNONPILOT/Tender/SplashBidNoticeAbstractUI.aspx?menuIndex=3&amp;refID=6971017&amp;Result=3","6971017")</f>
        <v>0</v>
      </c>
      <c r="B13102" t="s">
        <v>2059</v>
      </c>
      <c r="C13102" t="s">
        <v>3313</v>
      </c>
      <c r="D13102" t="s">
        <v>16196</v>
      </c>
      <c r="E13102" t="s">
        <v>27680</v>
      </c>
      <c r="F13102" t="s">
        <v>28198</v>
      </c>
      <c r="G13102" t="s">
        <v>28210</v>
      </c>
      <c r="H13102" t="s">
        <v>28215</v>
      </c>
      <c r="I13102" t="s">
        <v>5082</v>
      </c>
      <c r="J13102" t="s">
        <v>29394</v>
      </c>
      <c r="K13102" t="s">
        <v>36707</v>
      </c>
      <c r="M13102" t="s">
        <v>39207</v>
      </c>
      <c r="N13102" t="s">
        <v>40436</v>
      </c>
      <c r="O13102" t="s">
        <v>40437</v>
      </c>
      <c r="Q13102">
        <v>0</v>
      </c>
      <c r="R13102" t="s">
        <v>40488</v>
      </c>
      <c r="S13102" t="s">
        <v>41633</v>
      </c>
      <c r="T13102" t="s">
        <v>42103</v>
      </c>
      <c r="U13102" t="s">
        <v>53343</v>
      </c>
      <c r="W13102" t="s">
        <v>39207</v>
      </c>
      <c r="X13102" t="s">
        <v>40489</v>
      </c>
    </row>
    <row r="13103" spans="1:24">
      <c r="A13103">
        <f>HYPERLINK("https://www.philgeps.gov.ph/GEPSNONPILOT/Tender/SplashBidNoticeAbstractUI.aspx?menuIndex=3&amp;refID=6972613&amp;Result=3","6972613")</f>
        <v>0</v>
      </c>
      <c r="B13103" t="s">
        <v>2947</v>
      </c>
      <c r="C13103" t="s">
        <v>15636</v>
      </c>
      <c r="D13103" t="s">
        <v>16188</v>
      </c>
      <c r="E13103" t="s">
        <v>27681</v>
      </c>
      <c r="F13103" t="s">
        <v>28198</v>
      </c>
      <c r="G13103" t="s">
        <v>28205</v>
      </c>
      <c r="H13103" t="s">
        <v>28214</v>
      </c>
      <c r="I13103" t="s">
        <v>3797</v>
      </c>
      <c r="J13103" t="s">
        <v>36353</v>
      </c>
      <c r="K13103" t="s">
        <v>36689</v>
      </c>
      <c r="L13103" t="s">
        <v>2947</v>
      </c>
      <c r="M13103" t="s">
        <v>40232</v>
      </c>
      <c r="N13103" t="s">
        <v>40436</v>
      </c>
      <c r="O13103" t="s">
        <v>40437</v>
      </c>
      <c r="Q13103">
        <v>1</v>
      </c>
      <c r="R13103" t="s">
        <v>40486</v>
      </c>
      <c r="S13103" t="s">
        <v>41634</v>
      </c>
      <c r="T13103" t="s">
        <v>42233</v>
      </c>
      <c r="U13103" t="s">
        <v>53330</v>
      </c>
      <c r="V13103" t="s">
        <v>55147</v>
      </c>
      <c r="W13103" t="s">
        <v>40232</v>
      </c>
      <c r="X13103" t="s">
        <v>40488</v>
      </c>
    </row>
    <row r="13104" spans="1:24">
      <c r="A13104">
        <f>HYPERLINK("https://www.philgeps.gov.ph/GEPSNONPILOT/Tender/SplashBidNoticeAbstractUI.aspx?menuIndex=3&amp;refID=6970321&amp;Result=3","6970321")</f>
        <v>0</v>
      </c>
      <c r="B13104" t="s">
        <v>2059</v>
      </c>
      <c r="C13104" t="s">
        <v>3536</v>
      </c>
      <c r="D13104" t="s">
        <v>16196</v>
      </c>
      <c r="E13104" t="s">
        <v>27682</v>
      </c>
      <c r="F13104" t="s">
        <v>28198</v>
      </c>
      <c r="G13104" t="s">
        <v>28210</v>
      </c>
      <c r="H13104" t="s">
        <v>28215</v>
      </c>
      <c r="I13104" t="s">
        <v>4168</v>
      </c>
      <c r="J13104" t="s">
        <v>29199</v>
      </c>
      <c r="K13104" t="s">
        <v>36687</v>
      </c>
      <c r="M13104" t="s">
        <v>39207</v>
      </c>
      <c r="N13104" t="s">
        <v>40436</v>
      </c>
      <c r="O13104" t="s">
        <v>40437</v>
      </c>
      <c r="Q13104">
        <v>2</v>
      </c>
      <c r="R13104" t="s">
        <v>40489</v>
      </c>
      <c r="S13104" t="s">
        <v>41635</v>
      </c>
      <c r="T13104" t="s">
        <v>42279</v>
      </c>
      <c r="U13104" t="s">
        <v>53344</v>
      </c>
      <c r="W13104" t="s">
        <v>39207</v>
      </c>
      <c r="X13104" t="s">
        <v>55557</v>
      </c>
    </row>
    <row r="13105" spans="1:24">
      <c r="A13105">
        <f>HYPERLINK("https://www.philgeps.gov.ph/GEPSNONPILOT/Tender/SplashBidNoticeAbstractUI.aspx?menuIndex=3&amp;refID=6968422&amp;Result=3","6968422")</f>
        <v>0</v>
      </c>
      <c r="B13105" t="s">
        <v>404</v>
      </c>
      <c r="C13105" t="s">
        <v>15637</v>
      </c>
      <c r="E13105" t="s">
        <v>27683</v>
      </c>
      <c r="F13105" t="s">
        <v>28198</v>
      </c>
      <c r="G13105" t="s">
        <v>28205</v>
      </c>
      <c r="H13105" t="s">
        <v>28215</v>
      </c>
      <c r="I13105" t="s">
        <v>28257</v>
      </c>
      <c r="J13105" t="s">
        <v>36354</v>
      </c>
      <c r="K13105" t="s">
        <v>36689</v>
      </c>
      <c r="M13105" t="s">
        <v>40223</v>
      </c>
      <c r="N13105" t="s">
        <v>40436</v>
      </c>
      <c r="O13105" t="s">
        <v>40437</v>
      </c>
      <c r="Q13105">
        <v>15</v>
      </c>
      <c r="R13105" t="s">
        <v>40490</v>
      </c>
      <c r="S13105" t="s">
        <v>41636</v>
      </c>
      <c r="T13105" t="s">
        <v>42219</v>
      </c>
      <c r="U13105" t="s">
        <v>53345</v>
      </c>
      <c r="W13105" t="s">
        <v>55504</v>
      </c>
      <c r="X13105" t="s">
        <v>40499</v>
      </c>
    </row>
    <row r="13106" spans="1:24">
      <c r="A13106">
        <f>HYPERLINK("https://www.philgeps.gov.ph/GEPSNONPILOT/Tender/SplashBidNoticeAbstractUI.aspx?menuIndex=3&amp;refID=6970779&amp;Result=3","6970779")</f>
        <v>0</v>
      </c>
      <c r="B13106" t="s">
        <v>3057</v>
      </c>
      <c r="C13106" t="s">
        <v>15638</v>
      </c>
      <c r="D13106" t="s">
        <v>16245</v>
      </c>
      <c r="E13106" t="s">
        <v>27684</v>
      </c>
      <c r="F13106" t="s">
        <v>28198</v>
      </c>
      <c r="G13106" t="s">
        <v>28205</v>
      </c>
      <c r="H13106" t="s">
        <v>28214</v>
      </c>
      <c r="I13106" t="s">
        <v>3797</v>
      </c>
      <c r="J13106" t="s">
        <v>32323</v>
      </c>
      <c r="K13106" t="s">
        <v>36735</v>
      </c>
      <c r="M13106" t="s">
        <v>40368</v>
      </c>
      <c r="N13106" t="s">
        <v>40436</v>
      </c>
      <c r="O13106" t="s">
        <v>40437</v>
      </c>
      <c r="Q13106">
        <v>2</v>
      </c>
      <c r="R13106" t="s">
        <v>40488</v>
      </c>
      <c r="S13106" t="s">
        <v>41637</v>
      </c>
      <c r="T13106" t="s">
        <v>42600</v>
      </c>
      <c r="U13106" t="s">
        <v>53346</v>
      </c>
      <c r="W13106" t="s">
        <v>40368</v>
      </c>
      <c r="X13106" t="s">
        <v>40489</v>
      </c>
    </row>
    <row r="13107" spans="1:24">
      <c r="A13107">
        <f>HYPERLINK("https://www.philgeps.gov.ph/GEPSNONPILOT/Tender/SplashBidNoticeAbstractUI.aspx?menuIndex=3&amp;refID=6968028&amp;Result=3","6968028")</f>
        <v>0</v>
      </c>
      <c r="B13107" t="s">
        <v>595</v>
      </c>
      <c r="C13107" t="s">
        <v>15639</v>
      </c>
      <c r="D13107" t="s">
        <v>16195</v>
      </c>
      <c r="E13107" t="s">
        <v>27685</v>
      </c>
      <c r="F13107" t="s">
        <v>28198</v>
      </c>
      <c r="G13107" t="s">
        <v>28207</v>
      </c>
      <c r="H13107" t="s">
        <v>28215</v>
      </c>
      <c r="I13107" t="s">
        <v>28224</v>
      </c>
      <c r="J13107" t="s">
        <v>28398</v>
      </c>
      <c r="K13107" t="s">
        <v>36694</v>
      </c>
      <c r="M13107" t="s">
        <v>37584</v>
      </c>
      <c r="N13107" t="s">
        <v>40436</v>
      </c>
      <c r="O13107" t="s">
        <v>40437</v>
      </c>
      <c r="Q13107">
        <v>0</v>
      </c>
      <c r="R13107" t="s">
        <v>40490</v>
      </c>
      <c r="S13107" t="s">
        <v>41638</v>
      </c>
      <c r="T13107" t="s">
        <v>42350</v>
      </c>
      <c r="U13107" t="s">
        <v>53347</v>
      </c>
      <c r="W13107" t="s">
        <v>37584</v>
      </c>
      <c r="X13107" t="s">
        <v>40499</v>
      </c>
    </row>
    <row r="13108" spans="1:24">
      <c r="A13108">
        <f>HYPERLINK("https://www.philgeps.gov.ph/GEPSNONPILOT/Tender/SplashBidNoticeAbstractUI.aspx?menuIndex=3&amp;refID=6970175&amp;Result=3","6970175")</f>
        <v>0</v>
      </c>
      <c r="B13108" t="s">
        <v>2452</v>
      </c>
      <c r="C13108" t="s">
        <v>15640</v>
      </c>
      <c r="D13108" t="s">
        <v>16264</v>
      </c>
      <c r="E13108" t="s">
        <v>27686</v>
      </c>
      <c r="F13108" t="s">
        <v>28198</v>
      </c>
      <c r="G13108" t="s">
        <v>28205</v>
      </c>
      <c r="H13108" t="s">
        <v>28214</v>
      </c>
      <c r="I13108" t="s">
        <v>3797</v>
      </c>
      <c r="J13108" t="s">
        <v>29526</v>
      </c>
      <c r="K13108" t="s">
        <v>36831</v>
      </c>
      <c r="M13108" t="s">
        <v>40369</v>
      </c>
      <c r="N13108" t="s">
        <v>40436</v>
      </c>
      <c r="O13108" t="s">
        <v>40437</v>
      </c>
      <c r="Q13108">
        <v>3</v>
      </c>
      <c r="R13108" t="s">
        <v>40488</v>
      </c>
      <c r="S13108" t="s">
        <v>41639</v>
      </c>
      <c r="T13108" t="s">
        <v>42176</v>
      </c>
      <c r="U13108" t="s">
        <v>53348</v>
      </c>
      <c r="V13108" t="s">
        <v>55286</v>
      </c>
      <c r="W13108" t="s">
        <v>40369</v>
      </c>
      <c r="X13108" t="s">
        <v>55557</v>
      </c>
    </row>
    <row r="13109" spans="1:24">
      <c r="A13109">
        <f>HYPERLINK("https://www.philgeps.gov.ph/GEPSNONPILOT/Tender/SplashBidNoticeAbstractUI.aspx?menuIndex=3&amp;refID=6968396&amp;Result=3","6968396")</f>
        <v>0</v>
      </c>
      <c r="B13109" t="s">
        <v>404</v>
      </c>
      <c r="C13109" t="s">
        <v>15641</v>
      </c>
      <c r="E13109" t="s">
        <v>27687</v>
      </c>
      <c r="F13109" t="s">
        <v>28198</v>
      </c>
      <c r="G13109" t="s">
        <v>28205</v>
      </c>
      <c r="H13109" t="s">
        <v>28215</v>
      </c>
      <c r="I13109" t="s">
        <v>5082</v>
      </c>
      <c r="J13109" t="s">
        <v>36355</v>
      </c>
      <c r="K13109" t="s">
        <v>36689</v>
      </c>
      <c r="M13109" t="s">
        <v>37385</v>
      </c>
      <c r="N13109" t="s">
        <v>40436</v>
      </c>
      <c r="O13109" t="s">
        <v>40437</v>
      </c>
      <c r="Q13109">
        <v>6</v>
      </c>
      <c r="R13109" t="s">
        <v>40490</v>
      </c>
      <c r="S13109" t="s">
        <v>41640</v>
      </c>
      <c r="T13109" t="s">
        <v>42219</v>
      </c>
      <c r="U13109" t="s">
        <v>53349</v>
      </c>
      <c r="V13109" t="s">
        <v>55287</v>
      </c>
      <c r="W13109" t="s">
        <v>55504</v>
      </c>
      <c r="X13109" t="s">
        <v>40499</v>
      </c>
    </row>
    <row r="13110" spans="1:24">
      <c r="A13110">
        <f>HYPERLINK("https://www.philgeps.gov.ph/GEPSNONPILOT/Tender/SplashBidNoticeAbstractUI.aspx?menuIndex=3&amp;refID=6970380&amp;Result=3","6970380")</f>
        <v>0</v>
      </c>
      <c r="B13110" t="s">
        <v>2059</v>
      </c>
      <c r="C13110" t="s">
        <v>15642</v>
      </c>
      <c r="D13110" t="s">
        <v>16196</v>
      </c>
      <c r="E13110" t="s">
        <v>27688</v>
      </c>
      <c r="F13110" t="s">
        <v>28198</v>
      </c>
      <c r="G13110" t="s">
        <v>28210</v>
      </c>
      <c r="H13110" t="s">
        <v>28215</v>
      </c>
      <c r="I13110" t="s">
        <v>28237</v>
      </c>
      <c r="J13110" t="s">
        <v>36356</v>
      </c>
      <c r="K13110" t="s">
        <v>36701</v>
      </c>
      <c r="M13110" t="s">
        <v>39207</v>
      </c>
      <c r="N13110" t="s">
        <v>40436</v>
      </c>
      <c r="O13110" t="s">
        <v>40437</v>
      </c>
      <c r="Q13110">
        <v>0</v>
      </c>
      <c r="R13110" t="s">
        <v>40489</v>
      </c>
      <c r="S13110" t="s">
        <v>41641</v>
      </c>
      <c r="T13110" t="s">
        <v>42279</v>
      </c>
      <c r="U13110" t="s">
        <v>53350</v>
      </c>
      <c r="W13110" t="s">
        <v>39207</v>
      </c>
      <c r="X13110" t="s">
        <v>55557</v>
      </c>
    </row>
    <row r="13111" spans="1:24">
      <c r="A13111">
        <f>HYPERLINK("https://www.philgeps.gov.ph/GEPSNONPILOT/Tender/SplashBidNoticeAbstractUI.aspx?menuIndex=3&amp;refID=6972715&amp;Result=3","6972715")</f>
        <v>0</v>
      </c>
      <c r="B13111" t="s">
        <v>2947</v>
      </c>
      <c r="C13111" t="s">
        <v>15643</v>
      </c>
      <c r="D13111" t="s">
        <v>16188</v>
      </c>
      <c r="E13111" t="s">
        <v>27689</v>
      </c>
      <c r="F13111" t="s">
        <v>28198</v>
      </c>
      <c r="G13111" t="s">
        <v>28205</v>
      </c>
      <c r="H13111" t="s">
        <v>28214</v>
      </c>
      <c r="I13111" t="s">
        <v>3797</v>
      </c>
      <c r="J13111" t="s">
        <v>34249</v>
      </c>
      <c r="K13111" t="s">
        <v>36689</v>
      </c>
      <c r="L13111" t="s">
        <v>2947</v>
      </c>
      <c r="M13111" t="s">
        <v>40232</v>
      </c>
      <c r="N13111" t="s">
        <v>40436</v>
      </c>
      <c r="O13111" t="s">
        <v>40437</v>
      </c>
      <c r="Q13111">
        <v>1</v>
      </c>
      <c r="R13111" t="s">
        <v>40486</v>
      </c>
      <c r="S13111" t="s">
        <v>41642</v>
      </c>
      <c r="T13111" t="s">
        <v>42233</v>
      </c>
      <c r="U13111" t="s">
        <v>53330</v>
      </c>
      <c r="V13111" t="s">
        <v>55147</v>
      </c>
      <c r="W13111" t="s">
        <v>40232</v>
      </c>
      <c r="X13111" t="s">
        <v>40488</v>
      </c>
    </row>
    <row r="13112" spans="1:24">
      <c r="A13112">
        <f>HYPERLINK("https://www.philgeps.gov.ph/GEPSNONPILOT/Tender/SplashBidNoticeAbstractUI.aspx?menuIndex=3&amp;refID=6972706&amp;Result=3","6972706")</f>
        <v>0</v>
      </c>
      <c r="B13112" t="s">
        <v>2947</v>
      </c>
      <c r="C13112" t="s">
        <v>15644</v>
      </c>
      <c r="D13112" t="s">
        <v>16188</v>
      </c>
      <c r="E13112" t="s">
        <v>27690</v>
      </c>
      <c r="F13112" t="s">
        <v>28198</v>
      </c>
      <c r="G13112" t="s">
        <v>28205</v>
      </c>
      <c r="H13112" t="s">
        <v>28214</v>
      </c>
      <c r="I13112" t="s">
        <v>3797</v>
      </c>
      <c r="J13112" t="s">
        <v>34249</v>
      </c>
      <c r="K13112" t="s">
        <v>36689</v>
      </c>
      <c r="L13112" t="s">
        <v>2947</v>
      </c>
      <c r="M13112" t="s">
        <v>40232</v>
      </c>
      <c r="N13112" t="s">
        <v>40436</v>
      </c>
      <c r="O13112" t="s">
        <v>40437</v>
      </c>
      <c r="Q13112">
        <v>0</v>
      </c>
      <c r="R13112" t="s">
        <v>40486</v>
      </c>
      <c r="S13112" t="s">
        <v>41643</v>
      </c>
      <c r="T13112" t="s">
        <v>42233</v>
      </c>
      <c r="U13112" t="s">
        <v>53330</v>
      </c>
      <c r="V13112" t="s">
        <v>55147</v>
      </c>
      <c r="W13112" t="s">
        <v>40232</v>
      </c>
      <c r="X13112" t="s">
        <v>40488</v>
      </c>
    </row>
    <row r="13113" spans="1:24">
      <c r="A13113">
        <f>HYPERLINK("https://www.philgeps.gov.ph/GEPSNONPILOT/Tender/SplashBidNoticeAbstractUI.aspx?menuIndex=3&amp;refID=6972666&amp;Result=3","6972666")</f>
        <v>0</v>
      </c>
      <c r="B13113" t="s">
        <v>2947</v>
      </c>
      <c r="C13113" t="s">
        <v>15645</v>
      </c>
      <c r="D13113" t="s">
        <v>16188</v>
      </c>
      <c r="E13113" t="s">
        <v>27691</v>
      </c>
      <c r="F13113" t="s">
        <v>28198</v>
      </c>
      <c r="G13113" t="s">
        <v>28205</v>
      </c>
      <c r="H13113" t="s">
        <v>28214</v>
      </c>
      <c r="I13113" t="s">
        <v>3797</v>
      </c>
      <c r="J13113" t="s">
        <v>34640</v>
      </c>
      <c r="K13113" t="s">
        <v>36689</v>
      </c>
      <c r="L13113" t="s">
        <v>2947</v>
      </c>
      <c r="M13113" t="s">
        <v>40232</v>
      </c>
      <c r="N13113" t="s">
        <v>40436</v>
      </c>
      <c r="O13113" t="s">
        <v>40437</v>
      </c>
      <c r="Q13113">
        <v>0</v>
      </c>
      <c r="R13113" t="s">
        <v>40486</v>
      </c>
      <c r="S13113" t="s">
        <v>41644</v>
      </c>
      <c r="T13113" t="s">
        <v>42233</v>
      </c>
      <c r="U13113" t="s">
        <v>53330</v>
      </c>
      <c r="V13113" t="s">
        <v>55147</v>
      </c>
      <c r="W13113" t="s">
        <v>40232</v>
      </c>
      <c r="X13113" t="s">
        <v>40488</v>
      </c>
    </row>
    <row r="13114" spans="1:24">
      <c r="A13114">
        <f>HYPERLINK("https://www.philgeps.gov.ph/GEPSNONPILOT/Tender/SplashBidNoticeAbstractUI.aspx?menuIndex=3&amp;refID=6972933&amp;Result=3","6972933")</f>
        <v>0</v>
      </c>
      <c r="B13114" t="s">
        <v>3058</v>
      </c>
      <c r="C13114" t="s">
        <v>15646</v>
      </c>
      <c r="D13114" t="s">
        <v>16190</v>
      </c>
      <c r="E13114" t="s">
        <v>27692</v>
      </c>
      <c r="F13114" t="s">
        <v>28198</v>
      </c>
      <c r="G13114" t="s">
        <v>28205</v>
      </c>
      <c r="H13114" t="s">
        <v>28215</v>
      </c>
      <c r="I13114" t="s">
        <v>28339</v>
      </c>
      <c r="J13114" t="s">
        <v>33913</v>
      </c>
      <c r="K13114" t="s">
        <v>36701</v>
      </c>
      <c r="M13114" t="s">
        <v>40370</v>
      </c>
      <c r="N13114" t="s">
        <v>40436</v>
      </c>
      <c r="O13114" t="s">
        <v>40437</v>
      </c>
      <c r="Q13114">
        <v>7</v>
      </c>
      <c r="R13114" t="s">
        <v>40486</v>
      </c>
      <c r="S13114" t="s">
        <v>41645</v>
      </c>
      <c r="T13114" t="s">
        <v>42103</v>
      </c>
      <c r="U13114" t="s">
        <v>53351</v>
      </c>
      <c r="V13114" t="s">
        <v>55288</v>
      </c>
      <c r="W13114" t="s">
        <v>55550</v>
      </c>
      <c r="X13114" t="s">
        <v>40488</v>
      </c>
    </row>
    <row r="13115" spans="1:24">
      <c r="A13115">
        <f>HYPERLINK("https://www.philgeps.gov.ph/GEPSNONPILOT/Tender/SplashBidNoticeAbstractUI.aspx?menuIndex=3&amp;refID=6972699&amp;Result=3","6972699")</f>
        <v>0</v>
      </c>
      <c r="B13115" t="s">
        <v>2947</v>
      </c>
      <c r="C13115" t="s">
        <v>15647</v>
      </c>
      <c r="D13115" t="s">
        <v>16188</v>
      </c>
      <c r="E13115" t="s">
        <v>27693</v>
      </c>
      <c r="F13115" t="s">
        <v>28198</v>
      </c>
      <c r="G13115" t="s">
        <v>28205</v>
      </c>
      <c r="H13115" t="s">
        <v>28214</v>
      </c>
      <c r="I13115" t="s">
        <v>3797</v>
      </c>
      <c r="J13115" t="s">
        <v>34249</v>
      </c>
      <c r="K13115" t="s">
        <v>36689</v>
      </c>
      <c r="L13115" t="s">
        <v>2947</v>
      </c>
      <c r="M13115" t="s">
        <v>40232</v>
      </c>
      <c r="N13115" t="s">
        <v>40436</v>
      </c>
      <c r="O13115" t="s">
        <v>40437</v>
      </c>
      <c r="Q13115">
        <v>1</v>
      </c>
      <c r="R13115" t="s">
        <v>40486</v>
      </c>
      <c r="S13115" t="s">
        <v>41646</v>
      </c>
      <c r="T13115" t="s">
        <v>42233</v>
      </c>
      <c r="U13115" t="s">
        <v>53330</v>
      </c>
      <c r="V13115" t="s">
        <v>55147</v>
      </c>
      <c r="W13115" t="s">
        <v>40232</v>
      </c>
      <c r="X13115" t="s">
        <v>40488</v>
      </c>
    </row>
    <row r="13116" spans="1:24">
      <c r="A13116">
        <f>HYPERLINK("https://www.philgeps.gov.ph/GEPSNONPILOT/Tender/SplashBidNoticeAbstractUI.aspx?menuIndex=3&amp;refID=6972653&amp;Result=3","6972653")</f>
        <v>0</v>
      </c>
      <c r="B13116" t="s">
        <v>2947</v>
      </c>
      <c r="C13116" t="s">
        <v>15648</v>
      </c>
      <c r="D13116" t="s">
        <v>16188</v>
      </c>
      <c r="E13116" t="s">
        <v>27694</v>
      </c>
      <c r="F13116" t="s">
        <v>28198</v>
      </c>
      <c r="G13116" t="s">
        <v>28205</v>
      </c>
      <c r="H13116" t="s">
        <v>28214</v>
      </c>
      <c r="I13116" t="s">
        <v>3797</v>
      </c>
      <c r="J13116" t="s">
        <v>31936</v>
      </c>
      <c r="K13116" t="s">
        <v>36689</v>
      </c>
      <c r="L13116" t="s">
        <v>2947</v>
      </c>
      <c r="M13116" t="s">
        <v>40232</v>
      </c>
      <c r="N13116" t="s">
        <v>40436</v>
      </c>
      <c r="O13116" t="s">
        <v>40437</v>
      </c>
      <c r="Q13116">
        <v>1</v>
      </c>
      <c r="R13116" t="s">
        <v>40486</v>
      </c>
      <c r="S13116" t="s">
        <v>41644</v>
      </c>
      <c r="T13116" t="s">
        <v>42233</v>
      </c>
      <c r="U13116" t="s">
        <v>53330</v>
      </c>
      <c r="V13116" t="s">
        <v>55147</v>
      </c>
      <c r="W13116" t="s">
        <v>40232</v>
      </c>
      <c r="X13116" t="s">
        <v>40488</v>
      </c>
    </row>
    <row r="13117" spans="1:24">
      <c r="A13117">
        <f>HYPERLINK("https://www.philgeps.gov.ph/GEPSNONPILOT/Tender/SplashBidNoticeAbstractUI.aspx?menuIndex=3&amp;refID=6972636&amp;Result=3","6972636")</f>
        <v>0</v>
      </c>
      <c r="B13117" t="s">
        <v>2947</v>
      </c>
      <c r="C13117" t="s">
        <v>15649</v>
      </c>
      <c r="D13117" t="s">
        <v>16188</v>
      </c>
      <c r="E13117" t="s">
        <v>27695</v>
      </c>
      <c r="F13117" t="s">
        <v>28198</v>
      </c>
      <c r="G13117" t="s">
        <v>28205</v>
      </c>
      <c r="H13117" t="s">
        <v>28214</v>
      </c>
      <c r="I13117" t="s">
        <v>3797</v>
      </c>
      <c r="J13117" t="s">
        <v>31934</v>
      </c>
      <c r="K13117" t="s">
        <v>36689</v>
      </c>
      <c r="L13117" t="s">
        <v>2947</v>
      </c>
      <c r="M13117" t="s">
        <v>40232</v>
      </c>
      <c r="N13117" t="s">
        <v>40436</v>
      </c>
      <c r="O13117" t="s">
        <v>40437</v>
      </c>
      <c r="Q13117">
        <v>0</v>
      </c>
      <c r="R13117" t="s">
        <v>40486</v>
      </c>
      <c r="S13117" t="s">
        <v>41647</v>
      </c>
      <c r="T13117" t="s">
        <v>42233</v>
      </c>
      <c r="U13117" t="s">
        <v>53330</v>
      </c>
      <c r="V13117" t="s">
        <v>55147</v>
      </c>
      <c r="W13117" t="s">
        <v>40232</v>
      </c>
      <c r="X13117" t="s">
        <v>40488</v>
      </c>
    </row>
    <row r="13118" spans="1:24">
      <c r="A13118">
        <f>HYPERLINK("https://www.philgeps.gov.ph/GEPSNONPILOT/Tender/SplashBidNoticeAbstractUI.aspx?menuIndex=3&amp;refID=6972670&amp;Result=3","6972670")</f>
        <v>0</v>
      </c>
      <c r="B13118" t="s">
        <v>2947</v>
      </c>
      <c r="C13118" t="s">
        <v>15650</v>
      </c>
      <c r="D13118" t="s">
        <v>16188</v>
      </c>
      <c r="E13118" t="s">
        <v>27696</v>
      </c>
      <c r="F13118" t="s">
        <v>28198</v>
      </c>
      <c r="G13118" t="s">
        <v>28205</v>
      </c>
      <c r="H13118" t="s">
        <v>28214</v>
      </c>
      <c r="I13118" t="s">
        <v>3797</v>
      </c>
      <c r="J13118" t="s">
        <v>34249</v>
      </c>
      <c r="K13118" t="s">
        <v>36689</v>
      </c>
      <c r="L13118" t="s">
        <v>2947</v>
      </c>
      <c r="M13118" t="s">
        <v>40232</v>
      </c>
      <c r="N13118" t="s">
        <v>40436</v>
      </c>
      <c r="O13118" t="s">
        <v>40437</v>
      </c>
      <c r="Q13118">
        <v>0</v>
      </c>
      <c r="R13118" t="s">
        <v>40486</v>
      </c>
      <c r="S13118" t="s">
        <v>41648</v>
      </c>
      <c r="T13118" t="s">
        <v>42233</v>
      </c>
      <c r="U13118" t="s">
        <v>53330</v>
      </c>
      <c r="V13118" t="s">
        <v>55147</v>
      </c>
      <c r="W13118" t="s">
        <v>40232</v>
      </c>
      <c r="X13118" t="s">
        <v>40488</v>
      </c>
    </row>
    <row r="13119" spans="1:24">
      <c r="A13119">
        <f>HYPERLINK("https://www.philgeps.gov.ph/GEPSNONPILOT/Tender/SplashBidNoticeAbstractUI.aspx?menuIndex=3&amp;refID=7015604&amp;Result=3","7015604")</f>
        <v>0</v>
      </c>
      <c r="B13119" t="s">
        <v>2171</v>
      </c>
      <c r="C13119" t="s">
        <v>15651</v>
      </c>
      <c r="D13119" t="s">
        <v>16199</v>
      </c>
      <c r="E13119" t="s">
        <v>27697</v>
      </c>
      <c r="F13119" t="s">
        <v>28198</v>
      </c>
      <c r="G13119" t="s">
        <v>28205</v>
      </c>
      <c r="H13119" t="s">
        <v>28214</v>
      </c>
      <c r="I13119" t="s">
        <v>3797</v>
      </c>
      <c r="J13119" t="s">
        <v>28351</v>
      </c>
      <c r="K13119" t="s">
        <v>36697</v>
      </c>
      <c r="M13119" t="s">
        <v>39331</v>
      </c>
      <c r="N13119" t="s">
        <v>40436</v>
      </c>
      <c r="O13119" t="s">
        <v>40437</v>
      </c>
      <c r="P13119">
        <v>0</v>
      </c>
      <c r="Q13119">
        <v>1</v>
      </c>
      <c r="R13119" t="s">
        <v>40457</v>
      </c>
      <c r="S13119" t="s">
        <v>41386</v>
      </c>
      <c r="T13119" t="s">
        <v>42431</v>
      </c>
      <c r="U13119" t="s">
        <v>46531</v>
      </c>
      <c r="W13119" t="s">
        <v>39331</v>
      </c>
      <c r="X13119" t="s">
        <v>40458</v>
      </c>
    </row>
    <row r="13120" spans="1:24">
      <c r="A13120">
        <f>HYPERLINK("https://www.philgeps.gov.ph/GEPSNONPILOT/Tender/SplashBidNoticeAbstractUI.aspx?menuIndex=3&amp;refID=6968335&amp;Result=3","6968335")</f>
        <v>0</v>
      </c>
      <c r="B13120" t="s">
        <v>404</v>
      </c>
      <c r="C13120" t="s">
        <v>15652</v>
      </c>
      <c r="E13120" t="s">
        <v>27698</v>
      </c>
      <c r="F13120" t="s">
        <v>28198</v>
      </c>
      <c r="G13120" t="s">
        <v>28205</v>
      </c>
      <c r="H13120" t="s">
        <v>28215</v>
      </c>
      <c r="I13120" t="s">
        <v>4219</v>
      </c>
      <c r="J13120" t="s">
        <v>36357</v>
      </c>
      <c r="K13120" t="s">
        <v>36689</v>
      </c>
      <c r="M13120" t="s">
        <v>37385</v>
      </c>
      <c r="N13120" t="s">
        <v>40436</v>
      </c>
      <c r="O13120" t="s">
        <v>40437</v>
      </c>
      <c r="Q13120">
        <v>11</v>
      </c>
      <c r="R13120" t="s">
        <v>40490</v>
      </c>
      <c r="S13120" t="s">
        <v>41649</v>
      </c>
      <c r="T13120" t="s">
        <v>42219</v>
      </c>
      <c r="U13120" t="s">
        <v>53352</v>
      </c>
      <c r="V13120" t="s">
        <v>55289</v>
      </c>
      <c r="W13120" t="s">
        <v>55504</v>
      </c>
      <c r="X13120" t="s">
        <v>40499</v>
      </c>
    </row>
    <row r="13121" spans="1:24">
      <c r="A13121">
        <f>HYPERLINK("https://www.philgeps.gov.ph/GEPSNONPILOT/Tender/SplashBidNoticeAbstractUI.aspx?menuIndex=3&amp;refID=6970817&amp;Result=3","6970817")</f>
        <v>0</v>
      </c>
      <c r="B13121" t="s">
        <v>2059</v>
      </c>
      <c r="C13121" t="s">
        <v>15653</v>
      </c>
      <c r="D13121" t="s">
        <v>16196</v>
      </c>
      <c r="E13121" t="s">
        <v>27699</v>
      </c>
      <c r="F13121" t="s">
        <v>28198</v>
      </c>
      <c r="G13121" t="s">
        <v>28207</v>
      </c>
      <c r="H13121" t="s">
        <v>28215</v>
      </c>
      <c r="I13121" t="s">
        <v>28238</v>
      </c>
      <c r="J13121" t="s">
        <v>28430</v>
      </c>
      <c r="K13121" t="s">
        <v>36707</v>
      </c>
      <c r="M13121" t="s">
        <v>39207</v>
      </c>
      <c r="N13121" t="s">
        <v>40436</v>
      </c>
      <c r="O13121" t="s">
        <v>40437</v>
      </c>
      <c r="Q13121">
        <v>2</v>
      </c>
      <c r="R13121" t="s">
        <v>40488</v>
      </c>
      <c r="S13121" t="s">
        <v>41650</v>
      </c>
      <c r="T13121" t="s">
        <v>42279</v>
      </c>
      <c r="U13121" t="s">
        <v>53353</v>
      </c>
      <c r="W13121" t="s">
        <v>39207</v>
      </c>
      <c r="X13121" t="s">
        <v>40489</v>
      </c>
    </row>
    <row r="13122" spans="1:24">
      <c r="A13122">
        <f>HYPERLINK("https://www.philgeps.gov.ph/GEPSNONPILOT/Tender/SplashBidNoticeAbstractUI.aspx?menuIndex=3&amp;refID=7015611&amp;Result=3","7015611")</f>
        <v>0</v>
      </c>
      <c r="B13122" t="s">
        <v>2225</v>
      </c>
      <c r="C13122" t="s">
        <v>15654</v>
      </c>
      <c r="D13122" t="s">
        <v>16187</v>
      </c>
      <c r="E13122" t="s">
        <v>27700</v>
      </c>
      <c r="F13122" t="s">
        <v>28198</v>
      </c>
      <c r="G13122" t="s">
        <v>28205</v>
      </c>
      <c r="H13122" t="s">
        <v>28214</v>
      </c>
      <c r="I13122" t="s">
        <v>3797</v>
      </c>
      <c r="J13122" t="s">
        <v>32106</v>
      </c>
      <c r="K13122" t="s">
        <v>36717</v>
      </c>
      <c r="L13122" t="s">
        <v>2225</v>
      </c>
      <c r="M13122" t="s">
        <v>39392</v>
      </c>
      <c r="N13122" t="s">
        <v>40436</v>
      </c>
      <c r="O13122" t="s">
        <v>40437</v>
      </c>
      <c r="P13122">
        <v>0</v>
      </c>
      <c r="Q13122">
        <v>18</v>
      </c>
      <c r="R13122" t="s">
        <v>40457</v>
      </c>
      <c r="S13122" t="s">
        <v>41386</v>
      </c>
      <c r="T13122" t="s">
        <v>42431</v>
      </c>
      <c r="U13122" t="s">
        <v>52969</v>
      </c>
      <c r="W13122" t="s">
        <v>39392</v>
      </c>
      <c r="X13122" t="s">
        <v>40458</v>
      </c>
    </row>
    <row r="13123" spans="1:24">
      <c r="A13123">
        <f>HYPERLINK("https://www.philgeps.gov.ph/GEPSNONPILOT/Tender/SplashBidNoticeAbstractUI.aspx?menuIndex=3&amp;refID=7015260&amp;Result=3","7015260")</f>
        <v>0</v>
      </c>
      <c r="B13123" t="s">
        <v>1030</v>
      </c>
      <c r="C13123" t="s">
        <v>15655</v>
      </c>
      <c r="D13123" t="s">
        <v>16230</v>
      </c>
      <c r="E13123" t="s">
        <v>27701</v>
      </c>
      <c r="F13123" t="s">
        <v>28198</v>
      </c>
      <c r="G13123" t="s">
        <v>28205</v>
      </c>
      <c r="H13123" t="s">
        <v>28215</v>
      </c>
      <c r="I13123" t="s">
        <v>28237</v>
      </c>
      <c r="J13123" t="s">
        <v>36358</v>
      </c>
      <c r="K13123" t="s">
        <v>36694</v>
      </c>
      <c r="M13123" t="s">
        <v>38062</v>
      </c>
      <c r="N13123" t="s">
        <v>40436</v>
      </c>
      <c r="O13123" t="s">
        <v>40437</v>
      </c>
      <c r="Q13123">
        <v>7</v>
      </c>
      <c r="R13123" t="s">
        <v>40457</v>
      </c>
      <c r="S13123" t="s">
        <v>41651</v>
      </c>
      <c r="T13123" t="s">
        <v>42233</v>
      </c>
      <c r="U13123" t="s">
        <v>53354</v>
      </c>
      <c r="W13123" t="s">
        <v>38062</v>
      </c>
      <c r="X13123" t="s">
        <v>40458</v>
      </c>
    </row>
    <row r="13124" spans="1:24">
      <c r="A13124">
        <f>HYPERLINK("https://www.philgeps.gov.ph/GEPSNONPILOT/Tender/SplashBidNoticeAbstractUI.aspx?menuIndex=3&amp;refID=7015144&amp;Result=3","7015144")</f>
        <v>0</v>
      </c>
      <c r="B13124" t="s">
        <v>2171</v>
      </c>
      <c r="C13124" t="s">
        <v>15656</v>
      </c>
      <c r="D13124" t="s">
        <v>16199</v>
      </c>
      <c r="E13124" t="s">
        <v>27702</v>
      </c>
      <c r="F13124" t="s">
        <v>28198</v>
      </c>
      <c r="G13124" t="s">
        <v>28205</v>
      </c>
      <c r="H13124" t="s">
        <v>28214</v>
      </c>
      <c r="I13124" t="s">
        <v>3797</v>
      </c>
      <c r="J13124" t="s">
        <v>36359</v>
      </c>
      <c r="K13124" t="s">
        <v>36694</v>
      </c>
      <c r="M13124" t="s">
        <v>40098</v>
      </c>
      <c r="N13124" t="s">
        <v>40436</v>
      </c>
      <c r="O13124" t="s">
        <v>40437</v>
      </c>
      <c r="P13124">
        <v>0</v>
      </c>
      <c r="Q13124">
        <v>2</v>
      </c>
      <c r="R13124" t="s">
        <v>40457</v>
      </c>
      <c r="S13124" t="s">
        <v>41386</v>
      </c>
      <c r="T13124" t="s">
        <v>42375</v>
      </c>
      <c r="U13124" t="s">
        <v>52943</v>
      </c>
      <c r="W13124" t="s">
        <v>40098</v>
      </c>
      <c r="X13124" t="s">
        <v>40458</v>
      </c>
    </row>
    <row r="13125" spans="1:24">
      <c r="A13125">
        <f>HYPERLINK("https://www.philgeps.gov.ph/GEPSNONPILOT/Tender/SplashBidNoticeAbstractUI.aspx?menuIndex=3&amp;refID=7015793&amp;Result=3","7015793")</f>
        <v>0</v>
      </c>
      <c r="B13125" t="s">
        <v>2225</v>
      </c>
      <c r="C13125" t="s">
        <v>15657</v>
      </c>
      <c r="D13125" t="s">
        <v>16187</v>
      </c>
      <c r="E13125" t="s">
        <v>27703</v>
      </c>
      <c r="F13125" t="s">
        <v>28198</v>
      </c>
      <c r="G13125" t="s">
        <v>28205</v>
      </c>
      <c r="H13125" t="s">
        <v>28214</v>
      </c>
      <c r="I13125" t="s">
        <v>3797</v>
      </c>
      <c r="J13125" t="s">
        <v>36360</v>
      </c>
      <c r="K13125" t="s">
        <v>36727</v>
      </c>
      <c r="L13125" t="s">
        <v>2225</v>
      </c>
      <c r="M13125" t="s">
        <v>39392</v>
      </c>
      <c r="N13125" t="s">
        <v>40436</v>
      </c>
      <c r="O13125" t="s">
        <v>40437</v>
      </c>
      <c r="P13125">
        <v>0</v>
      </c>
      <c r="Q13125">
        <v>4</v>
      </c>
      <c r="R13125" t="s">
        <v>40457</v>
      </c>
      <c r="S13125" t="s">
        <v>41386</v>
      </c>
      <c r="T13125" t="s">
        <v>42431</v>
      </c>
      <c r="U13125" t="s">
        <v>52969</v>
      </c>
      <c r="W13125" t="s">
        <v>39392</v>
      </c>
      <c r="X13125" t="s">
        <v>40458</v>
      </c>
    </row>
    <row r="13126" spans="1:24">
      <c r="A13126">
        <f>HYPERLINK("https://www.philgeps.gov.ph/GEPSNONPILOT/Tender/SplashBidNoticeAbstractUI.aspx?menuIndex=3&amp;refID=7015277&amp;Result=3","7015277")</f>
        <v>0</v>
      </c>
      <c r="B13126" t="s">
        <v>1244</v>
      </c>
      <c r="C13126" t="s">
        <v>15658</v>
      </c>
      <c r="D13126" t="s">
        <v>16250</v>
      </c>
      <c r="E13126" t="s">
        <v>27704</v>
      </c>
      <c r="F13126" t="s">
        <v>28198</v>
      </c>
      <c r="G13126" t="s">
        <v>28205</v>
      </c>
      <c r="H13126" t="s">
        <v>28215</v>
      </c>
      <c r="I13126" t="s">
        <v>28222</v>
      </c>
      <c r="J13126" t="s">
        <v>28927</v>
      </c>
      <c r="K13126" t="s">
        <v>36688</v>
      </c>
      <c r="M13126" t="s">
        <v>38294</v>
      </c>
      <c r="N13126" t="s">
        <v>40436</v>
      </c>
      <c r="O13126" t="s">
        <v>40437</v>
      </c>
      <c r="P13126">
        <v>0</v>
      </c>
      <c r="Q13126">
        <v>2</v>
      </c>
      <c r="R13126" t="s">
        <v>40457</v>
      </c>
      <c r="S13126" t="s">
        <v>41386</v>
      </c>
      <c r="T13126" t="s">
        <v>42278</v>
      </c>
      <c r="U13126" t="s">
        <v>53355</v>
      </c>
      <c r="V13126" t="s">
        <v>54118</v>
      </c>
      <c r="W13126" t="s">
        <v>38294</v>
      </c>
      <c r="X13126" t="s">
        <v>40458</v>
      </c>
    </row>
    <row r="13127" spans="1:24">
      <c r="A13127">
        <f>HYPERLINK("https://www.philgeps.gov.ph/GEPSNONPILOT/Tender/SplashBidNoticeAbstractUI.aspx?menuIndex=3&amp;refID=7015127&amp;Result=3","7015127")</f>
        <v>0</v>
      </c>
      <c r="B13127" t="s">
        <v>556</v>
      </c>
      <c r="C13127" t="s">
        <v>15659</v>
      </c>
      <c r="E13127" t="s">
        <v>27705</v>
      </c>
      <c r="F13127" t="s">
        <v>28198</v>
      </c>
      <c r="G13127" t="s">
        <v>28205</v>
      </c>
      <c r="H13127" t="s">
        <v>28215</v>
      </c>
      <c r="I13127" t="s">
        <v>28243</v>
      </c>
      <c r="J13127" t="s">
        <v>35936</v>
      </c>
      <c r="K13127" t="s">
        <v>36689</v>
      </c>
      <c r="M13127" t="s">
        <v>39539</v>
      </c>
      <c r="N13127" t="s">
        <v>40436</v>
      </c>
      <c r="O13127" t="s">
        <v>40437</v>
      </c>
      <c r="P13127">
        <v>0</v>
      </c>
      <c r="Q13127">
        <v>3</v>
      </c>
      <c r="R13127" t="s">
        <v>40457</v>
      </c>
      <c r="S13127" t="s">
        <v>41386</v>
      </c>
      <c r="T13127" t="s">
        <v>42190</v>
      </c>
      <c r="U13127" t="s">
        <v>53356</v>
      </c>
      <c r="V13127" t="s">
        <v>54995</v>
      </c>
      <c r="W13127" t="s">
        <v>39539</v>
      </c>
      <c r="X13127" t="s">
        <v>40458</v>
      </c>
    </row>
    <row r="13128" spans="1:24">
      <c r="A13128">
        <f>HYPERLINK("https://www.philgeps.gov.ph/GEPSNONPILOT/Tender/SplashBidNoticeAbstractUI.aspx?menuIndex=3&amp;refID=7014897&amp;Result=3","7014897")</f>
        <v>0</v>
      </c>
      <c r="B13128" t="s">
        <v>3002</v>
      </c>
      <c r="C13128" t="s">
        <v>15660</v>
      </c>
      <c r="D13128" t="s">
        <v>16208</v>
      </c>
      <c r="E13128" t="s">
        <v>27706</v>
      </c>
      <c r="F13128" t="s">
        <v>28198</v>
      </c>
      <c r="G13128" t="s">
        <v>28205</v>
      </c>
      <c r="H13128" t="s">
        <v>28214</v>
      </c>
      <c r="I13128" t="s">
        <v>3797</v>
      </c>
      <c r="J13128" t="s">
        <v>36361</v>
      </c>
      <c r="K13128" t="s">
        <v>36817</v>
      </c>
      <c r="M13128" t="s">
        <v>40298</v>
      </c>
      <c r="N13128" t="s">
        <v>40436</v>
      </c>
      <c r="O13128" t="s">
        <v>40437</v>
      </c>
      <c r="Q13128">
        <v>0</v>
      </c>
      <c r="R13128" t="s">
        <v>40457</v>
      </c>
      <c r="S13128" t="s">
        <v>41652</v>
      </c>
      <c r="T13128" t="s">
        <v>42233</v>
      </c>
      <c r="U13128" t="s">
        <v>52928</v>
      </c>
      <c r="V13128" t="s">
        <v>55290</v>
      </c>
      <c r="W13128" t="s">
        <v>40298</v>
      </c>
      <c r="X13128" t="s">
        <v>40458</v>
      </c>
    </row>
    <row r="13129" spans="1:24">
      <c r="A13129">
        <f>HYPERLINK("https://www.philgeps.gov.ph/GEPSNONPILOT/Tender/SplashBidNoticeAbstractUI.aspx?menuIndex=3&amp;refID=7015295&amp;Result=3","7015295")</f>
        <v>0</v>
      </c>
      <c r="B13129" t="s">
        <v>794</v>
      </c>
      <c r="C13129" t="s">
        <v>15661</v>
      </c>
      <c r="E13129" t="s">
        <v>27707</v>
      </c>
      <c r="F13129" t="s">
        <v>28198</v>
      </c>
      <c r="G13129" t="s">
        <v>28205</v>
      </c>
      <c r="H13129" t="s">
        <v>28214</v>
      </c>
      <c r="I13129" t="s">
        <v>3797</v>
      </c>
      <c r="J13129" t="s">
        <v>36362</v>
      </c>
      <c r="K13129" t="s">
        <v>36761</v>
      </c>
      <c r="M13129" t="s">
        <v>37800</v>
      </c>
      <c r="N13129" t="s">
        <v>40436</v>
      </c>
      <c r="O13129" t="s">
        <v>40437</v>
      </c>
      <c r="Q13129">
        <v>3</v>
      </c>
      <c r="R13129" t="s">
        <v>40457</v>
      </c>
      <c r="S13129" t="s">
        <v>41653</v>
      </c>
      <c r="T13129" t="s">
        <v>42233</v>
      </c>
      <c r="U13129" t="s">
        <v>53357</v>
      </c>
      <c r="V13129" t="s">
        <v>54698</v>
      </c>
      <c r="W13129" t="s">
        <v>37800</v>
      </c>
      <c r="X13129" t="s">
        <v>40458</v>
      </c>
    </row>
    <row r="13130" spans="1:24">
      <c r="A13130">
        <f>HYPERLINK("https://www.philgeps.gov.ph/GEPSNONPILOT/Tender/SplashBidNoticeAbstractUI.aspx?menuIndex=3&amp;refID=6964238&amp;Result=3","6964238")</f>
        <v>0</v>
      </c>
      <c r="B13130" t="s">
        <v>595</v>
      </c>
      <c r="C13130" t="s">
        <v>15662</v>
      </c>
      <c r="D13130" t="s">
        <v>16222</v>
      </c>
      <c r="E13130" t="s">
        <v>27708</v>
      </c>
      <c r="F13130" t="s">
        <v>28198</v>
      </c>
      <c r="G13130" t="s">
        <v>28207</v>
      </c>
      <c r="H13130" t="s">
        <v>28215</v>
      </c>
      <c r="I13130" t="s">
        <v>28249</v>
      </c>
      <c r="J13130" t="s">
        <v>36363</v>
      </c>
      <c r="K13130" t="s">
        <v>36694</v>
      </c>
      <c r="M13130" t="s">
        <v>37584</v>
      </c>
      <c r="N13130" t="s">
        <v>40436</v>
      </c>
      <c r="O13130" t="s">
        <v>40437</v>
      </c>
      <c r="Q13130">
        <v>2</v>
      </c>
      <c r="R13130" t="s">
        <v>40491</v>
      </c>
      <c r="S13130" t="s">
        <v>41654</v>
      </c>
      <c r="T13130" t="s">
        <v>42350</v>
      </c>
      <c r="U13130" t="s">
        <v>53358</v>
      </c>
      <c r="W13130" t="s">
        <v>37584</v>
      </c>
      <c r="X13130" t="s">
        <v>40498</v>
      </c>
    </row>
    <row r="13131" spans="1:24">
      <c r="A13131">
        <f>HYPERLINK("https://www.philgeps.gov.ph/GEPSNONPILOT/Tender/SplashBidNoticeAbstractUI.aspx?menuIndex=3&amp;refID=7014896&amp;Result=3","7014896")</f>
        <v>0</v>
      </c>
      <c r="B13131" t="s">
        <v>1497</v>
      </c>
      <c r="C13131" t="s">
        <v>15663</v>
      </c>
      <c r="D13131" t="s">
        <v>16211</v>
      </c>
      <c r="E13131" t="s">
        <v>27709</v>
      </c>
      <c r="F13131" t="s">
        <v>28198</v>
      </c>
      <c r="G13131" t="s">
        <v>28208</v>
      </c>
      <c r="H13131" t="s">
        <v>28215</v>
      </c>
      <c r="I13131" t="s">
        <v>28228</v>
      </c>
      <c r="J13131" t="s">
        <v>36364</v>
      </c>
      <c r="K13131" t="s">
        <v>36688</v>
      </c>
      <c r="M13131" t="s">
        <v>38572</v>
      </c>
      <c r="N13131" t="s">
        <v>40436</v>
      </c>
      <c r="O13131" t="s">
        <v>40437</v>
      </c>
      <c r="P13131">
        <v>0</v>
      </c>
      <c r="Q13131">
        <v>0</v>
      </c>
      <c r="R13131" t="s">
        <v>40457</v>
      </c>
      <c r="S13131" t="s">
        <v>41386</v>
      </c>
      <c r="T13131" t="s">
        <v>42129</v>
      </c>
      <c r="U13131" t="s">
        <v>53359</v>
      </c>
      <c r="V13131" t="s">
        <v>55291</v>
      </c>
      <c r="W13131" t="s">
        <v>38572</v>
      </c>
      <c r="X13131" t="s">
        <v>40458</v>
      </c>
    </row>
    <row r="13132" spans="1:24">
      <c r="A13132">
        <f>HYPERLINK("https://www.philgeps.gov.ph/GEPSNONPILOT/Tender/SplashBidNoticeAbstractUI.aspx?menuIndex=3&amp;refID=7015120&amp;Result=3","7015120")</f>
        <v>0</v>
      </c>
      <c r="B13132" t="s">
        <v>2083</v>
      </c>
      <c r="C13132" t="s">
        <v>15664</v>
      </c>
      <c r="E13132" t="s">
        <v>27710</v>
      </c>
      <c r="F13132" t="s">
        <v>28198</v>
      </c>
      <c r="G13132" t="s">
        <v>28207</v>
      </c>
      <c r="H13132" t="s">
        <v>28215</v>
      </c>
      <c r="I13132" t="s">
        <v>28253</v>
      </c>
      <c r="J13132" t="s">
        <v>28680</v>
      </c>
      <c r="K13132" t="s">
        <v>36707</v>
      </c>
      <c r="M13132" t="s">
        <v>39232</v>
      </c>
      <c r="N13132" t="s">
        <v>40436</v>
      </c>
      <c r="O13132" t="s">
        <v>40437</v>
      </c>
      <c r="Q13132">
        <v>10</v>
      </c>
      <c r="R13132" t="s">
        <v>40457</v>
      </c>
      <c r="S13132" t="s">
        <v>41655</v>
      </c>
      <c r="T13132" t="s">
        <v>42133</v>
      </c>
      <c r="U13132" t="s">
        <v>53360</v>
      </c>
      <c r="W13132" t="s">
        <v>39232</v>
      </c>
      <c r="X13132" t="s">
        <v>40458</v>
      </c>
    </row>
    <row r="13133" spans="1:24">
      <c r="A13133">
        <f>HYPERLINK("https://www.philgeps.gov.ph/GEPSNONPILOT/Tender/SplashBidNoticeAbstractUI.aspx?menuIndex=3&amp;refID=6964309&amp;Result=3","6964309")</f>
        <v>0</v>
      </c>
      <c r="B13133" t="s">
        <v>595</v>
      </c>
      <c r="C13133" t="s">
        <v>15665</v>
      </c>
      <c r="D13133" t="s">
        <v>16195</v>
      </c>
      <c r="E13133" t="s">
        <v>27711</v>
      </c>
      <c r="F13133" t="s">
        <v>28198</v>
      </c>
      <c r="G13133" t="s">
        <v>28207</v>
      </c>
      <c r="H13133" t="s">
        <v>28215</v>
      </c>
      <c r="I13133" t="s">
        <v>28249</v>
      </c>
      <c r="J13133" t="s">
        <v>36365</v>
      </c>
      <c r="K13133" t="s">
        <v>36694</v>
      </c>
      <c r="M13133" t="s">
        <v>37584</v>
      </c>
      <c r="N13133" t="s">
        <v>40436</v>
      </c>
      <c r="O13133" t="s">
        <v>40437</v>
      </c>
      <c r="Q13133">
        <v>1</v>
      </c>
      <c r="R13133" t="s">
        <v>40491</v>
      </c>
      <c r="S13133" t="s">
        <v>41656</v>
      </c>
      <c r="T13133" t="s">
        <v>42350</v>
      </c>
      <c r="U13133" t="s">
        <v>53361</v>
      </c>
      <c r="W13133" t="s">
        <v>37584</v>
      </c>
      <c r="X13133" t="s">
        <v>40498</v>
      </c>
    </row>
    <row r="13134" spans="1:24">
      <c r="A13134">
        <f>HYPERLINK("https://www.philgeps.gov.ph/GEPSNONPILOT/Tender/SplashBidNoticeAbstractUI.aspx?menuIndex=3&amp;refID=6957098&amp;Result=3","6957098")</f>
        <v>0</v>
      </c>
      <c r="B13134" t="s">
        <v>404</v>
      </c>
      <c r="C13134" t="s">
        <v>15666</v>
      </c>
      <c r="E13134" t="s">
        <v>27712</v>
      </c>
      <c r="F13134" t="s">
        <v>28198</v>
      </c>
      <c r="G13134" t="s">
        <v>28205</v>
      </c>
      <c r="H13134" t="s">
        <v>28215</v>
      </c>
      <c r="I13134" t="s">
        <v>28234</v>
      </c>
      <c r="J13134" t="s">
        <v>32500</v>
      </c>
      <c r="K13134" t="s">
        <v>36689</v>
      </c>
      <c r="M13134" t="s">
        <v>40223</v>
      </c>
      <c r="N13134" t="s">
        <v>40436</v>
      </c>
      <c r="O13134" t="s">
        <v>40437</v>
      </c>
      <c r="Q13134">
        <v>9</v>
      </c>
      <c r="R13134" t="s">
        <v>40492</v>
      </c>
      <c r="S13134" t="s">
        <v>41657</v>
      </c>
      <c r="T13134" t="s">
        <v>42219</v>
      </c>
      <c r="U13134" t="s">
        <v>53362</v>
      </c>
      <c r="W13134" t="s">
        <v>55504</v>
      </c>
      <c r="X13134" t="s">
        <v>40503</v>
      </c>
    </row>
    <row r="13135" spans="1:24">
      <c r="A13135">
        <f>HYPERLINK("https://www.philgeps.gov.ph/GEPSNONPILOT/Tender/SplashBidNoticeAbstractUI.aspx?menuIndex=3&amp;refID=6957482&amp;Result=3","6957482")</f>
        <v>0</v>
      </c>
      <c r="B13135" t="s">
        <v>2452</v>
      </c>
      <c r="C13135" t="s">
        <v>15667</v>
      </c>
      <c r="D13135" t="s">
        <v>16264</v>
      </c>
      <c r="E13135" t="s">
        <v>27713</v>
      </c>
      <c r="F13135" t="s">
        <v>28198</v>
      </c>
      <c r="G13135" t="s">
        <v>28205</v>
      </c>
      <c r="H13135" t="s">
        <v>28214</v>
      </c>
      <c r="I13135" t="s">
        <v>3797</v>
      </c>
      <c r="J13135" t="s">
        <v>29566</v>
      </c>
      <c r="K13135" t="s">
        <v>36817</v>
      </c>
      <c r="M13135" t="s">
        <v>40369</v>
      </c>
      <c r="N13135" t="s">
        <v>40436</v>
      </c>
      <c r="O13135" t="s">
        <v>40437</v>
      </c>
      <c r="Q13135">
        <v>0</v>
      </c>
      <c r="R13135" t="s">
        <v>40493</v>
      </c>
      <c r="S13135" t="s">
        <v>41658</v>
      </c>
      <c r="T13135" t="s">
        <v>42176</v>
      </c>
      <c r="U13135" t="s">
        <v>53363</v>
      </c>
      <c r="V13135" t="s">
        <v>55292</v>
      </c>
      <c r="W13135" t="s">
        <v>40369</v>
      </c>
      <c r="X13135" t="s">
        <v>40503</v>
      </c>
    </row>
    <row r="13136" spans="1:24">
      <c r="A13136">
        <f>HYPERLINK("https://www.philgeps.gov.ph/GEPSNONPILOT/Tender/SplashBidNoticeAbstractUI.aspx?menuIndex=3&amp;refID=6962155&amp;Result=3","6962155")</f>
        <v>0</v>
      </c>
      <c r="B13136" t="s">
        <v>658</v>
      </c>
      <c r="C13136" t="s">
        <v>15668</v>
      </c>
      <c r="D13136" t="s">
        <v>16264</v>
      </c>
      <c r="E13136" t="s">
        <v>27714</v>
      </c>
      <c r="F13136" t="s">
        <v>28198</v>
      </c>
      <c r="G13136" t="s">
        <v>28205</v>
      </c>
      <c r="H13136" t="s">
        <v>28214</v>
      </c>
      <c r="I13136" t="s">
        <v>3797</v>
      </c>
      <c r="J13136" t="s">
        <v>36366</v>
      </c>
      <c r="K13136" t="s">
        <v>36979</v>
      </c>
      <c r="M13136" t="s">
        <v>37654</v>
      </c>
      <c r="N13136" t="s">
        <v>40436</v>
      </c>
      <c r="O13136" t="s">
        <v>40437</v>
      </c>
      <c r="P13136">
        <v>0</v>
      </c>
      <c r="Q13136">
        <v>5</v>
      </c>
      <c r="R13136" t="s">
        <v>40494</v>
      </c>
      <c r="S13136" t="s">
        <v>41659</v>
      </c>
      <c r="T13136" t="s">
        <v>42129</v>
      </c>
      <c r="U13136" t="s">
        <v>53364</v>
      </c>
      <c r="W13136" t="s">
        <v>37654</v>
      </c>
      <c r="X13136" t="s">
        <v>40496</v>
      </c>
    </row>
    <row r="13137" spans="1:24">
      <c r="A13137">
        <f>HYPERLINK("https://www.philgeps.gov.ph/GEPSNONPILOT/Tender/SplashBidNoticeAbstractUI.aspx?menuIndex=3&amp;refID=7015805&amp;Result=3","7015805")</f>
        <v>0</v>
      </c>
      <c r="B13137" t="s">
        <v>2225</v>
      </c>
      <c r="C13137" t="s">
        <v>15669</v>
      </c>
      <c r="D13137" t="s">
        <v>16187</v>
      </c>
      <c r="E13137" t="s">
        <v>27715</v>
      </c>
      <c r="F13137" t="s">
        <v>28198</v>
      </c>
      <c r="G13137" t="s">
        <v>28205</v>
      </c>
      <c r="H13137" t="s">
        <v>28214</v>
      </c>
      <c r="I13137" t="s">
        <v>3797</v>
      </c>
      <c r="J13137" t="s">
        <v>36367</v>
      </c>
      <c r="K13137" t="s">
        <v>36697</v>
      </c>
      <c r="L13137" t="s">
        <v>2225</v>
      </c>
      <c r="M13137" t="s">
        <v>39392</v>
      </c>
      <c r="N13137" t="s">
        <v>40436</v>
      </c>
      <c r="O13137" t="s">
        <v>40437</v>
      </c>
      <c r="P13137">
        <v>0</v>
      </c>
      <c r="Q13137">
        <v>1</v>
      </c>
      <c r="R13137" t="s">
        <v>40457</v>
      </c>
      <c r="S13137" t="s">
        <v>41386</v>
      </c>
      <c r="T13137" t="s">
        <v>42431</v>
      </c>
      <c r="U13137" t="s">
        <v>52969</v>
      </c>
      <c r="W13137" t="s">
        <v>39392</v>
      </c>
      <c r="X13137" t="s">
        <v>40458</v>
      </c>
    </row>
    <row r="13138" spans="1:24">
      <c r="A13138">
        <f>HYPERLINK("https://www.philgeps.gov.ph/GEPSNONPILOT/Tender/SplashBidNoticeAbstractUI.aspx?menuIndex=3&amp;refID=6957189&amp;Result=3","6957189")</f>
        <v>0</v>
      </c>
      <c r="B13138" t="s">
        <v>1370</v>
      </c>
      <c r="C13138" t="s">
        <v>15670</v>
      </c>
      <c r="D13138" t="s">
        <v>16213</v>
      </c>
      <c r="E13138" t="s">
        <v>27716</v>
      </c>
      <c r="F13138" t="s">
        <v>28198</v>
      </c>
      <c r="G13138" t="s">
        <v>28205</v>
      </c>
      <c r="H13138" t="s">
        <v>28214</v>
      </c>
      <c r="I13138" t="s">
        <v>3797</v>
      </c>
      <c r="J13138" t="s">
        <v>29526</v>
      </c>
      <c r="K13138" t="s">
        <v>36886</v>
      </c>
      <c r="M13138" t="s">
        <v>38432</v>
      </c>
      <c r="N13138" t="s">
        <v>40436</v>
      </c>
      <c r="O13138" t="s">
        <v>40437</v>
      </c>
      <c r="Q13138">
        <v>0</v>
      </c>
      <c r="R13138" t="s">
        <v>40492</v>
      </c>
      <c r="S13138" t="s">
        <v>41660</v>
      </c>
      <c r="T13138" t="s">
        <v>42447</v>
      </c>
      <c r="U13138" t="s">
        <v>53365</v>
      </c>
      <c r="W13138" t="s">
        <v>38432</v>
      </c>
      <c r="X13138" t="s">
        <v>40503</v>
      </c>
    </row>
    <row r="13139" spans="1:24">
      <c r="A13139">
        <f>HYPERLINK("https://www.philgeps.gov.ph/GEPSNONPILOT/Tender/SplashBidNoticeAbstractUI.aspx?menuIndex=3&amp;refID=6957925&amp;Result=3","6957925")</f>
        <v>0</v>
      </c>
      <c r="B13139" t="s">
        <v>2722</v>
      </c>
      <c r="C13139" t="s">
        <v>15671</v>
      </c>
      <c r="D13139" t="s">
        <v>16200</v>
      </c>
      <c r="E13139" t="s">
        <v>27717</v>
      </c>
      <c r="F13139" t="s">
        <v>28198</v>
      </c>
      <c r="G13139" t="s">
        <v>28205</v>
      </c>
      <c r="H13139" t="s">
        <v>28215</v>
      </c>
      <c r="I13139" t="s">
        <v>28245</v>
      </c>
      <c r="J13139" t="s">
        <v>36368</v>
      </c>
      <c r="K13139" t="s">
        <v>36690</v>
      </c>
      <c r="M13139" t="s">
        <v>39966</v>
      </c>
      <c r="N13139" t="s">
        <v>40436</v>
      </c>
      <c r="O13139" t="s">
        <v>40437</v>
      </c>
      <c r="Q13139">
        <v>10</v>
      </c>
      <c r="R13139" t="s">
        <v>40495</v>
      </c>
      <c r="S13139" t="s">
        <v>41661</v>
      </c>
      <c r="T13139" t="s">
        <v>42119</v>
      </c>
      <c r="U13139" t="s">
        <v>53366</v>
      </c>
      <c r="W13139" t="s">
        <v>39966</v>
      </c>
      <c r="X13139" t="s">
        <v>55558</v>
      </c>
    </row>
    <row r="13140" spans="1:24">
      <c r="A13140">
        <f>HYPERLINK("https://www.philgeps.gov.ph/GEPSNONPILOT/Tender/SplashBidNoticeAbstractUI.aspx?menuIndex=3&amp;refID=6960776&amp;Result=3","6960776")</f>
        <v>0</v>
      </c>
      <c r="B13140" t="s">
        <v>1462</v>
      </c>
      <c r="C13140" t="s">
        <v>15672</v>
      </c>
      <c r="D13140" t="s">
        <v>16210</v>
      </c>
      <c r="E13140" t="s">
        <v>27718</v>
      </c>
      <c r="F13140" t="s">
        <v>28198</v>
      </c>
      <c r="G13140" t="s">
        <v>28205</v>
      </c>
      <c r="H13140" t="s">
        <v>28215</v>
      </c>
      <c r="I13140" t="s">
        <v>6051</v>
      </c>
      <c r="J13140" t="s">
        <v>36369</v>
      </c>
      <c r="K13140" t="s">
        <v>36980</v>
      </c>
      <c r="M13140" t="s">
        <v>40371</v>
      </c>
      <c r="N13140" t="s">
        <v>40436</v>
      </c>
      <c r="O13140" t="s">
        <v>40437</v>
      </c>
      <c r="Q13140">
        <v>4</v>
      </c>
      <c r="R13140" t="s">
        <v>40496</v>
      </c>
      <c r="S13140" t="s">
        <v>41662</v>
      </c>
      <c r="T13140" t="s">
        <v>42183</v>
      </c>
      <c r="U13140" t="s">
        <v>53367</v>
      </c>
      <c r="W13140" t="s">
        <v>40371</v>
      </c>
      <c r="X13140" t="s">
        <v>40497</v>
      </c>
    </row>
    <row r="13141" spans="1:24">
      <c r="A13141">
        <f>HYPERLINK("https://www.philgeps.gov.ph/GEPSNONPILOT/Tender/SplashBidNoticeAbstractUI.aspx?menuIndex=3&amp;refID=6957390&amp;Result=3","6957390")</f>
        <v>0</v>
      </c>
      <c r="B13141" t="s">
        <v>2452</v>
      </c>
      <c r="C13141" t="s">
        <v>15673</v>
      </c>
      <c r="D13141" t="s">
        <v>16264</v>
      </c>
      <c r="E13141" t="s">
        <v>27719</v>
      </c>
      <c r="F13141" t="s">
        <v>28198</v>
      </c>
      <c r="G13141" t="s">
        <v>28205</v>
      </c>
      <c r="H13141" t="s">
        <v>28214</v>
      </c>
      <c r="I13141" t="s">
        <v>3797</v>
      </c>
      <c r="J13141" t="s">
        <v>29566</v>
      </c>
      <c r="K13141" t="s">
        <v>36817</v>
      </c>
      <c r="M13141" t="s">
        <v>40369</v>
      </c>
      <c r="N13141" t="s">
        <v>40436</v>
      </c>
      <c r="O13141" t="s">
        <v>40437</v>
      </c>
      <c r="Q13141">
        <v>2</v>
      </c>
      <c r="R13141" t="s">
        <v>40493</v>
      </c>
      <c r="S13141" t="s">
        <v>41663</v>
      </c>
      <c r="T13141" t="s">
        <v>42176</v>
      </c>
      <c r="U13141" t="s">
        <v>53363</v>
      </c>
      <c r="V13141" t="s">
        <v>55293</v>
      </c>
      <c r="W13141" t="s">
        <v>40369</v>
      </c>
      <c r="X13141" t="s">
        <v>40503</v>
      </c>
    </row>
    <row r="13142" spans="1:24">
      <c r="A13142">
        <f>HYPERLINK("https://www.philgeps.gov.ph/GEPSNONPILOT/Tender/SplashBidNoticeAbstractUI.aspx?menuIndex=3&amp;refID=6954272&amp;Result=3","6954272")</f>
        <v>0</v>
      </c>
      <c r="B13142" t="s">
        <v>1943</v>
      </c>
      <c r="C13142" t="s">
        <v>8673</v>
      </c>
      <c r="E13142" t="s">
        <v>21493</v>
      </c>
      <c r="F13142" t="s">
        <v>28200</v>
      </c>
      <c r="G13142" t="s">
        <v>28207</v>
      </c>
      <c r="H13142" t="s">
        <v>28215</v>
      </c>
      <c r="I13142" t="s">
        <v>28231</v>
      </c>
      <c r="J13142" t="s">
        <v>28352</v>
      </c>
      <c r="K13142" t="s">
        <v>36689</v>
      </c>
      <c r="M13142" t="s">
        <v>39077</v>
      </c>
      <c r="N13142" t="s">
        <v>40436</v>
      </c>
      <c r="O13142" t="s">
        <v>40437</v>
      </c>
      <c r="P13142">
        <v>0</v>
      </c>
      <c r="Q13142">
        <v>4</v>
      </c>
      <c r="R13142" t="s">
        <v>40497</v>
      </c>
      <c r="S13142" t="s">
        <v>41664</v>
      </c>
      <c r="T13142" t="s">
        <v>42601</v>
      </c>
      <c r="U13142" t="s">
        <v>47628</v>
      </c>
      <c r="W13142" t="s">
        <v>39077</v>
      </c>
      <c r="X13142" t="s">
        <v>40518</v>
      </c>
    </row>
    <row r="13143" spans="1:24">
      <c r="A13143">
        <f>HYPERLINK("https://www.philgeps.gov.ph/GEPSNONPILOT/Tender/SplashBidNoticeAbstractUI.aspx?menuIndex=3&amp;refID=6957124&amp;Result=3","6957124")</f>
        <v>0</v>
      </c>
      <c r="B13143" t="s">
        <v>404</v>
      </c>
      <c r="C13143" t="s">
        <v>15674</v>
      </c>
      <c r="E13143" t="s">
        <v>27720</v>
      </c>
      <c r="F13143" t="s">
        <v>28198</v>
      </c>
      <c r="G13143" t="s">
        <v>28205</v>
      </c>
      <c r="H13143" t="s">
        <v>28215</v>
      </c>
      <c r="I13143" t="s">
        <v>4168</v>
      </c>
      <c r="J13143" t="s">
        <v>30493</v>
      </c>
      <c r="K13143" t="s">
        <v>36689</v>
      </c>
      <c r="M13143" t="s">
        <v>37385</v>
      </c>
      <c r="N13143" t="s">
        <v>40436</v>
      </c>
      <c r="O13143" t="s">
        <v>40437</v>
      </c>
      <c r="Q13143">
        <v>16</v>
      </c>
      <c r="R13143" t="s">
        <v>40492</v>
      </c>
      <c r="S13143" t="s">
        <v>41665</v>
      </c>
      <c r="T13143" t="s">
        <v>42219</v>
      </c>
      <c r="U13143" t="s">
        <v>53368</v>
      </c>
      <c r="V13143" t="s">
        <v>55294</v>
      </c>
      <c r="W13143" t="s">
        <v>55504</v>
      </c>
      <c r="X13143" t="s">
        <v>40503</v>
      </c>
    </row>
    <row r="13144" spans="1:24">
      <c r="A13144">
        <f>HYPERLINK("https://www.philgeps.gov.ph/GEPSNONPILOT/Tender/SplashBidNoticeAbstractUI.aspx?menuIndex=3&amp;refID=6959461&amp;Result=3","6959461")</f>
        <v>0</v>
      </c>
      <c r="B13144" t="s">
        <v>1040</v>
      </c>
      <c r="C13144" t="s">
        <v>15675</v>
      </c>
      <c r="D13144" t="s">
        <v>16210</v>
      </c>
      <c r="E13144" t="s">
        <v>27721</v>
      </c>
      <c r="F13144" t="s">
        <v>28198</v>
      </c>
      <c r="G13144" t="s">
        <v>28205</v>
      </c>
      <c r="H13144" t="s">
        <v>28215</v>
      </c>
      <c r="I13144" t="s">
        <v>4200</v>
      </c>
      <c r="J13144" t="s">
        <v>36370</v>
      </c>
      <c r="K13144" t="s">
        <v>36694</v>
      </c>
      <c r="M13144" t="s">
        <v>40372</v>
      </c>
      <c r="N13144" t="s">
        <v>40436</v>
      </c>
      <c r="O13144" t="s">
        <v>40437</v>
      </c>
      <c r="Q13144">
        <v>10</v>
      </c>
      <c r="R13144" t="s">
        <v>40496</v>
      </c>
      <c r="S13144" t="s">
        <v>41666</v>
      </c>
      <c r="T13144" t="s">
        <v>42199</v>
      </c>
      <c r="U13144" t="s">
        <v>53369</v>
      </c>
      <c r="W13144" t="s">
        <v>40372</v>
      </c>
      <c r="X13144" t="s">
        <v>40497</v>
      </c>
    </row>
    <row r="13145" spans="1:24">
      <c r="A13145">
        <f>HYPERLINK("https://www.philgeps.gov.ph/GEPSNONPILOT/Tender/SplashBidNoticeAbstractUI.aspx?menuIndex=3&amp;refID=6959746&amp;Result=3","6959746")</f>
        <v>0</v>
      </c>
      <c r="B13145" t="s">
        <v>595</v>
      </c>
      <c r="C13145" t="s">
        <v>15676</v>
      </c>
      <c r="D13145" t="s">
        <v>16294</v>
      </c>
      <c r="E13145" t="s">
        <v>27722</v>
      </c>
      <c r="F13145" t="s">
        <v>28198</v>
      </c>
      <c r="G13145" t="s">
        <v>28207</v>
      </c>
      <c r="H13145" t="s">
        <v>28215</v>
      </c>
      <c r="I13145" t="s">
        <v>4200</v>
      </c>
      <c r="J13145" t="s">
        <v>36371</v>
      </c>
      <c r="K13145" t="s">
        <v>36707</v>
      </c>
      <c r="M13145" t="s">
        <v>37584</v>
      </c>
      <c r="N13145" t="s">
        <v>40436</v>
      </c>
      <c r="O13145" t="s">
        <v>40437</v>
      </c>
      <c r="Q13145">
        <v>3</v>
      </c>
      <c r="R13145" t="s">
        <v>40498</v>
      </c>
      <c r="S13145" t="s">
        <v>41667</v>
      </c>
      <c r="T13145" t="s">
        <v>42350</v>
      </c>
      <c r="U13145" t="s">
        <v>53370</v>
      </c>
      <c r="W13145" t="s">
        <v>37584</v>
      </c>
      <c r="X13145" t="s">
        <v>40497</v>
      </c>
    </row>
    <row r="13146" spans="1:24">
      <c r="A13146">
        <f>HYPERLINK("https://www.philgeps.gov.ph/GEPSNONPILOT/Tender/SplashBidNoticeAbstractUI.aspx?menuIndex=3&amp;refID=6966515&amp;Result=3","6966515")</f>
        <v>0</v>
      </c>
      <c r="B13146" t="s">
        <v>2881</v>
      </c>
      <c r="C13146" t="s">
        <v>15677</v>
      </c>
      <c r="D13146" t="s">
        <v>16250</v>
      </c>
      <c r="E13146" t="s">
        <v>27723</v>
      </c>
      <c r="F13146" t="s">
        <v>28198</v>
      </c>
      <c r="G13146" t="s">
        <v>28205</v>
      </c>
      <c r="H13146" t="s">
        <v>28214</v>
      </c>
      <c r="I13146" t="s">
        <v>3797</v>
      </c>
      <c r="J13146" t="s">
        <v>34433</v>
      </c>
      <c r="K13146" t="s">
        <v>36761</v>
      </c>
      <c r="M13146" t="s">
        <v>40144</v>
      </c>
      <c r="N13146" t="s">
        <v>40436</v>
      </c>
      <c r="O13146" t="s">
        <v>40437</v>
      </c>
      <c r="Q13146">
        <v>2</v>
      </c>
      <c r="R13146" t="s">
        <v>40499</v>
      </c>
      <c r="S13146" t="s">
        <v>41668</v>
      </c>
      <c r="T13146" t="s">
        <v>42133</v>
      </c>
      <c r="U13146" t="s">
        <v>53371</v>
      </c>
      <c r="W13146" t="s">
        <v>40144</v>
      </c>
      <c r="X13146" t="s">
        <v>40491</v>
      </c>
    </row>
    <row r="13147" spans="1:24">
      <c r="A13147">
        <f>HYPERLINK("https://www.philgeps.gov.ph/GEPSNONPILOT/Tender/SplashBidNoticeAbstractUI.aspx?menuIndex=3&amp;refID=6957164&amp;Result=3","6957164")</f>
        <v>0</v>
      </c>
      <c r="B13147" t="s">
        <v>2452</v>
      </c>
      <c r="C13147" t="s">
        <v>15678</v>
      </c>
      <c r="D13147" t="s">
        <v>16264</v>
      </c>
      <c r="E13147" t="s">
        <v>27724</v>
      </c>
      <c r="F13147" t="s">
        <v>28198</v>
      </c>
      <c r="G13147" t="s">
        <v>28205</v>
      </c>
      <c r="H13147" t="s">
        <v>28214</v>
      </c>
      <c r="I13147" t="s">
        <v>3797</v>
      </c>
      <c r="J13147" t="s">
        <v>29526</v>
      </c>
      <c r="K13147" t="s">
        <v>36690</v>
      </c>
      <c r="M13147" t="s">
        <v>40369</v>
      </c>
      <c r="N13147" t="s">
        <v>40436</v>
      </c>
      <c r="O13147" t="s">
        <v>40437</v>
      </c>
      <c r="Q13147">
        <v>0</v>
      </c>
      <c r="R13147" t="s">
        <v>40493</v>
      </c>
      <c r="S13147" t="s">
        <v>41669</v>
      </c>
      <c r="T13147" t="s">
        <v>42176</v>
      </c>
      <c r="U13147" t="s">
        <v>53372</v>
      </c>
      <c r="V13147" t="s">
        <v>55295</v>
      </c>
      <c r="W13147" t="s">
        <v>40369</v>
      </c>
      <c r="X13147" t="s">
        <v>40503</v>
      </c>
    </row>
    <row r="13148" spans="1:24">
      <c r="A13148">
        <f>HYPERLINK("https://www.philgeps.gov.ph/GEPSNONPILOT/Tender/SplashBidNoticeAbstractUI.aspx?menuIndex=3&amp;refID=6965002&amp;Result=3","6965002")</f>
        <v>0</v>
      </c>
      <c r="B13148" t="s">
        <v>1803</v>
      </c>
      <c r="C13148" t="s">
        <v>15679</v>
      </c>
      <c r="D13148" t="s">
        <v>16233</v>
      </c>
      <c r="E13148" t="s">
        <v>27725</v>
      </c>
      <c r="F13148" t="s">
        <v>28198</v>
      </c>
      <c r="G13148" t="s">
        <v>28205</v>
      </c>
      <c r="H13148" t="s">
        <v>28215</v>
      </c>
      <c r="I13148" t="s">
        <v>28231</v>
      </c>
      <c r="J13148" t="s">
        <v>36372</v>
      </c>
      <c r="K13148" t="s">
        <v>36756</v>
      </c>
      <c r="M13148" t="s">
        <v>40373</v>
      </c>
      <c r="N13148" t="s">
        <v>40436</v>
      </c>
      <c r="O13148" t="s">
        <v>40437</v>
      </c>
      <c r="Q13148">
        <v>4</v>
      </c>
      <c r="R13148" t="s">
        <v>40500</v>
      </c>
      <c r="S13148" t="s">
        <v>41670</v>
      </c>
      <c r="T13148" t="s">
        <v>42279</v>
      </c>
      <c r="U13148" t="s">
        <v>53373</v>
      </c>
      <c r="V13148" t="s">
        <v>55166</v>
      </c>
      <c r="W13148" t="s">
        <v>40373</v>
      </c>
      <c r="X13148" t="s">
        <v>40498</v>
      </c>
    </row>
    <row r="13149" spans="1:24">
      <c r="A13149">
        <f>HYPERLINK("https://www.philgeps.gov.ph/GEPSNONPILOT/Tender/SplashBidNoticeAbstractUI.aspx?menuIndex=3&amp;refID=6964274&amp;Result=3","6964274")</f>
        <v>0</v>
      </c>
      <c r="B13149" t="s">
        <v>1912</v>
      </c>
      <c r="C13149" t="s">
        <v>15680</v>
      </c>
      <c r="D13149" t="s">
        <v>16260</v>
      </c>
      <c r="E13149" t="s">
        <v>27726</v>
      </c>
      <c r="F13149" t="s">
        <v>28198</v>
      </c>
      <c r="G13149" t="s">
        <v>28205</v>
      </c>
      <c r="H13149" t="s">
        <v>28215</v>
      </c>
      <c r="I13149" t="s">
        <v>3797</v>
      </c>
      <c r="J13149" t="s">
        <v>36373</v>
      </c>
      <c r="K13149" t="s">
        <v>36981</v>
      </c>
      <c r="M13149" t="s">
        <v>39044</v>
      </c>
      <c r="N13149" t="s">
        <v>40436</v>
      </c>
      <c r="O13149" t="s">
        <v>40437</v>
      </c>
      <c r="P13149">
        <v>0</v>
      </c>
      <c r="Q13149">
        <v>6</v>
      </c>
      <c r="R13149" t="s">
        <v>40500</v>
      </c>
      <c r="S13149" t="s">
        <v>41671</v>
      </c>
      <c r="T13149" t="s">
        <v>42194</v>
      </c>
      <c r="U13149" t="s">
        <v>53374</v>
      </c>
      <c r="W13149" t="s">
        <v>39044</v>
      </c>
      <c r="X13149" t="s">
        <v>40498</v>
      </c>
    </row>
    <row r="13150" spans="1:24">
      <c r="A13150">
        <f>HYPERLINK("https://www.philgeps.gov.ph/GEPSNONPILOT/Tender/SplashBidNoticeAbstractUI.aspx?menuIndex=3&amp;refID=7014888&amp;Result=3","7014888")</f>
        <v>0</v>
      </c>
      <c r="B13150" t="s">
        <v>2727</v>
      </c>
      <c r="C13150" t="s">
        <v>15681</v>
      </c>
      <c r="D13150" t="s">
        <v>16193</v>
      </c>
      <c r="E13150" t="s">
        <v>27727</v>
      </c>
      <c r="F13150" t="s">
        <v>28200</v>
      </c>
      <c r="G13150" t="s">
        <v>28205</v>
      </c>
      <c r="H13150" t="s">
        <v>28214</v>
      </c>
      <c r="I13150" t="s">
        <v>3797</v>
      </c>
      <c r="J13150" t="s">
        <v>32533</v>
      </c>
      <c r="K13150" t="s">
        <v>36710</v>
      </c>
      <c r="M13150" t="s">
        <v>39973</v>
      </c>
      <c r="N13150" t="s">
        <v>40436</v>
      </c>
      <c r="O13150" t="s">
        <v>40437</v>
      </c>
      <c r="Q13150">
        <v>6</v>
      </c>
      <c r="R13150" t="s">
        <v>40457</v>
      </c>
      <c r="S13150" t="s">
        <v>41672</v>
      </c>
      <c r="T13150" t="s">
        <v>42297</v>
      </c>
      <c r="U13150" t="s">
        <v>50842</v>
      </c>
      <c r="V13150" t="s">
        <v>55222</v>
      </c>
      <c r="W13150" t="s">
        <v>39973</v>
      </c>
      <c r="X13150" t="s">
        <v>40458</v>
      </c>
    </row>
    <row r="13151" spans="1:24">
      <c r="A13151">
        <f>HYPERLINK("https://www.philgeps.gov.ph/GEPSNONPILOT/Tender/SplashBidNoticeAbstractUI.aspx?menuIndex=3&amp;refID=7014893&amp;Result=3","7014893")</f>
        <v>0</v>
      </c>
      <c r="B13151" t="s">
        <v>1990</v>
      </c>
      <c r="C13151" t="s">
        <v>15682</v>
      </c>
      <c r="D13151" t="s">
        <v>16258</v>
      </c>
      <c r="E13151" t="s">
        <v>27728</v>
      </c>
      <c r="F13151" t="s">
        <v>28198</v>
      </c>
      <c r="G13151" t="s">
        <v>28205</v>
      </c>
      <c r="H13151" t="s">
        <v>28214</v>
      </c>
      <c r="I13151" t="s">
        <v>3797</v>
      </c>
      <c r="J13151" t="s">
        <v>36374</v>
      </c>
      <c r="K13151" t="s">
        <v>36692</v>
      </c>
      <c r="M13151" t="s">
        <v>39436</v>
      </c>
      <c r="N13151" t="s">
        <v>40436</v>
      </c>
      <c r="O13151" t="s">
        <v>40437</v>
      </c>
      <c r="P13151">
        <v>0</v>
      </c>
      <c r="Q13151">
        <v>0</v>
      </c>
      <c r="R13151" t="s">
        <v>40457</v>
      </c>
      <c r="S13151" t="s">
        <v>41386</v>
      </c>
      <c r="T13151" t="s">
        <v>42478</v>
      </c>
      <c r="U13151" t="s">
        <v>53375</v>
      </c>
      <c r="V13151" t="s">
        <v>54542</v>
      </c>
      <c r="W13151" t="s">
        <v>39436</v>
      </c>
      <c r="X13151" t="s">
        <v>40458</v>
      </c>
    </row>
    <row r="13152" spans="1:24">
      <c r="A13152">
        <f>HYPERLINK("https://www.philgeps.gov.ph/GEPSNONPILOT/Tender/SplashBidNoticeAbstractUI.aspx?menuIndex=3&amp;refID=6957199&amp;Result=3","6957199")</f>
        <v>0</v>
      </c>
      <c r="B13152" t="s">
        <v>1370</v>
      </c>
      <c r="C13152" t="s">
        <v>15683</v>
      </c>
      <c r="D13152" t="s">
        <v>16213</v>
      </c>
      <c r="E13152" t="s">
        <v>27729</v>
      </c>
      <c r="F13152" t="s">
        <v>28198</v>
      </c>
      <c r="G13152" t="s">
        <v>28205</v>
      </c>
      <c r="H13152" t="s">
        <v>28214</v>
      </c>
      <c r="I13152" t="s">
        <v>3797</v>
      </c>
      <c r="J13152" t="s">
        <v>29679</v>
      </c>
      <c r="K13152" t="s">
        <v>36692</v>
      </c>
      <c r="M13152" t="s">
        <v>38432</v>
      </c>
      <c r="N13152" t="s">
        <v>40436</v>
      </c>
      <c r="O13152" t="s">
        <v>40437</v>
      </c>
      <c r="Q13152">
        <v>0</v>
      </c>
      <c r="R13152" t="s">
        <v>40492</v>
      </c>
      <c r="S13152" t="s">
        <v>41673</v>
      </c>
      <c r="T13152" t="s">
        <v>42447</v>
      </c>
      <c r="U13152" t="s">
        <v>53376</v>
      </c>
      <c r="W13152" t="s">
        <v>38432</v>
      </c>
      <c r="X13152" t="s">
        <v>40503</v>
      </c>
    </row>
    <row r="13153" spans="1:24">
      <c r="A13153">
        <f>HYPERLINK("https://www.philgeps.gov.ph/GEPSNONPILOT/Tender/SplashBidNoticeAbstractUI.aspx?menuIndex=3&amp;refID=7019142&amp;Result=3","7019142")</f>
        <v>0</v>
      </c>
      <c r="B13153" t="s">
        <v>2974</v>
      </c>
      <c r="C13153" t="s">
        <v>15684</v>
      </c>
      <c r="D13153" t="s">
        <v>16210</v>
      </c>
      <c r="E13153" t="s">
        <v>27730</v>
      </c>
      <c r="F13153" t="s">
        <v>28198</v>
      </c>
      <c r="G13153" t="s">
        <v>28205</v>
      </c>
      <c r="H13153" t="s">
        <v>28215</v>
      </c>
      <c r="I13153" t="s">
        <v>28241</v>
      </c>
      <c r="J13153" t="s">
        <v>32432</v>
      </c>
      <c r="K13153" t="s">
        <v>36701</v>
      </c>
      <c r="M13153" t="s">
        <v>40263</v>
      </c>
      <c r="N13153" t="s">
        <v>40436</v>
      </c>
      <c r="O13153" t="s">
        <v>40437</v>
      </c>
      <c r="P13153">
        <v>0</v>
      </c>
      <c r="Q13153">
        <v>2</v>
      </c>
      <c r="R13153" t="s">
        <v>40454</v>
      </c>
      <c r="S13153" t="s">
        <v>41306</v>
      </c>
      <c r="T13153" t="s">
        <v>42152</v>
      </c>
      <c r="U13153" t="s">
        <v>53377</v>
      </c>
      <c r="V13153" t="s">
        <v>55181</v>
      </c>
      <c r="W13153" t="s">
        <v>40263</v>
      </c>
      <c r="X13153" t="s">
        <v>40455</v>
      </c>
    </row>
    <row r="13154" spans="1:24">
      <c r="A13154">
        <f>HYPERLINK("https://www.philgeps.gov.ph/GEPSNONPILOT/Tender/SplashBidNoticeAbstractUI.aspx?menuIndex=3&amp;refID=7019134&amp;Result=3","7019134")</f>
        <v>0</v>
      </c>
      <c r="B13154" t="s">
        <v>2974</v>
      </c>
      <c r="C13154" t="s">
        <v>15685</v>
      </c>
      <c r="D13154" t="s">
        <v>16210</v>
      </c>
      <c r="E13154" t="s">
        <v>27731</v>
      </c>
      <c r="F13154" t="s">
        <v>28198</v>
      </c>
      <c r="G13154" t="s">
        <v>28205</v>
      </c>
      <c r="H13154" t="s">
        <v>28215</v>
      </c>
      <c r="I13154" t="s">
        <v>28231</v>
      </c>
      <c r="J13154" t="s">
        <v>36375</v>
      </c>
      <c r="K13154" t="s">
        <v>36701</v>
      </c>
      <c r="M13154" t="s">
        <v>40263</v>
      </c>
      <c r="N13154" t="s">
        <v>40436</v>
      </c>
      <c r="O13154" t="s">
        <v>40437</v>
      </c>
      <c r="P13154">
        <v>0</v>
      </c>
      <c r="Q13154">
        <v>5</v>
      </c>
      <c r="R13154" t="s">
        <v>40454</v>
      </c>
      <c r="S13154" t="s">
        <v>41306</v>
      </c>
      <c r="T13154" t="s">
        <v>42124</v>
      </c>
      <c r="U13154" t="s">
        <v>52664</v>
      </c>
      <c r="V13154" t="s">
        <v>55181</v>
      </c>
      <c r="W13154" t="s">
        <v>40263</v>
      </c>
      <c r="X13154" t="s">
        <v>40455</v>
      </c>
    </row>
    <row r="13155" spans="1:24">
      <c r="A13155">
        <f>HYPERLINK("https://www.philgeps.gov.ph/GEPSNONPILOT/Tender/SplashBidNoticeAbstractUI.aspx?menuIndex=3&amp;refID=6964994&amp;Result=3","6964994")</f>
        <v>0</v>
      </c>
      <c r="B13155" t="s">
        <v>1803</v>
      </c>
      <c r="C13155" t="s">
        <v>15686</v>
      </c>
      <c r="D13155" t="s">
        <v>16233</v>
      </c>
      <c r="E13155" t="s">
        <v>27732</v>
      </c>
      <c r="F13155" t="s">
        <v>28198</v>
      </c>
      <c r="G13155" t="s">
        <v>28205</v>
      </c>
      <c r="H13155" t="s">
        <v>28215</v>
      </c>
      <c r="I13155" t="s">
        <v>28231</v>
      </c>
      <c r="J13155" t="s">
        <v>36376</v>
      </c>
      <c r="K13155" t="s">
        <v>36756</v>
      </c>
      <c r="M13155" t="s">
        <v>40373</v>
      </c>
      <c r="N13155" t="s">
        <v>40436</v>
      </c>
      <c r="O13155" t="s">
        <v>40437</v>
      </c>
      <c r="Q13155">
        <v>3</v>
      </c>
      <c r="R13155" t="s">
        <v>40500</v>
      </c>
      <c r="S13155" t="s">
        <v>41674</v>
      </c>
      <c r="T13155" t="s">
        <v>42529</v>
      </c>
      <c r="U13155" t="s">
        <v>53373</v>
      </c>
      <c r="V13155" t="s">
        <v>55166</v>
      </c>
      <c r="W13155" t="s">
        <v>40373</v>
      </c>
      <c r="X13155" t="s">
        <v>40498</v>
      </c>
    </row>
    <row r="13156" spans="1:24">
      <c r="A13156">
        <f>HYPERLINK("https://www.philgeps.gov.ph/GEPSNONPILOT/Tender/SplashBidNoticeAbstractUI.aspx?menuIndex=3&amp;refID=7019139&amp;Result=3","7019139")</f>
        <v>0</v>
      </c>
      <c r="B13156" t="s">
        <v>2974</v>
      </c>
      <c r="C13156" t="s">
        <v>15687</v>
      </c>
      <c r="D13156" t="s">
        <v>16210</v>
      </c>
      <c r="E13156" t="s">
        <v>27733</v>
      </c>
      <c r="F13156" t="s">
        <v>28198</v>
      </c>
      <c r="G13156" t="s">
        <v>28205</v>
      </c>
      <c r="H13156" t="s">
        <v>28215</v>
      </c>
      <c r="I13156" t="s">
        <v>6786</v>
      </c>
      <c r="J13156" t="s">
        <v>36377</v>
      </c>
      <c r="K13156" t="s">
        <v>36701</v>
      </c>
      <c r="M13156" t="s">
        <v>40263</v>
      </c>
      <c r="N13156" t="s">
        <v>40436</v>
      </c>
      <c r="O13156" t="s">
        <v>40437</v>
      </c>
      <c r="P13156">
        <v>0</v>
      </c>
      <c r="Q13156">
        <v>5</v>
      </c>
      <c r="R13156" t="s">
        <v>40454</v>
      </c>
      <c r="S13156" t="s">
        <v>41306</v>
      </c>
      <c r="T13156" t="s">
        <v>42152</v>
      </c>
      <c r="U13156" t="s">
        <v>53378</v>
      </c>
      <c r="V13156" t="s">
        <v>55181</v>
      </c>
      <c r="W13156" t="s">
        <v>40263</v>
      </c>
      <c r="X13156" t="s">
        <v>40455</v>
      </c>
    </row>
    <row r="13157" spans="1:24">
      <c r="A13157">
        <f>HYPERLINK("https://www.philgeps.gov.ph/GEPSNONPILOT/Tender/SplashBidNoticeAbstractUI.aspx?menuIndex=3&amp;refID=6957318&amp;Result=3","6957318")</f>
        <v>0</v>
      </c>
      <c r="B13157" t="s">
        <v>2452</v>
      </c>
      <c r="C13157" t="s">
        <v>15688</v>
      </c>
      <c r="D13157" t="s">
        <v>16264</v>
      </c>
      <c r="E13157" t="s">
        <v>27734</v>
      </c>
      <c r="F13157" t="s">
        <v>28198</v>
      </c>
      <c r="G13157" t="s">
        <v>28205</v>
      </c>
      <c r="H13157" t="s">
        <v>28214</v>
      </c>
      <c r="I13157" t="s">
        <v>3797</v>
      </c>
      <c r="J13157" t="s">
        <v>32308</v>
      </c>
      <c r="K13157" t="s">
        <v>36692</v>
      </c>
      <c r="M13157" t="s">
        <v>40369</v>
      </c>
      <c r="N13157" t="s">
        <v>40436</v>
      </c>
      <c r="O13157" t="s">
        <v>40437</v>
      </c>
      <c r="Q13157">
        <v>0</v>
      </c>
      <c r="R13157" t="s">
        <v>40493</v>
      </c>
      <c r="S13157" t="s">
        <v>41675</v>
      </c>
      <c r="T13157" t="s">
        <v>42176</v>
      </c>
      <c r="U13157" t="s">
        <v>53379</v>
      </c>
      <c r="V13157" t="s">
        <v>55296</v>
      </c>
      <c r="W13157" t="s">
        <v>40369</v>
      </c>
      <c r="X13157" t="s">
        <v>40503</v>
      </c>
    </row>
    <row r="13158" spans="1:24">
      <c r="A13158">
        <f>HYPERLINK("https://www.philgeps.gov.ph/GEPSNONPILOT/Tender/SplashBidNoticeAbstractUI.aspx?menuIndex=3&amp;refID=6959741&amp;Result=3","6959741")</f>
        <v>0</v>
      </c>
      <c r="B13158" t="s">
        <v>595</v>
      </c>
      <c r="C13158" t="s">
        <v>15676</v>
      </c>
      <c r="D13158" t="s">
        <v>16285</v>
      </c>
      <c r="E13158" t="s">
        <v>27735</v>
      </c>
      <c r="F13158" t="s">
        <v>28198</v>
      </c>
      <c r="G13158" t="s">
        <v>28207</v>
      </c>
      <c r="H13158" t="s">
        <v>28215</v>
      </c>
      <c r="I13158" t="s">
        <v>4200</v>
      </c>
      <c r="J13158" t="s">
        <v>36378</v>
      </c>
      <c r="K13158" t="s">
        <v>36707</v>
      </c>
      <c r="M13158" t="s">
        <v>37584</v>
      </c>
      <c r="N13158" t="s">
        <v>40436</v>
      </c>
      <c r="O13158" t="s">
        <v>40437</v>
      </c>
      <c r="Q13158">
        <v>2</v>
      </c>
      <c r="R13158" t="s">
        <v>40498</v>
      </c>
      <c r="S13158" t="s">
        <v>41676</v>
      </c>
      <c r="T13158" t="s">
        <v>42350</v>
      </c>
      <c r="U13158" t="s">
        <v>53380</v>
      </c>
      <c r="W13158" t="s">
        <v>37584</v>
      </c>
      <c r="X13158" t="s">
        <v>40497</v>
      </c>
    </row>
    <row r="13159" spans="1:24">
      <c r="A13159">
        <f>HYPERLINK("https://www.philgeps.gov.ph/GEPSNONPILOT/Tender/SplashBidNoticeAbstractUI.aspx?menuIndex=3&amp;refID=6948902&amp;Result=3","6948902")</f>
        <v>0</v>
      </c>
      <c r="B13159" t="s">
        <v>1669</v>
      </c>
      <c r="C13159" t="s">
        <v>15689</v>
      </c>
      <c r="D13159" t="s">
        <v>16192</v>
      </c>
      <c r="E13159" t="s">
        <v>27736</v>
      </c>
      <c r="F13159" t="s">
        <v>28198</v>
      </c>
      <c r="G13159" t="s">
        <v>28207</v>
      </c>
      <c r="H13159" t="s">
        <v>28215</v>
      </c>
      <c r="I13159" t="s">
        <v>5100</v>
      </c>
      <c r="J13159" t="s">
        <v>36379</v>
      </c>
      <c r="K13159" t="s">
        <v>36689</v>
      </c>
      <c r="M13159" t="s">
        <v>38764</v>
      </c>
      <c r="N13159" t="s">
        <v>40436</v>
      </c>
      <c r="O13159" t="s">
        <v>40437</v>
      </c>
      <c r="Q13159">
        <v>0</v>
      </c>
      <c r="R13159" t="s">
        <v>40501</v>
      </c>
      <c r="S13159" t="s">
        <v>41677</v>
      </c>
      <c r="T13159" t="s">
        <v>42205</v>
      </c>
      <c r="U13159" t="s">
        <v>53381</v>
      </c>
      <c r="W13159" t="s">
        <v>38764</v>
      </c>
      <c r="X13159" t="s">
        <v>40506</v>
      </c>
    </row>
    <row r="13160" spans="1:24">
      <c r="A13160">
        <f>HYPERLINK("https://www.philgeps.gov.ph/GEPSNONPILOT/Tender/SplashBidNoticeAbstractUI.aspx?menuIndex=3&amp;refID=6947975&amp;Result=3","6947975")</f>
        <v>0</v>
      </c>
      <c r="B13160" t="s">
        <v>1282</v>
      </c>
      <c r="C13160" t="s">
        <v>15690</v>
      </c>
      <c r="D13160" t="s">
        <v>16214</v>
      </c>
      <c r="E13160" t="s">
        <v>27737</v>
      </c>
      <c r="F13160" t="s">
        <v>28198</v>
      </c>
      <c r="G13160" t="s">
        <v>28205</v>
      </c>
      <c r="H13160" t="s">
        <v>28214</v>
      </c>
      <c r="I13160" t="s">
        <v>3797</v>
      </c>
      <c r="J13160" t="s">
        <v>29595</v>
      </c>
      <c r="K13160" t="s">
        <v>36737</v>
      </c>
      <c r="M13160" t="s">
        <v>38334</v>
      </c>
      <c r="N13160" t="s">
        <v>40436</v>
      </c>
      <c r="O13160" t="s">
        <v>40437</v>
      </c>
      <c r="Q13160">
        <v>0</v>
      </c>
      <c r="R13160" t="s">
        <v>40502</v>
      </c>
      <c r="S13160" t="s">
        <v>41678</v>
      </c>
      <c r="T13160" t="s">
        <v>42133</v>
      </c>
      <c r="U13160" t="s">
        <v>45679</v>
      </c>
      <c r="V13160" t="s">
        <v>55297</v>
      </c>
      <c r="W13160" t="s">
        <v>38334</v>
      </c>
      <c r="X13160" t="s">
        <v>40505</v>
      </c>
    </row>
    <row r="13161" spans="1:24">
      <c r="A13161">
        <f>HYPERLINK("https://www.philgeps.gov.ph/GEPSNONPILOT/Tender/SplashBidNoticeAbstractUI.aspx?menuIndex=3&amp;refID=6955348&amp;Result=3","6955348")</f>
        <v>0</v>
      </c>
      <c r="B13161" t="s">
        <v>1370</v>
      </c>
      <c r="C13161" t="s">
        <v>15691</v>
      </c>
      <c r="D13161" t="s">
        <v>16213</v>
      </c>
      <c r="E13161" t="s">
        <v>27738</v>
      </c>
      <c r="F13161" t="s">
        <v>28198</v>
      </c>
      <c r="G13161" t="s">
        <v>28205</v>
      </c>
      <c r="H13161" t="s">
        <v>28214</v>
      </c>
      <c r="I13161" t="s">
        <v>3797</v>
      </c>
      <c r="J13161" t="s">
        <v>29224</v>
      </c>
      <c r="K13161" t="s">
        <v>36746</v>
      </c>
      <c r="M13161" t="s">
        <v>38432</v>
      </c>
      <c r="N13161" t="s">
        <v>40436</v>
      </c>
      <c r="O13161" t="s">
        <v>40437</v>
      </c>
      <c r="Q13161">
        <v>0</v>
      </c>
      <c r="R13161" t="s">
        <v>40501</v>
      </c>
      <c r="S13161" t="s">
        <v>41679</v>
      </c>
      <c r="T13161" t="s">
        <v>42602</v>
      </c>
      <c r="U13161" t="s">
        <v>53382</v>
      </c>
      <c r="W13161" t="s">
        <v>38432</v>
      </c>
      <c r="X13161" t="s">
        <v>55559</v>
      </c>
    </row>
    <row r="13162" spans="1:24">
      <c r="A13162">
        <f>HYPERLINK("https://www.philgeps.gov.ph/GEPSNONPILOT/Tender/SplashBidNoticeAbstractUI.aspx?menuIndex=3&amp;refID=6955412&amp;Result=3","6955412")</f>
        <v>0</v>
      </c>
      <c r="B13162" t="s">
        <v>1370</v>
      </c>
      <c r="C13162" t="s">
        <v>15692</v>
      </c>
      <c r="D13162" t="s">
        <v>16213</v>
      </c>
      <c r="E13162" t="s">
        <v>27739</v>
      </c>
      <c r="F13162" t="s">
        <v>28198</v>
      </c>
      <c r="G13162" t="s">
        <v>28205</v>
      </c>
      <c r="H13162" t="s">
        <v>28214</v>
      </c>
      <c r="I13162" t="s">
        <v>3797</v>
      </c>
      <c r="J13162" t="s">
        <v>36380</v>
      </c>
      <c r="K13162" t="s">
        <v>36822</v>
      </c>
      <c r="M13162" t="s">
        <v>38432</v>
      </c>
      <c r="N13162" t="s">
        <v>40436</v>
      </c>
      <c r="O13162" t="s">
        <v>40437</v>
      </c>
      <c r="Q13162">
        <v>1</v>
      </c>
      <c r="R13162" t="s">
        <v>40501</v>
      </c>
      <c r="S13162" t="s">
        <v>41380</v>
      </c>
      <c r="T13162" t="s">
        <v>42603</v>
      </c>
      <c r="U13162" t="s">
        <v>53383</v>
      </c>
      <c r="W13162" t="s">
        <v>38432</v>
      </c>
      <c r="X13162" t="s">
        <v>55559</v>
      </c>
    </row>
    <row r="13163" spans="1:24">
      <c r="A13163">
        <f>HYPERLINK("https://www.philgeps.gov.ph/GEPSNONPILOT/Tender/SplashBidNoticeAbstractUI.aspx?menuIndex=3&amp;refID=6947928&amp;Result=3","6947928")</f>
        <v>0</v>
      </c>
      <c r="B13163" t="s">
        <v>1282</v>
      </c>
      <c r="C13163" t="s">
        <v>15693</v>
      </c>
      <c r="D13163" t="s">
        <v>16214</v>
      </c>
      <c r="E13163" t="s">
        <v>27740</v>
      </c>
      <c r="F13163" t="s">
        <v>28198</v>
      </c>
      <c r="G13163" t="s">
        <v>28205</v>
      </c>
      <c r="H13163" t="s">
        <v>28214</v>
      </c>
      <c r="I13163" t="s">
        <v>3797</v>
      </c>
      <c r="J13163" t="s">
        <v>29595</v>
      </c>
      <c r="K13163" t="s">
        <v>36789</v>
      </c>
      <c r="M13163" t="s">
        <v>38334</v>
      </c>
      <c r="N13163" t="s">
        <v>40436</v>
      </c>
      <c r="O13163" t="s">
        <v>40437</v>
      </c>
      <c r="Q13163">
        <v>1</v>
      </c>
      <c r="R13163" t="s">
        <v>40502</v>
      </c>
      <c r="S13163" t="s">
        <v>41680</v>
      </c>
      <c r="T13163" t="s">
        <v>42133</v>
      </c>
      <c r="U13163" t="s">
        <v>45679</v>
      </c>
      <c r="V13163" t="s">
        <v>55298</v>
      </c>
      <c r="W13163" t="s">
        <v>38334</v>
      </c>
      <c r="X13163" t="s">
        <v>40505</v>
      </c>
    </row>
    <row r="13164" spans="1:24">
      <c r="A13164">
        <f>HYPERLINK("https://www.philgeps.gov.ph/GEPSNONPILOT/Tender/SplashBidNoticeAbstractUI.aspx?menuIndex=3&amp;refID=6956252&amp;Result=3","6956252")</f>
        <v>0</v>
      </c>
      <c r="B13164" t="s">
        <v>1370</v>
      </c>
      <c r="C13164" t="s">
        <v>15694</v>
      </c>
      <c r="D13164" t="s">
        <v>16213</v>
      </c>
      <c r="E13164" t="s">
        <v>27741</v>
      </c>
      <c r="F13164" t="s">
        <v>28198</v>
      </c>
      <c r="G13164" t="s">
        <v>28205</v>
      </c>
      <c r="H13164" t="s">
        <v>28214</v>
      </c>
      <c r="I13164" t="s">
        <v>3797</v>
      </c>
      <c r="J13164" t="s">
        <v>31258</v>
      </c>
      <c r="K13164" t="s">
        <v>36790</v>
      </c>
      <c r="M13164" t="s">
        <v>38432</v>
      </c>
      <c r="N13164" t="s">
        <v>40436</v>
      </c>
      <c r="O13164" t="s">
        <v>40437</v>
      </c>
      <c r="Q13164">
        <v>0</v>
      </c>
      <c r="R13164" t="s">
        <v>40503</v>
      </c>
      <c r="S13164" t="s">
        <v>41681</v>
      </c>
      <c r="T13164" t="s">
        <v>42603</v>
      </c>
      <c r="U13164" t="s">
        <v>53384</v>
      </c>
      <c r="W13164" t="s">
        <v>38432</v>
      </c>
      <c r="X13164" t="s">
        <v>40501</v>
      </c>
    </row>
    <row r="13165" spans="1:24">
      <c r="A13165">
        <f>HYPERLINK("https://www.philgeps.gov.ph/GEPSNONPILOT/Tender/SplashBidNoticeAbstractUI.aspx?menuIndex=3&amp;refID=7019029&amp;Result=3","7019029")</f>
        <v>0</v>
      </c>
      <c r="B13165" t="s">
        <v>1767</v>
      </c>
      <c r="C13165" t="s">
        <v>15695</v>
      </c>
      <c r="D13165" t="s">
        <v>16266</v>
      </c>
      <c r="E13165" t="s">
        <v>27742</v>
      </c>
      <c r="F13165" t="s">
        <v>28198</v>
      </c>
      <c r="G13165" t="s">
        <v>28205</v>
      </c>
      <c r="H13165" t="s">
        <v>28215</v>
      </c>
      <c r="I13165" t="s">
        <v>4219</v>
      </c>
      <c r="J13165" t="s">
        <v>36381</v>
      </c>
      <c r="K13165" t="s">
        <v>36707</v>
      </c>
      <c r="M13165" t="s">
        <v>38882</v>
      </c>
      <c r="N13165" t="s">
        <v>40436</v>
      </c>
      <c r="O13165" t="s">
        <v>40437</v>
      </c>
      <c r="P13165">
        <v>0</v>
      </c>
      <c r="Q13165">
        <v>1</v>
      </c>
      <c r="R13165" t="s">
        <v>40454</v>
      </c>
      <c r="S13165" t="s">
        <v>41306</v>
      </c>
      <c r="T13165" t="s">
        <v>42176</v>
      </c>
      <c r="U13165" t="s">
        <v>53385</v>
      </c>
      <c r="W13165" t="s">
        <v>38882</v>
      </c>
      <c r="X13165" t="s">
        <v>40455</v>
      </c>
    </row>
    <row r="13166" spans="1:24">
      <c r="A13166">
        <f>HYPERLINK("https://www.philgeps.gov.ph/GEPSNONPILOT/Tender/SplashBidNoticeAbstractUI.aspx?menuIndex=3&amp;refID=6956495&amp;Result=3","6956495")</f>
        <v>0</v>
      </c>
      <c r="B13166" t="s">
        <v>1370</v>
      </c>
      <c r="C13166" t="s">
        <v>15696</v>
      </c>
      <c r="D13166" t="s">
        <v>16213</v>
      </c>
      <c r="E13166" t="s">
        <v>27743</v>
      </c>
      <c r="F13166" t="s">
        <v>28198</v>
      </c>
      <c r="G13166" t="s">
        <v>28205</v>
      </c>
      <c r="H13166" t="s">
        <v>28214</v>
      </c>
      <c r="I13166" t="s">
        <v>3797</v>
      </c>
      <c r="J13166" t="s">
        <v>32106</v>
      </c>
      <c r="K13166" t="s">
        <v>36982</v>
      </c>
      <c r="M13166" t="s">
        <v>38432</v>
      </c>
      <c r="N13166" t="s">
        <v>40436</v>
      </c>
      <c r="O13166" t="s">
        <v>40437</v>
      </c>
      <c r="Q13166">
        <v>0</v>
      </c>
      <c r="R13166" t="s">
        <v>40503</v>
      </c>
      <c r="S13166" t="s">
        <v>41377</v>
      </c>
      <c r="T13166" t="s">
        <v>42603</v>
      </c>
      <c r="U13166" t="s">
        <v>53386</v>
      </c>
      <c r="W13166" t="s">
        <v>38432</v>
      </c>
      <c r="X13166" t="s">
        <v>40501</v>
      </c>
    </row>
    <row r="13167" spans="1:24">
      <c r="A13167">
        <f>HYPERLINK("https://www.philgeps.gov.ph/GEPSNONPILOT/Tender/SplashBidNoticeAbstractUI.aspx?menuIndex=3&amp;refID=7019140&amp;Result=3","7019140")</f>
        <v>0</v>
      </c>
      <c r="B13167" t="s">
        <v>2974</v>
      </c>
      <c r="C13167" t="s">
        <v>15697</v>
      </c>
      <c r="D13167" t="s">
        <v>16210</v>
      </c>
      <c r="E13167" t="s">
        <v>27744</v>
      </c>
      <c r="F13167" t="s">
        <v>28198</v>
      </c>
      <c r="G13167" t="s">
        <v>28205</v>
      </c>
      <c r="H13167" t="s">
        <v>28215</v>
      </c>
      <c r="I13167" t="s">
        <v>6786</v>
      </c>
      <c r="J13167" t="s">
        <v>36382</v>
      </c>
      <c r="K13167" t="s">
        <v>36701</v>
      </c>
      <c r="M13167" t="s">
        <v>40263</v>
      </c>
      <c r="N13167" t="s">
        <v>40436</v>
      </c>
      <c r="O13167" t="s">
        <v>40437</v>
      </c>
      <c r="P13167">
        <v>0</v>
      </c>
      <c r="Q13167">
        <v>2</v>
      </c>
      <c r="R13167" t="s">
        <v>40454</v>
      </c>
      <c r="S13167" t="s">
        <v>41306</v>
      </c>
      <c r="T13167" t="s">
        <v>42152</v>
      </c>
      <c r="U13167" t="s">
        <v>53378</v>
      </c>
      <c r="V13167" t="s">
        <v>55181</v>
      </c>
      <c r="W13167" t="s">
        <v>40263</v>
      </c>
      <c r="X13167" t="s">
        <v>40455</v>
      </c>
    </row>
    <row r="13168" spans="1:24">
      <c r="A13168">
        <f>HYPERLINK("https://www.philgeps.gov.ph/GEPSNONPILOT/Tender/SplashBidNoticeAbstractUI.aspx?menuIndex=3&amp;refID=6955459&amp;Result=3","6955459")</f>
        <v>0</v>
      </c>
      <c r="B13168" t="s">
        <v>1370</v>
      </c>
      <c r="C13168" t="s">
        <v>15698</v>
      </c>
      <c r="D13168" t="s">
        <v>16213</v>
      </c>
      <c r="E13168" t="s">
        <v>27745</v>
      </c>
      <c r="F13168" t="s">
        <v>28198</v>
      </c>
      <c r="G13168" t="s">
        <v>28205</v>
      </c>
      <c r="H13168" t="s">
        <v>28214</v>
      </c>
      <c r="I13168" t="s">
        <v>3797</v>
      </c>
      <c r="J13168" t="s">
        <v>29526</v>
      </c>
      <c r="K13168" t="s">
        <v>36782</v>
      </c>
      <c r="M13168" t="s">
        <v>38432</v>
      </c>
      <c r="N13168" t="s">
        <v>40436</v>
      </c>
      <c r="O13168" t="s">
        <v>40437</v>
      </c>
      <c r="Q13168">
        <v>0</v>
      </c>
      <c r="R13168" t="s">
        <v>40501</v>
      </c>
      <c r="S13168" t="s">
        <v>41375</v>
      </c>
      <c r="T13168" t="s">
        <v>42603</v>
      </c>
      <c r="U13168" t="s">
        <v>53387</v>
      </c>
      <c r="W13168" t="s">
        <v>38432</v>
      </c>
      <c r="X13168" t="s">
        <v>55559</v>
      </c>
    </row>
    <row r="13169" spans="1:24">
      <c r="A13169">
        <f>HYPERLINK("https://www.philgeps.gov.ph/GEPSNONPILOT/Tender/SplashBidNoticeAbstractUI.aspx?menuIndex=3&amp;refID=6956023&amp;Result=3","6956023")</f>
        <v>0</v>
      </c>
      <c r="B13169" t="s">
        <v>2452</v>
      </c>
      <c r="C13169" t="s">
        <v>15699</v>
      </c>
      <c r="D13169" t="s">
        <v>16264</v>
      </c>
      <c r="E13169" t="s">
        <v>27746</v>
      </c>
      <c r="F13169" t="s">
        <v>28198</v>
      </c>
      <c r="G13169" t="s">
        <v>28205</v>
      </c>
      <c r="H13169" t="s">
        <v>28214</v>
      </c>
      <c r="I13169" t="s">
        <v>3797</v>
      </c>
      <c r="J13169" t="s">
        <v>29526</v>
      </c>
      <c r="K13169" t="s">
        <v>36690</v>
      </c>
      <c r="M13169" t="s">
        <v>40369</v>
      </c>
      <c r="N13169" t="s">
        <v>40436</v>
      </c>
      <c r="O13169" t="s">
        <v>40437</v>
      </c>
      <c r="Q13169">
        <v>0</v>
      </c>
      <c r="R13169" t="s">
        <v>40503</v>
      </c>
      <c r="S13169" t="s">
        <v>41682</v>
      </c>
      <c r="T13169" t="s">
        <v>42129</v>
      </c>
      <c r="U13169" t="s">
        <v>53388</v>
      </c>
      <c r="V13169" t="s">
        <v>55299</v>
      </c>
      <c r="W13169" t="s">
        <v>40369</v>
      </c>
      <c r="X13169" t="s">
        <v>40501</v>
      </c>
    </row>
    <row r="13170" spans="1:24">
      <c r="A13170">
        <f>HYPERLINK("https://www.philgeps.gov.ph/GEPSNONPILOT/Tender/SplashBidNoticeAbstractUI.aspx?menuIndex=3&amp;refID=6956016&amp;Result=3","6956016")</f>
        <v>0</v>
      </c>
      <c r="B13170" t="s">
        <v>2452</v>
      </c>
      <c r="C13170" t="s">
        <v>15700</v>
      </c>
      <c r="D13170" t="s">
        <v>16264</v>
      </c>
      <c r="E13170" t="s">
        <v>27747</v>
      </c>
      <c r="F13170" t="s">
        <v>28198</v>
      </c>
      <c r="G13170" t="s">
        <v>28205</v>
      </c>
      <c r="H13170" t="s">
        <v>28214</v>
      </c>
      <c r="I13170" t="s">
        <v>3797</v>
      </c>
      <c r="J13170" t="s">
        <v>29224</v>
      </c>
      <c r="K13170" t="s">
        <v>36738</v>
      </c>
      <c r="M13170" t="s">
        <v>40369</v>
      </c>
      <c r="N13170" t="s">
        <v>40436</v>
      </c>
      <c r="O13170" t="s">
        <v>40437</v>
      </c>
      <c r="Q13170">
        <v>0</v>
      </c>
      <c r="R13170" t="s">
        <v>40503</v>
      </c>
      <c r="S13170" t="s">
        <v>41683</v>
      </c>
      <c r="T13170" t="s">
        <v>42129</v>
      </c>
      <c r="U13170" t="s">
        <v>53389</v>
      </c>
      <c r="V13170" t="s">
        <v>55299</v>
      </c>
      <c r="W13170" t="s">
        <v>40369</v>
      </c>
      <c r="X13170" t="s">
        <v>40501</v>
      </c>
    </row>
    <row r="13171" spans="1:24">
      <c r="A13171">
        <f>HYPERLINK("https://www.philgeps.gov.ph/GEPSNONPILOT/Tender/SplashBidNoticeAbstractUI.aspx?menuIndex=3&amp;refID=7014883&amp;Result=3","7014883")</f>
        <v>0</v>
      </c>
      <c r="B13171" t="s">
        <v>840</v>
      </c>
      <c r="C13171" t="s">
        <v>15701</v>
      </c>
      <c r="E13171" t="s">
        <v>27748</v>
      </c>
      <c r="F13171" t="s">
        <v>28198</v>
      </c>
      <c r="G13171" t="s">
        <v>28205</v>
      </c>
      <c r="H13171" t="s">
        <v>28215</v>
      </c>
      <c r="I13171" t="s">
        <v>28258</v>
      </c>
      <c r="J13171" t="s">
        <v>36383</v>
      </c>
      <c r="K13171" t="s">
        <v>36689</v>
      </c>
      <c r="M13171" t="s">
        <v>38830</v>
      </c>
      <c r="N13171" t="s">
        <v>40436</v>
      </c>
      <c r="O13171" t="s">
        <v>40437</v>
      </c>
      <c r="P13171">
        <v>0</v>
      </c>
      <c r="Q13171">
        <v>15</v>
      </c>
      <c r="R13171" t="s">
        <v>40457</v>
      </c>
      <c r="S13171" t="s">
        <v>41386</v>
      </c>
      <c r="T13171" t="s">
        <v>42176</v>
      </c>
      <c r="U13171" t="s">
        <v>53390</v>
      </c>
      <c r="W13171" t="s">
        <v>38830</v>
      </c>
      <c r="X13171" t="s">
        <v>40458</v>
      </c>
    </row>
    <row r="13172" spans="1:24">
      <c r="A13172">
        <f>HYPERLINK("https://www.philgeps.gov.ph/GEPSNONPILOT/Tender/SplashBidNoticeAbstractUI.aspx?menuIndex=3&amp;refID=6947804&amp;Result=3","6947804")</f>
        <v>0</v>
      </c>
      <c r="B13172" t="s">
        <v>1282</v>
      </c>
      <c r="C13172" t="s">
        <v>15702</v>
      </c>
      <c r="D13172" t="s">
        <v>16214</v>
      </c>
      <c r="E13172" t="s">
        <v>27749</v>
      </c>
      <c r="F13172" t="s">
        <v>28198</v>
      </c>
      <c r="G13172" t="s">
        <v>28205</v>
      </c>
      <c r="H13172" t="s">
        <v>28214</v>
      </c>
      <c r="I13172" t="s">
        <v>3797</v>
      </c>
      <c r="J13172" t="s">
        <v>29595</v>
      </c>
      <c r="K13172" t="s">
        <v>36789</v>
      </c>
      <c r="M13172" t="s">
        <v>38334</v>
      </c>
      <c r="N13172" t="s">
        <v>40436</v>
      </c>
      <c r="O13172" t="s">
        <v>40437</v>
      </c>
      <c r="Q13172">
        <v>2</v>
      </c>
      <c r="R13172" t="s">
        <v>40502</v>
      </c>
      <c r="S13172" t="s">
        <v>41684</v>
      </c>
      <c r="T13172" t="s">
        <v>42133</v>
      </c>
      <c r="U13172" t="s">
        <v>45679</v>
      </c>
      <c r="V13172" t="s">
        <v>55300</v>
      </c>
      <c r="W13172" t="s">
        <v>38334</v>
      </c>
      <c r="X13172" t="s">
        <v>40505</v>
      </c>
    </row>
    <row r="13173" spans="1:24">
      <c r="A13173">
        <f>HYPERLINK("https://www.philgeps.gov.ph/GEPSNONPILOT/Tender/SplashBidNoticeAbstractUI.aspx?menuIndex=3&amp;refID=6956009&amp;Result=3","6956009")</f>
        <v>0</v>
      </c>
      <c r="B13173" t="s">
        <v>2452</v>
      </c>
      <c r="C13173" t="s">
        <v>15703</v>
      </c>
      <c r="D13173" t="s">
        <v>16264</v>
      </c>
      <c r="E13173" t="s">
        <v>27750</v>
      </c>
      <c r="F13173" t="s">
        <v>28198</v>
      </c>
      <c r="G13173" t="s">
        <v>28205</v>
      </c>
      <c r="H13173" t="s">
        <v>28214</v>
      </c>
      <c r="I13173" t="s">
        <v>3797</v>
      </c>
      <c r="J13173" t="s">
        <v>29552</v>
      </c>
      <c r="K13173" t="s">
        <v>36714</v>
      </c>
      <c r="M13173" t="s">
        <v>40369</v>
      </c>
      <c r="N13173" t="s">
        <v>40436</v>
      </c>
      <c r="O13173" t="s">
        <v>40437</v>
      </c>
      <c r="Q13173">
        <v>0</v>
      </c>
      <c r="R13173" t="s">
        <v>40503</v>
      </c>
      <c r="S13173" t="s">
        <v>41685</v>
      </c>
      <c r="T13173" t="s">
        <v>42129</v>
      </c>
      <c r="U13173" t="s">
        <v>53391</v>
      </c>
      <c r="V13173" t="s">
        <v>55299</v>
      </c>
      <c r="W13173" t="s">
        <v>40369</v>
      </c>
      <c r="X13173" t="s">
        <v>40501</v>
      </c>
    </row>
    <row r="13174" spans="1:24">
      <c r="A13174">
        <f>HYPERLINK("https://www.philgeps.gov.ph/GEPSNONPILOT/Tender/SplashBidNoticeAbstractUI.aspx?menuIndex=3&amp;refID=6944103&amp;Result=3","6944103")</f>
        <v>0</v>
      </c>
      <c r="B13174" t="s">
        <v>794</v>
      </c>
      <c r="C13174" t="s">
        <v>15704</v>
      </c>
      <c r="D13174" t="s">
        <v>16244</v>
      </c>
      <c r="E13174" t="s">
        <v>27751</v>
      </c>
      <c r="F13174" t="s">
        <v>28198</v>
      </c>
      <c r="G13174" t="s">
        <v>28205</v>
      </c>
      <c r="H13174" t="s">
        <v>28214</v>
      </c>
      <c r="I13174" t="s">
        <v>3797</v>
      </c>
      <c r="J13174" t="s">
        <v>36384</v>
      </c>
      <c r="K13174" t="s">
        <v>36983</v>
      </c>
      <c r="M13174" t="s">
        <v>37800</v>
      </c>
      <c r="N13174" t="s">
        <v>40436</v>
      </c>
      <c r="O13174" t="s">
        <v>40437</v>
      </c>
      <c r="Q13174">
        <v>7</v>
      </c>
      <c r="R13174" t="s">
        <v>40504</v>
      </c>
      <c r="S13174" t="s">
        <v>41686</v>
      </c>
      <c r="T13174" t="s">
        <v>42233</v>
      </c>
      <c r="U13174" t="s">
        <v>53392</v>
      </c>
      <c r="V13174" t="s">
        <v>54698</v>
      </c>
      <c r="W13174" t="s">
        <v>37800</v>
      </c>
      <c r="X13174" t="s">
        <v>40510</v>
      </c>
    </row>
    <row r="13175" spans="1:24">
      <c r="A13175">
        <f>HYPERLINK("https://www.philgeps.gov.ph/GEPSNONPILOT/Tender/SplashBidNoticeAbstractUI.aspx?menuIndex=3&amp;refID=6936486&amp;Result=3","6936486")</f>
        <v>0</v>
      </c>
      <c r="B13175" t="s">
        <v>48</v>
      </c>
      <c r="C13175" t="s">
        <v>15705</v>
      </c>
      <c r="D13175" t="s">
        <v>16196</v>
      </c>
      <c r="E13175" t="s">
        <v>27752</v>
      </c>
      <c r="F13175" t="s">
        <v>28198</v>
      </c>
      <c r="G13175" t="s">
        <v>28205</v>
      </c>
      <c r="H13175" t="s">
        <v>28214</v>
      </c>
      <c r="I13175" t="s">
        <v>3797</v>
      </c>
      <c r="J13175" t="s">
        <v>36385</v>
      </c>
      <c r="K13175" t="s">
        <v>36943</v>
      </c>
      <c r="M13175" t="s">
        <v>39742</v>
      </c>
      <c r="N13175" t="s">
        <v>40436</v>
      </c>
      <c r="O13175" t="s">
        <v>40437</v>
      </c>
      <c r="Q13175">
        <v>22</v>
      </c>
      <c r="R13175" t="s">
        <v>40504</v>
      </c>
      <c r="S13175" t="s">
        <v>41377</v>
      </c>
      <c r="T13175" t="s">
        <v>42112</v>
      </c>
      <c r="U13175" t="s">
        <v>53393</v>
      </c>
      <c r="V13175" t="s">
        <v>46476</v>
      </c>
      <c r="W13175" t="s">
        <v>39742</v>
      </c>
      <c r="X13175" t="s">
        <v>40511</v>
      </c>
    </row>
    <row r="13176" spans="1:24">
      <c r="A13176">
        <f>HYPERLINK("https://www.philgeps.gov.ph/GEPSNONPILOT/Tender/SplashBidNoticeAbstractUI.aspx?menuIndex=3&amp;refID=6946321&amp;Result=3","6946321")</f>
        <v>0</v>
      </c>
      <c r="B13176" t="s">
        <v>664</v>
      </c>
      <c r="C13176" t="s">
        <v>15706</v>
      </c>
      <c r="D13176" t="s">
        <v>16260</v>
      </c>
      <c r="E13176" t="s">
        <v>27753</v>
      </c>
      <c r="F13176" t="s">
        <v>28198</v>
      </c>
      <c r="G13176" t="s">
        <v>28211</v>
      </c>
      <c r="H13176" t="s">
        <v>28216</v>
      </c>
      <c r="I13176" t="s">
        <v>28286</v>
      </c>
      <c r="J13176" t="s">
        <v>36386</v>
      </c>
      <c r="K13176" t="s">
        <v>36788</v>
      </c>
      <c r="M13176" t="s">
        <v>37660</v>
      </c>
      <c r="N13176" t="s">
        <v>40436</v>
      </c>
      <c r="O13176" t="s">
        <v>40437</v>
      </c>
      <c r="Q13176">
        <v>10</v>
      </c>
      <c r="R13176" t="s">
        <v>40505</v>
      </c>
      <c r="S13176" t="s">
        <v>41687</v>
      </c>
      <c r="T13176" t="s">
        <v>42171</v>
      </c>
      <c r="U13176" t="s">
        <v>53394</v>
      </c>
      <c r="W13176" t="s">
        <v>37660</v>
      </c>
      <c r="X13176" t="s">
        <v>40504</v>
      </c>
    </row>
    <row r="13177" spans="1:24">
      <c r="A13177">
        <f>HYPERLINK("https://www.philgeps.gov.ph/GEPSNONPILOT/Tender/SplashBidNoticeAbstractUI.aspx?menuIndex=3&amp;refID=6936462&amp;Result=3","6936462")</f>
        <v>0</v>
      </c>
      <c r="B13177" t="s">
        <v>48</v>
      </c>
      <c r="C13177" t="s">
        <v>15707</v>
      </c>
      <c r="D13177" t="s">
        <v>16196</v>
      </c>
      <c r="E13177" t="s">
        <v>27754</v>
      </c>
      <c r="F13177" t="s">
        <v>28198</v>
      </c>
      <c r="G13177" t="s">
        <v>28205</v>
      </c>
      <c r="H13177" t="s">
        <v>28214</v>
      </c>
      <c r="I13177" t="s">
        <v>3797</v>
      </c>
      <c r="J13177" t="s">
        <v>36387</v>
      </c>
      <c r="K13177" t="s">
        <v>36943</v>
      </c>
      <c r="M13177" t="s">
        <v>39742</v>
      </c>
      <c r="N13177" t="s">
        <v>40436</v>
      </c>
      <c r="O13177" t="s">
        <v>40437</v>
      </c>
      <c r="Q13177">
        <v>21</v>
      </c>
      <c r="R13177" t="s">
        <v>40504</v>
      </c>
      <c r="S13177" t="s">
        <v>41688</v>
      </c>
      <c r="T13177" t="s">
        <v>42112</v>
      </c>
      <c r="U13177" t="s">
        <v>53395</v>
      </c>
      <c r="V13177" t="s">
        <v>46476</v>
      </c>
      <c r="W13177" t="s">
        <v>39742</v>
      </c>
      <c r="X13177" t="s">
        <v>40511</v>
      </c>
    </row>
    <row r="13178" spans="1:24">
      <c r="A13178">
        <f>HYPERLINK("https://www.philgeps.gov.ph/GEPSNONPILOT/Tender/SplashBidNoticeAbstractUI.aspx?menuIndex=3&amp;refID=6945555&amp;Result=3","6945555")</f>
        <v>0</v>
      </c>
      <c r="B13178" t="s">
        <v>2495</v>
      </c>
      <c r="C13178" t="s">
        <v>15708</v>
      </c>
      <c r="D13178" t="s">
        <v>16200</v>
      </c>
      <c r="E13178" t="s">
        <v>27755</v>
      </c>
      <c r="F13178" t="s">
        <v>28198</v>
      </c>
      <c r="G13178" t="s">
        <v>28205</v>
      </c>
      <c r="H13178" t="s">
        <v>28215</v>
      </c>
      <c r="I13178" t="s">
        <v>5100</v>
      </c>
      <c r="J13178" t="s">
        <v>36388</v>
      </c>
      <c r="K13178" t="s">
        <v>36688</v>
      </c>
      <c r="M13178" t="s">
        <v>39696</v>
      </c>
      <c r="N13178" t="s">
        <v>40436</v>
      </c>
      <c r="O13178" t="s">
        <v>40437</v>
      </c>
      <c r="Q13178">
        <v>7</v>
      </c>
      <c r="R13178" t="s">
        <v>40505</v>
      </c>
      <c r="S13178" t="s">
        <v>40927</v>
      </c>
      <c r="T13178" t="s">
        <v>42103</v>
      </c>
      <c r="U13178" t="s">
        <v>53396</v>
      </c>
      <c r="W13178" t="s">
        <v>39696</v>
      </c>
      <c r="X13178" t="s">
        <v>40504</v>
      </c>
    </row>
    <row r="13179" spans="1:24">
      <c r="A13179">
        <f>HYPERLINK("https://www.philgeps.gov.ph/GEPSNONPILOT/Tender/SplashBidNoticeAbstractUI.aspx?menuIndex=3&amp;refID=6943986&amp;Result=3","6943986")</f>
        <v>0</v>
      </c>
      <c r="B13179" t="s">
        <v>2947</v>
      </c>
      <c r="C13179" t="s">
        <v>15709</v>
      </c>
      <c r="D13179" t="s">
        <v>16188</v>
      </c>
      <c r="E13179" t="s">
        <v>27756</v>
      </c>
      <c r="F13179" t="s">
        <v>28198</v>
      </c>
      <c r="G13179" t="s">
        <v>28205</v>
      </c>
      <c r="H13179" t="s">
        <v>28214</v>
      </c>
      <c r="I13179" t="s">
        <v>3797</v>
      </c>
      <c r="J13179" t="s">
        <v>31936</v>
      </c>
      <c r="K13179" t="s">
        <v>36689</v>
      </c>
      <c r="L13179" t="s">
        <v>2947</v>
      </c>
      <c r="M13179" t="s">
        <v>40232</v>
      </c>
      <c r="N13179" t="s">
        <v>40436</v>
      </c>
      <c r="O13179" t="s">
        <v>40437</v>
      </c>
      <c r="Q13179">
        <v>1</v>
      </c>
      <c r="R13179" t="s">
        <v>40504</v>
      </c>
      <c r="S13179" t="s">
        <v>41689</v>
      </c>
      <c r="T13179" t="s">
        <v>42188</v>
      </c>
      <c r="U13179" t="s">
        <v>53397</v>
      </c>
      <c r="V13179" t="s">
        <v>55301</v>
      </c>
      <c r="W13179" t="s">
        <v>40232</v>
      </c>
      <c r="X13179" t="s">
        <v>40510</v>
      </c>
    </row>
    <row r="13180" spans="1:24">
      <c r="A13180">
        <f>HYPERLINK("https://www.philgeps.gov.ph/GEPSNONPILOT/Tender/SplashBidNoticeAbstractUI.aspx?menuIndex=3&amp;refID=6949041&amp;Result=3","6949041")</f>
        <v>0</v>
      </c>
      <c r="B13180" t="s">
        <v>1282</v>
      </c>
      <c r="C13180" t="s">
        <v>15710</v>
      </c>
      <c r="D13180" t="s">
        <v>16214</v>
      </c>
      <c r="E13180" t="s">
        <v>27757</v>
      </c>
      <c r="F13180" t="s">
        <v>28198</v>
      </c>
      <c r="G13180" t="s">
        <v>28205</v>
      </c>
      <c r="H13180" t="s">
        <v>28214</v>
      </c>
      <c r="I13180" t="s">
        <v>3797</v>
      </c>
      <c r="J13180" t="s">
        <v>34625</v>
      </c>
      <c r="K13180" t="s">
        <v>36804</v>
      </c>
      <c r="M13180" t="s">
        <v>39998</v>
      </c>
      <c r="N13180" t="s">
        <v>40436</v>
      </c>
      <c r="O13180" t="s">
        <v>40437</v>
      </c>
      <c r="Q13180">
        <v>6</v>
      </c>
      <c r="R13180" t="s">
        <v>40503</v>
      </c>
      <c r="S13180" t="s">
        <v>41690</v>
      </c>
      <c r="T13180" t="s">
        <v>42133</v>
      </c>
      <c r="U13180" t="s">
        <v>45679</v>
      </c>
      <c r="V13180" t="s">
        <v>55302</v>
      </c>
      <c r="W13180" t="s">
        <v>39998</v>
      </c>
      <c r="X13180" t="s">
        <v>40506</v>
      </c>
    </row>
    <row r="13181" spans="1:24">
      <c r="A13181">
        <f>HYPERLINK("https://www.philgeps.gov.ph/GEPSNONPILOT/Tender/SplashBidNoticeAbstractUI.aspx?menuIndex=3&amp;refID=6877106-2&amp;Result=3","6877106-2")</f>
        <v>0</v>
      </c>
      <c r="B13181" t="s">
        <v>2327</v>
      </c>
      <c r="C13181" t="s">
        <v>15711</v>
      </c>
      <c r="D13181" t="s">
        <v>16203</v>
      </c>
      <c r="E13181" t="s">
        <v>27758</v>
      </c>
      <c r="F13181" t="s">
        <v>28198</v>
      </c>
      <c r="G13181" t="s">
        <v>28205</v>
      </c>
      <c r="H13181" t="s">
        <v>28216</v>
      </c>
      <c r="I13181" t="s">
        <v>28216</v>
      </c>
      <c r="J13181" t="s">
        <v>36389</v>
      </c>
      <c r="K13181" t="s">
        <v>36692</v>
      </c>
      <c r="M13181" t="s">
        <v>39505</v>
      </c>
      <c r="N13181" t="s">
        <v>40436</v>
      </c>
      <c r="O13181" t="s">
        <v>40437</v>
      </c>
      <c r="Q13181">
        <v>1</v>
      </c>
      <c r="R13181" t="s">
        <v>40506</v>
      </c>
      <c r="S13181" t="s">
        <v>41691</v>
      </c>
      <c r="T13181" t="s">
        <v>42103</v>
      </c>
      <c r="U13181" t="s">
        <v>53398</v>
      </c>
      <c r="W13181" t="s">
        <v>39505</v>
      </c>
      <c r="X13181" t="s">
        <v>40505</v>
      </c>
    </row>
    <row r="13182" spans="1:24">
      <c r="A13182">
        <f>HYPERLINK("https://www.philgeps.gov.ph/GEPSNONPILOT/Tender/SplashBidNoticeAbstractUI.aspx?menuIndex=3&amp;refID=6955379&amp;Result=3","6955379")</f>
        <v>0</v>
      </c>
      <c r="B13182" t="s">
        <v>1370</v>
      </c>
      <c r="C13182" t="s">
        <v>15712</v>
      </c>
      <c r="D13182" t="s">
        <v>16213</v>
      </c>
      <c r="E13182" t="s">
        <v>27759</v>
      </c>
      <c r="F13182" t="s">
        <v>28198</v>
      </c>
      <c r="G13182" t="s">
        <v>28205</v>
      </c>
      <c r="H13182" t="s">
        <v>28214</v>
      </c>
      <c r="I13182" t="s">
        <v>3797</v>
      </c>
      <c r="J13182" t="s">
        <v>29325</v>
      </c>
      <c r="K13182" t="s">
        <v>36957</v>
      </c>
      <c r="M13182" t="s">
        <v>38432</v>
      </c>
      <c r="N13182" t="s">
        <v>40436</v>
      </c>
      <c r="O13182" t="s">
        <v>40437</v>
      </c>
      <c r="Q13182">
        <v>0</v>
      </c>
      <c r="R13182" t="s">
        <v>40501</v>
      </c>
      <c r="S13182" t="s">
        <v>41692</v>
      </c>
      <c r="T13182" t="s">
        <v>42603</v>
      </c>
      <c r="U13182" t="s">
        <v>53399</v>
      </c>
      <c r="W13182" t="s">
        <v>38432</v>
      </c>
      <c r="X13182" t="s">
        <v>55559</v>
      </c>
    </row>
    <row r="13183" spans="1:24">
      <c r="A13183">
        <f>HYPERLINK("https://www.philgeps.gov.ph/GEPSNONPILOT/Tender/SplashBidNoticeAbstractUI.aspx?menuIndex=3&amp;refID=6877479-2&amp;Result=3","6877479-2")</f>
        <v>0</v>
      </c>
      <c r="B13183" t="s">
        <v>2327</v>
      </c>
      <c r="C13183" t="s">
        <v>15713</v>
      </c>
      <c r="D13183" t="s">
        <v>16198</v>
      </c>
      <c r="E13183" t="s">
        <v>27760</v>
      </c>
      <c r="F13183" t="s">
        <v>28198</v>
      </c>
      <c r="G13183" t="s">
        <v>28205</v>
      </c>
      <c r="H13183" t="s">
        <v>28216</v>
      </c>
      <c r="I13183" t="s">
        <v>28216</v>
      </c>
      <c r="J13183" t="s">
        <v>36390</v>
      </c>
      <c r="K13183" t="s">
        <v>36690</v>
      </c>
      <c r="M13183" t="s">
        <v>39505</v>
      </c>
      <c r="N13183" t="s">
        <v>40436</v>
      </c>
      <c r="O13183" t="s">
        <v>40437</v>
      </c>
      <c r="Q13183">
        <v>1</v>
      </c>
      <c r="R13183" t="s">
        <v>40506</v>
      </c>
      <c r="S13183" t="s">
        <v>41693</v>
      </c>
      <c r="T13183" t="s">
        <v>42103</v>
      </c>
      <c r="U13183" t="s">
        <v>53400</v>
      </c>
      <c r="W13183" t="s">
        <v>39505</v>
      </c>
      <c r="X13183" t="s">
        <v>40505</v>
      </c>
    </row>
    <row r="13184" spans="1:24">
      <c r="A13184">
        <f>HYPERLINK("https://www.philgeps.gov.ph/GEPSNONPILOT/Tender/SplashBidNoticeAbstractUI.aspx?menuIndex=3&amp;refID=6948289&amp;Result=3","6948289")</f>
        <v>0</v>
      </c>
      <c r="B13184" t="s">
        <v>316</v>
      </c>
      <c r="C13184" t="s">
        <v>15714</v>
      </c>
      <c r="D13184" t="s">
        <v>16195</v>
      </c>
      <c r="E13184" t="s">
        <v>27761</v>
      </c>
      <c r="F13184" t="s">
        <v>28198</v>
      </c>
      <c r="G13184" t="s">
        <v>28205</v>
      </c>
      <c r="H13184" t="s">
        <v>28215</v>
      </c>
      <c r="I13184" t="s">
        <v>28234</v>
      </c>
      <c r="J13184" t="s">
        <v>36391</v>
      </c>
      <c r="K13184" t="s">
        <v>36701</v>
      </c>
      <c r="M13184" t="s">
        <v>37294</v>
      </c>
      <c r="N13184" t="s">
        <v>40436</v>
      </c>
      <c r="O13184" t="s">
        <v>40437</v>
      </c>
      <c r="Q13184">
        <v>7</v>
      </c>
      <c r="R13184" t="s">
        <v>40507</v>
      </c>
      <c r="S13184" t="s">
        <v>41694</v>
      </c>
      <c r="T13184" t="s">
        <v>42176</v>
      </c>
      <c r="U13184" t="s">
        <v>53401</v>
      </c>
      <c r="V13184" t="s">
        <v>55303</v>
      </c>
      <c r="W13184" t="s">
        <v>37294</v>
      </c>
      <c r="X13184" t="s">
        <v>40506</v>
      </c>
    </row>
    <row r="13185" spans="1:24">
      <c r="A13185">
        <f>HYPERLINK("https://www.philgeps.gov.ph/GEPSNONPILOT/Tender/SplashBidNoticeAbstractUI.aspx?menuIndex=3&amp;refID=6947100&amp;Result=3","6947100")</f>
        <v>0</v>
      </c>
      <c r="B13185" t="s">
        <v>2327</v>
      </c>
      <c r="C13185" t="s">
        <v>15715</v>
      </c>
      <c r="D13185" t="s">
        <v>16203</v>
      </c>
      <c r="E13185" t="s">
        <v>27762</v>
      </c>
      <c r="F13185" t="s">
        <v>28198</v>
      </c>
      <c r="G13185" t="s">
        <v>28205</v>
      </c>
      <c r="H13185" t="s">
        <v>28216</v>
      </c>
      <c r="I13185" t="s">
        <v>28216</v>
      </c>
      <c r="J13185" t="s">
        <v>36392</v>
      </c>
      <c r="K13185" t="s">
        <v>36692</v>
      </c>
      <c r="M13185" t="s">
        <v>39505</v>
      </c>
      <c r="N13185" t="s">
        <v>40436</v>
      </c>
      <c r="O13185" t="s">
        <v>40437</v>
      </c>
      <c r="Q13185">
        <v>0</v>
      </c>
      <c r="R13185" t="s">
        <v>40506</v>
      </c>
      <c r="S13185" t="s">
        <v>41695</v>
      </c>
      <c r="T13185" t="s">
        <v>42103</v>
      </c>
      <c r="U13185" t="s">
        <v>53402</v>
      </c>
      <c r="W13185" t="s">
        <v>39505</v>
      </c>
      <c r="X13185" t="s">
        <v>40505</v>
      </c>
    </row>
    <row r="13186" spans="1:24">
      <c r="A13186">
        <f>HYPERLINK("https://www.philgeps.gov.ph/GEPSNONPILOT/Tender/SplashBidNoticeAbstractUI.aspx?menuIndex=3&amp;refID=6877294-2&amp;Result=3","6877294-2")</f>
        <v>0</v>
      </c>
      <c r="B13186" t="s">
        <v>2327</v>
      </c>
      <c r="C13186" t="s">
        <v>15716</v>
      </c>
      <c r="D13186" t="s">
        <v>16203</v>
      </c>
      <c r="E13186" t="s">
        <v>27763</v>
      </c>
      <c r="F13186" t="s">
        <v>28198</v>
      </c>
      <c r="G13186" t="s">
        <v>28205</v>
      </c>
      <c r="H13186" t="s">
        <v>28216</v>
      </c>
      <c r="I13186" t="s">
        <v>28216</v>
      </c>
      <c r="J13186" t="s">
        <v>36393</v>
      </c>
      <c r="K13186" t="s">
        <v>36692</v>
      </c>
      <c r="M13186" t="s">
        <v>39505</v>
      </c>
      <c r="N13186" t="s">
        <v>40436</v>
      </c>
      <c r="O13186" t="s">
        <v>40437</v>
      </c>
      <c r="Q13186">
        <v>2</v>
      </c>
      <c r="R13186" t="s">
        <v>40506</v>
      </c>
      <c r="S13186" t="s">
        <v>41696</v>
      </c>
      <c r="T13186" t="s">
        <v>42103</v>
      </c>
      <c r="U13186" t="s">
        <v>53403</v>
      </c>
      <c r="W13186" t="s">
        <v>39505</v>
      </c>
      <c r="X13186" t="s">
        <v>40505</v>
      </c>
    </row>
    <row r="13187" spans="1:24">
      <c r="A13187">
        <f>HYPERLINK("https://www.philgeps.gov.ph/GEPSNONPILOT/Tender/SplashBidNoticeAbstractUI.aspx?menuIndex=3&amp;refID=6937816&amp;Result=3","6937816")</f>
        <v>0</v>
      </c>
      <c r="B13187" t="s">
        <v>3059</v>
      </c>
      <c r="C13187" t="s">
        <v>15717</v>
      </c>
      <c r="D13187" t="s">
        <v>16210</v>
      </c>
      <c r="E13187" t="s">
        <v>27764</v>
      </c>
      <c r="F13187" t="s">
        <v>28198</v>
      </c>
      <c r="G13187" t="s">
        <v>28205</v>
      </c>
      <c r="H13187" t="s">
        <v>28214</v>
      </c>
      <c r="I13187" t="s">
        <v>3797</v>
      </c>
      <c r="J13187" t="s">
        <v>31934</v>
      </c>
      <c r="K13187" t="s">
        <v>36690</v>
      </c>
      <c r="M13187" t="s">
        <v>40374</v>
      </c>
      <c r="N13187" t="s">
        <v>40436</v>
      </c>
      <c r="O13187" t="s">
        <v>40437</v>
      </c>
      <c r="Q13187">
        <v>17</v>
      </c>
      <c r="R13187" t="s">
        <v>40508</v>
      </c>
      <c r="S13187" t="s">
        <v>41697</v>
      </c>
      <c r="T13187" t="s">
        <v>42567</v>
      </c>
      <c r="U13187" t="s">
        <v>53404</v>
      </c>
      <c r="W13187" t="s">
        <v>55551</v>
      </c>
      <c r="X13187" t="s">
        <v>40511</v>
      </c>
    </row>
    <row r="13188" spans="1:24">
      <c r="A13188">
        <f>HYPERLINK("https://www.philgeps.gov.ph/GEPSNONPILOT/Tender/SplashBidNoticeAbstractUI.aspx?menuIndex=3&amp;refID=6939748&amp;Result=3","6939748")</f>
        <v>0</v>
      </c>
      <c r="B13188" t="s">
        <v>1964</v>
      </c>
      <c r="C13188" t="s">
        <v>15718</v>
      </c>
      <c r="D13188" t="s">
        <v>16221</v>
      </c>
      <c r="E13188" t="s">
        <v>27765</v>
      </c>
      <c r="F13188" t="s">
        <v>28198</v>
      </c>
      <c r="G13188" t="s">
        <v>28205</v>
      </c>
      <c r="H13188" t="s">
        <v>28214</v>
      </c>
      <c r="I13188" t="s">
        <v>3797</v>
      </c>
      <c r="J13188" t="s">
        <v>36394</v>
      </c>
      <c r="K13188" t="s">
        <v>36717</v>
      </c>
      <c r="M13188" t="s">
        <v>40375</v>
      </c>
      <c r="N13188" t="s">
        <v>40436</v>
      </c>
      <c r="O13188" t="s">
        <v>40437</v>
      </c>
      <c r="Q13188">
        <v>3</v>
      </c>
      <c r="R13188" t="s">
        <v>40509</v>
      </c>
      <c r="S13188" t="s">
        <v>41698</v>
      </c>
      <c r="T13188" t="s">
        <v>42604</v>
      </c>
      <c r="U13188" t="s">
        <v>53405</v>
      </c>
      <c r="W13188" t="s">
        <v>40375</v>
      </c>
      <c r="X13188" t="s">
        <v>55560</v>
      </c>
    </row>
    <row r="13189" spans="1:24">
      <c r="A13189">
        <f>HYPERLINK("https://www.philgeps.gov.ph/GEPSNONPILOT/Tender/SplashBidNoticeAbstractUI.aspx?menuIndex=3&amp;refID=6939956&amp;Result=3","6939956")</f>
        <v>0</v>
      </c>
      <c r="B13189" t="s">
        <v>2070</v>
      </c>
      <c r="C13189" t="s">
        <v>15719</v>
      </c>
      <c r="D13189" t="s">
        <v>16200</v>
      </c>
      <c r="E13189" t="s">
        <v>27766</v>
      </c>
      <c r="F13189" t="s">
        <v>28198</v>
      </c>
      <c r="G13189" t="s">
        <v>28205</v>
      </c>
      <c r="H13189" t="s">
        <v>28216</v>
      </c>
      <c r="I13189" t="s">
        <v>28216</v>
      </c>
      <c r="J13189" t="s">
        <v>34516</v>
      </c>
      <c r="K13189" t="s">
        <v>36692</v>
      </c>
      <c r="M13189" t="s">
        <v>40376</v>
      </c>
      <c r="N13189" t="s">
        <v>40436</v>
      </c>
      <c r="O13189" t="s">
        <v>40437</v>
      </c>
      <c r="Q13189">
        <v>2</v>
      </c>
      <c r="R13189" t="s">
        <v>40509</v>
      </c>
      <c r="S13189" t="s">
        <v>41699</v>
      </c>
      <c r="T13189" t="s">
        <v>42390</v>
      </c>
      <c r="U13189" t="s">
        <v>53406</v>
      </c>
      <c r="W13189" t="s">
        <v>40376</v>
      </c>
      <c r="X13189" t="s">
        <v>55560</v>
      </c>
    </row>
    <row r="13190" spans="1:24">
      <c r="A13190">
        <f>HYPERLINK("https://www.philgeps.gov.ph/GEPSNONPILOT/Tender/SplashBidNoticeAbstractUI.aspx?menuIndex=3&amp;refID=6939743&amp;Result=3","6939743")</f>
        <v>0</v>
      </c>
      <c r="B13190" t="s">
        <v>1964</v>
      </c>
      <c r="C13190" t="s">
        <v>15720</v>
      </c>
      <c r="D13190" t="s">
        <v>16221</v>
      </c>
      <c r="E13190" t="s">
        <v>27767</v>
      </c>
      <c r="F13190" t="s">
        <v>28198</v>
      </c>
      <c r="G13190" t="s">
        <v>28205</v>
      </c>
      <c r="H13190" t="s">
        <v>28214</v>
      </c>
      <c r="I13190" t="s">
        <v>3797</v>
      </c>
      <c r="J13190" t="s">
        <v>36395</v>
      </c>
      <c r="K13190" t="s">
        <v>36690</v>
      </c>
      <c r="M13190" t="s">
        <v>40375</v>
      </c>
      <c r="N13190" t="s">
        <v>40436</v>
      </c>
      <c r="O13190" t="s">
        <v>40437</v>
      </c>
      <c r="Q13190">
        <v>9</v>
      </c>
      <c r="R13190" t="s">
        <v>40509</v>
      </c>
      <c r="S13190" t="s">
        <v>40914</v>
      </c>
      <c r="T13190" t="s">
        <v>42139</v>
      </c>
      <c r="U13190" t="s">
        <v>53407</v>
      </c>
      <c r="W13190" t="s">
        <v>40375</v>
      </c>
      <c r="X13190" t="s">
        <v>55560</v>
      </c>
    </row>
    <row r="13191" spans="1:24">
      <c r="A13191">
        <f>HYPERLINK("https://www.philgeps.gov.ph/GEPSNONPILOT/Tender/SplashBidNoticeAbstractUI.aspx?menuIndex=3&amp;refID=6938600&amp;Result=3","6938600")</f>
        <v>0</v>
      </c>
      <c r="B13191" t="s">
        <v>3060</v>
      </c>
      <c r="C13191" t="s">
        <v>15721</v>
      </c>
      <c r="E13191" t="s">
        <v>27768</v>
      </c>
      <c r="F13191" t="s">
        <v>28198</v>
      </c>
      <c r="G13191" t="s">
        <v>28205</v>
      </c>
      <c r="H13191" t="s">
        <v>28217</v>
      </c>
      <c r="I13191" t="s">
        <v>6786</v>
      </c>
      <c r="J13191" t="s">
        <v>36396</v>
      </c>
      <c r="K13191" t="s">
        <v>36788</v>
      </c>
      <c r="M13191" t="s">
        <v>40377</v>
      </c>
      <c r="N13191" t="s">
        <v>40436</v>
      </c>
      <c r="O13191" t="s">
        <v>40437</v>
      </c>
      <c r="Q13191">
        <v>2</v>
      </c>
      <c r="R13191" t="s">
        <v>40509</v>
      </c>
      <c r="S13191" t="s">
        <v>41700</v>
      </c>
      <c r="T13191" t="s">
        <v>42195</v>
      </c>
      <c r="U13191" t="s">
        <v>53408</v>
      </c>
      <c r="W13191" t="s">
        <v>40377</v>
      </c>
      <c r="X13191" t="s">
        <v>40511</v>
      </c>
    </row>
    <row r="13192" spans="1:24">
      <c r="A13192">
        <f>HYPERLINK("https://www.philgeps.gov.ph/GEPSNONPILOT/Tender/SplashBidNoticeAbstractUI.aspx?menuIndex=3&amp;refID=6877324-2&amp;Result=3","6877324-2")</f>
        <v>0</v>
      </c>
      <c r="B13192" t="s">
        <v>2327</v>
      </c>
      <c r="C13192" t="s">
        <v>15722</v>
      </c>
      <c r="D13192" t="s">
        <v>16203</v>
      </c>
      <c r="E13192" t="s">
        <v>27769</v>
      </c>
      <c r="F13192" t="s">
        <v>28198</v>
      </c>
      <c r="G13192" t="s">
        <v>28205</v>
      </c>
      <c r="H13192" t="s">
        <v>28216</v>
      </c>
      <c r="I13192" t="s">
        <v>28216</v>
      </c>
      <c r="J13192" t="s">
        <v>36397</v>
      </c>
      <c r="K13192" t="s">
        <v>36690</v>
      </c>
      <c r="M13192" t="s">
        <v>39505</v>
      </c>
      <c r="N13192" t="s">
        <v>40436</v>
      </c>
      <c r="O13192" t="s">
        <v>40437</v>
      </c>
      <c r="Q13192">
        <v>1</v>
      </c>
      <c r="R13192" t="s">
        <v>40506</v>
      </c>
      <c r="S13192" t="s">
        <v>41701</v>
      </c>
      <c r="T13192" t="s">
        <v>42103</v>
      </c>
      <c r="U13192" t="s">
        <v>53409</v>
      </c>
      <c r="W13192" t="s">
        <v>39505</v>
      </c>
      <c r="X13192" t="s">
        <v>40505</v>
      </c>
    </row>
    <row r="13193" spans="1:24">
      <c r="A13193">
        <f>HYPERLINK("https://www.philgeps.gov.ph/GEPSNONPILOT/Tender/SplashBidNoticeAbstractUI.aspx?menuIndex=3&amp;refID=6937223&amp;Result=3","6937223")</f>
        <v>0</v>
      </c>
      <c r="B13193" t="s">
        <v>1370</v>
      </c>
      <c r="C13193" t="s">
        <v>15723</v>
      </c>
      <c r="D13193" t="s">
        <v>16213</v>
      </c>
      <c r="E13193" t="s">
        <v>27770</v>
      </c>
      <c r="F13193" t="s">
        <v>28198</v>
      </c>
      <c r="G13193" t="s">
        <v>28205</v>
      </c>
      <c r="H13193" t="s">
        <v>28214</v>
      </c>
      <c r="I13193" t="s">
        <v>3797</v>
      </c>
      <c r="J13193" t="s">
        <v>29679</v>
      </c>
      <c r="K13193" t="s">
        <v>36697</v>
      </c>
      <c r="M13193" t="s">
        <v>38432</v>
      </c>
      <c r="N13193" t="s">
        <v>40436</v>
      </c>
      <c r="O13193" t="s">
        <v>40437</v>
      </c>
      <c r="Q13193">
        <v>0</v>
      </c>
      <c r="R13193" t="s">
        <v>40508</v>
      </c>
      <c r="S13193" t="s">
        <v>41702</v>
      </c>
      <c r="T13193" t="s">
        <v>42602</v>
      </c>
      <c r="U13193" t="s">
        <v>53410</v>
      </c>
      <c r="W13193" t="s">
        <v>38432</v>
      </c>
      <c r="X13193" t="s">
        <v>40511</v>
      </c>
    </row>
    <row r="13194" spans="1:24">
      <c r="A13194">
        <f>HYPERLINK("https://www.philgeps.gov.ph/GEPSNONPILOT/Tender/SplashBidNoticeAbstractUI.aspx?menuIndex=3&amp;refID=6942512&amp;Result=3","6942512")</f>
        <v>0</v>
      </c>
      <c r="B13194" t="s">
        <v>2020</v>
      </c>
      <c r="C13194" t="s">
        <v>15724</v>
      </c>
      <c r="D13194" t="s">
        <v>16210</v>
      </c>
      <c r="E13194" t="s">
        <v>27771</v>
      </c>
      <c r="F13194" t="s">
        <v>28198</v>
      </c>
      <c r="G13194" t="s">
        <v>28205</v>
      </c>
      <c r="H13194" t="s">
        <v>28215</v>
      </c>
      <c r="I13194" t="s">
        <v>28225</v>
      </c>
      <c r="J13194" t="s">
        <v>30488</v>
      </c>
      <c r="K13194" t="s">
        <v>36689</v>
      </c>
      <c r="M13194" t="s">
        <v>40378</v>
      </c>
      <c r="N13194" t="s">
        <v>40436</v>
      </c>
      <c r="O13194" t="s">
        <v>40437</v>
      </c>
      <c r="Q13194">
        <v>94</v>
      </c>
      <c r="R13194" t="s">
        <v>40510</v>
      </c>
      <c r="S13194" t="s">
        <v>41703</v>
      </c>
      <c r="T13194" t="s">
        <v>42176</v>
      </c>
      <c r="U13194" t="s">
        <v>53411</v>
      </c>
      <c r="W13194" t="s">
        <v>40378</v>
      </c>
      <c r="X13194" t="s">
        <v>40509</v>
      </c>
    </row>
    <row r="13195" spans="1:24">
      <c r="A13195">
        <f>HYPERLINK("https://www.philgeps.gov.ph/GEPSNONPILOT/Tender/SplashBidNoticeAbstractUI.aspx?menuIndex=3&amp;refID=6942394&amp;Result=3","6942394")</f>
        <v>0</v>
      </c>
      <c r="B13195" t="s">
        <v>165</v>
      </c>
      <c r="C13195" t="s">
        <v>15725</v>
      </c>
      <c r="D13195" t="s">
        <v>16241</v>
      </c>
      <c r="E13195" t="s">
        <v>27772</v>
      </c>
      <c r="F13195" t="s">
        <v>28198</v>
      </c>
      <c r="G13195" t="s">
        <v>28207</v>
      </c>
      <c r="H13195" t="s">
        <v>28214</v>
      </c>
      <c r="I13195" t="s">
        <v>28240</v>
      </c>
      <c r="J13195" t="s">
        <v>36398</v>
      </c>
      <c r="K13195" t="s">
        <v>36701</v>
      </c>
      <c r="M13195" t="s">
        <v>37139</v>
      </c>
      <c r="N13195" t="s">
        <v>40436</v>
      </c>
      <c r="O13195" t="s">
        <v>40437</v>
      </c>
      <c r="Q13195">
        <v>3</v>
      </c>
      <c r="R13195" t="s">
        <v>40510</v>
      </c>
      <c r="S13195" t="s">
        <v>41704</v>
      </c>
      <c r="T13195" t="s">
        <v>42103</v>
      </c>
      <c r="U13195" t="s">
        <v>53412</v>
      </c>
      <c r="V13195" t="s">
        <v>55304</v>
      </c>
      <c r="W13195" t="s">
        <v>55518</v>
      </c>
      <c r="X13195" t="s">
        <v>40509</v>
      </c>
    </row>
    <row r="13196" spans="1:24">
      <c r="A13196">
        <f>HYPERLINK("https://www.philgeps.gov.ph/GEPSNONPILOT/Tender/SplashBidNoticeAbstractUI.aspx?menuIndex=3&amp;refID=6877395-2&amp;Result=3","6877395-2")</f>
        <v>0</v>
      </c>
      <c r="B13196" t="s">
        <v>2327</v>
      </c>
      <c r="C13196" t="s">
        <v>15726</v>
      </c>
      <c r="D13196" t="s">
        <v>16203</v>
      </c>
      <c r="E13196" t="s">
        <v>27769</v>
      </c>
      <c r="F13196" t="s">
        <v>28198</v>
      </c>
      <c r="G13196" t="s">
        <v>28205</v>
      </c>
      <c r="H13196" t="s">
        <v>28216</v>
      </c>
      <c r="I13196" t="s">
        <v>28216</v>
      </c>
      <c r="J13196" t="s">
        <v>36397</v>
      </c>
      <c r="K13196" t="s">
        <v>36690</v>
      </c>
      <c r="M13196" t="s">
        <v>39505</v>
      </c>
      <c r="N13196" t="s">
        <v>40436</v>
      </c>
      <c r="O13196" t="s">
        <v>40437</v>
      </c>
      <c r="Q13196">
        <v>1</v>
      </c>
      <c r="R13196" t="s">
        <v>40506</v>
      </c>
      <c r="S13196" t="s">
        <v>41705</v>
      </c>
      <c r="T13196" t="s">
        <v>42103</v>
      </c>
      <c r="U13196" t="s">
        <v>53413</v>
      </c>
      <c r="W13196" t="s">
        <v>39505</v>
      </c>
      <c r="X13196" t="s">
        <v>40505</v>
      </c>
    </row>
    <row r="13197" spans="1:24">
      <c r="A13197">
        <f>HYPERLINK("https://www.philgeps.gov.ph/GEPSNONPILOT/Tender/SplashBidNoticeAbstractUI.aspx?menuIndex=3&amp;refID=6935854&amp;Result=3","6935854")</f>
        <v>0</v>
      </c>
      <c r="B13197" t="s">
        <v>3061</v>
      </c>
      <c r="C13197" t="s">
        <v>15727</v>
      </c>
      <c r="D13197" t="s">
        <v>16208</v>
      </c>
      <c r="E13197" t="s">
        <v>27773</v>
      </c>
      <c r="F13197" t="s">
        <v>28198</v>
      </c>
      <c r="G13197" t="s">
        <v>28205</v>
      </c>
      <c r="H13197" t="s">
        <v>28216</v>
      </c>
      <c r="I13197" t="s">
        <v>28216</v>
      </c>
      <c r="J13197" t="s">
        <v>28730</v>
      </c>
      <c r="K13197" t="s">
        <v>36692</v>
      </c>
      <c r="M13197" t="s">
        <v>40379</v>
      </c>
      <c r="N13197" t="s">
        <v>40436</v>
      </c>
      <c r="O13197" t="s">
        <v>40437</v>
      </c>
      <c r="Q13197">
        <v>10</v>
      </c>
      <c r="R13197" t="s">
        <v>40508</v>
      </c>
      <c r="S13197" t="s">
        <v>41706</v>
      </c>
      <c r="T13197" t="s">
        <v>42605</v>
      </c>
      <c r="U13197" t="s">
        <v>53414</v>
      </c>
      <c r="V13197" t="s">
        <v>55305</v>
      </c>
      <c r="W13197" t="s">
        <v>40379</v>
      </c>
      <c r="X13197" t="s">
        <v>40512</v>
      </c>
    </row>
    <row r="13198" spans="1:24">
      <c r="A13198">
        <f>HYPERLINK("https://www.philgeps.gov.ph/GEPSNONPILOT/Tender/SplashBidNoticeAbstractUI.aspx?menuIndex=3&amp;refID=6942389&amp;Result=3","6942389")</f>
        <v>0</v>
      </c>
      <c r="B13198" t="s">
        <v>165</v>
      </c>
      <c r="C13198" t="s">
        <v>15728</v>
      </c>
      <c r="D13198" t="s">
        <v>16241</v>
      </c>
      <c r="E13198" t="s">
        <v>27774</v>
      </c>
      <c r="F13198" t="s">
        <v>28198</v>
      </c>
      <c r="G13198" t="s">
        <v>28207</v>
      </c>
      <c r="H13198" t="s">
        <v>28214</v>
      </c>
      <c r="I13198" t="s">
        <v>28240</v>
      </c>
      <c r="J13198" t="s">
        <v>36399</v>
      </c>
      <c r="K13198" t="s">
        <v>36701</v>
      </c>
      <c r="M13198" t="s">
        <v>37139</v>
      </c>
      <c r="N13198" t="s">
        <v>40436</v>
      </c>
      <c r="O13198" t="s">
        <v>40437</v>
      </c>
      <c r="Q13198">
        <v>2</v>
      </c>
      <c r="R13198" t="s">
        <v>40510</v>
      </c>
      <c r="S13198" t="s">
        <v>41707</v>
      </c>
      <c r="T13198" t="s">
        <v>42103</v>
      </c>
      <c r="U13198" t="s">
        <v>53412</v>
      </c>
      <c r="V13198" t="s">
        <v>55306</v>
      </c>
      <c r="W13198" t="s">
        <v>55518</v>
      </c>
      <c r="X13198" t="s">
        <v>40509</v>
      </c>
    </row>
    <row r="13199" spans="1:24">
      <c r="A13199">
        <f>HYPERLINK("https://www.philgeps.gov.ph/GEPSNONPILOT/Tender/SplashBidNoticeAbstractUI.aspx?menuIndex=3&amp;refID=6942382&amp;Result=3","6942382")</f>
        <v>0</v>
      </c>
      <c r="B13199" t="s">
        <v>462</v>
      </c>
      <c r="C13199" t="s">
        <v>15729</v>
      </c>
      <c r="D13199" t="s">
        <v>16199</v>
      </c>
      <c r="E13199" t="s">
        <v>27775</v>
      </c>
      <c r="F13199" t="s">
        <v>28198</v>
      </c>
      <c r="G13199" t="s">
        <v>28205</v>
      </c>
      <c r="H13199" t="s">
        <v>28214</v>
      </c>
      <c r="I13199" t="s">
        <v>3797</v>
      </c>
      <c r="J13199" t="s">
        <v>36400</v>
      </c>
      <c r="K13199" t="s">
        <v>36761</v>
      </c>
      <c r="M13199" t="s">
        <v>37446</v>
      </c>
      <c r="N13199" t="s">
        <v>40436</v>
      </c>
      <c r="O13199" t="s">
        <v>40437</v>
      </c>
      <c r="Q13199">
        <v>8</v>
      </c>
      <c r="R13199" t="s">
        <v>40510</v>
      </c>
      <c r="S13199" t="s">
        <v>41608</v>
      </c>
      <c r="T13199" t="s">
        <v>42104</v>
      </c>
      <c r="U13199" t="s">
        <v>53415</v>
      </c>
      <c r="W13199" t="s">
        <v>37446</v>
      </c>
      <c r="X13199" t="s">
        <v>40509</v>
      </c>
    </row>
    <row r="13200" spans="1:24">
      <c r="A13200">
        <f>HYPERLINK("https://www.philgeps.gov.ph/GEPSNONPILOT/Tender/SplashBidNoticeAbstractUI.aspx?menuIndex=3&amp;refID=6942251&amp;Result=3","6942251")</f>
        <v>0</v>
      </c>
      <c r="B13200" t="s">
        <v>1553</v>
      </c>
      <c r="C13200" t="s">
        <v>15730</v>
      </c>
      <c r="D13200" t="s">
        <v>16247</v>
      </c>
      <c r="E13200" t="s">
        <v>27776</v>
      </c>
      <c r="F13200" t="s">
        <v>28198</v>
      </c>
      <c r="G13200" t="s">
        <v>28205</v>
      </c>
      <c r="H13200" t="s">
        <v>28215</v>
      </c>
      <c r="I13200" t="s">
        <v>4505</v>
      </c>
      <c r="J13200" t="s">
        <v>36401</v>
      </c>
      <c r="K13200" t="s">
        <v>36701</v>
      </c>
      <c r="M13200" t="s">
        <v>38635</v>
      </c>
      <c r="N13200" t="s">
        <v>40436</v>
      </c>
      <c r="O13200" t="s">
        <v>40437</v>
      </c>
      <c r="Q13200">
        <v>11</v>
      </c>
      <c r="R13200" t="s">
        <v>40510</v>
      </c>
      <c r="S13200" t="s">
        <v>41708</v>
      </c>
      <c r="T13200" t="s">
        <v>42164</v>
      </c>
      <c r="U13200" t="s">
        <v>53416</v>
      </c>
      <c r="W13200" t="s">
        <v>38635</v>
      </c>
      <c r="X13200" t="s">
        <v>40509</v>
      </c>
    </row>
    <row r="13201" spans="1:24">
      <c r="A13201">
        <f>HYPERLINK("https://www.philgeps.gov.ph/GEPSNONPILOT/Tender/SplashBidNoticeAbstractUI.aspx?menuIndex=3&amp;refID=6941150&amp;Result=3","6941150")</f>
        <v>0</v>
      </c>
      <c r="B13201" t="s">
        <v>1607</v>
      </c>
      <c r="C13201" t="s">
        <v>15731</v>
      </c>
      <c r="D13201" t="s">
        <v>16221</v>
      </c>
      <c r="E13201" t="s">
        <v>27777</v>
      </c>
      <c r="F13201" t="s">
        <v>28198</v>
      </c>
      <c r="G13201" t="s">
        <v>28205</v>
      </c>
      <c r="H13201" t="s">
        <v>28214</v>
      </c>
      <c r="I13201" t="s">
        <v>28216</v>
      </c>
      <c r="J13201" t="s">
        <v>35416</v>
      </c>
      <c r="K13201" t="s">
        <v>36694</v>
      </c>
      <c r="M13201" t="s">
        <v>40059</v>
      </c>
      <c r="N13201" t="s">
        <v>40436</v>
      </c>
      <c r="O13201" t="s">
        <v>40437</v>
      </c>
      <c r="Q13201">
        <v>2</v>
      </c>
      <c r="R13201" t="s">
        <v>40510</v>
      </c>
      <c r="S13201" t="s">
        <v>41709</v>
      </c>
      <c r="T13201" t="s">
        <v>42134</v>
      </c>
      <c r="U13201" t="s">
        <v>53417</v>
      </c>
      <c r="V13201" t="s">
        <v>55307</v>
      </c>
      <c r="W13201" t="s">
        <v>40059</v>
      </c>
      <c r="X13201" t="s">
        <v>40509</v>
      </c>
    </row>
    <row r="13202" spans="1:24">
      <c r="A13202">
        <f>HYPERLINK("https://www.philgeps.gov.ph/GEPSNONPILOT/Tender/SplashBidNoticeAbstractUI.aspx?menuIndex=3&amp;refID=6941064&amp;Result=3","6941064")</f>
        <v>0</v>
      </c>
      <c r="B13202" t="s">
        <v>3062</v>
      </c>
      <c r="C13202" t="s">
        <v>15732</v>
      </c>
      <c r="D13202" t="s">
        <v>16203</v>
      </c>
      <c r="E13202" t="s">
        <v>27778</v>
      </c>
      <c r="F13202" t="s">
        <v>28198</v>
      </c>
      <c r="G13202" t="s">
        <v>28205</v>
      </c>
      <c r="H13202" t="s">
        <v>28215</v>
      </c>
      <c r="I13202" t="s">
        <v>28280</v>
      </c>
      <c r="J13202" t="s">
        <v>29316</v>
      </c>
      <c r="K13202" t="s">
        <v>36707</v>
      </c>
      <c r="M13202" t="s">
        <v>40380</v>
      </c>
      <c r="N13202" t="s">
        <v>40436</v>
      </c>
      <c r="O13202" t="s">
        <v>40437</v>
      </c>
      <c r="Q13202">
        <v>9</v>
      </c>
      <c r="R13202" t="s">
        <v>40510</v>
      </c>
      <c r="S13202" t="s">
        <v>41710</v>
      </c>
      <c r="T13202" t="s">
        <v>42163</v>
      </c>
      <c r="U13202" t="s">
        <v>53418</v>
      </c>
      <c r="W13202" t="s">
        <v>40380</v>
      </c>
      <c r="X13202" t="s">
        <v>40509</v>
      </c>
    </row>
    <row r="13203" spans="1:24">
      <c r="A13203">
        <f>HYPERLINK("https://www.philgeps.gov.ph/GEPSNONPILOT/Tender/SplashBidNoticeAbstractUI.aspx?menuIndex=3&amp;refID=6933995&amp;Result=3","6933995")</f>
        <v>0</v>
      </c>
      <c r="B13203" t="s">
        <v>3063</v>
      </c>
      <c r="C13203" t="s">
        <v>15733</v>
      </c>
      <c r="D13203" t="s">
        <v>16210</v>
      </c>
      <c r="E13203" t="s">
        <v>27779</v>
      </c>
      <c r="F13203" t="s">
        <v>28198</v>
      </c>
      <c r="G13203" t="s">
        <v>28207</v>
      </c>
      <c r="H13203" t="s">
        <v>28215</v>
      </c>
      <c r="I13203" t="s">
        <v>28258</v>
      </c>
      <c r="J13203" t="s">
        <v>36402</v>
      </c>
      <c r="K13203" t="s">
        <v>36689</v>
      </c>
      <c r="M13203" t="s">
        <v>40381</v>
      </c>
      <c r="N13203" t="s">
        <v>40436</v>
      </c>
      <c r="O13203" t="s">
        <v>40437</v>
      </c>
      <c r="Q13203">
        <v>16</v>
      </c>
      <c r="R13203" t="s">
        <v>40511</v>
      </c>
      <c r="S13203" t="s">
        <v>41711</v>
      </c>
      <c r="T13203" t="s">
        <v>42205</v>
      </c>
      <c r="U13203" t="s">
        <v>53419</v>
      </c>
      <c r="V13203" t="s">
        <v>55308</v>
      </c>
      <c r="W13203" t="s">
        <v>40381</v>
      </c>
      <c r="X13203" t="s">
        <v>40512</v>
      </c>
    </row>
    <row r="13204" spans="1:24">
      <c r="A13204">
        <f>HYPERLINK("https://www.philgeps.gov.ph/GEPSNONPILOT/Tender/SplashBidNoticeAbstractUI.aspx?menuIndex=3&amp;refID=6944175&amp;Result=3","6944175")</f>
        <v>0</v>
      </c>
      <c r="B13204" t="s">
        <v>686</v>
      </c>
      <c r="C13204" t="s">
        <v>15734</v>
      </c>
      <c r="D13204" t="s">
        <v>16195</v>
      </c>
      <c r="E13204" t="s">
        <v>27780</v>
      </c>
      <c r="F13204" t="s">
        <v>28198</v>
      </c>
      <c r="G13204" t="s">
        <v>28205</v>
      </c>
      <c r="H13204" t="s">
        <v>28215</v>
      </c>
      <c r="I13204" t="s">
        <v>28256</v>
      </c>
      <c r="J13204" t="s">
        <v>29479</v>
      </c>
      <c r="K13204" t="s">
        <v>36694</v>
      </c>
      <c r="M13204" t="s">
        <v>39569</v>
      </c>
      <c r="N13204" t="s">
        <v>40436</v>
      </c>
      <c r="O13204" t="s">
        <v>40437</v>
      </c>
      <c r="Q13204">
        <v>34</v>
      </c>
      <c r="R13204" t="s">
        <v>40504</v>
      </c>
      <c r="S13204" t="s">
        <v>41712</v>
      </c>
      <c r="T13204" t="s">
        <v>42168</v>
      </c>
      <c r="U13204" t="s">
        <v>53420</v>
      </c>
      <c r="V13204" t="s">
        <v>55309</v>
      </c>
      <c r="W13204" t="s">
        <v>39569</v>
      </c>
      <c r="X13204" t="s">
        <v>40510</v>
      </c>
    </row>
    <row r="13205" spans="1:24">
      <c r="A13205">
        <f>HYPERLINK("https://www.philgeps.gov.ph/GEPSNONPILOT/Tender/SplashBidNoticeAbstractUI.aspx?menuIndex=3&amp;refID=6933139&amp;Result=3","6933139")</f>
        <v>0</v>
      </c>
      <c r="B13205" t="s">
        <v>1854</v>
      </c>
      <c r="C13205" t="s">
        <v>15735</v>
      </c>
      <c r="D13205" t="s">
        <v>16191</v>
      </c>
      <c r="E13205" t="s">
        <v>27781</v>
      </c>
      <c r="F13205" t="s">
        <v>28198</v>
      </c>
      <c r="G13205" t="s">
        <v>28205</v>
      </c>
      <c r="H13205" t="s">
        <v>28215</v>
      </c>
      <c r="I13205" t="s">
        <v>28339</v>
      </c>
      <c r="J13205" t="s">
        <v>36403</v>
      </c>
      <c r="K13205" t="s">
        <v>36689</v>
      </c>
      <c r="M13205" t="s">
        <v>40277</v>
      </c>
      <c r="N13205" t="s">
        <v>40436</v>
      </c>
      <c r="O13205" t="s">
        <v>40437</v>
      </c>
      <c r="Q13205">
        <v>8</v>
      </c>
      <c r="R13205" t="s">
        <v>40511</v>
      </c>
      <c r="S13205" t="s">
        <v>41713</v>
      </c>
      <c r="T13205" t="s">
        <v>42189</v>
      </c>
      <c r="U13205" t="s">
        <v>53421</v>
      </c>
      <c r="V13205" t="s">
        <v>55206</v>
      </c>
      <c r="W13205" t="s">
        <v>40277</v>
      </c>
      <c r="X13205" t="s">
        <v>40512</v>
      </c>
    </row>
    <row r="13206" spans="1:24">
      <c r="A13206">
        <f>HYPERLINK("https://www.philgeps.gov.ph/GEPSNONPILOT/Tender/SplashBidNoticeAbstractUI.aspx?menuIndex=3&amp;refID=6940180&amp;Result=3","6940180")</f>
        <v>0</v>
      </c>
      <c r="B13206" t="s">
        <v>2452</v>
      </c>
      <c r="C13206" t="s">
        <v>15736</v>
      </c>
      <c r="D13206" t="s">
        <v>16264</v>
      </c>
      <c r="E13206" t="s">
        <v>27782</v>
      </c>
      <c r="F13206" t="s">
        <v>28198</v>
      </c>
      <c r="G13206" t="s">
        <v>28205</v>
      </c>
      <c r="H13206" t="s">
        <v>28214</v>
      </c>
      <c r="I13206" t="s">
        <v>3797</v>
      </c>
      <c r="J13206" t="s">
        <v>29546</v>
      </c>
      <c r="K13206" t="s">
        <v>36753</v>
      </c>
      <c r="M13206" t="s">
        <v>40369</v>
      </c>
      <c r="N13206" t="s">
        <v>40436</v>
      </c>
      <c r="O13206" t="s">
        <v>40437</v>
      </c>
      <c r="Q13206">
        <v>1</v>
      </c>
      <c r="R13206" t="s">
        <v>40510</v>
      </c>
      <c r="S13206" t="s">
        <v>41331</v>
      </c>
      <c r="T13206" t="s">
        <v>42218</v>
      </c>
      <c r="U13206" t="s">
        <v>53422</v>
      </c>
      <c r="V13206" t="s">
        <v>55310</v>
      </c>
      <c r="W13206" t="s">
        <v>40369</v>
      </c>
      <c r="X13206" t="s">
        <v>40509</v>
      </c>
    </row>
    <row r="13207" spans="1:24">
      <c r="A13207">
        <f>HYPERLINK("https://www.philgeps.gov.ph/GEPSNONPILOT/Tender/SplashBidNoticeAbstractUI.aspx?menuIndex=3&amp;refID=6929936&amp;Result=3","6929936")</f>
        <v>0</v>
      </c>
      <c r="B13207" t="s">
        <v>404</v>
      </c>
      <c r="C13207" t="s">
        <v>15737</v>
      </c>
      <c r="E13207" t="s">
        <v>27783</v>
      </c>
      <c r="F13207" t="s">
        <v>28198</v>
      </c>
      <c r="G13207" t="s">
        <v>28205</v>
      </c>
      <c r="H13207" t="s">
        <v>28215</v>
      </c>
      <c r="I13207" t="s">
        <v>28274</v>
      </c>
      <c r="J13207" t="s">
        <v>36404</v>
      </c>
      <c r="K13207" t="s">
        <v>36689</v>
      </c>
      <c r="M13207" t="s">
        <v>37385</v>
      </c>
      <c r="N13207" t="s">
        <v>40436</v>
      </c>
      <c r="O13207" t="s">
        <v>40437</v>
      </c>
      <c r="Q13207">
        <v>4</v>
      </c>
      <c r="R13207" t="s">
        <v>40511</v>
      </c>
      <c r="S13207" t="s">
        <v>41714</v>
      </c>
      <c r="T13207" t="s">
        <v>42219</v>
      </c>
      <c r="U13207" t="s">
        <v>53423</v>
      </c>
      <c r="V13207" t="s">
        <v>55311</v>
      </c>
      <c r="W13207" t="s">
        <v>55539</v>
      </c>
      <c r="X13207" t="s">
        <v>40514</v>
      </c>
    </row>
    <row r="13208" spans="1:24">
      <c r="A13208">
        <f>HYPERLINK("https://www.philgeps.gov.ph/GEPSNONPILOT/Tender/SplashBidNoticeAbstractUI.aspx?menuIndex=3&amp;refID=6944156&amp;Result=3","6944156")</f>
        <v>0</v>
      </c>
      <c r="B13208" t="s">
        <v>686</v>
      </c>
      <c r="C13208" t="s">
        <v>15738</v>
      </c>
      <c r="D13208" t="s">
        <v>16195</v>
      </c>
      <c r="E13208" t="s">
        <v>27784</v>
      </c>
      <c r="F13208" t="s">
        <v>28198</v>
      </c>
      <c r="G13208" t="s">
        <v>28205</v>
      </c>
      <c r="H13208" t="s">
        <v>28215</v>
      </c>
      <c r="I13208" t="s">
        <v>8888</v>
      </c>
      <c r="J13208" t="s">
        <v>36405</v>
      </c>
      <c r="K13208" t="s">
        <v>36701</v>
      </c>
      <c r="M13208" t="s">
        <v>39569</v>
      </c>
      <c r="N13208" t="s">
        <v>40436</v>
      </c>
      <c r="O13208" t="s">
        <v>40437</v>
      </c>
      <c r="Q13208">
        <v>7</v>
      </c>
      <c r="R13208" t="s">
        <v>40504</v>
      </c>
      <c r="S13208" t="s">
        <v>41715</v>
      </c>
      <c r="T13208" t="s">
        <v>42168</v>
      </c>
      <c r="U13208" t="s">
        <v>53424</v>
      </c>
      <c r="V13208" t="s">
        <v>55312</v>
      </c>
      <c r="W13208" t="s">
        <v>39569</v>
      </c>
      <c r="X13208" t="s">
        <v>40510</v>
      </c>
    </row>
    <row r="13209" spans="1:24">
      <c r="A13209">
        <f>HYPERLINK("https://www.philgeps.gov.ph/GEPSNONPILOT/Tender/SplashBidNoticeAbstractUI.aspx?menuIndex=3&amp;refID=6940940&amp;Result=3","6940940")</f>
        <v>0</v>
      </c>
      <c r="B13209" t="s">
        <v>1607</v>
      </c>
      <c r="C13209" t="s">
        <v>15739</v>
      </c>
      <c r="D13209" t="s">
        <v>16221</v>
      </c>
      <c r="E13209" t="s">
        <v>27785</v>
      </c>
      <c r="F13209" t="s">
        <v>28198</v>
      </c>
      <c r="G13209" t="s">
        <v>28205</v>
      </c>
      <c r="H13209" t="s">
        <v>28214</v>
      </c>
      <c r="I13209" t="s">
        <v>3797</v>
      </c>
      <c r="J13209" t="s">
        <v>36406</v>
      </c>
      <c r="K13209" t="s">
        <v>36710</v>
      </c>
      <c r="M13209" t="s">
        <v>40059</v>
      </c>
      <c r="N13209" t="s">
        <v>40436</v>
      </c>
      <c r="O13209" t="s">
        <v>40437</v>
      </c>
      <c r="Q13209">
        <v>18</v>
      </c>
      <c r="R13209" t="s">
        <v>40510</v>
      </c>
      <c r="S13209" t="s">
        <v>41716</v>
      </c>
      <c r="T13209" t="s">
        <v>42134</v>
      </c>
      <c r="U13209" t="s">
        <v>53417</v>
      </c>
      <c r="V13209" t="s">
        <v>55313</v>
      </c>
      <c r="W13209" t="s">
        <v>40059</v>
      </c>
      <c r="X13209" t="s">
        <v>40509</v>
      </c>
    </row>
    <row r="13210" spans="1:24">
      <c r="A13210">
        <f>HYPERLINK("https://www.philgeps.gov.ph/GEPSNONPILOT/Tender/SplashBidNoticeAbstractUI.aspx?menuIndex=3&amp;refID=6944113&amp;Result=3","6944113")</f>
        <v>0</v>
      </c>
      <c r="B13210" t="s">
        <v>686</v>
      </c>
      <c r="C13210" t="s">
        <v>15740</v>
      </c>
      <c r="D13210" t="s">
        <v>16195</v>
      </c>
      <c r="E13210" t="s">
        <v>27786</v>
      </c>
      <c r="F13210" t="s">
        <v>28198</v>
      </c>
      <c r="G13210" t="s">
        <v>28205</v>
      </c>
      <c r="H13210" t="s">
        <v>28215</v>
      </c>
      <c r="I13210" t="s">
        <v>28225</v>
      </c>
      <c r="J13210" t="s">
        <v>36407</v>
      </c>
      <c r="K13210" t="s">
        <v>36707</v>
      </c>
      <c r="M13210" t="s">
        <v>39569</v>
      </c>
      <c r="N13210" t="s">
        <v>40436</v>
      </c>
      <c r="O13210" t="s">
        <v>40437</v>
      </c>
      <c r="Q13210">
        <v>6</v>
      </c>
      <c r="R13210" t="s">
        <v>40504</v>
      </c>
      <c r="S13210" t="s">
        <v>41717</v>
      </c>
      <c r="T13210" t="s">
        <v>42168</v>
      </c>
      <c r="U13210" t="s">
        <v>53425</v>
      </c>
      <c r="V13210" t="s">
        <v>55314</v>
      </c>
      <c r="W13210" t="s">
        <v>39569</v>
      </c>
      <c r="X13210" t="s">
        <v>40510</v>
      </c>
    </row>
    <row r="13211" spans="1:24">
      <c r="A13211">
        <f>HYPERLINK("https://www.philgeps.gov.ph/GEPSNONPILOT/Tender/SplashBidNoticeAbstractUI.aspx?menuIndex=3&amp;refID=6935246&amp;Result=3","6935246")</f>
        <v>0</v>
      </c>
      <c r="B13211" t="s">
        <v>1964</v>
      </c>
      <c r="C13211" t="s">
        <v>15741</v>
      </c>
      <c r="D13211" t="s">
        <v>16221</v>
      </c>
      <c r="E13211" t="s">
        <v>27787</v>
      </c>
      <c r="F13211" t="s">
        <v>28198</v>
      </c>
      <c r="G13211" t="s">
        <v>28205</v>
      </c>
      <c r="H13211" t="s">
        <v>28215</v>
      </c>
      <c r="I13211" t="s">
        <v>28226</v>
      </c>
      <c r="J13211" t="s">
        <v>28511</v>
      </c>
      <c r="K13211" t="s">
        <v>36689</v>
      </c>
      <c r="M13211" t="s">
        <v>40382</v>
      </c>
      <c r="N13211" t="s">
        <v>40436</v>
      </c>
      <c r="O13211" t="s">
        <v>40437</v>
      </c>
      <c r="Q13211">
        <v>15</v>
      </c>
      <c r="R13211" t="s">
        <v>40511</v>
      </c>
      <c r="S13211" t="s">
        <v>41718</v>
      </c>
      <c r="T13211" t="s">
        <v>42606</v>
      </c>
      <c r="U13211" t="s">
        <v>53426</v>
      </c>
      <c r="V13211" t="s">
        <v>55315</v>
      </c>
      <c r="W13211" t="s">
        <v>40382</v>
      </c>
      <c r="X13211" t="s">
        <v>40512</v>
      </c>
    </row>
    <row r="13212" spans="1:24">
      <c r="A13212">
        <f>HYPERLINK("https://www.philgeps.gov.ph/GEPSNONPILOT/Tender/SplashBidNoticeAbstractUI.aspx?menuIndex=3&amp;refID=6935065&amp;Result=3","6935065")</f>
        <v>0</v>
      </c>
      <c r="B13212" t="s">
        <v>1964</v>
      </c>
      <c r="C13212" t="s">
        <v>15742</v>
      </c>
      <c r="D13212" t="s">
        <v>16221</v>
      </c>
      <c r="E13212" t="s">
        <v>27788</v>
      </c>
      <c r="F13212" t="s">
        <v>28198</v>
      </c>
      <c r="G13212" t="s">
        <v>28205</v>
      </c>
      <c r="H13212" t="s">
        <v>28215</v>
      </c>
      <c r="I13212" t="s">
        <v>4168</v>
      </c>
      <c r="J13212" t="s">
        <v>28415</v>
      </c>
      <c r="K13212" t="s">
        <v>36689</v>
      </c>
      <c r="M13212" t="s">
        <v>40382</v>
      </c>
      <c r="N13212" t="s">
        <v>40436</v>
      </c>
      <c r="O13212" t="s">
        <v>40437</v>
      </c>
      <c r="Q13212">
        <v>4</v>
      </c>
      <c r="R13212" t="s">
        <v>40511</v>
      </c>
      <c r="S13212" t="s">
        <v>41719</v>
      </c>
      <c r="T13212" t="s">
        <v>42606</v>
      </c>
      <c r="U13212" t="s">
        <v>53427</v>
      </c>
      <c r="V13212" t="s">
        <v>55316</v>
      </c>
      <c r="W13212" t="s">
        <v>40382</v>
      </c>
      <c r="X13212" t="s">
        <v>40512</v>
      </c>
    </row>
    <row r="13213" spans="1:24">
      <c r="A13213">
        <f>HYPERLINK("https://www.philgeps.gov.ph/GEPSNONPILOT/Tender/SplashBidNoticeAbstractUI.aspx?menuIndex=3&amp;refID=6934642&amp;Result=3","6934642")</f>
        <v>0</v>
      </c>
      <c r="B13213" t="s">
        <v>1370</v>
      </c>
      <c r="C13213" t="s">
        <v>15743</v>
      </c>
      <c r="D13213" t="s">
        <v>16213</v>
      </c>
      <c r="E13213" t="s">
        <v>27789</v>
      </c>
      <c r="F13213" t="s">
        <v>28198</v>
      </c>
      <c r="G13213" t="s">
        <v>28205</v>
      </c>
      <c r="H13213" t="s">
        <v>28214</v>
      </c>
      <c r="I13213" t="s">
        <v>3797</v>
      </c>
      <c r="J13213" t="s">
        <v>29679</v>
      </c>
      <c r="K13213" t="s">
        <v>36692</v>
      </c>
      <c r="M13213" t="s">
        <v>38432</v>
      </c>
      <c r="N13213" t="s">
        <v>40436</v>
      </c>
      <c r="O13213" t="s">
        <v>40437</v>
      </c>
      <c r="Q13213">
        <v>0</v>
      </c>
      <c r="R13213" t="s">
        <v>40511</v>
      </c>
      <c r="S13213" t="s">
        <v>41720</v>
      </c>
      <c r="T13213" t="s">
        <v>42166</v>
      </c>
      <c r="U13213" t="s">
        <v>53428</v>
      </c>
      <c r="W13213" t="s">
        <v>38432</v>
      </c>
      <c r="X13213" t="s">
        <v>40512</v>
      </c>
    </row>
    <row r="13214" spans="1:24">
      <c r="A13214">
        <f>HYPERLINK("https://www.philgeps.gov.ph/GEPSNONPILOT/Tender/SplashBidNoticeAbstractUI.aspx?menuIndex=3&amp;refID=6944133&amp;Result=3","6944133")</f>
        <v>0</v>
      </c>
      <c r="B13214" t="s">
        <v>686</v>
      </c>
      <c r="C13214" t="s">
        <v>15744</v>
      </c>
      <c r="D13214" t="s">
        <v>16195</v>
      </c>
      <c r="E13214" t="s">
        <v>27790</v>
      </c>
      <c r="F13214" t="s">
        <v>28198</v>
      </c>
      <c r="G13214" t="s">
        <v>28205</v>
      </c>
      <c r="H13214" t="s">
        <v>28215</v>
      </c>
      <c r="I13214" t="s">
        <v>8888</v>
      </c>
      <c r="J13214" t="s">
        <v>36408</v>
      </c>
      <c r="K13214" t="s">
        <v>36701</v>
      </c>
      <c r="M13214" t="s">
        <v>39569</v>
      </c>
      <c r="N13214" t="s">
        <v>40436</v>
      </c>
      <c r="O13214" t="s">
        <v>40437</v>
      </c>
      <c r="Q13214">
        <v>12</v>
      </c>
      <c r="R13214" t="s">
        <v>40504</v>
      </c>
      <c r="S13214" t="s">
        <v>41721</v>
      </c>
      <c r="T13214" t="s">
        <v>42168</v>
      </c>
      <c r="U13214" t="s">
        <v>53429</v>
      </c>
      <c r="V13214" t="s">
        <v>55317</v>
      </c>
      <c r="W13214" t="s">
        <v>39569</v>
      </c>
      <c r="X13214" t="s">
        <v>40510</v>
      </c>
    </row>
    <row r="13215" spans="1:24">
      <c r="A13215">
        <f>HYPERLINK("https://www.philgeps.gov.ph/GEPSNONPILOT/Tender/SplashBidNoticeAbstractUI.aspx?menuIndex=3&amp;refID=6937865&amp;Result=3","6937865")</f>
        <v>0</v>
      </c>
      <c r="B13215" t="s">
        <v>3059</v>
      </c>
      <c r="C13215" t="s">
        <v>15745</v>
      </c>
      <c r="D13215" t="s">
        <v>16210</v>
      </c>
      <c r="E13215" t="s">
        <v>27791</v>
      </c>
      <c r="F13215" t="s">
        <v>28198</v>
      </c>
      <c r="G13215" t="s">
        <v>28205</v>
      </c>
      <c r="H13215" t="s">
        <v>28214</v>
      </c>
      <c r="I13215" t="s">
        <v>3797</v>
      </c>
      <c r="J13215" t="s">
        <v>36409</v>
      </c>
      <c r="K13215" t="s">
        <v>36735</v>
      </c>
      <c r="M13215" t="s">
        <v>40374</v>
      </c>
      <c r="N13215" t="s">
        <v>40436</v>
      </c>
      <c r="O13215" t="s">
        <v>40437</v>
      </c>
      <c r="Q13215">
        <v>14</v>
      </c>
      <c r="R13215" t="s">
        <v>40508</v>
      </c>
      <c r="S13215" t="s">
        <v>40785</v>
      </c>
      <c r="T13215" t="s">
        <v>42133</v>
      </c>
      <c r="U13215" t="s">
        <v>53404</v>
      </c>
      <c r="W13215" t="s">
        <v>55551</v>
      </c>
      <c r="X13215" t="s">
        <v>40511</v>
      </c>
    </row>
    <row r="13216" spans="1:24">
      <c r="A13216">
        <f>HYPERLINK("https://www.philgeps.gov.ph/GEPSNONPILOT/Tender/SplashBidNoticeAbstractUI.aspx?menuIndex=3&amp;refID=6917834&amp;Result=3","6917834")</f>
        <v>0</v>
      </c>
      <c r="B13216" t="s">
        <v>34</v>
      </c>
      <c r="C13216" t="s">
        <v>15746</v>
      </c>
      <c r="D13216" t="s">
        <v>16195</v>
      </c>
      <c r="E13216" t="s">
        <v>27792</v>
      </c>
      <c r="F13216" t="s">
        <v>28198</v>
      </c>
      <c r="G13216" t="s">
        <v>28205</v>
      </c>
      <c r="H13216" t="s">
        <v>28215</v>
      </c>
      <c r="I13216" t="s">
        <v>6786</v>
      </c>
      <c r="J13216" t="s">
        <v>36410</v>
      </c>
      <c r="K13216" t="s">
        <v>36984</v>
      </c>
      <c r="M13216" t="s">
        <v>37003</v>
      </c>
      <c r="N13216" t="s">
        <v>40436</v>
      </c>
      <c r="O13216" t="s">
        <v>40437</v>
      </c>
      <c r="Q13216">
        <v>3</v>
      </c>
      <c r="R13216" t="s">
        <v>40511</v>
      </c>
      <c r="S13216" t="s">
        <v>41722</v>
      </c>
      <c r="T13216" t="s">
        <v>42607</v>
      </c>
      <c r="U13216" t="s">
        <v>53430</v>
      </c>
      <c r="V13216" t="s">
        <v>53826</v>
      </c>
      <c r="W13216" t="s">
        <v>37003</v>
      </c>
      <c r="X13216" t="s">
        <v>40519</v>
      </c>
    </row>
    <row r="13217" spans="1:24">
      <c r="A13217">
        <f>HYPERLINK("https://www.philgeps.gov.ph/GEPSNONPILOT/Tender/SplashBidNoticeAbstractUI.aspx?menuIndex=3&amp;refID=6934373&amp;Result=3","6934373")</f>
        <v>0</v>
      </c>
      <c r="B13217" t="s">
        <v>1370</v>
      </c>
      <c r="C13217" t="s">
        <v>15747</v>
      </c>
      <c r="D13217" t="s">
        <v>16213</v>
      </c>
      <c r="E13217" t="s">
        <v>27793</v>
      </c>
      <c r="F13217" t="s">
        <v>28198</v>
      </c>
      <c r="G13217" t="s">
        <v>28205</v>
      </c>
      <c r="H13217" t="s">
        <v>28214</v>
      </c>
      <c r="I13217" t="s">
        <v>3797</v>
      </c>
      <c r="J13217" t="s">
        <v>29552</v>
      </c>
      <c r="K13217" t="s">
        <v>36804</v>
      </c>
      <c r="M13217" t="s">
        <v>38432</v>
      </c>
      <c r="N13217" t="s">
        <v>40436</v>
      </c>
      <c r="O13217" t="s">
        <v>40437</v>
      </c>
      <c r="Q13217">
        <v>0</v>
      </c>
      <c r="R13217" t="s">
        <v>40511</v>
      </c>
      <c r="S13217" t="s">
        <v>41723</v>
      </c>
      <c r="T13217" t="s">
        <v>42166</v>
      </c>
      <c r="U13217" t="s">
        <v>53431</v>
      </c>
      <c r="W13217" t="s">
        <v>38432</v>
      </c>
      <c r="X13217" t="s">
        <v>40512</v>
      </c>
    </row>
    <row r="13218" spans="1:24">
      <c r="A13218">
        <f>HYPERLINK("https://www.philgeps.gov.ph/GEPSNONPILOT/Tender/SplashBidNoticeAbstractUI.aspx?menuIndex=3&amp;refID=6934183&amp;Result=3","6934183")</f>
        <v>0</v>
      </c>
      <c r="B13218" t="s">
        <v>2639</v>
      </c>
      <c r="C13218" t="s">
        <v>15748</v>
      </c>
      <c r="D13218" t="s">
        <v>16210</v>
      </c>
      <c r="E13218" t="s">
        <v>27794</v>
      </c>
      <c r="F13218" t="s">
        <v>28198</v>
      </c>
      <c r="G13218" t="s">
        <v>28207</v>
      </c>
      <c r="H13218" t="s">
        <v>28215</v>
      </c>
      <c r="I13218" t="s">
        <v>3774</v>
      </c>
      <c r="J13218" t="s">
        <v>30055</v>
      </c>
      <c r="K13218" t="s">
        <v>36694</v>
      </c>
      <c r="M13218" t="s">
        <v>39864</v>
      </c>
      <c r="N13218" t="s">
        <v>40436</v>
      </c>
      <c r="O13218" t="s">
        <v>40437</v>
      </c>
      <c r="Q13218">
        <v>3</v>
      </c>
      <c r="R13218" t="s">
        <v>40511</v>
      </c>
      <c r="S13218" t="s">
        <v>41724</v>
      </c>
      <c r="T13218" t="s">
        <v>42133</v>
      </c>
      <c r="U13218" t="s">
        <v>53432</v>
      </c>
      <c r="W13218" t="s">
        <v>39864</v>
      </c>
      <c r="X13218" t="s">
        <v>40512</v>
      </c>
    </row>
    <row r="13219" spans="1:24">
      <c r="A13219">
        <f>HYPERLINK("https://www.philgeps.gov.ph/GEPSNONPILOT/Tender/SplashBidNoticeAbstractUI.aspx?menuIndex=3&amp;refID=6938859&amp;Result=3","6938859")</f>
        <v>0</v>
      </c>
      <c r="B13219" t="s">
        <v>1370</v>
      </c>
      <c r="C13219" t="s">
        <v>15749</v>
      </c>
      <c r="D13219" t="s">
        <v>16213</v>
      </c>
      <c r="E13219" t="s">
        <v>27795</v>
      </c>
      <c r="F13219" t="s">
        <v>28198</v>
      </c>
      <c r="G13219" t="s">
        <v>28205</v>
      </c>
      <c r="H13219" t="s">
        <v>28214</v>
      </c>
      <c r="I13219" t="s">
        <v>3797</v>
      </c>
      <c r="J13219" t="s">
        <v>29679</v>
      </c>
      <c r="K13219" t="s">
        <v>36697</v>
      </c>
      <c r="M13219" t="s">
        <v>38432</v>
      </c>
      <c r="N13219" t="s">
        <v>40436</v>
      </c>
      <c r="O13219" t="s">
        <v>40437</v>
      </c>
      <c r="Q13219">
        <v>0</v>
      </c>
      <c r="R13219" t="s">
        <v>40508</v>
      </c>
      <c r="S13219" t="s">
        <v>40798</v>
      </c>
      <c r="T13219" t="s">
        <v>42602</v>
      </c>
      <c r="U13219" t="s">
        <v>53433</v>
      </c>
      <c r="W13219" t="s">
        <v>38432</v>
      </c>
      <c r="X13219" t="s">
        <v>40511</v>
      </c>
    </row>
    <row r="13220" spans="1:24">
      <c r="A13220">
        <f>HYPERLINK("https://www.philgeps.gov.ph/GEPSNONPILOT/Tender/SplashBidNoticeAbstractUI.aspx?menuIndex=3&amp;refID=6935285&amp;Result=3","6935285")</f>
        <v>0</v>
      </c>
      <c r="B13220" t="s">
        <v>1370</v>
      </c>
      <c r="C13220" t="s">
        <v>15750</v>
      </c>
      <c r="D13220" t="s">
        <v>16213</v>
      </c>
      <c r="E13220" t="s">
        <v>27796</v>
      </c>
      <c r="F13220" t="s">
        <v>28198</v>
      </c>
      <c r="G13220" t="s">
        <v>28205</v>
      </c>
      <c r="H13220" t="s">
        <v>28214</v>
      </c>
      <c r="I13220" t="s">
        <v>3797</v>
      </c>
      <c r="J13220" t="s">
        <v>29526</v>
      </c>
      <c r="K13220" t="s">
        <v>36937</v>
      </c>
      <c r="M13220" t="s">
        <v>38432</v>
      </c>
      <c r="N13220" t="s">
        <v>40436</v>
      </c>
      <c r="O13220" t="s">
        <v>40437</v>
      </c>
      <c r="Q13220">
        <v>0</v>
      </c>
      <c r="R13220" t="s">
        <v>40511</v>
      </c>
      <c r="S13220" t="s">
        <v>41725</v>
      </c>
      <c r="T13220" t="s">
        <v>42166</v>
      </c>
      <c r="U13220" t="s">
        <v>53434</v>
      </c>
      <c r="W13220" t="s">
        <v>38432</v>
      </c>
      <c r="X13220" t="s">
        <v>40512</v>
      </c>
    </row>
    <row r="13221" spans="1:24">
      <c r="A13221">
        <f>HYPERLINK("https://www.philgeps.gov.ph/GEPSNONPILOT/Tender/SplashBidNoticeAbstractUI.aspx?menuIndex=3&amp;refID=6935540&amp;Result=3","6935540")</f>
        <v>0</v>
      </c>
      <c r="B13221" t="s">
        <v>1964</v>
      </c>
      <c r="C13221" t="s">
        <v>15751</v>
      </c>
      <c r="D13221" t="s">
        <v>16221</v>
      </c>
      <c r="E13221" t="s">
        <v>27797</v>
      </c>
      <c r="F13221" t="s">
        <v>28198</v>
      </c>
      <c r="G13221" t="s">
        <v>28205</v>
      </c>
      <c r="H13221" t="s">
        <v>28215</v>
      </c>
      <c r="I13221" t="s">
        <v>28247</v>
      </c>
      <c r="J13221" t="s">
        <v>36411</v>
      </c>
      <c r="K13221" t="s">
        <v>36689</v>
      </c>
      <c r="M13221" t="s">
        <v>40382</v>
      </c>
      <c r="N13221" t="s">
        <v>40436</v>
      </c>
      <c r="O13221" t="s">
        <v>40437</v>
      </c>
      <c r="Q13221">
        <v>35</v>
      </c>
      <c r="R13221" t="s">
        <v>40511</v>
      </c>
      <c r="S13221" t="s">
        <v>41726</v>
      </c>
      <c r="T13221" t="s">
        <v>42608</v>
      </c>
      <c r="U13221" t="s">
        <v>53435</v>
      </c>
      <c r="V13221" t="s">
        <v>55318</v>
      </c>
      <c r="W13221" t="s">
        <v>40382</v>
      </c>
      <c r="X13221" t="s">
        <v>40512</v>
      </c>
    </row>
    <row r="13222" spans="1:24">
      <c r="A13222">
        <f>HYPERLINK("https://www.philgeps.gov.ph/GEPSNONPILOT/Tender/SplashBidNoticeAbstractUI.aspx?menuIndex=3&amp;refID=6938806&amp;Result=3","6938806")</f>
        <v>0</v>
      </c>
      <c r="B13222" t="s">
        <v>1370</v>
      </c>
      <c r="C13222" t="s">
        <v>15752</v>
      </c>
      <c r="D13222" t="s">
        <v>16213</v>
      </c>
      <c r="E13222" t="s">
        <v>27798</v>
      </c>
      <c r="F13222" t="s">
        <v>28198</v>
      </c>
      <c r="G13222" t="s">
        <v>28205</v>
      </c>
      <c r="H13222" t="s">
        <v>28214</v>
      </c>
      <c r="I13222" t="s">
        <v>3797</v>
      </c>
      <c r="J13222" t="s">
        <v>29679</v>
      </c>
      <c r="K13222" t="s">
        <v>36697</v>
      </c>
      <c r="M13222" t="s">
        <v>38432</v>
      </c>
      <c r="N13222" t="s">
        <v>40436</v>
      </c>
      <c r="O13222" t="s">
        <v>40437</v>
      </c>
      <c r="Q13222">
        <v>0</v>
      </c>
      <c r="R13222" t="s">
        <v>40508</v>
      </c>
      <c r="S13222" t="s">
        <v>41727</v>
      </c>
      <c r="T13222" t="s">
        <v>42602</v>
      </c>
      <c r="U13222" t="s">
        <v>53436</v>
      </c>
      <c r="W13222" t="s">
        <v>38432</v>
      </c>
      <c r="X13222" t="s">
        <v>40511</v>
      </c>
    </row>
    <row r="13223" spans="1:24">
      <c r="A13223">
        <f>HYPERLINK("https://www.philgeps.gov.ph/GEPSNONPILOT/Tender/SplashBidNoticeAbstractUI.aspx?menuIndex=3&amp;refID=6924512&amp;Result=3","6924512")</f>
        <v>0</v>
      </c>
      <c r="B13223" t="s">
        <v>34</v>
      </c>
      <c r="C13223" t="s">
        <v>15753</v>
      </c>
      <c r="D13223" t="s">
        <v>16195</v>
      </c>
      <c r="E13223" t="s">
        <v>27799</v>
      </c>
      <c r="F13223" t="s">
        <v>28198</v>
      </c>
      <c r="G13223" t="s">
        <v>28205</v>
      </c>
      <c r="H13223" t="s">
        <v>28214</v>
      </c>
      <c r="I13223" t="s">
        <v>3797</v>
      </c>
      <c r="J13223" t="s">
        <v>36412</v>
      </c>
      <c r="K13223" t="s">
        <v>36985</v>
      </c>
      <c r="M13223" t="s">
        <v>39280</v>
      </c>
      <c r="N13223" t="s">
        <v>40436</v>
      </c>
      <c r="O13223" t="s">
        <v>40437</v>
      </c>
      <c r="Q13223">
        <v>12</v>
      </c>
      <c r="R13223" t="s">
        <v>40511</v>
      </c>
      <c r="S13223" t="s">
        <v>41728</v>
      </c>
      <c r="T13223" t="s">
        <v>42346</v>
      </c>
      <c r="U13223" t="s">
        <v>46771</v>
      </c>
      <c r="V13223" t="s">
        <v>53826</v>
      </c>
      <c r="W13223" t="s">
        <v>39280</v>
      </c>
      <c r="X13223" t="s">
        <v>40516</v>
      </c>
    </row>
    <row r="13224" spans="1:24">
      <c r="A13224">
        <f>HYPERLINK("https://www.philgeps.gov.ph/GEPSNONPILOT/Tender/SplashBidNoticeAbstractUI.aspx?menuIndex=3&amp;refID=6935377&amp;Result=3","6935377")</f>
        <v>0</v>
      </c>
      <c r="B13224" t="s">
        <v>1964</v>
      </c>
      <c r="C13224" t="s">
        <v>15754</v>
      </c>
      <c r="D13224" t="s">
        <v>16221</v>
      </c>
      <c r="E13224" t="s">
        <v>27800</v>
      </c>
      <c r="F13224" t="s">
        <v>28198</v>
      </c>
      <c r="G13224" t="s">
        <v>28205</v>
      </c>
      <c r="H13224" t="s">
        <v>28215</v>
      </c>
      <c r="I13224" t="s">
        <v>28234</v>
      </c>
      <c r="J13224" t="s">
        <v>36413</v>
      </c>
      <c r="K13224" t="s">
        <v>36689</v>
      </c>
      <c r="M13224" t="s">
        <v>40382</v>
      </c>
      <c r="N13224" t="s">
        <v>40436</v>
      </c>
      <c r="O13224" t="s">
        <v>40437</v>
      </c>
      <c r="Q13224">
        <v>12</v>
      </c>
      <c r="R13224" t="s">
        <v>40511</v>
      </c>
      <c r="S13224" t="s">
        <v>40830</v>
      </c>
      <c r="T13224" t="s">
        <v>42608</v>
      </c>
      <c r="U13224" t="s">
        <v>53437</v>
      </c>
      <c r="V13224" t="s">
        <v>55318</v>
      </c>
      <c r="W13224" t="s">
        <v>40382</v>
      </c>
      <c r="X13224" t="s">
        <v>40512</v>
      </c>
    </row>
    <row r="13225" spans="1:24">
      <c r="A13225">
        <f>HYPERLINK("https://www.philgeps.gov.ph/GEPSNONPILOT/Tender/SplashBidNoticeAbstractUI.aspx?menuIndex=3&amp;refID=6937981&amp;Result=3","6937981")</f>
        <v>0</v>
      </c>
      <c r="B13225" t="s">
        <v>3059</v>
      </c>
      <c r="C13225" t="s">
        <v>15755</v>
      </c>
      <c r="D13225" t="s">
        <v>16210</v>
      </c>
      <c r="E13225" t="s">
        <v>27801</v>
      </c>
      <c r="F13225" t="s">
        <v>28198</v>
      </c>
      <c r="G13225" t="s">
        <v>28205</v>
      </c>
      <c r="H13225" t="s">
        <v>28214</v>
      </c>
      <c r="I13225" t="s">
        <v>3797</v>
      </c>
      <c r="J13225" t="s">
        <v>36414</v>
      </c>
      <c r="K13225" t="s">
        <v>36692</v>
      </c>
      <c r="M13225" t="s">
        <v>40374</v>
      </c>
      <c r="N13225" t="s">
        <v>40436</v>
      </c>
      <c r="O13225" t="s">
        <v>40437</v>
      </c>
      <c r="Q13225">
        <v>15</v>
      </c>
      <c r="R13225" t="s">
        <v>40508</v>
      </c>
      <c r="S13225" t="s">
        <v>41729</v>
      </c>
      <c r="T13225" t="s">
        <v>42133</v>
      </c>
      <c r="U13225" t="s">
        <v>53438</v>
      </c>
      <c r="W13225" t="s">
        <v>55551</v>
      </c>
      <c r="X13225" t="s">
        <v>40511</v>
      </c>
    </row>
    <row r="13226" spans="1:24">
      <c r="A13226">
        <f>HYPERLINK("https://www.philgeps.gov.ph/GEPSNONPILOT/Tender/SplashBidNoticeAbstractUI.aspx?menuIndex=3&amp;refID=6929261&amp;Result=3","6929261")</f>
        <v>0</v>
      </c>
      <c r="B13226" t="s">
        <v>2698</v>
      </c>
      <c r="C13226" t="s">
        <v>15756</v>
      </c>
      <c r="D13226" t="s">
        <v>16194</v>
      </c>
      <c r="E13226" t="s">
        <v>27802</v>
      </c>
      <c r="F13226" t="s">
        <v>28198</v>
      </c>
      <c r="G13226" t="s">
        <v>28205</v>
      </c>
      <c r="H13226" t="s">
        <v>28214</v>
      </c>
      <c r="I13226" t="s">
        <v>3797</v>
      </c>
      <c r="J13226" t="s">
        <v>36415</v>
      </c>
      <c r="K13226" t="s">
        <v>36697</v>
      </c>
      <c r="M13226" t="s">
        <v>39937</v>
      </c>
      <c r="N13226" t="s">
        <v>40436</v>
      </c>
      <c r="O13226" t="s">
        <v>40437</v>
      </c>
      <c r="Q13226">
        <v>1</v>
      </c>
      <c r="R13226" t="s">
        <v>40512</v>
      </c>
      <c r="S13226" t="s">
        <v>41730</v>
      </c>
      <c r="T13226" t="s">
        <v>42161</v>
      </c>
      <c r="U13226" t="s">
        <v>53439</v>
      </c>
      <c r="W13226" t="s">
        <v>39937</v>
      </c>
      <c r="X13226" t="s">
        <v>40514</v>
      </c>
    </row>
    <row r="13227" spans="1:24">
      <c r="A13227">
        <f>HYPERLINK("https://www.philgeps.gov.ph/GEPSNONPILOT/Tender/SplashBidNoticeAbstractUI.aspx?menuIndex=3&amp;refID=6929293&amp;Result=3","6929293")</f>
        <v>0</v>
      </c>
      <c r="B13227" t="s">
        <v>2698</v>
      </c>
      <c r="C13227" t="s">
        <v>15757</v>
      </c>
      <c r="D13227" t="s">
        <v>16194</v>
      </c>
      <c r="E13227" t="s">
        <v>27803</v>
      </c>
      <c r="F13227" t="s">
        <v>28198</v>
      </c>
      <c r="G13227" t="s">
        <v>28205</v>
      </c>
      <c r="H13227" t="s">
        <v>28214</v>
      </c>
      <c r="I13227" t="s">
        <v>3797</v>
      </c>
      <c r="J13227" t="s">
        <v>36416</v>
      </c>
      <c r="K13227" t="s">
        <v>36717</v>
      </c>
      <c r="M13227" t="s">
        <v>39937</v>
      </c>
      <c r="N13227" t="s">
        <v>40436</v>
      </c>
      <c r="O13227" t="s">
        <v>40437</v>
      </c>
      <c r="Q13227">
        <v>0</v>
      </c>
      <c r="R13227" t="s">
        <v>40512</v>
      </c>
      <c r="S13227" t="s">
        <v>41731</v>
      </c>
      <c r="T13227" t="s">
        <v>42161</v>
      </c>
      <c r="U13227" t="s">
        <v>53439</v>
      </c>
      <c r="W13227" t="s">
        <v>39937</v>
      </c>
      <c r="X13227" t="s">
        <v>40514</v>
      </c>
    </row>
    <row r="13228" spans="1:24">
      <c r="A13228">
        <f>HYPERLINK("https://www.philgeps.gov.ph/GEPSNONPILOT/Tender/SplashBidNoticeAbstractUI.aspx?menuIndex=3&amp;refID=6929283&amp;Result=3","6929283")</f>
        <v>0</v>
      </c>
      <c r="B13228" t="s">
        <v>2698</v>
      </c>
      <c r="C13228" t="s">
        <v>15758</v>
      </c>
      <c r="D13228" t="s">
        <v>16194</v>
      </c>
      <c r="E13228" t="s">
        <v>27804</v>
      </c>
      <c r="F13228" t="s">
        <v>28198</v>
      </c>
      <c r="G13228" t="s">
        <v>28205</v>
      </c>
      <c r="H13228" t="s">
        <v>28214</v>
      </c>
      <c r="I13228" t="s">
        <v>3797</v>
      </c>
      <c r="J13228" t="s">
        <v>36417</v>
      </c>
      <c r="K13228" t="s">
        <v>36737</v>
      </c>
      <c r="M13228" t="s">
        <v>39937</v>
      </c>
      <c r="N13228" t="s">
        <v>40436</v>
      </c>
      <c r="O13228" t="s">
        <v>40437</v>
      </c>
      <c r="Q13228">
        <v>0</v>
      </c>
      <c r="R13228" t="s">
        <v>40512</v>
      </c>
      <c r="S13228" t="s">
        <v>41732</v>
      </c>
      <c r="T13228" t="s">
        <v>42161</v>
      </c>
      <c r="U13228" t="s">
        <v>53439</v>
      </c>
      <c r="W13228" t="s">
        <v>39937</v>
      </c>
      <c r="X13228" t="s">
        <v>40514</v>
      </c>
    </row>
    <row r="13229" spans="1:24">
      <c r="A13229">
        <f>HYPERLINK("https://www.philgeps.gov.ph/GEPSNONPILOT/Tender/SplashBidNoticeAbstractUI.aspx?menuIndex=3&amp;refID=6938004&amp;Result=3","6938004")</f>
        <v>0</v>
      </c>
      <c r="B13229" t="s">
        <v>105</v>
      </c>
      <c r="C13229" t="s">
        <v>15759</v>
      </c>
      <c r="D13229" t="s">
        <v>16233</v>
      </c>
      <c r="E13229" t="s">
        <v>27805</v>
      </c>
      <c r="F13229" t="s">
        <v>28198</v>
      </c>
      <c r="G13229" t="s">
        <v>28207</v>
      </c>
      <c r="H13229" t="s">
        <v>28215</v>
      </c>
      <c r="I13229" t="s">
        <v>9499</v>
      </c>
      <c r="J13229" t="s">
        <v>28345</v>
      </c>
      <c r="K13229" t="s">
        <v>36687</v>
      </c>
      <c r="M13229" t="s">
        <v>39589</v>
      </c>
      <c r="N13229" t="s">
        <v>40436</v>
      </c>
      <c r="O13229" t="s">
        <v>40437</v>
      </c>
      <c r="Q13229">
        <v>1</v>
      </c>
      <c r="R13229" t="s">
        <v>40508</v>
      </c>
      <c r="S13229" t="s">
        <v>40606</v>
      </c>
      <c r="T13229" t="s">
        <v>42121</v>
      </c>
      <c r="U13229" t="s">
        <v>53440</v>
      </c>
      <c r="W13229" t="s">
        <v>39589</v>
      </c>
      <c r="X13229" t="s">
        <v>40511</v>
      </c>
    </row>
    <row r="13230" spans="1:24">
      <c r="A13230">
        <f>HYPERLINK("https://www.philgeps.gov.ph/GEPSNONPILOT/Tender/SplashBidNoticeAbstractUI.aspx?menuIndex=3&amp;refID=6929229&amp;Result=3","6929229")</f>
        <v>0</v>
      </c>
      <c r="B13230" t="s">
        <v>1470</v>
      </c>
      <c r="C13230" t="s">
        <v>15760</v>
      </c>
      <c r="D13230" t="s">
        <v>16210</v>
      </c>
      <c r="E13230" t="s">
        <v>27806</v>
      </c>
      <c r="F13230" t="s">
        <v>28198</v>
      </c>
      <c r="G13230" t="s">
        <v>28205</v>
      </c>
      <c r="H13230" t="s">
        <v>28215</v>
      </c>
      <c r="I13230" t="s">
        <v>28288</v>
      </c>
      <c r="J13230" t="s">
        <v>36418</v>
      </c>
      <c r="K13230" t="s">
        <v>36689</v>
      </c>
      <c r="M13230" t="s">
        <v>38540</v>
      </c>
      <c r="N13230" t="s">
        <v>40436</v>
      </c>
      <c r="O13230" t="s">
        <v>40437</v>
      </c>
      <c r="Q13230">
        <v>8</v>
      </c>
      <c r="R13230" t="s">
        <v>40512</v>
      </c>
      <c r="S13230" t="s">
        <v>41733</v>
      </c>
      <c r="T13230" t="s">
        <v>42459</v>
      </c>
      <c r="U13230" t="s">
        <v>53441</v>
      </c>
      <c r="V13230" t="s">
        <v>55319</v>
      </c>
      <c r="W13230" t="s">
        <v>38540</v>
      </c>
      <c r="X13230" t="s">
        <v>40514</v>
      </c>
    </row>
    <row r="13231" spans="1:24">
      <c r="A13231">
        <f>HYPERLINK("https://www.philgeps.gov.ph/GEPSNONPILOT/Tender/SplashBidNoticeAbstractUI.aspx?menuIndex=3&amp;refID=6927823&amp;Result=3","6927823")</f>
        <v>0</v>
      </c>
      <c r="B13231" t="s">
        <v>2698</v>
      </c>
      <c r="C13231" t="s">
        <v>15761</v>
      </c>
      <c r="D13231" t="s">
        <v>16194</v>
      </c>
      <c r="E13231" t="s">
        <v>27807</v>
      </c>
      <c r="F13231" t="s">
        <v>28198</v>
      </c>
      <c r="G13231" t="s">
        <v>28205</v>
      </c>
      <c r="H13231" t="s">
        <v>28214</v>
      </c>
      <c r="I13231" t="s">
        <v>3797</v>
      </c>
      <c r="J13231" t="s">
        <v>36419</v>
      </c>
      <c r="K13231" t="s">
        <v>36717</v>
      </c>
      <c r="M13231" t="s">
        <v>39937</v>
      </c>
      <c r="N13231" t="s">
        <v>40436</v>
      </c>
      <c r="O13231" t="s">
        <v>40437</v>
      </c>
      <c r="Q13231">
        <v>1</v>
      </c>
      <c r="R13231" t="s">
        <v>40512</v>
      </c>
      <c r="S13231" t="s">
        <v>41734</v>
      </c>
      <c r="T13231" t="s">
        <v>42161</v>
      </c>
      <c r="U13231" t="s">
        <v>53439</v>
      </c>
      <c r="W13231" t="s">
        <v>39937</v>
      </c>
      <c r="X13231" t="s">
        <v>40515</v>
      </c>
    </row>
    <row r="13232" spans="1:24">
      <c r="A13232">
        <f>HYPERLINK("https://www.philgeps.gov.ph/GEPSNONPILOT/Tender/SplashBidNoticeAbstractUI.aspx?menuIndex=3&amp;refID=6927893&amp;Result=3","6927893")</f>
        <v>0</v>
      </c>
      <c r="B13232" t="s">
        <v>2698</v>
      </c>
      <c r="C13232" t="s">
        <v>15762</v>
      </c>
      <c r="D13232" t="s">
        <v>16194</v>
      </c>
      <c r="E13232" t="s">
        <v>27808</v>
      </c>
      <c r="F13232" t="s">
        <v>28198</v>
      </c>
      <c r="G13232" t="s">
        <v>28205</v>
      </c>
      <c r="H13232" t="s">
        <v>28214</v>
      </c>
      <c r="I13232" t="s">
        <v>3797</v>
      </c>
      <c r="J13232" t="s">
        <v>36419</v>
      </c>
      <c r="K13232" t="s">
        <v>36717</v>
      </c>
      <c r="M13232" t="s">
        <v>39937</v>
      </c>
      <c r="N13232" t="s">
        <v>40436</v>
      </c>
      <c r="O13232" t="s">
        <v>40437</v>
      </c>
      <c r="Q13232">
        <v>1</v>
      </c>
      <c r="R13232" t="s">
        <v>40512</v>
      </c>
      <c r="S13232" t="s">
        <v>41735</v>
      </c>
      <c r="T13232" t="s">
        <v>42161</v>
      </c>
      <c r="U13232" t="s">
        <v>53439</v>
      </c>
      <c r="W13232" t="s">
        <v>39937</v>
      </c>
      <c r="X13232" t="s">
        <v>40515</v>
      </c>
    </row>
    <row r="13233" spans="1:24">
      <c r="A13233">
        <f>HYPERLINK("https://www.philgeps.gov.ph/GEPSNONPILOT/Tender/SplashBidNoticeAbstractUI.aspx?menuIndex=3&amp;refID=6927731&amp;Result=3","6927731")</f>
        <v>0</v>
      </c>
      <c r="B13233" t="s">
        <v>2698</v>
      </c>
      <c r="C13233" t="s">
        <v>15763</v>
      </c>
      <c r="D13233" t="s">
        <v>16194</v>
      </c>
      <c r="E13233" t="s">
        <v>27809</v>
      </c>
      <c r="F13233" t="s">
        <v>28198</v>
      </c>
      <c r="G13233" t="s">
        <v>28205</v>
      </c>
      <c r="H13233" t="s">
        <v>28214</v>
      </c>
      <c r="I13233" t="s">
        <v>3797</v>
      </c>
      <c r="J13233" t="s">
        <v>36420</v>
      </c>
      <c r="K13233" t="s">
        <v>36692</v>
      </c>
      <c r="M13233" t="s">
        <v>39937</v>
      </c>
      <c r="N13233" t="s">
        <v>40436</v>
      </c>
      <c r="O13233" t="s">
        <v>40437</v>
      </c>
      <c r="Q13233">
        <v>0</v>
      </c>
      <c r="R13233" t="s">
        <v>40512</v>
      </c>
      <c r="S13233" t="s">
        <v>41736</v>
      </c>
      <c r="T13233" t="s">
        <v>42161</v>
      </c>
      <c r="U13233" t="s">
        <v>53439</v>
      </c>
      <c r="W13233" t="s">
        <v>39937</v>
      </c>
      <c r="X13233" t="s">
        <v>40515</v>
      </c>
    </row>
    <row r="13234" spans="1:24">
      <c r="A13234">
        <f>HYPERLINK("https://www.philgeps.gov.ph/GEPSNONPILOT/Tender/SplashBidNoticeAbstractUI.aspx?menuIndex=3&amp;refID=6927796&amp;Result=3","6927796")</f>
        <v>0</v>
      </c>
      <c r="B13234" t="s">
        <v>2698</v>
      </c>
      <c r="C13234" t="s">
        <v>15764</v>
      </c>
      <c r="D13234" t="s">
        <v>16194</v>
      </c>
      <c r="E13234" t="s">
        <v>27810</v>
      </c>
      <c r="F13234" t="s">
        <v>28198</v>
      </c>
      <c r="G13234" t="s">
        <v>28205</v>
      </c>
      <c r="H13234" t="s">
        <v>28214</v>
      </c>
      <c r="I13234" t="s">
        <v>3797</v>
      </c>
      <c r="J13234" t="s">
        <v>36419</v>
      </c>
      <c r="K13234" t="s">
        <v>36717</v>
      </c>
      <c r="M13234" t="s">
        <v>39937</v>
      </c>
      <c r="N13234" t="s">
        <v>40436</v>
      </c>
      <c r="O13234" t="s">
        <v>40437</v>
      </c>
      <c r="Q13234">
        <v>1</v>
      </c>
      <c r="R13234" t="s">
        <v>40512</v>
      </c>
      <c r="S13234" t="s">
        <v>41737</v>
      </c>
      <c r="T13234" t="s">
        <v>42161</v>
      </c>
      <c r="U13234" t="s">
        <v>53439</v>
      </c>
      <c r="W13234" t="s">
        <v>39937</v>
      </c>
      <c r="X13234" t="s">
        <v>40515</v>
      </c>
    </row>
    <row r="13235" spans="1:24">
      <c r="A13235">
        <f>HYPERLINK("https://www.philgeps.gov.ph/GEPSNONPILOT/Tender/SplashBidNoticeAbstractUI.aspx?menuIndex=3&amp;refID=6936243&amp;Result=3","6936243")</f>
        <v>0</v>
      </c>
      <c r="B13235" t="s">
        <v>2352</v>
      </c>
      <c r="C13235" t="s">
        <v>15765</v>
      </c>
      <c r="D13235" t="s">
        <v>16239</v>
      </c>
      <c r="E13235" t="s">
        <v>27811</v>
      </c>
      <c r="F13235" t="s">
        <v>28198</v>
      </c>
      <c r="G13235" t="s">
        <v>28205</v>
      </c>
      <c r="H13235" t="s">
        <v>28214</v>
      </c>
      <c r="I13235" t="s">
        <v>3797</v>
      </c>
      <c r="J13235" t="s">
        <v>32323</v>
      </c>
      <c r="K13235" t="s">
        <v>36690</v>
      </c>
      <c r="M13235" t="s">
        <v>39532</v>
      </c>
      <c r="N13235" t="s">
        <v>40436</v>
      </c>
      <c r="O13235" t="s">
        <v>40437</v>
      </c>
      <c r="Q13235">
        <v>34</v>
      </c>
      <c r="R13235" t="s">
        <v>40511</v>
      </c>
      <c r="S13235" t="s">
        <v>41738</v>
      </c>
      <c r="T13235" t="s">
        <v>42524</v>
      </c>
      <c r="U13235" t="s">
        <v>53442</v>
      </c>
      <c r="V13235" t="s">
        <v>55320</v>
      </c>
      <c r="W13235" t="s">
        <v>39532</v>
      </c>
      <c r="X13235" t="s">
        <v>40512</v>
      </c>
    </row>
    <row r="13236" spans="1:24">
      <c r="A13236">
        <f>HYPERLINK("https://www.philgeps.gov.ph/GEPSNONPILOT/Tender/SplashBidNoticeAbstractUI.aspx?menuIndex=3&amp;refID=6927741&amp;Result=3","6927741")</f>
        <v>0</v>
      </c>
      <c r="B13236" t="s">
        <v>2698</v>
      </c>
      <c r="C13236" t="s">
        <v>15766</v>
      </c>
      <c r="D13236" t="s">
        <v>16194</v>
      </c>
      <c r="E13236" t="s">
        <v>27812</v>
      </c>
      <c r="F13236" t="s">
        <v>28198</v>
      </c>
      <c r="G13236" t="s">
        <v>28205</v>
      </c>
      <c r="H13236" t="s">
        <v>28214</v>
      </c>
      <c r="I13236" t="s">
        <v>3797</v>
      </c>
      <c r="J13236" t="s">
        <v>36421</v>
      </c>
      <c r="K13236" t="s">
        <v>36697</v>
      </c>
      <c r="M13236" t="s">
        <v>39937</v>
      </c>
      <c r="N13236" t="s">
        <v>40436</v>
      </c>
      <c r="O13236" t="s">
        <v>40437</v>
      </c>
      <c r="Q13236">
        <v>0</v>
      </c>
      <c r="R13236" t="s">
        <v>40512</v>
      </c>
      <c r="S13236" t="s">
        <v>41739</v>
      </c>
      <c r="T13236" t="s">
        <v>42161</v>
      </c>
      <c r="U13236" t="s">
        <v>53439</v>
      </c>
      <c r="W13236" t="s">
        <v>39937</v>
      </c>
      <c r="X13236" t="s">
        <v>40515</v>
      </c>
    </row>
    <row r="13237" spans="1:24">
      <c r="A13237">
        <f>HYPERLINK("https://www.philgeps.gov.ph/GEPSNONPILOT/Tender/SplashBidNoticeAbstractUI.aspx?menuIndex=3&amp;refID=6927928&amp;Result=3","6927928")</f>
        <v>0</v>
      </c>
      <c r="B13237" t="s">
        <v>2698</v>
      </c>
      <c r="C13237" t="s">
        <v>15767</v>
      </c>
      <c r="D13237" t="s">
        <v>16194</v>
      </c>
      <c r="E13237" t="s">
        <v>27813</v>
      </c>
      <c r="F13237" t="s">
        <v>28198</v>
      </c>
      <c r="G13237" t="s">
        <v>28205</v>
      </c>
      <c r="H13237" t="s">
        <v>28214</v>
      </c>
      <c r="I13237" t="s">
        <v>3797</v>
      </c>
      <c r="J13237" t="s">
        <v>36422</v>
      </c>
      <c r="K13237" t="s">
        <v>36701</v>
      </c>
      <c r="M13237" t="s">
        <v>39937</v>
      </c>
      <c r="N13237" t="s">
        <v>40436</v>
      </c>
      <c r="O13237" t="s">
        <v>40437</v>
      </c>
      <c r="Q13237">
        <v>1</v>
      </c>
      <c r="R13237" t="s">
        <v>40512</v>
      </c>
      <c r="S13237" t="s">
        <v>41740</v>
      </c>
      <c r="T13237" t="s">
        <v>42161</v>
      </c>
      <c r="U13237" t="s">
        <v>53439</v>
      </c>
      <c r="W13237" t="s">
        <v>39937</v>
      </c>
      <c r="X13237" t="s">
        <v>40515</v>
      </c>
    </row>
    <row r="13238" spans="1:24">
      <c r="A13238">
        <f>HYPERLINK("https://www.philgeps.gov.ph/GEPSNONPILOT/Tender/SplashBidNoticeAbstractUI.aspx?menuIndex=3&amp;refID=6927765&amp;Result=3","6927765")</f>
        <v>0</v>
      </c>
      <c r="B13238" t="s">
        <v>2698</v>
      </c>
      <c r="C13238" t="s">
        <v>15768</v>
      </c>
      <c r="D13238" t="s">
        <v>16194</v>
      </c>
      <c r="E13238" t="s">
        <v>27814</v>
      </c>
      <c r="F13238" t="s">
        <v>28198</v>
      </c>
      <c r="G13238" t="s">
        <v>28205</v>
      </c>
      <c r="H13238" t="s">
        <v>28214</v>
      </c>
      <c r="I13238" t="s">
        <v>3797</v>
      </c>
      <c r="J13238" t="s">
        <v>36419</v>
      </c>
      <c r="K13238" t="s">
        <v>36717</v>
      </c>
      <c r="M13238" t="s">
        <v>39937</v>
      </c>
      <c r="N13238" t="s">
        <v>40436</v>
      </c>
      <c r="O13238" t="s">
        <v>40437</v>
      </c>
      <c r="Q13238">
        <v>1</v>
      </c>
      <c r="R13238" t="s">
        <v>40512</v>
      </c>
      <c r="S13238" t="s">
        <v>41741</v>
      </c>
      <c r="T13238" t="s">
        <v>42161</v>
      </c>
      <c r="U13238" t="s">
        <v>53439</v>
      </c>
      <c r="W13238" t="s">
        <v>39937</v>
      </c>
      <c r="X13238" t="s">
        <v>40515</v>
      </c>
    </row>
    <row r="13239" spans="1:24">
      <c r="A13239">
        <f>HYPERLINK("https://www.philgeps.gov.ph/GEPSNONPILOT/Tender/SplashBidNoticeAbstractUI.aspx?menuIndex=3&amp;refID=6935892&amp;Result=3","6935892")</f>
        <v>0</v>
      </c>
      <c r="B13239" t="s">
        <v>1964</v>
      </c>
      <c r="C13239" t="s">
        <v>15769</v>
      </c>
      <c r="D13239" t="s">
        <v>16221</v>
      </c>
      <c r="E13239" t="s">
        <v>27815</v>
      </c>
      <c r="F13239" t="s">
        <v>28198</v>
      </c>
      <c r="G13239" t="s">
        <v>28205</v>
      </c>
      <c r="H13239" t="s">
        <v>28215</v>
      </c>
      <c r="I13239" t="s">
        <v>28226</v>
      </c>
      <c r="J13239" t="s">
        <v>36423</v>
      </c>
      <c r="K13239" t="s">
        <v>36689</v>
      </c>
      <c r="M13239" t="s">
        <v>40382</v>
      </c>
      <c r="N13239" t="s">
        <v>40436</v>
      </c>
      <c r="O13239" t="s">
        <v>40437</v>
      </c>
      <c r="Q13239">
        <v>15</v>
      </c>
      <c r="R13239" t="s">
        <v>40511</v>
      </c>
      <c r="S13239" t="s">
        <v>41742</v>
      </c>
      <c r="T13239" t="s">
        <v>42608</v>
      </c>
      <c r="U13239" t="s">
        <v>53443</v>
      </c>
      <c r="V13239" t="s">
        <v>55318</v>
      </c>
      <c r="W13239" t="s">
        <v>40382</v>
      </c>
      <c r="X13239" t="s">
        <v>40512</v>
      </c>
    </row>
    <row r="13240" spans="1:24">
      <c r="A13240">
        <f>HYPERLINK("https://www.philgeps.gov.ph/GEPSNONPILOT/Tender/SplashBidNoticeAbstractUI.aspx?menuIndex=3&amp;refID=6927822&amp;Result=3","6927822")</f>
        <v>0</v>
      </c>
      <c r="B13240" t="s">
        <v>2484</v>
      </c>
      <c r="C13240" t="s">
        <v>15770</v>
      </c>
      <c r="D13240" t="s">
        <v>16209</v>
      </c>
      <c r="E13240" t="s">
        <v>27816</v>
      </c>
      <c r="F13240" t="s">
        <v>28198</v>
      </c>
      <c r="G13240" t="s">
        <v>28205</v>
      </c>
      <c r="H13240" t="s">
        <v>28215</v>
      </c>
      <c r="I13240" t="s">
        <v>28253</v>
      </c>
      <c r="J13240" t="s">
        <v>28661</v>
      </c>
      <c r="K13240" t="s">
        <v>36701</v>
      </c>
      <c r="M13240" t="s">
        <v>39683</v>
      </c>
      <c r="N13240" t="s">
        <v>40436</v>
      </c>
      <c r="O13240" t="s">
        <v>40437</v>
      </c>
      <c r="Q13240">
        <v>7</v>
      </c>
      <c r="R13240" t="s">
        <v>40512</v>
      </c>
      <c r="S13240" t="s">
        <v>41743</v>
      </c>
      <c r="T13240" t="s">
        <v>42234</v>
      </c>
      <c r="U13240" t="s">
        <v>53444</v>
      </c>
      <c r="V13240" t="s">
        <v>55321</v>
      </c>
      <c r="W13240" t="s">
        <v>39683</v>
      </c>
      <c r="X13240" t="s">
        <v>40515</v>
      </c>
    </row>
    <row r="13241" spans="1:24">
      <c r="A13241">
        <f>HYPERLINK("https://www.philgeps.gov.ph/GEPSNONPILOT/Tender/SplashBidNoticeAbstractUI.aspx?menuIndex=3&amp;refID=6935583&amp;Result=3","6935583")</f>
        <v>0</v>
      </c>
      <c r="B13241" t="s">
        <v>1370</v>
      </c>
      <c r="C13241" t="s">
        <v>15771</v>
      </c>
      <c r="D13241" t="s">
        <v>16213</v>
      </c>
      <c r="E13241" t="s">
        <v>27817</v>
      </c>
      <c r="F13241" t="s">
        <v>28198</v>
      </c>
      <c r="G13241" t="s">
        <v>28205</v>
      </c>
      <c r="H13241" t="s">
        <v>28214</v>
      </c>
      <c r="I13241" t="s">
        <v>3797</v>
      </c>
      <c r="J13241" t="s">
        <v>29679</v>
      </c>
      <c r="K13241" t="s">
        <v>36692</v>
      </c>
      <c r="M13241" t="s">
        <v>38432</v>
      </c>
      <c r="N13241" t="s">
        <v>40436</v>
      </c>
      <c r="O13241" t="s">
        <v>40437</v>
      </c>
      <c r="Q13241">
        <v>0</v>
      </c>
      <c r="R13241" t="s">
        <v>40511</v>
      </c>
      <c r="S13241" t="s">
        <v>41744</v>
      </c>
      <c r="T13241" t="s">
        <v>42166</v>
      </c>
      <c r="U13241" t="s">
        <v>53445</v>
      </c>
      <c r="W13241" t="s">
        <v>38432</v>
      </c>
      <c r="X13241" t="s">
        <v>40512</v>
      </c>
    </row>
    <row r="13242" spans="1:24">
      <c r="A13242">
        <f>HYPERLINK("https://www.philgeps.gov.ph/GEPSNONPILOT/Tender/SplashBidNoticeAbstractUI.aspx?menuIndex=3&amp;refID=6935782&amp;Result=3","6935782")</f>
        <v>0</v>
      </c>
      <c r="B13242" t="s">
        <v>1370</v>
      </c>
      <c r="C13242" t="s">
        <v>15772</v>
      </c>
      <c r="D13242" t="s">
        <v>16213</v>
      </c>
      <c r="E13242" t="s">
        <v>27818</v>
      </c>
      <c r="F13242" t="s">
        <v>28198</v>
      </c>
      <c r="G13242" t="s">
        <v>28205</v>
      </c>
      <c r="H13242" t="s">
        <v>28214</v>
      </c>
      <c r="I13242" t="s">
        <v>3797</v>
      </c>
      <c r="J13242" t="s">
        <v>29679</v>
      </c>
      <c r="K13242" t="s">
        <v>36692</v>
      </c>
      <c r="M13242" t="s">
        <v>38432</v>
      </c>
      <c r="N13242" t="s">
        <v>40436</v>
      </c>
      <c r="O13242" t="s">
        <v>40437</v>
      </c>
      <c r="Q13242">
        <v>0</v>
      </c>
      <c r="R13242" t="s">
        <v>40511</v>
      </c>
      <c r="S13242" t="s">
        <v>41745</v>
      </c>
      <c r="T13242" t="s">
        <v>42602</v>
      </c>
      <c r="U13242" t="s">
        <v>53446</v>
      </c>
      <c r="W13242" t="s">
        <v>38432</v>
      </c>
      <c r="X13242" t="s">
        <v>40512</v>
      </c>
    </row>
    <row r="13243" spans="1:24">
      <c r="A13243">
        <f>HYPERLINK("https://www.philgeps.gov.ph/GEPSNONPILOT/Tender/SplashBidNoticeAbstractUI.aspx?menuIndex=3&amp;refID=6936028&amp;Result=3","6936028")</f>
        <v>0</v>
      </c>
      <c r="B13243" t="s">
        <v>3064</v>
      </c>
      <c r="C13243" t="s">
        <v>15773</v>
      </c>
      <c r="D13243" t="s">
        <v>16194</v>
      </c>
      <c r="E13243" t="s">
        <v>27819</v>
      </c>
      <c r="F13243" t="s">
        <v>28198</v>
      </c>
      <c r="G13243" t="s">
        <v>28208</v>
      </c>
      <c r="H13243" t="s">
        <v>28217</v>
      </c>
      <c r="I13243" t="s">
        <v>28248</v>
      </c>
      <c r="J13243" t="s">
        <v>28699</v>
      </c>
      <c r="K13243" t="s">
        <v>36692</v>
      </c>
      <c r="M13243" t="s">
        <v>40383</v>
      </c>
      <c r="N13243" t="s">
        <v>40436</v>
      </c>
      <c r="O13243" t="s">
        <v>40437</v>
      </c>
      <c r="Q13243">
        <v>20</v>
      </c>
      <c r="R13243" t="s">
        <v>40511</v>
      </c>
      <c r="S13243" t="s">
        <v>41746</v>
      </c>
      <c r="T13243" t="s">
        <v>42110</v>
      </c>
      <c r="U13243" t="s">
        <v>53447</v>
      </c>
      <c r="W13243" t="s">
        <v>40383</v>
      </c>
      <c r="X13243" t="s">
        <v>40512</v>
      </c>
    </row>
    <row r="13244" spans="1:24">
      <c r="A13244">
        <f>HYPERLINK("https://www.philgeps.gov.ph/GEPSNONPILOT/Tender/SplashBidNoticeAbstractUI.aspx?menuIndex=3&amp;refID=6929306&amp;Result=3","6929306")</f>
        <v>0</v>
      </c>
      <c r="B13244" t="s">
        <v>2698</v>
      </c>
      <c r="C13244" t="s">
        <v>15774</v>
      </c>
      <c r="D13244" t="s">
        <v>16194</v>
      </c>
      <c r="E13244" t="s">
        <v>27820</v>
      </c>
      <c r="F13244" t="s">
        <v>28198</v>
      </c>
      <c r="G13244" t="s">
        <v>28205</v>
      </c>
      <c r="H13244" t="s">
        <v>28214</v>
      </c>
      <c r="I13244" t="s">
        <v>3797</v>
      </c>
      <c r="J13244" t="s">
        <v>36424</v>
      </c>
      <c r="K13244" t="s">
        <v>36694</v>
      </c>
      <c r="M13244" t="s">
        <v>39937</v>
      </c>
      <c r="N13244" t="s">
        <v>40436</v>
      </c>
      <c r="O13244" t="s">
        <v>40437</v>
      </c>
      <c r="Q13244">
        <v>0</v>
      </c>
      <c r="R13244" t="s">
        <v>40512</v>
      </c>
      <c r="S13244" t="s">
        <v>41747</v>
      </c>
      <c r="T13244" t="s">
        <v>42161</v>
      </c>
      <c r="U13244" t="s">
        <v>53439</v>
      </c>
      <c r="W13244" t="s">
        <v>39937</v>
      </c>
      <c r="X13244" t="s">
        <v>40514</v>
      </c>
    </row>
    <row r="13245" spans="1:24">
      <c r="A13245">
        <f>HYPERLINK("https://www.philgeps.gov.ph/GEPSNONPILOT/Tender/SplashBidNoticeAbstractUI.aspx?menuIndex=3&amp;refID=6935753&amp;Result=3","6935753")</f>
        <v>0</v>
      </c>
      <c r="B13245" t="s">
        <v>404</v>
      </c>
      <c r="C13245" t="s">
        <v>15775</v>
      </c>
      <c r="E13245" t="s">
        <v>27821</v>
      </c>
      <c r="F13245" t="s">
        <v>28198</v>
      </c>
      <c r="G13245" t="s">
        <v>28205</v>
      </c>
      <c r="H13245" t="s">
        <v>28215</v>
      </c>
      <c r="I13245" t="s">
        <v>28234</v>
      </c>
      <c r="J13245" t="s">
        <v>36425</v>
      </c>
      <c r="K13245" t="s">
        <v>36689</v>
      </c>
      <c r="M13245" t="s">
        <v>37385</v>
      </c>
      <c r="N13245" t="s">
        <v>40436</v>
      </c>
      <c r="O13245" t="s">
        <v>40437</v>
      </c>
      <c r="Q13245">
        <v>7</v>
      </c>
      <c r="R13245" t="s">
        <v>40511</v>
      </c>
      <c r="S13245" t="s">
        <v>41748</v>
      </c>
      <c r="T13245" t="s">
        <v>42219</v>
      </c>
      <c r="U13245" t="s">
        <v>53448</v>
      </c>
      <c r="V13245" t="s">
        <v>55322</v>
      </c>
      <c r="W13245" t="s">
        <v>55539</v>
      </c>
      <c r="X13245" t="s">
        <v>40512</v>
      </c>
    </row>
    <row r="13246" spans="1:24">
      <c r="A13246">
        <f>HYPERLINK("https://www.philgeps.gov.ph/GEPSNONPILOT/Tender/SplashBidNoticeAbstractUI.aspx?menuIndex=3&amp;refID=6931149&amp;Result=3","6931149")</f>
        <v>0</v>
      </c>
      <c r="B13246" t="s">
        <v>1370</v>
      </c>
      <c r="C13246" t="s">
        <v>15776</v>
      </c>
      <c r="D13246" t="s">
        <v>16213</v>
      </c>
      <c r="E13246" t="s">
        <v>27822</v>
      </c>
      <c r="F13246" t="s">
        <v>28198</v>
      </c>
      <c r="G13246" t="s">
        <v>28205</v>
      </c>
      <c r="H13246" t="s">
        <v>28214</v>
      </c>
      <c r="I13246" t="s">
        <v>3797</v>
      </c>
      <c r="J13246" t="s">
        <v>36114</v>
      </c>
      <c r="K13246" t="s">
        <v>36841</v>
      </c>
      <c r="M13246" t="s">
        <v>38432</v>
      </c>
      <c r="N13246" t="s">
        <v>40436</v>
      </c>
      <c r="O13246" t="s">
        <v>40437</v>
      </c>
      <c r="Q13246">
        <v>0</v>
      </c>
      <c r="R13246" t="s">
        <v>40512</v>
      </c>
      <c r="S13246" t="s">
        <v>41749</v>
      </c>
      <c r="T13246" t="s">
        <v>42099</v>
      </c>
      <c r="U13246" t="s">
        <v>53449</v>
      </c>
      <c r="W13246" t="s">
        <v>38432</v>
      </c>
      <c r="X13246" t="s">
        <v>40514</v>
      </c>
    </row>
    <row r="13247" spans="1:24">
      <c r="A13247">
        <f>HYPERLINK("https://www.philgeps.gov.ph/GEPSNONPILOT/Tender/SplashBidNoticeAbstractUI.aspx?menuIndex=3&amp;refID=6931518&amp;Result=3","6931518")</f>
        <v>0</v>
      </c>
      <c r="B13247" t="s">
        <v>2266</v>
      </c>
      <c r="C13247" t="s">
        <v>15777</v>
      </c>
      <c r="D13247" t="s">
        <v>16210</v>
      </c>
      <c r="E13247" t="s">
        <v>27823</v>
      </c>
      <c r="F13247" t="s">
        <v>28198</v>
      </c>
      <c r="G13247" t="s">
        <v>28205</v>
      </c>
      <c r="H13247" t="s">
        <v>28215</v>
      </c>
      <c r="I13247" t="s">
        <v>28234</v>
      </c>
      <c r="J13247" t="s">
        <v>36426</v>
      </c>
      <c r="K13247" t="s">
        <v>36689</v>
      </c>
      <c r="M13247" t="s">
        <v>39486</v>
      </c>
      <c r="N13247" t="s">
        <v>40436</v>
      </c>
      <c r="O13247" t="s">
        <v>40437</v>
      </c>
      <c r="Q13247">
        <v>28</v>
      </c>
      <c r="R13247" t="s">
        <v>40512</v>
      </c>
      <c r="S13247" t="s">
        <v>41750</v>
      </c>
      <c r="T13247" t="s">
        <v>42188</v>
      </c>
      <c r="U13247" t="s">
        <v>53450</v>
      </c>
      <c r="V13247" t="s">
        <v>55323</v>
      </c>
      <c r="W13247" t="s">
        <v>39486</v>
      </c>
      <c r="X13247" t="s">
        <v>40514</v>
      </c>
    </row>
    <row r="13248" spans="1:24">
      <c r="A13248">
        <f>HYPERLINK("https://www.philgeps.gov.ph/GEPSNONPILOT/Tender/SplashBidNoticeAbstractUI.aspx?menuIndex=3&amp;refID=6935580&amp;Result=3","6935580")</f>
        <v>0</v>
      </c>
      <c r="B13248" t="s">
        <v>940</v>
      </c>
      <c r="C13248" t="s">
        <v>15778</v>
      </c>
      <c r="D13248" t="s">
        <v>16278</v>
      </c>
      <c r="E13248" t="s">
        <v>27824</v>
      </c>
      <c r="F13248" t="s">
        <v>28198</v>
      </c>
      <c r="G13248" t="s">
        <v>28205</v>
      </c>
      <c r="H13248" t="s">
        <v>28214</v>
      </c>
      <c r="I13248" t="s">
        <v>3797</v>
      </c>
      <c r="J13248" t="s">
        <v>36427</v>
      </c>
      <c r="K13248" t="s">
        <v>36692</v>
      </c>
      <c r="M13248" t="s">
        <v>37963</v>
      </c>
      <c r="N13248" t="s">
        <v>40436</v>
      </c>
      <c r="O13248" t="s">
        <v>40437</v>
      </c>
      <c r="Q13248">
        <v>4</v>
      </c>
      <c r="R13248" t="s">
        <v>40511</v>
      </c>
      <c r="S13248" t="s">
        <v>41751</v>
      </c>
      <c r="T13248" t="s">
        <v>42459</v>
      </c>
      <c r="U13248" t="s">
        <v>53451</v>
      </c>
      <c r="V13248" t="s">
        <v>55324</v>
      </c>
      <c r="W13248" t="s">
        <v>37963</v>
      </c>
      <c r="X13248" t="s">
        <v>40512</v>
      </c>
    </row>
    <row r="13249" spans="1:24">
      <c r="A13249">
        <f>HYPERLINK("https://www.philgeps.gov.ph/GEPSNONPILOT/Tender/SplashBidNoticeAbstractUI.aspx?menuIndex=3&amp;refID=6931674&amp;Result=3","6931674")</f>
        <v>0</v>
      </c>
      <c r="B13249" t="s">
        <v>3063</v>
      </c>
      <c r="C13249" t="s">
        <v>15779</v>
      </c>
      <c r="D13249" t="s">
        <v>16210</v>
      </c>
      <c r="E13249" t="s">
        <v>27825</v>
      </c>
      <c r="F13249" t="s">
        <v>28198</v>
      </c>
      <c r="G13249" t="s">
        <v>28207</v>
      </c>
      <c r="H13249" t="s">
        <v>28215</v>
      </c>
      <c r="I13249" t="s">
        <v>5631</v>
      </c>
      <c r="J13249" t="s">
        <v>36428</v>
      </c>
      <c r="K13249" t="s">
        <v>36706</v>
      </c>
      <c r="M13249" t="s">
        <v>40381</v>
      </c>
      <c r="N13249" t="s">
        <v>40436</v>
      </c>
      <c r="O13249" t="s">
        <v>40437</v>
      </c>
      <c r="Q13249">
        <v>2</v>
      </c>
      <c r="R13249" t="s">
        <v>40512</v>
      </c>
      <c r="S13249" t="s">
        <v>41752</v>
      </c>
      <c r="T13249" t="s">
        <v>42205</v>
      </c>
      <c r="U13249" t="s">
        <v>53452</v>
      </c>
      <c r="V13249" t="s">
        <v>55308</v>
      </c>
      <c r="W13249" t="s">
        <v>40381</v>
      </c>
      <c r="X13249" t="s">
        <v>40514</v>
      </c>
    </row>
    <row r="13250" spans="1:24">
      <c r="A13250">
        <f>HYPERLINK("https://www.philgeps.gov.ph/GEPSNONPILOT/Tender/SplashBidNoticeAbstractUI.aspx?menuIndex=3&amp;refID=6931173&amp;Result=3","6931173")</f>
        <v>0</v>
      </c>
      <c r="B13250" t="s">
        <v>2484</v>
      </c>
      <c r="C13250" t="s">
        <v>15780</v>
      </c>
      <c r="D13250" t="s">
        <v>16209</v>
      </c>
      <c r="E13250" t="s">
        <v>27826</v>
      </c>
      <c r="F13250" t="s">
        <v>28198</v>
      </c>
      <c r="G13250" t="s">
        <v>28205</v>
      </c>
      <c r="H13250" t="s">
        <v>28215</v>
      </c>
      <c r="I13250" t="s">
        <v>4200</v>
      </c>
      <c r="J13250" t="s">
        <v>36429</v>
      </c>
      <c r="K13250" t="s">
        <v>36707</v>
      </c>
      <c r="M13250" t="s">
        <v>39683</v>
      </c>
      <c r="N13250" t="s">
        <v>40436</v>
      </c>
      <c r="O13250" t="s">
        <v>40437</v>
      </c>
      <c r="Q13250">
        <v>7</v>
      </c>
      <c r="R13250" t="s">
        <v>40512</v>
      </c>
      <c r="S13250" t="s">
        <v>41753</v>
      </c>
      <c r="T13250" t="s">
        <v>42234</v>
      </c>
      <c r="U13250" t="s">
        <v>53453</v>
      </c>
      <c r="V13250" t="s">
        <v>55321</v>
      </c>
      <c r="W13250" t="s">
        <v>39683</v>
      </c>
      <c r="X13250" t="s">
        <v>40514</v>
      </c>
    </row>
    <row r="13251" spans="1:24">
      <c r="A13251">
        <f>HYPERLINK("https://www.philgeps.gov.ph/GEPSNONPILOT/Tender/SplashBidNoticeAbstractUI.aspx?menuIndex=3&amp;refID=6931820&amp;Result=3","6931820")</f>
        <v>0</v>
      </c>
      <c r="B13251" t="s">
        <v>1370</v>
      </c>
      <c r="C13251" t="s">
        <v>15781</v>
      </c>
      <c r="D13251" t="s">
        <v>16213</v>
      </c>
      <c r="E13251" t="s">
        <v>27827</v>
      </c>
      <c r="F13251" t="s">
        <v>28198</v>
      </c>
      <c r="G13251" t="s">
        <v>28205</v>
      </c>
      <c r="H13251" t="s">
        <v>28214</v>
      </c>
      <c r="I13251" t="s">
        <v>3797</v>
      </c>
      <c r="J13251" t="s">
        <v>29526</v>
      </c>
      <c r="K13251" t="s">
        <v>36922</v>
      </c>
      <c r="M13251" t="s">
        <v>38432</v>
      </c>
      <c r="N13251" t="s">
        <v>40436</v>
      </c>
      <c r="O13251" t="s">
        <v>40437</v>
      </c>
      <c r="Q13251">
        <v>0</v>
      </c>
      <c r="R13251" t="s">
        <v>40512</v>
      </c>
      <c r="S13251" t="s">
        <v>41754</v>
      </c>
      <c r="T13251" t="s">
        <v>42099</v>
      </c>
      <c r="U13251" t="s">
        <v>53454</v>
      </c>
      <c r="W13251" t="s">
        <v>38432</v>
      </c>
      <c r="X13251" t="s">
        <v>40514</v>
      </c>
    </row>
    <row r="13252" spans="1:24">
      <c r="A13252">
        <f>HYPERLINK("https://www.philgeps.gov.ph/GEPSNONPILOT/Tender/SplashBidNoticeAbstractUI.aspx?menuIndex=3&amp;refID=6932136&amp;Result=3","6932136")</f>
        <v>0</v>
      </c>
      <c r="B13252" t="s">
        <v>1370</v>
      </c>
      <c r="C13252" t="s">
        <v>15782</v>
      </c>
      <c r="D13252" t="s">
        <v>16213</v>
      </c>
      <c r="E13252" t="s">
        <v>27828</v>
      </c>
      <c r="F13252" t="s">
        <v>28198</v>
      </c>
      <c r="G13252" t="s">
        <v>28205</v>
      </c>
      <c r="H13252" t="s">
        <v>28214</v>
      </c>
      <c r="I13252" t="s">
        <v>3797</v>
      </c>
      <c r="J13252" t="s">
        <v>29683</v>
      </c>
      <c r="K13252" t="s">
        <v>36697</v>
      </c>
      <c r="M13252" t="s">
        <v>38432</v>
      </c>
      <c r="N13252" t="s">
        <v>40436</v>
      </c>
      <c r="O13252" t="s">
        <v>40437</v>
      </c>
      <c r="Q13252">
        <v>0</v>
      </c>
      <c r="R13252" t="s">
        <v>40512</v>
      </c>
      <c r="S13252" t="s">
        <v>41755</v>
      </c>
      <c r="T13252" t="s">
        <v>42166</v>
      </c>
      <c r="U13252" t="s">
        <v>53455</v>
      </c>
      <c r="W13252" t="s">
        <v>38432</v>
      </c>
      <c r="X13252" t="s">
        <v>40514</v>
      </c>
    </row>
    <row r="13253" spans="1:24">
      <c r="A13253">
        <f>HYPERLINK("https://www.philgeps.gov.ph/GEPSNONPILOT/Tender/SplashBidNoticeAbstractUI.aspx?menuIndex=3&amp;refID=6931471&amp;Result=3","6931471")</f>
        <v>0</v>
      </c>
      <c r="B13253" t="s">
        <v>2266</v>
      </c>
      <c r="C13253" t="s">
        <v>15783</v>
      </c>
      <c r="D13253" t="s">
        <v>16210</v>
      </c>
      <c r="E13253" t="s">
        <v>27829</v>
      </c>
      <c r="F13253" t="s">
        <v>28198</v>
      </c>
      <c r="G13253" t="s">
        <v>28205</v>
      </c>
      <c r="H13253" t="s">
        <v>28215</v>
      </c>
      <c r="I13253" t="s">
        <v>28222</v>
      </c>
      <c r="J13253" t="s">
        <v>36430</v>
      </c>
      <c r="K13253" t="s">
        <v>36689</v>
      </c>
      <c r="M13253" t="s">
        <v>39486</v>
      </c>
      <c r="N13253" t="s">
        <v>40436</v>
      </c>
      <c r="O13253" t="s">
        <v>40437</v>
      </c>
      <c r="Q13253">
        <v>5</v>
      </c>
      <c r="R13253" t="s">
        <v>40512</v>
      </c>
      <c r="S13253" t="s">
        <v>41756</v>
      </c>
      <c r="T13253" t="s">
        <v>42188</v>
      </c>
      <c r="U13253" t="s">
        <v>53456</v>
      </c>
      <c r="V13253" t="s">
        <v>55325</v>
      </c>
      <c r="W13253" t="s">
        <v>39486</v>
      </c>
      <c r="X13253" t="s">
        <v>40514</v>
      </c>
    </row>
    <row r="13254" spans="1:24">
      <c r="A13254">
        <f>HYPERLINK("https://www.philgeps.gov.ph/GEPSNONPILOT/Tender/SplashBidNoticeAbstractUI.aspx?menuIndex=3&amp;refID=6931074&amp;Result=3","6931074")</f>
        <v>0</v>
      </c>
      <c r="B13254" t="s">
        <v>2698</v>
      </c>
      <c r="C13254" t="s">
        <v>15784</v>
      </c>
      <c r="D13254" t="s">
        <v>16194</v>
      </c>
      <c r="E13254" t="s">
        <v>27830</v>
      </c>
      <c r="F13254" t="s">
        <v>28198</v>
      </c>
      <c r="G13254" t="s">
        <v>28205</v>
      </c>
      <c r="H13254" t="s">
        <v>28215</v>
      </c>
      <c r="I13254" t="s">
        <v>28238</v>
      </c>
      <c r="J13254" t="s">
        <v>36431</v>
      </c>
      <c r="K13254" t="s">
        <v>36689</v>
      </c>
      <c r="M13254" t="s">
        <v>39937</v>
      </c>
      <c r="N13254" t="s">
        <v>40436</v>
      </c>
      <c r="O13254" t="s">
        <v>40437</v>
      </c>
      <c r="Q13254">
        <v>17</v>
      </c>
      <c r="R13254" t="s">
        <v>40512</v>
      </c>
      <c r="S13254" t="s">
        <v>41757</v>
      </c>
      <c r="T13254" t="s">
        <v>42161</v>
      </c>
      <c r="U13254" t="s">
        <v>53457</v>
      </c>
      <c r="W13254" t="s">
        <v>39937</v>
      </c>
      <c r="X13254" t="s">
        <v>40514</v>
      </c>
    </row>
    <row r="13255" spans="1:24">
      <c r="A13255">
        <f>HYPERLINK("https://www.philgeps.gov.ph/GEPSNONPILOT/Tender/SplashBidNoticeAbstractUI.aspx?menuIndex=3&amp;refID=6931036&amp;Result=3","6931036")</f>
        <v>0</v>
      </c>
      <c r="B13255" t="s">
        <v>2484</v>
      </c>
      <c r="C13255" t="s">
        <v>15785</v>
      </c>
      <c r="D13255" t="s">
        <v>16209</v>
      </c>
      <c r="E13255" t="s">
        <v>27831</v>
      </c>
      <c r="F13255" t="s">
        <v>28198</v>
      </c>
      <c r="G13255" t="s">
        <v>28205</v>
      </c>
      <c r="H13255" t="s">
        <v>28215</v>
      </c>
      <c r="I13255" t="s">
        <v>5071</v>
      </c>
      <c r="J13255" t="s">
        <v>36432</v>
      </c>
      <c r="K13255" t="s">
        <v>36707</v>
      </c>
      <c r="M13255" t="s">
        <v>39683</v>
      </c>
      <c r="N13255" t="s">
        <v>40436</v>
      </c>
      <c r="O13255" t="s">
        <v>40437</v>
      </c>
      <c r="Q13255">
        <v>5</v>
      </c>
      <c r="R13255" t="s">
        <v>40512</v>
      </c>
      <c r="S13255" t="s">
        <v>41758</v>
      </c>
      <c r="T13255" t="s">
        <v>42234</v>
      </c>
      <c r="U13255" t="s">
        <v>53458</v>
      </c>
      <c r="V13255" t="s">
        <v>55326</v>
      </c>
      <c r="W13255" t="s">
        <v>39683</v>
      </c>
      <c r="X13255" t="s">
        <v>40514</v>
      </c>
    </row>
    <row r="13256" spans="1:24">
      <c r="A13256">
        <f>HYPERLINK("https://www.philgeps.gov.ph/GEPSNONPILOT/Tender/SplashBidNoticeAbstractUI.aspx?menuIndex=3&amp;refID=6932001&amp;Result=3","6932001")</f>
        <v>0</v>
      </c>
      <c r="B13256" t="s">
        <v>140</v>
      </c>
      <c r="C13256" t="s">
        <v>15786</v>
      </c>
      <c r="D13256" t="s">
        <v>16196</v>
      </c>
      <c r="E13256" t="s">
        <v>27832</v>
      </c>
      <c r="F13256" t="s">
        <v>28198</v>
      </c>
      <c r="G13256" t="s">
        <v>28205</v>
      </c>
      <c r="H13256" t="s">
        <v>28215</v>
      </c>
      <c r="I13256" t="s">
        <v>28231</v>
      </c>
      <c r="J13256" t="s">
        <v>36433</v>
      </c>
      <c r="K13256" t="s">
        <v>36689</v>
      </c>
      <c r="M13256" t="s">
        <v>40384</v>
      </c>
      <c r="N13256" t="s">
        <v>40436</v>
      </c>
      <c r="O13256" t="s">
        <v>40437</v>
      </c>
      <c r="Q13256">
        <v>4</v>
      </c>
      <c r="R13256" t="s">
        <v>40512</v>
      </c>
      <c r="S13256" t="s">
        <v>41759</v>
      </c>
      <c r="T13256" t="s">
        <v>42190</v>
      </c>
      <c r="U13256" t="s">
        <v>53459</v>
      </c>
      <c r="V13256" t="s">
        <v>55327</v>
      </c>
      <c r="W13256" t="s">
        <v>40384</v>
      </c>
      <c r="X13256" t="s">
        <v>40514</v>
      </c>
    </row>
    <row r="13257" spans="1:24">
      <c r="A13257">
        <f>HYPERLINK("https://www.philgeps.gov.ph/GEPSNONPILOT/Tender/SplashBidNoticeAbstractUI.aspx?menuIndex=3&amp;refID=6931496&amp;Result=3","6931496")</f>
        <v>0</v>
      </c>
      <c r="B13257" t="s">
        <v>2484</v>
      </c>
      <c r="C13257" t="s">
        <v>15787</v>
      </c>
      <c r="D13257" t="s">
        <v>16209</v>
      </c>
      <c r="E13257" t="s">
        <v>27833</v>
      </c>
      <c r="F13257" t="s">
        <v>28198</v>
      </c>
      <c r="G13257" t="s">
        <v>28205</v>
      </c>
      <c r="H13257" t="s">
        <v>28215</v>
      </c>
      <c r="I13257" t="s">
        <v>4200</v>
      </c>
      <c r="J13257" t="s">
        <v>28671</v>
      </c>
      <c r="K13257" t="s">
        <v>36707</v>
      </c>
      <c r="M13257" t="s">
        <v>39683</v>
      </c>
      <c r="N13257" t="s">
        <v>40436</v>
      </c>
      <c r="O13257" t="s">
        <v>40437</v>
      </c>
      <c r="Q13257">
        <v>4</v>
      </c>
      <c r="R13257" t="s">
        <v>40512</v>
      </c>
      <c r="S13257" t="s">
        <v>41760</v>
      </c>
      <c r="T13257" t="s">
        <v>42234</v>
      </c>
      <c r="U13257" t="s">
        <v>53460</v>
      </c>
      <c r="V13257" t="s">
        <v>55328</v>
      </c>
      <c r="W13257" t="s">
        <v>39683</v>
      </c>
      <c r="X13257" t="s">
        <v>40514</v>
      </c>
    </row>
    <row r="13258" spans="1:24">
      <c r="A13258">
        <f>HYPERLINK("https://www.philgeps.gov.ph/GEPSNONPILOT/Tender/SplashBidNoticeAbstractUI.aspx?menuIndex=3&amp;refID=6935752&amp;Result=3","6935752")</f>
        <v>0</v>
      </c>
      <c r="B13258" t="s">
        <v>1964</v>
      </c>
      <c r="C13258" t="s">
        <v>15788</v>
      </c>
      <c r="D13258" t="s">
        <v>16221</v>
      </c>
      <c r="E13258" t="s">
        <v>27834</v>
      </c>
      <c r="F13258" t="s">
        <v>28198</v>
      </c>
      <c r="G13258" t="s">
        <v>28205</v>
      </c>
      <c r="H13258" t="s">
        <v>28215</v>
      </c>
      <c r="I13258" t="s">
        <v>28247</v>
      </c>
      <c r="J13258" t="s">
        <v>36434</v>
      </c>
      <c r="K13258" t="s">
        <v>36689</v>
      </c>
      <c r="M13258" t="s">
        <v>40382</v>
      </c>
      <c r="N13258" t="s">
        <v>40436</v>
      </c>
      <c r="O13258" t="s">
        <v>40437</v>
      </c>
      <c r="Q13258">
        <v>52</v>
      </c>
      <c r="R13258" t="s">
        <v>40511</v>
      </c>
      <c r="S13258" t="s">
        <v>41761</v>
      </c>
      <c r="T13258" t="s">
        <v>42608</v>
      </c>
      <c r="U13258" t="s">
        <v>53461</v>
      </c>
      <c r="V13258" t="s">
        <v>55318</v>
      </c>
      <c r="W13258" t="s">
        <v>40382</v>
      </c>
      <c r="X13258" t="s">
        <v>40512</v>
      </c>
    </row>
    <row r="13259" spans="1:24">
      <c r="A13259">
        <f>HYPERLINK("https://www.philgeps.gov.ph/GEPSNONPILOT/Tender/SplashBidNoticeAbstractUI.aspx?menuIndex=3&amp;refID=6931327&amp;Result=3","6931327")</f>
        <v>0</v>
      </c>
      <c r="B13259" t="s">
        <v>2484</v>
      </c>
      <c r="C13259" t="s">
        <v>15789</v>
      </c>
      <c r="D13259" t="s">
        <v>16209</v>
      </c>
      <c r="E13259" t="s">
        <v>27835</v>
      </c>
      <c r="F13259" t="s">
        <v>28198</v>
      </c>
      <c r="G13259" t="s">
        <v>28205</v>
      </c>
      <c r="H13259" t="s">
        <v>28215</v>
      </c>
      <c r="I13259" t="s">
        <v>4200</v>
      </c>
      <c r="J13259" t="s">
        <v>32894</v>
      </c>
      <c r="K13259" t="s">
        <v>36707</v>
      </c>
      <c r="M13259" t="s">
        <v>39683</v>
      </c>
      <c r="N13259" t="s">
        <v>40436</v>
      </c>
      <c r="O13259" t="s">
        <v>40437</v>
      </c>
      <c r="Q13259">
        <v>2</v>
      </c>
      <c r="R13259" t="s">
        <v>40512</v>
      </c>
      <c r="S13259" t="s">
        <v>41762</v>
      </c>
      <c r="T13259" t="s">
        <v>42234</v>
      </c>
      <c r="U13259" t="s">
        <v>53462</v>
      </c>
      <c r="V13259" t="s">
        <v>55041</v>
      </c>
      <c r="W13259" t="s">
        <v>39683</v>
      </c>
      <c r="X13259" t="s">
        <v>40514</v>
      </c>
    </row>
    <row r="13260" spans="1:24">
      <c r="A13260">
        <f>HYPERLINK("https://www.philgeps.gov.ph/GEPSNONPILOT/Tender/SplashBidNoticeAbstractUI.aspx?menuIndex=3&amp;refID=6931393&amp;Result=3","6931393")</f>
        <v>0</v>
      </c>
      <c r="B13260" t="s">
        <v>3063</v>
      </c>
      <c r="C13260" t="s">
        <v>15790</v>
      </c>
      <c r="D13260" t="s">
        <v>16210</v>
      </c>
      <c r="E13260" t="s">
        <v>27836</v>
      </c>
      <c r="F13260" t="s">
        <v>28198</v>
      </c>
      <c r="G13260" t="s">
        <v>28207</v>
      </c>
      <c r="H13260" t="s">
        <v>28215</v>
      </c>
      <c r="I13260" t="s">
        <v>28258</v>
      </c>
      <c r="J13260" t="s">
        <v>28589</v>
      </c>
      <c r="K13260" t="s">
        <v>36706</v>
      </c>
      <c r="M13260" t="s">
        <v>40381</v>
      </c>
      <c r="N13260" t="s">
        <v>40436</v>
      </c>
      <c r="O13260" t="s">
        <v>40437</v>
      </c>
      <c r="Q13260">
        <v>5</v>
      </c>
      <c r="R13260" t="s">
        <v>40512</v>
      </c>
      <c r="S13260" t="s">
        <v>41763</v>
      </c>
      <c r="T13260" t="s">
        <v>42205</v>
      </c>
      <c r="U13260" t="s">
        <v>53463</v>
      </c>
      <c r="V13260" t="s">
        <v>55308</v>
      </c>
      <c r="W13260" t="s">
        <v>40381</v>
      </c>
      <c r="X13260" t="s">
        <v>40514</v>
      </c>
    </row>
    <row r="13261" spans="1:24">
      <c r="A13261">
        <f>HYPERLINK("https://www.philgeps.gov.ph/GEPSNONPILOT/Tender/SplashBidNoticeAbstractUI.aspx?menuIndex=3&amp;refID=6931053&amp;Result=3","6931053")</f>
        <v>0</v>
      </c>
      <c r="B13261" t="s">
        <v>2698</v>
      </c>
      <c r="C13261" t="s">
        <v>15791</v>
      </c>
      <c r="D13261" t="s">
        <v>16194</v>
      </c>
      <c r="E13261" t="s">
        <v>27837</v>
      </c>
      <c r="F13261" t="s">
        <v>28198</v>
      </c>
      <c r="G13261" t="s">
        <v>28205</v>
      </c>
      <c r="H13261" t="s">
        <v>28215</v>
      </c>
      <c r="I13261" t="s">
        <v>3422</v>
      </c>
      <c r="J13261" t="s">
        <v>36435</v>
      </c>
      <c r="K13261" t="s">
        <v>36689</v>
      </c>
      <c r="M13261" t="s">
        <v>39937</v>
      </c>
      <c r="N13261" t="s">
        <v>40436</v>
      </c>
      <c r="O13261" t="s">
        <v>40437</v>
      </c>
      <c r="Q13261">
        <v>2</v>
      </c>
      <c r="R13261" t="s">
        <v>40512</v>
      </c>
      <c r="S13261" t="s">
        <v>41764</v>
      </c>
      <c r="T13261" t="s">
        <v>42161</v>
      </c>
      <c r="U13261" t="s">
        <v>53457</v>
      </c>
      <c r="W13261" t="s">
        <v>39937</v>
      </c>
      <c r="X13261" t="s">
        <v>40514</v>
      </c>
    </row>
    <row r="13262" spans="1:24">
      <c r="A13262">
        <f>HYPERLINK("https://www.philgeps.gov.ph/GEPSNONPILOT/Tender/SplashBidNoticeAbstractUI.aspx?menuIndex=3&amp;refID=6931594&amp;Result=3","6931594")</f>
        <v>0</v>
      </c>
      <c r="B13262" t="s">
        <v>3063</v>
      </c>
      <c r="C13262" t="s">
        <v>15792</v>
      </c>
      <c r="D13262" t="s">
        <v>16210</v>
      </c>
      <c r="E13262" t="s">
        <v>27838</v>
      </c>
      <c r="F13262" t="s">
        <v>28198</v>
      </c>
      <c r="G13262" t="s">
        <v>28207</v>
      </c>
      <c r="H13262" t="s">
        <v>28215</v>
      </c>
      <c r="I13262" t="s">
        <v>4168</v>
      </c>
      <c r="J13262" t="s">
        <v>28886</v>
      </c>
      <c r="K13262" t="s">
        <v>36707</v>
      </c>
      <c r="M13262" t="s">
        <v>40381</v>
      </c>
      <c r="N13262" t="s">
        <v>40436</v>
      </c>
      <c r="O13262" t="s">
        <v>40437</v>
      </c>
      <c r="Q13262">
        <v>11</v>
      </c>
      <c r="R13262" t="s">
        <v>40512</v>
      </c>
      <c r="S13262" t="s">
        <v>41765</v>
      </c>
      <c r="T13262" t="s">
        <v>42205</v>
      </c>
      <c r="U13262" t="s">
        <v>53464</v>
      </c>
      <c r="V13262" t="s">
        <v>55308</v>
      </c>
      <c r="W13262" t="s">
        <v>40381</v>
      </c>
      <c r="X13262" t="s">
        <v>40514</v>
      </c>
    </row>
    <row r="13263" spans="1:24">
      <c r="A13263">
        <f>HYPERLINK("https://www.philgeps.gov.ph/GEPSNONPILOT/Tender/SplashBidNoticeAbstractUI.aspx?menuIndex=3&amp;refID=6930742&amp;Result=3","6930742")</f>
        <v>0</v>
      </c>
      <c r="B13263" t="s">
        <v>1370</v>
      </c>
      <c r="C13263" t="s">
        <v>15793</v>
      </c>
      <c r="D13263" t="s">
        <v>16213</v>
      </c>
      <c r="E13263" t="s">
        <v>27839</v>
      </c>
      <c r="F13263" t="s">
        <v>28198</v>
      </c>
      <c r="G13263" t="s">
        <v>28205</v>
      </c>
      <c r="H13263" t="s">
        <v>28214</v>
      </c>
      <c r="I13263" t="s">
        <v>3797</v>
      </c>
      <c r="J13263" t="s">
        <v>29526</v>
      </c>
      <c r="K13263" t="s">
        <v>36922</v>
      </c>
      <c r="M13263" t="s">
        <v>38432</v>
      </c>
      <c r="N13263" t="s">
        <v>40436</v>
      </c>
      <c r="O13263" t="s">
        <v>40437</v>
      </c>
      <c r="Q13263">
        <v>0</v>
      </c>
      <c r="R13263" t="s">
        <v>40512</v>
      </c>
      <c r="S13263" t="s">
        <v>41766</v>
      </c>
      <c r="T13263" t="s">
        <v>42099</v>
      </c>
      <c r="U13263" t="s">
        <v>53465</v>
      </c>
      <c r="W13263" t="s">
        <v>38432</v>
      </c>
      <c r="X13263" t="s">
        <v>40514</v>
      </c>
    </row>
    <row r="13264" spans="1:24">
      <c r="A13264">
        <f>HYPERLINK("https://www.philgeps.gov.ph/GEPSNONPILOT/Tender/SplashBidNoticeAbstractUI.aspx?menuIndex=3&amp;refID=6952167&amp;Result=3","6952167")</f>
        <v>0</v>
      </c>
      <c r="B13264" t="s">
        <v>3065</v>
      </c>
      <c r="C13264" t="s">
        <v>15794</v>
      </c>
      <c r="D13264" t="s">
        <v>16210</v>
      </c>
      <c r="E13264" t="s">
        <v>27840</v>
      </c>
      <c r="F13264" t="s">
        <v>28198</v>
      </c>
      <c r="G13264" t="s">
        <v>28205</v>
      </c>
      <c r="H13264" t="s">
        <v>28217</v>
      </c>
      <c r="I13264" t="s">
        <v>28234</v>
      </c>
      <c r="J13264" t="s">
        <v>28390</v>
      </c>
      <c r="K13264" t="s">
        <v>36701</v>
      </c>
      <c r="M13264" t="s">
        <v>40385</v>
      </c>
      <c r="N13264" t="s">
        <v>40436</v>
      </c>
      <c r="O13264" t="s">
        <v>40437</v>
      </c>
      <c r="Q13264">
        <v>14</v>
      </c>
      <c r="R13264" t="s">
        <v>40513</v>
      </c>
      <c r="S13264" t="s">
        <v>41071</v>
      </c>
      <c r="T13264" t="s">
        <v>42535</v>
      </c>
      <c r="U13264" t="s">
        <v>53466</v>
      </c>
      <c r="W13264" t="s">
        <v>40385</v>
      </c>
      <c r="X13264" t="s">
        <v>55553</v>
      </c>
    </row>
    <row r="13265" spans="1:24">
      <c r="A13265">
        <f>HYPERLINK("https://www.philgeps.gov.ph/GEPSNONPILOT/Tender/SplashBidNoticeAbstractUI.aspx?menuIndex=3&amp;refID=6930378&amp;Result=3","6930378")</f>
        <v>0</v>
      </c>
      <c r="B13265" t="s">
        <v>1370</v>
      </c>
      <c r="C13265" t="s">
        <v>15795</v>
      </c>
      <c r="D13265" t="s">
        <v>16213</v>
      </c>
      <c r="E13265" t="s">
        <v>27841</v>
      </c>
      <c r="F13265" t="s">
        <v>28198</v>
      </c>
      <c r="G13265" t="s">
        <v>28205</v>
      </c>
      <c r="H13265" t="s">
        <v>28214</v>
      </c>
      <c r="I13265" t="s">
        <v>3797</v>
      </c>
      <c r="J13265" t="s">
        <v>31235</v>
      </c>
      <c r="K13265" t="s">
        <v>36834</v>
      </c>
      <c r="M13265" t="s">
        <v>38432</v>
      </c>
      <c r="N13265" t="s">
        <v>40436</v>
      </c>
      <c r="O13265" t="s">
        <v>40437</v>
      </c>
      <c r="Q13265">
        <v>0</v>
      </c>
      <c r="R13265" t="s">
        <v>40512</v>
      </c>
      <c r="S13265" t="s">
        <v>41767</v>
      </c>
      <c r="T13265" t="s">
        <v>42099</v>
      </c>
      <c r="U13265" t="s">
        <v>53467</v>
      </c>
      <c r="W13265" t="s">
        <v>38432</v>
      </c>
      <c r="X13265" t="s">
        <v>40514</v>
      </c>
    </row>
    <row r="13266" spans="1:24">
      <c r="A13266">
        <f>HYPERLINK("https://www.philgeps.gov.ph/GEPSNONPILOT/Tender/SplashBidNoticeAbstractUI.aspx?menuIndex=3&amp;refID=6932470&amp;Result=3","6932470")</f>
        <v>0</v>
      </c>
      <c r="B13266" t="s">
        <v>2619</v>
      </c>
      <c r="C13266" t="s">
        <v>15796</v>
      </c>
      <c r="D13266" t="s">
        <v>16210</v>
      </c>
      <c r="E13266" t="s">
        <v>27842</v>
      </c>
      <c r="F13266" t="s">
        <v>28198</v>
      </c>
      <c r="G13266" t="s">
        <v>28205</v>
      </c>
      <c r="H13266" t="s">
        <v>28215</v>
      </c>
      <c r="I13266" t="s">
        <v>4200</v>
      </c>
      <c r="J13266" t="s">
        <v>36436</v>
      </c>
      <c r="K13266" t="s">
        <v>36689</v>
      </c>
      <c r="M13266" t="s">
        <v>39839</v>
      </c>
      <c r="N13266" t="s">
        <v>40436</v>
      </c>
      <c r="O13266" t="s">
        <v>40437</v>
      </c>
      <c r="Q13266">
        <v>6</v>
      </c>
      <c r="R13266" t="s">
        <v>40512</v>
      </c>
      <c r="S13266" t="s">
        <v>41768</v>
      </c>
      <c r="T13266" t="s">
        <v>42609</v>
      </c>
      <c r="U13266" t="s">
        <v>53468</v>
      </c>
      <c r="W13266" t="s">
        <v>39839</v>
      </c>
      <c r="X13266" t="s">
        <v>40514</v>
      </c>
    </row>
    <row r="13267" spans="1:24">
      <c r="A13267">
        <f>HYPERLINK("https://www.philgeps.gov.ph/GEPSNONPILOT/Tender/SplashBidNoticeAbstractUI.aspx?menuIndex=3&amp;refID=6937901&amp;Result=3","6937901")</f>
        <v>0</v>
      </c>
      <c r="B13267" t="s">
        <v>3059</v>
      </c>
      <c r="C13267" t="s">
        <v>15797</v>
      </c>
      <c r="D13267" t="s">
        <v>16210</v>
      </c>
      <c r="E13267" t="s">
        <v>27843</v>
      </c>
      <c r="F13267" t="s">
        <v>28198</v>
      </c>
      <c r="G13267" t="s">
        <v>28205</v>
      </c>
      <c r="H13267" t="s">
        <v>28214</v>
      </c>
      <c r="I13267" t="s">
        <v>3797</v>
      </c>
      <c r="J13267" t="s">
        <v>31934</v>
      </c>
      <c r="K13267" t="s">
        <v>36690</v>
      </c>
      <c r="M13267" t="s">
        <v>40374</v>
      </c>
      <c r="N13267" t="s">
        <v>40436</v>
      </c>
      <c r="O13267" t="s">
        <v>40437</v>
      </c>
      <c r="Q13267">
        <v>18</v>
      </c>
      <c r="R13267" t="s">
        <v>40508</v>
      </c>
      <c r="S13267" t="s">
        <v>40789</v>
      </c>
      <c r="T13267" t="s">
        <v>42133</v>
      </c>
      <c r="U13267" t="s">
        <v>53469</v>
      </c>
      <c r="W13267" t="s">
        <v>55551</v>
      </c>
      <c r="X13267" t="s">
        <v>40511</v>
      </c>
    </row>
    <row r="13268" spans="1:24">
      <c r="A13268">
        <f>HYPERLINK("https://www.philgeps.gov.ph/GEPSNONPILOT/Tender/SplashBidNoticeAbstractUI.aspx?menuIndex=3&amp;refID=6932253&amp;Result=3","6932253")</f>
        <v>0</v>
      </c>
      <c r="B13268" t="s">
        <v>664</v>
      </c>
      <c r="C13268" t="s">
        <v>15798</v>
      </c>
      <c r="D13268" t="s">
        <v>16260</v>
      </c>
      <c r="E13268" t="s">
        <v>27844</v>
      </c>
      <c r="F13268" t="s">
        <v>28198</v>
      </c>
      <c r="G13268" t="s">
        <v>28205</v>
      </c>
      <c r="H13268" t="s">
        <v>28215</v>
      </c>
      <c r="I13268" t="s">
        <v>28248</v>
      </c>
      <c r="J13268" t="s">
        <v>36437</v>
      </c>
      <c r="K13268" t="s">
        <v>36701</v>
      </c>
      <c r="M13268" t="s">
        <v>38851</v>
      </c>
      <c r="N13268" t="s">
        <v>40436</v>
      </c>
      <c r="O13268" t="s">
        <v>40437</v>
      </c>
      <c r="Q13268">
        <v>7</v>
      </c>
      <c r="R13268" t="s">
        <v>40512</v>
      </c>
      <c r="S13268" t="s">
        <v>41769</v>
      </c>
      <c r="T13268" t="s">
        <v>42190</v>
      </c>
      <c r="U13268" t="s">
        <v>53470</v>
      </c>
      <c r="W13268" t="s">
        <v>38851</v>
      </c>
      <c r="X13268" t="s">
        <v>40514</v>
      </c>
    </row>
    <row r="13269" spans="1:24">
      <c r="A13269">
        <f>HYPERLINK("https://www.philgeps.gov.ph/GEPSNONPILOT/Tender/SplashBidNoticeAbstractUI.aspx?menuIndex=3&amp;refID=6932379&amp;Result=3","6932379")</f>
        <v>0</v>
      </c>
      <c r="B13269" t="s">
        <v>2733</v>
      </c>
      <c r="C13269" t="s">
        <v>15799</v>
      </c>
      <c r="D13269" t="s">
        <v>16187</v>
      </c>
      <c r="E13269" t="s">
        <v>27845</v>
      </c>
      <c r="F13269" t="s">
        <v>28198</v>
      </c>
      <c r="G13269" t="s">
        <v>28205</v>
      </c>
      <c r="H13269" t="s">
        <v>28214</v>
      </c>
      <c r="I13269" t="s">
        <v>3797</v>
      </c>
      <c r="J13269" t="s">
        <v>36438</v>
      </c>
      <c r="K13269" t="s">
        <v>36926</v>
      </c>
      <c r="M13269" t="s">
        <v>39979</v>
      </c>
      <c r="N13269" t="s">
        <v>40436</v>
      </c>
      <c r="O13269" t="s">
        <v>40437</v>
      </c>
      <c r="Q13269">
        <v>19</v>
      </c>
      <c r="R13269" t="s">
        <v>40512</v>
      </c>
      <c r="S13269" t="s">
        <v>41770</v>
      </c>
      <c r="T13269" t="s">
        <v>42134</v>
      </c>
      <c r="U13269" t="s">
        <v>53471</v>
      </c>
      <c r="W13269" t="s">
        <v>39979</v>
      </c>
      <c r="X13269" t="s">
        <v>40514</v>
      </c>
    </row>
    <row r="13270" spans="1:24">
      <c r="A13270">
        <f>HYPERLINK("https://www.philgeps.gov.ph/GEPSNONPILOT/Tender/SplashBidNoticeAbstractUI.aspx?menuIndex=3&amp;refID=6932434&amp;Result=3","6932434")</f>
        <v>0</v>
      </c>
      <c r="B13270" t="s">
        <v>2733</v>
      </c>
      <c r="C13270" t="s">
        <v>15800</v>
      </c>
      <c r="D13270" t="s">
        <v>16187</v>
      </c>
      <c r="E13270" t="s">
        <v>27846</v>
      </c>
      <c r="F13270" t="s">
        <v>28198</v>
      </c>
      <c r="G13270" t="s">
        <v>28205</v>
      </c>
      <c r="H13270" t="s">
        <v>28214</v>
      </c>
      <c r="I13270" t="s">
        <v>3797</v>
      </c>
      <c r="J13270" t="s">
        <v>29546</v>
      </c>
      <c r="K13270" t="s">
        <v>36944</v>
      </c>
      <c r="M13270" t="s">
        <v>39979</v>
      </c>
      <c r="N13270" t="s">
        <v>40436</v>
      </c>
      <c r="O13270" t="s">
        <v>40437</v>
      </c>
      <c r="Q13270">
        <v>18</v>
      </c>
      <c r="R13270" t="s">
        <v>40512</v>
      </c>
      <c r="S13270" t="s">
        <v>41771</v>
      </c>
      <c r="T13270" t="s">
        <v>42134</v>
      </c>
      <c r="U13270" t="s">
        <v>53472</v>
      </c>
      <c r="W13270" t="s">
        <v>39979</v>
      </c>
      <c r="X13270" t="s">
        <v>40514</v>
      </c>
    </row>
    <row r="13271" spans="1:24">
      <c r="A13271">
        <f>HYPERLINK("https://www.philgeps.gov.ph/GEPSNONPILOT/Tender/SplashBidNoticeAbstractUI.aspx?menuIndex=3&amp;refID=6932400&amp;Result=3","6932400")</f>
        <v>0</v>
      </c>
      <c r="B13271" t="s">
        <v>2733</v>
      </c>
      <c r="C13271" t="s">
        <v>15801</v>
      </c>
      <c r="D13271" t="s">
        <v>16187</v>
      </c>
      <c r="E13271" t="s">
        <v>27847</v>
      </c>
      <c r="F13271" t="s">
        <v>28198</v>
      </c>
      <c r="G13271" t="s">
        <v>28205</v>
      </c>
      <c r="H13271" t="s">
        <v>28214</v>
      </c>
      <c r="I13271" t="s">
        <v>3797</v>
      </c>
      <c r="J13271" t="s">
        <v>32253</v>
      </c>
      <c r="K13271" t="s">
        <v>36986</v>
      </c>
      <c r="M13271" t="s">
        <v>39979</v>
      </c>
      <c r="N13271" t="s">
        <v>40436</v>
      </c>
      <c r="O13271" t="s">
        <v>40437</v>
      </c>
      <c r="Q13271">
        <v>15</v>
      </c>
      <c r="R13271" t="s">
        <v>40512</v>
      </c>
      <c r="S13271" t="s">
        <v>41772</v>
      </c>
      <c r="T13271" t="s">
        <v>42134</v>
      </c>
      <c r="U13271" t="s">
        <v>53473</v>
      </c>
      <c r="W13271" t="s">
        <v>39979</v>
      </c>
      <c r="X13271" t="s">
        <v>40514</v>
      </c>
    </row>
    <row r="13272" spans="1:24">
      <c r="A13272">
        <f>HYPERLINK("https://www.philgeps.gov.ph/GEPSNONPILOT/Tender/SplashBidNoticeAbstractUI.aspx?menuIndex=3&amp;refID=6932310&amp;Result=3","6932310")</f>
        <v>0</v>
      </c>
      <c r="B13272" t="s">
        <v>664</v>
      </c>
      <c r="C13272" t="s">
        <v>15802</v>
      </c>
      <c r="D13272" t="s">
        <v>16260</v>
      </c>
      <c r="E13272" t="s">
        <v>27848</v>
      </c>
      <c r="F13272" t="s">
        <v>28198</v>
      </c>
      <c r="G13272" t="s">
        <v>28205</v>
      </c>
      <c r="H13272" t="s">
        <v>28215</v>
      </c>
      <c r="I13272" t="s">
        <v>28266</v>
      </c>
      <c r="J13272" t="s">
        <v>32805</v>
      </c>
      <c r="K13272" t="s">
        <v>36701</v>
      </c>
      <c r="M13272" t="s">
        <v>38851</v>
      </c>
      <c r="N13272" t="s">
        <v>40436</v>
      </c>
      <c r="O13272" t="s">
        <v>40437</v>
      </c>
      <c r="Q13272">
        <v>4</v>
      </c>
      <c r="R13272" t="s">
        <v>40512</v>
      </c>
      <c r="S13272" t="s">
        <v>41773</v>
      </c>
      <c r="T13272" t="s">
        <v>42190</v>
      </c>
      <c r="U13272" t="s">
        <v>53474</v>
      </c>
      <c r="W13272" t="s">
        <v>38851</v>
      </c>
      <c r="X13272" t="s">
        <v>40514</v>
      </c>
    </row>
    <row r="13273" spans="1:24">
      <c r="A13273">
        <f>HYPERLINK("https://www.philgeps.gov.ph/GEPSNONPILOT/Tender/SplashBidNoticeAbstractUI.aspx?menuIndex=3&amp;refID=6932323&amp;Result=3","6932323")</f>
        <v>0</v>
      </c>
      <c r="B13273" t="s">
        <v>664</v>
      </c>
      <c r="C13273" t="s">
        <v>15803</v>
      </c>
      <c r="D13273" t="s">
        <v>16260</v>
      </c>
      <c r="E13273" t="s">
        <v>27849</v>
      </c>
      <c r="F13273" t="s">
        <v>28198</v>
      </c>
      <c r="G13273" t="s">
        <v>28205</v>
      </c>
      <c r="H13273" t="s">
        <v>28215</v>
      </c>
      <c r="I13273" t="s">
        <v>28234</v>
      </c>
      <c r="J13273" t="s">
        <v>36439</v>
      </c>
      <c r="K13273" t="s">
        <v>36701</v>
      </c>
      <c r="M13273" t="s">
        <v>38851</v>
      </c>
      <c r="N13273" t="s">
        <v>40436</v>
      </c>
      <c r="O13273" t="s">
        <v>40437</v>
      </c>
      <c r="Q13273">
        <v>5</v>
      </c>
      <c r="R13273" t="s">
        <v>40512</v>
      </c>
      <c r="S13273" t="s">
        <v>41774</v>
      </c>
      <c r="T13273" t="s">
        <v>42190</v>
      </c>
      <c r="U13273" t="s">
        <v>53474</v>
      </c>
      <c r="W13273" t="s">
        <v>38851</v>
      </c>
      <c r="X13273" t="s">
        <v>40514</v>
      </c>
    </row>
    <row r="13274" spans="1:24">
      <c r="A13274">
        <f>HYPERLINK("https://www.philgeps.gov.ph/GEPSNONPILOT/Tender/SplashBidNoticeAbstractUI.aspx?menuIndex=3&amp;refID=6932604&amp;Result=3","6932604")</f>
        <v>0</v>
      </c>
      <c r="B13274" t="s">
        <v>581</v>
      </c>
      <c r="C13274" t="s">
        <v>15804</v>
      </c>
      <c r="D13274" t="s">
        <v>16191</v>
      </c>
      <c r="E13274" t="s">
        <v>27850</v>
      </c>
      <c r="F13274" t="s">
        <v>28198</v>
      </c>
      <c r="G13274" t="s">
        <v>28205</v>
      </c>
      <c r="H13274" t="s">
        <v>28215</v>
      </c>
      <c r="I13274" t="s">
        <v>3774</v>
      </c>
      <c r="J13274" t="s">
        <v>36440</v>
      </c>
      <c r="K13274" t="s">
        <v>36701</v>
      </c>
      <c r="M13274" t="s">
        <v>40386</v>
      </c>
      <c r="N13274" t="s">
        <v>40436</v>
      </c>
      <c r="O13274" t="s">
        <v>40437</v>
      </c>
      <c r="Q13274">
        <v>1</v>
      </c>
      <c r="R13274" t="s">
        <v>40512</v>
      </c>
      <c r="S13274" t="s">
        <v>41775</v>
      </c>
      <c r="T13274" t="s">
        <v>42183</v>
      </c>
      <c r="U13274" t="s">
        <v>53475</v>
      </c>
      <c r="V13274" t="s">
        <v>55329</v>
      </c>
      <c r="W13274" t="s">
        <v>40386</v>
      </c>
      <c r="X13274" t="s">
        <v>40514</v>
      </c>
    </row>
    <row r="13275" spans="1:24">
      <c r="A13275">
        <f>HYPERLINK("https://www.philgeps.gov.ph/GEPSNONPILOT/Tender/SplashBidNoticeAbstractUI.aspx?menuIndex=3&amp;refID=6937934&amp;Result=3","6937934")</f>
        <v>0</v>
      </c>
      <c r="B13275" t="s">
        <v>3059</v>
      </c>
      <c r="C13275" t="s">
        <v>15805</v>
      </c>
      <c r="D13275" t="s">
        <v>16210</v>
      </c>
      <c r="E13275" t="s">
        <v>27851</v>
      </c>
      <c r="F13275" t="s">
        <v>28198</v>
      </c>
      <c r="G13275" t="s">
        <v>28205</v>
      </c>
      <c r="H13275" t="s">
        <v>28214</v>
      </c>
      <c r="I13275" t="s">
        <v>3797</v>
      </c>
      <c r="J13275" t="s">
        <v>36441</v>
      </c>
      <c r="K13275" t="s">
        <v>36690</v>
      </c>
      <c r="M13275" t="s">
        <v>40374</v>
      </c>
      <c r="N13275" t="s">
        <v>40436</v>
      </c>
      <c r="O13275" t="s">
        <v>40437</v>
      </c>
      <c r="Q13275">
        <v>17</v>
      </c>
      <c r="R13275" t="s">
        <v>40508</v>
      </c>
      <c r="S13275" t="s">
        <v>41776</v>
      </c>
      <c r="T13275" t="s">
        <v>42133</v>
      </c>
      <c r="U13275" t="s">
        <v>53469</v>
      </c>
      <c r="W13275" t="s">
        <v>55551</v>
      </c>
      <c r="X13275" t="s">
        <v>40511</v>
      </c>
    </row>
    <row r="13276" spans="1:24">
      <c r="A13276">
        <f>HYPERLINK("https://www.philgeps.gov.ph/GEPSNONPILOT/Tender/SplashBidNoticeAbstractUI.aspx?menuIndex=3&amp;refID=6932599&amp;Result=3","6932599")</f>
        <v>0</v>
      </c>
      <c r="B13276" t="s">
        <v>581</v>
      </c>
      <c r="C13276" t="s">
        <v>15806</v>
      </c>
      <c r="D13276" t="s">
        <v>16191</v>
      </c>
      <c r="E13276" t="s">
        <v>27850</v>
      </c>
      <c r="F13276" t="s">
        <v>28198</v>
      </c>
      <c r="G13276" t="s">
        <v>28205</v>
      </c>
      <c r="H13276" t="s">
        <v>28215</v>
      </c>
      <c r="I13276" t="s">
        <v>3774</v>
      </c>
      <c r="J13276" t="s">
        <v>36442</v>
      </c>
      <c r="K13276" t="s">
        <v>36701</v>
      </c>
      <c r="M13276" t="s">
        <v>40386</v>
      </c>
      <c r="N13276" t="s">
        <v>40436</v>
      </c>
      <c r="O13276" t="s">
        <v>40437</v>
      </c>
      <c r="Q13276">
        <v>1</v>
      </c>
      <c r="R13276" t="s">
        <v>40512</v>
      </c>
      <c r="S13276" t="s">
        <v>41777</v>
      </c>
      <c r="T13276" t="s">
        <v>42183</v>
      </c>
      <c r="U13276" t="s">
        <v>53475</v>
      </c>
      <c r="V13276" t="s">
        <v>55330</v>
      </c>
      <c r="W13276" t="s">
        <v>40386</v>
      </c>
      <c r="X13276" t="s">
        <v>40514</v>
      </c>
    </row>
    <row r="13277" spans="1:24">
      <c r="A13277">
        <f>HYPERLINK("https://www.philgeps.gov.ph/GEPSNONPILOT/Tender/SplashBidNoticeAbstractUI.aspx?menuIndex=3&amp;refID=6932586&amp;Result=3","6932586")</f>
        <v>0</v>
      </c>
      <c r="B13277" t="s">
        <v>3059</v>
      </c>
      <c r="C13277" t="s">
        <v>15807</v>
      </c>
      <c r="D13277" t="s">
        <v>16234</v>
      </c>
      <c r="E13277" t="s">
        <v>27852</v>
      </c>
      <c r="F13277" t="s">
        <v>28200</v>
      </c>
      <c r="G13277" t="s">
        <v>28206</v>
      </c>
      <c r="H13277" t="s">
        <v>28215</v>
      </c>
      <c r="I13277" t="s">
        <v>5100</v>
      </c>
      <c r="J13277" t="s">
        <v>36443</v>
      </c>
      <c r="K13277" t="s">
        <v>36707</v>
      </c>
      <c r="M13277" t="s">
        <v>40374</v>
      </c>
      <c r="N13277" t="s">
        <v>40436</v>
      </c>
      <c r="O13277" t="s">
        <v>40437</v>
      </c>
      <c r="Q13277">
        <v>0</v>
      </c>
      <c r="R13277" t="s">
        <v>40512</v>
      </c>
      <c r="S13277" t="s">
        <v>41778</v>
      </c>
      <c r="T13277" t="s">
        <v>42133</v>
      </c>
      <c r="U13277" t="s">
        <v>53476</v>
      </c>
      <c r="W13277" t="s">
        <v>55551</v>
      </c>
      <c r="X13277" t="s">
        <v>40514</v>
      </c>
    </row>
    <row r="13278" spans="1:24">
      <c r="A13278">
        <f>HYPERLINK("https://www.philgeps.gov.ph/GEPSNONPILOT/Tender/SplashBidNoticeAbstractUI.aspx?menuIndex=3&amp;refID=6929383&amp;Result=3","6929383")</f>
        <v>0</v>
      </c>
      <c r="B13278" t="s">
        <v>2698</v>
      </c>
      <c r="C13278" t="s">
        <v>15808</v>
      </c>
      <c r="D13278" t="s">
        <v>16194</v>
      </c>
      <c r="E13278" t="s">
        <v>27853</v>
      </c>
      <c r="F13278" t="s">
        <v>28198</v>
      </c>
      <c r="G13278" t="s">
        <v>28205</v>
      </c>
      <c r="H13278" t="s">
        <v>28214</v>
      </c>
      <c r="I13278" t="s">
        <v>3797</v>
      </c>
      <c r="J13278" t="s">
        <v>36444</v>
      </c>
      <c r="K13278" t="s">
        <v>36737</v>
      </c>
      <c r="M13278" t="s">
        <v>39937</v>
      </c>
      <c r="N13278" t="s">
        <v>40436</v>
      </c>
      <c r="O13278" t="s">
        <v>40437</v>
      </c>
      <c r="Q13278">
        <v>0</v>
      </c>
      <c r="R13278" t="s">
        <v>40512</v>
      </c>
      <c r="S13278" t="s">
        <v>41779</v>
      </c>
      <c r="T13278" t="s">
        <v>42161</v>
      </c>
      <c r="U13278" t="s">
        <v>53439</v>
      </c>
      <c r="W13278" t="s">
        <v>39937</v>
      </c>
      <c r="X13278" t="s">
        <v>40514</v>
      </c>
    </row>
    <row r="13279" spans="1:24">
      <c r="A13279">
        <f>HYPERLINK("https://www.philgeps.gov.ph/GEPSNONPILOT/Tender/SplashBidNoticeAbstractUI.aspx?menuIndex=3&amp;refID=6932589&amp;Result=3","6932589")</f>
        <v>0</v>
      </c>
      <c r="B13279" t="s">
        <v>581</v>
      </c>
      <c r="C13279" t="s">
        <v>15809</v>
      </c>
      <c r="D13279" t="s">
        <v>16191</v>
      </c>
      <c r="E13279" t="s">
        <v>27850</v>
      </c>
      <c r="F13279" t="s">
        <v>28198</v>
      </c>
      <c r="G13279" t="s">
        <v>28205</v>
      </c>
      <c r="H13279" t="s">
        <v>28215</v>
      </c>
      <c r="I13279" t="s">
        <v>5631</v>
      </c>
      <c r="J13279" t="s">
        <v>36445</v>
      </c>
      <c r="K13279" t="s">
        <v>36701</v>
      </c>
      <c r="M13279" t="s">
        <v>40386</v>
      </c>
      <c r="N13279" t="s">
        <v>40436</v>
      </c>
      <c r="O13279" t="s">
        <v>40437</v>
      </c>
      <c r="Q13279">
        <v>3</v>
      </c>
      <c r="R13279" t="s">
        <v>40512</v>
      </c>
      <c r="S13279" t="s">
        <v>41450</v>
      </c>
      <c r="T13279" t="s">
        <v>42183</v>
      </c>
      <c r="U13279" t="s">
        <v>53475</v>
      </c>
      <c r="V13279" t="s">
        <v>55331</v>
      </c>
      <c r="W13279" t="s">
        <v>40386</v>
      </c>
      <c r="X13279" t="s">
        <v>40514</v>
      </c>
    </row>
    <row r="13280" spans="1:24">
      <c r="A13280">
        <f>HYPERLINK("https://www.philgeps.gov.ph/GEPSNONPILOT/Tender/SplashBidNoticeAbstractUI.aspx?menuIndex=3&amp;refID=6930258&amp;Result=3","6930258")</f>
        <v>0</v>
      </c>
      <c r="B13280" t="s">
        <v>1370</v>
      </c>
      <c r="C13280" t="s">
        <v>15810</v>
      </c>
      <c r="D13280" t="s">
        <v>16213</v>
      </c>
      <c r="E13280" t="s">
        <v>27854</v>
      </c>
      <c r="F13280" t="s">
        <v>28198</v>
      </c>
      <c r="G13280" t="s">
        <v>28205</v>
      </c>
      <c r="H13280" t="s">
        <v>28214</v>
      </c>
      <c r="I13280" t="s">
        <v>3797</v>
      </c>
      <c r="J13280" t="s">
        <v>32253</v>
      </c>
      <c r="K13280" t="s">
        <v>36982</v>
      </c>
      <c r="M13280" t="s">
        <v>38432</v>
      </c>
      <c r="N13280" t="s">
        <v>40436</v>
      </c>
      <c r="O13280" t="s">
        <v>40437</v>
      </c>
      <c r="Q13280">
        <v>0</v>
      </c>
      <c r="R13280" t="s">
        <v>40512</v>
      </c>
      <c r="S13280" t="s">
        <v>41780</v>
      </c>
      <c r="T13280" t="s">
        <v>42099</v>
      </c>
      <c r="U13280" t="s">
        <v>53477</v>
      </c>
      <c r="W13280" t="s">
        <v>38432</v>
      </c>
      <c r="X13280" t="s">
        <v>40514</v>
      </c>
    </row>
    <row r="13281" spans="1:24">
      <c r="A13281">
        <f>HYPERLINK("https://www.philgeps.gov.ph/GEPSNONPILOT/Tender/SplashBidNoticeAbstractUI.aspx?menuIndex=3&amp;refID=6932585&amp;Result=3","6932585")</f>
        <v>0</v>
      </c>
      <c r="B13281" t="s">
        <v>3059</v>
      </c>
      <c r="C13281" t="s">
        <v>15811</v>
      </c>
      <c r="D13281" t="s">
        <v>16210</v>
      </c>
      <c r="E13281" t="s">
        <v>27855</v>
      </c>
      <c r="F13281" t="s">
        <v>28200</v>
      </c>
      <c r="G13281" t="s">
        <v>28206</v>
      </c>
      <c r="H13281" t="s">
        <v>28215</v>
      </c>
      <c r="I13281" t="s">
        <v>5100</v>
      </c>
      <c r="J13281" t="s">
        <v>36446</v>
      </c>
      <c r="K13281" t="s">
        <v>36707</v>
      </c>
      <c r="M13281" t="s">
        <v>40374</v>
      </c>
      <c r="N13281" t="s">
        <v>40436</v>
      </c>
      <c r="O13281" t="s">
        <v>40437</v>
      </c>
      <c r="Q13281">
        <v>1</v>
      </c>
      <c r="R13281" t="s">
        <v>40512</v>
      </c>
      <c r="S13281" t="s">
        <v>41781</v>
      </c>
      <c r="T13281" t="s">
        <v>42133</v>
      </c>
      <c r="U13281" t="s">
        <v>53478</v>
      </c>
      <c r="W13281" t="s">
        <v>55551</v>
      </c>
      <c r="X13281" t="s">
        <v>40514</v>
      </c>
    </row>
    <row r="13282" spans="1:24">
      <c r="A13282">
        <f>HYPERLINK("https://www.philgeps.gov.ph/GEPSNONPILOT/Tender/SplashBidNoticeAbstractUI.aspx?menuIndex=3&amp;refID=6932609&amp;Result=3","6932609")</f>
        <v>0</v>
      </c>
      <c r="B13282" t="s">
        <v>581</v>
      </c>
      <c r="C13282" t="s">
        <v>15812</v>
      </c>
      <c r="D13282" t="s">
        <v>16191</v>
      </c>
      <c r="E13282" t="s">
        <v>27856</v>
      </c>
      <c r="F13282" t="s">
        <v>28198</v>
      </c>
      <c r="G13282" t="s">
        <v>28205</v>
      </c>
      <c r="H13282" t="s">
        <v>28215</v>
      </c>
      <c r="I13282" t="s">
        <v>3774</v>
      </c>
      <c r="J13282" t="s">
        <v>36447</v>
      </c>
      <c r="K13282" t="s">
        <v>36701</v>
      </c>
      <c r="M13282" t="s">
        <v>40386</v>
      </c>
      <c r="N13282" t="s">
        <v>40436</v>
      </c>
      <c r="O13282" t="s">
        <v>40437</v>
      </c>
      <c r="Q13282">
        <v>2</v>
      </c>
      <c r="R13282" t="s">
        <v>40512</v>
      </c>
      <c r="S13282" t="s">
        <v>41454</v>
      </c>
      <c r="T13282" t="s">
        <v>42183</v>
      </c>
      <c r="U13282" t="s">
        <v>53475</v>
      </c>
      <c r="V13282" t="s">
        <v>55329</v>
      </c>
      <c r="W13282" t="s">
        <v>40386</v>
      </c>
      <c r="X13282" t="s">
        <v>40514</v>
      </c>
    </row>
    <row r="13283" spans="1:24">
      <c r="A13283">
        <f>HYPERLINK("https://www.philgeps.gov.ph/GEPSNONPILOT/Tender/SplashBidNoticeAbstractUI.aspx?menuIndex=3&amp;refID=6932595&amp;Result=3","6932595")</f>
        <v>0</v>
      </c>
      <c r="B13283" t="s">
        <v>581</v>
      </c>
      <c r="C13283" t="s">
        <v>15813</v>
      </c>
      <c r="D13283" t="s">
        <v>16191</v>
      </c>
      <c r="E13283" t="s">
        <v>27850</v>
      </c>
      <c r="F13283" t="s">
        <v>28198</v>
      </c>
      <c r="G13283" t="s">
        <v>28205</v>
      </c>
      <c r="H13283" t="s">
        <v>28215</v>
      </c>
      <c r="I13283" t="s">
        <v>3774</v>
      </c>
      <c r="J13283" t="s">
        <v>36448</v>
      </c>
      <c r="K13283" t="s">
        <v>36701</v>
      </c>
      <c r="M13283" t="s">
        <v>40386</v>
      </c>
      <c r="N13283" t="s">
        <v>40436</v>
      </c>
      <c r="O13283" t="s">
        <v>40437</v>
      </c>
      <c r="Q13283">
        <v>4</v>
      </c>
      <c r="R13283" t="s">
        <v>40512</v>
      </c>
      <c r="S13283" t="s">
        <v>41782</v>
      </c>
      <c r="T13283" t="s">
        <v>42183</v>
      </c>
      <c r="U13283" t="s">
        <v>53475</v>
      </c>
      <c r="V13283" t="s">
        <v>55330</v>
      </c>
      <c r="W13283" t="s">
        <v>40386</v>
      </c>
      <c r="X13283" t="s">
        <v>40514</v>
      </c>
    </row>
    <row r="13284" spans="1:24">
      <c r="A13284">
        <f>HYPERLINK("https://www.philgeps.gov.ph/GEPSNONPILOT/Tender/SplashBidNoticeAbstractUI.aspx?menuIndex=3&amp;refID=6926519&amp;Result=3","6926519")</f>
        <v>0</v>
      </c>
      <c r="B13284" t="s">
        <v>1370</v>
      </c>
      <c r="C13284" t="s">
        <v>15814</v>
      </c>
      <c r="D13284" t="s">
        <v>16213</v>
      </c>
      <c r="E13284" t="s">
        <v>27857</v>
      </c>
      <c r="F13284" t="s">
        <v>28198</v>
      </c>
      <c r="G13284" t="s">
        <v>28205</v>
      </c>
      <c r="H13284" t="s">
        <v>28214</v>
      </c>
      <c r="I13284" t="s">
        <v>3797</v>
      </c>
      <c r="J13284" t="s">
        <v>32354</v>
      </c>
      <c r="K13284" t="s">
        <v>36856</v>
      </c>
      <c r="M13284" t="s">
        <v>38432</v>
      </c>
      <c r="N13284" t="s">
        <v>40436</v>
      </c>
      <c r="O13284" t="s">
        <v>40437</v>
      </c>
      <c r="Q13284">
        <v>0</v>
      </c>
      <c r="R13284" t="s">
        <v>40514</v>
      </c>
      <c r="S13284" t="s">
        <v>41783</v>
      </c>
      <c r="T13284" t="s">
        <v>42296</v>
      </c>
      <c r="U13284" t="s">
        <v>53479</v>
      </c>
      <c r="W13284" t="s">
        <v>38432</v>
      </c>
      <c r="X13284" t="s">
        <v>40515</v>
      </c>
    </row>
    <row r="13285" spans="1:24">
      <c r="A13285">
        <f>HYPERLINK("https://www.philgeps.gov.ph/GEPSNONPILOT/Tender/SplashBidNoticeAbstractUI.aspx?menuIndex=3&amp;refID=6926480&amp;Result=3","6926480")</f>
        <v>0</v>
      </c>
      <c r="B13285" t="s">
        <v>582</v>
      </c>
      <c r="C13285" t="s">
        <v>15815</v>
      </c>
      <c r="D13285" t="s">
        <v>16199</v>
      </c>
      <c r="E13285" t="s">
        <v>27858</v>
      </c>
      <c r="F13285" t="s">
        <v>28198</v>
      </c>
      <c r="G13285" t="s">
        <v>28205</v>
      </c>
      <c r="H13285" t="s">
        <v>28214</v>
      </c>
      <c r="I13285" t="s">
        <v>3797</v>
      </c>
      <c r="J13285" t="s">
        <v>29120</v>
      </c>
      <c r="K13285" t="s">
        <v>36736</v>
      </c>
      <c r="M13285" t="s">
        <v>37572</v>
      </c>
      <c r="N13285" t="s">
        <v>40436</v>
      </c>
      <c r="O13285" t="s">
        <v>40437</v>
      </c>
      <c r="Q13285">
        <v>0</v>
      </c>
      <c r="R13285" t="s">
        <v>40514</v>
      </c>
      <c r="S13285" t="s">
        <v>41784</v>
      </c>
      <c r="T13285" t="s">
        <v>42228</v>
      </c>
      <c r="U13285" t="s">
        <v>53480</v>
      </c>
      <c r="W13285" t="s">
        <v>37572</v>
      </c>
      <c r="X13285" t="s">
        <v>40515</v>
      </c>
    </row>
    <row r="13286" spans="1:24">
      <c r="A13286">
        <f>HYPERLINK("https://www.philgeps.gov.ph/GEPSNONPILOT/Tender/SplashBidNoticeAbstractUI.aspx?menuIndex=3&amp;refID=6926516&amp;Result=3","6926516")</f>
        <v>0</v>
      </c>
      <c r="B13286" t="s">
        <v>2484</v>
      </c>
      <c r="C13286" t="s">
        <v>15816</v>
      </c>
      <c r="D13286" t="s">
        <v>16209</v>
      </c>
      <c r="E13286" t="s">
        <v>27859</v>
      </c>
      <c r="F13286" t="s">
        <v>28198</v>
      </c>
      <c r="G13286" t="s">
        <v>28205</v>
      </c>
      <c r="H13286" t="s">
        <v>28215</v>
      </c>
      <c r="I13286" t="s">
        <v>28290</v>
      </c>
      <c r="J13286" t="s">
        <v>28652</v>
      </c>
      <c r="K13286" t="s">
        <v>36707</v>
      </c>
      <c r="M13286" t="s">
        <v>39683</v>
      </c>
      <c r="N13286" t="s">
        <v>40436</v>
      </c>
      <c r="O13286" t="s">
        <v>40437</v>
      </c>
      <c r="Q13286">
        <v>2</v>
      </c>
      <c r="R13286" t="s">
        <v>40514</v>
      </c>
      <c r="S13286" t="s">
        <v>41785</v>
      </c>
      <c r="T13286" t="s">
        <v>42279</v>
      </c>
      <c r="U13286" t="s">
        <v>53481</v>
      </c>
      <c r="V13286" t="s">
        <v>55332</v>
      </c>
      <c r="W13286" t="s">
        <v>39683</v>
      </c>
      <c r="X13286" t="s">
        <v>40515</v>
      </c>
    </row>
    <row r="13287" spans="1:24">
      <c r="A13287">
        <f>HYPERLINK("https://www.philgeps.gov.ph/GEPSNONPILOT/Tender/SplashBidNoticeAbstractUI.aspx?menuIndex=3&amp;refID=6932590&amp;Result=3","6932590")</f>
        <v>0</v>
      </c>
      <c r="B13287" t="s">
        <v>3059</v>
      </c>
      <c r="C13287" t="s">
        <v>15817</v>
      </c>
      <c r="D13287" t="s">
        <v>16210</v>
      </c>
      <c r="E13287" t="s">
        <v>27860</v>
      </c>
      <c r="F13287" t="s">
        <v>28200</v>
      </c>
      <c r="G13287" t="s">
        <v>28206</v>
      </c>
      <c r="H13287" t="s">
        <v>28215</v>
      </c>
      <c r="I13287" t="s">
        <v>5100</v>
      </c>
      <c r="J13287" t="s">
        <v>36449</v>
      </c>
      <c r="K13287" t="s">
        <v>36707</v>
      </c>
      <c r="M13287" t="s">
        <v>40374</v>
      </c>
      <c r="N13287" t="s">
        <v>40436</v>
      </c>
      <c r="O13287" t="s">
        <v>40437</v>
      </c>
      <c r="Q13287">
        <v>2</v>
      </c>
      <c r="R13287" t="s">
        <v>40512</v>
      </c>
      <c r="S13287" t="s">
        <v>41786</v>
      </c>
      <c r="T13287" t="s">
        <v>42133</v>
      </c>
      <c r="U13287" t="s">
        <v>53482</v>
      </c>
      <c r="W13287" t="s">
        <v>55551</v>
      </c>
      <c r="X13287" t="s">
        <v>40514</v>
      </c>
    </row>
    <row r="13288" spans="1:24">
      <c r="A13288">
        <f>HYPERLINK("https://www.philgeps.gov.ph/GEPSNONPILOT/Tender/SplashBidNoticeAbstractUI.aspx?menuIndex=3&amp;refID=6926414&amp;Result=3","6926414")</f>
        <v>0</v>
      </c>
      <c r="B13288" t="s">
        <v>582</v>
      </c>
      <c r="C13288" t="s">
        <v>15818</v>
      </c>
      <c r="D13288" t="s">
        <v>16199</v>
      </c>
      <c r="E13288" t="s">
        <v>27861</v>
      </c>
      <c r="F13288" t="s">
        <v>28198</v>
      </c>
      <c r="G13288" t="s">
        <v>28205</v>
      </c>
      <c r="H13288" t="s">
        <v>28214</v>
      </c>
      <c r="I13288" t="s">
        <v>3797</v>
      </c>
      <c r="J13288" t="s">
        <v>28361</v>
      </c>
      <c r="K13288" t="s">
        <v>36708</v>
      </c>
      <c r="M13288" t="s">
        <v>37572</v>
      </c>
      <c r="N13288" t="s">
        <v>40436</v>
      </c>
      <c r="O13288" t="s">
        <v>40437</v>
      </c>
      <c r="Q13288">
        <v>1</v>
      </c>
      <c r="R13288" t="s">
        <v>40514</v>
      </c>
      <c r="S13288" t="s">
        <v>41787</v>
      </c>
      <c r="T13288" t="s">
        <v>42228</v>
      </c>
      <c r="U13288" t="s">
        <v>53483</v>
      </c>
      <c r="W13288" t="s">
        <v>37572</v>
      </c>
      <c r="X13288" t="s">
        <v>40515</v>
      </c>
    </row>
    <row r="13289" spans="1:24">
      <c r="A13289">
        <f>HYPERLINK("https://www.philgeps.gov.ph/GEPSNONPILOT/Tender/SplashBidNoticeAbstractUI.aspx?menuIndex=3&amp;refID=6926108&amp;Result=3","6926108")</f>
        <v>0</v>
      </c>
      <c r="B13289" t="s">
        <v>1370</v>
      </c>
      <c r="C13289" t="s">
        <v>15819</v>
      </c>
      <c r="D13289" t="s">
        <v>16213</v>
      </c>
      <c r="E13289" t="s">
        <v>27862</v>
      </c>
      <c r="F13289" t="s">
        <v>28198</v>
      </c>
      <c r="G13289" t="s">
        <v>28205</v>
      </c>
      <c r="H13289" t="s">
        <v>28214</v>
      </c>
      <c r="I13289" t="s">
        <v>3797</v>
      </c>
      <c r="J13289" t="s">
        <v>32253</v>
      </c>
      <c r="K13289" t="s">
        <v>36982</v>
      </c>
      <c r="M13289" t="s">
        <v>38432</v>
      </c>
      <c r="N13289" t="s">
        <v>40436</v>
      </c>
      <c r="O13289" t="s">
        <v>40437</v>
      </c>
      <c r="Q13289">
        <v>0</v>
      </c>
      <c r="R13289" t="s">
        <v>40514</v>
      </c>
      <c r="S13289" t="s">
        <v>41473</v>
      </c>
      <c r="T13289" t="s">
        <v>42296</v>
      </c>
      <c r="U13289" t="s">
        <v>53484</v>
      </c>
      <c r="W13289" t="s">
        <v>38432</v>
      </c>
      <c r="X13289" t="s">
        <v>40515</v>
      </c>
    </row>
    <row r="13290" spans="1:24">
      <c r="A13290">
        <f>HYPERLINK("https://www.philgeps.gov.ph/GEPSNONPILOT/Tender/SplashBidNoticeAbstractUI.aspx?menuIndex=3&amp;refID=6932574&amp;Result=3","6932574")</f>
        <v>0</v>
      </c>
      <c r="B13290" t="s">
        <v>3059</v>
      </c>
      <c r="C13290" t="s">
        <v>15820</v>
      </c>
      <c r="D13290" t="s">
        <v>16210</v>
      </c>
      <c r="E13290" t="s">
        <v>23669</v>
      </c>
      <c r="F13290" t="s">
        <v>28200</v>
      </c>
      <c r="G13290" t="s">
        <v>28206</v>
      </c>
      <c r="H13290" t="s">
        <v>28215</v>
      </c>
      <c r="I13290" t="s">
        <v>5082</v>
      </c>
      <c r="J13290" t="s">
        <v>36450</v>
      </c>
      <c r="K13290" t="s">
        <v>36707</v>
      </c>
      <c r="M13290" t="s">
        <v>40374</v>
      </c>
      <c r="N13290" t="s">
        <v>40436</v>
      </c>
      <c r="O13290" t="s">
        <v>40437</v>
      </c>
      <c r="Q13290">
        <v>1</v>
      </c>
      <c r="R13290" t="s">
        <v>40512</v>
      </c>
      <c r="S13290" t="s">
        <v>41788</v>
      </c>
      <c r="T13290" t="s">
        <v>42133</v>
      </c>
      <c r="U13290" t="s">
        <v>53485</v>
      </c>
      <c r="W13290" t="s">
        <v>55551</v>
      </c>
      <c r="X13290" t="s">
        <v>40514</v>
      </c>
    </row>
    <row r="13291" spans="1:24">
      <c r="A13291">
        <f>HYPERLINK("https://www.philgeps.gov.ph/GEPSNONPILOT/Tender/SplashBidNoticeAbstractUI.aspx?menuIndex=3&amp;refID=6926376&amp;Result=3","6926376")</f>
        <v>0</v>
      </c>
      <c r="B13291" t="s">
        <v>582</v>
      </c>
      <c r="C13291" t="s">
        <v>15821</v>
      </c>
      <c r="D13291" t="s">
        <v>16199</v>
      </c>
      <c r="E13291" t="s">
        <v>27863</v>
      </c>
      <c r="F13291" t="s">
        <v>28198</v>
      </c>
      <c r="G13291" t="s">
        <v>28205</v>
      </c>
      <c r="H13291" t="s">
        <v>28214</v>
      </c>
      <c r="I13291" t="s">
        <v>3797</v>
      </c>
      <c r="J13291" t="s">
        <v>28361</v>
      </c>
      <c r="K13291" t="s">
        <v>36708</v>
      </c>
      <c r="M13291" t="s">
        <v>37572</v>
      </c>
      <c r="N13291" t="s">
        <v>40436</v>
      </c>
      <c r="O13291" t="s">
        <v>40437</v>
      </c>
      <c r="Q13291">
        <v>1</v>
      </c>
      <c r="R13291" t="s">
        <v>40514</v>
      </c>
      <c r="S13291" t="s">
        <v>40751</v>
      </c>
      <c r="T13291" t="s">
        <v>42228</v>
      </c>
      <c r="U13291" t="s">
        <v>53486</v>
      </c>
      <c r="W13291" t="s">
        <v>37572</v>
      </c>
      <c r="X13291" t="s">
        <v>40515</v>
      </c>
    </row>
    <row r="13292" spans="1:24">
      <c r="A13292">
        <f>HYPERLINK("https://www.philgeps.gov.ph/GEPSNONPILOT/Tender/SplashBidNoticeAbstractUI.aspx?menuIndex=3&amp;refID=6926015&amp;Result=3","6926015")</f>
        <v>0</v>
      </c>
      <c r="B13292" t="s">
        <v>1370</v>
      </c>
      <c r="C13292" t="s">
        <v>15822</v>
      </c>
      <c r="D13292" t="s">
        <v>16213</v>
      </c>
      <c r="E13292" t="s">
        <v>27864</v>
      </c>
      <c r="F13292" t="s">
        <v>28198</v>
      </c>
      <c r="G13292" t="s">
        <v>28205</v>
      </c>
      <c r="H13292" t="s">
        <v>28214</v>
      </c>
      <c r="I13292" t="s">
        <v>3797</v>
      </c>
      <c r="J13292" t="s">
        <v>36451</v>
      </c>
      <c r="K13292" t="s">
        <v>36834</v>
      </c>
      <c r="M13292" t="s">
        <v>38432</v>
      </c>
      <c r="N13292" t="s">
        <v>40436</v>
      </c>
      <c r="O13292" t="s">
        <v>40437</v>
      </c>
      <c r="Q13292">
        <v>0</v>
      </c>
      <c r="R13292" t="s">
        <v>40514</v>
      </c>
      <c r="S13292" t="s">
        <v>41789</v>
      </c>
      <c r="T13292" t="s">
        <v>42296</v>
      </c>
      <c r="U13292" t="s">
        <v>53487</v>
      </c>
      <c r="W13292" t="s">
        <v>38432</v>
      </c>
      <c r="X13292" t="s">
        <v>40515</v>
      </c>
    </row>
    <row r="13293" spans="1:24">
      <c r="A13293">
        <f>HYPERLINK("https://www.philgeps.gov.ph/GEPSNONPILOT/Tender/SplashBidNoticeAbstractUI.aspx?menuIndex=3&amp;refID=6926545&amp;Result=3","6926545")</f>
        <v>0</v>
      </c>
      <c r="B13293" t="s">
        <v>582</v>
      </c>
      <c r="C13293" t="s">
        <v>15823</v>
      </c>
      <c r="D13293" t="s">
        <v>16199</v>
      </c>
      <c r="E13293" t="s">
        <v>27865</v>
      </c>
      <c r="F13293" t="s">
        <v>28198</v>
      </c>
      <c r="G13293" t="s">
        <v>28205</v>
      </c>
      <c r="H13293" t="s">
        <v>28214</v>
      </c>
      <c r="I13293" t="s">
        <v>3797</v>
      </c>
      <c r="J13293" t="s">
        <v>28559</v>
      </c>
      <c r="K13293" t="s">
        <v>36708</v>
      </c>
      <c r="M13293" t="s">
        <v>37572</v>
      </c>
      <c r="N13293" t="s">
        <v>40436</v>
      </c>
      <c r="O13293" t="s">
        <v>40437</v>
      </c>
      <c r="Q13293">
        <v>0</v>
      </c>
      <c r="R13293" t="s">
        <v>40514</v>
      </c>
      <c r="S13293" t="s">
        <v>41029</v>
      </c>
      <c r="T13293" t="s">
        <v>42228</v>
      </c>
      <c r="U13293" t="s">
        <v>53488</v>
      </c>
      <c r="W13293" t="s">
        <v>37572</v>
      </c>
      <c r="X13293" t="s">
        <v>40515</v>
      </c>
    </row>
    <row r="13294" spans="1:24">
      <c r="A13294">
        <f>HYPERLINK("https://www.philgeps.gov.ph/GEPSNONPILOT/Tender/SplashBidNoticeAbstractUI.aspx?menuIndex=3&amp;refID=6926240&amp;Result=3","6926240")</f>
        <v>0</v>
      </c>
      <c r="B13294" t="s">
        <v>1370</v>
      </c>
      <c r="C13294" t="s">
        <v>15824</v>
      </c>
      <c r="D13294" t="s">
        <v>16213</v>
      </c>
      <c r="E13294" t="s">
        <v>27866</v>
      </c>
      <c r="F13294" t="s">
        <v>28198</v>
      </c>
      <c r="G13294" t="s">
        <v>28205</v>
      </c>
      <c r="H13294" t="s">
        <v>28214</v>
      </c>
      <c r="I13294" t="s">
        <v>3797</v>
      </c>
      <c r="J13294" t="s">
        <v>32253</v>
      </c>
      <c r="K13294" t="s">
        <v>36982</v>
      </c>
      <c r="M13294" t="s">
        <v>38432</v>
      </c>
      <c r="N13294" t="s">
        <v>40436</v>
      </c>
      <c r="O13294" t="s">
        <v>40437</v>
      </c>
      <c r="Q13294">
        <v>0</v>
      </c>
      <c r="R13294" t="s">
        <v>40514</v>
      </c>
      <c r="S13294" t="s">
        <v>40595</v>
      </c>
      <c r="T13294" t="s">
        <v>42296</v>
      </c>
      <c r="U13294" t="s">
        <v>53489</v>
      </c>
      <c r="W13294" t="s">
        <v>38432</v>
      </c>
      <c r="X13294" t="s">
        <v>40515</v>
      </c>
    </row>
    <row r="13295" spans="1:24">
      <c r="A13295">
        <f>HYPERLINK("https://www.philgeps.gov.ph/GEPSNONPILOT/Tender/SplashBidNoticeAbstractUI.aspx?menuIndex=3&amp;refID=6925881&amp;Result=3","6925881")</f>
        <v>0</v>
      </c>
      <c r="B13295" t="s">
        <v>1203</v>
      </c>
      <c r="C13295" t="s">
        <v>15825</v>
      </c>
      <c r="D13295" t="s">
        <v>16210</v>
      </c>
      <c r="E13295" t="s">
        <v>27867</v>
      </c>
      <c r="F13295" t="s">
        <v>28198</v>
      </c>
      <c r="G13295" t="s">
        <v>28205</v>
      </c>
      <c r="H13295" t="s">
        <v>28215</v>
      </c>
      <c r="I13295" t="s">
        <v>28286</v>
      </c>
      <c r="J13295" t="s">
        <v>36452</v>
      </c>
      <c r="K13295" t="s">
        <v>36689</v>
      </c>
      <c r="M13295" t="s">
        <v>38248</v>
      </c>
      <c r="N13295" t="s">
        <v>40436</v>
      </c>
      <c r="O13295" t="s">
        <v>40437</v>
      </c>
      <c r="Q13295">
        <v>33</v>
      </c>
      <c r="R13295" t="s">
        <v>40514</v>
      </c>
      <c r="S13295" t="s">
        <v>41790</v>
      </c>
      <c r="T13295" t="s">
        <v>42190</v>
      </c>
      <c r="U13295" t="s">
        <v>53490</v>
      </c>
      <c r="W13295" t="s">
        <v>38248</v>
      </c>
      <c r="X13295" t="s">
        <v>40515</v>
      </c>
    </row>
    <row r="13296" spans="1:24">
      <c r="A13296">
        <f>HYPERLINK("https://www.philgeps.gov.ph/GEPSNONPILOT/Tender/SplashBidNoticeAbstractUI.aspx?menuIndex=3&amp;refID=6925931&amp;Result=3","6925931")</f>
        <v>0</v>
      </c>
      <c r="B13296" t="s">
        <v>1203</v>
      </c>
      <c r="C13296" t="s">
        <v>15825</v>
      </c>
      <c r="D13296" t="s">
        <v>16210</v>
      </c>
      <c r="E13296" t="s">
        <v>27868</v>
      </c>
      <c r="F13296" t="s">
        <v>28198</v>
      </c>
      <c r="G13296" t="s">
        <v>28205</v>
      </c>
      <c r="H13296" t="s">
        <v>28215</v>
      </c>
      <c r="I13296" t="s">
        <v>28225</v>
      </c>
      <c r="J13296" t="s">
        <v>36453</v>
      </c>
      <c r="K13296" t="s">
        <v>36689</v>
      </c>
      <c r="M13296" t="s">
        <v>38248</v>
      </c>
      <c r="N13296" t="s">
        <v>40436</v>
      </c>
      <c r="O13296" t="s">
        <v>40437</v>
      </c>
      <c r="Q13296">
        <v>63</v>
      </c>
      <c r="R13296" t="s">
        <v>40514</v>
      </c>
      <c r="S13296" t="s">
        <v>41710</v>
      </c>
      <c r="T13296" t="s">
        <v>42190</v>
      </c>
      <c r="U13296" t="s">
        <v>53490</v>
      </c>
      <c r="W13296" t="s">
        <v>38248</v>
      </c>
      <c r="X13296" t="s">
        <v>40515</v>
      </c>
    </row>
    <row r="13297" spans="1:24">
      <c r="A13297">
        <f>HYPERLINK("https://www.philgeps.gov.ph/GEPSNONPILOT/Tender/SplashBidNoticeAbstractUI.aspx?menuIndex=3&amp;refID=6920261&amp;Result=3","6920261")</f>
        <v>0</v>
      </c>
      <c r="B13297" t="s">
        <v>581</v>
      </c>
      <c r="C13297" t="s">
        <v>15826</v>
      </c>
      <c r="D13297" t="s">
        <v>16210</v>
      </c>
      <c r="E13297" t="s">
        <v>27869</v>
      </c>
      <c r="F13297" t="s">
        <v>28198</v>
      </c>
      <c r="G13297" t="s">
        <v>28205</v>
      </c>
      <c r="H13297" t="s">
        <v>28215</v>
      </c>
      <c r="I13297" t="s">
        <v>28234</v>
      </c>
      <c r="J13297" t="s">
        <v>35670</v>
      </c>
      <c r="K13297" t="s">
        <v>36701</v>
      </c>
      <c r="M13297" t="s">
        <v>40387</v>
      </c>
      <c r="N13297" t="s">
        <v>40436</v>
      </c>
      <c r="O13297" t="s">
        <v>40437</v>
      </c>
      <c r="Q13297">
        <v>20</v>
      </c>
      <c r="R13297" t="s">
        <v>40514</v>
      </c>
      <c r="S13297" t="s">
        <v>41791</v>
      </c>
      <c r="T13297" t="s">
        <v>42278</v>
      </c>
      <c r="U13297" t="s">
        <v>53491</v>
      </c>
      <c r="W13297" t="s">
        <v>40387</v>
      </c>
      <c r="X13297" t="s">
        <v>40519</v>
      </c>
    </row>
    <row r="13298" spans="1:24">
      <c r="A13298">
        <f>HYPERLINK("https://www.philgeps.gov.ph/GEPSNONPILOT/Tender/SplashBidNoticeAbstractUI.aspx?menuIndex=3&amp;refID=6920243&amp;Result=3","6920243")</f>
        <v>0</v>
      </c>
      <c r="B13298" t="s">
        <v>581</v>
      </c>
      <c r="C13298" t="s">
        <v>15827</v>
      </c>
      <c r="D13298" t="s">
        <v>16210</v>
      </c>
      <c r="E13298" t="s">
        <v>27869</v>
      </c>
      <c r="F13298" t="s">
        <v>28198</v>
      </c>
      <c r="G13298" t="s">
        <v>28205</v>
      </c>
      <c r="H13298" t="s">
        <v>28215</v>
      </c>
      <c r="I13298" t="s">
        <v>28234</v>
      </c>
      <c r="J13298" t="s">
        <v>36454</v>
      </c>
      <c r="K13298" t="s">
        <v>36701</v>
      </c>
      <c r="M13298" t="s">
        <v>40387</v>
      </c>
      <c r="N13298" t="s">
        <v>40436</v>
      </c>
      <c r="O13298" t="s">
        <v>40437</v>
      </c>
      <c r="Q13298">
        <v>15</v>
      </c>
      <c r="R13298" t="s">
        <v>40514</v>
      </c>
      <c r="S13298" t="s">
        <v>41792</v>
      </c>
      <c r="T13298" t="s">
        <v>42278</v>
      </c>
      <c r="U13298" t="s">
        <v>53491</v>
      </c>
      <c r="W13298" t="s">
        <v>40387</v>
      </c>
      <c r="X13298" t="s">
        <v>40519</v>
      </c>
    </row>
    <row r="13299" spans="1:24">
      <c r="A13299">
        <f>HYPERLINK("https://www.philgeps.gov.ph/GEPSNONPILOT/Tender/SplashBidNoticeAbstractUI.aspx?menuIndex=3&amp;refID=6920274&amp;Result=3","6920274")</f>
        <v>0</v>
      </c>
      <c r="B13299" t="s">
        <v>581</v>
      </c>
      <c r="C13299" t="s">
        <v>15828</v>
      </c>
      <c r="D13299" t="s">
        <v>16210</v>
      </c>
      <c r="E13299" t="s">
        <v>27869</v>
      </c>
      <c r="F13299" t="s">
        <v>28198</v>
      </c>
      <c r="G13299" t="s">
        <v>28205</v>
      </c>
      <c r="H13299" t="s">
        <v>28215</v>
      </c>
      <c r="I13299" t="s">
        <v>28234</v>
      </c>
      <c r="J13299" t="s">
        <v>36455</v>
      </c>
      <c r="K13299" t="s">
        <v>36701</v>
      </c>
      <c r="M13299" t="s">
        <v>40387</v>
      </c>
      <c r="N13299" t="s">
        <v>40436</v>
      </c>
      <c r="O13299" t="s">
        <v>40437</v>
      </c>
      <c r="Q13299">
        <v>11</v>
      </c>
      <c r="R13299" t="s">
        <v>40514</v>
      </c>
      <c r="S13299" t="s">
        <v>41793</v>
      </c>
      <c r="T13299" t="s">
        <v>42278</v>
      </c>
      <c r="U13299" t="s">
        <v>53491</v>
      </c>
      <c r="W13299" t="s">
        <v>40387</v>
      </c>
      <c r="X13299" t="s">
        <v>40519</v>
      </c>
    </row>
    <row r="13300" spans="1:24">
      <c r="A13300">
        <f>HYPERLINK("https://www.philgeps.gov.ph/GEPSNONPILOT/Tender/SplashBidNoticeAbstractUI.aspx?menuIndex=3&amp;refID=6932582&amp;Result=3","6932582")</f>
        <v>0</v>
      </c>
      <c r="B13300" t="s">
        <v>3059</v>
      </c>
      <c r="C13300" t="s">
        <v>15829</v>
      </c>
      <c r="D13300" t="s">
        <v>16210</v>
      </c>
      <c r="E13300" t="s">
        <v>27870</v>
      </c>
      <c r="F13300" t="s">
        <v>28200</v>
      </c>
      <c r="G13300" t="s">
        <v>28206</v>
      </c>
      <c r="H13300" t="s">
        <v>28215</v>
      </c>
      <c r="I13300" t="s">
        <v>5100</v>
      </c>
      <c r="J13300" t="s">
        <v>36456</v>
      </c>
      <c r="K13300" t="s">
        <v>36707</v>
      </c>
      <c r="M13300" t="s">
        <v>40374</v>
      </c>
      <c r="N13300" t="s">
        <v>40436</v>
      </c>
      <c r="O13300" t="s">
        <v>40437</v>
      </c>
      <c r="Q13300">
        <v>2</v>
      </c>
      <c r="R13300" t="s">
        <v>40512</v>
      </c>
      <c r="S13300" t="s">
        <v>41794</v>
      </c>
      <c r="T13300" t="s">
        <v>42133</v>
      </c>
      <c r="U13300" t="s">
        <v>53492</v>
      </c>
      <c r="W13300" t="s">
        <v>55551</v>
      </c>
      <c r="X13300" t="s">
        <v>40514</v>
      </c>
    </row>
    <row r="13301" spans="1:24">
      <c r="A13301">
        <f>HYPERLINK("https://www.philgeps.gov.ph/GEPSNONPILOT/Tender/SplashBidNoticeAbstractUI.aspx?menuIndex=3&amp;refID=6932578&amp;Result=3","6932578")</f>
        <v>0</v>
      </c>
      <c r="B13301" t="s">
        <v>3059</v>
      </c>
      <c r="C13301" t="s">
        <v>15830</v>
      </c>
      <c r="D13301" t="s">
        <v>16210</v>
      </c>
      <c r="E13301" t="s">
        <v>27871</v>
      </c>
      <c r="F13301" t="s">
        <v>28200</v>
      </c>
      <c r="G13301" t="s">
        <v>28206</v>
      </c>
      <c r="H13301" t="s">
        <v>28215</v>
      </c>
      <c r="I13301" t="s">
        <v>5100</v>
      </c>
      <c r="J13301" t="s">
        <v>28378</v>
      </c>
      <c r="K13301" t="s">
        <v>36707</v>
      </c>
      <c r="M13301" t="s">
        <v>40374</v>
      </c>
      <c r="N13301" t="s">
        <v>40436</v>
      </c>
      <c r="O13301" t="s">
        <v>40437</v>
      </c>
      <c r="Q13301">
        <v>1</v>
      </c>
      <c r="R13301" t="s">
        <v>40512</v>
      </c>
      <c r="S13301" t="s">
        <v>41795</v>
      </c>
      <c r="T13301" t="s">
        <v>42133</v>
      </c>
      <c r="U13301" t="s">
        <v>53493</v>
      </c>
      <c r="W13301" t="s">
        <v>55551</v>
      </c>
      <c r="X13301" t="s">
        <v>40514</v>
      </c>
    </row>
    <row r="13302" spans="1:24">
      <c r="A13302">
        <f>HYPERLINK("https://www.philgeps.gov.ph/GEPSNONPILOT/Tender/SplashBidNoticeAbstractUI.aspx?menuIndex=3&amp;refID=6920216&amp;Result=3","6920216")</f>
        <v>0</v>
      </c>
      <c r="B13302" t="s">
        <v>581</v>
      </c>
      <c r="C13302" t="s">
        <v>15831</v>
      </c>
      <c r="D13302" t="s">
        <v>16210</v>
      </c>
      <c r="E13302" t="s">
        <v>27869</v>
      </c>
      <c r="F13302" t="s">
        <v>28198</v>
      </c>
      <c r="G13302" t="s">
        <v>28205</v>
      </c>
      <c r="H13302" t="s">
        <v>28215</v>
      </c>
      <c r="I13302" t="s">
        <v>28234</v>
      </c>
      <c r="J13302" t="s">
        <v>36457</v>
      </c>
      <c r="K13302" t="s">
        <v>36701</v>
      </c>
      <c r="M13302" t="s">
        <v>40387</v>
      </c>
      <c r="N13302" t="s">
        <v>40436</v>
      </c>
      <c r="O13302" t="s">
        <v>40437</v>
      </c>
      <c r="Q13302">
        <v>27</v>
      </c>
      <c r="R13302" t="s">
        <v>40514</v>
      </c>
      <c r="S13302" t="s">
        <v>41578</v>
      </c>
      <c r="T13302" t="s">
        <v>42278</v>
      </c>
      <c r="U13302" t="s">
        <v>53491</v>
      </c>
      <c r="W13302" t="s">
        <v>40387</v>
      </c>
      <c r="X13302" t="s">
        <v>40519</v>
      </c>
    </row>
    <row r="13303" spans="1:24">
      <c r="A13303">
        <f>HYPERLINK("https://www.philgeps.gov.ph/GEPSNONPILOT/Tender/SplashBidNoticeAbstractUI.aspx?menuIndex=3&amp;refID=6927427&amp;Result=3","6927427")</f>
        <v>0</v>
      </c>
      <c r="B13303" t="s">
        <v>3066</v>
      </c>
      <c r="C13303" t="s">
        <v>15832</v>
      </c>
      <c r="D13303" t="s">
        <v>16210</v>
      </c>
      <c r="E13303" t="s">
        <v>27872</v>
      </c>
      <c r="F13303" t="s">
        <v>28198</v>
      </c>
      <c r="G13303" t="s">
        <v>28205</v>
      </c>
      <c r="H13303" t="s">
        <v>28215</v>
      </c>
      <c r="I13303" t="s">
        <v>28302</v>
      </c>
      <c r="J13303" t="s">
        <v>36458</v>
      </c>
      <c r="K13303" t="s">
        <v>36756</v>
      </c>
      <c r="M13303" t="s">
        <v>40388</v>
      </c>
      <c r="N13303" t="s">
        <v>40436</v>
      </c>
      <c r="O13303" t="s">
        <v>40437</v>
      </c>
      <c r="Q13303">
        <v>8</v>
      </c>
      <c r="R13303" t="s">
        <v>40514</v>
      </c>
      <c r="S13303" t="s">
        <v>41054</v>
      </c>
      <c r="T13303" t="s">
        <v>42610</v>
      </c>
      <c r="U13303" t="s">
        <v>53494</v>
      </c>
      <c r="W13303" t="s">
        <v>40388</v>
      </c>
      <c r="X13303" t="s">
        <v>40515</v>
      </c>
    </row>
    <row r="13304" spans="1:24">
      <c r="A13304">
        <f>HYPERLINK("https://www.philgeps.gov.ph/GEPSNONPILOT/Tender/SplashBidNoticeAbstractUI.aspx?menuIndex=3&amp;refID=6920253&amp;Result=3","6920253")</f>
        <v>0</v>
      </c>
      <c r="B13304" t="s">
        <v>581</v>
      </c>
      <c r="C13304" t="s">
        <v>15833</v>
      </c>
      <c r="D13304" t="s">
        <v>16210</v>
      </c>
      <c r="E13304" t="s">
        <v>27869</v>
      </c>
      <c r="F13304" t="s">
        <v>28198</v>
      </c>
      <c r="G13304" t="s">
        <v>28205</v>
      </c>
      <c r="H13304" t="s">
        <v>28215</v>
      </c>
      <c r="I13304" t="s">
        <v>28234</v>
      </c>
      <c r="J13304" t="s">
        <v>36459</v>
      </c>
      <c r="K13304" t="s">
        <v>36701</v>
      </c>
      <c r="M13304" t="s">
        <v>40387</v>
      </c>
      <c r="N13304" t="s">
        <v>40436</v>
      </c>
      <c r="O13304" t="s">
        <v>40437</v>
      </c>
      <c r="Q13304">
        <v>21</v>
      </c>
      <c r="R13304" t="s">
        <v>40514</v>
      </c>
      <c r="S13304" t="s">
        <v>41796</v>
      </c>
      <c r="T13304" t="s">
        <v>42278</v>
      </c>
      <c r="U13304" t="s">
        <v>53491</v>
      </c>
      <c r="W13304" t="s">
        <v>40387</v>
      </c>
      <c r="X13304" t="s">
        <v>40519</v>
      </c>
    </row>
    <row r="13305" spans="1:24">
      <c r="A13305">
        <f>HYPERLINK("https://www.philgeps.gov.ph/GEPSNONPILOT/Tender/SplashBidNoticeAbstractUI.aspx?menuIndex=3&amp;refID=6927356&amp;Result=3","6927356")</f>
        <v>0</v>
      </c>
      <c r="B13305" t="s">
        <v>581</v>
      </c>
      <c r="C13305" t="s">
        <v>15834</v>
      </c>
      <c r="D13305" t="s">
        <v>16210</v>
      </c>
      <c r="E13305" t="s">
        <v>27869</v>
      </c>
      <c r="F13305" t="s">
        <v>28198</v>
      </c>
      <c r="G13305" t="s">
        <v>28205</v>
      </c>
      <c r="H13305" t="s">
        <v>28215</v>
      </c>
      <c r="I13305" t="s">
        <v>28234</v>
      </c>
      <c r="J13305" t="s">
        <v>29346</v>
      </c>
      <c r="K13305" t="s">
        <v>36701</v>
      </c>
      <c r="M13305" t="s">
        <v>40387</v>
      </c>
      <c r="N13305" t="s">
        <v>40436</v>
      </c>
      <c r="O13305" t="s">
        <v>40437</v>
      </c>
      <c r="Q13305">
        <v>11</v>
      </c>
      <c r="R13305" t="s">
        <v>40514</v>
      </c>
      <c r="S13305" t="s">
        <v>41797</v>
      </c>
      <c r="T13305" t="s">
        <v>42278</v>
      </c>
      <c r="U13305" t="s">
        <v>53491</v>
      </c>
      <c r="W13305" t="s">
        <v>40387</v>
      </c>
      <c r="X13305" t="s">
        <v>40515</v>
      </c>
    </row>
    <row r="13306" spans="1:24">
      <c r="A13306">
        <f>HYPERLINK("https://www.philgeps.gov.ph/GEPSNONPILOT/Tender/SplashBidNoticeAbstractUI.aspx?menuIndex=3&amp;refID=6928055&amp;Result=3","6928055")</f>
        <v>0</v>
      </c>
      <c r="B13306" t="s">
        <v>1370</v>
      </c>
      <c r="C13306" t="s">
        <v>15835</v>
      </c>
      <c r="D13306" t="s">
        <v>16213</v>
      </c>
      <c r="E13306" t="s">
        <v>27873</v>
      </c>
      <c r="F13306" t="s">
        <v>28198</v>
      </c>
      <c r="G13306" t="s">
        <v>28205</v>
      </c>
      <c r="H13306" t="s">
        <v>28214</v>
      </c>
      <c r="I13306" t="s">
        <v>3797</v>
      </c>
      <c r="J13306" t="s">
        <v>29546</v>
      </c>
      <c r="K13306" t="s">
        <v>36957</v>
      </c>
      <c r="M13306" t="s">
        <v>38432</v>
      </c>
      <c r="N13306" t="s">
        <v>40436</v>
      </c>
      <c r="O13306" t="s">
        <v>40437</v>
      </c>
      <c r="Q13306">
        <v>0</v>
      </c>
      <c r="R13306" t="s">
        <v>40514</v>
      </c>
      <c r="S13306" t="s">
        <v>40892</v>
      </c>
      <c r="T13306" t="s">
        <v>42099</v>
      </c>
      <c r="U13306" t="s">
        <v>53495</v>
      </c>
      <c r="W13306" t="s">
        <v>38432</v>
      </c>
      <c r="X13306" t="s">
        <v>40515</v>
      </c>
    </row>
    <row r="13307" spans="1:24">
      <c r="A13307">
        <f>HYPERLINK("https://www.philgeps.gov.ph/GEPSNONPILOT/Tender/SplashBidNoticeAbstractUI.aspx?menuIndex=3&amp;refID=6927694&amp;Result=3","6927694")</f>
        <v>0</v>
      </c>
      <c r="B13307" t="s">
        <v>3063</v>
      </c>
      <c r="C13307" t="s">
        <v>15836</v>
      </c>
      <c r="D13307" t="s">
        <v>16210</v>
      </c>
      <c r="E13307" t="s">
        <v>27874</v>
      </c>
      <c r="F13307" t="s">
        <v>28198</v>
      </c>
      <c r="G13307" t="s">
        <v>28207</v>
      </c>
      <c r="H13307" t="s">
        <v>28215</v>
      </c>
      <c r="I13307" t="s">
        <v>5103</v>
      </c>
      <c r="J13307" t="s">
        <v>36460</v>
      </c>
      <c r="K13307" t="s">
        <v>36707</v>
      </c>
      <c r="M13307" t="s">
        <v>40381</v>
      </c>
      <c r="N13307" t="s">
        <v>40436</v>
      </c>
      <c r="O13307" t="s">
        <v>40437</v>
      </c>
      <c r="Q13307">
        <v>5</v>
      </c>
      <c r="R13307" t="s">
        <v>40514</v>
      </c>
      <c r="S13307" t="s">
        <v>41798</v>
      </c>
      <c r="T13307" t="s">
        <v>42205</v>
      </c>
      <c r="U13307" t="s">
        <v>53496</v>
      </c>
      <c r="V13307" t="s">
        <v>55308</v>
      </c>
      <c r="W13307" t="s">
        <v>40381</v>
      </c>
      <c r="X13307" t="s">
        <v>40515</v>
      </c>
    </row>
    <row r="13308" spans="1:24">
      <c r="A13308">
        <f>HYPERLINK("https://www.philgeps.gov.ph/GEPSNONPILOT/Tender/SplashBidNoticeAbstractUI.aspx?menuIndex=3&amp;refID=6928188&amp;Result=3","6928188")</f>
        <v>0</v>
      </c>
      <c r="B13308" t="s">
        <v>3067</v>
      </c>
      <c r="C13308" t="s">
        <v>15837</v>
      </c>
      <c r="D13308" t="s">
        <v>16224</v>
      </c>
      <c r="E13308" t="s">
        <v>27875</v>
      </c>
      <c r="F13308" t="s">
        <v>28198</v>
      </c>
      <c r="G13308" t="s">
        <v>28205</v>
      </c>
      <c r="H13308" t="s">
        <v>28215</v>
      </c>
      <c r="I13308" t="s">
        <v>28290</v>
      </c>
      <c r="J13308" t="s">
        <v>28347</v>
      </c>
      <c r="K13308" t="s">
        <v>36697</v>
      </c>
      <c r="M13308" t="s">
        <v>40389</v>
      </c>
      <c r="N13308" t="s">
        <v>40436</v>
      </c>
      <c r="O13308" t="s">
        <v>40437</v>
      </c>
      <c r="Q13308">
        <v>30</v>
      </c>
      <c r="R13308" t="s">
        <v>40514</v>
      </c>
      <c r="S13308" t="s">
        <v>41799</v>
      </c>
      <c r="T13308" t="s">
        <v>42187</v>
      </c>
      <c r="U13308" t="s">
        <v>53497</v>
      </c>
      <c r="V13308" t="s">
        <v>55333</v>
      </c>
      <c r="W13308" t="s">
        <v>40389</v>
      </c>
      <c r="X13308" t="s">
        <v>40515</v>
      </c>
    </row>
    <row r="13309" spans="1:24">
      <c r="A13309">
        <f>HYPERLINK("https://www.philgeps.gov.ph/GEPSNONPILOT/Tender/SplashBidNoticeAbstractUI.aspx?menuIndex=3&amp;refID=6927464&amp;Result=3","6927464")</f>
        <v>0</v>
      </c>
      <c r="B13309" t="s">
        <v>2484</v>
      </c>
      <c r="C13309" t="s">
        <v>15838</v>
      </c>
      <c r="D13309" t="s">
        <v>16209</v>
      </c>
      <c r="E13309" t="s">
        <v>27876</v>
      </c>
      <c r="F13309" t="s">
        <v>28198</v>
      </c>
      <c r="G13309" t="s">
        <v>28205</v>
      </c>
      <c r="H13309" t="s">
        <v>28215</v>
      </c>
      <c r="I13309" t="s">
        <v>28227</v>
      </c>
      <c r="J13309" t="s">
        <v>36461</v>
      </c>
      <c r="K13309" t="s">
        <v>36707</v>
      </c>
      <c r="M13309" t="s">
        <v>39683</v>
      </c>
      <c r="N13309" t="s">
        <v>40436</v>
      </c>
      <c r="O13309" t="s">
        <v>40437</v>
      </c>
      <c r="Q13309">
        <v>0</v>
      </c>
      <c r="R13309" t="s">
        <v>40514</v>
      </c>
      <c r="S13309" t="s">
        <v>41800</v>
      </c>
      <c r="T13309" t="s">
        <v>42279</v>
      </c>
      <c r="U13309" t="s">
        <v>53498</v>
      </c>
      <c r="V13309" t="s">
        <v>55334</v>
      </c>
      <c r="W13309" t="s">
        <v>39683</v>
      </c>
      <c r="X13309" t="s">
        <v>40515</v>
      </c>
    </row>
    <row r="13310" spans="1:24">
      <c r="A13310">
        <f>HYPERLINK("https://www.philgeps.gov.ph/GEPSNONPILOT/Tender/SplashBidNoticeAbstractUI.aspx?menuIndex=3&amp;refID=6928133&amp;Result=3","6928133")</f>
        <v>0</v>
      </c>
      <c r="B13310" t="s">
        <v>1078</v>
      </c>
      <c r="C13310" t="s">
        <v>15839</v>
      </c>
      <c r="D13310" t="s">
        <v>16210</v>
      </c>
      <c r="E13310" t="s">
        <v>27877</v>
      </c>
      <c r="F13310" t="s">
        <v>28198</v>
      </c>
      <c r="G13310" t="s">
        <v>28205</v>
      </c>
      <c r="H13310" t="s">
        <v>28215</v>
      </c>
      <c r="I13310" t="s">
        <v>28226</v>
      </c>
      <c r="J13310" t="s">
        <v>36462</v>
      </c>
      <c r="K13310" t="s">
        <v>36984</v>
      </c>
      <c r="M13310" t="s">
        <v>39900</v>
      </c>
      <c r="N13310" t="s">
        <v>40436</v>
      </c>
      <c r="O13310" t="s">
        <v>40437</v>
      </c>
      <c r="Q13310">
        <v>11</v>
      </c>
      <c r="R13310" t="s">
        <v>40514</v>
      </c>
      <c r="S13310" t="s">
        <v>41801</v>
      </c>
      <c r="T13310" t="s">
        <v>42158</v>
      </c>
      <c r="U13310" t="s">
        <v>50606</v>
      </c>
      <c r="W13310" t="s">
        <v>39900</v>
      </c>
      <c r="X13310" t="s">
        <v>40515</v>
      </c>
    </row>
    <row r="13311" spans="1:24">
      <c r="A13311">
        <f>HYPERLINK("https://www.philgeps.gov.ph/GEPSNONPILOT/Tender/SplashBidNoticeAbstractUI.aspx?menuIndex=3&amp;refID=6927192&amp;Result=3","6927192")</f>
        <v>0</v>
      </c>
      <c r="B13311" t="s">
        <v>581</v>
      </c>
      <c r="C13311" t="s">
        <v>15840</v>
      </c>
      <c r="D13311" t="s">
        <v>16210</v>
      </c>
      <c r="E13311" t="s">
        <v>27869</v>
      </c>
      <c r="F13311" t="s">
        <v>28198</v>
      </c>
      <c r="G13311" t="s">
        <v>28205</v>
      </c>
      <c r="H13311" t="s">
        <v>28215</v>
      </c>
      <c r="I13311" t="s">
        <v>28234</v>
      </c>
      <c r="J13311" t="s">
        <v>36463</v>
      </c>
      <c r="K13311" t="s">
        <v>36701</v>
      </c>
      <c r="M13311" t="s">
        <v>40387</v>
      </c>
      <c r="N13311" t="s">
        <v>40436</v>
      </c>
      <c r="O13311" t="s">
        <v>40437</v>
      </c>
      <c r="Q13311">
        <v>12</v>
      </c>
      <c r="R13311" t="s">
        <v>40514</v>
      </c>
      <c r="S13311" t="s">
        <v>41802</v>
      </c>
      <c r="T13311" t="s">
        <v>42278</v>
      </c>
      <c r="U13311" t="s">
        <v>53491</v>
      </c>
      <c r="W13311" t="s">
        <v>40387</v>
      </c>
      <c r="X13311" t="s">
        <v>40515</v>
      </c>
    </row>
    <row r="13312" spans="1:24">
      <c r="A13312">
        <f>HYPERLINK("https://www.philgeps.gov.ph/GEPSNONPILOT/Tender/SplashBidNoticeAbstractUI.aspx?menuIndex=3&amp;refID=6927602&amp;Result=3","6927602")</f>
        <v>0</v>
      </c>
      <c r="B13312" t="s">
        <v>1908</v>
      </c>
      <c r="C13312" t="s">
        <v>15841</v>
      </c>
      <c r="D13312" t="s">
        <v>16199</v>
      </c>
      <c r="E13312" t="s">
        <v>27878</v>
      </c>
      <c r="F13312" t="s">
        <v>28198</v>
      </c>
      <c r="G13312" t="s">
        <v>28205</v>
      </c>
      <c r="H13312" t="s">
        <v>28215</v>
      </c>
      <c r="I13312" t="s">
        <v>28222</v>
      </c>
      <c r="J13312" t="s">
        <v>28752</v>
      </c>
      <c r="K13312" t="s">
        <v>36715</v>
      </c>
      <c r="M13312" t="s">
        <v>39126</v>
      </c>
      <c r="N13312" t="s">
        <v>40436</v>
      </c>
      <c r="O13312" t="s">
        <v>40437</v>
      </c>
      <c r="Q13312">
        <v>12</v>
      </c>
      <c r="R13312" t="s">
        <v>40514</v>
      </c>
      <c r="S13312" t="s">
        <v>41803</v>
      </c>
      <c r="T13312" t="s">
        <v>42119</v>
      </c>
      <c r="U13312" t="s">
        <v>53499</v>
      </c>
      <c r="V13312" t="s">
        <v>54398</v>
      </c>
      <c r="W13312" t="s">
        <v>39126</v>
      </c>
      <c r="X13312" t="s">
        <v>40515</v>
      </c>
    </row>
    <row r="13313" spans="1:24">
      <c r="A13313">
        <f>HYPERLINK("https://www.philgeps.gov.ph/GEPSNONPILOT/Tender/SplashBidNoticeAbstractUI.aspx?menuIndex=3&amp;refID=6927887&amp;Result=3","6927887")</f>
        <v>0</v>
      </c>
      <c r="B13313" t="s">
        <v>1112</v>
      </c>
      <c r="C13313" t="s">
        <v>15842</v>
      </c>
      <c r="D13313" t="s">
        <v>16191</v>
      </c>
      <c r="E13313" t="s">
        <v>27879</v>
      </c>
      <c r="F13313" t="s">
        <v>28198</v>
      </c>
      <c r="G13313" t="s">
        <v>28206</v>
      </c>
      <c r="H13313" t="s">
        <v>28215</v>
      </c>
      <c r="I13313" t="s">
        <v>5100</v>
      </c>
      <c r="J13313" t="s">
        <v>36464</v>
      </c>
      <c r="K13313" t="s">
        <v>36688</v>
      </c>
      <c r="M13313" t="s">
        <v>38149</v>
      </c>
      <c r="N13313" t="s">
        <v>40436</v>
      </c>
      <c r="O13313" t="s">
        <v>40437</v>
      </c>
      <c r="Q13313">
        <v>4</v>
      </c>
      <c r="R13313" t="s">
        <v>40514</v>
      </c>
      <c r="S13313" t="s">
        <v>41804</v>
      </c>
      <c r="T13313" t="s">
        <v>42115</v>
      </c>
      <c r="U13313" t="s">
        <v>53500</v>
      </c>
      <c r="V13313" t="s">
        <v>54089</v>
      </c>
      <c r="W13313" t="s">
        <v>38149</v>
      </c>
      <c r="X13313" t="s">
        <v>40515</v>
      </c>
    </row>
    <row r="13314" spans="1:24">
      <c r="A13314">
        <f>HYPERLINK("https://www.philgeps.gov.ph/GEPSNONPILOT/Tender/SplashBidNoticeAbstractUI.aspx?menuIndex=3&amp;refID=6927298&amp;Result=3","6927298")</f>
        <v>0</v>
      </c>
      <c r="B13314" t="s">
        <v>581</v>
      </c>
      <c r="C13314" t="s">
        <v>15843</v>
      </c>
      <c r="D13314" t="s">
        <v>16210</v>
      </c>
      <c r="E13314" t="s">
        <v>27869</v>
      </c>
      <c r="F13314" t="s">
        <v>28198</v>
      </c>
      <c r="G13314" t="s">
        <v>28205</v>
      </c>
      <c r="H13314" t="s">
        <v>28215</v>
      </c>
      <c r="I13314" t="s">
        <v>28234</v>
      </c>
      <c r="J13314" t="s">
        <v>36465</v>
      </c>
      <c r="K13314" t="s">
        <v>36701</v>
      </c>
      <c r="M13314" t="s">
        <v>40387</v>
      </c>
      <c r="N13314" t="s">
        <v>40436</v>
      </c>
      <c r="O13314" t="s">
        <v>40437</v>
      </c>
      <c r="Q13314">
        <v>11</v>
      </c>
      <c r="R13314" t="s">
        <v>40514</v>
      </c>
      <c r="S13314" t="s">
        <v>41805</v>
      </c>
      <c r="T13314" t="s">
        <v>42278</v>
      </c>
      <c r="U13314" t="s">
        <v>53491</v>
      </c>
      <c r="W13314" t="s">
        <v>40387</v>
      </c>
      <c r="X13314" t="s">
        <v>40515</v>
      </c>
    </row>
    <row r="13315" spans="1:24">
      <c r="A13315">
        <f>HYPERLINK("https://www.philgeps.gov.ph/GEPSNONPILOT/Tender/SplashBidNoticeAbstractUI.aspx?menuIndex=3&amp;refID=6927326&amp;Result=3","6927326")</f>
        <v>0</v>
      </c>
      <c r="B13315" t="s">
        <v>3066</v>
      </c>
      <c r="C13315" t="s">
        <v>15844</v>
      </c>
      <c r="D13315" t="s">
        <v>16210</v>
      </c>
      <c r="E13315" t="s">
        <v>27872</v>
      </c>
      <c r="F13315" t="s">
        <v>28198</v>
      </c>
      <c r="G13315" t="s">
        <v>28205</v>
      </c>
      <c r="H13315" t="s">
        <v>28215</v>
      </c>
      <c r="I13315" t="s">
        <v>28302</v>
      </c>
      <c r="J13315" t="s">
        <v>36466</v>
      </c>
      <c r="K13315" t="s">
        <v>36756</v>
      </c>
      <c r="M13315" t="s">
        <v>40388</v>
      </c>
      <c r="N13315" t="s">
        <v>40436</v>
      </c>
      <c r="O13315" t="s">
        <v>40437</v>
      </c>
      <c r="Q13315">
        <v>7</v>
      </c>
      <c r="R13315" t="s">
        <v>40514</v>
      </c>
      <c r="S13315" t="s">
        <v>41051</v>
      </c>
      <c r="T13315" t="s">
        <v>42610</v>
      </c>
      <c r="U13315" t="s">
        <v>53494</v>
      </c>
      <c r="W13315" t="s">
        <v>40388</v>
      </c>
      <c r="X13315" t="s">
        <v>40515</v>
      </c>
    </row>
    <row r="13316" spans="1:24">
      <c r="A13316">
        <f>HYPERLINK("https://www.philgeps.gov.ph/GEPSNONPILOT/Tender/SplashBidNoticeAbstractUI.aspx?menuIndex=3&amp;refID=6927177&amp;Result=3","6927177")</f>
        <v>0</v>
      </c>
      <c r="B13316" t="s">
        <v>1370</v>
      </c>
      <c r="C13316" t="s">
        <v>15845</v>
      </c>
      <c r="D13316" t="s">
        <v>16213</v>
      </c>
      <c r="E13316" t="s">
        <v>27880</v>
      </c>
      <c r="F13316" t="s">
        <v>28198</v>
      </c>
      <c r="G13316" t="s">
        <v>28205</v>
      </c>
      <c r="H13316" t="s">
        <v>28214</v>
      </c>
      <c r="I13316" t="s">
        <v>3797</v>
      </c>
      <c r="J13316" t="s">
        <v>29683</v>
      </c>
      <c r="K13316" t="s">
        <v>36692</v>
      </c>
      <c r="M13316" t="s">
        <v>38432</v>
      </c>
      <c r="N13316" t="s">
        <v>40436</v>
      </c>
      <c r="O13316" t="s">
        <v>40437</v>
      </c>
      <c r="Q13316">
        <v>0</v>
      </c>
      <c r="R13316" t="s">
        <v>40514</v>
      </c>
      <c r="S13316" t="s">
        <v>41806</v>
      </c>
      <c r="T13316" t="s">
        <v>42296</v>
      </c>
      <c r="U13316" t="s">
        <v>53501</v>
      </c>
      <c r="W13316" t="s">
        <v>38432</v>
      </c>
      <c r="X13316" t="s">
        <v>40515</v>
      </c>
    </row>
    <row r="13317" spans="1:24">
      <c r="A13317">
        <f>HYPERLINK("https://www.philgeps.gov.ph/GEPSNONPILOT/Tender/SplashBidNoticeAbstractUI.aspx?menuIndex=3&amp;refID=6927294&amp;Result=3","6927294")</f>
        <v>0</v>
      </c>
      <c r="B13317" t="s">
        <v>2413</v>
      </c>
      <c r="C13317" t="s">
        <v>15846</v>
      </c>
      <c r="D13317" t="s">
        <v>16191</v>
      </c>
      <c r="E13317" t="s">
        <v>27881</v>
      </c>
      <c r="F13317" t="s">
        <v>28198</v>
      </c>
      <c r="G13317" t="s">
        <v>28205</v>
      </c>
      <c r="H13317" t="s">
        <v>28217</v>
      </c>
      <c r="I13317" t="s">
        <v>28325</v>
      </c>
      <c r="J13317" t="s">
        <v>36467</v>
      </c>
      <c r="K13317" t="s">
        <v>36692</v>
      </c>
      <c r="M13317" t="s">
        <v>39653</v>
      </c>
      <c r="N13317" t="s">
        <v>40436</v>
      </c>
      <c r="O13317" t="s">
        <v>40437</v>
      </c>
      <c r="Q13317">
        <v>8</v>
      </c>
      <c r="R13317" t="s">
        <v>40514</v>
      </c>
      <c r="S13317" t="s">
        <v>41807</v>
      </c>
      <c r="T13317" t="s">
        <v>42184</v>
      </c>
      <c r="U13317" t="s">
        <v>49378</v>
      </c>
      <c r="V13317" t="s">
        <v>55335</v>
      </c>
      <c r="W13317" t="s">
        <v>39653</v>
      </c>
      <c r="X13317" t="s">
        <v>40515</v>
      </c>
    </row>
    <row r="13318" spans="1:24">
      <c r="A13318">
        <f>HYPERLINK("https://www.philgeps.gov.ph/GEPSNONPILOT/Tender/SplashBidNoticeAbstractUI.aspx?menuIndex=3&amp;refID=6926567&amp;Result=3","6926567")</f>
        <v>0</v>
      </c>
      <c r="B13318" t="s">
        <v>2484</v>
      </c>
      <c r="C13318" t="s">
        <v>15847</v>
      </c>
      <c r="D13318" t="s">
        <v>16209</v>
      </c>
      <c r="E13318" t="s">
        <v>27882</v>
      </c>
      <c r="F13318" t="s">
        <v>28198</v>
      </c>
      <c r="G13318" t="s">
        <v>28205</v>
      </c>
      <c r="H13318" t="s">
        <v>28215</v>
      </c>
      <c r="I13318" t="s">
        <v>5631</v>
      </c>
      <c r="J13318" t="s">
        <v>36468</v>
      </c>
      <c r="K13318" t="s">
        <v>36707</v>
      </c>
      <c r="M13318" t="s">
        <v>39683</v>
      </c>
      <c r="N13318" t="s">
        <v>40436</v>
      </c>
      <c r="O13318" t="s">
        <v>40437</v>
      </c>
      <c r="Q13318">
        <v>0</v>
      </c>
      <c r="R13318" t="s">
        <v>40514</v>
      </c>
      <c r="S13318" t="s">
        <v>41808</v>
      </c>
      <c r="T13318" t="s">
        <v>42279</v>
      </c>
      <c r="U13318" t="s">
        <v>53502</v>
      </c>
      <c r="V13318" t="s">
        <v>55336</v>
      </c>
      <c r="W13318" t="s">
        <v>39683</v>
      </c>
      <c r="X13318" t="s">
        <v>40515</v>
      </c>
    </row>
    <row r="13319" spans="1:24">
      <c r="A13319">
        <f>HYPERLINK("https://www.philgeps.gov.ph/GEPSNONPILOT/Tender/SplashBidNoticeAbstractUI.aspx?menuIndex=3&amp;refID=6926990&amp;Result=3","6926990")</f>
        <v>0</v>
      </c>
      <c r="B13319" t="s">
        <v>1112</v>
      </c>
      <c r="C13319" t="s">
        <v>15848</v>
      </c>
      <c r="D13319" t="s">
        <v>16191</v>
      </c>
      <c r="E13319" t="s">
        <v>27883</v>
      </c>
      <c r="F13319" t="s">
        <v>28198</v>
      </c>
      <c r="G13319" t="s">
        <v>28206</v>
      </c>
      <c r="H13319" t="s">
        <v>28215</v>
      </c>
      <c r="I13319" t="s">
        <v>4168</v>
      </c>
      <c r="J13319" t="s">
        <v>36469</v>
      </c>
      <c r="K13319" t="s">
        <v>36707</v>
      </c>
      <c r="M13319" t="s">
        <v>38149</v>
      </c>
      <c r="N13319" t="s">
        <v>40436</v>
      </c>
      <c r="O13319" t="s">
        <v>40437</v>
      </c>
      <c r="Q13319">
        <v>9</v>
      </c>
      <c r="R13319" t="s">
        <v>40514</v>
      </c>
      <c r="S13319" t="s">
        <v>41809</v>
      </c>
      <c r="T13319" t="s">
        <v>42115</v>
      </c>
      <c r="U13319" t="s">
        <v>53503</v>
      </c>
      <c r="V13319" t="s">
        <v>54089</v>
      </c>
      <c r="W13319" t="s">
        <v>38149</v>
      </c>
      <c r="X13319" t="s">
        <v>40515</v>
      </c>
    </row>
    <row r="13320" spans="1:24">
      <c r="A13320">
        <f>HYPERLINK("https://www.philgeps.gov.ph/GEPSNONPILOT/Tender/SplashBidNoticeAbstractUI.aspx?menuIndex=3&amp;refID=6927229&amp;Result=3","6927229")</f>
        <v>0</v>
      </c>
      <c r="B13320" t="s">
        <v>581</v>
      </c>
      <c r="C13320" t="s">
        <v>15849</v>
      </c>
      <c r="D13320" t="s">
        <v>16210</v>
      </c>
      <c r="E13320" t="s">
        <v>27869</v>
      </c>
      <c r="F13320" t="s">
        <v>28198</v>
      </c>
      <c r="G13320" t="s">
        <v>28205</v>
      </c>
      <c r="H13320" t="s">
        <v>28215</v>
      </c>
      <c r="I13320" t="s">
        <v>28234</v>
      </c>
      <c r="J13320" t="s">
        <v>28361</v>
      </c>
      <c r="K13320" t="s">
        <v>36701</v>
      </c>
      <c r="M13320" t="s">
        <v>40387</v>
      </c>
      <c r="N13320" t="s">
        <v>40436</v>
      </c>
      <c r="O13320" t="s">
        <v>40437</v>
      </c>
      <c r="Q13320">
        <v>7</v>
      </c>
      <c r="R13320" t="s">
        <v>40514</v>
      </c>
      <c r="S13320" t="s">
        <v>41810</v>
      </c>
      <c r="T13320" t="s">
        <v>42278</v>
      </c>
      <c r="U13320" t="s">
        <v>53491</v>
      </c>
      <c r="W13320" t="s">
        <v>40387</v>
      </c>
      <c r="X13320" t="s">
        <v>40515</v>
      </c>
    </row>
    <row r="13321" spans="1:24">
      <c r="A13321">
        <f>HYPERLINK("https://www.philgeps.gov.ph/GEPSNONPILOT/Tender/SplashBidNoticeAbstractUI.aspx?menuIndex=3&amp;refID=6932620&amp;Result=3","6932620")</f>
        <v>0</v>
      </c>
      <c r="B13321" t="s">
        <v>581</v>
      </c>
      <c r="C13321" t="s">
        <v>15850</v>
      </c>
      <c r="D13321" t="s">
        <v>16191</v>
      </c>
      <c r="E13321" t="s">
        <v>27850</v>
      </c>
      <c r="F13321" t="s">
        <v>28198</v>
      </c>
      <c r="G13321" t="s">
        <v>28205</v>
      </c>
      <c r="H13321" t="s">
        <v>28215</v>
      </c>
      <c r="I13321" t="s">
        <v>3774</v>
      </c>
      <c r="J13321" t="s">
        <v>36470</v>
      </c>
      <c r="K13321" t="s">
        <v>36701</v>
      </c>
      <c r="M13321" t="s">
        <v>40386</v>
      </c>
      <c r="N13321" t="s">
        <v>40436</v>
      </c>
      <c r="O13321" t="s">
        <v>40437</v>
      </c>
      <c r="Q13321">
        <v>5</v>
      </c>
      <c r="R13321" t="s">
        <v>40512</v>
      </c>
      <c r="S13321" t="s">
        <v>41811</v>
      </c>
      <c r="T13321" t="s">
        <v>42183</v>
      </c>
      <c r="U13321" t="s">
        <v>53475</v>
      </c>
      <c r="V13321" t="s">
        <v>55330</v>
      </c>
      <c r="W13321" t="s">
        <v>40386</v>
      </c>
      <c r="X13321" t="s">
        <v>40514</v>
      </c>
    </row>
    <row r="13322" spans="1:24">
      <c r="A13322">
        <f>HYPERLINK("https://www.philgeps.gov.ph/GEPSNONPILOT/Tender/SplashBidNoticeAbstractUI.aspx?menuIndex=3&amp;refID=6932627&amp;Result=3","6932627")</f>
        <v>0</v>
      </c>
      <c r="B13322" t="s">
        <v>581</v>
      </c>
      <c r="C13322" t="s">
        <v>15851</v>
      </c>
      <c r="D13322" t="s">
        <v>16191</v>
      </c>
      <c r="E13322" t="s">
        <v>27850</v>
      </c>
      <c r="F13322" t="s">
        <v>28198</v>
      </c>
      <c r="G13322" t="s">
        <v>28205</v>
      </c>
      <c r="H13322" t="s">
        <v>28215</v>
      </c>
      <c r="I13322" t="s">
        <v>3774</v>
      </c>
      <c r="J13322" t="s">
        <v>36471</v>
      </c>
      <c r="K13322" t="s">
        <v>36701</v>
      </c>
      <c r="M13322" t="s">
        <v>40386</v>
      </c>
      <c r="N13322" t="s">
        <v>40436</v>
      </c>
      <c r="O13322" t="s">
        <v>40437</v>
      </c>
      <c r="Q13322">
        <v>4</v>
      </c>
      <c r="R13322" t="s">
        <v>40512</v>
      </c>
      <c r="S13322" t="s">
        <v>41812</v>
      </c>
      <c r="T13322" t="s">
        <v>42183</v>
      </c>
      <c r="U13322" t="s">
        <v>53475</v>
      </c>
      <c r="V13322" t="s">
        <v>55337</v>
      </c>
      <c r="W13322" t="s">
        <v>40386</v>
      </c>
      <c r="X13322" t="s">
        <v>40514</v>
      </c>
    </row>
    <row r="13323" spans="1:24">
      <c r="A13323">
        <f>HYPERLINK("https://www.philgeps.gov.ph/GEPSNONPILOT/Tender/SplashBidNoticeAbstractUI.aspx?menuIndex=3&amp;refID=6928834&amp;Result=3","6928834")</f>
        <v>0</v>
      </c>
      <c r="B13323" t="s">
        <v>3068</v>
      </c>
      <c r="C13323" t="s">
        <v>15852</v>
      </c>
      <c r="D13323" t="s">
        <v>16243</v>
      </c>
      <c r="E13323" t="s">
        <v>27884</v>
      </c>
      <c r="F13323" t="s">
        <v>28198</v>
      </c>
      <c r="G13323" t="s">
        <v>28205</v>
      </c>
      <c r="H13323" t="s">
        <v>28214</v>
      </c>
      <c r="I13323" t="s">
        <v>3797</v>
      </c>
      <c r="J13323" t="s">
        <v>36472</v>
      </c>
      <c r="K13323" t="s">
        <v>36689</v>
      </c>
      <c r="M13323" t="s">
        <v>40390</v>
      </c>
      <c r="N13323" t="s">
        <v>40436</v>
      </c>
      <c r="O13323" t="s">
        <v>40437</v>
      </c>
      <c r="Q13323">
        <v>0</v>
      </c>
      <c r="R13323" t="s">
        <v>40514</v>
      </c>
      <c r="S13323" t="s">
        <v>41530</v>
      </c>
      <c r="T13323" t="s">
        <v>42101</v>
      </c>
      <c r="U13323" t="s">
        <v>53504</v>
      </c>
      <c r="W13323" t="s">
        <v>40390</v>
      </c>
      <c r="X13323" t="s">
        <v>40515</v>
      </c>
    </row>
    <row r="13324" spans="1:24">
      <c r="A13324">
        <f>HYPERLINK("https://www.philgeps.gov.ph/GEPSNONPILOT/Tender/SplashBidNoticeAbstractUI.aspx?menuIndex=3&amp;refID=6932615&amp;Result=3","6932615")</f>
        <v>0</v>
      </c>
      <c r="B13324" t="s">
        <v>581</v>
      </c>
      <c r="C13324" t="s">
        <v>15853</v>
      </c>
      <c r="D13324" t="s">
        <v>16191</v>
      </c>
      <c r="E13324" t="s">
        <v>27850</v>
      </c>
      <c r="F13324" t="s">
        <v>28198</v>
      </c>
      <c r="G13324" t="s">
        <v>28205</v>
      </c>
      <c r="H13324" t="s">
        <v>28215</v>
      </c>
      <c r="I13324" t="s">
        <v>3774</v>
      </c>
      <c r="J13324" t="s">
        <v>36473</v>
      </c>
      <c r="K13324" t="s">
        <v>36701</v>
      </c>
      <c r="M13324" t="s">
        <v>40386</v>
      </c>
      <c r="N13324" t="s">
        <v>40436</v>
      </c>
      <c r="O13324" t="s">
        <v>40437</v>
      </c>
      <c r="Q13324">
        <v>2</v>
      </c>
      <c r="R13324" t="s">
        <v>40512</v>
      </c>
      <c r="S13324" t="s">
        <v>41813</v>
      </c>
      <c r="T13324" t="s">
        <v>42183</v>
      </c>
      <c r="U13324" t="s">
        <v>53475</v>
      </c>
      <c r="V13324" t="s">
        <v>55338</v>
      </c>
      <c r="W13324" t="s">
        <v>40386</v>
      </c>
      <c r="X13324" t="s">
        <v>40514</v>
      </c>
    </row>
    <row r="13325" spans="1:24">
      <c r="A13325">
        <f>HYPERLINK("https://www.philgeps.gov.ph/GEPSNONPILOT/Tender/SplashBidNoticeAbstractUI.aspx?menuIndex=3&amp;refID=6928847&amp;Result=3","6928847")</f>
        <v>0</v>
      </c>
      <c r="B13325" t="s">
        <v>3068</v>
      </c>
      <c r="C13325" t="s">
        <v>15854</v>
      </c>
      <c r="D13325" t="s">
        <v>16243</v>
      </c>
      <c r="E13325" t="s">
        <v>27885</v>
      </c>
      <c r="F13325" t="s">
        <v>28198</v>
      </c>
      <c r="G13325" t="s">
        <v>28205</v>
      </c>
      <c r="H13325" t="s">
        <v>28214</v>
      </c>
      <c r="I13325" t="s">
        <v>3797</v>
      </c>
      <c r="J13325" t="s">
        <v>36474</v>
      </c>
      <c r="K13325" t="s">
        <v>36689</v>
      </c>
      <c r="M13325" t="s">
        <v>40390</v>
      </c>
      <c r="N13325" t="s">
        <v>40436</v>
      </c>
      <c r="O13325" t="s">
        <v>40437</v>
      </c>
      <c r="Q13325">
        <v>1</v>
      </c>
      <c r="R13325" t="s">
        <v>40514</v>
      </c>
      <c r="S13325" t="s">
        <v>41814</v>
      </c>
      <c r="T13325" t="s">
        <v>42101</v>
      </c>
      <c r="U13325" t="s">
        <v>53504</v>
      </c>
      <c r="W13325" t="s">
        <v>40390</v>
      </c>
      <c r="X13325" t="s">
        <v>40515</v>
      </c>
    </row>
    <row r="13326" spans="1:24">
      <c r="A13326">
        <f>HYPERLINK("https://www.philgeps.gov.ph/GEPSNONPILOT/Tender/SplashBidNoticeAbstractUI.aspx?menuIndex=3&amp;refID=6927022&amp;Result=3","6927022")</f>
        <v>0</v>
      </c>
      <c r="B13326" t="s">
        <v>581</v>
      </c>
      <c r="C13326" t="s">
        <v>15855</v>
      </c>
      <c r="D13326" t="s">
        <v>16210</v>
      </c>
      <c r="E13326" t="s">
        <v>27886</v>
      </c>
      <c r="F13326" t="s">
        <v>28198</v>
      </c>
      <c r="G13326" t="s">
        <v>28207</v>
      </c>
      <c r="H13326" t="s">
        <v>28215</v>
      </c>
      <c r="I13326" t="s">
        <v>28265</v>
      </c>
      <c r="J13326" t="s">
        <v>36475</v>
      </c>
      <c r="K13326" t="s">
        <v>36756</v>
      </c>
      <c r="M13326" t="s">
        <v>40391</v>
      </c>
      <c r="N13326" t="s">
        <v>40436</v>
      </c>
      <c r="O13326" t="s">
        <v>40437</v>
      </c>
      <c r="Q13326">
        <v>5</v>
      </c>
      <c r="R13326" t="s">
        <v>40514</v>
      </c>
      <c r="S13326" t="s">
        <v>41815</v>
      </c>
      <c r="T13326" t="s">
        <v>42277</v>
      </c>
      <c r="U13326" t="s">
        <v>53505</v>
      </c>
      <c r="V13326" t="s">
        <v>55339</v>
      </c>
      <c r="W13326" t="s">
        <v>40391</v>
      </c>
      <c r="X13326" t="s">
        <v>40515</v>
      </c>
    </row>
    <row r="13327" spans="1:24">
      <c r="A13327">
        <f>HYPERLINK("https://www.philgeps.gov.ph/GEPSNONPILOT/Tender/SplashBidNoticeAbstractUI.aspx?menuIndex=3&amp;refID=6928228&amp;Result=3","6928228")</f>
        <v>0</v>
      </c>
      <c r="B13327" t="s">
        <v>2757</v>
      </c>
      <c r="C13327" t="s">
        <v>15856</v>
      </c>
      <c r="E13327" t="s">
        <v>27887</v>
      </c>
      <c r="F13327" t="s">
        <v>28198</v>
      </c>
      <c r="G13327" t="s">
        <v>28205</v>
      </c>
      <c r="H13327" t="s">
        <v>28215</v>
      </c>
      <c r="I13327" t="s">
        <v>8888</v>
      </c>
      <c r="J13327" t="s">
        <v>36476</v>
      </c>
      <c r="K13327" t="s">
        <v>36689</v>
      </c>
      <c r="M13327" t="s">
        <v>40392</v>
      </c>
      <c r="N13327" t="s">
        <v>40436</v>
      </c>
      <c r="O13327" t="s">
        <v>40437</v>
      </c>
      <c r="Q13327">
        <v>9</v>
      </c>
      <c r="R13327" t="s">
        <v>40514</v>
      </c>
      <c r="S13327" t="s">
        <v>41352</v>
      </c>
      <c r="T13327" t="s">
        <v>42165</v>
      </c>
      <c r="U13327" t="s">
        <v>53506</v>
      </c>
      <c r="W13327" t="s">
        <v>40392</v>
      </c>
      <c r="X13327" t="s">
        <v>40515</v>
      </c>
    </row>
    <row r="13328" spans="1:24">
      <c r="A13328">
        <f>HYPERLINK("https://www.philgeps.gov.ph/GEPSNONPILOT/Tender/SplashBidNoticeAbstractUI.aspx?menuIndex=3&amp;refID=6927037&amp;Result=3","6927037")</f>
        <v>0</v>
      </c>
      <c r="B13328" t="s">
        <v>581</v>
      </c>
      <c r="C13328" t="s">
        <v>15857</v>
      </c>
      <c r="D13328" t="s">
        <v>16210</v>
      </c>
      <c r="E13328" t="s">
        <v>27869</v>
      </c>
      <c r="F13328" t="s">
        <v>28198</v>
      </c>
      <c r="G13328" t="s">
        <v>28205</v>
      </c>
      <c r="H13328" t="s">
        <v>28215</v>
      </c>
      <c r="I13328" t="s">
        <v>28234</v>
      </c>
      <c r="J13328" t="s">
        <v>36477</v>
      </c>
      <c r="K13328" t="s">
        <v>36701</v>
      </c>
      <c r="M13328" t="s">
        <v>40387</v>
      </c>
      <c r="N13328" t="s">
        <v>40436</v>
      </c>
      <c r="O13328" t="s">
        <v>40437</v>
      </c>
      <c r="Q13328">
        <v>9</v>
      </c>
      <c r="R13328" t="s">
        <v>40514</v>
      </c>
      <c r="S13328" t="s">
        <v>41816</v>
      </c>
      <c r="T13328" t="s">
        <v>42278</v>
      </c>
      <c r="U13328" t="s">
        <v>53491</v>
      </c>
      <c r="W13328" t="s">
        <v>40387</v>
      </c>
      <c r="X13328" t="s">
        <v>40515</v>
      </c>
    </row>
    <row r="13329" spans="1:24">
      <c r="A13329">
        <f>HYPERLINK("https://www.philgeps.gov.ph/GEPSNONPILOT/Tender/SplashBidNoticeAbstractUI.aspx?menuIndex=3&amp;refID=6932612&amp;Result=3","6932612")</f>
        <v>0</v>
      </c>
      <c r="B13329" t="s">
        <v>2619</v>
      </c>
      <c r="C13329" t="s">
        <v>15858</v>
      </c>
      <c r="D13329" t="s">
        <v>16210</v>
      </c>
      <c r="E13329" t="s">
        <v>27888</v>
      </c>
      <c r="F13329" t="s">
        <v>28198</v>
      </c>
      <c r="G13329" t="s">
        <v>28205</v>
      </c>
      <c r="H13329" t="s">
        <v>28215</v>
      </c>
      <c r="I13329" t="s">
        <v>28234</v>
      </c>
      <c r="J13329" t="s">
        <v>28390</v>
      </c>
      <c r="K13329" t="s">
        <v>36689</v>
      </c>
      <c r="M13329" t="s">
        <v>39839</v>
      </c>
      <c r="N13329" t="s">
        <v>40436</v>
      </c>
      <c r="O13329" t="s">
        <v>40437</v>
      </c>
      <c r="Q13329">
        <v>27</v>
      </c>
      <c r="R13329" t="s">
        <v>40512</v>
      </c>
      <c r="S13329" t="s">
        <v>41817</v>
      </c>
      <c r="T13329" t="s">
        <v>42203</v>
      </c>
      <c r="U13329" t="s">
        <v>53507</v>
      </c>
      <c r="W13329" t="s">
        <v>39839</v>
      </c>
      <c r="X13329" t="s">
        <v>40514</v>
      </c>
    </row>
    <row r="13330" spans="1:24">
      <c r="A13330">
        <f>HYPERLINK("https://www.philgeps.gov.ph/GEPSNONPILOT/Tender/SplashBidNoticeAbstractUI.aspx?menuIndex=3&amp;refID=6922952&amp;Result=3","6922952")</f>
        <v>0</v>
      </c>
      <c r="B13330" t="s">
        <v>3069</v>
      </c>
      <c r="C13330" t="s">
        <v>15859</v>
      </c>
      <c r="D13330" t="s">
        <v>16210</v>
      </c>
      <c r="E13330" t="s">
        <v>27889</v>
      </c>
      <c r="F13330" t="s">
        <v>28198</v>
      </c>
      <c r="G13330" t="s">
        <v>28205</v>
      </c>
      <c r="H13330" t="s">
        <v>28215</v>
      </c>
      <c r="I13330" t="s">
        <v>28220</v>
      </c>
      <c r="J13330" t="s">
        <v>29275</v>
      </c>
      <c r="K13330" t="s">
        <v>36689</v>
      </c>
      <c r="M13330" t="s">
        <v>40393</v>
      </c>
      <c r="N13330" t="s">
        <v>40436</v>
      </c>
      <c r="O13330" t="s">
        <v>40437</v>
      </c>
      <c r="Q13330">
        <v>25</v>
      </c>
      <c r="R13330" t="s">
        <v>40515</v>
      </c>
      <c r="S13330" t="s">
        <v>41818</v>
      </c>
      <c r="T13330" t="s">
        <v>42103</v>
      </c>
      <c r="U13330" t="s">
        <v>45725</v>
      </c>
      <c r="W13330" t="s">
        <v>40393</v>
      </c>
      <c r="X13330" t="s">
        <v>40516</v>
      </c>
    </row>
    <row r="13331" spans="1:24">
      <c r="A13331">
        <f>HYPERLINK("https://www.philgeps.gov.ph/GEPSNONPILOT/Tender/SplashBidNoticeAbstractUI.aspx?menuIndex=3&amp;refID=6922533&amp;Result=3","6922533")</f>
        <v>0</v>
      </c>
      <c r="B13331" t="s">
        <v>2608</v>
      </c>
      <c r="C13331" t="s">
        <v>15860</v>
      </c>
      <c r="D13331" t="s">
        <v>16249</v>
      </c>
      <c r="E13331" t="s">
        <v>27890</v>
      </c>
      <c r="F13331" t="s">
        <v>28198</v>
      </c>
      <c r="G13331" t="s">
        <v>28205</v>
      </c>
      <c r="H13331" t="s">
        <v>28214</v>
      </c>
      <c r="I13331" t="s">
        <v>3797</v>
      </c>
      <c r="J13331" t="s">
        <v>36478</v>
      </c>
      <c r="K13331" t="s">
        <v>36901</v>
      </c>
      <c r="L13331" t="s">
        <v>2608</v>
      </c>
      <c r="M13331" t="s">
        <v>39827</v>
      </c>
      <c r="N13331" t="s">
        <v>40436</v>
      </c>
      <c r="O13331" t="s">
        <v>40437</v>
      </c>
      <c r="Q13331">
        <v>41</v>
      </c>
      <c r="R13331" t="s">
        <v>40515</v>
      </c>
      <c r="S13331" t="s">
        <v>41819</v>
      </c>
      <c r="T13331" t="s">
        <v>42112</v>
      </c>
      <c r="U13331" t="s">
        <v>53508</v>
      </c>
      <c r="W13331" t="s">
        <v>39827</v>
      </c>
      <c r="X13331" t="s">
        <v>40516</v>
      </c>
    </row>
    <row r="13332" spans="1:24">
      <c r="A13332">
        <f>HYPERLINK("https://www.philgeps.gov.ph/GEPSNONPILOT/Tender/SplashBidNoticeAbstractUI.aspx?menuIndex=3&amp;refID=6927103&amp;Result=3","6927103")</f>
        <v>0</v>
      </c>
      <c r="B13332" t="s">
        <v>2639</v>
      </c>
      <c r="C13332" t="s">
        <v>15861</v>
      </c>
      <c r="D13332" t="s">
        <v>16210</v>
      </c>
      <c r="E13332" t="s">
        <v>27891</v>
      </c>
      <c r="F13332" t="s">
        <v>28198</v>
      </c>
      <c r="G13332" t="s">
        <v>28205</v>
      </c>
      <c r="H13332" t="s">
        <v>28214</v>
      </c>
      <c r="I13332" t="s">
        <v>3797</v>
      </c>
      <c r="J13332" t="s">
        <v>36479</v>
      </c>
      <c r="K13332" t="s">
        <v>36692</v>
      </c>
      <c r="M13332" t="s">
        <v>39864</v>
      </c>
      <c r="N13332" t="s">
        <v>40436</v>
      </c>
      <c r="O13332" t="s">
        <v>40437</v>
      </c>
      <c r="Q13332">
        <v>14</v>
      </c>
      <c r="R13332" t="s">
        <v>40514</v>
      </c>
      <c r="S13332" t="s">
        <v>41820</v>
      </c>
      <c r="T13332" t="s">
        <v>42390</v>
      </c>
      <c r="U13332" t="s">
        <v>53509</v>
      </c>
      <c r="W13332" t="s">
        <v>39864</v>
      </c>
      <c r="X13332" t="s">
        <v>40515</v>
      </c>
    </row>
    <row r="13333" spans="1:24">
      <c r="A13333">
        <f>HYPERLINK("https://www.philgeps.gov.ph/GEPSNONPILOT/Tender/SplashBidNoticeAbstractUI.aspx?menuIndex=3&amp;refID=6903317&amp;Result=3","6903317")</f>
        <v>0</v>
      </c>
      <c r="B13333" t="s">
        <v>46</v>
      </c>
      <c r="C13333" t="s">
        <v>15862</v>
      </c>
      <c r="D13333" t="s">
        <v>16202</v>
      </c>
      <c r="E13333" t="s">
        <v>27892</v>
      </c>
      <c r="F13333" t="s">
        <v>28198</v>
      </c>
      <c r="G13333" t="s">
        <v>28208</v>
      </c>
      <c r="H13333" t="s">
        <v>28216</v>
      </c>
      <c r="I13333" t="s">
        <v>28216</v>
      </c>
      <c r="J13333" t="s">
        <v>36480</v>
      </c>
      <c r="K13333" t="s">
        <v>36689</v>
      </c>
      <c r="L13333" t="s">
        <v>46</v>
      </c>
      <c r="M13333" t="s">
        <v>37017</v>
      </c>
      <c r="N13333" t="s">
        <v>40436</v>
      </c>
      <c r="O13333" t="s">
        <v>40437</v>
      </c>
      <c r="Q13333">
        <v>9</v>
      </c>
      <c r="R13333" t="s">
        <v>40515</v>
      </c>
      <c r="S13333" t="s">
        <v>41821</v>
      </c>
      <c r="T13333" t="s">
        <v>42248</v>
      </c>
      <c r="U13333" t="s">
        <v>53510</v>
      </c>
      <c r="W13333" t="s">
        <v>37017</v>
      </c>
      <c r="X13333" t="s">
        <v>40525</v>
      </c>
    </row>
    <row r="13334" spans="1:24">
      <c r="A13334">
        <f>HYPERLINK("https://www.philgeps.gov.ph/GEPSNONPILOT/Tender/SplashBidNoticeAbstractUI.aspx?menuIndex=3&amp;refID=6928859&amp;Result=3","6928859")</f>
        <v>0</v>
      </c>
      <c r="B13334" t="s">
        <v>3068</v>
      </c>
      <c r="C13334" t="s">
        <v>15863</v>
      </c>
      <c r="D13334" t="s">
        <v>16243</v>
      </c>
      <c r="E13334" t="s">
        <v>27893</v>
      </c>
      <c r="F13334" t="s">
        <v>28198</v>
      </c>
      <c r="G13334" t="s">
        <v>28205</v>
      </c>
      <c r="H13334" t="s">
        <v>28214</v>
      </c>
      <c r="I13334" t="s">
        <v>3797</v>
      </c>
      <c r="J13334" t="s">
        <v>36481</v>
      </c>
      <c r="K13334" t="s">
        <v>36689</v>
      </c>
      <c r="M13334" t="s">
        <v>40390</v>
      </c>
      <c r="N13334" t="s">
        <v>40436</v>
      </c>
      <c r="O13334" t="s">
        <v>40437</v>
      </c>
      <c r="Q13334">
        <v>0</v>
      </c>
      <c r="R13334" t="s">
        <v>40514</v>
      </c>
      <c r="S13334" t="s">
        <v>41822</v>
      </c>
      <c r="T13334" t="s">
        <v>42101</v>
      </c>
      <c r="U13334" t="s">
        <v>53504</v>
      </c>
      <c r="W13334" t="s">
        <v>40390</v>
      </c>
      <c r="X13334" t="s">
        <v>40515</v>
      </c>
    </row>
    <row r="13335" spans="1:24">
      <c r="A13335">
        <f>HYPERLINK("https://www.philgeps.gov.ph/GEPSNONPILOT/Tender/SplashBidNoticeAbstractUI.aspx?menuIndex=3&amp;refID=6911731&amp;Result=3","6911731")</f>
        <v>0</v>
      </c>
      <c r="B13335" t="s">
        <v>2934</v>
      </c>
      <c r="C13335" t="s">
        <v>15864</v>
      </c>
      <c r="D13335" t="s">
        <v>16246</v>
      </c>
      <c r="E13335" t="s">
        <v>27894</v>
      </c>
      <c r="F13335" t="s">
        <v>28198</v>
      </c>
      <c r="G13335" t="s">
        <v>28205</v>
      </c>
      <c r="H13335" t="s">
        <v>28215</v>
      </c>
      <c r="I13335" t="s">
        <v>28249</v>
      </c>
      <c r="J13335" t="s">
        <v>28398</v>
      </c>
      <c r="K13335" t="s">
        <v>36701</v>
      </c>
      <c r="M13335" t="s">
        <v>40213</v>
      </c>
      <c r="N13335" t="s">
        <v>40436</v>
      </c>
      <c r="O13335" t="s">
        <v>40437</v>
      </c>
      <c r="Q13335">
        <v>0</v>
      </c>
      <c r="R13335" t="s">
        <v>40515</v>
      </c>
      <c r="S13335" t="s">
        <v>41823</v>
      </c>
      <c r="T13335" t="s">
        <v>42229</v>
      </c>
      <c r="U13335" t="s">
        <v>53511</v>
      </c>
      <c r="W13335" t="s">
        <v>40213</v>
      </c>
      <c r="X13335" t="s">
        <v>40521</v>
      </c>
    </row>
    <row r="13336" spans="1:24">
      <c r="A13336">
        <f>HYPERLINK("https://www.philgeps.gov.ph/GEPSNONPILOT/Tender/SplashBidNoticeAbstractUI.aspx?menuIndex=3&amp;refID=6918923&amp;Result=3","6918923")</f>
        <v>0</v>
      </c>
      <c r="B13336" t="s">
        <v>3069</v>
      </c>
      <c r="C13336" t="s">
        <v>15865</v>
      </c>
      <c r="D13336" t="s">
        <v>16210</v>
      </c>
      <c r="E13336" t="s">
        <v>27895</v>
      </c>
      <c r="F13336" t="s">
        <v>28198</v>
      </c>
      <c r="G13336" t="s">
        <v>28205</v>
      </c>
      <c r="H13336" t="s">
        <v>28215</v>
      </c>
      <c r="I13336" t="s">
        <v>28220</v>
      </c>
      <c r="J13336" t="s">
        <v>28629</v>
      </c>
      <c r="K13336" t="s">
        <v>36689</v>
      </c>
      <c r="M13336" t="s">
        <v>40394</v>
      </c>
      <c r="N13336" t="s">
        <v>40436</v>
      </c>
      <c r="O13336" t="s">
        <v>40437</v>
      </c>
      <c r="Q13336">
        <v>25</v>
      </c>
      <c r="R13336" t="s">
        <v>40515</v>
      </c>
      <c r="S13336" t="s">
        <v>41824</v>
      </c>
      <c r="T13336" t="s">
        <v>42103</v>
      </c>
      <c r="U13336" t="s">
        <v>42746</v>
      </c>
      <c r="W13336" t="s">
        <v>40394</v>
      </c>
      <c r="X13336" t="s">
        <v>40519</v>
      </c>
    </row>
    <row r="13337" spans="1:24">
      <c r="A13337">
        <f>HYPERLINK("https://www.philgeps.gov.ph/GEPSNONPILOT/Tender/SplashBidNoticeAbstractUI.aspx?menuIndex=3&amp;refID=6928965&amp;Result=3","6928965")</f>
        <v>0</v>
      </c>
      <c r="B13337" t="s">
        <v>3058</v>
      </c>
      <c r="C13337" t="s">
        <v>15866</v>
      </c>
      <c r="D13337" t="s">
        <v>16190</v>
      </c>
      <c r="E13337" t="s">
        <v>27896</v>
      </c>
      <c r="F13337" t="s">
        <v>28198</v>
      </c>
      <c r="G13337" t="s">
        <v>28205</v>
      </c>
      <c r="H13337" t="s">
        <v>28214</v>
      </c>
      <c r="I13337" t="s">
        <v>3797</v>
      </c>
      <c r="J13337" t="s">
        <v>31258</v>
      </c>
      <c r="K13337" t="s">
        <v>36697</v>
      </c>
      <c r="M13337" t="s">
        <v>40370</v>
      </c>
      <c r="N13337" t="s">
        <v>40436</v>
      </c>
      <c r="O13337" t="s">
        <v>40437</v>
      </c>
      <c r="Q13337">
        <v>16</v>
      </c>
      <c r="R13337" t="s">
        <v>40514</v>
      </c>
      <c r="S13337" t="s">
        <v>41825</v>
      </c>
      <c r="T13337" t="s">
        <v>42119</v>
      </c>
      <c r="U13337" t="s">
        <v>53512</v>
      </c>
      <c r="V13337" t="s">
        <v>55288</v>
      </c>
      <c r="W13337" t="s">
        <v>55550</v>
      </c>
      <c r="X13337" t="s">
        <v>40515</v>
      </c>
    </row>
    <row r="13338" spans="1:24">
      <c r="A13338">
        <f>HYPERLINK("https://www.philgeps.gov.ph/GEPSNONPILOT/Tender/SplashBidNoticeAbstractUI.aspx?menuIndex=3&amp;refID=6922629&amp;Result=3","6922629")</f>
        <v>0</v>
      </c>
      <c r="B13338" t="s">
        <v>2608</v>
      </c>
      <c r="C13338" t="s">
        <v>15867</v>
      </c>
      <c r="D13338" t="s">
        <v>16249</v>
      </c>
      <c r="E13338" t="s">
        <v>27897</v>
      </c>
      <c r="F13338" t="s">
        <v>28198</v>
      </c>
      <c r="G13338" t="s">
        <v>28205</v>
      </c>
      <c r="H13338" t="s">
        <v>28214</v>
      </c>
      <c r="I13338" t="s">
        <v>3797</v>
      </c>
      <c r="J13338" t="s">
        <v>32323</v>
      </c>
      <c r="K13338" t="s">
        <v>36770</v>
      </c>
      <c r="L13338" t="s">
        <v>2608</v>
      </c>
      <c r="M13338" t="s">
        <v>39827</v>
      </c>
      <c r="N13338" t="s">
        <v>40436</v>
      </c>
      <c r="O13338" t="s">
        <v>40437</v>
      </c>
      <c r="Q13338">
        <v>39</v>
      </c>
      <c r="R13338" t="s">
        <v>40515</v>
      </c>
      <c r="S13338" t="s">
        <v>41826</v>
      </c>
      <c r="T13338" t="s">
        <v>42112</v>
      </c>
      <c r="U13338" t="s">
        <v>53513</v>
      </c>
      <c r="W13338" t="s">
        <v>39827</v>
      </c>
      <c r="X13338" t="s">
        <v>40516</v>
      </c>
    </row>
    <row r="13339" spans="1:24">
      <c r="A13339">
        <f>HYPERLINK("https://www.philgeps.gov.ph/GEPSNONPILOT/Tender/SplashBidNoticeAbstractUI.aspx?menuIndex=3&amp;refID=6928764&amp;Result=3","6928764")</f>
        <v>0</v>
      </c>
      <c r="B13339" t="s">
        <v>3068</v>
      </c>
      <c r="C13339" t="s">
        <v>15868</v>
      </c>
      <c r="D13339" t="s">
        <v>16243</v>
      </c>
      <c r="E13339" t="s">
        <v>27898</v>
      </c>
      <c r="F13339" t="s">
        <v>28198</v>
      </c>
      <c r="G13339" t="s">
        <v>28205</v>
      </c>
      <c r="H13339" t="s">
        <v>28214</v>
      </c>
      <c r="I13339" t="s">
        <v>3797</v>
      </c>
      <c r="J13339" t="s">
        <v>36482</v>
      </c>
      <c r="K13339" t="s">
        <v>36689</v>
      </c>
      <c r="M13339" t="s">
        <v>40390</v>
      </c>
      <c r="N13339" t="s">
        <v>40436</v>
      </c>
      <c r="O13339" t="s">
        <v>40437</v>
      </c>
      <c r="Q13339">
        <v>1</v>
      </c>
      <c r="R13339" t="s">
        <v>40514</v>
      </c>
      <c r="S13339" t="s">
        <v>41827</v>
      </c>
      <c r="T13339" t="s">
        <v>42101</v>
      </c>
      <c r="U13339" t="s">
        <v>53504</v>
      </c>
      <c r="W13339" t="s">
        <v>40390</v>
      </c>
      <c r="X13339" t="s">
        <v>40515</v>
      </c>
    </row>
    <row r="13340" spans="1:24">
      <c r="A13340">
        <f>HYPERLINK("https://www.philgeps.gov.ph/GEPSNONPILOT/Tender/SplashBidNoticeAbstractUI.aspx?menuIndex=3&amp;refID=6928514&amp;Result=3","6928514")</f>
        <v>0</v>
      </c>
      <c r="B13340" t="s">
        <v>3070</v>
      </c>
      <c r="C13340" t="s">
        <v>15869</v>
      </c>
      <c r="D13340" t="s">
        <v>16221</v>
      </c>
      <c r="E13340" t="s">
        <v>27899</v>
      </c>
      <c r="F13340" t="s">
        <v>28198</v>
      </c>
      <c r="G13340" t="s">
        <v>28205</v>
      </c>
      <c r="H13340" t="s">
        <v>28215</v>
      </c>
      <c r="I13340" t="s">
        <v>28234</v>
      </c>
      <c r="J13340" t="s">
        <v>36483</v>
      </c>
      <c r="K13340" t="s">
        <v>36694</v>
      </c>
      <c r="M13340" t="s">
        <v>40395</v>
      </c>
      <c r="N13340" t="s">
        <v>40436</v>
      </c>
      <c r="O13340" t="s">
        <v>40437</v>
      </c>
      <c r="Q13340">
        <v>10</v>
      </c>
      <c r="R13340" t="s">
        <v>40514</v>
      </c>
      <c r="S13340" t="s">
        <v>41828</v>
      </c>
      <c r="T13340" t="s">
        <v>42346</v>
      </c>
      <c r="U13340" t="s">
        <v>53514</v>
      </c>
      <c r="W13340" t="s">
        <v>40395</v>
      </c>
      <c r="X13340" t="s">
        <v>40515</v>
      </c>
    </row>
    <row r="13341" spans="1:24">
      <c r="A13341">
        <f>HYPERLINK("https://www.philgeps.gov.ph/GEPSNONPILOT/Tender/SplashBidNoticeAbstractUI.aspx?menuIndex=3&amp;refID=6928800&amp;Result=3","6928800")</f>
        <v>0</v>
      </c>
      <c r="B13341" t="s">
        <v>3068</v>
      </c>
      <c r="C13341" t="s">
        <v>15870</v>
      </c>
      <c r="D13341" t="s">
        <v>16243</v>
      </c>
      <c r="E13341" t="s">
        <v>27900</v>
      </c>
      <c r="F13341" t="s">
        <v>28198</v>
      </c>
      <c r="G13341" t="s">
        <v>28205</v>
      </c>
      <c r="H13341" t="s">
        <v>28214</v>
      </c>
      <c r="I13341" t="s">
        <v>3797</v>
      </c>
      <c r="J13341" t="s">
        <v>36484</v>
      </c>
      <c r="K13341" t="s">
        <v>36689</v>
      </c>
      <c r="M13341" t="s">
        <v>40390</v>
      </c>
      <c r="N13341" t="s">
        <v>40436</v>
      </c>
      <c r="O13341" t="s">
        <v>40437</v>
      </c>
      <c r="Q13341">
        <v>0</v>
      </c>
      <c r="R13341" t="s">
        <v>40514</v>
      </c>
      <c r="S13341" t="s">
        <v>41829</v>
      </c>
      <c r="T13341" t="s">
        <v>42101</v>
      </c>
      <c r="U13341" t="s">
        <v>53504</v>
      </c>
      <c r="W13341" t="s">
        <v>40390</v>
      </c>
      <c r="X13341" t="s">
        <v>40515</v>
      </c>
    </row>
    <row r="13342" spans="1:24">
      <c r="A13342">
        <f>HYPERLINK("https://www.philgeps.gov.ph/GEPSNONPILOT/Tender/SplashBidNoticeAbstractUI.aspx?menuIndex=3&amp;refID=6928359&amp;Result=3","6928359")</f>
        <v>0</v>
      </c>
      <c r="B13342" t="s">
        <v>3067</v>
      </c>
      <c r="C13342" t="s">
        <v>15871</v>
      </c>
      <c r="D13342" t="s">
        <v>16224</v>
      </c>
      <c r="E13342" t="s">
        <v>27901</v>
      </c>
      <c r="F13342" t="s">
        <v>28198</v>
      </c>
      <c r="G13342" t="s">
        <v>28205</v>
      </c>
      <c r="H13342" t="s">
        <v>28215</v>
      </c>
      <c r="I13342" t="s">
        <v>4200</v>
      </c>
      <c r="J13342" t="s">
        <v>29316</v>
      </c>
      <c r="K13342" t="s">
        <v>36707</v>
      </c>
      <c r="M13342" t="s">
        <v>40389</v>
      </c>
      <c r="N13342" t="s">
        <v>40436</v>
      </c>
      <c r="O13342" t="s">
        <v>40437</v>
      </c>
      <c r="Q13342">
        <v>19</v>
      </c>
      <c r="R13342" t="s">
        <v>40514</v>
      </c>
      <c r="S13342" t="s">
        <v>41830</v>
      </c>
      <c r="T13342" t="s">
        <v>42187</v>
      </c>
      <c r="U13342" t="s">
        <v>53515</v>
      </c>
      <c r="V13342" t="s">
        <v>55333</v>
      </c>
      <c r="W13342" t="s">
        <v>40389</v>
      </c>
      <c r="X13342" t="s">
        <v>40515</v>
      </c>
    </row>
    <row r="13343" spans="1:24">
      <c r="A13343">
        <f>HYPERLINK("https://www.philgeps.gov.ph/GEPSNONPILOT/Tender/SplashBidNoticeAbstractUI.aspx?menuIndex=3&amp;refID=6928788&amp;Result=3","6928788")</f>
        <v>0</v>
      </c>
      <c r="B13343" t="s">
        <v>3068</v>
      </c>
      <c r="C13343" t="s">
        <v>15872</v>
      </c>
      <c r="D13343" t="s">
        <v>16243</v>
      </c>
      <c r="E13343" t="s">
        <v>27902</v>
      </c>
      <c r="F13343" t="s">
        <v>28198</v>
      </c>
      <c r="G13343" t="s">
        <v>28205</v>
      </c>
      <c r="H13343" t="s">
        <v>28214</v>
      </c>
      <c r="I13343" t="s">
        <v>3797</v>
      </c>
      <c r="J13343" t="s">
        <v>36485</v>
      </c>
      <c r="K13343" t="s">
        <v>36689</v>
      </c>
      <c r="M13343" t="s">
        <v>40390</v>
      </c>
      <c r="N13343" t="s">
        <v>40436</v>
      </c>
      <c r="O13343" t="s">
        <v>40437</v>
      </c>
      <c r="Q13343">
        <v>0</v>
      </c>
      <c r="R13343" t="s">
        <v>40514</v>
      </c>
      <c r="S13343" t="s">
        <v>41353</v>
      </c>
      <c r="T13343" t="s">
        <v>42101</v>
      </c>
      <c r="U13343" t="s">
        <v>53504</v>
      </c>
      <c r="W13343" t="s">
        <v>40390</v>
      </c>
      <c r="X13343" t="s">
        <v>40515</v>
      </c>
    </row>
    <row r="13344" spans="1:24">
      <c r="A13344">
        <f>HYPERLINK("https://www.philgeps.gov.ph/GEPSNONPILOT/Tender/SplashBidNoticeAbstractUI.aspx?menuIndex=3&amp;refID=6923300&amp;Result=3","6923300")</f>
        <v>0</v>
      </c>
      <c r="B13344" t="s">
        <v>3059</v>
      </c>
      <c r="C13344" t="s">
        <v>15873</v>
      </c>
      <c r="D13344" t="s">
        <v>16210</v>
      </c>
      <c r="E13344" t="s">
        <v>27903</v>
      </c>
      <c r="F13344" t="s">
        <v>28200</v>
      </c>
      <c r="G13344" t="s">
        <v>28205</v>
      </c>
      <c r="H13344" t="s">
        <v>28215</v>
      </c>
      <c r="I13344" t="s">
        <v>5100</v>
      </c>
      <c r="J13344" t="s">
        <v>36486</v>
      </c>
      <c r="K13344" t="s">
        <v>36707</v>
      </c>
      <c r="M13344" t="s">
        <v>40374</v>
      </c>
      <c r="N13344" t="s">
        <v>40436</v>
      </c>
      <c r="O13344" t="s">
        <v>40437</v>
      </c>
      <c r="Q13344">
        <v>4</v>
      </c>
      <c r="R13344" t="s">
        <v>40515</v>
      </c>
      <c r="S13344" t="s">
        <v>40942</v>
      </c>
      <c r="T13344" t="s">
        <v>42133</v>
      </c>
      <c r="U13344" t="s">
        <v>53516</v>
      </c>
      <c r="W13344" t="s">
        <v>55551</v>
      </c>
      <c r="X13344" t="s">
        <v>40516</v>
      </c>
    </row>
    <row r="13345" spans="1:24">
      <c r="A13345">
        <f>HYPERLINK("https://www.philgeps.gov.ph/GEPSNONPILOT/Tender/SplashBidNoticeAbstractUI.aspx?menuIndex=3&amp;refID=6928512&amp;Result=3","6928512")</f>
        <v>0</v>
      </c>
      <c r="B13345" t="s">
        <v>3071</v>
      </c>
      <c r="C13345" t="s">
        <v>15874</v>
      </c>
      <c r="D13345" t="s">
        <v>16209</v>
      </c>
      <c r="E13345" t="s">
        <v>27904</v>
      </c>
      <c r="F13345" t="s">
        <v>28198</v>
      </c>
      <c r="G13345" t="s">
        <v>28205</v>
      </c>
      <c r="H13345" t="s">
        <v>28214</v>
      </c>
      <c r="I13345" t="s">
        <v>3797</v>
      </c>
      <c r="J13345" t="s">
        <v>36487</v>
      </c>
      <c r="K13345" t="s">
        <v>36690</v>
      </c>
      <c r="M13345" t="s">
        <v>40396</v>
      </c>
      <c r="N13345" t="s">
        <v>40436</v>
      </c>
      <c r="O13345" t="s">
        <v>40437</v>
      </c>
      <c r="Q13345">
        <v>21</v>
      </c>
      <c r="R13345" t="s">
        <v>40514</v>
      </c>
      <c r="S13345" t="s">
        <v>41831</v>
      </c>
      <c r="T13345" t="s">
        <v>42205</v>
      </c>
      <c r="U13345" t="s">
        <v>53517</v>
      </c>
      <c r="W13345" t="s">
        <v>40396</v>
      </c>
      <c r="X13345" t="s">
        <v>40515</v>
      </c>
    </row>
    <row r="13346" spans="1:24">
      <c r="A13346">
        <f>HYPERLINK("https://www.philgeps.gov.ph/GEPSNONPILOT/Tender/SplashBidNoticeAbstractUI.aspx?menuIndex=3&amp;refID=6928316&amp;Result=3","6928316")</f>
        <v>0</v>
      </c>
      <c r="B13346" t="s">
        <v>3067</v>
      </c>
      <c r="C13346" t="s">
        <v>15875</v>
      </c>
      <c r="D13346" t="s">
        <v>16224</v>
      </c>
      <c r="E13346" t="s">
        <v>27905</v>
      </c>
      <c r="F13346" t="s">
        <v>28198</v>
      </c>
      <c r="G13346" t="s">
        <v>28205</v>
      </c>
      <c r="H13346" t="s">
        <v>28215</v>
      </c>
      <c r="I13346" t="s">
        <v>28290</v>
      </c>
      <c r="J13346" t="s">
        <v>28347</v>
      </c>
      <c r="K13346" t="s">
        <v>36697</v>
      </c>
      <c r="M13346" t="s">
        <v>40389</v>
      </c>
      <c r="N13346" t="s">
        <v>40436</v>
      </c>
      <c r="O13346" t="s">
        <v>40437</v>
      </c>
      <c r="Q13346">
        <v>22</v>
      </c>
      <c r="R13346" t="s">
        <v>40514</v>
      </c>
      <c r="S13346" t="s">
        <v>41832</v>
      </c>
      <c r="T13346" t="s">
        <v>42187</v>
      </c>
      <c r="U13346" t="s">
        <v>53518</v>
      </c>
      <c r="V13346" t="s">
        <v>55333</v>
      </c>
      <c r="W13346" t="s">
        <v>40389</v>
      </c>
      <c r="X13346" t="s">
        <v>40515</v>
      </c>
    </row>
    <row r="13347" spans="1:24">
      <c r="A13347">
        <f>HYPERLINK("https://www.philgeps.gov.ph/GEPSNONPILOT/Tender/SplashBidNoticeAbstractUI.aspx?menuIndex=3&amp;refID=6932278&amp;Result=3","6932278")</f>
        <v>0</v>
      </c>
      <c r="B13347" t="s">
        <v>2733</v>
      </c>
      <c r="C13347" t="s">
        <v>15876</v>
      </c>
      <c r="D13347" t="s">
        <v>16187</v>
      </c>
      <c r="E13347" t="s">
        <v>27906</v>
      </c>
      <c r="F13347" t="s">
        <v>28198</v>
      </c>
      <c r="G13347" t="s">
        <v>28205</v>
      </c>
      <c r="H13347" t="s">
        <v>28214</v>
      </c>
      <c r="I13347" t="s">
        <v>3797</v>
      </c>
      <c r="J13347" t="s">
        <v>31235</v>
      </c>
      <c r="K13347" t="s">
        <v>36944</v>
      </c>
      <c r="M13347" t="s">
        <v>39979</v>
      </c>
      <c r="N13347" t="s">
        <v>40436</v>
      </c>
      <c r="O13347" t="s">
        <v>40437</v>
      </c>
      <c r="Q13347">
        <v>15</v>
      </c>
      <c r="R13347" t="s">
        <v>40512</v>
      </c>
      <c r="S13347" t="s">
        <v>41833</v>
      </c>
      <c r="T13347" t="s">
        <v>42134</v>
      </c>
      <c r="U13347" t="s">
        <v>53031</v>
      </c>
      <c r="W13347" t="s">
        <v>39979</v>
      </c>
      <c r="X13347" t="s">
        <v>40514</v>
      </c>
    </row>
    <row r="13348" spans="1:24">
      <c r="A13348">
        <f>HYPERLINK("https://www.philgeps.gov.ph/GEPSNONPILOT/Tender/SplashBidNoticeAbstractUI.aspx?menuIndex=3&amp;refID=6928307&amp;Result=3","6928307")</f>
        <v>0</v>
      </c>
      <c r="B13348" t="s">
        <v>1112</v>
      </c>
      <c r="C13348" t="s">
        <v>15877</v>
      </c>
      <c r="D13348" t="s">
        <v>16191</v>
      </c>
      <c r="E13348" t="s">
        <v>27907</v>
      </c>
      <c r="F13348" t="s">
        <v>28198</v>
      </c>
      <c r="G13348" t="s">
        <v>28206</v>
      </c>
      <c r="H13348" t="s">
        <v>28215</v>
      </c>
      <c r="I13348" t="s">
        <v>5082</v>
      </c>
      <c r="J13348" t="s">
        <v>36488</v>
      </c>
      <c r="K13348" t="s">
        <v>36707</v>
      </c>
      <c r="M13348" t="s">
        <v>38149</v>
      </c>
      <c r="N13348" t="s">
        <v>40436</v>
      </c>
      <c r="O13348" t="s">
        <v>40437</v>
      </c>
      <c r="Q13348">
        <v>7</v>
      </c>
      <c r="R13348" t="s">
        <v>40514</v>
      </c>
      <c r="S13348" t="s">
        <v>41834</v>
      </c>
      <c r="T13348" t="s">
        <v>42115</v>
      </c>
      <c r="U13348" t="s">
        <v>53519</v>
      </c>
      <c r="V13348" t="s">
        <v>54089</v>
      </c>
      <c r="W13348" t="s">
        <v>38149</v>
      </c>
      <c r="X13348" t="s">
        <v>40515</v>
      </c>
    </row>
    <row r="13349" spans="1:24">
      <c r="A13349">
        <f>HYPERLINK("https://www.philgeps.gov.ph/GEPSNONPILOT/Tender/SplashBidNoticeAbstractUI.aspx?menuIndex=3&amp;refID=6932288&amp;Result=3","6932288")</f>
        <v>0</v>
      </c>
      <c r="B13349" t="s">
        <v>664</v>
      </c>
      <c r="C13349" t="s">
        <v>15878</v>
      </c>
      <c r="D13349" t="s">
        <v>16260</v>
      </c>
      <c r="E13349" t="s">
        <v>27908</v>
      </c>
      <c r="F13349" t="s">
        <v>28198</v>
      </c>
      <c r="G13349" t="s">
        <v>28205</v>
      </c>
      <c r="H13349" t="s">
        <v>28215</v>
      </c>
      <c r="I13349" t="s">
        <v>28248</v>
      </c>
      <c r="J13349" t="s">
        <v>36489</v>
      </c>
      <c r="K13349" t="s">
        <v>36701</v>
      </c>
      <c r="M13349" t="s">
        <v>38851</v>
      </c>
      <c r="N13349" t="s">
        <v>40436</v>
      </c>
      <c r="O13349" t="s">
        <v>40437</v>
      </c>
      <c r="Q13349">
        <v>7</v>
      </c>
      <c r="R13349" t="s">
        <v>40512</v>
      </c>
      <c r="S13349" t="s">
        <v>41835</v>
      </c>
      <c r="T13349" t="s">
        <v>42190</v>
      </c>
      <c r="U13349" t="s">
        <v>53520</v>
      </c>
      <c r="W13349" t="s">
        <v>38851</v>
      </c>
      <c r="X13349" t="s">
        <v>40514</v>
      </c>
    </row>
    <row r="13350" spans="1:24">
      <c r="A13350">
        <f>HYPERLINK("https://www.philgeps.gov.ph/GEPSNONPILOT/Tender/SplashBidNoticeAbstractUI.aspx?menuIndex=3&amp;refID=6917955&amp;Result=3","6917955")</f>
        <v>0</v>
      </c>
      <c r="B13350" t="s">
        <v>1239</v>
      </c>
      <c r="C13350" t="s">
        <v>15879</v>
      </c>
      <c r="D13350" t="s">
        <v>16210</v>
      </c>
      <c r="E13350" t="s">
        <v>27909</v>
      </c>
      <c r="F13350" t="s">
        <v>28198</v>
      </c>
      <c r="G13350" t="s">
        <v>28205</v>
      </c>
      <c r="H13350" t="s">
        <v>28215</v>
      </c>
      <c r="I13350" t="s">
        <v>28241</v>
      </c>
      <c r="J13350" t="s">
        <v>30496</v>
      </c>
      <c r="K13350" t="s">
        <v>36756</v>
      </c>
      <c r="M13350" t="s">
        <v>40397</v>
      </c>
      <c r="N13350" t="s">
        <v>40436</v>
      </c>
      <c r="O13350" t="s">
        <v>40437</v>
      </c>
      <c r="Q13350">
        <v>6</v>
      </c>
      <c r="R13350" t="s">
        <v>40516</v>
      </c>
      <c r="S13350" t="s">
        <v>41507</v>
      </c>
      <c r="T13350" t="s">
        <v>42345</v>
      </c>
      <c r="U13350" t="s">
        <v>53521</v>
      </c>
      <c r="W13350" t="s">
        <v>40397</v>
      </c>
      <c r="X13350" t="s">
        <v>40519</v>
      </c>
    </row>
    <row r="13351" spans="1:24">
      <c r="A13351">
        <f>HYPERLINK("https://www.philgeps.gov.ph/GEPSNONPILOT/Tender/SplashBidNoticeAbstractUI.aspx?menuIndex=3&amp;refID=6948398&amp;Result=3","6948398")</f>
        <v>0</v>
      </c>
      <c r="B13351" t="s">
        <v>1282</v>
      </c>
      <c r="C13351" t="s">
        <v>15880</v>
      </c>
      <c r="D13351" t="s">
        <v>16214</v>
      </c>
      <c r="E13351" t="s">
        <v>27910</v>
      </c>
      <c r="F13351" t="s">
        <v>28198</v>
      </c>
      <c r="G13351" t="s">
        <v>28205</v>
      </c>
      <c r="H13351" t="s">
        <v>28214</v>
      </c>
      <c r="I13351" t="s">
        <v>3797</v>
      </c>
      <c r="J13351" t="s">
        <v>29595</v>
      </c>
      <c r="K13351" t="s">
        <v>36737</v>
      </c>
      <c r="M13351" t="s">
        <v>38334</v>
      </c>
      <c r="N13351" t="s">
        <v>40436</v>
      </c>
      <c r="O13351" t="s">
        <v>40437</v>
      </c>
      <c r="Q13351">
        <v>2</v>
      </c>
      <c r="R13351" t="s">
        <v>40502</v>
      </c>
      <c r="S13351" t="s">
        <v>41836</v>
      </c>
      <c r="T13351" t="s">
        <v>42133</v>
      </c>
      <c r="U13351" t="s">
        <v>45679</v>
      </c>
      <c r="V13351" t="s">
        <v>55340</v>
      </c>
      <c r="W13351" t="s">
        <v>38334</v>
      </c>
      <c r="X13351" t="s">
        <v>40506</v>
      </c>
    </row>
    <row r="13352" spans="1:24">
      <c r="A13352">
        <f>HYPERLINK("https://www.philgeps.gov.ph/GEPSNONPILOT/Tender/SplashBidNoticeAbstractUI.aspx?menuIndex=3&amp;refID=6916005&amp;Result=3","6916005")</f>
        <v>0</v>
      </c>
      <c r="B13352" t="s">
        <v>1471</v>
      </c>
      <c r="C13352" t="s">
        <v>15881</v>
      </c>
      <c r="E13352" t="s">
        <v>27911</v>
      </c>
      <c r="F13352" t="s">
        <v>28198</v>
      </c>
      <c r="G13352" t="s">
        <v>28205</v>
      </c>
      <c r="H13352" t="s">
        <v>28214</v>
      </c>
      <c r="I13352" t="s">
        <v>3797</v>
      </c>
      <c r="J13352" t="s">
        <v>36490</v>
      </c>
      <c r="K13352" t="s">
        <v>36689</v>
      </c>
      <c r="M13352" t="s">
        <v>38542</v>
      </c>
      <c r="N13352" t="s">
        <v>40436</v>
      </c>
      <c r="O13352" t="s">
        <v>40437</v>
      </c>
      <c r="Q13352">
        <v>6</v>
      </c>
      <c r="R13352" t="s">
        <v>40517</v>
      </c>
      <c r="S13352" t="s">
        <v>41837</v>
      </c>
      <c r="T13352" t="s">
        <v>42165</v>
      </c>
      <c r="U13352" t="s">
        <v>53522</v>
      </c>
      <c r="V13352" t="s">
        <v>55341</v>
      </c>
      <c r="W13352" t="s">
        <v>38542</v>
      </c>
      <c r="X13352" t="s">
        <v>40520</v>
      </c>
    </row>
    <row r="13353" spans="1:24">
      <c r="A13353">
        <f>HYPERLINK("https://www.philgeps.gov.ph/GEPSNONPILOT/Tender/SplashBidNoticeAbstractUI.aspx?menuIndex=3&amp;refID=6915688&amp;Result=3","6915688")</f>
        <v>0</v>
      </c>
      <c r="B13353" t="s">
        <v>595</v>
      </c>
      <c r="C13353" t="s">
        <v>15882</v>
      </c>
      <c r="D13353" t="s">
        <v>16195</v>
      </c>
      <c r="E13353" t="s">
        <v>27912</v>
      </c>
      <c r="F13353" t="s">
        <v>28198</v>
      </c>
      <c r="G13353" t="s">
        <v>28207</v>
      </c>
      <c r="H13353" t="s">
        <v>28214</v>
      </c>
      <c r="I13353" t="s">
        <v>3797</v>
      </c>
      <c r="J13353" t="s">
        <v>28406</v>
      </c>
      <c r="K13353" t="s">
        <v>36711</v>
      </c>
      <c r="M13353" t="s">
        <v>37584</v>
      </c>
      <c r="N13353" t="s">
        <v>40436</v>
      </c>
      <c r="O13353" t="s">
        <v>40437</v>
      </c>
      <c r="Q13353">
        <v>0</v>
      </c>
      <c r="R13353" t="s">
        <v>40516</v>
      </c>
      <c r="S13353" t="s">
        <v>41838</v>
      </c>
      <c r="T13353" t="s">
        <v>42350</v>
      </c>
      <c r="U13353" t="s">
        <v>53523</v>
      </c>
      <c r="W13353" t="s">
        <v>37584</v>
      </c>
      <c r="X13353" t="s">
        <v>40520</v>
      </c>
    </row>
    <row r="13354" spans="1:24">
      <c r="A13354">
        <f>HYPERLINK("https://www.philgeps.gov.ph/GEPSNONPILOT/Tender/SplashBidNoticeAbstractUI.aspx?menuIndex=3&amp;refID=6928814&amp;Result=3","6928814")</f>
        <v>0</v>
      </c>
      <c r="B13354" t="s">
        <v>3068</v>
      </c>
      <c r="C13354" t="s">
        <v>15883</v>
      </c>
      <c r="D13354" t="s">
        <v>16243</v>
      </c>
      <c r="E13354" t="s">
        <v>27898</v>
      </c>
      <c r="F13354" t="s">
        <v>28198</v>
      </c>
      <c r="G13354" t="s">
        <v>28205</v>
      </c>
      <c r="H13354" t="s">
        <v>28214</v>
      </c>
      <c r="I13354" t="s">
        <v>3797</v>
      </c>
      <c r="J13354" t="s">
        <v>36491</v>
      </c>
      <c r="K13354" t="s">
        <v>36689</v>
      </c>
      <c r="M13354" t="s">
        <v>40390</v>
      </c>
      <c r="N13354" t="s">
        <v>40436</v>
      </c>
      <c r="O13354" t="s">
        <v>40437</v>
      </c>
      <c r="Q13354">
        <v>1</v>
      </c>
      <c r="R13354" t="s">
        <v>40514</v>
      </c>
      <c r="S13354" t="s">
        <v>41532</v>
      </c>
      <c r="T13354" t="s">
        <v>42101</v>
      </c>
      <c r="U13354" t="s">
        <v>53504</v>
      </c>
      <c r="W13354" t="s">
        <v>40390</v>
      </c>
      <c r="X13354" t="s">
        <v>40515</v>
      </c>
    </row>
    <row r="13355" spans="1:24">
      <c r="A13355">
        <f>HYPERLINK("https://www.philgeps.gov.ph/GEPSNONPILOT/Tender/SplashBidNoticeAbstractUI.aspx?menuIndex=3&amp;refID=6920668&amp;Result=3","6920668")</f>
        <v>0</v>
      </c>
      <c r="B13355" t="s">
        <v>2757</v>
      </c>
      <c r="C13355" t="s">
        <v>15884</v>
      </c>
      <c r="E13355" t="s">
        <v>27913</v>
      </c>
      <c r="F13355" t="s">
        <v>28198</v>
      </c>
      <c r="G13355" t="s">
        <v>28205</v>
      </c>
      <c r="H13355" t="s">
        <v>28215</v>
      </c>
      <c r="I13355" t="s">
        <v>28256</v>
      </c>
      <c r="J13355" t="s">
        <v>34410</v>
      </c>
      <c r="K13355" t="s">
        <v>36689</v>
      </c>
      <c r="M13355" t="s">
        <v>40398</v>
      </c>
      <c r="N13355" t="s">
        <v>40436</v>
      </c>
      <c r="O13355" t="s">
        <v>40437</v>
      </c>
      <c r="Q13355">
        <v>36</v>
      </c>
      <c r="R13355" t="s">
        <v>40516</v>
      </c>
      <c r="S13355" t="s">
        <v>41839</v>
      </c>
      <c r="T13355" t="s">
        <v>42102</v>
      </c>
      <c r="U13355" t="s">
        <v>53524</v>
      </c>
      <c r="W13355" t="s">
        <v>40398</v>
      </c>
      <c r="X13355" t="s">
        <v>40517</v>
      </c>
    </row>
    <row r="13356" spans="1:24">
      <c r="A13356">
        <f>HYPERLINK("https://www.philgeps.gov.ph/GEPSNONPILOT/Tender/SplashBidNoticeAbstractUI.aspx?menuIndex=3&amp;refID=6916431&amp;Result=3","6916431")</f>
        <v>0</v>
      </c>
      <c r="B13356" t="s">
        <v>2484</v>
      </c>
      <c r="C13356" t="s">
        <v>15885</v>
      </c>
      <c r="D13356" t="s">
        <v>16209</v>
      </c>
      <c r="E13356" t="s">
        <v>27914</v>
      </c>
      <c r="F13356" t="s">
        <v>28198</v>
      </c>
      <c r="G13356" t="s">
        <v>28207</v>
      </c>
      <c r="H13356" t="s">
        <v>28215</v>
      </c>
      <c r="I13356" t="s">
        <v>28274</v>
      </c>
      <c r="J13356" t="s">
        <v>30129</v>
      </c>
      <c r="K13356" t="s">
        <v>36707</v>
      </c>
      <c r="M13356" t="s">
        <v>39683</v>
      </c>
      <c r="N13356" t="s">
        <v>40436</v>
      </c>
      <c r="O13356" t="s">
        <v>40437</v>
      </c>
      <c r="Q13356">
        <v>2</v>
      </c>
      <c r="R13356" t="s">
        <v>40517</v>
      </c>
      <c r="S13356" t="s">
        <v>41840</v>
      </c>
      <c r="T13356" t="s">
        <v>42133</v>
      </c>
      <c r="U13356" t="s">
        <v>53525</v>
      </c>
      <c r="V13356" t="s">
        <v>55342</v>
      </c>
      <c r="W13356" t="s">
        <v>39683</v>
      </c>
      <c r="X13356" t="s">
        <v>40520</v>
      </c>
    </row>
    <row r="13357" spans="1:24">
      <c r="A13357">
        <f>HYPERLINK("https://www.philgeps.gov.ph/GEPSNONPILOT/Tender/SplashBidNoticeAbstractUI.aspx?menuIndex=3&amp;refID=6923398&amp;Result=3","6923398")</f>
        <v>0</v>
      </c>
      <c r="B13357" t="s">
        <v>1908</v>
      </c>
      <c r="C13357" t="s">
        <v>15886</v>
      </c>
      <c r="D13357" t="s">
        <v>16199</v>
      </c>
      <c r="E13357" t="s">
        <v>27915</v>
      </c>
      <c r="F13357" t="s">
        <v>28198</v>
      </c>
      <c r="G13357" t="s">
        <v>28205</v>
      </c>
      <c r="H13357" t="s">
        <v>28214</v>
      </c>
      <c r="I13357" t="s">
        <v>3797</v>
      </c>
      <c r="J13357" t="s">
        <v>36492</v>
      </c>
      <c r="K13357" t="s">
        <v>36689</v>
      </c>
      <c r="M13357" t="s">
        <v>39040</v>
      </c>
      <c r="N13357" t="s">
        <v>40436</v>
      </c>
      <c r="O13357" t="s">
        <v>40437</v>
      </c>
      <c r="Q13357">
        <v>2</v>
      </c>
      <c r="R13357" t="s">
        <v>40515</v>
      </c>
      <c r="S13357" t="s">
        <v>41841</v>
      </c>
      <c r="T13357" t="s">
        <v>42422</v>
      </c>
      <c r="U13357" t="s">
        <v>53526</v>
      </c>
      <c r="V13357" t="s">
        <v>55343</v>
      </c>
      <c r="W13357" t="s">
        <v>39040</v>
      </c>
      <c r="X13357" t="s">
        <v>40516</v>
      </c>
    </row>
    <row r="13358" spans="1:24">
      <c r="A13358">
        <f>HYPERLINK("https://www.philgeps.gov.ph/GEPSNONPILOT/Tender/SplashBidNoticeAbstractUI.aspx?menuIndex=3&amp;refID=6913887&amp;Result=3","6913887")</f>
        <v>0</v>
      </c>
      <c r="B13358" t="s">
        <v>34</v>
      </c>
      <c r="C13358" t="s">
        <v>15887</v>
      </c>
      <c r="D13358" t="s">
        <v>16195</v>
      </c>
      <c r="E13358" t="s">
        <v>27916</v>
      </c>
      <c r="F13358" t="s">
        <v>28198</v>
      </c>
      <c r="G13358" t="s">
        <v>28205</v>
      </c>
      <c r="H13358" t="s">
        <v>28215</v>
      </c>
      <c r="I13358" t="s">
        <v>8888</v>
      </c>
      <c r="J13358" t="s">
        <v>36483</v>
      </c>
      <c r="K13358" t="s">
        <v>36696</v>
      </c>
      <c r="M13358" t="s">
        <v>38786</v>
      </c>
      <c r="N13358" t="s">
        <v>40436</v>
      </c>
      <c r="O13358" t="s">
        <v>40437</v>
      </c>
      <c r="Q13358">
        <v>6</v>
      </c>
      <c r="R13358" t="s">
        <v>40516</v>
      </c>
      <c r="S13358" t="s">
        <v>41842</v>
      </c>
      <c r="T13358" t="s">
        <v>42102</v>
      </c>
      <c r="U13358" t="s">
        <v>53527</v>
      </c>
      <c r="V13358" t="s">
        <v>54624</v>
      </c>
      <c r="W13358" t="s">
        <v>38786</v>
      </c>
      <c r="X13358" t="s">
        <v>40520</v>
      </c>
    </row>
    <row r="13359" spans="1:24">
      <c r="A13359">
        <f>HYPERLINK("https://www.philgeps.gov.ph/GEPSNONPILOT/Tender/SplashBidNoticeAbstractUI.aspx?menuIndex=3&amp;refID=6924529&amp;Result=3","6924529")</f>
        <v>0</v>
      </c>
      <c r="B13359" t="s">
        <v>940</v>
      </c>
      <c r="C13359" t="s">
        <v>15888</v>
      </c>
      <c r="D13359" t="s">
        <v>16256</v>
      </c>
      <c r="E13359" t="s">
        <v>27917</v>
      </c>
      <c r="F13359" t="s">
        <v>28198</v>
      </c>
      <c r="G13359" t="s">
        <v>28209</v>
      </c>
      <c r="H13359" t="s">
        <v>28215</v>
      </c>
      <c r="I13359" t="s">
        <v>28280</v>
      </c>
      <c r="J13359" t="s">
        <v>36493</v>
      </c>
      <c r="K13359" t="s">
        <v>36690</v>
      </c>
      <c r="M13359" t="s">
        <v>37963</v>
      </c>
      <c r="N13359" t="s">
        <v>40436</v>
      </c>
      <c r="O13359" t="s">
        <v>40437</v>
      </c>
      <c r="Q13359">
        <v>7</v>
      </c>
      <c r="R13359" t="s">
        <v>40515</v>
      </c>
      <c r="S13359" t="s">
        <v>41843</v>
      </c>
      <c r="T13359" t="s">
        <v>42459</v>
      </c>
      <c r="U13359" t="s">
        <v>53528</v>
      </c>
      <c r="V13359" t="s">
        <v>55344</v>
      </c>
      <c r="W13359" t="s">
        <v>37963</v>
      </c>
      <c r="X13359" t="s">
        <v>40516</v>
      </c>
    </row>
    <row r="13360" spans="1:24">
      <c r="A13360">
        <f>HYPERLINK("https://www.philgeps.gov.ph/GEPSNONPILOT/Tender/SplashBidNoticeAbstractUI.aspx?menuIndex=3&amp;refID=6919995&amp;Result=3","6919995")</f>
        <v>0</v>
      </c>
      <c r="B13360" t="s">
        <v>1370</v>
      </c>
      <c r="C13360" t="s">
        <v>15889</v>
      </c>
      <c r="D13360" t="s">
        <v>16213</v>
      </c>
      <c r="E13360" t="s">
        <v>27918</v>
      </c>
      <c r="F13360" t="s">
        <v>28198</v>
      </c>
      <c r="G13360" t="s">
        <v>28205</v>
      </c>
      <c r="H13360" t="s">
        <v>28214</v>
      </c>
      <c r="I13360" t="s">
        <v>3797</v>
      </c>
      <c r="J13360" t="s">
        <v>29683</v>
      </c>
      <c r="K13360" t="s">
        <v>36697</v>
      </c>
      <c r="M13360" t="s">
        <v>38432</v>
      </c>
      <c r="N13360" t="s">
        <v>40436</v>
      </c>
      <c r="O13360" t="s">
        <v>40437</v>
      </c>
      <c r="Q13360">
        <v>0</v>
      </c>
      <c r="R13360" t="s">
        <v>40516</v>
      </c>
      <c r="S13360" t="s">
        <v>41844</v>
      </c>
      <c r="T13360" t="s">
        <v>42296</v>
      </c>
      <c r="U13360" t="s">
        <v>53529</v>
      </c>
      <c r="W13360" t="s">
        <v>38432</v>
      </c>
      <c r="X13360" t="s">
        <v>40519</v>
      </c>
    </row>
    <row r="13361" spans="1:24">
      <c r="A13361">
        <f>HYPERLINK("https://www.philgeps.gov.ph/GEPSNONPILOT/Tender/SplashBidNoticeAbstractUI.aspx?menuIndex=3&amp;refID=6923428&amp;Result=3","6923428")</f>
        <v>0</v>
      </c>
      <c r="B13361" t="s">
        <v>3059</v>
      </c>
      <c r="C13361" t="s">
        <v>15890</v>
      </c>
      <c r="D13361" t="s">
        <v>16210</v>
      </c>
      <c r="E13361" t="s">
        <v>27919</v>
      </c>
      <c r="F13361" t="s">
        <v>28198</v>
      </c>
      <c r="G13361" t="s">
        <v>28205</v>
      </c>
      <c r="H13361" t="s">
        <v>28214</v>
      </c>
      <c r="I13361" t="s">
        <v>3797</v>
      </c>
      <c r="J13361" t="s">
        <v>36494</v>
      </c>
      <c r="K13361" t="s">
        <v>36710</v>
      </c>
      <c r="M13361" t="s">
        <v>40374</v>
      </c>
      <c r="N13361" t="s">
        <v>40436</v>
      </c>
      <c r="O13361" t="s">
        <v>40437</v>
      </c>
      <c r="Q13361">
        <v>20</v>
      </c>
      <c r="R13361" t="s">
        <v>40515</v>
      </c>
      <c r="S13361" t="s">
        <v>41845</v>
      </c>
      <c r="T13361" t="s">
        <v>42177</v>
      </c>
      <c r="U13361" t="s">
        <v>53530</v>
      </c>
      <c r="W13361" t="s">
        <v>55551</v>
      </c>
      <c r="X13361" t="s">
        <v>40516</v>
      </c>
    </row>
    <row r="13362" spans="1:24">
      <c r="A13362">
        <f>HYPERLINK("https://www.philgeps.gov.ph/GEPSNONPILOT/Tender/SplashBidNoticeAbstractUI.aspx?menuIndex=3&amp;refID=6924891&amp;Result=3","6924891")</f>
        <v>0</v>
      </c>
      <c r="B13362" t="s">
        <v>3069</v>
      </c>
      <c r="C13362" t="s">
        <v>15891</v>
      </c>
      <c r="D13362" t="s">
        <v>16210</v>
      </c>
      <c r="E13362" t="s">
        <v>27920</v>
      </c>
      <c r="F13362" t="s">
        <v>28198</v>
      </c>
      <c r="G13362" t="s">
        <v>28205</v>
      </c>
      <c r="H13362" t="s">
        <v>28215</v>
      </c>
      <c r="I13362" t="s">
        <v>28256</v>
      </c>
      <c r="J13362" t="s">
        <v>28398</v>
      </c>
      <c r="K13362" t="s">
        <v>36689</v>
      </c>
      <c r="M13362" t="s">
        <v>40399</v>
      </c>
      <c r="N13362" t="s">
        <v>40436</v>
      </c>
      <c r="O13362" t="s">
        <v>40437</v>
      </c>
      <c r="Q13362">
        <v>3</v>
      </c>
      <c r="R13362" t="s">
        <v>40515</v>
      </c>
      <c r="S13362" t="s">
        <v>41824</v>
      </c>
      <c r="T13362" t="s">
        <v>42103</v>
      </c>
      <c r="U13362" t="s">
        <v>53531</v>
      </c>
      <c r="V13362" t="s">
        <v>55345</v>
      </c>
      <c r="W13362" t="s">
        <v>40399</v>
      </c>
      <c r="X13362" t="s">
        <v>40516</v>
      </c>
    </row>
    <row r="13363" spans="1:24">
      <c r="A13363">
        <f>HYPERLINK("https://www.philgeps.gov.ph/GEPSNONPILOT/Tender/SplashBidNoticeAbstractUI.aspx?menuIndex=3&amp;refID=6924439&amp;Result=3","6924439")</f>
        <v>0</v>
      </c>
      <c r="B13363" t="s">
        <v>3072</v>
      </c>
      <c r="C13363" t="s">
        <v>15892</v>
      </c>
      <c r="D13363" t="s">
        <v>16204</v>
      </c>
      <c r="E13363" t="s">
        <v>27921</v>
      </c>
      <c r="F13363" t="s">
        <v>28198</v>
      </c>
      <c r="G13363" t="s">
        <v>28205</v>
      </c>
      <c r="H13363" t="s">
        <v>28214</v>
      </c>
      <c r="I13363" t="s">
        <v>3797</v>
      </c>
      <c r="J13363" t="s">
        <v>36495</v>
      </c>
      <c r="K13363" t="s">
        <v>36987</v>
      </c>
      <c r="M13363" t="s">
        <v>40400</v>
      </c>
      <c r="N13363" t="s">
        <v>40436</v>
      </c>
      <c r="O13363" t="s">
        <v>40437</v>
      </c>
      <c r="Q13363">
        <v>38</v>
      </c>
      <c r="R13363" t="s">
        <v>40515</v>
      </c>
      <c r="S13363" t="s">
        <v>41846</v>
      </c>
      <c r="T13363" t="s">
        <v>42219</v>
      </c>
      <c r="U13363" t="s">
        <v>53532</v>
      </c>
      <c r="V13363" t="s">
        <v>54469</v>
      </c>
      <c r="W13363" t="s">
        <v>40400</v>
      </c>
      <c r="X13363" t="s">
        <v>40516</v>
      </c>
    </row>
    <row r="13364" spans="1:24">
      <c r="A13364">
        <f>HYPERLINK("https://www.philgeps.gov.ph/GEPSNONPILOT/Tender/SplashBidNoticeAbstractUI.aspx?menuIndex=3&amp;refID=6924513&amp;Result=3","6924513")</f>
        <v>0</v>
      </c>
      <c r="B13364" t="s">
        <v>940</v>
      </c>
      <c r="C13364" t="s">
        <v>15893</v>
      </c>
      <c r="D13364" t="s">
        <v>16210</v>
      </c>
      <c r="E13364" t="s">
        <v>27922</v>
      </c>
      <c r="F13364" t="s">
        <v>28198</v>
      </c>
      <c r="G13364" t="s">
        <v>28205</v>
      </c>
      <c r="H13364" t="s">
        <v>28215</v>
      </c>
      <c r="I13364" t="s">
        <v>28234</v>
      </c>
      <c r="J13364" t="s">
        <v>28371</v>
      </c>
      <c r="K13364" t="s">
        <v>36701</v>
      </c>
      <c r="M13364" t="s">
        <v>37963</v>
      </c>
      <c r="N13364" t="s">
        <v>40436</v>
      </c>
      <c r="O13364" t="s">
        <v>40437</v>
      </c>
      <c r="Q13364">
        <v>7</v>
      </c>
      <c r="R13364" t="s">
        <v>40515</v>
      </c>
      <c r="S13364" t="s">
        <v>41847</v>
      </c>
      <c r="T13364" t="s">
        <v>42212</v>
      </c>
      <c r="U13364" t="s">
        <v>53533</v>
      </c>
      <c r="V13364" t="s">
        <v>55346</v>
      </c>
      <c r="W13364" t="s">
        <v>37963</v>
      </c>
      <c r="X13364" t="s">
        <v>40516</v>
      </c>
    </row>
    <row r="13365" spans="1:24">
      <c r="A13365">
        <f>HYPERLINK("https://www.philgeps.gov.ph/GEPSNONPILOT/Tender/SplashBidNoticeAbstractUI.aspx?menuIndex=3&amp;refID=6952784&amp;Result=3","6952784")</f>
        <v>0</v>
      </c>
      <c r="B13365" t="s">
        <v>3016</v>
      </c>
      <c r="C13365" t="s">
        <v>15894</v>
      </c>
      <c r="D13365" t="s">
        <v>16260</v>
      </c>
      <c r="E13365" t="s">
        <v>27923</v>
      </c>
      <c r="F13365" t="s">
        <v>28198</v>
      </c>
      <c r="G13365" t="s">
        <v>28205</v>
      </c>
      <c r="H13365" t="s">
        <v>28215</v>
      </c>
      <c r="I13365" t="s">
        <v>28222</v>
      </c>
      <c r="J13365" t="s">
        <v>36496</v>
      </c>
      <c r="K13365" t="s">
        <v>36701</v>
      </c>
      <c r="M13365" t="s">
        <v>40315</v>
      </c>
      <c r="N13365" t="s">
        <v>40436</v>
      </c>
      <c r="O13365" t="s">
        <v>40437</v>
      </c>
      <c r="Q13365">
        <v>6</v>
      </c>
      <c r="R13365" t="s">
        <v>40518</v>
      </c>
      <c r="S13365" t="s">
        <v>41848</v>
      </c>
      <c r="T13365" t="s">
        <v>42611</v>
      </c>
      <c r="U13365" t="s">
        <v>53534</v>
      </c>
      <c r="V13365" t="s">
        <v>55347</v>
      </c>
      <c r="W13365" t="s">
        <v>40315</v>
      </c>
      <c r="X13365" t="s">
        <v>40513</v>
      </c>
    </row>
    <row r="13366" spans="1:24">
      <c r="A13366">
        <f>HYPERLINK("https://www.philgeps.gov.ph/GEPSNONPILOT/Tender/SplashBidNoticeAbstractUI.aspx?menuIndex=3&amp;refID=6923653&amp;Result=3","6923653")</f>
        <v>0</v>
      </c>
      <c r="B13366" t="s">
        <v>919</v>
      </c>
      <c r="C13366" t="s">
        <v>15895</v>
      </c>
      <c r="D13366" t="s">
        <v>16200</v>
      </c>
      <c r="E13366" t="s">
        <v>27924</v>
      </c>
      <c r="F13366" t="s">
        <v>28198</v>
      </c>
      <c r="G13366" t="s">
        <v>28205</v>
      </c>
      <c r="H13366" t="s">
        <v>28215</v>
      </c>
      <c r="I13366" t="s">
        <v>28234</v>
      </c>
      <c r="J13366" t="s">
        <v>28347</v>
      </c>
      <c r="K13366" t="s">
        <v>36701</v>
      </c>
      <c r="M13366" t="s">
        <v>37938</v>
      </c>
      <c r="N13366" t="s">
        <v>40436</v>
      </c>
      <c r="O13366" t="s">
        <v>40437</v>
      </c>
      <c r="Q13366">
        <v>8</v>
      </c>
      <c r="R13366" t="s">
        <v>40515</v>
      </c>
      <c r="S13366" t="s">
        <v>41849</v>
      </c>
      <c r="T13366" t="s">
        <v>42612</v>
      </c>
      <c r="U13366" t="s">
        <v>53535</v>
      </c>
      <c r="W13366" t="s">
        <v>37938</v>
      </c>
      <c r="X13366" t="s">
        <v>40516</v>
      </c>
    </row>
    <row r="13367" spans="1:24">
      <c r="A13367">
        <f>HYPERLINK("https://www.philgeps.gov.ph/GEPSNONPILOT/Tender/SplashBidNoticeAbstractUI.aspx?menuIndex=3&amp;refID=6915972&amp;Result=3","6915972")</f>
        <v>0</v>
      </c>
      <c r="B13367" t="s">
        <v>1471</v>
      </c>
      <c r="C13367" t="s">
        <v>15896</v>
      </c>
      <c r="E13367" t="s">
        <v>27925</v>
      </c>
      <c r="F13367" t="s">
        <v>28198</v>
      </c>
      <c r="G13367" t="s">
        <v>28205</v>
      </c>
      <c r="H13367" t="s">
        <v>28214</v>
      </c>
      <c r="I13367" t="s">
        <v>3797</v>
      </c>
      <c r="J13367" t="s">
        <v>36497</v>
      </c>
      <c r="K13367" t="s">
        <v>36689</v>
      </c>
      <c r="M13367" t="s">
        <v>38542</v>
      </c>
      <c r="N13367" t="s">
        <v>40436</v>
      </c>
      <c r="O13367" t="s">
        <v>40437</v>
      </c>
      <c r="Q13367">
        <v>4</v>
      </c>
      <c r="R13367" t="s">
        <v>40517</v>
      </c>
      <c r="S13367" t="s">
        <v>41850</v>
      </c>
      <c r="T13367" t="s">
        <v>42165</v>
      </c>
      <c r="U13367" t="s">
        <v>53536</v>
      </c>
      <c r="V13367" t="s">
        <v>55348</v>
      </c>
      <c r="W13367" t="s">
        <v>38542</v>
      </c>
      <c r="X13367" t="s">
        <v>40520</v>
      </c>
    </row>
    <row r="13368" spans="1:24">
      <c r="A13368">
        <f>HYPERLINK("https://www.philgeps.gov.ph/GEPSNONPILOT/Tender/SplashBidNoticeAbstractUI.aspx?menuIndex=3&amp;refID=6917973&amp;Result=3","6917973")</f>
        <v>0</v>
      </c>
      <c r="B13368" t="s">
        <v>1471</v>
      </c>
      <c r="C13368" t="s">
        <v>15897</v>
      </c>
      <c r="E13368" t="s">
        <v>27926</v>
      </c>
      <c r="F13368" t="s">
        <v>28198</v>
      </c>
      <c r="G13368" t="s">
        <v>28205</v>
      </c>
      <c r="H13368" t="s">
        <v>28215</v>
      </c>
      <c r="I13368" t="s">
        <v>5100</v>
      </c>
      <c r="J13368" t="s">
        <v>36498</v>
      </c>
      <c r="K13368" t="s">
        <v>36689</v>
      </c>
      <c r="M13368" t="s">
        <v>38542</v>
      </c>
      <c r="N13368" t="s">
        <v>40436</v>
      </c>
      <c r="O13368" t="s">
        <v>40437</v>
      </c>
      <c r="Q13368">
        <v>4</v>
      </c>
      <c r="R13368" t="s">
        <v>40517</v>
      </c>
      <c r="S13368" t="s">
        <v>41851</v>
      </c>
      <c r="T13368" t="s">
        <v>42165</v>
      </c>
      <c r="U13368" t="s">
        <v>53537</v>
      </c>
      <c r="V13368" t="s">
        <v>55349</v>
      </c>
      <c r="W13368" t="s">
        <v>38542</v>
      </c>
      <c r="X13368" t="s">
        <v>40519</v>
      </c>
    </row>
    <row r="13369" spans="1:24">
      <c r="A13369">
        <f>HYPERLINK("https://www.philgeps.gov.ph/GEPSNONPILOT/Tender/SplashBidNoticeAbstractUI.aspx?menuIndex=3&amp;refID=6923635&amp;Result=3","6923635")</f>
        <v>0</v>
      </c>
      <c r="B13369" t="s">
        <v>1908</v>
      </c>
      <c r="C13369" t="s">
        <v>15898</v>
      </c>
      <c r="D13369" t="s">
        <v>16199</v>
      </c>
      <c r="E13369" t="s">
        <v>27927</v>
      </c>
      <c r="F13369" t="s">
        <v>28198</v>
      </c>
      <c r="G13369" t="s">
        <v>28205</v>
      </c>
      <c r="H13369" t="s">
        <v>28214</v>
      </c>
      <c r="I13369" t="s">
        <v>3797</v>
      </c>
      <c r="J13369" t="s">
        <v>36499</v>
      </c>
      <c r="K13369" t="s">
        <v>36697</v>
      </c>
      <c r="M13369" t="s">
        <v>39040</v>
      </c>
      <c r="N13369" t="s">
        <v>40436</v>
      </c>
      <c r="O13369" t="s">
        <v>40437</v>
      </c>
      <c r="Q13369">
        <v>1</v>
      </c>
      <c r="R13369" t="s">
        <v>40515</v>
      </c>
      <c r="S13369" t="s">
        <v>41852</v>
      </c>
      <c r="T13369" t="s">
        <v>42119</v>
      </c>
      <c r="U13369" t="s">
        <v>53538</v>
      </c>
      <c r="V13369" t="s">
        <v>55343</v>
      </c>
      <c r="W13369" t="s">
        <v>39040</v>
      </c>
      <c r="X13369" t="s">
        <v>40516</v>
      </c>
    </row>
    <row r="13370" spans="1:24">
      <c r="A13370">
        <f>HYPERLINK("https://www.philgeps.gov.ph/GEPSNONPILOT/Tender/SplashBidNoticeAbstractUI.aspx?menuIndex=3&amp;refID=6923450&amp;Result=3","6923450")</f>
        <v>0</v>
      </c>
      <c r="B13370" t="s">
        <v>2639</v>
      </c>
      <c r="C13370" t="s">
        <v>15899</v>
      </c>
      <c r="D13370" t="s">
        <v>16210</v>
      </c>
      <c r="E13370" t="s">
        <v>27928</v>
      </c>
      <c r="F13370" t="s">
        <v>28198</v>
      </c>
      <c r="G13370" t="s">
        <v>28205</v>
      </c>
      <c r="H13370" t="s">
        <v>28214</v>
      </c>
      <c r="I13370" t="s">
        <v>3797</v>
      </c>
      <c r="J13370" t="s">
        <v>36500</v>
      </c>
      <c r="K13370" t="s">
        <v>36710</v>
      </c>
      <c r="M13370" t="s">
        <v>39864</v>
      </c>
      <c r="N13370" t="s">
        <v>40436</v>
      </c>
      <c r="O13370" t="s">
        <v>40437</v>
      </c>
      <c r="Q13370">
        <v>32</v>
      </c>
      <c r="R13370" t="s">
        <v>40515</v>
      </c>
      <c r="S13370" t="s">
        <v>40811</v>
      </c>
      <c r="T13370" t="s">
        <v>42390</v>
      </c>
      <c r="U13370" t="s">
        <v>53539</v>
      </c>
      <c r="W13370" t="s">
        <v>39864</v>
      </c>
      <c r="X13370" t="s">
        <v>40516</v>
      </c>
    </row>
    <row r="13371" spans="1:24">
      <c r="A13371">
        <f>HYPERLINK("https://www.philgeps.gov.ph/GEPSNONPILOT/Tender/SplashBidNoticeAbstractUI.aspx?menuIndex=3&amp;refID=6923569&amp;Result=3","6923569")</f>
        <v>0</v>
      </c>
      <c r="B13371" t="s">
        <v>1908</v>
      </c>
      <c r="C13371" t="s">
        <v>15900</v>
      </c>
      <c r="D13371" t="s">
        <v>16199</v>
      </c>
      <c r="E13371" t="s">
        <v>27929</v>
      </c>
      <c r="F13371" t="s">
        <v>28198</v>
      </c>
      <c r="G13371" t="s">
        <v>28205</v>
      </c>
      <c r="H13371" t="s">
        <v>28214</v>
      </c>
      <c r="I13371" t="s">
        <v>3797</v>
      </c>
      <c r="J13371" t="s">
        <v>36501</v>
      </c>
      <c r="K13371" t="s">
        <v>36697</v>
      </c>
      <c r="M13371" t="s">
        <v>39040</v>
      </c>
      <c r="N13371" t="s">
        <v>40436</v>
      </c>
      <c r="O13371" t="s">
        <v>40437</v>
      </c>
      <c r="Q13371">
        <v>1</v>
      </c>
      <c r="R13371" t="s">
        <v>40515</v>
      </c>
      <c r="S13371" t="s">
        <v>41853</v>
      </c>
      <c r="T13371" t="s">
        <v>42422</v>
      </c>
      <c r="U13371" t="s">
        <v>53540</v>
      </c>
      <c r="V13371" t="s">
        <v>55343</v>
      </c>
      <c r="W13371" t="s">
        <v>39040</v>
      </c>
      <c r="X13371" t="s">
        <v>40516</v>
      </c>
    </row>
    <row r="13372" spans="1:24">
      <c r="A13372">
        <f>HYPERLINK("https://www.philgeps.gov.ph/GEPSNONPILOT/Tender/SplashBidNoticeAbstractUI.aspx?menuIndex=3&amp;refID=6918799&amp;Result=3","6918799")</f>
        <v>0</v>
      </c>
      <c r="B13372" t="s">
        <v>874</v>
      </c>
      <c r="C13372" t="s">
        <v>15901</v>
      </c>
      <c r="D13372" t="s">
        <v>16226</v>
      </c>
      <c r="E13372" t="s">
        <v>15901</v>
      </c>
      <c r="F13372" t="s">
        <v>28198</v>
      </c>
      <c r="G13372" t="s">
        <v>28205</v>
      </c>
      <c r="H13372" t="s">
        <v>28217</v>
      </c>
      <c r="I13372" t="s">
        <v>28231</v>
      </c>
      <c r="J13372" t="s">
        <v>36502</v>
      </c>
      <c r="K13372" t="s">
        <v>36788</v>
      </c>
      <c r="M13372" t="s">
        <v>37889</v>
      </c>
      <c r="N13372" t="s">
        <v>40436</v>
      </c>
      <c r="O13372" t="s">
        <v>40437</v>
      </c>
      <c r="Q13372">
        <v>13</v>
      </c>
      <c r="R13372" t="s">
        <v>40517</v>
      </c>
      <c r="S13372" t="s">
        <v>41854</v>
      </c>
      <c r="T13372" t="s">
        <v>42375</v>
      </c>
      <c r="U13372" t="s">
        <v>53541</v>
      </c>
      <c r="W13372" t="s">
        <v>37889</v>
      </c>
      <c r="X13372" t="s">
        <v>40519</v>
      </c>
    </row>
    <row r="13373" spans="1:24">
      <c r="A13373">
        <f>HYPERLINK("https://www.philgeps.gov.ph/GEPSNONPILOT/Tender/SplashBidNoticeAbstractUI.aspx?menuIndex=3&amp;refID=6918328&amp;Result=3","6918328")</f>
        <v>0</v>
      </c>
      <c r="B13373" t="s">
        <v>2608</v>
      </c>
      <c r="C13373" t="s">
        <v>15902</v>
      </c>
      <c r="D13373" t="s">
        <v>16249</v>
      </c>
      <c r="E13373" t="s">
        <v>27930</v>
      </c>
      <c r="F13373" t="s">
        <v>28198</v>
      </c>
      <c r="G13373" t="s">
        <v>28205</v>
      </c>
      <c r="H13373" t="s">
        <v>28214</v>
      </c>
      <c r="I13373" t="s">
        <v>3797</v>
      </c>
      <c r="J13373" t="s">
        <v>29526</v>
      </c>
      <c r="K13373" t="s">
        <v>36735</v>
      </c>
      <c r="L13373" t="s">
        <v>2608</v>
      </c>
      <c r="M13373" t="s">
        <v>39827</v>
      </c>
      <c r="N13373" t="s">
        <v>40436</v>
      </c>
      <c r="O13373" t="s">
        <v>40437</v>
      </c>
      <c r="Q13373">
        <v>36</v>
      </c>
      <c r="R13373" t="s">
        <v>40517</v>
      </c>
      <c r="S13373" t="s">
        <v>41855</v>
      </c>
      <c r="T13373" t="s">
        <v>42103</v>
      </c>
      <c r="U13373" t="s">
        <v>53542</v>
      </c>
      <c r="W13373" t="s">
        <v>39827</v>
      </c>
      <c r="X13373" t="s">
        <v>40519</v>
      </c>
    </row>
    <row r="13374" spans="1:24">
      <c r="A13374">
        <f>HYPERLINK("https://www.philgeps.gov.ph/GEPSNONPILOT/Tender/SplashBidNoticeAbstractUI.aspx?menuIndex=3&amp;refID=6948338&amp;Result=3","6948338")</f>
        <v>0</v>
      </c>
      <c r="B13374" t="s">
        <v>1282</v>
      </c>
      <c r="C13374" t="s">
        <v>15903</v>
      </c>
      <c r="D13374" t="s">
        <v>16214</v>
      </c>
      <c r="E13374" t="s">
        <v>27931</v>
      </c>
      <c r="F13374" t="s">
        <v>28198</v>
      </c>
      <c r="G13374" t="s">
        <v>28205</v>
      </c>
      <c r="H13374" t="s">
        <v>28214</v>
      </c>
      <c r="I13374" t="s">
        <v>3797</v>
      </c>
      <c r="J13374" t="s">
        <v>29595</v>
      </c>
      <c r="K13374" t="s">
        <v>36737</v>
      </c>
      <c r="M13374" t="s">
        <v>38334</v>
      </c>
      <c r="N13374" t="s">
        <v>40436</v>
      </c>
      <c r="O13374" t="s">
        <v>40437</v>
      </c>
      <c r="Q13374">
        <v>0</v>
      </c>
      <c r="R13374" t="s">
        <v>40502</v>
      </c>
      <c r="S13374" t="s">
        <v>41856</v>
      </c>
      <c r="T13374" t="s">
        <v>42133</v>
      </c>
      <c r="U13374" t="s">
        <v>45679</v>
      </c>
      <c r="V13374" t="s">
        <v>55350</v>
      </c>
      <c r="W13374" t="s">
        <v>38334</v>
      </c>
      <c r="X13374" t="s">
        <v>40506</v>
      </c>
    </row>
    <row r="13375" spans="1:24">
      <c r="A13375">
        <f>HYPERLINK("https://www.philgeps.gov.ph/GEPSNONPILOT/Tender/SplashBidNoticeAbstractUI.aspx?menuIndex=3&amp;refID=6914116&amp;Result=3","6914116")</f>
        <v>0</v>
      </c>
      <c r="B13375" t="s">
        <v>2168</v>
      </c>
      <c r="C13375" t="s">
        <v>15904</v>
      </c>
      <c r="D13375" t="s">
        <v>16210</v>
      </c>
      <c r="E13375" t="s">
        <v>27932</v>
      </c>
      <c r="F13375" t="s">
        <v>28198</v>
      </c>
      <c r="G13375" t="s">
        <v>28205</v>
      </c>
      <c r="H13375" t="s">
        <v>28215</v>
      </c>
      <c r="I13375" t="s">
        <v>28274</v>
      </c>
      <c r="J13375" t="s">
        <v>28390</v>
      </c>
      <c r="K13375" t="s">
        <v>36715</v>
      </c>
      <c r="M13375" t="s">
        <v>39325</v>
      </c>
      <c r="N13375" t="s">
        <v>40436</v>
      </c>
      <c r="O13375" t="s">
        <v>40437</v>
      </c>
      <c r="Q13375">
        <v>18</v>
      </c>
      <c r="R13375" t="s">
        <v>40519</v>
      </c>
      <c r="S13375" t="s">
        <v>41857</v>
      </c>
      <c r="T13375" t="s">
        <v>42119</v>
      </c>
      <c r="U13375" t="s">
        <v>42743</v>
      </c>
      <c r="W13375" t="s">
        <v>39325</v>
      </c>
      <c r="X13375" t="s">
        <v>40520</v>
      </c>
    </row>
    <row r="13376" spans="1:24">
      <c r="A13376">
        <f>HYPERLINK("https://www.philgeps.gov.ph/GEPSNONPILOT/Tender/SplashBidNoticeAbstractUI.aspx?menuIndex=3&amp;refID=6948376&amp;Result=3","6948376")</f>
        <v>0</v>
      </c>
      <c r="B13376" t="s">
        <v>1282</v>
      </c>
      <c r="C13376" t="s">
        <v>15905</v>
      </c>
      <c r="D13376" t="s">
        <v>16214</v>
      </c>
      <c r="E13376" t="s">
        <v>27933</v>
      </c>
      <c r="F13376" t="s">
        <v>28198</v>
      </c>
      <c r="G13376" t="s">
        <v>28205</v>
      </c>
      <c r="H13376" t="s">
        <v>28214</v>
      </c>
      <c r="I13376" t="s">
        <v>3797</v>
      </c>
      <c r="J13376" t="s">
        <v>29595</v>
      </c>
      <c r="K13376" t="s">
        <v>36737</v>
      </c>
      <c r="M13376" t="s">
        <v>38334</v>
      </c>
      <c r="N13376" t="s">
        <v>40436</v>
      </c>
      <c r="O13376" t="s">
        <v>40437</v>
      </c>
      <c r="Q13376">
        <v>0</v>
      </c>
      <c r="R13376" t="s">
        <v>40502</v>
      </c>
      <c r="S13376" t="s">
        <v>41858</v>
      </c>
      <c r="T13376" t="s">
        <v>42133</v>
      </c>
      <c r="U13376" t="s">
        <v>45679</v>
      </c>
      <c r="V13376" t="s">
        <v>55351</v>
      </c>
      <c r="W13376" t="s">
        <v>38334</v>
      </c>
      <c r="X13376" t="s">
        <v>40506</v>
      </c>
    </row>
    <row r="13377" spans="1:24">
      <c r="A13377">
        <f>HYPERLINK("https://www.philgeps.gov.ph/GEPSNONPILOT/Tender/SplashBidNoticeAbstractUI.aspx?menuIndex=3&amp;refID=6920397&amp;Result=3","6920397")</f>
        <v>0</v>
      </c>
      <c r="B13377" t="s">
        <v>940</v>
      </c>
      <c r="C13377" t="s">
        <v>15906</v>
      </c>
      <c r="D13377" t="s">
        <v>16278</v>
      </c>
      <c r="E13377" t="s">
        <v>27934</v>
      </c>
      <c r="F13377" t="s">
        <v>28198</v>
      </c>
      <c r="G13377" t="s">
        <v>28205</v>
      </c>
      <c r="H13377" t="s">
        <v>28215</v>
      </c>
      <c r="I13377" t="s">
        <v>28314</v>
      </c>
      <c r="J13377" t="s">
        <v>36503</v>
      </c>
      <c r="K13377" t="s">
        <v>36701</v>
      </c>
      <c r="M13377" t="s">
        <v>37963</v>
      </c>
      <c r="N13377" t="s">
        <v>40436</v>
      </c>
      <c r="O13377" t="s">
        <v>40437</v>
      </c>
      <c r="Q13377">
        <v>4</v>
      </c>
      <c r="R13377" t="s">
        <v>40517</v>
      </c>
      <c r="S13377" t="s">
        <v>41859</v>
      </c>
      <c r="T13377" t="s">
        <v>42427</v>
      </c>
      <c r="U13377" t="s">
        <v>53543</v>
      </c>
      <c r="V13377" t="s">
        <v>55352</v>
      </c>
      <c r="W13377" t="s">
        <v>37963</v>
      </c>
      <c r="X13377" t="s">
        <v>40519</v>
      </c>
    </row>
    <row r="13378" spans="1:24">
      <c r="A13378">
        <f>HYPERLINK("https://www.philgeps.gov.ph/GEPSNONPILOT/Tender/SplashBidNoticeAbstractUI.aspx?menuIndex=3&amp;refID=6915553&amp;Result=3","6915553")</f>
        <v>0</v>
      </c>
      <c r="B13378" t="s">
        <v>1250</v>
      </c>
      <c r="C13378" t="s">
        <v>15907</v>
      </c>
      <c r="D13378" t="s">
        <v>16209</v>
      </c>
      <c r="E13378" t="s">
        <v>27935</v>
      </c>
      <c r="F13378" t="s">
        <v>28198</v>
      </c>
      <c r="G13378" t="s">
        <v>28205</v>
      </c>
      <c r="H13378" t="s">
        <v>28215</v>
      </c>
      <c r="I13378" t="s">
        <v>28328</v>
      </c>
      <c r="J13378" t="s">
        <v>36504</v>
      </c>
      <c r="K13378" t="s">
        <v>36694</v>
      </c>
      <c r="M13378" t="s">
        <v>38300</v>
      </c>
      <c r="N13378" t="s">
        <v>40436</v>
      </c>
      <c r="O13378" t="s">
        <v>40437</v>
      </c>
      <c r="Q13378">
        <v>1</v>
      </c>
      <c r="R13378" t="s">
        <v>40519</v>
      </c>
      <c r="S13378" t="s">
        <v>41860</v>
      </c>
      <c r="T13378" t="s">
        <v>42158</v>
      </c>
      <c r="U13378" t="s">
        <v>53544</v>
      </c>
      <c r="V13378" t="s">
        <v>54119</v>
      </c>
      <c r="W13378" t="s">
        <v>38300</v>
      </c>
      <c r="X13378" t="s">
        <v>40520</v>
      </c>
    </row>
    <row r="13379" spans="1:24">
      <c r="A13379">
        <f>HYPERLINK("https://www.philgeps.gov.ph/GEPSNONPILOT/Tender/SplashBidNoticeAbstractUI.aspx?menuIndex=3&amp;refID=6913166&amp;Result=3","6913166")</f>
        <v>0</v>
      </c>
      <c r="B13379" t="s">
        <v>1725</v>
      </c>
      <c r="C13379" t="s">
        <v>15908</v>
      </c>
      <c r="E13379" t="s">
        <v>27936</v>
      </c>
      <c r="F13379" t="s">
        <v>28198</v>
      </c>
      <c r="G13379" t="s">
        <v>28205</v>
      </c>
      <c r="H13379" t="s">
        <v>28215</v>
      </c>
      <c r="I13379" t="s">
        <v>28274</v>
      </c>
      <c r="J13379" t="s">
        <v>29002</v>
      </c>
      <c r="K13379" t="s">
        <v>36689</v>
      </c>
      <c r="M13379" t="s">
        <v>40401</v>
      </c>
      <c r="N13379" t="s">
        <v>40436</v>
      </c>
      <c r="O13379" t="s">
        <v>40437</v>
      </c>
      <c r="Q13379">
        <v>1</v>
      </c>
      <c r="R13379" t="s">
        <v>40519</v>
      </c>
      <c r="S13379" t="s">
        <v>41861</v>
      </c>
      <c r="T13379" t="s">
        <v>42124</v>
      </c>
      <c r="U13379" t="s">
        <v>53545</v>
      </c>
      <c r="W13379" t="s">
        <v>40401</v>
      </c>
      <c r="X13379" t="s">
        <v>40520</v>
      </c>
    </row>
    <row r="13380" spans="1:24">
      <c r="A13380">
        <f>HYPERLINK("https://www.philgeps.gov.ph/GEPSNONPILOT/Tender/SplashBidNoticeAbstractUI.aspx?menuIndex=3&amp;refID=6923509&amp;Result=3","6923509")</f>
        <v>0</v>
      </c>
      <c r="B13380" t="s">
        <v>919</v>
      </c>
      <c r="C13380" t="s">
        <v>15909</v>
      </c>
      <c r="D13380" t="s">
        <v>16200</v>
      </c>
      <c r="E13380" t="s">
        <v>27937</v>
      </c>
      <c r="F13380" t="s">
        <v>28198</v>
      </c>
      <c r="G13380" t="s">
        <v>28205</v>
      </c>
      <c r="H13380" t="s">
        <v>28215</v>
      </c>
      <c r="I13380" t="s">
        <v>28247</v>
      </c>
      <c r="J13380" t="s">
        <v>28379</v>
      </c>
      <c r="K13380" t="s">
        <v>36701</v>
      </c>
      <c r="M13380" t="s">
        <v>37938</v>
      </c>
      <c r="N13380" t="s">
        <v>40436</v>
      </c>
      <c r="O13380" t="s">
        <v>40437</v>
      </c>
      <c r="Q13380">
        <v>10</v>
      </c>
      <c r="R13380" t="s">
        <v>40515</v>
      </c>
      <c r="S13380" t="s">
        <v>41862</v>
      </c>
      <c r="T13380" t="s">
        <v>42406</v>
      </c>
      <c r="U13380" t="s">
        <v>53546</v>
      </c>
      <c r="W13380" t="s">
        <v>37938</v>
      </c>
      <c r="X13380" t="s">
        <v>40516</v>
      </c>
    </row>
    <row r="13381" spans="1:24">
      <c r="A13381">
        <f>HYPERLINK("https://www.philgeps.gov.ph/GEPSNONPILOT/Tender/SplashBidNoticeAbstractUI.aspx?menuIndex=3&amp;refID=6914898&amp;Result=3","6914898")</f>
        <v>0</v>
      </c>
      <c r="B13381" t="s">
        <v>2204</v>
      </c>
      <c r="C13381" t="s">
        <v>15910</v>
      </c>
      <c r="D13381" t="s">
        <v>16201</v>
      </c>
      <c r="E13381" t="s">
        <v>27938</v>
      </c>
      <c r="F13381" t="s">
        <v>28198</v>
      </c>
      <c r="G13381" t="s">
        <v>28209</v>
      </c>
      <c r="H13381" t="s">
        <v>28214</v>
      </c>
      <c r="I13381" t="s">
        <v>3797</v>
      </c>
      <c r="J13381" t="s">
        <v>32323</v>
      </c>
      <c r="K13381" t="s">
        <v>36717</v>
      </c>
      <c r="M13381" t="s">
        <v>39369</v>
      </c>
      <c r="N13381" t="s">
        <v>40436</v>
      </c>
      <c r="O13381" t="s">
        <v>40437</v>
      </c>
      <c r="Q13381">
        <v>5</v>
      </c>
      <c r="R13381" t="s">
        <v>40519</v>
      </c>
      <c r="S13381" t="s">
        <v>41863</v>
      </c>
      <c r="T13381" t="s">
        <v>42320</v>
      </c>
      <c r="U13381" t="s">
        <v>53547</v>
      </c>
      <c r="W13381" t="s">
        <v>39369</v>
      </c>
      <c r="X13381" t="s">
        <v>40520</v>
      </c>
    </row>
    <row r="13382" spans="1:24">
      <c r="A13382">
        <f>HYPERLINK("https://www.philgeps.gov.ph/GEPSNONPILOT/Tender/SplashBidNoticeAbstractUI.aspx?menuIndex=3&amp;refID=6914192&amp;Result=3","6914192")</f>
        <v>0</v>
      </c>
      <c r="B13382" t="s">
        <v>2168</v>
      </c>
      <c r="C13382" t="s">
        <v>15911</v>
      </c>
      <c r="D13382" t="s">
        <v>16210</v>
      </c>
      <c r="E13382" t="s">
        <v>27939</v>
      </c>
      <c r="F13382" t="s">
        <v>28198</v>
      </c>
      <c r="G13382" t="s">
        <v>28205</v>
      </c>
      <c r="H13382" t="s">
        <v>28215</v>
      </c>
      <c r="I13382" t="s">
        <v>28274</v>
      </c>
      <c r="J13382" t="s">
        <v>36505</v>
      </c>
      <c r="K13382" t="s">
        <v>36695</v>
      </c>
      <c r="M13382" t="s">
        <v>39325</v>
      </c>
      <c r="N13382" t="s">
        <v>40436</v>
      </c>
      <c r="O13382" t="s">
        <v>40437</v>
      </c>
      <c r="Q13382">
        <v>7</v>
      </c>
      <c r="R13382" t="s">
        <v>40519</v>
      </c>
      <c r="S13382" t="s">
        <v>41864</v>
      </c>
      <c r="T13382" t="s">
        <v>42160</v>
      </c>
      <c r="U13382" t="s">
        <v>42743</v>
      </c>
      <c r="W13382" t="s">
        <v>39325</v>
      </c>
      <c r="X13382" t="s">
        <v>40520</v>
      </c>
    </row>
    <row r="13383" spans="1:24">
      <c r="A13383">
        <f>HYPERLINK("https://www.philgeps.gov.ph/GEPSNONPILOT/Tender/SplashBidNoticeAbstractUI.aspx?menuIndex=3&amp;refID=6919291&amp;Result=3","6919291")</f>
        <v>0</v>
      </c>
      <c r="B13383" t="s">
        <v>1553</v>
      </c>
      <c r="C13383" t="s">
        <v>15912</v>
      </c>
      <c r="D13383" t="s">
        <v>16247</v>
      </c>
      <c r="E13383" t="s">
        <v>27940</v>
      </c>
      <c r="F13383" t="s">
        <v>28198</v>
      </c>
      <c r="G13383" t="s">
        <v>28205</v>
      </c>
      <c r="H13383" t="s">
        <v>28217</v>
      </c>
      <c r="I13383" t="s">
        <v>28231</v>
      </c>
      <c r="J13383" t="s">
        <v>29113</v>
      </c>
      <c r="K13383" t="s">
        <v>36756</v>
      </c>
      <c r="M13383" t="s">
        <v>40402</v>
      </c>
      <c r="N13383" t="s">
        <v>40436</v>
      </c>
      <c r="O13383" t="s">
        <v>40437</v>
      </c>
      <c r="Q13383">
        <v>2</v>
      </c>
      <c r="R13383" t="s">
        <v>40517</v>
      </c>
      <c r="S13383" t="s">
        <v>41865</v>
      </c>
      <c r="T13383" t="s">
        <v>42123</v>
      </c>
      <c r="U13383" t="s">
        <v>53548</v>
      </c>
      <c r="W13383" t="s">
        <v>38635</v>
      </c>
      <c r="X13383" t="s">
        <v>40519</v>
      </c>
    </row>
    <row r="13384" spans="1:24">
      <c r="A13384">
        <f>HYPERLINK("https://www.philgeps.gov.ph/GEPSNONPILOT/Tender/SplashBidNoticeAbstractUI.aspx?menuIndex=3&amp;refID=6919852&amp;Result=3","6919852")</f>
        <v>0</v>
      </c>
      <c r="B13384" t="s">
        <v>2639</v>
      </c>
      <c r="C13384" t="s">
        <v>15913</v>
      </c>
      <c r="D13384" t="s">
        <v>16210</v>
      </c>
      <c r="E13384" t="s">
        <v>27941</v>
      </c>
      <c r="F13384" t="s">
        <v>28198</v>
      </c>
      <c r="G13384" t="s">
        <v>28205</v>
      </c>
      <c r="H13384" t="s">
        <v>28214</v>
      </c>
      <c r="I13384" t="s">
        <v>3797</v>
      </c>
      <c r="J13384" t="s">
        <v>36506</v>
      </c>
      <c r="K13384" t="s">
        <v>36710</v>
      </c>
      <c r="M13384" t="s">
        <v>39864</v>
      </c>
      <c r="N13384" t="s">
        <v>40436</v>
      </c>
      <c r="O13384" t="s">
        <v>40437</v>
      </c>
      <c r="Q13384">
        <v>29</v>
      </c>
      <c r="R13384" t="s">
        <v>40517</v>
      </c>
      <c r="S13384" t="s">
        <v>41866</v>
      </c>
      <c r="T13384" t="s">
        <v>42390</v>
      </c>
      <c r="U13384" t="s">
        <v>53549</v>
      </c>
      <c r="W13384" t="s">
        <v>39864</v>
      </c>
      <c r="X13384" t="s">
        <v>40519</v>
      </c>
    </row>
    <row r="13385" spans="1:24">
      <c r="A13385">
        <f>HYPERLINK("https://www.philgeps.gov.ph/GEPSNONPILOT/Tender/SplashBidNoticeAbstractUI.aspx?menuIndex=3&amp;refID=6919709&amp;Result=3","6919709")</f>
        <v>0</v>
      </c>
      <c r="B13385" t="s">
        <v>1471</v>
      </c>
      <c r="C13385" t="s">
        <v>15914</v>
      </c>
      <c r="E13385" t="s">
        <v>27942</v>
      </c>
      <c r="F13385" t="s">
        <v>28198</v>
      </c>
      <c r="G13385" t="s">
        <v>28205</v>
      </c>
      <c r="H13385" t="s">
        <v>28215</v>
      </c>
      <c r="I13385" t="s">
        <v>4200</v>
      </c>
      <c r="J13385" t="s">
        <v>29323</v>
      </c>
      <c r="K13385" t="s">
        <v>36689</v>
      </c>
      <c r="M13385" t="s">
        <v>38542</v>
      </c>
      <c r="N13385" t="s">
        <v>40436</v>
      </c>
      <c r="O13385" t="s">
        <v>40437</v>
      </c>
      <c r="Q13385">
        <v>1</v>
      </c>
      <c r="R13385" t="s">
        <v>40517</v>
      </c>
      <c r="S13385" t="s">
        <v>41867</v>
      </c>
      <c r="T13385" t="s">
        <v>42233</v>
      </c>
      <c r="U13385" t="s">
        <v>53550</v>
      </c>
      <c r="V13385" t="s">
        <v>55353</v>
      </c>
      <c r="W13385" t="s">
        <v>38542</v>
      </c>
      <c r="X13385" t="s">
        <v>40519</v>
      </c>
    </row>
    <row r="13386" spans="1:24">
      <c r="A13386">
        <f>HYPERLINK("https://www.philgeps.gov.ph/GEPSNONPILOT/Tender/SplashBidNoticeAbstractUI.aspx?menuIndex=3&amp;refID=6919570&amp;Result=3","6919570")</f>
        <v>0</v>
      </c>
      <c r="B13386" t="s">
        <v>1471</v>
      </c>
      <c r="C13386" t="s">
        <v>15915</v>
      </c>
      <c r="E13386" t="s">
        <v>27943</v>
      </c>
      <c r="F13386" t="s">
        <v>28198</v>
      </c>
      <c r="G13386" t="s">
        <v>28205</v>
      </c>
      <c r="H13386" t="s">
        <v>28215</v>
      </c>
      <c r="I13386" t="s">
        <v>28261</v>
      </c>
      <c r="J13386" t="s">
        <v>36507</v>
      </c>
      <c r="K13386" t="s">
        <v>36689</v>
      </c>
      <c r="M13386" t="s">
        <v>38542</v>
      </c>
      <c r="N13386" t="s">
        <v>40436</v>
      </c>
      <c r="O13386" t="s">
        <v>40437</v>
      </c>
      <c r="Q13386">
        <v>10</v>
      </c>
      <c r="R13386" t="s">
        <v>40517</v>
      </c>
      <c r="S13386" t="s">
        <v>41868</v>
      </c>
      <c r="T13386" t="s">
        <v>42165</v>
      </c>
      <c r="U13386" t="s">
        <v>53550</v>
      </c>
      <c r="V13386" t="s">
        <v>55354</v>
      </c>
      <c r="W13386" t="s">
        <v>38542</v>
      </c>
      <c r="X13386" t="s">
        <v>40519</v>
      </c>
    </row>
    <row r="13387" spans="1:24">
      <c r="A13387">
        <f>HYPERLINK("https://www.philgeps.gov.ph/GEPSNONPILOT/Tender/SplashBidNoticeAbstractUI.aspx?menuIndex=3&amp;refID=6915397&amp;Result=3","6915397")</f>
        <v>0</v>
      </c>
      <c r="B13387" t="s">
        <v>1250</v>
      </c>
      <c r="C13387" t="s">
        <v>15916</v>
      </c>
      <c r="D13387" t="s">
        <v>16209</v>
      </c>
      <c r="E13387" t="s">
        <v>27944</v>
      </c>
      <c r="F13387" t="s">
        <v>28198</v>
      </c>
      <c r="G13387" t="s">
        <v>28205</v>
      </c>
      <c r="H13387" t="s">
        <v>28215</v>
      </c>
      <c r="I13387" t="s">
        <v>28220</v>
      </c>
      <c r="J13387" t="s">
        <v>36508</v>
      </c>
      <c r="K13387" t="s">
        <v>36694</v>
      </c>
      <c r="M13387" t="s">
        <v>38300</v>
      </c>
      <c r="N13387" t="s">
        <v>40436</v>
      </c>
      <c r="O13387" t="s">
        <v>40437</v>
      </c>
      <c r="Q13387">
        <v>8</v>
      </c>
      <c r="R13387" t="s">
        <v>40519</v>
      </c>
      <c r="S13387" t="s">
        <v>41869</v>
      </c>
      <c r="T13387" t="s">
        <v>42158</v>
      </c>
      <c r="U13387" t="s">
        <v>53551</v>
      </c>
      <c r="V13387" t="s">
        <v>54119</v>
      </c>
      <c r="W13387" t="s">
        <v>38300</v>
      </c>
      <c r="X13387" t="s">
        <v>40520</v>
      </c>
    </row>
    <row r="13388" spans="1:24">
      <c r="A13388">
        <f>HYPERLINK("https://www.philgeps.gov.ph/GEPSNONPILOT/Tender/SplashBidNoticeAbstractUI.aspx?menuIndex=3&amp;refID=6918201&amp;Result=3","6918201")</f>
        <v>0</v>
      </c>
      <c r="B13388" t="s">
        <v>2608</v>
      </c>
      <c r="C13388" t="s">
        <v>15917</v>
      </c>
      <c r="D13388" t="s">
        <v>16249</v>
      </c>
      <c r="E13388" t="s">
        <v>27945</v>
      </c>
      <c r="F13388" t="s">
        <v>28198</v>
      </c>
      <c r="G13388" t="s">
        <v>28205</v>
      </c>
      <c r="H13388" t="s">
        <v>28214</v>
      </c>
      <c r="I13388" t="s">
        <v>3797</v>
      </c>
      <c r="J13388" t="s">
        <v>36509</v>
      </c>
      <c r="K13388" t="s">
        <v>36712</v>
      </c>
      <c r="L13388" t="s">
        <v>2608</v>
      </c>
      <c r="M13388" t="s">
        <v>39827</v>
      </c>
      <c r="N13388" t="s">
        <v>40436</v>
      </c>
      <c r="O13388" t="s">
        <v>40437</v>
      </c>
      <c r="Q13388">
        <v>37</v>
      </c>
      <c r="R13388" t="s">
        <v>40517</v>
      </c>
      <c r="S13388" t="s">
        <v>41870</v>
      </c>
      <c r="T13388" t="s">
        <v>42103</v>
      </c>
      <c r="U13388" t="s">
        <v>53552</v>
      </c>
      <c r="W13388" t="s">
        <v>39827</v>
      </c>
      <c r="X13388" t="s">
        <v>40519</v>
      </c>
    </row>
    <row r="13389" spans="1:24">
      <c r="A13389">
        <f>HYPERLINK("https://www.philgeps.gov.ph/GEPSNONPILOT/Tender/SplashBidNoticeAbstractUI.aspx?menuIndex=3&amp;refID=6914757&amp;Result=3","6914757")</f>
        <v>0</v>
      </c>
      <c r="B13389" t="s">
        <v>3073</v>
      </c>
      <c r="C13389" t="s">
        <v>15918</v>
      </c>
      <c r="D13389" t="s">
        <v>16233</v>
      </c>
      <c r="E13389" t="s">
        <v>27946</v>
      </c>
      <c r="F13389" t="s">
        <v>28198</v>
      </c>
      <c r="G13389" t="s">
        <v>28205</v>
      </c>
      <c r="H13389" t="s">
        <v>28215</v>
      </c>
      <c r="I13389" t="s">
        <v>28280</v>
      </c>
      <c r="J13389" t="s">
        <v>36303</v>
      </c>
      <c r="K13389" t="s">
        <v>36694</v>
      </c>
      <c r="M13389" t="s">
        <v>40403</v>
      </c>
      <c r="N13389" t="s">
        <v>40436</v>
      </c>
      <c r="O13389" t="s">
        <v>40437</v>
      </c>
      <c r="Q13389">
        <v>6</v>
      </c>
      <c r="R13389" t="s">
        <v>40519</v>
      </c>
      <c r="S13389" t="s">
        <v>41871</v>
      </c>
      <c r="T13389" t="s">
        <v>42233</v>
      </c>
      <c r="U13389" t="s">
        <v>53553</v>
      </c>
      <c r="W13389" t="s">
        <v>40403</v>
      </c>
      <c r="X13389" t="s">
        <v>40520</v>
      </c>
    </row>
    <row r="13390" spans="1:24">
      <c r="A13390">
        <f>HYPERLINK("https://www.philgeps.gov.ph/GEPSNONPILOT/Tender/SplashBidNoticeAbstractUI.aspx?menuIndex=3&amp;refID=6919546&amp;Result=3","6919546")</f>
        <v>0</v>
      </c>
      <c r="B13390" t="s">
        <v>1471</v>
      </c>
      <c r="C13390" t="s">
        <v>15919</v>
      </c>
      <c r="E13390" t="s">
        <v>27947</v>
      </c>
      <c r="F13390" t="s">
        <v>28198</v>
      </c>
      <c r="G13390" t="s">
        <v>28205</v>
      </c>
      <c r="H13390" t="s">
        <v>28215</v>
      </c>
      <c r="I13390" t="s">
        <v>5656</v>
      </c>
      <c r="J13390" t="s">
        <v>36510</v>
      </c>
      <c r="K13390" t="s">
        <v>36689</v>
      </c>
      <c r="M13390" t="s">
        <v>38542</v>
      </c>
      <c r="N13390" t="s">
        <v>40436</v>
      </c>
      <c r="O13390" t="s">
        <v>40437</v>
      </c>
      <c r="Q13390">
        <v>11</v>
      </c>
      <c r="R13390" t="s">
        <v>40517</v>
      </c>
      <c r="S13390" t="s">
        <v>41872</v>
      </c>
      <c r="T13390" t="s">
        <v>42165</v>
      </c>
      <c r="U13390" t="s">
        <v>53554</v>
      </c>
      <c r="V13390" t="s">
        <v>55355</v>
      </c>
      <c r="W13390" t="s">
        <v>38542</v>
      </c>
      <c r="X13390" t="s">
        <v>40519</v>
      </c>
    </row>
    <row r="13391" spans="1:24">
      <c r="A13391">
        <f>HYPERLINK("https://www.philgeps.gov.ph/GEPSNONPILOT/Tender/SplashBidNoticeAbstractUI.aspx?menuIndex=3&amp;refID=6948318&amp;Result=3","6948318")</f>
        <v>0</v>
      </c>
      <c r="B13391" t="s">
        <v>1282</v>
      </c>
      <c r="C13391" t="s">
        <v>15920</v>
      </c>
      <c r="D13391" t="s">
        <v>16214</v>
      </c>
      <c r="E13391" t="s">
        <v>27948</v>
      </c>
      <c r="F13391" t="s">
        <v>28198</v>
      </c>
      <c r="G13391" t="s">
        <v>28205</v>
      </c>
      <c r="H13391" t="s">
        <v>28214</v>
      </c>
      <c r="I13391" t="s">
        <v>3797</v>
      </c>
      <c r="J13391" t="s">
        <v>29595</v>
      </c>
      <c r="K13391" t="s">
        <v>36737</v>
      </c>
      <c r="M13391" t="s">
        <v>38334</v>
      </c>
      <c r="N13391" t="s">
        <v>40436</v>
      </c>
      <c r="O13391" t="s">
        <v>40437</v>
      </c>
      <c r="Q13391">
        <v>1</v>
      </c>
      <c r="R13391" t="s">
        <v>40502</v>
      </c>
      <c r="S13391" t="s">
        <v>41873</v>
      </c>
      <c r="T13391" t="s">
        <v>42133</v>
      </c>
      <c r="U13391" t="s">
        <v>45679</v>
      </c>
      <c r="V13391" t="s">
        <v>55356</v>
      </c>
      <c r="W13391" t="s">
        <v>38334</v>
      </c>
      <c r="X13391" t="s">
        <v>40506</v>
      </c>
    </row>
    <row r="13392" spans="1:24">
      <c r="A13392">
        <f>HYPERLINK("https://www.philgeps.gov.ph/GEPSNONPILOT/Tender/SplashBidNoticeAbstractUI.aspx?menuIndex=3&amp;refID=6919694&amp;Result=3","6919694")</f>
        <v>0</v>
      </c>
      <c r="B13392" t="s">
        <v>1471</v>
      </c>
      <c r="C13392" t="s">
        <v>15921</v>
      </c>
      <c r="E13392" t="s">
        <v>27949</v>
      </c>
      <c r="F13392" t="s">
        <v>28198</v>
      </c>
      <c r="G13392" t="s">
        <v>28205</v>
      </c>
      <c r="H13392" t="s">
        <v>28215</v>
      </c>
      <c r="I13392" t="s">
        <v>28285</v>
      </c>
      <c r="J13392" t="s">
        <v>36511</v>
      </c>
      <c r="K13392" t="s">
        <v>36689</v>
      </c>
      <c r="M13392" t="s">
        <v>38542</v>
      </c>
      <c r="N13392" t="s">
        <v>40436</v>
      </c>
      <c r="O13392" t="s">
        <v>40437</v>
      </c>
      <c r="Q13392">
        <v>9</v>
      </c>
      <c r="R13392" t="s">
        <v>40517</v>
      </c>
      <c r="S13392" t="s">
        <v>41874</v>
      </c>
      <c r="T13392" t="s">
        <v>42233</v>
      </c>
      <c r="U13392" t="s">
        <v>53555</v>
      </c>
      <c r="V13392" t="s">
        <v>55357</v>
      </c>
      <c r="W13392" t="s">
        <v>38542</v>
      </c>
      <c r="X13392" t="s">
        <v>40519</v>
      </c>
    </row>
    <row r="13393" spans="1:24">
      <c r="A13393">
        <f>HYPERLINK("https://www.philgeps.gov.ph/GEPSNONPILOT/Tender/SplashBidNoticeAbstractUI.aspx?menuIndex=3&amp;refID=6957664&amp;Result=3","6957664")</f>
        <v>0</v>
      </c>
      <c r="B13393" t="s">
        <v>1370</v>
      </c>
      <c r="C13393" t="s">
        <v>15922</v>
      </c>
      <c r="D13393" t="s">
        <v>16213</v>
      </c>
      <c r="E13393" t="s">
        <v>27950</v>
      </c>
      <c r="F13393" t="s">
        <v>28198</v>
      </c>
      <c r="G13393" t="s">
        <v>28205</v>
      </c>
      <c r="H13393" t="s">
        <v>28214</v>
      </c>
      <c r="I13393" t="s">
        <v>3797</v>
      </c>
      <c r="J13393" t="s">
        <v>29224</v>
      </c>
      <c r="K13393" t="s">
        <v>36697</v>
      </c>
      <c r="M13393" t="s">
        <v>38432</v>
      </c>
      <c r="N13393" t="s">
        <v>40436</v>
      </c>
      <c r="O13393" t="s">
        <v>40437</v>
      </c>
      <c r="Q13393">
        <v>0</v>
      </c>
      <c r="R13393" t="s">
        <v>40492</v>
      </c>
      <c r="S13393" t="s">
        <v>41875</v>
      </c>
      <c r="T13393" t="s">
        <v>42447</v>
      </c>
      <c r="U13393" t="s">
        <v>53556</v>
      </c>
      <c r="W13393" t="s">
        <v>38432</v>
      </c>
      <c r="X13393" t="s">
        <v>40503</v>
      </c>
    </row>
    <row r="13394" spans="1:24">
      <c r="A13394">
        <f>HYPERLINK("https://www.philgeps.gov.ph/GEPSNONPILOT/Tender/SplashBidNoticeAbstractUI.aspx?menuIndex=3&amp;refID=6917992&amp;Result=3","6917992")</f>
        <v>0</v>
      </c>
      <c r="B13394" t="s">
        <v>1471</v>
      </c>
      <c r="C13394" t="s">
        <v>15923</v>
      </c>
      <c r="E13394" t="s">
        <v>27951</v>
      </c>
      <c r="F13394" t="s">
        <v>28198</v>
      </c>
      <c r="G13394" t="s">
        <v>28205</v>
      </c>
      <c r="H13394" t="s">
        <v>28215</v>
      </c>
      <c r="I13394" t="s">
        <v>5656</v>
      </c>
      <c r="J13394" t="s">
        <v>30991</v>
      </c>
      <c r="K13394" t="s">
        <v>36689</v>
      </c>
      <c r="M13394" t="s">
        <v>38542</v>
      </c>
      <c r="N13394" t="s">
        <v>40436</v>
      </c>
      <c r="O13394" t="s">
        <v>40437</v>
      </c>
      <c r="Q13394">
        <v>11</v>
      </c>
      <c r="R13394" t="s">
        <v>40517</v>
      </c>
      <c r="S13394" t="s">
        <v>41876</v>
      </c>
      <c r="T13394" t="s">
        <v>42165</v>
      </c>
      <c r="U13394" t="s">
        <v>53557</v>
      </c>
      <c r="V13394" t="s">
        <v>55358</v>
      </c>
      <c r="W13394" t="s">
        <v>38542</v>
      </c>
      <c r="X13394" t="s">
        <v>40519</v>
      </c>
    </row>
    <row r="13395" spans="1:24">
      <c r="A13395">
        <f>HYPERLINK("https://www.philgeps.gov.ph/GEPSNONPILOT/Tender/SplashBidNoticeAbstractUI.aspx?menuIndex=3&amp;refID=7019004&amp;Result=3","7019004")</f>
        <v>0</v>
      </c>
      <c r="B13395" t="s">
        <v>1660</v>
      </c>
      <c r="C13395" t="s">
        <v>15924</v>
      </c>
      <c r="D13395" t="s">
        <v>16217</v>
      </c>
      <c r="E13395" t="s">
        <v>27952</v>
      </c>
      <c r="F13395" t="s">
        <v>28198</v>
      </c>
      <c r="G13395" t="s">
        <v>28205</v>
      </c>
      <c r="H13395" t="s">
        <v>28215</v>
      </c>
      <c r="I13395" t="s">
        <v>3774</v>
      </c>
      <c r="J13395" t="s">
        <v>36512</v>
      </c>
      <c r="K13395" t="s">
        <v>36707</v>
      </c>
      <c r="M13395" t="s">
        <v>38754</v>
      </c>
      <c r="N13395" t="s">
        <v>40436</v>
      </c>
      <c r="O13395" t="s">
        <v>40437</v>
      </c>
      <c r="P13395">
        <v>0</v>
      </c>
      <c r="Q13395">
        <v>0</v>
      </c>
      <c r="R13395" t="s">
        <v>40454</v>
      </c>
      <c r="S13395" t="s">
        <v>41306</v>
      </c>
      <c r="T13395" t="s">
        <v>42199</v>
      </c>
      <c r="U13395" t="s">
        <v>53558</v>
      </c>
      <c r="V13395" t="s">
        <v>55180</v>
      </c>
      <c r="W13395" t="s">
        <v>38754</v>
      </c>
      <c r="X13395" t="s">
        <v>40455</v>
      </c>
    </row>
    <row r="13396" spans="1:24">
      <c r="A13396">
        <f>HYPERLINK("https://www.philgeps.gov.ph/GEPSNONPILOT/Tender/SplashBidNoticeAbstractUI.aspx?menuIndex=3&amp;refID=6957747&amp;Result=3","6957747")</f>
        <v>0</v>
      </c>
      <c r="B13396" t="s">
        <v>1370</v>
      </c>
      <c r="C13396" t="s">
        <v>15925</v>
      </c>
      <c r="D13396" t="s">
        <v>16213</v>
      </c>
      <c r="E13396" t="s">
        <v>27953</v>
      </c>
      <c r="F13396" t="s">
        <v>28198</v>
      </c>
      <c r="G13396" t="s">
        <v>28205</v>
      </c>
      <c r="H13396" t="s">
        <v>28214</v>
      </c>
      <c r="I13396" t="s">
        <v>3797</v>
      </c>
      <c r="J13396" t="s">
        <v>29526</v>
      </c>
      <c r="K13396" t="s">
        <v>36717</v>
      </c>
      <c r="M13396" t="s">
        <v>38432</v>
      </c>
      <c r="N13396" t="s">
        <v>40436</v>
      </c>
      <c r="O13396" t="s">
        <v>40437</v>
      </c>
      <c r="Q13396">
        <v>0</v>
      </c>
      <c r="R13396" t="s">
        <v>40492</v>
      </c>
      <c r="S13396" t="s">
        <v>41205</v>
      </c>
      <c r="T13396" t="s">
        <v>42447</v>
      </c>
      <c r="U13396" t="s">
        <v>53559</v>
      </c>
      <c r="W13396" t="s">
        <v>38432</v>
      </c>
      <c r="X13396" t="s">
        <v>40503</v>
      </c>
    </row>
    <row r="13397" spans="1:24">
      <c r="A13397">
        <f>HYPERLINK("https://www.philgeps.gov.ph/GEPSNONPILOT/Tender/SplashBidNoticeAbstractUI.aspx?menuIndex=3&amp;refID=7018554&amp;Result=3","7018554")</f>
        <v>0</v>
      </c>
      <c r="B13397" t="s">
        <v>735</v>
      </c>
      <c r="C13397" t="s">
        <v>15926</v>
      </c>
      <c r="D13397" t="s">
        <v>16227</v>
      </c>
      <c r="E13397" t="s">
        <v>27954</v>
      </c>
      <c r="F13397" t="s">
        <v>28198</v>
      </c>
      <c r="G13397" t="s">
        <v>28205</v>
      </c>
      <c r="H13397" t="s">
        <v>28214</v>
      </c>
      <c r="I13397" t="s">
        <v>3797</v>
      </c>
      <c r="J13397" t="s">
        <v>29409</v>
      </c>
      <c r="K13397" t="s">
        <v>36694</v>
      </c>
      <c r="M13397" t="s">
        <v>40254</v>
      </c>
      <c r="N13397" t="s">
        <v>40436</v>
      </c>
      <c r="O13397" t="s">
        <v>40437</v>
      </c>
      <c r="P13397">
        <v>0</v>
      </c>
      <c r="Q13397">
        <v>0</v>
      </c>
      <c r="R13397" t="s">
        <v>40454</v>
      </c>
      <c r="S13397" t="s">
        <v>41306</v>
      </c>
      <c r="T13397" t="s">
        <v>42176</v>
      </c>
      <c r="U13397" t="s">
        <v>53560</v>
      </c>
      <c r="W13397" t="s">
        <v>40254</v>
      </c>
      <c r="X13397" t="s">
        <v>40457</v>
      </c>
    </row>
    <row r="13398" spans="1:24">
      <c r="A13398">
        <f>HYPERLINK("https://www.philgeps.gov.ph/GEPSNONPILOT/Tender/SplashBidNoticeAbstractUI.aspx?menuIndex=3&amp;refID=6948315&amp;Result=3","6948315")</f>
        <v>0</v>
      </c>
      <c r="B13398" t="s">
        <v>1282</v>
      </c>
      <c r="C13398" t="s">
        <v>15927</v>
      </c>
      <c r="D13398" t="s">
        <v>16214</v>
      </c>
      <c r="E13398" t="s">
        <v>27955</v>
      </c>
      <c r="F13398" t="s">
        <v>28198</v>
      </c>
      <c r="G13398" t="s">
        <v>28205</v>
      </c>
      <c r="H13398" t="s">
        <v>28214</v>
      </c>
      <c r="I13398" t="s">
        <v>3797</v>
      </c>
      <c r="J13398" t="s">
        <v>29595</v>
      </c>
      <c r="K13398" t="s">
        <v>36789</v>
      </c>
      <c r="M13398" t="s">
        <v>38334</v>
      </c>
      <c r="N13398" t="s">
        <v>40436</v>
      </c>
      <c r="O13398" t="s">
        <v>40437</v>
      </c>
      <c r="Q13398">
        <v>2</v>
      </c>
      <c r="R13398" t="s">
        <v>40502</v>
      </c>
      <c r="S13398" t="s">
        <v>41877</v>
      </c>
      <c r="T13398" t="s">
        <v>42133</v>
      </c>
      <c r="U13398" t="s">
        <v>45679</v>
      </c>
      <c r="V13398" t="s">
        <v>55359</v>
      </c>
      <c r="W13398" t="s">
        <v>38334</v>
      </c>
      <c r="X13398" t="s">
        <v>40506</v>
      </c>
    </row>
    <row r="13399" spans="1:24">
      <c r="A13399">
        <f>HYPERLINK("https://www.philgeps.gov.ph/GEPSNONPILOT/Tender/SplashBidNoticeAbstractUI.aspx?menuIndex=3&amp;refID=6919596&amp;Result=3","6919596")</f>
        <v>0</v>
      </c>
      <c r="B13399" t="s">
        <v>3074</v>
      </c>
      <c r="C13399" t="s">
        <v>15928</v>
      </c>
      <c r="D13399" t="s">
        <v>16265</v>
      </c>
      <c r="E13399" t="s">
        <v>27956</v>
      </c>
      <c r="F13399" t="s">
        <v>28198</v>
      </c>
      <c r="G13399" t="s">
        <v>28205</v>
      </c>
      <c r="H13399" t="s">
        <v>28214</v>
      </c>
      <c r="I13399" t="s">
        <v>3797</v>
      </c>
      <c r="J13399" t="s">
        <v>32533</v>
      </c>
      <c r="K13399" t="s">
        <v>36733</v>
      </c>
      <c r="M13399" t="s">
        <v>40404</v>
      </c>
      <c r="N13399" t="s">
        <v>40436</v>
      </c>
      <c r="O13399" t="s">
        <v>40437</v>
      </c>
      <c r="Q13399">
        <v>2</v>
      </c>
      <c r="R13399" t="s">
        <v>40517</v>
      </c>
      <c r="S13399" t="s">
        <v>41878</v>
      </c>
      <c r="T13399" t="s">
        <v>42613</v>
      </c>
      <c r="U13399" t="s">
        <v>53561</v>
      </c>
      <c r="V13399" t="s">
        <v>55360</v>
      </c>
      <c r="W13399" t="s">
        <v>40404</v>
      </c>
      <c r="X13399" t="s">
        <v>40519</v>
      </c>
    </row>
    <row r="13400" spans="1:24">
      <c r="A13400">
        <f>HYPERLINK("https://www.philgeps.gov.ph/GEPSNONPILOT/Tender/SplashBidNoticeAbstractUI.aspx?menuIndex=3&amp;refID=6957275&amp;Result=3","6957275")</f>
        <v>0</v>
      </c>
      <c r="B13400" t="s">
        <v>1370</v>
      </c>
      <c r="C13400" t="s">
        <v>15929</v>
      </c>
      <c r="D13400" t="s">
        <v>16213</v>
      </c>
      <c r="E13400" t="s">
        <v>27957</v>
      </c>
      <c r="F13400" t="s">
        <v>28198</v>
      </c>
      <c r="G13400" t="s">
        <v>28205</v>
      </c>
      <c r="H13400" t="s">
        <v>28214</v>
      </c>
      <c r="I13400" t="s">
        <v>3797</v>
      </c>
      <c r="J13400" t="s">
        <v>29566</v>
      </c>
      <c r="K13400" t="s">
        <v>36692</v>
      </c>
      <c r="M13400" t="s">
        <v>38432</v>
      </c>
      <c r="N13400" t="s">
        <v>40436</v>
      </c>
      <c r="O13400" t="s">
        <v>40437</v>
      </c>
      <c r="Q13400">
        <v>0</v>
      </c>
      <c r="R13400" t="s">
        <v>40492</v>
      </c>
      <c r="S13400" t="s">
        <v>40773</v>
      </c>
      <c r="T13400" t="s">
        <v>42447</v>
      </c>
      <c r="U13400" t="s">
        <v>53562</v>
      </c>
      <c r="W13400" t="s">
        <v>38432</v>
      </c>
      <c r="X13400" t="s">
        <v>40503</v>
      </c>
    </row>
    <row r="13401" spans="1:24">
      <c r="A13401">
        <f>HYPERLINK("https://www.philgeps.gov.ph/GEPSNONPILOT/Tender/SplashBidNoticeAbstractUI.aspx?menuIndex=3&amp;refID=6949021&amp;Result=3","6949021")</f>
        <v>0</v>
      </c>
      <c r="B13401" t="s">
        <v>1282</v>
      </c>
      <c r="C13401" t="s">
        <v>15930</v>
      </c>
      <c r="D13401" t="s">
        <v>16214</v>
      </c>
      <c r="E13401" t="s">
        <v>27958</v>
      </c>
      <c r="F13401" t="s">
        <v>28198</v>
      </c>
      <c r="G13401" t="s">
        <v>28205</v>
      </c>
      <c r="H13401" t="s">
        <v>28214</v>
      </c>
      <c r="I13401" t="s">
        <v>3797</v>
      </c>
      <c r="J13401" t="s">
        <v>36513</v>
      </c>
      <c r="K13401" t="s">
        <v>36717</v>
      </c>
      <c r="M13401" t="s">
        <v>39998</v>
      </c>
      <c r="N13401" t="s">
        <v>40436</v>
      </c>
      <c r="O13401" t="s">
        <v>40437</v>
      </c>
      <c r="Q13401">
        <v>7</v>
      </c>
      <c r="R13401" t="s">
        <v>40503</v>
      </c>
      <c r="S13401" t="s">
        <v>41879</v>
      </c>
      <c r="T13401" t="s">
        <v>42133</v>
      </c>
      <c r="U13401" t="s">
        <v>45679</v>
      </c>
      <c r="V13401" t="s">
        <v>55361</v>
      </c>
      <c r="W13401" t="s">
        <v>39998</v>
      </c>
      <c r="X13401" t="s">
        <v>40506</v>
      </c>
    </row>
    <row r="13402" spans="1:24">
      <c r="A13402">
        <f>HYPERLINK("https://www.philgeps.gov.ph/GEPSNONPILOT/Tender/SplashBidNoticeAbstractUI.aspx?menuIndex=3&amp;refID=6908860&amp;Result=3","6908860")</f>
        <v>0</v>
      </c>
      <c r="B13402" t="s">
        <v>2698</v>
      </c>
      <c r="C13402" t="s">
        <v>15931</v>
      </c>
      <c r="D13402" t="s">
        <v>16194</v>
      </c>
      <c r="E13402" t="s">
        <v>27959</v>
      </c>
      <c r="F13402" t="s">
        <v>28198</v>
      </c>
      <c r="G13402" t="s">
        <v>28205</v>
      </c>
      <c r="H13402" t="s">
        <v>28214</v>
      </c>
      <c r="I13402" t="s">
        <v>3797</v>
      </c>
      <c r="J13402" t="s">
        <v>36514</v>
      </c>
      <c r="K13402" t="s">
        <v>36710</v>
      </c>
      <c r="M13402" t="s">
        <v>39937</v>
      </c>
      <c r="N13402" t="s">
        <v>40436</v>
      </c>
      <c r="O13402" t="s">
        <v>40437</v>
      </c>
      <c r="Q13402">
        <v>3</v>
      </c>
      <c r="R13402" t="s">
        <v>40520</v>
      </c>
      <c r="S13402" t="s">
        <v>41880</v>
      </c>
      <c r="T13402" t="s">
        <v>42161</v>
      </c>
      <c r="U13402" t="s">
        <v>53563</v>
      </c>
      <c r="W13402" t="s">
        <v>39937</v>
      </c>
      <c r="X13402" t="s">
        <v>40521</v>
      </c>
    </row>
    <row r="13403" spans="1:24">
      <c r="A13403">
        <f>HYPERLINK("https://www.philgeps.gov.ph/GEPSNONPILOT/Tender/SplashBidNoticeAbstractUI.aspx?menuIndex=3&amp;refID=7018547&amp;Result=3","7018547")</f>
        <v>0</v>
      </c>
      <c r="B13403" t="s">
        <v>735</v>
      </c>
      <c r="C13403" t="s">
        <v>15932</v>
      </c>
      <c r="D13403" t="s">
        <v>16227</v>
      </c>
      <c r="E13403" t="s">
        <v>27960</v>
      </c>
      <c r="F13403" t="s">
        <v>28198</v>
      </c>
      <c r="G13403" t="s">
        <v>28205</v>
      </c>
      <c r="H13403" t="s">
        <v>28215</v>
      </c>
      <c r="I13403" t="s">
        <v>28222</v>
      </c>
      <c r="J13403" t="s">
        <v>36515</v>
      </c>
      <c r="K13403" t="s">
        <v>36707</v>
      </c>
      <c r="M13403" t="s">
        <v>40254</v>
      </c>
      <c r="N13403" t="s">
        <v>40436</v>
      </c>
      <c r="O13403" t="s">
        <v>40437</v>
      </c>
      <c r="P13403">
        <v>0</v>
      </c>
      <c r="Q13403">
        <v>7</v>
      </c>
      <c r="R13403" t="s">
        <v>40454</v>
      </c>
      <c r="S13403" t="s">
        <v>41306</v>
      </c>
      <c r="T13403" t="s">
        <v>42176</v>
      </c>
      <c r="U13403" t="s">
        <v>53564</v>
      </c>
      <c r="W13403" t="s">
        <v>40254</v>
      </c>
      <c r="X13403" t="s">
        <v>40457</v>
      </c>
    </row>
    <row r="13404" spans="1:24">
      <c r="A13404">
        <f>HYPERLINK("https://www.philgeps.gov.ph/GEPSNONPILOT/Tender/SplashBidNoticeAbstractUI.aspx?menuIndex=3&amp;refID=6949035&amp;Result=3","6949035")</f>
        <v>0</v>
      </c>
      <c r="B13404" t="s">
        <v>1282</v>
      </c>
      <c r="C13404" t="s">
        <v>15933</v>
      </c>
      <c r="D13404" t="s">
        <v>16214</v>
      </c>
      <c r="E13404" t="s">
        <v>27961</v>
      </c>
      <c r="F13404" t="s">
        <v>28198</v>
      </c>
      <c r="G13404" t="s">
        <v>28205</v>
      </c>
      <c r="H13404" t="s">
        <v>28214</v>
      </c>
      <c r="I13404" t="s">
        <v>3797</v>
      </c>
      <c r="J13404" t="s">
        <v>29595</v>
      </c>
      <c r="K13404" t="s">
        <v>36737</v>
      </c>
      <c r="M13404" t="s">
        <v>39998</v>
      </c>
      <c r="N13404" t="s">
        <v>40436</v>
      </c>
      <c r="O13404" t="s">
        <v>40437</v>
      </c>
      <c r="Q13404">
        <v>2</v>
      </c>
      <c r="R13404" t="s">
        <v>40503</v>
      </c>
      <c r="S13404" t="s">
        <v>41881</v>
      </c>
      <c r="T13404" t="s">
        <v>42133</v>
      </c>
      <c r="U13404" t="s">
        <v>45679</v>
      </c>
      <c r="V13404" t="s">
        <v>55362</v>
      </c>
      <c r="W13404" t="s">
        <v>39998</v>
      </c>
      <c r="X13404" t="s">
        <v>40506</v>
      </c>
    </row>
    <row r="13405" spans="1:24">
      <c r="A13405">
        <f>HYPERLINK("https://www.philgeps.gov.ph/GEPSNONPILOT/Tender/SplashBidNoticeAbstractUI.aspx?menuIndex=3&amp;refID=6910957&amp;Result=3","6910957")</f>
        <v>0</v>
      </c>
      <c r="B13405" t="s">
        <v>400</v>
      </c>
      <c r="C13405" t="s">
        <v>15934</v>
      </c>
      <c r="D13405" t="s">
        <v>16210</v>
      </c>
      <c r="E13405" t="s">
        <v>27962</v>
      </c>
      <c r="F13405" t="s">
        <v>28198</v>
      </c>
      <c r="G13405" t="s">
        <v>28205</v>
      </c>
      <c r="H13405" t="s">
        <v>28217</v>
      </c>
      <c r="I13405" t="s">
        <v>28231</v>
      </c>
      <c r="J13405" t="s">
        <v>36516</v>
      </c>
      <c r="K13405" t="s">
        <v>36756</v>
      </c>
      <c r="M13405" t="s">
        <v>40405</v>
      </c>
      <c r="N13405" t="s">
        <v>40436</v>
      </c>
      <c r="O13405" t="s">
        <v>40437</v>
      </c>
      <c r="Q13405">
        <v>9</v>
      </c>
      <c r="R13405" t="s">
        <v>40520</v>
      </c>
      <c r="S13405" t="s">
        <v>41159</v>
      </c>
      <c r="T13405" t="s">
        <v>42128</v>
      </c>
      <c r="U13405" t="s">
        <v>53565</v>
      </c>
      <c r="W13405" t="s">
        <v>40405</v>
      </c>
      <c r="X13405" t="s">
        <v>40521</v>
      </c>
    </row>
    <row r="13406" spans="1:24">
      <c r="A13406">
        <f>HYPERLINK("https://www.philgeps.gov.ph/GEPSNONPILOT/Tender/SplashBidNoticeAbstractUI.aspx?menuIndex=3&amp;refID=6911044&amp;Result=3","6911044")</f>
        <v>0</v>
      </c>
      <c r="B13406" t="s">
        <v>1370</v>
      </c>
      <c r="C13406" t="s">
        <v>15935</v>
      </c>
      <c r="D13406" t="s">
        <v>16213</v>
      </c>
      <c r="E13406" t="s">
        <v>27963</v>
      </c>
      <c r="F13406" t="s">
        <v>28198</v>
      </c>
      <c r="G13406" t="s">
        <v>28205</v>
      </c>
      <c r="H13406" t="s">
        <v>28214</v>
      </c>
      <c r="I13406" t="s">
        <v>3797</v>
      </c>
      <c r="J13406" t="s">
        <v>29526</v>
      </c>
      <c r="K13406" t="s">
        <v>36937</v>
      </c>
      <c r="M13406" t="s">
        <v>38432</v>
      </c>
      <c r="N13406" t="s">
        <v>40436</v>
      </c>
      <c r="O13406" t="s">
        <v>40437</v>
      </c>
      <c r="Q13406">
        <v>0</v>
      </c>
      <c r="R13406" t="s">
        <v>40520</v>
      </c>
      <c r="S13406" t="s">
        <v>41882</v>
      </c>
      <c r="T13406" t="s">
        <v>42111</v>
      </c>
      <c r="U13406" t="s">
        <v>53566</v>
      </c>
      <c r="W13406" t="s">
        <v>38432</v>
      </c>
      <c r="X13406" t="s">
        <v>40521</v>
      </c>
    </row>
    <row r="13407" spans="1:24">
      <c r="A13407">
        <f>HYPERLINK("https://www.philgeps.gov.ph/GEPSNONPILOT/Tender/SplashBidNoticeAbstractUI.aspx?menuIndex=3&amp;refID=6916855&amp;Result=3","6916855")</f>
        <v>0</v>
      </c>
      <c r="B13407" t="s">
        <v>940</v>
      </c>
      <c r="C13407" t="s">
        <v>15936</v>
      </c>
      <c r="D13407" t="s">
        <v>16257</v>
      </c>
      <c r="E13407" t="s">
        <v>27964</v>
      </c>
      <c r="F13407" t="s">
        <v>28198</v>
      </c>
      <c r="G13407" t="s">
        <v>28205</v>
      </c>
      <c r="H13407" t="s">
        <v>28215</v>
      </c>
      <c r="I13407" t="s">
        <v>28280</v>
      </c>
      <c r="J13407" t="s">
        <v>36517</v>
      </c>
      <c r="K13407" t="s">
        <v>36742</v>
      </c>
      <c r="M13407" t="s">
        <v>37963</v>
      </c>
      <c r="N13407" t="s">
        <v>40436</v>
      </c>
      <c r="O13407" t="s">
        <v>40437</v>
      </c>
      <c r="Q13407">
        <v>6</v>
      </c>
      <c r="R13407" t="s">
        <v>40519</v>
      </c>
      <c r="S13407" t="s">
        <v>41883</v>
      </c>
      <c r="T13407" t="s">
        <v>42459</v>
      </c>
      <c r="U13407" t="s">
        <v>53567</v>
      </c>
      <c r="V13407" t="s">
        <v>55363</v>
      </c>
      <c r="W13407" t="s">
        <v>37963</v>
      </c>
      <c r="X13407" t="s">
        <v>40520</v>
      </c>
    </row>
    <row r="13408" spans="1:24">
      <c r="A13408">
        <f>HYPERLINK("https://www.philgeps.gov.ph/GEPSNONPILOT/Tender/SplashBidNoticeAbstractUI.aspx?menuIndex=3&amp;refID=6916547&amp;Result=3","6916547")</f>
        <v>0</v>
      </c>
      <c r="B13408" t="s">
        <v>3075</v>
      </c>
      <c r="C13408" t="s">
        <v>15937</v>
      </c>
      <c r="D13408" t="s">
        <v>16210</v>
      </c>
      <c r="E13408" t="s">
        <v>23785</v>
      </c>
      <c r="F13408" t="s">
        <v>28198</v>
      </c>
      <c r="G13408" t="s">
        <v>28207</v>
      </c>
      <c r="H13408" t="s">
        <v>28215</v>
      </c>
      <c r="I13408" t="s">
        <v>28234</v>
      </c>
      <c r="J13408" t="s">
        <v>28694</v>
      </c>
      <c r="K13408" t="s">
        <v>36707</v>
      </c>
      <c r="M13408" t="s">
        <v>40406</v>
      </c>
      <c r="N13408" t="s">
        <v>40436</v>
      </c>
      <c r="O13408" t="s">
        <v>40437</v>
      </c>
      <c r="Q13408">
        <v>8</v>
      </c>
      <c r="R13408" t="s">
        <v>40519</v>
      </c>
      <c r="S13408" t="s">
        <v>41673</v>
      </c>
      <c r="T13408" t="s">
        <v>42158</v>
      </c>
      <c r="U13408" t="s">
        <v>53568</v>
      </c>
      <c r="W13408" t="s">
        <v>40406</v>
      </c>
      <c r="X13408" t="s">
        <v>40520</v>
      </c>
    </row>
    <row r="13409" spans="1:24">
      <c r="A13409">
        <f>HYPERLINK("https://www.philgeps.gov.ph/GEPSNONPILOT/Tender/SplashBidNoticeAbstractUI.aspx?menuIndex=3&amp;refID=6910374&amp;Result=3","6910374")</f>
        <v>0</v>
      </c>
      <c r="B13409" t="s">
        <v>3076</v>
      </c>
      <c r="C13409" t="s">
        <v>15938</v>
      </c>
      <c r="D13409" t="s">
        <v>16210</v>
      </c>
      <c r="E13409" t="s">
        <v>27965</v>
      </c>
      <c r="F13409" t="s">
        <v>28198</v>
      </c>
      <c r="G13409" t="s">
        <v>28205</v>
      </c>
      <c r="H13409" t="s">
        <v>28214</v>
      </c>
      <c r="I13409" t="s">
        <v>3797</v>
      </c>
      <c r="J13409" t="s">
        <v>36518</v>
      </c>
      <c r="K13409" t="s">
        <v>36911</v>
      </c>
      <c r="M13409" t="s">
        <v>40407</v>
      </c>
      <c r="N13409" t="s">
        <v>40436</v>
      </c>
      <c r="O13409" t="s">
        <v>40437</v>
      </c>
      <c r="Q13409">
        <v>28</v>
      </c>
      <c r="R13409" t="s">
        <v>40520</v>
      </c>
      <c r="S13409" t="s">
        <v>40680</v>
      </c>
      <c r="T13409" t="s">
        <v>42424</v>
      </c>
      <c r="U13409" t="s">
        <v>53569</v>
      </c>
      <c r="V13409" t="s">
        <v>55364</v>
      </c>
      <c r="W13409" t="s">
        <v>40407</v>
      </c>
      <c r="X13409" t="s">
        <v>40521</v>
      </c>
    </row>
    <row r="13410" spans="1:24">
      <c r="A13410">
        <f>HYPERLINK("https://www.philgeps.gov.ph/GEPSNONPILOT/Tender/SplashBidNoticeAbstractUI.aspx?menuIndex=3&amp;refID=6916447&amp;Result=3","6916447")</f>
        <v>0</v>
      </c>
      <c r="B13410" t="s">
        <v>404</v>
      </c>
      <c r="C13410" t="s">
        <v>15939</v>
      </c>
      <c r="E13410" t="s">
        <v>27966</v>
      </c>
      <c r="F13410" t="s">
        <v>28198</v>
      </c>
      <c r="G13410" t="s">
        <v>28205</v>
      </c>
      <c r="H13410" t="s">
        <v>28215</v>
      </c>
      <c r="I13410" t="s">
        <v>5082</v>
      </c>
      <c r="J13410" t="s">
        <v>36519</v>
      </c>
      <c r="K13410" t="s">
        <v>36689</v>
      </c>
      <c r="M13410" t="s">
        <v>37385</v>
      </c>
      <c r="N13410" t="s">
        <v>40436</v>
      </c>
      <c r="O13410" t="s">
        <v>40437</v>
      </c>
      <c r="Q13410">
        <v>5</v>
      </c>
      <c r="R13410" t="s">
        <v>40519</v>
      </c>
      <c r="S13410" t="s">
        <v>41884</v>
      </c>
      <c r="T13410" t="s">
        <v>42219</v>
      </c>
      <c r="U13410" t="s">
        <v>53570</v>
      </c>
      <c r="V13410" t="s">
        <v>55365</v>
      </c>
      <c r="W13410" t="s">
        <v>37385</v>
      </c>
      <c r="X13410" t="s">
        <v>40520</v>
      </c>
    </row>
    <row r="13411" spans="1:24">
      <c r="A13411">
        <f>HYPERLINK("https://www.philgeps.gov.ph/GEPSNONPILOT/Tender/SplashBidNoticeAbstractUI.aspx?menuIndex=3&amp;refID=6916361&amp;Result=3","6916361")</f>
        <v>0</v>
      </c>
      <c r="B13411" t="s">
        <v>404</v>
      </c>
      <c r="C13411" t="s">
        <v>15940</v>
      </c>
      <c r="E13411" t="s">
        <v>27967</v>
      </c>
      <c r="F13411" t="s">
        <v>28198</v>
      </c>
      <c r="G13411" t="s">
        <v>28205</v>
      </c>
      <c r="H13411" t="s">
        <v>28215</v>
      </c>
      <c r="I13411" t="s">
        <v>28274</v>
      </c>
      <c r="J13411" t="s">
        <v>36520</v>
      </c>
      <c r="K13411" t="s">
        <v>36689</v>
      </c>
      <c r="M13411" t="s">
        <v>37385</v>
      </c>
      <c r="N13411" t="s">
        <v>40436</v>
      </c>
      <c r="O13411" t="s">
        <v>40437</v>
      </c>
      <c r="Q13411">
        <v>15</v>
      </c>
      <c r="R13411" t="s">
        <v>40519</v>
      </c>
      <c r="S13411" t="s">
        <v>41885</v>
      </c>
      <c r="T13411" t="s">
        <v>42219</v>
      </c>
      <c r="U13411" t="s">
        <v>53571</v>
      </c>
      <c r="V13411" t="s">
        <v>55366</v>
      </c>
      <c r="W13411" t="s">
        <v>37385</v>
      </c>
      <c r="X13411" t="s">
        <v>40520</v>
      </c>
    </row>
    <row r="13412" spans="1:24">
      <c r="A13412">
        <f>HYPERLINK("https://www.philgeps.gov.ph/GEPSNONPILOT/Tender/SplashBidNoticeAbstractUI.aspx?menuIndex=3&amp;refID=6904391&amp;Result=3","6904391")</f>
        <v>0</v>
      </c>
      <c r="B13412" t="s">
        <v>1471</v>
      </c>
      <c r="C13412" t="s">
        <v>15941</v>
      </c>
      <c r="E13412" t="s">
        <v>27968</v>
      </c>
      <c r="F13412" t="s">
        <v>28198</v>
      </c>
      <c r="G13412" t="s">
        <v>28205</v>
      </c>
      <c r="H13412" t="s">
        <v>28214</v>
      </c>
      <c r="I13412" t="s">
        <v>3797</v>
      </c>
      <c r="J13412" t="s">
        <v>36521</v>
      </c>
      <c r="K13412" t="s">
        <v>36689</v>
      </c>
      <c r="M13412" t="s">
        <v>38542</v>
      </c>
      <c r="N13412" t="s">
        <v>40436</v>
      </c>
      <c r="O13412" t="s">
        <v>40437</v>
      </c>
      <c r="Q13412">
        <v>0</v>
      </c>
      <c r="R13412" t="s">
        <v>40520</v>
      </c>
      <c r="S13412" t="s">
        <v>41886</v>
      </c>
      <c r="T13412" t="s">
        <v>42233</v>
      </c>
      <c r="U13412" t="s">
        <v>53572</v>
      </c>
      <c r="V13412" t="s">
        <v>55367</v>
      </c>
      <c r="W13412" t="s">
        <v>38542</v>
      </c>
      <c r="X13412" t="s">
        <v>40522</v>
      </c>
    </row>
    <row r="13413" spans="1:24">
      <c r="A13413">
        <f>HYPERLINK("https://www.philgeps.gov.ph/GEPSNONPILOT/Tender/SplashBidNoticeAbstractUI.aspx?menuIndex=3&amp;refID=6910808&amp;Result=3","6910808")</f>
        <v>0</v>
      </c>
      <c r="B13413" t="s">
        <v>3072</v>
      </c>
      <c r="C13413" t="s">
        <v>15942</v>
      </c>
      <c r="D13413" t="s">
        <v>16204</v>
      </c>
      <c r="E13413" t="s">
        <v>27969</v>
      </c>
      <c r="F13413" t="s">
        <v>28198</v>
      </c>
      <c r="G13413" t="s">
        <v>28205</v>
      </c>
      <c r="H13413" t="s">
        <v>28214</v>
      </c>
      <c r="I13413" t="s">
        <v>3797</v>
      </c>
      <c r="J13413" t="s">
        <v>36522</v>
      </c>
      <c r="K13413" t="s">
        <v>36917</v>
      </c>
      <c r="M13413" t="s">
        <v>40400</v>
      </c>
      <c r="N13413" t="s">
        <v>40436</v>
      </c>
      <c r="O13413" t="s">
        <v>40437</v>
      </c>
      <c r="Q13413">
        <v>59</v>
      </c>
      <c r="R13413" t="s">
        <v>40520</v>
      </c>
      <c r="S13413" t="s">
        <v>41887</v>
      </c>
      <c r="T13413" t="s">
        <v>42123</v>
      </c>
      <c r="U13413" t="s">
        <v>53573</v>
      </c>
      <c r="V13413" t="s">
        <v>54469</v>
      </c>
      <c r="W13413" t="s">
        <v>40400</v>
      </c>
      <c r="X13413" t="s">
        <v>40521</v>
      </c>
    </row>
    <row r="13414" spans="1:24">
      <c r="A13414">
        <f>HYPERLINK("https://www.philgeps.gov.ph/GEPSNONPILOT/Tender/SplashBidNoticeAbstractUI.aspx?menuIndex=3&amp;refID=6916255&amp;Result=3","6916255")</f>
        <v>0</v>
      </c>
      <c r="B13414" t="s">
        <v>404</v>
      </c>
      <c r="C13414" t="s">
        <v>15943</v>
      </c>
      <c r="E13414" t="s">
        <v>27970</v>
      </c>
      <c r="F13414" t="s">
        <v>28198</v>
      </c>
      <c r="G13414" t="s">
        <v>28205</v>
      </c>
      <c r="H13414" t="s">
        <v>28215</v>
      </c>
      <c r="I13414" t="s">
        <v>4168</v>
      </c>
      <c r="J13414" t="s">
        <v>36523</v>
      </c>
      <c r="K13414" t="s">
        <v>36689</v>
      </c>
      <c r="M13414" t="s">
        <v>37385</v>
      </c>
      <c r="N13414" t="s">
        <v>40436</v>
      </c>
      <c r="O13414" t="s">
        <v>40437</v>
      </c>
      <c r="Q13414">
        <v>22</v>
      </c>
      <c r="R13414" t="s">
        <v>40519</v>
      </c>
      <c r="S13414" t="s">
        <v>41888</v>
      </c>
      <c r="T13414" t="s">
        <v>42219</v>
      </c>
      <c r="U13414" t="s">
        <v>53574</v>
      </c>
      <c r="V13414" t="s">
        <v>55368</v>
      </c>
      <c r="W13414" t="s">
        <v>37385</v>
      </c>
      <c r="X13414" t="s">
        <v>40520</v>
      </c>
    </row>
    <row r="13415" spans="1:24">
      <c r="A13415">
        <f>HYPERLINK("https://www.philgeps.gov.ph/GEPSNONPILOT/Tender/SplashBidNoticeAbstractUI.aspx?menuIndex=3&amp;refID=6916849&amp;Result=3","6916849")</f>
        <v>0</v>
      </c>
      <c r="B13415" t="s">
        <v>940</v>
      </c>
      <c r="C13415" t="s">
        <v>15944</v>
      </c>
      <c r="D13415" t="s">
        <v>16193</v>
      </c>
      <c r="E13415" t="s">
        <v>27971</v>
      </c>
      <c r="F13415" t="s">
        <v>28198</v>
      </c>
      <c r="G13415" t="s">
        <v>28205</v>
      </c>
      <c r="H13415" t="s">
        <v>28214</v>
      </c>
      <c r="I13415" t="s">
        <v>3797</v>
      </c>
      <c r="J13415" t="s">
        <v>36524</v>
      </c>
      <c r="K13415" t="s">
        <v>36694</v>
      </c>
      <c r="M13415" t="s">
        <v>37963</v>
      </c>
      <c r="N13415" t="s">
        <v>40436</v>
      </c>
      <c r="O13415" t="s">
        <v>40437</v>
      </c>
      <c r="Q13415">
        <v>2</v>
      </c>
      <c r="R13415" t="s">
        <v>40519</v>
      </c>
      <c r="S13415" t="s">
        <v>41889</v>
      </c>
      <c r="T13415" t="s">
        <v>42427</v>
      </c>
      <c r="U13415" t="s">
        <v>53567</v>
      </c>
      <c r="V13415" t="s">
        <v>55369</v>
      </c>
      <c r="W13415" t="s">
        <v>37963</v>
      </c>
      <c r="X13415" t="s">
        <v>40520</v>
      </c>
    </row>
    <row r="13416" spans="1:24">
      <c r="A13416">
        <f>HYPERLINK("https://www.philgeps.gov.ph/GEPSNONPILOT/Tender/SplashBidNoticeAbstractUI.aspx?menuIndex=3&amp;refID=6916166&amp;Result=3","6916166")</f>
        <v>0</v>
      </c>
      <c r="B13416" t="s">
        <v>1607</v>
      </c>
      <c r="C13416" t="s">
        <v>15945</v>
      </c>
      <c r="D13416" t="s">
        <v>16193</v>
      </c>
      <c r="E13416" t="s">
        <v>27972</v>
      </c>
      <c r="F13416" t="s">
        <v>28198</v>
      </c>
      <c r="G13416" t="s">
        <v>28205</v>
      </c>
      <c r="H13416" t="s">
        <v>28214</v>
      </c>
      <c r="I13416" t="s">
        <v>3797</v>
      </c>
      <c r="J13416" t="s">
        <v>36525</v>
      </c>
      <c r="K13416" t="s">
        <v>36761</v>
      </c>
      <c r="M13416" t="s">
        <v>40059</v>
      </c>
      <c r="N13416" t="s">
        <v>40436</v>
      </c>
      <c r="O13416" t="s">
        <v>40437</v>
      </c>
      <c r="Q13416">
        <v>26</v>
      </c>
      <c r="R13416" t="s">
        <v>40519</v>
      </c>
      <c r="S13416" t="s">
        <v>41890</v>
      </c>
      <c r="T13416" t="s">
        <v>42134</v>
      </c>
      <c r="U13416" t="s">
        <v>53417</v>
      </c>
      <c r="V13416" t="s">
        <v>55370</v>
      </c>
      <c r="W13416" t="s">
        <v>40059</v>
      </c>
      <c r="X13416" t="s">
        <v>40520</v>
      </c>
    </row>
    <row r="13417" spans="1:24">
      <c r="A13417">
        <f>HYPERLINK("https://www.philgeps.gov.ph/GEPSNONPILOT/Tender/SplashBidNoticeAbstractUI.aspx?menuIndex=3&amp;refID=6916232&amp;Result=3","6916232")</f>
        <v>0</v>
      </c>
      <c r="B13417" t="s">
        <v>3077</v>
      </c>
      <c r="C13417" t="s">
        <v>15946</v>
      </c>
      <c r="D13417" t="s">
        <v>16200</v>
      </c>
      <c r="E13417" t="s">
        <v>27973</v>
      </c>
      <c r="F13417" t="s">
        <v>28198</v>
      </c>
      <c r="G13417" t="s">
        <v>28205</v>
      </c>
      <c r="H13417" t="s">
        <v>28215</v>
      </c>
      <c r="I13417" t="s">
        <v>28231</v>
      </c>
      <c r="J13417" t="s">
        <v>36526</v>
      </c>
      <c r="K13417" t="s">
        <v>36756</v>
      </c>
      <c r="M13417" t="s">
        <v>40408</v>
      </c>
      <c r="N13417" t="s">
        <v>40436</v>
      </c>
      <c r="O13417" t="s">
        <v>40437</v>
      </c>
      <c r="Q13417">
        <v>4</v>
      </c>
      <c r="R13417" t="s">
        <v>40519</v>
      </c>
      <c r="S13417" t="s">
        <v>41891</v>
      </c>
      <c r="T13417" t="s">
        <v>42176</v>
      </c>
      <c r="U13417" t="s">
        <v>53575</v>
      </c>
      <c r="W13417" t="s">
        <v>40408</v>
      </c>
      <c r="X13417" t="s">
        <v>40520</v>
      </c>
    </row>
    <row r="13418" spans="1:24">
      <c r="A13418">
        <f>HYPERLINK("https://www.philgeps.gov.ph/GEPSNONPILOT/Tender/SplashBidNoticeAbstractUI.aspx?menuIndex=3&amp;refID=6916006&amp;Result=3","6916006")</f>
        <v>0</v>
      </c>
      <c r="B13418" t="s">
        <v>1607</v>
      </c>
      <c r="C13418" t="s">
        <v>15947</v>
      </c>
      <c r="D13418" t="s">
        <v>16221</v>
      </c>
      <c r="E13418" t="s">
        <v>27974</v>
      </c>
      <c r="F13418" t="s">
        <v>28198</v>
      </c>
      <c r="G13418" t="s">
        <v>28205</v>
      </c>
      <c r="H13418" t="s">
        <v>28214</v>
      </c>
      <c r="I13418" t="s">
        <v>3797</v>
      </c>
      <c r="J13418" t="s">
        <v>36051</v>
      </c>
      <c r="K13418" t="s">
        <v>36761</v>
      </c>
      <c r="M13418" t="s">
        <v>40059</v>
      </c>
      <c r="N13418" t="s">
        <v>40436</v>
      </c>
      <c r="O13418" t="s">
        <v>40437</v>
      </c>
      <c r="Q13418">
        <v>32</v>
      </c>
      <c r="R13418" t="s">
        <v>40519</v>
      </c>
      <c r="S13418" t="s">
        <v>41892</v>
      </c>
      <c r="T13418" t="s">
        <v>42134</v>
      </c>
      <c r="U13418" t="s">
        <v>53417</v>
      </c>
      <c r="V13418" t="s">
        <v>55370</v>
      </c>
      <c r="W13418" t="s">
        <v>40059</v>
      </c>
      <c r="X13418" t="s">
        <v>40520</v>
      </c>
    </row>
    <row r="13419" spans="1:24">
      <c r="A13419">
        <f>HYPERLINK("https://www.philgeps.gov.ph/GEPSNONPILOT/Tender/SplashBidNoticeAbstractUI.aspx?menuIndex=3&amp;refID=6915572&amp;Result=3","6915572")</f>
        <v>0</v>
      </c>
      <c r="B13419" t="s">
        <v>940</v>
      </c>
      <c r="C13419" t="s">
        <v>15948</v>
      </c>
      <c r="D13419" t="s">
        <v>16195</v>
      </c>
      <c r="E13419" t="s">
        <v>27975</v>
      </c>
      <c r="F13419" t="s">
        <v>28198</v>
      </c>
      <c r="G13419" t="s">
        <v>28205</v>
      </c>
      <c r="H13419" t="s">
        <v>28215</v>
      </c>
      <c r="I13419" t="s">
        <v>28280</v>
      </c>
      <c r="J13419" t="s">
        <v>36527</v>
      </c>
      <c r="K13419" t="s">
        <v>36835</v>
      </c>
      <c r="M13419" t="s">
        <v>37963</v>
      </c>
      <c r="N13419" t="s">
        <v>40436</v>
      </c>
      <c r="O13419" t="s">
        <v>40437</v>
      </c>
      <c r="Q13419">
        <v>11</v>
      </c>
      <c r="R13419" t="s">
        <v>40519</v>
      </c>
      <c r="S13419" t="s">
        <v>41893</v>
      </c>
      <c r="T13419" t="s">
        <v>42459</v>
      </c>
      <c r="U13419" t="s">
        <v>53576</v>
      </c>
      <c r="V13419" t="s">
        <v>55371</v>
      </c>
      <c r="W13419" t="s">
        <v>37963</v>
      </c>
      <c r="X13419" t="s">
        <v>40520</v>
      </c>
    </row>
    <row r="13420" spans="1:24">
      <c r="A13420">
        <f>HYPERLINK("https://www.philgeps.gov.ph/GEPSNONPILOT/Tender/SplashBidNoticeAbstractUI.aspx?menuIndex=3&amp;refID=6911173&amp;Result=3","6911173")</f>
        <v>0</v>
      </c>
      <c r="B13420" t="s">
        <v>2627</v>
      </c>
      <c r="C13420" t="s">
        <v>15949</v>
      </c>
      <c r="D13420" t="s">
        <v>16203</v>
      </c>
      <c r="E13420" t="s">
        <v>27976</v>
      </c>
      <c r="F13420" t="s">
        <v>28198</v>
      </c>
      <c r="G13420" t="s">
        <v>28205</v>
      </c>
      <c r="H13420" t="s">
        <v>28215</v>
      </c>
      <c r="I13420" t="s">
        <v>3774</v>
      </c>
      <c r="J13420" t="s">
        <v>36528</v>
      </c>
      <c r="K13420" t="s">
        <v>36707</v>
      </c>
      <c r="M13420" t="s">
        <v>39848</v>
      </c>
      <c r="N13420" t="s">
        <v>40436</v>
      </c>
      <c r="O13420" t="s">
        <v>40437</v>
      </c>
      <c r="Q13420">
        <v>10</v>
      </c>
      <c r="R13420" t="s">
        <v>40520</v>
      </c>
      <c r="S13420" t="s">
        <v>41894</v>
      </c>
      <c r="T13420" t="s">
        <v>42390</v>
      </c>
      <c r="U13420" t="s">
        <v>53577</v>
      </c>
      <c r="W13420" t="s">
        <v>39848</v>
      </c>
      <c r="X13420" t="s">
        <v>40521</v>
      </c>
    </row>
    <row r="13421" spans="1:24">
      <c r="A13421">
        <f>HYPERLINK("https://www.philgeps.gov.ph/GEPSNONPILOT/Tender/SplashBidNoticeAbstractUI.aspx?menuIndex=3&amp;refID=6915968&amp;Result=3","6915968")</f>
        <v>0</v>
      </c>
      <c r="B13421" t="s">
        <v>3060</v>
      </c>
      <c r="C13421" t="s">
        <v>15950</v>
      </c>
      <c r="E13421" t="s">
        <v>27977</v>
      </c>
      <c r="F13421" t="s">
        <v>28198</v>
      </c>
      <c r="G13421" t="s">
        <v>28205</v>
      </c>
      <c r="H13421" t="s">
        <v>28217</v>
      </c>
      <c r="I13421" t="s">
        <v>28231</v>
      </c>
      <c r="J13421" t="s">
        <v>36529</v>
      </c>
      <c r="K13421" t="s">
        <v>36788</v>
      </c>
      <c r="M13421" t="s">
        <v>40377</v>
      </c>
      <c r="N13421" t="s">
        <v>40436</v>
      </c>
      <c r="O13421" t="s">
        <v>40437</v>
      </c>
      <c r="Q13421">
        <v>5</v>
      </c>
      <c r="R13421" t="s">
        <v>40519</v>
      </c>
      <c r="S13421" t="s">
        <v>41895</v>
      </c>
      <c r="T13421" t="s">
        <v>42110</v>
      </c>
      <c r="U13421" t="s">
        <v>53578</v>
      </c>
      <c r="W13421" t="s">
        <v>40377</v>
      </c>
      <c r="X13421" t="s">
        <v>40520</v>
      </c>
    </row>
    <row r="13422" spans="1:24">
      <c r="A13422">
        <f>HYPERLINK("https://www.philgeps.gov.ph/GEPSNONPILOT/Tender/SplashBidNoticeAbstractUI.aspx?menuIndex=3&amp;refID=6915951&amp;Result=3","6915951")</f>
        <v>0</v>
      </c>
      <c r="B13422" t="s">
        <v>1607</v>
      </c>
      <c r="C13422" t="s">
        <v>15951</v>
      </c>
      <c r="D13422" t="s">
        <v>16221</v>
      </c>
      <c r="E13422" t="s">
        <v>27978</v>
      </c>
      <c r="F13422" t="s">
        <v>28198</v>
      </c>
      <c r="G13422" t="s">
        <v>28205</v>
      </c>
      <c r="H13422" t="s">
        <v>28214</v>
      </c>
      <c r="I13422" t="s">
        <v>3797</v>
      </c>
      <c r="J13422" t="s">
        <v>36530</v>
      </c>
      <c r="K13422" t="s">
        <v>36710</v>
      </c>
      <c r="M13422" t="s">
        <v>40059</v>
      </c>
      <c r="N13422" t="s">
        <v>40436</v>
      </c>
      <c r="O13422" t="s">
        <v>40437</v>
      </c>
      <c r="Q13422">
        <v>23</v>
      </c>
      <c r="R13422" t="s">
        <v>40519</v>
      </c>
      <c r="S13422" t="s">
        <v>41896</v>
      </c>
      <c r="T13422" t="s">
        <v>42134</v>
      </c>
      <c r="U13422" t="s">
        <v>53417</v>
      </c>
      <c r="V13422" t="s">
        <v>55370</v>
      </c>
      <c r="W13422" t="s">
        <v>40059</v>
      </c>
      <c r="X13422" t="s">
        <v>40520</v>
      </c>
    </row>
    <row r="13423" spans="1:24">
      <c r="A13423">
        <f>HYPERLINK("https://www.philgeps.gov.ph/GEPSNONPILOT/Tender/SplashBidNoticeAbstractUI.aspx?menuIndex=3&amp;refID=6912155&amp;Result=3","6912155")</f>
        <v>0</v>
      </c>
      <c r="B13423" t="s">
        <v>1223</v>
      </c>
      <c r="C13423" t="s">
        <v>15952</v>
      </c>
      <c r="D13423" t="s">
        <v>16188</v>
      </c>
      <c r="E13423" t="s">
        <v>27979</v>
      </c>
      <c r="F13423" t="s">
        <v>28198</v>
      </c>
      <c r="G13423" t="s">
        <v>28205</v>
      </c>
      <c r="H13423" t="s">
        <v>28215</v>
      </c>
      <c r="I13423" t="s">
        <v>4505</v>
      </c>
      <c r="J13423" t="s">
        <v>36531</v>
      </c>
      <c r="K13423" t="s">
        <v>36694</v>
      </c>
      <c r="M13423" t="s">
        <v>40409</v>
      </c>
      <c r="N13423" t="s">
        <v>40436</v>
      </c>
      <c r="O13423" t="s">
        <v>40437</v>
      </c>
      <c r="Q13423">
        <v>4</v>
      </c>
      <c r="R13423" t="s">
        <v>40520</v>
      </c>
      <c r="S13423" t="s">
        <v>41897</v>
      </c>
      <c r="T13423" t="s">
        <v>42100</v>
      </c>
      <c r="U13423" t="s">
        <v>53579</v>
      </c>
      <c r="W13423" t="s">
        <v>40409</v>
      </c>
      <c r="X13423" t="s">
        <v>40521</v>
      </c>
    </row>
    <row r="13424" spans="1:24">
      <c r="A13424">
        <f>HYPERLINK("https://www.philgeps.gov.ph/GEPSNONPILOT/Tender/SplashBidNoticeAbstractUI.aspx?menuIndex=3&amp;refID=6912190&amp;Result=3","6912190")</f>
        <v>0</v>
      </c>
      <c r="B13424" t="s">
        <v>1223</v>
      </c>
      <c r="C13424" t="s">
        <v>15953</v>
      </c>
      <c r="D13424" t="s">
        <v>16188</v>
      </c>
      <c r="E13424" t="s">
        <v>27980</v>
      </c>
      <c r="F13424" t="s">
        <v>28198</v>
      </c>
      <c r="G13424" t="s">
        <v>28205</v>
      </c>
      <c r="H13424" t="s">
        <v>28215</v>
      </c>
      <c r="I13424" t="s">
        <v>28248</v>
      </c>
      <c r="J13424" t="s">
        <v>28447</v>
      </c>
      <c r="K13424" t="s">
        <v>36694</v>
      </c>
      <c r="M13424" t="s">
        <v>40409</v>
      </c>
      <c r="N13424" t="s">
        <v>40436</v>
      </c>
      <c r="O13424" t="s">
        <v>40437</v>
      </c>
      <c r="Q13424">
        <v>14</v>
      </c>
      <c r="R13424" t="s">
        <v>40520</v>
      </c>
      <c r="S13424" t="s">
        <v>41898</v>
      </c>
      <c r="T13424" t="s">
        <v>42179</v>
      </c>
      <c r="U13424" t="s">
        <v>53580</v>
      </c>
      <c r="W13424" t="s">
        <v>40409</v>
      </c>
      <c r="X13424" t="s">
        <v>40521</v>
      </c>
    </row>
    <row r="13425" spans="1:24">
      <c r="A13425">
        <f>HYPERLINK("https://www.philgeps.gov.ph/GEPSNONPILOT/Tender/SplashBidNoticeAbstractUI.aspx?menuIndex=3&amp;refID=6912085&amp;Result=3","6912085")</f>
        <v>0</v>
      </c>
      <c r="B13425" t="s">
        <v>1223</v>
      </c>
      <c r="C13425" t="s">
        <v>15954</v>
      </c>
      <c r="D13425" t="s">
        <v>16188</v>
      </c>
      <c r="E13425" t="s">
        <v>27981</v>
      </c>
      <c r="F13425" t="s">
        <v>28198</v>
      </c>
      <c r="G13425" t="s">
        <v>28205</v>
      </c>
      <c r="H13425" t="s">
        <v>28215</v>
      </c>
      <c r="I13425" t="s">
        <v>28267</v>
      </c>
      <c r="J13425" t="s">
        <v>36532</v>
      </c>
      <c r="K13425" t="s">
        <v>36694</v>
      </c>
      <c r="M13425" t="s">
        <v>40409</v>
      </c>
      <c r="N13425" t="s">
        <v>40436</v>
      </c>
      <c r="O13425" t="s">
        <v>40437</v>
      </c>
      <c r="Q13425">
        <v>2</v>
      </c>
      <c r="R13425" t="s">
        <v>40520</v>
      </c>
      <c r="S13425" t="s">
        <v>41899</v>
      </c>
      <c r="T13425" t="s">
        <v>42100</v>
      </c>
      <c r="U13425" t="s">
        <v>53581</v>
      </c>
      <c r="W13425" t="s">
        <v>40409</v>
      </c>
      <c r="X13425" t="s">
        <v>40521</v>
      </c>
    </row>
    <row r="13426" spans="1:24">
      <c r="A13426">
        <f>HYPERLINK("https://www.philgeps.gov.ph/GEPSNONPILOT/Tender/SplashBidNoticeAbstractUI.aspx?menuIndex=3&amp;refID=6909761&amp;Result=3","6909761")</f>
        <v>0</v>
      </c>
      <c r="B13426" t="s">
        <v>944</v>
      </c>
      <c r="C13426" t="s">
        <v>15955</v>
      </c>
      <c r="D13426" t="s">
        <v>16210</v>
      </c>
      <c r="E13426" t="s">
        <v>27982</v>
      </c>
      <c r="F13426" t="s">
        <v>28198</v>
      </c>
      <c r="G13426" t="s">
        <v>28205</v>
      </c>
      <c r="H13426" t="s">
        <v>28214</v>
      </c>
      <c r="I13426" t="s">
        <v>3797</v>
      </c>
      <c r="J13426" t="s">
        <v>36533</v>
      </c>
      <c r="K13426" t="s">
        <v>36761</v>
      </c>
      <c r="M13426" t="s">
        <v>40410</v>
      </c>
      <c r="N13426" t="s">
        <v>40436</v>
      </c>
      <c r="O13426" t="s">
        <v>40437</v>
      </c>
      <c r="Q13426">
        <v>27</v>
      </c>
      <c r="R13426" t="s">
        <v>40520</v>
      </c>
      <c r="S13426" t="s">
        <v>41900</v>
      </c>
      <c r="T13426" t="s">
        <v>42614</v>
      </c>
      <c r="U13426" t="s">
        <v>53582</v>
      </c>
      <c r="W13426" t="s">
        <v>40410</v>
      </c>
      <c r="X13426" t="s">
        <v>40521</v>
      </c>
    </row>
    <row r="13427" spans="1:24">
      <c r="A13427">
        <f>HYPERLINK("https://www.philgeps.gov.ph/GEPSNONPILOT/Tender/SplashBidNoticeAbstractUI.aspx?menuIndex=3&amp;refID=6912133&amp;Result=3","6912133")</f>
        <v>0</v>
      </c>
      <c r="B13427" t="s">
        <v>1223</v>
      </c>
      <c r="C13427" t="s">
        <v>15956</v>
      </c>
      <c r="D13427" t="s">
        <v>16188</v>
      </c>
      <c r="E13427" t="s">
        <v>27983</v>
      </c>
      <c r="F13427" t="s">
        <v>28198</v>
      </c>
      <c r="G13427" t="s">
        <v>28205</v>
      </c>
      <c r="H13427" t="s">
        <v>28215</v>
      </c>
      <c r="I13427" t="s">
        <v>4505</v>
      </c>
      <c r="J13427" t="s">
        <v>36534</v>
      </c>
      <c r="K13427" t="s">
        <v>36694</v>
      </c>
      <c r="M13427" t="s">
        <v>40409</v>
      </c>
      <c r="N13427" t="s">
        <v>40436</v>
      </c>
      <c r="O13427" t="s">
        <v>40437</v>
      </c>
      <c r="Q13427">
        <v>5</v>
      </c>
      <c r="R13427" t="s">
        <v>40520</v>
      </c>
      <c r="S13427" t="s">
        <v>41901</v>
      </c>
      <c r="T13427" t="s">
        <v>42100</v>
      </c>
      <c r="U13427" t="s">
        <v>53583</v>
      </c>
      <c r="W13427" t="s">
        <v>40409</v>
      </c>
      <c r="X13427" t="s">
        <v>40521</v>
      </c>
    </row>
    <row r="13428" spans="1:24">
      <c r="A13428">
        <f>HYPERLINK("https://www.philgeps.gov.ph/GEPSNONPILOT/Tender/SplashBidNoticeAbstractUI.aspx?menuIndex=3&amp;refID=6911999&amp;Result=3","6911999")</f>
        <v>0</v>
      </c>
      <c r="B13428" t="s">
        <v>1223</v>
      </c>
      <c r="C13428" t="s">
        <v>15957</v>
      </c>
      <c r="D13428" t="s">
        <v>16188</v>
      </c>
      <c r="E13428" t="s">
        <v>27984</v>
      </c>
      <c r="F13428" t="s">
        <v>28198</v>
      </c>
      <c r="G13428" t="s">
        <v>28205</v>
      </c>
      <c r="H13428" t="s">
        <v>28215</v>
      </c>
      <c r="I13428" t="s">
        <v>4505</v>
      </c>
      <c r="J13428" t="s">
        <v>29190</v>
      </c>
      <c r="K13428" t="s">
        <v>36694</v>
      </c>
      <c r="M13428" t="s">
        <v>40409</v>
      </c>
      <c r="N13428" t="s">
        <v>40436</v>
      </c>
      <c r="O13428" t="s">
        <v>40437</v>
      </c>
      <c r="Q13428">
        <v>3</v>
      </c>
      <c r="R13428" t="s">
        <v>40520</v>
      </c>
      <c r="S13428" t="s">
        <v>41902</v>
      </c>
      <c r="T13428" t="s">
        <v>42100</v>
      </c>
      <c r="U13428" t="s">
        <v>53584</v>
      </c>
      <c r="W13428" t="s">
        <v>40409</v>
      </c>
      <c r="X13428" t="s">
        <v>40521</v>
      </c>
    </row>
    <row r="13429" spans="1:24">
      <c r="A13429">
        <f>HYPERLINK("https://www.philgeps.gov.ph/GEPSNONPILOT/Tender/SplashBidNoticeAbstractUI.aspx?menuIndex=3&amp;refID=6911936&amp;Result=3","6911936")</f>
        <v>0</v>
      </c>
      <c r="B13429" t="s">
        <v>1223</v>
      </c>
      <c r="C13429" t="s">
        <v>15958</v>
      </c>
      <c r="D13429" t="s">
        <v>16188</v>
      </c>
      <c r="E13429" t="s">
        <v>27985</v>
      </c>
      <c r="F13429" t="s">
        <v>28198</v>
      </c>
      <c r="G13429" t="s">
        <v>28205</v>
      </c>
      <c r="H13429" t="s">
        <v>28215</v>
      </c>
      <c r="I13429" t="s">
        <v>28261</v>
      </c>
      <c r="J13429" t="s">
        <v>36535</v>
      </c>
      <c r="K13429" t="s">
        <v>36694</v>
      </c>
      <c r="M13429" t="s">
        <v>40409</v>
      </c>
      <c r="N13429" t="s">
        <v>40436</v>
      </c>
      <c r="O13429" t="s">
        <v>40437</v>
      </c>
      <c r="Q13429">
        <v>3</v>
      </c>
      <c r="R13429" t="s">
        <v>40520</v>
      </c>
      <c r="S13429" t="s">
        <v>41040</v>
      </c>
      <c r="T13429" t="s">
        <v>42100</v>
      </c>
      <c r="U13429" t="s">
        <v>53585</v>
      </c>
      <c r="W13429" t="s">
        <v>40409</v>
      </c>
      <c r="X13429" t="s">
        <v>40521</v>
      </c>
    </row>
    <row r="13430" spans="1:24">
      <c r="A13430">
        <f>HYPERLINK("https://www.philgeps.gov.ph/GEPSNONPILOT/Tender/SplashBidNoticeAbstractUI.aspx?menuIndex=3&amp;refID=6904927&amp;Result=3","6904927")</f>
        <v>0</v>
      </c>
      <c r="B13430" t="s">
        <v>581</v>
      </c>
      <c r="C13430" t="s">
        <v>15959</v>
      </c>
      <c r="D13430" t="s">
        <v>16210</v>
      </c>
      <c r="E13430" t="s">
        <v>27986</v>
      </c>
      <c r="F13430" t="s">
        <v>28198</v>
      </c>
      <c r="G13430" t="s">
        <v>28205</v>
      </c>
      <c r="H13430" t="s">
        <v>28215</v>
      </c>
      <c r="I13430" t="s">
        <v>28238</v>
      </c>
      <c r="J13430" t="s">
        <v>33703</v>
      </c>
      <c r="K13430" t="s">
        <v>36701</v>
      </c>
      <c r="M13430" t="s">
        <v>37916</v>
      </c>
      <c r="N13430" t="s">
        <v>40436</v>
      </c>
      <c r="O13430" t="s">
        <v>40437</v>
      </c>
      <c r="Q13430">
        <v>19</v>
      </c>
      <c r="R13430" t="s">
        <v>40520</v>
      </c>
      <c r="S13430" t="s">
        <v>41903</v>
      </c>
      <c r="T13430" t="s">
        <v>42228</v>
      </c>
      <c r="U13430" t="s">
        <v>53586</v>
      </c>
      <c r="W13430" t="s">
        <v>37916</v>
      </c>
      <c r="X13430" t="s">
        <v>40522</v>
      </c>
    </row>
    <row r="13431" spans="1:24">
      <c r="A13431">
        <f>HYPERLINK("https://www.philgeps.gov.ph/GEPSNONPILOT/Tender/SplashBidNoticeAbstractUI.aspx?menuIndex=3&amp;refID=6912137&amp;Result=3","6912137")</f>
        <v>0</v>
      </c>
      <c r="B13431" t="s">
        <v>2627</v>
      </c>
      <c r="C13431" t="s">
        <v>15960</v>
      </c>
      <c r="D13431" t="s">
        <v>16206</v>
      </c>
      <c r="E13431" t="s">
        <v>27976</v>
      </c>
      <c r="F13431" t="s">
        <v>28198</v>
      </c>
      <c r="G13431" t="s">
        <v>28205</v>
      </c>
      <c r="H13431" t="s">
        <v>28214</v>
      </c>
      <c r="I13431" t="s">
        <v>3797</v>
      </c>
      <c r="J13431" t="s">
        <v>36536</v>
      </c>
      <c r="K13431" t="s">
        <v>36690</v>
      </c>
      <c r="M13431" t="s">
        <v>39848</v>
      </c>
      <c r="N13431" t="s">
        <v>40436</v>
      </c>
      <c r="O13431" t="s">
        <v>40437</v>
      </c>
      <c r="Q13431">
        <v>30</v>
      </c>
      <c r="R13431" t="s">
        <v>40520</v>
      </c>
      <c r="S13431" t="s">
        <v>41904</v>
      </c>
      <c r="T13431" t="s">
        <v>42390</v>
      </c>
      <c r="U13431" t="s">
        <v>53587</v>
      </c>
      <c r="W13431" t="s">
        <v>39848</v>
      </c>
      <c r="X13431" t="s">
        <v>40521</v>
      </c>
    </row>
    <row r="13432" spans="1:24">
      <c r="A13432">
        <f>HYPERLINK("https://www.philgeps.gov.ph/GEPSNONPILOT/Tender/SplashBidNoticeAbstractUI.aspx?menuIndex=3&amp;refID=6911898&amp;Result=3","6911898")</f>
        <v>0</v>
      </c>
      <c r="B13432" t="s">
        <v>1223</v>
      </c>
      <c r="C13432" t="s">
        <v>15961</v>
      </c>
      <c r="D13432" t="s">
        <v>16188</v>
      </c>
      <c r="E13432" t="s">
        <v>27987</v>
      </c>
      <c r="F13432" t="s">
        <v>28198</v>
      </c>
      <c r="G13432" t="s">
        <v>28205</v>
      </c>
      <c r="H13432" t="s">
        <v>28215</v>
      </c>
      <c r="I13432" t="s">
        <v>7310</v>
      </c>
      <c r="J13432" t="s">
        <v>36537</v>
      </c>
      <c r="K13432" t="s">
        <v>36694</v>
      </c>
      <c r="M13432" t="s">
        <v>40409</v>
      </c>
      <c r="N13432" t="s">
        <v>40436</v>
      </c>
      <c r="O13432" t="s">
        <v>40437</v>
      </c>
      <c r="Q13432">
        <v>29</v>
      </c>
      <c r="R13432" t="s">
        <v>40520</v>
      </c>
      <c r="S13432" t="s">
        <v>41364</v>
      </c>
      <c r="T13432" t="s">
        <v>42100</v>
      </c>
      <c r="U13432" t="s">
        <v>53588</v>
      </c>
      <c r="W13432" t="s">
        <v>40409</v>
      </c>
      <c r="X13432" t="s">
        <v>40521</v>
      </c>
    </row>
    <row r="13433" spans="1:24">
      <c r="A13433">
        <f>HYPERLINK("https://www.philgeps.gov.ph/GEPSNONPILOT/Tender/SplashBidNoticeAbstractUI.aspx?menuIndex=3&amp;refID=6911967&amp;Result=3","6911967")</f>
        <v>0</v>
      </c>
      <c r="B13433" t="s">
        <v>1223</v>
      </c>
      <c r="C13433" t="s">
        <v>15962</v>
      </c>
      <c r="D13433" t="s">
        <v>16188</v>
      </c>
      <c r="E13433" t="s">
        <v>27988</v>
      </c>
      <c r="F13433" t="s">
        <v>28198</v>
      </c>
      <c r="G13433" t="s">
        <v>28205</v>
      </c>
      <c r="H13433" t="s">
        <v>28215</v>
      </c>
      <c r="I13433" t="s">
        <v>28261</v>
      </c>
      <c r="J13433" t="s">
        <v>36538</v>
      </c>
      <c r="K13433" t="s">
        <v>36694</v>
      </c>
      <c r="M13433" t="s">
        <v>40409</v>
      </c>
      <c r="N13433" t="s">
        <v>40436</v>
      </c>
      <c r="O13433" t="s">
        <v>40437</v>
      </c>
      <c r="Q13433">
        <v>3</v>
      </c>
      <c r="R13433" t="s">
        <v>40520</v>
      </c>
      <c r="S13433" t="s">
        <v>41905</v>
      </c>
      <c r="T13433" t="s">
        <v>42100</v>
      </c>
      <c r="U13433" t="s">
        <v>53589</v>
      </c>
      <c r="W13433" t="s">
        <v>40409</v>
      </c>
      <c r="X13433" t="s">
        <v>40521</v>
      </c>
    </row>
    <row r="13434" spans="1:24">
      <c r="A13434">
        <f>HYPERLINK("https://www.philgeps.gov.ph/GEPSNONPILOT/Tender/SplashBidNoticeAbstractUI.aspx?menuIndex=3&amp;refID=6912117&amp;Result=3","6912117")</f>
        <v>0</v>
      </c>
      <c r="B13434" t="s">
        <v>1223</v>
      </c>
      <c r="C13434" t="s">
        <v>15963</v>
      </c>
      <c r="D13434" t="s">
        <v>16188</v>
      </c>
      <c r="E13434" t="s">
        <v>27989</v>
      </c>
      <c r="F13434" t="s">
        <v>28198</v>
      </c>
      <c r="G13434" t="s">
        <v>28205</v>
      </c>
      <c r="H13434" t="s">
        <v>28215</v>
      </c>
      <c r="I13434" t="s">
        <v>4505</v>
      </c>
      <c r="J13434" t="s">
        <v>36539</v>
      </c>
      <c r="K13434" t="s">
        <v>36694</v>
      </c>
      <c r="M13434" t="s">
        <v>40409</v>
      </c>
      <c r="N13434" t="s">
        <v>40436</v>
      </c>
      <c r="O13434" t="s">
        <v>40437</v>
      </c>
      <c r="Q13434">
        <v>8</v>
      </c>
      <c r="R13434" t="s">
        <v>40520</v>
      </c>
      <c r="S13434" t="s">
        <v>41906</v>
      </c>
      <c r="T13434" t="s">
        <v>42100</v>
      </c>
      <c r="U13434" t="s">
        <v>53590</v>
      </c>
      <c r="W13434" t="s">
        <v>40409</v>
      </c>
      <c r="X13434" t="s">
        <v>40521</v>
      </c>
    </row>
    <row r="13435" spans="1:24">
      <c r="A13435">
        <f>HYPERLINK("https://www.philgeps.gov.ph/GEPSNONPILOT/Tender/SplashBidNoticeAbstractUI.aspx?menuIndex=3&amp;refID=6911751&amp;Result=3","6911751")</f>
        <v>0</v>
      </c>
      <c r="B13435" t="s">
        <v>940</v>
      </c>
      <c r="C13435" t="s">
        <v>15964</v>
      </c>
      <c r="D13435" t="s">
        <v>16278</v>
      </c>
      <c r="E13435" t="s">
        <v>27990</v>
      </c>
      <c r="F13435" t="s">
        <v>28198</v>
      </c>
      <c r="G13435" t="s">
        <v>28205</v>
      </c>
      <c r="H13435" t="s">
        <v>28214</v>
      </c>
      <c r="I13435" t="s">
        <v>28280</v>
      </c>
      <c r="J13435" t="s">
        <v>36540</v>
      </c>
      <c r="K13435" t="s">
        <v>36697</v>
      </c>
      <c r="M13435" t="s">
        <v>37963</v>
      </c>
      <c r="N13435" t="s">
        <v>40436</v>
      </c>
      <c r="O13435" t="s">
        <v>40437</v>
      </c>
      <c r="Q13435">
        <v>5</v>
      </c>
      <c r="R13435" t="s">
        <v>40520</v>
      </c>
      <c r="S13435" t="s">
        <v>41514</v>
      </c>
      <c r="T13435" t="s">
        <v>42529</v>
      </c>
      <c r="U13435" t="s">
        <v>53591</v>
      </c>
      <c r="V13435" t="s">
        <v>55372</v>
      </c>
      <c r="W13435" t="s">
        <v>37963</v>
      </c>
      <c r="X13435" t="s">
        <v>40521</v>
      </c>
    </row>
    <row r="13436" spans="1:24">
      <c r="A13436">
        <f>HYPERLINK("https://www.philgeps.gov.ph/GEPSNONPILOT/Tender/SplashBidNoticeAbstractUI.aspx?menuIndex=3&amp;refID=6911777&amp;Result=3","6911777")</f>
        <v>0</v>
      </c>
      <c r="B13436" t="s">
        <v>1223</v>
      </c>
      <c r="C13436" t="s">
        <v>15965</v>
      </c>
      <c r="D13436" t="s">
        <v>16188</v>
      </c>
      <c r="E13436" t="s">
        <v>27991</v>
      </c>
      <c r="F13436" t="s">
        <v>28198</v>
      </c>
      <c r="G13436" t="s">
        <v>28205</v>
      </c>
      <c r="H13436" t="s">
        <v>28215</v>
      </c>
      <c r="I13436" t="s">
        <v>7310</v>
      </c>
      <c r="J13436" t="s">
        <v>35784</v>
      </c>
      <c r="K13436" t="s">
        <v>36694</v>
      </c>
      <c r="M13436" t="s">
        <v>40409</v>
      </c>
      <c r="N13436" t="s">
        <v>40436</v>
      </c>
      <c r="O13436" t="s">
        <v>40437</v>
      </c>
      <c r="Q13436">
        <v>26</v>
      </c>
      <c r="R13436" t="s">
        <v>40520</v>
      </c>
      <c r="S13436" t="s">
        <v>41369</v>
      </c>
      <c r="T13436" t="s">
        <v>42100</v>
      </c>
      <c r="U13436" t="s">
        <v>53592</v>
      </c>
      <c r="W13436" t="s">
        <v>40409</v>
      </c>
      <c r="X13436" t="s">
        <v>40521</v>
      </c>
    </row>
    <row r="13437" spans="1:24">
      <c r="A13437">
        <f>HYPERLINK("https://www.philgeps.gov.ph/GEPSNONPILOT/Tender/SplashBidNoticeAbstractUI.aspx?menuIndex=3&amp;refID=6911641&amp;Result=3","6911641")</f>
        <v>0</v>
      </c>
      <c r="B13437" t="s">
        <v>940</v>
      </c>
      <c r="C13437" t="s">
        <v>15966</v>
      </c>
      <c r="D13437" t="s">
        <v>16278</v>
      </c>
      <c r="E13437" t="s">
        <v>27992</v>
      </c>
      <c r="F13437" t="s">
        <v>28198</v>
      </c>
      <c r="G13437" t="s">
        <v>28205</v>
      </c>
      <c r="H13437" t="s">
        <v>28215</v>
      </c>
      <c r="I13437" t="s">
        <v>28231</v>
      </c>
      <c r="J13437" t="s">
        <v>36541</v>
      </c>
      <c r="K13437" t="s">
        <v>36744</v>
      </c>
      <c r="M13437" t="s">
        <v>37963</v>
      </c>
      <c r="N13437" t="s">
        <v>40436</v>
      </c>
      <c r="O13437" t="s">
        <v>40437</v>
      </c>
      <c r="Q13437">
        <v>4</v>
      </c>
      <c r="R13437" t="s">
        <v>40520</v>
      </c>
      <c r="S13437" t="s">
        <v>41907</v>
      </c>
      <c r="T13437" t="s">
        <v>42529</v>
      </c>
      <c r="U13437" t="s">
        <v>53591</v>
      </c>
      <c r="V13437" t="s">
        <v>55373</v>
      </c>
      <c r="W13437" t="s">
        <v>37963</v>
      </c>
      <c r="X13437" t="s">
        <v>40521</v>
      </c>
    </row>
    <row r="13438" spans="1:24">
      <c r="A13438">
        <f>HYPERLINK("https://www.philgeps.gov.ph/GEPSNONPILOT/Tender/SplashBidNoticeAbstractUI.aspx?menuIndex=3&amp;refID=6911489&amp;Result=3","6911489")</f>
        <v>0</v>
      </c>
      <c r="B13438" t="s">
        <v>1370</v>
      </c>
      <c r="C13438" t="s">
        <v>15967</v>
      </c>
      <c r="D13438" t="s">
        <v>16213</v>
      </c>
      <c r="E13438" t="s">
        <v>27993</v>
      </c>
      <c r="F13438" t="s">
        <v>28198</v>
      </c>
      <c r="G13438" t="s">
        <v>28205</v>
      </c>
      <c r="H13438" t="s">
        <v>28214</v>
      </c>
      <c r="I13438" t="s">
        <v>3797</v>
      </c>
      <c r="J13438" t="s">
        <v>29526</v>
      </c>
      <c r="K13438" t="s">
        <v>36922</v>
      </c>
      <c r="M13438" t="s">
        <v>38432</v>
      </c>
      <c r="N13438" t="s">
        <v>40436</v>
      </c>
      <c r="O13438" t="s">
        <v>40437</v>
      </c>
      <c r="Q13438">
        <v>1</v>
      </c>
      <c r="R13438" t="s">
        <v>40520</v>
      </c>
      <c r="S13438" t="s">
        <v>41746</v>
      </c>
      <c r="T13438" t="s">
        <v>42111</v>
      </c>
      <c r="U13438" t="s">
        <v>53593</v>
      </c>
      <c r="W13438" t="s">
        <v>38432</v>
      </c>
      <c r="X13438" t="s">
        <v>40521</v>
      </c>
    </row>
    <row r="13439" spans="1:24">
      <c r="A13439">
        <f>HYPERLINK("https://www.philgeps.gov.ph/GEPSNONPILOT/Tender/SplashBidNoticeAbstractUI.aspx?menuIndex=3&amp;refID=6911357&amp;Result=3","6911357")</f>
        <v>0</v>
      </c>
      <c r="B13439" t="s">
        <v>105</v>
      </c>
      <c r="C13439" t="s">
        <v>15968</v>
      </c>
      <c r="D13439" t="s">
        <v>16233</v>
      </c>
      <c r="E13439" t="s">
        <v>27994</v>
      </c>
      <c r="F13439" t="s">
        <v>28198</v>
      </c>
      <c r="G13439" t="s">
        <v>28210</v>
      </c>
      <c r="H13439" t="s">
        <v>28215</v>
      </c>
      <c r="I13439" t="s">
        <v>9499</v>
      </c>
      <c r="J13439" t="s">
        <v>28373</v>
      </c>
      <c r="K13439" t="s">
        <v>36701</v>
      </c>
      <c r="M13439" t="s">
        <v>39589</v>
      </c>
      <c r="N13439" t="s">
        <v>40436</v>
      </c>
      <c r="O13439" t="s">
        <v>40437</v>
      </c>
      <c r="Q13439">
        <v>11</v>
      </c>
      <c r="R13439" t="s">
        <v>40520</v>
      </c>
      <c r="S13439" t="s">
        <v>41908</v>
      </c>
      <c r="T13439" t="s">
        <v>42218</v>
      </c>
      <c r="U13439" t="s">
        <v>53594</v>
      </c>
      <c r="W13439" t="s">
        <v>39589</v>
      </c>
      <c r="X13439" t="s">
        <v>40521</v>
      </c>
    </row>
    <row r="13440" spans="1:24">
      <c r="A13440">
        <f>HYPERLINK("https://www.philgeps.gov.ph/GEPSNONPILOT/Tender/SplashBidNoticeAbstractUI.aspx?menuIndex=3&amp;refID=6905855&amp;Result=3","6905855")</f>
        <v>0</v>
      </c>
      <c r="B13440" t="s">
        <v>1284</v>
      </c>
      <c r="C13440" t="s">
        <v>15969</v>
      </c>
      <c r="D13440" t="s">
        <v>16199</v>
      </c>
      <c r="E13440" t="s">
        <v>26554</v>
      </c>
      <c r="F13440" t="s">
        <v>28198</v>
      </c>
      <c r="G13440" t="s">
        <v>28205</v>
      </c>
      <c r="H13440" t="s">
        <v>28214</v>
      </c>
      <c r="I13440" t="s">
        <v>3797</v>
      </c>
      <c r="J13440" t="s">
        <v>36542</v>
      </c>
      <c r="K13440" t="s">
        <v>36787</v>
      </c>
      <c r="M13440" t="s">
        <v>38337</v>
      </c>
      <c r="N13440" t="s">
        <v>40436</v>
      </c>
      <c r="O13440" t="s">
        <v>40437</v>
      </c>
      <c r="Q13440">
        <v>2</v>
      </c>
      <c r="R13440" t="s">
        <v>40521</v>
      </c>
      <c r="S13440" t="s">
        <v>41909</v>
      </c>
      <c r="T13440" t="s">
        <v>42615</v>
      </c>
      <c r="U13440" t="s">
        <v>53595</v>
      </c>
      <c r="W13440" t="s">
        <v>38337</v>
      </c>
      <c r="X13440" t="s">
        <v>40522</v>
      </c>
    </row>
    <row r="13441" spans="1:24">
      <c r="A13441">
        <f>HYPERLINK("https://www.philgeps.gov.ph/GEPSNONPILOT/Tender/SplashBidNoticeAbstractUI.aspx?menuIndex=3&amp;refID=6911398&amp;Result=3","6911398")</f>
        <v>0</v>
      </c>
      <c r="B13441" t="s">
        <v>105</v>
      </c>
      <c r="C13441" t="s">
        <v>15970</v>
      </c>
      <c r="D13441" t="s">
        <v>16233</v>
      </c>
      <c r="E13441" t="s">
        <v>27995</v>
      </c>
      <c r="F13441" t="s">
        <v>28198</v>
      </c>
      <c r="G13441" t="s">
        <v>28207</v>
      </c>
      <c r="H13441" t="s">
        <v>28215</v>
      </c>
      <c r="I13441" t="s">
        <v>28274</v>
      </c>
      <c r="J13441" t="s">
        <v>28414</v>
      </c>
      <c r="K13441" t="s">
        <v>36701</v>
      </c>
      <c r="M13441" t="s">
        <v>39589</v>
      </c>
      <c r="N13441" t="s">
        <v>40436</v>
      </c>
      <c r="O13441" t="s">
        <v>40437</v>
      </c>
      <c r="Q13441">
        <v>0</v>
      </c>
      <c r="R13441" t="s">
        <v>40520</v>
      </c>
      <c r="S13441" t="s">
        <v>41910</v>
      </c>
      <c r="T13441" t="s">
        <v>42121</v>
      </c>
      <c r="U13441" t="s">
        <v>53596</v>
      </c>
      <c r="W13441" t="s">
        <v>39589</v>
      </c>
      <c r="X13441" t="s">
        <v>40521</v>
      </c>
    </row>
    <row r="13442" spans="1:24">
      <c r="A13442">
        <f>HYPERLINK("https://www.philgeps.gov.ph/GEPSNONPILOT/Tender/SplashBidNoticeAbstractUI.aspx?menuIndex=3&amp;refID=6905544&amp;Result=3","6905544")</f>
        <v>0</v>
      </c>
      <c r="B13442" t="s">
        <v>2413</v>
      </c>
      <c r="C13442" t="s">
        <v>15971</v>
      </c>
      <c r="D13442" t="s">
        <v>16191</v>
      </c>
      <c r="E13442" t="s">
        <v>27996</v>
      </c>
      <c r="F13442" t="s">
        <v>28198</v>
      </c>
      <c r="G13442" t="s">
        <v>28205</v>
      </c>
      <c r="H13442" t="s">
        <v>28217</v>
      </c>
      <c r="I13442" t="s">
        <v>28325</v>
      </c>
      <c r="J13442" t="s">
        <v>36543</v>
      </c>
      <c r="K13442" t="s">
        <v>36692</v>
      </c>
      <c r="M13442" t="s">
        <v>39653</v>
      </c>
      <c r="N13442" t="s">
        <v>40436</v>
      </c>
      <c r="O13442" t="s">
        <v>40437</v>
      </c>
      <c r="Q13442">
        <v>4</v>
      </c>
      <c r="R13442" t="s">
        <v>40521</v>
      </c>
      <c r="S13442" t="s">
        <v>41911</v>
      </c>
      <c r="T13442" t="s">
        <v>42184</v>
      </c>
      <c r="U13442" t="s">
        <v>49378</v>
      </c>
      <c r="V13442" t="s">
        <v>54644</v>
      </c>
      <c r="W13442" t="s">
        <v>39653</v>
      </c>
      <c r="X13442" t="s">
        <v>40522</v>
      </c>
    </row>
    <row r="13443" spans="1:24">
      <c r="A13443">
        <f>HYPERLINK("https://www.philgeps.gov.ph/GEPSNONPILOT/Tender/SplashBidNoticeAbstractUI.aspx?menuIndex=3&amp;refID=6912208&amp;Result=3","6912208")</f>
        <v>0</v>
      </c>
      <c r="B13443" t="s">
        <v>1223</v>
      </c>
      <c r="C13443" t="s">
        <v>15972</v>
      </c>
      <c r="D13443" t="s">
        <v>16188</v>
      </c>
      <c r="E13443" t="s">
        <v>27997</v>
      </c>
      <c r="F13443" t="s">
        <v>28198</v>
      </c>
      <c r="G13443" t="s">
        <v>28205</v>
      </c>
      <c r="H13443" t="s">
        <v>28215</v>
      </c>
      <c r="I13443" t="s">
        <v>28267</v>
      </c>
      <c r="J13443" t="s">
        <v>36544</v>
      </c>
      <c r="K13443" t="s">
        <v>36694</v>
      </c>
      <c r="M13443" t="s">
        <v>40409</v>
      </c>
      <c r="N13443" t="s">
        <v>40436</v>
      </c>
      <c r="O13443" t="s">
        <v>40437</v>
      </c>
      <c r="Q13443">
        <v>8</v>
      </c>
      <c r="R13443" t="s">
        <v>40520</v>
      </c>
      <c r="S13443" t="s">
        <v>41542</v>
      </c>
      <c r="T13443" t="s">
        <v>42179</v>
      </c>
      <c r="U13443" t="s">
        <v>53597</v>
      </c>
      <c r="W13443" t="s">
        <v>40409</v>
      </c>
      <c r="X13443" t="s">
        <v>40521</v>
      </c>
    </row>
    <row r="13444" spans="1:24">
      <c r="A13444">
        <f>HYPERLINK("https://www.philgeps.gov.ph/GEPSNONPILOT/Tender/SplashBidNoticeAbstractUI.aspx?menuIndex=3&amp;refID=6906471&amp;Result=3","6906471")</f>
        <v>0</v>
      </c>
      <c r="B13444" t="s">
        <v>3064</v>
      </c>
      <c r="C13444" t="s">
        <v>15973</v>
      </c>
      <c r="D13444" t="s">
        <v>16194</v>
      </c>
      <c r="E13444" t="s">
        <v>27998</v>
      </c>
      <c r="F13444" t="s">
        <v>28198</v>
      </c>
      <c r="G13444" t="s">
        <v>28208</v>
      </c>
      <c r="H13444" t="s">
        <v>28215</v>
      </c>
      <c r="I13444" t="s">
        <v>28288</v>
      </c>
      <c r="J13444" t="s">
        <v>36545</v>
      </c>
      <c r="K13444" t="s">
        <v>36756</v>
      </c>
      <c r="M13444" t="s">
        <v>40383</v>
      </c>
      <c r="N13444" t="s">
        <v>40436</v>
      </c>
      <c r="O13444" t="s">
        <v>40437</v>
      </c>
      <c r="Q13444">
        <v>7</v>
      </c>
      <c r="R13444" t="s">
        <v>40521</v>
      </c>
      <c r="S13444" t="s">
        <v>41912</v>
      </c>
      <c r="T13444" t="s">
        <v>42248</v>
      </c>
      <c r="U13444" t="s">
        <v>53598</v>
      </c>
      <c r="W13444" t="s">
        <v>40383</v>
      </c>
      <c r="X13444" t="s">
        <v>40522</v>
      </c>
    </row>
    <row r="13445" spans="1:24">
      <c r="A13445">
        <f>HYPERLINK("https://www.philgeps.gov.ph/GEPSNONPILOT/Tender/SplashBidNoticeAbstractUI.aspx?menuIndex=3&amp;refID=6906390&amp;Result=3","6906390")</f>
        <v>0</v>
      </c>
      <c r="B13445" t="s">
        <v>3064</v>
      </c>
      <c r="C13445" t="s">
        <v>15974</v>
      </c>
      <c r="D13445" t="s">
        <v>16194</v>
      </c>
      <c r="E13445" t="s">
        <v>27998</v>
      </c>
      <c r="F13445" t="s">
        <v>28198</v>
      </c>
      <c r="G13445" t="s">
        <v>28208</v>
      </c>
      <c r="H13445" t="s">
        <v>28215</v>
      </c>
      <c r="I13445" t="s">
        <v>28265</v>
      </c>
      <c r="J13445" t="s">
        <v>36546</v>
      </c>
      <c r="K13445" t="s">
        <v>36756</v>
      </c>
      <c r="M13445" t="s">
        <v>40383</v>
      </c>
      <c r="N13445" t="s">
        <v>40436</v>
      </c>
      <c r="O13445" t="s">
        <v>40437</v>
      </c>
      <c r="Q13445">
        <v>6</v>
      </c>
      <c r="R13445" t="s">
        <v>40521</v>
      </c>
      <c r="S13445" t="s">
        <v>41913</v>
      </c>
      <c r="T13445" t="s">
        <v>42248</v>
      </c>
      <c r="U13445" t="s">
        <v>53598</v>
      </c>
      <c r="W13445" t="s">
        <v>40383</v>
      </c>
      <c r="X13445" t="s">
        <v>40522</v>
      </c>
    </row>
    <row r="13446" spans="1:24">
      <c r="A13446">
        <f>HYPERLINK("https://www.philgeps.gov.ph/GEPSNONPILOT/Tender/SplashBidNoticeAbstractUI.aspx?menuIndex=3&amp;refID=6906305&amp;Result=3","6906305")</f>
        <v>0</v>
      </c>
      <c r="B13446" t="s">
        <v>3064</v>
      </c>
      <c r="C13446" t="s">
        <v>15975</v>
      </c>
      <c r="D13446" t="s">
        <v>16194</v>
      </c>
      <c r="E13446" t="s">
        <v>27999</v>
      </c>
      <c r="F13446" t="s">
        <v>28198</v>
      </c>
      <c r="G13446" t="s">
        <v>28208</v>
      </c>
      <c r="H13446" t="s">
        <v>28215</v>
      </c>
      <c r="I13446" t="s">
        <v>28265</v>
      </c>
      <c r="J13446" t="s">
        <v>36547</v>
      </c>
      <c r="K13446" t="s">
        <v>36756</v>
      </c>
      <c r="M13446" t="s">
        <v>40383</v>
      </c>
      <c r="N13446" t="s">
        <v>40436</v>
      </c>
      <c r="O13446" t="s">
        <v>40437</v>
      </c>
      <c r="Q13446">
        <v>13</v>
      </c>
      <c r="R13446" t="s">
        <v>40521</v>
      </c>
      <c r="S13446" t="s">
        <v>41888</v>
      </c>
      <c r="T13446" t="s">
        <v>42248</v>
      </c>
      <c r="U13446" t="s">
        <v>53598</v>
      </c>
      <c r="W13446" t="s">
        <v>40383</v>
      </c>
      <c r="X13446" t="s">
        <v>40522</v>
      </c>
    </row>
    <row r="13447" spans="1:24">
      <c r="A13447">
        <f>HYPERLINK("https://www.philgeps.gov.ph/GEPSNONPILOT/Tender/SplashBidNoticeAbstractUI.aspx?menuIndex=3&amp;refID=6905957&amp;Result=3","6905957")</f>
        <v>0</v>
      </c>
      <c r="B13447" t="s">
        <v>1284</v>
      </c>
      <c r="C13447" t="s">
        <v>15976</v>
      </c>
      <c r="D13447" t="s">
        <v>16199</v>
      </c>
      <c r="E13447" t="s">
        <v>26554</v>
      </c>
      <c r="F13447" t="s">
        <v>28198</v>
      </c>
      <c r="G13447" t="s">
        <v>28205</v>
      </c>
      <c r="H13447" t="s">
        <v>28214</v>
      </c>
      <c r="I13447" t="s">
        <v>3797</v>
      </c>
      <c r="J13447" t="s">
        <v>36548</v>
      </c>
      <c r="K13447" t="s">
        <v>36877</v>
      </c>
      <c r="M13447" t="s">
        <v>38337</v>
      </c>
      <c r="N13447" t="s">
        <v>40436</v>
      </c>
      <c r="O13447" t="s">
        <v>40437</v>
      </c>
      <c r="Q13447">
        <v>4</v>
      </c>
      <c r="R13447" t="s">
        <v>40521</v>
      </c>
      <c r="S13447" t="s">
        <v>41914</v>
      </c>
      <c r="T13447" t="s">
        <v>42615</v>
      </c>
      <c r="U13447" t="s">
        <v>53599</v>
      </c>
      <c r="W13447" t="s">
        <v>38337</v>
      </c>
      <c r="X13447" t="s">
        <v>40522</v>
      </c>
    </row>
    <row r="13448" spans="1:24">
      <c r="A13448">
        <f>HYPERLINK("https://www.philgeps.gov.ph/GEPSNONPILOT/Tender/SplashBidNoticeAbstractUI.aspx?menuIndex=3&amp;refID=6906186&amp;Result=3","6906186")</f>
        <v>0</v>
      </c>
      <c r="B13448" t="s">
        <v>1284</v>
      </c>
      <c r="C13448" t="s">
        <v>15977</v>
      </c>
      <c r="D13448" t="s">
        <v>16199</v>
      </c>
      <c r="E13448" t="s">
        <v>26554</v>
      </c>
      <c r="F13448" t="s">
        <v>28198</v>
      </c>
      <c r="G13448" t="s">
        <v>28205</v>
      </c>
      <c r="H13448" t="s">
        <v>28214</v>
      </c>
      <c r="I13448" t="s">
        <v>3797</v>
      </c>
      <c r="J13448" t="s">
        <v>36549</v>
      </c>
      <c r="K13448" t="s">
        <v>36823</v>
      </c>
      <c r="M13448" t="s">
        <v>38337</v>
      </c>
      <c r="N13448" t="s">
        <v>40436</v>
      </c>
      <c r="O13448" t="s">
        <v>40437</v>
      </c>
      <c r="Q13448">
        <v>1</v>
      </c>
      <c r="R13448" t="s">
        <v>40521</v>
      </c>
      <c r="S13448" t="s">
        <v>41915</v>
      </c>
      <c r="T13448" t="s">
        <v>42615</v>
      </c>
      <c r="U13448" t="s">
        <v>53600</v>
      </c>
      <c r="W13448" t="s">
        <v>38337</v>
      </c>
      <c r="X13448" t="s">
        <v>40522</v>
      </c>
    </row>
    <row r="13449" spans="1:24">
      <c r="A13449">
        <f>HYPERLINK("https://www.philgeps.gov.ph/GEPSNONPILOT/Tender/SplashBidNoticeAbstractUI.aspx?menuIndex=3&amp;refID=6911224&amp;Result=3","6911224")</f>
        <v>0</v>
      </c>
      <c r="B13449" t="s">
        <v>809</v>
      </c>
      <c r="C13449" t="s">
        <v>15978</v>
      </c>
      <c r="D13449" t="s">
        <v>16260</v>
      </c>
      <c r="E13449" t="s">
        <v>28000</v>
      </c>
      <c r="F13449" t="s">
        <v>28198</v>
      </c>
      <c r="G13449" t="s">
        <v>28205</v>
      </c>
      <c r="H13449" t="s">
        <v>28215</v>
      </c>
      <c r="I13449" t="s">
        <v>5100</v>
      </c>
      <c r="J13449" t="s">
        <v>36550</v>
      </c>
      <c r="K13449" t="s">
        <v>36701</v>
      </c>
      <c r="M13449" t="s">
        <v>37818</v>
      </c>
      <c r="N13449" t="s">
        <v>40436</v>
      </c>
      <c r="O13449" t="s">
        <v>40437</v>
      </c>
      <c r="Q13449">
        <v>7</v>
      </c>
      <c r="R13449" t="s">
        <v>40520</v>
      </c>
      <c r="S13449" t="s">
        <v>41916</v>
      </c>
      <c r="T13449" t="s">
        <v>42179</v>
      </c>
      <c r="U13449" t="s">
        <v>53601</v>
      </c>
      <c r="W13449" t="s">
        <v>37818</v>
      </c>
      <c r="X13449" t="s">
        <v>40521</v>
      </c>
    </row>
    <row r="13450" spans="1:24">
      <c r="A13450">
        <f>HYPERLINK("https://www.philgeps.gov.ph/GEPSNONPILOT/Tender/SplashBidNoticeAbstractUI.aspx?menuIndex=3&amp;refID=6904897&amp;Result=3","6904897")</f>
        <v>0</v>
      </c>
      <c r="B13450" t="s">
        <v>2413</v>
      </c>
      <c r="C13450" t="s">
        <v>15979</v>
      </c>
      <c r="D13450" t="s">
        <v>16191</v>
      </c>
      <c r="E13450" t="s">
        <v>28001</v>
      </c>
      <c r="F13450" t="s">
        <v>28198</v>
      </c>
      <c r="G13450" t="s">
        <v>28205</v>
      </c>
      <c r="H13450" t="s">
        <v>28217</v>
      </c>
      <c r="I13450" t="s">
        <v>28325</v>
      </c>
      <c r="J13450" t="s">
        <v>36551</v>
      </c>
      <c r="K13450" t="s">
        <v>36692</v>
      </c>
      <c r="M13450" t="s">
        <v>39653</v>
      </c>
      <c r="N13450" t="s">
        <v>40436</v>
      </c>
      <c r="O13450" t="s">
        <v>40437</v>
      </c>
      <c r="Q13450">
        <v>4</v>
      </c>
      <c r="R13450" t="s">
        <v>40521</v>
      </c>
      <c r="S13450" t="s">
        <v>41917</v>
      </c>
      <c r="T13450" t="s">
        <v>42184</v>
      </c>
      <c r="U13450" t="s">
        <v>49378</v>
      </c>
      <c r="V13450" t="s">
        <v>54644</v>
      </c>
      <c r="W13450" t="s">
        <v>39653</v>
      </c>
      <c r="X13450" t="s">
        <v>40522</v>
      </c>
    </row>
    <row r="13451" spans="1:24">
      <c r="A13451">
        <f>HYPERLINK("https://www.philgeps.gov.ph/GEPSNONPILOT/Tender/SplashBidNoticeAbstractUI.aspx?menuIndex=3&amp;refID=6905733&amp;Result=3","6905733")</f>
        <v>0</v>
      </c>
      <c r="B13451" t="s">
        <v>1284</v>
      </c>
      <c r="C13451" t="s">
        <v>15980</v>
      </c>
      <c r="D13451" t="s">
        <v>16199</v>
      </c>
      <c r="E13451" t="s">
        <v>26554</v>
      </c>
      <c r="F13451" t="s">
        <v>28198</v>
      </c>
      <c r="G13451" t="s">
        <v>28205</v>
      </c>
      <c r="H13451" t="s">
        <v>28214</v>
      </c>
      <c r="I13451" t="s">
        <v>3797</v>
      </c>
      <c r="J13451" t="s">
        <v>29331</v>
      </c>
      <c r="K13451" t="s">
        <v>36759</v>
      </c>
      <c r="M13451" t="s">
        <v>38337</v>
      </c>
      <c r="N13451" t="s">
        <v>40436</v>
      </c>
      <c r="O13451" t="s">
        <v>40437</v>
      </c>
      <c r="Q13451">
        <v>1</v>
      </c>
      <c r="R13451" t="s">
        <v>40521</v>
      </c>
      <c r="S13451" t="s">
        <v>41918</v>
      </c>
      <c r="T13451" t="s">
        <v>42615</v>
      </c>
      <c r="U13451" t="s">
        <v>53602</v>
      </c>
      <c r="W13451" t="s">
        <v>38337</v>
      </c>
      <c r="X13451" t="s">
        <v>40522</v>
      </c>
    </row>
    <row r="13452" spans="1:24">
      <c r="A13452">
        <f>HYPERLINK("https://www.philgeps.gov.ph/GEPSNONPILOT/Tender/SplashBidNoticeAbstractUI.aspx?menuIndex=3&amp;refID=6898870&amp;Result=3","6898870")</f>
        <v>0</v>
      </c>
      <c r="B13452" t="s">
        <v>1964</v>
      </c>
      <c r="C13452" t="s">
        <v>15981</v>
      </c>
      <c r="E13452" t="s">
        <v>28002</v>
      </c>
      <c r="F13452" t="s">
        <v>28198</v>
      </c>
      <c r="G13452" t="s">
        <v>28205</v>
      </c>
      <c r="H13452" t="s">
        <v>28215</v>
      </c>
      <c r="I13452" t="s">
        <v>28272</v>
      </c>
      <c r="J13452" t="s">
        <v>36552</v>
      </c>
      <c r="K13452" t="s">
        <v>36689</v>
      </c>
      <c r="M13452" t="s">
        <v>40411</v>
      </c>
      <c r="N13452" t="s">
        <v>40436</v>
      </c>
      <c r="O13452" t="s">
        <v>40437</v>
      </c>
      <c r="Q13452">
        <v>8</v>
      </c>
      <c r="R13452" t="s">
        <v>40521</v>
      </c>
      <c r="S13452" t="s">
        <v>41919</v>
      </c>
      <c r="T13452" t="s">
        <v>42433</v>
      </c>
      <c r="U13452" t="s">
        <v>53603</v>
      </c>
      <c r="W13452" t="s">
        <v>40411</v>
      </c>
      <c r="X13452" t="s">
        <v>40524</v>
      </c>
    </row>
    <row r="13453" spans="1:24">
      <c r="A13453">
        <f>HYPERLINK("https://www.philgeps.gov.ph/GEPSNONPILOT/Tender/SplashBidNoticeAbstractUI.aspx?menuIndex=3&amp;refID=6911263&amp;Result=3","6911263")</f>
        <v>0</v>
      </c>
      <c r="B13453" t="s">
        <v>469</v>
      </c>
      <c r="C13453" t="s">
        <v>15982</v>
      </c>
      <c r="D13453" t="s">
        <v>16235</v>
      </c>
      <c r="E13453" t="s">
        <v>28003</v>
      </c>
      <c r="F13453" t="s">
        <v>28198</v>
      </c>
      <c r="G13453" t="s">
        <v>28205</v>
      </c>
      <c r="H13453" t="s">
        <v>28216</v>
      </c>
      <c r="I13453" t="s">
        <v>7310</v>
      </c>
      <c r="J13453" t="s">
        <v>28818</v>
      </c>
      <c r="K13453" t="s">
        <v>36697</v>
      </c>
      <c r="M13453" t="s">
        <v>37454</v>
      </c>
      <c r="N13453" t="s">
        <v>40436</v>
      </c>
      <c r="O13453" t="s">
        <v>40437</v>
      </c>
      <c r="Q13453">
        <v>4</v>
      </c>
      <c r="R13453" t="s">
        <v>40520</v>
      </c>
      <c r="S13453" t="s">
        <v>41920</v>
      </c>
      <c r="T13453" t="s">
        <v>42426</v>
      </c>
      <c r="U13453" t="s">
        <v>53604</v>
      </c>
      <c r="W13453" t="s">
        <v>37454</v>
      </c>
      <c r="X13453" t="s">
        <v>40521</v>
      </c>
    </row>
    <row r="13454" spans="1:24">
      <c r="A13454">
        <f>HYPERLINK("https://www.philgeps.gov.ph/GEPSNONPILOT/Tender/SplashBidNoticeAbstractUI.aspx?menuIndex=3&amp;refID=6905417&amp;Result=3","6905417")</f>
        <v>0</v>
      </c>
      <c r="B13454" t="s">
        <v>2413</v>
      </c>
      <c r="C13454" t="s">
        <v>15983</v>
      </c>
      <c r="D13454" t="s">
        <v>16191</v>
      </c>
      <c r="E13454" t="s">
        <v>28004</v>
      </c>
      <c r="F13454" t="s">
        <v>28198</v>
      </c>
      <c r="G13454" t="s">
        <v>28205</v>
      </c>
      <c r="H13454" t="s">
        <v>28217</v>
      </c>
      <c r="I13454" t="s">
        <v>28325</v>
      </c>
      <c r="J13454" t="s">
        <v>36553</v>
      </c>
      <c r="K13454" t="s">
        <v>36692</v>
      </c>
      <c r="M13454" t="s">
        <v>39653</v>
      </c>
      <c r="N13454" t="s">
        <v>40436</v>
      </c>
      <c r="O13454" t="s">
        <v>40437</v>
      </c>
      <c r="Q13454">
        <v>6</v>
      </c>
      <c r="R13454" t="s">
        <v>40521</v>
      </c>
      <c r="S13454" t="s">
        <v>41921</v>
      </c>
      <c r="T13454" t="s">
        <v>42184</v>
      </c>
      <c r="U13454" t="s">
        <v>49378</v>
      </c>
      <c r="V13454" t="s">
        <v>54909</v>
      </c>
      <c r="W13454" t="s">
        <v>39653</v>
      </c>
      <c r="X13454" t="s">
        <v>40522</v>
      </c>
    </row>
    <row r="13455" spans="1:24">
      <c r="A13455">
        <f>HYPERLINK("https://www.philgeps.gov.ph/GEPSNONPILOT/Tender/SplashBidNoticeAbstractUI.aspx?menuIndex=3&amp;refID=6912287&amp;Result=3","6912287")</f>
        <v>0</v>
      </c>
      <c r="B13455" t="s">
        <v>1223</v>
      </c>
      <c r="C13455" t="s">
        <v>15984</v>
      </c>
      <c r="D13455" t="s">
        <v>16188</v>
      </c>
      <c r="E13455" t="s">
        <v>28005</v>
      </c>
      <c r="F13455" t="s">
        <v>28198</v>
      </c>
      <c r="G13455" t="s">
        <v>28205</v>
      </c>
      <c r="H13455" t="s">
        <v>28215</v>
      </c>
      <c r="I13455" t="s">
        <v>4505</v>
      </c>
      <c r="J13455" t="s">
        <v>36554</v>
      </c>
      <c r="K13455" t="s">
        <v>36694</v>
      </c>
      <c r="M13455" t="s">
        <v>40409</v>
      </c>
      <c r="N13455" t="s">
        <v>40436</v>
      </c>
      <c r="O13455" t="s">
        <v>40437</v>
      </c>
      <c r="Q13455">
        <v>6</v>
      </c>
      <c r="R13455" t="s">
        <v>40520</v>
      </c>
      <c r="S13455" t="s">
        <v>40872</v>
      </c>
      <c r="T13455" t="s">
        <v>42179</v>
      </c>
      <c r="U13455" t="s">
        <v>53605</v>
      </c>
      <c r="W13455" t="s">
        <v>40409</v>
      </c>
      <c r="X13455" t="s">
        <v>40521</v>
      </c>
    </row>
    <row r="13456" spans="1:24">
      <c r="A13456">
        <f>HYPERLINK("https://www.philgeps.gov.ph/GEPSNONPILOT/Tender/SplashBidNoticeAbstractUI.aspx?menuIndex=3&amp;refID=6905251&amp;Result=3","6905251")</f>
        <v>0</v>
      </c>
      <c r="B13456" t="s">
        <v>1355</v>
      </c>
      <c r="C13456" t="s">
        <v>15985</v>
      </c>
      <c r="D13456" t="s">
        <v>16210</v>
      </c>
      <c r="E13456" t="s">
        <v>28006</v>
      </c>
      <c r="F13456" t="s">
        <v>28198</v>
      </c>
      <c r="G13456" t="s">
        <v>28207</v>
      </c>
      <c r="H13456" t="s">
        <v>28215</v>
      </c>
      <c r="I13456" t="s">
        <v>4222</v>
      </c>
      <c r="J13456" t="s">
        <v>28352</v>
      </c>
      <c r="K13456" t="s">
        <v>36701</v>
      </c>
      <c r="M13456" t="s">
        <v>40321</v>
      </c>
      <c r="N13456" t="s">
        <v>40436</v>
      </c>
      <c r="O13456" t="s">
        <v>40437</v>
      </c>
      <c r="Q13456">
        <v>6</v>
      </c>
      <c r="R13456" t="s">
        <v>40521</v>
      </c>
      <c r="S13456" t="s">
        <v>41922</v>
      </c>
      <c r="T13456" t="s">
        <v>42105</v>
      </c>
      <c r="U13456" t="s">
        <v>53606</v>
      </c>
      <c r="W13456" t="s">
        <v>40321</v>
      </c>
      <c r="X13456" t="s">
        <v>40522</v>
      </c>
    </row>
    <row r="13457" spans="1:24">
      <c r="A13457">
        <f>HYPERLINK("https://www.philgeps.gov.ph/GEPSNONPILOT/Tender/SplashBidNoticeAbstractUI.aspx?menuIndex=3&amp;refID=6912229&amp;Result=3","6912229")</f>
        <v>0</v>
      </c>
      <c r="B13457" t="s">
        <v>1223</v>
      </c>
      <c r="C13457" t="s">
        <v>15986</v>
      </c>
      <c r="D13457" t="s">
        <v>16188</v>
      </c>
      <c r="E13457" t="s">
        <v>28007</v>
      </c>
      <c r="F13457" t="s">
        <v>28198</v>
      </c>
      <c r="G13457" t="s">
        <v>28205</v>
      </c>
      <c r="H13457" t="s">
        <v>28215</v>
      </c>
      <c r="I13457" t="s">
        <v>4505</v>
      </c>
      <c r="J13457" t="s">
        <v>36555</v>
      </c>
      <c r="K13457" t="s">
        <v>36694</v>
      </c>
      <c r="M13457" t="s">
        <v>40409</v>
      </c>
      <c r="N13457" t="s">
        <v>40436</v>
      </c>
      <c r="O13457" t="s">
        <v>40437</v>
      </c>
      <c r="Q13457">
        <v>7</v>
      </c>
      <c r="R13457" t="s">
        <v>40520</v>
      </c>
      <c r="S13457" t="s">
        <v>41923</v>
      </c>
      <c r="T13457" t="s">
        <v>42179</v>
      </c>
      <c r="U13457" t="s">
        <v>53607</v>
      </c>
      <c r="W13457" t="s">
        <v>40409</v>
      </c>
      <c r="X13457" t="s">
        <v>40521</v>
      </c>
    </row>
    <row r="13458" spans="1:24">
      <c r="A13458">
        <f>HYPERLINK("https://www.philgeps.gov.ph/GEPSNONPILOT/Tender/SplashBidNoticeAbstractUI.aspx?menuIndex=3&amp;refID=6912267&amp;Result=3","6912267")</f>
        <v>0</v>
      </c>
      <c r="B13458" t="s">
        <v>1223</v>
      </c>
      <c r="C13458" t="s">
        <v>15987</v>
      </c>
      <c r="D13458" t="s">
        <v>16188</v>
      </c>
      <c r="E13458" t="s">
        <v>28008</v>
      </c>
      <c r="F13458" t="s">
        <v>28198</v>
      </c>
      <c r="G13458" t="s">
        <v>28205</v>
      </c>
      <c r="H13458" t="s">
        <v>28215</v>
      </c>
      <c r="I13458" t="s">
        <v>4505</v>
      </c>
      <c r="J13458" t="s">
        <v>36556</v>
      </c>
      <c r="K13458" t="s">
        <v>36694</v>
      </c>
      <c r="M13458" t="s">
        <v>40409</v>
      </c>
      <c r="N13458" t="s">
        <v>40436</v>
      </c>
      <c r="O13458" t="s">
        <v>40437</v>
      </c>
      <c r="Q13458">
        <v>6</v>
      </c>
      <c r="R13458" t="s">
        <v>40520</v>
      </c>
      <c r="S13458" t="s">
        <v>41924</v>
      </c>
      <c r="T13458" t="s">
        <v>42179</v>
      </c>
      <c r="U13458" t="s">
        <v>53608</v>
      </c>
      <c r="W13458" t="s">
        <v>40409</v>
      </c>
      <c r="X13458" t="s">
        <v>40521</v>
      </c>
    </row>
    <row r="13459" spans="1:24">
      <c r="A13459">
        <f>HYPERLINK("https://www.philgeps.gov.ph/GEPSNONPILOT/Tender/SplashBidNoticeAbstractUI.aspx?menuIndex=3&amp;refID=6906806&amp;Result=3","6906806")</f>
        <v>0</v>
      </c>
      <c r="B13459" t="s">
        <v>1370</v>
      </c>
      <c r="C13459" t="s">
        <v>15988</v>
      </c>
      <c r="D13459" t="s">
        <v>16213</v>
      </c>
      <c r="E13459" t="s">
        <v>28009</v>
      </c>
      <c r="F13459" t="s">
        <v>28198</v>
      </c>
      <c r="G13459" t="s">
        <v>28205</v>
      </c>
      <c r="H13459" t="s">
        <v>28214</v>
      </c>
      <c r="I13459" t="s">
        <v>3797</v>
      </c>
      <c r="J13459" t="s">
        <v>29552</v>
      </c>
      <c r="K13459" t="s">
        <v>36746</v>
      </c>
      <c r="M13459" t="s">
        <v>38432</v>
      </c>
      <c r="N13459" t="s">
        <v>40436</v>
      </c>
      <c r="O13459" t="s">
        <v>40437</v>
      </c>
      <c r="Q13459">
        <v>1</v>
      </c>
      <c r="R13459" t="s">
        <v>40521</v>
      </c>
      <c r="S13459" t="s">
        <v>41925</v>
      </c>
      <c r="T13459" t="s">
        <v>42111</v>
      </c>
      <c r="U13459" t="s">
        <v>53609</v>
      </c>
      <c r="W13459" t="s">
        <v>38432</v>
      </c>
      <c r="X13459" t="s">
        <v>40522</v>
      </c>
    </row>
    <row r="13460" spans="1:24">
      <c r="A13460">
        <f>HYPERLINK("https://www.philgeps.gov.ph/GEPSNONPILOT/Tender/SplashBidNoticeAbstractUI.aspx?menuIndex=3&amp;refID=6905105&amp;Result=3","6905105")</f>
        <v>0</v>
      </c>
      <c r="B13460" t="s">
        <v>2413</v>
      </c>
      <c r="C13460" t="s">
        <v>15989</v>
      </c>
      <c r="D13460" t="s">
        <v>16191</v>
      </c>
      <c r="E13460" t="s">
        <v>28010</v>
      </c>
      <c r="F13460" t="s">
        <v>28198</v>
      </c>
      <c r="G13460" t="s">
        <v>28205</v>
      </c>
      <c r="H13460" t="s">
        <v>28217</v>
      </c>
      <c r="I13460" t="s">
        <v>28325</v>
      </c>
      <c r="J13460" t="s">
        <v>36557</v>
      </c>
      <c r="K13460" t="s">
        <v>36692</v>
      </c>
      <c r="M13460" t="s">
        <v>39653</v>
      </c>
      <c r="N13460" t="s">
        <v>40436</v>
      </c>
      <c r="O13460" t="s">
        <v>40437</v>
      </c>
      <c r="Q13460">
        <v>7</v>
      </c>
      <c r="R13460" t="s">
        <v>40521</v>
      </c>
      <c r="S13460" t="s">
        <v>41926</v>
      </c>
      <c r="T13460" t="s">
        <v>42184</v>
      </c>
      <c r="U13460" t="s">
        <v>49378</v>
      </c>
      <c r="V13460" t="s">
        <v>54909</v>
      </c>
      <c r="W13460" t="s">
        <v>39653</v>
      </c>
      <c r="X13460" t="s">
        <v>40522</v>
      </c>
    </row>
    <row r="13461" spans="1:24">
      <c r="A13461">
        <f>HYPERLINK("https://www.philgeps.gov.ph/GEPSNONPILOT/Tender/SplashBidNoticeAbstractUI.aspx?menuIndex=3&amp;refID=6912252&amp;Result=3","6912252")</f>
        <v>0</v>
      </c>
      <c r="B13461" t="s">
        <v>1223</v>
      </c>
      <c r="C13461" t="s">
        <v>15990</v>
      </c>
      <c r="D13461" t="s">
        <v>16188</v>
      </c>
      <c r="E13461" t="s">
        <v>28011</v>
      </c>
      <c r="F13461" t="s">
        <v>28198</v>
      </c>
      <c r="G13461" t="s">
        <v>28205</v>
      </c>
      <c r="H13461" t="s">
        <v>28215</v>
      </c>
      <c r="I13461" t="s">
        <v>4505</v>
      </c>
      <c r="J13461" t="s">
        <v>28442</v>
      </c>
      <c r="K13461" t="s">
        <v>36694</v>
      </c>
      <c r="M13461" t="s">
        <v>40409</v>
      </c>
      <c r="N13461" t="s">
        <v>40436</v>
      </c>
      <c r="O13461" t="s">
        <v>40437</v>
      </c>
      <c r="Q13461">
        <v>6</v>
      </c>
      <c r="R13461" t="s">
        <v>40520</v>
      </c>
      <c r="S13461" t="s">
        <v>41927</v>
      </c>
      <c r="T13461" t="s">
        <v>42179</v>
      </c>
      <c r="U13461" t="s">
        <v>53610</v>
      </c>
      <c r="W13461" t="s">
        <v>40409</v>
      </c>
      <c r="X13461" t="s">
        <v>40521</v>
      </c>
    </row>
    <row r="13462" spans="1:24">
      <c r="A13462">
        <f>HYPERLINK("https://www.philgeps.gov.ph/GEPSNONPILOT/Tender/SplashBidNoticeAbstractUI.aspx?menuIndex=3&amp;refID=6903559&amp;Result=3","6903559")</f>
        <v>0</v>
      </c>
      <c r="B13462" t="s">
        <v>581</v>
      </c>
      <c r="C13462" t="s">
        <v>15991</v>
      </c>
      <c r="D13462" t="s">
        <v>16210</v>
      </c>
      <c r="E13462" t="s">
        <v>28012</v>
      </c>
      <c r="F13462" t="s">
        <v>28198</v>
      </c>
      <c r="G13462" t="s">
        <v>28205</v>
      </c>
      <c r="H13462" t="s">
        <v>28215</v>
      </c>
      <c r="I13462" t="s">
        <v>4168</v>
      </c>
      <c r="J13462" t="s">
        <v>36558</v>
      </c>
      <c r="K13462" t="s">
        <v>36701</v>
      </c>
      <c r="M13462" t="s">
        <v>40412</v>
      </c>
      <c r="N13462" t="s">
        <v>40436</v>
      </c>
      <c r="O13462" t="s">
        <v>40437</v>
      </c>
      <c r="Q13462">
        <v>5</v>
      </c>
      <c r="R13462" t="s">
        <v>40522</v>
      </c>
      <c r="S13462" t="s">
        <v>41928</v>
      </c>
      <c r="T13462" t="s">
        <v>42183</v>
      </c>
      <c r="U13462" t="s">
        <v>53611</v>
      </c>
      <c r="V13462" t="s">
        <v>55374</v>
      </c>
      <c r="W13462" t="s">
        <v>40412</v>
      </c>
      <c r="X13462" t="s">
        <v>40525</v>
      </c>
    </row>
    <row r="13463" spans="1:24">
      <c r="A13463">
        <f>HYPERLINK("https://www.philgeps.gov.ph/GEPSNONPILOT/Tender/SplashBidNoticeAbstractUI.aspx?menuIndex=3&amp;refID=6903358&amp;Result=3","6903358")</f>
        <v>0</v>
      </c>
      <c r="B13463" t="s">
        <v>46</v>
      </c>
      <c r="C13463" t="s">
        <v>15992</v>
      </c>
      <c r="D13463" t="s">
        <v>16250</v>
      </c>
      <c r="E13463" t="s">
        <v>28013</v>
      </c>
      <c r="F13463" t="s">
        <v>28198</v>
      </c>
      <c r="G13463" t="s">
        <v>28208</v>
      </c>
      <c r="H13463" t="s">
        <v>28216</v>
      </c>
      <c r="I13463" t="s">
        <v>28216</v>
      </c>
      <c r="J13463" t="s">
        <v>30373</v>
      </c>
      <c r="K13463" t="s">
        <v>36689</v>
      </c>
      <c r="L13463" t="s">
        <v>46</v>
      </c>
      <c r="M13463" t="s">
        <v>37017</v>
      </c>
      <c r="N13463" t="s">
        <v>40436</v>
      </c>
      <c r="O13463" t="s">
        <v>40437</v>
      </c>
      <c r="Q13463">
        <v>10</v>
      </c>
      <c r="R13463" t="s">
        <v>40522</v>
      </c>
      <c r="S13463" t="s">
        <v>41929</v>
      </c>
      <c r="T13463" t="s">
        <v>42248</v>
      </c>
      <c r="U13463" t="s">
        <v>53612</v>
      </c>
      <c r="W13463" t="s">
        <v>37017</v>
      </c>
      <c r="X13463" t="s">
        <v>40525</v>
      </c>
    </row>
    <row r="13464" spans="1:24">
      <c r="A13464">
        <f>HYPERLINK("https://www.philgeps.gov.ph/GEPSNONPILOT/Tender/SplashBidNoticeAbstractUI.aspx?menuIndex=3&amp;refID=6902805&amp;Result=3","6902805")</f>
        <v>0</v>
      </c>
      <c r="B13464" t="s">
        <v>140</v>
      </c>
      <c r="C13464" t="s">
        <v>15993</v>
      </c>
      <c r="D13464" t="s">
        <v>16196</v>
      </c>
      <c r="E13464" t="s">
        <v>28014</v>
      </c>
      <c r="F13464" t="s">
        <v>28198</v>
      </c>
      <c r="G13464" t="s">
        <v>28205</v>
      </c>
      <c r="H13464" t="s">
        <v>28215</v>
      </c>
      <c r="I13464" t="s">
        <v>28257</v>
      </c>
      <c r="J13464" t="s">
        <v>36559</v>
      </c>
      <c r="K13464" t="s">
        <v>36701</v>
      </c>
      <c r="M13464" t="s">
        <v>40384</v>
      </c>
      <c r="N13464" t="s">
        <v>40436</v>
      </c>
      <c r="O13464" t="s">
        <v>40437</v>
      </c>
      <c r="Q13464">
        <v>17</v>
      </c>
      <c r="R13464" t="s">
        <v>40522</v>
      </c>
      <c r="S13464" t="s">
        <v>41930</v>
      </c>
      <c r="T13464" t="s">
        <v>42190</v>
      </c>
      <c r="U13464" t="s">
        <v>53613</v>
      </c>
      <c r="V13464" t="s">
        <v>55375</v>
      </c>
      <c r="W13464" t="s">
        <v>40384</v>
      </c>
      <c r="X13464" t="s">
        <v>40525</v>
      </c>
    </row>
    <row r="13465" spans="1:24">
      <c r="A13465">
        <f>HYPERLINK("https://www.philgeps.gov.ph/GEPSNONPILOT/Tender/SplashBidNoticeAbstractUI.aspx?menuIndex=3&amp;refID=6903343&amp;Result=3","6903343")</f>
        <v>0</v>
      </c>
      <c r="B13465" t="s">
        <v>46</v>
      </c>
      <c r="C13465" t="s">
        <v>15994</v>
      </c>
      <c r="D13465" t="s">
        <v>16233</v>
      </c>
      <c r="E13465" t="s">
        <v>28015</v>
      </c>
      <c r="F13465" t="s">
        <v>28198</v>
      </c>
      <c r="G13465" t="s">
        <v>28208</v>
      </c>
      <c r="H13465" t="s">
        <v>28216</v>
      </c>
      <c r="I13465" t="s">
        <v>28216</v>
      </c>
      <c r="J13465" t="s">
        <v>36560</v>
      </c>
      <c r="K13465" t="s">
        <v>36689</v>
      </c>
      <c r="L13465" t="s">
        <v>46</v>
      </c>
      <c r="M13465" t="s">
        <v>37017</v>
      </c>
      <c r="N13465" t="s">
        <v>40436</v>
      </c>
      <c r="O13465" t="s">
        <v>40437</v>
      </c>
      <c r="Q13465">
        <v>9</v>
      </c>
      <c r="R13465" t="s">
        <v>40522</v>
      </c>
      <c r="S13465" t="s">
        <v>41931</v>
      </c>
      <c r="T13465" t="s">
        <v>42248</v>
      </c>
      <c r="U13465" t="s">
        <v>53614</v>
      </c>
      <c r="W13465" t="s">
        <v>37017</v>
      </c>
      <c r="X13465" t="s">
        <v>40525</v>
      </c>
    </row>
    <row r="13466" spans="1:24">
      <c r="A13466">
        <f>HYPERLINK("https://www.philgeps.gov.ph/GEPSNONPILOT/Tender/SplashBidNoticeAbstractUI.aspx?menuIndex=3&amp;refID=6912613&amp;Result=3","6912613")</f>
        <v>0</v>
      </c>
      <c r="B13466" t="s">
        <v>3078</v>
      </c>
      <c r="C13466" t="s">
        <v>15995</v>
      </c>
      <c r="E13466" t="s">
        <v>28016</v>
      </c>
      <c r="F13466" t="s">
        <v>28198</v>
      </c>
      <c r="G13466" t="s">
        <v>28205</v>
      </c>
      <c r="H13466" t="s">
        <v>28215</v>
      </c>
      <c r="I13466" t="s">
        <v>28234</v>
      </c>
      <c r="J13466" t="s">
        <v>28347</v>
      </c>
      <c r="K13466" t="s">
        <v>36689</v>
      </c>
      <c r="M13466" t="s">
        <v>40413</v>
      </c>
      <c r="N13466" t="s">
        <v>40436</v>
      </c>
      <c r="O13466" t="s">
        <v>40437</v>
      </c>
      <c r="Q13466">
        <v>22</v>
      </c>
      <c r="R13466" t="s">
        <v>40520</v>
      </c>
      <c r="S13466" t="s">
        <v>40983</v>
      </c>
      <c r="T13466" t="s">
        <v>42346</v>
      </c>
      <c r="U13466" t="s">
        <v>53615</v>
      </c>
      <c r="W13466" t="s">
        <v>40413</v>
      </c>
      <c r="X13466" t="s">
        <v>40521</v>
      </c>
    </row>
    <row r="13467" spans="1:24">
      <c r="A13467">
        <f>HYPERLINK("https://www.philgeps.gov.ph/GEPSNONPILOT/Tender/SplashBidNoticeAbstractUI.aspx?menuIndex=3&amp;refID=6901664&amp;Result=3","6901664")</f>
        <v>0</v>
      </c>
      <c r="B13467" t="s">
        <v>3072</v>
      </c>
      <c r="C13467" t="s">
        <v>15996</v>
      </c>
      <c r="D13467" t="s">
        <v>16204</v>
      </c>
      <c r="E13467" t="s">
        <v>28017</v>
      </c>
      <c r="F13467" t="s">
        <v>28198</v>
      </c>
      <c r="G13467" t="s">
        <v>28205</v>
      </c>
      <c r="H13467" t="s">
        <v>28214</v>
      </c>
      <c r="I13467" t="s">
        <v>3797</v>
      </c>
      <c r="J13467" t="s">
        <v>36561</v>
      </c>
      <c r="K13467" t="s">
        <v>36738</v>
      </c>
      <c r="M13467" t="s">
        <v>40400</v>
      </c>
      <c r="N13467" t="s">
        <v>40436</v>
      </c>
      <c r="O13467" t="s">
        <v>40437</v>
      </c>
      <c r="Q13467">
        <v>60</v>
      </c>
      <c r="R13467" t="s">
        <v>40522</v>
      </c>
      <c r="S13467" t="s">
        <v>41932</v>
      </c>
      <c r="T13467" t="s">
        <v>42219</v>
      </c>
      <c r="U13467" t="s">
        <v>53616</v>
      </c>
      <c r="V13467" t="s">
        <v>54469</v>
      </c>
      <c r="W13467" t="s">
        <v>40400</v>
      </c>
      <c r="X13467" t="s">
        <v>40525</v>
      </c>
    </row>
    <row r="13468" spans="1:24">
      <c r="A13468">
        <f>HYPERLINK("https://www.philgeps.gov.ph/GEPSNONPILOT/Tender/SplashBidNoticeAbstractUI.aspx?menuIndex=3&amp;refID=6902982&amp;Result=3","6902982")</f>
        <v>0</v>
      </c>
      <c r="B13468" t="s">
        <v>3058</v>
      </c>
      <c r="C13468" t="s">
        <v>15997</v>
      </c>
      <c r="D13468" t="s">
        <v>16190</v>
      </c>
      <c r="E13468" t="s">
        <v>28018</v>
      </c>
      <c r="F13468" t="s">
        <v>28198</v>
      </c>
      <c r="G13468" t="s">
        <v>28205</v>
      </c>
      <c r="H13468" t="s">
        <v>28214</v>
      </c>
      <c r="I13468" t="s">
        <v>3797</v>
      </c>
      <c r="J13468" t="s">
        <v>36562</v>
      </c>
      <c r="K13468" t="s">
        <v>36843</v>
      </c>
      <c r="M13468" t="s">
        <v>40370</v>
      </c>
      <c r="N13468" t="s">
        <v>40436</v>
      </c>
      <c r="O13468" t="s">
        <v>40437</v>
      </c>
      <c r="Q13468">
        <v>17</v>
      </c>
      <c r="R13468" t="s">
        <v>40522</v>
      </c>
      <c r="S13468" t="s">
        <v>41933</v>
      </c>
      <c r="T13468" t="s">
        <v>42237</v>
      </c>
      <c r="U13468" t="s">
        <v>53617</v>
      </c>
      <c r="V13468" t="s">
        <v>55288</v>
      </c>
      <c r="W13468" t="s">
        <v>55550</v>
      </c>
      <c r="X13468" t="s">
        <v>40525</v>
      </c>
    </row>
    <row r="13469" spans="1:24">
      <c r="A13469">
        <f>HYPERLINK("https://www.philgeps.gov.ph/GEPSNONPILOT/Tender/SplashBidNoticeAbstractUI.aspx?menuIndex=3&amp;refID=6901708&amp;Result=3","6901708")</f>
        <v>0</v>
      </c>
      <c r="B13469" t="s">
        <v>2452</v>
      </c>
      <c r="C13469" t="s">
        <v>15998</v>
      </c>
      <c r="D13469" t="s">
        <v>16264</v>
      </c>
      <c r="E13469" t="s">
        <v>28019</v>
      </c>
      <c r="F13469" t="s">
        <v>28198</v>
      </c>
      <c r="G13469" t="s">
        <v>28205</v>
      </c>
      <c r="H13469" t="s">
        <v>28214</v>
      </c>
      <c r="I13469" t="s">
        <v>3797</v>
      </c>
      <c r="J13469" t="s">
        <v>28363</v>
      </c>
      <c r="K13469" t="s">
        <v>36694</v>
      </c>
      <c r="M13469" t="s">
        <v>40369</v>
      </c>
      <c r="N13469" t="s">
        <v>40436</v>
      </c>
      <c r="O13469" t="s">
        <v>40437</v>
      </c>
      <c r="Q13469">
        <v>0</v>
      </c>
      <c r="R13469" t="s">
        <v>40522</v>
      </c>
      <c r="S13469" t="s">
        <v>41934</v>
      </c>
      <c r="T13469" t="s">
        <v>42218</v>
      </c>
      <c r="U13469" t="s">
        <v>53618</v>
      </c>
      <c r="V13469" t="s">
        <v>55376</v>
      </c>
      <c r="W13469" t="s">
        <v>40369</v>
      </c>
      <c r="X13469" t="s">
        <v>40525</v>
      </c>
    </row>
    <row r="13470" spans="1:24">
      <c r="A13470">
        <f>HYPERLINK("https://www.philgeps.gov.ph/GEPSNONPILOT/Tender/SplashBidNoticeAbstractUI.aspx?menuIndex=3&amp;refID=6903240&amp;Result=3","6903240")</f>
        <v>0</v>
      </c>
      <c r="B13470" t="s">
        <v>3079</v>
      </c>
      <c r="C13470" t="s">
        <v>15999</v>
      </c>
      <c r="D13470" t="s">
        <v>16233</v>
      </c>
      <c r="E13470" t="s">
        <v>28020</v>
      </c>
      <c r="F13470" t="s">
        <v>28198</v>
      </c>
      <c r="G13470" t="s">
        <v>28205</v>
      </c>
      <c r="H13470" t="s">
        <v>28214</v>
      </c>
      <c r="I13470" t="s">
        <v>3797</v>
      </c>
      <c r="J13470" t="s">
        <v>36563</v>
      </c>
      <c r="K13470" t="s">
        <v>36697</v>
      </c>
      <c r="M13470" t="s">
        <v>40414</v>
      </c>
      <c r="N13470" t="s">
        <v>40436</v>
      </c>
      <c r="O13470" t="s">
        <v>40437</v>
      </c>
      <c r="Q13470">
        <v>15</v>
      </c>
      <c r="R13470" t="s">
        <v>40522</v>
      </c>
      <c r="S13470" t="s">
        <v>41935</v>
      </c>
      <c r="T13470" t="s">
        <v>42616</v>
      </c>
      <c r="U13470" t="s">
        <v>53619</v>
      </c>
      <c r="V13470" t="s">
        <v>55377</v>
      </c>
      <c r="W13470" t="s">
        <v>40414</v>
      </c>
      <c r="X13470" t="s">
        <v>40525</v>
      </c>
    </row>
    <row r="13471" spans="1:24">
      <c r="A13471">
        <f>HYPERLINK("https://www.philgeps.gov.ph/GEPSNONPILOT/Tender/SplashBidNoticeAbstractUI.aspx?menuIndex=3&amp;refID=6908540&amp;Result=3","6908540")</f>
        <v>0</v>
      </c>
      <c r="B13471" t="s">
        <v>1964</v>
      </c>
      <c r="C13471" t="s">
        <v>16000</v>
      </c>
      <c r="E13471" t="s">
        <v>28021</v>
      </c>
      <c r="F13471" t="s">
        <v>28198</v>
      </c>
      <c r="G13471" t="s">
        <v>28205</v>
      </c>
      <c r="H13471" t="s">
        <v>28215</v>
      </c>
      <c r="I13471" t="s">
        <v>28247</v>
      </c>
      <c r="J13471" t="s">
        <v>36564</v>
      </c>
      <c r="K13471" t="s">
        <v>36689</v>
      </c>
      <c r="M13471" t="s">
        <v>40415</v>
      </c>
      <c r="N13471" t="s">
        <v>40436</v>
      </c>
      <c r="O13471" t="s">
        <v>40437</v>
      </c>
      <c r="Q13471">
        <v>56</v>
      </c>
      <c r="R13471" t="s">
        <v>40521</v>
      </c>
      <c r="S13471" t="s">
        <v>41936</v>
      </c>
      <c r="T13471" t="s">
        <v>42617</v>
      </c>
      <c r="U13471" t="s">
        <v>53620</v>
      </c>
      <c r="W13471" t="s">
        <v>40415</v>
      </c>
      <c r="X13471" t="s">
        <v>40522</v>
      </c>
    </row>
    <row r="13472" spans="1:24">
      <c r="A13472">
        <f>HYPERLINK("https://www.philgeps.gov.ph/GEPSNONPILOT/Tender/SplashBidNoticeAbstractUI.aspx?menuIndex=3&amp;refID=6901014&amp;Result=3","6901014")</f>
        <v>0</v>
      </c>
      <c r="B13472" t="s">
        <v>2452</v>
      </c>
      <c r="C13472" t="s">
        <v>16001</v>
      </c>
      <c r="D13472" t="s">
        <v>16264</v>
      </c>
      <c r="E13472" t="s">
        <v>28022</v>
      </c>
      <c r="F13472" t="s">
        <v>28198</v>
      </c>
      <c r="G13472" t="s">
        <v>28205</v>
      </c>
      <c r="H13472" t="s">
        <v>28214</v>
      </c>
      <c r="I13472" t="s">
        <v>3797</v>
      </c>
      <c r="J13472" t="s">
        <v>36565</v>
      </c>
      <c r="K13472" t="s">
        <v>36923</v>
      </c>
      <c r="M13472" t="s">
        <v>40369</v>
      </c>
      <c r="N13472" t="s">
        <v>40436</v>
      </c>
      <c r="O13472" t="s">
        <v>40437</v>
      </c>
      <c r="Q13472">
        <v>3</v>
      </c>
      <c r="R13472" t="s">
        <v>40522</v>
      </c>
      <c r="S13472" t="s">
        <v>41937</v>
      </c>
      <c r="T13472" t="s">
        <v>42277</v>
      </c>
      <c r="U13472" t="s">
        <v>53621</v>
      </c>
      <c r="V13472" t="s">
        <v>55378</v>
      </c>
      <c r="W13472" t="s">
        <v>40369</v>
      </c>
      <c r="X13472" t="s">
        <v>40525</v>
      </c>
    </row>
    <row r="13473" spans="1:24">
      <c r="A13473">
        <f>HYPERLINK("https://www.philgeps.gov.ph/GEPSNONPILOT/Tender/SplashBidNoticeAbstractUI.aspx?menuIndex=3&amp;refID=6901648&amp;Result=3","6901648")</f>
        <v>0</v>
      </c>
      <c r="B13473" t="s">
        <v>3072</v>
      </c>
      <c r="C13473" t="s">
        <v>16002</v>
      </c>
      <c r="D13473" t="s">
        <v>16204</v>
      </c>
      <c r="E13473" t="s">
        <v>28023</v>
      </c>
      <c r="F13473" t="s">
        <v>28198</v>
      </c>
      <c r="G13473" t="s">
        <v>28205</v>
      </c>
      <c r="H13473" t="s">
        <v>28214</v>
      </c>
      <c r="I13473" t="s">
        <v>3797</v>
      </c>
      <c r="J13473" t="s">
        <v>36566</v>
      </c>
      <c r="K13473" t="s">
        <v>36988</v>
      </c>
      <c r="M13473" t="s">
        <v>40400</v>
      </c>
      <c r="N13473" t="s">
        <v>40436</v>
      </c>
      <c r="O13473" t="s">
        <v>40437</v>
      </c>
      <c r="Q13473">
        <v>58</v>
      </c>
      <c r="R13473" t="s">
        <v>40522</v>
      </c>
      <c r="S13473" t="s">
        <v>41938</v>
      </c>
      <c r="T13473" t="s">
        <v>42106</v>
      </c>
      <c r="U13473" t="s">
        <v>53622</v>
      </c>
      <c r="V13473" t="s">
        <v>54469</v>
      </c>
      <c r="W13473" t="s">
        <v>40400</v>
      </c>
      <c r="X13473" t="s">
        <v>40525</v>
      </c>
    </row>
    <row r="13474" spans="1:24">
      <c r="A13474">
        <f>HYPERLINK("https://www.philgeps.gov.ph/GEPSNONPILOT/Tender/SplashBidNoticeAbstractUI.aspx?menuIndex=3&amp;refID=6908254&amp;Result=3","6908254")</f>
        <v>0</v>
      </c>
      <c r="B13474" t="s">
        <v>3080</v>
      </c>
      <c r="C13474" t="s">
        <v>16003</v>
      </c>
      <c r="E13474" t="s">
        <v>28024</v>
      </c>
      <c r="F13474" t="s">
        <v>28198</v>
      </c>
      <c r="G13474" t="s">
        <v>28205</v>
      </c>
      <c r="H13474" t="s">
        <v>28214</v>
      </c>
      <c r="I13474" t="s">
        <v>3797</v>
      </c>
      <c r="J13474" t="s">
        <v>36567</v>
      </c>
      <c r="K13474" t="s">
        <v>36735</v>
      </c>
      <c r="M13474" t="s">
        <v>40416</v>
      </c>
      <c r="N13474" t="s">
        <v>40436</v>
      </c>
      <c r="O13474" t="s">
        <v>40437</v>
      </c>
      <c r="Q13474">
        <v>11</v>
      </c>
      <c r="R13474" t="s">
        <v>40521</v>
      </c>
      <c r="S13474" t="s">
        <v>41939</v>
      </c>
      <c r="T13474" t="s">
        <v>42234</v>
      </c>
      <c r="U13474" t="s">
        <v>53623</v>
      </c>
      <c r="W13474" t="s">
        <v>40416</v>
      </c>
      <c r="X13474" t="s">
        <v>40522</v>
      </c>
    </row>
    <row r="13475" spans="1:24">
      <c r="A13475">
        <f>HYPERLINK("https://www.philgeps.gov.ph/GEPSNONPILOT/Tender/SplashBidNoticeAbstractUI.aspx?menuIndex=3&amp;refID=6908095&amp;Result=3","6908095")</f>
        <v>0</v>
      </c>
      <c r="B13475" t="s">
        <v>1964</v>
      </c>
      <c r="C13475" t="s">
        <v>16004</v>
      </c>
      <c r="E13475" t="s">
        <v>28025</v>
      </c>
      <c r="F13475" t="s">
        <v>28198</v>
      </c>
      <c r="G13475" t="s">
        <v>28205</v>
      </c>
      <c r="H13475" t="s">
        <v>28215</v>
      </c>
      <c r="I13475" t="s">
        <v>28234</v>
      </c>
      <c r="J13475" t="s">
        <v>36568</v>
      </c>
      <c r="K13475" t="s">
        <v>36689</v>
      </c>
      <c r="M13475" t="s">
        <v>40411</v>
      </c>
      <c r="N13475" t="s">
        <v>40436</v>
      </c>
      <c r="O13475" t="s">
        <v>40437</v>
      </c>
      <c r="Q13475">
        <v>18</v>
      </c>
      <c r="R13475" t="s">
        <v>40521</v>
      </c>
      <c r="S13475" t="s">
        <v>41940</v>
      </c>
      <c r="T13475" t="s">
        <v>42618</v>
      </c>
      <c r="U13475" t="s">
        <v>53624</v>
      </c>
      <c r="W13475" t="s">
        <v>40411</v>
      </c>
      <c r="X13475" t="s">
        <v>40522</v>
      </c>
    </row>
    <row r="13476" spans="1:24">
      <c r="A13476">
        <f>HYPERLINK("https://www.philgeps.gov.ph/GEPSNONPILOT/Tender/SplashBidNoticeAbstractUI.aspx?menuIndex=3&amp;refID=6901328&amp;Result=3","6901328")</f>
        <v>0</v>
      </c>
      <c r="B13476" t="s">
        <v>1203</v>
      </c>
      <c r="C13476" t="s">
        <v>15825</v>
      </c>
      <c r="D13476" t="s">
        <v>16210</v>
      </c>
      <c r="E13476" t="s">
        <v>28026</v>
      </c>
      <c r="F13476" t="s">
        <v>28198</v>
      </c>
      <c r="G13476" t="s">
        <v>28205</v>
      </c>
      <c r="H13476" t="s">
        <v>28215</v>
      </c>
      <c r="I13476" t="s">
        <v>28281</v>
      </c>
      <c r="J13476" t="s">
        <v>36569</v>
      </c>
      <c r="K13476" t="s">
        <v>36689</v>
      </c>
      <c r="M13476" t="s">
        <v>38248</v>
      </c>
      <c r="N13476" t="s">
        <v>40436</v>
      </c>
      <c r="O13476" t="s">
        <v>40437</v>
      </c>
      <c r="Q13476">
        <v>32</v>
      </c>
      <c r="R13476" t="s">
        <v>40522</v>
      </c>
      <c r="S13476" t="s">
        <v>41941</v>
      </c>
      <c r="T13476" t="s">
        <v>42190</v>
      </c>
      <c r="U13476" t="s">
        <v>53490</v>
      </c>
      <c r="W13476" t="s">
        <v>38248</v>
      </c>
      <c r="X13476" t="s">
        <v>40525</v>
      </c>
    </row>
    <row r="13477" spans="1:24">
      <c r="A13477">
        <f>HYPERLINK("https://www.philgeps.gov.ph/GEPSNONPILOT/Tender/SplashBidNoticeAbstractUI.aspx?menuIndex=3&amp;refID=6908367&amp;Result=3","6908367")</f>
        <v>0</v>
      </c>
      <c r="B13477" t="s">
        <v>940</v>
      </c>
      <c r="C13477" t="s">
        <v>16005</v>
      </c>
      <c r="D13477" t="s">
        <v>16278</v>
      </c>
      <c r="E13477" t="s">
        <v>28027</v>
      </c>
      <c r="F13477" t="s">
        <v>28198</v>
      </c>
      <c r="G13477" t="s">
        <v>28205</v>
      </c>
      <c r="H13477" t="s">
        <v>28214</v>
      </c>
      <c r="I13477" t="s">
        <v>3797</v>
      </c>
      <c r="J13477" t="s">
        <v>36570</v>
      </c>
      <c r="K13477" t="s">
        <v>36717</v>
      </c>
      <c r="M13477" t="s">
        <v>37963</v>
      </c>
      <c r="N13477" t="s">
        <v>40436</v>
      </c>
      <c r="O13477" t="s">
        <v>40437</v>
      </c>
      <c r="Q13477">
        <v>6</v>
      </c>
      <c r="R13477" t="s">
        <v>40521</v>
      </c>
      <c r="S13477" t="s">
        <v>41942</v>
      </c>
      <c r="T13477" t="s">
        <v>42529</v>
      </c>
      <c r="U13477" t="s">
        <v>53625</v>
      </c>
      <c r="V13477" t="s">
        <v>55379</v>
      </c>
      <c r="W13477" t="s">
        <v>37963</v>
      </c>
      <c r="X13477" t="s">
        <v>40522</v>
      </c>
    </row>
    <row r="13478" spans="1:24">
      <c r="A13478">
        <f>HYPERLINK("https://www.philgeps.gov.ph/GEPSNONPILOT/Tender/SplashBidNoticeAbstractUI.aspx?menuIndex=3&amp;refID=6908245&amp;Result=3","6908245")</f>
        <v>0</v>
      </c>
      <c r="B13478" t="s">
        <v>3080</v>
      </c>
      <c r="C13478" t="s">
        <v>16006</v>
      </c>
      <c r="E13478" t="s">
        <v>28028</v>
      </c>
      <c r="F13478" t="s">
        <v>28198</v>
      </c>
      <c r="G13478" t="s">
        <v>28205</v>
      </c>
      <c r="H13478" t="s">
        <v>28214</v>
      </c>
      <c r="I13478" t="s">
        <v>3797</v>
      </c>
      <c r="J13478" t="s">
        <v>36571</v>
      </c>
      <c r="K13478" t="s">
        <v>36690</v>
      </c>
      <c r="M13478" t="s">
        <v>40416</v>
      </c>
      <c r="N13478" t="s">
        <v>40436</v>
      </c>
      <c r="O13478" t="s">
        <v>40437</v>
      </c>
      <c r="Q13478">
        <v>13</v>
      </c>
      <c r="R13478" t="s">
        <v>40521</v>
      </c>
      <c r="S13478" t="s">
        <v>41943</v>
      </c>
      <c r="T13478" t="s">
        <v>42234</v>
      </c>
      <c r="U13478" t="s">
        <v>53623</v>
      </c>
      <c r="W13478" t="s">
        <v>40416</v>
      </c>
      <c r="X13478" t="s">
        <v>40522</v>
      </c>
    </row>
    <row r="13479" spans="1:24">
      <c r="A13479">
        <f>HYPERLINK("https://www.philgeps.gov.ph/GEPSNONPILOT/Tender/SplashBidNoticeAbstractUI.aspx?menuIndex=3&amp;refID=6907036&amp;Result=3","6907036")</f>
        <v>0</v>
      </c>
      <c r="B13479" t="s">
        <v>1370</v>
      </c>
      <c r="C13479" t="s">
        <v>16007</v>
      </c>
      <c r="D13479" t="s">
        <v>16213</v>
      </c>
      <c r="E13479" t="s">
        <v>28029</v>
      </c>
      <c r="F13479" t="s">
        <v>28198</v>
      </c>
      <c r="G13479" t="s">
        <v>28205</v>
      </c>
      <c r="H13479" t="s">
        <v>28214</v>
      </c>
      <c r="I13479" t="s">
        <v>3797</v>
      </c>
      <c r="J13479" t="s">
        <v>29526</v>
      </c>
      <c r="K13479" t="s">
        <v>36782</v>
      </c>
      <c r="M13479" t="s">
        <v>38432</v>
      </c>
      <c r="N13479" t="s">
        <v>40436</v>
      </c>
      <c r="O13479" t="s">
        <v>40437</v>
      </c>
      <c r="Q13479">
        <v>0</v>
      </c>
      <c r="R13479" t="s">
        <v>40521</v>
      </c>
      <c r="S13479" t="s">
        <v>41944</v>
      </c>
      <c r="T13479" t="s">
        <v>42111</v>
      </c>
      <c r="U13479" t="s">
        <v>53626</v>
      </c>
      <c r="W13479" t="s">
        <v>38432</v>
      </c>
      <c r="X13479" t="s">
        <v>40522</v>
      </c>
    </row>
    <row r="13480" spans="1:24">
      <c r="A13480">
        <f>HYPERLINK("https://www.philgeps.gov.ph/GEPSNONPILOT/Tender/SplashBidNoticeAbstractUI.aspx?menuIndex=3&amp;refID=6911284&amp;Result=3","6911284")</f>
        <v>0</v>
      </c>
      <c r="B13480" t="s">
        <v>1370</v>
      </c>
      <c r="C13480" t="s">
        <v>16008</v>
      </c>
      <c r="D13480" t="s">
        <v>16213</v>
      </c>
      <c r="E13480" t="s">
        <v>28030</v>
      </c>
      <c r="F13480" t="s">
        <v>28198</v>
      </c>
      <c r="G13480" t="s">
        <v>28205</v>
      </c>
      <c r="H13480" t="s">
        <v>28214</v>
      </c>
      <c r="I13480" t="s">
        <v>3797</v>
      </c>
      <c r="J13480" t="s">
        <v>29526</v>
      </c>
      <c r="K13480" t="s">
        <v>36937</v>
      </c>
      <c r="M13480" t="s">
        <v>38432</v>
      </c>
      <c r="N13480" t="s">
        <v>40436</v>
      </c>
      <c r="O13480" t="s">
        <v>40437</v>
      </c>
      <c r="Q13480">
        <v>2</v>
      </c>
      <c r="R13480" t="s">
        <v>40520</v>
      </c>
      <c r="S13480" t="s">
        <v>40849</v>
      </c>
      <c r="T13480" t="s">
        <v>42111</v>
      </c>
      <c r="U13480" t="s">
        <v>53627</v>
      </c>
      <c r="W13480" t="s">
        <v>38432</v>
      </c>
      <c r="X13480" t="s">
        <v>40521</v>
      </c>
    </row>
    <row r="13481" spans="1:24">
      <c r="A13481">
        <f>HYPERLINK("https://www.philgeps.gov.ph/GEPSNONPILOT/Tender/SplashBidNoticeAbstractUI.aspx?menuIndex=3&amp;refID=6908381&amp;Result=3","6908381")</f>
        <v>0</v>
      </c>
      <c r="B13481" t="s">
        <v>940</v>
      </c>
      <c r="C13481" t="s">
        <v>16009</v>
      </c>
      <c r="D13481" t="s">
        <v>16278</v>
      </c>
      <c r="E13481" t="s">
        <v>28031</v>
      </c>
      <c r="F13481" t="s">
        <v>28198</v>
      </c>
      <c r="G13481" t="s">
        <v>28205</v>
      </c>
      <c r="H13481" t="s">
        <v>28214</v>
      </c>
      <c r="I13481" t="s">
        <v>3797</v>
      </c>
      <c r="J13481" t="s">
        <v>36572</v>
      </c>
      <c r="K13481" t="s">
        <v>36697</v>
      </c>
      <c r="M13481" t="s">
        <v>37963</v>
      </c>
      <c r="N13481" t="s">
        <v>40436</v>
      </c>
      <c r="O13481" t="s">
        <v>40437</v>
      </c>
      <c r="Q13481">
        <v>5</v>
      </c>
      <c r="R13481" t="s">
        <v>40521</v>
      </c>
      <c r="S13481" t="s">
        <v>41945</v>
      </c>
      <c r="T13481" t="s">
        <v>42427</v>
      </c>
      <c r="U13481" t="s">
        <v>53625</v>
      </c>
      <c r="V13481" t="s">
        <v>55380</v>
      </c>
      <c r="W13481" t="s">
        <v>37963</v>
      </c>
      <c r="X13481" t="s">
        <v>40522</v>
      </c>
    </row>
    <row r="13482" spans="1:24">
      <c r="A13482">
        <f>HYPERLINK("https://www.philgeps.gov.ph/GEPSNONPILOT/Tender/SplashBidNoticeAbstractUI.aspx?menuIndex=3&amp;refID=6899512&amp;Result=3","6899512")</f>
        <v>0</v>
      </c>
      <c r="B13482" t="s">
        <v>2091</v>
      </c>
      <c r="C13482" t="s">
        <v>16010</v>
      </c>
      <c r="D13482" t="s">
        <v>16244</v>
      </c>
      <c r="E13482" t="s">
        <v>28032</v>
      </c>
      <c r="F13482" t="s">
        <v>28198</v>
      </c>
      <c r="G13482" t="s">
        <v>28205</v>
      </c>
      <c r="H13482" t="s">
        <v>28214</v>
      </c>
      <c r="I13482" t="s">
        <v>3797</v>
      </c>
      <c r="J13482" t="s">
        <v>36573</v>
      </c>
      <c r="K13482" t="s">
        <v>36787</v>
      </c>
      <c r="M13482" t="s">
        <v>39240</v>
      </c>
      <c r="N13482" t="s">
        <v>40436</v>
      </c>
      <c r="O13482" t="s">
        <v>40437</v>
      </c>
      <c r="Q13482">
        <v>0</v>
      </c>
      <c r="R13482" t="s">
        <v>40523</v>
      </c>
      <c r="S13482" t="s">
        <v>41946</v>
      </c>
      <c r="T13482" t="s">
        <v>42188</v>
      </c>
      <c r="U13482" t="s">
        <v>48138</v>
      </c>
      <c r="W13482" t="s">
        <v>39240</v>
      </c>
      <c r="X13482" t="s">
        <v>40524</v>
      </c>
    </row>
    <row r="13483" spans="1:24">
      <c r="A13483">
        <f>HYPERLINK("https://www.philgeps.gov.ph/GEPSNONPILOT/Tender/SplashBidNoticeAbstractUI.aspx?menuIndex=3&amp;refID=6894063&amp;Result=3","6894063")</f>
        <v>0</v>
      </c>
      <c r="B13483" t="s">
        <v>410</v>
      </c>
      <c r="C13483" t="s">
        <v>16011</v>
      </c>
      <c r="D13483" t="s">
        <v>16200</v>
      </c>
      <c r="E13483" t="s">
        <v>28033</v>
      </c>
      <c r="F13483" t="s">
        <v>28198</v>
      </c>
      <c r="G13483" t="s">
        <v>28205</v>
      </c>
      <c r="H13483" t="s">
        <v>28215</v>
      </c>
      <c r="I13483" t="s">
        <v>28241</v>
      </c>
      <c r="J13483" t="s">
        <v>28921</v>
      </c>
      <c r="K13483" t="s">
        <v>36707</v>
      </c>
      <c r="L13483" t="s">
        <v>410</v>
      </c>
      <c r="M13483" t="s">
        <v>37392</v>
      </c>
      <c r="N13483" t="s">
        <v>40436</v>
      </c>
      <c r="O13483" t="s">
        <v>40437</v>
      </c>
      <c r="Q13483">
        <v>9</v>
      </c>
      <c r="R13483" t="s">
        <v>40524</v>
      </c>
      <c r="S13483" t="s">
        <v>41947</v>
      </c>
      <c r="T13483" t="s">
        <v>42122</v>
      </c>
      <c r="U13483" t="s">
        <v>53628</v>
      </c>
      <c r="W13483" t="s">
        <v>37392</v>
      </c>
      <c r="X13483" t="s">
        <v>40526</v>
      </c>
    </row>
    <row r="13484" spans="1:24">
      <c r="A13484">
        <f>HYPERLINK("https://www.philgeps.gov.ph/GEPSNONPILOT/Tender/SplashBidNoticeAbstractUI.aspx?menuIndex=3&amp;refID=6894340&amp;Result=3","6894340")</f>
        <v>0</v>
      </c>
      <c r="B13484" t="s">
        <v>1964</v>
      </c>
      <c r="C13484" t="s">
        <v>16012</v>
      </c>
      <c r="D13484" t="s">
        <v>16221</v>
      </c>
      <c r="E13484" t="s">
        <v>28034</v>
      </c>
      <c r="F13484" t="s">
        <v>28198</v>
      </c>
      <c r="G13484" t="s">
        <v>28205</v>
      </c>
      <c r="H13484" t="s">
        <v>28215</v>
      </c>
      <c r="I13484" t="s">
        <v>4222</v>
      </c>
      <c r="J13484" t="s">
        <v>29717</v>
      </c>
      <c r="K13484" t="s">
        <v>36689</v>
      </c>
      <c r="M13484" t="s">
        <v>40382</v>
      </c>
      <c r="N13484" t="s">
        <v>40436</v>
      </c>
      <c r="O13484" t="s">
        <v>40437</v>
      </c>
      <c r="Q13484">
        <v>10</v>
      </c>
      <c r="R13484" t="s">
        <v>40524</v>
      </c>
      <c r="S13484" t="s">
        <v>41948</v>
      </c>
      <c r="T13484" t="s">
        <v>42606</v>
      </c>
      <c r="U13484" t="s">
        <v>53629</v>
      </c>
      <c r="V13484" t="s">
        <v>55381</v>
      </c>
      <c r="W13484" t="s">
        <v>40382</v>
      </c>
      <c r="X13484" t="s">
        <v>40526</v>
      </c>
    </row>
    <row r="13485" spans="1:24">
      <c r="A13485">
        <f>HYPERLINK("https://www.philgeps.gov.ph/GEPSNONPILOT/Tender/SplashBidNoticeAbstractUI.aspx?menuIndex=3&amp;refID=6893856&amp;Result=3","6893856")</f>
        <v>0</v>
      </c>
      <c r="B13485" t="s">
        <v>664</v>
      </c>
      <c r="C13485" t="s">
        <v>16013</v>
      </c>
      <c r="D13485" t="s">
        <v>16260</v>
      </c>
      <c r="E13485" t="s">
        <v>28035</v>
      </c>
      <c r="F13485" t="s">
        <v>28198</v>
      </c>
      <c r="G13485" t="s">
        <v>28205</v>
      </c>
      <c r="H13485" t="s">
        <v>28215</v>
      </c>
      <c r="I13485" t="s">
        <v>28222</v>
      </c>
      <c r="J13485" t="s">
        <v>33160</v>
      </c>
      <c r="K13485" t="s">
        <v>36694</v>
      </c>
      <c r="M13485" t="s">
        <v>38851</v>
      </c>
      <c r="N13485" t="s">
        <v>40436</v>
      </c>
      <c r="O13485" t="s">
        <v>40437</v>
      </c>
      <c r="Q13485">
        <v>7</v>
      </c>
      <c r="R13485" t="s">
        <v>40524</v>
      </c>
      <c r="S13485" t="s">
        <v>41949</v>
      </c>
      <c r="T13485" t="s">
        <v>42190</v>
      </c>
      <c r="U13485" t="s">
        <v>53630</v>
      </c>
      <c r="W13485" t="s">
        <v>38851</v>
      </c>
      <c r="X13485" t="s">
        <v>40526</v>
      </c>
    </row>
    <row r="13486" spans="1:24">
      <c r="A13486">
        <f>HYPERLINK("https://www.philgeps.gov.ph/GEPSNONPILOT/Tender/SplashBidNoticeAbstractUI.aspx?menuIndex=3&amp;refID=6898133&amp;Result=3","6898133")</f>
        <v>0</v>
      </c>
      <c r="B13486" t="s">
        <v>3047</v>
      </c>
      <c r="C13486" t="s">
        <v>16014</v>
      </c>
      <c r="D13486" t="s">
        <v>16210</v>
      </c>
      <c r="E13486" t="s">
        <v>28036</v>
      </c>
      <c r="F13486" t="s">
        <v>28198</v>
      </c>
      <c r="G13486" t="s">
        <v>28205</v>
      </c>
      <c r="H13486" t="s">
        <v>28215</v>
      </c>
      <c r="I13486" t="s">
        <v>28235</v>
      </c>
      <c r="J13486" t="s">
        <v>34924</v>
      </c>
      <c r="K13486" t="s">
        <v>36689</v>
      </c>
      <c r="M13486" t="s">
        <v>40351</v>
      </c>
      <c r="N13486" t="s">
        <v>40436</v>
      </c>
      <c r="O13486" t="s">
        <v>40437</v>
      </c>
      <c r="Q13486">
        <v>8</v>
      </c>
      <c r="R13486" t="s">
        <v>40525</v>
      </c>
      <c r="S13486" t="s">
        <v>41950</v>
      </c>
      <c r="T13486" t="s">
        <v>42216</v>
      </c>
      <c r="U13486" t="s">
        <v>53255</v>
      </c>
      <c r="W13486" t="s">
        <v>40351</v>
      </c>
      <c r="X13486" t="s">
        <v>40524</v>
      </c>
    </row>
    <row r="13487" spans="1:24">
      <c r="A13487">
        <f>HYPERLINK("https://www.philgeps.gov.ph/GEPSNONPILOT/Tender/SplashBidNoticeAbstractUI.aspx?menuIndex=3&amp;refID=6906916&amp;Result=3","6906916")</f>
        <v>0</v>
      </c>
      <c r="B13487" t="s">
        <v>1370</v>
      </c>
      <c r="C13487" t="s">
        <v>16015</v>
      </c>
      <c r="D13487" t="s">
        <v>16213</v>
      </c>
      <c r="E13487" t="s">
        <v>28037</v>
      </c>
      <c r="F13487" t="s">
        <v>28198</v>
      </c>
      <c r="G13487" t="s">
        <v>28205</v>
      </c>
      <c r="H13487" t="s">
        <v>28214</v>
      </c>
      <c r="I13487" t="s">
        <v>3797</v>
      </c>
      <c r="J13487" t="s">
        <v>29552</v>
      </c>
      <c r="K13487" t="s">
        <v>36746</v>
      </c>
      <c r="M13487" t="s">
        <v>38432</v>
      </c>
      <c r="N13487" t="s">
        <v>40436</v>
      </c>
      <c r="O13487" t="s">
        <v>40437</v>
      </c>
      <c r="Q13487">
        <v>1</v>
      </c>
      <c r="R13487" t="s">
        <v>40521</v>
      </c>
      <c r="S13487" t="s">
        <v>41951</v>
      </c>
      <c r="T13487" t="s">
        <v>42111</v>
      </c>
      <c r="U13487" t="s">
        <v>53631</v>
      </c>
      <c r="W13487" t="s">
        <v>38432</v>
      </c>
      <c r="X13487" t="s">
        <v>40522</v>
      </c>
    </row>
    <row r="13488" spans="1:24">
      <c r="A13488">
        <f>HYPERLINK("https://www.philgeps.gov.ph/GEPSNONPILOT/Tender/SplashBidNoticeAbstractUI.aspx?menuIndex=3&amp;refID=6889820&amp;Result=3","6889820")</f>
        <v>0</v>
      </c>
      <c r="B13488" t="s">
        <v>2176</v>
      </c>
      <c r="C13488" t="s">
        <v>16016</v>
      </c>
      <c r="D13488" t="s">
        <v>16260</v>
      </c>
      <c r="E13488" t="s">
        <v>28038</v>
      </c>
      <c r="F13488" t="s">
        <v>28198</v>
      </c>
      <c r="G13488" t="s">
        <v>28205</v>
      </c>
      <c r="H13488" t="s">
        <v>28215</v>
      </c>
      <c r="I13488" t="s">
        <v>28234</v>
      </c>
      <c r="J13488" t="s">
        <v>36574</v>
      </c>
      <c r="K13488" t="s">
        <v>36697</v>
      </c>
      <c r="M13488" t="s">
        <v>39338</v>
      </c>
      <c r="N13488" t="s">
        <v>40436</v>
      </c>
      <c r="O13488" t="s">
        <v>40437</v>
      </c>
      <c r="Q13488">
        <v>39</v>
      </c>
      <c r="R13488" t="s">
        <v>40524</v>
      </c>
      <c r="S13488" t="s">
        <v>41952</v>
      </c>
      <c r="T13488" t="s">
        <v>42101</v>
      </c>
      <c r="U13488" t="s">
        <v>53632</v>
      </c>
      <c r="W13488" t="s">
        <v>39338</v>
      </c>
      <c r="X13488" t="s">
        <v>40527</v>
      </c>
    </row>
    <row r="13489" spans="1:24">
      <c r="A13489">
        <f>HYPERLINK("https://www.philgeps.gov.ph/GEPSNONPILOT/Tender/SplashBidNoticeAbstractUI.aspx?menuIndex=3&amp;refID=6898767&amp;Result=3","6898767")</f>
        <v>0</v>
      </c>
      <c r="B13489" t="s">
        <v>2452</v>
      </c>
      <c r="C13489" t="s">
        <v>16017</v>
      </c>
      <c r="D13489" t="s">
        <v>16264</v>
      </c>
      <c r="E13489" t="s">
        <v>28039</v>
      </c>
      <c r="F13489" t="s">
        <v>28198</v>
      </c>
      <c r="G13489" t="s">
        <v>28205</v>
      </c>
      <c r="H13489" t="s">
        <v>28214</v>
      </c>
      <c r="I13489" t="s">
        <v>3797</v>
      </c>
      <c r="J13489" t="s">
        <v>36575</v>
      </c>
      <c r="K13489" t="s">
        <v>36909</v>
      </c>
      <c r="M13489" t="s">
        <v>40369</v>
      </c>
      <c r="N13489" t="s">
        <v>40436</v>
      </c>
      <c r="O13489" t="s">
        <v>40437</v>
      </c>
      <c r="Q13489">
        <v>4</v>
      </c>
      <c r="R13489" t="s">
        <v>40523</v>
      </c>
      <c r="S13489" t="s">
        <v>41953</v>
      </c>
      <c r="T13489" t="s">
        <v>42277</v>
      </c>
      <c r="U13489" t="s">
        <v>53633</v>
      </c>
      <c r="V13489" t="s">
        <v>55382</v>
      </c>
      <c r="W13489" t="s">
        <v>40369</v>
      </c>
      <c r="X13489" t="s">
        <v>40524</v>
      </c>
    </row>
    <row r="13490" spans="1:24">
      <c r="A13490">
        <f>HYPERLINK("https://www.philgeps.gov.ph/GEPSNONPILOT/Tender/SplashBidNoticeAbstractUI.aspx?menuIndex=3&amp;refID=6893966&amp;Result=3","6893966")</f>
        <v>0</v>
      </c>
      <c r="B13490" t="s">
        <v>1824</v>
      </c>
      <c r="C13490" t="s">
        <v>16018</v>
      </c>
      <c r="E13490" t="s">
        <v>28040</v>
      </c>
      <c r="F13490" t="s">
        <v>28198</v>
      </c>
      <c r="G13490" t="s">
        <v>28205</v>
      </c>
      <c r="H13490" t="s">
        <v>28214</v>
      </c>
      <c r="I13490" t="s">
        <v>3797</v>
      </c>
      <c r="J13490" t="s">
        <v>34433</v>
      </c>
      <c r="K13490" t="s">
        <v>36877</v>
      </c>
      <c r="M13490" t="s">
        <v>38948</v>
      </c>
      <c r="N13490" t="s">
        <v>40436</v>
      </c>
      <c r="O13490" t="s">
        <v>40437</v>
      </c>
      <c r="Q13490">
        <v>4</v>
      </c>
      <c r="R13490" t="s">
        <v>40524</v>
      </c>
      <c r="S13490" t="s">
        <v>41954</v>
      </c>
      <c r="T13490" t="s">
        <v>42121</v>
      </c>
      <c r="U13490" t="s">
        <v>53634</v>
      </c>
      <c r="W13490" t="s">
        <v>38948</v>
      </c>
      <c r="X13490" t="s">
        <v>40526</v>
      </c>
    </row>
    <row r="13491" spans="1:24">
      <c r="A13491">
        <f>HYPERLINK("https://www.philgeps.gov.ph/GEPSNONPILOT/Tender/SplashBidNoticeAbstractUI.aspx?menuIndex=3&amp;refID=6898314&amp;Result=3","6898314")</f>
        <v>0</v>
      </c>
      <c r="B13491" t="s">
        <v>436</v>
      </c>
      <c r="C13491" t="s">
        <v>16019</v>
      </c>
      <c r="D13491" t="s">
        <v>16247</v>
      </c>
      <c r="E13491" t="s">
        <v>28041</v>
      </c>
      <c r="F13491" t="s">
        <v>28198</v>
      </c>
      <c r="G13491" t="s">
        <v>28205</v>
      </c>
      <c r="H13491" t="s">
        <v>28215</v>
      </c>
      <c r="I13491" t="s">
        <v>28233</v>
      </c>
      <c r="J13491" t="s">
        <v>36576</v>
      </c>
      <c r="K13491" t="s">
        <v>36697</v>
      </c>
      <c r="M13491" t="s">
        <v>39757</v>
      </c>
      <c r="N13491" t="s">
        <v>40436</v>
      </c>
      <c r="O13491" t="s">
        <v>40437</v>
      </c>
      <c r="Q13491">
        <v>43</v>
      </c>
      <c r="R13491" t="s">
        <v>40523</v>
      </c>
      <c r="S13491" t="s">
        <v>41955</v>
      </c>
      <c r="T13491" t="s">
        <v>42134</v>
      </c>
      <c r="U13491" t="s">
        <v>53635</v>
      </c>
      <c r="W13491" t="s">
        <v>39757</v>
      </c>
      <c r="X13491" t="s">
        <v>40524</v>
      </c>
    </row>
    <row r="13492" spans="1:24">
      <c r="A13492">
        <f>HYPERLINK("https://www.philgeps.gov.ph/GEPSNONPILOT/Tender/SplashBidNoticeAbstractUI.aspx?menuIndex=3&amp;refID=6893061&amp;Result=3","6893061")</f>
        <v>0</v>
      </c>
      <c r="B13492" t="s">
        <v>1112</v>
      </c>
      <c r="C13492" t="s">
        <v>16020</v>
      </c>
      <c r="D13492" t="s">
        <v>16191</v>
      </c>
      <c r="E13492" t="s">
        <v>28042</v>
      </c>
      <c r="F13492" t="s">
        <v>28198</v>
      </c>
      <c r="G13492" t="s">
        <v>28206</v>
      </c>
      <c r="H13492" t="s">
        <v>28215</v>
      </c>
      <c r="I13492" t="s">
        <v>4168</v>
      </c>
      <c r="J13492" t="s">
        <v>36577</v>
      </c>
      <c r="K13492" t="s">
        <v>36707</v>
      </c>
      <c r="M13492" t="s">
        <v>38149</v>
      </c>
      <c r="N13492" t="s">
        <v>40436</v>
      </c>
      <c r="O13492" t="s">
        <v>40437</v>
      </c>
      <c r="Q13492">
        <v>13</v>
      </c>
      <c r="R13492" t="s">
        <v>40524</v>
      </c>
      <c r="S13492" t="s">
        <v>41956</v>
      </c>
      <c r="T13492" t="s">
        <v>42115</v>
      </c>
      <c r="U13492" t="s">
        <v>53636</v>
      </c>
      <c r="V13492" t="s">
        <v>54089</v>
      </c>
      <c r="W13492" t="s">
        <v>38149</v>
      </c>
      <c r="X13492" t="s">
        <v>40526</v>
      </c>
    </row>
    <row r="13493" spans="1:24">
      <c r="A13493">
        <f>HYPERLINK("https://www.philgeps.gov.ph/GEPSNONPILOT/Tender/SplashBidNoticeAbstractUI.aspx?menuIndex=3&amp;refID=6912199&amp;Result=3","6912199")</f>
        <v>0</v>
      </c>
      <c r="B13493" t="s">
        <v>1223</v>
      </c>
      <c r="C13493" t="s">
        <v>16021</v>
      </c>
      <c r="D13493" t="s">
        <v>16188</v>
      </c>
      <c r="E13493" t="s">
        <v>28043</v>
      </c>
      <c r="F13493" t="s">
        <v>28198</v>
      </c>
      <c r="G13493" t="s">
        <v>28205</v>
      </c>
      <c r="H13493" t="s">
        <v>28215</v>
      </c>
      <c r="I13493" t="s">
        <v>28267</v>
      </c>
      <c r="J13493" t="s">
        <v>29323</v>
      </c>
      <c r="K13493" t="s">
        <v>36694</v>
      </c>
      <c r="M13493" t="s">
        <v>40409</v>
      </c>
      <c r="N13493" t="s">
        <v>40436</v>
      </c>
      <c r="O13493" t="s">
        <v>40437</v>
      </c>
      <c r="Q13493">
        <v>9</v>
      </c>
      <c r="R13493" t="s">
        <v>40520</v>
      </c>
      <c r="S13493" t="s">
        <v>41957</v>
      </c>
      <c r="T13493" t="s">
        <v>42179</v>
      </c>
      <c r="U13493" t="s">
        <v>53637</v>
      </c>
      <c r="W13493" t="s">
        <v>40409</v>
      </c>
      <c r="X13493" t="s">
        <v>40521</v>
      </c>
    </row>
    <row r="13494" spans="1:24">
      <c r="A13494">
        <f>HYPERLINK("https://www.philgeps.gov.ph/GEPSNONPILOT/Tender/SplashBidNoticeAbstractUI.aspx?menuIndex=3&amp;refID=6893990&amp;Result=3","6893990")</f>
        <v>0</v>
      </c>
      <c r="B13494" t="s">
        <v>1824</v>
      </c>
      <c r="C13494" t="s">
        <v>16022</v>
      </c>
      <c r="D13494" t="s">
        <v>16259</v>
      </c>
      <c r="E13494" t="s">
        <v>28044</v>
      </c>
      <c r="F13494" t="s">
        <v>28198</v>
      </c>
      <c r="G13494" t="s">
        <v>28205</v>
      </c>
      <c r="H13494" t="s">
        <v>28214</v>
      </c>
      <c r="I13494" t="s">
        <v>3797</v>
      </c>
      <c r="J13494" t="s">
        <v>34433</v>
      </c>
      <c r="K13494" t="s">
        <v>36877</v>
      </c>
      <c r="M13494" t="s">
        <v>38948</v>
      </c>
      <c r="N13494" t="s">
        <v>40436</v>
      </c>
      <c r="O13494" t="s">
        <v>40437</v>
      </c>
      <c r="Q13494">
        <v>3</v>
      </c>
      <c r="R13494" t="s">
        <v>40524</v>
      </c>
      <c r="S13494" t="s">
        <v>41958</v>
      </c>
      <c r="T13494" t="s">
        <v>42121</v>
      </c>
      <c r="U13494" t="s">
        <v>53638</v>
      </c>
      <c r="W13494" t="s">
        <v>38948</v>
      </c>
      <c r="X13494" t="s">
        <v>40526</v>
      </c>
    </row>
    <row r="13495" spans="1:24">
      <c r="A13495">
        <f>HYPERLINK("https://www.philgeps.gov.ph/GEPSNONPILOT/Tender/SplashBidNoticeAbstractUI.aspx?menuIndex=3&amp;refID=6896008&amp;Result=3","6896008")</f>
        <v>0</v>
      </c>
      <c r="B13495" t="s">
        <v>1471</v>
      </c>
      <c r="C13495" t="s">
        <v>16023</v>
      </c>
      <c r="E13495" t="s">
        <v>28045</v>
      </c>
      <c r="F13495" t="s">
        <v>28198</v>
      </c>
      <c r="G13495" t="s">
        <v>28205</v>
      </c>
      <c r="H13495" t="s">
        <v>28215</v>
      </c>
      <c r="I13495" t="s">
        <v>28222</v>
      </c>
      <c r="J13495" t="s">
        <v>28347</v>
      </c>
      <c r="K13495" t="s">
        <v>36689</v>
      </c>
      <c r="M13495" t="s">
        <v>38542</v>
      </c>
      <c r="N13495" t="s">
        <v>40436</v>
      </c>
      <c r="O13495" t="s">
        <v>40437</v>
      </c>
      <c r="Q13495">
        <v>11</v>
      </c>
      <c r="R13495" t="s">
        <v>40523</v>
      </c>
      <c r="S13495" t="s">
        <v>41959</v>
      </c>
      <c r="T13495" t="s">
        <v>42233</v>
      </c>
      <c r="U13495" t="s">
        <v>53550</v>
      </c>
      <c r="V13495" t="s">
        <v>55383</v>
      </c>
      <c r="W13495" t="s">
        <v>38542</v>
      </c>
      <c r="X13495" t="s">
        <v>40526</v>
      </c>
    </row>
    <row r="13496" spans="1:24">
      <c r="A13496">
        <f>HYPERLINK("https://www.philgeps.gov.ph/GEPSNONPILOT/Tender/SplashBidNoticeAbstractUI.aspx?menuIndex=3&amp;refID=6896039&amp;Result=3","6896039")</f>
        <v>0</v>
      </c>
      <c r="B13496" t="s">
        <v>1471</v>
      </c>
      <c r="C13496" t="s">
        <v>16024</v>
      </c>
      <c r="E13496" t="s">
        <v>28046</v>
      </c>
      <c r="F13496" t="s">
        <v>28198</v>
      </c>
      <c r="G13496" t="s">
        <v>28205</v>
      </c>
      <c r="H13496" t="s">
        <v>28215</v>
      </c>
      <c r="I13496" t="s">
        <v>28222</v>
      </c>
      <c r="J13496" t="s">
        <v>31928</v>
      </c>
      <c r="K13496" t="s">
        <v>36689</v>
      </c>
      <c r="M13496" t="s">
        <v>38542</v>
      </c>
      <c r="N13496" t="s">
        <v>40436</v>
      </c>
      <c r="O13496" t="s">
        <v>40437</v>
      </c>
      <c r="Q13496">
        <v>21</v>
      </c>
      <c r="R13496" t="s">
        <v>40523</v>
      </c>
      <c r="S13496" t="s">
        <v>41960</v>
      </c>
      <c r="T13496" t="s">
        <v>42233</v>
      </c>
      <c r="U13496" t="s">
        <v>53550</v>
      </c>
      <c r="V13496" t="s">
        <v>55384</v>
      </c>
      <c r="W13496" t="s">
        <v>38542</v>
      </c>
      <c r="X13496" t="s">
        <v>40526</v>
      </c>
    </row>
    <row r="13497" spans="1:24">
      <c r="A13497">
        <f>HYPERLINK("https://www.philgeps.gov.ph/GEPSNONPILOT/Tender/SplashBidNoticeAbstractUI.aspx?menuIndex=3&amp;refID=6895979&amp;Result=3","6895979")</f>
        <v>0</v>
      </c>
      <c r="B13497" t="s">
        <v>1471</v>
      </c>
      <c r="C13497" t="s">
        <v>16025</v>
      </c>
      <c r="E13497" t="s">
        <v>28047</v>
      </c>
      <c r="F13497" t="s">
        <v>28198</v>
      </c>
      <c r="G13497" t="s">
        <v>28205</v>
      </c>
      <c r="H13497" t="s">
        <v>28215</v>
      </c>
      <c r="I13497" t="s">
        <v>5082</v>
      </c>
      <c r="J13497" t="s">
        <v>36578</v>
      </c>
      <c r="K13497" t="s">
        <v>36689</v>
      </c>
      <c r="M13497" t="s">
        <v>38542</v>
      </c>
      <c r="N13497" t="s">
        <v>40436</v>
      </c>
      <c r="O13497" t="s">
        <v>40437</v>
      </c>
      <c r="Q13497">
        <v>13</v>
      </c>
      <c r="R13497" t="s">
        <v>40523</v>
      </c>
      <c r="S13497" t="s">
        <v>41961</v>
      </c>
      <c r="T13497" t="s">
        <v>42233</v>
      </c>
      <c r="U13497" t="s">
        <v>53550</v>
      </c>
      <c r="V13497" t="s">
        <v>55385</v>
      </c>
      <c r="W13497" t="s">
        <v>38542</v>
      </c>
      <c r="X13497" t="s">
        <v>40526</v>
      </c>
    </row>
    <row r="13498" spans="1:24">
      <c r="A13498">
        <f>HYPERLINK("https://www.philgeps.gov.ph/GEPSNONPILOT/Tender/SplashBidNoticeAbstractUI.aspx?menuIndex=3&amp;refID=6899766&amp;Result=3","6899766")</f>
        <v>0</v>
      </c>
      <c r="B13498" t="s">
        <v>940</v>
      </c>
      <c r="C13498" t="s">
        <v>16026</v>
      </c>
      <c r="D13498" t="s">
        <v>16278</v>
      </c>
      <c r="E13498" t="s">
        <v>28048</v>
      </c>
      <c r="F13498" t="s">
        <v>28198</v>
      </c>
      <c r="G13498" t="s">
        <v>28205</v>
      </c>
      <c r="H13498" t="s">
        <v>28215</v>
      </c>
      <c r="I13498" t="s">
        <v>28280</v>
      </c>
      <c r="J13498" t="s">
        <v>36579</v>
      </c>
      <c r="K13498" t="s">
        <v>36694</v>
      </c>
      <c r="M13498" t="s">
        <v>37963</v>
      </c>
      <c r="N13498" t="s">
        <v>40436</v>
      </c>
      <c r="O13498" t="s">
        <v>40437</v>
      </c>
      <c r="Q13498">
        <v>11</v>
      </c>
      <c r="R13498" t="s">
        <v>40523</v>
      </c>
      <c r="S13498" t="s">
        <v>41962</v>
      </c>
      <c r="T13498" t="s">
        <v>42529</v>
      </c>
      <c r="U13498" t="s">
        <v>53639</v>
      </c>
      <c r="V13498" t="s">
        <v>55386</v>
      </c>
      <c r="W13498" t="s">
        <v>37963</v>
      </c>
      <c r="X13498" t="s">
        <v>40524</v>
      </c>
    </row>
    <row r="13499" spans="1:24">
      <c r="A13499">
        <f>HYPERLINK("https://www.philgeps.gov.ph/GEPSNONPILOT/Tender/SplashBidNoticeAbstractUI.aspx?menuIndex=3&amp;refID=6890239&amp;Result=3","6890239")</f>
        <v>0</v>
      </c>
      <c r="B13499" t="s">
        <v>3081</v>
      </c>
      <c r="C13499" t="s">
        <v>16027</v>
      </c>
      <c r="D13499" t="s">
        <v>16210</v>
      </c>
      <c r="E13499" t="s">
        <v>28049</v>
      </c>
      <c r="F13499" t="s">
        <v>28198</v>
      </c>
      <c r="G13499" t="s">
        <v>28205</v>
      </c>
      <c r="H13499" t="s">
        <v>28215</v>
      </c>
      <c r="I13499" t="s">
        <v>28344</v>
      </c>
      <c r="J13499" t="s">
        <v>36580</v>
      </c>
      <c r="K13499" t="s">
        <v>36756</v>
      </c>
      <c r="M13499" t="s">
        <v>40417</v>
      </c>
      <c r="N13499" t="s">
        <v>40436</v>
      </c>
      <c r="O13499" t="s">
        <v>40437</v>
      </c>
      <c r="Q13499">
        <v>4</v>
      </c>
      <c r="R13499" t="s">
        <v>40526</v>
      </c>
      <c r="S13499" t="s">
        <v>41963</v>
      </c>
      <c r="T13499" t="s">
        <v>42205</v>
      </c>
      <c r="U13499" t="s">
        <v>53640</v>
      </c>
      <c r="V13499" t="s">
        <v>55387</v>
      </c>
      <c r="W13499" t="s">
        <v>40417</v>
      </c>
      <c r="X13499" t="s">
        <v>40527</v>
      </c>
    </row>
    <row r="13500" spans="1:24">
      <c r="A13500">
        <f>HYPERLINK("https://www.philgeps.gov.ph/GEPSNONPILOT/Tender/SplashBidNoticeAbstractUI.aspx?menuIndex=3&amp;refID=6898213&amp;Result=3","6898213")</f>
        <v>0</v>
      </c>
      <c r="B13500" t="s">
        <v>2452</v>
      </c>
      <c r="C13500" t="s">
        <v>16028</v>
      </c>
      <c r="D13500" t="s">
        <v>16264</v>
      </c>
      <c r="E13500" t="s">
        <v>28050</v>
      </c>
      <c r="F13500" t="s">
        <v>28198</v>
      </c>
      <c r="G13500" t="s">
        <v>28205</v>
      </c>
      <c r="H13500" t="s">
        <v>28214</v>
      </c>
      <c r="I13500" t="s">
        <v>3797</v>
      </c>
      <c r="J13500" t="s">
        <v>36581</v>
      </c>
      <c r="K13500" t="s">
        <v>36909</v>
      </c>
      <c r="M13500" t="s">
        <v>40369</v>
      </c>
      <c r="N13500" t="s">
        <v>40436</v>
      </c>
      <c r="O13500" t="s">
        <v>40437</v>
      </c>
      <c r="Q13500">
        <v>4</v>
      </c>
      <c r="R13500" t="s">
        <v>40523</v>
      </c>
      <c r="S13500" t="s">
        <v>41964</v>
      </c>
      <c r="T13500" t="s">
        <v>42277</v>
      </c>
      <c r="U13500" t="s">
        <v>53641</v>
      </c>
      <c r="V13500" t="s">
        <v>55388</v>
      </c>
      <c r="W13500" t="s">
        <v>40369</v>
      </c>
      <c r="X13500" t="s">
        <v>40524</v>
      </c>
    </row>
    <row r="13501" spans="1:24">
      <c r="A13501">
        <f>HYPERLINK("https://www.philgeps.gov.ph/GEPSNONPILOT/Tender/SplashBidNoticeAbstractUI.aspx?menuIndex=3&amp;refID=6894369&amp;Result=3","6894369")</f>
        <v>0</v>
      </c>
      <c r="B13501" t="s">
        <v>436</v>
      </c>
      <c r="C13501" t="s">
        <v>16029</v>
      </c>
      <c r="D13501" t="s">
        <v>16247</v>
      </c>
      <c r="E13501" t="s">
        <v>28051</v>
      </c>
      <c r="F13501" t="s">
        <v>28198</v>
      </c>
      <c r="G13501" t="s">
        <v>28205</v>
      </c>
      <c r="H13501" t="s">
        <v>28215</v>
      </c>
      <c r="I13501" t="s">
        <v>28304</v>
      </c>
      <c r="J13501" t="s">
        <v>36582</v>
      </c>
      <c r="K13501" t="s">
        <v>36732</v>
      </c>
      <c r="M13501" t="s">
        <v>39757</v>
      </c>
      <c r="N13501" t="s">
        <v>40436</v>
      </c>
      <c r="O13501" t="s">
        <v>40437</v>
      </c>
      <c r="Q13501">
        <v>12</v>
      </c>
      <c r="R13501" t="s">
        <v>40523</v>
      </c>
      <c r="S13501" t="s">
        <v>41965</v>
      </c>
      <c r="T13501" t="s">
        <v>42320</v>
      </c>
      <c r="U13501" t="s">
        <v>53642</v>
      </c>
      <c r="W13501" t="s">
        <v>39757</v>
      </c>
      <c r="X13501" t="s">
        <v>40526</v>
      </c>
    </row>
    <row r="13502" spans="1:24">
      <c r="A13502">
        <f>HYPERLINK("https://www.philgeps.gov.ph/GEPSNONPILOT/Tender/SplashBidNoticeAbstractUI.aspx?menuIndex=3&amp;refID=6890023&amp;Result=3","6890023")</f>
        <v>0</v>
      </c>
      <c r="B13502" t="s">
        <v>2083</v>
      </c>
      <c r="C13502" t="s">
        <v>16030</v>
      </c>
      <c r="D13502" t="s">
        <v>16201</v>
      </c>
      <c r="E13502" t="s">
        <v>28052</v>
      </c>
      <c r="F13502" t="s">
        <v>28198</v>
      </c>
      <c r="G13502" t="s">
        <v>28207</v>
      </c>
      <c r="H13502" t="s">
        <v>28215</v>
      </c>
      <c r="I13502" t="s">
        <v>4321</v>
      </c>
      <c r="J13502" t="s">
        <v>28775</v>
      </c>
      <c r="K13502" t="s">
        <v>36707</v>
      </c>
      <c r="M13502" t="s">
        <v>39232</v>
      </c>
      <c r="N13502" t="s">
        <v>40436</v>
      </c>
      <c r="O13502" t="s">
        <v>40437</v>
      </c>
      <c r="Q13502">
        <v>2</v>
      </c>
      <c r="R13502" t="s">
        <v>40526</v>
      </c>
      <c r="S13502" t="s">
        <v>41966</v>
      </c>
      <c r="T13502" t="s">
        <v>42233</v>
      </c>
      <c r="U13502" t="s">
        <v>53643</v>
      </c>
      <c r="W13502" t="s">
        <v>39232</v>
      </c>
      <c r="X13502" t="s">
        <v>40527</v>
      </c>
    </row>
    <row r="13503" spans="1:24">
      <c r="A13503">
        <f>HYPERLINK("https://www.philgeps.gov.ph/GEPSNONPILOT/Tender/SplashBidNoticeAbstractUI.aspx?menuIndex=3&amp;refID=6890775&amp;Result=3","6890775")</f>
        <v>0</v>
      </c>
      <c r="B13503" t="s">
        <v>2698</v>
      </c>
      <c r="C13503" t="s">
        <v>16031</v>
      </c>
      <c r="D13503" t="s">
        <v>16194</v>
      </c>
      <c r="E13503" t="s">
        <v>27809</v>
      </c>
      <c r="F13503" t="s">
        <v>28198</v>
      </c>
      <c r="G13503" t="s">
        <v>28205</v>
      </c>
      <c r="H13503" t="s">
        <v>28215</v>
      </c>
      <c r="I13503" t="s">
        <v>28238</v>
      </c>
      <c r="J13503" t="s">
        <v>36583</v>
      </c>
      <c r="K13503" t="s">
        <v>36689</v>
      </c>
      <c r="M13503" t="s">
        <v>39937</v>
      </c>
      <c r="N13503" t="s">
        <v>40436</v>
      </c>
      <c r="O13503" t="s">
        <v>40437</v>
      </c>
      <c r="Q13503">
        <v>11</v>
      </c>
      <c r="R13503" t="s">
        <v>40526</v>
      </c>
      <c r="S13503" t="s">
        <v>41967</v>
      </c>
      <c r="T13503" t="s">
        <v>42158</v>
      </c>
      <c r="U13503" t="s">
        <v>53644</v>
      </c>
      <c r="W13503" t="s">
        <v>39937</v>
      </c>
      <c r="X13503" t="s">
        <v>40527</v>
      </c>
    </row>
    <row r="13504" spans="1:24">
      <c r="A13504">
        <f>HYPERLINK("https://www.philgeps.gov.ph/GEPSNONPILOT/Tender/SplashBidNoticeAbstractUI.aspx?menuIndex=3&amp;refID=6890014&amp;Result=3","6890014")</f>
        <v>0</v>
      </c>
      <c r="B13504" t="s">
        <v>3081</v>
      </c>
      <c r="C13504" t="s">
        <v>16027</v>
      </c>
      <c r="D13504" t="s">
        <v>16210</v>
      </c>
      <c r="E13504" t="s">
        <v>28053</v>
      </c>
      <c r="F13504" t="s">
        <v>28198</v>
      </c>
      <c r="G13504" t="s">
        <v>28205</v>
      </c>
      <c r="H13504" t="s">
        <v>28215</v>
      </c>
      <c r="I13504" t="s">
        <v>28344</v>
      </c>
      <c r="J13504" t="s">
        <v>36584</v>
      </c>
      <c r="K13504" t="s">
        <v>36756</v>
      </c>
      <c r="M13504" t="s">
        <v>40417</v>
      </c>
      <c r="N13504" t="s">
        <v>40436</v>
      </c>
      <c r="O13504" t="s">
        <v>40437</v>
      </c>
      <c r="Q13504">
        <v>8</v>
      </c>
      <c r="R13504" t="s">
        <v>40526</v>
      </c>
      <c r="S13504" t="s">
        <v>41968</v>
      </c>
      <c r="T13504" t="s">
        <v>42205</v>
      </c>
      <c r="U13504" t="s">
        <v>53640</v>
      </c>
      <c r="V13504" t="s">
        <v>55389</v>
      </c>
      <c r="W13504" t="s">
        <v>40417</v>
      </c>
      <c r="X13504" t="s">
        <v>40527</v>
      </c>
    </row>
    <row r="13505" spans="1:24">
      <c r="A13505">
        <f>HYPERLINK("https://www.philgeps.gov.ph/GEPSNONPILOT/Tender/SplashBidNoticeAbstractUI.aspx?menuIndex=3&amp;refID=6891697&amp;Result=3","6891697")</f>
        <v>0</v>
      </c>
      <c r="B13505" t="s">
        <v>1470</v>
      </c>
      <c r="C13505" t="s">
        <v>16032</v>
      </c>
      <c r="D13505" t="s">
        <v>16210</v>
      </c>
      <c r="E13505" t="s">
        <v>28054</v>
      </c>
      <c r="F13505" t="s">
        <v>28198</v>
      </c>
      <c r="G13505" t="s">
        <v>28205</v>
      </c>
      <c r="H13505" t="s">
        <v>28215</v>
      </c>
      <c r="I13505" t="s">
        <v>28234</v>
      </c>
      <c r="J13505" t="s">
        <v>28347</v>
      </c>
      <c r="K13505" t="s">
        <v>36689</v>
      </c>
      <c r="M13505" t="s">
        <v>38540</v>
      </c>
      <c r="N13505" t="s">
        <v>40436</v>
      </c>
      <c r="O13505" t="s">
        <v>40437</v>
      </c>
      <c r="Q13505">
        <v>31</v>
      </c>
      <c r="R13505" t="s">
        <v>40526</v>
      </c>
      <c r="S13505" t="s">
        <v>41969</v>
      </c>
      <c r="T13505" t="s">
        <v>42154</v>
      </c>
      <c r="U13505" t="s">
        <v>53645</v>
      </c>
      <c r="V13505" t="s">
        <v>55390</v>
      </c>
      <c r="W13505" t="s">
        <v>38540</v>
      </c>
      <c r="X13505" t="s">
        <v>40527</v>
      </c>
    </row>
    <row r="13506" spans="1:24">
      <c r="A13506">
        <f>HYPERLINK("https://www.philgeps.gov.ph/GEPSNONPILOT/Tender/SplashBidNoticeAbstractUI.aspx?menuIndex=3&amp;refID=6890206&amp;Result=3","6890206")</f>
        <v>0</v>
      </c>
      <c r="B13506" t="s">
        <v>3082</v>
      </c>
      <c r="C13506" t="s">
        <v>16033</v>
      </c>
      <c r="D13506" t="s">
        <v>16210</v>
      </c>
      <c r="E13506" t="s">
        <v>28055</v>
      </c>
      <c r="F13506" t="s">
        <v>28198</v>
      </c>
      <c r="G13506" t="s">
        <v>28205</v>
      </c>
      <c r="H13506" t="s">
        <v>28214</v>
      </c>
      <c r="I13506" t="s">
        <v>3797</v>
      </c>
      <c r="J13506" t="s">
        <v>36585</v>
      </c>
      <c r="K13506" t="s">
        <v>36835</v>
      </c>
      <c r="M13506" t="s">
        <v>40418</v>
      </c>
      <c r="N13506" t="s">
        <v>40436</v>
      </c>
      <c r="O13506" t="s">
        <v>40437</v>
      </c>
      <c r="Q13506">
        <v>24</v>
      </c>
      <c r="R13506" t="s">
        <v>40526</v>
      </c>
      <c r="S13506" t="s">
        <v>41970</v>
      </c>
      <c r="T13506" t="s">
        <v>42113</v>
      </c>
      <c r="U13506" t="s">
        <v>53646</v>
      </c>
      <c r="W13506" t="s">
        <v>40418</v>
      </c>
      <c r="X13506" t="s">
        <v>40527</v>
      </c>
    </row>
    <row r="13507" spans="1:24">
      <c r="A13507">
        <f>HYPERLINK("https://www.philgeps.gov.ph/GEPSNONPILOT/Tender/SplashBidNoticeAbstractUI.aspx?menuIndex=3&amp;refID=6889520&amp;Result=3","6889520")</f>
        <v>0</v>
      </c>
      <c r="B13507" t="s">
        <v>3083</v>
      </c>
      <c r="C13507" t="s">
        <v>16034</v>
      </c>
      <c r="D13507" t="s">
        <v>16249</v>
      </c>
      <c r="E13507" t="s">
        <v>16782</v>
      </c>
      <c r="F13507" t="s">
        <v>28198</v>
      </c>
      <c r="G13507" t="s">
        <v>28205</v>
      </c>
      <c r="H13507" t="s">
        <v>28214</v>
      </c>
      <c r="I13507" t="s">
        <v>3797</v>
      </c>
      <c r="J13507" t="s">
        <v>36586</v>
      </c>
      <c r="K13507" t="s">
        <v>36717</v>
      </c>
      <c r="M13507" t="s">
        <v>40419</v>
      </c>
      <c r="N13507" t="s">
        <v>40436</v>
      </c>
      <c r="O13507" t="s">
        <v>40437</v>
      </c>
      <c r="Q13507">
        <v>64</v>
      </c>
      <c r="R13507" t="s">
        <v>40526</v>
      </c>
      <c r="S13507" t="s">
        <v>41971</v>
      </c>
      <c r="T13507" t="s">
        <v>42113</v>
      </c>
      <c r="U13507" t="s">
        <v>53647</v>
      </c>
      <c r="W13507" t="s">
        <v>40419</v>
      </c>
      <c r="X13507" t="s">
        <v>40529</v>
      </c>
    </row>
    <row r="13508" spans="1:24">
      <c r="A13508">
        <f>HYPERLINK("https://www.philgeps.gov.ph/GEPSNONPILOT/Tender/SplashBidNoticeAbstractUI.aspx?menuIndex=3&amp;refID=6889538&amp;Result=3","6889538")</f>
        <v>0</v>
      </c>
      <c r="B13508" t="s">
        <v>3083</v>
      </c>
      <c r="C13508" t="s">
        <v>16035</v>
      </c>
      <c r="D13508" t="s">
        <v>16196</v>
      </c>
      <c r="E13508" t="s">
        <v>16542</v>
      </c>
      <c r="F13508" t="s">
        <v>28198</v>
      </c>
      <c r="G13508" t="s">
        <v>28205</v>
      </c>
      <c r="H13508" t="s">
        <v>28214</v>
      </c>
      <c r="I13508" t="s">
        <v>3797</v>
      </c>
      <c r="J13508" t="s">
        <v>31166</v>
      </c>
      <c r="K13508" t="s">
        <v>36690</v>
      </c>
      <c r="M13508" t="s">
        <v>40419</v>
      </c>
      <c r="N13508" t="s">
        <v>40436</v>
      </c>
      <c r="O13508" t="s">
        <v>40437</v>
      </c>
      <c r="Q13508">
        <v>52</v>
      </c>
      <c r="R13508" t="s">
        <v>40526</v>
      </c>
      <c r="S13508" t="s">
        <v>41972</v>
      </c>
      <c r="T13508" t="s">
        <v>42399</v>
      </c>
      <c r="U13508" t="s">
        <v>53647</v>
      </c>
      <c r="W13508" t="s">
        <v>40419</v>
      </c>
      <c r="X13508" t="s">
        <v>40529</v>
      </c>
    </row>
    <row r="13509" spans="1:24">
      <c r="A13509">
        <f>HYPERLINK("https://www.philgeps.gov.ph/GEPSNONPILOT/Tender/SplashBidNoticeAbstractUI.aspx?menuIndex=3&amp;refID=6896891&amp;Result=3","6896891")</f>
        <v>0</v>
      </c>
      <c r="B13509" t="s">
        <v>2352</v>
      </c>
      <c r="C13509" t="s">
        <v>16036</v>
      </c>
      <c r="D13509" t="s">
        <v>16239</v>
      </c>
      <c r="E13509" t="s">
        <v>28056</v>
      </c>
      <c r="F13509" t="s">
        <v>28198</v>
      </c>
      <c r="G13509" t="s">
        <v>28205</v>
      </c>
      <c r="H13509" t="s">
        <v>28214</v>
      </c>
      <c r="I13509" t="s">
        <v>3797</v>
      </c>
      <c r="J13509" t="s">
        <v>29566</v>
      </c>
      <c r="K13509" t="s">
        <v>36694</v>
      </c>
      <c r="M13509" t="s">
        <v>39532</v>
      </c>
      <c r="N13509" t="s">
        <v>40436</v>
      </c>
      <c r="O13509" t="s">
        <v>40437</v>
      </c>
      <c r="Q13509">
        <v>42</v>
      </c>
      <c r="R13509" t="s">
        <v>40524</v>
      </c>
      <c r="S13509" t="s">
        <v>41973</v>
      </c>
      <c r="T13509" t="s">
        <v>42524</v>
      </c>
      <c r="U13509" t="s">
        <v>53648</v>
      </c>
      <c r="V13509" t="s">
        <v>55391</v>
      </c>
      <c r="W13509" t="s">
        <v>39532</v>
      </c>
      <c r="X13509" t="s">
        <v>40526</v>
      </c>
    </row>
    <row r="13510" spans="1:24">
      <c r="A13510">
        <f>HYPERLINK("https://www.philgeps.gov.ph/GEPSNONPILOT/Tender/SplashBidNoticeAbstractUI.aspx?menuIndex=3&amp;refID=6896623&amp;Result=3","6896623")</f>
        <v>0</v>
      </c>
      <c r="B13510" t="s">
        <v>52</v>
      </c>
      <c r="C13510" t="s">
        <v>16037</v>
      </c>
      <c r="D13510" t="s">
        <v>16245</v>
      </c>
      <c r="E13510" t="s">
        <v>28057</v>
      </c>
      <c r="F13510" t="s">
        <v>28198</v>
      </c>
      <c r="G13510" t="s">
        <v>28207</v>
      </c>
      <c r="H13510" t="s">
        <v>28215</v>
      </c>
      <c r="I13510" t="s">
        <v>6013</v>
      </c>
      <c r="J13510" t="s">
        <v>36587</v>
      </c>
      <c r="K13510" t="s">
        <v>36701</v>
      </c>
      <c r="M13510" t="s">
        <v>37023</v>
      </c>
      <c r="N13510" t="s">
        <v>40436</v>
      </c>
      <c r="O13510" t="s">
        <v>40437</v>
      </c>
      <c r="Q13510">
        <v>0</v>
      </c>
      <c r="R13510" t="s">
        <v>40524</v>
      </c>
      <c r="S13510" t="s">
        <v>40885</v>
      </c>
      <c r="T13510" t="s">
        <v>42142</v>
      </c>
      <c r="U13510" t="s">
        <v>53649</v>
      </c>
      <c r="W13510" t="s">
        <v>55427</v>
      </c>
      <c r="X13510" t="s">
        <v>40526</v>
      </c>
    </row>
    <row r="13511" spans="1:24">
      <c r="A13511">
        <f>HYPERLINK("https://www.philgeps.gov.ph/GEPSNONPILOT/Tender/SplashBidNoticeAbstractUI.aspx?menuIndex=3&amp;refID=6889527&amp;Result=3","6889527")</f>
        <v>0</v>
      </c>
      <c r="B13511" t="s">
        <v>3083</v>
      </c>
      <c r="C13511" t="s">
        <v>16038</v>
      </c>
      <c r="D13511" t="s">
        <v>16196</v>
      </c>
      <c r="E13511" t="s">
        <v>17572</v>
      </c>
      <c r="F13511" t="s">
        <v>28198</v>
      </c>
      <c r="G13511" t="s">
        <v>28205</v>
      </c>
      <c r="H13511" t="s">
        <v>28214</v>
      </c>
      <c r="I13511" t="s">
        <v>3797</v>
      </c>
      <c r="J13511" t="s">
        <v>31166</v>
      </c>
      <c r="K13511" t="s">
        <v>36690</v>
      </c>
      <c r="M13511" t="s">
        <v>40419</v>
      </c>
      <c r="N13511" t="s">
        <v>40436</v>
      </c>
      <c r="O13511" t="s">
        <v>40437</v>
      </c>
      <c r="Q13511">
        <v>55</v>
      </c>
      <c r="R13511" t="s">
        <v>40526</v>
      </c>
      <c r="S13511" t="s">
        <v>41972</v>
      </c>
      <c r="T13511" t="s">
        <v>42399</v>
      </c>
      <c r="U13511" t="s">
        <v>53647</v>
      </c>
      <c r="W13511" t="s">
        <v>40419</v>
      </c>
      <c r="X13511" t="s">
        <v>40529</v>
      </c>
    </row>
    <row r="13512" spans="1:24">
      <c r="A13512">
        <f>HYPERLINK("https://www.philgeps.gov.ph/GEPSNONPILOT/Tender/SplashBidNoticeAbstractUI.aspx?menuIndex=3&amp;refID=6896173&amp;Result=3","6896173")</f>
        <v>0</v>
      </c>
      <c r="B13512" t="s">
        <v>1964</v>
      </c>
      <c r="C13512" t="s">
        <v>16039</v>
      </c>
      <c r="D13512" t="s">
        <v>16221</v>
      </c>
      <c r="E13512" t="s">
        <v>28058</v>
      </c>
      <c r="F13512" t="s">
        <v>28198</v>
      </c>
      <c r="G13512" t="s">
        <v>28205</v>
      </c>
      <c r="H13512" t="s">
        <v>28215</v>
      </c>
      <c r="I13512" t="s">
        <v>28278</v>
      </c>
      <c r="J13512" t="s">
        <v>29120</v>
      </c>
      <c r="K13512" t="s">
        <v>36689</v>
      </c>
      <c r="M13512" t="s">
        <v>40382</v>
      </c>
      <c r="N13512" t="s">
        <v>40436</v>
      </c>
      <c r="O13512" t="s">
        <v>40437</v>
      </c>
      <c r="Q13512">
        <v>10</v>
      </c>
      <c r="R13512" t="s">
        <v>40524</v>
      </c>
      <c r="S13512" t="s">
        <v>40663</v>
      </c>
      <c r="T13512" t="s">
        <v>42606</v>
      </c>
      <c r="U13512" t="s">
        <v>53650</v>
      </c>
      <c r="V13512" t="s">
        <v>55392</v>
      </c>
      <c r="W13512" t="s">
        <v>40382</v>
      </c>
      <c r="X13512" t="s">
        <v>40526</v>
      </c>
    </row>
    <row r="13513" spans="1:24">
      <c r="A13513">
        <f>HYPERLINK("https://www.philgeps.gov.ph/GEPSNONPILOT/Tender/SplashBidNoticeAbstractUI.aspx?menuIndex=3&amp;refID=6895203&amp;Result=3","6895203")</f>
        <v>0</v>
      </c>
      <c r="B13513" t="s">
        <v>1964</v>
      </c>
      <c r="C13513" t="s">
        <v>16040</v>
      </c>
      <c r="D13513" t="s">
        <v>16221</v>
      </c>
      <c r="E13513" t="s">
        <v>28059</v>
      </c>
      <c r="F13513" t="s">
        <v>28198</v>
      </c>
      <c r="G13513" t="s">
        <v>28205</v>
      </c>
      <c r="H13513" t="s">
        <v>28215</v>
      </c>
      <c r="I13513" t="s">
        <v>28247</v>
      </c>
      <c r="J13513" t="s">
        <v>28601</v>
      </c>
      <c r="K13513" t="s">
        <v>36689</v>
      </c>
      <c r="M13513" t="s">
        <v>40382</v>
      </c>
      <c r="N13513" t="s">
        <v>40436</v>
      </c>
      <c r="O13513" t="s">
        <v>40437</v>
      </c>
      <c r="Q13513">
        <v>32</v>
      </c>
      <c r="R13513" t="s">
        <v>40524</v>
      </c>
      <c r="S13513" t="s">
        <v>41974</v>
      </c>
      <c r="T13513" t="s">
        <v>42606</v>
      </c>
      <c r="U13513" t="s">
        <v>53651</v>
      </c>
      <c r="V13513" t="s">
        <v>55393</v>
      </c>
      <c r="W13513" t="s">
        <v>40382</v>
      </c>
      <c r="X13513" t="s">
        <v>40526</v>
      </c>
    </row>
    <row r="13514" spans="1:24">
      <c r="A13514">
        <f>HYPERLINK("https://www.philgeps.gov.ph/GEPSNONPILOT/Tender/SplashBidNoticeAbstractUI.aspx?menuIndex=3&amp;refID=6896136&amp;Result=3","6896136")</f>
        <v>0</v>
      </c>
      <c r="B13514" t="s">
        <v>2495</v>
      </c>
      <c r="C13514" t="s">
        <v>16041</v>
      </c>
      <c r="D13514" t="s">
        <v>16200</v>
      </c>
      <c r="E13514" t="s">
        <v>28060</v>
      </c>
      <c r="F13514" t="s">
        <v>28198</v>
      </c>
      <c r="G13514" t="s">
        <v>28205</v>
      </c>
      <c r="H13514" t="s">
        <v>28214</v>
      </c>
      <c r="I13514" t="s">
        <v>3797</v>
      </c>
      <c r="J13514" t="s">
        <v>32323</v>
      </c>
      <c r="K13514" t="s">
        <v>36921</v>
      </c>
      <c r="M13514" t="s">
        <v>39696</v>
      </c>
      <c r="N13514" t="s">
        <v>40436</v>
      </c>
      <c r="O13514" t="s">
        <v>40437</v>
      </c>
      <c r="Q13514">
        <v>3</v>
      </c>
      <c r="R13514" t="s">
        <v>40524</v>
      </c>
      <c r="S13514" t="s">
        <v>41975</v>
      </c>
      <c r="T13514" t="s">
        <v>42121</v>
      </c>
      <c r="U13514" t="s">
        <v>53652</v>
      </c>
      <c r="W13514" t="s">
        <v>39696</v>
      </c>
      <c r="X13514" t="s">
        <v>40526</v>
      </c>
    </row>
    <row r="13515" spans="1:24">
      <c r="A13515">
        <f>HYPERLINK("https://www.philgeps.gov.ph/GEPSNONPILOT/Tender/SplashBidNoticeAbstractUI.aspx?menuIndex=3&amp;refID=6894870&amp;Result=3","6894870")</f>
        <v>0</v>
      </c>
      <c r="B13515" t="s">
        <v>2452</v>
      </c>
      <c r="C13515" t="s">
        <v>16042</v>
      </c>
      <c r="D13515" t="s">
        <v>16264</v>
      </c>
      <c r="E13515" t="s">
        <v>28061</v>
      </c>
      <c r="F13515" t="s">
        <v>28198</v>
      </c>
      <c r="G13515" t="s">
        <v>28205</v>
      </c>
      <c r="H13515" t="s">
        <v>28214</v>
      </c>
      <c r="I13515" t="s">
        <v>3797</v>
      </c>
      <c r="J13515" t="s">
        <v>36588</v>
      </c>
      <c r="K13515" t="s">
        <v>36794</v>
      </c>
      <c r="M13515" t="s">
        <v>40369</v>
      </c>
      <c r="N13515" t="s">
        <v>40436</v>
      </c>
      <c r="O13515" t="s">
        <v>40437</v>
      </c>
      <c r="Q13515">
        <v>8</v>
      </c>
      <c r="R13515" t="s">
        <v>40524</v>
      </c>
      <c r="S13515" t="s">
        <v>41976</v>
      </c>
      <c r="T13515" t="s">
        <v>42277</v>
      </c>
      <c r="U13515" t="s">
        <v>53653</v>
      </c>
      <c r="V13515" t="s">
        <v>55394</v>
      </c>
      <c r="W13515" t="s">
        <v>40369</v>
      </c>
      <c r="X13515" t="s">
        <v>40526</v>
      </c>
    </row>
    <row r="13516" spans="1:24">
      <c r="A13516">
        <f>HYPERLINK("https://www.philgeps.gov.ph/GEPSNONPILOT/Tender/SplashBidNoticeAbstractUI.aspx?menuIndex=3&amp;refID=6896842&amp;Result=3","6896842")</f>
        <v>0</v>
      </c>
      <c r="B13516" t="s">
        <v>274</v>
      </c>
      <c r="C13516" t="s">
        <v>16043</v>
      </c>
      <c r="D13516" t="s">
        <v>16210</v>
      </c>
      <c r="E13516" t="s">
        <v>28062</v>
      </c>
      <c r="F13516" t="s">
        <v>28198</v>
      </c>
      <c r="G13516" t="s">
        <v>28205</v>
      </c>
      <c r="H13516" t="s">
        <v>28215</v>
      </c>
      <c r="I13516" t="s">
        <v>28234</v>
      </c>
      <c r="J13516" t="s">
        <v>36589</v>
      </c>
      <c r="K13516" t="s">
        <v>36701</v>
      </c>
      <c r="M13516" t="s">
        <v>40420</v>
      </c>
      <c r="N13516" t="s">
        <v>40436</v>
      </c>
      <c r="O13516" t="s">
        <v>40437</v>
      </c>
      <c r="Q13516">
        <v>17</v>
      </c>
      <c r="R13516" t="s">
        <v>40524</v>
      </c>
      <c r="S13516" t="s">
        <v>41977</v>
      </c>
      <c r="T13516" t="s">
        <v>42406</v>
      </c>
      <c r="U13516" t="s">
        <v>53654</v>
      </c>
      <c r="V13516" t="s">
        <v>55395</v>
      </c>
      <c r="W13516" t="s">
        <v>40420</v>
      </c>
      <c r="X13516" t="s">
        <v>40526</v>
      </c>
    </row>
    <row r="13517" spans="1:24">
      <c r="A13517">
        <f>HYPERLINK("https://www.philgeps.gov.ph/GEPSNONPILOT/Tender/SplashBidNoticeAbstractUI.aspx?menuIndex=3&amp;refID=6896484&amp;Result=3","6896484")</f>
        <v>0</v>
      </c>
      <c r="B13517" t="s">
        <v>3066</v>
      </c>
      <c r="C13517" t="s">
        <v>16044</v>
      </c>
      <c r="D13517" t="s">
        <v>16210</v>
      </c>
      <c r="E13517" t="s">
        <v>28063</v>
      </c>
      <c r="F13517" t="s">
        <v>28198</v>
      </c>
      <c r="G13517" t="s">
        <v>28205</v>
      </c>
      <c r="H13517" t="s">
        <v>28215</v>
      </c>
      <c r="I13517" t="s">
        <v>28326</v>
      </c>
      <c r="J13517" t="s">
        <v>36590</v>
      </c>
      <c r="K13517" t="s">
        <v>36756</v>
      </c>
      <c r="M13517" t="s">
        <v>40421</v>
      </c>
      <c r="N13517" t="s">
        <v>40436</v>
      </c>
      <c r="O13517" t="s">
        <v>40437</v>
      </c>
      <c r="Q13517">
        <v>3</v>
      </c>
      <c r="R13517" t="s">
        <v>40524</v>
      </c>
      <c r="S13517" t="s">
        <v>41978</v>
      </c>
      <c r="T13517" t="s">
        <v>42141</v>
      </c>
      <c r="U13517" t="s">
        <v>53655</v>
      </c>
      <c r="V13517" t="s">
        <v>55396</v>
      </c>
      <c r="W13517" t="s">
        <v>40421</v>
      </c>
      <c r="X13517" t="s">
        <v>40526</v>
      </c>
    </row>
    <row r="13518" spans="1:24">
      <c r="A13518">
        <f>HYPERLINK("https://www.philgeps.gov.ph/GEPSNONPILOT/Tender/SplashBidNoticeAbstractUI.aspx?menuIndex=3&amp;refID=6900719&amp;Result=3","6900719")</f>
        <v>0</v>
      </c>
      <c r="B13518" t="s">
        <v>1964</v>
      </c>
      <c r="C13518" t="s">
        <v>16045</v>
      </c>
      <c r="D13518" t="s">
        <v>16221</v>
      </c>
      <c r="E13518" t="s">
        <v>28064</v>
      </c>
      <c r="F13518" t="s">
        <v>28198</v>
      </c>
      <c r="G13518" t="s">
        <v>28205</v>
      </c>
      <c r="H13518" t="s">
        <v>28214</v>
      </c>
      <c r="I13518" t="s">
        <v>3797</v>
      </c>
      <c r="J13518" t="s">
        <v>36591</v>
      </c>
      <c r="K13518" t="s">
        <v>36690</v>
      </c>
      <c r="M13518" t="s">
        <v>40375</v>
      </c>
      <c r="N13518" t="s">
        <v>40436</v>
      </c>
      <c r="O13518" t="s">
        <v>40437</v>
      </c>
      <c r="Q13518">
        <v>11</v>
      </c>
      <c r="R13518" t="s">
        <v>40525</v>
      </c>
      <c r="S13518" t="s">
        <v>41979</v>
      </c>
      <c r="T13518" t="s">
        <v>42290</v>
      </c>
      <c r="U13518" t="s">
        <v>53656</v>
      </c>
      <c r="W13518" t="s">
        <v>40375</v>
      </c>
      <c r="X13518" t="s">
        <v>55561</v>
      </c>
    </row>
    <row r="13519" spans="1:24">
      <c r="A13519">
        <f>HYPERLINK("https://www.philgeps.gov.ph/GEPSNONPILOT/Tender/SplashBidNoticeAbstractUI.aspx?menuIndex=3&amp;refID=6889544&amp;Result=3","6889544")</f>
        <v>0</v>
      </c>
      <c r="B13519" t="s">
        <v>3083</v>
      </c>
      <c r="C13519" t="s">
        <v>16046</v>
      </c>
      <c r="D13519" t="s">
        <v>16196</v>
      </c>
      <c r="E13519" t="s">
        <v>17218</v>
      </c>
      <c r="F13519" t="s">
        <v>28198</v>
      </c>
      <c r="G13519" t="s">
        <v>28205</v>
      </c>
      <c r="H13519" t="s">
        <v>28214</v>
      </c>
      <c r="I13519" t="s">
        <v>3797</v>
      </c>
      <c r="J13519" t="s">
        <v>31166</v>
      </c>
      <c r="K13519" t="s">
        <v>36690</v>
      </c>
      <c r="M13519" t="s">
        <v>40419</v>
      </c>
      <c r="N13519" t="s">
        <v>40436</v>
      </c>
      <c r="O13519" t="s">
        <v>40437</v>
      </c>
      <c r="Q13519">
        <v>54</v>
      </c>
      <c r="R13519" t="s">
        <v>40526</v>
      </c>
      <c r="S13519" t="s">
        <v>40736</v>
      </c>
      <c r="T13519" t="s">
        <v>42113</v>
      </c>
      <c r="U13519" t="s">
        <v>53647</v>
      </c>
      <c r="W13519" t="s">
        <v>40419</v>
      </c>
      <c r="X13519" t="s">
        <v>40529</v>
      </c>
    </row>
    <row r="13520" spans="1:24">
      <c r="A13520">
        <f>HYPERLINK("https://www.philgeps.gov.ph/GEPSNONPILOT/Tender/SplashBidNoticeAbstractUI.aspx?menuIndex=3&amp;refID=6889432&amp;Result=3","6889432")</f>
        <v>0</v>
      </c>
      <c r="B13520" t="s">
        <v>1964</v>
      </c>
      <c r="C13520" t="s">
        <v>16047</v>
      </c>
      <c r="E13520" t="s">
        <v>28065</v>
      </c>
      <c r="F13520" t="s">
        <v>28198</v>
      </c>
      <c r="G13520" t="s">
        <v>28205</v>
      </c>
      <c r="H13520" t="s">
        <v>28215</v>
      </c>
      <c r="I13520" t="s">
        <v>28254</v>
      </c>
      <c r="J13520" t="s">
        <v>36592</v>
      </c>
      <c r="K13520" t="s">
        <v>36689</v>
      </c>
      <c r="M13520" t="s">
        <v>40411</v>
      </c>
      <c r="N13520" t="s">
        <v>40436</v>
      </c>
      <c r="O13520" t="s">
        <v>40437</v>
      </c>
      <c r="Q13520">
        <v>35</v>
      </c>
      <c r="R13520" t="s">
        <v>40527</v>
      </c>
      <c r="S13520" t="s">
        <v>41980</v>
      </c>
      <c r="T13520" t="s">
        <v>42619</v>
      </c>
      <c r="U13520" t="s">
        <v>53657</v>
      </c>
      <c r="W13520" t="s">
        <v>40411</v>
      </c>
      <c r="X13520" t="s">
        <v>40529</v>
      </c>
    </row>
    <row r="13521" spans="1:24">
      <c r="A13521">
        <f>HYPERLINK("https://www.philgeps.gov.ph/GEPSNONPILOT/Tender/SplashBidNoticeAbstractUI.aspx?menuIndex=3&amp;refID=6899248&amp;Result=3","6899248")</f>
        <v>0</v>
      </c>
      <c r="B13521" t="s">
        <v>2757</v>
      </c>
      <c r="C13521" t="s">
        <v>16048</v>
      </c>
      <c r="E13521" t="s">
        <v>28066</v>
      </c>
      <c r="F13521" t="s">
        <v>28198</v>
      </c>
      <c r="G13521" t="s">
        <v>28208</v>
      </c>
      <c r="H13521" t="s">
        <v>28215</v>
      </c>
      <c r="I13521" t="s">
        <v>5791</v>
      </c>
      <c r="J13521" t="s">
        <v>36593</v>
      </c>
      <c r="K13521" t="s">
        <v>36689</v>
      </c>
      <c r="M13521" t="s">
        <v>40422</v>
      </c>
      <c r="N13521" t="s">
        <v>40436</v>
      </c>
      <c r="O13521" t="s">
        <v>40437</v>
      </c>
      <c r="Q13521">
        <v>12</v>
      </c>
      <c r="R13521" t="s">
        <v>40525</v>
      </c>
      <c r="S13521" t="s">
        <v>41981</v>
      </c>
      <c r="T13521" t="s">
        <v>42100</v>
      </c>
      <c r="U13521" t="s">
        <v>53658</v>
      </c>
      <c r="W13521" t="s">
        <v>40422</v>
      </c>
      <c r="X13521" t="s">
        <v>40524</v>
      </c>
    </row>
    <row r="13522" spans="1:24">
      <c r="A13522">
        <f>HYPERLINK("https://www.philgeps.gov.ph/GEPSNONPILOT/Tender/SplashBidNoticeAbstractUI.aspx?menuIndex=3&amp;refID=6896383&amp;Result=3","6896383")</f>
        <v>0</v>
      </c>
      <c r="B13522" t="s">
        <v>3084</v>
      </c>
      <c r="C13522" t="s">
        <v>16049</v>
      </c>
      <c r="D13522" t="s">
        <v>16195</v>
      </c>
      <c r="E13522" t="s">
        <v>28067</v>
      </c>
      <c r="F13522" t="s">
        <v>28198</v>
      </c>
      <c r="G13522" t="s">
        <v>28205</v>
      </c>
      <c r="H13522" t="s">
        <v>28215</v>
      </c>
      <c r="I13522" t="s">
        <v>28259</v>
      </c>
      <c r="J13522" t="s">
        <v>28561</v>
      </c>
      <c r="K13522" t="s">
        <v>36701</v>
      </c>
      <c r="M13522" t="s">
        <v>40423</v>
      </c>
      <c r="N13522" t="s">
        <v>40436</v>
      </c>
      <c r="O13522" t="s">
        <v>40437</v>
      </c>
      <c r="Q13522">
        <v>6</v>
      </c>
      <c r="R13522" t="s">
        <v>40524</v>
      </c>
      <c r="S13522" t="s">
        <v>41982</v>
      </c>
      <c r="T13522" t="s">
        <v>42234</v>
      </c>
      <c r="U13522" t="s">
        <v>53659</v>
      </c>
      <c r="W13522" t="s">
        <v>40423</v>
      </c>
      <c r="X13522" t="s">
        <v>40526</v>
      </c>
    </row>
    <row r="13523" spans="1:24">
      <c r="A13523">
        <f>HYPERLINK("https://www.philgeps.gov.ph/GEPSNONPILOT/Tender/SplashBidNoticeAbstractUI.aspx?menuIndex=3&amp;refID=6896896&amp;Result=3","6896896")</f>
        <v>0</v>
      </c>
      <c r="B13523" t="s">
        <v>2352</v>
      </c>
      <c r="C13523" t="s">
        <v>16050</v>
      </c>
      <c r="D13523" t="s">
        <v>16239</v>
      </c>
      <c r="E13523" t="s">
        <v>28068</v>
      </c>
      <c r="F13523" t="s">
        <v>28198</v>
      </c>
      <c r="G13523" t="s">
        <v>28205</v>
      </c>
      <c r="H13523" t="s">
        <v>28214</v>
      </c>
      <c r="I13523" t="s">
        <v>3797</v>
      </c>
      <c r="J13523" t="s">
        <v>36594</v>
      </c>
      <c r="K13523" t="s">
        <v>36697</v>
      </c>
      <c r="M13523" t="s">
        <v>39532</v>
      </c>
      <c r="N13523" t="s">
        <v>40436</v>
      </c>
      <c r="O13523" t="s">
        <v>40437</v>
      </c>
      <c r="Q13523">
        <v>48</v>
      </c>
      <c r="R13523" t="s">
        <v>40524</v>
      </c>
      <c r="S13523" t="s">
        <v>41983</v>
      </c>
      <c r="T13523" t="s">
        <v>42524</v>
      </c>
      <c r="U13523" t="s">
        <v>53660</v>
      </c>
      <c r="V13523" t="s">
        <v>55397</v>
      </c>
      <c r="W13523" t="s">
        <v>39532</v>
      </c>
      <c r="X13523" t="s">
        <v>40526</v>
      </c>
    </row>
    <row r="13524" spans="1:24">
      <c r="A13524">
        <f>HYPERLINK("https://www.philgeps.gov.ph/GEPSNONPILOT/Tender/SplashBidNoticeAbstractUI.aspx?menuIndex=3&amp;refID=7018532&amp;Result=3","7018532")</f>
        <v>0</v>
      </c>
      <c r="B13524" t="s">
        <v>2966</v>
      </c>
      <c r="C13524" t="s">
        <v>16051</v>
      </c>
      <c r="D13524" t="s">
        <v>16212</v>
      </c>
      <c r="E13524" t="s">
        <v>28069</v>
      </c>
      <c r="F13524" t="s">
        <v>28198</v>
      </c>
      <c r="G13524" t="s">
        <v>28205</v>
      </c>
      <c r="H13524" t="s">
        <v>28215</v>
      </c>
      <c r="I13524" t="s">
        <v>3774</v>
      </c>
      <c r="J13524" t="s">
        <v>36595</v>
      </c>
      <c r="K13524" t="s">
        <v>36707</v>
      </c>
      <c r="M13524" t="s">
        <v>40255</v>
      </c>
      <c r="N13524" t="s">
        <v>40436</v>
      </c>
      <c r="O13524" t="s">
        <v>40437</v>
      </c>
      <c r="P13524">
        <v>0</v>
      </c>
      <c r="Q13524">
        <v>1</v>
      </c>
      <c r="R13524" t="s">
        <v>40454</v>
      </c>
      <c r="S13524" t="s">
        <v>41306</v>
      </c>
      <c r="T13524" t="s">
        <v>42103</v>
      </c>
      <c r="U13524" t="s">
        <v>53661</v>
      </c>
      <c r="V13524" t="s">
        <v>55398</v>
      </c>
      <c r="W13524" t="s">
        <v>40255</v>
      </c>
      <c r="X13524" t="s">
        <v>40457</v>
      </c>
    </row>
    <row r="13525" spans="1:24">
      <c r="A13525">
        <f>HYPERLINK("https://www.philgeps.gov.ph/GEPSNONPILOT/Tender/SplashBidNoticeAbstractUI.aspx?menuIndex=3&amp;refID=6892031&amp;Result=3","6892031")</f>
        <v>0</v>
      </c>
      <c r="B13525" t="s">
        <v>1405</v>
      </c>
      <c r="C13525" t="s">
        <v>16052</v>
      </c>
      <c r="D13525" t="s">
        <v>16278</v>
      </c>
      <c r="E13525" t="s">
        <v>28070</v>
      </c>
      <c r="F13525" t="s">
        <v>28198</v>
      </c>
      <c r="G13525" t="s">
        <v>28205</v>
      </c>
      <c r="H13525" t="s">
        <v>28215</v>
      </c>
      <c r="I13525" t="s">
        <v>28222</v>
      </c>
      <c r="J13525" t="s">
        <v>36596</v>
      </c>
      <c r="K13525" t="s">
        <v>36694</v>
      </c>
      <c r="M13525" t="s">
        <v>39657</v>
      </c>
      <c r="N13525" t="s">
        <v>40436</v>
      </c>
      <c r="O13525" t="s">
        <v>40437</v>
      </c>
      <c r="Q13525">
        <v>15</v>
      </c>
      <c r="R13525" t="s">
        <v>40526</v>
      </c>
      <c r="S13525" t="s">
        <v>41984</v>
      </c>
      <c r="T13525" t="s">
        <v>42431</v>
      </c>
      <c r="U13525" t="s">
        <v>53662</v>
      </c>
      <c r="W13525" t="s">
        <v>39657</v>
      </c>
      <c r="X13525" t="s">
        <v>40527</v>
      </c>
    </row>
    <row r="13526" spans="1:24">
      <c r="A13526">
        <f>HYPERLINK("https://www.philgeps.gov.ph/GEPSNONPILOT/Tender/SplashBidNoticeAbstractUI.aspx?menuIndex=3&amp;refID=6885407&amp;Result=3","6885407")</f>
        <v>0</v>
      </c>
      <c r="B13526" t="s">
        <v>581</v>
      </c>
      <c r="C13526" t="s">
        <v>16053</v>
      </c>
      <c r="D13526" t="s">
        <v>16210</v>
      </c>
      <c r="E13526" t="s">
        <v>28071</v>
      </c>
      <c r="F13526" t="s">
        <v>28198</v>
      </c>
      <c r="G13526" t="s">
        <v>28205</v>
      </c>
      <c r="H13526" t="s">
        <v>28215</v>
      </c>
      <c r="I13526" t="s">
        <v>4321</v>
      </c>
      <c r="J13526" t="s">
        <v>36597</v>
      </c>
      <c r="K13526" t="s">
        <v>36701</v>
      </c>
      <c r="M13526" t="s">
        <v>40424</v>
      </c>
      <c r="N13526" t="s">
        <v>40436</v>
      </c>
      <c r="O13526" t="s">
        <v>40437</v>
      </c>
      <c r="Q13526">
        <v>18</v>
      </c>
      <c r="R13526" t="s">
        <v>40528</v>
      </c>
      <c r="S13526" t="s">
        <v>41985</v>
      </c>
      <c r="T13526" t="s">
        <v>42277</v>
      </c>
      <c r="U13526" t="s">
        <v>53663</v>
      </c>
      <c r="W13526" t="s">
        <v>40424</v>
      </c>
      <c r="X13526" t="s">
        <v>55562</v>
      </c>
    </row>
    <row r="13527" spans="1:24">
      <c r="A13527">
        <f>HYPERLINK("https://www.philgeps.gov.ph/GEPSNONPILOT/Tender/SplashBidNoticeAbstractUI.aspx?menuIndex=3&amp;refID=6899664&amp;Result=3","6899664")</f>
        <v>0</v>
      </c>
      <c r="B13527" t="s">
        <v>2083</v>
      </c>
      <c r="C13527" t="s">
        <v>16054</v>
      </c>
      <c r="D13527" t="s">
        <v>16234</v>
      </c>
      <c r="E13527" t="s">
        <v>28072</v>
      </c>
      <c r="F13527" t="s">
        <v>28198</v>
      </c>
      <c r="G13527" t="s">
        <v>28207</v>
      </c>
      <c r="H13527" t="s">
        <v>28215</v>
      </c>
      <c r="I13527" t="s">
        <v>28249</v>
      </c>
      <c r="J13527" t="s">
        <v>28787</v>
      </c>
      <c r="K13527" t="s">
        <v>36707</v>
      </c>
      <c r="M13527" t="s">
        <v>39232</v>
      </c>
      <c r="N13527" t="s">
        <v>40436</v>
      </c>
      <c r="O13527" t="s">
        <v>40437</v>
      </c>
      <c r="Q13527">
        <v>2</v>
      </c>
      <c r="R13527" t="s">
        <v>40525</v>
      </c>
      <c r="S13527" t="s">
        <v>40652</v>
      </c>
      <c r="T13527" t="s">
        <v>42133</v>
      </c>
      <c r="U13527" t="s">
        <v>53664</v>
      </c>
      <c r="W13527" t="s">
        <v>39232</v>
      </c>
      <c r="X13527" t="s">
        <v>40524</v>
      </c>
    </row>
    <row r="13528" spans="1:24">
      <c r="A13528">
        <f>HYPERLINK("https://www.philgeps.gov.ph/GEPSNONPILOT/Tender/SplashBidNoticeAbstractUI.aspx?menuIndex=3&amp;refID=6885415&amp;Result=3","6885415")</f>
        <v>0</v>
      </c>
      <c r="B13528" t="s">
        <v>1964</v>
      </c>
      <c r="C13528" t="s">
        <v>16055</v>
      </c>
      <c r="D13528" t="s">
        <v>16221</v>
      </c>
      <c r="E13528" t="s">
        <v>28073</v>
      </c>
      <c r="F13528" t="s">
        <v>28198</v>
      </c>
      <c r="G13528" t="s">
        <v>28205</v>
      </c>
      <c r="H13528" t="s">
        <v>28216</v>
      </c>
      <c r="I13528" t="s">
        <v>28216</v>
      </c>
      <c r="J13528" t="s">
        <v>28730</v>
      </c>
      <c r="K13528" t="s">
        <v>36877</v>
      </c>
      <c r="M13528" t="s">
        <v>40375</v>
      </c>
      <c r="N13528" t="s">
        <v>40436</v>
      </c>
      <c r="O13528" t="s">
        <v>40437</v>
      </c>
      <c r="Q13528">
        <v>10</v>
      </c>
      <c r="R13528" t="s">
        <v>40528</v>
      </c>
      <c r="S13528" t="s">
        <v>41986</v>
      </c>
      <c r="T13528" t="s">
        <v>42181</v>
      </c>
      <c r="U13528" t="s">
        <v>53665</v>
      </c>
      <c r="W13528" t="s">
        <v>40375</v>
      </c>
      <c r="X13528" t="s">
        <v>55562</v>
      </c>
    </row>
    <row r="13529" spans="1:24">
      <c r="A13529">
        <f>HYPERLINK("https://www.philgeps.gov.ph/GEPSNONPILOT/Tender/SplashBidNoticeAbstractUI.aspx?menuIndex=3&amp;refID=6885412&amp;Result=3","6885412")</f>
        <v>0</v>
      </c>
      <c r="B13529" t="s">
        <v>581</v>
      </c>
      <c r="C13529" t="s">
        <v>16056</v>
      </c>
      <c r="D13529" t="s">
        <v>16210</v>
      </c>
      <c r="E13529" t="s">
        <v>28071</v>
      </c>
      <c r="F13529" t="s">
        <v>28198</v>
      </c>
      <c r="G13529" t="s">
        <v>28205</v>
      </c>
      <c r="H13529" t="s">
        <v>28215</v>
      </c>
      <c r="I13529" t="s">
        <v>5100</v>
      </c>
      <c r="J13529" t="s">
        <v>36598</v>
      </c>
      <c r="K13529" t="s">
        <v>36701</v>
      </c>
      <c r="M13529" t="s">
        <v>40424</v>
      </c>
      <c r="N13529" t="s">
        <v>40436</v>
      </c>
      <c r="O13529" t="s">
        <v>40437</v>
      </c>
      <c r="Q13529">
        <v>4</v>
      </c>
      <c r="R13529" t="s">
        <v>40528</v>
      </c>
      <c r="S13529" t="s">
        <v>41987</v>
      </c>
      <c r="T13529" t="s">
        <v>42277</v>
      </c>
      <c r="U13529" t="s">
        <v>53663</v>
      </c>
      <c r="W13529" t="s">
        <v>40424</v>
      </c>
      <c r="X13529" t="s">
        <v>55562</v>
      </c>
    </row>
    <row r="13530" spans="1:24">
      <c r="A13530">
        <f>HYPERLINK("https://www.philgeps.gov.ph/GEPSNONPILOT/Tender/SplashBidNoticeAbstractUI.aspx?menuIndex=3&amp;refID=6889208&amp;Result=3","6889208")</f>
        <v>0</v>
      </c>
      <c r="B13530" t="s">
        <v>1964</v>
      </c>
      <c r="C13530" t="s">
        <v>16057</v>
      </c>
      <c r="E13530" t="s">
        <v>28074</v>
      </c>
      <c r="F13530" t="s">
        <v>28198</v>
      </c>
      <c r="G13530" t="s">
        <v>28205</v>
      </c>
      <c r="H13530" t="s">
        <v>28215</v>
      </c>
      <c r="I13530" t="s">
        <v>28272</v>
      </c>
      <c r="J13530" t="s">
        <v>36599</v>
      </c>
      <c r="K13530" t="s">
        <v>36689</v>
      </c>
      <c r="M13530" t="s">
        <v>40411</v>
      </c>
      <c r="N13530" t="s">
        <v>40436</v>
      </c>
      <c r="O13530" t="s">
        <v>40437</v>
      </c>
      <c r="Q13530">
        <v>11</v>
      </c>
      <c r="R13530" t="s">
        <v>40527</v>
      </c>
      <c r="S13530" t="s">
        <v>41988</v>
      </c>
      <c r="T13530" t="s">
        <v>42132</v>
      </c>
      <c r="U13530" t="s">
        <v>53666</v>
      </c>
      <c r="W13530" t="s">
        <v>40411</v>
      </c>
      <c r="X13530" t="s">
        <v>40529</v>
      </c>
    </row>
    <row r="13531" spans="1:24">
      <c r="A13531">
        <f>HYPERLINK("https://www.philgeps.gov.ph/GEPSNONPILOT/Tender/SplashBidNoticeAbstractUI.aspx?menuIndex=3&amp;refID=6886356&amp;Result=3","6886356")</f>
        <v>0</v>
      </c>
      <c r="B13531" t="s">
        <v>2413</v>
      </c>
      <c r="C13531" t="s">
        <v>16058</v>
      </c>
      <c r="D13531" t="s">
        <v>16191</v>
      </c>
      <c r="E13531" t="s">
        <v>28075</v>
      </c>
      <c r="F13531" t="s">
        <v>28198</v>
      </c>
      <c r="G13531" t="s">
        <v>28205</v>
      </c>
      <c r="H13531" t="s">
        <v>28217</v>
      </c>
      <c r="I13531" t="s">
        <v>28325</v>
      </c>
      <c r="J13531" t="s">
        <v>35580</v>
      </c>
      <c r="K13531" t="s">
        <v>36692</v>
      </c>
      <c r="M13531" t="s">
        <v>39653</v>
      </c>
      <c r="N13531" t="s">
        <v>40436</v>
      </c>
      <c r="O13531" t="s">
        <v>40437</v>
      </c>
      <c r="Q13531">
        <v>10</v>
      </c>
      <c r="R13531" t="s">
        <v>40529</v>
      </c>
      <c r="S13531" t="s">
        <v>41989</v>
      </c>
      <c r="T13531" t="s">
        <v>42184</v>
      </c>
      <c r="U13531" t="s">
        <v>49378</v>
      </c>
      <c r="V13531" t="s">
        <v>54909</v>
      </c>
      <c r="W13531" t="s">
        <v>39653</v>
      </c>
      <c r="X13531" t="s">
        <v>40528</v>
      </c>
    </row>
    <row r="13532" spans="1:24">
      <c r="A13532">
        <f>HYPERLINK("https://www.philgeps.gov.ph/GEPSNONPILOT/Tender/SplashBidNoticeAbstractUI.aspx?menuIndex=3&amp;refID=6886275&amp;Result=3","6886275")</f>
        <v>0</v>
      </c>
      <c r="B13532" t="s">
        <v>2413</v>
      </c>
      <c r="C13532" t="s">
        <v>16059</v>
      </c>
      <c r="D13532" t="s">
        <v>16191</v>
      </c>
      <c r="E13532" t="s">
        <v>28076</v>
      </c>
      <c r="F13532" t="s">
        <v>28198</v>
      </c>
      <c r="G13532" t="s">
        <v>28205</v>
      </c>
      <c r="H13532" t="s">
        <v>28217</v>
      </c>
      <c r="I13532" t="s">
        <v>28325</v>
      </c>
      <c r="J13532" t="s">
        <v>36600</v>
      </c>
      <c r="K13532" t="s">
        <v>36692</v>
      </c>
      <c r="M13532" t="s">
        <v>39653</v>
      </c>
      <c r="N13532" t="s">
        <v>40436</v>
      </c>
      <c r="O13532" t="s">
        <v>40437</v>
      </c>
      <c r="Q13532">
        <v>6</v>
      </c>
      <c r="R13532" t="s">
        <v>40529</v>
      </c>
      <c r="S13532" t="s">
        <v>41990</v>
      </c>
      <c r="T13532" t="s">
        <v>42184</v>
      </c>
      <c r="U13532" t="s">
        <v>49378</v>
      </c>
      <c r="V13532" t="s">
        <v>54909</v>
      </c>
      <c r="W13532" t="s">
        <v>39653</v>
      </c>
      <c r="X13532" t="s">
        <v>40528</v>
      </c>
    </row>
    <row r="13533" spans="1:24">
      <c r="A13533">
        <f>HYPERLINK("https://www.philgeps.gov.ph/GEPSNONPILOT/Tender/SplashBidNoticeAbstractUI.aspx?menuIndex=3&amp;refID=6887641&amp;Result=3","6887641")</f>
        <v>0</v>
      </c>
      <c r="B13533" t="s">
        <v>940</v>
      </c>
      <c r="C13533" t="s">
        <v>16060</v>
      </c>
      <c r="D13533" t="s">
        <v>16278</v>
      </c>
      <c r="E13533" t="s">
        <v>28077</v>
      </c>
      <c r="F13533" t="s">
        <v>28198</v>
      </c>
      <c r="G13533" t="s">
        <v>28205</v>
      </c>
      <c r="H13533" t="s">
        <v>28215</v>
      </c>
      <c r="I13533" t="s">
        <v>28280</v>
      </c>
      <c r="J13533" t="s">
        <v>36601</v>
      </c>
      <c r="K13533" t="s">
        <v>36689</v>
      </c>
      <c r="M13533" t="s">
        <v>37963</v>
      </c>
      <c r="N13533" t="s">
        <v>40436</v>
      </c>
      <c r="O13533" t="s">
        <v>40437</v>
      </c>
      <c r="Q13533">
        <v>11</v>
      </c>
      <c r="R13533" t="s">
        <v>40529</v>
      </c>
      <c r="S13533" t="s">
        <v>41991</v>
      </c>
      <c r="T13533" t="s">
        <v>42212</v>
      </c>
      <c r="U13533" t="s">
        <v>53667</v>
      </c>
      <c r="V13533" t="s">
        <v>55399</v>
      </c>
      <c r="W13533" t="s">
        <v>37963</v>
      </c>
      <c r="X13533" t="s">
        <v>40528</v>
      </c>
    </row>
    <row r="13534" spans="1:24">
      <c r="A13534">
        <f>HYPERLINK("https://www.philgeps.gov.ph/GEPSNONPILOT/Tender/SplashBidNoticeAbstractUI.aspx?menuIndex=3&amp;refID=6889508&amp;Result=3","6889508")</f>
        <v>0</v>
      </c>
      <c r="B13534" t="s">
        <v>1964</v>
      </c>
      <c r="C13534" t="s">
        <v>16061</v>
      </c>
      <c r="E13534" t="s">
        <v>28078</v>
      </c>
      <c r="F13534" t="s">
        <v>28198</v>
      </c>
      <c r="G13534" t="s">
        <v>28205</v>
      </c>
      <c r="H13534" t="s">
        <v>28215</v>
      </c>
      <c r="I13534" t="s">
        <v>4168</v>
      </c>
      <c r="J13534" t="s">
        <v>32862</v>
      </c>
      <c r="K13534" t="s">
        <v>36689</v>
      </c>
      <c r="M13534" t="s">
        <v>40411</v>
      </c>
      <c r="N13534" t="s">
        <v>40436</v>
      </c>
      <c r="O13534" t="s">
        <v>40437</v>
      </c>
      <c r="Q13534">
        <v>16</v>
      </c>
      <c r="R13534" t="s">
        <v>40527</v>
      </c>
      <c r="S13534" t="s">
        <v>41992</v>
      </c>
      <c r="T13534" t="s">
        <v>42144</v>
      </c>
      <c r="U13534" t="s">
        <v>53668</v>
      </c>
      <c r="W13534" t="s">
        <v>40411</v>
      </c>
      <c r="X13534" t="s">
        <v>40529</v>
      </c>
    </row>
    <row r="13535" spans="1:24">
      <c r="A13535">
        <f>HYPERLINK("https://www.philgeps.gov.ph/GEPSNONPILOT/Tender/SplashBidNoticeAbstractUI.aspx?menuIndex=3&amp;refID=6889725&amp;Result=3","6889725")</f>
        <v>0</v>
      </c>
      <c r="B13535" t="s">
        <v>1964</v>
      </c>
      <c r="C13535" t="s">
        <v>16062</v>
      </c>
      <c r="E13535" t="s">
        <v>28079</v>
      </c>
      <c r="F13535" t="s">
        <v>28198</v>
      </c>
      <c r="G13535" t="s">
        <v>28205</v>
      </c>
      <c r="H13535" t="s">
        <v>28215</v>
      </c>
      <c r="I13535" t="s">
        <v>4222</v>
      </c>
      <c r="J13535" t="s">
        <v>36602</v>
      </c>
      <c r="K13535" t="s">
        <v>36689</v>
      </c>
      <c r="M13535" t="s">
        <v>40415</v>
      </c>
      <c r="N13535" t="s">
        <v>40436</v>
      </c>
      <c r="O13535" t="s">
        <v>40437</v>
      </c>
      <c r="Q13535">
        <v>18</v>
      </c>
      <c r="R13535" t="s">
        <v>40527</v>
      </c>
      <c r="S13535" t="s">
        <v>41993</v>
      </c>
      <c r="T13535" t="s">
        <v>42620</v>
      </c>
      <c r="U13535" t="s">
        <v>53669</v>
      </c>
      <c r="W13535" t="s">
        <v>40415</v>
      </c>
      <c r="X13535" t="s">
        <v>40529</v>
      </c>
    </row>
    <row r="13536" spans="1:24">
      <c r="A13536">
        <f>HYPERLINK("https://www.philgeps.gov.ph/GEPSNONPILOT/Tender/SplashBidNoticeAbstractUI.aspx?menuIndex=3&amp;refID=6892471&amp;Result=3","6892471")</f>
        <v>0</v>
      </c>
      <c r="B13536" t="s">
        <v>404</v>
      </c>
      <c r="C13536" t="s">
        <v>16063</v>
      </c>
      <c r="E13536" t="s">
        <v>28080</v>
      </c>
      <c r="F13536" t="s">
        <v>28198</v>
      </c>
      <c r="G13536" t="s">
        <v>28205</v>
      </c>
      <c r="H13536" t="s">
        <v>28215</v>
      </c>
      <c r="I13536" t="s">
        <v>28284</v>
      </c>
      <c r="J13536" t="s">
        <v>36603</v>
      </c>
      <c r="K13536" t="s">
        <v>36689</v>
      </c>
      <c r="M13536" t="s">
        <v>37385</v>
      </c>
      <c r="N13536" t="s">
        <v>40436</v>
      </c>
      <c r="O13536" t="s">
        <v>40437</v>
      </c>
      <c r="Q13536">
        <v>11</v>
      </c>
      <c r="R13536" t="s">
        <v>40526</v>
      </c>
      <c r="S13536" t="s">
        <v>41913</v>
      </c>
      <c r="T13536" t="s">
        <v>42121</v>
      </c>
      <c r="U13536" t="s">
        <v>53670</v>
      </c>
      <c r="V13536" t="s">
        <v>55400</v>
      </c>
      <c r="W13536" t="s">
        <v>37385</v>
      </c>
      <c r="X13536" t="s">
        <v>40527</v>
      </c>
    </row>
    <row r="13537" spans="1:24">
      <c r="A13537">
        <f>HYPERLINK("https://www.philgeps.gov.ph/GEPSNONPILOT/Tender/SplashBidNoticeAbstractUI.aspx?menuIndex=3&amp;refID=6888432&amp;Result=3","6888432")</f>
        <v>0</v>
      </c>
      <c r="B13537" t="s">
        <v>940</v>
      </c>
      <c r="C13537" t="s">
        <v>16064</v>
      </c>
      <c r="D13537" t="s">
        <v>16278</v>
      </c>
      <c r="E13537" t="s">
        <v>28081</v>
      </c>
      <c r="F13537" t="s">
        <v>28198</v>
      </c>
      <c r="G13537" t="s">
        <v>28205</v>
      </c>
      <c r="H13537" t="s">
        <v>28214</v>
      </c>
      <c r="I13537" t="s">
        <v>5100</v>
      </c>
      <c r="J13537" t="s">
        <v>36604</v>
      </c>
      <c r="K13537" t="s">
        <v>36689</v>
      </c>
      <c r="M13537" t="s">
        <v>37963</v>
      </c>
      <c r="N13537" t="s">
        <v>40436</v>
      </c>
      <c r="O13537" t="s">
        <v>40437</v>
      </c>
      <c r="Q13537">
        <v>6</v>
      </c>
      <c r="R13537" t="s">
        <v>40529</v>
      </c>
      <c r="S13537" t="s">
        <v>41994</v>
      </c>
      <c r="T13537" t="s">
        <v>42529</v>
      </c>
      <c r="U13537" t="s">
        <v>53671</v>
      </c>
      <c r="V13537" t="s">
        <v>55401</v>
      </c>
      <c r="W13537" t="s">
        <v>37963</v>
      </c>
      <c r="X13537" t="s">
        <v>40528</v>
      </c>
    </row>
    <row r="13538" spans="1:24">
      <c r="A13538">
        <f>HYPERLINK("https://www.philgeps.gov.ph/GEPSNONPILOT/Tender/SplashBidNoticeAbstractUI.aspx?menuIndex=3&amp;refID=6889704&amp;Result=3","6889704")</f>
        <v>0</v>
      </c>
      <c r="B13538" t="s">
        <v>1964</v>
      </c>
      <c r="C13538" t="s">
        <v>16065</v>
      </c>
      <c r="E13538" t="s">
        <v>28082</v>
      </c>
      <c r="F13538" t="s">
        <v>28198</v>
      </c>
      <c r="G13538" t="s">
        <v>28205</v>
      </c>
      <c r="H13538" t="s">
        <v>28215</v>
      </c>
      <c r="I13538" t="s">
        <v>28243</v>
      </c>
      <c r="J13538" t="s">
        <v>36605</v>
      </c>
      <c r="K13538" t="s">
        <v>36689</v>
      </c>
      <c r="M13538" t="s">
        <v>40415</v>
      </c>
      <c r="N13538" t="s">
        <v>40436</v>
      </c>
      <c r="O13538" t="s">
        <v>40437</v>
      </c>
      <c r="Q13538">
        <v>16</v>
      </c>
      <c r="R13538" t="s">
        <v>40527</v>
      </c>
      <c r="S13538" t="s">
        <v>41995</v>
      </c>
      <c r="T13538" t="s">
        <v>42621</v>
      </c>
      <c r="U13538" t="s">
        <v>53672</v>
      </c>
      <c r="W13538" t="s">
        <v>40415</v>
      </c>
      <c r="X13538" t="s">
        <v>40529</v>
      </c>
    </row>
    <row r="13539" spans="1:24">
      <c r="A13539">
        <f>HYPERLINK("https://www.philgeps.gov.ph/GEPSNONPILOT/Tender/SplashBidNoticeAbstractUI.aspx?menuIndex=3&amp;refID=6881079&amp;Result=3","6881079")</f>
        <v>0</v>
      </c>
      <c r="B13539" t="s">
        <v>874</v>
      </c>
      <c r="C13539" t="s">
        <v>16066</v>
      </c>
      <c r="D13539" t="s">
        <v>16226</v>
      </c>
      <c r="E13539" t="s">
        <v>28083</v>
      </c>
      <c r="F13539" t="s">
        <v>28198</v>
      </c>
      <c r="G13539" t="s">
        <v>28205</v>
      </c>
      <c r="H13539" t="s">
        <v>28215</v>
      </c>
      <c r="I13539" t="s">
        <v>4505</v>
      </c>
      <c r="J13539" t="s">
        <v>36606</v>
      </c>
      <c r="K13539" t="s">
        <v>36701</v>
      </c>
      <c r="M13539" t="s">
        <v>37889</v>
      </c>
      <c r="N13539" t="s">
        <v>40436</v>
      </c>
      <c r="O13539" t="s">
        <v>40437</v>
      </c>
      <c r="Q13539">
        <v>16</v>
      </c>
      <c r="R13539" t="s">
        <v>40530</v>
      </c>
      <c r="S13539" t="s">
        <v>41477</v>
      </c>
      <c r="T13539" t="s">
        <v>42431</v>
      </c>
      <c r="U13539" t="s">
        <v>53673</v>
      </c>
      <c r="W13539" t="s">
        <v>37889</v>
      </c>
      <c r="X13539" t="s">
        <v>40532</v>
      </c>
    </row>
    <row r="13540" spans="1:24">
      <c r="A13540">
        <f>HYPERLINK("https://www.philgeps.gov.ph/GEPSNONPILOT/Tender/SplashBidNoticeAbstractUI.aspx?menuIndex=3&amp;refID=6880434&amp;Result=3","6880434")</f>
        <v>0</v>
      </c>
      <c r="B13540" t="s">
        <v>1562</v>
      </c>
      <c r="C13540" t="s">
        <v>16067</v>
      </c>
      <c r="D13540" t="s">
        <v>16200</v>
      </c>
      <c r="E13540" t="s">
        <v>28084</v>
      </c>
      <c r="F13540" t="s">
        <v>28198</v>
      </c>
      <c r="G13540" t="s">
        <v>28205</v>
      </c>
      <c r="H13540" t="s">
        <v>28215</v>
      </c>
      <c r="I13540" t="s">
        <v>5082</v>
      </c>
      <c r="J13540" t="s">
        <v>36607</v>
      </c>
      <c r="K13540" t="s">
        <v>36707</v>
      </c>
      <c r="M13540" t="s">
        <v>39491</v>
      </c>
      <c r="N13540" t="s">
        <v>40436</v>
      </c>
      <c r="O13540" t="s">
        <v>40437</v>
      </c>
      <c r="Q13540">
        <v>8</v>
      </c>
      <c r="R13540" t="s">
        <v>40530</v>
      </c>
      <c r="S13540" t="s">
        <v>40896</v>
      </c>
      <c r="T13540" t="s">
        <v>42110</v>
      </c>
      <c r="U13540" t="s">
        <v>53674</v>
      </c>
      <c r="V13540" t="s">
        <v>55402</v>
      </c>
      <c r="W13540" t="s">
        <v>39491</v>
      </c>
      <c r="X13540" t="s">
        <v>40532</v>
      </c>
    </row>
    <row r="13541" spans="1:24">
      <c r="A13541">
        <f>HYPERLINK("https://www.philgeps.gov.ph/GEPSNONPILOT/Tender/SplashBidNoticeAbstractUI.aspx?menuIndex=3&amp;refID=6885417&amp;Result=3","6885417")</f>
        <v>0</v>
      </c>
      <c r="B13541" t="s">
        <v>581</v>
      </c>
      <c r="C13541" t="s">
        <v>16068</v>
      </c>
      <c r="D13541" t="s">
        <v>16210</v>
      </c>
      <c r="E13541" t="s">
        <v>28071</v>
      </c>
      <c r="F13541" t="s">
        <v>28198</v>
      </c>
      <c r="G13541" t="s">
        <v>28205</v>
      </c>
      <c r="H13541" t="s">
        <v>28215</v>
      </c>
      <c r="I13541" t="s">
        <v>5100</v>
      </c>
      <c r="J13541" t="s">
        <v>36608</v>
      </c>
      <c r="K13541" t="s">
        <v>36701</v>
      </c>
      <c r="M13541" t="s">
        <v>40424</v>
      </c>
      <c r="N13541" t="s">
        <v>40436</v>
      </c>
      <c r="O13541" t="s">
        <v>40437</v>
      </c>
      <c r="Q13541">
        <v>3</v>
      </c>
      <c r="R13541" t="s">
        <v>40528</v>
      </c>
      <c r="S13541" t="s">
        <v>40873</v>
      </c>
      <c r="T13541" t="s">
        <v>42277</v>
      </c>
      <c r="U13541" t="s">
        <v>53663</v>
      </c>
      <c r="W13541" t="s">
        <v>40424</v>
      </c>
      <c r="X13541" t="s">
        <v>55562</v>
      </c>
    </row>
    <row r="13542" spans="1:24">
      <c r="A13542">
        <f>HYPERLINK("https://www.philgeps.gov.ph/GEPSNONPILOT/Tender/SplashBidNoticeAbstractUI.aspx?menuIndex=3&amp;refID=6885385&amp;Result=3","6885385")</f>
        <v>0</v>
      </c>
      <c r="B13542" t="s">
        <v>581</v>
      </c>
      <c r="C13542" t="s">
        <v>16069</v>
      </c>
      <c r="D13542" t="s">
        <v>16210</v>
      </c>
      <c r="E13542" t="s">
        <v>28071</v>
      </c>
      <c r="F13542" t="s">
        <v>28198</v>
      </c>
      <c r="G13542" t="s">
        <v>28205</v>
      </c>
      <c r="H13542" t="s">
        <v>28215</v>
      </c>
      <c r="I13542" t="s">
        <v>5100</v>
      </c>
      <c r="J13542" t="s">
        <v>36609</v>
      </c>
      <c r="K13542" t="s">
        <v>36701</v>
      </c>
      <c r="M13542" t="s">
        <v>40424</v>
      </c>
      <c r="N13542" t="s">
        <v>40436</v>
      </c>
      <c r="O13542" t="s">
        <v>40437</v>
      </c>
      <c r="Q13542">
        <v>6</v>
      </c>
      <c r="R13542" t="s">
        <v>40528</v>
      </c>
      <c r="S13542" t="s">
        <v>41996</v>
      </c>
      <c r="T13542" t="s">
        <v>42277</v>
      </c>
      <c r="U13542" t="s">
        <v>53663</v>
      </c>
      <c r="W13542" t="s">
        <v>40424</v>
      </c>
      <c r="X13542" t="s">
        <v>55562</v>
      </c>
    </row>
    <row r="13543" spans="1:24">
      <c r="A13543">
        <f>HYPERLINK("https://www.philgeps.gov.ph/GEPSNONPILOT/Tender/SplashBidNoticeAbstractUI.aspx?menuIndex=3&amp;refID=6889719&amp;Result=3","6889719")</f>
        <v>0</v>
      </c>
      <c r="B13543" t="s">
        <v>1964</v>
      </c>
      <c r="C13543" t="s">
        <v>16070</v>
      </c>
      <c r="E13543" t="s">
        <v>28085</v>
      </c>
      <c r="F13543" t="s">
        <v>28198</v>
      </c>
      <c r="G13543" t="s">
        <v>28205</v>
      </c>
      <c r="H13543" t="s">
        <v>28215</v>
      </c>
      <c r="I13543" t="s">
        <v>28257</v>
      </c>
      <c r="J13543" t="s">
        <v>36610</v>
      </c>
      <c r="K13543" t="s">
        <v>36689</v>
      </c>
      <c r="M13543" t="s">
        <v>40415</v>
      </c>
      <c r="N13543" t="s">
        <v>40436</v>
      </c>
      <c r="O13543" t="s">
        <v>40437</v>
      </c>
      <c r="Q13543">
        <v>22</v>
      </c>
      <c r="R13543" t="s">
        <v>40527</v>
      </c>
      <c r="S13543" t="s">
        <v>41997</v>
      </c>
      <c r="T13543" t="s">
        <v>42622</v>
      </c>
      <c r="U13543" t="s">
        <v>53675</v>
      </c>
      <c r="W13543" t="s">
        <v>40415</v>
      </c>
      <c r="X13543" t="s">
        <v>40529</v>
      </c>
    </row>
    <row r="13544" spans="1:24">
      <c r="A13544">
        <f>HYPERLINK("https://www.philgeps.gov.ph/GEPSNONPILOT/Tender/SplashBidNoticeAbstractUI.aspx?menuIndex=3&amp;refID=6880907&amp;Result=3","6880907")</f>
        <v>0</v>
      </c>
      <c r="B13544" t="s">
        <v>1471</v>
      </c>
      <c r="C13544" t="s">
        <v>16071</v>
      </c>
      <c r="E13544" t="s">
        <v>28086</v>
      </c>
      <c r="F13544" t="s">
        <v>28198</v>
      </c>
      <c r="G13544" t="s">
        <v>28205</v>
      </c>
      <c r="H13544" t="s">
        <v>28215</v>
      </c>
      <c r="I13544" t="s">
        <v>4168</v>
      </c>
      <c r="J13544" t="s">
        <v>36611</v>
      </c>
      <c r="K13544" t="s">
        <v>36689</v>
      </c>
      <c r="M13544" t="s">
        <v>38542</v>
      </c>
      <c r="N13544" t="s">
        <v>40436</v>
      </c>
      <c r="O13544" t="s">
        <v>40437</v>
      </c>
      <c r="Q13544">
        <v>18</v>
      </c>
      <c r="R13544" t="s">
        <v>40530</v>
      </c>
      <c r="S13544" t="s">
        <v>41998</v>
      </c>
      <c r="T13544" t="s">
        <v>42233</v>
      </c>
      <c r="U13544" t="s">
        <v>53550</v>
      </c>
      <c r="V13544" t="s">
        <v>55403</v>
      </c>
      <c r="W13544" t="s">
        <v>38542</v>
      </c>
      <c r="X13544" t="s">
        <v>40532</v>
      </c>
    </row>
    <row r="13545" spans="1:24">
      <c r="A13545">
        <f>HYPERLINK("https://www.philgeps.gov.ph/GEPSNONPILOT/Tender/SplashBidNoticeAbstractUI.aspx?menuIndex=3&amp;refID=6892622&amp;Result=3","6892622")</f>
        <v>0</v>
      </c>
      <c r="B13545" t="s">
        <v>940</v>
      </c>
      <c r="C13545" t="s">
        <v>16072</v>
      </c>
      <c r="D13545" t="s">
        <v>16278</v>
      </c>
      <c r="E13545" t="s">
        <v>28087</v>
      </c>
      <c r="F13545" t="s">
        <v>28198</v>
      </c>
      <c r="G13545" t="s">
        <v>28205</v>
      </c>
      <c r="H13545" t="s">
        <v>28215</v>
      </c>
      <c r="I13545" t="s">
        <v>28280</v>
      </c>
      <c r="J13545" t="s">
        <v>36612</v>
      </c>
      <c r="K13545" t="s">
        <v>36761</v>
      </c>
      <c r="M13545" t="s">
        <v>37963</v>
      </c>
      <c r="N13545" t="s">
        <v>40436</v>
      </c>
      <c r="O13545" t="s">
        <v>40437</v>
      </c>
      <c r="Q13545">
        <v>9</v>
      </c>
      <c r="R13545" t="s">
        <v>40526</v>
      </c>
      <c r="S13545" t="s">
        <v>41999</v>
      </c>
      <c r="T13545" t="s">
        <v>42529</v>
      </c>
      <c r="U13545" t="s">
        <v>53676</v>
      </c>
      <c r="V13545" t="s">
        <v>55404</v>
      </c>
      <c r="W13545" t="s">
        <v>37963</v>
      </c>
      <c r="X13545" t="s">
        <v>40527</v>
      </c>
    </row>
    <row r="13546" spans="1:24">
      <c r="A13546">
        <f>HYPERLINK("https://www.philgeps.gov.ph/GEPSNONPILOT/Tender/SplashBidNoticeAbstractUI.aspx?menuIndex=3&amp;refID=6880250&amp;Result=3","6880250")</f>
        <v>0</v>
      </c>
      <c r="B13546" t="s">
        <v>1562</v>
      </c>
      <c r="C13546" t="s">
        <v>16073</v>
      </c>
      <c r="D13546" t="s">
        <v>16200</v>
      </c>
      <c r="E13546" t="s">
        <v>28088</v>
      </c>
      <c r="F13546" t="s">
        <v>28198</v>
      </c>
      <c r="G13546" t="s">
        <v>28205</v>
      </c>
      <c r="H13546" t="s">
        <v>28215</v>
      </c>
      <c r="I13546" t="s">
        <v>28234</v>
      </c>
      <c r="J13546" t="s">
        <v>35710</v>
      </c>
      <c r="K13546" t="s">
        <v>36706</v>
      </c>
      <c r="M13546" t="s">
        <v>39491</v>
      </c>
      <c r="N13546" t="s">
        <v>40436</v>
      </c>
      <c r="O13546" t="s">
        <v>40437</v>
      </c>
      <c r="Q13546">
        <v>12</v>
      </c>
      <c r="R13546" t="s">
        <v>40530</v>
      </c>
      <c r="S13546" t="s">
        <v>42000</v>
      </c>
      <c r="T13546" t="s">
        <v>42143</v>
      </c>
      <c r="U13546" t="s">
        <v>53674</v>
      </c>
      <c r="V13546" t="s">
        <v>54572</v>
      </c>
      <c r="W13546" t="s">
        <v>39491</v>
      </c>
      <c r="X13546" t="s">
        <v>40532</v>
      </c>
    </row>
    <row r="13547" spans="1:24">
      <c r="A13547">
        <f>HYPERLINK("https://www.philgeps.gov.ph/GEPSNONPILOT/Tender/SplashBidNoticeAbstractUI.aspx?menuIndex=3&amp;refID=6881085&amp;Result=3","6881085")</f>
        <v>0</v>
      </c>
      <c r="B13547" t="s">
        <v>874</v>
      </c>
      <c r="C13547" t="s">
        <v>16074</v>
      </c>
      <c r="D13547" t="s">
        <v>16226</v>
      </c>
      <c r="E13547" t="s">
        <v>28089</v>
      </c>
      <c r="F13547" t="s">
        <v>28198</v>
      </c>
      <c r="G13547" t="s">
        <v>28205</v>
      </c>
      <c r="H13547" t="s">
        <v>28215</v>
      </c>
      <c r="I13547" t="s">
        <v>4505</v>
      </c>
      <c r="J13547" t="s">
        <v>36613</v>
      </c>
      <c r="K13547" t="s">
        <v>36701</v>
      </c>
      <c r="M13547" t="s">
        <v>37889</v>
      </c>
      <c r="N13547" t="s">
        <v>40436</v>
      </c>
      <c r="O13547" t="s">
        <v>40437</v>
      </c>
      <c r="Q13547">
        <v>11</v>
      </c>
      <c r="R13547" t="s">
        <v>40530</v>
      </c>
      <c r="S13547" t="s">
        <v>42001</v>
      </c>
      <c r="T13547" t="s">
        <v>42385</v>
      </c>
      <c r="U13547" t="s">
        <v>53673</v>
      </c>
      <c r="W13547" t="s">
        <v>37889</v>
      </c>
      <c r="X13547" t="s">
        <v>40532</v>
      </c>
    </row>
    <row r="13548" spans="1:24">
      <c r="A13548">
        <f>HYPERLINK("https://www.philgeps.gov.ph/GEPSNONPILOT/Tender/SplashBidNoticeAbstractUI.aspx?menuIndex=3&amp;refID=6880886&amp;Result=3","6880886")</f>
        <v>0</v>
      </c>
      <c r="B13548" t="s">
        <v>1562</v>
      </c>
      <c r="C13548" t="s">
        <v>16075</v>
      </c>
      <c r="D13548" t="s">
        <v>16200</v>
      </c>
      <c r="E13548" t="s">
        <v>28090</v>
      </c>
      <c r="F13548" t="s">
        <v>28198</v>
      </c>
      <c r="G13548" t="s">
        <v>28205</v>
      </c>
      <c r="H13548" t="s">
        <v>28215</v>
      </c>
      <c r="I13548" t="s">
        <v>28247</v>
      </c>
      <c r="J13548" t="s">
        <v>28353</v>
      </c>
      <c r="K13548" t="s">
        <v>36707</v>
      </c>
      <c r="M13548" t="s">
        <v>40425</v>
      </c>
      <c r="N13548" t="s">
        <v>40436</v>
      </c>
      <c r="O13548" t="s">
        <v>40437</v>
      </c>
      <c r="Q13548">
        <v>12</v>
      </c>
      <c r="R13548" t="s">
        <v>40530</v>
      </c>
      <c r="S13548" t="s">
        <v>42002</v>
      </c>
      <c r="T13548" t="s">
        <v>42143</v>
      </c>
      <c r="U13548" t="s">
        <v>53677</v>
      </c>
      <c r="V13548" t="s">
        <v>54572</v>
      </c>
      <c r="W13548" t="s">
        <v>40425</v>
      </c>
      <c r="X13548" t="s">
        <v>40532</v>
      </c>
    </row>
    <row r="13549" spans="1:24">
      <c r="A13549">
        <f>HYPERLINK("https://www.philgeps.gov.ph/GEPSNONPILOT/Tender/SplashBidNoticeAbstractUI.aspx?menuIndex=3&amp;refID=6880822&amp;Result=3","6880822")</f>
        <v>0</v>
      </c>
      <c r="B13549" t="s">
        <v>1562</v>
      </c>
      <c r="C13549" t="s">
        <v>16076</v>
      </c>
      <c r="D13549" t="s">
        <v>16200</v>
      </c>
      <c r="E13549" t="s">
        <v>28091</v>
      </c>
      <c r="F13549" t="s">
        <v>28198</v>
      </c>
      <c r="G13549" t="s">
        <v>28205</v>
      </c>
      <c r="H13549" t="s">
        <v>28215</v>
      </c>
      <c r="I13549" t="s">
        <v>28247</v>
      </c>
      <c r="J13549" t="s">
        <v>33003</v>
      </c>
      <c r="K13549" t="s">
        <v>36707</v>
      </c>
      <c r="M13549" t="s">
        <v>40425</v>
      </c>
      <c r="N13549" t="s">
        <v>40436</v>
      </c>
      <c r="O13549" t="s">
        <v>40437</v>
      </c>
      <c r="Q13549">
        <v>12</v>
      </c>
      <c r="R13549" t="s">
        <v>40530</v>
      </c>
      <c r="S13549" t="s">
        <v>42003</v>
      </c>
      <c r="T13549" t="s">
        <v>42189</v>
      </c>
      <c r="U13549" t="s">
        <v>53677</v>
      </c>
      <c r="V13549" t="s">
        <v>54572</v>
      </c>
      <c r="W13549" t="s">
        <v>40425</v>
      </c>
      <c r="X13549" t="s">
        <v>40532</v>
      </c>
    </row>
    <row r="13550" spans="1:24">
      <c r="A13550">
        <f>HYPERLINK("https://www.philgeps.gov.ph/GEPSNONPILOT/Tender/SplashBidNoticeAbstractUI.aspx?menuIndex=3&amp;refID=6882453&amp;Result=3","6882453")</f>
        <v>0</v>
      </c>
      <c r="B13550" t="s">
        <v>436</v>
      </c>
      <c r="C13550" t="s">
        <v>16077</v>
      </c>
      <c r="D13550" t="s">
        <v>16247</v>
      </c>
      <c r="E13550" t="s">
        <v>28092</v>
      </c>
      <c r="F13550" t="s">
        <v>28198</v>
      </c>
      <c r="G13550" t="s">
        <v>28205</v>
      </c>
      <c r="H13550" t="s">
        <v>28216</v>
      </c>
      <c r="I13550" t="s">
        <v>28216</v>
      </c>
      <c r="J13550" t="s">
        <v>31303</v>
      </c>
      <c r="K13550" t="s">
        <v>36842</v>
      </c>
      <c r="M13550" t="s">
        <v>39757</v>
      </c>
      <c r="N13550" t="s">
        <v>40436</v>
      </c>
      <c r="O13550" t="s">
        <v>40437</v>
      </c>
      <c r="Q13550">
        <v>16</v>
      </c>
      <c r="R13550" t="s">
        <v>40531</v>
      </c>
      <c r="S13550" t="s">
        <v>42004</v>
      </c>
      <c r="T13550" t="s">
        <v>42383</v>
      </c>
      <c r="U13550" t="s">
        <v>53678</v>
      </c>
      <c r="W13550" t="s">
        <v>39757</v>
      </c>
      <c r="X13550" t="s">
        <v>40530</v>
      </c>
    </row>
    <row r="13551" spans="1:24">
      <c r="A13551">
        <f>HYPERLINK("https://www.philgeps.gov.ph/GEPSNONPILOT/Tender/SplashBidNoticeAbstractUI.aspx?menuIndex=3&amp;refID=6883288&amp;Result=3","6883288")</f>
        <v>0</v>
      </c>
      <c r="B13551" t="s">
        <v>274</v>
      </c>
      <c r="C13551" t="s">
        <v>16078</v>
      </c>
      <c r="D13551" t="s">
        <v>16210</v>
      </c>
      <c r="E13551" t="s">
        <v>28093</v>
      </c>
      <c r="F13551" t="s">
        <v>28198</v>
      </c>
      <c r="G13551" t="s">
        <v>28205</v>
      </c>
      <c r="H13551" t="s">
        <v>28215</v>
      </c>
      <c r="I13551" t="s">
        <v>4219</v>
      </c>
      <c r="J13551" t="s">
        <v>36614</v>
      </c>
      <c r="K13551" t="s">
        <v>36707</v>
      </c>
      <c r="M13551" t="s">
        <v>40426</v>
      </c>
      <c r="N13551" t="s">
        <v>40436</v>
      </c>
      <c r="O13551" t="s">
        <v>40437</v>
      </c>
      <c r="Q13551">
        <v>32</v>
      </c>
      <c r="R13551" t="s">
        <v>40531</v>
      </c>
      <c r="S13551" t="s">
        <v>42005</v>
      </c>
      <c r="T13551" t="s">
        <v>42406</v>
      </c>
      <c r="U13551" t="s">
        <v>53679</v>
      </c>
      <c r="V13551" t="s">
        <v>55395</v>
      </c>
      <c r="W13551" t="s">
        <v>40426</v>
      </c>
      <c r="X13551" t="s">
        <v>40530</v>
      </c>
    </row>
    <row r="13552" spans="1:24">
      <c r="A13552">
        <f>HYPERLINK("https://www.philgeps.gov.ph/GEPSNONPILOT/Tender/SplashBidNoticeAbstractUI.aspx?menuIndex=3&amp;refID=6880887&amp;Result=3","6880887")</f>
        <v>0</v>
      </c>
      <c r="B13552" t="s">
        <v>1471</v>
      </c>
      <c r="C13552" t="s">
        <v>16079</v>
      </c>
      <c r="E13552" t="s">
        <v>28094</v>
      </c>
      <c r="F13552" t="s">
        <v>28198</v>
      </c>
      <c r="G13552" t="s">
        <v>28205</v>
      </c>
      <c r="H13552" t="s">
        <v>28215</v>
      </c>
      <c r="I13552" t="s">
        <v>28281</v>
      </c>
      <c r="J13552" t="s">
        <v>31925</v>
      </c>
      <c r="K13552" t="s">
        <v>36689</v>
      </c>
      <c r="M13552" t="s">
        <v>38542</v>
      </c>
      <c r="N13552" t="s">
        <v>40436</v>
      </c>
      <c r="O13552" t="s">
        <v>40437</v>
      </c>
      <c r="Q13552">
        <v>9</v>
      </c>
      <c r="R13552" t="s">
        <v>40530</v>
      </c>
      <c r="S13552" t="s">
        <v>42006</v>
      </c>
      <c r="T13552" t="s">
        <v>42233</v>
      </c>
      <c r="U13552" t="s">
        <v>53680</v>
      </c>
      <c r="V13552" t="s">
        <v>55405</v>
      </c>
      <c r="W13552" t="s">
        <v>38542</v>
      </c>
      <c r="X13552" t="s">
        <v>40532</v>
      </c>
    </row>
    <row r="13553" spans="1:24">
      <c r="A13553">
        <f>HYPERLINK("https://www.philgeps.gov.ph/GEPSNONPILOT/Tender/SplashBidNoticeAbstractUI.aspx?menuIndex=3&amp;refID=6881781&amp;Result=3","6881781")</f>
        <v>0</v>
      </c>
      <c r="B13553" t="s">
        <v>940</v>
      </c>
      <c r="C13553" t="s">
        <v>16080</v>
      </c>
      <c r="D13553" t="s">
        <v>16198</v>
      </c>
      <c r="E13553" t="s">
        <v>28095</v>
      </c>
      <c r="F13553" t="s">
        <v>28198</v>
      </c>
      <c r="G13553" t="s">
        <v>28205</v>
      </c>
      <c r="H13553" t="s">
        <v>28215</v>
      </c>
      <c r="I13553" t="s">
        <v>28280</v>
      </c>
      <c r="J13553" t="s">
        <v>36615</v>
      </c>
      <c r="K13553" t="s">
        <v>36989</v>
      </c>
      <c r="M13553" t="s">
        <v>37963</v>
      </c>
      <c r="N13553" t="s">
        <v>40436</v>
      </c>
      <c r="O13553" t="s">
        <v>40437</v>
      </c>
      <c r="Q13553">
        <v>7</v>
      </c>
      <c r="R13553" t="s">
        <v>40531</v>
      </c>
      <c r="S13553" t="s">
        <v>42007</v>
      </c>
      <c r="T13553" t="s">
        <v>42529</v>
      </c>
      <c r="U13553" t="s">
        <v>53681</v>
      </c>
      <c r="V13553" t="s">
        <v>55406</v>
      </c>
      <c r="W13553" t="s">
        <v>37963</v>
      </c>
      <c r="X13553" t="s">
        <v>40530</v>
      </c>
    </row>
    <row r="13554" spans="1:24">
      <c r="A13554">
        <f>HYPERLINK("https://www.philgeps.gov.ph/GEPSNONPILOT/Tender/SplashBidNoticeAbstractUI.aspx?menuIndex=3&amp;refID=6885420&amp;Result=3","6885420")</f>
        <v>0</v>
      </c>
      <c r="B13554" t="s">
        <v>1964</v>
      </c>
      <c r="C13554" t="s">
        <v>16081</v>
      </c>
      <c r="D13554" t="s">
        <v>16221</v>
      </c>
      <c r="E13554" t="s">
        <v>28096</v>
      </c>
      <c r="F13554" t="s">
        <v>28198</v>
      </c>
      <c r="G13554" t="s">
        <v>28205</v>
      </c>
      <c r="H13554" t="s">
        <v>28216</v>
      </c>
      <c r="I13554" t="s">
        <v>28216</v>
      </c>
      <c r="J13554" t="s">
        <v>28730</v>
      </c>
      <c r="K13554" t="s">
        <v>36877</v>
      </c>
      <c r="M13554" t="s">
        <v>40375</v>
      </c>
      <c r="N13554" t="s">
        <v>40436</v>
      </c>
      <c r="O13554" t="s">
        <v>40437</v>
      </c>
      <c r="Q13554">
        <v>9</v>
      </c>
      <c r="R13554" t="s">
        <v>40528</v>
      </c>
      <c r="S13554" t="s">
        <v>42008</v>
      </c>
      <c r="T13554" t="s">
        <v>42623</v>
      </c>
      <c r="U13554" t="s">
        <v>53682</v>
      </c>
      <c r="W13554" t="s">
        <v>40375</v>
      </c>
      <c r="X13554" t="s">
        <v>55562</v>
      </c>
    </row>
    <row r="13555" spans="1:24">
      <c r="A13555">
        <f>HYPERLINK("https://www.philgeps.gov.ph/GEPSNONPILOT/Tender/SplashBidNoticeAbstractUI.aspx?menuIndex=3&amp;refID=6881813&amp;Result=3","6881813")</f>
        <v>0</v>
      </c>
      <c r="B13555" t="s">
        <v>940</v>
      </c>
      <c r="C13555" t="s">
        <v>16082</v>
      </c>
      <c r="D13555" t="s">
        <v>16192</v>
      </c>
      <c r="E13555" t="s">
        <v>28097</v>
      </c>
      <c r="F13555" t="s">
        <v>28198</v>
      </c>
      <c r="G13555" t="s">
        <v>28205</v>
      </c>
      <c r="H13555" t="s">
        <v>28215</v>
      </c>
      <c r="I13555" t="s">
        <v>28280</v>
      </c>
      <c r="J13555" t="s">
        <v>36616</v>
      </c>
      <c r="K13555" t="s">
        <v>36710</v>
      </c>
      <c r="M13555" t="s">
        <v>37963</v>
      </c>
      <c r="N13555" t="s">
        <v>40436</v>
      </c>
      <c r="O13555" t="s">
        <v>40437</v>
      </c>
      <c r="Q13555">
        <v>6</v>
      </c>
      <c r="R13555" t="s">
        <v>40531</v>
      </c>
      <c r="S13555" t="s">
        <v>42009</v>
      </c>
      <c r="T13555" t="s">
        <v>42459</v>
      </c>
      <c r="U13555" t="s">
        <v>53681</v>
      </c>
      <c r="V13555" t="s">
        <v>55407</v>
      </c>
      <c r="W13555" t="s">
        <v>37963</v>
      </c>
      <c r="X13555" t="s">
        <v>40530</v>
      </c>
    </row>
    <row r="13556" spans="1:24">
      <c r="A13556">
        <f>HYPERLINK("https://www.philgeps.gov.ph/GEPSNONPILOT/Tender/SplashBidNoticeAbstractUI.aspx?menuIndex=3&amp;refID=6892405&amp;Result=3","6892405")</f>
        <v>0</v>
      </c>
      <c r="B13556" t="s">
        <v>940</v>
      </c>
      <c r="C13556" t="s">
        <v>16083</v>
      </c>
      <c r="D13556" t="s">
        <v>16257</v>
      </c>
      <c r="E13556" t="s">
        <v>28098</v>
      </c>
      <c r="F13556" t="s">
        <v>28198</v>
      </c>
      <c r="G13556" t="s">
        <v>28205</v>
      </c>
      <c r="H13556" t="s">
        <v>28214</v>
      </c>
      <c r="I13556" t="s">
        <v>3797</v>
      </c>
      <c r="J13556" t="s">
        <v>36617</v>
      </c>
      <c r="K13556" t="s">
        <v>36697</v>
      </c>
      <c r="M13556" t="s">
        <v>37963</v>
      </c>
      <c r="N13556" t="s">
        <v>40436</v>
      </c>
      <c r="O13556" t="s">
        <v>40437</v>
      </c>
      <c r="Q13556">
        <v>5</v>
      </c>
      <c r="R13556" t="s">
        <v>40526</v>
      </c>
      <c r="S13556" t="s">
        <v>42010</v>
      </c>
      <c r="T13556" t="s">
        <v>42459</v>
      </c>
      <c r="U13556" t="s">
        <v>53683</v>
      </c>
      <c r="V13556" t="s">
        <v>55408</v>
      </c>
      <c r="W13556" t="s">
        <v>37963</v>
      </c>
      <c r="X13556" t="s">
        <v>40527</v>
      </c>
    </row>
    <row r="13557" spans="1:24">
      <c r="A13557">
        <f>HYPERLINK("https://www.philgeps.gov.ph/GEPSNONPILOT/Tender/SplashBidNoticeAbstractUI.aspx?menuIndex=3&amp;refID=6892256&amp;Result=3","6892256")</f>
        <v>0</v>
      </c>
      <c r="B13557" t="s">
        <v>2603</v>
      </c>
      <c r="C13557" t="s">
        <v>16084</v>
      </c>
      <c r="D13557" t="s">
        <v>16194</v>
      </c>
      <c r="E13557" t="s">
        <v>28099</v>
      </c>
      <c r="F13557" t="s">
        <v>28198</v>
      </c>
      <c r="G13557" t="s">
        <v>28205</v>
      </c>
      <c r="H13557" t="s">
        <v>28214</v>
      </c>
      <c r="I13557" t="s">
        <v>3797</v>
      </c>
      <c r="J13557" t="s">
        <v>29552</v>
      </c>
      <c r="K13557" t="s">
        <v>36697</v>
      </c>
      <c r="M13557" t="s">
        <v>39821</v>
      </c>
      <c r="N13557" t="s">
        <v>40436</v>
      </c>
      <c r="O13557" t="s">
        <v>40437</v>
      </c>
      <c r="Q13557">
        <v>52</v>
      </c>
      <c r="R13557" t="s">
        <v>40526</v>
      </c>
      <c r="S13557" t="s">
        <v>42011</v>
      </c>
      <c r="T13557" t="s">
        <v>42133</v>
      </c>
      <c r="U13557" t="s">
        <v>53684</v>
      </c>
      <c r="W13557" t="s">
        <v>55521</v>
      </c>
      <c r="X13557" t="s">
        <v>40527</v>
      </c>
    </row>
    <row r="13558" spans="1:24">
      <c r="A13558">
        <f>HYPERLINK("https://www.philgeps.gov.ph/GEPSNONPILOT/Tender/SplashBidNoticeAbstractUI.aspx?menuIndex=3&amp;refID=6885422&amp;Result=3","6885422")</f>
        <v>0</v>
      </c>
      <c r="B13558" t="s">
        <v>581</v>
      </c>
      <c r="C13558" t="s">
        <v>16085</v>
      </c>
      <c r="D13558" t="s">
        <v>16210</v>
      </c>
      <c r="E13558" t="s">
        <v>28071</v>
      </c>
      <c r="F13558" t="s">
        <v>28198</v>
      </c>
      <c r="G13558" t="s">
        <v>28205</v>
      </c>
      <c r="H13558" t="s">
        <v>28215</v>
      </c>
      <c r="I13558" t="s">
        <v>5100</v>
      </c>
      <c r="J13558" t="s">
        <v>36618</v>
      </c>
      <c r="K13558" t="s">
        <v>36701</v>
      </c>
      <c r="M13558" t="s">
        <v>40424</v>
      </c>
      <c r="N13558" t="s">
        <v>40436</v>
      </c>
      <c r="O13558" t="s">
        <v>40437</v>
      </c>
      <c r="Q13558">
        <v>4</v>
      </c>
      <c r="R13558" t="s">
        <v>40528</v>
      </c>
      <c r="S13558" t="s">
        <v>42012</v>
      </c>
      <c r="T13558" t="s">
        <v>42277</v>
      </c>
      <c r="U13558" t="s">
        <v>53663</v>
      </c>
      <c r="W13558" t="s">
        <v>40424</v>
      </c>
      <c r="X13558" t="s">
        <v>55562</v>
      </c>
    </row>
    <row r="13559" spans="1:24">
      <c r="A13559">
        <f>HYPERLINK("https://www.philgeps.gov.ph/GEPSNONPILOT/Tender/SplashBidNoticeAbstractUI.aspx?menuIndex=3&amp;refID=6883355&amp;Result=3","6883355")</f>
        <v>0</v>
      </c>
      <c r="B13559" t="s">
        <v>274</v>
      </c>
      <c r="C13559" t="s">
        <v>16086</v>
      </c>
      <c r="D13559" t="s">
        <v>16210</v>
      </c>
      <c r="E13559" t="s">
        <v>28100</v>
      </c>
      <c r="F13559" t="s">
        <v>28198</v>
      </c>
      <c r="G13559" t="s">
        <v>28205</v>
      </c>
      <c r="H13559" t="s">
        <v>28215</v>
      </c>
      <c r="I13559" t="s">
        <v>4168</v>
      </c>
      <c r="J13559" t="s">
        <v>32097</v>
      </c>
      <c r="K13559" t="s">
        <v>36715</v>
      </c>
      <c r="M13559" t="s">
        <v>40426</v>
      </c>
      <c r="N13559" t="s">
        <v>40436</v>
      </c>
      <c r="O13559" t="s">
        <v>40437</v>
      </c>
      <c r="Q13559">
        <v>28</v>
      </c>
      <c r="R13559" t="s">
        <v>40531</v>
      </c>
      <c r="S13559" t="s">
        <v>42013</v>
      </c>
      <c r="T13559" t="s">
        <v>42406</v>
      </c>
      <c r="U13559" t="s">
        <v>53685</v>
      </c>
      <c r="V13559" t="s">
        <v>55395</v>
      </c>
      <c r="W13559" t="s">
        <v>40426</v>
      </c>
      <c r="X13559" t="s">
        <v>40530</v>
      </c>
    </row>
    <row r="13560" spans="1:24">
      <c r="A13560">
        <f>HYPERLINK("https://www.philgeps.gov.ph/GEPSNONPILOT/Tender/SplashBidNoticeAbstractUI.aspx?menuIndex=3&amp;refID=6892265&amp;Result=3","6892265")</f>
        <v>0</v>
      </c>
      <c r="B13560" t="s">
        <v>1303</v>
      </c>
      <c r="C13560" t="s">
        <v>16087</v>
      </c>
      <c r="D13560" t="s">
        <v>16200</v>
      </c>
      <c r="E13560" t="s">
        <v>28101</v>
      </c>
      <c r="F13560" t="s">
        <v>28198</v>
      </c>
      <c r="G13560" t="s">
        <v>28205</v>
      </c>
      <c r="H13560" t="s">
        <v>28214</v>
      </c>
      <c r="I13560" t="s">
        <v>3797</v>
      </c>
      <c r="J13560" t="s">
        <v>31235</v>
      </c>
      <c r="K13560" t="s">
        <v>36710</v>
      </c>
      <c r="M13560" t="s">
        <v>38357</v>
      </c>
      <c r="N13560" t="s">
        <v>40436</v>
      </c>
      <c r="O13560" t="s">
        <v>40437</v>
      </c>
      <c r="Q13560">
        <v>2</v>
      </c>
      <c r="R13560" t="s">
        <v>40526</v>
      </c>
      <c r="S13560" t="s">
        <v>42014</v>
      </c>
      <c r="T13560" t="s">
        <v>42249</v>
      </c>
      <c r="U13560" t="s">
        <v>53686</v>
      </c>
      <c r="V13560" t="s">
        <v>55409</v>
      </c>
      <c r="W13560" t="s">
        <v>38357</v>
      </c>
      <c r="X13560" t="s">
        <v>40527</v>
      </c>
    </row>
    <row r="13561" spans="1:24">
      <c r="A13561">
        <f>HYPERLINK("https://www.philgeps.gov.ph/GEPSNONPILOT/Tender/SplashBidNoticeAbstractUI.aspx?menuIndex=3&amp;refID=6880627&amp;Result=3","6880627")</f>
        <v>0</v>
      </c>
      <c r="B13561" t="s">
        <v>1562</v>
      </c>
      <c r="C13561" t="s">
        <v>16088</v>
      </c>
      <c r="D13561" t="s">
        <v>16200</v>
      </c>
      <c r="E13561" t="s">
        <v>28102</v>
      </c>
      <c r="F13561" t="s">
        <v>28198</v>
      </c>
      <c r="G13561" t="s">
        <v>28205</v>
      </c>
      <c r="H13561" t="s">
        <v>28215</v>
      </c>
      <c r="I13561" t="s">
        <v>28247</v>
      </c>
      <c r="J13561" t="s">
        <v>28699</v>
      </c>
      <c r="K13561" t="s">
        <v>36707</v>
      </c>
      <c r="M13561" t="s">
        <v>40425</v>
      </c>
      <c r="N13561" t="s">
        <v>40436</v>
      </c>
      <c r="O13561" t="s">
        <v>40437</v>
      </c>
      <c r="Q13561">
        <v>15</v>
      </c>
      <c r="R13561" t="s">
        <v>40530</v>
      </c>
      <c r="S13561" t="s">
        <v>40659</v>
      </c>
      <c r="T13561" t="s">
        <v>42202</v>
      </c>
      <c r="U13561" t="s">
        <v>53677</v>
      </c>
      <c r="V13561" t="s">
        <v>54572</v>
      </c>
      <c r="W13561" t="s">
        <v>40425</v>
      </c>
      <c r="X13561" t="s">
        <v>40532</v>
      </c>
    </row>
    <row r="13562" spans="1:24">
      <c r="A13562">
        <f>HYPERLINK("https://www.philgeps.gov.ph/GEPSNONPILOT/Tender/SplashBidNoticeAbstractUI.aspx?menuIndex=3&amp;refID=6885419&amp;Result=3","6885419")</f>
        <v>0</v>
      </c>
      <c r="B13562" t="s">
        <v>581</v>
      </c>
      <c r="C13562" t="s">
        <v>16089</v>
      </c>
      <c r="D13562" t="s">
        <v>16210</v>
      </c>
      <c r="E13562" t="s">
        <v>28071</v>
      </c>
      <c r="F13562" t="s">
        <v>28198</v>
      </c>
      <c r="G13562" t="s">
        <v>28205</v>
      </c>
      <c r="H13562" t="s">
        <v>28215</v>
      </c>
      <c r="I13562" t="s">
        <v>5100</v>
      </c>
      <c r="J13562" t="s">
        <v>36619</v>
      </c>
      <c r="K13562" t="s">
        <v>36701</v>
      </c>
      <c r="M13562" t="s">
        <v>40424</v>
      </c>
      <c r="N13562" t="s">
        <v>40436</v>
      </c>
      <c r="O13562" t="s">
        <v>40437</v>
      </c>
      <c r="Q13562">
        <v>7</v>
      </c>
      <c r="R13562" t="s">
        <v>40528</v>
      </c>
      <c r="S13562" t="s">
        <v>42015</v>
      </c>
      <c r="T13562" t="s">
        <v>42277</v>
      </c>
      <c r="U13562" t="s">
        <v>53663</v>
      </c>
      <c r="W13562" t="s">
        <v>40424</v>
      </c>
      <c r="X13562" t="s">
        <v>55562</v>
      </c>
    </row>
    <row r="13563" spans="1:24">
      <c r="A13563">
        <f>HYPERLINK("https://www.philgeps.gov.ph/GEPSNONPILOT/Tender/SplashBidNoticeAbstractUI.aspx?menuIndex=3&amp;refID=6874679&amp;Result=3","6874679")</f>
        <v>0</v>
      </c>
      <c r="B13563" t="s">
        <v>3046</v>
      </c>
      <c r="C13563" t="s">
        <v>16090</v>
      </c>
      <c r="D13563" t="s">
        <v>16203</v>
      </c>
      <c r="E13563" t="s">
        <v>28103</v>
      </c>
      <c r="F13563" t="s">
        <v>28198</v>
      </c>
      <c r="G13563" t="s">
        <v>28205</v>
      </c>
      <c r="H13563" t="s">
        <v>28215</v>
      </c>
      <c r="I13563" t="s">
        <v>5100</v>
      </c>
      <c r="J13563" t="s">
        <v>36620</v>
      </c>
      <c r="K13563" t="s">
        <v>36692</v>
      </c>
      <c r="M13563" t="s">
        <v>40350</v>
      </c>
      <c r="N13563" t="s">
        <v>40436</v>
      </c>
      <c r="O13563" t="s">
        <v>40437</v>
      </c>
      <c r="Q13563">
        <v>12</v>
      </c>
      <c r="R13563" t="s">
        <v>40532</v>
      </c>
      <c r="S13563" t="s">
        <v>42016</v>
      </c>
      <c r="T13563" t="s">
        <v>42205</v>
      </c>
      <c r="U13563" t="s">
        <v>53687</v>
      </c>
      <c r="W13563" t="s">
        <v>55549</v>
      </c>
      <c r="X13563" t="s">
        <v>40535</v>
      </c>
    </row>
    <row r="13564" spans="1:24">
      <c r="A13564">
        <f>HYPERLINK("https://www.philgeps.gov.ph/GEPSNONPILOT/Tender/SplashBidNoticeAbstractUI.aspx?menuIndex=3&amp;refID=6879010&amp;Result=3","6879010")</f>
        <v>0</v>
      </c>
      <c r="B13564" t="s">
        <v>1303</v>
      </c>
      <c r="C13564" t="s">
        <v>16091</v>
      </c>
      <c r="D13564" t="s">
        <v>16200</v>
      </c>
      <c r="E13564" t="s">
        <v>28104</v>
      </c>
      <c r="F13564" t="s">
        <v>28198</v>
      </c>
      <c r="G13564" t="s">
        <v>28205</v>
      </c>
      <c r="H13564" t="s">
        <v>28214</v>
      </c>
      <c r="I13564" t="s">
        <v>3797</v>
      </c>
      <c r="J13564" t="s">
        <v>29552</v>
      </c>
      <c r="K13564" t="s">
        <v>36946</v>
      </c>
      <c r="M13564" t="s">
        <v>38357</v>
      </c>
      <c r="N13564" t="s">
        <v>40436</v>
      </c>
      <c r="O13564" t="s">
        <v>40437</v>
      </c>
      <c r="Q13564">
        <v>2</v>
      </c>
      <c r="R13564" t="s">
        <v>40530</v>
      </c>
      <c r="S13564" t="s">
        <v>42017</v>
      </c>
      <c r="T13564" t="s">
        <v>42273</v>
      </c>
      <c r="U13564" t="s">
        <v>53688</v>
      </c>
      <c r="V13564" t="s">
        <v>55410</v>
      </c>
      <c r="W13564" t="s">
        <v>38357</v>
      </c>
      <c r="X13564" t="s">
        <v>40532</v>
      </c>
    </row>
    <row r="13565" spans="1:24">
      <c r="A13565">
        <f>HYPERLINK("https://www.philgeps.gov.ph/GEPSNONPILOT/Tender/SplashBidNoticeAbstractUI.aspx?menuIndex=3&amp;refID=6880085&amp;Result=3","6880085")</f>
        <v>0</v>
      </c>
      <c r="B13565" t="s">
        <v>1562</v>
      </c>
      <c r="C13565" t="s">
        <v>16092</v>
      </c>
      <c r="D13565" t="s">
        <v>16200</v>
      </c>
      <c r="E13565" t="s">
        <v>28105</v>
      </c>
      <c r="F13565" t="s">
        <v>28198</v>
      </c>
      <c r="G13565" t="s">
        <v>28205</v>
      </c>
      <c r="H13565" t="s">
        <v>28215</v>
      </c>
      <c r="I13565" t="s">
        <v>28247</v>
      </c>
      <c r="J13565" t="s">
        <v>32524</v>
      </c>
      <c r="K13565" t="s">
        <v>36706</v>
      </c>
      <c r="M13565" t="s">
        <v>40425</v>
      </c>
      <c r="N13565" t="s">
        <v>40436</v>
      </c>
      <c r="O13565" t="s">
        <v>40437</v>
      </c>
      <c r="Q13565">
        <v>14</v>
      </c>
      <c r="R13565" t="s">
        <v>40530</v>
      </c>
      <c r="S13565" t="s">
        <v>41714</v>
      </c>
      <c r="T13565" t="s">
        <v>42286</v>
      </c>
      <c r="U13565" t="s">
        <v>53677</v>
      </c>
      <c r="V13565" t="s">
        <v>54572</v>
      </c>
      <c r="W13565" t="s">
        <v>40425</v>
      </c>
      <c r="X13565" t="s">
        <v>40532</v>
      </c>
    </row>
    <row r="13566" spans="1:24">
      <c r="A13566">
        <f>HYPERLINK("https://www.philgeps.gov.ph/GEPSNONPILOT/Tender/SplashBidNoticeAbstractUI.aspx?menuIndex=3&amp;refID=6872176&amp;Result=3","6872176")</f>
        <v>0</v>
      </c>
      <c r="B13566" t="s">
        <v>1964</v>
      </c>
      <c r="C13566" t="s">
        <v>16093</v>
      </c>
      <c r="E13566" t="s">
        <v>28106</v>
      </c>
      <c r="F13566" t="s">
        <v>28198</v>
      </c>
      <c r="G13566" t="s">
        <v>28205</v>
      </c>
      <c r="H13566" t="s">
        <v>28215</v>
      </c>
      <c r="I13566" t="s">
        <v>28245</v>
      </c>
      <c r="J13566" t="s">
        <v>36621</v>
      </c>
      <c r="K13566" t="s">
        <v>36689</v>
      </c>
      <c r="M13566" t="s">
        <v>40415</v>
      </c>
      <c r="N13566" t="s">
        <v>40436</v>
      </c>
      <c r="O13566" t="s">
        <v>40437</v>
      </c>
      <c r="Q13566">
        <v>5</v>
      </c>
      <c r="R13566" t="s">
        <v>40532</v>
      </c>
      <c r="S13566" t="s">
        <v>42018</v>
      </c>
      <c r="T13566" t="s">
        <v>42624</v>
      </c>
      <c r="U13566" t="s">
        <v>53689</v>
      </c>
      <c r="W13566" t="s">
        <v>40415</v>
      </c>
      <c r="X13566" t="s">
        <v>55563</v>
      </c>
    </row>
    <row r="13567" spans="1:24">
      <c r="A13567">
        <f>HYPERLINK("https://www.philgeps.gov.ph/GEPSNONPILOT/Tender/SplashBidNoticeAbstractUI.aspx?menuIndex=3&amp;refID=6859939&amp;Result=3","6859939")</f>
        <v>0</v>
      </c>
      <c r="B13567" t="s">
        <v>540</v>
      </c>
      <c r="C13567" t="s">
        <v>16094</v>
      </c>
      <c r="D13567" t="s">
        <v>16210</v>
      </c>
      <c r="E13567" t="s">
        <v>28107</v>
      </c>
      <c r="F13567" t="s">
        <v>28198</v>
      </c>
      <c r="G13567" t="s">
        <v>28207</v>
      </c>
      <c r="H13567" t="s">
        <v>28215</v>
      </c>
      <c r="I13567" t="s">
        <v>28225</v>
      </c>
      <c r="J13567" t="s">
        <v>28884</v>
      </c>
      <c r="K13567" t="s">
        <v>36693</v>
      </c>
      <c r="M13567" t="s">
        <v>40427</v>
      </c>
      <c r="N13567" t="s">
        <v>40436</v>
      </c>
      <c r="O13567" t="s">
        <v>40437</v>
      </c>
      <c r="Q13567">
        <v>4</v>
      </c>
      <c r="R13567" t="s">
        <v>40533</v>
      </c>
      <c r="S13567" t="s">
        <v>42019</v>
      </c>
      <c r="T13567" t="s">
        <v>42563</v>
      </c>
      <c r="U13567" t="s">
        <v>53690</v>
      </c>
      <c r="V13567" t="s">
        <v>53914</v>
      </c>
      <c r="W13567" t="s">
        <v>40427</v>
      </c>
      <c r="X13567" t="s">
        <v>55552</v>
      </c>
    </row>
    <row r="13568" spans="1:24">
      <c r="A13568">
        <f>HYPERLINK("https://www.philgeps.gov.ph/GEPSNONPILOT/Tender/SplashBidNoticeAbstractUI.aspx?menuIndex=3&amp;refID=6859210&amp;Result=3","6859210")</f>
        <v>0</v>
      </c>
      <c r="B13568" t="s">
        <v>595</v>
      </c>
      <c r="C13568" t="s">
        <v>16095</v>
      </c>
      <c r="D13568" t="s">
        <v>16195</v>
      </c>
      <c r="E13568" t="s">
        <v>28108</v>
      </c>
      <c r="F13568" t="s">
        <v>28198</v>
      </c>
      <c r="G13568" t="s">
        <v>28207</v>
      </c>
      <c r="H13568" t="s">
        <v>28217</v>
      </c>
      <c r="I13568" t="s">
        <v>28274</v>
      </c>
      <c r="J13568" t="s">
        <v>28751</v>
      </c>
      <c r="K13568" t="s">
        <v>36707</v>
      </c>
      <c r="M13568" t="s">
        <v>37584</v>
      </c>
      <c r="N13568" t="s">
        <v>40436</v>
      </c>
      <c r="O13568" t="s">
        <v>40437</v>
      </c>
      <c r="Q13568">
        <v>6</v>
      </c>
      <c r="R13568" t="s">
        <v>40533</v>
      </c>
      <c r="S13568" t="s">
        <v>42020</v>
      </c>
      <c r="T13568" t="s">
        <v>42350</v>
      </c>
      <c r="U13568" t="s">
        <v>53691</v>
      </c>
      <c r="W13568" t="s">
        <v>37584</v>
      </c>
      <c r="X13568" t="s">
        <v>40537</v>
      </c>
    </row>
    <row r="13569" spans="1:24">
      <c r="A13569">
        <f>HYPERLINK("https://www.philgeps.gov.ph/GEPSNONPILOT/Tender/SplashBidNoticeAbstractUI.aspx?menuIndex=3&amp;refID=6860020&amp;Result=3","6860020")</f>
        <v>0</v>
      </c>
      <c r="B13569" t="s">
        <v>540</v>
      </c>
      <c r="C13569" t="s">
        <v>16096</v>
      </c>
      <c r="D13569" t="s">
        <v>16210</v>
      </c>
      <c r="E13569" t="s">
        <v>28109</v>
      </c>
      <c r="F13569" t="s">
        <v>28198</v>
      </c>
      <c r="G13569" t="s">
        <v>28207</v>
      </c>
      <c r="H13569" t="s">
        <v>28215</v>
      </c>
      <c r="I13569" t="s">
        <v>28225</v>
      </c>
      <c r="J13569" t="s">
        <v>28414</v>
      </c>
      <c r="K13569" t="s">
        <v>36693</v>
      </c>
      <c r="M13569" t="s">
        <v>40427</v>
      </c>
      <c r="N13569" t="s">
        <v>40436</v>
      </c>
      <c r="O13569" t="s">
        <v>40437</v>
      </c>
      <c r="Q13569">
        <v>3</v>
      </c>
      <c r="R13569" t="s">
        <v>40533</v>
      </c>
      <c r="S13569" t="s">
        <v>42021</v>
      </c>
      <c r="T13569" t="s">
        <v>42563</v>
      </c>
      <c r="U13569" t="s">
        <v>53692</v>
      </c>
      <c r="V13569" t="s">
        <v>53914</v>
      </c>
      <c r="W13569" t="s">
        <v>40427</v>
      </c>
      <c r="X13569" t="s">
        <v>55552</v>
      </c>
    </row>
    <row r="13570" spans="1:24">
      <c r="A13570">
        <f>HYPERLINK("https://www.philgeps.gov.ph/GEPSNONPILOT/Tender/SplashBidNoticeAbstractUI.aspx?menuIndex=3&amp;refID=6864479&amp;Result=3","6864479")</f>
        <v>0</v>
      </c>
      <c r="B13570" t="s">
        <v>404</v>
      </c>
      <c r="C13570" t="s">
        <v>16097</v>
      </c>
      <c r="E13570" t="s">
        <v>28110</v>
      </c>
      <c r="F13570" t="s">
        <v>28198</v>
      </c>
      <c r="G13570" t="s">
        <v>28205</v>
      </c>
      <c r="H13570" t="s">
        <v>28215</v>
      </c>
      <c r="I13570" t="s">
        <v>28258</v>
      </c>
      <c r="J13570" t="s">
        <v>36622</v>
      </c>
      <c r="K13570" t="s">
        <v>36689</v>
      </c>
      <c r="M13570" t="s">
        <v>37385</v>
      </c>
      <c r="N13570" t="s">
        <v>40436</v>
      </c>
      <c r="O13570" t="s">
        <v>40437</v>
      </c>
      <c r="Q13570">
        <v>16</v>
      </c>
      <c r="R13570" t="s">
        <v>40534</v>
      </c>
      <c r="S13570" t="s">
        <v>41912</v>
      </c>
      <c r="T13570" t="s">
        <v>42121</v>
      </c>
      <c r="U13570" t="s">
        <v>53693</v>
      </c>
      <c r="V13570" t="s">
        <v>55411</v>
      </c>
      <c r="W13570" t="s">
        <v>37385</v>
      </c>
      <c r="X13570" t="s">
        <v>40533</v>
      </c>
    </row>
    <row r="13571" spans="1:24">
      <c r="A13571">
        <f>HYPERLINK("https://www.philgeps.gov.ph/GEPSNONPILOT/Tender/SplashBidNoticeAbstractUI.aspx?menuIndex=3&amp;refID=6859912&amp;Result=3","6859912")</f>
        <v>0</v>
      </c>
      <c r="B13571" t="s">
        <v>540</v>
      </c>
      <c r="C13571" t="s">
        <v>16098</v>
      </c>
      <c r="D13571" t="s">
        <v>16210</v>
      </c>
      <c r="E13571" t="s">
        <v>28111</v>
      </c>
      <c r="F13571" t="s">
        <v>28198</v>
      </c>
      <c r="G13571" t="s">
        <v>28207</v>
      </c>
      <c r="H13571" t="s">
        <v>28215</v>
      </c>
      <c r="I13571" t="s">
        <v>28225</v>
      </c>
      <c r="J13571" t="s">
        <v>29806</v>
      </c>
      <c r="K13571" t="s">
        <v>36693</v>
      </c>
      <c r="M13571" t="s">
        <v>40427</v>
      </c>
      <c r="N13571" t="s">
        <v>40436</v>
      </c>
      <c r="O13571" t="s">
        <v>40437</v>
      </c>
      <c r="Q13571">
        <v>2</v>
      </c>
      <c r="R13571" t="s">
        <v>40533</v>
      </c>
      <c r="S13571" t="s">
        <v>42022</v>
      </c>
      <c r="T13571" t="s">
        <v>42563</v>
      </c>
      <c r="U13571" t="s">
        <v>53694</v>
      </c>
      <c r="V13571" t="s">
        <v>53914</v>
      </c>
      <c r="W13571" t="s">
        <v>40427</v>
      </c>
      <c r="X13571" t="s">
        <v>55552</v>
      </c>
    </row>
    <row r="13572" spans="1:24">
      <c r="A13572">
        <f>HYPERLINK("https://www.philgeps.gov.ph/GEPSNONPILOT/Tender/SplashBidNoticeAbstractUI.aspx?menuIndex=3&amp;refID=6864471&amp;Result=3","6864471")</f>
        <v>0</v>
      </c>
      <c r="B13572" t="s">
        <v>404</v>
      </c>
      <c r="C13572" t="s">
        <v>16099</v>
      </c>
      <c r="E13572" t="s">
        <v>28112</v>
      </c>
      <c r="F13572" t="s">
        <v>28198</v>
      </c>
      <c r="G13572" t="s">
        <v>28205</v>
      </c>
      <c r="H13572" t="s">
        <v>28214</v>
      </c>
      <c r="I13572" t="s">
        <v>3797</v>
      </c>
      <c r="J13572" t="s">
        <v>36623</v>
      </c>
      <c r="K13572" t="s">
        <v>36689</v>
      </c>
      <c r="M13572" t="s">
        <v>40428</v>
      </c>
      <c r="N13572" t="s">
        <v>40436</v>
      </c>
      <c r="O13572" t="s">
        <v>40437</v>
      </c>
      <c r="Q13572">
        <v>13</v>
      </c>
      <c r="R13572" t="s">
        <v>40534</v>
      </c>
      <c r="S13572" t="s">
        <v>40773</v>
      </c>
      <c r="T13572" t="s">
        <v>42182</v>
      </c>
      <c r="U13572" t="s">
        <v>53695</v>
      </c>
      <c r="W13572" t="s">
        <v>37385</v>
      </c>
      <c r="X13572" t="s">
        <v>40533</v>
      </c>
    </row>
    <row r="13573" spans="1:24">
      <c r="A13573">
        <f>HYPERLINK("https://www.philgeps.gov.ph/GEPSNONPILOT/Tender/SplashBidNoticeAbstractUI.aspx?menuIndex=3&amp;refID=6864422&amp;Result=3","6864422")</f>
        <v>0</v>
      </c>
      <c r="B13573" t="s">
        <v>404</v>
      </c>
      <c r="C13573" t="s">
        <v>16100</v>
      </c>
      <c r="E13573" t="s">
        <v>28113</v>
      </c>
      <c r="F13573" t="s">
        <v>28198</v>
      </c>
      <c r="G13573" t="s">
        <v>28205</v>
      </c>
      <c r="H13573" t="s">
        <v>28214</v>
      </c>
      <c r="I13573" t="s">
        <v>3797</v>
      </c>
      <c r="J13573" t="s">
        <v>36624</v>
      </c>
      <c r="K13573" t="s">
        <v>36689</v>
      </c>
      <c r="M13573" t="s">
        <v>40223</v>
      </c>
      <c r="N13573" t="s">
        <v>40436</v>
      </c>
      <c r="O13573" t="s">
        <v>40437</v>
      </c>
      <c r="Q13573">
        <v>21</v>
      </c>
      <c r="R13573" t="s">
        <v>40534</v>
      </c>
      <c r="S13573" t="s">
        <v>41054</v>
      </c>
      <c r="T13573" t="s">
        <v>42182</v>
      </c>
      <c r="U13573" t="s">
        <v>53696</v>
      </c>
      <c r="W13573" t="s">
        <v>37385</v>
      </c>
      <c r="X13573" t="s">
        <v>40533</v>
      </c>
    </row>
    <row r="13574" spans="1:24">
      <c r="A13574">
        <f>HYPERLINK("https://www.philgeps.gov.ph/GEPSNONPILOT/Tender/SplashBidNoticeAbstractUI.aspx?menuIndex=3&amp;refID=6865257&amp;Result=3","6865257")</f>
        <v>0</v>
      </c>
      <c r="B13574" t="s">
        <v>2033</v>
      </c>
      <c r="C13574" t="s">
        <v>16101</v>
      </c>
      <c r="E13574" t="s">
        <v>28114</v>
      </c>
      <c r="F13574" t="s">
        <v>28198</v>
      </c>
      <c r="G13574" t="s">
        <v>28205</v>
      </c>
      <c r="H13574" t="s">
        <v>28214</v>
      </c>
      <c r="I13574" t="s">
        <v>3797</v>
      </c>
      <c r="J13574" t="s">
        <v>36625</v>
      </c>
      <c r="K13574" t="s">
        <v>36689</v>
      </c>
      <c r="M13574" t="s">
        <v>39175</v>
      </c>
      <c r="N13574" t="s">
        <v>40436</v>
      </c>
      <c r="O13574" t="s">
        <v>40437</v>
      </c>
      <c r="Q13574">
        <v>76</v>
      </c>
      <c r="R13574" t="s">
        <v>40534</v>
      </c>
      <c r="S13574" t="s">
        <v>42023</v>
      </c>
      <c r="T13574" t="s">
        <v>42112</v>
      </c>
      <c r="U13574" t="s">
        <v>47923</v>
      </c>
      <c r="W13574" t="s">
        <v>55503</v>
      </c>
      <c r="X13574" t="s">
        <v>40533</v>
      </c>
    </row>
    <row r="13575" spans="1:24">
      <c r="A13575">
        <f>HYPERLINK("https://www.philgeps.gov.ph/GEPSNONPILOT/Tender/SplashBidNoticeAbstractUI.aspx?menuIndex=3&amp;refID=6871415&amp;Result=3","6871415")</f>
        <v>0</v>
      </c>
      <c r="B13575" t="s">
        <v>1114</v>
      </c>
      <c r="C13575" t="s">
        <v>16102</v>
      </c>
      <c r="E13575" t="s">
        <v>28115</v>
      </c>
      <c r="F13575" t="s">
        <v>28198</v>
      </c>
      <c r="G13575" t="s">
        <v>28205</v>
      </c>
      <c r="H13575" t="s">
        <v>28214</v>
      </c>
      <c r="I13575" t="s">
        <v>3797</v>
      </c>
      <c r="J13575" t="s">
        <v>34008</v>
      </c>
      <c r="K13575" t="s">
        <v>36809</v>
      </c>
      <c r="N13575" t="s">
        <v>40436</v>
      </c>
      <c r="O13575" t="s">
        <v>40437</v>
      </c>
      <c r="Q13575">
        <v>6</v>
      </c>
      <c r="R13575" t="s">
        <v>40535</v>
      </c>
      <c r="S13575" t="s">
        <v>42024</v>
      </c>
      <c r="T13575" t="s">
        <v>42121</v>
      </c>
      <c r="U13575" t="s">
        <v>53697</v>
      </c>
      <c r="V13575" t="s">
        <v>55412</v>
      </c>
      <c r="W13575" t="s">
        <v>40244</v>
      </c>
      <c r="X13575" t="s">
        <v>55563</v>
      </c>
    </row>
    <row r="13576" spans="1:24">
      <c r="A13576">
        <f>HYPERLINK("https://www.philgeps.gov.ph/GEPSNONPILOT/Tender/SplashBidNoticeAbstractUI.aspx?menuIndex=3&amp;refID=6870622&amp;Result=3","6870622")</f>
        <v>0</v>
      </c>
      <c r="B13576" t="s">
        <v>46</v>
      </c>
      <c r="C13576" t="s">
        <v>16103</v>
      </c>
      <c r="D13576" t="s">
        <v>16202</v>
      </c>
      <c r="E13576" t="s">
        <v>28116</v>
      </c>
      <c r="F13576" t="s">
        <v>28198</v>
      </c>
      <c r="G13576" t="s">
        <v>28208</v>
      </c>
      <c r="H13576" t="s">
        <v>28216</v>
      </c>
      <c r="I13576" t="s">
        <v>28216</v>
      </c>
      <c r="J13576" t="s">
        <v>36626</v>
      </c>
      <c r="K13576" t="s">
        <v>36689</v>
      </c>
      <c r="L13576" t="s">
        <v>46</v>
      </c>
      <c r="M13576" t="s">
        <v>37017</v>
      </c>
      <c r="N13576" t="s">
        <v>40436</v>
      </c>
      <c r="O13576" t="s">
        <v>40437</v>
      </c>
      <c r="Q13576">
        <v>8</v>
      </c>
      <c r="R13576" t="s">
        <v>40535</v>
      </c>
      <c r="S13576" t="s">
        <v>42025</v>
      </c>
      <c r="T13576" t="s">
        <v>42144</v>
      </c>
      <c r="U13576" t="s">
        <v>53698</v>
      </c>
      <c r="W13576" t="s">
        <v>37017</v>
      </c>
      <c r="X13576" t="s">
        <v>55563</v>
      </c>
    </row>
    <row r="13577" spans="1:24">
      <c r="A13577">
        <f>HYPERLINK("https://www.philgeps.gov.ph/GEPSNONPILOT/Tender/SplashBidNoticeAbstractUI.aspx?menuIndex=3&amp;refID=6870526&amp;Result=3","6870526")</f>
        <v>0</v>
      </c>
      <c r="B13577" t="s">
        <v>2639</v>
      </c>
      <c r="C13577" t="s">
        <v>16104</v>
      </c>
      <c r="D13577" t="s">
        <v>16210</v>
      </c>
      <c r="E13577" t="s">
        <v>28117</v>
      </c>
      <c r="F13577" t="s">
        <v>28198</v>
      </c>
      <c r="G13577" t="s">
        <v>28205</v>
      </c>
      <c r="H13577" t="s">
        <v>28214</v>
      </c>
      <c r="I13577" t="s">
        <v>3797</v>
      </c>
      <c r="J13577" t="s">
        <v>36627</v>
      </c>
      <c r="K13577" t="s">
        <v>36692</v>
      </c>
      <c r="M13577" t="s">
        <v>39864</v>
      </c>
      <c r="N13577" t="s">
        <v>40436</v>
      </c>
      <c r="O13577" t="s">
        <v>40437</v>
      </c>
      <c r="Q13577">
        <v>26</v>
      </c>
      <c r="R13577" t="s">
        <v>40535</v>
      </c>
      <c r="S13577" t="s">
        <v>42026</v>
      </c>
      <c r="T13577" t="s">
        <v>42234</v>
      </c>
      <c r="U13577" t="s">
        <v>53699</v>
      </c>
      <c r="W13577" t="s">
        <v>39864</v>
      </c>
      <c r="X13577" t="s">
        <v>55563</v>
      </c>
    </row>
    <row r="13578" spans="1:24">
      <c r="A13578">
        <f>HYPERLINK("https://www.philgeps.gov.ph/GEPSNONPILOT/Tender/SplashBidNoticeAbstractUI.aspx?menuIndex=3&amp;refID=6870598&amp;Result=3","6870598")</f>
        <v>0</v>
      </c>
      <c r="B13578" t="s">
        <v>46</v>
      </c>
      <c r="C13578" t="s">
        <v>16105</v>
      </c>
      <c r="D13578" t="s">
        <v>16202</v>
      </c>
      <c r="E13578" t="s">
        <v>28118</v>
      </c>
      <c r="F13578" t="s">
        <v>28198</v>
      </c>
      <c r="G13578" t="s">
        <v>28208</v>
      </c>
      <c r="H13578" t="s">
        <v>28216</v>
      </c>
      <c r="I13578" t="s">
        <v>28216</v>
      </c>
      <c r="J13578" t="s">
        <v>36628</v>
      </c>
      <c r="K13578" t="s">
        <v>36689</v>
      </c>
      <c r="L13578" t="s">
        <v>46</v>
      </c>
      <c r="M13578" t="s">
        <v>37017</v>
      </c>
      <c r="N13578" t="s">
        <v>40436</v>
      </c>
      <c r="O13578" t="s">
        <v>40437</v>
      </c>
      <c r="Q13578">
        <v>6</v>
      </c>
      <c r="R13578" t="s">
        <v>40535</v>
      </c>
      <c r="S13578" t="s">
        <v>42027</v>
      </c>
      <c r="T13578" t="s">
        <v>42144</v>
      </c>
      <c r="U13578" t="s">
        <v>53700</v>
      </c>
      <c r="W13578" t="s">
        <v>37017</v>
      </c>
      <c r="X13578" t="s">
        <v>55563</v>
      </c>
    </row>
    <row r="13579" spans="1:24">
      <c r="A13579">
        <f>HYPERLINK("https://www.philgeps.gov.ph/GEPSNONPILOT/Tender/SplashBidNoticeAbstractUI.aspx?menuIndex=3&amp;refID=6857339&amp;Result=3","6857339")</f>
        <v>0</v>
      </c>
      <c r="B13579" t="s">
        <v>595</v>
      </c>
      <c r="C13579" t="s">
        <v>15662</v>
      </c>
      <c r="D13579" t="s">
        <v>16255</v>
      </c>
      <c r="E13579" t="s">
        <v>28119</v>
      </c>
      <c r="F13579" t="s">
        <v>28198</v>
      </c>
      <c r="G13579" t="s">
        <v>28207</v>
      </c>
      <c r="H13579" t="s">
        <v>28215</v>
      </c>
      <c r="I13579" t="s">
        <v>28249</v>
      </c>
      <c r="J13579" t="s">
        <v>32475</v>
      </c>
      <c r="K13579" t="s">
        <v>36707</v>
      </c>
      <c r="M13579" t="s">
        <v>37584</v>
      </c>
      <c r="N13579" t="s">
        <v>40436</v>
      </c>
      <c r="O13579" t="s">
        <v>40437</v>
      </c>
      <c r="Q13579">
        <v>1</v>
      </c>
      <c r="R13579" t="s">
        <v>40533</v>
      </c>
      <c r="S13579" t="s">
        <v>42019</v>
      </c>
      <c r="T13579" t="s">
        <v>42350</v>
      </c>
      <c r="U13579" t="s">
        <v>53701</v>
      </c>
      <c r="W13579" t="s">
        <v>37584</v>
      </c>
      <c r="X13579" t="s">
        <v>40537</v>
      </c>
    </row>
    <row r="13580" spans="1:24">
      <c r="A13580">
        <f>HYPERLINK("https://www.philgeps.gov.ph/GEPSNONPILOT/Tender/SplashBidNoticeAbstractUI.aspx?menuIndex=3&amp;refID=6870491&amp;Result=3","6870491")</f>
        <v>0</v>
      </c>
      <c r="B13580" t="s">
        <v>2639</v>
      </c>
      <c r="C13580" t="s">
        <v>16106</v>
      </c>
      <c r="D13580" t="s">
        <v>16210</v>
      </c>
      <c r="E13580" t="s">
        <v>28120</v>
      </c>
      <c r="F13580" t="s">
        <v>28198</v>
      </c>
      <c r="G13580" t="s">
        <v>28205</v>
      </c>
      <c r="H13580" t="s">
        <v>28214</v>
      </c>
      <c r="I13580" t="s">
        <v>3797</v>
      </c>
      <c r="J13580" t="s">
        <v>36629</v>
      </c>
      <c r="K13580" t="s">
        <v>36692</v>
      </c>
      <c r="M13580" t="s">
        <v>39864</v>
      </c>
      <c r="N13580" t="s">
        <v>40436</v>
      </c>
      <c r="O13580" t="s">
        <v>40437</v>
      </c>
      <c r="Q13580">
        <v>32</v>
      </c>
      <c r="R13580" t="s">
        <v>40535</v>
      </c>
      <c r="S13580" t="s">
        <v>42028</v>
      </c>
      <c r="T13580" t="s">
        <v>42234</v>
      </c>
      <c r="U13580" t="s">
        <v>53702</v>
      </c>
      <c r="W13580" t="s">
        <v>39864</v>
      </c>
      <c r="X13580" t="s">
        <v>55563</v>
      </c>
    </row>
    <row r="13581" spans="1:24">
      <c r="A13581">
        <f>HYPERLINK("https://www.philgeps.gov.ph/GEPSNONPILOT/Tender/SplashBidNoticeAbstractUI.aspx?menuIndex=3&amp;refID=6876910&amp;Result=3","6876910")</f>
        <v>0</v>
      </c>
      <c r="B13581" t="s">
        <v>1114</v>
      </c>
      <c r="C13581" t="s">
        <v>16107</v>
      </c>
      <c r="D13581" t="s">
        <v>16228</v>
      </c>
      <c r="E13581" t="s">
        <v>28121</v>
      </c>
      <c r="F13581" t="s">
        <v>28198</v>
      </c>
      <c r="G13581" t="s">
        <v>28205</v>
      </c>
      <c r="H13581" t="s">
        <v>28214</v>
      </c>
      <c r="I13581" t="s">
        <v>3797</v>
      </c>
      <c r="J13581" t="s">
        <v>32533</v>
      </c>
      <c r="K13581" t="s">
        <v>36717</v>
      </c>
      <c r="M13581" t="s">
        <v>40244</v>
      </c>
      <c r="N13581" t="s">
        <v>40436</v>
      </c>
      <c r="O13581" t="s">
        <v>40437</v>
      </c>
      <c r="Q13581">
        <v>8</v>
      </c>
      <c r="R13581" t="s">
        <v>40532</v>
      </c>
      <c r="S13581" t="s">
        <v>42029</v>
      </c>
      <c r="T13581" t="s">
        <v>42121</v>
      </c>
      <c r="U13581" t="s">
        <v>53703</v>
      </c>
      <c r="V13581" t="s">
        <v>55413</v>
      </c>
      <c r="W13581" t="s">
        <v>40244</v>
      </c>
      <c r="X13581" t="s">
        <v>40535</v>
      </c>
    </row>
    <row r="13582" spans="1:24">
      <c r="A13582">
        <f>HYPERLINK("https://www.philgeps.gov.ph/GEPSNONPILOT/Tender/SplashBidNoticeAbstractUI.aspx?menuIndex=3&amp;refID=6869767&amp;Result=3","6869767")</f>
        <v>0</v>
      </c>
      <c r="B13582" t="s">
        <v>46</v>
      </c>
      <c r="C13582" t="s">
        <v>16108</v>
      </c>
      <c r="D13582" t="s">
        <v>16202</v>
      </c>
      <c r="E13582" t="s">
        <v>28122</v>
      </c>
      <c r="F13582" t="s">
        <v>28198</v>
      </c>
      <c r="G13582" t="s">
        <v>28208</v>
      </c>
      <c r="H13582" t="s">
        <v>28216</v>
      </c>
      <c r="I13582" t="s">
        <v>28216</v>
      </c>
      <c r="J13582" t="s">
        <v>34067</v>
      </c>
      <c r="K13582" t="s">
        <v>36689</v>
      </c>
      <c r="L13582" t="s">
        <v>46</v>
      </c>
      <c r="M13582" t="s">
        <v>37017</v>
      </c>
      <c r="N13582" t="s">
        <v>40436</v>
      </c>
      <c r="O13582" t="s">
        <v>40437</v>
      </c>
      <c r="Q13582">
        <v>8</v>
      </c>
      <c r="R13582" t="s">
        <v>40535</v>
      </c>
      <c r="S13582" t="s">
        <v>42030</v>
      </c>
      <c r="T13582" t="s">
        <v>42144</v>
      </c>
      <c r="U13582" t="s">
        <v>53704</v>
      </c>
      <c r="W13582" t="s">
        <v>37017</v>
      </c>
      <c r="X13582" t="s">
        <v>55564</v>
      </c>
    </row>
    <row r="13583" spans="1:24">
      <c r="A13583">
        <f>HYPERLINK("https://www.philgeps.gov.ph/GEPSNONPILOT/Tender/SplashBidNoticeAbstractUI.aspx?menuIndex=3&amp;refID=6850598&amp;Result=3","6850598")</f>
        <v>0</v>
      </c>
      <c r="B13583" t="s">
        <v>1900</v>
      </c>
      <c r="C13583" t="s">
        <v>16109</v>
      </c>
      <c r="E13583" t="s">
        <v>28123</v>
      </c>
      <c r="F13583" t="s">
        <v>28198</v>
      </c>
      <c r="G13583" t="s">
        <v>28205</v>
      </c>
      <c r="H13583" t="s">
        <v>28214</v>
      </c>
      <c r="I13583" t="s">
        <v>3797</v>
      </c>
      <c r="J13583" t="s">
        <v>36630</v>
      </c>
      <c r="K13583" t="s">
        <v>36689</v>
      </c>
      <c r="M13583" t="s">
        <v>40429</v>
      </c>
      <c r="N13583" t="s">
        <v>40436</v>
      </c>
      <c r="O13583" t="s">
        <v>40437</v>
      </c>
      <c r="Q13583">
        <v>3</v>
      </c>
      <c r="R13583" t="s">
        <v>40536</v>
      </c>
      <c r="S13583" t="s">
        <v>42031</v>
      </c>
      <c r="T13583" t="s">
        <v>42133</v>
      </c>
      <c r="U13583" t="s">
        <v>53705</v>
      </c>
      <c r="V13583" t="s">
        <v>55414</v>
      </c>
      <c r="W13583" t="s">
        <v>40429</v>
      </c>
      <c r="X13583" t="s">
        <v>55565</v>
      </c>
    </row>
    <row r="13584" spans="1:24">
      <c r="A13584">
        <f>HYPERLINK("https://www.philgeps.gov.ph/GEPSNONPILOT/Tender/SplashBidNoticeAbstractUI.aspx?menuIndex=3&amp;refID=6862360&amp;Result=3","6862360")</f>
        <v>0</v>
      </c>
      <c r="B13584" t="s">
        <v>2639</v>
      </c>
      <c r="C13584" t="s">
        <v>16110</v>
      </c>
      <c r="D13584" t="s">
        <v>16210</v>
      </c>
      <c r="E13584" t="s">
        <v>28124</v>
      </c>
      <c r="F13584" t="s">
        <v>28198</v>
      </c>
      <c r="G13584" t="s">
        <v>28205</v>
      </c>
      <c r="H13584" t="s">
        <v>28214</v>
      </c>
      <c r="I13584" t="s">
        <v>3797</v>
      </c>
      <c r="J13584" t="s">
        <v>36631</v>
      </c>
      <c r="K13584" t="s">
        <v>36710</v>
      </c>
      <c r="M13584" t="s">
        <v>39864</v>
      </c>
      <c r="N13584" t="s">
        <v>40436</v>
      </c>
      <c r="O13584" t="s">
        <v>40437</v>
      </c>
      <c r="Q13584">
        <v>125</v>
      </c>
      <c r="R13584" t="s">
        <v>40533</v>
      </c>
      <c r="S13584" t="s">
        <v>42032</v>
      </c>
      <c r="T13584" t="s">
        <v>42165</v>
      </c>
      <c r="U13584" t="s">
        <v>53706</v>
      </c>
      <c r="W13584" t="s">
        <v>39864</v>
      </c>
      <c r="X13584" t="s">
        <v>55552</v>
      </c>
    </row>
    <row r="13585" spans="1:24">
      <c r="A13585">
        <f>HYPERLINK("https://www.philgeps.gov.ph/GEPSNONPILOT/Tender/SplashBidNoticeAbstractUI.aspx?menuIndex=3&amp;refID=6860055&amp;Result=3","6860055")</f>
        <v>0</v>
      </c>
      <c r="B13585" t="s">
        <v>540</v>
      </c>
      <c r="C13585" t="s">
        <v>16111</v>
      </c>
      <c r="D13585" t="s">
        <v>16210</v>
      </c>
      <c r="E13585" t="s">
        <v>28125</v>
      </c>
      <c r="F13585" t="s">
        <v>28198</v>
      </c>
      <c r="G13585" t="s">
        <v>28207</v>
      </c>
      <c r="H13585" t="s">
        <v>28215</v>
      </c>
      <c r="I13585" t="s">
        <v>28225</v>
      </c>
      <c r="J13585" t="s">
        <v>29693</v>
      </c>
      <c r="K13585" t="s">
        <v>36693</v>
      </c>
      <c r="M13585" t="s">
        <v>40427</v>
      </c>
      <c r="N13585" t="s">
        <v>40436</v>
      </c>
      <c r="O13585" t="s">
        <v>40437</v>
      </c>
      <c r="Q13585">
        <v>0</v>
      </c>
      <c r="R13585" t="s">
        <v>40533</v>
      </c>
      <c r="S13585" t="s">
        <v>40853</v>
      </c>
      <c r="T13585" t="s">
        <v>42563</v>
      </c>
      <c r="U13585" t="s">
        <v>53707</v>
      </c>
      <c r="V13585" t="s">
        <v>53914</v>
      </c>
      <c r="W13585" t="s">
        <v>40427</v>
      </c>
      <c r="X13585" t="s">
        <v>55552</v>
      </c>
    </row>
    <row r="13586" spans="1:24">
      <c r="A13586">
        <f>HYPERLINK("https://www.philgeps.gov.ph/GEPSNONPILOT/Tender/SplashBidNoticeAbstractUI.aspx?menuIndex=3&amp;refID=6845827&amp;Result=3","6845827")</f>
        <v>0</v>
      </c>
      <c r="B13586" t="s">
        <v>2452</v>
      </c>
      <c r="C13586" t="s">
        <v>16112</v>
      </c>
      <c r="D13586" t="s">
        <v>16264</v>
      </c>
      <c r="E13586" t="s">
        <v>28126</v>
      </c>
      <c r="F13586" t="s">
        <v>28198</v>
      </c>
      <c r="G13586" t="s">
        <v>28205</v>
      </c>
      <c r="H13586" t="s">
        <v>28214</v>
      </c>
      <c r="I13586" t="s">
        <v>3797</v>
      </c>
      <c r="J13586" t="s">
        <v>36632</v>
      </c>
      <c r="K13586" t="s">
        <v>36909</v>
      </c>
      <c r="M13586" t="s">
        <v>40369</v>
      </c>
      <c r="N13586" t="s">
        <v>40436</v>
      </c>
      <c r="O13586" t="s">
        <v>40437</v>
      </c>
      <c r="Q13586">
        <v>7</v>
      </c>
      <c r="R13586" t="s">
        <v>40536</v>
      </c>
      <c r="S13586" t="s">
        <v>42033</v>
      </c>
      <c r="T13586" t="s">
        <v>42625</v>
      </c>
      <c r="U13586" t="s">
        <v>53708</v>
      </c>
      <c r="V13586" t="s">
        <v>55415</v>
      </c>
      <c r="W13586" t="s">
        <v>40369</v>
      </c>
      <c r="X13586" t="s">
        <v>40580</v>
      </c>
    </row>
    <row r="13587" spans="1:24">
      <c r="A13587">
        <f>HYPERLINK("https://www.philgeps.gov.ph/GEPSNONPILOT/Tender/SplashBidNoticeAbstractUI.aspx?menuIndex=3&amp;refID=6863861&amp;Result=3","6863861")</f>
        <v>0</v>
      </c>
      <c r="B13587" t="s">
        <v>3085</v>
      </c>
      <c r="C13587" t="s">
        <v>16113</v>
      </c>
      <c r="D13587" t="s">
        <v>16222</v>
      </c>
      <c r="E13587" t="s">
        <v>28127</v>
      </c>
      <c r="F13587" t="s">
        <v>28198</v>
      </c>
      <c r="G13587" t="s">
        <v>28205</v>
      </c>
      <c r="H13587" t="s">
        <v>28214</v>
      </c>
      <c r="I13587" t="s">
        <v>3797</v>
      </c>
      <c r="J13587" t="s">
        <v>36633</v>
      </c>
      <c r="K13587" t="s">
        <v>36692</v>
      </c>
      <c r="M13587" t="s">
        <v>40430</v>
      </c>
      <c r="N13587" t="s">
        <v>40436</v>
      </c>
      <c r="O13587" t="s">
        <v>40437</v>
      </c>
      <c r="Q13587">
        <v>5</v>
      </c>
      <c r="R13587" t="s">
        <v>40534</v>
      </c>
      <c r="S13587" t="s">
        <v>42034</v>
      </c>
      <c r="T13587" t="s">
        <v>42626</v>
      </c>
      <c r="U13587" t="s">
        <v>53709</v>
      </c>
      <c r="W13587" t="s">
        <v>40430</v>
      </c>
      <c r="X13587" t="s">
        <v>40533</v>
      </c>
    </row>
    <row r="13588" spans="1:24">
      <c r="A13588">
        <f>HYPERLINK("https://www.philgeps.gov.ph/GEPSNONPILOT/Tender/SplashBidNoticeAbstractUI.aspx?menuIndex=3&amp;refID=6862407&amp;Result=3","6862407")</f>
        <v>0</v>
      </c>
      <c r="B13588" t="s">
        <v>2639</v>
      </c>
      <c r="C13588" t="s">
        <v>16114</v>
      </c>
      <c r="D13588" t="s">
        <v>16210</v>
      </c>
      <c r="E13588" t="s">
        <v>28128</v>
      </c>
      <c r="F13588" t="s">
        <v>28198</v>
      </c>
      <c r="G13588" t="s">
        <v>28205</v>
      </c>
      <c r="H13588" t="s">
        <v>28214</v>
      </c>
      <c r="I13588" t="s">
        <v>3797</v>
      </c>
      <c r="J13588" t="s">
        <v>36634</v>
      </c>
      <c r="K13588" t="s">
        <v>36761</v>
      </c>
      <c r="M13588" t="s">
        <v>39864</v>
      </c>
      <c r="N13588" t="s">
        <v>40436</v>
      </c>
      <c r="O13588" t="s">
        <v>40437</v>
      </c>
      <c r="Q13588">
        <v>56</v>
      </c>
      <c r="R13588" t="s">
        <v>40533</v>
      </c>
      <c r="S13588" t="s">
        <v>42035</v>
      </c>
      <c r="T13588" t="s">
        <v>42390</v>
      </c>
      <c r="U13588" t="s">
        <v>53710</v>
      </c>
      <c r="W13588" t="s">
        <v>39864</v>
      </c>
      <c r="X13588" t="s">
        <v>55552</v>
      </c>
    </row>
    <row r="13589" spans="1:24">
      <c r="A13589">
        <f>HYPERLINK("https://www.philgeps.gov.ph/GEPSNONPILOT/Tender/SplashBidNoticeAbstractUI.aspx?menuIndex=3&amp;refID=6862423&amp;Result=3","6862423")</f>
        <v>0</v>
      </c>
      <c r="B13589" t="s">
        <v>2639</v>
      </c>
      <c r="C13589" t="s">
        <v>16115</v>
      </c>
      <c r="D13589" t="s">
        <v>16210</v>
      </c>
      <c r="E13589" t="s">
        <v>28129</v>
      </c>
      <c r="F13589" t="s">
        <v>28198</v>
      </c>
      <c r="G13589" t="s">
        <v>28205</v>
      </c>
      <c r="H13589" t="s">
        <v>28214</v>
      </c>
      <c r="I13589" t="s">
        <v>3797</v>
      </c>
      <c r="J13589" t="s">
        <v>36635</v>
      </c>
      <c r="K13589" t="s">
        <v>36761</v>
      </c>
      <c r="M13589" t="s">
        <v>39864</v>
      </c>
      <c r="N13589" t="s">
        <v>40436</v>
      </c>
      <c r="O13589" t="s">
        <v>40437</v>
      </c>
      <c r="Q13589">
        <v>61</v>
      </c>
      <c r="R13589" t="s">
        <v>40533</v>
      </c>
      <c r="S13589" t="s">
        <v>42036</v>
      </c>
      <c r="T13589" t="s">
        <v>42390</v>
      </c>
      <c r="U13589" t="s">
        <v>53711</v>
      </c>
      <c r="W13589" t="s">
        <v>39864</v>
      </c>
      <c r="X13589" t="s">
        <v>55552</v>
      </c>
    </row>
    <row r="13590" spans="1:24">
      <c r="A13590">
        <f>HYPERLINK("https://www.philgeps.gov.ph/GEPSNONPILOT/Tender/SplashBidNoticeAbstractUI.aspx?menuIndex=3&amp;refID=6852163&amp;Result=3","6852163")</f>
        <v>0</v>
      </c>
      <c r="B13590" t="s">
        <v>595</v>
      </c>
      <c r="C13590" t="s">
        <v>16116</v>
      </c>
      <c r="D13590" t="s">
        <v>16195</v>
      </c>
      <c r="E13590" t="s">
        <v>28130</v>
      </c>
      <c r="F13590" t="s">
        <v>28198</v>
      </c>
      <c r="G13590" t="s">
        <v>28207</v>
      </c>
      <c r="H13590" t="s">
        <v>28217</v>
      </c>
      <c r="I13590" t="s">
        <v>28238</v>
      </c>
      <c r="J13590" t="s">
        <v>36636</v>
      </c>
      <c r="K13590" t="s">
        <v>36707</v>
      </c>
      <c r="M13590" t="s">
        <v>37584</v>
      </c>
      <c r="N13590" t="s">
        <v>40436</v>
      </c>
      <c r="O13590" t="s">
        <v>40437</v>
      </c>
      <c r="Q13590">
        <v>8</v>
      </c>
      <c r="R13590" t="s">
        <v>40537</v>
      </c>
      <c r="S13590" t="s">
        <v>41030</v>
      </c>
      <c r="T13590" t="s">
        <v>42116</v>
      </c>
      <c r="U13590" t="s">
        <v>53712</v>
      </c>
      <c r="W13590" t="s">
        <v>37584</v>
      </c>
      <c r="X13590" t="s">
        <v>55565</v>
      </c>
    </row>
    <row r="13591" spans="1:24">
      <c r="A13591">
        <f>HYPERLINK("https://www.philgeps.gov.ph/GEPSNONPILOT/Tender/SplashBidNoticeAbstractUI.aspx?menuIndex=3&amp;refID=6862314&amp;Result=3","6862314")</f>
        <v>0</v>
      </c>
      <c r="B13591" t="s">
        <v>2639</v>
      </c>
      <c r="C13591" t="s">
        <v>16117</v>
      </c>
      <c r="D13591" t="s">
        <v>16210</v>
      </c>
      <c r="E13591" t="s">
        <v>28131</v>
      </c>
      <c r="F13591" t="s">
        <v>28198</v>
      </c>
      <c r="G13591" t="s">
        <v>28205</v>
      </c>
      <c r="H13591" t="s">
        <v>28214</v>
      </c>
      <c r="I13591" t="s">
        <v>3797</v>
      </c>
      <c r="J13591" t="s">
        <v>36637</v>
      </c>
      <c r="K13591" t="s">
        <v>36710</v>
      </c>
      <c r="M13591" t="s">
        <v>39864</v>
      </c>
      <c r="N13591" t="s">
        <v>40436</v>
      </c>
      <c r="O13591" t="s">
        <v>40437</v>
      </c>
      <c r="Q13591">
        <v>113</v>
      </c>
      <c r="R13591" t="s">
        <v>40533</v>
      </c>
      <c r="S13591" t="s">
        <v>42037</v>
      </c>
      <c r="T13591" t="s">
        <v>42165</v>
      </c>
      <c r="U13591" t="s">
        <v>53713</v>
      </c>
      <c r="W13591" t="s">
        <v>39864</v>
      </c>
      <c r="X13591" t="s">
        <v>55552</v>
      </c>
    </row>
    <row r="13592" spans="1:24">
      <c r="A13592">
        <f>HYPERLINK("https://www.philgeps.gov.ph/GEPSNONPILOT/Tender/SplashBidNoticeAbstractUI.aspx?menuIndex=3&amp;refID=6862335&amp;Result=3","6862335")</f>
        <v>0</v>
      </c>
      <c r="B13592" t="s">
        <v>2639</v>
      </c>
      <c r="C13592" t="s">
        <v>16118</v>
      </c>
      <c r="D13592" t="s">
        <v>16210</v>
      </c>
      <c r="E13592" t="s">
        <v>28132</v>
      </c>
      <c r="F13592" t="s">
        <v>28198</v>
      </c>
      <c r="G13592" t="s">
        <v>28205</v>
      </c>
      <c r="H13592" t="s">
        <v>28214</v>
      </c>
      <c r="I13592" t="s">
        <v>3797</v>
      </c>
      <c r="J13592" t="s">
        <v>36638</v>
      </c>
      <c r="K13592" t="s">
        <v>36690</v>
      </c>
      <c r="M13592" t="s">
        <v>39864</v>
      </c>
      <c r="N13592" t="s">
        <v>40436</v>
      </c>
      <c r="O13592" t="s">
        <v>40437</v>
      </c>
      <c r="Q13592">
        <v>113</v>
      </c>
      <c r="R13592" t="s">
        <v>40533</v>
      </c>
      <c r="S13592" t="s">
        <v>42038</v>
      </c>
      <c r="T13592" t="s">
        <v>42165</v>
      </c>
      <c r="U13592" t="s">
        <v>53714</v>
      </c>
      <c r="W13592" t="s">
        <v>39864</v>
      </c>
      <c r="X13592" t="s">
        <v>55552</v>
      </c>
    </row>
    <row r="13593" spans="1:24">
      <c r="A13593">
        <f>HYPERLINK("https://www.philgeps.gov.ph/GEPSNONPILOT/Tender/SplashBidNoticeAbstractUI.aspx?menuIndex=3&amp;refID=6862235&amp;Result=3","6862235")</f>
        <v>0</v>
      </c>
      <c r="B13593" t="s">
        <v>2639</v>
      </c>
      <c r="C13593" t="s">
        <v>16119</v>
      </c>
      <c r="D13593" t="s">
        <v>16210</v>
      </c>
      <c r="E13593" t="s">
        <v>28133</v>
      </c>
      <c r="F13593" t="s">
        <v>28198</v>
      </c>
      <c r="G13593" t="s">
        <v>28205</v>
      </c>
      <c r="H13593" t="s">
        <v>28214</v>
      </c>
      <c r="I13593" t="s">
        <v>3797</v>
      </c>
      <c r="J13593" t="s">
        <v>36639</v>
      </c>
      <c r="K13593" t="s">
        <v>36694</v>
      </c>
      <c r="M13593" t="s">
        <v>39864</v>
      </c>
      <c r="N13593" t="s">
        <v>40436</v>
      </c>
      <c r="O13593" t="s">
        <v>40437</v>
      </c>
      <c r="Q13593">
        <v>84</v>
      </c>
      <c r="R13593" t="s">
        <v>40533</v>
      </c>
      <c r="S13593" t="s">
        <v>42039</v>
      </c>
      <c r="T13593" t="s">
        <v>42165</v>
      </c>
      <c r="U13593" t="s">
        <v>53715</v>
      </c>
      <c r="W13593" t="s">
        <v>39864</v>
      </c>
      <c r="X13593" t="s">
        <v>55552</v>
      </c>
    </row>
    <row r="13594" spans="1:24">
      <c r="A13594">
        <f>HYPERLINK("https://www.philgeps.gov.ph/GEPSNONPILOT/Tender/SplashBidNoticeAbstractUI.aspx?menuIndex=3&amp;refID=6861079&amp;Result=3","6861079")</f>
        <v>0</v>
      </c>
      <c r="B13594" t="s">
        <v>1303</v>
      </c>
      <c r="C13594" t="s">
        <v>16120</v>
      </c>
      <c r="D13594" t="s">
        <v>16200</v>
      </c>
      <c r="E13594" t="s">
        <v>28134</v>
      </c>
      <c r="F13594" t="s">
        <v>28198</v>
      </c>
      <c r="G13594" t="s">
        <v>28205</v>
      </c>
      <c r="H13594" t="s">
        <v>28214</v>
      </c>
      <c r="I13594" t="s">
        <v>3797</v>
      </c>
      <c r="J13594" t="s">
        <v>36640</v>
      </c>
      <c r="K13594" t="s">
        <v>36776</v>
      </c>
      <c r="M13594" t="s">
        <v>38357</v>
      </c>
      <c r="N13594" t="s">
        <v>40436</v>
      </c>
      <c r="O13594" t="s">
        <v>40437</v>
      </c>
      <c r="Q13594">
        <v>5</v>
      </c>
      <c r="R13594" t="s">
        <v>40533</v>
      </c>
      <c r="S13594" t="s">
        <v>42040</v>
      </c>
      <c r="T13594" t="s">
        <v>42273</v>
      </c>
      <c r="U13594" t="s">
        <v>53716</v>
      </c>
      <c r="V13594" t="s">
        <v>55416</v>
      </c>
      <c r="W13594" t="s">
        <v>38357</v>
      </c>
      <c r="X13594" t="s">
        <v>55552</v>
      </c>
    </row>
    <row r="13595" spans="1:24">
      <c r="A13595">
        <f>HYPERLINK("https://www.philgeps.gov.ph/GEPSNONPILOT/Tender/SplashBidNoticeAbstractUI.aspx?menuIndex=3&amp;refID=6862248&amp;Result=3","6862248")</f>
        <v>0</v>
      </c>
      <c r="B13595" t="s">
        <v>2639</v>
      </c>
      <c r="C13595" t="s">
        <v>16121</v>
      </c>
      <c r="D13595" t="s">
        <v>16210</v>
      </c>
      <c r="E13595" t="s">
        <v>28135</v>
      </c>
      <c r="F13595" t="s">
        <v>28198</v>
      </c>
      <c r="G13595" t="s">
        <v>28205</v>
      </c>
      <c r="H13595" t="s">
        <v>28214</v>
      </c>
      <c r="I13595" t="s">
        <v>3797</v>
      </c>
      <c r="J13595" t="s">
        <v>36641</v>
      </c>
      <c r="K13595" t="s">
        <v>36692</v>
      </c>
      <c r="M13595" t="s">
        <v>39864</v>
      </c>
      <c r="N13595" t="s">
        <v>40436</v>
      </c>
      <c r="O13595" t="s">
        <v>40437</v>
      </c>
      <c r="Q13595">
        <v>109</v>
      </c>
      <c r="R13595" t="s">
        <v>40533</v>
      </c>
      <c r="S13595" t="s">
        <v>42041</v>
      </c>
      <c r="T13595" t="s">
        <v>42165</v>
      </c>
      <c r="U13595" t="s">
        <v>53717</v>
      </c>
      <c r="W13595" t="s">
        <v>39864</v>
      </c>
      <c r="X13595" t="s">
        <v>55552</v>
      </c>
    </row>
    <row r="13596" spans="1:24">
      <c r="A13596">
        <f>HYPERLINK("https://www.philgeps.gov.ph/GEPSNONPILOT/Tender/SplashBidNoticeAbstractUI.aspx?menuIndex=3&amp;refID=6786896&amp;Result=3","6786896")</f>
        <v>0</v>
      </c>
      <c r="B13596" t="s">
        <v>2452</v>
      </c>
      <c r="C13596" t="s">
        <v>16122</v>
      </c>
      <c r="D13596" t="s">
        <v>16264</v>
      </c>
      <c r="E13596" t="s">
        <v>28136</v>
      </c>
      <c r="F13596" t="s">
        <v>28198</v>
      </c>
      <c r="G13596" t="s">
        <v>28205</v>
      </c>
      <c r="H13596" t="s">
        <v>28214</v>
      </c>
      <c r="I13596" t="s">
        <v>3797</v>
      </c>
      <c r="J13596" t="s">
        <v>36642</v>
      </c>
      <c r="K13596" t="s">
        <v>36826</v>
      </c>
      <c r="M13596" t="s">
        <v>40369</v>
      </c>
      <c r="N13596" t="s">
        <v>40436</v>
      </c>
      <c r="O13596" t="s">
        <v>40437</v>
      </c>
      <c r="Q13596">
        <v>2</v>
      </c>
      <c r="R13596" t="s">
        <v>40538</v>
      </c>
      <c r="S13596" t="s">
        <v>42042</v>
      </c>
      <c r="T13596" t="s">
        <v>42627</v>
      </c>
      <c r="U13596" t="s">
        <v>53718</v>
      </c>
      <c r="V13596" t="s">
        <v>55417</v>
      </c>
      <c r="W13596" t="s">
        <v>40369</v>
      </c>
      <c r="X13596" t="s">
        <v>55566</v>
      </c>
    </row>
    <row r="13597" spans="1:24">
      <c r="A13597">
        <f>HYPERLINK("https://www.philgeps.gov.ph/GEPSNONPILOT/Tender/SplashBidNoticeAbstractUI.aspx?menuIndex=3&amp;refID=6862443&amp;Result=3","6862443")</f>
        <v>0</v>
      </c>
      <c r="B13597" t="s">
        <v>2639</v>
      </c>
      <c r="C13597" t="s">
        <v>16123</v>
      </c>
      <c r="D13597" t="s">
        <v>16210</v>
      </c>
      <c r="E13597" t="s">
        <v>28137</v>
      </c>
      <c r="F13597" t="s">
        <v>28198</v>
      </c>
      <c r="G13597" t="s">
        <v>28205</v>
      </c>
      <c r="H13597" t="s">
        <v>28214</v>
      </c>
      <c r="I13597" t="s">
        <v>3797</v>
      </c>
      <c r="J13597" t="s">
        <v>36643</v>
      </c>
      <c r="K13597" t="s">
        <v>36710</v>
      </c>
      <c r="M13597" t="s">
        <v>39864</v>
      </c>
      <c r="N13597" t="s">
        <v>40436</v>
      </c>
      <c r="O13597" t="s">
        <v>40437</v>
      </c>
      <c r="Q13597">
        <v>60</v>
      </c>
      <c r="R13597" t="s">
        <v>40533</v>
      </c>
      <c r="S13597" t="s">
        <v>42043</v>
      </c>
      <c r="T13597" t="s">
        <v>42390</v>
      </c>
      <c r="U13597" t="s">
        <v>53719</v>
      </c>
      <c r="W13597" t="s">
        <v>39864</v>
      </c>
      <c r="X13597" t="s">
        <v>55552</v>
      </c>
    </row>
    <row r="13598" spans="1:24">
      <c r="A13598">
        <f>HYPERLINK("https://www.philgeps.gov.ph/GEPSNONPILOT/Tender/SplashBidNoticeAbstractUI.aspx?menuIndex=3&amp;refID=6876414&amp;Result=3","6876414")</f>
        <v>0</v>
      </c>
      <c r="B13598" t="s">
        <v>1021</v>
      </c>
      <c r="C13598" t="s">
        <v>16124</v>
      </c>
      <c r="D13598" t="s">
        <v>16204</v>
      </c>
      <c r="E13598" t="s">
        <v>28138</v>
      </c>
      <c r="F13598" t="s">
        <v>28198</v>
      </c>
      <c r="G13598" t="s">
        <v>28205</v>
      </c>
      <c r="H13598" t="s">
        <v>28214</v>
      </c>
      <c r="I13598" t="s">
        <v>3797</v>
      </c>
      <c r="J13598" t="s">
        <v>34433</v>
      </c>
      <c r="K13598" t="s">
        <v>36761</v>
      </c>
      <c r="M13598" t="s">
        <v>40431</v>
      </c>
      <c r="N13598" t="s">
        <v>40436</v>
      </c>
      <c r="O13598" t="s">
        <v>40437</v>
      </c>
      <c r="Q13598">
        <v>16</v>
      </c>
      <c r="R13598" t="s">
        <v>40532</v>
      </c>
      <c r="S13598" t="s">
        <v>41040</v>
      </c>
      <c r="T13598" t="s">
        <v>42188</v>
      </c>
      <c r="U13598" t="s">
        <v>50334</v>
      </c>
      <c r="V13598" t="s">
        <v>54048</v>
      </c>
      <c r="W13598" t="s">
        <v>40431</v>
      </c>
      <c r="X13598" t="s">
        <v>40535</v>
      </c>
    </row>
    <row r="13599" spans="1:24">
      <c r="A13599">
        <f>HYPERLINK("https://www.philgeps.gov.ph/GEPSNONPILOT/Tender/SplashBidNoticeAbstractUI.aspx?menuIndex=3&amp;refID=6803401&amp;Result=3","6803401")</f>
        <v>0</v>
      </c>
      <c r="B13599" t="s">
        <v>2260</v>
      </c>
      <c r="C13599" t="s">
        <v>16125</v>
      </c>
      <c r="D13599" t="s">
        <v>16202</v>
      </c>
      <c r="E13599" t="s">
        <v>28139</v>
      </c>
      <c r="F13599" t="s">
        <v>28198</v>
      </c>
      <c r="G13599" t="s">
        <v>28205</v>
      </c>
      <c r="H13599" t="s">
        <v>28214</v>
      </c>
      <c r="I13599" t="s">
        <v>3797</v>
      </c>
      <c r="J13599" t="s">
        <v>34433</v>
      </c>
      <c r="K13599" t="s">
        <v>36990</v>
      </c>
      <c r="M13599" t="s">
        <v>39430</v>
      </c>
      <c r="N13599" t="s">
        <v>40436</v>
      </c>
      <c r="O13599" t="s">
        <v>40437</v>
      </c>
      <c r="Q13599">
        <v>10</v>
      </c>
      <c r="R13599" t="s">
        <v>40539</v>
      </c>
      <c r="S13599" t="s">
        <v>42044</v>
      </c>
      <c r="T13599" t="s">
        <v>42218</v>
      </c>
      <c r="U13599" t="s">
        <v>50991</v>
      </c>
      <c r="W13599" t="s">
        <v>39430</v>
      </c>
      <c r="X13599" t="s">
        <v>55567</v>
      </c>
    </row>
    <row r="13600" spans="1:24">
      <c r="A13600">
        <f>HYPERLINK("https://www.philgeps.gov.ph/GEPSNONPILOT/Tender/SplashBidNoticeAbstractUI.aspx?menuIndex=3&amp;refID=6807769&amp;Result=3","6807769")</f>
        <v>0</v>
      </c>
      <c r="B13600" t="s">
        <v>1112</v>
      </c>
      <c r="C13600" t="s">
        <v>16126</v>
      </c>
      <c r="D13600" t="s">
        <v>16191</v>
      </c>
      <c r="E13600" t="s">
        <v>28140</v>
      </c>
      <c r="F13600" t="s">
        <v>28198</v>
      </c>
      <c r="G13600" t="s">
        <v>28207</v>
      </c>
      <c r="H13600" t="s">
        <v>28215</v>
      </c>
      <c r="I13600" t="s">
        <v>28257</v>
      </c>
      <c r="J13600" t="s">
        <v>36644</v>
      </c>
      <c r="K13600" t="s">
        <v>36707</v>
      </c>
      <c r="M13600" t="s">
        <v>38149</v>
      </c>
      <c r="N13600" t="s">
        <v>40436</v>
      </c>
      <c r="O13600" t="s">
        <v>40437</v>
      </c>
      <c r="Q13600">
        <v>6</v>
      </c>
      <c r="R13600" t="s">
        <v>40540</v>
      </c>
      <c r="S13600" t="s">
        <v>42045</v>
      </c>
      <c r="T13600" t="s">
        <v>42115</v>
      </c>
      <c r="U13600" t="s">
        <v>53720</v>
      </c>
      <c r="V13600" t="s">
        <v>55418</v>
      </c>
      <c r="W13600" t="s">
        <v>38149</v>
      </c>
      <c r="X13600" t="s">
        <v>40545</v>
      </c>
    </row>
    <row r="13601" spans="1:24">
      <c r="A13601">
        <f>HYPERLINK("https://www.philgeps.gov.ph/GEPSNONPILOT/Tender/SplashBidNoticeAbstractUI.aspx?menuIndex=3&amp;refID=6863357&amp;Result=3","6863357")</f>
        <v>0</v>
      </c>
      <c r="B13601" t="s">
        <v>990</v>
      </c>
      <c r="C13601" t="s">
        <v>16127</v>
      </c>
      <c r="D13601" t="s">
        <v>16210</v>
      </c>
      <c r="E13601" t="s">
        <v>28141</v>
      </c>
      <c r="F13601" t="s">
        <v>28198</v>
      </c>
      <c r="G13601" t="s">
        <v>28205</v>
      </c>
      <c r="H13601" t="s">
        <v>28214</v>
      </c>
      <c r="I13601" t="s">
        <v>3797</v>
      </c>
      <c r="J13601" t="s">
        <v>36645</v>
      </c>
      <c r="K13601" t="s">
        <v>36710</v>
      </c>
      <c r="M13601" t="s">
        <v>38017</v>
      </c>
      <c r="N13601" t="s">
        <v>40436</v>
      </c>
      <c r="O13601" t="s">
        <v>40437</v>
      </c>
      <c r="Q13601">
        <v>83</v>
      </c>
      <c r="R13601" t="s">
        <v>40533</v>
      </c>
      <c r="S13601" t="s">
        <v>42046</v>
      </c>
      <c r="T13601" t="s">
        <v>42134</v>
      </c>
      <c r="U13601" t="s">
        <v>53721</v>
      </c>
      <c r="W13601" t="s">
        <v>38017</v>
      </c>
      <c r="X13601" t="s">
        <v>55552</v>
      </c>
    </row>
    <row r="13602" spans="1:24">
      <c r="A13602">
        <f>HYPERLINK("https://www.philgeps.gov.ph/GEPSNONPILOT/Tender/SplashBidNoticeAbstractUI.aspx?menuIndex=3&amp;refID=6820177&amp;Result=3","6820177")</f>
        <v>0</v>
      </c>
      <c r="B13602" t="s">
        <v>1900</v>
      </c>
      <c r="C13602" t="s">
        <v>16128</v>
      </c>
      <c r="E13602" t="s">
        <v>28142</v>
      </c>
      <c r="F13602" t="s">
        <v>28198</v>
      </c>
      <c r="G13602" t="s">
        <v>28205</v>
      </c>
      <c r="H13602" t="s">
        <v>28214</v>
      </c>
      <c r="I13602" t="s">
        <v>3797</v>
      </c>
      <c r="J13602" t="s">
        <v>36646</v>
      </c>
      <c r="K13602" t="s">
        <v>36689</v>
      </c>
      <c r="M13602" t="s">
        <v>40429</v>
      </c>
      <c r="N13602" t="s">
        <v>40436</v>
      </c>
      <c r="O13602" t="s">
        <v>40437</v>
      </c>
      <c r="Q13602">
        <v>7</v>
      </c>
      <c r="R13602" t="s">
        <v>40541</v>
      </c>
      <c r="S13602" t="s">
        <v>41045</v>
      </c>
      <c r="T13602" t="s">
        <v>42133</v>
      </c>
      <c r="U13602" t="s">
        <v>53722</v>
      </c>
      <c r="V13602" t="s">
        <v>55419</v>
      </c>
      <c r="W13602" t="s">
        <v>40429</v>
      </c>
      <c r="X13602" t="s">
        <v>55568</v>
      </c>
    </row>
    <row r="13603" spans="1:24">
      <c r="A13603">
        <f>HYPERLINK("https://www.philgeps.gov.ph/GEPSNONPILOT/Tender/SplashBidNoticeAbstractUI.aspx?menuIndex=3&amp;refID=6862279&amp;Result=3","6862279")</f>
        <v>0</v>
      </c>
      <c r="B13603" t="s">
        <v>2639</v>
      </c>
      <c r="C13603" t="s">
        <v>16129</v>
      </c>
      <c r="D13603" t="s">
        <v>16210</v>
      </c>
      <c r="E13603" t="s">
        <v>28143</v>
      </c>
      <c r="F13603" t="s">
        <v>28198</v>
      </c>
      <c r="G13603" t="s">
        <v>28205</v>
      </c>
      <c r="H13603" t="s">
        <v>28214</v>
      </c>
      <c r="I13603" t="s">
        <v>3797</v>
      </c>
      <c r="J13603" t="s">
        <v>36647</v>
      </c>
      <c r="K13603" t="s">
        <v>36690</v>
      </c>
      <c r="M13603" t="s">
        <v>39864</v>
      </c>
      <c r="N13603" t="s">
        <v>40436</v>
      </c>
      <c r="O13603" t="s">
        <v>40437</v>
      </c>
      <c r="Q13603">
        <v>109</v>
      </c>
      <c r="R13603" t="s">
        <v>40533</v>
      </c>
      <c r="S13603" t="s">
        <v>42047</v>
      </c>
      <c r="T13603" t="s">
        <v>42165</v>
      </c>
      <c r="U13603" t="s">
        <v>53723</v>
      </c>
      <c r="W13603" t="s">
        <v>39864</v>
      </c>
      <c r="X13603" t="s">
        <v>55552</v>
      </c>
    </row>
    <row r="13604" spans="1:24">
      <c r="A13604">
        <f>HYPERLINK("https://www.philgeps.gov.ph/GEPSNONPILOT/Tender/SplashBidNoticeAbstractUI.aspx?menuIndex=3&amp;refID=6855622&amp;Result=3","6855622")</f>
        <v>0</v>
      </c>
      <c r="B13604" t="s">
        <v>2367</v>
      </c>
      <c r="C13604" t="s">
        <v>16130</v>
      </c>
      <c r="D13604" t="s">
        <v>16226</v>
      </c>
      <c r="E13604" t="s">
        <v>26032</v>
      </c>
      <c r="F13604" t="s">
        <v>28198</v>
      </c>
      <c r="G13604" t="s">
        <v>28205</v>
      </c>
      <c r="H13604" t="s">
        <v>28214</v>
      </c>
      <c r="I13604" t="s">
        <v>3797</v>
      </c>
      <c r="J13604" t="s">
        <v>30947</v>
      </c>
      <c r="K13604" t="s">
        <v>36913</v>
      </c>
      <c r="M13604" t="s">
        <v>39549</v>
      </c>
      <c r="N13604" t="s">
        <v>40436</v>
      </c>
      <c r="O13604" t="s">
        <v>40437</v>
      </c>
      <c r="Q13604">
        <v>16</v>
      </c>
      <c r="R13604" t="s">
        <v>40537</v>
      </c>
      <c r="S13604" t="s">
        <v>42048</v>
      </c>
      <c r="T13604" t="s">
        <v>42122</v>
      </c>
      <c r="U13604" t="s">
        <v>53724</v>
      </c>
      <c r="W13604" t="s">
        <v>39549</v>
      </c>
      <c r="X13604" t="s">
        <v>40536</v>
      </c>
    </row>
    <row r="13605" spans="1:24">
      <c r="A13605">
        <f>HYPERLINK("https://www.philgeps.gov.ph/GEPSNONPILOT/Tender/SplashBidNoticeAbstractUI.aspx?menuIndex=3&amp;refID=6814806&amp;Result=3","6814806")</f>
        <v>0</v>
      </c>
      <c r="B13605" t="s">
        <v>847</v>
      </c>
      <c r="C13605" t="s">
        <v>16131</v>
      </c>
      <c r="E13605" t="s">
        <v>28144</v>
      </c>
      <c r="F13605" t="s">
        <v>28201</v>
      </c>
      <c r="G13605" t="s">
        <v>28213</v>
      </c>
      <c r="H13605" t="s">
        <v>28214</v>
      </c>
      <c r="I13605" t="s">
        <v>3797</v>
      </c>
      <c r="J13605" t="s">
        <v>32078</v>
      </c>
      <c r="K13605" t="s">
        <v>36991</v>
      </c>
      <c r="M13605" t="s">
        <v>40215</v>
      </c>
      <c r="N13605" t="s">
        <v>40436</v>
      </c>
      <c r="O13605" t="s">
        <v>40437</v>
      </c>
      <c r="Q13605">
        <v>39</v>
      </c>
      <c r="R13605" t="s">
        <v>40542</v>
      </c>
      <c r="S13605" t="s">
        <v>42049</v>
      </c>
      <c r="T13605" t="s">
        <v>42234</v>
      </c>
      <c r="U13605" t="s">
        <v>53725</v>
      </c>
      <c r="V13605" t="s">
        <v>55153</v>
      </c>
      <c r="W13605" t="s">
        <v>40215</v>
      </c>
      <c r="X13605" t="s">
        <v>55569</v>
      </c>
    </row>
    <row r="13606" spans="1:24">
      <c r="A13606">
        <f>HYPERLINK("https://www.philgeps.gov.ph/GEPSNONPILOT/Tender/SplashBidNoticeAbstractUI.aspx?menuIndex=3&amp;refID=6792259&amp;Result=3","6792259")</f>
        <v>0</v>
      </c>
      <c r="B13606" t="s">
        <v>3086</v>
      </c>
      <c r="C13606" t="s">
        <v>16132</v>
      </c>
      <c r="E13606" t="s">
        <v>28145</v>
      </c>
      <c r="F13606" t="s">
        <v>28198</v>
      </c>
      <c r="G13606" t="s">
        <v>28205</v>
      </c>
      <c r="H13606" t="s">
        <v>28214</v>
      </c>
      <c r="I13606" t="s">
        <v>8870</v>
      </c>
      <c r="J13606" t="s">
        <v>32712</v>
      </c>
      <c r="K13606" t="s">
        <v>36761</v>
      </c>
      <c r="M13606" t="s">
        <v>40432</v>
      </c>
      <c r="N13606" t="s">
        <v>40436</v>
      </c>
      <c r="O13606" t="s">
        <v>40437</v>
      </c>
      <c r="Q13606">
        <v>43</v>
      </c>
      <c r="R13606" t="s">
        <v>40543</v>
      </c>
      <c r="S13606" t="s">
        <v>42050</v>
      </c>
      <c r="T13606" t="s">
        <v>42233</v>
      </c>
      <c r="U13606" t="s">
        <v>53726</v>
      </c>
      <c r="W13606" t="s">
        <v>40432</v>
      </c>
      <c r="X13606" t="s">
        <v>55570</v>
      </c>
    </row>
    <row r="13607" spans="1:24">
      <c r="A13607">
        <f>HYPERLINK("https://www.philgeps.gov.ph/GEPSNONPILOT/Tender/SplashBidNoticeAbstractUI.aspx?menuIndex=3&amp;refID=6822976&amp;Result=3","6822976")</f>
        <v>0</v>
      </c>
      <c r="B13607" t="s">
        <v>2260</v>
      </c>
      <c r="C13607" t="s">
        <v>16133</v>
      </c>
      <c r="D13607" t="s">
        <v>16202</v>
      </c>
      <c r="E13607" t="s">
        <v>28146</v>
      </c>
      <c r="F13607" t="s">
        <v>28198</v>
      </c>
      <c r="G13607" t="s">
        <v>28205</v>
      </c>
      <c r="H13607" t="s">
        <v>28214</v>
      </c>
      <c r="I13607" t="s">
        <v>3797</v>
      </c>
      <c r="J13607" t="s">
        <v>36648</v>
      </c>
      <c r="K13607" t="s">
        <v>36715</v>
      </c>
      <c r="M13607" t="s">
        <v>39430</v>
      </c>
      <c r="N13607" t="s">
        <v>40436</v>
      </c>
      <c r="O13607" t="s">
        <v>40437</v>
      </c>
      <c r="Q13607">
        <v>15</v>
      </c>
      <c r="R13607" t="s">
        <v>40544</v>
      </c>
      <c r="S13607" t="s">
        <v>42051</v>
      </c>
      <c r="T13607" t="s">
        <v>42218</v>
      </c>
      <c r="U13607" t="s">
        <v>50991</v>
      </c>
      <c r="W13607" t="s">
        <v>39430</v>
      </c>
      <c r="X13607" t="s">
        <v>40541</v>
      </c>
    </row>
    <row r="13608" spans="1:24">
      <c r="A13608">
        <f>HYPERLINK("https://www.philgeps.gov.ph/GEPSNONPILOT/Tender/SplashBidNoticeAbstractUI.aspx?menuIndex=3&amp;refID=6806999&amp;Result=3","6806999")</f>
        <v>0</v>
      </c>
      <c r="B13608" t="s">
        <v>978</v>
      </c>
      <c r="C13608" t="s">
        <v>16134</v>
      </c>
      <c r="D13608" t="s">
        <v>16247</v>
      </c>
      <c r="E13608" t="s">
        <v>28147</v>
      </c>
      <c r="F13608" t="s">
        <v>28198</v>
      </c>
      <c r="G13608" t="s">
        <v>28208</v>
      </c>
      <c r="H13608" t="s">
        <v>28214</v>
      </c>
      <c r="I13608" t="s">
        <v>3797</v>
      </c>
      <c r="J13608" t="s">
        <v>36649</v>
      </c>
      <c r="K13608" t="s">
        <v>36690</v>
      </c>
      <c r="M13608" t="s">
        <v>38004</v>
      </c>
      <c r="N13608" t="s">
        <v>40436</v>
      </c>
      <c r="O13608" t="s">
        <v>40437</v>
      </c>
      <c r="Q13608">
        <v>84</v>
      </c>
      <c r="R13608" t="s">
        <v>40545</v>
      </c>
      <c r="S13608" t="s">
        <v>42052</v>
      </c>
      <c r="T13608" t="s">
        <v>42233</v>
      </c>
      <c r="U13608" t="s">
        <v>53727</v>
      </c>
      <c r="V13608" t="s">
        <v>55420</v>
      </c>
      <c r="W13608" t="s">
        <v>38004</v>
      </c>
      <c r="X13608" t="s">
        <v>55571</v>
      </c>
    </row>
    <row r="13609" spans="1:24">
      <c r="A13609">
        <f>HYPERLINK("https://www.philgeps.gov.ph/GEPSNONPILOT/Tender/SplashBidNoticeAbstractUI.aspx?menuIndex=3&amp;refID=6578822&amp;Result=3","6578822")</f>
        <v>0</v>
      </c>
      <c r="B13609" t="s">
        <v>3087</v>
      </c>
      <c r="C13609" t="s">
        <v>16135</v>
      </c>
      <c r="D13609" t="s">
        <v>16208</v>
      </c>
      <c r="E13609" t="s">
        <v>28148</v>
      </c>
      <c r="F13609" t="s">
        <v>28198</v>
      </c>
      <c r="G13609" t="s">
        <v>28205</v>
      </c>
      <c r="H13609" t="s">
        <v>28214</v>
      </c>
      <c r="I13609" t="s">
        <v>3797</v>
      </c>
      <c r="J13609" t="s">
        <v>36650</v>
      </c>
      <c r="K13609" t="s">
        <v>36742</v>
      </c>
      <c r="M13609" t="s">
        <v>38062</v>
      </c>
      <c r="N13609" t="s">
        <v>40436</v>
      </c>
      <c r="O13609" t="s">
        <v>40437</v>
      </c>
      <c r="Q13609">
        <v>13</v>
      </c>
      <c r="R13609" t="s">
        <v>40546</v>
      </c>
      <c r="S13609" t="s">
        <v>40982</v>
      </c>
      <c r="T13609" t="s">
        <v>42233</v>
      </c>
      <c r="U13609" t="s">
        <v>53728</v>
      </c>
      <c r="W13609" t="s">
        <v>38062</v>
      </c>
      <c r="X13609" t="s">
        <v>55572</v>
      </c>
    </row>
    <row r="13610" spans="1:24">
      <c r="A13610">
        <f>HYPERLINK("https://www.philgeps.gov.ph/GEPSNONPILOT/Tender/SplashBidNoticeAbstractUI.aspx?menuIndex=3&amp;refID=6469481&amp;Result=3","6469481")</f>
        <v>0</v>
      </c>
      <c r="B13610" t="s">
        <v>1112</v>
      </c>
      <c r="C13610" t="s">
        <v>16136</v>
      </c>
      <c r="D13610" t="s">
        <v>16191</v>
      </c>
      <c r="E13610" t="s">
        <v>28149</v>
      </c>
      <c r="F13610" t="s">
        <v>28198</v>
      </c>
      <c r="G13610" t="s">
        <v>28206</v>
      </c>
      <c r="H13610" t="s">
        <v>28215</v>
      </c>
      <c r="I13610" t="s">
        <v>28258</v>
      </c>
      <c r="J13610" t="s">
        <v>32645</v>
      </c>
      <c r="K13610" t="s">
        <v>36707</v>
      </c>
      <c r="M13610" t="s">
        <v>38149</v>
      </c>
      <c r="N13610" t="s">
        <v>40436</v>
      </c>
      <c r="O13610" t="s">
        <v>40437</v>
      </c>
      <c r="Q13610">
        <v>4</v>
      </c>
      <c r="R13610" t="s">
        <v>40547</v>
      </c>
      <c r="S13610" t="s">
        <v>41992</v>
      </c>
      <c r="T13610" t="s">
        <v>42115</v>
      </c>
      <c r="U13610" t="s">
        <v>53729</v>
      </c>
      <c r="V13610" t="s">
        <v>55418</v>
      </c>
      <c r="W13610" t="s">
        <v>38149</v>
      </c>
      <c r="X13610" t="s">
        <v>55573</v>
      </c>
    </row>
    <row r="13611" spans="1:24">
      <c r="A13611">
        <f>HYPERLINK("https://www.philgeps.gov.ph/GEPSNONPILOT/Tender/SplashBidNoticeAbstractUI.aspx?menuIndex=3&amp;refID=6814291&amp;Result=3","6814291")</f>
        <v>0</v>
      </c>
      <c r="B13611" t="s">
        <v>1567</v>
      </c>
      <c r="C13611" t="s">
        <v>16137</v>
      </c>
      <c r="D13611" t="s">
        <v>16210</v>
      </c>
      <c r="E13611" t="s">
        <v>28150</v>
      </c>
      <c r="F13611" t="s">
        <v>28198</v>
      </c>
      <c r="G13611" t="s">
        <v>28206</v>
      </c>
      <c r="H13611" t="s">
        <v>28215</v>
      </c>
      <c r="I13611" t="s">
        <v>28227</v>
      </c>
      <c r="J13611" t="s">
        <v>36651</v>
      </c>
      <c r="K13611" t="s">
        <v>36688</v>
      </c>
      <c r="M13611" t="s">
        <v>38650</v>
      </c>
      <c r="N13611" t="s">
        <v>40436</v>
      </c>
      <c r="O13611" t="s">
        <v>40437</v>
      </c>
      <c r="Q13611">
        <v>4</v>
      </c>
      <c r="R13611" t="s">
        <v>40542</v>
      </c>
      <c r="S13611" t="s">
        <v>41719</v>
      </c>
      <c r="T13611" t="s">
        <v>42169</v>
      </c>
      <c r="U13611" t="s">
        <v>53730</v>
      </c>
      <c r="W13611" t="s">
        <v>38650</v>
      </c>
      <c r="X13611" t="s">
        <v>55569</v>
      </c>
    </row>
    <row r="13612" spans="1:24">
      <c r="A13612">
        <f>HYPERLINK("https://www.philgeps.gov.ph/GEPSNONPILOT/Tender/SplashBidNoticeAbstractUI.aspx?menuIndex=3&amp;refID=6820032&amp;Result=3","6820032")</f>
        <v>0</v>
      </c>
      <c r="B13612" t="s">
        <v>1900</v>
      </c>
      <c r="C13612" t="s">
        <v>16138</v>
      </c>
      <c r="E13612" t="s">
        <v>28151</v>
      </c>
      <c r="F13612" t="s">
        <v>28198</v>
      </c>
      <c r="G13612" t="s">
        <v>28205</v>
      </c>
      <c r="H13612" t="s">
        <v>28214</v>
      </c>
      <c r="I13612" t="s">
        <v>3797</v>
      </c>
      <c r="J13612" t="s">
        <v>36652</v>
      </c>
      <c r="K13612" t="s">
        <v>36689</v>
      </c>
      <c r="M13612" t="s">
        <v>40429</v>
      </c>
      <c r="N13612" t="s">
        <v>40436</v>
      </c>
      <c r="O13612" t="s">
        <v>40437</v>
      </c>
      <c r="Q13612">
        <v>7</v>
      </c>
      <c r="R13612" t="s">
        <v>40541</v>
      </c>
      <c r="S13612" t="s">
        <v>42053</v>
      </c>
      <c r="T13612" t="s">
        <v>42133</v>
      </c>
      <c r="U13612" t="s">
        <v>53731</v>
      </c>
      <c r="V13612" t="s">
        <v>55421</v>
      </c>
      <c r="W13612" t="s">
        <v>40429</v>
      </c>
      <c r="X13612" t="s">
        <v>55568</v>
      </c>
    </row>
    <row r="13613" spans="1:24">
      <c r="A13613">
        <f>HYPERLINK("https://www.philgeps.gov.ph/GEPSNONPILOT/Tender/SplashBidNoticeAbstractUI.aspx?menuIndex=3&amp;refID=6469475&amp;Result=3","6469475")</f>
        <v>0</v>
      </c>
      <c r="B13613" t="s">
        <v>1112</v>
      </c>
      <c r="C13613" t="s">
        <v>16139</v>
      </c>
      <c r="D13613" t="s">
        <v>16191</v>
      </c>
      <c r="E13613" t="s">
        <v>28152</v>
      </c>
      <c r="F13613" t="s">
        <v>28198</v>
      </c>
      <c r="G13613" t="s">
        <v>28206</v>
      </c>
      <c r="H13613" t="s">
        <v>28215</v>
      </c>
      <c r="I13613" t="s">
        <v>28275</v>
      </c>
      <c r="J13613" t="s">
        <v>36653</v>
      </c>
      <c r="K13613" t="s">
        <v>36707</v>
      </c>
      <c r="M13613" t="s">
        <v>38149</v>
      </c>
      <c r="N13613" t="s">
        <v>40436</v>
      </c>
      <c r="O13613" t="s">
        <v>40437</v>
      </c>
      <c r="Q13613">
        <v>5</v>
      </c>
      <c r="R13613" t="s">
        <v>40547</v>
      </c>
      <c r="S13613" t="s">
        <v>41980</v>
      </c>
      <c r="T13613" t="s">
        <v>42115</v>
      </c>
      <c r="U13613" t="s">
        <v>53732</v>
      </c>
      <c r="V13613" t="s">
        <v>55418</v>
      </c>
      <c r="W13613" t="s">
        <v>38149</v>
      </c>
      <c r="X13613" t="s">
        <v>55573</v>
      </c>
    </row>
    <row r="13614" spans="1:24">
      <c r="A13614">
        <f>HYPERLINK("https://www.philgeps.gov.ph/GEPSNONPILOT/Tender/SplashBidNoticeAbstractUI.aspx?menuIndex=3&amp;refID=6472567&amp;Result=3","6472567")</f>
        <v>0</v>
      </c>
      <c r="B13614" t="s">
        <v>1112</v>
      </c>
      <c r="C13614" t="s">
        <v>16140</v>
      </c>
      <c r="D13614" t="s">
        <v>16191</v>
      </c>
      <c r="E13614" t="s">
        <v>28153</v>
      </c>
      <c r="F13614" t="s">
        <v>28198</v>
      </c>
      <c r="G13614" t="s">
        <v>28206</v>
      </c>
      <c r="H13614" t="s">
        <v>28215</v>
      </c>
      <c r="I13614" t="s">
        <v>28221</v>
      </c>
      <c r="J13614" t="s">
        <v>36654</v>
      </c>
      <c r="K13614" t="s">
        <v>36707</v>
      </c>
      <c r="M13614" t="s">
        <v>38149</v>
      </c>
      <c r="N13614" t="s">
        <v>40436</v>
      </c>
      <c r="O13614" t="s">
        <v>40437</v>
      </c>
      <c r="Q13614">
        <v>3</v>
      </c>
      <c r="R13614" t="s">
        <v>40548</v>
      </c>
      <c r="S13614" t="s">
        <v>41993</v>
      </c>
      <c r="T13614" t="s">
        <v>42115</v>
      </c>
      <c r="U13614" t="s">
        <v>53733</v>
      </c>
      <c r="V13614" t="s">
        <v>55418</v>
      </c>
      <c r="W13614" t="s">
        <v>38149</v>
      </c>
      <c r="X13614" t="s">
        <v>40547</v>
      </c>
    </row>
    <row r="13615" spans="1:24">
      <c r="A13615">
        <f>HYPERLINK("https://www.philgeps.gov.ph/GEPSNONPILOT/Tender/SplashBidNoticeAbstractUI.aspx?menuIndex=3&amp;refID=6598060&amp;Result=3","6598060")</f>
        <v>0</v>
      </c>
      <c r="B13615" t="s">
        <v>2603</v>
      </c>
      <c r="C13615" t="s">
        <v>16141</v>
      </c>
      <c r="D13615" t="s">
        <v>16194</v>
      </c>
      <c r="E13615" t="s">
        <v>28154</v>
      </c>
      <c r="F13615" t="s">
        <v>28198</v>
      </c>
      <c r="G13615" t="s">
        <v>28205</v>
      </c>
      <c r="H13615" t="s">
        <v>28214</v>
      </c>
      <c r="I13615" t="s">
        <v>3797</v>
      </c>
      <c r="J13615" t="s">
        <v>36655</v>
      </c>
      <c r="K13615" t="s">
        <v>36690</v>
      </c>
      <c r="M13615" t="s">
        <v>39821</v>
      </c>
      <c r="N13615" t="s">
        <v>40436</v>
      </c>
      <c r="O13615" t="s">
        <v>40437</v>
      </c>
      <c r="Q13615">
        <v>36</v>
      </c>
      <c r="R13615" t="s">
        <v>40549</v>
      </c>
      <c r="S13615" t="s">
        <v>42054</v>
      </c>
      <c r="T13615" t="s">
        <v>42233</v>
      </c>
      <c r="U13615" t="s">
        <v>53734</v>
      </c>
      <c r="W13615" t="s">
        <v>55521</v>
      </c>
      <c r="X13615" t="s">
        <v>55574</v>
      </c>
    </row>
    <row r="13616" spans="1:24">
      <c r="A13616">
        <f>HYPERLINK("https://www.philgeps.gov.ph/GEPSNONPILOT/Tender/SplashBidNoticeAbstractUI.aspx?menuIndex=3&amp;refID=6526471&amp;Result=3","6526471")</f>
        <v>0</v>
      </c>
      <c r="B13616" t="s">
        <v>1112</v>
      </c>
      <c r="C13616" t="s">
        <v>16142</v>
      </c>
      <c r="D13616" t="s">
        <v>16191</v>
      </c>
      <c r="E13616" t="s">
        <v>28155</v>
      </c>
      <c r="F13616" t="s">
        <v>28198</v>
      </c>
      <c r="G13616" t="s">
        <v>28206</v>
      </c>
      <c r="H13616" t="s">
        <v>28215</v>
      </c>
      <c r="I13616" t="s">
        <v>28234</v>
      </c>
      <c r="J13616" t="s">
        <v>36656</v>
      </c>
      <c r="K13616" t="s">
        <v>36707</v>
      </c>
      <c r="M13616" t="s">
        <v>38149</v>
      </c>
      <c r="N13616" t="s">
        <v>40436</v>
      </c>
      <c r="O13616" t="s">
        <v>40437</v>
      </c>
      <c r="Q13616">
        <v>3</v>
      </c>
      <c r="R13616" t="s">
        <v>40550</v>
      </c>
      <c r="S13616" t="s">
        <v>42055</v>
      </c>
      <c r="T13616" t="s">
        <v>42115</v>
      </c>
      <c r="U13616" t="s">
        <v>53735</v>
      </c>
      <c r="V13616" t="s">
        <v>55418</v>
      </c>
      <c r="W13616" t="s">
        <v>38149</v>
      </c>
      <c r="X13616" t="s">
        <v>55575</v>
      </c>
    </row>
    <row r="13617" spans="1:24">
      <c r="A13617">
        <f>HYPERLINK("https://www.philgeps.gov.ph/GEPSNONPILOT/Tender/SplashBidNoticeAbstractUI.aspx?menuIndex=3&amp;refID=6820132&amp;Result=3","6820132")</f>
        <v>0</v>
      </c>
      <c r="B13617" t="s">
        <v>1900</v>
      </c>
      <c r="C13617" t="s">
        <v>16143</v>
      </c>
      <c r="E13617" t="s">
        <v>28156</v>
      </c>
      <c r="F13617" t="s">
        <v>28198</v>
      </c>
      <c r="G13617" t="s">
        <v>28205</v>
      </c>
      <c r="H13617" t="s">
        <v>28214</v>
      </c>
      <c r="I13617" t="s">
        <v>3797</v>
      </c>
      <c r="J13617" t="s">
        <v>36652</v>
      </c>
      <c r="K13617" t="s">
        <v>36689</v>
      </c>
      <c r="M13617" t="s">
        <v>40429</v>
      </c>
      <c r="N13617" t="s">
        <v>40436</v>
      </c>
      <c r="O13617" t="s">
        <v>40437</v>
      </c>
      <c r="Q13617">
        <v>6</v>
      </c>
      <c r="R13617" t="s">
        <v>40541</v>
      </c>
      <c r="S13617" t="s">
        <v>42056</v>
      </c>
      <c r="T13617" t="s">
        <v>42133</v>
      </c>
      <c r="U13617" t="s">
        <v>53736</v>
      </c>
      <c r="V13617" t="s">
        <v>55422</v>
      </c>
      <c r="W13617" t="s">
        <v>40429</v>
      </c>
      <c r="X13617" t="s">
        <v>55568</v>
      </c>
    </row>
    <row r="13618" spans="1:24">
      <c r="A13618">
        <f>HYPERLINK("https://www.philgeps.gov.ph/GEPSNONPILOT/Tender/SplashBidNoticeAbstractUI.aspx?menuIndex=3&amp;refID=6741108&amp;Result=3","6741108")</f>
        <v>0</v>
      </c>
      <c r="B13618" t="s">
        <v>1112</v>
      </c>
      <c r="C13618" t="s">
        <v>16144</v>
      </c>
      <c r="D13618" t="s">
        <v>16191</v>
      </c>
      <c r="E13618" t="s">
        <v>28157</v>
      </c>
      <c r="F13618" t="s">
        <v>28198</v>
      </c>
      <c r="G13618" t="s">
        <v>28207</v>
      </c>
      <c r="H13618" t="s">
        <v>28215</v>
      </c>
      <c r="I13618" t="s">
        <v>28259</v>
      </c>
      <c r="J13618" t="s">
        <v>36657</v>
      </c>
      <c r="K13618" t="s">
        <v>36707</v>
      </c>
      <c r="M13618" t="s">
        <v>38149</v>
      </c>
      <c r="N13618" t="s">
        <v>40436</v>
      </c>
      <c r="O13618" t="s">
        <v>40437</v>
      </c>
      <c r="Q13618">
        <v>1</v>
      </c>
      <c r="R13618" t="s">
        <v>40551</v>
      </c>
      <c r="S13618" t="s">
        <v>42057</v>
      </c>
      <c r="T13618" t="s">
        <v>42115</v>
      </c>
      <c r="U13618" t="s">
        <v>53737</v>
      </c>
      <c r="V13618" t="s">
        <v>55418</v>
      </c>
      <c r="W13618" t="s">
        <v>38149</v>
      </c>
      <c r="X13618" t="s">
        <v>55576</v>
      </c>
    </row>
    <row r="13619" spans="1:24">
      <c r="A13619">
        <f>HYPERLINK("https://www.philgeps.gov.ph/GEPSNONPILOT/Tender/SplashBidNoticeAbstractUI.aspx?menuIndex=3&amp;refID=6482283&amp;Result=3","6482283")</f>
        <v>0</v>
      </c>
      <c r="B13619" t="s">
        <v>1112</v>
      </c>
      <c r="C13619" t="s">
        <v>16145</v>
      </c>
      <c r="D13619" t="s">
        <v>16191</v>
      </c>
      <c r="E13619" t="s">
        <v>28158</v>
      </c>
      <c r="F13619" t="s">
        <v>28198</v>
      </c>
      <c r="G13619" t="s">
        <v>28206</v>
      </c>
      <c r="H13619" t="s">
        <v>28215</v>
      </c>
      <c r="I13619" t="s">
        <v>28258</v>
      </c>
      <c r="J13619" t="s">
        <v>36658</v>
      </c>
      <c r="K13619" t="s">
        <v>36707</v>
      </c>
      <c r="M13619" t="s">
        <v>38149</v>
      </c>
      <c r="N13619" t="s">
        <v>40436</v>
      </c>
      <c r="O13619" t="s">
        <v>40437</v>
      </c>
      <c r="Q13619">
        <v>11</v>
      </c>
      <c r="R13619" t="s">
        <v>40552</v>
      </c>
      <c r="S13619" t="s">
        <v>42058</v>
      </c>
      <c r="T13619" t="s">
        <v>42115</v>
      </c>
      <c r="U13619" t="s">
        <v>53738</v>
      </c>
      <c r="V13619" t="s">
        <v>55418</v>
      </c>
      <c r="W13619" t="s">
        <v>38149</v>
      </c>
      <c r="X13619" t="s">
        <v>55577</v>
      </c>
    </row>
    <row r="13620" spans="1:24">
      <c r="A13620">
        <f>HYPERLINK("https://www.philgeps.gov.ph/GEPSNONPILOT/Tender/SplashBidNoticeAbstractUI.aspx?menuIndex=3&amp;refID=6579431&amp;Result=3","6579431")</f>
        <v>0</v>
      </c>
      <c r="B13620" t="s">
        <v>3087</v>
      </c>
      <c r="C13620" t="s">
        <v>16146</v>
      </c>
      <c r="D13620" t="s">
        <v>16254</v>
      </c>
      <c r="E13620" t="s">
        <v>28159</v>
      </c>
      <c r="F13620" t="s">
        <v>28198</v>
      </c>
      <c r="G13620" t="s">
        <v>28205</v>
      </c>
      <c r="H13620" t="s">
        <v>28214</v>
      </c>
      <c r="I13620" t="s">
        <v>3797</v>
      </c>
      <c r="J13620" t="s">
        <v>36659</v>
      </c>
      <c r="K13620" t="s">
        <v>36978</v>
      </c>
      <c r="M13620" t="s">
        <v>38062</v>
      </c>
      <c r="N13620" t="s">
        <v>40436</v>
      </c>
      <c r="O13620" t="s">
        <v>40437</v>
      </c>
      <c r="Q13620">
        <v>9</v>
      </c>
      <c r="R13620" t="s">
        <v>40546</v>
      </c>
      <c r="S13620" t="s">
        <v>40984</v>
      </c>
      <c r="T13620" t="s">
        <v>42233</v>
      </c>
      <c r="U13620" t="s">
        <v>53739</v>
      </c>
      <c r="W13620" t="s">
        <v>38062</v>
      </c>
      <c r="X13620" t="s">
        <v>55572</v>
      </c>
    </row>
    <row r="13621" spans="1:24">
      <c r="A13621">
        <f>HYPERLINK("https://www.philgeps.gov.ph/GEPSNONPILOT/Tender/SplashBidNoticeAbstractUI.aspx?menuIndex=3&amp;refID=6705215&amp;Result=3","6705215")</f>
        <v>0</v>
      </c>
      <c r="B13621" t="s">
        <v>2495</v>
      </c>
      <c r="C13621" t="s">
        <v>16147</v>
      </c>
      <c r="D13621" t="s">
        <v>16200</v>
      </c>
      <c r="E13621" t="s">
        <v>28160</v>
      </c>
      <c r="F13621" t="s">
        <v>28198</v>
      </c>
      <c r="G13621" t="s">
        <v>28205</v>
      </c>
      <c r="H13621" t="s">
        <v>28214</v>
      </c>
      <c r="I13621" t="s">
        <v>3797</v>
      </c>
      <c r="J13621" t="s">
        <v>29566</v>
      </c>
      <c r="K13621" t="s">
        <v>36709</v>
      </c>
      <c r="M13621" t="s">
        <v>39696</v>
      </c>
      <c r="N13621" t="s">
        <v>40436</v>
      </c>
      <c r="O13621" t="s">
        <v>40437</v>
      </c>
      <c r="Q13621">
        <v>3</v>
      </c>
      <c r="R13621" t="s">
        <v>40553</v>
      </c>
      <c r="S13621" t="s">
        <v>42059</v>
      </c>
      <c r="T13621" t="s">
        <v>42121</v>
      </c>
      <c r="U13621" t="s">
        <v>50547</v>
      </c>
      <c r="W13621" t="s">
        <v>39696</v>
      </c>
      <c r="X13621" t="s">
        <v>55578</v>
      </c>
    </row>
    <row r="13622" spans="1:24">
      <c r="A13622">
        <f>HYPERLINK("https://www.philgeps.gov.ph/GEPSNONPILOT/Tender/SplashBidNoticeAbstractUI.aspx?menuIndex=3&amp;refID=6620808&amp;Result=3","6620808")</f>
        <v>0</v>
      </c>
      <c r="B13622" t="s">
        <v>3088</v>
      </c>
      <c r="C13622" t="s">
        <v>16148</v>
      </c>
      <c r="D13622" t="s">
        <v>16228</v>
      </c>
      <c r="E13622" t="s">
        <v>28161</v>
      </c>
      <c r="F13622" t="s">
        <v>28198</v>
      </c>
      <c r="G13622" t="s">
        <v>28205</v>
      </c>
      <c r="H13622" t="s">
        <v>28214</v>
      </c>
      <c r="I13622" t="s">
        <v>3797</v>
      </c>
      <c r="J13622" t="s">
        <v>36660</v>
      </c>
      <c r="K13622" t="s">
        <v>36689</v>
      </c>
      <c r="M13622" t="s">
        <v>40433</v>
      </c>
      <c r="N13622" t="s">
        <v>40436</v>
      </c>
      <c r="O13622" t="s">
        <v>40437</v>
      </c>
      <c r="Q13622">
        <v>5</v>
      </c>
      <c r="R13622" t="s">
        <v>40554</v>
      </c>
      <c r="S13622" t="s">
        <v>42060</v>
      </c>
      <c r="T13622" t="s">
        <v>42366</v>
      </c>
      <c r="U13622" t="s">
        <v>53740</v>
      </c>
      <c r="V13622" t="s">
        <v>55423</v>
      </c>
      <c r="W13622" t="s">
        <v>40433</v>
      </c>
      <c r="X13622" t="s">
        <v>55579</v>
      </c>
    </row>
    <row r="13623" spans="1:24">
      <c r="A13623">
        <f>HYPERLINK("https://www.philgeps.gov.ph/GEPSNONPILOT/Tender/SplashBidNoticeAbstractUI.aspx?menuIndex=3&amp;refID=6771902&amp;Result=3","6771902")</f>
        <v>0</v>
      </c>
      <c r="B13623" t="s">
        <v>2498</v>
      </c>
      <c r="C13623" t="s">
        <v>16149</v>
      </c>
      <c r="E13623" t="s">
        <v>28162</v>
      </c>
      <c r="F13623" t="s">
        <v>28198</v>
      </c>
      <c r="G13623" t="s">
        <v>28205</v>
      </c>
      <c r="H13623" t="s">
        <v>28214</v>
      </c>
      <c r="I13623" t="s">
        <v>3797</v>
      </c>
      <c r="J13623" t="s">
        <v>36661</v>
      </c>
      <c r="K13623" t="s">
        <v>36689</v>
      </c>
      <c r="M13623" t="s">
        <v>40434</v>
      </c>
      <c r="N13623" t="s">
        <v>40436</v>
      </c>
      <c r="O13623" t="s">
        <v>40437</v>
      </c>
      <c r="Q13623">
        <v>53</v>
      </c>
      <c r="R13623" t="s">
        <v>40555</v>
      </c>
      <c r="S13623" t="s">
        <v>42061</v>
      </c>
      <c r="T13623" t="s">
        <v>42135</v>
      </c>
      <c r="U13623" t="s">
        <v>53741</v>
      </c>
      <c r="W13623" t="s">
        <v>40434</v>
      </c>
      <c r="X13623" t="s">
        <v>55580</v>
      </c>
    </row>
    <row r="13624" spans="1:24">
      <c r="A13624">
        <f>HYPERLINK("https://www.philgeps.gov.ph/GEPSNONPILOT/Tender/SplashBidNoticeAbstractUI.aspx?menuIndex=3&amp;refID=6761104&amp;Result=3","6761104")</f>
        <v>0</v>
      </c>
      <c r="B13624" t="s">
        <v>1112</v>
      </c>
      <c r="C13624" t="s">
        <v>16150</v>
      </c>
      <c r="D13624" t="s">
        <v>16191</v>
      </c>
      <c r="E13624" t="s">
        <v>28163</v>
      </c>
      <c r="F13624" t="s">
        <v>28198</v>
      </c>
      <c r="G13624" t="s">
        <v>28206</v>
      </c>
      <c r="H13624" t="s">
        <v>28215</v>
      </c>
      <c r="I13624" t="s">
        <v>4168</v>
      </c>
      <c r="J13624" t="s">
        <v>36662</v>
      </c>
      <c r="K13624" t="s">
        <v>36707</v>
      </c>
      <c r="M13624" t="s">
        <v>38149</v>
      </c>
      <c r="N13624" t="s">
        <v>40436</v>
      </c>
      <c r="O13624" t="s">
        <v>40437</v>
      </c>
      <c r="Q13624">
        <v>2</v>
      </c>
      <c r="R13624" t="s">
        <v>40555</v>
      </c>
      <c r="S13624" t="s">
        <v>42062</v>
      </c>
      <c r="T13624" t="s">
        <v>42115</v>
      </c>
      <c r="U13624" t="s">
        <v>53742</v>
      </c>
      <c r="V13624" t="s">
        <v>55418</v>
      </c>
      <c r="W13624" t="s">
        <v>38149</v>
      </c>
      <c r="X13624" t="s">
        <v>55581</v>
      </c>
    </row>
    <row r="13625" spans="1:24">
      <c r="A13625">
        <f>HYPERLINK("https://www.philgeps.gov.ph/GEPSNONPILOT/Tender/SplashBidNoticeAbstractUI.aspx?menuIndex=3&amp;refID=6725050&amp;Result=3","6725050")</f>
        <v>0</v>
      </c>
      <c r="B13625" t="s">
        <v>1112</v>
      </c>
      <c r="C13625" t="s">
        <v>16151</v>
      </c>
      <c r="D13625" t="s">
        <v>16191</v>
      </c>
      <c r="E13625" t="s">
        <v>28164</v>
      </c>
      <c r="F13625" t="s">
        <v>28198</v>
      </c>
      <c r="G13625" t="s">
        <v>28206</v>
      </c>
      <c r="H13625" t="s">
        <v>28215</v>
      </c>
      <c r="I13625" t="s">
        <v>5082</v>
      </c>
      <c r="J13625" t="s">
        <v>36663</v>
      </c>
      <c r="K13625" t="s">
        <v>36707</v>
      </c>
      <c r="M13625" t="s">
        <v>38149</v>
      </c>
      <c r="N13625" t="s">
        <v>40436</v>
      </c>
      <c r="O13625" t="s">
        <v>40437</v>
      </c>
      <c r="Q13625">
        <v>6</v>
      </c>
      <c r="R13625" t="s">
        <v>40556</v>
      </c>
      <c r="S13625" t="s">
        <v>42063</v>
      </c>
      <c r="T13625" t="s">
        <v>42115</v>
      </c>
      <c r="U13625" t="s">
        <v>53743</v>
      </c>
      <c r="V13625" t="s">
        <v>55418</v>
      </c>
      <c r="W13625" t="s">
        <v>38149</v>
      </c>
      <c r="X13625" t="s">
        <v>55582</v>
      </c>
    </row>
    <row r="13626" spans="1:24">
      <c r="A13626">
        <f>HYPERLINK("https://www.philgeps.gov.ph/GEPSNONPILOT/Tender/SplashBidNoticeAbstractUI.aspx?menuIndex=3&amp;refID=6637239&amp;Result=3","6637239")</f>
        <v>0</v>
      </c>
      <c r="B13626" t="s">
        <v>1112</v>
      </c>
      <c r="C13626" t="s">
        <v>16152</v>
      </c>
      <c r="D13626" t="s">
        <v>16191</v>
      </c>
      <c r="E13626" t="s">
        <v>28165</v>
      </c>
      <c r="F13626" t="s">
        <v>28198</v>
      </c>
      <c r="G13626" t="s">
        <v>28206</v>
      </c>
      <c r="H13626" t="s">
        <v>28215</v>
      </c>
      <c r="I13626" t="s">
        <v>4168</v>
      </c>
      <c r="J13626" t="s">
        <v>28378</v>
      </c>
      <c r="K13626" t="s">
        <v>36707</v>
      </c>
      <c r="M13626" t="s">
        <v>38149</v>
      </c>
      <c r="N13626" t="s">
        <v>40436</v>
      </c>
      <c r="O13626" t="s">
        <v>40437</v>
      </c>
      <c r="Q13626">
        <v>7</v>
      </c>
      <c r="R13626" t="s">
        <v>40557</v>
      </c>
      <c r="S13626" t="s">
        <v>42064</v>
      </c>
      <c r="T13626" t="s">
        <v>42115</v>
      </c>
      <c r="U13626" t="s">
        <v>53744</v>
      </c>
      <c r="V13626" t="s">
        <v>55418</v>
      </c>
      <c r="W13626" t="s">
        <v>38149</v>
      </c>
      <c r="X13626" t="s">
        <v>55583</v>
      </c>
    </row>
    <row r="13627" spans="1:24">
      <c r="A13627">
        <f>HYPERLINK("https://www.philgeps.gov.ph/GEPSNONPILOT/Tender/SplashBidNoticeAbstractUI.aspx?menuIndex=3&amp;refID=6717120&amp;Result=3","6717120")</f>
        <v>0</v>
      </c>
      <c r="B13627" t="s">
        <v>1112</v>
      </c>
      <c r="C13627" t="s">
        <v>16153</v>
      </c>
      <c r="D13627" t="s">
        <v>16191</v>
      </c>
      <c r="E13627" t="s">
        <v>28166</v>
      </c>
      <c r="F13627" t="s">
        <v>28198</v>
      </c>
      <c r="G13627" t="s">
        <v>28206</v>
      </c>
      <c r="H13627" t="s">
        <v>28215</v>
      </c>
      <c r="I13627" t="s">
        <v>28258</v>
      </c>
      <c r="J13627" t="s">
        <v>36664</v>
      </c>
      <c r="K13627" t="s">
        <v>36707</v>
      </c>
      <c r="M13627" t="s">
        <v>38149</v>
      </c>
      <c r="N13627" t="s">
        <v>40436</v>
      </c>
      <c r="O13627" t="s">
        <v>40437</v>
      </c>
      <c r="Q13627">
        <v>4</v>
      </c>
      <c r="R13627" t="s">
        <v>40555</v>
      </c>
      <c r="S13627" t="s">
        <v>42065</v>
      </c>
      <c r="T13627" t="s">
        <v>42115</v>
      </c>
      <c r="U13627" t="s">
        <v>53745</v>
      </c>
      <c r="V13627" t="s">
        <v>55418</v>
      </c>
      <c r="W13627" t="s">
        <v>38149</v>
      </c>
      <c r="X13627" t="s">
        <v>55584</v>
      </c>
    </row>
    <row r="13628" spans="1:24">
      <c r="A13628">
        <f>HYPERLINK("https://www.philgeps.gov.ph/GEPSNONPILOT/Tender/SplashBidNoticeAbstractUI.aspx?menuIndex=3&amp;refID=6548600&amp;Result=3","6548600")</f>
        <v>0</v>
      </c>
      <c r="B13628" t="s">
        <v>1112</v>
      </c>
      <c r="C13628" t="s">
        <v>16154</v>
      </c>
      <c r="D13628" t="s">
        <v>16191</v>
      </c>
      <c r="E13628" t="s">
        <v>28167</v>
      </c>
      <c r="F13628" t="s">
        <v>28198</v>
      </c>
      <c r="G13628" t="s">
        <v>28206</v>
      </c>
      <c r="H13628" t="s">
        <v>28215</v>
      </c>
      <c r="I13628" t="s">
        <v>4168</v>
      </c>
      <c r="J13628" t="s">
        <v>28566</v>
      </c>
      <c r="K13628" t="s">
        <v>36707</v>
      </c>
      <c r="M13628" t="s">
        <v>38149</v>
      </c>
      <c r="N13628" t="s">
        <v>40436</v>
      </c>
      <c r="O13628" t="s">
        <v>40437</v>
      </c>
      <c r="Q13628">
        <v>9</v>
      </c>
      <c r="R13628" t="s">
        <v>40558</v>
      </c>
      <c r="S13628" t="s">
        <v>42066</v>
      </c>
      <c r="T13628" t="s">
        <v>42115</v>
      </c>
      <c r="U13628" t="s">
        <v>53746</v>
      </c>
      <c r="V13628" t="s">
        <v>55418</v>
      </c>
      <c r="W13628" t="s">
        <v>38149</v>
      </c>
      <c r="X13628" t="s">
        <v>55585</v>
      </c>
    </row>
    <row r="13629" spans="1:24">
      <c r="A13629">
        <f>HYPERLINK("https://www.philgeps.gov.ph/GEPSNONPILOT/Tender/SplashBidNoticeAbstractUI.aspx?menuIndex=3&amp;refID=6753074&amp;Result=3","6753074")</f>
        <v>0</v>
      </c>
      <c r="B13629" t="s">
        <v>1112</v>
      </c>
      <c r="C13629" t="s">
        <v>16155</v>
      </c>
      <c r="D13629" t="s">
        <v>16191</v>
      </c>
      <c r="E13629" t="s">
        <v>28168</v>
      </c>
      <c r="F13629" t="s">
        <v>28198</v>
      </c>
      <c r="G13629" t="s">
        <v>28206</v>
      </c>
      <c r="H13629" t="s">
        <v>28215</v>
      </c>
      <c r="I13629" t="s">
        <v>28234</v>
      </c>
      <c r="J13629" t="s">
        <v>29649</v>
      </c>
      <c r="K13629" t="s">
        <v>36707</v>
      </c>
      <c r="M13629" t="s">
        <v>38149</v>
      </c>
      <c r="N13629" t="s">
        <v>40436</v>
      </c>
      <c r="O13629" t="s">
        <v>40437</v>
      </c>
      <c r="Q13629">
        <v>3</v>
      </c>
      <c r="R13629" t="s">
        <v>40559</v>
      </c>
      <c r="S13629" t="s">
        <v>42067</v>
      </c>
      <c r="T13629" t="s">
        <v>42115</v>
      </c>
      <c r="U13629" t="s">
        <v>53747</v>
      </c>
      <c r="V13629" t="s">
        <v>55418</v>
      </c>
      <c r="W13629" t="s">
        <v>38149</v>
      </c>
      <c r="X13629" t="s">
        <v>40551</v>
      </c>
    </row>
    <row r="13630" spans="1:24">
      <c r="A13630">
        <f>HYPERLINK("https://www.philgeps.gov.ph/GEPSNONPILOT/Tender/SplashBidNoticeAbstractUI.aspx?menuIndex=3&amp;refID=6781471&amp;Result=3","6781471")</f>
        <v>0</v>
      </c>
      <c r="B13630" t="s">
        <v>1112</v>
      </c>
      <c r="C13630" t="s">
        <v>16156</v>
      </c>
      <c r="D13630" t="s">
        <v>16191</v>
      </c>
      <c r="E13630" t="s">
        <v>28169</v>
      </c>
      <c r="F13630" t="s">
        <v>28198</v>
      </c>
      <c r="G13630" t="s">
        <v>28206</v>
      </c>
      <c r="H13630" t="s">
        <v>28215</v>
      </c>
      <c r="I13630" t="s">
        <v>28234</v>
      </c>
      <c r="J13630" t="s">
        <v>29597</v>
      </c>
      <c r="K13630" t="s">
        <v>36707</v>
      </c>
      <c r="M13630" t="s">
        <v>38149</v>
      </c>
      <c r="N13630" t="s">
        <v>40436</v>
      </c>
      <c r="O13630" t="s">
        <v>40437</v>
      </c>
      <c r="Q13630">
        <v>8</v>
      </c>
      <c r="R13630" t="s">
        <v>40560</v>
      </c>
      <c r="S13630" t="s">
        <v>42068</v>
      </c>
      <c r="T13630" t="s">
        <v>42115</v>
      </c>
      <c r="U13630" t="s">
        <v>53748</v>
      </c>
      <c r="V13630" t="s">
        <v>55418</v>
      </c>
      <c r="W13630" t="s">
        <v>38149</v>
      </c>
      <c r="X13630" t="s">
        <v>55586</v>
      </c>
    </row>
    <row r="13631" spans="1:24">
      <c r="A13631">
        <f>HYPERLINK("https://www.philgeps.gov.ph/GEPSNONPILOT/Tender/SplashBidNoticeAbstractUI.aspx?menuIndex=3&amp;refID=6822942&amp;Result=3","6822942")</f>
        <v>0</v>
      </c>
      <c r="B13631" t="s">
        <v>2260</v>
      </c>
      <c r="C13631" t="s">
        <v>16157</v>
      </c>
      <c r="D13631" t="s">
        <v>16202</v>
      </c>
      <c r="E13631" t="s">
        <v>28170</v>
      </c>
      <c r="F13631" t="s">
        <v>28198</v>
      </c>
      <c r="G13631" t="s">
        <v>28205</v>
      </c>
      <c r="H13631" t="s">
        <v>28214</v>
      </c>
      <c r="I13631" t="s">
        <v>3797</v>
      </c>
      <c r="J13631" t="s">
        <v>36665</v>
      </c>
      <c r="K13631" t="s">
        <v>36992</v>
      </c>
      <c r="M13631" t="s">
        <v>39430</v>
      </c>
      <c r="N13631" t="s">
        <v>40436</v>
      </c>
      <c r="O13631" t="s">
        <v>40437</v>
      </c>
      <c r="Q13631">
        <v>9</v>
      </c>
      <c r="R13631" t="s">
        <v>40544</v>
      </c>
      <c r="S13631" t="s">
        <v>42069</v>
      </c>
      <c r="T13631" t="s">
        <v>42218</v>
      </c>
      <c r="U13631" t="s">
        <v>50991</v>
      </c>
      <c r="W13631" t="s">
        <v>39430</v>
      </c>
      <c r="X13631" t="s">
        <v>40541</v>
      </c>
    </row>
    <row r="13632" spans="1:24">
      <c r="A13632">
        <f>HYPERLINK("https://www.philgeps.gov.ph/GEPSNONPILOT/Tender/SplashBidNoticeAbstractUI.aspx?menuIndex=3&amp;refID=6469492&amp;Result=3","6469492")</f>
        <v>0</v>
      </c>
      <c r="B13632" t="s">
        <v>1112</v>
      </c>
      <c r="C13632" t="s">
        <v>16158</v>
      </c>
      <c r="D13632" t="s">
        <v>16191</v>
      </c>
      <c r="E13632" t="s">
        <v>28171</v>
      </c>
      <c r="F13632" t="s">
        <v>28198</v>
      </c>
      <c r="G13632" t="s">
        <v>28207</v>
      </c>
      <c r="H13632" t="s">
        <v>28215</v>
      </c>
      <c r="I13632" t="s">
        <v>28234</v>
      </c>
      <c r="J13632" t="s">
        <v>28787</v>
      </c>
      <c r="K13632" t="s">
        <v>36707</v>
      </c>
      <c r="M13632" t="s">
        <v>38149</v>
      </c>
      <c r="N13632" t="s">
        <v>40436</v>
      </c>
      <c r="O13632" t="s">
        <v>40437</v>
      </c>
      <c r="Q13632">
        <v>0</v>
      </c>
      <c r="R13632" t="s">
        <v>40547</v>
      </c>
      <c r="S13632" t="s">
        <v>42070</v>
      </c>
      <c r="T13632" t="s">
        <v>42115</v>
      </c>
      <c r="U13632" t="s">
        <v>53749</v>
      </c>
      <c r="V13632" t="s">
        <v>55418</v>
      </c>
      <c r="W13632" t="s">
        <v>38149</v>
      </c>
      <c r="X13632" t="s">
        <v>55573</v>
      </c>
    </row>
    <row r="13633" spans="1:24">
      <c r="A13633">
        <f>HYPERLINK("https://www.philgeps.gov.ph/GEPSNONPILOT/Tender/SplashBidNoticeAbstractUI.aspx?menuIndex=3&amp;refID=5575355&amp;Result=3","5575355")</f>
        <v>0</v>
      </c>
      <c r="B13633" t="s">
        <v>1112</v>
      </c>
      <c r="C13633" t="s">
        <v>16159</v>
      </c>
      <c r="D13633" t="s">
        <v>16191</v>
      </c>
      <c r="E13633" t="s">
        <v>28172</v>
      </c>
      <c r="F13633" t="s">
        <v>28198</v>
      </c>
      <c r="G13633" t="s">
        <v>28206</v>
      </c>
      <c r="H13633" t="s">
        <v>28215</v>
      </c>
      <c r="I13633" t="s">
        <v>28258</v>
      </c>
      <c r="J13633" t="s">
        <v>36666</v>
      </c>
      <c r="K13633" t="s">
        <v>36707</v>
      </c>
      <c r="M13633" t="s">
        <v>38149</v>
      </c>
      <c r="N13633" t="s">
        <v>40436</v>
      </c>
      <c r="O13633" t="s">
        <v>40437</v>
      </c>
      <c r="Q13633">
        <v>3</v>
      </c>
      <c r="R13633" t="s">
        <v>40561</v>
      </c>
      <c r="S13633" t="s">
        <v>42071</v>
      </c>
      <c r="T13633" t="s">
        <v>42115</v>
      </c>
      <c r="U13633" t="s">
        <v>53750</v>
      </c>
      <c r="V13633" t="s">
        <v>55418</v>
      </c>
      <c r="W13633" t="s">
        <v>38149</v>
      </c>
      <c r="X13633" t="s">
        <v>55587</v>
      </c>
    </row>
    <row r="13634" spans="1:24">
      <c r="A13634">
        <f>HYPERLINK("https://www.philgeps.gov.ph/GEPSNONPILOT/Tender/SplashBidNoticeAbstractUI.aspx?menuIndex=3&amp;refID=5940214&amp;Result=3","5940214")</f>
        <v>0</v>
      </c>
      <c r="B13634" t="s">
        <v>1112</v>
      </c>
      <c r="C13634" t="s">
        <v>16160</v>
      </c>
      <c r="D13634" t="s">
        <v>16191</v>
      </c>
      <c r="E13634" t="s">
        <v>28173</v>
      </c>
      <c r="F13634" t="s">
        <v>28198</v>
      </c>
      <c r="G13634" t="s">
        <v>28206</v>
      </c>
      <c r="H13634" t="s">
        <v>28215</v>
      </c>
      <c r="I13634" t="s">
        <v>5071</v>
      </c>
      <c r="J13634" t="s">
        <v>36667</v>
      </c>
      <c r="K13634" t="s">
        <v>36707</v>
      </c>
      <c r="M13634" t="s">
        <v>38149</v>
      </c>
      <c r="N13634" t="s">
        <v>40436</v>
      </c>
      <c r="O13634" t="s">
        <v>40437</v>
      </c>
      <c r="Q13634">
        <v>6</v>
      </c>
      <c r="R13634" t="s">
        <v>40562</v>
      </c>
      <c r="S13634" t="s">
        <v>42072</v>
      </c>
      <c r="T13634" t="s">
        <v>42115</v>
      </c>
      <c r="U13634" t="s">
        <v>53751</v>
      </c>
      <c r="V13634" t="s">
        <v>55418</v>
      </c>
      <c r="W13634" t="s">
        <v>38149</v>
      </c>
      <c r="X13634" t="s">
        <v>55588</v>
      </c>
    </row>
    <row r="13635" spans="1:24">
      <c r="A13635">
        <f>HYPERLINK("https://www.philgeps.gov.ph/GEPSNONPILOT/Tender/SplashBidNoticeAbstractUI.aspx?menuIndex=3&amp;refID=6825173&amp;Result=3","6825173")</f>
        <v>0</v>
      </c>
      <c r="B13635" t="s">
        <v>2639</v>
      </c>
      <c r="C13635" t="s">
        <v>16161</v>
      </c>
      <c r="E13635" t="s">
        <v>28174</v>
      </c>
      <c r="F13635" t="s">
        <v>28198</v>
      </c>
      <c r="G13635" t="s">
        <v>28205</v>
      </c>
      <c r="H13635" t="s">
        <v>28214</v>
      </c>
      <c r="I13635" t="s">
        <v>3797</v>
      </c>
      <c r="J13635" t="s">
        <v>36668</v>
      </c>
      <c r="K13635" t="s">
        <v>36717</v>
      </c>
      <c r="M13635" t="s">
        <v>39864</v>
      </c>
      <c r="N13635" t="s">
        <v>40436</v>
      </c>
      <c r="O13635" t="s">
        <v>40437</v>
      </c>
      <c r="Q13635">
        <v>110</v>
      </c>
      <c r="R13635" t="s">
        <v>40563</v>
      </c>
      <c r="S13635" t="s">
        <v>42073</v>
      </c>
      <c r="T13635" t="s">
        <v>42165</v>
      </c>
      <c r="U13635" t="s">
        <v>53752</v>
      </c>
      <c r="W13635" t="s">
        <v>39864</v>
      </c>
      <c r="X13635" t="s">
        <v>40544</v>
      </c>
    </row>
    <row r="13636" spans="1:24">
      <c r="A13636">
        <f>HYPERLINK("https://www.philgeps.gov.ph/GEPSNONPILOT/Tender/SplashBidNoticeAbstractUI.aspx?menuIndex=3&amp;refID=6005560&amp;Result=3","6005560")</f>
        <v>0</v>
      </c>
      <c r="B13636" t="s">
        <v>2349</v>
      </c>
      <c r="C13636" t="s">
        <v>16162</v>
      </c>
      <c r="F13636" t="s">
        <v>28198</v>
      </c>
      <c r="G13636" t="s">
        <v>28205</v>
      </c>
      <c r="H13636" t="s">
        <v>28215</v>
      </c>
      <c r="I13636" t="s">
        <v>3797</v>
      </c>
      <c r="J13636" t="s">
        <v>36669</v>
      </c>
      <c r="K13636" t="s">
        <v>36689</v>
      </c>
      <c r="M13636" t="s">
        <v>39529</v>
      </c>
      <c r="N13636" t="s">
        <v>40436</v>
      </c>
      <c r="O13636" t="s">
        <v>40437</v>
      </c>
      <c r="Q13636">
        <v>0</v>
      </c>
      <c r="R13636" t="s">
        <v>40564</v>
      </c>
      <c r="S13636" t="s">
        <v>42074</v>
      </c>
      <c r="T13636" t="s">
        <v>42187</v>
      </c>
      <c r="U13636" t="s">
        <v>53753</v>
      </c>
      <c r="W13636" t="s">
        <v>39529</v>
      </c>
      <c r="X13636" t="s">
        <v>55589</v>
      </c>
    </row>
    <row r="13637" spans="1:24">
      <c r="A13637">
        <f>HYPERLINK("https://www.philgeps.gov.ph/GEPSNONPILOT/Tender/SplashBidNoticeAbstractUI.aspx?menuIndex=3&amp;refID=6761097&amp;Result=3","6761097")</f>
        <v>0</v>
      </c>
      <c r="B13637" t="s">
        <v>1112</v>
      </c>
      <c r="C13637" t="s">
        <v>16163</v>
      </c>
      <c r="D13637" t="s">
        <v>16191</v>
      </c>
      <c r="E13637" t="s">
        <v>28175</v>
      </c>
      <c r="F13637" t="s">
        <v>28198</v>
      </c>
      <c r="G13637" t="s">
        <v>28207</v>
      </c>
      <c r="H13637" t="s">
        <v>28215</v>
      </c>
      <c r="I13637" t="s">
        <v>4168</v>
      </c>
      <c r="J13637" t="s">
        <v>28829</v>
      </c>
      <c r="K13637" t="s">
        <v>36707</v>
      </c>
      <c r="M13637" t="s">
        <v>38149</v>
      </c>
      <c r="N13637" t="s">
        <v>40436</v>
      </c>
      <c r="O13637" t="s">
        <v>40437</v>
      </c>
      <c r="Q13637">
        <v>2</v>
      </c>
      <c r="R13637" t="s">
        <v>40565</v>
      </c>
      <c r="S13637" t="s">
        <v>42075</v>
      </c>
      <c r="T13637" t="s">
        <v>42115</v>
      </c>
      <c r="U13637" t="s">
        <v>53754</v>
      </c>
      <c r="V13637" t="s">
        <v>55418</v>
      </c>
      <c r="W13637" t="s">
        <v>38149</v>
      </c>
      <c r="X13637" t="s">
        <v>55581</v>
      </c>
    </row>
    <row r="13638" spans="1:24">
      <c r="A13638">
        <f>HYPERLINK("https://www.philgeps.gov.ph/GEPSNONPILOT/Tender/SplashBidNoticeAbstractUI.aspx?menuIndex=3&amp;refID=5628735&amp;Result=3","5628735")</f>
        <v>0</v>
      </c>
      <c r="B13638" t="s">
        <v>1112</v>
      </c>
      <c r="C13638" t="s">
        <v>16164</v>
      </c>
      <c r="D13638" t="s">
        <v>16191</v>
      </c>
      <c r="E13638" t="s">
        <v>28176</v>
      </c>
      <c r="F13638" t="s">
        <v>28198</v>
      </c>
      <c r="G13638" t="s">
        <v>28206</v>
      </c>
      <c r="H13638" t="s">
        <v>28215</v>
      </c>
      <c r="I13638" t="s">
        <v>5082</v>
      </c>
      <c r="J13638" t="s">
        <v>36670</v>
      </c>
      <c r="K13638" t="s">
        <v>36707</v>
      </c>
      <c r="M13638" t="s">
        <v>38149</v>
      </c>
      <c r="N13638" t="s">
        <v>40436</v>
      </c>
      <c r="O13638" t="s">
        <v>40437</v>
      </c>
      <c r="Q13638">
        <v>2</v>
      </c>
      <c r="R13638" t="s">
        <v>40566</v>
      </c>
      <c r="S13638" t="s">
        <v>42076</v>
      </c>
      <c r="T13638" t="s">
        <v>42115</v>
      </c>
      <c r="U13638" t="s">
        <v>53755</v>
      </c>
      <c r="V13638" t="s">
        <v>55418</v>
      </c>
      <c r="W13638" t="s">
        <v>38149</v>
      </c>
      <c r="X13638" t="s">
        <v>55590</v>
      </c>
    </row>
    <row r="13639" spans="1:24">
      <c r="A13639">
        <f>HYPERLINK("https://www.philgeps.gov.ph/GEPSNONPILOT/Tender/SplashBidNoticeAbstractUI.aspx?menuIndex=3&amp;refID=6118601&amp;Result=3","6118601")</f>
        <v>0</v>
      </c>
      <c r="B13639" t="s">
        <v>1112</v>
      </c>
      <c r="C13639" t="s">
        <v>16165</v>
      </c>
      <c r="D13639" t="s">
        <v>16191</v>
      </c>
      <c r="E13639" t="s">
        <v>28177</v>
      </c>
      <c r="F13639" t="s">
        <v>28198</v>
      </c>
      <c r="G13639" t="s">
        <v>28206</v>
      </c>
      <c r="H13639" t="s">
        <v>28215</v>
      </c>
      <c r="I13639" t="s">
        <v>28247</v>
      </c>
      <c r="J13639" t="s">
        <v>36671</v>
      </c>
      <c r="K13639" t="s">
        <v>36707</v>
      </c>
      <c r="M13639" t="s">
        <v>38149</v>
      </c>
      <c r="N13639" t="s">
        <v>40436</v>
      </c>
      <c r="O13639" t="s">
        <v>40437</v>
      </c>
      <c r="Q13639">
        <v>19</v>
      </c>
      <c r="R13639" t="s">
        <v>40567</v>
      </c>
      <c r="S13639" t="s">
        <v>42077</v>
      </c>
      <c r="T13639" t="s">
        <v>42115</v>
      </c>
      <c r="U13639" t="s">
        <v>53756</v>
      </c>
      <c r="V13639" t="s">
        <v>55418</v>
      </c>
      <c r="W13639" t="s">
        <v>38149</v>
      </c>
      <c r="X13639" t="s">
        <v>55591</v>
      </c>
    </row>
    <row r="13640" spans="1:24">
      <c r="A13640">
        <f>HYPERLINK("https://www.philgeps.gov.ph/GEPSNONPILOT/Tender/SplashBidNoticeAbstractUI.aspx?menuIndex=3&amp;refID=6177797&amp;Result=3","6177797")</f>
        <v>0</v>
      </c>
      <c r="B13640" t="s">
        <v>1112</v>
      </c>
      <c r="C13640" t="s">
        <v>16166</v>
      </c>
      <c r="D13640" t="s">
        <v>16191</v>
      </c>
      <c r="E13640" t="s">
        <v>28178</v>
      </c>
      <c r="F13640" t="s">
        <v>28198</v>
      </c>
      <c r="G13640" t="s">
        <v>28206</v>
      </c>
      <c r="H13640" t="s">
        <v>28215</v>
      </c>
      <c r="I13640" t="s">
        <v>28259</v>
      </c>
      <c r="J13640" t="s">
        <v>36672</v>
      </c>
      <c r="K13640" t="s">
        <v>36707</v>
      </c>
      <c r="M13640" t="s">
        <v>38149</v>
      </c>
      <c r="N13640" t="s">
        <v>40436</v>
      </c>
      <c r="O13640" t="s">
        <v>40437</v>
      </c>
      <c r="Q13640">
        <v>1</v>
      </c>
      <c r="R13640" t="s">
        <v>40568</v>
      </c>
      <c r="S13640" t="s">
        <v>42078</v>
      </c>
      <c r="T13640" t="s">
        <v>42115</v>
      </c>
      <c r="U13640" t="s">
        <v>53757</v>
      </c>
      <c r="V13640" t="s">
        <v>55418</v>
      </c>
      <c r="W13640" t="s">
        <v>38149</v>
      </c>
      <c r="X13640" t="s">
        <v>55592</v>
      </c>
    </row>
    <row r="13641" spans="1:24">
      <c r="A13641">
        <f>HYPERLINK("https://www.philgeps.gov.ph/GEPSNONPILOT/Tender/SplashBidNoticeAbstractUI.aspx?menuIndex=3&amp;refID=6828937&amp;Result=3","6828937")</f>
        <v>0</v>
      </c>
      <c r="B13641" t="s">
        <v>980</v>
      </c>
      <c r="C13641" t="s">
        <v>16167</v>
      </c>
      <c r="D13641" t="s">
        <v>16197</v>
      </c>
      <c r="E13641" t="s">
        <v>28179</v>
      </c>
      <c r="F13641" t="s">
        <v>28198</v>
      </c>
      <c r="G13641" t="s">
        <v>28205</v>
      </c>
      <c r="H13641" t="s">
        <v>28214</v>
      </c>
      <c r="I13641" t="s">
        <v>3797</v>
      </c>
      <c r="J13641" t="s">
        <v>36673</v>
      </c>
      <c r="K13641" t="s">
        <v>36761</v>
      </c>
      <c r="M13641" t="s">
        <v>40187</v>
      </c>
      <c r="N13641" t="s">
        <v>40436</v>
      </c>
      <c r="O13641" t="s">
        <v>40437</v>
      </c>
      <c r="Q13641">
        <v>10</v>
      </c>
      <c r="R13641" t="s">
        <v>40569</v>
      </c>
      <c r="S13641" t="s">
        <v>41323</v>
      </c>
      <c r="T13641" t="s">
        <v>42390</v>
      </c>
      <c r="U13641" t="s">
        <v>53758</v>
      </c>
      <c r="W13641" t="s">
        <v>40187</v>
      </c>
      <c r="X13641" t="s">
        <v>40563</v>
      </c>
    </row>
    <row r="13642" spans="1:24">
      <c r="A13642">
        <f>HYPERLINK("https://www.philgeps.gov.ph/GEPSNONPILOT/Tender/SplashBidNoticeAbstractUI.aspx?menuIndex=3&amp;refID=6296618&amp;Result=3","6296618")</f>
        <v>0</v>
      </c>
      <c r="B13642" t="s">
        <v>1112</v>
      </c>
      <c r="C13642" t="s">
        <v>16168</v>
      </c>
      <c r="D13642" t="s">
        <v>16191</v>
      </c>
      <c r="E13642" t="s">
        <v>28180</v>
      </c>
      <c r="F13642" t="s">
        <v>28198</v>
      </c>
      <c r="G13642" t="s">
        <v>28206</v>
      </c>
      <c r="H13642" t="s">
        <v>28215</v>
      </c>
      <c r="I13642" t="s">
        <v>28248</v>
      </c>
      <c r="J13642" t="s">
        <v>36674</v>
      </c>
      <c r="K13642" t="s">
        <v>36707</v>
      </c>
      <c r="M13642" t="s">
        <v>38149</v>
      </c>
      <c r="N13642" t="s">
        <v>40436</v>
      </c>
      <c r="O13642" t="s">
        <v>40437</v>
      </c>
      <c r="Q13642">
        <v>4</v>
      </c>
      <c r="R13642" t="s">
        <v>40570</v>
      </c>
      <c r="S13642" t="s">
        <v>42079</v>
      </c>
      <c r="T13642" t="s">
        <v>42115</v>
      </c>
      <c r="U13642" t="s">
        <v>53759</v>
      </c>
      <c r="V13642" t="s">
        <v>55418</v>
      </c>
      <c r="W13642" t="s">
        <v>38149</v>
      </c>
      <c r="X13642" t="s">
        <v>55593</v>
      </c>
    </row>
    <row r="13643" spans="1:24">
      <c r="A13643">
        <f>HYPERLINK("https://www.philgeps.gov.ph/GEPSNONPILOT/Tender/SplashBidNoticeAbstractUI.aspx?menuIndex=3&amp;refID=6256087&amp;Result=3","6256087")</f>
        <v>0</v>
      </c>
      <c r="B13643" t="s">
        <v>1112</v>
      </c>
      <c r="C13643" t="s">
        <v>16169</v>
      </c>
      <c r="D13643" t="s">
        <v>16191</v>
      </c>
      <c r="E13643" t="s">
        <v>28181</v>
      </c>
      <c r="F13643" t="s">
        <v>28198</v>
      </c>
      <c r="G13643" t="s">
        <v>28206</v>
      </c>
      <c r="H13643" t="s">
        <v>28215</v>
      </c>
      <c r="I13643" t="s">
        <v>28275</v>
      </c>
      <c r="J13643" t="s">
        <v>28430</v>
      </c>
      <c r="K13643" t="s">
        <v>36707</v>
      </c>
      <c r="M13643" t="s">
        <v>38149</v>
      </c>
      <c r="N13643" t="s">
        <v>40436</v>
      </c>
      <c r="O13643" t="s">
        <v>40437</v>
      </c>
      <c r="Q13643">
        <v>1</v>
      </c>
      <c r="R13643" t="s">
        <v>40571</v>
      </c>
      <c r="S13643" t="s">
        <v>42080</v>
      </c>
      <c r="T13643" t="s">
        <v>42115</v>
      </c>
      <c r="U13643" t="s">
        <v>53760</v>
      </c>
      <c r="V13643" t="s">
        <v>55418</v>
      </c>
      <c r="W13643" t="s">
        <v>38149</v>
      </c>
      <c r="X13643" t="s">
        <v>55594</v>
      </c>
    </row>
    <row r="13644" spans="1:24">
      <c r="A13644">
        <f>HYPERLINK("https://www.philgeps.gov.ph/GEPSNONPILOT/Tender/SplashBidNoticeAbstractUI.aspx?menuIndex=3&amp;refID=6309360&amp;Result=3","6309360")</f>
        <v>0</v>
      </c>
      <c r="B13644" t="s">
        <v>1112</v>
      </c>
      <c r="C13644" t="s">
        <v>16170</v>
      </c>
      <c r="D13644" t="s">
        <v>16191</v>
      </c>
      <c r="E13644" t="s">
        <v>28182</v>
      </c>
      <c r="F13644" t="s">
        <v>28198</v>
      </c>
      <c r="G13644" t="s">
        <v>28206</v>
      </c>
      <c r="H13644" t="s">
        <v>28215</v>
      </c>
      <c r="I13644" t="s">
        <v>4168</v>
      </c>
      <c r="J13644" t="s">
        <v>28757</v>
      </c>
      <c r="K13644" t="s">
        <v>36707</v>
      </c>
      <c r="M13644" t="s">
        <v>38149</v>
      </c>
      <c r="N13644" t="s">
        <v>40436</v>
      </c>
      <c r="O13644" t="s">
        <v>40437</v>
      </c>
      <c r="Q13644">
        <v>1</v>
      </c>
      <c r="R13644" t="s">
        <v>40572</v>
      </c>
      <c r="S13644" t="s">
        <v>41995</v>
      </c>
      <c r="T13644" t="s">
        <v>42115</v>
      </c>
      <c r="U13644" t="s">
        <v>53761</v>
      </c>
      <c r="V13644" t="s">
        <v>55418</v>
      </c>
      <c r="W13644" t="s">
        <v>38149</v>
      </c>
      <c r="X13644" t="s">
        <v>55595</v>
      </c>
    </row>
    <row r="13645" spans="1:24">
      <c r="A13645">
        <f>HYPERLINK("https://www.philgeps.gov.ph/GEPSNONPILOT/Tender/SplashBidNoticeAbstractUI.aspx?menuIndex=3&amp;refID=5504692&amp;Result=3","5504692")</f>
        <v>0</v>
      </c>
      <c r="B13645" t="s">
        <v>1112</v>
      </c>
      <c r="C13645" t="s">
        <v>16171</v>
      </c>
      <c r="D13645" t="s">
        <v>16191</v>
      </c>
      <c r="E13645" t="s">
        <v>28183</v>
      </c>
      <c r="F13645" t="s">
        <v>28198</v>
      </c>
      <c r="G13645" t="s">
        <v>28206</v>
      </c>
      <c r="H13645" t="s">
        <v>28215</v>
      </c>
      <c r="I13645" t="s">
        <v>28247</v>
      </c>
      <c r="J13645" t="s">
        <v>36675</v>
      </c>
      <c r="K13645" t="s">
        <v>36707</v>
      </c>
      <c r="M13645" t="s">
        <v>38149</v>
      </c>
      <c r="N13645" t="s">
        <v>40436</v>
      </c>
      <c r="O13645" t="s">
        <v>40437</v>
      </c>
      <c r="Q13645">
        <v>10</v>
      </c>
      <c r="R13645" t="s">
        <v>40573</v>
      </c>
      <c r="S13645" t="s">
        <v>42081</v>
      </c>
      <c r="T13645" t="s">
        <v>42115</v>
      </c>
      <c r="U13645" t="s">
        <v>53762</v>
      </c>
      <c r="V13645" t="s">
        <v>55418</v>
      </c>
      <c r="W13645" t="s">
        <v>38149</v>
      </c>
      <c r="X13645" t="s">
        <v>55596</v>
      </c>
    </row>
    <row r="13646" spans="1:24">
      <c r="A13646">
        <f>HYPERLINK("https://www.philgeps.gov.ph/GEPSNONPILOT/Tender/SplashBidNoticeAbstractUI.aspx?menuIndex=3&amp;refID=6285378&amp;Result=3","6285378")</f>
        <v>0</v>
      </c>
      <c r="B13646" t="s">
        <v>1112</v>
      </c>
      <c r="C13646" t="s">
        <v>16172</v>
      </c>
      <c r="D13646" t="s">
        <v>16191</v>
      </c>
      <c r="E13646" t="s">
        <v>28184</v>
      </c>
      <c r="F13646" t="s">
        <v>28198</v>
      </c>
      <c r="G13646" t="s">
        <v>28206</v>
      </c>
      <c r="H13646" t="s">
        <v>28215</v>
      </c>
      <c r="I13646" t="s">
        <v>28247</v>
      </c>
      <c r="J13646" t="s">
        <v>36676</v>
      </c>
      <c r="K13646" t="s">
        <v>36707</v>
      </c>
      <c r="M13646" t="s">
        <v>38149</v>
      </c>
      <c r="N13646" t="s">
        <v>40436</v>
      </c>
      <c r="O13646" t="s">
        <v>40437</v>
      </c>
      <c r="Q13646">
        <v>10</v>
      </c>
      <c r="R13646" t="s">
        <v>40574</v>
      </c>
      <c r="S13646" t="s">
        <v>42082</v>
      </c>
      <c r="T13646" t="s">
        <v>42115</v>
      </c>
      <c r="U13646" t="s">
        <v>53763</v>
      </c>
      <c r="V13646" t="s">
        <v>55418</v>
      </c>
      <c r="W13646" t="s">
        <v>38149</v>
      </c>
      <c r="X13646" t="s">
        <v>55597</v>
      </c>
    </row>
    <row r="13647" spans="1:24">
      <c r="A13647">
        <f>HYPERLINK("https://www.philgeps.gov.ph/GEPSNONPILOT/Tender/SplashBidNoticeAbstractUI.aspx?menuIndex=3&amp;refID=6830220&amp;Result=3","6830220")</f>
        <v>0</v>
      </c>
      <c r="B13647" t="s">
        <v>136</v>
      </c>
      <c r="C13647" t="s">
        <v>16173</v>
      </c>
      <c r="D13647" t="s">
        <v>16188</v>
      </c>
      <c r="E13647" t="s">
        <v>28185</v>
      </c>
      <c r="F13647" t="s">
        <v>28198</v>
      </c>
      <c r="G13647" t="s">
        <v>28205</v>
      </c>
      <c r="H13647" t="s">
        <v>28214</v>
      </c>
      <c r="I13647" t="s">
        <v>3797</v>
      </c>
      <c r="J13647" t="s">
        <v>36677</v>
      </c>
      <c r="K13647" t="s">
        <v>36721</v>
      </c>
      <c r="M13647" t="s">
        <v>37110</v>
      </c>
      <c r="N13647" t="s">
        <v>40436</v>
      </c>
      <c r="O13647" t="s">
        <v>40437</v>
      </c>
      <c r="Q13647">
        <v>14</v>
      </c>
      <c r="R13647" t="s">
        <v>40575</v>
      </c>
      <c r="S13647" t="s">
        <v>42083</v>
      </c>
      <c r="T13647" t="s">
        <v>42480</v>
      </c>
      <c r="U13647" t="s">
        <v>53764</v>
      </c>
      <c r="V13647" t="s">
        <v>53806</v>
      </c>
      <c r="W13647" t="s">
        <v>55432</v>
      </c>
      <c r="X13647" t="s">
        <v>40569</v>
      </c>
    </row>
    <row r="13648" spans="1:24">
      <c r="A13648">
        <f>HYPERLINK("https://www.philgeps.gov.ph/GEPSNONPILOT/Tender/SplashBidNoticeAbstractUI.aspx?menuIndex=3&amp;refID=6273120&amp;Result=3","6273120")</f>
        <v>0</v>
      </c>
      <c r="B13648" t="s">
        <v>1112</v>
      </c>
      <c r="C13648" t="s">
        <v>16174</v>
      </c>
      <c r="D13648" t="s">
        <v>16191</v>
      </c>
      <c r="E13648" t="s">
        <v>28186</v>
      </c>
      <c r="F13648" t="s">
        <v>28198</v>
      </c>
      <c r="G13648" t="s">
        <v>28206</v>
      </c>
      <c r="H13648" t="s">
        <v>28215</v>
      </c>
      <c r="I13648" t="s">
        <v>5082</v>
      </c>
      <c r="J13648" t="s">
        <v>36678</v>
      </c>
      <c r="K13648" t="s">
        <v>36707</v>
      </c>
      <c r="M13648" t="s">
        <v>38149</v>
      </c>
      <c r="N13648" t="s">
        <v>40436</v>
      </c>
      <c r="O13648" t="s">
        <v>40437</v>
      </c>
      <c r="Q13648">
        <v>7</v>
      </c>
      <c r="R13648" t="s">
        <v>40576</v>
      </c>
      <c r="S13648" t="s">
        <v>42084</v>
      </c>
      <c r="T13648" t="s">
        <v>42115</v>
      </c>
      <c r="U13648" t="s">
        <v>53765</v>
      </c>
      <c r="V13648" t="s">
        <v>55418</v>
      </c>
      <c r="W13648" t="s">
        <v>38149</v>
      </c>
      <c r="X13648" t="s">
        <v>55598</v>
      </c>
    </row>
    <row r="13649" spans="1:24">
      <c r="A13649">
        <f>HYPERLINK("https://www.philgeps.gov.ph/GEPSNONPILOT/Tender/SplashBidNoticeAbstractUI.aspx?menuIndex=3&amp;refID=6395874&amp;Result=3","6395874")</f>
        <v>0</v>
      </c>
      <c r="B13649" t="s">
        <v>1112</v>
      </c>
      <c r="C13649" t="s">
        <v>16175</v>
      </c>
      <c r="D13649" t="s">
        <v>16191</v>
      </c>
      <c r="E13649" t="s">
        <v>28187</v>
      </c>
      <c r="F13649" t="s">
        <v>28198</v>
      </c>
      <c r="G13649" t="s">
        <v>28206</v>
      </c>
      <c r="H13649" t="s">
        <v>28215</v>
      </c>
      <c r="I13649" t="s">
        <v>4168</v>
      </c>
      <c r="J13649" t="s">
        <v>36679</v>
      </c>
      <c r="K13649" t="s">
        <v>36707</v>
      </c>
      <c r="M13649" t="s">
        <v>38149</v>
      </c>
      <c r="N13649" t="s">
        <v>40436</v>
      </c>
      <c r="O13649" t="s">
        <v>40437</v>
      </c>
      <c r="Q13649">
        <v>4</v>
      </c>
      <c r="R13649" t="s">
        <v>40577</v>
      </c>
      <c r="S13649" t="s">
        <v>42085</v>
      </c>
      <c r="T13649" t="s">
        <v>42115</v>
      </c>
      <c r="U13649" t="s">
        <v>53766</v>
      </c>
      <c r="V13649" t="s">
        <v>55424</v>
      </c>
      <c r="W13649" t="s">
        <v>38149</v>
      </c>
      <c r="X13649" t="s">
        <v>55599</v>
      </c>
    </row>
    <row r="13650" spans="1:24">
      <c r="A13650">
        <f>HYPERLINK("https://www.philgeps.gov.ph/GEPSNONPILOT/Tender/SplashBidNoticeAbstractUI.aspx?menuIndex=3&amp;refID=6840310&amp;Result=3","6840310")</f>
        <v>0</v>
      </c>
      <c r="B13650" t="s">
        <v>3072</v>
      </c>
      <c r="C13650" t="s">
        <v>16176</v>
      </c>
      <c r="D13650" t="s">
        <v>16204</v>
      </c>
      <c r="E13650" t="s">
        <v>28188</v>
      </c>
      <c r="F13650" t="s">
        <v>28198</v>
      </c>
      <c r="G13650" t="s">
        <v>28205</v>
      </c>
      <c r="H13650" t="s">
        <v>28214</v>
      </c>
      <c r="I13650" t="s">
        <v>3797</v>
      </c>
      <c r="J13650" t="s">
        <v>36680</v>
      </c>
      <c r="K13650" t="s">
        <v>36941</v>
      </c>
      <c r="M13650" t="s">
        <v>40400</v>
      </c>
      <c r="N13650" t="s">
        <v>40436</v>
      </c>
      <c r="O13650" t="s">
        <v>40437</v>
      </c>
      <c r="Q13650">
        <v>39</v>
      </c>
      <c r="R13650" t="s">
        <v>40578</v>
      </c>
      <c r="S13650" t="s">
        <v>42086</v>
      </c>
      <c r="T13650" t="s">
        <v>42628</v>
      </c>
      <c r="U13650" t="s">
        <v>53767</v>
      </c>
      <c r="V13650" t="s">
        <v>55425</v>
      </c>
      <c r="W13650" t="s">
        <v>40400</v>
      </c>
      <c r="X13650" t="s">
        <v>55600</v>
      </c>
    </row>
    <row r="13651" spans="1:24">
      <c r="A13651">
        <f>HYPERLINK("https://www.philgeps.gov.ph/GEPSNONPILOT/Tender/SplashBidNoticeAbstractUI.aspx?menuIndex=3&amp;refID=6841021&amp;Result=3","6841021")</f>
        <v>0</v>
      </c>
      <c r="B13651" t="s">
        <v>2639</v>
      </c>
      <c r="C13651" t="s">
        <v>16177</v>
      </c>
      <c r="D13651" t="s">
        <v>16210</v>
      </c>
      <c r="E13651" t="s">
        <v>28189</v>
      </c>
      <c r="F13651" t="s">
        <v>28198</v>
      </c>
      <c r="G13651" t="s">
        <v>28205</v>
      </c>
      <c r="H13651" t="s">
        <v>28214</v>
      </c>
      <c r="I13651" t="s">
        <v>3797</v>
      </c>
      <c r="J13651" t="s">
        <v>36681</v>
      </c>
      <c r="K13651" t="s">
        <v>36690</v>
      </c>
      <c r="M13651" t="s">
        <v>39864</v>
      </c>
      <c r="N13651" t="s">
        <v>40436</v>
      </c>
      <c r="O13651" t="s">
        <v>40437</v>
      </c>
      <c r="Q13651">
        <v>93</v>
      </c>
      <c r="R13651" t="s">
        <v>40578</v>
      </c>
      <c r="S13651" t="s">
        <v>42087</v>
      </c>
      <c r="T13651" t="s">
        <v>42165</v>
      </c>
      <c r="U13651" t="s">
        <v>53768</v>
      </c>
      <c r="W13651" t="s">
        <v>39864</v>
      </c>
      <c r="X13651" t="s">
        <v>55600</v>
      </c>
    </row>
    <row r="13652" spans="1:24">
      <c r="A13652">
        <f>HYPERLINK("https://www.philgeps.gov.ph/GEPSNONPILOT/Tender/SplashBidNoticeAbstractUI.aspx?menuIndex=3&amp;refID=5675208&amp;Result=3","5675208")</f>
        <v>0</v>
      </c>
      <c r="B13652" t="s">
        <v>1112</v>
      </c>
      <c r="C13652" t="s">
        <v>16178</v>
      </c>
      <c r="D13652" t="s">
        <v>16191</v>
      </c>
      <c r="E13652" t="s">
        <v>28190</v>
      </c>
      <c r="F13652" t="s">
        <v>28198</v>
      </c>
      <c r="G13652" t="s">
        <v>28206</v>
      </c>
      <c r="H13652" t="s">
        <v>28215</v>
      </c>
      <c r="I13652" t="s">
        <v>4168</v>
      </c>
      <c r="J13652" t="s">
        <v>29554</v>
      </c>
      <c r="K13652" t="s">
        <v>36707</v>
      </c>
      <c r="M13652" t="s">
        <v>38149</v>
      </c>
      <c r="N13652" t="s">
        <v>40436</v>
      </c>
      <c r="O13652" t="s">
        <v>40437</v>
      </c>
      <c r="Q13652">
        <v>2</v>
      </c>
      <c r="R13652" t="s">
        <v>40579</v>
      </c>
      <c r="S13652" t="s">
        <v>42088</v>
      </c>
      <c r="T13652" t="s">
        <v>42115</v>
      </c>
      <c r="U13652" t="s">
        <v>53769</v>
      </c>
      <c r="V13652" t="s">
        <v>55418</v>
      </c>
      <c r="W13652" t="s">
        <v>38149</v>
      </c>
      <c r="X13652" t="s">
        <v>55601</v>
      </c>
    </row>
    <row r="13653" spans="1:24">
      <c r="A13653">
        <f>HYPERLINK("https://www.philgeps.gov.ph/GEPSNONPILOT/Tender/SplashBidNoticeAbstractUI.aspx?menuIndex=3&amp;refID=6841147&amp;Result=3","6841147")</f>
        <v>0</v>
      </c>
      <c r="B13653" t="s">
        <v>2639</v>
      </c>
      <c r="C13653" t="s">
        <v>16179</v>
      </c>
      <c r="D13653" t="s">
        <v>16210</v>
      </c>
      <c r="E13653" t="s">
        <v>28191</v>
      </c>
      <c r="F13653" t="s">
        <v>28198</v>
      </c>
      <c r="G13653" t="s">
        <v>28205</v>
      </c>
      <c r="H13653" t="s">
        <v>28214</v>
      </c>
      <c r="I13653" t="s">
        <v>3797</v>
      </c>
      <c r="J13653" t="s">
        <v>36682</v>
      </c>
      <c r="K13653" t="s">
        <v>36710</v>
      </c>
      <c r="M13653" t="s">
        <v>39864</v>
      </c>
      <c r="N13653" t="s">
        <v>40436</v>
      </c>
      <c r="O13653" t="s">
        <v>40437</v>
      </c>
      <c r="Q13653">
        <v>110</v>
      </c>
      <c r="R13653" t="s">
        <v>40578</v>
      </c>
      <c r="S13653" t="s">
        <v>42089</v>
      </c>
      <c r="T13653" t="s">
        <v>42165</v>
      </c>
      <c r="U13653" t="s">
        <v>53770</v>
      </c>
      <c r="W13653" t="s">
        <v>39864</v>
      </c>
      <c r="X13653" t="s">
        <v>55600</v>
      </c>
    </row>
    <row r="13654" spans="1:24">
      <c r="A13654">
        <f>HYPERLINK("https://www.philgeps.gov.ph/GEPSNONPILOT/Tender/SplashBidNoticeAbstractUI.aspx?menuIndex=3&amp;refID=6844693&amp;Result=3","6844693")</f>
        <v>0</v>
      </c>
      <c r="B13654" t="s">
        <v>2639</v>
      </c>
      <c r="C13654" t="s">
        <v>16180</v>
      </c>
      <c r="D13654" t="s">
        <v>16210</v>
      </c>
      <c r="E13654" t="s">
        <v>28192</v>
      </c>
      <c r="F13654" t="s">
        <v>28198</v>
      </c>
      <c r="G13654" t="s">
        <v>28205</v>
      </c>
      <c r="H13654" t="s">
        <v>28214</v>
      </c>
      <c r="I13654" t="s">
        <v>3797</v>
      </c>
      <c r="J13654" t="s">
        <v>36683</v>
      </c>
      <c r="K13654" t="s">
        <v>36742</v>
      </c>
      <c r="M13654" t="s">
        <v>39864</v>
      </c>
      <c r="N13654" t="s">
        <v>40436</v>
      </c>
      <c r="O13654" t="s">
        <v>40437</v>
      </c>
      <c r="Q13654">
        <v>63</v>
      </c>
      <c r="R13654" t="s">
        <v>40580</v>
      </c>
      <c r="S13654" t="s">
        <v>42090</v>
      </c>
      <c r="T13654" t="s">
        <v>42390</v>
      </c>
      <c r="U13654" t="s">
        <v>53771</v>
      </c>
      <c r="W13654" t="s">
        <v>39864</v>
      </c>
      <c r="X13654" t="s">
        <v>40578</v>
      </c>
    </row>
    <row r="13655" spans="1:24">
      <c r="A13655">
        <f>HYPERLINK("https://www.philgeps.gov.ph/GEPSNONPILOT/Tender/SplashBidNoticeAbstractUI.aspx?menuIndex=3&amp;refID=6860145&amp;Result=3","6860145")</f>
        <v>0</v>
      </c>
      <c r="B13655" t="s">
        <v>540</v>
      </c>
      <c r="C13655" t="s">
        <v>16181</v>
      </c>
      <c r="D13655" t="s">
        <v>16210</v>
      </c>
      <c r="E13655" t="s">
        <v>28193</v>
      </c>
      <c r="F13655" t="s">
        <v>28198</v>
      </c>
      <c r="G13655" t="s">
        <v>28207</v>
      </c>
      <c r="H13655" t="s">
        <v>28215</v>
      </c>
      <c r="I13655" t="s">
        <v>28225</v>
      </c>
      <c r="J13655" t="s">
        <v>36684</v>
      </c>
      <c r="K13655" t="s">
        <v>36693</v>
      </c>
      <c r="M13655" t="s">
        <v>40427</v>
      </c>
      <c r="N13655" t="s">
        <v>40436</v>
      </c>
      <c r="O13655" t="s">
        <v>40437</v>
      </c>
      <c r="Q13655">
        <v>2</v>
      </c>
      <c r="R13655" t="s">
        <v>40533</v>
      </c>
      <c r="S13655" t="s">
        <v>42091</v>
      </c>
      <c r="T13655" t="s">
        <v>42563</v>
      </c>
      <c r="U13655" t="s">
        <v>53772</v>
      </c>
      <c r="V13655" t="s">
        <v>53914</v>
      </c>
      <c r="W13655" t="s">
        <v>40427</v>
      </c>
      <c r="X13655" t="s">
        <v>55552</v>
      </c>
    </row>
    <row r="13656" spans="1:24">
      <c r="A13656">
        <f>HYPERLINK("https://www.philgeps.gov.ph/GEPSNONPILOT/Tender/SplashBidNoticeAbstractUI.aspx?menuIndex=3&amp;refID=5741602&amp;Result=3","5741602")</f>
        <v>0</v>
      </c>
      <c r="B13656" t="s">
        <v>1112</v>
      </c>
      <c r="C13656" t="s">
        <v>16182</v>
      </c>
      <c r="D13656" t="s">
        <v>16191</v>
      </c>
      <c r="E13656" t="s">
        <v>28194</v>
      </c>
      <c r="F13656" t="s">
        <v>28198</v>
      </c>
      <c r="G13656" t="s">
        <v>28206</v>
      </c>
      <c r="H13656" t="s">
        <v>28215</v>
      </c>
      <c r="I13656" t="s">
        <v>28258</v>
      </c>
      <c r="J13656" t="s">
        <v>36685</v>
      </c>
      <c r="K13656" t="s">
        <v>36707</v>
      </c>
      <c r="M13656" t="s">
        <v>38149</v>
      </c>
      <c r="N13656" t="s">
        <v>40436</v>
      </c>
      <c r="O13656" t="s">
        <v>40437</v>
      </c>
      <c r="Q13656">
        <v>4</v>
      </c>
      <c r="R13656" t="s">
        <v>40581</v>
      </c>
      <c r="S13656" t="s">
        <v>42092</v>
      </c>
      <c r="T13656" t="s">
        <v>42115</v>
      </c>
      <c r="U13656" t="s">
        <v>53773</v>
      </c>
      <c r="V13656" t="s">
        <v>55418</v>
      </c>
      <c r="W13656" t="s">
        <v>38149</v>
      </c>
      <c r="X13656" t="s">
        <v>55602</v>
      </c>
    </row>
    <row r="13657" spans="1:24">
      <c r="A13657">
        <f>HYPERLINK("https://www.philgeps.gov.ph/GEPSNONPILOT/Tender/SplashBidNoticeAbstractUI.aspx?menuIndex=3&amp;refID=6860069&amp;Result=3","6860069")</f>
        <v>0</v>
      </c>
      <c r="B13657" t="s">
        <v>540</v>
      </c>
      <c r="C13657" t="s">
        <v>16183</v>
      </c>
      <c r="D13657" t="s">
        <v>16210</v>
      </c>
      <c r="E13657" t="s">
        <v>20664</v>
      </c>
      <c r="F13657" t="s">
        <v>28198</v>
      </c>
      <c r="G13657" t="s">
        <v>28207</v>
      </c>
      <c r="H13657" t="s">
        <v>28215</v>
      </c>
      <c r="I13657" t="s">
        <v>28225</v>
      </c>
      <c r="J13657" t="s">
        <v>28354</v>
      </c>
      <c r="K13657" t="s">
        <v>36693</v>
      </c>
      <c r="M13657" t="s">
        <v>40427</v>
      </c>
      <c r="N13657" t="s">
        <v>40436</v>
      </c>
      <c r="O13657" t="s">
        <v>40437</v>
      </c>
      <c r="Q13657">
        <v>3</v>
      </c>
      <c r="R13657" t="s">
        <v>40533</v>
      </c>
      <c r="S13657" t="s">
        <v>42093</v>
      </c>
      <c r="T13657" t="s">
        <v>42563</v>
      </c>
      <c r="U13657" t="s">
        <v>53774</v>
      </c>
      <c r="V13657" t="s">
        <v>53914</v>
      </c>
      <c r="W13657" t="s">
        <v>40427</v>
      </c>
      <c r="X13657" t="s">
        <v>55552</v>
      </c>
    </row>
    <row r="13658" spans="1:24">
      <c r="A13658">
        <f>HYPERLINK("https://www.philgeps.gov.ph/GEPSNONPILOT/Tender/SplashBidNoticeAbstractUI.aspx?menuIndex=3&amp;refID=6860170&amp;Result=3","6860170")</f>
        <v>0</v>
      </c>
      <c r="B13658" t="s">
        <v>540</v>
      </c>
      <c r="C13658" t="s">
        <v>16184</v>
      </c>
      <c r="D13658" t="s">
        <v>16210</v>
      </c>
      <c r="E13658" t="s">
        <v>28195</v>
      </c>
      <c r="F13658" t="s">
        <v>28198</v>
      </c>
      <c r="G13658" t="s">
        <v>28207</v>
      </c>
      <c r="H13658" t="s">
        <v>28215</v>
      </c>
      <c r="I13658" t="s">
        <v>28225</v>
      </c>
      <c r="J13658" t="s">
        <v>31894</v>
      </c>
      <c r="K13658" t="s">
        <v>36693</v>
      </c>
      <c r="M13658" t="s">
        <v>40427</v>
      </c>
      <c r="N13658" t="s">
        <v>40436</v>
      </c>
      <c r="O13658" t="s">
        <v>40437</v>
      </c>
      <c r="Q13658">
        <v>2</v>
      </c>
      <c r="R13658" t="s">
        <v>40533</v>
      </c>
      <c r="S13658" t="s">
        <v>42094</v>
      </c>
      <c r="T13658" t="s">
        <v>42563</v>
      </c>
      <c r="U13658" t="s">
        <v>53775</v>
      </c>
      <c r="V13658" t="s">
        <v>53914</v>
      </c>
      <c r="W13658" t="s">
        <v>40427</v>
      </c>
      <c r="X13658" t="s">
        <v>55552</v>
      </c>
    </row>
    <row r="13659" spans="1:24">
      <c r="A13659">
        <f>HYPERLINK("https://www.philgeps.gov.ph/GEPSNONPILOT/Tender/SplashBidNoticeAbstractUI.aspx?menuIndex=3&amp;refID=6843406&amp;Result=3","6843406")</f>
        <v>0</v>
      </c>
      <c r="B13659" t="s">
        <v>1112</v>
      </c>
      <c r="C13659" t="s">
        <v>16185</v>
      </c>
      <c r="D13659" t="s">
        <v>16191</v>
      </c>
      <c r="E13659" t="s">
        <v>28196</v>
      </c>
      <c r="F13659" t="s">
        <v>28198</v>
      </c>
      <c r="G13659" t="s">
        <v>28207</v>
      </c>
      <c r="H13659" t="s">
        <v>28215</v>
      </c>
      <c r="I13659" t="s">
        <v>28244</v>
      </c>
      <c r="J13659" t="s">
        <v>29420</v>
      </c>
      <c r="K13659" t="s">
        <v>36707</v>
      </c>
      <c r="M13659" t="s">
        <v>38149</v>
      </c>
      <c r="N13659" t="s">
        <v>40436</v>
      </c>
      <c r="O13659" t="s">
        <v>40437</v>
      </c>
      <c r="Q13659">
        <v>3</v>
      </c>
      <c r="R13659" t="s">
        <v>40580</v>
      </c>
      <c r="S13659" t="s">
        <v>42095</v>
      </c>
      <c r="T13659" t="s">
        <v>42115</v>
      </c>
      <c r="U13659" t="s">
        <v>53776</v>
      </c>
      <c r="V13659" t="s">
        <v>54089</v>
      </c>
      <c r="W13659" t="s">
        <v>38149</v>
      </c>
      <c r="X13659" t="s">
        <v>40578</v>
      </c>
    </row>
    <row r="13660" spans="1:24">
      <c r="A13660">
        <f>HYPERLINK("https://www.philgeps.gov.ph/GEPSNONPILOT/Tender/SplashBidNoticeAbstractUI.aspx?menuIndex=3&amp;refID=6860879&amp;Result=3","6860879")</f>
        <v>0</v>
      </c>
      <c r="B13660" t="s">
        <v>2757</v>
      </c>
      <c r="C13660" t="s">
        <v>16186</v>
      </c>
      <c r="D13660" t="s">
        <v>16210</v>
      </c>
      <c r="E13660" t="s">
        <v>28197</v>
      </c>
      <c r="F13660" t="s">
        <v>28198</v>
      </c>
      <c r="G13660" t="s">
        <v>28205</v>
      </c>
      <c r="H13660" t="s">
        <v>28215</v>
      </c>
      <c r="I13660" t="s">
        <v>4200</v>
      </c>
      <c r="J13660" t="s">
        <v>36686</v>
      </c>
      <c r="K13660" t="s">
        <v>36689</v>
      </c>
      <c r="M13660" t="s">
        <v>40435</v>
      </c>
      <c r="N13660" t="s">
        <v>40436</v>
      </c>
      <c r="O13660" t="s">
        <v>40437</v>
      </c>
      <c r="Q13660">
        <v>21</v>
      </c>
      <c r="R13660" t="s">
        <v>40533</v>
      </c>
      <c r="S13660" t="s">
        <v>42096</v>
      </c>
      <c r="T13660" t="s">
        <v>42100</v>
      </c>
      <c r="U13660" t="s">
        <v>53777</v>
      </c>
      <c r="W13660" t="s">
        <v>40435</v>
      </c>
      <c r="X13660" t="s">
        <v>55552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2020-06-17T19:26:50Z</dcterms:created>
  <dcterms:modified xsi:type="dcterms:W3CDTF">2020-06-17T19:26:50Z</dcterms:modified>
</cp:coreProperties>
</file>